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rv-fftt-ad\data\COMMUN\4. SPORTIVE\COMMISSION SPORTIVE\Csf\Championnats France\Vétérans\2018 - 2019\"/>
    </mc:Choice>
  </mc:AlternateContent>
  <bookViews>
    <workbookView xWindow="0" yWindow="0" windowWidth="23040" windowHeight="9192" tabRatio="831" activeTab="9"/>
  </bookViews>
  <sheets>
    <sheet name="V1 Messieurs" sheetId="16" r:id="rId1"/>
    <sheet name="V2 Messieurs" sheetId="21" r:id="rId2"/>
    <sheet name="V3 Messieurs" sheetId="22" r:id="rId3"/>
    <sheet name="V4 Messieurs" sheetId="23" r:id="rId4"/>
    <sheet name="V5 Messieurs" sheetId="24" r:id="rId5"/>
    <sheet name="V1 Dames" sheetId="25" r:id="rId6"/>
    <sheet name="V2 Dames" sheetId="26" r:id="rId7"/>
    <sheet name="V3 Dames" sheetId="27" r:id="rId8"/>
    <sheet name="V4 Dames" sheetId="28" r:id="rId9"/>
    <sheet name="V5 Dames" sheetId="29" r:id="rId10"/>
    <sheet name="Travail" sheetId="30" state="hidden" r:id="rId11"/>
    <sheet name="Base" sheetId="19" state="hidden" r:id="rId12"/>
  </sheets>
  <calcPr calcId="162913"/>
</workbook>
</file>

<file path=xl/calcChain.xml><?xml version="1.0" encoding="utf-8"?>
<calcChain xmlns="http://schemas.openxmlformats.org/spreadsheetml/2006/main">
  <c r="J11" i="24" l="1"/>
  <c r="L11" i="24" s="1"/>
  <c r="G11" i="24" s="1"/>
  <c r="M11" i="24" l="1"/>
  <c r="K11" i="24"/>
  <c r="I11" i="24" s="1"/>
  <c r="A42659" i="19"/>
  <c r="A42658" i="19"/>
  <c r="A42657" i="19"/>
  <c r="A42656" i="19"/>
  <c r="A42655" i="19"/>
  <c r="A42654" i="19"/>
  <c r="A42653" i="19"/>
  <c r="A42652" i="19"/>
  <c r="A42651" i="19"/>
  <c r="A42650" i="19"/>
  <c r="A42649" i="19"/>
  <c r="A42648" i="19"/>
  <c r="A42647" i="19"/>
  <c r="A42646" i="19"/>
  <c r="A42645" i="19"/>
  <c r="A42644" i="19"/>
  <c r="A42643" i="19"/>
  <c r="A42642" i="19"/>
  <c r="A42641" i="19"/>
  <c r="A42640" i="19"/>
  <c r="A42639" i="19"/>
  <c r="A42638" i="19"/>
  <c r="A42637" i="19"/>
  <c r="A42636" i="19"/>
  <c r="A42635" i="19"/>
  <c r="A42634" i="19"/>
  <c r="A42633" i="19"/>
  <c r="A42632" i="19"/>
  <c r="A42631" i="19"/>
  <c r="A42630" i="19"/>
  <c r="A42629" i="19"/>
  <c r="A42628" i="19"/>
  <c r="A42627" i="19"/>
  <c r="A42626" i="19"/>
  <c r="A42625" i="19"/>
  <c r="A42624" i="19"/>
  <c r="A42623" i="19"/>
  <c r="A42622" i="19"/>
  <c r="A42621" i="19"/>
  <c r="A42620" i="19"/>
  <c r="A42619" i="19"/>
  <c r="A42618" i="19"/>
  <c r="A42617" i="19"/>
  <c r="A42616" i="19"/>
  <c r="A42615" i="19"/>
  <c r="A42614" i="19"/>
  <c r="A42613" i="19"/>
  <c r="A42612" i="19"/>
  <c r="A42611" i="19"/>
  <c r="A42610" i="19"/>
  <c r="A42609" i="19"/>
  <c r="A42608" i="19"/>
  <c r="A42607" i="19"/>
  <c r="A42606" i="19"/>
  <c r="A42605" i="19"/>
  <c r="A42604" i="19"/>
  <c r="A42603" i="19"/>
  <c r="A42602" i="19"/>
  <c r="A42601" i="19"/>
  <c r="A42600" i="19"/>
  <c r="A42599" i="19"/>
  <c r="A42598" i="19"/>
  <c r="A42597" i="19"/>
  <c r="A42596" i="19"/>
  <c r="A42595" i="19"/>
  <c r="A42594" i="19"/>
  <c r="A42593" i="19"/>
  <c r="A42592" i="19"/>
  <c r="A42591" i="19"/>
  <c r="A42590" i="19"/>
  <c r="A42589" i="19"/>
  <c r="A42588" i="19"/>
  <c r="A42587" i="19"/>
  <c r="A42586" i="19"/>
  <c r="A42585" i="19"/>
  <c r="A42584" i="19"/>
  <c r="A42583" i="19"/>
  <c r="A42582" i="19"/>
  <c r="A42581" i="19"/>
  <c r="A42580" i="19"/>
  <c r="A42579" i="19"/>
  <c r="A42578" i="19"/>
  <c r="A42577" i="19"/>
  <c r="A42576" i="19"/>
  <c r="A42575" i="19"/>
  <c r="A42574" i="19"/>
  <c r="A42573" i="19"/>
  <c r="A42572" i="19"/>
  <c r="A42571" i="19"/>
  <c r="A42570" i="19"/>
  <c r="A42569" i="19"/>
  <c r="A42568" i="19"/>
  <c r="A42567" i="19"/>
  <c r="A42566" i="19"/>
  <c r="A42565" i="19"/>
  <c r="A42564" i="19"/>
  <c r="A42563" i="19"/>
  <c r="A42562" i="19"/>
  <c r="A42561" i="19"/>
  <c r="A42560" i="19"/>
  <c r="A42559" i="19"/>
  <c r="A42558" i="19"/>
  <c r="A42557" i="19"/>
  <c r="A42556" i="19"/>
  <c r="A42555" i="19"/>
  <c r="A42554" i="19"/>
  <c r="A42553" i="19"/>
  <c r="A42552" i="19"/>
  <c r="A42551" i="19"/>
  <c r="A42550" i="19"/>
  <c r="A42549" i="19"/>
  <c r="A42548" i="19"/>
  <c r="A42547" i="19"/>
  <c r="A42546" i="19"/>
  <c r="A42545" i="19"/>
  <c r="A42544" i="19"/>
  <c r="A42543" i="19"/>
  <c r="A42542" i="19"/>
  <c r="A42541" i="19"/>
  <c r="A42540" i="19"/>
  <c r="A42539" i="19"/>
  <c r="A42538" i="19"/>
  <c r="A42537" i="19"/>
  <c r="A42536" i="19"/>
  <c r="A42535" i="19"/>
  <c r="A42534" i="19"/>
  <c r="A42533" i="19"/>
  <c r="A42532" i="19"/>
  <c r="A42531" i="19"/>
  <c r="A42530" i="19"/>
  <c r="A42529" i="19"/>
  <c r="A42528" i="19"/>
  <c r="A42527" i="19"/>
  <c r="A42526" i="19"/>
  <c r="A42525" i="19"/>
  <c r="A42524" i="19"/>
  <c r="A42523" i="19"/>
  <c r="A42522" i="19"/>
  <c r="A42521" i="19"/>
  <c r="A42520" i="19"/>
  <c r="A42519" i="19"/>
  <c r="A42518" i="19"/>
  <c r="A42517" i="19"/>
  <c r="A42516" i="19"/>
  <c r="A42515" i="19"/>
  <c r="A42514" i="19"/>
  <c r="A42513" i="19"/>
  <c r="A42512" i="19"/>
  <c r="A42511" i="19"/>
  <c r="A42510" i="19"/>
  <c r="A42509" i="19"/>
  <c r="A42508" i="19"/>
  <c r="A42507" i="19"/>
  <c r="A42506" i="19"/>
  <c r="A42505" i="19"/>
  <c r="A42504" i="19"/>
  <c r="A42503" i="19"/>
  <c r="A42502" i="19"/>
  <c r="A42501" i="19"/>
  <c r="A42500" i="19"/>
  <c r="A42499" i="19"/>
  <c r="A42498" i="19"/>
  <c r="A42497" i="19"/>
  <c r="A42496" i="19"/>
  <c r="A42495" i="19"/>
  <c r="A42494" i="19"/>
  <c r="A42493" i="19"/>
  <c r="A42492" i="19"/>
  <c r="A42491" i="19"/>
  <c r="A42490" i="19"/>
  <c r="A42489" i="19"/>
  <c r="A42488" i="19"/>
  <c r="A42487" i="19"/>
  <c r="A42486" i="19"/>
  <c r="A42485" i="19"/>
  <c r="A42484" i="19"/>
  <c r="A42483" i="19"/>
  <c r="A42482" i="19"/>
  <c r="A42481" i="19"/>
  <c r="A42480" i="19"/>
  <c r="A42479" i="19"/>
  <c r="A42478" i="19"/>
  <c r="A42477" i="19"/>
  <c r="A42476" i="19"/>
  <c r="A42475" i="19"/>
  <c r="A42474" i="19"/>
  <c r="A42473" i="19"/>
  <c r="A42472" i="19"/>
  <c r="A42471" i="19"/>
  <c r="A42470" i="19"/>
  <c r="A42469" i="19"/>
  <c r="A42468" i="19"/>
  <c r="A42467" i="19"/>
  <c r="A42466" i="19"/>
  <c r="A42465" i="19"/>
  <c r="A42464" i="19"/>
  <c r="A42463" i="19"/>
  <c r="A42462" i="19"/>
  <c r="A42461" i="19"/>
  <c r="A42460" i="19"/>
  <c r="A42459" i="19"/>
  <c r="A42458" i="19"/>
  <c r="A42457" i="19"/>
  <c r="A42456" i="19"/>
  <c r="A42455" i="19"/>
  <c r="A42454" i="19"/>
  <c r="A42453" i="19"/>
  <c r="A42452" i="19"/>
  <c r="A42451" i="19"/>
  <c r="A42450" i="19"/>
  <c r="A42449" i="19"/>
  <c r="A42448" i="19"/>
  <c r="A42447" i="19"/>
  <c r="A42446" i="19"/>
  <c r="A42445" i="19"/>
  <c r="A42444" i="19"/>
  <c r="A42443" i="19"/>
  <c r="A42442" i="19"/>
  <c r="A42441" i="19"/>
  <c r="A42440" i="19"/>
  <c r="A42439" i="19"/>
  <c r="A42438" i="19"/>
  <c r="A42437" i="19"/>
  <c r="A42436" i="19"/>
  <c r="A42435" i="19"/>
  <c r="A42434" i="19"/>
  <c r="A42433" i="19"/>
  <c r="A42432" i="19"/>
  <c r="A42431" i="19"/>
  <c r="A42430" i="19"/>
  <c r="A42429" i="19"/>
  <c r="A42428" i="19"/>
  <c r="A42427" i="19"/>
  <c r="A42426" i="19"/>
  <c r="A42425" i="19"/>
  <c r="A42424" i="19"/>
  <c r="A42423" i="19"/>
  <c r="A42422" i="19"/>
  <c r="A42421" i="19"/>
  <c r="A42420" i="19"/>
  <c r="A42419" i="19"/>
  <c r="A42418" i="19"/>
  <c r="A42417" i="19"/>
  <c r="A42416" i="19"/>
  <c r="A42415" i="19"/>
  <c r="A42414" i="19"/>
  <c r="A42413" i="19"/>
  <c r="A42412" i="19"/>
  <c r="A42411" i="19"/>
  <c r="A42410" i="19"/>
  <c r="A42409" i="19"/>
  <c r="A42408" i="19"/>
  <c r="A42407" i="19"/>
  <c r="A42406" i="19"/>
  <c r="A42405" i="19"/>
  <c r="A42404" i="19"/>
  <c r="A42403" i="19"/>
  <c r="A42402" i="19"/>
  <c r="A42401" i="19"/>
  <c r="A42400" i="19"/>
  <c r="A42399" i="19"/>
  <c r="A42398" i="19"/>
  <c r="A42397" i="19"/>
  <c r="A42396" i="19"/>
  <c r="A42395" i="19"/>
  <c r="A42394" i="19"/>
  <c r="A42393" i="19"/>
  <c r="A42392" i="19"/>
  <c r="A42391" i="19"/>
  <c r="A42390" i="19"/>
  <c r="A42389" i="19"/>
  <c r="A42388" i="19"/>
  <c r="A42387" i="19"/>
  <c r="A42386" i="19"/>
  <c r="A42385" i="19"/>
  <c r="A42384" i="19"/>
  <c r="A42383" i="19"/>
  <c r="A42382" i="19"/>
  <c r="A42381" i="19"/>
  <c r="A42380" i="19"/>
  <c r="A42379" i="19"/>
  <c r="A42378" i="19"/>
  <c r="A42377" i="19"/>
  <c r="A42376" i="19"/>
  <c r="A42375" i="19"/>
  <c r="A42374" i="19"/>
  <c r="A42373" i="19"/>
  <c r="A42372" i="19"/>
  <c r="A42371" i="19"/>
  <c r="A42370" i="19"/>
  <c r="A42369" i="19"/>
  <c r="A42368" i="19"/>
  <c r="A42367" i="19"/>
  <c r="A42366" i="19"/>
  <c r="A42365" i="19"/>
  <c r="A42364" i="19"/>
  <c r="A42363" i="19"/>
  <c r="A42362" i="19"/>
  <c r="A42361" i="19"/>
  <c r="A42360" i="19"/>
  <c r="A42359" i="19"/>
  <c r="A42358" i="19"/>
  <c r="A42357" i="19"/>
  <c r="A42356" i="19"/>
  <c r="A42355" i="19"/>
  <c r="A42354" i="19"/>
  <c r="A42353" i="19"/>
  <c r="A42352" i="19"/>
  <c r="A42351" i="19"/>
  <c r="A42350" i="19"/>
  <c r="A42349" i="19"/>
  <c r="A42348" i="19"/>
  <c r="A42347" i="19"/>
  <c r="A42346" i="19"/>
  <c r="A42345" i="19"/>
  <c r="A42344" i="19"/>
  <c r="A42343" i="19"/>
  <c r="A42342" i="19"/>
  <c r="A42341" i="19"/>
  <c r="A42340" i="19"/>
  <c r="A42339" i="19"/>
  <c r="A42338" i="19"/>
  <c r="A42337" i="19"/>
  <c r="A42336" i="19"/>
  <c r="A42335" i="19"/>
  <c r="A42334" i="19"/>
  <c r="A42333" i="19"/>
  <c r="A42332" i="19"/>
  <c r="A42331" i="19"/>
  <c r="A42330" i="19"/>
  <c r="A42329" i="19"/>
  <c r="A42328" i="19"/>
  <c r="A42327" i="19"/>
  <c r="A42326" i="19"/>
  <c r="A42325" i="19"/>
  <c r="A42324" i="19"/>
  <c r="A42323" i="19"/>
  <c r="A42322" i="19"/>
  <c r="A42321" i="19"/>
  <c r="A42320" i="19"/>
  <c r="A42319" i="19"/>
  <c r="A42318" i="19"/>
  <c r="A42317" i="19"/>
  <c r="A42316" i="19"/>
  <c r="A42315" i="19"/>
  <c r="A42314" i="19"/>
  <c r="A42313" i="19"/>
  <c r="A42312" i="19"/>
  <c r="A42311" i="19"/>
  <c r="A42310" i="19"/>
  <c r="A42309" i="19"/>
  <c r="A42308" i="19"/>
  <c r="A42307" i="19"/>
  <c r="A42306" i="19"/>
  <c r="A42305" i="19"/>
  <c r="A42304" i="19"/>
  <c r="A42303" i="19"/>
  <c r="A42302" i="19"/>
  <c r="A42301" i="19"/>
  <c r="A42300" i="19"/>
  <c r="A42299" i="19"/>
  <c r="A42298" i="19"/>
  <c r="A42297" i="19"/>
  <c r="A42296" i="19"/>
  <c r="A42295" i="19"/>
  <c r="A42294" i="19"/>
  <c r="A42293" i="19"/>
  <c r="A42292" i="19"/>
  <c r="A42291" i="19"/>
  <c r="A42290" i="19"/>
  <c r="A42289" i="19"/>
  <c r="A42288" i="19"/>
  <c r="A42287" i="19"/>
  <c r="A42286" i="19"/>
  <c r="A42285" i="19"/>
  <c r="A42284" i="19"/>
  <c r="A42283" i="19"/>
  <c r="A42282" i="19"/>
  <c r="A42281" i="19"/>
  <c r="A42280" i="19"/>
  <c r="A42279" i="19"/>
  <c r="A42278" i="19"/>
  <c r="A42277" i="19"/>
  <c r="A42276" i="19"/>
  <c r="A42275" i="19"/>
  <c r="A42274" i="19"/>
  <c r="A42273" i="19"/>
  <c r="A42272" i="19"/>
  <c r="A42271" i="19"/>
  <c r="A42270" i="19"/>
  <c r="A42269" i="19"/>
  <c r="A42268" i="19"/>
  <c r="A42267" i="19"/>
  <c r="A42266" i="19"/>
  <c r="A42265" i="19"/>
  <c r="A42264" i="19"/>
  <c r="A42263" i="19"/>
  <c r="A42262" i="19"/>
  <c r="A42261" i="19"/>
  <c r="A42260" i="19"/>
  <c r="A42259" i="19"/>
  <c r="A42258" i="19"/>
  <c r="A42257" i="19"/>
  <c r="A42256" i="19"/>
  <c r="A42255" i="19"/>
  <c r="A42254" i="19"/>
  <c r="A42253" i="19"/>
  <c r="A42252" i="19"/>
  <c r="A42251" i="19"/>
  <c r="A42250" i="19"/>
  <c r="A42249" i="19"/>
  <c r="A42248" i="19"/>
  <c r="A42247" i="19"/>
  <c r="A42246" i="19"/>
  <c r="A42245" i="19"/>
  <c r="A42244" i="19"/>
  <c r="A42243" i="19"/>
  <c r="A42242" i="19"/>
  <c r="A42241" i="19"/>
  <c r="A42240" i="19"/>
  <c r="A42239" i="19"/>
  <c r="A42238" i="19"/>
  <c r="A42237" i="19"/>
  <c r="A42236" i="19"/>
  <c r="A42235" i="19"/>
  <c r="A42234" i="19"/>
  <c r="A42233" i="19"/>
  <c r="A42232" i="19"/>
  <c r="A42231" i="19"/>
  <c r="A42230" i="19"/>
  <c r="A42229" i="19"/>
  <c r="A42228" i="19"/>
  <c r="A42227" i="19"/>
  <c r="A42226" i="19"/>
  <c r="A42225" i="19"/>
  <c r="A42224" i="19"/>
  <c r="A42223" i="19"/>
  <c r="A42222" i="19"/>
  <c r="A42221" i="19"/>
  <c r="A42220" i="19"/>
  <c r="A42219" i="19"/>
  <c r="A42218" i="19"/>
  <c r="A42217" i="19"/>
  <c r="A42216" i="19"/>
  <c r="A42215" i="19"/>
  <c r="A42214" i="19"/>
  <c r="A42213" i="19"/>
  <c r="A42212" i="19"/>
  <c r="A42211" i="19"/>
  <c r="A42210" i="19"/>
  <c r="A42209" i="19"/>
  <c r="A42208" i="19"/>
  <c r="A42207" i="19"/>
  <c r="A42206" i="19"/>
  <c r="A42205" i="19"/>
  <c r="A42204" i="19"/>
  <c r="A42203" i="19"/>
  <c r="A42202" i="19"/>
  <c r="A42201" i="19"/>
  <c r="A42200" i="19"/>
  <c r="A42199" i="19"/>
  <c r="A42198" i="19"/>
  <c r="A42197" i="19"/>
  <c r="A42196" i="19"/>
  <c r="A42195" i="19"/>
  <c r="A42194" i="19"/>
  <c r="A42193" i="19"/>
  <c r="A42192" i="19"/>
  <c r="A42191" i="19"/>
  <c r="A42190" i="19"/>
  <c r="A42189" i="19"/>
  <c r="A42188" i="19"/>
  <c r="A42187" i="19"/>
  <c r="A42186" i="19"/>
  <c r="A42185" i="19"/>
  <c r="A42184" i="19"/>
  <c r="A42183" i="19"/>
  <c r="A42182" i="19"/>
  <c r="A42181" i="19"/>
  <c r="A42180" i="19"/>
  <c r="A42179" i="19"/>
  <c r="A42178" i="19"/>
  <c r="A42177" i="19"/>
  <c r="A42176" i="19"/>
  <c r="A42175" i="19"/>
  <c r="A42174" i="19"/>
  <c r="A42173" i="19"/>
  <c r="A42172" i="19"/>
  <c r="A42171" i="19"/>
  <c r="A42170" i="19"/>
  <c r="A42169" i="19"/>
  <c r="A42168" i="19"/>
  <c r="A42167" i="19"/>
  <c r="A42166" i="19"/>
  <c r="A42165" i="19"/>
  <c r="A42164" i="19"/>
  <c r="A42163" i="19"/>
  <c r="A42162" i="19"/>
  <c r="A42161" i="19"/>
  <c r="A42160" i="19"/>
  <c r="A42159" i="19"/>
  <c r="A42158" i="19"/>
  <c r="A42157" i="19"/>
  <c r="A42156" i="19"/>
  <c r="A42155" i="19"/>
  <c r="A42154" i="19"/>
  <c r="A42153" i="19"/>
  <c r="A42152" i="19"/>
  <c r="A42151" i="19"/>
  <c r="A42150" i="19"/>
  <c r="A42149" i="19"/>
  <c r="A42148" i="19"/>
  <c r="A42147" i="19"/>
  <c r="A42146" i="19"/>
  <c r="A42145" i="19"/>
  <c r="A42144" i="19"/>
  <c r="A42143" i="19"/>
  <c r="A42142" i="19"/>
  <c r="A42141" i="19"/>
  <c r="A42140" i="19"/>
  <c r="A42139" i="19"/>
  <c r="A42138" i="19"/>
  <c r="A42137" i="19"/>
  <c r="A42136" i="19"/>
  <c r="A42135" i="19"/>
  <c r="A42134" i="19"/>
  <c r="A42133" i="19"/>
  <c r="A42132" i="19"/>
  <c r="A42131" i="19"/>
  <c r="A42130" i="19"/>
  <c r="A42129" i="19"/>
  <c r="A42128" i="19"/>
  <c r="A42127" i="19"/>
  <c r="A42126" i="19"/>
  <c r="A42125" i="19"/>
  <c r="A42124" i="19"/>
  <c r="A42123" i="19"/>
  <c r="A42122" i="19"/>
  <c r="A42121" i="19"/>
  <c r="A42120" i="19"/>
  <c r="A42119" i="19"/>
  <c r="A42118" i="19"/>
  <c r="A42117" i="19"/>
  <c r="A42116" i="19"/>
  <c r="A42115" i="19"/>
  <c r="A42114" i="19"/>
  <c r="A42113" i="19"/>
  <c r="A42112" i="19"/>
  <c r="A42111" i="19"/>
  <c r="A42110" i="19"/>
  <c r="A42109" i="19"/>
  <c r="A42108" i="19"/>
  <c r="A42107" i="19"/>
  <c r="A42106" i="19"/>
  <c r="A42105" i="19"/>
  <c r="A42104" i="19"/>
  <c r="A42103" i="19"/>
  <c r="A42102" i="19"/>
  <c r="A42101" i="19"/>
  <c r="A42100" i="19"/>
  <c r="A42099" i="19"/>
  <c r="A42098" i="19"/>
  <c r="A42097" i="19"/>
  <c r="A42096" i="19"/>
  <c r="A42095" i="19"/>
  <c r="A42094" i="19"/>
  <c r="A42093" i="19"/>
  <c r="A42092" i="19"/>
  <c r="A42091" i="19"/>
  <c r="A42090" i="19"/>
  <c r="A42089" i="19"/>
  <c r="A42088" i="19"/>
  <c r="A42087" i="19"/>
  <c r="A42086" i="19"/>
  <c r="A42085" i="19"/>
  <c r="A42084" i="19"/>
  <c r="A42083" i="19"/>
  <c r="A42082" i="19"/>
  <c r="A42081" i="19"/>
  <c r="A42080" i="19"/>
  <c r="A42079" i="19"/>
  <c r="A42078" i="19"/>
  <c r="A42077" i="19"/>
  <c r="A42076" i="19"/>
  <c r="A42075" i="19"/>
  <c r="A42074" i="19"/>
  <c r="A42073" i="19"/>
  <c r="A42072" i="19"/>
  <c r="A42071" i="19"/>
  <c r="A42070" i="19"/>
  <c r="A42069" i="19"/>
  <c r="A42068" i="19"/>
  <c r="A42067" i="19"/>
  <c r="A42066" i="19"/>
  <c r="A42065" i="19"/>
  <c r="A42064" i="19"/>
  <c r="A42063" i="19"/>
  <c r="A42062" i="19"/>
  <c r="A42061" i="19"/>
  <c r="A42060" i="19"/>
  <c r="A42059" i="19"/>
  <c r="A42058" i="19"/>
  <c r="A42057" i="19"/>
  <c r="A42056" i="19"/>
  <c r="A42055" i="19"/>
  <c r="A42054" i="19"/>
  <c r="A42053" i="19"/>
  <c r="A42052" i="19"/>
  <c r="A42051" i="19"/>
  <c r="A42050" i="19"/>
  <c r="A42049" i="19"/>
  <c r="A42048" i="19"/>
  <c r="A42047" i="19"/>
  <c r="A42046" i="19"/>
  <c r="A42045" i="19"/>
  <c r="A42044" i="19"/>
  <c r="A42043" i="19"/>
  <c r="A42042" i="19"/>
  <c r="A42041" i="19"/>
  <c r="A42040" i="19"/>
  <c r="A42039" i="19"/>
  <c r="A42038" i="19"/>
  <c r="A42037" i="19"/>
  <c r="A42036" i="19"/>
  <c r="A42035" i="19"/>
  <c r="A42034" i="19"/>
  <c r="A42033" i="19"/>
  <c r="A42032" i="19"/>
  <c r="A42031" i="19"/>
  <c r="A42030" i="19"/>
  <c r="A42029" i="19"/>
  <c r="A42028" i="19"/>
  <c r="A42027" i="19"/>
  <c r="A42026" i="19"/>
  <c r="A42025" i="19"/>
  <c r="A42024" i="19"/>
  <c r="A42023" i="19"/>
  <c r="A42022" i="19"/>
  <c r="A42021" i="19"/>
  <c r="A42020" i="19"/>
  <c r="A42019" i="19"/>
  <c r="A42018" i="19"/>
  <c r="A42017" i="19"/>
  <c r="A42016" i="19"/>
  <c r="A42015" i="19"/>
  <c r="A42014" i="19"/>
  <c r="A42013" i="19"/>
  <c r="A42012" i="19"/>
  <c r="A42011" i="19"/>
  <c r="A42010" i="19"/>
  <c r="A42009" i="19"/>
  <c r="A42008" i="19"/>
  <c r="A42007" i="19"/>
  <c r="A42006" i="19"/>
  <c r="A42005" i="19"/>
  <c r="A42004" i="19"/>
  <c r="A42003" i="19"/>
  <c r="A42002" i="19"/>
  <c r="A42001" i="19"/>
  <c r="A42000" i="19"/>
  <c r="A41999" i="19"/>
  <c r="A41998" i="19"/>
  <c r="A41997" i="19"/>
  <c r="A41996" i="19"/>
  <c r="A41995" i="19"/>
  <c r="A41994" i="19"/>
  <c r="A41993" i="19"/>
  <c r="A41992" i="19"/>
  <c r="A41991" i="19"/>
  <c r="A41990" i="19"/>
  <c r="A41989" i="19"/>
  <c r="A41988" i="19"/>
  <c r="A41987" i="19"/>
  <c r="A41986" i="19"/>
  <c r="A41985" i="19"/>
  <c r="A41984" i="19"/>
  <c r="A41983" i="19"/>
  <c r="A41982" i="19"/>
  <c r="A41981" i="19"/>
  <c r="A41980" i="19"/>
  <c r="A41979" i="19"/>
  <c r="A41978" i="19"/>
  <c r="A41977" i="19"/>
  <c r="A41976" i="19"/>
  <c r="A41975" i="19"/>
  <c r="A41974" i="19"/>
  <c r="A41973" i="19"/>
  <c r="A41972" i="19"/>
  <c r="A41971" i="19"/>
  <c r="A41970" i="19"/>
  <c r="A41969" i="19"/>
  <c r="A41968" i="19"/>
  <c r="A41967" i="19"/>
  <c r="A41966" i="19"/>
  <c r="A41965" i="19"/>
  <c r="A41964" i="19"/>
  <c r="A41963" i="19"/>
  <c r="A41962" i="19"/>
  <c r="A41961" i="19"/>
  <c r="A41960" i="19"/>
  <c r="A41959" i="19"/>
  <c r="A41958" i="19"/>
  <c r="A41957" i="19"/>
  <c r="A41956" i="19"/>
  <c r="A41955" i="19"/>
  <c r="A41954" i="19"/>
  <c r="A41953" i="19"/>
  <c r="A41952" i="19"/>
  <c r="A41951" i="19"/>
  <c r="A41950" i="19"/>
  <c r="A41949" i="19"/>
  <c r="A41948" i="19"/>
  <c r="A41947" i="19"/>
  <c r="A41946" i="19"/>
  <c r="A41945" i="19"/>
  <c r="A41944" i="19"/>
  <c r="A41943" i="19"/>
  <c r="A41942" i="19"/>
  <c r="A41941" i="19"/>
  <c r="A41940" i="19"/>
  <c r="A41939" i="19"/>
  <c r="A41938" i="19"/>
  <c r="A41937" i="19"/>
  <c r="A41936" i="19"/>
  <c r="A41935" i="19"/>
  <c r="A41934" i="19"/>
  <c r="A41933" i="19"/>
  <c r="A41932" i="19"/>
  <c r="A41931" i="19"/>
  <c r="A41930" i="19"/>
  <c r="A41929" i="19"/>
  <c r="A41928" i="19"/>
  <c r="A41927" i="19"/>
  <c r="A41926" i="19"/>
  <c r="A41925" i="19"/>
  <c r="A41924" i="19"/>
  <c r="A41923" i="19"/>
  <c r="A41922" i="19"/>
  <c r="A41921" i="19"/>
  <c r="A41920" i="19"/>
  <c r="A41919" i="19"/>
  <c r="A41918" i="19"/>
  <c r="A41917" i="19"/>
  <c r="A41916" i="19"/>
  <c r="A41915" i="19"/>
  <c r="A41914" i="19"/>
  <c r="A41913" i="19"/>
  <c r="A41912" i="19"/>
  <c r="A41911" i="19"/>
  <c r="A41910" i="19"/>
  <c r="A41909" i="19"/>
  <c r="A41908" i="19"/>
  <c r="A41907" i="19"/>
  <c r="A41906" i="19"/>
  <c r="A41905" i="19"/>
  <c r="A41904" i="19"/>
  <c r="A41903" i="19"/>
  <c r="A41902" i="19"/>
  <c r="A41901" i="19"/>
  <c r="A41900" i="19"/>
  <c r="A41899" i="19"/>
  <c r="A41898" i="19"/>
  <c r="A41897" i="19"/>
  <c r="A41896" i="19"/>
  <c r="A41895" i="19"/>
  <c r="A41894" i="19"/>
  <c r="A41893" i="19"/>
  <c r="A41892" i="19"/>
  <c r="A41891" i="19"/>
  <c r="A41890" i="19"/>
  <c r="A41889" i="19"/>
  <c r="A41888" i="19"/>
  <c r="A41887" i="19"/>
  <c r="A41886" i="19"/>
  <c r="A41885" i="19"/>
  <c r="A41884" i="19"/>
  <c r="A41883" i="19"/>
  <c r="A41882" i="19"/>
  <c r="A41881" i="19"/>
  <c r="A41880" i="19"/>
  <c r="A41879" i="19"/>
  <c r="A41878" i="19"/>
  <c r="A41877" i="19"/>
  <c r="A41876" i="19"/>
  <c r="A41875" i="19"/>
  <c r="A41874" i="19"/>
  <c r="A41873" i="19"/>
  <c r="A41872" i="19"/>
  <c r="A41871" i="19"/>
  <c r="A41870" i="19"/>
  <c r="A41869" i="19"/>
  <c r="A41868" i="19"/>
  <c r="A41867" i="19"/>
  <c r="A41866" i="19"/>
  <c r="A41865" i="19"/>
  <c r="A41864" i="19"/>
  <c r="A41863" i="19"/>
  <c r="A41862" i="19"/>
  <c r="A41861" i="19"/>
  <c r="A41860" i="19"/>
  <c r="A41859" i="19"/>
  <c r="A41858" i="19"/>
  <c r="A41857" i="19"/>
  <c r="A41856" i="19"/>
  <c r="A41855" i="19"/>
  <c r="A41854" i="19"/>
  <c r="A41853" i="19"/>
  <c r="A41852" i="19"/>
  <c r="A41851" i="19"/>
  <c r="A41850" i="19"/>
  <c r="A41849" i="19"/>
  <c r="A41848" i="19"/>
  <c r="A41847" i="19"/>
  <c r="A41846" i="19"/>
  <c r="A41845" i="19"/>
  <c r="A41844" i="19"/>
  <c r="A41843" i="19"/>
  <c r="A41842" i="19"/>
  <c r="A41841" i="19"/>
  <c r="A41840" i="19"/>
  <c r="A41839" i="19"/>
  <c r="A41838" i="19"/>
  <c r="A41837" i="19"/>
  <c r="A41836" i="19"/>
  <c r="A41835" i="19"/>
  <c r="A41834" i="19"/>
  <c r="A41833" i="19"/>
  <c r="A41832" i="19"/>
  <c r="A41831" i="19"/>
  <c r="A41830" i="19"/>
  <c r="A41829" i="19"/>
  <c r="A41828" i="19"/>
  <c r="A41827" i="19"/>
  <c r="A41826" i="19"/>
  <c r="A41825" i="19"/>
  <c r="A41824" i="19"/>
  <c r="A41823" i="19"/>
  <c r="A41822" i="19"/>
  <c r="A41821" i="19"/>
  <c r="A41820" i="19"/>
  <c r="A41819" i="19"/>
  <c r="A41818" i="19"/>
  <c r="A41817" i="19"/>
  <c r="A41816" i="19"/>
  <c r="A41815" i="19"/>
  <c r="A41814" i="19"/>
  <c r="A41813" i="19"/>
  <c r="A41812" i="19"/>
  <c r="A41811" i="19"/>
  <c r="A41810" i="19"/>
  <c r="A41809" i="19"/>
  <c r="A41808" i="19"/>
  <c r="A41807" i="19"/>
  <c r="A41806" i="19"/>
  <c r="A41805" i="19"/>
  <c r="A41804" i="19"/>
  <c r="A41803" i="19"/>
  <c r="A41802" i="19"/>
  <c r="A41801" i="19"/>
  <c r="A41800" i="19"/>
  <c r="A41799" i="19"/>
  <c r="A41798" i="19"/>
  <c r="A41797" i="19"/>
  <c r="A41796" i="19"/>
  <c r="A41795" i="19"/>
  <c r="A41794" i="19"/>
  <c r="A41793" i="19"/>
  <c r="A41792" i="19"/>
  <c r="A41791" i="19"/>
  <c r="A41790" i="19"/>
  <c r="A41789" i="19"/>
  <c r="A41788" i="19"/>
  <c r="A41787" i="19"/>
  <c r="A41786" i="19"/>
  <c r="A41785" i="19"/>
  <c r="A41784" i="19"/>
  <c r="A41783" i="19"/>
  <c r="A41782" i="19"/>
  <c r="A41781" i="19"/>
  <c r="A41780" i="19"/>
  <c r="A41779" i="19"/>
  <c r="A41778" i="19"/>
  <c r="A41777" i="19"/>
  <c r="A41776" i="19"/>
  <c r="A41775" i="19"/>
  <c r="A41774" i="19"/>
  <c r="A41773" i="19"/>
  <c r="A41772" i="19"/>
  <c r="A41771" i="19"/>
  <c r="A41770" i="19"/>
  <c r="A41769" i="19"/>
  <c r="A41768" i="19"/>
  <c r="A41767" i="19"/>
  <c r="A41766" i="19"/>
  <c r="A41765" i="19"/>
  <c r="A41764" i="19"/>
  <c r="A41763" i="19"/>
  <c r="A41762" i="19"/>
  <c r="A41761" i="19"/>
  <c r="A41760" i="19"/>
  <c r="A41759" i="19"/>
  <c r="A41758" i="19"/>
  <c r="A41757" i="19"/>
  <c r="A41756" i="19"/>
  <c r="A41755" i="19"/>
  <c r="A41754" i="19"/>
  <c r="A41753" i="19"/>
  <c r="A41752" i="19"/>
  <c r="A41751" i="19"/>
  <c r="A41750" i="19"/>
  <c r="A41749" i="19"/>
  <c r="A41748" i="19"/>
  <c r="A41747" i="19"/>
  <c r="A41746" i="19"/>
  <c r="A41745" i="19"/>
  <c r="A41744" i="19"/>
  <c r="A41743" i="19"/>
  <c r="A41742" i="19"/>
  <c r="A41741" i="19"/>
  <c r="A41740" i="19"/>
  <c r="A41739" i="19"/>
  <c r="A41738" i="19"/>
  <c r="A41737" i="19"/>
  <c r="A41736" i="19"/>
  <c r="A41735" i="19"/>
  <c r="A41734" i="19"/>
  <c r="A41733" i="19"/>
  <c r="A41732" i="19"/>
  <c r="A41731" i="19"/>
  <c r="A41730" i="19"/>
  <c r="A41729" i="19"/>
  <c r="A41728" i="19"/>
  <c r="A41727" i="19"/>
  <c r="A41726" i="19"/>
  <c r="A41725" i="19"/>
  <c r="A41724" i="19"/>
  <c r="A41723" i="19"/>
  <c r="A41722" i="19"/>
  <c r="A41721" i="19"/>
  <c r="A41720" i="19"/>
  <c r="A41719" i="19"/>
  <c r="A41718" i="19"/>
  <c r="A41717" i="19"/>
  <c r="A41716" i="19"/>
  <c r="A41715" i="19"/>
  <c r="A41714" i="19"/>
  <c r="A41713" i="19"/>
  <c r="A41712" i="19"/>
  <c r="A41711" i="19"/>
  <c r="A41710" i="19"/>
  <c r="A41709" i="19"/>
  <c r="A41708" i="19"/>
  <c r="A41707" i="19"/>
  <c r="A41706" i="19"/>
  <c r="A41705" i="19"/>
  <c r="A41704" i="19"/>
  <c r="A41703" i="19"/>
  <c r="A41702" i="19"/>
  <c r="A41701" i="19"/>
  <c r="A41700" i="19"/>
  <c r="A41699" i="19"/>
  <c r="A41698" i="19"/>
  <c r="A41697" i="19"/>
  <c r="A41696" i="19"/>
  <c r="A41695" i="19"/>
  <c r="A41694" i="19"/>
  <c r="A41693" i="19"/>
  <c r="A41692" i="19"/>
  <c r="A41691" i="19"/>
  <c r="A41690" i="19"/>
  <c r="A41689" i="19"/>
  <c r="A41688" i="19"/>
  <c r="A41687" i="19"/>
  <c r="A41686" i="19"/>
  <c r="A41685" i="19"/>
  <c r="A41684" i="19"/>
  <c r="A41683" i="19"/>
  <c r="A41682" i="19"/>
  <c r="A41681" i="19"/>
  <c r="A41680" i="19"/>
  <c r="A41679" i="19"/>
  <c r="A41678" i="19"/>
  <c r="A41677" i="19"/>
  <c r="A41676" i="19"/>
  <c r="A41675" i="19"/>
  <c r="A41674" i="19"/>
  <c r="A41673" i="19"/>
  <c r="A41672" i="19"/>
  <c r="A41671" i="19"/>
  <c r="A41670" i="19"/>
  <c r="A41669" i="19"/>
  <c r="A41668" i="19"/>
  <c r="A41667" i="19"/>
  <c r="A41666" i="19"/>
  <c r="A41665" i="19"/>
  <c r="A41664" i="19"/>
  <c r="A41663" i="19"/>
  <c r="A41662" i="19"/>
  <c r="A41661" i="19"/>
  <c r="A41660" i="19"/>
  <c r="A41659" i="19"/>
  <c r="A41658" i="19"/>
  <c r="A41657" i="19"/>
  <c r="A41656" i="19"/>
  <c r="A41655" i="19"/>
  <c r="A41654" i="19"/>
  <c r="A41653" i="19"/>
  <c r="A41652" i="19"/>
  <c r="A41651" i="19"/>
  <c r="A41650" i="19"/>
  <c r="A41649" i="19"/>
  <c r="A41648" i="19"/>
  <c r="A41647" i="19"/>
  <c r="A41646" i="19"/>
  <c r="A41645" i="19"/>
  <c r="A41644" i="19"/>
  <c r="A41643" i="19"/>
  <c r="A41642" i="19"/>
  <c r="A41641" i="19"/>
  <c r="A41640" i="19"/>
  <c r="A41639" i="19"/>
  <c r="A41638" i="19"/>
  <c r="A41637" i="19"/>
  <c r="A41636" i="19"/>
  <c r="A41635" i="19"/>
  <c r="A41634" i="19"/>
  <c r="A41633" i="19"/>
  <c r="A41632" i="19"/>
  <c r="A41631" i="19"/>
  <c r="A41630" i="19"/>
  <c r="A41629" i="19"/>
  <c r="A41628" i="19"/>
  <c r="A41627" i="19"/>
  <c r="A41626" i="19"/>
  <c r="A41625" i="19"/>
  <c r="A41624" i="19"/>
  <c r="A41623" i="19"/>
  <c r="A41622" i="19"/>
  <c r="A41621" i="19"/>
  <c r="A41620" i="19"/>
  <c r="A41619" i="19"/>
  <c r="A41618" i="19"/>
  <c r="A41617" i="19"/>
  <c r="A41616" i="19"/>
  <c r="A41615" i="19"/>
  <c r="A41614" i="19"/>
  <c r="A41613" i="19"/>
  <c r="A41612" i="19"/>
  <c r="A41611" i="19"/>
  <c r="A41610" i="19"/>
  <c r="A41609" i="19"/>
  <c r="A41608" i="19"/>
  <c r="A41607" i="19"/>
  <c r="A41606" i="19"/>
  <c r="A41605" i="19"/>
  <c r="A41604" i="19"/>
  <c r="A41603" i="19"/>
  <c r="A41602" i="19"/>
  <c r="A41601" i="19"/>
  <c r="A41600" i="19"/>
  <c r="A41599" i="19"/>
  <c r="A41598" i="19"/>
  <c r="A41597" i="19"/>
  <c r="A41596" i="19"/>
  <c r="A41595" i="19"/>
  <c r="A41594" i="19"/>
  <c r="A41593" i="19"/>
  <c r="A41592" i="19"/>
  <c r="A41591" i="19"/>
  <c r="A41590" i="19"/>
  <c r="A41589" i="19"/>
  <c r="A41588" i="19"/>
  <c r="A41587" i="19"/>
  <c r="A41586" i="19"/>
  <c r="A41585" i="19"/>
  <c r="A41584" i="19"/>
  <c r="A41583" i="19"/>
  <c r="A41582" i="19"/>
  <c r="A41581" i="19"/>
  <c r="A41580" i="19"/>
  <c r="A41579" i="19"/>
  <c r="A41578" i="19"/>
  <c r="A41577" i="19"/>
  <c r="A41576" i="19"/>
  <c r="A41575" i="19"/>
  <c r="A41574" i="19"/>
  <c r="A41573" i="19"/>
  <c r="A41572" i="19"/>
  <c r="A41571" i="19"/>
  <c r="A41570" i="19"/>
  <c r="A41569" i="19"/>
  <c r="A41568" i="19"/>
  <c r="A41567" i="19"/>
  <c r="A41566" i="19"/>
  <c r="A41565" i="19"/>
  <c r="A41564" i="19"/>
  <c r="A41563" i="19"/>
  <c r="A41562" i="19"/>
  <c r="A41561" i="19"/>
  <c r="A41560" i="19"/>
  <c r="A41559" i="19"/>
  <c r="A41558" i="19"/>
  <c r="A41557" i="19"/>
  <c r="A41556" i="19"/>
  <c r="A41555" i="19"/>
  <c r="A41554" i="19"/>
  <c r="A41553" i="19"/>
  <c r="A41552" i="19"/>
  <c r="A41551" i="19"/>
  <c r="A41550" i="19"/>
  <c r="A41549" i="19"/>
  <c r="A41548" i="19"/>
  <c r="A41547" i="19"/>
  <c r="A41546" i="19"/>
  <c r="A41545" i="19"/>
  <c r="A41544" i="19"/>
  <c r="A41543" i="19"/>
  <c r="A41542" i="19"/>
  <c r="A41541" i="19"/>
  <c r="A41540" i="19"/>
  <c r="A41539" i="19"/>
  <c r="A41538" i="19"/>
  <c r="A41537" i="19"/>
  <c r="A41536" i="19"/>
  <c r="A41535" i="19"/>
  <c r="A41534" i="19"/>
  <c r="A41533" i="19"/>
  <c r="A41532" i="19"/>
  <c r="A41531" i="19"/>
  <c r="A41530" i="19"/>
  <c r="A41529" i="19"/>
  <c r="A41528" i="19"/>
  <c r="A41527" i="19"/>
  <c r="A41526" i="19"/>
  <c r="A41525" i="19"/>
  <c r="A41524" i="19"/>
  <c r="A41523" i="19"/>
  <c r="A41522" i="19"/>
  <c r="A41521" i="19"/>
  <c r="A41520" i="19"/>
  <c r="A41519" i="19"/>
  <c r="A41518" i="19"/>
  <c r="A41517" i="19"/>
  <c r="A41516" i="19"/>
  <c r="A41515" i="19"/>
  <c r="A41514" i="19"/>
  <c r="A41513" i="19"/>
  <c r="A41512" i="19"/>
  <c r="A41511" i="19"/>
  <c r="A41510" i="19"/>
  <c r="A41509" i="19"/>
  <c r="A41508" i="19"/>
  <c r="A41507" i="19"/>
  <c r="A41506" i="19"/>
  <c r="A41505" i="19"/>
  <c r="A41504" i="19"/>
  <c r="A41503" i="19"/>
  <c r="A41502" i="19"/>
  <c r="A41501" i="19"/>
  <c r="A41500" i="19"/>
  <c r="A41499" i="19"/>
  <c r="A41498" i="19"/>
  <c r="A41497" i="19"/>
  <c r="A41496" i="19"/>
  <c r="A41495" i="19"/>
  <c r="A41494" i="19"/>
  <c r="A41493" i="19"/>
  <c r="A41492" i="19"/>
  <c r="A41491" i="19"/>
  <c r="A41490" i="19"/>
  <c r="A41489" i="19"/>
  <c r="A41488" i="19"/>
  <c r="A41487" i="19"/>
  <c r="A41486" i="19"/>
  <c r="A41485" i="19"/>
  <c r="A41484" i="19"/>
  <c r="A41483" i="19"/>
  <c r="A41482" i="19"/>
  <c r="A41481" i="19"/>
  <c r="A41480" i="19"/>
  <c r="A41479" i="19"/>
  <c r="A41478" i="19"/>
  <c r="A41477" i="19"/>
  <c r="A41476" i="19"/>
  <c r="A41475" i="19"/>
  <c r="A41474" i="19"/>
  <c r="A41473" i="19"/>
  <c r="A41472" i="19"/>
  <c r="A41471" i="19"/>
  <c r="A41470" i="19"/>
  <c r="A41469" i="19"/>
  <c r="A41468" i="19"/>
  <c r="A41467" i="19"/>
  <c r="A41466" i="19"/>
  <c r="A41465" i="19"/>
  <c r="A41464" i="19"/>
  <c r="A41463" i="19"/>
  <c r="A41462" i="19"/>
  <c r="A41461" i="19"/>
  <c r="A41460" i="19"/>
  <c r="A41459" i="19"/>
  <c r="A41458" i="19"/>
  <c r="A41457" i="19"/>
  <c r="A41456" i="19"/>
  <c r="A41455" i="19"/>
  <c r="A41454" i="19"/>
  <c r="A41453" i="19"/>
  <c r="A41452" i="19"/>
  <c r="A41451" i="19"/>
  <c r="A41450" i="19"/>
  <c r="A41449" i="19"/>
  <c r="A41448" i="19"/>
  <c r="A41447" i="19"/>
  <c r="A41446" i="19"/>
  <c r="A41445" i="19"/>
  <c r="A41444" i="19"/>
  <c r="A41443" i="19"/>
  <c r="A41442" i="19"/>
  <c r="A41441" i="19"/>
  <c r="A41440" i="19"/>
  <c r="A41439" i="19"/>
  <c r="A41438" i="19"/>
  <c r="A41437" i="19"/>
  <c r="A41436" i="19"/>
  <c r="A41435" i="19"/>
  <c r="A41434" i="19"/>
  <c r="A41433" i="19"/>
  <c r="A41432" i="19"/>
  <c r="A41431" i="19"/>
  <c r="A41430" i="19"/>
  <c r="A41429" i="19"/>
  <c r="A41428" i="19"/>
  <c r="A41427" i="19"/>
  <c r="A41426" i="19"/>
  <c r="A41425" i="19"/>
  <c r="A41424" i="19"/>
  <c r="A41423" i="19"/>
  <c r="A41422" i="19"/>
  <c r="A41421" i="19"/>
  <c r="A41420" i="19"/>
  <c r="A41419" i="19"/>
  <c r="A41418" i="19"/>
  <c r="A41417" i="19"/>
  <c r="A41416" i="19"/>
  <c r="A41415" i="19"/>
  <c r="A41414" i="19"/>
  <c r="A41413" i="19"/>
  <c r="A41412" i="19"/>
  <c r="A41411" i="19"/>
  <c r="A41410" i="19"/>
  <c r="A41409" i="19"/>
  <c r="A41408" i="19"/>
  <c r="A41407" i="19"/>
  <c r="A41406" i="19"/>
  <c r="A41405" i="19"/>
  <c r="A41404" i="19"/>
  <c r="A41403" i="19"/>
  <c r="A41402" i="19"/>
  <c r="A41401" i="19"/>
  <c r="A41400" i="19"/>
  <c r="A41399" i="19"/>
  <c r="A41398" i="19"/>
  <c r="A41397" i="19"/>
  <c r="A41396" i="19"/>
  <c r="A41395" i="19"/>
  <c r="A41394" i="19"/>
  <c r="A41393" i="19"/>
  <c r="A41392" i="19"/>
  <c r="A41391" i="19"/>
  <c r="A41390" i="19"/>
  <c r="A41389" i="19"/>
  <c r="A41388" i="19"/>
  <c r="A41387" i="19"/>
  <c r="A41386" i="19"/>
  <c r="A41385" i="19"/>
  <c r="A41384" i="19"/>
  <c r="A41383" i="19"/>
  <c r="A41382" i="19"/>
  <c r="A41381" i="19"/>
  <c r="A41380" i="19"/>
  <c r="A41379" i="19"/>
  <c r="A41378" i="19"/>
  <c r="A41377" i="19"/>
  <c r="A41376" i="19"/>
  <c r="A41375" i="19"/>
  <c r="A41374" i="19"/>
  <c r="A41373" i="19"/>
  <c r="A41372" i="19"/>
  <c r="A41371" i="19"/>
  <c r="A41370" i="19"/>
  <c r="A41369" i="19"/>
  <c r="A41368" i="19"/>
  <c r="A41367" i="19"/>
  <c r="A41366" i="19"/>
  <c r="A41365" i="19"/>
  <c r="A41364" i="19"/>
  <c r="A41363" i="19"/>
  <c r="A41362" i="19"/>
  <c r="A41361" i="19"/>
  <c r="A41360" i="19"/>
  <c r="A41359" i="19"/>
  <c r="A41358" i="19"/>
  <c r="A41357" i="19"/>
  <c r="A41356" i="19"/>
  <c r="A41355" i="19"/>
  <c r="A41354" i="19"/>
  <c r="A41353" i="19"/>
  <c r="A41352" i="19"/>
  <c r="A41351" i="19"/>
  <c r="A41350" i="19"/>
  <c r="A41349" i="19"/>
  <c r="A41348" i="19"/>
  <c r="A41347" i="19"/>
  <c r="A41346" i="19"/>
  <c r="A41345" i="19"/>
  <c r="A41344" i="19"/>
  <c r="A41343" i="19"/>
  <c r="A41342" i="19"/>
  <c r="A41341" i="19"/>
  <c r="A41340" i="19"/>
  <c r="A41339" i="19"/>
  <c r="A41338" i="19"/>
  <c r="A41337" i="19"/>
  <c r="A41336" i="19"/>
  <c r="A41335" i="19"/>
  <c r="A41334" i="19"/>
  <c r="A41333" i="19"/>
  <c r="A41332" i="19"/>
  <c r="A41331" i="19"/>
  <c r="A41330" i="19"/>
  <c r="A41329" i="19"/>
  <c r="A41328" i="19"/>
  <c r="A41327" i="19"/>
  <c r="A41326" i="19"/>
  <c r="A41325" i="19"/>
  <c r="A41324" i="19"/>
  <c r="A41323" i="19"/>
  <c r="A41322" i="19"/>
  <c r="A41321" i="19"/>
  <c r="A41320" i="19"/>
  <c r="A41319" i="19"/>
  <c r="A41318" i="19"/>
  <c r="A41317" i="19"/>
  <c r="A41316" i="19"/>
  <c r="A41315" i="19"/>
  <c r="A41314" i="19"/>
  <c r="A41313" i="19"/>
  <c r="A41312" i="19"/>
  <c r="A41311" i="19"/>
  <c r="A41310" i="19"/>
  <c r="A41309" i="19"/>
  <c r="A41308" i="19"/>
  <c r="A41307" i="19"/>
  <c r="A41306" i="19"/>
  <c r="A41305" i="19"/>
  <c r="A41304" i="19"/>
  <c r="A41303" i="19"/>
  <c r="A41302" i="19"/>
  <c r="A41301" i="19"/>
  <c r="A41300" i="19"/>
  <c r="A41299" i="19"/>
  <c r="A41298" i="19"/>
  <c r="A41297" i="19"/>
  <c r="A41296" i="19"/>
  <c r="A41295" i="19"/>
  <c r="A41294" i="19"/>
  <c r="A41293" i="19"/>
  <c r="A41292" i="19"/>
  <c r="A41291" i="19"/>
  <c r="A41290" i="19"/>
  <c r="A41289" i="19"/>
  <c r="A41288" i="19"/>
  <c r="A41287" i="19"/>
  <c r="A41286" i="19"/>
  <c r="A41285" i="19"/>
  <c r="A41284" i="19"/>
  <c r="A41283" i="19"/>
  <c r="A41282" i="19"/>
  <c r="A41281" i="19"/>
  <c r="A41280" i="19"/>
  <c r="A41279" i="19"/>
  <c r="A41278" i="19"/>
  <c r="A41277" i="19"/>
  <c r="A41276" i="19"/>
  <c r="A41275" i="19"/>
  <c r="A41274" i="19"/>
  <c r="A41273" i="19"/>
  <c r="A41272" i="19"/>
  <c r="A41271" i="19"/>
  <c r="A41270" i="19"/>
  <c r="A41269" i="19"/>
  <c r="A41268" i="19"/>
  <c r="A41267" i="19"/>
  <c r="A41266" i="19"/>
  <c r="A41265" i="19"/>
  <c r="A41264" i="19"/>
  <c r="A41263" i="19"/>
  <c r="A41262" i="19"/>
  <c r="A41261" i="19"/>
  <c r="A41260" i="19"/>
  <c r="A41259" i="19"/>
  <c r="A41258" i="19"/>
  <c r="A41257" i="19"/>
  <c r="A41256" i="19"/>
  <c r="A41255" i="19"/>
  <c r="A41254" i="19"/>
  <c r="A41253" i="19"/>
  <c r="A41252" i="19"/>
  <c r="A41251" i="19"/>
  <c r="A41250" i="19"/>
  <c r="A41249" i="19"/>
  <c r="A41248" i="19"/>
  <c r="A41247" i="19"/>
  <c r="A41246" i="19"/>
  <c r="A41245" i="19"/>
  <c r="A41244" i="19"/>
  <c r="A41243" i="19"/>
  <c r="A41242" i="19"/>
  <c r="A41241" i="19"/>
  <c r="A41240" i="19"/>
  <c r="A41239" i="19"/>
  <c r="A41238" i="19"/>
  <c r="A41237" i="19"/>
  <c r="A41236" i="19"/>
  <c r="A41235" i="19"/>
  <c r="A41234" i="19"/>
  <c r="A41233" i="19"/>
  <c r="A41232" i="19"/>
  <c r="A41231" i="19"/>
  <c r="A41230" i="19"/>
  <c r="A41229" i="19"/>
  <c r="A41228" i="19"/>
  <c r="A41227" i="19"/>
  <c r="A41226" i="19"/>
  <c r="A41225" i="19"/>
  <c r="A41224" i="19"/>
  <c r="A41223" i="19"/>
  <c r="A41222" i="19"/>
  <c r="A41221" i="19"/>
  <c r="A41220" i="19"/>
  <c r="A41219" i="19"/>
  <c r="A41218" i="19"/>
  <c r="A41217" i="19"/>
  <c r="A41216" i="19"/>
  <c r="A41215" i="19"/>
  <c r="A41214" i="19"/>
  <c r="A41213" i="19"/>
  <c r="A41212" i="19"/>
  <c r="A41211" i="19"/>
  <c r="A41210" i="19"/>
  <c r="A41209" i="19"/>
  <c r="A41208" i="19"/>
  <c r="A41207" i="19"/>
  <c r="A41206" i="19"/>
  <c r="A41205" i="19"/>
  <c r="A41204" i="19"/>
  <c r="A41203" i="19"/>
  <c r="A41202" i="19"/>
  <c r="A41201" i="19"/>
  <c r="A41200" i="19"/>
  <c r="A41199" i="19"/>
  <c r="A41198" i="19"/>
  <c r="A41197" i="19"/>
  <c r="A41196" i="19"/>
  <c r="A41195" i="19"/>
  <c r="A41194" i="19"/>
  <c r="A41193" i="19"/>
  <c r="A41192" i="19"/>
  <c r="A41191" i="19"/>
  <c r="A41190" i="19"/>
  <c r="A41189" i="19"/>
  <c r="A41188" i="19"/>
  <c r="A41187" i="19"/>
  <c r="A41186" i="19"/>
  <c r="A41185" i="19"/>
  <c r="A41184" i="19"/>
  <c r="A41183" i="19"/>
  <c r="A41182" i="19"/>
  <c r="A41181" i="19"/>
  <c r="A41180" i="19"/>
  <c r="A41179" i="19"/>
  <c r="A41178" i="19"/>
  <c r="A41177" i="19"/>
  <c r="A41176" i="19"/>
  <c r="A41175" i="19"/>
  <c r="A41174" i="19"/>
  <c r="A41173" i="19"/>
  <c r="A41172" i="19"/>
  <c r="A41171" i="19"/>
  <c r="A41170" i="19"/>
  <c r="A41169" i="19"/>
  <c r="A41168" i="19"/>
  <c r="A41167" i="19"/>
  <c r="A41166" i="19"/>
  <c r="A41165" i="19"/>
  <c r="A41164" i="19"/>
  <c r="A41163" i="19"/>
  <c r="A41162" i="19"/>
  <c r="A41161" i="19"/>
  <c r="A41160" i="19"/>
  <c r="A41159" i="19"/>
  <c r="A41158" i="19"/>
  <c r="A41157" i="19"/>
  <c r="A41156" i="19"/>
  <c r="A41155" i="19"/>
  <c r="A41154" i="19"/>
  <c r="A41153" i="19"/>
  <c r="A41152" i="19"/>
  <c r="A41151" i="19"/>
  <c r="A41150" i="19"/>
  <c r="A41149" i="19"/>
  <c r="A41148" i="19"/>
  <c r="A41147" i="19"/>
  <c r="A41146" i="19"/>
  <c r="A41145" i="19"/>
  <c r="A41144" i="19"/>
  <c r="A41143" i="19"/>
  <c r="A41142" i="19"/>
  <c r="A41141" i="19"/>
  <c r="A41140" i="19"/>
  <c r="A41139" i="19"/>
  <c r="A41138" i="19"/>
  <c r="A41137" i="19"/>
  <c r="A41136" i="19"/>
  <c r="A41135" i="19"/>
  <c r="A41134" i="19"/>
  <c r="A41133" i="19"/>
  <c r="A41132" i="19"/>
  <c r="A41131" i="19"/>
  <c r="A41130" i="19"/>
  <c r="A41129" i="19"/>
  <c r="A41128" i="19"/>
  <c r="A41127" i="19"/>
  <c r="A41126" i="19"/>
  <c r="A41125" i="19"/>
  <c r="A41124" i="19"/>
  <c r="A41123" i="19"/>
  <c r="A41122" i="19"/>
  <c r="A41121" i="19"/>
  <c r="A41120" i="19"/>
  <c r="A41119" i="19"/>
  <c r="A41118" i="19"/>
  <c r="A41117" i="19"/>
  <c r="A41116" i="19"/>
  <c r="A41115" i="19"/>
  <c r="A41114" i="19"/>
  <c r="A41113" i="19"/>
  <c r="A41112" i="19"/>
  <c r="A41111" i="19"/>
  <c r="A41110" i="19"/>
  <c r="A41109" i="19"/>
  <c r="A41108" i="19"/>
  <c r="A41107" i="19"/>
  <c r="A41106" i="19"/>
  <c r="A41105" i="19"/>
  <c r="A41104" i="19"/>
  <c r="A41103" i="19"/>
  <c r="A41102" i="19"/>
  <c r="A41101" i="19"/>
  <c r="A41100" i="19"/>
  <c r="A41099" i="19"/>
  <c r="A41098" i="19"/>
  <c r="A41097" i="19"/>
  <c r="A41096" i="19"/>
  <c r="A41095" i="19"/>
  <c r="A41094" i="19"/>
  <c r="A41093" i="19"/>
  <c r="A41092" i="19"/>
  <c r="A41091" i="19"/>
  <c r="A41090" i="19"/>
  <c r="A41089" i="19"/>
  <c r="A41088" i="19"/>
  <c r="A41087" i="19"/>
  <c r="A41086" i="19"/>
  <c r="A41085" i="19"/>
  <c r="A41084" i="19"/>
  <c r="A41083" i="19"/>
  <c r="A41082" i="19"/>
  <c r="A41081" i="19"/>
  <c r="A41080" i="19"/>
  <c r="A41079" i="19"/>
  <c r="A41078" i="19"/>
  <c r="A41077" i="19"/>
  <c r="A41076" i="19"/>
  <c r="A41075" i="19"/>
  <c r="A41074" i="19"/>
  <c r="A41073" i="19"/>
  <c r="A41072" i="19"/>
  <c r="A41071" i="19"/>
  <c r="A41070" i="19"/>
  <c r="A41069" i="19"/>
  <c r="A41068" i="19"/>
  <c r="A41067" i="19"/>
  <c r="A41066" i="19"/>
  <c r="A41065" i="19"/>
  <c r="A41064" i="19"/>
  <c r="A41063" i="19"/>
  <c r="A41062" i="19"/>
  <c r="A41061" i="19"/>
  <c r="A41060" i="19"/>
  <c r="A41059" i="19"/>
  <c r="A41058" i="19"/>
  <c r="A41057" i="19"/>
  <c r="A41056" i="19"/>
  <c r="A41055" i="19"/>
  <c r="A41054" i="19"/>
  <c r="A41053" i="19"/>
  <c r="A41052" i="19"/>
  <c r="A41051" i="19"/>
  <c r="A41050" i="19"/>
  <c r="A41049" i="19"/>
  <c r="A41048" i="19"/>
  <c r="A41047" i="19"/>
  <c r="A41046" i="19"/>
  <c r="A41045" i="19"/>
  <c r="A41044" i="19"/>
  <c r="A41043" i="19"/>
  <c r="A41042" i="19"/>
  <c r="A41041" i="19"/>
  <c r="A41040" i="19"/>
  <c r="A41039" i="19"/>
  <c r="A41038" i="19"/>
  <c r="A41037" i="19"/>
  <c r="A41036" i="19"/>
  <c r="A41035" i="19"/>
  <c r="A41034" i="19"/>
  <c r="A41033" i="19"/>
  <c r="A41032" i="19"/>
  <c r="A41031" i="19"/>
  <c r="A41030" i="19"/>
  <c r="A41029" i="19"/>
  <c r="A41028" i="19"/>
  <c r="A41027" i="19"/>
  <c r="A41026" i="19"/>
  <c r="A41025" i="19"/>
  <c r="A41024" i="19"/>
  <c r="A41023" i="19"/>
  <c r="A41022" i="19"/>
  <c r="A41021" i="19"/>
  <c r="A41020" i="19"/>
  <c r="A41019" i="19"/>
  <c r="A41018" i="19"/>
  <c r="A41017" i="19"/>
  <c r="A41016" i="19"/>
  <c r="A41015" i="19"/>
  <c r="A41014" i="19"/>
  <c r="A41013" i="19"/>
  <c r="A41012" i="19"/>
  <c r="A41011" i="19"/>
  <c r="A41010" i="19"/>
  <c r="A41009" i="19"/>
  <c r="A41008" i="19"/>
  <c r="A41007" i="19"/>
  <c r="A41006" i="19"/>
  <c r="A41005" i="19"/>
  <c r="A41004" i="19"/>
  <c r="A41003" i="19"/>
  <c r="A41002" i="19"/>
  <c r="A41001" i="19"/>
  <c r="A41000" i="19"/>
  <c r="A40999" i="19"/>
  <c r="A40998" i="19"/>
  <c r="A40997" i="19"/>
  <c r="A40996" i="19"/>
  <c r="A40995" i="19"/>
  <c r="A40994" i="19"/>
  <c r="A40993" i="19"/>
  <c r="A40992" i="19"/>
  <c r="A40991" i="19"/>
  <c r="A40990" i="19"/>
  <c r="A40989" i="19"/>
  <c r="A40988" i="19"/>
  <c r="A40987" i="19"/>
  <c r="A40986" i="19"/>
  <c r="A40985" i="19"/>
  <c r="A40984" i="19"/>
  <c r="A40983" i="19"/>
  <c r="A40982" i="19"/>
  <c r="A40981" i="19"/>
  <c r="A40980" i="19"/>
  <c r="A40979" i="19"/>
  <c r="A40978" i="19"/>
  <c r="A40977" i="19"/>
  <c r="A40976" i="19"/>
  <c r="A40975" i="19"/>
  <c r="A40974" i="19"/>
  <c r="A40973" i="19"/>
  <c r="A40972" i="19"/>
  <c r="A40971" i="19"/>
  <c r="A40970" i="19"/>
  <c r="A40969" i="19"/>
  <c r="A40968" i="19"/>
  <c r="A40967" i="19"/>
  <c r="A40966" i="19"/>
  <c r="A40965" i="19"/>
  <c r="A40964" i="19"/>
  <c r="A40963" i="19"/>
  <c r="A40962" i="19"/>
  <c r="A40961" i="19"/>
  <c r="A40960" i="19"/>
  <c r="A40959" i="19"/>
  <c r="A40958" i="19"/>
  <c r="A40957" i="19"/>
  <c r="A40956" i="19"/>
  <c r="A40955" i="19"/>
  <c r="A40954" i="19"/>
  <c r="A40953" i="19"/>
  <c r="A40952" i="19"/>
  <c r="A40951" i="19"/>
  <c r="A40950" i="19"/>
  <c r="A40949" i="19"/>
  <c r="A40948" i="19"/>
  <c r="A40947" i="19"/>
  <c r="A40946" i="19"/>
  <c r="A40945" i="19"/>
  <c r="A40944" i="19"/>
  <c r="A40943" i="19"/>
  <c r="A40942" i="19"/>
  <c r="A40941" i="19"/>
  <c r="A40940" i="19"/>
  <c r="A40939" i="19"/>
  <c r="A40938" i="19"/>
  <c r="A40937" i="19"/>
  <c r="A40936" i="19"/>
  <c r="A40935" i="19"/>
  <c r="A40934" i="19"/>
  <c r="A40933" i="19"/>
  <c r="A40932" i="19"/>
  <c r="A40931" i="19"/>
  <c r="A40930" i="19"/>
  <c r="A40929" i="19"/>
  <c r="A40928" i="19"/>
  <c r="A40927" i="19"/>
  <c r="A40926" i="19"/>
  <c r="A40925" i="19"/>
  <c r="A40924" i="19"/>
  <c r="A40923" i="19"/>
  <c r="A40922" i="19"/>
  <c r="A40921" i="19"/>
  <c r="A40920" i="19"/>
  <c r="A40919" i="19"/>
  <c r="A40918" i="19"/>
  <c r="A40917" i="19"/>
  <c r="A40916" i="19"/>
  <c r="A40915" i="19"/>
  <c r="A40914" i="19"/>
  <c r="A40913" i="19"/>
  <c r="A40912" i="19"/>
  <c r="A40911" i="19"/>
  <c r="A40910" i="19"/>
  <c r="A40909" i="19"/>
  <c r="A40908" i="19"/>
  <c r="A40907" i="19"/>
  <c r="A40906" i="19"/>
  <c r="A40905" i="19"/>
  <c r="A40904" i="19"/>
  <c r="A40903" i="19"/>
  <c r="A40902" i="19"/>
  <c r="A40901" i="19"/>
  <c r="A40900" i="19"/>
  <c r="A40899" i="19"/>
  <c r="A40898" i="19"/>
  <c r="A40897" i="19"/>
  <c r="A40896" i="19"/>
  <c r="A40895" i="19"/>
  <c r="A40894" i="19"/>
  <c r="A40893" i="19"/>
  <c r="A40892" i="19"/>
  <c r="A40891" i="19"/>
  <c r="A40890" i="19"/>
  <c r="A40889" i="19"/>
  <c r="A40888" i="19"/>
  <c r="A40887" i="19"/>
  <c r="A40886" i="19"/>
  <c r="A40885" i="19"/>
  <c r="A40884" i="19"/>
  <c r="A40883" i="19"/>
  <c r="A40882" i="19"/>
  <c r="A40881" i="19"/>
  <c r="A40880" i="19"/>
  <c r="A40879" i="19"/>
  <c r="A40878" i="19"/>
  <c r="A40877" i="19"/>
  <c r="A40876" i="19"/>
  <c r="A40875" i="19"/>
  <c r="A40874" i="19"/>
  <c r="A40873" i="19"/>
  <c r="A40872" i="19"/>
  <c r="A40871" i="19"/>
  <c r="A40870" i="19"/>
  <c r="A40869" i="19"/>
  <c r="A40868" i="19"/>
  <c r="A40867" i="19"/>
  <c r="A40866" i="19"/>
  <c r="A40865" i="19"/>
  <c r="A40864" i="19"/>
  <c r="A40863" i="19"/>
  <c r="A40862" i="19"/>
  <c r="A40861" i="19"/>
  <c r="A40860" i="19"/>
  <c r="A40859" i="19"/>
  <c r="A40858" i="19"/>
  <c r="A40857" i="19"/>
  <c r="A40856" i="19"/>
  <c r="A40855" i="19"/>
  <c r="A40854" i="19"/>
  <c r="A40853" i="19"/>
  <c r="A40852" i="19"/>
  <c r="A40851" i="19"/>
  <c r="A40850" i="19"/>
  <c r="A40849" i="19"/>
  <c r="A40848" i="19"/>
  <c r="A40847" i="19"/>
  <c r="A40846" i="19"/>
  <c r="A40845" i="19"/>
  <c r="A40844" i="19"/>
  <c r="A40843" i="19"/>
  <c r="A40842" i="19"/>
  <c r="A40841" i="19"/>
  <c r="A40840" i="19"/>
  <c r="A40839" i="19"/>
  <c r="A40838" i="19"/>
  <c r="A40837" i="19"/>
  <c r="A40836" i="19"/>
  <c r="A40835" i="19"/>
  <c r="A40834" i="19"/>
  <c r="A40833" i="19"/>
  <c r="A40832" i="19"/>
  <c r="A40831" i="19"/>
  <c r="A40830" i="19"/>
  <c r="A40829" i="19"/>
  <c r="A40828" i="19"/>
  <c r="A40827" i="19"/>
  <c r="A40826" i="19"/>
  <c r="A40825" i="19"/>
  <c r="A40824" i="19"/>
  <c r="A40823" i="19"/>
  <c r="A40822" i="19"/>
  <c r="A40821" i="19"/>
  <c r="A40820" i="19"/>
  <c r="A40819" i="19"/>
  <c r="A40818" i="19"/>
  <c r="A40817" i="19"/>
  <c r="A40816" i="19"/>
  <c r="A40815" i="19"/>
  <c r="A40814" i="19"/>
  <c r="A40813" i="19"/>
  <c r="A40812" i="19"/>
  <c r="A40811" i="19"/>
  <c r="A40810" i="19"/>
  <c r="A40809" i="19"/>
  <c r="A40808" i="19"/>
  <c r="A40807" i="19"/>
  <c r="A40806" i="19"/>
  <c r="A40805" i="19"/>
  <c r="A40804" i="19"/>
  <c r="A40803" i="19"/>
  <c r="A40802" i="19"/>
  <c r="A40801" i="19"/>
  <c r="A40800" i="19"/>
  <c r="A40799" i="19"/>
  <c r="A40798" i="19"/>
  <c r="A40797" i="19"/>
  <c r="A40796" i="19"/>
  <c r="A40795" i="19"/>
  <c r="A40794" i="19"/>
  <c r="A40793" i="19"/>
  <c r="A40792" i="19"/>
  <c r="A40791" i="19"/>
  <c r="A40790" i="19"/>
  <c r="A40789" i="19"/>
  <c r="A40788" i="19"/>
  <c r="A40787" i="19"/>
  <c r="A40786" i="19"/>
  <c r="A40785" i="19"/>
  <c r="A40784" i="19"/>
  <c r="A40783" i="19"/>
  <c r="A40782" i="19"/>
  <c r="A40781" i="19"/>
  <c r="A40780" i="19"/>
  <c r="A40779" i="19"/>
  <c r="A40778" i="19"/>
  <c r="A40777" i="19"/>
  <c r="A40776" i="19"/>
  <c r="A40775" i="19"/>
  <c r="A40774" i="19"/>
  <c r="A40773" i="19"/>
  <c r="A40772" i="19"/>
  <c r="A40771" i="19"/>
  <c r="A40770" i="19"/>
  <c r="A40769" i="19"/>
  <c r="A40768" i="19"/>
  <c r="A40767" i="19"/>
  <c r="A40766" i="19"/>
  <c r="A40765" i="19"/>
  <c r="A40764" i="19"/>
  <c r="A40763" i="19"/>
  <c r="A40762" i="19"/>
  <c r="A40761" i="19"/>
  <c r="A40760" i="19"/>
  <c r="A40759" i="19"/>
  <c r="A40758" i="19"/>
  <c r="A40757" i="19"/>
  <c r="A40756" i="19"/>
  <c r="A40755" i="19"/>
  <c r="A40754" i="19"/>
  <c r="A40753" i="19"/>
  <c r="A40752" i="19"/>
  <c r="A40751" i="19"/>
  <c r="A40750" i="19"/>
  <c r="A40749" i="19"/>
  <c r="A40748" i="19"/>
  <c r="A40747" i="19"/>
  <c r="A40746" i="19"/>
  <c r="A40745" i="19"/>
  <c r="A40744" i="19"/>
  <c r="A40743" i="19"/>
  <c r="A40742" i="19"/>
  <c r="A40741" i="19"/>
  <c r="A40740" i="19"/>
  <c r="A40739" i="19"/>
  <c r="A40738" i="19"/>
  <c r="A40737" i="19"/>
  <c r="A40736" i="19"/>
  <c r="A40735" i="19"/>
  <c r="A40734" i="19"/>
  <c r="A40733" i="19"/>
  <c r="A40732" i="19"/>
  <c r="A40731" i="19"/>
  <c r="A40730" i="19"/>
  <c r="A40729" i="19"/>
  <c r="A40728" i="19"/>
  <c r="A40727" i="19"/>
  <c r="A40726" i="19"/>
  <c r="A40725" i="19"/>
  <c r="A40724" i="19"/>
  <c r="A40723" i="19"/>
  <c r="A40722" i="19"/>
  <c r="A40721" i="19"/>
  <c r="A40720" i="19"/>
  <c r="A40719" i="19"/>
  <c r="A40718" i="19"/>
  <c r="A40717" i="19"/>
  <c r="A40716" i="19"/>
  <c r="A40715" i="19"/>
  <c r="A40714" i="19"/>
  <c r="A40713" i="19"/>
  <c r="A40712" i="19"/>
  <c r="A40711" i="19"/>
  <c r="A40710" i="19"/>
  <c r="A40709" i="19"/>
  <c r="A40708" i="19"/>
  <c r="A40707" i="19"/>
  <c r="A40706" i="19"/>
  <c r="A40705" i="19"/>
  <c r="A40704" i="19"/>
  <c r="A40703" i="19"/>
  <c r="A40702" i="19"/>
  <c r="A40701" i="19"/>
  <c r="A40700" i="19"/>
  <c r="A40699" i="19"/>
  <c r="A40698" i="19"/>
  <c r="A40697" i="19"/>
  <c r="A40696" i="19"/>
  <c r="A40695" i="19"/>
  <c r="A40694" i="19"/>
  <c r="A40693" i="19"/>
  <c r="A40692" i="19"/>
  <c r="A40691" i="19"/>
  <c r="A40690" i="19"/>
  <c r="A40689" i="19"/>
  <c r="A40688" i="19"/>
  <c r="A40687" i="19"/>
  <c r="A40686" i="19"/>
  <c r="A40685" i="19"/>
  <c r="A40684" i="19"/>
  <c r="A40683" i="19"/>
  <c r="A40682" i="19"/>
  <c r="A40681" i="19"/>
  <c r="A40680" i="19"/>
  <c r="A40679" i="19"/>
  <c r="A40678" i="19"/>
  <c r="A40677" i="19"/>
  <c r="A40676" i="19"/>
  <c r="A40675" i="19"/>
  <c r="A40674" i="19"/>
  <c r="A40673" i="19"/>
  <c r="A40672" i="19"/>
  <c r="A40671" i="19"/>
  <c r="A40670" i="19"/>
  <c r="A40669" i="19"/>
  <c r="A40668" i="19"/>
  <c r="A40667" i="19"/>
  <c r="A40666" i="19"/>
  <c r="A40665" i="19"/>
  <c r="A40664" i="19"/>
  <c r="A40663" i="19"/>
  <c r="A40662" i="19"/>
  <c r="A40661" i="19"/>
  <c r="A40660" i="19"/>
  <c r="A40659" i="19"/>
  <c r="A40658" i="19"/>
  <c r="A40657" i="19"/>
  <c r="A40656" i="19"/>
  <c r="A40655" i="19"/>
  <c r="A40654" i="19"/>
  <c r="A40653" i="19"/>
  <c r="A40652" i="19"/>
  <c r="A40651" i="19"/>
  <c r="A40650" i="19"/>
  <c r="A40649" i="19"/>
  <c r="A40648" i="19"/>
  <c r="A40647" i="19"/>
  <c r="A40646" i="19"/>
  <c r="A40645" i="19"/>
  <c r="A40644" i="19"/>
  <c r="A40643" i="19"/>
  <c r="A40642" i="19"/>
  <c r="A40641" i="19"/>
  <c r="A40640" i="19"/>
  <c r="A40639" i="19"/>
  <c r="A40638" i="19"/>
  <c r="A40637" i="19"/>
  <c r="A40636" i="19"/>
  <c r="A40635" i="19"/>
  <c r="A40634" i="19"/>
  <c r="A40633" i="19"/>
  <c r="A40632" i="19"/>
  <c r="A40631" i="19"/>
  <c r="A40630" i="19"/>
  <c r="A40629" i="19"/>
  <c r="A40628" i="19"/>
  <c r="A40627" i="19"/>
  <c r="A40626" i="19"/>
  <c r="A40625" i="19"/>
  <c r="A40624" i="19"/>
  <c r="A40623" i="19"/>
  <c r="A40622" i="19"/>
  <c r="A40621" i="19"/>
  <c r="A40620" i="19"/>
  <c r="A40619" i="19"/>
  <c r="A40618" i="19"/>
  <c r="A40617" i="19"/>
  <c r="A40616" i="19"/>
  <c r="A40615" i="19"/>
  <c r="A40614" i="19"/>
  <c r="A40613" i="19"/>
  <c r="A40612" i="19"/>
  <c r="A40611" i="19"/>
  <c r="A40610" i="19"/>
  <c r="A40609" i="19"/>
  <c r="A40608" i="19"/>
  <c r="A40607" i="19"/>
  <c r="A40606" i="19"/>
  <c r="A40605" i="19"/>
  <c r="A40604" i="19"/>
  <c r="A40603" i="19"/>
  <c r="A40602" i="19"/>
  <c r="A40601" i="19"/>
  <c r="A40600" i="19"/>
  <c r="A40599" i="19"/>
  <c r="A40598" i="19"/>
  <c r="A40597" i="19"/>
  <c r="A40596" i="19"/>
  <c r="A40595" i="19"/>
  <c r="A40594" i="19"/>
  <c r="A40593" i="19"/>
  <c r="A40592" i="19"/>
  <c r="A40591" i="19"/>
  <c r="A40590" i="19"/>
  <c r="A40589" i="19"/>
  <c r="A40588" i="19"/>
  <c r="A40587" i="19"/>
  <c r="A40586" i="19"/>
  <c r="A40585" i="19"/>
  <c r="A40584" i="19"/>
  <c r="A40583" i="19"/>
  <c r="A40582" i="19"/>
  <c r="A40581" i="19"/>
  <c r="A40580" i="19"/>
  <c r="A40579" i="19"/>
  <c r="A40578" i="19"/>
  <c r="A40577" i="19"/>
  <c r="A40576" i="19"/>
  <c r="A40575" i="19"/>
  <c r="A40574" i="19"/>
  <c r="A40573" i="19"/>
  <c r="A40572" i="19"/>
  <c r="A40571" i="19"/>
  <c r="A40570" i="19"/>
  <c r="A40569" i="19"/>
  <c r="A40568" i="19"/>
  <c r="A40567" i="19"/>
  <c r="A40566" i="19"/>
  <c r="A40565" i="19"/>
  <c r="A40564" i="19"/>
  <c r="A40563" i="19"/>
  <c r="A40562" i="19"/>
  <c r="A40561" i="19"/>
  <c r="A40560" i="19"/>
  <c r="A40559" i="19"/>
  <c r="A40558" i="19"/>
  <c r="A40557" i="19"/>
  <c r="A40556" i="19"/>
  <c r="A40555" i="19"/>
  <c r="A40554" i="19"/>
  <c r="A40553" i="19"/>
  <c r="A40552" i="19"/>
  <c r="A40551" i="19"/>
  <c r="A40550" i="19"/>
  <c r="A40549" i="19"/>
  <c r="A40548" i="19"/>
  <c r="A40547" i="19"/>
  <c r="A40546" i="19"/>
  <c r="A40545" i="19"/>
  <c r="A40544" i="19"/>
  <c r="A40543" i="19"/>
  <c r="A40542" i="19"/>
  <c r="A40541" i="19"/>
  <c r="A40540" i="19"/>
  <c r="A40539" i="19"/>
  <c r="A40538" i="19"/>
  <c r="A40537" i="19"/>
  <c r="A40536" i="19"/>
  <c r="A40535" i="19"/>
  <c r="A40534" i="19"/>
  <c r="A40533" i="19"/>
  <c r="A40532" i="19"/>
  <c r="A40531" i="19"/>
  <c r="A40530" i="19"/>
  <c r="A40529" i="19"/>
  <c r="A40528" i="19"/>
  <c r="A40527" i="19"/>
  <c r="A40526" i="19"/>
  <c r="A40525" i="19"/>
  <c r="A40524" i="19"/>
  <c r="A40523" i="19"/>
  <c r="A40522" i="19"/>
  <c r="A40521" i="19"/>
  <c r="A40520" i="19"/>
  <c r="A40519" i="19"/>
  <c r="A40518" i="19"/>
  <c r="A40517" i="19"/>
  <c r="A40516" i="19"/>
  <c r="A40515" i="19"/>
  <c r="A40514" i="19"/>
  <c r="A40513" i="19"/>
  <c r="A40512" i="19"/>
  <c r="A40511" i="19"/>
  <c r="A40510" i="19"/>
  <c r="A40509" i="19"/>
  <c r="A40508" i="19"/>
  <c r="A40507" i="19"/>
  <c r="A40506" i="19"/>
  <c r="A40505" i="19"/>
  <c r="A40504" i="19"/>
  <c r="A40503" i="19"/>
  <c r="A40502" i="19"/>
  <c r="A40501" i="19"/>
  <c r="A40500" i="19"/>
  <c r="A40499" i="19"/>
  <c r="A40498" i="19"/>
  <c r="A40497" i="19"/>
  <c r="A40496" i="19"/>
  <c r="A40495" i="19"/>
  <c r="A40494" i="19"/>
  <c r="A40493" i="19"/>
  <c r="A40492" i="19"/>
  <c r="A40491" i="19"/>
  <c r="A40490" i="19"/>
  <c r="A40489" i="19"/>
  <c r="A40488" i="19"/>
  <c r="A40487" i="19"/>
  <c r="A40486" i="19"/>
  <c r="A40485" i="19"/>
  <c r="A40484" i="19"/>
  <c r="A40483" i="19"/>
  <c r="A40482" i="19"/>
  <c r="A40481" i="19"/>
  <c r="A40480" i="19"/>
  <c r="A40479" i="19"/>
  <c r="A40478" i="19"/>
  <c r="A40477" i="19"/>
  <c r="A40476" i="19"/>
  <c r="A40475" i="19"/>
  <c r="A40474" i="19"/>
  <c r="A40473" i="19"/>
  <c r="A40472" i="19"/>
  <c r="A40471" i="19"/>
  <c r="A40470" i="19"/>
  <c r="A40469" i="19"/>
  <c r="A40468" i="19"/>
  <c r="A40467" i="19"/>
  <c r="A40466" i="19"/>
  <c r="A40465" i="19"/>
  <c r="A40464" i="19"/>
  <c r="A40463" i="19"/>
  <c r="A40462" i="19"/>
  <c r="A40461" i="19"/>
  <c r="A40460" i="19"/>
  <c r="A40459" i="19"/>
  <c r="A40458" i="19"/>
  <c r="A40457" i="19"/>
  <c r="A40456" i="19"/>
  <c r="A40455" i="19"/>
  <c r="A40454" i="19"/>
  <c r="A40453" i="19"/>
  <c r="A40452" i="19"/>
  <c r="A40451" i="19"/>
  <c r="A40450" i="19"/>
  <c r="A40449" i="19"/>
  <c r="A40448" i="19"/>
  <c r="A40447" i="19"/>
  <c r="A40446" i="19"/>
  <c r="A40445" i="19"/>
  <c r="A40444" i="19"/>
  <c r="A40443" i="19"/>
  <c r="A40442" i="19"/>
  <c r="A40441" i="19"/>
  <c r="A40440" i="19"/>
  <c r="A40439" i="19"/>
  <c r="A40438" i="19"/>
  <c r="A40437" i="19"/>
  <c r="A40436" i="19"/>
  <c r="A40435" i="19"/>
  <c r="A40434" i="19"/>
  <c r="A40433" i="19"/>
  <c r="A40432" i="19"/>
  <c r="A40431" i="19"/>
  <c r="A40430" i="19"/>
  <c r="A40429" i="19"/>
  <c r="A40428" i="19"/>
  <c r="A40427" i="19"/>
  <c r="A40426" i="19"/>
  <c r="A40425" i="19"/>
  <c r="A40424" i="19"/>
  <c r="A40423" i="19"/>
  <c r="A40422" i="19"/>
  <c r="A40421" i="19"/>
  <c r="A40420" i="19"/>
  <c r="A40419" i="19"/>
  <c r="A40418" i="19"/>
  <c r="A40417" i="19"/>
  <c r="A40416" i="19"/>
  <c r="A40415" i="19"/>
  <c r="A40414" i="19"/>
  <c r="A40413" i="19"/>
  <c r="A40412" i="19"/>
  <c r="A40411" i="19"/>
  <c r="A40410" i="19"/>
  <c r="A40409" i="19"/>
  <c r="A40408" i="19"/>
  <c r="A40407" i="19"/>
  <c r="A40406" i="19"/>
  <c r="A40405" i="19"/>
  <c r="A40404" i="19"/>
  <c r="A40403" i="19"/>
  <c r="A40402" i="19"/>
  <c r="A40401" i="19"/>
  <c r="A40400" i="19"/>
  <c r="A40399" i="19"/>
  <c r="A40398" i="19"/>
  <c r="A40397" i="19"/>
  <c r="A40396" i="19"/>
  <c r="A40395" i="19"/>
  <c r="A40394" i="19"/>
  <c r="A40393" i="19"/>
  <c r="A40392" i="19"/>
  <c r="A40391" i="19"/>
  <c r="A40390" i="19"/>
  <c r="A40389" i="19"/>
  <c r="A40388" i="19"/>
  <c r="A40387" i="19"/>
  <c r="A40386" i="19"/>
  <c r="A40385" i="19"/>
  <c r="A40384" i="19"/>
  <c r="A40383" i="19"/>
  <c r="A40382" i="19"/>
  <c r="A40381" i="19"/>
  <c r="A40380" i="19"/>
  <c r="A40379" i="19"/>
  <c r="A40378" i="19"/>
  <c r="A40377" i="19"/>
  <c r="A40376" i="19"/>
  <c r="A40375" i="19"/>
  <c r="A40374" i="19"/>
  <c r="A40373" i="19"/>
  <c r="A40372" i="19"/>
  <c r="A40371" i="19"/>
  <c r="A40370" i="19"/>
  <c r="A40369" i="19"/>
  <c r="A40368" i="19"/>
  <c r="A40367" i="19"/>
  <c r="A40366" i="19"/>
  <c r="A40365" i="19"/>
  <c r="A40364" i="19"/>
  <c r="A40363" i="19"/>
  <c r="A40362" i="19"/>
  <c r="A40361" i="19"/>
  <c r="A40360" i="19"/>
  <c r="A40359" i="19"/>
  <c r="A40358" i="19"/>
  <c r="A40357" i="19"/>
  <c r="A40356" i="19"/>
  <c r="A40355" i="19"/>
  <c r="A40354" i="19"/>
  <c r="A40353" i="19"/>
  <c r="A40352" i="19"/>
  <c r="A40351" i="19"/>
  <c r="A40350" i="19"/>
  <c r="A40349" i="19"/>
  <c r="A40348" i="19"/>
  <c r="A40347" i="19"/>
  <c r="A40346" i="19"/>
  <c r="A40345" i="19"/>
  <c r="A40344" i="19"/>
  <c r="A40343" i="19"/>
  <c r="A40342" i="19"/>
  <c r="A40341" i="19"/>
  <c r="A40340" i="19"/>
  <c r="A40339" i="19"/>
  <c r="A40338" i="19"/>
  <c r="A40337" i="19"/>
  <c r="A40336" i="19"/>
  <c r="A40335" i="19"/>
  <c r="A40334" i="19"/>
  <c r="A40333" i="19"/>
  <c r="A40332" i="19"/>
  <c r="A40331" i="19"/>
  <c r="A40330" i="19"/>
  <c r="A40329" i="19"/>
  <c r="A40328" i="19"/>
  <c r="A40327" i="19"/>
  <c r="A40326" i="19"/>
  <c r="A40325" i="19"/>
  <c r="A40324" i="19"/>
  <c r="A40323" i="19"/>
  <c r="A40322" i="19"/>
  <c r="A40321" i="19"/>
  <c r="A40320" i="19"/>
  <c r="A40319" i="19"/>
  <c r="A40318" i="19"/>
  <c r="A40317" i="19"/>
  <c r="A40316" i="19"/>
  <c r="A40315" i="19"/>
  <c r="A40314" i="19"/>
  <c r="A40313" i="19"/>
  <c r="A40312" i="19"/>
  <c r="A40311" i="19"/>
  <c r="A40310" i="19"/>
  <c r="A40309" i="19"/>
  <c r="A40308" i="19"/>
  <c r="A40307" i="19"/>
  <c r="A40306" i="19"/>
  <c r="A40305" i="19"/>
  <c r="A40304" i="19"/>
  <c r="A40303" i="19"/>
  <c r="A40302" i="19"/>
  <c r="A40301" i="19"/>
  <c r="A40300" i="19"/>
  <c r="A40299" i="19"/>
  <c r="A40298" i="19"/>
  <c r="A40297" i="19"/>
  <c r="A40296" i="19"/>
  <c r="A40295" i="19"/>
  <c r="A40294" i="19"/>
  <c r="A40293" i="19"/>
  <c r="A40292" i="19"/>
  <c r="A40291" i="19"/>
  <c r="A40290" i="19"/>
  <c r="A40289" i="19"/>
  <c r="A40288" i="19"/>
  <c r="A40287" i="19"/>
  <c r="A40286" i="19"/>
  <c r="A40285" i="19"/>
  <c r="A40284" i="19"/>
  <c r="A40283" i="19"/>
  <c r="A40282" i="19"/>
  <c r="A40281" i="19"/>
  <c r="A40280" i="19"/>
  <c r="A40279" i="19"/>
  <c r="A40278" i="19"/>
  <c r="A40277" i="19"/>
  <c r="A40276" i="19"/>
  <c r="A40275" i="19"/>
  <c r="A40274" i="19"/>
  <c r="A40273" i="19"/>
  <c r="A40272" i="19"/>
  <c r="A40271" i="19"/>
  <c r="A40270" i="19"/>
  <c r="A40269" i="19"/>
  <c r="A40268" i="19"/>
  <c r="A40267" i="19"/>
  <c r="A40266" i="19"/>
  <c r="A40265" i="19"/>
  <c r="A40264" i="19"/>
  <c r="A40263" i="19"/>
  <c r="A40262" i="19"/>
  <c r="A40261" i="19"/>
  <c r="A40260" i="19"/>
  <c r="A40259" i="19"/>
  <c r="A40258" i="19"/>
  <c r="A40257" i="19"/>
  <c r="A40256" i="19"/>
  <c r="A40255" i="19"/>
  <c r="A40254" i="19"/>
  <c r="A40253" i="19"/>
  <c r="A40252" i="19"/>
  <c r="A40251" i="19"/>
  <c r="A40250" i="19"/>
  <c r="A40249" i="19"/>
  <c r="A40248" i="19"/>
  <c r="A40247" i="19"/>
  <c r="A40246" i="19"/>
  <c r="A40245" i="19"/>
  <c r="A40244" i="19"/>
  <c r="A40243" i="19"/>
  <c r="A40242" i="19"/>
  <c r="A40241" i="19"/>
  <c r="A40240" i="19"/>
  <c r="A40239" i="19"/>
  <c r="A40238" i="19"/>
  <c r="A40237" i="19"/>
  <c r="A40236" i="19"/>
  <c r="A40235" i="19"/>
  <c r="A40234" i="19"/>
  <c r="A40233" i="19"/>
  <c r="A40232" i="19"/>
  <c r="A40231" i="19"/>
  <c r="A40230" i="19"/>
  <c r="A40229" i="19"/>
  <c r="A40228" i="19"/>
  <c r="A40227" i="19"/>
  <c r="A40226" i="19"/>
  <c r="A40225" i="19"/>
  <c r="A40224" i="19"/>
  <c r="A40223" i="19"/>
  <c r="A40222" i="19"/>
  <c r="A40221" i="19"/>
  <c r="A40220" i="19"/>
  <c r="A40219" i="19"/>
  <c r="A40218" i="19"/>
  <c r="A40217" i="19"/>
  <c r="A40216" i="19"/>
  <c r="A40215" i="19"/>
  <c r="A40214" i="19"/>
  <c r="A40213" i="19"/>
  <c r="A40212" i="19"/>
  <c r="A40211" i="19"/>
  <c r="A40210" i="19"/>
  <c r="A40209" i="19"/>
  <c r="A40208" i="19"/>
  <c r="A40207" i="19"/>
  <c r="A40206" i="19"/>
  <c r="A40205" i="19"/>
  <c r="A40204" i="19"/>
  <c r="A40203" i="19"/>
  <c r="A40202" i="19"/>
  <c r="A40201" i="19"/>
  <c r="A40200" i="19"/>
  <c r="A40199" i="19"/>
  <c r="A40198" i="19"/>
  <c r="A40197" i="19"/>
  <c r="A40196" i="19"/>
  <c r="A40195" i="19"/>
  <c r="A40194" i="19"/>
  <c r="A40193" i="19"/>
  <c r="A40192" i="19"/>
  <c r="A40191" i="19"/>
  <c r="A40190" i="19"/>
  <c r="A40189" i="19"/>
  <c r="A40188" i="19"/>
  <c r="A40187" i="19"/>
  <c r="A40186" i="19"/>
  <c r="A40185" i="19"/>
  <c r="A40184" i="19"/>
  <c r="A40183" i="19"/>
  <c r="A40182" i="19"/>
  <c r="A40181" i="19"/>
  <c r="A40180" i="19"/>
  <c r="A40179" i="19"/>
  <c r="A40178" i="19"/>
  <c r="A40177" i="19"/>
  <c r="A40176" i="19"/>
  <c r="A40175" i="19"/>
  <c r="A40174" i="19"/>
  <c r="A40173" i="19"/>
  <c r="A40172" i="19"/>
  <c r="A40171" i="19"/>
  <c r="A40170" i="19"/>
  <c r="A40169" i="19"/>
  <c r="A40168" i="19"/>
  <c r="A40167" i="19"/>
  <c r="A40166" i="19"/>
  <c r="A40165" i="19"/>
  <c r="A40164" i="19"/>
  <c r="A40163" i="19"/>
  <c r="A40162" i="19"/>
  <c r="A40161" i="19"/>
  <c r="A40160" i="19"/>
  <c r="A40159" i="19"/>
  <c r="A40158" i="19"/>
  <c r="A40157" i="19"/>
  <c r="A40156" i="19"/>
  <c r="A40155" i="19"/>
  <c r="A40154" i="19"/>
  <c r="A40153" i="19"/>
  <c r="A40152" i="19"/>
  <c r="A40151" i="19"/>
  <c r="A40150" i="19"/>
  <c r="A40149" i="19"/>
  <c r="A40148" i="19"/>
  <c r="A40147" i="19"/>
  <c r="A40146" i="19"/>
  <c r="A40145" i="19"/>
  <c r="A40144" i="19"/>
  <c r="A40143" i="19"/>
  <c r="A40142" i="19"/>
  <c r="A40141" i="19"/>
  <c r="A40140" i="19"/>
  <c r="A40139" i="19"/>
  <c r="A40138" i="19"/>
  <c r="A40137" i="19"/>
  <c r="A40136" i="19"/>
  <c r="A40135" i="19"/>
  <c r="A40134" i="19"/>
  <c r="A40133" i="19"/>
  <c r="A40132" i="19"/>
  <c r="A40131" i="19"/>
  <c r="A40130" i="19"/>
  <c r="A40129" i="19"/>
  <c r="A40128" i="19"/>
  <c r="A40127" i="19"/>
  <c r="A40126" i="19"/>
  <c r="A40125" i="19"/>
  <c r="A40124" i="19"/>
  <c r="A40123" i="19"/>
  <c r="A40122" i="19"/>
  <c r="A40121" i="19"/>
  <c r="A40120" i="19"/>
  <c r="A40119" i="19"/>
  <c r="A40118" i="19"/>
  <c r="A40117" i="19"/>
  <c r="A40116" i="19"/>
  <c r="A40115" i="19"/>
  <c r="A40114" i="19"/>
  <c r="A40113" i="19"/>
  <c r="A40112" i="19"/>
  <c r="A40111" i="19"/>
  <c r="A40110" i="19"/>
  <c r="A40109" i="19"/>
  <c r="A40108" i="19"/>
  <c r="A40107" i="19"/>
  <c r="A40106" i="19"/>
  <c r="A40105" i="19"/>
  <c r="A40104" i="19"/>
  <c r="A40103" i="19"/>
  <c r="A40102" i="19"/>
  <c r="A40101" i="19"/>
  <c r="A40100" i="19"/>
  <c r="A40099" i="19"/>
  <c r="A40098" i="19"/>
  <c r="A40097" i="19"/>
  <c r="A40096" i="19"/>
  <c r="A40095" i="19"/>
  <c r="A40094" i="19"/>
  <c r="A40093" i="19"/>
  <c r="A40092" i="19"/>
  <c r="A40091" i="19"/>
  <c r="A40090" i="19"/>
  <c r="A40089" i="19"/>
  <c r="A40088" i="19"/>
  <c r="A40087" i="19"/>
  <c r="A40086" i="19"/>
  <c r="A40085" i="19"/>
  <c r="A40084" i="19"/>
  <c r="A40083" i="19"/>
  <c r="A40082" i="19"/>
  <c r="A40081" i="19"/>
  <c r="A40080" i="19"/>
  <c r="A40079" i="19"/>
  <c r="A40078" i="19"/>
  <c r="A40077" i="19"/>
  <c r="A40076" i="19"/>
  <c r="A40075" i="19"/>
  <c r="A40074" i="19"/>
  <c r="A40073" i="19"/>
  <c r="A40072" i="19"/>
  <c r="A40071" i="19"/>
  <c r="A40070" i="19"/>
  <c r="A40069" i="19"/>
  <c r="A40068" i="19"/>
  <c r="A40067" i="19"/>
  <c r="A40066" i="19"/>
  <c r="A40065" i="19"/>
  <c r="A40064" i="19"/>
  <c r="A40063" i="19"/>
  <c r="A40062" i="19"/>
  <c r="A40061" i="19"/>
  <c r="A40060" i="19"/>
  <c r="A40059" i="19"/>
  <c r="A40058" i="19"/>
  <c r="A40057" i="19"/>
  <c r="A40056" i="19"/>
  <c r="A40055" i="19"/>
  <c r="A40054" i="19"/>
  <c r="A40053" i="19"/>
  <c r="A40052" i="19"/>
  <c r="A40051" i="19"/>
  <c r="A40050" i="19"/>
  <c r="A40049" i="19"/>
  <c r="A40048" i="19"/>
  <c r="A40047" i="19"/>
  <c r="A40046" i="19"/>
  <c r="A40045" i="19"/>
  <c r="A40044" i="19"/>
  <c r="A40043" i="19"/>
  <c r="A40042" i="19"/>
  <c r="A40041" i="19"/>
  <c r="A40040" i="19"/>
  <c r="A40039" i="19"/>
  <c r="A40038" i="19"/>
  <c r="A40037" i="19"/>
  <c r="A40036" i="19"/>
  <c r="A40035" i="19"/>
  <c r="A40034" i="19"/>
  <c r="A40033" i="19"/>
  <c r="A40032" i="19"/>
  <c r="A40031" i="19"/>
  <c r="A40030" i="19"/>
  <c r="A40029" i="19"/>
  <c r="A40028" i="19"/>
  <c r="A40027" i="19"/>
  <c r="A40026" i="19"/>
  <c r="A40025" i="19"/>
  <c r="A40024" i="19"/>
  <c r="A40023" i="19"/>
  <c r="A40022" i="19"/>
  <c r="A40021" i="19"/>
  <c r="A40020" i="19"/>
  <c r="A40019" i="19"/>
  <c r="A40018" i="19"/>
  <c r="A40017" i="19"/>
  <c r="A40016" i="19"/>
  <c r="A40015" i="19"/>
  <c r="A40014" i="19"/>
  <c r="A40013" i="19"/>
  <c r="A40012" i="19"/>
  <c r="A40011" i="19"/>
  <c r="A40010" i="19"/>
  <c r="A40009" i="19"/>
  <c r="A40008" i="19"/>
  <c r="A40007" i="19"/>
  <c r="A40006" i="19"/>
  <c r="A40005" i="19"/>
  <c r="A40004" i="19"/>
  <c r="A40003" i="19"/>
  <c r="A40002" i="19"/>
  <c r="A40001" i="19"/>
  <c r="A40000" i="19"/>
  <c r="A39999" i="19"/>
  <c r="A39998" i="19"/>
  <c r="A39997" i="19"/>
  <c r="A39996" i="19"/>
  <c r="A39995" i="19"/>
  <c r="A39994" i="19"/>
  <c r="A39993" i="19"/>
  <c r="A39992" i="19"/>
  <c r="A39991" i="19"/>
  <c r="A39990" i="19"/>
  <c r="A39989" i="19"/>
  <c r="A39988" i="19"/>
  <c r="A39987" i="19"/>
  <c r="A39986" i="19"/>
  <c r="A39985" i="19"/>
  <c r="A39984" i="19"/>
  <c r="A39983" i="19"/>
  <c r="A39982" i="19"/>
  <c r="A39981" i="19"/>
  <c r="A39980" i="19"/>
  <c r="A39979" i="19"/>
  <c r="A39978" i="19"/>
  <c r="A39977" i="19"/>
  <c r="A39976" i="19"/>
  <c r="A39975" i="19"/>
  <c r="A39974" i="19"/>
  <c r="A39973" i="19"/>
  <c r="A39972" i="19"/>
  <c r="A39971" i="19"/>
  <c r="A39970" i="19"/>
  <c r="A39969" i="19"/>
  <c r="A39968" i="19"/>
  <c r="A39967" i="19"/>
  <c r="A39966" i="19"/>
  <c r="A39965" i="19"/>
  <c r="A39964" i="19"/>
  <c r="A39963" i="19"/>
  <c r="A39962" i="19"/>
  <c r="A39961" i="19"/>
  <c r="A39960" i="19"/>
  <c r="A39959" i="19"/>
  <c r="A39958" i="19"/>
  <c r="A39957" i="19"/>
  <c r="A39956" i="19"/>
  <c r="A39955" i="19"/>
  <c r="A39954" i="19"/>
  <c r="A39953" i="19"/>
  <c r="A39952" i="19"/>
  <c r="A39951" i="19"/>
  <c r="A39950" i="19"/>
  <c r="A39949" i="19"/>
  <c r="A39948" i="19"/>
  <c r="A39947" i="19"/>
  <c r="A39946" i="19"/>
  <c r="A39945" i="19"/>
  <c r="A39944" i="19"/>
  <c r="A39943" i="19"/>
  <c r="A39942" i="19"/>
  <c r="A39941" i="19"/>
  <c r="A39940" i="19"/>
  <c r="A39939" i="19"/>
  <c r="A39938" i="19"/>
  <c r="A39937" i="19"/>
  <c r="A39936" i="19"/>
  <c r="A39935" i="19"/>
  <c r="A39934" i="19"/>
  <c r="A39933" i="19"/>
  <c r="A39932" i="19"/>
  <c r="A39931" i="19"/>
  <c r="A39930" i="19"/>
  <c r="A39929" i="19"/>
  <c r="A39928" i="19"/>
  <c r="A39927" i="19"/>
  <c r="A39926" i="19"/>
  <c r="A39925" i="19"/>
  <c r="A39924" i="19"/>
  <c r="A39923" i="19"/>
  <c r="A39922" i="19"/>
  <c r="A39921" i="19"/>
  <c r="A39920" i="19"/>
  <c r="A39919" i="19"/>
  <c r="A39918" i="19"/>
  <c r="A39917" i="19"/>
  <c r="A39916" i="19"/>
  <c r="A39915" i="19"/>
  <c r="A39914" i="19"/>
  <c r="A39913" i="19"/>
  <c r="A39912" i="19"/>
  <c r="A39911" i="19"/>
  <c r="A39910" i="19"/>
  <c r="A39909" i="19"/>
  <c r="A39908" i="19"/>
  <c r="A39907" i="19"/>
  <c r="A39906" i="19"/>
  <c r="A39905" i="19"/>
  <c r="A39904" i="19"/>
  <c r="A39903" i="19"/>
  <c r="A39902" i="19"/>
  <c r="A39901" i="19"/>
  <c r="A39900" i="19"/>
  <c r="A39899" i="19"/>
  <c r="A39898" i="19"/>
  <c r="A39897" i="19"/>
  <c r="A39896" i="19"/>
  <c r="A39895" i="19"/>
  <c r="A39894" i="19"/>
  <c r="A39893" i="19"/>
  <c r="A39892" i="19"/>
  <c r="A39891" i="19"/>
  <c r="A39890" i="19"/>
  <c r="A39889" i="19"/>
  <c r="A39888" i="19"/>
  <c r="A39887" i="19"/>
  <c r="A39886" i="19"/>
  <c r="A39885" i="19"/>
  <c r="A39884" i="19"/>
  <c r="A39883" i="19"/>
  <c r="A39882" i="19"/>
  <c r="A39881" i="19"/>
  <c r="A39880" i="19"/>
  <c r="A39879" i="19"/>
  <c r="A39878" i="19"/>
  <c r="A39877" i="19"/>
  <c r="A39876" i="19"/>
  <c r="A39875" i="19"/>
  <c r="A39874" i="19"/>
  <c r="A39873" i="19"/>
  <c r="A39872" i="19"/>
  <c r="A39871" i="19"/>
  <c r="A39870" i="19"/>
  <c r="A39869" i="19"/>
  <c r="A39868" i="19"/>
  <c r="A39867" i="19"/>
  <c r="A39866" i="19"/>
  <c r="A39865" i="19"/>
  <c r="A39864" i="19"/>
  <c r="A39863" i="19"/>
  <c r="A39862" i="19"/>
  <c r="A39861" i="19"/>
  <c r="A39860" i="19"/>
  <c r="A39859" i="19"/>
  <c r="A39858" i="19"/>
  <c r="A39857" i="19"/>
  <c r="A39856" i="19"/>
  <c r="A39855" i="19"/>
  <c r="A39854" i="19"/>
  <c r="A39853" i="19"/>
  <c r="A39852" i="19"/>
  <c r="A39851" i="19"/>
  <c r="A39850" i="19"/>
  <c r="A39849" i="19"/>
  <c r="A39848" i="19"/>
  <c r="A39847" i="19"/>
  <c r="A39846" i="19"/>
  <c r="A39845" i="19"/>
  <c r="A39844" i="19"/>
  <c r="A39843" i="19"/>
  <c r="A39842" i="19"/>
  <c r="A39841" i="19"/>
  <c r="A39840" i="19"/>
  <c r="A39839" i="19"/>
  <c r="A39838" i="19"/>
  <c r="A39837" i="19"/>
  <c r="A39836" i="19"/>
  <c r="A39835" i="19"/>
  <c r="A39834" i="19"/>
  <c r="A39833" i="19"/>
  <c r="A39832" i="19"/>
  <c r="A39831" i="19"/>
  <c r="A39830" i="19"/>
  <c r="A39829" i="19"/>
  <c r="A39828" i="19"/>
  <c r="A39827" i="19"/>
  <c r="A39826" i="19"/>
  <c r="A39825" i="19"/>
  <c r="A39824" i="19"/>
  <c r="A39823" i="19"/>
  <c r="A39822" i="19"/>
  <c r="A39821" i="19"/>
  <c r="A39820" i="19"/>
  <c r="A39819" i="19"/>
  <c r="A39818" i="19"/>
  <c r="A39817" i="19"/>
  <c r="A39816" i="19"/>
  <c r="A39815" i="19"/>
  <c r="A39814" i="19"/>
  <c r="A39813" i="19"/>
  <c r="A39812" i="19"/>
  <c r="A39811" i="19"/>
  <c r="A39810" i="19"/>
  <c r="A39809" i="19"/>
  <c r="A39808" i="19"/>
  <c r="A39807" i="19"/>
  <c r="A39806" i="19"/>
  <c r="A39805" i="19"/>
  <c r="A39804" i="19"/>
  <c r="A39803" i="19"/>
  <c r="A39802" i="19"/>
  <c r="A39801" i="19"/>
  <c r="A39800" i="19"/>
  <c r="A39799" i="19"/>
  <c r="A39798" i="19"/>
  <c r="A39797" i="19"/>
  <c r="A39796" i="19"/>
  <c r="A39795" i="19"/>
  <c r="A39794" i="19"/>
  <c r="A39793" i="19"/>
  <c r="A39792" i="19"/>
  <c r="A39791" i="19"/>
  <c r="A39790" i="19"/>
  <c r="A39789" i="19"/>
  <c r="A39788" i="19"/>
  <c r="A39787" i="19"/>
  <c r="A39786" i="19"/>
  <c r="A39785" i="19"/>
  <c r="A39784" i="19"/>
  <c r="A39783" i="19"/>
  <c r="A39782" i="19"/>
  <c r="A39781" i="19"/>
  <c r="A39780" i="19"/>
  <c r="A39779" i="19"/>
  <c r="A39778" i="19"/>
  <c r="A39777" i="19"/>
  <c r="A39776" i="19"/>
  <c r="A39775" i="19"/>
  <c r="A39774" i="19"/>
  <c r="A39773" i="19"/>
  <c r="A39772" i="19"/>
  <c r="A39771" i="19"/>
  <c r="A39770" i="19"/>
  <c r="A39769" i="19"/>
  <c r="A39768" i="19"/>
  <c r="A39767" i="19"/>
  <c r="A39766" i="19"/>
  <c r="A39765" i="19"/>
  <c r="A39764" i="19"/>
  <c r="A39763" i="19"/>
  <c r="A39762" i="19"/>
  <c r="A39761" i="19"/>
  <c r="A39760" i="19"/>
  <c r="A39759" i="19"/>
  <c r="A39758" i="19"/>
  <c r="A39757" i="19"/>
  <c r="A39756" i="19"/>
  <c r="A39755" i="19"/>
  <c r="A39754" i="19"/>
  <c r="A39753" i="19"/>
  <c r="A39752" i="19"/>
  <c r="A39751" i="19"/>
  <c r="A39750" i="19"/>
  <c r="A39749" i="19"/>
  <c r="A39748" i="19"/>
  <c r="A39747" i="19"/>
  <c r="A39746" i="19"/>
  <c r="A39745" i="19"/>
  <c r="A39744" i="19"/>
  <c r="A39743" i="19"/>
  <c r="A39742" i="19"/>
  <c r="A39741" i="19"/>
  <c r="A39740" i="19"/>
  <c r="A39739" i="19"/>
  <c r="A39738" i="19"/>
  <c r="A39737" i="19"/>
  <c r="A39736" i="19"/>
  <c r="A39735" i="19"/>
  <c r="A39734" i="19"/>
  <c r="A39733" i="19"/>
  <c r="A39732" i="19"/>
  <c r="A39731" i="19"/>
  <c r="A39730" i="19"/>
  <c r="A39729" i="19"/>
  <c r="A39728" i="19"/>
  <c r="A39727" i="19"/>
  <c r="A39726" i="19"/>
  <c r="A39725" i="19"/>
  <c r="A39724" i="19"/>
  <c r="A39723" i="19"/>
  <c r="A39722" i="19"/>
  <c r="A39721" i="19"/>
  <c r="A39720" i="19"/>
  <c r="A39719" i="19"/>
  <c r="A39718" i="19"/>
  <c r="A39717" i="19"/>
  <c r="A39716" i="19"/>
  <c r="A39715" i="19"/>
  <c r="A39714" i="19"/>
  <c r="A39713" i="19"/>
  <c r="A39712" i="19"/>
  <c r="A39711" i="19"/>
  <c r="A39710" i="19"/>
  <c r="A39709" i="19"/>
  <c r="A39708" i="19"/>
  <c r="A39707" i="19"/>
  <c r="A39706" i="19"/>
  <c r="A39705" i="19"/>
  <c r="A39704" i="19"/>
  <c r="A39703" i="19"/>
  <c r="A39702" i="19"/>
  <c r="A39701" i="19"/>
  <c r="A39700" i="19"/>
  <c r="A39699" i="19"/>
  <c r="A39698" i="19"/>
  <c r="A39697" i="19"/>
  <c r="A39696" i="19"/>
  <c r="A39695" i="19"/>
  <c r="A39694" i="19"/>
  <c r="A39693" i="19"/>
  <c r="A39692" i="19"/>
  <c r="A39691" i="19"/>
  <c r="A39690" i="19"/>
  <c r="A39689" i="19"/>
  <c r="A39688" i="19"/>
  <c r="A39687" i="19"/>
  <c r="A39686" i="19"/>
  <c r="A39685" i="19"/>
  <c r="A39684" i="19"/>
  <c r="A39683" i="19"/>
  <c r="A39682" i="19"/>
  <c r="A39681" i="19"/>
  <c r="A39680" i="19"/>
  <c r="A39679" i="19"/>
  <c r="A39678" i="19"/>
  <c r="A39677" i="19"/>
  <c r="A39676" i="19"/>
  <c r="A39675" i="19"/>
  <c r="A39674" i="19"/>
  <c r="A39673" i="19"/>
  <c r="A39672" i="19"/>
  <c r="A39671" i="19"/>
  <c r="A39670" i="19"/>
  <c r="A39669" i="19"/>
  <c r="A39668" i="19"/>
  <c r="A39667" i="19"/>
  <c r="A39666" i="19"/>
  <c r="A39665" i="19"/>
  <c r="A39664" i="19"/>
  <c r="A39663" i="19"/>
  <c r="A39662" i="19"/>
  <c r="A39661" i="19"/>
  <c r="A39660" i="19"/>
  <c r="A39659" i="19"/>
  <c r="A39658" i="19"/>
  <c r="A39657" i="19"/>
  <c r="A39656" i="19"/>
  <c r="A39655" i="19"/>
  <c r="A39654" i="19"/>
  <c r="A39653" i="19"/>
  <c r="A39652" i="19"/>
  <c r="A39651" i="19"/>
  <c r="A39650" i="19"/>
  <c r="A39649" i="19"/>
  <c r="A39648" i="19"/>
  <c r="A39647" i="19"/>
  <c r="A39646" i="19"/>
  <c r="A39645" i="19"/>
  <c r="A39644" i="19"/>
  <c r="A39643" i="19"/>
  <c r="A39642" i="19"/>
  <c r="A39641" i="19"/>
  <c r="A39640" i="19"/>
  <c r="A39639" i="19"/>
  <c r="A39638" i="19"/>
  <c r="A39637" i="19"/>
  <c r="A39636" i="19"/>
  <c r="A39635" i="19"/>
  <c r="A39634" i="19"/>
  <c r="A39633" i="19"/>
  <c r="A39632" i="19"/>
  <c r="A39631" i="19"/>
  <c r="A39630" i="19"/>
  <c r="A39629" i="19"/>
  <c r="A39628" i="19"/>
  <c r="A39627" i="19"/>
  <c r="A39626" i="19"/>
  <c r="A39625" i="19"/>
  <c r="A39624" i="19"/>
  <c r="A39623" i="19"/>
  <c r="A39622" i="19"/>
  <c r="A39621" i="19"/>
  <c r="A39620" i="19"/>
  <c r="A39619" i="19"/>
  <c r="A39618" i="19"/>
  <c r="A39617" i="19"/>
  <c r="A39616" i="19"/>
  <c r="A39615" i="19"/>
  <c r="A39614" i="19"/>
  <c r="A39613" i="19"/>
  <c r="A39612" i="19"/>
  <c r="A39611" i="19"/>
  <c r="A39610" i="19"/>
  <c r="A39609" i="19"/>
  <c r="A39608" i="19"/>
  <c r="A39607" i="19"/>
  <c r="A39606" i="19"/>
  <c r="A39605" i="19"/>
  <c r="A39604" i="19"/>
  <c r="A39603" i="19"/>
  <c r="A39602" i="19"/>
  <c r="A39601" i="19"/>
  <c r="A39600" i="19"/>
  <c r="A39599" i="19"/>
  <c r="A39598" i="19"/>
  <c r="A39597" i="19"/>
  <c r="A39596" i="19"/>
  <c r="A39595" i="19"/>
  <c r="A39594" i="19"/>
  <c r="A39593" i="19"/>
  <c r="A39592" i="19"/>
  <c r="A39591" i="19"/>
  <c r="A39590" i="19"/>
  <c r="A39589" i="19"/>
  <c r="A39588" i="19"/>
  <c r="A39587" i="19"/>
  <c r="A39586" i="19"/>
  <c r="A39585" i="19"/>
  <c r="A39584" i="19"/>
  <c r="A39583" i="19"/>
  <c r="A39582" i="19"/>
  <c r="A39581" i="19"/>
  <c r="A39580" i="19"/>
  <c r="A39579" i="19"/>
  <c r="A39578" i="19"/>
  <c r="A39577" i="19"/>
  <c r="A39576" i="19"/>
  <c r="A39575" i="19"/>
  <c r="A39574" i="19"/>
  <c r="A39573" i="19"/>
  <c r="A39572" i="19"/>
  <c r="A39571" i="19"/>
  <c r="A39570" i="19"/>
  <c r="A39569" i="19"/>
  <c r="A39568" i="19"/>
  <c r="A39567" i="19"/>
  <c r="A39566" i="19"/>
  <c r="A39565" i="19"/>
  <c r="A39564" i="19"/>
  <c r="A39563" i="19"/>
  <c r="A39562" i="19"/>
  <c r="A39561" i="19"/>
  <c r="A39560" i="19"/>
  <c r="A39559" i="19"/>
  <c r="A39558" i="19"/>
  <c r="A39557" i="19"/>
  <c r="A39556" i="19"/>
  <c r="A39555" i="19"/>
  <c r="A39554" i="19"/>
  <c r="A39553" i="19"/>
  <c r="A39552" i="19"/>
  <c r="A39551" i="19"/>
  <c r="A39550" i="19"/>
  <c r="A39549" i="19"/>
  <c r="A39548" i="19"/>
  <c r="A39547" i="19"/>
  <c r="A39546" i="19"/>
  <c r="A39545" i="19"/>
  <c r="A39544" i="19"/>
  <c r="A39543" i="19"/>
  <c r="A39542" i="19"/>
  <c r="A39541" i="19"/>
  <c r="A39540" i="19"/>
  <c r="A39539" i="19"/>
  <c r="A39538" i="19"/>
  <c r="A39537" i="19"/>
  <c r="A39536" i="19"/>
  <c r="A39535" i="19"/>
  <c r="A39534" i="19"/>
  <c r="A39533" i="19"/>
  <c r="A39532" i="19"/>
  <c r="A39531" i="19"/>
  <c r="A39530" i="19"/>
  <c r="A39529" i="19"/>
  <c r="A39528" i="19"/>
  <c r="A39527" i="19"/>
  <c r="A39526" i="19"/>
  <c r="A39525" i="19"/>
  <c r="A39524" i="19"/>
  <c r="A39523" i="19"/>
  <c r="A39522" i="19"/>
  <c r="A39521" i="19"/>
  <c r="A39520" i="19"/>
  <c r="A39519" i="19"/>
  <c r="A39518" i="19"/>
  <c r="A39517" i="19"/>
  <c r="A39516" i="19"/>
  <c r="A39515" i="19"/>
  <c r="A39514" i="19"/>
  <c r="A39513" i="19"/>
  <c r="A39512" i="19"/>
  <c r="A39511" i="19"/>
  <c r="A39510" i="19"/>
  <c r="A39509" i="19"/>
  <c r="A39508" i="19"/>
  <c r="A39507" i="19"/>
  <c r="A39506" i="19"/>
  <c r="A39505" i="19"/>
  <c r="A39504" i="19"/>
  <c r="A39503" i="19"/>
  <c r="A39502" i="19"/>
  <c r="A39501" i="19"/>
  <c r="A39500" i="19"/>
  <c r="A39499" i="19"/>
  <c r="A39498" i="19"/>
  <c r="A39497" i="19"/>
  <c r="A39496" i="19"/>
  <c r="A39495" i="19"/>
  <c r="A39494" i="19"/>
  <c r="A39493" i="19"/>
  <c r="A39492" i="19"/>
  <c r="A39491" i="19"/>
  <c r="A39490" i="19"/>
  <c r="A39489" i="19"/>
  <c r="A39488" i="19"/>
  <c r="A39487" i="19"/>
  <c r="A39486" i="19"/>
  <c r="A39485" i="19"/>
  <c r="A39484" i="19"/>
  <c r="A39483" i="19"/>
  <c r="A39482" i="19"/>
  <c r="A39481" i="19"/>
  <c r="A39480" i="19"/>
  <c r="A39479" i="19"/>
  <c r="A39478" i="19"/>
  <c r="A39477" i="19"/>
  <c r="A39476" i="19"/>
  <c r="A39475" i="19"/>
  <c r="A39474" i="19"/>
  <c r="A39473" i="19"/>
  <c r="A39472" i="19"/>
  <c r="A39471" i="19"/>
  <c r="A39470" i="19"/>
  <c r="A39469" i="19"/>
  <c r="A39468" i="19"/>
  <c r="A39467" i="19"/>
  <c r="A39466" i="19"/>
  <c r="A39465" i="19"/>
  <c r="A39464" i="19"/>
  <c r="A39463" i="19"/>
  <c r="A39462" i="19"/>
  <c r="A39461" i="19"/>
  <c r="A39460" i="19"/>
  <c r="A39459" i="19"/>
  <c r="A39458" i="19"/>
  <c r="A39457" i="19"/>
  <c r="A39456" i="19"/>
  <c r="A39455" i="19"/>
  <c r="A39454" i="19"/>
  <c r="A39453" i="19"/>
  <c r="A39452" i="19"/>
  <c r="A39451" i="19"/>
  <c r="A39450" i="19"/>
  <c r="A39449" i="19"/>
  <c r="A39448" i="19"/>
  <c r="A39447" i="19"/>
  <c r="A39446" i="19"/>
  <c r="A39445" i="19"/>
  <c r="A39444" i="19"/>
  <c r="A39443" i="19"/>
  <c r="A39442" i="19"/>
  <c r="A39441" i="19"/>
  <c r="A39440" i="19"/>
  <c r="A39439" i="19"/>
  <c r="A39438" i="19"/>
  <c r="A39437" i="19"/>
  <c r="A39436" i="19"/>
  <c r="A39435" i="19"/>
  <c r="A39434" i="19"/>
  <c r="A39433" i="19"/>
  <c r="A39432" i="19"/>
  <c r="A39431" i="19"/>
  <c r="A39430" i="19"/>
  <c r="A39429" i="19"/>
  <c r="A39428" i="19"/>
  <c r="A39427" i="19"/>
  <c r="A39426" i="19"/>
  <c r="A39425" i="19"/>
  <c r="A39424" i="19"/>
  <c r="A39423" i="19"/>
  <c r="A39422" i="19"/>
  <c r="A39421" i="19"/>
  <c r="A39420" i="19"/>
  <c r="A39419" i="19"/>
  <c r="A39418" i="19"/>
  <c r="A39417" i="19"/>
  <c r="A39416" i="19"/>
  <c r="A39415" i="19"/>
  <c r="A39414" i="19"/>
  <c r="A39413" i="19"/>
  <c r="A39412" i="19"/>
  <c r="A39411" i="19"/>
  <c r="A39410" i="19"/>
  <c r="A39409" i="19"/>
  <c r="A39408" i="19"/>
  <c r="A39407" i="19"/>
  <c r="A39406" i="19"/>
  <c r="A39405" i="19"/>
  <c r="A39404" i="19"/>
  <c r="A39403" i="19"/>
  <c r="A39402" i="19"/>
  <c r="A39401" i="19"/>
  <c r="A39400" i="19"/>
  <c r="A39399" i="19"/>
  <c r="A39398" i="19"/>
  <c r="A39397" i="19"/>
  <c r="A39396" i="19"/>
  <c r="A39395" i="19"/>
  <c r="A39394" i="19"/>
  <c r="A39393" i="19"/>
  <c r="A39392" i="19"/>
  <c r="A39391" i="19"/>
  <c r="A39390" i="19"/>
  <c r="A39389" i="19"/>
  <c r="A39388" i="19"/>
  <c r="A39387" i="19"/>
  <c r="A39386" i="19"/>
  <c r="A39385" i="19"/>
  <c r="A39384" i="19"/>
  <c r="A39383" i="19"/>
  <c r="A39382" i="19"/>
  <c r="A39381" i="19"/>
  <c r="A39380" i="19"/>
  <c r="A39379" i="19"/>
  <c r="A39378" i="19"/>
  <c r="A39377" i="19"/>
  <c r="A39376" i="19"/>
  <c r="A39375" i="19"/>
  <c r="A39374" i="19"/>
  <c r="A39373" i="19"/>
  <c r="A39372" i="19"/>
  <c r="A39371" i="19"/>
  <c r="A39370" i="19"/>
  <c r="A39369" i="19"/>
  <c r="A39368" i="19"/>
  <c r="A39367" i="19"/>
  <c r="A39366" i="19"/>
  <c r="A39365" i="19"/>
  <c r="A39364" i="19"/>
  <c r="A39363" i="19"/>
  <c r="A39362" i="19"/>
  <c r="A39361" i="19"/>
  <c r="A39360" i="19"/>
  <c r="A39359" i="19"/>
  <c r="A39358" i="19"/>
  <c r="A39357" i="19"/>
  <c r="A39356" i="19"/>
  <c r="A39355" i="19"/>
  <c r="A39354" i="19"/>
  <c r="A39353" i="19"/>
  <c r="A39352" i="19"/>
  <c r="A39351" i="19"/>
  <c r="A39350" i="19"/>
  <c r="A39349" i="19"/>
  <c r="A39348" i="19"/>
  <c r="A39347" i="19"/>
  <c r="A39346" i="19"/>
  <c r="A39345" i="19"/>
  <c r="A39344" i="19"/>
  <c r="A39343" i="19"/>
  <c r="A39342" i="19"/>
  <c r="A39341" i="19"/>
  <c r="A39340" i="19"/>
  <c r="A39339" i="19"/>
  <c r="A39338" i="19"/>
  <c r="A39337" i="19"/>
  <c r="A39336" i="19"/>
  <c r="A39335" i="19"/>
  <c r="A39334" i="19"/>
  <c r="A39333" i="19"/>
  <c r="A39332" i="19"/>
  <c r="A39331" i="19"/>
  <c r="A39330" i="19"/>
  <c r="A39329" i="19"/>
  <c r="A39328" i="19"/>
  <c r="A39327" i="19"/>
  <c r="A39326" i="19"/>
  <c r="A39325" i="19"/>
  <c r="A39324" i="19"/>
  <c r="A39323" i="19"/>
  <c r="A39322" i="19"/>
  <c r="A39321" i="19"/>
  <c r="A39320" i="19"/>
  <c r="A39319" i="19"/>
  <c r="A39318" i="19"/>
  <c r="A39317" i="19"/>
  <c r="A39316" i="19"/>
  <c r="A39315" i="19"/>
  <c r="A39314" i="19"/>
  <c r="A39313" i="19"/>
  <c r="A39312" i="19"/>
  <c r="A39311" i="19"/>
  <c r="A39310" i="19"/>
  <c r="A39309" i="19"/>
  <c r="A39308" i="19"/>
  <c r="A39307" i="19"/>
  <c r="A39306" i="19"/>
  <c r="A39305" i="19"/>
  <c r="A39304" i="19"/>
  <c r="A39303" i="19"/>
  <c r="A39302" i="19"/>
  <c r="A39301" i="19"/>
  <c r="A39300" i="19"/>
  <c r="A39299" i="19"/>
  <c r="A39298" i="19"/>
  <c r="A39297" i="19"/>
  <c r="A39296" i="19"/>
  <c r="A39295" i="19"/>
  <c r="A39294" i="19"/>
  <c r="A39293" i="19"/>
  <c r="A39292" i="19"/>
  <c r="A39291" i="19"/>
  <c r="A39290" i="19"/>
  <c r="A39289" i="19"/>
  <c r="A39288" i="19"/>
  <c r="A39287" i="19"/>
  <c r="A39286" i="19"/>
  <c r="A39285" i="19"/>
  <c r="A39284" i="19"/>
  <c r="A39283" i="19"/>
  <c r="A39282" i="19"/>
  <c r="A39281" i="19"/>
  <c r="A39280" i="19"/>
  <c r="A39279" i="19"/>
  <c r="A39278" i="19"/>
  <c r="A39277" i="19"/>
  <c r="A39276" i="19"/>
  <c r="A39275" i="19"/>
  <c r="A39274" i="19"/>
  <c r="A39273" i="19"/>
  <c r="A39272" i="19"/>
  <c r="A39271" i="19"/>
  <c r="A39270" i="19"/>
  <c r="A39269" i="19"/>
  <c r="A39268" i="19"/>
  <c r="A39267" i="19"/>
  <c r="A39266" i="19"/>
  <c r="A39265" i="19"/>
  <c r="A39264" i="19"/>
  <c r="A39263" i="19"/>
  <c r="A39262" i="19"/>
  <c r="A39261" i="19"/>
  <c r="A39260" i="19"/>
  <c r="A39259" i="19"/>
  <c r="A39258" i="19"/>
  <c r="A39257" i="19"/>
  <c r="A39256" i="19"/>
  <c r="A39255" i="19"/>
  <c r="A39254" i="19"/>
  <c r="A39253" i="19"/>
  <c r="A39252" i="19"/>
  <c r="A39251" i="19"/>
  <c r="A39250" i="19"/>
  <c r="A39249" i="19"/>
  <c r="A39248" i="19"/>
  <c r="A39247" i="19"/>
  <c r="A39246" i="19"/>
  <c r="A39245" i="19"/>
  <c r="A39244" i="19"/>
  <c r="A39243" i="19"/>
  <c r="A39242" i="19"/>
  <c r="A39241" i="19"/>
  <c r="A39240" i="19"/>
  <c r="A39239" i="19"/>
  <c r="A39238" i="19"/>
  <c r="A39237" i="19"/>
  <c r="A39236" i="19"/>
  <c r="A39235" i="19"/>
  <c r="A39234" i="19"/>
  <c r="A39233" i="19"/>
  <c r="A39232" i="19"/>
  <c r="A39231" i="19"/>
  <c r="A39230" i="19"/>
  <c r="A39229" i="19"/>
  <c r="A39228" i="19"/>
  <c r="A39227" i="19"/>
  <c r="A39226" i="19"/>
  <c r="A39225" i="19"/>
  <c r="A39224" i="19"/>
  <c r="A39223" i="19"/>
  <c r="A39222" i="19"/>
  <c r="A39221" i="19"/>
  <c r="A39220" i="19"/>
  <c r="A39219" i="19"/>
  <c r="A39218" i="19"/>
  <c r="A39217" i="19"/>
  <c r="A39216" i="19"/>
  <c r="A39215" i="19"/>
  <c r="A39214" i="19"/>
  <c r="A39213" i="19"/>
  <c r="A39212" i="19"/>
  <c r="A39211" i="19"/>
  <c r="A39210" i="19"/>
  <c r="A39209" i="19"/>
  <c r="A39208" i="19"/>
  <c r="A39207" i="19"/>
  <c r="A39206" i="19"/>
  <c r="A39205" i="19"/>
  <c r="A39204" i="19"/>
  <c r="A39203" i="19"/>
  <c r="A39202" i="19"/>
  <c r="A39201" i="19"/>
  <c r="A39200" i="19"/>
  <c r="A39199" i="19"/>
  <c r="A39198" i="19"/>
  <c r="A39197" i="19"/>
  <c r="A39196" i="19"/>
  <c r="A39195" i="19"/>
  <c r="A39194" i="19"/>
  <c r="A39193" i="19"/>
  <c r="A39192" i="19"/>
  <c r="A39191" i="19"/>
  <c r="A39190" i="19"/>
  <c r="A39189" i="19"/>
  <c r="A39188" i="19"/>
  <c r="A39187" i="19"/>
  <c r="A39186" i="19"/>
  <c r="A39185" i="19"/>
  <c r="A39184" i="19"/>
  <c r="A39183" i="19"/>
  <c r="A39182" i="19"/>
  <c r="A39181" i="19"/>
  <c r="A39180" i="19"/>
  <c r="A39179" i="19"/>
  <c r="A39178" i="19"/>
  <c r="A39177" i="19"/>
  <c r="A39176" i="19"/>
  <c r="A39175" i="19"/>
  <c r="A39174" i="19"/>
  <c r="A39173" i="19"/>
  <c r="A39172" i="19"/>
  <c r="A39171" i="19"/>
  <c r="A39170" i="19"/>
  <c r="A39169" i="19"/>
  <c r="A39168" i="19"/>
  <c r="A39167" i="19"/>
  <c r="A39166" i="19"/>
  <c r="A39165" i="19"/>
  <c r="A39164" i="19"/>
  <c r="A39163" i="19"/>
  <c r="A39162" i="19"/>
  <c r="A39161" i="19"/>
  <c r="A39160" i="19"/>
  <c r="A39159" i="19"/>
  <c r="A39158" i="19"/>
  <c r="A39157" i="19"/>
  <c r="A39156" i="19"/>
  <c r="A39155" i="19"/>
  <c r="A39154" i="19"/>
  <c r="A39153" i="19"/>
  <c r="A39152" i="19"/>
  <c r="A39151" i="19"/>
  <c r="A39150" i="19"/>
  <c r="A39149" i="19"/>
  <c r="A39148" i="19"/>
  <c r="A39147" i="19"/>
  <c r="A39146" i="19"/>
  <c r="A39145" i="19"/>
  <c r="A39144" i="19"/>
  <c r="A39143" i="19"/>
  <c r="A39142" i="19"/>
  <c r="A39141" i="19"/>
  <c r="A39140" i="19"/>
  <c r="A39139" i="19"/>
  <c r="A39138" i="19"/>
  <c r="A39137" i="19"/>
  <c r="A39136" i="19"/>
  <c r="A39135" i="19"/>
  <c r="A39134" i="19"/>
  <c r="A39133" i="19"/>
  <c r="A39132" i="19"/>
  <c r="A39131" i="19"/>
  <c r="A39130" i="19"/>
  <c r="A39129" i="19"/>
  <c r="A39128" i="19"/>
  <c r="A39127" i="19"/>
  <c r="A39126" i="19"/>
  <c r="A39125" i="19"/>
  <c r="A39124" i="19"/>
  <c r="A39123" i="19"/>
  <c r="A39122" i="19"/>
  <c r="A39121" i="19"/>
  <c r="A39120" i="19"/>
  <c r="A39119" i="19"/>
  <c r="A39118" i="19"/>
  <c r="A39117" i="19"/>
  <c r="A39116" i="19"/>
  <c r="A39115" i="19"/>
  <c r="A39114" i="19"/>
  <c r="A39113" i="19"/>
  <c r="A39112" i="19"/>
  <c r="A39111" i="19"/>
  <c r="A39110" i="19"/>
  <c r="A39109" i="19"/>
  <c r="A39108" i="19"/>
  <c r="A39107" i="19"/>
  <c r="A39106" i="19"/>
  <c r="A39105" i="19"/>
  <c r="A39104" i="19"/>
  <c r="A39103" i="19"/>
  <c r="A39102" i="19"/>
  <c r="A39101" i="19"/>
  <c r="A39100" i="19"/>
  <c r="A39099" i="19"/>
  <c r="A39098" i="19"/>
  <c r="A39097" i="19"/>
  <c r="A39096" i="19"/>
  <c r="A39095" i="19"/>
  <c r="A39094" i="19"/>
  <c r="A39093" i="19"/>
  <c r="A39092" i="19"/>
  <c r="A39091" i="19"/>
  <c r="A39090" i="19"/>
  <c r="A39089" i="19"/>
  <c r="A39088" i="19"/>
  <c r="A39087" i="19"/>
  <c r="A39086" i="19"/>
  <c r="A39085" i="19"/>
  <c r="A39084" i="19"/>
  <c r="A39083" i="19"/>
  <c r="A39082" i="19"/>
  <c r="A39081" i="19"/>
  <c r="A39080" i="19"/>
  <c r="A39079" i="19"/>
  <c r="A39078" i="19"/>
  <c r="A39077" i="19"/>
  <c r="A39076" i="19"/>
  <c r="A39075" i="19"/>
  <c r="A39074" i="19"/>
  <c r="A39073" i="19"/>
  <c r="A39072" i="19"/>
  <c r="A39071" i="19"/>
  <c r="A39070" i="19"/>
  <c r="A39069" i="19"/>
  <c r="A39068" i="19"/>
  <c r="A39067" i="19"/>
  <c r="A39066" i="19"/>
  <c r="A39065" i="19"/>
  <c r="A39064" i="19"/>
  <c r="A39063" i="19"/>
  <c r="A39062" i="19"/>
  <c r="A39061" i="19"/>
  <c r="A39060" i="19"/>
  <c r="A39059" i="19"/>
  <c r="A39058" i="19"/>
  <c r="A39057" i="19"/>
  <c r="A39056" i="19"/>
  <c r="A39055" i="19"/>
  <c r="A39054" i="19"/>
  <c r="A39053" i="19"/>
  <c r="A39052" i="19"/>
  <c r="A39051" i="19"/>
  <c r="A39050" i="19"/>
  <c r="A39049" i="19"/>
  <c r="A39048" i="19"/>
  <c r="A39047" i="19"/>
  <c r="A39046" i="19"/>
  <c r="A39045" i="19"/>
  <c r="A39044" i="19"/>
  <c r="A39043" i="19"/>
  <c r="A39042" i="19"/>
  <c r="A39041" i="19"/>
  <c r="A39040" i="19"/>
  <c r="A39039" i="19"/>
  <c r="A39038" i="19"/>
  <c r="A39037" i="19"/>
  <c r="A39036" i="19"/>
  <c r="A39035" i="19"/>
  <c r="A39034" i="19"/>
  <c r="A39033" i="19"/>
  <c r="A39032" i="19"/>
  <c r="A39031" i="19"/>
  <c r="A39030" i="19"/>
  <c r="A39029" i="19"/>
  <c r="A39028" i="19"/>
  <c r="A39027" i="19"/>
  <c r="A39026" i="19"/>
  <c r="A39025" i="19"/>
  <c r="A39024" i="19"/>
  <c r="A39023" i="19"/>
  <c r="A39022" i="19"/>
  <c r="A39021" i="19"/>
  <c r="A39020" i="19"/>
  <c r="A39019" i="19"/>
  <c r="A39018" i="19"/>
  <c r="A39017" i="19"/>
  <c r="A39016" i="19"/>
  <c r="A39015" i="19"/>
  <c r="A39014" i="19"/>
  <c r="A39013" i="19"/>
  <c r="A39012" i="19"/>
  <c r="A39011" i="19"/>
  <c r="A39010" i="19"/>
  <c r="A39009" i="19"/>
  <c r="A39008" i="19"/>
  <c r="A39007" i="19"/>
  <c r="A39006" i="19"/>
  <c r="A39005" i="19"/>
  <c r="A39004" i="19"/>
  <c r="A39003" i="19"/>
  <c r="A39002" i="19"/>
  <c r="A39001" i="19"/>
  <c r="A39000" i="19"/>
  <c r="A38999" i="19"/>
  <c r="A38998" i="19"/>
  <c r="A38997" i="19"/>
  <c r="A38996" i="19"/>
  <c r="A38995" i="19"/>
  <c r="A38994" i="19"/>
  <c r="A38993" i="19"/>
  <c r="A38992" i="19"/>
  <c r="A38991" i="19"/>
  <c r="A38990" i="19"/>
  <c r="A38989" i="19"/>
  <c r="A38988" i="19"/>
  <c r="A38987" i="19"/>
  <c r="A38986" i="19"/>
  <c r="A38985" i="19"/>
  <c r="A38984" i="19"/>
  <c r="A38983" i="19"/>
  <c r="A38982" i="19"/>
  <c r="A38981" i="19"/>
  <c r="A38980" i="19"/>
  <c r="A38979" i="19"/>
  <c r="A38978" i="19"/>
  <c r="A38977" i="19"/>
  <c r="A38976" i="19"/>
  <c r="A38975" i="19"/>
  <c r="A38974" i="19"/>
  <c r="A38973" i="19"/>
  <c r="A38972" i="19"/>
  <c r="A38971" i="19"/>
  <c r="A38970" i="19"/>
  <c r="A38969" i="19"/>
  <c r="A38968" i="19"/>
  <c r="A38967" i="19"/>
  <c r="A38966" i="19"/>
  <c r="A38965" i="19"/>
  <c r="A38964" i="19"/>
  <c r="A38963" i="19"/>
  <c r="A38962" i="19"/>
  <c r="A38961" i="19"/>
  <c r="A38960" i="19"/>
  <c r="A38959" i="19"/>
  <c r="A38958" i="19"/>
  <c r="A38957" i="19"/>
  <c r="A38956" i="19"/>
  <c r="A38955" i="19"/>
  <c r="A38954" i="19"/>
  <c r="A38953" i="19"/>
  <c r="A38952" i="19"/>
  <c r="A38951" i="19"/>
  <c r="A38950" i="19"/>
  <c r="A38949" i="19"/>
  <c r="A38948" i="19"/>
  <c r="A38947" i="19"/>
  <c r="A38946" i="19"/>
  <c r="A38945" i="19"/>
  <c r="A38944" i="19"/>
  <c r="A38943" i="19"/>
  <c r="A38942" i="19"/>
  <c r="A38941" i="19"/>
  <c r="A38940" i="19"/>
  <c r="A38939" i="19"/>
  <c r="A38938" i="19"/>
  <c r="A38937" i="19"/>
  <c r="A38936" i="19"/>
  <c r="A38935" i="19"/>
  <c r="A38934" i="19"/>
  <c r="A38933" i="19"/>
  <c r="A38932" i="19"/>
  <c r="A38931" i="19"/>
  <c r="A38930" i="19"/>
  <c r="A38929" i="19"/>
  <c r="A38928" i="19"/>
  <c r="A38927" i="19"/>
  <c r="A38926" i="19"/>
  <c r="A38925" i="19"/>
  <c r="A38924" i="19"/>
  <c r="A38923" i="19"/>
  <c r="A38922" i="19"/>
  <c r="A38921" i="19"/>
  <c r="A38920" i="19"/>
  <c r="A38919" i="19"/>
  <c r="A38918" i="19"/>
  <c r="A38917" i="19"/>
  <c r="A38916" i="19"/>
  <c r="A38915" i="19"/>
  <c r="A38914" i="19"/>
  <c r="A38913" i="19"/>
  <c r="A38912" i="19"/>
  <c r="A38911" i="19"/>
  <c r="A38910" i="19"/>
  <c r="A38909" i="19"/>
  <c r="A38908" i="19"/>
  <c r="A38907" i="19"/>
  <c r="A38906" i="19"/>
  <c r="A38905" i="19"/>
  <c r="A38904" i="19"/>
  <c r="A38903" i="19"/>
  <c r="A38902" i="19"/>
  <c r="A38901" i="19"/>
  <c r="A38900" i="19"/>
  <c r="A38899" i="19"/>
  <c r="A38898" i="19"/>
  <c r="A38897" i="19"/>
  <c r="A38896" i="19"/>
  <c r="A38895" i="19"/>
  <c r="A38894" i="19"/>
  <c r="A38893" i="19"/>
  <c r="A38892" i="19"/>
  <c r="A38891" i="19"/>
  <c r="A38890" i="19"/>
  <c r="A38889" i="19"/>
  <c r="A38888" i="19"/>
  <c r="A38887" i="19"/>
  <c r="A38886" i="19"/>
  <c r="A38885" i="19"/>
  <c r="A38884" i="19"/>
  <c r="A38883" i="19"/>
  <c r="A38882" i="19"/>
  <c r="A38881" i="19"/>
  <c r="A38880" i="19"/>
  <c r="A38879" i="19"/>
  <c r="A38878" i="19"/>
  <c r="A38877" i="19"/>
  <c r="A38876" i="19"/>
  <c r="A38875" i="19"/>
  <c r="A38874" i="19"/>
  <c r="A38873" i="19"/>
  <c r="A38872" i="19"/>
  <c r="A38871" i="19"/>
  <c r="A38870" i="19"/>
  <c r="A38869" i="19"/>
  <c r="A38868" i="19"/>
  <c r="A38867" i="19"/>
  <c r="A38866" i="19"/>
  <c r="A38865" i="19"/>
  <c r="A38864" i="19"/>
  <c r="A38863" i="19"/>
  <c r="A38862" i="19"/>
  <c r="A38861" i="19"/>
  <c r="A38860" i="19"/>
  <c r="A38859" i="19"/>
  <c r="A38858" i="19"/>
  <c r="A38857" i="19"/>
  <c r="A38856" i="19"/>
  <c r="A38855" i="19"/>
  <c r="A38854" i="19"/>
  <c r="A38853" i="19"/>
  <c r="A38852" i="19"/>
  <c r="A38851" i="19"/>
  <c r="A38850" i="19"/>
  <c r="A38849" i="19"/>
  <c r="A38848" i="19"/>
  <c r="A38847" i="19"/>
  <c r="A38846" i="19"/>
  <c r="A38845" i="19"/>
  <c r="A38844" i="19"/>
  <c r="A38843" i="19"/>
  <c r="A38842" i="19"/>
  <c r="A38841" i="19"/>
  <c r="A38840" i="19"/>
  <c r="A38839" i="19"/>
  <c r="A38838" i="19"/>
  <c r="A38837" i="19"/>
  <c r="A38836" i="19"/>
  <c r="A38835" i="19"/>
  <c r="A38834" i="19"/>
  <c r="A38833" i="19"/>
  <c r="A38832" i="19"/>
  <c r="A38831" i="19"/>
  <c r="A38830" i="19"/>
  <c r="A38829" i="19"/>
  <c r="A38828" i="19"/>
  <c r="A38827" i="19"/>
  <c r="A38826" i="19"/>
  <c r="A38825" i="19"/>
  <c r="A38824" i="19"/>
  <c r="A38823" i="19"/>
  <c r="A38822" i="19"/>
  <c r="A38821" i="19"/>
  <c r="A38820" i="19"/>
  <c r="A38819" i="19"/>
  <c r="A38818" i="19"/>
  <c r="A38817" i="19"/>
  <c r="A38816" i="19"/>
  <c r="A38815" i="19"/>
  <c r="A38814" i="19"/>
  <c r="A38813" i="19"/>
  <c r="A38812" i="19"/>
  <c r="A38811" i="19"/>
  <c r="A38810" i="19"/>
  <c r="A38809" i="19"/>
  <c r="A38808" i="19"/>
  <c r="A38807" i="19"/>
  <c r="A38806" i="19"/>
  <c r="A38805" i="19"/>
  <c r="A38804" i="19"/>
  <c r="A38803" i="19"/>
  <c r="A38802" i="19"/>
  <c r="A38801" i="19"/>
  <c r="A38800" i="19"/>
  <c r="A38799" i="19"/>
  <c r="A38798" i="19"/>
  <c r="A38797" i="19"/>
  <c r="A38796" i="19"/>
  <c r="A38795" i="19"/>
  <c r="A38794" i="19"/>
  <c r="A38793" i="19"/>
  <c r="A38792" i="19"/>
  <c r="A38791" i="19"/>
  <c r="A38790" i="19"/>
  <c r="A38789" i="19"/>
  <c r="A38788" i="19"/>
  <c r="A38787" i="19"/>
  <c r="A38786" i="19"/>
  <c r="A38785" i="19"/>
  <c r="A38784" i="19"/>
  <c r="A38783" i="19"/>
  <c r="A38782" i="19"/>
  <c r="A38781" i="19"/>
  <c r="A38780" i="19"/>
  <c r="A38779" i="19"/>
  <c r="A38778" i="19"/>
  <c r="A38777" i="19"/>
  <c r="A38776" i="19"/>
  <c r="A38775" i="19"/>
  <c r="A38774" i="19"/>
  <c r="A38773" i="19"/>
  <c r="A38772" i="19"/>
  <c r="A38771" i="19"/>
  <c r="A38770" i="19"/>
  <c r="A38769" i="19"/>
  <c r="A38768" i="19"/>
  <c r="A38767" i="19"/>
  <c r="A38766" i="19"/>
  <c r="A38765" i="19"/>
  <c r="A38764" i="19"/>
  <c r="A38763" i="19"/>
  <c r="A38762" i="19"/>
  <c r="A38761" i="19"/>
  <c r="A38760" i="19"/>
  <c r="A38759" i="19"/>
  <c r="A38758" i="19"/>
  <c r="A38757" i="19"/>
  <c r="A38756" i="19"/>
  <c r="A38755" i="19"/>
  <c r="A38754" i="19"/>
  <c r="A38753" i="19"/>
  <c r="A38752" i="19"/>
  <c r="A38751" i="19"/>
  <c r="A38750" i="19"/>
  <c r="A38749" i="19"/>
  <c r="A38748" i="19"/>
  <c r="A38747" i="19"/>
  <c r="A38746" i="19"/>
  <c r="A38745" i="19"/>
  <c r="A38744" i="19"/>
  <c r="A38743" i="19"/>
  <c r="A38742" i="19"/>
  <c r="A38741" i="19"/>
  <c r="A38740" i="19"/>
  <c r="A38739" i="19"/>
  <c r="A38738" i="19"/>
  <c r="A38737" i="19"/>
  <c r="A38736" i="19"/>
  <c r="A38735" i="19"/>
  <c r="A38734" i="19"/>
  <c r="A38733" i="19"/>
  <c r="A38732" i="19"/>
  <c r="A38731" i="19"/>
  <c r="A38730" i="19"/>
  <c r="A38729" i="19"/>
  <c r="A38728" i="19"/>
  <c r="A38727" i="19"/>
  <c r="A38726" i="19"/>
  <c r="A38725" i="19"/>
  <c r="A38724" i="19"/>
  <c r="A38723" i="19"/>
  <c r="A38722" i="19"/>
  <c r="A38721" i="19"/>
  <c r="A38720" i="19"/>
  <c r="A38719" i="19"/>
  <c r="A38718" i="19"/>
  <c r="A38717" i="19"/>
  <c r="A38716" i="19"/>
  <c r="A38715" i="19"/>
  <c r="A38714" i="19"/>
  <c r="A38713" i="19"/>
  <c r="A38712" i="19"/>
  <c r="A38711" i="19"/>
  <c r="A38710" i="19"/>
  <c r="A38709" i="19"/>
  <c r="A38708" i="19"/>
  <c r="A38707" i="19"/>
  <c r="A38706" i="19"/>
  <c r="A38705" i="19"/>
  <c r="A38704" i="19"/>
  <c r="A38703" i="19"/>
  <c r="A38702" i="19"/>
  <c r="A38701" i="19"/>
  <c r="A38700" i="19"/>
  <c r="A38699" i="19"/>
  <c r="A38698" i="19"/>
  <c r="A38697" i="19"/>
  <c r="A38696" i="19"/>
  <c r="A38695" i="19"/>
  <c r="A38694" i="19"/>
  <c r="A38693" i="19"/>
  <c r="A38692" i="19"/>
  <c r="A38691" i="19"/>
  <c r="A38690" i="19"/>
  <c r="A38689" i="19"/>
  <c r="A38688" i="19"/>
  <c r="A38687" i="19"/>
  <c r="A38686" i="19"/>
  <c r="A38685" i="19"/>
  <c r="A38684" i="19"/>
  <c r="A38683" i="19"/>
  <c r="A38682" i="19"/>
  <c r="A38681" i="19"/>
  <c r="A38680" i="19"/>
  <c r="A38679" i="19"/>
  <c r="A38678" i="19"/>
  <c r="A38677" i="19"/>
  <c r="A38676" i="19"/>
  <c r="A38675" i="19"/>
  <c r="A38674" i="19"/>
  <c r="A38673" i="19"/>
  <c r="A38672" i="19"/>
  <c r="A38671" i="19"/>
  <c r="A38670" i="19"/>
  <c r="A38669" i="19"/>
  <c r="A38668" i="19"/>
  <c r="A38667" i="19"/>
  <c r="A38666" i="19"/>
  <c r="A38665" i="19"/>
  <c r="A38664" i="19"/>
  <c r="A38663" i="19"/>
  <c r="A38662" i="19"/>
  <c r="A38661" i="19"/>
  <c r="A38660" i="19"/>
  <c r="A38659" i="19"/>
  <c r="A38658" i="19"/>
  <c r="A38657" i="19"/>
  <c r="A38656" i="19"/>
  <c r="A38655" i="19"/>
  <c r="A38654" i="19"/>
  <c r="A38653" i="19"/>
  <c r="A38652" i="19"/>
  <c r="A38651" i="19"/>
  <c r="A38650" i="19"/>
  <c r="A38649" i="19"/>
  <c r="A38648" i="19"/>
  <c r="A38647" i="19"/>
  <c r="A38646" i="19"/>
  <c r="A38645" i="19"/>
  <c r="A38644" i="19"/>
  <c r="A38643" i="19"/>
  <c r="A38642" i="19"/>
  <c r="A38641" i="19"/>
  <c r="A38640" i="19"/>
  <c r="A38639" i="19"/>
  <c r="A38638" i="19"/>
  <c r="A38637" i="19"/>
  <c r="A38636" i="19"/>
  <c r="A38635" i="19"/>
  <c r="A38634" i="19"/>
  <c r="A38633" i="19"/>
  <c r="A38632" i="19"/>
  <c r="A38631" i="19"/>
  <c r="A38630" i="19"/>
  <c r="A38629" i="19"/>
  <c r="A38628" i="19"/>
  <c r="A38627" i="19"/>
  <c r="A38626" i="19"/>
  <c r="A38625" i="19"/>
  <c r="A38624" i="19"/>
  <c r="A38623" i="19"/>
  <c r="A38622" i="19"/>
  <c r="A38621" i="19"/>
  <c r="A38620" i="19"/>
  <c r="A38619" i="19"/>
  <c r="A38618" i="19"/>
  <c r="A38617" i="19"/>
  <c r="A38616" i="19"/>
  <c r="A38615" i="19"/>
  <c r="A38614" i="19"/>
  <c r="A38613" i="19"/>
  <c r="A38612" i="19"/>
  <c r="A38611" i="19"/>
  <c r="A38610" i="19"/>
  <c r="A38609" i="19"/>
  <c r="A38608" i="19"/>
  <c r="A38607" i="19"/>
  <c r="A38606" i="19"/>
  <c r="A38605" i="19"/>
  <c r="A38604" i="19"/>
  <c r="A38603" i="19"/>
  <c r="A38602" i="19"/>
  <c r="A38601" i="19"/>
  <c r="A38600" i="19"/>
  <c r="A38599" i="19"/>
  <c r="A38598" i="19"/>
  <c r="A38597" i="19"/>
  <c r="A38596" i="19"/>
  <c r="A38595" i="19"/>
  <c r="A38594" i="19"/>
  <c r="A38593" i="19"/>
  <c r="A38592" i="19"/>
  <c r="A38591" i="19"/>
  <c r="A38590" i="19"/>
  <c r="A38589" i="19"/>
  <c r="A38588" i="19"/>
  <c r="A38587" i="19"/>
  <c r="A38586" i="19"/>
  <c r="A38585" i="19"/>
  <c r="A38584" i="19"/>
  <c r="A38583" i="19"/>
  <c r="A38582" i="19"/>
  <c r="A38581" i="19"/>
  <c r="A38580" i="19"/>
  <c r="A38579" i="19"/>
  <c r="A38578" i="19"/>
  <c r="A38577" i="19"/>
  <c r="A38576" i="19"/>
  <c r="A38575" i="19"/>
  <c r="A38574" i="19"/>
  <c r="A38573" i="19"/>
  <c r="A38572" i="19"/>
  <c r="A38571" i="19"/>
  <c r="A38570" i="19"/>
  <c r="A38569" i="19"/>
  <c r="A38568" i="19"/>
  <c r="A38567" i="19"/>
  <c r="A38566" i="19"/>
  <c r="A38565" i="19"/>
  <c r="A38564" i="19"/>
  <c r="A38563" i="19"/>
  <c r="A38562" i="19"/>
  <c r="A38561" i="19"/>
  <c r="A38560" i="19"/>
  <c r="A38559" i="19"/>
  <c r="A38558" i="19"/>
  <c r="A38557" i="19"/>
  <c r="A38556" i="19"/>
  <c r="A38555" i="19"/>
  <c r="A38554" i="19"/>
  <c r="A38553" i="19"/>
  <c r="A38552" i="19"/>
  <c r="A38551" i="19"/>
  <c r="A38550" i="19"/>
  <c r="A38549" i="19"/>
  <c r="A38548" i="19"/>
  <c r="A38547" i="19"/>
  <c r="A38546" i="19"/>
  <c r="A38545" i="19"/>
  <c r="A38544" i="19"/>
  <c r="A38543" i="19"/>
  <c r="A38542" i="19"/>
  <c r="A38541" i="19"/>
  <c r="A38540" i="19"/>
  <c r="A38539" i="19"/>
  <c r="A38538" i="19"/>
  <c r="A38537" i="19"/>
  <c r="A38536" i="19"/>
  <c r="A38535" i="19"/>
  <c r="A38534" i="19"/>
  <c r="A38533" i="19"/>
  <c r="A38532" i="19"/>
  <c r="A38531" i="19"/>
  <c r="A38530" i="19"/>
  <c r="A38529" i="19"/>
  <c r="A38528" i="19"/>
  <c r="A38527" i="19"/>
  <c r="A38526" i="19"/>
  <c r="A38525" i="19"/>
  <c r="A38524" i="19"/>
  <c r="A38523" i="19"/>
  <c r="A38522" i="19"/>
  <c r="A38521" i="19"/>
  <c r="A38520" i="19"/>
  <c r="A38519" i="19"/>
  <c r="A38518" i="19"/>
  <c r="A38517" i="19"/>
  <c r="A38516" i="19"/>
  <c r="A38515" i="19"/>
  <c r="A38514" i="19"/>
  <c r="A38513" i="19"/>
  <c r="A38512" i="19"/>
  <c r="A38511" i="19"/>
  <c r="A38510" i="19"/>
  <c r="A38509" i="19"/>
  <c r="A38508" i="19"/>
  <c r="A38507" i="19"/>
  <c r="A38506" i="19"/>
  <c r="A38505" i="19"/>
  <c r="A38504" i="19"/>
  <c r="A38503" i="19"/>
  <c r="A38502" i="19"/>
  <c r="A38501" i="19"/>
  <c r="A38500" i="19"/>
  <c r="A38499" i="19"/>
  <c r="A38498" i="19"/>
  <c r="A38497" i="19"/>
  <c r="A38496" i="19"/>
  <c r="A38495" i="19"/>
  <c r="A38494" i="19"/>
  <c r="A38493" i="19"/>
  <c r="A38492" i="19"/>
  <c r="A38491" i="19"/>
  <c r="A38490" i="19"/>
  <c r="A38489" i="19"/>
  <c r="A38488" i="19"/>
  <c r="A38487" i="19"/>
  <c r="A38486" i="19"/>
  <c r="A38485" i="19"/>
  <c r="A38484" i="19"/>
  <c r="A38483" i="19"/>
  <c r="A38482" i="19"/>
  <c r="A38481" i="19"/>
  <c r="A38480" i="19"/>
  <c r="A38479" i="19"/>
  <c r="A38478" i="19"/>
  <c r="A38477" i="19"/>
  <c r="A38476" i="19"/>
  <c r="A38475" i="19"/>
  <c r="A38474" i="19"/>
  <c r="A38473" i="19"/>
  <c r="A38472" i="19"/>
  <c r="A38471" i="19"/>
  <c r="A38470" i="19"/>
  <c r="A38469" i="19"/>
  <c r="A38468" i="19"/>
  <c r="A38467" i="19"/>
  <c r="A38466" i="19"/>
  <c r="A38465" i="19"/>
  <c r="A38464" i="19"/>
  <c r="A38463" i="19"/>
  <c r="A38462" i="19"/>
  <c r="A38461" i="19"/>
  <c r="A38460" i="19"/>
  <c r="A38459" i="19"/>
  <c r="A38458" i="19"/>
  <c r="A38457" i="19"/>
  <c r="A38456" i="19"/>
  <c r="A38455" i="19"/>
  <c r="A38454" i="19"/>
  <c r="A38453" i="19"/>
  <c r="A38452" i="19"/>
  <c r="A38451" i="19"/>
  <c r="A38450" i="19"/>
  <c r="A38449" i="19"/>
  <c r="A38448" i="19"/>
  <c r="A38447" i="19"/>
  <c r="A38446" i="19"/>
  <c r="A38445" i="19"/>
  <c r="A38444" i="19"/>
  <c r="A38443" i="19"/>
  <c r="A38442" i="19"/>
  <c r="A38441" i="19"/>
  <c r="A38440" i="19"/>
  <c r="A38439" i="19"/>
  <c r="A38438" i="19"/>
  <c r="A38437" i="19"/>
  <c r="A38436" i="19"/>
  <c r="A38435" i="19"/>
  <c r="A38434" i="19"/>
  <c r="A38433" i="19"/>
  <c r="A38432" i="19"/>
  <c r="A38431" i="19"/>
  <c r="A38430" i="19"/>
  <c r="A38429" i="19"/>
  <c r="A38428" i="19"/>
  <c r="A38427" i="19"/>
  <c r="A38426" i="19"/>
  <c r="A38425" i="19"/>
  <c r="A38424" i="19"/>
  <c r="A38423" i="19"/>
  <c r="A38422" i="19"/>
  <c r="A38421" i="19"/>
  <c r="A38420" i="19"/>
  <c r="A38419" i="19"/>
  <c r="A38418" i="19"/>
  <c r="A38417" i="19"/>
  <c r="A38416" i="19"/>
  <c r="A38415" i="19"/>
  <c r="A38414" i="19"/>
  <c r="A38413" i="19"/>
  <c r="A38412" i="19"/>
  <c r="A38411" i="19"/>
  <c r="A38410" i="19"/>
  <c r="A38409" i="19"/>
  <c r="A38408" i="19"/>
  <c r="A38407" i="19"/>
  <c r="A38406" i="19"/>
  <c r="A38405" i="19"/>
  <c r="A38404" i="19"/>
  <c r="A38403" i="19"/>
  <c r="A38402" i="19"/>
  <c r="A38401" i="19"/>
  <c r="A38400" i="19"/>
  <c r="A38399" i="19"/>
  <c r="A38398" i="19"/>
  <c r="A38397" i="19"/>
  <c r="A38396" i="19"/>
  <c r="A38395" i="19"/>
  <c r="A38394" i="19"/>
  <c r="A38393" i="19"/>
  <c r="A38392" i="19"/>
  <c r="A38391" i="19"/>
  <c r="A38390" i="19"/>
  <c r="A38389" i="19"/>
  <c r="A38388" i="19"/>
  <c r="A38387" i="19"/>
  <c r="A38386" i="19"/>
  <c r="A38385" i="19"/>
  <c r="A38384" i="19"/>
  <c r="A38383" i="19"/>
  <c r="A38382" i="19"/>
  <c r="A38381" i="19"/>
  <c r="A38380" i="19"/>
  <c r="A38379" i="19"/>
  <c r="A38378" i="19"/>
  <c r="A38377" i="19"/>
  <c r="A38376" i="19"/>
  <c r="A38375" i="19"/>
  <c r="A38374" i="19"/>
  <c r="A38373" i="19"/>
  <c r="A38372" i="19"/>
  <c r="A38371" i="19"/>
  <c r="A38370" i="19"/>
  <c r="A38369" i="19"/>
  <c r="A38368" i="19"/>
  <c r="A38367" i="19"/>
  <c r="A38366" i="19"/>
  <c r="A38365" i="19"/>
  <c r="A38364" i="19"/>
  <c r="A38363" i="19"/>
  <c r="A38362" i="19"/>
  <c r="A38361" i="19"/>
  <c r="A38360" i="19"/>
  <c r="A38359" i="19"/>
  <c r="A38358" i="19"/>
  <c r="A38357" i="19"/>
  <c r="A38356" i="19"/>
  <c r="A38355" i="19"/>
  <c r="A38354" i="19"/>
  <c r="A38353" i="19"/>
  <c r="A38352" i="19"/>
  <c r="A38351" i="19"/>
  <c r="A38350" i="19"/>
  <c r="A38349" i="19"/>
  <c r="A38348" i="19"/>
  <c r="A38347" i="19"/>
  <c r="A38346" i="19"/>
  <c r="A38345" i="19"/>
  <c r="A38344" i="19"/>
  <c r="A38343" i="19"/>
  <c r="A38342" i="19"/>
  <c r="A38341" i="19"/>
  <c r="A38340" i="19"/>
  <c r="A38339" i="19"/>
  <c r="A38338" i="19"/>
  <c r="A38337" i="19"/>
  <c r="A38336" i="19"/>
  <c r="A38335" i="19"/>
  <c r="A38334" i="19"/>
  <c r="A38333" i="19"/>
  <c r="A38332" i="19"/>
  <c r="A38331" i="19"/>
  <c r="A38330" i="19"/>
  <c r="A38329" i="19"/>
  <c r="A38328" i="19"/>
  <c r="A38327" i="19"/>
  <c r="A38326" i="19"/>
  <c r="A38325" i="19"/>
  <c r="A38324" i="19"/>
  <c r="A38323" i="19"/>
  <c r="A38322" i="19"/>
  <c r="A38321" i="19"/>
  <c r="A38320" i="19"/>
  <c r="A38319" i="19"/>
  <c r="A38318" i="19"/>
  <c r="A38317" i="19"/>
  <c r="A38316" i="19"/>
  <c r="A38315" i="19"/>
  <c r="A38314" i="19"/>
  <c r="A38313" i="19"/>
  <c r="A38312" i="19"/>
  <c r="A38311" i="19"/>
  <c r="A38310" i="19"/>
  <c r="A38309" i="19"/>
  <c r="A38308" i="19"/>
  <c r="A38307" i="19"/>
  <c r="A38306" i="19"/>
  <c r="A38305" i="19"/>
  <c r="A38304" i="19"/>
  <c r="A38303" i="19"/>
  <c r="A38302" i="19"/>
  <c r="A38301" i="19"/>
  <c r="A38300" i="19"/>
  <c r="A38299" i="19"/>
  <c r="A38298" i="19"/>
  <c r="A38297" i="19"/>
  <c r="A38296" i="19"/>
  <c r="A38295" i="19"/>
  <c r="A38294" i="19"/>
  <c r="A38293" i="19"/>
  <c r="A38292" i="19"/>
  <c r="A38291" i="19"/>
  <c r="A38290" i="19"/>
  <c r="A38289" i="19"/>
  <c r="A38288" i="19"/>
  <c r="A38287" i="19"/>
  <c r="A38286" i="19"/>
  <c r="A38285" i="19"/>
  <c r="A38284" i="19"/>
  <c r="A38283" i="19"/>
  <c r="A38282" i="19"/>
  <c r="A38281" i="19"/>
  <c r="A38280" i="19"/>
  <c r="A38279" i="19"/>
  <c r="A38278" i="19"/>
  <c r="A38277" i="19"/>
  <c r="A38276" i="19"/>
  <c r="A38275" i="19"/>
  <c r="A38274" i="19"/>
  <c r="A38273" i="19"/>
  <c r="A38272" i="19"/>
  <c r="A38271" i="19"/>
  <c r="A38270" i="19"/>
  <c r="A38269" i="19"/>
  <c r="A38268" i="19"/>
  <c r="A38267" i="19"/>
  <c r="A38266" i="19"/>
  <c r="A38265" i="19"/>
  <c r="A38264" i="19"/>
  <c r="A38263" i="19"/>
  <c r="A38262" i="19"/>
  <c r="A38261" i="19"/>
  <c r="A38260" i="19"/>
  <c r="A38259" i="19"/>
  <c r="A38258" i="19"/>
  <c r="A38257" i="19"/>
  <c r="A38256" i="19"/>
  <c r="A38255" i="19"/>
  <c r="A38254" i="19"/>
  <c r="A38253" i="19"/>
  <c r="A38252" i="19"/>
  <c r="A38251" i="19"/>
  <c r="A38250" i="19"/>
  <c r="A38249" i="19"/>
  <c r="A38248" i="19"/>
  <c r="A38247" i="19"/>
  <c r="A38246" i="19"/>
  <c r="A38245" i="19"/>
  <c r="A38244" i="19"/>
  <c r="A38243" i="19"/>
  <c r="A38242" i="19"/>
  <c r="A38241" i="19"/>
  <c r="A38240" i="19"/>
  <c r="A38239" i="19"/>
  <c r="A38238" i="19"/>
  <c r="A38237" i="19"/>
  <c r="A38236" i="19"/>
  <c r="A38235" i="19"/>
  <c r="A38234" i="19"/>
  <c r="A38233" i="19"/>
  <c r="A38232" i="19"/>
  <c r="A38231" i="19"/>
  <c r="A38230" i="19"/>
  <c r="A38229" i="19"/>
  <c r="A38228" i="19"/>
  <c r="A38227" i="19"/>
  <c r="A38226" i="19"/>
  <c r="A38225" i="19"/>
  <c r="A38224" i="19"/>
  <c r="A38223" i="19"/>
  <c r="A38222" i="19"/>
  <c r="A38221" i="19"/>
  <c r="A38220" i="19"/>
  <c r="A38219" i="19"/>
  <c r="A38218" i="19"/>
  <c r="A38217" i="19"/>
  <c r="A38216" i="19"/>
  <c r="A38215" i="19"/>
  <c r="A38214" i="19"/>
  <c r="A38213" i="19"/>
  <c r="A38212" i="19"/>
  <c r="A38211" i="19"/>
  <c r="A38210" i="19"/>
  <c r="A38209" i="19"/>
  <c r="A38208" i="19"/>
  <c r="A38207" i="19"/>
  <c r="A38206" i="19"/>
  <c r="A38205" i="19"/>
  <c r="A38204" i="19"/>
  <c r="A38203" i="19"/>
  <c r="A38202" i="19"/>
  <c r="A38201" i="19"/>
  <c r="A38200" i="19"/>
  <c r="A38199" i="19"/>
  <c r="A38198" i="19"/>
  <c r="A38197" i="19"/>
  <c r="A38196" i="19"/>
  <c r="A38195" i="19"/>
  <c r="A38194" i="19"/>
  <c r="A38193" i="19"/>
  <c r="A38192" i="19"/>
  <c r="A38191" i="19"/>
  <c r="A38190" i="19"/>
  <c r="A38189" i="19"/>
  <c r="A38188" i="19"/>
  <c r="A38187" i="19"/>
  <c r="A38186" i="19"/>
  <c r="A38185" i="19"/>
  <c r="A38184" i="19"/>
  <c r="A38183" i="19"/>
  <c r="A38182" i="19"/>
  <c r="A38181" i="19"/>
  <c r="A38180" i="19"/>
  <c r="A38179" i="19"/>
  <c r="A38178" i="19"/>
  <c r="A38177" i="19"/>
  <c r="A38176" i="19"/>
  <c r="A38175" i="19"/>
  <c r="A38174" i="19"/>
  <c r="A38173" i="19"/>
  <c r="A38172" i="19"/>
  <c r="A38171" i="19"/>
  <c r="A38170" i="19"/>
  <c r="A38169" i="19"/>
  <c r="A38168" i="19"/>
  <c r="A38167" i="19"/>
  <c r="A38166" i="19"/>
  <c r="A38165" i="19"/>
  <c r="A38164" i="19"/>
  <c r="A38163" i="19"/>
  <c r="A38162" i="19"/>
  <c r="A38161" i="19"/>
  <c r="A38160" i="19"/>
  <c r="A38159" i="19"/>
  <c r="A38158" i="19"/>
  <c r="A38157" i="19"/>
  <c r="A38156" i="19"/>
  <c r="A38155" i="19"/>
  <c r="A38154" i="19"/>
  <c r="A38153" i="19"/>
  <c r="A38152" i="19"/>
  <c r="A38151" i="19"/>
  <c r="A38150" i="19"/>
  <c r="A38149" i="19"/>
  <c r="A38148" i="19"/>
  <c r="A38147" i="19"/>
  <c r="A38146" i="19"/>
  <c r="A38145" i="19"/>
  <c r="A38144" i="19"/>
  <c r="A38143" i="19"/>
  <c r="A38142" i="19"/>
  <c r="A38141" i="19"/>
  <c r="A38140" i="19"/>
  <c r="A38139" i="19"/>
  <c r="A38138" i="19"/>
  <c r="A38137" i="19"/>
  <c r="A38136" i="19"/>
  <c r="A38135" i="19"/>
  <c r="A38134" i="19"/>
  <c r="A38133" i="19"/>
  <c r="A38132" i="19"/>
  <c r="A38131" i="19"/>
  <c r="A38130" i="19"/>
  <c r="A38129" i="19"/>
  <c r="A38128" i="19"/>
  <c r="A38127" i="19"/>
  <c r="A38126" i="19"/>
  <c r="A38125" i="19"/>
  <c r="A38124" i="19"/>
  <c r="A38123" i="19"/>
  <c r="A38122" i="19"/>
  <c r="A38121" i="19"/>
  <c r="A38120" i="19"/>
  <c r="A38119" i="19"/>
  <c r="A38118" i="19"/>
  <c r="A38117" i="19"/>
  <c r="A38116" i="19"/>
  <c r="A38115" i="19"/>
  <c r="A38114" i="19"/>
  <c r="A38113" i="19"/>
  <c r="A38112" i="19"/>
  <c r="A38111" i="19"/>
  <c r="A38110" i="19"/>
  <c r="A38109" i="19"/>
  <c r="A38108" i="19"/>
  <c r="A38107" i="19"/>
  <c r="A38106" i="19"/>
  <c r="A38105" i="19"/>
  <c r="A38104" i="19"/>
  <c r="A38103" i="19"/>
  <c r="A38102" i="19"/>
  <c r="A38101" i="19"/>
  <c r="A38100" i="19"/>
  <c r="A38099" i="19"/>
  <c r="A38098" i="19"/>
  <c r="A38097" i="19"/>
  <c r="A38096" i="19"/>
  <c r="A38095" i="19"/>
  <c r="A38094" i="19"/>
  <c r="A38093" i="19"/>
  <c r="A38092" i="19"/>
  <c r="A38091" i="19"/>
  <c r="A38090" i="19"/>
  <c r="A38089" i="19"/>
  <c r="A38088" i="19"/>
  <c r="A38087" i="19"/>
  <c r="A38086" i="19"/>
  <c r="A38085" i="19"/>
  <c r="A38084" i="19"/>
  <c r="A38083" i="19"/>
  <c r="A38082" i="19"/>
  <c r="A38081" i="19"/>
  <c r="A38080" i="19"/>
  <c r="A38079" i="19"/>
  <c r="A38078" i="19"/>
  <c r="A38077" i="19"/>
  <c r="A38076" i="19"/>
  <c r="A38075" i="19"/>
  <c r="A38074" i="19"/>
  <c r="A38073" i="19"/>
  <c r="A38072" i="19"/>
  <c r="A38071" i="19"/>
  <c r="A38070" i="19"/>
  <c r="A38069" i="19"/>
  <c r="A38068" i="19"/>
  <c r="A38067" i="19"/>
  <c r="A38066" i="19"/>
  <c r="A38065" i="19"/>
  <c r="A38064" i="19"/>
  <c r="A38063" i="19"/>
  <c r="A38062" i="19"/>
  <c r="A38061" i="19"/>
  <c r="A38060" i="19"/>
  <c r="A38059" i="19"/>
  <c r="A38058" i="19"/>
  <c r="A38057" i="19"/>
  <c r="A38056" i="19"/>
  <c r="A38055" i="19"/>
  <c r="A38054" i="19"/>
  <c r="A38053" i="19"/>
  <c r="A38052" i="19"/>
  <c r="A38051" i="19"/>
  <c r="A38050" i="19"/>
  <c r="A38049" i="19"/>
  <c r="A38048" i="19"/>
  <c r="A38047" i="19"/>
  <c r="A38046" i="19"/>
  <c r="A38045" i="19"/>
  <c r="A38044" i="19"/>
  <c r="A38043" i="19"/>
  <c r="A38042" i="19"/>
  <c r="A38041" i="19"/>
  <c r="A38040" i="19"/>
  <c r="A38039" i="19"/>
  <c r="A38038" i="19"/>
  <c r="A38037" i="19"/>
  <c r="A38036" i="19"/>
  <c r="A38035" i="19"/>
  <c r="A38034" i="19"/>
  <c r="A38033" i="19"/>
  <c r="A38032" i="19"/>
  <c r="A38031" i="19"/>
  <c r="A38030" i="19"/>
  <c r="A38029" i="19"/>
  <c r="A38028" i="19"/>
  <c r="A38027" i="19"/>
  <c r="A38026" i="19"/>
  <c r="A38025" i="19"/>
  <c r="A38024" i="19"/>
  <c r="A38023" i="19"/>
  <c r="A38022" i="19"/>
  <c r="A38021" i="19"/>
  <c r="A38020" i="19"/>
  <c r="A38019" i="19"/>
  <c r="A38018" i="19"/>
  <c r="A38017" i="19"/>
  <c r="A38016" i="19"/>
  <c r="A38015" i="19"/>
  <c r="A38014" i="19"/>
  <c r="A38013" i="19"/>
  <c r="A38012" i="19"/>
  <c r="A38011" i="19"/>
  <c r="A38010" i="19"/>
  <c r="A38009" i="19"/>
  <c r="A38008" i="19"/>
  <c r="A38007" i="19"/>
  <c r="A38006" i="19"/>
  <c r="A38005" i="19"/>
  <c r="A38004" i="19"/>
  <c r="A38003" i="19"/>
  <c r="A38002" i="19"/>
  <c r="A38001" i="19"/>
  <c r="A38000" i="19"/>
  <c r="A37999" i="19"/>
  <c r="A37998" i="19"/>
  <c r="A37997" i="19"/>
  <c r="A37996" i="19"/>
  <c r="A37995" i="19"/>
  <c r="A37994" i="19"/>
  <c r="A37993" i="19"/>
  <c r="A37992" i="19"/>
  <c r="A37991" i="19"/>
  <c r="A37990" i="19"/>
  <c r="A37989" i="19"/>
  <c r="A37988" i="19"/>
  <c r="A37987" i="19"/>
  <c r="A37986" i="19"/>
  <c r="A37985" i="19"/>
  <c r="A37984" i="19"/>
  <c r="A37983" i="19"/>
  <c r="A37982" i="19"/>
  <c r="A37981" i="19"/>
  <c r="A37980" i="19"/>
  <c r="A37979" i="19"/>
  <c r="A37978" i="19"/>
  <c r="A37977" i="19"/>
  <c r="A37976" i="19"/>
  <c r="A37975" i="19"/>
  <c r="A37974" i="19"/>
  <c r="A37973" i="19"/>
  <c r="A37972" i="19"/>
  <c r="A37971" i="19"/>
  <c r="A37970" i="19"/>
  <c r="A37969" i="19"/>
  <c r="A37968" i="19"/>
  <c r="A37967" i="19"/>
  <c r="A37966" i="19"/>
  <c r="A37965" i="19"/>
  <c r="A37964" i="19"/>
  <c r="A37963" i="19"/>
  <c r="A37962" i="19"/>
  <c r="A37961" i="19"/>
  <c r="A37960" i="19"/>
  <c r="A37959" i="19"/>
  <c r="A37958" i="19"/>
  <c r="A37957" i="19"/>
  <c r="A37956" i="19"/>
  <c r="A37955" i="19"/>
  <c r="A37954" i="19"/>
  <c r="A37953" i="19"/>
  <c r="A37952" i="19"/>
  <c r="A37951" i="19"/>
  <c r="A37950" i="19"/>
  <c r="A37949" i="19"/>
  <c r="A37948" i="19"/>
  <c r="A37947" i="19"/>
  <c r="A37946" i="19"/>
  <c r="A37945" i="19"/>
  <c r="A37944" i="19"/>
  <c r="A37943" i="19"/>
  <c r="A37942" i="19"/>
  <c r="A37941" i="19"/>
  <c r="A37940" i="19"/>
  <c r="A37939" i="19"/>
  <c r="A37938" i="19"/>
  <c r="A37937" i="19"/>
  <c r="A37936" i="19"/>
  <c r="A37935" i="19"/>
  <c r="A37934" i="19"/>
  <c r="A37933" i="19"/>
  <c r="A37932" i="19"/>
  <c r="A37931" i="19"/>
  <c r="A37930" i="19"/>
  <c r="A37929" i="19"/>
  <c r="A37928" i="19"/>
  <c r="A37927" i="19"/>
  <c r="A37926" i="19"/>
  <c r="A37925" i="19"/>
  <c r="A37924" i="19"/>
  <c r="A37923" i="19"/>
  <c r="A37922" i="19"/>
  <c r="A37921" i="19"/>
  <c r="A37920" i="19"/>
  <c r="A37919" i="19"/>
  <c r="A37918" i="19"/>
  <c r="A37917" i="19"/>
  <c r="A37916" i="19"/>
  <c r="A37915" i="19"/>
  <c r="A37914" i="19"/>
  <c r="A37913" i="19"/>
  <c r="A37912" i="19"/>
  <c r="A37911" i="19"/>
  <c r="A37910" i="19"/>
  <c r="A37909" i="19"/>
  <c r="A37908" i="19"/>
  <c r="A37907" i="19"/>
  <c r="A37906" i="19"/>
  <c r="A37905" i="19"/>
  <c r="A37904" i="19"/>
  <c r="A37903" i="19"/>
  <c r="A37902" i="19"/>
  <c r="A37901" i="19"/>
  <c r="A37900" i="19"/>
  <c r="A37899" i="19"/>
  <c r="A37898" i="19"/>
  <c r="A37897" i="19"/>
  <c r="A37896" i="19"/>
  <c r="A37895" i="19"/>
  <c r="A37894" i="19"/>
  <c r="A37893" i="19"/>
  <c r="A37892" i="19"/>
  <c r="A37891" i="19"/>
  <c r="A37890" i="19"/>
  <c r="A37889" i="19"/>
  <c r="A37888" i="19"/>
  <c r="A37887" i="19"/>
  <c r="A37886" i="19"/>
  <c r="A37885" i="19"/>
  <c r="A37884" i="19"/>
  <c r="A37883" i="19"/>
  <c r="A37882" i="19"/>
  <c r="A37881" i="19"/>
  <c r="A37880" i="19"/>
  <c r="A37879" i="19"/>
  <c r="A37878" i="19"/>
  <c r="A37877" i="19"/>
  <c r="A37876" i="19"/>
  <c r="A37875" i="19"/>
  <c r="A37874" i="19"/>
  <c r="A37873" i="19"/>
  <c r="A37872" i="19"/>
  <c r="A37871" i="19"/>
  <c r="A37870" i="19"/>
  <c r="A37869" i="19"/>
  <c r="A37868" i="19"/>
  <c r="A37867" i="19"/>
  <c r="A37866" i="19"/>
  <c r="A37865" i="19"/>
  <c r="A37864" i="19"/>
  <c r="A37863" i="19"/>
  <c r="A37862" i="19"/>
  <c r="A37861" i="19"/>
  <c r="A37860" i="19"/>
  <c r="A37859" i="19"/>
  <c r="A37858" i="19"/>
  <c r="A37857" i="19"/>
  <c r="A37856" i="19"/>
  <c r="A37855" i="19"/>
  <c r="A37854" i="19"/>
  <c r="A37853" i="19"/>
  <c r="A37852" i="19"/>
  <c r="A37851" i="19"/>
  <c r="A37850" i="19"/>
  <c r="A37849" i="19"/>
  <c r="A37848" i="19"/>
  <c r="A37847" i="19"/>
  <c r="A37846" i="19"/>
  <c r="A37845" i="19"/>
  <c r="A37844" i="19"/>
  <c r="A37843" i="19"/>
  <c r="A37842" i="19"/>
  <c r="A37841" i="19"/>
  <c r="A37840" i="19"/>
  <c r="A37839" i="19"/>
  <c r="A37838" i="19"/>
  <c r="A37837" i="19"/>
  <c r="A37836" i="19"/>
  <c r="A37835" i="19"/>
  <c r="A37834" i="19"/>
  <c r="A37833" i="19"/>
  <c r="A37832" i="19"/>
  <c r="A37831" i="19"/>
  <c r="A37830" i="19"/>
  <c r="A37829" i="19"/>
  <c r="A37828" i="19"/>
  <c r="A37827" i="19"/>
  <c r="A37826" i="19"/>
  <c r="A37825" i="19"/>
  <c r="A37824" i="19"/>
  <c r="A37823" i="19"/>
  <c r="A37822" i="19"/>
  <c r="A37821" i="19"/>
  <c r="A37820" i="19"/>
  <c r="A37819" i="19"/>
  <c r="A37818" i="19"/>
  <c r="A37817" i="19"/>
  <c r="A37816" i="19"/>
  <c r="A37815" i="19"/>
  <c r="A37814" i="19"/>
  <c r="A37813" i="19"/>
  <c r="A37812" i="19"/>
  <c r="A37811" i="19"/>
  <c r="A37810" i="19"/>
  <c r="A37809" i="19"/>
  <c r="A37808" i="19"/>
  <c r="A37807" i="19"/>
  <c r="A37806" i="19"/>
  <c r="A37805" i="19"/>
  <c r="A37804" i="19"/>
  <c r="A37803" i="19"/>
  <c r="A37802" i="19"/>
  <c r="A37801" i="19"/>
  <c r="A37800" i="19"/>
  <c r="A37799" i="19"/>
  <c r="A37798" i="19"/>
  <c r="A37797" i="19"/>
  <c r="A37796" i="19"/>
  <c r="A37795" i="19"/>
  <c r="A37794" i="19"/>
  <c r="A37793" i="19"/>
  <c r="A37792" i="19"/>
  <c r="A37791" i="19"/>
  <c r="A37790" i="19"/>
  <c r="A37789" i="19"/>
  <c r="A37788" i="19"/>
  <c r="A37787" i="19"/>
  <c r="A37786" i="19"/>
  <c r="A37785" i="19"/>
  <c r="A37784" i="19"/>
  <c r="A37783" i="19"/>
  <c r="A37782" i="19"/>
  <c r="A37781" i="19"/>
  <c r="A37780" i="19"/>
  <c r="A37779" i="19"/>
  <c r="A37778" i="19"/>
  <c r="A37777" i="19"/>
  <c r="A37776" i="19"/>
  <c r="A37775" i="19"/>
  <c r="A37774" i="19"/>
  <c r="A37773" i="19"/>
  <c r="A37772" i="19"/>
  <c r="A37771" i="19"/>
  <c r="A37770" i="19"/>
  <c r="A37769" i="19"/>
  <c r="A37768" i="19"/>
  <c r="A37767" i="19"/>
  <c r="A37766" i="19"/>
  <c r="A37765" i="19"/>
  <c r="A37764" i="19"/>
  <c r="A37763" i="19"/>
  <c r="A37762" i="19"/>
  <c r="A37761" i="19"/>
  <c r="A37760" i="19"/>
  <c r="A37759" i="19"/>
  <c r="A37758" i="19"/>
  <c r="A37757" i="19"/>
  <c r="A37756" i="19"/>
  <c r="A37755" i="19"/>
  <c r="A37754" i="19"/>
  <c r="A37753" i="19"/>
  <c r="A37752" i="19"/>
  <c r="A37751" i="19"/>
  <c r="A37750" i="19"/>
  <c r="A37749" i="19"/>
  <c r="A37748" i="19"/>
  <c r="A37747" i="19"/>
  <c r="A37746" i="19"/>
  <c r="A37745" i="19"/>
  <c r="A37744" i="19"/>
  <c r="A37743" i="19"/>
  <c r="A37742" i="19"/>
  <c r="A37741" i="19"/>
  <c r="A37740" i="19"/>
  <c r="A37739" i="19"/>
  <c r="A37738" i="19"/>
  <c r="A37737" i="19"/>
  <c r="A37736" i="19"/>
  <c r="A37735" i="19"/>
  <c r="A37734" i="19"/>
  <c r="A37733" i="19"/>
  <c r="A37732" i="19"/>
  <c r="A37731" i="19"/>
  <c r="A37730" i="19"/>
  <c r="A37729" i="19"/>
  <c r="A37728" i="19"/>
  <c r="A37727" i="19"/>
  <c r="A37726" i="19"/>
  <c r="A37725" i="19"/>
  <c r="A37724" i="19"/>
  <c r="A37723" i="19"/>
  <c r="A37722" i="19"/>
  <c r="A37721" i="19"/>
  <c r="A37720" i="19"/>
  <c r="A37719" i="19"/>
  <c r="A37718" i="19"/>
  <c r="A37717" i="19"/>
  <c r="A37716" i="19"/>
  <c r="A37715" i="19"/>
  <c r="A37714" i="19"/>
  <c r="A37713" i="19"/>
  <c r="A37712" i="19"/>
  <c r="A37711" i="19"/>
  <c r="A37710" i="19"/>
  <c r="A37709" i="19"/>
  <c r="A37708" i="19"/>
  <c r="A37707" i="19"/>
  <c r="A37706" i="19"/>
  <c r="A37705" i="19"/>
  <c r="A37704" i="19"/>
  <c r="A37703" i="19"/>
  <c r="A37702" i="19"/>
  <c r="A37701" i="19"/>
  <c r="A37700" i="19"/>
  <c r="A37699" i="19"/>
  <c r="A37698" i="19"/>
  <c r="A37697" i="19"/>
  <c r="A37696" i="19"/>
  <c r="A37695" i="19"/>
  <c r="A37694" i="19"/>
  <c r="A37693" i="19"/>
  <c r="A37692" i="19"/>
  <c r="A37691" i="19"/>
  <c r="A37690" i="19"/>
  <c r="A37689" i="19"/>
  <c r="A37688" i="19"/>
  <c r="A37687" i="19"/>
  <c r="A37686" i="19"/>
  <c r="A37685" i="19"/>
  <c r="A37684" i="19"/>
  <c r="A37683" i="19"/>
  <c r="A37682" i="19"/>
  <c r="A37681" i="19"/>
  <c r="A37680" i="19"/>
  <c r="A37679" i="19"/>
  <c r="A37678" i="19"/>
  <c r="A37677" i="19"/>
  <c r="A37676" i="19"/>
  <c r="A37675" i="19"/>
  <c r="A37674" i="19"/>
  <c r="A37673" i="19"/>
  <c r="A37672" i="19"/>
  <c r="A37671" i="19"/>
  <c r="A37670" i="19"/>
  <c r="A37669" i="19"/>
  <c r="A37668" i="19"/>
  <c r="A37667" i="19"/>
  <c r="A37666" i="19"/>
  <c r="A37665" i="19"/>
  <c r="A37664" i="19"/>
  <c r="A37663" i="19"/>
  <c r="A37662" i="19"/>
  <c r="A37661" i="19"/>
  <c r="A37660" i="19"/>
  <c r="A37659" i="19"/>
  <c r="A37658" i="19"/>
  <c r="A37657" i="19"/>
  <c r="A37656" i="19"/>
  <c r="A37655" i="19"/>
  <c r="A37654" i="19"/>
  <c r="A37653" i="19"/>
  <c r="A37652" i="19"/>
  <c r="A37651" i="19"/>
  <c r="A37650" i="19"/>
  <c r="A37649" i="19"/>
  <c r="A37648" i="19"/>
  <c r="A37647" i="19"/>
  <c r="A37646" i="19"/>
  <c r="A37645" i="19"/>
  <c r="A37644" i="19"/>
  <c r="A37643" i="19"/>
  <c r="A37642" i="19"/>
  <c r="A37641" i="19"/>
  <c r="A37640" i="19"/>
  <c r="A37639" i="19"/>
  <c r="A37638" i="19"/>
  <c r="A37637" i="19"/>
  <c r="A37636" i="19"/>
  <c r="A37635" i="19"/>
  <c r="A37634" i="19"/>
  <c r="A37633" i="19"/>
  <c r="A37632" i="19"/>
  <c r="A37631" i="19"/>
  <c r="A37630" i="19"/>
  <c r="A37629" i="19"/>
  <c r="A37628" i="19"/>
  <c r="A37627" i="19"/>
  <c r="A37626" i="19"/>
  <c r="A37625" i="19"/>
  <c r="A37624" i="19"/>
  <c r="A37623" i="19"/>
  <c r="A37622" i="19"/>
  <c r="A37621" i="19"/>
  <c r="A37620" i="19"/>
  <c r="A37619" i="19"/>
  <c r="A37618" i="19"/>
  <c r="A37617" i="19"/>
  <c r="A37616" i="19"/>
  <c r="A37615" i="19"/>
  <c r="A37614" i="19"/>
  <c r="A37613" i="19"/>
  <c r="A37612" i="19"/>
  <c r="A37611" i="19"/>
  <c r="A37610" i="19"/>
  <c r="A37609" i="19"/>
  <c r="A37608" i="19"/>
  <c r="A37607" i="19"/>
  <c r="A37606" i="19"/>
  <c r="A37605" i="19"/>
  <c r="A37604" i="19"/>
  <c r="A37603" i="19"/>
  <c r="A37602" i="19"/>
  <c r="A37601" i="19"/>
  <c r="A37600" i="19"/>
  <c r="A37599" i="19"/>
  <c r="A37598" i="19"/>
  <c r="A37597" i="19"/>
  <c r="A37596" i="19"/>
  <c r="A37595" i="19"/>
  <c r="A37594" i="19"/>
  <c r="A37593" i="19"/>
  <c r="A37592" i="19"/>
  <c r="A37591" i="19"/>
  <c r="A37590" i="19"/>
  <c r="A37589" i="19"/>
  <c r="A37588" i="19"/>
  <c r="A37587" i="19"/>
  <c r="A37586" i="19"/>
  <c r="A37585" i="19"/>
  <c r="A37584" i="19"/>
  <c r="A37583" i="19"/>
  <c r="A37582" i="19"/>
  <c r="A37581" i="19"/>
  <c r="A37580" i="19"/>
  <c r="A37579" i="19"/>
  <c r="A37578" i="19"/>
  <c r="A37577" i="19"/>
  <c r="A37576" i="19"/>
  <c r="A37575" i="19"/>
  <c r="A37574" i="19"/>
  <c r="A37573" i="19"/>
  <c r="A37572" i="19"/>
  <c r="A37571" i="19"/>
  <c r="A37570" i="19"/>
  <c r="A37569" i="19"/>
  <c r="A37568" i="19"/>
  <c r="A37567" i="19"/>
  <c r="A37566" i="19"/>
  <c r="A37565" i="19"/>
  <c r="A37564" i="19"/>
  <c r="A37563" i="19"/>
  <c r="A37562" i="19"/>
  <c r="A37561" i="19"/>
  <c r="A37560" i="19"/>
  <c r="A37559" i="19"/>
  <c r="A37558" i="19"/>
  <c r="A37557" i="19"/>
  <c r="A37556" i="19"/>
  <c r="A37555" i="19"/>
  <c r="A37554" i="19"/>
  <c r="A37553" i="19"/>
  <c r="A37552" i="19"/>
  <c r="A37551" i="19"/>
  <c r="A37550" i="19"/>
  <c r="A37549" i="19"/>
  <c r="A37548" i="19"/>
  <c r="A37547" i="19"/>
  <c r="A37546" i="19"/>
  <c r="A37545" i="19"/>
  <c r="A37544" i="19"/>
  <c r="A37543" i="19"/>
  <c r="A37542" i="19"/>
  <c r="A37541" i="19"/>
  <c r="A37540" i="19"/>
  <c r="A37539" i="19"/>
  <c r="A37538" i="19"/>
  <c r="A37537" i="19"/>
  <c r="A37536" i="19"/>
  <c r="A37535" i="19"/>
  <c r="A37534" i="19"/>
  <c r="A37533" i="19"/>
  <c r="A37532" i="19"/>
  <c r="A37531" i="19"/>
  <c r="A37530" i="19"/>
  <c r="A37529" i="19"/>
  <c r="A37528" i="19"/>
  <c r="A37527" i="19"/>
  <c r="A37526" i="19"/>
  <c r="A37525" i="19"/>
  <c r="A37524" i="19"/>
  <c r="A37523" i="19"/>
  <c r="A37522" i="19"/>
  <c r="A37521" i="19"/>
  <c r="A37520" i="19"/>
  <c r="A37519" i="19"/>
  <c r="A37518" i="19"/>
  <c r="A37517" i="19"/>
  <c r="A37516" i="19"/>
  <c r="A37515" i="19"/>
  <c r="A37514" i="19"/>
  <c r="A37513" i="19"/>
  <c r="A37512" i="19"/>
  <c r="A37511" i="19"/>
  <c r="A37510" i="19"/>
  <c r="A37509" i="19"/>
  <c r="A37508" i="19"/>
  <c r="A37507" i="19"/>
  <c r="A37506" i="19"/>
  <c r="A37505" i="19"/>
  <c r="A37504" i="19"/>
  <c r="A37503" i="19"/>
  <c r="A37502" i="19"/>
  <c r="A37501" i="19"/>
  <c r="A37500" i="19"/>
  <c r="A37499" i="19"/>
  <c r="A37498" i="19"/>
  <c r="A37497" i="19"/>
  <c r="A37496" i="19"/>
  <c r="A37495" i="19"/>
  <c r="A37494" i="19"/>
  <c r="A37493" i="19"/>
  <c r="A37492" i="19"/>
  <c r="A37491" i="19"/>
  <c r="A37490" i="19"/>
  <c r="A37489" i="19"/>
  <c r="A37488" i="19"/>
  <c r="A37487" i="19"/>
  <c r="A37486" i="19"/>
  <c r="A37485" i="19"/>
  <c r="A37484" i="19"/>
  <c r="A37483" i="19"/>
  <c r="A37482" i="19"/>
  <c r="A37481" i="19"/>
  <c r="A37480" i="19"/>
  <c r="A37479" i="19"/>
  <c r="A37478" i="19"/>
  <c r="A37477" i="19"/>
  <c r="A37476" i="19"/>
  <c r="A37475" i="19"/>
  <c r="A37474" i="19"/>
  <c r="A37473" i="19"/>
  <c r="A37472" i="19"/>
  <c r="A37471" i="19"/>
  <c r="A37470" i="19"/>
  <c r="A37469" i="19"/>
  <c r="A37468" i="19"/>
  <c r="A37467" i="19"/>
  <c r="A37466" i="19"/>
  <c r="A37465" i="19"/>
  <c r="A37464" i="19"/>
  <c r="A37463" i="19"/>
  <c r="A37462" i="19"/>
  <c r="A37461" i="19"/>
  <c r="A37460" i="19"/>
  <c r="A37459" i="19"/>
  <c r="A37458" i="19"/>
  <c r="A37457" i="19"/>
  <c r="A37456" i="19"/>
  <c r="A37455" i="19"/>
  <c r="A37454" i="19"/>
  <c r="A37453" i="19"/>
  <c r="A37452" i="19"/>
  <c r="A37451" i="19"/>
  <c r="A37450" i="19"/>
  <c r="A37449" i="19"/>
  <c r="A37448" i="19"/>
  <c r="A37447" i="19"/>
  <c r="A37446" i="19"/>
  <c r="A37445" i="19"/>
  <c r="A37444" i="19"/>
  <c r="A37443" i="19"/>
  <c r="A37442" i="19"/>
  <c r="A37441" i="19"/>
  <c r="A37440" i="19"/>
  <c r="A37439" i="19"/>
  <c r="A37438" i="19"/>
  <c r="A37437" i="19"/>
  <c r="A37436" i="19"/>
  <c r="A37435" i="19"/>
  <c r="A37434" i="19"/>
  <c r="A37433" i="19"/>
  <c r="A37432" i="19"/>
  <c r="A37431" i="19"/>
  <c r="A37430" i="19"/>
  <c r="A37429" i="19"/>
  <c r="A37428" i="19"/>
  <c r="A37427" i="19"/>
  <c r="A37426" i="19"/>
  <c r="A37425" i="19"/>
  <c r="A37424" i="19"/>
  <c r="A37423" i="19"/>
  <c r="A37422" i="19"/>
  <c r="A37421" i="19"/>
  <c r="A37420" i="19"/>
  <c r="A37419" i="19"/>
  <c r="A37418" i="19"/>
  <c r="A37417" i="19"/>
  <c r="A37416" i="19"/>
  <c r="A37415" i="19"/>
  <c r="A37414" i="19"/>
  <c r="A37413" i="19"/>
  <c r="A37412" i="19"/>
  <c r="A37411" i="19"/>
  <c r="A37410" i="19"/>
  <c r="A37409" i="19"/>
  <c r="A37408" i="19"/>
  <c r="A37407" i="19"/>
  <c r="A37406" i="19"/>
  <c r="A37405" i="19"/>
  <c r="A37404" i="19"/>
  <c r="A37403" i="19"/>
  <c r="A37402" i="19"/>
  <c r="A37401" i="19"/>
  <c r="A37400" i="19"/>
  <c r="A37399" i="19"/>
  <c r="A37398" i="19"/>
  <c r="A37397" i="19"/>
  <c r="A37396" i="19"/>
  <c r="A37395" i="19"/>
  <c r="A37394" i="19"/>
  <c r="A37393" i="19"/>
  <c r="A37392" i="19"/>
  <c r="A37391" i="19"/>
  <c r="A37390" i="19"/>
  <c r="A37389" i="19"/>
  <c r="A37388" i="19"/>
  <c r="A37387" i="19"/>
  <c r="A37386" i="19"/>
  <c r="A37385" i="19"/>
  <c r="A37384" i="19"/>
  <c r="A37383" i="19"/>
  <c r="A37382" i="19"/>
  <c r="A37381" i="19"/>
  <c r="A37380" i="19"/>
  <c r="A37379" i="19"/>
  <c r="A37378" i="19"/>
  <c r="A37377" i="19"/>
  <c r="A37376" i="19"/>
  <c r="A37375" i="19"/>
  <c r="A37374" i="19"/>
  <c r="A37373" i="19"/>
  <c r="A37372" i="19"/>
  <c r="A37371" i="19"/>
  <c r="A37370" i="19"/>
  <c r="A37369" i="19"/>
  <c r="A37368" i="19"/>
  <c r="A37367" i="19"/>
  <c r="A37366" i="19"/>
  <c r="A37365" i="19"/>
  <c r="A37364" i="19"/>
  <c r="A37363" i="19"/>
  <c r="A37362" i="19"/>
  <c r="A37361" i="19"/>
  <c r="A37360" i="19"/>
  <c r="A37359" i="19"/>
  <c r="A37358" i="19"/>
  <c r="A37357" i="19"/>
  <c r="A37356" i="19"/>
  <c r="A37355" i="19"/>
  <c r="A37354" i="19"/>
  <c r="A37353" i="19"/>
  <c r="A37352" i="19"/>
  <c r="A37351" i="19"/>
  <c r="A37350" i="19"/>
  <c r="A37349" i="19"/>
  <c r="A37348" i="19"/>
  <c r="A37347" i="19"/>
  <c r="A37346" i="19"/>
  <c r="A37345" i="19"/>
  <c r="A37344" i="19"/>
  <c r="A37343" i="19"/>
  <c r="A37342" i="19"/>
  <c r="A37341" i="19"/>
  <c r="A37340" i="19"/>
  <c r="A37339" i="19"/>
  <c r="A37338" i="19"/>
  <c r="A37337" i="19"/>
  <c r="A37336" i="19"/>
  <c r="A37335" i="19"/>
  <c r="A37334" i="19"/>
  <c r="A37333" i="19"/>
  <c r="A37332" i="19"/>
  <c r="A37331" i="19"/>
  <c r="A37330" i="19"/>
  <c r="A37329" i="19"/>
  <c r="A37328" i="19"/>
  <c r="A37327" i="19"/>
  <c r="A37326" i="19"/>
  <c r="A37325" i="19"/>
  <c r="A37324" i="19"/>
  <c r="A37323" i="19"/>
  <c r="A37322" i="19"/>
  <c r="A37321" i="19"/>
  <c r="A37320" i="19"/>
  <c r="A37319" i="19"/>
  <c r="A37318" i="19"/>
  <c r="A37317" i="19"/>
  <c r="A37316" i="19"/>
  <c r="A37315" i="19"/>
  <c r="A37314" i="19"/>
  <c r="A37313" i="19"/>
  <c r="A37312" i="19"/>
  <c r="A37311" i="19"/>
  <c r="A37310" i="19"/>
  <c r="A37309" i="19"/>
  <c r="A37308" i="19"/>
  <c r="A37307" i="19"/>
  <c r="A37306" i="19"/>
  <c r="A37305" i="19"/>
  <c r="A37304" i="19"/>
  <c r="A37303" i="19"/>
  <c r="A37302" i="19"/>
  <c r="A37301" i="19"/>
  <c r="A37300" i="19"/>
  <c r="A37299" i="19"/>
  <c r="A37298" i="19"/>
  <c r="A37297" i="19"/>
  <c r="A37296" i="19"/>
  <c r="A37295" i="19"/>
  <c r="A37294" i="19"/>
  <c r="A37293" i="19"/>
  <c r="A37292" i="19"/>
  <c r="A37291" i="19"/>
  <c r="A37290" i="19"/>
  <c r="A37289" i="19"/>
  <c r="A37288" i="19"/>
  <c r="A37287" i="19"/>
  <c r="A37286" i="19"/>
  <c r="A37285" i="19"/>
  <c r="A37284" i="19"/>
  <c r="A37283" i="19"/>
  <c r="A37282" i="19"/>
  <c r="A37281" i="19"/>
  <c r="A37280" i="19"/>
  <c r="A37279" i="19"/>
  <c r="A37278" i="19"/>
  <c r="A37277" i="19"/>
  <c r="A37276" i="19"/>
  <c r="A37275" i="19"/>
  <c r="A37274" i="19"/>
  <c r="A37273" i="19"/>
  <c r="A37272" i="19"/>
  <c r="A37271" i="19"/>
  <c r="A37270" i="19"/>
  <c r="A37269" i="19"/>
  <c r="A37268" i="19"/>
  <c r="A37267" i="19"/>
  <c r="A37266" i="19"/>
  <c r="A37265" i="19"/>
  <c r="A37264" i="19"/>
  <c r="A37263" i="19"/>
  <c r="A37262" i="19"/>
  <c r="A37261" i="19"/>
  <c r="A37260" i="19"/>
  <c r="A37259" i="19"/>
  <c r="A37258" i="19"/>
  <c r="A37257" i="19"/>
  <c r="A37256" i="19"/>
  <c r="A37255" i="19"/>
  <c r="A37254" i="19"/>
  <c r="A37253" i="19"/>
  <c r="A37252" i="19"/>
  <c r="A37251" i="19"/>
  <c r="A37250" i="19"/>
  <c r="A37249" i="19"/>
  <c r="A37248" i="19"/>
  <c r="A37247" i="19"/>
  <c r="A37246" i="19"/>
  <c r="A37245" i="19"/>
  <c r="A37244" i="19"/>
  <c r="A37243" i="19"/>
  <c r="A37242" i="19"/>
  <c r="A37241" i="19"/>
  <c r="A37240" i="19"/>
  <c r="A37239" i="19"/>
  <c r="A37238" i="19"/>
  <c r="A37237" i="19"/>
  <c r="A37236" i="19"/>
  <c r="A37235" i="19"/>
  <c r="A37234" i="19"/>
  <c r="A37233" i="19"/>
  <c r="A37232" i="19"/>
  <c r="A37231" i="19"/>
  <c r="A37230" i="19"/>
  <c r="A37229" i="19"/>
  <c r="A37228" i="19"/>
  <c r="A37227" i="19"/>
  <c r="A37226" i="19"/>
  <c r="A37225" i="19"/>
  <c r="A37224" i="19"/>
  <c r="A37223" i="19"/>
  <c r="A37222" i="19"/>
  <c r="A37221" i="19"/>
  <c r="A37220" i="19"/>
  <c r="A37219" i="19"/>
  <c r="A37218" i="19"/>
  <c r="A37217" i="19"/>
  <c r="A37216" i="19"/>
  <c r="A37215" i="19"/>
  <c r="A37214" i="19"/>
  <c r="A37213" i="19"/>
  <c r="A37212" i="19"/>
  <c r="A37211" i="19"/>
  <c r="A37210" i="19"/>
  <c r="A37209" i="19"/>
  <c r="A37208" i="19"/>
  <c r="A37207" i="19"/>
  <c r="A37206" i="19"/>
  <c r="A37205" i="19"/>
  <c r="A37204" i="19"/>
  <c r="A37203" i="19"/>
  <c r="A37202" i="19"/>
  <c r="A37201" i="19"/>
  <c r="A37200" i="19"/>
  <c r="A37199" i="19"/>
  <c r="A37198" i="19"/>
  <c r="A37197" i="19"/>
  <c r="A37196" i="19"/>
  <c r="A37195" i="19"/>
  <c r="A37194" i="19"/>
  <c r="A37193" i="19"/>
  <c r="A37192" i="19"/>
  <c r="A37191" i="19"/>
  <c r="A37190" i="19"/>
  <c r="A37189" i="19"/>
  <c r="A37188" i="19"/>
  <c r="A37187" i="19"/>
  <c r="A37186" i="19"/>
  <c r="A37185" i="19"/>
  <c r="A37184" i="19"/>
  <c r="A37183" i="19"/>
  <c r="A37182" i="19"/>
  <c r="A37181" i="19"/>
  <c r="A37180" i="19"/>
  <c r="A37179" i="19"/>
  <c r="A37178" i="19"/>
  <c r="A37177" i="19"/>
  <c r="A37176" i="19"/>
  <c r="A37175" i="19"/>
  <c r="A37174" i="19"/>
  <c r="A37173" i="19"/>
  <c r="A37172" i="19"/>
  <c r="A37171" i="19"/>
  <c r="A37170" i="19"/>
  <c r="A37169" i="19"/>
  <c r="A37168" i="19"/>
  <c r="A37167" i="19"/>
  <c r="A37166" i="19"/>
  <c r="A37165" i="19"/>
  <c r="A37164" i="19"/>
  <c r="A37163" i="19"/>
  <c r="A37162" i="19"/>
  <c r="A37161" i="19"/>
  <c r="A37160" i="19"/>
  <c r="A37159" i="19"/>
  <c r="A37158" i="19"/>
  <c r="A37157" i="19"/>
  <c r="A37156" i="19"/>
  <c r="A37155" i="19"/>
  <c r="A37154" i="19"/>
  <c r="A37153" i="19"/>
  <c r="A37152" i="19"/>
  <c r="A37151" i="19"/>
  <c r="A37150" i="19"/>
  <c r="A37149" i="19"/>
  <c r="A37148" i="19"/>
  <c r="A37147" i="19"/>
  <c r="A37146" i="19"/>
  <c r="A37145" i="19"/>
  <c r="A37144" i="19"/>
  <c r="A37143" i="19"/>
  <c r="A37142" i="19"/>
  <c r="A37141" i="19"/>
  <c r="A37140" i="19"/>
  <c r="A37139" i="19"/>
  <c r="A37138" i="19"/>
  <c r="A37137" i="19"/>
  <c r="A37136" i="19"/>
  <c r="A37135" i="19"/>
  <c r="A37134" i="19"/>
  <c r="A37133" i="19"/>
  <c r="A37132" i="19"/>
  <c r="A37131" i="19"/>
  <c r="A37130" i="19"/>
  <c r="A37129" i="19"/>
  <c r="A37128" i="19"/>
  <c r="A37127" i="19"/>
  <c r="A37126" i="19"/>
  <c r="A37125" i="19"/>
  <c r="A37124" i="19"/>
  <c r="A37123" i="19"/>
  <c r="A37122" i="19"/>
  <c r="A37121" i="19"/>
  <c r="A37120" i="19"/>
  <c r="A37119" i="19"/>
  <c r="A37118" i="19"/>
  <c r="A37117" i="19"/>
  <c r="A37116" i="19"/>
  <c r="A37115" i="19"/>
  <c r="A37114" i="19"/>
  <c r="A37113" i="19"/>
  <c r="A37112" i="19"/>
  <c r="A37111" i="19"/>
  <c r="A37110" i="19"/>
  <c r="A37109" i="19"/>
  <c r="A37108" i="19"/>
  <c r="A37107" i="19"/>
  <c r="A37106" i="19"/>
  <c r="A37105" i="19"/>
  <c r="A37104" i="19"/>
  <c r="A37103" i="19"/>
  <c r="A37102" i="19"/>
  <c r="A37101" i="19"/>
  <c r="A37100" i="19"/>
  <c r="A37099" i="19"/>
  <c r="A37098" i="19"/>
  <c r="A37097" i="19"/>
  <c r="A37096" i="19"/>
  <c r="A37095" i="19"/>
  <c r="A37094" i="19"/>
  <c r="A37093" i="19"/>
  <c r="A37092" i="19"/>
  <c r="A37091" i="19"/>
  <c r="A37090" i="19"/>
  <c r="A37089" i="19"/>
  <c r="A37088" i="19"/>
  <c r="A37087" i="19"/>
  <c r="A37086" i="19"/>
  <c r="A37085" i="19"/>
  <c r="A37084" i="19"/>
  <c r="A37083" i="19"/>
  <c r="A37082" i="19"/>
  <c r="A37081" i="19"/>
  <c r="A37080" i="19"/>
  <c r="A37079" i="19"/>
  <c r="A37078" i="19"/>
  <c r="A37077" i="19"/>
  <c r="A37076" i="19"/>
  <c r="A37075" i="19"/>
  <c r="A37074" i="19"/>
  <c r="A37073" i="19"/>
  <c r="A37072" i="19"/>
  <c r="A37071" i="19"/>
  <c r="A37070" i="19"/>
  <c r="A37069" i="19"/>
  <c r="A37068" i="19"/>
  <c r="A37067" i="19"/>
  <c r="A37066" i="19"/>
  <c r="A37065" i="19"/>
  <c r="A37064" i="19"/>
  <c r="A37063" i="19"/>
  <c r="A37062" i="19"/>
  <c r="A37061" i="19"/>
  <c r="A37060" i="19"/>
  <c r="A37059" i="19"/>
  <c r="A37058" i="19"/>
  <c r="A37057" i="19"/>
  <c r="A37056" i="19"/>
  <c r="A37055" i="19"/>
  <c r="A37054" i="19"/>
  <c r="A37053" i="19"/>
  <c r="A37052" i="19"/>
  <c r="A37051" i="19"/>
  <c r="A37050" i="19"/>
  <c r="A37049" i="19"/>
  <c r="A37048" i="19"/>
  <c r="A37047" i="19"/>
  <c r="A37046" i="19"/>
  <c r="A37045" i="19"/>
  <c r="A37044" i="19"/>
  <c r="A37043" i="19"/>
  <c r="A37042" i="19"/>
  <c r="A37041" i="19"/>
  <c r="A37040" i="19"/>
  <c r="A37039" i="19"/>
  <c r="A37038" i="19"/>
  <c r="A37037" i="19"/>
  <c r="A37036" i="19"/>
  <c r="A37035" i="19"/>
  <c r="A37034" i="19"/>
  <c r="A37033" i="19"/>
  <c r="A37032" i="19"/>
  <c r="A37031" i="19"/>
  <c r="A37030" i="19"/>
  <c r="A37029" i="19"/>
  <c r="A37028" i="19"/>
  <c r="A37027" i="19"/>
  <c r="A37026" i="19"/>
  <c r="A37025" i="19"/>
  <c r="A37024" i="19"/>
  <c r="A37023" i="19"/>
  <c r="A37022" i="19"/>
  <c r="A37021" i="19"/>
  <c r="A37020" i="19"/>
  <c r="A37019" i="19"/>
  <c r="A37018" i="19"/>
  <c r="A37017" i="19"/>
  <c r="A37016" i="19"/>
  <c r="A37015" i="19"/>
  <c r="A37014" i="19"/>
  <c r="A37013" i="19"/>
  <c r="A37012" i="19"/>
  <c r="A37011" i="19"/>
  <c r="A37010" i="19"/>
  <c r="A37009" i="19"/>
  <c r="A37008" i="19"/>
  <c r="A37007" i="19"/>
  <c r="A37006" i="19"/>
  <c r="A37005" i="19"/>
  <c r="A37004" i="19"/>
  <c r="A37003" i="19"/>
  <c r="A37002" i="19"/>
  <c r="A37001" i="19"/>
  <c r="A37000" i="19"/>
  <c r="A36999" i="19"/>
  <c r="A36998" i="19"/>
  <c r="A36997" i="19"/>
  <c r="A36996" i="19"/>
  <c r="A36995" i="19"/>
  <c r="A36994" i="19"/>
  <c r="A36993" i="19"/>
  <c r="A36992" i="19"/>
  <c r="A36991" i="19"/>
  <c r="A36990" i="19"/>
  <c r="A36989" i="19"/>
  <c r="A36988" i="19"/>
  <c r="A36987" i="19"/>
  <c r="A36986" i="19"/>
  <c r="A36985" i="19"/>
  <c r="A36984" i="19"/>
  <c r="A36983" i="19"/>
  <c r="A36982" i="19"/>
  <c r="A36981" i="19"/>
  <c r="A36980" i="19"/>
  <c r="A36979" i="19"/>
  <c r="A36978" i="19"/>
  <c r="A36977" i="19"/>
  <c r="A36976" i="19"/>
  <c r="A36975" i="19"/>
  <c r="A36974" i="19"/>
  <c r="A36973" i="19"/>
  <c r="A36972" i="19"/>
  <c r="A36971" i="19"/>
  <c r="A36970" i="19"/>
  <c r="A36969" i="19"/>
  <c r="A36968" i="19"/>
  <c r="A36967" i="19"/>
  <c r="A36966" i="19"/>
  <c r="A36965" i="19"/>
  <c r="A36964" i="19"/>
  <c r="A36963" i="19"/>
  <c r="A36962" i="19"/>
  <c r="A36961" i="19"/>
  <c r="A36960" i="19"/>
  <c r="A36959" i="19"/>
  <c r="A36958" i="19"/>
  <c r="A36957" i="19"/>
  <c r="A36956" i="19"/>
  <c r="A36955" i="19"/>
  <c r="A36954" i="19"/>
  <c r="A36953" i="19"/>
  <c r="A36952" i="19"/>
  <c r="A36951" i="19"/>
  <c r="A36950" i="19"/>
  <c r="A36949" i="19"/>
  <c r="A36948" i="19"/>
  <c r="A36947" i="19"/>
  <c r="A36946" i="19"/>
  <c r="A36945" i="19"/>
  <c r="A36944" i="19"/>
  <c r="A36943" i="19"/>
  <c r="A36942" i="19"/>
  <c r="A36941" i="19"/>
  <c r="A36940" i="19"/>
  <c r="A36939" i="19"/>
  <c r="A36938" i="19"/>
  <c r="A36937" i="19"/>
  <c r="A36936" i="19"/>
  <c r="A36935" i="19"/>
  <c r="A36934" i="19"/>
  <c r="A36933" i="19"/>
  <c r="A36932" i="19"/>
  <c r="A36931" i="19"/>
  <c r="A36930" i="19"/>
  <c r="A36929" i="19"/>
  <c r="A36928" i="19"/>
  <c r="A36927" i="19"/>
  <c r="A36926" i="19"/>
  <c r="A36925" i="19"/>
  <c r="A36924" i="19"/>
  <c r="A36923" i="19"/>
  <c r="A36922" i="19"/>
  <c r="A36921" i="19"/>
  <c r="A36920" i="19"/>
  <c r="A36919" i="19"/>
  <c r="A36918" i="19"/>
  <c r="A36917" i="19"/>
  <c r="A36916" i="19"/>
  <c r="A36915" i="19"/>
  <c r="A36914" i="19"/>
  <c r="A36913" i="19"/>
  <c r="A36912" i="19"/>
  <c r="A36911" i="19"/>
  <c r="A36910" i="19"/>
  <c r="A36909" i="19"/>
  <c r="A36908" i="19"/>
  <c r="A36907" i="19"/>
  <c r="A36906" i="19"/>
  <c r="A36905" i="19"/>
  <c r="A36904" i="19"/>
  <c r="A36903" i="19"/>
  <c r="A36902" i="19"/>
  <c r="A36901" i="19"/>
  <c r="A36900" i="19"/>
  <c r="A36899" i="19"/>
  <c r="A36898" i="19"/>
  <c r="A36897" i="19"/>
  <c r="A36896" i="19"/>
  <c r="A36895" i="19"/>
  <c r="A36894" i="19"/>
  <c r="A36893" i="19"/>
  <c r="A36892" i="19"/>
  <c r="A36891" i="19"/>
  <c r="A36890" i="19"/>
  <c r="A36889" i="19"/>
  <c r="A36888" i="19"/>
  <c r="A36887" i="19"/>
  <c r="A36886" i="19"/>
  <c r="A36885" i="19"/>
  <c r="A36884" i="19"/>
  <c r="A36883" i="19"/>
  <c r="A36882" i="19"/>
  <c r="A36881" i="19"/>
  <c r="A36880" i="19"/>
  <c r="A36879" i="19"/>
  <c r="A36878" i="19"/>
  <c r="A36877" i="19"/>
  <c r="A36876" i="19"/>
  <c r="A36875" i="19"/>
  <c r="A36874" i="19"/>
  <c r="A36873" i="19"/>
  <c r="A36872" i="19"/>
  <c r="A36871" i="19"/>
  <c r="A36870" i="19"/>
  <c r="A36869" i="19"/>
  <c r="A36868" i="19"/>
  <c r="A36867" i="19"/>
  <c r="A36866" i="19"/>
  <c r="A36865" i="19"/>
  <c r="A36864" i="19"/>
  <c r="A36863" i="19"/>
  <c r="A36862" i="19"/>
  <c r="A36861" i="19"/>
  <c r="A36860" i="19"/>
  <c r="A36859" i="19"/>
  <c r="A36858" i="19"/>
  <c r="A36857" i="19"/>
  <c r="A36856" i="19"/>
  <c r="A36855" i="19"/>
  <c r="A36854" i="19"/>
  <c r="A36853" i="19"/>
  <c r="A36852" i="19"/>
  <c r="A36851" i="19"/>
  <c r="A36850" i="19"/>
  <c r="A36849" i="19"/>
  <c r="A36848" i="19"/>
  <c r="A36847" i="19"/>
  <c r="A36846" i="19"/>
  <c r="A36845" i="19"/>
  <c r="A36844" i="19"/>
  <c r="A36843" i="19"/>
  <c r="A36842" i="19"/>
  <c r="A36841" i="19"/>
  <c r="A36840" i="19"/>
  <c r="A36839" i="19"/>
  <c r="A36838" i="19"/>
  <c r="A36837" i="19"/>
  <c r="A36836" i="19"/>
  <c r="A36835" i="19"/>
  <c r="A36834" i="19"/>
  <c r="A36833" i="19"/>
  <c r="A36832" i="19"/>
  <c r="A36831" i="19"/>
  <c r="A36830" i="19"/>
  <c r="A36829" i="19"/>
  <c r="A36828" i="19"/>
  <c r="A36827" i="19"/>
  <c r="A36826" i="19"/>
  <c r="A36825" i="19"/>
  <c r="A36824" i="19"/>
  <c r="A36823" i="19"/>
  <c r="A36822" i="19"/>
  <c r="A36821" i="19"/>
  <c r="A36820" i="19"/>
  <c r="A36819" i="19"/>
  <c r="A36818" i="19"/>
  <c r="A36817" i="19"/>
  <c r="A36816" i="19"/>
  <c r="A36815" i="19"/>
  <c r="A36814" i="19"/>
  <c r="A36813" i="19"/>
  <c r="A36812" i="19"/>
  <c r="A36811" i="19"/>
  <c r="A36810" i="19"/>
  <c r="A36809" i="19"/>
  <c r="A36808" i="19"/>
  <c r="A36807" i="19"/>
  <c r="A36806" i="19"/>
  <c r="A36805" i="19"/>
  <c r="A36804" i="19"/>
  <c r="A36803" i="19"/>
  <c r="A36802" i="19"/>
  <c r="A36801" i="19"/>
  <c r="A36800" i="19"/>
  <c r="A36799" i="19"/>
  <c r="A36798" i="19"/>
  <c r="A36797" i="19"/>
  <c r="A36796" i="19"/>
  <c r="A36795" i="19"/>
  <c r="A36794" i="19"/>
  <c r="A36793" i="19"/>
  <c r="A36792" i="19"/>
  <c r="A36791" i="19"/>
  <c r="A36790" i="19"/>
  <c r="A36789" i="19"/>
  <c r="A36788" i="19"/>
  <c r="A36787" i="19"/>
  <c r="A36786" i="19"/>
  <c r="A36785" i="19"/>
  <c r="A36784" i="19"/>
  <c r="A36783" i="19"/>
  <c r="A36782" i="19"/>
  <c r="A36781" i="19"/>
  <c r="A36780" i="19"/>
  <c r="A36779" i="19"/>
  <c r="A36778" i="19"/>
  <c r="A36777" i="19"/>
  <c r="A36776" i="19"/>
  <c r="A36775" i="19"/>
  <c r="A36774" i="19"/>
  <c r="A36773" i="19"/>
  <c r="A36772" i="19"/>
  <c r="A36771" i="19"/>
  <c r="A36770" i="19"/>
  <c r="A36769" i="19"/>
  <c r="A36768" i="19"/>
  <c r="A36767" i="19"/>
  <c r="A36766" i="19"/>
  <c r="A36765" i="19"/>
  <c r="A36764" i="19"/>
  <c r="A36763" i="19"/>
  <c r="A36762" i="19"/>
  <c r="A36761" i="19"/>
  <c r="A36760" i="19"/>
  <c r="A36759" i="19"/>
  <c r="A36758" i="19"/>
  <c r="A36757" i="19"/>
  <c r="A36756" i="19"/>
  <c r="A36755" i="19"/>
  <c r="A36754" i="19"/>
  <c r="A36753" i="19"/>
  <c r="A36752" i="19"/>
  <c r="A36751" i="19"/>
  <c r="A36750" i="19"/>
  <c r="A36749" i="19"/>
  <c r="A36748" i="19"/>
  <c r="A36747" i="19"/>
  <c r="A36746" i="19"/>
  <c r="A36745" i="19"/>
  <c r="A36744" i="19"/>
  <c r="A36743" i="19"/>
  <c r="A36742" i="19"/>
  <c r="A36741" i="19"/>
  <c r="A36740" i="19"/>
  <c r="A36739" i="19"/>
  <c r="A36738" i="19"/>
  <c r="A36737" i="19"/>
  <c r="A36736" i="19"/>
  <c r="A36735" i="19"/>
  <c r="A36734" i="19"/>
  <c r="A36733" i="19"/>
  <c r="A36732" i="19"/>
  <c r="A36731" i="19"/>
  <c r="A36730" i="19"/>
  <c r="A36729" i="19"/>
  <c r="A36728" i="19"/>
  <c r="A36727" i="19"/>
  <c r="A36726" i="19"/>
  <c r="A36725" i="19"/>
  <c r="A36724" i="19"/>
  <c r="A36723" i="19"/>
  <c r="A36722" i="19"/>
  <c r="A36721" i="19"/>
  <c r="A36720" i="19"/>
  <c r="A36719" i="19"/>
  <c r="A36718" i="19"/>
  <c r="A36717" i="19"/>
  <c r="A36716" i="19"/>
  <c r="A36715" i="19"/>
  <c r="A36714" i="19"/>
  <c r="A36713" i="19"/>
  <c r="A36712" i="19"/>
  <c r="A36711" i="19"/>
  <c r="A36710" i="19"/>
  <c r="A36709" i="19"/>
  <c r="A36708" i="19"/>
  <c r="A36707" i="19"/>
  <c r="A36706" i="19"/>
  <c r="A36705" i="19"/>
  <c r="A36704" i="19"/>
  <c r="A36703" i="19"/>
  <c r="A36702" i="19"/>
  <c r="A36701" i="19"/>
  <c r="A36700" i="19"/>
  <c r="A36699" i="19"/>
  <c r="A36698" i="19"/>
  <c r="A36697" i="19"/>
  <c r="A36696" i="19"/>
  <c r="A36695" i="19"/>
  <c r="A36694" i="19"/>
  <c r="A36693" i="19"/>
  <c r="A36692" i="19"/>
  <c r="A36691" i="19"/>
  <c r="A36690" i="19"/>
  <c r="A36689" i="19"/>
  <c r="A36688" i="19"/>
  <c r="A36687" i="19"/>
  <c r="A36686" i="19"/>
  <c r="A36685" i="19"/>
  <c r="A36684" i="19"/>
  <c r="A36683" i="19"/>
  <c r="A36682" i="19"/>
  <c r="A36681" i="19"/>
  <c r="A36680" i="19"/>
  <c r="A36679" i="19"/>
  <c r="A36678" i="19"/>
  <c r="A36677" i="19"/>
  <c r="A36676" i="19"/>
  <c r="A36675" i="19"/>
  <c r="A36674" i="19"/>
  <c r="A36673" i="19"/>
  <c r="A36672" i="19"/>
  <c r="A36671" i="19"/>
  <c r="A36670" i="19"/>
  <c r="A36669" i="19"/>
  <c r="A36668" i="19"/>
  <c r="A36667" i="19"/>
  <c r="A36666" i="19"/>
  <c r="A36665" i="19"/>
  <c r="A36664" i="19"/>
  <c r="A36663" i="19"/>
  <c r="A36662" i="19"/>
  <c r="A36661" i="19"/>
  <c r="A36660" i="19"/>
  <c r="A36659" i="19"/>
  <c r="A36658" i="19"/>
  <c r="A36657" i="19"/>
  <c r="A36656" i="19"/>
  <c r="A36655" i="19"/>
  <c r="A36654" i="19"/>
  <c r="A36653" i="19"/>
  <c r="A36652" i="19"/>
  <c r="A36651" i="19"/>
  <c r="A36650" i="19"/>
  <c r="A36649" i="19"/>
  <c r="A36648" i="19"/>
  <c r="A36647" i="19"/>
  <c r="A36646" i="19"/>
  <c r="A36645" i="19"/>
  <c r="A36644" i="19"/>
  <c r="A36643" i="19"/>
  <c r="A36642" i="19"/>
  <c r="A36641" i="19"/>
  <c r="A36640" i="19"/>
  <c r="A36639" i="19"/>
  <c r="A36638" i="19"/>
  <c r="A36637" i="19"/>
  <c r="A36636" i="19"/>
  <c r="A36635" i="19"/>
  <c r="A36634" i="19"/>
  <c r="A36633" i="19"/>
  <c r="A36632" i="19"/>
  <c r="A36631" i="19"/>
  <c r="A36630" i="19"/>
  <c r="A36629" i="19"/>
  <c r="A36628" i="19"/>
  <c r="A36627" i="19"/>
  <c r="A36626" i="19"/>
  <c r="A36625" i="19"/>
  <c r="A36624" i="19"/>
  <c r="A36623" i="19"/>
  <c r="A36622" i="19"/>
  <c r="A36621" i="19"/>
  <c r="A36620" i="19"/>
  <c r="A36619" i="19"/>
  <c r="A36618" i="19"/>
  <c r="A36617" i="19"/>
  <c r="A36616" i="19"/>
  <c r="A36615" i="19"/>
  <c r="A36614" i="19"/>
  <c r="A36613" i="19"/>
  <c r="A36612" i="19"/>
  <c r="A36611" i="19"/>
  <c r="A36610" i="19"/>
  <c r="A36609" i="19"/>
  <c r="A36608" i="19"/>
  <c r="A36607" i="19"/>
  <c r="A36606" i="19"/>
  <c r="A36605" i="19"/>
  <c r="A36604" i="19"/>
  <c r="A36603" i="19"/>
  <c r="A36602" i="19"/>
  <c r="A36601" i="19"/>
  <c r="A36600" i="19"/>
  <c r="A36599" i="19"/>
  <c r="A36598" i="19"/>
  <c r="A36597" i="19"/>
  <c r="A36596" i="19"/>
  <c r="A36595" i="19"/>
  <c r="A36594" i="19"/>
  <c r="A36593" i="19"/>
  <c r="A36592" i="19"/>
  <c r="A36591" i="19"/>
  <c r="A36590" i="19"/>
  <c r="A36589" i="19"/>
  <c r="A36588" i="19"/>
  <c r="A36587" i="19"/>
  <c r="A36586" i="19"/>
  <c r="A36585" i="19"/>
  <c r="A36584" i="19"/>
  <c r="A36583" i="19"/>
  <c r="A36582" i="19"/>
  <c r="A36581" i="19"/>
  <c r="A36580" i="19"/>
  <c r="A36579" i="19"/>
  <c r="A36578" i="19"/>
  <c r="A36577" i="19"/>
  <c r="A36576" i="19"/>
  <c r="A36575" i="19"/>
  <c r="A36574" i="19"/>
  <c r="A36573" i="19"/>
  <c r="A36572" i="19"/>
  <c r="A36571" i="19"/>
  <c r="A36570" i="19"/>
  <c r="A36569" i="19"/>
  <c r="A36568" i="19"/>
  <c r="A36567" i="19"/>
  <c r="A36566" i="19"/>
  <c r="A36565" i="19"/>
  <c r="A36564" i="19"/>
  <c r="A36563" i="19"/>
  <c r="A36562" i="19"/>
  <c r="A36561" i="19"/>
  <c r="A36560" i="19"/>
  <c r="A36559" i="19"/>
  <c r="A36558" i="19"/>
  <c r="A36557" i="19"/>
  <c r="A36556" i="19"/>
  <c r="A36555" i="19"/>
  <c r="A36554" i="19"/>
  <c r="A36553" i="19"/>
  <c r="A36552" i="19"/>
  <c r="A36551" i="19"/>
  <c r="A36550" i="19"/>
  <c r="A36549" i="19"/>
  <c r="A36548" i="19"/>
  <c r="A36547" i="19"/>
  <c r="A36546" i="19"/>
  <c r="A36545" i="19"/>
  <c r="A36544" i="19"/>
  <c r="A36543" i="19"/>
  <c r="A36542" i="19"/>
  <c r="A36541" i="19"/>
  <c r="A36540" i="19"/>
  <c r="A36539" i="19"/>
  <c r="A36538" i="19"/>
  <c r="A36537" i="19"/>
  <c r="A36536" i="19"/>
  <c r="A36535" i="19"/>
  <c r="A36534" i="19"/>
  <c r="A36533" i="19"/>
  <c r="A36532" i="19"/>
  <c r="A36531" i="19"/>
  <c r="A36530" i="19"/>
  <c r="A36529" i="19"/>
  <c r="A36528" i="19"/>
  <c r="A36527" i="19"/>
  <c r="A36526" i="19"/>
  <c r="A36525" i="19"/>
  <c r="A36524" i="19"/>
  <c r="A36523" i="19"/>
  <c r="A36522" i="19"/>
  <c r="A36521" i="19"/>
  <c r="A36520" i="19"/>
  <c r="A36519" i="19"/>
  <c r="A36518" i="19"/>
  <c r="A36517" i="19"/>
  <c r="A36516" i="19"/>
  <c r="A36515" i="19"/>
  <c r="A36514" i="19"/>
  <c r="A36513" i="19"/>
  <c r="A36512" i="19"/>
  <c r="A36511" i="19"/>
  <c r="A36510" i="19"/>
  <c r="A36509" i="19"/>
  <c r="A36508" i="19"/>
  <c r="A36507" i="19"/>
  <c r="A36506" i="19"/>
  <c r="A36505" i="19"/>
  <c r="A36504" i="19"/>
  <c r="A36503" i="19"/>
  <c r="A36502" i="19"/>
  <c r="A36501" i="19"/>
  <c r="A36500" i="19"/>
  <c r="A36499" i="19"/>
  <c r="A36498" i="19"/>
  <c r="A36497" i="19"/>
  <c r="A36496" i="19"/>
  <c r="A36495" i="19"/>
  <c r="A36494" i="19"/>
  <c r="A36493" i="19"/>
  <c r="A36492" i="19"/>
  <c r="A36491" i="19"/>
  <c r="A36490" i="19"/>
  <c r="A36489" i="19"/>
  <c r="A36488" i="19"/>
  <c r="A36487" i="19"/>
  <c r="A36486" i="19"/>
  <c r="A36485" i="19"/>
  <c r="A36484" i="19"/>
  <c r="A36483" i="19"/>
  <c r="A36482" i="19"/>
  <c r="A36481" i="19"/>
  <c r="A36480" i="19"/>
  <c r="A36479" i="19"/>
  <c r="A36478" i="19"/>
  <c r="A36477" i="19"/>
  <c r="A36476" i="19"/>
  <c r="A36475" i="19"/>
  <c r="A36474" i="19"/>
  <c r="A36473" i="19"/>
  <c r="A36472" i="19"/>
  <c r="A36471" i="19"/>
  <c r="A36470" i="19"/>
  <c r="A36469" i="19"/>
  <c r="A36468" i="19"/>
  <c r="A36467" i="19"/>
  <c r="A36466" i="19"/>
  <c r="A36465" i="19"/>
  <c r="A36464" i="19"/>
  <c r="A36463" i="19"/>
  <c r="A36462" i="19"/>
  <c r="A36461" i="19"/>
  <c r="A36460" i="19"/>
  <c r="A36459" i="19"/>
  <c r="A36458" i="19"/>
  <c r="A36457" i="19"/>
  <c r="A36456" i="19"/>
  <c r="A36455" i="19"/>
  <c r="A36454" i="19"/>
  <c r="A36453" i="19"/>
  <c r="A36452" i="19"/>
  <c r="A36451" i="19"/>
  <c r="A36450" i="19"/>
  <c r="A36449" i="19"/>
  <c r="A36448" i="19"/>
  <c r="A36447" i="19"/>
  <c r="A36446" i="19"/>
  <c r="A36445" i="19"/>
  <c r="A36444" i="19"/>
  <c r="A36443" i="19"/>
  <c r="A36442" i="19"/>
  <c r="A36441" i="19"/>
  <c r="A36440" i="19"/>
  <c r="A36439" i="19"/>
  <c r="A36438" i="19"/>
  <c r="A36437" i="19"/>
  <c r="A36436" i="19"/>
  <c r="A36435" i="19"/>
  <c r="A36434" i="19"/>
  <c r="A36433" i="19"/>
  <c r="A36432" i="19"/>
  <c r="A36431" i="19"/>
  <c r="A36430" i="19"/>
  <c r="A36429" i="19"/>
  <c r="A36428" i="19"/>
  <c r="A36427" i="19"/>
  <c r="A36426" i="19"/>
  <c r="A36425" i="19"/>
  <c r="A36424" i="19"/>
  <c r="A36423" i="19"/>
  <c r="A36422" i="19"/>
  <c r="A36421" i="19"/>
  <c r="A36420" i="19"/>
  <c r="A36419" i="19"/>
  <c r="A36418" i="19"/>
  <c r="A36417" i="19"/>
  <c r="A36416" i="19"/>
  <c r="A36415" i="19"/>
  <c r="A36414" i="19"/>
  <c r="A36413" i="19"/>
  <c r="A36412" i="19"/>
  <c r="A36411" i="19"/>
  <c r="A36410" i="19"/>
  <c r="A36409" i="19"/>
  <c r="A36408" i="19"/>
  <c r="A36407" i="19"/>
  <c r="A36406" i="19"/>
  <c r="A36405" i="19"/>
  <c r="A36404" i="19"/>
  <c r="A36403" i="19"/>
  <c r="A36402" i="19"/>
  <c r="A36401" i="19"/>
  <c r="A36400" i="19"/>
  <c r="A36399" i="19"/>
  <c r="A36398" i="19"/>
  <c r="A36397" i="19"/>
  <c r="A36396" i="19"/>
  <c r="A36395" i="19"/>
  <c r="A36394" i="19"/>
  <c r="A36393" i="19"/>
  <c r="A36392" i="19"/>
  <c r="A36391" i="19"/>
  <c r="A36390" i="19"/>
  <c r="A36389" i="19"/>
  <c r="A36388" i="19"/>
  <c r="A36387" i="19"/>
  <c r="A36386" i="19"/>
  <c r="A36385" i="19"/>
  <c r="A36384" i="19"/>
  <c r="A36383" i="19"/>
  <c r="A36382" i="19"/>
  <c r="A36381" i="19"/>
  <c r="A36380" i="19"/>
  <c r="A36379" i="19"/>
  <c r="A36378" i="19"/>
  <c r="A36377" i="19"/>
  <c r="A36376" i="19"/>
  <c r="A36375" i="19"/>
  <c r="A36374" i="19"/>
  <c r="A36373" i="19"/>
  <c r="A36372" i="19"/>
  <c r="A36371" i="19"/>
  <c r="A36370" i="19"/>
  <c r="A36369" i="19"/>
  <c r="A36368" i="19"/>
  <c r="A36367" i="19"/>
  <c r="A36366" i="19"/>
  <c r="A36365" i="19"/>
  <c r="A36364" i="19"/>
  <c r="A36363" i="19"/>
  <c r="A36362" i="19"/>
  <c r="A36361" i="19"/>
  <c r="A36360" i="19"/>
  <c r="A36359" i="19"/>
  <c r="A36358" i="19"/>
  <c r="A36357" i="19"/>
  <c r="A36356" i="19"/>
  <c r="A36355" i="19"/>
  <c r="A36354" i="19"/>
  <c r="A36353" i="19"/>
  <c r="A36352" i="19"/>
  <c r="A36351" i="19"/>
  <c r="A36350" i="19"/>
  <c r="A36349" i="19"/>
  <c r="A36348" i="19"/>
  <c r="A36347" i="19"/>
  <c r="A36346" i="19"/>
  <c r="A36345" i="19"/>
  <c r="A36344" i="19"/>
  <c r="A36343" i="19"/>
  <c r="A36342" i="19"/>
  <c r="A36341" i="19"/>
  <c r="A36340" i="19"/>
  <c r="A36339" i="19"/>
  <c r="A36338" i="19"/>
  <c r="A36337" i="19"/>
  <c r="A36336" i="19"/>
  <c r="A36335" i="19"/>
  <c r="A36334" i="19"/>
  <c r="A36333" i="19"/>
  <c r="A36332" i="19"/>
  <c r="A36331" i="19"/>
  <c r="A36330" i="19"/>
  <c r="A36329" i="19"/>
  <c r="A36328" i="19"/>
  <c r="A36327" i="19"/>
  <c r="A36326" i="19"/>
  <c r="A36325" i="19"/>
  <c r="A36324" i="19"/>
  <c r="A36323" i="19"/>
  <c r="A36322" i="19"/>
  <c r="A36321" i="19"/>
  <c r="A36320" i="19"/>
  <c r="A36319" i="19"/>
  <c r="A36318" i="19"/>
  <c r="A36317" i="19"/>
  <c r="A36316" i="19"/>
  <c r="A36315" i="19"/>
  <c r="A36314" i="19"/>
  <c r="A36313" i="19"/>
  <c r="A36312" i="19"/>
  <c r="A36311" i="19"/>
  <c r="A36310" i="19"/>
  <c r="A36309" i="19"/>
  <c r="A36308" i="19"/>
  <c r="A36307" i="19"/>
  <c r="A36306" i="19"/>
  <c r="A36305" i="19"/>
  <c r="A36304" i="19"/>
  <c r="A36303" i="19"/>
  <c r="A36302" i="19"/>
  <c r="A36301" i="19"/>
  <c r="A36300" i="19"/>
  <c r="A36299" i="19"/>
  <c r="A36298" i="19"/>
  <c r="A36297" i="19"/>
  <c r="A36296" i="19"/>
  <c r="A36295" i="19"/>
  <c r="A36294" i="19"/>
  <c r="A36293" i="19"/>
  <c r="A36292" i="19"/>
  <c r="A36291" i="19"/>
  <c r="A36290" i="19"/>
  <c r="A36289" i="19"/>
  <c r="A36288" i="19"/>
  <c r="A36287" i="19"/>
  <c r="A36286" i="19"/>
  <c r="A36285" i="19"/>
  <c r="A36284" i="19"/>
  <c r="A36283" i="19"/>
  <c r="A36282" i="19"/>
  <c r="A36281" i="19"/>
  <c r="A36280" i="19"/>
  <c r="A36279" i="19"/>
  <c r="A36278" i="19"/>
  <c r="A36277" i="19"/>
  <c r="A36276" i="19"/>
  <c r="A36275" i="19"/>
  <c r="A36274" i="19"/>
  <c r="A36273" i="19"/>
  <c r="A36272" i="19"/>
  <c r="A36271" i="19"/>
  <c r="A36270" i="19"/>
  <c r="A36269" i="19"/>
  <c r="A36268" i="19"/>
  <c r="A36267" i="19"/>
  <c r="A36266" i="19"/>
  <c r="A36265" i="19"/>
  <c r="A36264" i="19"/>
  <c r="A36263" i="19"/>
  <c r="A36262" i="19"/>
  <c r="A36261" i="19"/>
  <c r="A36260" i="19"/>
  <c r="A36259" i="19"/>
  <c r="A36258" i="19"/>
  <c r="A36257" i="19"/>
  <c r="A36256" i="19"/>
  <c r="A36255" i="19"/>
  <c r="A36254" i="19"/>
  <c r="A36253" i="19"/>
  <c r="A36252" i="19"/>
  <c r="A36251" i="19"/>
  <c r="A36250" i="19"/>
  <c r="A36249" i="19"/>
  <c r="A36248" i="19"/>
  <c r="A36247" i="19"/>
  <c r="A36246" i="19"/>
  <c r="A36245" i="19"/>
  <c r="A36244" i="19"/>
  <c r="A36243" i="19"/>
  <c r="A36242" i="19"/>
  <c r="A36241" i="19"/>
  <c r="A36240" i="19"/>
  <c r="A36239" i="19"/>
  <c r="A36238" i="19"/>
  <c r="A36237" i="19"/>
  <c r="A36236" i="19"/>
  <c r="A36235" i="19"/>
  <c r="A36234" i="19"/>
  <c r="A36233" i="19"/>
  <c r="A36232" i="19"/>
  <c r="A36231" i="19"/>
  <c r="A36230" i="19"/>
  <c r="A36229" i="19"/>
  <c r="A36228" i="19"/>
  <c r="A36227" i="19"/>
  <c r="A36226" i="19"/>
  <c r="A36225" i="19"/>
  <c r="A36224" i="19"/>
  <c r="A36223" i="19"/>
  <c r="A36222" i="19"/>
  <c r="A36221" i="19"/>
  <c r="A36220" i="19"/>
  <c r="A36219" i="19"/>
  <c r="A36218" i="19"/>
  <c r="A36217" i="19"/>
  <c r="A36216" i="19"/>
  <c r="A36215" i="19"/>
  <c r="A36214" i="19"/>
  <c r="A36213" i="19"/>
  <c r="A36212" i="19"/>
  <c r="A36211" i="19"/>
  <c r="A36210" i="19"/>
  <c r="A36209" i="19"/>
  <c r="A36208" i="19"/>
  <c r="A36207" i="19"/>
  <c r="A36206" i="19"/>
  <c r="A36205" i="19"/>
  <c r="A36204" i="19"/>
  <c r="A36203" i="19"/>
  <c r="A36202" i="19"/>
  <c r="A36201" i="19"/>
  <c r="A36200" i="19"/>
  <c r="A36199" i="19"/>
  <c r="A36198" i="19"/>
  <c r="A36197" i="19"/>
  <c r="A36196" i="19"/>
  <c r="A36195" i="19"/>
  <c r="A36194" i="19"/>
  <c r="A36193" i="19"/>
  <c r="A36192" i="19"/>
  <c r="A36191" i="19"/>
  <c r="A36190" i="19"/>
  <c r="A36189" i="19"/>
  <c r="A36188" i="19"/>
  <c r="A36187" i="19"/>
  <c r="A36186" i="19"/>
  <c r="A36185" i="19"/>
  <c r="A36184" i="19"/>
  <c r="A36183" i="19"/>
  <c r="A36182" i="19"/>
  <c r="A36181" i="19"/>
  <c r="A36180" i="19"/>
  <c r="A36179" i="19"/>
  <c r="A36178" i="19"/>
  <c r="A36177" i="19"/>
  <c r="A36176" i="19"/>
  <c r="A36175" i="19"/>
  <c r="A36174" i="19"/>
  <c r="A36173" i="19"/>
  <c r="A36172" i="19"/>
  <c r="A36171" i="19"/>
  <c r="A36170" i="19"/>
  <c r="A36169" i="19"/>
  <c r="A36168" i="19"/>
  <c r="A36167" i="19"/>
  <c r="A36166" i="19"/>
  <c r="A36165" i="19"/>
  <c r="A36164" i="19"/>
  <c r="A36163" i="19"/>
  <c r="A36162" i="19"/>
  <c r="A36161" i="19"/>
  <c r="A36160" i="19"/>
  <c r="A36159" i="19"/>
  <c r="A36158" i="19"/>
  <c r="A36157" i="19"/>
  <c r="A36156" i="19"/>
  <c r="A36155" i="19"/>
  <c r="A36154" i="19"/>
  <c r="A36153" i="19"/>
  <c r="A36152" i="19"/>
  <c r="A36151" i="19"/>
  <c r="A36150" i="19"/>
  <c r="A36149" i="19"/>
  <c r="A36148" i="19"/>
  <c r="A36147" i="19"/>
  <c r="A36146" i="19"/>
  <c r="A36145" i="19"/>
  <c r="A36144" i="19"/>
  <c r="A36143" i="19"/>
  <c r="A36142" i="19"/>
  <c r="A36141" i="19"/>
  <c r="A36140" i="19"/>
  <c r="A36139" i="19"/>
  <c r="A36138" i="19"/>
  <c r="A36137" i="19"/>
  <c r="A36136" i="19"/>
  <c r="A36135" i="19"/>
  <c r="A36134" i="19"/>
  <c r="A36133" i="19"/>
  <c r="A36132" i="19"/>
  <c r="A36131" i="19"/>
  <c r="A36130" i="19"/>
  <c r="A36129" i="19"/>
  <c r="A36128" i="19"/>
  <c r="A36127" i="19"/>
  <c r="A36126" i="19"/>
  <c r="A36125" i="19"/>
  <c r="A36124" i="19"/>
  <c r="A36123" i="19"/>
  <c r="A36122" i="19"/>
  <c r="A36121" i="19"/>
  <c r="A36120" i="19"/>
  <c r="A36119" i="19"/>
  <c r="A36118" i="19"/>
  <c r="A36117" i="19"/>
  <c r="A36116" i="19"/>
  <c r="A36115" i="19"/>
  <c r="A36114" i="19"/>
  <c r="A36113" i="19"/>
  <c r="A36112" i="19"/>
  <c r="A36111" i="19"/>
  <c r="A36110" i="19"/>
  <c r="A36109" i="19"/>
  <c r="A36108" i="19"/>
  <c r="A36107" i="19"/>
  <c r="A36106" i="19"/>
  <c r="A36105" i="19"/>
  <c r="A36104" i="19"/>
  <c r="A36103" i="19"/>
  <c r="A36102" i="19"/>
  <c r="A36101" i="19"/>
  <c r="A36100" i="19"/>
  <c r="A36099" i="19"/>
  <c r="A36098" i="19"/>
  <c r="A36097" i="19"/>
  <c r="A36096" i="19"/>
  <c r="A36095" i="19"/>
  <c r="A36094" i="19"/>
  <c r="A36093" i="19"/>
  <c r="A36092" i="19"/>
  <c r="A36091" i="19"/>
  <c r="A36090" i="19"/>
  <c r="A36089" i="19"/>
  <c r="A36088" i="19"/>
  <c r="A36087" i="19"/>
  <c r="A36086" i="19"/>
  <c r="A36085" i="19"/>
  <c r="A36084" i="19"/>
  <c r="A36083" i="19"/>
  <c r="A36082" i="19"/>
  <c r="A36081" i="19"/>
  <c r="A36080" i="19"/>
  <c r="A36079" i="19"/>
  <c r="A36078" i="19"/>
  <c r="A36077" i="19"/>
  <c r="A36076" i="19"/>
  <c r="A36075" i="19"/>
  <c r="A36074" i="19"/>
  <c r="A36073" i="19"/>
  <c r="A36072" i="19"/>
  <c r="A36071" i="19"/>
  <c r="A36070" i="19"/>
  <c r="A36069" i="19"/>
  <c r="A36068" i="19"/>
  <c r="A36067" i="19"/>
  <c r="A36066" i="19"/>
  <c r="A36065" i="19"/>
  <c r="A36064" i="19"/>
  <c r="A36063" i="19"/>
  <c r="A36062" i="19"/>
  <c r="A36061" i="19"/>
  <c r="A36060" i="19"/>
  <c r="A36059" i="19"/>
  <c r="A36058" i="19"/>
  <c r="A36057" i="19"/>
  <c r="A36056" i="19"/>
  <c r="A36055" i="19"/>
  <c r="A36054" i="19"/>
  <c r="A36053" i="19"/>
  <c r="A36052" i="19"/>
  <c r="A36051" i="19"/>
  <c r="A36050" i="19"/>
  <c r="A36049" i="19"/>
  <c r="A36048" i="19"/>
  <c r="A36047" i="19"/>
  <c r="A36046" i="19"/>
  <c r="A36045" i="19"/>
  <c r="A36044" i="19"/>
  <c r="A36043" i="19"/>
  <c r="A36042" i="19"/>
  <c r="A36041" i="19"/>
  <c r="A36040" i="19"/>
  <c r="A36039" i="19"/>
  <c r="A36038" i="19"/>
  <c r="A36037" i="19"/>
  <c r="A36036" i="19"/>
  <c r="A36035" i="19"/>
  <c r="A36034" i="19"/>
  <c r="A36033" i="19"/>
  <c r="A36032" i="19"/>
  <c r="A36031" i="19"/>
  <c r="A36030" i="19"/>
  <c r="A36029" i="19"/>
  <c r="A36028" i="19"/>
  <c r="A36027" i="19"/>
  <c r="A36026" i="19"/>
  <c r="A36025" i="19"/>
  <c r="A36024" i="19"/>
  <c r="A36023" i="19"/>
  <c r="A36022" i="19"/>
  <c r="A36021" i="19"/>
  <c r="A36020" i="19"/>
  <c r="A36019" i="19"/>
  <c r="A36018" i="19"/>
  <c r="A36017" i="19"/>
  <c r="A36016" i="19"/>
  <c r="A36015" i="19"/>
  <c r="A36014" i="19"/>
  <c r="A36013" i="19"/>
  <c r="A36012" i="19"/>
  <c r="A36011" i="19"/>
  <c r="A36010" i="19"/>
  <c r="A36009" i="19"/>
  <c r="A36008" i="19"/>
  <c r="A36007" i="19"/>
  <c r="A36006" i="19"/>
  <c r="A36005" i="19"/>
  <c r="A36004" i="19"/>
  <c r="A36003" i="19"/>
  <c r="A36002" i="19"/>
  <c r="A36001" i="19"/>
  <c r="A36000" i="19"/>
  <c r="A35999" i="19"/>
  <c r="A35998" i="19"/>
  <c r="A35997" i="19"/>
  <c r="A35996" i="19"/>
  <c r="A35995" i="19"/>
  <c r="A35994" i="19"/>
  <c r="A35993" i="19"/>
  <c r="A35992" i="19"/>
  <c r="A35991" i="19"/>
  <c r="A35990" i="19"/>
  <c r="A35989" i="19"/>
  <c r="A35988" i="19"/>
  <c r="A35987" i="19"/>
  <c r="A35986" i="19"/>
  <c r="A35985" i="19"/>
  <c r="A35984" i="19"/>
  <c r="A35983" i="19"/>
  <c r="A35982" i="19"/>
  <c r="A35981" i="19"/>
  <c r="A35980" i="19"/>
  <c r="A35979" i="19"/>
  <c r="A35978" i="19"/>
  <c r="A35977" i="19"/>
  <c r="A35976" i="19"/>
  <c r="A35975" i="19"/>
  <c r="A35974" i="19"/>
  <c r="A35973" i="19"/>
  <c r="A35972" i="19"/>
  <c r="A35971" i="19"/>
  <c r="A35970" i="19"/>
  <c r="A35969" i="19"/>
  <c r="A35968" i="19"/>
  <c r="A35967" i="19"/>
  <c r="A35966" i="19"/>
  <c r="A35965" i="19"/>
  <c r="A35964" i="19"/>
  <c r="A35963" i="19"/>
  <c r="A35962" i="19"/>
  <c r="A35961" i="19"/>
  <c r="A35960" i="19"/>
  <c r="A35959" i="19"/>
  <c r="A35958" i="19"/>
  <c r="A35957" i="19"/>
  <c r="A35956" i="19"/>
  <c r="A35955" i="19"/>
  <c r="A35954" i="19"/>
  <c r="A35953" i="19"/>
  <c r="A35952" i="19"/>
  <c r="A35951" i="19"/>
  <c r="A35950" i="19"/>
  <c r="A35949" i="19"/>
  <c r="A35948" i="19"/>
  <c r="A35947" i="19"/>
  <c r="A35946" i="19"/>
  <c r="A35945" i="19"/>
  <c r="A35944" i="19"/>
  <c r="A35943" i="19"/>
  <c r="A35942" i="19"/>
  <c r="A35941" i="19"/>
  <c r="A35940" i="19"/>
  <c r="A35939" i="19"/>
  <c r="A35938" i="19"/>
  <c r="A35937" i="19"/>
  <c r="A35936" i="19"/>
  <c r="A35935" i="19"/>
  <c r="A35934" i="19"/>
  <c r="A35933" i="19"/>
  <c r="A35932" i="19"/>
  <c r="A35931" i="19"/>
  <c r="A35930" i="19"/>
  <c r="A35929" i="19"/>
  <c r="A35928" i="19"/>
  <c r="A35927" i="19"/>
  <c r="A35926" i="19"/>
  <c r="A35925" i="19"/>
  <c r="A35924" i="19"/>
  <c r="A35923" i="19"/>
  <c r="A35922" i="19"/>
  <c r="A35921" i="19"/>
  <c r="A35920" i="19"/>
  <c r="A35919" i="19"/>
  <c r="A35918" i="19"/>
  <c r="A35917" i="19"/>
  <c r="A35916" i="19"/>
  <c r="A35915" i="19"/>
  <c r="A35914" i="19"/>
  <c r="A35913" i="19"/>
  <c r="A35912" i="19"/>
  <c r="A35911" i="19"/>
  <c r="A35910" i="19"/>
  <c r="A35909" i="19"/>
  <c r="A35908" i="19"/>
  <c r="A35907" i="19"/>
  <c r="A35906" i="19"/>
  <c r="A35905" i="19"/>
  <c r="A35904" i="19"/>
  <c r="A35903" i="19"/>
  <c r="A35902" i="19"/>
  <c r="A35901" i="19"/>
  <c r="A35900" i="19"/>
  <c r="A35899" i="19"/>
  <c r="A35898" i="19"/>
  <c r="A35897" i="19"/>
  <c r="A35896" i="19"/>
  <c r="A35895" i="19"/>
  <c r="A35894" i="19"/>
  <c r="A35893" i="19"/>
  <c r="A35892" i="19"/>
  <c r="A35891" i="19"/>
  <c r="A35890" i="19"/>
  <c r="A35889" i="19"/>
  <c r="A35888" i="19"/>
  <c r="A35887" i="19"/>
  <c r="A35886" i="19"/>
  <c r="A35885" i="19"/>
  <c r="A35884" i="19"/>
  <c r="A35883" i="19"/>
  <c r="A35882" i="19"/>
  <c r="A35881" i="19"/>
  <c r="A35880" i="19"/>
  <c r="A35879" i="19"/>
  <c r="A35878" i="19"/>
  <c r="A35877" i="19"/>
  <c r="A35876" i="19"/>
  <c r="A35875" i="19"/>
  <c r="A35874" i="19"/>
  <c r="A35873" i="19"/>
  <c r="A35872" i="19"/>
  <c r="A35871" i="19"/>
  <c r="A35870" i="19"/>
  <c r="A35869" i="19"/>
  <c r="A35868" i="19"/>
  <c r="A35867" i="19"/>
  <c r="A35866" i="19"/>
  <c r="A35865" i="19"/>
  <c r="A35864" i="19"/>
  <c r="A35863" i="19"/>
  <c r="A35862" i="19"/>
  <c r="A35861" i="19"/>
  <c r="A35860" i="19"/>
  <c r="A35859" i="19"/>
  <c r="A35858" i="19"/>
  <c r="A35857" i="19"/>
  <c r="A35856" i="19"/>
  <c r="A35855" i="19"/>
  <c r="A35854" i="19"/>
  <c r="A35853" i="19"/>
  <c r="A35852" i="19"/>
  <c r="A35851" i="19"/>
  <c r="A35850" i="19"/>
  <c r="A35849" i="19"/>
  <c r="A35848" i="19"/>
  <c r="A35847" i="19"/>
  <c r="A35846" i="19"/>
  <c r="A35845" i="19"/>
  <c r="A35844" i="19"/>
  <c r="A35843" i="19"/>
  <c r="A35842" i="19"/>
  <c r="A35841" i="19"/>
  <c r="A35840" i="19"/>
  <c r="A35839" i="19"/>
  <c r="A35838" i="19"/>
  <c r="A35837" i="19"/>
  <c r="A35836" i="19"/>
  <c r="A35835" i="19"/>
  <c r="A35834" i="19"/>
  <c r="A35833" i="19"/>
  <c r="A35832" i="19"/>
  <c r="A35831" i="19"/>
  <c r="A35830" i="19"/>
  <c r="A35829" i="19"/>
  <c r="A35828" i="19"/>
  <c r="A35827" i="19"/>
  <c r="A35826" i="19"/>
  <c r="A35825" i="19"/>
  <c r="A35824" i="19"/>
  <c r="A35823" i="19"/>
  <c r="A35822" i="19"/>
  <c r="A35821" i="19"/>
  <c r="A35820" i="19"/>
  <c r="A35819" i="19"/>
  <c r="A35818" i="19"/>
  <c r="A35817" i="19"/>
  <c r="A35816" i="19"/>
  <c r="A35815" i="19"/>
  <c r="A35814" i="19"/>
  <c r="A35813" i="19"/>
  <c r="A35812" i="19"/>
  <c r="A35811" i="19"/>
  <c r="A35810" i="19"/>
  <c r="A35809" i="19"/>
  <c r="A35808" i="19"/>
  <c r="A35807" i="19"/>
  <c r="A35806" i="19"/>
  <c r="A35805" i="19"/>
  <c r="A35804" i="19"/>
  <c r="A35803" i="19"/>
  <c r="A35802" i="19"/>
  <c r="A35801" i="19"/>
  <c r="A35800" i="19"/>
  <c r="A35799" i="19"/>
  <c r="A35798" i="19"/>
  <c r="A35797" i="19"/>
  <c r="A35796" i="19"/>
  <c r="A35795" i="19"/>
  <c r="A35794" i="19"/>
  <c r="A35793" i="19"/>
  <c r="A35792" i="19"/>
  <c r="A35791" i="19"/>
  <c r="A35790" i="19"/>
  <c r="A35789" i="19"/>
  <c r="A35788" i="19"/>
  <c r="A35787" i="19"/>
  <c r="A35786" i="19"/>
  <c r="A35785" i="19"/>
  <c r="A35784" i="19"/>
  <c r="A35783" i="19"/>
  <c r="A35782" i="19"/>
  <c r="A35781" i="19"/>
  <c r="A35780" i="19"/>
  <c r="A35779" i="19"/>
  <c r="A35778" i="19"/>
  <c r="A35777" i="19"/>
  <c r="A35776" i="19"/>
  <c r="A35775" i="19"/>
  <c r="A35774" i="19"/>
  <c r="A35773" i="19"/>
  <c r="A35772" i="19"/>
  <c r="A35771" i="19"/>
  <c r="A35770" i="19"/>
  <c r="A35769" i="19"/>
  <c r="A35768" i="19"/>
  <c r="A35767" i="19"/>
  <c r="A35766" i="19"/>
  <c r="A35765" i="19"/>
  <c r="A35764" i="19"/>
  <c r="A35763" i="19"/>
  <c r="A35762" i="19"/>
  <c r="A35761" i="19"/>
  <c r="A35760" i="19"/>
  <c r="A35759" i="19"/>
  <c r="A35758" i="19"/>
  <c r="A35757" i="19"/>
  <c r="A35756" i="19"/>
  <c r="A35755" i="19"/>
  <c r="A35754" i="19"/>
  <c r="A35753" i="19"/>
  <c r="A35752" i="19"/>
  <c r="A35751" i="19"/>
  <c r="A35750" i="19"/>
  <c r="A35749" i="19"/>
  <c r="A35748" i="19"/>
  <c r="A35747" i="19"/>
  <c r="A35746" i="19"/>
  <c r="A35745" i="19"/>
  <c r="A35744" i="19"/>
  <c r="A35743" i="19"/>
  <c r="A35742" i="19"/>
  <c r="A35741" i="19"/>
  <c r="A35740" i="19"/>
  <c r="A35739" i="19"/>
  <c r="A35738" i="19"/>
  <c r="A35737" i="19"/>
  <c r="A35736" i="19"/>
  <c r="A35735" i="19"/>
  <c r="A35734" i="19"/>
  <c r="A35733" i="19"/>
  <c r="A35732" i="19"/>
  <c r="A35731" i="19"/>
  <c r="A35730" i="19"/>
  <c r="A35729" i="19"/>
  <c r="A35728" i="19"/>
  <c r="A35727" i="19"/>
  <c r="A35726" i="19"/>
  <c r="A35725" i="19"/>
  <c r="A35724" i="19"/>
  <c r="A35723" i="19"/>
  <c r="A35722" i="19"/>
  <c r="A35721" i="19"/>
  <c r="A35720" i="19"/>
  <c r="A35719" i="19"/>
  <c r="A35718" i="19"/>
  <c r="A35717" i="19"/>
  <c r="A35716" i="19"/>
  <c r="A35715" i="19"/>
  <c r="A35714" i="19"/>
  <c r="A35713" i="19"/>
  <c r="A35712" i="19"/>
  <c r="A35711" i="19"/>
  <c r="A35710" i="19"/>
  <c r="A35709" i="19"/>
  <c r="A35708" i="19"/>
  <c r="A35707" i="19"/>
  <c r="A35706" i="19"/>
  <c r="A35705" i="19"/>
  <c r="A35704" i="19"/>
  <c r="A35703" i="19"/>
  <c r="A35702" i="19"/>
  <c r="A35701" i="19"/>
  <c r="A35700" i="19"/>
  <c r="A35699" i="19"/>
  <c r="A35698" i="19"/>
  <c r="A35697" i="19"/>
  <c r="A35696" i="19"/>
  <c r="A35695" i="19"/>
  <c r="A35694" i="19"/>
  <c r="A35693" i="19"/>
  <c r="A35692" i="19"/>
  <c r="A35691" i="19"/>
  <c r="A35690" i="19"/>
  <c r="A35689" i="19"/>
  <c r="A35688" i="19"/>
  <c r="A35687" i="19"/>
  <c r="A35686" i="19"/>
  <c r="A35685" i="19"/>
  <c r="A35684" i="19"/>
  <c r="A35683" i="19"/>
  <c r="A35682" i="19"/>
  <c r="A35681" i="19"/>
  <c r="A35680" i="19"/>
  <c r="A35679" i="19"/>
  <c r="A35678" i="19"/>
  <c r="A35677" i="19"/>
  <c r="A35676" i="19"/>
  <c r="A35675" i="19"/>
  <c r="A35674" i="19"/>
  <c r="A35673" i="19"/>
  <c r="A35672" i="19"/>
  <c r="A35671" i="19"/>
  <c r="A35670" i="19"/>
  <c r="A35669" i="19"/>
  <c r="A35668" i="19"/>
  <c r="A35667" i="19"/>
  <c r="A35666" i="19"/>
  <c r="A35665" i="19"/>
  <c r="A35664" i="19"/>
  <c r="A35663" i="19"/>
  <c r="A35662" i="19"/>
  <c r="A35661" i="19"/>
  <c r="A35660" i="19"/>
  <c r="A35659" i="19"/>
  <c r="A35658" i="19"/>
  <c r="A35657" i="19"/>
  <c r="A35656" i="19"/>
  <c r="A35655" i="19"/>
  <c r="A35654" i="19"/>
  <c r="A35653" i="19"/>
  <c r="A35652" i="19"/>
  <c r="A35651" i="19"/>
  <c r="A35650" i="19"/>
  <c r="A35649" i="19"/>
  <c r="A35648" i="19"/>
  <c r="A35647" i="19"/>
  <c r="A35646" i="19"/>
  <c r="A35645" i="19"/>
  <c r="A35644" i="19"/>
  <c r="A35643" i="19"/>
  <c r="A35642" i="19"/>
  <c r="A35641" i="19"/>
  <c r="A35640" i="19"/>
  <c r="A35639" i="19"/>
  <c r="A35638" i="19"/>
  <c r="A35637" i="19"/>
  <c r="A35636" i="19"/>
  <c r="A35635" i="19"/>
  <c r="A35634" i="19"/>
  <c r="A35633" i="19"/>
  <c r="A35632" i="19"/>
  <c r="A35631" i="19"/>
  <c r="A35630" i="19"/>
  <c r="A35629" i="19"/>
  <c r="A35628" i="19"/>
  <c r="A35627" i="19"/>
  <c r="A35626" i="19"/>
  <c r="A35625" i="19"/>
  <c r="A35624" i="19"/>
  <c r="A35623" i="19"/>
  <c r="A35622" i="19"/>
  <c r="A35621" i="19"/>
  <c r="A35620" i="19"/>
  <c r="A35619" i="19"/>
  <c r="A35618" i="19"/>
  <c r="A35617" i="19"/>
  <c r="A35616" i="19"/>
  <c r="A35615" i="19"/>
  <c r="A35614" i="19"/>
  <c r="A35613" i="19"/>
  <c r="A35612" i="19"/>
  <c r="A35611" i="19"/>
  <c r="A35610" i="19"/>
  <c r="A35609" i="19"/>
  <c r="A35608" i="19"/>
  <c r="A35607" i="19"/>
  <c r="A35606" i="19"/>
  <c r="A35605" i="19"/>
  <c r="A35604" i="19"/>
  <c r="A35603" i="19"/>
  <c r="A35602" i="19"/>
  <c r="A35601" i="19"/>
  <c r="A35600" i="19"/>
  <c r="A35599" i="19"/>
  <c r="A35598" i="19"/>
  <c r="A35597" i="19"/>
  <c r="A35596" i="19"/>
  <c r="A35595" i="19"/>
  <c r="A35594" i="19"/>
  <c r="A35593" i="19"/>
  <c r="A35592" i="19"/>
  <c r="A35591" i="19"/>
  <c r="A35590" i="19"/>
  <c r="A35589" i="19"/>
  <c r="A35588" i="19"/>
  <c r="A35587" i="19"/>
  <c r="A35586" i="19"/>
  <c r="A35585" i="19"/>
  <c r="A35584" i="19"/>
  <c r="A35583" i="19"/>
  <c r="A35582" i="19"/>
  <c r="A35581" i="19"/>
  <c r="A35580" i="19"/>
  <c r="A35579" i="19"/>
  <c r="A35578" i="19"/>
  <c r="A35577" i="19"/>
  <c r="A35576" i="19"/>
  <c r="A35575" i="19"/>
  <c r="A35574" i="19"/>
  <c r="A35573" i="19"/>
  <c r="A35572" i="19"/>
  <c r="A35571" i="19"/>
  <c r="A35570" i="19"/>
  <c r="A35569" i="19"/>
  <c r="A35568" i="19"/>
  <c r="A35567" i="19"/>
  <c r="A35566" i="19"/>
  <c r="A35565" i="19"/>
  <c r="A35564" i="19"/>
  <c r="A35563" i="19"/>
  <c r="A35562" i="19"/>
  <c r="A35561" i="19"/>
  <c r="A35560" i="19"/>
  <c r="A35559" i="19"/>
  <c r="A35558" i="19"/>
  <c r="A35557" i="19"/>
  <c r="A35556" i="19"/>
  <c r="A35555" i="19"/>
  <c r="A35554" i="19"/>
  <c r="A35553" i="19"/>
  <c r="A35552" i="19"/>
  <c r="A35551" i="19"/>
  <c r="A35550" i="19"/>
  <c r="A35549" i="19"/>
  <c r="A35548" i="19"/>
  <c r="A35547" i="19"/>
  <c r="A35546" i="19"/>
  <c r="A35545" i="19"/>
  <c r="A35544" i="19"/>
  <c r="A35543" i="19"/>
  <c r="A35542" i="19"/>
  <c r="A35541" i="19"/>
  <c r="A35540" i="19"/>
  <c r="A35539" i="19"/>
  <c r="A35538" i="19"/>
  <c r="A35537" i="19"/>
  <c r="A35536" i="19"/>
  <c r="A35535" i="19"/>
  <c r="A35534" i="19"/>
  <c r="A35533" i="19"/>
  <c r="A35532" i="19"/>
  <c r="A35531" i="19"/>
  <c r="A35530" i="19"/>
  <c r="A35529" i="19"/>
  <c r="A35528" i="19"/>
  <c r="A35527" i="19"/>
  <c r="A35526" i="19"/>
  <c r="A35525" i="19"/>
  <c r="A35524" i="19"/>
  <c r="A35523" i="19"/>
  <c r="A35522" i="19"/>
  <c r="A35521" i="19"/>
  <c r="A35520" i="19"/>
  <c r="A35519" i="19"/>
  <c r="A35518" i="19"/>
  <c r="A35517" i="19"/>
  <c r="A35516" i="19"/>
  <c r="A35515" i="19"/>
  <c r="A35514" i="19"/>
  <c r="A35513" i="19"/>
  <c r="A35512" i="19"/>
  <c r="A35511" i="19"/>
  <c r="A35510" i="19"/>
  <c r="A35509" i="19"/>
  <c r="A35508" i="19"/>
  <c r="A35507" i="19"/>
  <c r="A35506" i="19"/>
  <c r="A35505" i="19"/>
  <c r="A35504" i="19"/>
  <c r="A35503" i="19"/>
  <c r="A35502" i="19"/>
  <c r="A35501" i="19"/>
  <c r="A35500" i="19"/>
  <c r="A35499" i="19"/>
  <c r="A35498" i="19"/>
  <c r="A35497" i="19"/>
  <c r="A35496" i="19"/>
  <c r="A35495" i="19"/>
  <c r="A35494" i="19"/>
  <c r="A35493" i="19"/>
  <c r="A35492" i="19"/>
  <c r="A35491" i="19"/>
  <c r="A35490" i="19"/>
  <c r="A35489" i="19"/>
  <c r="A35488" i="19"/>
  <c r="A35487" i="19"/>
  <c r="A35486" i="19"/>
  <c r="A35485" i="19"/>
  <c r="A35484" i="19"/>
  <c r="A35483" i="19"/>
  <c r="A35482" i="19"/>
  <c r="A35481" i="19"/>
  <c r="A35480" i="19"/>
  <c r="A35479" i="19"/>
  <c r="A35478" i="19"/>
  <c r="A35477" i="19"/>
  <c r="A35476" i="19"/>
  <c r="A35475" i="19"/>
  <c r="A35474" i="19"/>
  <c r="A35473" i="19"/>
  <c r="A35472" i="19"/>
  <c r="A35471" i="19"/>
  <c r="A35470" i="19"/>
  <c r="A35469" i="19"/>
  <c r="A35468" i="19"/>
  <c r="A35467" i="19"/>
  <c r="A35466" i="19"/>
  <c r="A35465" i="19"/>
  <c r="A35464" i="19"/>
  <c r="A35463" i="19"/>
  <c r="A35462" i="19"/>
  <c r="A35461" i="19"/>
  <c r="A35460" i="19"/>
  <c r="A35459" i="19"/>
  <c r="A35458" i="19"/>
  <c r="A35457" i="19"/>
  <c r="A35456" i="19"/>
  <c r="A35455" i="19"/>
  <c r="A35454" i="19"/>
  <c r="A35453" i="19"/>
  <c r="A35452" i="19"/>
  <c r="A35451" i="19"/>
  <c r="A35450" i="19"/>
  <c r="A35449" i="19"/>
  <c r="A35448" i="19"/>
  <c r="A35447" i="19"/>
  <c r="A35446" i="19"/>
  <c r="A35445" i="19"/>
  <c r="A35444" i="19"/>
  <c r="A35443" i="19"/>
  <c r="A35442" i="19"/>
  <c r="A35441" i="19"/>
  <c r="A35440" i="19"/>
  <c r="A35439" i="19"/>
  <c r="A35438" i="19"/>
  <c r="A35437" i="19"/>
  <c r="A35436" i="19"/>
  <c r="A35435" i="19"/>
  <c r="A35434" i="19"/>
  <c r="A35433" i="19"/>
  <c r="A35432" i="19"/>
  <c r="A35431" i="19"/>
  <c r="A35430" i="19"/>
  <c r="A35429" i="19"/>
  <c r="A35428" i="19"/>
  <c r="A35427" i="19"/>
  <c r="A35426" i="19"/>
  <c r="A35425" i="19"/>
  <c r="A35424" i="19"/>
  <c r="A35423" i="19"/>
  <c r="A35422" i="19"/>
  <c r="A35421" i="19"/>
  <c r="A35420" i="19"/>
  <c r="A35419" i="19"/>
  <c r="A35418" i="19"/>
  <c r="A35417" i="19"/>
  <c r="A35416" i="19"/>
  <c r="A35415" i="19"/>
  <c r="A35414" i="19"/>
  <c r="A35413" i="19"/>
  <c r="A35412" i="19"/>
  <c r="A35411" i="19"/>
  <c r="A35410" i="19"/>
  <c r="A35409" i="19"/>
  <c r="A35408" i="19"/>
  <c r="A35407" i="19"/>
  <c r="A35406" i="19"/>
  <c r="A35405" i="19"/>
  <c r="A35404" i="19"/>
  <c r="A35403" i="19"/>
  <c r="A35402" i="19"/>
  <c r="A35401" i="19"/>
  <c r="A35400" i="19"/>
  <c r="A35399" i="19"/>
  <c r="A35398" i="19"/>
  <c r="A35397" i="19"/>
  <c r="A35396" i="19"/>
  <c r="A35395" i="19"/>
  <c r="A35394" i="19"/>
  <c r="A35393" i="19"/>
  <c r="A35392" i="19"/>
  <c r="A35391" i="19"/>
  <c r="A35390" i="19"/>
  <c r="A35389" i="19"/>
  <c r="A35388" i="19"/>
  <c r="A35387" i="19"/>
  <c r="A35386" i="19"/>
  <c r="A35385" i="19"/>
  <c r="A35384" i="19"/>
  <c r="A35383" i="19"/>
  <c r="A35382" i="19"/>
  <c r="A35381" i="19"/>
  <c r="A35380" i="19"/>
  <c r="A35379" i="19"/>
  <c r="A35378" i="19"/>
  <c r="A35377" i="19"/>
  <c r="A35376" i="19"/>
  <c r="A35375" i="19"/>
  <c r="A35374" i="19"/>
  <c r="A35373" i="19"/>
  <c r="A35372" i="19"/>
  <c r="A35371" i="19"/>
  <c r="A35370" i="19"/>
  <c r="A35369" i="19"/>
  <c r="A35368" i="19"/>
  <c r="A35367" i="19"/>
  <c r="A35366" i="19"/>
  <c r="A35365" i="19"/>
  <c r="A35364" i="19"/>
  <c r="A35363" i="19"/>
  <c r="A35362" i="19"/>
  <c r="A35361" i="19"/>
  <c r="A35360" i="19"/>
  <c r="A35359" i="19"/>
  <c r="A35358" i="19"/>
  <c r="A35357" i="19"/>
  <c r="A35356" i="19"/>
  <c r="A35355" i="19"/>
  <c r="A35354" i="19"/>
  <c r="A35353" i="19"/>
  <c r="A35352" i="19"/>
  <c r="A35351" i="19"/>
  <c r="A35350" i="19"/>
  <c r="A35349" i="19"/>
  <c r="A35348" i="19"/>
  <c r="A35347" i="19"/>
  <c r="A35346" i="19"/>
  <c r="A35345" i="19"/>
  <c r="A35344" i="19"/>
  <c r="A35343" i="19"/>
  <c r="A35342" i="19"/>
  <c r="A35341" i="19"/>
  <c r="A35340" i="19"/>
  <c r="A35339" i="19"/>
  <c r="A35338" i="19"/>
  <c r="A35337" i="19"/>
  <c r="A35336" i="19"/>
  <c r="A35335" i="19"/>
  <c r="A35334" i="19"/>
  <c r="A35333" i="19"/>
  <c r="A35332" i="19"/>
  <c r="A35331" i="19"/>
  <c r="A35330" i="19"/>
  <c r="A35329" i="19"/>
  <c r="A35328" i="19"/>
  <c r="A35327" i="19"/>
  <c r="A35326" i="19"/>
  <c r="A35325" i="19"/>
  <c r="A35324" i="19"/>
  <c r="A35323" i="19"/>
  <c r="A35322" i="19"/>
  <c r="A35321" i="19"/>
  <c r="A35320" i="19"/>
  <c r="A35319" i="19"/>
  <c r="A35318" i="19"/>
  <c r="A35317" i="19"/>
  <c r="A35316" i="19"/>
  <c r="A35315" i="19"/>
  <c r="A35314" i="19"/>
  <c r="A35313" i="19"/>
  <c r="A35312" i="19"/>
  <c r="A35311" i="19"/>
  <c r="A35310" i="19"/>
  <c r="A35309" i="19"/>
  <c r="A35308" i="19"/>
  <c r="A35307" i="19"/>
  <c r="A35306" i="19"/>
  <c r="A35305" i="19"/>
  <c r="A35304" i="19"/>
  <c r="A35303" i="19"/>
  <c r="A35302" i="19"/>
  <c r="A35301" i="19"/>
  <c r="A35300" i="19"/>
  <c r="A35299" i="19"/>
  <c r="A35298" i="19"/>
  <c r="A35297" i="19"/>
  <c r="A35296" i="19"/>
  <c r="A35295" i="19"/>
  <c r="A35294" i="19"/>
  <c r="A35293" i="19"/>
  <c r="A35292" i="19"/>
  <c r="A35291" i="19"/>
  <c r="A35290" i="19"/>
  <c r="A35289" i="19"/>
  <c r="A35288" i="19"/>
  <c r="A35287" i="19"/>
  <c r="A35286" i="19"/>
  <c r="A35285" i="19"/>
  <c r="A35284" i="19"/>
  <c r="A35283" i="19"/>
  <c r="A35282" i="19"/>
  <c r="A35281" i="19"/>
  <c r="A35280" i="19"/>
  <c r="A35279" i="19"/>
  <c r="A35278" i="19"/>
  <c r="A35277" i="19"/>
  <c r="A35276" i="19"/>
  <c r="A35275" i="19"/>
  <c r="A35274" i="19"/>
  <c r="A35273" i="19"/>
  <c r="A35272" i="19"/>
  <c r="A35271" i="19"/>
  <c r="A35270" i="19"/>
  <c r="A35269" i="19"/>
  <c r="A35268" i="19"/>
  <c r="A35267" i="19"/>
  <c r="A35266" i="19"/>
  <c r="A35265" i="19"/>
  <c r="A35264" i="19"/>
  <c r="A35263" i="19"/>
  <c r="A35262" i="19"/>
  <c r="A35261" i="19"/>
  <c r="A35260" i="19"/>
  <c r="A35259" i="19"/>
  <c r="A35258" i="19"/>
  <c r="A35257" i="19"/>
  <c r="A35256" i="19"/>
  <c r="A35255" i="19"/>
  <c r="A35254" i="19"/>
  <c r="A35253" i="19"/>
  <c r="A35252" i="19"/>
  <c r="A35251" i="19"/>
  <c r="A35250" i="19"/>
  <c r="A35249" i="19"/>
  <c r="A35248" i="19"/>
  <c r="A35247" i="19"/>
  <c r="A35246" i="19"/>
  <c r="A35245" i="19"/>
  <c r="A35244" i="19"/>
  <c r="A35243" i="19"/>
  <c r="A35242" i="19"/>
  <c r="A35241" i="19"/>
  <c r="A35240" i="19"/>
  <c r="A35239" i="19"/>
  <c r="A35238" i="19"/>
  <c r="A35237" i="19"/>
  <c r="A35236" i="19"/>
  <c r="A35235" i="19"/>
  <c r="A35234" i="19"/>
  <c r="A35233" i="19"/>
  <c r="A35232" i="19"/>
  <c r="A35231" i="19"/>
  <c r="A35230" i="19"/>
  <c r="A35229" i="19"/>
  <c r="A35228" i="19"/>
  <c r="A35227" i="19"/>
  <c r="A35226" i="19"/>
  <c r="A35225" i="19"/>
  <c r="A35224" i="19"/>
  <c r="A35223" i="19"/>
  <c r="A35222" i="19"/>
  <c r="A35221" i="19"/>
  <c r="A35220" i="19"/>
  <c r="A35219" i="19"/>
  <c r="A35218" i="19"/>
  <c r="A35217" i="19"/>
  <c r="A35216" i="19"/>
  <c r="A35215" i="19"/>
  <c r="A35214" i="19"/>
  <c r="A35213" i="19"/>
  <c r="A35212" i="19"/>
  <c r="A35211" i="19"/>
  <c r="A35210" i="19"/>
  <c r="A35209" i="19"/>
  <c r="A35208" i="19"/>
  <c r="A35207" i="19"/>
  <c r="A35206" i="19"/>
  <c r="A35205" i="19"/>
  <c r="A35204" i="19"/>
  <c r="A35203" i="19"/>
  <c r="A35202" i="19"/>
  <c r="A35201" i="19"/>
  <c r="A35200" i="19"/>
  <c r="A35199" i="19"/>
  <c r="A35198" i="19"/>
  <c r="A35197" i="19"/>
  <c r="A35196" i="19"/>
  <c r="A35195" i="19"/>
  <c r="A35194" i="19"/>
  <c r="A35193" i="19"/>
  <c r="A35192" i="19"/>
  <c r="A35191" i="19"/>
  <c r="A35190" i="19"/>
  <c r="A35189" i="19"/>
  <c r="A35188" i="19"/>
  <c r="A35187" i="19"/>
  <c r="A35186" i="19"/>
  <c r="A35185" i="19"/>
  <c r="A35184" i="19"/>
  <c r="A35183" i="19"/>
  <c r="A35182" i="19"/>
  <c r="A35181" i="19"/>
  <c r="A35180" i="19"/>
  <c r="A35179" i="19"/>
  <c r="A35178" i="19"/>
  <c r="A35177" i="19"/>
  <c r="A35176" i="19"/>
  <c r="A35175" i="19"/>
  <c r="A35174" i="19"/>
  <c r="A35173" i="19"/>
  <c r="A35172" i="19"/>
  <c r="A35171" i="19"/>
  <c r="A35170" i="19"/>
  <c r="A35169" i="19"/>
  <c r="A35168" i="19"/>
  <c r="A35167" i="19"/>
  <c r="A35166" i="19"/>
  <c r="A35165" i="19"/>
  <c r="A35164" i="19"/>
  <c r="A35163" i="19"/>
  <c r="A35162" i="19"/>
  <c r="A35161" i="19"/>
  <c r="A35160" i="19"/>
  <c r="A35159" i="19"/>
  <c r="A35158" i="19"/>
  <c r="A35157" i="19"/>
  <c r="A35156" i="19"/>
  <c r="A35155" i="19"/>
  <c r="A35154" i="19"/>
  <c r="A35153" i="19"/>
  <c r="A35152" i="19"/>
  <c r="A35151" i="19"/>
  <c r="A35150" i="19"/>
  <c r="A35149" i="19"/>
  <c r="A35148" i="19"/>
  <c r="A35147" i="19"/>
  <c r="A35146" i="19"/>
  <c r="A35145" i="19"/>
  <c r="A35144" i="19"/>
  <c r="A35143" i="19"/>
  <c r="A35142" i="19"/>
  <c r="A35141" i="19"/>
  <c r="A35140" i="19"/>
  <c r="A35139" i="19"/>
  <c r="A35138" i="19"/>
  <c r="A35137" i="19"/>
  <c r="A35136" i="19"/>
  <c r="A35135" i="19"/>
  <c r="A35134" i="19"/>
  <c r="A35133" i="19"/>
  <c r="A35132" i="19"/>
  <c r="A35131" i="19"/>
  <c r="A35130" i="19"/>
  <c r="A35129" i="19"/>
  <c r="A35128" i="19"/>
  <c r="A35127" i="19"/>
  <c r="A35126" i="19"/>
  <c r="A35125" i="19"/>
  <c r="A35124" i="19"/>
  <c r="A35123" i="19"/>
  <c r="A35122" i="19"/>
  <c r="A35121" i="19"/>
  <c r="A35120" i="19"/>
  <c r="A35119" i="19"/>
  <c r="A35118" i="19"/>
  <c r="A35117" i="19"/>
  <c r="A35116" i="19"/>
  <c r="A35115" i="19"/>
  <c r="A35114" i="19"/>
  <c r="A35113" i="19"/>
  <c r="A35112" i="19"/>
  <c r="A35111" i="19"/>
  <c r="A35110" i="19"/>
  <c r="A35109" i="19"/>
  <c r="A35108" i="19"/>
  <c r="A35107" i="19"/>
  <c r="A35106" i="19"/>
  <c r="A35105" i="19"/>
  <c r="A35104" i="19"/>
  <c r="A35103" i="19"/>
  <c r="A35102" i="19"/>
  <c r="A35101" i="19"/>
  <c r="A35100" i="19"/>
  <c r="A35099" i="19"/>
  <c r="A35098" i="19"/>
  <c r="A35097" i="19"/>
  <c r="A35096" i="19"/>
  <c r="A35095" i="19"/>
  <c r="A35094" i="19"/>
  <c r="A35093" i="19"/>
  <c r="A35092" i="19"/>
  <c r="A35091" i="19"/>
  <c r="A35090" i="19"/>
  <c r="A35089" i="19"/>
  <c r="A35088" i="19"/>
  <c r="A35087" i="19"/>
  <c r="A35086" i="19"/>
  <c r="A35085" i="19"/>
  <c r="A35084" i="19"/>
  <c r="A35083" i="19"/>
  <c r="A35082" i="19"/>
  <c r="A35081" i="19"/>
  <c r="A35080" i="19"/>
  <c r="A35079" i="19"/>
  <c r="A35078" i="19"/>
  <c r="A35077" i="19"/>
  <c r="A35076" i="19"/>
  <c r="A35075" i="19"/>
  <c r="A35074" i="19"/>
  <c r="A35073" i="19"/>
  <c r="A35072" i="19"/>
  <c r="A35071" i="19"/>
  <c r="A35070" i="19"/>
  <c r="A35069" i="19"/>
  <c r="A35068" i="19"/>
  <c r="A35067" i="19"/>
  <c r="A35066" i="19"/>
  <c r="A35065" i="19"/>
  <c r="A35064" i="19"/>
  <c r="A35063" i="19"/>
  <c r="A35062" i="19"/>
  <c r="A35061" i="19"/>
  <c r="A35060" i="19"/>
  <c r="A35059" i="19"/>
  <c r="A35058" i="19"/>
  <c r="A35057" i="19"/>
  <c r="A35056" i="19"/>
  <c r="A35055" i="19"/>
  <c r="A35054" i="19"/>
  <c r="A35053" i="19"/>
  <c r="A35052" i="19"/>
  <c r="A35051" i="19"/>
  <c r="A35050" i="19"/>
  <c r="A35049" i="19"/>
  <c r="A35048" i="19"/>
  <c r="A35047" i="19"/>
  <c r="A35046" i="19"/>
  <c r="A35045" i="19"/>
  <c r="A35044" i="19"/>
  <c r="A35043" i="19"/>
  <c r="A35042" i="19"/>
  <c r="A35041" i="19"/>
  <c r="A35040" i="19"/>
  <c r="A35039" i="19"/>
  <c r="A35038" i="19"/>
  <c r="A35037" i="19"/>
  <c r="A35036" i="19"/>
  <c r="A35035" i="19"/>
  <c r="A35034" i="19"/>
  <c r="A35033" i="19"/>
  <c r="A35032" i="19"/>
  <c r="A35031" i="19"/>
  <c r="A35030" i="19"/>
  <c r="A35029" i="19"/>
  <c r="A35028" i="19"/>
  <c r="A35027" i="19"/>
  <c r="A35026" i="19"/>
  <c r="A35025" i="19"/>
  <c r="A35024" i="19"/>
  <c r="A35023" i="19"/>
  <c r="A35022" i="19"/>
  <c r="A35021" i="19"/>
  <c r="A35020" i="19"/>
  <c r="A35019" i="19"/>
  <c r="A35018" i="19"/>
  <c r="A35017" i="19"/>
  <c r="A35016" i="19"/>
  <c r="A35015" i="19"/>
  <c r="A35014" i="19"/>
  <c r="A35013" i="19"/>
  <c r="A35012" i="19"/>
  <c r="A35011" i="19"/>
  <c r="A35010" i="19"/>
  <c r="A35009" i="19"/>
  <c r="A35008" i="19"/>
  <c r="A35007" i="19"/>
  <c r="A35006" i="19"/>
  <c r="A35005" i="19"/>
  <c r="A35004" i="19"/>
  <c r="A35003" i="19"/>
  <c r="A35002" i="19"/>
  <c r="A35001" i="19"/>
  <c r="A35000" i="19"/>
  <c r="A34999" i="19"/>
  <c r="A34998" i="19"/>
  <c r="A34997" i="19"/>
  <c r="A34996" i="19"/>
  <c r="A34995" i="19"/>
  <c r="A34994" i="19"/>
  <c r="A34993" i="19"/>
  <c r="A34992" i="19"/>
  <c r="A34991" i="19"/>
  <c r="A34990" i="19"/>
  <c r="A34989" i="19"/>
  <c r="A34988" i="19"/>
  <c r="A34987" i="19"/>
  <c r="A34986" i="19"/>
  <c r="A34985" i="19"/>
  <c r="A34984" i="19"/>
  <c r="A34983" i="19"/>
  <c r="A34982" i="19"/>
  <c r="A34981" i="19"/>
  <c r="A34980" i="19"/>
  <c r="A34979" i="19"/>
  <c r="A34978" i="19"/>
  <c r="A34977" i="19"/>
  <c r="A34976" i="19"/>
  <c r="A34975" i="19"/>
  <c r="A34974" i="19"/>
  <c r="A34973" i="19"/>
  <c r="A34972" i="19"/>
  <c r="A34971" i="19"/>
  <c r="A34970" i="19"/>
  <c r="A34969" i="19"/>
  <c r="A34968" i="19"/>
  <c r="A34967" i="19"/>
  <c r="A34966" i="19"/>
  <c r="A34965" i="19"/>
  <c r="A34964" i="19"/>
  <c r="A34963" i="19"/>
  <c r="A34962" i="19"/>
  <c r="A34961" i="19"/>
  <c r="A34960" i="19"/>
  <c r="A34959" i="19"/>
  <c r="A34958" i="19"/>
  <c r="A34957" i="19"/>
  <c r="A34956" i="19"/>
  <c r="A34955" i="19"/>
  <c r="A34954" i="19"/>
  <c r="A34953" i="19"/>
  <c r="A34952" i="19"/>
  <c r="A34951" i="19"/>
  <c r="A34950" i="19"/>
  <c r="A34949" i="19"/>
  <c r="A34948" i="19"/>
  <c r="A34947" i="19"/>
  <c r="A34946" i="19"/>
  <c r="A34945" i="19"/>
  <c r="A34944" i="19"/>
  <c r="A34943" i="19"/>
  <c r="A34942" i="19"/>
  <c r="A34941" i="19"/>
  <c r="A34940" i="19"/>
  <c r="A34939" i="19"/>
  <c r="A34938" i="19"/>
  <c r="A34937" i="19"/>
  <c r="A34936" i="19"/>
  <c r="A34935" i="19"/>
  <c r="A34934" i="19"/>
  <c r="A34933" i="19"/>
  <c r="A34932" i="19"/>
  <c r="A34931" i="19"/>
  <c r="A34930" i="19"/>
  <c r="A34929" i="19"/>
  <c r="A34928" i="19"/>
  <c r="A34927" i="19"/>
  <c r="A34926" i="19"/>
  <c r="A34925" i="19"/>
  <c r="A34924" i="19"/>
  <c r="A34923" i="19"/>
  <c r="A34922" i="19"/>
  <c r="A34921" i="19"/>
  <c r="A34920" i="19"/>
  <c r="A34919" i="19"/>
  <c r="A34918" i="19"/>
  <c r="A34917" i="19"/>
  <c r="A34916" i="19"/>
  <c r="A34915" i="19"/>
  <c r="A34914" i="19"/>
  <c r="A34913" i="19"/>
  <c r="A34912" i="19"/>
  <c r="A34911" i="19"/>
  <c r="A34910" i="19"/>
  <c r="A34909" i="19"/>
  <c r="A34908" i="19"/>
  <c r="A34907" i="19"/>
  <c r="A34906" i="19"/>
  <c r="A34905" i="19"/>
  <c r="A34904" i="19"/>
  <c r="A34903" i="19"/>
  <c r="A34902" i="19"/>
  <c r="A34901" i="19"/>
  <c r="A34900" i="19"/>
  <c r="A34899" i="19"/>
  <c r="A34898" i="19"/>
  <c r="A34897" i="19"/>
  <c r="A34896" i="19"/>
  <c r="A34895" i="19"/>
  <c r="A34894" i="19"/>
  <c r="A34893" i="19"/>
  <c r="A34892" i="19"/>
  <c r="A34891" i="19"/>
  <c r="A34890" i="19"/>
  <c r="A34889" i="19"/>
  <c r="A34888" i="19"/>
  <c r="A34887" i="19"/>
  <c r="A34886" i="19"/>
  <c r="A34885" i="19"/>
  <c r="A34884" i="19"/>
  <c r="A34883" i="19"/>
  <c r="A34882" i="19"/>
  <c r="A34881" i="19"/>
  <c r="A34880" i="19"/>
  <c r="A34879" i="19"/>
  <c r="A34878" i="19"/>
  <c r="A34877" i="19"/>
  <c r="A34876" i="19"/>
  <c r="A34875" i="19"/>
  <c r="A34874" i="19"/>
  <c r="A34873" i="19"/>
  <c r="A34872" i="19"/>
  <c r="A34871" i="19"/>
  <c r="A34870" i="19"/>
  <c r="A34869" i="19"/>
  <c r="A34868" i="19"/>
  <c r="A34867" i="19"/>
  <c r="A34866" i="19"/>
  <c r="A34865" i="19"/>
  <c r="A34864" i="19"/>
  <c r="A34863" i="19"/>
  <c r="A34862" i="19"/>
  <c r="A34861" i="19"/>
  <c r="A34860" i="19"/>
  <c r="A34859" i="19"/>
  <c r="A34858" i="19"/>
  <c r="A34857" i="19"/>
  <c r="A34856" i="19"/>
  <c r="A34855" i="19"/>
  <c r="A34854" i="19"/>
  <c r="A34853" i="19"/>
  <c r="A34852" i="19"/>
  <c r="A34851" i="19"/>
  <c r="A34850" i="19"/>
  <c r="A34849" i="19"/>
  <c r="A34848" i="19"/>
  <c r="A34847" i="19"/>
  <c r="A34846" i="19"/>
  <c r="A34845" i="19"/>
  <c r="A34844" i="19"/>
  <c r="A34843" i="19"/>
  <c r="A34842" i="19"/>
  <c r="A34841" i="19"/>
  <c r="A34840" i="19"/>
  <c r="A34839" i="19"/>
  <c r="A34838" i="19"/>
  <c r="A34837" i="19"/>
  <c r="A34836" i="19"/>
  <c r="A34835" i="19"/>
  <c r="A34834" i="19"/>
  <c r="A34833" i="19"/>
  <c r="A34832" i="19"/>
  <c r="A34831" i="19"/>
  <c r="A34830" i="19"/>
  <c r="A34829" i="19"/>
  <c r="A34828" i="19"/>
  <c r="A34827" i="19"/>
  <c r="A34826" i="19"/>
  <c r="A34825" i="19"/>
  <c r="A34824" i="19"/>
  <c r="A34823" i="19"/>
  <c r="A34822" i="19"/>
  <c r="A34821" i="19"/>
  <c r="A34820" i="19"/>
  <c r="A34819" i="19"/>
  <c r="A34818" i="19"/>
  <c r="A34817" i="19"/>
  <c r="A34816" i="19"/>
  <c r="A34815" i="19"/>
  <c r="A34814" i="19"/>
  <c r="A34813" i="19"/>
  <c r="A34812" i="19"/>
  <c r="A34811" i="19"/>
  <c r="A34810" i="19"/>
  <c r="A34809" i="19"/>
  <c r="A34808" i="19"/>
  <c r="A34807" i="19"/>
  <c r="A34806" i="19"/>
  <c r="A34805" i="19"/>
  <c r="A34804" i="19"/>
  <c r="A34803" i="19"/>
  <c r="A34802" i="19"/>
  <c r="A34801" i="19"/>
  <c r="A34800" i="19"/>
  <c r="A34799" i="19"/>
  <c r="A34798" i="19"/>
  <c r="A34797" i="19"/>
  <c r="A34796" i="19"/>
  <c r="A34795" i="19"/>
  <c r="A34794" i="19"/>
  <c r="A34793" i="19"/>
  <c r="A34792" i="19"/>
  <c r="A34791" i="19"/>
  <c r="A34790" i="19"/>
  <c r="A34789" i="19"/>
  <c r="A34788" i="19"/>
  <c r="A34787" i="19"/>
  <c r="A34786" i="19"/>
  <c r="A34785" i="19"/>
  <c r="A34784" i="19"/>
  <c r="A34783" i="19"/>
  <c r="A34782" i="19"/>
  <c r="A34781" i="19"/>
  <c r="A34780" i="19"/>
  <c r="A34779" i="19"/>
  <c r="A34778" i="19"/>
  <c r="A34777" i="19"/>
  <c r="A34776" i="19"/>
  <c r="A34775" i="19"/>
  <c r="A34774" i="19"/>
  <c r="A34773" i="19"/>
  <c r="A34772" i="19"/>
  <c r="A34771" i="19"/>
  <c r="A34770" i="19"/>
  <c r="A34769" i="19"/>
  <c r="A34768" i="19"/>
  <c r="A34767" i="19"/>
  <c r="A34766" i="19"/>
  <c r="A34765" i="19"/>
  <c r="A34764" i="19"/>
  <c r="A34763" i="19"/>
  <c r="A34762" i="19"/>
  <c r="A34761" i="19"/>
  <c r="A34760" i="19"/>
  <c r="A34759" i="19"/>
  <c r="A34758" i="19"/>
  <c r="A34757" i="19"/>
  <c r="A34756" i="19"/>
  <c r="A34755" i="19"/>
  <c r="A34754" i="19"/>
  <c r="A34753" i="19"/>
  <c r="A34752" i="19"/>
  <c r="A34751" i="19"/>
  <c r="A34750" i="19"/>
  <c r="A34749" i="19"/>
  <c r="A34748" i="19"/>
  <c r="A34747" i="19"/>
  <c r="A34746" i="19"/>
  <c r="A34745" i="19"/>
  <c r="A34744" i="19"/>
  <c r="A34743" i="19"/>
  <c r="A34742" i="19"/>
  <c r="A34741" i="19"/>
  <c r="A34740" i="19"/>
  <c r="A34739" i="19"/>
  <c r="A34738" i="19"/>
  <c r="A34737" i="19"/>
  <c r="A34736" i="19"/>
  <c r="A34735" i="19"/>
  <c r="A34734" i="19"/>
  <c r="A34733" i="19"/>
  <c r="A34732" i="19"/>
  <c r="A34731" i="19"/>
  <c r="A34730" i="19"/>
  <c r="A34729" i="19"/>
  <c r="A34728" i="19"/>
  <c r="A34727" i="19"/>
  <c r="A34726" i="19"/>
  <c r="A34725" i="19"/>
  <c r="A34724" i="19"/>
  <c r="A34723" i="19"/>
  <c r="A34722" i="19"/>
  <c r="A34721" i="19"/>
  <c r="A34720" i="19"/>
  <c r="A34719" i="19"/>
  <c r="A34718" i="19"/>
  <c r="A34717" i="19"/>
  <c r="A34716" i="19"/>
  <c r="A34715" i="19"/>
  <c r="A34714" i="19"/>
  <c r="A34713" i="19"/>
  <c r="A34712" i="19"/>
  <c r="A34711" i="19"/>
  <c r="A34710" i="19"/>
  <c r="A34709" i="19"/>
  <c r="A34708" i="19"/>
  <c r="A34707" i="19"/>
  <c r="A34706" i="19"/>
  <c r="A34705" i="19"/>
  <c r="A34704" i="19"/>
  <c r="A34703" i="19"/>
  <c r="A34702" i="19"/>
  <c r="A34701" i="19"/>
  <c r="A34700" i="19"/>
  <c r="A34699" i="19"/>
  <c r="A34698" i="19"/>
  <c r="A34697" i="19"/>
  <c r="A34696" i="19"/>
  <c r="A34695" i="19"/>
  <c r="A34694" i="19"/>
  <c r="A34693" i="19"/>
  <c r="A34692" i="19"/>
  <c r="A34691" i="19"/>
  <c r="A34690" i="19"/>
  <c r="A34689" i="19"/>
  <c r="A34688" i="19"/>
  <c r="A34687" i="19"/>
  <c r="A34686" i="19"/>
  <c r="A34685" i="19"/>
  <c r="A34684" i="19"/>
  <c r="A34683" i="19"/>
  <c r="A34682" i="19"/>
  <c r="A34681" i="19"/>
  <c r="A34680" i="19"/>
  <c r="A34679" i="19"/>
  <c r="A34678" i="19"/>
  <c r="A34677" i="19"/>
  <c r="A34676" i="19"/>
  <c r="A34675" i="19"/>
  <c r="A34674" i="19"/>
  <c r="A34673" i="19"/>
  <c r="A34672" i="19"/>
  <c r="A34671" i="19"/>
  <c r="A34670" i="19"/>
  <c r="A34669" i="19"/>
  <c r="A34668" i="19"/>
  <c r="A34667" i="19"/>
  <c r="A34666" i="19"/>
  <c r="A34665" i="19"/>
  <c r="A34664" i="19"/>
  <c r="A34663" i="19"/>
  <c r="A34662" i="19"/>
  <c r="A34661" i="19"/>
  <c r="A34660" i="19"/>
  <c r="A34659" i="19"/>
  <c r="A34658" i="19"/>
  <c r="A34657" i="19"/>
  <c r="A34656" i="19"/>
  <c r="A34655" i="19"/>
  <c r="A34654" i="19"/>
  <c r="A34653" i="19"/>
  <c r="A34652" i="19"/>
  <c r="A34651" i="19"/>
  <c r="A34650" i="19"/>
  <c r="A34649" i="19"/>
  <c r="A34648" i="19"/>
  <c r="A34647" i="19"/>
  <c r="A34646" i="19"/>
  <c r="A34645" i="19"/>
  <c r="A34644" i="19"/>
  <c r="A34643" i="19"/>
  <c r="A34642" i="19"/>
  <c r="A34641" i="19"/>
  <c r="A34640" i="19"/>
  <c r="A34639" i="19"/>
  <c r="A34638" i="19"/>
  <c r="A34637" i="19"/>
  <c r="A34636" i="19"/>
  <c r="A34635" i="19"/>
  <c r="A34634" i="19"/>
  <c r="A34633" i="19"/>
  <c r="A34632" i="19"/>
  <c r="A34631" i="19"/>
  <c r="A34630" i="19"/>
  <c r="A34629" i="19"/>
  <c r="A34628" i="19"/>
  <c r="A34627" i="19"/>
  <c r="A34626" i="19"/>
  <c r="A34625" i="19"/>
  <c r="A34624" i="19"/>
  <c r="A34623" i="19"/>
  <c r="A34622" i="19"/>
  <c r="A34621" i="19"/>
  <c r="A34620" i="19"/>
  <c r="A34619" i="19"/>
  <c r="A34618" i="19"/>
  <c r="A34617" i="19"/>
  <c r="A34616" i="19"/>
  <c r="A34615" i="19"/>
  <c r="A34614" i="19"/>
  <c r="A34613" i="19"/>
  <c r="A34612" i="19"/>
  <c r="A34611" i="19"/>
  <c r="A34610" i="19"/>
  <c r="A34609" i="19"/>
  <c r="A34608" i="19"/>
  <c r="A34607" i="19"/>
  <c r="A34606" i="19"/>
  <c r="A34605" i="19"/>
  <c r="A34604" i="19"/>
  <c r="A34603" i="19"/>
  <c r="A34602" i="19"/>
  <c r="A34601" i="19"/>
  <c r="A34600" i="19"/>
  <c r="A34599" i="19"/>
  <c r="A34598" i="19"/>
  <c r="A34597" i="19"/>
  <c r="A34596" i="19"/>
  <c r="A34595" i="19"/>
  <c r="A34594" i="19"/>
  <c r="A34593" i="19"/>
  <c r="A34592" i="19"/>
  <c r="A34591" i="19"/>
  <c r="A34590" i="19"/>
  <c r="A34589" i="19"/>
  <c r="A34588" i="19"/>
  <c r="A34587" i="19"/>
  <c r="A34586" i="19"/>
  <c r="A34585" i="19"/>
  <c r="A34584" i="19"/>
  <c r="A34583" i="19"/>
  <c r="A34582" i="19"/>
  <c r="A34581" i="19"/>
  <c r="A34580" i="19"/>
  <c r="A34579" i="19"/>
  <c r="A34578" i="19"/>
  <c r="A34577" i="19"/>
  <c r="A34576" i="19"/>
  <c r="A34575" i="19"/>
  <c r="A34574" i="19"/>
  <c r="A34573" i="19"/>
  <c r="A34572" i="19"/>
  <c r="A34571" i="19"/>
  <c r="A34570" i="19"/>
  <c r="A34569" i="19"/>
  <c r="A34568" i="19"/>
  <c r="A34567" i="19"/>
  <c r="A34566" i="19"/>
  <c r="A34565" i="19"/>
  <c r="A34564" i="19"/>
  <c r="A34563" i="19"/>
  <c r="A34562" i="19"/>
  <c r="A34561" i="19"/>
  <c r="A34560" i="19"/>
  <c r="A34559" i="19"/>
  <c r="A34558" i="19"/>
  <c r="A34557" i="19"/>
  <c r="A34556" i="19"/>
  <c r="A34555" i="19"/>
  <c r="A34554" i="19"/>
  <c r="A34553" i="19"/>
  <c r="A34552" i="19"/>
  <c r="A34551" i="19"/>
  <c r="A34550" i="19"/>
  <c r="A34549" i="19"/>
  <c r="A34548" i="19"/>
  <c r="A34547" i="19"/>
  <c r="A34546" i="19"/>
  <c r="A34545" i="19"/>
  <c r="A34544" i="19"/>
  <c r="A34543" i="19"/>
  <c r="A34542" i="19"/>
  <c r="A34541" i="19"/>
  <c r="A34540" i="19"/>
  <c r="A34539" i="19"/>
  <c r="A34538" i="19"/>
  <c r="A34537" i="19"/>
  <c r="A34536" i="19"/>
  <c r="A34535" i="19"/>
  <c r="A34534" i="19"/>
  <c r="A34533" i="19"/>
  <c r="A34532" i="19"/>
  <c r="A34531" i="19"/>
  <c r="A34530" i="19"/>
  <c r="A34529" i="19"/>
  <c r="A34528" i="19"/>
  <c r="A34527" i="19"/>
  <c r="A34526" i="19"/>
  <c r="A34525" i="19"/>
  <c r="A34524" i="19"/>
  <c r="A34523" i="19"/>
  <c r="A34522" i="19"/>
  <c r="A34521" i="19"/>
  <c r="A34520" i="19"/>
  <c r="A34519" i="19"/>
  <c r="A34518" i="19"/>
  <c r="A34517" i="19"/>
  <c r="A34516" i="19"/>
  <c r="A34515" i="19"/>
  <c r="A34514" i="19"/>
  <c r="A34513" i="19"/>
  <c r="A34512" i="19"/>
  <c r="A34511" i="19"/>
  <c r="A34510" i="19"/>
  <c r="A34509" i="19"/>
  <c r="A34508" i="19"/>
  <c r="A34507" i="19"/>
  <c r="A34506" i="19"/>
  <c r="A34505" i="19"/>
  <c r="A34504" i="19"/>
  <c r="A34503" i="19"/>
  <c r="A34502" i="19"/>
  <c r="A34501" i="19"/>
  <c r="A34500" i="19"/>
  <c r="A34499" i="19"/>
  <c r="A34498" i="19"/>
  <c r="A34497" i="19"/>
  <c r="A34496" i="19"/>
  <c r="A34495" i="19"/>
  <c r="A34494" i="19"/>
  <c r="A34493" i="19"/>
  <c r="A34492" i="19"/>
  <c r="A34491" i="19"/>
  <c r="A34490" i="19"/>
  <c r="A34489" i="19"/>
  <c r="A34488" i="19"/>
  <c r="A34487" i="19"/>
  <c r="A34486" i="19"/>
  <c r="A34485" i="19"/>
  <c r="A34484" i="19"/>
  <c r="A34483" i="19"/>
  <c r="A34482" i="19"/>
  <c r="A34481" i="19"/>
  <c r="A34480" i="19"/>
  <c r="A34479" i="19"/>
  <c r="A34478" i="19"/>
  <c r="A34477" i="19"/>
  <c r="A34476" i="19"/>
  <c r="A34475" i="19"/>
  <c r="A34474" i="19"/>
  <c r="A34473" i="19"/>
  <c r="A34472" i="19"/>
  <c r="A34471" i="19"/>
  <c r="A34470" i="19"/>
  <c r="A34469" i="19"/>
  <c r="A34468" i="19"/>
  <c r="A34467" i="19"/>
  <c r="A34466" i="19"/>
  <c r="A34465" i="19"/>
  <c r="A34464" i="19"/>
  <c r="A34463" i="19"/>
  <c r="A34462" i="19"/>
  <c r="A34461" i="19"/>
  <c r="A34460" i="19"/>
  <c r="A34459" i="19"/>
  <c r="A34458" i="19"/>
  <c r="A34457" i="19"/>
  <c r="A34456" i="19"/>
  <c r="A34455" i="19"/>
  <c r="A34454" i="19"/>
  <c r="A34453" i="19"/>
  <c r="A34452" i="19"/>
  <c r="A34451" i="19"/>
  <c r="A34450" i="19"/>
  <c r="A34449" i="19"/>
  <c r="A34448" i="19"/>
  <c r="A34447" i="19"/>
  <c r="A34446" i="19"/>
  <c r="A34445" i="19"/>
  <c r="A34444" i="19"/>
  <c r="A34443" i="19"/>
  <c r="A34442" i="19"/>
  <c r="A34441" i="19"/>
  <c r="A34440" i="19"/>
  <c r="A34439" i="19"/>
  <c r="A34438" i="19"/>
  <c r="A34437" i="19"/>
  <c r="A34436" i="19"/>
  <c r="A34435" i="19"/>
  <c r="A34434" i="19"/>
  <c r="A34433" i="19"/>
  <c r="A34432" i="19"/>
  <c r="A34431" i="19"/>
  <c r="A34430" i="19"/>
  <c r="A34429" i="19"/>
  <c r="A34428" i="19"/>
  <c r="A34427" i="19"/>
  <c r="A34426" i="19"/>
  <c r="A34425" i="19"/>
  <c r="A34424" i="19"/>
  <c r="A34423" i="19"/>
  <c r="A34422" i="19"/>
  <c r="A34421" i="19"/>
  <c r="A34420" i="19"/>
  <c r="A34419" i="19"/>
  <c r="A34418" i="19"/>
  <c r="A34417" i="19"/>
  <c r="A34416" i="19"/>
  <c r="A34415" i="19"/>
  <c r="A34414" i="19"/>
  <c r="A34413" i="19"/>
  <c r="A34412" i="19"/>
  <c r="A34411" i="19"/>
  <c r="A34410" i="19"/>
  <c r="A34409" i="19"/>
  <c r="A34408" i="19"/>
  <c r="A34407" i="19"/>
  <c r="A34406" i="19"/>
  <c r="A34405" i="19"/>
  <c r="A34404" i="19"/>
  <c r="A34403" i="19"/>
  <c r="A34402" i="19"/>
  <c r="A34401" i="19"/>
  <c r="A34400" i="19"/>
  <c r="A34399" i="19"/>
  <c r="A34398" i="19"/>
  <c r="A34397" i="19"/>
  <c r="A34396" i="19"/>
  <c r="A34395" i="19"/>
  <c r="A34394" i="19"/>
  <c r="A34393" i="19"/>
  <c r="A34392" i="19"/>
  <c r="A34391" i="19"/>
  <c r="A34390" i="19"/>
  <c r="A34389" i="19"/>
  <c r="A34388" i="19"/>
  <c r="A34387" i="19"/>
  <c r="A34386" i="19"/>
  <c r="A34385" i="19"/>
  <c r="A34384" i="19"/>
  <c r="A34383" i="19"/>
  <c r="A34382" i="19"/>
  <c r="A34381" i="19"/>
  <c r="A34380" i="19"/>
  <c r="A34379" i="19"/>
  <c r="A34378" i="19"/>
  <c r="A34377" i="19"/>
  <c r="A34376" i="19"/>
  <c r="A34375" i="19"/>
  <c r="A34374" i="19"/>
  <c r="A34373" i="19"/>
  <c r="A34372" i="19"/>
  <c r="A34371" i="19"/>
  <c r="A34370" i="19"/>
  <c r="A34369" i="19"/>
  <c r="A34368" i="19"/>
  <c r="A34367" i="19"/>
  <c r="A34366" i="19"/>
  <c r="A34365" i="19"/>
  <c r="A34364" i="19"/>
  <c r="A34363" i="19"/>
  <c r="A34362" i="19"/>
  <c r="A34361" i="19"/>
  <c r="A34360" i="19"/>
  <c r="A34359" i="19"/>
  <c r="A34358" i="19"/>
  <c r="A34357" i="19"/>
  <c r="A34356" i="19"/>
  <c r="A34355" i="19"/>
  <c r="A34354" i="19"/>
  <c r="A34353" i="19"/>
  <c r="A34352" i="19"/>
  <c r="A34351" i="19"/>
  <c r="A34350" i="19"/>
  <c r="A34349" i="19"/>
  <c r="A34348" i="19"/>
  <c r="A34347" i="19"/>
  <c r="A34346" i="19"/>
  <c r="A34345" i="19"/>
  <c r="A34344" i="19"/>
  <c r="A34343" i="19"/>
  <c r="A34342" i="19"/>
  <c r="A34341" i="19"/>
  <c r="A34340" i="19"/>
  <c r="A34339" i="19"/>
  <c r="A34338" i="19"/>
  <c r="A34337" i="19"/>
  <c r="A34336" i="19"/>
  <c r="A34335" i="19"/>
  <c r="A34334" i="19"/>
  <c r="A34333" i="19"/>
  <c r="A34332" i="19"/>
  <c r="A34331" i="19"/>
  <c r="A34330" i="19"/>
  <c r="A34329" i="19"/>
  <c r="A34328" i="19"/>
  <c r="A34327" i="19"/>
  <c r="A34326" i="19"/>
  <c r="A34325" i="19"/>
  <c r="A34324" i="19"/>
  <c r="A34323" i="19"/>
  <c r="A34322" i="19"/>
  <c r="A34321" i="19"/>
  <c r="A34320" i="19"/>
  <c r="A34319" i="19"/>
  <c r="A34318" i="19"/>
  <c r="A34317" i="19"/>
  <c r="A34316" i="19"/>
  <c r="A34315" i="19"/>
  <c r="A34314" i="19"/>
  <c r="A34313" i="19"/>
  <c r="A34312" i="19"/>
  <c r="A34311" i="19"/>
  <c r="A34310" i="19"/>
  <c r="A34309" i="19"/>
  <c r="A34308" i="19"/>
  <c r="A34307" i="19"/>
  <c r="A34306" i="19"/>
  <c r="A34305" i="19"/>
  <c r="A34304" i="19"/>
  <c r="A34303" i="19"/>
  <c r="A34302" i="19"/>
  <c r="A34301" i="19"/>
  <c r="A34300" i="19"/>
  <c r="A34299" i="19"/>
  <c r="A34298" i="19"/>
  <c r="A34297" i="19"/>
  <c r="A34296" i="19"/>
  <c r="A34295" i="19"/>
  <c r="A34294" i="19"/>
  <c r="A34293" i="19"/>
  <c r="A34292" i="19"/>
  <c r="A34291" i="19"/>
  <c r="A34290" i="19"/>
  <c r="A34289" i="19"/>
  <c r="A34288" i="19"/>
  <c r="A34287" i="19"/>
  <c r="A34286" i="19"/>
  <c r="A34285" i="19"/>
  <c r="A34284" i="19"/>
  <c r="A34283" i="19"/>
  <c r="A34282" i="19"/>
  <c r="A34281" i="19"/>
  <c r="A34280" i="19"/>
  <c r="A34279" i="19"/>
  <c r="A34278" i="19"/>
  <c r="A34277" i="19"/>
  <c r="A34276" i="19"/>
  <c r="A34275" i="19"/>
  <c r="A34274" i="19"/>
  <c r="A34273" i="19"/>
  <c r="A34272" i="19"/>
  <c r="A34271" i="19"/>
  <c r="A34270" i="19"/>
  <c r="A34269" i="19"/>
  <c r="A34268" i="19"/>
  <c r="A34267" i="19"/>
  <c r="A34266" i="19"/>
  <c r="A34265" i="19"/>
  <c r="A34264" i="19"/>
  <c r="A34263" i="19"/>
  <c r="A34262" i="19"/>
  <c r="A34261" i="19"/>
  <c r="A34260" i="19"/>
  <c r="A34259" i="19"/>
  <c r="A34258" i="19"/>
  <c r="A34257" i="19"/>
  <c r="A34256" i="19"/>
  <c r="A34255" i="19"/>
  <c r="A34254" i="19"/>
  <c r="A34253" i="19"/>
  <c r="A34252" i="19"/>
  <c r="A34251" i="19"/>
  <c r="A34250" i="19"/>
  <c r="A34249" i="19"/>
  <c r="A34248" i="19"/>
  <c r="A34247" i="19"/>
  <c r="A34246" i="19"/>
  <c r="A34245" i="19"/>
  <c r="A34244" i="19"/>
  <c r="A34243" i="19"/>
  <c r="A34242" i="19"/>
  <c r="A34241" i="19"/>
  <c r="A34240" i="19"/>
  <c r="A34239" i="19"/>
  <c r="A34238" i="19"/>
  <c r="A34237" i="19"/>
  <c r="A34236" i="19"/>
  <c r="A34235" i="19"/>
  <c r="A34234" i="19"/>
  <c r="A34233" i="19"/>
  <c r="A34232" i="19"/>
  <c r="A34231" i="19"/>
  <c r="A34230" i="19"/>
  <c r="A34229" i="19"/>
  <c r="A34228" i="19"/>
  <c r="A34227" i="19"/>
  <c r="A34226" i="19"/>
  <c r="A34225" i="19"/>
  <c r="A34224" i="19"/>
  <c r="A34223" i="19"/>
  <c r="A34222" i="19"/>
  <c r="A34221" i="19"/>
  <c r="A34220" i="19"/>
  <c r="A34219" i="19"/>
  <c r="A34218" i="19"/>
  <c r="A34217" i="19"/>
  <c r="A34216" i="19"/>
  <c r="A34215" i="19"/>
  <c r="A34214" i="19"/>
  <c r="A34213" i="19"/>
  <c r="A34212" i="19"/>
  <c r="A34211" i="19"/>
  <c r="A34210" i="19"/>
  <c r="A34209" i="19"/>
  <c r="A34208" i="19"/>
  <c r="A34207" i="19"/>
  <c r="A34206" i="19"/>
  <c r="A34205" i="19"/>
  <c r="A34204" i="19"/>
  <c r="A34203" i="19"/>
  <c r="A34202" i="19"/>
  <c r="A34201" i="19"/>
  <c r="A34200" i="19"/>
  <c r="A34199" i="19"/>
  <c r="A34198" i="19"/>
  <c r="A34197" i="19"/>
  <c r="A34196" i="19"/>
  <c r="A34195" i="19"/>
  <c r="A34194" i="19"/>
  <c r="A34193" i="19"/>
  <c r="A34192" i="19"/>
  <c r="A34191" i="19"/>
  <c r="A34190" i="19"/>
  <c r="A34189" i="19"/>
  <c r="A34188" i="19"/>
  <c r="A34187" i="19"/>
  <c r="A34186" i="19"/>
  <c r="A34185" i="19"/>
  <c r="A34184" i="19"/>
  <c r="A34183" i="19"/>
  <c r="A34182" i="19"/>
  <c r="A34181" i="19"/>
  <c r="A34180" i="19"/>
  <c r="A34179" i="19"/>
  <c r="A34178" i="19"/>
  <c r="A34177" i="19"/>
  <c r="A34176" i="19"/>
  <c r="A34175" i="19"/>
  <c r="A34174" i="19"/>
  <c r="A34173" i="19"/>
  <c r="A34172" i="19"/>
  <c r="A34171" i="19"/>
  <c r="A34170" i="19"/>
  <c r="A34169" i="19"/>
  <c r="A34168" i="19"/>
  <c r="A34167" i="19"/>
  <c r="A34166" i="19"/>
  <c r="A34165" i="19"/>
  <c r="A34164" i="19"/>
  <c r="A34163" i="19"/>
  <c r="A34162" i="19"/>
  <c r="A34161" i="19"/>
  <c r="A34160" i="19"/>
  <c r="A34159" i="19"/>
  <c r="A34158" i="19"/>
  <c r="A34157" i="19"/>
  <c r="A34156" i="19"/>
  <c r="A34155" i="19"/>
  <c r="A34154" i="19"/>
  <c r="A34153" i="19"/>
  <c r="A34152" i="19"/>
  <c r="A34151" i="19"/>
  <c r="A34150" i="19"/>
  <c r="A34149" i="19"/>
  <c r="A34148" i="19"/>
  <c r="A34147" i="19"/>
  <c r="A34146" i="19"/>
  <c r="A34145" i="19"/>
  <c r="A34144" i="19"/>
  <c r="A34143" i="19"/>
  <c r="A34142" i="19"/>
  <c r="A34141" i="19"/>
  <c r="A34140" i="19"/>
  <c r="A34139" i="19"/>
  <c r="A34138" i="19"/>
  <c r="A34137" i="19"/>
  <c r="A34136" i="19"/>
  <c r="A34135" i="19"/>
  <c r="A34134" i="19"/>
  <c r="A34133" i="19"/>
  <c r="A34132" i="19"/>
  <c r="A34131" i="19"/>
  <c r="A34130" i="19"/>
  <c r="A34129" i="19"/>
  <c r="A34128" i="19"/>
  <c r="A34127" i="19"/>
  <c r="A34126" i="19"/>
  <c r="A34125" i="19"/>
  <c r="A34124" i="19"/>
  <c r="A34123" i="19"/>
  <c r="A34122" i="19"/>
  <c r="A34121" i="19"/>
  <c r="A34120" i="19"/>
  <c r="A34119" i="19"/>
  <c r="A34118" i="19"/>
  <c r="A34117" i="19"/>
  <c r="A34116" i="19"/>
  <c r="A34115" i="19"/>
  <c r="A34114" i="19"/>
  <c r="A34113" i="19"/>
  <c r="A34112" i="19"/>
  <c r="A34111" i="19"/>
  <c r="A34110" i="19"/>
  <c r="A34109" i="19"/>
  <c r="A34108" i="19"/>
  <c r="A34107" i="19"/>
  <c r="A34106" i="19"/>
  <c r="A34105" i="19"/>
  <c r="A34104" i="19"/>
  <c r="A34103" i="19"/>
  <c r="A34102" i="19"/>
  <c r="A34101" i="19"/>
  <c r="A34100" i="19"/>
  <c r="A34099" i="19"/>
  <c r="A34098" i="19"/>
  <c r="A34097" i="19"/>
  <c r="A34096" i="19"/>
  <c r="A34095" i="19"/>
  <c r="A34094" i="19"/>
  <c r="A34093" i="19"/>
  <c r="A34092" i="19"/>
  <c r="A34091" i="19"/>
  <c r="A34090" i="19"/>
  <c r="A34089" i="19"/>
  <c r="A34088" i="19"/>
  <c r="A34087" i="19"/>
  <c r="A34086" i="19"/>
  <c r="A34085" i="19"/>
  <c r="A34084" i="19"/>
  <c r="A34083" i="19"/>
  <c r="A34082" i="19"/>
  <c r="A34081" i="19"/>
  <c r="A34080" i="19"/>
  <c r="A34079" i="19"/>
  <c r="A34078" i="19"/>
  <c r="A34077" i="19"/>
  <c r="A34076" i="19"/>
  <c r="A34075" i="19"/>
  <c r="A34074" i="19"/>
  <c r="A34073" i="19"/>
  <c r="A34072" i="19"/>
  <c r="A34071" i="19"/>
  <c r="A34070" i="19"/>
  <c r="A34069" i="19"/>
  <c r="A34068" i="19"/>
  <c r="A34067" i="19"/>
  <c r="A34066" i="19"/>
  <c r="A34065" i="19"/>
  <c r="A34064" i="19"/>
  <c r="A34063" i="19"/>
  <c r="A34062" i="19"/>
  <c r="A34061" i="19"/>
  <c r="A34060" i="19"/>
  <c r="A34059" i="19"/>
  <c r="A34058" i="19"/>
  <c r="A34057" i="19"/>
  <c r="A34056" i="19"/>
  <c r="A34055" i="19"/>
  <c r="A34054" i="19"/>
  <c r="A34053" i="19"/>
  <c r="A34052" i="19"/>
  <c r="A34051" i="19"/>
  <c r="A34050" i="19"/>
  <c r="A34049" i="19"/>
  <c r="A34048" i="19"/>
  <c r="A34047" i="19"/>
  <c r="A34046" i="19"/>
  <c r="A34045" i="19"/>
  <c r="A34044" i="19"/>
  <c r="A34043" i="19"/>
  <c r="A34042" i="19"/>
  <c r="A34041" i="19"/>
  <c r="A34040" i="19"/>
  <c r="A34039" i="19"/>
  <c r="A34038" i="19"/>
  <c r="A34037" i="19"/>
  <c r="A34036" i="19"/>
  <c r="A34035" i="19"/>
  <c r="A34034" i="19"/>
  <c r="A34033" i="19"/>
  <c r="A34032" i="19"/>
  <c r="A34031" i="19"/>
  <c r="A34030" i="19"/>
  <c r="A34029" i="19"/>
  <c r="A34028" i="19"/>
  <c r="A34027" i="19"/>
  <c r="A34026" i="19"/>
  <c r="A34025" i="19"/>
  <c r="A34024" i="19"/>
  <c r="A34023" i="19"/>
  <c r="A34022" i="19"/>
  <c r="A34021" i="19"/>
  <c r="A34020" i="19"/>
  <c r="A34019" i="19"/>
  <c r="A34018" i="19"/>
  <c r="A34017" i="19"/>
  <c r="A34016" i="19"/>
  <c r="A34015" i="19"/>
  <c r="A34014" i="19"/>
  <c r="A34013" i="19"/>
  <c r="A34012" i="19"/>
  <c r="A34011" i="19"/>
  <c r="A34010" i="19"/>
  <c r="A34009" i="19"/>
  <c r="A34008" i="19"/>
  <c r="A34007" i="19"/>
  <c r="A34006" i="19"/>
  <c r="A34005" i="19"/>
  <c r="A34004" i="19"/>
  <c r="A34003" i="19"/>
  <c r="A34002" i="19"/>
  <c r="A34001" i="19"/>
  <c r="A34000" i="19"/>
  <c r="A33999" i="19"/>
  <c r="A33998" i="19"/>
  <c r="A33997" i="19"/>
  <c r="A33996" i="19"/>
  <c r="A33995" i="19"/>
  <c r="A33994" i="19"/>
  <c r="A33993" i="19"/>
  <c r="A33992" i="19"/>
  <c r="A33991" i="19"/>
  <c r="A33990" i="19"/>
  <c r="A33989" i="19"/>
  <c r="A33988" i="19"/>
  <c r="A33987" i="19"/>
  <c r="A33986" i="19"/>
  <c r="A33985" i="19"/>
  <c r="A33984" i="19"/>
  <c r="A33983" i="19"/>
  <c r="A33982" i="19"/>
  <c r="A33981" i="19"/>
  <c r="A33980" i="19"/>
  <c r="A33979" i="19"/>
  <c r="A33978" i="19"/>
  <c r="A33977" i="19"/>
  <c r="A33976" i="19"/>
  <c r="A33975" i="19"/>
  <c r="A33974" i="19"/>
  <c r="A33973" i="19"/>
  <c r="A33972" i="19"/>
  <c r="A33971" i="19"/>
  <c r="A33970" i="19"/>
  <c r="A33969" i="19"/>
  <c r="A33968" i="19"/>
  <c r="A33967" i="19"/>
  <c r="A33966" i="19"/>
  <c r="A33965" i="19"/>
  <c r="A33964" i="19"/>
  <c r="A33963" i="19"/>
  <c r="A33962" i="19"/>
  <c r="A33961" i="19"/>
  <c r="A33960" i="19"/>
  <c r="A33959" i="19"/>
  <c r="A33958" i="19"/>
  <c r="A33957" i="19"/>
  <c r="A33956" i="19"/>
  <c r="A33955" i="19"/>
  <c r="A33954" i="19"/>
  <c r="A33953" i="19"/>
  <c r="A33952" i="19"/>
  <c r="A33951" i="19"/>
  <c r="A33950" i="19"/>
  <c r="A33949" i="19"/>
  <c r="A33948" i="19"/>
  <c r="A33947" i="19"/>
  <c r="A33946" i="19"/>
  <c r="A33945" i="19"/>
  <c r="A33944" i="19"/>
  <c r="A33943" i="19"/>
  <c r="A33942" i="19"/>
  <c r="A33941" i="19"/>
  <c r="A33940" i="19"/>
  <c r="A33939" i="19"/>
  <c r="A33938" i="19"/>
  <c r="A33937" i="19"/>
  <c r="A33936" i="19"/>
  <c r="A33935" i="19"/>
  <c r="A33934" i="19"/>
  <c r="A33933" i="19"/>
  <c r="A33932" i="19"/>
  <c r="A33931" i="19"/>
  <c r="A33930" i="19"/>
  <c r="A33929" i="19"/>
  <c r="A33928" i="19"/>
  <c r="A33927" i="19"/>
  <c r="A33926" i="19"/>
  <c r="A33925" i="19"/>
  <c r="A33924" i="19"/>
  <c r="A33923" i="19"/>
  <c r="A33922" i="19"/>
  <c r="A33921" i="19"/>
  <c r="A33920" i="19"/>
  <c r="A33919" i="19"/>
  <c r="A33918" i="19"/>
  <c r="A33917" i="19"/>
  <c r="A33916" i="19"/>
  <c r="A33915" i="19"/>
  <c r="A33914" i="19"/>
  <c r="A33913" i="19"/>
  <c r="A33912" i="19"/>
  <c r="A33911" i="19"/>
  <c r="A33910" i="19"/>
  <c r="A33909" i="19"/>
  <c r="A33908" i="19"/>
  <c r="A33907" i="19"/>
  <c r="A33906" i="19"/>
  <c r="A33905" i="19"/>
  <c r="A33904" i="19"/>
  <c r="A33903" i="19"/>
  <c r="A33902" i="19"/>
  <c r="A33901" i="19"/>
  <c r="A33900" i="19"/>
  <c r="A33899" i="19"/>
  <c r="A33898" i="19"/>
  <c r="A33897" i="19"/>
  <c r="A33896" i="19"/>
  <c r="A33895" i="19"/>
  <c r="A33894" i="19"/>
  <c r="A33893" i="19"/>
  <c r="A33892" i="19"/>
  <c r="A33891" i="19"/>
  <c r="A33890" i="19"/>
  <c r="A33889" i="19"/>
  <c r="A33888" i="19"/>
  <c r="A33887" i="19"/>
  <c r="A33886" i="19"/>
  <c r="A33885" i="19"/>
  <c r="A33884" i="19"/>
  <c r="A33883" i="19"/>
  <c r="A33882" i="19"/>
  <c r="A33881" i="19"/>
  <c r="A33880" i="19"/>
  <c r="A33879" i="19"/>
  <c r="A33878" i="19"/>
  <c r="A33877" i="19"/>
  <c r="A33876" i="19"/>
  <c r="A33875" i="19"/>
  <c r="A33874" i="19"/>
  <c r="A33873" i="19"/>
  <c r="A33872" i="19"/>
  <c r="A33871" i="19"/>
  <c r="A33870" i="19"/>
  <c r="A33869" i="19"/>
  <c r="A33868" i="19"/>
  <c r="A33867" i="19"/>
  <c r="A33866" i="19"/>
  <c r="A33865" i="19"/>
  <c r="A33864" i="19"/>
  <c r="A33863" i="19"/>
  <c r="A33862" i="19"/>
  <c r="A33861" i="19"/>
  <c r="A33860" i="19"/>
  <c r="A33859" i="19"/>
  <c r="A33858" i="19"/>
  <c r="A33857" i="19"/>
  <c r="A33856" i="19"/>
  <c r="A33855" i="19"/>
  <c r="A33854" i="19"/>
  <c r="A33853" i="19"/>
  <c r="A33852" i="19"/>
  <c r="A33851" i="19"/>
  <c r="A33850" i="19"/>
  <c r="A33849" i="19"/>
  <c r="A33848" i="19"/>
  <c r="A33847" i="19"/>
  <c r="A33846" i="19"/>
  <c r="A33845" i="19"/>
  <c r="A33844" i="19"/>
  <c r="A33843" i="19"/>
  <c r="A33842" i="19"/>
  <c r="A33841" i="19"/>
  <c r="A33840" i="19"/>
  <c r="A33839" i="19"/>
  <c r="A33838" i="19"/>
  <c r="A33837" i="19"/>
  <c r="A33836" i="19"/>
  <c r="A33835" i="19"/>
  <c r="A33834" i="19"/>
  <c r="A33833" i="19"/>
  <c r="A33832" i="19"/>
  <c r="A33831" i="19"/>
  <c r="A33830" i="19"/>
  <c r="A33829" i="19"/>
  <c r="A33828" i="19"/>
  <c r="A33827" i="19"/>
  <c r="A33826" i="19"/>
  <c r="A33825" i="19"/>
  <c r="A33824" i="19"/>
  <c r="A33823" i="19"/>
  <c r="A33822" i="19"/>
  <c r="A33821" i="19"/>
  <c r="A33820" i="19"/>
  <c r="A33819" i="19"/>
  <c r="A33818" i="19"/>
  <c r="A33817" i="19"/>
  <c r="A33816" i="19"/>
  <c r="A33815" i="19"/>
  <c r="A33814" i="19"/>
  <c r="A33813" i="19"/>
  <c r="A33812" i="19"/>
  <c r="A33811" i="19"/>
  <c r="A33810" i="19"/>
  <c r="A33809" i="19"/>
  <c r="A33808" i="19"/>
  <c r="A33807" i="19"/>
  <c r="A33806" i="19"/>
  <c r="A33805" i="19"/>
  <c r="A33804" i="19"/>
  <c r="A33803" i="19"/>
  <c r="A33802" i="19"/>
  <c r="A33801" i="19"/>
  <c r="A33800" i="19"/>
  <c r="A33799" i="19"/>
  <c r="A33798" i="19"/>
  <c r="A33797" i="19"/>
  <c r="A33796" i="19"/>
  <c r="A33795" i="19"/>
  <c r="A33794" i="19"/>
  <c r="A33793" i="19"/>
  <c r="A33792" i="19"/>
  <c r="A33791" i="19"/>
  <c r="A33790" i="19"/>
  <c r="A33789" i="19"/>
  <c r="A33788" i="19"/>
  <c r="A33787" i="19"/>
  <c r="A33786" i="19"/>
  <c r="A33785" i="19"/>
  <c r="A33784" i="19"/>
  <c r="A33783" i="19"/>
  <c r="A33782" i="19"/>
  <c r="A33781" i="19"/>
  <c r="A33780" i="19"/>
  <c r="A33779" i="19"/>
  <c r="A33778" i="19"/>
  <c r="A33777" i="19"/>
  <c r="A33776" i="19"/>
  <c r="A33775" i="19"/>
  <c r="A33774" i="19"/>
  <c r="A33773" i="19"/>
  <c r="A33772" i="19"/>
  <c r="A33771" i="19"/>
  <c r="A33770" i="19"/>
  <c r="A33769" i="19"/>
  <c r="A33768" i="19"/>
  <c r="A33767" i="19"/>
  <c r="A33766" i="19"/>
  <c r="A33765" i="19"/>
  <c r="A33764" i="19"/>
  <c r="A33763" i="19"/>
  <c r="A33762" i="19"/>
  <c r="A33761" i="19"/>
  <c r="A33760" i="19"/>
  <c r="A33759" i="19"/>
  <c r="A33758" i="19"/>
  <c r="A33757" i="19"/>
  <c r="A33756" i="19"/>
  <c r="A33755" i="19"/>
  <c r="A33754" i="19"/>
  <c r="A33753" i="19"/>
  <c r="A33752" i="19"/>
  <c r="A33751" i="19"/>
  <c r="A33750" i="19"/>
  <c r="A33749" i="19"/>
  <c r="A33748" i="19"/>
  <c r="A33747" i="19"/>
  <c r="A33746" i="19"/>
  <c r="A33745" i="19"/>
  <c r="A33744" i="19"/>
  <c r="A33743" i="19"/>
  <c r="A33742" i="19"/>
  <c r="A33741" i="19"/>
  <c r="A33740" i="19"/>
  <c r="A33739" i="19"/>
  <c r="A33738" i="19"/>
  <c r="A33737" i="19"/>
  <c r="A33736" i="19"/>
  <c r="A33735" i="19"/>
  <c r="A33734" i="19"/>
  <c r="A33733" i="19"/>
  <c r="A33732" i="19"/>
  <c r="A33731" i="19"/>
  <c r="A33730" i="19"/>
  <c r="A33729" i="19"/>
  <c r="A33728" i="19"/>
  <c r="A33727" i="19"/>
  <c r="A33726" i="19"/>
  <c r="A33725" i="19"/>
  <c r="A33724" i="19"/>
  <c r="A33723" i="19"/>
  <c r="A33722" i="19"/>
  <c r="A33721" i="19"/>
  <c r="A33720" i="19"/>
  <c r="A33719" i="19"/>
  <c r="A33718" i="19"/>
  <c r="A33717" i="19"/>
  <c r="A33716" i="19"/>
  <c r="A33715" i="19"/>
  <c r="A33714" i="19"/>
  <c r="A33713" i="19"/>
  <c r="A33712" i="19"/>
  <c r="A33711" i="19"/>
  <c r="A33710" i="19"/>
  <c r="A33709" i="19"/>
  <c r="A33708" i="19"/>
  <c r="A33707" i="19"/>
  <c r="A33706" i="19"/>
  <c r="A33705" i="19"/>
  <c r="A33704" i="19"/>
  <c r="A33703" i="19"/>
  <c r="A33702" i="19"/>
  <c r="A33701" i="19"/>
  <c r="A33700" i="19"/>
  <c r="A33699" i="19"/>
  <c r="A33698" i="19"/>
  <c r="A33697" i="19"/>
  <c r="A33696" i="19"/>
  <c r="A33695" i="19"/>
  <c r="A33694" i="19"/>
  <c r="A33693" i="19"/>
  <c r="A33692" i="19"/>
  <c r="A33691" i="19"/>
  <c r="A33690" i="19"/>
  <c r="A33689" i="19"/>
  <c r="A33688" i="19"/>
  <c r="A33687" i="19"/>
  <c r="A33686" i="19"/>
  <c r="A33685" i="19"/>
  <c r="A33684" i="19"/>
  <c r="A33683" i="19"/>
  <c r="A33682" i="19"/>
  <c r="A33681" i="19"/>
  <c r="A33680" i="19"/>
  <c r="A33679" i="19"/>
  <c r="A33678" i="19"/>
  <c r="A33677" i="19"/>
  <c r="A33676" i="19"/>
  <c r="A33675" i="19"/>
  <c r="A33674" i="19"/>
  <c r="A33673" i="19"/>
  <c r="A33672" i="19"/>
  <c r="A33671" i="19"/>
  <c r="A33670" i="19"/>
  <c r="A33669" i="19"/>
  <c r="A33668" i="19"/>
  <c r="A33667" i="19"/>
  <c r="A33666" i="19"/>
  <c r="A33665" i="19"/>
  <c r="A33664" i="19"/>
  <c r="A33663" i="19"/>
  <c r="A33662" i="19"/>
  <c r="A33661" i="19"/>
  <c r="A33660" i="19"/>
  <c r="A33659" i="19"/>
  <c r="A33658" i="19"/>
  <c r="A33657" i="19"/>
  <c r="A33656" i="19"/>
  <c r="A33655" i="19"/>
  <c r="A33654" i="19"/>
  <c r="A33653" i="19"/>
  <c r="A33652" i="19"/>
  <c r="A33651" i="19"/>
  <c r="A33650" i="19"/>
  <c r="A33649" i="19"/>
  <c r="A33648" i="19"/>
  <c r="A33647" i="19"/>
  <c r="A33646" i="19"/>
  <c r="A33645" i="19"/>
  <c r="A33644" i="19"/>
  <c r="A33643" i="19"/>
  <c r="A33642" i="19"/>
  <c r="A33641" i="19"/>
  <c r="A33640" i="19"/>
  <c r="A33639" i="19"/>
  <c r="A33638" i="19"/>
  <c r="A33637" i="19"/>
  <c r="A33636" i="19"/>
  <c r="A33635" i="19"/>
  <c r="A33634" i="19"/>
  <c r="A33633" i="19"/>
  <c r="A33632" i="19"/>
  <c r="A33631" i="19"/>
  <c r="A33630" i="19"/>
  <c r="A33629" i="19"/>
  <c r="A33628" i="19"/>
  <c r="A33627" i="19"/>
  <c r="A33626" i="19"/>
  <c r="A33625" i="19"/>
  <c r="A33624" i="19"/>
  <c r="A33623" i="19"/>
  <c r="A33622" i="19"/>
  <c r="A33621" i="19"/>
  <c r="A33620" i="19"/>
  <c r="A33619" i="19"/>
  <c r="A33618" i="19"/>
  <c r="A33617" i="19"/>
  <c r="A33616" i="19"/>
  <c r="A33615" i="19"/>
  <c r="A33614" i="19"/>
  <c r="A33613" i="19"/>
  <c r="A33612" i="19"/>
  <c r="A33611" i="19"/>
  <c r="A33610" i="19"/>
  <c r="A33609" i="19"/>
  <c r="A33608" i="19"/>
  <c r="A33607" i="19"/>
  <c r="A33606" i="19"/>
  <c r="A33605" i="19"/>
  <c r="A33604" i="19"/>
  <c r="A33603" i="19"/>
  <c r="A33602" i="19"/>
  <c r="A33601" i="19"/>
  <c r="A33600" i="19"/>
  <c r="A33599" i="19"/>
  <c r="A33598" i="19"/>
  <c r="A33597" i="19"/>
  <c r="A33596" i="19"/>
  <c r="A33595" i="19"/>
  <c r="A33594" i="19"/>
  <c r="A33593" i="19"/>
  <c r="A33592" i="19"/>
  <c r="A33591" i="19"/>
  <c r="A33590" i="19"/>
  <c r="A33589" i="19"/>
  <c r="A33588" i="19"/>
  <c r="A33587" i="19"/>
  <c r="A33586" i="19"/>
  <c r="A33585" i="19"/>
  <c r="A33584" i="19"/>
  <c r="A33583" i="19"/>
  <c r="A33582" i="19"/>
  <c r="A33581" i="19"/>
  <c r="A33580" i="19"/>
  <c r="A33579" i="19"/>
  <c r="A33578" i="19"/>
  <c r="A33577" i="19"/>
  <c r="A33576" i="19"/>
  <c r="A33575" i="19"/>
  <c r="A33574" i="19"/>
  <c r="A33573" i="19"/>
  <c r="A33572" i="19"/>
  <c r="A33571" i="19"/>
  <c r="A33570" i="19"/>
  <c r="A33569" i="19"/>
  <c r="A33568" i="19"/>
  <c r="A33567" i="19"/>
  <c r="A33566" i="19"/>
  <c r="A33565" i="19"/>
  <c r="A33564" i="19"/>
  <c r="A33563" i="19"/>
  <c r="A33562" i="19"/>
  <c r="A33561" i="19"/>
  <c r="A33560" i="19"/>
  <c r="A33559" i="19"/>
  <c r="A33558" i="19"/>
  <c r="A33557" i="19"/>
  <c r="A33556" i="19"/>
  <c r="A33555" i="19"/>
  <c r="A33554" i="19"/>
  <c r="A33553" i="19"/>
  <c r="A33552" i="19"/>
  <c r="A33551" i="19"/>
  <c r="A33550" i="19"/>
  <c r="A33549" i="19"/>
  <c r="A33548" i="19"/>
  <c r="A33547" i="19"/>
  <c r="A33546" i="19"/>
  <c r="A33545" i="19"/>
  <c r="A33544" i="19"/>
  <c r="A33543" i="19"/>
  <c r="A33542" i="19"/>
  <c r="A33541" i="19"/>
  <c r="A33540" i="19"/>
  <c r="A33539" i="19"/>
  <c r="A33538" i="19"/>
  <c r="A33537" i="19"/>
  <c r="A33536" i="19"/>
  <c r="A33535" i="19"/>
  <c r="A33534" i="19"/>
  <c r="A33533" i="19"/>
  <c r="A33532" i="19"/>
  <c r="A33531" i="19"/>
  <c r="A33530" i="19"/>
  <c r="A33529" i="19"/>
  <c r="A33528" i="19"/>
  <c r="A33527" i="19"/>
  <c r="A33526" i="19"/>
  <c r="A33525" i="19"/>
  <c r="A33524" i="19"/>
  <c r="A33523" i="19"/>
  <c r="A33522" i="19"/>
  <c r="A33521" i="19"/>
  <c r="A33520" i="19"/>
  <c r="A33519" i="19"/>
  <c r="A33518" i="19"/>
  <c r="A33517" i="19"/>
  <c r="A33516" i="19"/>
  <c r="A33515" i="19"/>
  <c r="A33514" i="19"/>
  <c r="A33513" i="19"/>
  <c r="A33512" i="19"/>
  <c r="A33511" i="19"/>
  <c r="A33510" i="19"/>
  <c r="A33509" i="19"/>
  <c r="A33508" i="19"/>
  <c r="A33507" i="19"/>
  <c r="A33506" i="19"/>
  <c r="A33505" i="19"/>
  <c r="A33504" i="19"/>
  <c r="A33503" i="19"/>
  <c r="A33502" i="19"/>
  <c r="A33501" i="19"/>
  <c r="A33500" i="19"/>
  <c r="A33499" i="19"/>
  <c r="A33498" i="19"/>
  <c r="A33497" i="19"/>
  <c r="A33496" i="19"/>
  <c r="A33495" i="19"/>
  <c r="A33494" i="19"/>
  <c r="A33493" i="19"/>
  <c r="A33492" i="19"/>
  <c r="A33491" i="19"/>
  <c r="A33490" i="19"/>
  <c r="A33489" i="19"/>
  <c r="A33488" i="19"/>
  <c r="A33487" i="19"/>
  <c r="A33486" i="19"/>
  <c r="A33485" i="19"/>
  <c r="A33484" i="19"/>
  <c r="A33483" i="19"/>
  <c r="A33482" i="19"/>
  <c r="A33481" i="19"/>
  <c r="A33480" i="19"/>
  <c r="A33479" i="19"/>
  <c r="A33478" i="19"/>
  <c r="A33477" i="19"/>
  <c r="A33476" i="19"/>
  <c r="A33475" i="19"/>
  <c r="A33474" i="19"/>
  <c r="A33473" i="19"/>
  <c r="A33472" i="19"/>
  <c r="A33471" i="19"/>
  <c r="A33470" i="19"/>
  <c r="A33469" i="19"/>
  <c r="A33468" i="19"/>
  <c r="A33467" i="19"/>
  <c r="A33466" i="19"/>
  <c r="A33465" i="19"/>
  <c r="A33464" i="19"/>
  <c r="A33463" i="19"/>
  <c r="A33462" i="19"/>
  <c r="A33461" i="19"/>
  <c r="A33460" i="19"/>
  <c r="A33459" i="19"/>
  <c r="A33458" i="19"/>
  <c r="A33457" i="19"/>
  <c r="A33456" i="19"/>
  <c r="A33455" i="19"/>
  <c r="A33454" i="19"/>
  <c r="A33453" i="19"/>
  <c r="A33452" i="19"/>
  <c r="A33451" i="19"/>
  <c r="A33450" i="19"/>
  <c r="A33449" i="19"/>
  <c r="A33448" i="19"/>
  <c r="A33447" i="19"/>
  <c r="A33446" i="19"/>
  <c r="A33445" i="19"/>
  <c r="A33444" i="19"/>
  <c r="A33443" i="19"/>
  <c r="A33442" i="19"/>
  <c r="A33441" i="19"/>
  <c r="A33440" i="19"/>
  <c r="A33439" i="19"/>
  <c r="A33438" i="19"/>
  <c r="A33437" i="19"/>
  <c r="A33436" i="19"/>
  <c r="A33435" i="19"/>
  <c r="A33434" i="19"/>
  <c r="A33433" i="19"/>
  <c r="A33432" i="19"/>
  <c r="A33431" i="19"/>
  <c r="A33430" i="19"/>
  <c r="A33429" i="19"/>
  <c r="A33428" i="19"/>
  <c r="A33427" i="19"/>
  <c r="A33426" i="19"/>
  <c r="A33425" i="19"/>
  <c r="A33424" i="19"/>
  <c r="A33423" i="19"/>
  <c r="A33422" i="19"/>
  <c r="A33421" i="19"/>
  <c r="A33420" i="19"/>
  <c r="A33419" i="19"/>
  <c r="A33418" i="19"/>
  <c r="A33417" i="19"/>
  <c r="A33416" i="19"/>
  <c r="A33415" i="19"/>
  <c r="A33414" i="19"/>
  <c r="A33413" i="19"/>
  <c r="A33412" i="19"/>
  <c r="A33411" i="19"/>
  <c r="A33410" i="19"/>
  <c r="A33409" i="19"/>
  <c r="A33408" i="19"/>
  <c r="A33407" i="19"/>
  <c r="A33406" i="19"/>
  <c r="A33405" i="19"/>
  <c r="A33404" i="19"/>
  <c r="A33403" i="19"/>
  <c r="A33402" i="19"/>
  <c r="A33401" i="19"/>
  <c r="A33400" i="19"/>
  <c r="A33399" i="19"/>
  <c r="A33398" i="19"/>
  <c r="A33397" i="19"/>
  <c r="A33396" i="19"/>
  <c r="A33395" i="19"/>
  <c r="A33394" i="19"/>
  <c r="A33393" i="19"/>
  <c r="A33392" i="19"/>
  <c r="A33391" i="19"/>
  <c r="A33390" i="19"/>
  <c r="A33389" i="19"/>
  <c r="A33388" i="19"/>
  <c r="A33387" i="19"/>
  <c r="A33386" i="19"/>
  <c r="A33385" i="19"/>
  <c r="A33384" i="19"/>
  <c r="A33383" i="19"/>
  <c r="A33382" i="19"/>
  <c r="A33381" i="19"/>
  <c r="A33380" i="19"/>
  <c r="A33379" i="19"/>
  <c r="A33378" i="19"/>
  <c r="A33377" i="19"/>
  <c r="A33376" i="19"/>
  <c r="A33375" i="19"/>
  <c r="A33374" i="19"/>
  <c r="A33373" i="19"/>
  <c r="A33372" i="19"/>
  <c r="A33371" i="19"/>
  <c r="A33370" i="19"/>
  <c r="A33369" i="19"/>
  <c r="A33368" i="19"/>
  <c r="A33367" i="19"/>
  <c r="A33366" i="19"/>
  <c r="A33365" i="19"/>
  <c r="A33364" i="19"/>
  <c r="A33363" i="19"/>
  <c r="A33362" i="19"/>
  <c r="A33361" i="19"/>
  <c r="A33360" i="19"/>
  <c r="A33359" i="19"/>
  <c r="A33358" i="19"/>
  <c r="A33357" i="19"/>
  <c r="A33356" i="19"/>
  <c r="A33355" i="19"/>
  <c r="A33354" i="19"/>
  <c r="A33353" i="19"/>
  <c r="A33352" i="19"/>
  <c r="A33351" i="19"/>
  <c r="A33350" i="19"/>
  <c r="A33349" i="19"/>
  <c r="A33348" i="19"/>
  <c r="A33347" i="19"/>
  <c r="A33346" i="19"/>
  <c r="A33345" i="19"/>
  <c r="A33344" i="19"/>
  <c r="A33343" i="19"/>
  <c r="A33342" i="19"/>
  <c r="A33341" i="19"/>
  <c r="A33340" i="19"/>
  <c r="A33339" i="19"/>
  <c r="A33338" i="19"/>
  <c r="A33337" i="19"/>
  <c r="A33336" i="19"/>
  <c r="A33335" i="19"/>
  <c r="A33334" i="19"/>
  <c r="A33333" i="19"/>
  <c r="A33332" i="19"/>
  <c r="A33331" i="19"/>
  <c r="A33330" i="19"/>
  <c r="A33329" i="19"/>
  <c r="A33328" i="19"/>
  <c r="A33327" i="19"/>
  <c r="A33326" i="19"/>
  <c r="A33325" i="19"/>
  <c r="A33324" i="19"/>
  <c r="A33323" i="19"/>
  <c r="A33322" i="19"/>
  <c r="A33321" i="19"/>
  <c r="A33320" i="19"/>
  <c r="A33319" i="19"/>
  <c r="A33318" i="19"/>
  <c r="A33317" i="19"/>
  <c r="A33316" i="19"/>
  <c r="A33315" i="19"/>
  <c r="A33314" i="19"/>
  <c r="A33313" i="19"/>
  <c r="A33312" i="19"/>
  <c r="A33311" i="19"/>
  <c r="A33310" i="19"/>
  <c r="A33309" i="19"/>
  <c r="A33308" i="19"/>
  <c r="A33307" i="19"/>
  <c r="A33306" i="19"/>
  <c r="A33305" i="19"/>
  <c r="A33304" i="19"/>
  <c r="A33303" i="19"/>
  <c r="A33302" i="19"/>
  <c r="A33301" i="19"/>
  <c r="A33300" i="19"/>
  <c r="A33299" i="19"/>
  <c r="A33298" i="19"/>
  <c r="A33297" i="19"/>
  <c r="A33296" i="19"/>
  <c r="A33295" i="19"/>
  <c r="A33294" i="19"/>
  <c r="A33293" i="19"/>
  <c r="A33292" i="19"/>
  <c r="A33291" i="19"/>
  <c r="A33290" i="19"/>
  <c r="A33289" i="19"/>
  <c r="A33288" i="19"/>
  <c r="A33287" i="19"/>
  <c r="A33286" i="19"/>
  <c r="A33285" i="19"/>
  <c r="A33284" i="19"/>
  <c r="A33283" i="19"/>
  <c r="A33282" i="19"/>
  <c r="A33281" i="19"/>
  <c r="A33280" i="19"/>
  <c r="A33279" i="19"/>
  <c r="A33278" i="19"/>
  <c r="A33277" i="19"/>
  <c r="A33276" i="19"/>
  <c r="A33275" i="19"/>
  <c r="A33274" i="19"/>
  <c r="A33273" i="19"/>
  <c r="A33272" i="19"/>
  <c r="A33271" i="19"/>
  <c r="A33270" i="19"/>
  <c r="A33269" i="19"/>
  <c r="A33268" i="19"/>
  <c r="A33267" i="19"/>
  <c r="A33266" i="19"/>
  <c r="A33265" i="19"/>
  <c r="A33264" i="19"/>
  <c r="A33263" i="19"/>
  <c r="A33262" i="19"/>
  <c r="A33261" i="19"/>
  <c r="A33260" i="19"/>
  <c r="A33259" i="19"/>
  <c r="A33258" i="19"/>
  <c r="A33257" i="19"/>
  <c r="A33256" i="19"/>
  <c r="A33255" i="19"/>
  <c r="A33254" i="19"/>
  <c r="A33253" i="19"/>
  <c r="A33252" i="19"/>
  <c r="A33251" i="19"/>
  <c r="A33250" i="19"/>
  <c r="A33249" i="19"/>
  <c r="A33248" i="19"/>
  <c r="A33247" i="19"/>
  <c r="A33246" i="19"/>
  <c r="A33245" i="19"/>
  <c r="A33244" i="19"/>
  <c r="A33243" i="19"/>
  <c r="A33242" i="19"/>
  <c r="A33241" i="19"/>
  <c r="A33240" i="19"/>
  <c r="A33239" i="19"/>
  <c r="A33238" i="19"/>
  <c r="A33237" i="19"/>
  <c r="A33236" i="19"/>
  <c r="A33235" i="19"/>
  <c r="A33234" i="19"/>
  <c r="A33233" i="19"/>
  <c r="A33232" i="19"/>
  <c r="A33231" i="19"/>
  <c r="A33230" i="19"/>
  <c r="A33229" i="19"/>
  <c r="A33228" i="19"/>
  <c r="A33227" i="19"/>
  <c r="A33226" i="19"/>
  <c r="A33225" i="19"/>
  <c r="A33224" i="19"/>
  <c r="A33223" i="19"/>
  <c r="A33222" i="19"/>
  <c r="A33221" i="19"/>
  <c r="A33220" i="19"/>
  <c r="A33219" i="19"/>
  <c r="A33218" i="19"/>
  <c r="A33217" i="19"/>
  <c r="A33216" i="19"/>
  <c r="A33215" i="19"/>
  <c r="A33214" i="19"/>
  <c r="A33213" i="19"/>
  <c r="A33212" i="19"/>
  <c r="A33211" i="19"/>
  <c r="A33210" i="19"/>
  <c r="A33209" i="19"/>
  <c r="A33208" i="19"/>
  <c r="A33207" i="19"/>
  <c r="A33206" i="19"/>
  <c r="A33205" i="19"/>
  <c r="A33204" i="19"/>
  <c r="A33203" i="19"/>
  <c r="A33202" i="19"/>
  <c r="A33201" i="19"/>
  <c r="A33200" i="19"/>
  <c r="A33199" i="19"/>
  <c r="A33198" i="19"/>
  <c r="A33197" i="19"/>
  <c r="A33196" i="19"/>
  <c r="A33195" i="19"/>
  <c r="A33194" i="19"/>
  <c r="A33193" i="19"/>
  <c r="A33192" i="19"/>
  <c r="A33191" i="19"/>
  <c r="A33190" i="19"/>
  <c r="A33189" i="19"/>
  <c r="A33188" i="19"/>
  <c r="A33187" i="19"/>
  <c r="A33186" i="19"/>
  <c r="A33185" i="19"/>
  <c r="A33184" i="19"/>
  <c r="A33183" i="19"/>
  <c r="A33182" i="19"/>
  <c r="A33181" i="19"/>
  <c r="A33180" i="19"/>
  <c r="A33179" i="19"/>
  <c r="A33178" i="19"/>
  <c r="A33177" i="19"/>
  <c r="A33176" i="19"/>
  <c r="A33175" i="19"/>
  <c r="A33174" i="19"/>
  <c r="A33173" i="19"/>
  <c r="A33172" i="19"/>
  <c r="A33171" i="19"/>
  <c r="A33170" i="19"/>
  <c r="A33169" i="19"/>
  <c r="A33168" i="19"/>
  <c r="A33167" i="19"/>
  <c r="A33166" i="19"/>
  <c r="A33165" i="19"/>
  <c r="A33164" i="19"/>
  <c r="A33163" i="19"/>
  <c r="A33162" i="19"/>
  <c r="A33161" i="19"/>
  <c r="A33160" i="19"/>
  <c r="A33159" i="19"/>
  <c r="A33158" i="19"/>
  <c r="A33157" i="19"/>
  <c r="A33156" i="19"/>
  <c r="A33155" i="19"/>
  <c r="A33154" i="19"/>
  <c r="A33153" i="19"/>
  <c r="A33152" i="19"/>
  <c r="A33151" i="19"/>
  <c r="A33150" i="19"/>
  <c r="A33149" i="19"/>
  <c r="A33148" i="19"/>
  <c r="A33147" i="19"/>
  <c r="A33146" i="19"/>
  <c r="A33145" i="19"/>
  <c r="A33144" i="19"/>
  <c r="A33143" i="19"/>
  <c r="A33142" i="19"/>
  <c r="A33141" i="19"/>
  <c r="A33140" i="19"/>
  <c r="A33139" i="19"/>
  <c r="A33138" i="19"/>
  <c r="A33137" i="19"/>
  <c r="A33136" i="19"/>
  <c r="A33135" i="19"/>
  <c r="A33134" i="19"/>
  <c r="A33133" i="19"/>
  <c r="A33132" i="19"/>
  <c r="A33131" i="19"/>
  <c r="A33130" i="19"/>
  <c r="A33129" i="19"/>
  <c r="A33128" i="19"/>
  <c r="A33127" i="19"/>
  <c r="A33126" i="19"/>
  <c r="A33125" i="19"/>
  <c r="A33124" i="19"/>
  <c r="A33123" i="19"/>
  <c r="A33122" i="19"/>
  <c r="A33121" i="19"/>
  <c r="A33120" i="19"/>
  <c r="A33119" i="19"/>
  <c r="A33118" i="19"/>
  <c r="A33117" i="19"/>
  <c r="A33116" i="19"/>
  <c r="A33115" i="19"/>
  <c r="A33114" i="19"/>
  <c r="A33113" i="19"/>
  <c r="A33112" i="19"/>
  <c r="A33111" i="19"/>
  <c r="A33110" i="19"/>
  <c r="A33109" i="19"/>
  <c r="A33108" i="19"/>
  <c r="A33107" i="19"/>
  <c r="A33106" i="19"/>
  <c r="A33105" i="19"/>
  <c r="A33104" i="19"/>
  <c r="A33103" i="19"/>
  <c r="A33102" i="19"/>
  <c r="A33101" i="19"/>
  <c r="A33100" i="19"/>
  <c r="A33099" i="19"/>
  <c r="A33098" i="19"/>
  <c r="A33097" i="19"/>
  <c r="A33096" i="19"/>
  <c r="A33095" i="19"/>
  <c r="A33094" i="19"/>
  <c r="A33093" i="19"/>
  <c r="A33092" i="19"/>
  <c r="A33091" i="19"/>
  <c r="A33090" i="19"/>
  <c r="A33089" i="19"/>
  <c r="A33088" i="19"/>
  <c r="A33087" i="19"/>
  <c r="A33086" i="19"/>
  <c r="A33085" i="19"/>
  <c r="A33084" i="19"/>
  <c r="A33083" i="19"/>
  <c r="A33082" i="19"/>
  <c r="A33081" i="19"/>
  <c r="A33080" i="19"/>
  <c r="A33079" i="19"/>
  <c r="A33078" i="19"/>
  <c r="A33077" i="19"/>
  <c r="A33076" i="19"/>
  <c r="A33075" i="19"/>
  <c r="A33074" i="19"/>
  <c r="A33073" i="19"/>
  <c r="A33072" i="19"/>
  <c r="A33071" i="19"/>
  <c r="A33070" i="19"/>
  <c r="A33069" i="19"/>
  <c r="A33068" i="19"/>
  <c r="A33067" i="19"/>
  <c r="A33066" i="19"/>
  <c r="A33065" i="19"/>
  <c r="A33064" i="19"/>
  <c r="A33063" i="19"/>
  <c r="A33062" i="19"/>
  <c r="A33061" i="19"/>
  <c r="A33060" i="19"/>
  <c r="A33059" i="19"/>
  <c r="A33058" i="19"/>
  <c r="A33057" i="19"/>
  <c r="A33056" i="19"/>
  <c r="A33055" i="19"/>
  <c r="A33054" i="19"/>
  <c r="A33053" i="19"/>
  <c r="A33052" i="19"/>
  <c r="A33051" i="19"/>
  <c r="A33050" i="19"/>
  <c r="A33049" i="19"/>
  <c r="A33048" i="19"/>
  <c r="A33047" i="19"/>
  <c r="A33046" i="19"/>
  <c r="A33045" i="19"/>
  <c r="A33044" i="19"/>
  <c r="A33043" i="19"/>
  <c r="A33042" i="19"/>
  <c r="A33041" i="19"/>
  <c r="A33040" i="19"/>
  <c r="A33039" i="19"/>
  <c r="A33038" i="19"/>
  <c r="A33037" i="19"/>
  <c r="A33036" i="19"/>
  <c r="A33035" i="19"/>
  <c r="A33034" i="19"/>
  <c r="A33033" i="19"/>
  <c r="A33032" i="19"/>
  <c r="A33031" i="19"/>
  <c r="A33030" i="19"/>
  <c r="A33029" i="19"/>
  <c r="A33028" i="19"/>
  <c r="A33027" i="19"/>
  <c r="A33026" i="19"/>
  <c r="A33025" i="19"/>
  <c r="A33024" i="19"/>
  <c r="A33023" i="19"/>
  <c r="A33022" i="19"/>
  <c r="A33021" i="19"/>
  <c r="A33020" i="19"/>
  <c r="A33019" i="19"/>
  <c r="A33018" i="19"/>
  <c r="A33017" i="19"/>
  <c r="A33016" i="19"/>
  <c r="A33015" i="19"/>
  <c r="A33014" i="19"/>
  <c r="A33013" i="19"/>
  <c r="A33012" i="19"/>
  <c r="A33011" i="19"/>
  <c r="A33010" i="19"/>
  <c r="A33009" i="19"/>
  <c r="A33008" i="19"/>
  <c r="A33007" i="19"/>
  <c r="A33006" i="19"/>
  <c r="A33005" i="19"/>
  <c r="A33004" i="19"/>
  <c r="A33003" i="19"/>
  <c r="A33002" i="19"/>
  <c r="A33001" i="19"/>
  <c r="A33000" i="19"/>
  <c r="A32999" i="19"/>
  <c r="A32998" i="19"/>
  <c r="A32997" i="19"/>
  <c r="A32996" i="19"/>
  <c r="A32995" i="19"/>
  <c r="A32994" i="19"/>
  <c r="A32993" i="19"/>
  <c r="A32992" i="19"/>
  <c r="A32991" i="19"/>
  <c r="A32990" i="19"/>
  <c r="A32989" i="19"/>
  <c r="A32988" i="19"/>
  <c r="A32987" i="19"/>
  <c r="A32986" i="19"/>
  <c r="A32985" i="19"/>
  <c r="A32984" i="19"/>
  <c r="A32983" i="19"/>
  <c r="A32982" i="19"/>
  <c r="A32981" i="19"/>
  <c r="A32980" i="19"/>
  <c r="A32979" i="19"/>
  <c r="A32978" i="19"/>
  <c r="A32977" i="19"/>
  <c r="A32976" i="19"/>
  <c r="A32975" i="19"/>
  <c r="A32974" i="19"/>
  <c r="A32973" i="19"/>
  <c r="A32972" i="19"/>
  <c r="A32971" i="19"/>
  <c r="A32970" i="19"/>
  <c r="A32969" i="19"/>
  <c r="A32968" i="19"/>
  <c r="A32967" i="19"/>
  <c r="A32966" i="19"/>
  <c r="A32965" i="19"/>
  <c r="A32964" i="19"/>
  <c r="A32963" i="19"/>
  <c r="A32962" i="19"/>
  <c r="A32961" i="19"/>
  <c r="A32960" i="19"/>
  <c r="A32959" i="19"/>
  <c r="A32958" i="19"/>
  <c r="A32957" i="19"/>
  <c r="A32956" i="19"/>
  <c r="A32955" i="19"/>
  <c r="A32954" i="19"/>
  <c r="A32953" i="19"/>
  <c r="A32952" i="19"/>
  <c r="A32951" i="19"/>
  <c r="A32950" i="19"/>
  <c r="A32949" i="19"/>
  <c r="A32948" i="19"/>
  <c r="A32947" i="19"/>
  <c r="A32946" i="19"/>
  <c r="A32945" i="19"/>
  <c r="A32944" i="19"/>
  <c r="A32943" i="19"/>
  <c r="A32942" i="19"/>
  <c r="A32941" i="19"/>
  <c r="A32940" i="19"/>
  <c r="A32939" i="19"/>
  <c r="A32938" i="19"/>
  <c r="A32937" i="19"/>
  <c r="A32936" i="19"/>
  <c r="A32935" i="19"/>
  <c r="A32934" i="19"/>
  <c r="A32933" i="19"/>
  <c r="A32932" i="19"/>
  <c r="A32931" i="19"/>
  <c r="A32930" i="19"/>
  <c r="A32929" i="19"/>
  <c r="A32928" i="19"/>
  <c r="A32927" i="19"/>
  <c r="A32926" i="19"/>
  <c r="A32925" i="19"/>
  <c r="A32924" i="19"/>
  <c r="A32923" i="19"/>
  <c r="A32922" i="19"/>
  <c r="A32921" i="19"/>
  <c r="A32920" i="19"/>
  <c r="A32919" i="19"/>
  <c r="A32918" i="19"/>
  <c r="A32917" i="19"/>
  <c r="A32916" i="19"/>
  <c r="A32915" i="19"/>
  <c r="A32914" i="19"/>
  <c r="A32913" i="19"/>
  <c r="A32912" i="19"/>
  <c r="A32911" i="19"/>
  <c r="A32910" i="19"/>
  <c r="A32909" i="19"/>
  <c r="A32908" i="19"/>
  <c r="A32907" i="19"/>
  <c r="A32906" i="19"/>
  <c r="A32905" i="19"/>
  <c r="A32904" i="19"/>
  <c r="A32903" i="19"/>
  <c r="A32902" i="19"/>
  <c r="A32901" i="19"/>
  <c r="A32900" i="19"/>
  <c r="A32899" i="19"/>
  <c r="A32898" i="19"/>
  <c r="A32897" i="19"/>
  <c r="A32896" i="19"/>
  <c r="A32895" i="19"/>
  <c r="A32894" i="19"/>
  <c r="A32893" i="19"/>
  <c r="A32892" i="19"/>
  <c r="A32891" i="19"/>
  <c r="A32890" i="19"/>
  <c r="A32889" i="19"/>
  <c r="A32888" i="19"/>
  <c r="A32887" i="19"/>
  <c r="A32886" i="19"/>
  <c r="A32885" i="19"/>
  <c r="A32884" i="19"/>
  <c r="A32883" i="19"/>
  <c r="A32882" i="19"/>
  <c r="A32881" i="19"/>
  <c r="A32880" i="19"/>
  <c r="A32879" i="19"/>
  <c r="A32878" i="19"/>
  <c r="A32877" i="19"/>
  <c r="A32876" i="19"/>
  <c r="A32875" i="19"/>
  <c r="A32874" i="19"/>
  <c r="A32873" i="19"/>
  <c r="A32872" i="19"/>
  <c r="A32871" i="19"/>
  <c r="A32870" i="19"/>
  <c r="A32869" i="19"/>
  <c r="A32868" i="19"/>
  <c r="A32867" i="19"/>
  <c r="A32866" i="19"/>
  <c r="A32865" i="19"/>
  <c r="A32864" i="19"/>
  <c r="A32863" i="19"/>
  <c r="A32862" i="19"/>
  <c r="A32861" i="19"/>
  <c r="A32860" i="19"/>
  <c r="A32859" i="19"/>
  <c r="A32858" i="19"/>
  <c r="A32857" i="19"/>
  <c r="A32856" i="19"/>
  <c r="A32855" i="19"/>
  <c r="A32854" i="19"/>
  <c r="A32853" i="19"/>
  <c r="A32852" i="19"/>
  <c r="A32851" i="19"/>
  <c r="A32850" i="19"/>
  <c r="A32849" i="19"/>
  <c r="A32848" i="19"/>
  <c r="A32847" i="19"/>
  <c r="A32846" i="19"/>
  <c r="A32845" i="19"/>
  <c r="A32844" i="19"/>
  <c r="A32843" i="19"/>
  <c r="A32842" i="19"/>
  <c r="A32841" i="19"/>
  <c r="A32840" i="19"/>
  <c r="A32839" i="19"/>
  <c r="A32838" i="19"/>
  <c r="A32837" i="19"/>
  <c r="A32836" i="19"/>
  <c r="A32835" i="19"/>
  <c r="A32834" i="19"/>
  <c r="A32833" i="19"/>
  <c r="A32832" i="19"/>
  <c r="A32831" i="19"/>
  <c r="A32830" i="19"/>
  <c r="A32829" i="19"/>
  <c r="A32828" i="19"/>
  <c r="A32827" i="19"/>
  <c r="A32826" i="19"/>
  <c r="A32825" i="19"/>
  <c r="A32824" i="19"/>
  <c r="A32823" i="19"/>
  <c r="A32822" i="19"/>
  <c r="A32821" i="19"/>
  <c r="A32820" i="19"/>
  <c r="A32819" i="19"/>
  <c r="A32818" i="19"/>
  <c r="A32817" i="19"/>
  <c r="A32816" i="19"/>
  <c r="A32815" i="19"/>
  <c r="A32814" i="19"/>
  <c r="A32813" i="19"/>
  <c r="A32812" i="19"/>
  <c r="A32811" i="19"/>
  <c r="A32810" i="19"/>
  <c r="A32809" i="19"/>
  <c r="A32808" i="19"/>
  <c r="A32807" i="19"/>
  <c r="A32806" i="19"/>
  <c r="A32805" i="19"/>
  <c r="A32804" i="19"/>
  <c r="A32803" i="19"/>
  <c r="A32802" i="19"/>
  <c r="A32801" i="19"/>
  <c r="A32800" i="19"/>
  <c r="A32799" i="19"/>
  <c r="A32798" i="19"/>
  <c r="A32797" i="19"/>
  <c r="A32796" i="19"/>
  <c r="A32795" i="19"/>
  <c r="A32794" i="19"/>
  <c r="A32793" i="19"/>
  <c r="A32792" i="19"/>
  <c r="A32791" i="19"/>
  <c r="A32790" i="19"/>
  <c r="A32789" i="19"/>
  <c r="A32788" i="19"/>
  <c r="A32787" i="19"/>
  <c r="A32786" i="19"/>
  <c r="A32785" i="19"/>
  <c r="A32784" i="19"/>
  <c r="A32783" i="19"/>
  <c r="A32782" i="19"/>
  <c r="A32781" i="19"/>
  <c r="A32780" i="19"/>
  <c r="A32779" i="19"/>
  <c r="A32778" i="19"/>
  <c r="A32777" i="19"/>
  <c r="A32776" i="19"/>
  <c r="A32775" i="19"/>
  <c r="A32774" i="19"/>
  <c r="A32773" i="19"/>
  <c r="A32772" i="19"/>
  <c r="A32771" i="19"/>
  <c r="A32770" i="19"/>
  <c r="A32769" i="19"/>
  <c r="A32768" i="19"/>
  <c r="A32767" i="19"/>
  <c r="A32766" i="19"/>
  <c r="A32765" i="19"/>
  <c r="A32764" i="19"/>
  <c r="A32763" i="19"/>
  <c r="A32762" i="19"/>
  <c r="A32761" i="19"/>
  <c r="A32760" i="19"/>
  <c r="A32759" i="19"/>
  <c r="A32758" i="19"/>
  <c r="A32757" i="19"/>
  <c r="A32756" i="19"/>
  <c r="A32755" i="19"/>
  <c r="A32754" i="19"/>
  <c r="A32753" i="19"/>
  <c r="A32752" i="19"/>
  <c r="A32751" i="19"/>
  <c r="A32750" i="19"/>
  <c r="A32749" i="19"/>
  <c r="A32748" i="19"/>
  <c r="A32747" i="19"/>
  <c r="A32746" i="19"/>
  <c r="A32745" i="19"/>
  <c r="A32744" i="19"/>
  <c r="A32743" i="19"/>
  <c r="A32742" i="19"/>
  <c r="A32741" i="19"/>
  <c r="A32740" i="19"/>
  <c r="A32739" i="19"/>
  <c r="A32738" i="19"/>
  <c r="A32737" i="19"/>
  <c r="A32736" i="19"/>
  <c r="A32735" i="19"/>
  <c r="A32734" i="19"/>
  <c r="A32733" i="19"/>
  <c r="A32732" i="19"/>
  <c r="A32731" i="19"/>
  <c r="A32730" i="19"/>
  <c r="A32729" i="19"/>
  <c r="A32728" i="19"/>
  <c r="A32727" i="19"/>
  <c r="A32726" i="19"/>
  <c r="A32725" i="19"/>
  <c r="A32724" i="19"/>
  <c r="A32723" i="19"/>
  <c r="A32722" i="19"/>
  <c r="A32721" i="19"/>
  <c r="A32720" i="19"/>
  <c r="A32719" i="19"/>
  <c r="A32718" i="19"/>
  <c r="A32717" i="19"/>
  <c r="A32716" i="19"/>
  <c r="A32715" i="19"/>
  <c r="A32714" i="19"/>
  <c r="A32713" i="19"/>
  <c r="A32712" i="19"/>
  <c r="A32711" i="19"/>
  <c r="A32710" i="19"/>
  <c r="A32709" i="19"/>
  <c r="A32708" i="19"/>
  <c r="A32707" i="19"/>
  <c r="A32706" i="19"/>
  <c r="A32705" i="19"/>
  <c r="A32704" i="19"/>
  <c r="A32703" i="19"/>
  <c r="A32702" i="19"/>
  <c r="A32701" i="19"/>
  <c r="A32700" i="19"/>
  <c r="A32699" i="19"/>
  <c r="A32698" i="19"/>
  <c r="A32697" i="19"/>
  <c r="A32696" i="19"/>
  <c r="A32695" i="19"/>
  <c r="A32694" i="19"/>
  <c r="A32693" i="19"/>
  <c r="A32692" i="19"/>
  <c r="A32691" i="19"/>
  <c r="A32690" i="19"/>
  <c r="A32689" i="19"/>
  <c r="A32688" i="19"/>
  <c r="A32687" i="19"/>
  <c r="A32686" i="19"/>
  <c r="A32685" i="19"/>
  <c r="A32684" i="19"/>
  <c r="A32683" i="19"/>
  <c r="A32682" i="19"/>
  <c r="A32681" i="19"/>
  <c r="A32680" i="19"/>
  <c r="A32679" i="19"/>
  <c r="A32678" i="19"/>
  <c r="A32677" i="19"/>
  <c r="A32676" i="19"/>
  <c r="A32675" i="19"/>
  <c r="A32674" i="19"/>
  <c r="A32673" i="19"/>
  <c r="A32672" i="19"/>
  <c r="A32671" i="19"/>
  <c r="A32670" i="19"/>
  <c r="A32669" i="19"/>
  <c r="A32668" i="19"/>
  <c r="A32667" i="19"/>
  <c r="A32666" i="19"/>
  <c r="A32665" i="19"/>
  <c r="A32664" i="19"/>
  <c r="A32663" i="19"/>
  <c r="A32662" i="19"/>
  <c r="A32661" i="19"/>
  <c r="A32660" i="19"/>
  <c r="A32659" i="19"/>
  <c r="A32658" i="19"/>
  <c r="A32657" i="19"/>
  <c r="A32656" i="19"/>
  <c r="A32655" i="19"/>
  <c r="A32654" i="19"/>
  <c r="A32653" i="19"/>
  <c r="A32652" i="19"/>
  <c r="A32651" i="19"/>
  <c r="A32650" i="19"/>
  <c r="A32649" i="19"/>
  <c r="A32648" i="19"/>
  <c r="A32647" i="19"/>
  <c r="A32646" i="19"/>
  <c r="A32645" i="19"/>
  <c r="A32644" i="19"/>
  <c r="A32643" i="19"/>
  <c r="A32642" i="19"/>
  <c r="A32641" i="19"/>
  <c r="A32640" i="19"/>
  <c r="A32639" i="19"/>
  <c r="A32638" i="19"/>
  <c r="A32637" i="19"/>
  <c r="A32636" i="19"/>
  <c r="A32635" i="19"/>
  <c r="A32634" i="19"/>
  <c r="A32633" i="19"/>
  <c r="A32632" i="19"/>
  <c r="A32631" i="19"/>
  <c r="A32630" i="19"/>
  <c r="A32629" i="19"/>
  <c r="A32628" i="19"/>
  <c r="A32627" i="19"/>
  <c r="A32626" i="19"/>
  <c r="A32625" i="19"/>
  <c r="A32624" i="19"/>
  <c r="A32623" i="19"/>
  <c r="A32622" i="19"/>
  <c r="A32621" i="19"/>
  <c r="A32620" i="19"/>
  <c r="A32619" i="19"/>
  <c r="A32618" i="19"/>
  <c r="A32617" i="19"/>
  <c r="A32616" i="19"/>
  <c r="A32615" i="19"/>
  <c r="A32614" i="19"/>
  <c r="A32613" i="19"/>
  <c r="A32612" i="19"/>
  <c r="A32611" i="19"/>
  <c r="A32610" i="19"/>
  <c r="A32609" i="19"/>
  <c r="A32608" i="19"/>
  <c r="A32607" i="19"/>
  <c r="A32606" i="19"/>
  <c r="A32605" i="19"/>
  <c r="A32604" i="19"/>
  <c r="A32603" i="19"/>
  <c r="A32602" i="19"/>
  <c r="A32601" i="19"/>
  <c r="A32600" i="19"/>
  <c r="A32599" i="19"/>
  <c r="A32598" i="19"/>
  <c r="A32597" i="19"/>
  <c r="A32596" i="19"/>
  <c r="A32595" i="19"/>
  <c r="A32594" i="19"/>
  <c r="A32593" i="19"/>
  <c r="A32592" i="19"/>
  <c r="A32591" i="19"/>
  <c r="A32590" i="19"/>
  <c r="A32589" i="19"/>
  <c r="A32588" i="19"/>
  <c r="A32587" i="19"/>
  <c r="A32586" i="19"/>
  <c r="A32585" i="19"/>
  <c r="A32584" i="19"/>
  <c r="A32583" i="19"/>
  <c r="A32582" i="19"/>
  <c r="A32581" i="19"/>
  <c r="A32580" i="19"/>
  <c r="A32579" i="19"/>
  <c r="A32578" i="19"/>
  <c r="A32577" i="19"/>
  <c r="A32576" i="19"/>
  <c r="A32575" i="19"/>
  <c r="A32574" i="19"/>
  <c r="A32573" i="19"/>
  <c r="A32572" i="19"/>
  <c r="A32571" i="19"/>
  <c r="A32570" i="19"/>
  <c r="A32569" i="19"/>
  <c r="A32568" i="19"/>
  <c r="A32567" i="19"/>
  <c r="A32566" i="19"/>
  <c r="A32565" i="19"/>
  <c r="A32564" i="19"/>
  <c r="A32563" i="19"/>
  <c r="A32562" i="19"/>
  <c r="A32561" i="19"/>
  <c r="A32560" i="19"/>
  <c r="A32559" i="19"/>
  <c r="A32558" i="19"/>
  <c r="A32557" i="19"/>
  <c r="A32556" i="19"/>
  <c r="A32555" i="19"/>
  <c r="A32554" i="19"/>
  <c r="A32553" i="19"/>
  <c r="A32552" i="19"/>
  <c r="A32551" i="19"/>
  <c r="A32550" i="19"/>
  <c r="A32549" i="19"/>
  <c r="A32548" i="19"/>
  <c r="A32547" i="19"/>
  <c r="A32546" i="19"/>
  <c r="A32545" i="19"/>
  <c r="A32544" i="19"/>
  <c r="A32543" i="19"/>
  <c r="A32542" i="19"/>
  <c r="A32541" i="19"/>
  <c r="A32540" i="19"/>
  <c r="A32539" i="19"/>
  <c r="A32538" i="19"/>
  <c r="A32537" i="19"/>
  <c r="A32536" i="19"/>
  <c r="A32535" i="19"/>
  <c r="A32534" i="19"/>
  <c r="A32533" i="19"/>
  <c r="A32532" i="19"/>
  <c r="A32531" i="19"/>
  <c r="A32530" i="19"/>
  <c r="A32529" i="19"/>
  <c r="A32528" i="19"/>
  <c r="A32527" i="19"/>
  <c r="A32526" i="19"/>
  <c r="A32525" i="19"/>
  <c r="A32524" i="19"/>
  <c r="A32523" i="19"/>
  <c r="A32522" i="19"/>
  <c r="A32521" i="19"/>
  <c r="A32520" i="19"/>
  <c r="A32519" i="19"/>
  <c r="A32518" i="19"/>
  <c r="A32517" i="19"/>
  <c r="A32516" i="19"/>
  <c r="A32515" i="19"/>
  <c r="A32514" i="19"/>
  <c r="A32513" i="19"/>
  <c r="A32512" i="19"/>
  <c r="A32511" i="19"/>
  <c r="A32510" i="19"/>
  <c r="A32509" i="19"/>
  <c r="A32508" i="19"/>
  <c r="A32507" i="19"/>
  <c r="A32506" i="19"/>
  <c r="A32505" i="19"/>
  <c r="A32504" i="19"/>
  <c r="A32503" i="19"/>
  <c r="A32502" i="19"/>
  <c r="A32501" i="19"/>
  <c r="A32500" i="19"/>
  <c r="A32499" i="19"/>
  <c r="A32498" i="19"/>
  <c r="A32497" i="19"/>
  <c r="A32496" i="19"/>
  <c r="A32495" i="19"/>
  <c r="A32494" i="19"/>
  <c r="A32493" i="19"/>
  <c r="A32492" i="19"/>
  <c r="A32491" i="19"/>
  <c r="A32490" i="19"/>
  <c r="A32489" i="19"/>
  <c r="A32488" i="19"/>
  <c r="A32487" i="19"/>
  <c r="A32486" i="19"/>
  <c r="A32485" i="19"/>
  <c r="A32484" i="19"/>
  <c r="A32483" i="19"/>
  <c r="A32482" i="19"/>
  <c r="A32481" i="19"/>
  <c r="A32480" i="19"/>
  <c r="A32479" i="19"/>
  <c r="A32478" i="19"/>
  <c r="A32477" i="19"/>
  <c r="A32476" i="19"/>
  <c r="A32475" i="19"/>
  <c r="A32474" i="19"/>
  <c r="A32473" i="19"/>
  <c r="A32472" i="19"/>
  <c r="A32471" i="19"/>
  <c r="A32470" i="19"/>
  <c r="A32469" i="19"/>
  <c r="A32468" i="19"/>
  <c r="A32467" i="19"/>
  <c r="A32466" i="19"/>
  <c r="A32465" i="19"/>
  <c r="A32464" i="19"/>
  <c r="A32463" i="19"/>
  <c r="A32462" i="19"/>
  <c r="A32461" i="19"/>
  <c r="A32460" i="19"/>
  <c r="A32459" i="19"/>
  <c r="A32458" i="19"/>
  <c r="A32457" i="19"/>
  <c r="A32456" i="19"/>
  <c r="A32455" i="19"/>
  <c r="A32454" i="19"/>
  <c r="A32453" i="19"/>
  <c r="A32452" i="19"/>
  <c r="A32451" i="19"/>
  <c r="A32450" i="19"/>
  <c r="A32449" i="19"/>
  <c r="A32448" i="19"/>
  <c r="A32447" i="19"/>
  <c r="A32446" i="19"/>
  <c r="A32445" i="19"/>
  <c r="A32444" i="19"/>
  <c r="A32443" i="19"/>
  <c r="A32442" i="19"/>
  <c r="A32441" i="19"/>
  <c r="A32440" i="19"/>
  <c r="A32439" i="19"/>
  <c r="A32438" i="19"/>
  <c r="A32437" i="19"/>
  <c r="A32436" i="19"/>
  <c r="A32435" i="19"/>
  <c r="A32434" i="19"/>
  <c r="A32433" i="19"/>
  <c r="A32432" i="19"/>
  <c r="A32431" i="19"/>
  <c r="A32430" i="19"/>
  <c r="A32429" i="19"/>
  <c r="A32428" i="19"/>
  <c r="A32427" i="19"/>
  <c r="A32426" i="19"/>
  <c r="A32425" i="19"/>
  <c r="A32424" i="19"/>
  <c r="A32423" i="19"/>
  <c r="A32422" i="19"/>
  <c r="A32421" i="19"/>
  <c r="A32420" i="19"/>
  <c r="A32419" i="19"/>
  <c r="A32418" i="19"/>
  <c r="A32417" i="19"/>
  <c r="A32416" i="19"/>
  <c r="A32415" i="19"/>
  <c r="A32414" i="19"/>
  <c r="A32413" i="19"/>
  <c r="A32412" i="19"/>
  <c r="A32411" i="19"/>
  <c r="A32410" i="19"/>
  <c r="A32409" i="19"/>
  <c r="A32408" i="19"/>
  <c r="A32407" i="19"/>
  <c r="A32406" i="19"/>
  <c r="A32405" i="19"/>
  <c r="A32404" i="19"/>
  <c r="A32403" i="19"/>
  <c r="A32402" i="19"/>
  <c r="A32401" i="19"/>
  <c r="A32400" i="19"/>
  <c r="A32399" i="19"/>
  <c r="A32398" i="19"/>
  <c r="A32397" i="19"/>
  <c r="A32396" i="19"/>
  <c r="A32395" i="19"/>
  <c r="A32394" i="19"/>
  <c r="A32393" i="19"/>
  <c r="A32392" i="19"/>
  <c r="A32391" i="19"/>
  <c r="A32390" i="19"/>
  <c r="A32389" i="19"/>
  <c r="A32388" i="19"/>
  <c r="A32387" i="19"/>
  <c r="A32386" i="19"/>
  <c r="A32385" i="19"/>
  <c r="A32384" i="19"/>
  <c r="A32383" i="19"/>
  <c r="A32382" i="19"/>
  <c r="A32381" i="19"/>
  <c r="A32380" i="19"/>
  <c r="A32379" i="19"/>
  <c r="A32378" i="19"/>
  <c r="A32377" i="19"/>
  <c r="A32376" i="19"/>
  <c r="A32375" i="19"/>
  <c r="A32374" i="19"/>
  <c r="A32373" i="19"/>
  <c r="A32372" i="19"/>
  <c r="A32371" i="19"/>
  <c r="A32370" i="19"/>
  <c r="A32369" i="19"/>
  <c r="A32368" i="19"/>
  <c r="A32367" i="19"/>
  <c r="A32366" i="19"/>
  <c r="A32365" i="19"/>
  <c r="A32364" i="19"/>
  <c r="A32363" i="19"/>
  <c r="A32362" i="19"/>
  <c r="A32361" i="19"/>
  <c r="A32360" i="19"/>
  <c r="A32359" i="19"/>
  <c r="A32358" i="19"/>
  <c r="A32357" i="19"/>
  <c r="A32356" i="19"/>
  <c r="A32355" i="19"/>
  <c r="A32354" i="19"/>
  <c r="A32353" i="19"/>
  <c r="A32352" i="19"/>
  <c r="A32351" i="19"/>
  <c r="A32350" i="19"/>
  <c r="A32349" i="19"/>
  <c r="A32348" i="19"/>
  <c r="A32347" i="19"/>
  <c r="A32346" i="19"/>
  <c r="A32345" i="19"/>
  <c r="A32344" i="19"/>
  <c r="A32343" i="19"/>
  <c r="A32342" i="19"/>
  <c r="A32341" i="19"/>
  <c r="A32340" i="19"/>
  <c r="A32339" i="19"/>
  <c r="A32338" i="19"/>
  <c r="A32337" i="19"/>
  <c r="A32336" i="19"/>
  <c r="A32335" i="19"/>
  <c r="A32334" i="19"/>
  <c r="A32333" i="19"/>
  <c r="A32332" i="19"/>
  <c r="A32331" i="19"/>
  <c r="A32330" i="19"/>
  <c r="A32329" i="19"/>
  <c r="A32328" i="19"/>
  <c r="A32327" i="19"/>
  <c r="A32326" i="19"/>
  <c r="A32325" i="19"/>
  <c r="A32324" i="19"/>
  <c r="A32323" i="19"/>
  <c r="A32322" i="19"/>
  <c r="A32321" i="19"/>
  <c r="A32320" i="19"/>
  <c r="A32319" i="19"/>
  <c r="A32318" i="19"/>
  <c r="A32317" i="19"/>
  <c r="A32316" i="19"/>
  <c r="A32315" i="19"/>
  <c r="A32314" i="19"/>
  <c r="A32313" i="19"/>
  <c r="A32312" i="19"/>
  <c r="A32311" i="19"/>
  <c r="A32310" i="19"/>
  <c r="A32309" i="19"/>
  <c r="A32308" i="19"/>
  <c r="A32307" i="19"/>
  <c r="A32306" i="19"/>
  <c r="A32305" i="19"/>
  <c r="A32304" i="19"/>
  <c r="A32303" i="19"/>
  <c r="A32302" i="19"/>
  <c r="A32301" i="19"/>
  <c r="A32300" i="19"/>
  <c r="A32299" i="19"/>
  <c r="A32298" i="19"/>
  <c r="A32297" i="19"/>
  <c r="A32296" i="19"/>
  <c r="A32295" i="19"/>
  <c r="A32294" i="19"/>
  <c r="A32293" i="19"/>
  <c r="A32292" i="19"/>
  <c r="A32291" i="19"/>
  <c r="A32290" i="19"/>
  <c r="A32289" i="19"/>
  <c r="A32288" i="19"/>
  <c r="A32287" i="19"/>
  <c r="A32286" i="19"/>
  <c r="A32285" i="19"/>
  <c r="A32284" i="19"/>
  <c r="A32283" i="19"/>
  <c r="A32282" i="19"/>
  <c r="A32281" i="19"/>
  <c r="A32280" i="19"/>
  <c r="A32279" i="19"/>
  <c r="A32278" i="19"/>
  <c r="A32277" i="19"/>
  <c r="A32276" i="19"/>
  <c r="A32275" i="19"/>
  <c r="A32274" i="19"/>
  <c r="A32273" i="19"/>
  <c r="A32272" i="19"/>
  <c r="A32271" i="19"/>
  <c r="A32270" i="19"/>
  <c r="A32269" i="19"/>
  <c r="A32268" i="19"/>
  <c r="A32267" i="19"/>
  <c r="A32266" i="19"/>
  <c r="A32265" i="19"/>
  <c r="A32264" i="19"/>
  <c r="A32263" i="19"/>
  <c r="A32262" i="19"/>
  <c r="A32261" i="19"/>
  <c r="A32260" i="19"/>
  <c r="A32259" i="19"/>
  <c r="A32258" i="19"/>
  <c r="A32257" i="19"/>
  <c r="A32256" i="19"/>
  <c r="A32255" i="19"/>
  <c r="A32254" i="19"/>
  <c r="A32253" i="19"/>
  <c r="A32252" i="19"/>
  <c r="A32251" i="19"/>
  <c r="A32250" i="19"/>
  <c r="A32249" i="19"/>
  <c r="A32248" i="19"/>
  <c r="A32247" i="19"/>
  <c r="A32246" i="19"/>
  <c r="A32245" i="19"/>
  <c r="A32244" i="19"/>
  <c r="A32243" i="19"/>
  <c r="A32242" i="19"/>
  <c r="A32241" i="19"/>
  <c r="A32240" i="19"/>
  <c r="A32239" i="19"/>
  <c r="A32238" i="19"/>
  <c r="A32237" i="19"/>
  <c r="A32236" i="19"/>
  <c r="A32235" i="19"/>
  <c r="A32234" i="19"/>
  <c r="A32233" i="19"/>
  <c r="A32232" i="19"/>
  <c r="A32231" i="19"/>
  <c r="A32230" i="19"/>
  <c r="A32229" i="19"/>
  <c r="A32228" i="19"/>
  <c r="A32227" i="19"/>
  <c r="A32226" i="19"/>
  <c r="A32225" i="19"/>
  <c r="A32224" i="19"/>
  <c r="A32223" i="19"/>
  <c r="A32222" i="19"/>
  <c r="A32221" i="19"/>
  <c r="A32220" i="19"/>
  <c r="A32219" i="19"/>
  <c r="A32218" i="19"/>
  <c r="A32217" i="19"/>
  <c r="A32216" i="19"/>
  <c r="A32215" i="19"/>
  <c r="A32214" i="19"/>
  <c r="A32213" i="19"/>
  <c r="A32212" i="19"/>
  <c r="A32211" i="19"/>
  <c r="A32210" i="19"/>
  <c r="A32209" i="19"/>
  <c r="A32208" i="19"/>
  <c r="A32207" i="19"/>
  <c r="A32206" i="19"/>
  <c r="A32205" i="19"/>
  <c r="A32204" i="19"/>
  <c r="A32203" i="19"/>
  <c r="A32202" i="19"/>
  <c r="A32201" i="19"/>
  <c r="A32200" i="19"/>
  <c r="A32199" i="19"/>
  <c r="A32198" i="19"/>
  <c r="A32197" i="19"/>
  <c r="A32196" i="19"/>
  <c r="A32195" i="19"/>
  <c r="A32194" i="19"/>
  <c r="A32193" i="19"/>
  <c r="A32192" i="19"/>
  <c r="A32191" i="19"/>
  <c r="A32190" i="19"/>
  <c r="A32189" i="19"/>
  <c r="A32188" i="19"/>
  <c r="A32187" i="19"/>
  <c r="A32186" i="19"/>
  <c r="A32185" i="19"/>
  <c r="A32184" i="19"/>
  <c r="A32183" i="19"/>
  <c r="A32182" i="19"/>
  <c r="A32181" i="19"/>
  <c r="A32180" i="19"/>
  <c r="A32179" i="19"/>
  <c r="A32178" i="19"/>
  <c r="A32177" i="19"/>
  <c r="A32176" i="19"/>
  <c r="A32175" i="19"/>
  <c r="A32174" i="19"/>
  <c r="A32173" i="19"/>
  <c r="A32172" i="19"/>
  <c r="A32171" i="19"/>
  <c r="A32170" i="19"/>
  <c r="A32169" i="19"/>
  <c r="A32168" i="19"/>
  <c r="A32167" i="19"/>
  <c r="A32166" i="19"/>
  <c r="A32165" i="19"/>
  <c r="A32164" i="19"/>
  <c r="A32163" i="19"/>
  <c r="A32162" i="19"/>
  <c r="A32161" i="19"/>
  <c r="A32160" i="19"/>
  <c r="A32159" i="19"/>
  <c r="A32158" i="19"/>
  <c r="A32157" i="19"/>
  <c r="A32156" i="19"/>
  <c r="A32155" i="19"/>
  <c r="A32154" i="19"/>
  <c r="A32153" i="19"/>
  <c r="A32152" i="19"/>
  <c r="A32151" i="19"/>
  <c r="A32150" i="19"/>
  <c r="A32149" i="19"/>
  <c r="A32148" i="19"/>
  <c r="A32147" i="19"/>
  <c r="A32146" i="19"/>
  <c r="A32145" i="19"/>
  <c r="A32144" i="19"/>
  <c r="A32143" i="19"/>
  <c r="A32142" i="19"/>
  <c r="A32141" i="19"/>
  <c r="A32140" i="19"/>
  <c r="A32139" i="19"/>
  <c r="A32138" i="19"/>
  <c r="A32137" i="19"/>
  <c r="A32136" i="19"/>
  <c r="A32135" i="19"/>
  <c r="A32134" i="19"/>
  <c r="A32133" i="19"/>
  <c r="A32132" i="19"/>
  <c r="A32131" i="19"/>
  <c r="A32130" i="19"/>
  <c r="A32129" i="19"/>
  <c r="A32128" i="19"/>
  <c r="A32127" i="19"/>
  <c r="A32126" i="19"/>
  <c r="A32125" i="19"/>
  <c r="A32124" i="19"/>
  <c r="A32123" i="19"/>
  <c r="A32122" i="19"/>
  <c r="A32121" i="19"/>
  <c r="A32120" i="19"/>
  <c r="A32119" i="19"/>
  <c r="A32118" i="19"/>
  <c r="A32117" i="19"/>
  <c r="A32116" i="19"/>
  <c r="A32115" i="19"/>
  <c r="A32114" i="19"/>
  <c r="A32113" i="19"/>
  <c r="A32112" i="19"/>
  <c r="A32111" i="19"/>
  <c r="A32110" i="19"/>
  <c r="A32109" i="19"/>
  <c r="A32108" i="19"/>
  <c r="A32107" i="19"/>
  <c r="A32106" i="19"/>
  <c r="A32105" i="19"/>
  <c r="A32104" i="19"/>
  <c r="A32103" i="19"/>
  <c r="A32102" i="19"/>
  <c r="A32101" i="19"/>
  <c r="A32100" i="19"/>
  <c r="A32099" i="19"/>
  <c r="A32098" i="19"/>
  <c r="A32097" i="19"/>
  <c r="A32096" i="19"/>
  <c r="A32095" i="19"/>
  <c r="A32094" i="19"/>
  <c r="A32093" i="19"/>
  <c r="A32092" i="19"/>
  <c r="A32091" i="19"/>
  <c r="A32090" i="19"/>
  <c r="A32089" i="19"/>
  <c r="A32088" i="19"/>
  <c r="A32087" i="19"/>
  <c r="A32086" i="19"/>
  <c r="A32085" i="19"/>
  <c r="A32084" i="19"/>
  <c r="A32083" i="19"/>
  <c r="A32082" i="19"/>
  <c r="A32081" i="19"/>
  <c r="A32080" i="19"/>
  <c r="A32079" i="19"/>
  <c r="A32078" i="19"/>
  <c r="A32077" i="19"/>
  <c r="A32076" i="19"/>
  <c r="A32075" i="19"/>
  <c r="A32074" i="19"/>
  <c r="A32073" i="19"/>
  <c r="A32072" i="19"/>
  <c r="A32071" i="19"/>
  <c r="A32070" i="19"/>
  <c r="A32069" i="19"/>
  <c r="A32068" i="19"/>
  <c r="A32067" i="19"/>
  <c r="A32066" i="19"/>
  <c r="A32065" i="19"/>
  <c r="A32064" i="19"/>
  <c r="A32063" i="19"/>
  <c r="A32062" i="19"/>
  <c r="A32061" i="19"/>
  <c r="A32060" i="19"/>
  <c r="A32059" i="19"/>
  <c r="A32058" i="19"/>
  <c r="A32057" i="19"/>
  <c r="A32056" i="19"/>
  <c r="A32055" i="19"/>
  <c r="A32054" i="19"/>
  <c r="A32053" i="19"/>
  <c r="A32052" i="19"/>
  <c r="A32051" i="19"/>
  <c r="A32050" i="19"/>
  <c r="A32049" i="19"/>
  <c r="A32048" i="19"/>
  <c r="A32047" i="19"/>
  <c r="A32046" i="19"/>
  <c r="A32045" i="19"/>
  <c r="A32044" i="19"/>
  <c r="A32043" i="19"/>
  <c r="A32042" i="19"/>
  <c r="A32041" i="19"/>
  <c r="A32040" i="19"/>
  <c r="A32039" i="19"/>
  <c r="A32038" i="19"/>
  <c r="A32037" i="19"/>
  <c r="A32036" i="19"/>
  <c r="A32035" i="19"/>
  <c r="A32034" i="19"/>
  <c r="A32033" i="19"/>
  <c r="A32032" i="19"/>
  <c r="A32031" i="19"/>
  <c r="A32030" i="19"/>
  <c r="A32029" i="19"/>
  <c r="A32028" i="19"/>
  <c r="A32027" i="19"/>
  <c r="A32026" i="19"/>
  <c r="A32025" i="19"/>
  <c r="A32024" i="19"/>
  <c r="A32023" i="19"/>
  <c r="A32022" i="19"/>
  <c r="A32021" i="19"/>
  <c r="A32020" i="19"/>
  <c r="A32019" i="19"/>
  <c r="A32018" i="19"/>
  <c r="A32017" i="19"/>
  <c r="A32016" i="19"/>
  <c r="A32015" i="19"/>
  <c r="A32014" i="19"/>
  <c r="A32013" i="19"/>
  <c r="A32012" i="19"/>
  <c r="A32011" i="19"/>
  <c r="A32010" i="19"/>
  <c r="A32009" i="19"/>
  <c r="A32008" i="19"/>
  <c r="A32007" i="19"/>
  <c r="A32006" i="19"/>
  <c r="A32005" i="19"/>
  <c r="A32004" i="19"/>
  <c r="A32003" i="19"/>
  <c r="A32002" i="19"/>
  <c r="A32001" i="19"/>
  <c r="A32000" i="19"/>
  <c r="A31999" i="19"/>
  <c r="A31998" i="19"/>
  <c r="A31997" i="19"/>
  <c r="A31996" i="19"/>
  <c r="A31995" i="19"/>
  <c r="A31994" i="19"/>
  <c r="A31993" i="19"/>
  <c r="A31992" i="19"/>
  <c r="A31991" i="19"/>
  <c r="A31990" i="19"/>
  <c r="A31989" i="19"/>
  <c r="A31988" i="19"/>
  <c r="A31987" i="19"/>
  <c r="A31986" i="19"/>
  <c r="A31985" i="19"/>
  <c r="A31984" i="19"/>
  <c r="A31983" i="19"/>
  <c r="A31982" i="19"/>
  <c r="A31981" i="19"/>
  <c r="A31980" i="19"/>
  <c r="A31979" i="19"/>
  <c r="A31978" i="19"/>
  <c r="A31977" i="19"/>
  <c r="A31976" i="19"/>
  <c r="A31975" i="19"/>
  <c r="A31974" i="19"/>
  <c r="A31973" i="19"/>
  <c r="A31972" i="19"/>
  <c r="A31971" i="19"/>
  <c r="A31970" i="19"/>
  <c r="A31969" i="19"/>
  <c r="A31968" i="19"/>
  <c r="A31967" i="19"/>
  <c r="A31966" i="19"/>
  <c r="A31965" i="19"/>
  <c r="A31964" i="19"/>
  <c r="A31963" i="19"/>
  <c r="A31962" i="19"/>
  <c r="A31961" i="19"/>
  <c r="A31960" i="19"/>
  <c r="A31959" i="19"/>
  <c r="A31958" i="19"/>
  <c r="A31957" i="19"/>
  <c r="A31956" i="19"/>
  <c r="A31955" i="19"/>
  <c r="A31954" i="19"/>
  <c r="A31953" i="19"/>
  <c r="A31952" i="19"/>
  <c r="A31951" i="19"/>
  <c r="A31950" i="19"/>
  <c r="A31949" i="19"/>
  <c r="A31948" i="19"/>
  <c r="A31947" i="19"/>
  <c r="A31946" i="19"/>
  <c r="A31945" i="19"/>
  <c r="A31944" i="19"/>
  <c r="A31943" i="19"/>
  <c r="A31942" i="19"/>
  <c r="A31941" i="19"/>
  <c r="A31940" i="19"/>
  <c r="A31939" i="19"/>
  <c r="A31938" i="19"/>
  <c r="A31937" i="19"/>
  <c r="A31936" i="19"/>
  <c r="A31935" i="19"/>
  <c r="A31934" i="19"/>
  <c r="A31933" i="19"/>
  <c r="A31932" i="19"/>
  <c r="A31931" i="19"/>
  <c r="A31930" i="19"/>
  <c r="A31929" i="19"/>
  <c r="A31928" i="19"/>
  <c r="A31927" i="19"/>
  <c r="A31926" i="19"/>
  <c r="A31925" i="19"/>
  <c r="A31924" i="19"/>
  <c r="A31923" i="19"/>
  <c r="A31922" i="19"/>
  <c r="A31921" i="19"/>
  <c r="A31920" i="19"/>
  <c r="A31919" i="19"/>
  <c r="A31918" i="19"/>
  <c r="A31917" i="19"/>
  <c r="A31916" i="19"/>
  <c r="A31915" i="19"/>
  <c r="A31914" i="19"/>
  <c r="A31913" i="19"/>
  <c r="A31912" i="19"/>
  <c r="A31911" i="19"/>
  <c r="A31910" i="19"/>
  <c r="A31909" i="19"/>
  <c r="A31908" i="19"/>
  <c r="A31907" i="19"/>
  <c r="A31906" i="19"/>
  <c r="A31905" i="19"/>
  <c r="A31904" i="19"/>
  <c r="A31903" i="19"/>
  <c r="A31902" i="19"/>
  <c r="A31901" i="19"/>
  <c r="A31900" i="19"/>
  <c r="A31899" i="19"/>
  <c r="A31898" i="19"/>
  <c r="A31897" i="19"/>
  <c r="A31896" i="19"/>
  <c r="A31895" i="19"/>
  <c r="A31894" i="19"/>
  <c r="A31893" i="19"/>
  <c r="A31892" i="19"/>
  <c r="A31891" i="19"/>
  <c r="A31890" i="19"/>
  <c r="A31889" i="19"/>
  <c r="A31888" i="19"/>
  <c r="A31887" i="19"/>
  <c r="A31886" i="19"/>
  <c r="A31885" i="19"/>
  <c r="A31884" i="19"/>
  <c r="A31883" i="19"/>
  <c r="A31882" i="19"/>
  <c r="A31881" i="19"/>
  <c r="A31880" i="19"/>
  <c r="A31879" i="19"/>
  <c r="A31878" i="19"/>
  <c r="A31877" i="19"/>
  <c r="A31876" i="19"/>
  <c r="A31875" i="19"/>
  <c r="A31874" i="19"/>
  <c r="A31873" i="19"/>
  <c r="A31872" i="19"/>
  <c r="A31871" i="19"/>
  <c r="A31870" i="19"/>
  <c r="A31869" i="19"/>
  <c r="A31868" i="19"/>
  <c r="A31867" i="19"/>
  <c r="A31866" i="19"/>
  <c r="A31865" i="19"/>
  <c r="A31864" i="19"/>
  <c r="A31863" i="19"/>
  <c r="A31862" i="19"/>
  <c r="A31861" i="19"/>
  <c r="A31860" i="19"/>
  <c r="A31859" i="19"/>
  <c r="A31858" i="19"/>
  <c r="A31857" i="19"/>
  <c r="A31856" i="19"/>
  <c r="A31855" i="19"/>
  <c r="A31854" i="19"/>
  <c r="A31853" i="19"/>
  <c r="A31852" i="19"/>
  <c r="A31851" i="19"/>
  <c r="A31850" i="19"/>
  <c r="A31849" i="19"/>
  <c r="A31848" i="19"/>
  <c r="A31847" i="19"/>
  <c r="A31846" i="19"/>
  <c r="A31845" i="19"/>
  <c r="A31844" i="19"/>
  <c r="A31843" i="19"/>
  <c r="A31842" i="19"/>
  <c r="A31841" i="19"/>
  <c r="A31840" i="19"/>
  <c r="A31839" i="19"/>
  <c r="A31838" i="19"/>
  <c r="A31837" i="19"/>
  <c r="A31836" i="19"/>
  <c r="A31835" i="19"/>
  <c r="A31834" i="19"/>
  <c r="A31833" i="19"/>
  <c r="A31832" i="19"/>
  <c r="A31831" i="19"/>
  <c r="A31830" i="19"/>
  <c r="A31829" i="19"/>
  <c r="A31828" i="19"/>
  <c r="A31827" i="19"/>
  <c r="A31826" i="19"/>
  <c r="A31825" i="19"/>
  <c r="A31824" i="19"/>
  <c r="A31823" i="19"/>
  <c r="A31822" i="19"/>
  <c r="A31821" i="19"/>
  <c r="A31820" i="19"/>
  <c r="A31819" i="19"/>
  <c r="A31818" i="19"/>
  <c r="A31817" i="19"/>
  <c r="A31816" i="19"/>
  <c r="A31815" i="19"/>
  <c r="A31814" i="19"/>
  <c r="A31813" i="19"/>
  <c r="A31812" i="19"/>
  <c r="A31811" i="19"/>
  <c r="A31810" i="19"/>
  <c r="A31809" i="19"/>
  <c r="A31808" i="19"/>
  <c r="A31807" i="19"/>
  <c r="A31806" i="19"/>
  <c r="A31805" i="19"/>
  <c r="A31804" i="19"/>
  <c r="A31803" i="19"/>
  <c r="A31802" i="19"/>
  <c r="A31801" i="19"/>
  <c r="A31800" i="19"/>
  <c r="A31799" i="19"/>
  <c r="A31798" i="19"/>
  <c r="A31797" i="19"/>
  <c r="A31796" i="19"/>
  <c r="A31795" i="19"/>
  <c r="A31794" i="19"/>
  <c r="A31793" i="19"/>
  <c r="A31792" i="19"/>
  <c r="A31791" i="19"/>
  <c r="A31790" i="19"/>
  <c r="A31789" i="19"/>
  <c r="A31788" i="19"/>
  <c r="A31787" i="19"/>
  <c r="A31786" i="19"/>
  <c r="A31785" i="19"/>
  <c r="A31784" i="19"/>
  <c r="A31783" i="19"/>
  <c r="A31782" i="19"/>
  <c r="A31781" i="19"/>
  <c r="A31780" i="19"/>
  <c r="A31779" i="19"/>
  <c r="A31778" i="19"/>
  <c r="A31777" i="19"/>
  <c r="A31776" i="19"/>
  <c r="A31775" i="19"/>
  <c r="A31774" i="19"/>
  <c r="A31773" i="19"/>
  <c r="A31772" i="19"/>
  <c r="A31771" i="19"/>
  <c r="A31770" i="19"/>
  <c r="A31769" i="19"/>
  <c r="A31768" i="19"/>
  <c r="A31767" i="19"/>
  <c r="A31766" i="19"/>
  <c r="A31765" i="19"/>
  <c r="A31764" i="19"/>
  <c r="A31763" i="19"/>
  <c r="A31762" i="19"/>
  <c r="A31761" i="19"/>
  <c r="A31760" i="19"/>
  <c r="A31759" i="19"/>
  <c r="A31758" i="19"/>
  <c r="A31757" i="19"/>
  <c r="A31756" i="19"/>
  <c r="A31755" i="19"/>
  <c r="A31754" i="19"/>
  <c r="A31753" i="19"/>
  <c r="A31752" i="19"/>
  <c r="A31751" i="19"/>
  <c r="A31750" i="19"/>
  <c r="A31749" i="19"/>
  <c r="A31748" i="19"/>
  <c r="A31747" i="19"/>
  <c r="A31746" i="19"/>
  <c r="A31745" i="19"/>
  <c r="A31744" i="19"/>
  <c r="A31743" i="19"/>
  <c r="A31742" i="19"/>
  <c r="A31741" i="19"/>
  <c r="A31740" i="19"/>
  <c r="A31739" i="19"/>
  <c r="A31738" i="19"/>
  <c r="A31737" i="19"/>
  <c r="A31736" i="19"/>
  <c r="A31735" i="19"/>
  <c r="A31734" i="19"/>
  <c r="A31733" i="19"/>
  <c r="A31732" i="19"/>
  <c r="A31731" i="19"/>
  <c r="A31730" i="19"/>
  <c r="A31729" i="19"/>
  <c r="A31728" i="19"/>
  <c r="A31727" i="19"/>
  <c r="A31726" i="19"/>
  <c r="A31725" i="19"/>
  <c r="A31724" i="19"/>
  <c r="A31723" i="19"/>
  <c r="A31722" i="19"/>
  <c r="A31721" i="19"/>
  <c r="A31720" i="19"/>
  <c r="A31719" i="19"/>
  <c r="A31718" i="19"/>
  <c r="A31717" i="19"/>
  <c r="A31716" i="19"/>
  <c r="A31715" i="19"/>
  <c r="A31714" i="19"/>
  <c r="A31713" i="19"/>
  <c r="A31712" i="19"/>
  <c r="A31711" i="19"/>
  <c r="A31710" i="19"/>
  <c r="A31709" i="19"/>
  <c r="A31708" i="19"/>
  <c r="A31707" i="19"/>
  <c r="A31706" i="19"/>
  <c r="A31705" i="19"/>
  <c r="A31704" i="19"/>
  <c r="A31703" i="19"/>
  <c r="A31702" i="19"/>
  <c r="A31701" i="19"/>
  <c r="A31700" i="19"/>
  <c r="A31699" i="19"/>
  <c r="A31698" i="19"/>
  <c r="A31697" i="19"/>
  <c r="A31696" i="19"/>
  <c r="A31695" i="19"/>
  <c r="A31694" i="19"/>
  <c r="A31693" i="19"/>
  <c r="A31692" i="19"/>
  <c r="A31691" i="19"/>
  <c r="A31690" i="19"/>
  <c r="A31689" i="19"/>
  <c r="A31688" i="19"/>
  <c r="A31687" i="19"/>
  <c r="A31686" i="19"/>
  <c r="A31685" i="19"/>
  <c r="A31684" i="19"/>
  <c r="A31683" i="19"/>
  <c r="A31682" i="19"/>
  <c r="A31681" i="19"/>
  <c r="A31680" i="19"/>
  <c r="A31679" i="19"/>
  <c r="A31678" i="19"/>
  <c r="A31677" i="19"/>
  <c r="A31676" i="19"/>
  <c r="A31675" i="19"/>
  <c r="A31674" i="19"/>
  <c r="A31673" i="19"/>
  <c r="A31672" i="19"/>
  <c r="A31671" i="19"/>
  <c r="A31670" i="19"/>
  <c r="A31669" i="19"/>
  <c r="A31668" i="19"/>
  <c r="A31667" i="19"/>
  <c r="A31666" i="19"/>
  <c r="A31665" i="19"/>
  <c r="A31664" i="19"/>
  <c r="A31663" i="19"/>
  <c r="A31662" i="19"/>
  <c r="A31661" i="19"/>
  <c r="A31660" i="19"/>
  <c r="A31659" i="19"/>
  <c r="A31658" i="19"/>
  <c r="A31657" i="19"/>
  <c r="A31656" i="19"/>
  <c r="A31655" i="19"/>
  <c r="A31654" i="19"/>
  <c r="A31653" i="19"/>
  <c r="A31652" i="19"/>
  <c r="A31651" i="19"/>
  <c r="A31650" i="19"/>
  <c r="A31649" i="19"/>
  <c r="A31648" i="19"/>
  <c r="A31647" i="19"/>
  <c r="A31646" i="19"/>
  <c r="A31645" i="19"/>
  <c r="A31644" i="19"/>
  <c r="A31643" i="19"/>
  <c r="A31642" i="19"/>
  <c r="A31641" i="19"/>
  <c r="A31640" i="19"/>
  <c r="A31639" i="19"/>
  <c r="A31638" i="19"/>
  <c r="A31637" i="19"/>
  <c r="A31636" i="19"/>
  <c r="A31635" i="19"/>
  <c r="A31634" i="19"/>
  <c r="A31633" i="19"/>
  <c r="A31632" i="19"/>
  <c r="A31631" i="19"/>
  <c r="A31630" i="19"/>
  <c r="A31629" i="19"/>
  <c r="A31628" i="19"/>
  <c r="A31627" i="19"/>
  <c r="A31626" i="19"/>
  <c r="A31625" i="19"/>
  <c r="A31624" i="19"/>
  <c r="A31623" i="19"/>
  <c r="A31622" i="19"/>
  <c r="A31621" i="19"/>
  <c r="A31620" i="19"/>
  <c r="A31619" i="19"/>
  <c r="A31618" i="19"/>
  <c r="A31617" i="19"/>
  <c r="A31616" i="19"/>
  <c r="A31615" i="19"/>
  <c r="A31614" i="19"/>
  <c r="A31613" i="19"/>
  <c r="A31612" i="19"/>
  <c r="A31611" i="19"/>
  <c r="A31610" i="19"/>
  <c r="A31609" i="19"/>
  <c r="A31608" i="19"/>
  <c r="A31607" i="19"/>
  <c r="A31606" i="19"/>
  <c r="A31605" i="19"/>
  <c r="A31604" i="19"/>
  <c r="A31603" i="19"/>
  <c r="A31602" i="19"/>
  <c r="A31601" i="19"/>
  <c r="A31600" i="19"/>
  <c r="A31599" i="19"/>
  <c r="A31598" i="19"/>
  <c r="A31597" i="19"/>
  <c r="A31596" i="19"/>
  <c r="A31595" i="19"/>
  <c r="A31594" i="19"/>
  <c r="A31593" i="19"/>
  <c r="A31592" i="19"/>
  <c r="A31591" i="19"/>
  <c r="A31590" i="19"/>
  <c r="A31589" i="19"/>
  <c r="A31588" i="19"/>
  <c r="A31587" i="19"/>
  <c r="A31586" i="19"/>
  <c r="A31585" i="19"/>
  <c r="A31584" i="19"/>
  <c r="A31583" i="19"/>
  <c r="A31582" i="19"/>
  <c r="A31581" i="19"/>
  <c r="A31580" i="19"/>
  <c r="A31579" i="19"/>
  <c r="A31578" i="19"/>
  <c r="A31577" i="19"/>
  <c r="A31576" i="19"/>
  <c r="A31575" i="19"/>
  <c r="A31574" i="19"/>
  <c r="A31573" i="19"/>
  <c r="A31572" i="19"/>
  <c r="A31571" i="19"/>
  <c r="A31570" i="19"/>
  <c r="A31569" i="19"/>
  <c r="A31568" i="19"/>
  <c r="A31567" i="19"/>
  <c r="A31566" i="19"/>
  <c r="A31565" i="19"/>
  <c r="A31564" i="19"/>
  <c r="A31563" i="19"/>
  <c r="A31562" i="19"/>
  <c r="A31561" i="19"/>
  <c r="A31560" i="19"/>
  <c r="A31559" i="19"/>
  <c r="A31558" i="19"/>
  <c r="A31557" i="19"/>
  <c r="A31556" i="19"/>
  <c r="A31555" i="19"/>
  <c r="A31554" i="19"/>
  <c r="A31553" i="19"/>
  <c r="A31552" i="19"/>
  <c r="A31551" i="19"/>
  <c r="A31550" i="19"/>
  <c r="A31549" i="19"/>
  <c r="A31548" i="19"/>
  <c r="A31547" i="19"/>
  <c r="A31546" i="19"/>
  <c r="A31545" i="19"/>
  <c r="A31544" i="19"/>
  <c r="A31543" i="19"/>
  <c r="A31542" i="19"/>
  <c r="A31541" i="19"/>
  <c r="A31540" i="19"/>
  <c r="A31539" i="19"/>
  <c r="A31538" i="19"/>
  <c r="A31537" i="19"/>
  <c r="A31536" i="19"/>
  <c r="A31535" i="19"/>
  <c r="A31534" i="19"/>
  <c r="A31533" i="19"/>
  <c r="A31532" i="19"/>
  <c r="A31531" i="19"/>
  <c r="A31530" i="19"/>
  <c r="A31529" i="19"/>
  <c r="A31528" i="19"/>
  <c r="A31527" i="19"/>
  <c r="A31526" i="19"/>
  <c r="A31525" i="19"/>
  <c r="A31524" i="19"/>
  <c r="A31523" i="19"/>
  <c r="A31522" i="19"/>
  <c r="A31521" i="19"/>
  <c r="A31520" i="19"/>
  <c r="A31519" i="19"/>
  <c r="A31518" i="19"/>
  <c r="A31517" i="19"/>
  <c r="A31516" i="19"/>
  <c r="A31515" i="19"/>
  <c r="A31514" i="19"/>
  <c r="A31513" i="19"/>
  <c r="A31512" i="19"/>
  <c r="A31511" i="19"/>
  <c r="A31510" i="19"/>
  <c r="A31509" i="19"/>
  <c r="A31508" i="19"/>
  <c r="A31507" i="19"/>
  <c r="A31506" i="19"/>
  <c r="A31505" i="19"/>
  <c r="A31504" i="19"/>
  <c r="A31503" i="19"/>
  <c r="A31502" i="19"/>
  <c r="A31501" i="19"/>
  <c r="A31500" i="19"/>
  <c r="A31499" i="19"/>
  <c r="A31498" i="19"/>
  <c r="A31497" i="19"/>
  <c r="A31496" i="19"/>
  <c r="A31495" i="19"/>
  <c r="A31494" i="19"/>
  <c r="A31493" i="19"/>
  <c r="A31492" i="19"/>
  <c r="A31491" i="19"/>
  <c r="A31490" i="19"/>
  <c r="A31489" i="19"/>
  <c r="A31488" i="19"/>
  <c r="A31487" i="19"/>
  <c r="A31486" i="19"/>
  <c r="A31485" i="19"/>
  <c r="A31484" i="19"/>
  <c r="A31483" i="19"/>
  <c r="A31482" i="19"/>
  <c r="A31481" i="19"/>
  <c r="A31480" i="19"/>
  <c r="A31479" i="19"/>
  <c r="A31478" i="19"/>
  <c r="A31477" i="19"/>
  <c r="A31476" i="19"/>
  <c r="A31475" i="19"/>
  <c r="A31474" i="19"/>
  <c r="A31473" i="19"/>
  <c r="A31472" i="19"/>
  <c r="A31471" i="19"/>
  <c r="A31470" i="19"/>
  <c r="A31469" i="19"/>
  <c r="A31468" i="19"/>
  <c r="A31467" i="19"/>
  <c r="A31466" i="19"/>
  <c r="A31465" i="19"/>
  <c r="A31464" i="19"/>
  <c r="A31463" i="19"/>
  <c r="A31462" i="19"/>
  <c r="A31461" i="19"/>
  <c r="A31460" i="19"/>
  <c r="A31459" i="19"/>
  <c r="A31458" i="19"/>
  <c r="A31457" i="19"/>
  <c r="A31456" i="19"/>
  <c r="A31455" i="19"/>
  <c r="A31454" i="19"/>
  <c r="A31453" i="19"/>
  <c r="A31452" i="19"/>
  <c r="A31451" i="19"/>
  <c r="A31450" i="19"/>
  <c r="A31449" i="19"/>
  <c r="A31448" i="19"/>
  <c r="A31447" i="19"/>
  <c r="A31446" i="19"/>
  <c r="A31445" i="19"/>
  <c r="A31444" i="19"/>
  <c r="A31443" i="19"/>
  <c r="A31442" i="19"/>
  <c r="A31441" i="19"/>
  <c r="A31440" i="19"/>
  <c r="A31439" i="19"/>
  <c r="A31438" i="19"/>
  <c r="A31437" i="19"/>
  <c r="A31436" i="19"/>
  <c r="A31435" i="19"/>
  <c r="A31434" i="19"/>
  <c r="A31433" i="19"/>
  <c r="A31432" i="19"/>
  <c r="A31431" i="19"/>
  <c r="A31430" i="19"/>
  <c r="A31429" i="19"/>
  <c r="A31428" i="19"/>
  <c r="A31427" i="19"/>
  <c r="A31426" i="19"/>
  <c r="A31425" i="19"/>
  <c r="A31424" i="19"/>
  <c r="A31423" i="19"/>
  <c r="A31422" i="19"/>
  <c r="A31421" i="19"/>
  <c r="A31420" i="19"/>
  <c r="A31419" i="19"/>
  <c r="A31418" i="19"/>
  <c r="A31417" i="19"/>
  <c r="A31416" i="19"/>
  <c r="A31415" i="19"/>
  <c r="A31414" i="19"/>
  <c r="A31413" i="19"/>
  <c r="A31412" i="19"/>
  <c r="A31411" i="19"/>
  <c r="A31410" i="19"/>
  <c r="A31409" i="19"/>
  <c r="A31408" i="19"/>
  <c r="A31407" i="19"/>
  <c r="A31406" i="19"/>
  <c r="A31405" i="19"/>
  <c r="A31404" i="19"/>
  <c r="A31403" i="19"/>
  <c r="A31402" i="19"/>
  <c r="A31401" i="19"/>
  <c r="A31400" i="19"/>
  <c r="A31399" i="19"/>
  <c r="A31398" i="19"/>
  <c r="A31397" i="19"/>
  <c r="A31396" i="19"/>
  <c r="A31395" i="19"/>
  <c r="A31394" i="19"/>
  <c r="A31393" i="19"/>
  <c r="A31392" i="19"/>
  <c r="A31391" i="19"/>
  <c r="A31390" i="19"/>
  <c r="A31389" i="19"/>
  <c r="A31388" i="19"/>
  <c r="A31387" i="19"/>
  <c r="A31386" i="19"/>
  <c r="A31385" i="19"/>
  <c r="A31384" i="19"/>
  <c r="A31383" i="19"/>
  <c r="A31382" i="19"/>
  <c r="A31381" i="19"/>
  <c r="A31380" i="19"/>
  <c r="A31379" i="19"/>
  <c r="A31378" i="19"/>
  <c r="A31377" i="19"/>
  <c r="A31376" i="19"/>
  <c r="A31375" i="19"/>
  <c r="A31374" i="19"/>
  <c r="A31373" i="19"/>
  <c r="A31372" i="19"/>
  <c r="A31371" i="19"/>
  <c r="A31370" i="19"/>
  <c r="A31369" i="19"/>
  <c r="A31368" i="19"/>
  <c r="A31367" i="19"/>
  <c r="A31366" i="19"/>
  <c r="A31365" i="19"/>
  <c r="A31364" i="19"/>
  <c r="A31363" i="19"/>
  <c r="A31362" i="19"/>
  <c r="A31361" i="19"/>
  <c r="A31360" i="19"/>
  <c r="A31359" i="19"/>
  <c r="A31358" i="19"/>
  <c r="A31357" i="19"/>
  <c r="A31356" i="19"/>
  <c r="A31355" i="19"/>
  <c r="A31354" i="19"/>
  <c r="A31353" i="19"/>
  <c r="A31352" i="19"/>
  <c r="A31351" i="19"/>
  <c r="A31350" i="19"/>
  <c r="A31349" i="19"/>
  <c r="A31348" i="19"/>
  <c r="A31347" i="19"/>
  <c r="A31346" i="19"/>
  <c r="A31345" i="19"/>
  <c r="A31344" i="19"/>
  <c r="A31343" i="19"/>
  <c r="A31342" i="19"/>
  <c r="A31341" i="19"/>
  <c r="A31340" i="19"/>
  <c r="A31339" i="19"/>
  <c r="A31338" i="19"/>
  <c r="A31337" i="19"/>
  <c r="A31336" i="19"/>
  <c r="A31335" i="19"/>
  <c r="A31334" i="19"/>
  <c r="A31333" i="19"/>
  <c r="A31332" i="19"/>
  <c r="A31331" i="19"/>
  <c r="A31330" i="19"/>
  <c r="A31329" i="19"/>
  <c r="A31328" i="19"/>
  <c r="A31327" i="19"/>
  <c r="A31326" i="19"/>
  <c r="A31325" i="19"/>
  <c r="A31324" i="19"/>
  <c r="A31323" i="19"/>
  <c r="A31322" i="19"/>
  <c r="A31321" i="19"/>
  <c r="A31320" i="19"/>
  <c r="A31319" i="19"/>
  <c r="A31318" i="19"/>
  <c r="A31317" i="19"/>
  <c r="A31316" i="19"/>
  <c r="A31315" i="19"/>
  <c r="A31314" i="19"/>
  <c r="A31313" i="19"/>
  <c r="A31312" i="19"/>
  <c r="A31311" i="19"/>
  <c r="A31310" i="19"/>
  <c r="A31309" i="19"/>
  <c r="A31308" i="19"/>
  <c r="A31307" i="19"/>
  <c r="A31306" i="19"/>
  <c r="A31305" i="19"/>
  <c r="A31304" i="19"/>
  <c r="A31303" i="19"/>
  <c r="A31302" i="19"/>
  <c r="A31301" i="19"/>
  <c r="A31300" i="19"/>
  <c r="A31299" i="19"/>
  <c r="A31298" i="19"/>
  <c r="A31297" i="19"/>
  <c r="A31296" i="19"/>
  <c r="A31295" i="19"/>
  <c r="A31294" i="19"/>
  <c r="A31293" i="19"/>
  <c r="A31292" i="19"/>
  <c r="A31291" i="19"/>
  <c r="A31290" i="19"/>
  <c r="A31289" i="19"/>
  <c r="A31288" i="19"/>
  <c r="A31287" i="19"/>
  <c r="A31286" i="19"/>
  <c r="A31285" i="19"/>
  <c r="A31284" i="19"/>
  <c r="A31283" i="19"/>
  <c r="A31282" i="19"/>
  <c r="A31281" i="19"/>
  <c r="A31280" i="19"/>
  <c r="A31279" i="19"/>
  <c r="A31278" i="19"/>
  <c r="A31277" i="19"/>
  <c r="A31276" i="19"/>
  <c r="A31275" i="19"/>
  <c r="A31274" i="19"/>
  <c r="A31273" i="19"/>
  <c r="A31272" i="19"/>
  <c r="A31271" i="19"/>
  <c r="A31270" i="19"/>
  <c r="A31269" i="19"/>
  <c r="A31268" i="19"/>
  <c r="A31267" i="19"/>
  <c r="A31266" i="19"/>
  <c r="A31265" i="19"/>
  <c r="A31264" i="19"/>
  <c r="A31263" i="19"/>
  <c r="A31262" i="19"/>
  <c r="A31261" i="19"/>
  <c r="A31260" i="19"/>
  <c r="A31259" i="19"/>
  <c r="A31258" i="19"/>
  <c r="A31257" i="19"/>
  <c r="A31256" i="19"/>
  <c r="A31255" i="19"/>
  <c r="A31254" i="19"/>
  <c r="A31253" i="19"/>
  <c r="A31252" i="19"/>
  <c r="A31251" i="19"/>
  <c r="A31250" i="19"/>
  <c r="A31249" i="19"/>
  <c r="A31248" i="19"/>
  <c r="A31247" i="19"/>
  <c r="A31246" i="19"/>
  <c r="A31245" i="19"/>
  <c r="A31244" i="19"/>
  <c r="A31243" i="19"/>
  <c r="A31242" i="19"/>
  <c r="A31241" i="19"/>
  <c r="A31240" i="19"/>
  <c r="A31239" i="19"/>
  <c r="A31238" i="19"/>
  <c r="A31237" i="19"/>
  <c r="A31236" i="19"/>
  <c r="A31235" i="19"/>
  <c r="A31234" i="19"/>
  <c r="A31233" i="19"/>
  <c r="A31232" i="19"/>
  <c r="A31231" i="19"/>
  <c r="A31230" i="19"/>
  <c r="A31229" i="19"/>
  <c r="A31228" i="19"/>
  <c r="A31227" i="19"/>
  <c r="A31226" i="19"/>
  <c r="A31225" i="19"/>
  <c r="A31224" i="19"/>
  <c r="A31223" i="19"/>
  <c r="A31222" i="19"/>
  <c r="A31221" i="19"/>
  <c r="A31220" i="19"/>
  <c r="A31219" i="19"/>
  <c r="A31218" i="19"/>
  <c r="A31217" i="19"/>
  <c r="A31216" i="19"/>
  <c r="A31215" i="19"/>
  <c r="A31214" i="19"/>
  <c r="A31213" i="19"/>
  <c r="A31212" i="19"/>
  <c r="A31211" i="19"/>
  <c r="A31210" i="19"/>
  <c r="A31209" i="19"/>
  <c r="A31208" i="19"/>
  <c r="A31207" i="19"/>
  <c r="A31206" i="19"/>
  <c r="A31205" i="19"/>
  <c r="A31204" i="19"/>
  <c r="A31203" i="19"/>
  <c r="A31202" i="19"/>
  <c r="A31201" i="19"/>
  <c r="A31200" i="19"/>
  <c r="A31199" i="19"/>
  <c r="A31198" i="19"/>
  <c r="A31197" i="19"/>
  <c r="A31196" i="19"/>
  <c r="A31195" i="19"/>
  <c r="A31194" i="19"/>
  <c r="A31193" i="19"/>
  <c r="A31192" i="19"/>
  <c r="A31191" i="19"/>
  <c r="A31190" i="19"/>
  <c r="A31189" i="19"/>
  <c r="A31188" i="19"/>
  <c r="A31187" i="19"/>
  <c r="A31186" i="19"/>
  <c r="A31185" i="19"/>
  <c r="A31184" i="19"/>
  <c r="A31183" i="19"/>
  <c r="A31182" i="19"/>
  <c r="A31181" i="19"/>
  <c r="A31180" i="19"/>
  <c r="A31179" i="19"/>
  <c r="A31178" i="19"/>
  <c r="A31177" i="19"/>
  <c r="A31176" i="19"/>
  <c r="A31175" i="19"/>
  <c r="A31174" i="19"/>
  <c r="A31173" i="19"/>
  <c r="A31172" i="19"/>
  <c r="A31171" i="19"/>
  <c r="A31170" i="19"/>
  <c r="A31169" i="19"/>
  <c r="A31168" i="19"/>
  <c r="A31167" i="19"/>
  <c r="A31166" i="19"/>
  <c r="A31165" i="19"/>
  <c r="A31164" i="19"/>
  <c r="A31163" i="19"/>
  <c r="A31162" i="19"/>
  <c r="A31161" i="19"/>
  <c r="A31160" i="19"/>
  <c r="A31159" i="19"/>
  <c r="A31158" i="19"/>
  <c r="A31157" i="19"/>
  <c r="A31156" i="19"/>
  <c r="A31155" i="19"/>
  <c r="A31154" i="19"/>
  <c r="A31153" i="19"/>
  <c r="A31152" i="19"/>
  <c r="A31151" i="19"/>
  <c r="A31150" i="19"/>
  <c r="A31149" i="19"/>
  <c r="A31148" i="19"/>
  <c r="A31147" i="19"/>
  <c r="A31146" i="19"/>
  <c r="A31145" i="19"/>
  <c r="A31144" i="19"/>
  <c r="A31143" i="19"/>
  <c r="A31142" i="19"/>
  <c r="A31141" i="19"/>
  <c r="A31140" i="19"/>
  <c r="A31139" i="19"/>
  <c r="A31138" i="19"/>
  <c r="A31137" i="19"/>
  <c r="A31136" i="19"/>
  <c r="A31135" i="19"/>
  <c r="A31134" i="19"/>
  <c r="A31133" i="19"/>
  <c r="A31132" i="19"/>
  <c r="A31131" i="19"/>
  <c r="A31130" i="19"/>
  <c r="A31129" i="19"/>
  <c r="A31128" i="19"/>
  <c r="A31127" i="19"/>
  <c r="A31126" i="19"/>
  <c r="A31125" i="19"/>
  <c r="A31124" i="19"/>
  <c r="A31123" i="19"/>
  <c r="A31122" i="19"/>
  <c r="A31121" i="19"/>
  <c r="A31120" i="19"/>
  <c r="A31119" i="19"/>
  <c r="A31118" i="19"/>
  <c r="A31117" i="19"/>
  <c r="A31116" i="19"/>
  <c r="A31115" i="19"/>
  <c r="A31114" i="19"/>
  <c r="A31113" i="19"/>
  <c r="A31112" i="19"/>
  <c r="A31111" i="19"/>
  <c r="A31110" i="19"/>
  <c r="A31109" i="19"/>
  <c r="A31108" i="19"/>
  <c r="A31107" i="19"/>
  <c r="A31106" i="19"/>
  <c r="A31105" i="19"/>
  <c r="A31104" i="19"/>
  <c r="A31103" i="19"/>
  <c r="A31102" i="19"/>
  <c r="A31101" i="19"/>
  <c r="A31100" i="19"/>
  <c r="A31099" i="19"/>
  <c r="A31098" i="19"/>
  <c r="A31097" i="19"/>
  <c r="A31096" i="19"/>
  <c r="A31095" i="19"/>
  <c r="A31094" i="19"/>
  <c r="A31093" i="19"/>
  <c r="A31092" i="19"/>
  <c r="A31091" i="19"/>
  <c r="A31090" i="19"/>
  <c r="A31089" i="19"/>
  <c r="A31088" i="19"/>
  <c r="A31087" i="19"/>
  <c r="A31086" i="19"/>
  <c r="A31085" i="19"/>
  <c r="A31084" i="19"/>
  <c r="A31083" i="19"/>
  <c r="A31082" i="19"/>
  <c r="A31081" i="19"/>
  <c r="A31080" i="19"/>
  <c r="A31079" i="19"/>
  <c r="A31078" i="19"/>
  <c r="A31077" i="19"/>
  <c r="A31076" i="19"/>
  <c r="A31075" i="19"/>
  <c r="A31074" i="19"/>
  <c r="A31073" i="19"/>
  <c r="A31072" i="19"/>
  <c r="A31071" i="19"/>
  <c r="A31070" i="19"/>
  <c r="A31069" i="19"/>
  <c r="A31068" i="19"/>
  <c r="A31067" i="19"/>
  <c r="A31066" i="19"/>
  <c r="A31065" i="19"/>
  <c r="A31064" i="19"/>
  <c r="A31063" i="19"/>
  <c r="A31062" i="19"/>
  <c r="A31061" i="19"/>
  <c r="A31060" i="19"/>
  <c r="A31059" i="19"/>
  <c r="A31058" i="19"/>
  <c r="A31057" i="19"/>
  <c r="A31056" i="19"/>
  <c r="A31055" i="19"/>
  <c r="A31054" i="19"/>
  <c r="A31053" i="19"/>
  <c r="A31052" i="19"/>
  <c r="A31051" i="19"/>
  <c r="A31050" i="19"/>
  <c r="A31049" i="19"/>
  <c r="A31048" i="19"/>
  <c r="A31047" i="19"/>
  <c r="A31046" i="19"/>
  <c r="A31045" i="19"/>
  <c r="A31044" i="19"/>
  <c r="A31043" i="19"/>
  <c r="A31042" i="19"/>
  <c r="A31041" i="19"/>
  <c r="A31040" i="19"/>
  <c r="A31039" i="19"/>
  <c r="A31038" i="19"/>
  <c r="A31037" i="19"/>
  <c r="A31036" i="19"/>
  <c r="A31035" i="19"/>
  <c r="A31034" i="19"/>
  <c r="A31033" i="19"/>
  <c r="A31032" i="19"/>
  <c r="A31031" i="19"/>
  <c r="A31030" i="19"/>
  <c r="A31029" i="19"/>
  <c r="A31028" i="19"/>
  <c r="A31027" i="19"/>
  <c r="A31026" i="19"/>
  <c r="A31025" i="19"/>
  <c r="A31024" i="19"/>
  <c r="A31023" i="19"/>
  <c r="A31022" i="19"/>
  <c r="A31021" i="19"/>
  <c r="A31020" i="19"/>
  <c r="A31019" i="19"/>
  <c r="A31018" i="19"/>
  <c r="A31017" i="19"/>
  <c r="A31016" i="19"/>
  <c r="A31015" i="19"/>
  <c r="A31014" i="19"/>
  <c r="A31013" i="19"/>
  <c r="A31012" i="19"/>
  <c r="A31011" i="19"/>
  <c r="A31010" i="19"/>
  <c r="A31009" i="19"/>
  <c r="A31008" i="19"/>
  <c r="A31007" i="19"/>
  <c r="A31006" i="19"/>
  <c r="A31005" i="19"/>
  <c r="A31004" i="19"/>
  <c r="A31003" i="19"/>
  <c r="A31002" i="19"/>
  <c r="A31001" i="19"/>
  <c r="A31000" i="19"/>
  <c r="A30999" i="19"/>
  <c r="A30998" i="19"/>
  <c r="A30997" i="19"/>
  <c r="A30996" i="19"/>
  <c r="A30995" i="19"/>
  <c r="A30994" i="19"/>
  <c r="A30993" i="19"/>
  <c r="A30992" i="19"/>
  <c r="A30991" i="19"/>
  <c r="A30990" i="19"/>
  <c r="A30989" i="19"/>
  <c r="A30988" i="19"/>
  <c r="A30987" i="19"/>
  <c r="A30986" i="19"/>
  <c r="A30985" i="19"/>
  <c r="A30984" i="19"/>
  <c r="A30983" i="19"/>
  <c r="A30982" i="19"/>
  <c r="A30981" i="19"/>
  <c r="A30980" i="19"/>
  <c r="A30979" i="19"/>
  <c r="A30978" i="19"/>
  <c r="A30977" i="19"/>
  <c r="A30976" i="19"/>
  <c r="A30975" i="19"/>
  <c r="A30974" i="19"/>
  <c r="A30973" i="19"/>
  <c r="A30972" i="19"/>
  <c r="A30971" i="19"/>
  <c r="A30970" i="19"/>
  <c r="A30969" i="19"/>
  <c r="A30968" i="19"/>
  <c r="A30967" i="19"/>
  <c r="A30966" i="19"/>
  <c r="A30965" i="19"/>
  <c r="A30964" i="19"/>
  <c r="A30963" i="19"/>
  <c r="A30962" i="19"/>
  <c r="A30961" i="19"/>
  <c r="A30960" i="19"/>
  <c r="A30959" i="19"/>
  <c r="A30958" i="19"/>
  <c r="A30957" i="19"/>
  <c r="A30956" i="19"/>
  <c r="A30955" i="19"/>
  <c r="A30954" i="19"/>
  <c r="A30953" i="19"/>
  <c r="A30952" i="19"/>
  <c r="A30951" i="19"/>
  <c r="A30950" i="19"/>
  <c r="A30949" i="19"/>
  <c r="A30948" i="19"/>
  <c r="A30947" i="19"/>
  <c r="A30946" i="19"/>
  <c r="A30945" i="19"/>
  <c r="A30944" i="19"/>
  <c r="A30943" i="19"/>
  <c r="A30942" i="19"/>
  <c r="A30941" i="19"/>
  <c r="A30940" i="19"/>
  <c r="A30939" i="19"/>
  <c r="A30938" i="19"/>
  <c r="A30937" i="19"/>
  <c r="A30936" i="19"/>
  <c r="A30935" i="19"/>
  <c r="A30934" i="19"/>
  <c r="A30933" i="19"/>
  <c r="A30932" i="19"/>
  <c r="A30931" i="19"/>
  <c r="A30930" i="19"/>
  <c r="A30929" i="19"/>
  <c r="A30928" i="19"/>
  <c r="A30927" i="19"/>
  <c r="A30926" i="19"/>
  <c r="A30925" i="19"/>
  <c r="A30924" i="19"/>
  <c r="A30923" i="19"/>
  <c r="A30922" i="19"/>
  <c r="A30921" i="19"/>
  <c r="A30920" i="19"/>
  <c r="A30919" i="19"/>
  <c r="A30918" i="19"/>
  <c r="A30917" i="19"/>
  <c r="A30916" i="19"/>
  <c r="A30915" i="19"/>
  <c r="A30914" i="19"/>
  <c r="A30913" i="19"/>
  <c r="A30912" i="19"/>
  <c r="A30911" i="19"/>
  <c r="A30910" i="19"/>
  <c r="A30909" i="19"/>
  <c r="A30908" i="19"/>
  <c r="A30907" i="19"/>
  <c r="A30906" i="19"/>
  <c r="A30905" i="19"/>
  <c r="A30904" i="19"/>
  <c r="A30903" i="19"/>
  <c r="A30902" i="19"/>
  <c r="A30901" i="19"/>
  <c r="A30900" i="19"/>
  <c r="A30899" i="19"/>
  <c r="A30898" i="19"/>
  <c r="A30897" i="19"/>
  <c r="A30896" i="19"/>
  <c r="A30895" i="19"/>
  <c r="A30894" i="19"/>
  <c r="A30893" i="19"/>
  <c r="A30892" i="19"/>
  <c r="A30891" i="19"/>
  <c r="A30890" i="19"/>
  <c r="A30889" i="19"/>
  <c r="A30888" i="19"/>
  <c r="A30887" i="19"/>
  <c r="A30886" i="19"/>
  <c r="A30885" i="19"/>
  <c r="A30884" i="19"/>
  <c r="A30883" i="19"/>
  <c r="A30882" i="19"/>
  <c r="A30881" i="19"/>
  <c r="A30880" i="19"/>
  <c r="A30879" i="19"/>
  <c r="A30878" i="19"/>
  <c r="A30877" i="19"/>
  <c r="A30876" i="19"/>
  <c r="A30875" i="19"/>
  <c r="A30874" i="19"/>
  <c r="A30873" i="19"/>
  <c r="A30872" i="19"/>
  <c r="A30871" i="19"/>
  <c r="A30870" i="19"/>
  <c r="A30869" i="19"/>
  <c r="A30868" i="19"/>
  <c r="A30867" i="19"/>
  <c r="A30866" i="19"/>
  <c r="A30865" i="19"/>
  <c r="A30864" i="19"/>
  <c r="A30863" i="19"/>
  <c r="A30862" i="19"/>
  <c r="A30861" i="19"/>
  <c r="A30860" i="19"/>
  <c r="A30859" i="19"/>
  <c r="A30858" i="19"/>
  <c r="A30857" i="19"/>
  <c r="A30856" i="19"/>
  <c r="A30855" i="19"/>
  <c r="A30854" i="19"/>
  <c r="A30853" i="19"/>
  <c r="A30852" i="19"/>
  <c r="A30851" i="19"/>
  <c r="A30850" i="19"/>
  <c r="A30849" i="19"/>
  <c r="A30848" i="19"/>
  <c r="A30847" i="19"/>
  <c r="A30846" i="19"/>
  <c r="A30845" i="19"/>
  <c r="A30844" i="19"/>
  <c r="A30843" i="19"/>
  <c r="A30842" i="19"/>
  <c r="A30841" i="19"/>
  <c r="A30840" i="19"/>
  <c r="A30839" i="19"/>
  <c r="A30838" i="19"/>
  <c r="A30837" i="19"/>
  <c r="A30836" i="19"/>
  <c r="A30835" i="19"/>
  <c r="A30834" i="19"/>
  <c r="A30833" i="19"/>
  <c r="A30832" i="19"/>
  <c r="A30831" i="19"/>
  <c r="A30830" i="19"/>
  <c r="A30829" i="19"/>
  <c r="A30828" i="19"/>
  <c r="A30827" i="19"/>
  <c r="A30826" i="19"/>
  <c r="A30825" i="19"/>
  <c r="A30824" i="19"/>
  <c r="A30823" i="19"/>
  <c r="A30822" i="19"/>
  <c r="A30821" i="19"/>
  <c r="A30820" i="19"/>
  <c r="A30819" i="19"/>
  <c r="A30818" i="19"/>
  <c r="A30817" i="19"/>
  <c r="A30816" i="19"/>
  <c r="A30815" i="19"/>
  <c r="A30814" i="19"/>
  <c r="A30813" i="19"/>
  <c r="A30812" i="19"/>
  <c r="A30811" i="19"/>
  <c r="A30810" i="19"/>
  <c r="A30809" i="19"/>
  <c r="A30808" i="19"/>
  <c r="A30807" i="19"/>
  <c r="A30806" i="19"/>
  <c r="A30805" i="19"/>
  <c r="A30804" i="19"/>
  <c r="A30803" i="19"/>
  <c r="A30802" i="19"/>
  <c r="A30801" i="19"/>
  <c r="A30800" i="19"/>
  <c r="A30799" i="19"/>
  <c r="A30798" i="19"/>
  <c r="A30797" i="19"/>
  <c r="A30796" i="19"/>
  <c r="A30795" i="19"/>
  <c r="A30794" i="19"/>
  <c r="A30793" i="19"/>
  <c r="A30792" i="19"/>
  <c r="A30791" i="19"/>
  <c r="A30790" i="19"/>
  <c r="A30789" i="19"/>
  <c r="A30788" i="19"/>
  <c r="A30787" i="19"/>
  <c r="A30786" i="19"/>
  <c r="A30785" i="19"/>
  <c r="A30784" i="19"/>
  <c r="A30783" i="19"/>
  <c r="A30782" i="19"/>
  <c r="A30781" i="19"/>
  <c r="A30780" i="19"/>
  <c r="A30779" i="19"/>
  <c r="A30778" i="19"/>
  <c r="A30777" i="19"/>
  <c r="A30776" i="19"/>
  <c r="A30775" i="19"/>
  <c r="A30774" i="19"/>
  <c r="A30773" i="19"/>
  <c r="A30772" i="19"/>
  <c r="A30771" i="19"/>
  <c r="A30770" i="19"/>
  <c r="A30769" i="19"/>
  <c r="A30768" i="19"/>
  <c r="A30767" i="19"/>
  <c r="A30766" i="19"/>
  <c r="A30765" i="19"/>
  <c r="A30764" i="19"/>
  <c r="A30763" i="19"/>
  <c r="A30762" i="19"/>
  <c r="A30761" i="19"/>
  <c r="A30760" i="19"/>
  <c r="A30759" i="19"/>
  <c r="A30758" i="19"/>
  <c r="A30757" i="19"/>
  <c r="A30756" i="19"/>
  <c r="A30755" i="19"/>
  <c r="A30754" i="19"/>
  <c r="A30753" i="19"/>
  <c r="A30752" i="19"/>
  <c r="A30751" i="19"/>
  <c r="A30750" i="19"/>
  <c r="A30749" i="19"/>
  <c r="A30748" i="19"/>
  <c r="A30747" i="19"/>
  <c r="A30746" i="19"/>
  <c r="A30745" i="19"/>
  <c r="A30744" i="19"/>
  <c r="A30743" i="19"/>
  <c r="A30742" i="19"/>
  <c r="A30741" i="19"/>
  <c r="A30740" i="19"/>
  <c r="A30739" i="19"/>
  <c r="A30738" i="19"/>
  <c r="A30737" i="19"/>
  <c r="A30736" i="19"/>
  <c r="A30735" i="19"/>
  <c r="A30734" i="19"/>
  <c r="A30733" i="19"/>
  <c r="A30732" i="19"/>
  <c r="A30731" i="19"/>
  <c r="A30730" i="19"/>
  <c r="A30729" i="19"/>
  <c r="A30728" i="19"/>
  <c r="A30727" i="19"/>
  <c r="A30726" i="19"/>
  <c r="A30725" i="19"/>
  <c r="A30724" i="19"/>
  <c r="A30723" i="19"/>
  <c r="A30722" i="19"/>
  <c r="A30721" i="19"/>
  <c r="A30720" i="19"/>
  <c r="A30719" i="19"/>
  <c r="A30718" i="19"/>
  <c r="A30717" i="19"/>
  <c r="A30716" i="19"/>
  <c r="A30715" i="19"/>
  <c r="A30714" i="19"/>
  <c r="A30713" i="19"/>
  <c r="A30712" i="19"/>
  <c r="A30711" i="19"/>
  <c r="A30710" i="19"/>
  <c r="A30709" i="19"/>
  <c r="A30708" i="19"/>
  <c r="A30707" i="19"/>
  <c r="A30706" i="19"/>
  <c r="A30705" i="19"/>
  <c r="A30704" i="19"/>
  <c r="A30703" i="19"/>
  <c r="A30702" i="19"/>
  <c r="A30701" i="19"/>
  <c r="A30700" i="19"/>
  <c r="A30699" i="19"/>
  <c r="A30698" i="19"/>
  <c r="A30697" i="19"/>
  <c r="A30696" i="19"/>
  <c r="A30695" i="19"/>
  <c r="A30694" i="19"/>
  <c r="A30693" i="19"/>
  <c r="A30692" i="19"/>
  <c r="A30691" i="19"/>
  <c r="A30690" i="19"/>
  <c r="A30689" i="19"/>
  <c r="A30688" i="19"/>
  <c r="A30687" i="19"/>
  <c r="A30686" i="19"/>
  <c r="A30685" i="19"/>
  <c r="A30684" i="19"/>
  <c r="A30683" i="19"/>
  <c r="A30682" i="19"/>
  <c r="A30681" i="19"/>
  <c r="A30680" i="19"/>
  <c r="A30679" i="19"/>
  <c r="A30678" i="19"/>
  <c r="A30677" i="19"/>
  <c r="A30676" i="19"/>
  <c r="A30675" i="19"/>
  <c r="A30674" i="19"/>
  <c r="A30673" i="19"/>
  <c r="A30672" i="19"/>
  <c r="A30671" i="19"/>
  <c r="A30670" i="19"/>
  <c r="A30669" i="19"/>
  <c r="A30668" i="19"/>
  <c r="A30667" i="19"/>
  <c r="A30666" i="19"/>
  <c r="A30665" i="19"/>
  <c r="A30664" i="19"/>
  <c r="A30663" i="19"/>
  <c r="A30662" i="19"/>
  <c r="A30661" i="19"/>
  <c r="A30660" i="19"/>
  <c r="A30659" i="19"/>
  <c r="A30658" i="19"/>
  <c r="A30657" i="19"/>
  <c r="A30656" i="19"/>
  <c r="A30655" i="19"/>
  <c r="A30654" i="19"/>
  <c r="A30653" i="19"/>
  <c r="A30652" i="19"/>
  <c r="A30651" i="19"/>
  <c r="A30650" i="19"/>
  <c r="A30649" i="19"/>
  <c r="A30648" i="19"/>
  <c r="A30647" i="19"/>
  <c r="A30646" i="19"/>
  <c r="A30645" i="19"/>
  <c r="A30644" i="19"/>
  <c r="A30643" i="19"/>
  <c r="A30642" i="19"/>
  <c r="A30641" i="19"/>
  <c r="A30640" i="19"/>
  <c r="A30639" i="19"/>
  <c r="A30638" i="19"/>
  <c r="A30637" i="19"/>
  <c r="A30636" i="19"/>
  <c r="A30635" i="19"/>
  <c r="A30634" i="19"/>
  <c r="A30633" i="19"/>
  <c r="A30632" i="19"/>
  <c r="A30631" i="19"/>
  <c r="A30630" i="19"/>
  <c r="A30629" i="19"/>
  <c r="A30628" i="19"/>
  <c r="A30627" i="19"/>
  <c r="A30626" i="19"/>
  <c r="A30625" i="19"/>
  <c r="A30624" i="19"/>
  <c r="A30623" i="19"/>
  <c r="A30622" i="19"/>
  <c r="A30621" i="19"/>
  <c r="A30620" i="19"/>
  <c r="A30619" i="19"/>
  <c r="A30618" i="19"/>
  <c r="A30617" i="19"/>
  <c r="A30616" i="19"/>
  <c r="A30615" i="19"/>
  <c r="A30614" i="19"/>
  <c r="A30613" i="19"/>
  <c r="A30612" i="19"/>
  <c r="A30611" i="19"/>
  <c r="A30610" i="19"/>
  <c r="A30609" i="19"/>
  <c r="A30608" i="19"/>
  <c r="A30607" i="19"/>
  <c r="A30606" i="19"/>
  <c r="A30605" i="19"/>
  <c r="A30604" i="19"/>
  <c r="A30603" i="19"/>
  <c r="A30602" i="19"/>
  <c r="A30601" i="19"/>
  <c r="A30600" i="19"/>
  <c r="A30599" i="19"/>
  <c r="A30598" i="19"/>
  <c r="A30597" i="19"/>
  <c r="A30596" i="19"/>
  <c r="A30595" i="19"/>
  <c r="A30594" i="19"/>
  <c r="A30593" i="19"/>
  <c r="A30592" i="19"/>
  <c r="A30591" i="19"/>
  <c r="A30590" i="19"/>
  <c r="A30589" i="19"/>
  <c r="A30588" i="19"/>
  <c r="A30587" i="19"/>
  <c r="A30586" i="19"/>
  <c r="A30585" i="19"/>
  <c r="A30584" i="19"/>
  <c r="A30583" i="19"/>
  <c r="A30582" i="19"/>
  <c r="A30581" i="19"/>
  <c r="A30580" i="19"/>
  <c r="A30579" i="19"/>
  <c r="A30578" i="19"/>
  <c r="A30577" i="19"/>
  <c r="A30576" i="19"/>
  <c r="A30575" i="19"/>
  <c r="A30574" i="19"/>
  <c r="A30573" i="19"/>
  <c r="A30572" i="19"/>
  <c r="A30571" i="19"/>
  <c r="A30570" i="19"/>
  <c r="A30569" i="19"/>
  <c r="A30568" i="19"/>
  <c r="A30567" i="19"/>
  <c r="A30566" i="19"/>
  <c r="A30565" i="19"/>
  <c r="A30564" i="19"/>
  <c r="A30563" i="19"/>
  <c r="A30562" i="19"/>
  <c r="A30561" i="19"/>
  <c r="A30560" i="19"/>
  <c r="A30559" i="19"/>
  <c r="A30558" i="19"/>
  <c r="A30557" i="19"/>
  <c r="A30556" i="19"/>
  <c r="A30555" i="19"/>
  <c r="A30554" i="19"/>
  <c r="A30553" i="19"/>
  <c r="A30552" i="19"/>
  <c r="A30551" i="19"/>
  <c r="A30550" i="19"/>
  <c r="A30549" i="19"/>
  <c r="A30548" i="19"/>
  <c r="A30547" i="19"/>
  <c r="A30546" i="19"/>
  <c r="A30545" i="19"/>
  <c r="A30544" i="19"/>
  <c r="A30543" i="19"/>
  <c r="A30542" i="19"/>
  <c r="A30541" i="19"/>
  <c r="A30540" i="19"/>
  <c r="A30539" i="19"/>
  <c r="A30538" i="19"/>
  <c r="A30537" i="19"/>
  <c r="A30536" i="19"/>
  <c r="A30535" i="19"/>
  <c r="A30534" i="19"/>
  <c r="A30533" i="19"/>
  <c r="A30532" i="19"/>
  <c r="A30531" i="19"/>
  <c r="A30530" i="19"/>
  <c r="A30529" i="19"/>
  <c r="A30528" i="19"/>
  <c r="A30527" i="19"/>
  <c r="A30526" i="19"/>
  <c r="A30525" i="19"/>
  <c r="A30524" i="19"/>
  <c r="A30523" i="19"/>
  <c r="A30522" i="19"/>
  <c r="A30521" i="19"/>
  <c r="A30520" i="19"/>
  <c r="A30519" i="19"/>
  <c r="A30518" i="19"/>
  <c r="A30517" i="19"/>
  <c r="A30516" i="19"/>
  <c r="A30515" i="19"/>
  <c r="A30514" i="19"/>
  <c r="A30513" i="19"/>
  <c r="A30512" i="19"/>
  <c r="A30511" i="19"/>
  <c r="A30510" i="19"/>
  <c r="A30509" i="19"/>
  <c r="A30508" i="19"/>
  <c r="A30507" i="19"/>
  <c r="A30506" i="19"/>
  <c r="A30505" i="19"/>
  <c r="A30504" i="19"/>
  <c r="A30503" i="19"/>
  <c r="A30502" i="19"/>
  <c r="A30501" i="19"/>
  <c r="A30500" i="19"/>
  <c r="A30499" i="19"/>
  <c r="A30498" i="19"/>
  <c r="A30497" i="19"/>
  <c r="A30496" i="19"/>
  <c r="A30495" i="19"/>
  <c r="A30494" i="19"/>
  <c r="A30493" i="19"/>
  <c r="A30492" i="19"/>
  <c r="A30491" i="19"/>
  <c r="A30490" i="19"/>
  <c r="A30489" i="19"/>
  <c r="A30488" i="19"/>
  <c r="A30487" i="19"/>
  <c r="A30486" i="19"/>
  <c r="A30485" i="19"/>
  <c r="A30484" i="19"/>
  <c r="A30483" i="19"/>
  <c r="A30482" i="19"/>
  <c r="A30481" i="19"/>
  <c r="A30480" i="19"/>
  <c r="A30479" i="19"/>
  <c r="A30478" i="19"/>
  <c r="A30477" i="19"/>
  <c r="A30476" i="19"/>
  <c r="A30475" i="19"/>
  <c r="A30474" i="19"/>
  <c r="A30473" i="19"/>
  <c r="A30472" i="19"/>
  <c r="A30471" i="19"/>
  <c r="A30470" i="19"/>
  <c r="A30469" i="19"/>
  <c r="A30468" i="19"/>
  <c r="A30467" i="19"/>
  <c r="A30466" i="19"/>
  <c r="A30465" i="19"/>
  <c r="A30464" i="19"/>
  <c r="A30463" i="19"/>
  <c r="A30462" i="19"/>
  <c r="A30461" i="19"/>
  <c r="A30460" i="19"/>
  <c r="A30459" i="19"/>
  <c r="A30458" i="19"/>
  <c r="A30457" i="19"/>
  <c r="A30456" i="19"/>
  <c r="A30455" i="19"/>
  <c r="A30454" i="19"/>
  <c r="A30453" i="19"/>
  <c r="A30452" i="19"/>
  <c r="A30451" i="19"/>
  <c r="A30450" i="19"/>
  <c r="A30449" i="19"/>
  <c r="A30448" i="19"/>
  <c r="A30447" i="19"/>
  <c r="A30446" i="19"/>
  <c r="A30445" i="19"/>
  <c r="A30444" i="19"/>
  <c r="A30443" i="19"/>
  <c r="A30442" i="19"/>
  <c r="A30441" i="19"/>
  <c r="A30440" i="19"/>
  <c r="A30439" i="19"/>
  <c r="A30438" i="19"/>
  <c r="A30437" i="19"/>
  <c r="A30436" i="19"/>
  <c r="A30435" i="19"/>
  <c r="A30434" i="19"/>
  <c r="A30433" i="19"/>
  <c r="A30432" i="19"/>
  <c r="A30431" i="19"/>
  <c r="A30430" i="19"/>
  <c r="A30429" i="19"/>
  <c r="A30428" i="19"/>
  <c r="A30427" i="19"/>
  <c r="A30426" i="19"/>
  <c r="A30425" i="19"/>
  <c r="A30424" i="19"/>
  <c r="A30423" i="19"/>
  <c r="A30422" i="19"/>
  <c r="A30421" i="19"/>
  <c r="A30420" i="19"/>
  <c r="A30419" i="19"/>
  <c r="A30418" i="19"/>
  <c r="A30417" i="19"/>
  <c r="A30416" i="19"/>
  <c r="A30415" i="19"/>
  <c r="A30414" i="19"/>
  <c r="A30413" i="19"/>
  <c r="A30412" i="19"/>
  <c r="A30411" i="19"/>
  <c r="A30410" i="19"/>
  <c r="A30409" i="19"/>
  <c r="A30408" i="19"/>
  <c r="A30407" i="19"/>
  <c r="A30406" i="19"/>
  <c r="A30405" i="19"/>
  <c r="A30404" i="19"/>
  <c r="A30403" i="19"/>
  <c r="A30402" i="19"/>
  <c r="A30401" i="19"/>
  <c r="A30400" i="19"/>
  <c r="A30399" i="19"/>
  <c r="A30398" i="19"/>
  <c r="A30397" i="19"/>
  <c r="A30396" i="19"/>
  <c r="A30395" i="19"/>
  <c r="A30394" i="19"/>
  <c r="A30393" i="19"/>
  <c r="A30392" i="19"/>
  <c r="A30391" i="19"/>
  <c r="A30390" i="19"/>
  <c r="A30389" i="19"/>
  <c r="A30388" i="19"/>
  <c r="A30387" i="19"/>
  <c r="A30386" i="19"/>
  <c r="A30385" i="19"/>
  <c r="A30384" i="19"/>
  <c r="A30383" i="19"/>
  <c r="A30382" i="19"/>
  <c r="A30381" i="19"/>
  <c r="A30380" i="19"/>
  <c r="A30379" i="19"/>
  <c r="A30378" i="19"/>
  <c r="A30377" i="19"/>
  <c r="A30376" i="19"/>
  <c r="A30375" i="19"/>
  <c r="A30374" i="19"/>
  <c r="A30373" i="19"/>
  <c r="A30372" i="19"/>
  <c r="A30371" i="19"/>
  <c r="A30370" i="19"/>
  <c r="A30369" i="19"/>
  <c r="A30368" i="19"/>
  <c r="A30367" i="19"/>
  <c r="A30366" i="19"/>
  <c r="A30365" i="19"/>
  <c r="A30364" i="19"/>
  <c r="A30363" i="19"/>
  <c r="A30362" i="19"/>
  <c r="A30361" i="19"/>
  <c r="A30360" i="19"/>
  <c r="A30359" i="19"/>
  <c r="A30358" i="19"/>
  <c r="A30357" i="19"/>
  <c r="A30356" i="19"/>
  <c r="A30355" i="19"/>
  <c r="A30354" i="19"/>
  <c r="A30353" i="19"/>
  <c r="A30352" i="19"/>
  <c r="A30351" i="19"/>
  <c r="A30350" i="19"/>
  <c r="A30349" i="19"/>
  <c r="A30348" i="19"/>
  <c r="A30347" i="19"/>
  <c r="A30346" i="19"/>
  <c r="A30345" i="19"/>
  <c r="A30344" i="19"/>
  <c r="A30343" i="19"/>
  <c r="A30342" i="19"/>
  <c r="A30341" i="19"/>
  <c r="A30340" i="19"/>
  <c r="A30339" i="19"/>
  <c r="A30338" i="19"/>
  <c r="A30337" i="19"/>
  <c r="A30336" i="19"/>
  <c r="A30335" i="19"/>
  <c r="A30334" i="19"/>
  <c r="A30333" i="19"/>
  <c r="A30332" i="19"/>
  <c r="A30331" i="19"/>
  <c r="A30330" i="19"/>
  <c r="A30329" i="19"/>
  <c r="A30328" i="19"/>
  <c r="A30327" i="19"/>
  <c r="A30326" i="19"/>
  <c r="A30325" i="19"/>
  <c r="A30324" i="19"/>
  <c r="A30323" i="19"/>
  <c r="A30322" i="19"/>
  <c r="A30321" i="19"/>
  <c r="A30320" i="19"/>
  <c r="A30319" i="19"/>
  <c r="A30318" i="19"/>
  <c r="A30317" i="19"/>
  <c r="A30316" i="19"/>
  <c r="A30315" i="19"/>
  <c r="A30314" i="19"/>
  <c r="A30313" i="19"/>
  <c r="A30312" i="19"/>
  <c r="A30311" i="19"/>
  <c r="A30310" i="19"/>
  <c r="A30309" i="19"/>
  <c r="A30308" i="19"/>
  <c r="A30307" i="19"/>
  <c r="A30306" i="19"/>
  <c r="A30305" i="19"/>
  <c r="A30304" i="19"/>
  <c r="A30303" i="19"/>
  <c r="A30302" i="19"/>
  <c r="A30301" i="19"/>
  <c r="A30300" i="19"/>
  <c r="A30299" i="19"/>
  <c r="A30298" i="19"/>
  <c r="A30297" i="19"/>
  <c r="A30296" i="19"/>
  <c r="A30295" i="19"/>
  <c r="A30294" i="19"/>
  <c r="A30293" i="19"/>
  <c r="A30292" i="19"/>
  <c r="A30291" i="19"/>
  <c r="A30290" i="19"/>
  <c r="A30289" i="19"/>
  <c r="A30288" i="19"/>
  <c r="A30287" i="19"/>
  <c r="A30286" i="19"/>
  <c r="A30285" i="19"/>
  <c r="A30284" i="19"/>
  <c r="A30283" i="19"/>
  <c r="A30282" i="19"/>
  <c r="A30281" i="19"/>
  <c r="A30280" i="19"/>
  <c r="A30279" i="19"/>
  <c r="A30278" i="19"/>
  <c r="A30277" i="19"/>
  <c r="A30276" i="19"/>
  <c r="A30275" i="19"/>
  <c r="A30274" i="19"/>
  <c r="A30273" i="19"/>
  <c r="A30272" i="19"/>
  <c r="A30271" i="19"/>
  <c r="A30270" i="19"/>
  <c r="A30269" i="19"/>
  <c r="A30268" i="19"/>
  <c r="A30267" i="19"/>
  <c r="A30266" i="19"/>
  <c r="A30265" i="19"/>
  <c r="A30264" i="19"/>
  <c r="A30263" i="19"/>
  <c r="A30262" i="19"/>
  <c r="A30261" i="19"/>
  <c r="A30260" i="19"/>
  <c r="A30259" i="19"/>
  <c r="A30258" i="19"/>
  <c r="A30257" i="19"/>
  <c r="A30256" i="19"/>
  <c r="A30255" i="19"/>
  <c r="A30254" i="19"/>
  <c r="A30253" i="19"/>
  <c r="A30252" i="19"/>
  <c r="A30251" i="19"/>
  <c r="A30250" i="19"/>
  <c r="A30249" i="19"/>
  <c r="A30248" i="19"/>
  <c r="A30247" i="19"/>
  <c r="A30246" i="19"/>
  <c r="A30245" i="19"/>
  <c r="A30244" i="19"/>
  <c r="A30243" i="19"/>
  <c r="A30242" i="19"/>
  <c r="A30241" i="19"/>
  <c r="A30240" i="19"/>
  <c r="A30239" i="19"/>
  <c r="A30238" i="19"/>
  <c r="A30237" i="19"/>
  <c r="A30236" i="19"/>
  <c r="A30235" i="19"/>
  <c r="A30234" i="19"/>
  <c r="A30233" i="19"/>
  <c r="A30232" i="19"/>
  <c r="A30231" i="19"/>
  <c r="A30230" i="19"/>
  <c r="A30229" i="19"/>
  <c r="A30228" i="19"/>
  <c r="A30227" i="19"/>
  <c r="A30226" i="19"/>
  <c r="A30225" i="19"/>
  <c r="A30224" i="19"/>
  <c r="A30223" i="19"/>
  <c r="A30222" i="19"/>
  <c r="A30221" i="19"/>
  <c r="A30220" i="19"/>
  <c r="A30219" i="19"/>
  <c r="A30218" i="19"/>
  <c r="A30217" i="19"/>
  <c r="A30216" i="19"/>
  <c r="A30215" i="19"/>
  <c r="A30214" i="19"/>
  <c r="A30213" i="19"/>
  <c r="A30212" i="19"/>
  <c r="A30211" i="19"/>
  <c r="A30210" i="19"/>
  <c r="A30209" i="19"/>
  <c r="A30208" i="19"/>
  <c r="A30207" i="19"/>
  <c r="A30206" i="19"/>
  <c r="A30205" i="19"/>
  <c r="A30204" i="19"/>
  <c r="A30203" i="19"/>
  <c r="A30202" i="19"/>
  <c r="A30201" i="19"/>
  <c r="A30200" i="19"/>
  <c r="A30199" i="19"/>
  <c r="A30198" i="19"/>
  <c r="A30197" i="19"/>
  <c r="A30196" i="19"/>
  <c r="A30195" i="19"/>
  <c r="A30194" i="19"/>
  <c r="A30193" i="19"/>
  <c r="A30192" i="19"/>
  <c r="A30191" i="19"/>
  <c r="A30190" i="19"/>
  <c r="A30189" i="19"/>
  <c r="A30188" i="19"/>
  <c r="A30187" i="19"/>
  <c r="A30186" i="19"/>
  <c r="A30185" i="19"/>
  <c r="A30184" i="19"/>
  <c r="A30183" i="19"/>
  <c r="A30182" i="19"/>
  <c r="A30181" i="19"/>
  <c r="A30180" i="19"/>
  <c r="A30179" i="19"/>
  <c r="A30178" i="19"/>
  <c r="A30177" i="19"/>
  <c r="A30176" i="19"/>
  <c r="A30175" i="19"/>
  <c r="A30174" i="19"/>
  <c r="A30173" i="19"/>
  <c r="A30172" i="19"/>
  <c r="A30171" i="19"/>
  <c r="A30170" i="19"/>
  <c r="A30169" i="19"/>
  <c r="A30168" i="19"/>
  <c r="A30167" i="19"/>
  <c r="A30166" i="19"/>
  <c r="A30165" i="19"/>
  <c r="A30164" i="19"/>
  <c r="A30163" i="19"/>
  <c r="A30162" i="19"/>
  <c r="A30161" i="19"/>
  <c r="A30160" i="19"/>
  <c r="A30159" i="19"/>
  <c r="A30158" i="19"/>
  <c r="A30157" i="19"/>
  <c r="A30156" i="19"/>
  <c r="A30155" i="19"/>
  <c r="A30154" i="19"/>
  <c r="A30153" i="19"/>
  <c r="A30152" i="19"/>
  <c r="A30151" i="19"/>
  <c r="A30150" i="19"/>
  <c r="A30149" i="19"/>
  <c r="A30148" i="19"/>
  <c r="A30147" i="19"/>
  <c r="A30146" i="19"/>
  <c r="A30145" i="19"/>
  <c r="A30144" i="19"/>
  <c r="A30143" i="19"/>
  <c r="A30142" i="19"/>
  <c r="A30141" i="19"/>
  <c r="A30140" i="19"/>
  <c r="A30139" i="19"/>
  <c r="A30138" i="19"/>
  <c r="A30137" i="19"/>
  <c r="A30136" i="19"/>
  <c r="A30135" i="19"/>
  <c r="A30134" i="19"/>
  <c r="A30133" i="19"/>
  <c r="A30132" i="19"/>
  <c r="A30131" i="19"/>
  <c r="A30130" i="19"/>
  <c r="A30129" i="19"/>
  <c r="A30128" i="19"/>
  <c r="A30127" i="19"/>
  <c r="A30126" i="19"/>
  <c r="A30125" i="19"/>
  <c r="A30124" i="19"/>
  <c r="A30123" i="19"/>
  <c r="A30122" i="19"/>
  <c r="A30121" i="19"/>
  <c r="A30120" i="19"/>
  <c r="A30119" i="19"/>
  <c r="A30118" i="19"/>
  <c r="A30117" i="19"/>
  <c r="A30116" i="19"/>
  <c r="A30115" i="19"/>
  <c r="A30114" i="19"/>
  <c r="A30113" i="19"/>
  <c r="A30112" i="19"/>
  <c r="A30111" i="19"/>
  <c r="A30110" i="19"/>
  <c r="A30109" i="19"/>
  <c r="A30108" i="19"/>
  <c r="A30107" i="19"/>
  <c r="A30106" i="19"/>
  <c r="A30105" i="19"/>
  <c r="A30104" i="19"/>
  <c r="A30103" i="19"/>
  <c r="A30102" i="19"/>
  <c r="A30101" i="19"/>
  <c r="A30100" i="19"/>
  <c r="A30099" i="19"/>
  <c r="A30098" i="19"/>
  <c r="A30097" i="19"/>
  <c r="A30096" i="19"/>
  <c r="A30095" i="19"/>
  <c r="A30094" i="19"/>
  <c r="A30093" i="19"/>
  <c r="A30092" i="19"/>
  <c r="A30091" i="19"/>
  <c r="A30090" i="19"/>
  <c r="A30089" i="19"/>
  <c r="A30088" i="19"/>
  <c r="A30087" i="19"/>
  <c r="A30086" i="19"/>
  <c r="A30085" i="19"/>
  <c r="A30084" i="19"/>
  <c r="A30083" i="19"/>
  <c r="A30082" i="19"/>
  <c r="A30081" i="19"/>
  <c r="A30080" i="19"/>
  <c r="A30079" i="19"/>
  <c r="A30078" i="19"/>
  <c r="A30077" i="19"/>
  <c r="A30076" i="19"/>
  <c r="A30075" i="19"/>
  <c r="A30074" i="19"/>
  <c r="A30073" i="19"/>
  <c r="A30072" i="19"/>
  <c r="A30071" i="19"/>
  <c r="A30070" i="19"/>
  <c r="A30069" i="19"/>
  <c r="A30068" i="19"/>
  <c r="A30067" i="19"/>
  <c r="A30066" i="19"/>
  <c r="A30065" i="19"/>
  <c r="A30064" i="19"/>
  <c r="A30063" i="19"/>
  <c r="A30062" i="19"/>
  <c r="A30061" i="19"/>
  <c r="A30060" i="19"/>
  <c r="A30059" i="19"/>
  <c r="A30058" i="19"/>
  <c r="A30057" i="19"/>
  <c r="A30056" i="19"/>
  <c r="A30055" i="19"/>
  <c r="A30054" i="19"/>
  <c r="A30053" i="19"/>
  <c r="A30052" i="19"/>
  <c r="A30051" i="19"/>
  <c r="A30050" i="19"/>
  <c r="A30049" i="19"/>
  <c r="A30048" i="19"/>
  <c r="A30047" i="19"/>
  <c r="A30046" i="19"/>
  <c r="A30045" i="19"/>
  <c r="A30044" i="19"/>
  <c r="A30043" i="19"/>
  <c r="A30042" i="19"/>
  <c r="A30041" i="19"/>
  <c r="A30040" i="19"/>
  <c r="A30039" i="19"/>
  <c r="A30038" i="19"/>
  <c r="A30037" i="19"/>
  <c r="A30036" i="19"/>
  <c r="A30035" i="19"/>
  <c r="A30034" i="19"/>
  <c r="A30033" i="19"/>
  <c r="A30032" i="19"/>
  <c r="A30031" i="19"/>
  <c r="A30030" i="19"/>
  <c r="A30029" i="19"/>
  <c r="A30028" i="19"/>
  <c r="A30027" i="19"/>
  <c r="A30026" i="19"/>
  <c r="A30025" i="19"/>
  <c r="A30024" i="19"/>
  <c r="A30023" i="19"/>
  <c r="A30022" i="19"/>
  <c r="A30021" i="19"/>
  <c r="A30020" i="19"/>
  <c r="A30019" i="19"/>
  <c r="A30018" i="19"/>
  <c r="A30017" i="19"/>
  <c r="A30016" i="19"/>
  <c r="A30015" i="19"/>
  <c r="A30014" i="19"/>
  <c r="A30013" i="19"/>
  <c r="A30012" i="19"/>
  <c r="A30011" i="19"/>
  <c r="A30010" i="19"/>
  <c r="A30009" i="19"/>
  <c r="A30008" i="19"/>
  <c r="A30007" i="19"/>
  <c r="A30006" i="19"/>
  <c r="A30005" i="19"/>
  <c r="A30004" i="19"/>
  <c r="A30003" i="19"/>
  <c r="A30002" i="19"/>
  <c r="A30001" i="19"/>
  <c r="A30000" i="19"/>
  <c r="A29999" i="19"/>
  <c r="A29998" i="19"/>
  <c r="A29997" i="19"/>
  <c r="A29996" i="19"/>
  <c r="A29995" i="19"/>
  <c r="A29994" i="19"/>
  <c r="A29993" i="19"/>
  <c r="A29992" i="19"/>
  <c r="A29991" i="19"/>
  <c r="A29990" i="19"/>
  <c r="A29989" i="19"/>
  <c r="A29988" i="19"/>
  <c r="A29987" i="19"/>
  <c r="A29986" i="19"/>
  <c r="A29985" i="19"/>
  <c r="A29984" i="19"/>
  <c r="A29983" i="19"/>
  <c r="A29982" i="19"/>
  <c r="A29981" i="19"/>
  <c r="A29980" i="19"/>
  <c r="A29979" i="19"/>
  <c r="A29978" i="19"/>
  <c r="A29977" i="19"/>
  <c r="A29976" i="19"/>
  <c r="A29975" i="19"/>
  <c r="A29974" i="19"/>
  <c r="A29973" i="19"/>
  <c r="A29972" i="19"/>
  <c r="A29971" i="19"/>
  <c r="A29970" i="19"/>
  <c r="A29969" i="19"/>
  <c r="A29968" i="19"/>
  <c r="A29967" i="19"/>
  <c r="A29966" i="19"/>
  <c r="A29965" i="19"/>
  <c r="A29964" i="19"/>
  <c r="A29963" i="19"/>
  <c r="A29962" i="19"/>
  <c r="A29961" i="19"/>
  <c r="A29960" i="19"/>
  <c r="A29959" i="19"/>
  <c r="A29958" i="19"/>
  <c r="A29957" i="19"/>
  <c r="A29956" i="19"/>
  <c r="A29955" i="19"/>
  <c r="A29954" i="19"/>
  <c r="A29953" i="19"/>
  <c r="A29952" i="19"/>
  <c r="A29951" i="19"/>
  <c r="A29950" i="19"/>
  <c r="A29949" i="19"/>
  <c r="A29948" i="19"/>
  <c r="A29947" i="19"/>
  <c r="A29946" i="19"/>
  <c r="A29945" i="19"/>
  <c r="A29944" i="19"/>
  <c r="A29943" i="19"/>
  <c r="A29942" i="19"/>
  <c r="A29941" i="19"/>
  <c r="A29940" i="19"/>
  <c r="A29939" i="19"/>
  <c r="A29938" i="19"/>
  <c r="A29937" i="19"/>
  <c r="A29936" i="19"/>
  <c r="A29935" i="19"/>
  <c r="A29934" i="19"/>
  <c r="A29933" i="19"/>
  <c r="A29932" i="19"/>
  <c r="A29931" i="19"/>
  <c r="A29930" i="19"/>
  <c r="A29929" i="19"/>
  <c r="A29928" i="19"/>
  <c r="A29927" i="19"/>
  <c r="A29926" i="19"/>
  <c r="A29925" i="19"/>
  <c r="A29924" i="19"/>
  <c r="A29923" i="19"/>
  <c r="A29922" i="19"/>
  <c r="A29921" i="19"/>
  <c r="A29920" i="19"/>
  <c r="A29919" i="19"/>
  <c r="A29918" i="19"/>
  <c r="A29917" i="19"/>
  <c r="A29916" i="19"/>
  <c r="A29915" i="19"/>
  <c r="A29914" i="19"/>
  <c r="A29913" i="19"/>
  <c r="A29912" i="19"/>
  <c r="A29911" i="19"/>
  <c r="A29910" i="19"/>
  <c r="A29909" i="19"/>
  <c r="A29908" i="19"/>
  <c r="A29907" i="19"/>
  <c r="A29906" i="19"/>
  <c r="A29905" i="19"/>
  <c r="A29904" i="19"/>
  <c r="A29903" i="19"/>
  <c r="A29902" i="19"/>
  <c r="A29901" i="19"/>
  <c r="A29900" i="19"/>
  <c r="A29899" i="19"/>
  <c r="A29898" i="19"/>
  <c r="A29897" i="19"/>
  <c r="A29896" i="19"/>
  <c r="A29895" i="19"/>
  <c r="A29894" i="19"/>
  <c r="A29893" i="19"/>
  <c r="A29892" i="19"/>
  <c r="A29891" i="19"/>
  <c r="A29890" i="19"/>
  <c r="A29889" i="19"/>
  <c r="A29888" i="19"/>
  <c r="A29887" i="19"/>
  <c r="A29886" i="19"/>
  <c r="A29885" i="19"/>
  <c r="A29884" i="19"/>
  <c r="A29883" i="19"/>
  <c r="A29882" i="19"/>
  <c r="A29881" i="19"/>
  <c r="A29880" i="19"/>
  <c r="A29879" i="19"/>
  <c r="A29878" i="19"/>
  <c r="A29877" i="19"/>
  <c r="A29876" i="19"/>
  <c r="A29875" i="19"/>
  <c r="A29874" i="19"/>
  <c r="A29873" i="19"/>
  <c r="A29872" i="19"/>
  <c r="A29871" i="19"/>
  <c r="A29870" i="19"/>
  <c r="A29869" i="19"/>
  <c r="A29868" i="19"/>
  <c r="A29867" i="19"/>
  <c r="A29866" i="19"/>
  <c r="A29865" i="19"/>
  <c r="A29864" i="19"/>
  <c r="A29863" i="19"/>
  <c r="A29862" i="19"/>
  <c r="A29861" i="19"/>
  <c r="A29860" i="19"/>
  <c r="A29859" i="19"/>
  <c r="A29858" i="19"/>
  <c r="A29857" i="19"/>
  <c r="A29856" i="19"/>
  <c r="A29855" i="19"/>
  <c r="A29854" i="19"/>
  <c r="A29853" i="19"/>
  <c r="A29852" i="19"/>
  <c r="A29851" i="19"/>
  <c r="A29850" i="19"/>
  <c r="A29849" i="19"/>
  <c r="A29848" i="19"/>
  <c r="A29847" i="19"/>
  <c r="A29846" i="19"/>
  <c r="A29845" i="19"/>
  <c r="A29844" i="19"/>
  <c r="A29843" i="19"/>
  <c r="A29842" i="19"/>
  <c r="A29841" i="19"/>
  <c r="A29840" i="19"/>
  <c r="A29839" i="19"/>
  <c r="A29838" i="19"/>
  <c r="A29837" i="19"/>
  <c r="A29836" i="19"/>
  <c r="A29835" i="19"/>
  <c r="A29834" i="19"/>
  <c r="A29833" i="19"/>
  <c r="A29832" i="19"/>
  <c r="A29831" i="19"/>
  <c r="A29830" i="19"/>
  <c r="A29829" i="19"/>
  <c r="A29828" i="19"/>
  <c r="A29827" i="19"/>
  <c r="A29826" i="19"/>
  <c r="A29825" i="19"/>
  <c r="A29824" i="19"/>
  <c r="A29823" i="19"/>
  <c r="A29822" i="19"/>
  <c r="A29821" i="19"/>
  <c r="A29820" i="19"/>
  <c r="A29819" i="19"/>
  <c r="A29818" i="19"/>
  <c r="A29817" i="19"/>
  <c r="A29816" i="19"/>
  <c r="A29815" i="19"/>
  <c r="A29814" i="19"/>
  <c r="A29813" i="19"/>
  <c r="A29812" i="19"/>
  <c r="A29811" i="19"/>
  <c r="A29810" i="19"/>
  <c r="A29809" i="19"/>
  <c r="A29808" i="19"/>
  <c r="A29807" i="19"/>
  <c r="A29806" i="19"/>
  <c r="A29805" i="19"/>
  <c r="A29804" i="19"/>
  <c r="A29803" i="19"/>
  <c r="A29802" i="19"/>
  <c r="A29801" i="19"/>
  <c r="A29800" i="19"/>
  <c r="A29799" i="19"/>
  <c r="A29798" i="19"/>
  <c r="A29797" i="19"/>
  <c r="A29796" i="19"/>
  <c r="A29795" i="19"/>
  <c r="A29794" i="19"/>
  <c r="A29793" i="19"/>
  <c r="A29792" i="19"/>
  <c r="A29791" i="19"/>
  <c r="A29790" i="19"/>
  <c r="A29789" i="19"/>
  <c r="A29788" i="19"/>
  <c r="A29787" i="19"/>
  <c r="A29786" i="19"/>
  <c r="A29785" i="19"/>
  <c r="A29784" i="19"/>
  <c r="A29783" i="19"/>
  <c r="A29782" i="19"/>
  <c r="A29781" i="19"/>
  <c r="A29780" i="19"/>
  <c r="A29779" i="19"/>
  <c r="A29778" i="19"/>
  <c r="A29777" i="19"/>
  <c r="A29776" i="19"/>
  <c r="A29775" i="19"/>
  <c r="A29774" i="19"/>
  <c r="A29773" i="19"/>
  <c r="A29772" i="19"/>
  <c r="A29771" i="19"/>
  <c r="A29770" i="19"/>
  <c r="A29769" i="19"/>
  <c r="A29768" i="19"/>
  <c r="A29767" i="19"/>
  <c r="A29766" i="19"/>
  <c r="A29765" i="19"/>
  <c r="A29764" i="19"/>
  <c r="A29763" i="19"/>
  <c r="A29762" i="19"/>
  <c r="A29761" i="19"/>
  <c r="A29760" i="19"/>
  <c r="A29759" i="19"/>
  <c r="A29758" i="19"/>
  <c r="A29757" i="19"/>
  <c r="A29756" i="19"/>
  <c r="A29755" i="19"/>
  <c r="A29754" i="19"/>
  <c r="A29753" i="19"/>
  <c r="A29752" i="19"/>
  <c r="A29751" i="19"/>
  <c r="A29750" i="19"/>
  <c r="A29749" i="19"/>
  <c r="A29748" i="19"/>
  <c r="A29747" i="19"/>
  <c r="A29746" i="19"/>
  <c r="A29745" i="19"/>
  <c r="A29744" i="19"/>
  <c r="A29743" i="19"/>
  <c r="A29742" i="19"/>
  <c r="A29741" i="19"/>
  <c r="A29740" i="19"/>
  <c r="A29739" i="19"/>
  <c r="A29738" i="19"/>
  <c r="A29737" i="19"/>
  <c r="A29736" i="19"/>
  <c r="A29735" i="19"/>
  <c r="A29734" i="19"/>
  <c r="A29733" i="19"/>
  <c r="A29732" i="19"/>
  <c r="A29731" i="19"/>
  <c r="A29730" i="19"/>
  <c r="A29729" i="19"/>
  <c r="A29728" i="19"/>
  <c r="A29727" i="19"/>
  <c r="A29726" i="19"/>
  <c r="A29725" i="19"/>
  <c r="A29724" i="19"/>
  <c r="A29723" i="19"/>
  <c r="A29722" i="19"/>
  <c r="A29721" i="19"/>
  <c r="A29720" i="19"/>
  <c r="A29719" i="19"/>
  <c r="A29718" i="19"/>
  <c r="A29717" i="19"/>
  <c r="A29716" i="19"/>
  <c r="A29715" i="19"/>
  <c r="A29714" i="19"/>
  <c r="A29713" i="19"/>
  <c r="A29712" i="19"/>
  <c r="A29711" i="19"/>
  <c r="A29710" i="19"/>
  <c r="A29709" i="19"/>
  <c r="A29708" i="19"/>
  <c r="A29707" i="19"/>
  <c r="A29706" i="19"/>
  <c r="A29705" i="19"/>
  <c r="A29704" i="19"/>
  <c r="A29703" i="19"/>
  <c r="A29702" i="19"/>
  <c r="A29701" i="19"/>
  <c r="A29700" i="19"/>
  <c r="A29699" i="19"/>
  <c r="A29698" i="19"/>
  <c r="A29697" i="19"/>
  <c r="A29696" i="19"/>
  <c r="A29695" i="19"/>
  <c r="A29694" i="19"/>
  <c r="A29693" i="19"/>
  <c r="A29692" i="19"/>
  <c r="A29691" i="19"/>
  <c r="A29690" i="19"/>
  <c r="A29689" i="19"/>
  <c r="A29688" i="19"/>
  <c r="A29687" i="19"/>
  <c r="A29686" i="19"/>
  <c r="A29685" i="19"/>
  <c r="A29684" i="19"/>
  <c r="A29683" i="19"/>
  <c r="A29682" i="19"/>
  <c r="A29681" i="19"/>
  <c r="A29680" i="19"/>
  <c r="A29679" i="19"/>
  <c r="A29678" i="19"/>
  <c r="A29677" i="19"/>
  <c r="A29676" i="19"/>
  <c r="A29675" i="19"/>
  <c r="A29674" i="19"/>
  <c r="A29673" i="19"/>
  <c r="A29672" i="19"/>
  <c r="A29671" i="19"/>
  <c r="A29670" i="19"/>
  <c r="A29669" i="19"/>
  <c r="A29668" i="19"/>
  <c r="A29667" i="19"/>
  <c r="A29666" i="19"/>
  <c r="A29665" i="19"/>
  <c r="A29664" i="19"/>
  <c r="A29663" i="19"/>
  <c r="A29662" i="19"/>
  <c r="A29661" i="19"/>
  <c r="A29660" i="19"/>
  <c r="A29659" i="19"/>
  <c r="A29658" i="19"/>
  <c r="A29657" i="19"/>
  <c r="A29656" i="19"/>
  <c r="A29655" i="19"/>
  <c r="A29654" i="19"/>
  <c r="A29653" i="19"/>
  <c r="A29652" i="19"/>
  <c r="A29651" i="19"/>
  <c r="A29650" i="19"/>
  <c r="A29649" i="19"/>
  <c r="A29648" i="19"/>
  <c r="A29647" i="19"/>
  <c r="A29646" i="19"/>
  <c r="A29645" i="19"/>
  <c r="A29644" i="19"/>
  <c r="A29643" i="19"/>
  <c r="A29642" i="19"/>
  <c r="A29641" i="19"/>
  <c r="A29640" i="19"/>
  <c r="A29639" i="19"/>
  <c r="A29638" i="19"/>
  <c r="A29637" i="19"/>
  <c r="A29636" i="19"/>
  <c r="A29635" i="19"/>
  <c r="A29634" i="19"/>
  <c r="A29633" i="19"/>
  <c r="A29632" i="19"/>
  <c r="A29631" i="19"/>
  <c r="A29630" i="19"/>
  <c r="A29629" i="19"/>
  <c r="A29628" i="19"/>
  <c r="A29627" i="19"/>
  <c r="A29626" i="19"/>
  <c r="A29625" i="19"/>
  <c r="A29624" i="19"/>
  <c r="A29623" i="19"/>
  <c r="A29622" i="19"/>
  <c r="A29621" i="19"/>
  <c r="A29620" i="19"/>
  <c r="A29619" i="19"/>
  <c r="A29618" i="19"/>
  <c r="A29617" i="19"/>
  <c r="A29616" i="19"/>
  <c r="A29615" i="19"/>
  <c r="A29614" i="19"/>
  <c r="A29613" i="19"/>
  <c r="A29612" i="19"/>
  <c r="A29611" i="19"/>
  <c r="A29610" i="19"/>
  <c r="A29609" i="19"/>
  <c r="A29608" i="19"/>
  <c r="A29607" i="19"/>
  <c r="A29606" i="19"/>
  <c r="A29605" i="19"/>
  <c r="A29604" i="19"/>
  <c r="A29603" i="19"/>
  <c r="A29602" i="19"/>
  <c r="A29601" i="19"/>
  <c r="A29600" i="19"/>
  <c r="A29599" i="19"/>
  <c r="A29598" i="19"/>
  <c r="A29597" i="19"/>
  <c r="A29596" i="19"/>
  <c r="A29595" i="19"/>
  <c r="A29594" i="19"/>
  <c r="A29593" i="19"/>
  <c r="A29592" i="19"/>
  <c r="A29591" i="19"/>
  <c r="A29590" i="19"/>
  <c r="A29589" i="19"/>
  <c r="A29588" i="19"/>
  <c r="A29587" i="19"/>
  <c r="A29586" i="19"/>
  <c r="A29585" i="19"/>
  <c r="A29584" i="19"/>
  <c r="A29583" i="19"/>
  <c r="A29582" i="19"/>
  <c r="A29581" i="19"/>
  <c r="A29580" i="19"/>
  <c r="A29579" i="19"/>
  <c r="A29578" i="19"/>
  <c r="A29577" i="19"/>
  <c r="A29576" i="19"/>
  <c r="A29575" i="19"/>
  <c r="A29574" i="19"/>
  <c r="A29573" i="19"/>
  <c r="A29572" i="19"/>
  <c r="A29571" i="19"/>
  <c r="A29570" i="19"/>
  <c r="A29569" i="19"/>
  <c r="A29568" i="19"/>
  <c r="A29567" i="19"/>
  <c r="A29566" i="19"/>
  <c r="A29565" i="19"/>
  <c r="A29564" i="19"/>
  <c r="A29563" i="19"/>
  <c r="A29562" i="19"/>
  <c r="A29561" i="19"/>
  <c r="A29560" i="19"/>
  <c r="A29559" i="19"/>
  <c r="A29558" i="19"/>
  <c r="A29557" i="19"/>
  <c r="A29556" i="19"/>
  <c r="A29555" i="19"/>
  <c r="A29554" i="19"/>
  <c r="A29553" i="19"/>
  <c r="A29552" i="19"/>
  <c r="A29551" i="19"/>
  <c r="A29550" i="19"/>
  <c r="A29549" i="19"/>
  <c r="A29548" i="19"/>
  <c r="A29547" i="19"/>
  <c r="A29546" i="19"/>
  <c r="A29545" i="19"/>
  <c r="A29544" i="19"/>
  <c r="A29543" i="19"/>
  <c r="A29542" i="19"/>
  <c r="A29541" i="19"/>
  <c r="A29540" i="19"/>
  <c r="A29539" i="19"/>
  <c r="A29538" i="19"/>
  <c r="A29537" i="19"/>
  <c r="A29536" i="19"/>
  <c r="A29535" i="19"/>
  <c r="A29534" i="19"/>
  <c r="A29533" i="19"/>
  <c r="A29532" i="19"/>
  <c r="A29531" i="19"/>
  <c r="A29530" i="19"/>
  <c r="A29529" i="19"/>
  <c r="A29528" i="19"/>
  <c r="A29527" i="19"/>
  <c r="A29526" i="19"/>
  <c r="A29525" i="19"/>
  <c r="A29524" i="19"/>
  <c r="A29523" i="19"/>
  <c r="A29522" i="19"/>
  <c r="A29521" i="19"/>
  <c r="A29520" i="19"/>
  <c r="A29519" i="19"/>
  <c r="A29518" i="19"/>
  <c r="A29517" i="19"/>
  <c r="A29516" i="19"/>
  <c r="A29515" i="19"/>
  <c r="A29514" i="19"/>
  <c r="A29513" i="19"/>
  <c r="A29512" i="19"/>
  <c r="A29511" i="19"/>
  <c r="A29510" i="19"/>
  <c r="A29509" i="19"/>
  <c r="A29508" i="19"/>
  <c r="A29507" i="19"/>
  <c r="A29506" i="19"/>
  <c r="A29505" i="19"/>
  <c r="A29504" i="19"/>
  <c r="A29503" i="19"/>
  <c r="A29502" i="19"/>
  <c r="A29501" i="19"/>
  <c r="A29500" i="19"/>
  <c r="A29499" i="19"/>
  <c r="A29498" i="19"/>
  <c r="A29497" i="19"/>
  <c r="A29496" i="19"/>
  <c r="A29495" i="19"/>
  <c r="A29494" i="19"/>
  <c r="A29493" i="19"/>
  <c r="A29492" i="19"/>
  <c r="A29491" i="19"/>
  <c r="A29490" i="19"/>
  <c r="A29489" i="19"/>
  <c r="A29488" i="19"/>
  <c r="A29487" i="19"/>
  <c r="A29486" i="19"/>
  <c r="A29485" i="19"/>
  <c r="A29484" i="19"/>
  <c r="A29483" i="19"/>
  <c r="A29482" i="19"/>
  <c r="A29481" i="19"/>
  <c r="A29480" i="19"/>
  <c r="A29479" i="19"/>
  <c r="A29478" i="19"/>
  <c r="A29477" i="19"/>
  <c r="A29476" i="19"/>
  <c r="A29475" i="19"/>
  <c r="A29474" i="19"/>
  <c r="A29473" i="19"/>
  <c r="A29472" i="19"/>
  <c r="A29471" i="19"/>
  <c r="A29470" i="19"/>
  <c r="A29469" i="19"/>
  <c r="A29468" i="19"/>
  <c r="A29467" i="19"/>
  <c r="A29466" i="19"/>
  <c r="A29465" i="19"/>
  <c r="A29464" i="19"/>
  <c r="A29463" i="19"/>
  <c r="A29462" i="19"/>
  <c r="A29461" i="19"/>
  <c r="A29460" i="19"/>
  <c r="A29459" i="19"/>
  <c r="A29458" i="19"/>
  <c r="A29457" i="19"/>
  <c r="A29456" i="19"/>
  <c r="A29455" i="19"/>
  <c r="A29454" i="19"/>
  <c r="A29453" i="19"/>
  <c r="A29452" i="19"/>
  <c r="A29451" i="19"/>
  <c r="A29450" i="19"/>
  <c r="A29449" i="19"/>
  <c r="A29448" i="19"/>
  <c r="A29447" i="19"/>
  <c r="A29446" i="19"/>
  <c r="A29445" i="19"/>
  <c r="A29444" i="19"/>
  <c r="A29443" i="19"/>
  <c r="A29442" i="19"/>
  <c r="A29441" i="19"/>
  <c r="A29440" i="19"/>
  <c r="A29439" i="19"/>
  <c r="A29438" i="19"/>
  <c r="A29437" i="19"/>
  <c r="A29436" i="19"/>
  <c r="A29435" i="19"/>
  <c r="A29434" i="19"/>
  <c r="A29433" i="19"/>
  <c r="A29432" i="19"/>
  <c r="A29431" i="19"/>
  <c r="A29430" i="19"/>
  <c r="A29429" i="19"/>
  <c r="A29428" i="19"/>
  <c r="A29427" i="19"/>
  <c r="A29426" i="19"/>
  <c r="A29425" i="19"/>
  <c r="A29424" i="19"/>
  <c r="A29423" i="19"/>
  <c r="A29422" i="19"/>
  <c r="A29421" i="19"/>
  <c r="A29420" i="19"/>
  <c r="A29419" i="19"/>
  <c r="A29418" i="19"/>
  <c r="A29417" i="19"/>
  <c r="A29416" i="19"/>
  <c r="A29415" i="19"/>
  <c r="A29414" i="19"/>
  <c r="A29413" i="19"/>
  <c r="A29412" i="19"/>
  <c r="A29411" i="19"/>
  <c r="A29410" i="19"/>
  <c r="A29409" i="19"/>
  <c r="A29408" i="19"/>
  <c r="A29407" i="19"/>
  <c r="A29406" i="19"/>
  <c r="A29405" i="19"/>
  <c r="A29404" i="19"/>
  <c r="A29403" i="19"/>
  <c r="A29402" i="19"/>
  <c r="A29401" i="19"/>
  <c r="A29400" i="19"/>
  <c r="A29399" i="19"/>
  <c r="A29398" i="19"/>
  <c r="A29397" i="19"/>
  <c r="A29396" i="19"/>
  <c r="A29395" i="19"/>
  <c r="A29394" i="19"/>
  <c r="A29393" i="19"/>
  <c r="A29392" i="19"/>
  <c r="A29391" i="19"/>
  <c r="A29390" i="19"/>
  <c r="A29389" i="19"/>
  <c r="A29388" i="19"/>
  <c r="A29387" i="19"/>
  <c r="A29386" i="19"/>
  <c r="A29385" i="19"/>
  <c r="A29384" i="19"/>
  <c r="A29383" i="19"/>
  <c r="A29382" i="19"/>
  <c r="A29381" i="19"/>
  <c r="A29380" i="19"/>
  <c r="A29379" i="19"/>
  <c r="A29378" i="19"/>
  <c r="A29377" i="19"/>
  <c r="A29376" i="19"/>
  <c r="A29375" i="19"/>
  <c r="A29374" i="19"/>
  <c r="A29373" i="19"/>
  <c r="A29372" i="19"/>
  <c r="A29371" i="19"/>
  <c r="A29370" i="19"/>
  <c r="A29369" i="19"/>
  <c r="A29368" i="19"/>
  <c r="A29367" i="19"/>
  <c r="A29366" i="19"/>
  <c r="A29365" i="19"/>
  <c r="A29364" i="19"/>
  <c r="A29363" i="19"/>
  <c r="A29362" i="19"/>
  <c r="A29361" i="19"/>
  <c r="A29360" i="19"/>
  <c r="A29359" i="19"/>
  <c r="A29358" i="19"/>
  <c r="A29357" i="19"/>
  <c r="A29356" i="19"/>
  <c r="A29355" i="19"/>
  <c r="A29354" i="19"/>
  <c r="A29353" i="19"/>
  <c r="A29352" i="19"/>
  <c r="A29351" i="19"/>
  <c r="A29350" i="19"/>
  <c r="A29349" i="19"/>
  <c r="A29348" i="19"/>
  <c r="A29347" i="19"/>
  <c r="A29346" i="19"/>
  <c r="A29345" i="19"/>
  <c r="A29344" i="19"/>
  <c r="A29343" i="19"/>
  <c r="A29342" i="19"/>
  <c r="A29341" i="19"/>
  <c r="A29340" i="19"/>
  <c r="A29339" i="19"/>
  <c r="A29338" i="19"/>
  <c r="A29337" i="19"/>
  <c r="A29336" i="19"/>
  <c r="A29335" i="19"/>
  <c r="A29334" i="19"/>
  <c r="A29333" i="19"/>
  <c r="A29332" i="19"/>
  <c r="A29331" i="19"/>
  <c r="A29330" i="19"/>
  <c r="A29329" i="19"/>
  <c r="A29328" i="19"/>
  <c r="A29327" i="19"/>
  <c r="A29326" i="19"/>
  <c r="A29325" i="19"/>
  <c r="A29324" i="19"/>
  <c r="A29323" i="19"/>
  <c r="A29322" i="19"/>
  <c r="A29321" i="19"/>
  <c r="A29320" i="19"/>
  <c r="A29319" i="19"/>
  <c r="A29318" i="19"/>
  <c r="A29317" i="19"/>
  <c r="A29316" i="19"/>
  <c r="A29315" i="19"/>
  <c r="A29314" i="19"/>
  <c r="A29313" i="19"/>
  <c r="A29312" i="19"/>
  <c r="A29311" i="19"/>
  <c r="A29310" i="19"/>
  <c r="A29309" i="19"/>
  <c r="A29308" i="19"/>
  <c r="A29307" i="19"/>
  <c r="A29306" i="19"/>
  <c r="A29305" i="19"/>
  <c r="A29304" i="19"/>
  <c r="A29303" i="19"/>
  <c r="A29302" i="19"/>
  <c r="A29301" i="19"/>
  <c r="A29300" i="19"/>
  <c r="A29299" i="19"/>
  <c r="A29298" i="19"/>
  <c r="A29297" i="19"/>
  <c r="A29296" i="19"/>
  <c r="A29295" i="19"/>
  <c r="A29294" i="19"/>
  <c r="A29293" i="19"/>
  <c r="A29292" i="19"/>
  <c r="A29291" i="19"/>
  <c r="A29290" i="19"/>
  <c r="A29289" i="19"/>
  <c r="A29288" i="19"/>
  <c r="A29287" i="19"/>
  <c r="A29286" i="19"/>
  <c r="A29285" i="19"/>
  <c r="A29284" i="19"/>
  <c r="A29283" i="19"/>
  <c r="A29282" i="19"/>
  <c r="A29281" i="19"/>
  <c r="A29280" i="19"/>
  <c r="A29279" i="19"/>
  <c r="A29278" i="19"/>
  <c r="A29277" i="19"/>
  <c r="A29276" i="19"/>
  <c r="A29275" i="19"/>
  <c r="A29274" i="19"/>
  <c r="A29273" i="19"/>
  <c r="A29272" i="19"/>
  <c r="A29271" i="19"/>
  <c r="A29270" i="19"/>
  <c r="A29269" i="19"/>
  <c r="A29268" i="19"/>
  <c r="A29267" i="19"/>
  <c r="A29266" i="19"/>
  <c r="A29265" i="19"/>
  <c r="A29264" i="19"/>
  <c r="A29263" i="19"/>
  <c r="A29262" i="19"/>
  <c r="A29261" i="19"/>
  <c r="A29260" i="19"/>
  <c r="A29259" i="19"/>
  <c r="A29258" i="19"/>
  <c r="A29257" i="19"/>
  <c r="A29256" i="19"/>
  <c r="A29255" i="19"/>
  <c r="A29254" i="19"/>
  <c r="A29253" i="19"/>
  <c r="A29252" i="19"/>
  <c r="A29251" i="19"/>
  <c r="A29250" i="19"/>
  <c r="A29249" i="19"/>
  <c r="A29248" i="19"/>
  <c r="A29247" i="19"/>
  <c r="A29246" i="19"/>
  <c r="A29245" i="19"/>
  <c r="A29244" i="19"/>
  <c r="A29243" i="19"/>
  <c r="A29242" i="19"/>
  <c r="A29241" i="19"/>
  <c r="A29240" i="19"/>
  <c r="A29239" i="19"/>
  <c r="A29238" i="19"/>
  <c r="A29237" i="19"/>
  <c r="A29236" i="19"/>
  <c r="A29235" i="19"/>
  <c r="A29234" i="19"/>
  <c r="A29233" i="19"/>
  <c r="A29232" i="19"/>
  <c r="A29231" i="19"/>
  <c r="A29230" i="19"/>
  <c r="A29229" i="19"/>
  <c r="A29228" i="19"/>
  <c r="A29227" i="19"/>
  <c r="A29226" i="19"/>
  <c r="A29225" i="19"/>
  <c r="A29224" i="19"/>
  <c r="A29223" i="19"/>
  <c r="A29222" i="19"/>
  <c r="A29221" i="19"/>
  <c r="A29220" i="19"/>
  <c r="A29219" i="19"/>
  <c r="A29218" i="19"/>
  <c r="A29217" i="19"/>
  <c r="A29216" i="19"/>
  <c r="A29215" i="19"/>
  <c r="A29214" i="19"/>
  <c r="A29213" i="19"/>
  <c r="A29212" i="19"/>
  <c r="A29211" i="19"/>
  <c r="A29210" i="19"/>
  <c r="A29209" i="19"/>
  <c r="A29208" i="19"/>
  <c r="A29207" i="19"/>
  <c r="A29206" i="19"/>
  <c r="A29205" i="19"/>
  <c r="A29204" i="19"/>
  <c r="A29203" i="19"/>
  <c r="A29202" i="19"/>
  <c r="A29201" i="19"/>
  <c r="A29200" i="19"/>
  <c r="A29199" i="19"/>
  <c r="A29198" i="19"/>
  <c r="A29197" i="19"/>
  <c r="A29196" i="19"/>
  <c r="A29195" i="19"/>
  <c r="A29194" i="19"/>
  <c r="A29193" i="19"/>
  <c r="A29192" i="19"/>
  <c r="A29191" i="19"/>
  <c r="A29190" i="19"/>
  <c r="A29189" i="19"/>
  <c r="A29188" i="19"/>
  <c r="A29187" i="19"/>
  <c r="A29186" i="19"/>
  <c r="A29185" i="19"/>
  <c r="A29184" i="19"/>
  <c r="A29183" i="19"/>
  <c r="A29182" i="19"/>
  <c r="A29181" i="19"/>
  <c r="A29180" i="19"/>
  <c r="A29179" i="19"/>
  <c r="A29178" i="19"/>
  <c r="A29177" i="19"/>
  <c r="A29176" i="19"/>
  <c r="A29175" i="19"/>
  <c r="A29174" i="19"/>
  <c r="A29173" i="19"/>
  <c r="A29172" i="19"/>
  <c r="A29171" i="19"/>
  <c r="A29170" i="19"/>
  <c r="A29169" i="19"/>
  <c r="A29168" i="19"/>
  <c r="A29167" i="19"/>
  <c r="A29166" i="19"/>
  <c r="A29165" i="19"/>
  <c r="A29164" i="19"/>
  <c r="A29163" i="19"/>
  <c r="A29162" i="19"/>
  <c r="A29161" i="19"/>
  <c r="A29160" i="19"/>
  <c r="A29159" i="19"/>
  <c r="A29158" i="19"/>
  <c r="A29157" i="19"/>
  <c r="A29156" i="19"/>
  <c r="A29155" i="19"/>
  <c r="A29154" i="19"/>
  <c r="A29153" i="19"/>
  <c r="A29152" i="19"/>
  <c r="A29151" i="19"/>
  <c r="A29150" i="19"/>
  <c r="A29149" i="19"/>
  <c r="A29148" i="19"/>
  <c r="A29147" i="19"/>
  <c r="A29146" i="19"/>
  <c r="A29145" i="19"/>
  <c r="A29144" i="19"/>
  <c r="A29143" i="19"/>
  <c r="A29142" i="19"/>
  <c r="A29141" i="19"/>
  <c r="A29140" i="19"/>
  <c r="A29139" i="19"/>
  <c r="A29138" i="19"/>
  <c r="A29137" i="19"/>
  <c r="A29136" i="19"/>
  <c r="A29135" i="19"/>
  <c r="A29134" i="19"/>
  <c r="A29133" i="19"/>
  <c r="A29132" i="19"/>
  <c r="A29131" i="19"/>
  <c r="A29130" i="19"/>
  <c r="A29129" i="19"/>
  <c r="A29128" i="19"/>
  <c r="A29127" i="19"/>
  <c r="A29126" i="19"/>
  <c r="A29125" i="19"/>
  <c r="A29124" i="19"/>
  <c r="A29123" i="19"/>
  <c r="A29122" i="19"/>
  <c r="A29121" i="19"/>
  <c r="A29120" i="19"/>
  <c r="A29119" i="19"/>
  <c r="A29118" i="19"/>
  <c r="A29117" i="19"/>
  <c r="A29116" i="19"/>
  <c r="A29115" i="19"/>
  <c r="A29114" i="19"/>
  <c r="A29113" i="19"/>
  <c r="A29112" i="19"/>
  <c r="A29111" i="19"/>
  <c r="A29110" i="19"/>
  <c r="A29109" i="19"/>
  <c r="A29108" i="19"/>
  <c r="A29107" i="19"/>
  <c r="A29106" i="19"/>
  <c r="A29105" i="19"/>
  <c r="A29104" i="19"/>
  <c r="A29103" i="19"/>
  <c r="A29102" i="19"/>
  <c r="A29101" i="19"/>
  <c r="A29100" i="19"/>
  <c r="A29099" i="19"/>
  <c r="A29098" i="19"/>
  <c r="A29097" i="19"/>
  <c r="A29096" i="19"/>
  <c r="A29095" i="19"/>
  <c r="A29094" i="19"/>
  <c r="A29093" i="19"/>
  <c r="A29092" i="19"/>
  <c r="A29091" i="19"/>
  <c r="A29090" i="19"/>
  <c r="A29089" i="19"/>
  <c r="A29088" i="19"/>
  <c r="A29087" i="19"/>
  <c r="A29086" i="19"/>
  <c r="A29085" i="19"/>
  <c r="A29084" i="19"/>
  <c r="A29083" i="19"/>
  <c r="A29082" i="19"/>
  <c r="A29081" i="19"/>
  <c r="A29080" i="19"/>
  <c r="A29079" i="19"/>
  <c r="A29078" i="19"/>
  <c r="A29077" i="19"/>
  <c r="A29076" i="19"/>
  <c r="A29075" i="19"/>
  <c r="A29074" i="19"/>
  <c r="A29073" i="19"/>
  <c r="A29072" i="19"/>
  <c r="A29071" i="19"/>
  <c r="A29070" i="19"/>
  <c r="A29069" i="19"/>
  <c r="A29068" i="19"/>
  <c r="A29067" i="19"/>
  <c r="A29066" i="19"/>
  <c r="A29065" i="19"/>
  <c r="A29064" i="19"/>
  <c r="A29063" i="19"/>
  <c r="A29062" i="19"/>
  <c r="A29061" i="19"/>
  <c r="A29060" i="19"/>
  <c r="A29059" i="19"/>
  <c r="A29058" i="19"/>
  <c r="A29057" i="19"/>
  <c r="A29056" i="19"/>
  <c r="A29055" i="19"/>
  <c r="A29054" i="19"/>
  <c r="A29053" i="19"/>
  <c r="A29052" i="19"/>
  <c r="A29051" i="19"/>
  <c r="A29050" i="19"/>
  <c r="A29049" i="19"/>
  <c r="A29048" i="19"/>
  <c r="A29047" i="19"/>
  <c r="A29046" i="19"/>
  <c r="A29045" i="19"/>
  <c r="A29044" i="19"/>
  <c r="A29043" i="19"/>
  <c r="A29042" i="19"/>
  <c r="A29041" i="19"/>
  <c r="A29040" i="19"/>
  <c r="A29039" i="19"/>
  <c r="A29038" i="19"/>
  <c r="A29037" i="19"/>
  <c r="A29036" i="19"/>
  <c r="A29035" i="19"/>
  <c r="A29034" i="19"/>
  <c r="A29033" i="19"/>
  <c r="A29032" i="19"/>
  <c r="A29031" i="19"/>
  <c r="A29030" i="19"/>
  <c r="A29029" i="19"/>
  <c r="A29028" i="19"/>
  <c r="A29027" i="19"/>
  <c r="A29026" i="19"/>
  <c r="A29025" i="19"/>
  <c r="A29024" i="19"/>
  <c r="A29023" i="19"/>
  <c r="A29022" i="19"/>
  <c r="A29021" i="19"/>
  <c r="A29020" i="19"/>
  <c r="A29019" i="19"/>
  <c r="A29018" i="19"/>
  <c r="A29017" i="19"/>
  <c r="A29016" i="19"/>
  <c r="A29015" i="19"/>
  <c r="A29014" i="19"/>
  <c r="A29013" i="19"/>
  <c r="A29012" i="19"/>
  <c r="A29011" i="19"/>
  <c r="A29010" i="19"/>
  <c r="A29009" i="19"/>
  <c r="A29008" i="19"/>
  <c r="A29007" i="19"/>
  <c r="A29006" i="19"/>
  <c r="A29005" i="19"/>
  <c r="A29004" i="19"/>
  <c r="A29003" i="19"/>
  <c r="A29002" i="19"/>
  <c r="A29001" i="19"/>
  <c r="A29000" i="19"/>
  <c r="A28999" i="19"/>
  <c r="A28998" i="19"/>
  <c r="A28997" i="19"/>
  <c r="A28996" i="19"/>
  <c r="A28995" i="19"/>
  <c r="A28994" i="19"/>
  <c r="A28993" i="19"/>
  <c r="A28992" i="19"/>
  <c r="A28991" i="19"/>
  <c r="A28990" i="19"/>
  <c r="A28989" i="19"/>
  <c r="A28988" i="19"/>
  <c r="A28987" i="19"/>
  <c r="A28986" i="19"/>
  <c r="A28985" i="19"/>
  <c r="A28984" i="19"/>
  <c r="A28983" i="19"/>
  <c r="A28982" i="19"/>
  <c r="A28981" i="19"/>
  <c r="A28980" i="19"/>
  <c r="A28979" i="19"/>
  <c r="A28978" i="19"/>
  <c r="A28977" i="19"/>
  <c r="A28976" i="19"/>
  <c r="A28975" i="19"/>
  <c r="A28974" i="19"/>
  <c r="A28973" i="19"/>
  <c r="A28972" i="19"/>
  <c r="A28971" i="19"/>
  <c r="A28970" i="19"/>
  <c r="A28969" i="19"/>
  <c r="A28968" i="19"/>
  <c r="A28967" i="19"/>
  <c r="A28966" i="19"/>
  <c r="A28965" i="19"/>
  <c r="A28964" i="19"/>
  <c r="A28963" i="19"/>
  <c r="A28962" i="19"/>
  <c r="A28961" i="19"/>
  <c r="A28960" i="19"/>
  <c r="A28959" i="19"/>
  <c r="A28958" i="19"/>
  <c r="A28957" i="19"/>
  <c r="A28956" i="19"/>
  <c r="A28955" i="19"/>
  <c r="A28954" i="19"/>
  <c r="A28953" i="19"/>
  <c r="A28952" i="19"/>
  <c r="A28951" i="19"/>
  <c r="A28950" i="19"/>
  <c r="A28949" i="19"/>
  <c r="A28948" i="19"/>
  <c r="A28947" i="19"/>
  <c r="A28946" i="19"/>
  <c r="A28945" i="19"/>
  <c r="A28944" i="19"/>
  <c r="A28943" i="19"/>
  <c r="A28942" i="19"/>
  <c r="A28941" i="19"/>
  <c r="A28940" i="19"/>
  <c r="A28939" i="19"/>
  <c r="A28938" i="19"/>
  <c r="A28937" i="19"/>
  <c r="A28936" i="19"/>
  <c r="A28935" i="19"/>
  <c r="A28934" i="19"/>
  <c r="A28933" i="19"/>
  <c r="A28932" i="19"/>
  <c r="A28931" i="19"/>
  <c r="A28930" i="19"/>
  <c r="A28929" i="19"/>
  <c r="A28928" i="19"/>
  <c r="A28927" i="19"/>
  <c r="A28926" i="19"/>
  <c r="A28925" i="19"/>
  <c r="A28924" i="19"/>
  <c r="A28923" i="19"/>
  <c r="A28922" i="19"/>
  <c r="A28921" i="19"/>
  <c r="A28920" i="19"/>
  <c r="A28919" i="19"/>
  <c r="A28918" i="19"/>
  <c r="A28917" i="19"/>
  <c r="A28916" i="19"/>
  <c r="A28915" i="19"/>
  <c r="A28914" i="19"/>
  <c r="A28913" i="19"/>
  <c r="A28912" i="19"/>
  <c r="A28911" i="19"/>
  <c r="A28910" i="19"/>
  <c r="A28909" i="19"/>
  <c r="A28908" i="19"/>
  <c r="A28907" i="19"/>
  <c r="A28906" i="19"/>
  <c r="A28905" i="19"/>
  <c r="A28904" i="19"/>
  <c r="A28903" i="19"/>
  <c r="A28902" i="19"/>
  <c r="A28901" i="19"/>
  <c r="A28900" i="19"/>
  <c r="A28899" i="19"/>
  <c r="A28898" i="19"/>
  <c r="A28897" i="19"/>
  <c r="A28896" i="19"/>
  <c r="A28895" i="19"/>
  <c r="A28894" i="19"/>
  <c r="A28893" i="19"/>
  <c r="A28892" i="19"/>
  <c r="A28891" i="19"/>
  <c r="A28890" i="19"/>
  <c r="A28889" i="19"/>
  <c r="A28888" i="19"/>
  <c r="A28887" i="19"/>
  <c r="A28886" i="19"/>
  <c r="A28885" i="19"/>
  <c r="A28884" i="19"/>
  <c r="A28883" i="19"/>
  <c r="A28882" i="19"/>
  <c r="A28881" i="19"/>
  <c r="A28880" i="19"/>
  <c r="A28879" i="19"/>
  <c r="A28878" i="19"/>
  <c r="A28877" i="19"/>
  <c r="A28876" i="19"/>
  <c r="A28875" i="19"/>
  <c r="A28874" i="19"/>
  <c r="A28873" i="19"/>
  <c r="A28872" i="19"/>
  <c r="A28871" i="19"/>
  <c r="A28870" i="19"/>
  <c r="A28869" i="19"/>
  <c r="A28868" i="19"/>
  <c r="A28867" i="19"/>
  <c r="A28866" i="19"/>
  <c r="A28865" i="19"/>
  <c r="A28864" i="19"/>
  <c r="A28863" i="19"/>
  <c r="A28862" i="19"/>
  <c r="A28861" i="19"/>
  <c r="A28860" i="19"/>
  <c r="A28859" i="19"/>
  <c r="A28858" i="19"/>
  <c r="A28857" i="19"/>
  <c r="A28856" i="19"/>
  <c r="A28855" i="19"/>
  <c r="A28854" i="19"/>
  <c r="A28853" i="19"/>
  <c r="A28852" i="19"/>
  <c r="A28851" i="19"/>
  <c r="A28850" i="19"/>
  <c r="A28849" i="19"/>
  <c r="A28848" i="19"/>
  <c r="A28847" i="19"/>
  <c r="A28846" i="19"/>
  <c r="A28845" i="19"/>
  <c r="A28844" i="19"/>
  <c r="A28843" i="19"/>
  <c r="A28842" i="19"/>
  <c r="A28841" i="19"/>
  <c r="A28840" i="19"/>
  <c r="A28839" i="19"/>
  <c r="A28838" i="19"/>
  <c r="A28837" i="19"/>
  <c r="A28836" i="19"/>
  <c r="A28835" i="19"/>
  <c r="A28834" i="19"/>
  <c r="A28833" i="19"/>
  <c r="A28832" i="19"/>
  <c r="A28831" i="19"/>
  <c r="A28830" i="19"/>
  <c r="A28829" i="19"/>
  <c r="A28828" i="19"/>
  <c r="A28827" i="19"/>
  <c r="A28826" i="19"/>
  <c r="A28825" i="19"/>
  <c r="A28824" i="19"/>
  <c r="A28823" i="19"/>
  <c r="A28822" i="19"/>
  <c r="A28821" i="19"/>
  <c r="A28820" i="19"/>
  <c r="A28819" i="19"/>
  <c r="A28818" i="19"/>
  <c r="A28817" i="19"/>
  <c r="A28816" i="19"/>
  <c r="A28815" i="19"/>
  <c r="A28814" i="19"/>
  <c r="A28813" i="19"/>
  <c r="A28812" i="19"/>
  <c r="A28811" i="19"/>
  <c r="A28810" i="19"/>
  <c r="A28809" i="19"/>
  <c r="A28808" i="19"/>
  <c r="A28807" i="19"/>
  <c r="A28806" i="19"/>
  <c r="A28805" i="19"/>
  <c r="A28804" i="19"/>
  <c r="A28803" i="19"/>
  <c r="A28802" i="19"/>
  <c r="A28801" i="19"/>
  <c r="A28800" i="19"/>
  <c r="A28799" i="19"/>
  <c r="A28798" i="19"/>
  <c r="A28797" i="19"/>
  <c r="A28796" i="19"/>
  <c r="A28795" i="19"/>
  <c r="A28794" i="19"/>
  <c r="A28793" i="19"/>
  <c r="A28792" i="19"/>
  <c r="A28791" i="19"/>
  <c r="A28790" i="19"/>
  <c r="A28789" i="19"/>
  <c r="A28788" i="19"/>
  <c r="A28787" i="19"/>
  <c r="A28786" i="19"/>
  <c r="A28785" i="19"/>
  <c r="A28784" i="19"/>
  <c r="A28783" i="19"/>
  <c r="A28782" i="19"/>
  <c r="A28781" i="19"/>
  <c r="A28780" i="19"/>
  <c r="A28779" i="19"/>
  <c r="A28778" i="19"/>
  <c r="A28777" i="19"/>
  <c r="A28776" i="19"/>
  <c r="A28775" i="19"/>
  <c r="A28774" i="19"/>
  <c r="A28773" i="19"/>
  <c r="A28772" i="19"/>
  <c r="A28771" i="19"/>
  <c r="A28770" i="19"/>
  <c r="A28769" i="19"/>
  <c r="A28768" i="19"/>
  <c r="A28767" i="19"/>
  <c r="A28766" i="19"/>
  <c r="A28765" i="19"/>
  <c r="A28764" i="19"/>
  <c r="A28763" i="19"/>
  <c r="A28762" i="19"/>
  <c r="A28761" i="19"/>
  <c r="A28760" i="19"/>
  <c r="A28759" i="19"/>
  <c r="A28758" i="19"/>
  <c r="A28757" i="19"/>
  <c r="A28756" i="19"/>
  <c r="A28755" i="19"/>
  <c r="A28754" i="19"/>
  <c r="A28753" i="19"/>
  <c r="A28752" i="19"/>
  <c r="A28751" i="19"/>
  <c r="A28750" i="19"/>
  <c r="A28749" i="19"/>
  <c r="A28748" i="19"/>
  <c r="A28747" i="19"/>
  <c r="A28746" i="19"/>
  <c r="A28745" i="19"/>
  <c r="A28744" i="19"/>
  <c r="A28743" i="19"/>
  <c r="A28742" i="19"/>
  <c r="A28741" i="19"/>
  <c r="A28740" i="19"/>
  <c r="A28739" i="19"/>
  <c r="A28738" i="19"/>
  <c r="A28737" i="19"/>
  <c r="A28736" i="19"/>
  <c r="A28735" i="19"/>
  <c r="A28734" i="19"/>
  <c r="A28733" i="19"/>
  <c r="A28732" i="19"/>
  <c r="A28731" i="19"/>
  <c r="A28730" i="19"/>
  <c r="A28729" i="19"/>
  <c r="A28728" i="19"/>
  <c r="A28727" i="19"/>
  <c r="A28726" i="19"/>
  <c r="A28725" i="19"/>
  <c r="A28724" i="19"/>
  <c r="A28723" i="19"/>
  <c r="A28722" i="19"/>
  <c r="A28721" i="19"/>
  <c r="A28720" i="19"/>
  <c r="A28719" i="19"/>
  <c r="A28718" i="19"/>
  <c r="A28717" i="19"/>
  <c r="A28716" i="19"/>
  <c r="A28715" i="19"/>
  <c r="A28714" i="19"/>
  <c r="A28713" i="19"/>
  <c r="A28712" i="19"/>
  <c r="A28711" i="19"/>
  <c r="A28710" i="19"/>
  <c r="A28709" i="19"/>
  <c r="A28708" i="19"/>
  <c r="A28707" i="19"/>
  <c r="A28706" i="19"/>
  <c r="A28705" i="19"/>
  <c r="A28704" i="19"/>
  <c r="A28703" i="19"/>
  <c r="A28702" i="19"/>
  <c r="A28701" i="19"/>
  <c r="A28700" i="19"/>
  <c r="A28699" i="19"/>
  <c r="A28698" i="19"/>
  <c r="A28697" i="19"/>
  <c r="A28696" i="19"/>
  <c r="A28695" i="19"/>
  <c r="A28694" i="19"/>
  <c r="A28693" i="19"/>
  <c r="A28692" i="19"/>
  <c r="A28691" i="19"/>
  <c r="A28690" i="19"/>
  <c r="A28689" i="19"/>
  <c r="A28688" i="19"/>
  <c r="A28687" i="19"/>
  <c r="A28686" i="19"/>
  <c r="A28685" i="19"/>
  <c r="A28684" i="19"/>
  <c r="A28683" i="19"/>
  <c r="A28682" i="19"/>
  <c r="A28681" i="19"/>
  <c r="A28680" i="19"/>
  <c r="A28679" i="19"/>
  <c r="A28678" i="19"/>
  <c r="A28677" i="19"/>
  <c r="A28676" i="19"/>
  <c r="A28675" i="19"/>
  <c r="A28674" i="19"/>
  <c r="A28673" i="19"/>
  <c r="A28672" i="19"/>
  <c r="A28671" i="19"/>
  <c r="A28670" i="19"/>
  <c r="A28669" i="19"/>
  <c r="A28668" i="19"/>
  <c r="A28667" i="19"/>
  <c r="A28666" i="19"/>
  <c r="A28665" i="19"/>
  <c r="A28664" i="19"/>
  <c r="A28663" i="19"/>
  <c r="A28662" i="19"/>
  <c r="A28661" i="19"/>
  <c r="A28660" i="19"/>
  <c r="A28659" i="19"/>
  <c r="A28658" i="19"/>
  <c r="A28657" i="19"/>
  <c r="A28656" i="19"/>
  <c r="A28655" i="19"/>
  <c r="A28654" i="19"/>
  <c r="A28653" i="19"/>
  <c r="A28652" i="19"/>
  <c r="A28651" i="19"/>
  <c r="A28650" i="19"/>
  <c r="A28649" i="19"/>
  <c r="A28648" i="19"/>
  <c r="A28647" i="19"/>
  <c r="A28646" i="19"/>
  <c r="A28645" i="19"/>
  <c r="A28644" i="19"/>
  <c r="A28643" i="19"/>
  <c r="A28642" i="19"/>
  <c r="A28641" i="19"/>
  <c r="A28640" i="19"/>
  <c r="A28639" i="19"/>
  <c r="A28638" i="19"/>
  <c r="A28637" i="19"/>
  <c r="A28636" i="19"/>
  <c r="A28635" i="19"/>
  <c r="A28634" i="19"/>
  <c r="A28633" i="19"/>
  <c r="A28632" i="19"/>
  <c r="A28631" i="19"/>
  <c r="A28630" i="19"/>
  <c r="A28629" i="19"/>
  <c r="A28628" i="19"/>
  <c r="A28627" i="19"/>
  <c r="A28626" i="19"/>
  <c r="A28625" i="19"/>
  <c r="A28624" i="19"/>
  <c r="A28623" i="19"/>
  <c r="A28622" i="19"/>
  <c r="A28621" i="19"/>
  <c r="A28620" i="19"/>
  <c r="A28619" i="19"/>
  <c r="A28618" i="19"/>
  <c r="A28617" i="19"/>
  <c r="A28616" i="19"/>
  <c r="A28615" i="19"/>
  <c r="A28614" i="19"/>
  <c r="A28613" i="19"/>
  <c r="A28612" i="19"/>
  <c r="A28611" i="19"/>
  <c r="A28610" i="19"/>
  <c r="A28609" i="19"/>
  <c r="A28608" i="19"/>
  <c r="A28607" i="19"/>
  <c r="A28606" i="19"/>
  <c r="A28605" i="19"/>
  <c r="A28604" i="19"/>
  <c r="A28603" i="19"/>
  <c r="A28602" i="19"/>
  <c r="A28601" i="19"/>
  <c r="A28600" i="19"/>
  <c r="A28599" i="19"/>
  <c r="A28598" i="19"/>
  <c r="A28597" i="19"/>
  <c r="A28596" i="19"/>
  <c r="A28595" i="19"/>
  <c r="A28594" i="19"/>
  <c r="A28593" i="19"/>
  <c r="A28592" i="19"/>
  <c r="A28591" i="19"/>
  <c r="A28590" i="19"/>
  <c r="A28589" i="19"/>
  <c r="A28588" i="19"/>
  <c r="A28587" i="19"/>
  <c r="A28586" i="19"/>
  <c r="A28585" i="19"/>
  <c r="A28584" i="19"/>
  <c r="A28583" i="19"/>
  <c r="A28582" i="19"/>
  <c r="A28581" i="19"/>
  <c r="A28580" i="19"/>
  <c r="A28579" i="19"/>
  <c r="A28578" i="19"/>
  <c r="A28577" i="19"/>
  <c r="A28576" i="19"/>
  <c r="A28575" i="19"/>
  <c r="A28574" i="19"/>
  <c r="A28573" i="19"/>
  <c r="A28572" i="19"/>
  <c r="A28571" i="19"/>
  <c r="A28570" i="19"/>
  <c r="A28569" i="19"/>
  <c r="A28568" i="19"/>
  <c r="A28567" i="19"/>
  <c r="A28566" i="19"/>
  <c r="A28565" i="19"/>
  <c r="A28564" i="19"/>
  <c r="A28563" i="19"/>
  <c r="A28562" i="19"/>
  <c r="A28561" i="19"/>
  <c r="A28560" i="19"/>
  <c r="A28559" i="19"/>
  <c r="A28558" i="19"/>
  <c r="A28557" i="19"/>
  <c r="A28556" i="19"/>
  <c r="A28555" i="19"/>
  <c r="A28554" i="19"/>
  <c r="A28553" i="19"/>
  <c r="A28552" i="19"/>
  <c r="A28551" i="19"/>
  <c r="A28550" i="19"/>
  <c r="A28549" i="19"/>
  <c r="A28548" i="19"/>
  <c r="A28547" i="19"/>
  <c r="A28546" i="19"/>
  <c r="A28545" i="19"/>
  <c r="A28544" i="19"/>
  <c r="A28543" i="19"/>
  <c r="A28542" i="19"/>
  <c r="A28541" i="19"/>
  <c r="A28540" i="19"/>
  <c r="A28539" i="19"/>
  <c r="A28538" i="19"/>
  <c r="A28537" i="19"/>
  <c r="A28536" i="19"/>
  <c r="A28535" i="19"/>
  <c r="A28534" i="19"/>
  <c r="A28533" i="19"/>
  <c r="A28532" i="19"/>
  <c r="A28531" i="19"/>
  <c r="A28530" i="19"/>
  <c r="A28529" i="19"/>
  <c r="A28528" i="19"/>
  <c r="A28527" i="19"/>
  <c r="A28526" i="19"/>
  <c r="A28525" i="19"/>
  <c r="A28524" i="19"/>
  <c r="A28523" i="19"/>
  <c r="A28522" i="19"/>
  <c r="A28521" i="19"/>
  <c r="A28520" i="19"/>
  <c r="A28519" i="19"/>
  <c r="A28518" i="19"/>
  <c r="A28517" i="19"/>
  <c r="A28516" i="19"/>
  <c r="A28515" i="19"/>
  <c r="A28514" i="19"/>
  <c r="A28513" i="19"/>
  <c r="A28512" i="19"/>
  <c r="A28511" i="19"/>
  <c r="A28510" i="19"/>
  <c r="A28509" i="19"/>
  <c r="A28508" i="19"/>
  <c r="A28507" i="19"/>
  <c r="A28506" i="19"/>
  <c r="A28505" i="19"/>
  <c r="A28504" i="19"/>
  <c r="A28503" i="19"/>
  <c r="A28502" i="19"/>
  <c r="A28501" i="19"/>
  <c r="A28500" i="19"/>
  <c r="A28499" i="19"/>
  <c r="A28498" i="19"/>
  <c r="A28497" i="19"/>
  <c r="A28496" i="19"/>
  <c r="A28495" i="19"/>
  <c r="A28494" i="19"/>
  <c r="A28493" i="19"/>
  <c r="A28492" i="19"/>
  <c r="A28491" i="19"/>
  <c r="A28490" i="19"/>
  <c r="A28489" i="19"/>
  <c r="A28488" i="19"/>
  <c r="A28487" i="19"/>
  <c r="A28486" i="19"/>
  <c r="A28485" i="19"/>
  <c r="A28484" i="19"/>
  <c r="A28483" i="19"/>
  <c r="A28482" i="19"/>
  <c r="A28481" i="19"/>
  <c r="A28480" i="19"/>
  <c r="A28479" i="19"/>
  <c r="A28478" i="19"/>
  <c r="A28477" i="19"/>
  <c r="A28476" i="19"/>
  <c r="A28475" i="19"/>
  <c r="A28474" i="19"/>
  <c r="A28473" i="19"/>
  <c r="A28472" i="19"/>
  <c r="A28471" i="19"/>
  <c r="A28470" i="19"/>
  <c r="A28469" i="19"/>
  <c r="A28468" i="19"/>
  <c r="A28467" i="19"/>
  <c r="A28466" i="19"/>
  <c r="A28465" i="19"/>
  <c r="A28464" i="19"/>
  <c r="A28463" i="19"/>
  <c r="A28462" i="19"/>
  <c r="A28461" i="19"/>
  <c r="A28460" i="19"/>
  <c r="A28459" i="19"/>
  <c r="A28458" i="19"/>
  <c r="A28457" i="19"/>
  <c r="A28456" i="19"/>
  <c r="A28455" i="19"/>
  <c r="A28454" i="19"/>
  <c r="A28453" i="19"/>
  <c r="A28452" i="19"/>
  <c r="A28451" i="19"/>
  <c r="A28450" i="19"/>
  <c r="A28449" i="19"/>
  <c r="A28448" i="19"/>
  <c r="A28447" i="19"/>
  <c r="A28446" i="19"/>
  <c r="A28445" i="19"/>
  <c r="A28444" i="19"/>
  <c r="A28443" i="19"/>
  <c r="A28442" i="19"/>
  <c r="A28441" i="19"/>
  <c r="A28440" i="19"/>
  <c r="A28439" i="19"/>
  <c r="A28438" i="19"/>
  <c r="A28437" i="19"/>
  <c r="A28436" i="19"/>
  <c r="A28435" i="19"/>
  <c r="A28434" i="19"/>
  <c r="A28433" i="19"/>
  <c r="A28432" i="19"/>
  <c r="A28431" i="19"/>
  <c r="A28430" i="19"/>
  <c r="A28429" i="19"/>
  <c r="A28428" i="19"/>
  <c r="A28427" i="19"/>
  <c r="A28426" i="19"/>
  <c r="A28425" i="19"/>
  <c r="A28424" i="19"/>
  <c r="A28423" i="19"/>
  <c r="A28422" i="19"/>
  <c r="A28421" i="19"/>
  <c r="A28420" i="19"/>
  <c r="A28419" i="19"/>
  <c r="A28418" i="19"/>
  <c r="A28417" i="19"/>
  <c r="A28416" i="19"/>
  <c r="A28415" i="19"/>
  <c r="A28414" i="19"/>
  <c r="A28413" i="19"/>
  <c r="A28412" i="19"/>
  <c r="A28411" i="19"/>
  <c r="A28410" i="19"/>
  <c r="A28409" i="19"/>
  <c r="A28408" i="19"/>
  <c r="A28407" i="19"/>
  <c r="A28406" i="19"/>
  <c r="A28405" i="19"/>
  <c r="A28404" i="19"/>
  <c r="A28403" i="19"/>
  <c r="A28402" i="19"/>
  <c r="A28401" i="19"/>
  <c r="A28400" i="19"/>
  <c r="A28399" i="19"/>
  <c r="A28398" i="19"/>
  <c r="A28397" i="19"/>
  <c r="A28396" i="19"/>
  <c r="A28395" i="19"/>
  <c r="A28394" i="19"/>
  <c r="A28393" i="19"/>
  <c r="A28392" i="19"/>
  <c r="A28391" i="19"/>
  <c r="A28390" i="19"/>
  <c r="A28389" i="19"/>
  <c r="A28388" i="19"/>
  <c r="A28387" i="19"/>
  <c r="A28386" i="19"/>
  <c r="A28385" i="19"/>
  <c r="A28384" i="19"/>
  <c r="A28383" i="19"/>
  <c r="A28382" i="19"/>
  <c r="A28381" i="19"/>
  <c r="A28380" i="19"/>
  <c r="A28379" i="19"/>
  <c r="A28378" i="19"/>
  <c r="A28377" i="19"/>
  <c r="A28376" i="19"/>
  <c r="A28375" i="19"/>
  <c r="A28374" i="19"/>
  <c r="A28373" i="19"/>
  <c r="A28372" i="19"/>
  <c r="A28371" i="19"/>
  <c r="A28370" i="19"/>
  <c r="A28369" i="19"/>
  <c r="A28368" i="19"/>
  <c r="A28367" i="19"/>
  <c r="A28366" i="19"/>
  <c r="A28365" i="19"/>
  <c r="A28364" i="19"/>
  <c r="A28363" i="19"/>
  <c r="A28362" i="19"/>
  <c r="A28361" i="19"/>
  <c r="A28360" i="19"/>
  <c r="A28359" i="19"/>
  <c r="A28358" i="19"/>
  <c r="A28357" i="19"/>
  <c r="A28356" i="19"/>
  <c r="A28355" i="19"/>
  <c r="A28354" i="19"/>
  <c r="A28353" i="19"/>
  <c r="A28352" i="19"/>
  <c r="A28351" i="19"/>
  <c r="A28350" i="19"/>
  <c r="A28349" i="19"/>
  <c r="A28348" i="19"/>
  <c r="A28347" i="19"/>
  <c r="A28346" i="19"/>
  <c r="A28345" i="19"/>
  <c r="A28344" i="19"/>
  <c r="A28343" i="19"/>
  <c r="A28342" i="19"/>
  <c r="A28341" i="19"/>
  <c r="A28340" i="19"/>
  <c r="A28339" i="19"/>
  <c r="A28338" i="19"/>
  <c r="A28337" i="19"/>
  <c r="A28336" i="19"/>
  <c r="A28335" i="19"/>
  <c r="A28334" i="19"/>
  <c r="A28333" i="19"/>
  <c r="A28332" i="19"/>
  <c r="A28331" i="19"/>
  <c r="A28330" i="19"/>
  <c r="A28329" i="19"/>
  <c r="A28328" i="19"/>
  <c r="A28327" i="19"/>
  <c r="A28326" i="19"/>
  <c r="A28325" i="19"/>
  <c r="A28324" i="19"/>
  <c r="A28323" i="19"/>
  <c r="A28322" i="19"/>
  <c r="A28321" i="19"/>
  <c r="A28320" i="19"/>
  <c r="A28319" i="19"/>
  <c r="A28318" i="19"/>
  <c r="A28317" i="19"/>
  <c r="A28316" i="19"/>
  <c r="A28315" i="19"/>
  <c r="A28314" i="19"/>
  <c r="A28313" i="19"/>
  <c r="A28312" i="19"/>
  <c r="A28311" i="19"/>
  <c r="A28310" i="19"/>
  <c r="A28309" i="19"/>
  <c r="A28308" i="19"/>
  <c r="A28307" i="19"/>
  <c r="A28306" i="19"/>
  <c r="A28305" i="19"/>
  <c r="A28304" i="19"/>
  <c r="A28303" i="19"/>
  <c r="A28302" i="19"/>
  <c r="A28301" i="19"/>
  <c r="A28300" i="19"/>
  <c r="A28299" i="19"/>
  <c r="A28298" i="19"/>
  <c r="A28297" i="19"/>
  <c r="A28296" i="19"/>
  <c r="A28295" i="19"/>
  <c r="A28294" i="19"/>
  <c r="A28293" i="19"/>
  <c r="A28292" i="19"/>
  <c r="A28291" i="19"/>
  <c r="A28290" i="19"/>
  <c r="A28289" i="19"/>
  <c r="A28288" i="19"/>
  <c r="A28287" i="19"/>
  <c r="A28286" i="19"/>
  <c r="A28285" i="19"/>
  <c r="A28284" i="19"/>
  <c r="A28283" i="19"/>
  <c r="A28282" i="19"/>
  <c r="A28281" i="19"/>
  <c r="A28280" i="19"/>
  <c r="A28279" i="19"/>
  <c r="A28278" i="19"/>
  <c r="A28277" i="19"/>
  <c r="A28276" i="19"/>
  <c r="A28275" i="19"/>
  <c r="A28274" i="19"/>
  <c r="A28273" i="19"/>
  <c r="A28272" i="19"/>
  <c r="A28271" i="19"/>
  <c r="A28270" i="19"/>
  <c r="A28269" i="19"/>
  <c r="A28268" i="19"/>
  <c r="A28267" i="19"/>
  <c r="A28266" i="19"/>
  <c r="A28265" i="19"/>
  <c r="A28264" i="19"/>
  <c r="A28263" i="19"/>
  <c r="A28262" i="19"/>
  <c r="A28261" i="19"/>
  <c r="A28260" i="19"/>
  <c r="A28259" i="19"/>
  <c r="A28258" i="19"/>
  <c r="A28257" i="19"/>
  <c r="A28256" i="19"/>
  <c r="A28255" i="19"/>
  <c r="A28254" i="19"/>
  <c r="A28253" i="19"/>
  <c r="A28252" i="19"/>
  <c r="A28251" i="19"/>
  <c r="A28250" i="19"/>
  <c r="A28249" i="19"/>
  <c r="A28248" i="19"/>
  <c r="A28247" i="19"/>
  <c r="A28246" i="19"/>
  <c r="A28245" i="19"/>
  <c r="A28244" i="19"/>
  <c r="A28243" i="19"/>
  <c r="A28242" i="19"/>
  <c r="A28241" i="19"/>
  <c r="A28240" i="19"/>
  <c r="A28239" i="19"/>
  <c r="A28238" i="19"/>
  <c r="A28237" i="19"/>
  <c r="A28236" i="19"/>
  <c r="A28235" i="19"/>
  <c r="A28234" i="19"/>
  <c r="A28233" i="19"/>
  <c r="A28232" i="19"/>
  <c r="A28231" i="19"/>
  <c r="A28230" i="19"/>
  <c r="A28229" i="19"/>
  <c r="A28228" i="19"/>
  <c r="A28227" i="19"/>
  <c r="A28226" i="19"/>
  <c r="A28225" i="19"/>
  <c r="A28224" i="19"/>
  <c r="A28223" i="19"/>
  <c r="A28222" i="19"/>
  <c r="A28221" i="19"/>
  <c r="A28220" i="19"/>
  <c r="A28219" i="19"/>
  <c r="A28218" i="19"/>
  <c r="A28217" i="19"/>
  <c r="A28216" i="19"/>
  <c r="A28215" i="19"/>
  <c r="A28214" i="19"/>
  <c r="A28213" i="19"/>
  <c r="A28212" i="19"/>
  <c r="A28211" i="19"/>
  <c r="A28210" i="19"/>
  <c r="A28209" i="19"/>
  <c r="A28208" i="19"/>
  <c r="A28207" i="19"/>
  <c r="A28206" i="19"/>
  <c r="A28205" i="19"/>
  <c r="A28204" i="19"/>
  <c r="A28203" i="19"/>
  <c r="A28202" i="19"/>
  <c r="A28201" i="19"/>
  <c r="A28200" i="19"/>
  <c r="A28199" i="19"/>
  <c r="A28198" i="19"/>
  <c r="A28197" i="19"/>
  <c r="A28196" i="19"/>
  <c r="A28195" i="19"/>
  <c r="A28194" i="19"/>
  <c r="A28193" i="19"/>
  <c r="A28192" i="19"/>
  <c r="A28191" i="19"/>
  <c r="A28190" i="19"/>
  <c r="A28189" i="19"/>
  <c r="A28188" i="19"/>
  <c r="A28187" i="19"/>
  <c r="A28186" i="19"/>
  <c r="A28185" i="19"/>
  <c r="A28184" i="19"/>
  <c r="A28183" i="19"/>
  <c r="A28182" i="19"/>
  <c r="A28181" i="19"/>
  <c r="A28180" i="19"/>
  <c r="A28179" i="19"/>
  <c r="A28178" i="19"/>
  <c r="A28177" i="19"/>
  <c r="A28176" i="19"/>
  <c r="A28175" i="19"/>
  <c r="A28174" i="19"/>
  <c r="A28173" i="19"/>
  <c r="A28172" i="19"/>
  <c r="A28171" i="19"/>
  <c r="A28170" i="19"/>
  <c r="A28169" i="19"/>
  <c r="A28168" i="19"/>
  <c r="A28167" i="19"/>
  <c r="A28166" i="19"/>
  <c r="A28165" i="19"/>
  <c r="A28164" i="19"/>
  <c r="A28163" i="19"/>
  <c r="A28162" i="19"/>
  <c r="A28161" i="19"/>
  <c r="A28160" i="19"/>
  <c r="A28159" i="19"/>
  <c r="A28158" i="19"/>
  <c r="A28157" i="19"/>
  <c r="A28156" i="19"/>
  <c r="A28155" i="19"/>
  <c r="A28154" i="19"/>
  <c r="A28153" i="19"/>
  <c r="A28152" i="19"/>
  <c r="A28151" i="19"/>
  <c r="A28150" i="19"/>
  <c r="A28149" i="19"/>
  <c r="A28148" i="19"/>
  <c r="A28147" i="19"/>
  <c r="A28146" i="19"/>
  <c r="A28145" i="19"/>
  <c r="A28144" i="19"/>
  <c r="A28143" i="19"/>
  <c r="A28142" i="19"/>
  <c r="A28141" i="19"/>
  <c r="A28140" i="19"/>
  <c r="A28139" i="19"/>
  <c r="A28138" i="19"/>
  <c r="A28137" i="19"/>
  <c r="A28136" i="19"/>
  <c r="A28135" i="19"/>
  <c r="A28134" i="19"/>
  <c r="A28133" i="19"/>
  <c r="A28132" i="19"/>
  <c r="A28131" i="19"/>
  <c r="A28130" i="19"/>
  <c r="A28129" i="19"/>
  <c r="A28128" i="19"/>
  <c r="A28127" i="19"/>
  <c r="A28126" i="19"/>
  <c r="A28125" i="19"/>
  <c r="A28124" i="19"/>
  <c r="A28123" i="19"/>
  <c r="A28122" i="19"/>
  <c r="A28121" i="19"/>
  <c r="A28120" i="19"/>
  <c r="A28119" i="19"/>
  <c r="A28118" i="19"/>
  <c r="A28117" i="19"/>
  <c r="A28116" i="19"/>
  <c r="A28115" i="19"/>
  <c r="A28114" i="19"/>
  <c r="A28113" i="19"/>
  <c r="A28112" i="19"/>
  <c r="A28111" i="19"/>
  <c r="A28110" i="19"/>
  <c r="A28109" i="19"/>
  <c r="A28108" i="19"/>
  <c r="A28107" i="19"/>
  <c r="A28106" i="19"/>
  <c r="A28105" i="19"/>
  <c r="A28104" i="19"/>
  <c r="A28103" i="19"/>
  <c r="A28102" i="19"/>
  <c r="A28101" i="19"/>
  <c r="A28100" i="19"/>
  <c r="A28099" i="19"/>
  <c r="A28098" i="19"/>
  <c r="A28097" i="19"/>
  <c r="A28096" i="19"/>
  <c r="A28095" i="19"/>
  <c r="A28094" i="19"/>
  <c r="A28093" i="19"/>
  <c r="A28092" i="19"/>
  <c r="A28091" i="19"/>
  <c r="A28090" i="19"/>
  <c r="A28089" i="19"/>
  <c r="A28088" i="19"/>
  <c r="A28087" i="19"/>
  <c r="A28086" i="19"/>
  <c r="A28085" i="19"/>
  <c r="A28084" i="19"/>
  <c r="A28083" i="19"/>
  <c r="A28082" i="19"/>
  <c r="A28081" i="19"/>
  <c r="A28080" i="19"/>
  <c r="A28079" i="19"/>
  <c r="A28078" i="19"/>
  <c r="A28077" i="19"/>
  <c r="A28076" i="19"/>
  <c r="A28075" i="19"/>
  <c r="A28074" i="19"/>
  <c r="A28073" i="19"/>
  <c r="A28072" i="19"/>
  <c r="A28071" i="19"/>
  <c r="A28070" i="19"/>
  <c r="A28069" i="19"/>
  <c r="A28068" i="19"/>
  <c r="A28067" i="19"/>
  <c r="A28066" i="19"/>
  <c r="A28065" i="19"/>
  <c r="A28064" i="19"/>
  <c r="A28063" i="19"/>
  <c r="A28062" i="19"/>
  <c r="A28061" i="19"/>
  <c r="A28060" i="19"/>
  <c r="A28059" i="19"/>
  <c r="A28058" i="19"/>
  <c r="A28057" i="19"/>
  <c r="A28056" i="19"/>
  <c r="A28055" i="19"/>
  <c r="A28054" i="19"/>
  <c r="A28053" i="19"/>
  <c r="A28052" i="19"/>
  <c r="A28051" i="19"/>
  <c r="A28050" i="19"/>
  <c r="A28049" i="19"/>
  <c r="A28048" i="19"/>
  <c r="A28047" i="19"/>
  <c r="A28046" i="19"/>
  <c r="A28045" i="19"/>
  <c r="A28044" i="19"/>
  <c r="A28043" i="19"/>
  <c r="A28042" i="19"/>
  <c r="A28041" i="19"/>
  <c r="A28040" i="19"/>
  <c r="A28039" i="19"/>
  <c r="A28038" i="19"/>
  <c r="A28037" i="19"/>
  <c r="A28036" i="19"/>
  <c r="A28035" i="19"/>
  <c r="A28034" i="19"/>
  <c r="A28033" i="19"/>
  <c r="A28032" i="19"/>
  <c r="A28031" i="19"/>
  <c r="A28030" i="19"/>
  <c r="A28029" i="19"/>
  <c r="A28028" i="19"/>
  <c r="A28027" i="19"/>
  <c r="A28026" i="19"/>
  <c r="A28025" i="19"/>
  <c r="A28024" i="19"/>
  <c r="A28023" i="19"/>
  <c r="A28022" i="19"/>
  <c r="A28021" i="19"/>
  <c r="A28020" i="19"/>
  <c r="A28019" i="19"/>
  <c r="A28018" i="19"/>
  <c r="A28017" i="19"/>
  <c r="A28016" i="19"/>
  <c r="A28015" i="19"/>
  <c r="A28014" i="19"/>
  <c r="A28013" i="19"/>
  <c r="A28012" i="19"/>
  <c r="A28011" i="19"/>
  <c r="A28010" i="19"/>
  <c r="A28009" i="19"/>
  <c r="A28008" i="19"/>
  <c r="A28007" i="19"/>
  <c r="A28006" i="19"/>
  <c r="A28005" i="19"/>
  <c r="A28004" i="19"/>
  <c r="A28003" i="19"/>
  <c r="A28002" i="19"/>
  <c r="A28001" i="19"/>
  <c r="A28000" i="19"/>
  <c r="A27999" i="19"/>
  <c r="A27998" i="19"/>
  <c r="A27997" i="19"/>
  <c r="A27996" i="19"/>
  <c r="A27995" i="19"/>
  <c r="A27994" i="19"/>
  <c r="A27993" i="19"/>
  <c r="A27992" i="19"/>
  <c r="A27991" i="19"/>
  <c r="A27990" i="19"/>
  <c r="A27989" i="19"/>
  <c r="A27988" i="19"/>
  <c r="A27987" i="19"/>
  <c r="A27986" i="19"/>
  <c r="A27985" i="19"/>
  <c r="A27984" i="19"/>
  <c r="A27983" i="19"/>
  <c r="A27982" i="19"/>
  <c r="A27981" i="19"/>
  <c r="A27980" i="19"/>
  <c r="A27979" i="19"/>
  <c r="A27978" i="19"/>
  <c r="A27977" i="19"/>
  <c r="A27976" i="19"/>
  <c r="A27975" i="19"/>
  <c r="A27974" i="19"/>
  <c r="A27973" i="19"/>
  <c r="A27972" i="19"/>
  <c r="A27971" i="19"/>
  <c r="A27970" i="19"/>
  <c r="A27969" i="19"/>
  <c r="A27968" i="19"/>
  <c r="A27967" i="19"/>
  <c r="A27966" i="19"/>
  <c r="A27965" i="19"/>
  <c r="A27964" i="19"/>
  <c r="A27963" i="19"/>
  <c r="A27962" i="19"/>
  <c r="A27961" i="19"/>
  <c r="A27960" i="19"/>
  <c r="A27959" i="19"/>
  <c r="A27958" i="19"/>
  <c r="A27957" i="19"/>
  <c r="A27956" i="19"/>
  <c r="A27955" i="19"/>
  <c r="A27954" i="19"/>
  <c r="A27953" i="19"/>
  <c r="A27952" i="19"/>
  <c r="A27951" i="19"/>
  <c r="A27950" i="19"/>
  <c r="A27949" i="19"/>
  <c r="A27948" i="19"/>
  <c r="A27947" i="19"/>
  <c r="A27946" i="19"/>
  <c r="A27945" i="19"/>
  <c r="A27944" i="19"/>
  <c r="A27943" i="19"/>
  <c r="A27942" i="19"/>
  <c r="A27941" i="19"/>
  <c r="A27940" i="19"/>
  <c r="A27939" i="19"/>
  <c r="A27938" i="19"/>
  <c r="A27937" i="19"/>
  <c r="A27936" i="19"/>
  <c r="A27935" i="19"/>
  <c r="A27934" i="19"/>
  <c r="A27933" i="19"/>
  <c r="A27932" i="19"/>
  <c r="A27931" i="19"/>
  <c r="A27930" i="19"/>
  <c r="A27929" i="19"/>
  <c r="A27928" i="19"/>
  <c r="A27927" i="19"/>
  <c r="A27926" i="19"/>
  <c r="A27925" i="19"/>
  <c r="A27924" i="19"/>
  <c r="A27923" i="19"/>
  <c r="A27922" i="19"/>
  <c r="A27921" i="19"/>
  <c r="A27920" i="19"/>
  <c r="A27919" i="19"/>
  <c r="A27918" i="19"/>
  <c r="A27917" i="19"/>
  <c r="A27916" i="19"/>
  <c r="A27915" i="19"/>
  <c r="A27914" i="19"/>
  <c r="A27913" i="19"/>
  <c r="A27912" i="19"/>
  <c r="A27911" i="19"/>
  <c r="A27910" i="19"/>
  <c r="A27909" i="19"/>
  <c r="A27908" i="19"/>
  <c r="A27907" i="19"/>
  <c r="A27906" i="19"/>
  <c r="A27905" i="19"/>
  <c r="A27904" i="19"/>
  <c r="A27903" i="19"/>
  <c r="A27902" i="19"/>
  <c r="A27901" i="19"/>
  <c r="A27900" i="19"/>
  <c r="A27899" i="19"/>
  <c r="A27898" i="19"/>
  <c r="A27897" i="19"/>
  <c r="A27896" i="19"/>
  <c r="A27895" i="19"/>
  <c r="A27894" i="19"/>
  <c r="A27893" i="19"/>
  <c r="A27892" i="19"/>
  <c r="A27891" i="19"/>
  <c r="A27890" i="19"/>
  <c r="A27889" i="19"/>
  <c r="A27888" i="19"/>
  <c r="A27887" i="19"/>
  <c r="A27886" i="19"/>
  <c r="A27885" i="19"/>
  <c r="A27884" i="19"/>
  <c r="A27883" i="19"/>
  <c r="A27882" i="19"/>
  <c r="A27881" i="19"/>
  <c r="A27880" i="19"/>
  <c r="A27879" i="19"/>
  <c r="A27878" i="19"/>
  <c r="A27877" i="19"/>
  <c r="A27876" i="19"/>
  <c r="A27875" i="19"/>
  <c r="A27874" i="19"/>
  <c r="A27873" i="19"/>
  <c r="A27872" i="19"/>
  <c r="A27871" i="19"/>
  <c r="A27870" i="19"/>
  <c r="A27869" i="19"/>
  <c r="A27868" i="19"/>
  <c r="A27867" i="19"/>
  <c r="A27866" i="19"/>
  <c r="A27865" i="19"/>
  <c r="A27864" i="19"/>
  <c r="A27863" i="19"/>
  <c r="A27862" i="19"/>
  <c r="A27861" i="19"/>
  <c r="A27860" i="19"/>
  <c r="A27859" i="19"/>
  <c r="A27858" i="19"/>
  <c r="A27857" i="19"/>
  <c r="A27856" i="19"/>
  <c r="A27855" i="19"/>
  <c r="A27854" i="19"/>
  <c r="A27853" i="19"/>
  <c r="A27852" i="19"/>
  <c r="A27851" i="19"/>
  <c r="A27850" i="19"/>
  <c r="A27849" i="19"/>
  <c r="A27848" i="19"/>
  <c r="A27847" i="19"/>
  <c r="A27846" i="19"/>
  <c r="A27845" i="19"/>
  <c r="A27844" i="19"/>
  <c r="A27843" i="19"/>
  <c r="A27842" i="19"/>
  <c r="A27841" i="19"/>
  <c r="A27840" i="19"/>
  <c r="A27839" i="19"/>
  <c r="A27838" i="19"/>
  <c r="A27837" i="19"/>
  <c r="A27836" i="19"/>
  <c r="A27835" i="19"/>
  <c r="A27834" i="19"/>
  <c r="A27833" i="19"/>
  <c r="A27832" i="19"/>
  <c r="A27831" i="19"/>
  <c r="A27830" i="19"/>
  <c r="A27829" i="19"/>
  <c r="A27828" i="19"/>
  <c r="A27827" i="19"/>
  <c r="A27826" i="19"/>
  <c r="A27825" i="19"/>
  <c r="A27824" i="19"/>
  <c r="A27823" i="19"/>
  <c r="A27822" i="19"/>
  <c r="A27821" i="19"/>
  <c r="A27820" i="19"/>
  <c r="A27819" i="19"/>
  <c r="A27818" i="19"/>
  <c r="A27817" i="19"/>
  <c r="A27816" i="19"/>
  <c r="A27815" i="19"/>
  <c r="A27814" i="19"/>
  <c r="A27813" i="19"/>
  <c r="A27812" i="19"/>
  <c r="A27811" i="19"/>
  <c r="A27810" i="19"/>
  <c r="A27809" i="19"/>
  <c r="A27808" i="19"/>
  <c r="A27807" i="19"/>
  <c r="A27806" i="19"/>
  <c r="A27805" i="19"/>
  <c r="A27804" i="19"/>
  <c r="A27803" i="19"/>
  <c r="A27802" i="19"/>
  <c r="A27801" i="19"/>
  <c r="A27800" i="19"/>
  <c r="A27799" i="19"/>
  <c r="A27798" i="19"/>
  <c r="A27797" i="19"/>
  <c r="A27796" i="19"/>
  <c r="A27795" i="19"/>
  <c r="A27794" i="19"/>
  <c r="A27793" i="19"/>
  <c r="A27792" i="19"/>
  <c r="A27791" i="19"/>
  <c r="A27790" i="19"/>
  <c r="A27789" i="19"/>
  <c r="A27788" i="19"/>
  <c r="A27787" i="19"/>
  <c r="A27786" i="19"/>
  <c r="A27785" i="19"/>
  <c r="A27784" i="19"/>
  <c r="A27783" i="19"/>
  <c r="A27782" i="19"/>
  <c r="A27781" i="19"/>
  <c r="A27780" i="19"/>
  <c r="A27779" i="19"/>
  <c r="A27778" i="19"/>
  <c r="A27777" i="19"/>
  <c r="A27776" i="19"/>
  <c r="A27775" i="19"/>
  <c r="A27774" i="19"/>
  <c r="A27773" i="19"/>
  <c r="A27772" i="19"/>
  <c r="A27771" i="19"/>
  <c r="A27770" i="19"/>
  <c r="A27769" i="19"/>
  <c r="A27768" i="19"/>
  <c r="A27767" i="19"/>
  <c r="A27766" i="19"/>
  <c r="A27765" i="19"/>
  <c r="A27764" i="19"/>
  <c r="A27763" i="19"/>
  <c r="A27762" i="19"/>
  <c r="A27761" i="19"/>
  <c r="A27760" i="19"/>
  <c r="A27759" i="19"/>
  <c r="A27758" i="19"/>
  <c r="A27757" i="19"/>
  <c r="A27756" i="19"/>
  <c r="A27755" i="19"/>
  <c r="A27754" i="19"/>
  <c r="A27753" i="19"/>
  <c r="A27752" i="19"/>
  <c r="A27751" i="19"/>
  <c r="A27750" i="19"/>
  <c r="A27749" i="19"/>
  <c r="A27748" i="19"/>
  <c r="A27747" i="19"/>
  <c r="A27746" i="19"/>
  <c r="A27745" i="19"/>
  <c r="A27744" i="19"/>
  <c r="A27743" i="19"/>
  <c r="A27742" i="19"/>
  <c r="A27741" i="19"/>
  <c r="A27740" i="19"/>
  <c r="A27739" i="19"/>
  <c r="A27738" i="19"/>
  <c r="A27737" i="19"/>
  <c r="A27736" i="19"/>
  <c r="A27735" i="19"/>
  <c r="A27734" i="19"/>
  <c r="A27733" i="19"/>
  <c r="A27732" i="19"/>
  <c r="A27731" i="19"/>
  <c r="A27730" i="19"/>
  <c r="A27729" i="19"/>
  <c r="A27728" i="19"/>
  <c r="A27727" i="19"/>
  <c r="A27726" i="19"/>
  <c r="A27725" i="19"/>
  <c r="A27724" i="19"/>
  <c r="A27723" i="19"/>
  <c r="A27722" i="19"/>
  <c r="A27721" i="19"/>
  <c r="A27720" i="19"/>
  <c r="A27719" i="19"/>
  <c r="A27718" i="19"/>
  <c r="A27717" i="19"/>
  <c r="A27716" i="19"/>
  <c r="A27715" i="19"/>
  <c r="A27714" i="19"/>
  <c r="A27713" i="19"/>
  <c r="A27712" i="19"/>
  <c r="A27711" i="19"/>
  <c r="A27710" i="19"/>
  <c r="A27709" i="19"/>
  <c r="A27708" i="19"/>
  <c r="A27707" i="19"/>
  <c r="A27706" i="19"/>
  <c r="A27705" i="19"/>
  <c r="A27704" i="19"/>
  <c r="A27703" i="19"/>
  <c r="A27702" i="19"/>
  <c r="A27701" i="19"/>
  <c r="A27700" i="19"/>
  <c r="A27699" i="19"/>
  <c r="A27698" i="19"/>
  <c r="A27697" i="19"/>
  <c r="A27696" i="19"/>
  <c r="A27695" i="19"/>
  <c r="A27694" i="19"/>
  <c r="A27693" i="19"/>
  <c r="A27692" i="19"/>
  <c r="A27691" i="19"/>
  <c r="A27690" i="19"/>
  <c r="A27689" i="19"/>
  <c r="A27688" i="19"/>
  <c r="A27687" i="19"/>
  <c r="A27686" i="19"/>
  <c r="A27685" i="19"/>
  <c r="A27684" i="19"/>
  <c r="A27683" i="19"/>
  <c r="A27682" i="19"/>
  <c r="A27681" i="19"/>
  <c r="A27680" i="19"/>
  <c r="A27679" i="19"/>
  <c r="A27678" i="19"/>
  <c r="A27677" i="19"/>
  <c r="A27676" i="19"/>
  <c r="A27675" i="19"/>
  <c r="A27674" i="19"/>
  <c r="A27673" i="19"/>
  <c r="A27672" i="19"/>
  <c r="A27671" i="19"/>
  <c r="A27670" i="19"/>
  <c r="A27669" i="19"/>
  <c r="A27668" i="19"/>
  <c r="A27667" i="19"/>
  <c r="A27666" i="19"/>
  <c r="A27665" i="19"/>
  <c r="A27664" i="19"/>
  <c r="A27663" i="19"/>
  <c r="A27662" i="19"/>
  <c r="A27661" i="19"/>
  <c r="A27660" i="19"/>
  <c r="A27659" i="19"/>
  <c r="A27658" i="19"/>
  <c r="A27657" i="19"/>
  <c r="A27656" i="19"/>
  <c r="A27655" i="19"/>
  <c r="A27654" i="19"/>
  <c r="A27653" i="19"/>
  <c r="A27652" i="19"/>
  <c r="A27651" i="19"/>
  <c r="A27650" i="19"/>
  <c r="A27649" i="19"/>
  <c r="A27648" i="19"/>
  <c r="A27647" i="19"/>
  <c r="A27646" i="19"/>
  <c r="A27645" i="19"/>
  <c r="A27644" i="19"/>
  <c r="A27643" i="19"/>
  <c r="A27642" i="19"/>
  <c r="A27641" i="19"/>
  <c r="A27640" i="19"/>
  <c r="A27639" i="19"/>
  <c r="A27638" i="19"/>
  <c r="A27637" i="19"/>
  <c r="A27636" i="19"/>
  <c r="A27635" i="19"/>
  <c r="A27634" i="19"/>
  <c r="A27633" i="19"/>
  <c r="A27632" i="19"/>
  <c r="A27631" i="19"/>
  <c r="A27630" i="19"/>
  <c r="A27629" i="19"/>
  <c r="A27628" i="19"/>
  <c r="A27627" i="19"/>
  <c r="A27626" i="19"/>
  <c r="A27625" i="19"/>
  <c r="A27624" i="19"/>
  <c r="A27623" i="19"/>
  <c r="A27622" i="19"/>
  <c r="A27621" i="19"/>
  <c r="A27620" i="19"/>
  <c r="A27619" i="19"/>
  <c r="A27618" i="19"/>
  <c r="A27617" i="19"/>
  <c r="A27616" i="19"/>
  <c r="A27615" i="19"/>
  <c r="A27614" i="19"/>
  <c r="A27613" i="19"/>
  <c r="A27612" i="19"/>
  <c r="A27611" i="19"/>
  <c r="A27610" i="19"/>
  <c r="A27609" i="19"/>
  <c r="A27608" i="19"/>
  <c r="A27607" i="19"/>
  <c r="A27606" i="19"/>
  <c r="A27605" i="19"/>
  <c r="A27604" i="19"/>
  <c r="A27603" i="19"/>
  <c r="A27602" i="19"/>
  <c r="A27601" i="19"/>
  <c r="A27600" i="19"/>
  <c r="A27599" i="19"/>
  <c r="A27598" i="19"/>
  <c r="A27597" i="19"/>
  <c r="A27596" i="19"/>
  <c r="A27595" i="19"/>
  <c r="A27594" i="19"/>
  <c r="A27593" i="19"/>
  <c r="A27592" i="19"/>
  <c r="A27591" i="19"/>
  <c r="A27590" i="19"/>
  <c r="A27589" i="19"/>
  <c r="A27588" i="19"/>
  <c r="A27587" i="19"/>
  <c r="A27586" i="19"/>
  <c r="A27585" i="19"/>
  <c r="A27584" i="19"/>
  <c r="A27583" i="19"/>
  <c r="A27582" i="19"/>
  <c r="A27581" i="19"/>
  <c r="A27580" i="19"/>
  <c r="A27579" i="19"/>
  <c r="A27578" i="19"/>
  <c r="A27577" i="19"/>
  <c r="A27576" i="19"/>
  <c r="A27575" i="19"/>
  <c r="A27574" i="19"/>
  <c r="A27573" i="19"/>
  <c r="A27572" i="19"/>
  <c r="A27571" i="19"/>
  <c r="A27570" i="19"/>
  <c r="A27569" i="19"/>
  <c r="A27568" i="19"/>
  <c r="A27567" i="19"/>
  <c r="A27566" i="19"/>
  <c r="A27565" i="19"/>
  <c r="A27564" i="19"/>
  <c r="A27563" i="19"/>
  <c r="A27562" i="19"/>
  <c r="A27561" i="19"/>
  <c r="A27560" i="19"/>
  <c r="A27559" i="19"/>
  <c r="A27558" i="19"/>
  <c r="A27557" i="19"/>
  <c r="A27556" i="19"/>
  <c r="A27555" i="19"/>
  <c r="A27554" i="19"/>
  <c r="A27553" i="19"/>
  <c r="A27552" i="19"/>
  <c r="A27551" i="19"/>
  <c r="A27550" i="19"/>
  <c r="A27549" i="19"/>
  <c r="A27548" i="19"/>
  <c r="A27547" i="19"/>
  <c r="A27546" i="19"/>
  <c r="A27545" i="19"/>
  <c r="A27544" i="19"/>
  <c r="A27543" i="19"/>
  <c r="A27542" i="19"/>
  <c r="A27541" i="19"/>
  <c r="A27540" i="19"/>
  <c r="A27539" i="19"/>
  <c r="A27538" i="19"/>
  <c r="A27537" i="19"/>
  <c r="A27536" i="19"/>
  <c r="A27535" i="19"/>
  <c r="A27534" i="19"/>
  <c r="A27533" i="19"/>
  <c r="A27532" i="19"/>
  <c r="A27531" i="19"/>
  <c r="A27530" i="19"/>
  <c r="A27529" i="19"/>
  <c r="A27528" i="19"/>
  <c r="A27527" i="19"/>
  <c r="A27526" i="19"/>
  <c r="A27525" i="19"/>
  <c r="A27524" i="19"/>
  <c r="A27523" i="19"/>
  <c r="A27522" i="19"/>
  <c r="A27521" i="19"/>
  <c r="A27520" i="19"/>
  <c r="A27519" i="19"/>
  <c r="A27518" i="19"/>
  <c r="A27517" i="19"/>
  <c r="A27516" i="19"/>
  <c r="A27515" i="19"/>
  <c r="A27514" i="19"/>
  <c r="A27513" i="19"/>
  <c r="A27512" i="19"/>
  <c r="A27511" i="19"/>
  <c r="A27510" i="19"/>
  <c r="A27509" i="19"/>
  <c r="A27508" i="19"/>
  <c r="A27507" i="19"/>
  <c r="A27506" i="19"/>
  <c r="A27505" i="19"/>
  <c r="A27504" i="19"/>
  <c r="A27503" i="19"/>
  <c r="A27502" i="19"/>
  <c r="A27501" i="19"/>
  <c r="A27500" i="19"/>
  <c r="A27499" i="19"/>
  <c r="A27498" i="19"/>
  <c r="A27497" i="19"/>
  <c r="A27496" i="19"/>
  <c r="A27495" i="19"/>
  <c r="A27494" i="19"/>
  <c r="A27493" i="19"/>
  <c r="A27492" i="19"/>
  <c r="A27491" i="19"/>
  <c r="A27490" i="19"/>
  <c r="A27489" i="19"/>
  <c r="A27488" i="19"/>
  <c r="A27487" i="19"/>
  <c r="A27486" i="19"/>
  <c r="A27485" i="19"/>
  <c r="A27484" i="19"/>
  <c r="A27483" i="19"/>
  <c r="A27482" i="19"/>
  <c r="A27481" i="19"/>
  <c r="A27480" i="19"/>
  <c r="A27479" i="19"/>
  <c r="A27478" i="19"/>
  <c r="A27477" i="19"/>
  <c r="A27476" i="19"/>
  <c r="A27475" i="19"/>
  <c r="A27474" i="19"/>
  <c r="A27473" i="19"/>
  <c r="A27472" i="19"/>
  <c r="A27471" i="19"/>
  <c r="A27470" i="19"/>
  <c r="A27469" i="19"/>
  <c r="A27468" i="19"/>
  <c r="A27467" i="19"/>
  <c r="A27466" i="19"/>
  <c r="A27465" i="19"/>
  <c r="A27464" i="19"/>
  <c r="A27463" i="19"/>
  <c r="A27462" i="19"/>
  <c r="A27461" i="19"/>
  <c r="A27460" i="19"/>
  <c r="A27459" i="19"/>
  <c r="A27458" i="19"/>
  <c r="A27457" i="19"/>
  <c r="A27456" i="19"/>
  <c r="A27455" i="19"/>
  <c r="A27454" i="19"/>
  <c r="A27453" i="19"/>
  <c r="A27452" i="19"/>
  <c r="A27451" i="19"/>
  <c r="A27450" i="19"/>
  <c r="A27449" i="19"/>
  <c r="A27448" i="19"/>
  <c r="A27447" i="19"/>
  <c r="A27446" i="19"/>
  <c r="A27445" i="19"/>
  <c r="A27444" i="19"/>
  <c r="A27443" i="19"/>
  <c r="A27442" i="19"/>
  <c r="A27441" i="19"/>
  <c r="A27440" i="19"/>
  <c r="A27439" i="19"/>
  <c r="A27438" i="19"/>
  <c r="A27437" i="19"/>
  <c r="A27436" i="19"/>
  <c r="A27435" i="19"/>
  <c r="A27434" i="19"/>
  <c r="A27433" i="19"/>
  <c r="A27432" i="19"/>
  <c r="A27431" i="19"/>
  <c r="A27430" i="19"/>
  <c r="A27429" i="19"/>
  <c r="A27428" i="19"/>
  <c r="A27427" i="19"/>
  <c r="A27426" i="19"/>
  <c r="A27425" i="19"/>
  <c r="A27424" i="19"/>
  <c r="A27423" i="19"/>
  <c r="A27422" i="19"/>
  <c r="A27421" i="19"/>
  <c r="A27420" i="19"/>
  <c r="A27419" i="19"/>
  <c r="A27418" i="19"/>
  <c r="A27417" i="19"/>
  <c r="A27416" i="19"/>
  <c r="A27415" i="19"/>
  <c r="A27414" i="19"/>
  <c r="A27413" i="19"/>
  <c r="A27412" i="19"/>
  <c r="A27411" i="19"/>
  <c r="A27410" i="19"/>
  <c r="A27409" i="19"/>
  <c r="A27408" i="19"/>
  <c r="A27407" i="19"/>
  <c r="A27406" i="19"/>
  <c r="A27405" i="19"/>
  <c r="A27404" i="19"/>
  <c r="A27403" i="19"/>
  <c r="A27402" i="19"/>
  <c r="A27401" i="19"/>
  <c r="A27400" i="19"/>
  <c r="A27399" i="19"/>
  <c r="A27398" i="19"/>
  <c r="A27397" i="19"/>
  <c r="A27396" i="19"/>
  <c r="A27395" i="19"/>
  <c r="A27394" i="19"/>
  <c r="A27393" i="19"/>
  <c r="A27392" i="19"/>
  <c r="A27391" i="19"/>
  <c r="A27390" i="19"/>
  <c r="A27389" i="19"/>
  <c r="A27388" i="19"/>
  <c r="A27387" i="19"/>
  <c r="A27386" i="19"/>
  <c r="A27385" i="19"/>
  <c r="A27384" i="19"/>
  <c r="A27383" i="19"/>
  <c r="A27382" i="19"/>
  <c r="A27381" i="19"/>
  <c r="A27380" i="19"/>
  <c r="A27379" i="19"/>
  <c r="A27378" i="19"/>
  <c r="A27377" i="19"/>
  <c r="A27376" i="19"/>
  <c r="A27375" i="19"/>
  <c r="A27374" i="19"/>
  <c r="A27373" i="19"/>
  <c r="A27372" i="19"/>
  <c r="A27371" i="19"/>
  <c r="A27370" i="19"/>
  <c r="A27369" i="19"/>
  <c r="A27368" i="19"/>
  <c r="A27367" i="19"/>
  <c r="A27366" i="19"/>
  <c r="A27365" i="19"/>
  <c r="A27364" i="19"/>
  <c r="A27363" i="19"/>
  <c r="A27362" i="19"/>
  <c r="A27361" i="19"/>
  <c r="A27360" i="19"/>
  <c r="A27359" i="19"/>
  <c r="A27358" i="19"/>
  <c r="A27357" i="19"/>
  <c r="A27356" i="19"/>
  <c r="A27355" i="19"/>
  <c r="A27354" i="19"/>
  <c r="A27353" i="19"/>
  <c r="A27352" i="19"/>
  <c r="A27351" i="19"/>
  <c r="A27350" i="19"/>
  <c r="A27349" i="19"/>
  <c r="A27348" i="19"/>
  <c r="A27347" i="19"/>
  <c r="A27346" i="19"/>
  <c r="A27345" i="19"/>
  <c r="A27344" i="19"/>
  <c r="A27343" i="19"/>
  <c r="A27342" i="19"/>
  <c r="A27341" i="19"/>
  <c r="A27340" i="19"/>
  <c r="A27339" i="19"/>
  <c r="A27338" i="19"/>
  <c r="A27337" i="19"/>
  <c r="A27336" i="19"/>
  <c r="A27335" i="19"/>
  <c r="A27334" i="19"/>
  <c r="A27333" i="19"/>
  <c r="A27332" i="19"/>
  <c r="A27331" i="19"/>
  <c r="A27330" i="19"/>
  <c r="A27329" i="19"/>
  <c r="A27328" i="19"/>
  <c r="A27327" i="19"/>
  <c r="A27326" i="19"/>
  <c r="A27325" i="19"/>
  <c r="A27324" i="19"/>
  <c r="A27323" i="19"/>
  <c r="A27322" i="19"/>
  <c r="A27321" i="19"/>
  <c r="A27320" i="19"/>
  <c r="A27319" i="19"/>
  <c r="A27318" i="19"/>
  <c r="A27317" i="19"/>
  <c r="A27316" i="19"/>
  <c r="A27315" i="19"/>
  <c r="A27314" i="19"/>
  <c r="A27313" i="19"/>
  <c r="A27312" i="19"/>
  <c r="A27311" i="19"/>
  <c r="A27310" i="19"/>
  <c r="A27309" i="19"/>
  <c r="A27308" i="19"/>
  <c r="A27307" i="19"/>
  <c r="A27306" i="19"/>
  <c r="A27305" i="19"/>
  <c r="A27304" i="19"/>
  <c r="A27303" i="19"/>
  <c r="A27302" i="19"/>
  <c r="A27301" i="19"/>
  <c r="A27300" i="19"/>
  <c r="A27299" i="19"/>
  <c r="A27298" i="19"/>
  <c r="A27297" i="19"/>
  <c r="A27296" i="19"/>
  <c r="A27295" i="19"/>
  <c r="A27294" i="19"/>
  <c r="A27293" i="19"/>
  <c r="A27292" i="19"/>
  <c r="A27291" i="19"/>
  <c r="A27290" i="19"/>
  <c r="A27289" i="19"/>
  <c r="A27288" i="19"/>
  <c r="A27287" i="19"/>
  <c r="A27286" i="19"/>
  <c r="A27285" i="19"/>
  <c r="A27284" i="19"/>
  <c r="A27283" i="19"/>
  <c r="A27282" i="19"/>
  <c r="A27281" i="19"/>
  <c r="A27280" i="19"/>
  <c r="A27279" i="19"/>
  <c r="A27278" i="19"/>
  <c r="A27277" i="19"/>
  <c r="A27276" i="19"/>
  <c r="A27275" i="19"/>
  <c r="A27274" i="19"/>
  <c r="A27273" i="19"/>
  <c r="A27272" i="19"/>
  <c r="A27271" i="19"/>
  <c r="A27270" i="19"/>
  <c r="A27269" i="19"/>
  <c r="A27268" i="19"/>
  <c r="A27267" i="19"/>
  <c r="A27266" i="19"/>
  <c r="A27265" i="19"/>
  <c r="A27264" i="19"/>
  <c r="A27263" i="19"/>
  <c r="A27262" i="19"/>
  <c r="A27261" i="19"/>
  <c r="A27260" i="19"/>
  <c r="A27259" i="19"/>
  <c r="A27258" i="19"/>
  <c r="A27257" i="19"/>
  <c r="A27256" i="19"/>
  <c r="A27255" i="19"/>
  <c r="A27254" i="19"/>
  <c r="A27253" i="19"/>
  <c r="A27252" i="19"/>
  <c r="A27251" i="19"/>
  <c r="A27250" i="19"/>
  <c r="A27249" i="19"/>
  <c r="A27248" i="19"/>
  <c r="A27247" i="19"/>
  <c r="A27246" i="19"/>
  <c r="A27245" i="19"/>
  <c r="A27244" i="19"/>
  <c r="A27243" i="19"/>
  <c r="A27242" i="19"/>
  <c r="A27241" i="19"/>
  <c r="A27240" i="19"/>
  <c r="A27239" i="19"/>
  <c r="A27238" i="19"/>
  <c r="A27237" i="19"/>
  <c r="A27236" i="19"/>
  <c r="A27235" i="19"/>
  <c r="A27234" i="19"/>
  <c r="A27233" i="19"/>
  <c r="A27232" i="19"/>
  <c r="A27231" i="19"/>
  <c r="A27230" i="19"/>
  <c r="A27229" i="19"/>
  <c r="A27228" i="19"/>
  <c r="A27227" i="19"/>
  <c r="A27226" i="19"/>
  <c r="A27225" i="19"/>
  <c r="A27224" i="19"/>
  <c r="A27223" i="19"/>
  <c r="A27222" i="19"/>
  <c r="A27221" i="19"/>
  <c r="A27220" i="19"/>
  <c r="A27219" i="19"/>
  <c r="A27218" i="19"/>
  <c r="A27217" i="19"/>
  <c r="A27216" i="19"/>
  <c r="A27215" i="19"/>
  <c r="A27214" i="19"/>
  <c r="A27213" i="19"/>
  <c r="A27212" i="19"/>
  <c r="A27211" i="19"/>
  <c r="A27210" i="19"/>
  <c r="A27209" i="19"/>
  <c r="A27208" i="19"/>
  <c r="A27207" i="19"/>
  <c r="A27206" i="19"/>
  <c r="A27205" i="19"/>
  <c r="A27204" i="19"/>
  <c r="A27203" i="19"/>
  <c r="A27202" i="19"/>
  <c r="A27201" i="19"/>
  <c r="A27200" i="19"/>
  <c r="A27199" i="19"/>
  <c r="A27198" i="19"/>
  <c r="A27197" i="19"/>
  <c r="A27196" i="19"/>
  <c r="A27195" i="19"/>
  <c r="A27194" i="19"/>
  <c r="A27193" i="19"/>
  <c r="A27192" i="19"/>
  <c r="A27191" i="19"/>
  <c r="A27190" i="19"/>
  <c r="A27189" i="19"/>
  <c r="A27188" i="19"/>
  <c r="A27187" i="19"/>
  <c r="A27186" i="19"/>
  <c r="A27185" i="19"/>
  <c r="A27184" i="19"/>
  <c r="A27183" i="19"/>
  <c r="A27182" i="19"/>
  <c r="A27181" i="19"/>
  <c r="A27180" i="19"/>
  <c r="A27179" i="19"/>
  <c r="A27178" i="19"/>
  <c r="A27177" i="19"/>
  <c r="A27176" i="19"/>
  <c r="A27175" i="19"/>
  <c r="A27174" i="19"/>
  <c r="A27173" i="19"/>
  <c r="A27172" i="19"/>
  <c r="A27171" i="19"/>
  <c r="A27170" i="19"/>
  <c r="A27169" i="19"/>
  <c r="A27168" i="19"/>
  <c r="A27167" i="19"/>
  <c r="A27166" i="19"/>
  <c r="A27165" i="19"/>
  <c r="A27164" i="19"/>
  <c r="A27163" i="19"/>
  <c r="A27162" i="19"/>
  <c r="A27161" i="19"/>
  <c r="A27160" i="19"/>
  <c r="A27159" i="19"/>
  <c r="A27158" i="19"/>
  <c r="A27157" i="19"/>
  <c r="A27156" i="19"/>
  <c r="A27155" i="19"/>
  <c r="A27154" i="19"/>
  <c r="A27153" i="19"/>
  <c r="A27152" i="19"/>
  <c r="A27151" i="19"/>
  <c r="A27150" i="19"/>
  <c r="A27149" i="19"/>
  <c r="A27148" i="19"/>
  <c r="A27147" i="19"/>
  <c r="A27146" i="19"/>
  <c r="A27145" i="19"/>
  <c r="A27144" i="19"/>
  <c r="A27143" i="19"/>
  <c r="A27142" i="19"/>
  <c r="A27141" i="19"/>
  <c r="A27140" i="19"/>
  <c r="A27139" i="19"/>
  <c r="A27138" i="19"/>
  <c r="A27137" i="19"/>
  <c r="A27136" i="19"/>
  <c r="A27135" i="19"/>
  <c r="A27134" i="19"/>
  <c r="A27133" i="19"/>
  <c r="A27132" i="19"/>
  <c r="A27131" i="19"/>
  <c r="A27130" i="19"/>
  <c r="A27129" i="19"/>
  <c r="A27128" i="19"/>
  <c r="A27127" i="19"/>
  <c r="A27126" i="19"/>
  <c r="A27125" i="19"/>
  <c r="A27124" i="19"/>
  <c r="A27123" i="19"/>
  <c r="A27122" i="19"/>
  <c r="A27121" i="19"/>
  <c r="A27120" i="19"/>
  <c r="A27119" i="19"/>
  <c r="A27118" i="19"/>
  <c r="A27117" i="19"/>
  <c r="A27116" i="19"/>
  <c r="A27115" i="19"/>
  <c r="A27114" i="19"/>
  <c r="A27113" i="19"/>
  <c r="A27112" i="19"/>
  <c r="A27111" i="19"/>
  <c r="A27110" i="19"/>
  <c r="A27109" i="19"/>
  <c r="A27108" i="19"/>
  <c r="A27107" i="19"/>
  <c r="A27106" i="19"/>
  <c r="A27105" i="19"/>
  <c r="A27104" i="19"/>
  <c r="A27103" i="19"/>
  <c r="A27102" i="19"/>
  <c r="A27101" i="19"/>
  <c r="A27100" i="19"/>
  <c r="A27099" i="19"/>
  <c r="A27098" i="19"/>
  <c r="A27097" i="19"/>
  <c r="A27096" i="19"/>
  <c r="A27095" i="19"/>
  <c r="A27094" i="19"/>
  <c r="A27093" i="19"/>
  <c r="A27092" i="19"/>
  <c r="A27091" i="19"/>
  <c r="A27090" i="19"/>
  <c r="A27089" i="19"/>
  <c r="A27088" i="19"/>
  <c r="A27087" i="19"/>
  <c r="A27086" i="19"/>
  <c r="A27085" i="19"/>
  <c r="A27084" i="19"/>
  <c r="A27083" i="19"/>
  <c r="A27082" i="19"/>
  <c r="A27081" i="19"/>
  <c r="A27080" i="19"/>
  <c r="A27079" i="19"/>
  <c r="A27078" i="19"/>
  <c r="A27077" i="19"/>
  <c r="A27076" i="19"/>
  <c r="A27075" i="19"/>
  <c r="A27074" i="19"/>
  <c r="A27073" i="19"/>
  <c r="A27072" i="19"/>
  <c r="A27071" i="19"/>
  <c r="A27070" i="19"/>
  <c r="A27069" i="19"/>
  <c r="A27068" i="19"/>
  <c r="A27067" i="19"/>
  <c r="A27066" i="19"/>
  <c r="A27065" i="19"/>
  <c r="A27064" i="19"/>
  <c r="A27063" i="19"/>
  <c r="A27062" i="19"/>
  <c r="A27061" i="19"/>
  <c r="A27060" i="19"/>
  <c r="A27059" i="19"/>
  <c r="A27058" i="19"/>
  <c r="A27057" i="19"/>
  <c r="A27056" i="19"/>
  <c r="A27055" i="19"/>
  <c r="A27054" i="19"/>
  <c r="A27053" i="19"/>
  <c r="A27052" i="19"/>
  <c r="A27051" i="19"/>
  <c r="A27050" i="19"/>
  <c r="A27049" i="19"/>
  <c r="A27048" i="19"/>
  <c r="A27047" i="19"/>
  <c r="A27046" i="19"/>
  <c r="A27045" i="19"/>
  <c r="A27044" i="19"/>
  <c r="A27043" i="19"/>
  <c r="A27042" i="19"/>
  <c r="A27041" i="19"/>
  <c r="A27040" i="19"/>
  <c r="A27039" i="19"/>
  <c r="A27038" i="19"/>
  <c r="A27037" i="19"/>
  <c r="A27036" i="19"/>
  <c r="A27035" i="19"/>
  <c r="A27034" i="19"/>
  <c r="A27033" i="19"/>
  <c r="A27032" i="19"/>
  <c r="A27031" i="19"/>
  <c r="A27030" i="19"/>
  <c r="A27029" i="19"/>
  <c r="A27028" i="19"/>
  <c r="A27027" i="19"/>
  <c r="A27026" i="19"/>
  <c r="A27025" i="19"/>
  <c r="A27024" i="19"/>
  <c r="A27023" i="19"/>
  <c r="A27022" i="19"/>
  <c r="A27021" i="19"/>
  <c r="A27020" i="19"/>
  <c r="A27019" i="19"/>
  <c r="A27018" i="19"/>
  <c r="A27017" i="19"/>
  <c r="A27016" i="19"/>
  <c r="A27015" i="19"/>
  <c r="A27014" i="19"/>
  <c r="A27013" i="19"/>
  <c r="A27012" i="19"/>
  <c r="A27011" i="19"/>
  <c r="A27010" i="19"/>
  <c r="A27009" i="19"/>
  <c r="A27008" i="19"/>
  <c r="A27007" i="19"/>
  <c r="A27006" i="19"/>
  <c r="A27005" i="19"/>
  <c r="A27004" i="19"/>
  <c r="A27003" i="19"/>
  <c r="A27002" i="19"/>
  <c r="A27001" i="19"/>
  <c r="A27000" i="19"/>
  <c r="A26999" i="19"/>
  <c r="A26998" i="19"/>
  <c r="A26997" i="19"/>
  <c r="A26996" i="19"/>
  <c r="A26995" i="19"/>
  <c r="A26994" i="19"/>
  <c r="A26993" i="19"/>
  <c r="A26992" i="19"/>
  <c r="A26991" i="19"/>
  <c r="A26990" i="19"/>
  <c r="A26989" i="19"/>
  <c r="A26988" i="19"/>
  <c r="A26987" i="19"/>
  <c r="A26986" i="19"/>
  <c r="A26985" i="19"/>
  <c r="A26984" i="19"/>
  <c r="A26983" i="19"/>
  <c r="A26982" i="19"/>
  <c r="A26981" i="19"/>
  <c r="A26980" i="19"/>
  <c r="A26979" i="19"/>
  <c r="A26978" i="19"/>
  <c r="A26977" i="19"/>
  <c r="A26976" i="19"/>
  <c r="A26975" i="19"/>
  <c r="A26974" i="19"/>
  <c r="A26973" i="19"/>
  <c r="A26972" i="19"/>
  <c r="A26971" i="19"/>
  <c r="A26970" i="19"/>
  <c r="A26969" i="19"/>
  <c r="A26968" i="19"/>
  <c r="A26967" i="19"/>
  <c r="A26966" i="19"/>
  <c r="A26965" i="19"/>
  <c r="A26964" i="19"/>
  <c r="A26963" i="19"/>
  <c r="A26962" i="19"/>
  <c r="A26961" i="19"/>
  <c r="A26960" i="19"/>
  <c r="A26959" i="19"/>
  <c r="A26958" i="19"/>
  <c r="A26957" i="19"/>
  <c r="A26956" i="19"/>
  <c r="A26955" i="19"/>
  <c r="A26954" i="19"/>
  <c r="A26953" i="19"/>
  <c r="A26952" i="19"/>
  <c r="A26951" i="19"/>
  <c r="A26950" i="19"/>
  <c r="A26949" i="19"/>
  <c r="A26948" i="19"/>
  <c r="A26947" i="19"/>
  <c r="A26946" i="19"/>
  <c r="A26945" i="19"/>
  <c r="A26944" i="19"/>
  <c r="A26943" i="19"/>
  <c r="A26942" i="19"/>
  <c r="A26941" i="19"/>
  <c r="A26940" i="19"/>
  <c r="A26939" i="19"/>
  <c r="A26938" i="19"/>
  <c r="A26937" i="19"/>
  <c r="A26936" i="19"/>
  <c r="A26935" i="19"/>
  <c r="A26934" i="19"/>
  <c r="A26933" i="19"/>
  <c r="A26932" i="19"/>
  <c r="A26931" i="19"/>
  <c r="A26930" i="19"/>
  <c r="A26929" i="19"/>
  <c r="A26928" i="19"/>
  <c r="A26927" i="19"/>
  <c r="A26926" i="19"/>
  <c r="A26925" i="19"/>
  <c r="A26924" i="19"/>
  <c r="A26923" i="19"/>
  <c r="A26922" i="19"/>
  <c r="A26921" i="19"/>
  <c r="A26920" i="19"/>
  <c r="A26919" i="19"/>
  <c r="A26918" i="19"/>
  <c r="A26917" i="19"/>
  <c r="A26916" i="19"/>
  <c r="A26915" i="19"/>
  <c r="A26914" i="19"/>
  <c r="A26913" i="19"/>
  <c r="A26912" i="19"/>
  <c r="A26911" i="19"/>
  <c r="A26910" i="19"/>
  <c r="A26909" i="19"/>
  <c r="A26908" i="19"/>
  <c r="A26907" i="19"/>
  <c r="A26906" i="19"/>
  <c r="A26905" i="19"/>
  <c r="A26904" i="19"/>
  <c r="A26903" i="19"/>
  <c r="A26902" i="19"/>
  <c r="A26901" i="19"/>
  <c r="A26900" i="19"/>
  <c r="A26899" i="19"/>
  <c r="A26898" i="19"/>
  <c r="A26897" i="19"/>
  <c r="A26896" i="19"/>
  <c r="A26895" i="19"/>
  <c r="A26894" i="19"/>
  <c r="A26893" i="19"/>
  <c r="A26892" i="19"/>
  <c r="A26891" i="19"/>
  <c r="A26890" i="19"/>
  <c r="A26889" i="19"/>
  <c r="A26888" i="19"/>
  <c r="A26887" i="19"/>
  <c r="A26886" i="19"/>
  <c r="A26885" i="19"/>
  <c r="A26884" i="19"/>
  <c r="A26883" i="19"/>
  <c r="A26882" i="19"/>
  <c r="A26881" i="19"/>
  <c r="A26880" i="19"/>
  <c r="A26879" i="19"/>
  <c r="A26878" i="19"/>
  <c r="A26877" i="19"/>
  <c r="A26876" i="19"/>
  <c r="A26875" i="19"/>
  <c r="A26874" i="19"/>
  <c r="A26873" i="19"/>
  <c r="A26872" i="19"/>
  <c r="A26871" i="19"/>
  <c r="A26870" i="19"/>
  <c r="A26869" i="19"/>
  <c r="A26868" i="19"/>
  <c r="A26867" i="19"/>
  <c r="A26866" i="19"/>
  <c r="A26865" i="19"/>
  <c r="A26864" i="19"/>
  <c r="A26863" i="19"/>
  <c r="A26862" i="19"/>
  <c r="A26861" i="19"/>
  <c r="A26860" i="19"/>
  <c r="A26859" i="19"/>
  <c r="A26858" i="19"/>
  <c r="A26857" i="19"/>
  <c r="A26856" i="19"/>
  <c r="A26855" i="19"/>
  <c r="A26854" i="19"/>
  <c r="A26853" i="19"/>
  <c r="A26852" i="19"/>
  <c r="A26851" i="19"/>
  <c r="A26850" i="19"/>
  <c r="A26849" i="19"/>
  <c r="A26848" i="19"/>
  <c r="A26847" i="19"/>
  <c r="A26846" i="19"/>
  <c r="A26845" i="19"/>
  <c r="A26844" i="19"/>
  <c r="A26843" i="19"/>
  <c r="A26842" i="19"/>
  <c r="A26841" i="19"/>
  <c r="A26840" i="19"/>
  <c r="A26839" i="19"/>
  <c r="A26838" i="19"/>
  <c r="A26837" i="19"/>
  <c r="A26836" i="19"/>
  <c r="A26835" i="19"/>
  <c r="A26834" i="19"/>
  <c r="A26833" i="19"/>
  <c r="A26832" i="19"/>
  <c r="A26831" i="19"/>
  <c r="A26830" i="19"/>
  <c r="A26829" i="19"/>
  <c r="A26828" i="19"/>
  <c r="A26827" i="19"/>
  <c r="A26826" i="19"/>
  <c r="A26825" i="19"/>
  <c r="A26824" i="19"/>
  <c r="A26823" i="19"/>
  <c r="A26822" i="19"/>
  <c r="A26821" i="19"/>
  <c r="A26820" i="19"/>
  <c r="A26819" i="19"/>
  <c r="A26818" i="19"/>
  <c r="A26817" i="19"/>
  <c r="A26816" i="19"/>
  <c r="A26815" i="19"/>
  <c r="A26814" i="19"/>
  <c r="A26813" i="19"/>
  <c r="A26812" i="19"/>
  <c r="A26811" i="19"/>
  <c r="A26810" i="19"/>
  <c r="A26809" i="19"/>
  <c r="A26808" i="19"/>
  <c r="A26807" i="19"/>
  <c r="A26806" i="19"/>
  <c r="A26805" i="19"/>
  <c r="A26804" i="19"/>
  <c r="A26803" i="19"/>
  <c r="A26802" i="19"/>
  <c r="A26801" i="19"/>
  <c r="A26800" i="19"/>
  <c r="A26799" i="19"/>
  <c r="A26798" i="19"/>
  <c r="A26797" i="19"/>
  <c r="A26796" i="19"/>
  <c r="A26795" i="19"/>
  <c r="A26794" i="19"/>
  <c r="A26793" i="19"/>
  <c r="A26792" i="19"/>
  <c r="A26791" i="19"/>
  <c r="A26790" i="19"/>
  <c r="A26789" i="19"/>
  <c r="A26788" i="19"/>
  <c r="A26787" i="19"/>
  <c r="A26786" i="19"/>
  <c r="A26785" i="19"/>
  <c r="A26784" i="19"/>
  <c r="A26783" i="19"/>
  <c r="A26782" i="19"/>
  <c r="A26781" i="19"/>
  <c r="A26780" i="19"/>
  <c r="A26779" i="19"/>
  <c r="A26778" i="19"/>
  <c r="A26777" i="19"/>
  <c r="A26776" i="19"/>
  <c r="A26775" i="19"/>
  <c r="A26774" i="19"/>
  <c r="A26773" i="19"/>
  <c r="A26772" i="19"/>
  <c r="A26771" i="19"/>
  <c r="A26770" i="19"/>
  <c r="A26769" i="19"/>
  <c r="A26768" i="19"/>
  <c r="A26767" i="19"/>
  <c r="A26766" i="19"/>
  <c r="A26765" i="19"/>
  <c r="A26764" i="19"/>
  <c r="A26763" i="19"/>
  <c r="A26762" i="19"/>
  <c r="A26761" i="19"/>
  <c r="A26760" i="19"/>
  <c r="A26759" i="19"/>
  <c r="A26758" i="19"/>
  <c r="A26757" i="19"/>
  <c r="A26756" i="19"/>
  <c r="A26755" i="19"/>
  <c r="A26754" i="19"/>
  <c r="A26753" i="19"/>
  <c r="A26752" i="19"/>
  <c r="A26751" i="19"/>
  <c r="A26750" i="19"/>
  <c r="A26749" i="19"/>
  <c r="A26748" i="19"/>
  <c r="A26747" i="19"/>
  <c r="A26746" i="19"/>
  <c r="A26745" i="19"/>
  <c r="A26744" i="19"/>
  <c r="A26743" i="19"/>
  <c r="A26742" i="19"/>
  <c r="A26741" i="19"/>
  <c r="A26740" i="19"/>
  <c r="A26739" i="19"/>
  <c r="A26738" i="19"/>
  <c r="A26737" i="19"/>
  <c r="A26736" i="19"/>
  <c r="A26735" i="19"/>
  <c r="A26734" i="19"/>
  <c r="A26733" i="19"/>
  <c r="A26732" i="19"/>
  <c r="A26731" i="19"/>
  <c r="A26730" i="19"/>
  <c r="A26729" i="19"/>
  <c r="A26728" i="19"/>
  <c r="A26727" i="19"/>
  <c r="A26726" i="19"/>
  <c r="A26725" i="19"/>
  <c r="A26724" i="19"/>
  <c r="A26723" i="19"/>
  <c r="A26722" i="19"/>
  <c r="A26721" i="19"/>
  <c r="A26720" i="19"/>
  <c r="A26719" i="19"/>
  <c r="A26718" i="19"/>
  <c r="A26717" i="19"/>
  <c r="A26716" i="19"/>
  <c r="A26715" i="19"/>
  <c r="A26714" i="19"/>
  <c r="A26713" i="19"/>
  <c r="A26712" i="19"/>
  <c r="A26711" i="19"/>
  <c r="A26710" i="19"/>
  <c r="A26709" i="19"/>
  <c r="A26708" i="19"/>
  <c r="A26707" i="19"/>
  <c r="A26706" i="19"/>
  <c r="A26705" i="19"/>
  <c r="A26704" i="19"/>
  <c r="A26703" i="19"/>
  <c r="A26702" i="19"/>
  <c r="A26701" i="19"/>
  <c r="A26700" i="19"/>
  <c r="A26699" i="19"/>
  <c r="A26698" i="19"/>
  <c r="A26697" i="19"/>
  <c r="A26696" i="19"/>
  <c r="A26695" i="19"/>
  <c r="A26694" i="19"/>
  <c r="A26693" i="19"/>
  <c r="A26692" i="19"/>
  <c r="A26691" i="19"/>
  <c r="A26690" i="19"/>
  <c r="A26689" i="19"/>
  <c r="A26688" i="19"/>
  <c r="A26687" i="19"/>
  <c r="A26686" i="19"/>
  <c r="A26685" i="19"/>
  <c r="A26684" i="19"/>
  <c r="A26683" i="19"/>
  <c r="A26682" i="19"/>
  <c r="A26681" i="19"/>
  <c r="A26680" i="19"/>
  <c r="A26679" i="19"/>
  <c r="A26678" i="19"/>
  <c r="A26677" i="19"/>
  <c r="A26676" i="19"/>
  <c r="A26675" i="19"/>
  <c r="A26674" i="19"/>
  <c r="A26673" i="19"/>
  <c r="A26672" i="19"/>
  <c r="A26671" i="19"/>
  <c r="A26670" i="19"/>
  <c r="A26669" i="19"/>
  <c r="A26668" i="19"/>
  <c r="A26667" i="19"/>
  <c r="A26666" i="19"/>
  <c r="A26665" i="19"/>
  <c r="A26664" i="19"/>
  <c r="A26663" i="19"/>
  <c r="A26662" i="19"/>
  <c r="A26661" i="19"/>
  <c r="A26660" i="19"/>
  <c r="A26659" i="19"/>
  <c r="A26658" i="19"/>
  <c r="A26657" i="19"/>
  <c r="A26656" i="19"/>
  <c r="A26655" i="19"/>
  <c r="A26654" i="19"/>
  <c r="A26653" i="19"/>
  <c r="A26652" i="19"/>
  <c r="A26651" i="19"/>
  <c r="A26650" i="19"/>
  <c r="A26649" i="19"/>
  <c r="A26648" i="19"/>
  <c r="A26647" i="19"/>
  <c r="A26646" i="19"/>
  <c r="A26645" i="19"/>
  <c r="A26644" i="19"/>
  <c r="A26643" i="19"/>
  <c r="A26642" i="19"/>
  <c r="A26641" i="19"/>
  <c r="A26640" i="19"/>
  <c r="A26639" i="19"/>
  <c r="A26638" i="19"/>
  <c r="A26637" i="19"/>
  <c r="A26636" i="19"/>
  <c r="A26635" i="19"/>
  <c r="A26634" i="19"/>
  <c r="A26633" i="19"/>
  <c r="A26632" i="19"/>
  <c r="A26631" i="19"/>
  <c r="A26630" i="19"/>
  <c r="A26629" i="19"/>
  <c r="A26628" i="19"/>
  <c r="A26627" i="19"/>
  <c r="A26626" i="19"/>
  <c r="A26625" i="19"/>
  <c r="A26624" i="19"/>
  <c r="A26623" i="19"/>
  <c r="A26622" i="19"/>
  <c r="A26621" i="19"/>
  <c r="A26620" i="19"/>
  <c r="A26619" i="19"/>
  <c r="A26618" i="19"/>
  <c r="A26617" i="19"/>
  <c r="A26616" i="19"/>
  <c r="A26615" i="19"/>
  <c r="A26614" i="19"/>
  <c r="A26613" i="19"/>
  <c r="A26612" i="19"/>
  <c r="A26611" i="19"/>
  <c r="A26610" i="19"/>
  <c r="A26609" i="19"/>
  <c r="A26608" i="19"/>
  <c r="A26607" i="19"/>
  <c r="A26606" i="19"/>
  <c r="A26605" i="19"/>
  <c r="A26604" i="19"/>
  <c r="A26603" i="19"/>
  <c r="A26602" i="19"/>
  <c r="A26601" i="19"/>
  <c r="A26600" i="19"/>
  <c r="A26599" i="19"/>
  <c r="A26598" i="19"/>
  <c r="A26597" i="19"/>
  <c r="A26596" i="19"/>
  <c r="A26595" i="19"/>
  <c r="A26594" i="19"/>
  <c r="A26593" i="19"/>
  <c r="A26592" i="19"/>
  <c r="A26591" i="19"/>
  <c r="A26590" i="19"/>
  <c r="A26589" i="19"/>
  <c r="A26588" i="19"/>
  <c r="A26587" i="19"/>
  <c r="A26586" i="19"/>
  <c r="A26585" i="19"/>
  <c r="A26584" i="19"/>
  <c r="A26583" i="19"/>
  <c r="A26582" i="19"/>
  <c r="A26581" i="19"/>
  <c r="A26580" i="19"/>
  <c r="A26579" i="19"/>
  <c r="A26578" i="19"/>
  <c r="A26577" i="19"/>
  <c r="A26576" i="19"/>
  <c r="A26575" i="19"/>
  <c r="A26574" i="19"/>
  <c r="A26573" i="19"/>
  <c r="A26572" i="19"/>
  <c r="A26571" i="19"/>
  <c r="A26570" i="19"/>
  <c r="A26569" i="19"/>
  <c r="A26568" i="19"/>
  <c r="A26567" i="19"/>
  <c r="A26566" i="19"/>
  <c r="A26565" i="19"/>
  <c r="A26564" i="19"/>
  <c r="A26563" i="19"/>
  <c r="A26562" i="19"/>
  <c r="A26561" i="19"/>
  <c r="A26560" i="19"/>
  <c r="A26559" i="19"/>
  <c r="A26558" i="19"/>
  <c r="A26557" i="19"/>
  <c r="A26556" i="19"/>
  <c r="A26555" i="19"/>
  <c r="A26554" i="19"/>
  <c r="A26553" i="19"/>
  <c r="A26552" i="19"/>
  <c r="A26551" i="19"/>
  <c r="A26550" i="19"/>
  <c r="A26549" i="19"/>
  <c r="A26548" i="19"/>
  <c r="A26547" i="19"/>
  <c r="A26546" i="19"/>
  <c r="A26545" i="19"/>
  <c r="A26544" i="19"/>
  <c r="A26543" i="19"/>
  <c r="A26542" i="19"/>
  <c r="A26541" i="19"/>
  <c r="A26540" i="19"/>
  <c r="A26539" i="19"/>
  <c r="A26538" i="19"/>
  <c r="A26537" i="19"/>
  <c r="A26536" i="19"/>
  <c r="A26535" i="19"/>
  <c r="A26534" i="19"/>
  <c r="A26533" i="19"/>
  <c r="A26532" i="19"/>
  <c r="A26531" i="19"/>
  <c r="A26530" i="19"/>
  <c r="A26529" i="19"/>
  <c r="A26528" i="19"/>
  <c r="A26527" i="19"/>
  <c r="A26526" i="19"/>
  <c r="A26525" i="19"/>
  <c r="A26524" i="19"/>
  <c r="A26523" i="19"/>
  <c r="A26522" i="19"/>
  <c r="A26521" i="19"/>
  <c r="A26520" i="19"/>
  <c r="A26519" i="19"/>
  <c r="A26518" i="19"/>
  <c r="A26517" i="19"/>
  <c r="A26516" i="19"/>
  <c r="A26515" i="19"/>
  <c r="A26514" i="19"/>
  <c r="A26513" i="19"/>
  <c r="A26512" i="19"/>
  <c r="A26511" i="19"/>
  <c r="A26510" i="19"/>
  <c r="A26509" i="19"/>
  <c r="A26508" i="19"/>
  <c r="A26507" i="19"/>
  <c r="A26506" i="19"/>
  <c r="A26505" i="19"/>
  <c r="A26504" i="19"/>
  <c r="A26503" i="19"/>
  <c r="A26502" i="19"/>
  <c r="A26501" i="19"/>
  <c r="A26500" i="19"/>
  <c r="A26499" i="19"/>
  <c r="A26498" i="19"/>
  <c r="A26497" i="19"/>
  <c r="A26496" i="19"/>
  <c r="A26495" i="19"/>
  <c r="A26494" i="19"/>
  <c r="A26493" i="19"/>
  <c r="A26492" i="19"/>
  <c r="A26491" i="19"/>
  <c r="A26490" i="19"/>
  <c r="A26489" i="19"/>
  <c r="A26488" i="19"/>
  <c r="A26487" i="19"/>
  <c r="A26486" i="19"/>
  <c r="A26485" i="19"/>
  <c r="A26484" i="19"/>
  <c r="A26483" i="19"/>
  <c r="A26482" i="19"/>
  <c r="A26481" i="19"/>
  <c r="A26480" i="19"/>
  <c r="A26479" i="19"/>
  <c r="A26478" i="19"/>
  <c r="A26477" i="19"/>
  <c r="A26476" i="19"/>
  <c r="A26475" i="19"/>
  <c r="A26474" i="19"/>
  <c r="A26473" i="19"/>
  <c r="A26472" i="19"/>
  <c r="A26471" i="19"/>
  <c r="A26470" i="19"/>
  <c r="A26469" i="19"/>
  <c r="A26468" i="19"/>
  <c r="A26467" i="19"/>
  <c r="A26466" i="19"/>
  <c r="A26465" i="19"/>
  <c r="A26464" i="19"/>
  <c r="A26463" i="19"/>
  <c r="A26462" i="19"/>
  <c r="A26461" i="19"/>
  <c r="A26460" i="19"/>
  <c r="A26459" i="19"/>
  <c r="A26458" i="19"/>
  <c r="A26457" i="19"/>
  <c r="A26456" i="19"/>
  <c r="A26455" i="19"/>
  <c r="A26454" i="19"/>
  <c r="A26453" i="19"/>
  <c r="A26452" i="19"/>
  <c r="A26451" i="19"/>
  <c r="A26450" i="19"/>
  <c r="A26449" i="19"/>
  <c r="A26448" i="19"/>
  <c r="A26447" i="19"/>
  <c r="A26446" i="19"/>
  <c r="A26445" i="19"/>
  <c r="A26444" i="19"/>
  <c r="A26443" i="19"/>
  <c r="A26442" i="19"/>
  <c r="A26441" i="19"/>
  <c r="A26440" i="19"/>
  <c r="A26439" i="19"/>
  <c r="A26438" i="19"/>
  <c r="A26437" i="19"/>
  <c r="A26436" i="19"/>
  <c r="A26435" i="19"/>
  <c r="A26434" i="19"/>
  <c r="A26433" i="19"/>
  <c r="A26432" i="19"/>
  <c r="A26431" i="19"/>
  <c r="A26430" i="19"/>
  <c r="A26429" i="19"/>
  <c r="A26428" i="19"/>
  <c r="A26427" i="19"/>
  <c r="A26426" i="19"/>
  <c r="A26425" i="19"/>
  <c r="A26424" i="19"/>
  <c r="A26423" i="19"/>
  <c r="A26422" i="19"/>
  <c r="A26421" i="19"/>
  <c r="A26420" i="19"/>
  <c r="A26419" i="19"/>
  <c r="A26418" i="19"/>
  <c r="A26417" i="19"/>
  <c r="A26416" i="19"/>
  <c r="A26415" i="19"/>
  <c r="A26414" i="19"/>
  <c r="A26413" i="19"/>
  <c r="A26412" i="19"/>
  <c r="A26411" i="19"/>
  <c r="A26410" i="19"/>
  <c r="A26409" i="19"/>
  <c r="A26408" i="19"/>
  <c r="A26407" i="19"/>
  <c r="A26406" i="19"/>
  <c r="A26405" i="19"/>
  <c r="A26404" i="19"/>
  <c r="A26403" i="19"/>
  <c r="A26402" i="19"/>
  <c r="A26401" i="19"/>
  <c r="A26400" i="19"/>
  <c r="A26399" i="19"/>
  <c r="A26398" i="19"/>
  <c r="A26397" i="19"/>
  <c r="A26396" i="19"/>
  <c r="A26395" i="19"/>
  <c r="A26394" i="19"/>
  <c r="A26393" i="19"/>
  <c r="A26392" i="19"/>
  <c r="A26391" i="19"/>
  <c r="A26390" i="19"/>
  <c r="A26389" i="19"/>
  <c r="A26388" i="19"/>
  <c r="A26387" i="19"/>
  <c r="A26386" i="19"/>
  <c r="A26385" i="19"/>
  <c r="A26384" i="19"/>
  <c r="A26383" i="19"/>
  <c r="A26382" i="19"/>
  <c r="A26381" i="19"/>
  <c r="A26380" i="19"/>
  <c r="A26379" i="19"/>
  <c r="A26378" i="19"/>
  <c r="A26377" i="19"/>
  <c r="A26376" i="19"/>
  <c r="A26375" i="19"/>
  <c r="A26374" i="19"/>
  <c r="A26373" i="19"/>
  <c r="A26372" i="19"/>
  <c r="A26371" i="19"/>
  <c r="A26370" i="19"/>
  <c r="A26369" i="19"/>
  <c r="A26368" i="19"/>
  <c r="A26367" i="19"/>
  <c r="A26366" i="19"/>
  <c r="A26365" i="19"/>
  <c r="A26364" i="19"/>
  <c r="A26363" i="19"/>
  <c r="A26362" i="19"/>
  <c r="A26361" i="19"/>
  <c r="A26360" i="19"/>
  <c r="A26359" i="19"/>
  <c r="A26358" i="19"/>
  <c r="A26357" i="19"/>
  <c r="A26356" i="19"/>
  <c r="A26355" i="19"/>
  <c r="A26354" i="19"/>
  <c r="A26353" i="19"/>
  <c r="A26352" i="19"/>
  <c r="A26351" i="19"/>
  <c r="A26350" i="19"/>
  <c r="A26349" i="19"/>
  <c r="A26348" i="19"/>
  <c r="A26347" i="19"/>
  <c r="A26346" i="19"/>
  <c r="A26345" i="19"/>
  <c r="A26344" i="19"/>
  <c r="A26343" i="19"/>
  <c r="A26342" i="19"/>
  <c r="A26341" i="19"/>
  <c r="A26340" i="19"/>
  <c r="A26339" i="19"/>
  <c r="A26338" i="19"/>
  <c r="A26337" i="19"/>
  <c r="A26336" i="19"/>
  <c r="A26335" i="19"/>
  <c r="A26334" i="19"/>
  <c r="A26333" i="19"/>
  <c r="A26332" i="19"/>
  <c r="A26331" i="19"/>
  <c r="A26330" i="19"/>
  <c r="A26329" i="19"/>
  <c r="A26328" i="19"/>
  <c r="A26327" i="19"/>
  <c r="A26326" i="19"/>
  <c r="A26325" i="19"/>
  <c r="A26324" i="19"/>
  <c r="A26323" i="19"/>
  <c r="A26322" i="19"/>
  <c r="A26321" i="19"/>
  <c r="A26320" i="19"/>
  <c r="A26319" i="19"/>
  <c r="A26318" i="19"/>
  <c r="A26317" i="19"/>
  <c r="A26316" i="19"/>
  <c r="A26315" i="19"/>
  <c r="A26314" i="19"/>
  <c r="A26313" i="19"/>
  <c r="A26312" i="19"/>
  <c r="A26311" i="19"/>
  <c r="A26310" i="19"/>
  <c r="A26309" i="19"/>
  <c r="A26308" i="19"/>
  <c r="A26307" i="19"/>
  <c r="A26306" i="19"/>
  <c r="A26305" i="19"/>
  <c r="A26304" i="19"/>
  <c r="A26303" i="19"/>
  <c r="A26302" i="19"/>
  <c r="A26301" i="19"/>
  <c r="A26300" i="19"/>
  <c r="A26299" i="19"/>
  <c r="A26298" i="19"/>
  <c r="A26297" i="19"/>
  <c r="A26296" i="19"/>
  <c r="A26295" i="19"/>
  <c r="A26294" i="19"/>
  <c r="A26293" i="19"/>
  <c r="A26292" i="19"/>
  <c r="A26291" i="19"/>
  <c r="A26290" i="19"/>
  <c r="A26289" i="19"/>
  <c r="A26288" i="19"/>
  <c r="A26287" i="19"/>
  <c r="A26286" i="19"/>
  <c r="A26285" i="19"/>
  <c r="A26284" i="19"/>
  <c r="A26283" i="19"/>
  <c r="A26282" i="19"/>
  <c r="A26281" i="19"/>
  <c r="A26280" i="19"/>
  <c r="A26279" i="19"/>
  <c r="A26278" i="19"/>
  <c r="A26277" i="19"/>
  <c r="A26276" i="19"/>
  <c r="A26275" i="19"/>
  <c r="A26274" i="19"/>
  <c r="A26273" i="19"/>
  <c r="A26272" i="19"/>
  <c r="A26271" i="19"/>
  <c r="A26270" i="19"/>
  <c r="A26269" i="19"/>
  <c r="A26268" i="19"/>
  <c r="A26267" i="19"/>
  <c r="A26266" i="19"/>
  <c r="A26265" i="19"/>
  <c r="A26264" i="19"/>
  <c r="A26263" i="19"/>
  <c r="A26262" i="19"/>
  <c r="A26261" i="19"/>
  <c r="A26260" i="19"/>
  <c r="A26259" i="19"/>
  <c r="A26258" i="19"/>
  <c r="A26257" i="19"/>
  <c r="A26256" i="19"/>
  <c r="A26255" i="19"/>
  <c r="A26254" i="19"/>
  <c r="A26253" i="19"/>
  <c r="A26252" i="19"/>
  <c r="A26251" i="19"/>
  <c r="A26250" i="19"/>
  <c r="A26249" i="19"/>
  <c r="A26248" i="19"/>
  <c r="A26247" i="19"/>
  <c r="A26246" i="19"/>
  <c r="A26245" i="19"/>
  <c r="A26244" i="19"/>
  <c r="A26243" i="19"/>
  <c r="A26242" i="19"/>
  <c r="A26241" i="19"/>
  <c r="A26240" i="19"/>
  <c r="A26239" i="19"/>
  <c r="A26238" i="19"/>
  <c r="A26237" i="19"/>
  <c r="A26236" i="19"/>
  <c r="A26235" i="19"/>
  <c r="A26234" i="19"/>
  <c r="A26233" i="19"/>
  <c r="A26232" i="19"/>
  <c r="A26231" i="19"/>
  <c r="A26230" i="19"/>
  <c r="A26229" i="19"/>
  <c r="A26228" i="19"/>
  <c r="A26227" i="19"/>
  <c r="A26226" i="19"/>
  <c r="A26225" i="19"/>
  <c r="A26224" i="19"/>
  <c r="A26223" i="19"/>
  <c r="A26222" i="19"/>
  <c r="A26221" i="19"/>
  <c r="A26220" i="19"/>
  <c r="A26219" i="19"/>
  <c r="A26218" i="19"/>
  <c r="A26217" i="19"/>
  <c r="A26216" i="19"/>
  <c r="A26215" i="19"/>
  <c r="A26214" i="19"/>
  <c r="A26213" i="19"/>
  <c r="A26212" i="19"/>
  <c r="A26211" i="19"/>
  <c r="A26210" i="19"/>
  <c r="A26209" i="19"/>
  <c r="A26208" i="19"/>
  <c r="A26207" i="19"/>
  <c r="A26206" i="19"/>
  <c r="A26205" i="19"/>
  <c r="A26204" i="19"/>
  <c r="A26203" i="19"/>
  <c r="A26202" i="19"/>
  <c r="A26201" i="19"/>
  <c r="A26200" i="19"/>
  <c r="A26199" i="19"/>
  <c r="A26198" i="19"/>
  <c r="A26197" i="19"/>
  <c r="A26196" i="19"/>
  <c r="A26195" i="19"/>
  <c r="A26194" i="19"/>
  <c r="A26193" i="19"/>
  <c r="A26192" i="19"/>
  <c r="A26191" i="19"/>
  <c r="A26190" i="19"/>
  <c r="A26189" i="19"/>
  <c r="A26188" i="19"/>
  <c r="A26187" i="19"/>
  <c r="A26186" i="19"/>
  <c r="A26185" i="19"/>
  <c r="A26184" i="19"/>
  <c r="A26183" i="19"/>
  <c r="A26182" i="19"/>
  <c r="A26181" i="19"/>
  <c r="A26180" i="19"/>
  <c r="A26179" i="19"/>
  <c r="A26178" i="19"/>
  <c r="A26177" i="19"/>
  <c r="A26176" i="19"/>
  <c r="A26175" i="19"/>
  <c r="A26174" i="19"/>
  <c r="A26173" i="19"/>
  <c r="A26172" i="19"/>
  <c r="A26171" i="19"/>
  <c r="A26170" i="19"/>
  <c r="A26169" i="19"/>
  <c r="A26168" i="19"/>
  <c r="A26167" i="19"/>
  <c r="A26166" i="19"/>
  <c r="A26165" i="19"/>
  <c r="A26164" i="19"/>
  <c r="A26163" i="19"/>
  <c r="A26162" i="19"/>
  <c r="A26161" i="19"/>
  <c r="A26160" i="19"/>
  <c r="A26159" i="19"/>
  <c r="A26158" i="19"/>
  <c r="A26157" i="19"/>
  <c r="A26156" i="19"/>
  <c r="A26155" i="19"/>
  <c r="A26154" i="19"/>
  <c r="A26153" i="19"/>
  <c r="A26152" i="19"/>
  <c r="A26151" i="19"/>
  <c r="A26150" i="19"/>
  <c r="A26149" i="19"/>
  <c r="A26148" i="19"/>
  <c r="A26147" i="19"/>
  <c r="A26146" i="19"/>
  <c r="A26145" i="19"/>
  <c r="A26144" i="19"/>
  <c r="A26143" i="19"/>
  <c r="A26142" i="19"/>
  <c r="A26141" i="19"/>
  <c r="A26140" i="19"/>
  <c r="A26139" i="19"/>
  <c r="A26138" i="19"/>
  <c r="A26137" i="19"/>
  <c r="A26136" i="19"/>
  <c r="A26135" i="19"/>
  <c r="A26134" i="19"/>
  <c r="A26133" i="19"/>
  <c r="A26132" i="19"/>
  <c r="A26131" i="19"/>
  <c r="A26130" i="19"/>
  <c r="A26129" i="19"/>
  <c r="A26128" i="19"/>
  <c r="A26127" i="19"/>
  <c r="A26126" i="19"/>
  <c r="A26125" i="19"/>
  <c r="A26124" i="19"/>
  <c r="A26123" i="19"/>
  <c r="A26122" i="19"/>
  <c r="A26121" i="19"/>
  <c r="A26120" i="19"/>
  <c r="A26119" i="19"/>
  <c r="A26118" i="19"/>
  <c r="A26117" i="19"/>
  <c r="A26116" i="19"/>
  <c r="A26115" i="19"/>
  <c r="A26114" i="19"/>
  <c r="A26113" i="19"/>
  <c r="A26112" i="19"/>
  <c r="A26111" i="19"/>
  <c r="A26110" i="19"/>
  <c r="A26109" i="19"/>
  <c r="A26108" i="19"/>
  <c r="A26107" i="19"/>
  <c r="A26106" i="19"/>
  <c r="A26105" i="19"/>
  <c r="A26104" i="19"/>
  <c r="A26103" i="19"/>
  <c r="A26102" i="19"/>
  <c r="A26101" i="19"/>
  <c r="A26100" i="19"/>
  <c r="A26099" i="19"/>
  <c r="A26098" i="19"/>
  <c r="A26097" i="19"/>
  <c r="A26096" i="19"/>
  <c r="A26095" i="19"/>
  <c r="A26094" i="19"/>
  <c r="A26093" i="19"/>
  <c r="A26092" i="19"/>
  <c r="A26091" i="19"/>
  <c r="A26090" i="19"/>
  <c r="A26089" i="19"/>
  <c r="A26088" i="19"/>
  <c r="A26087" i="19"/>
  <c r="A26086" i="19"/>
  <c r="A26085" i="19"/>
  <c r="A26084" i="19"/>
  <c r="A26083" i="19"/>
  <c r="A26082" i="19"/>
  <c r="A26081" i="19"/>
  <c r="A26080" i="19"/>
  <c r="A26079" i="19"/>
  <c r="A26078" i="19"/>
  <c r="A26077" i="19"/>
  <c r="A26076" i="19"/>
  <c r="A26075" i="19"/>
  <c r="A26074" i="19"/>
  <c r="A26073" i="19"/>
  <c r="A26072" i="19"/>
  <c r="A26071" i="19"/>
  <c r="A26070" i="19"/>
  <c r="A26069" i="19"/>
  <c r="A26068" i="19"/>
  <c r="A26067" i="19"/>
  <c r="A26066" i="19"/>
  <c r="A26065" i="19"/>
  <c r="A26064" i="19"/>
  <c r="A26063" i="19"/>
  <c r="A26062" i="19"/>
  <c r="A26061" i="19"/>
  <c r="A26060" i="19"/>
  <c r="A26059" i="19"/>
  <c r="A26058" i="19"/>
  <c r="A26057" i="19"/>
  <c r="A26056" i="19"/>
  <c r="A26055" i="19"/>
  <c r="A26054" i="19"/>
  <c r="A26053" i="19"/>
  <c r="A26052" i="19"/>
  <c r="A26051" i="19"/>
  <c r="A26050" i="19"/>
  <c r="A26049" i="19"/>
  <c r="A26048" i="19"/>
  <c r="A26047" i="19"/>
  <c r="A26046" i="19"/>
  <c r="A26045" i="19"/>
  <c r="A26044" i="19"/>
  <c r="A26043" i="19"/>
  <c r="A26042" i="19"/>
  <c r="A26041" i="19"/>
  <c r="A26040" i="19"/>
  <c r="A26039" i="19"/>
  <c r="A26038" i="19"/>
  <c r="A26037" i="19"/>
  <c r="A26036" i="19"/>
  <c r="A26035" i="19"/>
  <c r="A26034" i="19"/>
  <c r="A26033" i="19"/>
  <c r="A26032" i="19"/>
  <c r="A26031" i="19"/>
  <c r="A26030" i="19"/>
  <c r="A26029" i="19"/>
  <c r="A26028" i="19"/>
  <c r="A26027" i="19"/>
  <c r="A26026" i="19"/>
  <c r="A26025" i="19"/>
  <c r="A26024" i="19"/>
  <c r="A26023" i="19"/>
  <c r="A26022" i="19"/>
  <c r="A26021" i="19"/>
  <c r="A26020" i="19"/>
  <c r="A26019" i="19"/>
  <c r="A26018" i="19"/>
  <c r="A26017" i="19"/>
  <c r="A26016" i="19"/>
  <c r="A26015" i="19"/>
  <c r="A26014" i="19"/>
  <c r="A26013" i="19"/>
  <c r="A26012" i="19"/>
  <c r="A26011" i="19"/>
  <c r="A26010" i="19"/>
  <c r="A26009" i="19"/>
  <c r="A26008" i="19"/>
  <c r="A26007" i="19"/>
  <c r="A26006" i="19"/>
  <c r="A26005" i="19"/>
  <c r="A26004" i="19"/>
  <c r="A26003" i="19"/>
  <c r="A26002" i="19"/>
  <c r="A26001" i="19"/>
  <c r="A26000" i="19"/>
  <c r="A25999" i="19"/>
  <c r="A25998" i="19"/>
  <c r="A25997" i="19"/>
  <c r="A25996" i="19"/>
  <c r="A25995" i="19"/>
  <c r="A25994" i="19"/>
  <c r="A25993" i="19"/>
  <c r="A25992" i="19"/>
  <c r="A25991" i="19"/>
  <c r="A25990" i="19"/>
  <c r="A25989" i="19"/>
  <c r="A25988" i="19"/>
  <c r="A25987" i="19"/>
  <c r="A25986" i="19"/>
  <c r="A25985" i="19"/>
  <c r="A25984" i="19"/>
  <c r="A25983" i="19"/>
  <c r="A25982" i="19"/>
  <c r="A25981" i="19"/>
  <c r="A25980" i="19"/>
  <c r="A25979" i="19"/>
  <c r="A25978" i="19"/>
  <c r="A25977" i="19"/>
  <c r="A25976" i="19"/>
  <c r="A25975" i="19"/>
  <c r="A25974" i="19"/>
  <c r="A25973" i="19"/>
  <c r="A25972" i="19"/>
  <c r="A25971" i="19"/>
  <c r="A25970" i="19"/>
  <c r="A25969" i="19"/>
  <c r="A25968" i="19"/>
  <c r="A25967" i="19"/>
  <c r="A25966" i="19"/>
  <c r="A25965" i="19"/>
  <c r="A25964" i="19"/>
  <c r="A25963" i="19"/>
  <c r="A25962" i="19"/>
  <c r="A25961" i="19"/>
  <c r="A25960" i="19"/>
  <c r="A25959" i="19"/>
  <c r="A25958" i="19"/>
  <c r="A25957" i="19"/>
  <c r="A25956" i="19"/>
  <c r="A25955" i="19"/>
  <c r="A25954" i="19"/>
  <c r="A25953" i="19"/>
  <c r="A25952" i="19"/>
  <c r="A25951" i="19"/>
  <c r="A25950" i="19"/>
  <c r="A25949" i="19"/>
  <c r="A25948" i="19"/>
  <c r="A25947" i="19"/>
  <c r="A25946" i="19"/>
  <c r="A25945" i="19"/>
  <c r="A25944" i="19"/>
  <c r="A25943" i="19"/>
  <c r="A25942" i="19"/>
  <c r="A25941" i="19"/>
  <c r="A25940" i="19"/>
  <c r="A25939" i="19"/>
  <c r="A25938" i="19"/>
  <c r="A25937" i="19"/>
  <c r="A25936" i="19"/>
  <c r="A25935" i="19"/>
  <c r="A25934" i="19"/>
  <c r="A25933" i="19"/>
  <c r="A25932" i="19"/>
  <c r="A25931" i="19"/>
  <c r="A25930" i="19"/>
  <c r="A25929" i="19"/>
  <c r="A25928" i="19"/>
  <c r="A25927" i="19"/>
  <c r="A25926" i="19"/>
  <c r="A25925" i="19"/>
  <c r="A25924" i="19"/>
  <c r="A25923" i="19"/>
  <c r="A25922" i="19"/>
  <c r="A25921" i="19"/>
  <c r="A25920" i="19"/>
  <c r="A25919" i="19"/>
  <c r="A25918" i="19"/>
  <c r="A25917" i="19"/>
  <c r="A25916" i="19"/>
  <c r="A25915" i="19"/>
  <c r="A25914" i="19"/>
  <c r="A25913" i="19"/>
  <c r="A25912" i="19"/>
  <c r="A25911" i="19"/>
  <c r="A25910" i="19"/>
  <c r="A25909" i="19"/>
  <c r="A25908" i="19"/>
  <c r="A25907" i="19"/>
  <c r="A25906" i="19"/>
  <c r="A25905" i="19"/>
  <c r="A25904" i="19"/>
  <c r="A25903" i="19"/>
  <c r="A25902" i="19"/>
  <c r="A25901" i="19"/>
  <c r="A25900" i="19"/>
  <c r="A25899" i="19"/>
  <c r="A25898" i="19"/>
  <c r="A25897" i="19"/>
  <c r="A25896" i="19"/>
  <c r="A25895" i="19"/>
  <c r="A25894" i="19"/>
  <c r="A25893" i="19"/>
  <c r="A25892" i="19"/>
  <c r="A25891" i="19"/>
  <c r="A25890" i="19"/>
  <c r="A25889" i="19"/>
  <c r="A25888" i="19"/>
  <c r="A25887" i="19"/>
  <c r="A25886" i="19"/>
  <c r="A25885" i="19"/>
  <c r="A25884" i="19"/>
  <c r="A25883" i="19"/>
  <c r="A25882" i="19"/>
  <c r="A25881" i="19"/>
  <c r="A25880" i="19"/>
  <c r="A25879" i="19"/>
  <c r="A25878" i="19"/>
  <c r="A25877" i="19"/>
  <c r="A25876" i="19"/>
  <c r="A25875" i="19"/>
  <c r="A25874" i="19"/>
  <c r="A25873" i="19"/>
  <c r="A25872" i="19"/>
  <c r="A25871" i="19"/>
  <c r="A25870" i="19"/>
  <c r="A25869" i="19"/>
  <c r="A25868" i="19"/>
  <c r="A25867" i="19"/>
  <c r="A25866" i="19"/>
  <c r="A25865" i="19"/>
  <c r="A25864" i="19"/>
  <c r="A25863" i="19"/>
  <c r="A25862" i="19"/>
  <c r="A25861" i="19"/>
  <c r="A25860" i="19"/>
  <c r="A25859" i="19"/>
  <c r="A25858" i="19"/>
  <c r="A25857" i="19"/>
  <c r="A25856" i="19"/>
  <c r="A25855" i="19"/>
  <c r="A25854" i="19"/>
  <c r="A25853" i="19"/>
  <c r="A25852" i="19"/>
  <c r="A25851" i="19"/>
  <c r="A25850" i="19"/>
  <c r="A25849" i="19"/>
  <c r="A25848" i="19"/>
  <c r="A25847" i="19"/>
  <c r="A25846" i="19"/>
  <c r="A25845" i="19"/>
  <c r="A25844" i="19"/>
  <c r="A25843" i="19"/>
  <c r="A25842" i="19"/>
  <c r="A25841" i="19"/>
  <c r="A25840" i="19"/>
  <c r="A25839" i="19"/>
  <c r="A25838" i="19"/>
  <c r="A25837" i="19"/>
  <c r="A25836" i="19"/>
  <c r="A25835" i="19"/>
  <c r="A25834" i="19"/>
  <c r="A25833" i="19"/>
  <c r="A25832" i="19"/>
  <c r="A25831" i="19"/>
  <c r="A25830" i="19"/>
  <c r="A25829" i="19"/>
  <c r="A25828" i="19"/>
  <c r="A25827" i="19"/>
  <c r="A25826" i="19"/>
  <c r="A25825" i="19"/>
  <c r="A25824" i="19"/>
  <c r="A25823" i="19"/>
  <c r="A25822" i="19"/>
  <c r="A25821" i="19"/>
  <c r="A25820" i="19"/>
  <c r="A25819" i="19"/>
  <c r="A25818" i="19"/>
  <c r="A25817" i="19"/>
  <c r="A25816" i="19"/>
  <c r="A25815" i="19"/>
  <c r="A25814" i="19"/>
  <c r="A25813" i="19"/>
  <c r="A25812" i="19"/>
  <c r="A25811" i="19"/>
  <c r="A25810" i="19"/>
  <c r="A25809" i="19"/>
  <c r="A25808" i="19"/>
  <c r="A25807" i="19"/>
  <c r="A25806" i="19"/>
  <c r="A25805" i="19"/>
  <c r="A25804" i="19"/>
  <c r="A25803" i="19"/>
  <c r="A25802" i="19"/>
  <c r="A25801" i="19"/>
  <c r="A25800" i="19"/>
  <c r="A25799" i="19"/>
  <c r="A25798" i="19"/>
  <c r="A25797" i="19"/>
  <c r="A25796" i="19"/>
  <c r="A25795" i="19"/>
  <c r="A25794" i="19"/>
  <c r="A25793" i="19"/>
  <c r="A25792" i="19"/>
  <c r="A25791" i="19"/>
  <c r="A25790" i="19"/>
  <c r="A25789" i="19"/>
  <c r="A25788" i="19"/>
  <c r="A25787" i="19"/>
  <c r="A25786" i="19"/>
  <c r="A25785" i="19"/>
  <c r="A25784" i="19"/>
  <c r="A25783" i="19"/>
  <c r="A25782" i="19"/>
  <c r="A25781" i="19"/>
  <c r="A25780" i="19"/>
  <c r="A25779" i="19"/>
  <c r="A25778" i="19"/>
  <c r="A25777" i="19"/>
  <c r="A25776" i="19"/>
  <c r="A25775" i="19"/>
  <c r="A25774" i="19"/>
  <c r="A25773" i="19"/>
  <c r="A25772" i="19"/>
  <c r="A25771" i="19"/>
  <c r="A25770" i="19"/>
  <c r="A25769" i="19"/>
  <c r="A25768" i="19"/>
  <c r="A25767" i="19"/>
  <c r="A25766" i="19"/>
  <c r="A25765" i="19"/>
  <c r="A25764" i="19"/>
  <c r="A25763" i="19"/>
  <c r="A25762" i="19"/>
  <c r="A25761" i="19"/>
  <c r="A25760" i="19"/>
  <c r="A25759" i="19"/>
  <c r="A25758" i="19"/>
  <c r="A25757" i="19"/>
  <c r="A25756" i="19"/>
  <c r="A25755" i="19"/>
  <c r="A25754" i="19"/>
  <c r="A25753" i="19"/>
  <c r="A25752" i="19"/>
  <c r="A25751" i="19"/>
  <c r="A25750" i="19"/>
  <c r="A25749" i="19"/>
  <c r="A25748" i="19"/>
  <c r="A25747" i="19"/>
  <c r="A25746" i="19"/>
  <c r="A25745" i="19"/>
  <c r="A25744" i="19"/>
  <c r="A25743" i="19"/>
  <c r="A25742" i="19"/>
  <c r="A25741" i="19"/>
  <c r="A25740" i="19"/>
  <c r="A25739" i="19"/>
  <c r="A25738" i="19"/>
  <c r="A25737" i="19"/>
  <c r="A25736" i="19"/>
  <c r="A25735" i="19"/>
  <c r="A25734" i="19"/>
  <c r="A25733" i="19"/>
  <c r="A25732" i="19"/>
  <c r="A25731" i="19"/>
  <c r="A25730" i="19"/>
  <c r="A25729" i="19"/>
  <c r="A25728" i="19"/>
  <c r="A25727" i="19"/>
  <c r="A25726" i="19"/>
  <c r="A25725" i="19"/>
  <c r="A25724" i="19"/>
  <c r="A25723" i="19"/>
  <c r="A25722" i="19"/>
  <c r="A25721" i="19"/>
  <c r="A25720" i="19"/>
  <c r="A25719" i="19"/>
  <c r="A25718" i="19"/>
  <c r="A25717" i="19"/>
  <c r="A25716" i="19"/>
  <c r="A25715" i="19"/>
  <c r="A25714" i="19"/>
  <c r="A25713" i="19"/>
  <c r="A25712" i="19"/>
  <c r="A25711" i="19"/>
  <c r="A25710" i="19"/>
  <c r="A25709" i="19"/>
  <c r="A25708" i="19"/>
  <c r="A25707" i="19"/>
  <c r="A25706" i="19"/>
  <c r="A25705" i="19"/>
  <c r="A25704" i="19"/>
  <c r="A25703" i="19"/>
  <c r="A25702" i="19"/>
  <c r="A25701" i="19"/>
  <c r="A25700" i="19"/>
  <c r="A25699" i="19"/>
  <c r="A25698" i="19"/>
  <c r="A25697" i="19"/>
  <c r="A25696" i="19"/>
  <c r="A25695" i="19"/>
  <c r="A25694" i="19"/>
  <c r="A25693" i="19"/>
  <c r="A25692" i="19"/>
  <c r="A25691" i="19"/>
  <c r="A25690" i="19"/>
  <c r="A25689" i="19"/>
  <c r="A25688" i="19"/>
  <c r="A25687" i="19"/>
  <c r="A25686" i="19"/>
  <c r="A25685" i="19"/>
  <c r="A25684" i="19"/>
  <c r="A25683" i="19"/>
  <c r="A25682" i="19"/>
  <c r="A25681" i="19"/>
  <c r="A25680" i="19"/>
  <c r="A25679" i="19"/>
  <c r="A25678" i="19"/>
  <c r="A25677" i="19"/>
  <c r="A25676" i="19"/>
  <c r="A25675" i="19"/>
  <c r="A25674" i="19"/>
  <c r="A25673" i="19"/>
  <c r="A25672" i="19"/>
  <c r="A25671" i="19"/>
  <c r="A25670" i="19"/>
  <c r="A25669" i="19"/>
  <c r="A25668" i="19"/>
  <c r="A25667" i="19"/>
  <c r="A25666" i="19"/>
  <c r="A25665" i="19"/>
  <c r="A25664" i="19"/>
  <c r="A25663" i="19"/>
  <c r="A25662" i="19"/>
  <c r="A25661" i="19"/>
  <c r="A25660" i="19"/>
  <c r="A25659" i="19"/>
  <c r="A25658" i="19"/>
  <c r="A25657" i="19"/>
  <c r="A25656" i="19"/>
  <c r="A25655" i="19"/>
  <c r="A25654" i="19"/>
  <c r="A25653" i="19"/>
  <c r="A25652" i="19"/>
  <c r="A25651" i="19"/>
  <c r="A25650" i="19"/>
  <c r="A25649" i="19"/>
  <c r="A25648" i="19"/>
  <c r="A25647" i="19"/>
  <c r="A25646" i="19"/>
  <c r="A25645" i="19"/>
  <c r="A25644" i="19"/>
  <c r="A25643" i="19"/>
  <c r="A25642" i="19"/>
  <c r="A25641" i="19"/>
  <c r="A25640" i="19"/>
  <c r="A25639" i="19"/>
  <c r="A25638" i="19"/>
  <c r="A25637" i="19"/>
  <c r="A25636" i="19"/>
  <c r="A25635" i="19"/>
  <c r="A25634" i="19"/>
  <c r="A25633" i="19"/>
  <c r="A25632" i="19"/>
  <c r="A25631" i="19"/>
  <c r="A25630" i="19"/>
  <c r="A25629" i="19"/>
  <c r="A25628" i="19"/>
  <c r="A25627" i="19"/>
  <c r="A25626" i="19"/>
  <c r="A25625" i="19"/>
  <c r="A25624" i="19"/>
  <c r="A25623" i="19"/>
  <c r="A25622" i="19"/>
  <c r="A25621" i="19"/>
  <c r="A25620" i="19"/>
  <c r="A25619" i="19"/>
  <c r="A25618" i="19"/>
  <c r="A25617" i="19"/>
  <c r="A25616" i="19"/>
  <c r="A25615" i="19"/>
  <c r="A25614" i="19"/>
  <c r="A25613" i="19"/>
  <c r="A25612" i="19"/>
  <c r="A25611" i="19"/>
  <c r="A25610" i="19"/>
  <c r="A25609" i="19"/>
  <c r="A25608" i="19"/>
  <c r="A25607" i="19"/>
  <c r="A25606" i="19"/>
  <c r="A25605" i="19"/>
  <c r="A25604" i="19"/>
  <c r="A25603" i="19"/>
  <c r="A25602" i="19"/>
  <c r="A25601" i="19"/>
  <c r="A25600" i="19"/>
  <c r="A25599" i="19"/>
  <c r="A25598" i="19"/>
  <c r="A25597" i="19"/>
  <c r="A25596" i="19"/>
  <c r="A25595" i="19"/>
  <c r="A25594" i="19"/>
  <c r="A25593" i="19"/>
  <c r="A25592" i="19"/>
  <c r="A25591" i="19"/>
  <c r="A25590" i="19"/>
  <c r="A25589" i="19"/>
  <c r="A25588" i="19"/>
  <c r="A25587" i="19"/>
  <c r="A25586" i="19"/>
  <c r="A25585" i="19"/>
  <c r="A25584" i="19"/>
  <c r="A25583" i="19"/>
  <c r="A25582" i="19"/>
  <c r="A25581" i="19"/>
  <c r="A25580" i="19"/>
  <c r="A25579" i="19"/>
  <c r="A25578" i="19"/>
  <c r="A25577" i="19"/>
  <c r="A25576" i="19"/>
  <c r="A25575" i="19"/>
  <c r="A25574" i="19"/>
  <c r="A25573" i="19"/>
  <c r="A25572" i="19"/>
  <c r="A25571" i="19"/>
  <c r="A25570" i="19"/>
  <c r="A25569" i="19"/>
  <c r="A25568" i="19"/>
  <c r="A25567" i="19"/>
  <c r="A25566" i="19"/>
  <c r="A25565" i="19"/>
  <c r="A25564" i="19"/>
  <c r="A25563" i="19"/>
  <c r="A25562" i="19"/>
  <c r="A25561" i="19"/>
  <c r="A25560" i="19"/>
  <c r="A25559" i="19"/>
  <c r="A25558" i="19"/>
  <c r="A25557" i="19"/>
  <c r="A25556" i="19"/>
  <c r="A25555" i="19"/>
  <c r="A25554" i="19"/>
  <c r="A25553" i="19"/>
  <c r="A25552" i="19"/>
  <c r="A25551" i="19"/>
  <c r="A25550" i="19"/>
  <c r="A25549" i="19"/>
  <c r="A25548" i="19"/>
  <c r="A25547" i="19"/>
  <c r="A25546" i="19"/>
  <c r="A25545" i="19"/>
  <c r="A25544" i="19"/>
  <c r="A25543" i="19"/>
  <c r="A25542" i="19"/>
  <c r="A25541" i="19"/>
  <c r="A25540" i="19"/>
  <c r="A25539" i="19"/>
  <c r="A25538" i="19"/>
  <c r="A25537" i="19"/>
  <c r="A25536" i="19"/>
  <c r="A25535" i="19"/>
  <c r="A25534" i="19"/>
  <c r="A25533" i="19"/>
  <c r="A25532" i="19"/>
  <c r="A25531" i="19"/>
  <c r="A25530" i="19"/>
  <c r="A25529" i="19"/>
  <c r="A25528" i="19"/>
  <c r="A25527" i="19"/>
  <c r="A25526" i="19"/>
  <c r="A25525" i="19"/>
  <c r="A25524" i="19"/>
  <c r="A25523" i="19"/>
  <c r="A25522" i="19"/>
  <c r="A25521" i="19"/>
  <c r="A25520" i="19"/>
  <c r="A25519" i="19"/>
  <c r="A25518" i="19"/>
  <c r="A25517" i="19"/>
  <c r="A25516" i="19"/>
  <c r="A25515" i="19"/>
  <c r="A25514" i="19"/>
  <c r="A25513" i="19"/>
  <c r="A25512" i="19"/>
  <c r="A25511" i="19"/>
  <c r="A25510" i="19"/>
  <c r="A25509" i="19"/>
  <c r="A25508" i="19"/>
  <c r="A25507" i="19"/>
  <c r="A25506" i="19"/>
  <c r="A25505" i="19"/>
  <c r="A25504" i="19"/>
  <c r="A25503" i="19"/>
  <c r="A25502" i="19"/>
  <c r="A25501" i="19"/>
  <c r="A25500" i="19"/>
  <c r="A25499" i="19"/>
  <c r="A25498" i="19"/>
  <c r="A25497" i="19"/>
  <c r="A25496" i="19"/>
  <c r="A25495" i="19"/>
  <c r="A25494" i="19"/>
  <c r="A25493" i="19"/>
  <c r="A25492" i="19"/>
  <c r="A25491" i="19"/>
  <c r="A25490" i="19"/>
  <c r="A25489" i="19"/>
  <c r="A25488" i="19"/>
  <c r="A25487" i="19"/>
  <c r="A25486" i="19"/>
  <c r="A25485" i="19"/>
  <c r="A25484" i="19"/>
  <c r="A25483" i="19"/>
  <c r="A25482" i="19"/>
  <c r="A25481" i="19"/>
  <c r="A25480" i="19"/>
  <c r="A25479" i="19"/>
  <c r="A25478" i="19"/>
  <c r="A25477" i="19"/>
  <c r="A25476" i="19"/>
  <c r="A25475" i="19"/>
  <c r="A25474" i="19"/>
  <c r="A25473" i="19"/>
  <c r="A25472" i="19"/>
  <c r="A25471" i="19"/>
  <c r="A25470" i="19"/>
  <c r="A25469" i="19"/>
  <c r="A25468" i="19"/>
  <c r="A25467" i="19"/>
  <c r="A25466" i="19"/>
  <c r="A25465" i="19"/>
  <c r="A25464" i="19"/>
  <c r="A25463" i="19"/>
  <c r="A25462" i="19"/>
  <c r="A25461" i="19"/>
  <c r="A25460" i="19"/>
  <c r="A25459" i="19"/>
  <c r="A25458" i="19"/>
  <c r="A25457" i="19"/>
  <c r="A25456" i="19"/>
  <c r="A25455" i="19"/>
  <c r="A25454" i="19"/>
  <c r="A25453" i="19"/>
  <c r="A25452" i="19"/>
  <c r="A25451" i="19"/>
  <c r="A25450" i="19"/>
  <c r="A25449" i="19"/>
  <c r="A25448" i="19"/>
  <c r="A25447" i="19"/>
  <c r="A25446" i="19"/>
  <c r="A25445" i="19"/>
  <c r="A25444" i="19"/>
  <c r="A25443" i="19"/>
  <c r="A25442" i="19"/>
  <c r="A25441" i="19"/>
  <c r="A25440" i="19"/>
  <c r="A25439" i="19"/>
  <c r="A25438" i="19"/>
  <c r="A25437" i="19"/>
  <c r="A25436" i="19"/>
  <c r="A25435" i="19"/>
  <c r="A25434" i="19"/>
  <c r="A25433" i="19"/>
  <c r="A25432" i="19"/>
  <c r="A25431" i="19"/>
  <c r="A25430" i="19"/>
  <c r="A25429" i="19"/>
  <c r="A25428" i="19"/>
  <c r="A25427" i="19"/>
  <c r="A25426" i="19"/>
  <c r="A25425" i="19"/>
  <c r="A25424" i="19"/>
  <c r="A25423" i="19"/>
  <c r="A25422" i="19"/>
  <c r="A25421" i="19"/>
  <c r="A25420" i="19"/>
  <c r="A25419" i="19"/>
  <c r="A25418" i="19"/>
  <c r="A25417" i="19"/>
  <c r="A25416" i="19"/>
  <c r="A25415" i="19"/>
  <c r="A25414" i="19"/>
  <c r="A25413" i="19"/>
  <c r="A25412" i="19"/>
  <c r="A25411" i="19"/>
  <c r="A25410" i="19"/>
  <c r="A25409" i="19"/>
  <c r="A25408" i="19"/>
  <c r="A25407" i="19"/>
  <c r="A25406" i="19"/>
  <c r="A25405" i="19"/>
  <c r="A25404" i="19"/>
  <c r="A25403" i="19"/>
  <c r="A25402" i="19"/>
  <c r="A25401" i="19"/>
  <c r="A25400" i="19"/>
  <c r="A25399" i="19"/>
  <c r="A25398" i="19"/>
  <c r="A25397" i="19"/>
  <c r="A25396" i="19"/>
  <c r="A25395" i="19"/>
  <c r="A25394" i="19"/>
  <c r="A25393" i="19"/>
  <c r="A25392" i="19"/>
  <c r="A25391" i="19"/>
  <c r="A25390" i="19"/>
  <c r="A25389" i="19"/>
  <c r="A25388" i="19"/>
  <c r="A25387" i="19"/>
  <c r="A25386" i="19"/>
  <c r="A25385" i="19"/>
  <c r="A25384" i="19"/>
  <c r="A25383" i="19"/>
  <c r="A25382" i="19"/>
  <c r="A25381" i="19"/>
  <c r="A25380" i="19"/>
  <c r="A25379" i="19"/>
  <c r="A25378" i="19"/>
  <c r="A25377" i="19"/>
  <c r="A25376" i="19"/>
  <c r="A25375" i="19"/>
  <c r="A25374" i="19"/>
  <c r="A25373" i="19"/>
  <c r="A25372" i="19"/>
  <c r="A25371" i="19"/>
  <c r="A25370" i="19"/>
  <c r="A25369" i="19"/>
  <c r="A25368" i="19"/>
  <c r="A25367" i="19"/>
  <c r="A25366" i="19"/>
  <c r="A25365" i="19"/>
  <c r="A25364" i="19"/>
  <c r="A25363" i="19"/>
  <c r="A25362" i="19"/>
  <c r="A25361" i="19"/>
  <c r="A25360" i="19"/>
  <c r="A25359" i="19"/>
  <c r="A25358" i="19"/>
  <c r="A25357" i="19"/>
  <c r="A25356" i="19"/>
  <c r="A25355" i="19"/>
  <c r="A25354" i="19"/>
  <c r="A25353" i="19"/>
  <c r="A25352" i="19"/>
  <c r="A25351" i="19"/>
  <c r="A25350" i="19"/>
  <c r="A25349" i="19"/>
  <c r="A25348" i="19"/>
  <c r="A25347" i="19"/>
  <c r="A25346" i="19"/>
  <c r="A25345" i="19"/>
  <c r="A25344" i="19"/>
  <c r="A25343" i="19"/>
  <c r="A25342" i="19"/>
  <c r="A25341" i="19"/>
  <c r="A25340" i="19"/>
  <c r="A25339" i="19"/>
  <c r="A25338" i="19"/>
  <c r="A25337" i="19"/>
  <c r="A25336" i="19"/>
  <c r="A25335" i="19"/>
  <c r="A25334" i="19"/>
  <c r="A25333" i="19"/>
  <c r="A25332" i="19"/>
  <c r="A25331" i="19"/>
  <c r="A25330" i="19"/>
  <c r="A25329" i="19"/>
  <c r="A25328" i="19"/>
  <c r="A25327" i="19"/>
  <c r="A25326" i="19"/>
  <c r="A25325" i="19"/>
  <c r="A25324" i="19"/>
  <c r="A25323" i="19"/>
  <c r="A25322" i="19"/>
  <c r="A25321" i="19"/>
  <c r="A25320" i="19"/>
  <c r="A25319" i="19"/>
  <c r="A25318" i="19"/>
  <c r="A25317" i="19"/>
  <c r="A25316" i="19"/>
  <c r="A25315" i="19"/>
  <c r="A25314" i="19"/>
  <c r="A25313" i="19"/>
  <c r="A25312" i="19"/>
  <c r="A25311" i="19"/>
  <c r="A25310" i="19"/>
  <c r="A25309" i="19"/>
  <c r="A25308" i="19"/>
  <c r="A25307" i="19"/>
  <c r="A25306" i="19"/>
  <c r="A25305" i="19"/>
  <c r="A25304" i="19"/>
  <c r="A25303" i="19"/>
  <c r="A25302" i="19"/>
  <c r="A25301" i="19"/>
  <c r="A25300" i="19"/>
  <c r="A25299" i="19"/>
  <c r="A25298" i="19"/>
  <c r="A25297" i="19"/>
  <c r="A25296" i="19"/>
  <c r="A25295" i="19"/>
  <c r="A25294" i="19"/>
  <c r="A25293" i="19"/>
  <c r="A25292" i="19"/>
  <c r="A25291" i="19"/>
  <c r="A25290" i="19"/>
  <c r="A25289" i="19"/>
  <c r="A25288" i="19"/>
  <c r="A25287" i="19"/>
  <c r="A25286" i="19"/>
  <c r="A25285" i="19"/>
  <c r="A25284" i="19"/>
  <c r="A25283" i="19"/>
  <c r="A25282" i="19"/>
  <c r="A25281" i="19"/>
  <c r="A25280" i="19"/>
  <c r="A25279" i="19"/>
  <c r="A25278" i="19"/>
  <c r="A25277" i="19"/>
  <c r="A25276" i="19"/>
  <c r="A25275" i="19"/>
  <c r="A25274" i="19"/>
  <c r="A25273" i="19"/>
  <c r="A25272" i="19"/>
  <c r="A25271" i="19"/>
  <c r="A25270" i="19"/>
  <c r="A25269" i="19"/>
  <c r="A25268" i="19"/>
  <c r="A25267" i="19"/>
  <c r="A25266" i="19"/>
  <c r="A25265" i="19"/>
  <c r="A25264" i="19"/>
  <c r="A25263" i="19"/>
  <c r="A25262" i="19"/>
  <c r="A25261" i="19"/>
  <c r="A25260" i="19"/>
  <c r="A25259" i="19"/>
  <c r="A25258" i="19"/>
  <c r="A25257" i="19"/>
  <c r="A25256" i="19"/>
  <c r="A25255" i="19"/>
  <c r="A25254" i="19"/>
  <c r="A25253" i="19"/>
  <c r="A25252" i="19"/>
  <c r="A25251" i="19"/>
  <c r="A25250" i="19"/>
  <c r="A25249" i="19"/>
  <c r="A25248" i="19"/>
  <c r="A25247" i="19"/>
  <c r="A25246" i="19"/>
  <c r="A25245" i="19"/>
  <c r="A25244" i="19"/>
  <c r="A25243" i="19"/>
  <c r="A25242" i="19"/>
  <c r="A25241" i="19"/>
  <c r="A25240" i="19"/>
  <c r="A25239" i="19"/>
  <c r="A25238" i="19"/>
  <c r="A25237" i="19"/>
  <c r="A25236" i="19"/>
  <c r="A25235" i="19"/>
  <c r="A25234" i="19"/>
  <c r="A25233" i="19"/>
  <c r="A25232" i="19"/>
  <c r="A25231" i="19"/>
  <c r="A25230" i="19"/>
  <c r="A25229" i="19"/>
  <c r="A25228" i="19"/>
  <c r="A25227" i="19"/>
  <c r="A25226" i="19"/>
  <c r="A25225" i="19"/>
  <c r="A25224" i="19"/>
  <c r="A25223" i="19"/>
  <c r="A25222" i="19"/>
  <c r="A25221" i="19"/>
  <c r="A25220" i="19"/>
  <c r="A25219" i="19"/>
  <c r="A25218" i="19"/>
  <c r="A25217" i="19"/>
  <c r="A25216" i="19"/>
  <c r="A25215" i="19"/>
  <c r="A25214" i="19"/>
  <c r="A25213" i="19"/>
  <c r="A25212" i="19"/>
  <c r="A25211" i="19"/>
  <c r="A25210" i="19"/>
  <c r="A25209" i="19"/>
  <c r="A25208" i="19"/>
  <c r="A25207" i="19"/>
  <c r="A25206" i="19"/>
  <c r="A25205" i="19"/>
  <c r="A25204" i="19"/>
  <c r="A25203" i="19"/>
  <c r="A25202" i="19"/>
  <c r="A25201" i="19"/>
  <c r="A25200" i="19"/>
  <c r="A25199" i="19"/>
  <c r="A25198" i="19"/>
  <c r="A25197" i="19"/>
  <c r="A25196" i="19"/>
  <c r="A25195" i="19"/>
  <c r="A25194" i="19"/>
  <c r="A25193" i="19"/>
  <c r="A25192" i="19"/>
  <c r="A25191" i="19"/>
  <c r="A25190" i="19"/>
  <c r="A25189" i="19"/>
  <c r="A25188" i="19"/>
  <c r="A25187" i="19"/>
  <c r="A25186" i="19"/>
  <c r="A25185" i="19"/>
  <c r="A25184" i="19"/>
  <c r="A25183" i="19"/>
  <c r="A25182" i="19"/>
  <c r="A25181" i="19"/>
  <c r="A25180" i="19"/>
  <c r="A25179" i="19"/>
  <c r="A25178" i="19"/>
  <c r="A25177" i="19"/>
  <c r="A25176" i="19"/>
  <c r="A25175" i="19"/>
  <c r="A25174" i="19"/>
  <c r="A25173" i="19"/>
  <c r="A25172" i="19"/>
  <c r="A25171" i="19"/>
  <c r="A25170" i="19"/>
  <c r="A25169" i="19"/>
  <c r="A25168" i="19"/>
  <c r="A25167" i="19"/>
  <c r="A25166" i="19"/>
  <c r="A25165" i="19"/>
  <c r="A25164" i="19"/>
  <c r="A25163" i="19"/>
  <c r="A25162" i="19"/>
  <c r="A25161" i="19"/>
  <c r="A25160" i="19"/>
  <c r="A25159" i="19"/>
  <c r="A25158" i="19"/>
  <c r="A25157" i="19"/>
  <c r="A25156" i="19"/>
  <c r="A25155" i="19"/>
  <c r="A25154" i="19"/>
  <c r="A25153" i="19"/>
  <c r="A25152" i="19"/>
  <c r="A25151" i="19"/>
  <c r="A25150" i="19"/>
  <c r="A25149" i="19"/>
  <c r="A25148" i="19"/>
  <c r="A25147" i="19"/>
  <c r="A25146" i="19"/>
  <c r="A25145" i="19"/>
  <c r="A25144" i="19"/>
  <c r="A25143" i="19"/>
  <c r="A25142" i="19"/>
  <c r="A25141" i="19"/>
  <c r="A25140" i="19"/>
  <c r="A25139" i="19"/>
  <c r="A25138" i="19"/>
  <c r="A25137" i="19"/>
  <c r="A25136" i="19"/>
  <c r="A25135" i="19"/>
  <c r="A25134" i="19"/>
  <c r="A25133" i="19"/>
  <c r="A25132" i="19"/>
  <c r="A25131" i="19"/>
  <c r="A25130" i="19"/>
  <c r="A25129" i="19"/>
  <c r="A25128" i="19"/>
  <c r="A25127" i="19"/>
  <c r="A25126" i="19"/>
  <c r="A25125" i="19"/>
  <c r="A25124" i="19"/>
  <c r="A25123" i="19"/>
  <c r="A25122" i="19"/>
  <c r="A25121" i="19"/>
  <c r="A25120" i="19"/>
  <c r="A25119" i="19"/>
  <c r="A25118" i="19"/>
  <c r="A25117" i="19"/>
  <c r="A25116" i="19"/>
  <c r="A25115" i="19"/>
  <c r="A25114" i="19"/>
  <c r="A25113" i="19"/>
  <c r="A25112" i="19"/>
  <c r="A25111" i="19"/>
  <c r="A25110" i="19"/>
  <c r="A25109" i="19"/>
  <c r="A25108" i="19"/>
  <c r="A25107" i="19"/>
  <c r="A25106" i="19"/>
  <c r="A25105" i="19"/>
  <c r="A25104" i="19"/>
  <c r="A25103" i="19"/>
  <c r="A25102" i="19"/>
  <c r="A25101" i="19"/>
  <c r="A25100" i="19"/>
  <c r="A25099" i="19"/>
  <c r="A25098" i="19"/>
  <c r="A25097" i="19"/>
  <c r="A25096" i="19"/>
  <c r="A25095" i="19"/>
  <c r="A25094" i="19"/>
  <c r="A25093" i="19"/>
  <c r="A25092" i="19"/>
  <c r="A25091" i="19"/>
  <c r="A25090" i="19"/>
  <c r="A25089" i="19"/>
  <c r="A25088" i="19"/>
  <c r="A25087" i="19"/>
  <c r="A25086" i="19"/>
  <c r="A25085" i="19"/>
  <c r="A25084" i="19"/>
  <c r="A25083" i="19"/>
  <c r="A25082" i="19"/>
  <c r="A25081" i="19"/>
  <c r="A25080" i="19"/>
  <c r="A25079" i="19"/>
  <c r="A25078" i="19"/>
  <c r="A25077" i="19"/>
  <c r="A25076" i="19"/>
  <c r="A25075" i="19"/>
  <c r="A25074" i="19"/>
  <c r="A25073" i="19"/>
  <c r="A25072" i="19"/>
  <c r="A25071" i="19"/>
  <c r="A25070" i="19"/>
  <c r="A25069" i="19"/>
  <c r="A25068" i="19"/>
  <c r="A25067" i="19"/>
  <c r="A25066" i="19"/>
  <c r="A25065" i="19"/>
  <c r="A25064" i="19"/>
  <c r="A25063" i="19"/>
  <c r="A25062" i="19"/>
  <c r="A25061" i="19"/>
  <c r="A25060" i="19"/>
  <c r="A25059" i="19"/>
  <c r="A25058" i="19"/>
  <c r="A25057" i="19"/>
  <c r="A25056" i="19"/>
  <c r="A25055" i="19"/>
  <c r="A25054" i="19"/>
  <c r="A25053" i="19"/>
  <c r="A25052" i="19"/>
  <c r="A25051" i="19"/>
  <c r="A25050" i="19"/>
  <c r="A25049" i="19"/>
  <c r="A25048" i="19"/>
  <c r="A25047" i="19"/>
  <c r="A25046" i="19"/>
  <c r="A25045" i="19"/>
  <c r="A25044" i="19"/>
  <c r="A25043" i="19"/>
  <c r="A25042" i="19"/>
  <c r="A25041" i="19"/>
  <c r="A25040" i="19"/>
  <c r="A25039" i="19"/>
  <c r="A25038" i="19"/>
  <c r="A25037" i="19"/>
  <c r="A25036" i="19"/>
  <c r="A25035" i="19"/>
  <c r="A25034" i="19"/>
  <c r="A25033" i="19"/>
  <c r="A25032" i="19"/>
  <c r="A25031" i="19"/>
  <c r="A25030" i="19"/>
  <c r="A25029" i="19"/>
  <c r="A25028" i="19"/>
  <c r="A25027" i="19"/>
  <c r="A25026" i="19"/>
  <c r="A25025" i="19"/>
  <c r="A25024" i="19"/>
  <c r="A25023" i="19"/>
  <c r="A25022" i="19"/>
  <c r="A25021" i="19"/>
  <c r="A25020" i="19"/>
  <c r="A25019" i="19"/>
  <c r="A25018" i="19"/>
  <c r="A25017" i="19"/>
  <c r="A25016" i="19"/>
  <c r="A25015" i="19"/>
  <c r="A25014" i="19"/>
  <c r="A25013" i="19"/>
  <c r="A25012" i="19"/>
  <c r="A25011" i="19"/>
  <c r="A25010" i="19"/>
  <c r="A25009" i="19"/>
  <c r="A25008" i="19"/>
  <c r="A25007" i="19"/>
  <c r="A25006" i="19"/>
  <c r="A25005" i="19"/>
  <c r="A25004" i="19"/>
  <c r="A25003" i="19"/>
  <c r="A25002" i="19"/>
  <c r="A25001" i="19"/>
  <c r="A25000" i="19"/>
  <c r="A24999" i="19"/>
  <c r="A24998" i="19"/>
  <c r="A24997" i="19"/>
  <c r="A24996" i="19"/>
  <c r="A24995" i="19"/>
  <c r="A24994" i="19"/>
  <c r="A24993" i="19"/>
  <c r="A24992" i="19"/>
  <c r="A24991" i="19"/>
  <c r="A24990" i="19"/>
  <c r="A24989" i="19"/>
  <c r="A24988" i="19"/>
  <c r="A24987" i="19"/>
  <c r="A24986" i="19"/>
  <c r="A24985" i="19"/>
  <c r="A24984" i="19"/>
  <c r="A24983" i="19"/>
  <c r="A24982" i="19"/>
  <c r="A24981" i="19"/>
  <c r="A24980" i="19"/>
  <c r="A24979" i="19"/>
  <c r="A24978" i="19"/>
  <c r="A24977" i="19"/>
  <c r="A24976" i="19"/>
  <c r="A24975" i="19"/>
  <c r="A24974" i="19"/>
  <c r="A24973" i="19"/>
  <c r="A24972" i="19"/>
  <c r="A24971" i="19"/>
  <c r="A24970" i="19"/>
  <c r="A24969" i="19"/>
  <c r="A24968" i="19"/>
  <c r="A24967" i="19"/>
  <c r="A24966" i="19"/>
  <c r="A24965" i="19"/>
  <c r="A24964" i="19"/>
  <c r="A24963" i="19"/>
  <c r="A24962" i="19"/>
  <c r="A24961" i="19"/>
  <c r="A24960" i="19"/>
  <c r="A24959" i="19"/>
  <c r="A24958" i="19"/>
  <c r="A24957" i="19"/>
  <c r="A24956" i="19"/>
  <c r="A24955" i="19"/>
  <c r="A24954" i="19"/>
  <c r="A24953" i="19"/>
  <c r="A24952" i="19"/>
  <c r="A24951" i="19"/>
  <c r="A24950" i="19"/>
  <c r="A24949" i="19"/>
  <c r="A24948" i="19"/>
  <c r="A24947" i="19"/>
  <c r="A24946" i="19"/>
  <c r="A24945" i="19"/>
  <c r="A24944" i="19"/>
  <c r="A24943" i="19"/>
  <c r="A24942" i="19"/>
  <c r="A24941" i="19"/>
  <c r="A24940" i="19"/>
  <c r="A24939" i="19"/>
  <c r="A24938" i="19"/>
  <c r="A24937" i="19"/>
  <c r="A24936" i="19"/>
  <c r="A24935" i="19"/>
  <c r="A24934" i="19"/>
  <c r="A24933" i="19"/>
  <c r="A24932" i="19"/>
  <c r="A24931" i="19"/>
  <c r="A24930" i="19"/>
  <c r="A24929" i="19"/>
  <c r="A24928" i="19"/>
  <c r="A24927" i="19"/>
  <c r="A24926" i="19"/>
  <c r="A24925" i="19"/>
  <c r="A24924" i="19"/>
  <c r="A24923" i="19"/>
  <c r="A24922" i="19"/>
  <c r="A24921" i="19"/>
  <c r="A24920" i="19"/>
  <c r="A24919" i="19"/>
  <c r="A24918" i="19"/>
  <c r="A24917" i="19"/>
  <c r="A24916" i="19"/>
  <c r="A24915" i="19"/>
  <c r="A24914" i="19"/>
  <c r="A24913" i="19"/>
  <c r="A24912" i="19"/>
  <c r="A24911" i="19"/>
  <c r="A24910" i="19"/>
  <c r="A24909" i="19"/>
  <c r="A24908" i="19"/>
  <c r="A24907" i="19"/>
  <c r="A24906" i="19"/>
  <c r="A24905" i="19"/>
  <c r="A24904" i="19"/>
  <c r="A24903" i="19"/>
  <c r="A24902" i="19"/>
  <c r="A24901" i="19"/>
  <c r="A24900" i="19"/>
  <c r="A24899" i="19"/>
  <c r="A24898" i="19"/>
  <c r="A24897" i="19"/>
  <c r="A24896" i="19"/>
  <c r="A24895" i="19"/>
  <c r="A24894" i="19"/>
  <c r="A24893" i="19"/>
  <c r="A24892" i="19"/>
  <c r="A24891" i="19"/>
  <c r="A24890" i="19"/>
  <c r="A24889" i="19"/>
  <c r="A24888" i="19"/>
  <c r="A24887" i="19"/>
  <c r="A24886" i="19"/>
  <c r="A24885" i="19"/>
  <c r="A24884" i="19"/>
  <c r="A24883" i="19"/>
  <c r="A24882" i="19"/>
  <c r="A24881" i="19"/>
  <c r="A24880" i="19"/>
  <c r="A24879" i="19"/>
  <c r="A24878" i="19"/>
  <c r="A24877" i="19"/>
  <c r="A24876" i="19"/>
  <c r="A24875" i="19"/>
  <c r="A24874" i="19"/>
  <c r="A24873" i="19"/>
  <c r="A24872" i="19"/>
  <c r="A24871" i="19"/>
  <c r="A24870" i="19"/>
  <c r="A24869" i="19"/>
  <c r="A24868" i="19"/>
  <c r="A24867" i="19"/>
  <c r="A24866" i="19"/>
  <c r="A24865" i="19"/>
  <c r="A24864" i="19"/>
  <c r="A24863" i="19"/>
  <c r="A24862" i="19"/>
  <c r="A24861" i="19"/>
  <c r="A24860" i="19"/>
  <c r="A24859" i="19"/>
  <c r="A24858" i="19"/>
  <c r="A24857" i="19"/>
  <c r="A24856" i="19"/>
  <c r="A24855" i="19"/>
  <c r="A24854" i="19"/>
  <c r="A24853" i="19"/>
  <c r="A24852" i="19"/>
  <c r="A24851" i="19"/>
  <c r="A24850" i="19"/>
  <c r="A24849" i="19"/>
  <c r="A24848" i="19"/>
  <c r="A24847" i="19"/>
  <c r="A24846" i="19"/>
  <c r="A24845" i="19"/>
  <c r="A24844" i="19"/>
  <c r="A24843" i="19"/>
  <c r="A24842" i="19"/>
  <c r="A24841" i="19"/>
  <c r="A24840" i="19"/>
  <c r="A24839" i="19"/>
  <c r="A24838" i="19"/>
  <c r="A24837" i="19"/>
  <c r="A24836" i="19"/>
  <c r="A24835" i="19"/>
  <c r="A24834" i="19"/>
  <c r="A24833" i="19"/>
  <c r="A24832" i="19"/>
  <c r="A24831" i="19"/>
  <c r="A24830" i="19"/>
  <c r="A24829" i="19"/>
  <c r="A24828" i="19"/>
  <c r="A24827" i="19"/>
  <c r="A24826" i="19"/>
  <c r="A24825" i="19"/>
  <c r="A24824" i="19"/>
  <c r="A24823" i="19"/>
  <c r="A24822" i="19"/>
  <c r="A24821" i="19"/>
  <c r="A24820" i="19"/>
  <c r="A24819" i="19"/>
  <c r="A24818" i="19"/>
  <c r="A24817" i="19"/>
  <c r="A24816" i="19"/>
  <c r="A24815" i="19"/>
  <c r="A24814" i="19"/>
  <c r="A24813" i="19"/>
  <c r="A24812" i="19"/>
  <c r="A24811" i="19"/>
  <c r="A24810" i="19"/>
  <c r="A24809" i="19"/>
  <c r="A24808" i="19"/>
  <c r="A24807" i="19"/>
  <c r="A24806" i="19"/>
  <c r="A24805" i="19"/>
  <c r="A24804" i="19"/>
  <c r="A24803" i="19"/>
  <c r="A24802" i="19"/>
  <c r="A24801" i="19"/>
  <c r="A24800" i="19"/>
  <c r="A24799" i="19"/>
  <c r="A24798" i="19"/>
  <c r="A24797" i="19"/>
  <c r="A24796" i="19"/>
  <c r="A24795" i="19"/>
  <c r="A24794" i="19"/>
  <c r="A24793" i="19"/>
  <c r="A24792" i="19"/>
  <c r="A24791" i="19"/>
  <c r="A24790" i="19"/>
  <c r="A24789" i="19"/>
  <c r="A24788" i="19"/>
  <c r="A24787" i="19"/>
  <c r="A24786" i="19"/>
  <c r="A24785" i="19"/>
  <c r="A24784" i="19"/>
  <c r="A24783" i="19"/>
  <c r="A24782" i="19"/>
  <c r="A24781" i="19"/>
  <c r="A24780" i="19"/>
  <c r="A24779" i="19"/>
  <c r="A24778" i="19"/>
  <c r="A24777" i="19"/>
  <c r="A24776" i="19"/>
  <c r="A24775" i="19"/>
  <c r="A24774" i="19"/>
  <c r="A24773" i="19"/>
  <c r="A24772" i="19"/>
  <c r="A24771" i="19"/>
  <c r="A24770" i="19"/>
  <c r="A24769" i="19"/>
  <c r="A24768" i="19"/>
  <c r="A24767" i="19"/>
  <c r="A24766" i="19"/>
  <c r="A24765" i="19"/>
  <c r="A24764" i="19"/>
  <c r="A24763" i="19"/>
  <c r="A24762" i="19"/>
  <c r="A24761" i="19"/>
  <c r="A24760" i="19"/>
  <c r="A24759" i="19"/>
  <c r="A24758" i="19"/>
  <c r="A24757" i="19"/>
  <c r="A24756" i="19"/>
  <c r="A24755" i="19"/>
  <c r="A24754" i="19"/>
  <c r="A24753" i="19"/>
  <c r="A24752" i="19"/>
  <c r="A24751" i="19"/>
  <c r="A24750" i="19"/>
  <c r="A24749" i="19"/>
  <c r="A24748" i="19"/>
  <c r="A24747" i="19"/>
  <c r="A24746" i="19"/>
  <c r="A24745" i="19"/>
  <c r="A24744" i="19"/>
  <c r="A24743" i="19"/>
  <c r="A24742" i="19"/>
  <c r="A24741" i="19"/>
  <c r="A24740" i="19"/>
  <c r="A24739" i="19"/>
  <c r="A24738" i="19"/>
  <c r="A24737" i="19"/>
  <c r="A24736" i="19"/>
  <c r="A24735" i="19"/>
  <c r="A24734" i="19"/>
  <c r="A24733" i="19"/>
  <c r="A24732" i="19"/>
  <c r="A24731" i="19"/>
  <c r="A24730" i="19"/>
  <c r="A24729" i="19"/>
  <c r="A24728" i="19"/>
  <c r="A24727" i="19"/>
  <c r="A24726" i="19"/>
  <c r="A24725" i="19"/>
  <c r="A24724" i="19"/>
  <c r="A24723" i="19"/>
  <c r="A24722" i="19"/>
  <c r="A24721" i="19"/>
  <c r="A24720" i="19"/>
  <c r="A24719" i="19"/>
  <c r="A24718" i="19"/>
  <c r="A24717" i="19"/>
  <c r="A24716" i="19"/>
  <c r="A24715" i="19"/>
  <c r="A24714" i="19"/>
  <c r="A24713" i="19"/>
  <c r="A24712" i="19"/>
  <c r="A24711" i="19"/>
  <c r="A24710" i="19"/>
  <c r="A24709" i="19"/>
  <c r="A24708" i="19"/>
  <c r="A24707" i="19"/>
  <c r="A24706" i="19"/>
  <c r="A24705" i="19"/>
  <c r="A24704" i="19"/>
  <c r="A24703" i="19"/>
  <c r="A24702" i="19"/>
  <c r="A24701" i="19"/>
  <c r="A24700" i="19"/>
  <c r="A24699" i="19"/>
  <c r="A24698" i="19"/>
  <c r="A24697" i="19"/>
  <c r="A24696" i="19"/>
  <c r="A24695" i="19"/>
  <c r="A24694" i="19"/>
  <c r="A24693" i="19"/>
  <c r="A24692" i="19"/>
  <c r="A24691" i="19"/>
  <c r="A24690" i="19"/>
  <c r="A24689" i="19"/>
  <c r="A24688" i="19"/>
  <c r="A24687" i="19"/>
  <c r="A24686" i="19"/>
  <c r="A24685" i="19"/>
  <c r="A24684" i="19"/>
  <c r="A24683" i="19"/>
  <c r="A24682" i="19"/>
  <c r="A24681" i="19"/>
  <c r="A24680" i="19"/>
  <c r="A24679" i="19"/>
  <c r="A24678" i="19"/>
  <c r="A24677" i="19"/>
  <c r="A24676" i="19"/>
  <c r="A24675" i="19"/>
  <c r="A24674" i="19"/>
  <c r="A24673" i="19"/>
  <c r="A24672" i="19"/>
  <c r="A24671" i="19"/>
  <c r="A24670" i="19"/>
  <c r="A24669" i="19"/>
  <c r="A24668" i="19"/>
  <c r="A24667" i="19"/>
  <c r="A24666" i="19"/>
  <c r="A24665" i="19"/>
  <c r="A24664" i="19"/>
  <c r="A24663" i="19"/>
  <c r="A24662" i="19"/>
  <c r="A24661" i="19"/>
  <c r="A24660" i="19"/>
  <c r="A24659" i="19"/>
  <c r="A24658" i="19"/>
  <c r="A24657" i="19"/>
  <c r="A24656" i="19"/>
  <c r="A24655" i="19"/>
  <c r="A24654" i="19"/>
  <c r="A24653" i="19"/>
  <c r="A24652" i="19"/>
  <c r="A24651" i="19"/>
  <c r="A24650" i="19"/>
  <c r="A24649" i="19"/>
  <c r="A24648" i="19"/>
  <c r="A24647" i="19"/>
  <c r="A24646" i="19"/>
  <c r="A24645" i="19"/>
  <c r="A24644" i="19"/>
  <c r="A24643" i="19"/>
  <c r="A24642" i="19"/>
  <c r="A24641" i="19"/>
  <c r="A24640" i="19"/>
  <c r="A24639" i="19"/>
  <c r="A24638" i="19"/>
  <c r="A24637" i="19"/>
  <c r="A24636" i="19"/>
  <c r="A24635" i="19"/>
  <c r="A24634" i="19"/>
  <c r="A24633" i="19"/>
  <c r="A24632" i="19"/>
  <c r="A24631" i="19"/>
  <c r="A24630" i="19"/>
  <c r="A24629" i="19"/>
  <c r="A24628" i="19"/>
  <c r="A24627" i="19"/>
  <c r="A24626" i="19"/>
  <c r="A24625" i="19"/>
  <c r="A24624" i="19"/>
  <c r="A24623" i="19"/>
  <c r="A24622" i="19"/>
  <c r="A24621" i="19"/>
  <c r="A24620" i="19"/>
  <c r="A24619" i="19"/>
  <c r="A24618" i="19"/>
  <c r="A24617" i="19"/>
  <c r="A24616" i="19"/>
  <c r="A24615" i="19"/>
  <c r="A24614" i="19"/>
  <c r="A24613" i="19"/>
  <c r="A24612" i="19"/>
  <c r="A24611" i="19"/>
  <c r="A24610" i="19"/>
  <c r="A24609" i="19"/>
  <c r="A24608" i="19"/>
  <c r="A24607" i="19"/>
  <c r="A24606" i="19"/>
  <c r="A24605" i="19"/>
  <c r="A24604" i="19"/>
  <c r="A24603" i="19"/>
  <c r="A24602" i="19"/>
  <c r="A24601" i="19"/>
  <c r="A24600" i="19"/>
  <c r="A24599" i="19"/>
  <c r="A24598" i="19"/>
  <c r="A24597" i="19"/>
  <c r="A24596" i="19"/>
  <c r="A24595" i="19"/>
  <c r="A24594" i="19"/>
  <c r="A24593" i="19"/>
  <c r="A24592" i="19"/>
  <c r="A24591" i="19"/>
  <c r="A24590" i="19"/>
  <c r="A24589" i="19"/>
  <c r="A24588" i="19"/>
  <c r="A24587" i="19"/>
  <c r="A24586" i="19"/>
  <c r="A24585" i="19"/>
  <c r="A24584" i="19"/>
  <c r="A24583" i="19"/>
  <c r="A24582" i="19"/>
  <c r="A24581" i="19"/>
  <c r="A24580" i="19"/>
  <c r="A24579" i="19"/>
  <c r="A24578" i="19"/>
  <c r="A24577" i="19"/>
  <c r="A24576" i="19"/>
  <c r="A24575" i="19"/>
  <c r="A24574" i="19"/>
  <c r="A24573" i="19"/>
  <c r="A24572" i="19"/>
  <c r="A24571" i="19"/>
  <c r="A24570" i="19"/>
  <c r="A24569" i="19"/>
  <c r="A24568" i="19"/>
  <c r="A24567" i="19"/>
  <c r="A24566" i="19"/>
  <c r="A24565" i="19"/>
  <c r="A24564" i="19"/>
  <c r="A24563" i="19"/>
  <c r="A24562" i="19"/>
  <c r="A24561" i="19"/>
  <c r="A24560" i="19"/>
  <c r="A24559" i="19"/>
  <c r="A24558" i="19"/>
  <c r="A24557" i="19"/>
  <c r="A24556" i="19"/>
  <c r="A24555" i="19"/>
  <c r="A24554" i="19"/>
  <c r="A24553" i="19"/>
  <c r="A24552" i="19"/>
  <c r="A24551" i="19"/>
  <c r="A24550" i="19"/>
  <c r="A24549" i="19"/>
  <c r="A24548" i="19"/>
  <c r="A24547" i="19"/>
  <c r="A24546" i="19"/>
  <c r="A24545" i="19"/>
  <c r="A24544" i="19"/>
  <c r="A24543" i="19"/>
  <c r="A24542" i="19"/>
  <c r="A24541" i="19"/>
  <c r="A24540" i="19"/>
  <c r="A24539" i="19"/>
  <c r="A24538" i="19"/>
  <c r="A24537" i="19"/>
  <c r="A24536" i="19"/>
  <c r="A24535" i="19"/>
  <c r="A24534" i="19"/>
  <c r="A24533" i="19"/>
  <c r="A24532" i="19"/>
  <c r="A24531" i="19"/>
  <c r="A24530" i="19"/>
  <c r="A24529" i="19"/>
  <c r="A24528" i="19"/>
  <c r="A24527" i="19"/>
  <c r="A24526" i="19"/>
  <c r="A24525" i="19"/>
  <c r="A24524" i="19"/>
  <c r="A24523" i="19"/>
  <c r="A24522" i="19"/>
  <c r="A24521" i="19"/>
  <c r="A24520" i="19"/>
  <c r="A24519" i="19"/>
  <c r="A24518" i="19"/>
  <c r="A24517" i="19"/>
  <c r="A24516" i="19"/>
  <c r="A24515" i="19"/>
  <c r="A24514" i="19"/>
  <c r="A24513" i="19"/>
  <c r="A24512" i="19"/>
  <c r="A24511" i="19"/>
  <c r="A24510" i="19"/>
  <c r="A24509" i="19"/>
  <c r="A24508" i="19"/>
  <c r="A24507" i="19"/>
  <c r="A24506" i="19"/>
  <c r="A24505" i="19"/>
  <c r="A24504" i="19"/>
  <c r="A24503" i="19"/>
  <c r="A24502" i="19"/>
  <c r="A24501" i="19"/>
  <c r="A24500" i="19"/>
  <c r="A24499" i="19"/>
  <c r="A24498" i="19"/>
  <c r="A24497" i="19"/>
  <c r="A24496" i="19"/>
  <c r="A24495" i="19"/>
  <c r="A24494" i="19"/>
  <c r="A24493" i="19"/>
  <c r="A24492" i="19"/>
  <c r="A24491" i="19"/>
  <c r="A24490" i="19"/>
  <c r="A24489" i="19"/>
  <c r="A24488" i="19"/>
  <c r="A24487" i="19"/>
  <c r="A24486" i="19"/>
  <c r="A24485" i="19"/>
  <c r="A24484" i="19"/>
  <c r="A24483" i="19"/>
  <c r="A24482" i="19"/>
  <c r="A24481" i="19"/>
  <c r="A24480" i="19"/>
  <c r="A24479" i="19"/>
  <c r="A24478" i="19"/>
  <c r="A24477" i="19"/>
  <c r="A24476" i="19"/>
  <c r="A24475" i="19"/>
  <c r="A24474" i="19"/>
  <c r="A24473" i="19"/>
  <c r="A24472" i="19"/>
  <c r="A24471" i="19"/>
  <c r="A24470" i="19"/>
  <c r="A24469" i="19"/>
  <c r="A24468" i="19"/>
  <c r="A24467" i="19"/>
  <c r="A24466" i="19"/>
  <c r="A24465" i="19"/>
  <c r="A24464" i="19"/>
  <c r="A24463" i="19"/>
  <c r="A24462" i="19"/>
  <c r="A24461" i="19"/>
  <c r="A24460" i="19"/>
  <c r="A24459" i="19"/>
  <c r="A24458" i="19"/>
  <c r="A24457" i="19"/>
  <c r="A24456" i="19"/>
  <c r="A24455" i="19"/>
  <c r="A24454" i="19"/>
  <c r="A24453" i="19"/>
  <c r="A24452" i="19"/>
  <c r="A24451" i="19"/>
  <c r="A24450" i="19"/>
  <c r="A24449" i="19"/>
  <c r="A24448" i="19"/>
  <c r="A24447" i="19"/>
  <c r="A24446" i="19"/>
  <c r="A24445" i="19"/>
  <c r="A24444" i="19"/>
  <c r="A24443" i="19"/>
  <c r="A24442" i="19"/>
  <c r="A24441" i="19"/>
  <c r="A24440" i="19"/>
  <c r="A24439" i="19"/>
  <c r="A24438" i="19"/>
  <c r="A24437" i="19"/>
  <c r="A24436" i="19"/>
  <c r="A24435" i="19"/>
  <c r="A24434" i="19"/>
  <c r="A24433" i="19"/>
  <c r="A24432" i="19"/>
  <c r="A24431" i="19"/>
  <c r="A24430" i="19"/>
  <c r="A24429" i="19"/>
  <c r="A24428" i="19"/>
  <c r="A24427" i="19"/>
  <c r="A24426" i="19"/>
  <c r="A24425" i="19"/>
  <c r="A24424" i="19"/>
  <c r="A24423" i="19"/>
  <c r="A24422" i="19"/>
  <c r="A24421" i="19"/>
  <c r="A24420" i="19"/>
  <c r="A24419" i="19"/>
  <c r="A24418" i="19"/>
  <c r="A24417" i="19"/>
  <c r="A24416" i="19"/>
  <c r="A24415" i="19"/>
  <c r="A24414" i="19"/>
  <c r="A24413" i="19"/>
  <c r="A24412" i="19"/>
  <c r="A24411" i="19"/>
  <c r="A24410" i="19"/>
  <c r="A24409" i="19"/>
  <c r="A24408" i="19"/>
  <c r="A24407" i="19"/>
  <c r="A24406" i="19"/>
  <c r="A24405" i="19"/>
  <c r="A24404" i="19"/>
  <c r="A24403" i="19"/>
  <c r="A24402" i="19"/>
  <c r="A24401" i="19"/>
  <c r="A24400" i="19"/>
  <c r="A24399" i="19"/>
  <c r="A24398" i="19"/>
  <c r="A24397" i="19"/>
  <c r="A24396" i="19"/>
  <c r="A24395" i="19"/>
  <c r="A24394" i="19"/>
  <c r="A24393" i="19"/>
  <c r="A24392" i="19"/>
  <c r="A24391" i="19"/>
  <c r="A24390" i="19"/>
  <c r="A24389" i="19"/>
  <c r="A24388" i="19"/>
  <c r="A24387" i="19"/>
  <c r="A24386" i="19"/>
  <c r="A24385" i="19"/>
  <c r="A24384" i="19"/>
  <c r="A24383" i="19"/>
  <c r="A24382" i="19"/>
  <c r="A24381" i="19"/>
  <c r="A24380" i="19"/>
  <c r="A24379" i="19"/>
  <c r="A24378" i="19"/>
  <c r="A24377" i="19"/>
  <c r="A24376" i="19"/>
  <c r="A24375" i="19"/>
  <c r="A24374" i="19"/>
  <c r="A24373" i="19"/>
  <c r="A24372" i="19"/>
  <c r="A24371" i="19"/>
  <c r="A24370" i="19"/>
  <c r="A24369" i="19"/>
  <c r="A24368" i="19"/>
  <c r="A24367" i="19"/>
  <c r="A24366" i="19"/>
  <c r="A24365" i="19"/>
  <c r="A24364" i="19"/>
  <c r="A24363" i="19"/>
  <c r="A24362" i="19"/>
  <c r="A24361" i="19"/>
  <c r="A24360" i="19"/>
  <c r="A24359" i="19"/>
  <c r="A24358" i="19"/>
  <c r="A24357" i="19"/>
  <c r="A24356" i="19"/>
  <c r="A24355" i="19"/>
  <c r="A24354" i="19"/>
  <c r="A24353" i="19"/>
  <c r="A24352" i="19"/>
  <c r="A24351" i="19"/>
  <c r="A24350" i="19"/>
  <c r="A24349" i="19"/>
  <c r="A24348" i="19"/>
  <c r="A24347" i="19"/>
  <c r="A24346" i="19"/>
  <c r="A24345" i="19"/>
  <c r="A24344" i="19"/>
  <c r="A24343" i="19"/>
  <c r="A24342" i="19"/>
  <c r="A24341" i="19"/>
  <c r="A24340" i="19"/>
  <c r="A24339" i="19"/>
  <c r="A24338" i="19"/>
  <c r="A24337" i="19"/>
  <c r="A24336" i="19"/>
  <c r="A24335" i="19"/>
  <c r="A24334" i="19"/>
  <c r="A24333" i="19"/>
  <c r="A24332" i="19"/>
  <c r="A24331" i="19"/>
  <c r="A24330" i="19"/>
  <c r="A24329" i="19"/>
  <c r="A24328" i="19"/>
  <c r="A24327" i="19"/>
  <c r="A24326" i="19"/>
  <c r="A24325" i="19"/>
  <c r="A24324" i="19"/>
  <c r="A24323" i="19"/>
  <c r="A24322" i="19"/>
  <c r="A24321" i="19"/>
  <c r="A24320" i="19"/>
  <c r="A24319" i="19"/>
  <c r="A24318" i="19"/>
  <c r="A24317" i="19"/>
  <c r="A24316" i="19"/>
  <c r="A24315" i="19"/>
  <c r="A24314" i="19"/>
  <c r="A24313" i="19"/>
  <c r="A24312" i="19"/>
  <c r="A24311" i="19"/>
  <c r="A24310" i="19"/>
  <c r="A24309" i="19"/>
  <c r="A24308" i="19"/>
  <c r="A24307" i="19"/>
  <c r="A24306" i="19"/>
  <c r="A24305" i="19"/>
  <c r="A24304" i="19"/>
  <c r="A24303" i="19"/>
  <c r="A24302" i="19"/>
  <c r="A24301" i="19"/>
  <c r="A24300" i="19"/>
  <c r="A24299" i="19"/>
  <c r="A24298" i="19"/>
  <c r="A24297" i="19"/>
  <c r="A24296" i="19"/>
  <c r="A24295" i="19"/>
  <c r="A24294" i="19"/>
  <c r="A24293" i="19"/>
  <c r="A24292" i="19"/>
  <c r="A24291" i="19"/>
  <c r="A24290" i="19"/>
  <c r="A24289" i="19"/>
  <c r="A24288" i="19"/>
  <c r="A24287" i="19"/>
  <c r="A24286" i="19"/>
  <c r="A24285" i="19"/>
  <c r="A24284" i="19"/>
  <c r="A24283" i="19"/>
  <c r="A24282" i="19"/>
  <c r="A24281" i="19"/>
  <c r="A24280" i="19"/>
  <c r="A24279" i="19"/>
  <c r="A24278" i="19"/>
  <c r="A24277" i="19"/>
  <c r="A24276" i="19"/>
  <c r="A24275" i="19"/>
  <c r="A24274" i="19"/>
  <c r="A24273" i="19"/>
  <c r="A24272" i="19"/>
  <c r="A24271" i="19"/>
  <c r="A24270" i="19"/>
  <c r="A24269" i="19"/>
  <c r="A24268" i="19"/>
  <c r="A24267" i="19"/>
  <c r="A24266" i="19"/>
  <c r="A24265" i="19"/>
  <c r="A24264" i="19"/>
  <c r="A24263" i="19"/>
  <c r="A24262" i="19"/>
  <c r="A24261" i="19"/>
  <c r="A24260" i="19"/>
  <c r="A24259" i="19"/>
  <c r="A24258" i="19"/>
  <c r="A24257" i="19"/>
  <c r="A24256" i="19"/>
  <c r="A24255" i="19"/>
  <c r="A24254" i="19"/>
  <c r="A24253" i="19"/>
  <c r="A24252" i="19"/>
  <c r="A24251" i="19"/>
  <c r="A24250" i="19"/>
  <c r="A24249" i="19"/>
  <c r="A24248" i="19"/>
  <c r="A24247" i="19"/>
  <c r="A24246" i="19"/>
  <c r="A24245" i="19"/>
  <c r="A24244" i="19"/>
  <c r="A24243" i="19"/>
  <c r="A24242" i="19"/>
  <c r="A24241" i="19"/>
  <c r="A24240" i="19"/>
  <c r="A24239" i="19"/>
  <c r="A24238" i="19"/>
  <c r="A24237" i="19"/>
  <c r="A24236" i="19"/>
  <c r="A24235" i="19"/>
  <c r="A24234" i="19"/>
  <c r="A24233" i="19"/>
  <c r="A24232" i="19"/>
  <c r="A24231" i="19"/>
  <c r="A24230" i="19"/>
  <c r="A24229" i="19"/>
  <c r="A24228" i="19"/>
  <c r="A24227" i="19"/>
  <c r="A24226" i="19"/>
  <c r="A24225" i="19"/>
  <c r="A24224" i="19"/>
  <c r="A24223" i="19"/>
  <c r="A24222" i="19"/>
  <c r="A24221" i="19"/>
  <c r="A24220" i="19"/>
  <c r="A24219" i="19"/>
  <c r="A24218" i="19"/>
  <c r="A24217" i="19"/>
  <c r="A24216" i="19"/>
  <c r="A24215" i="19"/>
  <c r="A24214" i="19"/>
  <c r="A24213" i="19"/>
  <c r="A24212" i="19"/>
  <c r="A24211" i="19"/>
  <c r="A24210" i="19"/>
  <c r="A24209" i="19"/>
  <c r="A24208" i="19"/>
  <c r="A24207" i="19"/>
  <c r="A24206" i="19"/>
  <c r="A24205" i="19"/>
  <c r="A24204" i="19"/>
  <c r="A24203" i="19"/>
  <c r="A24202" i="19"/>
  <c r="A24201" i="19"/>
  <c r="A24200" i="19"/>
  <c r="A24199" i="19"/>
  <c r="A24198" i="19"/>
  <c r="A24197" i="19"/>
  <c r="A24196" i="19"/>
  <c r="A24195" i="19"/>
  <c r="A24194" i="19"/>
  <c r="A24193" i="19"/>
  <c r="A24192" i="19"/>
  <c r="A24191" i="19"/>
  <c r="A24190" i="19"/>
  <c r="A24189" i="19"/>
  <c r="A24188" i="19"/>
  <c r="A24187" i="19"/>
  <c r="A24186" i="19"/>
  <c r="A24185" i="19"/>
  <c r="A24184" i="19"/>
  <c r="A24183" i="19"/>
  <c r="A24182" i="19"/>
  <c r="A24181" i="19"/>
  <c r="A24180" i="19"/>
  <c r="A24179" i="19"/>
  <c r="A24178" i="19"/>
  <c r="A24177" i="19"/>
  <c r="A24176" i="19"/>
  <c r="A24175" i="19"/>
  <c r="A24174" i="19"/>
  <c r="A24173" i="19"/>
  <c r="A24172" i="19"/>
  <c r="A24171" i="19"/>
  <c r="A24170" i="19"/>
  <c r="A24169" i="19"/>
  <c r="A24168" i="19"/>
  <c r="A24167" i="19"/>
  <c r="A24166" i="19"/>
  <c r="A24165" i="19"/>
  <c r="A24164" i="19"/>
  <c r="A24163" i="19"/>
  <c r="A24162" i="19"/>
  <c r="A24161" i="19"/>
  <c r="A24160" i="19"/>
  <c r="A24159" i="19"/>
  <c r="A24158" i="19"/>
  <c r="A24157" i="19"/>
  <c r="A24156" i="19"/>
  <c r="A24155" i="19"/>
  <c r="A24154" i="19"/>
  <c r="A24153" i="19"/>
  <c r="A24152" i="19"/>
  <c r="A24151" i="19"/>
  <c r="A24150" i="19"/>
  <c r="A24149" i="19"/>
  <c r="A24148" i="19"/>
  <c r="A24147" i="19"/>
  <c r="A24146" i="19"/>
  <c r="A24145" i="19"/>
  <c r="A24144" i="19"/>
  <c r="A24143" i="19"/>
  <c r="A24142" i="19"/>
  <c r="A24141" i="19"/>
  <c r="A24140" i="19"/>
  <c r="A24139" i="19"/>
  <c r="A24138" i="19"/>
  <c r="A24137" i="19"/>
  <c r="A24136" i="19"/>
  <c r="A24135" i="19"/>
  <c r="A24134" i="19"/>
  <c r="A24133" i="19"/>
  <c r="A24132" i="19"/>
  <c r="A24131" i="19"/>
  <c r="A24130" i="19"/>
  <c r="A24129" i="19"/>
  <c r="A24128" i="19"/>
  <c r="A24127" i="19"/>
  <c r="A24126" i="19"/>
  <c r="A24125" i="19"/>
  <c r="A24124" i="19"/>
  <c r="A24123" i="19"/>
  <c r="A24122" i="19"/>
  <c r="A24121" i="19"/>
  <c r="A24120" i="19"/>
  <c r="A24119" i="19"/>
  <c r="A24118" i="19"/>
  <c r="A24117" i="19"/>
  <c r="A24116" i="19"/>
  <c r="A24115" i="19"/>
  <c r="A24114" i="19"/>
  <c r="A24113" i="19"/>
  <c r="A24112" i="19"/>
  <c r="A24111" i="19"/>
  <c r="A24110" i="19"/>
  <c r="A24109" i="19"/>
  <c r="A24108" i="19"/>
  <c r="A24107" i="19"/>
  <c r="A24106" i="19"/>
  <c r="A24105" i="19"/>
  <c r="A24104" i="19"/>
  <c r="A24103" i="19"/>
  <c r="A24102" i="19"/>
  <c r="A24101" i="19"/>
  <c r="A24100" i="19"/>
  <c r="A24099" i="19"/>
  <c r="A24098" i="19"/>
  <c r="A24097" i="19"/>
  <c r="A24096" i="19"/>
  <c r="A24095" i="19"/>
  <c r="A24094" i="19"/>
  <c r="A24093" i="19"/>
  <c r="A24092" i="19"/>
  <c r="A24091" i="19"/>
  <c r="A24090" i="19"/>
  <c r="A24089" i="19"/>
  <c r="A24088" i="19"/>
  <c r="A24087" i="19"/>
  <c r="A24086" i="19"/>
  <c r="A24085" i="19"/>
  <c r="A24084" i="19"/>
  <c r="A24083" i="19"/>
  <c r="A24082" i="19"/>
  <c r="A24081" i="19"/>
  <c r="A24080" i="19"/>
  <c r="A24079" i="19"/>
  <c r="A24078" i="19"/>
  <c r="A24077" i="19"/>
  <c r="A24076" i="19"/>
  <c r="A24075" i="19"/>
  <c r="A24074" i="19"/>
  <c r="A24073" i="19"/>
  <c r="A24072" i="19"/>
  <c r="A24071" i="19"/>
  <c r="A24070" i="19"/>
  <c r="A24069" i="19"/>
  <c r="A24068" i="19"/>
  <c r="A24067" i="19"/>
  <c r="A24066" i="19"/>
  <c r="A24065" i="19"/>
  <c r="A24064" i="19"/>
  <c r="A24063" i="19"/>
  <c r="A24062" i="19"/>
  <c r="A24061" i="19"/>
  <c r="A24060" i="19"/>
  <c r="A24059" i="19"/>
  <c r="A24058" i="19"/>
  <c r="A24057" i="19"/>
  <c r="A24056" i="19"/>
  <c r="A24055" i="19"/>
  <c r="A24054" i="19"/>
  <c r="A24053" i="19"/>
  <c r="A24052" i="19"/>
  <c r="A24051" i="19"/>
  <c r="A24050" i="19"/>
  <c r="A24049" i="19"/>
  <c r="A24048" i="19"/>
  <c r="A24047" i="19"/>
  <c r="A24046" i="19"/>
  <c r="A24045" i="19"/>
  <c r="A24044" i="19"/>
  <c r="A24043" i="19"/>
  <c r="A24042" i="19"/>
  <c r="A24041" i="19"/>
  <c r="A24040" i="19"/>
  <c r="A24039" i="19"/>
  <c r="A24038" i="19"/>
  <c r="A24037" i="19"/>
  <c r="A24036" i="19"/>
  <c r="A24035" i="19"/>
  <c r="A24034" i="19"/>
  <c r="A24033" i="19"/>
  <c r="A24032" i="19"/>
  <c r="A24031" i="19"/>
  <c r="A24030" i="19"/>
  <c r="A24029" i="19"/>
  <c r="A24028" i="19"/>
  <c r="A24027" i="19"/>
  <c r="A24026" i="19"/>
  <c r="A24025" i="19"/>
  <c r="A24024" i="19"/>
  <c r="A24023" i="19"/>
  <c r="A24022" i="19"/>
  <c r="A24021" i="19"/>
  <c r="A24020" i="19"/>
  <c r="A24019" i="19"/>
  <c r="A24018" i="19"/>
  <c r="A24017" i="19"/>
  <c r="A24016" i="19"/>
  <c r="A24015" i="19"/>
  <c r="A24014" i="19"/>
  <c r="A24013" i="19"/>
  <c r="A24012" i="19"/>
  <c r="A24011" i="19"/>
  <c r="A24010" i="19"/>
  <c r="A24009" i="19"/>
  <c r="A24008" i="19"/>
  <c r="A24007" i="19"/>
  <c r="A24006" i="19"/>
  <c r="A24005" i="19"/>
  <c r="A24004" i="19"/>
  <c r="A24003" i="19"/>
  <c r="A24002" i="19"/>
  <c r="A24001" i="19"/>
  <c r="A24000" i="19"/>
  <c r="A23999" i="19"/>
  <c r="A23998" i="19"/>
  <c r="A23997" i="19"/>
  <c r="A23996" i="19"/>
  <c r="A23995" i="19"/>
  <c r="A23994" i="19"/>
  <c r="A23993" i="19"/>
  <c r="A23992" i="19"/>
  <c r="A23991" i="19"/>
  <c r="A23990" i="19"/>
  <c r="A23989" i="19"/>
  <c r="A23988" i="19"/>
  <c r="A23987" i="19"/>
  <c r="A23986" i="19"/>
  <c r="A23985" i="19"/>
  <c r="A23984" i="19"/>
  <c r="A23983" i="19"/>
  <c r="A23982" i="19"/>
  <c r="A23981" i="19"/>
  <c r="A23980" i="19"/>
  <c r="A23979" i="19"/>
  <c r="A23978" i="19"/>
  <c r="A23977" i="19"/>
  <c r="A23976" i="19"/>
  <c r="A23975" i="19"/>
  <c r="A23974" i="19"/>
  <c r="A23973" i="19"/>
  <c r="A23972" i="19"/>
  <c r="A23971" i="19"/>
  <c r="A23970" i="19"/>
  <c r="A23969" i="19"/>
  <c r="A23968" i="19"/>
  <c r="A23967" i="19"/>
  <c r="A23966" i="19"/>
  <c r="A23965" i="19"/>
  <c r="A23964" i="19"/>
  <c r="A23963" i="19"/>
  <c r="A23962" i="19"/>
  <c r="A23961" i="19"/>
  <c r="A23960" i="19"/>
  <c r="A23959" i="19"/>
  <c r="A23958" i="19"/>
  <c r="A23957" i="19"/>
  <c r="A23956" i="19"/>
  <c r="A23955" i="19"/>
  <c r="A23954" i="19"/>
  <c r="A23953" i="19"/>
  <c r="A23952" i="19"/>
  <c r="A23951" i="19"/>
  <c r="A23950" i="19"/>
  <c r="A23949" i="19"/>
  <c r="A23948" i="19"/>
  <c r="A23947" i="19"/>
  <c r="A23946" i="19"/>
  <c r="A23945" i="19"/>
  <c r="A23944" i="19"/>
  <c r="A23943" i="19"/>
  <c r="A23942" i="19"/>
  <c r="A23941" i="19"/>
  <c r="A23940" i="19"/>
  <c r="A23939" i="19"/>
  <c r="A23938" i="19"/>
  <c r="A23937" i="19"/>
  <c r="A23936" i="19"/>
  <c r="A23935" i="19"/>
  <c r="A23934" i="19"/>
  <c r="A23933" i="19"/>
  <c r="A23932" i="19"/>
  <c r="A23931" i="19"/>
  <c r="A23930" i="19"/>
  <c r="A23929" i="19"/>
  <c r="A23928" i="19"/>
  <c r="A23927" i="19"/>
  <c r="A23926" i="19"/>
  <c r="A23925" i="19"/>
  <c r="A23924" i="19"/>
  <c r="A23923" i="19"/>
  <c r="A23922" i="19"/>
  <c r="A23921" i="19"/>
  <c r="A23920" i="19"/>
  <c r="A23919" i="19"/>
  <c r="A23918" i="19"/>
  <c r="A23917" i="19"/>
  <c r="A23916" i="19"/>
  <c r="A23915" i="19"/>
  <c r="A23914" i="19"/>
  <c r="A23913" i="19"/>
  <c r="A23912" i="19"/>
  <c r="A23911" i="19"/>
  <c r="A23910" i="19"/>
  <c r="A23909" i="19"/>
  <c r="A23908" i="19"/>
  <c r="A23907" i="19"/>
  <c r="A23906" i="19"/>
  <c r="A23905" i="19"/>
  <c r="A23904" i="19"/>
  <c r="A23903" i="19"/>
  <c r="A23902" i="19"/>
  <c r="A23901" i="19"/>
  <c r="A23900" i="19"/>
  <c r="A23899" i="19"/>
  <c r="A23898" i="19"/>
  <c r="A23897" i="19"/>
  <c r="A23896" i="19"/>
  <c r="A23895" i="19"/>
  <c r="A23894" i="19"/>
  <c r="A23893" i="19"/>
  <c r="A23892" i="19"/>
  <c r="A23891" i="19"/>
  <c r="A23890" i="19"/>
  <c r="A23889" i="19"/>
  <c r="A23888" i="19"/>
  <c r="A23887" i="19"/>
  <c r="A23886" i="19"/>
  <c r="A23885" i="19"/>
  <c r="A23884" i="19"/>
  <c r="A23883" i="19"/>
  <c r="A23882" i="19"/>
  <c r="A23881" i="19"/>
  <c r="A23880" i="19"/>
  <c r="A23879" i="19"/>
  <c r="A23878" i="19"/>
  <c r="A23877" i="19"/>
  <c r="A23876" i="19"/>
  <c r="A23875" i="19"/>
  <c r="A23874" i="19"/>
  <c r="A23873" i="19"/>
  <c r="A23872" i="19"/>
  <c r="A23871" i="19"/>
  <c r="A23870" i="19"/>
  <c r="A23869" i="19"/>
  <c r="A23868" i="19"/>
  <c r="A23867" i="19"/>
  <c r="A23866" i="19"/>
  <c r="A23865" i="19"/>
  <c r="A23864" i="19"/>
  <c r="A23863" i="19"/>
  <c r="A23862" i="19"/>
  <c r="A23861" i="19"/>
  <c r="A23860" i="19"/>
  <c r="A23859" i="19"/>
  <c r="A23858" i="19"/>
  <c r="A23857" i="19"/>
  <c r="A23856" i="19"/>
  <c r="A23855" i="19"/>
  <c r="A23854" i="19"/>
  <c r="A23853" i="19"/>
  <c r="A23852" i="19"/>
  <c r="A23851" i="19"/>
  <c r="A23850" i="19"/>
  <c r="A23849" i="19"/>
  <c r="A23848" i="19"/>
  <c r="A23847" i="19"/>
  <c r="A23846" i="19"/>
  <c r="A23845" i="19"/>
  <c r="A23844" i="19"/>
  <c r="A23843" i="19"/>
  <c r="A23842" i="19"/>
  <c r="A23841" i="19"/>
  <c r="A23840" i="19"/>
  <c r="A23839" i="19"/>
  <c r="A23838" i="19"/>
  <c r="A23837" i="19"/>
  <c r="A23836" i="19"/>
  <c r="A23835" i="19"/>
  <c r="A23834" i="19"/>
  <c r="A23833" i="19"/>
  <c r="A23832" i="19"/>
  <c r="A23831" i="19"/>
  <c r="A23830" i="19"/>
  <c r="A23829" i="19"/>
  <c r="A23828" i="19"/>
  <c r="A23827" i="19"/>
  <c r="A23826" i="19"/>
  <c r="A23825" i="19"/>
  <c r="A23824" i="19"/>
  <c r="A23823" i="19"/>
  <c r="A23822" i="19"/>
  <c r="A23821" i="19"/>
  <c r="A23820" i="19"/>
  <c r="A23819" i="19"/>
  <c r="A23818" i="19"/>
  <c r="A23817" i="19"/>
  <c r="A23816" i="19"/>
  <c r="A23815" i="19"/>
  <c r="A23814" i="19"/>
  <c r="A23813" i="19"/>
  <c r="A23812" i="19"/>
  <c r="A23811" i="19"/>
  <c r="A23810" i="19"/>
  <c r="A23809" i="19"/>
  <c r="A23808" i="19"/>
  <c r="A23807" i="19"/>
  <c r="A23806" i="19"/>
  <c r="A23805" i="19"/>
  <c r="A23804" i="19"/>
  <c r="A23803" i="19"/>
  <c r="A23802" i="19"/>
  <c r="A23801" i="19"/>
  <c r="A23800" i="19"/>
  <c r="A23799" i="19"/>
  <c r="A23798" i="19"/>
  <c r="A23797" i="19"/>
  <c r="A23796" i="19"/>
  <c r="A23795" i="19"/>
  <c r="A23794" i="19"/>
  <c r="A23793" i="19"/>
  <c r="A23792" i="19"/>
  <c r="A23791" i="19"/>
  <c r="A23790" i="19"/>
  <c r="A23789" i="19"/>
  <c r="A23788" i="19"/>
  <c r="A23787" i="19"/>
  <c r="A23786" i="19"/>
  <c r="A23785" i="19"/>
  <c r="A23784" i="19"/>
  <c r="A23783" i="19"/>
  <c r="A23782" i="19"/>
  <c r="A23781" i="19"/>
  <c r="A23780" i="19"/>
  <c r="A23779" i="19"/>
  <c r="A23778" i="19"/>
  <c r="A23777" i="19"/>
  <c r="A23776" i="19"/>
  <c r="A23775" i="19"/>
  <c r="A23774" i="19"/>
  <c r="A23773" i="19"/>
  <c r="A23772" i="19"/>
  <c r="A23771" i="19"/>
  <c r="A23770" i="19"/>
  <c r="A23769" i="19"/>
  <c r="A23768" i="19"/>
  <c r="A23767" i="19"/>
  <c r="A23766" i="19"/>
  <c r="A23765" i="19"/>
  <c r="A23764" i="19"/>
  <c r="A23763" i="19"/>
  <c r="A23762" i="19"/>
  <c r="A23761" i="19"/>
  <c r="A23760" i="19"/>
  <c r="A23759" i="19"/>
  <c r="A23758" i="19"/>
  <c r="A23757" i="19"/>
  <c r="A23756" i="19"/>
  <c r="A23755" i="19"/>
  <c r="A23754" i="19"/>
  <c r="A23753" i="19"/>
  <c r="A23752" i="19"/>
  <c r="A23751" i="19"/>
  <c r="A23750" i="19"/>
  <c r="A23749" i="19"/>
  <c r="A23748" i="19"/>
  <c r="A23747" i="19"/>
  <c r="A23746" i="19"/>
  <c r="A23745" i="19"/>
  <c r="A23744" i="19"/>
  <c r="A23743" i="19"/>
  <c r="A23742" i="19"/>
  <c r="A23741" i="19"/>
  <c r="A23740" i="19"/>
  <c r="A23739" i="19"/>
  <c r="A23738" i="19"/>
  <c r="A23737" i="19"/>
  <c r="A23736" i="19"/>
  <c r="A23735" i="19"/>
  <c r="A23734" i="19"/>
  <c r="A23733" i="19"/>
  <c r="A23732" i="19"/>
  <c r="A23731" i="19"/>
  <c r="A23730" i="19"/>
  <c r="A23729" i="19"/>
  <c r="A23728" i="19"/>
  <c r="A23727" i="19"/>
  <c r="A23726" i="19"/>
  <c r="A23725" i="19"/>
  <c r="A23724" i="19"/>
  <c r="A23723" i="19"/>
  <c r="A23722" i="19"/>
  <c r="A23721" i="19"/>
  <c r="A23720" i="19"/>
  <c r="A23719" i="19"/>
  <c r="A23718" i="19"/>
  <c r="A23717" i="19"/>
  <c r="A23716" i="19"/>
  <c r="A23715" i="19"/>
  <c r="A23714" i="19"/>
  <c r="A23713" i="19"/>
  <c r="A23712" i="19"/>
  <c r="A23711" i="19"/>
  <c r="A23710" i="19"/>
  <c r="A23709" i="19"/>
  <c r="A23708" i="19"/>
  <c r="A23707" i="19"/>
  <c r="A23706" i="19"/>
  <c r="A23705" i="19"/>
  <c r="A23704" i="19"/>
  <c r="A23703" i="19"/>
  <c r="A23702" i="19"/>
  <c r="A23701" i="19"/>
  <c r="A23700" i="19"/>
  <c r="A23699" i="19"/>
  <c r="A23698" i="19"/>
  <c r="A23697" i="19"/>
  <c r="A23696" i="19"/>
  <c r="A23695" i="19"/>
  <c r="A23694" i="19"/>
  <c r="A23693" i="19"/>
  <c r="A23692" i="19"/>
  <c r="A23691" i="19"/>
  <c r="A23690" i="19"/>
  <c r="A23689" i="19"/>
  <c r="A23688" i="19"/>
  <c r="A23687" i="19"/>
  <c r="A23686" i="19"/>
  <c r="A23685" i="19"/>
  <c r="A23684" i="19"/>
  <c r="A23683" i="19"/>
  <c r="A23682" i="19"/>
  <c r="A23681" i="19"/>
  <c r="A23680" i="19"/>
  <c r="A23679" i="19"/>
  <c r="A23678" i="19"/>
  <c r="A23677" i="19"/>
  <c r="A23676" i="19"/>
  <c r="A23675" i="19"/>
  <c r="A23674" i="19"/>
  <c r="A23673" i="19"/>
  <c r="A23672" i="19"/>
  <c r="A23671" i="19"/>
  <c r="A23670" i="19"/>
  <c r="A23669" i="19"/>
  <c r="A23668" i="19"/>
  <c r="A23667" i="19"/>
  <c r="A23666" i="19"/>
  <c r="A23665" i="19"/>
  <c r="A23664" i="19"/>
  <c r="A23663" i="19"/>
  <c r="A23662" i="19"/>
  <c r="A23661" i="19"/>
  <c r="A23660" i="19"/>
  <c r="A23659" i="19"/>
  <c r="A23658" i="19"/>
  <c r="A23657" i="19"/>
  <c r="A23656" i="19"/>
  <c r="A23655" i="19"/>
  <c r="A23654" i="19"/>
  <c r="A23653" i="19"/>
  <c r="A23652" i="19"/>
  <c r="A23651" i="19"/>
  <c r="A23650" i="19"/>
  <c r="A23649" i="19"/>
  <c r="A23648" i="19"/>
  <c r="A23647" i="19"/>
  <c r="A23646" i="19"/>
  <c r="A23645" i="19"/>
  <c r="A23644" i="19"/>
  <c r="A23643" i="19"/>
  <c r="A23642" i="19"/>
  <c r="A23641" i="19"/>
  <c r="A23640" i="19"/>
  <c r="A23639" i="19"/>
  <c r="A23638" i="19"/>
  <c r="A23637" i="19"/>
  <c r="A23636" i="19"/>
  <c r="A23635" i="19"/>
  <c r="A23634" i="19"/>
  <c r="A23633" i="19"/>
  <c r="A23632" i="19"/>
  <c r="A23631" i="19"/>
  <c r="A23630" i="19"/>
  <c r="A23629" i="19"/>
  <c r="A23628" i="19"/>
  <c r="A23627" i="19"/>
  <c r="A23626" i="19"/>
  <c r="A23625" i="19"/>
  <c r="A23624" i="19"/>
  <c r="A23623" i="19"/>
  <c r="A23622" i="19"/>
  <c r="A23621" i="19"/>
  <c r="A23620" i="19"/>
  <c r="A23619" i="19"/>
  <c r="A23618" i="19"/>
  <c r="A23617" i="19"/>
  <c r="A23616" i="19"/>
  <c r="A23615" i="19"/>
  <c r="A23614" i="19"/>
  <c r="A23613" i="19"/>
  <c r="A23612" i="19"/>
  <c r="A23611" i="19"/>
  <c r="A23610" i="19"/>
  <c r="A23609" i="19"/>
  <c r="A23608" i="19"/>
  <c r="A23607" i="19"/>
  <c r="A23606" i="19"/>
  <c r="A23605" i="19"/>
  <c r="A23604" i="19"/>
  <c r="A23603" i="19"/>
  <c r="A23602" i="19"/>
  <c r="A23601" i="19"/>
  <c r="A23600" i="19"/>
  <c r="A23599" i="19"/>
  <c r="A23598" i="19"/>
  <c r="A23597" i="19"/>
  <c r="A23596" i="19"/>
  <c r="A23595" i="19"/>
  <c r="A23594" i="19"/>
  <c r="A23593" i="19"/>
  <c r="A23592" i="19"/>
  <c r="A23591" i="19"/>
  <c r="A23590" i="19"/>
  <c r="A23589" i="19"/>
  <c r="A23588" i="19"/>
  <c r="A23587" i="19"/>
  <c r="A23586" i="19"/>
  <c r="A23585" i="19"/>
  <c r="A23584" i="19"/>
  <c r="A23583" i="19"/>
  <c r="A23582" i="19"/>
  <c r="A23581" i="19"/>
  <c r="A23580" i="19"/>
  <c r="A23579" i="19"/>
  <c r="A23578" i="19"/>
  <c r="A23577" i="19"/>
  <c r="A23576" i="19"/>
  <c r="A23575" i="19"/>
  <c r="A23574" i="19"/>
  <c r="A23573" i="19"/>
  <c r="A23572" i="19"/>
  <c r="A23571" i="19"/>
  <c r="A23570" i="19"/>
  <c r="A23569" i="19"/>
  <c r="A23568" i="19"/>
  <c r="A23567" i="19"/>
  <c r="A23566" i="19"/>
  <c r="A23565" i="19"/>
  <c r="A23564" i="19"/>
  <c r="A23563" i="19"/>
  <c r="A23562" i="19"/>
  <c r="A23561" i="19"/>
  <c r="A23560" i="19"/>
  <c r="A23559" i="19"/>
  <c r="A23558" i="19"/>
  <c r="A23557" i="19"/>
  <c r="A23556" i="19"/>
  <c r="A23555" i="19"/>
  <c r="A23554" i="19"/>
  <c r="A23553" i="19"/>
  <c r="A23552" i="19"/>
  <c r="A23551" i="19"/>
  <c r="A23550" i="19"/>
  <c r="A23549" i="19"/>
  <c r="A23548" i="19"/>
  <c r="A23547" i="19"/>
  <c r="A23546" i="19"/>
  <c r="A23545" i="19"/>
  <c r="A23544" i="19"/>
  <c r="A23543" i="19"/>
  <c r="A23542" i="19"/>
  <c r="A23541" i="19"/>
  <c r="A23540" i="19"/>
  <c r="A23539" i="19"/>
  <c r="A23538" i="19"/>
  <c r="A23537" i="19"/>
  <c r="A23536" i="19"/>
  <c r="A23535" i="19"/>
  <c r="A23534" i="19"/>
  <c r="A23533" i="19"/>
  <c r="A23532" i="19"/>
  <c r="A23531" i="19"/>
  <c r="A23530" i="19"/>
  <c r="A23529" i="19"/>
  <c r="A23528" i="19"/>
  <c r="A23527" i="19"/>
  <c r="A23526" i="19"/>
  <c r="A23525" i="19"/>
  <c r="A23524" i="19"/>
  <c r="A23523" i="19"/>
  <c r="A23522" i="19"/>
  <c r="A23521" i="19"/>
  <c r="A23520" i="19"/>
  <c r="A23519" i="19"/>
  <c r="A23518" i="19"/>
  <c r="A23517" i="19"/>
  <c r="A23516" i="19"/>
  <c r="A23515" i="19"/>
  <c r="A23514" i="19"/>
  <c r="A23513" i="19"/>
  <c r="A23512" i="19"/>
  <c r="A23511" i="19"/>
  <c r="A23510" i="19"/>
  <c r="A23509" i="19"/>
  <c r="A23508" i="19"/>
  <c r="A23507" i="19"/>
  <c r="A23506" i="19"/>
  <c r="A23505" i="19"/>
  <c r="A23504" i="19"/>
  <c r="A23503" i="19"/>
  <c r="A23502" i="19"/>
  <c r="A23501" i="19"/>
  <c r="A23500" i="19"/>
  <c r="A23499" i="19"/>
  <c r="A23498" i="19"/>
  <c r="A23497" i="19"/>
  <c r="A23496" i="19"/>
  <c r="A23495" i="19"/>
  <c r="A23494" i="19"/>
  <c r="A23493" i="19"/>
  <c r="A23492" i="19"/>
  <c r="A23491" i="19"/>
  <c r="A23490" i="19"/>
  <c r="A23489" i="19"/>
  <c r="A23488" i="19"/>
  <c r="A23487" i="19"/>
  <c r="A23486" i="19"/>
  <c r="A23485" i="19"/>
  <c r="A23484" i="19"/>
  <c r="A23483" i="19"/>
  <c r="A23482" i="19"/>
  <c r="A23481" i="19"/>
  <c r="A23480" i="19"/>
  <c r="A23479" i="19"/>
  <c r="A23478" i="19"/>
  <c r="A23477" i="19"/>
  <c r="A23476" i="19"/>
  <c r="A23475" i="19"/>
  <c r="A23474" i="19"/>
  <c r="A23473" i="19"/>
  <c r="A23472" i="19"/>
  <c r="A23471" i="19"/>
  <c r="A23470" i="19"/>
  <c r="A23469" i="19"/>
  <c r="A23468" i="19"/>
  <c r="A23467" i="19"/>
  <c r="A23466" i="19"/>
  <c r="A23465" i="19"/>
  <c r="A23464" i="19"/>
  <c r="A23463" i="19"/>
  <c r="A23462" i="19"/>
  <c r="A23461" i="19"/>
  <c r="A23460" i="19"/>
  <c r="A23459" i="19"/>
  <c r="A23458" i="19"/>
  <c r="A23457" i="19"/>
  <c r="A23456" i="19"/>
  <c r="A23455" i="19"/>
  <c r="A23454" i="19"/>
  <c r="A23453" i="19"/>
  <c r="A23452" i="19"/>
  <c r="A23451" i="19"/>
  <c r="A23450" i="19"/>
  <c r="A23449" i="19"/>
  <c r="A23448" i="19"/>
  <c r="A23447" i="19"/>
  <c r="A23446" i="19"/>
  <c r="A23445" i="19"/>
  <c r="A23444" i="19"/>
  <c r="A23443" i="19"/>
  <c r="A23442" i="19"/>
  <c r="A23441" i="19"/>
  <c r="A23440" i="19"/>
  <c r="A23439" i="19"/>
  <c r="A23438" i="19"/>
  <c r="A23437" i="19"/>
  <c r="A23436" i="19"/>
  <c r="A23435" i="19"/>
  <c r="A23434" i="19"/>
  <c r="A23433" i="19"/>
  <c r="A23432" i="19"/>
  <c r="A23431" i="19"/>
  <c r="A23430" i="19"/>
  <c r="A23429" i="19"/>
  <c r="A23428" i="19"/>
  <c r="A23427" i="19"/>
  <c r="A23426" i="19"/>
  <c r="A23425" i="19"/>
  <c r="A23424" i="19"/>
  <c r="A23423" i="19"/>
  <c r="A23422" i="19"/>
  <c r="A23421" i="19"/>
  <c r="A23420" i="19"/>
  <c r="A23419" i="19"/>
  <c r="A23418" i="19"/>
  <c r="A23417" i="19"/>
  <c r="A23416" i="19"/>
  <c r="A23415" i="19"/>
  <c r="A23414" i="19"/>
  <c r="A23413" i="19"/>
  <c r="A23412" i="19"/>
  <c r="A23411" i="19"/>
  <c r="A23410" i="19"/>
  <c r="A23409" i="19"/>
  <c r="A23408" i="19"/>
  <c r="A23407" i="19"/>
  <c r="A23406" i="19"/>
  <c r="A23405" i="19"/>
  <c r="A23404" i="19"/>
  <c r="A23403" i="19"/>
  <c r="A23402" i="19"/>
  <c r="A23401" i="19"/>
  <c r="A23400" i="19"/>
  <c r="A23399" i="19"/>
  <c r="A23398" i="19"/>
  <c r="A23397" i="19"/>
  <c r="A23396" i="19"/>
  <c r="A23395" i="19"/>
  <c r="A23394" i="19"/>
  <c r="A23393" i="19"/>
  <c r="A23392" i="19"/>
  <c r="A23391" i="19"/>
  <c r="A23390" i="19"/>
  <c r="A23389" i="19"/>
  <c r="A23388" i="19"/>
  <c r="A23387" i="19"/>
  <c r="A23386" i="19"/>
  <c r="A23385" i="19"/>
  <c r="A23384" i="19"/>
  <c r="A23383" i="19"/>
  <c r="A23382" i="19"/>
  <c r="A23381" i="19"/>
  <c r="A23380" i="19"/>
  <c r="A23379" i="19"/>
  <c r="A23378" i="19"/>
  <c r="A23377" i="19"/>
  <c r="A23376" i="19"/>
  <c r="A23375" i="19"/>
  <c r="A23374" i="19"/>
  <c r="A23373" i="19"/>
  <c r="A23372" i="19"/>
  <c r="A23371" i="19"/>
  <c r="A23370" i="19"/>
  <c r="A23369" i="19"/>
  <c r="A23368" i="19"/>
  <c r="A23367" i="19"/>
  <c r="A23366" i="19"/>
  <c r="A23365" i="19"/>
  <c r="A23364" i="19"/>
  <c r="A23363" i="19"/>
  <c r="A23362" i="19"/>
  <c r="A23361" i="19"/>
  <c r="A23360" i="19"/>
  <c r="A23359" i="19"/>
  <c r="A23358" i="19"/>
  <c r="A23357" i="19"/>
  <c r="A23356" i="19"/>
  <c r="A23355" i="19"/>
  <c r="A23354" i="19"/>
  <c r="A23353" i="19"/>
  <c r="A23352" i="19"/>
  <c r="A23351" i="19"/>
  <c r="A23350" i="19"/>
  <c r="A23349" i="19"/>
  <c r="A23348" i="19"/>
  <c r="A23347" i="19"/>
  <c r="A23346" i="19"/>
  <c r="A23345" i="19"/>
  <c r="A23344" i="19"/>
  <c r="A23343" i="19"/>
  <c r="A23342" i="19"/>
  <c r="A23341" i="19"/>
  <c r="A23340" i="19"/>
  <c r="A23339" i="19"/>
  <c r="A23338" i="19"/>
  <c r="A23337" i="19"/>
  <c r="A23336" i="19"/>
  <c r="A23335" i="19"/>
  <c r="A23334" i="19"/>
  <c r="A23333" i="19"/>
  <c r="A23332" i="19"/>
  <c r="A23331" i="19"/>
  <c r="A23330" i="19"/>
  <c r="A23329" i="19"/>
  <c r="A23328" i="19"/>
  <c r="A23327" i="19"/>
  <c r="A23326" i="19"/>
  <c r="A23325" i="19"/>
  <c r="A23324" i="19"/>
  <c r="A23323" i="19"/>
  <c r="A23322" i="19"/>
  <c r="A23321" i="19"/>
  <c r="A23320" i="19"/>
  <c r="A23319" i="19"/>
  <c r="A23318" i="19"/>
  <c r="A23317" i="19"/>
  <c r="A23316" i="19"/>
  <c r="A23315" i="19"/>
  <c r="A23314" i="19"/>
  <c r="A23313" i="19"/>
  <c r="A23312" i="19"/>
  <c r="A23311" i="19"/>
  <c r="A23310" i="19"/>
  <c r="A23309" i="19"/>
  <c r="A23308" i="19"/>
  <c r="A23307" i="19"/>
  <c r="A23306" i="19"/>
  <c r="A23305" i="19"/>
  <c r="A23304" i="19"/>
  <c r="A23303" i="19"/>
  <c r="A23302" i="19"/>
  <c r="A23301" i="19"/>
  <c r="A23300" i="19"/>
  <c r="A23299" i="19"/>
  <c r="A23298" i="19"/>
  <c r="A23297" i="19"/>
  <c r="A23296" i="19"/>
  <c r="A23295" i="19"/>
  <c r="A23294" i="19"/>
  <c r="A23293" i="19"/>
  <c r="A23292" i="19"/>
  <c r="A23291" i="19"/>
  <c r="A23290" i="19"/>
  <c r="A23289" i="19"/>
  <c r="A23288" i="19"/>
  <c r="A23287" i="19"/>
  <c r="A23286" i="19"/>
  <c r="A23285" i="19"/>
  <c r="A23284" i="19"/>
  <c r="A23283" i="19"/>
  <c r="A23282" i="19"/>
  <c r="A23281" i="19"/>
  <c r="A23280" i="19"/>
  <c r="A23279" i="19"/>
  <c r="A23278" i="19"/>
  <c r="A23277" i="19"/>
  <c r="A23276" i="19"/>
  <c r="A23275" i="19"/>
  <c r="A23274" i="19"/>
  <c r="A23273" i="19"/>
  <c r="A23272" i="19"/>
  <c r="A23271" i="19"/>
  <c r="A23270" i="19"/>
  <c r="A23269" i="19"/>
  <c r="A23268" i="19"/>
  <c r="A23267" i="19"/>
  <c r="A23266" i="19"/>
  <c r="A23265" i="19"/>
  <c r="A23264" i="19"/>
  <c r="A23263" i="19"/>
  <c r="A23262" i="19"/>
  <c r="A23261" i="19"/>
  <c r="A23260" i="19"/>
  <c r="A23259" i="19"/>
  <c r="A23258" i="19"/>
  <c r="A23257" i="19"/>
  <c r="A23256" i="19"/>
  <c r="A23255" i="19"/>
  <c r="A23254" i="19"/>
  <c r="A23253" i="19"/>
  <c r="A23252" i="19"/>
  <c r="A23251" i="19"/>
  <c r="A23250" i="19"/>
  <c r="A23249" i="19"/>
  <c r="A23248" i="19"/>
  <c r="A23247" i="19"/>
  <c r="A23246" i="19"/>
  <c r="A23245" i="19"/>
  <c r="A23244" i="19"/>
  <c r="A23243" i="19"/>
  <c r="A23242" i="19"/>
  <c r="A23241" i="19"/>
  <c r="A23240" i="19"/>
  <c r="A23239" i="19"/>
  <c r="A23238" i="19"/>
  <c r="A23237" i="19"/>
  <c r="A23236" i="19"/>
  <c r="A23235" i="19"/>
  <c r="A23234" i="19"/>
  <c r="A23233" i="19"/>
  <c r="A23232" i="19"/>
  <c r="A23231" i="19"/>
  <c r="A23230" i="19"/>
  <c r="A23229" i="19"/>
  <c r="A23228" i="19"/>
  <c r="A23227" i="19"/>
  <c r="A23226" i="19"/>
  <c r="A23225" i="19"/>
  <c r="A23224" i="19"/>
  <c r="A23223" i="19"/>
  <c r="A23222" i="19"/>
  <c r="A23221" i="19"/>
  <c r="A23220" i="19"/>
  <c r="A23219" i="19"/>
  <c r="A23218" i="19"/>
  <c r="A23217" i="19"/>
  <c r="A23216" i="19"/>
  <c r="A23215" i="19"/>
  <c r="A23214" i="19"/>
  <c r="A23213" i="19"/>
  <c r="A23212" i="19"/>
  <c r="A23211" i="19"/>
  <c r="A23210" i="19"/>
  <c r="A23209" i="19"/>
  <c r="A23208" i="19"/>
  <c r="A23207" i="19"/>
  <c r="A23206" i="19"/>
  <c r="A23205" i="19"/>
  <c r="A23204" i="19"/>
  <c r="A23203" i="19"/>
  <c r="A23202" i="19"/>
  <c r="A23201" i="19"/>
  <c r="A23200" i="19"/>
  <c r="A23199" i="19"/>
  <c r="A23198" i="19"/>
  <c r="A23197" i="19"/>
  <c r="A23196" i="19"/>
  <c r="A23195" i="19"/>
  <c r="A23194" i="19"/>
  <c r="A23193" i="19"/>
  <c r="A23192" i="19"/>
  <c r="A23191" i="19"/>
  <c r="A23190" i="19"/>
  <c r="A23189" i="19"/>
  <c r="A23188" i="19"/>
  <c r="A23187" i="19"/>
  <c r="A23186" i="19"/>
  <c r="A23185" i="19"/>
  <c r="A23184" i="19"/>
  <c r="A23183" i="19"/>
  <c r="A23182" i="19"/>
  <c r="A23181" i="19"/>
  <c r="A23180" i="19"/>
  <c r="A23179" i="19"/>
  <c r="A23178" i="19"/>
  <c r="A23177" i="19"/>
  <c r="A23176" i="19"/>
  <c r="A23175" i="19"/>
  <c r="A23174" i="19"/>
  <c r="A23173" i="19"/>
  <c r="A23172" i="19"/>
  <c r="A23171" i="19"/>
  <c r="A23170" i="19"/>
  <c r="A23169" i="19"/>
  <c r="A23168" i="19"/>
  <c r="A23167" i="19"/>
  <c r="A23166" i="19"/>
  <c r="A23165" i="19"/>
  <c r="A23164" i="19"/>
  <c r="A23163" i="19"/>
  <c r="A23162" i="19"/>
  <c r="A23161" i="19"/>
  <c r="A23160" i="19"/>
  <c r="A23159" i="19"/>
  <c r="A23158" i="19"/>
  <c r="A23157" i="19"/>
  <c r="A23156" i="19"/>
  <c r="A23155" i="19"/>
  <c r="A23154" i="19"/>
  <c r="A23153" i="19"/>
  <c r="A23152" i="19"/>
  <c r="A23151" i="19"/>
  <c r="A23150" i="19"/>
  <c r="A23149" i="19"/>
  <c r="A23148" i="19"/>
  <c r="A23147" i="19"/>
  <c r="A23146" i="19"/>
  <c r="A23145" i="19"/>
  <c r="A23144" i="19"/>
  <c r="A23143" i="19"/>
  <c r="A23142" i="19"/>
  <c r="A23141" i="19"/>
  <c r="A23140" i="19"/>
  <c r="A23139" i="19"/>
  <c r="A23138" i="19"/>
  <c r="A23137" i="19"/>
  <c r="A23136" i="19"/>
  <c r="A23135" i="19"/>
  <c r="A23134" i="19"/>
  <c r="A23133" i="19"/>
  <c r="A23132" i="19"/>
  <c r="A23131" i="19"/>
  <c r="A23130" i="19"/>
  <c r="A23129" i="19"/>
  <c r="A23128" i="19"/>
  <c r="A23127" i="19"/>
  <c r="A23126" i="19"/>
  <c r="A23125" i="19"/>
  <c r="A23124" i="19"/>
  <c r="A23123" i="19"/>
  <c r="A23122" i="19"/>
  <c r="A23121" i="19"/>
  <c r="A23120" i="19"/>
  <c r="A23119" i="19"/>
  <c r="A23118" i="19"/>
  <c r="A23117" i="19"/>
  <c r="A23116" i="19"/>
  <c r="A23115" i="19"/>
  <c r="A23114" i="19"/>
  <c r="A23113" i="19"/>
  <c r="A23112" i="19"/>
  <c r="A23111" i="19"/>
  <c r="A23110" i="19"/>
  <c r="A23109" i="19"/>
  <c r="A23108" i="19"/>
  <c r="A23107" i="19"/>
  <c r="A23106" i="19"/>
  <c r="A23105" i="19"/>
  <c r="A23104" i="19"/>
  <c r="A23103" i="19"/>
  <c r="A23102" i="19"/>
  <c r="A23101" i="19"/>
  <c r="A23100" i="19"/>
  <c r="A23099" i="19"/>
  <c r="A23098" i="19"/>
  <c r="A23097" i="19"/>
  <c r="A23096" i="19"/>
  <c r="A23095" i="19"/>
  <c r="A23094" i="19"/>
  <c r="A23093" i="19"/>
  <c r="A23092" i="19"/>
  <c r="A23091" i="19"/>
  <c r="A23090" i="19"/>
  <c r="A23089" i="19"/>
  <c r="A23088" i="19"/>
  <c r="A23087" i="19"/>
  <c r="A23086" i="19"/>
  <c r="A23085" i="19"/>
  <c r="A23084" i="19"/>
  <c r="A23083" i="19"/>
  <c r="A23082" i="19"/>
  <c r="A23081" i="19"/>
  <c r="A23080" i="19"/>
  <c r="A23079" i="19"/>
  <c r="A23078" i="19"/>
  <c r="A23077" i="19"/>
  <c r="A23076" i="19"/>
  <c r="A23075" i="19"/>
  <c r="A23074" i="19"/>
  <c r="A23073" i="19"/>
  <c r="A23072" i="19"/>
  <c r="A23071" i="19"/>
  <c r="A23070" i="19"/>
  <c r="A23069" i="19"/>
  <c r="A23068" i="19"/>
  <c r="A23067" i="19"/>
  <c r="A23066" i="19"/>
  <c r="A23065" i="19"/>
  <c r="A23064" i="19"/>
  <c r="A23063" i="19"/>
  <c r="A23062" i="19"/>
  <c r="A23061" i="19"/>
  <c r="A23060" i="19"/>
  <c r="A23059" i="19"/>
  <c r="A23058" i="19"/>
  <c r="A23057" i="19"/>
  <c r="A23056" i="19"/>
  <c r="A23055" i="19"/>
  <c r="A23054" i="19"/>
  <c r="A23053" i="19"/>
  <c r="A23052" i="19"/>
  <c r="A23051" i="19"/>
  <c r="A23050" i="19"/>
  <c r="A23049" i="19"/>
  <c r="A23048" i="19"/>
  <c r="A23047" i="19"/>
  <c r="A23046" i="19"/>
  <c r="A23045" i="19"/>
  <c r="A23044" i="19"/>
  <c r="A23043" i="19"/>
  <c r="A23042" i="19"/>
  <c r="A23041" i="19"/>
  <c r="A23040" i="19"/>
  <c r="A23039" i="19"/>
  <c r="A23038" i="19"/>
  <c r="A23037" i="19"/>
  <c r="A23036" i="19"/>
  <c r="A23035" i="19"/>
  <c r="A23034" i="19"/>
  <c r="A23033" i="19"/>
  <c r="A23032" i="19"/>
  <c r="A23031" i="19"/>
  <c r="A23030" i="19"/>
  <c r="A23029" i="19"/>
  <c r="A23028" i="19"/>
  <c r="A23027" i="19"/>
  <c r="A23026" i="19"/>
  <c r="A23025" i="19"/>
  <c r="A23024" i="19"/>
  <c r="A23023" i="19"/>
  <c r="A23022" i="19"/>
  <c r="A23021" i="19"/>
  <c r="A23020" i="19"/>
  <c r="A23019" i="19"/>
  <c r="A23018" i="19"/>
  <c r="A23017" i="19"/>
  <c r="A23016" i="19"/>
  <c r="A23015" i="19"/>
  <c r="A23014" i="19"/>
  <c r="A23013" i="19"/>
  <c r="A23012" i="19"/>
  <c r="A23011" i="19"/>
  <c r="A23010" i="19"/>
  <c r="A23009" i="19"/>
  <c r="A23008" i="19"/>
  <c r="A23007" i="19"/>
  <c r="A23006" i="19"/>
  <c r="A23005" i="19"/>
  <c r="A23004" i="19"/>
  <c r="A23003" i="19"/>
  <c r="A23002" i="19"/>
  <c r="A23001" i="19"/>
  <c r="A23000" i="19"/>
  <c r="A22999" i="19"/>
  <c r="A22998" i="19"/>
  <c r="A22997" i="19"/>
  <c r="A22996" i="19"/>
  <c r="A22995" i="19"/>
  <c r="A22994" i="19"/>
  <c r="A22993" i="19"/>
  <c r="A22992" i="19"/>
  <c r="A22991" i="19"/>
  <c r="A22990" i="19"/>
  <c r="A22989" i="19"/>
  <c r="A22988" i="19"/>
  <c r="A22987" i="19"/>
  <c r="A22986" i="19"/>
  <c r="A22985" i="19"/>
  <c r="A22984" i="19"/>
  <c r="A22983" i="19"/>
  <c r="A22982" i="19"/>
  <c r="A22981" i="19"/>
  <c r="A22980" i="19"/>
  <c r="A22979" i="19"/>
  <c r="A22978" i="19"/>
  <c r="A22977" i="19"/>
  <c r="A22976" i="19"/>
  <c r="A22975" i="19"/>
  <c r="A22974" i="19"/>
  <c r="A22973" i="19"/>
  <c r="A22972" i="19"/>
  <c r="A22971" i="19"/>
  <c r="A22970" i="19"/>
  <c r="A22969" i="19"/>
  <c r="A22968" i="19"/>
  <c r="A22967" i="19"/>
  <c r="A22966" i="19"/>
  <c r="A22965" i="19"/>
  <c r="A22964" i="19"/>
  <c r="A22963" i="19"/>
  <c r="A22962" i="19"/>
  <c r="A22961" i="19"/>
  <c r="A22960" i="19"/>
  <c r="A22959" i="19"/>
  <c r="A22958" i="19"/>
  <c r="A22957" i="19"/>
  <c r="A22956" i="19"/>
  <c r="A22955" i="19"/>
  <c r="A22954" i="19"/>
  <c r="A22953" i="19"/>
  <c r="A22952" i="19"/>
  <c r="A22951" i="19"/>
  <c r="A22950" i="19"/>
  <c r="A22949" i="19"/>
  <c r="A22948" i="19"/>
  <c r="A22947" i="19"/>
  <c r="A22946" i="19"/>
  <c r="A22945" i="19"/>
  <c r="A22944" i="19"/>
  <c r="A22943" i="19"/>
  <c r="A22942" i="19"/>
  <c r="A22941" i="19"/>
  <c r="A22940" i="19"/>
  <c r="A22939" i="19"/>
  <c r="A22938" i="19"/>
  <c r="A22937" i="19"/>
  <c r="A22936" i="19"/>
  <c r="A22935" i="19"/>
  <c r="A22934" i="19"/>
  <c r="A22933" i="19"/>
  <c r="A22932" i="19"/>
  <c r="A22931" i="19"/>
  <c r="A22930" i="19"/>
  <c r="A22929" i="19"/>
  <c r="A22928" i="19"/>
  <c r="A22927" i="19"/>
  <c r="A22926" i="19"/>
  <c r="A22925" i="19"/>
  <c r="A22924" i="19"/>
  <c r="A22923" i="19"/>
  <c r="A22922" i="19"/>
  <c r="A22921" i="19"/>
  <c r="A22920" i="19"/>
  <c r="A22919" i="19"/>
  <c r="A22918" i="19"/>
  <c r="A22917" i="19"/>
  <c r="A22916" i="19"/>
  <c r="A22915" i="19"/>
  <c r="A22914" i="19"/>
  <c r="A22913" i="19"/>
  <c r="A22912" i="19"/>
  <c r="A22911" i="19"/>
  <c r="A22910" i="19"/>
  <c r="A22909" i="19"/>
  <c r="A22908" i="19"/>
  <c r="A22907" i="19"/>
  <c r="A22906" i="19"/>
  <c r="A22905" i="19"/>
  <c r="A22904" i="19"/>
  <c r="A22903" i="19"/>
  <c r="A22902" i="19"/>
  <c r="A22901" i="19"/>
  <c r="A22900" i="19"/>
  <c r="A22899" i="19"/>
  <c r="A22898" i="19"/>
  <c r="A22897" i="19"/>
  <c r="A22896" i="19"/>
  <c r="A22895" i="19"/>
  <c r="A22894" i="19"/>
  <c r="A22893" i="19"/>
  <c r="A22892" i="19"/>
  <c r="A22891" i="19"/>
  <c r="A22890" i="19"/>
  <c r="A22889" i="19"/>
  <c r="A22888" i="19"/>
  <c r="A22887" i="19"/>
  <c r="A22886" i="19"/>
  <c r="A22885" i="19"/>
  <c r="A22884" i="19"/>
  <c r="A22883" i="19"/>
  <c r="A22882" i="19"/>
  <c r="A22881" i="19"/>
  <c r="A22880" i="19"/>
  <c r="A22879" i="19"/>
  <c r="A22878" i="19"/>
  <c r="A22877" i="19"/>
  <c r="A22876" i="19"/>
  <c r="A22875" i="19"/>
  <c r="A22874" i="19"/>
  <c r="A22873" i="19"/>
  <c r="A22872" i="19"/>
  <c r="A22871" i="19"/>
  <c r="A22870" i="19"/>
  <c r="A22869" i="19"/>
  <c r="A22868" i="19"/>
  <c r="A22867" i="19"/>
  <c r="A22866" i="19"/>
  <c r="A22865" i="19"/>
  <c r="A22864" i="19"/>
  <c r="A22863" i="19"/>
  <c r="A22862" i="19"/>
  <c r="A22861" i="19"/>
  <c r="A22860" i="19"/>
  <c r="A22859" i="19"/>
  <c r="A22858" i="19"/>
  <c r="A22857" i="19"/>
  <c r="A22856" i="19"/>
  <c r="A22855" i="19"/>
  <c r="A22854" i="19"/>
  <c r="A22853" i="19"/>
  <c r="A22852" i="19"/>
  <c r="A22851" i="19"/>
  <c r="A22850" i="19"/>
  <c r="A22849" i="19"/>
  <c r="A22848" i="19"/>
  <c r="A22847" i="19"/>
  <c r="A22846" i="19"/>
  <c r="A22845" i="19"/>
  <c r="A22844" i="19"/>
  <c r="A22843" i="19"/>
  <c r="A22842" i="19"/>
  <c r="A22841" i="19"/>
  <c r="A22840" i="19"/>
  <c r="A22839" i="19"/>
  <c r="A22838" i="19"/>
  <c r="A22837" i="19"/>
  <c r="A22836" i="19"/>
  <c r="A22835" i="19"/>
  <c r="A22834" i="19"/>
  <c r="A22833" i="19"/>
  <c r="A22832" i="19"/>
  <c r="A22831" i="19"/>
  <c r="A22830" i="19"/>
  <c r="A22829" i="19"/>
  <c r="A22828" i="19"/>
  <c r="A22827" i="19"/>
  <c r="A22826" i="19"/>
  <c r="A22825" i="19"/>
  <c r="A22824" i="19"/>
  <c r="A22823" i="19"/>
  <c r="A22822" i="19"/>
  <c r="A22821" i="19"/>
  <c r="A22820" i="19"/>
  <c r="A22819" i="19"/>
  <c r="A22818" i="19"/>
  <c r="A22817" i="19"/>
  <c r="A22816" i="19"/>
  <c r="A22815" i="19"/>
  <c r="A22814" i="19"/>
  <c r="A22813" i="19"/>
  <c r="A22812" i="19"/>
  <c r="A22811" i="19"/>
  <c r="A22810" i="19"/>
  <c r="A22809" i="19"/>
  <c r="A22808" i="19"/>
  <c r="A22807" i="19"/>
  <c r="A22806" i="19"/>
  <c r="A22805" i="19"/>
  <c r="A22804" i="19"/>
  <c r="A22803" i="19"/>
  <c r="A22802" i="19"/>
  <c r="A22801" i="19"/>
  <c r="A22800" i="19"/>
  <c r="A22799" i="19"/>
  <c r="A22798" i="19"/>
  <c r="A22797" i="19"/>
  <c r="A22796" i="19"/>
  <c r="A22795" i="19"/>
  <c r="A22794" i="19"/>
  <c r="A22793" i="19"/>
  <c r="A22792" i="19"/>
  <c r="A22791" i="19"/>
  <c r="A22790" i="19"/>
  <c r="A22789" i="19"/>
  <c r="A22788" i="19"/>
  <c r="A22787" i="19"/>
  <c r="A22786" i="19"/>
  <c r="A22785" i="19"/>
  <c r="A22784" i="19"/>
  <c r="A22783" i="19"/>
  <c r="A22782" i="19"/>
  <c r="A22781" i="19"/>
  <c r="A22780" i="19"/>
  <c r="A22779" i="19"/>
  <c r="A22778" i="19"/>
  <c r="A22777" i="19"/>
  <c r="A22776" i="19"/>
  <c r="A22775" i="19"/>
  <c r="A22774" i="19"/>
  <c r="A22773" i="19"/>
  <c r="A22772" i="19"/>
  <c r="A22771" i="19"/>
  <c r="A22770" i="19"/>
  <c r="A22769" i="19"/>
  <c r="A22768" i="19"/>
  <c r="A22767" i="19"/>
  <c r="A22766" i="19"/>
  <c r="A22765" i="19"/>
  <c r="A22764" i="19"/>
  <c r="A22763" i="19"/>
  <c r="A22762" i="19"/>
  <c r="A22761" i="19"/>
  <c r="A22760" i="19"/>
  <c r="A22759" i="19"/>
  <c r="A22758" i="19"/>
  <c r="A22757" i="19"/>
  <c r="A22756" i="19"/>
  <c r="A22755" i="19"/>
  <c r="A22754" i="19"/>
  <c r="A22753" i="19"/>
  <c r="A22752" i="19"/>
  <c r="A22751" i="19"/>
  <c r="A22750" i="19"/>
  <c r="A22749" i="19"/>
  <c r="A22748" i="19"/>
  <c r="A22747" i="19"/>
  <c r="A22746" i="19"/>
  <c r="A22745" i="19"/>
  <c r="A22744" i="19"/>
  <c r="A22743" i="19"/>
  <c r="A22742" i="19"/>
  <c r="A22741" i="19"/>
  <c r="A22740" i="19"/>
  <c r="A22739" i="19"/>
  <c r="A22738" i="19"/>
  <c r="A22737" i="19"/>
  <c r="A22736" i="19"/>
  <c r="A22735" i="19"/>
  <c r="A22734" i="19"/>
  <c r="A22733" i="19"/>
  <c r="A22732" i="19"/>
  <c r="A22731" i="19"/>
  <c r="A22730" i="19"/>
  <c r="A22729" i="19"/>
  <c r="A22728" i="19"/>
  <c r="A22727" i="19"/>
  <c r="A22726" i="19"/>
  <c r="A22725" i="19"/>
  <c r="A22724" i="19"/>
  <c r="A22723" i="19"/>
  <c r="A22722" i="19"/>
  <c r="A22721" i="19"/>
  <c r="A22720" i="19"/>
  <c r="A22719" i="19"/>
  <c r="A22718" i="19"/>
  <c r="A22717" i="19"/>
  <c r="A22716" i="19"/>
  <c r="A22715" i="19"/>
  <c r="A22714" i="19"/>
  <c r="A22713" i="19"/>
  <c r="A22712" i="19"/>
  <c r="A22711" i="19"/>
  <c r="A22710" i="19"/>
  <c r="A22709" i="19"/>
  <c r="A22708" i="19"/>
  <c r="A22707" i="19"/>
  <c r="A22706" i="19"/>
  <c r="A22705" i="19"/>
  <c r="A22704" i="19"/>
  <c r="A22703" i="19"/>
  <c r="A22702" i="19"/>
  <c r="A22701" i="19"/>
  <c r="A22700" i="19"/>
  <c r="A22699" i="19"/>
  <c r="A22698" i="19"/>
  <c r="A22697" i="19"/>
  <c r="A22696" i="19"/>
  <c r="A22695" i="19"/>
  <c r="A22694" i="19"/>
  <c r="A22693" i="19"/>
  <c r="A22692" i="19"/>
  <c r="A22691" i="19"/>
  <c r="A22690" i="19"/>
  <c r="A22689" i="19"/>
  <c r="A22688" i="19"/>
  <c r="A22687" i="19"/>
  <c r="A22686" i="19"/>
  <c r="A22685" i="19"/>
  <c r="A22684" i="19"/>
  <c r="A22683" i="19"/>
  <c r="A22682" i="19"/>
  <c r="A22681" i="19"/>
  <c r="A22680" i="19"/>
  <c r="A22679" i="19"/>
  <c r="A22678" i="19"/>
  <c r="A22677" i="19"/>
  <c r="A22676" i="19"/>
  <c r="A22675" i="19"/>
  <c r="A22674" i="19"/>
  <c r="A22673" i="19"/>
  <c r="A22672" i="19"/>
  <c r="A22671" i="19"/>
  <c r="A22670" i="19"/>
  <c r="A22669" i="19"/>
  <c r="A22668" i="19"/>
  <c r="A22667" i="19"/>
  <c r="A22666" i="19"/>
  <c r="A22665" i="19"/>
  <c r="A22664" i="19"/>
  <c r="A22663" i="19"/>
  <c r="A22662" i="19"/>
  <c r="A22661" i="19"/>
  <c r="A22660" i="19"/>
  <c r="A22659" i="19"/>
  <c r="A22658" i="19"/>
  <c r="A22657" i="19"/>
  <c r="A22656" i="19"/>
  <c r="A22655" i="19"/>
  <c r="A22654" i="19"/>
  <c r="A22653" i="19"/>
  <c r="A22652" i="19"/>
  <c r="A22651" i="19"/>
  <c r="A22650" i="19"/>
  <c r="A22649" i="19"/>
  <c r="A22648" i="19"/>
  <c r="A22647" i="19"/>
  <c r="A22646" i="19"/>
  <c r="A22645" i="19"/>
  <c r="A22644" i="19"/>
  <c r="A22643" i="19"/>
  <c r="A22642" i="19"/>
  <c r="A22641" i="19"/>
  <c r="A22640" i="19"/>
  <c r="A22639" i="19"/>
  <c r="A22638" i="19"/>
  <c r="A22637" i="19"/>
  <c r="A22636" i="19"/>
  <c r="A22635" i="19"/>
  <c r="A22634" i="19"/>
  <c r="A22633" i="19"/>
  <c r="A22632" i="19"/>
  <c r="A22631" i="19"/>
  <c r="A22630" i="19"/>
  <c r="A22629" i="19"/>
  <c r="A22628" i="19"/>
  <c r="A22627" i="19"/>
  <c r="A22626" i="19"/>
  <c r="A22625" i="19"/>
  <c r="A22624" i="19"/>
  <c r="A22623" i="19"/>
  <c r="A22622" i="19"/>
  <c r="A22621" i="19"/>
  <c r="A22620" i="19"/>
  <c r="A22619" i="19"/>
  <c r="A22618" i="19"/>
  <c r="A22617" i="19"/>
  <c r="A22616" i="19"/>
  <c r="A22615" i="19"/>
  <c r="A22614" i="19"/>
  <c r="A22613" i="19"/>
  <c r="A22612" i="19"/>
  <c r="A22611" i="19"/>
  <c r="A22610" i="19"/>
  <c r="A22609" i="19"/>
  <c r="A22608" i="19"/>
  <c r="A22607" i="19"/>
  <c r="A22606" i="19"/>
  <c r="A22605" i="19"/>
  <c r="A22604" i="19"/>
  <c r="A22603" i="19"/>
  <c r="A22602" i="19"/>
  <c r="A22601" i="19"/>
  <c r="A22600" i="19"/>
  <c r="A22599" i="19"/>
  <c r="A22598" i="19"/>
  <c r="A22597" i="19"/>
  <c r="A22596" i="19"/>
  <c r="A22595" i="19"/>
  <c r="A22594" i="19"/>
  <c r="A22593" i="19"/>
  <c r="A22592" i="19"/>
  <c r="A22591" i="19"/>
  <c r="A22590" i="19"/>
  <c r="A22589" i="19"/>
  <c r="A22588" i="19"/>
  <c r="A22587" i="19"/>
  <c r="A22586" i="19"/>
  <c r="A22585" i="19"/>
  <c r="A22584" i="19"/>
  <c r="A22583" i="19"/>
  <c r="A22582" i="19"/>
  <c r="A22581" i="19"/>
  <c r="A22580" i="19"/>
  <c r="A22579" i="19"/>
  <c r="A22578" i="19"/>
  <c r="A22577" i="19"/>
  <c r="A22576" i="19"/>
  <c r="A22575" i="19"/>
  <c r="A22574" i="19"/>
  <c r="A22573" i="19"/>
  <c r="A22572" i="19"/>
  <c r="A22571" i="19"/>
  <c r="A22570" i="19"/>
  <c r="A22569" i="19"/>
  <c r="A22568" i="19"/>
  <c r="A22567" i="19"/>
  <c r="A22566" i="19"/>
  <c r="A22565" i="19"/>
  <c r="A22564" i="19"/>
  <c r="A22563" i="19"/>
  <c r="A22562" i="19"/>
  <c r="A22561" i="19"/>
  <c r="A22560" i="19"/>
  <c r="A22559" i="19"/>
  <c r="A22558" i="19"/>
  <c r="A22557" i="19"/>
  <c r="A22556" i="19"/>
  <c r="A22555" i="19"/>
  <c r="A22554" i="19"/>
  <c r="A22553" i="19"/>
  <c r="A22552" i="19"/>
  <c r="A22551" i="19"/>
  <c r="A22550" i="19"/>
  <c r="A22549" i="19"/>
  <c r="A22548" i="19"/>
  <c r="A22547" i="19"/>
  <c r="A22546" i="19"/>
  <c r="A22545" i="19"/>
  <c r="A22544" i="19"/>
  <c r="A22543" i="19"/>
  <c r="A22542" i="19"/>
  <c r="A22541" i="19"/>
  <c r="A22540" i="19"/>
  <c r="A22539" i="19"/>
  <c r="A22538" i="19"/>
  <c r="A22537" i="19"/>
  <c r="A22536" i="19"/>
  <c r="A22535" i="19"/>
  <c r="A22534" i="19"/>
  <c r="A22533" i="19"/>
  <c r="A22532" i="19"/>
  <c r="A22531" i="19"/>
  <c r="A22530" i="19"/>
  <c r="A22529" i="19"/>
  <c r="A22528" i="19"/>
  <c r="A22527" i="19"/>
  <c r="A22526" i="19"/>
  <c r="A22525" i="19"/>
  <c r="A22524" i="19"/>
  <c r="A22523" i="19"/>
  <c r="A22522" i="19"/>
  <c r="A22521" i="19"/>
  <c r="A22520" i="19"/>
  <c r="A22519" i="19"/>
  <c r="A22518" i="19"/>
  <c r="A22517" i="19"/>
  <c r="A22516" i="19"/>
  <c r="A22515" i="19"/>
  <c r="A22514" i="19"/>
  <c r="A22513" i="19"/>
  <c r="A22512" i="19"/>
  <c r="A22511" i="19"/>
  <c r="A22510" i="19"/>
  <c r="A22509" i="19"/>
  <c r="A22508" i="19"/>
  <c r="A22507" i="19"/>
  <c r="A22506" i="19"/>
  <c r="A22505" i="19"/>
  <c r="A22504" i="19"/>
  <c r="A22503" i="19"/>
  <c r="A22502" i="19"/>
  <c r="A22501" i="19"/>
  <c r="A22500" i="19"/>
  <c r="A22499" i="19"/>
  <c r="A22498" i="19"/>
  <c r="A22497" i="19"/>
  <c r="A22496" i="19"/>
  <c r="A22495" i="19"/>
  <c r="A22494" i="19"/>
  <c r="A22493" i="19"/>
  <c r="A22492" i="19"/>
  <c r="A22491" i="19"/>
  <c r="A22490" i="19"/>
  <c r="A22489" i="19"/>
  <c r="A22488" i="19"/>
  <c r="A22487" i="19"/>
  <c r="A22486" i="19"/>
  <c r="A22485" i="19"/>
  <c r="A22484" i="19"/>
  <c r="A22483" i="19"/>
  <c r="A22482" i="19"/>
  <c r="A22481" i="19"/>
  <c r="A22480" i="19"/>
  <c r="A22479" i="19"/>
  <c r="A22478" i="19"/>
  <c r="A22477" i="19"/>
  <c r="A22476" i="19"/>
  <c r="A22475" i="19"/>
  <c r="A22474" i="19"/>
  <c r="A22473" i="19"/>
  <c r="A22472" i="19"/>
  <c r="A22471" i="19"/>
  <c r="A22470" i="19"/>
  <c r="A22469" i="19"/>
  <c r="A22468" i="19"/>
  <c r="A22467" i="19"/>
  <c r="A22466" i="19"/>
  <c r="A22465" i="19"/>
  <c r="A22464" i="19"/>
  <c r="A22463" i="19"/>
  <c r="A22462" i="19"/>
  <c r="A22461" i="19"/>
  <c r="A22460" i="19"/>
  <c r="A22459" i="19"/>
  <c r="A22458" i="19"/>
  <c r="A22457" i="19"/>
  <c r="A22456" i="19"/>
  <c r="A22455" i="19"/>
  <c r="A22454" i="19"/>
  <c r="A22453" i="19"/>
  <c r="A22452" i="19"/>
  <c r="A22451" i="19"/>
  <c r="A22450" i="19"/>
  <c r="A22449" i="19"/>
  <c r="A22448" i="19"/>
  <c r="A22447" i="19"/>
  <c r="A22446" i="19"/>
  <c r="A22445" i="19"/>
  <c r="A22444" i="19"/>
  <c r="A22443" i="19"/>
  <c r="A22442" i="19"/>
  <c r="A22441" i="19"/>
  <c r="A22440" i="19"/>
  <c r="A22439" i="19"/>
  <c r="A22438" i="19"/>
  <c r="A22437" i="19"/>
  <c r="A22436" i="19"/>
  <c r="A22435" i="19"/>
  <c r="A22434" i="19"/>
  <c r="A22433" i="19"/>
  <c r="A22432" i="19"/>
  <c r="A22431" i="19"/>
  <c r="A22430" i="19"/>
  <c r="A22429" i="19"/>
  <c r="A22428" i="19"/>
  <c r="A22427" i="19"/>
  <c r="A22426" i="19"/>
  <c r="A22425" i="19"/>
  <c r="A22424" i="19"/>
  <c r="A22423" i="19"/>
  <c r="A22422" i="19"/>
  <c r="A22421" i="19"/>
  <c r="A22420" i="19"/>
  <c r="A22419" i="19"/>
  <c r="A22418" i="19"/>
  <c r="A22417" i="19"/>
  <c r="A22416" i="19"/>
  <c r="A22415" i="19"/>
  <c r="A22414" i="19"/>
  <c r="A22413" i="19"/>
  <c r="A22412" i="19"/>
  <c r="A22411" i="19"/>
  <c r="A22410" i="19"/>
  <c r="A22409" i="19"/>
  <c r="A22408" i="19"/>
  <c r="A22407" i="19"/>
  <c r="A22406" i="19"/>
  <c r="A22405" i="19"/>
  <c r="A22404" i="19"/>
  <c r="A22403" i="19"/>
  <c r="A22402" i="19"/>
  <c r="A22401" i="19"/>
  <c r="A22400" i="19"/>
  <c r="A22399" i="19"/>
  <c r="A22398" i="19"/>
  <c r="A22397" i="19"/>
  <c r="A22396" i="19"/>
  <c r="A22395" i="19"/>
  <c r="A22394" i="19"/>
  <c r="A22393" i="19"/>
  <c r="A22392" i="19"/>
  <c r="A22391" i="19"/>
  <c r="A22390" i="19"/>
  <c r="A22389" i="19"/>
  <c r="A22388" i="19"/>
  <c r="A22387" i="19"/>
  <c r="A22386" i="19"/>
  <c r="A22385" i="19"/>
  <c r="A22384" i="19"/>
  <c r="A22383" i="19"/>
  <c r="A22382" i="19"/>
  <c r="A22381" i="19"/>
  <c r="A22380" i="19"/>
  <c r="A22379" i="19"/>
  <c r="A22378" i="19"/>
  <c r="A22377" i="19"/>
  <c r="A22376" i="19"/>
  <c r="A22375" i="19"/>
  <c r="A22374" i="19"/>
  <c r="A22373" i="19"/>
  <c r="A22372" i="19"/>
  <c r="A22371" i="19"/>
  <c r="A22370" i="19"/>
  <c r="A22369" i="19"/>
  <c r="A22368" i="19"/>
  <c r="A22367" i="19"/>
  <c r="A22366" i="19"/>
  <c r="A22365" i="19"/>
  <c r="A22364" i="19"/>
  <c r="A22363" i="19"/>
  <c r="A22362" i="19"/>
  <c r="A22361" i="19"/>
  <c r="A22360" i="19"/>
  <c r="A22359" i="19"/>
  <c r="A22358" i="19"/>
  <c r="A22357" i="19"/>
  <c r="A22356" i="19"/>
  <c r="A22355" i="19"/>
  <c r="A22354" i="19"/>
  <c r="A22353" i="19"/>
  <c r="A22352" i="19"/>
  <c r="A22351" i="19"/>
  <c r="A22350" i="19"/>
  <c r="A22349" i="19"/>
  <c r="A22348" i="19"/>
  <c r="A22347" i="19"/>
  <c r="A22346" i="19"/>
  <c r="A22345" i="19"/>
  <c r="A22344" i="19"/>
  <c r="A22343" i="19"/>
  <c r="A22342" i="19"/>
  <c r="A22341" i="19"/>
  <c r="A22340" i="19"/>
  <c r="A22339" i="19"/>
  <c r="A22338" i="19"/>
  <c r="A22337" i="19"/>
  <c r="A22336" i="19"/>
  <c r="A22335" i="19"/>
  <c r="A22334" i="19"/>
  <c r="A22333" i="19"/>
  <c r="A22332" i="19"/>
  <c r="A22331" i="19"/>
  <c r="A22330" i="19"/>
  <c r="A22329" i="19"/>
  <c r="A22328" i="19"/>
  <c r="A22327" i="19"/>
  <c r="A22326" i="19"/>
  <c r="A22325" i="19"/>
  <c r="A22324" i="19"/>
  <c r="A22323" i="19"/>
  <c r="A22322" i="19"/>
  <c r="A22321" i="19"/>
  <c r="A22320" i="19"/>
  <c r="A22319" i="19"/>
  <c r="A22318" i="19"/>
  <c r="A22317" i="19"/>
  <c r="A22316" i="19"/>
  <c r="A22315" i="19"/>
  <c r="A22314" i="19"/>
  <c r="A22313" i="19"/>
  <c r="A22312" i="19"/>
  <c r="A22311" i="19"/>
  <c r="A22310" i="19"/>
  <c r="A22309" i="19"/>
  <c r="A22308" i="19"/>
  <c r="A22307" i="19"/>
  <c r="A22306" i="19"/>
  <c r="A22305" i="19"/>
  <c r="A22304" i="19"/>
  <c r="A22303" i="19"/>
  <c r="A22302" i="19"/>
  <c r="A22301" i="19"/>
  <c r="A22300" i="19"/>
  <c r="A22299" i="19"/>
  <c r="A22298" i="19"/>
  <c r="A22297" i="19"/>
  <c r="A22296" i="19"/>
  <c r="A22295" i="19"/>
  <c r="A22294" i="19"/>
  <c r="A22293" i="19"/>
  <c r="A22292" i="19"/>
  <c r="A22291" i="19"/>
  <c r="A22290" i="19"/>
  <c r="A22289" i="19"/>
  <c r="A22288" i="19"/>
  <c r="A22287" i="19"/>
  <c r="A22286" i="19"/>
  <c r="A22285" i="19"/>
  <c r="A22284" i="19"/>
  <c r="A22283" i="19"/>
  <c r="A22282" i="19"/>
  <c r="A22281" i="19"/>
  <c r="A22280" i="19"/>
  <c r="A22279" i="19"/>
  <c r="A22278" i="19"/>
  <c r="A22277" i="19"/>
  <c r="A22276" i="19"/>
  <c r="A22275" i="19"/>
  <c r="A22274" i="19"/>
  <c r="A22273" i="19"/>
  <c r="A22272" i="19"/>
  <c r="A22271" i="19"/>
  <c r="A22270" i="19"/>
  <c r="A22269" i="19"/>
  <c r="A22268" i="19"/>
  <c r="A22267" i="19"/>
  <c r="A22266" i="19"/>
  <c r="A22265" i="19"/>
  <c r="A22264" i="19"/>
  <c r="A22263" i="19"/>
  <c r="A22262" i="19"/>
  <c r="A22261" i="19"/>
  <c r="A22260" i="19"/>
  <c r="A22259" i="19"/>
  <c r="A22258" i="19"/>
  <c r="A22257" i="19"/>
  <c r="A22256" i="19"/>
  <c r="A22255" i="19"/>
  <c r="A22254" i="19"/>
  <c r="A22253" i="19"/>
  <c r="A22252" i="19"/>
  <c r="A22251" i="19"/>
  <c r="A22250" i="19"/>
  <c r="A22249" i="19"/>
  <c r="A22248" i="19"/>
  <c r="A22247" i="19"/>
  <c r="A22246" i="19"/>
  <c r="A22245" i="19"/>
  <c r="A22244" i="19"/>
  <c r="A22243" i="19"/>
  <c r="A22242" i="19"/>
  <c r="A22241" i="19"/>
  <c r="A22240" i="19"/>
  <c r="A22239" i="19"/>
  <c r="A22238" i="19"/>
  <c r="A22237" i="19"/>
  <c r="A22236" i="19"/>
  <c r="A22235" i="19"/>
  <c r="A22234" i="19"/>
  <c r="A22233" i="19"/>
  <c r="A22232" i="19"/>
  <c r="A22231" i="19"/>
  <c r="A22230" i="19"/>
  <c r="A22229" i="19"/>
  <c r="A22228" i="19"/>
  <c r="A22227" i="19"/>
  <c r="A22226" i="19"/>
  <c r="A22225" i="19"/>
  <c r="A22224" i="19"/>
  <c r="A22223" i="19"/>
  <c r="A22222" i="19"/>
  <c r="A22221" i="19"/>
  <c r="A22220" i="19"/>
  <c r="A22219" i="19"/>
  <c r="A22218" i="19"/>
  <c r="A22217" i="19"/>
  <c r="A22216" i="19"/>
  <c r="A22215" i="19"/>
  <c r="A22214" i="19"/>
  <c r="A22213" i="19"/>
  <c r="A22212" i="19"/>
  <c r="A22211" i="19"/>
  <c r="A22210" i="19"/>
  <c r="A22209" i="19"/>
  <c r="A22208" i="19"/>
  <c r="A22207" i="19"/>
  <c r="A22206" i="19"/>
  <c r="A22205" i="19"/>
  <c r="A22204" i="19"/>
  <c r="A22203" i="19"/>
  <c r="A22202" i="19"/>
  <c r="A22201" i="19"/>
  <c r="A22200" i="19"/>
  <c r="A22199" i="19"/>
  <c r="A22198" i="19"/>
  <c r="A22197" i="19"/>
  <c r="A22196" i="19"/>
  <c r="A22195" i="19"/>
  <c r="A22194" i="19"/>
  <c r="A22193" i="19"/>
  <c r="A22192" i="19"/>
  <c r="A22191" i="19"/>
  <c r="A22190" i="19"/>
  <c r="A22189" i="19"/>
  <c r="A22188" i="19"/>
  <c r="A22187" i="19"/>
  <c r="A22186" i="19"/>
  <c r="A22185" i="19"/>
  <c r="A22184" i="19"/>
  <c r="A22183" i="19"/>
  <c r="A22182" i="19"/>
  <c r="A22181" i="19"/>
  <c r="A22180" i="19"/>
  <c r="A22179" i="19"/>
  <c r="A22178" i="19"/>
  <c r="A22177" i="19"/>
  <c r="A22176" i="19"/>
  <c r="A22175" i="19"/>
  <c r="A22174" i="19"/>
  <c r="A22173" i="19"/>
  <c r="A22172" i="19"/>
  <c r="A22171" i="19"/>
  <c r="A22170" i="19"/>
  <c r="A22169" i="19"/>
  <c r="A22168" i="19"/>
  <c r="A22167" i="19"/>
  <c r="A22166" i="19"/>
  <c r="A22165" i="19"/>
  <c r="A22164" i="19"/>
  <c r="A22163" i="19"/>
  <c r="A22162" i="19"/>
  <c r="A22161" i="19"/>
  <c r="A22160" i="19"/>
  <c r="A22159" i="19"/>
  <c r="A22158" i="19"/>
  <c r="A22157" i="19"/>
  <c r="A22156" i="19"/>
  <c r="A22155" i="19"/>
  <c r="A22154" i="19"/>
  <c r="A22153" i="19"/>
  <c r="A22152" i="19"/>
  <c r="A22151" i="19"/>
  <c r="A22150" i="19"/>
  <c r="A22149" i="19"/>
  <c r="A22148" i="19"/>
  <c r="A22147" i="19"/>
  <c r="A22146" i="19"/>
  <c r="A22145" i="19"/>
  <c r="A22144" i="19"/>
  <c r="A22143" i="19"/>
  <c r="A22142" i="19"/>
  <c r="A22141" i="19"/>
  <c r="A22140" i="19"/>
  <c r="A22139" i="19"/>
  <c r="A22138" i="19"/>
  <c r="A22137" i="19"/>
  <c r="A22136" i="19"/>
  <c r="A22135" i="19"/>
  <c r="A22134" i="19"/>
  <c r="A22133" i="19"/>
  <c r="A22132" i="19"/>
  <c r="A22131" i="19"/>
  <c r="A22130" i="19"/>
  <c r="A22129" i="19"/>
  <c r="A22128" i="19"/>
  <c r="A22127" i="19"/>
  <c r="A22126" i="19"/>
  <c r="A22125" i="19"/>
  <c r="A22124" i="19"/>
  <c r="A22123" i="19"/>
  <c r="A22122" i="19"/>
  <c r="A22121" i="19"/>
  <c r="A22120" i="19"/>
  <c r="A22119" i="19"/>
  <c r="A22118" i="19"/>
  <c r="A22117" i="19"/>
  <c r="A22116" i="19"/>
  <c r="A22115" i="19"/>
  <c r="A22114" i="19"/>
  <c r="A22113" i="19"/>
  <c r="A22112" i="19"/>
  <c r="A22111" i="19"/>
  <c r="A22110" i="19"/>
  <c r="A22109" i="19"/>
  <c r="A22108" i="19"/>
  <c r="A22107" i="19"/>
  <c r="A22106" i="19"/>
  <c r="A22105" i="19"/>
  <c r="A22104" i="19"/>
  <c r="A22103" i="19"/>
  <c r="A22102" i="19"/>
  <c r="A22101" i="19"/>
  <c r="A22100" i="19"/>
  <c r="A22099" i="19"/>
  <c r="A22098" i="19"/>
  <c r="A22097" i="19"/>
  <c r="A22096" i="19"/>
  <c r="A22095" i="19"/>
  <c r="A22094" i="19"/>
  <c r="A22093" i="19"/>
  <c r="A22092" i="19"/>
  <c r="A22091" i="19"/>
  <c r="A22090" i="19"/>
  <c r="A22089" i="19"/>
  <c r="A22088" i="19"/>
  <c r="A22087" i="19"/>
  <c r="A22086" i="19"/>
  <c r="A22085" i="19"/>
  <c r="A22084" i="19"/>
  <c r="A22083" i="19"/>
  <c r="A22082" i="19"/>
  <c r="A22081" i="19"/>
  <c r="A22080" i="19"/>
  <c r="A22079" i="19"/>
  <c r="A22078" i="19"/>
  <c r="A22077" i="19"/>
  <c r="A22076" i="19"/>
  <c r="A22075" i="19"/>
  <c r="A22074" i="19"/>
  <c r="A22073" i="19"/>
  <c r="A22072" i="19"/>
  <c r="A22071" i="19"/>
  <c r="A22070" i="19"/>
  <c r="A22069" i="19"/>
  <c r="A22068" i="19"/>
  <c r="A22067" i="19"/>
  <c r="A22066" i="19"/>
  <c r="A22065" i="19"/>
  <c r="A22064" i="19"/>
  <c r="A22063" i="19"/>
  <c r="A22062" i="19"/>
  <c r="A22061" i="19"/>
  <c r="A22060" i="19"/>
  <c r="A22059" i="19"/>
  <c r="A22058" i="19"/>
  <c r="A22057" i="19"/>
  <c r="A22056" i="19"/>
  <c r="A22055" i="19"/>
  <c r="A22054" i="19"/>
  <c r="A22053" i="19"/>
  <c r="A22052" i="19"/>
  <c r="A22051" i="19"/>
  <c r="A22050" i="19"/>
  <c r="A22049" i="19"/>
  <c r="A22048" i="19"/>
  <c r="A22047" i="19"/>
  <c r="A22046" i="19"/>
  <c r="A22045" i="19"/>
  <c r="A22044" i="19"/>
  <c r="A22043" i="19"/>
  <c r="A22042" i="19"/>
  <c r="A22041" i="19"/>
  <c r="A22040" i="19"/>
  <c r="A22039" i="19"/>
  <c r="A22038" i="19"/>
  <c r="A22037" i="19"/>
  <c r="A22036" i="19"/>
  <c r="A22035" i="19"/>
  <c r="A22034" i="19"/>
  <c r="A22033" i="19"/>
  <c r="A22032" i="19"/>
  <c r="A22031" i="19"/>
  <c r="A22030" i="19"/>
  <c r="A22029" i="19"/>
  <c r="A22028" i="19"/>
  <c r="A22027" i="19"/>
  <c r="A22026" i="19"/>
  <c r="A22025" i="19"/>
  <c r="A22024" i="19"/>
  <c r="A22023" i="19"/>
  <c r="A22022" i="19"/>
  <c r="A22021" i="19"/>
  <c r="A22020" i="19"/>
  <c r="A22019" i="19"/>
  <c r="A22018" i="19"/>
  <c r="A22017" i="19"/>
  <c r="A22016" i="19"/>
  <c r="A22015" i="19"/>
  <c r="A22014" i="19"/>
  <c r="A22013" i="19"/>
  <c r="A22012" i="19"/>
  <c r="A22011" i="19"/>
  <c r="A22010" i="19"/>
  <c r="A22009" i="19"/>
  <c r="A22008" i="19"/>
  <c r="A22007" i="19"/>
  <c r="A22006" i="19"/>
  <c r="A22005" i="19"/>
  <c r="A22004" i="19"/>
  <c r="A22003" i="19"/>
  <c r="A22002" i="19"/>
  <c r="A22001" i="19"/>
  <c r="A22000" i="19"/>
  <c r="A21999" i="19"/>
  <c r="A21998" i="19"/>
  <c r="A21997" i="19"/>
  <c r="A21996" i="19"/>
  <c r="A21995" i="19"/>
  <c r="A21994" i="19"/>
  <c r="A21993" i="19"/>
  <c r="A21992" i="19"/>
  <c r="A21991" i="19"/>
  <c r="A21990" i="19"/>
  <c r="A21989" i="19"/>
  <c r="A21988" i="19"/>
  <c r="A21987" i="19"/>
  <c r="A21986" i="19"/>
  <c r="A21985" i="19"/>
  <c r="A21984" i="19"/>
  <c r="A21983" i="19"/>
  <c r="A21982" i="19"/>
  <c r="A21981" i="19"/>
  <c r="A21980" i="19"/>
  <c r="A21979" i="19"/>
  <c r="A21978" i="19"/>
  <c r="A21977" i="19"/>
  <c r="A21976" i="19"/>
  <c r="A21975" i="19"/>
  <c r="A21974" i="19"/>
  <c r="A21973" i="19"/>
  <c r="A21972" i="19"/>
  <c r="A21971" i="19"/>
  <c r="A21970" i="19"/>
  <c r="A21969" i="19"/>
  <c r="A21968" i="19"/>
  <c r="A21967" i="19"/>
  <c r="A21966" i="19"/>
  <c r="A21965" i="19"/>
  <c r="A21964" i="19"/>
  <c r="A21963" i="19"/>
  <c r="A21962" i="19"/>
  <c r="A21961" i="19"/>
  <c r="A21960" i="19"/>
  <c r="A21959" i="19"/>
  <c r="A21958" i="19"/>
  <c r="A21957" i="19"/>
  <c r="A21956" i="19"/>
  <c r="A21955" i="19"/>
  <c r="A21954" i="19"/>
  <c r="A21953" i="19"/>
  <c r="A21952" i="19"/>
  <c r="A21951" i="19"/>
  <c r="A21950" i="19"/>
  <c r="A21949" i="19"/>
  <c r="A21948" i="19"/>
  <c r="A21947" i="19"/>
  <c r="A21946" i="19"/>
  <c r="A21945" i="19"/>
  <c r="A21944" i="19"/>
  <c r="A21943" i="19"/>
  <c r="A21942" i="19"/>
  <c r="A21941" i="19"/>
  <c r="A21940" i="19"/>
  <c r="A21939" i="19"/>
  <c r="A21938" i="19"/>
  <c r="A21937" i="19"/>
  <c r="A21936" i="19"/>
  <c r="A21935" i="19"/>
  <c r="A21934" i="19"/>
  <c r="A21933" i="19"/>
  <c r="A21932" i="19"/>
  <c r="A21931" i="19"/>
  <c r="A21930" i="19"/>
  <c r="A21929" i="19"/>
  <c r="A21928" i="19"/>
  <c r="A21927" i="19"/>
  <c r="A21926" i="19"/>
  <c r="A21925" i="19"/>
  <c r="A21924" i="19"/>
  <c r="A21923" i="19"/>
  <c r="A21922" i="19"/>
  <c r="A21921" i="19"/>
  <c r="A21920" i="19"/>
  <c r="A21919" i="19"/>
  <c r="A21918" i="19"/>
  <c r="A21917" i="19"/>
  <c r="A21916" i="19"/>
  <c r="A21915" i="19"/>
  <c r="A21914" i="19"/>
  <c r="A21913" i="19"/>
  <c r="A21912" i="19"/>
  <c r="A21911" i="19"/>
  <c r="A21910" i="19"/>
  <c r="A21909" i="19"/>
  <c r="A21908" i="19"/>
  <c r="A21907" i="19"/>
  <c r="A21906" i="19"/>
  <c r="A21905" i="19"/>
  <c r="A21904" i="19"/>
  <c r="A21903" i="19"/>
  <c r="A21902" i="19"/>
  <c r="A21901" i="19"/>
  <c r="A21900" i="19"/>
  <c r="A21899" i="19"/>
  <c r="A21898" i="19"/>
  <c r="A21897" i="19"/>
  <c r="A21896" i="19"/>
  <c r="A21895" i="19"/>
  <c r="A21894" i="19"/>
  <c r="A21893" i="19"/>
  <c r="A21892" i="19"/>
  <c r="A21891" i="19"/>
  <c r="A21890" i="19"/>
  <c r="A21889" i="19"/>
  <c r="A21888" i="19"/>
  <c r="A21887" i="19"/>
  <c r="A21886" i="19"/>
  <c r="A21885" i="19"/>
  <c r="A21884" i="19"/>
  <c r="A21883" i="19"/>
  <c r="A21882" i="19"/>
  <c r="A21881" i="19"/>
  <c r="A21880" i="19"/>
  <c r="A21879" i="19"/>
  <c r="A21878" i="19"/>
  <c r="A21877" i="19"/>
  <c r="A21876" i="19"/>
  <c r="A21875" i="19"/>
  <c r="A21874" i="19"/>
  <c r="A21873" i="19"/>
  <c r="A21872" i="19"/>
  <c r="A21871" i="19"/>
  <c r="A21870" i="19"/>
  <c r="A21869" i="19"/>
  <c r="A21868" i="19"/>
  <c r="A21867" i="19"/>
  <c r="A21866" i="19"/>
  <c r="A21865" i="19"/>
  <c r="A21864" i="19"/>
  <c r="A21863" i="19"/>
  <c r="A21862" i="19"/>
  <c r="A21861" i="19"/>
  <c r="A21860" i="19"/>
  <c r="A21859" i="19"/>
  <c r="A21858" i="19"/>
  <c r="A21857" i="19"/>
  <c r="A21856" i="19"/>
  <c r="A21855" i="19"/>
  <c r="A21854" i="19"/>
  <c r="A21853" i="19"/>
  <c r="A21852" i="19"/>
  <c r="A21851" i="19"/>
  <c r="A21850" i="19"/>
  <c r="A21849" i="19"/>
  <c r="A21848" i="19"/>
  <c r="A21847" i="19"/>
  <c r="A21846" i="19"/>
  <c r="A21845" i="19"/>
  <c r="A21844" i="19"/>
  <c r="A21843" i="19"/>
  <c r="A21842" i="19"/>
  <c r="A21841" i="19"/>
  <c r="A21840" i="19"/>
  <c r="A21839" i="19"/>
  <c r="A21838" i="19"/>
  <c r="A21837" i="19"/>
  <c r="A21836" i="19"/>
  <c r="A21835" i="19"/>
  <c r="A21834" i="19"/>
  <c r="A21833" i="19"/>
  <c r="A21832" i="19"/>
  <c r="A21831" i="19"/>
  <c r="A21830" i="19"/>
  <c r="A21829" i="19"/>
  <c r="A21828" i="19"/>
  <c r="A21827" i="19"/>
  <c r="A21826" i="19"/>
  <c r="A21825" i="19"/>
  <c r="A21824" i="19"/>
  <c r="A21823" i="19"/>
  <c r="A21822" i="19"/>
  <c r="A21821" i="19"/>
  <c r="A21820" i="19"/>
  <c r="A21819" i="19"/>
  <c r="A21818" i="19"/>
  <c r="A21817" i="19"/>
  <c r="A21816" i="19"/>
  <c r="A21815" i="19"/>
  <c r="A21814" i="19"/>
  <c r="A21813" i="19"/>
  <c r="A21812" i="19"/>
  <c r="A21811" i="19"/>
  <c r="A21810" i="19"/>
  <c r="A21809" i="19"/>
  <c r="A21808" i="19"/>
  <c r="A21807" i="19"/>
  <c r="A21806" i="19"/>
  <c r="A21805" i="19"/>
  <c r="A21804" i="19"/>
  <c r="A21803" i="19"/>
  <c r="A21802" i="19"/>
  <c r="A21801" i="19"/>
  <c r="A21800" i="19"/>
  <c r="A21799" i="19"/>
  <c r="A21798" i="19"/>
  <c r="A21797" i="19"/>
  <c r="A21796" i="19"/>
  <c r="A21795" i="19"/>
  <c r="A21794" i="19"/>
  <c r="A21793" i="19"/>
  <c r="A21792" i="19"/>
  <c r="A21791" i="19"/>
  <c r="A21790" i="19"/>
  <c r="A21789" i="19"/>
  <c r="A21788" i="19"/>
  <c r="A21787" i="19"/>
  <c r="A21786" i="19"/>
  <c r="A21785" i="19"/>
  <c r="A21784" i="19"/>
  <c r="A21783" i="19"/>
  <c r="A21782" i="19"/>
  <c r="A21781" i="19"/>
  <c r="A21780" i="19"/>
  <c r="A21779" i="19"/>
  <c r="A21778" i="19"/>
  <c r="A21777" i="19"/>
  <c r="A21776" i="19"/>
  <c r="A21775" i="19"/>
  <c r="A21774" i="19"/>
  <c r="A21773" i="19"/>
  <c r="A21772" i="19"/>
  <c r="A21771" i="19"/>
  <c r="A21770" i="19"/>
  <c r="A21769" i="19"/>
  <c r="A21768" i="19"/>
  <c r="A21767" i="19"/>
  <c r="A21766" i="19"/>
  <c r="A21765" i="19"/>
  <c r="A21764" i="19"/>
  <c r="A21763" i="19"/>
  <c r="A21762" i="19"/>
  <c r="A21761" i="19"/>
  <c r="A21760" i="19"/>
  <c r="A21759" i="19"/>
  <c r="A21758" i="19"/>
  <c r="A21757" i="19"/>
  <c r="A21756" i="19"/>
  <c r="A21755" i="19"/>
  <c r="A21754" i="19"/>
  <c r="A21753" i="19"/>
  <c r="A21752" i="19"/>
  <c r="A21751" i="19"/>
  <c r="A21750" i="19"/>
  <c r="A21749" i="19"/>
  <c r="A21748" i="19"/>
  <c r="A21747" i="19"/>
  <c r="A21746" i="19"/>
  <c r="A21745" i="19"/>
  <c r="A21744" i="19"/>
  <c r="A21743" i="19"/>
  <c r="A21742" i="19"/>
  <c r="A21741" i="19"/>
  <c r="A21740" i="19"/>
  <c r="A21739" i="19"/>
  <c r="A21738" i="19"/>
  <c r="A21737" i="19"/>
  <c r="A21736" i="19"/>
  <c r="A21735" i="19"/>
  <c r="A21734" i="19"/>
  <c r="A21733" i="19"/>
  <c r="A21732" i="19"/>
  <c r="A21731" i="19"/>
  <c r="A21730" i="19"/>
  <c r="A21729" i="19"/>
  <c r="A21728" i="19"/>
  <c r="A21727" i="19"/>
  <c r="A21726" i="19"/>
  <c r="A21725" i="19"/>
  <c r="A21724" i="19"/>
  <c r="A21723" i="19"/>
  <c r="A21722" i="19"/>
  <c r="A21721" i="19"/>
  <c r="A21720" i="19"/>
  <c r="A21719" i="19"/>
  <c r="A21718" i="19"/>
  <c r="A21717" i="19"/>
  <c r="A21716" i="19"/>
  <c r="A21715" i="19"/>
  <c r="A21714" i="19"/>
  <c r="A21713" i="19"/>
  <c r="A21712" i="19"/>
  <c r="A21711" i="19"/>
  <c r="A21710" i="19"/>
  <c r="A21709" i="19"/>
  <c r="A21708" i="19"/>
  <c r="A21707" i="19"/>
  <c r="A21706" i="19"/>
  <c r="A21705" i="19"/>
  <c r="A21704" i="19"/>
  <c r="A21703" i="19"/>
  <c r="A21702" i="19"/>
  <c r="A21701" i="19"/>
  <c r="A21700" i="19"/>
  <c r="A21699" i="19"/>
  <c r="A21698" i="19"/>
  <c r="A21697" i="19"/>
  <c r="A21696" i="19"/>
  <c r="A21695" i="19"/>
  <c r="A21694" i="19"/>
  <c r="A21693" i="19"/>
  <c r="A21692" i="19"/>
  <c r="A21691" i="19"/>
  <c r="A21690" i="19"/>
  <c r="A21689" i="19"/>
  <c r="A21688" i="19"/>
  <c r="A21687" i="19"/>
  <c r="A21686" i="19"/>
  <c r="A21685" i="19"/>
  <c r="A21684" i="19"/>
  <c r="A21683" i="19"/>
  <c r="A21682" i="19"/>
  <c r="A21681" i="19"/>
  <c r="A21680" i="19"/>
  <c r="A21679" i="19"/>
  <c r="A21678" i="19"/>
  <c r="A21677" i="19"/>
  <c r="A21676" i="19"/>
  <c r="A21675" i="19"/>
  <c r="A21674" i="19"/>
  <c r="A21673" i="19"/>
  <c r="A21672" i="19"/>
  <c r="A21671" i="19"/>
  <c r="A21670" i="19"/>
  <c r="A21669" i="19"/>
  <c r="A21668" i="19"/>
  <c r="A21667" i="19"/>
  <c r="A21666" i="19"/>
  <c r="A21665" i="19"/>
  <c r="A21664" i="19"/>
  <c r="A21663" i="19"/>
  <c r="A21662" i="19"/>
  <c r="A21661" i="19"/>
  <c r="A21660" i="19"/>
  <c r="A21659" i="19"/>
  <c r="A21658" i="19"/>
  <c r="A21657" i="19"/>
  <c r="A21656" i="19"/>
  <c r="A21655" i="19"/>
  <c r="A21654" i="19"/>
  <c r="A21653" i="19"/>
  <c r="A21652" i="19"/>
  <c r="A21651" i="19"/>
  <c r="A21650" i="19"/>
  <c r="A21649" i="19"/>
  <c r="A21648" i="19"/>
  <c r="A21647" i="19"/>
  <c r="A21646" i="19"/>
  <c r="A21645" i="19"/>
  <c r="A21644" i="19"/>
  <c r="A21643" i="19"/>
  <c r="A21642" i="19"/>
  <c r="A21641" i="19"/>
  <c r="A21640" i="19"/>
  <c r="A21639" i="19"/>
  <c r="A21638" i="19"/>
  <c r="A21637" i="19"/>
  <c r="A21636" i="19"/>
  <c r="A21635" i="19"/>
  <c r="A21634" i="19"/>
  <c r="A21633" i="19"/>
  <c r="A21632" i="19"/>
  <c r="A21631" i="19"/>
  <c r="A21630" i="19"/>
  <c r="A21629" i="19"/>
  <c r="A21628" i="19"/>
  <c r="A21627" i="19"/>
  <c r="A21626" i="19"/>
  <c r="A21625" i="19"/>
  <c r="A21624" i="19"/>
  <c r="A21623" i="19"/>
  <c r="A21622" i="19"/>
  <c r="A21621" i="19"/>
  <c r="A21620" i="19"/>
  <c r="A21619" i="19"/>
  <c r="A21618" i="19"/>
  <c r="A21617" i="19"/>
  <c r="A21616" i="19"/>
  <c r="A21615" i="19"/>
  <c r="A21614" i="19"/>
  <c r="A21613" i="19"/>
  <c r="A21612" i="19"/>
  <c r="A21611" i="19"/>
  <c r="A21610" i="19"/>
  <c r="A21609" i="19"/>
  <c r="A21608" i="19"/>
  <c r="A21607" i="19"/>
  <c r="A21606" i="19"/>
  <c r="A21605" i="19"/>
  <c r="A21604" i="19"/>
  <c r="A21603" i="19"/>
  <c r="A21602" i="19"/>
  <c r="A21601" i="19"/>
  <c r="A21600" i="19"/>
  <c r="A21599" i="19"/>
  <c r="A21598" i="19"/>
  <c r="A21597" i="19"/>
  <c r="A21596" i="19"/>
  <c r="A21595" i="19"/>
  <c r="A21594" i="19"/>
  <c r="A21593" i="19"/>
  <c r="A21592" i="19"/>
  <c r="A21591" i="19"/>
  <c r="A21590" i="19"/>
  <c r="A21589" i="19"/>
  <c r="A21588" i="19"/>
  <c r="A21587" i="19"/>
  <c r="A21586" i="19"/>
  <c r="A21585" i="19"/>
  <c r="A21584" i="19"/>
  <c r="A21583" i="19"/>
  <c r="A21582" i="19"/>
  <c r="A21581" i="19"/>
  <c r="A21580" i="19"/>
  <c r="A21579" i="19"/>
  <c r="A21578" i="19"/>
  <c r="A21577" i="19"/>
  <c r="A21576" i="19"/>
  <c r="A21575" i="19"/>
  <c r="A21574" i="19"/>
  <c r="A21573" i="19"/>
  <c r="A21572" i="19"/>
  <c r="A21571" i="19"/>
  <c r="A21570" i="19"/>
  <c r="A21569" i="19"/>
  <c r="A21568" i="19"/>
  <c r="A21567" i="19"/>
  <c r="A21566" i="19"/>
  <c r="A21565" i="19"/>
  <c r="A21564" i="19"/>
  <c r="A21563" i="19"/>
  <c r="A21562" i="19"/>
  <c r="A21561" i="19"/>
  <c r="A21560" i="19"/>
  <c r="A21559" i="19"/>
  <c r="A21558" i="19"/>
  <c r="A21557" i="19"/>
  <c r="A21556" i="19"/>
  <c r="A21555" i="19"/>
  <c r="A21554" i="19"/>
  <c r="A21553" i="19"/>
  <c r="A21552" i="19"/>
  <c r="A21551" i="19"/>
  <c r="A21550" i="19"/>
  <c r="A21549" i="19"/>
  <c r="A21548" i="19"/>
  <c r="A21547" i="19"/>
  <c r="A21546" i="19"/>
  <c r="A21545" i="19"/>
  <c r="A21544" i="19"/>
  <c r="A21543" i="19"/>
  <c r="A21542" i="19"/>
  <c r="A21541" i="19"/>
  <c r="A21540" i="19"/>
  <c r="A21539" i="19"/>
  <c r="A21538" i="19"/>
  <c r="A21537" i="19"/>
  <c r="A21536" i="19"/>
  <c r="A21535" i="19"/>
  <c r="A21534" i="19"/>
  <c r="A21533" i="19"/>
  <c r="A21532" i="19"/>
  <c r="A21531" i="19"/>
  <c r="A21530" i="19"/>
  <c r="A21529" i="19"/>
  <c r="A21528" i="19"/>
  <c r="A21527" i="19"/>
  <c r="A21526" i="19"/>
  <c r="A21525" i="19"/>
  <c r="A21524" i="19"/>
  <c r="A21523" i="19"/>
  <c r="A21522" i="19"/>
  <c r="A21521" i="19"/>
  <c r="A21520" i="19"/>
  <c r="A21519" i="19"/>
  <c r="A21518" i="19"/>
  <c r="A21517" i="19"/>
  <c r="A21516" i="19"/>
  <c r="A21515" i="19"/>
  <c r="A21514" i="19"/>
  <c r="A21513" i="19"/>
  <c r="A21512" i="19"/>
  <c r="A21511" i="19"/>
  <c r="A21510" i="19"/>
  <c r="A21509" i="19"/>
  <c r="A21508" i="19"/>
  <c r="A21507" i="19"/>
  <c r="A21506" i="19"/>
  <c r="A21505" i="19"/>
  <c r="A21504" i="19"/>
  <c r="A21503" i="19"/>
  <c r="A21502" i="19"/>
  <c r="A21501" i="19"/>
  <c r="A21500" i="19"/>
  <c r="A21499" i="19"/>
  <c r="A21498" i="19"/>
  <c r="A21497" i="19"/>
  <c r="A21496" i="19"/>
  <c r="A21495" i="19"/>
  <c r="A21494" i="19"/>
  <c r="A21493" i="19"/>
  <c r="A21492" i="19"/>
  <c r="A21491" i="19"/>
  <c r="A21490" i="19"/>
  <c r="A21489" i="19"/>
  <c r="A21488" i="19"/>
  <c r="A21487" i="19"/>
  <c r="A21486" i="19"/>
  <c r="A21485" i="19"/>
  <c r="A21484" i="19"/>
  <c r="A21483" i="19"/>
  <c r="A21482" i="19"/>
  <c r="A21481" i="19"/>
  <c r="A21480" i="19"/>
  <c r="A21479" i="19"/>
  <c r="A21478" i="19"/>
  <c r="A21477" i="19"/>
  <c r="A21476" i="19"/>
  <c r="A21475" i="19"/>
  <c r="A21474" i="19"/>
  <c r="A21473" i="19"/>
  <c r="A21472" i="19"/>
  <c r="A21471" i="19"/>
  <c r="A21470" i="19"/>
  <c r="A21469" i="19"/>
  <c r="A21468" i="19"/>
  <c r="A21467" i="19"/>
  <c r="A21466" i="19"/>
  <c r="A21465" i="19"/>
  <c r="A21464" i="19"/>
  <c r="A21463" i="19"/>
  <c r="A21462" i="19"/>
  <c r="A21461" i="19"/>
  <c r="A21460" i="19"/>
  <c r="A21459" i="19"/>
  <c r="A21458" i="19"/>
  <c r="A21457" i="19"/>
  <c r="A21456" i="19"/>
  <c r="A21455" i="19"/>
  <c r="A21454" i="19"/>
  <c r="A21453" i="19"/>
  <c r="A21452" i="19"/>
  <c r="A21451" i="19"/>
  <c r="A21450" i="19"/>
  <c r="A21449" i="19"/>
  <c r="A21448" i="19"/>
  <c r="A21447" i="19"/>
  <c r="A21446" i="19"/>
  <c r="A21445" i="19"/>
  <c r="A21444" i="19"/>
  <c r="A21443" i="19"/>
  <c r="A21442" i="19"/>
  <c r="A21441" i="19"/>
  <c r="A21440" i="19"/>
  <c r="A21439" i="19"/>
  <c r="A21438" i="19"/>
  <c r="A21437" i="19"/>
  <c r="A21436" i="19"/>
  <c r="A21435" i="19"/>
  <c r="A21434" i="19"/>
  <c r="A21433" i="19"/>
  <c r="A21432" i="19"/>
  <c r="A21431" i="19"/>
  <c r="A21430" i="19"/>
  <c r="A21429" i="19"/>
  <c r="A21428" i="19"/>
  <c r="A21427" i="19"/>
  <c r="A21426" i="19"/>
  <c r="A21425" i="19"/>
  <c r="A21424" i="19"/>
  <c r="A21423" i="19"/>
  <c r="A21422" i="19"/>
  <c r="A21421" i="19"/>
  <c r="A21420" i="19"/>
  <c r="A21419" i="19"/>
  <c r="A21418" i="19"/>
  <c r="A21417" i="19"/>
  <c r="A21416" i="19"/>
  <c r="A21415" i="19"/>
  <c r="A21414" i="19"/>
  <c r="A21413" i="19"/>
  <c r="A21412" i="19"/>
  <c r="A21411" i="19"/>
  <c r="A21410" i="19"/>
  <c r="A21409" i="19"/>
  <c r="A21408" i="19"/>
  <c r="A21407" i="19"/>
  <c r="A21406" i="19"/>
  <c r="A21405" i="19"/>
  <c r="A21404" i="19"/>
  <c r="A21403" i="19"/>
  <c r="A21402" i="19"/>
  <c r="A21401" i="19"/>
  <c r="A21400" i="19"/>
  <c r="A21399" i="19"/>
  <c r="A21398" i="19"/>
  <c r="A21397" i="19"/>
  <c r="A21396" i="19"/>
  <c r="A21395" i="19"/>
  <c r="A21394" i="19"/>
  <c r="A21393" i="19"/>
  <c r="A21392" i="19"/>
  <c r="A21391" i="19"/>
  <c r="A21390" i="19"/>
  <c r="A21389" i="19"/>
  <c r="A21388" i="19"/>
  <c r="A21387" i="19"/>
  <c r="A21386" i="19"/>
  <c r="A21385" i="19"/>
  <c r="A21384" i="19"/>
  <c r="A21383" i="19"/>
  <c r="A21382" i="19"/>
  <c r="A21381" i="19"/>
  <c r="A21380" i="19"/>
  <c r="A21379" i="19"/>
  <c r="A21378" i="19"/>
  <c r="A21377" i="19"/>
  <c r="A21376" i="19"/>
  <c r="A21375" i="19"/>
  <c r="A21374" i="19"/>
  <c r="A21373" i="19"/>
  <c r="A21372" i="19"/>
  <c r="A21371" i="19"/>
  <c r="A21370" i="19"/>
  <c r="A21369" i="19"/>
  <c r="A21368" i="19"/>
  <c r="A21367" i="19"/>
  <c r="A21366" i="19"/>
  <c r="A21365" i="19"/>
  <c r="A21364" i="19"/>
  <c r="A21363" i="19"/>
  <c r="A21362" i="19"/>
  <c r="A21361" i="19"/>
  <c r="A21360" i="19"/>
  <c r="A21359" i="19"/>
  <c r="A21358" i="19"/>
  <c r="A21357" i="19"/>
  <c r="A21356" i="19"/>
  <c r="A21355" i="19"/>
  <c r="A21354" i="19"/>
  <c r="A21353" i="19"/>
  <c r="A21352" i="19"/>
  <c r="A21351" i="19"/>
  <c r="A21350" i="19"/>
  <c r="A21349" i="19"/>
  <c r="A21348" i="19"/>
  <c r="A21347" i="19"/>
  <c r="A21346" i="19"/>
  <c r="A21345" i="19"/>
  <c r="A21344" i="19"/>
  <c r="A21343" i="19"/>
  <c r="A21342" i="19"/>
  <c r="A21341" i="19"/>
  <c r="A21340" i="19"/>
  <c r="A21339" i="19"/>
  <c r="A21338" i="19"/>
  <c r="A21337" i="19"/>
  <c r="A21336" i="19"/>
  <c r="A21335" i="19"/>
  <c r="A21334" i="19"/>
  <c r="A21333" i="19"/>
  <c r="A21332" i="19"/>
  <c r="A21331" i="19"/>
  <c r="A21330" i="19"/>
  <c r="A21329" i="19"/>
  <c r="A21328" i="19"/>
  <c r="A21327" i="19"/>
  <c r="A21326" i="19"/>
  <c r="A21325" i="19"/>
  <c r="A21324" i="19"/>
  <c r="A21323" i="19"/>
  <c r="A21322" i="19"/>
  <c r="A21321" i="19"/>
  <c r="A21320" i="19"/>
  <c r="A21319" i="19"/>
  <c r="A21318" i="19"/>
  <c r="A21317" i="19"/>
  <c r="A21316" i="19"/>
  <c r="A21315" i="19"/>
  <c r="A21314" i="19"/>
  <c r="A21313" i="19"/>
  <c r="A21312" i="19"/>
  <c r="A21311" i="19"/>
  <c r="A21310" i="19"/>
  <c r="A21309" i="19"/>
  <c r="A21308" i="19"/>
  <c r="A21307" i="19"/>
  <c r="A21306" i="19"/>
  <c r="A21305" i="19"/>
  <c r="A21304" i="19"/>
  <c r="A21303" i="19"/>
  <c r="A21302" i="19"/>
  <c r="A21301" i="19"/>
  <c r="A21300" i="19"/>
  <c r="A21299" i="19"/>
  <c r="A21298" i="19"/>
  <c r="A21297" i="19"/>
  <c r="A21296" i="19"/>
  <c r="A21295" i="19"/>
  <c r="A21294" i="19"/>
  <c r="A21293" i="19"/>
  <c r="A21292" i="19"/>
  <c r="A21291" i="19"/>
  <c r="A21290" i="19"/>
  <c r="A21289" i="19"/>
  <c r="A21288" i="19"/>
  <c r="A21287" i="19"/>
  <c r="A21286" i="19"/>
  <c r="A21285" i="19"/>
  <c r="A21284" i="19"/>
  <c r="A21283" i="19"/>
  <c r="A21282" i="19"/>
  <c r="A21281" i="19"/>
  <c r="A21280" i="19"/>
  <c r="A21279" i="19"/>
  <c r="A21278" i="19"/>
  <c r="A21277" i="19"/>
  <c r="A21276" i="19"/>
  <c r="A21275" i="19"/>
  <c r="A21274" i="19"/>
  <c r="A21273" i="19"/>
  <c r="A21272" i="19"/>
  <c r="A21271" i="19"/>
  <c r="A21270" i="19"/>
  <c r="A21269" i="19"/>
  <c r="A21268" i="19"/>
  <c r="A21267" i="19"/>
  <c r="A21266" i="19"/>
  <c r="A21265" i="19"/>
  <c r="A21264" i="19"/>
  <c r="A21263" i="19"/>
  <c r="A21262" i="19"/>
  <c r="A21261" i="19"/>
  <c r="A21260" i="19"/>
  <c r="A21259" i="19"/>
  <c r="A21258" i="19"/>
  <c r="A21257" i="19"/>
  <c r="A21256" i="19"/>
  <c r="A21255" i="19"/>
  <c r="A21254" i="19"/>
  <c r="A21253" i="19"/>
  <c r="A21252" i="19"/>
  <c r="A21251" i="19"/>
  <c r="A21250" i="19"/>
  <c r="A21249" i="19"/>
  <c r="A21248" i="19"/>
  <c r="A21247" i="19"/>
  <c r="A21246" i="19"/>
  <c r="A21245" i="19"/>
  <c r="A21244" i="19"/>
  <c r="A21243" i="19"/>
  <c r="A21242" i="19"/>
  <c r="A21241" i="19"/>
  <c r="A21240" i="19"/>
  <c r="A21239" i="19"/>
  <c r="A21238" i="19"/>
  <c r="A21237" i="19"/>
  <c r="A21236" i="19"/>
  <c r="A21235" i="19"/>
  <c r="A21234" i="19"/>
  <c r="A21233" i="19"/>
  <c r="A21232" i="19"/>
  <c r="A21231" i="19"/>
  <c r="A21230" i="19"/>
  <c r="A21229" i="19"/>
  <c r="A21228" i="19"/>
  <c r="A21227" i="19"/>
  <c r="A21226" i="19"/>
  <c r="A21225" i="19"/>
  <c r="A21224" i="19"/>
  <c r="A21223" i="19"/>
  <c r="A21222" i="19"/>
  <c r="A21221" i="19"/>
  <c r="A21220" i="19"/>
  <c r="A21219" i="19"/>
  <c r="A21218" i="19"/>
  <c r="A21217" i="19"/>
  <c r="A21216" i="19"/>
  <c r="A21215" i="19"/>
  <c r="A21214" i="19"/>
  <c r="A21213" i="19"/>
  <c r="A21212" i="19"/>
  <c r="A21211" i="19"/>
  <c r="A21210" i="19"/>
  <c r="A21209" i="19"/>
  <c r="A21208" i="19"/>
  <c r="A21207" i="19"/>
  <c r="A21206" i="19"/>
  <c r="A21205" i="19"/>
  <c r="A21204" i="19"/>
  <c r="A21203" i="19"/>
  <c r="A21202" i="19"/>
  <c r="A21201" i="19"/>
  <c r="A21200" i="19"/>
  <c r="A21199" i="19"/>
  <c r="A21198" i="19"/>
  <c r="A21197" i="19"/>
  <c r="A21196" i="19"/>
  <c r="A21195" i="19"/>
  <c r="A21194" i="19"/>
  <c r="A21193" i="19"/>
  <c r="A21192" i="19"/>
  <c r="A21191" i="19"/>
  <c r="A21190" i="19"/>
  <c r="A21189" i="19"/>
  <c r="A21188" i="19"/>
  <c r="A21187" i="19"/>
  <c r="A21186" i="19"/>
  <c r="A21185" i="19"/>
  <c r="A21184" i="19"/>
  <c r="A21183" i="19"/>
  <c r="A21182" i="19"/>
  <c r="A21181" i="19"/>
  <c r="A21180" i="19"/>
  <c r="A21179" i="19"/>
  <c r="A21178" i="19"/>
  <c r="A21177" i="19"/>
  <c r="A21176" i="19"/>
  <c r="A21175" i="19"/>
  <c r="A21174" i="19"/>
  <c r="A21173" i="19"/>
  <c r="A21172" i="19"/>
  <c r="A21171" i="19"/>
  <c r="A21170" i="19"/>
  <c r="A21169" i="19"/>
  <c r="A21168" i="19"/>
  <c r="A21167" i="19"/>
  <c r="A21166" i="19"/>
  <c r="A21165" i="19"/>
  <c r="A21164" i="19"/>
  <c r="A21163" i="19"/>
  <c r="A21162" i="19"/>
  <c r="A21161" i="19"/>
  <c r="A21160" i="19"/>
  <c r="A21159" i="19"/>
  <c r="A21158" i="19"/>
  <c r="A21157" i="19"/>
  <c r="A21156" i="19"/>
  <c r="A21155" i="19"/>
  <c r="A21154" i="19"/>
  <c r="A21153" i="19"/>
  <c r="A21152" i="19"/>
  <c r="A21151" i="19"/>
  <c r="A21150" i="19"/>
  <c r="A21149" i="19"/>
  <c r="A21148" i="19"/>
  <c r="A21147" i="19"/>
  <c r="A21146" i="19"/>
  <c r="A21145" i="19"/>
  <c r="A21144" i="19"/>
  <c r="A21143" i="19"/>
  <c r="A21142" i="19"/>
  <c r="A21141" i="19"/>
  <c r="A21140" i="19"/>
  <c r="A21139" i="19"/>
  <c r="A21138" i="19"/>
  <c r="A21137" i="19"/>
  <c r="A21136" i="19"/>
  <c r="A21135" i="19"/>
  <c r="A21134" i="19"/>
  <c r="A21133" i="19"/>
  <c r="A21132" i="19"/>
  <c r="A21131" i="19"/>
  <c r="A21130" i="19"/>
  <c r="A21129" i="19"/>
  <c r="A21128" i="19"/>
  <c r="A21127" i="19"/>
  <c r="A21126" i="19"/>
  <c r="A21125" i="19"/>
  <c r="A21124" i="19"/>
  <c r="A21123" i="19"/>
  <c r="A21122" i="19"/>
  <c r="A21121" i="19"/>
  <c r="A21120" i="19"/>
  <c r="A21119" i="19"/>
  <c r="A21118" i="19"/>
  <c r="A21117" i="19"/>
  <c r="A21116" i="19"/>
  <c r="A21115" i="19"/>
  <c r="A21114" i="19"/>
  <c r="A21113" i="19"/>
  <c r="A21112" i="19"/>
  <c r="A21111" i="19"/>
  <c r="A21110" i="19"/>
  <c r="A21109" i="19"/>
  <c r="A21108" i="19"/>
  <c r="A21107" i="19"/>
  <c r="A21106" i="19"/>
  <c r="A21105" i="19"/>
  <c r="A21104" i="19"/>
  <c r="A21103" i="19"/>
  <c r="A21102" i="19"/>
  <c r="A21101" i="19"/>
  <c r="A21100" i="19"/>
  <c r="A21099" i="19"/>
  <c r="A21098" i="19"/>
  <c r="A21097" i="19"/>
  <c r="A21096" i="19"/>
  <c r="A21095" i="19"/>
  <c r="A21094" i="19"/>
  <c r="A21093" i="19"/>
  <c r="A21092" i="19"/>
  <c r="A21091" i="19"/>
  <c r="A21090" i="19"/>
  <c r="A21089" i="19"/>
  <c r="A21088" i="19"/>
  <c r="A21087" i="19"/>
  <c r="A21086" i="19"/>
  <c r="A21085" i="19"/>
  <c r="A21084" i="19"/>
  <c r="A21083" i="19"/>
  <c r="A21082" i="19"/>
  <c r="A21081" i="19"/>
  <c r="A21080" i="19"/>
  <c r="A21079" i="19"/>
  <c r="A21078" i="19"/>
  <c r="A21077" i="19"/>
  <c r="A21076" i="19"/>
  <c r="A21075" i="19"/>
  <c r="A21074" i="19"/>
  <c r="A21073" i="19"/>
  <c r="A21072" i="19"/>
  <c r="A21071" i="19"/>
  <c r="A21070" i="19"/>
  <c r="A21069" i="19"/>
  <c r="A21068" i="19"/>
  <c r="A21067" i="19"/>
  <c r="A21066" i="19"/>
  <c r="A21065" i="19"/>
  <c r="A21064" i="19"/>
  <c r="A21063" i="19"/>
  <c r="A21062" i="19"/>
  <c r="A21061" i="19"/>
  <c r="A21060" i="19"/>
  <c r="A21059" i="19"/>
  <c r="A21058" i="19"/>
  <c r="A21057" i="19"/>
  <c r="A21056" i="19"/>
  <c r="A21055" i="19"/>
  <c r="A21054" i="19"/>
  <c r="A21053" i="19"/>
  <c r="A21052" i="19"/>
  <c r="A21051" i="19"/>
  <c r="A21050" i="19"/>
  <c r="A21049" i="19"/>
  <c r="A21048" i="19"/>
  <c r="A21047" i="19"/>
  <c r="A21046" i="19"/>
  <c r="A21045" i="19"/>
  <c r="A21044" i="19"/>
  <c r="A21043" i="19"/>
  <c r="A21042" i="19"/>
  <c r="A21041" i="19"/>
  <c r="A21040" i="19"/>
  <c r="A21039" i="19"/>
  <c r="A21038" i="19"/>
  <c r="A21037" i="19"/>
  <c r="A21036" i="19"/>
  <c r="A21035" i="19"/>
  <c r="A21034" i="19"/>
  <c r="A21033" i="19"/>
  <c r="A21032" i="19"/>
  <c r="A21031" i="19"/>
  <c r="A21030" i="19"/>
  <c r="A21029" i="19"/>
  <c r="A21028" i="19"/>
  <c r="A21027" i="19"/>
  <c r="A21026" i="19"/>
  <c r="A21025" i="19"/>
  <c r="A21024" i="19"/>
  <c r="A21023" i="19"/>
  <c r="A21022" i="19"/>
  <c r="A21021" i="19"/>
  <c r="A21020" i="19"/>
  <c r="A21019" i="19"/>
  <c r="A21018" i="19"/>
  <c r="A21017" i="19"/>
  <c r="A21016" i="19"/>
  <c r="A21015" i="19"/>
  <c r="A21014" i="19"/>
  <c r="A21013" i="19"/>
  <c r="A21012" i="19"/>
  <c r="A21011" i="19"/>
  <c r="A21010" i="19"/>
  <c r="A21009" i="19"/>
  <c r="A21008" i="19"/>
  <c r="A21007" i="19"/>
  <c r="A21006" i="19"/>
  <c r="A21005" i="19"/>
  <c r="A21004" i="19"/>
  <c r="A21003" i="19"/>
  <c r="A21002" i="19"/>
  <c r="A21001" i="19"/>
  <c r="A21000" i="19"/>
  <c r="A20999" i="19"/>
  <c r="A20998" i="19"/>
  <c r="A20997" i="19"/>
  <c r="A20996" i="19"/>
  <c r="A20995" i="19"/>
  <c r="A20994" i="19"/>
  <c r="A20993" i="19"/>
  <c r="A20992" i="19"/>
  <c r="A20991" i="19"/>
  <c r="A20990" i="19"/>
  <c r="A20989" i="19"/>
  <c r="A20988" i="19"/>
  <c r="A20987" i="19"/>
  <c r="A20986" i="19"/>
  <c r="A20985" i="19"/>
  <c r="A20984" i="19"/>
  <c r="A20983" i="19"/>
  <c r="A20982" i="19"/>
  <c r="A20981" i="19"/>
  <c r="A20980" i="19"/>
  <c r="A20979" i="19"/>
  <c r="A20978" i="19"/>
  <c r="A20977" i="19"/>
  <c r="A20976" i="19"/>
  <c r="A20975" i="19"/>
  <c r="A20974" i="19"/>
  <c r="A20973" i="19"/>
  <c r="A20972" i="19"/>
  <c r="A20971" i="19"/>
  <c r="A20970" i="19"/>
  <c r="A20969" i="19"/>
  <c r="A20968" i="19"/>
  <c r="A20967" i="19"/>
  <c r="A20966" i="19"/>
  <c r="A20965" i="19"/>
  <c r="A20964" i="19"/>
  <c r="A20963" i="19"/>
  <c r="A20962" i="19"/>
  <c r="A20961" i="19"/>
  <c r="A20960" i="19"/>
  <c r="A20959" i="19"/>
  <c r="A20958" i="19"/>
  <c r="A20957" i="19"/>
  <c r="A20956" i="19"/>
  <c r="A20955" i="19"/>
  <c r="A20954" i="19"/>
  <c r="A20953" i="19"/>
  <c r="A20952" i="19"/>
  <c r="A20951" i="19"/>
  <c r="A20950" i="19"/>
  <c r="A20949" i="19"/>
  <c r="A20948" i="19"/>
  <c r="A20947" i="19"/>
  <c r="A20946" i="19"/>
  <c r="A20945" i="19"/>
  <c r="A20944" i="19"/>
  <c r="A20943" i="19"/>
  <c r="A20942" i="19"/>
  <c r="A20941" i="19"/>
  <c r="A20940" i="19"/>
  <c r="A20939" i="19"/>
  <c r="A20938" i="19"/>
  <c r="A20937" i="19"/>
  <c r="A20936" i="19"/>
  <c r="A20935" i="19"/>
  <c r="A20934" i="19"/>
  <c r="A20933" i="19"/>
  <c r="A20932" i="19"/>
  <c r="A20931" i="19"/>
  <c r="A20930" i="19"/>
  <c r="A20929" i="19"/>
  <c r="A20928" i="19"/>
  <c r="A20927" i="19"/>
  <c r="A20926" i="19"/>
  <c r="A20925" i="19"/>
  <c r="A20924" i="19"/>
  <c r="A20923" i="19"/>
  <c r="A20922" i="19"/>
  <c r="A20921" i="19"/>
  <c r="A20920" i="19"/>
  <c r="A20919" i="19"/>
  <c r="A20918" i="19"/>
  <c r="A20917" i="19"/>
  <c r="A20916" i="19"/>
  <c r="A20915" i="19"/>
  <c r="A20914" i="19"/>
  <c r="A20913" i="19"/>
  <c r="A20912" i="19"/>
  <c r="A20911" i="19"/>
  <c r="A20910" i="19"/>
  <c r="A20909" i="19"/>
  <c r="A20908" i="19"/>
  <c r="A20907" i="19"/>
  <c r="A20906" i="19"/>
  <c r="A20905" i="19"/>
  <c r="A20904" i="19"/>
  <c r="A20903" i="19"/>
  <c r="A20902" i="19"/>
  <c r="A20901" i="19"/>
  <c r="A20900" i="19"/>
  <c r="A20899" i="19"/>
  <c r="A20898" i="19"/>
  <c r="A20897" i="19"/>
  <c r="A20896" i="19"/>
  <c r="A20895" i="19"/>
  <c r="A20894" i="19"/>
  <c r="A20893" i="19"/>
  <c r="A20892" i="19"/>
  <c r="A20891" i="19"/>
  <c r="A20890" i="19"/>
  <c r="A20889" i="19"/>
  <c r="A20888" i="19"/>
  <c r="A20887" i="19"/>
  <c r="A20886" i="19"/>
  <c r="A20885" i="19"/>
  <c r="A20884" i="19"/>
  <c r="A20883" i="19"/>
  <c r="A20882" i="19"/>
  <c r="A20881" i="19"/>
  <c r="A20880" i="19"/>
  <c r="A20879" i="19"/>
  <c r="A20878" i="19"/>
  <c r="A20877" i="19"/>
  <c r="A20876" i="19"/>
  <c r="A20875" i="19"/>
  <c r="A20874" i="19"/>
  <c r="A20873" i="19"/>
  <c r="A20872" i="19"/>
  <c r="A20871" i="19"/>
  <c r="A20870" i="19"/>
  <c r="A20869" i="19"/>
  <c r="A20868" i="19"/>
  <c r="A20867" i="19"/>
  <c r="A20866" i="19"/>
  <c r="A20865" i="19"/>
  <c r="A20864" i="19"/>
  <c r="A20863" i="19"/>
  <c r="A20862" i="19"/>
  <c r="A20861" i="19"/>
  <c r="A20860" i="19"/>
  <c r="A20859" i="19"/>
  <c r="A20858" i="19"/>
  <c r="A20857" i="19"/>
  <c r="A20856" i="19"/>
  <c r="A20855" i="19"/>
  <c r="A20854" i="19"/>
  <c r="A20853" i="19"/>
  <c r="A20852" i="19"/>
  <c r="A20851" i="19"/>
  <c r="A20850" i="19"/>
  <c r="A20849" i="19"/>
  <c r="A20848" i="19"/>
  <c r="A20847" i="19"/>
  <c r="A20846" i="19"/>
  <c r="A20845" i="19"/>
  <c r="A20844" i="19"/>
  <c r="A20843" i="19"/>
  <c r="A20842" i="19"/>
  <c r="A20841" i="19"/>
  <c r="A20840" i="19"/>
  <c r="A20839" i="19"/>
  <c r="A20838" i="19"/>
  <c r="A20837" i="19"/>
  <c r="A20836" i="19"/>
  <c r="A20835" i="19"/>
  <c r="A20834" i="19"/>
  <c r="A20833" i="19"/>
  <c r="A20832" i="19"/>
  <c r="A20831" i="19"/>
  <c r="A20830" i="19"/>
  <c r="A20829" i="19"/>
  <c r="A20828" i="19"/>
  <c r="A20827" i="19"/>
  <c r="A20826" i="19"/>
  <c r="A20825" i="19"/>
  <c r="A20824" i="19"/>
  <c r="A20823" i="19"/>
  <c r="A20822" i="19"/>
  <c r="A20821" i="19"/>
  <c r="A20820" i="19"/>
  <c r="A20819" i="19"/>
  <c r="A20818" i="19"/>
  <c r="A20817" i="19"/>
  <c r="A20816" i="19"/>
  <c r="A20815" i="19"/>
  <c r="A20814" i="19"/>
  <c r="A20813" i="19"/>
  <c r="A20812" i="19"/>
  <c r="A20811" i="19"/>
  <c r="A20810" i="19"/>
  <c r="A20809" i="19"/>
  <c r="A20808" i="19"/>
  <c r="A20807" i="19"/>
  <c r="A20806" i="19"/>
  <c r="A20805" i="19"/>
  <c r="A20804" i="19"/>
  <c r="A20803" i="19"/>
  <c r="A20802" i="19"/>
  <c r="A20801" i="19"/>
  <c r="A20800" i="19"/>
  <c r="A20799" i="19"/>
  <c r="A20798" i="19"/>
  <c r="A20797" i="19"/>
  <c r="A20796" i="19"/>
  <c r="A20795" i="19"/>
  <c r="A20794" i="19"/>
  <c r="A20793" i="19"/>
  <c r="A20792" i="19"/>
  <c r="A20791" i="19"/>
  <c r="A20790" i="19"/>
  <c r="A20789" i="19"/>
  <c r="A20788" i="19"/>
  <c r="A20787" i="19"/>
  <c r="A20786" i="19"/>
  <c r="A20785" i="19"/>
  <c r="A20784" i="19"/>
  <c r="A20783" i="19"/>
  <c r="A20782" i="19"/>
  <c r="A20781" i="19"/>
  <c r="A20780" i="19"/>
  <c r="A20779" i="19"/>
  <c r="A20778" i="19"/>
  <c r="A20777" i="19"/>
  <c r="A20776" i="19"/>
  <c r="A20775" i="19"/>
  <c r="A20774" i="19"/>
  <c r="A20773" i="19"/>
  <c r="A20772" i="19"/>
  <c r="A20771" i="19"/>
  <c r="A20770" i="19"/>
  <c r="A20769" i="19"/>
  <c r="A20768" i="19"/>
  <c r="A20767" i="19"/>
  <c r="A20766" i="19"/>
  <c r="A20765" i="19"/>
  <c r="A20764" i="19"/>
  <c r="A20763" i="19"/>
  <c r="A20762" i="19"/>
  <c r="A20761" i="19"/>
  <c r="A20760" i="19"/>
  <c r="A20759" i="19"/>
  <c r="A20758" i="19"/>
  <c r="A20757" i="19"/>
  <c r="A20756" i="19"/>
  <c r="A20755" i="19"/>
  <c r="A20754" i="19"/>
  <c r="A20753" i="19"/>
  <c r="A20752" i="19"/>
  <c r="A20751" i="19"/>
  <c r="A20750" i="19"/>
  <c r="A20749" i="19"/>
  <c r="A20748" i="19"/>
  <c r="A20747" i="19"/>
  <c r="A20746" i="19"/>
  <c r="A20745" i="19"/>
  <c r="A20744" i="19"/>
  <c r="A20743" i="19"/>
  <c r="A20742" i="19"/>
  <c r="A20741" i="19"/>
  <c r="A20740" i="19"/>
  <c r="A20739" i="19"/>
  <c r="A20738" i="19"/>
  <c r="A20737" i="19"/>
  <c r="A20736" i="19"/>
  <c r="A20735" i="19"/>
  <c r="A20734" i="19"/>
  <c r="A20733" i="19"/>
  <c r="A20732" i="19"/>
  <c r="A20731" i="19"/>
  <c r="A20730" i="19"/>
  <c r="A20729" i="19"/>
  <c r="A20728" i="19"/>
  <c r="A20727" i="19"/>
  <c r="A20726" i="19"/>
  <c r="A20725" i="19"/>
  <c r="A20724" i="19"/>
  <c r="A20723" i="19"/>
  <c r="A20722" i="19"/>
  <c r="A20721" i="19"/>
  <c r="A20720" i="19"/>
  <c r="A20719" i="19"/>
  <c r="A20718" i="19"/>
  <c r="A20717" i="19"/>
  <c r="A20716" i="19"/>
  <c r="A20715" i="19"/>
  <c r="A20714" i="19"/>
  <c r="A20713" i="19"/>
  <c r="A20712" i="19"/>
  <c r="A20711" i="19"/>
  <c r="A20710" i="19"/>
  <c r="A20709" i="19"/>
  <c r="A20708" i="19"/>
  <c r="A20707" i="19"/>
  <c r="A20706" i="19"/>
  <c r="A20705" i="19"/>
  <c r="A20704" i="19"/>
  <c r="A20703" i="19"/>
  <c r="A20702" i="19"/>
  <c r="A20701" i="19"/>
  <c r="A20700" i="19"/>
  <c r="A20699" i="19"/>
  <c r="A20698" i="19"/>
  <c r="A20697" i="19"/>
  <c r="A20696" i="19"/>
  <c r="A20695" i="19"/>
  <c r="A20694" i="19"/>
  <c r="A20693" i="19"/>
  <c r="A20692" i="19"/>
  <c r="A20691" i="19"/>
  <c r="A20690" i="19"/>
  <c r="A20689" i="19"/>
  <c r="A20688" i="19"/>
  <c r="A20687" i="19"/>
  <c r="A20686" i="19"/>
  <c r="A20685" i="19"/>
  <c r="A20684" i="19"/>
  <c r="A20683" i="19"/>
  <c r="A20682" i="19"/>
  <c r="A20681" i="19"/>
  <c r="A20680" i="19"/>
  <c r="A20679" i="19"/>
  <c r="A20678" i="19"/>
  <c r="A20677" i="19"/>
  <c r="A20676" i="19"/>
  <c r="A20675" i="19"/>
  <c r="A20674" i="19"/>
  <c r="A20673" i="19"/>
  <c r="A20672" i="19"/>
  <c r="A20671" i="19"/>
  <c r="A20670" i="19"/>
  <c r="A20669" i="19"/>
  <c r="A20668" i="19"/>
  <c r="A20667" i="19"/>
  <c r="A20666" i="19"/>
  <c r="A20665" i="19"/>
  <c r="A20664" i="19"/>
  <c r="A20663" i="19"/>
  <c r="A20662" i="19"/>
  <c r="A20661" i="19"/>
  <c r="A20660" i="19"/>
  <c r="A20659" i="19"/>
  <c r="A20658" i="19"/>
  <c r="A20657" i="19"/>
  <c r="A20656" i="19"/>
  <c r="A20655" i="19"/>
  <c r="A20654" i="19"/>
  <c r="A20653" i="19"/>
  <c r="A20652" i="19"/>
  <c r="A20651" i="19"/>
  <c r="A20650" i="19"/>
  <c r="A20649" i="19"/>
  <c r="A20648" i="19"/>
  <c r="A20647" i="19"/>
  <c r="A20646" i="19"/>
  <c r="A20645" i="19"/>
  <c r="A20644" i="19"/>
  <c r="A20643" i="19"/>
  <c r="A20642" i="19"/>
  <c r="A20641" i="19"/>
  <c r="A20640" i="19"/>
  <c r="A20639" i="19"/>
  <c r="A20638" i="19"/>
  <c r="A20637" i="19"/>
  <c r="A20636" i="19"/>
  <c r="A20635" i="19"/>
  <c r="A20634" i="19"/>
  <c r="A20633" i="19"/>
  <c r="A20632" i="19"/>
  <c r="A20631" i="19"/>
  <c r="A20630" i="19"/>
  <c r="A20629" i="19"/>
  <c r="A20628" i="19"/>
  <c r="A20627" i="19"/>
  <c r="A20626" i="19"/>
  <c r="A20625" i="19"/>
  <c r="A20624" i="19"/>
  <c r="A20623" i="19"/>
  <c r="A20622" i="19"/>
  <c r="A20621" i="19"/>
  <c r="A20620" i="19"/>
  <c r="A20619" i="19"/>
  <c r="A20618" i="19"/>
  <c r="A20617" i="19"/>
  <c r="A20616" i="19"/>
  <c r="A20615" i="19"/>
  <c r="A20614" i="19"/>
  <c r="A20613" i="19"/>
  <c r="A20612" i="19"/>
  <c r="A20611" i="19"/>
  <c r="A20610" i="19"/>
  <c r="A20609" i="19"/>
  <c r="A20608" i="19"/>
  <c r="A20607" i="19"/>
  <c r="A20606" i="19"/>
  <c r="A20605" i="19"/>
  <c r="A20604" i="19"/>
  <c r="A20603" i="19"/>
  <c r="A20602" i="19"/>
  <c r="A20601" i="19"/>
  <c r="A20600" i="19"/>
  <c r="A20599" i="19"/>
  <c r="A20598" i="19"/>
  <c r="A20597" i="19"/>
  <c r="A20596" i="19"/>
  <c r="A20595" i="19"/>
  <c r="A20594" i="19"/>
  <c r="A20593" i="19"/>
  <c r="A20592" i="19"/>
  <c r="A20591" i="19"/>
  <c r="A20590" i="19"/>
  <c r="A20589" i="19"/>
  <c r="A20588" i="19"/>
  <c r="A20587" i="19"/>
  <c r="A20586" i="19"/>
  <c r="A20585" i="19"/>
  <c r="A20584" i="19"/>
  <c r="A20583" i="19"/>
  <c r="A20582" i="19"/>
  <c r="A20581" i="19"/>
  <c r="A20580" i="19"/>
  <c r="A20579" i="19"/>
  <c r="A20578" i="19"/>
  <c r="A20577" i="19"/>
  <c r="A20576" i="19"/>
  <c r="A20575" i="19"/>
  <c r="A20574" i="19"/>
  <c r="A20573" i="19"/>
  <c r="A20572" i="19"/>
  <c r="A20571" i="19"/>
  <c r="A20570" i="19"/>
  <c r="A20569" i="19"/>
  <c r="A20568" i="19"/>
  <c r="A20567" i="19"/>
  <c r="A20566" i="19"/>
  <c r="A20565" i="19"/>
  <c r="A20564" i="19"/>
  <c r="A20563" i="19"/>
  <c r="A20562" i="19"/>
  <c r="A20561" i="19"/>
  <c r="A20560" i="19"/>
  <c r="A20559" i="19"/>
  <c r="A20558" i="19"/>
  <c r="A20557" i="19"/>
  <c r="A20556" i="19"/>
  <c r="A20555" i="19"/>
  <c r="A20554" i="19"/>
  <c r="A20553" i="19"/>
  <c r="A20552" i="19"/>
  <c r="A20551" i="19"/>
  <c r="A20550" i="19"/>
  <c r="A20549" i="19"/>
  <c r="A20548" i="19"/>
  <c r="A20547" i="19"/>
  <c r="A20546" i="19"/>
  <c r="A20545" i="19"/>
  <c r="A20544" i="19"/>
  <c r="A20543" i="19"/>
  <c r="A20542" i="19"/>
  <c r="A20541" i="19"/>
  <c r="A20540" i="19"/>
  <c r="A20539" i="19"/>
  <c r="A20538" i="19"/>
  <c r="A20537" i="19"/>
  <c r="A20536" i="19"/>
  <c r="A20535" i="19"/>
  <c r="A20534" i="19"/>
  <c r="A20533" i="19"/>
  <c r="A20532" i="19"/>
  <c r="A20531" i="19"/>
  <c r="A20530" i="19"/>
  <c r="A20529" i="19"/>
  <c r="A20528" i="19"/>
  <c r="A20527" i="19"/>
  <c r="A20526" i="19"/>
  <c r="A20525" i="19"/>
  <c r="A20524" i="19"/>
  <c r="A20523" i="19"/>
  <c r="A20522" i="19"/>
  <c r="A20521" i="19"/>
  <c r="A20520" i="19"/>
  <c r="A20519" i="19"/>
  <c r="A20518" i="19"/>
  <c r="A20517" i="19"/>
  <c r="A20516" i="19"/>
  <c r="A20515" i="19"/>
  <c r="A20514" i="19"/>
  <c r="A20513" i="19"/>
  <c r="A20512" i="19"/>
  <c r="A20511" i="19"/>
  <c r="A20510" i="19"/>
  <c r="A20509" i="19"/>
  <c r="A20508" i="19"/>
  <c r="A20507" i="19"/>
  <c r="A20506" i="19"/>
  <c r="A20505" i="19"/>
  <c r="A20504" i="19"/>
  <c r="A20503" i="19"/>
  <c r="A20502" i="19"/>
  <c r="A20501" i="19"/>
  <c r="A20500" i="19"/>
  <c r="A20499" i="19"/>
  <c r="A20498" i="19"/>
  <c r="A20497" i="19"/>
  <c r="A20496" i="19"/>
  <c r="A20495" i="19"/>
  <c r="A20494" i="19"/>
  <c r="A20493" i="19"/>
  <c r="A20492" i="19"/>
  <c r="A20491" i="19"/>
  <c r="A20490" i="19"/>
  <c r="A20489" i="19"/>
  <c r="A20488" i="19"/>
  <c r="A20487" i="19"/>
  <c r="A20486" i="19"/>
  <c r="A20485" i="19"/>
  <c r="A20484" i="19"/>
  <c r="A20483" i="19"/>
  <c r="A20482" i="19"/>
  <c r="A20481" i="19"/>
  <c r="A20480" i="19"/>
  <c r="A20479" i="19"/>
  <c r="A20478" i="19"/>
  <c r="A20477" i="19"/>
  <c r="A20476" i="19"/>
  <c r="A20475" i="19"/>
  <c r="A20474" i="19"/>
  <c r="A20473" i="19"/>
  <c r="A20472" i="19"/>
  <c r="A20471" i="19"/>
  <c r="A20470" i="19"/>
  <c r="A20469" i="19"/>
  <c r="A20468" i="19"/>
  <c r="A20467" i="19"/>
  <c r="A20466" i="19"/>
  <c r="A20465" i="19"/>
  <c r="A20464" i="19"/>
  <c r="A20463" i="19"/>
  <c r="A20462" i="19"/>
  <c r="A20461" i="19"/>
  <c r="A20460" i="19"/>
  <c r="A20459" i="19"/>
  <c r="A20458" i="19"/>
  <c r="A20457" i="19"/>
  <c r="A20456" i="19"/>
  <c r="A20455" i="19"/>
  <c r="A20454" i="19"/>
  <c r="A20453" i="19"/>
  <c r="A20452" i="19"/>
  <c r="A20451" i="19"/>
  <c r="A20450" i="19"/>
  <c r="A20449" i="19"/>
  <c r="A20448" i="19"/>
  <c r="A20447" i="19"/>
  <c r="A20446" i="19"/>
  <c r="A20445" i="19"/>
  <c r="A20444" i="19"/>
  <c r="A20443" i="19"/>
  <c r="A20442" i="19"/>
  <c r="A20441" i="19"/>
  <c r="A20440" i="19"/>
  <c r="A20439" i="19"/>
  <c r="A20438" i="19"/>
  <c r="A20437" i="19"/>
  <c r="A20436" i="19"/>
  <c r="A20435" i="19"/>
  <c r="A20434" i="19"/>
  <c r="A20433" i="19"/>
  <c r="A20432" i="19"/>
  <c r="A20431" i="19"/>
  <c r="A20430" i="19"/>
  <c r="A20429" i="19"/>
  <c r="A20428" i="19"/>
  <c r="A20427" i="19"/>
  <c r="A20426" i="19"/>
  <c r="A20425" i="19"/>
  <c r="A20424" i="19"/>
  <c r="A20423" i="19"/>
  <c r="A20422" i="19"/>
  <c r="A20421" i="19"/>
  <c r="A20420" i="19"/>
  <c r="A20419" i="19"/>
  <c r="A20418" i="19"/>
  <c r="A20417" i="19"/>
  <c r="A20416" i="19"/>
  <c r="A20415" i="19"/>
  <c r="A20414" i="19"/>
  <c r="A20413" i="19"/>
  <c r="A20412" i="19"/>
  <c r="A20411" i="19"/>
  <c r="A20410" i="19"/>
  <c r="A20409" i="19"/>
  <c r="A20408" i="19"/>
  <c r="A20407" i="19"/>
  <c r="A20406" i="19"/>
  <c r="A20405" i="19"/>
  <c r="A20404" i="19"/>
  <c r="A20403" i="19"/>
  <c r="A20402" i="19"/>
  <c r="A20401" i="19"/>
  <c r="A20400" i="19"/>
  <c r="A20399" i="19"/>
  <c r="A20398" i="19"/>
  <c r="A20397" i="19"/>
  <c r="A20396" i="19"/>
  <c r="A20395" i="19"/>
  <c r="A20394" i="19"/>
  <c r="A20393" i="19"/>
  <c r="A20392" i="19"/>
  <c r="A20391" i="19"/>
  <c r="A20390" i="19"/>
  <c r="A20389" i="19"/>
  <c r="A20388" i="19"/>
  <c r="A20387" i="19"/>
  <c r="A20386" i="19"/>
  <c r="A20385" i="19"/>
  <c r="A20384" i="19"/>
  <c r="A20383" i="19"/>
  <c r="A20382" i="19"/>
  <c r="A20381" i="19"/>
  <c r="A20380" i="19"/>
  <c r="A20379" i="19"/>
  <c r="A20378" i="19"/>
  <c r="A20377" i="19"/>
  <c r="A20376" i="19"/>
  <c r="A20375" i="19"/>
  <c r="A20374" i="19"/>
  <c r="A20373" i="19"/>
  <c r="A20372" i="19"/>
  <c r="A20371" i="19"/>
  <c r="A20370" i="19"/>
  <c r="A20369" i="19"/>
  <c r="A20368" i="19"/>
  <c r="A20367" i="19"/>
  <c r="A20366" i="19"/>
  <c r="A20365" i="19"/>
  <c r="A20364" i="19"/>
  <c r="A20363" i="19"/>
  <c r="A20362" i="19"/>
  <c r="A20361" i="19"/>
  <c r="A20360" i="19"/>
  <c r="A20359" i="19"/>
  <c r="A20358" i="19"/>
  <c r="A20357" i="19"/>
  <c r="A20356" i="19"/>
  <c r="A20355" i="19"/>
  <c r="A20354" i="19"/>
  <c r="A20353" i="19"/>
  <c r="A20352" i="19"/>
  <c r="A20351" i="19"/>
  <c r="A20350" i="19"/>
  <c r="A20349" i="19"/>
  <c r="A20348" i="19"/>
  <c r="A20347" i="19"/>
  <c r="A20346" i="19"/>
  <c r="A20345" i="19"/>
  <c r="A20344" i="19"/>
  <c r="A20343" i="19"/>
  <c r="A20342" i="19"/>
  <c r="A20341" i="19"/>
  <c r="A20340" i="19"/>
  <c r="A20339" i="19"/>
  <c r="A20338" i="19"/>
  <c r="A20337" i="19"/>
  <c r="A20336" i="19"/>
  <c r="A20335" i="19"/>
  <c r="A20334" i="19"/>
  <c r="A20333" i="19"/>
  <c r="A20332" i="19"/>
  <c r="A20331" i="19"/>
  <c r="A20330" i="19"/>
  <c r="A20329" i="19"/>
  <c r="A20328" i="19"/>
  <c r="A20327" i="19"/>
  <c r="A20326" i="19"/>
  <c r="A20325" i="19"/>
  <c r="A20324" i="19"/>
  <c r="A20323" i="19"/>
  <c r="A20322" i="19"/>
  <c r="A20321" i="19"/>
  <c r="A20320" i="19"/>
  <c r="A20319" i="19"/>
  <c r="A20318" i="19"/>
  <c r="A20317" i="19"/>
  <c r="A20316" i="19"/>
  <c r="A20315" i="19"/>
  <c r="A20314" i="19"/>
  <c r="A20313" i="19"/>
  <c r="A20312" i="19"/>
  <c r="A20311" i="19"/>
  <c r="A20310" i="19"/>
  <c r="A20309" i="19"/>
  <c r="A20308" i="19"/>
  <c r="A20307" i="19"/>
  <c r="A20306" i="19"/>
  <c r="A20305" i="19"/>
  <c r="A20304" i="19"/>
  <c r="A20303" i="19"/>
  <c r="A20302" i="19"/>
  <c r="A20301" i="19"/>
  <c r="A20300" i="19"/>
  <c r="A20299" i="19"/>
  <c r="A20298" i="19"/>
  <c r="A20297" i="19"/>
  <c r="A20296" i="19"/>
  <c r="A20295" i="19"/>
  <c r="A20294" i="19"/>
  <c r="A20293" i="19"/>
  <c r="A20292" i="19"/>
  <c r="A20291" i="19"/>
  <c r="A20290" i="19"/>
  <c r="A20289" i="19"/>
  <c r="A20288" i="19"/>
  <c r="A20287" i="19"/>
  <c r="A20286" i="19"/>
  <c r="A20285" i="19"/>
  <c r="A20284" i="19"/>
  <c r="A20283" i="19"/>
  <c r="A20282" i="19"/>
  <c r="A20281" i="19"/>
  <c r="A20280" i="19"/>
  <c r="A20279" i="19"/>
  <c r="A20278" i="19"/>
  <c r="A20277" i="19"/>
  <c r="A20276" i="19"/>
  <c r="A20275" i="19"/>
  <c r="A20274" i="19"/>
  <c r="A20273" i="19"/>
  <c r="A20272" i="19"/>
  <c r="A20271" i="19"/>
  <c r="A20270" i="19"/>
  <c r="A20269" i="19"/>
  <c r="A20268" i="19"/>
  <c r="A20267" i="19"/>
  <c r="A20266" i="19"/>
  <c r="A20265" i="19"/>
  <c r="A20264" i="19"/>
  <c r="A20263" i="19"/>
  <c r="A20262" i="19"/>
  <c r="A20261" i="19"/>
  <c r="A20260" i="19"/>
  <c r="A20259" i="19"/>
  <c r="A20258" i="19"/>
  <c r="A20257" i="19"/>
  <c r="A20256" i="19"/>
  <c r="A20255" i="19"/>
  <c r="A20254" i="19"/>
  <c r="A20253" i="19"/>
  <c r="A20252" i="19"/>
  <c r="A20251" i="19"/>
  <c r="A20250" i="19"/>
  <c r="A20249" i="19"/>
  <c r="A20248" i="19"/>
  <c r="A20247" i="19"/>
  <c r="A20246" i="19"/>
  <c r="A20245" i="19"/>
  <c r="A20244" i="19"/>
  <c r="A20243" i="19"/>
  <c r="A20242" i="19"/>
  <c r="A20241" i="19"/>
  <c r="A20240" i="19"/>
  <c r="A20239" i="19"/>
  <c r="A20238" i="19"/>
  <c r="A20237" i="19"/>
  <c r="A20236" i="19"/>
  <c r="A20235" i="19"/>
  <c r="A20234" i="19"/>
  <c r="A20233" i="19"/>
  <c r="A20232" i="19"/>
  <c r="A20231" i="19"/>
  <c r="A20230" i="19"/>
  <c r="A20229" i="19"/>
  <c r="A20228" i="19"/>
  <c r="A20227" i="19"/>
  <c r="A20226" i="19"/>
  <c r="A20225" i="19"/>
  <c r="A20224" i="19"/>
  <c r="A20223" i="19"/>
  <c r="A20222" i="19"/>
  <c r="A20221" i="19"/>
  <c r="A20220" i="19"/>
  <c r="A20219" i="19"/>
  <c r="A20218" i="19"/>
  <c r="A20217" i="19"/>
  <c r="A20216" i="19"/>
  <c r="A20215" i="19"/>
  <c r="A20214" i="19"/>
  <c r="A20213" i="19"/>
  <c r="A20212" i="19"/>
  <c r="A20211" i="19"/>
  <c r="A20210" i="19"/>
  <c r="A20209" i="19"/>
  <c r="A20208" i="19"/>
  <c r="A20207" i="19"/>
  <c r="A20206" i="19"/>
  <c r="A20205" i="19"/>
  <c r="A20204" i="19"/>
  <c r="A20203" i="19"/>
  <c r="A20202" i="19"/>
  <c r="A20201" i="19"/>
  <c r="A20200" i="19"/>
  <c r="A20199" i="19"/>
  <c r="A20198" i="19"/>
  <c r="A20197" i="19"/>
  <c r="A20196" i="19"/>
  <c r="A20195" i="19"/>
  <c r="A20194" i="19"/>
  <c r="A20193" i="19"/>
  <c r="A20192" i="19"/>
  <c r="A20191" i="19"/>
  <c r="A20190" i="19"/>
  <c r="A20189" i="19"/>
  <c r="A20188" i="19"/>
  <c r="A20187" i="19"/>
  <c r="A20186" i="19"/>
  <c r="A20185" i="19"/>
  <c r="A20184" i="19"/>
  <c r="A20183" i="19"/>
  <c r="A20182" i="19"/>
  <c r="A20181" i="19"/>
  <c r="A20180" i="19"/>
  <c r="A20179" i="19"/>
  <c r="A20178" i="19"/>
  <c r="A20177" i="19"/>
  <c r="A20176" i="19"/>
  <c r="A20175" i="19"/>
  <c r="A20174" i="19"/>
  <c r="A20173" i="19"/>
  <c r="A20172" i="19"/>
  <c r="A20171" i="19"/>
  <c r="A20170" i="19"/>
  <c r="A20169" i="19"/>
  <c r="A20168" i="19"/>
  <c r="A20167" i="19"/>
  <c r="A20166" i="19"/>
  <c r="A20165" i="19"/>
  <c r="A20164" i="19"/>
  <c r="A20163" i="19"/>
  <c r="A20162" i="19"/>
  <c r="A20161" i="19"/>
  <c r="A20160" i="19"/>
  <c r="A20159" i="19"/>
  <c r="A20158" i="19"/>
  <c r="A20157" i="19"/>
  <c r="A20156" i="19"/>
  <c r="A20155" i="19"/>
  <c r="A20154" i="19"/>
  <c r="A20153" i="19"/>
  <c r="A20152" i="19"/>
  <c r="A20151" i="19"/>
  <c r="A20150" i="19"/>
  <c r="A20149" i="19"/>
  <c r="A20148" i="19"/>
  <c r="A20147" i="19"/>
  <c r="A20146" i="19"/>
  <c r="A20145" i="19"/>
  <c r="A20144" i="19"/>
  <c r="A20143" i="19"/>
  <c r="A20142" i="19"/>
  <c r="A20141" i="19"/>
  <c r="A20140" i="19"/>
  <c r="A20139" i="19"/>
  <c r="A20138" i="19"/>
  <c r="A20137" i="19"/>
  <c r="A20136" i="19"/>
  <c r="A20135" i="19"/>
  <c r="A20134" i="19"/>
  <c r="A20133" i="19"/>
  <c r="A20132" i="19"/>
  <c r="A20131" i="19"/>
  <c r="A20130" i="19"/>
  <c r="A20129" i="19"/>
  <c r="A20128" i="19"/>
  <c r="A20127" i="19"/>
  <c r="A20126" i="19"/>
  <c r="A20125" i="19"/>
  <c r="A20124" i="19"/>
  <c r="A20123" i="19"/>
  <c r="A20122" i="19"/>
  <c r="A20121" i="19"/>
  <c r="A20120" i="19"/>
  <c r="A20119" i="19"/>
  <c r="A20118" i="19"/>
  <c r="A20117" i="19"/>
  <c r="A20116" i="19"/>
  <c r="A20115" i="19"/>
  <c r="A20114" i="19"/>
  <c r="A20113" i="19"/>
  <c r="A20112" i="19"/>
  <c r="A20111" i="19"/>
  <c r="A20110" i="19"/>
  <c r="A20109" i="19"/>
  <c r="A20108" i="19"/>
  <c r="A20107" i="19"/>
  <c r="A20106" i="19"/>
  <c r="A20105" i="19"/>
  <c r="A20104" i="19"/>
  <c r="A20103" i="19"/>
  <c r="A20102" i="19"/>
  <c r="A20101" i="19"/>
  <c r="A20100" i="19"/>
  <c r="A20099" i="19"/>
  <c r="A20098" i="19"/>
  <c r="A20097" i="19"/>
  <c r="A20096" i="19"/>
  <c r="A20095" i="19"/>
  <c r="A20094" i="19"/>
  <c r="A20093" i="19"/>
  <c r="A20092" i="19"/>
  <c r="A20091" i="19"/>
  <c r="A20090" i="19"/>
  <c r="A20089" i="19"/>
  <c r="A20088" i="19"/>
  <c r="A20087" i="19"/>
  <c r="A20086" i="19"/>
  <c r="A20085" i="19"/>
  <c r="A20084" i="19"/>
  <c r="A20083" i="19"/>
  <c r="A20082" i="19"/>
  <c r="A20081" i="19"/>
  <c r="A20080" i="19"/>
  <c r="A20079" i="19"/>
  <c r="A20078" i="19"/>
  <c r="A20077" i="19"/>
  <c r="A20076" i="19"/>
  <c r="A20075" i="19"/>
  <c r="A20074" i="19"/>
  <c r="A20073" i="19"/>
  <c r="A20072" i="19"/>
  <c r="A20071" i="19"/>
  <c r="A20070" i="19"/>
  <c r="A20069" i="19"/>
  <c r="A20068" i="19"/>
  <c r="A20067" i="19"/>
  <c r="A20066" i="19"/>
  <c r="A20065" i="19"/>
  <c r="A20064" i="19"/>
  <c r="A20063" i="19"/>
  <c r="A20062" i="19"/>
  <c r="A20061" i="19"/>
  <c r="A20060" i="19"/>
  <c r="A20059" i="19"/>
  <c r="A20058" i="19"/>
  <c r="A20057" i="19"/>
  <c r="A20056" i="19"/>
  <c r="A20055" i="19"/>
  <c r="A20054" i="19"/>
  <c r="A20053" i="19"/>
  <c r="A20052" i="19"/>
  <c r="A20051" i="19"/>
  <c r="A20050" i="19"/>
  <c r="A20049" i="19"/>
  <c r="A20048" i="19"/>
  <c r="A20047" i="19"/>
  <c r="A20046" i="19"/>
  <c r="A20045" i="19"/>
  <c r="A20044" i="19"/>
  <c r="A20043" i="19"/>
  <c r="A20042" i="19"/>
  <c r="A20041" i="19"/>
  <c r="A20040" i="19"/>
  <c r="A20039" i="19"/>
  <c r="A20038" i="19"/>
  <c r="A20037" i="19"/>
  <c r="A20036" i="19"/>
  <c r="A20035" i="19"/>
  <c r="A20034" i="19"/>
  <c r="A20033" i="19"/>
  <c r="A20032" i="19"/>
  <c r="A20031" i="19"/>
  <c r="A20030" i="19"/>
  <c r="A20029" i="19"/>
  <c r="A20028" i="19"/>
  <c r="A20027" i="19"/>
  <c r="A20026" i="19"/>
  <c r="A20025" i="19"/>
  <c r="A20024" i="19"/>
  <c r="A20023" i="19"/>
  <c r="A20022" i="19"/>
  <c r="A20021" i="19"/>
  <c r="A20020" i="19"/>
  <c r="A20019" i="19"/>
  <c r="A20018" i="19"/>
  <c r="A20017" i="19"/>
  <c r="A20016" i="19"/>
  <c r="A20015" i="19"/>
  <c r="A20014" i="19"/>
  <c r="A20013" i="19"/>
  <c r="A20012" i="19"/>
  <c r="A20011" i="19"/>
  <c r="A20010" i="19"/>
  <c r="A20009" i="19"/>
  <c r="A20008" i="19"/>
  <c r="A20007" i="19"/>
  <c r="A20006" i="19"/>
  <c r="A20005" i="19"/>
  <c r="A20004" i="19"/>
  <c r="A20003" i="19"/>
  <c r="A20002" i="19"/>
  <c r="A20001" i="19"/>
  <c r="A20000" i="19"/>
  <c r="A19999" i="19"/>
  <c r="A19998" i="19"/>
  <c r="A19997" i="19"/>
  <c r="A19996" i="19"/>
  <c r="A19995" i="19"/>
  <c r="A19994" i="19"/>
  <c r="A19993" i="19"/>
  <c r="A19992" i="19"/>
  <c r="A19991" i="19"/>
  <c r="A19990" i="19"/>
  <c r="A19989" i="19"/>
  <c r="A19988" i="19"/>
  <c r="A19987" i="19"/>
  <c r="A19986" i="19"/>
  <c r="A19985" i="19"/>
  <c r="A19984" i="19"/>
  <c r="A19983" i="19"/>
  <c r="A19982" i="19"/>
  <c r="A19981" i="19"/>
  <c r="A19980" i="19"/>
  <c r="A19979" i="19"/>
  <c r="A19978" i="19"/>
  <c r="A19977" i="19"/>
  <c r="A19976" i="19"/>
  <c r="A19975" i="19"/>
  <c r="A19974" i="19"/>
  <c r="A19973" i="19"/>
  <c r="A19972" i="19"/>
  <c r="A19971" i="19"/>
  <c r="A19970" i="19"/>
  <c r="A19969" i="19"/>
  <c r="A19968" i="19"/>
  <c r="A19967" i="19"/>
  <c r="A19966" i="19"/>
  <c r="A19965" i="19"/>
  <c r="A19964" i="19"/>
  <c r="A19963" i="19"/>
  <c r="A19962" i="19"/>
  <c r="A19961" i="19"/>
  <c r="A19960" i="19"/>
  <c r="A19959" i="19"/>
  <c r="A19958" i="19"/>
  <c r="A19957" i="19"/>
  <c r="A19956" i="19"/>
  <c r="A19955" i="19"/>
  <c r="A19954" i="19"/>
  <c r="A19953" i="19"/>
  <c r="A19952" i="19"/>
  <c r="A19951" i="19"/>
  <c r="A19950" i="19"/>
  <c r="A19949" i="19"/>
  <c r="A19948" i="19"/>
  <c r="A19947" i="19"/>
  <c r="A19946" i="19"/>
  <c r="A19945" i="19"/>
  <c r="A19944" i="19"/>
  <c r="A19943" i="19"/>
  <c r="A19942" i="19"/>
  <c r="A19941" i="19"/>
  <c r="A19940" i="19"/>
  <c r="A19939" i="19"/>
  <c r="A19938" i="19"/>
  <c r="A19937" i="19"/>
  <c r="A19936" i="19"/>
  <c r="A19935" i="19"/>
  <c r="A19934" i="19"/>
  <c r="A19933" i="19"/>
  <c r="A19932" i="19"/>
  <c r="A19931" i="19"/>
  <c r="A19930" i="19"/>
  <c r="A19929" i="19"/>
  <c r="A19928" i="19"/>
  <c r="A19927" i="19"/>
  <c r="A19926" i="19"/>
  <c r="A19925" i="19"/>
  <c r="A19924" i="19"/>
  <c r="A19923" i="19"/>
  <c r="A19922" i="19"/>
  <c r="A19921" i="19"/>
  <c r="A19920" i="19"/>
  <c r="A19919" i="19"/>
  <c r="A19918" i="19"/>
  <c r="A19917" i="19"/>
  <c r="A19916" i="19"/>
  <c r="A19915" i="19"/>
  <c r="A19914" i="19"/>
  <c r="A19913" i="19"/>
  <c r="A19912" i="19"/>
  <c r="A19911" i="19"/>
  <c r="A19910" i="19"/>
  <c r="A19909" i="19"/>
  <c r="A19908" i="19"/>
  <c r="A19907" i="19"/>
  <c r="A19906" i="19"/>
  <c r="A19905" i="19"/>
  <c r="A19904" i="19"/>
  <c r="A19903" i="19"/>
  <c r="A19902" i="19"/>
  <c r="A19901" i="19"/>
  <c r="A19900" i="19"/>
  <c r="A19899" i="19"/>
  <c r="A19898" i="19"/>
  <c r="A19897" i="19"/>
  <c r="A19896" i="19"/>
  <c r="A19895" i="19"/>
  <c r="A19894" i="19"/>
  <c r="A19893" i="19"/>
  <c r="A19892" i="19"/>
  <c r="A19891" i="19"/>
  <c r="A19890" i="19"/>
  <c r="A19889" i="19"/>
  <c r="A19888" i="19"/>
  <c r="A19887" i="19"/>
  <c r="A19886" i="19"/>
  <c r="A19885" i="19"/>
  <c r="A19884" i="19"/>
  <c r="A19883" i="19"/>
  <c r="A19882" i="19"/>
  <c r="A19881" i="19"/>
  <c r="A19880" i="19"/>
  <c r="A19879" i="19"/>
  <c r="A19878" i="19"/>
  <c r="A19877" i="19"/>
  <c r="A19876" i="19"/>
  <c r="A19875" i="19"/>
  <c r="A19874" i="19"/>
  <c r="A19873" i="19"/>
  <c r="A19872" i="19"/>
  <c r="A19871" i="19"/>
  <c r="A19870" i="19"/>
  <c r="A19869" i="19"/>
  <c r="A19868" i="19"/>
  <c r="A19867" i="19"/>
  <c r="A19866" i="19"/>
  <c r="A19865" i="19"/>
  <c r="A19864" i="19"/>
  <c r="A19863" i="19"/>
  <c r="A19862" i="19"/>
  <c r="A19861" i="19"/>
  <c r="A19860" i="19"/>
  <c r="A19859" i="19"/>
  <c r="A19858" i="19"/>
  <c r="A19857" i="19"/>
  <c r="A19856" i="19"/>
  <c r="A19855" i="19"/>
  <c r="A19854" i="19"/>
  <c r="A19853" i="19"/>
  <c r="A19852" i="19"/>
  <c r="A19851" i="19"/>
  <c r="A19850" i="19"/>
  <c r="A19849" i="19"/>
  <c r="A19848" i="19"/>
  <c r="A19847" i="19"/>
  <c r="A19846" i="19"/>
  <c r="A19845" i="19"/>
  <c r="A19844" i="19"/>
  <c r="A19843" i="19"/>
  <c r="A19842" i="19"/>
  <c r="A19841" i="19"/>
  <c r="A19840" i="19"/>
  <c r="A19839" i="19"/>
  <c r="A19838" i="19"/>
  <c r="A19837" i="19"/>
  <c r="A19836" i="19"/>
  <c r="A19835" i="19"/>
  <c r="A19834" i="19"/>
  <c r="A19833" i="19"/>
  <c r="A19832" i="19"/>
  <c r="A19831" i="19"/>
  <c r="A19830" i="19"/>
  <c r="A19829" i="19"/>
  <c r="A19828" i="19"/>
  <c r="A19827" i="19"/>
  <c r="A19826" i="19"/>
  <c r="A19825" i="19"/>
  <c r="A19824" i="19"/>
  <c r="A19823" i="19"/>
  <c r="A19822" i="19"/>
  <c r="A19821" i="19"/>
  <c r="A19820" i="19"/>
  <c r="A19819" i="19"/>
  <c r="A19818" i="19"/>
  <c r="A19817" i="19"/>
  <c r="A19816" i="19"/>
  <c r="A19815" i="19"/>
  <c r="A19814" i="19"/>
  <c r="A19813" i="19"/>
  <c r="A19812" i="19"/>
  <c r="A19811" i="19"/>
  <c r="A19810" i="19"/>
  <c r="A19809" i="19"/>
  <c r="A19808" i="19"/>
  <c r="A19807" i="19"/>
  <c r="A19806" i="19"/>
  <c r="A19805" i="19"/>
  <c r="A19804" i="19"/>
  <c r="A19803" i="19"/>
  <c r="A19802" i="19"/>
  <c r="A19801" i="19"/>
  <c r="A19800" i="19"/>
  <c r="A19799" i="19"/>
  <c r="A19798" i="19"/>
  <c r="A19797" i="19"/>
  <c r="A19796" i="19"/>
  <c r="A19795" i="19"/>
  <c r="A19794" i="19"/>
  <c r="A19793" i="19"/>
  <c r="A19792" i="19"/>
  <c r="A19791" i="19"/>
  <c r="A19790" i="19"/>
  <c r="A19789" i="19"/>
  <c r="A19788" i="19"/>
  <c r="A19787" i="19"/>
  <c r="A19786" i="19"/>
  <c r="A19785" i="19"/>
  <c r="A19784" i="19"/>
  <c r="A19783" i="19"/>
  <c r="A19782" i="19"/>
  <c r="A19781" i="19"/>
  <c r="A19780" i="19"/>
  <c r="A19779" i="19"/>
  <c r="A19778" i="19"/>
  <c r="A19777" i="19"/>
  <c r="A19776" i="19"/>
  <c r="A19775" i="19"/>
  <c r="A19774" i="19"/>
  <c r="A19773" i="19"/>
  <c r="A19772" i="19"/>
  <c r="A19771" i="19"/>
  <c r="A19770" i="19"/>
  <c r="A19769" i="19"/>
  <c r="A19768" i="19"/>
  <c r="A19767" i="19"/>
  <c r="A19766" i="19"/>
  <c r="A19765" i="19"/>
  <c r="A19764" i="19"/>
  <c r="A19763" i="19"/>
  <c r="A19762" i="19"/>
  <c r="A19761" i="19"/>
  <c r="A19760" i="19"/>
  <c r="A19759" i="19"/>
  <c r="A19758" i="19"/>
  <c r="A19757" i="19"/>
  <c r="A19756" i="19"/>
  <c r="A19755" i="19"/>
  <c r="A19754" i="19"/>
  <c r="A19753" i="19"/>
  <c r="A19752" i="19"/>
  <c r="A19751" i="19"/>
  <c r="A19750" i="19"/>
  <c r="A19749" i="19"/>
  <c r="A19748" i="19"/>
  <c r="A19747" i="19"/>
  <c r="A19746" i="19"/>
  <c r="A19745" i="19"/>
  <c r="A19744" i="19"/>
  <c r="A19743" i="19"/>
  <c r="A19742" i="19"/>
  <c r="A19741" i="19"/>
  <c r="A19740" i="19"/>
  <c r="A19739" i="19"/>
  <c r="A19738" i="19"/>
  <c r="A19737" i="19"/>
  <c r="A19736" i="19"/>
  <c r="A19735" i="19"/>
  <c r="A19734" i="19"/>
  <c r="A19733" i="19"/>
  <c r="A19732" i="19"/>
  <c r="A19731" i="19"/>
  <c r="A19730" i="19"/>
  <c r="A19729" i="19"/>
  <c r="A19728" i="19"/>
  <c r="A19727" i="19"/>
  <c r="A19726" i="19"/>
  <c r="A19725" i="19"/>
  <c r="A19724" i="19"/>
  <c r="A19723" i="19"/>
  <c r="A19722" i="19"/>
  <c r="A19721" i="19"/>
  <c r="A19720" i="19"/>
  <c r="A19719" i="19"/>
  <c r="A19718" i="19"/>
  <c r="A19717" i="19"/>
  <c r="A19716" i="19"/>
  <c r="A19715" i="19"/>
  <c r="A19714" i="19"/>
  <c r="A19713" i="19"/>
  <c r="A19712" i="19"/>
  <c r="A19711" i="19"/>
  <c r="A19710" i="19"/>
  <c r="A19709" i="19"/>
  <c r="A19708" i="19"/>
  <c r="A19707" i="19"/>
  <c r="A19706" i="19"/>
  <c r="A19705" i="19"/>
  <c r="A19704" i="19"/>
  <c r="A19703" i="19"/>
  <c r="A19702" i="19"/>
  <c r="A19701" i="19"/>
  <c r="A19700" i="19"/>
  <c r="A19699" i="19"/>
  <c r="A19698" i="19"/>
  <c r="A19697" i="19"/>
  <c r="A19696" i="19"/>
  <c r="A19695" i="19"/>
  <c r="A19694" i="19"/>
  <c r="A19693" i="19"/>
  <c r="A19692" i="19"/>
  <c r="A19691" i="19"/>
  <c r="A19690" i="19"/>
  <c r="A19689" i="19"/>
  <c r="A19688" i="19"/>
  <c r="A19687" i="19"/>
  <c r="A19686" i="19"/>
  <c r="A19685" i="19"/>
  <c r="A19684" i="19"/>
  <c r="A19683" i="19"/>
  <c r="A19682" i="19"/>
  <c r="A19681" i="19"/>
  <c r="A19680" i="19"/>
  <c r="A19679" i="19"/>
  <c r="A19678" i="19"/>
  <c r="A19677" i="19"/>
  <c r="A19676" i="19"/>
  <c r="A19675" i="19"/>
  <c r="A19674" i="19"/>
  <c r="A19673" i="19"/>
  <c r="A19672" i="19"/>
  <c r="A19671" i="19"/>
  <c r="A19670" i="19"/>
  <c r="A19669" i="19"/>
  <c r="A19668" i="19"/>
  <c r="A19667" i="19"/>
  <c r="A19666" i="19"/>
  <c r="A19665" i="19"/>
  <c r="A19664" i="19"/>
  <c r="A19663" i="19"/>
  <c r="A19662" i="19"/>
  <c r="A19661" i="19"/>
  <c r="A19660" i="19"/>
  <c r="A19659" i="19"/>
  <c r="A19658" i="19"/>
  <c r="A19657" i="19"/>
  <c r="A19656" i="19"/>
  <c r="A19655" i="19"/>
  <c r="A19654" i="19"/>
  <c r="A19653" i="19"/>
  <c r="A19652" i="19"/>
  <c r="A19651" i="19"/>
  <c r="A19650" i="19"/>
  <c r="A19649" i="19"/>
  <c r="A19648" i="19"/>
  <c r="A19647" i="19"/>
  <c r="A19646" i="19"/>
  <c r="A19645" i="19"/>
  <c r="A19644" i="19"/>
  <c r="A19643" i="19"/>
  <c r="A19642" i="19"/>
  <c r="A19641" i="19"/>
  <c r="A19640" i="19"/>
  <c r="A19639" i="19"/>
  <c r="A19638" i="19"/>
  <c r="A19637" i="19"/>
  <c r="A19636" i="19"/>
  <c r="A19635" i="19"/>
  <c r="A19634" i="19"/>
  <c r="A19633" i="19"/>
  <c r="A19632" i="19"/>
  <c r="A19631" i="19"/>
  <c r="A19630" i="19"/>
  <c r="A19629" i="19"/>
  <c r="A19628" i="19"/>
  <c r="A19627" i="19"/>
  <c r="A19626" i="19"/>
  <c r="A19625" i="19"/>
  <c r="A19624" i="19"/>
  <c r="A19623" i="19"/>
  <c r="A19622" i="19"/>
  <c r="A19621" i="19"/>
  <c r="A19620" i="19"/>
  <c r="A19619" i="19"/>
  <c r="A19618" i="19"/>
  <c r="A19617" i="19"/>
  <c r="A19616" i="19"/>
  <c r="A19615" i="19"/>
  <c r="A19614" i="19"/>
  <c r="A19613" i="19"/>
  <c r="A19612" i="19"/>
  <c r="A19611" i="19"/>
  <c r="A19610" i="19"/>
  <c r="A19609" i="19"/>
  <c r="A19608" i="19"/>
  <c r="A19607" i="19"/>
  <c r="A19606" i="19"/>
  <c r="A19605" i="19"/>
  <c r="A19604" i="19"/>
  <c r="A19603" i="19"/>
  <c r="A19602" i="19"/>
  <c r="A19601" i="19"/>
  <c r="A19600" i="19"/>
  <c r="A19599" i="19"/>
  <c r="A19598" i="19"/>
  <c r="A19597" i="19"/>
  <c r="A19596" i="19"/>
  <c r="A19595" i="19"/>
  <c r="A19594" i="19"/>
  <c r="A19593" i="19"/>
  <c r="A19592" i="19"/>
  <c r="A19591" i="19"/>
  <c r="A19590" i="19"/>
  <c r="A19589" i="19"/>
  <c r="A19588" i="19"/>
  <c r="A19587" i="19"/>
  <c r="A19586" i="19"/>
  <c r="A19585" i="19"/>
  <c r="A19584" i="19"/>
  <c r="A19583" i="19"/>
  <c r="A19582" i="19"/>
  <c r="A19581" i="19"/>
  <c r="A19580" i="19"/>
  <c r="A19579" i="19"/>
  <c r="A19578" i="19"/>
  <c r="A19577" i="19"/>
  <c r="A19576" i="19"/>
  <c r="A19575" i="19"/>
  <c r="A19574" i="19"/>
  <c r="A19573" i="19"/>
  <c r="A19572" i="19"/>
  <c r="A19571" i="19"/>
  <c r="A19570" i="19"/>
  <c r="A19569" i="19"/>
  <c r="A19568" i="19"/>
  <c r="A19567" i="19"/>
  <c r="A19566" i="19"/>
  <c r="A19565" i="19"/>
  <c r="A19564" i="19"/>
  <c r="A19563" i="19"/>
  <c r="A19562" i="19"/>
  <c r="A19561" i="19"/>
  <c r="A19560" i="19"/>
  <c r="A19559" i="19"/>
  <c r="A19558" i="19"/>
  <c r="A19557" i="19"/>
  <c r="A19556" i="19"/>
  <c r="A19555" i="19"/>
  <c r="A19554" i="19"/>
  <c r="A19553" i="19"/>
  <c r="A19552" i="19"/>
  <c r="A19551" i="19"/>
  <c r="A19550" i="19"/>
  <c r="A19549" i="19"/>
  <c r="A19548" i="19"/>
  <c r="A19547" i="19"/>
  <c r="A19546" i="19"/>
  <c r="A19545" i="19"/>
  <c r="A19544" i="19"/>
  <c r="A19543" i="19"/>
  <c r="A19542" i="19"/>
  <c r="A19541" i="19"/>
  <c r="A19540" i="19"/>
  <c r="A19539" i="19"/>
  <c r="A19538" i="19"/>
  <c r="A19537" i="19"/>
  <c r="A19536" i="19"/>
  <c r="A19535" i="19"/>
  <c r="A19534" i="19"/>
  <c r="A19533" i="19"/>
  <c r="A19532" i="19"/>
  <c r="A19531" i="19"/>
  <c r="A19530" i="19"/>
  <c r="A19529" i="19"/>
  <c r="A19528" i="19"/>
  <c r="A19527" i="19"/>
  <c r="A19526" i="19"/>
  <c r="A19525" i="19"/>
  <c r="A19524" i="19"/>
  <c r="A19523" i="19"/>
  <c r="A19522" i="19"/>
  <c r="A19521" i="19"/>
  <c r="A19520" i="19"/>
  <c r="A19519" i="19"/>
  <c r="A19518" i="19"/>
  <c r="A19517" i="19"/>
  <c r="A19516" i="19"/>
  <c r="A19515" i="19"/>
  <c r="A19514" i="19"/>
  <c r="A19513" i="19"/>
  <c r="A19512" i="19"/>
  <c r="A19511" i="19"/>
  <c r="A19510" i="19"/>
  <c r="A19509" i="19"/>
  <c r="A19508" i="19"/>
  <c r="A19507" i="19"/>
  <c r="A19506" i="19"/>
  <c r="A19505" i="19"/>
  <c r="A19504" i="19"/>
  <c r="A19503" i="19"/>
  <c r="A19502" i="19"/>
  <c r="A19501" i="19"/>
  <c r="A19500" i="19"/>
  <c r="A19499" i="19"/>
  <c r="A19498" i="19"/>
  <c r="A19497" i="19"/>
  <c r="A19496" i="19"/>
  <c r="A19495" i="19"/>
  <c r="A19494" i="19"/>
  <c r="A19493" i="19"/>
  <c r="A19492" i="19"/>
  <c r="A19491" i="19"/>
  <c r="A19490" i="19"/>
  <c r="A19489" i="19"/>
  <c r="A19488" i="19"/>
  <c r="A19487" i="19"/>
  <c r="A19486" i="19"/>
  <c r="A19485" i="19"/>
  <c r="A19484" i="19"/>
  <c r="A19483" i="19"/>
  <c r="A19482" i="19"/>
  <c r="A19481" i="19"/>
  <c r="A19480" i="19"/>
  <c r="A19479" i="19"/>
  <c r="A19478" i="19"/>
  <c r="A19477" i="19"/>
  <c r="A19476" i="19"/>
  <c r="A19475" i="19"/>
  <c r="A19474" i="19"/>
  <c r="A19473" i="19"/>
  <c r="A19472" i="19"/>
  <c r="A19471" i="19"/>
  <c r="A19470" i="19"/>
  <c r="A19469" i="19"/>
  <c r="A19468" i="19"/>
  <c r="A19467" i="19"/>
  <c r="A19466" i="19"/>
  <c r="A19465" i="19"/>
  <c r="A19464" i="19"/>
  <c r="A19463" i="19"/>
  <c r="A19462" i="19"/>
  <c r="A19461" i="19"/>
  <c r="A19460" i="19"/>
  <c r="A19459" i="19"/>
  <c r="A19458" i="19"/>
  <c r="A19457" i="19"/>
  <c r="A19456" i="19"/>
  <c r="A19455" i="19"/>
  <c r="A19454" i="19"/>
  <c r="A19453" i="19"/>
  <c r="A19452" i="19"/>
  <c r="A19451" i="19"/>
  <c r="A19450" i="19"/>
  <c r="A19449" i="19"/>
  <c r="A19448" i="19"/>
  <c r="A19447" i="19"/>
  <c r="A19446" i="19"/>
  <c r="A19445" i="19"/>
  <c r="A19444" i="19"/>
  <c r="A19443" i="19"/>
  <c r="A19442" i="19"/>
  <c r="A19441" i="19"/>
  <c r="A19440" i="19"/>
  <c r="A19439" i="19"/>
  <c r="A19438" i="19"/>
  <c r="A19437" i="19"/>
  <c r="A19436" i="19"/>
  <c r="A19435" i="19"/>
  <c r="A19434" i="19"/>
  <c r="A19433" i="19"/>
  <c r="A19432" i="19"/>
  <c r="A19431" i="19"/>
  <c r="A19430" i="19"/>
  <c r="A19429" i="19"/>
  <c r="A19428" i="19"/>
  <c r="A19427" i="19"/>
  <c r="A19426" i="19"/>
  <c r="A19425" i="19"/>
  <c r="A19424" i="19"/>
  <c r="A19423" i="19"/>
  <c r="A19422" i="19"/>
  <c r="A19421" i="19"/>
  <c r="A19420" i="19"/>
  <c r="A19419" i="19"/>
  <c r="A19418" i="19"/>
  <c r="A19417" i="19"/>
  <c r="A19416" i="19"/>
  <c r="A19415" i="19"/>
  <c r="A19414" i="19"/>
  <c r="A19413" i="19"/>
  <c r="A19412" i="19"/>
  <c r="A19411" i="19"/>
  <c r="A19410" i="19"/>
  <c r="A19409" i="19"/>
  <c r="A19408" i="19"/>
  <c r="A19407" i="19"/>
  <c r="A19406" i="19"/>
  <c r="A19405" i="19"/>
  <c r="A19404" i="19"/>
  <c r="A19403" i="19"/>
  <c r="A19402" i="19"/>
  <c r="A19401" i="19"/>
  <c r="A19400" i="19"/>
  <c r="A19399" i="19"/>
  <c r="A19398" i="19"/>
  <c r="A19397" i="19"/>
  <c r="A19396" i="19"/>
  <c r="A19395" i="19"/>
  <c r="A19394" i="19"/>
  <c r="A19393" i="19"/>
  <c r="A19392" i="19"/>
  <c r="A19391" i="19"/>
  <c r="A19390" i="19"/>
  <c r="A19389" i="19"/>
  <c r="A19388" i="19"/>
  <c r="A19387" i="19"/>
  <c r="A19386" i="19"/>
  <c r="A19385" i="19"/>
  <c r="A19384" i="19"/>
  <c r="A19383" i="19"/>
  <c r="A19382" i="19"/>
  <c r="A19381" i="19"/>
  <c r="A19380" i="19"/>
  <c r="A19379" i="19"/>
  <c r="A19378" i="19"/>
  <c r="A19377" i="19"/>
  <c r="A19376" i="19"/>
  <c r="A19375" i="19"/>
  <c r="A19374" i="19"/>
  <c r="A19373" i="19"/>
  <c r="A19372" i="19"/>
  <c r="A19371" i="19"/>
  <c r="A19370" i="19"/>
  <c r="A19369" i="19"/>
  <c r="A19368" i="19"/>
  <c r="A19367" i="19"/>
  <c r="A19366" i="19"/>
  <c r="A19365" i="19"/>
  <c r="A19364" i="19"/>
  <c r="A19363" i="19"/>
  <c r="A19362" i="19"/>
  <c r="A19361" i="19"/>
  <c r="A19360" i="19"/>
  <c r="A19359" i="19"/>
  <c r="A19358" i="19"/>
  <c r="A19357" i="19"/>
  <c r="A19356" i="19"/>
  <c r="A19355" i="19"/>
  <c r="A19354" i="19"/>
  <c r="A19353" i="19"/>
  <c r="A19352" i="19"/>
  <c r="A19351" i="19"/>
  <c r="A19350" i="19"/>
  <c r="A19349" i="19"/>
  <c r="A19348" i="19"/>
  <c r="A19347" i="19"/>
  <c r="A19346" i="19"/>
  <c r="A19345" i="19"/>
  <c r="A19344" i="19"/>
  <c r="A19343" i="19"/>
  <c r="A19342" i="19"/>
  <c r="A19341" i="19"/>
  <c r="A19340" i="19"/>
  <c r="A19339" i="19"/>
  <c r="A19338" i="19"/>
  <c r="A19337" i="19"/>
  <c r="A19336" i="19"/>
  <c r="A19335" i="19"/>
  <c r="A19334" i="19"/>
  <c r="A19333" i="19"/>
  <c r="A19332" i="19"/>
  <c r="A19331" i="19"/>
  <c r="A19330" i="19"/>
  <c r="A19329" i="19"/>
  <c r="A19328" i="19"/>
  <c r="A19327" i="19"/>
  <c r="A19326" i="19"/>
  <c r="A19325" i="19"/>
  <c r="A19324" i="19"/>
  <c r="A19323" i="19"/>
  <c r="A19322" i="19"/>
  <c r="A19321" i="19"/>
  <c r="A19320" i="19"/>
  <c r="A19319" i="19"/>
  <c r="A19318" i="19"/>
  <c r="A19317" i="19"/>
  <c r="A19316" i="19"/>
  <c r="A19315" i="19"/>
  <c r="A19314" i="19"/>
  <c r="A19313" i="19"/>
  <c r="A19312" i="19"/>
  <c r="A19311" i="19"/>
  <c r="A19310" i="19"/>
  <c r="A19309" i="19"/>
  <c r="A19308" i="19"/>
  <c r="A19307" i="19"/>
  <c r="A19306" i="19"/>
  <c r="A19305" i="19"/>
  <c r="A19304" i="19"/>
  <c r="A19303" i="19"/>
  <c r="A19302" i="19"/>
  <c r="A19301" i="19"/>
  <c r="A19300" i="19"/>
  <c r="A19299" i="19"/>
  <c r="A19298" i="19"/>
  <c r="A19297" i="19"/>
  <c r="A19296" i="19"/>
  <c r="A19295" i="19"/>
  <c r="A19294" i="19"/>
  <c r="A19293" i="19"/>
  <c r="A19292" i="19"/>
  <c r="A19291" i="19"/>
  <c r="A19290" i="19"/>
  <c r="A19289" i="19"/>
  <c r="A19288" i="19"/>
  <c r="A19287" i="19"/>
  <c r="A19286" i="19"/>
  <c r="A19285" i="19"/>
  <c r="A19284" i="19"/>
  <c r="A19283" i="19"/>
  <c r="A19282" i="19"/>
  <c r="A19281" i="19"/>
  <c r="A19280" i="19"/>
  <c r="A19279" i="19"/>
  <c r="A19278" i="19"/>
  <c r="A19277" i="19"/>
  <c r="A19276" i="19"/>
  <c r="A19275" i="19"/>
  <c r="A19274" i="19"/>
  <c r="A19273" i="19"/>
  <c r="A19272" i="19"/>
  <c r="A19271" i="19"/>
  <c r="A19270" i="19"/>
  <c r="A19269" i="19"/>
  <c r="A19268" i="19"/>
  <c r="A19267" i="19"/>
  <c r="A19266" i="19"/>
  <c r="A19265" i="19"/>
  <c r="A19264" i="19"/>
  <c r="A19263" i="19"/>
  <c r="A19262" i="19"/>
  <c r="A19261" i="19"/>
  <c r="A19260" i="19"/>
  <c r="A19259" i="19"/>
  <c r="A19258" i="19"/>
  <c r="A19257" i="19"/>
  <c r="A19256" i="19"/>
  <c r="A19255" i="19"/>
  <c r="A19254" i="19"/>
  <c r="A19253" i="19"/>
  <c r="A19252" i="19"/>
  <c r="A19251" i="19"/>
  <c r="A19250" i="19"/>
  <c r="A19249" i="19"/>
  <c r="A19248" i="19"/>
  <c r="A19247" i="19"/>
  <c r="A19246" i="19"/>
  <c r="A19245" i="19"/>
  <c r="A19244" i="19"/>
  <c r="A19243" i="19"/>
  <c r="A19242" i="19"/>
  <c r="A19241" i="19"/>
  <c r="A19240" i="19"/>
  <c r="A19239" i="19"/>
  <c r="A19238" i="19"/>
  <c r="A19237" i="19"/>
  <c r="A19236" i="19"/>
  <c r="A19235" i="19"/>
  <c r="A19234" i="19"/>
  <c r="A19233" i="19"/>
  <c r="A19232" i="19"/>
  <c r="A19231" i="19"/>
  <c r="A19230" i="19"/>
  <c r="A19229" i="19"/>
  <c r="A19228" i="19"/>
  <c r="A19227" i="19"/>
  <c r="A19226" i="19"/>
  <c r="A19225" i="19"/>
  <c r="A19224" i="19"/>
  <c r="A19223" i="19"/>
  <c r="A19222" i="19"/>
  <c r="A19221" i="19"/>
  <c r="A19220" i="19"/>
  <c r="A19219" i="19"/>
  <c r="A19218" i="19"/>
  <c r="A19217" i="19"/>
  <c r="A19216" i="19"/>
  <c r="A19215" i="19"/>
  <c r="A19214" i="19"/>
  <c r="A19213" i="19"/>
  <c r="A19212" i="19"/>
  <c r="A19211" i="19"/>
  <c r="A19210" i="19"/>
  <c r="A19209" i="19"/>
  <c r="A19208" i="19"/>
  <c r="A19207" i="19"/>
  <c r="A19206" i="19"/>
  <c r="A19205" i="19"/>
  <c r="A19204" i="19"/>
  <c r="A19203" i="19"/>
  <c r="A19202" i="19"/>
  <c r="A19201" i="19"/>
  <c r="A19200" i="19"/>
  <c r="A19199" i="19"/>
  <c r="A19198" i="19"/>
  <c r="A19197" i="19"/>
  <c r="A19196" i="19"/>
  <c r="A19195" i="19"/>
  <c r="A19194" i="19"/>
  <c r="A19193" i="19"/>
  <c r="A19192" i="19"/>
  <c r="A19191" i="19"/>
  <c r="A19190" i="19"/>
  <c r="A19189" i="19"/>
  <c r="A19188" i="19"/>
  <c r="A19187" i="19"/>
  <c r="A19186" i="19"/>
  <c r="A19185" i="19"/>
  <c r="A19184" i="19"/>
  <c r="A19183" i="19"/>
  <c r="A19182" i="19"/>
  <c r="A19181" i="19"/>
  <c r="A19180" i="19"/>
  <c r="A19179" i="19"/>
  <c r="A19178" i="19"/>
  <c r="A19177" i="19"/>
  <c r="A19176" i="19"/>
  <c r="A19175" i="19"/>
  <c r="A19174" i="19"/>
  <c r="A19173" i="19"/>
  <c r="A19172" i="19"/>
  <c r="A19171" i="19"/>
  <c r="A19170" i="19"/>
  <c r="A19169" i="19"/>
  <c r="A19168" i="19"/>
  <c r="A19167" i="19"/>
  <c r="A19166" i="19"/>
  <c r="A19165" i="19"/>
  <c r="A19164" i="19"/>
  <c r="A19163" i="19"/>
  <c r="A19162" i="19"/>
  <c r="A19161" i="19"/>
  <c r="A19160" i="19"/>
  <c r="A19159" i="19"/>
  <c r="A19158" i="19"/>
  <c r="A19157" i="19"/>
  <c r="A19156" i="19"/>
  <c r="A19155" i="19"/>
  <c r="A19154" i="19"/>
  <c r="A19153" i="19"/>
  <c r="A19152" i="19"/>
  <c r="A19151" i="19"/>
  <c r="A19150" i="19"/>
  <c r="A19149" i="19"/>
  <c r="A19148" i="19"/>
  <c r="A19147" i="19"/>
  <c r="A19146" i="19"/>
  <c r="A19145" i="19"/>
  <c r="A19144" i="19"/>
  <c r="A19143" i="19"/>
  <c r="A19142" i="19"/>
  <c r="A19141" i="19"/>
  <c r="A19140" i="19"/>
  <c r="A19139" i="19"/>
  <c r="A19138" i="19"/>
  <c r="A19137" i="19"/>
  <c r="A19136" i="19"/>
  <c r="A19135" i="19"/>
  <c r="A19134" i="19"/>
  <c r="A19133" i="19"/>
  <c r="A19132" i="19"/>
  <c r="A19131" i="19"/>
  <c r="A19130" i="19"/>
  <c r="A19129" i="19"/>
  <c r="A19128" i="19"/>
  <c r="A19127" i="19"/>
  <c r="A19126" i="19"/>
  <c r="A19125" i="19"/>
  <c r="A19124" i="19"/>
  <c r="A19123" i="19"/>
  <c r="A19122" i="19"/>
  <c r="A19121" i="19"/>
  <c r="A19120" i="19"/>
  <c r="A19119" i="19"/>
  <c r="A19118" i="19"/>
  <c r="A19117" i="19"/>
  <c r="A19116" i="19"/>
  <c r="A19115" i="19"/>
  <c r="A19114" i="19"/>
  <c r="A19113" i="19"/>
  <c r="A19112" i="19"/>
  <c r="A19111" i="19"/>
  <c r="A19110" i="19"/>
  <c r="A19109" i="19"/>
  <c r="A19108" i="19"/>
  <c r="A19107" i="19"/>
  <c r="A19106" i="19"/>
  <c r="A19105" i="19"/>
  <c r="A19104" i="19"/>
  <c r="A19103" i="19"/>
  <c r="A19102" i="19"/>
  <c r="A19101" i="19"/>
  <c r="A19100" i="19"/>
  <c r="A19099" i="19"/>
  <c r="A19098" i="19"/>
  <c r="A19097" i="19"/>
  <c r="A19096" i="19"/>
  <c r="A19095" i="19"/>
  <c r="A19094" i="19"/>
  <c r="A19093" i="19"/>
  <c r="A19092" i="19"/>
  <c r="A19091" i="19"/>
  <c r="A19090" i="19"/>
  <c r="A19089" i="19"/>
  <c r="A19088" i="19"/>
  <c r="A19087" i="19"/>
  <c r="A19086" i="19"/>
  <c r="A19085" i="19"/>
  <c r="A19084" i="19"/>
  <c r="A19083" i="19"/>
  <c r="A19082" i="19"/>
  <c r="A19081" i="19"/>
  <c r="A19080" i="19"/>
  <c r="A19079" i="19"/>
  <c r="A19078" i="19"/>
  <c r="A19077" i="19"/>
  <c r="A19076" i="19"/>
  <c r="A19075" i="19"/>
  <c r="A19074" i="19"/>
  <c r="A19073" i="19"/>
  <c r="A19072" i="19"/>
  <c r="A19071" i="19"/>
  <c r="A19070" i="19"/>
  <c r="A19069" i="19"/>
  <c r="A19068" i="19"/>
  <c r="A19067" i="19"/>
  <c r="A19066" i="19"/>
  <c r="A19065" i="19"/>
  <c r="A19064" i="19"/>
  <c r="A19063" i="19"/>
  <c r="A19062" i="19"/>
  <c r="A19061" i="19"/>
  <c r="A19060" i="19"/>
  <c r="A19059" i="19"/>
  <c r="A19058" i="19"/>
  <c r="A19057" i="19"/>
  <c r="A19056" i="19"/>
  <c r="A19055" i="19"/>
  <c r="A19054" i="19"/>
  <c r="A19053" i="19"/>
  <c r="A19052" i="19"/>
  <c r="A19051" i="19"/>
  <c r="A19050" i="19"/>
  <c r="A19049" i="19"/>
  <c r="A19048" i="19"/>
  <c r="A19047" i="19"/>
  <c r="A19046" i="19"/>
  <c r="A19045" i="19"/>
  <c r="A19044" i="19"/>
  <c r="A19043" i="19"/>
  <c r="A19042" i="19"/>
  <c r="A19041" i="19"/>
  <c r="A19040" i="19"/>
  <c r="A19039" i="19"/>
  <c r="A19038" i="19"/>
  <c r="A19037" i="19"/>
  <c r="A19036" i="19"/>
  <c r="A19035" i="19"/>
  <c r="A19034" i="19"/>
  <c r="A19033" i="19"/>
  <c r="A19032" i="19"/>
  <c r="A19031" i="19"/>
  <c r="A19030" i="19"/>
  <c r="A19029" i="19"/>
  <c r="A19028" i="19"/>
  <c r="A19027" i="19"/>
  <c r="A19026" i="19"/>
  <c r="A19025" i="19"/>
  <c r="A19024" i="19"/>
  <c r="A19023" i="19"/>
  <c r="A19022" i="19"/>
  <c r="A19021" i="19"/>
  <c r="A19020" i="19"/>
  <c r="A19019" i="19"/>
  <c r="A19018" i="19"/>
  <c r="A19017" i="19"/>
  <c r="A19016" i="19"/>
  <c r="A19015" i="19"/>
  <c r="A19014" i="19"/>
  <c r="A19013" i="19"/>
  <c r="A19012" i="19"/>
  <c r="A19011" i="19"/>
  <c r="A19010" i="19"/>
  <c r="A19009" i="19"/>
  <c r="A19008" i="19"/>
  <c r="A19007" i="19"/>
  <c r="A19006" i="19"/>
  <c r="A19005" i="19"/>
  <c r="A19004" i="19"/>
  <c r="A19003" i="19"/>
  <c r="A19002" i="19"/>
  <c r="A19001" i="19"/>
  <c r="A19000" i="19"/>
  <c r="A18999" i="19"/>
  <c r="A18998" i="19"/>
  <c r="A18997" i="19"/>
  <c r="A18996" i="19"/>
  <c r="A18995" i="19"/>
  <c r="A18994" i="19"/>
  <c r="A18993" i="19"/>
  <c r="A18992" i="19"/>
  <c r="A18991" i="19"/>
  <c r="A18990" i="19"/>
  <c r="A18989" i="19"/>
  <c r="A18988" i="19"/>
  <c r="A18987" i="19"/>
  <c r="A18986" i="19"/>
  <c r="A18985" i="19"/>
  <c r="A18984" i="19"/>
  <c r="A18983" i="19"/>
  <c r="A18982" i="19"/>
  <c r="A18981" i="19"/>
  <c r="A18980" i="19"/>
  <c r="A18979" i="19"/>
  <c r="A18978" i="19"/>
  <c r="A18977" i="19"/>
  <c r="A18976" i="19"/>
  <c r="A18975" i="19"/>
  <c r="A18974" i="19"/>
  <c r="A18973" i="19"/>
  <c r="A18972" i="19"/>
  <c r="A18971" i="19"/>
  <c r="A18970" i="19"/>
  <c r="A18969" i="19"/>
  <c r="A18968" i="19"/>
  <c r="A18967" i="19"/>
  <c r="A18966" i="19"/>
  <c r="A18965" i="19"/>
  <c r="A18964" i="19"/>
  <c r="A18963" i="19"/>
  <c r="A18962" i="19"/>
  <c r="A18961" i="19"/>
  <c r="A18960" i="19"/>
  <c r="A18959" i="19"/>
  <c r="A18958" i="19"/>
  <c r="A18957" i="19"/>
  <c r="A18956" i="19"/>
  <c r="A18955" i="19"/>
  <c r="A18954" i="19"/>
  <c r="A18953" i="19"/>
  <c r="A18952" i="19"/>
  <c r="A18951" i="19"/>
  <c r="A18950" i="19"/>
  <c r="A18949" i="19"/>
  <c r="A18948" i="19"/>
  <c r="A18947" i="19"/>
  <c r="A18946" i="19"/>
  <c r="A18945" i="19"/>
  <c r="A18944" i="19"/>
  <c r="A18943" i="19"/>
  <c r="A18942" i="19"/>
  <c r="A18941" i="19"/>
  <c r="A18940" i="19"/>
  <c r="A18939" i="19"/>
  <c r="A18938" i="19"/>
  <c r="A18937" i="19"/>
  <c r="A18936" i="19"/>
  <c r="A18935" i="19"/>
  <c r="A18934" i="19"/>
  <c r="A18933" i="19"/>
  <c r="A18932" i="19"/>
  <c r="A18931" i="19"/>
  <c r="A18930" i="19"/>
  <c r="A18929" i="19"/>
  <c r="A18928" i="19"/>
  <c r="A18927" i="19"/>
  <c r="A18926" i="19"/>
  <c r="A18925" i="19"/>
  <c r="A18924" i="19"/>
  <c r="A18923" i="19"/>
  <c r="A18922" i="19"/>
  <c r="A18921" i="19"/>
  <c r="A18920" i="19"/>
  <c r="A18919" i="19"/>
  <c r="A18918" i="19"/>
  <c r="A18917" i="19"/>
  <c r="A18916" i="19"/>
  <c r="A18915" i="19"/>
  <c r="A18914" i="19"/>
  <c r="A18913" i="19"/>
  <c r="A18912" i="19"/>
  <c r="A18911" i="19"/>
  <c r="A18910" i="19"/>
  <c r="A18909" i="19"/>
  <c r="A18908" i="19"/>
  <c r="A18907" i="19"/>
  <c r="A18906" i="19"/>
  <c r="A18905" i="19"/>
  <c r="A18904" i="19"/>
  <c r="A18903" i="19"/>
  <c r="A18902" i="19"/>
  <c r="A18901" i="19"/>
  <c r="A18900" i="19"/>
  <c r="A18899" i="19"/>
  <c r="A18898" i="19"/>
  <c r="A18897" i="19"/>
  <c r="A18896" i="19"/>
  <c r="A18895" i="19"/>
  <c r="A18894" i="19"/>
  <c r="A18893" i="19"/>
  <c r="A18892" i="19"/>
  <c r="A18891" i="19"/>
  <c r="A18890" i="19"/>
  <c r="A18889" i="19"/>
  <c r="A18888" i="19"/>
  <c r="A18887" i="19"/>
  <c r="A18886" i="19"/>
  <c r="A18885" i="19"/>
  <c r="A18884" i="19"/>
  <c r="A18883" i="19"/>
  <c r="A18882" i="19"/>
  <c r="A18881" i="19"/>
  <c r="A18880" i="19"/>
  <c r="A18879" i="19"/>
  <c r="A18878" i="19"/>
  <c r="A18877" i="19"/>
  <c r="A18876" i="19"/>
  <c r="A18875" i="19"/>
  <c r="A18874" i="19"/>
  <c r="A18873" i="19"/>
  <c r="A18872" i="19"/>
  <c r="A18871" i="19"/>
  <c r="A18870" i="19"/>
  <c r="A18869" i="19"/>
  <c r="A18868" i="19"/>
  <c r="A18867" i="19"/>
  <c r="A18866" i="19"/>
  <c r="A18865" i="19"/>
  <c r="A18864" i="19"/>
  <c r="A18863" i="19"/>
  <c r="A18862" i="19"/>
  <c r="A18861" i="19"/>
  <c r="A18860" i="19"/>
  <c r="A18859" i="19"/>
  <c r="A18858" i="19"/>
  <c r="A18857" i="19"/>
  <c r="A18856" i="19"/>
  <c r="A18855" i="19"/>
  <c r="A18854" i="19"/>
  <c r="A18853" i="19"/>
  <c r="A18852" i="19"/>
  <c r="A18851" i="19"/>
  <c r="A18850" i="19"/>
  <c r="A18849" i="19"/>
  <c r="A18848" i="19"/>
  <c r="A18847" i="19"/>
  <c r="A18846" i="19"/>
  <c r="A18845" i="19"/>
  <c r="A18844" i="19"/>
  <c r="A18843" i="19"/>
  <c r="A18842" i="19"/>
  <c r="A18841" i="19"/>
  <c r="A18840" i="19"/>
  <c r="A18839" i="19"/>
  <c r="A18838" i="19"/>
  <c r="A18837" i="19"/>
  <c r="A18836" i="19"/>
  <c r="A18835" i="19"/>
  <c r="A18834" i="19"/>
  <c r="A18833" i="19"/>
  <c r="A18832" i="19"/>
  <c r="A18831" i="19"/>
  <c r="A18830" i="19"/>
  <c r="A18829" i="19"/>
  <c r="A18828" i="19"/>
  <c r="A18827" i="19"/>
  <c r="A18826" i="19"/>
  <c r="A18825" i="19"/>
  <c r="A18824" i="19"/>
  <c r="A18823" i="19"/>
  <c r="A18822" i="19"/>
  <c r="A18821" i="19"/>
  <c r="A18820" i="19"/>
  <c r="A18819" i="19"/>
  <c r="A18818" i="19"/>
  <c r="A18817" i="19"/>
  <c r="A18816" i="19"/>
  <c r="A18815" i="19"/>
  <c r="A18814" i="19"/>
  <c r="A18813" i="19"/>
  <c r="A18812" i="19"/>
  <c r="A18811" i="19"/>
  <c r="A18810" i="19"/>
  <c r="A18809" i="19"/>
  <c r="A18808" i="19"/>
  <c r="A18807" i="19"/>
  <c r="A18806" i="19"/>
  <c r="A18805" i="19"/>
  <c r="A18804" i="19"/>
  <c r="A18803" i="19"/>
  <c r="A18802" i="19"/>
  <c r="A18801" i="19"/>
  <c r="A18800" i="19"/>
  <c r="A18799" i="19"/>
  <c r="A18798" i="19"/>
  <c r="A18797" i="19"/>
  <c r="A18796" i="19"/>
  <c r="A18795" i="19"/>
  <c r="A18794" i="19"/>
  <c r="A18793" i="19"/>
  <c r="A18792" i="19"/>
  <c r="A18791" i="19"/>
  <c r="A18790" i="19"/>
  <c r="A18789" i="19"/>
  <c r="A18788" i="19"/>
  <c r="A18787" i="19"/>
  <c r="A18786" i="19"/>
  <c r="A18785" i="19"/>
  <c r="A18784" i="19"/>
  <c r="A18783" i="19"/>
  <c r="A18782" i="19"/>
  <c r="A18781" i="19"/>
  <c r="A18780" i="19"/>
  <c r="A18779" i="19"/>
  <c r="A18778" i="19"/>
  <c r="A18777" i="19"/>
  <c r="A18776" i="19"/>
  <c r="A18775" i="19"/>
  <c r="A18774" i="19"/>
  <c r="A18773" i="19"/>
  <c r="A18772" i="19"/>
  <c r="A18771" i="19"/>
  <c r="A18770" i="19"/>
  <c r="A18769" i="19"/>
  <c r="A18768" i="19"/>
  <c r="A18767" i="19"/>
  <c r="A18766" i="19"/>
  <c r="A18765" i="19"/>
  <c r="A18764" i="19"/>
  <c r="A18763" i="19"/>
  <c r="A18762" i="19"/>
  <c r="A18761" i="19"/>
  <c r="A18760" i="19"/>
  <c r="A18759" i="19"/>
  <c r="A18758" i="19"/>
  <c r="A18757" i="19"/>
  <c r="A18756" i="19"/>
  <c r="A18755" i="19"/>
  <c r="A18754" i="19"/>
  <c r="A18753" i="19"/>
  <c r="A18752" i="19"/>
  <c r="A18751" i="19"/>
  <c r="A18750" i="19"/>
  <c r="A18749" i="19"/>
  <c r="A18748" i="19"/>
  <c r="A18747" i="19"/>
  <c r="A18746" i="19"/>
  <c r="A18745" i="19"/>
  <c r="A18744" i="19"/>
  <c r="A18743" i="19"/>
  <c r="A18742" i="19"/>
  <c r="A18741" i="19"/>
  <c r="A18740" i="19"/>
  <c r="A18739" i="19"/>
  <c r="A18738" i="19"/>
  <c r="A18737" i="19"/>
  <c r="A18736" i="19"/>
  <c r="A18735" i="19"/>
  <c r="A18734" i="19"/>
  <c r="A18733" i="19"/>
  <c r="A18732" i="19"/>
  <c r="A18731" i="19"/>
  <c r="A18730" i="19"/>
  <c r="A18729" i="19"/>
  <c r="A18728" i="19"/>
  <c r="A18727" i="19"/>
  <c r="A18726" i="19"/>
  <c r="A18725" i="19"/>
  <c r="A18724" i="19"/>
  <c r="A18723" i="19"/>
  <c r="A18722" i="19"/>
  <c r="A18721" i="19"/>
  <c r="A18720" i="19"/>
  <c r="A18719" i="19"/>
  <c r="A18718" i="19"/>
  <c r="A18717" i="19"/>
  <c r="A18716" i="19"/>
  <c r="A18715" i="19"/>
  <c r="A18714" i="19"/>
  <c r="A18713" i="19"/>
  <c r="A18712" i="19"/>
  <c r="A18711" i="19"/>
  <c r="A18710" i="19"/>
  <c r="A18709" i="19"/>
  <c r="A18708" i="19"/>
  <c r="A18707" i="19"/>
  <c r="A18706" i="19"/>
  <c r="A18705" i="19"/>
  <c r="A18704" i="19"/>
  <c r="A18703" i="19"/>
  <c r="A18702" i="19"/>
  <c r="A18701" i="19"/>
  <c r="A18700" i="19"/>
  <c r="A18699" i="19"/>
  <c r="A18698" i="19"/>
  <c r="A18697" i="19"/>
  <c r="A18696" i="19"/>
  <c r="A18695" i="19"/>
  <c r="A18694" i="19"/>
  <c r="A18693" i="19"/>
  <c r="A18692" i="19"/>
  <c r="A18691" i="19"/>
  <c r="A18690" i="19"/>
  <c r="A18689" i="19"/>
  <c r="A18688" i="19"/>
  <c r="A18687" i="19"/>
  <c r="A18686" i="19"/>
  <c r="A18685" i="19"/>
  <c r="A18684" i="19"/>
  <c r="A18683" i="19"/>
  <c r="A18682" i="19"/>
  <c r="A18681" i="19"/>
  <c r="A18680" i="19"/>
  <c r="A18679" i="19"/>
  <c r="A18678" i="19"/>
  <c r="A18677" i="19"/>
  <c r="A18676" i="19"/>
  <c r="A18675" i="19"/>
  <c r="A18674" i="19"/>
  <c r="A18673" i="19"/>
  <c r="A18672" i="19"/>
  <c r="A18671" i="19"/>
  <c r="A18670" i="19"/>
  <c r="A18669" i="19"/>
  <c r="A18668" i="19"/>
  <c r="A18667" i="19"/>
  <c r="A18666" i="19"/>
  <c r="A18665" i="19"/>
  <c r="A18664" i="19"/>
  <c r="A18663" i="19"/>
  <c r="A18662" i="19"/>
  <c r="A18661" i="19"/>
  <c r="A18660" i="19"/>
  <c r="A18659" i="19"/>
  <c r="A18658" i="19"/>
  <c r="A18657" i="19"/>
  <c r="A18656" i="19"/>
  <c r="A18655" i="19"/>
  <c r="A18654" i="19"/>
  <c r="A18653" i="19"/>
  <c r="A18652" i="19"/>
  <c r="A18651" i="19"/>
  <c r="A18650" i="19"/>
  <c r="A18649" i="19"/>
  <c r="A18648" i="19"/>
  <c r="A18647" i="19"/>
  <c r="A18646" i="19"/>
  <c r="A18645" i="19"/>
  <c r="A18644" i="19"/>
  <c r="A18643" i="19"/>
  <c r="A18642" i="19"/>
  <c r="A18641" i="19"/>
  <c r="A18640" i="19"/>
  <c r="A18639" i="19"/>
  <c r="A18638" i="19"/>
  <c r="A18637" i="19"/>
  <c r="A18636" i="19"/>
  <c r="A18635" i="19"/>
  <c r="A18634" i="19"/>
  <c r="A18633" i="19"/>
  <c r="A18632" i="19"/>
  <c r="A18631" i="19"/>
  <c r="A18630" i="19"/>
  <c r="A18629" i="19"/>
  <c r="A18628" i="19"/>
  <c r="A18627" i="19"/>
  <c r="A18626" i="19"/>
  <c r="A18625" i="19"/>
  <c r="A18624" i="19"/>
  <c r="A18623" i="19"/>
  <c r="A18622" i="19"/>
  <c r="A18621" i="19"/>
  <c r="A18620" i="19"/>
  <c r="A18619" i="19"/>
  <c r="A18618" i="19"/>
  <c r="A18617" i="19"/>
  <c r="A18616" i="19"/>
  <c r="A18615" i="19"/>
  <c r="A18614" i="19"/>
  <c r="A18613" i="19"/>
  <c r="A18612" i="19"/>
  <c r="A18611" i="19"/>
  <c r="A18610" i="19"/>
  <c r="A18609" i="19"/>
  <c r="A18608" i="19"/>
  <c r="A18607" i="19"/>
  <c r="A18606" i="19"/>
  <c r="A18605" i="19"/>
  <c r="A18604" i="19"/>
  <c r="A18603" i="19"/>
  <c r="A18602" i="19"/>
  <c r="A18601" i="19"/>
  <c r="A18600" i="19"/>
  <c r="A18599" i="19"/>
  <c r="A18598" i="19"/>
  <c r="A18597" i="19"/>
  <c r="A18596" i="19"/>
  <c r="A18595" i="19"/>
  <c r="A18594" i="19"/>
  <c r="A18593" i="19"/>
  <c r="A18592" i="19"/>
  <c r="A18591" i="19"/>
  <c r="A18590" i="19"/>
  <c r="A18589" i="19"/>
  <c r="A18588" i="19"/>
  <c r="A18587" i="19"/>
  <c r="A18586" i="19"/>
  <c r="A18585" i="19"/>
  <c r="A18584" i="19"/>
  <c r="A18583" i="19"/>
  <c r="A18582" i="19"/>
  <c r="A18581" i="19"/>
  <c r="A18580" i="19"/>
  <c r="A18579" i="19"/>
  <c r="A18578" i="19"/>
  <c r="A18577" i="19"/>
  <c r="A18576" i="19"/>
  <c r="A18575" i="19"/>
  <c r="A18574" i="19"/>
  <c r="A18573" i="19"/>
  <c r="A18572" i="19"/>
  <c r="A18571" i="19"/>
  <c r="A18570" i="19"/>
  <c r="A18569" i="19"/>
  <c r="A18568" i="19"/>
  <c r="A18567" i="19"/>
  <c r="A18566" i="19"/>
  <c r="A18565" i="19"/>
  <c r="A18564" i="19"/>
  <c r="A18563" i="19"/>
  <c r="A18562" i="19"/>
  <c r="A18561" i="19"/>
  <c r="A18560" i="19"/>
  <c r="A18559" i="19"/>
  <c r="A18558" i="19"/>
  <c r="A18557" i="19"/>
  <c r="A18556" i="19"/>
  <c r="A18555" i="19"/>
  <c r="A18554" i="19"/>
  <c r="A18553" i="19"/>
  <c r="A18552" i="19"/>
  <c r="A18551" i="19"/>
  <c r="A18550" i="19"/>
  <c r="A18549" i="19"/>
  <c r="A18548" i="19"/>
  <c r="A18547" i="19"/>
  <c r="A18546" i="19"/>
  <c r="A18545" i="19"/>
  <c r="A18544" i="19"/>
  <c r="A18543" i="19"/>
  <c r="A18542" i="19"/>
  <c r="A18541" i="19"/>
  <c r="A18540" i="19"/>
  <c r="A18539" i="19"/>
  <c r="A18538" i="19"/>
  <c r="A18537" i="19"/>
  <c r="A18536" i="19"/>
  <c r="A18535" i="19"/>
  <c r="A18534" i="19"/>
  <c r="A18533" i="19"/>
  <c r="A18532" i="19"/>
  <c r="A18531" i="19"/>
  <c r="A18530" i="19"/>
  <c r="A18529" i="19"/>
  <c r="A18528" i="19"/>
  <c r="A18527" i="19"/>
  <c r="A18526" i="19"/>
  <c r="A18525" i="19"/>
  <c r="A18524" i="19"/>
  <c r="A18523" i="19"/>
  <c r="A18522" i="19"/>
  <c r="A18521" i="19"/>
  <c r="A18520" i="19"/>
  <c r="A18519" i="19"/>
  <c r="A18518" i="19"/>
  <c r="A18517" i="19"/>
  <c r="A18516" i="19"/>
  <c r="A18515" i="19"/>
  <c r="A18514" i="19"/>
  <c r="A18513" i="19"/>
  <c r="A18512" i="19"/>
  <c r="A18511" i="19"/>
  <c r="A18510" i="19"/>
  <c r="A18509" i="19"/>
  <c r="A18508" i="19"/>
  <c r="A18507" i="19"/>
  <c r="A18506" i="19"/>
  <c r="A18505" i="19"/>
  <c r="A18504" i="19"/>
  <c r="A18503" i="19"/>
  <c r="A18502" i="19"/>
  <c r="A18501" i="19"/>
  <c r="A18500" i="19"/>
  <c r="A18499" i="19"/>
  <c r="A18498" i="19"/>
  <c r="A18497" i="19"/>
  <c r="A18496" i="19"/>
  <c r="A18495" i="19"/>
  <c r="A18494" i="19"/>
  <c r="A18493" i="19"/>
  <c r="A18492" i="19"/>
  <c r="A18491" i="19"/>
  <c r="A18490" i="19"/>
  <c r="A18489" i="19"/>
  <c r="A18488" i="19"/>
  <c r="A18487" i="19"/>
  <c r="A18486" i="19"/>
  <c r="A18485" i="19"/>
  <c r="A18484" i="19"/>
  <c r="A18483" i="19"/>
  <c r="A18482" i="19"/>
  <c r="A18481" i="19"/>
  <c r="A18480" i="19"/>
  <c r="A18479" i="19"/>
  <c r="A18478" i="19"/>
  <c r="A18477" i="19"/>
  <c r="A18476" i="19"/>
  <c r="A18475" i="19"/>
  <c r="A18474" i="19"/>
  <c r="A18473" i="19"/>
  <c r="A18472" i="19"/>
  <c r="A18471" i="19"/>
  <c r="A18470" i="19"/>
  <c r="A18469" i="19"/>
  <c r="A18468" i="19"/>
  <c r="A18467" i="19"/>
  <c r="A18466" i="19"/>
  <c r="A18465" i="19"/>
  <c r="A18464" i="19"/>
  <c r="A18463" i="19"/>
  <c r="A18462" i="19"/>
  <c r="A18461" i="19"/>
  <c r="A18460" i="19"/>
  <c r="A18459" i="19"/>
  <c r="A18458" i="19"/>
  <c r="A18457" i="19"/>
  <c r="A18456" i="19"/>
  <c r="A18455" i="19"/>
  <c r="A18454" i="19"/>
  <c r="A18453" i="19"/>
  <c r="A18452" i="19"/>
  <c r="A18451" i="19"/>
  <c r="A18450" i="19"/>
  <c r="A18449" i="19"/>
  <c r="A18448" i="19"/>
  <c r="A18447" i="19"/>
  <c r="A18446" i="19"/>
  <c r="A18445" i="19"/>
  <c r="A18444" i="19"/>
  <c r="A18443" i="19"/>
  <c r="A18442" i="19"/>
  <c r="A18441" i="19"/>
  <c r="A18440" i="19"/>
  <c r="A18439" i="19"/>
  <c r="A18438" i="19"/>
  <c r="A18437" i="19"/>
  <c r="A18436" i="19"/>
  <c r="A18435" i="19"/>
  <c r="A18434" i="19"/>
  <c r="A18433" i="19"/>
  <c r="A18432" i="19"/>
  <c r="A18431" i="19"/>
  <c r="A18430" i="19"/>
  <c r="A18429" i="19"/>
  <c r="A18428" i="19"/>
  <c r="A18427" i="19"/>
  <c r="A18426" i="19"/>
  <c r="A18425" i="19"/>
  <c r="A18424" i="19"/>
  <c r="A18423" i="19"/>
  <c r="A18422" i="19"/>
  <c r="A18421" i="19"/>
  <c r="A18420" i="19"/>
  <c r="A18419" i="19"/>
  <c r="A18418" i="19"/>
  <c r="A18417" i="19"/>
  <c r="A18416" i="19"/>
  <c r="A18415" i="19"/>
  <c r="A18414" i="19"/>
  <c r="A18413" i="19"/>
  <c r="A18412" i="19"/>
  <c r="A18411" i="19"/>
  <c r="A18410" i="19"/>
  <c r="A18409" i="19"/>
  <c r="A18408" i="19"/>
  <c r="A18407" i="19"/>
  <c r="A18406" i="19"/>
  <c r="A18405" i="19"/>
  <c r="A18404" i="19"/>
  <c r="A18403" i="19"/>
  <c r="A18402" i="19"/>
  <c r="A18401" i="19"/>
  <c r="A18400" i="19"/>
  <c r="A18399" i="19"/>
  <c r="A18398" i="19"/>
  <c r="A18397" i="19"/>
  <c r="A18396" i="19"/>
  <c r="A18395" i="19"/>
  <c r="A18394" i="19"/>
  <c r="A18393" i="19"/>
  <c r="A18392" i="19"/>
  <c r="A18391" i="19"/>
  <c r="A18390" i="19"/>
  <c r="A18389" i="19"/>
  <c r="A18388" i="19"/>
  <c r="A18387" i="19"/>
  <c r="A18386" i="19"/>
  <c r="A18385" i="19"/>
  <c r="A18384" i="19"/>
  <c r="A18383" i="19"/>
  <c r="A18382" i="19"/>
  <c r="A18381" i="19"/>
  <c r="A18380" i="19"/>
  <c r="A18379" i="19"/>
  <c r="A18378" i="19"/>
  <c r="A18377" i="19"/>
  <c r="A18376" i="19"/>
  <c r="A18375" i="19"/>
  <c r="A18374" i="19"/>
  <c r="A18373" i="19"/>
  <c r="A18372" i="19"/>
  <c r="A18371" i="19"/>
  <c r="A18370" i="19"/>
  <c r="A18369" i="19"/>
  <c r="A18368" i="19"/>
  <c r="A18367" i="19"/>
  <c r="A18366" i="19"/>
  <c r="A18365" i="19"/>
  <c r="A18364" i="19"/>
  <c r="A18363" i="19"/>
  <c r="A18362" i="19"/>
  <c r="A18361" i="19"/>
  <c r="A18360" i="19"/>
  <c r="A18359" i="19"/>
  <c r="A18358" i="19"/>
  <c r="A18357" i="19"/>
  <c r="A18356" i="19"/>
  <c r="A18355" i="19"/>
  <c r="A18354" i="19"/>
  <c r="A18353" i="19"/>
  <c r="A18352" i="19"/>
  <c r="A18351" i="19"/>
  <c r="A18350" i="19"/>
  <c r="A18349" i="19"/>
  <c r="A18348" i="19"/>
  <c r="A18347" i="19"/>
  <c r="A18346" i="19"/>
  <c r="A18345" i="19"/>
  <c r="A18344" i="19"/>
  <c r="A18343" i="19"/>
  <c r="A18342" i="19"/>
  <c r="A18341" i="19"/>
  <c r="A18340" i="19"/>
  <c r="A18339" i="19"/>
  <c r="A18338" i="19"/>
  <c r="A18337" i="19"/>
  <c r="A18336" i="19"/>
  <c r="A18335" i="19"/>
  <c r="A18334" i="19"/>
  <c r="A18333" i="19"/>
  <c r="A18332" i="19"/>
  <c r="A18331" i="19"/>
  <c r="A18330" i="19"/>
  <c r="A18329" i="19"/>
  <c r="A18328" i="19"/>
  <c r="A18327" i="19"/>
  <c r="A18326" i="19"/>
  <c r="A18325" i="19"/>
  <c r="A18324" i="19"/>
  <c r="A18323" i="19"/>
  <c r="A18322" i="19"/>
  <c r="A18321" i="19"/>
  <c r="A18320" i="19"/>
  <c r="A18319" i="19"/>
  <c r="A18318" i="19"/>
  <c r="A18317" i="19"/>
  <c r="A18316" i="19"/>
  <c r="A18315" i="19"/>
  <c r="A18314" i="19"/>
  <c r="A18313" i="19"/>
  <c r="A18312" i="19"/>
  <c r="A18311" i="19"/>
  <c r="A18310" i="19"/>
  <c r="A18309" i="19"/>
  <c r="A18308" i="19"/>
  <c r="A18307" i="19"/>
  <c r="A18306" i="19"/>
  <c r="A18305" i="19"/>
  <c r="A18304" i="19"/>
  <c r="A18303" i="19"/>
  <c r="A18302" i="19"/>
  <c r="A18301" i="19"/>
  <c r="A18300" i="19"/>
  <c r="A18299" i="19"/>
  <c r="A18298" i="19"/>
  <c r="A18297" i="19"/>
  <c r="A18296" i="19"/>
  <c r="A18295" i="19"/>
  <c r="A18294" i="19"/>
  <c r="A18293" i="19"/>
  <c r="A18292" i="19"/>
  <c r="A18291" i="19"/>
  <c r="A18290" i="19"/>
  <c r="A18289" i="19"/>
  <c r="A18288" i="19"/>
  <c r="A18287" i="19"/>
  <c r="A18286" i="19"/>
  <c r="A18285" i="19"/>
  <c r="A18284" i="19"/>
  <c r="A18283" i="19"/>
  <c r="A18282" i="19"/>
  <c r="A18281" i="19"/>
  <c r="A18280" i="19"/>
  <c r="A18279" i="19"/>
  <c r="A18278" i="19"/>
  <c r="A18277" i="19"/>
  <c r="A18276" i="19"/>
  <c r="A18275" i="19"/>
  <c r="A18274" i="19"/>
  <c r="A18273" i="19"/>
  <c r="A18272" i="19"/>
  <c r="A18271" i="19"/>
  <c r="A18270" i="19"/>
  <c r="A18269" i="19"/>
  <c r="A18268" i="19"/>
  <c r="A18267" i="19"/>
  <c r="A18266" i="19"/>
  <c r="A18265" i="19"/>
  <c r="A18264" i="19"/>
  <c r="A18263" i="19"/>
  <c r="A18262" i="19"/>
  <c r="A18261" i="19"/>
  <c r="A18260" i="19"/>
  <c r="A18259" i="19"/>
  <c r="A18258" i="19"/>
  <c r="A18257" i="19"/>
  <c r="A18256" i="19"/>
  <c r="A18255" i="19"/>
  <c r="A18254" i="19"/>
  <c r="A18253" i="19"/>
  <c r="A18252" i="19"/>
  <c r="A18251" i="19"/>
  <c r="A18250" i="19"/>
  <c r="A18249" i="19"/>
  <c r="A18248" i="19"/>
  <c r="A18247" i="19"/>
  <c r="A18246" i="19"/>
  <c r="A18245" i="19"/>
  <c r="A18244" i="19"/>
  <c r="A18243" i="19"/>
  <c r="A18242" i="19"/>
  <c r="A18241" i="19"/>
  <c r="A18240" i="19"/>
  <c r="A18239" i="19"/>
  <c r="A18238" i="19"/>
  <c r="A18237" i="19"/>
  <c r="A18236" i="19"/>
  <c r="A18235" i="19"/>
  <c r="A18234" i="19"/>
  <c r="A18233" i="19"/>
  <c r="A18232" i="19"/>
  <c r="A18231" i="19"/>
  <c r="A18230" i="19"/>
  <c r="A18229" i="19"/>
  <c r="A18228" i="19"/>
  <c r="A18227" i="19"/>
  <c r="A18226" i="19"/>
  <c r="A18225" i="19"/>
  <c r="A18224" i="19"/>
  <c r="A18223" i="19"/>
  <c r="A18222" i="19"/>
  <c r="A18221" i="19"/>
  <c r="A18220" i="19"/>
  <c r="A18219" i="19"/>
  <c r="A18218" i="19"/>
  <c r="A18217" i="19"/>
  <c r="A18216" i="19"/>
  <c r="A18215" i="19"/>
  <c r="A18214" i="19"/>
  <c r="A18213" i="19"/>
  <c r="A18212" i="19"/>
  <c r="A18211" i="19"/>
  <c r="A18210" i="19"/>
  <c r="A18209" i="19"/>
  <c r="A18208" i="19"/>
  <c r="A18207" i="19"/>
  <c r="A18206" i="19"/>
  <c r="A18205" i="19"/>
  <c r="A18204" i="19"/>
  <c r="A18203" i="19"/>
  <c r="A18202" i="19"/>
  <c r="A18201" i="19"/>
  <c r="A18200" i="19"/>
  <c r="A18199" i="19"/>
  <c r="A18198" i="19"/>
  <c r="A18197" i="19"/>
  <c r="A18196" i="19"/>
  <c r="A18195" i="19"/>
  <c r="A18194" i="19"/>
  <c r="A18193" i="19"/>
  <c r="A18192" i="19"/>
  <c r="A18191" i="19"/>
  <c r="A18190" i="19"/>
  <c r="A18189" i="19"/>
  <c r="A18188" i="19"/>
  <c r="A18187" i="19"/>
  <c r="A18186" i="19"/>
  <c r="A18185" i="19"/>
  <c r="A18184" i="19"/>
  <c r="A18183" i="19"/>
  <c r="A18182" i="19"/>
  <c r="A18181" i="19"/>
  <c r="A18180" i="19"/>
  <c r="A18179" i="19"/>
  <c r="A18178" i="19"/>
  <c r="A18177" i="19"/>
  <c r="A18176" i="19"/>
  <c r="A18175" i="19"/>
  <c r="A18174" i="19"/>
  <c r="A18173" i="19"/>
  <c r="A18172" i="19"/>
  <c r="A18171" i="19"/>
  <c r="A18170" i="19"/>
  <c r="A18169" i="19"/>
  <c r="A18168" i="19"/>
  <c r="A18167" i="19"/>
  <c r="A18166" i="19"/>
  <c r="A18165" i="19"/>
  <c r="A18164" i="19"/>
  <c r="A18163" i="19"/>
  <c r="A18162" i="19"/>
  <c r="A18161" i="19"/>
  <c r="A18160" i="19"/>
  <c r="A18159" i="19"/>
  <c r="A18158" i="19"/>
  <c r="A18157" i="19"/>
  <c r="A18156" i="19"/>
  <c r="A18155" i="19"/>
  <c r="A18154" i="19"/>
  <c r="A18153" i="19"/>
  <c r="A18152" i="19"/>
  <c r="A18151" i="19"/>
  <c r="A18150" i="19"/>
  <c r="A18149" i="19"/>
  <c r="A18148" i="19"/>
  <c r="A18147" i="19"/>
  <c r="A18146" i="19"/>
  <c r="A18145" i="19"/>
  <c r="A18144" i="19"/>
  <c r="A18143" i="19"/>
  <c r="A18142" i="19"/>
  <c r="A18141" i="19"/>
  <c r="A18140" i="19"/>
  <c r="A18139" i="19"/>
  <c r="A18138" i="19"/>
  <c r="A18137" i="19"/>
  <c r="A18136" i="19"/>
  <c r="A18135" i="19"/>
  <c r="A18134" i="19"/>
  <c r="A18133" i="19"/>
  <c r="A18132" i="19"/>
  <c r="A18131" i="19"/>
  <c r="A18130" i="19"/>
  <c r="A18129" i="19"/>
  <c r="A18128" i="19"/>
  <c r="A18127" i="19"/>
  <c r="A18126" i="19"/>
  <c r="A18125" i="19"/>
  <c r="A18124" i="19"/>
  <c r="A18123" i="19"/>
  <c r="A18122" i="19"/>
  <c r="A18121" i="19"/>
  <c r="A18120" i="19"/>
  <c r="A18119" i="19"/>
  <c r="A18118" i="19"/>
  <c r="A18117" i="19"/>
  <c r="A18116" i="19"/>
  <c r="A18115" i="19"/>
  <c r="A18114" i="19"/>
  <c r="A18113" i="19"/>
  <c r="A18112" i="19"/>
  <c r="A18111" i="19"/>
  <c r="A18110" i="19"/>
  <c r="A18109" i="19"/>
  <c r="A18108" i="19"/>
  <c r="A18107" i="19"/>
  <c r="A18106" i="19"/>
  <c r="A18105" i="19"/>
  <c r="A18104" i="19"/>
  <c r="A18103" i="19"/>
  <c r="A18102" i="19"/>
  <c r="A18101" i="19"/>
  <c r="A18100" i="19"/>
  <c r="A18099" i="19"/>
  <c r="A18098" i="19"/>
  <c r="A18097" i="19"/>
  <c r="A18096" i="19"/>
  <c r="A18095" i="19"/>
  <c r="A18094" i="19"/>
  <c r="A18093" i="19"/>
  <c r="A18092" i="19"/>
  <c r="A18091" i="19"/>
  <c r="A18090" i="19"/>
  <c r="A18089" i="19"/>
  <c r="A18088" i="19"/>
  <c r="A18087" i="19"/>
  <c r="A18086" i="19"/>
  <c r="A18085" i="19"/>
  <c r="A18084" i="19"/>
  <c r="A18083" i="19"/>
  <c r="A18082" i="19"/>
  <c r="A18081" i="19"/>
  <c r="A18080" i="19"/>
  <c r="A18079" i="19"/>
  <c r="A18078" i="19"/>
  <c r="A18077" i="19"/>
  <c r="A18076" i="19"/>
  <c r="A18075" i="19"/>
  <c r="A18074" i="19"/>
  <c r="A18073" i="19"/>
  <c r="A18072" i="19"/>
  <c r="A18071" i="19"/>
  <c r="A18070" i="19"/>
  <c r="A18069" i="19"/>
  <c r="A18068" i="19"/>
  <c r="A18067" i="19"/>
  <c r="A18066" i="19"/>
  <c r="A18065" i="19"/>
  <c r="A18064" i="19"/>
  <c r="A18063" i="19"/>
  <c r="A18062" i="19"/>
  <c r="A18061" i="19"/>
  <c r="A18060" i="19"/>
  <c r="A18059" i="19"/>
  <c r="A18058" i="19"/>
  <c r="A18057" i="19"/>
  <c r="A18056" i="19"/>
  <c r="A18055" i="19"/>
  <c r="A18054" i="19"/>
  <c r="A18053" i="19"/>
  <c r="A18052" i="19"/>
  <c r="A18051" i="19"/>
  <c r="A18050" i="19"/>
  <c r="A18049" i="19"/>
  <c r="A18048" i="19"/>
  <c r="A18047" i="19"/>
  <c r="A18046" i="19"/>
  <c r="A18045" i="19"/>
  <c r="A18044" i="19"/>
  <c r="A18043" i="19"/>
  <c r="A18042" i="19"/>
  <c r="A18041" i="19"/>
  <c r="A18040" i="19"/>
  <c r="A18039" i="19"/>
  <c r="A18038" i="19"/>
  <c r="A18037" i="19"/>
  <c r="A18036" i="19"/>
  <c r="A18035" i="19"/>
  <c r="A18034" i="19"/>
  <c r="A18033" i="19"/>
  <c r="A18032" i="19"/>
  <c r="A18031" i="19"/>
  <c r="A18030" i="19"/>
  <c r="A18029" i="19"/>
  <c r="A18028" i="19"/>
  <c r="A18027" i="19"/>
  <c r="A18026" i="19"/>
  <c r="A18025" i="19"/>
  <c r="A18024" i="19"/>
  <c r="A18023" i="19"/>
  <c r="A18022" i="19"/>
  <c r="A18021" i="19"/>
  <c r="A18020" i="19"/>
  <c r="A18019" i="19"/>
  <c r="A18018" i="19"/>
  <c r="A18017" i="19"/>
  <c r="A18016" i="19"/>
  <c r="A18015" i="19"/>
  <c r="A18014" i="19"/>
  <c r="A18013" i="19"/>
  <c r="A18012" i="19"/>
  <c r="A18011" i="19"/>
  <c r="A18010" i="19"/>
  <c r="A18009" i="19"/>
  <c r="A18008" i="19"/>
  <c r="A18007" i="19"/>
  <c r="A18006" i="19"/>
  <c r="A18005" i="19"/>
  <c r="A18004" i="19"/>
  <c r="A18003" i="19"/>
  <c r="A18002" i="19"/>
  <c r="A18001" i="19"/>
  <c r="A18000" i="19"/>
  <c r="A17999" i="19"/>
  <c r="A17998" i="19"/>
  <c r="A17997" i="19"/>
  <c r="A17996" i="19"/>
  <c r="A17995" i="19"/>
  <c r="A17994" i="19"/>
  <c r="A17993" i="19"/>
  <c r="A17992" i="19"/>
  <c r="A17991" i="19"/>
  <c r="A17990" i="19"/>
  <c r="A17989" i="19"/>
  <c r="A17988" i="19"/>
  <c r="A17987" i="19"/>
  <c r="A17986" i="19"/>
  <c r="A17985" i="19"/>
  <c r="A17984" i="19"/>
  <c r="A17983" i="19"/>
  <c r="A17982" i="19"/>
  <c r="A17981" i="19"/>
  <c r="A17980" i="19"/>
  <c r="A17979" i="19"/>
  <c r="A17978" i="19"/>
  <c r="A17977" i="19"/>
  <c r="A17976" i="19"/>
  <c r="A17975" i="19"/>
  <c r="A17974" i="19"/>
  <c r="A17973" i="19"/>
  <c r="A17972" i="19"/>
  <c r="A17971" i="19"/>
  <c r="A17970" i="19"/>
  <c r="A17969" i="19"/>
  <c r="A17968" i="19"/>
  <c r="A17967" i="19"/>
  <c r="A17966" i="19"/>
  <c r="A17965" i="19"/>
  <c r="A17964" i="19"/>
  <c r="A17963" i="19"/>
  <c r="A17962" i="19"/>
  <c r="A17961" i="19"/>
  <c r="A17960" i="19"/>
  <c r="A17959" i="19"/>
  <c r="A17958" i="19"/>
  <c r="A17957" i="19"/>
  <c r="A17956" i="19"/>
  <c r="A17955" i="19"/>
  <c r="A17954" i="19"/>
  <c r="A17953" i="19"/>
  <c r="A17952" i="19"/>
  <c r="A17951" i="19"/>
  <c r="A17950" i="19"/>
  <c r="A17949" i="19"/>
  <c r="A17948" i="19"/>
  <c r="A17947" i="19"/>
  <c r="A17946" i="19"/>
  <c r="A17945" i="19"/>
  <c r="A17944" i="19"/>
  <c r="A17943" i="19"/>
  <c r="A17942" i="19"/>
  <c r="A17941" i="19"/>
  <c r="A17940" i="19"/>
  <c r="A17939" i="19"/>
  <c r="A17938" i="19"/>
  <c r="A17937" i="19"/>
  <c r="A17936" i="19"/>
  <c r="A17935" i="19"/>
  <c r="A17934" i="19"/>
  <c r="A17933" i="19"/>
  <c r="A17932" i="19"/>
  <c r="A17931" i="19"/>
  <c r="A17930" i="19"/>
  <c r="A17929" i="19"/>
  <c r="A17928" i="19"/>
  <c r="A17927" i="19"/>
  <c r="A17926" i="19"/>
  <c r="A17925" i="19"/>
  <c r="A17924" i="19"/>
  <c r="A17923" i="19"/>
  <c r="A17922" i="19"/>
  <c r="A17921" i="19"/>
  <c r="A17920" i="19"/>
  <c r="A17919" i="19"/>
  <c r="A17918" i="19"/>
  <c r="A17917" i="19"/>
  <c r="A17916" i="19"/>
  <c r="A17915" i="19"/>
  <c r="A17914" i="19"/>
  <c r="A17913" i="19"/>
  <c r="A17912" i="19"/>
  <c r="A17911" i="19"/>
  <c r="A17910" i="19"/>
  <c r="A17909" i="19"/>
  <c r="A17908" i="19"/>
  <c r="A17907" i="19"/>
  <c r="A17906" i="19"/>
  <c r="A17905" i="19"/>
  <c r="A17904" i="19"/>
  <c r="A17903" i="19"/>
  <c r="A17902" i="19"/>
  <c r="A17901" i="19"/>
  <c r="A17900" i="19"/>
  <c r="A17899" i="19"/>
  <c r="A17898" i="19"/>
  <c r="A17897" i="19"/>
  <c r="A17896" i="19"/>
  <c r="A17895" i="19"/>
  <c r="A17894" i="19"/>
  <c r="A17893" i="19"/>
  <c r="A17892" i="19"/>
  <c r="A17891" i="19"/>
  <c r="A17890" i="19"/>
  <c r="A17889" i="19"/>
  <c r="A17888" i="19"/>
  <c r="A17887" i="19"/>
  <c r="A17886" i="19"/>
  <c r="A17885" i="19"/>
  <c r="A17884" i="19"/>
  <c r="A17883" i="19"/>
  <c r="A17882" i="19"/>
  <c r="A17881" i="19"/>
  <c r="A17880" i="19"/>
  <c r="A17879" i="19"/>
  <c r="A17878" i="19"/>
  <c r="A17877" i="19"/>
  <c r="A17876" i="19"/>
  <c r="A17875" i="19"/>
  <c r="A17874" i="19"/>
  <c r="A17873" i="19"/>
  <c r="A17872" i="19"/>
  <c r="A17871" i="19"/>
  <c r="A17870" i="19"/>
  <c r="A17869" i="19"/>
  <c r="A17868" i="19"/>
  <c r="A17867" i="19"/>
  <c r="A17866" i="19"/>
  <c r="A17865" i="19"/>
  <c r="A17864" i="19"/>
  <c r="A17863" i="19"/>
  <c r="A17862" i="19"/>
  <c r="A17861" i="19"/>
  <c r="A17860" i="19"/>
  <c r="A17859" i="19"/>
  <c r="A17858" i="19"/>
  <c r="A17857" i="19"/>
  <c r="A17856" i="19"/>
  <c r="A17855" i="19"/>
  <c r="A17854" i="19"/>
  <c r="A17853" i="19"/>
  <c r="A17852" i="19"/>
  <c r="A17851" i="19"/>
  <c r="A17850" i="19"/>
  <c r="A17849" i="19"/>
  <c r="A17848" i="19"/>
  <c r="A17847" i="19"/>
  <c r="A17846" i="19"/>
  <c r="A17845" i="19"/>
  <c r="A17844" i="19"/>
  <c r="A17843" i="19"/>
  <c r="A17842" i="19"/>
  <c r="A17841" i="19"/>
  <c r="A17840" i="19"/>
  <c r="A17839" i="19"/>
  <c r="A17838" i="19"/>
  <c r="A17837" i="19"/>
  <c r="A17836" i="19"/>
  <c r="A17835" i="19"/>
  <c r="A17834" i="19"/>
  <c r="A17833" i="19"/>
  <c r="A17832" i="19"/>
  <c r="A17831" i="19"/>
  <c r="A17830" i="19"/>
  <c r="A17829" i="19"/>
  <c r="A17828" i="19"/>
  <c r="A17827" i="19"/>
  <c r="A17826" i="19"/>
  <c r="A17825" i="19"/>
  <c r="A17824" i="19"/>
  <c r="A17823" i="19"/>
  <c r="A17822" i="19"/>
  <c r="A17821" i="19"/>
  <c r="A17820" i="19"/>
  <c r="A17819" i="19"/>
  <c r="A17818" i="19"/>
  <c r="A17817" i="19"/>
  <c r="A17816" i="19"/>
  <c r="A17815" i="19"/>
  <c r="A17814" i="19"/>
  <c r="A17813" i="19"/>
  <c r="A17812" i="19"/>
  <c r="A17811" i="19"/>
  <c r="A17810" i="19"/>
  <c r="A17809" i="19"/>
  <c r="A17808" i="19"/>
  <c r="A17807" i="19"/>
  <c r="A17806" i="19"/>
  <c r="A17805" i="19"/>
  <c r="A17804" i="19"/>
  <c r="A17803" i="19"/>
  <c r="A17802" i="19"/>
  <c r="A17801" i="19"/>
  <c r="A17800" i="19"/>
  <c r="A17799" i="19"/>
  <c r="A17798" i="19"/>
  <c r="A17797" i="19"/>
  <c r="A17796" i="19"/>
  <c r="A17795" i="19"/>
  <c r="A17794" i="19"/>
  <c r="A17793" i="19"/>
  <c r="A17792" i="19"/>
  <c r="A17791" i="19"/>
  <c r="A17790" i="19"/>
  <c r="A17789" i="19"/>
  <c r="A17788" i="19"/>
  <c r="A17787" i="19"/>
  <c r="A17786" i="19"/>
  <c r="A17785" i="19"/>
  <c r="A17784" i="19"/>
  <c r="A17783" i="19"/>
  <c r="A17782" i="19"/>
  <c r="A17781" i="19"/>
  <c r="A17780" i="19"/>
  <c r="A17779" i="19"/>
  <c r="A17778" i="19"/>
  <c r="A17777" i="19"/>
  <c r="A17776" i="19"/>
  <c r="A17775" i="19"/>
  <c r="A17774" i="19"/>
  <c r="A17773" i="19"/>
  <c r="A17772" i="19"/>
  <c r="A17771" i="19"/>
  <c r="A17770" i="19"/>
  <c r="A17769" i="19"/>
  <c r="A17768" i="19"/>
  <c r="A17767" i="19"/>
  <c r="A17766" i="19"/>
  <c r="A17765" i="19"/>
  <c r="A17764" i="19"/>
  <c r="A17763" i="19"/>
  <c r="A17762" i="19"/>
  <c r="A17761" i="19"/>
  <c r="A17760" i="19"/>
  <c r="A17759" i="19"/>
  <c r="A17758" i="19"/>
  <c r="A17757" i="19"/>
  <c r="A17756" i="19"/>
  <c r="A17755" i="19"/>
  <c r="A17754" i="19"/>
  <c r="A17753" i="19"/>
  <c r="A17752" i="19"/>
  <c r="A17751" i="19"/>
  <c r="A17750" i="19"/>
  <c r="A17749" i="19"/>
  <c r="A17748" i="19"/>
  <c r="A17747" i="19"/>
  <c r="A17746" i="19"/>
  <c r="A17745" i="19"/>
  <c r="A17744" i="19"/>
  <c r="A17743" i="19"/>
  <c r="A17742" i="19"/>
  <c r="A17741" i="19"/>
  <c r="A17740" i="19"/>
  <c r="A17739" i="19"/>
  <c r="A17738" i="19"/>
  <c r="A17737" i="19"/>
  <c r="A17736" i="19"/>
  <c r="A17735" i="19"/>
  <c r="A17734" i="19"/>
  <c r="A17733" i="19"/>
  <c r="A17732" i="19"/>
  <c r="A17731" i="19"/>
  <c r="A17730" i="19"/>
  <c r="A17729" i="19"/>
  <c r="A17728" i="19"/>
  <c r="A17727" i="19"/>
  <c r="A17726" i="19"/>
  <c r="A17725" i="19"/>
  <c r="A17724" i="19"/>
  <c r="A17723" i="19"/>
  <c r="A17722" i="19"/>
  <c r="A17721" i="19"/>
  <c r="A17720" i="19"/>
  <c r="A17719" i="19"/>
  <c r="A17718" i="19"/>
  <c r="A17717" i="19"/>
  <c r="A17716" i="19"/>
  <c r="A17715" i="19"/>
  <c r="A17714" i="19"/>
  <c r="A17713" i="19"/>
  <c r="A17712" i="19"/>
  <c r="A17711" i="19"/>
  <c r="A17710" i="19"/>
  <c r="A17709" i="19"/>
  <c r="A17708" i="19"/>
  <c r="A17707" i="19"/>
  <c r="A17706" i="19"/>
  <c r="A17705" i="19"/>
  <c r="A17704" i="19"/>
  <c r="A17703" i="19"/>
  <c r="A17702" i="19"/>
  <c r="A17701" i="19"/>
  <c r="A17700" i="19"/>
  <c r="A17699" i="19"/>
  <c r="A17698" i="19"/>
  <c r="A17697" i="19"/>
  <c r="A17696" i="19"/>
  <c r="A17695" i="19"/>
  <c r="A17694" i="19"/>
  <c r="A17693" i="19"/>
  <c r="A17692" i="19"/>
  <c r="A17691" i="19"/>
  <c r="A17690" i="19"/>
  <c r="A17689" i="19"/>
  <c r="A17688" i="19"/>
  <c r="A17687" i="19"/>
  <c r="A17686" i="19"/>
  <c r="A17685" i="19"/>
  <c r="A17684" i="19"/>
  <c r="A17683" i="19"/>
  <c r="A17682" i="19"/>
  <c r="A17681" i="19"/>
  <c r="A17680" i="19"/>
  <c r="A17679" i="19"/>
  <c r="A17678" i="19"/>
  <c r="A17677" i="19"/>
  <c r="A17676" i="19"/>
  <c r="A17675" i="19"/>
  <c r="A17674" i="19"/>
  <c r="A17673" i="19"/>
  <c r="A17672" i="19"/>
  <c r="A17671" i="19"/>
  <c r="A17670" i="19"/>
  <c r="A17669" i="19"/>
  <c r="A17668" i="19"/>
  <c r="A17667" i="19"/>
  <c r="A17666" i="19"/>
  <c r="A17665" i="19"/>
  <c r="A17664" i="19"/>
  <c r="A17663" i="19"/>
  <c r="A17662" i="19"/>
  <c r="A17661" i="19"/>
  <c r="A17660" i="19"/>
  <c r="A17659" i="19"/>
  <c r="A17658" i="19"/>
  <c r="A17657" i="19"/>
  <c r="A17656" i="19"/>
  <c r="A17655" i="19"/>
  <c r="A17654" i="19"/>
  <c r="A17653" i="19"/>
  <c r="A17652" i="19"/>
  <c r="A17651" i="19"/>
  <c r="A17650" i="19"/>
  <c r="A17649" i="19"/>
  <c r="A17648" i="19"/>
  <c r="A17647" i="19"/>
  <c r="A17646" i="19"/>
  <c r="A17645" i="19"/>
  <c r="A17644" i="19"/>
  <c r="A17643" i="19"/>
  <c r="A17642" i="19"/>
  <c r="A17641" i="19"/>
  <c r="A17640" i="19"/>
  <c r="A17639" i="19"/>
  <c r="A17638" i="19"/>
  <c r="A17637" i="19"/>
  <c r="A17636" i="19"/>
  <c r="A17635" i="19"/>
  <c r="A17634" i="19"/>
  <c r="A17633" i="19"/>
  <c r="A17632" i="19"/>
  <c r="A17631" i="19"/>
  <c r="A17630" i="19"/>
  <c r="A17629" i="19"/>
  <c r="A17628" i="19"/>
  <c r="A17627" i="19"/>
  <c r="A17626" i="19"/>
  <c r="A17625" i="19"/>
  <c r="A17624" i="19"/>
  <c r="A17623" i="19"/>
  <c r="A17622" i="19"/>
  <c r="A17621" i="19"/>
  <c r="A17620" i="19"/>
  <c r="A17619" i="19"/>
  <c r="A17618" i="19"/>
  <c r="A17617" i="19"/>
  <c r="A17616" i="19"/>
  <c r="A17615" i="19"/>
  <c r="A17614" i="19"/>
  <c r="A17613" i="19"/>
  <c r="A17612" i="19"/>
  <c r="A17611" i="19"/>
  <c r="A17610" i="19"/>
  <c r="A17609" i="19"/>
  <c r="A17608" i="19"/>
  <c r="A17607" i="19"/>
  <c r="A17606" i="19"/>
  <c r="A17605" i="19"/>
  <c r="A17604" i="19"/>
  <c r="A17603" i="19"/>
  <c r="A17602" i="19"/>
  <c r="A17601" i="19"/>
  <c r="A17600" i="19"/>
  <c r="A17599" i="19"/>
  <c r="A17598" i="19"/>
  <c r="A17597" i="19"/>
  <c r="A17596" i="19"/>
  <c r="A17595" i="19"/>
  <c r="A17594" i="19"/>
  <c r="A17593" i="19"/>
  <c r="A17592" i="19"/>
  <c r="A17591" i="19"/>
  <c r="A17590" i="19"/>
  <c r="A17589" i="19"/>
  <c r="A17588" i="19"/>
  <c r="A17587" i="19"/>
  <c r="A17586" i="19"/>
  <c r="A17585" i="19"/>
  <c r="A17584" i="19"/>
  <c r="A17583" i="19"/>
  <c r="A17582" i="19"/>
  <c r="A17581" i="19"/>
  <c r="A17580" i="19"/>
  <c r="A17579" i="19"/>
  <c r="A17578" i="19"/>
  <c r="A17577" i="19"/>
  <c r="A17576" i="19"/>
  <c r="A17575" i="19"/>
  <c r="A17574" i="19"/>
  <c r="A17573" i="19"/>
  <c r="A17572" i="19"/>
  <c r="A17571" i="19"/>
  <c r="A17570" i="19"/>
  <c r="A17569" i="19"/>
  <c r="A17568" i="19"/>
  <c r="A17567" i="19"/>
  <c r="A17566" i="19"/>
  <c r="A17565" i="19"/>
  <c r="A17564" i="19"/>
  <c r="A17563" i="19"/>
  <c r="A17562" i="19"/>
  <c r="A17561" i="19"/>
  <c r="A17560" i="19"/>
  <c r="A17559" i="19"/>
  <c r="A17558" i="19"/>
  <c r="A17557" i="19"/>
  <c r="A17556" i="19"/>
  <c r="A17555" i="19"/>
  <c r="A17554" i="19"/>
  <c r="A17553" i="19"/>
  <c r="A17552" i="19"/>
  <c r="A17551" i="19"/>
  <c r="A17550" i="19"/>
  <c r="A17549" i="19"/>
  <c r="A17548" i="19"/>
  <c r="A17547" i="19"/>
  <c r="A17546" i="19"/>
  <c r="A17545" i="19"/>
  <c r="A17544" i="19"/>
  <c r="A17543" i="19"/>
  <c r="A17542" i="19"/>
  <c r="A17541" i="19"/>
  <c r="A17540" i="19"/>
  <c r="A17539" i="19"/>
  <c r="A17538" i="19"/>
  <c r="A17537" i="19"/>
  <c r="A17536" i="19"/>
  <c r="A17535" i="19"/>
  <c r="A17534" i="19"/>
  <c r="A17533" i="19"/>
  <c r="A17532" i="19"/>
  <c r="A17531" i="19"/>
  <c r="A17530" i="19"/>
  <c r="A17529" i="19"/>
  <c r="A17528" i="19"/>
  <c r="A17527" i="19"/>
  <c r="A17526" i="19"/>
  <c r="A17525" i="19"/>
  <c r="A17524" i="19"/>
  <c r="A17523" i="19"/>
  <c r="A17522" i="19"/>
  <c r="A17521" i="19"/>
  <c r="A17520" i="19"/>
  <c r="A17519" i="19"/>
  <c r="A17518" i="19"/>
  <c r="A17517" i="19"/>
  <c r="A17516" i="19"/>
  <c r="A17515" i="19"/>
  <c r="A17514" i="19"/>
  <c r="A17513" i="19"/>
  <c r="A17512" i="19"/>
  <c r="A17511" i="19"/>
  <c r="A17510" i="19"/>
  <c r="A17509" i="19"/>
  <c r="A17508" i="19"/>
  <c r="A17507" i="19"/>
  <c r="A17506" i="19"/>
  <c r="A17505" i="19"/>
  <c r="A17504" i="19"/>
  <c r="A17503" i="19"/>
  <c r="A17502" i="19"/>
  <c r="A17501" i="19"/>
  <c r="A17500" i="19"/>
  <c r="A17499" i="19"/>
  <c r="A17498" i="19"/>
  <c r="A17497" i="19"/>
  <c r="A17496" i="19"/>
  <c r="A17495" i="19"/>
  <c r="A17494" i="19"/>
  <c r="A17493" i="19"/>
  <c r="A17492" i="19"/>
  <c r="A17491" i="19"/>
  <c r="A17490" i="19"/>
  <c r="A17489" i="19"/>
  <c r="A17488" i="19"/>
  <c r="A17487" i="19"/>
  <c r="A17486" i="19"/>
  <c r="A17485" i="19"/>
  <c r="A17484" i="19"/>
  <c r="A17483" i="19"/>
  <c r="A17482" i="19"/>
  <c r="A17481" i="19"/>
  <c r="A17480" i="19"/>
  <c r="A17479" i="19"/>
  <c r="A17478" i="19"/>
  <c r="A17477" i="19"/>
  <c r="A17476" i="19"/>
  <c r="A17475" i="19"/>
  <c r="A17474" i="19"/>
  <c r="A17473" i="19"/>
  <c r="A17472" i="19"/>
  <c r="A17471" i="19"/>
  <c r="A17470" i="19"/>
  <c r="A17469" i="19"/>
  <c r="A17468" i="19"/>
  <c r="A17467" i="19"/>
  <c r="A17466" i="19"/>
  <c r="A17465" i="19"/>
  <c r="A17464" i="19"/>
  <c r="A17463" i="19"/>
  <c r="A17462" i="19"/>
  <c r="A17461" i="19"/>
  <c r="A17460" i="19"/>
  <c r="A17459" i="19"/>
  <c r="A17458" i="19"/>
  <c r="A17457" i="19"/>
  <c r="A17456" i="19"/>
  <c r="A17455" i="19"/>
  <c r="A17454" i="19"/>
  <c r="A17453" i="19"/>
  <c r="A17452" i="19"/>
  <c r="A17451" i="19"/>
  <c r="A17450" i="19"/>
  <c r="A17449" i="19"/>
  <c r="A17448" i="19"/>
  <c r="A17447" i="19"/>
  <c r="A17446" i="19"/>
  <c r="A17445" i="19"/>
  <c r="A17444" i="19"/>
  <c r="A17443" i="19"/>
  <c r="A17442" i="19"/>
  <c r="A17441" i="19"/>
  <c r="A17440" i="19"/>
  <c r="A17439" i="19"/>
  <c r="A17438" i="19"/>
  <c r="A17437" i="19"/>
  <c r="A17436" i="19"/>
  <c r="A17435" i="19"/>
  <c r="A17434" i="19"/>
  <c r="A17433" i="19"/>
  <c r="A17432" i="19"/>
  <c r="A17431" i="19"/>
  <c r="A17430" i="19"/>
  <c r="A17429" i="19"/>
  <c r="A17428" i="19"/>
  <c r="A17427" i="19"/>
  <c r="A17426" i="19"/>
  <c r="A17425" i="19"/>
  <c r="A17424" i="19"/>
  <c r="A17423" i="19"/>
  <c r="A17422" i="19"/>
  <c r="A17421" i="19"/>
  <c r="A17420" i="19"/>
  <c r="A17419" i="19"/>
  <c r="A17418" i="19"/>
  <c r="A17417" i="19"/>
  <c r="A17416" i="19"/>
  <c r="A17415" i="19"/>
  <c r="A17414" i="19"/>
  <c r="A17413" i="19"/>
  <c r="A17412" i="19"/>
  <c r="A17411" i="19"/>
  <c r="A17410" i="19"/>
  <c r="A17409" i="19"/>
  <c r="A17408" i="19"/>
  <c r="A17407" i="19"/>
  <c r="A17406" i="19"/>
  <c r="A17405" i="19"/>
  <c r="A17404" i="19"/>
  <c r="A17403" i="19"/>
  <c r="A17402" i="19"/>
  <c r="A17401" i="19"/>
  <c r="A17400" i="19"/>
  <c r="A17399" i="19"/>
  <c r="A17398" i="19"/>
  <c r="A17397" i="19"/>
  <c r="A17396" i="19"/>
  <c r="A17395" i="19"/>
  <c r="A17394" i="19"/>
  <c r="A17393" i="19"/>
  <c r="A17392" i="19"/>
  <c r="A17391" i="19"/>
  <c r="A17390" i="19"/>
  <c r="A17389" i="19"/>
  <c r="A17388" i="19"/>
  <c r="A17387" i="19"/>
  <c r="A17386" i="19"/>
  <c r="A17385" i="19"/>
  <c r="A17384" i="19"/>
  <c r="A17383" i="19"/>
  <c r="A17382" i="19"/>
  <c r="A17381" i="19"/>
  <c r="A17380" i="19"/>
  <c r="A17379" i="19"/>
  <c r="A17378" i="19"/>
  <c r="A17377" i="19"/>
  <c r="A17376" i="19"/>
  <c r="A17375" i="19"/>
  <c r="A17374" i="19"/>
  <c r="A17373" i="19"/>
  <c r="A17372" i="19"/>
  <c r="A17371" i="19"/>
  <c r="A17370" i="19"/>
  <c r="A17369" i="19"/>
  <c r="A17368" i="19"/>
  <c r="A17367" i="19"/>
  <c r="A17366" i="19"/>
  <c r="A17365" i="19"/>
  <c r="A17364" i="19"/>
  <c r="A17363" i="19"/>
  <c r="A17362" i="19"/>
  <c r="A17361" i="19"/>
  <c r="A17360" i="19"/>
  <c r="A17359" i="19"/>
  <c r="A17358" i="19"/>
  <c r="A17357" i="19"/>
  <c r="A17356" i="19"/>
  <c r="A17355" i="19"/>
  <c r="A17354" i="19"/>
  <c r="A17353" i="19"/>
  <c r="A17352" i="19"/>
  <c r="A17351" i="19"/>
  <c r="A17350" i="19"/>
  <c r="A17349" i="19"/>
  <c r="A17348" i="19"/>
  <c r="A17347" i="19"/>
  <c r="A17346" i="19"/>
  <c r="A17345" i="19"/>
  <c r="A17344" i="19"/>
  <c r="A17343" i="19"/>
  <c r="A17342" i="19"/>
  <c r="A17341" i="19"/>
  <c r="A17340" i="19"/>
  <c r="A17339" i="19"/>
  <c r="A17338" i="19"/>
  <c r="A17337" i="19"/>
  <c r="A17336" i="19"/>
  <c r="A17335" i="19"/>
  <c r="A17334" i="19"/>
  <c r="A17333" i="19"/>
  <c r="A17332" i="19"/>
  <c r="A17331" i="19"/>
  <c r="A17330" i="19"/>
  <c r="A17329" i="19"/>
  <c r="A17328" i="19"/>
  <c r="A17327" i="19"/>
  <c r="A17326" i="19"/>
  <c r="A17325" i="19"/>
  <c r="A17324" i="19"/>
  <c r="A17323" i="19"/>
  <c r="A17322" i="19"/>
  <c r="A17321" i="19"/>
  <c r="A17320" i="19"/>
  <c r="A17319" i="19"/>
  <c r="A17318" i="19"/>
  <c r="A17317" i="19"/>
  <c r="A17316" i="19"/>
  <c r="A17315" i="19"/>
  <c r="A17314" i="19"/>
  <c r="A17313" i="19"/>
  <c r="A17312" i="19"/>
  <c r="A17311" i="19"/>
  <c r="A17310" i="19"/>
  <c r="A17309" i="19"/>
  <c r="A17308" i="19"/>
  <c r="A17307" i="19"/>
  <c r="A17306" i="19"/>
  <c r="A17305" i="19"/>
  <c r="A17304" i="19"/>
  <c r="A17303" i="19"/>
  <c r="A17302" i="19"/>
  <c r="A17301" i="19"/>
  <c r="A17300" i="19"/>
  <c r="A17299" i="19"/>
  <c r="A17298" i="19"/>
  <c r="A17297" i="19"/>
  <c r="A17296" i="19"/>
  <c r="A17295" i="19"/>
  <c r="A17294" i="19"/>
  <c r="A17293" i="19"/>
  <c r="A17292" i="19"/>
  <c r="A17291" i="19"/>
  <c r="A17290" i="19"/>
  <c r="A17289" i="19"/>
  <c r="A17288" i="19"/>
  <c r="A17287" i="19"/>
  <c r="A17286" i="19"/>
  <c r="A17285" i="19"/>
  <c r="A17284" i="19"/>
  <c r="A17283" i="19"/>
  <c r="A17282" i="19"/>
  <c r="A17281" i="19"/>
  <c r="A17280" i="19"/>
  <c r="A17279" i="19"/>
  <c r="A17278" i="19"/>
  <c r="A17277" i="19"/>
  <c r="A17276" i="19"/>
  <c r="A17275" i="19"/>
  <c r="A17274" i="19"/>
  <c r="A17273" i="19"/>
  <c r="A17272" i="19"/>
  <c r="A17271" i="19"/>
  <c r="A17270" i="19"/>
  <c r="A17269" i="19"/>
  <c r="A17268" i="19"/>
  <c r="A17267" i="19"/>
  <c r="A17266" i="19"/>
  <c r="A17265" i="19"/>
  <c r="A17264" i="19"/>
  <c r="A17263" i="19"/>
  <c r="A17262" i="19"/>
  <c r="A17261" i="19"/>
  <c r="A17260" i="19"/>
  <c r="A17259" i="19"/>
  <c r="A17258" i="19"/>
  <c r="A17257" i="19"/>
  <c r="A17256" i="19"/>
  <c r="A17255" i="19"/>
  <c r="A17254" i="19"/>
  <c r="A17253" i="19"/>
  <c r="A17252" i="19"/>
  <c r="A17251" i="19"/>
  <c r="A17250" i="19"/>
  <c r="A17249" i="19"/>
  <c r="A17248" i="19"/>
  <c r="A17247" i="19"/>
  <c r="A17246" i="19"/>
  <c r="A17245" i="19"/>
  <c r="A17244" i="19"/>
  <c r="A17243" i="19"/>
  <c r="A17242" i="19"/>
  <c r="A17241" i="19"/>
  <c r="A17240" i="19"/>
  <c r="A17239" i="19"/>
  <c r="A17238" i="19"/>
  <c r="A17237" i="19"/>
  <c r="A17236" i="19"/>
  <c r="A17235" i="19"/>
  <c r="A17234" i="19"/>
  <c r="A17233" i="19"/>
  <c r="A17232" i="19"/>
  <c r="A17231" i="19"/>
  <c r="A17230" i="19"/>
  <c r="A17229" i="19"/>
  <c r="A17228" i="19"/>
  <c r="A17227" i="19"/>
  <c r="A17226" i="19"/>
  <c r="A17225" i="19"/>
  <c r="A17224" i="19"/>
  <c r="A17223" i="19"/>
  <c r="A17222" i="19"/>
  <c r="A17221" i="19"/>
  <c r="A17220" i="19"/>
  <c r="A17219" i="19"/>
  <c r="A17218" i="19"/>
  <c r="A17217" i="19"/>
  <c r="A17216" i="19"/>
  <c r="A17215" i="19"/>
  <c r="A17214" i="19"/>
  <c r="A17213" i="19"/>
  <c r="A17212" i="19"/>
  <c r="A17211" i="19"/>
  <c r="A17210" i="19"/>
  <c r="A17209" i="19"/>
  <c r="A17208" i="19"/>
  <c r="A17207" i="19"/>
  <c r="A17206" i="19"/>
  <c r="A17205" i="19"/>
  <c r="A17204" i="19"/>
  <c r="A17203" i="19"/>
  <c r="A17202" i="19"/>
  <c r="A17201" i="19"/>
  <c r="A17200" i="19"/>
  <c r="A17199" i="19"/>
  <c r="A17198" i="19"/>
  <c r="A17197" i="19"/>
  <c r="A17196" i="19"/>
  <c r="A17195" i="19"/>
  <c r="A17194" i="19"/>
  <c r="A17193" i="19"/>
  <c r="A17192" i="19"/>
  <c r="A17191" i="19"/>
  <c r="A17190" i="19"/>
  <c r="A17189" i="19"/>
  <c r="A17188" i="19"/>
  <c r="A17187" i="19"/>
  <c r="A17186" i="19"/>
  <c r="A17185" i="19"/>
  <c r="A17184" i="19"/>
  <c r="A17183" i="19"/>
  <c r="A17182" i="19"/>
  <c r="A17181" i="19"/>
  <c r="A17180" i="19"/>
  <c r="A17179" i="19"/>
  <c r="A17178" i="19"/>
  <c r="A17177" i="19"/>
  <c r="A17176" i="19"/>
  <c r="A17175" i="19"/>
  <c r="A17174" i="19"/>
  <c r="A17173" i="19"/>
  <c r="A17172" i="19"/>
  <c r="A17171" i="19"/>
  <c r="A17170" i="19"/>
  <c r="A17169" i="19"/>
  <c r="A17168" i="19"/>
  <c r="A17167" i="19"/>
  <c r="A17166" i="19"/>
  <c r="A17165" i="19"/>
  <c r="A17164" i="19"/>
  <c r="A17163" i="19"/>
  <c r="A17162" i="19"/>
  <c r="A17161" i="19"/>
  <c r="A17160" i="19"/>
  <c r="A17159" i="19"/>
  <c r="A17158" i="19"/>
  <c r="A17157" i="19"/>
  <c r="A17156" i="19"/>
  <c r="A17155" i="19"/>
  <c r="A17154" i="19"/>
  <c r="A17153" i="19"/>
  <c r="A17152" i="19"/>
  <c r="A17151" i="19"/>
  <c r="A17150" i="19"/>
  <c r="A17149" i="19"/>
  <c r="A17148" i="19"/>
  <c r="A17147" i="19"/>
  <c r="A17146" i="19"/>
  <c r="A17145" i="19"/>
  <c r="A17144" i="19"/>
  <c r="A17143" i="19"/>
  <c r="A17142" i="19"/>
  <c r="A17141" i="19"/>
  <c r="A17140" i="19"/>
  <c r="A17139" i="19"/>
  <c r="A17138" i="19"/>
  <c r="A17137" i="19"/>
  <c r="A17136" i="19"/>
  <c r="A17135" i="19"/>
  <c r="A17134" i="19"/>
  <c r="A17133" i="19"/>
  <c r="A17132" i="19"/>
  <c r="A17131" i="19"/>
  <c r="A17130" i="19"/>
  <c r="A17129" i="19"/>
  <c r="A17128" i="19"/>
  <c r="A17127" i="19"/>
  <c r="A17126" i="19"/>
  <c r="A17125" i="19"/>
  <c r="A17124" i="19"/>
  <c r="A17123" i="19"/>
  <c r="A17122" i="19"/>
  <c r="A17121" i="19"/>
  <c r="A17120" i="19"/>
  <c r="A17119" i="19"/>
  <c r="A17118" i="19"/>
  <c r="A17117" i="19"/>
  <c r="A17116" i="19"/>
  <c r="A17115" i="19"/>
  <c r="A17114" i="19"/>
  <c r="A17113" i="19"/>
  <c r="A17112" i="19"/>
  <c r="A17111" i="19"/>
  <c r="A17110" i="19"/>
  <c r="A17109" i="19"/>
  <c r="A17108" i="19"/>
  <c r="A17107" i="19"/>
  <c r="A17106" i="19"/>
  <c r="A17105" i="19"/>
  <c r="A17104" i="19"/>
  <c r="A17103" i="19"/>
  <c r="A17102" i="19"/>
  <c r="A17101" i="19"/>
  <c r="A17100" i="19"/>
  <c r="A17099" i="19"/>
  <c r="A17098" i="19"/>
  <c r="A17097" i="19"/>
  <c r="A17096" i="19"/>
  <c r="A17095" i="19"/>
  <c r="A17094" i="19"/>
  <c r="A17093" i="19"/>
  <c r="A17092" i="19"/>
  <c r="A17091" i="19"/>
  <c r="A17090" i="19"/>
  <c r="A17089" i="19"/>
  <c r="A17088" i="19"/>
  <c r="A17087" i="19"/>
  <c r="A17086" i="19"/>
  <c r="A17085" i="19"/>
  <c r="A17084" i="19"/>
  <c r="A17083" i="19"/>
  <c r="A17082" i="19"/>
  <c r="A17081" i="19"/>
  <c r="A17080" i="19"/>
  <c r="A17079" i="19"/>
  <c r="A17078" i="19"/>
  <c r="A17077" i="19"/>
  <c r="A17076" i="19"/>
  <c r="A17075" i="19"/>
  <c r="A17074" i="19"/>
  <c r="A17073" i="19"/>
  <c r="A17072" i="19"/>
  <c r="A17071" i="19"/>
  <c r="A17070" i="19"/>
  <c r="A17069" i="19"/>
  <c r="A17068" i="19"/>
  <c r="A17067" i="19"/>
  <c r="A17066" i="19"/>
  <c r="A17065" i="19"/>
  <c r="A17064" i="19"/>
  <c r="A17063" i="19"/>
  <c r="A17062" i="19"/>
  <c r="A17061" i="19"/>
  <c r="A17060" i="19"/>
  <c r="A17059" i="19"/>
  <c r="A17058" i="19"/>
  <c r="A17057" i="19"/>
  <c r="A17056" i="19"/>
  <c r="A17055" i="19"/>
  <c r="A17054" i="19"/>
  <c r="A17053" i="19"/>
  <c r="A17052" i="19"/>
  <c r="A17051" i="19"/>
  <c r="A17050" i="19"/>
  <c r="A17049" i="19"/>
  <c r="A17048" i="19"/>
  <c r="A17047" i="19"/>
  <c r="A17046" i="19"/>
  <c r="A17045" i="19"/>
  <c r="A17044" i="19"/>
  <c r="A17043" i="19"/>
  <c r="A17042" i="19"/>
  <c r="A17041" i="19"/>
  <c r="A17040" i="19"/>
  <c r="A17039" i="19"/>
  <c r="A17038" i="19"/>
  <c r="A17037" i="19"/>
  <c r="A17036" i="19"/>
  <c r="A17035" i="19"/>
  <c r="A17034" i="19"/>
  <c r="A17033" i="19"/>
  <c r="A17032" i="19"/>
  <c r="A17031" i="19"/>
  <c r="A17030" i="19"/>
  <c r="A17029" i="19"/>
  <c r="A17028" i="19"/>
  <c r="A17027" i="19"/>
  <c r="A17026" i="19"/>
  <c r="A17025" i="19"/>
  <c r="A17024" i="19"/>
  <c r="A17023" i="19"/>
  <c r="A17022" i="19"/>
  <c r="A17021" i="19"/>
  <c r="A17020" i="19"/>
  <c r="A17019" i="19"/>
  <c r="A17018" i="19"/>
  <c r="A17017" i="19"/>
  <c r="A17016" i="19"/>
  <c r="A17015" i="19"/>
  <c r="A17014" i="19"/>
  <c r="A17013" i="19"/>
  <c r="A17012" i="19"/>
  <c r="A17011" i="19"/>
  <c r="A17010" i="19"/>
  <c r="A17009" i="19"/>
  <c r="A17008" i="19"/>
  <c r="A17007" i="19"/>
  <c r="A17006" i="19"/>
  <c r="A17005" i="19"/>
  <c r="A17004" i="19"/>
  <c r="A17003" i="19"/>
  <c r="A17002" i="19"/>
  <c r="A17001" i="19"/>
  <c r="A17000" i="19"/>
  <c r="A16999" i="19"/>
  <c r="A16998" i="19"/>
  <c r="A16997" i="19"/>
  <c r="A16996" i="19"/>
  <c r="A16995" i="19"/>
  <c r="A16994" i="19"/>
  <c r="A16993" i="19"/>
  <c r="A16992" i="19"/>
  <c r="A16991" i="19"/>
  <c r="A16990" i="19"/>
  <c r="A16989" i="19"/>
  <c r="A16988" i="19"/>
  <c r="A16987" i="19"/>
  <c r="A16986" i="19"/>
  <c r="A16985" i="19"/>
  <c r="A16984" i="19"/>
  <c r="A16983" i="19"/>
  <c r="A16982" i="19"/>
  <c r="A16981" i="19"/>
  <c r="A16980" i="19"/>
  <c r="A16979" i="19"/>
  <c r="A16978" i="19"/>
  <c r="A16977" i="19"/>
  <c r="A16976" i="19"/>
  <c r="A16975" i="19"/>
  <c r="A16974" i="19"/>
  <c r="A16973" i="19"/>
  <c r="A16972" i="19"/>
  <c r="A16971" i="19"/>
  <c r="A16970" i="19"/>
  <c r="A16969" i="19"/>
  <c r="A16968" i="19"/>
  <c r="A16967" i="19"/>
  <c r="A16966" i="19"/>
  <c r="A16965" i="19"/>
  <c r="A16964" i="19"/>
  <c r="A16963" i="19"/>
  <c r="A16962" i="19"/>
  <c r="A16961" i="19"/>
  <c r="A16960" i="19"/>
  <c r="A16959" i="19"/>
  <c r="A16958" i="19"/>
  <c r="A16957" i="19"/>
  <c r="A16956" i="19"/>
  <c r="A16955" i="19"/>
  <c r="A16954" i="19"/>
  <c r="A16953" i="19"/>
  <c r="A16952" i="19"/>
  <c r="A16951" i="19"/>
  <c r="A16950" i="19"/>
  <c r="A16949" i="19"/>
  <c r="A16948" i="19"/>
  <c r="A16947" i="19"/>
  <c r="A16946" i="19"/>
  <c r="A16945" i="19"/>
  <c r="A16944" i="19"/>
  <c r="A16943" i="19"/>
  <c r="A16942" i="19"/>
  <c r="A16941" i="19"/>
  <c r="A16940" i="19"/>
  <c r="A16939" i="19"/>
  <c r="A16938" i="19"/>
  <c r="A16937" i="19"/>
  <c r="A16936" i="19"/>
  <c r="A16935" i="19"/>
  <c r="A16934" i="19"/>
  <c r="A16933" i="19"/>
  <c r="A16932" i="19"/>
  <c r="A16931" i="19"/>
  <c r="A16930" i="19"/>
  <c r="A16929" i="19"/>
  <c r="A16928" i="19"/>
  <c r="A16927" i="19"/>
  <c r="A16926" i="19"/>
  <c r="A16925" i="19"/>
  <c r="A16924" i="19"/>
  <c r="A16923" i="19"/>
  <c r="A16922" i="19"/>
  <c r="A16921" i="19"/>
  <c r="A16920" i="19"/>
  <c r="A16919" i="19"/>
  <c r="A16918" i="19"/>
  <c r="A16917" i="19"/>
  <c r="A16916" i="19"/>
  <c r="A16915" i="19"/>
  <c r="A16914" i="19"/>
  <c r="A16913" i="19"/>
  <c r="A16912" i="19"/>
  <c r="A16911" i="19"/>
  <c r="A16910" i="19"/>
  <c r="A16909" i="19"/>
  <c r="A16908" i="19"/>
  <c r="A16907" i="19"/>
  <c r="A16906" i="19"/>
  <c r="A16905" i="19"/>
  <c r="A16904" i="19"/>
  <c r="A16903" i="19"/>
  <c r="A16902" i="19"/>
  <c r="A16901" i="19"/>
  <c r="A16900" i="19"/>
  <c r="A16899" i="19"/>
  <c r="A16898" i="19"/>
  <c r="A16897" i="19"/>
  <c r="A16896" i="19"/>
  <c r="A16895" i="19"/>
  <c r="A16894" i="19"/>
  <c r="A16893" i="19"/>
  <c r="A16892" i="19"/>
  <c r="A16891" i="19"/>
  <c r="A16890" i="19"/>
  <c r="A16889" i="19"/>
  <c r="A16888" i="19"/>
  <c r="A16887" i="19"/>
  <c r="A16886" i="19"/>
  <c r="A16885" i="19"/>
  <c r="A16884" i="19"/>
  <c r="A16883" i="19"/>
  <c r="A16882" i="19"/>
  <c r="A16881" i="19"/>
  <c r="A16880" i="19"/>
  <c r="A16879" i="19"/>
  <c r="A16878" i="19"/>
  <c r="A16877" i="19"/>
  <c r="A16876" i="19"/>
  <c r="A16875" i="19"/>
  <c r="A16874" i="19"/>
  <c r="A16873" i="19"/>
  <c r="A16872" i="19"/>
  <c r="A16871" i="19"/>
  <c r="A16870" i="19"/>
  <c r="A16869" i="19"/>
  <c r="A16868" i="19"/>
  <c r="A16867" i="19"/>
  <c r="A16866" i="19"/>
  <c r="A16865" i="19"/>
  <c r="A16864" i="19"/>
  <c r="A16863" i="19"/>
  <c r="A16862" i="19"/>
  <c r="A16861" i="19"/>
  <c r="A16860" i="19"/>
  <c r="A16859" i="19"/>
  <c r="A16858" i="19"/>
  <c r="A16857" i="19"/>
  <c r="A16856" i="19"/>
  <c r="A16855" i="19"/>
  <c r="A16854" i="19"/>
  <c r="A16853" i="19"/>
  <c r="A16852" i="19"/>
  <c r="A16851" i="19"/>
  <c r="A16850" i="19"/>
  <c r="A16849" i="19"/>
  <c r="A16848" i="19"/>
  <c r="A16847" i="19"/>
  <c r="A16846" i="19"/>
  <c r="A16845" i="19"/>
  <c r="A16844" i="19"/>
  <c r="A16843" i="19"/>
  <c r="A16842" i="19"/>
  <c r="A16841" i="19"/>
  <c r="A16840" i="19"/>
  <c r="A16839" i="19"/>
  <c r="A16838" i="19"/>
  <c r="A16837" i="19"/>
  <c r="A16836" i="19"/>
  <c r="A16835" i="19"/>
  <c r="A16834" i="19"/>
  <c r="A16833" i="19"/>
  <c r="A16832" i="19"/>
  <c r="A16831" i="19"/>
  <c r="A16830" i="19"/>
  <c r="A16829" i="19"/>
  <c r="A16828" i="19"/>
  <c r="A16827" i="19"/>
  <c r="A16826" i="19"/>
  <c r="A16825" i="19"/>
  <c r="A16824" i="19"/>
  <c r="A16823" i="19"/>
  <c r="A16822" i="19"/>
  <c r="A16821" i="19"/>
  <c r="A16820" i="19"/>
  <c r="A16819" i="19"/>
  <c r="A16818" i="19"/>
  <c r="A16817" i="19"/>
  <c r="A16816" i="19"/>
  <c r="A16815" i="19"/>
  <c r="A16814" i="19"/>
  <c r="A16813" i="19"/>
  <c r="A16812" i="19"/>
  <c r="A16811" i="19"/>
  <c r="A16810" i="19"/>
  <c r="A16809" i="19"/>
  <c r="A16808" i="19"/>
  <c r="A16807" i="19"/>
  <c r="A16806" i="19"/>
  <c r="A16805" i="19"/>
  <c r="A16804" i="19"/>
  <c r="A16803" i="19"/>
  <c r="A16802" i="19"/>
  <c r="A16801" i="19"/>
  <c r="A16800" i="19"/>
  <c r="A16799" i="19"/>
  <c r="A16798" i="19"/>
  <c r="A16797" i="19"/>
  <c r="A16796" i="19"/>
  <c r="A16795" i="19"/>
  <c r="A16794" i="19"/>
  <c r="A16793" i="19"/>
  <c r="A16792" i="19"/>
  <c r="A16791" i="19"/>
  <c r="A16790" i="19"/>
  <c r="A16789" i="19"/>
  <c r="A16788" i="19"/>
  <c r="A16787" i="19"/>
  <c r="A16786" i="19"/>
  <c r="A16785" i="19"/>
  <c r="A16784" i="19"/>
  <c r="A16783" i="19"/>
  <c r="A16782" i="19"/>
  <c r="A16781" i="19"/>
  <c r="A16780" i="19"/>
  <c r="A16779" i="19"/>
  <c r="A16778" i="19"/>
  <c r="A16777" i="19"/>
  <c r="A16776" i="19"/>
  <c r="A16775" i="19"/>
  <c r="A16774" i="19"/>
  <c r="A16773" i="19"/>
  <c r="A16772" i="19"/>
  <c r="A16771" i="19"/>
  <c r="A16770" i="19"/>
  <c r="A16769" i="19"/>
  <c r="A16768" i="19"/>
  <c r="A16767" i="19"/>
  <c r="A16766" i="19"/>
  <c r="A16765" i="19"/>
  <c r="A16764" i="19"/>
  <c r="A16763" i="19"/>
  <c r="A16762" i="19"/>
  <c r="A16761" i="19"/>
  <c r="A16760" i="19"/>
  <c r="A16759" i="19"/>
  <c r="A16758" i="19"/>
  <c r="A16757" i="19"/>
  <c r="A16756" i="19"/>
  <c r="A16755" i="19"/>
  <c r="A16754" i="19"/>
  <c r="A16753" i="19"/>
  <c r="A16752" i="19"/>
  <c r="A16751" i="19"/>
  <c r="A16750" i="19"/>
  <c r="A16749" i="19"/>
  <c r="A16748" i="19"/>
  <c r="A16747" i="19"/>
  <c r="A16746" i="19"/>
  <c r="A16745" i="19"/>
  <c r="A16744" i="19"/>
  <c r="A16743" i="19"/>
  <c r="A16742" i="19"/>
  <c r="A16741" i="19"/>
  <c r="A16740" i="19"/>
  <c r="A16739" i="19"/>
  <c r="A16738" i="19"/>
  <c r="A16737" i="19"/>
  <c r="A16736" i="19"/>
  <c r="A16735" i="19"/>
  <c r="A16734" i="19"/>
  <c r="A16733" i="19"/>
  <c r="A16732" i="19"/>
  <c r="A16731" i="19"/>
  <c r="A16730" i="19"/>
  <c r="A16729" i="19"/>
  <c r="A16728" i="19"/>
  <c r="A16727" i="19"/>
  <c r="A16726" i="19"/>
  <c r="A16725" i="19"/>
  <c r="A16724" i="19"/>
  <c r="A16723" i="19"/>
  <c r="A16722" i="19"/>
  <c r="A16721" i="19"/>
  <c r="A16720" i="19"/>
  <c r="A16719" i="19"/>
  <c r="A16718" i="19"/>
  <c r="A16717" i="19"/>
  <c r="A16716" i="19"/>
  <c r="A16715" i="19"/>
  <c r="A16714" i="19"/>
  <c r="A16713" i="19"/>
  <c r="A16712" i="19"/>
  <c r="A16711" i="19"/>
  <c r="A16710" i="19"/>
  <c r="A16709" i="19"/>
  <c r="A16708" i="19"/>
  <c r="A16707" i="19"/>
  <c r="A16706" i="19"/>
  <c r="A16705" i="19"/>
  <c r="A16704" i="19"/>
  <c r="A16703" i="19"/>
  <c r="A16702" i="19"/>
  <c r="A16701" i="19"/>
  <c r="A16700" i="19"/>
  <c r="A16699" i="19"/>
  <c r="A16698" i="19"/>
  <c r="A16697" i="19"/>
  <c r="A16696" i="19"/>
  <c r="A16695" i="19"/>
  <c r="A16694" i="19"/>
  <c r="A16693" i="19"/>
  <c r="A16692" i="19"/>
  <c r="A16691" i="19"/>
  <c r="A16690" i="19"/>
  <c r="A16689" i="19"/>
  <c r="A16688" i="19"/>
  <c r="A16687" i="19"/>
  <c r="A16686" i="19"/>
  <c r="A16685" i="19"/>
  <c r="A16684" i="19"/>
  <c r="A16683" i="19"/>
  <c r="A16682" i="19"/>
  <c r="A16681" i="19"/>
  <c r="A16680" i="19"/>
  <c r="A16679" i="19"/>
  <c r="A16678" i="19"/>
  <c r="A16677" i="19"/>
  <c r="A16676" i="19"/>
  <c r="A16675" i="19"/>
  <c r="A16674" i="19"/>
  <c r="A16673" i="19"/>
  <c r="A16672" i="19"/>
  <c r="A16671" i="19"/>
  <c r="A16670" i="19"/>
  <c r="A16669" i="19"/>
  <c r="A16668" i="19"/>
  <c r="A16667" i="19"/>
  <c r="A16666" i="19"/>
  <c r="A16665" i="19"/>
  <c r="A16664" i="19"/>
  <c r="A16663" i="19"/>
  <c r="A16662" i="19"/>
  <c r="A16661" i="19"/>
  <c r="A16660" i="19"/>
  <c r="A16659" i="19"/>
  <c r="A16658" i="19"/>
  <c r="A16657" i="19"/>
  <c r="A16656" i="19"/>
  <c r="A16655" i="19"/>
  <c r="A16654" i="19"/>
  <c r="A16653" i="19"/>
  <c r="A16652" i="19"/>
  <c r="A16651" i="19"/>
  <c r="A16650" i="19"/>
  <c r="A16649" i="19"/>
  <c r="A16648" i="19"/>
  <c r="A16647" i="19"/>
  <c r="A16646" i="19"/>
  <c r="A16645" i="19"/>
  <c r="A16644" i="19"/>
  <c r="A16643" i="19"/>
  <c r="A16642" i="19"/>
  <c r="A16641" i="19"/>
  <c r="A16640" i="19"/>
  <c r="A16639" i="19"/>
  <c r="A16638" i="19"/>
  <c r="A16637" i="19"/>
  <c r="A16636" i="19"/>
  <c r="A16635" i="19"/>
  <c r="A16634" i="19"/>
  <c r="A16633" i="19"/>
  <c r="A16632" i="19"/>
  <c r="A16631" i="19"/>
  <c r="A16630" i="19"/>
  <c r="A16629" i="19"/>
  <c r="A16628" i="19"/>
  <c r="A16627" i="19"/>
  <c r="A16626" i="19"/>
  <c r="A16625" i="19"/>
  <c r="A16624" i="19"/>
  <c r="A16623" i="19"/>
  <c r="A16622" i="19"/>
  <c r="A16621" i="19"/>
  <c r="A16620" i="19"/>
  <c r="A16619" i="19"/>
  <c r="A16618" i="19"/>
  <c r="A16617" i="19"/>
  <c r="A16616" i="19"/>
  <c r="A16615" i="19"/>
  <c r="A16614" i="19"/>
  <c r="A16613" i="19"/>
  <c r="A16612" i="19"/>
  <c r="A16611" i="19"/>
  <c r="A16610" i="19"/>
  <c r="A16609" i="19"/>
  <c r="A16608" i="19"/>
  <c r="A16607" i="19"/>
  <c r="A16606" i="19"/>
  <c r="A16605" i="19"/>
  <c r="A16604" i="19"/>
  <c r="A16603" i="19"/>
  <c r="A16602" i="19"/>
  <c r="A16601" i="19"/>
  <c r="A16600" i="19"/>
  <c r="A16599" i="19"/>
  <c r="A16598" i="19"/>
  <c r="A16597" i="19"/>
  <c r="A16596" i="19"/>
  <c r="A16595" i="19"/>
  <c r="A16594" i="19"/>
  <c r="A16593" i="19"/>
  <c r="A16592" i="19"/>
  <c r="A16591" i="19"/>
  <c r="A16590" i="19"/>
  <c r="A16589" i="19"/>
  <c r="A16588" i="19"/>
  <c r="A16587" i="19"/>
  <c r="A16586" i="19"/>
  <c r="A16585" i="19"/>
  <c r="A16584" i="19"/>
  <c r="A16583" i="19"/>
  <c r="A16582" i="19"/>
  <c r="A16581" i="19"/>
  <c r="A16580" i="19"/>
  <c r="A16579" i="19"/>
  <c r="A16578" i="19"/>
  <c r="A16577" i="19"/>
  <c r="A16576" i="19"/>
  <c r="A16575" i="19"/>
  <c r="A16574" i="19"/>
  <c r="A16573" i="19"/>
  <c r="A16572" i="19"/>
  <c r="A16571" i="19"/>
  <c r="A16570" i="19"/>
  <c r="A16569" i="19"/>
  <c r="A16568" i="19"/>
  <c r="A16567" i="19"/>
  <c r="A16566" i="19"/>
  <c r="A16565" i="19"/>
  <c r="A16564" i="19"/>
  <c r="A16563" i="19"/>
  <c r="A16562" i="19"/>
  <c r="A16561" i="19"/>
  <c r="A16560" i="19"/>
  <c r="A16559" i="19"/>
  <c r="A16558" i="19"/>
  <c r="A16557" i="19"/>
  <c r="A16556" i="19"/>
  <c r="A16555" i="19"/>
  <c r="A16554" i="19"/>
  <c r="A16553" i="19"/>
  <c r="A16552" i="19"/>
  <c r="A16551" i="19"/>
  <c r="A16550" i="19"/>
  <c r="A16549" i="19"/>
  <c r="A16548" i="19"/>
  <c r="A16547" i="19"/>
  <c r="A16546" i="19"/>
  <c r="A16545" i="19"/>
  <c r="A16544" i="19"/>
  <c r="A16543" i="19"/>
  <c r="A16542" i="19"/>
  <c r="A16541" i="19"/>
  <c r="A16540" i="19"/>
  <c r="A16539" i="19"/>
  <c r="A16538" i="19"/>
  <c r="A16537" i="19"/>
  <c r="A16536" i="19"/>
  <c r="A16535" i="19"/>
  <c r="A16534" i="19"/>
  <c r="A16533" i="19"/>
  <c r="A16532" i="19"/>
  <c r="A16531" i="19"/>
  <c r="A16530" i="19"/>
  <c r="A16529" i="19"/>
  <c r="A16528" i="19"/>
  <c r="A16527" i="19"/>
  <c r="A16526" i="19"/>
  <c r="A16525" i="19"/>
  <c r="A16524" i="19"/>
  <c r="A16523" i="19"/>
  <c r="A16522" i="19"/>
  <c r="A16521" i="19"/>
  <c r="A16520" i="19"/>
  <c r="A16519" i="19"/>
  <c r="A16518" i="19"/>
  <c r="A16517" i="19"/>
  <c r="A16516" i="19"/>
  <c r="A16515" i="19"/>
  <c r="A16514" i="19"/>
  <c r="A16513" i="19"/>
  <c r="A16512" i="19"/>
  <c r="A16511" i="19"/>
  <c r="A16510" i="19"/>
  <c r="A16509" i="19"/>
  <c r="A16508" i="19"/>
  <c r="A16507" i="19"/>
  <c r="A16506" i="19"/>
  <c r="A16505" i="19"/>
  <c r="A16504" i="19"/>
  <c r="A16503" i="19"/>
  <c r="A16502" i="19"/>
  <c r="A16501" i="19"/>
  <c r="A16500" i="19"/>
  <c r="A16499" i="19"/>
  <c r="A16498" i="19"/>
  <c r="A16497" i="19"/>
  <c r="A16496" i="19"/>
  <c r="A16495" i="19"/>
  <c r="A16494" i="19"/>
  <c r="A16493" i="19"/>
  <c r="A16492" i="19"/>
  <c r="A16491" i="19"/>
  <c r="A16490" i="19"/>
  <c r="A16489" i="19"/>
  <c r="A16488" i="19"/>
  <c r="A16487" i="19"/>
  <c r="A16486" i="19"/>
  <c r="A16485" i="19"/>
  <c r="A16484" i="19"/>
  <c r="A16483" i="19"/>
  <c r="A16482" i="19"/>
  <c r="A16481" i="19"/>
  <c r="A16480" i="19"/>
  <c r="A16479" i="19"/>
  <c r="A16478" i="19"/>
  <c r="A16477" i="19"/>
  <c r="A16476" i="19"/>
  <c r="A16475" i="19"/>
  <c r="A16474" i="19"/>
  <c r="A16473" i="19"/>
  <c r="A16472" i="19"/>
  <c r="A16471" i="19"/>
  <c r="A16470" i="19"/>
  <c r="A16469" i="19"/>
  <c r="A16468" i="19"/>
  <c r="A16467" i="19"/>
  <c r="A16466" i="19"/>
  <c r="A16465" i="19"/>
  <c r="A16464" i="19"/>
  <c r="A16463" i="19"/>
  <c r="A16462" i="19"/>
  <c r="A16461" i="19"/>
  <c r="A16460" i="19"/>
  <c r="A16459" i="19"/>
  <c r="A16458" i="19"/>
  <c r="A16457" i="19"/>
  <c r="A16456" i="19"/>
  <c r="A16455" i="19"/>
  <c r="A16454" i="19"/>
  <c r="A16453" i="19"/>
  <c r="A16452" i="19"/>
  <c r="A16451" i="19"/>
  <c r="A16450" i="19"/>
  <c r="A16449" i="19"/>
  <c r="A16448" i="19"/>
  <c r="A16447" i="19"/>
  <c r="A16446" i="19"/>
  <c r="A16445" i="19"/>
  <c r="A16444" i="19"/>
  <c r="A16443" i="19"/>
  <c r="A16442" i="19"/>
  <c r="A16441" i="19"/>
  <c r="A16440" i="19"/>
  <c r="A16439" i="19"/>
  <c r="A16438" i="19"/>
  <c r="A16437" i="19"/>
  <c r="A16436" i="19"/>
  <c r="A16435" i="19"/>
  <c r="A16434" i="19"/>
  <c r="A16433" i="19"/>
  <c r="A16432" i="19"/>
  <c r="A16431" i="19"/>
  <c r="A16430" i="19"/>
  <c r="A16429" i="19"/>
  <c r="A16428" i="19"/>
  <c r="A16427" i="19"/>
  <c r="A16426" i="19"/>
  <c r="A16425" i="19"/>
  <c r="A16424" i="19"/>
  <c r="A16423" i="19"/>
  <c r="A16422" i="19"/>
  <c r="A16421" i="19"/>
  <c r="A16420" i="19"/>
  <c r="A16419" i="19"/>
  <c r="A16418" i="19"/>
  <c r="A16417" i="19"/>
  <c r="A16416" i="19"/>
  <c r="A16415" i="19"/>
  <c r="A16414" i="19"/>
  <c r="A16413" i="19"/>
  <c r="A16412" i="19"/>
  <c r="A16411" i="19"/>
  <c r="A16410" i="19"/>
  <c r="A16409" i="19"/>
  <c r="A16408" i="19"/>
  <c r="A16407" i="19"/>
  <c r="A16406" i="19"/>
  <c r="A16405" i="19"/>
  <c r="A16404" i="19"/>
  <c r="A16403" i="19"/>
  <c r="A16402" i="19"/>
  <c r="A16401" i="19"/>
  <c r="A16400" i="19"/>
  <c r="A16399" i="19"/>
  <c r="A16398" i="19"/>
  <c r="A16397" i="19"/>
  <c r="A16396" i="19"/>
  <c r="A16395" i="19"/>
  <c r="A16394" i="19"/>
  <c r="A16393" i="19"/>
  <c r="A16392" i="19"/>
  <c r="A16391" i="19"/>
  <c r="A16390" i="19"/>
  <c r="A16389" i="19"/>
  <c r="A16388" i="19"/>
  <c r="A16387" i="19"/>
  <c r="A16386" i="19"/>
  <c r="A16385" i="19"/>
  <c r="A16384" i="19"/>
  <c r="A16383" i="19"/>
  <c r="A16382" i="19"/>
  <c r="A16381" i="19"/>
  <c r="A16380" i="19"/>
  <c r="A16379" i="19"/>
  <c r="A16378" i="19"/>
  <c r="A16377" i="19"/>
  <c r="A16376" i="19"/>
  <c r="A16375" i="19"/>
  <c r="A16374" i="19"/>
  <c r="A16373" i="19"/>
  <c r="A16372" i="19"/>
  <c r="A16371" i="19"/>
  <c r="A16370" i="19"/>
  <c r="A16369" i="19"/>
  <c r="A16368" i="19"/>
  <c r="A16367" i="19"/>
  <c r="A16366" i="19"/>
  <c r="A16365" i="19"/>
  <c r="A16364" i="19"/>
  <c r="A16363" i="19"/>
  <c r="A16362" i="19"/>
  <c r="A16361" i="19"/>
  <c r="A16360" i="19"/>
  <c r="A16359" i="19"/>
  <c r="A16358" i="19"/>
  <c r="A16357" i="19"/>
  <c r="A16356" i="19"/>
  <c r="A16355" i="19"/>
  <c r="A16354" i="19"/>
  <c r="A16353" i="19"/>
  <c r="A16352" i="19"/>
  <c r="A16351" i="19"/>
  <c r="A16350" i="19"/>
  <c r="A16349" i="19"/>
  <c r="A16348" i="19"/>
  <c r="A16347" i="19"/>
  <c r="A16346" i="19"/>
  <c r="A16345" i="19"/>
  <c r="A16344" i="19"/>
  <c r="A16343" i="19"/>
  <c r="A16342" i="19"/>
  <c r="A16341" i="19"/>
  <c r="A16340" i="19"/>
  <c r="A16339" i="19"/>
  <c r="A16338" i="19"/>
  <c r="A16337" i="19"/>
  <c r="A16336" i="19"/>
  <c r="A16335" i="19"/>
  <c r="A16334" i="19"/>
  <c r="A16333" i="19"/>
  <c r="A16332" i="19"/>
  <c r="A16331" i="19"/>
  <c r="A16330" i="19"/>
  <c r="A16329" i="19"/>
  <c r="A16328" i="19"/>
  <c r="A16327" i="19"/>
  <c r="A16326" i="19"/>
  <c r="A16325" i="19"/>
  <c r="A16324" i="19"/>
  <c r="A16323" i="19"/>
  <c r="A16322" i="19"/>
  <c r="A16321" i="19"/>
  <c r="A16320" i="19"/>
  <c r="A16319" i="19"/>
  <c r="A16318" i="19"/>
  <c r="A16317" i="19"/>
  <c r="A16316" i="19"/>
  <c r="A16315" i="19"/>
  <c r="A16314" i="19"/>
  <c r="A16313" i="19"/>
  <c r="A16312" i="19"/>
  <c r="A16311" i="19"/>
  <c r="A16310" i="19"/>
  <c r="A16309" i="19"/>
  <c r="A16308" i="19"/>
  <c r="A16307" i="19"/>
  <c r="A16306" i="19"/>
  <c r="A16305" i="19"/>
  <c r="A16304" i="19"/>
  <c r="A16303" i="19"/>
  <c r="A16302" i="19"/>
  <c r="A16301" i="19"/>
  <c r="A16300" i="19"/>
  <c r="A16299" i="19"/>
  <c r="A16298" i="19"/>
  <c r="A16297" i="19"/>
  <c r="A16296" i="19"/>
  <c r="A16295" i="19"/>
  <c r="A16294" i="19"/>
  <c r="A16293" i="19"/>
  <c r="A16292" i="19"/>
  <c r="A16291" i="19"/>
  <c r="A16290" i="19"/>
  <c r="A16289" i="19"/>
  <c r="A16288" i="19"/>
  <c r="A16287" i="19"/>
  <c r="A16286" i="19"/>
  <c r="A16285" i="19"/>
  <c r="A16284" i="19"/>
  <c r="A16283" i="19"/>
  <c r="A16282" i="19"/>
  <c r="A16281" i="19"/>
  <c r="A16280" i="19"/>
  <c r="A16279" i="19"/>
  <c r="A16278" i="19"/>
  <c r="A16277" i="19"/>
  <c r="A16276" i="19"/>
  <c r="A16275" i="19"/>
  <c r="A16274" i="19"/>
  <c r="A16273" i="19"/>
  <c r="A16272" i="19"/>
  <c r="A16271" i="19"/>
  <c r="A16270" i="19"/>
  <c r="A16269" i="19"/>
  <c r="A16268" i="19"/>
  <c r="A16267" i="19"/>
  <c r="A16266" i="19"/>
  <c r="A16265" i="19"/>
  <c r="A16264" i="19"/>
  <c r="A16263" i="19"/>
  <c r="A16262" i="19"/>
  <c r="A16261" i="19"/>
  <c r="A16260" i="19"/>
  <c r="A16259" i="19"/>
  <c r="A16258" i="19"/>
  <c r="A16257" i="19"/>
  <c r="A16256" i="19"/>
  <c r="A16255" i="19"/>
  <c r="A16254" i="19"/>
  <c r="A16253" i="19"/>
  <c r="A16252" i="19"/>
  <c r="A16251" i="19"/>
  <c r="A16250" i="19"/>
  <c r="A16249" i="19"/>
  <c r="A16248" i="19"/>
  <c r="A16247" i="19"/>
  <c r="A16246" i="19"/>
  <c r="A16245" i="19"/>
  <c r="A16244" i="19"/>
  <c r="A16243" i="19"/>
  <c r="A16242" i="19"/>
  <c r="A16241" i="19"/>
  <c r="A16240" i="19"/>
  <c r="A16239" i="19"/>
  <c r="A16238" i="19"/>
  <c r="A16237" i="19"/>
  <c r="A16236" i="19"/>
  <c r="A16235" i="19"/>
  <c r="A16234" i="19"/>
  <c r="A16233" i="19"/>
  <c r="A16232" i="19"/>
  <c r="A16231" i="19"/>
  <c r="A16230" i="19"/>
  <c r="A16229" i="19"/>
  <c r="A16228" i="19"/>
  <c r="A16227" i="19"/>
  <c r="A16226" i="19"/>
  <c r="A16225" i="19"/>
  <c r="A16224" i="19"/>
  <c r="A16223" i="19"/>
  <c r="A16222" i="19"/>
  <c r="A16221" i="19"/>
  <c r="A16220" i="19"/>
  <c r="A16219" i="19"/>
  <c r="A16218" i="19"/>
  <c r="A16217" i="19"/>
  <c r="A16216" i="19"/>
  <c r="A16215" i="19"/>
  <c r="A16214" i="19"/>
  <c r="A16213" i="19"/>
  <c r="A16212" i="19"/>
  <c r="A16211" i="19"/>
  <c r="A16210" i="19"/>
  <c r="A16209" i="19"/>
  <c r="A16208" i="19"/>
  <c r="A16207" i="19"/>
  <c r="A16206" i="19"/>
  <c r="A16205" i="19"/>
  <c r="A16204" i="19"/>
  <c r="A16203" i="19"/>
  <c r="A16202" i="19"/>
  <c r="A16201" i="19"/>
  <c r="A16200" i="19"/>
  <c r="A16199" i="19"/>
  <c r="A16198" i="19"/>
  <c r="A16197" i="19"/>
  <c r="A16196" i="19"/>
  <c r="A16195" i="19"/>
  <c r="A16194" i="19"/>
  <c r="A16193" i="19"/>
  <c r="A16192" i="19"/>
  <c r="A16191" i="19"/>
  <c r="A16190" i="19"/>
  <c r="A16189" i="19"/>
  <c r="A16188" i="19"/>
  <c r="A16187" i="19"/>
  <c r="A16186" i="19"/>
  <c r="A16185" i="19"/>
  <c r="A16184" i="19"/>
  <c r="A16183" i="19"/>
  <c r="A16182" i="19"/>
  <c r="A16181" i="19"/>
  <c r="A16180" i="19"/>
  <c r="A16179" i="19"/>
  <c r="A16178" i="19"/>
  <c r="A16177" i="19"/>
  <c r="A16176" i="19"/>
  <c r="A16175" i="19"/>
  <c r="A16174" i="19"/>
  <c r="A16173" i="19"/>
  <c r="A16172" i="19"/>
  <c r="A16171" i="19"/>
  <c r="A16170" i="19"/>
  <c r="A16169" i="19"/>
  <c r="A16168" i="19"/>
  <c r="A16167" i="19"/>
  <c r="A16166" i="19"/>
  <c r="A16165" i="19"/>
  <c r="A16164" i="19"/>
  <c r="A16163" i="19"/>
  <c r="A16162" i="19"/>
  <c r="A16161" i="19"/>
  <c r="A16160" i="19"/>
  <c r="A16159" i="19"/>
  <c r="A16158" i="19"/>
  <c r="A16157" i="19"/>
  <c r="A16156" i="19"/>
  <c r="A16155" i="19"/>
  <c r="A16154" i="19"/>
  <c r="A16153" i="19"/>
  <c r="A16152" i="19"/>
  <c r="A16151" i="19"/>
  <c r="A16150" i="19"/>
  <c r="A16149" i="19"/>
  <c r="A16148" i="19"/>
  <c r="A16147" i="19"/>
  <c r="A16146" i="19"/>
  <c r="A16145" i="19"/>
  <c r="A16144" i="19"/>
  <c r="A16143" i="19"/>
  <c r="A16142" i="19"/>
  <c r="A16141" i="19"/>
  <c r="A16140" i="19"/>
  <c r="A16139" i="19"/>
  <c r="A16138" i="19"/>
  <c r="A16137" i="19"/>
  <c r="A16136" i="19"/>
  <c r="A16135" i="19"/>
  <c r="A16134" i="19"/>
  <c r="A16133" i="19"/>
  <c r="A16132" i="19"/>
  <c r="A16131" i="19"/>
  <c r="A16130" i="19"/>
  <c r="A16129" i="19"/>
  <c r="A16128" i="19"/>
  <c r="A16127" i="19"/>
  <c r="A16126" i="19"/>
  <c r="A16125" i="19"/>
  <c r="A16124" i="19"/>
  <c r="A16123" i="19"/>
  <c r="A16122" i="19"/>
  <c r="A16121" i="19"/>
  <c r="A16120" i="19"/>
  <c r="A16119" i="19"/>
  <c r="A16118" i="19"/>
  <c r="A16117" i="19"/>
  <c r="A16116" i="19"/>
  <c r="A16115" i="19"/>
  <c r="A16114" i="19"/>
  <c r="A16113" i="19"/>
  <c r="A16112" i="19"/>
  <c r="A16111" i="19"/>
  <c r="A16110" i="19"/>
  <c r="A16109" i="19"/>
  <c r="A16108" i="19"/>
  <c r="A16107" i="19"/>
  <c r="A16106" i="19"/>
  <c r="A16105" i="19"/>
  <c r="A16104" i="19"/>
  <c r="A16103" i="19"/>
  <c r="A16102" i="19"/>
  <c r="A16101" i="19"/>
  <c r="A16100" i="19"/>
  <c r="A16099" i="19"/>
  <c r="A16098" i="19"/>
  <c r="A16097" i="19"/>
  <c r="A16096" i="19"/>
  <c r="A16095" i="19"/>
  <c r="A16094" i="19"/>
  <c r="A16093" i="19"/>
  <c r="A16092" i="19"/>
  <c r="A16091" i="19"/>
  <c r="A16090" i="19"/>
  <c r="A16089" i="19"/>
  <c r="A16088" i="19"/>
  <c r="A16087" i="19"/>
  <c r="A16086" i="19"/>
  <c r="A16085" i="19"/>
  <c r="A16084" i="19"/>
  <c r="A16083" i="19"/>
  <c r="A16082" i="19"/>
  <c r="A16081" i="19"/>
  <c r="A16080" i="19"/>
  <c r="A16079" i="19"/>
  <c r="A16078" i="19"/>
  <c r="A16077" i="19"/>
  <c r="A16076" i="19"/>
  <c r="A16075" i="19"/>
  <c r="A16074" i="19"/>
  <c r="A16073" i="19"/>
  <c r="A16072" i="19"/>
  <c r="A16071" i="19"/>
  <c r="A16070" i="19"/>
  <c r="A16069" i="19"/>
  <c r="A16068" i="19"/>
  <c r="A16067" i="19"/>
  <c r="A16066" i="19"/>
  <c r="A16065" i="19"/>
  <c r="A16064" i="19"/>
  <c r="A16063" i="19"/>
  <c r="A16062" i="19"/>
  <c r="A16061" i="19"/>
  <c r="A16060" i="19"/>
  <c r="A16059" i="19"/>
  <c r="A16058" i="19"/>
  <c r="A16057" i="19"/>
  <c r="A16056" i="19"/>
  <c r="A16055" i="19"/>
  <c r="A16054" i="19"/>
  <c r="A16053" i="19"/>
  <c r="A16052" i="19"/>
  <c r="A16051" i="19"/>
  <c r="A16050" i="19"/>
  <c r="A16049" i="19"/>
  <c r="A16048" i="19"/>
  <c r="A16047" i="19"/>
  <c r="A16046" i="19"/>
  <c r="A16045" i="19"/>
  <c r="A16044" i="19"/>
  <c r="A16043" i="19"/>
  <c r="A16042" i="19"/>
  <c r="A16041" i="19"/>
  <c r="A16040" i="19"/>
  <c r="A16039" i="19"/>
  <c r="A16038" i="19"/>
  <c r="A16037" i="19"/>
  <c r="A16036" i="19"/>
  <c r="A16035" i="19"/>
  <c r="A16034" i="19"/>
  <c r="A16033" i="19"/>
  <c r="A16032" i="19"/>
  <c r="A16031" i="19"/>
  <c r="A16030" i="19"/>
  <c r="A16029" i="19"/>
  <c r="A16028" i="19"/>
  <c r="A16027" i="19"/>
  <c r="A16026" i="19"/>
  <c r="A16025" i="19"/>
  <c r="A16024" i="19"/>
  <c r="A16023" i="19"/>
  <c r="A16022" i="19"/>
  <c r="A16021" i="19"/>
  <c r="A16020" i="19"/>
  <c r="A16019" i="19"/>
  <c r="A16018" i="19"/>
  <c r="A16017" i="19"/>
  <c r="A16016" i="19"/>
  <c r="A16015" i="19"/>
  <c r="A16014" i="19"/>
  <c r="A16013" i="19"/>
  <c r="A16012" i="19"/>
  <c r="A16011" i="19"/>
  <c r="A16010" i="19"/>
  <c r="A16009" i="19"/>
  <c r="A16008" i="19"/>
  <c r="A16007" i="19"/>
  <c r="A16006" i="19"/>
  <c r="A16005" i="19"/>
  <c r="A16004" i="19"/>
  <c r="A16003" i="19"/>
  <c r="A16002" i="19"/>
  <c r="A16001" i="19"/>
  <c r="A16000" i="19"/>
  <c r="A15999" i="19"/>
  <c r="A15998" i="19"/>
  <c r="A15997" i="19"/>
  <c r="A15996" i="19"/>
  <c r="A15995" i="19"/>
  <c r="A15994" i="19"/>
  <c r="A15993" i="19"/>
  <c r="A15992" i="19"/>
  <c r="A15991" i="19"/>
  <c r="A15990" i="19"/>
  <c r="A15989" i="19"/>
  <c r="A15988" i="19"/>
  <c r="A15987" i="19"/>
  <c r="A15986" i="19"/>
  <c r="A15985" i="19"/>
  <c r="A15984" i="19"/>
  <c r="A15983" i="19"/>
  <c r="A15982" i="19"/>
  <c r="A15981" i="19"/>
  <c r="A15980" i="19"/>
  <c r="A15979" i="19"/>
  <c r="A15978" i="19"/>
  <c r="A15977" i="19"/>
  <c r="A15976" i="19"/>
  <c r="A15975" i="19"/>
  <c r="A15974" i="19"/>
  <c r="A15973" i="19"/>
  <c r="A15972" i="19"/>
  <c r="A15971" i="19"/>
  <c r="A15970" i="19"/>
  <c r="A15969" i="19"/>
  <c r="A15968" i="19"/>
  <c r="A15967" i="19"/>
  <c r="A15966" i="19"/>
  <c r="A15965" i="19"/>
  <c r="A15964" i="19"/>
  <c r="A15963" i="19"/>
  <c r="A15962" i="19"/>
  <c r="A15961" i="19"/>
  <c r="A15960" i="19"/>
  <c r="A15959" i="19"/>
  <c r="A15958" i="19"/>
  <c r="A15957" i="19"/>
  <c r="A15956" i="19"/>
  <c r="A15955" i="19"/>
  <c r="A15954" i="19"/>
  <c r="A15953" i="19"/>
  <c r="A15952" i="19"/>
  <c r="A15951" i="19"/>
  <c r="A15950" i="19"/>
  <c r="A15949" i="19"/>
  <c r="A15948" i="19"/>
  <c r="A15947" i="19"/>
  <c r="A15946" i="19"/>
  <c r="A15945" i="19"/>
  <c r="A15944" i="19"/>
  <c r="A15943" i="19"/>
  <c r="A15942" i="19"/>
  <c r="A15941" i="19"/>
  <c r="A15940" i="19"/>
  <c r="A15939" i="19"/>
  <c r="A15938" i="19"/>
  <c r="A15937" i="19"/>
  <c r="A15936" i="19"/>
  <c r="A15935" i="19"/>
  <c r="A15934" i="19"/>
  <c r="A15933" i="19"/>
  <c r="A15932" i="19"/>
  <c r="A15931" i="19"/>
  <c r="A15930" i="19"/>
  <c r="A15929" i="19"/>
  <c r="A15928" i="19"/>
  <c r="A15927" i="19"/>
  <c r="A15926" i="19"/>
  <c r="A15925" i="19"/>
  <c r="A15924" i="19"/>
  <c r="A15923" i="19"/>
  <c r="A15922" i="19"/>
  <c r="A15921" i="19"/>
  <c r="A15920" i="19"/>
  <c r="A15919" i="19"/>
  <c r="A15918" i="19"/>
  <c r="A15917" i="19"/>
  <c r="A15916" i="19"/>
  <c r="A15915" i="19"/>
  <c r="A15914" i="19"/>
  <c r="A15913" i="19"/>
  <c r="A15912" i="19"/>
  <c r="A15911" i="19"/>
  <c r="A15910" i="19"/>
  <c r="A15909" i="19"/>
  <c r="A15908" i="19"/>
  <c r="A15907" i="19"/>
  <c r="A15906" i="19"/>
  <c r="A15905" i="19"/>
  <c r="A15904" i="19"/>
  <c r="A15903" i="19"/>
  <c r="A15902" i="19"/>
  <c r="A15901" i="19"/>
  <c r="A15900" i="19"/>
  <c r="A15899" i="19"/>
  <c r="A15898" i="19"/>
  <c r="A15897" i="19"/>
  <c r="A15896" i="19"/>
  <c r="A15895" i="19"/>
  <c r="A15894" i="19"/>
  <c r="A15893" i="19"/>
  <c r="A15892" i="19"/>
  <c r="A15891" i="19"/>
  <c r="A15890" i="19"/>
  <c r="A15889" i="19"/>
  <c r="A15888" i="19"/>
  <c r="A15887" i="19"/>
  <c r="A15886" i="19"/>
  <c r="A15885" i="19"/>
  <c r="A15884" i="19"/>
  <c r="A15883" i="19"/>
  <c r="A15882" i="19"/>
  <c r="A15881" i="19"/>
  <c r="A15880" i="19"/>
  <c r="A15879" i="19"/>
  <c r="A15878" i="19"/>
  <c r="A15877" i="19"/>
  <c r="A15876" i="19"/>
  <c r="A15875" i="19"/>
  <c r="A15874" i="19"/>
  <c r="A15873" i="19"/>
  <c r="A15872" i="19"/>
  <c r="A15871" i="19"/>
  <c r="A15870" i="19"/>
  <c r="A15869" i="19"/>
  <c r="A15868" i="19"/>
  <c r="A15867" i="19"/>
  <c r="A15866" i="19"/>
  <c r="A15865" i="19"/>
  <c r="A15864" i="19"/>
  <c r="A15863" i="19"/>
  <c r="A15862" i="19"/>
  <c r="A15861" i="19"/>
  <c r="A15860" i="19"/>
  <c r="A15859" i="19"/>
  <c r="A15858" i="19"/>
  <c r="A15857" i="19"/>
  <c r="A15856" i="19"/>
  <c r="A15855" i="19"/>
  <c r="A15854" i="19"/>
  <c r="A15853" i="19"/>
  <c r="A15852" i="19"/>
  <c r="A15851" i="19"/>
  <c r="A15850" i="19"/>
  <c r="A15849" i="19"/>
  <c r="A15848" i="19"/>
  <c r="A15847" i="19"/>
  <c r="A15846" i="19"/>
  <c r="A15845" i="19"/>
  <c r="A15844" i="19"/>
  <c r="A15843" i="19"/>
  <c r="A15842" i="19"/>
  <c r="A15841" i="19"/>
  <c r="A15840" i="19"/>
  <c r="A15839" i="19"/>
  <c r="A15838" i="19"/>
  <c r="A15837" i="19"/>
  <c r="A15836" i="19"/>
  <c r="A15835" i="19"/>
  <c r="A15834" i="19"/>
  <c r="A15833" i="19"/>
  <c r="A15832" i="19"/>
  <c r="A15831" i="19"/>
  <c r="A15830" i="19"/>
  <c r="A15829" i="19"/>
  <c r="A15828" i="19"/>
  <c r="A15827" i="19"/>
  <c r="A15826" i="19"/>
  <c r="A15825" i="19"/>
  <c r="A15824" i="19"/>
  <c r="A15823" i="19"/>
  <c r="A15822" i="19"/>
  <c r="A15821" i="19"/>
  <c r="A15820" i="19"/>
  <c r="A15819" i="19"/>
  <c r="A15818" i="19"/>
  <c r="A15817" i="19"/>
  <c r="A15816" i="19"/>
  <c r="A15815" i="19"/>
  <c r="A15814" i="19"/>
  <c r="A15813" i="19"/>
  <c r="A15812" i="19"/>
  <c r="A15811" i="19"/>
  <c r="A15810" i="19"/>
  <c r="A15809" i="19"/>
  <c r="A15808" i="19"/>
  <c r="A15807" i="19"/>
  <c r="A15806" i="19"/>
  <c r="A15805" i="19"/>
  <c r="A15804" i="19"/>
  <c r="A15803" i="19"/>
  <c r="A15802" i="19"/>
  <c r="A15801" i="19"/>
  <c r="A15800" i="19"/>
  <c r="A15799" i="19"/>
  <c r="A15798" i="19"/>
  <c r="A15797" i="19"/>
  <c r="A15796" i="19"/>
  <c r="A15795" i="19"/>
  <c r="A15794" i="19"/>
  <c r="A15793" i="19"/>
  <c r="A15792" i="19"/>
  <c r="A15791" i="19"/>
  <c r="A15790" i="19"/>
  <c r="A15789" i="19"/>
  <c r="A15788" i="19"/>
  <c r="A15787" i="19"/>
  <c r="A15786" i="19"/>
  <c r="A15785" i="19"/>
  <c r="A15784" i="19"/>
  <c r="A15783" i="19"/>
  <c r="A15782" i="19"/>
  <c r="A15781" i="19"/>
  <c r="A15780" i="19"/>
  <c r="A15779" i="19"/>
  <c r="A15778" i="19"/>
  <c r="A15777" i="19"/>
  <c r="A15776" i="19"/>
  <c r="A15775" i="19"/>
  <c r="A15774" i="19"/>
  <c r="A15773" i="19"/>
  <c r="A15772" i="19"/>
  <c r="A15771" i="19"/>
  <c r="A15770" i="19"/>
  <c r="A15769" i="19"/>
  <c r="A15768" i="19"/>
  <c r="A15767" i="19"/>
  <c r="A15766" i="19"/>
  <c r="A15765" i="19"/>
  <c r="A15764" i="19"/>
  <c r="A15763" i="19"/>
  <c r="A15762" i="19"/>
  <c r="A15761" i="19"/>
  <c r="A15760" i="19"/>
  <c r="A15759" i="19"/>
  <c r="A15758" i="19"/>
  <c r="A15757" i="19"/>
  <c r="A15756" i="19"/>
  <c r="A15755" i="19"/>
  <c r="A15754" i="19"/>
  <c r="A15753" i="19"/>
  <c r="A15752" i="19"/>
  <c r="A15751" i="19"/>
  <c r="A15750" i="19"/>
  <c r="A15749" i="19"/>
  <c r="A15748" i="19"/>
  <c r="A15747" i="19"/>
  <c r="A15746" i="19"/>
  <c r="A15745" i="19"/>
  <c r="A15744" i="19"/>
  <c r="A15743" i="19"/>
  <c r="A15742" i="19"/>
  <c r="A15741" i="19"/>
  <c r="A15740" i="19"/>
  <c r="A15739" i="19"/>
  <c r="A15738" i="19"/>
  <c r="A15737" i="19"/>
  <c r="A15736" i="19"/>
  <c r="A15735" i="19"/>
  <c r="A15734" i="19"/>
  <c r="A15733" i="19"/>
  <c r="A15732" i="19"/>
  <c r="A15731" i="19"/>
  <c r="A15730" i="19"/>
  <c r="A15729" i="19"/>
  <c r="A15728" i="19"/>
  <c r="A15727" i="19"/>
  <c r="A15726" i="19"/>
  <c r="A15725" i="19"/>
  <c r="A15724" i="19"/>
  <c r="A15723" i="19"/>
  <c r="A15722" i="19"/>
  <c r="A15721" i="19"/>
  <c r="A15720" i="19"/>
  <c r="A15719" i="19"/>
  <c r="A15718" i="19"/>
  <c r="A15717" i="19"/>
  <c r="A15716" i="19"/>
  <c r="A15715" i="19"/>
  <c r="A15714" i="19"/>
  <c r="A15713" i="19"/>
  <c r="A15712" i="19"/>
  <c r="A15711" i="19"/>
  <c r="A15710" i="19"/>
  <c r="A15709" i="19"/>
  <c r="A15708" i="19"/>
  <c r="A15707" i="19"/>
  <c r="A15706" i="19"/>
  <c r="A15705" i="19"/>
  <c r="A15704" i="19"/>
  <c r="A15703" i="19"/>
  <c r="A15702" i="19"/>
  <c r="A15701" i="19"/>
  <c r="A15700" i="19"/>
  <c r="A15699" i="19"/>
  <c r="A15698" i="19"/>
  <c r="A15697" i="19"/>
  <c r="A15696" i="19"/>
  <c r="A15695" i="19"/>
  <c r="A15694" i="19"/>
  <c r="A15693" i="19"/>
  <c r="A15692" i="19"/>
  <c r="A15691" i="19"/>
  <c r="A15690" i="19"/>
  <c r="A15689" i="19"/>
  <c r="A15688" i="19"/>
  <c r="A15687" i="19"/>
  <c r="A15686" i="19"/>
  <c r="A15685" i="19"/>
  <c r="A15684" i="19"/>
  <c r="A15683" i="19"/>
  <c r="A15682" i="19"/>
  <c r="A15681" i="19"/>
  <c r="A15680" i="19"/>
  <c r="A15679" i="19"/>
  <c r="A15678" i="19"/>
  <c r="A15677" i="19"/>
  <c r="A15676" i="19"/>
  <c r="A15675" i="19"/>
  <c r="A15674" i="19"/>
  <c r="A15673" i="19"/>
  <c r="A15672" i="19"/>
  <c r="A15671" i="19"/>
  <c r="A15670" i="19"/>
  <c r="A15669" i="19"/>
  <c r="A15668" i="19"/>
  <c r="A15667" i="19"/>
  <c r="A15666" i="19"/>
  <c r="A15665" i="19"/>
  <c r="A15664" i="19"/>
  <c r="A15663" i="19"/>
  <c r="A15662" i="19"/>
  <c r="A15661" i="19"/>
  <c r="A15660" i="19"/>
  <c r="A15659" i="19"/>
  <c r="A15658" i="19"/>
  <c r="A15657" i="19"/>
  <c r="A15656" i="19"/>
  <c r="A15655" i="19"/>
  <c r="A15654" i="19"/>
  <c r="A15653" i="19"/>
  <c r="A15652" i="19"/>
  <c r="A15651" i="19"/>
  <c r="A15650" i="19"/>
  <c r="A15649" i="19"/>
  <c r="A15648" i="19"/>
  <c r="A15647" i="19"/>
  <c r="A15646" i="19"/>
  <c r="A15645" i="19"/>
  <c r="A15644" i="19"/>
  <c r="A15643" i="19"/>
  <c r="A15642" i="19"/>
  <c r="A15641" i="19"/>
  <c r="A15640" i="19"/>
  <c r="A15639" i="19"/>
  <c r="A15638" i="19"/>
  <c r="A15637" i="19"/>
  <c r="A15636" i="19"/>
  <c r="A15635" i="19"/>
  <c r="A15634" i="19"/>
  <c r="A15633" i="19"/>
  <c r="A15632" i="19"/>
  <c r="A15631" i="19"/>
  <c r="A15630" i="19"/>
  <c r="A15629" i="19"/>
  <c r="A15628" i="19"/>
  <c r="A15627" i="19"/>
  <c r="A15626" i="19"/>
  <c r="A15625" i="19"/>
  <c r="A15624" i="19"/>
  <c r="A15623" i="19"/>
  <c r="A15622" i="19"/>
  <c r="A15621" i="19"/>
  <c r="A15620" i="19"/>
  <c r="A15619" i="19"/>
  <c r="A15618" i="19"/>
  <c r="A15617" i="19"/>
  <c r="A15616" i="19"/>
  <c r="A15615" i="19"/>
  <c r="A15614" i="19"/>
  <c r="A15613" i="19"/>
  <c r="A15612" i="19"/>
  <c r="A15611" i="19"/>
  <c r="A15610" i="19"/>
  <c r="A15609" i="19"/>
  <c r="A15608" i="19"/>
  <c r="A15607" i="19"/>
  <c r="A15606" i="19"/>
  <c r="A15605" i="19"/>
  <c r="A15604" i="19"/>
  <c r="A15603" i="19"/>
  <c r="A15602" i="19"/>
  <c r="A15601" i="19"/>
  <c r="A15600" i="19"/>
  <c r="A15599" i="19"/>
  <c r="A15598" i="19"/>
  <c r="A15597" i="19"/>
  <c r="A15596" i="19"/>
  <c r="A15595" i="19"/>
  <c r="A15594" i="19"/>
  <c r="A15593" i="19"/>
  <c r="A15592" i="19"/>
  <c r="A15591" i="19"/>
  <c r="A15590" i="19"/>
  <c r="A15589" i="19"/>
  <c r="A15588" i="19"/>
  <c r="A15587" i="19"/>
  <c r="A15586" i="19"/>
  <c r="A15585" i="19"/>
  <c r="A15584" i="19"/>
  <c r="A15583" i="19"/>
  <c r="A15582" i="19"/>
  <c r="A15581" i="19"/>
  <c r="A15580" i="19"/>
  <c r="A15579" i="19"/>
  <c r="A15578" i="19"/>
  <c r="A15577" i="19"/>
  <c r="A15576" i="19"/>
  <c r="A15575" i="19"/>
  <c r="A15574" i="19"/>
  <c r="A15573" i="19"/>
  <c r="A15572" i="19"/>
  <c r="A15571" i="19"/>
  <c r="A15570" i="19"/>
  <c r="A15569" i="19"/>
  <c r="A15568" i="19"/>
  <c r="A15567" i="19"/>
  <c r="A15566" i="19"/>
  <c r="A15565" i="19"/>
  <c r="A15564" i="19"/>
  <c r="A15563" i="19"/>
  <c r="A15562" i="19"/>
  <c r="A15561" i="19"/>
  <c r="A15560" i="19"/>
  <c r="A15559" i="19"/>
  <c r="A15558" i="19"/>
  <c r="A15557" i="19"/>
  <c r="A15556" i="19"/>
  <c r="A15555" i="19"/>
  <c r="A15554" i="19"/>
  <c r="A15553" i="19"/>
  <c r="A15552" i="19"/>
  <c r="A15551" i="19"/>
  <c r="A15550" i="19"/>
  <c r="A15549" i="19"/>
  <c r="A15548" i="19"/>
  <c r="A15547" i="19"/>
  <c r="A15546" i="19"/>
  <c r="A15545" i="19"/>
  <c r="A15544" i="19"/>
  <c r="A15543" i="19"/>
  <c r="A15542" i="19"/>
  <c r="A15541" i="19"/>
  <c r="A15540" i="19"/>
  <c r="A15539" i="19"/>
  <c r="A15538" i="19"/>
  <c r="A15537" i="19"/>
  <c r="A15536" i="19"/>
  <c r="A15535" i="19"/>
  <c r="A15534" i="19"/>
  <c r="A15533" i="19"/>
  <c r="A15532" i="19"/>
  <c r="A15531" i="19"/>
  <c r="A15530" i="19"/>
  <c r="A15529" i="19"/>
  <c r="A15528" i="19"/>
  <c r="A15527" i="19"/>
  <c r="A15526" i="19"/>
  <c r="A15525" i="19"/>
  <c r="A15524" i="19"/>
  <c r="A15523" i="19"/>
  <c r="A15522" i="19"/>
  <c r="A15521" i="19"/>
  <c r="A15520" i="19"/>
  <c r="A15519" i="19"/>
  <c r="A15518" i="19"/>
  <c r="A15517" i="19"/>
  <c r="A15516" i="19"/>
  <c r="A15515" i="19"/>
  <c r="A15514" i="19"/>
  <c r="A15513" i="19"/>
  <c r="A15512" i="19"/>
  <c r="A15511" i="19"/>
  <c r="A15510" i="19"/>
  <c r="A15509" i="19"/>
  <c r="A15508" i="19"/>
  <c r="A15507" i="19"/>
  <c r="A15506" i="19"/>
  <c r="A15505" i="19"/>
  <c r="A15504" i="19"/>
  <c r="A15503" i="19"/>
  <c r="A15502" i="19"/>
  <c r="A15501" i="19"/>
  <c r="A15500" i="19"/>
  <c r="A15499" i="19"/>
  <c r="A15498" i="19"/>
  <c r="A15497" i="19"/>
  <c r="A15496" i="19"/>
  <c r="A15495" i="19"/>
  <c r="A15494" i="19"/>
  <c r="A15493" i="19"/>
  <c r="A15492" i="19"/>
  <c r="A15491" i="19"/>
  <c r="A15490" i="19"/>
  <c r="A15489" i="19"/>
  <c r="A15488" i="19"/>
  <c r="A15487" i="19"/>
  <c r="A15486" i="19"/>
  <c r="A15485" i="19"/>
  <c r="A15484" i="19"/>
  <c r="A15483" i="19"/>
  <c r="A15482" i="19"/>
  <c r="A15481" i="19"/>
  <c r="A15480" i="19"/>
  <c r="A15479" i="19"/>
  <c r="A15478" i="19"/>
  <c r="A15477" i="19"/>
  <c r="A15476" i="19"/>
  <c r="A15475" i="19"/>
  <c r="A15474" i="19"/>
  <c r="A15473" i="19"/>
  <c r="A15472" i="19"/>
  <c r="A15471" i="19"/>
  <c r="A15470" i="19"/>
  <c r="A15469" i="19"/>
  <c r="A15468" i="19"/>
  <c r="A15467" i="19"/>
  <c r="A15466" i="19"/>
  <c r="A15465" i="19"/>
  <c r="A15464" i="19"/>
  <c r="A15463" i="19"/>
  <c r="A15462" i="19"/>
  <c r="A15461" i="19"/>
  <c r="A15460" i="19"/>
  <c r="A15459" i="19"/>
  <c r="A15458" i="19"/>
  <c r="A15457" i="19"/>
  <c r="A15456" i="19"/>
  <c r="A15455" i="19"/>
  <c r="A15454" i="19"/>
  <c r="A15453" i="19"/>
  <c r="A15452" i="19"/>
  <c r="A15451" i="19"/>
  <c r="A15450" i="19"/>
  <c r="A15449" i="19"/>
  <c r="A15448" i="19"/>
  <c r="A15447" i="19"/>
  <c r="A15446" i="19"/>
  <c r="A15445" i="19"/>
  <c r="A15444" i="19"/>
  <c r="A15443" i="19"/>
  <c r="A15442" i="19"/>
  <c r="A15441" i="19"/>
  <c r="A15440" i="19"/>
  <c r="A15439" i="19"/>
  <c r="A15438" i="19"/>
  <c r="A15437" i="19"/>
  <c r="A15436" i="19"/>
  <c r="A15435" i="19"/>
  <c r="A15434" i="19"/>
  <c r="A15433" i="19"/>
  <c r="A15432" i="19"/>
  <c r="A15431" i="19"/>
  <c r="A15430" i="19"/>
  <c r="A15429" i="19"/>
  <c r="A15428" i="19"/>
  <c r="A15427" i="19"/>
  <c r="A15426" i="19"/>
  <c r="A15425" i="19"/>
  <c r="A15424" i="19"/>
  <c r="A15423" i="19"/>
  <c r="A15422" i="19"/>
  <c r="A15421" i="19"/>
  <c r="A15420" i="19"/>
  <c r="A15419" i="19"/>
  <c r="A15418" i="19"/>
  <c r="A15417" i="19"/>
  <c r="A15416" i="19"/>
  <c r="A15415" i="19"/>
  <c r="A15414" i="19"/>
  <c r="A15413" i="19"/>
  <c r="A15412" i="19"/>
  <c r="A15411" i="19"/>
  <c r="A15410" i="19"/>
  <c r="A15409" i="19"/>
  <c r="A15408" i="19"/>
  <c r="A15407" i="19"/>
  <c r="A15406" i="19"/>
  <c r="A15405" i="19"/>
  <c r="A15404" i="19"/>
  <c r="A15403" i="19"/>
  <c r="A15402" i="19"/>
  <c r="A15401" i="19"/>
  <c r="A15400" i="19"/>
  <c r="A15399" i="19"/>
  <c r="A15398" i="19"/>
  <c r="A15397" i="19"/>
  <c r="A15396" i="19"/>
  <c r="A15395" i="19"/>
  <c r="A15394" i="19"/>
  <c r="A15393" i="19"/>
  <c r="A15392" i="19"/>
  <c r="A15391" i="19"/>
  <c r="A15390" i="19"/>
  <c r="A15389" i="19"/>
  <c r="A15388" i="19"/>
  <c r="A15387" i="19"/>
  <c r="A15386" i="19"/>
  <c r="A15385" i="19"/>
  <c r="A15384" i="19"/>
  <c r="A15383" i="19"/>
  <c r="A15382" i="19"/>
  <c r="A15381" i="19"/>
  <c r="A15380" i="19"/>
  <c r="A15379" i="19"/>
  <c r="A15378" i="19"/>
  <c r="A15377" i="19"/>
  <c r="A15376" i="19"/>
  <c r="A15375" i="19"/>
  <c r="A15374" i="19"/>
  <c r="A15373" i="19"/>
  <c r="A15372" i="19"/>
  <c r="A15371" i="19"/>
  <c r="A15370" i="19"/>
  <c r="A15369" i="19"/>
  <c r="A15368" i="19"/>
  <c r="A15367" i="19"/>
  <c r="A15366" i="19"/>
  <c r="A15365" i="19"/>
  <c r="A15364" i="19"/>
  <c r="A15363" i="19"/>
  <c r="A15362" i="19"/>
  <c r="A15361" i="19"/>
  <c r="A15360" i="19"/>
  <c r="A15359" i="19"/>
  <c r="A15358" i="19"/>
  <c r="A15357" i="19"/>
  <c r="A15356" i="19"/>
  <c r="A15355" i="19"/>
  <c r="A15354" i="19"/>
  <c r="A15353" i="19"/>
  <c r="A15352" i="19"/>
  <c r="A15351" i="19"/>
  <c r="A15350" i="19"/>
  <c r="A15349" i="19"/>
  <c r="A15348" i="19"/>
  <c r="A15347" i="19"/>
  <c r="A15346" i="19"/>
  <c r="A15345" i="19"/>
  <c r="A15344" i="19"/>
  <c r="A15343" i="19"/>
  <c r="A15342" i="19"/>
  <c r="A15341" i="19"/>
  <c r="A15340" i="19"/>
  <c r="A15339" i="19"/>
  <c r="A15338" i="19"/>
  <c r="A15337" i="19"/>
  <c r="A15336" i="19"/>
  <c r="A15335" i="19"/>
  <c r="A15334" i="19"/>
  <c r="A15333" i="19"/>
  <c r="A15332" i="19"/>
  <c r="A15331" i="19"/>
  <c r="A15330" i="19"/>
  <c r="A15329" i="19"/>
  <c r="A15328" i="19"/>
  <c r="A15327" i="19"/>
  <c r="A15326" i="19"/>
  <c r="A15325" i="19"/>
  <c r="A15324" i="19"/>
  <c r="A15323" i="19"/>
  <c r="A15322" i="19"/>
  <c r="A15321" i="19"/>
  <c r="A15320" i="19"/>
  <c r="A15319" i="19"/>
  <c r="A15318" i="19"/>
  <c r="A15317" i="19"/>
  <c r="A15316" i="19"/>
  <c r="A15315" i="19"/>
  <c r="A15314" i="19"/>
  <c r="A15313" i="19"/>
  <c r="A15312" i="19"/>
  <c r="A15311" i="19"/>
  <c r="A15310" i="19"/>
  <c r="A15309" i="19"/>
  <c r="A15308" i="19"/>
  <c r="A15307" i="19"/>
  <c r="A15306" i="19"/>
  <c r="A15305" i="19"/>
  <c r="A15304" i="19"/>
  <c r="A15303" i="19"/>
  <c r="A15302" i="19"/>
  <c r="A15301" i="19"/>
  <c r="A15300" i="19"/>
  <c r="A15299" i="19"/>
  <c r="A15298" i="19"/>
  <c r="A15297" i="19"/>
  <c r="A15296" i="19"/>
  <c r="A15295" i="19"/>
  <c r="A15294" i="19"/>
  <c r="A15293" i="19"/>
  <c r="A15292" i="19"/>
  <c r="A15291" i="19"/>
  <c r="A15290" i="19"/>
  <c r="A15289" i="19"/>
  <c r="A15288" i="19"/>
  <c r="A15287" i="19"/>
  <c r="A15286" i="19"/>
  <c r="A15285" i="19"/>
  <c r="A15284" i="19"/>
  <c r="A15283" i="19"/>
  <c r="A15282" i="19"/>
  <c r="A15281" i="19"/>
  <c r="A15280" i="19"/>
  <c r="A15279" i="19"/>
  <c r="A15278" i="19"/>
  <c r="A15277" i="19"/>
  <c r="A15276" i="19"/>
  <c r="A15275" i="19"/>
  <c r="A15274" i="19"/>
  <c r="A15273" i="19"/>
  <c r="A15272" i="19"/>
  <c r="A15271" i="19"/>
  <c r="A15270" i="19"/>
  <c r="A15269" i="19"/>
  <c r="A15268" i="19"/>
  <c r="A15267" i="19"/>
  <c r="A15266" i="19"/>
  <c r="A15265" i="19"/>
  <c r="A15264" i="19"/>
  <c r="A15263" i="19"/>
  <c r="A15262" i="19"/>
  <c r="A15261" i="19"/>
  <c r="A15260" i="19"/>
  <c r="A15259" i="19"/>
  <c r="A15258" i="19"/>
  <c r="A15257" i="19"/>
  <c r="A15256" i="19"/>
  <c r="A15255" i="19"/>
  <c r="A15254" i="19"/>
  <c r="A15253" i="19"/>
  <c r="A15252" i="19"/>
  <c r="A15251" i="19"/>
  <c r="A15250" i="19"/>
  <c r="A15249" i="19"/>
  <c r="A15248" i="19"/>
  <c r="A15247" i="19"/>
  <c r="A15246" i="19"/>
  <c r="A15245" i="19"/>
  <c r="A15244" i="19"/>
  <c r="A15243" i="19"/>
  <c r="A15242" i="19"/>
  <c r="A15241" i="19"/>
  <c r="A15240" i="19"/>
  <c r="A15239" i="19"/>
  <c r="A15238" i="19"/>
  <c r="A15237" i="19"/>
  <c r="A15236" i="19"/>
  <c r="A15235" i="19"/>
  <c r="A15234" i="19"/>
  <c r="A15233" i="19"/>
  <c r="A15232" i="19"/>
  <c r="A15231" i="19"/>
  <c r="A15230" i="19"/>
  <c r="A15229" i="19"/>
  <c r="A15228" i="19"/>
  <c r="A15227" i="19"/>
  <c r="A15226" i="19"/>
  <c r="A15225" i="19"/>
  <c r="A15224" i="19"/>
  <c r="A15223" i="19"/>
  <c r="A15222" i="19"/>
  <c r="A15221" i="19"/>
  <c r="A15220" i="19"/>
  <c r="A15219" i="19"/>
  <c r="A15218" i="19"/>
  <c r="A15217" i="19"/>
  <c r="A15216" i="19"/>
  <c r="A15215" i="19"/>
  <c r="A15214" i="19"/>
  <c r="A15213" i="19"/>
  <c r="A15212" i="19"/>
  <c r="A15211" i="19"/>
  <c r="A15210" i="19"/>
  <c r="A15209" i="19"/>
  <c r="A15208" i="19"/>
  <c r="A15207" i="19"/>
  <c r="A15206" i="19"/>
  <c r="A15205" i="19"/>
  <c r="A15204" i="19"/>
  <c r="A15203" i="19"/>
  <c r="A15202" i="19"/>
  <c r="A15201" i="19"/>
  <c r="A15200" i="19"/>
  <c r="A15199" i="19"/>
  <c r="A15198" i="19"/>
  <c r="A15197" i="19"/>
  <c r="A15196" i="19"/>
  <c r="A15195" i="19"/>
  <c r="A15194" i="19"/>
  <c r="A15193" i="19"/>
  <c r="A15192" i="19"/>
  <c r="A15191" i="19"/>
  <c r="A15190" i="19"/>
  <c r="A15189" i="19"/>
  <c r="A15188" i="19"/>
  <c r="A15187" i="19"/>
  <c r="A15186" i="19"/>
  <c r="A15185" i="19"/>
  <c r="A15184" i="19"/>
  <c r="A15183" i="19"/>
  <c r="A15182" i="19"/>
  <c r="A15181" i="19"/>
  <c r="A15180" i="19"/>
  <c r="A15179" i="19"/>
  <c r="A15178" i="19"/>
  <c r="A15177" i="19"/>
  <c r="A15176" i="19"/>
  <c r="A15175" i="19"/>
  <c r="A15174" i="19"/>
  <c r="A15173" i="19"/>
  <c r="A15172" i="19"/>
  <c r="A15171" i="19"/>
  <c r="A15170" i="19"/>
  <c r="A15169" i="19"/>
  <c r="A15168" i="19"/>
  <c r="A15167" i="19"/>
  <c r="A15166" i="19"/>
  <c r="A15165" i="19"/>
  <c r="A15164" i="19"/>
  <c r="A15163" i="19"/>
  <c r="A15162" i="19"/>
  <c r="A15161" i="19"/>
  <c r="A15160" i="19"/>
  <c r="A15159" i="19"/>
  <c r="A15158" i="19"/>
  <c r="A15157" i="19"/>
  <c r="A15156" i="19"/>
  <c r="A15155" i="19"/>
  <c r="A15154" i="19"/>
  <c r="A15153" i="19"/>
  <c r="A15152" i="19"/>
  <c r="A15151" i="19"/>
  <c r="A15150" i="19"/>
  <c r="A15149" i="19"/>
  <c r="A15148" i="19"/>
  <c r="A15147" i="19"/>
  <c r="A15146" i="19"/>
  <c r="A15145" i="19"/>
  <c r="A15144" i="19"/>
  <c r="A15143" i="19"/>
  <c r="A15142" i="19"/>
  <c r="A15141" i="19"/>
  <c r="A15140" i="19"/>
  <c r="A15139" i="19"/>
  <c r="A15138" i="19"/>
  <c r="A15137" i="19"/>
  <c r="A15136" i="19"/>
  <c r="A15135" i="19"/>
  <c r="A15134" i="19"/>
  <c r="A15133" i="19"/>
  <c r="A15132" i="19"/>
  <c r="A15131" i="19"/>
  <c r="A15130" i="19"/>
  <c r="A15129" i="19"/>
  <c r="A15128" i="19"/>
  <c r="A15127" i="19"/>
  <c r="A15126" i="19"/>
  <c r="A15125" i="19"/>
  <c r="A15124" i="19"/>
  <c r="A15123" i="19"/>
  <c r="A15122" i="19"/>
  <c r="A15121" i="19"/>
  <c r="A15120" i="19"/>
  <c r="A15119" i="19"/>
  <c r="A15118" i="19"/>
  <c r="A15117" i="19"/>
  <c r="A15116" i="19"/>
  <c r="A15115" i="19"/>
  <c r="A15114" i="19"/>
  <c r="A15113" i="19"/>
  <c r="A15112" i="19"/>
  <c r="A15111" i="19"/>
  <c r="A15110" i="19"/>
  <c r="A15109" i="19"/>
  <c r="A15108" i="19"/>
  <c r="A15107" i="19"/>
  <c r="A15106" i="19"/>
  <c r="A15105" i="19"/>
  <c r="A15104" i="19"/>
  <c r="A15103" i="19"/>
  <c r="A15102" i="19"/>
  <c r="A15101" i="19"/>
  <c r="A15100" i="19"/>
  <c r="A15099" i="19"/>
  <c r="A15098" i="19"/>
  <c r="A15097" i="19"/>
  <c r="A15096" i="19"/>
  <c r="A15095" i="19"/>
  <c r="A15094" i="19"/>
  <c r="A15093" i="19"/>
  <c r="A15092" i="19"/>
  <c r="A15091" i="19"/>
  <c r="A15090" i="19"/>
  <c r="A15089" i="19"/>
  <c r="A15088" i="19"/>
  <c r="A15087" i="19"/>
  <c r="A15086" i="19"/>
  <c r="A15085" i="19"/>
  <c r="A15084" i="19"/>
  <c r="A15083" i="19"/>
  <c r="A15082" i="19"/>
  <c r="A15081" i="19"/>
  <c r="A15080" i="19"/>
  <c r="A15079" i="19"/>
  <c r="A15078" i="19"/>
  <c r="A15077" i="19"/>
  <c r="A15076" i="19"/>
  <c r="A15075" i="19"/>
  <c r="A15074" i="19"/>
  <c r="A15073" i="19"/>
  <c r="A15072" i="19"/>
  <c r="A15071" i="19"/>
  <c r="A15070" i="19"/>
  <c r="A15069" i="19"/>
  <c r="A15068" i="19"/>
  <c r="A15067" i="19"/>
  <c r="A15066" i="19"/>
  <c r="A15065" i="19"/>
  <c r="A15064" i="19"/>
  <c r="A15063" i="19"/>
  <c r="A15062" i="19"/>
  <c r="A15061" i="19"/>
  <c r="A15060" i="19"/>
  <c r="A15059" i="19"/>
  <c r="A15058" i="19"/>
  <c r="A15057" i="19"/>
  <c r="A15056" i="19"/>
  <c r="A15055" i="19"/>
  <c r="A15054" i="19"/>
  <c r="A15053" i="19"/>
  <c r="A15052" i="19"/>
  <c r="A15051" i="19"/>
  <c r="A15050" i="19"/>
  <c r="A15049" i="19"/>
  <c r="A15048" i="19"/>
  <c r="A15047" i="19"/>
  <c r="A15046" i="19"/>
  <c r="A15045" i="19"/>
  <c r="A15044" i="19"/>
  <c r="A15043" i="19"/>
  <c r="A15042" i="19"/>
  <c r="A15041" i="19"/>
  <c r="A15040" i="19"/>
  <c r="A15039" i="19"/>
  <c r="A15038" i="19"/>
  <c r="A15037" i="19"/>
  <c r="A15036" i="19"/>
  <c r="A15035" i="19"/>
  <c r="A15034" i="19"/>
  <c r="A15033" i="19"/>
  <c r="A15032" i="19"/>
  <c r="A15031" i="19"/>
  <c r="A15030" i="19"/>
  <c r="A15029" i="19"/>
  <c r="A15028" i="19"/>
  <c r="A15027" i="19"/>
  <c r="A15026" i="19"/>
  <c r="A15025" i="19"/>
  <c r="A15024" i="19"/>
  <c r="A15023" i="19"/>
  <c r="A15022" i="19"/>
  <c r="A15021" i="19"/>
  <c r="A15020" i="19"/>
  <c r="A15019" i="19"/>
  <c r="A15018" i="19"/>
  <c r="A15017" i="19"/>
  <c r="A15016" i="19"/>
  <c r="A15015" i="19"/>
  <c r="A15014" i="19"/>
  <c r="A15013" i="19"/>
  <c r="A15012" i="19"/>
  <c r="A15011" i="19"/>
  <c r="A15010" i="19"/>
  <c r="A15009" i="19"/>
  <c r="A15008" i="19"/>
  <c r="A15007" i="19"/>
  <c r="A15006" i="19"/>
  <c r="A15005" i="19"/>
  <c r="A15004" i="19"/>
  <c r="A15003" i="19"/>
  <c r="A15002" i="19"/>
  <c r="A15001" i="19"/>
  <c r="A15000" i="19"/>
  <c r="A14999" i="19"/>
  <c r="A14998" i="19"/>
  <c r="A14997" i="19"/>
  <c r="A14996" i="19"/>
  <c r="A14995" i="19"/>
  <c r="A14994" i="19"/>
  <c r="A14993" i="19"/>
  <c r="A14992" i="19"/>
  <c r="A14991" i="19"/>
  <c r="A14990" i="19"/>
  <c r="A14989" i="19"/>
  <c r="A14988" i="19"/>
  <c r="A14987" i="19"/>
  <c r="A14986" i="19"/>
  <c r="A14985" i="19"/>
  <c r="A14984" i="19"/>
  <c r="A14983" i="19"/>
  <c r="A14982" i="19"/>
  <c r="A14981" i="19"/>
  <c r="A14980" i="19"/>
  <c r="A14979" i="19"/>
  <c r="A14978" i="19"/>
  <c r="A14977" i="19"/>
  <c r="A14976" i="19"/>
  <c r="A14975" i="19"/>
  <c r="A14974" i="19"/>
  <c r="A14973" i="19"/>
  <c r="A14972" i="19"/>
  <c r="A14971" i="19"/>
  <c r="A14970" i="19"/>
  <c r="A14969" i="19"/>
  <c r="A14968" i="19"/>
  <c r="A14967" i="19"/>
  <c r="A14966" i="19"/>
  <c r="A14965" i="19"/>
  <c r="A14964" i="19"/>
  <c r="A14963" i="19"/>
  <c r="A14962" i="19"/>
  <c r="A14961" i="19"/>
  <c r="A14960" i="19"/>
  <c r="A14959" i="19"/>
  <c r="A14958" i="19"/>
  <c r="A14957" i="19"/>
  <c r="A14956" i="19"/>
  <c r="A14955" i="19"/>
  <c r="A14954" i="19"/>
  <c r="A14953" i="19"/>
  <c r="A14952" i="19"/>
  <c r="A14951" i="19"/>
  <c r="A14950" i="19"/>
  <c r="A14949" i="19"/>
  <c r="A14948" i="19"/>
  <c r="A14947" i="19"/>
  <c r="A14946" i="19"/>
  <c r="A14945" i="19"/>
  <c r="A14944" i="19"/>
  <c r="A14943" i="19"/>
  <c r="A14942" i="19"/>
  <c r="A14941" i="19"/>
  <c r="A14940" i="19"/>
  <c r="A14939" i="19"/>
  <c r="A14938" i="19"/>
  <c r="A14937" i="19"/>
  <c r="A14936" i="19"/>
  <c r="A14935" i="19"/>
  <c r="A14934" i="19"/>
  <c r="A14933" i="19"/>
  <c r="A14932" i="19"/>
  <c r="A14931" i="19"/>
  <c r="A14930" i="19"/>
  <c r="A14929" i="19"/>
  <c r="A14928" i="19"/>
  <c r="A14927" i="19"/>
  <c r="A14926" i="19"/>
  <c r="A14925" i="19"/>
  <c r="A14924" i="19"/>
  <c r="A14923" i="19"/>
  <c r="A14922" i="19"/>
  <c r="A14921" i="19"/>
  <c r="A14920" i="19"/>
  <c r="A14919" i="19"/>
  <c r="A14918" i="19"/>
  <c r="A14917" i="19"/>
  <c r="A14916" i="19"/>
  <c r="A14915" i="19"/>
  <c r="A14914" i="19"/>
  <c r="A14913" i="19"/>
  <c r="A14912" i="19"/>
  <c r="A14911" i="19"/>
  <c r="A14910" i="19"/>
  <c r="A14909" i="19"/>
  <c r="A14908" i="19"/>
  <c r="A14907" i="19"/>
  <c r="A14906" i="19"/>
  <c r="A14905" i="19"/>
  <c r="A14904" i="19"/>
  <c r="A14903" i="19"/>
  <c r="A14902" i="19"/>
  <c r="A14901" i="19"/>
  <c r="A14900" i="19"/>
  <c r="A14899" i="19"/>
  <c r="A14898" i="19"/>
  <c r="A14897" i="19"/>
  <c r="A14896" i="19"/>
  <c r="A14895" i="19"/>
  <c r="A14894" i="19"/>
  <c r="A14893" i="19"/>
  <c r="A14892" i="19"/>
  <c r="A14891" i="19"/>
  <c r="A14890" i="19"/>
  <c r="A14889" i="19"/>
  <c r="A14888" i="19"/>
  <c r="A14887" i="19"/>
  <c r="A14886" i="19"/>
  <c r="A14885" i="19"/>
  <c r="A14884" i="19"/>
  <c r="A14883" i="19"/>
  <c r="A14882" i="19"/>
  <c r="A14881" i="19"/>
  <c r="A14880" i="19"/>
  <c r="A14879" i="19"/>
  <c r="A14878" i="19"/>
  <c r="A14877" i="19"/>
  <c r="A14876" i="19"/>
  <c r="A14875" i="19"/>
  <c r="A14874" i="19"/>
  <c r="A14873" i="19"/>
  <c r="A14872" i="19"/>
  <c r="A14871" i="19"/>
  <c r="A14870" i="19"/>
  <c r="A14869" i="19"/>
  <c r="A14868" i="19"/>
  <c r="A14867" i="19"/>
  <c r="A14866" i="19"/>
  <c r="A14865" i="19"/>
  <c r="A14864" i="19"/>
  <c r="A14863" i="19"/>
  <c r="A14862" i="19"/>
  <c r="A14861" i="19"/>
  <c r="A14860" i="19"/>
  <c r="A14859" i="19"/>
  <c r="A14858" i="19"/>
  <c r="A14857" i="19"/>
  <c r="A14856" i="19"/>
  <c r="A14855" i="19"/>
  <c r="A14854" i="19"/>
  <c r="A14853" i="19"/>
  <c r="A14852" i="19"/>
  <c r="A14851" i="19"/>
  <c r="A14850" i="19"/>
  <c r="A14849" i="19"/>
  <c r="A14848" i="19"/>
  <c r="A14847" i="19"/>
  <c r="A14846" i="19"/>
  <c r="A14845" i="19"/>
  <c r="A14844" i="19"/>
  <c r="A14843" i="19"/>
  <c r="A14842" i="19"/>
  <c r="A14841" i="19"/>
  <c r="A14840" i="19"/>
  <c r="A14839" i="19"/>
  <c r="A14838" i="19"/>
  <c r="A14837" i="19"/>
  <c r="A14836" i="19"/>
  <c r="A14835" i="19"/>
  <c r="A14834" i="19"/>
  <c r="A14833" i="19"/>
  <c r="A14832" i="19"/>
  <c r="A14831" i="19"/>
  <c r="A14830" i="19"/>
  <c r="A14829" i="19"/>
  <c r="A14828" i="19"/>
  <c r="A14827" i="19"/>
  <c r="A14826" i="19"/>
  <c r="A14825" i="19"/>
  <c r="A14824" i="19"/>
  <c r="A14823" i="19"/>
  <c r="A14822" i="19"/>
  <c r="A14821" i="19"/>
  <c r="A14820" i="19"/>
  <c r="A14819" i="19"/>
  <c r="A14818" i="19"/>
  <c r="A14817" i="19"/>
  <c r="A14816" i="19"/>
  <c r="A14815" i="19"/>
  <c r="A14814" i="19"/>
  <c r="A14813" i="19"/>
  <c r="A14812" i="19"/>
  <c r="A14811" i="19"/>
  <c r="A14810" i="19"/>
  <c r="A14809" i="19"/>
  <c r="A14808" i="19"/>
  <c r="A14807" i="19"/>
  <c r="A14806" i="19"/>
  <c r="A14805" i="19"/>
  <c r="A14804" i="19"/>
  <c r="A14803" i="19"/>
  <c r="A14802" i="19"/>
  <c r="A14801" i="19"/>
  <c r="A14800" i="19"/>
  <c r="A14799" i="19"/>
  <c r="A14798" i="19"/>
  <c r="A14797" i="19"/>
  <c r="A14796" i="19"/>
  <c r="A14795" i="19"/>
  <c r="A14794" i="19"/>
  <c r="A14793" i="19"/>
  <c r="A14792" i="19"/>
  <c r="A14791" i="19"/>
  <c r="A14790" i="19"/>
  <c r="A14789" i="19"/>
  <c r="A14788" i="19"/>
  <c r="A14787" i="19"/>
  <c r="A14786" i="19"/>
  <c r="A14785" i="19"/>
  <c r="A14784" i="19"/>
  <c r="A14783" i="19"/>
  <c r="A14782" i="19"/>
  <c r="A14781" i="19"/>
  <c r="A14780" i="19"/>
  <c r="A14779" i="19"/>
  <c r="A14778" i="19"/>
  <c r="A14777" i="19"/>
  <c r="A14776" i="19"/>
  <c r="A14775" i="19"/>
  <c r="A14774" i="19"/>
  <c r="A14773" i="19"/>
  <c r="A14772" i="19"/>
  <c r="A14771" i="19"/>
  <c r="A14770" i="19"/>
  <c r="A14769" i="19"/>
  <c r="A14768" i="19"/>
  <c r="A14767" i="19"/>
  <c r="A14766" i="19"/>
  <c r="A14765" i="19"/>
  <c r="A14764" i="19"/>
  <c r="A14763" i="19"/>
  <c r="A14762" i="19"/>
  <c r="A14761" i="19"/>
  <c r="A14760" i="19"/>
  <c r="A14759" i="19"/>
  <c r="A14758" i="19"/>
  <c r="A14757" i="19"/>
  <c r="A14756" i="19"/>
  <c r="A14755" i="19"/>
  <c r="A14754" i="19"/>
  <c r="A14753" i="19"/>
  <c r="A14752" i="19"/>
  <c r="A14751" i="19"/>
  <c r="A14750" i="19"/>
  <c r="A14749" i="19"/>
  <c r="A14748" i="19"/>
  <c r="A14747" i="19"/>
  <c r="A14746" i="19"/>
  <c r="A14745" i="19"/>
  <c r="A14744" i="19"/>
  <c r="A14743" i="19"/>
  <c r="A14742" i="19"/>
  <c r="A14741" i="19"/>
  <c r="A14740" i="19"/>
  <c r="A14739" i="19"/>
  <c r="A14738" i="19"/>
  <c r="A14737" i="19"/>
  <c r="A14736" i="19"/>
  <c r="A14735" i="19"/>
  <c r="A14734" i="19"/>
  <c r="A14733" i="19"/>
  <c r="A14732" i="19"/>
  <c r="A14731" i="19"/>
  <c r="A14730" i="19"/>
  <c r="A14729" i="19"/>
  <c r="A14728" i="19"/>
  <c r="A14727" i="19"/>
  <c r="A14726" i="19"/>
  <c r="A14725" i="19"/>
  <c r="A14724" i="19"/>
  <c r="A14723" i="19"/>
  <c r="A14722" i="19"/>
  <c r="A14721" i="19"/>
  <c r="A14720" i="19"/>
  <c r="A14719" i="19"/>
  <c r="A14718" i="19"/>
  <c r="A14717" i="19"/>
  <c r="A14716" i="19"/>
  <c r="A14715" i="19"/>
  <c r="A14714" i="19"/>
  <c r="A14713" i="19"/>
  <c r="A14712" i="19"/>
  <c r="A14711" i="19"/>
  <c r="A14710" i="19"/>
  <c r="A14709" i="19"/>
  <c r="A14708" i="19"/>
  <c r="A14707" i="19"/>
  <c r="A14706" i="19"/>
  <c r="A14705" i="19"/>
  <c r="A14704" i="19"/>
  <c r="A14703" i="19"/>
  <c r="A14702" i="19"/>
  <c r="A14701" i="19"/>
  <c r="A14700" i="19"/>
  <c r="A14699" i="19"/>
  <c r="A14698" i="19"/>
  <c r="A14697" i="19"/>
  <c r="A14696" i="19"/>
  <c r="A14695" i="19"/>
  <c r="A14694" i="19"/>
  <c r="A14693" i="19"/>
  <c r="A14692" i="19"/>
  <c r="A14691" i="19"/>
  <c r="A14690" i="19"/>
  <c r="A14689" i="19"/>
  <c r="A14688" i="19"/>
  <c r="A14687" i="19"/>
  <c r="A14686" i="19"/>
  <c r="A14685" i="19"/>
  <c r="A14684" i="19"/>
  <c r="A14683" i="19"/>
  <c r="A14682" i="19"/>
  <c r="A14681" i="19"/>
  <c r="A14680" i="19"/>
  <c r="A14679" i="19"/>
  <c r="A14678" i="19"/>
  <c r="A14677" i="19"/>
  <c r="A14676" i="19"/>
  <c r="A14675" i="19"/>
  <c r="A14674" i="19"/>
  <c r="A14673" i="19"/>
  <c r="A14672" i="19"/>
  <c r="A14671" i="19"/>
  <c r="A14670" i="19"/>
  <c r="A14669" i="19"/>
  <c r="A14668" i="19"/>
  <c r="A14667" i="19"/>
  <c r="A14666" i="19"/>
  <c r="A14665" i="19"/>
  <c r="A14664" i="19"/>
  <c r="A14663" i="19"/>
  <c r="A14662" i="19"/>
  <c r="A14661" i="19"/>
  <c r="A14660" i="19"/>
  <c r="A14659" i="19"/>
  <c r="A14658" i="19"/>
  <c r="A14657" i="19"/>
  <c r="A14656" i="19"/>
  <c r="A14655" i="19"/>
  <c r="A14654" i="19"/>
  <c r="A14653" i="19"/>
  <c r="A14652" i="19"/>
  <c r="A14651" i="19"/>
  <c r="A14650" i="19"/>
  <c r="A14649" i="19"/>
  <c r="A14648" i="19"/>
  <c r="A14647" i="19"/>
  <c r="A14646" i="19"/>
  <c r="A14645" i="19"/>
  <c r="A14644" i="19"/>
  <c r="A14643" i="19"/>
  <c r="A14642" i="19"/>
  <c r="A14641" i="19"/>
  <c r="A14640" i="19"/>
  <c r="A14639" i="19"/>
  <c r="A14638" i="19"/>
  <c r="A14637" i="19"/>
  <c r="A14636" i="19"/>
  <c r="A14635" i="19"/>
  <c r="A14634" i="19"/>
  <c r="A14633" i="19"/>
  <c r="A14632" i="19"/>
  <c r="A14631" i="19"/>
  <c r="A14630" i="19"/>
  <c r="A14629" i="19"/>
  <c r="A14628" i="19"/>
  <c r="A14627" i="19"/>
  <c r="A14626" i="19"/>
  <c r="A14625" i="19"/>
  <c r="A14624" i="19"/>
  <c r="A14623" i="19"/>
  <c r="A14622" i="19"/>
  <c r="A14621" i="19"/>
  <c r="A14620" i="19"/>
  <c r="A14619" i="19"/>
  <c r="A14618" i="19"/>
  <c r="A14617" i="19"/>
  <c r="A14616" i="19"/>
  <c r="A14615" i="19"/>
  <c r="A14614" i="19"/>
  <c r="A14613" i="19"/>
  <c r="A14612" i="19"/>
  <c r="A14611" i="19"/>
  <c r="A14610" i="19"/>
  <c r="A14609" i="19"/>
  <c r="A14608" i="19"/>
  <c r="A14607" i="19"/>
  <c r="A14606" i="19"/>
  <c r="A14605" i="19"/>
  <c r="A14604" i="19"/>
  <c r="A14603" i="19"/>
  <c r="A14602" i="19"/>
  <c r="A14601" i="19"/>
  <c r="A14600" i="19"/>
  <c r="A14599" i="19"/>
  <c r="A14598" i="19"/>
  <c r="A14597" i="19"/>
  <c r="A14596" i="19"/>
  <c r="A14595" i="19"/>
  <c r="A14594" i="19"/>
  <c r="A14593" i="19"/>
  <c r="A14592" i="19"/>
  <c r="A14591" i="19"/>
  <c r="A14590" i="19"/>
  <c r="A14589" i="19"/>
  <c r="A14588" i="19"/>
  <c r="A14587" i="19"/>
  <c r="A14586" i="19"/>
  <c r="A14585" i="19"/>
  <c r="A14584" i="19"/>
  <c r="A14583" i="19"/>
  <c r="A14582" i="19"/>
  <c r="A14581" i="19"/>
  <c r="A14580" i="19"/>
  <c r="A14579" i="19"/>
  <c r="A14578" i="19"/>
  <c r="A14577" i="19"/>
  <c r="A14576" i="19"/>
  <c r="A14575" i="19"/>
  <c r="A14574" i="19"/>
  <c r="A14573" i="19"/>
  <c r="A14572" i="19"/>
  <c r="A14571" i="19"/>
  <c r="A14570" i="19"/>
  <c r="A14569" i="19"/>
  <c r="A14568" i="19"/>
  <c r="A14567" i="19"/>
  <c r="A14566" i="19"/>
  <c r="A14565" i="19"/>
  <c r="A14564" i="19"/>
  <c r="A14563" i="19"/>
  <c r="A14562" i="19"/>
  <c r="A14561" i="19"/>
  <c r="A14560" i="19"/>
  <c r="A14559" i="19"/>
  <c r="A14558" i="19"/>
  <c r="A14557" i="19"/>
  <c r="A14556" i="19"/>
  <c r="A14555" i="19"/>
  <c r="A14554" i="19"/>
  <c r="A14553" i="19"/>
  <c r="A14552" i="19"/>
  <c r="A14551" i="19"/>
  <c r="A14550" i="19"/>
  <c r="A14549" i="19"/>
  <c r="A14548" i="19"/>
  <c r="A14547" i="19"/>
  <c r="A14546" i="19"/>
  <c r="A14545" i="19"/>
  <c r="A14544" i="19"/>
  <c r="A14543" i="19"/>
  <c r="A14542" i="19"/>
  <c r="A14541" i="19"/>
  <c r="A14540" i="19"/>
  <c r="A14539" i="19"/>
  <c r="A14538" i="19"/>
  <c r="A14537" i="19"/>
  <c r="A14536" i="19"/>
  <c r="A14535" i="19"/>
  <c r="A14534" i="19"/>
  <c r="A14533" i="19"/>
  <c r="A14532" i="19"/>
  <c r="A14531" i="19"/>
  <c r="A14530" i="19"/>
  <c r="A14529" i="19"/>
  <c r="A14528" i="19"/>
  <c r="A14527" i="19"/>
  <c r="A14526" i="19"/>
  <c r="A14525" i="19"/>
  <c r="A14524" i="19"/>
  <c r="A14523" i="19"/>
  <c r="A14522" i="19"/>
  <c r="A14521" i="19"/>
  <c r="A14520" i="19"/>
  <c r="A14519" i="19"/>
  <c r="A14518" i="19"/>
  <c r="A14517" i="19"/>
  <c r="A14516" i="19"/>
  <c r="A14515" i="19"/>
  <c r="A14514" i="19"/>
  <c r="A14513" i="19"/>
  <c r="A14512" i="19"/>
  <c r="A14511" i="19"/>
  <c r="A14510" i="19"/>
  <c r="A14509" i="19"/>
  <c r="A14508" i="19"/>
  <c r="A14507" i="19"/>
  <c r="A14506" i="19"/>
  <c r="A14505" i="19"/>
  <c r="A14504" i="19"/>
  <c r="A14503" i="19"/>
  <c r="A14502" i="19"/>
  <c r="A14501" i="19"/>
  <c r="A14500" i="19"/>
  <c r="A14499" i="19"/>
  <c r="A14498" i="19"/>
  <c r="A14497" i="19"/>
  <c r="A14496" i="19"/>
  <c r="A14495" i="19"/>
  <c r="A14494" i="19"/>
  <c r="A14493" i="19"/>
  <c r="A14492" i="19"/>
  <c r="A14491" i="19"/>
  <c r="A14490" i="19"/>
  <c r="A14489" i="19"/>
  <c r="A14488" i="19"/>
  <c r="A14487" i="19"/>
  <c r="A14486" i="19"/>
  <c r="A14485" i="19"/>
  <c r="A14484" i="19"/>
  <c r="A14483" i="19"/>
  <c r="A14482" i="19"/>
  <c r="A14481" i="19"/>
  <c r="A14480" i="19"/>
  <c r="A14479" i="19"/>
  <c r="A14478" i="19"/>
  <c r="A14477" i="19"/>
  <c r="A14476" i="19"/>
  <c r="A14475" i="19"/>
  <c r="A14474" i="19"/>
  <c r="A14473" i="19"/>
  <c r="A14472" i="19"/>
  <c r="A14471" i="19"/>
  <c r="A14470" i="19"/>
  <c r="A14469" i="19"/>
  <c r="A14468" i="19"/>
  <c r="A14467" i="19"/>
  <c r="A14466" i="19"/>
  <c r="A14465" i="19"/>
  <c r="A14464" i="19"/>
  <c r="A14463" i="19"/>
  <c r="A14462" i="19"/>
  <c r="A14461" i="19"/>
  <c r="A14460" i="19"/>
  <c r="A14459" i="19"/>
  <c r="A14458" i="19"/>
  <c r="A14457" i="19"/>
  <c r="A14456" i="19"/>
  <c r="A14455" i="19"/>
  <c r="A14454" i="19"/>
  <c r="A14453" i="19"/>
  <c r="A14452" i="19"/>
  <c r="A14451" i="19"/>
  <c r="A14450" i="19"/>
  <c r="A14449" i="19"/>
  <c r="A14448" i="19"/>
  <c r="A14447" i="19"/>
  <c r="A14446" i="19"/>
  <c r="A14445" i="19"/>
  <c r="A14444" i="19"/>
  <c r="A14443" i="19"/>
  <c r="A14442" i="19"/>
  <c r="A14441" i="19"/>
  <c r="A14440" i="19"/>
  <c r="A14439" i="19"/>
  <c r="A14438" i="19"/>
  <c r="A14437" i="19"/>
  <c r="A14436" i="19"/>
  <c r="A14435" i="19"/>
  <c r="A14434" i="19"/>
  <c r="A14433" i="19"/>
  <c r="A14432" i="19"/>
  <c r="A14431" i="19"/>
  <c r="A14430" i="19"/>
  <c r="A14429" i="19"/>
  <c r="A14428" i="19"/>
  <c r="A14427" i="19"/>
  <c r="A14426" i="19"/>
  <c r="A14425" i="19"/>
  <c r="A14424" i="19"/>
  <c r="A14423" i="19"/>
  <c r="A14422" i="19"/>
  <c r="A14421" i="19"/>
  <c r="A14420" i="19"/>
  <c r="A14419" i="19"/>
  <c r="A14418" i="19"/>
  <c r="A14417" i="19"/>
  <c r="A14416" i="19"/>
  <c r="A14415" i="19"/>
  <c r="A14414" i="19"/>
  <c r="A14413" i="19"/>
  <c r="A14412" i="19"/>
  <c r="A14411" i="19"/>
  <c r="A14410" i="19"/>
  <c r="A14409" i="19"/>
  <c r="A14408" i="19"/>
  <c r="A14407" i="19"/>
  <c r="A14406" i="19"/>
  <c r="A14405" i="19"/>
  <c r="A14404" i="19"/>
  <c r="A14403" i="19"/>
  <c r="A14402" i="19"/>
  <c r="A14401" i="19"/>
  <c r="A14400" i="19"/>
  <c r="A14399" i="19"/>
  <c r="A14398" i="19"/>
  <c r="A14397" i="19"/>
  <c r="A14396" i="19"/>
  <c r="A14395" i="19"/>
  <c r="A14394" i="19"/>
  <c r="A14393" i="19"/>
  <c r="A14392" i="19"/>
  <c r="A14391" i="19"/>
  <c r="A14390" i="19"/>
  <c r="A14389" i="19"/>
  <c r="A14388" i="19"/>
  <c r="A14387" i="19"/>
  <c r="A14386" i="19"/>
  <c r="A14385" i="19"/>
  <c r="A14384" i="19"/>
  <c r="A14383" i="19"/>
  <c r="A14382" i="19"/>
  <c r="A14381" i="19"/>
  <c r="A14380" i="19"/>
  <c r="A14379" i="19"/>
  <c r="A14378" i="19"/>
  <c r="A14377" i="19"/>
  <c r="A14376" i="19"/>
  <c r="A14375" i="19"/>
  <c r="A14374" i="19"/>
  <c r="A14373" i="19"/>
  <c r="A14372" i="19"/>
  <c r="A14371" i="19"/>
  <c r="A14370" i="19"/>
  <c r="A14369" i="19"/>
  <c r="A14368" i="19"/>
  <c r="A14367" i="19"/>
  <c r="A14366" i="19"/>
  <c r="A14365" i="19"/>
  <c r="A14364" i="19"/>
  <c r="A14363" i="19"/>
  <c r="A14362" i="19"/>
  <c r="A14361" i="19"/>
  <c r="A14360" i="19"/>
  <c r="A14359" i="19"/>
  <c r="A14358" i="19"/>
  <c r="A14357" i="19"/>
  <c r="A14356" i="19"/>
  <c r="A14355" i="19"/>
  <c r="A14354" i="19"/>
  <c r="A14353" i="19"/>
  <c r="A14352" i="19"/>
  <c r="A14351" i="19"/>
  <c r="A14350" i="19"/>
  <c r="A14349" i="19"/>
  <c r="A14348" i="19"/>
  <c r="A14347" i="19"/>
  <c r="A14346" i="19"/>
  <c r="A14345" i="19"/>
  <c r="A14344" i="19"/>
  <c r="A14343" i="19"/>
  <c r="A14342" i="19"/>
  <c r="A14341" i="19"/>
  <c r="A14340" i="19"/>
  <c r="A14339" i="19"/>
  <c r="A14338" i="19"/>
  <c r="A14337" i="19"/>
  <c r="A14336" i="19"/>
  <c r="A14335" i="19"/>
  <c r="A14334" i="19"/>
  <c r="A14333" i="19"/>
  <c r="A14332" i="19"/>
  <c r="A14331" i="19"/>
  <c r="A14330" i="19"/>
  <c r="A14329" i="19"/>
  <c r="A14328" i="19"/>
  <c r="A14327" i="19"/>
  <c r="A14326" i="19"/>
  <c r="A14325" i="19"/>
  <c r="A14324" i="19"/>
  <c r="A14323" i="19"/>
  <c r="A14322" i="19"/>
  <c r="A14321" i="19"/>
  <c r="A14320" i="19"/>
  <c r="A14319" i="19"/>
  <c r="A14318" i="19"/>
  <c r="A14317" i="19"/>
  <c r="A14316" i="19"/>
  <c r="A14315" i="19"/>
  <c r="A14314" i="19"/>
  <c r="A14313" i="19"/>
  <c r="A14312" i="19"/>
  <c r="A14311" i="19"/>
  <c r="A14310" i="19"/>
  <c r="A14309" i="19"/>
  <c r="A14308" i="19"/>
  <c r="A14307" i="19"/>
  <c r="A14306" i="19"/>
  <c r="A14305" i="19"/>
  <c r="A14304" i="19"/>
  <c r="A14303" i="19"/>
  <c r="A14302" i="19"/>
  <c r="A14301" i="19"/>
  <c r="A14300" i="19"/>
  <c r="A14299" i="19"/>
  <c r="A14298" i="19"/>
  <c r="A14297" i="19"/>
  <c r="A14296" i="19"/>
  <c r="A14295" i="19"/>
  <c r="A14294" i="19"/>
  <c r="A14293" i="19"/>
  <c r="A14292" i="19"/>
  <c r="A14291" i="19"/>
  <c r="A14290" i="19"/>
  <c r="A14289" i="19"/>
  <c r="A14288" i="19"/>
  <c r="A14287" i="19"/>
  <c r="A14286" i="19"/>
  <c r="A14285" i="19"/>
  <c r="A14284" i="19"/>
  <c r="A14283" i="19"/>
  <c r="A14282" i="19"/>
  <c r="A14281" i="19"/>
  <c r="A14280" i="19"/>
  <c r="A14279" i="19"/>
  <c r="A14278" i="19"/>
  <c r="A14277" i="19"/>
  <c r="A14276" i="19"/>
  <c r="A14275" i="19"/>
  <c r="A14274" i="19"/>
  <c r="A14273" i="19"/>
  <c r="A14272" i="19"/>
  <c r="A14271" i="19"/>
  <c r="A14270" i="19"/>
  <c r="A14269" i="19"/>
  <c r="A14268" i="19"/>
  <c r="A14267" i="19"/>
  <c r="A14266" i="19"/>
  <c r="A14265" i="19"/>
  <c r="A14264" i="19"/>
  <c r="A14263" i="19"/>
  <c r="A14262" i="19"/>
  <c r="A14261" i="19"/>
  <c r="A14260" i="19"/>
  <c r="A14259" i="19"/>
  <c r="A14258" i="19"/>
  <c r="A14257" i="19"/>
  <c r="A14256" i="19"/>
  <c r="A14255" i="19"/>
  <c r="A14254" i="19"/>
  <c r="A14253" i="19"/>
  <c r="A14252" i="19"/>
  <c r="A14251" i="19"/>
  <c r="A14250" i="19"/>
  <c r="A14249" i="19"/>
  <c r="A14248" i="19"/>
  <c r="A14247" i="19"/>
  <c r="A14246" i="19"/>
  <c r="A14245" i="19"/>
  <c r="A14244" i="19"/>
  <c r="A14243" i="19"/>
  <c r="A14242" i="19"/>
  <c r="A14241" i="19"/>
  <c r="A14240" i="19"/>
  <c r="A14239" i="19"/>
  <c r="A14238" i="19"/>
  <c r="A14237" i="19"/>
  <c r="A14236" i="19"/>
  <c r="A14235" i="19"/>
  <c r="A14234" i="19"/>
  <c r="A14233" i="19"/>
  <c r="A14232" i="19"/>
  <c r="A14231" i="19"/>
  <c r="A14230" i="19"/>
  <c r="A14229" i="19"/>
  <c r="A14228" i="19"/>
  <c r="A14227" i="19"/>
  <c r="A14226" i="19"/>
  <c r="A14225" i="19"/>
  <c r="A14224" i="19"/>
  <c r="A14223" i="19"/>
  <c r="A14222" i="19"/>
  <c r="A14221" i="19"/>
  <c r="A14220" i="19"/>
  <c r="A14219" i="19"/>
  <c r="A14218" i="19"/>
  <c r="A14217" i="19"/>
  <c r="A14216" i="19"/>
  <c r="A14215" i="19"/>
  <c r="A14214" i="19"/>
  <c r="A14213" i="19"/>
  <c r="A14212" i="19"/>
  <c r="A14211" i="19"/>
  <c r="A14210" i="19"/>
  <c r="A14209" i="19"/>
  <c r="A14208" i="19"/>
  <c r="A14207" i="19"/>
  <c r="A14206" i="19"/>
  <c r="A14205" i="19"/>
  <c r="A14204" i="19"/>
  <c r="A14203" i="19"/>
  <c r="A14202" i="19"/>
  <c r="A14201" i="19"/>
  <c r="A14200" i="19"/>
  <c r="A14199" i="19"/>
  <c r="A14198" i="19"/>
  <c r="A14197" i="19"/>
  <c r="A14196" i="19"/>
  <c r="A14195" i="19"/>
  <c r="A14194" i="19"/>
  <c r="A14193" i="19"/>
  <c r="A14192" i="19"/>
  <c r="A14191" i="19"/>
  <c r="A14190" i="19"/>
  <c r="A14189" i="19"/>
  <c r="A14188" i="19"/>
  <c r="A14187" i="19"/>
  <c r="A14186" i="19"/>
  <c r="A14185" i="19"/>
  <c r="A14184" i="19"/>
  <c r="A14183" i="19"/>
  <c r="A14182" i="19"/>
  <c r="A14181" i="19"/>
  <c r="A14180" i="19"/>
  <c r="A14179" i="19"/>
  <c r="A14178" i="19"/>
  <c r="A14177" i="19"/>
  <c r="A14176" i="19"/>
  <c r="A14175" i="19"/>
  <c r="A14174" i="19"/>
  <c r="A14173" i="19"/>
  <c r="A14172" i="19"/>
  <c r="A14171" i="19"/>
  <c r="A14170" i="19"/>
  <c r="A14169" i="19"/>
  <c r="A14168" i="19"/>
  <c r="A14167" i="19"/>
  <c r="A14166" i="19"/>
  <c r="A14165" i="19"/>
  <c r="A14164" i="19"/>
  <c r="A14163" i="19"/>
  <c r="A14162" i="19"/>
  <c r="A14161" i="19"/>
  <c r="A14160" i="19"/>
  <c r="A14159" i="19"/>
  <c r="A14158" i="19"/>
  <c r="A14157" i="19"/>
  <c r="A14156" i="19"/>
  <c r="A14155" i="19"/>
  <c r="A14154" i="19"/>
  <c r="A14153" i="19"/>
  <c r="A14152" i="19"/>
  <c r="A14151" i="19"/>
  <c r="A14150" i="19"/>
  <c r="A14149" i="19"/>
  <c r="A14148" i="19"/>
  <c r="A14147" i="19"/>
  <c r="A14146" i="19"/>
  <c r="A14145" i="19"/>
  <c r="A14144" i="19"/>
  <c r="A14143" i="19"/>
  <c r="A14142" i="19"/>
  <c r="A14141" i="19"/>
  <c r="A14140" i="19"/>
  <c r="A14139" i="19"/>
  <c r="A14138" i="19"/>
  <c r="A14137" i="19"/>
  <c r="A14136" i="19"/>
  <c r="A14135" i="19"/>
  <c r="A14134" i="19"/>
  <c r="A14133" i="19"/>
  <c r="A14132" i="19"/>
  <c r="A14131" i="19"/>
  <c r="A14130" i="19"/>
  <c r="A14129" i="19"/>
  <c r="A14128" i="19"/>
  <c r="A14127" i="19"/>
  <c r="A14126" i="19"/>
  <c r="A14125" i="19"/>
  <c r="A14124" i="19"/>
  <c r="A14123" i="19"/>
  <c r="A14122" i="19"/>
  <c r="A14121" i="19"/>
  <c r="A14120" i="19"/>
  <c r="A14119" i="19"/>
  <c r="A14118" i="19"/>
  <c r="A14117" i="19"/>
  <c r="A14116" i="19"/>
  <c r="A14115" i="19"/>
  <c r="A14114" i="19"/>
  <c r="A14113" i="19"/>
  <c r="A14112" i="19"/>
  <c r="A14111" i="19"/>
  <c r="A14110" i="19"/>
  <c r="A14109" i="19"/>
  <c r="A14108" i="19"/>
  <c r="A14107" i="19"/>
  <c r="A14106" i="19"/>
  <c r="A14105" i="19"/>
  <c r="A14104" i="19"/>
  <c r="A14103" i="19"/>
  <c r="A14102" i="19"/>
  <c r="A14101" i="19"/>
  <c r="A14100" i="19"/>
  <c r="A14099" i="19"/>
  <c r="A14098" i="19"/>
  <c r="A14097" i="19"/>
  <c r="A14096" i="19"/>
  <c r="A14095" i="19"/>
  <c r="A14094" i="19"/>
  <c r="A14093" i="19"/>
  <c r="A14092" i="19"/>
  <c r="A14091" i="19"/>
  <c r="A14090" i="19"/>
  <c r="A14089" i="19"/>
  <c r="A14088" i="19"/>
  <c r="A14087" i="19"/>
  <c r="A14086" i="19"/>
  <c r="A14085" i="19"/>
  <c r="A14084" i="19"/>
  <c r="A14083" i="19"/>
  <c r="A14082" i="19"/>
  <c r="A14081" i="19"/>
  <c r="A14080" i="19"/>
  <c r="A14079" i="19"/>
  <c r="A14078" i="19"/>
  <c r="A14077" i="19"/>
  <c r="A14076" i="19"/>
  <c r="A14075" i="19"/>
  <c r="A14074" i="19"/>
  <c r="A14073" i="19"/>
  <c r="A14072" i="19"/>
  <c r="A14071" i="19"/>
  <c r="A14070" i="19"/>
  <c r="A14069" i="19"/>
  <c r="A14068" i="19"/>
  <c r="A14067" i="19"/>
  <c r="A14066" i="19"/>
  <c r="A14065" i="19"/>
  <c r="A14064" i="19"/>
  <c r="A14063" i="19"/>
  <c r="A14062" i="19"/>
  <c r="A14061" i="19"/>
  <c r="A14060" i="19"/>
  <c r="A14059" i="19"/>
  <c r="A14058" i="19"/>
  <c r="A14057" i="19"/>
  <c r="A14056" i="19"/>
  <c r="A14055" i="19"/>
  <c r="A14054" i="19"/>
  <c r="A14053" i="19"/>
  <c r="A14052" i="19"/>
  <c r="A14051" i="19"/>
  <c r="A14050" i="19"/>
  <c r="A14049" i="19"/>
  <c r="A14048" i="19"/>
  <c r="A14047" i="19"/>
  <c r="A14046" i="19"/>
  <c r="A14045" i="19"/>
  <c r="A14044" i="19"/>
  <c r="A14043" i="19"/>
  <c r="A14042" i="19"/>
  <c r="A14041" i="19"/>
  <c r="A14040" i="19"/>
  <c r="A14039" i="19"/>
  <c r="A14038" i="19"/>
  <c r="A14037" i="19"/>
  <c r="A14036" i="19"/>
  <c r="A14035" i="19"/>
  <c r="A14034" i="19"/>
  <c r="A14033" i="19"/>
  <c r="A14032" i="19"/>
  <c r="A14031" i="19"/>
  <c r="A14030" i="19"/>
  <c r="A14029" i="19"/>
  <c r="A14028" i="19"/>
  <c r="A14027" i="19"/>
  <c r="A14026" i="19"/>
  <c r="A14025" i="19"/>
  <c r="A14024" i="19"/>
  <c r="A14023" i="19"/>
  <c r="A14022" i="19"/>
  <c r="A14021" i="19"/>
  <c r="A14020" i="19"/>
  <c r="A14019" i="19"/>
  <c r="A14018" i="19"/>
  <c r="A14017" i="19"/>
  <c r="A14016" i="19"/>
  <c r="A14015" i="19"/>
  <c r="A14014" i="19"/>
  <c r="A14013" i="19"/>
  <c r="A14012" i="19"/>
  <c r="A14011" i="19"/>
  <c r="A14010" i="19"/>
  <c r="A14009" i="19"/>
  <c r="A14008" i="19"/>
  <c r="A14007" i="19"/>
  <c r="A14006" i="19"/>
  <c r="A14005" i="19"/>
  <c r="A14004" i="19"/>
  <c r="A14003" i="19"/>
  <c r="A14002" i="19"/>
  <c r="A14001" i="19"/>
  <c r="A14000" i="19"/>
  <c r="A13999" i="19"/>
  <c r="A13998" i="19"/>
  <c r="A13997" i="19"/>
  <c r="A13996" i="19"/>
  <c r="A13995" i="19"/>
  <c r="A13994" i="19"/>
  <c r="A13993" i="19"/>
  <c r="A13992" i="19"/>
  <c r="A13991" i="19"/>
  <c r="A13990" i="19"/>
  <c r="A13989" i="19"/>
  <c r="A13988" i="19"/>
  <c r="A13987" i="19"/>
  <c r="A13986" i="19"/>
  <c r="A13985" i="19"/>
  <c r="A13984" i="19"/>
  <c r="A13983" i="19"/>
  <c r="A13982" i="19"/>
  <c r="A13981" i="19"/>
  <c r="A13980" i="19"/>
  <c r="A13979" i="19"/>
  <c r="A13978" i="19"/>
  <c r="A13977" i="19"/>
  <c r="A13976" i="19"/>
  <c r="A13975" i="19"/>
  <c r="A13974" i="19"/>
  <c r="A13973" i="19"/>
  <c r="A13972" i="19"/>
  <c r="A13971" i="19"/>
  <c r="A13970" i="19"/>
  <c r="A13969" i="19"/>
  <c r="A13968" i="19"/>
  <c r="A13967" i="19"/>
  <c r="A13966" i="19"/>
  <c r="A13965" i="19"/>
  <c r="A13964" i="19"/>
  <c r="A13963" i="19"/>
  <c r="A13962" i="19"/>
  <c r="A13961" i="19"/>
  <c r="A13960" i="19"/>
  <c r="A13959" i="19"/>
  <c r="A13958" i="19"/>
  <c r="A13957" i="19"/>
  <c r="A13956" i="19"/>
  <c r="A13955" i="19"/>
  <c r="A13954" i="19"/>
  <c r="A13953" i="19"/>
  <c r="A13952" i="19"/>
  <c r="A13951" i="19"/>
  <c r="A13950" i="19"/>
  <c r="A13949" i="19"/>
  <c r="A13948" i="19"/>
  <c r="A13947" i="19"/>
  <c r="A13946" i="19"/>
  <c r="A13945" i="19"/>
  <c r="A13944" i="19"/>
  <c r="A13943" i="19"/>
  <c r="A13942" i="19"/>
  <c r="A13941" i="19"/>
  <c r="A13940" i="19"/>
  <c r="A13939" i="19"/>
  <c r="A13938" i="19"/>
  <c r="A13937" i="19"/>
  <c r="A13936" i="19"/>
  <c r="A13935" i="19"/>
  <c r="A13934" i="19"/>
  <c r="A13933" i="19"/>
  <c r="A13932" i="19"/>
  <c r="A13931" i="19"/>
  <c r="A13930" i="19"/>
  <c r="A13929" i="19"/>
  <c r="A13928" i="19"/>
  <c r="A13927" i="19"/>
  <c r="A13926" i="19"/>
  <c r="A13925" i="19"/>
  <c r="A13924" i="19"/>
  <c r="A13923" i="19"/>
  <c r="A13922" i="19"/>
  <c r="A13921" i="19"/>
  <c r="A13920" i="19"/>
  <c r="A13919" i="19"/>
  <c r="A13918" i="19"/>
  <c r="A13917" i="19"/>
  <c r="A13916" i="19"/>
  <c r="A13915" i="19"/>
  <c r="A13914" i="19"/>
  <c r="A13913" i="19"/>
  <c r="A13912" i="19"/>
  <c r="A13911" i="19"/>
  <c r="A13910" i="19"/>
  <c r="A13909" i="19"/>
  <c r="A13908" i="19"/>
  <c r="A13907" i="19"/>
  <c r="A13906" i="19"/>
  <c r="A13905" i="19"/>
  <c r="A13904" i="19"/>
  <c r="A13903" i="19"/>
  <c r="A13902" i="19"/>
  <c r="A13901" i="19"/>
  <c r="A13900" i="19"/>
  <c r="A13899" i="19"/>
  <c r="A13898" i="19"/>
  <c r="A13897" i="19"/>
  <c r="A13896" i="19"/>
  <c r="A13895" i="19"/>
  <c r="A13894" i="19"/>
  <c r="A13893" i="19"/>
  <c r="A13892" i="19"/>
  <c r="A13891" i="19"/>
  <c r="A13890" i="19"/>
  <c r="A13889" i="19"/>
  <c r="A13888" i="19"/>
  <c r="A13887" i="19"/>
  <c r="A13886" i="19"/>
  <c r="A13885" i="19"/>
  <c r="A13884" i="19"/>
  <c r="A13883" i="19"/>
  <c r="A13882" i="19"/>
  <c r="A13881" i="19"/>
  <c r="A13880" i="19"/>
  <c r="A13879" i="19"/>
  <c r="A13878" i="19"/>
  <c r="A13877" i="19"/>
  <c r="A13876" i="19"/>
  <c r="A13875" i="19"/>
  <c r="A13874" i="19"/>
  <c r="A13873" i="19"/>
  <c r="A13872" i="19"/>
  <c r="A13871" i="19"/>
  <c r="A13870" i="19"/>
  <c r="A13869" i="19"/>
  <c r="A13868" i="19"/>
  <c r="A13867" i="19"/>
  <c r="A13866" i="19"/>
  <c r="A13865" i="19"/>
  <c r="A13864" i="19"/>
  <c r="A13863" i="19"/>
  <c r="A13862" i="19"/>
  <c r="A13861" i="19"/>
  <c r="A13860" i="19"/>
  <c r="A13859" i="19"/>
  <c r="A13858" i="19"/>
  <c r="A13857" i="19"/>
  <c r="A13856" i="19"/>
  <c r="A13855" i="19"/>
  <c r="A13854" i="19"/>
  <c r="A13853" i="19"/>
  <c r="A13852" i="19"/>
  <c r="A13851" i="19"/>
  <c r="A13850" i="19"/>
  <c r="A13849" i="19"/>
  <c r="A13848" i="19"/>
  <c r="A13847" i="19"/>
  <c r="A13846" i="19"/>
  <c r="A13845" i="19"/>
  <c r="A13844" i="19"/>
  <c r="A13843" i="19"/>
  <c r="A13842" i="19"/>
  <c r="A13841" i="19"/>
  <c r="A13840" i="19"/>
  <c r="A13839" i="19"/>
  <c r="A13838" i="19"/>
  <c r="A13837" i="19"/>
  <c r="A13836" i="19"/>
  <c r="A13835" i="19"/>
  <c r="A13834" i="19"/>
  <c r="A13833" i="19"/>
  <c r="A13832" i="19"/>
  <c r="A13831" i="19"/>
  <c r="A13830" i="19"/>
  <c r="A13829" i="19"/>
  <c r="A13828" i="19"/>
  <c r="A13827" i="19"/>
  <c r="A13826" i="19"/>
  <c r="A13825" i="19"/>
  <c r="A13824" i="19"/>
  <c r="A13823" i="19"/>
  <c r="A13822" i="19"/>
  <c r="A13821" i="19"/>
  <c r="A13820" i="19"/>
  <c r="A13819" i="19"/>
  <c r="A13818" i="19"/>
  <c r="A13817" i="19"/>
  <c r="A13816" i="19"/>
  <c r="A13815" i="19"/>
  <c r="A13814" i="19"/>
  <c r="A13813" i="19"/>
  <c r="A13812" i="19"/>
  <c r="A13811" i="19"/>
  <c r="A13810" i="19"/>
  <c r="A13809" i="19"/>
  <c r="A13808" i="19"/>
  <c r="A13807" i="19"/>
  <c r="A13806" i="19"/>
  <c r="A13805" i="19"/>
  <c r="A13804" i="19"/>
  <c r="A13803" i="19"/>
  <c r="A13802" i="19"/>
  <c r="A13801" i="19"/>
  <c r="A13800" i="19"/>
  <c r="A13799" i="19"/>
  <c r="A13798" i="19"/>
  <c r="A13797" i="19"/>
  <c r="A13796" i="19"/>
  <c r="A13795" i="19"/>
  <c r="A13794" i="19"/>
  <c r="A13793" i="19"/>
  <c r="A13792" i="19"/>
  <c r="A13791" i="19"/>
  <c r="A13790" i="19"/>
  <c r="A13789" i="19"/>
  <c r="A13788" i="19"/>
  <c r="A13787" i="19"/>
  <c r="A13786" i="19"/>
  <c r="A13785" i="19"/>
  <c r="A13784" i="19"/>
  <c r="A13783" i="19"/>
  <c r="A13782" i="19"/>
  <c r="A13781" i="19"/>
  <c r="A13780" i="19"/>
  <c r="A13779" i="19"/>
  <c r="A13778" i="19"/>
  <c r="A13777" i="19"/>
  <c r="A13776" i="19"/>
  <c r="A13775" i="19"/>
  <c r="A13774" i="19"/>
  <c r="A13773" i="19"/>
  <c r="A13772" i="19"/>
  <c r="A13771" i="19"/>
  <c r="A13770" i="19"/>
  <c r="A13769" i="19"/>
  <c r="A13768" i="19"/>
  <c r="A13767" i="19"/>
  <c r="A13766" i="19"/>
  <c r="A13765" i="19"/>
  <c r="A13764" i="19"/>
  <c r="A13763" i="19"/>
  <c r="A13762" i="19"/>
  <c r="A13761" i="19"/>
  <c r="A13760" i="19"/>
  <c r="A13759" i="19"/>
  <c r="A13758" i="19"/>
  <c r="A13757" i="19"/>
  <c r="A13756" i="19"/>
  <c r="A13755" i="19"/>
  <c r="A13754" i="19"/>
  <c r="A13753" i="19"/>
  <c r="A13752" i="19"/>
  <c r="A13751" i="19"/>
  <c r="A13750" i="19"/>
  <c r="A13749" i="19"/>
  <c r="A13748" i="19"/>
  <c r="A13747" i="19"/>
  <c r="A13746" i="19"/>
  <c r="A13745" i="19"/>
  <c r="A13744" i="19"/>
  <c r="A13743" i="19"/>
  <c r="A13742" i="19"/>
  <c r="A13741" i="19"/>
  <c r="A13740" i="19"/>
  <c r="A13739" i="19"/>
  <c r="A13738" i="19"/>
  <c r="A13737" i="19"/>
  <c r="A13736" i="19"/>
  <c r="A13735" i="19"/>
  <c r="A13734" i="19"/>
  <c r="A13733" i="19"/>
  <c r="A13732" i="19"/>
  <c r="A13731" i="19"/>
  <c r="A13730" i="19"/>
  <c r="A13729" i="19"/>
  <c r="A13728" i="19"/>
  <c r="A13727" i="19"/>
  <c r="A13726" i="19"/>
  <c r="A13725" i="19"/>
  <c r="A13724" i="19"/>
  <c r="A13723" i="19"/>
  <c r="A13722" i="19"/>
  <c r="A13721" i="19"/>
  <c r="A13720" i="19"/>
  <c r="A13719" i="19"/>
  <c r="A13718" i="19"/>
  <c r="A13717" i="19"/>
  <c r="A13716" i="19"/>
  <c r="A13715" i="19"/>
  <c r="A13714" i="19"/>
  <c r="A13713" i="19"/>
  <c r="A13712" i="19"/>
  <c r="A13711" i="19"/>
  <c r="A13710" i="19"/>
  <c r="A13709" i="19"/>
  <c r="A13708" i="19"/>
  <c r="A13707" i="19"/>
  <c r="A13706" i="19"/>
  <c r="A13705" i="19"/>
  <c r="A13704" i="19"/>
  <c r="A13703" i="19"/>
  <c r="A13702" i="19"/>
  <c r="A13701" i="19"/>
  <c r="A13700" i="19"/>
  <c r="A13699" i="19"/>
  <c r="A13698" i="19"/>
  <c r="A13697" i="19"/>
  <c r="A13696" i="19"/>
  <c r="A13695" i="19"/>
  <c r="A13694" i="19"/>
  <c r="A13693" i="19"/>
  <c r="A13692" i="19"/>
  <c r="A13691" i="19"/>
  <c r="A13690" i="19"/>
  <c r="A13689" i="19"/>
  <c r="A13688" i="19"/>
  <c r="A13687" i="19"/>
  <c r="A13686" i="19"/>
  <c r="A13685" i="19"/>
  <c r="A13684" i="19"/>
  <c r="A13683" i="19"/>
  <c r="A13682" i="19"/>
  <c r="A13681" i="19"/>
  <c r="A13680" i="19"/>
  <c r="A13679" i="19"/>
  <c r="A13678" i="19"/>
  <c r="A13677" i="19"/>
  <c r="A13676" i="19"/>
  <c r="A13675" i="19"/>
  <c r="A13674" i="19"/>
  <c r="A13673" i="19"/>
  <c r="A13672" i="19"/>
  <c r="A13671" i="19"/>
  <c r="A13670" i="19"/>
  <c r="A13669" i="19"/>
  <c r="A13668" i="19"/>
  <c r="A13667" i="19"/>
  <c r="A13666" i="19"/>
  <c r="A13665" i="19"/>
  <c r="A13664" i="19"/>
  <c r="A13663" i="19"/>
  <c r="A13662" i="19"/>
  <c r="A13661" i="19"/>
  <c r="A13660" i="19"/>
  <c r="A13659" i="19"/>
  <c r="A13658" i="19"/>
  <c r="A13657" i="19"/>
  <c r="A13656" i="19"/>
  <c r="A13655" i="19"/>
  <c r="A13654" i="19"/>
  <c r="A13653" i="19"/>
  <c r="A13652" i="19"/>
  <c r="A13651" i="19"/>
  <c r="A13650" i="19"/>
  <c r="A13649" i="19"/>
  <c r="A13648" i="19"/>
  <c r="A13647" i="19"/>
  <c r="A13646" i="19"/>
  <c r="A13645" i="19"/>
  <c r="A13644" i="19"/>
  <c r="A13643" i="19"/>
  <c r="A13642" i="19"/>
  <c r="A13641" i="19"/>
  <c r="A13640" i="19"/>
  <c r="A13639" i="19"/>
  <c r="A13638" i="19"/>
  <c r="A13637" i="19"/>
  <c r="A13636" i="19"/>
  <c r="A13635" i="19"/>
  <c r="A13634" i="19"/>
  <c r="A13633" i="19"/>
  <c r="A13632" i="19"/>
  <c r="A13631" i="19"/>
  <c r="A13630" i="19"/>
  <c r="A13629" i="19"/>
  <c r="A13628" i="19"/>
  <c r="A13627" i="19"/>
  <c r="A13626" i="19"/>
  <c r="A13625" i="19"/>
  <c r="A13624" i="19"/>
  <c r="A13623" i="19"/>
  <c r="A13622" i="19"/>
  <c r="A13621" i="19"/>
  <c r="A13620" i="19"/>
  <c r="A13619" i="19"/>
  <c r="A13618" i="19"/>
  <c r="A13617" i="19"/>
  <c r="A13616" i="19"/>
  <c r="A13615" i="19"/>
  <c r="A13614" i="19"/>
  <c r="A13613" i="19"/>
  <c r="A13612" i="19"/>
  <c r="A13611" i="19"/>
  <c r="A13610" i="19"/>
  <c r="A13609" i="19"/>
  <c r="A13608" i="19"/>
  <c r="A13607" i="19"/>
  <c r="A13606" i="19"/>
  <c r="A13605" i="19"/>
  <c r="A13604" i="19"/>
  <c r="A13603" i="19"/>
  <c r="A13602" i="19"/>
  <c r="A13601" i="19"/>
  <c r="A13600" i="19"/>
  <c r="A13599" i="19"/>
  <c r="A13598" i="19"/>
  <c r="A13597" i="19"/>
  <c r="A13596" i="19"/>
  <c r="A13595" i="19"/>
  <c r="A13594" i="19"/>
  <c r="A13593" i="19"/>
  <c r="A13592" i="19"/>
  <c r="A13591" i="19"/>
  <c r="A13590" i="19"/>
  <c r="A13589" i="19"/>
  <c r="A13588" i="19"/>
  <c r="A13587" i="19"/>
  <c r="A13586" i="19"/>
  <c r="A13585" i="19"/>
  <c r="A13584" i="19"/>
  <c r="A13583" i="19"/>
  <c r="A13582" i="19"/>
  <c r="A13581" i="19"/>
  <c r="A13580" i="19"/>
  <c r="A13579" i="19"/>
  <c r="A13578" i="19"/>
  <c r="A13577" i="19"/>
  <c r="A13576" i="19"/>
  <c r="A13575" i="19"/>
  <c r="A13574" i="19"/>
  <c r="A13573" i="19"/>
  <c r="A13572" i="19"/>
  <c r="A13571" i="19"/>
  <c r="A13570" i="19"/>
  <c r="A13569" i="19"/>
  <c r="A13568" i="19"/>
  <c r="A13567" i="19"/>
  <c r="A13566" i="19"/>
  <c r="A13565" i="19"/>
  <c r="A13564" i="19"/>
  <c r="A13563" i="19"/>
  <c r="A13562" i="19"/>
  <c r="A13561" i="19"/>
  <c r="A13560" i="19"/>
  <c r="A13559" i="19"/>
  <c r="A13558" i="19"/>
  <c r="A13557" i="19"/>
  <c r="A13556" i="19"/>
  <c r="A13555" i="19"/>
  <c r="A13554" i="19"/>
  <c r="A13553" i="19"/>
  <c r="A13552" i="19"/>
  <c r="A13551" i="19"/>
  <c r="A13550" i="19"/>
  <c r="A13549" i="19"/>
  <c r="A13548" i="19"/>
  <c r="A13547" i="19"/>
  <c r="A13546" i="19"/>
  <c r="A13545" i="19"/>
  <c r="A13544" i="19"/>
  <c r="A13543" i="19"/>
  <c r="A13542" i="19"/>
  <c r="A13541" i="19"/>
  <c r="A13540" i="19"/>
  <c r="A13539" i="19"/>
  <c r="A13538" i="19"/>
  <c r="A13537" i="19"/>
  <c r="A13536" i="19"/>
  <c r="A13535" i="19"/>
  <c r="A13534" i="19"/>
  <c r="A13533" i="19"/>
  <c r="A13532" i="19"/>
  <c r="A13531" i="19"/>
  <c r="A13530" i="19"/>
  <c r="A13529" i="19"/>
  <c r="A13528" i="19"/>
  <c r="A13527" i="19"/>
  <c r="A13526" i="19"/>
  <c r="A13525" i="19"/>
  <c r="A13524" i="19"/>
  <c r="A13523" i="19"/>
  <c r="A13522" i="19"/>
  <c r="A13521" i="19"/>
  <c r="A13520" i="19"/>
  <c r="A13519" i="19"/>
  <c r="A13518" i="19"/>
  <c r="A13517" i="19"/>
  <c r="A13516" i="19"/>
  <c r="A13515" i="19"/>
  <c r="A13514" i="19"/>
  <c r="A13513" i="19"/>
  <c r="A13512" i="19"/>
  <c r="A13511" i="19"/>
  <c r="A13510" i="19"/>
  <c r="A13509" i="19"/>
  <c r="A13508" i="19"/>
  <c r="A13507" i="19"/>
  <c r="A13506" i="19"/>
  <c r="A13505" i="19"/>
  <c r="A13504" i="19"/>
  <c r="A13503" i="19"/>
  <c r="A13502" i="19"/>
  <c r="A13501" i="19"/>
  <c r="A13500" i="19"/>
  <c r="A13499" i="19"/>
  <c r="A13498" i="19"/>
  <c r="A13497" i="19"/>
  <c r="A13496" i="19"/>
  <c r="A13495" i="19"/>
  <c r="A13494" i="19"/>
  <c r="A13493" i="19"/>
  <c r="A13492" i="19"/>
  <c r="A13491" i="19"/>
  <c r="A13490" i="19"/>
  <c r="A13489" i="19"/>
  <c r="A13488" i="19"/>
  <c r="A13487" i="19"/>
  <c r="A13486" i="19"/>
  <c r="A13485" i="19"/>
  <c r="A13484" i="19"/>
  <c r="A13483" i="19"/>
  <c r="A13482" i="19"/>
  <c r="A13481" i="19"/>
  <c r="A13480" i="19"/>
  <c r="A13479" i="19"/>
  <c r="A13478" i="19"/>
  <c r="A13477" i="19"/>
  <c r="A13476" i="19"/>
  <c r="A13475" i="19"/>
  <c r="A13474" i="19"/>
  <c r="A13473" i="19"/>
  <c r="A13472" i="19"/>
  <c r="A13471" i="19"/>
  <c r="A13470" i="19"/>
  <c r="A13469" i="19"/>
  <c r="A13468" i="19"/>
  <c r="A13467" i="19"/>
  <c r="A13466" i="19"/>
  <c r="A13465" i="19"/>
  <c r="A13464" i="19"/>
  <c r="A13463" i="19"/>
  <c r="A13462" i="19"/>
  <c r="A13461" i="19"/>
  <c r="A13460" i="19"/>
  <c r="A13459" i="19"/>
  <c r="A13458" i="19"/>
  <c r="A13457" i="19"/>
  <c r="A13456" i="19"/>
  <c r="A13455" i="19"/>
  <c r="A13454" i="19"/>
  <c r="A13453" i="19"/>
  <c r="A13452" i="19"/>
  <c r="A13451" i="19"/>
  <c r="A13450" i="19"/>
  <c r="A13449" i="19"/>
  <c r="A13448" i="19"/>
  <c r="A13447" i="19"/>
  <c r="A13446" i="19"/>
  <c r="A13445" i="19"/>
  <c r="A13444" i="19"/>
  <c r="A13443" i="19"/>
  <c r="A13442" i="19"/>
  <c r="A13441" i="19"/>
  <c r="A13440" i="19"/>
  <c r="A13439" i="19"/>
  <c r="A13438" i="19"/>
  <c r="A13437" i="19"/>
  <c r="A13436" i="19"/>
  <c r="A13435" i="19"/>
  <c r="A13434" i="19"/>
  <c r="A13433" i="19"/>
  <c r="A13432" i="19"/>
  <c r="A13431" i="19"/>
  <c r="A13430" i="19"/>
  <c r="A13429" i="19"/>
  <c r="A13428" i="19"/>
  <c r="A13427" i="19"/>
  <c r="A13426" i="19"/>
  <c r="A13425" i="19"/>
  <c r="A13424" i="19"/>
  <c r="A13423" i="19"/>
  <c r="A13422" i="19"/>
  <c r="A13421" i="19"/>
  <c r="A13420" i="19"/>
  <c r="A13419" i="19"/>
  <c r="A13418" i="19"/>
  <c r="A13417" i="19"/>
  <c r="A13416" i="19"/>
  <c r="A13415" i="19"/>
  <c r="A13414" i="19"/>
  <c r="A13413" i="19"/>
  <c r="A13412" i="19"/>
  <c r="A13411" i="19"/>
  <c r="A13410" i="19"/>
  <c r="A13409" i="19"/>
  <c r="A13408" i="19"/>
  <c r="A13407" i="19"/>
  <c r="A13406" i="19"/>
  <c r="A13405" i="19"/>
  <c r="A13404" i="19"/>
  <c r="A13403" i="19"/>
  <c r="A13402" i="19"/>
  <c r="A13401" i="19"/>
  <c r="A13400" i="19"/>
  <c r="A13399" i="19"/>
  <c r="A13398" i="19"/>
  <c r="A13397" i="19"/>
  <c r="A13396" i="19"/>
  <c r="A13395" i="19"/>
  <c r="A13394" i="19"/>
  <c r="A13393" i="19"/>
  <c r="A13392" i="19"/>
  <c r="A13391" i="19"/>
  <c r="A13390" i="19"/>
  <c r="A13389" i="19"/>
  <c r="A13388" i="19"/>
  <c r="A13387" i="19"/>
  <c r="A13386" i="19"/>
  <c r="A13385" i="19"/>
  <c r="A13384" i="19"/>
  <c r="A13383" i="19"/>
  <c r="A13382" i="19"/>
  <c r="A13381" i="19"/>
  <c r="A13380" i="19"/>
  <c r="A13379" i="19"/>
  <c r="A13378" i="19"/>
  <c r="A13377" i="19"/>
  <c r="A13376" i="19"/>
  <c r="A13375" i="19"/>
  <c r="A13374" i="19"/>
  <c r="A13373" i="19"/>
  <c r="A13372" i="19"/>
  <c r="A13371" i="19"/>
  <c r="A13370" i="19"/>
  <c r="A13369" i="19"/>
  <c r="A13368" i="19"/>
  <c r="A13367" i="19"/>
  <c r="A13366" i="19"/>
  <c r="A13365" i="19"/>
  <c r="A13364" i="19"/>
  <c r="A13363" i="19"/>
  <c r="A13362" i="19"/>
  <c r="A13361" i="19"/>
  <c r="A13360" i="19"/>
  <c r="A13359" i="19"/>
  <c r="A13358" i="19"/>
  <c r="A13357" i="19"/>
  <c r="A13356" i="19"/>
  <c r="A13355" i="19"/>
  <c r="A13354" i="19"/>
  <c r="A13353" i="19"/>
  <c r="A13352" i="19"/>
  <c r="A13351" i="19"/>
  <c r="A13350" i="19"/>
  <c r="A13349" i="19"/>
  <c r="A13348" i="19"/>
  <c r="A13347" i="19"/>
  <c r="A13346" i="19"/>
  <c r="A13345" i="19"/>
  <c r="A13344" i="19"/>
  <c r="A13343" i="19"/>
  <c r="A13342" i="19"/>
  <c r="A13341" i="19"/>
  <c r="A13340" i="19"/>
  <c r="A13339" i="19"/>
  <c r="A13338" i="19"/>
  <c r="A13337" i="19"/>
  <c r="A13336" i="19"/>
  <c r="A13335" i="19"/>
  <c r="A13334" i="19"/>
  <c r="A13333" i="19"/>
  <c r="A13332" i="19"/>
  <c r="A13331" i="19"/>
  <c r="A13330" i="19"/>
  <c r="A13329" i="19"/>
  <c r="A13328" i="19"/>
  <c r="A13327" i="19"/>
  <c r="A13326" i="19"/>
  <c r="A13325" i="19"/>
  <c r="A13324" i="19"/>
  <c r="A13323" i="19"/>
  <c r="A13322" i="19"/>
  <c r="A13321" i="19"/>
  <c r="A13320" i="19"/>
  <c r="A13319" i="19"/>
  <c r="A13318" i="19"/>
  <c r="A13317" i="19"/>
  <c r="A13316" i="19"/>
  <c r="A13315" i="19"/>
  <c r="A13314" i="19"/>
  <c r="A13313" i="19"/>
  <c r="A13312" i="19"/>
  <c r="A13311" i="19"/>
  <c r="A13310" i="19"/>
  <c r="A13309" i="19"/>
  <c r="A13308" i="19"/>
  <c r="A13307" i="19"/>
  <c r="A13306" i="19"/>
  <c r="A13305" i="19"/>
  <c r="A13304" i="19"/>
  <c r="A13303" i="19"/>
  <c r="A13302" i="19"/>
  <c r="A13301" i="19"/>
  <c r="A13300" i="19"/>
  <c r="A13299" i="19"/>
  <c r="A13298" i="19"/>
  <c r="A13297" i="19"/>
  <c r="A13296" i="19"/>
  <c r="A13295" i="19"/>
  <c r="A13294" i="19"/>
  <c r="A13293" i="19"/>
  <c r="A13292" i="19"/>
  <c r="A13291" i="19"/>
  <c r="A13290" i="19"/>
  <c r="A13289" i="19"/>
  <c r="A13288" i="19"/>
  <c r="A13287" i="19"/>
  <c r="A13286" i="19"/>
  <c r="A13285" i="19"/>
  <c r="A13284" i="19"/>
  <c r="A13283" i="19"/>
  <c r="A13282" i="19"/>
  <c r="A13281" i="19"/>
  <c r="A13280" i="19"/>
  <c r="A13279" i="19"/>
  <c r="A13278" i="19"/>
  <c r="A13277" i="19"/>
  <c r="A13276" i="19"/>
  <c r="A13275" i="19"/>
  <c r="A13274" i="19"/>
  <c r="A13273" i="19"/>
  <c r="A13272" i="19"/>
  <c r="A13271" i="19"/>
  <c r="A13270" i="19"/>
  <c r="A13269" i="19"/>
  <c r="A13268" i="19"/>
  <c r="A13267" i="19"/>
  <c r="A13266" i="19"/>
  <c r="A13265" i="19"/>
  <c r="A13264" i="19"/>
  <c r="A13263" i="19"/>
  <c r="A13262" i="19"/>
  <c r="A13261" i="19"/>
  <c r="A13260" i="19"/>
  <c r="A13259" i="19"/>
  <c r="A13258" i="19"/>
  <c r="A13257" i="19"/>
  <c r="A13256" i="19"/>
  <c r="A13255" i="19"/>
  <c r="A13254" i="19"/>
  <c r="A13253" i="19"/>
  <c r="A13252" i="19"/>
  <c r="A13251" i="19"/>
  <c r="A13250" i="19"/>
  <c r="A13249" i="19"/>
  <c r="A13248" i="19"/>
  <c r="A13247" i="19"/>
  <c r="A13246" i="19"/>
  <c r="A13245" i="19"/>
  <c r="A13244" i="19"/>
  <c r="A13243" i="19"/>
  <c r="A13242" i="19"/>
  <c r="A13241" i="19"/>
  <c r="A13240" i="19"/>
  <c r="A13239" i="19"/>
  <c r="A13238" i="19"/>
  <c r="A13237" i="19"/>
  <c r="A13236" i="19"/>
  <c r="A13235" i="19"/>
  <c r="A13234" i="19"/>
  <c r="A13233" i="19"/>
  <c r="A13232" i="19"/>
  <c r="A13231" i="19"/>
  <c r="A13230" i="19"/>
  <c r="A13229" i="19"/>
  <c r="A13228" i="19"/>
  <c r="A13227" i="19"/>
  <c r="A13226" i="19"/>
  <c r="A13225" i="19"/>
  <c r="A13224" i="19"/>
  <c r="A13223" i="19"/>
  <c r="A13222" i="19"/>
  <c r="A13221" i="19"/>
  <c r="A13220" i="19"/>
  <c r="A13219" i="19"/>
  <c r="A13218" i="19"/>
  <c r="A13217" i="19"/>
  <c r="A13216" i="19"/>
  <c r="A13215" i="19"/>
  <c r="A13214" i="19"/>
  <c r="A13213" i="19"/>
  <c r="A13212" i="19"/>
  <c r="A13211" i="19"/>
  <c r="A13210" i="19"/>
  <c r="A13209" i="19"/>
  <c r="A13208" i="19"/>
  <c r="A13207" i="19"/>
  <c r="A13206" i="19"/>
  <c r="A13205" i="19"/>
  <c r="A13204" i="19"/>
  <c r="A13203" i="19"/>
  <c r="A13202" i="19"/>
  <c r="A13201" i="19"/>
  <c r="A13200" i="19"/>
  <c r="A13199" i="19"/>
  <c r="A13198" i="19"/>
  <c r="A13197" i="19"/>
  <c r="A13196" i="19"/>
  <c r="A13195" i="19"/>
  <c r="A13194" i="19"/>
  <c r="A13193" i="19"/>
  <c r="A13192" i="19"/>
  <c r="A13191" i="19"/>
  <c r="A13190" i="19"/>
  <c r="A13189" i="19"/>
  <c r="A13188" i="19"/>
  <c r="A13187" i="19"/>
  <c r="A13186" i="19"/>
  <c r="A13185" i="19"/>
  <c r="A13184" i="19"/>
  <c r="A13183" i="19"/>
  <c r="A13182" i="19"/>
  <c r="A13181" i="19"/>
  <c r="A13180" i="19"/>
  <c r="A13179" i="19"/>
  <c r="A13178" i="19"/>
  <c r="A13177" i="19"/>
  <c r="A13176" i="19"/>
  <c r="A13175" i="19"/>
  <c r="A13174" i="19"/>
  <c r="A13173" i="19"/>
  <c r="A13172" i="19"/>
  <c r="A13171" i="19"/>
  <c r="A13170" i="19"/>
  <c r="A13169" i="19"/>
  <c r="A13168" i="19"/>
  <c r="A13167" i="19"/>
  <c r="A13166" i="19"/>
  <c r="A13165" i="19"/>
  <c r="A13164" i="19"/>
  <c r="A13163" i="19"/>
  <c r="A13162" i="19"/>
  <c r="A13161" i="19"/>
  <c r="A13160" i="19"/>
  <c r="A13159" i="19"/>
  <c r="A13158" i="19"/>
  <c r="A13157" i="19"/>
  <c r="A13156" i="19"/>
  <c r="A13155" i="19"/>
  <c r="A13154" i="19"/>
  <c r="A13153" i="19"/>
  <c r="A13152" i="19"/>
  <c r="A13151" i="19"/>
  <c r="A13150" i="19"/>
  <c r="A13149" i="19"/>
  <c r="A13148" i="19"/>
  <c r="A13147" i="19"/>
  <c r="A13146" i="19"/>
  <c r="A13145" i="19"/>
  <c r="A13144" i="19"/>
  <c r="A13143" i="19"/>
  <c r="A13142" i="19"/>
  <c r="A13141" i="19"/>
  <c r="A13140" i="19"/>
  <c r="A13139" i="19"/>
  <c r="A13138" i="19"/>
  <c r="A13137" i="19"/>
  <c r="A13136" i="19"/>
  <c r="A13135" i="19"/>
  <c r="A13134" i="19"/>
  <c r="A13133" i="19"/>
  <c r="A13132" i="19"/>
  <c r="A13131" i="19"/>
  <c r="A13130" i="19"/>
  <c r="A13129" i="19"/>
  <c r="A13128" i="19"/>
  <c r="A13127" i="19"/>
  <c r="A13126" i="19"/>
  <c r="A13125" i="19"/>
  <c r="A13124" i="19"/>
  <c r="A13123" i="19"/>
  <c r="A13122" i="19"/>
  <c r="A13121" i="19"/>
  <c r="A13120" i="19"/>
  <c r="A13119" i="19"/>
  <c r="A13118" i="19"/>
  <c r="A13117" i="19"/>
  <c r="A13116" i="19"/>
  <c r="A13115" i="19"/>
  <c r="A13114" i="19"/>
  <c r="A13113" i="19"/>
  <c r="A13112" i="19"/>
  <c r="A13111" i="19"/>
  <c r="A13110" i="19"/>
  <c r="A13109" i="19"/>
  <c r="A13108" i="19"/>
  <c r="A13107" i="19"/>
  <c r="A13106" i="19"/>
  <c r="A13105" i="19"/>
  <c r="A13104" i="19"/>
  <c r="A13103" i="19"/>
  <c r="A13102" i="19"/>
  <c r="A13101" i="19"/>
  <c r="A13100" i="19"/>
  <c r="A13099" i="19"/>
  <c r="A13098" i="19"/>
  <c r="A13097" i="19"/>
  <c r="A13096" i="19"/>
  <c r="A13095" i="19"/>
  <c r="A13094" i="19"/>
  <c r="A13093" i="19"/>
  <c r="A13092" i="19"/>
  <c r="A13091" i="19"/>
  <c r="A13090" i="19"/>
  <c r="A13089" i="19"/>
  <c r="A13088" i="19"/>
  <c r="A13087" i="19"/>
  <c r="A13086" i="19"/>
  <c r="A13085" i="19"/>
  <c r="A13084" i="19"/>
  <c r="A13083" i="19"/>
  <c r="A13082" i="19"/>
  <c r="A13081" i="19"/>
  <c r="A13080" i="19"/>
  <c r="A13079" i="19"/>
  <c r="A13078" i="19"/>
  <c r="A13077" i="19"/>
  <c r="A13076" i="19"/>
  <c r="A13075" i="19"/>
  <c r="A13074" i="19"/>
  <c r="A13073" i="19"/>
  <c r="A13072" i="19"/>
  <c r="A13071" i="19"/>
  <c r="A13070" i="19"/>
  <c r="A13069" i="19"/>
  <c r="A13068" i="19"/>
  <c r="A13067" i="19"/>
  <c r="A13066" i="19"/>
  <c r="A13065" i="19"/>
  <c r="A13064" i="19"/>
  <c r="A13063" i="19"/>
  <c r="A13062" i="19"/>
  <c r="A13061" i="19"/>
  <c r="A13060" i="19"/>
  <c r="A13059" i="19"/>
  <c r="A13058" i="19"/>
  <c r="A13057" i="19"/>
  <c r="A13056" i="19"/>
  <c r="A13055" i="19"/>
  <c r="A13054" i="19"/>
  <c r="A13053" i="19"/>
  <c r="A13052" i="19"/>
  <c r="A13051" i="19"/>
  <c r="A13050" i="19"/>
  <c r="A13049" i="19"/>
  <c r="A13048" i="19"/>
  <c r="A13047" i="19"/>
  <c r="A13046" i="19"/>
  <c r="A13045" i="19"/>
  <c r="A13044" i="19"/>
  <c r="A13043" i="19"/>
  <c r="A13042" i="19"/>
  <c r="A13041" i="19"/>
  <c r="A13040" i="19"/>
  <c r="A13039" i="19"/>
  <c r="A13038" i="19"/>
  <c r="A13037" i="19"/>
  <c r="A13036" i="19"/>
  <c r="A13035" i="19"/>
  <c r="A13034" i="19"/>
  <c r="A13033" i="19"/>
  <c r="A13032" i="19"/>
  <c r="A13031" i="19"/>
  <c r="A13030" i="19"/>
  <c r="A13029" i="19"/>
  <c r="A13028" i="19"/>
  <c r="A13027" i="19"/>
  <c r="A13026" i="19"/>
  <c r="A13025" i="19"/>
  <c r="A13024" i="19"/>
  <c r="A13023" i="19"/>
  <c r="A13022" i="19"/>
  <c r="A13021" i="19"/>
  <c r="A13020" i="19"/>
  <c r="A13019" i="19"/>
  <c r="A13018" i="19"/>
  <c r="A13017" i="19"/>
  <c r="A13016" i="19"/>
  <c r="A13015" i="19"/>
  <c r="A13014" i="19"/>
  <c r="A13013" i="19"/>
  <c r="A13012" i="19"/>
  <c r="A13011" i="19"/>
  <c r="A13010" i="19"/>
  <c r="A13009" i="19"/>
  <c r="A13008" i="19"/>
  <c r="A13007" i="19"/>
  <c r="A13006" i="19"/>
  <c r="A13005" i="19"/>
  <c r="A13004" i="19"/>
  <c r="A13003" i="19"/>
  <c r="A13002" i="19"/>
  <c r="A13001" i="19"/>
  <c r="A13000" i="19"/>
  <c r="A12999" i="19"/>
  <c r="A12998" i="19"/>
  <c r="A12997" i="19"/>
  <c r="A12996" i="19"/>
  <c r="A12995" i="19"/>
  <c r="A12994" i="19"/>
  <c r="A12993" i="19"/>
  <c r="A12992" i="19"/>
  <c r="A12991" i="19"/>
  <c r="A12990" i="19"/>
  <c r="A12989" i="19"/>
  <c r="A12988" i="19"/>
  <c r="A12987" i="19"/>
  <c r="A12986" i="19"/>
  <c r="A12985" i="19"/>
  <c r="A12984" i="19"/>
  <c r="A12983" i="19"/>
  <c r="A12982" i="19"/>
  <c r="A12981" i="19"/>
  <c r="A12980" i="19"/>
  <c r="A12979" i="19"/>
  <c r="A12978" i="19"/>
  <c r="A12977" i="19"/>
  <c r="A12976" i="19"/>
  <c r="A12975" i="19"/>
  <c r="A12974" i="19"/>
  <c r="A12973" i="19"/>
  <c r="A12972" i="19"/>
  <c r="A12971" i="19"/>
  <c r="A12970" i="19"/>
  <c r="A12969" i="19"/>
  <c r="A12968" i="19"/>
  <c r="A12967" i="19"/>
  <c r="A12966" i="19"/>
  <c r="A12965" i="19"/>
  <c r="A12964" i="19"/>
  <c r="A12963" i="19"/>
  <c r="A12962" i="19"/>
  <c r="A12961" i="19"/>
  <c r="A12960" i="19"/>
  <c r="A12959" i="19"/>
  <c r="A12958" i="19"/>
  <c r="A12957" i="19"/>
  <c r="A12956" i="19"/>
  <c r="A12955" i="19"/>
  <c r="A12954" i="19"/>
  <c r="A12953" i="19"/>
  <c r="A12952" i="19"/>
  <c r="A12951" i="19"/>
  <c r="A12950" i="19"/>
  <c r="A12949" i="19"/>
  <c r="A12948" i="19"/>
  <c r="A12947" i="19"/>
  <c r="A12946" i="19"/>
  <c r="A12945" i="19"/>
  <c r="A12944" i="19"/>
  <c r="A12943" i="19"/>
  <c r="A12942" i="19"/>
  <c r="A12941" i="19"/>
  <c r="A12940" i="19"/>
  <c r="A12939" i="19"/>
  <c r="A12938" i="19"/>
  <c r="A12937" i="19"/>
  <c r="A12936" i="19"/>
  <c r="A12935" i="19"/>
  <c r="A12934" i="19"/>
  <c r="A12933" i="19"/>
  <c r="A12932" i="19"/>
  <c r="A12931" i="19"/>
  <c r="A12930" i="19"/>
  <c r="A12929" i="19"/>
  <c r="A12928" i="19"/>
  <c r="A12927" i="19"/>
  <c r="A12926" i="19"/>
  <c r="A12925" i="19"/>
  <c r="A12924" i="19"/>
  <c r="A12923" i="19"/>
  <c r="A12922" i="19"/>
  <c r="A12921" i="19"/>
  <c r="A12920" i="19"/>
  <c r="A12919" i="19"/>
  <c r="A12918" i="19"/>
  <c r="A12917" i="19"/>
  <c r="A12916" i="19"/>
  <c r="A12915" i="19"/>
  <c r="A12914" i="19"/>
  <c r="A12913" i="19"/>
  <c r="A12912" i="19"/>
  <c r="A12911" i="19"/>
  <c r="A12910" i="19"/>
  <c r="A12909" i="19"/>
  <c r="A12908" i="19"/>
  <c r="A12907" i="19"/>
  <c r="A12906" i="19"/>
  <c r="A12905" i="19"/>
  <c r="A12904" i="19"/>
  <c r="A12903" i="19"/>
  <c r="A12902" i="19"/>
  <c r="A12901" i="19"/>
  <c r="A12900" i="19"/>
  <c r="A12899" i="19"/>
  <c r="A12898" i="19"/>
  <c r="A12897" i="19"/>
  <c r="A12896" i="19"/>
  <c r="A12895" i="19"/>
  <c r="A12894" i="19"/>
  <c r="A12893" i="19"/>
  <c r="A12892" i="19"/>
  <c r="A12891" i="19"/>
  <c r="A12890" i="19"/>
  <c r="A12889" i="19"/>
  <c r="A12888" i="19"/>
  <c r="A12887" i="19"/>
  <c r="A12886" i="19"/>
  <c r="A12885" i="19"/>
  <c r="A12884" i="19"/>
  <c r="A12883" i="19"/>
  <c r="A12882" i="19"/>
  <c r="A12881" i="19"/>
  <c r="A12880" i="19"/>
  <c r="A12879" i="19"/>
  <c r="A12878" i="19"/>
  <c r="A12877" i="19"/>
  <c r="A12876" i="19"/>
  <c r="A12875" i="19"/>
  <c r="A12874" i="19"/>
  <c r="A12873" i="19"/>
  <c r="A12872" i="19"/>
  <c r="A12871" i="19"/>
  <c r="A12870" i="19"/>
  <c r="A12869" i="19"/>
  <c r="A12868" i="19"/>
  <c r="A12867" i="19"/>
  <c r="A12866" i="19"/>
  <c r="A12865" i="19"/>
  <c r="A12864" i="19"/>
  <c r="A12863" i="19"/>
  <c r="A12862" i="19"/>
  <c r="A12861" i="19"/>
  <c r="A12860" i="19"/>
  <c r="A12859" i="19"/>
  <c r="A12858" i="19"/>
  <c r="A12857" i="19"/>
  <c r="A12856" i="19"/>
  <c r="A12855" i="19"/>
  <c r="A12854" i="19"/>
  <c r="A12853" i="19"/>
  <c r="A12852" i="19"/>
  <c r="A12851" i="19"/>
  <c r="A12850" i="19"/>
  <c r="A12849" i="19"/>
  <c r="A12848" i="19"/>
  <c r="A12847" i="19"/>
  <c r="A12846" i="19"/>
  <c r="A12845" i="19"/>
  <c r="A12844" i="19"/>
  <c r="A12843" i="19"/>
  <c r="A12842" i="19"/>
  <c r="A12841" i="19"/>
  <c r="A12840" i="19"/>
  <c r="A12839" i="19"/>
  <c r="A12838" i="19"/>
  <c r="A12837" i="19"/>
  <c r="A12836" i="19"/>
  <c r="A12835" i="19"/>
  <c r="A12834" i="19"/>
  <c r="A12833" i="19"/>
  <c r="A12832" i="19"/>
  <c r="A12831" i="19"/>
  <c r="A12830" i="19"/>
  <c r="A12829" i="19"/>
  <c r="A12828" i="19"/>
  <c r="A12827" i="19"/>
  <c r="A12826" i="19"/>
  <c r="A12825" i="19"/>
  <c r="A12824" i="19"/>
  <c r="A12823" i="19"/>
  <c r="A12822" i="19"/>
  <c r="A12821" i="19"/>
  <c r="A12820" i="19"/>
  <c r="A12819" i="19"/>
  <c r="A12818" i="19"/>
  <c r="A12817" i="19"/>
  <c r="A12816" i="19"/>
  <c r="A12815" i="19"/>
  <c r="A12814" i="19"/>
  <c r="A12813" i="19"/>
  <c r="A12812" i="19"/>
  <c r="A12811" i="19"/>
  <c r="A12810" i="19"/>
  <c r="A12809" i="19"/>
  <c r="A12808" i="19"/>
  <c r="A12807" i="19"/>
  <c r="A12806" i="19"/>
  <c r="A12805" i="19"/>
  <c r="A12804" i="19"/>
  <c r="A12803" i="19"/>
  <c r="A12802" i="19"/>
  <c r="A12801" i="19"/>
  <c r="A12800" i="19"/>
  <c r="A12799" i="19"/>
  <c r="A12798" i="19"/>
  <c r="A12797" i="19"/>
  <c r="A12796" i="19"/>
  <c r="A12795" i="19"/>
  <c r="A12794" i="19"/>
  <c r="A12793" i="19"/>
  <c r="A12792" i="19"/>
  <c r="A12791" i="19"/>
  <c r="A12790" i="19"/>
  <c r="A12789" i="19"/>
  <c r="A12788" i="19"/>
  <c r="A12787" i="19"/>
  <c r="A12786" i="19"/>
  <c r="A12785" i="19"/>
  <c r="A12784" i="19"/>
  <c r="A12783" i="19"/>
  <c r="A12782" i="19"/>
  <c r="A12781" i="19"/>
  <c r="A12780" i="19"/>
  <c r="A12779" i="19"/>
  <c r="A12778" i="19"/>
  <c r="A12777" i="19"/>
  <c r="A12776" i="19"/>
  <c r="A12775" i="19"/>
  <c r="A12774" i="19"/>
  <c r="A12773" i="19"/>
  <c r="A12772" i="19"/>
  <c r="A12771" i="19"/>
  <c r="A12770" i="19"/>
  <c r="A12769" i="19"/>
  <c r="A12768" i="19"/>
  <c r="A12767" i="19"/>
  <c r="A12766" i="19"/>
  <c r="A12765" i="19"/>
  <c r="A12764" i="19"/>
  <c r="A12763" i="19"/>
  <c r="A12762" i="19"/>
  <c r="A12761" i="19"/>
  <c r="A12760" i="19"/>
  <c r="A12759" i="19"/>
  <c r="A12758" i="19"/>
  <c r="A12757" i="19"/>
  <c r="A12756" i="19"/>
  <c r="A12755" i="19"/>
  <c r="A12754" i="19"/>
  <c r="A12753" i="19"/>
  <c r="A12752" i="19"/>
  <c r="A12751" i="19"/>
  <c r="A12750" i="19"/>
  <c r="A12749" i="19"/>
  <c r="A12748" i="19"/>
  <c r="A12747" i="19"/>
  <c r="A12746" i="19"/>
  <c r="A12745" i="19"/>
  <c r="A12744" i="19"/>
  <c r="A12743" i="19"/>
  <c r="A12742" i="19"/>
  <c r="A12741" i="19"/>
  <c r="A12740" i="19"/>
  <c r="A12739" i="19"/>
  <c r="A12738" i="19"/>
  <c r="A12737" i="19"/>
  <c r="A12736" i="19"/>
  <c r="A12735" i="19"/>
  <c r="A12734" i="19"/>
  <c r="A12733" i="19"/>
  <c r="A12732" i="19"/>
  <c r="A12731" i="19"/>
  <c r="A12730" i="19"/>
  <c r="A12729" i="19"/>
  <c r="A12728" i="19"/>
  <c r="A12727" i="19"/>
  <c r="A12726" i="19"/>
  <c r="A12725" i="19"/>
  <c r="A12724" i="19"/>
  <c r="A12723" i="19"/>
  <c r="A12722" i="19"/>
  <c r="A12721" i="19"/>
  <c r="A12720" i="19"/>
  <c r="A12719" i="19"/>
  <c r="A12718" i="19"/>
  <c r="A12717" i="19"/>
  <c r="A12716" i="19"/>
  <c r="A12715" i="19"/>
  <c r="A12714" i="19"/>
  <c r="A12713" i="19"/>
  <c r="A12712" i="19"/>
  <c r="A12711" i="19"/>
  <c r="A12710" i="19"/>
  <c r="A12709" i="19"/>
  <c r="A12708" i="19"/>
  <c r="A12707" i="19"/>
  <c r="A12706" i="19"/>
  <c r="A12705" i="19"/>
  <c r="A12704" i="19"/>
  <c r="A12703" i="19"/>
  <c r="A12702" i="19"/>
  <c r="A12701" i="19"/>
  <c r="A12700" i="19"/>
  <c r="A12699" i="19"/>
  <c r="A12698" i="19"/>
  <c r="A12697" i="19"/>
  <c r="A12696" i="19"/>
  <c r="A12695" i="19"/>
  <c r="A12694" i="19"/>
  <c r="A12693" i="19"/>
  <c r="A12692" i="19"/>
  <c r="A12691" i="19"/>
  <c r="A12690" i="19"/>
  <c r="A12689" i="19"/>
  <c r="A12688" i="19"/>
  <c r="A12687" i="19"/>
  <c r="A12686" i="19"/>
  <c r="A12685" i="19"/>
  <c r="A12684" i="19"/>
  <c r="A12683" i="19"/>
  <c r="A12682" i="19"/>
  <c r="A12681" i="19"/>
  <c r="A12680" i="19"/>
  <c r="A12679" i="19"/>
  <c r="A12678" i="19"/>
  <c r="A12677" i="19"/>
  <c r="A12676" i="19"/>
  <c r="A12675" i="19"/>
  <c r="A12674" i="19"/>
  <c r="A12673" i="19"/>
  <c r="A12672" i="19"/>
  <c r="A12671" i="19"/>
  <c r="A12670" i="19"/>
  <c r="A12669" i="19"/>
  <c r="A12668" i="19"/>
  <c r="A12667" i="19"/>
  <c r="A12666" i="19"/>
  <c r="A12665" i="19"/>
  <c r="A12664" i="19"/>
  <c r="A12663" i="19"/>
  <c r="A12662" i="19"/>
  <c r="A12661" i="19"/>
  <c r="A12660" i="19"/>
  <c r="A12659" i="19"/>
  <c r="A12658" i="19"/>
  <c r="A12657" i="19"/>
  <c r="A12656" i="19"/>
  <c r="A12655" i="19"/>
  <c r="A12654" i="19"/>
  <c r="A12653" i="19"/>
  <c r="A12652" i="19"/>
  <c r="A12651" i="19"/>
  <c r="A12650" i="19"/>
  <c r="A12649" i="19"/>
  <c r="A12648" i="19"/>
  <c r="A12647" i="19"/>
  <c r="A12646" i="19"/>
  <c r="A12645" i="19"/>
  <c r="A12644" i="19"/>
  <c r="A12643" i="19"/>
  <c r="A12642" i="19"/>
  <c r="A12641" i="19"/>
  <c r="A12640" i="19"/>
  <c r="A12639" i="19"/>
  <c r="A12638" i="19"/>
  <c r="A12637" i="19"/>
  <c r="A12636" i="19"/>
  <c r="A12635" i="19"/>
  <c r="A12634" i="19"/>
  <c r="A12633" i="19"/>
  <c r="A12632" i="19"/>
  <c r="A12631" i="19"/>
  <c r="A12630" i="19"/>
  <c r="A12629" i="19"/>
  <c r="A12628" i="19"/>
  <c r="A12627" i="19"/>
  <c r="A12626" i="19"/>
  <c r="A12625" i="19"/>
  <c r="A12624" i="19"/>
  <c r="A12623" i="19"/>
  <c r="A12622" i="19"/>
  <c r="A12621" i="19"/>
  <c r="A12620" i="19"/>
  <c r="A12619" i="19"/>
  <c r="A12618" i="19"/>
  <c r="A12617" i="19"/>
  <c r="A12616" i="19"/>
  <c r="A12615" i="19"/>
  <c r="A12614" i="19"/>
  <c r="A12613" i="19"/>
  <c r="A12612" i="19"/>
  <c r="A12611" i="19"/>
  <c r="A12610" i="19"/>
  <c r="A12609" i="19"/>
  <c r="A12608" i="19"/>
  <c r="A12607" i="19"/>
  <c r="A12606" i="19"/>
  <c r="A12605" i="19"/>
  <c r="A12604" i="19"/>
  <c r="A12603" i="19"/>
  <c r="A12602" i="19"/>
  <c r="A12601" i="19"/>
  <c r="A12600" i="19"/>
  <c r="A12599" i="19"/>
  <c r="A12598" i="19"/>
  <c r="A12597" i="19"/>
  <c r="A12596" i="19"/>
  <c r="A12595" i="19"/>
  <c r="A12594" i="19"/>
  <c r="A12593" i="19"/>
  <c r="A12592" i="19"/>
  <c r="A12591" i="19"/>
  <c r="A12590" i="19"/>
  <c r="A12589" i="19"/>
  <c r="A12588" i="19"/>
  <c r="A12587" i="19"/>
  <c r="A12586" i="19"/>
  <c r="A12585" i="19"/>
  <c r="A12584" i="19"/>
  <c r="A12583" i="19"/>
  <c r="A12582" i="19"/>
  <c r="A12581" i="19"/>
  <c r="A12580" i="19"/>
  <c r="A12579" i="19"/>
  <c r="A12578" i="19"/>
  <c r="A12577" i="19"/>
  <c r="A12576" i="19"/>
  <c r="A12575" i="19"/>
  <c r="A12574" i="19"/>
  <c r="A12573" i="19"/>
  <c r="A12572" i="19"/>
  <c r="A12571" i="19"/>
  <c r="A12570" i="19"/>
  <c r="A12569" i="19"/>
  <c r="A12568" i="19"/>
  <c r="A12567" i="19"/>
  <c r="A12566" i="19"/>
  <c r="A12565" i="19"/>
  <c r="A12564" i="19"/>
  <c r="A12563" i="19"/>
  <c r="A12562" i="19"/>
  <c r="A12561" i="19"/>
  <c r="A12560" i="19"/>
  <c r="A12559" i="19"/>
  <c r="A12558" i="19"/>
  <c r="A12557" i="19"/>
  <c r="A12556" i="19"/>
  <c r="A12555" i="19"/>
  <c r="A12554" i="19"/>
  <c r="A12553" i="19"/>
  <c r="A12552" i="19"/>
  <c r="A12551" i="19"/>
  <c r="A12550" i="19"/>
  <c r="A12549" i="19"/>
  <c r="A12548" i="19"/>
  <c r="A12547" i="19"/>
  <c r="A12546" i="19"/>
  <c r="A12545" i="19"/>
  <c r="A12544" i="19"/>
  <c r="A12543" i="19"/>
  <c r="A12542" i="19"/>
  <c r="A12541" i="19"/>
  <c r="A12540" i="19"/>
  <c r="A12539" i="19"/>
  <c r="A12538" i="19"/>
  <c r="A12537" i="19"/>
  <c r="A12536" i="19"/>
  <c r="A12535" i="19"/>
  <c r="A12534" i="19"/>
  <c r="A12533" i="19"/>
  <c r="A12532" i="19"/>
  <c r="A12531" i="19"/>
  <c r="A12530" i="19"/>
  <c r="A12529" i="19"/>
  <c r="A12528" i="19"/>
  <c r="A12527" i="19"/>
  <c r="A12526" i="19"/>
  <c r="A12525" i="19"/>
  <c r="A12524" i="19"/>
  <c r="A12523" i="19"/>
  <c r="A12522" i="19"/>
  <c r="A12521" i="19"/>
  <c r="A12520" i="19"/>
  <c r="A12519" i="19"/>
  <c r="A12518" i="19"/>
  <c r="A12517" i="19"/>
  <c r="A12516" i="19"/>
  <c r="A12515" i="19"/>
  <c r="A12514" i="19"/>
  <c r="A12513" i="19"/>
  <c r="A12512" i="19"/>
  <c r="A12511" i="19"/>
  <c r="A12510" i="19"/>
  <c r="A12509" i="19"/>
  <c r="A12508" i="19"/>
  <c r="A12507" i="19"/>
  <c r="A12506" i="19"/>
  <c r="A12505" i="19"/>
  <c r="A12504" i="19"/>
  <c r="A12503" i="19"/>
  <c r="A12502" i="19"/>
  <c r="A12501" i="19"/>
  <c r="A12500" i="19"/>
  <c r="A12499" i="19"/>
  <c r="A12498" i="19"/>
  <c r="A12497" i="19"/>
  <c r="A12496" i="19"/>
  <c r="A12495" i="19"/>
  <c r="A12494" i="19"/>
  <c r="A12493" i="19"/>
  <c r="A12492" i="19"/>
  <c r="A12491" i="19"/>
  <c r="A12490" i="19"/>
  <c r="A12489" i="19"/>
  <c r="A12488" i="19"/>
  <c r="A12487" i="19"/>
  <c r="A12486" i="19"/>
  <c r="A12485" i="19"/>
  <c r="A12484" i="19"/>
  <c r="A12483" i="19"/>
  <c r="A12482" i="19"/>
  <c r="A12481" i="19"/>
  <c r="A12480" i="19"/>
  <c r="A12479" i="19"/>
  <c r="A12478" i="19"/>
  <c r="A12477" i="19"/>
  <c r="A12476" i="19"/>
  <c r="A12475" i="19"/>
  <c r="A12474" i="19"/>
  <c r="A12473" i="19"/>
  <c r="A12472" i="19"/>
  <c r="A12471" i="19"/>
  <c r="A12470" i="19"/>
  <c r="A12469" i="19"/>
  <c r="A12468" i="19"/>
  <c r="A12467" i="19"/>
  <c r="A12466" i="19"/>
  <c r="A12465" i="19"/>
  <c r="A12464" i="19"/>
  <c r="A12463" i="19"/>
  <c r="A12462" i="19"/>
  <c r="A12461" i="19"/>
  <c r="A12460" i="19"/>
  <c r="A12459" i="19"/>
  <c r="A12458" i="19"/>
  <c r="A12457" i="19"/>
  <c r="A12456" i="19"/>
  <c r="A12455" i="19"/>
  <c r="A12454" i="19"/>
  <c r="A12453" i="19"/>
  <c r="A12452" i="19"/>
  <c r="A12451" i="19"/>
  <c r="A12450" i="19"/>
  <c r="A12449" i="19"/>
  <c r="A12448" i="19"/>
  <c r="A12447" i="19"/>
  <c r="A12446" i="19"/>
  <c r="A12445" i="19"/>
  <c r="A12444" i="19"/>
  <c r="A12443" i="19"/>
  <c r="A12442" i="19"/>
  <c r="A12441" i="19"/>
  <c r="A12440" i="19"/>
  <c r="A12439" i="19"/>
  <c r="A12438" i="19"/>
  <c r="A12437" i="19"/>
  <c r="A12436" i="19"/>
  <c r="A12435" i="19"/>
  <c r="A12434" i="19"/>
  <c r="A12433" i="19"/>
  <c r="A12432" i="19"/>
  <c r="A12431" i="19"/>
  <c r="A12430" i="19"/>
  <c r="A12429" i="19"/>
  <c r="A12428" i="19"/>
  <c r="A12427" i="19"/>
  <c r="A12426" i="19"/>
  <c r="A12425" i="19"/>
  <c r="A12424" i="19"/>
  <c r="A12423" i="19"/>
  <c r="A12422" i="19"/>
  <c r="A12421" i="19"/>
  <c r="A12420" i="19"/>
  <c r="A12419" i="19"/>
  <c r="A12418" i="19"/>
  <c r="A12417" i="19"/>
  <c r="A12416" i="19"/>
  <c r="A12415" i="19"/>
  <c r="A12414" i="19"/>
  <c r="A12413" i="19"/>
  <c r="A12412" i="19"/>
  <c r="A12411" i="19"/>
  <c r="A12410" i="19"/>
  <c r="A12409" i="19"/>
  <c r="A12408" i="19"/>
  <c r="A12407" i="19"/>
  <c r="A12406" i="19"/>
  <c r="A12405" i="19"/>
  <c r="A12404" i="19"/>
  <c r="A12403" i="19"/>
  <c r="A12402" i="19"/>
  <c r="A12401" i="19"/>
  <c r="A12400" i="19"/>
  <c r="A12399" i="19"/>
  <c r="A12398" i="19"/>
  <c r="A12397" i="19"/>
  <c r="A12396" i="19"/>
  <c r="A12395" i="19"/>
  <c r="A12394" i="19"/>
  <c r="A12393" i="19"/>
  <c r="A12392" i="19"/>
  <c r="A12391" i="19"/>
  <c r="A12390" i="19"/>
  <c r="A12389" i="19"/>
  <c r="A12388" i="19"/>
  <c r="A12387" i="19"/>
  <c r="A12386" i="19"/>
  <c r="A12385" i="19"/>
  <c r="A12384" i="19"/>
  <c r="A12383" i="19"/>
  <c r="A12382" i="19"/>
  <c r="A12381" i="19"/>
  <c r="A12380" i="19"/>
  <c r="A12379" i="19"/>
  <c r="A12378" i="19"/>
  <c r="A12377" i="19"/>
  <c r="A12376" i="19"/>
  <c r="A12375" i="19"/>
  <c r="A12374" i="19"/>
  <c r="A12373" i="19"/>
  <c r="A12372" i="19"/>
  <c r="A12371" i="19"/>
  <c r="A12370" i="19"/>
  <c r="A12369" i="19"/>
  <c r="A12368" i="19"/>
  <c r="A12367" i="19"/>
  <c r="A12366" i="19"/>
  <c r="A12365" i="19"/>
  <c r="A12364" i="19"/>
  <c r="A12363" i="19"/>
  <c r="A12362" i="19"/>
  <c r="A12361" i="19"/>
  <c r="A12360" i="19"/>
  <c r="A12359" i="19"/>
  <c r="A12358" i="19"/>
  <c r="A12357" i="19"/>
  <c r="A12356" i="19"/>
  <c r="A12355" i="19"/>
  <c r="A12354" i="19"/>
  <c r="A12353" i="19"/>
  <c r="A12352" i="19"/>
  <c r="A12351" i="19"/>
  <c r="A12350" i="19"/>
  <c r="A12349" i="19"/>
  <c r="A12348" i="19"/>
  <c r="A12347" i="19"/>
  <c r="A12346" i="19"/>
  <c r="A12345" i="19"/>
  <c r="A12344" i="19"/>
  <c r="A12343" i="19"/>
  <c r="A12342" i="19"/>
  <c r="A12341" i="19"/>
  <c r="A12340" i="19"/>
  <c r="A12339" i="19"/>
  <c r="A12338" i="19"/>
  <c r="A12337" i="19"/>
  <c r="A12336" i="19"/>
  <c r="A12335" i="19"/>
  <c r="A12334" i="19"/>
  <c r="A12333" i="19"/>
  <c r="A12332" i="19"/>
  <c r="A12331" i="19"/>
  <c r="A12330" i="19"/>
  <c r="A12329" i="19"/>
  <c r="A12328" i="19"/>
  <c r="A12327" i="19"/>
  <c r="A12326" i="19"/>
  <c r="A12325" i="19"/>
  <c r="A12324" i="19"/>
  <c r="A12323" i="19"/>
  <c r="A12322" i="19"/>
  <c r="A12321" i="19"/>
  <c r="A12320" i="19"/>
  <c r="A12319" i="19"/>
  <c r="A12318" i="19"/>
  <c r="A12317" i="19"/>
  <c r="A12316" i="19"/>
  <c r="A12315" i="19"/>
  <c r="A12314" i="19"/>
  <c r="A12313" i="19"/>
  <c r="A12312" i="19"/>
  <c r="A12311" i="19"/>
  <c r="A12310" i="19"/>
  <c r="A12309" i="19"/>
  <c r="A12308" i="19"/>
  <c r="A12307" i="19"/>
  <c r="A12306" i="19"/>
  <c r="A12305" i="19"/>
  <c r="A12304" i="19"/>
  <c r="A12303" i="19"/>
  <c r="A12302" i="19"/>
  <c r="A12301" i="19"/>
  <c r="A12300" i="19"/>
  <c r="A12299" i="19"/>
  <c r="A12298" i="19"/>
  <c r="A12297" i="19"/>
  <c r="A12296" i="19"/>
  <c r="A12295" i="19"/>
  <c r="A12294" i="19"/>
  <c r="A12293" i="19"/>
  <c r="A12292" i="19"/>
  <c r="A12291" i="19"/>
  <c r="A12290" i="19"/>
  <c r="A12289" i="19"/>
  <c r="A12288" i="19"/>
  <c r="A12287" i="19"/>
  <c r="A12286" i="19"/>
  <c r="A12285" i="19"/>
  <c r="A12284" i="19"/>
  <c r="A12283" i="19"/>
  <c r="A12282" i="19"/>
  <c r="A12281" i="19"/>
  <c r="A12280" i="19"/>
  <c r="A12279" i="19"/>
  <c r="A12278" i="19"/>
  <c r="A12277" i="19"/>
  <c r="A12276" i="19"/>
  <c r="A12275" i="19"/>
  <c r="A12274" i="19"/>
  <c r="A12273" i="19"/>
  <c r="A12272" i="19"/>
  <c r="A12271" i="19"/>
  <c r="A12270" i="19"/>
  <c r="A12269" i="19"/>
  <c r="A12268" i="19"/>
  <c r="A12267" i="19"/>
  <c r="A12266" i="19"/>
  <c r="A12265" i="19"/>
  <c r="A12264" i="19"/>
  <c r="A12263" i="19"/>
  <c r="A12262" i="19"/>
  <c r="A12261" i="19"/>
  <c r="A12260" i="19"/>
  <c r="A12259" i="19"/>
  <c r="A12258" i="19"/>
  <c r="A12257" i="19"/>
  <c r="A12256" i="19"/>
  <c r="A12255" i="19"/>
  <c r="A12254" i="19"/>
  <c r="A12253" i="19"/>
  <c r="A12252" i="19"/>
  <c r="A12251" i="19"/>
  <c r="A12250" i="19"/>
  <c r="A12249" i="19"/>
  <c r="A12248" i="19"/>
  <c r="A12247" i="19"/>
  <c r="A12246" i="19"/>
  <c r="A12245" i="19"/>
  <c r="A12244" i="19"/>
  <c r="A12243" i="19"/>
  <c r="A12242" i="19"/>
  <c r="A12241" i="19"/>
  <c r="A12240" i="19"/>
  <c r="A12239" i="19"/>
  <c r="A12238" i="19"/>
  <c r="A12237" i="19"/>
  <c r="A12236" i="19"/>
  <c r="A12235" i="19"/>
  <c r="A12234" i="19"/>
  <c r="A12233" i="19"/>
  <c r="A12232" i="19"/>
  <c r="A12231" i="19"/>
  <c r="A12230" i="19"/>
  <c r="A12229" i="19"/>
  <c r="A12228" i="19"/>
  <c r="A12227" i="19"/>
  <c r="A12226" i="19"/>
  <c r="A12225" i="19"/>
  <c r="A12224" i="19"/>
  <c r="A12223" i="19"/>
  <c r="A12222" i="19"/>
  <c r="A12221" i="19"/>
  <c r="A12220" i="19"/>
  <c r="A12219" i="19"/>
  <c r="A12218" i="19"/>
  <c r="A12217" i="19"/>
  <c r="A12216" i="19"/>
  <c r="A12215" i="19"/>
  <c r="A12214" i="19"/>
  <c r="A12213" i="19"/>
  <c r="A12212" i="19"/>
  <c r="A12211" i="19"/>
  <c r="A12210" i="19"/>
  <c r="A12209" i="19"/>
  <c r="A12208" i="19"/>
  <c r="A12207" i="19"/>
  <c r="A12206" i="19"/>
  <c r="A12205" i="19"/>
  <c r="A12204" i="19"/>
  <c r="A12203" i="19"/>
  <c r="A12202" i="19"/>
  <c r="A12201" i="19"/>
  <c r="A12200" i="19"/>
  <c r="A12199" i="19"/>
  <c r="A12198" i="19"/>
  <c r="A12197" i="19"/>
  <c r="A12196" i="19"/>
  <c r="A12195" i="19"/>
  <c r="A12194" i="19"/>
  <c r="A12193" i="19"/>
  <c r="A12192" i="19"/>
  <c r="A12191" i="19"/>
  <c r="A12190" i="19"/>
  <c r="A12189" i="19"/>
  <c r="A12188" i="19"/>
  <c r="A12187" i="19"/>
  <c r="A12186" i="19"/>
  <c r="A12185" i="19"/>
  <c r="A12184" i="19"/>
  <c r="A12183" i="19"/>
  <c r="A12182" i="19"/>
  <c r="A12181" i="19"/>
  <c r="A12180" i="19"/>
  <c r="A12179" i="19"/>
  <c r="A12178" i="19"/>
  <c r="A12177" i="19"/>
  <c r="A12176" i="19"/>
  <c r="A12175" i="19"/>
  <c r="A12174" i="19"/>
  <c r="A12173" i="19"/>
  <c r="A12172" i="19"/>
  <c r="A12171" i="19"/>
  <c r="A12170" i="19"/>
  <c r="A12169" i="19"/>
  <c r="A12168" i="19"/>
  <c r="A12167" i="19"/>
  <c r="A12166" i="19"/>
  <c r="A12165" i="19"/>
  <c r="A12164" i="19"/>
  <c r="A12163" i="19"/>
  <c r="A12162" i="19"/>
  <c r="A12161" i="19"/>
  <c r="A12160" i="19"/>
  <c r="A12159" i="19"/>
  <c r="A12158" i="19"/>
  <c r="A12157" i="19"/>
  <c r="A12156" i="19"/>
  <c r="A12155" i="19"/>
  <c r="A12154" i="19"/>
  <c r="A12153" i="19"/>
  <c r="A12152" i="19"/>
  <c r="A12151" i="19"/>
  <c r="A12150" i="19"/>
  <c r="A12149" i="19"/>
  <c r="A12148" i="19"/>
  <c r="A12147" i="19"/>
  <c r="A12146" i="19"/>
  <c r="A12145" i="19"/>
  <c r="A12144" i="19"/>
  <c r="A12143" i="19"/>
  <c r="A12142" i="19"/>
  <c r="A12141" i="19"/>
  <c r="A12140" i="19"/>
  <c r="A12139" i="19"/>
  <c r="A12138" i="19"/>
  <c r="A12137" i="19"/>
  <c r="A12136" i="19"/>
  <c r="A12135" i="19"/>
  <c r="A12134" i="19"/>
  <c r="A12133" i="19"/>
  <c r="A12132" i="19"/>
  <c r="A12131" i="19"/>
  <c r="A12130" i="19"/>
  <c r="A12129" i="19"/>
  <c r="A12128" i="19"/>
  <c r="A12127" i="19"/>
  <c r="A12126" i="19"/>
  <c r="A12125" i="19"/>
  <c r="A12124" i="19"/>
  <c r="A12123" i="19"/>
  <c r="A12122" i="19"/>
  <c r="A12121" i="19"/>
  <c r="A12120" i="19"/>
  <c r="A12119" i="19"/>
  <c r="A12118" i="19"/>
  <c r="A12117" i="19"/>
  <c r="A12116" i="19"/>
  <c r="A12115" i="19"/>
  <c r="A12114" i="19"/>
  <c r="A12113" i="19"/>
  <c r="A12112" i="19"/>
  <c r="A12111" i="19"/>
  <c r="A12110" i="19"/>
  <c r="A12109" i="19"/>
  <c r="A12108" i="19"/>
  <c r="A12107" i="19"/>
  <c r="A12106" i="19"/>
  <c r="A12105" i="19"/>
  <c r="A12104" i="19"/>
  <c r="A12103" i="19"/>
  <c r="A12102" i="19"/>
  <c r="A12101" i="19"/>
  <c r="A12100" i="19"/>
  <c r="A12099" i="19"/>
  <c r="A12098" i="19"/>
  <c r="A12097" i="19"/>
  <c r="A12096" i="19"/>
  <c r="A12095" i="19"/>
  <c r="A12094" i="19"/>
  <c r="A12093" i="19"/>
  <c r="A12092" i="19"/>
  <c r="A12091" i="19"/>
  <c r="A12090" i="19"/>
  <c r="A12089" i="19"/>
  <c r="A12088" i="19"/>
  <c r="A12087" i="19"/>
  <c r="A12086" i="19"/>
  <c r="A12085" i="19"/>
  <c r="A12084" i="19"/>
  <c r="A12083" i="19"/>
  <c r="A12082" i="19"/>
  <c r="A12081" i="19"/>
  <c r="A12080" i="19"/>
  <c r="A12079" i="19"/>
  <c r="A12078" i="19"/>
  <c r="A12077" i="19"/>
  <c r="A12076" i="19"/>
  <c r="A12075" i="19"/>
  <c r="A12074" i="19"/>
  <c r="A12073" i="19"/>
  <c r="A12072" i="19"/>
  <c r="A12071" i="19"/>
  <c r="A12070" i="19"/>
  <c r="A12069" i="19"/>
  <c r="A12068" i="19"/>
  <c r="A12067" i="19"/>
  <c r="A12066" i="19"/>
  <c r="A12065" i="19"/>
  <c r="A12064" i="19"/>
  <c r="A12063" i="19"/>
  <c r="A12062" i="19"/>
  <c r="A12061" i="19"/>
  <c r="A12060" i="19"/>
  <c r="A12059" i="19"/>
  <c r="A12058" i="19"/>
  <c r="A12057" i="19"/>
  <c r="A12056" i="19"/>
  <c r="A12055" i="19"/>
  <c r="A12054" i="19"/>
  <c r="A12053" i="19"/>
  <c r="A12052" i="19"/>
  <c r="A12051" i="19"/>
  <c r="A12050" i="19"/>
  <c r="A12049" i="19"/>
  <c r="A12048" i="19"/>
  <c r="A12047" i="19"/>
  <c r="A12046" i="19"/>
  <c r="A12045" i="19"/>
  <c r="A12044" i="19"/>
  <c r="A12043" i="19"/>
  <c r="A12042" i="19"/>
  <c r="A12041" i="19"/>
  <c r="A12040" i="19"/>
  <c r="A12039" i="19"/>
  <c r="A12038" i="19"/>
  <c r="A12037" i="19"/>
  <c r="A12036" i="19"/>
  <c r="A12035" i="19"/>
  <c r="A12034" i="19"/>
  <c r="A12033" i="19"/>
  <c r="A12032" i="19"/>
  <c r="A12031" i="19"/>
  <c r="A12030" i="19"/>
  <c r="A12029" i="19"/>
  <c r="A12028" i="19"/>
  <c r="A12027" i="19"/>
  <c r="A12026" i="19"/>
  <c r="A12025" i="19"/>
  <c r="A12024" i="19"/>
  <c r="A12023" i="19"/>
  <c r="A12022" i="19"/>
  <c r="A12021" i="19"/>
  <c r="A12020" i="19"/>
  <c r="A12019" i="19"/>
  <c r="A12018" i="19"/>
  <c r="A12017" i="19"/>
  <c r="A12016" i="19"/>
  <c r="A12015" i="19"/>
  <c r="A12014" i="19"/>
  <c r="A12013" i="19"/>
  <c r="A12012" i="19"/>
  <c r="A12011" i="19"/>
  <c r="A12010" i="19"/>
  <c r="A12009" i="19"/>
  <c r="A12008" i="19"/>
  <c r="A12007" i="19"/>
  <c r="A12006" i="19"/>
  <c r="A12005" i="19"/>
  <c r="A12004" i="19"/>
  <c r="A12003" i="19"/>
  <c r="A12002" i="19"/>
  <c r="A12001" i="19"/>
  <c r="A12000" i="19"/>
  <c r="A11999" i="19"/>
  <c r="A11998" i="19"/>
  <c r="A11997" i="19"/>
  <c r="A11996" i="19"/>
  <c r="A11995" i="19"/>
  <c r="A11994" i="19"/>
  <c r="A11993" i="19"/>
  <c r="A11992" i="19"/>
  <c r="A11991" i="19"/>
  <c r="A11990" i="19"/>
  <c r="A11989" i="19"/>
  <c r="A11988" i="19"/>
  <c r="A11987" i="19"/>
  <c r="A11986" i="19"/>
  <c r="A11985" i="19"/>
  <c r="A11984" i="19"/>
  <c r="A11983" i="19"/>
  <c r="A11982" i="19"/>
  <c r="A11981" i="19"/>
  <c r="A11980" i="19"/>
  <c r="A11979" i="19"/>
  <c r="A11978" i="19"/>
  <c r="A11977" i="19"/>
  <c r="A11976" i="19"/>
  <c r="A11975" i="19"/>
  <c r="A11974" i="19"/>
  <c r="A11973" i="19"/>
  <c r="A11972" i="19"/>
  <c r="A11971" i="19"/>
  <c r="A11970" i="19"/>
  <c r="A11969" i="19"/>
  <c r="A11968" i="19"/>
  <c r="A11967" i="19"/>
  <c r="A11966" i="19"/>
  <c r="A11965" i="19"/>
  <c r="A11964" i="19"/>
  <c r="A11963" i="19"/>
  <c r="A11962" i="19"/>
  <c r="A11961" i="19"/>
  <c r="A11960" i="19"/>
  <c r="A11959" i="19"/>
  <c r="A11958" i="19"/>
  <c r="A11957" i="19"/>
  <c r="A11956" i="19"/>
  <c r="A11955" i="19"/>
  <c r="A11954" i="19"/>
  <c r="A11953" i="19"/>
  <c r="A11952" i="19"/>
  <c r="A11951" i="19"/>
  <c r="A11950" i="19"/>
  <c r="A11949" i="19"/>
  <c r="A11948" i="19"/>
  <c r="A11947" i="19"/>
  <c r="A11946" i="19"/>
  <c r="A11945" i="19"/>
  <c r="A11944" i="19"/>
  <c r="A11943" i="19"/>
  <c r="A11942" i="19"/>
  <c r="A11941" i="19"/>
  <c r="A11940" i="19"/>
  <c r="A11939" i="19"/>
  <c r="A11938" i="19"/>
  <c r="A11937" i="19"/>
  <c r="A11936" i="19"/>
  <c r="A11935" i="19"/>
  <c r="A11934" i="19"/>
  <c r="A11933" i="19"/>
  <c r="A11932" i="19"/>
  <c r="A11931" i="19"/>
  <c r="A11930" i="19"/>
  <c r="A11929" i="19"/>
  <c r="A11928" i="19"/>
  <c r="A11927" i="19"/>
  <c r="A11926" i="19"/>
  <c r="A11925" i="19"/>
  <c r="A11924" i="19"/>
  <c r="A11923" i="19"/>
  <c r="A11922" i="19"/>
  <c r="A11921" i="19"/>
  <c r="A11920" i="19"/>
  <c r="A11919" i="19"/>
  <c r="A11918" i="19"/>
  <c r="A11917" i="19"/>
  <c r="A11916" i="19"/>
  <c r="A11915" i="19"/>
  <c r="A11914" i="19"/>
  <c r="A11913" i="19"/>
  <c r="A11912" i="19"/>
  <c r="A11911" i="19"/>
  <c r="A11910" i="19"/>
  <c r="A11909" i="19"/>
  <c r="A11908" i="19"/>
  <c r="A11907" i="19"/>
  <c r="A11906" i="19"/>
  <c r="A11905" i="19"/>
  <c r="A11904" i="19"/>
  <c r="A11903" i="19"/>
  <c r="A11902" i="19"/>
  <c r="A11901" i="19"/>
  <c r="A11900" i="19"/>
  <c r="A11899" i="19"/>
  <c r="A11898" i="19"/>
  <c r="A11897" i="19"/>
  <c r="A11896" i="19"/>
  <c r="A11895" i="19"/>
  <c r="A11894" i="19"/>
  <c r="A11893" i="19"/>
  <c r="A11892" i="19"/>
  <c r="A11891" i="19"/>
  <c r="A11890" i="19"/>
  <c r="A11889" i="19"/>
  <c r="A11888" i="19"/>
  <c r="A11887" i="19"/>
  <c r="A11886" i="19"/>
  <c r="A11885" i="19"/>
  <c r="A11884" i="19"/>
  <c r="A11883" i="19"/>
  <c r="A11882" i="19"/>
  <c r="A11881" i="19"/>
  <c r="A11880" i="19"/>
  <c r="A11879" i="19"/>
  <c r="A11878" i="19"/>
  <c r="A11877" i="19"/>
  <c r="A11876" i="19"/>
  <c r="A11875" i="19"/>
  <c r="A11874" i="19"/>
  <c r="A11873" i="19"/>
  <c r="A11872" i="19"/>
  <c r="A11871" i="19"/>
  <c r="A11870" i="19"/>
  <c r="A11869" i="19"/>
  <c r="A11868" i="19"/>
  <c r="A11867" i="19"/>
  <c r="A11866" i="19"/>
  <c r="A11865" i="19"/>
  <c r="A11864" i="19"/>
  <c r="A11863" i="19"/>
  <c r="A11862" i="19"/>
  <c r="A11861" i="19"/>
  <c r="A11860" i="19"/>
  <c r="A11859" i="19"/>
  <c r="A11858" i="19"/>
  <c r="A11857" i="19"/>
  <c r="A11856" i="19"/>
  <c r="A11855" i="19"/>
  <c r="A11854" i="19"/>
  <c r="A11853" i="19"/>
  <c r="A11852" i="19"/>
  <c r="A11851" i="19"/>
  <c r="A11850" i="19"/>
  <c r="A11849" i="19"/>
  <c r="A11848" i="19"/>
  <c r="A11847" i="19"/>
  <c r="A11846" i="19"/>
  <c r="A11845" i="19"/>
  <c r="A11844" i="19"/>
  <c r="A11843" i="19"/>
  <c r="A11842" i="19"/>
  <c r="A11841" i="19"/>
  <c r="A11840" i="19"/>
  <c r="A11839" i="19"/>
  <c r="A11838" i="19"/>
  <c r="A11837" i="19"/>
  <c r="A11836" i="19"/>
  <c r="A11835" i="19"/>
  <c r="A11834" i="19"/>
  <c r="A11833" i="19"/>
  <c r="A11832" i="19"/>
  <c r="A11831" i="19"/>
  <c r="A11830" i="19"/>
  <c r="A11829" i="19"/>
  <c r="A11828" i="19"/>
  <c r="A11827" i="19"/>
  <c r="A11826" i="19"/>
  <c r="A11825" i="19"/>
  <c r="A11824" i="19"/>
  <c r="A11823" i="19"/>
  <c r="A11822" i="19"/>
  <c r="A11821" i="19"/>
  <c r="A11820" i="19"/>
  <c r="A11819" i="19"/>
  <c r="A11818" i="19"/>
  <c r="A11817" i="19"/>
  <c r="A11816" i="19"/>
  <c r="A11815" i="19"/>
  <c r="A11814" i="19"/>
  <c r="A11813" i="19"/>
  <c r="A11812" i="19"/>
  <c r="A11811" i="19"/>
  <c r="A11810" i="19"/>
  <c r="A11809" i="19"/>
  <c r="A11808" i="19"/>
  <c r="A11807" i="19"/>
  <c r="A11806" i="19"/>
  <c r="A11805" i="19"/>
  <c r="A11804" i="19"/>
  <c r="A11803" i="19"/>
  <c r="A11802" i="19"/>
  <c r="A11801" i="19"/>
  <c r="A11800" i="19"/>
  <c r="A11799" i="19"/>
  <c r="A11798" i="19"/>
  <c r="A11797" i="19"/>
  <c r="A11796" i="19"/>
  <c r="A11795" i="19"/>
  <c r="A11794" i="19"/>
  <c r="A11793" i="19"/>
  <c r="A11792" i="19"/>
  <c r="A11791" i="19"/>
  <c r="A11790" i="19"/>
  <c r="A11789" i="19"/>
  <c r="A11788" i="19"/>
  <c r="A11787" i="19"/>
  <c r="A11786" i="19"/>
  <c r="A11785" i="19"/>
  <c r="A11784" i="19"/>
  <c r="A11783" i="19"/>
  <c r="A11782" i="19"/>
  <c r="A11781" i="19"/>
  <c r="A11780" i="19"/>
  <c r="A11779" i="19"/>
  <c r="A11778" i="19"/>
  <c r="A11777" i="19"/>
  <c r="A11776" i="19"/>
  <c r="A11775" i="19"/>
  <c r="A11774" i="19"/>
  <c r="A11773" i="19"/>
  <c r="A11772" i="19"/>
  <c r="A11771" i="19"/>
  <c r="A11770" i="19"/>
  <c r="A11769" i="19"/>
  <c r="A11768" i="19"/>
  <c r="A11767" i="19"/>
  <c r="A11766" i="19"/>
  <c r="A11765" i="19"/>
  <c r="A11764" i="19"/>
  <c r="A11763" i="19"/>
  <c r="A11762" i="19"/>
  <c r="A11761" i="19"/>
  <c r="A11760" i="19"/>
  <c r="A11759" i="19"/>
  <c r="A11758" i="19"/>
  <c r="A11757" i="19"/>
  <c r="A11756" i="19"/>
  <c r="A11755" i="19"/>
  <c r="A11754" i="19"/>
  <c r="A11753" i="19"/>
  <c r="A11752" i="19"/>
  <c r="A11751" i="19"/>
  <c r="A11750" i="19"/>
  <c r="A11749" i="19"/>
  <c r="A11748" i="19"/>
  <c r="A11747" i="19"/>
  <c r="A11746" i="19"/>
  <c r="A11745" i="19"/>
  <c r="A11744" i="19"/>
  <c r="A11743" i="19"/>
  <c r="A11742" i="19"/>
  <c r="A11741" i="19"/>
  <c r="A11740" i="19"/>
  <c r="A11739" i="19"/>
  <c r="A11738" i="19"/>
  <c r="A11737" i="19"/>
  <c r="A11736" i="19"/>
  <c r="A11735" i="19"/>
  <c r="A11734" i="19"/>
  <c r="A11733" i="19"/>
  <c r="A11732" i="19"/>
  <c r="A11731" i="19"/>
  <c r="A11730" i="19"/>
  <c r="A11729" i="19"/>
  <c r="A11728" i="19"/>
  <c r="A11727" i="19"/>
  <c r="A11726" i="19"/>
  <c r="A11725" i="19"/>
  <c r="A11724" i="19"/>
  <c r="A11723" i="19"/>
  <c r="A11722" i="19"/>
  <c r="A11721" i="19"/>
  <c r="A11720" i="19"/>
  <c r="A11719" i="19"/>
  <c r="A11718" i="19"/>
  <c r="A11717" i="19"/>
  <c r="A11716" i="19"/>
  <c r="A11715" i="19"/>
  <c r="A11714" i="19"/>
  <c r="A11713" i="19"/>
  <c r="A11712" i="19"/>
  <c r="A11711" i="19"/>
  <c r="A11710" i="19"/>
  <c r="A11709" i="19"/>
  <c r="A11708" i="19"/>
  <c r="A11707" i="19"/>
  <c r="A11706" i="19"/>
  <c r="A11705" i="19"/>
  <c r="A11704" i="19"/>
  <c r="A11703" i="19"/>
  <c r="A11702" i="19"/>
  <c r="A11701" i="19"/>
  <c r="A11700" i="19"/>
  <c r="A11699" i="19"/>
  <c r="A11698" i="19"/>
  <c r="A11697" i="19"/>
  <c r="A11696" i="19"/>
  <c r="A11695" i="19"/>
  <c r="A11694" i="19"/>
  <c r="A11693" i="19"/>
  <c r="A11692" i="19"/>
  <c r="A11691" i="19"/>
  <c r="A11690" i="19"/>
  <c r="A11689" i="19"/>
  <c r="A11688" i="19"/>
  <c r="A11687" i="19"/>
  <c r="A11686" i="19"/>
  <c r="A11685" i="19"/>
  <c r="A11684" i="19"/>
  <c r="A11683" i="19"/>
  <c r="A11682" i="19"/>
  <c r="A11681" i="19"/>
  <c r="A11680" i="19"/>
  <c r="A11679" i="19"/>
  <c r="A11678" i="19"/>
  <c r="A11677" i="19"/>
  <c r="A11676" i="19"/>
  <c r="A11675" i="19"/>
  <c r="A11674" i="19"/>
  <c r="A11673" i="19"/>
  <c r="A11672" i="19"/>
  <c r="A11671" i="19"/>
  <c r="A11670" i="19"/>
  <c r="A11669" i="19"/>
  <c r="A11668" i="19"/>
  <c r="A11667" i="19"/>
  <c r="A11666" i="19"/>
  <c r="A11665" i="19"/>
  <c r="A11664" i="19"/>
  <c r="A11663" i="19"/>
  <c r="A11662" i="19"/>
  <c r="A11661" i="19"/>
  <c r="A11660" i="19"/>
  <c r="A11659" i="19"/>
  <c r="A11658" i="19"/>
  <c r="A11657" i="19"/>
  <c r="A11656" i="19"/>
  <c r="A11655" i="19"/>
  <c r="A11654" i="19"/>
  <c r="A11653" i="19"/>
  <c r="A11652" i="19"/>
  <c r="A11651" i="19"/>
  <c r="A11650" i="19"/>
  <c r="A11649" i="19"/>
  <c r="A11648" i="19"/>
  <c r="A11647" i="19"/>
  <c r="A11646" i="19"/>
  <c r="A11645" i="19"/>
  <c r="A11644" i="19"/>
  <c r="A11643" i="19"/>
  <c r="A11642" i="19"/>
  <c r="A11641" i="19"/>
  <c r="A11640" i="19"/>
  <c r="A11639" i="19"/>
  <c r="A11638" i="19"/>
  <c r="A11637" i="19"/>
  <c r="A11636" i="19"/>
  <c r="A11635" i="19"/>
  <c r="A11634" i="19"/>
  <c r="A11633" i="19"/>
  <c r="A11632" i="19"/>
  <c r="A11631" i="19"/>
  <c r="A11630" i="19"/>
  <c r="A11629" i="19"/>
  <c r="A11628" i="19"/>
  <c r="A11627" i="19"/>
  <c r="A11626" i="19"/>
  <c r="A11625" i="19"/>
  <c r="A11624" i="19"/>
  <c r="A11623" i="19"/>
  <c r="A11622" i="19"/>
  <c r="A11621" i="19"/>
  <c r="A11620" i="19"/>
  <c r="A11619" i="19"/>
  <c r="A11618" i="19"/>
  <c r="A11617" i="19"/>
  <c r="A11616" i="19"/>
  <c r="A11615" i="19"/>
  <c r="A11614" i="19"/>
  <c r="A11613" i="19"/>
  <c r="A11612" i="19"/>
  <c r="A11611" i="19"/>
  <c r="A11610" i="19"/>
  <c r="A11609" i="19"/>
  <c r="A11608" i="19"/>
  <c r="A11607" i="19"/>
  <c r="A11606" i="19"/>
  <c r="A11605" i="19"/>
  <c r="A11604" i="19"/>
  <c r="A11603" i="19"/>
  <c r="A11602" i="19"/>
  <c r="A11601" i="19"/>
  <c r="A11600" i="19"/>
  <c r="A11599" i="19"/>
  <c r="A11598" i="19"/>
  <c r="A11597" i="19"/>
  <c r="A11596" i="19"/>
  <c r="A11595" i="19"/>
  <c r="A11594" i="19"/>
  <c r="A11593" i="19"/>
  <c r="A11592" i="19"/>
  <c r="A11591" i="19"/>
  <c r="A11590" i="19"/>
  <c r="A11589" i="19"/>
  <c r="A11588" i="19"/>
  <c r="A11587" i="19"/>
  <c r="A11586" i="19"/>
  <c r="A11585" i="19"/>
  <c r="A11584" i="19"/>
  <c r="A11583" i="19"/>
  <c r="A11582" i="19"/>
  <c r="A11581" i="19"/>
  <c r="A11580" i="19"/>
  <c r="A11579" i="19"/>
  <c r="A11578" i="19"/>
  <c r="A11577" i="19"/>
  <c r="A11576" i="19"/>
  <c r="A11575" i="19"/>
  <c r="A11574" i="19"/>
  <c r="A11573" i="19"/>
  <c r="A11572" i="19"/>
  <c r="A11571" i="19"/>
  <c r="A11570" i="19"/>
  <c r="A11569" i="19"/>
  <c r="A11568" i="19"/>
  <c r="A11567" i="19"/>
  <c r="A11566" i="19"/>
  <c r="A11565" i="19"/>
  <c r="A11564" i="19"/>
  <c r="A11563" i="19"/>
  <c r="A11562" i="19"/>
  <c r="A11561" i="19"/>
  <c r="A11560" i="19"/>
  <c r="A11559" i="19"/>
  <c r="A11558" i="19"/>
  <c r="A11557" i="19"/>
  <c r="A11556" i="19"/>
  <c r="A11555" i="19"/>
  <c r="A11554" i="19"/>
  <c r="A11553" i="19"/>
  <c r="A11552" i="19"/>
  <c r="A11551" i="19"/>
  <c r="A11550" i="19"/>
  <c r="A11549" i="19"/>
  <c r="A11548" i="19"/>
  <c r="A11547" i="19"/>
  <c r="A11546" i="19"/>
  <c r="A11545" i="19"/>
  <c r="A11544" i="19"/>
  <c r="A11543" i="19"/>
  <c r="A11542" i="19"/>
  <c r="A11541" i="19"/>
  <c r="A11540" i="19"/>
  <c r="A11539" i="19"/>
  <c r="A11538" i="19"/>
  <c r="A11537" i="19"/>
  <c r="A11536" i="19"/>
  <c r="A11535" i="19"/>
  <c r="A11534" i="19"/>
  <c r="A11533" i="19"/>
  <c r="A11532" i="19"/>
  <c r="A11531" i="19"/>
  <c r="A11530" i="19"/>
  <c r="A11529" i="19"/>
  <c r="A11528" i="19"/>
  <c r="A11527" i="19"/>
  <c r="A11526" i="19"/>
  <c r="A11525" i="19"/>
  <c r="A11524" i="19"/>
  <c r="A11523" i="19"/>
  <c r="A11522" i="19"/>
  <c r="A11521" i="19"/>
  <c r="A11520" i="19"/>
  <c r="A11519" i="19"/>
  <c r="A11518" i="19"/>
  <c r="A11517" i="19"/>
  <c r="A11516" i="19"/>
  <c r="A11515" i="19"/>
  <c r="A11514" i="19"/>
  <c r="A11513" i="19"/>
  <c r="A11512" i="19"/>
  <c r="A11511" i="19"/>
  <c r="A11510" i="19"/>
  <c r="A11509" i="19"/>
  <c r="A11508" i="19"/>
  <c r="A11507" i="19"/>
  <c r="A11506" i="19"/>
  <c r="A11505" i="19"/>
  <c r="A11504" i="19"/>
  <c r="A11503" i="19"/>
  <c r="A11502" i="19"/>
  <c r="A11501" i="19"/>
  <c r="A11500" i="19"/>
  <c r="A11499" i="19"/>
  <c r="A11498" i="19"/>
  <c r="A11497" i="19"/>
  <c r="A11496" i="19"/>
  <c r="A11495" i="19"/>
  <c r="A11494" i="19"/>
  <c r="A11493" i="19"/>
  <c r="A11492" i="19"/>
  <c r="A11491" i="19"/>
  <c r="A11490" i="19"/>
  <c r="A11489" i="19"/>
  <c r="A11488" i="19"/>
  <c r="A11487" i="19"/>
  <c r="A11486" i="19"/>
  <c r="A11485" i="19"/>
  <c r="A11484" i="19"/>
  <c r="A11483" i="19"/>
  <c r="A11482" i="19"/>
  <c r="A11481" i="19"/>
  <c r="A11480" i="19"/>
  <c r="A11479" i="19"/>
  <c r="A11478" i="19"/>
  <c r="A11477" i="19"/>
  <c r="A11476" i="19"/>
  <c r="A11475" i="19"/>
  <c r="A11474" i="19"/>
  <c r="A11473" i="19"/>
  <c r="A11472" i="19"/>
  <c r="A11471" i="19"/>
  <c r="A11470" i="19"/>
  <c r="A11469" i="19"/>
  <c r="A11468" i="19"/>
  <c r="A11467" i="19"/>
  <c r="A11466" i="19"/>
  <c r="A11465" i="19"/>
  <c r="A11464" i="19"/>
  <c r="A11463" i="19"/>
  <c r="A11462" i="19"/>
  <c r="A11461" i="19"/>
  <c r="A11460" i="19"/>
  <c r="A11459" i="19"/>
  <c r="A11458" i="19"/>
  <c r="A11457" i="19"/>
  <c r="A11456" i="19"/>
  <c r="A11455" i="19"/>
  <c r="A11454" i="19"/>
  <c r="A11453" i="19"/>
  <c r="A11452" i="19"/>
  <c r="A11451" i="19"/>
  <c r="A11450" i="19"/>
  <c r="A11449" i="19"/>
  <c r="A11448" i="19"/>
  <c r="A11447" i="19"/>
  <c r="A11446" i="19"/>
  <c r="A11445" i="19"/>
  <c r="A11444" i="19"/>
  <c r="A11443" i="19"/>
  <c r="A11442" i="19"/>
  <c r="A11441" i="19"/>
  <c r="A11440" i="19"/>
  <c r="A11439" i="19"/>
  <c r="A11438" i="19"/>
  <c r="A11437" i="19"/>
  <c r="A11436" i="19"/>
  <c r="A11435" i="19"/>
  <c r="A11434" i="19"/>
  <c r="A11433" i="19"/>
  <c r="A11432" i="19"/>
  <c r="A11431" i="19"/>
  <c r="A11430" i="19"/>
  <c r="A11429" i="19"/>
  <c r="A11428" i="19"/>
  <c r="A11427" i="19"/>
  <c r="A11426" i="19"/>
  <c r="A11425" i="19"/>
  <c r="A11424" i="19"/>
  <c r="A11423" i="19"/>
  <c r="A11422" i="19"/>
  <c r="A11421" i="19"/>
  <c r="A11420" i="19"/>
  <c r="A11419" i="19"/>
  <c r="A11418" i="19"/>
  <c r="A11417" i="19"/>
  <c r="A11416" i="19"/>
  <c r="A11415" i="19"/>
  <c r="A11414" i="19"/>
  <c r="A11413" i="19"/>
  <c r="A11412" i="19"/>
  <c r="A11411" i="19"/>
  <c r="A11410" i="19"/>
  <c r="A11409" i="19"/>
  <c r="A11408" i="19"/>
  <c r="A11407" i="19"/>
  <c r="A11406" i="19"/>
  <c r="A11405" i="19"/>
  <c r="A11404" i="19"/>
  <c r="A11403" i="19"/>
  <c r="A11402" i="19"/>
  <c r="A11401" i="19"/>
  <c r="A11400" i="19"/>
  <c r="A11399" i="19"/>
  <c r="A11398" i="19"/>
  <c r="A11397" i="19"/>
  <c r="A11396" i="19"/>
  <c r="A11395" i="19"/>
  <c r="A11394" i="19"/>
  <c r="A11393" i="19"/>
  <c r="A11392" i="19"/>
  <c r="A11391" i="19"/>
  <c r="A11390" i="19"/>
  <c r="A11389" i="19"/>
  <c r="A11388" i="19"/>
  <c r="A11387" i="19"/>
  <c r="A11386" i="19"/>
  <c r="A11385" i="19"/>
  <c r="A11384" i="19"/>
  <c r="A11383" i="19"/>
  <c r="A11382" i="19"/>
  <c r="A11381" i="19"/>
  <c r="A11380" i="19"/>
  <c r="A11379" i="19"/>
  <c r="A11378" i="19"/>
  <c r="A11377" i="19"/>
  <c r="A11376" i="19"/>
  <c r="A11375" i="19"/>
  <c r="A11374" i="19"/>
  <c r="A11373" i="19"/>
  <c r="A11372" i="19"/>
  <c r="A11371" i="19"/>
  <c r="A11370" i="19"/>
  <c r="A11369" i="19"/>
  <c r="A11368" i="19"/>
  <c r="A11367" i="19"/>
  <c r="A11366" i="19"/>
  <c r="A11365" i="19"/>
  <c r="A11364" i="19"/>
  <c r="A11363" i="19"/>
  <c r="A11362" i="19"/>
  <c r="A11361" i="19"/>
  <c r="A11360" i="19"/>
  <c r="A11359" i="19"/>
  <c r="A11358" i="19"/>
  <c r="A11357" i="19"/>
  <c r="A11356" i="19"/>
  <c r="A11355" i="19"/>
  <c r="A11354" i="19"/>
  <c r="A11353" i="19"/>
  <c r="A11352" i="19"/>
  <c r="A11351" i="19"/>
  <c r="A11350" i="19"/>
  <c r="A11349" i="19"/>
  <c r="A11348" i="19"/>
  <c r="A11347" i="19"/>
  <c r="A11346" i="19"/>
  <c r="A11345" i="19"/>
  <c r="A11344" i="19"/>
  <c r="A11343" i="19"/>
  <c r="A11342" i="19"/>
  <c r="A11341" i="19"/>
  <c r="A11340" i="19"/>
  <c r="A11339" i="19"/>
  <c r="A11338" i="19"/>
  <c r="A11337" i="19"/>
  <c r="A11336" i="19"/>
  <c r="A11335" i="19"/>
  <c r="A11334" i="19"/>
  <c r="A11333" i="19"/>
  <c r="A11332" i="19"/>
  <c r="A11331" i="19"/>
  <c r="A11330" i="19"/>
  <c r="A11329" i="19"/>
  <c r="A11328" i="19"/>
  <c r="A11327" i="19"/>
  <c r="A11326" i="19"/>
  <c r="A11325" i="19"/>
  <c r="A11324" i="19"/>
  <c r="A11323" i="19"/>
  <c r="A11322" i="19"/>
  <c r="A11321" i="19"/>
  <c r="A11320" i="19"/>
  <c r="A11319" i="19"/>
  <c r="A11318" i="19"/>
  <c r="A11317" i="19"/>
  <c r="A11316" i="19"/>
  <c r="A11315" i="19"/>
  <c r="A11314" i="19"/>
  <c r="A11313" i="19"/>
  <c r="A11312" i="19"/>
  <c r="A11311" i="19"/>
  <c r="A11310" i="19"/>
  <c r="A11309" i="19"/>
  <c r="A11308" i="19"/>
  <c r="A11307" i="19"/>
  <c r="A11306" i="19"/>
  <c r="A11305" i="19"/>
  <c r="A11304" i="19"/>
  <c r="A11303" i="19"/>
  <c r="A11302" i="19"/>
  <c r="A11301" i="19"/>
  <c r="A11300" i="19"/>
  <c r="A11299" i="19"/>
  <c r="A11298" i="19"/>
  <c r="A11297" i="19"/>
  <c r="A11296" i="19"/>
  <c r="A11295" i="19"/>
  <c r="A11294" i="19"/>
  <c r="A11293" i="19"/>
  <c r="A11292" i="19"/>
  <c r="A11291" i="19"/>
  <c r="A11290" i="19"/>
  <c r="A11289" i="19"/>
  <c r="A11288" i="19"/>
  <c r="A11287" i="19"/>
  <c r="A11286" i="19"/>
  <c r="A11285" i="19"/>
  <c r="A11284" i="19"/>
  <c r="A11283" i="19"/>
  <c r="A11282" i="19"/>
  <c r="A11281" i="19"/>
  <c r="A11280" i="19"/>
  <c r="A11279" i="19"/>
  <c r="A11278" i="19"/>
  <c r="A11277" i="19"/>
  <c r="A11276" i="19"/>
  <c r="A11275" i="19"/>
  <c r="A11274" i="19"/>
  <c r="A11273" i="19"/>
  <c r="A11272" i="19"/>
  <c r="A11271" i="19"/>
  <c r="A11270" i="19"/>
  <c r="A11269" i="19"/>
  <c r="A11268" i="19"/>
  <c r="A11267" i="19"/>
  <c r="A11266" i="19"/>
  <c r="A11265" i="19"/>
  <c r="A11264" i="19"/>
  <c r="A11263" i="19"/>
  <c r="A11262" i="19"/>
  <c r="A11261" i="19"/>
  <c r="A11260" i="19"/>
  <c r="A11259" i="19"/>
  <c r="A11258" i="19"/>
  <c r="A11257" i="19"/>
  <c r="A11256" i="19"/>
  <c r="A11255" i="19"/>
  <c r="A11254" i="19"/>
  <c r="A11253" i="19"/>
  <c r="A11252" i="19"/>
  <c r="A11251" i="19"/>
  <c r="A11250" i="19"/>
  <c r="A11249" i="19"/>
  <c r="A11248" i="19"/>
  <c r="A11247" i="19"/>
  <c r="A11246" i="19"/>
  <c r="A11245" i="19"/>
  <c r="A11244" i="19"/>
  <c r="A11243" i="19"/>
  <c r="A11242" i="19"/>
  <c r="A11241" i="19"/>
  <c r="A11240" i="19"/>
  <c r="A11239" i="19"/>
  <c r="A11238" i="19"/>
  <c r="A11237" i="19"/>
  <c r="A11236" i="19"/>
  <c r="A11235" i="19"/>
  <c r="A11234" i="19"/>
  <c r="A11233" i="19"/>
  <c r="A11232" i="19"/>
  <c r="A11231" i="19"/>
  <c r="A11230" i="19"/>
  <c r="A11229" i="19"/>
  <c r="A11228" i="19"/>
  <c r="A11227" i="19"/>
  <c r="A11226" i="19"/>
  <c r="A11225" i="19"/>
  <c r="A11224" i="19"/>
  <c r="A11223" i="19"/>
  <c r="A11222" i="19"/>
  <c r="A11221" i="19"/>
  <c r="A11220" i="19"/>
  <c r="A11219" i="19"/>
  <c r="A11218" i="19"/>
  <c r="A11217" i="19"/>
  <c r="A11216" i="19"/>
  <c r="A11215" i="19"/>
  <c r="A11214" i="19"/>
  <c r="A11213" i="19"/>
  <c r="A11212" i="19"/>
  <c r="A11211" i="19"/>
  <c r="A11210" i="19"/>
  <c r="A11209" i="19"/>
  <c r="A11208" i="19"/>
  <c r="A11207" i="19"/>
  <c r="A11206" i="19"/>
  <c r="A11205" i="19"/>
  <c r="A11204" i="19"/>
  <c r="A11203" i="19"/>
  <c r="A11202" i="19"/>
  <c r="A11201" i="19"/>
  <c r="A11200" i="19"/>
  <c r="A11199" i="19"/>
  <c r="A11198" i="19"/>
  <c r="A11197" i="19"/>
  <c r="A11196" i="19"/>
  <c r="A11195" i="19"/>
  <c r="A11194" i="19"/>
  <c r="A11193" i="19"/>
  <c r="A11192" i="19"/>
  <c r="A11191" i="19"/>
  <c r="A11190" i="19"/>
  <c r="A11189" i="19"/>
  <c r="A11188" i="19"/>
  <c r="A11187" i="19"/>
  <c r="A11186" i="19"/>
  <c r="A11185" i="19"/>
  <c r="A11184" i="19"/>
  <c r="A11183" i="19"/>
  <c r="A11182" i="19"/>
  <c r="A11181" i="19"/>
  <c r="A11180" i="19"/>
  <c r="A11179" i="19"/>
  <c r="A11178" i="19"/>
  <c r="A11177" i="19"/>
  <c r="A11176" i="19"/>
  <c r="A11175" i="19"/>
  <c r="A11174" i="19"/>
  <c r="A11173" i="19"/>
  <c r="A11172" i="19"/>
  <c r="A11171" i="19"/>
  <c r="A11170" i="19"/>
  <c r="A11169" i="19"/>
  <c r="A11168" i="19"/>
  <c r="A11167" i="19"/>
  <c r="A11166" i="19"/>
  <c r="A11165" i="19"/>
  <c r="A11164" i="19"/>
  <c r="A11163" i="19"/>
  <c r="A11162" i="19"/>
  <c r="A11161" i="19"/>
  <c r="A11160" i="19"/>
  <c r="A11159" i="19"/>
  <c r="A11158" i="19"/>
  <c r="A11157" i="19"/>
  <c r="A11156" i="19"/>
  <c r="A11155" i="19"/>
  <c r="A11154" i="19"/>
  <c r="A11153" i="19"/>
  <c r="A11152" i="19"/>
  <c r="A11151" i="19"/>
  <c r="A11150" i="19"/>
  <c r="A11149" i="19"/>
  <c r="A11148" i="19"/>
  <c r="A11147" i="19"/>
  <c r="A11146" i="19"/>
  <c r="A11145" i="19"/>
  <c r="A11144" i="19"/>
  <c r="A11143" i="19"/>
  <c r="A11142" i="19"/>
  <c r="A11141" i="19"/>
  <c r="A11140" i="19"/>
  <c r="A11139" i="19"/>
  <c r="A11138" i="19"/>
  <c r="A11137" i="19"/>
  <c r="A11136" i="19"/>
  <c r="A11135" i="19"/>
  <c r="A11134" i="19"/>
  <c r="A11133" i="19"/>
  <c r="A11132" i="19"/>
  <c r="A11131" i="19"/>
  <c r="A11130" i="19"/>
  <c r="A11129" i="19"/>
  <c r="A11128" i="19"/>
  <c r="A11127" i="19"/>
  <c r="A11126" i="19"/>
  <c r="A11125" i="19"/>
  <c r="A11124" i="19"/>
  <c r="A11123" i="19"/>
  <c r="A11122" i="19"/>
  <c r="A11121" i="19"/>
  <c r="A11120" i="19"/>
  <c r="A11119" i="19"/>
  <c r="A11118" i="19"/>
  <c r="A11117" i="19"/>
  <c r="A11116" i="19"/>
  <c r="A11115" i="19"/>
  <c r="A11114" i="19"/>
  <c r="A11113" i="19"/>
  <c r="A11112" i="19"/>
  <c r="A11111" i="19"/>
  <c r="A11110" i="19"/>
  <c r="A11109" i="19"/>
  <c r="A11108" i="19"/>
  <c r="A11107" i="19"/>
  <c r="A11106" i="19"/>
  <c r="A11105" i="19"/>
  <c r="A11104" i="19"/>
  <c r="A11103" i="19"/>
  <c r="A11102" i="19"/>
  <c r="A11101" i="19"/>
  <c r="A11100" i="19"/>
  <c r="A11099" i="19"/>
  <c r="A11098" i="19"/>
  <c r="A11097" i="19"/>
  <c r="A11096" i="19"/>
  <c r="A11095" i="19"/>
  <c r="A11094" i="19"/>
  <c r="A11093" i="19"/>
  <c r="A11092" i="19"/>
  <c r="A11091" i="19"/>
  <c r="A11090" i="19"/>
  <c r="A11089" i="19"/>
  <c r="A11088" i="19"/>
  <c r="A11087" i="19"/>
  <c r="A11086" i="19"/>
  <c r="A11085" i="19"/>
  <c r="A11084" i="19"/>
  <c r="A11083" i="19"/>
  <c r="A11082" i="19"/>
  <c r="A11081" i="19"/>
  <c r="A11080" i="19"/>
  <c r="A11079" i="19"/>
  <c r="A11078" i="19"/>
  <c r="A11077" i="19"/>
  <c r="A11076" i="19"/>
  <c r="A11075" i="19"/>
  <c r="A11074" i="19"/>
  <c r="A11073" i="19"/>
  <c r="A11072" i="19"/>
  <c r="A11071" i="19"/>
  <c r="A11070" i="19"/>
  <c r="A11069" i="19"/>
  <c r="A11068" i="19"/>
  <c r="A11067" i="19"/>
  <c r="A11066" i="19"/>
  <c r="A11065" i="19"/>
  <c r="A11064" i="19"/>
  <c r="A11063" i="19"/>
  <c r="A11062" i="19"/>
  <c r="A11061" i="19"/>
  <c r="A11060" i="19"/>
  <c r="A11059" i="19"/>
  <c r="A11058" i="19"/>
  <c r="A11057" i="19"/>
  <c r="A11056" i="19"/>
  <c r="A11055" i="19"/>
  <c r="A11054" i="19"/>
  <c r="A11053" i="19"/>
  <c r="A11052" i="19"/>
  <c r="A11051" i="19"/>
  <c r="A11050" i="19"/>
  <c r="A11049" i="19"/>
  <c r="A11048" i="19"/>
  <c r="A11047" i="19"/>
  <c r="A11046" i="19"/>
  <c r="A11045" i="19"/>
  <c r="A11044" i="19"/>
  <c r="A11043" i="19"/>
  <c r="A11042" i="19"/>
  <c r="A11041" i="19"/>
  <c r="A11040" i="19"/>
  <c r="A11039" i="19"/>
  <c r="A11038" i="19"/>
  <c r="A11037" i="19"/>
  <c r="A11036" i="19"/>
  <c r="A11035" i="19"/>
  <c r="A11034" i="19"/>
  <c r="A11033" i="19"/>
  <c r="A11032" i="19"/>
  <c r="A11031" i="19"/>
  <c r="A11030" i="19"/>
  <c r="A11029" i="19"/>
  <c r="A11028" i="19"/>
  <c r="A11027" i="19"/>
  <c r="A11026" i="19"/>
  <c r="A11025" i="19"/>
  <c r="A11024" i="19"/>
  <c r="A11023" i="19"/>
  <c r="A11022" i="19"/>
  <c r="A11021" i="19"/>
  <c r="A11020" i="19"/>
  <c r="A11019" i="19"/>
  <c r="A11018" i="19"/>
  <c r="A11017" i="19"/>
  <c r="A11016" i="19"/>
  <c r="A11015" i="19"/>
  <c r="A11014" i="19"/>
  <c r="A11013" i="19"/>
  <c r="A11012" i="19"/>
  <c r="A11011" i="19"/>
  <c r="A11010" i="19"/>
  <c r="A11009" i="19"/>
  <c r="A11008" i="19"/>
  <c r="A11007" i="19"/>
  <c r="A11006" i="19"/>
  <c r="A11005" i="19"/>
  <c r="A11004" i="19"/>
  <c r="A11003" i="19"/>
  <c r="A11002" i="19"/>
  <c r="A11001" i="19"/>
  <c r="A11000" i="19"/>
  <c r="A10999" i="19"/>
  <c r="A10998" i="19"/>
  <c r="A10997" i="19"/>
  <c r="A10996" i="19"/>
  <c r="A10995" i="19"/>
  <c r="A10994" i="19"/>
  <c r="A10993" i="19"/>
  <c r="A10992" i="19"/>
  <c r="A10991" i="19"/>
  <c r="A10990" i="19"/>
  <c r="A10989" i="19"/>
  <c r="A10988" i="19"/>
  <c r="A10987" i="19"/>
  <c r="A10986" i="19"/>
  <c r="A10985" i="19"/>
  <c r="A10984" i="19"/>
  <c r="A10983" i="19"/>
  <c r="A10982" i="19"/>
  <c r="A10981" i="19"/>
  <c r="A10980" i="19"/>
  <c r="A10979" i="19"/>
  <c r="A10978" i="19"/>
  <c r="A10977" i="19"/>
  <c r="A10976" i="19"/>
  <c r="A10975" i="19"/>
  <c r="A10974" i="19"/>
  <c r="A10973" i="19"/>
  <c r="A10972" i="19"/>
  <c r="A10971" i="19"/>
  <c r="A10970" i="19"/>
  <c r="A10969" i="19"/>
  <c r="A10968" i="19"/>
  <c r="A10967" i="19"/>
  <c r="A10966" i="19"/>
  <c r="A10965" i="19"/>
  <c r="A10964" i="19"/>
  <c r="A10963" i="19"/>
  <c r="A10962" i="19"/>
  <c r="A10961" i="19"/>
  <c r="A10960" i="19"/>
  <c r="A10959" i="19"/>
  <c r="A10958" i="19"/>
  <c r="A10957" i="19"/>
  <c r="A10956" i="19"/>
  <c r="A10955" i="19"/>
  <c r="A10954" i="19"/>
  <c r="A10953" i="19"/>
  <c r="A10952" i="19"/>
  <c r="A10951" i="19"/>
  <c r="A10950" i="19"/>
  <c r="A10949" i="19"/>
  <c r="A10948" i="19"/>
  <c r="A10947" i="19"/>
  <c r="A10946" i="19"/>
  <c r="A10945" i="19"/>
  <c r="A10944" i="19"/>
  <c r="A10943" i="19"/>
  <c r="A10942" i="19"/>
  <c r="A10941" i="19"/>
  <c r="A10940" i="19"/>
  <c r="A10939" i="19"/>
  <c r="A10938" i="19"/>
  <c r="A10937" i="19"/>
  <c r="A10936" i="19"/>
  <c r="A10935" i="19"/>
  <c r="A10934" i="19"/>
  <c r="A10933" i="19"/>
  <c r="A10932" i="19"/>
  <c r="A10931" i="19"/>
  <c r="A10930" i="19"/>
  <c r="A10929" i="19"/>
  <c r="A10928" i="19"/>
  <c r="A10927" i="19"/>
  <c r="A10926" i="19"/>
  <c r="A10925" i="19"/>
  <c r="A10924" i="19"/>
  <c r="A10923" i="19"/>
  <c r="A10922" i="19"/>
  <c r="A10921" i="19"/>
  <c r="A10920" i="19"/>
  <c r="A10919" i="19"/>
  <c r="A10918" i="19"/>
  <c r="A10917" i="19"/>
  <c r="A10916" i="19"/>
  <c r="A10915" i="19"/>
  <c r="A10914" i="19"/>
  <c r="A10913" i="19"/>
  <c r="A10912" i="19"/>
  <c r="A10911" i="19"/>
  <c r="A10910" i="19"/>
  <c r="A10909" i="19"/>
  <c r="A10908" i="19"/>
  <c r="A10907" i="19"/>
  <c r="A10906" i="19"/>
  <c r="A10905" i="19"/>
  <c r="A10904" i="19"/>
  <c r="A10903" i="19"/>
  <c r="A10902" i="19"/>
  <c r="A10901" i="19"/>
  <c r="A10900" i="19"/>
  <c r="A10899" i="19"/>
  <c r="A10898" i="19"/>
  <c r="A10897" i="19"/>
  <c r="A10896" i="19"/>
  <c r="A10895" i="19"/>
  <c r="A10894" i="19"/>
  <c r="A10893" i="19"/>
  <c r="A10892" i="19"/>
  <c r="A10891" i="19"/>
  <c r="A10890" i="19"/>
  <c r="A10889" i="19"/>
  <c r="A10888" i="19"/>
  <c r="A10887" i="19"/>
  <c r="A10886" i="19"/>
  <c r="A10885" i="19"/>
  <c r="A10884" i="19"/>
  <c r="A10883" i="19"/>
  <c r="A10882" i="19"/>
  <c r="A10881" i="19"/>
  <c r="A10880" i="19"/>
  <c r="A10879" i="19"/>
  <c r="A10878" i="19"/>
  <c r="A10877" i="19"/>
  <c r="A10876" i="19"/>
  <c r="A10875" i="19"/>
  <c r="A10874" i="19"/>
  <c r="A10873" i="19"/>
  <c r="A10872" i="19"/>
  <c r="A10871" i="19"/>
  <c r="A10870" i="19"/>
  <c r="A10869" i="19"/>
  <c r="A10868" i="19"/>
  <c r="A10867" i="19"/>
  <c r="A10866" i="19"/>
  <c r="A10865" i="19"/>
  <c r="A10864" i="19"/>
  <c r="A10863" i="19"/>
  <c r="A10862" i="19"/>
  <c r="A10861" i="19"/>
  <c r="A10860" i="19"/>
  <c r="A10859" i="19"/>
  <c r="A10858" i="19"/>
  <c r="A10857" i="19"/>
  <c r="A10856" i="19"/>
  <c r="A10855" i="19"/>
  <c r="A10854" i="19"/>
  <c r="A10853" i="19"/>
  <c r="A10852" i="19"/>
  <c r="A10851" i="19"/>
  <c r="A10850" i="19"/>
  <c r="A10849" i="19"/>
  <c r="A10848" i="19"/>
  <c r="A10847" i="19"/>
  <c r="A10846" i="19"/>
  <c r="A10845" i="19"/>
  <c r="A10844" i="19"/>
  <c r="A10843" i="19"/>
  <c r="A10842" i="19"/>
  <c r="A10841" i="19"/>
  <c r="A10840" i="19"/>
  <c r="A10839" i="19"/>
  <c r="A10838" i="19"/>
  <c r="A10837" i="19"/>
  <c r="A10836" i="19"/>
  <c r="A10835" i="19"/>
  <c r="A10834" i="19"/>
  <c r="A10833" i="19"/>
  <c r="A10832" i="19"/>
  <c r="A10831" i="19"/>
  <c r="A10830" i="19"/>
  <c r="A10829" i="19"/>
  <c r="A10828" i="19"/>
  <c r="A10827" i="19"/>
  <c r="A10826" i="19"/>
  <c r="A10825" i="19"/>
  <c r="A10824" i="19"/>
  <c r="A10823" i="19"/>
  <c r="A10822" i="19"/>
  <c r="A10821" i="19"/>
  <c r="A10820" i="19"/>
  <c r="A10819" i="19"/>
  <c r="A10818" i="19"/>
  <c r="A10817" i="19"/>
  <c r="A10816" i="19"/>
  <c r="A10815" i="19"/>
  <c r="A10814" i="19"/>
  <c r="A10813" i="19"/>
  <c r="A10812" i="19"/>
  <c r="A10811" i="19"/>
  <c r="A10810" i="19"/>
  <c r="A10809" i="19"/>
  <c r="A10808" i="19"/>
  <c r="A10807" i="19"/>
  <c r="A10806" i="19"/>
  <c r="A10805" i="19"/>
  <c r="A10804" i="19"/>
  <c r="A10803" i="19"/>
  <c r="A10802" i="19"/>
  <c r="A10801" i="19"/>
  <c r="A10800" i="19"/>
  <c r="A10799" i="19"/>
  <c r="A10798" i="19"/>
  <c r="A10797" i="19"/>
  <c r="A10796" i="19"/>
  <c r="A10795" i="19"/>
  <c r="A10794" i="19"/>
  <c r="A10793" i="19"/>
  <c r="A10792" i="19"/>
  <c r="A10791" i="19"/>
  <c r="A10790" i="19"/>
  <c r="A10789" i="19"/>
  <c r="A10788" i="19"/>
  <c r="A10787" i="19"/>
  <c r="A10786" i="19"/>
  <c r="A10785" i="19"/>
  <c r="A10784" i="19"/>
  <c r="A10783" i="19"/>
  <c r="A10782" i="19"/>
  <c r="A10781" i="19"/>
  <c r="A10780" i="19"/>
  <c r="A10779" i="19"/>
  <c r="A10778" i="19"/>
  <c r="A10777" i="19"/>
  <c r="A10776" i="19"/>
  <c r="A10775" i="19"/>
  <c r="A10774" i="19"/>
  <c r="A10773" i="19"/>
  <c r="A10772" i="19"/>
  <c r="A10771" i="19"/>
  <c r="A10770" i="19"/>
  <c r="A10769" i="19"/>
  <c r="A10768" i="19"/>
  <c r="A10767" i="19"/>
  <c r="A10766" i="19"/>
  <c r="A10765" i="19"/>
  <c r="A10764" i="19"/>
  <c r="A10763" i="19"/>
  <c r="A10762" i="19"/>
  <c r="A10761" i="19"/>
  <c r="A10760" i="19"/>
  <c r="A10759" i="19"/>
  <c r="A10758" i="19"/>
  <c r="A10757" i="19"/>
  <c r="A10756" i="19"/>
  <c r="A10755" i="19"/>
  <c r="A10754" i="19"/>
  <c r="A10753" i="19"/>
  <c r="A10752" i="19"/>
  <c r="A10751" i="19"/>
  <c r="A10750" i="19"/>
  <c r="A10749" i="19"/>
  <c r="A10748" i="19"/>
  <c r="A10747" i="19"/>
  <c r="A10746" i="19"/>
  <c r="A10745" i="19"/>
  <c r="A10744" i="19"/>
  <c r="A10743" i="19"/>
  <c r="A10742" i="19"/>
  <c r="A10741" i="19"/>
  <c r="A10740" i="19"/>
  <c r="A10739" i="19"/>
  <c r="A10738" i="19"/>
  <c r="A10737" i="19"/>
  <c r="A10736" i="19"/>
  <c r="A10735" i="19"/>
  <c r="A10734" i="19"/>
  <c r="A10733" i="19"/>
  <c r="A10732" i="19"/>
  <c r="A10731" i="19"/>
  <c r="A10730" i="19"/>
  <c r="A10729" i="19"/>
  <c r="A10728" i="19"/>
  <c r="A10727" i="19"/>
  <c r="A10726" i="19"/>
  <c r="A10725" i="19"/>
  <c r="A10724" i="19"/>
  <c r="A10723" i="19"/>
  <c r="A10722" i="19"/>
  <c r="A10721" i="19"/>
  <c r="A10720" i="19"/>
  <c r="A10719" i="19"/>
  <c r="A10718" i="19"/>
  <c r="A10717" i="19"/>
  <c r="A10716" i="19"/>
  <c r="A10715" i="19"/>
  <c r="A10714" i="19"/>
  <c r="A10713" i="19"/>
  <c r="A10712" i="19"/>
  <c r="A10711" i="19"/>
  <c r="A10710" i="19"/>
  <c r="A10709" i="19"/>
  <c r="A10708" i="19"/>
  <c r="A10707" i="19"/>
  <c r="A10706" i="19"/>
  <c r="A10705" i="19"/>
  <c r="A10704" i="19"/>
  <c r="A10703" i="19"/>
  <c r="A10702" i="19"/>
  <c r="A10701" i="19"/>
  <c r="A10700" i="19"/>
  <c r="A10699" i="19"/>
  <c r="A10698" i="19"/>
  <c r="A10697" i="19"/>
  <c r="A10696" i="19"/>
  <c r="A10695" i="19"/>
  <c r="A10694" i="19"/>
  <c r="A10693" i="19"/>
  <c r="A10692" i="19"/>
  <c r="A10691" i="19"/>
  <c r="A10690" i="19"/>
  <c r="A10689" i="19"/>
  <c r="A10688" i="19"/>
  <c r="A10687" i="19"/>
  <c r="A10686" i="19"/>
  <c r="A10685" i="19"/>
  <c r="A10684" i="19"/>
  <c r="A10683" i="19"/>
  <c r="A10682" i="19"/>
  <c r="A10681" i="19"/>
  <c r="A10680" i="19"/>
  <c r="A10679" i="19"/>
  <c r="A10678" i="19"/>
  <c r="A10677" i="19"/>
  <c r="A10676" i="19"/>
  <c r="A10675" i="19"/>
  <c r="A10674" i="19"/>
  <c r="A10673" i="19"/>
  <c r="A10672" i="19"/>
  <c r="A10671" i="19"/>
  <c r="A10670" i="19"/>
  <c r="A10669" i="19"/>
  <c r="A10668" i="19"/>
  <c r="A10667" i="19"/>
  <c r="A10666" i="19"/>
  <c r="A10665" i="19"/>
  <c r="A10664" i="19"/>
  <c r="A10663" i="19"/>
  <c r="A10662" i="19"/>
  <c r="A10661" i="19"/>
  <c r="A10660" i="19"/>
  <c r="A10659" i="19"/>
  <c r="A10658" i="19"/>
  <c r="A10657" i="19"/>
  <c r="A10656" i="19"/>
  <c r="A10655" i="19"/>
  <c r="A10654" i="19"/>
  <c r="A10653" i="19"/>
  <c r="A10652" i="19"/>
  <c r="A10651" i="19"/>
  <c r="A10650" i="19"/>
  <c r="A10649" i="19"/>
  <c r="A10648" i="19"/>
  <c r="A10647" i="19"/>
  <c r="A10646" i="19"/>
  <c r="A10645" i="19"/>
  <c r="A10644" i="19"/>
  <c r="A10643" i="19"/>
  <c r="A10642" i="19"/>
  <c r="A10641" i="19"/>
  <c r="A10640" i="19"/>
  <c r="A10639" i="19"/>
  <c r="A10638" i="19"/>
  <c r="A10637" i="19"/>
  <c r="A10636" i="19"/>
  <c r="A10635" i="19"/>
  <c r="A10634" i="19"/>
  <c r="A10633" i="19"/>
  <c r="A10632" i="19"/>
  <c r="A10631" i="19"/>
  <c r="A10630" i="19"/>
  <c r="A10629" i="19"/>
  <c r="A10628" i="19"/>
  <c r="A10627" i="19"/>
  <c r="A10626" i="19"/>
  <c r="A10625" i="19"/>
  <c r="A10624" i="19"/>
  <c r="A10623" i="19"/>
  <c r="A10622" i="19"/>
  <c r="A10621" i="19"/>
  <c r="A10620" i="19"/>
  <c r="A10619" i="19"/>
  <c r="A10618" i="19"/>
  <c r="A10617" i="19"/>
  <c r="A10616" i="19"/>
  <c r="A10615" i="19"/>
  <c r="A10614" i="19"/>
  <c r="A10613" i="19"/>
  <c r="A10612" i="19"/>
  <c r="A10611" i="19"/>
  <c r="A10610" i="19"/>
  <c r="A10609" i="19"/>
  <c r="A10608" i="19"/>
  <c r="A10607" i="19"/>
  <c r="A10606" i="19"/>
  <c r="A10605" i="19"/>
  <c r="A10604" i="19"/>
  <c r="A10603" i="19"/>
  <c r="A10602" i="19"/>
  <c r="A10601" i="19"/>
  <c r="A10600" i="19"/>
  <c r="A10599" i="19"/>
  <c r="A10598" i="19"/>
  <c r="A10597" i="19"/>
  <c r="A10596" i="19"/>
  <c r="A10595" i="19"/>
  <c r="A10594" i="19"/>
  <c r="A10593" i="19"/>
  <c r="A10592" i="19"/>
  <c r="A10591" i="19"/>
  <c r="A10590" i="19"/>
  <c r="A10589" i="19"/>
  <c r="A10588" i="19"/>
  <c r="A10587" i="19"/>
  <c r="A10586" i="19"/>
  <c r="A10585" i="19"/>
  <c r="A10584" i="19"/>
  <c r="A10583" i="19"/>
  <c r="A10582" i="19"/>
  <c r="A10581" i="19"/>
  <c r="A10580" i="19"/>
  <c r="A10579" i="19"/>
  <c r="A10578" i="19"/>
  <c r="A10577" i="19"/>
  <c r="A10576" i="19"/>
  <c r="A10575" i="19"/>
  <c r="A10574" i="19"/>
  <c r="A10573" i="19"/>
  <c r="A10572" i="19"/>
  <c r="A10571" i="19"/>
  <c r="A10570" i="19"/>
  <c r="A10569" i="19"/>
  <c r="A10568" i="19"/>
  <c r="A10567" i="19"/>
  <c r="A10566" i="19"/>
  <c r="A10565" i="19"/>
  <c r="A10564" i="19"/>
  <c r="A10563" i="19"/>
  <c r="A10562" i="19"/>
  <c r="A10561" i="19"/>
  <c r="A10560" i="19"/>
  <c r="A10559" i="19"/>
  <c r="A10558" i="19"/>
  <c r="A10557" i="19"/>
  <c r="A10556" i="19"/>
  <c r="A10555" i="19"/>
  <c r="A10554" i="19"/>
  <c r="A10553" i="19"/>
  <c r="A10552" i="19"/>
  <c r="A10551" i="19"/>
  <c r="A10550" i="19"/>
  <c r="A10549" i="19"/>
  <c r="A10548" i="19"/>
  <c r="A10547" i="19"/>
  <c r="A10546" i="19"/>
  <c r="A10545" i="19"/>
  <c r="A10544" i="19"/>
  <c r="A10543" i="19"/>
  <c r="A10542" i="19"/>
  <c r="A10541" i="19"/>
  <c r="A10540" i="19"/>
  <c r="A10539" i="19"/>
  <c r="A10538" i="19"/>
  <c r="A10537" i="19"/>
  <c r="A10536" i="19"/>
  <c r="A10535" i="19"/>
  <c r="A10534" i="19"/>
  <c r="A10533" i="19"/>
  <c r="A10532" i="19"/>
  <c r="A10531" i="19"/>
  <c r="A10530" i="19"/>
  <c r="A10529" i="19"/>
  <c r="A10528" i="19"/>
  <c r="A10527" i="19"/>
  <c r="A10526" i="19"/>
  <c r="A10525" i="19"/>
  <c r="A10524" i="19"/>
  <c r="A10523" i="19"/>
  <c r="A10522" i="19"/>
  <c r="A10521" i="19"/>
  <c r="A10520" i="19"/>
  <c r="A10519" i="19"/>
  <c r="A10518" i="19"/>
  <c r="A10517" i="19"/>
  <c r="A10516" i="19"/>
  <c r="A10515" i="19"/>
  <c r="A10514" i="19"/>
  <c r="A10513" i="19"/>
  <c r="A10512" i="19"/>
  <c r="A10511" i="19"/>
  <c r="A10510" i="19"/>
  <c r="A10509" i="19"/>
  <c r="A10508" i="19"/>
  <c r="A10507" i="19"/>
  <c r="A10506" i="19"/>
  <c r="A10505" i="19"/>
  <c r="A10504" i="19"/>
  <c r="A10503" i="19"/>
  <c r="A10502" i="19"/>
  <c r="A10501" i="19"/>
  <c r="A10500" i="19"/>
  <c r="A10499" i="19"/>
  <c r="A10498" i="19"/>
  <c r="A10497" i="19"/>
  <c r="A10496" i="19"/>
  <c r="A10495" i="19"/>
  <c r="A10494" i="19"/>
  <c r="A10493" i="19"/>
  <c r="A10492" i="19"/>
  <c r="A10491" i="19"/>
  <c r="A10490" i="19"/>
  <c r="A10489" i="19"/>
  <c r="A10488" i="19"/>
  <c r="A10487" i="19"/>
  <c r="A10486" i="19"/>
  <c r="A10485" i="19"/>
  <c r="A10484" i="19"/>
  <c r="A10483" i="19"/>
  <c r="A10482" i="19"/>
  <c r="A10481" i="19"/>
  <c r="A10480" i="19"/>
  <c r="A10479" i="19"/>
  <c r="A10478" i="19"/>
  <c r="A10477" i="19"/>
  <c r="A10476" i="19"/>
  <c r="A10475" i="19"/>
  <c r="A10474" i="19"/>
  <c r="A10473" i="19"/>
  <c r="A10472" i="19"/>
  <c r="A10471" i="19"/>
  <c r="A10470" i="19"/>
  <c r="A10469" i="19"/>
  <c r="A10468" i="19"/>
  <c r="A10467" i="19"/>
  <c r="A10466" i="19"/>
  <c r="A10465" i="19"/>
  <c r="A10464" i="19"/>
  <c r="A10463" i="19"/>
  <c r="A10462" i="19"/>
  <c r="A10461" i="19"/>
  <c r="A10460" i="19"/>
  <c r="A10459" i="19"/>
  <c r="A10458" i="19"/>
  <c r="A10457" i="19"/>
  <c r="A10456" i="19"/>
  <c r="A10455" i="19"/>
  <c r="A10454" i="19"/>
  <c r="A10453" i="19"/>
  <c r="A10452" i="19"/>
  <c r="A10451" i="19"/>
  <c r="A10450" i="19"/>
  <c r="A10449" i="19"/>
  <c r="A10448" i="19"/>
  <c r="A10447" i="19"/>
  <c r="A10446" i="19"/>
  <c r="A10445" i="19"/>
  <c r="A10444" i="19"/>
  <c r="A10443" i="19"/>
  <c r="A10442" i="19"/>
  <c r="A10441" i="19"/>
  <c r="A10440" i="19"/>
  <c r="A10439" i="19"/>
  <c r="A10438" i="19"/>
  <c r="A10437" i="19"/>
  <c r="A10436" i="19"/>
  <c r="A10435" i="19"/>
  <c r="A10434" i="19"/>
  <c r="A10433" i="19"/>
  <c r="A10432" i="19"/>
  <c r="A10431" i="19"/>
  <c r="A10430" i="19"/>
  <c r="A10429" i="19"/>
  <c r="A10428" i="19"/>
  <c r="A10427" i="19"/>
  <c r="A10426" i="19"/>
  <c r="A10425" i="19"/>
  <c r="A10424" i="19"/>
  <c r="A10423" i="19"/>
  <c r="A10422" i="19"/>
  <c r="A10421" i="19"/>
  <c r="A10420" i="19"/>
  <c r="A10419" i="19"/>
  <c r="A10418" i="19"/>
  <c r="A10417" i="19"/>
  <c r="A10416" i="19"/>
  <c r="A10415" i="19"/>
  <c r="A10414" i="19"/>
  <c r="A10413" i="19"/>
  <c r="A10412" i="19"/>
  <c r="A10411" i="19"/>
  <c r="A10410" i="19"/>
  <c r="A10409" i="19"/>
  <c r="A10408" i="19"/>
  <c r="A10407" i="19"/>
  <c r="A10406" i="19"/>
  <c r="A10405" i="19"/>
  <c r="A10404" i="19"/>
  <c r="A10403" i="19"/>
  <c r="A10402" i="19"/>
  <c r="A10401" i="19"/>
  <c r="A10400" i="19"/>
  <c r="A10399" i="19"/>
  <c r="A10398" i="19"/>
  <c r="A10397" i="19"/>
  <c r="A10396" i="19"/>
  <c r="A10395" i="19"/>
  <c r="A10394" i="19"/>
  <c r="A10393" i="19"/>
  <c r="A10392" i="19"/>
  <c r="A10391" i="19"/>
  <c r="A10390" i="19"/>
  <c r="A10389" i="19"/>
  <c r="A10388" i="19"/>
  <c r="A10387" i="19"/>
  <c r="A10386" i="19"/>
  <c r="A10385" i="19"/>
  <c r="A10384" i="19"/>
  <c r="A10383" i="19"/>
  <c r="A10382" i="19"/>
  <c r="A10381" i="19"/>
  <c r="A10380" i="19"/>
  <c r="A10379" i="19"/>
  <c r="A10378" i="19"/>
  <c r="A10377" i="19"/>
  <c r="A10376" i="19"/>
  <c r="A10375" i="19"/>
  <c r="A10374" i="19"/>
  <c r="A10373" i="19"/>
  <c r="A10372" i="19"/>
  <c r="A10371" i="19"/>
  <c r="A10370" i="19"/>
  <c r="A10369" i="19"/>
  <c r="A10368" i="19"/>
  <c r="A10367" i="19"/>
  <c r="A10366" i="19"/>
  <c r="A10365" i="19"/>
  <c r="A10364" i="19"/>
  <c r="A10363" i="19"/>
  <c r="A10362" i="19"/>
  <c r="A10361" i="19"/>
  <c r="A10360" i="19"/>
  <c r="A10359" i="19"/>
  <c r="A10358" i="19"/>
  <c r="A10357" i="19"/>
  <c r="A10356" i="19"/>
  <c r="A10355" i="19"/>
  <c r="A10354" i="19"/>
  <c r="A10353" i="19"/>
  <c r="A10352" i="19"/>
  <c r="A10351" i="19"/>
  <c r="A10350" i="19"/>
  <c r="A10349" i="19"/>
  <c r="A10348" i="19"/>
  <c r="A10347" i="19"/>
  <c r="A10346" i="19"/>
  <c r="A10345" i="19"/>
  <c r="A10344" i="19"/>
  <c r="A10343" i="19"/>
  <c r="A10342" i="19"/>
  <c r="A10341" i="19"/>
  <c r="A10340" i="19"/>
  <c r="A10339" i="19"/>
  <c r="A10338" i="19"/>
  <c r="A10337" i="19"/>
  <c r="A10336" i="19"/>
  <c r="A10335" i="19"/>
  <c r="A10334" i="19"/>
  <c r="A10333" i="19"/>
  <c r="A10332" i="19"/>
  <c r="A10331" i="19"/>
  <c r="A10330" i="19"/>
  <c r="A10329" i="19"/>
  <c r="A10328" i="19"/>
  <c r="A10327" i="19"/>
  <c r="A10326" i="19"/>
  <c r="A10325" i="19"/>
  <c r="A10324" i="19"/>
  <c r="A10323" i="19"/>
  <c r="A10322" i="19"/>
  <c r="A10321" i="19"/>
  <c r="A10320" i="19"/>
  <c r="A10319" i="19"/>
  <c r="A10318" i="19"/>
  <c r="A10317" i="19"/>
  <c r="A10316" i="19"/>
  <c r="A10315" i="19"/>
  <c r="A10314" i="19"/>
  <c r="A10313" i="19"/>
  <c r="A10312" i="19"/>
  <c r="A10311" i="19"/>
  <c r="A10310" i="19"/>
  <c r="A10309" i="19"/>
  <c r="A10308" i="19"/>
  <c r="A10307" i="19"/>
  <c r="A10306" i="19"/>
  <c r="A10305" i="19"/>
  <c r="A10304" i="19"/>
  <c r="A10303" i="19"/>
  <c r="A10302" i="19"/>
  <c r="A10301" i="19"/>
  <c r="A10300" i="19"/>
  <c r="A10299" i="19"/>
  <c r="A10298" i="19"/>
  <c r="A10297" i="19"/>
  <c r="A10296" i="19"/>
  <c r="A10295" i="19"/>
  <c r="A10294" i="19"/>
  <c r="A10293" i="19"/>
  <c r="A10292" i="19"/>
  <c r="A10291" i="19"/>
  <c r="A10290" i="19"/>
  <c r="A10289" i="19"/>
  <c r="A10288" i="19"/>
  <c r="A10287" i="19"/>
  <c r="A10286" i="19"/>
  <c r="A10285" i="19"/>
  <c r="A10284" i="19"/>
  <c r="A10283" i="19"/>
  <c r="A10282" i="19"/>
  <c r="A10281" i="19"/>
  <c r="A10280" i="19"/>
  <c r="A10279" i="19"/>
  <c r="A10278" i="19"/>
  <c r="A10277" i="19"/>
  <c r="A10276" i="19"/>
  <c r="A10275" i="19"/>
  <c r="A10274" i="19"/>
  <c r="A10273" i="19"/>
  <c r="A10272" i="19"/>
  <c r="A10271" i="19"/>
  <c r="A10270" i="19"/>
  <c r="A10269" i="19"/>
  <c r="A10268" i="19"/>
  <c r="A10267" i="19"/>
  <c r="A10266" i="19"/>
  <c r="A10265" i="19"/>
  <c r="A10264" i="19"/>
  <c r="A10263" i="19"/>
  <c r="A10262" i="19"/>
  <c r="A10261" i="19"/>
  <c r="A10260" i="19"/>
  <c r="A10259" i="19"/>
  <c r="A10258" i="19"/>
  <c r="A10257" i="19"/>
  <c r="A10256" i="19"/>
  <c r="A10255" i="19"/>
  <c r="A10254" i="19"/>
  <c r="A10253" i="19"/>
  <c r="A10252" i="19"/>
  <c r="A10251" i="19"/>
  <c r="A10250" i="19"/>
  <c r="A10249" i="19"/>
  <c r="A10248" i="19"/>
  <c r="A10247" i="19"/>
  <c r="A10246" i="19"/>
  <c r="A10245" i="19"/>
  <c r="A10244" i="19"/>
  <c r="A10243" i="19"/>
  <c r="A10242" i="19"/>
  <c r="A10241" i="19"/>
  <c r="A10240" i="19"/>
  <c r="A10239" i="19"/>
  <c r="A10238" i="19"/>
  <c r="A10237" i="19"/>
  <c r="A10236" i="19"/>
  <c r="A10235" i="19"/>
  <c r="A10234" i="19"/>
  <c r="A10233" i="19"/>
  <c r="A10232" i="19"/>
  <c r="A10231" i="19"/>
  <c r="A10230" i="19"/>
  <c r="A10229" i="19"/>
  <c r="A10228" i="19"/>
  <c r="A10227" i="19"/>
  <c r="A10226" i="19"/>
  <c r="A10225" i="19"/>
  <c r="A10224" i="19"/>
  <c r="A10223" i="19"/>
  <c r="A10222" i="19"/>
  <c r="A10221" i="19"/>
  <c r="A10220" i="19"/>
  <c r="A10219" i="19"/>
  <c r="A10218" i="19"/>
  <c r="A10217" i="19"/>
  <c r="A10216" i="19"/>
  <c r="A10215" i="19"/>
  <c r="A10214" i="19"/>
  <c r="A10213" i="19"/>
  <c r="A10212" i="19"/>
  <c r="A10211" i="19"/>
  <c r="A10210" i="19"/>
  <c r="A10209" i="19"/>
  <c r="A10208" i="19"/>
  <c r="A10207" i="19"/>
  <c r="A10206" i="19"/>
  <c r="A10205" i="19"/>
  <c r="A10204" i="19"/>
  <c r="A10203" i="19"/>
  <c r="A10202" i="19"/>
  <c r="A10201" i="19"/>
  <c r="A10200" i="19"/>
  <c r="A10199" i="19"/>
  <c r="A10198" i="19"/>
  <c r="A10197" i="19"/>
  <c r="A10196" i="19"/>
  <c r="A10195" i="19"/>
  <c r="A10194" i="19"/>
  <c r="A10193" i="19"/>
  <c r="A10192" i="19"/>
  <c r="A10191" i="19"/>
  <c r="A10190" i="19"/>
  <c r="A10189" i="19"/>
  <c r="A10188" i="19"/>
  <c r="A10187" i="19"/>
  <c r="A10186" i="19"/>
  <c r="A10185" i="19"/>
  <c r="A10184" i="19"/>
  <c r="A10183" i="19"/>
  <c r="A10182" i="19"/>
  <c r="A10181" i="19"/>
  <c r="A10180" i="19"/>
  <c r="A10179" i="19"/>
  <c r="A10178" i="19"/>
  <c r="A10177" i="19"/>
  <c r="A10176" i="19"/>
  <c r="A10175" i="19"/>
  <c r="A10174" i="19"/>
  <c r="A10173" i="19"/>
  <c r="A10172" i="19"/>
  <c r="A10171" i="19"/>
  <c r="A10170" i="19"/>
  <c r="A10169" i="19"/>
  <c r="A10168" i="19"/>
  <c r="A10167" i="19"/>
  <c r="A10166" i="19"/>
  <c r="A10165" i="19"/>
  <c r="A10164" i="19"/>
  <c r="A10163" i="19"/>
  <c r="A10162" i="19"/>
  <c r="A10161" i="19"/>
  <c r="A10160" i="19"/>
  <c r="A10159" i="19"/>
  <c r="A10158" i="19"/>
  <c r="A10157" i="19"/>
  <c r="A10156" i="19"/>
  <c r="A10155" i="19"/>
  <c r="A10154" i="19"/>
  <c r="A10153" i="19"/>
  <c r="A10152" i="19"/>
  <c r="A10151" i="19"/>
  <c r="A10150" i="19"/>
  <c r="A10149" i="19"/>
  <c r="A10148" i="19"/>
  <c r="A10147" i="19"/>
  <c r="A10146" i="19"/>
  <c r="A10145" i="19"/>
  <c r="A10144" i="19"/>
  <c r="A10143" i="19"/>
  <c r="A10142" i="19"/>
  <c r="A10141" i="19"/>
  <c r="A10140" i="19"/>
  <c r="A10139" i="19"/>
  <c r="A10138" i="19"/>
  <c r="A10137" i="19"/>
  <c r="A10136" i="19"/>
  <c r="A10135" i="19"/>
  <c r="A10134" i="19"/>
  <c r="A10133" i="19"/>
  <c r="A10132" i="19"/>
  <c r="A10131" i="19"/>
  <c r="A10130" i="19"/>
  <c r="A10129" i="19"/>
  <c r="A10128" i="19"/>
  <c r="A10127" i="19"/>
  <c r="A10126" i="19"/>
  <c r="A10125" i="19"/>
  <c r="A10124" i="19"/>
  <c r="A10123" i="19"/>
  <c r="A10122" i="19"/>
  <c r="A10121" i="19"/>
  <c r="A10120" i="19"/>
  <c r="A10119" i="19"/>
  <c r="A10118" i="19"/>
  <c r="A10117" i="19"/>
  <c r="A10116" i="19"/>
  <c r="A10115" i="19"/>
  <c r="A10114" i="19"/>
  <c r="A10113" i="19"/>
  <c r="A10112" i="19"/>
  <c r="A10111" i="19"/>
  <c r="A10110" i="19"/>
  <c r="A10109" i="19"/>
  <c r="A10108" i="19"/>
  <c r="A10107" i="19"/>
  <c r="A10106" i="19"/>
  <c r="A10105" i="19"/>
  <c r="A10104" i="19"/>
  <c r="A10103" i="19"/>
  <c r="A10102" i="19"/>
  <c r="A10101" i="19"/>
  <c r="A10100" i="19"/>
  <c r="A10099" i="19"/>
  <c r="A10098" i="19"/>
  <c r="A10097" i="19"/>
  <c r="A10096" i="19"/>
  <c r="A10095" i="19"/>
  <c r="A10094" i="19"/>
  <c r="A10093" i="19"/>
  <c r="A10092" i="19"/>
  <c r="A10091" i="19"/>
  <c r="A10090" i="19"/>
  <c r="A10089" i="19"/>
  <c r="A10088" i="19"/>
  <c r="A10087" i="19"/>
  <c r="A10086" i="19"/>
  <c r="A10085" i="19"/>
  <c r="A10084" i="19"/>
  <c r="A10083" i="19"/>
  <c r="A10082" i="19"/>
  <c r="A10081" i="19"/>
  <c r="A10080" i="19"/>
  <c r="A10079" i="19"/>
  <c r="A10078" i="19"/>
  <c r="A10077" i="19"/>
  <c r="A10076" i="19"/>
  <c r="A10075" i="19"/>
  <c r="A10074" i="19"/>
  <c r="A10073" i="19"/>
  <c r="A10072" i="19"/>
  <c r="A10071" i="19"/>
  <c r="A10070" i="19"/>
  <c r="A10069" i="19"/>
  <c r="A10068" i="19"/>
  <c r="A10067" i="19"/>
  <c r="A10066" i="19"/>
  <c r="A10065" i="19"/>
  <c r="A10064" i="19"/>
  <c r="A10063" i="19"/>
  <c r="A10062" i="19"/>
  <c r="A10061" i="19"/>
  <c r="A10060" i="19"/>
  <c r="A10059" i="19"/>
  <c r="A10058" i="19"/>
  <c r="A10057" i="19"/>
  <c r="A10056" i="19"/>
  <c r="A10055" i="19"/>
  <c r="A10054" i="19"/>
  <c r="A10053" i="19"/>
  <c r="A10052" i="19"/>
  <c r="A10051" i="19"/>
  <c r="A10050" i="19"/>
  <c r="A10049" i="19"/>
  <c r="A10048" i="19"/>
  <c r="A10047" i="19"/>
  <c r="A10046" i="19"/>
  <c r="A10045" i="19"/>
  <c r="A10044" i="19"/>
  <c r="A10043" i="19"/>
  <c r="A10042" i="19"/>
  <c r="A10041" i="19"/>
  <c r="A10040" i="19"/>
  <c r="A10039" i="19"/>
  <c r="A10038" i="19"/>
  <c r="A10037" i="19"/>
  <c r="A10036" i="19"/>
  <c r="A10035" i="19"/>
  <c r="A10034" i="19"/>
  <c r="A10033" i="19"/>
  <c r="A10032" i="19"/>
  <c r="A10031" i="19"/>
  <c r="A10030" i="19"/>
  <c r="A10029" i="19"/>
  <c r="A10028" i="19"/>
  <c r="A10027" i="19"/>
  <c r="A10026" i="19"/>
  <c r="A10025" i="19"/>
  <c r="A10024" i="19"/>
  <c r="A10023" i="19"/>
  <c r="A10022" i="19"/>
  <c r="A10021" i="19"/>
  <c r="A10020" i="19"/>
  <c r="A10019" i="19"/>
  <c r="A10018" i="19"/>
  <c r="A10017" i="19"/>
  <c r="A10016" i="19"/>
  <c r="A10015" i="19"/>
  <c r="A10014" i="19"/>
  <c r="A10013" i="19"/>
  <c r="A10012" i="19"/>
  <c r="A10011" i="19"/>
  <c r="A10010" i="19"/>
  <c r="A10009" i="19"/>
  <c r="A10008" i="19"/>
  <c r="A10007" i="19"/>
  <c r="A10006" i="19"/>
  <c r="A10005" i="19"/>
  <c r="A10004" i="19"/>
  <c r="A10003" i="19"/>
  <c r="A10002" i="19"/>
  <c r="A10001" i="19"/>
  <c r="A10000" i="19"/>
  <c r="A9999" i="19"/>
  <c r="A9998" i="19"/>
  <c r="A9997" i="19"/>
  <c r="A9996" i="19"/>
  <c r="A9995" i="19"/>
  <c r="A9994" i="19"/>
  <c r="A9993" i="19"/>
  <c r="A9992" i="19"/>
  <c r="A9991" i="19"/>
  <c r="A9990" i="19"/>
  <c r="A9989" i="19"/>
  <c r="A9988" i="19"/>
  <c r="A9987" i="19"/>
  <c r="A9986" i="19"/>
  <c r="A9985" i="19"/>
  <c r="A9984" i="19"/>
  <c r="A9983" i="19"/>
  <c r="A9982" i="19"/>
  <c r="A9981" i="19"/>
  <c r="A9980" i="19"/>
  <c r="A9979" i="19"/>
  <c r="A9978" i="19"/>
  <c r="A9977" i="19"/>
  <c r="A9976" i="19"/>
  <c r="A9975" i="19"/>
  <c r="A9974" i="19"/>
  <c r="A9973" i="19"/>
  <c r="A9972" i="19"/>
  <c r="A9971" i="19"/>
  <c r="A9970" i="19"/>
  <c r="A9969" i="19"/>
  <c r="A9968" i="19"/>
  <c r="A9967" i="19"/>
  <c r="A9966" i="19"/>
  <c r="A9965" i="19"/>
  <c r="A9964" i="19"/>
  <c r="A9963" i="19"/>
  <c r="A9962" i="19"/>
  <c r="A9961" i="19"/>
  <c r="A9960" i="19"/>
  <c r="A9959" i="19"/>
  <c r="A9958" i="19"/>
  <c r="A9957" i="19"/>
  <c r="A9956" i="19"/>
  <c r="A9955" i="19"/>
  <c r="A9954" i="19"/>
  <c r="A9953" i="19"/>
  <c r="A9952" i="19"/>
  <c r="A9951" i="19"/>
  <c r="A9950" i="19"/>
  <c r="A9949" i="19"/>
  <c r="A9948" i="19"/>
  <c r="A9947" i="19"/>
  <c r="A9946" i="19"/>
  <c r="A9945" i="19"/>
  <c r="A9944" i="19"/>
  <c r="A9943" i="19"/>
  <c r="A9942" i="19"/>
  <c r="A9941" i="19"/>
  <c r="A9940" i="19"/>
  <c r="A9939" i="19"/>
  <c r="A9938" i="19"/>
  <c r="A9937" i="19"/>
  <c r="A9936" i="19"/>
  <c r="A9935" i="19"/>
  <c r="A9934" i="19"/>
  <c r="A9933" i="19"/>
  <c r="A9932" i="19"/>
  <c r="A9931" i="19"/>
  <c r="A9930" i="19"/>
  <c r="A9929" i="19"/>
  <c r="A9928" i="19"/>
  <c r="A9927" i="19"/>
  <c r="A9926" i="19"/>
  <c r="A9925" i="19"/>
  <c r="A9924" i="19"/>
  <c r="A9923" i="19"/>
  <c r="A9922" i="19"/>
  <c r="A9921" i="19"/>
  <c r="A9920" i="19"/>
  <c r="A9919" i="19"/>
  <c r="A9918" i="19"/>
  <c r="A9917" i="19"/>
  <c r="A9916" i="19"/>
  <c r="A9915" i="19"/>
  <c r="A9914" i="19"/>
  <c r="A9913" i="19"/>
  <c r="A9912" i="19"/>
  <c r="A9911" i="19"/>
  <c r="A9910" i="19"/>
  <c r="A9909" i="19"/>
  <c r="A9908" i="19"/>
  <c r="A9907" i="19"/>
  <c r="A9906" i="19"/>
  <c r="A9905" i="19"/>
  <c r="A9904" i="19"/>
  <c r="A9903" i="19"/>
  <c r="A9902" i="19"/>
  <c r="A9901" i="19"/>
  <c r="A9900" i="19"/>
  <c r="A9899" i="19"/>
  <c r="A9898" i="19"/>
  <c r="A9897" i="19"/>
  <c r="A9896" i="19"/>
  <c r="A9895" i="19"/>
  <c r="A9894" i="19"/>
  <c r="A9893" i="19"/>
  <c r="A9892" i="19"/>
  <c r="A9891" i="19"/>
  <c r="A9890" i="19"/>
  <c r="A9889" i="19"/>
  <c r="A9888" i="19"/>
  <c r="A9887" i="19"/>
  <c r="A9886" i="19"/>
  <c r="A9885" i="19"/>
  <c r="A9884" i="19"/>
  <c r="A9883" i="19"/>
  <c r="A9882" i="19"/>
  <c r="A9881" i="19"/>
  <c r="A9880" i="19"/>
  <c r="A9879" i="19"/>
  <c r="A9878" i="19"/>
  <c r="A9877" i="19"/>
  <c r="A9876" i="19"/>
  <c r="A9875" i="19"/>
  <c r="A9874" i="19"/>
  <c r="A9873" i="19"/>
  <c r="A9872" i="19"/>
  <c r="A9871" i="19"/>
  <c r="A9870" i="19"/>
  <c r="A9869" i="19"/>
  <c r="A9868" i="19"/>
  <c r="A9867" i="19"/>
  <c r="A9866" i="19"/>
  <c r="A9865" i="19"/>
  <c r="A9864" i="19"/>
  <c r="A9863" i="19"/>
  <c r="A9862" i="19"/>
  <c r="A9861" i="19"/>
  <c r="A9860" i="19"/>
  <c r="A9859" i="19"/>
  <c r="A9858" i="19"/>
  <c r="A9857" i="19"/>
  <c r="A9856" i="19"/>
  <c r="A9855" i="19"/>
  <c r="A9854" i="19"/>
  <c r="A9853" i="19"/>
  <c r="A9852" i="19"/>
  <c r="A9851" i="19"/>
  <c r="A9850" i="19"/>
  <c r="A9849" i="19"/>
  <c r="A9848" i="19"/>
  <c r="A9847" i="19"/>
  <c r="A9846" i="19"/>
  <c r="A9845" i="19"/>
  <c r="A9844" i="19"/>
  <c r="A9843" i="19"/>
  <c r="A9842" i="19"/>
  <c r="A9841" i="19"/>
  <c r="A9840" i="19"/>
  <c r="A9839" i="19"/>
  <c r="A9838" i="19"/>
  <c r="A9837" i="19"/>
  <c r="A9836" i="19"/>
  <c r="A9835" i="19"/>
  <c r="A9834" i="19"/>
  <c r="A9833" i="19"/>
  <c r="A9832" i="19"/>
  <c r="A9831" i="19"/>
  <c r="A9830" i="19"/>
  <c r="A9829" i="19"/>
  <c r="A9828" i="19"/>
  <c r="A9827" i="19"/>
  <c r="A9826" i="19"/>
  <c r="A9825" i="19"/>
  <c r="A9824" i="19"/>
  <c r="A9823" i="19"/>
  <c r="A9822" i="19"/>
  <c r="A9821" i="19"/>
  <c r="A9820" i="19"/>
  <c r="A9819" i="19"/>
  <c r="A9818" i="19"/>
  <c r="A9817" i="19"/>
  <c r="A9816" i="19"/>
  <c r="A9815" i="19"/>
  <c r="A9814" i="19"/>
  <c r="A9813" i="19"/>
  <c r="A9812" i="19"/>
  <c r="A9811" i="19"/>
  <c r="A9810" i="19"/>
  <c r="A9809" i="19"/>
  <c r="A9808" i="19"/>
  <c r="A9807" i="19"/>
  <c r="A9806" i="19"/>
  <c r="A9805" i="19"/>
  <c r="A9804" i="19"/>
  <c r="A9803" i="19"/>
  <c r="A9802" i="19"/>
  <c r="A9801" i="19"/>
  <c r="A9800" i="19"/>
  <c r="A9799" i="19"/>
  <c r="A9798" i="19"/>
  <c r="A9797" i="19"/>
  <c r="A9796" i="19"/>
  <c r="A9795" i="19"/>
  <c r="A9794" i="19"/>
  <c r="A9793" i="19"/>
  <c r="A9792" i="19"/>
  <c r="A9791" i="19"/>
  <c r="A9790" i="19"/>
  <c r="A9789" i="19"/>
  <c r="A9788" i="19"/>
  <c r="A9787" i="19"/>
  <c r="A9786" i="19"/>
  <c r="A9785" i="19"/>
  <c r="A9784" i="19"/>
  <c r="A9783" i="19"/>
  <c r="A9782" i="19"/>
  <c r="A9781" i="19"/>
  <c r="A9780" i="19"/>
  <c r="A9779" i="19"/>
  <c r="A9778" i="19"/>
  <c r="A9777" i="19"/>
  <c r="A9776" i="19"/>
  <c r="A9775" i="19"/>
  <c r="A9774" i="19"/>
  <c r="A9773" i="19"/>
  <c r="A9772" i="19"/>
  <c r="A9771" i="19"/>
  <c r="A9770" i="19"/>
  <c r="A9769" i="19"/>
  <c r="A9768" i="19"/>
  <c r="A9767" i="19"/>
  <c r="A9766" i="19"/>
  <c r="A9765" i="19"/>
  <c r="A9764" i="19"/>
  <c r="A9763" i="19"/>
  <c r="A9762" i="19"/>
  <c r="A9761" i="19"/>
  <c r="A9760" i="19"/>
  <c r="A9759" i="19"/>
  <c r="A9758" i="19"/>
  <c r="A9757" i="19"/>
  <c r="A9756" i="19"/>
  <c r="A9755" i="19"/>
  <c r="A9754" i="19"/>
  <c r="A9753" i="19"/>
  <c r="A9752" i="19"/>
  <c r="A9751" i="19"/>
  <c r="A9750" i="19"/>
  <c r="A9749" i="19"/>
  <c r="A9748" i="19"/>
  <c r="A9747" i="19"/>
  <c r="A9746" i="19"/>
  <c r="A9745" i="19"/>
  <c r="A9744" i="19"/>
  <c r="A9743" i="19"/>
  <c r="A9742" i="19"/>
  <c r="A9741" i="19"/>
  <c r="A9740" i="19"/>
  <c r="A9739" i="19"/>
  <c r="A9738" i="19"/>
  <c r="A9737" i="19"/>
  <c r="A9736" i="19"/>
  <c r="A9735" i="19"/>
  <c r="A9734" i="19"/>
  <c r="A9733" i="19"/>
  <c r="A9732" i="19"/>
  <c r="A9731" i="19"/>
  <c r="A9730" i="19"/>
  <c r="A9729" i="19"/>
  <c r="A9728" i="19"/>
  <c r="A9727" i="19"/>
  <c r="A9726" i="19"/>
  <c r="A9725" i="19"/>
  <c r="A9724" i="19"/>
  <c r="A9723" i="19"/>
  <c r="A9722" i="19"/>
  <c r="A9721" i="19"/>
  <c r="A9720" i="19"/>
  <c r="A9719" i="19"/>
  <c r="A9718" i="19"/>
  <c r="A9717" i="19"/>
  <c r="A9716" i="19"/>
  <c r="A9715" i="19"/>
  <c r="A9714" i="19"/>
  <c r="A9713" i="19"/>
  <c r="A9712" i="19"/>
  <c r="A9711" i="19"/>
  <c r="A9710" i="19"/>
  <c r="A9709" i="19"/>
  <c r="A9708" i="19"/>
  <c r="A9707" i="19"/>
  <c r="A9706" i="19"/>
  <c r="A9705" i="19"/>
  <c r="A9704" i="19"/>
  <c r="A9703" i="19"/>
  <c r="A9702" i="19"/>
  <c r="A9701" i="19"/>
  <c r="A9700" i="19"/>
  <c r="A9699" i="19"/>
  <c r="A9698" i="19"/>
  <c r="A9697" i="19"/>
  <c r="A9696" i="19"/>
  <c r="A9695" i="19"/>
  <c r="A9694" i="19"/>
  <c r="A9693" i="19"/>
  <c r="A9692" i="19"/>
  <c r="A9691" i="19"/>
  <c r="A9690" i="19"/>
  <c r="A9689" i="19"/>
  <c r="A9688" i="19"/>
  <c r="A9687" i="19"/>
  <c r="A9686" i="19"/>
  <c r="A9685" i="19"/>
  <c r="A9684" i="19"/>
  <c r="A9683" i="19"/>
  <c r="A9682" i="19"/>
  <c r="A9681" i="19"/>
  <c r="A9680" i="19"/>
  <c r="A9679" i="19"/>
  <c r="A9678" i="19"/>
  <c r="A9677" i="19"/>
  <c r="A9676" i="19"/>
  <c r="A9675" i="19"/>
  <c r="A9674" i="19"/>
  <c r="A9673" i="19"/>
  <c r="A9672" i="19"/>
  <c r="A9671" i="19"/>
  <c r="A9670" i="19"/>
  <c r="A9669" i="19"/>
  <c r="A9668" i="19"/>
  <c r="A9667" i="19"/>
  <c r="A9666" i="19"/>
  <c r="A9665" i="19"/>
  <c r="A9664" i="19"/>
  <c r="A9663" i="19"/>
  <c r="A9662" i="19"/>
  <c r="A9661" i="19"/>
  <c r="A9660" i="19"/>
  <c r="A9659" i="19"/>
  <c r="A9658" i="19"/>
  <c r="A9657" i="19"/>
  <c r="A9656" i="19"/>
  <c r="A9655" i="19"/>
  <c r="A9654" i="19"/>
  <c r="A9653" i="19"/>
  <c r="A9652" i="19"/>
  <c r="A9651" i="19"/>
  <c r="A9650" i="19"/>
  <c r="A9649" i="19"/>
  <c r="A9648" i="19"/>
  <c r="A9647" i="19"/>
  <c r="A9646" i="19"/>
  <c r="A9645" i="19"/>
  <c r="A9644" i="19"/>
  <c r="A9643" i="19"/>
  <c r="A9642" i="19"/>
  <c r="A9641" i="19"/>
  <c r="A9640" i="19"/>
  <c r="A9639" i="19"/>
  <c r="A9638" i="19"/>
  <c r="A9637" i="19"/>
  <c r="A9636" i="19"/>
  <c r="A9635" i="19"/>
  <c r="A9634" i="19"/>
  <c r="A9633" i="19"/>
  <c r="A9632" i="19"/>
  <c r="A9631" i="19"/>
  <c r="A9630" i="19"/>
  <c r="A9629" i="19"/>
  <c r="A9628" i="19"/>
  <c r="A9627" i="19"/>
  <c r="A9626" i="19"/>
  <c r="A9625" i="19"/>
  <c r="A9624" i="19"/>
  <c r="A9623" i="19"/>
  <c r="A9622" i="19"/>
  <c r="A9621" i="19"/>
  <c r="A9620" i="19"/>
  <c r="A9619" i="19"/>
  <c r="A9618" i="19"/>
  <c r="A9617" i="19"/>
  <c r="A9616" i="19"/>
  <c r="A9615" i="19"/>
  <c r="A9614" i="19"/>
  <c r="A9613" i="19"/>
  <c r="A9612" i="19"/>
  <c r="A9611" i="19"/>
  <c r="A9610" i="19"/>
  <c r="A9609" i="19"/>
  <c r="A9608" i="19"/>
  <c r="A9607" i="19"/>
  <c r="A9606" i="19"/>
  <c r="A9605" i="19"/>
  <c r="A9604" i="19"/>
  <c r="A9603" i="19"/>
  <c r="A9602" i="19"/>
  <c r="A9601" i="19"/>
  <c r="A9600" i="19"/>
  <c r="A9599" i="19"/>
  <c r="A9598" i="19"/>
  <c r="A9597" i="19"/>
  <c r="A9596" i="19"/>
  <c r="A9595" i="19"/>
  <c r="A9594" i="19"/>
  <c r="A9593" i="19"/>
  <c r="A9592" i="19"/>
  <c r="A9591" i="19"/>
  <c r="A9590" i="19"/>
  <c r="A9589" i="19"/>
  <c r="A9588" i="19"/>
  <c r="A9587" i="19"/>
  <c r="A9586" i="19"/>
  <c r="A9585" i="19"/>
  <c r="A9584" i="19"/>
  <c r="A9583" i="19"/>
  <c r="A9582" i="19"/>
  <c r="A9581" i="19"/>
  <c r="A9580" i="19"/>
  <c r="A9579" i="19"/>
  <c r="A9578" i="19"/>
  <c r="A9577" i="19"/>
  <c r="A9576" i="19"/>
  <c r="A9575" i="19"/>
  <c r="A9574" i="19"/>
  <c r="A9573" i="19"/>
  <c r="A9572" i="19"/>
  <c r="A9571" i="19"/>
  <c r="A9570" i="19"/>
  <c r="A9569" i="19"/>
  <c r="A9568" i="19"/>
  <c r="A9567" i="19"/>
  <c r="A9566" i="19"/>
  <c r="A9565" i="19"/>
  <c r="A9564" i="19"/>
  <c r="A9563" i="19"/>
  <c r="A9562" i="19"/>
  <c r="A9561" i="19"/>
  <c r="A9560" i="19"/>
  <c r="A9559" i="19"/>
  <c r="A9558" i="19"/>
  <c r="A9557" i="19"/>
  <c r="A9556" i="19"/>
  <c r="A9555" i="19"/>
  <c r="A9554" i="19"/>
  <c r="A9553" i="19"/>
  <c r="A9552" i="19"/>
  <c r="A9551" i="19"/>
  <c r="A9550" i="19"/>
  <c r="A9549" i="19"/>
  <c r="A9548" i="19"/>
  <c r="A9547" i="19"/>
  <c r="A9546" i="19"/>
  <c r="A9545" i="19"/>
  <c r="A9544" i="19"/>
  <c r="A9543" i="19"/>
  <c r="A9542" i="19"/>
  <c r="A9541" i="19"/>
  <c r="A9540" i="19"/>
  <c r="A9539" i="19"/>
  <c r="A9538" i="19"/>
  <c r="A9537" i="19"/>
  <c r="A9536" i="19"/>
  <c r="A9535" i="19"/>
  <c r="A9534" i="19"/>
  <c r="A9533" i="19"/>
  <c r="A9532" i="19"/>
  <c r="A9531" i="19"/>
  <c r="A9530" i="19"/>
  <c r="A9529" i="19"/>
  <c r="A9528" i="19"/>
  <c r="A9527" i="19"/>
  <c r="A9526" i="19"/>
  <c r="A9525" i="19"/>
  <c r="A9524" i="19"/>
  <c r="A9523" i="19"/>
  <c r="A9522" i="19"/>
  <c r="A9521" i="19"/>
  <c r="A9520" i="19"/>
  <c r="A9519" i="19"/>
  <c r="A9518" i="19"/>
  <c r="A9517" i="19"/>
  <c r="A9516" i="19"/>
  <c r="A9515" i="19"/>
  <c r="A9514" i="19"/>
  <c r="A9513" i="19"/>
  <c r="A9512" i="19"/>
  <c r="A9511" i="19"/>
  <c r="A9510" i="19"/>
  <c r="A9509" i="19"/>
  <c r="A9508" i="19"/>
  <c r="A9507" i="19"/>
  <c r="A9506" i="19"/>
  <c r="A9505" i="19"/>
  <c r="A9504" i="19"/>
  <c r="A9503" i="19"/>
  <c r="A9502" i="19"/>
  <c r="A9501" i="19"/>
  <c r="A9500" i="19"/>
  <c r="A9499" i="19"/>
  <c r="A9498" i="19"/>
  <c r="A9497" i="19"/>
  <c r="A9496" i="19"/>
  <c r="A9495" i="19"/>
  <c r="A9494" i="19"/>
  <c r="A9493" i="19"/>
  <c r="A9492" i="19"/>
  <c r="A9491" i="19"/>
  <c r="A9490" i="19"/>
  <c r="A9489" i="19"/>
  <c r="A9488" i="19"/>
  <c r="A9487" i="19"/>
  <c r="A9486" i="19"/>
  <c r="A9485" i="19"/>
  <c r="A9484" i="19"/>
  <c r="A9483" i="19"/>
  <c r="A9482" i="19"/>
  <c r="A9481" i="19"/>
  <c r="A9480" i="19"/>
  <c r="A9479" i="19"/>
  <c r="A9478" i="19"/>
  <c r="A9477" i="19"/>
  <c r="A9476" i="19"/>
  <c r="A9475" i="19"/>
  <c r="A9474" i="19"/>
  <c r="A9473" i="19"/>
  <c r="A9472" i="19"/>
  <c r="A9471" i="19"/>
  <c r="A9470" i="19"/>
  <c r="A9469" i="19"/>
  <c r="A9468" i="19"/>
  <c r="A9467" i="19"/>
  <c r="A9466" i="19"/>
  <c r="A9465" i="19"/>
  <c r="A9464" i="19"/>
  <c r="A9463" i="19"/>
  <c r="A9462" i="19"/>
  <c r="A9461" i="19"/>
  <c r="A9460" i="19"/>
  <c r="A9459" i="19"/>
  <c r="A9458" i="19"/>
  <c r="A9457" i="19"/>
  <c r="A9456" i="19"/>
  <c r="A9455" i="19"/>
  <c r="A9454" i="19"/>
  <c r="A9453" i="19"/>
  <c r="A9452" i="19"/>
  <c r="A9451" i="19"/>
  <c r="A9450" i="19"/>
  <c r="A9449" i="19"/>
  <c r="A9448" i="19"/>
  <c r="A9447" i="19"/>
  <c r="A9446" i="19"/>
  <c r="A9445" i="19"/>
  <c r="A9444" i="19"/>
  <c r="A9443" i="19"/>
  <c r="A9442" i="19"/>
  <c r="A9441" i="19"/>
  <c r="A9440" i="19"/>
  <c r="A9439" i="19"/>
  <c r="A9438" i="19"/>
  <c r="A9437" i="19"/>
  <c r="A9436" i="19"/>
  <c r="A9435" i="19"/>
  <c r="A9434" i="19"/>
  <c r="A9433" i="19"/>
  <c r="A9432" i="19"/>
  <c r="A9431" i="19"/>
  <c r="A9430" i="19"/>
  <c r="A9429" i="19"/>
  <c r="A9428" i="19"/>
  <c r="A9427" i="19"/>
  <c r="A9426" i="19"/>
  <c r="A9425" i="19"/>
  <c r="A9424" i="19"/>
  <c r="A9423" i="19"/>
  <c r="A9422" i="19"/>
  <c r="A9421" i="19"/>
  <c r="A9420" i="19"/>
  <c r="A9419" i="19"/>
  <c r="A9418" i="19"/>
  <c r="A9417" i="19"/>
  <c r="A9416" i="19"/>
  <c r="A9415" i="19"/>
  <c r="A9414" i="19"/>
  <c r="A9413" i="19"/>
  <c r="A9412" i="19"/>
  <c r="A9411" i="19"/>
  <c r="A9410" i="19"/>
  <c r="A9409" i="19"/>
  <c r="A9408" i="19"/>
  <c r="A9407" i="19"/>
  <c r="A9406" i="19"/>
  <c r="A9405" i="19"/>
  <c r="A9404" i="19"/>
  <c r="A9403" i="19"/>
  <c r="A9402" i="19"/>
  <c r="A9401" i="19"/>
  <c r="A9400" i="19"/>
  <c r="A9399" i="19"/>
  <c r="A9398" i="19"/>
  <c r="A9397" i="19"/>
  <c r="A9396" i="19"/>
  <c r="A9395" i="19"/>
  <c r="A9394" i="19"/>
  <c r="A9393" i="19"/>
  <c r="A9392" i="19"/>
  <c r="A9391" i="19"/>
  <c r="A9390" i="19"/>
  <c r="A9389" i="19"/>
  <c r="A9388" i="19"/>
  <c r="A9387" i="19"/>
  <c r="A9386" i="19"/>
  <c r="A9385" i="19"/>
  <c r="A9384" i="19"/>
  <c r="A9383" i="19"/>
  <c r="A9382" i="19"/>
  <c r="A9381" i="19"/>
  <c r="A9380" i="19"/>
  <c r="A9379" i="19"/>
  <c r="A9378" i="19"/>
  <c r="A9377" i="19"/>
  <c r="A9376" i="19"/>
  <c r="A9375" i="19"/>
  <c r="A9374" i="19"/>
  <c r="A9373" i="19"/>
  <c r="A9372" i="19"/>
  <c r="A9371" i="19"/>
  <c r="A9370" i="19"/>
  <c r="A9369" i="19"/>
  <c r="A9368" i="19"/>
  <c r="A9367" i="19"/>
  <c r="A9366" i="19"/>
  <c r="A9365" i="19"/>
  <c r="A9364" i="19"/>
  <c r="A9363" i="19"/>
  <c r="A9362" i="19"/>
  <c r="A9361" i="19"/>
  <c r="A9360" i="19"/>
  <c r="A9359" i="19"/>
  <c r="A9358" i="19"/>
  <c r="A9357" i="19"/>
  <c r="A9356" i="19"/>
  <c r="A9355" i="19"/>
  <c r="A9354" i="19"/>
  <c r="A9353" i="19"/>
  <c r="A9352" i="19"/>
  <c r="A9351" i="19"/>
  <c r="A9350" i="19"/>
  <c r="A9349" i="19"/>
  <c r="A9348" i="19"/>
  <c r="A9347" i="19"/>
  <c r="A9346" i="19"/>
  <c r="A9345" i="19"/>
  <c r="A9344" i="19"/>
  <c r="A9343" i="19"/>
  <c r="A9342" i="19"/>
  <c r="A9341" i="19"/>
  <c r="A9340" i="19"/>
  <c r="A9339" i="19"/>
  <c r="A9338" i="19"/>
  <c r="A9337" i="19"/>
  <c r="A9336" i="19"/>
  <c r="A9335" i="19"/>
  <c r="A9334" i="19"/>
  <c r="A9333" i="19"/>
  <c r="A9332" i="19"/>
  <c r="A9331" i="19"/>
  <c r="A9330" i="19"/>
  <c r="A9329" i="19"/>
  <c r="A9328" i="19"/>
  <c r="A9327" i="19"/>
  <c r="A9326" i="19"/>
  <c r="A9325" i="19"/>
  <c r="A9324" i="19"/>
  <c r="A9323" i="19"/>
  <c r="A9322" i="19"/>
  <c r="A9321" i="19"/>
  <c r="A9320" i="19"/>
  <c r="A9319" i="19"/>
  <c r="A9318" i="19"/>
  <c r="A9317" i="19"/>
  <c r="A9316" i="19"/>
  <c r="A9315" i="19"/>
  <c r="A9314" i="19"/>
  <c r="A9313" i="19"/>
  <c r="A9312" i="19"/>
  <c r="A9311" i="19"/>
  <c r="A9310" i="19"/>
  <c r="A9309" i="19"/>
  <c r="A9308" i="19"/>
  <c r="A9307" i="19"/>
  <c r="A9306" i="19"/>
  <c r="A9305" i="19"/>
  <c r="A9304" i="19"/>
  <c r="A9303" i="19"/>
  <c r="A9302" i="19"/>
  <c r="A9301" i="19"/>
  <c r="A9300" i="19"/>
  <c r="A9299" i="19"/>
  <c r="A9298" i="19"/>
  <c r="A9297" i="19"/>
  <c r="A9296" i="19"/>
  <c r="A9295" i="19"/>
  <c r="A9294" i="19"/>
  <c r="A9293" i="19"/>
  <c r="A9292" i="19"/>
  <c r="A9291" i="19"/>
  <c r="A9290" i="19"/>
  <c r="A9289" i="19"/>
  <c r="A9288" i="19"/>
  <c r="A9287" i="19"/>
  <c r="A9286" i="19"/>
  <c r="A9285" i="19"/>
  <c r="A9284" i="19"/>
  <c r="A9283" i="19"/>
  <c r="A9282" i="19"/>
  <c r="A9281" i="19"/>
  <c r="A9280" i="19"/>
  <c r="A9279" i="19"/>
  <c r="A9278" i="19"/>
  <c r="A9277" i="19"/>
  <c r="A9276" i="19"/>
  <c r="A9275" i="19"/>
  <c r="A9274" i="19"/>
  <c r="A9273" i="19"/>
  <c r="A9272" i="19"/>
  <c r="A9271" i="19"/>
  <c r="A9270" i="19"/>
  <c r="A9269" i="19"/>
  <c r="A9268" i="19"/>
  <c r="A9267" i="19"/>
  <c r="A9266" i="19"/>
  <c r="A9265" i="19"/>
  <c r="A9264" i="19"/>
  <c r="A9263" i="19"/>
  <c r="A9262" i="19"/>
  <c r="A9261" i="19"/>
  <c r="A9260" i="19"/>
  <c r="A9259" i="19"/>
  <c r="A9258" i="19"/>
  <c r="A9257" i="19"/>
  <c r="A9256" i="19"/>
  <c r="A9255" i="19"/>
  <c r="A9254" i="19"/>
  <c r="A9253" i="19"/>
  <c r="A9252" i="19"/>
  <c r="A9251" i="19"/>
  <c r="A9250" i="19"/>
  <c r="A9249" i="19"/>
  <c r="A9248" i="19"/>
  <c r="A9247" i="19"/>
  <c r="A9246" i="19"/>
  <c r="A9245" i="19"/>
  <c r="A9244" i="19"/>
  <c r="A9243" i="19"/>
  <c r="A9242" i="19"/>
  <c r="A9241" i="19"/>
  <c r="A9240" i="19"/>
  <c r="A9239" i="19"/>
  <c r="A9238" i="19"/>
  <c r="A9237" i="19"/>
  <c r="A9236" i="19"/>
  <c r="A9235" i="19"/>
  <c r="A9234" i="19"/>
  <c r="A9233" i="19"/>
  <c r="A9232" i="19"/>
  <c r="A9231" i="19"/>
  <c r="A9230" i="19"/>
  <c r="A9229" i="19"/>
  <c r="A9228" i="19"/>
  <c r="A9227" i="19"/>
  <c r="A9226" i="19"/>
  <c r="A9225" i="19"/>
  <c r="A9224" i="19"/>
  <c r="A9223" i="19"/>
  <c r="A9222" i="19"/>
  <c r="A9221" i="19"/>
  <c r="A9220" i="19"/>
  <c r="A9219" i="19"/>
  <c r="A9218" i="19"/>
  <c r="A9217" i="19"/>
  <c r="A9216" i="19"/>
  <c r="A9215" i="19"/>
  <c r="A9214" i="19"/>
  <c r="A9213" i="19"/>
  <c r="A9212" i="19"/>
  <c r="A9211" i="19"/>
  <c r="A9210" i="19"/>
  <c r="A9209" i="19"/>
  <c r="A9208" i="19"/>
  <c r="A9207" i="19"/>
  <c r="A9206" i="19"/>
  <c r="A9205" i="19"/>
  <c r="A9204" i="19"/>
  <c r="A9203" i="19"/>
  <c r="A9202" i="19"/>
  <c r="A9201" i="19"/>
  <c r="A9200" i="19"/>
  <c r="A9199" i="19"/>
  <c r="A9198" i="19"/>
  <c r="A9197" i="19"/>
  <c r="A9196" i="19"/>
  <c r="A9195" i="19"/>
  <c r="A9194" i="19"/>
  <c r="A9193" i="19"/>
  <c r="A9192" i="19"/>
  <c r="A9191" i="19"/>
  <c r="A9190" i="19"/>
  <c r="A9189" i="19"/>
  <c r="A9188" i="19"/>
  <c r="A9187" i="19"/>
  <c r="A9186" i="19"/>
  <c r="A9185" i="19"/>
  <c r="A9184" i="19"/>
  <c r="A9183" i="19"/>
  <c r="A9182" i="19"/>
  <c r="A9181" i="19"/>
  <c r="A9180" i="19"/>
  <c r="A9179" i="19"/>
  <c r="A9178" i="19"/>
  <c r="A9177" i="19"/>
  <c r="A9176" i="19"/>
  <c r="A9175" i="19"/>
  <c r="A9174" i="19"/>
  <c r="A9173" i="19"/>
  <c r="A9172" i="19"/>
  <c r="A9171" i="19"/>
  <c r="A9170" i="19"/>
  <c r="A9169" i="19"/>
  <c r="A9168" i="19"/>
  <c r="A9167" i="19"/>
  <c r="A9166" i="19"/>
  <c r="A9165" i="19"/>
  <c r="A9164" i="19"/>
  <c r="A9163" i="19"/>
  <c r="A9162" i="19"/>
  <c r="A9161" i="19"/>
  <c r="A9160" i="19"/>
  <c r="A9159" i="19"/>
  <c r="A9158" i="19"/>
  <c r="A9157" i="19"/>
  <c r="A9156" i="19"/>
  <c r="A9155" i="19"/>
  <c r="A9154" i="19"/>
  <c r="A9153" i="19"/>
  <c r="A9152" i="19"/>
  <c r="A9151" i="19"/>
  <c r="A9150" i="19"/>
  <c r="A9149" i="19"/>
  <c r="A9148" i="19"/>
  <c r="A9147" i="19"/>
  <c r="A9146" i="19"/>
  <c r="A9145" i="19"/>
  <c r="A9144" i="19"/>
  <c r="A9143" i="19"/>
  <c r="A9142" i="19"/>
  <c r="A9141" i="19"/>
  <c r="A9140" i="19"/>
  <c r="A9139" i="19"/>
  <c r="A9138" i="19"/>
  <c r="A9137" i="19"/>
  <c r="A9136" i="19"/>
  <c r="A9135" i="19"/>
  <c r="A9134" i="19"/>
  <c r="A9133" i="19"/>
  <c r="A9132" i="19"/>
  <c r="A9131" i="19"/>
  <c r="A9130" i="19"/>
  <c r="A9129" i="19"/>
  <c r="A9128" i="19"/>
  <c r="A9127" i="19"/>
  <c r="A9126" i="19"/>
  <c r="A9125" i="19"/>
  <c r="A9124" i="19"/>
  <c r="A9123" i="19"/>
  <c r="A9122" i="19"/>
  <c r="A9121" i="19"/>
  <c r="A9120" i="19"/>
  <c r="A9119" i="19"/>
  <c r="A9118" i="19"/>
  <c r="A9117" i="19"/>
  <c r="A9116" i="19"/>
  <c r="A9115" i="19"/>
  <c r="A9114" i="19"/>
  <c r="A9113" i="19"/>
  <c r="A9112" i="19"/>
  <c r="A9111" i="19"/>
  <c r="A9110" i="19"/>
  <c r="A9109" i="19"/>
  <c r="A9108" i="19"/>
  <c r="A9107" i="19"/>
  <c r="A9106" i="19"/>
  <c r="A9105" i="19"/>
  <c r="A9104" i="19"/>
  <c r="A9103" i="19"/>
  <c r="A9102" i="19"/>
  <c r="A9101" i="19"/>
  <c r="A9100" i="19"/>
  <c r="A9099" i="19"/>
  <c r="A9098" i="19"/>
  <c r="A9097" i="19"/>
  <c r="A9096" i="19"/>
  <c r="A9095" i="19"/>
  <c r="A9094" i="19"/>
  <c r="A9093" i="19"/>
  <c r="A9092" i="19"/>
  <c r="A9091" i="19"/>
  <c r="A9090" i="19"/>
  <c r="A9089" i="19"/>
  <c r="A9088" i="19"/>
  <c r="A9087" i="19"/>
  <c r="A9086" i="19"/>
  <c r="A9085" i="19"/>
  <c r="A9084" i="19"/>
  <c r="A9083" i="19"/>
  <c r="A9082" i="19"/>
  <c r="A9081" i="19"/>
  <c r="A9080" i="19"/>
  <c r="A9079" i="19"/>
  <c r="A9078" i="19"/>
  <c r="A9077" i="19"/>
  <c r="A9076" i="19"/>
  <c r="A9075" i="19"/>
  <c r="A9074" i="19"/>
  <c r="A9073" i="19"/>
  <c r="A9072" i="19"/>
  <c r="A9071" i="19"/>
  <c r="A9070" i="19"/>
  <c r="A9069" i="19"/>
  <c r="A9068" i="19"/>
  <c r="A9067" i="19"/>
  <c r="A9066" i="19"/>
  <c r="A9065" i="19"/>
  <c r="A9064" i="19"/>
  <c r="A9063" i="19"/>
  <c r="A9062" i="19"/>
  <c r="A9061" i="19"/>
  <c r="A9060" i="19"/>
  <c r="A9059" i="19"/>
  <c r="A9058" i="19"/>
  <c r="A9057" i="19"/>
  <c r="A9056" i="19"/>
  <c r="A9055" i="19"/>
  <c r="A9054" i="19"/>
  <c r="A9053" i="19"/>
  <c r="A9052" i="19"/>
  <c r="A9051" i="19"/>
  <c r="A9050" i="19"/>
  <c r="A9049" i="19"/>
  <c r="A9048" i="19"/>
  <c r="A9047" i="19"/>
  <c r="A9046" i="19"/>
  <c r="A9045" i="19"/>
  <c r="A9044" i="19"/>
  <c r="A9043" i="19"/>
  <c r="A9042" i="19"/>
  <c r="A9041" i="19"/>
  <c r="A9040" i="19"/>
  <c r="A9039" i="19"/>
  <c r="A9038" i="19"/>
  <c r="A9037" i="19"/>
  <c r="A9036" i="19"/>
  <c r="A9035" i="19"/>
  <c r="A9034" i="19"/>
  <c r="A9033" i="19"/>
  <c r="A9032" i="19"/>
  <c r="A9031" i="19"/>
  <c r="A9030" i="19"/>
  <c r="A9029" i="19"/>
  <c r="A9028" i="19"/>
  <c r="A9027" i="19"/>
  <c r="A9026" i="19"/>
  <c r="A9025" i="19"/>
  <c r="A9024" i="19"/>
  <c r="A9023" i="19"/>
  <c r="A9022" i="19"/>
  <c r="A9021" i="19"/>
  <c r="A9020" i="19"/>
  <c r="A9019" i="19"/>
  <c r="A9018" i="19"/>
  <c r="A9017" i="19"/>
  <c r="A9016" i="19"/>
  <c r="A9015" i="19"/>
  <c r="A9014" i="19"/>
  <c r="A9013" i="19"/>
  <c r="A9012" i="19"/>
  <c r="A9011" i="19"/>
  <c r="A9010" i="19"/>
  <c r="A9009" i="19"/>
  <c r="A9008" i="19"/>
  <c r="A9007" i="19"/>
  <c r="A9006" i="19"/>
  <c r="A9005" i="19"/>
  <c r="A9004" i="19"/>
  <c r="A9003" i="19"/>
  <c r="A9002" i="19"/>
  <c r="A9001" i="19"/>
  <c r="A9000" i="19"/>
  <c r="A8999" i="19"/>
  <c r="A8998" i="19"/>
  <c r="A8997" i="19"/>
  <c r="A8996" i="19"/>
  <c r="A8995" i="19"/>
  <c r="A8994" i="19"/>
  <c r="A8993" i="19"/>
  <c r="A8992" i="19"/>
  <c r="A8991" i="19"/>
  <c r="A8990" i="19"/>
  <c r="A8989" i="19"/>
  <c r="A8988" i="19"/>
  <c r="A8987" i="19"/>
  <c r="A8986" i="19"/>
  <c r="A8985" i="19"/>
  <c r="A8984" i="19"/>
  <c r="A8983" i="19"/>
  <c r="A8982" i="19"/>
  <c r="A8981" i="19"/>
  <c r="A8980" i="19"/>
  <c r="A8979" i="19"/>
  <c r="A8978" i="19"/>
  <c r="A8977" i="19"/>
  <c r="A8976" i="19"/>
  <c r="A8975" i="19"/>
  <c r="A8974" i="19"/>
  <c r="A8973" i="19"/>
  <c r="A8972" i="19"/>
  <c r="A8971" i="19"/>
  <c r="A8970" i="19"/>
  <c r="A8969" i="19"/>
  <c r="A8968" i="19"/>
  <c r="A8967" i="19"/>
  <c r="A8966" i="19"/>
  <c r="A8965" i="19"/>
  <c r="A8964" i="19"/>
  <c r="A8963" i="19"/>
  <c r="A8962" i="19"/>
  <c r="A8961" i="19"/>
  <c r="A8960" i="19"/>
  <c r="A8959" i="19"/>
  <c r="A8958" i="19"/>
  <c r="A8957" i="19"/>
  <c r="A8956" i="19"/>
  <c r="A8955" i="19"/>
  <c r="A8954" i="19"/>
  <c r="A8953" i="19"/>
  <c r="A8952" i="19"/>
  <c r="A8951" i="19"/>
  <c r="A8950" i="19"/>
  <c r="A8949" i="19"/>
  <c r="A8948" i="19"/>
  <c r="A8947" i="19"/>
  <c r="A8946" i="19"/>
  <c r="A8945" i="19"/>
  <c r="A8944" i="19"/>
  <c r="A8943" i="19"/>
  <c r="A8942" i="19"/>
  <c r="A8941" i="19"/>
  <c r="A8940" i="19"/>
  <c r="A8939" i="19"/>
  <c r="A8938" i="19"/>
  <c r="A8937" i="19"/>
  <c r="A8936" i="19"/>
  <c r="A8935" i="19"/>
  <c r="A8934" i="19"/>
  <c r="A8933" i="19"/>
  <c r="A8932" i="19"/>
  <c r="A8931" i="19"/>
  <c r="A8930" i="19"/>
  <c r="A8929" i="19"/>
  <c r="A8928" i="19"/>
  <c r="A8927" i="19"/>
  <c r="A8926" i="19"/>
  <c r="A8925" i="19"/>
  <c r="A8924" i="19"/>
  <c r="A8923" i="19"/>
  <c r="A8922" i="19"/>
  <c r="A8921" i="19"/>
  <c r="A8920" i="19"/>
  <c r="A8919" i="19"/>
  <c r="A8918" i="19"/>
  <c r="A8917" i="19"/>
  <c r="A8916" i="19"/>
  <c r="A8915" i="19"/>
  <c r="A8914" i="19"/>
  <c r="A8913" i="19"/>
  <c r="A8912" i="19"/>
  <c r="A8911" i="19"/>
  <c r="A8910" i="19"/>
  <c r="A8909" i="19"/>
  <c r="A8908" i="19"/>
  <c r="A8907" i="19"/>
  <c r="A8906" i="19"/>
  <c r="A8905" i="19"/>
  <c r="A8904" i="19"/>
  <c r="A8903" i="19"/>
  <c r="A8902" i="19"/>
  <c r="A8901" i="19"/>
  <c r="A8900" i="19"/>
  <c r="A8899" i="19"/>
  <c r="A8898" i="19"/>
  <c r="A8897" i="19"/>
  <c r="A8896" i="19"/>
  <c r="A8895" i="19"/>
  <c r="A8894" i="19"/>
  <c r="A8893" i="19"/>
  <c r="A8892" i="19"/>
  <c r="A8891" i="19"/>
  <c r="A8890" i="19"/>
  <c r="A8889" i="19"/>
  <c r="A8888" i="19"/>
  <c r="A8887" i="19"/>
  <c r="A8886" i="19"/>
  <c r="A8885" i="19"/>
  <c r="A8884" i="19"/>
  <c r="A8883" i="19"/>
  <c r="A8882" i="19"/>
  <c r="A8881" i="19"/>
  <c r="A8880" i="19"/>
  <c r="A8879" i="19"/>
  <c r="A8878" i="19"/>
  <c r="A8877" i="19"/>
  <c r="A8876" i="19"/>
  <c r="A8875" i="19"/>
  <c r="A8874" i="19"/>
  <c r="A8873" i="19"/>
  <c r="A8872" i="19"/>
  <c r="A8871" i="19"/>
  <c r="A8870" i="19"/>
  <c r="A8869" i="19"/>
  <c r="A8868" i="19"/>
  <c r="A8867" i="19"/>
  <c r="A8866" i="19"/>
  <c r="A8865" i="19"/>
  <c r="A8864" i="19"/>
  <c r="A8863" i="19"/>
  <c r="A8862" i="19"/>
  <c r="A8861" i="19"/>
  <c r="A8860" i="19"/>
  <c r="A8859" i="19"/>
  <c r="A8858" i="19"/>
  <c r="A8857" i="19"/>
  <c r="A8856" i="19"/>
  <c r="A8855" i="19"/>
  <c r="A8854" i="19"/>
  <c r="A8853" i="19"/>
  <c r="A8852" i="19"/>
  <c r="A8851" i="19"/>
  <c r="A8850" i="19"/>
  <c r="A8849" i="19"/>
  <c r="A8848" i="19"/>
  <c r="A8847" i="19"/>
  <c r="A8846" i="19"/>
  <c r="A8845" i="19"/>
  <c r="A8844" i="19"/>
  <c r="A8843" i="19"/>
  <c r="A8842" i="19"/>
  <c r="A8841" i="19"/>
  <c r="A8840" i="19"/>
  <c r="A8839" i="19"/>
  <c r="A8838" i="19"/>
  <c r="A8837" i="19"/>
  <c r="A8836" i="19"/>
  <c r="A8835" i="19"/>
  <c r="A8834" i="19"/>
  <c r="A8833" i="19"/>
  <c r="A8832" i="19"/>
  <c r="A8831" i="19"/>
  <c r="A8830" i="19"/>
  <c r="A8829" i="19"/>
  <c r="A8828" i="19"/>
  <c r="A8827" i="19"/>
  <c r="A8826" i="19"/>
  <c r="A8825" i="19"/>
  <c r="A8824" i="19"/>
  <c r="A8823" i="19"/>
  <c r="A8822" i="19"/>
  <c r="A8821" i="19"/>
  <c r="A8820" i="19"/>
  <c r="A8819" i="19"/>
  <c r="A8818" i="19"/>
  <c r="A8817" i="19"/>
  <c r="A8816" i="19"/>
  <c r="A8815" i="19"/>
  <c r="A8814" i="19"/>
  <c r="A8813" i="19"/>
  <c r="A8812" i="19"/>
  <c r="A8811" i="19"/>
  <c r="A8810" i="19"/>
  <c r="A8809" i="19"/>
  <c r="A8808" i="19"/>
  <c r="A8807" i="19"/>
  <c r="A8806" i="19"/>
  <c r="A8805" i="19"/>
  <c r="A8804" i="19"/>
  <c r="A8803" i="19"/>
  <c r="A8802" i="19"/>
  <c r="A8801" i="19"/>
  <c r="A8800" i="19"/>
  <c r="A8799" i="19"/>
  <c r="A8798" i="19"/>
  <c r="A8797" i="19"/>
  <c r="A8796" i="19"/>
  <c r="A8795" i="19"/>
  <c r="A8794" i="19"/>
  <c r="A8793" i="19"/>
  <c r="A8792" i="19"/>
  <c r="A8791" i="19"/>
  <c r="A8790" i="19"/>
  <c r="A8789" i="19"/>
  <c r="A8788" i="19"/>
  <c r="A8787" i="19"/>
  <c r="A8786" i="19"/>
  <c r="A8785" i="19"/>
  <c r="A8784" i="19"/>
  <c r="A8783" i="19"/>
  <c r="A8782" i="19"/>
  <c r="A8781" i="19"/>
  <c r="A8780" i="19"/>
  <c r="A8779" i="19"/>
  <c r="A8778" i="19"/>
  <c r="A8777" i="19"/>
  <c r="A8776" i="19"/>
  <c r="A8775" i="19"/>
  <c r="A8774" i="19"/>
  <c r="A8773" i="19"/>
  <c r="A8772" i="19"/>
  <c r="A8771" i="19"/>
  <c r="A8770" i="19"/>
  <c r="A8769" i="19"/>
  <c r="A8768" i="19"/>
  <c r="A8767" i="19"/>
  <c r="A8766" i="19"/>
  <c r="A8765" i="19"/>
  <c r="A8764" i="19"/>
  <c r="A8763" i="19"/>
  <c r="A8762" i="19"/>
  <c r="A8761" i="19"/>
  <c r="A8760" i="19"/>
  <c r="A8759" i="19"/>
  <c r="A8758" i="19"/>
  <c r="A8757" i="19"/>
  <c r="A8756" i="19"/>
  <c r="A8755" i="19"/>
  <c r="A8754" i="19"/>
  <c r="A8753" i="19"/>
  <c r="A8752" i="19"/>
  <c r="A8751" i="19"/>
  <c r="A8750" i="19"/>
  <c r="A8749" i="19"/>
  <c r="A8748" i="19"/>
  <c r="A8747" i="19"/>
  <c r="A8746" i="19"/>
  <c r="A8745" i="19"/>
  <c r="A8744" i="19"/>
  <c r="A8743" i="19"/>
  <c r="A8742" i="19"/>
  <c r="A8741" i="19"/>
  <c r="A8740" i="19"/>
  <c r="A8739" i="19"/>
  <c r="A8738" i="19"/>
  <c r="A8737" i="19"/>
  <c r="A8736" i="19"/>
  <c r="A8735" i="19"/>
  <c r="A8734" i="19"/>
  <c r="A8733" i="19"/>
  <c r="A8732" i="19"/>
  <c r="A8731" i="19"/>
  <c r="A8730" i="19"/>
  <c r="A8729" i="19"/>
  <c r="A8728" i="19"/>
  <c r="A8727" i="19"/>
  <c r="A8726" i="19"/>
  <c r="A8725" i="19"/>
  <c r="A8724" i="19"/>
  <c r="A8723" i="19"/>
  <c r="A8722" i="19"/>
  <c r="A8721" i="19"/>
  <c r="A8720" i="19"/>
  <c r="A8719" i="19"/>
  <c r="A8718" i="19"/>
  <c r="A8717" i="19"/>
  <c r="A8716" i="19"/>
  <c r="A8715" i="19"/>
  <c r="A8714" i="19"/>
  <c r="A8713" i="19"/>
  <c r="A8712" i="19"/>
  <c r="A8711" i="19"/>
  <c r="A8710" i="19"/>
  <c r="A8709" i="19"/>
  <c r="A8708" i="19"/>
  <c r="A8707" i="19"/>
  <c r="A8706" i="19"/>
  <c r="A8705" i="19"/>
  <c r="A8704" i="19"/>
  <c r="A8703" i="19"/>
  <c r="A8702" i="19"/>
  <c r="A8701" i="19"/>
  <c r="A8700" i="19"/>
  <c r="A8699" i="19"/>
  <c r="A8698" i="19"/>
  <c r="A8697" i="19"/>
  <c r="A8696" i="19"/>
  <c r="A8695" i="19"/>
  <c r="A8694" i="19"/>
  <c r="A8693" i="19"/>
  <c r="A8692" i="19"/>
  <c r="A8691" i="19"/>
  <c r="A8690" i="19"/>
  <c r="A8689" i="19"/>
  <c r="A8688" i="19"/>
  <c r="A8687" i="19"/>
  <c r="A8686" i="19"/>
  <c r="A8685" i="19"/>
  <c r="A8684" i="19"/>
  <c r="A8683" i="19"/>
  <c r="A8682" i="19"/>
  <c r="A8681" i="19"/>
  <c r="A8680" i="19"/>
  <c r="A8679" i="19"/>
  <c r="A8678" i="19"/>
  <c r="A8677" i="19"/>
  <c r="A8676" i="19"/>
  <c r="A8675" i="19"/>
  <c r="A8674" i="19"/>
  <c r="A8673" i="19"/>
  <c r="A8672" i="19"/>
  <c r="A8671" i="19"/>
  <c r="A8670" i="19"/>
  <c r="A8669" i="19"/>
  <c r="A8668" i="19"/>
  <c r="A8667" i="19"/>
  <c r="A8666" i="19"/>
  <c r="A8665" i="19"/>
  <c r="A8664" i="19"/>
  <c r="A8663" i="19"/>
  <c r="A8662" i="19"/>
  <c r="A8661" i="19"/>
  <c r="A8660" i="19"/>
  <c r="A8659" i="19"/>
  <c r="A8658" i="19"/>
  <c r="A8657" i="19"/>
  <c r="A8656" i="19"/>
  <c r="A8655" i="19"/>
  <c r="A8654" i="19"/>
  <c r="A8653" i="19"/>
  <c r="A8652" i="19"/>
  <c r="A8651" i="19"/>
  <c r="A8650" i="19"/>
  <c r="A8649" i="19"/>
  <c r="A8648" i="19"/>
  <c r="A8647" i="19"/>
  <c r="A8646" i="19"/>
  <c r="A8645" i="19"/>
  <c r="A8644" i="19"/>
  <c r="A8643" i="19"/>
  <c r="A8642" i="19"/>
  <c r="A8641" i="19"/>
  <c r="A8640" i="19"/>
  <c r="A8639" i="19"/>
  <c r="A8638" i="19"/>
  <c r="A8637" i="19"/>
  <c r="A8636" i="19"/>
  <c r="A8635" i="19"/>
  <c r="A8634" i="19"/>
  <c r="A8633" i="19"/>
  <c r="A8632" i="19"/>
  <c r="A8631" i="19"/>
  <c r="A8630" i="19"/>
  <c r="A8629" i="19"/>
  <c r="A8628" i="19"/>
  <c r="A8627" i="19"/>
  <c r="A8626" i="19"/>
  <c r="A8625" i="19"/>
  <c r="A8624" i="19"/>
  <c r="A8623" i="19"/>
  <c r="A8622" i="19"/>
  <c r="A8621" i="19"/>
  <c r="A8620" i="19"/>
  <c r="A8619" i="19"/>
  <c r="A8618" i="19"/>
  <c r="A8617" i="19"/>
  <c r="A8616" i="19"/>
  <c r="A8615" i="19"/>
  <c r="A8614" i="19"/>
  <c r="A8613" i="19"/>
  <c r="A8612" i="19"/>
  <c r="A8611" i="19"/>
  <c r="A8610" i="19"/>
  <c r="A8609" i="19"/>
  <c r="A8608" i="19"/>
  <c r="A8607" i="19"/>
  <c r="A8606" i="19"/>
  <c r="A8605" i="19"/>
  <c r="A8604" i="19"/>
  <c r="A8603" i="19"/>
  <c r="A8602" i="19"/>
  <c r="A8601" i="19"/>
  <c r="A8600" i="19"/>
  <c r="A8599" i="19"/>
  <c r="A8598" i="19"/>
  <c r="A8597" i="19"/>
  <c r="A8596" i="19"/>
  <c r="A8595" i="19"/>
  <c r="A8594" i="19"/>
  <c r="A8593" i="19"/>
  <c r="A8592" i="19"/>
  <c r="A8591" i="19"/>
  <c r="A8590" i="19"/>
  <c r="A8589" i="19"/>
  <c r="A8588" i="19"/>
  <c r="A8587" i="19"/>
  <c r="A8586" i="19"/>
  <c r="A8585" i="19"/>
  <c r="A8584" i="19"/>
  <c r="A8583" i="19"/>
  <c r="A8582" i="19"/>
  <c r="A8581" i="19"/>
  <c r="A8580" i="19"/>
  <c r="A8579" i="19"/>
  <c r="A8578" i="19"/>
  <c r="A8577" i="19"/>
  <c r="A8576" i="19"/>
  <c r="A8575" i="19"/>
  <c r="A8574" i="19"/>
  <c r="A8573" i="19"/>
  <c r="A8572" i="19"/>
  <c r="A8571" i="19"/>
  <c r="A8570" i="19"/>
  <c r="A8569" i="19"/>
  <c r="A8568" i="19"/>
  <c r="A8567" i="19"/>
  <c r="A8566" i="19"/>
  <c r="A8565" i="19"/>
  <c r="A8564" i="19"/>
  <c r="A8563" i="19"/>
  <c r="A8562" i="19"/>
  <c r="A8561" i="19"/>
  <c r="A8560" i="19"/>
  <c r="A8559" i="19"/>
  <c r="A8558" i="19"/>
  <c r="A8557" i="19"/>
  <c r="A8556" i="19"/>
  <c r="A8555" i="19"/>
  <c r="A8554" i="19"/>
  <c r="A8553" i="19"/>
  <c r="A8552" i="19"/>
  <c r="A8551" i="19"/>
  <c r="A8550" i="19"/>
  <c r="A8549" i="19"/>
  <c r="A8548" i="19"/>
  <c r="A8547" i="19"/>
  <c r="A8546" i="19"/>
  <c r="A8545" i="19"/>
  <c r="A8544" i="19"/>
  <c r="A8543" i="19"/>
  <c r="A8542" i="19"/>
  <c r="A8541" i="19"/>
  <c r="A8540" i="19"/>
  <c r="A8539" i="19"/>
  <c r="A8538" i="19"/>
  <c r="A8537" i="19"/>
  <c r="A8536" i="19"/>
  <c r="A8535" i="19"/>
  <c r="A8534" i="19"/>
  <c r="A8533" i="19"/>
  <c r="A8532" i="19"/>
  <c r="A8531" i="19"/>
  <c r="A8530" i="19"/>
  <c r="A8529" i="19"/>
  <c r="A8528" i="19"/>
  <c r="A8527" i="19"/>
  <c r="A8526" i="19"/>
  <c r="A8525" i="19"/>
  <c r="A8524" i="19"/>
  <c r="A8523" i="19"/>
  <c r="A8522" i="19"/>
  <c r="A8521" i="19"/>
  <c r="A8520" i="19"/>
  <c r="A8519" i="19"/>
  <c r="A8518" i="19"/>
  <c r="A8517" i="19"/>
  <c r="A8516" i="19"/>
  <c r="A8515" i="19"/>
  <c r="A8514" i="19"/>
  <c r="A8513" i="19"/>
  <c r="A8512" i="19"/>
  <c r="A8511" i="19"/>
  <c r="A8510" i="19"/>
  <c r="A8509" i="19"/>
  <c r="A8508" i="19"/>
  <c r="A8507" i="19"/>
  <c r="A8506" i="19"/>
  <c r="A8505" i="19"/>
  <c r="A8504" i="19"/>
  <c r="A8503" i="19"/>
  <c r="A8502" i="19"/>
  <c r="A8501" i="19"/>
  <c r="A8500" i="19"/>
  <c r="A8499" i="19"/>
  <c r="A8498" i="19"/>
  <c r="A8497" i="19"/>
  <c r="A8496" i="19"/>
  <c r="A8495" i="19"/>
  <c r="A8494" i="19"/>
  <c r="A8493" i="19"/>
  <c r="A8492" i="19"/>
  <c r="A8491" i="19"/>
  <c r="A8490" i="19"/>
  <c r="A8489" i="19"/>
  <c r="A8488" i="19"/>
  <c r="A8487" i="19"/>
  <c r="A8486" i="19"/>
  <c r="A8485" i="19"/>
  <c r="A8484" i="19"/>
  <c r="A8483" i="19"/>
  <c r="A8482" i="19"/>
  <c r="A8481" i="19"/>
  <c r="A8480" i="19"/>
  <c r="A8479" i="19"/>
  <c r="A8478" i="19"/>
  <c r="A8477" i="19"/>
  <c r="A8476" i="19"/>
  <c r="A8475" i="19"/>
  <c r="A8474" i="19"/>
  <c r="A8473" i="19"/>
  <c r="A8472" i="19"/>
  <c r="A8471" i="19"/>
  <c r="A8470" i="19"/>
  <c r="A8469" i="19"/>
  <c r="A8468" i="19"/>
  <c r="A8467" i="19"/>
  <c r="A8466" i="19"/>
  <c r="A8465" i="19"/>
  <c r="A8464" i="19"/>
  <c r="A8463" i="19"/>
  <c r="A8462" i="19"/>
  <c r="A8461" i="19"/>
  <c r="A8460" i="19"/>
  <c r="A8459" i="19"/>
  <c r="A8458" i="19"/>
  <c r="A8457" i="19"/>
  <c r="A8456" i="19"/>
  <c r="A8455" i="19"/>
  <c r="A8454" i="19"/>
  <c r="A8453" i="19"/>
  <c r="A8452" i="19"/>
  <c r="A8451" i="19"/>
  <c r="A8450" i="19"/>
  <c r="A8449" i="19"/>
  <c r="A8448" i="19"/>
  <c r="A8447" i="19"/>
  <c r="A8446" i="19"/>
  <c r="A8445" i="19"/>
  <c r="A8444" i="19"/>
  <c r="A8443" i="19"/>
  <c r="A8442" i="19"/>
  <c r="A8441" i="19"/>
  <c r="A8440" i="19"/>
  <c r="A8439" i="19"/>
  <c r="A8438" i="19"/>
  <c r="A8437" i="19"/>
  <c r="A8436" i="19"/>
  <c r="A8435" i="19"/>
  <c r="A8434" i="19"/>
  <c r="A8433" i="19"/>
  <c r="A8432" i="19"/>
  <c r="A8431" i="19"/>
  <c r="A8430" i="19"/>
  <c r="A8429" i="19"/>
  <c r="A8428" i="19"/>
  <c r="A8427" i="19"/>
  <c r="A8426" i="19"/>
  <c r="A8425" i="19"/>
  <c r="A8424" i="19"/>
  <c r="A8423" i="19"/>
  <c r="A8422" i="19"/>
  <c r="A8421" i="19"/>
  <c r="A8420" i="19"/>
  <c r="A8419" i="19"/>
  <c r="A8418" i="19"/>
  <c r="A8417" i="19"/>
  <c r="A8416" i="19"/>
  <c r="A8415" i="19"/>
  <c r="A8414" i="19"/>
  <c r="A8413" i="19"/>
  <c r="A8412" i="19"/>
  <c r="A8411" i="19"/>
  <c r="A8410" i="19"/>
  <c r="A8409" i="19"/>
  <c r="A8408" i="19"/>
  <c r="A8407" i="19"/>
  <c r="A8406" i="19"/>
  <c r="A8405" i="19"/>
  <c r="A8404" i="19"/>
  <c r="A8403" i="19"/>
  <c r="A8402" i="19"/>
  <c r="A8401" i="19"/>
  <c r="A8400" i="19"/>
  <c r="A8399" i="19"/>
  <c r="A8398" i="19"/>
  <c r="A8397" i="19"/>
  <c r="A8396" i="19"/>
  <c r="A8395" i="19"/>
  <c r="A8394" i="19"/>
  <c r="A8393" i="19"/>
  <c r="A8392" i="19"/>
  <c r="A8391" i="19"/>
  <c r="A8390" i="19"/>
  <c r="A8389" i="19"/>
  <c r="A8388" i="19"/>
  <c r="A8387" i="19"/>
  <c r="A8386" i="19"/>
  <c r="A8385" i="19"/>
  <c r="A8384" i="19"/>
  <c r="A8383" i="19"/>
  <c r="A8382" i="19"/>
  <c r="A8381" i="19"/>
  <c r="A8380" i="19"/>
  <c r="A8379" i="19"/>
  <c r="A8378" i="19"/>
  <c r="A8377" i="19"/>
  <c r="A8376" i="19"/>
  <c r="A8375" i="19"/>
  <c r="A8374" i="19"/>
  <c r="A8373" i="19"/>
  <c r="A8372" i="19"/>
  <c r="A8371" i="19"/>
  <c r="A8370" i="19"/>
  <c r="A8369" i="19"/>
  <c r="A8368" i="19"/>
  <c r="A8367" i="19"/>
  <c r="A8366" i="19"/>
  <c r="A8365" i="19"/>
  <c r="A8364" i="19"/>
  <c r="A8363" i="19"/>
  <c r="A8362" i="19"/>
  <c r="A8361" i="19"/>
  <c r="A8360" i="19"/>
  <c r="A8359" i="19"/>
  <c r="A8358" i="19"/>
  <c r="A8357" i="19"/>
  <c r="A8356" i="19"/>
  <c r="A8355" i="19"/>
  <c r="A8354" i="19"/>
  <c r="A8353" i="19"/>
  <c r="A8352" i="19"/>
  <c r="A8351" i="19"/>
  <c r="A8350" i="19"/>
  <c r="A8349" i="19"/>
  <c r="A8348" i="19"/>
  <c r="A8347" i="19"/>
  <c r="A8346" i="19"/>
  <c r="A8345" i="19"/>
  <c r="A8344" i="19"/>
  <c r="A8343" i="19"/>
  <c r="A8342" i="19"/>
  <c r="A8341" i="19"/>
  <c r="A8340" i="19"/>
  <c r="A8339" i="19"/>
  <c r="A8338" i="19"/>
  <c r="A8337" i="19"/>
  <c r="A8336" i="19"/>
  <c r="A8335" i="19"/>
  <c r="A8334" i="19"/>
  <c r="A8333" i="19"/>
  <c r="A8332" i="19"/>
  <c r="A8331" i="19"/>
  <c r="A8330" i="19"/>
  <c r="A8329" i="19"/>
  <c r="A8328" i="19"/>
  <c r="A8327" i="19"/>
  <c r="A8326" i="19"/>
  <c r="A8325" i="19"/>
  <c r="A8324" i="19"/>
  <c r="A8323" i="19"/>
  <c r="A8322" i="19"/>
  <c r="A8321" i="19"/>
  <c r="A8320" i="19"/>
  <c r="A8319" i="19"/>
  <c r="A8318" i="19"/>
  <c r="A8317" i="19"/>
  <c r="A8316" i="19"/>
  <c r="A8315" i="19"/>
  <c r="A8314" i="19"/>
  <c r="A8313" i="19"/>
  <c r="A8312" i="19"/>
  <c r="A8311" i="19"/>
  <c r="A8310" i="19"/>
  <c r="A8309" i="19"/>
  <c r="A8308" i="19"/>
  <c r="A8307" i="19"/>
  <c r="A8306" i="19"/>
  <c r="A8305" i="19"/>
  <c r="A8304" i="19"/>
  <c r="A8303" i="19"/>
  <c r="A8302" i="19"/>
  <c r="A8301" i="19"/>
  <c r="A8300" i="19"/>
  <c r="A8299" i="19"/>
  <c r="A8298" i="19"/>
  <c r="A8297" i="19"/>
  <c r="A8296" i="19"/>
  <c r="A8295" i="19"/>
  <c r="A8294" i="19"/>
  <c r="A8293" i="19"/>
  <c r="A8292" i="19"/>
  <c r="A8291" i="19"/>
  <c r="A8290" i="19"/>
  <c r="A8289" i="19"/>
  <c r="A8288" i="19"/>
  <c r="A8287" i="19"/>
  <c r="A8286" i="19"/>
  <c r="A8285" i="19"/>
  <c r="A8284" i="19"/>
  <c r="A8283" i="19"/>
  <c r="A8282" i="19"/>
  <c r="A8281" i="19"/>
  <c r="A8280" i="19"/>
  <c r="A8279" i="19"/>
  <c r="A8278" i="19"/>
  <c r="A8277" i="19"/>
  <c r="A8276" i="19"/>
  <c r="A8275" i="19"/>
  <c r="A8274" i="19"/>
  <c r="A8273" i="19"/>
  <c r="A8272" i="19"/>
  <c r="A8271" i="19"/>
  <c r="A8270" i="19"/>
  <c r="A8269" i="19"/>
  <c r="A8268" i="19"/>
  <c r="A8267" i="19"/>
  <c r="A8266" i="19"/>
  <c r="A8265" i="19"/>
  <c r="A8264" i="19"/>
  <c r="A8263" i="19"/>
  <c r="A8262" i="19"/>
  <c r="A8261" i="19"/>
  <c r="A8260" i="19"/>
  <c r="A8259" i="19"/>
  <c r="A8258" i="19"/>
  <c r="A8257" i="19"/>
  <c r="A8256" i="19"/>
  <c r="A8255" i="19"/>
  <c r="A8254" i="19"/>
  <c r="A8253" i="19"/>
  <c r="A8252" i="19"/>
  <c r="A8251" i="19"/>
  <c r="A8250" i="19"/>
  <c r="A8249" i="19"/>
  <c r="A8248" i="19"/>
  <c r="A8247" i="19"/>
  <c r="A8246" i="19"/>
  <c r="A8245" i="19"/>
  <c r="A8244" i="19"/>
  <c r="A8243" i="19"/>
  <c r="A8242" i="19"/>
  <c r="A8241" i="19"/>
  <c r="A8240" i="19"/>
  <c r="A8239" i="19"/>
  <c r="A8238" i="19"/>
  <c r="A8237" i="19"/>
  <c r="A8236" i="19"/>
  <c r="A8235" i="19"/>
  <c r="A8234" i="19"/>
  <c r="A8233" i="19"/>
  <c r="A8232" i="19"/>
  <c r="A8231" i="19"/>
  <c r="A8230" i="19"/>
  <c r="A8229" i="19"/>
  <c r="A8228" i="19"/>
  <c r="A8227" i="19"/>
  <c r="A8226" i="19"/>
  <c r="A8225" i="19"/>
  <c r="A8224" i="19"/>
  <c r="A8223" i="19"/>
  <c r="A8222" i="19"/>
  <c r="A8221" i="19"/>
  <c r="A8220" i="19"/>
  <c r="A8219" i="19"/>
  <c r="A8218" i="19"/>
  <c r="A8217" i="19"/>
  <c r="A8216" i="19"/>
  <c r="A8215" i="19"/>
  <c r="A8214" i="19"/>
  <c r="A8213" i="19"/>
  <c r="A8212" i="19"/>
  <c r="A8211" i="19"/>
  <c r="A8210" i="19"/>
  <c r="A8209" i="19"/>
  <c r="A8208" i="19"/>
  <c r="A8207" i="19"/>
  <c r="A8206" i="19"/>
  <c r="A8205" i="19"/>
  <c r="A8204" i="19"/>
  <c r="A8203" i="19"/>
  <c r="A8202" i="19"/>
  <c r="A8201" i="19"/>
  <c r="A8200" i="19"/>
  <c r="A8199" i="19"/>
  <c r="A8198" i="19"/>
  <c r="A8197" i="19"/>
  <c r="A8196" i="19"/>
  <c r="A8195" i="19"/>
  <c r="A8194" i="19"/>
  <c r="A8193" i="19"/>
  <c r="A8192" i="19"/>
  <c r="A8191" i="19"/>
  <c r="A8190" i="19"/>
  <c r="A8189" i="19"/>
  <c r="A8188" i="19"/>
  <c r="A8187" i="19"/>
  <c r="A8186" i="19"/>
  <c r="A8185" i="19"/>
  <c r="A8184" i="19"/>
  <c r="A8183" i="19"/>
  <c r="A8182" i="19"/>
  <c r="A8181" i="19"/>
  <c r="A8180" i="19"/>
  <c r="A8179" i="19"/>
  <c r="A8178" i="19"/>
  <c r="A8177" i="19"/>
  <c r="A8176" i="19"/>
  <c r="A8175" i="19"/>
  <c r="A8174" i="19"/>
  <c r="A8173" i="19"/>
  <c r="A8172" i="19"/>
  <c r="A8171" i="19"/>
  <c r="A8170" i="19"/>
  <c r="A8169" i="19"/>
  <c r="A8168" i="19"/>
  <c r="A8167" i="19"/>
  <c r="A8166" i="19"/>
  <c r="A8165" i="19"/>
  <c r="A8164" i="19"/>
  <c r="A8163" i="19"/>
  <c r="A8162" i="19"/>
  <c r="A8161" i="19"/>
  <c r="A8160" i="19"/>
  <c r="A8159" i="19"/>
  <c r="A8158" i="19"/>
  <c r="A8157" i="19"/>
  <c r="A8156" i="19"/>
  <c r="A8155" i="19"/>
  <c r="A8154" i="19"/>
  <c r="A8153" i="19"/>
  <c r="A8152" i="19"/>
  <c r="A8151" i="19"/>
  <c r="A8150" i="19"/>
  <c r="A8149" i="19"/>
  <c r="A8148" i="19"/>
  <c r="A8147" i="19"/>
  <c r="A8146" i="19"/>
  <c r="A8145" i="19"/>
  <c r="A8144" i="19"/>
  <c r="A8143" i="19"/>
  <c r="A8142" i="19"/>
  <c r="A8141" i="19"/>
  <c r="A8140" i="19"/>
  <c r="A8139" i="19"/>
  <c r="A8138" i="19"/>
  <c r="A8137" i="19"/>
  <c r="A8136" i="19"/>
  <c r="A8135" i="19"/>
  <c r="A8134" i="19"/>
  <c r="A8133" i="19"/>
  <c r="A8132" i="19"/>
  <c r="A8131" i="19"/>
  <c r="A8130" i="19"/>
  <c r="A8129" i="19"/>
  <c r="A8128" i="19"/>
  <c r="A8127" i="19"/>
  <c r="A8126" i="19"/>
  <c r="A8125" i="19"/>
  <c r="A8124" i="19"/>
  <c r="A8123" i="19"/>
  <c r="A8122" i="19"/>
  <c r="A8121" i="19"/>
  <c r="A8120" i="19"/>
  <c r="A8119" i="19"/>
  <c r="A8118" i="19"/>
  <c r="A8117" i="19"/>
  <c r="A8116" i="19"/>
  <c r="A8115" i="19"/>
  <c r="A8114" i="19"/>
  <c r="A8113" i="19"/>
  <c r="A8112" i="19"/>
  <c r="A8111" i="19"/>
  <c r="A8110" i="19"/>
  <c r="A8109" i="19"/>
  <c r="A8108" i="19"/>
  <c r="A8107" i="19"/>
  <c r="A8106" i="19"/>
  <c r="A8105" i="19"/>
  <c r="A8104" i="19"/>
  <c r="A8103" i="19"/>
  <c r="A8102" i="19"/>
  <c r="A8101" i="19"/>
  <c r="A8100" i="19"/>
  <c r="A8099" i="19"/>
  <c r="A8098" i="19"/>
  <c r="A8097" i="19"/>
  <c r="A8096" i="19"/>
  <c r="A8095" i="19"/>
  <c r="A8094" i="19"/>
  <c r="A8093" i="19"/>
  <c r="A8092" i="19"/>
  <c r="A8091" i="19"/>
  <c r="A8090" i="19"/>
  <c r="A8089" i="19"/>
  <c r="A8088" i="19"/>
  <c r="A8087" i="19"/>
  <c r="A8086" i="19"/>
  <c r="A8085" i="19"/>
  <c r="A8084" i="19"/>
  <c r="A8083" i="19"/>
  <c r="A8082" i="19"/>
  <c r="A8081" i="19"/>
  <c r="A8080" i="19"/>
  <c r="A8079" i="19"/>
  <c r="A8078" i="19"/>
  <c r="A8077" i="19"/>
  <c r="A8076" i="19"/>
  <c r="A8075" i="19"/>
  <c r="A8074" i="19"/>
  <c r="A8073" i="19"/>
  <c r="A8072" i="19"/>
  <c r="A8071" i="19"/>
  <c r="A8070" i="19"/>
  <c r="A8069" i="19"/>
  <c r="A8068" i="19"/>
  <c r="A8067" i="19"/>
  <c r="A8066" i="19"/>
  <c r="A8065" i="19"/>
  <c r="A8064" i="19"/>
  <c r="A8063" i="19"/>
  <c r="A8062" i="19"/>
  <c r="A8061" i="19"/>
  <c r="A8060" i="19"/>
  <c r="A8059" i="19"/>
  <c r="A8058" i="19"/>
  <c r="A8057" i="19"/>
  <c r="A8056" i="19"/>
  <c r="A8055" i="19"/>
  <c r="A8054" i="19"/>
  <c r="A8053" i="19"/>
  <c r="A8052" i="19"/>
  <c r="A8051" i="19"/>
  <c r="A8050" i="19"/>
  <c r="A8049" i="19"/>
  <c r="A8048" i="19"/>
  <c r="A8047" i="19"/>
  <c r="A8046" i="19"/>
  <c r="A8045" i="19"/>
  <c r="A8044" i="19"/>
  <c r="A8043" i="19"/>
  <c r="A8042" i="19"/>
  <c r="A8041" i="19"/>
  <c r="A8040" i="19"/>
  <c r="A8039" i="19"/>
  <c r="A8038" i="19"/>
  <c r="A8037" i="19"/>
  <c r="A8036" i="19"/>
  <c r="A8035" i="19"/>
  <c r="A8034" i="19"/>
  <c r="A8033" i="19"/>
  <c r="A8032" i="19"/>
  <c r="A8031" i="19"/>
  <c r="A8030" i="19"/>
  <c r="A8029" i="19"/>
  <c r="A8028" i="19"/>
  <c r="A8027" i="19"/>
  <c r="A8026" i="19"/>
  <c r="A8025" i="19"/>
  <c r="A8024" i="19"/>
  <c r="A8023" i="19"/>
  <c r="A8022" i="19"/>
  <c r="A8021" i="19"/>
  <c r="A8020" i="19"/>
  <c r="A8019" i="19"/>
  <c r="A8018" i="19"/>
  <c r="A8017" i="19"/>
  <c r="A8016" i="19"/>
  <c r="A8015" i="19"/>
  <c r="A8014" i="19"/>
  <c r="A8013" i="19"/>
  <c r="A8012" i="19"/>
  <c r="A8011" i="19"/>
  <c r="A8010" i="19"/>
  <c r="A8009" i="19"/>
  <c r="A8008" i="19"/>
  <c r="A8007" i="19"/>
  <c r="A8006" i="19"/>
  <c r="A8005" i="19"/>
  <c r="A8004" i="19"/>
  <c r="A8003" i="19"/>
  <c r="A8002" i="19"/>
  <c r="A8001" i="19"/>
  <c r="A8000" i="19"/>
  <c r="A7999" i="19"/>
  <c r="A7998" i="19"/>
  <c r="A7997" i="19"/>
  <c r="A7996" i="19"/>
  <c r="A7995" i="19"/>
  <c r="A7994" i="19"/>
  <c r="A7993" i="19"/>
  <c r="A7992" i="19"/>
  <c r="A7991" i="19"/>
  <c r="A7990" i="19"/>
  <c r="A7989" i="19"/>
  <c r="A7988" i="19"/>
  <c r="A7987" i="19"/>
  <c r="A7986" i="19"/>
  <c r="A7985" i="19"/>
  <c r="A7984" i="19"/>
  <c r="A7983" i="19"/>
  <c r="A7982" i="19"/>
  <c r="A7981" i="19"/>
  <c r="A7980" i="19"/>
  <c r="A7979" i="19"/>
  <c r="A7978" i="19"/>
  <c r="A7977" i="19"/>
  <c r="A7976" i="19"/>
  <c r="A7975" i="19"/>
  <c r="A7974" i="19"/>
  <c r="A7973" i="19"/>
  <c r="A7972" i="19"/>
  <c r="A7971" i="19"/>
  <c r="A7970" i="19"/>
  <c r="A7969" i="19"/>
  <c r="A7968" i="19"/>
  <c r="A7967" i="19"/>
  <c r="A7966" i="19"/>
  <c r="A7965" i="19"/>
  <c r="A7964" i="19"/>
  <c r="A7963" i="19"/>
  <c r="A7962" i="19"/>
  <c r="A7961" i="19"/>
  <c r="A7960" i="19"/>
  <c r="A7959" i="19"/>
  <c r="A7958" i="19"/>
  <c r="A7957" i="19"/>
  <c r="A7956" i="19"/>
  <c r="A7955" i="19"/>
  <c r="A7954" i="19"/>
  <c r="A7953" i="19"/>
  <c r="A7952" i="19"/>
  <c r="A7951" i="19"/>
  <c r="A7950" i="19"/>
  <c r="A7949" i="19"/>
  <c r="A7948" i="19"/>
  <c r="A7947" i="19"/>
  <c r="A7946" i="19"/>
  <c r="A7945" i="19"/>
  <c r="A7944" i="19"/>
  <c r="A7943" i="19"/>
  <c r="A7942" i="19"/>
  <c r="A7941" i="19"/>
  <c r="A7940" i="19"/>
  <c r="A7939" i="19"/>
  <c r="A7938" i="19"/>
  <c r="A7937" i="19"/>
  <c r="A7936" i="19"/>
  <c r="A7935" i="19"/>
  <c r="A7934" i="19"/>
  <c r="A7933" i="19"/>
  <c r="A7932" i="19"/>
  <c r="A7931" i="19"/>
  <c r="A7930" i="19"/>
  <c r="A7929" i="19"/>
  <c r="A7928" i="19"/>
  <c r="A7927" i="19"/>
  <c r="A7926" i="19"/>
  <c r="A7925" i="19"/>
  <c r="A7924" i="19"/>
  <c r="A7923" i="19"/>
  <c r="A7922" i="19"/>
  <c r="A7921" i="19"/>
  <c r="A7920" i="19"/>
  <c r="A7919" i="19"/>
  <c r="A7918" i="19"/>
  <c r="A7917" i="19"/>
  <c r="A7916" i="19"/>
  <c r="A7915" i="19"/>
  <c r="A7914" i="19"/>
  <c r="A7913" i="19"/>
  <c r="A7912" i="19"/>
  <c r="A7911" i="19"/>
  <c r="A7910" i="19"/>
  <c r="A7909" i="19"/>
  <c r="A7908" i="19"/>
  <c r="A7907" i="19"/>
  <c r="A7906" i="19"/>
  <c r="A7905" i="19"/>
  <c r="A7904" i="19"/>
  <c r="A7903" i="19"/>
  <c r="A7902" i="19"/>
  <c r="A7901" i="19"/>
  <c r="A7900" i="19"/>
  <c r="A7899" i="19"/>
  <c r="A7898" i="19"/>
  <c r="A7897" i="19"/>
  <c r="A7896" i="19"/>
  <c r="A7895" i="19"/>
  <c r="A7894" i="19"/>
  <c r="A7893" i="19"/>
  <c r="A7892" i="19"/>
  <c r="A7891" i="19"/>
  <c r="A7890" i="19"/>
  <c r="A7889" i="19"/>
  <c r="A7888" i="19"/>
  <c r="A7887" i="19"/>
  <c r="A7886" i="19"/>
  <c r="A7885" i="19"/>
  <c r="A7884" i="19"/>
  <c r="A7883" i="19"/>
  <c r="A7882" i="19"/>
  <c r="A7881" i="19"/>
  <c r="A7880" i="19"/>
  <c r="A7879" i="19"/>
  <c r="A7878" i="19"/>
  <c r="A7877" i="19"/>
  <c r="A7876" i="19"/>
  <c r="A7875" i="19"/>
  <c r="A7874" i="19"/>
  <c r="A7873" i="19"/>
  <c r="A7872" i="19"/>
  <c r="A7871" i="19"/>
  <c r="A7870" i="19"/>
  <c r="A7869" i="19"/>
  <c r="A7868" i="19"/>
  <c r="A7867" i="19"/>
  <c r="A7866" i="19"/>
  <c r="A7865" i="19"/>
  <c r="A7864" i="19"/>
  <c r="A7863" i="19"/>
  <c r="A7862" i="19"/>
  <c r="A7861" i="19"/>
  <c r="A7860" i="19"/>
  <c r="A7859" i="19"/>
  <c r="A7858" i="19"/>
  <c r="A7857" i="19"/>
  <c r="A7856" i="19"/>
  <c r="A7855" i="19"/>
  <c r="A7854" i="19"/>
  <c r="A7853" i="19"/>
  <c r="A7852" i="19"/>
  <c r="A7851" i="19"/>
  <c r="A7850" i="19"/>
  <c r="A7849" i="19"/>
  <c r="A7848" i="19"/>
  <c r="A7847" i="19"/>
  <c r="A7846" i="19"/>
  <c r="A7845" i="19"/>
  <c r="A7844" i="19"/>
  <c r="A7843" i="19"/>
  <c r="A7842" i="19"/>
  <c r="A7841" i="19"/>
  <c r="A7840" i="19"/>
  <c r="A7839" i="19"/>
  <c r="A7838" i="19"/>
  <c r="A7837" i="19"/>
  <c r="A7836" i="19"/>
  <c r="A7835" i="19"/>
  <c r="A7834" i="19"/>
  <c r="A7833" i="19"/>
  <c r="A7832" i="19"/>
  <c r="A7831" i="19"/>
  <c r="A7830" i="19"/>
  <c r="A7829" i="19"/>
  <c r="A7828" i="19"/>
  <c r="A7827" i="19"/>
  <c r="A7826" i="19"/>
  <c r="A7825" i="19"/>
  <c r="A7824" i="19"/>
  <c r="A7823" i="19"/>
  <c r="A7822" i="19"/>
  <c r="A7821" i="19"/>
  <c r="A7820" i="19"/>
  <c r="A7819" i="19"/>
  <c r="A7818" i="19"/>
  <c r="A7817" i="19"/>
  <c r="A7816" i="19"/>
  <c r="A7815" i="19"/>
  <c r="A7814" i="19"/>
  <c r="A7813" i="19"/>
  <c r="A7812" i="19"/>
  <c r="A7811" i="19"/>
  <c r="A7810" i="19"/>
  <c r="A7809" i="19"/>
  <c r="A7808" i="19"/>
  <c r="A7807" i="19"/>
  <c r="A7806" i="19"/>
  <c r="A7805" i="19"/>
  <c r="A7804" i="19"/>
  <c r="A7803" i="19"/>
  <c r="A7802" i="19"/>
  <c r="A7801" i="19"/>
  <c r="A7800" i="19"/>
  <c r="A7799" i="19"/>
  <c r="A7798" i="19"/>
  <c r="A7797" i="19"/>
  <c r="A7796" i="19"/>
  <c r="A7795" i="19"/>
  <c r="A7794" i="19"/>
  <c r="A7793" i="19"/>
  <c r="A7792" i="19"/>
  <c r="A7791" i="19"/>
  <c r="A7790" i="19"/>
  <c r="A7789" i="19"/>
  <c r="A7788" i="19"/>
  <c r="A7787" i="19"/>
  <c r="A7786" i="19"/>
  <c r="A7785" i="19"/>
  <c r="A7784" i="19"/>
  <c r="A7783" i="19"/>
  <c r="A7782" i="19"/>
  <c r="A7781" i="19"/>
  <c r="A7780" i="19"/>
  <c r="A7779" i="19"/>
  <c r="A7778" i="19"/>
  <c r="A7777" i="19"/>
  <c r="A7776" i="19"/>
  <c r="A7775" i="19"/>
  <c r="A7774" i="19"/>
  <c r="A7773" i="19"/>
  <c r="A7772" i="19"/>
  <c r="A7771" i="19"/>
  <c r="A7770" i="19"/>
  <c r="A7769" i="19"/>
  <c r="A7768" i="19"/>
  <c r="A7767" i="19"/>
  <c r="A7766" i="19"/>
  <c r="A7765" i="19"/>
  <c r="A7764" i="19"/>
  <c r="A7763" i="19"/>
  <c r="A7762" i="19"/>
  <c r="A7761" i="19"/>
  <c r="A7760" i="19"/>
  <c r="A7759" i="19"/>
  <c r="A7758" i="19"/>
  <c r="A7757" i="19"/>
  <c r="A7756" i="19"/>
  <c r="A7755" i="19"/>
  <c r="A7754" i="19"/>
  <c r="A7753" i="19"/>
  <c r="A7752" i="19"/>
  <c r="A7751" i="19"/>
  <c r="A7750" i="19"/>
  <c r="A7749" i="19"/>
  <c r="A7748" i="19"/>
  <c r="A7747" i="19"/>
  <c r="A7746" i="19"/>
  <c r="A7745" i="19"/>
  <c r="A7744" i="19"/>
  <c r="A7743" i="19"/>
  <c r="A7742" i="19"/>
  <c r="A7741" i="19"/>
  <c r="A7740" i="19"/>
  <c r="A7739" i="19"/>
  <c r="A7738" i="19"/>
  <c r="A7737" i="19"/>
  <c r="A7736" i="19"/>
  <c r="A7735" i="19"/>
  <c r="A7734" i="19"/>
  <c r="A7733" i="19"/>
  <c r="A7732" i="19"/>
  <c r="A7731" i="19"/>
  <c r="A7730" i="19"/>
  <c r="A7729" i="19"/>
  <c r="A7728" i="19"/>
  <c r="A7727" i="19"/>
  <c r="A7726" i="19"/>
  <c r="A7725" i="19"/>
  <c r="A7724" i="19"/>
  <c r="A7723" i="19"/>
  <c r="A7722" i="19"/>
  <c r="A7721" i="19"/>
  <c r="A7720" i="19"/>
  <c r="A7719" i="19"/>
  <c r="A7718" i="19"/>
  <c r="A7717" i="19"/>
  <c r="A7716" i="19"/>
  <c r="A7715" i="19"/>
  <c r="A7714" i="19"/>
  <c r="A7713" i="19"/>
  <c r="A7712" i="19"/>
  <c r="A7711" i="19"/>
  <c r="A7710" i="19"/>
  <c r="A7709" i="19"/>
  <c r="A7708" i="19"/>
  <c r="A7707" i="19"/>
  <c r="A7706" i="19"/>
  <c r="A7705" i="19"/>
  <c r="A7704" i="19"/>
  <c r="A7703" i="19"/>
  <c r="A7702" i="19"/>
  <c r="A7701" i="19"/>
  <c r="A7700" i="19"/>
  <c r="A7699" i="19"/>
  <c r="A7698" i="19"/>
  <c r="A7697" i="19"/>
  <c r="A7696" i="19"/>
  <c r="A7695" i="19"/>
  <c r="A7694" i="19"/>
  <c r="A7693" i="19"/>
  <c r="A7692" i="19"/>
  <c r="A7691" i="19"/>
  <c r="A7690" i="19"/>
  <c r="A7689" i="19"/>
  <c r="A7688" i="19"/>
  <c r="A7687" i="19"/>
  <c r="A7686" i="19"/>
  <c r="A7685" i="19"/>
  <c r="A7684" i="19"/>
  <c r="A7683" i="19"/>
  <c r="A7682" i="19"/>
  <c r="A7681" i="19"/>
  <c r="A7680" i="19"/>
  <c r="A7679" i="19"/>
  <c r="A7678" i="19"/>
  <c r="A7677" i="19"/>
  <c r="A7676" i="19"/>
  <c r="A7675" i="19"/>
  <c r="A7674" i="19"/>
  <c r="A7673" i="19"/>
  <c r="A7672" i="19"/>
  <c r="A7671" i="19"/>
  <c r="A7670" i="19"/>
  <c r="A7669" i="19"/>
  <c r="A7668" i="19"/>
  <c r="A7667" i="19"/>
  <c r="A7666" i="19"/>
  <c r="A7665" i="19"/>
  <c r="A7664" i="19"/>
  <c r="A7663" i="19"/>
  <c r="A7662" i="19"/>
  <c r="A7661" i="19"/>
  <c r="A7660" i="19"/>
  <c r="A7659" i="19"/>
  <c r="A7658" i="19"/>
  <c r="A7657" i="19"/>
  <c r="A7656" i="19"/>
  <c r="A7655" i="19"/>
  <c r="A7654" i="19"/>
  <c r="A7653" i="19"/>
  <c r="A7652" i="19"/>
  <c r="A7651" i="19"/>
  <c r="A7650" i="19"/>
  <c r="A7649" i="19"/>
  <c r="A7648" i="19"/>
  <c r="A7647" i="19"/>
  <c r="A7646" i="19"/>
  <c r="A7645" i="19"/>
  <c r="A7644" i="19"/>
  <c r="A7643" i="19"/>
  <c r="A7642" i="19"/>
  <c r="A7641" i="19"/>
  <c r="A7640" i="19"/>
  <c r="A7639" i="19"/>
  <c r="A7638" i="19"/>
  <c r="A7637" i="19"/>
  <c r="A7636" i="19"/>
  <c r="A7635" i="19"/>
  <c r="A7634" i="19"/>
  <c r="A7633" i="19"/>
  <c r="A7632" i="19"/>
  <c r="A7631" i="19"/>
  <c r="A7630" i="19"/>
  <c r="A7629" i="19"/>
  <c r="A7628" i="19"/>
  <c r="A7627" i="19"/>
  <c r="A7626" i="19"/>
  <c r="A7625" i="19"/>
  <c r="A7624" i="19"/>
  <c r="A7623" i="19"/>
  <c r="A7622" i="19"/>
  <c r="A7621" i="19"/>
  <c r="A7620" i="19"/>
  <c r="A7619" i="19"/>
  <c r="A7618" i="19"/>
  <c r="A7617" i="19"/>
  <c r="A7616" i="19"/>
  <c r="A7615" i="19"/>
  <c r="A7614" i="19"/>
  <c r="A7613" i="19"/>
  <c r="A7612" i="19"/>
  <c r="A7611" i="19"/>
  <c r="A7610" i="19"/>
  <c r="A7609" i="19"/>
  <c r="A7608" i="19"/>
  <c r="A7607" i="19"/>
  <c r="A7606" i="19"/>
  <c r="A7605" i="19"/>
  <c r="A7604" i="19"/>
  <c r="A7603" i="19"/>
  <c r="A7602" i="19"/>
  <c r="A7601" i="19"/>
  <c r="A7600" i="19"/>
  <c r="A7599" i="19"/>
  <c r="A7598" i="19"/>
  <c r="A7597" i="19"/>
  <c r="A7596" i="19"/>
  <c r="A7595" i="19"/>
  <c r="A7594" i="19"/>
  <c r="A7593" i="19"/>
  <c r="A7592" i="19"/>
  <c r="A7591" i="19"/>
  <c r="A7590" i="19"/>
  <c r="A7589" i="19"/>
  <c r="A7588" i="19"/>
  <c r="A7587" i="19"/>
  <c r="A7586" i="19"/>
  <c r="A7585" i="19"/>
  <c r="A7584" i="19"/>
  <c r="A7583" i="19"/>
  <c r="A7582" i="19"/>
  <c r="A7581" i="19"/>
  <c r="A7580" i="19"/>
  <c r="A7579" i="19"/>
  <c r="A7578" i="19"/>
  <c r="A7577" i="19"/>
  <c r="A7576" i="19"/>
  <c r="A7575" i="19"/>
  <c r="A7574" i="19"/>
  <c r="A7573" i="19"/>
  <c r="A7572" i="19"/>
  <c r="A7571" i="19"/>
  <c r="A7570" i="19"/>
  <c r="A7569" i="19"/>
  <c r="A7568" i="19"/>
  <c r="A7567" i="19"/>
  <c r="A7566" i="19"/>
  <c r="A7565" i="19"/>
  <c r="A7564" i="19"/>
  <c r="A7563" i="19"/>
  <c r="A7562" i="19"/>
  <c r="A7561" i="19"/>
  <c r="A7560" i="19"/>
  <c r="A7559" i="19"/>
  <c r="A7558" i="19"/>
  <c r="A7557" i="19"/>
  <c r="A7556" i="19"/>
  <c r="A7555" i="19"/>
  <c r="A7554" i="19"/>
  <c r="A7553" i="19"/>
  <c r="A7552" i="19"/>
  <c r="A7551" i="19"/>
  <c r="A7550" i="19"/>
  <c r="A7549" i="19"/>
  <c r="A7548" i="19"/>
  <c r="A7547" i="19"/>
  <c r="A7546" i="19"/>
  <c r="A7545" i="19"/>
  <c r="A7544" i="19"/>
  <c r="A7543" i="19"/>
  <c r="A7542" i="19"/>
  <c r="A7541" i="19"/>
  <c r="A7540" i="19"/>
  <c r="A7539" i="19"/>
  <c r="A7538" i="19"/>
  <c r="A7537" i="19"/>
  <c r="A7536" i="19"/>
  <c r="A7535" i="19"/>
  <c r="A7534" i="19"/>
  <c r="A7533" i="19"/>
  <c r="A7532" i="19"/>
  <c r="A7531" i="19"/>
  <c r="A7530" i="19"/>
  <c r="A7529" i="19"/>
  <c r="A7528" i="19"/>
  <c r="A7527" i="19"/>
  <c r="A7526" i="19"/>
  <c r="A7525" i="19"/>
  <c r="A7524" i="19"/>
  <c r="A7523" i="19"/>
  <c r="A7522" i="19"/>
  <c r="A7521" i="19"/>
  <c r="A7520" i="19"/>
  <c r="A7519" i="19"/>
  <c r="A7518" i="19"/>
  <c r="A7517" i="19"/>
  <c r="A7516" i="19"/>
  <c r="A7515" i="19"/>
  <c r="A7514" i="19"/>
  <c r="A7513" i="19"/>
  <c r="A7512" i="19"/>
  <c r="A7511" i="19"/>
  <c r="A7510" i="19"/>
  <c r="A7509" i="19"/>
  <c r="A7508" i="19"/>
  <c r="A7507" i="19"/>
  <c r="A7506" i="19"/>
  <c r="A7505" i="19"/>
  <c r="A7504" i="19"/>
  <c r="A7503" i="19"/>
  <c r="A7502" i="19"/>
  <c r="A7501" i="19"/>
  <c r="A7500" i="19"/>
  <c r="A7499" i="19"/>
  <c r="A7498" i="19"/>
  <c r="A7497" i="19"/>
  <c r="A7496" i="19"/>
  <c r="A7495" i="19"/>
  <c r="A7494" i="19"/>
  <c r="A7493" i="19"/>
  <c r="A7492" i="19"/>
  <c r="A7491" i="19"/>
  <c r="A7490" i="19"/>
  <c r="A7489" i="19"/>
  <c r="A7488" i="19"/>
  <c r="A7487" i="19"/>
  <c r="A7486" i="19"/>
  <c r="A7485" i="19"/>
  <c r="A7484" i="19"/>
  <c r="A7483" i="19"/>
  <c r="A7482" i="19"/>
  <c r="A7481" i="19"/>
  <c r="A7480" i="19"/>
  <c r="A7479" i="19"/>
  <c r="A7478" i="19"/>
  <c r="A7477" i="19"/>
  <c r="A7476" i="19"/>
  <c r="A7475" i="19"/>
  <c r="A7474" i="19"/>
  <c r="A7473" i="19"/>
  <c r="A7472" i="19"/>
  <c r="A7471" i="19"/>
  <c r="A7470" i="19"/>
  <c r="A7469" i="19"/>
  <c r="A7468" i="19"/>
  <c r="A7467" i="19"/>
  <c r="A7466" i="19"/>
  <c r="A7465" i="19"/>
  <c r="A7464" i="19"/>
  <c r="A7463" i="19"/>
  <c r="A7462" i="19"/>
  <c r="A7461" i="19"/>
  <c r="A7460" i="19"/>
  <c r="A7459" i="19"/>
  <c r="A7458" i="19"/>
  <c r="A7457" i="19"/>
  <c r="A7456" i="19"/>
  <c r="A7455" i="19"/>
  <c r="A7454" i="19"/>
  <c r="A7453" i="19"/>
  <c r="A7452" i="19"/>
  <c r="A7451" i="19"/>
  <c r="A7450" i="19"/>
  <c r="A7449" i="19"/>
  <c r="A7448" i="19"/>
  <c r="A7447" i="19"/>
  <c r="A7446" i="19"/>
  <c r="A7445" i="19"/>
  <c r="A7444" i="19"/>
  <c r="A7443" i="19"/>
  <c r="A7442" i="19"/>
  <c r="A7441" i="19"/>
  <c r="A7440" i="19"/>
  <c r="A7439" i="19"/>
  <c r="A7438" i="19"/>
  <c r="A7437" i="19"/>
  <c r="A7436" i="19"/>
  <c r="A7435" i="19"/>
  <c r="A7434" i="19"/>
  <c r="A7433" i="19"/>
  <c r="A7432" i="19"/>
  <c r="A7431" i="19"/>
  <c r="A7430" i="19"/>
  <c r="A7429" i="19"/>
  <c r="A7428" i="19"/>
  <c r="A7427" i="19"/>
  <c r="A7426" i="19"/>
  <c r="A7425" i="19"/>
  <c r="A7424" i="19"/>
  <c r="A7423" i="19"/>
  <c r="A7422" i="19"/>
  <c r="A7421" i="19"/>
  <c r="A7420" i="19"/>
  <c r="A7419" i="19"/>
  <c r="A7418" i="19"/>
  <c r="A7417" i="19"/>
  <c r="A7416" i="19"/>
  <c r="A7415" i="19"/>
  <c r="A7414" i="19"/>
  <c r="A7413" i="19"/>
  <c r="A7412" i="19"/>
  <c r="A7411" i="19"/>
  <c r="A7410" i="19"/>
  <c r="A7409" i="19"/>
  <c r="A7408" i="19"/>
  <c r="A7407" i="19"/>
  <c r="A7406" i="19"/>
  <c r="A7405" i="19"/>
  <c r="A7404" i="19"/>
  <c r="A7403" i="19"/>
  <c r="A7402" i="19"/>
  <c r="A7401" i="19"/>
  <c r="A7400" i="19"/>
  <c r="A7399" i="19"/>
  <c r="A7398" i="19"/>
  <c r="A7397" i="19"/>
  <c r="A7396" i="19"/>
  <c r="A7395" i="19"/>
  <c r="A7394" i="19"/>
  <c r="A7393" i="19"/>
  <c r="A7392" i="19"/>
  <c r="A7391" i="19"/>
  <c r="A7390" i="19"/>
  <c r="A7389" i="19"/>
  <c r="A7388" i="19"/>
  <c r="A7387" i="19"/>
  <c r="A7386" i="19"/>
  <c r="A7385" i="19"/>
  <c r="A7384" i="19"/>
  <c r="A7383" i="19"/>
  <c r="A7382" i="19"/>
  <c r="A7381" i="19"/>
  <c r="A7380" i="19"/>
  <c r="A7379" i="19"/>
  <c r="A7378" i="19"/>
  <c r="A7377" i="19"/>
  <c r="A7376" i="19"/>
  <c r="A7375" i="19"/>
  <c r="A7374" i="19"/>
  <c r="A7373" i="19"/>
  <c r="A7372" i="19"/>
  <c r="A7371" i="19"/>
  <c r="A7370" i="19"/>
  <c r="A7369" i="19"/>
  <c r="A7368" i="19"/>
  <c r="A7367" i="19"/>
  <c r="A7366" i="19"/>
  <c r="A7365" i="19"/>
  <c r="A7364" i="19"/>
  <c r="A7363" i="19"/>
  <c r="A7362" i="19"/>
  <c r="A7361" i="19"/>
  <c r="A7360" i="19"/>
  <c r="A7359" i="19"/>
  <c r="A7358" i="19"/>
  <c r="A7357" i="19"/>
  <c r="A7356" i="19"/>
  <c r="A7355" i="19"/>
  <c r="A7354" i="19"/>
  <c r="A7353" i="19"/>
  <c r="A7352" i="19"/>
  <c r="A7351" i="19"/>
  <c r="A7350" i="19"/>
  <c r="A7349" i="19"/>
  <c r="A7348" i="19"/>
  <c r="A7347" i="19"/>
  <c r="A7346" i="19"/>
  <c r="A7345" i="19"/>
  <c r="A7344" i="19"/>
  <c r="A7343" i="19"/>
  <c r="A7342" i="19"/>
  <c r="A7341" i="19"/>
  <c r="A7340" i="19"/>
  <c r="A7339" i="19"/>
  <c r="A7338" i="19"/>
  <c r="A7337" i="19"/>
  <c r="A7336" i="19"/>
  <c r="A7335" i="19"/>
  <c r="A7334" i="19"/>
  <c r="A7333" i="19"/>
  <c r="A7332" i="19"/>
  <c r="A7331" i="19"/>
  <c r="A7330" i="19"/>
  <c r="A7329" i="19"/>
  <c r="A7328" i="19"/>
  <c r="A7327" i="19"/>
  <c r="A7326" i="19"/>
  <c r="A7325" i="19"/>
  <c r="A7324" i="19"/>
  <c r="A7323" i="19"/>
  <c r="A7322" i="19"/>
  <c r="A7321" i="19"/>
  <c r="A7320" i="19"/>
  <c r="A7319" i="19"/>
  <c r="A7318" i="19"/>
  <c r="A7317" i="19"/>
  <c r="A7316" i="19"/>
  <c r="A7315" i="19"/>
  <c r="A7314" i="19"/>
  <c r="A7313" i="19"/>
  <c r="A7312" i="19"/>
  <c r="A7311" i="19"/>
  <c r="A7310" i="19"/>
  <c r="A7309" i="19"/>
  <c r="A7308" i="19"/>
  <c r="A7307" i="19"/>
  <c r="A7306" i="19"/>
  <c r="A7305" i="19"/>
  <c r="A7304" i="19"/>
  <c r="A7303" i="19"/>
  <c r="A7302" i="19"/>
  <c r="A7301" i="19"/>
  <c r="A7300" i="19"/>
  <c r="A7299" i="19"/>
  <c r="A7298" i="19"/>
  <c r="A7297" i="19"/>
  <c r="A7296" i="19"/>
  <c r="A7295" i="19"/>
  <c r="A7294" i="19"/>
  <c r="A7293" i="19"/>
  <c r="A7292" i="19"/>
  <c r="A7291" i="19"/>
  <c r="A7290" i="19"/>
  <c r="A7289" i="19"/>
  <c r="A7288" i="19"/>
  <c r="A7287" i="19"/>
  <c r="A7286" i="19"/>
  <c r="A7285" i="19"/>
  <c r="A7284" i="19"/>
  <c r="A7283" i="19"/>
  <c r="A7282" i="19"/>
  <c r="A7281" i="19"/>
  <c r="A7280" i="19"/>
  <c r="A7279" i="19"/>
  <c r="A7278" i="19"/>
  <c r="A7277" i="19"/>
  <c r="A7276" i="19"/>
  <c r="A7275" i="19"/>
  <c r="A7274" i="19"/>
  <c r="A7273" i="19"/>
  <c r="A7272" i="19"/>
  <c r="A7271" i="19"/>
  <c r="A7270" i="19"/>
  <c r="A7269" i="19"/>
  <c r="A7268" i="19"/>
  <c r="A7267" i="19"/>
  <c r="A7266" i="19"/>
  <c r="A7265" i="19"/>
  <c r="A7264" i="19"/>
  <c r="A7263" i="19"/>
  <c r="A7262" i="19"/>
  <c r="A7261" i="19"/>
  <c r="A7260" i="19"/>
  <c r="A7259" i="19"/>
  <c r="A7258" i="19"/>
  <c r="A7257" i="19"/>
  <c r="A7256" i="19"/>
  <c r="A7255" i="19"/>
  <c r="A7254" i="19"/>
  <c r="A7253" i="19"/>
  <c r="A7252" i="19"/>
  <c r="A7251" i="19"/>
  <c r="A7250" i="19"/>
  <c r="A7249" i="19"/>
  <c r="A7248" i="19"/>
  <c r="A7247" i="19"/>
  <c r="A7246" i="19"/>
  <c r="A7245" i="19"/>
  <c r="A7244" i="19"/>
  <c r="A7243" i="19"/>
  <c r="A7242" i="19"/>
  <c r="A7241" i="19"/>
  <c r="A7240" i="19"/>
  <c r="A7239" i="19"/>
  <c r="A7238" i="19"/>
  <c r="A7237" i="19"/>
  <c r="A7236" i="19"/>
  <c r="A7235" i="19"/>
  <c r="A7234" i="19"/>
  <c r="A7233" i="19"/>
  <c r="A7232" i="19"/>
  <c r="A7231" i="19"/>
  <c r="A7230" i="19"/>
  <c r="A7229" i="19"/>
  <c r="A7228" i="19"/>
  <c r="A7227" i="19"/>
  <c r="A7226" i="19"/>
  <c r="A7225" i="19"/>
  <c r="A7224" i="19"/>
  <c r="A7223" i="19"/>
  <c r="A7222" i="19"/>
  <c r="A7221" i="19"/>
  <c r="A7220" i="19"/>
  <c r="A7219" i="19"/>
  <c r="A7218" i="19"/>
  <c r="A7217" i="19"/>
  <c r="A7216" i="19"/>
  <c r="A7215" i="19"/>
  <c r="A7214" i="19"/>
  <c r="A7213" i="19"/>
  <c r="A7212" i="19"/>
  <c r="A7211" i="19"/>
  <c r="A7210" i="19"/>
  <c r="A7209" i="19"/>
  <c r="A7208" i="19"/>
  <c r="A7207" i="19"/>
  <c r="A7206" i="19"/>
  <c r="A7205" i="19"/>
  <c r="A7204" i="19"/>
  <c r="A7203" i="19"/>
  <c r="A7202" i="19"/>
  <c r="A7201" i="19"/>
  <c r="A7200" i="19"/>
  <c r="A7199" i="19"/>
  <c r="A7198" i="19"/>
  <c r="A7197" i="19"/>
  <c r="A7196" i="19"/>
  <c r="A7195" i="19"/>
  <c r="A7194" i="19"/>
  <c r="A7193" i="19"/>
  <c r="A7192" i="19"/>
  <c r="A7191" i="19"/>
  <c r="A7190" i="19"/>
  <c r="A7189" i="19"/>
  <c r="A7188" i="19"/>
  <c r="A7187" i="19"/>
  <c r="A7186" i="19"/>
  <c r="A7185" i="19"/>
  <c r="A7184" i="19"/>
  <c r="A7183" i="19"/>
  <c r="A7182" i="19"/>
  <c r="A7181" i="19"/>
  <c r="A7180" i="19"/>
  <c r="A7179" i="19"/>
  <c r="A7178" i="19"/>
  <c r="A7177" i="19"/>
  <c r="A7176" i="19"/>
  <c r="A7175" i="19"/>
  <c r="A7174" i="19"/>
  <c r="A7173" i="19"/>
  <c r="A7172" i="19"/>
  <c r="A7171" i="19"/>
  <c r="A7170" i="19"/>
  <c r="A7169" i="19"/>
  <c r="A7168" i="19"/>
  <c r="A7167" i="19"/>
  <c r="A7166" i="19"/>
  <c r="A7165" i="19"/>
  <c r="A7164" i="19"/>
  <c r="A7163" i="19"/>
  <c r="A7162" i="19"/>
  <c r="A7161" i="19"/>
  <c r="A7160" i="19"/>
  <c r="A7159" i="19"/>
  <c r="A7158" i="19"/>
  <c r="A7157" i="19"/>
  <c r="A7156" i="19"/>
  <c r="A7155" i="19"/>
  <c r="A7154" i="19"/>
  <c r="A7153" i="19"/>
  <c r="A7152" i="19"/>
  <c r="A7151" i="19"/>
  <c r="A7150" i="19"/>
  <c r="A7149" i="19"/>
  <c r="A7148" i="19"/>
  <c r="A7147" i="19"/>
  <c r="A7146" i="19"/>
  <c r="A7145" i="19"/>
  <c r="A7144" i="19"/>
  <c r="A7143" i="19"/>
  <c r="A7142" i="19"/>
  <c r="A7141" i="19"/>
  <c r="A7140" i="19"/>
  <c r="A7139" i="19"/>
  <c r="A7138" i="19"/>
  <c r="A7137" i="19"/>
  <c r="A7136" i="19"/>
  <c r="A7135" i="19"/>
  <c r="A7134" i="19"/>
  <c r="A7133" i="19"/>
  <c r="A7132" i="19"/>
  <c r="A7131" i="19"/>
  <c r="A7130" i="19"/>
  <c r="A7129" i="19"/>
  <c r="A7128" i="19"/>
  <c r="A7127" i="19"/>
  <c r="A7126" i="19"/>
  <c r="A7125" i="19"/>
  <c r="A7124" i="19"/>
  <c r="A7123" i="19"/>
  <c r="A7122" i="19"/>
  <c r="A7121" i="19"/>
  <c r="A7120" i="19"/>
  <c r="A7119" i="19"/>
  <c r="A7118" i="19"/>
  <c r="A7117" i="19"/>
  <c r="A7116" i="19"/>
  <c r="A7115" i="19"/>
  <c r="A7114" i="19"/>
  <c r="A7113" i="19"/>
  <c r="A7112" i="19"/>
  <c r="A7111" i="19"/>
  <c r="A7110" i="19"/>
  <c r="A7109" i="19"/>
  <c r="A7108" i="19"/>
  <c r="A7107" i="19"/>
  <c r="A7106" i="19"/>
  <c r="A7105" i="19"/>
  <c r="A7104" i="19"/>
  <c r="A7103" i="19"/>
  <c r="A7102" i="19"/>
  <c r="A7101" i="19"/>
  <c r="A7100" i="19"/>
  <c r="A7099" i="19"/>
  <c r="A7098" i="19"/>
  <c r="A7097" i="19"/>
  <c r="A7096" i="19"/>
  <c r="A7095" i="19"/>
  <c r="A7094" i="19"/>
  <c r="A7093" i="19"/>
  <c r="A7092" i="19"/>
  <c r="A7091" i="19"/>
  <c r="A7090" i="19"/>
  <c r="A7089" i="19"/>
  <c r="A7088" i="19"/>
  <c r="A7087" i="19"/>
  <c r="A7086" i="19"/>
  <c r="A7085" i="19"/>
  <c r="A7084" i="19"/>
  <c r="A7083" i="19"/>
  <c r="A7082" i="19"/>
  <c r="A7081" i="19"/>
  <c r="A7080" i="19"/>
  <c r="A7079" i="19"/>
  <c r="A7078" i="19"/>
  <c r="A7077" i="19"/>
  <c r="A7076" i="19"/>
  <c r="A7075" i="19"/>
  <c r="A7074" i="19"/>
  <c r="A7073" i="19"/>
  <c r="A7072" i="19"/>
  <c r="A7071" i="19"/>
  <c r="A7070" i="19"/>
  <c r="A7069" i="19"/>
  <c r="A7068" i="19"/>
  <c r="A7067" i="19"/>
  <c r="A7066" i="19"/>
  <c r="A7065" i="19"/>
  <c r="A7064" i="19"/>
  <c r="A7063" i="19"/>
  <c r="A7062" i="19"/>
  <c r="A7061" i="19"/>
  <c r="A7060" i="19"/>
  <c r="A7059" i="19"/>
  <c r="A7058" i="19"/>
  <c r="A7057" i="19"/>
  <c r="A7056" i="19"/>
  <c r="A7055" i="19"/>
  <c r="A7054" i="19"/>
  <c r="A7053" i="19"/>
  <c r="A7052" i="19"/>
  <c r="A7051" i="19"/>
  <c r="A7050" i="19"/>
  <c r="A7049" i="19"/>
  <c r="A7048" i="19"/>
  <c r="A7047" i="19"/>
  <c r="A7046" i="19"/>
  <c r="A7045" i="19"/>
  <c r="A7044" i="19"/>
  <c r="A7043" i="19"/>
  <c r="A7042" i="19"/>
  <c r="A7041" i="19"/>
  <c r="A7040" i="19"/>
  <c r="A7039" i="19"/>
  <c r="A7038" i="19"/>
  <c r="A7037" i="19"/>
  <c r="A7036" i="19"/>
  <c r="A7035" i="19"/>
  <c r="A7034" i="19"/>
  <c r="A7033" i="19"/>
  <c r="A7032" i="19"/>
  <c r="A7031" i="19"/>
  <c r="A7030" i="19"/>
  <c r="A7029" i="19"/>
  <c r="A7028" i="19"/>
  <c r="A7027" i="19"/>
  <c r="A7026" i="19"/>
  <c r="A7025" i="19"/>
  <c r="A7024" i="19"/>
  <c r="A7023" i="19"/>
  <c r="A7022" i="19"/>
  <c r="A7021" i="19"/>
  <c r="A7020" i="19"/>
  <c r="A7019" i="19"/>
  <c r="A7018" i="19"/>
  <c r="A7017" i="19"/>
  <c r="A7016" i="19"/>
  <c r="A7015" i="19"/>
  <c r="A7014" i="19"/>
  <c r="A7013" i="19"/>
  <c r="A7012" i="19"/>
  <c r="A7011" i="19"/>
  <c r="A7010" i="19"/>
  <c r="A7009" i="19"/>
  <c r="A7008" i="19"/>
  <c r="A7007" i="19"/>
  <c r="A7006" i="19"/>
  <c r="A7005" i="19"/>
  <c r="A7004" i="19"/>
  <c r="A7003" i="19"/>
  <c r="A7002" i="19"/>
  <c r="A7001" i="19"/>
  <c r="A7000" i="19"/>
  <c r="A6999" i="19"/>
  <c r="A6998" i="19"/>
  <c r="A6997" i="19"/>
  <c r="A6996" i="19"/>
  <c r="A6995" i="19"/>
  <c r="A6994" i="19"/>
  <c r="A6993" i="19"/>
  <c r="A6992" i="19"/>
  <c r="A6991" i="19"/>
  <c r="A6990" i="19"/>
  <c r="A6989" i="19"/>
  <c r="A6988" i="19"/>
  <c r="A6987" i="19"/>
  <c r="A6986" i="19"/>
  <c r="A6985" i="19"/>
  <c r="A6984" i="19"/>
  <c r="A6983" i="19"/>
  <c r="A6982" i="19"/>
  <c r="A6981" i="19"/>
  <c r="A6980" i="19"/>
  <c r="A6979" i="19"/>
  <c r="A6978" i="19"/>
  <c r="A6977" i="19"/>
  <c r="A6976" i="19"/>
  <c r="A6975" i="19"/>
  <c r="A6974" i="19"/>
  <c r="A6973" i="19"/>
  <c r="A6972" i="19"/>
  <c r="A6971" i="19"/>
  <c r="A6970" i="19"/>
  <c r="A6969" i="19"/>
  <c r="A6968" i="19"/>
  <c r="A6967" i="19"/>
  <c r="A6966" i="19"/>
  <c r="A6965" i="19"/>
  <c r="A6964" i="19"/>
  <c r="A6963" i="19"/>
  <c r="A6962" i="19"/>
  <c r="A6961" i="19"/>
  <c r="A6960" i="19"/>
  <c r="A6959" i="19"/>
  <c r="A6958" i="19"/>
  <c r="A6957" i="19"/>
  <c r="A6956" i="19"/>
  <c r="A6955" i="19"/>
  <c r="A6954" i="19"/>
  <c r="A6953" i="19"/>
  <c r="A6952" i="19"/>
  <c r="A6951" i="19"/>
  <c r="A6950" i="19"/>
  <c r="A6949" i="19"/>
  <c r="A6948" i="19"/>
  <c r="A6947" i="19"/>
  <c r="A6946" i="19"/>
  <c r="A6945" i="19"/>
  <c r="A6944" i="19"/>
  <c r="A6943" i="19"/>
  <c r="A6942" i="19"/>
  <c r="A6941" i="19"/>
  <c r="A6940" i="19"/>
  <c r="A6939" i="19"/>
  <c r="A6938" i="19"/>
  <c r="A6937" i="19"/>
  <c r="A6936" i="19"/>
  <c r="A6935" i="19"/>
  <c r="A6934" i="19"/>
  <c r="A6933" i="19"/>
  <c r="A6932" i="19"/>
  <c r="A6931" i="19"/>
  <c r="A6930" i="19"/>
  <c r="A6929" i="19"/>
  <c r="A6928" i="19"/>
  <c r="A6927" i="19"/>
  <c r="A6926" i="19"/>
  <c r="A6925" i="19"/>
  <c r="A6924" i="19"/>
  <c r="A6923" i="19"/>
  <c r="A6922" i="19"/>
  <c r="A6921" i="19"/>
  <c r="A6920" i="19"/>
  <c r="A6919" i="19"/>
  <c r="A6918" i="19"/>
  <c r="A6917" i="19"/>
  <c r="A6916" i="19"/>
  <c r="A6915" i="19"/>
  <c r="A6914" i="19"/>
  <c r="A6913" i="19"/>
  <c r="A6912" i="19"/>
  <c r="A6911" i="19"/>
  <c r="A6910" i="19"/>
  <c r="A6909" i="19"/>
  <c r="A6908" i="19"/>
  <c r="A6907" i="19"/>
  <c r="A6906" i="19"/>
  <c r="A6905" i="19"/>
  <c r="A6904" i="19"/>
  <c r="A6903" i="19"/>
  <c r="A6902" i="19"/>
  <c r="A6901" i="19"/>
  <c r="A6900" i="19"/>
  <c r="A6899" i="19"/>
  <c r="A6898" i="19"/>
  <c r="A6897" i="19"/>
  <c r="A6896" i="19"/>
  <c r="A6895" i="19"/>
  <c r="A6894" i="19"/>
  <c r="A6893" i="19"/>
  <c r="A6892" i="19"/>
  <c r="A6891" i="19"/>
  <c r="A6890" i="19"/>
  <c r="A6889" i="19"/>
  <c r="A6888" i="19"/>
  <c r="A6887" i="19"/>
  <c r="A6886" i="19"/>
  <c r="A6885" i="19"/>
  <c r="A6884" i="19"/>
  <c r="A6883" i="19"/>
  <c r="A6882" i="19"/>
  <c r="A6881" i="19"/>
  <c r="A6880" i="19"/>
  <c r="A6879" i="19"/>
  <c r="A6878" i="19"/>
  <c r="A6877" i="19"/>
  <c r="A6876" i="19"/>
  <c r="A6875" i="19"/>
  <c r="A6874" i="19"/>
  <c r="A6873" i="19"/>
  <c r="A6872" i="19"/>
  <c r="A6871" i="19"/>
  <c r="A6870" i="19"/>
  <c r="A6869" i="19"/>
  <c r="A6868" i="19"/>
  <c r="A6867" i="19"/>
  <c r="A6866" i="19"/>
  <c r="A6865" i="19"/>
  <c r="A6864" i="19"/>
  <c r="A6863" i="19"/>
  <c r="A6862" i="19"/>
  <c r="A6861" i="19"/>
  <c r="A6860" i="19"/>
  <c r="A6859" i="19"/>
  <c r="A6858" i="19"/>
  <c r="A6857" i="19"/>
  <c r="A6856" i="19"/>
  <c r="A6855" i="19"/>
  <c r="A6854" i="19"/>
  <c r="A6853" i="19"/>
  <c r="A6852" i="19"/>
  <c r="A6851" i="19"/>
  <c r="A6850" i="19"/>
  <c r="A6849" i="19"/>
  <c r="A6848" i="19"/>
  <c r="A6847" i="19"/>
  <c r="A6846" i="19"/>
  <c r="A6845" i="19"/>
  <c r="A6844" i="19"/>
  <c r="A6843" i="19"/>
  <c r="A6842" i="19"/>
  <c r="A6841" i="19"/>
  <c r="A6840" i="19"/>
  <c r="A6839" i="19"/>
  <c r="A6838" i="19"/>
  <c r="A6837" i="19"/>
  <c r="A6836" i="19"/>
  <c r="A6835" i="19"/>
  <c r="A6834" i="19"/>
  <c r="A6833" i="19"/>
  <c r="A6832" i="19"/>
  <c r="A6831" i="19"/>
  <c r="A6830" i="19"/>
  <c r="A6829" i="19"/>
  <c r="A6828" i="19"/>
  <c r="A6827" i="19"/>
  <c r="A6826" i="19"/>
  <c r="A6825" i="19"/>
  <c r="A6824" i="19"/>
  <c r="A6823" i="19"/>
  <c r="A6822" i="19"/>
  <c r="A6821" i="19"/>
  <c r="A6820" i="19"/>
  <c r="A6819" i="19"/>
  <c r="A6818" i="19"/>
  <c r="A6817" i="19"/>
  <c r="A6816" i="19"/>
  <c r="A6815" i="19"/>
  <c r="A6814" i="19"/>
  <c r="A6813" i="19"/>
  <c r="A6812" i="19"/>
  <c r="A6811" i="19"/>
  <c r="A6810" i="19"/>
  <c r="A6809" i="19"/>
  <c r="A6808" i="19"/>
  <c r="A6807" i="19"/>
  <c r="A6806" i="19"/>
  <c r="A6805" i="19"/>
  <c r="A6804" i="19"/>
  <c r="A6803" i="19"/>
  <c r="A6802" i="19"/>
  <c r="A6801" i="19"/>
  <c r="A6800" i="19"/>
  <c r="A6799" i="19"/>
  <c r="A6798" i="19"/>
  <c r="A6797" i="19"/>
  <c r="A6796" i="19"/>
  <c r="A6795" i="19"/>
  <c r="A6794" i="19"/>
  <c r="A6793" i="19"/>
  <c r="A6792" i="19"/>
  <c r="A6791" i="19"/>
  <c r="A6790" i="19"/>
  <c r="A6789" i="19"/>
  <c r="A6788" i="19"/>
  <c r="A6787" i="19"/>
  <c r="A6786" i="19"/>
  <c r="A6785" i="19"/>
  <c r="A6784" i="19"/>
  <c r="A6783" i="19"/>
  <c r="A6782" i="19"/>
  <c r="A6781" i="19"/>
  <c r="A6780" i="19"/>
  <c r="A6779" i="19"/>
  <c r="A6778" i="19"/>
  <c r="A6777" i="19"/>
  <c r="A6776" i="19"/>
  <c r="A6775" i="19"/>
  <c r="A6774" i="19"/>
  <c r="A6773" i="19"/>
  <c r="A6772" i="19"/>
  <c r="A6771" i="19"/>
  <c r="A6770" i="19"/>
  <c r="A6769" i="19"/>
  <c r="A6768" i="19"/>
  <c r="A6767" i="19"/>
  <c r="A6766" i="19"/>
  <c r="A6765" i="19"/>
  <c r="A6764" i="19"/>
  <c r="A6763" i="19"/>
  <c r="A6762" i="19"/>
  <c r="A6761" i="19"/>
  <c r="A6760" i="19"/>
  <c r="A6759" i="19"/>
  <c r="A6758" i="19"/>
  <c r="A6757" i="19"/>
  <c r="A6756" i="19"/>
  <c r="A6755" i="19"/>
  <c r="A6754" i="19"/>
  <c r="A6753" i="19"/>
  <c r="A6752" i="19"/>
  <c r="A6751" i="19"/>
  <c r="A6750" i="19"/>
  <c r="A6749" i="19"/>
  <c r="A6748" i="19"/>
  <c r="A6747" i="19"/>
  <c r="A6746" i="19"/>
  <c r="A6745" i="19"/>
  <c r="A6744" i="19"/>
  <c r="A6743" i="19"/>
  <c r="A6742" i="19"/>
  <c r="A6741" i="19"/>
  <c r="A6740" i="19"/>
  <c r="A6739" i="19"/>
  <c r="A6738" i="19"/>
  <c r="A6737" i="19"/>
  <c r="A6736" i="19"/>
  <c r="A6735" i="19"/>
  <c r="A6734" i="19"/>
  <c r="A6733" i="19"/>
  <c r="A6732" i="19"/>
  <c r="A6731" i="19"/>
  <c r="A6730" i="19"/>
  <c r="A6729" i="19"/>
  <c r="A6728" i="19"/>
  <c r="A6727" i="19"/>
  <c r="A6726" i="19"/>
  <c r="A6725" i="19"/>
  <c r="A6724" i="19"/>
  <c r="A6723" i="19"/>
  <c r="A6722" i="19"/>
  <c r="A6721" i="19"/>
  <c r="A6720" i="19"/>
  <c r="A6719" i="19"/>
  <c r="A6718" i="19"/>
  <c r="A6717" i="19"/>
  <c r="A6716" i="19"/>
  <c r="A6715" i="19"/>
  <c r="A6714" i="19"/>
  <c r="A6713" i="19"/>
  <c r="A6712" i="19"/>
  <c r="A6711" i="19"/>
  <c r="A6710" i="19"/>
  <c r="A6709" i="19"/>
  <c r="A6708" i="19"/>
  <c r="A6707" i="19"/>
  <c r="A6706" i="19"/>
  <c r="A6705" i="19"/>
  <c r="A6704" i="19"/>
  <c r="A6703" i="19"/>
  <c r="A6702" i="19"/>
  <c r="A6701" i="19"/>
  <c r="A6700" i="19"/>
  <c r="A6699" i="19"/>
  <c r="A6698" i="19"/>
  <c r="A6697" i="19"/>
  <c r="A6696" i="19"/>
  <c r="A6695" i="19"/>
  <c r="A6694" i="19"/>
  <c r="A6693" i="19"/>
  <c r="A6692" i="19"/>
  <c r="A6691" i="19"/>
  <c r="A6690" i="19"/>
  <c r="A6689" i="19"/>
  <c r="A6688" i="19"/>
  <c r="A6687" i="19"/>
  <c r="A6686" i="19"/>
  <c r="A6685" i="19"/>
  <c r="A6684" i="19"/>
  <c r="A6683" i="19"/>
  <c r="A6682" i="19"/>
  <c r="A6681" i="19"/>
  <c r="A6680" i="19"/>
  <c r="A6679" i="19"/>
  <c r="A6678" i="19"/>
  <c r="A6677" i="19"/>
  <c r="A6676" i="19"/>
  <c r="A6675" i="19"/>
  <c r="A6674" i="19"/>
  <c r="A6673" i="19"/>
  <c r="A6672" i="19"/>
  <c r="A6671" i="19"/>
  <c r="A6670" i="19"/>
  <c r="A6669" i="19"/>
  <c r="A6668" i="19"/>
  <c r="A6667" i="19"/>
  <c r="A6666" i="19"/>
  <c r="A6665" i="19"/>
  <c r="A6664" i="19"/>
  <c r="A6663" i="19"/>
  <c r="A6662" i="19"/>
  <c r="A6661" i="19"/>
  <c r="A6660" i="19"/>
  <c r="A6659" i="19"/>
  <c r="A6658" i="19"/>
  <c r="A6657" i="19"/>
  <c r="A6656" i="19"/>
  <c r="A6655" i="19"/>
  <c r="A6654" i="19"/>
  <c r="A6653" i="19"/>
  <c r="A6652" i="19"/>
  <c r="A6651" i="19"/>
  <c r="A6650" i="19"/>
  <c r="A6649" i="19"/>
  <c r="A6648" i="19"/>
  <c r="A6647" i="19"/>
  <c r="A6646" i="19"/>
  <c r="A6645" i="19"/>
  <c r="A6644" i="19"/>
  <c r="A6643" i="19"/>
  <c r="A6642" i="19"/>
  <c r="A6641" i="19"/>
  <c r="A6640" i="19"/>
  <c r="A6639" i="19"/>
  <c r="A6638" i="19"/>
  <c r="A6637" i="19"/>
  <c r="A6636" i="19"/>
  <c r="A6635" i="19"/>
  <c r="A6634" i="19"/>
  <c r="A6633" i="19"/>
  <c r="A6632" i="19"/>
  <c r="A6631" i="19"/>
  <c r="A6630" i="19"/>
  <c r="A6629" i="19"/>
  <c r="A6628" i="19"/>
  <c r="A6627" i="19"/>
  <c r="A6626" i="19"/>
  <c r="A6625" i="19"/>
  <c r="A6624" i="19"/>
  <c r="A6623" i="19"/>
  <c r="A6622" i="19"/>
  <c r="A6621" i="19"/>
  <c r="A6620" i="19"/>
  <c r="A6619" i="19"/>
  <c r="A6618" i="19"/>
  <c r="A6617" i="19"/>
  <c r="A6616" i="19"/>
  <c r="A6615" i="19"/>
  <c r="A6614" i="19"/>
  <c r="A6613" i="19"/>
  <c r="A6612" i="19"/>
  <c r="A6611" i="19"/>
  <c r="A6610" i="19"/>
  <c r="A6609" i="19"/>
  <c r="A6608" i="19"/>
  <c r="A6607" i="19"/>
  <c r="A6606" i="19"/>
  <c r="A6605" i="19"/>
  <c r="A6604" i="19"/>
  <c r="A6603" i="19"/>
  <c r="A6602" i="19"/>
  <c r="A6601" i="19"/>
  <c r="A6600" i="19"/>
  <c r="A6599" i="19"/>
  <c r="A6598" i="19"/>
  <c r="A6597" i="19"/>
  <c r="A6596" i="19"/>
  <c r="A6595" i="19"/>
  <c r="A6594" i="19"/>
  <c r="A6593" i="19"/>
  <c r="A6592" i="19"/>
  <c r="A6591" i="19"/>
  <c r="A6590" i="19"/>
  <c r="A6589" i="19"/>
  <c r="A6588" i="19"/>
  <c r="A6587" i="19"/>
  <c r="A6586" i="19"/>
  <c r="A6585" i="19"/>
  <c r="A6584" i="19"/>
  <c r="A6583" i="19"/>
  <c r="A6582" i="19"/>
  <c r="A6581" i="19"/>
  <c r="A6580" i="19"/>
  <c r="A6579" i="19"/>
  <c r="A6578" i="19"/>
  <c r="A6577" i="19"/>
  <c r="A6576" i="19"/>
  <c r="A6575" i="19"/>
  <c r="A6574" i="19"/>
  <c r="A6573" i="19"/>
  <c r="A6572" i="19"/>
  <c r="A6571" i="19"/>
  <c r="A6570" i="19"/>
  <c r="A6569" i="19"/>
  <c r="A6568" i="19"/>
  <c r="A6567" i="19"/>
  <c r="A6566" i="19"/>
  <c r="A6565" i="19"/>
  <c r="A6564" i="19"/>
  <c r="A6563" i="19"/>
  <c r="A6562" i="19"/>
  <c r="A6561" i="19"/>
  <c r="A6560" i="19"/>
  <c r="A6559" i="19"/>
  <c r="A6558" i="19"/>
  <c r="A6557" i="19"/>
  <c r="A6556" i="19"/>
  <c r="A6555" i="19"/>
  <c r="A6554" i="19"/>
  <c r="A6553" i="19"/>
  <c r="A6552" i="19"/>
  <c r="A6551" i="19"/>
  <c r="A6550" i="19"/>
  <c r="A6549" i="19"/>
  <c r="A6548" i="19"/>
  <c r="A6547" i="19"/>
  <c r="A6546" i="19"/>
  <c r="A6545" i="19"/>
  <c r="A6544" i="19"/>
  <c r="A6543" i="19"/>
  <c r="A6542" i="19"/>
  <c r="A6541" i="19"/>
  <c r="A6540" i="19"/>
  <c r="A6539" i="19"/>
  <c r="A6538" i="19"/>
  <c r="A6537" i="19"/>
  <c r="A6536" i="19"/>
  <c r="A6535" i="19"/>
  <c r="A6534" i="19"/>
  <c r="A6533" i="19"/>
  <c r="A6532" i="19"/>
  <c r="A6531" i="19"/>
  <c r="A6530" i="19"/>
  <c r="A6529" i="19"/>
  <c r="A6528" i="19"/>
  <c r="A6527" i="19"/>
  <c r="A6526" i="19"/>
  <c r="A6525" i="19"/>
  <c r="A6524" i="19"/>
  <c r="A6523" i="19"/>
  <c r="A6522" i="19"/>
  <c r="A6521" i="19"/>
  <c r="A6520" i="19"/>
  <c r="A6519" i="19"/>
  <c r="A6518" i="19"/>
  <c r="A6517" i="19"/>
  <c r="A6516" i="19"/>
  <c r="A6515" i="19"/>
  <c r="A6514" i="19"/>
  <c r="A6513" i="19"/>
  <c r="A6512" i="19"/>
  <c r="A6511" i="19"/>
  <c r="A6510" i="19"/>
  <c r="A6509" i="19"/>
  <c r="A6508" i="19"/>
  <c r="A6507" i="19"/>
  <c r="A6506" i="19"/>
  <c r="A6505" i="19"/>
  <c r="A6504" i="19"/>
  <c r="A6503" i="19"/>
  <c r="A6502" i="19"/>
  <c r="A6501" i="19"/>
  <c r="A6500" i="19"/>
  <c r="A6499" i="19"/>
  <c r="A6498" i="19"/>
  <c r="A6497" i="19"/>
  <c r="A6496" i="19"/>
  <c r="A6495" i="19"/>
  <c r="A6494" i="19"/>
  <c r="A6493" i="19"/>
  <c r="A6492" i="19"/>
  <c r="A6491" i="19"/>
  <c r="A6490" i="19"/>
  <c r="A6489" i="19"/>
  <c r="A6488" i="19"/>
  <c r="A6487" i="19"/>
  <c r="A6486" i="19"/>
  <c r="A6485" i="19"/>
  <c r="A6484" i="19"/>
  <c r="A6483" i="19"/>
  <c r="A6482" i="19"/>
  <c r="A6481" i="19"/>
  <c r="A6480" i="19"/>
  <c r="A6479" i="19"/>
  <c r="A6478" i="19"/>
  <c r="A6477" i="19"/>
  <c r="A6476" i="19"/>
  <c r="A6475" i="19"/>
  <c r="A6474" i="19"/>
  <c r="A6473" i="19"/>
  <c r="A6472" i="19"/>
  <c r="A6471" i="19"/>
  <c r="A6470" i="19"/>
  <c r="A6469" i="19"/>
  <c r="A6468" i="19"/>
  <c r="A6467" i="19"/>
  <c r="A6466" i="19"/>
  <c r="A6465" i="19"/>
  <c r="A6464" i="19"/>
  <c r="A6463" i="19"/>
  <c r="A6462" i="19"/>
  <c r="A6461" i="19"/>
  <c r="A6460" i="19"/>
  <c r="A6459" i="19"/>
  <c r="A6458" i="19"/>
  <c r="A6457" i="19"/>
  <c r="A6456" i="19"/>
  <c r="A6455" i="19"/>
  <c r="A6454" i="19"/>
  <c r="A6453" i="19"/>
  <c r="A6452" i="19"/>
  <c r="A6451" i="19"/>
  <c r="A6450" i="19"/>
  <c r="A6449" i="19"/>
  <c r="A6448" i="19"/>
  <c r="A6447" i="19"/>
  <c r="A6446" i="19"/>
  <c r="A6445" i="19"/>
  <c r="A6444" i="19"/>
  <c r="A6443" i="19"/>
  <c r="A6442" i="19"/>
  <c r="A6441" i="19"/>
  <c r="A6440" i="19"/>
  <c r="A6439" i="19"/>
  <c r="A6438" i="19"/>
  <c r="A6437" i="19"/>
  <c r="A6436" i="19"/>
  <c r="A6435" i="19"/>
  <c r="A6434" i="19"/>
  <c r="A6433" i="19"/>
  <c r="A6432" i="19"/>
  <c r="A6431" i="19"/>
  <c r="A6430" i="19"/>
  <c r="A6429" i="19"/>
  <c r="A6428" i="19"/>
  <c r="A6427" i="19"/>
  <c r="A6426" i="19"/>
  <c r="A6425" i="19"/>
  <c r="A6424" i="19"/>
  <c r="A6423" i="19"/>
  <c r="A6422" i="19"/>
  <c r="A6421" i="19"/>
  <c r="A6420" i="19"/>
  <c r="A6419" i="19"/>
  <c r="A6418" i="19"/>
  <c r="A6417" i="19"/>
  <c r="A6416" i="19"/>
  <c r="A6415" i="19"/>
  <c r="A6414" i="19"/>
  <c r="A6413" i="19"/>
  <c r="A6412" i="19"/>
  <c r="A6411" i="19"/>
  <c r="A6410" i="19"/>
  <c r="A6409" i="19"/>
  <c r="A6408" i="19"/>
  <c r="A6407" i="19"/>
  <c r="A6406" i="19"/>
  <c r="A6405" i="19"/>
  <c r="A6404" i="19"/>
  <c r="A6403" i="19"/>
  <c r="A6402" i="19"/>
  <c r="A6401" i="19"/>
  <c r="A6400" i="19"/>
  <c r="A6399" i="19"/>
  <c r="A6398" i="19"/>
  <c r="A6397" i="19"/>
  <c r="A6396" i="19"/>
  <c r="A6395" i="19"/>
  <c r="A6394" i="19"/>
  <c r="A6393" i="19"/>
  <c r="A6392" i="19"/>
  <c r="A6391" i="19"/>
  <c r="A6390" i="19"/>
  <c r="A6389" i="19"/>
  <c r="A6388" i="19"/>
  <c r="A6387" i="19"/>
  <c r="A6386" i="19"/>
  <c r="A6385" i="19"/>
  <c r="A6384" i="19"/>
  <c r="A6383" i="19"/>
  <c r="A6382" i="19"/>
  <c r="A6381" i="19"/>
  <c r="A6380" i="19"/>
  <c r="A6379" i="19"/>
  <c r="A6378" i="19"/>
  <c r="A6377" i="19"/>
  <c r="A6376" i="19"/>
  <c r="A6375" i="19"/>
  <c r="A6374" i="19"/>
  <c r="A6373" i="19"/>
  <c r="A6372" i="19"/>
  <c r="A6371" i="19"/>
  <c r="A6370" i="19"/>
  <c r="A6369" i="19"/>
  <c r="A6368" i="19"/>
  <c r="A6367" i="19"/>
  <c r="A6366" i="19"/>
  <c r="A6365" i="19"/>
  <c r="A6364" i="19"/>
  <c r="A6363" i="19"/>
  <c r="A6362" i="19"/>
  <c r="A6361" i="19"/>
  <c r="A6360" i="19"/>
  <c r="A6359" i="19"/>
  <c r="A6358" i="19"/>
  <c r="A6357" i="19"/>
  <c r="A6356" i="19"/>
  <c r="A6355" i="19"/>
  <c r="A6354" i="19"/>
  <c r="A6353" i="19"/>
  <c r="A6352" i="19"/>
  <c r="A6351" i="19"/>
  <c r="A6350" i="19"/>
  <c r="A6349" i="19"/>
  <c r="A6348" i="19"/>
  <c r="A6347" i="19"/>
  <c r="A6346" i="19"/>
  <c r="A6345" i="19"/>
  <c r="A6344" i="19"/>
  <c r="A6343" i="19"/>
  <c r="A6342" i="19"/>
  <c r="A6341" i="19"/>
  <c r="A6340" i="19"/>
  <c r="A6339" i="19"/>
  <c r="A6338" i="19"/>
  <c r="A6337" i="19"/>
  <c r="A6336" i="19"/>
  <c r="A6335" i="19"/>
  <c r="A6334" i="19"/>
  <c r="A6333" i="19"/>
  <c r="A6332" i="19"/>
  <c r="A6331" i="19"/>
  <c r="A6330" i="19"/>
  <c r="A6329" i="19"/>
  <c r="A6328" i="19"/>
  <c r="A6327" i="19"/>
  <c r="A6326" i="19"/>
  <c r="A6325" i="19"/>
  <c r="A6324" i="19"/>
  <c r="A6323" i="19"/>
  <c r="A6322" i="19"/>
  <c r="A6321" i="19"/>
  <c r="A6320" i="19"/>
  <c r="A6319" i="19"/>
  <c r="A6318" i="19"/>
  <c r="A6317" i="19"/>
  <c r="A6316" i="19"/>
  <c r="A6315" i="19"/>
  <c r="A6314" i="19"/>
  <c r="A6313" i="19"/>
  <c r="A6312" i="19"/>
  <c r="A6311" i="19"/>
  <c r="A6310" i="19"/>
  <c r="A6309" i="19"/>
  <c r="A6308" i="19"/>
  <c r="A6307" i="19"/>
  <c r="A6306" i="19"/>
  <c r="A6305" i="19"/>
  <c r="A6304" i="19"/>
  <c r="A6303" i="19"/>
  <c r="A6302" i="19"/>
  <c r="A6301" i="19"/>
  <c r="A6300" i="19"/>
  <c r="A6299" i="19"/>
  <c r="A6298" i="19"/>
  <c r="A6297" i="19"/>
  <c r="A6296" i="19"/>
  <c r="A6295" i="19"/>
  <c r="A6294" i="19"/>
  <c r="A6293" i="19"/>
  <c r="A6292" i="19"/>
  <c r="A6291" i="19"/>
  <c r="A6290" i="19"/>
  <c r="A6289" i="19"/>
  <c r="A6288" i="19"/>
  <c r="A6287" i="19"/>
  <c r="A6286" i="19"/>
  <c r="A6285" i="19"/>
  <c r="A6284" i="19"/>
  <c r="A6283" i="19"/>
  <c r="A6282" i="19"/>
  <c r="A6281" i="19"/>
  <c r="A6280" i="19"/>
  <c r="A6279" i="19"/>
  <c r="A6278" i="19"/>
  <c r="A6277" i="19"/>
  <c r="A6276" i="19"/>
  <c r="A6275" i="19"/>
  <c r="A6274" i="19"/>
  <c r="A6273" i="19"/>
  <c r="A6272" i="19"/>
  <c r="A6271" i="19"/>
  <c r="A6270" i="19"/>
  <c r="A6269" i="19"/>
  <c r="A6268" i="19"/>
  <c r="A6267" i="19"/>
  <c r="A6266" i="19"/>
  <c r="A6265" i="19"/>
  <c r="A6264" i="19"/>
  <c r="A6263" i="19"/>
  <c r="A6262" i="19"/>
  <c r="A6261" i="19"/>
  <c r="A6260" i="19"/>
  <c r="A6259" i="19"/>
  <c r="A6258" i="19"/>
  <c r="A6257" i="19"/>
  <c r="A6256" i="19"/>
  <c r="A6255" i="19"/>
  <c r="A6254" i="19"/>
  <c r="A6253" i="19"/>
  <c r="A6252" i="19"/>
  <c r="A6251" i="19"/>
  <c r="A6250" i="19"/>
  <c r="A6249" i="19"/>
  <c r="A6248" i="19"/>
  <c r="A6247" i="19"/>
  <c r="A6246" i="19"/>
  <c r="A6245" i="19"/>
  <c r="A6244" i="19"/>
  <c r="A6243" i="19"/>
  <c r="A6242" i="19"/>
  <c r="A6241" i="19"/>
  <c r="A6240" i="19"/>
  <c r="A6239" i="19"/>
  <c r="A6238" i="19"/>
  <c r="A6237" i="19"/>
  <c r="A6236" i="19"/>
  <c r="A6235" i="19"/>
  <c r="A6234" i="19"/>
  <c r="A6233" i="19"/>
  <c r="A6232" i="19"/>
  <c r="A6231" i="19"/>
  <c r="A6230" i="19"/>
  <c r="A6229" i="19"/>
  <c r="A6228" i="19"/>
  <c r="A6227" i="19"/>
  <c r="A6226" i="19"/>
  <c r="A6225" i="19"/>
  <c r="A6224" i="19"/>
  <c r="A6223" i="19"/>
  <c r="A6222" i="19"/>
  <c r="A6221" i="19"/>
  <c r="A6220" i="19"/>
  <c r="A6219" i="19"/>
  <c r="A6218" i="19"/>
  <c r="A6217" i="19"/>
  <c r="A6216" i="19"/>
  <c r="A6215" i="19"/>
  <c r="A6214" i="19"/>
  <c r="A6213" i="19"/>
  <c r="A6212" i="19"/>
  <c r="A6211" i="19"/>
  <c r="A6210" i="19"/>
  <c r="A6209" i="19"/>
  <c r="A6208" i="19"/>
  <c r="A6207" i="19"/>
  <c r="A6206" i="19"/>
  <c r="A6205" i="19"/>
  <c r="A6204" i="19"/>
  <c r="A6203" i="19"/>
  <c r="A6202" i="19"/>
  <c r="A6201" i="19"/>
  <c r="A6200" i="19"/>
  <c r="A6199" i="19"/>
  <c r="A6198" i="19"/>
  <c r="A6197" i="19"/>
  <c r="A6196" i="19"/>
  <c r="A6195" i="19"/>
  <c r="A6194" i="19"/>
  <c r="A6193" i="19"/>
  <c r="A6192" i="19"/>
  <c r="A6191" i="19"/>
  <c r="A6190" i="19"/>
  <c r="A6189" i="19"/>
  <c r="A6188" i="19"/>
  <c r="A6187" i="19"/>
  <c r="A6186" i="19"/>
  <c r="A6185" i="19"/>
  <c r="A6184" i="19"/>
  <c r="A6183" i="19"/>
  <c r="A6182" i="19"/>
  <c r="A6181" i="19"/>
  <c r="A6180" i="19"/>
  <c r="A6179" i="19"/>
  <c r="A6178" i="19"/>
  <c r="A6177" i="19"/>
  <c r="A6176" i="19"/>
  <c r="A6175" i="19"/>
  <c r="A6174" i="19"/>
  <c r="A6173" i="19"/>
  <c r="A6172" i="19"/>
  <c r="A6171" i="19"/>
  <c r="A6170" i="19"/>
  <c r="A6169" i="19"/>
  <c r="A6168" i="19"/>
  <c r="A6167" i="19"/>
  <c r="A6166" i="19"/>
  <c r="A6165" i="19"/>
  <c r="A6164" i="19"/>
  <c r="A6163" i="19"/>
  <c r="A6162" i="19"/>
  <c r="A6161" i="19"/>
  <c r="A6160" i="19"/>
  <c r="A6159" i="19"/>
  <c r="A6158" i="19"/>
  <c r="A6157" i="19"/>
  <c r="A6156" i="19"/>
  <c r="A6155" i="19"/>
  <c r="A6154" i="19"/>
  <c r="A6153" i="19"/>
  <c r="A6152" i="19"/>
  <c r="A6151" i="19"/>
  <c r="A6150" i="19"/>
  <c r="A6149" i="19"/>
  <c r="A6148" i="19"/>
  <c r="A6147" i="19"/>
  <c r="A6146" i="19"/>
  <c r="A6145" i="19"/>
  <c r="A6144" i="19"/>
  <c r="A6143" i="19"/>
  <c r="A6142" i="19"/>
  <c r="A6141" i="19"/>
  <c r="A6140" i="19"/>
  <c r="A6139" i="19"/>
  <c r="A6138" i="19"/>
  <c r="A6137" i="19"/>
  <c r="A6136" i="19"/>
  <c r="A6135" i="19"/>
  <c r="A6134" i="19"/>
  <c r="A6133" i="19"/>
  <c r="A6132" i="19"/>
  <c r="A6131" i="19"/>
  <c r="A6130" i="19"/>
  <c r="A6129" i="19"/>
  <c r="A6128" i="19"/>
  <c r="A6127" i="19"/>
  <c r="A6126" i="19"/>
  <c r="A6125" i="19"/>
  <c r="A6124" i="19"/>
  <c r="A6123" i="19"/>
  <c r="A6122" i="19"/>
  <c r="A6121" i="19"/>
  <c r="A6120" i="19"/>
  <c r="A6119" i="19"/>
  <c r="A6118" i="19"/>
  <c r="A6117" i="19"/>
  <c r="A6116" i="19"/>
  <c r="A6115" i="19"/>
  <c r="A6114" i="19"/>
  <c r="A6113" i="19"/>
  <c r="A6112" i="19"/>
  <c r="A6111" i="19"/>
  <c r="A6110" i="19"/>
  <c r="A6109" i="19"/>
  <c r="A6108" i="19"/>
  <c r="A6107" i="19"/>
  <c r="A6106" i="19"/>
  <c r="A6105" i="19"/>
  <c r="A6104" i="19"/>
  <c r="A6103" i="19"/>
  <c r="A6102" i="19"/>
  <c r="A6101" i="19"/>
  <c r="A6100" i="19"/>
  <c r="A6099" i="19"/>
  <c r="A6098" i="19"/>
  <c r="A6097" i="19"/>
  <c r="A6096" i="19"/>
  <c r="A6095" i="19"/>
  <c r="A6094" i="19"/>
  <c r="A6093" i="19"/>
  <c r="A6092" i="19"/>
  <c r="A6091" i="19"/>
  <c r="A6090" i="19"/>
  <c r="A6089" i="19"/>
  <c r="A6088" i="19"/>
  <c r="A6087" i="19"/>
  <c r="A6086" i="19"/>
  <c r="A6085" i="19"/>
  <c r="A6084" i="19"/>
  <c r="A6083" i="19"/>
  <c r="A6082" i="19"/>
  <c r="A6081" i="19"/>
  <c r="A6080" i="19"/>
  <c r="A6079" i="19"/>
  <c r="A6078" i="19"/>
  <c r="A6077" i="19"/>
  <c r="A6076" i="19"/>
  <c r="A6075" i="19"/>
  <c r="A6074" i="19"/>
  <c r="A6073" i="19"/>
  <c r="A6072" i="19"/>
  <c r="A6071" i="19"/>
  <c r="A6070" i="19"/>
  <c r="A6069" i="19"/>
  <c r="A6068" i="19"/>
  <c r="A6067" i="19"/>
  <c r="A6066" i="19"/>
  <c r="A6065" i="19"/>
  <c r="A6064" i="19"/>
  <c r="A6063" i="19"/>
  <c r="A6062" i="19"/>
  <c r="A6061" i="19"/>
  <c r="A6060" i="19"/>
  <c r="A6059" i="19"/>
  <c r="A6058" i="19"/>
  <c r="A6057" i="19"/>
  <c r="A6056" i="19"/>
  <c r="A6055" i="19"/>
  <c r="A6054" i="19"/>
  <c r="A6053" i="19"/>
  <c r="A6052" i="19"/>
  <c r="A6051" i="19"/>
  <c r="A6050" i="19"/>
  <c r="A6049" i="19"/>
  <c r="A6048" i="19"/>
  <c r="A6047" i="19"/>
  <c r="A6046" i="19"/>
  <c r="A6045" i="19"/>
  <c r="A6044" i="19"/>
  <c r="A6043" i="19"/>
  <c r="A6042" i="19"/>
  <c r="A6041" i="19"/>
  <c r="A6040" i="19"/>
  <c r="A6039" i="19"/>
  <c r="A6038" i="19"/>
  <c r="A6037" i="19"/>
  <c r="A6036" i="19"/>
  <c r="A6035" i="19"/>
  <c r="A6034" i="19"/>
  <c r="A6033" i="19"/>
  <c r="A6032" i="19"/>
  <c r="A6031" i="19"/>
  <c r="A6030" i="19"/>
  <c r="A6029" i="19"/>
  <c r="A6028" i="19"/>
  <c r="A6027" i="19"/>
  <c r="A6026" i="19"/>
  <c r="A6025" i="19"/>
  <c r="A6024" i="19"/>
  <c r="A6023" i="19"/>
  <c r="A6022" i="19"/>
  <c r="A6021" i="19"/>
  <c r="A6020" i="19"/>
  <c r="A6019" i="19"/>
  <c r="A6018" i="19"/>
  <c r="A6017" i="19"/>
  <c r="A6016" i="19"/>
  <c r="A6015" i="19"/>
  <c r="A6014" i="19"/>
  <c r="A6013" i="19"/>
  <c r="A6012" i="19"/>
  <c r="A6011" i="19"/>
  <c r="A6010" i="19"/>
  <c r="A6009" i="19"/>
  <c r="A6008" i="19"/>
  <c r="A6007" i="19"/>
  <c r="A6006" i="19"/>
  <c r="A6005" i="19"/>
  <c r="A6004" i="19"/>
  <c r="A6003" i="19"/>
  <c r="A6002" i="19"/>
  <c r="A6001" i="19"/>
  <c r="A6000" i="19"/>
  <c r="A5999" i="19"/>
  <c r="A5998" i="19"/>
  <c r="A5997" i="19"/>
  <c r="A5996" i="19"/>
  <c r="A5995" i="19"/>
  <c r="A5994" i="19"/>
  <c r="A5993" i="19"/>
  <c r="A5992" i="19"/>
  <c r="A5991" i="19"/>
  <c r="A5990" i="19"/>
  <c r="A5989" i="19"/>
  <c r="A5988" i="19"/>
  <c r="A5987" i="19"/>
  <c r="A5986" i="19"/>
  <c r="A5985" i="19"/>
  <c r="A5984" i="19"/>
  <c r="A5983" i="19"/>
  <c r="A5982" i="19"/>
  <c r="A5981" i="19"/>
  <c r="A5980" i="19"/>
  <c r="A5979" i="19"/>
  <c r="A5978" i="19"/>
  <c r="A5977" i="19"/>
  <c r="A5976" i="19"/>
  <c r="A5975" i="19"/>
  <c r="A5974" i="19"/>
  <c r="A5973" i="19"/>
  <c r="A5972" i="19"/>
  <c r="A5971" i="19"/>
  <c r="A5970" i="19"/>
  <c r="A5969" i="19"/>
  <c r="A5968" i="19"/>
  <c r="A5967" i="19"/>
  <c r="A5966" i="19"/>
  <c r="A5965" i="19"/>
  <c r="A5964" i="19"/>
  <c r="A5963" i="19"/>
  <c r="A5962" i="19"/>
  <c r="A5961" i="19"/>
  <c r="A5960" i="19"/>
  <c r="A5959" i="19"/>
  <c r="A5958" i="19"/>
  <c r="A5957" i="19"/>
  <c r="A5956" i="19"/>
  <c r="A5955" i="19"/>
  <c r="A5954" i="19"/>
  <c r="A5953" i="19"/>
  <c r="A5952" i="19"/>
  <c r="A5951" i="19"/>
  <c r="A5950" i="19"/>
  <c r="A5949" i="19"/>
  <c r="A5948" i="19"/>
  <c r="A5947" i="19"/>
  <c r="A5946" i="19"/>
  <c r="A5945" i="19"/>
  <c r="A5944" i="19"/>
  <c r="A5943" i="19"/>
  <c r="A5942" i="19"/>
  <c r="A5941" i="19"/>
  <c r="A5940" i="19"/>
  <c r="A5939" i="19"/>
  <c r="A5938" i="19"/>
  <c r="A5937" i="19"/>
  <c r="A5936" i="19"/>
  <c r="A5935" i="19"/>
  <c r="A5934" i="19"/>
  <c r="A5933" i="19"/>
  <c r="A5932" i="19"/>
  <c r="A5931" i="19"/>
  <c r="A5930" i="19"/>
  <c r="A5929" i="19"/>
  <c r="A5928" i="19"/>
  <c r="A5927" i="19"/>
  <c r="A5926" i="19"/>
  <c r="A5925" i="19"/>
  <c r="A5924" i="19"/>
  <c r="A5923" i="19"/>
  <c r="A5922" i="19"/>
  <c r="A5921" i="19"/>
  <c r="A5920" i="19"/>
  <c r="A5919" i="19"/>
  <c r="A5918" i="19"/>
  <c r="A5917" i="19"/>
  <c r="A5916" i="19"/>
  <c r="A5915" i="19"/>
  <c r="A5914" i="19"/>
  <c r="A5913" i="19"/>
  <c r="A5912" i="19"/>
  <c r="A5911" i="19"/>
  <c r="A5910" i="19"/>
  <c r="A5909" i="19"/>
  <c r="A5908" i="19"/>
  <c r="A5907" i="19"/>
  <c r="A5906" i="19"/>
  <c r="A5905" i="19"/>
  <c r="A5904" i="19"/>
  <c r="A5903" i="19"/>
  <c r="A5902" i="19"/>
  <c r="A5901" i="19"/>
  <c r="A5900" i="19"/>
  <c r="A5899" i="19"/>
  <c r="A5898" i="19"/>
  <c r="A5897" i="19"/>
  <c r="A5896" i="19"/>
  <c r="A5895" i="19"/>
  <c r="A5894" i="19"/>
  <c r="A5893" i="19"/>
  <c r="A5892" i="19"/>
  <c r="A5891" i="19"/>
  <c r="A5890" i="19"/>
  <c r="A5889" i="19"/>
  <c r="A5888" i="19"/>
  <c r="A5887" i="19"/>
  <c r="A5886" i="19"/>
  <c r="A5885" i="19"/>
  <c r="A5884" i="19"/>
  <c r="A5883" i="19"/>
  <c r="A5882" i="19"/>
  <c r="A5881" i="19"/>
  <c r="A5880" i="19"/>
  <c r="A5879" i="19"/>
  <c r="A5878" i="19"/>
  <c r="A5877" i="19"/>
  <c r="A5876" i="19"/>
  <c r="A5875" i="19"/>
  <c r="A5874" i="19"/>
  <c r="A5873" i="19"/>
  <c r="A5872" i="19"/>
  <c r="A5871" i="19"/>
  <c r="A5870" i="19"/>
  <c r="A5869" i="19"/>
  <c r="A5868" i="19"/>
  <c r="A5867" i="19"/>
  <c r="A5866" i="19"/>
  <c r="A5865" i="19"/>
  <c r="A5864" i="19"/>
  <c r="A5863" i="19"/>
  <c r="A5862" i="19"/>
  <c r="A5861" i="19"/>
  <c r="A5860" i="19"/>
  <c r="A5859" i="19"/>
  <c r="A5858" i="19"/>
  <c r="A5857" i="19"/>
  <c r="A5856" i="19"/>
  <c r="A5855" i="19"/>
  <c r="A5854" i="19"/>
  <c r="A5853" i="19"/>
  <c r="A5852" i="19"/>
  <c r="A5851" i="19"/>
  <c r="A5850" i="19"/>
  <c r="A5849" i="19"/>
  <c r="A5848" i="19"/>
  <c r="A5847" i="19"/>
  <c r="A5846" i="19"/>
  <c r="A5845" i="19"/>
  <c r="A5844" i="19"/>
  <c r="A5843" i="19"/>
  <c r="A5842" i="19"/>
  <c r="A5841" i="19"/>
  <c r="A5840" i="19"/>
  <c r="A5839" i="19"/>
  <c r="A5838" i="19"/>
  <c r="A5837" i="19"/>
  <c r="A5836" i="19"/>
  <c r="A5835" i="19"/>
  <c r="A5834" i="19"/>
  <c r="A5833" i="19"/>
  <c r="A5832" i="19"/>
  <c r="A5831" i="19"/>
  <c r="A5830" i="19"/>
  <c r="A5829" i="19"/>
  <c r="A5828" i="19"/>
  <c r="A5827" i="19"/>
  <c r="A5826" i="19"/>
  <c r="A5825" i="19"/>
  <c r="A5824" i="19"/>
  <c r="A5823" i="19"/>
  <c r="A5822" i="19"/>
  <c r="A5821" i="19"/>
  <c r="A5820" i="19"/>
  <c r="A5819" i="19"/>
  <c r="A5818" i="19"/>
  <c r="A5817" i="19"/>
  <c r="A5816" i="19"/>
  <c r="A5815" i="19"/>
  <c r="A5814" i="19"/>
  <c r="A5813" i="19"/>
  <c r="A5812" i="19"/>
  <c r="A5811" i="19"/>
  <c r="A5810" i="19"/>
  <c r="A5809" i="19"/>
  <c r="A5808" i="19"/>
  <c r="A5807" i="19"/>
  <c r="A5806" i="19"/>
  <c r="A5805" i="19"/>
  <c r="A5804" i="19"/>
  <c r="A5803" i="19"/>
  <c r="A5802" i="19"/>
  <c r="A5801" i="19"/>
  <c r="A5800" i="19"/>
  <c r="A5799" i="19"/>
  <c r="A5798" i="19"/>
  <c r="A5797" i="19"/>
  <c r="A5796" i="19"/>
  <c r="A5795" i="19"/>
  <c r="A5794" i="19"/>
  <c r="A5793" i="19"/>
  <c r="A5792" i="19"/>
  <c r="A5791" i="19"/>
  <c r="A5790" i="19"/>
  <c r="A5789" i="19"/>
  <c r="A5788" i="19"/>
  <c r="A5787" i="19"/>
  <c r="A5786" i="19"/>
  <c r="A5785" i="19"/>
  <c r="A5784" i="19"/>
  <c r="A5783" i="19"/>
  <c r="A5782" i="19"/>
  <c r="A5781" i="19"/>
  <c r="A5780" i="19"/>
  <c r="A5779" i="19"/>
  <c r="A5778" i="19"/>
  <c r="A5777" i="19"/>
  <c r="A5776" i="19"/>
  <c r="A5775" i="19"/>
  <c r="A5774" i="19"/>
  <c r="A5773" i="19"/>
  <c r="A5772" i="19"/>
  <c r="A5771" i="19"/>
  <c r="A5770" i="19"/>
  <c r="A5769" i="19"/>
  <c r="A5768" i="19"/>
  <c r="A5767" i="19"/>
  <c r="A5766" i="19"/>
  <c r="A5765" i="19"/>
  <c r="A5764" i="19"/>
  <c r="A5763" i="19"/>
  <c r="A5762" i="19"/>
  <c r="A5761" i="19"/>
  <c r="A5760" i="19"/>
  <c r="A5759" i="19"/>
  <c r="A5758" i="19"/>
  <c r="A5757" i="19"/>
  <c r="A5756" i="19"/>
  <c r="A5755" i="19"/>
  <c r="A5754" i="19"/>
  <c r="A5753" i="19"/>
  <c r="A5752" i="19"/>
  <c r="A5751" i="19"/>
  <c r="A5750" i="19"/>
  <c r="A5749" i="19"/>
  <c r="A5748" i="19"/>
  <c r="A5747" i="19"/>
  <c r="A5746" i="19"/>
  <c r="A5745" i="19"/>
  <c r="A5744" i="19"/>
  <c r="A5743" i="19"/>
  <c r="A5742" i="19"/>
  <c r="A5741" i="19"/>
  <c r="A5740" i="19"/>
  <c r="A5739" i="19"/>
  <c r="A5738" i="19"/>
  <c r="A5737" i="19"/>
  <c r="A5736" i="19"/>
  <c r="A5735" i="19"/>
  <c r="A5734" i="19"/>
  <c r="A5733" i="19"/>
  <c r="A5732" i="19"/>
  <c r="A5731" i="19"/>
  <c r="A5730" i="19"/>
  <c r="A5729" i="19"/>
  <c r="A5728" i="19"/>
  <c r="A5727" i="19"/>
  <c r="A5726" i="19"/>
  <c r="A5725" i="19"/>
  <c r="A5724" i="19"/>
  <c r="A5723" i="19"/>
  <c r="A5722" i="19"/>
  <c r="A5721" i="19"/>
  <c r="A5720" i="19"/>
  <c r="A5719" i="19"/>
  <c r="A5718" i="19"/>
  <c r="A5717" i="19"/>
  <c r="A5716" i="19"/>
  <c r="A5715" i="19"/>
  <c r="A5714" i="19"/>
  <c r="A5713" i="19"/>
  <c r="A5712" i="19"/>
  <c r="A5711" i="19"/>
  <c r="A5710" i="19"/>
  <c r="A5709" i="19"/>
  <c r="A5708" i="19"/>
  <c r="A5707" i="19"/>
  <c r="A5706" i="19"/>
  <c r="A5705" i="19"/>
  <c r="A5704" i="19"/>
  <c r="A5703" i="19"/>
  <c r="A5702" i="19"/>
  <c r="A5701" i="19"/>
  <c r="A5700" i="19"/>
  <c r="A5699" i="19"/>
  <c r="A5698" i="19"/>
  <c r="A5697" i="19"/>
  <c r="A5696" i="19"/>
  <c r="A5695" i="19"/>
  <c r="A5694" i="19"/>
  <c r="A5693" i="19"/>
  <c r="A5692" i="19"/>
  <c r="A5691" i="19"/>
  <c r="A5690" i="19"/>
  <c r="A5689" i="19"/>
  <c r="A5688" i="19"/>
  <c r="A5687" i="19"/>
  <c r="A5686" i="19"/>
  <c r="A5685" i="19"/>
  <c r="A5684" i="19"/>
  <c r="A5683" i="19"/>
  <c r="A5682" i="19"/>
  <c r="A5681" i="19"/>
  <c r="A5680" i="19"/>
  <c r="A5679" i="19"/>
  <c r="A5678" i="19"/>
  <c r="A5677" i="19"/>
  <c r="A5676" i="19"/>
  <c r="A5675" i="19"/>
  <c r="A5674" i="19"/>
  <c r="A5673" i="19"/>
  <c r="A5672" i="19"/>
  <c r="A5671" i="19"/>
  <c r="A5670" i="19"/>
  <c r="A5669" i="19"/>
  <c r="A5668" i="19"/>
  <c r="A5667" i="19"/>
  <c r="A5666" i="19"/>
  <c r="A5665" i="19"/>
  <c r="A5664" i="19"/>
  <c r="A5663" i="19"/>
  <c r="A5662" i="19"/>
  <c r="A5661" i="19"/>
  <c r="A5660" i="19"/>
  <c r="A5659" i="19"/>
  <c r="A5658" i="19"/>
  <c r="A5657" i="19"/>
  <c r="A5656" i="19"/>
  <c r="A5655" i="19"/>
  <c r="A5654" i="19"/>
  <c r="A5653" i="19"/>
  <c r="A5652" i="19"/>
  <c r="A5651" i="19"/>
  <c r="A5650" i="19"/>
  <c r="A5649" i="19"/>
  <c r="A5648" i="19"/>
  <c r="A5647" i="19"/>
  <c r="A5646" i="19"/>
  <c r="A5645" i="19"/>
  <c r="A5644" i="19"/>
  <c r="A5643" i="19"/>
  <c r="A5642" i="19"/>
  <c r="A5641" i="19"/>
  <c r="A5640" i="19"/>
  <c r="A5639" i="19"/>
  <c r="A5638" i="19"/>
  <c r="A5637" i="19"/>
  <c r="A5636" i="19"/>
  <c r="A5635" i="19"/>
  <c r="A5634" i="19"/>
  <c r="A5633" i="19"/>
  <c r="A5632" i="19"/>
  <c r="A5631" i="19"/>
  <c r="A5630" i="19"/>
  <c r="A5629" i="19"/>
  <c r="A5628" i="19"/>
  <c r="A5627" i="19"/>
  <c r="A5626" i="19"/>
  <c r="A5625" i="19"/>
  <c r="A5624" i="19"/>
  <c r="A5623" i="19"/>
  <c r="A5622" i="19"/>
  <c r="A5621" i="19"/>
  <c r="A5620" i="19"/>
  <c r="A5619" i="19"/>
  <c r="A5618" i="19"/>
  <c r="A5617" i="19"/>
  <c r="A5616" i="19"/>
  <c r="A5615" i="19"/>
  <c r="A5614" i="19"/>
  <c r="A5613" i="19"/>
  <c r="A5612" i="19"/>
  <c r="A5611" i="19"/>
  <c r="A5610" i="19"/>
  <c r="A5609" i="19"/>
  <c r="A5608" i="19"/>
  <c r="A5607" i="19"/>
  <c r="A5606" i="19"/>
  <c r="A5605" i="19"/>
  <c r="A5604" i="19"/>
  <c r="A5603" i="19"/>
  <c r="A5602" i="19"/>
  <c r="A5601" i="19"/>
  <c r="A5600" i="19"/>
  <c r="A5599" i="19"/>
  <c r="A5598" i="19"/>
  <c r="A5597" i="19"/>
  <c r="A5596" i="19"/>
  <c r="A5595" i="19"/>
  <c r="A5594" i="19"/>
  <c r="A5593" i="19"/>
  <c r="A5592" i="19"/>
  <c r="A5591" i="19"/>
  <c r="A5590" i="19"/>
  <c r="A5589" i="19"/>
  <c r="A5588" i="19"/>
  <c r="A5587" i="19"/>
  <c r="A5586" i="19"/>
  <c r="A5585" i="19"/>
  <c r="A5584" i="19"/>
  <c r="A5583" i="19"/>
  <c r="A5582" i="19"/>
  <c r="A5581" i="19"/>
  <c r="A5580" i="19"/>
  <c r="A5579" i="19"/>
  <c r="A5578" i="19"/>
  <c r="A5577" i="19"/>
  <c r="A5576" i="19"/>
  <c r="A5575" i="19"/>
  <c r="A5574" i="19"/>
  <c r="A5573" i="19"/>
  <c r="A5572" i="19"/>
  <c r="A5571" i="19"/>
  <c r="A5570" i="19"/>
  <c r="A5569" i="19"/>
  <c r="A5568" i="19"/>
  <c r="A5567" i="19"/>
  <c r="A5566" i="19"/>
  <c r="A5565" i="19"/>
  <c r="A5564" i="19"/>
  <c r="A5563" i="19"/>
  <c r="A5562" i="19"/>
  <c r="A5561" i="19"/>
  <c r="A5560" i="19"/>
  <c r="A5559" i="19"/>
  <c r="A5558" i="19"/>
  <c r="A5557" i="19"/>
  <c r="A5556" i="19"/>
  <c r="A5555" i="19"/>
  <c r="A5554" i="19"/>
  <c r="A5553" i="19"/>
  <c r="A5552" i="19"/>
  <c r="A5551" i="19"/>
  <c r="A5550" i="19"/>
  <c r="A5549" i="19"/>
  <c r="A5548" i="19"/>
  <c r="A5547" i="19"/>
  <c r="A5546" i="19"/>
  <c r="A5545" i="19"/>
  <c r="A5544" i="19"/>
  <c r="A5543" i="19"/>
  <c r="A5542" i="19"/>
  <c r="A5541" i="19"/>
  <c r="A5540" i="19"/>
  <c r="A5539" i="19"/>
  <c r="A5538" i="19"/>
  <c r="A5537" i="19"/>
  <c r="A5536" i="19"/>
  <c r="A5535" i="19"/>
  <c r="A5534" i="19"/>
  <c r="A5533" i="19"/>
  <c r="A5532" i="19"/>
  <c r="A5531" i="19"/>
  <c r="A5530" i="19"/>
  <c r="A5529" i="19"/>
  <c r="A5528" i="19"/>
  <c r="A5527" i="19"/>
  <c r="A5526" i="19"/>
  <c r="A5525" i="19"/>
  <c r="A5524" i="19"/>
  <c r="A5523" i="19"/>
  <c r="A5522" i="19"/>
  <c r="A5521" i="19"/>
  <c r="A5520" i="19"/>
  <c r="A5519" i="19"/>
  <c r="A5518" i="19"/>
  <c r="A5517" i="19"/>
  <c r="A5516" i="19"/>
  <c r="A5515" i="19"/>
  <c r="A5514" i="19"/>
  <c r="A5513" i="19"/>
  <c r="A5512" i="19"/>
  <c r="A5511" i="19"/>
  <c r="A5510" i="19"/>
  <c r="A5509" i="19"/>
  <c r="A5508" i="19"/>
  <c r="A5507" i="19"/>
  <c r="A5506" i="19"/>
  <c r="A5505" i="19"/>
  <c r="A5504" i="19"/>
  <c r="A5503" i="19"/>
  <c r="A5502" i="19"/>
  <c r="A5501" i="19"/>
  <c r="A5500" i="19"/>
  <c r="A5499" i="19"/>
  <c r="A5498" i="19"/>
  <c r="A5497" i="19"/>
  <c r="A5496" i="19"/>
  <c r="A5495" i="19"/>
  <c r="A5494" i="19"/>
  <c r="A5493" i="19"/>
  <c r="A5492" i="19"/>
  <c r="A5491" i="19"/>
  <c r="A5490" i="19"/>
  <c r="A5489" i="19"/>
  <c r="A5488" i="19"/>
  <c r="A5487" i="19"/>
  <c r="A5486" i="19"/>
  <c r="A5485" i="19"/>
  <c r="A5484" i="19"/>
  <c r="A5483" i="19"/>
  <c r="A5482" i="19"/>
  <c r="A5481" i="19"/>
  <c r="A5480" i="19"/>
  <c r="A5479" i="19"/>
  <c r="A5478" i="19"/>
  <c r="A5477" i="19"/>
  <c r="A5476" i="19"/>
  <c r="A5475" i="19"/>
  <c r="A5474" i="19"/>
  <c r="A5473" i="19"/>
  <c r="A5472" i="19"/>
  <c r="A5471" i="19"/>
  <c r="A5470" i="19"/>
  <c r="A5469" i="19"/>
  <c r="A5468" i="19"/>
  <c r="A5467" i="19"/>
  <c r="A5466" i="19"/>
  <c r="A5465" i="19"/>
  <c r="A5464" i="19"/>
  <c r="A5463" i="19"/>
  <c r="A5462" i="19"/>
  <c r="A5461" i="19"/>
  <c r="A5460" i="19"/>
  <c r="A5459" i="19"/>
  <c r="A5458" i="19"/>
  <c r="A5457" i="19"/>
  <c r="A5456" i="19"/>
  <c r="A5455" i="19"/>
  <c r="A5454" i="19"/>
  <c r="A5453" i="19"/>
  <c r="A5452" i="19"/>
  <c r="A5451" i="19"/>
  <c r="A5450" i="19"/>
  <c r="A5449" i="19"/>
  <c r="A5448" i="19"/>
  <c r="A5447" i="19"/>
  <c r="A5446" i="19"/>
  <c r="A5445" i="19"/>
  <c r="A5444" i="19"/>
  <c r="A5443" i="19"/>
  <c r="A5442" i="19"/>
  <c r="A5441" i="19"/>
  <c r="A5440" i="19"/>
  <c r="A5439" i="19"/>
  <c r="A5438" i="19"/>
  <c r="A5437" i="19"/>
  <c r="A5436" i="19"/>
  <c r="A5435" i="19"/>
  <c r="A5434" i="19"/>
  <c r="A5433" i="19"/>
  <c r="A5432" i="19"/>
  <c r="A5431" i="19"/>
  <c r="A5430" i="19"/>
  <c r="A5429" i="19"/>
  <c r="A5428" i="19"/>
  <c r="A5427" i="19"/>
  <c r="A5426" i="19"/>
  <c r="A5425" i="19"/>
  <c r="A5424" i="19"/>
  <c r="A5423" i="19"/>
  <c r="A5422" i="19"/>
  <c r="A5421" i="19"/>
  <c r="A5420" i="19"/>
  <c r="A5419" i="19"/>
  <c r="A5418" i="19"/>
  <c r="A5417" i="19"/>
  <c r="A5416" i="19"/>
  <c r="A5415" i="19"/>
  <c r="A5414" i="19"/>
  <c r="A5413" i="19"/>
  <c r="A5412" i="19"/>
  <c r="A5411" i="19"/>
  <c r="A5410" i="19"/>
  <c r="A5409" i="19"/>
  <c r="A5408" i="19"/>
  <c r="A5407" i="19"/>
  <c r="A5406" i="19"/>
  <c r="A5405" i="19"/>
  <c r="A5404" i="19"/>
  <c r="A5403" i="19"/>
  <c r="A5402" i="19"/>
  <c r="A5401" i="19"/>
  <c r="A5400" i="19"/>
  <c r="A5399" i="19"/>
  <c r="A5398" i="19"/>
  <c r="A5397" i="19"/>
  <c r="A5396" i="19"/>
  <c r="A5395" i="19"/>
  <c r="A5394" i="19"/>
  <c r="A5393" i="19"/>
  <c r="A5392" i="19"/>
  <c r="A5391" i="19"/>
  <c r="A5390" i="19"/>
  <c r="A5389" i="19"/>
  <c r="A5388" i="19"/>
  <c r="A5387" i="19"/>
  <c r="A5386" i="19"/>
  <c r="A5385" i="19"/>
  <c r="A5384" i="19"/>
  <c r="A5383" i="19"/>
  <c r="A5382" i="19"/>
  <c r="A5381" i="19"/>
  <c r="A5380" i="19"/>
  <c r="A5379" i="19"/>
  <c r="A5378" i="19"/>
  <c r="A5377" i="19"/>
  <c r="A5376" i="19"/>
  <c r="A5375" i="19"/>
  <c r="A5374" i="19"/>
  <c r="A5373" i="19"/>
  <c r="A5372" i="19"/>
  <c r="A5371" i="19"/>
  <c r="A5370" i="19"/>
  <c r="A5369" i="19"/>
  <c r="A5368" i="19"/>
  <c r="A5367" i="19"/>
  <c r="A5366" i="19"/>
  <c r="A5365" i="19"/>
  <c r="A5364" i="19"/>
  <c r="A5363" i="19"/>
  <c r="A5362" i="19"/>
  <c r="A5361" i="19"/>
  <c r="A5360" i="19"/>
  <c r="A5359" i="19"/>
  <c r="A5358" i="19"/>
  <c r="A5357" i="19"/>
  <c r="A5356" i="19"/>
  <c r="A5355" i="19"/>
  <c r="A5354" i="19"/>
  <c r="A5353" i="19"/>
  <c r="A5352" i="19"/>
  <c r="A5351" i="19"/>
  <c r="A5350" i="19"/>
  <c r="A5349" i="19"/>
  <c r="A5348" i="19"/>
  <c r="A5347" i="19"/>
  <c r="A5346" i="19"/>
  <c r="A5345" i="19"/>
  <c r="A5344" i="19"/>
  <c r="A5343" i="19"/>
  <c r="A5342" i="19"/>
  <c r="A5341" i="19"/>
  <c r="A5340" i="19"/>
  <c r="A5339" i="19"/>
  <c r="A5338" i="19"/>
  <c r="A5337" i="19"/>
  <c r="A5336" i="19"/>
  <c r="A5335" i="19"/>
  <c r="A5334" i="19"/>
  <c r="A5333" i="19"/>
  <c r="A5332" i="19"/>
  <c r="A5331" i="19"/>
  <c r="A5330" i="19"/>
  <c r="A5329" i="19"/>
  <c r="A5328" i="19"/>
  <c r="A5327" i="19"/>
  <c r="A5326" i="19"/>
  <c r="A5325" i="19"/>
  <c r="A5324" i="19"/>
  <c r="A5323" i="19"/>
  <c r="A5322" i="19"/>
  <c r="A5321" i="19"/>
  <c r="A5320" i="19"/>
  <c r="A5319" i="19"/>
  <c r="A5318" i="19"/>
  <c r="A5317" i="19"/>
  <c r="A5316" i="19"/>
  <c r="A5315" i="19"/>
  <c r="A5314" i="19"/>
  <c r="A5313" i="19"/>
  <c r="A5312" i="19"/>
  <c r="A5311" i="19"/>
  <c r="A5310" i="19"/>
  <c r="A5309" i="19"/>
  <c r="A5308" i="19"/>
  <c r="A5307" i="19"/>
  <c r="A5306" i="19"/>
  <c r="A5305" i="19"/>
  <c r="A5304" i="19"/>
  <c r="A5303" i="19"/>
  <c r="A5302" i="19"/>
  <c r="A5301" i="19"/>
  <c r="A5300" i="19"/>
  <c r="A5299" i="19"/>
  <c r="A5298" i="19"/>
  <c r="A5297" i="19"/>
  <c r="A5296" i="19"/>
  <c r="A5295" i="19"/>
  <c r="A5294" i="19"/>
  <c r="A5293" i="19"/>
  <c r="A5292" i="19"/>
  <c r="A5291" i="19"/>
  <c r="A5290" i="19"/>
  <c r="A5289" i="19"/>
  <c r="A5288" i="19"/>
  <c r="A5287" i="19"/>
  <c r="A5286" i="19"/>
  <c r="A5285" i="19"/>
  <c r="A5284" i="19"/>
  <c r="A5283" i="19"/>
  <c r="A5282" i="19"/>
  <c r="A5281" i="19"/>
  <c r="A5280" i="19"/>
  <c r="A5279" i="19"/>
  <c r="A5278" i="19"/>
  <c r="A5277" i="19"/>
  <c r="A5276" i="19"/>
  <c r="A5275" i="19"/>
  <c r="A5274" i="19"/>
  <c r="A5273" i="19"/>
  <c r="A5272" i="19"/>
  <c r="A5271" i="19"/>
  <c r="A5270" i="19"/>
  <c r="A5269" i="19"/>
  <c r="A5268" i="19"/>
  <c r="A5267" i="19"/>
  <c r="A5266" i="19"/>
  <c r="A5265" i="19"/>
  <c r="A5264" i="19"/>
  <c r="A5263" i="19"/>
  <c r="A5262" i="19"/>
  <c r="A5261" i="19"/>
  <c r="A5260" i="19"/>
  <c r="A5259" i="19"/>
  <c r="A5258" i="19"/>
  <c r="A5257" i="19"/>
  <c r="A5256" i="19"/>
  <c r="A5255" i="19"/>
  <c r="A5254" i="19"/>
  <c r="A5253" i="19"/>
  <c r="A5252" i="19"/>
  <c r="A5251" i="19"/>
  <c r="A5250" i="19"/>
  <c r="A5249" i="19"/>
  <c r="A5248" i="19"/>
  <c r="A5247" i="19"/>
  <c r="A5246" i="19"/>
  <c r="A5245" i="19"/>
  <c r="A5244" i="19"/>
  <c r="A5243" i="19"/>
  <c r="A5242" i="19"/>
  <c r="A5241" i="19"/>
  <c r="A5240" i="19"/>
  <c r="A5239" i="19"/>
  <c r="A5238" i="19"/>
  <c r="A5237" i="19"/>
  <c r="A5236" i="19"/>
  <c r="A5235" i="19"/>
  <c r="A5234" i="19"/>
  <c r="A5233" i="19"/>
  <c r="A5232" i="19"/>
  <c r="A5231" i="19"/>
  <c r="A5230" i="19"/>
  <c r="A5229" i="19"/>
  <c r="A5228" i="19"/>
  <c r="A5227" i="19"/>
  <c r="A5226" i="19"/>
  <c r="A5225" i="19"/>
  <c r="A5224" i="19"/>
  <c r="A5223" i="19"/>
  <c r="A5222" i="19"/>
  <c r="A5221" i="19"/>
  <c r="A5220" i="19"/>
  <c r="A5219" i="19"/>
  <c r="A5218" i="19"/>
  <c r="A5217" i="19"/>
  <c r="A5216" i="19"/>
  <c r="A5215" i="19"/>
  <c r="A5214" i="19"/>
  <c r="A5213" i="19"/>
  <c r="A5212" i="19"/>
  <c r="A5211" i="19"/>
  <c r="A5210" i="19"/>
  <c r="A5209" i="19"/>
  <c r="A5208" i="19"/>
  <c r="A5207" i="19"/>
  <c r="A5206" i="19"/>
  <c r="A5205" i="19"/>
  <c r="A5204" i="19"/>
  <c r="A5203" i="19"/>
  <c r="A5202" i="19"/>
  <c r="A5201" i="19"/>
  <c r="A5200" i="19"/>
  <c r="A5199" i="19"/>
  <c r="A5198" i="19"/>
  <c r="A5197" i="19"/>
  <c r="A5196" i="19"/>
  <c r="A5195" i="19"/>
  <c r="A5194" i="19"/>
  <c r="A5193" i="19"/>
  <c r="A5192" i="19"/>
  <c r="A5191" i="19"/>
  <c r="A5190" i="19"/>
  <c r="A5189" i="19"/>
  <c r="A5188" i="19"/>
  <c r="A5187" i="19"/>
  <c r="A5186" i="19"/>
  <c r="A5185" i="19"/>
  <c r="A5184" i="19"/>
  <c r="A5183" i="19"/>
  <c r="A5182" i="19"/>
  <c r="A5181" i="19"/>
  <c r="A5180" i="19"/>
  <c r="A5179" i="19"/>
  <c r="A5178" i="19"/>
  <c r="A5177" i="19"/>
  <c r="A5176" i="19"/>
  <c r="A5175" i="19"/>
  <c r="A5174" i="19"/>
  <c r="A5173" i="19"/>
  <c r="A5172" i="19"/>
  <c r="A5171" i="19"/>
  <c r="A5170" i="19"/>
  <c r="A5169" i="19"/>
  <c r="A5168" i="19"/>
  <c r="A5167" i="19"/>
  <c r="A5166" i="19"/>
  <c r="A5165" i="19"/>
  <c r="A5164" i="19"/>
  <c r="A5163" i="19"/>
  <c r="A5162" i="19"/>
  <c r="A5161" i="19"/>
  <c r="A5160" i="19"/>
  <c r="A5159" i="19"/>
  <c r="A5158" i="19"/>
  <c r="A5157" i="19"/>
  <c r="A5156" i="19"/>
  <c r="A5155" i="19"/>
  <c r="A5154" i="19"/>
  <c r="A5153" i="19"/>
  <c r="A5152" i="19"/>
  <c r="A5151" i="19"/>
  <c r="A5150" i="19"/>
  <c r="A5149" i="19"/>
  <c r="A5148" i="19"/>
  <c r="A5147" i="19"/>
  <c r="A5146" i="19"/>
  <c r="A5145" i="19"/>
  <c r="A5144" i="19"/>
  <c r="A5143" i="19"/>
  <c r="A5142" i="19"/>
  <c r="A5141" i="19"/>
  <c r="A5140" i="19"/>
  <c r="A5139" i="19"/>
  <c r="A5138" i="19"/>
  <c r="A5137" i="19"/>
  <c r="A5136" i="19"/>
  <c r="A5135" i="19"/>
  <c r="A5134" i="19"/>
  <c r="A5133" i="19"/>
  <c r="A5132" i="19"/>
  <c r="A5131" i="19"/>
  <c r="A5130" i="19"/>
  <c r="A5129" i="19"/>
  <c r="A5128" i="19"/>
  <c r="A5127" i="19"/>
  <c r="A5126" i="19"/>
  <c r="A5125" i="19"/>
  <c r="A5124" i="19"/>
  <c r="A5123" i="19"/>
  <c r="A5122" i="19"/>
  <c r="A5121" i="19"/>
  <c r="A5120" i="19"/>
  <c r="A5119" i="19"/>
  <c r="A5118" i="19"/>
  <c r="A5117" i="19"/>
  <c r="A5116" i="19"/>
  <c r="A5115" i="19"/>
  <c r="A5114" i="19"/>
  <c r="A5113" i="19"/>
  <c r="A5112" i="19"/>
  <c r="A5111" i="19"/>
  <c r="A5110" i="19"/>
  <c r="A5109" i="19"/>
  <c r="A5108" i="19"/>
  <c r="A5107" i="19"/>
  <c r="A5106" i="19"/>
  <c r="A5105" i="19"/>
  <c r="A5104" i="19"/>
  <c r="A5103" i="19"/>
  <c r="A5102" i="19"/>
  <c r="A5101" i="19"/>
  <c r="A5100" i="19"/>
  <c r="A5099" i="19"/>
  <c r="A5098" i="19"/>
  <c r="A5097" i="19"/>
  <c r="A5096" i="19"/>
  <c r="A5095" i="19"/>
  <c r="A5094" i="19"/>
  <c r="A5093" i="19"/>
  <c r="A5092" i="19"/>
  <c r="A5091" i="19"/>
  <c r="A5090" i="19"/>
  <c r="A5089" i="19"/>
  <c r="A5088" i="19"/>
  <c r="A5087" i="19"/>
  <c r="A5086" i="19"/>
  <c r="A5085" i="19"/>
  <c r="A5084" i="19"/>
  <c r="A5083" i="19"/>
  <c r="A5082" i="19"/>
  <c r="A5081" i="19"/>
  <c r="A5080" i="19"/>
  <c r="A5079" i="19"/>
  <c r="A5078" i="19"/>
  <c r="A5077" i="19"/>
  <c r="A5076" i="19"/>
  <c r="A5075" i="19"/>
  <c r="A5074" i="19"/>
  <c r="A5073" i="19"/>
  <c r="A5072" i="19"/>
  <c r="A5071" i="19"/>
  <c r="A5070" i="19"/>
  <c r="A5069" i="19"/>
  <c r="A5068" i="19"/>
  <c r="A5067" i="19"/>
  <c r="A5066" i="19"/>
  <c r="A5065" i="19"/>
  <c r="A5064" i="19"/>
  <c r="A5063" i="19"/>
  <c r="A5062" i="19"/>
  <c r="A5061" i="19"/>
  <c r="A5060" i="19"/>
  <c r="A5059" i="19"/>
  <c r="A5058" i="19"/>
  <c r="A5057" i="19"/>
  <c r="A5056" i="19"/>
  <c r="A5055" i="19"/>
  <c r="A5054" i="19"/>
  <c r="A5053" i="19"/>
  <c r="A5052" i="19"/>
  <c r="A5051" i="19"/>
  <c r="A5050" i="19"/>
  <c r="A5049" i="19"/>
  <c r="A5048" i="19"/>
  <c r="A5047" i="19"/>
  <c r="A5046" i="19"/>
  <c r="A5045" i="19"/>
  <c r="A5044" i="19"/>
  <c r="A5043" i="19"/>
  <c r="A5042" i="19"/>
  <c r="A5041" i="19"/>
  <c r="A5040" i="19"/>
  <c r="A5039" i="19"/>
  <c r="A5038" i="19"/>
  <c r="A5037" i="19"/>
  <c r="A5036" i="19"/>
  <c r="A5035" i="19"/>
  <c r="A5034" i="19"/>
  <c r="A5033" i="19"/>
  <c r="A5032" i="19"/>
  <c r="A5031" i="19"/>
  <c r="A5030" i="19"/>
  <c r="A5029" i="19"/>
  <c r="A5028" i="19"/>
  <c r="A5027" i="19"/>
  <c r="A5026" i="19"/>
  <c r="A5025" i="19"/>
  <c r="A5024" i="19"/>
  <c r="A5023" i="19"/>
  <c r="A5022" i="19"/>
  <c r="A5021" i="19"/>
  <c r="A5020" i="19"/>
  <c r="A5019" i="19"/>
  <c r="A5018" i="19"/>
  <c r="A5017" i="19"/>
  <c r="A5016" i="19"/>
  <c r="A5015" i="19"/>
  <c r="A5014" i="19"/>
  <c r="A5013" i="19"/>
  <c r="A5012" i="19"/>
  <c r="A5011" i="19"/>
  <c r="A5010" i="19"/>
  <c r="A5009" i="19"/>
  <c r="A5008" i="19"/>
  <c r="A5007" i="19"/>
  <c r="A5006" i="19"/>
  <c r="A5005" i="19"/>
  <c r="A5004" i="19"/>
  <c r="A5003" i="19"/>
  <c r="A5002" i="19"/>
  <c r="A5001" i="19"/>
  <c r="A5000" i="19"/>
  <c r="A4999" i="19"/>
  <c r="A4998" i="19"/>
  <c r="A4997" i="19"/>
  <c r="A4996" i="19"/>
  <c r="A4995" i="19"/>
  <c r="A4994" i="19"/>
  <c r="A4993" i="19"/>
  <c r="A4992" i="19"/>
  <c r="A4991" i="19"/>
  <c r="A4990" i="19"/>
  <c r="A4989" i="19"/>
  <c r="A4988" i="19"/>
  <c r="A4987" i="19"/>
  <c r="A4986" i="19"/>
  <c r="A4985" i="19"/>
  <c r="A4984" i="19"/>
  <c r="A4983" i="19"/>
  <c r="A4982" i="19"/>
  <c r="A4981" i="19"/>
  <c r="A4980" i="19"/>
  <c r="A4979" i="19"/>
  <c r="A4978" i="19"/>
  <c r="A4977" i="19"/>
  <c r="A4976" i="19"/>
  <c r="A4975" i="19"/>
  <c r="A4974" i="19"/>
  <c r="A4973" i="19"/>
  <c r="A4972" i="19"/>
  <c r="A4971" i="19"/>
  <c r="A4970" i="19"/>
  <c r="A4969" i="19"/>
  <c r="A4968" i="19"/>
  <c r="A4967" i="19"/>
  <c r="A4966" i="19"/>
  <c r="A4965" i="19"/>
  <c r="A4964" i="19"/>
  <c r="A4963" i="19"/>
  <c r="A4962" i="19"/>
  <c r="A4961" i="19"/>
  <c r="A4960" i="19"/>
  <c r="A4959" i="19"/>
  <c r="A4958" i="19"/>
  <c r="A4957" i="19"/>
  <c r="A4956" i="19"/>
  <c r="A4955" i="19"/>
  <c r="A4954" i="19"/>
  <c r="A4953" i="19"/>
  <c r="A4952" i="19"/>
  <c r="A4951" i="19"/>
  <c r="A4950" i="19"/>
  <c r="A4949" i="19"/>
  <c r="A4948" i="19"/>
  <c r="A4947" i="19"/>
  <c r="A4946" i="19"/>
  <c r="A4945" i="19"/>
  <c r="A4944" i="19"/>
  <c r="A4943" i="19"/>
  <c r="A4942" i="19"/>
  <c r="A4941" i="19"/>
  <c r="A4940" i="19"/>
  <c r="A4939" i="19"/>
  <c r="A4938" i="19"/>
  <c r="A4937" i="19"/>
  <c r="A4936" i="19"/>
  <c r="A4935" i="19"/>
  <c r="A4934" i="19"/>
  <c r="A4933" i="19"/>
  <c r="A4932" i="19"/>
  <c r="A4931" i="19"/>
  <c r="A4930" i="19"/>
  <c r="A4929" i="19"/>
  <c r="A4928" i="19"/>
  <c r="A4927" i="19"/>
  <c r="A4926" i="19"/>
  <c r="A4925" i="19"/>
  <c r="A4924" i="19"/>
  <c r="A4923" i="19"/>
  <c r="A4922" i="19"/>
  <c r="A4921" i="19"/>
  <c r="A4920" i="19"/>
  <c r="A4919" i="19"/>
  <c r="A4918" i="19"/>
  <c r="A4917" i="19"/>
  <c r="A4916" i="19"/>
  <c r="A4915" i="19"/>
  <c r="A4914" i="19"/>
  <c r="A4913" i="19"/>
  <c r="A4912" i="19"/>
  <c r="A4911" i="19"/>
  <c r="A4910" i="19"/>
  <c r="A4909" i="19"/>
  <c r="A4908" i="19"/>
  <c r="A4907" i="19"/>
  <c r="A4906" i="19"/>
  <c r="A4905" i="19"/>
  <c r="A4904" i="19"/>
  <c r="A4903" i="19"/>
  <c r="A4902" i="19"/>
  <c r="A4901" i="19"/>
  <c r="A4900" i="19"/>
  <c r="A4899" i="19"/>
  <c r="A4898" i="19"/>
  <c r="A4897" i="19"/>
  <c r="A4896" i="19"/>
  <c r="A4895" i="19"/>
  <c r="A4894" i="19"/>
  <c r="A4893" i="19"/>
  <c r="A4892" i="19"/>
  <c r="A4891" i="19"/>
  <c r="A4890" i="19"/>
  <c r="A4889" i="19"/>
  <c r="A4888" i="19"/>
  <c r="A4887" i="19"/>
  <c r="A4886" i="19"/>
  <c r="A4885" i="19"/>
  <c r="A4884" i="19"/>
  <c r="A4883" i="19"/>
  <c r="A4882" i="19"/>
  <c r="A4881" i="19"/>
  <c r="A4880" i="19"/>
  <c r="A4879" i="19"/>
  <c r="A4878" i="19"/>
  <c r="A4877" i="19"/>
  <c r="A4876" i="19"/>
  <c r="A4875" i="19"/>
  <c r="A4874" i="19"/>
  <c r="A4873" i="19"/>
  <c r="A4872" i="19"/>
  <c r="A4871" i="19"/>
  <c r="A4870" i="19"/>
  <c r="A4869" i="19"/>
  <c r="A4868" i="19"/>
  <c r="A4867" i="19"/>
  <c r="A4866" i="19"/>
  <c r="A4865" i="19"/>
  <c r="A4864" i="19"/>
  <c r="A4863" i="19"/>
  <c r="A4862" i="19"/>
  <c r="A4861" i="19"/>
  <c r="A4860" i="19"/>
  <c r="A4859" i="19"/>
  <c r="A4858" i="19"/>
  <c r="A4857" i="19"/>
  <c r="A4856" i="19"/>
  <c r="A4855" i="19"/>
  <c r="A4854" i="19"/>
  <c r="A4853" i="19"/>
  <c r="A4852" i="19"/>
  <c r="A4851" i="19"/>
  <c r="A4850" i="19"/>
  <c r="A4849" i="19"/>
  <c r="A4848" i="19"/>
  <c r="A4847" i="19"/>
  <c r="A4846" i="19"/>
  <c r="A4845" i="19"/>
  <c r="A4844" i="19"/>
  <c r="A4843" i="19"/>
  <c r="A4842" i="19"/>
  <c r="A4841" i="19"/>
  <c r="A4840" i="19"/>
  <c r="A4839" i="19"/>
  <c r="A4838" i="19"/>
  <c r="A4837" i="19"/>
  <c r="A4836" i="19"/>
  <c r="A4835" i="19"/>
  <c r="A4834" i="19"/>
  <c r="A4833" i="19"/>
  <c r="A4832" i="19"/>
  <c r="A4831" i="19"/>
  <c r="A4830" i="19"/>
  <c r="A4829" i="19"/>
  <c r="A4828" i="19"/>
  <c r="A4827" i="19"/>
  <c r="A4826" i="19"/>
  <c r="A4825" i="19"/>
  <c r="A4824" i="19"/>
  <c r="A4823" i="19"/>
  <c r="A4822" i="19"/>
  <c r="A4821" i="19"/>
  <c r="A4820" i="19"/>
  <c r="A4819" i="19"/>
  <c r="A4818" i="19"/>
  <c r="A4817" i="19"/>
  <c r="A4816" i="19"/>
  <c r="A4815" i="19"/>
  <c r="A4814" i="19"/>
  <c r="A4813" i="19"/>
  <c r="A4812" i="19"/>
  <c r="A4811" i="19"/>
  <c r="A4810" i="19"/>
  <c r="A4809" i="19"/>
  <c r="A4808" i="19"/>
  <c r="A4807" i="19"/>
  <c r="A4806" i="19"/>
  <c r="A4805" i="19"/>
  <c r="A4804" i="19"/>
  <c r="A4803" i="19"/>
  <c r="A4802" i="19"/>
  <c r="A4801" i="19"/>
  <c r="A4800" i="19"/>
  <c r="A4799" i="19"/>
  <c r="A4798" i="19"/>
  <c r="A4797" i="19"/>
  <c r="A4796" i="19"/>
  <c r="A4795" i="19"/>
  <c r="A4794" i="19"/>
  <c r="A4793" i="19"/>
  <c r="A4792" i="19"/>
  <c r="A4791" i="19"/>
  <c r="A4790" i="19"/>
  <c r="A4789" i="19"/>
  <c r="A4788" i="19"/>
  <c r="A4787" i="19"/>
  <c r="A4786" i="19"/>
  <c r="A4785" i="19"/>
  <c r="A4784" i="19"/>
  <c r="A4783" i="19"/>
  <c r="A4782" i="19"/>
  <c r="A4781" i="19"/>
  <c r="A4780" i="19"/>
  <c r="A4779" i="19"/>
  <c r="A4778" i="19"/>
  <c r="A4777" i="19"/>
  <c r="A4776" i="19"/>
  <c r="A4775" i="19"/>
  <c r="A4774" i="19"/>
  <c r="A4773" i="19"/>
  <c r="A4772" i="19"/>
  <c r="A4771" i="19"/>
  <c r="A4770" i="19"/>
  <c r="A4769" i="19"/>
  <c r="A4768" i="19"/>
  <c r="A4767" i="19"/>
  <c r="A4766" i="19"/>
  <c r="A4765" i="19"/>
  <c r="A4764" i="19"/>
  <c r="A4763" i="19"/>
  <c r="A4762" i="19"/>
  <c r="A4761" i="19"/>
  <c r="A4760" i="19"/>
  <c r="A4759" i="19"/>
  <c r="A4758" i="19"/>
  <c r="A4757" i="19"/>
  <c r="A4756" i="19"/>
  <c r="A4755" i="19"/>
  <c r="A4754" i="19"/>
  <c r="A4753" i="19"/>
  <c r="A4752" i="19"/>
  <c r="A4751" i="19"/>
  <c r="A4750" i="19"/>
  <c r="A4749" i="19"/>
  <c r="A4748" i="19"/>
  <c r="A4747" i="19"/>
  <c r="A4746" i="19"/>
  <c r="A4745" i="19"/>
  <c r="A4744" i="19"/>
  <c r="A4743" i="19"/>
  <c r="A4742" i="19"/>
  <c r="A4741" i="19"/>
  <c r="A4740" i="19"/>
  <c r="A4739" i="19"/>
  <c r="A4738" i="19"/>
  <c r="A4737" i="19"/>
  <c r="A4736" i="19"/>
  <c r="A4735" i="19"/>
  <c r="A4734" i="19"/>
  <c r="A4733" i="19"/>
  <c r="A4732" i="19"/>
  <c r="A4731" i="19"/>
  <c r="A4730" i="19"/>
  <c r="A4729" i="19"/>
  <c r="A4728" i="19"/>
  <c r="A4727" i="19"/>
  <c r="A4726" i="19"/>
  <c r="A4725" i="19"/>
  <c r="A4724" i="19"/>
  <c r="A4723" i="19"/>
  <c r="A4722" i="19"/>
  <c r="A4721" i="19"/>
  <c r="A4720" i="19"/>
  <c r="A4719" i="19"/>
  <c r="A4718" i="19"/>
  <c r="A4717" i="19"/>
  <c r="A4716" i="19"/>
  <c r="A4715" i="19"/>
  <c r="A4714" i="19"/>
  <c r="A4713" i="19"/>
  <c r="A4712" i="19"/>
  <c r="A4711" i="19"/>
  <c r="A4710" i="19"/>
  <c r="A4709" i="19"/>
  <c r="A4708" i="19"/>
  <c r="A4707" i="19"/>
  <c r="A4706" i="19"/>
  <c r="A4705" i="19"/>
  <c r="A4704" i="19"/>
  <c r="A4703" i="19"/>
  <c r="A4702" i="19"/>
  <c r="A4701" i="19"/>
  <c r="A4700" i="19"/>
  <c r="A4699" i="19"/>
  <c r="A4698" i="19"/>
  <c r="A4697" i="19"/>
  <c r="A4696" i="19"/>
  <c r="A4695" i="19"/>
  <c r="A4694" i="19"/>
  <c r="A4693" i="19"/>
  <c r="A4692" i="19"/>
  <c r="A4691" i="19"/>
  <c r="A4690" i="19"/>
  <c r="A4689" i="19"/>
  <c r="A4688" i="19"/>
  <c r="A4687" i="19"/>
  <c r="A4686" i="19"/>
  <c r="A4685" i="19"/>
  <c r="A4684" i="19"/>
  <c r="A4683" i="19"/>
  <c r="A4682" i="19"/>
  <c r="A4681" i="19"/>
  <c r="A4680" i="19"/>
  <c r="A4679" i="19"/>
  <c r="A4678" i="19"/>
  <c r="A4677" i="19"/>
  <c r="A4676" i="19"/>
  <c r="A4675" i="19"/>
  <c r="A4674" i="19"/>
  <c r="A4673" i="19"/>
  <c r="A4672" i="19"/>
  <c r="A4671" i="19"/>
  <c r="A4670" i="19"/>
  <c r="A4669" i="19"/>
  <c r="A4668" i="19"/>
  <c r="A4667" i="19"/>
  <c r="A4666" i="19"/>
  <c r="A4665" i="19"/>
  <c r="A4664" i="19"/>
  <c r="A4663" i="19"/>
  <c r="A4662" i="19"/>
  <c r="A4661" i="19"/>
  <c r="A4660" i="19"/>
  <c r="A4659" i="19"/>
  <c r="A4658" i="19"/>
  <c r="A4657" i="19"/>
  <c r="A4656" i="19"/>
  <c r="A4655" i="19"/>
  <c r="A4654" i="19"/>
  <c r="A4653" i="19"/>
  <c r="A4652" i="19"/>
  <c r="A4651" i="19"/>
  <c r="A4650" i="19"/>
  <c r="A4649" i="19"/>
  <c r="A4648" i="19"/>
  <c r="A4647" i="19"/>
  <c r="A4646" i="19"/>
  <c r="A4645" i="19"/>
  <c r="A4644" i="19"/>
  <c r="A4643" i="19"/>
  <c r="A4642" i="19"/>
  <c r="A4641" i="19"/>
  <c r="A4640" i="19"/>
  <c r="A4639" i="19"/>
  <c r="A4638" i="19"/>
  <c r="A4637" i="19"/>
  <c r="A4636" i="19"/>
  <c r="A4635" i="19"/>
  <c r="A4634" i="19"/>
  <c r="A4633" i="19"/>
  <c r="A4632" i="19"/>
  <c r="A4631" i="19"/>
  <c r="A4630" i="19"/>
  <c r="A4629" i="19"/>
  <c r="A4628" i="19"/>
  <c r="A4627" i="19"/>
  <c r="A4626" i="19"/>
  <c r="A4625" i="19"/>
  <c r="A4624" i="19"/>
  <c r="A4623" i="19"/>
  <c r="A4622" i="19"/>
  <c r="A4621" i="19"/>
  <c r="A4620" i="19"/>
  <c r="A4619" i="19"/>
  <c r="A4618" i="19"/>
  <c r="A4617" i="19"/>
  <c r="A4616" i="19"/>
  <c r="A4615" i="19"/>
  <c r="A4614" i="19"/>
  <c r="A4613" i="19"/>
  <c r="A4612" i="19"/>
  <c r="A4611" i="19"/>
  <c r="A4610" i="19"/>
  <c r="A4609" i="19"/>
  <c r="A4608" i="19"/>
  <c r="A4607" i="19"/>
  <c r="A4606" i="19"/>
  <c r="A4605" i="19"/>
  <c r="A4604" i="19"/>
  <c r="A4603" i="19"/>
  <c r="A4602" i="19"/>
  <c r="A4601" i="19"/>
  <c r="A4600" i="19"/>
  <c r="A4599" i="19"/>
  <c r="A4598" i="19"/>
  <c r="A4597" i="19"/>
  <c r="A4596" i="19"/>
  <c r="A4595" i="19"/>
  <c r="A4594" i="19"/>
  <c r="A4593" i="19"/>
  <c r="A4592" i="19"/>
  <c r="A4591" i="19"/>
  <c r="A4590" i="19"/>
  <c r="A4589" i="19"/>
  <c r="A4588" i="19"/>
  <c r="A4587" i="19"/>
  <c r="A4586" i="19"/>
  <c r="A4585" i="19"/>
  <c r="A4584" i="19"/>
  <c r="A4583" i="19"/>
  <c r="A4582" i="19"/>
  <c r="A4581" i="19"/>
  <c r="A4580" i="19"/>
  <c r="A4579" i="19"/>
  <c r="A4578" i="19"/>
  <c r="A4577" i="19"/>
  <c r="A4576" i="19"/>
  <c r="A4575" i="19"/>
  <c r="A4574" i="19"/>
  <c r="A4573" i="19"/>
  <c r="A4572" i="19"/>
  <c r="A4571" i="19"/>
  <c r="A4570" i="19"/>
  <c r="A4569" i="19"/>
  <c r="A4568" i="19"/>
  <c r="A4567" i="19"/>
  <c r="A4566" i="19"/>
  <c r="A4565" i="19"/>
  <c r="A4564" i="19"/>
  <c r="A4563" i="19"/>
  <c r="A4562" i="19"/>
  <c r="A4561" i="19"/>
  <c r="A4560" i="19"/>
  <c r="A4559" i="19"/>
  <c r="A4558" i="19"/>
  <c r="A4557" i="19"/>
  <c r="A4556" i="19"/>
  <c r="A4555" i="19"/>
  <c r="A4554" i="19"/>
  <c r="A4553" i="19"/>
  <c r="A4552" i="19"/>
  <c r="A4551" i="19"/>
  <c r="A4550" i="19"/>
  <c r="A4549" i="19"/>
  <c r="A4548" i="19"/>
  <c r="A4547" i="19"/>
  <c r="A4546" i="19"/>
  <c r="A4545" i="19"/>
  <c r="A4544" i="19"/>
  <c r="A4543" i="19"/>
  <c r="A4542" i="19"/>
  <c r="A4541" i="19"/>
  <c r="A4540" i="19"/>
  <c r="A4539" i="19"/>
  <c r="A4538" i="19"/>
  <c r="A4537" i="19"/>
  <c r="A4536" i="19"/>
  <c r="A4535" i="19"/>
  <c r="A4534" i="19"/>
  <c r="A4533" i="19"/>
  <c r="A4532" i="19"/>
  <c r="A4531" i="19"/>
  <c r="A4530" i="19"/>
  <c r="A4529" i="19"/>
  <c r="A4528" i="19"/>
  <c r="A4527" i="19"/>
  <c r="A4526" i="19"/>
  <c r="A4525" i="19"/>
  <c r="A4524" i="19"/>
  <c r="A4523" i="19"/>
  <c r="A4522" i="19"/>
  <c r="A4521" i="19"/>
  <c r="A4520" i="19"/>
  <c r="A4519" i="19"/>
  <c r="A4518" i="19"/>
  <c r="A4517" i="19"/>
  <c r="A4516" i="19"/>
  <c r="A4515" i="19"/>
  <c r="A4514" i="19"/>
  <c r="A4513" i="19"/>
  <c r="A4512" i="19"/>
  <c r="A4511" i="19"/>
  <c r="A4510" i="19"/>
  <c r="A4509" i="19"/>
  <c r="A4508" i="19"/>
  <c r="A4507" i="19"/>
  <c r="A4506" i="19"/>
  <c r="A4505" i="19"/>
  <c r="A4504" i="19"/>
  <c r="A4503" i="19"/>
  <c r="A4502" i="19"/>
  <c r="A4501" i="19"/>
  <c r="A4500" i="19"/>
  <c r="A4499" i="19"/>
  <c r="A4498" i="19"/>
  <c r="A4497" i="19"/>
  <c r="A4496" i="19"/>
  <c r="A4495" i="19"/>
  <c r="A4494" i="19"/>
  <c r="A4493" i="19"/>
  <c r="A4492" i="19"/>
  <c r="A4491" i="19"/>
  <c r="A4490" i="19"/>
  <c r="A4489" i="19"/>
  <c r="A4488" i="19"/>
  <c r="A4487" i="19"/>
  <c r="A4486" i="19"/>
  <c r="A4485" i="19"/>
  <c r="A4484" i="19"/>
  <c r="A4483" i="19"/>
  <c r="A4482" i="19"/>
  <c r="A4481" i="19"/>
  <c r="A4480" i="19"/>
  <c r="A4479" i="19"/>
  <c r="A4478" i="19"/>
  <c r="A4477" i="19"/>
  <c r="A4476" i="19"/>
  <c r="A4475" i="19"/>
  <c r="A4474" i="19"/>
  <c r="A4473" i="19"/>
  <c r="A4472" i="19"/>
  <c r="A4471" i="19"/>
  <c r="A4470" i="19"/>
  <c r="A4469" i="19"/>
  <c r="A4468" i="19"/>
  <c r="A4467" i="19"/>
  <c r="A4466" i="19"/>
  <c r="A4465" i="19"/>
  <c r="A4464" i="19"/>
  <c r="A4463" i="19"/>
  <c r="A4462" i="19"/>
  <c r="A4461" i="19"/>
  <c r="A4460" i="19"/>
  <c r="A4459" i="19"/>
  <c r="A4458" i="19"/>
  <c r="A4457" i="19"/>
  <c r="A4456" i="19"/>
  <c r="A4455" i="19"/>
  <c r="A4454" i="19"/>
  <c r="A4453" i="19"/>
  <c r="A4452" i="19"/>
  <c r="A4451" i="19"/>
  <c r="A4450" i="19"/>
  <c r="A4449" i="19"/>
  <c r="A4448" i="19"/>
  <c r="A4447" i="19"/>
  <c r="A4446" i="19"/>
  <c r="A4445" i="19"/>
  <c r="A4444" i="19"/>
  <c r="A4443" i="19"/>
  <c r="A4442" i="19"/>
  <c r="A4441" i="19"/>
  <c r="A4440" i="19"/>
  <c r="A4439" i="19"/>
  <c r="A4438" i="19"/>
  <c r="A4437" i="19"/>
  <c r="A4436" i="19"/>
  <c r="A4435" i="19"/>
  <c r="A4434" i="19"/>
  <c r="A4433" i="19"/>
  <c r="A4432" i="19"/>
  <c r="A4431" i="19"/>
  <c r="A4430" i="19"/>
  <c r="A4429" i="19"/>
  <c r="A4428" i="19"/>
  <c r="A4427" i="19"/>
  <c r="A4426" i="19"/>
  <c r="A4425" i="19"/>
  <c r="A4424" i="19"/>
  <c r="A4423" i="19"/>
  <c r="A4422" i="19"/>
  <c r="A4421" i="19"/>
  <c r="A4420" i="19"/>
  <c r="A4419" i="19"/>
  <c r="A4418" i="19"/>
  <c r="A4417" i="19"/>
  <c r="A4416" i="19"/>
  <c r="A4415" i="19"/>
  <c r="A4414" i="19"/>
  <c r="A4413" i="19"/>
  <c r="A4412" i="19"/>
  <c r="A4411" i="19"/>
  <c r="A4410" i="19"/>
  <c r="A4409" i="19"/>
  <c r="A4408" i="19"/>
  <c r="A4407" i="19"/>
  <c r="A4406" i="19"/>
  <c r="A4405" i="19"/>
  <c r="A4404" i="19"/>
  <c r="A4403" i="19"/>
  <c r="A4402" i="19"/>
  <c r="A4401" i="19"/>
  <c r="A4400" i="19"/>
  <c r="A4399" i="19"/>
  <c r="A4398" i="19"/>
  <c r="A4397" i="19"/>
  <c r="A4396" i="19"/>
  <c r="A4395" i="19"/>
  <c r="A4394" i="19"/>
  <c r="A4393" i="19"/>
  <c r="A4392" i="19"/>
  <c r="A4391" i="19"/>
  <c r="A4390" i="19"/>
  <c r="A4389" i="19"/>
  <c r="A4388" i="19"/>
  <c r="A4387" i="19"/>
  <c r="A4386" i="19"/>
  <c r="A4385" i="19"/>
  <c r="A4384" i="19"/>
  <c r="A4383" i="19"/>
  <c r="A4382" i="19"/>
  <c r="A4381" i="19"/>
  <c r="A4380" i="19"/>
  <c r="A4379" i="19"/>
  <c r="A4378" i="19"/>
  <c r="A4377" i="19"/>
  <c r="A4376" i="19"/>
  <c r="A4375" i="19"/>
  <c r="A4374" i="19"/>
  <c r="A4373" i="19"/>
  <c r="A4372" i="19"/>
  <c r="A4371" i="19"/>
  <c r="A4370" i="19"/>
  <c r="A4369" i="19"/>
  <c r="A4368" i="19"/>
  <c r="A4367" i="19"/>
  <c r="A4366" i="19"/>
  <c r="A4365" i="19"/>
  <c r="A4364" i="19"/>
  <c r="A4363" i="19"/>
  <c r="A4362" i="19"/>
  <c r="A4361" i="19"/>
  <c r="A4360" i="19"/>
  <c r="A4359" i="19"/>
  <c r="A4358" i="19"/>
  <c r="A4357" i="19"/>
  <c r="A4356" i="19"/>
  <c r="A4355" i="19"/>
  <c r="A4354" i="19"/>
  <c r="A4353" i="19"/>
  <c r="A4352" i="19"/>
  <c r="A4351" i="19"/>
  <c r="A4350" i="19"/>
  <c r="A4349" i="19"/>
  <c r="A4348" i="19"/>
  <c r="A4347" i="19"/>
  <c r="A4346" i="19"/>
  <c r="A4345" i="19"/>
  <c r="A4344" i="19"/>
  <c r="A4343" i="19"/>
  <c r="A4342" i="19"/>
  <c r="A4341" i="19"/>
  <c r="A4340" i="19"/>
  <c r="A4339" i="19"/>
  <c r="A4338" i="19"/>
  <c r="A4337" i="19"/>
  <c r="A4336" i="19"/>
  <c r="A4335" i="19"/>
  <c r="A4334" i="19"/>
  <c r="A4333" i="19"/>
  <c r="A4332" i="19"/>
  <c r="A4331" i="19"/>
  <c r="A4330" i="19"/>
  <c r="A4329" i="19"/>
  <c r="A4328" i="19"/>
  <c r="A4327" i="19"/>
  <c r="A4326" i="19"/>
  <c r="A4325" i="19"/>
  <c r="A4324" i="19"/>
  <c r="A4323" i="19"/>
  <c r="A4322" i="19"/>
  <c r="A4321" i="19"/>
  <c r="A4320" i="19"/>
  <c r="A4319" i="19"/>
  <c r="A4318" i="19"/>
  <c r="A4317" i="19"/>
  <c r="A4316" i="19"/>
  <c r="A4315" i="19"/>
  <c r="A4314" i="19"/>
  <c r="A4313" i="19"/>
  <c r="A4312" i="19"/>
  <c r="A4311" i="19"/>
  <c r="A4310" i="19"/>
  <c r="A4309" i="19"/>
  <c r="A4308" i="19"/>
  <c r="A4307" i="19"/>
  <c r="A4306" i="19"/>
  <c r="A4305" i="19"/>
  <c r="A4304" i="19"/>
  <c r="A4303" i="19"/>
  <c r="A4302" i="19"/>
  <c r="A4301" i="19"/>
  <c r="A4300" i="19"/>
  <c r="A4299" i="19"/>
  <c r="A4298" i="19"/>
  <c r="A4297" i="19"/>
  <c r="A4296" i="19"/>
  <c r="A4295" i="19"/>
  <c r="A4294" i="19"/>
  <c r="A4293" i="19"/>
  <c r="A4292" i="19"/>
  <c r="A4291" i="19"/>
  <c r="A4290" i="19"/>
  <c r="A4289" i="19"/>
  <c r="A4288" i="19"/>
  <c r="A4287" i="19"/>
  <c r="A4286" i="19"/>
  <c r="A4285" i="19"/>
  <c r="A4284" i="19"/>
  <c r="A4283" i="19"/>
  <c r="A4282" i="19"/>
  <c r="A4281" i="19"/>
  <c r="A4280" i="19"/>
  <c r="A4279" i="19"/>
  <c r="A4278" i="19"/>
  <c r="A4277" i="19"/>
  <c r="A4276" i="19"/>
  <c r="A4275" i="19"/>
  <c r="A4274" i="19"/>
  <c r="A4273" i="19"/>
  <c r="A4272" i="19"/>
  <c r="A4271" i="19"/>
  <c r="A4270" i="19"/>
  <c r="A4269" i="19"/>
  <c r="A4268" i="19"/>
  <c r="A4267" i="19"/>
  <c r="A4266" i="19"/>
  <c r="A4265" i="19"/>
  <c r="A4264" i="19"/>
  <c r="A4263" i="19"/>
  <c r="A4262" i="19"/>
  <c r="A4261" i="19"/>
  <c r="A4260" i="19"/>
  <c r="A4259" i="19"/>
  <c r="A4258" i="19"/>
  <c r="A4257" i="19"/>
  <c r="A4256" i="19"/>
  <c r="A4255" i="19"/>
  <c r="A4254" i="19"/>
  <c r="A4253" i="19"/>
  <c r="A4252" i="19"/>
  <c r="A4251" i="19"/>
  <c r="A4250" i="19"/>
  <c r="A4249" i="19"/>
  <c r="A4248" i="19"/>
  <c r="A4247" i="19"/>
  <c r="A4246" i="19"/>
  <c r="A4245" i="19"/>
  <c r="A4244" i="19"/>
  <c r="A4243" i="19"/>
  <c r="A4242" i="19"/>
  <c r="A4241" i="19"/>
  <c r="A4240" i="19"/>
  <c r="A4239" i="19"/>
  <c r="A4238" i="19"/>
  <c r="A4237" i="19"/>
  <c r="A4236" i="19"/>
  <c r="A4235" i="19"/>
  <c r="A4234" i="19"/>
  <c r="A4233" i="19"/>
  <c r="A4232" i="19"/>
  <c r="A4231" i="19"/>
  <c r="A4230" i="19"/>
  <c r="A4229" i="19"/>
  <c r="A4228" i="19"/>
  <c r="A4227" i="19"/>
  <c r="A4226" i="19"/>
  <c r="A4225" i="19"/>
  <c r="A4224" i="19"/>
  <c r="A4223" i="19"/>
  <c r="A4222" i="19"/>
  <c r="A4221" i="19"/>
  <c r="A4220" i="19"/>
  <c r="A4219" i="19"/>
  <c r="A4218" i="19"/>
  <c r="A4217" i="19"/>
  <c r="A4216" i="19"/>
  <c r="A4215" i="19"/>
  <c r="A4214" i="19"/>
  <c r="A4213" i="19"/>
  <c r="A4212" i="19"/>
  <c r="A4211" i="19"/>
  <c r="A4210" i="19"/>
  <c r="A4209" i="19"/>
  <c r="A4208" i="19"/>
  <c r="A4207" i="19"/>
  <c r="A4206" i="19"/>
  <c r="A4205" i="19"/>
  <c r="A4204" i="19"/>
  <c r="A4203" i="19"/>
  <c r="A4202" i="19"/>
  <c r="A4201" i="19"/>
  <c r="A4200" i="19"/>
  <c r="A4199" i="19"/>
  <c r="A4198" i="19"/>
  <c r="A4197" i="19"/>
  <c r="A4196" i="19"/>
  <c r="A4195" i="19"/>
  <c r="A4194" i="19"/>
  <c r="A4193" i="19"/>
  <c r="A4192" i="19"/>
  <c r="A4191" i="19"/>
  <c r="A4190" i="19"/>
  <c r="A4189" i="19"/>
  <c r="A4188" i="19"/>
  <c r="A4187" i="19"/>
  <c r="A4186" i="19"/>
  <c r="A4185" i="19"/>
  <c r="A4184" i="19"/>
  <c r="A4183" i="19"/>
  <c r="A4182" i="19"/>
  <c r="A4181" i="19"/>
  <c r="A4180" i="19"/>
  <c r="A4179" i="19"/>
  <c r="A4178" i="19"/>
  <c r="A4177" i="19"/>
  <c r="A4176" i="19"/>
  <c r="A4175" i="19"/>
  <c r="A4174" i="19"/>
  <c r="A4173" i="19"/>
  <c r="A4172" i="19"/>
  <c r="A4171" i="19"/>
  <c r="A4170" i="19"/>
  <c r="A4169" i="19"/>
  <c r="A4168" i="19"/>
  <c r="A4167" i="19"/>
  <c r="A4166" i="19"/>
  <c r="A4165" i="19"/>
  <c r="A4164" i="19"/>
  <c r="A4163" i="19"/>
  <c r="A4162" i="19"/>
  <c r="A4161" i="19"/>
  <c r="A4160" i="19"/>
  <c r="A4159" i="19"/>
  <c r="A4158" i="19"/>
  <c r="A4157" i="19"/>
  <c r="A4156" i="19"/>
  <c r="A4155" i="19"/>
  <c r="A4154" i="19"/>
  <c r="A4153" i="19"/>
  <c r="A4152" i="19"/>
  <c r="A4151" i="19"/>
  <c r="A4150" i="19"/>
  <c r="A4149" i="19"/>
  <c r="A4148" i="19"/>
  <c r="A4147" i="19"/>
  <c r="A4146" i="19"/>
  <c r="A4145" i="19"/>
  <c r="A4144" i="19"/>
  <c r="A4143" i="19"/>
  <c r="A4142" i="19"/>
  <c r="A4141" i="19"/>
  <c r="A4140" i="19"/>
  <c r="A4139" i="19"/>
  <c r="A4138" i="19"/>
  <c r="A4137" i="19"/>
  <c r="A4136" i="19"/>
  <c r="A4135" i="19"/>
  <c r="A4134" i="19"/>
  <c r="A4133" i="19"/>
  <c r="A4132" i="19"/>
  <c r="A4131" i="19"/>
  <c r="A4130" i="19"/>
  <c r="A4129" i="19"/>
  <c r="A4128" i="19"/>
  <c r="A4127" i="19"/>
  <c r="A4126" i="19"/>
  <c r="A4125" i="19"/>
  <c r="A4124" i="19"/>
  <c r="A4123" i="19"/>
  <c r="A4122" i="19"/>
  <c r="A4121" i="19"/>
  <c r="A4120" i="19"/>
  <c r="A4119" i="19"/>
  <c r="A4118" i="19"/>
  <c r="A4117" i="19"/>
  <c r="A4116" i="19"/>
  <c r="A4115" i="19"/>
  <c r="A4114" i="19"/>
  <c r="A4113" i="19"/>
  <c r="A4112" i="19"/>
  <c r="A4111" i="19"/>
  <c r="A4110" i="19"/>
  <c r="A4109" i="19"/>
  <c r="A4108" i="19"/>
  <c r="A4107" i="19"/>
  <c r="A4106" i="19"/>
  <c r="A4105" i="19"/>
  <c r="A4104" i="19"/>
  <c r="A4103" i="19"/>
  <c r="A4102" i="19"/>
  <c r="A4101" i="19"/>
  <c r="A4100" i="19"/>
  <c r="A4099" i="19"/>
  <c r="A4098" i="19"/>
  <c r="A4097" i="19"/>
  <c r="A4096" i="19"/>
  <c r="A4095" i="19"/>
  <c r="A4094" i="19"/>
  <c r="A4093" i="19"/>
  <c r="A4092" i="19"/>
  <c r="A4091" i="19"/>
  <c r="A4090" i="19"/>
  <c r="A4089" i="19"/>
  <c r="A4088" i="19"/>
  <c r="A4087" i="19"/>
  <c r="A4086" i="19"/>
  <c r="A4085" i="19"/>
  <c r="A4084" i="19"/>
  <c r="A4083" i="19"/>
  <c r="A4082" i="19"/>
  <c r="A4081" i="19"/>
  <c r="A4080" i="19"/>
  <c r="A4079" i="19"/>
  <c r="A4078" i="19"/>
  <c r="A4077" i="19"/>
  <c r="A4076" i="19"/>
  <c r="A4075" i="19"/>
  <c r="A4074" i="19"/>
  <c r="A4073" i="19"/>
  <c r="A4072" i="19"/>
  <c r="A4071" i="19"/>
  <c r="A4070" i="19"/>
  <c r="A4069" i="19"/>
  <c r="A4068" i="19"/>
  <c r="A4067" i="19"/>
  <c r="A4066" i="19"/>
  <c r="A4065" i="19"/>
  <c r="A4064" i="19"/>
  <c r="A4063" i="19"/>
  <c r="A4062" i="19"/>
  <c r="A4061" i="19"/>
  <c r="A4060" i="19"/>
  <c r="A4059" i="19"/>
  <c r="A4058" i="19"/>
  <c r="A4057" i="19"/>
  <c r="A4056" i="19"/>
  <c r="A4055" i="19"/>
  <c r="A4054" i="19"/>
  <c r="A4053" i="19"/>
  <c r="A4052" i="19"/>
  <c r="A4051" i="19"/>
  <c r="A4050" i="19"/>
  <c r="A4049" i="19"/>
  <c r="A4048" i="19"/>
  <c r="A4047" i="19"/>
  <c r="A4046" i="19"/>
  <c r="A4045" i="19"/>
  <c r="A4044" i="19"/>
  <c r="A4043" i="19"/>
  <c r="A4042" i="19"/>
  <c r="A4041" i="19"/>
  <c r="A4040" i="19"/>
  <c r="A4039" i="19"/>
  <c r="A4038" i="19"/>
  <c r="A4037" i="19"/>
  <c r="A4036" i="19"/>
  <c r="A4035" i="19"/>
  <c r="A4034" i="19"/>
  <c r="A4033" i="19"/>
  <c r="A4032" i="19"/>
  <c r="A4031" i="19"/>
  <c r="A4030" i="19"/>
  <c r="A4029" i="19"/>
  <c r="A4028" i="19"/>
  <c r="A4027" i="19"/>
  <c r="A4026" i="19"/>
  <c r="A4025" i="19"/>
  <c r="A4024" i="19"/>
  <c r="A4023" i="19"/>
  <c r="A4022" i="19"/>
  <c r="A4021" i="19"/>
  <c r="A4020" i="19"/>
  <c r="A4019" i="19"/>
  <c r="A4018" i="19"/>
  <c r="A4017" i="19"/>
  <c r="A4016" i="19"/>
  <c r="A4015" i="19"/>
  <c r="A4014" i="19"/>
  <c r="A4013" i="19"/>
  <c r="A4012" i="19"/>
  <c r="A4011" i="19"/>
  <c r="A4010" i="19"/>
  <c r="A4009" i="19"/>
  <c r="A4008" i="19"/>
  <c r="A4007" i="19"/>
  <c r="A4006" i="19"/>
  <c r="A4005" i="19"/>
  <c r="A4004" i="19"/>
  <c r="A4003" i="19"/>
  <c r="A4002" i="19"/>
  <c r="A4001" i="19"/>
  <c r="A4000" i="19"/>
  <c r="A3999" i="19"/>
  <c r="A3998" i="19"/>
  <c r="A3997" i="19"/>
  <c r="A3996" i="19"/>
  <c r="A3995" i="19"/>
  <c r="A3994" i="19"/>
  <c r="A3993" i="19"/>
  <c r="A3992" i="19"/>
  <c r="A3991" i="19"/>
  <c r="A3990" i="19"/>
  <c r="A3989" i="19"/>
  <c r="A3988" i="19"/>
  <c r="A3987" i="19"/>
  <c r="A3986" i="19"/>
  <c r="A3985" i="19"/>
  <c r="A3984" i="19"/>
  <c r="A3983" i="19"/>
  <c r="A3982" i="19"/>
  <c r="A3981" i="19"/>
  <c r="A3980" i="19"/>
  <c r="A3979" i="19"/>
  <c r="A3978" i="19"/>
  <c r="A3977" i="19"/>
  <c r="A3976" i="19"/>
  <c r="A3975" i="19"/>
  <c r="A3974" i="19"/>
  <c r="A3973" i="19"/>
  <c r="A3972" i="19"/>
  <c r="A3971" i="19"/>
  <c r="A3970" i="19"/>
  <c r="A3969" i="19"/>
  <c r="A3968" i="19"/>
  <c r="A3967" i="19"/>
  <c r="A3966" i="19"/>
  <c r="A3965" i="19"/>
  <c r="A3964" i="19"/>
  <c r="A3963" i="19"/>
  <c r="A3962" i="19"/>
  <c r="A3961" i="19"/>
  <c r="A3960" i="19"/>
  <c r="A3959" i="19"/>
  <c r="A3958" i="19"/>
  <c r="A3957" i="19"/>
  <c r="A3956" i="19"/>
  <c r="A3955" i="19"/>
  <c r="A3954" i="19"/>
  <c r="A3953" i="19"/>
  <c r="A3952" i="19"/>
  <c r="A3951" i="19"/>
  <c r="A3950" i="19"/>
  <c r="A3949" i="19"/>
  <c r="A3948" i="19"/>
  <c r="A3947" i="19"/>
  <c r="A3946" i="19"/>
  <c r="A3945" i="19"/>
  <c r="A3944" i="19"/>
  <c r="A3943" i="19"/>
  <c r="A3942" i="19"/>
  <c r="A3941" i="19"/>
  <c r="A3940" i="19"/>
  <c r="A3939" i="19"/>
  <c r="A3938" i="19"/>
  <c r="A3937" i="19"/>
  <c r="A3936" i="19"/>
  <c r="A3935" i="19"/>
  <c r="A3934" i="19"/>
  <c r="A3933" i="19"/>
  <c r="A3932" i="19"/>
  <c r="A3931" i="19"/>
  <c r="A3930" i="19"/>
  <c r="A3929" i="19"/>
  <c r="A3928" i="19"/>
  <c r="A3927" i="19"/>
  <c r="A3926" i="19"/>
  <c r="A3925" i="19"/>
  <c r="A3924" i="19"/>
  <c r="A3923" i="19"/>
  <c r="A3922" i="19"/>
  <c r="A3921" i="19"/>
  <c r="A3920" i="19"/>
  <c r="A3919" i="19"/>
  <c r="A3918" i="19"/>
  <c r="A3917" i="19"/>
  <c r="A3916" i="19"/>
  <c r="A3915" i="19"/>
  <c r="A3914" i="19"/>
  <c r="A3913" i="19"/>
  <c r="A3912" i="19"/>
  <c r="A3911" i="19"/>
  <c r="A3910" i="19"/>
  <c r="A3909" i="19"/>
  <c r="A3908" i="19"/>
  <c r="A3907" i="19"/>
  <c r="A3906" i="19"/>
  <c r="A3905" i="19"/>
  <c r="A3904" i="19"/>
  <c r="A3903" i="19"/>
  <c r="A3902" i="19"/>
  <c r="A3901" i="19"/>
  <c r="A3900" i="19"/>
  <c r="A3899" i="19"/>
  <c r="A3898" i="19"/>
  <c r="A3897" i="19"/>
  <c r="A3896" i="19"/>
  <c r="A3895" i="19"/>
  <c r="A3894" i="19"/>
  <c r="A3893" i="19"/>
  <c r="A3892" i="19"/>
  <c r="A3891" i="19"/>
  <c r="A3890" i="19"/>
  <c r="A3889" i="19"/>
  <c r="A3888" i="19"/>
  <c r="A3887" i="19"/>
  <c r="A3886" i="19"/>
  <c r="A3885" i="19"/>
  <c r="A3884" i="19"/>
  <c r="A3883" i="19"/>
  <c r="A3882" i="19"/>
  <c r="A3881" i="19"/>
  <c r="A3880" i="19"/>
  <c r="A3879" i="19"/>
  <c r="A3878" i="19"/>
  <c r="A3877" i="19"/>
  <c r="A3876" i="19"/>
  <c r="A3875" i="19"/>
  <c r="A3874" i="19"/>
  <c r="A3873" i="19"/>
  <c r="A3872" i="19"/>
  <c r="A3871" i="19"/>
  <c r="A3870" i="19"/>
  <c r="A3869" i="19"/>
  <c r="A3868" i="19"/>
  <c r="A3867" i="19"/>
  <c r="A3866" i="19"/>
  <c r="A3865" i="19"/>
  <c r="A3864" i="19"/>
  <c r="A3863" i="19"/>
  <c r="A3862" i="19"/>
  <c r="A3861" i="19"/>
  <c r="A3860" i="19"/>
  <c r="A3859" i="19"/>
  <c r="A3858" i="19"/>
  <c r="A3857" i="19"/>
  <c r="A3856" i="19"/>
  <c r="A3855" i="19"/>
  <c r="A3854" i="19"/>
  <c r="A3853" i="19"/>
  <c r="A3852" i="19"/>
  <c r="A3851" i="19"/>
  <c r="A3850" i="19"/>
  <c r="A3849" i="19"/>
  <c r="A3848" i="19"/>
  <c r="A3847" i="19"/>
  <c r="A3846" i="19"/>
  <c r="A3845" i="19"/>
  <c r="A3844" i="19"/>
  <c r="A3843" i="19"/>
  <c r="A3842" i="19"/>
  <c r="A3841" i="19"/>
  <c r="A3840" i="19"/>
  <c r="A3839" i="19"/>
  <c r="A3838" i="19"/>
  <c r="A3837" i="19"/>
  <c r="A3836" i="19"/>
  <c r="A3835" i="19"/>
  <c r="A3834" i="19"/>
  <c r="A3833" i="19"/>
  <c r="A3832" i="19"/>
  <c r="A3831" i="19"/>
  <c r="A3830" i="19"/>
  <c r="A3829" i="19"/>
  <c r="A3828" i="19"/>
  <c r="A3827" i="19"/>
  <c r="A3826" i="19"/>
  <c r="A3825" i="19"/>
  <c r="A3824" i="19"/>
  <c r="A3823" i="19"/>
  <c r="A3822" i="19"/>
  <c r="A3821" i="19"/>
  <c r="A3820" i="19"/>
  <c r="A3819" i="19"/>
  <c r="A3818" i="19"/>
  <c r="A3817" i="19"/>
  <c r="A3816" i="19"/>
  <c r="A3815" i="19"/>
  <c r="A3814" i="19"/>
  <c r="A3813" i="19"/>
  <c r="A3812" i="19"/>
  <c r="A3811" i="19"/>
  <c r="A3810" i="19"/>
  <c r="A3809" i="19"/>
  <c r="A3808" i="19"/>
  <c r="A3807" i="19"/>
  <c r="A3806" i="19"/>
  <c r="A3805" i="19"/>
  <c r="A3804" i="19"/>
  <c r="A3803" i="19"/>
  <c r="A3802" i="19"/>
  <c r="A3801" i="19"/>
  <c r="A3800" i="19"/>
  <c r="A3799" i="19"/>
  <c r="A3798" i="19"/>
  <c r="A3797" i="19"/>
  <c r="A3796" i="19"/>
  <c r="A3795" i="19"/>
  <c r="A3794" i="19"/>
  <c r="A3793" i="19"/>
  <c r="A3792" i="19"/>
  <c r="A3791" i="19"/>
  <c r="A3790" i="19"/>
  <c r="A3789" i="19"/>
  <c r="A3788" i="19"/>
  <c r="A3787" i="19"/>
  <c r="A3786" i="19"/>
  <c r="A3785" i="19"/>
  <c r="A3784" i="19"/>
  <c r="A3783" i="19"/>
  <c r="A3782" i="19"/>
  <c r="A3781" i="19"/>
  <c r="A3780" i="19"/>
  <c r="A3779" i="19"/>
  <c r="A3778" i="19"/>
  <c r="A3777" i="19"/>
  <c r="A3776" i="19"/>
  <c r="A3775" i="19"/>
  <c r="A3774" i="19"/>
  <c r="A3773" i="19"/>
  <c r="A3772" i="19"/>
  <c r="A3771" i="19"/>
  <c r="A3770" i="19"/>
  <c r="A3769" i="19"/>
  <c r="A3768" i="19"/>
  <c r="A3767" i="19"/>
  <c r="A3766" i="19"/>
  <c r="A3765" i="19"/>
  <c r="A3764" i="19"/>
  <c r="A3763" i="19"/>
  <c r="A3762" i="19"/>
  <c r="A3761" i="19"/>
  <c r="A3760" i="19"/>
  <c r="A3759" i="19"/>
  <c r="A3758" i="19"/>
  <c r="A3757" i="19"/>
  <c r="A3756" i="19"/>
  <c r="A3755" i="19"/>
  <c r="A3754" i="19"/>
  <c r="A3753" i="19"/>
  <c r="A3752" i="19"/>
  <c r="A3751" i="19"/>
  <c r="A3750" i="19"/>
  <c r="A3749" i="19"/>
  <c r="A3748" i="19"/>
  <c r="A3747" i="19"/>
  <c r="A3746" i="19"/>
  <c r="A3745" i="19"/>
  <c r="A3744" i="19"/>
  <c r="A3743" i="19"/>
  <c r="A3742" i="19"/>
  <c r="A3741" i="19"/>
  <c r="A3740" i="19"/>
  <c r="A3739" i="19"/>
  <c r="A3738" i="19"/>
  <c r="A3737" i="19"/>
  <c r="A3736" i="19"/>
  <c r="A3735" i="19"/>
  <c r="A3734" i="19"/>
  <c r="A3733" i="19"/>
  <c r="A3732" i="19"/>
  <c r="A3731" i="19"/>
  <c r="A3730" i="19"/>
  <c r="A3729" i="19"/>
  <c r="A3728" i="19"/>
  <c r="A3727" i="19"/>
  <c r="A3726" i="19"/>
  <c r="A3725" i="19"/>
  <c r="A3724" i="19"/>
  <c r="A3723" i="19"/>
  <c r="A3722" i="19"/>
  <c r="A3721" i="19"/>
  <c r="A3720" i="19"/>
  <c r="A3719" i="19"/>
  <c r="A3718" i="19"/>
  <c r="A3717" i="19"/>
  <c r="A3716" i="19"/>
  <c r="A3715" i="19"/>
  <c r="A3714" i="19"/>
  <c r="A3713" i="19"/>
  <c r="A3712" i="19"/>
  <c r="A3711" i="19"/>
  <c r="A3710" i="19"/>
  <c r="A3709" i="19"/>
  <c r="A3708" i="19"/>
  <c r="A3707" i="19"/>
  <c r="A3706" i="19"/>
  <c r="A3705" i="19"/>
  <c r="A3704" i="19"/>
  <c r="A3703" i="19"/>
  <c r="A3702" i="19"/>
  <c r="A3701" i="19"/>
  <c r="A3700" i="19"/>
  <c r="A3699" i="19"/>
  <c r="A3698" i="19"/>
  <c r="A3697" i="19"/>
  <c r="A3696" i="19"/>
  <c r="A3695" i="19"/>
  <c r="A3694" i="19"/>
  <c r="A3693" i="19"/>
  <c r="A3692" i="19"/>
  <c r="A3691" i="19"/>
  <c r="A3690" i="19"/>
  <c r="A3689" i="19"/>
  <c r="A3688" i="19"/>
  <c r="A3687" i="19"/>
  <c r="A3686" i="19"/>
  <c r="A3685" i="19"/>
  <c r="A3684" i="19"/>
  <c r="A3683" i="19"/>
  <c r="A3682" i="19"/>
  <c r="A3681" i="19"/>
  <c r="A3680" i="19"/>
  <c r="A3679" i="19"/>
  <c r="A3678" i="19"/>
  <c r="A3677" i="19"/>
  <c r="A3676" i="19"/>
  <c r="A3675" i="19"/>
  <c r="A3674" i="19"/>
  <c r="A3673" i="19"/>
  <c r="A3672" i="19"/>
  <c r="A3671" i="19"/>
  <c r="A3670" i="19"/>
  <c r="A3669" i="19"/>
  <c r="A3668" i="19"/>
  <c r="A3667" i="19"/>
  <c r="A3666" i="19"/>
  <c r="A3665" i="19"/>
  <c r="A3664" i="19"/>
  <c r="A3663" i="19"/>
  <c r="A3662" i="19"/>
  <c r="A3661" i="19"/>
  <c r="A3660" i="19"/>
  <c r="A3659" i="19"/>
  <c r="A3658" i="19"/>
  <c r="A3657" i="19"/>
  <c r="A3656" i="19"/>
  <c r="A3655" i="19"/>
  <c r="A3654" i="19"/>
  <c r="A3653" i="19"/>
  <c r="A3652" i="19"/>
  <c r="A3651" i="19"/>
  <c r="A3650" i="19"/>
  <c r="A3649" i="19"/>
  <c r="A3648" i="19"/>
  <c r="A3647" i="19"/>
  <c r="A3646" i="19"/>
  <c r="A3645" i="19"/>
  <c r="A3644" i="19"/>
  <c r="A3643" i="19"/>
  <c r="A3642" i="19"/>
  <c r="A3641" i="19"/>
  <c r="A3640" i="19"/>
  <c r="A3639" i="19"/>
  <c r="A3638" i="19"/>
  <c r="A3637" i="19"/>
  <c r="A3636" i="19"/>
  <c r="A3635" i="19"/>
  <c r="A3634" i="19"/>
  <c r="A3633" i="19"/>
  <c r="A3632" i="19"/>
  <c r="A3631" i="19"/>
  <c r="A3630" i="19"/>
  <c r="A3629" i="19"/>
  <c r="A3628" i="19"/>
  <c r="A3627" i="19"/>
  <c r="A3626" i="19"/>
  <c r="A3625" i="19"/>
  <c r="A3624" i="19"/>
  <c r="A3623" i="19"/>
  <c r="A3622" i="19"/>
  <c r="A3621" i="19"/>
  <c r="A3620" i="19"/>
  <c r="A3619" i="19"/>
  <c r="A3618" i="19"/>
  <c r="A3617" i="19"/>
  <c r="A3616" i="19"/>
  <c r="A3615" i="19"/>
  <c r="A3614" i="19"/>
  <c r="A3613" i="19"/>
  <c r="A3612" i="19"/>
  <c r="A3611" i="19"/>
  <c r="A3610" i="19"/>
  <c r="A3609" i="19"/>
  <c r="A3608" i="19"/>
  <c r="A3607" i="19"/>
  <c r="A3606" i="19"/>
  <c r="A3605" i="19"/>
  <c r="A3604" i="19"/>
  <c r="A3603" i="19"/>
  <c r="A3602" i="19"/>
  <c r="A3601" i="19"/>
  <c r="A3600" i="19"/>
  <c r="A3599" i="19"/>
  <c r="A3598" i="19"/>
  <c r="A3597" i="19"/>
  <c r="A3596" i="19"/>
  <c r="A3595" i="19"/>
  <c r="A3594" i="19"/>
  <c r="A3593" i="19"/>
  <c r="A3592" i="19"/>
  <c r="A3591" i="19"/>
  <c r="A3590" i="19"/>
  <c r="A3589" i="19"/>
  <c r="A3588" i="19"/>
  <c r="A3587" i="19"/>
  <c r="A3586" i="19"/>
  <c r="A3585" i="19"/>
  <c r="A3584" i="19"/>
  <c r="A3583" i="19"/>
  <c r="A3582" i="19"/>
  <c r="A3581" i="19"/>
  <c r="A3580" i="19"/>
  <c r="A3579" i="19"/>
  <c r="A3578" i="19"/>
  <c r="A3577" i="19"/>
  <c r="A3576" i="19"/>
  <c r="A3575" i="19"/>
  <c r="A3574" i="19"/>
  <c r="A3573" i="19"/>
  <c r="A3572" i="19"/>
  <c r="A3571" i="19"/>
  <c r="A3570" i="19"/>
  <c r="A3569" i="19"/>
  <c r="A3568" i="19"/>
  <c r="A3567" i="19"/>
  <c r="A3566" i="19"/>
  <c r="A3565" i="19"/>
  <c r="A3564" i="19"/>
  <c r="A3563" i="19"/>
  <c r="A3562" i="19"/>
  <c r="A3561" i="19"/>
  <c r="A3560" i="19"/>
  <c r="A3559" i="19"/>
  <c r="A3558" i="19"/>
  <c r="A3557" i="19"/>
  <c r="A3556" i="19"/>
  <c r="A3555" i="19"/>
  <c r="A3554" i="19"/>
  <c r="A3553" i="19"/>
  <c r="A3552" i="19"/>
  <c r="A3551" i="19"/>
  <c r="A3550" i="19"/>
  <c r="A3549" i="19"/>
  <c r="A3548" i="19"/>
  <c r="A3547" i="19"/>
  <c r="A3546" i="19"/>
  <c r="A3545" i="19"/>
  <c r="A3544" i="19"/>
  <c r="A3543" i="19"/>
  <c r="A3542" i="19"/>
  <c r="A3541" i="19"/>
  <c r="A3540" i="19"/>
  <c r="A3539" i="19"/>
  <c r="A3538" i="19"/>
  <c r="A3537" i="19"/>
  <c r="A3536" i="19"/>
  <c r="A3535" i="19"/>
  <c r="A3534" i="19"/>
  <c r="A3533" i="19"/>
  <c r="A3532" i="19"/>
  <c r="A3531" i="19"/>
  <c r="A3530" i="19"/>
  <c r="A3529" i="19"/>
  <c r="A3528" i="19"/>
  <c r="A3527" i="19"/>
  <c r="A3526" i="19"/>
  <c r="A3525" i="19"/>
  <c r="A3524" i="19"/>
  <c r="A3523" i="19"/>
  <c r="A3522" i="19"/>
  <c r="A3521" i="19"/>
  <c r="A3520" i="19"/>
  <c r="A3519" i="19"/>
  <c r="A3518" i="19"/>
  <c r="A3517" i="19"/>
  <c r="A3516" i="19"/>
  <c r="A3515" i="19"/>
  <c r="A3514" i="19"/>
  <c r="A3513" i="19"/>
  <c r="A3512" i="19"/>
  <c r="A3511" i="19"/>
  <c r="A3510" i="19"/>
  <c r="A3509" i="19"/>
  <c r="A3508" i="19"/>
  <c r="A3507" i="19"/>
  <c r="A3506" i="19"/>
  <c r="A3505" i="19"/>
  <c r="A3504" i="19"/>
  <c r="A3503" i="19"/>
  <c r="A3502" i="19"/>
  <c r="A3501" i="19"/>
  <c r="A3500" i="19"/>
  <c r="A3499" i="19"/>
  <c r="A3498" i="19"/>
  <c r="A3497" i="19"/>
  <c r="A3496" i="19"/>
  <c r="A3495" i="19"/>
  <c r="A3494" i="19"/>
  <c r="A3493" i="19"/>
  <c r="A3492" i="19"/>
  <c r="A3491" i="19"/>
  <c r="A3490" i="19"/>
  <c r="A3489" i="19"/>
  <c r="A3488" i="19"/>
  <c r="A3487" i="19"/>
  <c r="A3486" i="19"/>
  <c r="A3485" i="19"/>
  <c r="A3484" i="19"/>
  <c r="A3483" i="19"/>
  <c r="A3482" i="19"/>
  <c r="A3481" i="19"/>
  <c r="A3480" i="19"/>
  <c r="A3479" i="19"/>
  <c r="A3478" i="19"/>
  <c r="A3477" i="19"/>
  <c r="A3476" i="19"/>
  <c r="A3475" i="19"/>
  <c r="A3474" i="19"/>
  <c r="A3473" i="19"/>
  <c r="A3472" i="19"/>
  <c r="A3471" i="19"/>
  <c r="A3470" i="19"/>
  <c r="A3469" i="19"/>
  <c r="A3468" i="19"/>
  <c r="A3467" i="19"/>
  <c r="A3466" i="19"/>
  <c r="A3465" i="19"/>
  <c r="A3464" i="19"/>
  <c r="A3463" i="19"/>
  <c r="A3462" i="19"/>
  <c r="A3461" i="19"/>
  <c r="A3460" i="19"/>
  <c r="A3459" i="19"/>
  <c r="A3458" i="19"/>
  <c r="A3457" i="19"/>
  <c r="A3456" i="19"/>
  <c r="A3455" i="19"/>
  <c r="A3454" i="19"/>
  <c r="A3453" i="19"/>
  <c r="A3452" i="19"/>
  <c r="A3451" i="19"/>
  <c r="A3450" i="19"/>
  <c r="A3449" i="19"/>
  <c r="A3448" i="19"/>
  <c r="A3447" i="19"/>
  <c r="A3446" i="19"/>
  <c r="A3445" i="19"/>
  <c r="A3444" i="19"/>
  <c r="A3443" i="19"/>
  <c r="A3442" i="19"/>
  <c r="A3441" i="19"/>
  <c r="A3440" i="19"/>
  <c r="A3439" i="19"/>
  <c r="A3438" i="19"/>
  <c r="A3437" i="19"/>
  <c r="A3436" i="19"/>
  <c r="A3435" i="19"/>
  <c r="A3434" i="19"/>
  <c r="A3433" i="19"/>
  <c r="A3432" i="19"/>
  <c r="A3431" i="19"/>
  <c r="A3430" i="19"/>
  <c r="A3429" i="19"/>
  <c r="A3428" i="19"/>
  <c r="A3427" i="19"/>
  <c r="A3426" i="19"/>
  <c r="A3425" i="19"/>
  <c r="A3424" i="19"/>
  <c r="A3423" i="19"/>
  <c r="A3422" i="19"/>
  <c r="A3421" i="19"/>
  <c r="A3420" i="19"/>
  <c r="A3419" i="19"/>
  <c r="A3418" i="19"/>
  <c r="A3417" i="19"/>
  <c r="A3416" i="19"/>
  <c r="A3415" i="19"/>
  <c r="A3414" i="19"/>
  <c r="A3413" i="19"/>
  <c r="A3412" i="19"/>
  <c r="A3411" i="19"/>
  <c r="A3410" i="19"/>
  <c r="A3409" i="19"/>
  <c r="A3408" i="19"/>
  <c r="A3407" i="19"/>
  <c r="A3406" i="19"/>
  <c r="A3405" i="19"/>
  <c r="A3404" i="19"/>
  <c r="A3403" i="19"/>
  <c r="A3402" i="19"/>
  <c r="A3401" i="19"/>
  <c r="A3400" i="19"/>
  <c r="A3399" i="19"/>
  <c r="A3398" i="19"/>
  <c r="A3397" i="19"/>
  <c r="A3396" i="19"/>
  <c r="A3395" i="19"/>
  <c r="A3394" i="19"/>
  <c r="A3393" i="19"/>
  <c r="A3392" i="19"/>
  <c r="A3391" i="19"/>
  <c r="A3390" i="19"/>
  <c r="A3389" i="19"/>
  <c r="A3388" i="19"/>
  <c r="A3387" i="19"/>
  <c r="A3386" i="19"/>
  <c r="A3385" i="19"/>
  <c r="A3384" i="19"/>
  <c r="A3383" i="19"/>
  <c r="A3382" i="19"/>
  <c r="A3381" i="19"/>
  <c r="A3380" i="19"/>
  <c r="A3379" i="19"/>
  <c r="A3378" i="19"/>
  <c r="A3377" i="19"/>
  <c r="A3376" i="19"/>
  <c r="A3375" i="19"/>
  <c r="A3374" i="19"/>
  <c r="A3373" i="19"/>
  <c r="A3372" i="19"/>
  <c r="A3371" i="19"/>
  <c r="A3370" i="19"/>
  <c r="A3369" i="19"/>
  <c r="A3368" i="19"/>
  <c r="A3367" i="19"/>
  <c r="A3366" i="19"/>
  <c r="A3365" i="19"/>
  <c r="A3364" i="19"/>
  <c r="A3363" i="19"/>
  <c r="A3362" i="19"/>
  <c r="A3361" i="19"/>
  <c r="A3360" i="19"/>
  <c r="A3359" i="19"/>
  <c r="A3358" i="19"/>
  <c r="A3357" i="19"/>
  <c r="A3356" i="19"/>
  <c r="A3355" i="19"/>
  <c r="A3354" i="19"/>
  <c r="A3353" i="19"/>
  <c r="A3352" i="19"/>
  <c r="A3351" i="19"/>
  <c r="A3350" i="19"/>
  <c r="A3349" i="19"/>
  <c r="A3348" i="19"/>
  <c r="A3347" i="19"/>
  <c r="A3346" i="19"/>
  <c r="A3345" i="19"/>
  <c r="A3344" i="19"/>
  <c r="A3343" i="19"/>
  <c r="A3342" i="19"/>
  <c r="A3341" i="19"/>
  <c r="A3340" i="19"/>
  <c r="A3339" i="19"/>
  <c r="A3338" i="19"/>
  <c r="A3337" i="19"/>
  <c r="A3336" i="19"/>
  <c r="A3335" i="19"/>
  <c r="A3334" i="19"/>
  <c r="A3333" i="19"/>
  <c r="A3332" i="19"/>
  <c r="A3331" i="19"/>
  <c r="A3330" i="19"/>
  <c r="A3329" i="19"/>
  <c r="A3328" i="19"/>
  <c r="A3327" i="19"/>
  <c r="A3326" i="19"/>
  <c r="A3325" i="19"/>
  <c r="A3324" i="19"/>
  <c r="A3323" i="19"/>
  <c r="A3322" i="19"/>
  <c r="A3321" i="19"/>
  <c r="A3320" i="19"/>
  <c r="A3319" i="19"/>
  <c r="A3318" i="19"/>
  <c r="A3317" i="19"/>
  <c r="A3316" i="19"/>
  <c r="A3315" i="19"/>
  <c r="A3314" i="19"/>
  <c r="A3313" i="19"/>
  <c r="A3312" i="19"/>
  <c r="A3311" i="19"/>
  <c r="A3310" i="19"/>
  <c r="A3309" i="19"/>
  <c r="A3308" i="19"/>
  <c r="A3307" i="19"/>
  <c r="A3306" i="19"/>
  <c r="A3305" i="19"/>
  <c r="A3304" i="19"/>
  <c r="A3303" i="19"/>
  <c r="A3302" i="19"/>
  <c r="A3301" i="19"/>
  <c r="A3300" i="19"/>
  <c r="A3299" i="19"/>
  <c r="A3298" i="19"/>
  <c r="A3297" i="19"/>
  <c r="A3296" i="19"/>
  <c r="A3295" i="19"/>
  <c r="A3294" i="19"/>
  <c r="A3293" i="19"/>
  <c r="A3292" i="19"/>
  <c r="A3291" i="19"/>
  <c r="A3290" i="19"/>
  <c r="A3289" i="19"/>
  <c r="A3288" i="19"/>
  <c r="A3287" i="19"/>
  <c r="A3286" i="19"/>
  <c r="A3285" i="19"/>
  <c r="A3284" i="19"/>
  <c r="A3283" i="19"/>
  <c r="A3282" i="19"/>
  <c r="A3281" i="19"/>
  <c r="A3280" i="19"/>
  <c r="A3279" i="19"/>
  <c r="A3278" i="19"/>
  <c r="A3277" i="19"/>
  <c r="A3276" i="19"/>
  <c r="A3275" i="19"/>
  <c r="A3274" i="19"/>
  <c r="A3273" i="19"/>
  <c r="A3272" i="19"/>
  <c r="A3271" i="19"/>
  <c r="A3270" i="19"/>
  <c r="A3269" i="19"/>
  <c r="A3268" i="19"/>
  <c r="A3267" i="19"/>
  <c r="A3266" i="19"/>
  <c r="A3265" i="19"/>
  <c r="A3264" i="19"/>
  <c r="A3263" i="19"/>
  <c r="A3262" i="19"/>
  <c r="A3261" i="19"/>
  <c r="A3260" i="19"/>
  <c r="A3259" i="19"/>
  <c r="A3258" i="19"/>
  <c r="A3257" i="19"/>
  <c r="A3256" i="19"/>
  <c r="A3255" i="19"/>
  <c r="A3254" i="19"/>
  <c r="A3253" i="19"/>
  <c r="A3252" i="19"/>
  <c r="A3251" i="19"/>
  <c r="A3250" i="19"/>
  <c r="A3249" i="19"/>
  <c r="A3248" i="19"/>
  <c r="A3247" i="19"/>
  <c r="A3246" i="19"/>
  <c r="A3245" i="19"/>
  <c r="A3244" i="19"/>
  <c r="A3243" i="19"/>
  <c r="A3242" i="19"/>
  <c r="A3241" i="19"/>
  <c r="A3240" i="19"/>
  <c r="A3239" i="19"/>
  <c r="A3238" i="19"/>
  <c r="A3237" i="19"/>
  <c r="A3236" i="19"/>
  <c r="A3235" i="19"/>
  <c r="A3234" i="19"/>
  <c r="A3233" i="19"/>
  <c r="A3232" i="19"/>
  <c r="A3231" i="19"/>
  <c r="A3230" i="19"/>
  <c r="A3229" i="19"/>
  <c r="A3228" i="19"/>
  <c r="A3227" i="19"/>
  <c r="A3226" i="19"/>
  <c r="A3225" i="19"/>
  <c r="A3224" i="19"/>
  <c r="A3223" i="19"/>
  <c r="A3222" i="19"/>
  <c r="A3221" i="19"/>
  <c r="A3220" i="19"/>
  <c r="A3219" i="19"/>
  <c r="A3218" i="19"/>
  <c r="A3217" i="19"/>
  <c r="A3216" i="19"/>
  <c r="A3215" i="19"/>
  <c r="A3214" i="19"/>
  <c r="A3213" i="19"/>
  <c r="A3212" i="19"/>
  <c r="A3211" i="19"/>
  <c r="A3210" i="19"/>
  <c r="A3209" i="19"/>
  <c r="A3208" i="19"/>
  <c r="A3207" i="19"/>
  <c r="A3206" i="19"/>
  <c r="A3205" i="19"/>
  <c r="A3204" i="19"/>
  <c r="A3203" i="19"/>
  <c r="A3202" i="19"/>
  <c r="A3201" i="19"/>
  <c r="A3200" i="19"/>
  <c r="A3199" i="19"/>
  <c r="A3198" i="19"/>
  <c r="A3197" i="19"/>
  <c r="A3196" i="19"/>
  <c r="A3195" i="19"/>
  <c r="A3194" i="19"/>
  <c r="A3193" i="19"/>
  <c r="A3192" i="19"/>
  <c r="A3191" i="19"/>
  <c r="A3190" i="19"/>
  <c r="A3189" i="19"/>
  <c r="A3188" i="19"/>
  <c r="A3187" i="19"/>
  <c r="A3186" i="19"/>
  <c r="A3185" i="19"/>
  <c r="A3184" i="19"/>
  <c r="A3183" i="19"/>
  <c r="A3182" i="19"/>
  <c r="A3181" i="19"/>
  <c r="A3180" i="19"/>
  <c r="A3179" i="19"/>
  <c r="A3178" i="19"/>
  <c r="A3177" i="19"/>
  <c r="A3176" i="19"/>
  <c r="A3175" i="19"/>
  <c r="A3174" i="19"/>
  <c r="A3173" i="19"/>
  <c r="A3172" i="19"/>
  <c r="A3171" i="19"/>
  <c r="A3170" i="19"/>
  <c r="A3169" i="19"/>
  <c r="A3168" i="19"/>
  <c r="A3167" i="19"/>
  <c r="A3166" i="19"/>
  <c r="A3165" i="19"/>
  <c r="A3164" i="19"/>
  <c r="A3163" i="19"/>
  <c r="A3162" i="19"/>
  <c r="A3161" i="19"/>
  <c r="A3160" i="19"/>
  <c r="A3159" i="19"/>
  <c r="A3158" i="19"/>
  <c r="A3157" i="19"/>
  <c r="A3156" i="19"/>
  <c r="A3155" i="19"/>
  <c r="A3154" i="19"/>
  <c r="A3153" i="19"/>
  <c r="A3152" i="19"/>
  <c r="A3151" i="19"/>
  <c r="A3150" i="19"/>
  <c r="A3149" i="19"/>
  <c r="A3148" i="19"/>
  <c r="A3147" i="19"/>
  <c r="A3146" i="19"/>
  <c r="A3145" i="19"/>
  <c r="A3144" i="19"/>
  <c r="A3143" i="19"/>
  <c r="A3142" i="19"/>
  <c r="A3141" i="19"/>
  <c r="A3140" i="19"/>
  <c r="A3139" i="19"/>
  <c r="A3138" i="19"/>
  <c r="A3137" i="19"/>
  <c r="A3136" i="19"/>
  <c r="A3135" i="19"/>
  <c r="A3134" i="19"/>
  <c r="A3133" i="19"/>
  <c r="A3132" i="19"/>
  <c r="A3131" i="19"/>
  <c r="A3130" i="19"/>
  <c r="A3129" i="19"/>
  <c r="A3128" i="19"/>
  <c r="A3127" i="19"/>
  <c r="A3126" i="19"/>
  <c r="A3125" i="19"/>
  <c r="A3124" i="19"/>
  <c r="A3123" i="19"/>
  <c r="A3122" i="19"/>
  <c r="A3121" i="19"/>
  <c r="A3120" i="19"/>
  <c r="A3119" i="19"/>
  <c r="A3118" i="19"/>
  <c r="A3117" i="19"/>
  <c r="A3116" i="19"/>
  <c r="A3115" i="19"/>
  <c r="A3114" i="19"/>
  <c r="A3113" i="19"/>
  <c r="A3112" i="19"/>
  <c r="A3111" i="19"/>
  <c r="A3110" i="19"/>
  <c r="A3109" i="19"/>
  <c r="A3108" i="19"/>
  <c r="A3107" i="19"/>
  <c r="A3106" i="19"/>
  <c r="A3105" i="19"/>
  <c r="A3104" i="19"/>
  <c r="A3103" i="19"/>
  <c r="A3102" i="19"/>
  <c r="A3101" i="19"/>
  <c r="A3100" i="19"/>
  <c r="A3099" i="19"/>
  <c r="A3098" i="19"/>
  <c r="A3097" i="19"/>
  <c r="A3096" i="19"/>
  <c r="A3095" i="19"/>
  <c r="A3094" i="19"/>
  <c r="A3093" i="19"/>
  <c r="A3092" i="19"/>
  <c r="A3091" i="19"/>
  <c r="A3090" i="19"/>
  <c r="A3089" i="19"/>
  <c r="A3088" i="19"/>
  <c r="A3087" i="19"/>
  <c r="A3086" i="19"/>
  <c r="A3085" i="19"/>
  <c r="A3084" i="19"/>
  <c r="A3083" i="19"/>
  <c r="A3082" i="19"/>
  <c r="A3081" i="19"/>
  <c r="A3080" i="19"/>
  <c r="A3079" i="19"/>
  <c r="A3078" i="19"/>
  <c r="A3077" i="19"/>
  <c r="A3076" i="19"/>
  <c r="A3075" i="19"/>
  <c r="A3074" i="19"/>
  <c r="A3073" i="19"/>
  <c r="A3072" i="19"/>
  <c r="A3071" i="19"/>
  <c r="A3070" i="19"/>
  <c r="A3069" i="19"/>
  <c r="A3068" i="19"/>
  <c r="A3067" i="19"/>
  <c r="A3066" i="19"/>
  <c r="A3065" i="19"/>
  <c r="A3064" i="19"/>
  <c r="A3063" i="19"/>
  <c r="A3062" i="19"/>
  <c r="A3061" i="19"/>
  <c r="A3060" i="19"/>
  <c r="A3059" i="19"/>
  <c r="A3058" i="19"/>
  <c r="A3057" i="19"/>
  <c r="A3056" i="19"/>
  <c r="A3055" i="19"/>
  <c r="A3054" i="19"/>
  <c r="A3053" i="19"/>
  <c r="A3052" i="19"/>
  <c r="A3051" i="19"/>
  <c r="A3050" i="19"/>
  <c r="A3049" i="19"/>
  <c r="A3048" i="19"/>
  <c r="A3047" i="19"/>
  <c r="A3046" i="19"/>
  <c r="A3045" i="19"/>
  <c r="A3044" i="19"/>
  <c r="A3043" i="19"/>
  <c r="A3042" i="19"/>
  <c r="A3041" i="19"/>
  <c r="A3040" i="19"/>
  <c r="A3039" i="19"/>
  <c r="A3038" i="19"/>
  <c r="A3037" i="19"/>
  <c r="A3036" i="19"/>
  <c r="A3035" i="19"/>
  <c r="A3034" i="19"/>
  <c r="A3033" i="19"/>
  <c r="A3032" i="19"/>
  <c r="A3031" i="19"/>
  <c r="A3030" i="19"/>
  <c r="A3029" i="19"/>
  <c r="A3028" i="19"/>
  <c r="A3027" i="19"/>
  <c r="A3026" i="19"/>
  <c r="A3025" i="19"/>
  <c r="A3024" i="19"/>
  <c r="A3023" i="19"/>
  <c r="A3022" i="19"/>
  <c r="A3021" i="19"/>
  <c r="A3020" i="19"/>
  <c r="A3019" i="19"/>
  <c r="A3018" i="19"/>
  <c r="A3017" i="19"/>
  <c r="A3016" i="19"/>
  <c r="A3015" i="19"/>
  <c r="A3014" i="19"/>
  <c r="A3013" i="19"/>
  <c r="A3012" i="19"/>
  <c r="A3011" i="19"/>
  <c r="A3010" i="19"/>
  <c r="A3009" i="19"/>
  <c r="A3008" i="19"/>
  <c r="A3007" i="19"/>
  <c r="A3006" i="19"/>
  <c r="A3005" i="19"/>
  <c r="A3004" i="19"/>
  <c r="A3003" i="19"/>
  <c r="A3002" i="19"/>
  <c r="A3001" i="19"/>
  <c r="A3000" i="19"/>
  <c r="A2999" i="19"/>
  <c r="A2998" i="19"/>
  <c r="A2997" i="19"/>
  <c r="A2996" i="19"/>
  <c r="A2995" i="19"/>
  <c r="A2994" i="19"/>
  <c r="A2993" i="19"/>
  <c r="A2992" i="19"/>
  <c r="A2991" i="19"/>
  <c r="A2990" i="19"/>
  <c r="A2989" i="19"/>
  <c r="A2988" i="19"/>
  <c r="A2987" i="19"/>
  <c r="A2986" i="19"/>
  <c r="A2985" i="19"/>
  <c r="A2984" i="19"/>
  <c r="A2983" i="19"/>
  <c r="A2982" i="19"/>
  <c r="A2981" i="19"/>
  <c r="A2980" i="19"/>
  <c r="A2979" i="19"/>
  <c r="A2978" i="19"/>
  <c r="A2977" i="19"/>
  <c r="A2976" i="19"/>
  <c r="A2975" i="19"/>
  <c r="A2974" i="19"/>
  <c r="A2973" i="19"/>
  <c r="A2972" i="19"/>
  <c r="A2971" i="19"/>
  <c r="A2970" i="19"/>
  <c r="A2969" i="19"/>
  <c r="A2968" i="19"/>
  <c r="A2967" i="19"/>
  <c r="A2966" i="19"/>
  <c r="A2965" i="19"/>
  <c r="A2964" i="19"/>
  <c r="A2963" i="19"/>
  <c r="A2962" i="19"/>
  <c r="A2961" i="19"/>
  <c r="A2960" i="19"/>
  <c r="A2959" i="19"/>
  <c r="A2958" i="19"/>
  <c r="A2957" i="19"/>
  <c r="A2956" i="19"/>
  <c r="A2955" i="19"/>
  <c r="A2954" i="19"/>
  <c r="A2953" i="19"/>
  <c r="A2952" i="19"/>
  <c r="A2951" i="19"/>
  <c r="A2950" i="19"/>
  <c r="A2949" i="19"/>
  <c r="A2948" i="19"/>
  <c r="A2947" i="19"/>
  <c r="A2946" i="19"/>
  <c r="A2945" i="19"/>
  <c r="A2944" i="19"/>
  <c r="A2943" i="19"/>
  <c r="A2942" i="19"/>
  <c r="A2941" i="19"/>
  <c r="A2940" i="19"/>
  <c r="A2939" i="19"/>
  <c r="A2938" i="19"/>
  <c r="A2937" i="19"/>
  <c r="A2936" i="19"/>
  <c r="A2935" i="19"/>
  <c r="A2934" i="19"/>
  <c r="A2933" i="19"/>
  <c r="A2932" i="19"/>
  <c r="A2931" i="19"/>
  <c r="A2930" i="19"/>
  <c r="A2929" i="19"/>
  <c r="A2928" i="19"/>
  <c r="A2927" i="19"/>
  <c r="A2926" i="19"/>
  <c r="A2925" i="19"/>
  <c r="A2924" i="19"/>
  <c r="A2923" i="19"/>
  <c r="A2922" i="19"/>
  <c r="A2921" i="19"/>
  <c r="A2920" i="19"/>
  <c r="A2919" i="19"/>
  <c r="A2918" i="19"/>
  <c r="A2917" i="19"/>
  <c r="A2916" i="19"/>
  <c r="A2915" i="19"/>
  <c r="A2914" i="19"/>
  <c r="A2913" i="19"/>
  <c r="A2912" i="19"/>
  <c r="A2911" i="19"/>
  <c r="A2910" i="19"/>
  <c r="A2909" i="19"/>
  <c r="A2908" i="19"/>
  <c r="A2907" i="19"/>
  <c r="A2906" i="19"/>
  <c r="A2905" i="19"/>
  <c r="A2904" i="19"/>
  <c r="A2903" i="19"/>
  <c r="A2902" i="19"/>
  <c r="A2901" i="19"/>
  <c r="A2900" i="19"/>
  <c r="A2899" i="19"/>
  <c r="A2898" i="19"/>
  <c r="A2897" i="19"/>
  <c r="A2896" i="19"/>
  <c r="A2895" i="19"/>
  <c r="A2894" i="19"/>
  <c r="A2893" i="19"/>
  <c r="A2892" i="19"/>
  <c r="A2891" i="19"/>
  <c r="A2890" i="19"/>
  <c r="A2889" i="19"/>
  <c r="A2888" i="19"/>
  <c r="A2887" i="19"/>
  <c r="A2886" i="19"/>
  <c r="A2885" i="19"/>
  <c r="A2884" i="19"/>
  <c r="A2883" i="19"/>
  <c r="A2882" i="19"/>
  <c r="A2881" i="19"/>
  <c r="A2880" i="19"/>
  <c r="A2879" i="19"/>
  <c r="A2878" i="19"/>
  <c r="A2877" i="19"/>
  <c r="A2876" i="19"/>
  <c r="A2875" i="19"/>
  <c r="A2874" i="19"/>
  <c r="A2873" i="19"/>
  <c r="A2872" i="19"/>
  <c r="A2871" i="19"/>
  <c r="A2870" i="19"/>
  <c r="A2869" i="19"/>
  <c r="A2868" i="19"/>
  <c r="A2867" i="19"/>
  <c r="A2866" i="19"/>
  <c r="A2865" i="19"/>
  <c r="A2864" i="19"/>
  <c r="A2863" i="19"/>
  <c r="A2862" i="19"/>
  <c r="A2861" i="19"/>
  <c r="A2860" i="19"/>
  <c r="A2859" i="19"/>
  <c r="A2858" i="19"/>
  <c r="A2857" i="19"/>
  <c r="A2856" i="19"/>
  <c r="A2855" i="19"/>
  <c r="A2854" i="19"/>
  <c r="A2853" i="19"/>
  <c r="A2852" i="19"/>
  <c r="A2851" i="19"/>
  <c r="A2850" i="19"/>
  <c r="A2849" i="19"/>
  <c r="A2848" i="19"/>
  <c r="A2847" i="19"/>
  <c r="A2846" i="19"/>
  <c r="A2845" i="19"/>
  <c r="A2844" i="19"/>
  <c r="A2843" i="19"/>
  <c r="A2842" i="19"/>
  <c r="A2841" i="19"/>
  <c r="A2840" i="19"/>
  <c r="A2839" i="19"/>
  <c r="A2838" i="19"/>
  <c r="A2837" i="19"/>
  <c r="A2836" i="19"/>
  <c r="A2835" i="19"/>
  <c r="A2834" i="19"/>
  <c r="A2833" i="19"/>
  <c r="A2832" i="19"/>
  <c r="A2831" i="19"/>
  <c r="A2830" i="19"/>
  <c r="A2829" i="19"/>
  <c r="A2828" i="19"/>
  <c r="A2827" i="19"/>
  <c r="A2826" i="19"/>
  <c r="A2825" i="19"/>
  <c r="A2824" i="19"/>
  <c r="A2823" i="19"/>
  <c r="A2822" i="19"/>
  <c r="A2821" i="19"/>
  <c r="A2820" i="19"/>
  <c r="A2819" i="19"/>
  <c r="A2818" i="19"/>
  <c r="A2817" i="19"/>
  <c r="A2816" i="19"/>
  <c r="A2815" i="19"/>
  <c r="A2814" i="19"/>
  <c r="A2813" i="19"/>
  <c r="A2812" i="19"/>
  <c r="A2811" i="19"/>
  <c r="A2810" i="19"/>
  <c r="A2809" i="19"/>
  <c r="A2808" i="19"/>
  <c r="A2807" i="19"/>
  <c r="A2806" i="19"/>
  <c r="A2805" i="19"/>
  <c r="A2804" i="19"/>
  <c r="A2803" i="19"/>
  <c r="A2802" i="19"/>
  <c r="A2801" i="19"/>
  <c r="A2800" i="19"/>
  <c r="A2799" i="19"/>
  <c r="A2798" i="19"/>
  <c r="A2797" i="19"/>
  <c r="A2796" i="19"/>
  <c r="A2795" i="19"/>
  <c r="A2794" i="19"/>
  <c r="A2793" i="19"/>
  <c r="A2792" i="19"/>
  <c r="A2791" i="19"/>
  <c r="A2790" i="19"/>
  <c r="A2789" i="19"/>
  <c r="A2788" i="19"/>
  <c r="A2787" i="19"/>
  <c r="A2786" i="19"/>
  <c r="A2785" i="19"/>
  <c r="A2784" i="19"/>
  <c r="A2783" i="19"/>
  <c r="A2782" i="19"/>
  <c r="A2781" i="19"/>
  <c r="A2780" i="19"/>
  <c r="A2779" i="19"/>
  <c r="A2778" i="19"/>
  <c r="A2777" i="19"/>
  <c r="A2776" i="19"/>
  <c r="A2775" i="19"/>
  <c r="A2774" i="19"/>
  <c r="A2773" i="19"/>
  <c r="A2772" i="19"/>
  <c r="A2771" i="19"/>
  <c r="A2770" i="19"/>
  <c r="A2769" i="19"/>
  <c r="A2768" i="19"/>
  <c r="A2767" i="19"/>
  <c r="A2766" i="19"/>
  <c r="A2765" i="19"/>
  <c r="A2764" i="19"/>
  <c r="A2763" i="19"/>
  <c r="A2762" i="19"/>
  <c r="A2761" i="19"/>
  <c r="A2760" i="19"/>
  <c r="A2759" i="19"/>
  <c r="A2758" i="19"/>
  <c r="A2757" i="19"/>
  <c r="A2756" i="19"/>
  <c r="A2755" i="19"/>
  <c r="A2754" i="19"/>
  <c r="A2753" i="19"/>
  <c r="A2752" i="19"/>
  <c r="A2751" i="19"/>
  <c r="A2750" i="19"/>
  <c r="A2749" i="19"/>
  <c r="A2748" i="19"/>
  <c r="A2747" i="19"/>
  <c r="A2746" i="19"/>
  <c r="A2745" i="19"/>
  <c r="A2744" i="19"/>
  <c r="A2743" i="19"/>
  <c r="A2742" i="19"/>
  <c r="A2741" i="19"/>
  <c r="A2740" i="19"/>
  <c r="A2739" i="19"/>
  <c r="A2738" i="19"/>
  <c r="A2737" i="19"/>
  <c r="A2736" i="19"/>
  <c r="A2735" i="19"/>
  <c r="A2734" i="19"/>
  <c r="A2733" i="19"/>
  <c r="A2732" i="19"/>
  <c r="A2731" i="19"/>
  <c r="A2730" i="19"/>
  <c r="A2729" i="19"/>
  <c r="A2728" i="19"/>
  <c r="A2727" i="19"/>
  <c r="A2726" i="19"/>
  <c r="A2725" i="19"/>
  <c r="A2724" i="19"/>
  <c r="A2723" i="19"/>
  <c r="A2722" i="19"/>
  <c r="A2721" i="19"/>
  <c r="A2720" i="19"/>
  <c r="A2719" i="19"/>
  <c r="A2718" i="19"/>
  <c r="A2717" i="19"/>
  <c r="A2716" i="19"/>
  <c r="A2715" i="19"/>
  <c r="A2714" i="19"/>
  <c r="A2713" i="19"/>
  <c r="A2712" i="19"/>
  <c r="A2711" i="19"/>
  <c r="A2710" i="19"/>
  <c r="A2709" i="19"/>
  <c r="A2708" i="19"/>
  <c r="A2707" i="19"/>
  <c r="A2706" i="19"/>
  <c r="A2705" i="19"/>
  <c r="A2704" i="19"/>
  <c r="A2703" i="19"/>
  <c r="A2702" i="19"/>
  <c r="A2701" i="19"/>
  <c r="A2700" i="19"/>
  <c r="A2699" i="19"/>
  <c r="A2698" i="19"/>
  <c r="A2697" i="19"/>
  <c r="A2696" i="19"/>
  <c r="A2695" i="19"/>
  <c r="A2694" i="19"/>
  <c r="A2693" i="19"/>
  <c r="A2692" i="19"/>
  <c r="A2691" i="19"/>
  <c r="A2690" i="19"/>
  <c r="A2689" i="19"/>
  <c r="A2688" i="19"/>
  <c r="A2687" i="19"/>
  <c r="A2686" i="19"/>
  <c r="A2685" i="19"/>
  <c r="A2684" i="19"/>
  <c r="A2683" i="19"/>
  <c r="A2682" i="19"/>
  <c r="A2681" i="19"/>
  <c r="A2680" i="19"/>
  <c r="A2679" i="19"/>
  <c r="A2678" i="19"/>
  <c r="A2677" i="19"/>
  <c r="A2676" i="19"/>
  <c r="A2675" i="19"/>
  <c r="A2674" i="19"/>
  <c r="A2673" i="19"/>
  <c r="A2672" i="19"/>
  <c r="A2671" i="19"/>
  <c r="A2670" i="19"/>
  <c r="A2669" i="19"/>
  <c r="A2668" i="19"/>
  <c r="A2667" i="19"/>
  <c r="A2666" i="19"/>
  <c r="A2665" i="19"/>
  <c r="A2664" i="19"/>
  <c r="A2663" i="19"/>
  <c r="A2662" i="19"/>
  <c r="A2661" i="19"/>
  <c r="A2660" i="19"/>
  <c r="A2659" i="19"/>
  <c r="A2658" i="19"/>
  <c r="A2657" i="19"/>
  <c r="A2656" i="19"/>
  <c r="A2655" i="19"/>
  <c r="A2654" i="19"/>
  <c r="A2653" i="19"/>
  <c r="A2652" i="19"/>
  <c r="A2651" i="19"/>
  <c r="A2650" i="19"/>
  <c r="A2649" i="19"/>
  <c r="A2648" i="19"/>
  <c r="A2647" i="19"/>
  <c r="A2646" i="19"/>
  <c r="A2645" i="19"/>
  <c r="A2644" i="19"/>
  <c r="A2643" i="19"/>
  <c r="A2642" i="19"/>
  <c r="A2641" i="19"/>
  <c r="A2640" i="19"/>
  <c r="A2639" i="19"/>
  <c r="A2638" i="19"/>
  <c r="A2637" i="19"/>
  <c r="A2636" i="19"/>
  <c r="A2635" i="19"/>
  <c r="A2634" i="19"/>
  <c r="A2633" i="19"/>
  <c r="A2632" i="19"/>
  <c r="A2631" i="19"/>
  <c r="A2630" i="19"/>
  <c r="A2629" i="19"/>
  <c r="A2628" i="19"/>
  <c r="A2627" i="19"/>
  <c r="A2626" i="19"/>
  <c r="A2625" i="19"/>
  <c r="A2624" i="19"/>
  <c r="A2623" i="19"/>
  <c r="A2622" i="19"/>
  <c r="A2621" i="19"/>
  <c r="A2620" i="19"/>
  <c r="A2619" i="19"/>
  <c r="A2618" i="19"/>
  <c r="A2617" i="19"/>
  <c r="A2616" i="19"/>
  <c r="A2615" i="19"/>
  <c r="A2614" i="19"/>
  <c r="A2613" i="19"/>
  <c r="A2612" i="19"/>
  <c r="A2611" i="19"/>
  <c r="A2610" i="19"/>
  <c r="A2609" i="19"/>
  <c r="A2608" i="19"/>
  <c r="A2607" i="19"/>
  <c r="A2606" i="19"/>
  <c r="A2605" i="19"/>
  <c r="A2604" i="19"/>
  <c r="A2603" i="19"/>
  <c r="A2602" i="19"/>
  <c r="A2601" i="19"/>
  <c r="A2600" i="19"/>
  <c r="A2599" i="19"/>
  <c r="A2598" i="19"/>
  <c r="A2597" i="19"/>
  <c r="A2596" i="19"/>
  <c r="A2595" i="19"/>
  <c r="A2594" i="19"/>
  <c r="A2593" i="19"/>
  <c r="A2592" i="19"/>
  <c r="A2591" i="19"/>
  <c r="A2590" i="19"/>
  <c r="A2589" i="19"/>
  <c r="A2588" i="19"/>
  <c r="A2587" i="19"/>
  <c r="A2586" i="19"/>
  <c r="A2585" i="19"/>
  <c r="A2584" i="19"/>
  <c r="A2583" i="19"/>
  <c r="A2582" i="19"/>
  <c r="A2581" i="19"/>
  <c r="A2580" i="19"/>
  <c r="A2579" i="19"/>
  <c r="A2578" i="19"/>
  <c r="A2577" i="19"/>
  <c r="A2576" i="19"/>
  <c r="A2575" i="19"/>
  <c r="A2574" i="19"/>
  <c r="A2573" i="19"/>
  <c r="A2572" i="19"/>
  <c r="A2571" i="19"/>
  <c r="A2570" i="19"/>
  <c r="A2569" i="19"/>
  <c r="A2568" i="19"/>
  <c r="A2567" i="19"/>
  <c r="A2566" i="19"/>
  <c r="A2565" i="19"/>
  <c r="A2564" i="19"/>
  <c r="A2563" i="19"/>
  <c r="A2562" i="19"/>
  <c r="A2561" i="19"/>
  <c r="A2560" i="19"/>
  <c r="A2559" i="19"/>
  <c r="A2558" i="19"/>
  <c r="A2557" i="19"/>
  <c r="A2556" i="19"/>
  <c r="A2555" i="19"/>
  <c r="A2554" i="19"/>
  <c r="A2553" i="19"/>
  <c r="A2552" i="19"/>
  <c r="A2551" i="19"/>
  <c r="A2550" i="19"/>
  <c r="A2549" i="19"/>
  <c r="A2548" i="19"/>
  <c r="A2547" i="19"/>
  <c r="A2546" i="19"/>
  <c r="A2545" i="19"/>
  <c r="A2544" i="19"/>
  <c r="A2543" i="19"/>
  <c r="A2542" i="19"/>
  <c r="A2541" i="19"/>
  <c r="A2540" i="19"/>
  <c r="A2539" i="19"/>
  <c r="A2538" i="19"/>
  <c r="A2537" i="19"/>
  <c r="A2536" i="19"/>
  <c r="A2535" i="19"/>
  <c r="A2534" i="19"/>
  <c r="A2533" i="19"/>
  <c r="A2532" i="19"/>
  <c r="A2531" i="19"/>
  <c r="A2530" i="19"/>
  <c r="A2529" i="19"/>
  <c r="A2528" i="19"/>
  <c r="A2527" i="19"/>
  <c r="A2526" i="19"/>
  <c r="A2525" i="19"/>
  <c r="A2524" i="19"/>
  <c r="A2523" i="19"/>
  <c r="A2522" i="19"/>
  <c r="A2521" i="19"/>
  <c r="A2520" i="19"/>
  <c r="A2519" i="19"/>
  <c r="A2518" i="19"/>
  <c r="A2517" i="19"/>
  <c r="A2516" i="19"/>
  <c r="A2515" i="19"/>
  <c r="A2514" i="19"/>
  <c r="A2513" i="19"/>
  <c r="A2512" i="19"/>
  <c r="A2511" i="19"/>
  <c r="A2510" i="19"/>
  <c r="A2509" i="19"/>
  <c r="A2508" i="19"/>
  <c r="A2507" i="19"/>
  <c r="A2506" i="19"/>
  <c r="A2505" i="19"/>
  <c r="A2504" i="19"/>
  <c r="A2503" i="19"/>
  <c r="A2502" i="19"/>
  <c r="A2501" i="19"/>
  <c r="A2500" i="19"/>
  <c r="A2499" i="19"/>
  <c r="A2498" i="19"/>
  <c r="A2497" i="19"/>
  <c r="A2496" i="19"/>
  <c r="A2495" i="19"/>
  <c r="A2494" i="19"/>
  <c r="A2493" i="19"/>
  <c r="A2492" i="19"/>
  <c r="A2491" i="19"/>
  <c r="A2490" i="19"/>
  <c r="A2489" i="19"/>
  <c r="A2488" i="19"/>
  <c r="A2487" i="19"/>
  <c r="A2486" i="19"/>
  <c r="A2485" i="19"/>
  <c r="A2484" i="19"/>
  <c r="A2483" i="19"/>
  <c r="A2482" i="19"/>
  <c r="A2481" i="19"/>
  <c r="A2480" i="19"/>
  <c r="A2479" i="19"/>
  <c r="A2478" i="19"/>
  <c r="A2477" i="19"/>
  <c r="A2476" i="19"/>
  <c r="A2475" i="19"/>
  <c r="A2474" i="19"/>
  <c r="A2473" i="19"/>
  <c r="A2472" i="19"/>
  <c r="A2471" i="19"/>
  <c r="A2470" i="19"/>
  <c r="A2469" i="19"/>
  <c r="A2468" i="19"/>
  <c r="A2467" i="19"/>
  <c r="A2466" i="19"/>
  <c r="A2465" i="19"/>
  <c r="A2464" i="19"/>
  <c r="A2463" i="19"/>
  <c r="A2462" i="19"/>
  <c r="A2461" i="19"/>
  <c r="A2460" i="19"/>
  <c r="A2459" i="19"/>
  <c r="A2458" i="19"/>
  <c r="A2457" i="19"/>
  <c r="A2456" i="19"/>
  <c r="A2455" i="19"/>
  <c r="A2454" i="19"/>
  <c r="A2453" i="19"/>
  <c r="A2452" i="19"/>
  <c r="A2451" i="19"/>
  <c r="A2450" i="19"/>
  <c r="A2449" i="19"/>
  <c r="A2448" i="19"/>
  <c r="A2447" i="19"/>
  <c r="A2446" i="19"/>
  <c r="A2445" i="19"/>
  <c r="A2444" i="19"/>
  <c r="A2443" i="19"/>
  <c r="A2442" i="19"/>
  <c r="A2441" i="19"/>
  <c r="A2440" i="19"/>
  <c r="A2439" i="19"/>
  <c r="A2438" i="19"/>
  <c r="A2437" i="19"/>
  <c r="A2436" i="19"/>
  <c r="A2435" i="19"/>
  <c r="A2434" i="19"/>
  <c r="A2433" i="19"/>
  <c r="A2432" i="19"/>
  <c r="A2431" i="19"/>
  <c r="A2430" i="19"/>
  <c r="A2429" i="19"/>
  <c r="A2428" i="19"/>
  <c r="A2427" i="19"/>
  <c r="A2426" i="19"/>
  <c r="A2425" i="19"/>
  <c r="A2424" i="19"/>
  <c r="A2423" i="19"/>
  <c r="A2422" i="19"/>
  <c r="A2421" i="19"/>
  <c r="A2420" i="19"/>
  <c r="A2419" i="19"/>
  <c r="A2418" i="19"/>
  <c r="A2417" i="19"/>
  <c r="A2416" i="19"/>
  <c r="A2415" i="19"/>
  <c r="A2414" i="19"/>
  <c r="A2413" i="19"/>
  <c r="A2412" i="19"/>
  <c r="A2411" i="19"/>
  <c r="A2410" i="19"/>
  <c r="A2409" i="19"/>
  <c r="A2408" i="19"/>
  <c r="A2407" i="19"/>
  <c r="A2406" i="19"/>
  <c r="A2405" i="19"/>
  <c r="A2404" i="19"/>
  <c r="A2403" i="19"/>
  <c r="A2402" i="19"/>
  <c r="A2401" i="19"/>
  <c r="A2400" i="19"/>
  <c r="A2399" i="19"/>
  <c r="A2398" i="19"/>
  <c r="A2397" i="19"/>
  <c r="A2396" i="19"/>
  <c r="A2395" i="19"/>
  <c r="A2394" i="19"/>
  <c r="A2393" i="19"/>
  <c r="A2392" i="19"/>
  <c r="A2391" i="19"/>
  <c r="A2390" i="19"/>
  <c r="A2389" i="19"/>
  <c r="A2388" i="19"/>
  <c r="A2387" i="19"/>
  <c r="A2386" i="19"/>
  <c r="A2385" i="19"/>
  <c r="A2384" i="19"/>
  <c r="A2383" i="19"/>
  <c r="A2382" i="19"/>
  <c r="A2381" i="19"/>
  <c r="A2380" i="19"/>
  <c r="A2379" i="19"/>
  <c r="A2378" i="19"/>
  <c r="A2377" i="19"/>
  <c r="A2376" i="19"/>
  <c r="A2375" i="19"/>
  <c r="A2374" i="19"/>
  <c r="A2373" i="19"/>
  <c r="A2372" i="19"/>
  <c r="A2371" i="19"/>
  <c r="A2370" i="19"/>
  <c r="A2369" i="19"/>
  <c r="A2368" i="19"/>
  <c r="A2367" i="19"/>
  <c r="A2366" i="19"/>
  <c r="A2365" i="19"/>
  <c r="A2364" i="19"/>
  <c r="A2363" i="19"/>
  <c r="A2362" i="19"/>
  <c r="A2361" i="19"/>
  <c r="A2360" i="19"/>
  <c r="A2359" i="19"/>
  <c r="A2358" i="19"/>
  <c r="A2357" i="19"/>
  <c r="A2356" i="19"/>
  <c r="A2355" i="19"/>
  <c r="A2354" i="19"/>
  <c r="A2353" i="19"/>
  <c r="A2352" i="19"/>
  <c r="A2351" i="19"/>
  <c r="A2350" i="19"/>
  <c r="A2349" i="19"/>
  <c r="A2348" i="19"/>
  <c r="A2347" i="19"/>
  <c r="A2346" i="19"/>
  <c r="A2345" i="19"/>
  <c r="A2344" i="19"/>
  <c r="A2343" i="19"/>
  <c r="A2342" i="19"/>
  <c r="A2341" i="19"/>
  <c r="A2340" i="19"/>
  <c r="A2339" i="19"/>
  <c r="A2338" i="19"/>
  <c r="A2337" i="19"/>
  <c r="A2336" i="19"/>
  <c r="A2335" i="19"/>
  <c r="A2334" i="19"/>
  <c r="A2333" i="19"/>
  <c r="A2332" i="19"/>
  <c r="A2331" i="19"/>
  <c r="A2330" i="19"/>
  <c r="A2329" i="19"/>
  <c r="A2328" i="19"/>
  <c r="A2327" i="19"/>
  <c r="A2326" i="19"/>
  <c r="A2325" i="19"/>
  <c r="A2324" i="19"/>
  <c r="A2323" i="19"/>
  <c r="A2322" i="19"/>
  <c r="A2321" i="19"/>
  <c r="A2320" i="19"/>
  <c r="A2319" i="19"/>
  <c r="A2318" i="19"/>
  <c r="A2317" i="19"/>
  <c r="A2316" i="19"/>
  <c r="A2315" i="19"/>
  <c r="A2314" i="19"/>
  <c r="A2313" i="19"/>
  <c r="A2312" i="19"/>
  <c r="A2311" i="19"/>
  <c r="A2310" i="19"/>
  <c r="A2309" i="19"/>
  <c r="A2308" i="19"/>
  <c r="A2307" i="19"/>
  <c r="A2306" i="19"/>
  <c r="A2305" i="19"/>
  <c r="A2304" i="19"/>
  <c r="A2303" i="19"/>
  <c r="A2302" i="19"/>
  <c r="A2301" i="19"/>
  <c r="A2300" i="19"/>
  <c r="A2299" i="19"/>
  <c r="A2298" i="19"/>
  <c r="A2297" i="19"/>
  <c r="A2296" i="19"/>
  <c r="A2295" i="19"/>
  <c r="A2294" i="19"/>
  <c r="A2293" i="19"/>
  <c r="A2292" i="19"/>
  <c r="A2291" i="19"/>
  <c r="A2290" i="19"/>
  <c r="A2289" i="19"/>
  <c r="A2288" i="19"/>
  <c r="A2287" i="19"/>
  <c r="A2286" i="19"/>
  <c r="A2285" i="19"/>
  <c r="A2284" i="19"/>
  <c r="A2283" i="19"/>
  <c r="A2282" i="19"/>
  <c r="A2281" i="19"/>
  <c r="A2280" i="19"/>
  <c r="A2279" i="19"/>
  <c r="A2278" i="19"/>
  <c r="A2277" i="19"/>
  <c r="A2276" i="19"/>
  <c r="A2275" i="19"/>
  <c r="A2274" i="19"/>
  <c r="A2273" i="19"/>
  <c r="A2272" i="19"/>
  <c r="A2271" i="19"/>
  <c r="A2270" i="19"/>
  <c r="A2269" i="19"/>
  <c r="A2268" i="19"/>
  <c r="A2267" i="19"/>
  <c r="A2266" i="19"/>
  <c r="A2265" i="19"/>
  <c r="A2264" i="19"/>
  <c r="A2263" i="19"/>
  <c r="A2262" i="19"/>
  <c r="A2261" i="19"/>
  <c r="A2260" i="19"/>
  <c r="A2259" i="19"/>
  <c r="A2258" i="19"/>
  <c r="A2257" i="19"/>
  <c r="A2256" i="19"/>
  <c r="A2255" i="19"/>
  <c r="A2254" i="19"/>
  <c r="A2253" i="19"/>
  <c r="A2252" i="19"/>
  <c r="A2251" i="19"/>
  <c r="A2250" i="19"/>
  <c r="A2249" i="19"/>
  <c r="A2248" i="19"/>
  <c r="A2247" i="19"/>
  <c r="A2246" i="19"/>
  <c r="A2245" i="19"/>
  <c r="A2244" i="19"/>
  <c r="A2243" i="19"/>
  <c r="A2242" i="19"/>
  <c r="A2241" i="19"/>
  <c r="A2240" i="19"/>
  <c r="A2239" i="19"/>
  <c r="A2238" i="19"/>
  <c r="A2237" i="19"/>
  <c r="A2236" i="19"/>
  <c r="A2235" i="19"/>
  <c r="A2234" i="19"/>
  <c r="A2233" i="19"/>
  <c r="A2232" i="19"/>
  <c r="A2231" i="19"/>
  <c r="A2230" i="19"/>
  <c r="A2229" i="19"/>
  <c r="A2228" i="19"/>
  <c r="A2227" i="19"/>
  <c r="A2226" i="19"/>
  <c r="A2225" i="19"/>
  <c r="A2224" i="19"/>
  <c r="A2223" i="19"/>
  <c r="A2222" i="19"/>
  <c r="A2221" i="19"/>
  <c r="A2220" i="19"/>
  <c r="A2219" i="19"/>
  <c r="A2218" i="19"/>
  <c r="A2217" i="19"/>
  <c r="A2216" i="19"/>
  <c r="A2215" i="19"/>
  <c r="A2214" i="19"/>
  <c r="A2213" i="19"/>
  <c r="A2212" i="19"/>
  <c r="A2211" i="19"/>
  <c r="A2210" i="19"/>
  <c r="A2209" i="19"/>
  <c r="A2208" i="19"/>
  <c r="A2207" i="19"/>
  <c r="A2206" i="19"/>
  <c r="A2205" i="19"/>
  <c r="A2204" i="19"/>
  <c r="A2203" i="19"/>
  <c r="A2202" i="19"/>
  <c r="A2201" i="19"/>
  <c r="A2200" i="19"/>
  <c r="A2199" i="19"/>
  <c r="A2198" i="19"/>
  <c r="A2197" i="19"/>
  <c r="A2196" i="19"/>
  <c r="A2195" i="19"/>
  <c r="A2194" i="19"/>
  <c r="A2193" i="19"/>
  <c r="A2192" i="19"/>
  <c r="A2191" i="19"/>
  <c r="A2190" i="19"/>
  <c r="A2189" i="19"/>
  <c r="A2188" i="19"/>
  <c r="A2187" i="19"/>
  <c r="A2186" i="19"/>
  <c r="A2185" i="19"/>
  <c r="A2184" i="19"/>
  <c r="A2183" i="19"/>
  <c r="A2182" i="19"/>
  <c r="A2181" i="19"/>
  <c r="A2180" i="19"/>
  <c r="A2179" i="19"/>
  <c r="A2178" i="19"/>
  <c r="A2177" i="19"/>
  <c r="A2176" i="19"/>
  <c r="A2175" i="19"/>
  <c r="A2174" i="19"/>
  <c r="A2173" i="19"/>
  <c r="A2172" i="19"/>
  <c r="A2171" i="19"/>
  <c r="A2170" i="19"/>
  <c r="A2169" i="19"/>
  <c r="A2168" i="19"/>
  <c r="A2167" i="19"/>
  <c r="A2166" i="19"/>
  <c r="A2165" i="19"/>
  <c r="A2164" i="19"/>
  <c r="A2163" i="19"/>
  <c r="A2162" i="19"/>
  <c r="A2161" i="19"/>
  <c r="A2160" i="19"/>
  <c r="A2159" i="19"/>
  <c r="A2158" i="19"/>
  <c r="A2157" i="19"/>
  <c r="A2156" i="19"/>
  <c r="A2155" i="19"/>
  <c r="A2154" i="19"/>
  <c r="A2153" i="19"/>
  <c r="A2152" i="19"/>
  <c r="A2151" i="19"/>
  <c r="A2150" i="19"/>
  <c r="A2149" i="19"/>
  <c r="A2148" i="19"/>
  <c r="A2147" i="19"/>
  <c r="A2146" i="19"/>
  <c r="A2145" i="19"/>
  <c r="A2144" i="19"/>
  <c r="A2143" i="19"/>
  <c r="A2142" i="19"/>
  <c r="A2141" i="19"/>
  <c r="A2140" i="19"/>
  <c r="A2139" i="19"/>
  <c r="A2138" i="19"/>
  <c r="A2137" i="19"/>
  <c r="A2136" i="19"/>
  <c r="A2135" i="19"/>
  <c r="A2134" i="19"/>
  <c r="A2133" i="19"/>
  <c r="A2132" i="19"/>
  <c r="A2131" i="19"/>
  <c r="A2130" i="19"/>
  <c r="A2129" i="19"/>
  <c r="A2128" i="19"/>
  <c r="A2127" i="19"/>
  <c r="A2126" i="19"/>
  <c r="A2125" i="19"/>
  <c r="A2124" i="19"/>
  <c r="A2123" i="19"/>
  <c r="A2122" i="19"/>
  <c r="A2121" i="19"/>
  <c r="A2120" i="19"/>
  <c r="A2119" i="19"/>
  <c r="A2118" i="19"/>
  <c r="A2117" i="19"/>
  <c r="A2116" i="19"/>
  <c r="A2115" i="19"/>
  <c r="A2114" i="19"/>
  <c r="A2113" i="19"/>
  <c r="A2112" i="19"/>
  <c r="A2111" i="19"/>
  <c r="A2110" i="19"/>
  <c r="A2109" i="19"/>
  <c r="A2108" i="19"/>
  <c r="A2107" i="19"/>
  <c r="A2106" i="19"/>
  <c r="A2105" i="19"/>
  <c r="A2104" i="19"/>
  <c r="A2103" i="19"/>
  <c r="A2102" i="19"/>
  <c r="A2101" i="19"/>
  <c r="A2100" i="19"/>
  <c r="A2099" i="19"/>
  <c r="A2098" i="19"/>
  <c r="A2097" i="19"/>
  <c r="A2096" i="19"/>
  <c r="A2095" i="19"/>
  <c r="A2094" i="19"/>
  <c r="A2093" i="19"/>
  <c r="A2092" i="19"/>
  <c r="A2091" i="19"/>
  <c r="A2090" i="19"/>
  <c r="A2089" i="19"/>
  <c r="A2088" i="19"/>
  <c r="A2087" i="19"/>
  <c r="A2086" i="19"/>
  <c r="A2085" i="19"/>
  <c r="A2084" i="19"/>
  <c r="A2083" i="19"/>
  <c r="A2082" i="19"/>
  <c r="A2081" i="19"/>
  <c r="A2080" i="19"/>
  <c r="A2079" i="19"/>
  <c r="A2078" i="19"/>
  <c r="A2077" i="19"/>
  <c r="A2076" i="19"/>
  <c r="A2075" i="19"/>
  <c r="A2074" i="19"/>
  <c r="A2073" i="19"/>
  <c r="A2072" i="19"/>
  <c r="A2071" i="19"/>
  <c r="A2070" i="19"/>
  <c r="A2069" i="19"/>
  <c r="A2068" i="19"/>
  <c r="A2067" i="19"/>
  <c r="A2066" i="19"/>
  <c r="A2065" i="19"/>
  <c r="A2064" i="19"/>
  <c r="A2063" i="19"/>
  <c r="A2062" i="19"/>
  <c r="A2061" i="19"/>
  <c r="A2060" i="19"/>
  <c r="A2059" i="19"/>
  <c r="A2058" i="19"/>
  <c r="A2057" i="19"/>
  <c r="A2056" i="19"/>
  <c r="A2055" i="19"/>
  <c r="A2054" i="19"/>
  <c r="A2053" i="19"/>
  <c r="A2052" i="19"/>
  <c r="A2051" i="19"/>
  <c r="A2050" i="19"/>
  <c r="A2049" i="19"/>
  <c r="A2048" i="19"/>
  <c r="A2047" i="19"/>
  <c r="A2046" i="19"/>
  <c r="A2045" i="19"/>
  <c r="A2044" i="19"/>
  <c r="A2043" i="19"/>
  <c r="A2042" i="19"/>
  <c r="A2041" i="19"/>
  <c r="A2040" i="19"/>
  <c r="A2039" i="19"/>
  <c r="A2038" i="19"/>
  <c r="A2037" i="19"/>
  <c r="A2036" i="19"/>
  <c r="A2035" i="19"/>
  <c r="A2034" i="19"/>
  <c r="A2033" i="19"/>
  <c r="A2032" i="19"/>
  <c r="A2031" i="19"/>
  <c r="A2030" i="19"/>
  <c r="A2029" i="19"/>
  <c r="A2028" i="19"/>
  <c r="A2027" i="19"/>
  <c r="A2026" i="19"/>
  <c r="A2025" i="19"/>
  <c r="A2024" i="19"/>
  <c r="A2023" i="19"/>
  <c r="A2022" i="19"/>
  <c r="A2021" i="19"/>
  <c r="A2020" i="19"/>
  <c r="A2019" i="19"/>
  <c r="A2018" i="19"/>
  <c r="A2017" i="19"/>
  <c r="A2016" i="19"/>
  <c r="A2015" i="19"/>
  <c r="A2014" i="19"/>
  <c r="A2013" i="19"/>
  <c r="A2012" i="19"/>
  <c r="A2011" i="19"/>
  <c r="A2010" i="19"/>
  <c r="A2009" i="19"/>
  <c r="A2008" i="19"/>
  <c r="A2007" i="19"/>
  <c r="A2006" i="19"/>
  <c r="A2005" i="19"/>
  <c r="A2004" i="19"/>
  <c r="A2003" i="19"/>
  <c r="A2002" i="19"/>
  <c r="A2001" i="19"/>
  <c r="A2000" i="19"/>
  <c r="A1999" i="19"/>
  <c r="A1998" i="19"/>
  <c r="A1997" i="19"/>
  <c r="A1996" i="19"/>
  <c r="A1995" i="19"/>
  <c r="A1994" i="19"/>
  <c r="A1993" i="19"/>
  <c r="A1992" i="19"/>
  <c r="A1991" i="19"/>
  <c r="A1990" i="19"/>
  <c r="A1989" i="19"/>
  <c r="A1988" i="19"/>
  <c r="A1987" i="19"/>
  <c r="A1986" i="19"/>
  <c r="A1985" i="19"/>
  <c r="A1984" i="19"/>
  <c r="A1983" i="19"/>
  <c r="A1982" i="19"/>
  <c r="A1981" i="19"/>
  <c r="A1980" i="19"/>
  <c r="A1979" i="19"/>
  <c r="A1978" i="19"/>
  <c r="A1977" i="19"/>
  <c r="A1976" i="19"/>
  <c r="A1975" i="19"/>
  <c r="A1974" i="19"/>
  <c r="A1973" i="19"/>
  <c r="A1972" i="19"/>
  <c r="A1971" i="19"/>
  <c r="A1970" i="19"/>
  <c r="A1969" i="19"/>
  <c r="A1968" i="19"/>
  <c r="A1967" i="19"/>
  <c r="A1966" i="19"/>
  <c r="A1965" i="19"/>
  <c r="A1964" i="19"/>
  <c r="A1963" i="19"/>
  <c r="A1962" i="19"/>
  <c r="A1961" i="19"/>
  <c r="A1960" i="19"/>
  <c r="A1959" i="19"/>
  <c r="A1958" i="19"/>
  <c r="A1957" i="19"/>
  <c r="A1956" i="19"/>
  <c r="A1955" i="19"/>
  <c r="A1954" i="19"/>
  <c r="A1953" i="19"/>
  <c r="A1952" i="19"/>
  <c r="A1951" i="19"/>
  <c r="A1950" i="19"/>
  <c r="A1949" i="19"/>
  <c r="A1948" i="19"/>
  <c r="A1947" i="19"/>
  <c r="A1946" i="19"/>
  <c r="A1945" i="19"/>
  <c r="A1944" i="19"/>
  <c r="A1943" i="19"/>
  <c r="A1942" i="19"/>
  <c r="A1941" i="19"/>
  <c r="A1940" i="19"/>
  <c r="A1939" i="19"/>
  <c r="A1938" i="19"/>
  <c r="A1937" i="19"/>
  <c r="A1936" i="19"/>
  <c r="A1935" i="19"/>
  <c r="A1934" i="19"/>
  <c r="A1933" i="19"/>
  <c r="A1932" i="19"/>
  <c r="A1931" i="19"/>
  <c r="A1930" i="19"/>
  <c r="A1929" i="19"/>
  <c r="A1928" i="19"/>
  <c r="A1927" i="19"/>
  <c r="A1926" i="19"/>
  <c r="A1925" i="19"/>
  <c r="A1924" i="19"/>
  <c r="A1923" i="19"/>
  <c r="A1922" i="19"/>
  <c r="A1921" i="19"/>
  <c r="A1920" i="19"/>
  <c r="A1919" i="19"/>
  <c r="A1918" i="19"/>
  <c r="A1917" i="19"/>
  <c r="A1916" i="19"/>
  <c r="A1915" i="19"/>
  <c r="A1914" i="19"/>
  <c r="A1913" i="19"/>
  <c r="A1912" i="19"/>
  <c r="A1911" i="19"/>
  <c r="A1910" i="19"/>
  <c r="A1909" i="19"/>
  <c r="A1908" i="19"/>
  <c r="A1907" i="19"/>
  <c r="A1906" i="19"/>
  <c r="A1905" i="19"/>
  <c r="A1904" i="19"/>
  <c r="A1903" i="19"/>
  <c r="A1902" i="19"/>
  <c r="A1901" i="19"/>
  <c r="A1900" i="19"/>
  <c r="A1899" i="19"/>
  <c r="A1898" i="19"/>
  <c r="A1897" i="19"/>
  <c r="A1896" i="19"/>
  <c r="A1895" i="19"/>
  <c r="A1894" i="19"/>
  <c r="A1893" i="19"/>
  <c r="A1892" i="19"/>
  <c r="A1891" i="19"/>
  <c r="A1890" i="19"/>
  <c r="A1889" i="19"/>
  <c r="A1888" i="19"/>
  <c r="A1887" i="19"/>
  <c r="A1886" i="19"/>
  <c r="A1885" i="19"/>
  <c r="A1884" i="19"/>
  <c r="A1883" i="19"/>
  <c r="A1882" i="19"/>
  <c r="A1881" i="19"/>
  <c r="A1880" i="19"/>
  <c r="A1879" i="19"/>
  <c r="A1878" i="19"/>
  <c r="A1877" i="19"/>
  <c r="A1876" i="19"/>
  <c r="A1875" i="19"/>
  <c r="A1874" i="19"/>
  <c r="A1873" i="19"/>
  <c r="A1872" i="19"/>
  <c r="A1871" i="19"/>
  <c r="A1870" i="19"/>
  <c r="A1869" i="19"/>
  <c r="A1868" i="19"/>
  <c r="A1867" i="19"/>
  <c r="A1866" i="19"/>
  <c r="A1865" i="19"/>
  <c r="A1864" i="19"/>
  <c r="A1863" i="19"/>
  <c r="A1862" i="19"/>
  <c r="A1861" i="19"/>
  <c r="A1860" i="19"/>
  <c r="A1859" i="19"/>
  <c r="A1858" i="19"/>
  <c r="A1857" i="19"/>
  <c r="A1856" i="19"/>
  <c r="A1855" i="19"/>
  <c r="A1854" i="19"/>
  <c r="A1853" i="19"/>
  <c r="A1852" i="19"/>
  <c r="A1851" i="19"/>
  <c r="A1850" i="19"/>
  <c r="A1849" i="19"/>
  <c r="A1848" i="19"/>
  <c r="A1847" i="19"/>
  <c r="A1846" i="19"/>
  <c r="A1845" i="19"/>
  <c r="A1844" i="19"/>
  <c r="A1843" i="19"/>
  <c r="A1842" i="19"/>
  <c r="A1841" i="19"/>
  <c r="A1840" i="19"/>
  <c r="A1839" i="19"/>
  <c r="A1838" i="19"/>
  <c r="A1837" i="19"/>
  <c r="A1836" i="19"/>
  <c r="A1835" i="19"/>
  <c r="A1834" i="19"/>
  <c r="A1833" i="19"/>
  <c r="A1832" i="19"/>
  <c r="A1831" i="19"/>
  <c r="A1830" i="19"/>
  <c r="A1829" i="19"/>
  <c r="A1828" i="19"/>
  <c r="A1827" i="19"/>
  <c r="A1826" i="19"/>
  <c r="A1825" i="19"/>
  <c r="A1824" i="19"/>
  <c r="A1823" i="19"/>
  <c r="A1822" i="19"/>
  <c r="A1821" i="19"/>
  <c r="A1820" i="19"/>
  <c r="A1819" i="19"/>
  <c r="A1818" i="19"/>
  <c r="A1817" i="19"/>
  <c r="A1816" i="19"/>
  <c r="A1815" i="19"/>
  <c r="A1814" i="19"/>
  <c r="A1813" i="19"/>
  <c r="A1812" i="19"/>
  <c r="A1811" i="19"/>
  <c r="A1810" i="19"/>
  <c r="A1809" i="19"/>
  <c r="A1808" i="19"/>
  <c r="A1807" i="19"/>
  <c r="A1806" i="19"/>
  <c r="A1805" i="19"/>
  <c r="A1804" i="19"/>
  <c r="A1803" i="19"/>
  <c r="A1802" i="19"/>
  <c r="A1801" i="19"/>
  <c r="A1800" i="19"/>
  <c r="A1799" i="19"/>
  <c r="A1798" i="19"/>
  <c r="A1797" i="19"/>
  <c r="A1796" i="19"/>
  <c r="A1795" i="19"/>
  <c r="A1794" i="19"/>
  <c r="A1793" i="19"/>
  <c r="A1792" i="19"/>
  <c r="A1791" i="19"/>
  <c r="A1790" i="19"/>
  <c r="A1789" i="19"/>
  <c r="A1788" i="19"/>
  <c r="A1787" i="19"/>
  <c r="A1786" i="19"/>
  <c r="A1785" i="19"/>
  <c r="A1784" i="19"/>
  <c r="A1783" i="19"/>
  <c r="A1782" i="19"/>
  <c r="A1781" i="19"/>
  <c r="A1780" i="19"/>
  <c r="A1779" i="19"/>
  <c r="A1778" i="19"/>
  <c r="A1777" i="19"/>
  <c r="A1776" i="19"/>
  <c r="A1775" i="19"/>
  <c r="A1774" i="19"/>
  <c r="A1773" i="19"/>
  <c r="A1772" i="19"/>
  <c r="A1771" i="19"/>
  <c r="A1770" i="19"/>
  <c r="A1769" i="19"/>
  <c r="A1768" i="19"/>
  <c r="A1767" i="19"/>
  <c r="A1766" i="19"/>
  <c r="A1765" i="19"/>
  <c r="A1764" i="19"/>
  <c r="A1763" i="19"/>
  <c r="A1762" i="19"/>
  <c r="A1761" i="19"/>
  <c r="A1760" i="19"/>
  <c r="A1759" i="19"/>
  <c r="A1758" i="19"/>
  <c r="A1757" i="19"/>
  <c r="A1756" i="19"/>
  <c r="A1755" i="19"/>
  <c r="A1754" i="19"/>
  <c r="A1753" i="19"/>
  <c r="A1752" i="19"/>
  <c r="A1751" i="19"/>
  <c r="A1750" i="19"/>
  <c r="A1749" i="19"/>
  <c r="A1748" i="19"/>
  <c r="A1747" i="19"/>
  <c r="A1746" i="19"/>
  <c r="A1745" i="19"/>
  <c r="A1744" i="19"/>
  <c r="A1743" i="19"/>
  <c r="A1742" i="19"/>
  <c r="A1741" i="19"/>
  <c r="A1740" i="19"/>
  <c r="A1739" i="19"/>
  <c r="A1738" i="19"/>
  <c r="A1737" i="19"/>
  <c r="A1736" i="19"/>
  <c r="A1735" i="19"/>
  <c r="A1734" i="19"/>
  <c r="A1733" i="19"/>
  <c r="A1732" i="19"/>
  <c r="A1731" i="19"/>
  <c r="A1730" i="19"/>
  <c r="A1729" i="19"/>
  <c r="A1728" i="19"/>
  <c r="A1727" i="19"/>
  <c r="A1726" i="19"/>
  <c r="A1725" i="19"/>
  <c r="A1724" i="19"/>
  <c r="A1723" i="19"/>
  <c r="A1722" i="19"/>
  <c r="A1721" i="19"/>
  <c r="A1720" i="19"/>
  <c r="A1719" i="19"/>
  <c r="A1718" i="19"/>
  <c r="A1717" i="19"/>
  <c r="A1716" i="19"/>
  <c r="A1715" i="19"/>
  <c r="A1714" i="19"/>
  <c r="A1713" i="19"/>
  <c r="A1712" i="19"/>
  <c r="A1711" i="19"/>
  <c r="A1710" i="19"/>
  <c r="A1709" i="19"/>
  <c r="A1708" i="19"/>
  <c r="A1707" i="19"/>
  <c r="A1706" i="19"/>
  <c r="A1705" i="19"/>
  <c r="A1704" i="19"/>
  <c r="A1703" i="19"/>
  <c r="A1702" i="19"/>
  <c r="A1701" i="19"/>
  <c r="A1700" i="19"/>
  <c r="A1699" i="19"/>
  <c r="A1698" i="19"/>
  <c r="A1697" i="19"/>
  <c r="A1696" i="19"/>
  <c r="A1695" i="19"/>
  <c r="A1694" i="19"/>
  <c r="A1693" i="19"/>
  <c r="A1692" i="19"/>
  <c r="A1691" i="19"/>
  <c r="A1690" i="19"/>
  <c r="A1689" i="19"/>
  <c r="A1688" i="19"/>
  <c r="A1687" i="19"/>
  <c r="A1686" i="19"/>
  <c r="A1685" i="19"/>
  <c r="A1684" i="19"/>
  <c r="A1683" i="19"/>
  <c r="A1682" i="19"/>
  <c r="A1681" i="19"/>
  <c r="A1680" i="19"/>
  <c r="A1679" i="19"/>
  <c r="A1678" i="19"/>
  <c r="A1677" i="19"/>
  <c r="A1676" i="19"/>
  <c r="A1675" i="19"/>
  <c r="A1674" i="19"/>
  <c r="A1673" i="19"/>
  <c r="A1672" i="19"/>
  <c r="A1671" i="19"/>
  <c r="A1670" i="19"/>
  <c r="A1669" i="19"/>
  <c r="A1668" i="19"/>
  <c r="A1667" i="19"/>
  <c r="A1666" i="19"/>
  <c r="A1665" i="19"/>
  <c r="A1664" i="19"/>
  <c r="A1663" i="19"/>
  <c r="A1662" i="19"/>
  <c r="A1661" i="19"/>
  <c r="A1660" i="19"/>
  <c r="A1659" i="19"/>
  <c r="A1658" i="19"/>
  <c r="A1657" i="19"/>
  <c r="A1656" i="19"/>
  <c r="A1655" i="19"/>
  <c r="A1654" i="19"/>
  <c r="A1653" i="19"/>
  <c r="A1652" i="19"/>
  <c r="A1651" i="19"/>
  <c r="A1650" i="19"/>
  <c r="A1649" i="19"/>
  <c r="A1648" i="19"/>
  <c r="A1647" i="19"/>
  <c r="A1646" i="19"/>
  <c r="A1645" i="19"/>
  <c r="A1644" i="19"/>
  <c r="A1643" i="19"/>
  <c r="A1642" i="19"/>
  <c r="A1641" i="19"/>
  <c r="A1640" i="19"/>
  <c r="A1639" i="19"/>
  <c r="A1638" i="19"/>
  <c r="A1637" i="19"/>
  <c r="A1636" i="19"/>
  <c r="A1635" i="19"/>
  <c r="A1634" i="19"/>
  <c r="A1633" i="19"/>
  <c r="A1632" i="19"/>
  <c r="A1631" i="19"/>
  <c r="A1630" i="19"/>
  <c r="A1629" i="19"/>
  <c r="A1628" i="19"/>
  <c r="A1627" i="19"/>
  <c r="A1626" i="19"/>
  <c r="A1625" i="19"/>
  <c r="A1624" i="19"/>
  <c r="A1623" i="19"/>
  <c r="A1622" i="19"/>
  <c r="A1621" i="19"/>
  <c r="A1620" i="19"/>
  <c r="A1619" i="19"/>
  <c r="A1618" i="19"/>
  <c r="A1617" i="19"/>
  <c r="A1616" i="19"/>
  <c r="A1615" i="19"/>
  <c r="A1614" i="19"/>
  <c r="A1613" i="19"/>
  <c r="A1612" i="19"/>
  <c r="A1611" i="19"/>
  <c r="A1610" i="19"/>
  <c r="A1609" i="19"/>
  <c r="A1608" i="19"/>
  <c r="A1607" i="19"/>
  <c r="A1606" i="19"/>
  <c r="A1605" i="19"/>
  <c r="A1604" i="19"/>
  <c r="A1603" i="19"/>
  <c r="A1602" i="19"/>
  <c r="A1601" i="19"/>
  <c r="A1600" i="19"/>
  <c r="A1599" i="19"/>
  <c r="A1598" i="19"/>
  <c r="A1597" i="19"/>
  <c r="A1596" i="19"/>
  <c r="A1595" i="19"/>
  <c r="A1594" i="19"/>
  <c r="A1593" i="19"/>
  <c r="A1592" i="19"/>
  <c r="A1591" i="19"/>
  <c r="A1590" i="19"/>
  <c r="A1589" i="19"/>
  <c r="A1588" i="19"/>
  <c r="A1587" i="19"/>
  <c r="A1586" i="19"/>
  <c r="A1585" i="19"/>
  <c r="A1584" i="19"/>
  <c r="A1583" i="19"/>
  <c r="A1582" i="19"/>
  <c r="A1581" i="19"/>
  <c r="A1580" i="19"/>
  <c r="A1579" i="19"/>
  <c r="A1578" i="19"/>
  <c r="A1577" i="19"/>
  <c r="A1576" i="19"/>
  <c r="A1575" i="19"/>
  <c r="A1574" i="19"/>
  <c r="A1573" i="19"/>
  <c r="A1572" i="19"/>
  <c r="A1571" i="19"/>
  <c r="A1570" i="19"/>
  <c r="A1569" i="19"/>
  <c r="A1568" i="19"/>
  <c r="A1567" i="19"/>
  <c r="A1566" i="19"/>
  <c r="A1565" i="19"/>
  <c r="A1564" i="19"/>
  <c r="A1563" i="19"/>
  <c r="A1562" i="19"/>
  <c r="A1561" i="19"/>
  <c r="A1560" i="19"/>
  <c r="A1559" i="19"/>
  <c r="A1558" i="19"/>
  <c r="A1557" i="19"/>
  <c r="A1556" i="19"/>
  <c r="A1555" i="19"/>
  <c r="A1554" i="19"/>
  <c r="A1553" i="19"/>
  <c r="A1552" i="19"/>
  <c r="A1551" i="19"/>
  <c r="A1550" i="19"/>
  <c r="A1549" i="19"/>
  <c r="A1548" i="19"/>
  <c r="A1547" i="19"/>
  <c r="A1546" i="19"/>
  <c r="A1545" i="19"/>
  <c r="A1544" i="19"/>
  <c r="A1543" i="19"/>
  <c r="A1542" i="19"/>
  <c r="A1541" i="19"/>
  <c r="A1540" i="19"/>
  <c r="A1539" i="19"/>
  <c r="A1538" i="19"/>
  <c r="A1537" i="19"/>
  <c r="A1536" i="19"/>
  <c r="A1535" i="19"/>
  <c r="A1534" i="19"/>
  <c r="A1533" i="19"/>
  <c r="A1532" i="19"/>
  <c r="A1531" i="19"/>
  <c r="A1530" i="19"/>
  <c r="A1529" i="19"/>
  <c r="A1528" i="19"/>
  <c r="A1527" i="19"/>
  <c r="A1526" i="19"/>
  <c r="A1525" i="19"/>
  <c r="A1524" i="19"/>
  <c r="A1523" i="19"/>
  <c r="A1522" i="19"/>
  <c r="A1521" i="19"/>
  <c r="A1520" i="19"/>
  <c r="A1519" i="19"/>
  <c r="A1518" i="19"/>
  <c r="A1517" i="19"/>
  <c r="A1516" i="19"/>
  <c r="A1515" i="19"/>
  <c r="A1514" i="19"/>
  <c r="A1513" i="19"/>
  <c r="A1512" i="19"/>
  <c r="A1511" i="19"/>
  <c r="A1510" i="19"/>
  <c r="A1509" i="19"/>
  <c r="A1508" i="19"/>
  <c r="A1507" i="19"/>
  <c r="A1506" i="19"/>
  <c r="A1505" i="19"/>
  <c r="A1504" i="19"/>
  <c r="A1503" i="19"/>
  <c r="A1502" i="19"/>
  <c r="A1501" i="19"/>
  <c r="A1500" i="19"/>
  <c r="A1499" i="19"/>
  <c r="A1498" i="19"/>
  <c r="A1497" i="19"/>
  <c r="A1496" i="19"/>
  <c r="A1495" i="19"/>
  <c r="A1494" i="19"/>
  <c r="A1493" i="19"/>
  <c r="A1492" i="19"/>
  <c r="A1491" i="19"/>
  <c r="A1490" i="19"/>
  <c r="A1489" i="19"/>
  <c r="A1488" i="19"/>
  <c r="A1487" i="19"/>
  <c r="A1486" i="19"/>
  <c r="A1485" i="19"/>
  <c r="A1484" i="19"/>
  <c r="A1483" i="19"/>
  <c r="A1482" i="19"/>
  <c r="A1481" i="19"/>
  <c r="A1480" i="19"/>
  <c r="A1479" i="19"/>
  <c r="A1478" i="19"/>
  <c r="A1477" i="19"/>
  <c r="A1476" i="19"/>
  <c r="A1475" i="19"/>
  <c r="A1474" i="19"/>
  <c r="A1473" i="19"/>
  <c r="A1472" i="19"/>
  <c r="A1471" i="19"/>
  <c r="A1470" i="19"/>
  <c r="A1469" i="19"/>
  <c r="A1468" i="19"/>
  <c r="A1467" i="19"/>
  <c r="A1466" i="19"/>
  <c r="A1465" i="19"/>
  <c r="A1464" i="19"/>
  <c r="A1463" i="19"/>
  <c r="A1462" i="19"/>
  <c r="A1461" i="19"/>
  <c r="A1460" i="19"/>
  <c r="A1459" i="19"/>
  <c r="A1458" i="19"/>
  <c r="A1457" i="19"/>
  <c r="A1456" i="19"/>
  <c r="A1455" i="19"/>
  <c r="A1454" i="19"/>
  <c r="A1453" i="19"/>
  <c r="A1452" i="19"/>
  <c r="A1451" i="19"/>
  <c r="A1450" i="19"/>
  <c r="A1449" i="19"/>
  <c r="A1448" i="19"/>
  <c r="A1447" i="19"/>
  <c r="A1446" i="19"/>
  <c r="A1445" i="19"/>
  <c r="A1444" i="19"/>
  <c r="A1443" i="19"/>
  <c r="A1442" i="19"/>
  <c r="A1441" i="19"/>
  <c r="A1440" i="19"/>
  <c r="A1439" i="19"/>
  <c r="A1438" i="19"/>
  <c r="A1437" i="19"/>
  <c r="A1436" i="19"/>
  <c r="A1435" i="19"/>
  <c r="A1434" i="19"/>
  <c r="A1433" i="19"/>
  <c r="A1432" i="19"/>
  <c r="A1431" i="19"/>
  <c r="A1430" i="19"/>
  <c r="A1429" i="19"/>
  <c r="A1428" i="19"/>
  <c r="A1427" i="19"/>
  <c r="A1426" i="19"/>
  <c r="A1425" i="19"/>
  <c r="A1424" i="19"/>
  <c r="A1423" i="19"/>
  <c r="A1422" i="19"/>
  <c r="A1421" i="19"/>
  <c r="A1420" i="19"/>
  <c r="A1419" i="19"/>
  <c r="A1418" i="19"/>
  <c r="A1417" i="19"/>
  <c r="A1416" i="19"/>
  <c r="A1415" i="19"/>
  <c r="A1414" i="19"/>
  <c r="A1413" i="19"/>
  <c r="A1412" i="19"/>
  <c r="A1411" i="19"/>
  <c r="A1410" i="19"/>
  <c r="A1409" i="19"/>
  <c r="A1408" i="19"/>
  <c r="A1407" i="19"/>
  <c r="A1406" i="19"/>
  <c r="A1405" i="19"/>
  <c r="A1404" i="19"/>
  <c r="A1403" i="19"/>
  <c r="A1402" i="19"/>
  <c r="A1401" i="19"/>
  <c r="A1400" i="19"/>
  <c r="A1399" i="19"/>
  <c r="A1398" i="19"/>
  <c r="A1397" i="19"/>
  <c r="A1396" i="19"/>
  <c r="A1395" i="19"/>
  <c r="A1394" i="19"/>
  <c r="A1393" i="19"/>
  <c r="A1392" i="19"/>
  <c r="A1391" i="19"/>
  <c r="A1390" i="19"/>
  <c r="A1389" i="19"/>
  <c r="A1388" i="19"/>
  <c r="A1387" i="19"/>
  <c r="A1386" i="19"/>
  <c r="A1385" i="19"/>
  <c r="A1384" i="19"/>
  <c r="A1383" i="19"/>
  <c r="A1382" i="19"/>
  <c r="A1381" i="19"/>
  <c r="A1380" i="19"/>
  <c r="A1379" i="19"/>
  <c r="A1378" i="19"/>
  <c r="A1377" i="19"/>
  <c r="A1376" i="19"/>
  <c r="A1375" i="19"/>
  <c r="A1374" i="19"/>
  <c r="A1373" i="19"/>
  <c r="A1372" i="19"/>
  <c r="A1371" i="19"/>
  <c r="A1370" i="19"/>
  <c r="A1369" i="19"/>
  <c r="A1368" i="19"/>
  <c r="A1367" i="19"/>
  <c r="A1366" i="19"/>
  <c r="A1365" i="19"/>
  <c r="A1364" i="19"/>
  <c r="A1363" i="19"/>
  <c r="A1362" i="19"/>
  <c r="A1361" i="19"/>
  <c r="A1360" i="19"/>
  <c r="A1359" i="19"/>
  <c r="A1358" i="19"/>
  <c r="A1357" i="19"/>
  <c r="A1356" i="19"/>
  <c r="A1355" i="19"/>
  <c r="A1354" i="19"/>
  <c r="A1353" i="19"/>
  <c r="A1352" i="19"/>
  <c r="A1351" i="19"/>
  <c r="A1350" i="19"/>
  <c r="A1349" i="19"/>
  <c r="A1348" i="19"/>
  <c r="A1347" i="19"/>
  <c r="A1346" i="19"/>
  <c r="A1345" i="19"/>
  <c r="A1344" i="19"/>
  <c r="A1343" i="19"/>
  <c r="A1342" i="19"/>
  <c r="A1341" i="19"/>
  <c r="A1340" i="19"/>
  <c r="A1339" i="19"/>
  <c r="A1338" i="19"/>
  <c r="A1337" i="19"/>
  <c r="A1336" i="19"/>
  <c r="A1335" i="19"/>
  <c r="A1334" i="19"/>
  <c r="A1333" i="19"/>
  <c r="A1332" i="19"/>
  <c r="A1331" i="19"/>
  <c r="A1330" i="19"/>
  <c r="A1329" i="19"/>
  <c r="A1328" i="19"/>
  <c r="A1327" i="19"/>
  <c r="A1326" i="19"/>
  <c r="A1325" i="19"/>
  <c r="A1324" i="19"/>
  <c r="A1323" i="19"/>
  <c r="A1322" i="19"/>
  <c r="A1321" i="19"/>
  <c r="A1320" i="19"/>
  <c r="A1319" i="19"/>
  <c r="A1318" i="19"/>
  <c r="A1317" i="19"/>
  <c r="A1316" i="19"/>
  <c r="A1315" i="19"/>
  <c r="A1314" i="19"/>
  <c r="A1313" i="19"/>
  <c r="A1312" i="19"/>
  <c r="A1311" i="19"/>
  <c r="A1310" i="19"/>
  <c r="A1309" i="19"/>
  <c r="A1308" i="19"/>
  <c r="A1307" i="19"/>
  <c r="A1306" i="19"/>
  <c r="A1305" i="19"/>
  <c r="A1304" i="19"/>
  <c r="A1303" i="19"/>
  <c r="A1302" i="19"/>
  <c r="A1301" i="19"/>
  <c r="A1300" i="19"/>
  <c r="A1299" i="19"/>
  <c r="A1298" i="19"/>
  <c r="A1297" i="19"/>
  <c r="A1296" i="19"/>
  <c r="A1295" i="19"/>
  <c r="A1294" i="19"/>
  <c r="A1293" i="19"/>
  <c r="A1292" i="19"/>
  <c r="A1291" i="19"/>
  <c r="A1290" i="19"/>
  <c r="A1289" i="19"/>
  <c r="A1288" i="19"/>
  <c r="A1287" i="19"/>
  <c r="A1286" i="19"/>
  <c r="A1285" i="19"/>
  <c r="A1284" i="19"/>
  <c r="A1283" i="19"/>
  <c r="A1282" i="19"/>
  <c r="A1281" i="19"/>
  <c r="A1280" i="19"/>
  <c r="A1279" i="19"/>
  <c r="A1278" i="19"/>
  <c r="A1277" i="19"/>
  <c r="A1276" i="19"/>
  <c r="A1275" i="19"/>
  <c r="A1274" i="19"/>
  <c r="A1273" i="19"/>
  <c r="A1272" i="19"/>
  <c r="A1271" i="19"/>
  <c r="A1270" i="19"/>
  <c r="A1269" i="19"/>
  <c r="A1268" i="19"/>
  <c r="A1267" i="19"/>
  <c r="A1266" i="19"/>
  <c r="A1265" i="19"/>
  <c r="A1264" i="19"/>
  <c r="A1263" i="19"/>
  <c r="A1262" i="19"/>
  <c r="A1261" i="19"/>
  <c r="A1260" i="19"/>
  <c r="A1259" i="19"/>
  <c r="A1258" i="19"/>
  <c r="A1257" i="19"/>
  <c r="A1256" i="19"/>
  <c r="A1255" i="19"/>
  <c r="A1254" i="19"/>
  <c r="A1253" i="19"/>
  <c r="A1252" i="19"/>
  <c r="A1251" i="19"/>
  <c r="A1250" i="19"/>
  <c r="A1249" i="19"/>
  <c r="A1248" i="19"/>
  <c r="A1247" i="19"/>
  <c r="A1246" i="19"/>
  <c r="A1245" i="19"/>
  <c r="A1244" i="19"/>
  <c r="A1243" i="19"/>
  <c r="A1242" i="19"/>
  <c r="A1241" i="19"/>
  <c r="A1240" i="19"/>
  <c r="A1239" i="19"/>
  <c r="A1238" i="19"/>
  <c r="A1237" i="19"/>
  <c r="A1236" i="19"/>
  <c r="A1235" i="19"/>
  <c r="A1234" i="19"/>
  <c r="A1233" i="19"/>
  <c r="A1232" i="19"/>
  <c r="A1231" i="19"/>
  <c r="A1230" i="19"/>
  <c r="A1229" i="19"/>
  <c r="A1228" i="19"/>
  <c r="A1227" i="19"/>
  <c r="A1226" i="19"/>
  <c r="A1225" i="19"/>
  <c r="A1224" i="19"/>
  <c r="A1223" i="19"/>
  <c r="A1222" i="19"/>
  <c r="A1221" i="19"/>
  <c r="A1220" i="19"/>
  <c r="A1219" i="19"/>
  <c r="A1218" i="19"/>
  <c r="A1217" i="19"/>
  <c r="A1216" i="19"/>
  <c r="A1215" i="19"/>
  <c r="A1214" i="19"/>
  <c r="A1213" i="19"/>
  <c r="A1212" i="19"/>
  <c r="A1211" i="19"/>
  <c r="A1210" i="19"/>
  <c r="A1209" i="19"/>
  <c r="A1208" i="19"/>
  <c r="A1207" i="19"/>
  <c r="A1206" i="19"/>
  <c r="A1205" i="19"/>
  <c r="A1204" i="19"/>
  <c r="A1203" i="19"/>
  <c r="A1202" i="19"/>
  <c r="A1201" i="19"/>
  <c r="A1200" i="19"/>
  <c r="A1199" i="19"/>
  <c r="A1198" i="19"/>
  <c r="A1197" i="19"/>
  <c r="A1196" i="19"/>
  <c r="A1195" i="19"/>
  <c r="A1194" i="19"/>
  <c r="A1193" i="19"/>
  <c r="A1192" i="19"/>
  <c r="A1191" i="19"/>
  <c r="A1190" i="19"/>
  <c r="A1189" i="19"/>
  <c r="A1188" i="19"/>
  <c r="A1187" i="19"/>
  <c r="A1186" i="19"/>
  <c r="A1185" i="19"/>
  <c r="A1184" i="19"/>
  <c r="A1183" i="19"/>
  <c r="A1182" i="19"/>
  <c r="A1181" i="19"/>
  <c r="A1180" i="19"/>
  <c r="A1179" i="19"/>
  <c r="A1178" i="19"/>
  <c r="A1177" i="19"/>
  <c r="A1176" i="19"/>
  <c r="A1175" i="19"/>
  <c r="A1174" i="19"/>
  <c r="A1173" i="19"/>
  <c r="A1172" i="19"/>
  <c r="A1171" i="19"/>
  <c r="A1170" i="19"/>
  <c r="A1169" i="19"/>
  <c r="A1168" i="19"/>
  <c r="A1167" i="19"/>
  <c r="A1166" i="19"/>
  <c r="A1165" i="19"/>
  <c r="A1164" i="19"/>
  <c r="A1163" i="19"/>
  <c r="A1162" i="19"/>
  <c r="A1161" i="19"/>
  <c r="A1160" i="19"/>
  <c r="A1159" i="19"/>
  <c r="A1158" i="19"/>
  <c r="A1157" i="19"/>
  <c r="A1156" i="19"/>
  <c r="A1155" i="19"/>
  <c r="A1154" i="19"/>
  <c r="A1153" i="19"/>
  <c r="A1152" i="19"/>
  <c r="A1151" i="19"/>
  <c r="A1150" i="19"/>
  <c r="A1149" i="19"/>
  <c r="A1148" i="19"/>
  <c r="A1147" i="19"/>
  <c r="A1146" i="19"/>
  <c r="A1145" i="19"/>
  <c r="A1144" i="19"/>
  <c r="A1143" i="19"/>
  <c r="A1142" i="19"/>
  <c r="A1141" i="19"/>
  <c r="A1140" i="19"/>
  <c r="A1139" i="19"/>
  <c r="A1138" i="19"/>
  <c r="A1137" i="19"/>
  <c r="A1136" i="19"/>
  <c r="A1135" i="19"/>
  <c r="A1134" i="19"/>
  <c r="A1133" i="19"/>
  <c r="A1132" i="19"/>
  <c r="A1131" i="19"/>
  <c r="A1130" i="19"/>
  <c r="A1129" i="19"/>
  <c r="A1128" i="19"/>
  <c r="A1127" i="19"/>
  <c r="A1126" i="19"/>
  <c r="A1125" i="19"/>
  <c r="A1124" i="19"/>
  <c r="A1123" i="19"/>
  <c r="A1122" i="19"/>
  <c r="A1121" i="19"/>
  <c r="A1120" i="19"/>
  <c r="A1119" i="19"/>
  <c r="A1118" i="19"/>
  <c r="A1117" i="19"/>
  <c r="A1116" i="19"/>
  <c r="A1115" i="19"/>
  <c r="A1114" i="19"/>
  <c r="A1113" i="19"/>
  <c r="A1112" i="19"/>
  <c r="A1111" i="19"/>
  <c r="A1110" i="19"/>
  <c r="A1109" i="19"/>
  <c r="A1108" i="19"/>
  <c r="A1107" i="19"/>
  <c r="A1106" i="19"/>
  <c r="A1105" i="19"/>
  <c r="A1104" i="19"/>
  <c r="A1103" i="19"/>
  <c r="A1102" i="19"/>
  <c r="A1101" i="19"/>
  <c r="A1100" i="19"/>
  <c r="A1099" i="19"/>
  <c r="A1098" i="19"/>
  <c r="A1097" i="19"/>
  <c r="A1096" i="19"/>
  <c r="A1095" i="19"/>
  <c r="A1094" i="19"/>
  <c r="A1093" i="19"/>
  <c r="A1092" i="19"/>
  <c r="A1091" i="19"/>
  <c r="A1090" i="19"/>
  <c r="A1089" i="19"/>
  <c r="A1088" i="19"/>
  <c r="A1087" i="19"/>
  <c r="A1086" i="19"/>
  <c r="A1085" i="19"/>
  <c r="A1084" i="19"/>
  <c r="A1083" i="19"/>
  <c r="A1082" i="19"/>
  <c r="A1081" i="19"/>
  <c r="A1080" i="19"/>
  <c r="A1079" i="19"/>
  <c r="A1078" i="19"/>
  <c r="A1077" i="19"/>
  <c r="A1076" i="19"/>
  <c r="A1075" i="19"/>
  <c r="A1074" i="19"/>
  <c r="A1073" i="19"/>
  <c r="A1072" i="19"/>
  <c r="A1071" i="19"/>
  <c r="A1070" i="19"/>
  <c r="A1069" i="19"/>
  <c r="A1068" i="19"/>
  <c r="A1067" i="19"/>
  <c r="A1066" i="19"/>
  <c r="A1065" i="19"/>
  <c r="A1064" i="19"/>
  <c r="A1063" i="19"/>
  <c r="A1062" i="19"/>
  <c r="A1061" i="19"/>
  <c r="A1060" i="19"/>
  <c r="A1059" i="19"/>
  <c r="A1058" i="19"/>
  <c r="A1057" i="19"/>
  <c r="A1056" i="19"/>
  <c r="A1055" i="19"/>
  <c r="A1054" i="19"/>
  <c r="A1053" i="19"/>
  <c r="A1052" i="19"/>
  <c r="A1051" i="19"/>
  <c r="A1050" i="19"/>
  <c r="A1049" i="19"/>
  <c r="A1048" i="19"/>
  <c r="A1047" i="19"/>
  <c r="A1046" i="19"/>
  <c r="A1045" i="19"/>
  <c r="A1044" i="19"/>
  <c r="A1043" i="19"/>
  <c r="A1042" i="19"/>
  <c r="A1041" i="19"/>
  <c r="A1040" i="19"/>
  <c r="A1039" i="19"/>
  <c r="A1038" i="19"/>
  <c r="A1037" i="19"/>
  <c r="A1036" i="19"/>
  <c r="A1035" i="19"/>
  <c r="A1034" i="19"/>
  <c r="A1033" i="19"/>
  <c r="A1032" i="19"/>
  <c r="A1031" i="19"/>
  <c r="A1030" i="19"/>
  <c r="A1029" i="19"/>
  <c r="A1028" i="19"/>
  <c r="A1027" i="19"/>
  <c r="A1026" i="19"/>
  <c r="A1025" i="19"/>
  <c r="A1024" i="19"/>
  <c r="A1023" i="19"/>
  <c r="A1022" i="19"/>
  <c r="A1021" i="19"/>
  <c r="A1020" i="19"/>
  <c r="A1019" i="19"/>
  <c r="A1018" i="19"/>
  <c r="A1017" i="19"/>
  <c r="A1016" i="19"/>
  <c r="A1015" i="19"/>
  <c r="A1014" i="19"/>
  <c r="A1013" i="19"/>
  <c r="A1012" i="19"/>
  <c r="A1011" i="19"/>
  <c r="A1010" i="19"/>
  <c r="A1009" i="19"/>
  <c r="A1008" i="19"/>
  <c r="A1007" i="19"/>
  <c r="A1006" i="19"/>
  <c r="A1005" i="19"/>
  <c r="A1004" i="19"/>
  <c r="A1003" i="19"/>
  <c r="A1002" i="19"/>
  <c r="A1001" i="19"/>
  <c r="A1000" i="19"/>
  <c r="A999" i="19"/>
  <c r="A998" i="19"/>
  <c r="A997" i="19"/>
  <c r="A996" i="19"/>
  <c r="A995" i="19"/>
  <c r="A994" i="19"/>
  <c r="A993" i="19"/>
  <c r="A992" i="19"/>
  <c r="A991" i="19"/>
  <c r="A990" i="19"/>
  <c r="A989" i="19"/>
  <c r="A988" i="19"/>
  <c r="A987" i="19"/>
  <c r="A986" i="19"/>
  <c r="A985" i="19"/>
  <c r="A984" i="19"/>
  <c r="A983" i="19"/>
  <c r="A982" i="19"/>
  <c r="A981" i="19"/>
  <c r="A980" i="19"/>
  <c r="A979" i="19"/>
  <c r="A978" i="19"/>
  <c r="A977" i="19"/>
  <c r="A976" i="19"/>
  <c r="A975" i="19"/>
  <c r="A974" i="19"/>
  <c r="A973" i="19"/>
  <c r="A972" i="19"/>
  <c r="A971" i="19"/>
  <c r="A970" i="19"/>
  <c r="A969" i="19"/>
  <c r="A968" i="19"/>
  <c r="A967" i="19"/>
  <c r="A966" i="19"/>
  <c r="A965" i="19"/>
  <c r="A964" i="19"/>
  <c r="A963" i="19"/>
  <c r="A962" i="19"/>
  <c r="A961" i="19"/>
  <c r="A960" i="19"/>
  <c r="A959" i="19"/>
  <c r="A958" i="19"/>
  <c r="A957" i="19"/>
  <c r="A956" i="19"/>
  <c r="A955" i="19"/>
  <c r="A954" i="19"/>
  <c r="A953" i="19"/>
  <c r="A952" i="19"/>
  <c r="A951" i="19"/>
  <c r="A950" i="19"/>
  <c r="A949" i="19"/>
  <c r="A948" i="19"/>
  <c r="A947" i="19"/>
  <c r="A946" i="19"/>
  <c r="A945" i="19"/>
  <c r="A944" i="19"/>
  <c r="A943" i="19"/>
  <c r="A942" i="19"/>
  <c r="A941" i="19"/>
  <c r="A940" i="19"/>
  <c r="A939" i="19"/>
  <c r="A938" i="19"/>
  <c r="A937" i="19"/>
  <c r="A936" i="19"/>
  <c r="A935" i="19"/>
  <c r="A934" i="19"/>
  <c r="A933" i="19"/>
  <c r="A932" i="19"/>
  <c r="A931" i="19"/>
  <c r="A930" i="19"/>
  <c r="A929" i="19"/>
  <c r="A928" i="19"/>
  <c r="A927" i="19"/>
  <c r="A926" i="19"/>
  <c r="A925" i="19"/>
  <c r="A924" i="19"/>
  <c r="A923" i="19"/>
  <c r="A922" i="19"/>
  <c r="A921" i="19"/>
  <c r="A920" i="19"/>
  <c r="A919" i="19"/>
  <c r="A918" i="19"/>
  <c r="A917" i="19"/>
  <c r="A916" i="19"/>
  <c r="A915" i="19"/>
  <c r="A914" i="19"/>
  <c r="A913" i="19"/>
  <c r="A912" i="19"/>
  <c r="A911" i="19"/>
  <c r="A910" i="19"/>
  <c r="A909" i="19"/>
  <c r="A908" i="19"/>
  <c r="A907" i="19"/>
  <c r="A906" i="19"/>
  <c r="A905" i="19"/>
  <c r="A904" i="19"/>
  <c r="A903" i="19"/>
  <c r="A902" i="19"/>
  <c r="A901" i="19"/>
  <c r="A900" i="19"/>
  <c r="A899" i="19"/>
  <c r="A898" i="19"/>
  <c r="A897" i="19"/>
  <c r="A896" i="19"/>
  <c r="A895" i="19"/>
  <c r="A894" i="19"/>
  <c r="A893" i="19"/>
  <c r="A892" i="19"/>
  <c r="A891" i="19"/>
  <c r="A890" i="19"/>
  <c r="A889" i="19"/>
  <c r="A888" i="19"/>
  <c r="A887" i="19"/>
  <c r="A886" i="19"/>
  <c r="A885" i="19"/>
  <c r="A884" i="19"/>
  <c r="A883" i="19"/>
  <c r="A882" i="19"/>
  <c r="A881" i="19"/>
  <c r="A880" i="19"/>
  <c r="A879" i="19"/>
  <c r="A878" i="19"/>
  <c r="A877" i="19"/>
  <c r="A876" i="19"/>
  <c r="A875" i="19"/>
  <c r="A874" i="19"/>
  <c r="A873" i="19"/>
  <c r="A872" i="19"/>
  <c r="A871" i="19"/>
  <c r="A870" i="19"/>
  <c r="A869" i="19"/>
  <c r="A868" i="19"/>
  <c r="A867" i="19"/>
  <c r="A866" i="19"/>
  <c r="A865" i="19"/>
  <c r="A864" i="19"/>
  <c r="A863" i="19"/>
  <c r="A862" i="19"/>
  <c r="A861" i="19"/>
  <c r="A860" i="19"/>
  <c r="A859" i="19"/>
  <c r="A858" i="19"/>
  <c r="A857" i="19"/>
  <c r="A856" i="19"/>
  <c r="A855" i="19"/>
  <c r="A854" i="19"/>
  <c r="A853" i="19"/>
  <c r="A852" i="19"/>
  <c r="A851" i="19"/>
  <c r="A850" i="19"/>
  <c r="A849" i="19"/>
  <c r="A848" i="19"/>
  <c r="A847" i="19"/>
  <c r="A846" i="19"/>
  <c r="A845" i="19"/>
  <c r="A844" i="19"/>
  <c r="A843" i="19"/>
  <c r="A842" i="19"/>
  <c r="A841" i="19"/>
  <c r="A840" i="19"/>
  <c r="A839" i="19"/>
  <c r="A838" i="19"/>
  <c r="A837" i="19"/>
  <c r="A836" i="19"/>
  <c r="A835" i="19"/>
  <c r="A834" i="19"/>
  <c r="A833" i="19"/>
  <c r="A832" i="19"/>
  <c r="A831" i="19"/>
  <c r="A830" i="19"/>
  <c r="A829" i="19"/>
  <c r="A828" i="19"/>
  <c r="A827" i="19"/>
  <c r="A826" i="19"/>
  <c r="A825" i="19"/>
  <c r="A824" i="19"/>
  <c r="A823" i="19"/>
  <c r="A822" i="19"/>
  <c r="A821" i="19"/>
  <c r="A820" i="19"/>
  <c r="A819" i="19"/>
  <c r="A818" i="19"/>
  <c r="A817" i="19"/>
  <c r="A816" i="19"/>
  <c r="A815" i="19"/>
  <c r="A814" i="19"/>
  <c r="A813" i="19"/>
  <c r="A812" i="19"/>
  <c r="A811" i="19"/>
  <c r="A810" i="19"/>
  <c r="A809" i="19"/>
  <c r="A808" i="19"/>
  <c r="A807" i="19"/>
  <c r="A806" i="19"/>
  <c r="A805" i="19"/>
  <c r="A804" i="19"/>
  <c r="A803" i="19"/>
  <c r="A802" i="19"/>
  <c r="A801" i="19"/>
  <c r="A800" i="19"/>
  <c r="A799" i="19"/>
  <c r="A798" i="19"/>
  <c r="A797" i="19"/>
  <c r="A796" i="19"/>
  <c r="A795" i="19"/>
  <c r="A794" i="19"/>
  <c r="A793" i="19"/>
  <c r="A792" i="19"/>
  <c r="A791" i="19"/>
  <c r="A790" i="19"/>
  <c r="A789" i="19"/>
  <c r="A788" i="19"/>
  <c r="A787" i="19"/>
  <c r="A786" i="19"/>
  <c r="A785" i="19"/>
  <c r="A784" i="19"/>
  <c r="A783" i="19"/>
  <c r="A782" i="19"/>
  <c r="A781" i="19"/>
  <c r="A780" i="19"/>
  <c r="A779" i="19"/>
  <c r="A778" i="19"/>
  <c r="A777" i="19"/>
  <c r="A776" i="19"/>
  <c r="A775" i="19"/>
  <c r="A774" i="19"/>
  <c r="A773" i="19"/>
  <c r="A772" i="19"/>
  <c r="A771" i="19"/>
  <c r="A770" i="19"/>
  <c r="A769" i="19"/>
  <c r="A768" i="19"/>
  <c r="A767" i="19"/>
  <c r="A766" i="19"/>
  <c r="A765" i="19"/>
  <c r="A764" i="19"/>
  <c r="A763" i="19"/>
  <c r="A762" i="19"/>
  <c r="A761" i="19"/>
  <c r="A760" i="19"/>
  <c r="A759" i="19"/>
  <c r="A758" i="19"/>
  <c r="A757" i="19"/>
  <c r="A756" i="19"/>
  <c r="A755" i="19"/>
  <c r="A754" i="19"/>
  <c r="A753" i="19"/>
  <c r="A752" i="19"/>
  <c r="A751" i="19"/>
  <c r="A750" i="19"/>
  <c r="A749" i="19"/>
  <c r="A748" i="19"/>
  <c r="A747" i="19"/>
  <c r="A746" i="19"/>
  <c r="A745" i="19"/>
  <c r="A744" i="19"/>
  <c r="A743" i="19"/>
  <c r="A742" i="19"/>
  <c r="A741" i="19"/>
  <c r="A740" i="19"/>
  <c r="A739" i="19"/>
  <c r="A738" i="19"/>
  <c r="A737" i="19"/>
  <c r="A736" i="19"/>
  <c r="A735" i="19"/>
  <c r="A734" i="19"/>
  <c r="A733" i="19"/>
  <c r="A732" i="19"/>
  <c r="A731" i="19"/>
  <c r="A730" i="19"/>
  <c r="A729" i="19"/>
  <c r="A728" i="19"/>
  <c r="A727" i="19"/>
  <c r="A726" i="19"/>
  <c r="A725" i="19"/>
  <c r="A724" i="19"/>
  <c r="A723" i="19"/>
  <c r="A722" i="19"/>
  <c r="A721" i="19"/>
  <c r="A720" i="19"/>
  <c r="A719" i="19"/>
  <c r="A718" i="19"/>
  <c r="A717" i="19"/>
  <c r="A716" i="19"/>
  <c r="A715" i="19"/>
  <c r="A714" i="19"/>
  <c r="A713" i="19"/>
  <c r="A712" i="19"/>
  <c r="A711" i="19"/>
  <c r="A710" i="19"/>
  <c r="A709" i="19"/>
  <c r="A708" i="19"/>
  <c r="A707" i="19"/>
  <c r="A706" i="19"/>
  <c r="A705" i="19"/>
  <c r="A704" i="19"/>
  <c r="A703" i="19"/>
  <c r="A702" i="19"/>
  <c r="A701" i="19"/>
  <c r="A700" i="19"/>
  <c r="A699" i="19"/>
  <c r="A698" i="19"/>
  <c r="A697" i="19"/>
  <c r="A696" i="19"/>
  <c r="A695" i="19"/>
  <c r="A694" i="19"/>
  <c r="A693" i="19"/>
  <c r="A692" i="19"/>
  <c r="A691" i="19"/>
  <c r="A690" i="19"/>
  <c r="A689" i="19"/>
  <c r="A688" i="19"/>
  <c r="A687" i="19"/>
  <c r="A686" i="19"/>
  <c r="A685" i="19"/>
  <c r="A684" i="19"/>
  <c r="A683" i="19"/>
  <c r="A682" i="19"/>
  <c r="A681" i="19"/>
  <c r="A680" i="19"/>
  <c r="A679" i="19"/>
  <c r="A678" i="19"/>
  <c r="A677" i="19"/>
  <c r="A676" i="19"/>
  <c r="A675" i="19"/>
  <c r="A674" i="19"/>
  <c r="A673" i="19"/>
  <c r="A672" i="19"/>
  <c r="A671" i="19"/>
  <c r="A670" i="19"/>
  <c r="A669" i="19"/>
  <c r="A668" i="19"/>
  <c r="A667" i="19"/>
  <c r="A666" i="19"/>
  <c r="A665" i="19"/>
  <c r="A664" i="19"/>
  <c r="A663" i="19"/>
  <c r="A662" i="19"/>
  <c r="A661" i="19"/>
  <c r="A660" i="19"/>
  <c r="A659" i="19"/>
  <c r="A658" i="19"/>
  <c r="A657" i="19"/>
  <c r="A656" i="19"/>
  <c r="A655" i="19"/>
  <c r="A654" i="19"/>
  <c r="A653" i="19"/>
  <c r="A652" i="19"/>
  <c r="A651" i="19"/>
  <c r="A650" i="19"/>
  <c r="A649" i="19"/>
  <c r="A648" i="19"/>
  <c r="A647" i="19"/>
  <c r="A646" i="19"/>
  <c r="A645" i="19"/>
  <c r="A644" i="19"/>
  <c r="A643" i="19"/>
  <c r="A642" i="19"/>
  <c r="A641" i="19"/>
  <c r="A640" i="19"/>
  <c r="A639" i="19"/>
  <c r="A638" i="19"/>
  <c r="A637" i="19"/>
  <c r="A636" i="19"/>
  <c r="A635" i="19"/>
  <c r="A634" i="19"/>
  <c r="A633" i="19"/>
  <c r="A632" i="19"/>
  <c r="A631" i="19"/>
  <c r="A630" i="19"/>
  <c r="A629" i="19"/>
  <c r="A628" i="19"/>
  <c r="A627" i="19"/>
  <c r="A626" i="19"/>
  <c r="A625" i="19"/>
  <c r="A624" i="19"/>
  <c r="A623" i="19"/>
  <c r="A622" i="19"/>
  <c r="A621" i="19"/>
  <c r="A620" i="19"/>
  <c r="A619" i="19"/>
  <c r="A618" i="19"/>
  <c r="A617" i="19"/>
  <c r="A616" i="19"/>
  <c r="A615" i="19"/>
  <c r="A614" i="19"/>
  <c r="A613" i="19"/>
  <c r="A612" i="19"/>
  <c r="A611" i="19"/>
  <c r="A610" i="19"/>
  <c r="A609" i="19"/>
  <c r="A608" i="19"/>
  <c r="A607" i="19"/>
  <c r="A606" i="19"/>
  <c r="A605" i="19"/>
  <c r="A604" i="19"/>
  <c r="A603" i="19"/>
  <c r="A602" i="19"/>
  <c r="A601" i="19"/>
  <c r="A600" i="19"/>
  <c r="A599" i="19"/>
  <c r="A598" i="19"/>
  <c r="A597" i="19"/>
  <c r="A596" i="19"/>
  <c r="A595" i="19"/>
  <c r="A594" i="19"/>
  <c r="A593" i="19"/>
  <c r="A592" i="19"/>
  <c r="A591" i="19"/>
  <c r="A590" i="19"/>
  <c r="A589" i="19"/>
  <c r="A588" i="19"/>
  <c r="A587" i="19"/>
  <c r="A586" i="19"/>
  <c r="A585" i="19"/>
  <c r="A584" i="19"/>
  <c r="A583" i="19"/>
  <c r="A582" i="19"/>
  <c r="A581" i="19"/>
  <c r="A580" i="19"/>
  <c r="A579" i="19"/>
  <c r="A578" i="19"/>
  <c r="A577" i="19"/>
  <c r="A576" i="19"/>
  <c r="A575" i="19"/>
  <c r="A574" i="19"/>
  <c r="A573" i="19"/>
  <c r="A572" i="19"/>
  <c r="A571" i="19"/>
  <c r="A570" i="19"/>
  <c r="A569" i="19"/>
  <c r="A568" i="19"/>
  <c r="A567" i="19"/>
  <c r="A566" i="19"/>
  <c r="A565" i="19"/>
  <c r="A564" i="19"/>
  <c r="A563" i="19"/>
  <c r="A562" i="19"/>
  <c r="A561" i="19"/>
  <c r="A560" i="19"/>
  <c r="A559" i="19"/>
  <c r="A558" i="19"/>
  <c r="A557" i="19"/>
  <c r="A556" i="19"/>
  <c r="A555" i="19"/>
  <c r="A554" i="19"/>
  <c r="A553" i="19"/>
  <c r="A552" i="19"/>
  <c r="A551" i="19"/>
  <c r="A550" i="19"/>
  <c r="A549" i="19"/>
  <c r="A548" i="19"/>
  <c r="A547" i="19"/>
  <c r="A546" i="19"/>
  <c r="A545" i="19"/>
  <c r="A544" i="19"/>
  <c r="A543" i="19"/>
  <c r="A542" i="19"/>
  <c r="A541" i="19"/>
  <c r="A540" i="19"/>
  <c r="A539" i="19"/>
  <c r="A538" i="19"/>
  <c r="A537" i="19"/>
  <c r="A536" i="19"/>
  <c r="A535" i="19"/>
  <c r="A534" i="19"/>
  <c r="A533" i="19"/>
  <c r="A532" i="19"/>
  <c r="A531" i="19"/>
  <c r="A530" i="19"/>
  <c r="A529" i="19"/>
  <c r="A528" i="19"/>
  <c r="A527" i="19"/>
  <c r="A526" i="19"/>
  <c r="A525" i="19"/>
  <c r="A524" i="19"/>
  <c r="A523" i="19"/>
  <c r="A522" i="19"/>
  <c r="A521" i="19"/>
  <c r="A520" i="19"/>
  <c r="A519" i="19"/>
  <c r="A518" i="19"/>
  <c r="A517" i="19"/>
  <c r="A516" i="19"/>
  <c r="A515" i="19"/>
  <c r="A514" i="19"/>
  <c r="A513" i="19"/>
  <c r="A512" i="19"/>
  <c r="A511" i="19"/>
  <c r="A510" i="19"/>
  <c r="A509" i="19"/>
  <c r="A508" i="19"/>
  <c r="A507" i="19"/>
  <c r="A506" i="19"/>
  <c r="A505" i="19"/>
  <c r="A504" i="19"/>
  <c r="A503" i="19"/>
  <c r="A502" i="19"/>
  <c r="A501" i="19"/>
  <c r="A500" i="19"/>
  <c r="A499" i="19"/>
  <c r="A498" i="19"/>
  <c r="A497" i="19"/>
  <c r="A496" i="19"/>
  <c r="A495" i="19"/>
  <c r="A494" i="19"/>
  <c r="A493" i="19"/>
  <c r="A492" i="19"/>
  <c r="A491" i="19"/>
  <c r="A490" i="19"/>
  <c r="A489" i="19"/>
  <c r="A488" i="19"/>
  <c r="A487" i="19"/>
  <c r="A486" i="19"/>
  <c r="A485" i="19"/>
  <c r="A484" i="19"/>
  <c r="A483" i="19"/>
  <c r="A482" i="19"/>
  <c r="A481" i="19"/>
  <c r="A480" i="19"/>
  <c r="A479" i="19"/>
  <c r="A478" i="19"/>
  <c r="A477" i="19"/>
  <c r="A476" i="19"/>
  <c r="A475" i="19"/>
  <c r="A474" i="19"/>
  <c r="A473" i="19"/>
  <c r="A472" i="19"/>
  <c r="A471" i="19"/>
  <c r="A470" i="19"/>
  <c r="A469" i="19"/>
  <c r="A468" i="19"/>
  <c r="A467" i="19"/>
  <c r="A466" i="19"/>
  <c r="A465" i="19"/>
  <c r="A464" i="19"/>
  <c r="A463" i="19"/>
  <c r="A462" i="19"/>
  <c r="A461" i="19"/>
  <c r="A460" i="19"/>
  <c r="A459" i="19"/>
  <c r="A458" i="19"/>
  <c r="A457" i="19"/>
  <c r="A456" i="19"/>
  <c r="A455" i="19"/>
  <c r="A454" i="19"/>
  <c r="A453" i="19"/>
  <c r="A452" i="19"/>
  <c r="A451" i="19"/>
  <c r="A450" i="19"/>
  <c r="A449" i="19"/>
  <c r="A448" i="19"/>
  <c r="A447" i="19"/>
  <c r="A446" i="19"/>
  <c r="A445" i="19"/>
  <c r="A444" i="19"/>
  <c r="A443" i="19"/>
  <c r="A442" i="19"/>
  <c r="A441" i="19"/>
  <c r="A440" i="19"/>
  <c r="A439" i="19"/>
  <c r="A438" i="19"/>
  <c r="A437" i="19"/>
  <c r="A436" i="19"/>
  <c r="A435" i="19"/>
  <c r="A434" i="19"/>
  <c r="A433" i="19"/>
  <c r="A432" i="19"/>
  <c r="A431" i="19"/>
  <c r="A430" i="19"/>
  <c r="A429" i="19"/>
  <c r="A428" i="19"/>
  <c r="A427" i="19"/>
  <c r="A426" i="19"/>
  <c r="A425" i="19"/>
  <c r="A424" i="19"/>
  <c r="A423" i="19"/>
  <c r="A422" i="19"/>
  <c r="A421" i="19"/>
  <c r="A420" i="19"/>
  <c r="A419" i="19"/>
  <c r="A418" i="19"/>
  <c r="A417" i="19"/>
  <c r="A416" i="19"/>
  <c r="A415" i="19"/>
  <c r="A414" i="19"/>
  <c r="A413" i="19"/>
  <c r="A412" i="19"/>
  <c r="A411" i="19"/>
  <c r="A410" i="19"/>
  <c r="A409" i="19"/>
  <c r="A408" i="19"/>
  <c r="A407" i="19"/>
  <c r="A406" i="19"/>
  <c r="A405" i="19"/>
  <c r="A404" i="19"/>
  <c r="A403" i="19"/>
  <c r="A402" i="19"/>
  <c r="A401" i="19"/>
  <c r="A400" i="19"/>
  <c r="A399" i="19"/>
  <c r="A398" i="19"/>
  <c r="A397" i="19"/>
  <c r="A396" i="19"/>
  <c r="A395" i="19"/>
  <c r="A394" i="19"/>
  <c r="A393" i="19"/>
  <c r="A392" i="19"/>
  <c r="A391" i="19"/>
  <c r="A390" i="19"/>
  <c r="A389" i="19"/>
  <c r="A388" i="19"/>
  <c r="A387" i="19"/>
  <c r="A386" i="19"/>
  <c r="A385" i="19"/>
  <c r="A384" i="19"/>
  <c r="A383" i="19"/>
  <c r="A382" i="19"/>
  <c r="A381" i="19"/>
  <c r="A380" i="19"/>
  <c r="A379" i="19"/>
  <c r="A378" i="19"/>
  <c r="A377" i="19"/>
  <c r="A376" i="19"/>
  <c r="A375" i="19"/>
  <c r="A374" i="19"/>
  <c r="A373" i="19"/>
  <c r="A372" i="19"/>
  <c r="A371" i="19"/>
  <c r="A370" i="19"/>
  <c r="A369" i="19"/>
  <c r="A368" i="19"/>
  <c r="A367" i="19"/>
  <c r="A366" i="19"/>
  <c r="A365" i="19"/>
  <c r="A364" i="19"/>
  <c r="A363" i="19"/>
  <c r="A362" i="19"/>
  <c r="A361" i="19"/>
  <c r="A360" i="19"/>
  <c r="A359" i="19"/>
  <c r="A358" i="19"/>
  <c r="A357" i="19"/>
  <c r="A356" i="19"/>
  <c r="A355" i="19"/>
  <c r="A354" i="19"/>
  <c r="A353" i="19"/>
  <c r="A352" i="19"/>
  <c r="A351" i="19"/>
  <c r="A350" i="19"/>
  <c r="A349" i="19"/>
  <c r="A348" i="19"/>
  <c r="A347" i="19"/>
  <c r="A346" i="19"/>
  <c r="A345" i="19"/>
  <c r="A344" i="19"/>
  <c r="A343" i="19"/>
  <c r="A342" i="19"/>
  <c r="A341" i="19"/>
  <c r="A340" i="19"/>
  <c r="A339" i="19"/>
  <c r="A338" i="19"/>
  <c r="A337" i="19"/>
  <c r="A336" i="19"/>
  <c r="A335" i="19"/>
  <c r="A334" i="19"/>
  <c r="A333" i="19"/>
  <c r="A332" i="19"/>
  <c r="A331" i="19"/>
  <c r="A330" i="19"/>
  <c r="A329" i="19"/>
  <c r="A328" i="19"/>
  <c r="A327" i="19"/>
  <c r="A326" i="19"/>
  <c r="A325" i="19"/>
  <c r="A324" i="19"/>
  <c r="A323" i="19"/>
  <c r="A322" i="19"/>
  <c r="A321" i="19"/>
  <c r="A320" i="19"/>
  <c r="A319" i="19"/>
  <c r="A318" i="19"/>
  <c r="A317" i="19"/>
  <c r="A316" i="19"/>
  <c r="A315" i="19"/>
  <c r="A314" i="19"/>
  <c r="A313" i="19"/>
  <c r="A312" i="19"/>
  <c r="A311" i="19"/>
  <c r="A310" i="19"/>
  <c r="A309" i="19"/>
  <c r="A308" i="19"/>
  <c r="A307" i="19"/>
  <c r="A306" i="19"/>
  <c r="A305" i="19"/>
  <c r="A304" i="19"/>
  <c r="A303" i="19"/>
  <c r="A302" i="19"/>
  <c r="A301" i="19"/>
  <c r="A300" i="19"/>
  <c r="A299" i="19"/>
  <c r="A298" i="19"/>
  <c r="A297" i="19"/>
  <c r="A296" i="19"/>
  <c r="A295" i="19"/>
  <c r="A294" i="19"/>
  <c r="A293" i="19"/>
  <c r="A292" i="19"/>
  <c r="A291" i="19"/>
  <c r="A290" i="19"/>
  <c r="A289" i="19"/>
  <c r="A288" i="19"/>
  <c r="A287" i="19"/>
  <c r="A286" i="19"/>
  <c r="A285" i="19"/>
  <c r="A284" i="19"/>
  <c r="A283" i="19"/>
  <c r="A282" i="19"/>
  <c r="A281" i="19"/>
  <c r="A280" i="19"/>
  <c r="A279" i="19"/>
  <c r="A278" i="19"/>
  <c r="A277" i="19"/>
  <c r="A276" i="19"/>
  <c r="A275" i="19"/>
  <c r="A274" i="19"/>
  <c r="A273" i="19"/>
  <c r="A272" i="19"/>
  <c r="A271" i="19"/>
  <c r="A270" i="19"/>
  <c r="A269" i="19"/>
  <c r="A268" i="19"/>
  <c r="A267" i="19"/>
  <c r="A266" i="19"/>
  <c r="A265" i="19"/>
  <c r="A264" i="19"/>
  <c r="A263" i="19"/>
  <c r="A262" i="19"/>
  <c r="A261" i="19"/>
  <c r="A260" i="19"/>
  <c r="A259" i="19"/>
  <c r="A258" i="19"/>
  <c r="A257" i="19"/>
  <c r="A256" i="19"/>
  <c r="A255" i="19"/>
  <c r="A254" i="19"/>
  <c r="A253" i="19"/>
  <c r="A252" i="19"/>
  <c r="A251" i="19"/>
  <c r="A250" i="19"/>
  <c r="A249" i="19"/>
  <c r="A248" i="19"/>
  <c r="A247" i="19"/>
  <c r="A246" i="19"/>
  <c r="A245" i="19"/>
  <c r="A244" i="19"/>
  <c r="A243" i="19"/>
  <c r="A242" i="19"/>
  <c r="A241" i="19"/>
  <c r="A240" i="19"/>
  <c r="A239" i="19"/>
  <c r="A238" i="19"/>
  <c r="A237" i="19"/>
  <c r="A236" i="19"/>
  <c r="A235" i="19"/>
  <c r="A234" i="19"/>
  <c r="A233" i="19"/>
  <c r="A232" i="19"/>
  <c r="A231" i="19"/>
  <c r="A230" i="19"/>
  <c r="A229" i="19"/>
  <c r="A228" i="19"/>
  <c r="A227" i="19"/>
  <c r="A226" i="19"/>
  <c r="A225" i="19"/>
  <c r="A224" i="19"/>
  <c r="A223" i="19"/>
  <c r="A222" i="19"/>
  <c r="A221" i="19"/>
  <c r="A220" i="19"/>
  <c r="A219" i="19"/>
  <c r="A218" i="19"/>
  <c r="A217" i="19"/>
  <c r="A216" i="19"/>
  <c r="A215" i="19"/>
  <c r="A214" i="19"/>
  <c r="A213" i="19"/>
  <c r="A212" i="19"/>
  <c r="A211" i="19"/>
  <c r="A210" i="19"/>
  <c r="A209" i="19"/>
  <c r="A208" i="19"/>
  <c r="A207" i="19"/>
  <c r="A206" i="19"/>
  <c r="A205" i="19"/>
  <c r="A204" i="19"/>
  <c r="A203" i="19"/>
  <c r="A202" i="19"/>
  <c r="A201" i="19"/>
  <c r="A200" i="19"/>
  <c r="A199" i="19"/>
  <c r="A198" i="19"/>
  <c r="A197" i="19"/>
  <c r="A196" i="19"/>
  <c r="A195" i="19"/>
  <c r="A194" i="19"/>
  <c r="A193" i="19"/>
  <c r="A192" i="19"/>
  <c r="A191" i="19"/>
  <c r="A190" i="19"/>
  <c r="A189" i="19"/>
  <c r="A188" i="19"/>
  <c r="A187" i="19"/>
  <c r="A186" i="19"/>
  <c r="A185" i="19"/>
  <c r="A184" i="19"/>
  <c r="A183" i="19"/>
  <c r="A182" i="19"/>
  <c r="A181" i="19"/>
  <c r="A180" i="19"/>
  <c r="A179" i="19"/>
  <c r="A178" i="19"/>
  <c r="A177" i="19"/>
  <c r="A176" i="19"/>
  <c r="A175" i="19"/>
  <c r="A174" i="19"/>
  <c r="A173" i="19"/>
  <c r="A172" i="19"/>
  <c r="A171" i="19"/>
  <c r="A170" i="19"/>
  <c r="A169" i="19"/>
  <c r="A168" i="19"/>
  <c r="A167" i="19"/>
  <c r="A166" i="19"/>
  <c r="A165" i="19"/>
  <c r="A164" i="19"/>
  <c r="A163" i="19"/>
  <c r="A162" i="19"/>
  <c r="A161" i="19"/>
  <c r="A160" i="19"/>
  <c r="A159" i="19"/>
  <c r="A158" i="19"/>
  <c r="A157" i="19"/>
  <c r="A156" i="19"/>
  <c r="A155" i="19"/>
  <c r="A154" i="19"/>
  <c r="A153" i="19"/>
  <c r="A152" i="19"/>
  <c r="A151" i="19"/>
  <c r="A150" i="19"/>
  <c r="A149" i="19"/>
  <c r="A148" i="19"/>
  <c r="A147" i="19"/>
  <c r="A146" i="19"/>
  <c r="A145" i="19"/>
  <c r="A144" i="19"/>
  <c r="A143" i="19"/>
  <c r="A142" i="19"/>
  <c r="A141" i="19"/>
  <c r="A140" i="19"/>
  <c r="A139" i="19"/>
  <c r="A138" i="19"/>
  <c r="A137" i="19"/>
  <c r="A136" i="19"/>
  <c r="A135" i="19"/>
  <c r="A134" i="19"/>
  <c r="A133" i="19"/>
  <c r="A132" i="19"/>
  <c r="A131" i="19"/>
  <c r="A130" i="19"/>
  <c r="A129" i="19"/>
  <c r="A128" i="19"/>
  <c r="A127" i="19"/>
  <c r="A126" i="19"/>
  <c r="A125" i="19"/>
  <c r="A124" i="19"/>
  <c r="A123" i="19"/>
  <c r="A122" i="19"/>
  <c r="A121" i="19"/>
  <c r="A120" i="19"/>
  <c r="A119" i="19"/>
  <c r="A118" i="19"/>
  <c r="A117" i="19"/>
  <c r="A116" i="19"/>
  <c r="A115" i="19"/>
  <c r="A114" i="19"/>
  <c r="A113" i="19"/>
  <c r="A112" i="19"/>
  <c r="A111" i="19"/>
  <c r="A110" i="19"/>
  <c r="A109" i="19"/>
  <c r="A108" i="19"/>
  <c r="A107" i="19"/>
  <c r="A106" i="19"/>
  <c r="A105" i="19"/>
  <c r="A104" i="19"/>
  <c r="A103" i="19"/>
  <c r="A102" i="19"/>
  <c r="A101" i="19"/>
  <c r="A100" i="19"/>
  <c r="A99" i="19"/>
  <c r="A98" i="19"/>
  <c r="A97" i="19"/>
  <c r="A96" i="19"/>
  <c r="A95" i="19"/>
  <c r="A94" i="19"/>
  <c r="A93" i="19"/>
  <c r="A92" i="19"/>
  <c r="A91" i="19"/>
  <c r="A90" i="19"/>
  <c r="A89" i="19"/>
  <c r="A88" i="19"/>
  <c r="A87" i="19"/>
  <c r="A86" i="19"/>
  <c r="A85" i="19"/>
  <c r="A84" i="19"/>
  <c r="A83" i="19"/>
  <c r="A82" i="19"/>
  <c r="A81" i="19"/>
  <c r="A80" i="19"/>
  <c r="A79" i="19"/>
  <c r="A78" i="19"/>
  <c r="A77" i="19"/>
  <c r="A76" i="19"/>
  <c r="A75" i="19"/>
  <c r="A74" i="19"/>
  <c r="A73" i="19"/>
  <c r="A72" i="19"/>
  <c r="A71" i="19"/>
  <c r="A70" i="19"/>
  <c r="A69" i="19"/>
  <c r="A68" i="19"/>
  <c r="A67" i="19"/>
  <c r="A66" i="19"/>
  <c r="A65" i="19"/>
  <c r="A64" i="19"/>
  <c r="A63" i="19"/>
  <c r="A62" i="19"/>
  <c r="A61" i="19"/>
  <c r="A60" i="19"/>
  <c r="A59" i="19"/>
  <c r="A58" i="19"/>
  <c r="A57" i="19"/>
  <c r="A56" i="19"/>
  <c r="A55" i="19"/>
  <c r="A54" i="19"/>
  <c r="A53" i="19"/>
  <c r="A52" i="19"/>
  <c r="A51" i="19"/>
  <c r="A50" i="19"/>
  <c r="A49" i="19"/>
  <c r="A48" i="19"/>
  <c r="A47" i="19"/>
  <c r="A46" i="19"/>
  <c r="A45" i="19"/>
  <c r="A44" i="19"/>
  <c r="A43" i="19"/>
  <c r="A42" i="19"/>
  <c r="A41" i="19"/>
  <c r="A40" i="19"/>
  <c r="A39" i="19"/>
  <c r="A38" i="19"/>
  <c r="A37" i="19"/>
  <c r="A36" i="19"/>
  <c r="A35" i="19"/>
  <c r="A34" i="19"/>
  <c r="A33" i="19"/>
  <c r="A32" i="19"/>
  <c r="A31" i="19"/>
  <c r="A30" i="19"/>
  <c r="A29" i="19"/>
  <c r="A28" i="19"/>
  <c r="A27" i="19"/>
  <c r="A26" i="19"/>
  <c r="A25" i="19"/>
  <c r="A24" i="19"/>
  <c r="A23" i="19"/>
  <c r="A22" i="19"/>
  <c r="A21" i="19"/>
  <c r="A20" i="19"/>
  <c r="A19" i="19"/>
  <c r="A18" i="19"/>
  <c r="A17" i="19"/>
  <c r="A16" i="19"/>
  <c r="A15" i="19"/>
  <c r="A14" i="19"/>
  <c r="A13" i="19"/>
  <c r="A12" i="19"/>
  <c r="A11" i="19"/>
  <c r="A10" i="19"/>
  <c r="A9" i="19"/>
  <c r="A8" i="19"/>
  <c r="A7" i="19"/>
  <c r="A6" i="19"/>
  <c r="A5" i="19"/>
  <c r="A4" i="19"/>
  <c r="A3" i="19"/>
  <c r="A2" i="19"/>
  <c r="J12" i="29" l="1"/>
  <c r="J11" i="29"/>
  <c r="J13" i="29"/>
  <c r="J14" i="29"/>
  <c r="J23" i="26"/>
  <c r="J44" i="26"/>
  <c r="J30" i="26"/>
  <c r="J32" i="26"/>
  <c r="J42" i="26"/>
  <c r="J51" i="26"/>
  <c r="J29" i="26"/>
  <c r="J27" i="26"/>
  <c r="J25" i="26"/>
  <c r="J11" i="26"/>
  <c r="J52" i="26"/>
  <c r="J40" i="26"/>
  <c r="J31" i="26"/>
  <c r="J12" i="26"/>
  <c r="J35" i="26"/>
  <c r="J28" i="26"/>
  <c r="J47" i="26"/>
  <c r="J19" i="26"/>
  <c r="J34" i="26"/>
  <c r="J49" i="26"/>
  <c r="J17" i="26"/>
  <c r="J15" i="26"/>
  <c r="J46" i="26"/>
  <c r="J45" i="26"/>
  <c r="J41" i="26"/>
  <c r="J36" i="26"/>
  <c r="J18" i="26"/>
  <c r="J14" i="26"/>
  <c r="J21" i="26"/>
  <c r="J13" i="26"/>
  <c r="J48" i="26"/>
  <c r="J39" i="26"/>
  <c r="J38" i="26"/>
  <c r="J22" i="26"/>
  <c r="J16" i="26"/>
  <c r="J50" i="26"/>
  <c r="J33" i="26"/>
  <c r="J53" i="26"/>
  <c r="J26" i="26"/>
  <c r="J24" i="26"/>
  <c r="J43" i="26"/>
  <c r="J54" i="26"/>
  <c r="J37" i="26"/>
  <c r="J30" i="25"/>
  <c r="K30" i="25" l="1"/>
  <c r="I30" i="25" s="1"/>
  <c r="L30" i="25"/>
  <c r="M30" i="25"/>
  <c r="M13" i="29"/>
  <c r="K13" i="29"/>
  <c r="I13" i="29" s="1"/>
  <c r="L13" i="29"/>
  <c r="G13" i="29" s="1"/>
  <c r="L11" i="29"/>
  <c r="G11" i="29" s="1"/>
  <c r="K11" i="29"/>
  <c r="M11" i="29"/>
  <c r="K12" i="29"/>
  <c r="I12" i="29" s="1"/>
  <c r="L12" i="29"/>
  <c r="G12" i="29" s="1"/>
  <c r="M12" i="29"/>
  <c r="M14" i="29"/>
  <c r="L14" i="29"/>
  <c r="G14" i="29" s="1"/>
  <c r="K14" i="29"/>
  <c r="I14" i="29" s="1"/>
  <c r="K53" i="26"/>
  <c r="M53" i="26"/>
  <c r="L53" i="26"/>
  <c r="L36" i="26"/>
  <c r="M36" i="26"/>
  <c r="K36" i="26"/>
  <c r="M12" i="26"/>
  <c r="L12" i="26"/>
  <c r="K12" i="26"/>
  <c r="M44" i="26"/>
  <c r="L44" i="26"/>
  <c r="K44" i="26"/>
  <c r="K37" i="26"/>
  <c r="M37" i="26"/>
  <c r="L37" i="26"/>
  <c r="K26" i="26"/>
  <c r="L26" i="26"/>
  <c r="M26" i="26"/>
  <c r="M16" i="26"/>
  <c r="L16" i="26"/>
  <c r="K16" i="26"/>
  <c r="M48" i="26"/>
  <c r="L48" i="26"/>
  <c r="K48" i="26"/>
  <c r="K18" i="26"/>
  <c r="M18" i="26"/>
  <c r="L18" i="26"/>
  <c r="K46" i="26"/>
  <c r="L46" i="26"/>
  <c r="M46" i="26"/>
  <c r="M34" i="26"/>
  <c r="L34" i="26"/>
  <c r="K34" i="26"/>
  <c r="K35" i="26"/>
  <c r="M35" i="26"/>
  <c r="L35" i="26"/>
  <c r="M52" i="26"/>
  <c r="L52" i="26"/>
  <c r="K52" i="26"/>
  <c r="K29" i="26"/>
  <c r="L29" i="26"/>
  <c r="M29" i="26"/>
  <c r="L30" i="26"/>
  <c r="M30" i="26"/>
  <c r="K30" i="26"/>
  <c r="K22" i="26"/>
  <c r="L22" i="26"/>
  <c r="M22" i="26"/>
  <c r="K15" i="26"/>
  <c r="L15" i="26"/>
  <c r="M15" i="26"/>
  <c r="M51" i="26"/>
  <c r="L51" i="26"/>
  <c r="K51" i="26"/>
  <c r="K43" i="26"/>
  <c r="M43" i="26"/>
  <c r="L43" i="26"/>
  <c r="K33" i="26"/>
  <c r="L33" i="26"/>
  <c r="M33" i="26"/>
  <c r="K38" i="26"/>
  <c r="M38" i="26"/>
  <c r="L38" i="26"/>
  <c r="L21" i="26"/>
  <c r="K21" i="26"/>
  <c r="M21" i="26"/>
  <c r="K41" i="26"/>
  <c r="M41" i="26"/>
  <c r="L41" i="26"/>
  <c r="M17" i="26"/>
  <c r="L17" i="26"/>
  <c r="K17" i="26"/>
  <c r="M47" i="26"/>
  <c r="L47" i="26"/>
  <c r="K47" i="26"/>
  <c r="L31" i="26"/>
  <c r="M31" i="26"/>
  <c r="K31" i="26"/>
  <c r="K25" i="26"/>
  <c r="L25" i="26"/>
  <c r="M25" i="26"/>
  <c r="M42" i="26"/>
  <c r="L42" i="26"/>
  <c r="K42" i="26"/>
  <c r="K23" i="26"/>
  <c r="L23" i="26"/>
  <c r="M23" i="26"/>
  <c r="K54" i="26"/>
  <c r="M54" i="26"/>
  <c r="L54" i="26"/>
  <c r="K13" i="26"/>
  <c r="L13" i="26"/>
  <c r="M13" i="26"/>
  <c r="K19" i="26"/>
  <c r="L19" i="26"/>
  <c r="M19" i="26"/>
  <c r="K11" i="26"/>
  <c r="M11" i="26"/>
  <c r="L11" i="26"/>
  <c r="L24" i="26"/>
  <c r="M24" i="26"/>
  <c r="K24" i="26"/>
  <c r="L50" i="26"/>
  <c r="M50" i="26"/>
  <c r="K50" i="26"/>
  <c r="L39" i="26"/>
  <c r="M39" i="26"/>
  <c r="K39" i="26"/>
  <c r="L14" i="26"/>
  <c r="M14" i="26"/>
  <c r="K14" i="26"/>
  <c r="K45" i="26"/>
  <c r="M45" i="26"/>
  <c r="L45" i="26"/>
  <c r="L49" i="26"/>
  <c r="M49" i="26"/>
  <c r="K49" i="26"/>
  <c r="K28" i="26"/>
  <c r="L28" i="26"/>
  <c r="M28" i="26"/>
  <c r="L40" i="26"/>
  <c r="M40" i="26"/>
  <c r="K40" i="26"/>
  <c r="K27" i="26"/>
  <c r="M27" i="26"/>
  <c r="L27" i="26"/>
  <c r="L32" i="26"/>
  <c r="M32" i="26"/>
  <c r="K32" i="26"/>
  <c r="I11" i="29"/>
  <c r="J25" i="27" l="1"/>
  <c r="J22" i="27"/>
  <c r="J17" i="27"/>
  <c r="J24" i="27"/>
  <c r="J40" i="27"/>
  <c r="J15" i="27"/>
  <c r="J20" i="27"/>
  <c r="J29" i="27"/>
  <c r="J11" i="27"/>
  <c r="J36" i="27"/>
  <c r="J30" i="27"/>
  <c r="J39" i="27"/>
  <c r="J12" i="27"/>
  <c r="J26" i="27"/>
  <c r="J35" i="27"/>
  <c r="J41" i="27"/>
  <c r="J14" i="27"/>
  <c r="J33" i="27"/>
  <c r="J38" i="27"/>
  <c r="J42" i="27"/>
  <c r="J27" i="27"/>
  <c r="J32" i="27"/>
  <c r="J37" i="27"/>
  <c r="J34" i="27"/>
  <c r="J31" i="27"/>
  <c r="J19" i="27"/>
  <c r="J21" i="27"/>
  <c r="J13" i="27"/>
  <c r="J23" i="27"/>
  <c r="J28" i="27"/>
  <c r="J16" i="27"/>
  <c r="J18" i="27"/>
  <c r="J16" i="25"/>
  <c r="J57" i="25"/>
  <c r="J47" i="25"/>
  <c r="J42" i="25"/>
  <c r="J15" i="25"/>
  <c r="J52" i="25"/>
  <c r="J55" i="25"/>
  <c r="J22" i="25"/>
  <c r="J29" i="25"/>
  <c r="J50" i="25"/>
  <c r="J18" i="25"/>
  <c r="J46" i="25"/>
  <c r="J25" i="25"/>
  <c r="J61" i="25"/>
  <c r="J44" i="25"/>
  <c r="J23" i="25"/>
  <c r="J45" i="25"/>
  <c r="J51" i="25"/>
  <c r="J53" i="25"/>
  <c r="J20" i="25"/>
  <c r="J26" i="25"/>
  <c r="J34" i="25"/>
  <c r="J32" i="25"/>
  <c r="J27" i="25"/>
  <c r="J39" i="25"/>
  <c r="J54" i="25"/>
  <c r="J35" i="25"/>
  <c r="J14" i="25"/>
  <c r="J12" i="25"/>
  <c r="J43" i="25"/>
  <c r="J58" i="25"/>
  <c r="J19" i="25"/>
  <c r="J13" i="25"/>
  <c r="J59" i="25"/>
  <c r="J38" i="25"/>
  <c r="J37" i="25"/>
  <c r="J24" i="25"/>
  <c r="J60" i="25"/>
  <c r="J11" i="25"/>
  <c r="J56" i="25"/>
  <c r="J36" i="25"/>
  <c r="J33" i="25"/>
  <c r="J28" i="25"/>
  <c r="J31" i="25"/>
  <c r="J41" i="25"/>
  <c r="J21" i="25"/>
  <c r="J49" i="25"/>
  <c r="J40" i="25"/>
  <c r="J17" i="25"/>
  <c r="J48" i="25"/>
  <c r="J28" i="24"/>
  <c r="J27" i="24"/>
  <c r="J13" i="24"/>
  <c r="J26" i="24"/>
  <c r="J20" i="24"/>
  <c r="J23" i="24"/>
  <c r="J12" i="24"/>
  <c r="J33" i="24"/>
  <c r="J30" i="24"/>
  <c r="J25" i="24"/>
  <c r="J15" i="24"/>
  <c r="J31" i="24"/>
  <c r="J14" i="24"/>
  <c r="J24" i="24"/>
  <c r="J32" i="24"/>
  <c r="J19" i="24"/>
  <c r="J17" i="24"/>
  <c r="J21" i="24"/>
  <c r="J29" i="24"/>
  <c r="J18" i="24"/>
  <c r="J16" i="24"/>
  <c r="J34" i="24"/>
  <c r="J22" i="24"/>
  <c r="J40" i="23"/>
  <c r="J35" i="23"/>
  <c r="J17" i="23"/>
  <c r="J39" i="23"/>
  <c r="J19" i="23"/>
  <c r="J23" i="23"/>
  <c r="J11" i="23"/>
  <c r="J41" i="23"/>
  <c r="J44" i="23"/>
  <c r="J43" i="23"/>
  <c r="J15" i="23"/>
  <c r="J16" i="23"/>
  <c r="J27" i="23"/>
  <c r="J12" i="23"/>
  <c r="J50" i="23"/>
  <c r="J49" i="23"/>
  <c r="J42" i="23"/>
  <c r="J48" i="23"/>
  <c r="J24" i="23"/>
  <c r="J34" i="23"/>
  <c r="J29" i="23"/>
  <c r="J47" i="23"/>
  <c r="J33" i="23"/>
  <c r="J46" i="23"/>
  <c r="J20" i="23"/>
  <c r="J22" i="23"/>
  <c r="J25" i="23"/>
  <c r="J32" i="23"/>
  <c r="J38" i="23"/>
  <c r="J31" i="23"/>
  <c r="J28" i="23"/>
  <c r="J45" i="23"/>
  <c r="J36" i="23"/>
  <c r="J30" i="23"/>
  <c r="J18" i="23"/>
  <c r="J26" i="23"/>
  <c r="J37" i="23"/>
  <c r="J14" i="23"/>
  <c r="J21" i="23"/>
  <c r="J13" i="23"/>
  <c r="J55" i="22"/>
  <c r="J22" i="22"/>
  <c r="J15" i="22"/>
  <c r="J64" i="22"/>
  <c r="J19" i="22"/>
  <c r="J53" i="22"/>
  <c r="J59" i="22"/>
  <c r="J20" i="22"/>
  <c r="J24" i="22"/>
  <c r="J27" i="22"/>
  <c r="J42" i="22"/>
  <c r="J33" i="22"/>
  <c r="J16" i="22"/>
  <c r="J38" i="22"/>
  <c r="J66" i="22"/>
  <c r="J44" i="22"/>
  <c r="J12" i="22"/>
  <c r="J40" i="22"/>
  <c r="J48" i="22"/>
  <c r="J32" i="22"/>
  <c r="J23" i="22"/>
  <c r="J49" i="22"/>
  <c r="J17" i="22"/>
  <c r="J41" i="22"/>
  <c r="J47" i="22"/>
  <c r="J61" i="22"/>
  <c r="J57" i="22"/>
  <c r="J45" i="22"/>
  <c r="J63" i="22"/>
  <c r="J29" i="22"/>
  <c r="J36" i="22"/>
  <c r="J25" i="22"/>
  <c r="J50" i="22"/>
  <c r="J60" i="22"/>
  <c r="J56" i="22"/>
  <c r="J46" i="22"/>
  <c r="J58" i="22"/>
  <c r="J54" i="22"/>
  <c r="J39" i="22"/>
  <c r="J65" i="22"/>
  <c r="J62" i="22"/>
  <c r="J13" i="22"/>
  <c r="J34" i="22"/>
  <c r="J18" i="22"/>
  <c r="J51" i="22"/>
  <c r="J35" i="22"/>
  <c r="J31" i="22"/>
  <c r="J28" i="22"/>
  <c r="J52" i="22"/>
  <c r="J21" i="22"/>
  <c r="J26" i="22"/>
  <c r="J43" i="22"/>
  <c r="J30" i="22"/>
  <c r="J11" i="22"/>
  <c r="J37" i="22"/>
  <c r="J14" i="22"/>
  <c r="J45" i="16"/>
  <c r="J38" i="16"/>
  <c r="J30" i="16"/>
  <c r="J60" i="16"/>
  <c r="J16" i="16"/>
  <c r="J49" i="16"/>
  <c r="J46" i="16"/>
  <c r="J40" i="16"/>
  <c r="J50" i="16"/>
  <c r="J73" i="16"/>
  <c r="J25" i="16"/>
  <c r="J43" i="16"/>
  <c r="J56" i="16"/>
  <c r="J35" i="16"/>
  <c r="J58" i="16"/>
  <c r="J74" i="16"/>
  <c r="J65" i="16"/>
  <c r="J70" i="16"/>
  <c r="J18" i="16"/>
  <c r="J72" i="16"/>
  <c r="J21" i="16"/>
  <c r="J42" i="16"/>
  <c r="J71" i="16"/>
  <c r="J57" i="16"/>
  <c r="J51" i="16"/>
  <c r="J36" i="16"/>
  <c r="J59" i="16"/>
  <c r="J14" i="16"/>
  <c r="J28" i="16"/>
  <c r="J32" i="16"/>
  <c r="J20" i="16"/>
  <c r="J48" i="16"/>
  <c r="J19" i="16"/>
  <c r="J64" i="16"/>
  <c r="J11" i="16"/>
  <c r="J41" i="16"/>
  <c r="J24" i="16"/>
  <c r="J31" i="16"/>
  <c r="J54" i="16"/>
  <c r="J17" i="16"/>
  <c r="J47" i="16"/>
  <c r="J62" i="16"/>
  <c r="J52" i="16"/>
  <c r="J39" i="16"/>
  <c r="J12" i="16"/>
  <c r="J34" i="16"/>
  <c r="J29" i="16"/>
  <c r="J15" i="16"/>
  <c r="J67" i="16"/>
  <c r="J53" i="16"/>
  <c r="J13" i="16"/>
  <c r="J63" i="16"/>
  <c r="J66" i="16"/>
  <c r="J69" i="16"/>
  <c r="J44" i="16"/>
  <c r="J27" i="16"/>
  <c r="J55" i="16"/>
  <c r="J33" i="16"/>
  <c r="J22" i="16"/>
  <c r="J68" i="16"/>
  <c r="J26" i="16"/>
  <c r="J61" i="16"/>
  <c r="J37" i="16"/>
  <c r="J23" i="16"/>
  <c r="J70" i="21"/>
  <c r="J71" i="21"/>
  <c r="J64" i="21"/>
  <c r="J38" i="21"/>
  <c r="J21" i="21"/>
  <c r="J41" i="21"/>
  <c r="J46" i="21"/>
  <c r="J56" i="21"/>
  <c r="J52" i="21"/>
  <c r="J59" i="21"/>
  <c r="J23" i="21"/>
  <c r="J31" i="21"/>
  <c r="J24" i="21"/>
  <c r="J30" i="21"/>
  <c r="J54" i="21"/>
  <c r="J74" i="21"/>
  <c r="J29" i="21"/>
  <c r="J53" i="21"/>
  <c r="J45" i="21"/>
  <c r="J11" i="21"/>
  <c r="J40" i="21"/>
  <c r="J18" i="21"/>
  <c r="J25" i="21"/>
  <c r="J20" i="21"/>
  <c r="J63" i="21"/>
  <c r="J44" i="21"/>
  <c r="J35" i="21"/>
  <c r="J37" i="21"/>
  <c r="J67" i="21"/>
  <c r="J61" i="21"/>
  <c r="J48" i="21"/>
  <c r="J66" i="21"/>
  <c r="J28" i="21"/>
  <c r="J55" i="21"/>
  <c r="J32" i="21"/>
  <c r="J65" i="21"/>
  <c r="J57" i="21"/>
  <c r="J72" i="21"/>
  <c r="J58" i="21"/>
  <c r="J60" i="21"/>
  <c r="J17" i="21"/>
  <c r="J68" i="21"/>
  <c r="J39" i="21"/>
  <c r="J73" i="21"/>
  <c r="J16" i="21"/>
  <c r="J36" i="21"/>
  <c r="J19" i="21"/>
  <c r="J15" i="21"/>
  <c r="J51" i="21"/>
  <c r="J34" i="21"/>
  <c r="J49" i="21"/>
  <c r="J50" i="21"/>
  <c r="J26" i="21"/>
  <c r="J62" i="21"/>
  <c r="J47" i="21"/>
  <c r="J42" i="21"/>
  <c r="J14" i="21"/>
  <c r="J12" i="21"/>
  <c r="J27" i="21"/>
  <c r="J13" i="21"/>
  <c r="J33" i="21"/>
  <c r="J69" i="21"/>
  <c r="J22" i="21"/>
  <c r="K71" i="21" l="1"/>
  <c r="L71" i="21"/>
  <c r="M71" i="21"/>
  <c r="K72" i="21"/>
  <c r="M72" i="21"/>
  <c r="L72" i="21"/>
  <c r="L73" i="21"/>
  <c r="M73" i="21"/>
  <c r="K73" i="21"/>
  <c r="M74" i="21"/>
  <c r="K74" i="21"/>
  <c r="L74" i="21"/>
  <c r="G74" i="21" s="1"/>
  <c r="K27" i="21"/>
  <c r="L27" i="21"/>
  <c r="M27" i="21"/>
  <c r="M49" i="21"/>
  <c r="K49" i="21"/>
  <c r="L49" i="21"/>
  <c r="K39" i="21"/>
  <c r="L39" i="21"/>
  <c r="M39" i="21"/>
  <c r="K58" i="21"/>
  <c r="L58" i="21"/>
  <c r="M58" i="21"/>
  <c r="L48" i="21"/>
  <c r="M48" i="21"/>
  <c r="K48" i="21"/>
  <c r="L25" i="21"/>
  <c r="K25" i="21"/>
  <c r="M25" i="21"/>
  <c r="K54" i="21"/>
  <c r="L54" i="21"/>
  <c r="M54" i="21"/>
  <c r="K64" i="21"/>
  <c r="L64" i="21"/>
  <c r="M64" i="21"/>
  <c r="K12" i="21"/>
  <c r="L12" i="21"/>
  <c r="M12" i="21"/>
  <c r="L34" i="21"/>
  <c r="M34" i="21"/>
  <c r="K34" i="21"/>
  <c r="L68" i="21"/>
  <c r="M68" i="21"/>
  <c r="K68" i="21"/>
  <c r="K61" i="21"/>
  <c r="L61" i="21"/>
  <c r="M61" i="21"/>
  <c r="M18" i="21"/>
  <c r="K18" i="21"/>
  <c r="L18" i="21"/>
  <c r="M30" i="21"/>
  <c r="K30" i="21"/>
  <c r="L30" i="21"/>
  <c r="L41" i="21"/>
  <c r="M41" i="21"/>
  <c r="K41" i="21"/>
  <c r="M33" i="21"/>
  <c r="L33" i="21"/>
  <c r="K33" i="21"/>
  <c r="I33" i="21" s="1"/>
  <c r="M14" i="21"/>
  <c r="L14" i="21"/>
  <c r="K14" i="21"/>
  <c r="L26" i="21"/>
  <c r="K26" i="21"/>
  <c r="M26" i="21"/>
  <c r="L51" i="21"/>
  <c r="M51" i="21"/>
  <c r="K51" i="21"/>
  <c r="K16" i="21"/>
  <c r="I16" i="21" s="1"/>
  <c r="L16" i="21"/>
  <c r="M16" i="21"/>
  <c r="K17" i="21"/>
  <c r="L17" i="21"/>
  <c r="M17" i="21"/>
  <c r="M57" i="21"/>
  <c r="K57" i="21"/>
  <c r="L57" i="21"/>
  <c r="K28" i="21"/>
  <c r="L28" i="21"/>
  <c r="M28" i="21"/>
  <c r="K67" i="21"/>
  <c r="L67" i="21"/>
  <c r="M67" i="21"/>
  <c r="L63" i="21"/>
  <c r="M63" i="21"/>
  <c r="K63" i="21"/>
  <c r="M40" i="21"/>
  <c r="L40" i="21"/>
  <c r="K40" i="21"/>
  <c r="M29" i="21"/>
  <c r="L29" i="21"/>
  <c r="K29" i="21"/>
  <c r="M24" i="21"/>
  <c r="L24" i="21"/>
  <c r="K24" i="21"/>
  <c r="M52" i="21"/>
  <c r="K52" i="21"/>
  <c r="L52" i="21"/>
  <c r="M21" i="21"/>
  <c r="L21" i="21"/>
  <c r="K21" i="21"/>
  <c r="K70" i="21"/>
  <c r="L70" i="21"/>
  <c r="M70" i="21"/>
  <c r="L22" i="21"/>
  <c r="K22" i="21"/>
  <c r="M22" i="21"/>
  <c r="K47" i="21"/>
  <c r="L47" i="21"/>
  <c r="M47" i="21"/>
  <c r="K19" i="21"/>
  <c r="I19" i="21" s="1"/>
  <c r="L19" i="21"/>
  <c r="M19" i="21"/>
  <c r="L32" i="21"/>
  <c r="M32" i="21"/>
  <c r="K32" i="21"/>
  <c r="M35" i="21"/>
  <c r="K35" i="21"/>
  <c r="L35" i="21"/>
  <c r="K45" i="21"/>
  <c r="M45" i="21"/>
  <c r="L45" i="21"/>
  <c r="L23" i="21"/>
  <c r="M23" i="21"/>
  <c r="K23" i="21"/>
  <c r="M46" i="21"/>
  <c r="L46" i="21"/>
  <c r="K46" i="21"/>
  <c r="M69" i="21"/>
  <c r="L69" i="21"/>
  <c r="K69" i="21"/>
  <c r="I69" i="21" s="1"/>
  <c r="L62" i="21"/>
  <c r="M62" i="21"/>
  <c r="K62" i="21"/>
  <c r="I62" i="21" s="1"/>
  <c r="K36" i="21"/>
  <c r="I36" i="21" s="1"/>
  <c r="L36" i="21"/>
  <c r="M36" i="21"/>
  <c r="M55" i="21"/>
  <c r="K55" i="21"/>
  <c r="L55" i="21"/>
  <c r="K44" i="21"/>
  <c r="L44" i="21"/>
  <c r="M44" i="21"/>
  <c r="L53" i="21"/>
  <c r="K53" i="21"/>
  <c r="M53" i="21"/>
  <c r="K59" i="21"/>
  <c r="L59" i="21"/>
  <c r="M59" i="21"/>
  <c r="K13" i="21"/>
  <c r="L13" i="21"/>
  <c r="M13" i="21"/>
  <c r="M42" i="21"/>
  <c r="L42" i="21"/>
  <c r="K42" i="21"/>
  <c r="I42" i="21" s="1"/>
  <c r="K50" i="21"/>
  <c r="L50" i="21"/>
  <c r="M50" i="21"/>
  <c r="M15" i="21"/>
  <c r="L15" i="21"/>
  <c r="K15" i="21"/>
  <c r="I15" i="21" s="1"/>
  <c r="K60" i="21"/>
  <c r="L60" i="21"/>
  <c r="M60" i="21"/>
  <c r="M65" i="21"/>
  <c r="K65" i="21"/>
  <c r="L65" i="21"/>
  <c r="M66" i="21"/>
  <c r="L66" i="21"/>
  <c r="K66" i="21"/>
  <c r="L37" i="21"/>
  <c r="M37" i="21"/>
  <c r="K37" i="21"/>
  <c r="K20" i="21"/>
  <c r="L20" i="21"/>
  <c r="M20" i="21"/>
  <c r="M11" i="21"/>
  <c r="L11" i="21"/>
  <c r="K11" i="21"/>
  <c r="K31" i="21"/>
  <c r="L31" i="21"/>
  <c r="M31" i="21"/>
  <c r="M56" i="21"/>
  <c r="K56" i="21"/>
  <c r="L56" i="21"/>
  <c r="L38" i="21"/>
  <c r="M38" i="21"/>
  <c r="K38" i="21"/>
  <c r="K17" i="25"/>
  <c r="L17" i="25"/>
  <c r="M17" i="25"/>
  <c r="K22" i="25"/>
  <c r="L22" i="25"/>
  <c r="M22" i="25"/>
  <c r="M33" i="25"/>
  <c r="K33" i="25"/>
  <c r="L33" i="25"/>
  <c r="L37" i="25"/>
  <c r="K37" i="25"/>
  <c r="M37" i="25"/>
  <c r="K19" i="25"/>
  <c r="M19" i="25"/>
  <c r="L19" i="25"/>
  <c r="K12" i="25"/>
  <c r="L12" i="25"/>
  <c r="M12" i="25"/>
  <c r="M34" i="25"/>
  <c r="K34" i="25"/>
  <c r="L34" i="25"/>
  <c r="K53" i="25"/>
  <c r="L53" i="25"/>
  <c r="M53" i="25"/>
  <c r="K44" i="25"/>
  <c r="L44" i="25"/>
  <c r="M44" i="25"/>
  <c r="M18" i="25"/>
  <c r="K18" i="25"/>
  <c r="L18" i="25"/>
  <c r="M55" i="25"/>
  <c r="L55" i="25"/>
  <c r="K55" i="25"/>
  <c r="M15" i="25"/>
  <c r="K15" i="25"/>
  <c r="L15" i="25"/>
  <c r="K28" i="25"/>
  <c r="L28" i="25"/>
  <c r="M28" i="25"/>
  <c r="K13" i="25"/>
  <c r="L13" i="25"/>
  <c r="M13" i="25"/>
  <c r="M54" i="25"/>
  <c r="K54" i="25"/>
  <c r="L54" i="25"/>
  <c r="L23" i="25"/>
  <c r="K23" i="25"/>
  <c r="M23" i="25"/>
  <c r="L52" i="25"/>
  <c r="M52" i="25"/>
  <c r="K52" i="25"/>
  <c r="K49" i="25"/>
  <c r="L49" i="25"/>
  <c r="M49" i="25"/>
  <c r="L31" i="25"/>
  <c r="K31" i="25"/>
  <c r="M31" i="25"/>
  <c r="K11" i="25"/>
  <c r="L11" i="25"/>
  <c r="M11" i="25"/>
  <c r="K38" i="25"/>
  <c r="L38" i="25"/>
  <c r="M38" i="25"/>
  <c r="L58" i="25"/>
  <c r="M58" i="25"/>
  <c r="K58" i="25"/>
  <c r="K14" i="25"/>
  <c r="L14" i="25"/>
  <c r="M14" i="25"/>
  <c r="L39" i="25"/>
  <c r="M39" i="25"/>
  <c r="K39" i="25"/>
  <c r="L26" i="25"/>
  <c r="M26" i="25"/>
  <c r="K26" i="25"/>
  <c r="K51" i="25"/>
  <c r="L51" i="25"/>
  <c r="M51" i="25"/>
  <c r="M61" i="25"/>
  <c r="K61" i="25"/>
  <c r="L61" i="25"/>
  <c r="L50" i="25"/>
  <c r="M50" i="25"/>
  <c r="K50" i="25"/>
  <c r="K42" i="25"/>
  <c r="L42" i="25"/>
  <c r="M42" i="25"/>
  <c r="K21" i="25"/>
  <c r="L21" i="25"/>
  <c r="M21" i="25"/>
  <c r="L24" i="25"/>
  <c r="M24" i="25"/>
  <c r="K24" i="25"/>
  <c r="M43" i="25"/>
  <c r="K43" i="25"/>
  <c r="L43" i="25"/>
  <c r="L32" i="25"/>
  <c r="K32" i="25"/>
  <c r="M32" i="25"/>
  <c r="M57" i="25"/>
  <c r="L57" i="25"/>
  <c r="K57" i="25"/>
  <c r="M41" i="25"/>
  <c r="K41" i="25"/>
  <c r="L41" i="25"/>
  <c r="K48" i="25"/>
  <c r="M48" i="25"/>
  <c r="L48" i="25"/>
  <c r="K56" i="25"/>
  <c r="L56" i="25"/>
  <c r="M56" i="25"/>
  <c r="L60" i="25"/>
  <c r="M60" i="25"/>
  <c r="K60" i="25"/>
  <c r="K59" i="25"/>
  <c r="L59" i="25"/>
  <c r="M59" i="25"/>
  <c r="K35" i="25"/>
  <c r="L35" i="25"/>
  <c r="M35" i="25"/>
  <c r="M27" i="25"/>
  <c r="K27" i="25"/>
  <c r="L27" i="25"/>
  <c r="L20" i="25"/>
  <c r="M20" i="25"/>
  <c r="K20" i="25"/>
  <c r="K45" i="25"/>
  <c r="L45" i="25"/>
  <c r="M45" i="25"/>
  <c r="K25" i="25"/>
  <c r="L25" i="25"/>
  <c r="M25" i="25"/>
  <c r="K29" i="25"/>
  <c r="L29" i="25"/>
  <c r="M29" i="25"/>
  <c r="M16" i="25"/>
  <c r="K16" i="25"/>
  <c r="L16" i="25"/>
  <c r="M47" i="25"/>
  <c r="K47" i="25"/>
  <c r="L47" i="25"/>
  <c r="K40" i="25"/>
  <c r="L40" i="25"/>
  <c r="M40" i="25"/>
  <c r="M46" i="25"/>
  <c r="K46" i="25"/>
  <c r="L46" i="25"/>
  <c r="L23" i="16"/>
  <c r="M23" i="16"/>
  <c r="K23" i="16"/>
  <c r="M63" i="16"/>
  <c r="K63" i="16"/>
  <c r="L63" i="16"/>
  <c r="M17" i="16"/>
  <c r="K17" i="16"/>
  <c r="L17" i="16"/>
  <c r="M14" i="16"/>
  <c r="K14" i="16"/>
  <c r="L14" i="16"/>
  <c r="L74" i="16"/>
  <c r="K74" i="16"/>
  <c r="M74" i="16"/>
  <c r="L60" i="16"/>
  <c r="K60" i="16"/>
  <c r="M60" i="16"/>
  <c r="L37" i="16"/>
  <c r="K37" i="16"/>
  <c r="M37" i="16"/>
  <c r="M22" i="16"/>
  <c r="K22" i="16"/>
  <c r="L22" i="16"/>
  <c r="L44" i="16"/>
  <c r="M44" i="16"/>
  <c r="K44" i="16"/>
  <c r="K13" i="16"/>
  <c r="M13" i="16"/>
  <c r="L13" i="16"/>
  <c r="K29" i="16"/>
  <c r="M29" i="16"/>
  <c r="L29" i="16"/>
  <c r="K52" i="16"/>
  <c r="M52" i="16"/>
  <c r="L52" i="16"/>
  <c r="L54" i="16"/>
  <c r="M54" i="16"/>
  <c r="K54" i="16"/>
  <c r="L11" i="16"/>
  <c r="M11" i="16"/>
  <c r="K11" i="16"/>
  <c r="L20" i="16"/>
  <c r="M20" i="16"/>
  <c r="K20" i="16"/>
  <c r="L59" i="16"/>
  <c r="M59" i="16"/>
  <c r="K59" i="16"/>
  <c r="K71" i="16"/>
  <c r="L71" i="16"/>
  <c r="M71" i="16"/>
  <c r="M18" i="16"/>
  <c r="K18" i="16"/>
  <c r="L18" i="16"/>
  <c r="L58" i="16"/>
  <c r="M58" i="16"/>
  <c r="K58" i="16"/>
  <c r="L25" i="16"/>
  <c r="K25" i="16"/>
  <c r="M25" i="16"/>
  <c r="K46" i="16"/>
  <c r="L46" i="16"/>
  <c r="M46" i="16"/>
  <c r="L30" i="16"/>
  <c r="M30" i="16"/>
  <c r="K30" i="16"/>
  <c r="K68" i="16"/>
  <c r="L68" i="16"/>
  <c r="M68" i="16"/>
  <c r="M15" i="16"/>
  <c r="K15" i="16"/>
  <c r="L15" i="16"/>
  <c r="K41" i="16"/>
  <c r="L41" i="16"/>
  <c r="M41" i="16"/>
  <c r="M57" i="16"/>
  <c r="K57" i="16"/>
  <c r="L57" i="16"/>
  <c r="K43" i="16"/>
  <c r="M43" i="16"/>
  <c r="L43" i="16"/>
  <c r="K61" i="16"/>
  <c r="L61" i="16"/>
  <c r="M61" i="16"/>
  <c r="K33" i="16"/>
  <c r="L33" i="16"/>
  <c r="M33" i="16"/>
  <c r="L69" i="16"/>
  <c r="K69" i="16"/>
  <c r="M69" i="16"/>
  <c r="K53" i="16"/>
  <c r="L53" i="16"/>
  <c r="M53" i="16"/>
  <c r="L34" i="16"/>
  <c r="K34" i="16"/>
  <c r="M34" i="16"/>
  <c r="M62" i="16"/>
  <c r="K62" i="16"/>
  <c r="L62" i="16"/>
  <c r="L31" i="16"/>
  <c r="M31" i="16"/>
  <c r="K31" i="16"/>
  <c r="L64" i="16"/>
  <c r="M64" i="16"/>
  <c r="K64" i="16"/>
  <c r="M32" i="16"/>
  <c r="K32" i="16"/>
  <c r="L32" i="16"/>
  <c r="L36" i="16"/>
  <c r="K36" i="16"/>
  <c r="M36" i="16"/>
  <c r="K42" i="16"/>
  <c r="L42" i="16"/>
  <c r="M42" i="16"/>
  <c r="M70" i="16"/>
  <c r="K70" i="16"/>
  <c r="L70" i="16"/>
  <c r="M35" i="16"/>
  <c r="K35" i="16"/>
  <c r="L35" i="16"/>
  <c r="M73" i="16"/>
  <c r="L73" i="16"/>
  <c r="K73" i="16"/>
  <c r="M49" i="16"/>
  <c r="K49" i="16"/>
  <c r="L49" i="16"/>
  <c r="M38" i="16"/>
  <c r="K38" i="16"/>
  <c r="L38" i="16"/>
  <c r="K27" i="16"/>
  <c r="L27" i="16"/>
  <c r="M27" i="16"/>
  <c r="K39" i="16"/>
  <c r="L39" i="16"/>
  <c r="M39" i="16"/>
  <c r="M48" i="16"/>
  <c r="K48" i="16"/>
  <c r="L48" i="16"/>
  <c r="L72" i="16"/>
  <c r="K72" i="16"/>
  <c r="M72" i="16"/>
  <c r="L40" i="16"/>
  <c r="M40" i="16"/>
  <c r="K40" i="16"/>
  <c r="M26" i="16"/>
  <c r="K26" i="16"/>
  <c r="L26" i="16"/>
  <c r="L55" i="16"/>
  <c r="K55" i="16"/>
  <c r="M55" i="16"/>
  <c r="K66" i="16"/>
  <c r="M66" i="16"/>
  <c r="L66" i="16"/>
  <c r="M67" i="16"/>
  <c r="K67" i="16"/>
  <c r="L67" i="16"/>
  <c r="K12" i="16"/>
  <c r="M12" i="16"/>
  <c r="L12" i="16"/>
  <c r="L47" i="16"/>
  <c r="M47" i="16"/>
  <c r="K47" i="16"/>
  <c r="K24" i="16"/>
  <c r="L24" i="16"/>
  <c r="M24" i="16"/>
  <c r="M19" i="16"/>
  <c r="K19" i="16"/>
  <c r="L19" i="16"/>
  <c r="L28" i="16"/>
  <c r="M28" i="16"/>
  <c r="K28" i="16"/>
  <c r="M51" i="16"/>
  <c r="K51" i="16"/>
  <c r="L51" i="16"/>
  <c r="K21" i="16"/>
  <c r="L21" i="16"/>
  <c r="M21" i="16"/>
  <c r="L65" i="16"/>
  <c r="M65" i="16"/>
  <c r="K65" i="16"/>
  <c r="L56" i="16"/>
  <c r="M56" i="16"/>
  <c r="K56" i="16"/>
  <c r="L50" i="16"/>
  <c r="M50" i="16"/>
  <c r="K50" i="16"/>
  <c r="K16" i="16"/>
  <c r="M16" i="16"/>
  <c r="L16" i="16"/>
  <c r="K45" i="16"/>
  <c r="L45" i="16"/>
  <c r="M45" i="16"/>
  <c r="M34" i="27"/>
  <c r="K34" i="27"/>
  <c r="L34" i="27"/>
  <c r="M24" i="27"/>
  <c r="L24" i="27"/>
  <c r="K24" i="27"/>
  <c r="K16" i="27"/>
  <c r="L16" i="27"/>
  <c r="M16" i="27"/>
  <c r="K21" i="27"/>
  <c r="L21" i="27"/>
  <c r="M21" i="27"/>
  <c r="K37" i="27"/>
  <c r="L37" i="27"/>
  <c r="M37" i="27"/>
  <c r="K38" i="27"/>
  <c r="L38" i="27"/>
  <c r="M38" i="27"/>
  <c r="M35" i="27"/>
  <c r="K35" i="27"/>
  <c r="L35" i="27"/>
  <c r="L30" i="27"/>
  <c r="M30" i="27"/>
  <c r="K30" i="27"/>
  <c r="L20" i="27"/>
  <c r="K20" i="27"/>
  <c r="M20" i="27"/>
  <c r="L17" i="27"/>
  <c r="M17" i="27"/>
  <c r="K17" i="27"/>
  <c r="M18" i="27"/>
  <c r="L18" i="27"/>
  <c r="K18" i="27"/>
  <c r="K42" i="27"/>
  <c r="L42" i="27"/>
  <c r="M42" i="27"/>
  <c r="K29" i="27"/>
  <c r="L29" i="27"/>
  <c r="M29" i="27"/>
  <c r="K28" i="27"/>
  <c r="M28" i="27"/>
  <c r="L28" i="27"/>
  <c r="K19" i="27"/>
  <c r="M19" i="27"/>
  <c r="L19" i="27"/>
  <c r="M32" i="27"/>
  <c r="L32" i="27"/>
  <c r="K32" i="27"/>
  <c r="L33" i="27"/>
  <c r="K33" i="27"/>
  <c r="M33" i="27"/>
  <c r="M26" i="27"/>
  <c r="L26" i="27"/>
  <c r="K26" i="27"/>
  <c r="L36" i="27"/>
  <c r="K36" i="27"/>
  <c r="M36" i="27"/>
  <c r="L15" i="27"/>
  <c r="M15" i="27"/>
  <c r="K15" i="27"/>
  <c r="L22" i="27"/>
  <c r="K22" i="27"/>
  <c r="M22" i="27"/>
  <c r="M13" i="27"/>
  <c r="L13" i="27"/>
  <c r="K13" i="27"/>
  <c r="M41" i="27"/>
  <c r="L41" i="27"/>
  <c r="K41" i="27"/>
  <c r="M39" i="27"/>
  <c r="L39" i="27"/>
  <c r="K39" i="27"/>
  <c r="M23" i="27"/>
  <c r="K23" i="27"/>
  <c r="L23" i="27"/>
  <c r="M31" i="27"/>
  <c r="K31" i="27"/>
  <c r="L31" i="27"/>
  <c r="M27" i="27"/>
  <c r="K27" i="27"/>
  <c r="L27" i="27"/>
  <c r="M14" i="27"/>
  <c r="L14" i="27"/>
  <c r="K14" i="27"/>
  <c r="L12" i="27"/>
  <c r="M12" i="27"/>
  <c r="K12" i="27"/>
  <c r="K11" i="27"/>
  <c r="L11" i="27"/>
  <c r="M11" i="27"/>
  <c r="K40" i="27"/>
  <c r="L40" i="27"/>
  <c r="M40" i="27"/>
  <c r="K25" i="27"/>
  <c r="M25" i="27"/>
  <c r="L25" i="27"/>
  <c r="M36" i="25"/>
  <c r="L36" i="25"/>
  <c r="K36" i="25"/>
  <c r="K32" i="24"/>
  <c r="L32" i="24"/>
  <c r="M32" i="24"/>
  <c r="M13" i="24"/>
  <c r="L13" i="24"/>
  <c r="K13" i="24"/>
  <c r="K34" i="24"/>
  <c r="L34" i="24"/>
  <c r="M34" i="24"/>
  <c r="L21" i="24"/>
  <c r="K21" i="24"/>
  <c r="M21" i="24"/>
  <c r="K24" i="24"/>
  <c r="L24" i="24"/>
  <c r="M24" i="24"/>
  <c r="L25" i="24"/>
  <c r="K25" i="24"/>
  <c r="M25" i="24"/>
  <c r="K23" i="24"/>
  <c r="L23" i="24"/>
  <c r="M23" i="24"/>
  <c r="L27" i="24"/>
  <c r="K27" i="24"/>
  <c r="M27" i="24"/>
  <c r="K29" i="24"/>
  <c r="L29" i="24"/>
  <c r="M29" i="24"/>
  <c r="M12" i="24"/>
  <c r="L12" i="24"/>
  <c r="K12" i="24"/>
  <c r="K16" i="24"/>
  <c r="L16" i="24"/>
  <c r="M16" i="24"/>
  <c r="M17" i="24"/>
  <c r="L17" i="24"/>
  <c r="K17" i="24"/>
  <c r="K14" i="24"/>
  <c r="L14" i="24"/>
  <c r="M14" i="24"/>
  <c r="L30" i="24"/>
  <c r="K30" i="24"/>
  <c r="M30" i="24"/>
  <c r="M20" i="24"/>
  <c r="L20" i="24"/>
  <c r="K20" i="24"/>
  <c r="L28" i="24"/>
  <c r="K28" i="24"/>
  <c r="M28" i="24"/>
  <c r="K22" i="24"/>
  <c r="L22" i="24"/>
  <c r="M22" i="24"/>
  <c r="K15" i="24"/>
  <c r="L15" i="24"/>
  <c r="M15" i="24"/>
  <c r="M18" i="24"/>
  <c r="L18" i="24"/>
  <c r="K18" i="24"/>
  <c r="K19" i="24"/>
  <c r="L19" i="24"/>
  <c r="M19" i="24"/>
  <c r="K31" i="24"/>
  <c r="L31" i="24"/>
  <c r="M31" i="24"/>
  <c r="L33" i="24"/>
  <c r="K33" i="24"/>
  <c r="M33" i="24"/>
  <c r="K26" i="24"/>
  <c r="L26" i="24"/>
  <c r="M26" i="24"/>
  <c r="K13" i="23"/>
  <c r="L13" i="23"/>
  <c r="M13" i="23"/>
  <c r="K45" i="23"/>
  <c r="M45" i="23"/>
  <c r="L45" i="23"/>
  <c r="L34" i="23"/>
  <c r="M34" i="23"/>
  <c r="K34" i="23"/>
  <c r="L16" i="23"/>
  <c r="M16" i="23"/>
  <c r="K16" i="23"/>
  <c r="M39" i="23"/>
  <c r="L39" i="23"/>
  <c r="K39" i="23"/>
  <c r="K21" i="23"/>
  <c r="L21" i="23"/>
  <c r="M21" i="23"/>
  <c r="M18" i="23"/>
  <c r="K18" i="23"/>
  <c r="L18" i="23"/>
  <c r="L28" i="23"/>
  <c r="K28" i="23"/>
  <c r="M28" i="23"/>
  <c r="K25" i="23"/>
  <c r="L25" i="23"/>
  <c r="M25" i="23"/>
  <c r="K33" i="23"/>
  <c r="L33" i="23"/>
  <c r="M33" i="23"/>
  <c r="L24" i="23"/>
  <c r="M24" i="23"/>
  <c r="K24" i="23"/>
  <c r="L50" i="23"/>
  <c r="K50" i="23"/>
  <c r="M50" i="23"/>
  <c r="M15" i="23"/>
  <c r="L15" i="23"/>
  <c r="K15" i="23"/>
  <c r="K11" i="23"/>
  <c r="M11" i="23"/>
  <c r="L11" i="23"/>
  <c r="M17" i="23"/>
  <c r="L17" i="23"/>
  <c r="K17" i="23"/>
  <c r="K26" i="23"/>
  <c r="L26" i="23"/>
  <c r="M26" i="23"/>
  <c r="M32" i="23"/>
  <c r="L32" i="23"/>
  <c r="K32" i="23"/>
  <c r="M49" i="23"/>
  <c r="K49" i="23"/>
  <c r="L49" i="23"/>
  <c r="L41" i="23"/>
  <c r="M41" i="23"/>
  <c r="K41" i="23"/>
  <c r="K14" i="23"/>
  <c r="M14" i="23"/>
  <c r="L14" i="23"/>
  <c r="M30" i="23"/>
  <c r="L30" i="23"/>
  <c r="K30" i="23"/>
  <c r="K31" i="23"/>
  <c r="M31" i="23"/>
  <c r="L31" i="23"/>
  <c r="K22" i="23"/>
  <c r="L22" i="23"/>
  <c r="M22" i="23"/>
  <c r="M47" i="23"/>
  <c r="L47" i="23"/>
  <c r="K47" i="23"/>
  <c r="K48" i="23"/>
  <c r="L48" i="23"/>
  <c r="M48" i="23"/>
  <c r="L12" i="23"/>
  <c r="K12" i="23"/>
  <c r="M12" i="23"/>
  <c r="K43" i="23"/>
  <c r="L43" i="23"/>
  <c r="M43" i="23"/>
  <c r="K23" i="23"/>
  <c r="M23" i="23"/>
  <c r="L23" i="23"/>
  <c r="L35" i="23"/>
  <c r="K35" i="23"/>
  <c r="M35" i="23"/>
  <c r="K46" i="23"/>
  <c r="M46" i="23"/>
  <c r="L46" i="23"/>
  <c r="K37" i="23"/>
  <c r="L37" i="23"/>
  <c r="M37" i="23"/>
  <c r="K36" i="23"/>
  <c r="L36" i="23"/>
  <c r="M36" i="23"/>
  <c r="K38" i="23"/>
  <c r="L38" i="23"/>
  <c r="M38" i="23"/>
  <c r="M20" i="23"/>
  <c r="L20" i="23"/>
  <c r="K20" i="23"/>
  <c r="M29" i="23"/>
  <c r="L29" i="23"/>
  <c r="K29" i="23"/>
  <c r="M42" i="23"/>
  <c r="K42" i="23"/>
  <c r="L42" i="23"/>
  <c r="L27" i="23"/>
  <c r="K27" i="23"/>
  <c r="M27" i="23"/>
  <c r="L44" i="23"/>
  <c r="M44" i="23"/>
  <c r="K44" i="23"/>
  <c r="M19" i="23"/>
  <c r="K19" i="23"/>
  <c r="L19" i="23"/>
  <c r="M40" i="23"/>
  <c r="L40" i="23"/>
  <c r="K40" i="23"/>
  <c r="M43" i="22"/>
  <c r="L43" i="22"/>
  <c r="K43" i="22"/>
  <c r="M18" i="22"/>
  <c r="K18" i="22"/>
  <c r="L18" i="22"/>
  <c r="M46" i="22"/>
  <c r="K46" i="22"/>
  <c r="L46" i="22"/>
  <c r="M45" i="22"/>
  <c r="K45" i="22"/>
  <c r="L45" i="22"/>
  <c r="K32" i="22"/>
  <c r="L32" i="22"/>
  <c r="M32" i="22"/>
  <c r="M33" i="22"/>
  <c r="L33" i="22"/>
  <c r="K33" i="22"/>
  <c r="M20" i="22"/>
  <c r="K20" i="22"/>
  <c r="L20" i="22"/>
  <c r="L37" i="22"/>
  <c r="K37" i="22"/>
  <c r="M37" i="22"/>
  <c r="K31" i="22"/>
  <c r="L31" i="22"/>
  <c r="M31" i="22"/>
  <c r="M56" i="22"/>
  <c r="L56" i="22"/>
  <c r="K56" i="22"/>
  <c r="K57" i="22"/>
  <c r="L57" i="22"/>
  <c r="M57" i="22"/>
  <c r="M48" i="22"/>
  <c r="K48" i="22"/>
  <c r="L48" i="22"/>
  <c r="K42" i="22"/>
  <c r="L42" i="22"/>
  <c r="M42" i="22"/>
  <c r="M59" i="22"/>
  <c r="L59" i="22"/>
  <c r="K59" i="22"/>
  <c r="L11" i="22"/>
  <c r="K11" i="22"/>
  <c r="M11" i="22"/>
  <c r="L21" i="22"/>
  <c r="K21" i="22"/>
  <c r="M21" i="22"/>
  <c r="M35" i="22"/>
  <c r="L35" i="22"/>
  <c r="K35" i="22"/>
  <c r="K13" i="22"/>
  <c r="L13" i="22"/>
  <c r="M13" i="22"/>
  <c r="M54" i="22"/>
  <c r="L54" i="22"/>
  <c r="K54" i="22"/>
  <c r="M60" i="22"/>
  <c r="L60" i="22"/>
  <c r="K60" i="22"/>
  <c r="K29" i="22"/>
  <c r="L29" i="22"/>
  <c r="M29" i="22"/>
  <c r="L61" i="22"/>
  <c r="K61" i="22"/>
  <c r="M61" i="22"/>
  <c r="K49" i="22"/>
  <c r="L49" i="22"/>
  <c r="M49" i="22"/>
  <c r="L40" i="22"/>
  <c r="K40" i="22"/>
  <c r="M40" i="22"/>
  <c r="M38" i="22"/>
  <c r="L38" i="22"/>
  <c r="K38" i="22"/>
  <c r="M27" i="22"/>
  <c r="L27" i="22"/>
  <c r="K27" i="22"/>
  <c r="M53" i="22"/>
  <c r="K53" i="22"/>
  <c r="L53" i="22"/>
  <c r="K22" i="22"/>
  <c r="L22" i="22"/>
  <c r="M22" i="22"/>
  <c r="L14" i="22"/>
  <c r="K14" i="22"/>
  <c r="M14" i="22"/>
  <c r="L28" i="22"/>
  <c r="K28" i="22"/>
  <c r="M28" i="22"/>
  <c r="K65" i="22"/>
  <c r="L65" i="22"/>
  <c r="M65" i="22"/>
  <c r="M25" i="22"/>
  <c r="K25" i="22"/>
  <c r="L25" i="22"/>
  <c r="K41" i="22"/>
  <c r="L41" i="22"/>
  <c r="M41" i="22"/>
  <c r="L44" i="22"/>
  <c r="K44" i="22"/>
  <c r="M44" i="22"/>
  <c r="K64" i="22"/>
  <c r="L64" i="22"/>
  <c r="M64" i="22"/>
  <c r="K26" i="22"/>
  <c r="L26" i="22"/>
  <c r="M26" i="22"/>
  <c r="M34" i="22"/>
  <c r="L34" i="22"/>
  <c r="K34" i="22"/>
  <c r="L39" i="22"/>
  <c r="K39" i="22"/>
  <c r="M39" i="22"/>
  <c r="L36" i="22"/>
  <c r="K36" i="22"/>
  <c r="M36" i="22"/>
  <c r="L17" i="22"/>
  <c r="K17" i="22"/>
  <c r="M17" i="22"/>
  <c r="M66" i="22"/>
  <c r="K66" i="22"/>
  <c r="L66" i="22"/>
  <c r="L15" i="22"/>
  <c r="K15" i="22"/>
  <c r="M15" i="22"/>
  <c r="K30" i="22"/>
  <c r="L30" i="22"/>
  <c r="M30" i="22"/>
  <c r="M52" i="22"/>
  <c r="K52" i="22"/>
  <c r="L52" i="22"/>
  <c r="L51" i="22"/>
  <c r="K51" i="22"/>
  <c r="M51" i="22"/>
  <c r="M62" i="22"/>
  <c r="L62" i="22"/>
  <c r="K62" i="22"/>
  <c r="K58" i="22"/>
  <c r="L58" i="22"/>
  <c r="M58" i="22"/>
  <c r="M50" i="22"/>
  <c r="K50" i="22"/>
  <c r="L50" i="22"/>
  <c r="M63" i="22"/>
  <c r="K63" i="22"/>
  <c r="L63" i="22"/>
  <c r="M47" i="22"/>
  <c r="K47" i="22"/>
  <c r="L47" i="22"/>
  <c r="L23" i="22"/>
  <c r="K23" i="22"/>
  <c r="M23" i="22"/>
  <c r="M12" i="22"/>
  <c r="L12" i="22"/>
  <c r="K12" i="22"/>
  <c r="M16" i="22"/>
  <c r="K16" i="22"/>
  <c r="L16" i="22"/>
  <c r="M24" i="22"/>
  <c r="K24" i="22"/>
  <c r="L24" i="22"/>
  <c r="K19" i="22"/>
  <c r="L19" i="22"/>
  <c r="M19" i="22"/>
  <c r="M55" i="22"/>
  <c r="L55" i="22"/>
  <c r="K55" i="22"/>
  <c r="I22" i="21"/>
  <c r="I47" i="21"/>
  <c r="I13" i="21"/>
  <c r="I27" i="21"/>
  <c r="I49" i="21"/>
  <c r="I12" i="21"/>
  <c r="I34" i="21"/>
  <c r="I14" i="21"/>
  <c r="I26" i="21"/>
  <c r="I51" i="21"/>
  <c r="I50" i="21"/>
  <c r="I73" i="21"/>
  <c r="J12" i="28" l="1"/>
  <c r="J22" i="28"/>
  <c r="J16" i="28"/>
  <c r="J19" i="28"/>
  <c r="J15" i="28"/>
  <c r="J24" i="28"/>
  <c r="J27" i="28"/>
  <c r="J21" i="28"/>
  <c r="J13" i="28"/>
  <c r="J17" i="28"/>
  <c r="J28" i="28"/>
  <c r="J23" i="28"/>
  <c r="J11" i="28"/>
  <c r="J30" i="28"/>
  <c r="J25" i="28"/>
  <c r="J18" i="28"/>
  <c r="J29" i="28"/>
  <c r="J20" i="28"/>
  <c r="J14" i="28"/>
  <c r="J26" i="28"/>
  <c r="G12" i="27"/>
  <c r="I28" i="27"/>
  <c r="I23" i="26"/>
  <c r="I13" i="26"/>
  <c r="I38" i="26"/>
  <c r="J20" i="26"/>
  <c r="I46" i="25"/>
  <c r="G26" i="25"/>
  <c r="I19" i="24"/>
  <c r="I28" i="24"/>
  <c r="I21" i="24"/>
  <c r="G30" i="23"/>
  <c r="I34" i="23"/>
  <c r="I24" i="23"/>
  <c r="G17" i="22"/>
  <c r="I41" i="22"/>
  <c r="G56" i="22"/>
  <c r="I63" i="22"/>
  <c r="G64" i="22"/>
  <c r="G13" i="22"/>
  <c r="G63" i="21"/>
  <c r="G27" i="21"/>
  <c r="G28" i="21"/>
  <c r="J43" i="21"/>
  <c r="G70" i="21"/>
  <c r="I25" i="21"/>
  <c r="I57" i="16"/>
  <c r="I68" i="16"/>
  <c r="I62" i="16"/>
  <c r="G20" i="16"/>
  <c r="I21" i="16"/>
  <c r="G63" i="16"/>
  <c r="I73" i="16"/>
  <c r="I42" i="22"/>
  <c r="G14" i="23"/>
  <c r="G30" i="24"/>
  <c r="G44" i="26"/>
  <c r="I34" i="26"/>
  <c r="G51" i="16"/>
  <c r="G53" i="16"/>
  <c r="G58" i="21"/>
  <c r="I51" i="22"/>
  <c r="G31" i="22"/>
  <c r="I35" i="23"/>
  <c r="I44" i="23"/>
  <c r="I25" i="24"/>
  <c r="I53" i="25"/>
  <c r="G42" i="25"/>
  <c r="G15" i="25"/>
  <c r="G35" i="25"/>
  <c r="G53" i="26"/>
  <c r="I45" i="26"/>
  <c r="G42" i="26"/>
  <c r="G19" i="27"/>
  <c r="I33" i="27"/>
  <c r="G38" i="27"/>
  <c r="I17" i="27"/>
  <c r="G36" i="27"/>
  <c r="I30" i="22"/>
  <c r="G48" i="22"/>
  <c r="I48" i="22"/>
  <c r="I14" i="22"/>
  <c r="G65" i="22"/>
  <c r="K43" i="21" l="1"/>
  <c r="I43" i="21" s="1"/>
  <c r="L43" i="21"/>
  <c r="G43" i="21" s="1"/>
  <c r="M43" i="21"/>
  <c r="M18" i="28"/>
  <c r="K18" i="28"/>
  <c r="L18" i="28"/>
  <c r="M19" i="28"/>
  <c r="K19" i="28"/>
  <c r="L19" i="28"/>
  <c r="L14" i="28"/>
  <c r="M14" i="28"/>
  <c r="K14" i="28"/>
  <c r="K25" i="28"/>
  <c r="L25" i="28"/>
  <c r="M25" i="28"/>
  <c r="L28" i="28"/>
  <c r="M28" i="28"/>
  <c r="K28" i="28"/>
  <c r="K27" i="28"/>
  <c r="L27" i="28"/>
  <c r="M27" i="28"/>
  <c r="K16" i="28"/>
  <c r="I16" i="28" s="1"/>
  <c r="L16" i="28"/>
  <c r="G16" i="28" s="1"/>
  <c r="M16" i="28"/>
  <c r="L21" i="28"/>
  <c r="M21" i="28"/>
  <c r="K21" i="28"/>
  <c r="L20" i="28"/>
  <c r="M20" i="28"/>
  <c r="K20" i="28"/>
  <c r="M30" i="28"/>
  <c r="K30" i="28"/>
  <c r="L30" i="28"/>
  <c r="K17" i="28"/>
  <c r="L17" i="28"/>
  <c r="M17" i="28"/>
  <c r="L24" i="28"/>
  <c r="G24" i="28" s="1"/>
  <c r="K24" i="28"/>
  <c r="M24" i="28"/>
  <c r="M22" i="28"/>
  <c r="K22" i="28"/>
  <c r="I22" i="28" s="1"/>
  <c r="L22" i="28"/>
  <c r="K26" i="28"/>
  <c r="L26" i="28"/>
  <c r="M26" i="28"/>
  <c r="K23" i="28"/>
  <c r="L23" i="28"/>
  <c r="M23" i="28"/>
  <c r="L29" i="28"/>
  <c r="M29" i="28"/>
  <c r="K29" i="28"/>
  <c r="K11" i="28"/>
  <c r="L11" i="28"/>
  <c r="G11" i="28" s="1"/>
  <c r="M11" i="28"/>
  <c r="M13" i="28"/>
  <c r="K13" i="28"/>
  <c r="L13" i="28"/>
  <c r="G13" i="28" s="1"/>
  <c r="K15" i="28"/>
  <c r="L15" i="28"/>
  <c r="G15" i="28" s="1"/>
  <c r="M15" i="28"/>
  <c r="K12" i="28"/>
  <c r="I12" i="28" s="1"/>
  <c r="L12" i="28"/>
  <c r="G12" i="28" s="1"/>
  <c r="M12" i="28"/>
  <c r="M20" i="26"/>
  <c r="L20" i="26"/>
  <c r="G20" i="26" s="1"/>
  <c r="K20" i="26"/>
  <c r="I20" i="26" s="1"/>
  <c r="G30" i="28"/>
  <c r="G17" i="28"/>
  <c r="G26" i="28"/>
  <c r="I26" i="28"/>
  <c r="G23" i="28"/>
  <c r="I24" i="28"/>
  <c r="G25" i="28"/>
  <c r="I25" i="28"/>
  <c r="G28" i="28"/>
  <c r="I28" i="28"/>
  <c r="I27" i="28"/>
  <c r="G27" i="28"/>
  <c r="G31" i="25"/>
  <c r="G49" i="25"/>
  <c r="I13" i="28"/>
  <c r="G14" i="28"/>
  <c r="I38" i="27"/>
  <c r="I25" i="27"/>
  <c r="I41" i="27"/>
  <c r="I34" i="27"/>
  <c r="G29" i="27"/>
  <c r="G13" i="27"/>
  <c r="I20" i="27"/>
  <c r="G18" i="27"/>
  <c r="G33" i="27"/>
  <c r="I39" i="27"/>
  <c r="I27" i="27"/>
  <c r="G46" i="26"/>
  <c r="G23" i="26"/>
  <c r="G17" i="26"/>
  <c r="I35" i="26"/>
  <c r="G25" i="26"/>
  <c r="I36" i="26"/>
  <c r="G21" i="26"/>
  <c r="I50" i="26"/>
  <c r="G34" i="26"/>
  <c r="I52" i="26"/>
  <c r="I42" i="26"/>
  <c r="I29" i="26"/>
  <c r="I22" i="26"/>
  <c r="G15" i="26"/>
  <c r="G32" i="25"/>
  <c r="I38" i="25"/>
  <c r="I33" i="25"/>
  <c r="G52" i="25"/>
  <c r="I18" i="25"/>
  <c r="I60" i="25"/>
  <c r="I25" i="23"/>
  <c r="I31" i="23"/>
  <c r="I48" i="23"/>
  <c r="G26" i="23"/>
  <c r="I27" i="23"/>
  <c r="I24" i="22"/>
  <c r="I65" i="22"/>
  <c r="G63" i="22"/>
  <c r="I59" i="22"/>
  <c r="I18" i="22"/>
  <c r="I64" i="22"/>
  <c r="I28" i="22"/>
  <c r="G26" i="22"/>
  <c r="I62" i="22"/>
  <c r="G30" i="25"/>
  <c r="I41" i="25"/>
  <c r="G21" i="25"/>
  <c r="I40" i="25"/>
  <c r="G17" i="25"/>
  <c r="G21" i="21"/>
  <c r="G41" i="25"/>
  <c r="I49" i="25"/>
  <c r="I30" i="28"/>
  <c r="I40" i="27"/>
  <c r="I35" i="27"/>
  <c r="G21" i="27"/>
  <c r="G30" i="27"/>
  <c r="G41" i="26"/>
  <c r="I49" i="26"/>
  <c r="I48" i="26"/>
  <c r="I31" i="25"/>
  <c r="G40" i="25"/>
  <c r="G19" i="28"/>
  <c r="I21" i="28"/>
  <c r="I17" i="28"/>
  <c r="I23" i="27"/>
  <c r="I26" i="27"/>
  <c r="I14" i="27"/>
  <c r="G54" i="26"/>
  <c r="G32" i="26"/>
  <c r="G47" i="26"/>
  <c r="I54" i="25"/>
  <c r="I19" i="25"/>
  <c r="I29" i="25"/>
  <c r="G12" i="25"/>
  <c r="I23" i="23"/>
  <c r="I17" i="22"/>
  <c r="G51" i="22"/>
  <c r="I22" i="22"/>
  <c r="G40" i="22"/>
  <c r="I20" i="22"/>
  <c r="I33" i="22"/>
  <c r="I32" i="22"/>
  <c r="G47" i="22"/>
  <c r="G45" i="22"/>
  <c r="I29" i="22"/>
  <c r="I39" i="22"/>
  <c r="G14" i="22"/>
  <c r="G69" i="21"/>
  <c r="I61" i="21"/>
  <c r="G45" i="21"/>
  <c r="G72" i="21"/>
  <c r="G68" i="21"/>
  <c r="G56" i="21"/>
  <c r="G71" i="21"/>
  <c r="G37" i="21"/>
  <c r="I28" i="21"/>
  <c r="G51" i="21"/>
  <c r="G46" i="21"/>
  <c r="G42" i="21"/>
  <c r="G24" i="21"/>
  <c r="G30" i="21"/>
  <c r="I57" i="21"/>
  <c r="G35" i="21"/>
  <c r="G35" i="16"/>
  <c r="G59" i="16"/>
  <c r="G21" i="28"/>
  <c r="I11" i="27"/>
  <c r="I22" i="27"/>
  <c r="I51" i="26"/>
  <c r="G11" i="25"/>
  <c r="I27" i="25"/>
  <c r="I24" i="25"/>
  <c r="I15" i="25"/>
  <c r="I37" i="25"/>
  <c r="G21" i="23"/>
  <c r="I14" i="23"/>
  <c r="G12" i="23"/>
  <c r="I50" i="22"/>
  <c r="G55" i="22"/>
  <c r="G42" i="22"/>
  <c r="I55" i="21"/>
  <c r="I17" i="21"/>
  <c r="I58" i="21"/>
  <c r="I39" i="21"/>
  <c r="I52" i="21"/>
  <c r="G19" i="21"/>
  <c r="I29" i="16"/>
  <c r="G14" i="16"/>
  <c r="I58" i="16"/>
  <c r="I46" i="16"/>
  <c r="G19" i="16"/>
  <c r="G28" i="16"/>
  <c r="I55" i="16"/>
  <c r="I50" i="16"/>
  <c r="I63" i="16"/>
  <c r="I35" i="16"/>
  <c r="I24" i="16"/>
  <c r="I28" i="16"/>
  <c r="I30" i="16"/>
  <c r="G55" i="16"/>
  <c r="I59" i="16"/>
  <c r="G65" i="21"/>
  <c r="G66" i="21"/>
  <c r="I53" i="21"/>
  <c r="G20" i="21"/>
  <c r="I45" i="21"/>
  <c r="G15" i="23"/>
  <c r="I47" i="23"/>
  <c r="G34" i="23"/>
  <c r="I15" i="23"/>
  <c r="G25" i="23"/>
  <c r="I12" i="23"/>
  <c r="G14" i="24"/>
  <c r="G27" i="25"/>
  <c r="G16" i="25"/>
  <c r="G38" i="25"/>
  <c r="I59" i="25"/>
  <c r="I45" i="25"/>
  <c r="I34" i="25"/>
  <c r="I25" i="25"/>
  <c r="G39" i="25"/>
  <c r="G12" i="26"/>
  <c r="I47" i="26"/>
  <c r="G33" i="26"/>
  <c r="I25" i="26"/>
  <c r="I37" i="26"/>
  <c r="I72" i="16"/>
  <c r="G61" i="16"/>
  <c r="I16" i="16"/>
  <c r="G37" i="16"/>
  <c r="G54" i="16"/>
  <c r="G62" i="16"/>
  <c r="G71" i="16"/>
  <c r="G69" i="16"/>
  <c r="G46" i="16"/>
  <c r="G57" i="16"/>
  <c r="G18" i="21"/>
  <c r="I46" i="21"/>
  <c r="I64" i="21"/>
  <c r="G49" i="21"/>
  <c r="G55" i="21"/>
  <c r="I37" i="21"/>
  <c r="G36" i="21"/>
  <c r="G52" i="21"/>
  <c r="G31" i="21"/>
  <c r="G17" i="21"/>
  <c r="G64" i="21"/>
  <c r="I60" i="21"/>
  <c r="G20" i="22"/>
  <c r="G54" i="22"/>
  <c r="G59" i="22"/>
  <c r="G19" i="22"/>
  <c r="G39" i="22"/>
  <c r="G27" i="22"/>
  <c r="G36" i="23"/>
  <c r="G43" i="23"/>
  <c r="I21" i="25"/>
  <c r="G24" i="27"/>
  <c r="G30" i="26"/>
  <c r="G16" i="26"/>
  <c r="I14" i="26"/>
  <c r="G43" i="25"/>
  <c r="G47" i="25"/>
  <c r="G34" i="24"/>
  <c r="I31" i="24"/>
  <c r="I18" i="24"/>
  <c r="I33" i="24"/>
  <c r="I24" i="24"/>
  <c r="I15" i="24"/>
  <c r="G21" i="24"/>
  <c r="I23" i="24"/>
  <c r="I16" i="24"/>
  <c r="I13" i="23"/>
  <c r="G47" i="23"/>
  <c r="I41" i="23"/>
  <c r="G33" i="23"/>
  <c r="I44" i="22"/>
  <c r="G57" i="22"/>
  <c r="I48" i="21"/>
  <c r="I49" i="16"/>
  <c r="G30" i="16"/>
  <c r="G52" i="16"/>
  <c r="G26" i="16"/>
  <c r="G65" i="16"/>
  <c r="G64" i="16"/>
  <c r="G73" i="16"/>
  <c r="G40" i="16"/>
  <c r="G31" i="16"/>
  <c r="I41" i="16"/>
  <c r="I31" i="16"/>
  <c r="I65" i="16"/>
  <c r="I11" i="16"/>
  <c r="I56" i="21"/>
  <c r="I65" i="21"/>
  <c r="I66" i="21"/>
  <c r="G25" i="22"/>
  <c r="I32" i="23"/>
  <c r="I38" i="23"/>
  <c r="G27" i="23"/>
  <c r="I22" i="23"/>
  <c r="I26" i="23"/>
  <c r="G17" i="24"/>
  <c r="I14" i="24"/>
  <c r="I32" i="25"/>
  <c r="G14" i="25"/>
  <c r="I39" i="25"/>
  <c r="G57" i="25"/>
  <c r="I26" i="25"/>
  <c r="I12" i="25"/>
  <c r="G27" i="26"/>
  <c r="G40" i="26"/>
  <c r="I17" i="26"/>
  <c r="I40" i="16"/>
  <c r="I67" i="16"/>
  <c r="I44" i="16"/>
  <c r="G68" i="16"/>
  <c r="G16" i="16"/>
  <c r="I51" i="16"/>
  <c r="I47" i="16"/>
  <c r="I23" i="16"/>
  <c r="I12" i="16"/>
  <c r="G43" i="16"/>
  <c r="G67" i="16"/>
  <c r="G12" i="16"/>
  <c r="G58" i="16"/>
  <c r="G34" i="21"/>
  <c r="G38" i="21"/>
  <c r="I54" i="21"/>
  <c r="G16" i="21"/>
  <c r="I63" i="21"/>
  <c r="G47" i="21"/>
  <c r="G48" i="21"/>
  <c r="I32" i="21"/>
  <c r="I29" i="21"/>
  <c r="G44" i="21"/>
  <c r="I34" i="22"/>
  <c r="I25" i="22"/>
  <c r="I53" i="22"/>
  <c r="G33" i="22"/>
  <c r="G62" i="22"/>
  <c r="G46" i="23"/>
  <c r="I43" i="23"/>
  <c r="G39" i="23"/>
  <c r="G45" i="23"/>
  <c r="I29" i="23"/>
  <c r="G18" i="23"/>
  <c r="G19" i="23"/>
  <c r="G17" i="23"/>
  <c r="I42" i="23"/>
  <c r="G20" i="24"/>
  <c r="I34" i="24"/>
  <c r="I26" i="24"/>
  <c r="G53" i="25"/>
  <c r="I22" i="25"/>
  <c r="I61" i="25"/>
  <c r="G56" i="25"/>
  <c r="G58" i="25"/>
  <c r="I47" i="25"/>
  <c r="I60" i="22"/>
  <c r="I16" i="27"/>
  <c r="I32" i="27"/>
  <c r="G37" i="26"/>
  <c r="I35" i="25"/>
  <c r="G20" i="25"/>
  <c r="I13" i="24"/>
  <c r="G35" i="23"/>
  <c r="I20" i="23"/>
  <c r="G32" i="23"/>
  <c r="I19" i="22"/>
  <c r="I21" i="22"/>
  <c r="I49" i="22"/>
  <c r="G52" i="22"/>
  <c r="I61" i="22"/>
  <c r="I23" i="21"/>
  <c r="I36" i="16"/>
  <c r="G38" i="16"/>
  <c r="G32" i="16"/>
  <c r="G21" i="16"/>
  <c r="G74" i="16"/>
  <c r="G66" i="16"/>
  <c r="I53" i="16"/>
  <c r="I64" i="16"/>
  <c r="I26" i="16"/>
  <c r="I27" i="16"/>
  <c r="G14" i="21"/>
  <c r="I21" i="21"/>
  <c r="I11" i="21"/>
  <c r="I55" i="22"/>
  <c r="I49" i="23"/>
  <c r="G41" i="23"/>
  <c r="G48" i="23"/>
  <c r="G15" i="24"/>
  <c r="G27" i="24"/>
  <c r="G13" i="25"/>
  <c r="G34" i="25"/>
  <c r="I14" i="25"/>
  <c r="I20" i="25"/>
  <c r="G44" i="25"/>
  <c r="G43" i="26"/>
  <c r="I56" i="16"/>
  <c r="I71" i="16"/>
  <c r="I61" i="16"/>
  <c r="G39" i="16"/>
  <c r="I34" i="16"/>
  <c r="I15" i="16"/>
  <c r="G22" i="16"/>
  <c r="G45" i="16"/>
  <c r="G49" i="16"/>
  <c r="I40" i="21"/>
  <c r="G22" i="28"/>
  <c r="I17" i="25"/>
  <c r="I53" i="26"/>
  <c r="I24" i="26"/>
  <c r="G59" i="25"/>
  <c r="G25" i="25"/>
  <c r="G19" i="24"/>
  <c r="I29" i="24"/>
  <c r="I17" i="23"/>
  <c r="I54" i="22"/>
  <c r="G11" i="16"/>
  <c r="G47" i="16"/>
  <c r="G56" i="16"/>
  <c r="G34" i="16"/>
  <c r="G24" i="16"/>
  <c r="G33" i="16"/>
  <c r="I66" i="16"/>
  <c r="I14" i="16"/>
  <c r="I48" i="16"/>
  <c r="I42" i="16"/>
  <c r="G25" i="21"/>
  <c r="I30" i="21"/>
  <c r="G15" i="21"/>
  <c r="G62" i="21"/>
  <c r="I45" i="22"/>
  <c r="G22" i="23"/>
  <c r="I19" i="23"/>
  <c r="G49" i="23"/>
  <c r="I30" i="24"/>
  <c r="G28" i="25"/>
  <c r="I52" i="25"/>
  <c r="G31" i="26"/>
  <c r="I15" i="26"/>
  <c r="G26" i="26"/>
  <c r="I32" i="26"/>
  <c r="I22" i="16"/>
  <c r="G44" i="16"/>
  <c r="I54" i="16"/>
  <c r="I32" i="16"/>
  <c r="I45" i="16"/>
  <c r="I18" i="16"/>
  <c r="G70" i="16"/>
  <c r="G18" i="16"/>
  <c r="G29" i="16"/>
  <c r="G13" i="21"/>
  <c r="I18" i="21"/>
  <c r="G61" i="21"/>
  <c r="G23" i="21"/>
  <c r="G54" i="21"/>
  <c r="G50" i="22"/>
  <c r="G44" i="22"/>
  <c r="I40" i="22"/>
  <c r="I11" i="22"/>
  <c r="I23" i="22"/>
  <c r="I46" i="23"/>
  <c r="I39" i="23"/>
  <c r="G11" i="23"/>
  <c r="G29" i="23"/>
  <c r="G28" i="23"/>
  <c r="I40" i="23"/>
  <c r="G23" i="23"/>
  <c r="G25" i="24"/>
  <c r="G28" i="24"/>
  <c r="G26" i="24"/>
  <c r="G51" i="25"/>
  <c r="G48" i="25"/>
  <c r="G61" i="25"/>
  <c r="I58" i="25"/>
  <c r="I28" i="25"/>
  <c r="G19" i="25"/>
  <c r="G37" i="25"/>
  <c r="G45" i="26"/>
  <c r="I46" i="26"/>
  <c r="I44" i="26"/>
  <c r="I40" i="26"/>
  <c r="G28" i="26"/>
  <c r="G50" i="26"/>
  <c r="G24" i="26"/>
  <c r="I11" i="26"/>
  <c r="G49" i="26"/>
  <c r="G36" i="26"/>
  <c r="G38" i="26"/>
  <c r="I27" i="26"/>
  <c r="G29" i="26"/>
  <c r="G37" i="27"/>
  <c r="I29" i="27"/>
  <c r="G15" i="27"/>
  <c r="I30" i="27"/>
  <c r="G16" i="27"/>
  <c r="I37" i="27"/>
  <c r="G14" i="27"/>
  <c r="G11" i="27"/>
  <c r="I42" i="27"/>
  <c r="I20" i="28"/>
  <c r="I18" i="28"/>
  <c r="I11" i="28"/>
  <c r="G32" i="24"/>
  <c r="G13" i="24"/>
  <c r="G58" i="22"/>
  <c r="I37" i="22"/>
  <c r="I26" i="22"/>
  <c r="I66" i="22"/>
  <c r="I43" i="22"/>
  <c r="G61" i="22"/>
  <c r="I47" i="22"/>
  <c r="G34" i="22"/>
  <c r="G46" i="22"/>
  <c r="I16" i="22"/>
  <c r="I12" i="22"/>
  <c r="I14" i="28"/>
  <c r="G41" i="22"/>
  <c r="G18" i="22"/>
  <c r="I35" i="22"/>
  <c r="I13" i="22"/>
  <c r="I57" i="22"/>
  <c r="I52" i="22"/>
  <c r="I32" i="24"/>
  <c r="I19" i="28"/>
  <c r="G20" i="28"/>
  <c r="I12" i="27"/>
  <c r="G32" i="27"/>
  <c r="G34" i="27"/>
  <c r="G40" i="27"/>
  <c r="I18" i="27"/>
  <c r="I13" i="27"/>
  <c r="G26" i="27"/>
  <c r="G22" i="26"/>
  <c r="I39" i="26"/>
  <c r="G14" i="26"/>
  <c r="I43" i="26"/>
  <c r="I33" i="26"/>
  <c r="G48" i="26"/>
  <c r="I31" i="26"/>
  <c r="G19" i="26"/>
  <c r="I57" i="25"/>
  <c r="G54" i="25"/>
  <c r="I13" i="25"/>
  <c r="I51" i="25"/>
  <c r="I36" i="25"/>
  <c r="G29" i="24"/>
  <c r="G23" i="24"/>
  <c r="G12" i="24"/>
  <c r="I18" i="23"/>
  <c r="I33" i="23"/>
  <c r="I30" i="23"/>
  <c r="G23" i="22"/>
  <c r="I56" i="22"/>
  <c r="I58" i="22"/>
  <c r="G50" i="21"/>
  <c r="I59" i="21"/>
  <c r="G60" i="21"/>
  <c r="I38" i="21"/>
  <c r="G12" i="21"/>
  <c r="G26" i="21"/>
  <c r="G41" i="21"/>
  <c r="G32" i="21"/>
  <c r="G23" i="16"/>
  <c r="I69" i="16"/>
  <c r="I37" i="16"/>
  <c r="G72" i="16"/>
  <c r="I70" i="16"/>
  <c r="I16" i="26"/>
  <c r="I21" i="26"/>
  <c r="G24" i="25"/>
  <c r="I16" i="25"/>
  <c r="I11" i="25"/>
  <c r="G37" i="23"/>
  <c r="I37" i="23"/>
  <c r="G11" i="21"/>
  <c r="G53" i="21"/>
  <c r="I19" i="16"/>
  <c r="I38" i="16"/>
  <c r="I33" i="16"/>
  <c r="G17" i="16"/>
  <c r="G48" i="16"/>
  <c r="G13" i="16"/>
  <c r="G41" i="16"/>
  <c r="I67" i="21"/>
  <c r="G43" i="22"/>
  <c r="I28" i="23"/>
  <c r="G22" i="24"/>
  <c r="I44" i="25"/>
  <c r="G50" i="25"/>
  <c r="G18" i="26"/>
  <c r="G30" i="22"/>
  <c r="G29" i="28"/>
  <c r="G16" i="22"/>
  <c r="G21" i="22"/>
  <c r="G53" i="22"/>
  <c r="G24" i="22"/>
  <c r="G35" i="22"/>
  <c r="G36" i="22"/>
  <c r="G29" i="22"/>
  <c r="G16" i="24"/>
  <c r="I29" i="28"/>
  <c r="I15" i="27"/>
  <c r="G23" i="27"/>
  <c r="G27" i="27"/>
  <c r="I31" i="27"/>
  <c r="G35" i="27"/>
  <c r="G31" i="27"/>
  <c r="I21" i="27"/>
  <c r="G17" i="27"/>
  <c r="I19" i="26"/>
  <c r="G35" i="26"/>
  <c r="I41" i="26"/>
  <c r="G52" i="26"/>
  <c r="I26" i="26"/>
  <c r="G39" i="26"/>
  <c r="G60" i="25"/>
  <c r="G29" i="25"/>
  <c r="G33" i="25"/>
  <c r="G23" i="25"/>
  <c r="G22" i="25"/>
  <c r="G36" i="25"/>
  <c r="G31" i="24"/>
  <c r="I27" i="24"/>
  <c r="G20" i="23"/>
  <c r="I21" i="23"/>
  <c r="G42" i="23"/>
  <c r="I11" i="23"/>
  <c r="G16" i="23"/>
  <c r="I36" i="23"/>
  <c r="G15" i="22"/>
  <c r="G32" i="22"/>
  <c r="I38" i="22"/>
  <c r="I15" i="22"/>
  <c r="I35" i="21"/>
  <c r="I31" i="21"/>
  <c r="G59" i="21"/>
  <c r="I71" i="21"/>
  <c r="I68" i="21"/>
  <c r="I41" i="21"/>
  <c r="G22" i="21"/>
  <c r="I74" i="21"/>
  <c r="G25" i="16"/>
  <c r="I43" i="16"/>
  <c r="I74" i="16"/>
  <c r="G13" i="26"/>
  <c r="I18" i="26"/>
  <c r="G55" i="25"/>
  <c r="G45" i="25"/>
  <c r="G18" i="24"/>
  <c r="G13" i="23"/>
  <c r="I50" i="23"/>
  <c r="G67" i="21"/>
  <c r="I20" i="16"/>
  <c r="I52" i="16"/>
  <c r="I60" i="16"/>
  <c r="G50" i="16"/>
  <c r="G42" i="16"/>
  <c r="G27" i="16"/>
  <c r="I20" i="21"/>
  <c r="G38" i="22"/>
  <c r="I20" i="24"/>
  <c r="I36" i="27"/>
  <c r="G12" i="22"/>
  <c r="G28" i="22"/>
  <c r="G11" i="22"/>
  <c r="G66" i="22"/>
  <c r="G37" i="22"/>
  <c r="G49" i="22"/>
  <c r="G60" i="22"/>
  <c r="G24" i="24"/>
  <c r="I23" i="28"/>
  <c r="G18" i="28"/>
  <c r="I15" i="28"/>
  <c r="G28" i="27"/>
  <c r="G22" i="27"/>
  <c r="G25" i="27"/>
  <c r="G39" i="27"/>
  <c r="G20" i="27"/>
  <c r="I19" i="27"/>
  <c r="G41" i="27"/>
  <c r="G42" i="27"/>
  <c r="I24" i="27"/>
  <c r="I28" i="26"/>
  <c r="G51" i="26"/>
  <c r="I12" i="26"/>
  <c r="I30" i="26"/>
  <c r="I54" i="26"/>
  <c r="G11" i="26"/>
  <c r="G18" i="25"/>
  <c r="I55" i="25"/>
  <c r="I23" i="25"/>
  <c r="I56" i="25"/>
  <c r="I48" i="25"/>
  <c r="I42" i="25"/>
  <c r="I12" i="24"/>
  <c r="G33" i="24"/>
  <c r="G40" i="23"/>
  <c r="I45" i="23"/>
  <c r="I16" i="23"/>
  <c r="G24" i="23"/>
  <c r="I36" i="22"/>
  <c r="G22" i="22"/>
  <c r="G29" i="21"/>
  <c r="G57" i="21"/>
  <c r="G73" i="21"/>
  <c r="I24" i="21"/>
  <c r="I72" i="21"/>
  <c r="G33" i="21"/>
  <c r="G40" i="21"/>
  <c r="G36" i="16"/>
  <c r="G15" i="16"/>
  <c r="I25" i="16"/>
  <c r="I39" i="16"/>
  <c r="I50" i="25"/>
  <c r="I43" i="25"/>
  <c r="G46" i="25"/>
  <c r="I22" i="24"/>
  <c r="G31" i="23"/>
  <c r="G44" i="23"/>
  <c r="G38" i="23"/>
  <c r="G39" i="21"/>
  <c r="I17" i="16"/>
  <c r="I13" i="16"/>
  <c r="G60" i="16"/>
  <c r="I44" i="21"/>
  <c r="I70" i="21"/>
  <c r="I27" i="22"/>
  <c r="I46" i="22"/>
  <c r="I31" i="22"/>
  <c r="G50" i="23"/>
  <c r="I17" i="24"/>
</calcChain>
</file>

<file path=xl/sharedStrings.xml><?xml version="1.0" encoding="utf-8"?>
<sst xmlns="http://schemas.openxmlformats.org/spreadsheetml/2006/main" count="214730" uniqueCount="30650">
  <si>
    <t>Tél. 01 53 94 50 16</t>
  </si>
  <si>
    <t>N° lic.</t>
  </si>
  <si>
    <t>N°</t>
  </si>
  <si>
    <t>Point Clt</t>
  </si>
  <si>
    <t>Nom - Prénom</t>
  </si>
  <si>
    <t>Nom et Numéro du Club</t>
  </si>
  <si>
    <t>CLUB</t>
  </si>
  <si>
    <t>ERR</t>
  </si>
  <si>
    <t>Mise à jour des points à partir de la base
Si ERR en colonne H, vérifié si bon joueur…souvent c'est un problème d'accent</t>
  </si>
  <si>
    <t>ENTENTE PONGISTE AMBILLY (01740001)</t>
  </si>
  <si>
    <t>Date
Naissance</t>
  </si>
  <si>
    <t>MESSIEURS V1</t>
  </si>
  <si>
    <t>VAL D'OZON TENNIS DE TABLE (01690221)</t>
  </si>
  <si>
    <t>LYON 7 TT GERLAND (01690186)</t>
  </si>
  <si>
    <t>MESSIEURS V2</t>
  </si>
  <si>
    <t>MESSIEURS V3</t>
  </si>
  <si>
    <t>MESSIEURS V4</t>
  </si>
  <si>
    <t>MESSIEURS V5</t>
  </si>
  <si>
    <t>DAMES V1</t>
  </si>
  <si>
    <t>DAMES V2</t>
  </si>
  <si>
    <t>DAMES V3</t>
  </si>
  <si>
    <t>DAMES V4</t>
  </si>
  <si>
    <t>DAMES V5</t>
  </si>
  <si>
    <t>3, rue Dieudonné Costes</t>
  </si>
  <si>
    <t xml:space="preserve">Licence </t>
  </si>
  <si>
    <t xml:space="preserve"> Nom </t>
  </si>
  <si>
    <t xml:space="preserve"> Prenom </t>
  </si>
  <si>
    <t xml:space="preserve"> Sexe </t>
  </si>
  <si>
    <t xml:space="preserve"> Cat </t>
  </si>
  <si>
    <t xml:space="preserve"> Club </t>
  </si>
  <si>
    <t xml:space="preserve"> Nomclub </t>
  </si>
  <si>
    <t xml:space="preserve"> Point</t>
  </si>
  <si>
    <t xml:space="preserve"> LEGOUT </t>
  </si>
  <si>
    <t xml:space="preserve"> Christophe </t>
  </si>
  <si>
    <t xml:space="preserve"> M </t>
  </si>
  <si>
    <t xml:space="preserve"> V1 </t>
  </si>
  <si>
    <t xml:space="preserve"> O.ANTIBES JUAN LES PINS </t>
  </si>
  <si>
    <t xml:space="preserve"> Damien </t>
  </si>
  <si>
    <t xml:space="preserve"> THORIGNE-FOUILLARD T.T. </t>
  </si>
  <si>
    <t xml:space="preserve"> CHILA </t>
  </si>
  <si>
    <t xml:space="preserve"> Patrick </t>
  </si>
  <si>
    <t xml:space="preserve"> AS FFTT </t>
  </si>
  <si>
    <t xml:space="preserve"> JOVER </t>
  </si>
  <si>
    <t xml:space="preserve"> Sebastien </t>
  </si>
  <si>
    <t xml:space="preserve"> SAINT-DENIS US93TT </t>
  </si>
  <si>
    <t xml:space="preserve"> CALUS </t>
  </si>
  <si>
    <t xml:space="preserve"> Dorin vasile </t>
  </si>
  <si>
    <t xml:space="preserve"> NANTES TTCNA </t>
  </si>
  <si>
    <t xml:space="preserve"> MIRAULT </t>
  </si>
  <si>
    <t xml:space="preserve"> Cédric </t>
  </si>
  <si>
    <t xml:space="preserve"> UMS TT PONTAULT COMBAULT </t>
  </si>
  <si>
    <t xml:space="preserve"> LIU </t>
  </si>
  <si>
    <t xml:space="preserve"> Song </t>
  </si>
  <si>
    <t xml:space="preserve"> SAG CESTAS </t>
  </si>
  <si>
    <t xml:space="preserve"> VARIN </t>
  </si>
  <si>
    <t xml:space="preserve"> Eric </t>
  </si>
  <si>
    <t xml:space="preserve"> SPO ROUEN Tennis de Table </t>
  </si>
  <si>
    <t xml:space="preserve"> GEMINIANI </t>
  </si>
  <si>
    <t xml:space="preserve"> Anthony </t>
  </si>
  <si>
    <t xml:space="preserve"> A.S. MONACO </t>
  </si>
  <si>
    <t xml:space="preserve"> David </t>
  </si>
  <si>
    <t xml:space="preserve"> PUJOL </t>
  </si>
  <si>
    <t xml:space="preserve"> Nicolas </t>
  </si>
  <si>
    <t xml:space="preserve"> NEUVES MAISONS TT </t>
  </si>
  <si>
    <t xml:space="preserve"> LEBRUN </t>
  </si>
  <si>
    <t xml:space="preserve"> Stephane </t>
  </si>
  <si>
    <t xml:space="preserve"> MONTPELLIER TT </t>
  </si>
  <si>
    <t xml:space="preserve"> DURAND </t>
  </si>
  <si>
    <t xml:space="preserve"> AS MIRAMAS </t>
  </si>
  <si>
    <t xml:space="preserve"> OLALEYE </t>
  </si>
  <si>
    <t xml:space="preserve"> Sule toriola </t>
  </si>
  <si>
    <t xml:space="preserve"> V2 </t>
  </si>
  <si>
    <t xml:space="preserve"> MANOM J.S. </t>
  </si>
  <si>
    <t xml:space="preserve"> ZHAO </t>
  </si>
  <si>
    <t xml:space="preserve"> Wei-guo </t>
  </si>
  <si>
    <t xml:space="preserve"> ARGENTAN BAYARD </t>
  </si>
  <si>
    <t xml:space="preserve"> SAINT LOUIS </t>
  </si>
  <si>
    <t xml:space="preserve"> Dexter </t>
  </si>
  <si>
    <t xml:space="preserve"> ZHU </t>
  </si>
  <si>
    <t xml:space="preserve"> Hong-bin </t>
  </si>
  <si>
    <t xml:space="preserve"> PARIS 13 TENNIS DE TABLE </t>
  </si>
  <si>
    <t xml:space="preserve"> DESMORTREUX </t>
  </si>
  <si>
    <t xml:space="preserve"> Jérôme </t>
  </si>
  <si>
    <t xml:space="preserve"> PAVILLONNAIS SE </t>
  </si>
  <si>
    <t xml:space="preserve"> HUCLIEZ </t>
  </si>
  <si>
    <t xml:space="preserve"> CAUDRY CP </t>
  </si>
  <si>
    <t xml:space="preserve"> BEGUIN </t>
  </si>
  <si>
    <t xml:space="preserve"> Olivier </t>
  </si>
  <si>
    <t xml:space="preserve"> Royan Océan Saint Sulpice </t>
  </si>
  <si>
    <t xml:space="preserve"> GASNIER </t>
  </si>
  <si>
    <t xml:space="preserve"> Benoit </t>
  </si>
  <si>
    <t xml:space="preserve"> CHARTRES ASTT. </t>
  </si>
  <si>
    <t xml:space="preserve"> PANTELIMON </t>
  </si>
  <si>
    <t xml:space="preserve"> Marius </t>
  </si>
  <si>
    <t xml:space="preserve"> ROMAGNE (LA) - S.S. </t>
  </si>
  <si>
    <t xml:space="preserve"> NOVARRE </t>
  </si>
  <si>
    <t xml:space="preserve"> Julien </t>
  </si>
  <si>
    <t xml:space="preserve"> REMY </t>
  </si>
  <si>
    <t xml:space="preserve"> Ludovic </t>
  </si>
  <si>
    <t xml:space="preserve"> SARREBOURG TT </t>
  </si>
  <si>
    <t xml:space="preserve"> TOMA </t>
  </si>
  <si>
    <t xml:space="preserve"> Calin </t>
  </si>
  <si>
    <t xml:space="preserve"> OUAZANA </t>
  </si>
  <si>
    <t xml:space="preserve"> Peter </t>
  </si>
  <si>
    <t xml:space="preserve"> CAPPELLE LA GRANDE TT </t>
  </si>
  <si>
    <t xml:space="preserve"> ADAM </t>
  </si>
  <si>
    <t xml:space="preserve"> LA GARDE TENNIS DE TABLE </t>
  </si>
  <si>
    <t xml:space="preserve"> LE CORVEC </t>
  </si>
  <si>
    <t xml:space="preserve"> LEFEBVRE </t>
  </si>
  <si>
    <t xml:space="preserve"> Frederic </t>
  </si>
  <si>
    <t xml:space="preserve"> DOUAI TT </t>
  </si>
  <si>
    <t xml:space="preserve"> RIGAULT </t>
  </si>
  <si>
    <t xml:space="preserve"> 4S TOURS T.T. </t>
  </si>
  <si>
    <t xml:space="preserve"> DOOLAEGHE </t>
  </si>
  <si>
    <t xml:space="preserve"> Denis </t>
  </si>
  <si>
    <t xml:space="preserve"> DORCESCU </t>
  </si>
  <si>
    <t xml:space="preserve"> Cristian </t>
  </si>
  <si>
    <t xml:space="preserve"> CP QUEVILLAIS </t>
  </si>
  <si>
    <t xml:space="preserve"> GORIAUD </t>
  </si>
  <si>
    <t xml:space="preserve"> Franck </t>
  </si>
  <si>
    <t xml:space="preserve"> CP AUSCITAIN </t>
  </si>
  <si>
    <t xml:space="preserve"> Vincent </t>
  </si>
  <si>
    <t xml:space="preserve"> ALCL TT GRAND QUEVILLY </t>
  </si>
  <si>
    <t xml:space="preserve"> MOMMESSIN </t>
  </si>
  <si>
    <t xml:space="preserve"> Didier </t>
  </si>
  <si>
    <t xml:space="preserve"> CAM BORDEAUX </t>
  </si>
  <si>
    <t xml:space="preserve"> HAMY </t>
  </si>
  <si>
    <t xml:space="preserve"> Cedric </t>
  </si>
  <si>
    <t xml:space="preserve"> CHELLES TENNIS DE TABLE </t>
  </si>
  <si>
    <t xml:space="preserve"> LE PENVEN </t>
  </si>
  <si>
    <t xml:space="preserve"> Marc </t>
  </si>
  <si>
    <t xml:space="preserve"> 7 ILES TT </t>
  </si>
  <si>
    <t xml:space="preserve"> LEVALOIS </t>
  </si>
  <si>
    <t xml:space="preserve"> CESSON O.C. </t>
  </si>
  <si>
    <t xml:space="preserve"> LEZIN </t>
  </si>
  <si>
    <t xml:space="preserve"> AMO.MER TT. </t>
  </si>
  <si>
    <t xml:space="preserve"> MORIN </t>
  </si>
  <si>
    <t xml:space="preserve"> E. P. DE LOGNES </t>
  </si>
  <si>
    <t xml:space="preserve"> BROCHARD </t>
  </si>
  <si>
    <t xml:space="preserve"> Stéphane </t>
  </si>
  <si>
    <t xml:space="preserve"> FERRIERE VENDEE TENNIS DE </t>
  </si>
  <si>
    <t xml:space="preserve"> PILLE </t>
  </si>
  <si>
    <t xml:space="preserve"> ASSOC. TENNIS DE TABLE DU </t>
  </si>
  <si>
    <t xml:space="preserve"> VARLET </t>
  </si>
  <si>
    <t xml:space="preserve"> Lionel </t>
  </si>
  <si>
    <t xml:space="preserve"> AVION TT </t>
  </si>
  <si>
    <t xml:space="preserve"> MARTIN </t>
  </si>
  <si>
    <t xml:space="preserve"> Guillaume </t>
  </si>
  <si>
    <t xml:space="preserve"> GOEDAER </t>
  </si>
  <si>
    <t xml:space="preserve"> Gregory </t>
  </si>
  <si>
    <t xml:space="preserve"> REILAND </t>
  </si>
  <si>
    <t xml:space="preserve"> Hervé </t>
  </si>
  <si>
    <t xml:space="preserve"> KONACKER HAYANGE S.L. </t>
  </si>
  <si>
    <t xml:space="preserve"> QUAIN </t>
  </si>
  <si>
    <t xml:space="preserve"> VALENCIENNES USTT </t>
  </si>
  <si>
    <t xml:space="preserve"> CAMPAGNOLLE </t>
  </si>
  <si>
    <t xml:space="preserve"> Pierre </t>
  </si>
  <si>
    <t xml:space="preserve"> NIMES ASPTT </t>
  </si>
  <si>
    <t xml:space="preserve"> VITEL </t>
  </si>
  <si>
    <t xml:space="preserve"> COURBEVOIE SPORT TENNIS D </t>
  </si>
  <si>
    <t xml:space="preserve"> LOYANT </t>
  </si>
  <si>
    <t xml:space="preserve"> Lenaick </t>
  </si>
  <si>
    <t xml:space="preserve"> LEVALLOIS SPORTING CLUB T </t>
  </si>
  <si>
    <t xml:space="preserve"> ZABBAN </t>
  </si>
  <si>
    <t xml:space="preserve"> DOUINE </t>
  </si>
  <si>
    <t xml:space="preserve"> USO MONDEVILLE TT </t>
  </si>
  <si>
    <t xml:space="preserve"> BEVAN </t>
  </si>
  <si>
    <t xml:space="preserve"> GARDE DU VOEU HENNEBONT </t>
  </si>
  <si>
    <t xml:space="preserve"> PINON </t>
  </si>
  <si>
    <t xml:space="preserve"> Laurent </t>
  </si>
  <si>
    <t xml:space="preserve"> BIZE </t>
  </si>
  <si>
    <t xml:space="preserve"> Herve </t>
  </si>
  <si>
    <t xml:space="preserve"> PROVILLE ASL </t>
  </si>
  <si>
    <t xml:space="preserve"> COUTOLLEAU </t>
  </si>
  <si>
    <t xml:space="preserve"> Samuel </t>
  </si>
  <si>
    <t xml:space="preserve"> HARLE </t>
  </si>
  <si>
    <t xml:space="preserve"> AMIENS STT </t>
  </si>
  <si>
    <t xml:space="preserve"> CERNEA </t>
  </si>
  <si>
    <t xml:space="preserve"> Doru nicolae </t>
  </si>
  <si>
    <t xml:space="preserve"> ENTENTE SAINT PIERRAISE T </t>
  </si>
  <si>
    <t xml:space="preserve"> DOMOUSTCHIEV </t>
  </si>
  <si>
    <t xml:space="preserve"> Mariano loukov </t>
  </si>
  <si>
    <t xml:space="preserve"> AVANNE AVENEY TT </t>
  </si>
  <si>
    <t xml:space="preserve"> LEPLOMB </t>
  </si>
  <si>
    <t xml:space="preserve"> ANNEQUIN  TT </t>
  </si>
  <si>
    <t xml:space="preserve"> PICARD </t>
  </si>
  <si>
    <t xml:space="preserve"> RAYNAL </t>
  </si>
  <si>
    <t xml:space="preserve"> Xavier </t>
  </si>
  <si>
    <t xml:space="preserve"> CMPJM INGRE TT </t>
  </si>
  <si>
    <t xml:space="preserve"> ORIBES </t>
  </si>
  <si>
    <t xml:space="preserve"> CHARENTON TENNIS DE TABLE </t>
  </si>
  <si>
    <t xml:space="preserve"> PESSY </t>
  </si>
  <si>
    <t xml:space="preserve"> CORPO NORMANDIE Tennis de </t>
  </si>
  <si>
    <t xml:space="preserve"> FALEK </t>
  </si>
  <si>
    <t xml:space="preserve"> Hazedine </t>
  </si>
  <si>
    <t xml:space="preserve"> COUDUN SL </t>
  </si>
  <si>
    <t xml:space="preserve"> CARBON </t>
  </si>
  <si>
    <t xml:space="preserve"> LEMOINE </t>
  </si>
  <si>
    <t xml:space="preserve"> Gilles </t>
  </si>
  <si>
    <t xml:space="preserve"> ISTRES TT </t>
  </si>
  <si>
    <t xml:space="preserve"> BULLY LP </t>
  </si>
  <si>
    <t xml:space="preserve"> LAMARRE </t>
  </si>
  <si>
    <t xml:space="preserve"> Jean louis </t>
  </si>
  <si>
    <t xml:space="preserve"> EUDES </t>
  </si>
  <si>
    <t xml:space="preserve"> Fabrice </t>
  </si>
  <si>
    <t xml:space="preserve"> MARTINEZ </t>
  </si>
  <si>
    <t xml:space="preserve"> Mickael </t>
  </si>
  <si>
    <t xml:space="preserve"> BRUILLE CTT </t>
  </si>
  <si>
    <t xml:space="preserve"> LAURENT </t>
  </si>
  <si>
    <t xml:space="preserve"> Philippe </t>
  </si>
  <si>
    <t xml:space="preserve"> ROSSIGNOL </t>
  </si>
  <si>
    <t xml:space="preserve"> Regis </t>
  </si>
  <si>
    <t xml:space="preserve"> US ROISSY TENNIS DE TABLE </t>
  </si>
  <si>
    <t xml:space="preserve"> LEFEVRE </t>
  </si>
  <si>
    <t xml:space="preserve"> LYS LILLE METROPOLE CP </t>
  </si>
  <si>
    <t xml:space="preserve"> SEMBLA </t>
  </si>
  <si>
    <t xml:space="preserve"> OULAMI </t>
  </si>
  <si>
    <t xml:space="preserve"> Farid </t>
  </si>
  <si>
    <t xml:space="preserve"> FORBAULT </t>
  </si>
  <si>
    <t xml:space="preserve"> CHATENAY MALABRY  T T ASV </t>
  </si>
  <si>
    <t xml:space="preserve"> DEMANGEL </t>
  </si>
  <si>
    <t xml:space="preserve"> LAJOURNADE </t>
  </si>
  <si>
    <t xml:space="preserve"> CTT.DEOLS </t>
  </si>
  <si>
    <t xml:space="preserve"> NUTTIN </t>
  </si>
  <si>
    <t xml:space="preserve"> LE MANS SARTHE TENNIS DE </t>
  </si>
  <si>
    <t xml:space="preserve"> LABIAD </t>
  </si>
  <si>
    <t xml:space="preserve"> Younes </t>
  </si>
  <si>
    <t xml:space="preserve"> SALLAH DUSE </t>
  </si>
  <si>
    <t xml:space="preserve"> Koffi maurice </t>
  </si>
  <si>
    <t xml:space="preserve"> RAMBOUILLET TT </t>
  </si>
  <si>
    <t xml:space="preserve"> LIGEARD </t>
  </si>
  <si>
    <t xml:space="preserve"> A.S. FONDETTES </t>
  </si>
  <si>
    <t xml:space="preserve"> HEITZMANN </t>
  </si>
  <si>
    <t xml:space="preserve"> Francois </t>
  </si>
  <si>
    <t xml:space="preserve"> CERCLE PONGISTE VICOIS </t>
  </si>
  <si>
    <t xml:space="preserve"> LETHOREL </t>
  </si>
  <si>
    <t xml:space="preserve"> Serge </t>
  </si>
  <si>
    <t xml:space="preserve"> BOULOGNE BILLANCOURT AC </t>
  </si>
  <si>
    <t xml:space="preserve"> GUERDER </t>
  </si>
  <si>
    <t xml:space="preserve"> Christian </t>
  </si>
  <si>
    <t xml:space="preserve"> SCHIRRHEIN-SCHIRRHOFFEN C </t>
  </si>
  <si>
    <t xml:space="preserve"> WILLER </t>
  </si>
  <si>
    <t xml:space="preserve"> BOULOGNE SUR MER ABCP </t>
  </si>
  <si>
    <t xml:space="preserve"> PRINCE </t>
  </si>
  <si>
    <t xml:space="preserve"> Tony </t>
  </si>
  <si>
    <t xml:space="preserve"> CARQUIN </t>
  </si>
  <si>
    <t xml:space="preserve"> Jean michel </t>
  </si>
  <si>
    <t xml:space="preserve"> SAINT PAIR BRICQUEVILLE T </t>
  </si>
  <si>
    <t xml:space="preserve"> REDON </t>
  </si>
  <si>
    <t xml:space="preserve"> Thierry </t>
  </si>
  <si>
    <t xml:space="preserve"> MOREELS </t>
  </si>
  <si>
    <t xml:space="preserve"> LILLE CHEMINOTS AS </t>
  </si>
  <si>
    <t xml:space="preserve"> SECRETIN </t>
  </si>
  <si>
    <t xml:space="preserve"> Jacques </t>
  </si>
  <si>
    <t xml:space="preserve"> V3 </t>
  </si>
  <si>
    <t xml:space="preserve"> WANIN </t>
  </si>
  <si>
    <t xml:space="preserve"> VILLERS LES NANCY C.O.S. </t>
  </si>
  <si>
    <t xml:space="preserve"> PRUVOST </t>
  </si>
  <si>
    <t xml:space="preserve"> MEUDON AS </t>
  </si>
  <si>
    <t xml:space="preserve"> BOUMEDOUHA </t>
  </si>
  <si>
    <t xml:space="preserve"> Karim </t>
  </si>
  <si>
    <t xml:space="preserve"> CHANLIAT </t>
  </si>
  <si>
    <t xml:space="preserve"> Cyrille </t>
  </si>
  <si>
    <t xml:space="preserve"> Dominique </t>
  </si>
  <si>
    <t xml:space="preserve"> CHAPLAIN </t>
  </si>
  <si>
    <t xml:space="preserve"> PAYS COURVILLOIS TT </t>
  </si>
  <si>
    <t xml:space="preserve"> AMARAL </t>
  </si>
  <si>
    <t xml:space="preserve"> Daniel </t>
  </si>
  <si>
    <t xml:space="preserve"> HALLEGOUET </t>
  </si>
  <si>
    <t xml:space="preserve"> Pascal </t>
  </si>
  <si>
    <t xml:space="preserve"> SAINT-DIVY SPORT TT </t>
  </si>
  <si>
    <t xml:space="preserve"> CHEN </t>
  </si>
  <si>
    <t xml:space="preserve"> Guan ming </t>
  </si>
  <si>
    <t xml:space="preserve"> AUVR RILLIEUX </t>
  </si>
  <si>
    <t xml:space="preserve"> PERPETTE </t>
  </si>
  <si>
    <t xml:space="preserve"> Sébastien </t>
  </si>
  <si>
    <t xml:space="preserve"> VILLERS-BRETONNEUX PPC </t>
  </si>
  <si>
    <t xml:space="preserve"> STOICA </t>
  </si>
  <si>
    <t xml:space="preserve"> Cornel </t>
  </si>
  <si>
    <t xml:space="preserve"> DIEPPE UNIVERSITAIRE CLUB </t>
  </si>
  <si>
    <t xml:space="preserve"> MARISSAL </t>
  </si>
  <si>
    <t xml:space="preserve"> VINCLAIR </t>
  </si>
  <si>
    <t xml:space="preserve"> ALENCON ETOILE </t>
  </si>
  <si>
    <t xml:space="preserve"> DUTILLOY </t>
  </si>
  <si>
    <t xml:space="preserve"> UP CREUSOT VARENNES </t>
  </si>
  <si>
    <t xml:space="preserve"> Jerome </t>
  </si>
  <si>
    <t xml:space="preserve"> REIMS OLYMPIQUE TT </t>
  </si>
  <si>
    <t xml:space="preserve"> FELDER </t>
  </si>
  <si>
    <t xml:space="preserve"> Emmanuel </t>
  </si>
  <si>
    <t xml:space="preserve"> SAINT-LOUIS TT </t>
  </si>
  <si>
    <t xml:space="preserve"> LORTHIOIR </t>
  </si>
  <si>
    <t xml:space="preserve"> ST MARCEAU ORLEANS TT </t>
  </si>
  <si>
    <t xml:space="preserve"> SOUSTRADE </t>
  </si>
  <si>
    <t xml:space="preserve"> Rémy </t>
  </si>
  <si>
    <t xml:space="preserve"> U.S.MONTAUBAN T.T. </t>
  </si>
  <si>
    <t xml:space="preserve"> PILARD </t>
  </si>
  <si>
    <t xml:space="preserve"> ANGERS VAILLANTE Sports T </t>
  </si>
  <si>
    <t xml:space="preserve"> OURVOUAI </t>
  </si>
  <si>
    <t xml:space="preserve"> A.L. PLOEMEUR </t>
  </si>
  <si>
    <t xml:space="preserve"> CHATELAIN </t>
  </si>
  <si>
    <t xml:space="preserve"> AL ECHIROLLES-EYBENS TT </t>
  </si>
  <si>
    <t xml:space="preserve"> JAKUBOWICZ </t>
  </si>
  <si>
    <t xml:space="preserve"> Yann </t>
  </si>
  <si>
    <t xml:space="preserve"> VAL D'OZON TENNIS DE TABL </t>
  </si>
  <si>
    <t xml:space="preserve"> CIBIEL </t>
  </si>
  <si>
    <t xml:space="preserve"> Cyril </t>
  </si>
  <si>
    <t xml:space="preserve"> MAROLLEAU </t>
  </si>
  <si>
    <t xml:space="preserve"> ERNÉENNE Sport Tennis de </t>
  </si>
  <si>
    <t xml:space="preserve"> SEGURA </t>
  </si>
  <si>
    <t xml:space="preserve"> CA BEGLAIS </t>
  </si>
  <si>
    <t xml:space="preserve"> SOMIAN AKA AMAN </t>
  </si>
  <si>
    <t xml:space="preserve"> Benjamin </t>
  </si>
  <si>
    <t xml:space="preserve"> LE CRES SALAISON  T.T. </t>
  </si>
  <si>
    <t xml:space="preserve"> CARTAU </t>
  </si>
  <si>
    <t xml:space="preserve"> Yanael </t>
  </si>
  <si>
    <t xml:space="preserve"> A M S L FREJUS </t>
  </si>
  <si>
    <t xml:space="preserve"> BILOUS </t>
  </si>
  <si>
    <t xml:space="preserve"> BOIS COLOMBES SPORTS </t>
  </si>
  <si>
    <t xml:space="preserve"> POUPART </t>
  </si>
  <si>
    <t xml:space="preserve"> BAQUET </t>
  </si>
  <si>
    <t xml:space="preserve"> Loic </t>
  </si>
  <si>
    <t xml:space="preserve"> T.T. DU GRESIVAUDAN </t>
  </si>
  <si>
    <t xml:space="preserve"> HOSY </t>
  </si>
  <si>
    <t xml:space="preserve"> Rémi </t>
  </si>
  <si>
    <t xml:space="preserve"> STADLER </t>
  </si>
  <si>
    <t xml:space="preserve"> TAFFIN </t>
  </si>
  <si>
    <t xml:space="preserve"> C L COURNON </t>
  </si>
  <si>
    <t xml:space="preserve"> BORDEBEURE </t>
  </si>
  <si>
    <t xml:space="preserve"> Sylvain </t>
  </si>
  <si>
    <t xml:space="preserve"> AVRILLE Ass. Sportive </t>
  </si>
  <si>
    <t xml:space="preserve"> CORDELLE </t>
  </si>
  <si>
    <t xml:space="preserve"> POCARD </t>
  </si>
  <si>
    <t xml:space="preserve"> CHILLY-MORANGIS CTT </t>
  </si>
  <si>
    <t xml:space="preserve"> COQUEMAN </t>
  </si>
  <si>
    <t xml:space="preserve"> LONGUEIL TT </t>
  </si>
  <si>
    <t xml:space="preserve"> BENASSAYAG </t>
  </si>
  <si>
    <t xml:space="preserve"> Gabriel </t>
  </si>
  <si>
    <t xml:space="preserve"> MINOC </t>
  </si>
  <si>
    <t xml:space="preserve"> HELIX </t>
  </si>
  <si>
    <t xml:space="preserve"> VITTEL SAINT REMY A.S. </t>
  </si>
  <si>
    <t xml:space="preserve"> ROTHENFLUE </t>
  </si>
  <si>
    <t xml:space="preserve"> BERGHEIM CSS </t>
  </si>
  <si>
    <t xml:space="preserve"> DEPARETERE </t>
  </si>
  <si>
    <t xml:space="preserve"> Yohan </t>
  </si>
  <si>
    <t xml:space="preserve"> Amicale Pongiste de Ouist </t>
  </si>
  <si>
    <t xml:space="preserve"> TT.BELLEVILLE-LERE </t>
  </si>
  <si>
    <t xml:space="preserve"> SAIDI </t>
  </si>
  <si>
    <t xml:space="preserve"> ENTENTE PONGISTE AMBILLY </t>
  </si>
  <si>
    <t xml:space="preserve"> POTHAIN </t>
  </si>
  <si>
    <t xml:space="preserve"> Bruce </t>
  </si>
  <si>
    <t xml:space="preserve"> LEGENDRE </t>
  </si>
  <si>
    <t xml:space="preserve"> FAULQUEMONT E.S.C. </t>
  </si>
  <si>
    <t xml:space="preserve"> BOISSONNEAU </t>
  </si>
  <si>
    <t xml:space="preserve"> Jean-noël </t>
  </si>
  <si>
    <t xml:space="preserve"> CRAON E.S </t>
  </si>
  <si>
    <t xml:space="preserve"> PITIOT </t>
  </si>
  <si>
    <t xml:space="preserve"> ROULLEAU </t>
  </si>
  <si>
    <t xml:space="preserve"> PELMARD </t>
  </si>
  <si>
    <t xml:space="preserve"> valence-bourg tennis de t </t>
  </si>
  <si>
    <t xml:space="preserve"> FINE </t>
  </si>
  <si>
    <t xml:space="preserve"> Gil </t>
  </si>
  <si>
    <t xml:space="preserve"> NIMES ASPC </t>
  </si>
  <si>
    <t xml:space="preserve"> LALAGUE </t>
  </si>
  <si>
    <t xml:space="preserve"> JEZEQUEL </t>
  </si>
  <si>
    <t xml:space="preserve"> GDR GUIPAVAS </t>
  </si>
  <si>
    <t xml:space="preserve"> DOUARAN </t>
  </si>
  <si>
    <t xml:space="preserve"> SAISON </t>
  </si>
  <si>
    <t xml:space="preserve"> MACHET </t>
  </si>
  <si>
    <t xml:space="preserve"> VILLEMOMBLE SPTT </t>
  </si>
  <si>
    <t xml:space="preserve"> GRAZIANI </t>
  </si>
  <si>
    <t xml:space="preserve"> ARTERO </t>
  </si>
  <si>
    <t xml:space="preserve"> TT FROUZINOIS </t>
  </si>
  <si>
    <t xml:space="preserve"> KLIMKOWSKI </t>
  </si>
  <si>
    <t xml:space="preserve"> Tadeusz </t>
  </si>
  <si>
    <t xml:space="preserve"> US ST EGREVE T.T. </t>
  </si>
  <si>
    <t xml:space="preserve"> REBY </t>
  </si>
  <si>
    <t xml:space="preserve"> SABAU </t>
  </si>
  <si>
    <t xml:space="preserve"> LONGUENESSE AL </t>
  </si>
  <si>
    <t xml:space="preserve"> BENSIMON </t>
  </si>
  <si>
    <t xml:space="preserve"> René </t>
  </si>
  <si>
    <t xml:space="preserve"> CAZENAVE </t>
  </si>
  <si>
    <t xml:space="preserve"> Remy </t>
  </si>
  <si>
    <t xml:space="preserve"> E S POUZACAISE </t>
  </si>
  <si>
    <t xml:space="preserve"> RAUTUREAU </t>
  </si>
  <si>
    <t xml:space="preserve"> COGET </t>
  </si>
  <si>
    <t xml:space="preserve"> LEREAH </t>
  </si>
  <si>
    <t xml:space="preserve"> AMICALE PONGISTE OZOIR </t>
  </si>
  <si>
    <t xml:space="preserve"> PERRET </t>
  </si>
  <si>
    <t xml:space="preserve"> Remi </t>
  </si>
  <si>
    <t xml:space="preserve"> J.S. OUROUX TT </t>
  </si>
  <si>
    <t xml:space="preserve"> TEDO </t>
  </si>
  <si>
    <t xml:space="preserve"> S U AGENAIS T T </t>
  </si>
  <si>
    <t xml:space="preserve"> LEROY </t>
  </si>
  <si>
    <t xml:space="preserve"> BRETESCHE </t>
  </si>
  <si>
    <t xml:space="preserve"> NANTES ST MEDARD DOULON </t>
  </si>
  <si>
    <t xml:space="preserve"> FORBACH U.S.T.T. </t>
  </si>
  <si>
    <t xml:space="preserve"> AP 17 </t>
  </si>
  <si>
    <t xml:space="preserve"> RAGEL </t>
  </si>
  <si>
    <t xml:space="preserve"> LASSERRE </t>
  </si>
  <si>
    <t xml:space="preserve"> John </t>
  </si>
  <si>
    <t xml:space="preserve"> BOUCHET </t>
  </si>
  <si>
    <t xml:space="preserve"> ENTENTE BLACONS-CREST TT </t>
  </si>
  <si>
    <t xml:space="preserve"> BESNIER </t>
  </si>
  <si>
    <t xml:space="preserve"> MULHOUSE TENNIS DE TABLE </t>
  </si>
  <si>
    <t xml:space="preserve"> DABRAINVILLE </t>
  </si>
  <si>
    <t xml:space="preserve"> ST GRATIEN AS </t>
  </si>
  <si>
    <t xml:space="preserve"> RAKOTOZAFY </t>
  </si>
  <si>
    <t xml:space="preserve"> Mandimbisio </t>
  </si>
  <si>
    <t xml:space="preserve"> RP FOUESNANT </t>
  </si>
  <si>
    <t xml:space="preserve"> DUPEUBLE </t>
  </si>
  <si>
    <t xml:space="preserve"> ASUL Lyon 8 Tennis de Tab </t>
  </si>
  <si>
    <t xml:space="preserve"> MALLARD </t>
  </si>
  <si>
    <t xml:space="preserve"> Jean </t>
  </si>
  <si>
    <t xml:space="preserve"> Niort Tennis de Table </t>
  </si>
  <si>
    <t xml:space="preserve"> LAURIN </t>
  </si>
  <si>
    <t xml:space="preserve"> Alain </t>
  </si>
  <si>
    <t xml:space="preserve"> ERMONT-PLESSIS BOUCHARD T </t>
  </si>
  <si>
    <t xml:space="preserve"> ANDRIANJATOVO </t>
  </si>
  <si>
    <t xml:space="preserve"> Jean christian </t>
  </si>
  <si>
    <t xml:space="preserve"> ASPTT TOULOUSE T.T. </t>
  </si>
  <si>
    <t xml:space="preserve"> LAWSON-GAIZER </t>
  </si>
  <si>
    <t xml:space="preserve"> Fessou </t>
  </si>
  <si>
    <t xml:space="preserve"> CJM BOURGES TT </t>
  </si>
  <si>
    <t xml:space="preserve"> RAMON </t>
  </si>
  <si>
    <t xml:space="preserve"> PROMO SPORTS BESANCON TT </t>
  </si>
  <si>
    <t xml:space="preserve"> NAINVILLE </t>
  </si>
  <si>
    <t xml:space="preserve"> E.S PLESCOP T.T </t>
  </si>
  <si>
    <t xml:space="preserve"> FONTENEAU </t>
  </si>
  <si>
    <t xml:space="preserve"> Yannick </t>
  </si>
  <si>
    <t xml:space="preserve"> ST SEBASTIEN P.P.C. </t>
  </si>
  <si>
    <t xml:space="preserve"> GUIBERT </t>
  </si>
  <si>
    <t xml:space="preserve"> GUERIN </t>
  </si>
  <si>
    <t xml:space="preserve"> FRAT. OULLINS </t>
  </si>
  <si>
    <t xml:space="preserve"> LE CAYLAR PPC </t>
  </si>
  <si>
    <t xml:space="preserve"> CAENNAISE AG </t>
  </si>
  <si>
    <t xml:space="preserve"> MOULIN </t>
  </si>
  <si>
    <t xml:space="preserve"> FRANCOURVILLE LD. </t>
  </si>
  <si>
    <t xml:space="preserve"> MANGEOT </t>
  </si>
  <si>
    <t xml:space="preserve"> LYON 7 TT GERLAND </t>
  </si>
  <si>
    <t xml:space="preserve"> Slimane </t>
  </si>
  <si>
    <t xml:space="preserve"> FRANCONVILLE CTT </t>
  </si>
  <si>
    <t xml:space="preserve"> CHANTELOUX </t>
  </si>
  <si>
    <t xml:space="preserve"> PING ST JEAN 45 </t>
  </si>
  <si>
    <t xml:space="preserve"> MANSOUR </t>
  </si>
  <si>
    <t xml:space="preserve"> Rachid </t>
  </si>
  <si>
    <t xml:space="preserve"> VILLEPINTE STTT </t>
  </si>
  <si>
    <t xml:space="preserve"> PAYSAL </t>
  </si>
  <si>
    <t xml:space="preserve"> COULOMMIERS TT </t>
  </si>
  <si>
    <t xml:space="preserve"> MANQUAT MANOZ </t>
  </si>
  <si>
    <t xml:space="preserve"> TT PELUSSIN </t>
  </si>
  <si>
    <t xml:space="preserve"> GREZ </t>
  </si>
  <si>
    <t xml:space="preserve"> LACAGE </t>
  </si>
  <si>
    <t xml:space="preserve"> CP PAVILLY </t>
  </si>
  <si>
    <t xml:space="preserve"> Gerard </t>
  </si>
  <si>
    <t xml:space="preserve"> VILLIERS ES </t>
  </si>
  <si>
    <t xml:space="preserve"> Gérald </t>
  </si>
  <si>
    <t xml:space="preserve"> BEHREN LES FORBACH TT </t>
  </si>
  <si>
    <t xml:space="preserve"> GABET </t>
  </si>
  <si>
    <t xml:space="preserve"> AERNOUT </t>
  </si>
  <si>
    <t xml:space="preserve"> Jean-christophe </t>
  </si>
  <si>
    <t xml:space="preserve"> RONCQ ULJAP </t>
  </si>
  <si>
    <t xml:space="preserve"> RICHARD </t>
  </si>
  <si>
    <t xml:space="preserve"> Bruno </t>
  </si>
  <si>
    <t xml:space="preserve"> BLAISE </t>
  </si>
  <si>
    <t xml:space="preserve"> THIONVILLE TT </t>
  </si>
  <si>
    <t xml:space="preserve"> JOLY </t>
  </si>
  <si>
    <t xml:space="preserve"> NERON </t>
  </si>
  <si>
    <t xml:space="preserve"> BOUCHEMAINE TT ANJOU </t>
  </si>
  <si>
    <t xml:space="preserve"> PERCHERON </t>
  </si>
  <si>
    <t xml:space="preserve"> Jean-philippe </t>
  </si>
  <si>
    <t xml:space="preserve"> ROISNEL </t>
  </si>
  <si>
    <t xml:space="preserve"> BOUGRE </t>
  </si>
  <si>
    <t xml:space="preserve"> DUFOSSE </t>
  </si>
  <si>
    <t xml:space="preserve"> DUNKERQUE TTAB </t>
  </si>
  <si>
    <t xml:space="preserve"> LAGADEC </t>
  </si>
  <si>
    <t xml:space="preserve"> DELACOUTE </t>
  </si>
  <si>
    <t xml:space="preserve"> Stephen </t>
  </si>
  <si>
    <t xml:space="preserve"> BARGELLI </t>
  </si>
  <si>
    <t xml:space="preserve"> ASLTT  ARGENS </t>
  </si>
  <si>
    <t xml:space="preserve"> SAGET </t>
  </si>
  <si>
    <t xml:space="preserve"> HURE </t>
  </si>
  <si>
    <t xml:space="preserve"> ORMESSON US </t>
  </si>
  <si>
    <t xml:space="preserve"> FRANCOIS </t>
  </si>
  <si>
    <t xml:space="preserve"> PONCELET </t>
  </si>
  <si>
    <t xml:space="preserve"> Fabien </t>
  </si>
  <si>
    <t xml:space="preserve"> PINTO </t>
  </si>
  <si>
    <t xml:space="preserve"> Frédéric </t>
  </si>
  <si>
    <t xml:space="preserve"> AGBOMSON </t>
  </si>
  <si>
    <t xml:space="preserve"> Kokou </t>
  </si>
  <si>
    <t xml:space="preserve"> AIX ESPACE EN PEVELE </t>
  </si>
  <si>
    <t xml:space="preserve"> CAUSSE </t>
  </si>
  <si>
    <t xml:space="preserve"> GROSLAY TTC </t>
  </si>
  <si>
    <t xml:space="preserve"> LUC </t>
  </si>
  <si>
    <t xml:space="preserve"> Jean christophe </t>
  </si>
  <si>
    <t xml:space="preserve"> TT ROCHE LEZ BEAUPRE </t>
  </si>
  <si>
    <t xml:space="preserve"> MOSER </t>
  </si>
  <si>
    <t xml:space="preserve"> MOUSSEY CS </t>
  </si>
  <si>
    <t xml:space="preserve"> LOUVET </t>
  </si>
  <si>
    <t xml:space="preserve"> Antoine </t>
  </si>
  <si>
    <t xml:space="preserve"> GEHRINGER </t>
  </si>
  <si>
    <t xml:space="preserve"> Brice </t>
  </si>
  <si>
    <t xml:space="preserve"> ANOULD Cercle Pongiste </t>
  </si>
  <si>
    <t xml:space="preserve"> DUPUICH </t>
  </si>
  <si>
    <t xml:space="preserve"> ROYER </t>
  </si>
  <si>
    <t xml:space="preserve"> FREVENT TENNIS DE TABLE </t>
  </si>
  <si>
    <t xml:space="preserve"> MEOT </t>
  </si>
  <si>
    <t xml:space="preserve"> GERBERON </t>
  </si>
  <si>
    <t xml:space="preserve"> Mohamed </t>
  </si>
  <si>
    <t xml:space="preserve"> PANTIN CMS </t>
  </si>
  <si>
    <t xml:space="preserve"> CHEVALIER </t>
  </si>
  <si>
    <t xml:space="preserve"> Noel </t>
  </si>
  <si>
    <t xml:space="preserve"> Gond Pontouvre T.T.G.P. </t>
  </si>
  <si>
    <t xml:space="preserve"> LECHIEN </t>
  </si>
  <si>
    <t xml:space="preserve"> Karl </t>
  </si>
  <si>
    <t xml:space="preserve"> BELLIEN </t>
  </si>
  <si>
    <t xml:space="preserve"> Jeremy </t>
  </si>
  <si>
    <t xml:space="preserve"> SAINT PAUL TROIS CHATEAUX </t>
  </si>
  <si>
    <t xml:space="preserve"> GUILLOT </t>
  </si>
  <si>
    <t xml:space="preserve"> MALISSARD </t>
  </si>
  <si>
    <t xml:space="preserve"> BREVANNAISE AS </t>
  </si>
  <si>
    <t xml:space="preserve"> LAILY </t>
  </si>
  <si>
    <t xml:space="preserve"> T DE T SELONCOURTOIS </t>
  </si>
  <si>
    <t xml:space="preserve"> MARZOUKI </t>
  </si>
  <si>
    <t xml:space="preserve"> Sami </t>
  </si>
  <si>
    <t xml:space="preserve"> SILVA-MORAIS </t>
  </si>
  <si>
    <t xml:space="preserve"> AS LIBOURNE </t>
  </si>
  <si>
    <t xml:space="preserve"> HUMBERT </t>
  </si>
  <si>
    <t xml:space="preserve"> ETIVAL ASRTT </t>
  </si>
  <si>
    <t xml:space="preserve"> Jean-michel </t>
  </si>
  <si>
    <t xml:space="preserve"> PROUVAT </t>
  </si>
  <si>
    <t xml:space="preserve"> BOURGETIN CTT </t>
  </si>
  <si>
    <t xml:space="preserve"> MAGUY </t>
  </si>
  <si>
    <t xml:space="preserve"> PPC CAUSSADAIS </t>
  </si>
  <si>
    <t xml:space="preserve"> DIONGUE </t>
  </si>
  <si>
    <t xml:space="preserve"> Boubacar </t>
  </si>
  <si>
    <t xml:space="preserve"> LILLE METROPOLE TENNIS DE </t>
  </si>
  <si>
    <t xml:space="preserve"> MIOLIN </t>
  </si>
  <si>
    <t xml:space="preserve"> MARTINEAU </t>
  </si>
  <si>
    <t xml:space="preserve"> DAMIE </t>
  </si>
  <si>
    <t xml:space="preserve"> Ludovik </t>
  </si>
  <si>
    <t xml:space="preserve"> HAUBOURDIN CTT </t>
  </si>
  <si>
    <t xml:space="preserve"> LEQUEUX </t>
  </si>
  <si>
    <t xml:space="preserve"> CHANTILLY GAS </t>
  </si>
  <si>
    <t xml:space="preserve"> DE MONTFUMAT </t>
  </si>
  <si>
    <t xml:space="preserve"> Martial </t>
  </si>
  <si>
    <t xml:space="preserve"> SAINT LO PL </t>
  </si>
  <si>
    <t xml:space="preserve"> SIOHAN </t>
  </si>
  <si>
    <t xml:space="preserve"> Claude </t>
  </si>
  <si>
    <t xml:space="preserve"> TAQUET </t>
  </si>
  <si>
    <t xml:space="preserve"> KRZEPKOWSKI </t>
  </si>
  <si>
    <t xml:space="preserve"> Jersy </t>
  </si>
  <si>
    <t xml:space="preserve"> BLANCHET </t>
  </si>
  <si>
    <t xml:space="preserve"> ANTONY SP TENNIS DE TABLE </t>
  </si>
  <si>
    <t xml:space="preserve"> GUIGONIS </t>
  </si>
  <si>
    <t xml:space="preserve"> ALIF </t>
  </si>
  <si>
    <t xml:space="preserve"> MENNECY TT </t>
  </si>
  <si>
    <t xml:space="preserve"> DUVAL </t>
  </si>
  <si>
    <t xml:space="preserve"> LEJAY </t>
  </si>
  <si>
    <t xml:space="preserve"> WILSON </t>
  </si>
  <si>
    <t xml:space="preserve"> René-claude </t>
  </si>
  <si>
    <t xml:space="preserve"> MONTREUIL ES </t>
  </si>
  <si>
    <t xml:space="preserve"> LE THIEC </t>
  </si>
  <si>
    <t xml:space="preserve"> ST JULIEN TENNIS DE TABLE </t>
  </si>
  <si>
    <t xml:space="preserve"> DESQUIENS </t>
  </si>
  <si>
    <t xml:space="preserve"> Norbert </t>
  </si>
  <si>
    <t xml:space="preserve"> PURKART </t>
  </si>
  <si>
    <t xml:space="preserve"> Geoffroy </t>
  </si>
  <si>
    <t xml:space="preserve"> ST BREVIN T.T. </t>
  </si>
  <si>
    <t xml:space="preserve"> CHAPGIER </t>
  </si>
  <si>
    <t xml:space="preserve"> HADET </t>
  </si>
  <si>
    <t xml:space="preserve"> Joffrey </t>
  </si>
  <si>
    <t xml:space="preserve"> EURVILLE BIENVILLE Jeunes </t>
  </si>
  <si>
    <t xml:space="preserve"> RAPHALEN </t>
  </si>
  <si>
    <t xml:space="preserve"> RC BRIEC DE L ODET </t>
  </si>
  <si>
    <t xml:space="preserve"> Jean nicolas </t>
  </si>
  <si>
    <t xml:space="preserve"> CLAISSE </t>
  </si>
  <si>
    <t xml:space="preserve"> Arnaud </t>
  </si>
  <si>
    <t xml:space="preserve"> LAMBERT </t>
  </si>
  <si>
    <t xml:space="preserve"> JS CUGNAUX/VILLENEUVE TT </t>
  </si>
  <si>
    <t xml:space="preserve"> VERHILLE </t>
  </si>
  <si>
    <t xml:space="preserve"> NOYERS </t>
  </si>
  <si>
    <t xml:space="preserve"> Jean noël </t>
  </si>
  <si>
    <t xml:space="preserve"> PETIT </t>
  </si>
  <si>
    <t xml:space="preserve"> CHARLEVILLE MEZIERES ARDE </t>
  </si>
  <si>
    <t xml:space="preserve"> BENAISE </t>
  </si>
  <si>
    <t xml:space="preserve"> THIEULEUX </t>
  </si>
  <si>
    <t xml:space="preserve"> DE COL </t>
  </si>
  <si>
    <t xml:space="preserve"> SEBBAG </t>
  </si>
  <si>
    <t xml:space="preserve"> CHALONS-EN-CHAMPAGNE TT </t>
  </si>
  <si>
    <t xml:space="preserve"> POIRET </t>
  </si>
  <si>
    <t xml:space="preserve"> 349B2030 </t>
  </si>
  <si>
    <t xml:space="preserve"> CLUB FRANCISCAIN </t>
  </si>
  <si>
    <t xml:space="preserve"> BAECHLER </t>
  </si>
  <si>
    <t xml:space="preserve"> BARLIER </t>
  </si>
  <si>
    <t xml:space="preserve"> ATSCAF LOIRE ATLANTIQUE </t>
  </si>
  <si>
    <t xml:space="preserve"> VANDEWALLE </t>
  </si>
  <si>
    <t xml:space="preserve"> VIGNALS </t>
  </si>
  <si>
    <t xml:space="preserve"> GRILLON </t>
  </si>
  <si>
    <t xml:space="preserve"> Michel </t>
  </si>
  <si>
    <t xml:space="preserve"> LA FERTE ALAIS S.E.T.T. </t>
  </si>
  <si>
    <t xml:space="preserve"> DENISE </t>
  </si>
  <si>
    <t xml:space="preserve"> Romain </t>
  </si>
  <si>
    <t xml:space="preserve"> ISBERGUES MJEP </t>
  </si>
  <si>
    <t xml:space="preserve"> BAMIDELE </t>
  </si>
  <si>
    <t xml:space="preserve"> Adewale </t>
  </si>
  <si>
    <t xml:space="preserve"> WISSEMBOURG NORD ALSACE T </t>
  </si>
  <si>
    <t xml:space="preserve"> NEUILLY SUR MARNE TT </t>
  </si>
  <si>
    <t xml:space="preserve"> DUCOURNEAU </t>
  </si>
  <si>
    <t xml:space="preserve"> Bertrand </t>
  </si>
  <si>
    <t xml:space="preserve"> STADE MONTOIS </t>
  </si>
  <si>
    <t xml:space="preserve"> VACHON </t>
  </si>
  <si>
    <t xml:space="preserve"> Florent </t>
  </si>
  <si>
    <t xml:space="preserve"> REDOUTE </t>
  </si>
  <si>
    <t xml:space="preserve"> SA MERIGNAC </t>
  </si>
  <si>
    <t xml:space="preserve"> APPERE </t>
  </si>
  <si>
    <t xml:space="preserve"> VGA ST MAUR US </t>
  </si>
  <si>
    <t xml:space="preserve"> BONHOMME </t>
  </si>
  <si>
    <t xml:space="preserve"> BOUAYE A.L. </t>
  </si>
  <si>
    <t xml:space="preserve"> BRUTTI </t>
  </si>
  <si>
    <t xml:space="preserve"> GRESIVAUDAN  BELLEDONNE T </t>
  </si>
  <si>
    <t xml:space="preserve"> DUCREUZET </t>
  </si>
  <si>
    <t xml:space="preserve"> Régis </t>
  </si>
  <si>
    <t xml:space="preserve"> METZ Tennis de Table </t>
  </si>
  <si>
    <t xml:space="preserve"> DUBOIS </t>
  </si>
  <si>
    <t xml:space="preserve"> OUADAH </t>
  </si>
  <si>
    <t xml:space="preserve"> Hakim </t>
  </si>
  <si>
    <t xml:space="preserve"> NEUBOURG QUITTEBEUF TT </t>
  </si>
  <si>
    <t xml:space="preserve"> LE BANNER </t>
  </si>
  <si>
    <t xml:space="preserve"> MACART </t>
  </si>
  <si>
    <t xml:space="preserve"> SIN LE NOBLE TT </t>
  </si>
  <si>
    <t xml:space="preserve"> BAUDRY </t>
  </si>
  <si>
    <t xml:space="preserve"> Mathieu </t>
  </si>
  <si>
    <t xml:space="preserve"> Marco </t>
  </si>
  <si>
    <t xml:space="preserve"> ETOILE PONGISTE PAYS DE F </t>
  </si>
  <si>
    <t xml:space="preserve"> WIDAWSKI </t>
  </si>
  <si>
    <t xml:space="preserve"> CARVIN ATT </t>
  </si>
  <si>
    <t xml:space="preserve"> POURNIN </t>
  </si>
  <si>
    <t xml:space="preserve"> BERRICHONNE-CHATEAUROUX </t>
  </si>
  <si>
    <t xml:space="preserve"> SANCHEZ </t>
  </si>
  <si>
    <t xml:space="preserve"> Albert </t>
  </si>
  <si>
    <t xml:space="preserve"> TREBES  TT </t>
  </si>
  <si>
    <t xml:space="preserve"> COLLET </t>
  </si>
  <si>
    <t xml:space="preserve"> FC GUEUGNON </t>
  </si>
  <si>
    <t xml:space="preserve"> BAERENZUNG </t>
  </si>
  <si>
    <t xml:space="preserve"> COLMAR MJC </t>
  </si>
  <si>
    <t xml:space="preserve"> CAEN TTC </t>
  </si>
  <si>
    <t xml:space="preserve"> BARON </t>
  </si>
  <si>
    <t xml:space="preserve"> VILLEFRANCHE TTCAV </t>
  </si>
  <si>
    <t xml:space="preserve"> ARTUSO </t>
  </si>
  <si>
    <t xml:space="preserve"> Club Pongiste Nieulais </t>
  </si>
  <si>
    <t xml:space="preserve"> THOMAS </t>
  </si>
  <si>
    <t xml:space="preserve"> PEREIRA </t>
  </si>
  <si>
    <t xml:space="preserve"> Louis </t>
  </si>
  <si>
    <t xml:space="preserve"> LAGNY SPORT MUNICIPAL TT </t>
  </si>
  <si>
    <t xml:space="preserve"> CAHORS TENNIS DE TABLE </t>
  </si>
  <si>
    <t xml:space="preserve"> FLAGEUL </t>
  </si>
  <si>
    <t xml:space="preserve"> Alexandre </t>
  </si>
  <si>
    <t xml:space="preserve"> Argantel Club PLERIN </t>
  </si>
  <si>
    <t xml:space="preserve"> ZANASI </t>
  </si>
  <si>
    <t xml:space="preserve"> CHEVILLY ELAN </t>
  </si>
  <si>
    <t xml:space="preserve"> LETHARD </t>
  </si>
  <si>
    <t xml:space="preserve"> FLEURY SUR ORNE CSP </t>
  </si>
  <si>
    <t xml:space="preserve"> LEPILLEUR </t>
  </si>
  <si>
    <t xml:space="preserve"> LEBIGOT </t>
  </si>
  <si>
    <t xml:space="preserve"> Joël </t>
  </si>
  <si>
    <t xml:space="preserve"> ISIGNY-MONTIGNY ENT P </t>
  </si>
  <si>
    <t xml:space="preserve"> DOMERGUE </t>
  </si>
  <si>
    <t xml:space="preserve"> VIVET </t>
  </si>
  <si>
    <t xml:space="preserve"> VONESCH </t>
  </si>
  <si>
    <t xml:space="preserve"> Sacha </t>
  </si>
  <si>
    <t xml:space="preserve"> BOOTZHEIM FCJ </t>
  </si>
  <si>
    <t xml:space="preserve"> GOURDON </t>
  </si>
  <si>
    <t xml:space="preserve"> METAIREAU </t>
  </si>
  <si>
    <t xml:space="preserve"> BARRAIS </t>
  </si>
  <si>
    <t xml:space="preserve"> HAYOTTE </t>
  </si>
  <si>
    <t xml:space="preserve"> BEAUMARD </t>
  </si>
  <si>
    <t xml:space="preserve"> Landry </t>
  </si>
  <si>
    <t xml:space="preserve"> MAY-JALLAIS ENT. tennis t </t>
  </si>
  <si>
    <t xml:space="preserve"> BLOIS PING 41 </t>
  </si>
  <si>
    <t xml:space="preserve"> PHILIPPE </t>
  </si>
  <si>
    <t xml:space="preserve"> LEDAIN </t>
  </si>
  <si>
    <t xml:space="preserve"> RIS ORANGIS US </t>
  </si>
  <si>
    <t xml:space="preserve"> ESCAUDOEUVRES TT </t>
  </si>
  <si>
    <t xml:space="preserve"> KALETA </t>
  </si>
  <si>
    <t xml:space="preserve"> ARGENTEUIL TT </t>
  </si>
  <si>
    <t xml:space="preserve"> MESSINA </t>
  </si>
  <si>
    <t xml:space="preserve"> AUGES </t>
  </si>
  <si>
    <t xml:space="preserve"> YODO </t>
  </si>
  <si>
    <t xml:space="preserve"> GOUDEAU </t>
  </si>
  <si>
    <t xml:space="preserve"> La Crèche Sainte Neomaye </t>
  </si>
  <si>
    <t xml:space="preserve"> MULLER </t>
  </si>
  <si>
    <t xml:space="preserve"> HENRION </t>
  </si>
  <si>
    <t xml:space="preserve"> DECKERT </t>
  </si>
  <si>
    <t xml:space="preserve"> ILLZACH TTSJB </t>
  </si>
  <si>
    <t xml:space="preserve"> ALVES </t>
  </si>
  <si>
    <t xml:space="preserve"> Miguel </t>
  </si>
  <si>
    <t xml:space="preserve"> INCHY-BEAUMONT UP </t>
  </si>
  <si>
    <t xml:space="preserve"> DAVID </t>
  </si>
  <si>
    <t xml:space="preserve"> ESPERANCE REUILLY </t>
  </si>
  <si>
    <t xml:space="preserve"> HONDERLIK </t>
  </si>
  <si>
    <t xml:space="preserve"> AMIOT </t>
  </si>
  <si>
    <t xml:space="preserve"> LAROCHELLE </t>
  </si>
  <si>
    <t xml:space="preserve"> ROCHETEAU </t>
  </si>
  <si>
    <t xml:space="preserve"> BEAUFOU VENDEE (ASL) </t>
  </si>
  <si>
    <t xml:space="preserve"> AZAIS </t>
  </si>
  <si>
    <t xml:space="preserve"> ALRIC </t>
  </si>
  <si>
    <t xml:space="preserve"> THISSE </t>
  </si>
  <si>
    <t xml:space="preserve"> STRASBOURG RC </t>
  </si>
  <si>
    <t xml:space="preserve"> Andrezj </t>
  </si>
  <si>
    <t xml:space="preserve"> JANVIER </t>
  </si>
  <si>
    <t xml:space="preserve"> Hedi </t>
  </si>
  <si>
    <t xml:space="preserve"> CARBONELL </t>
  </si>
  <si>
    <t xml:space="preserve"> Jean-françois </t>
  </si>
  <si>
    <t xml:space="preserve"> NARBONNE Tennis de Table </t>
  </si>
  <si>
    <t xml:space="preserve"> GETIN </t>
  </si>
  <si>
    <t xml:space="preserve"> ST CYR EN BOURG tennis de </t>
  </si>
  <si>
    <t xml:space="preserve"> KYRYCHENKO </t>
  </si>
  <si>
    <t xml:space="preserve"> Igor </t>
  </si>
  <si>
    <t xml:space="preserve"> LAENS </t>
  </si>
  <si>
    <t xml:space="preserve"> Michael </t>
  </si>
  <si>
    <t xml:space="preserve"> Raymond </t>
  </si>
  <si>
    <t xml:space="preserve"> SCHILTIGHEIM SU TT </t>
  </si>
  <si>
    <t xml:space="preserve"> PIHEN </t>
  </si>
  <si>
    <t xml:space="preserve"> OUTREAU APB </t>
  </si>
  <si>
    <t xml:space="preserve"> LITOU </t>
  </si>
  <si>
    <t xml:space="preserve"> FONTENAY TTC </t>
  </si>
  <si>
    <t xml:space="preserve"> DIDIER </t>
  </si>
  <si>
    <t xml:space="preserve"> DUPUIS </t>
  </si>
  <si>
    <t xml:space="preserve"> HERBLAY ASTT </t>
  </si>
  <si>
    <t xml:space="preserve"> TERTULIEN </t>
  </si>
  <si>
    <t xml:space="preserve"> Alex </t>
  </si>
  <si>
    <t xml:space="preserve"> 309C0321 </t>
  </si>
  <si>
    <t xml:space="preserve"> CERCLE PONGISTE DE CAYENN </t>
  </si>
  <si>
    <t xml:space="preserve"> GERNOT </t>
  </si>
  <si>
    <t xml:space="preserve"> GEFFROY </t>
  </si>
  <si>
    <t xml:space="preserve"> MESSAC GUIPRY U.S </t>
  </si>
  <si>
    <t xml:space="preserve"> MARENGUE </t>
  </si>
  <si>
    <t xml:space="preserve"> LORGERAY </t>
  </si>
  <si>
    <t xml:space="preserve"> CLEGUER TENNIS DE TABLE </t>
  </si>
  <si>
    <t xml:space="preserve"> GERVAIS </t>
  </si>
  <si>
    <t xml:space="preserve"> VIELLART </t>
  </si>
  <si>
    <t xml:space="preserve"> Jerôme </t>
  </si>
  <si>
    <t xml:space="preserve"> SOUFFRON </t>
  </si>
  <si>
    <t xml:space="preserve"> THIAIS AS TT </t>
  </si>
  <si>
    <t xml:space="preserve"> JOANNON </t>
  </si>
  <si>
    <t xml:space="preserve"> TT MONTROND LES BAINS </t>
  </si>
  <si>
    <t xml:space="preserve"> REBOUL </t>
  </si>
  <si>
    <t xml:space="preserve"> FOULON </t>
  </si>
  <si>
    <t xml:space="preserve"> MERS LE TREPORT EU TT </t>
  </si>
  <si>
    <t xml:space="preserve"> MONTIGNY LES METZ T.T. </t>
  </si>
  <si>
    <t xml:space="preserve"> Jean marc </t>
  </si>
  <si>
    <t xml:space="preserve"> US TORPES BOUSSIERES </t>
  </si>
  <si>
    <t xml:space="preserve"> LELANDAIS </t>
  </si>
  <si>
    <t xml:space="preserve"> ARNAGE US </t>
  </si>
  <si>
    <t xml:space="preserve"> DARMUZEY </t>
  </si>
  <si>
    <t xml:space="preserve"> LEBOUCHER </t>
  </si>
  <si>
    <t xml:space="preserve"> CS BETHENY  TT </t>
  </si>
  <si>
    <t xml:space="preserve"> VIALLAT </t>
  </si>
  <si>
    <t xml:space="preserve"> VILLENEUVE LES AVIGNON AS </t>
  </si>
  <si>
    <t xml:space="preserve"> BARNIER </t>
  </si>
  <si>
    <t xml:space="preserve"> DUFOUR </t>
  </si>
  <si>
    <t xml:space="preserve"> BURES/YVETTE US </t>
  </si>
  <si>
    <t xml:space="preserve"> VANDYCKE </t>
  </si>
  <si>
    <t xml:space="preserve"> Emeric </t>
  </si>
  <si>
    <t xml:space="preserve"> POURCEL </t>
  </si>
  <si>
    <t xml:space="preserve"> ANDRE </t>
  </si>
  <si>
    <t xml:space="preserve"> VIVY-GENNES Entente </t>
  </si>
  <si>
    <t xml:space="preserve"> VIEL </t>
  </si>
  <si>
    <t xml:space="preserve"> Alban </t>
  </si>
  <si>
    <t xml:space="preserve"> PLATAT </t>
  </si>
  <si>
    <t xml:space="preserve"> GREGORI </t>
  </si>
  <si>
    <t xml:space="preserve"> FERNANDEZ </t>
  </si>
  <si>
    <t xml:space="preserve"> Edouard </t>
  </si>
  <si>
    <t xml:space="preserve"> FROID </t>
  </si>
  <si>
    <t xml:space="preserve"> Gilbert eric </t>
  </si>
  <si>
    <t xml:space="preserve"> CSM FINANCES </t>
  </si>
  <si>
    <t xml:space="preserve"> PERDREAU </t>
  </si>
  <si>
    <t xml:space="preserve"> COULOUME </t>
  </si>
  <si>
    <t xml:space="preserve"> AKCAN </t>
  </si>
  <si>
    <t xml:space="preserve"> Ozgur </t>
  </si>
  <si>
    <t xml:space="preserve"> EVREUX ETUDIANTS CERCLE </t>
  </si>
  <si>
    <t xml:space="preserve"> Pierrick </t>
  </si>
  <si>
    <t xml:space="preserve"> SERIGNAT </t>
  </si>
  <si>
    <t xml:space="preserve"> PARCE TT </t>
  </si>
  <si>
    <t xml:space="preserve"> Frank </t>
  </si>
  <si>
    <t xml:space="preserve"> J YVRAC </t>
  </si>
  <si>
    <t xml:space="preserve"> VIOLLEAU </t>
  </si>
  <si>
    <t xml:space="preserve"> AMICALE EPERNON </t>
  </si>
  <si>
    <t xml:space="preserve"> SCHMITT </t>
  </si>
  <si>
    <t xml:space="preserve"> GAUBERT </t>
  </si>
  <si>
    <t xml:space="preserve"> U.M.S.T.T. MONTELIMAR </t>
  </si>
  <si>
    <t xml:space="preserve"> PROBST </t>
  </si>
  <si>
    <t xml:space="preserve"> GUIBOUT </t>
  </si>
  <si>
    <t xml:space="preserve"> RAMETTE </t>
  </si>
  <si>
    <t xml:space="preserve"> PONTOISE CERGY A.S. </t>
  </si>
  <si>
    <t xml:space="preserve"> LIMOUSIN </t>
  </si>
  <si>
    <t xml:space="preserve"> ALLIO </t>
  </si>
  <si>
    <t xml:space="preserve"> BEYRON </t>
  </si>
  <si>
    <t xml:space="preserve"> TT GOUBETOIS </t>
  </si>
  <si>
    <t xml:space="preserve"> VAST </t>
  </si>
  <si>
    <t xml:space="preserve"> GREMILLON </t>
  </si>
  <si>
    <t xml:space="preserve"> Jean-christian </t>
  </si>
  <si>
    <t xml:space="preserve"> CAUDRON </t>
  </si>
  <si>
    <t xml:space="preserve"> PAYET </t>
  </si>
  <si>
    <t xml:space="preserve"> COTON </t>
  </si>
  <si>
    <t xml:space="preserve"> MOSSER </t>
  </si>
  <si>
    <t xml:space="preserve"> BOSSIS </t>
  </si>
  <si>
    <t xml:space="preserve"> NANTES ASGEN </t>
  </si>
  <si>
    <t xml:space="preserve"> TT DE L ARCHE </t>
  </si>
  <si>
    <t xml:space="preserve"> KOSIAK </t>
  </si>
  <si>
    <t xml:space="preserve"> ISSY-LES-MOULINEAUX </t>
  </si>
  <si>
    <t xml:space="preserve"> VIBERT </t>
  </si>
  <si>
    <t xml:space="preserve"> Richard </t>
  </si>
  <si>
    <t xml:space="preserve"> STE MARIE AUX CHENES ASPT </t>
  </si>
  <si>
    <t xml:space="preserve"> JUNG </t>
  </si>
  <si>
    <t xml:space="preserve"> VINEUIL SPORTS / SUEVRES </t>
  </si>
  <si>
    <t xml:space="preserve"> THEVENON </t>
  </si>
  <si>
    <t xml:space="preserve"> Luc </t>
  </si>
  <si>
    <t xml:space="preserve"> SAINT CHAMOND TT </t>
  </si>
  <si>
    <t xml:space="preserve"> CARREAU </t>
  </si>
  <si>
    <t xml:space="preserve"> COMTE </t>
  </si>
  <si>
    <t xml:space="preserve"> GUYONVARCH </t>
  </si>
  <si>
    <t xml:space="preserve"> Andre </t>
  </si>
  <si>
    <t xml:space="preserve"> CANY </t>
  </si>
  <si>
    <t xml:space="preserve"> BODIN </t>
  </si>
  <si>
    <t xml:space="preserve"> Jean francois </t>
  </si>
  <si>
    <t xml:space="preserve"> La Rochelle CP Rochelais </t>
  </si>
  <si>
    <t xml:space="preserve"> CHADUFAUD </t>
  </si>
  <si>
    <t xml:space="preserve"> VENIZEL TT </t>
  </si>
  <si>
    <t xml:space="preserve"> SOTTOU </t>
  </si>
  <si>
    <t xml:space="preserve"> SERRIS VAL D'EUROPE ATT </t>
  </si>
  <si>
    <t xml:space="preserve"> IBBA </t>
  </si>
  <si>
    <t xml:space="preserve"> LOUERAT </t>
  </si>
  <si>
    <t xml:space="preserve"> VERTOU ASPV </t>
  </si>
  <si>
    <t xml:space="preserve"> TOUJAS </t>
  </si>
  <si>
    <t xml:space="preserve"> VIGOURET </t>
  </si>
  <si>
    <t xml:space="preserve"> CHOMIS </t>
  </si>
  <si>
    <t xml:space="preserve"> LE ROY </t>
  </si>
  <si>
    <t xml:space="preserve"> JUMP </t>
  </si>
  <si>
    <t xml:space="preserve"> NAHAL </t>
  </si>
  <si>
    <t xml:space="preserve"> THIBAUT </t>
  </si>
  <si>
    <t xml:space="preserve"> Jean-rené </t>
  </si>
  <si>
    <t xml:space="preserve"> ABBEVILLE ACTT </t>
  </si>
  <si>
    <t xml:space="preserve"> ROMERO </t>
  </si>
  <si>
    <t xml:space="preserve"> CESSON VERT ST DENIS TT </t>
  </si>
  <si>
    <t xml:space="preserve"> MUNIER </t>
  </si>
  <si>
    <t xml:space="preserve"> TT LA TRONCHE-MEYLAN-GREN </t>
  </si>
  <si>
    <t xml:space="preserve"> DOSIERE </t>
  </si>
  <si>
    <t xml:space="preserve"> BERNEUIL-COMPIEGNE-LACRX </t>
  </si>
  <si>
    <t xml:space="preserve"> LHUILLIER </t>
  </si>
  <si>
    <t xml:space="preserve"> BAUER </t>
  </si>
  <si>
    <t xml:space="preserve"> SPICHEREN C.S.N. </t>
  </si>
  <si>
    <t xml:space="preserve"> VILGICQUEL </t>
  </si>
  <si>
    <t xml:space="preserve"> RENARD </t>
  </si>
  <si>
    <t xml:space="preserve"> Jean-baptiste </t>
  </si>
  <si>
    <t xml:space="preserve"> ROMILLY SPORTS 10 </t>
  </si>
  <si>
    <t xml:space="preserve"> FELIDE </t>
  </si>
  <si>
    <t xml:space="preserve"> Jean-Baptiste </t>
  </si>
  <si>
    <t xml:space="preserve"> TT CASTELPONTIN </t>
  </si>
  <si>
    <t xml:space="preserve"> VELDEMAN </t>
  </si>
  <si>
    <t xml:space="preserve"> BETHUNE-BEUVRY ASTT </t>
  </si>
  <si>
    <t xml:space="preserve"> DUDREUIL </t>
  </si>
  <si>
    <t xml:space="preserve"> J Christophe </t>
  </si>
  <si>
    <t xml:space="preserve"> ZEMMAL </t>
  </si>
  <si>
    <t xml:space="preserve"> Kamal </t>
  </si>
  <si>
    <t xml:space="preserve"> CHESNAY 78 AS </t>
  </si>
  <si>
    <t xml:space="preserve"> STEPHANIAK </t>
  </si>
  <si>
    <t xml:space="preserve"> Thomas </t>
  </si>
  <si>
    <t xml:space="preserve"> LEERS OMNISPORT STT </t>
  </si>
  <si>
    <t xml:space="preserve"> EL-BAZE </t>
  </si>
  <si>
    <t xml:space="preserve"> AL COULOUNIEIX T T </t>
  </si>
  <si>
    <t xml:space="preserve"> RABU </t>
  </si>
  <si>
    <t xml:space="preserve"> BASQUIN </t>
  </si>
  <si>
    <t xml:space="preserve"> HORNAING TT </t>
  </si>
  <si>
    <t xml:space="preserve"> Aurelien </t>
  </si>
  <si>
    <t xml:space="preserve"> LY </t>
  </si>
  <si>
    <t xml:space="preserve"> Toan dan </t>
  </si>
  <si>
    <t xml:space="preserve"> BOYER </t>
  </si>
  <si>
    <t xml:space="preserve"> FARRONI </t>
  </si>
  <si>
    <t xml:space="preserve"> Francis </t>
  </si>
  <si>
    <t xml:space="preserve"> CHARMOT </t>
  </si>
  <si>
    <t xml:space="preserve"> STELLA THONON </t>
  </si>
  <si>
    <t xml:space="preserve"> CHARRIER </t>
  </si>
  <si>
    <t xml:space="preserve"> Robin </t>
  </si>
  <si>
    <t xml:space="preserve"> SALVISBERG </t>
  </si>
  <si>
    <t xml:space="preserve"> LENTE </t>
  </si>
  <si>
    <t xml:space="preserve"> LESTERQUY </t>
  </si>
  <si>
    <t xml:space="preserve"> JEUMONT PPC </t>
  </si>
  <si>
    <t xml:space="preserve"> MONASSONT </t>
  </si>
  <si>
    <t xml:space="preserve"> BAILLY </t>
  </si>
  <si>
    <t xml:space="preserve"> MOREAU </t>
  </si>
  <si>
    <t xml:space="preserve"> Gwenael </t>
  </si>
  <si>
    <t xml:space="preserve"> MONTAGNE (LA) A.S.C. </t>
  </si>
  <si>
    <t xml:space="preserve"> BOUTEMY </t>
  </si>
  <si>
    <t xml:space="preserve"> Severic </t>
  </si>
  <si>
    <t xml:space="preserve"> NIEPPE TT </t>
  </si>
  <si>
    <t xml:space="preserve"> Angoulême  TTGF </t>
  </si>
  <si>
    <t xml:space="preserve"> MALOU </t>
  </si>
  <si>
    <t xml:space="preserve"> POMAREDE </t>
  </si>
  <si>
    <t xml:space="preserve"> L HOPITAL P.P.C. </t>
  </si>
  <si>
    <t xml:space="preserve"> MAZET </t>
  </si>
  <si>
    <t xml:space="preserve"> CP ST GIRONNAIS </t>
  </si>
  <si>
    <t xml:space="preserve"> ASCHEHOUG </t>
  </si>
  <si>
    <t xml:space="preserve"> CS COURTRY </t>
  </si>
  <si>
    <t xml:space="preserve"> BOUQUET </t>
  </si>
  <si>
    <t xml:space="preserve"> GALASSO </t>
  </si>
  <si>
    <t xml:space="preserve"> AIX LES MILLES TT </t>
  </si>
  <si>
    <t xml:space="preserve"> BONNEAU </t>
  </si>
  <si>
    <t xml:space="preserve"> HAGUENAU T.T. </t>
  </si>
  <si>
    <t xml:space="preserve"> SZCZACHOR </t>
  </si>
  <si>
    <t xml:space="preserve"> SENE TENNIS DE TABLE </t>
  </si>
  <si>
    <t xml:space="preserve"> DELORME </t>
  </si>
  <si>
    <t xml:space="preserve"> Entente Pongiste Pays Sos </t>
  </si>
  <si>
    <t xml:space="preserve"> DAVIOT </t>
  </si>
  <si>
    <t xml:space="preserve"> LAVAL Francs Archers </t>
  </si>
  <si>
    <t xml:space="preserve"> KRAMDI </t>
  </si>
  <si>
    <t xml:space="preserve"> Tarik </t>
  </si>
  <si>
    <t xml:space="preserve"> VERSAILLES SCTT </t>
  </si>
  <si>
    <t xml:space="preserve"> ZEGLI </t>
  </si>
  <si>
    <t xml:space="preserve"> Mohammed </t>
  </si>
  <si>
    <t xml:space="preserve"> MONTMAGNY STT </t>
  </si>
  <si>
    <t xml:space="preserve"> BOUDET </t>
  </si>
  <si>
    <t xml:space="preserve"> LA FERTE VS </t>
  </si>
  <si>
    <t xml:space="preserve"> LANGLAIS </t>
  </si>
  <si>
    <t xml:space="preserve"> ST NAZAIRE TENNIS DE TABL </t>
  </si>
  <si>
    <t xml:space="preserve"> TAYSSE </t>
  </si>
  <si>
    <t xml:space="preserve"> Patrice </t>
  </si>
  <si>
    <t xml:space="preserve"> MANTAISE AS </t>
  </si>
  <si>
    <t xml:space="preserve"> PERSONNE </t>
  </si>
  <si>
    <t xml:space="preserve"> Aurélien </t>
  </si>
  <si>
    <t xml:space="preserve"> CORBARIEU </t>
  </si>
  <si>
    <t xml:space="preserve"> SAINT ORENS TT </t>
  </si>
  <si>
    <t xml:space="preserve"> BACQUET </t>
  </si>
  <si>
    <t xml:space="preserve"> BUFFET </t>
  </si>
  <si>
    <t xml:space="preserve"> Romuald </t>
  </si>
  <si>
    <t xml:space="preserve"> ROULLAND </t>
  </si>
  <si>
    <t xml:space="preserve"> ENTENTE AIX GRESY TT </t>
  </si>
  <si>
    <t xml:space="preserve"> JAUD </t>
  </si>
  <si>
    <t xml:space="preserve"> GROULT </t>
  </si>
  <si>
    <t xml:space="preserve"> BOUYER </t>
  </si>
  <si>
    <t xml:space="preserve"> SALLES </t>
  </si>
  <si>
    <t xml:space="preserve"> BOUVAT MERLIN </t>
  </si>
  <si>
    <t xml:space="preserve"> AS AVENIR NOTRE DAME </t>
  </si>
  <si>
    <t xml:space="preserve"> SEROUSSI </t>
  </si>
  <si>
    <t xml:space="preserve"> MESSI </t>
  </si>
  <si>
    <t xml:space="preserve"> US LA CRAU TENNIS DE TABL </t>
  </si>
  <si>
    <t xml:space="preserve"> SIMON </t>
  </si>
  <si>
    <t xml:space="preserve"> NANCY S.L.U.C. </t>
  </si>
  <si>
    <t xml:space="preserve"> CASY </t>
  </si>
  <si>
    <t xml:space="preserve"> DESPERT </t>
  </si>
  <si>
    <t xml:space="preserve"> HEUSBURG </t>
  </si>
  <si>
    <t xml:space="preserve"> Johnny </t>
  </si>
  <si>
    <t xml:space="preserve"> TERVILLE FLORANGE OCTT </t>
  </si>
  <si>
    <t xml:space="preserve"> ETOILE MOTTE VESOUL </t>
  </si>
  <si>
    <t xml:space="preserve"> FURNARI </t>
  </si>
  <si>
    <t xml:space="preserve"> Carmelo </t>
  </si>
  <si>
    <t xml:space="preserve"> BOUTET </t>
  </si>
  <si>
    <t xml:space="preserve"> R.S. ST CYR-SUR-LOIRE </t>
  </si>
  <si>
    <t xml:space="preserve"> BARBU </t>
  </si>
  <si>
    <t xml:space="preserve"> PANAZOL PANA-LOISIRS TT ( </t>
  </si>
  <si>
    <t xml:space="preserve"> BADRE </t>
  </si>
  <si>
    <t xml:space="preserve"> ETREPIGNY TT </t>
  </si>
  <si>
    <t xml:space="preserve"> BIRGEL </t>
  </si>
  <si>
    <t xml:space="preserve"> PLANCHAIS </t>
  </si>
  <si>
    <t xml:space="preserve"> PEYRAVERNEY </t>
  </si>
  <si>
    <t xml:space="preserve"> ZEDE </t>
  </si>
  <si>
    <t xml:space="preserve"> ROCCHETTI </t>
  </si>
  <si>
    <t xml:space="preserve"> Yvan </t>
  </si>
  <si>
    <t xml:space="preserve"> LEVOYER </t>
  </si>
  <si>
    <t xml:space="preserve"> ST MACAIRE EN MAUGES ASPM </t>
  </si>
  <si>
    <t xml:space="preserve"> BONNET </t>
  </si>
  <si>
    <t xml:space="preserve"> BEAUMONT </t>
  </si>
  <si>
    <t xml:space="preserve"> PPC SORGUAIS </t>
  </si>
  <si>
    <t xml:space="preserve"> KOUNDOUNO </t>
  </si>
  <si>
    <t xml:space="preserve"> VITASSE </t>
  </si>
  <si>
    <t xml:space="preserve"> HAYOT </t>
  </si>
  <si>
    <t xml:space="preserve"> CANNET COTE D AZUR TT </t>
  </si>
  <si>
    <t xml:space="preserve"> Zakaria </t>
  </si>
  <si>
    <t xml:space="preserve"> NOISEAU SS TENNIS DE TABL </t>
  </si>
  <si>
    <t xml:space="preserve"> HOCHART </t>
  </si>
  <si>
    <t xml:space="preserve"> CALAIS OLYMPIQUE TT </t>
  </si>
  <si>
    <t xml:space="preserve"> DELACHENAL </t>
  </si>
  <si>
    <t xml:space="preserve"> ANNECY TENNIS DE TABLE </t>
  </si>
  <si>
    <t xml:space="preserve"> GONCALVES </t>
  </si>
  <si>
    <t xml:space="preserve"> CAMPAR </t>
  </si>
  <si>
    <t xml:space="preserve"> Carlos </t>
  </si>
  <si>
    <t xml:space="preserve"> DRAVEIL TENNIS DE TABLE </t>
  </si>
  <si>
    <t xml:space="preserve"> DUPUY </t>
  </si>
  <si>
    <t xml:space="preserve"> Alexis </t>
  </si>
  <si>
    <t xml:space="preserve"> TT CORMERY-TRUYES </t>
  </si>
  <si>
    <t xml:space="preserve"> BACHELET </t>
  </si>
  <si>
    <t xml:space="preserve"> LE PAPE </t>
  </si>
  <si>
    <t xml:space="preserve"> COUTANCES JA TT </t>
  </si>
  <si>
    <t xml:space="preserve"> DASSIER </t>
  </si>
  <si>
    <t xml:space="preserve"> ORTIGER </t>
  </si>
  <si>
    <t xml:space="preserve"> LIVRY-GARGAN EP </t>
  </si>
  <si>
    <t xml:space="preserve"> BEQUIN </t>
  </si>
  <si>
    <t xml:space="preserve"> Renald </t>
  </si>
  <si>
    <t xml:space="preserve"> BOISSARD </t>
  </si>
  <si>
    <t xml:space="preserve"> SAINTE JAMME TT </t>
  </si>
  <si>
    <t xml:space="preserve"> PASQUALINI </t>
  </si>
  <si>
    <t xml:space="preserve"> PING-NEMOURS </t>
  </si>
  <si>
    <t xml:space="preserve"> VARCES VIF Tennis de tabl </t>
  </si>
  <si>
    <t xml:space="preserve"> LEMIERE </t>
  </si>
  <si>
    <t xml:space="preserve"> VAN WAMBEKE </t>
  </si>
  <si>
    <t xml:space="preserve"> VILLENEUVE D'ASCQ FOS </t>
  </si>
  <si>
    <t xml:space="preserve"> DIEU </t>
  </si>
  <si>
    <t xml:space="preserve"> MERY US TT </t>
  </si>
  <si>
    <t xml:space="preserve"> ROUZEVAL </t>
  </si>
  <si>
    <t xml:space="preserve"> AMICALE PONG PACY MENILLE </t>
  </si>
  <si>
    <t xml:space="preserve"> METALLIER </t>
  </si>
  <si>
    <t xml:space="preserve"> DRANCY JA </t>
  </si>
  <si>
    <t xml:space="preserve"> HAMEL </t>
  </si>
  <si>
    <t xml:space="preserve"> EON </t>
  </si>
  <si>
    <t xml:space="preserve"> STE LUCE T.T. </t>
  </si>
  <si>
    <t xml:space="preserve"> MOUNAIX </t>
  </si>
  <si>
    <t xml:space="preserve"> DECROIX </t>
  </si>
  <si>
    <t xml:space="preserve"> CP YVETOT </t>
  </si>
  <si>
    <t xml:space="preserve"> RASSOUW </t>
  </si>
  <si>
    <t xml:space="preserve"> JARNOT </t>
  </si>
  <si>
    <t xml:space="preserve"> SUCE SUR ERDRE </t>
  </si>
  <si>
    <t xml:space="preserve"> VANG </t>
  </si>
  <si>
    <t xml:space="preserve"> Tsia </t>
  </si>
  <si>
    <t xml:space="preserve"> POMARES </t>
  </si>
  <si>
    <t xml:space="preserve"> DEVAIVRE </t>
  </si>
  <si>
    <t xml:space="preserve"> François </t>
  </si>
  <si>
    <t xml:space="preserve"> NEUILLY AS ST PIERRE </t>
  </si>
  <si>
    <t xml:space="preserve"> VERGER </t>
  </si>
  <si>
    <t xml:space="preserve"> PIERRE </t>
  </si>
  <si>
    <t xml:space="preserve"> SAINT DIE SRD TT Déodatie </t>
  </si>
  <si>
    <t xml:space="preserve"> JUHEL </t>
  </si>
  <si>
    <t xml:space="preserve"> HUYNH </t>
  </si>
  <si>
    <t xml:space="preserve"> Hung </t>
  </si>
  <si>
    <t xml:space="preserve"> PATFOORT </t>
  </si>
  <si>
    <t xml:space="preserve"> MONFLANQUIN TT </t>
  </si>
  <si>
    <t xml:space="preserve"> NAIL </t>
  </si>
  <si>
    <t xml:space="preserve"> STADE CLERMONTOIS </t>
  </si>
  <si>
    <t xml:space="preserve"> MENAND </t>
  </si>
  <si>
    <t xml:space="preserve"> PUTEAUX TT CSM </t>
  </si>
  <si>
    <t xml:space="preserve"> NEUFCHATEAU T.T. </t>
  </si>
  <si>
    <t xml:space="preserve"> FERROUDJI </t>
  </si>
  <si>
    <t xml:space="preserve"> Houes </t>
  </si>
  <si>
    <t xml:space="preserve"> FLERIEN TT </t>
  </si>
  <si>
    <t xml:space="preserve"> MBONG </t>
  </si>
  <si>
    <t xml:space="preserve"> Ebenezer </t>
  </si>
  <si>
    <t xml:space="preserve"> U.S.E. AVOINE-BEAUMONT </t>
  </si>
  <si>
    <t xml:space="preserve"> CLAVEL </t>
  </si>
  <si>
    <t xml:space="preserve"> TT ST JEANNAIS </t>
  </si>
  <si>
    <t xml:space="preserve"> GAUTHIER </t>
  </si>
  <si>
    <t xml:space="preserve"> BOISDRON </t>
  </si>
  <si>
    <t xml:space="preserve"> Josselin </t>
  </si>
  <si>
    <t xml:space="preserve"> ST GERMAIN SUR MOINE EPM </t>
  </si>
  <si>
    <t xml:space="preserve"> ATTAL </t>
  </si>
  <si>
    <t xml:space="preserve"> ESPIE </t>
  </si>
  <si>
    <t xml:space="preserve"> Jean bernard </t>
  </si>
  <si>
    <t xml:space="preserve"> BECUWE </t>
  </si>
  <si>
    <t xml:space="preserve"> SIBILLE </t>
  </si>
  <si>
    <t xml:space="preserve"> REGEARD </t>
  </si>
  <si>
    <t xml:space="preserve"> BEAUCHAMP CTT </t>
  </si>
  <si>
    <t xml:space="preserve"> GAISNON </t>
  </si>
  <si>
    <t xml:space="preserve"> DE LA BARRERA </t>
  </si>
  <si>
    <t xml:space="preserve"> Felix </t>
  </si>
  <si>
    <t xml:space="preserve"> TUILLIER </t>
  </si>
  <si>
    <t xml:space="preserve"> Johan </t>
  </si>
  <si>
    <t xml:space="preserve"> CLAMART CSM </t>
  </si>
  <si>
    <t xml:space="preserve"> RAVAUX </t>
  </si>
  <si>
    <t xml:space="preserve"> DELAVERGNE </t>
  </si>
  <si>
    <t xml:space="preserve"> CPS 10ème </t>
  </si>
  <si>
    <t xml:space="preserve"> BEYL </t>
  </si>
  <si>
    <t xml:space="preserve"> LABAUME </t>
  </si>
  <si>
    <t xml:space="preserve"> CHEVIGNY TENNIS DE TABLE </t>
  </si>
  <si>
    <t xml:space="preserve"> GASCHET </t>
  </si>
  <si>
    <t xml:space="preserve"> Jack </t>
  </si>
  <si>
    <t xml:space="preserve"> MORTAINAISE ENT TT </t>
  </si>
  <si>
    <t xml:space="preserve"> HERAUD </t>
  </si>
  <si>
    <t xml:space="preserve"> BEAUREPAIRE TT </t>
  </si>
  <si>
    <t xml:space="preserve"> BARBEY </t>
  </si>
  <si>
    <t xml:space="preserve"> BODIGUEL </t>
  </si>
  <si>
    <t xml:space="preserve"> RENNES TOUR D AUVERGNE </t>
  </si>
  <si>
    <t xml:space="preserve"> BOSSE </t>
  </si>
  <si>
    <t xml:space="preserve"> AS TENNIS DE TABLE LYON 6 </t>
  </si>
  <si>
    <t xml:space="preserve"> LECOMTE </t>
  </si>
  <si>
    <t xml:space="preserve"> LUTTRINGER </t>
  </si>
  <si>
    <t xml:space="preserve"> LEGUAY </t>
  </si>
  <si>
    <t xml:space="preserve"> DISSOUS </t>
  </si>
  <si>
    <t xml:space="preserve"> FONTENAYSIENNE Union Spor </t>
  </si>
  <si>
    <t xml:space="preserve"> MARROCOS </t>
  </si>
  <si>
    <t xml:space="preserve"> BRUNEAU </t>
  </si>
  <si>
    <t xml:space="preserve"> BAUGIER </t>
  </si>
  <si>
    <t xml:space="preserve"> V4 </t>
  </si>
  <si>
    <t xml:space="preserve"> POLLET </t>
  </si>
  <si>
    <t xml:space="preserve"> LINSELLES TT </t>
  </si>
  <si>
    <t xml:space="preserve"> THEVENIN </t>
  </si>
  <si>
    <t xml:space="preserve"> LE DUFF </t>
  </si>
  <si>
    <t xml:space="preserve"> MICHEL </t>
  </si>
  <si>
    <t xml:space="preserve"> TT BOUGUE - LAGLORIEUSE </t>
  </si>
  <si>
    <t xml:space="preserve"> GRANGER </t>
  </si>
  <si>
    <t xml:space="preserve"> CHATOU CROISSY TT </t>
  </si>
  <si>
    <t xml:space="preserve"> ROCHE </t>
  </si>
  <si>
    <t xml:space="preserve"> MAHE </t>
  </si>
  <si>
    <t xml:space="preserve"> Rodolphe </t>
  </si>
  <si>
    <t xml:space="preserve"> MONTOIR ST MALO TT </t>
  </si>
  <si>
    <t xml:space="preserve"> BARADEL </t>
  </si>
  <si>
    <t xml:space="preserve"> DENIS </t>
  </si>
  <si>
    <t xml:space="preserve"> Matthieu </t>
  </si>
  <si>
    <t xml:space="preserve"> RUE UP </t>
  </si>
  <si>
    <t xml:space="preserve"> FOSSE </t>
  </si>
  <si>
    <t xml:space="preserve"> LAVENTIE OSTT </t>
  </si>
  <si>
    <t xml:space="preserve"> GOEMAN </t>
  </si>
  <si>
    <t xml:space="preserve"> MEHR </t>
  </si>
  <si>
    <t xml:space="preserve"> Guy </t>
  </si>
  <si>
    <t xml:space="preserve"> HERNANDEZ </t>
  </si>
  <si>
    <t xml:space="preserve"> SAINT-CLAIR </t>
  </si>
  <si>
    <t xml:space="preserve"> LEBLOND </t>
  </si>
  <si>
    <t xml:space="preserve"> CORSINI </t>
  </si>
  <si>
    <t xml:space="preserve"> FOUGERAY </t>
  </si>
  <si>
    <t xml:space="preserve"> CHAPELLE ANTHENAISE U.S </t>
  </si>
  <si>
    <t xml:space="preserve"> BIGNOT </t>
  </si>
  <si>
    <t xml:space="preserve"> SABOLOVIC </t>
  </si>
  <si>
    <t xml:space="preserve"> Paul </t>
  </si>
  <si>
    <t xml:space="preserve"> IGNYSSOISE ASS. PONGISTE </t>
  </si>
  <si>
    <t xml:space="preserve"> BELEY </t>
  </si>
  <si>
    <t xml:space="preserve"> GREINER </t>
  </si>
  <si>
    <t xml:space="preserve"> SZCZEPANIAK </t>
  </si>
  <si>
    <t xml:space="preserve"> A S VILLENAVE T T </t>
  </si>
  <si>
    <t xml:space="preserve"> CHOLET TENNIS DE TABLE </t>
  </si>
  <si>
    <t xml:space="preserve"> VERNA </t>
  </si>
  <si>
    <t xml:space="preserve"> T.T. SAINT GENOUPH </t>
  </si>
  <si>
    <t xml:space="preserve"> PUYGRENIER </t>
  </si>
  <si>
    <t xml:space="preserve"> BERCY </t>
  </si>
  <si>
    <t xml:space="preserve"> BERTRY </t>
  </si>
  <si>
    <t xml:space="preserve"> Cognac UA </t>
  </si>
  <si>
    <t xml:space="preserve"> Jean-francois </t>
  </si>
  <si>
    <t xml:space="preserve"> THIERY </t>
  </si>
  <si>
    <t xml:space="preserve"> LA FRETTE ESFTT </t>
  </si>
  <si>
    <t xml:space="preserve"> DIETSCH </t>
  </si>
  <si>
    <t xml:space="preserve"> HEILLECOURT LOISIRS RENCO </t>
  </si>
  <si>
    <t xml:space="preserve"> ASCAP SOCHAUX TT </t>
  </si>
  <si>
    <t xml:space="preserve"> L'HELGOUARC'H </t>
  </si>
  <si>
    <t xml:space="preserve"> RAQUETTE DU PORZAY </t>
  </si>
  <si>
    <t xml:space="preserve"> GRAVINA </t>
  </si>
  <si>
    <t xml:space="preserve"> VIEMON </t>
  </si>
  <si>
    <t xml:space="preserve"> Jean-claude </t>
  </si>
  <si>
    <t xml:space="preserve"> LEGER </t>
  </si>
  <si>
    <t xml:space="preserve"> ASA VAUZELLES </t>
  </si>
  <si>
    <t xml:space="preserve"> LUSSEAULT </t>
  </si>
  <si>
    <t xml:space="preserve"> Jean pierre </t>
  </si>
  <si>
    <t xml:space="preserve"> HENON </t>
  </si>
  <si>
    <t xml:space="preserve"> LONGUEAU ESC </t>
  </si>
  <si>
    <t xml:space="preserve"> CAUDMONT </t>
  </si>
  <si>
    <t xml:space="preserve"> AS MOUCHARD </t>
  </si>
  <si>
    <t xml:space="preserve"> LE ROUZIC </t>
  </si>
  <si>
    <t xml:space="preserve"> PINERO </t>
  </si>
  <si>
    <t xml:space="preserve"> ROUANET </t>
  </si>
  <si>
    <t xml:space="preserve"> QUERON </t>
  </si>
  <si>
    <t xml:space="preserve"> Aiffres TTC </t>
  </si>
  <si>
    <t xml:space="preserve"> TT GUEMENE S/SCORFF </t>
  </si>
  <si>
    <t xml:space="preserve"> OUBLIER </t>
  </si>
  <si>
    <t xml:space="preserve"> BOSSU </t>
  </si>
  <si>
    <t xml:space="preserve"> BOUTHERIN </t>
  </si>
  <si>
    <t xml:space="preserve"> PIERRONNET </t>
  </si>
  <si>
    <t xml:space="preserve"> MJC IMPHY </t>
  </si>
  <si>
    <t xml:space="preserve"> DEVOUCOUT </t>
  </si>
  <si>
    <t xml:space="preserve"> HERBERT </t>
  </si>
  <si>
    <t xml:space="preserve"> EAUBONNE CSM </t>
  </si>
  <si>
    <t xml:space="preserve"> MARAIS </t>
  </si>
  <si>
    <t xml:space="preserve"> WATTIGNIES  PPC </t>
  </si>
  <si>
    <t xml:space="preserve"> BENSOUSSAN </t>
  </si>
  <si>
    <t xml:space="preserve"> LA GARENNE COLOMBES AE </t>
  </si>
  <si>
    <t xml:space="preserve"> GAULARD </t>
  </si>
  <si>
    <t xml:space="preserve"> ANDRIETTI </t>
  </si>
  <si>
    <t xml:space="preserve"> CEYRESTE PP </t>
  </si>
  <si>
    <t xml:space="preserve"> AYME </t>
  </si>
  <si>
    <t xml:space="preserve"> CUTIN </t>
  </si>
  <si>
    <t xml:space="preserve"> ST JEAN ROHRBACH ALPR </t>
  </si>
  <si>
    <t xml:space="preserve"> HERBA </t>
  </si>
  <si>
    <t xml:space="preserve"> BILLY BERCLAU TT </t>
  </si>
  <si>
    <t xml:space="preserve"> JOIGNE </t>
  </si>
  <si>
    <t xml:space="preserve"> BEASSE </t>
  </si>
  <si>
    <t xml:space="preserve"> GUENON </t>
  </si>
  <si>
    <t xml:space="preserve"> BLIN </t>
  </si>
  <si>
    <t xml:space="preserve"> 379H0003 </t>
  </si>
  <si>
    <t xml:space="preserve"> AS Dragon </t>
  </si>
  <si>
    <t xml:space="preserve"> PIETU </t>
  </si>
  <si>
    <t xml:space="preserve"> NANTERRE ES </t>
  </si>
  <si>
    <t xml:space="preserve"> LEBRETON </t>
  </si>
  <si>
    <t xml:space="preserve"> BRUNTH </t>
  </si>
  <si>
    <t xml:space="preserve"> LIMOGES ALOUETTE TT (87) </t>
  </si>
  <si>
    <t xml:space="preserve"> TENNIS DE TABLE OFFRANVIL </t>
  </si>
  <si>
    <t xml:space="preserve"> LAPIROT </t>
  </si>
  <si>
    <t xml:space="preserve"> ATT SAINT BABEL </t>
  </si>
  <si>
    <t xml:space="preserve"> PEIRE </t>
  </si>
  <si>
    <t xml:space="preserve"> LUONG </t>
  </si>
  <si>
    <t xml:space="preserve"> Trieu-han </t>
  </si>
  <si>
    <t xml:space="preserve"> MARMOUTIER CSE </t>
  </si>
  <si>
    <t xml:space="preserve"> CELLIER </t>
  </si>
  <si>
    <t xml:space="preserve"> Johann </t>
  </si>
  <si>
    <t xml:space="preserve"> JARD SC </t>
  </si>
  <si>
    <t xml:space="preserve"> RENAULT </t>
  </si>
  <si>
    <t xml:space="preserve"> Yvon </t>
  </si>
  <si>
    <t xml:space="preserve"> ANTOINE </t>
  </si>
  <si>
    <t xml:space="preserve"> MESSEMER </t>
  </si>
  <si>
    <t xml:space="preserve"> SARRE-UNION CTT </t>
  </si>
  <si>
    <t xml:space="preserve"> ROOSE </t>
  </si>
  <si>
    <t xml:space="preserve"> LONGJUMEAU PO </t>
  </si>
  <si>
    <t xml:space="preserve"> BOCQUIER </t>
  </si>
  <si>
    <t xml:space="preserve"> HOUDART </t>
  </si>
  <si>
    <t xml:space="preserve"> ESCAUDAIN ASTT </t>
  </si>
  <si>
    <t xml:space="preserve"> BELLE </t>
  </si>
  <si>
    <t xml:space="preserve"> ST PIERRE DES NIDS A.S </t>
  </si>
  <si>
    <t xml:space="preserve"> BARGE </t>
  </si>
  <si>
    <t xml:space="preserve"> CTT CALVISSON </t>
  </si>
  <si>
    <t xml:space="preserve"> BILLAUD </t>
  </si>
  <si>
    <t xml:space="preserve"> ZAMUNER </t>
  </si>
  <si>
    <t xml:space="preserve"> J jacques </t>
  </si>
  <si>
    <t xml:space="preserve"> MIRABEL </t>
  </si>
  <si>
    <t xml:space="preserve"> CHIMILIN ABRETS PONT TT C </t>
  </si>
  <si>
    <t xml:space="preserve"> LETANG </t>
  </si>
  <si>
    <t xml:space="preserve"> Thouars CSC </t>
  </si>
  <si>
    <t xml:space="preserve"> GAG </t>
  </si>
  <si>
    <t xml:space="preserve"> Jean charles </t>
  </si>
  <si>
    <t xml:space="preserve"> MELANGER </t>
  </si>
  <si>
    <t xml:space="preserve"> Vladimir </t>
  </si>
  <si>
    <t xml:space="preserve"> GUISNEL </t>
  </si>
  <si>
    <t xml:space="preserve"> DANE </t>
  </si>
  <si>
    <t xml:space="preserve"> TT PASSAGEOIS </t>
  </si>
  <si>
    <t xml:space="preserve"> FLORVAL </t>
  </si>
  <si>
    <t xml:space="preserve"> BEZIAS </t>
  </si>
  <si>
    <t xml:space="preserve"> BECHET </t>
  </si>
  <si>
    <t xml:space="preserve"> BOUIN E </t>
  </si>
  <si>
    <t xml:space="preserve"> SANLAVILLE </t>
  </si>
  <si>
    <t xml:space="preserve"> Joseph </t>
  </si>
  <si>
    <t xml:space="preserve"> HUNINGUE TTC </t>
  </si>
  <si>
    <t xml:space="preserve"> BALEMBITS </t>
  </si>
  <si>
    <t xml:space="preserve"> SAINTINES ATT </t>
  </si>
  <si>
    <t xml:space="preserve"> LANGEVIN </t>
  </si>
  <si>
    <t xml:space="preserve"> AUBE </t>
  </si>
  <si>
    <t xml:space="preserve"> A.T.T. AULNAT </t>
  </si>
  <si>
    <t xml:space="preserve"> HARNAIS </t>
  </si>
  <si>
    <t xml:space="preserve"> Paris </t>
  </si>
  <si>
    <t xml:space="preserve"> MAROT </t>
  </si>
  <si>
    <t xml:space="preserve"> BILLARD </t>
  </si>
  <si>
    <t xml:space="preserve"> Entente Tennis de Table d </t>
  </si>
  <si>
    <t xml:space="preserve"> FOURNIAL </t>
  </si>
  <si>
    <t xml:space="preserve"> ARPAJON ESR </t>
  </si>
  <si>
    <t xml:space="preserve"> ROMEDENNE </t>
  </si>
  <si>
    <t xml:space="preserve"> FAVEUR </t>
  </si>
  <si>
    <t xml:space="preserve"> GODET </t>
  </si>
  <si>
    <t xml:space="preserve"> MONCIEU </t>
  </si>
  <si>
    <t xml:space="preserve"> PONT A MOUSSON A.S.T.T. </t>
  </si>
  <si>
    <t xml:space="preserve"> VARACHE </t>
  </si>
  <si>
    <t xml:space="preserve"> BATHELOT </t>
  </si>
  <si>
    <t xml:space="preserve"> SALAUN </t>
  </si>
  <si>
    <t xml:space="preserve"> LANDERNEAU TT </t>
  </si>
  <si>
    <t xml:space="preserve"> PLESSY </t>
  </si>
  <si>
    <t xml:space="preserve"> CAPA TT </t>
  </si>
  <si>
    <t xml:space="preserve"> GUILLEMART </t>
  </si>
  <si>
    <t xml:space="preserve"> ELLIEN </t>
  </si>
  <si>
    <t xml:space="preserve"> MOAL </t>
  </si>
  <si>
    <t xml:space="preserve"> MIJOVIC </t>
  </si>
  <si>
    <t xml:space="preserve"> Momcilo </t>
  </si>
  <si>
    <t xml:space="preserve"> GUYONNEAU </t>
  </si>
  <si>
    <t xml:space="preserve"> St Georges des Coteaux AS </t>
  </si>
  <si>
    <t xml:space="preserve"> MASSON </t>
  </si>
  <si>
    <t xml:space="preserve"> GILBERT </t>
  </si>
  <si>
    <t xml:space="preserve"> Marquis </t>
  </si>
  <si>
    <t xml:space="preserve"> Boe </t>
  </si>
  <si>
    <t xml:space="preserve"> PLAISIROIS CP </t>
  </si>
  <si>
    <t xml:space="preserve"> GEOFFROY </t>
  </si>
  <si>
    <t xml:space="preserve"> DOMBASLE STT </t>
  </si>
  <si>
    <t xml:space="preserve"> LEFLON </t>
  </si>
  <si>
    <t xml:space="preserve"> Roland </t>
  </si>
  <si>
    <t xml:space="preserve"> REVIN - HAYBOISE TT </t>
  </si>
  <si>
    <t xml:space="preserve"> REMLE </t>
  </si>
  <si>
    <t xml:space="preserve"> BARALDI </t>
  </si>
  <si>
    <t xml:space="preserve"> BEZIERS TENNIS DE TABLE </t>
  </si>
  <si>
    <t xml:space="preserve"> ARNOULD </t>
  </si>
  <si>
    <t xml:space="preserve"> CHABROUX </t>
  </si>
  <si>
    <t xml:space="preserve"> TESSON </t>
  </si>
  <si>
    <t xml:space="preserve"> ANDRESY-MAURECOURT TT </t>
  </si>
  <si>
    <t xml:space="preserve"> IMBERTY </t>
  </si>
  <si>
    <t xml:space="preserve"> MALAKOFF USMM </t>
  </si>
  <si>
    <t xml:space="preserve"> NAVEAU </t>
  </si>
  <si>
    <t xml:space="preserve"> VICENT </t>
  </si>
  <si>
    <t xml:space="preserve"> BENAMMAR </t>
  </si>
  <si>
    <t xml:space="preserve"> Abderrezzak </t>
  </si>
  <si>
    <t xml:space="preserve"> REMBERT </t>
  </si>
  <si>
    <t xml:space="preserve"> U.S. VERN </t>
  </si>
  <si>
    <t xml:space="preserve"> MAX </t>
  </si>
  <si>
    <t xml:space="preserve"> ST QUENTIN TT </t>
  </si>
  <si>
    <t xml:space="preserve"> LESCASSE </t>
  </si>
  <si>
    <t xml:space="preserve"> ST HILAIRE DE LOULAY </t>
  </si>
  <si>
    <t xml:space="preserve"> MATER </t>
  </si>
  <si>
    <t xml:space="preserve"> VERCHERE </t>
  </si>
  <si>
    <t xml:space="preserve"> Wilfrid </t>
  </si>
  <si>
    <t xml:space="preserve"> PERRIN </t>
  </si>
  <si>
    <t xml:space="preserve"> ETOILE DE MONTAUD ST ETIE </t>
  </si>
  <si>
    <t xml:space="preserve"> PAUPY </t>
  </si>
  <si>
    <t xml:space="preserve"> BLANVILLIN </t>
  </si>
  <si>
    <t xml:space="preserve"> Jean françois </t>
  </si>
  <si>
    <t xml:space="preserve"> MORSANG TENNIS DE TABLE </t>
  </si>
  <si>
    <t xml:space="preserve"> GUILBERT </t>
  </si>
  <si>
    <t xml:space="preserve"> DENEE </t>
  </si>
  <si>
    <t xml:space="preserve"> THAON CHENIMENIL E.S.T.T. </t>
  </si>
  <si>
    <t xml:space="preserve"> PROCHASSON </t>
  </si>
  <si>
    <t xml:space="preserve"> SAGNES </t>
  </si>
  <si>
    <t xml:space="preserve"> A AMICALE COURONNAISE </t>
  </si>
  <si>
    <t xml:space="preserve"> CHRISTIN </t>
  </si>
  <si>
    <t xml:space="preserve"> KRASKA </t>
  </si>
  <si>
    <t xml:space="preserve"> SCHLACHTER </t>
  </si>
  <si>
    <t xml:space="preserve"> DERAM </t>
  </si>
  <si>
    <t xml:space="preserve"> WORMHOUT AS TT </t>
  </si>
  <si>
    <t xml:space="preserve"> DESBOIS </t>
  </si>
  <si>
    <t xml:space="preserve"> PUBERT </t>
  </si>
  <si>
    <t xml:space="preserve"> PAIMBOEUF C.P. </t>
  </si>
  <si>
    <t xml:space="preserve"> COMYN </t>
  </si>
  <si>
    <t xml:space="preserve"> TOURCOING JG </t>
  </si>
  <si>
    <t xml:space="preserve"> MOLOSTOFF </t>
  </si>
  <si>
    <t xml:space="preserve"> DECLERCQ </t>
  </si>
  <si>
    <t xml:space="preserve"> LOOS EN GOHELLE TT </t>
  </si>
  <si>
    <t xml:space="preserve"> DESCAMPS </t>
  </si>
  <si>
    <t xml:space="preserve"> ANGLES </t>
  </si>
  <si>
    <t xml:space="preserve"> LOGEAIS </t>
  </si>
  <si>
    <t xml:space="preserve"> LOUVIGNE C.S. </t>
  </si>
  <si>
    <t xml:space="preserve"> JAWOROWSKI </t>
  </si>
  <si>
    <t xml:space="preserve"> Jimmy </t>
  </si>
  <si>
    <t xml:space="preserve"> FLINES LEZ RACHES PPC </t>
  </si>
  <si>
    <t xml:space="preserve"> PETIT MARS T.T. </t>
  </si>
  <si>
    <t xml:space="preserve"> MARLIN </t>
  </si>
  <si>
    <t xml:space="preserve"> L'HOTE </t>
  </si>
  <si>
    <t xml:space="preserve"> VILLE LE MARCLET-FLIXECOU </t>
  </si>
  <si>
    <t xml:space="preserve"> CARLE </t>
  </si>
  <si>
    <t xml:space="preserve"> LAZARDEUX </t>
  </si>
  <si>
    <t xml:space="preserve"> VANDAMME </t>
  </si>
  <si>
    <t xml:space="preserve"> CAMPENON </t>
  </si>
  <si>
    <t xml:space="preserve"> JOASSIN </t>
  </si>
  <si>
    <t xml:space="preserve"> ETAMPES CTT </t>
  </si>
  <si>
    <t xml:space="preserve"> BELLEGARDE </t>
  </si>
  <si>
    <t xml:space="preserve"> GESNY </t>
  </si>
  <si>
    <t xml:space="preserve"> BRUERE </t>
  </si>
  <si>
    <t xml:space="preserve"> DE SANTESTEBAN </t>
  </si>
  <si>
    <t xml:space="preserve"> PERRIER </t>
  </si>
  <si>
    <t xml:space="preserve"> LAVAL BOURNY Tennis de Ta </t>
  </si>
  <si>
    <t xml:space="preserve"> TARDIEU </t>
  </si>
  <si>
    <t xml:space="preserve"> BELE </t>
  </si>
  <si>
    <t xml:space="preserve"> LA SEMEUSE NICE </t>
  </si>
  <si>
    <t xml:space="preserve"> WAQUET </t>
  </si>
  <si>
    <t xml:space="preserve"> GARCIA </t>
  </si>
  <si>
    <t xml:space="preserve"> RAPHAEL </t>
  </si>
  <si>
    <t xml:space="preserve"> BERNARD </t>
  </si>
  <si>
    <t xml:space="preserve"> Jean-sebastien </t>
  </si>
  <si>
    <t xml:space="preserve"> AMAR </t>
  </si>
  <si>
    <t xml:space="preserve"> GOUVIEUX LAMORLAYE Sud Oi </t>
  </si>
  <si>
    <t xml:space="preserve"> KLINGELSCHMITT </t>
  </si>
  <si>
    <t xml:space="preserve"> Jean-roch </t>
  </si>
  <si>
    <t xml:space="preserve"> ANDORIN </t>
  </si>
  <si>
    <t xml:space="preserve"> CHANGÉ Union Sportive </t>
  </si>
  <si>
    <t xml:space="preserve"> BOURGEOT </t>
  </si>
  <si>
    <t xml:space="preserve"> DELETOILE </t>
  </si>
  <si>
    <t xml:space="preserve"> Yohann </t>
  </si>
  <si>
    <t xml:space="preserve"> DUTIN </t>
  </si>
  <si>
    <t xml:space="preserve"> GROSJEAN </t>
  </si>
  <si>
    <t xml:space="preserve"> LEPLAT </t>
  </si>
  <si>
    <t xml:space="preserve"> PING PASSION CHATEAUNEUF </t>
  </si>
  <si>
    <t xml:space="preserve"> ESCUYER </t>
  </si>
  <si>
    <t xml:space="preserve"> ALC LONGVIC </t>
  </si>
  <si>
    <t xml:space="preserve"> GUENOT </t>
  </si>
  <si>
    <t xml:space="preserve"> RICHET </t>
  </si>
  <si>
    <t xml:space="preserve"> MOUCHES </t>
  </si>
  <si>
    <t xml:space="preserve"> TT LES GECKOS </t>
  </si>
  <si>
    <t xml:space="preserve"> RIVA </t>
  </si>
  <si>
    <t xml:space="preserve"> CORBEIL ESSONNES AS </t>
  </si>
  <si>
    <t xml:space="preserve"> SAINT LAURENT BLANGY  TTI </t>
  </si>
  <si>
    <t xml:space="preserve"> NGUYEN MINH-THANH </t>
  </si>
  <si>
    <t xml:space="preserve"> DIJON TENNIS DE TABLE </t>
  </si>
  <si>
    <t xml:space="preserve"> RACHEZ </t>
  </si>
  <si>
    <t xml:space="preserve"> ALFORT JS </t>
  </si>
  <si>
    <t xml:space="preserve"> NERA </t>
  </si>
  <si>
    <t xml:space="preserve"> DAUDEVILLE </t>
  </si>
  <si>
    <t xml:space="preserve"> SONCOURT </t>
  </si>
  <si>
    <t xml:space="preserve"> VIRY CHATILLON ES </t>
  </si>
  <si>
    <t xml:space="preserve"> LE NEINDRE </t>
  </si>
  <si>
    <t xml:space="preserve"> E. CEYRAT </t>
  </si>
  <si>
    <t xml:space="preserve"> DESCOTES </t>
  </si>
  <si>
    <t xml:space="preserve"> ROBERJOT </t>
  </si>
  <si>
    <t xml:space="preserve"> STT MEZERIAT </t>
  </si>
  <si>
    <t xml:space="preserve"> N'GUYEN </t>
  </si>
  <si>
    <t xml:space="preserve"> LICCARDI </t>
  </si>
  <si>
    <t xml:space="preserve"> MORISSET </t>
  </si>
  <si>
    <t xml:space="preserve"> MESCOFF </t>
  </si>
  <si>
    <t xml:space="preserve"> LEGION ST-PIERRE BREST </t>
  </si>
  <si>
    <t xml:space="preserve"> CORMET </t>
  </si>
  <si>
    <t xml:space="preserve"> GUEUX TINQUEUX ASTT </t>
  </si>
  <si>
    <t xml:space="preserve"> YVON </t>
  </si>
  <si>
    <t xml:space="preserve"> NOLF </t>
  </si>
  <si>
    <t xml:space="preserve"> LAPEYRE </t>
  </si>
  <si>
    <t xml:space="preserve"> KHUY </t>
  </si>
  <si>
    <t xml:space="preserve"> Sarinya </t>
  </si>
  <si>
    <t xml:space="preserve"> MONJO </t>
  </si>
  <si>
    <t xml:space="preserve"> FORTINEAU </t>
  </si>
  <si>
    <t xml:space="preserve"> CHALLANS OPS </t>
  </si>
  <si>
    <t xml:space="preserve"> CRESSON </t>
  </si>
  <si>
    <t xml:space="preserve"> Jeff </t>
  </si>
  <si>
    <t xml:space="preserve"> 349B2003 </t>
  </si>
  <si>
    <t xml:space="preserve"> CLUB COLONIAL </t>
  </si>
  <si>
    <t xml:space="preserve"> COUTURIER </t>
  </si>
  <si>
    <t xml:space="preserve"> GRACIEUX </t>
  </si>
  <si>
    <t xml:space="preserve"> FARCY </t>
  </si>
  <si>
    <t xml:space="preserve"> LE POULTIER </t>
  </si>
  <si>
    <t xml:space="preserve"> JASICA </t>
  </si>
  <si>
    <t xml:space="preserve"> Reynald </t>
  </si>
  <si>
    <t xml:space="preserve"> LALANE </t>
  </si>
  <si>
    <t xml:space="preserve"> Davy </t>
  </si>
  <si>
    <t xml:space="preserve"> FLOCH </t>
  </si>
  <si>
    <t xml:space="preserve"> LE CONTELLEC </t>
  </si>
  <si>
    <t xml:space="preserve"> KOBER </t>
  </si>
  <si>
    <t xml:space="preserve"> AGUIDA </t>
  </si>
  <si>
    <t xml:space="preserve"> Youssef </t>
  </si>
  <si>
    <t xml:space="preserve"> ST ANDRE USTT </t>
  </si>
  <si>
    <t xml:space="preserve"> BEGUE </t>
  </si>
  <si>
    <t xml:space="preserve"> AUBAGNE TT </t>
  </si>
  <si>
    <t xml:space="preserve"> Pierre emmanuel </t>
  </si>
  <si>
    <t xml:space="preserve"> FAURE </t>
  </si>
  <si>
    <t xml:space="preserve"> Ariel </t>
  </si>
  <si>
    <t xml:space="preserve"> HUOI </t>
  </si>
  <si>
    <t xml:space="preserve"> Trang meng </t>
  </si>
  <si>
    <t xml:space="preserve"> NOISIEL VLAN </t>
  </si>
  <si>
    <t xml:space="preserve"> JONNET </t>
  </si>
  <si>
    <t xml:space="preserve"> LEBRAT </t>
  </si>
  <si>
    <t xml:space="preserve"> A.T.T. Drôme Provençale </t>
  </si>
  <si>
    <t xml:space="preserve"> BEAUNE </t>
  </si>
  <si>
    <t xml:space="preserve"> TOMASI </t>
  </si>
  <si>
    <t xml:space="preserve"> REVESCHE </t>
  </si>
  <si>
    <t xml:space="preserve"> CHALAUX </t>
  </si>
  <si>
    <t xml:space="preserve"> CHATILLON T.T.M.C. </t>
  </si>
  <si>
    <t xml:space="preserve"> MANCEAU </t>
  </si>
  <si>
    <t xml:space="preserve"> DANIEL OUARY </t>
  </si>
  <si>
    <t xml:space="preserve"> ST COLOMBAN T.T. </t>
  </si>
  <si>
    <t xml:space="preserve"> TASSEL </t>
  </si>
  <si>
    <t xml:space="preserve"> HANSSENS </t>
  </si>
  <si>
    <t xml:space="preserve"> REGAZZONI </t>
  </si>
  <si>
    <t xml:space="preserve"> MARCONNET </t>
  </si>
  <si>
    <t xml:space="preserve"> AUTRET </t>
  </si>
  <si>
    <t xml:space="preserve"> MALRAIN </t>
  </si>
  <si>
    <t xml:space="preserve"> ROUSSIERE </t>
  </si>
  <si>
    <t xml:space="preserve"> HERBIERS (LES) TENNIS DE </t>
  </si>
  <si>
    <t xml:space="preserve"> Jean-charles </t>
  </si>
  <si>
    <t xml:space="preserve"> DAMAY </t>
  </si>
  <si>
    <t xml:space="preserve"> MOREUIL PPC </t>
  </si>
  <si>
    <t xml:space="preserve"> DRONNE </t>
  </si>
  <si>
    <t xml:space="preserve"> TRELAZE Foyer Espérance </t>
  </si>
  <si>
    <t xml:space="preserve"> GREGOIRE </t>
  </si>
  <si>
    <t xml:space="preserve"> ALADAME </t>
  </si>
  <si>
    <t xml:space="preserve"> ESK ST-POL DE LEON </t>
  </si>
  <si>
    <t xml:space="preserve"> JOST </t>
  </si>
  <si>
    <t xml:space="preserve"> GIGEAN ASM </t>
  </si>
  <si>
    <t xml:space="preserve"> BLOT </t>
  </si>
  <si>
    <t xml:space="preserve"> Steven </t>
  </si>
  <si>
    <t xml:space="preserve"> 339A1021 </t>
  </si>
  <si>
    <t xml:space="preserve"> ETOILE DE MORNE-A-L'EAU </t>
  </si>
  <si>
    <t xml:space="preserve"> APARICIO </t>
  </si>
  <si>
    <t xml:space="preserve"> TT AS SOMME-LOIRE </t>
  </si>
  <si>
    <t xml:space="preserve"> GERARD </t>
  </si>
  <si>
    <t xml:space="preserve"> GUILLERM </t>
  </si>
  <si>
    <t xml:space="preserve"> CIDEME </t>
  </si>
  <si>
    <t xml:space="preserve"> 339A1047 </t>
  </si>
  <si>
    <t xml:space="preserve"> ALLIANCE SAINT CLAUDIENNE </t>
  </si>
  <si>
    <t xml:space="preserve"> BELLIARD </t>
  </si>
  <si>
    <t xml:space="preserve"> Manuel </t>
  </si>
  <si>
    <t xml:space="preserve"> MONTREUIL </t>
  </si>
  <si>
    <t xml:space="preserve"> CAMPFORT </t>
  </si>
  <si>
    <t xml:space="preserve"> CARRASSET </t>
  </si>
  <si>
    <t xml:space="preserve"> EZANVILLE ECOUEN US </t>
  </si>
  <si>
    <t xml:space="preserve"> DAUVET </t>
  </si>
  <si>
    <t xml:space="preserve"> Grégory </t>
  </si>
  <si>
    <t xml:space="preserve"> RENNES AVENIR </t>
  </si>
  <si>
    <t xml:space="preserve"> MOUQUET </t>
  </si>
  <si>
    <t xml:space="preserve"> 319D0439 </t>
  </si>
  <si>
    <t xml:space="preserve"> TAMPON TENNIS DE TABLE </t>
  </si>
  <si>
    <t xml:space="preserve"> BOURIGAULT </t>
  </si>
  <si>
    <t xml:space="preserve"> POMJEANNAIS Tennis de Tab </t>
  </si>
  <si>
    <t xml:space="preserve"> PARIS IX ATT </t>
  </si>
  <si>
    <t xml:space="preserve"> PENICAUD </t>
  </si>
  <si>
    <t xml:space="preserve"> HERSERANGE ASTT </t>
  </si>
  <si>
    <t xml:space="preserve"> GOURDET </t>
  </si>
  <si>
    <t xml:space="preserve"> ETOILE AGGLO MOULINS YZEU </t>
  </si>
  <si>
    <t xml:space="preserve"> KRZEPICKI </t>
  </si>
  <si>
    <t xml:space="preserve"> PASQUETTE </t>
  </si>
  <si>
    <t xml:space="preserve"> PEYRAT-ARMANDY </t>
  </si>
  <si>
    <t xml:space="preserve"> Charles </t>
  </si>
  <si>
    <t xml:space="preserve"> GEORGES </t>
  </si>
  <si>
    <t xml:space="preserve"> COEURET </t>
  </si>
  <si>
    <t xml:space="preserve"> P.P. NORD GIRONDE </t>
  </si>
  <si>
    <t xml:space="preserve"> ROEHRIG </t>
  </si>
  <si>
    <t xml:space="preserve"> J christophe </t>
  </si>
  <si>
    <t xml:space="preserve"> LETOURNEAU </t>
  </si>
  <si>
    <t xml:space="preserve"> FONTENAY LE F. AS </t>
  </si>
  <si>
    <t xml:space="preserve"> CLOCHARD </t>
  </si>
  <si>
    <t xml:space="preserve"> Tennis de Table Cirières </t>
  </si>
  <si>
    <t xml:space="preserve"> ESTEVES </t>
  </si>
  <si>
    <t xml:space="preserve"> CHRETIEN </t>
  </si>
  <si>
    <t xml:space="preserve"> LEFRANCOIS </t>
  </si>
  <si>
    <t xml:space="preserve"> GODEC </t>
  </si>
  <si>
    <t xml:space="preserve"> ESPERANCE DE ST LEGER </t>
  </si>
  <si>
    <t xml:space="preserve"> BORTOLUS </t>
  </si>
  <si>
    <t xml:space="preserve"> PINON-ANIZY TT </t>
  </si>
  <si>
    <t xml:space="preserve"> PINSON </t>
  </si>
  <si>
    <t xml:space="preserve"> BETTONNAIS C.S. </t>
  </si>
  <si>
    <t xml:space="preserve"> NIKOLIC </t>
  </si>
  <si>
    <t xml:space="preserve"> MISTLER </t>
  </si>
  <si>
    <t xml:space="preserve"> SAINT AVOLD C.T.T. </t>
  </si>
  <si>
    <t xml:space="preserve"> SCHALLER </t>
  </si>
  <si>
    <t xml:space="preserve"> MOLOHIO </t>
  </si>
  <si>
    <t xml:space="preserve"> Phong </t>
  </si>
  <si>
    <t xml:space="preserve"> U S METRO </t>
  </si>
  <si>
    <t xml:space="preserve"> GROGNET </t>
  </si>
  <si>
    <t xml:space="preserve"> HOFFMANN </t>
  </si>
  <si>
    <t xml:space="preserve"> C.P ST JEAN DE MAURIENNE </t>
  </si>
  <si>
    <t xml:space="preserve"> TEAV </t>
  </si>
  <si>
    <t xml:space="preserve"> Vano </t>
  </si>
  <si>
    <t xml:space="preserve"> ECKBOLSHEIM </t>
  </si>
  <si>
    <t xml:space="preserve"> DI GENNARO </t>
  </si>
  <si>
    <t xml:space="preserve"> SELLIER </t>
  </si>
  <si>
    <t xml:space="preserve"> ARAGO </t>
  </si>
  <si>
    <t xml:space="preserve"> RIXHEIM PPA </t>
  </si>
  <si>
    <t xml:space="preserve"> DA SILVA </t>
  </si>
  <si>
    <t xml:space="preserve"> ENCINAS </t>
  </si>
  <si>
    <t xml:space="preserve"> COURTY </t>
  </si>
  <si>
    <t xml:space="preserve"> SECK </t>
  </si>
  <si>
    <t xml:space="preserve"> Phuc </t>
  </si>
  <si>
    <t xml:space="preserve"> OSSWALD </t>
  </si>
  <si>
    <t xml:space="preserve"> NORMAND </t>
  </si>
  <si>
    <t xml:space="preserve"> TAGNON PPC </t>
  </si>
  <si>
    <t xml:space="preserve"> MOREL </t>
  </si>
  <si>
    <t xml:space="preserve"> COPPE </t>
  </si>
  <si>
    <t xml:space="preserve"> TENNIS DE TABLE LAVANDOU </t>
  </si>
  <si>
    <t xml:space="preserve"> KTORZA </t>
  </si>
  <si>
    <t xml:space="preserve"> LES LILAS TT </t>
  </si>
  <si>
    <t xml:space="preserve"> GUITTET </t>
  </si>
  <si>
    <t xml:space="preserve"> Hubert </t>
  </si>
  <si>
    <t xml:space="preserve"> SALAMONE </t>
  </si>
  <si>
    <t xml:space="preserve"> LA SAVOUREUSE </t>
  </si>
  <si>
    <t xml:space="preserve"> DIJOUX </t>
  </si>
  <si>
    <t xml:space="preserve"> HUGNIT </t>
  </si>
  <si>
    <t xml:space="preserve"> THUILIER </t>
  </si>
  <si>
    <t xml:space="preserve"> Stevens </t>
  </si>
  <si>
    <t xml:space="preserve"> CROS </t>
  </si>
  <si>
    <t xml:space="preserve"> GUILLAUME </t>
  </si>
  <si>
    <t xml:space="preserve"> BASTIAN </t>
  </si>
  <si>
    <t xml:space="preserve"> MOUILLART </t>
  </si>
  <si>
    <t xml:space="preserve"> RAGNI </t>
  </si>
  <si>
    <t xml:space="preserve"> PERROT </t>
  </si>
  <si>
    <t xml:space="preserve"> SELLIN </t>
  </si>
  <si>
    <t xml:space="preserve"> TOURC'H-ELLIANT TT </t>
  </si>
  <si>
    <t xml:space="preserve"> VERSANG </t>
  </si>
  <si>
    <t xml:space="preserve"> SCHUH </t>
  </si>
  <si>
    <t xml:space="preserve"> BINING Sports et Loisirs </t>
  </si>
  <si>
    <t xml:space="preserve"> GOURC </t>
  </si>
  <si>
    <t xml:space="preserve"> BOQUET </t>
  </si>
  <si>
    <t xml:space="preserve"> Benoît </t>
  </si>
  <si>
    <t xml:space="preserve"> WILLIARD </t>
  </si>
  <si>
    <t xml:space="preserve"> LE PORTEL AP </t>
  </si>
  <si>
    <t xml:space="preserve"> PALANDJIAN </t>
  </si>
  <si>
    <t xml:space="preserve"> BOBIGNY AC </t>
  </si>
  <si>
    <t xml:space="preserve"> THIRIOT </t>
  </si>
  <si>
    <t xml:space="preserve"> SORIA </t>
  </si>
  <si>
    <t xml:space="preserve"> Robert-claude </t>
  </si>
  <si>
    <t xml:space="preserve"> PAYS ROCHOIS &amp; GENEVOIS T </t>
  </si>
  <si>
    <t xml:space="preserve"> FREVILLE </t>
  </si>
  <si>
    <t xml:space="preserve"> ZERRY </t>
  </si>
  <si>
    <t xml:space="preserve"> PIESSET </t>
  </si>
  <si>
    <t xml:space="preserve"> GUYANCOURT TT </t>
  </si>
  <si>
    <t xml:space="preserve"> DEVOS </t>
  </si>
  <si>
    <t xml:space="preserve"> ESTAIRES-LA GORGUE EP </t>
  </si>
  <si>
    <t xml:space="preserve"> NEVEU </t>
  </si>
  <si>
    <t xml:space="preserve"> DOMINE </t>
  </si>
  <si>
    <t xml:space="preserve"> VALLEE </t>
  </si>
  <si>
    <t xml:space="preserve"> BOUDIN </t>
  </si>
  <si>
    <t xml:space="preserve"> TOURNEBU ATT </t>
  </si>
  <si>
    <t xml:space="preserve"> RICHOUX </t>
  </si>
  <si>
    <t xml:space="preserve"> SALQUEBRE </t>
  </si>
  <si>
    <t xml:space="preserve"> SAINT MIHIEL P.P.C. </t>
  </si>
  <si>
    <t xml:space="preserve"> BOURLET </t>
  </si>
  <si>
    <t xml:space="preserve"> GIRY </t>
  </si>
  <si>
    <t xml:space="preserve"> BRIEKE </t>
  </si>
  <si>
    <t xml:space="preserve"> CARENTANAIS CL </t>
  </si>
  <si>
    <t xml:space="preserve"> LAVANANT </t>
  </si>
  <si>
    <t xml:space="preserve"> SINTEFF </t>
  </si>
  <si>
    <t xml:space="preserve"> Jean paul </t>
  </si>
  <si>
    <t xml:space="preserve"> CHARTRES ESPERANCE </t>
  </si>
  <si>
    <t xml:space="preserve"> ETIENNE </t>
  </si>
  <si>
    <t xml:space="preserve"> DECLE </t>
  </si>
  <si>
    <t xml:space="preserve"> BLANCHE </t>
  </si>
  <si>
    <t xml:space="preserve"> ROGER </t>
  </si>
  <si>
    <t xml:space="preserve"> SECTION PALOISE-ASPTT TT </t>
  </si>
  <si>
    <t xml:space="preserve"> BECK </t>
  </si>
  <si>
    <t xml:space="preserve"> COUPEY </t>
  </si>
  <si>
    <t xml:space="preserve"> Henri </t>
  </si>
  <si>
    <t xml:space="preserve"> ANNOEULLIN TT </t>
  </si>
  <si>
    <t xml:space="preserve"> THIMONIER </t>
  </si>
  <si>
    <t xml:space="preserve"> COMT PONTHIERRY </t>
  </si>
  <si>
    <t xml:space="preserve"> MAILLARD </t>
  </si>
  <si>
    <t xml:space="preserve"> TROYES OS-NOES </t>
  </si>
  <si>
    <t xml:space="preserve"> Naintré MJC </t>
  </si>
  <si>
    <t xml:space="preserve"> MEUNIER </t>
  </si>
  <si>
    <t xml:space="preserve"> Jacky </t>
  </si>
  <si>
    <t xml:space="preserve"> CHEVRY II </t>
  </si>
  <si>
    <t xml:space="preserve"> MATHIS </t>
  </si>
  <si>
    <t xml:space="preserve"> CSTT TALANT </t>
  </si>
  <si>
    <t xml:space="preserve"> ANNE </t>
  </si>
  <si>
    <t xml:space="preserve"> LANDAIS </t>
  </si>
  <si>
    <t xml:space="preserve"> RENAUD </t>
  </si>
  <si>
    <t xml:space="preserve"> CERONI </t>
  </si>
  <si>
    <t xml:space="preserve"> CHAUVETTE </t>
  </si>
  <si>
    <t xml:space="preserve"> ROLLAND </t>
  </si>
  <si>
    <t xml:space="preserve"> Gervais </t>
  </si>
  <si>
    <t xml:space="preserve"> SCHWARZ </t>
  </si>
  <si>
    <t xml:space="preserve"> ROFFI </t>
  </si>
  <si>
    <t xml:space="preserve"> PRESSACCO </t>
  </si>
  <si>
    <t xml:space="preserve"> BELLENGER </t>
  </si>
  <si>
    <t xml:space="preserve"> Jean noel </t>
  </si>
  <si>
    <t xml:space="preserve"> DESTINE </t>
  </si>
  <si>
    <t xml:space="preserve"> BenoÏt </t>
  </si>
  <si>
    <t xml:space="preserve"> STEENBECQUE FRJEP </t>
  </si>
  <si>
    <t xml:space="preserve"> SAUNIER </t>
  </si>
  <si>
    <t xml:space="preserve"> BRETIGNOLLES TT </t>
  </si>
  <si>
    <t xml:space="preserve"> GARREAU </t>
  </si>
  <si>
    <t xml:space="preserve"> LA SUZE ES </t>
  </si>
  <si>
    <t xml:space="preserve"> BELLO </t>
  </si>
  <si>
    <t xml:space="preserve"> COMPAGNONI </t>
  </si>
  <si>
    <t xml:space="preserve"> BERGEON </t>
  </si>
  <si>
    <t xml:space="preserve"> Gregoire </t>
  </si>
  <si>
    <t xml:space="preserve"> BLATT </t>
  </si>
  <si>
    <t xml:space="preserve"> SALIS </t>
  </si>
  <si>
    <t xml:space="preserve"> GURGEY </t>
  </si>
  <si>
    <t xml:space="preserve"> SAYMARD </t>
  </si>
  <si>
    <t xml:space="preserve"> MESNIL ESNARD TT </t>
  </si>
  <si>
    <t xml:space="preserve"> PERRAIS </t>
  </si>
  <si>
    <t xml:space="preserve"> CHAPELAINE (LA) </t>
  </si>
  <si>
    <t xml:space="preserve"> WALLART </t>
  </si>
  <si>
    <t xml:space="preserve"> BERLOT </t>
  </si>
  <si>
    <t xml:space="preserve"> SAINT ANDRE ASTT </t>
  </si>
  <si>
    <t xml:space="preserve"> LAMRI </t>
  </si>
  <si>
    <t xml:space="preserve"> VEDEL </t>
  </si>
  <si>
    <t xml:space="preserve"> FJEP MEYZIEU </t>
  </si>
  <si>
    <t xml:space="preserve"> PICHON </t>
  </si>
  <si>
    <t xml:space="preserve"> CRON </t>
  </si>
  <si>
    <t xml:space="preserve"> Ronald </t>
  </si>
  <si>
    <t xml:space="preserve"> FRESNES AAS </t>
  </si>
  <si>
    <t xml:space="preserve"> LE PINIEC </t>
  </si>
  <si>
    <t xml:space="preserve"> LAPINA </t>
  </si>
  <si>
    <t xml:space="preserve"> CAQUERET </t>
  </si>
  <si>
    <t xml:space="preserve"> TAVEAU </t>
  </si>
  <si>
    <t xml:space="preserve"> COMBE </t>
  </si>
  <si>
    <t xml:space="preserve"> Bressuire EP </t>
  </si>
  <si>
    <t xml:space="preserve"> ALLAIRE </t>
  </si>
  <si>
    <t xml:space="preserve"> BARJOUVILLE SCL. </t>
  </si>
  <si>
    <t xml:space="preserve"> GRANET </t>
  </si>
  <si>
    <t xml:space="preserve"> CHESNEL </t>
  </si>
  <si>
    <t xml:space="preserve"> SERVAIS </t>
  </si>
  <si>
    <t xml:space="preserve"> SANTES CTT </t>
  </si>
  <si>
    <t xml:space="preserve"> BRETON </t>
  </si>
  <si>
    <t xml:space="preserve"> TROUILLARD </t>
  </si>
  <si>
    <t xml:space="preserve"> LOUVERNÉ TT </t>
  </si>
  <si>
    <t xml:space="preserve"> DETHOOR </t>
  </si>
  <si>
    <t xml:space="preserve"> Yves </t>
  </si>
  <si>
    <t xml:space="preserve"> SERGEANT </t>
  </si>
  <si>
    <t xml:space="preserve"> CHENU </t>
  </si>
  <si>
    <t xml:space="preserve"> SAINT HILAIRE/PARIGNY </t>
  </si>
  <si>
    <t xml:space="preserve"> TREMBLAIS </t>
  </si>
  <si>
    <t xml:space="preserve"> STERVINOU </t>
  </si>
  <si>
    <t xml:space="preserve"> PLOUDALMEZEAU TENNIS DE T </t>
  </si>
  <si>
    <t xml:space="preserve"> DAVIS </t>
  </si>
  <si>
    <t xml:space="preserve"> DEYRES </t>
  </si>
  <si>
    <t xml:space="preserve"> THOMASSET </t>
  </si>
  <si>
    <t xml:space="preserve"> Raphael </t>
  </si>
  <si>
    <t xml:space="preserve"> DANEL </t>
  </si>
  <si>
    <t xml:space="preserve"> NOYELLES GODAULT TTSM </t>
  </si>
  <si>
    <t xml:space="preserve"> SULTAN </t>
  </si>
  <si>
    <t xml:space="preserve"> DE  JESUS </t>
  </si>
  <si>
    <t xml:space="preserve"> Joao manuel </t>
  </si>
  <si>
    <t xml:space="preserve"> AS BOSC ROGER EN ROUMOIS </t>
  </si>
  <si>
    <t xml:space="preserve"> RUCH </t>
  </si>
  <si>
    <t xml:space="preserve"> CACHET </t>
  </si>
  <si>
    <t xml:space="preserve"> MARSY </t>
  </si>
  <si>
    <t xml:space="preserve"> BOUGEOT </t>
  </si>
  <si>
    <t xml:space="preserve"> MOEREMANS </t>
  </si>
  <si>
    <t xml:space="preserve"> PIERRON </t>
  </si>
  <si>
    <t xml:space="preserve"> ANCERVILLE M.J.C. </t>
  </si>
  <si>
    <t xml:space="preserve"> LEGRAIN </t>
  </si>
  <si>
    <t xml:space="preserve"> HUA </t>
  </si>
  <si>
    <t xml:space="preserve"> VITRY ES </t>
  </si>
  <si>
    <t xml:space="preserve"> CORCIA </t>
  </si>
  <si>
    <t xml:space="preserve"> ETCHEVERRY </t>
  </si>
  <si>
    <t xml:space="preserve"> MAHAIN JOKO HASPARREN </t>
  </si>
  <si>
    <t xml:space="preserve"> THERON </t>
  </si>
  <si>
    <t xml:space="preserve"> MAES </t>
  </si>
  <si>
    <t xml:space="preserve"> Valéry </t>
  </si>
  <si>
    <t xml:space="preserve"> SOISSONS ASPTT </t>
  </si>
  <si>
    <t xml:space="preserve"> GUILLIOT </t>
  </si>
  <si>
    <t xml:space="preserve"> AIZENAY CPF </t>
  </si>
  <si>
    <t xml:space="preserve"> GIUDICI </t>
  </si>
  <si>
    <t xml:space="preserve"> TRESSERRES </t>
  </si>
  <si>
    <t xml:space="preserve"> RAQUETTE GUJANAISE </t>
  </si>
  <si>
    <t xml:space="preserve"> VABLY </t>
  </si>
  <si>
    <t xml:space="preserve"> Jean-paul </t>
  </si>
  <si>
    <t xml:space="preserve"> AL GUILERS </t>
  </si>
  <si>
    <t xml:space="preserve"> AS BRESSANE TT </t>
  </si>
  <si>
    <t xml:space="preserve"> Yoann </t>
  </si>
  <si>
    <t xml:space="preserve"> CA PONTARLIER </t>
  </si>
  <si>
    <t xml:space="preserve"> PRADINES </t>
  </si>
  <si>
    <t xml:space="preserve"> PLANCON </t>
  </si>
  <si>
    <t xml:space="preserve"> LE MANS U.S.M. </t>
  </si>
  <si>
    <t xml:space="preserve"> PEREYROL </t>
  </si>
  <si>
    <t xml:space="preserve"> Jose </t>
  </si>
  <si>
    <t xml:space="preserve"> HEM PPC </t>
  </si>
  <si>
    <t xml:space="preserve"> ANCEAUX </t>
  </si>
  <si>
    <t xml:space="preserve"> MERCAT </t>
  </si>
  <si>
    <t xml:space="preserve"> U.S. RENAUDINE T.T. </t>
  </si>
  <si>
    <t xml:space="preserve"> GAPAILLARD </t>
  </si>
  <si>
    <t xml:space="preserve"> Emmannuel </t>
  </si>
  <si>
    <t xml:space="preserve"> Ste GENEVIEVE SP </t>
  </si>
  <si>
    <t xml:space="preserve"> GARRY </t>
  </si>
  <si>
    <t xml:space="preserve"> ASP SAVENAY TT </t>
  </si>
  <si>
    <t xml:space="preserve"> BONNIN </t>
  </si>
  <si>
    <t xml:space="preserve"> GALLIC </t>
  </si>
  <si>
    <t xml:space="preserve"> ST VIANCE TENNIS DE TABLE </t>
  </si>
  <si>
    <t xml:space="preserve"> BOUSSION </t>
  </si>
  <si>
    <t xml:space="preserve"> Jean-arnaud </t>
  </si>
  <si>
    <t xml:space="preserve"> GOUJON </t>
  </si>
  <si>
    <t xml:space="preserve"> MATHIOT </t>
  </si>
  <si>
    <t xml:space="preserve"> BOURG </t>
  </si>
  <si>
    <t xml:space="preserve"> LIEGEOIS </t>
  </si>
  <si>
    <t xml:space="preserve"> L'ELEU DE LA SIMONE </t>
  </si>
  <si>
    <t xml:space="preserve"> BENIER </t>
  </si>
  <si>
    <t xml:space="preserve"> QUELEN </t>
  </si>
  <si>
    <t xml:space="preserve"> ROUE </t>
  </si>
  <si>
    <t xml:space="preserve"> BERTRAND </t>
  </si>
  <si>
    <t xml:space="preserve"> MARIA </t>
  </si>
  <si>
    <t xml:space="preserve"> BOURG  LA REINE AS </t>
  </si>
  <si>
    <t xml:space="preserve"> TT AUBIGNY SUR NERE </t>
  </si>
  <si>
    <t xml:space="preserve"> MATRANGA </t>
  </si>
  <si>
    <t xml:space="preserve"> CC DANJOUTIN </t>
  </si>
  <si>
    <t xml:space="preserve"> CAPARD </t>
  </si>
  <si>
    <t xml:space="preserve"> GRIMALDI </t>
  </si>
  <si>
    <t xml:space="preserve"> CATROUILLET </t>
  </si>
  <si>
    <t xml:space="preserve"> PPC BASTIA </t>
  </si>
  <si>
    <t xml:space="preserve"> SCHWINDENHAMMER </t>
  </si>
  <si>
    <t xml:space="preserve"> DELVILLE </t>
  </si>
  <si>
    <t xml:space="preserve"> TERRIEN </t>
  </si>
  <si>
    <t xml:space="preserve"> LIGNE A.S.T.T. </t>
  </si>
  <si>
    <t xml:space="preserve"> CONAN </t>
  </si>
  <si>
    <t xml:space="preserve"> MITTELHEISER </t>
  </si>
  <si>
    <t xml:space="preserve"> EL MEDDEB </t>
  </si>
  <si>
    <t xml:space="preserve"> Djamel </t>
  </si>
  <si>
    <t xml:space="preserve"> COPPENS </t>
  </si>
  <si>
    <t xml:space="preserve"> PIOLINE </t>
  </si>
  <si>
    <t xml:space="preserve"> ROINSON </t>
  </si>
  <si>
    <t xml:space="preserve"> AURORE DE VITRE TT </t>
  </si>
  <si>
    <t xml:space="preserve"> CAILLET </t>
  </si>
  <si>
    <t xml:space="preserve"> LAGABARRE </t>
  </si>
  <si>
    <t xml:space="preserve"> COQS PEUJARDAIS </t>
  </si>
  <si>
    <t xml:space="preserve"> DUGOVIC </t>
  </si>
  <si>
    <t xml:space="preserve"> NANGIS T.T. </t>
  </si>
  <si>
    <t xml:space="preserve"> BARBICHE </t>
  </si>
  <si>
    <t xml:space="preserve"> AMNEVILLE T.T. </t>
  </si>
  <si>
    <t xml:space="preserve"> LECLERE </t>
  </si>
  <si>
    <t xml:space="preserve"> RETHELOIS PPC </t>
  </si>
  <si>
    <t xml:space="preserve"> GOURIET </t>
  </si>
  <si>
    <t xml:space="preserve"> THIRION </t>
  </si>
  <si>
    <t xml:space="preserve"> Jaunay Clan Val Vert T.T. </t>
  </si>
  <si>
    <t xml:space="preserve"> CHAILLE </t>
  </si>
  <si>
    <t xml:space="preserve"> CERCLE JULES FERRY TT </t>
  </si>
  <si>
    <t xml:space="preserve"> DASSONVILLE </t>
  </si>
  <si>
    <t xml:space="preserve"> BONHEME </t>
  </si>
  <si>
    <t xml:space="preserve"> CLUB HONFLEURAIS DE TENNI </t>
  </si>
  <si>
    <t xml:space="preserve"> LERMITE </t>
  </si>
  <si>
    <t xml:space="preserve"> DIEUDONNE </t>
  </si>
  <si>
    <t xml:space="preserve"> CHRISTIAENS </t>
  </si>
  <si>
    <t xml:space="preserve"> VICTORIN </t>
  </si>
  <si>
    <t xml:space="preserve"> DUSSAUGEY </t>
  </si>
  <si>
    <t xml:space="preserve"> RETO </t>
  </si>
  <si>
    <t xml:space="preserve"> Jérome </t>
  </si>
  <si>
    <t xml:space="preserve"> TT LOCTUDY </t>
  </si>
  <si>
    <t xml:space="preserve"> YVRAY </t>
  </si>
  <si>
    <t xml:space="preserve"> D'ANGELO </t>
  </si>
  <si>
    <t xml:space="preserve"> Steve </t>
  </si>
  <si>
    <t xml:space="preserve"> AS AMBARES </t>
  </si>
  <si>
    <t xml:space="preserve"> GALLAIS </t>
  </si>
  <si>
    <t xml:space="preserve"> US TALENCE </t>
  </si>
  <si>
    <t xml:space="preserve"> SCHAUB </t>
  </si>
  <si>
    <t xml:space="preserve"> LOUVEAU </t>
  </si>
  <si>
    <t xml:space="preserve"> ATHIS CTT </t>
  </si>
  <si>
    <t xml:space="preserve"> TARRASO </t>
  </si>
  <si>
    <t xml:space="preserve"> GUERRIER </t>
  </si>
  <si>
    <t xml:space="preserve"> LANY </t>
  </si>
  <si>
    <t xml:space="preserve"> TERGNIER ESC </t>
  </si>
  <si>
    <t xml:space="preserve"> HUON </t>
  </si>
  <si>
    <t xml:space="preserve"> ATTICHES ASTT </t>
  </si>
  <si>
    <t xml:space="preserve"> PROTEAU </t>
  </si>
  <si>
    <t xml:space="preserve"> HEIMST </t>
  </si>
  <si>
    <t xml:space="preserve"> Donatien </t>
  </si>
  <si>
    <t xml:space="preserve"> HERVE </t>
  </si>
  <si>
    <t xml:space="preserve"> Mickaël </t>
  </si>
  <si>
    <t xml:space="preserve"> SAINT JAMES TT </t>
  </si>
  <si>
    <t xml:space="preserve"> BARDEICHE </t>
  </si>
  <si>
    <t xml:space="preserve"> BELLAC CTT (87) </t>
  </si>
  <si>
    <t xml:space="preserve"> LEBER </t>
  </si>
  <si>
    <t xml:space="preserve"> QUERQUEVILLAISE ASTT </t>
  </si>
  <si>
    <t xml:space="preserve"> BENELMABROUK </t>
  </si>
  <si>
    <t xml:space="preserve"> Samir </t>
  </si>
  <si>
    <t xml:space="preserve"> BONDY ASTT </t>
  </si>
  <si>
    <t xml:space="preserve"> Jean-marc </t>
  </si>
  <si>
    <t xml:space="preserve"> ATT POUILLY SUR LOIRE </t>
  </si>
  <si>
    <t xml:space="preserve"> REIBEL </t>
  </si>
  <si>
    <t xml:space="preserve"> LUNEVILLE A.L.T.T. </t>
  </si>
  <si>
    <t xml:space="preserve"> POMES </t>
  </si>
  <si>
    <t xml:space="preserve"> ARRACHART </t>
  </si>
  <si>
    <t xml:space="preserve"> PARIENTE-CABRERA </t>
  </si>
  <si>
    <t xml:space="preserve"> Eddy </t>
  </si>
  <si>
    <t xml:space="preserve"> GATARD </t>
  </si>
  <si>
    <t xml:space="preserve"> FALEYEUX </t>
  </si>
  <si>
    <t xml:space="preserve"> QUENTEL </t>
  </si>
  <si>
    <t xml:space="preserve"> CJF / SAINT-MALO U.P. </t>
  </si>
  <si>
    <t xml:space="preserve"> MIRAMONT </t>
  </si>
  <si>
    <t xml:space="preserve"> ANQUETIL </t>
  </si>
  <si>
    <t xml:space="preserve"> HAMON </t>
  </si>
  <si>
    <t xml:space="preserve"> RIOU </t>
  </si>
  <si>
    <t xml:space="preserve"> PEDEMAY </t>
  </si>
  <si>
    <t xml:space="preserve"> J philippe </t>
  </si>
  <si>
    <t xml:space="preserve"> SAINT LOUB PING </t>
  </si>
  <si>
    <t xml:space="preserve"> MADELIN </t>
  </si>
  <si>
    <t xml:space="preserve"> Stanislas </t>
  </si>
  <si>
    <t xml:space="preserve"> FOURNIER </t>
  </si>
  <si>
    <t xml:space="preserve"> COLLIGNON </t>
  </si>
  <si>
    <t xml:space="preserve"> PRUVOT </t>
  </si>
  <si>
    <t xml:space="preserve"> JOIMEL </t>
  </si>
  <si>
    <t xml:space="preserve"> CONDE/NOIREAU SLSN </t>
  </si>
  <si>
    <t xml:space="preserve"> GUERET </t>
  </si>
  <si>
    <t xml:space="preserve"> PESLIER </t>
  </si>
  <si>
    <t xml:space="preserve"> TRAN </t>
  </si>
  <si>
    <t xml:space="preserve"> Gilbert </t>
  </si>
  <si>
    <t xml:space="preserve"> AUTREAUX </t>
  </si>
  <si>
    <t xml:space="preserve"> BOMPAR </t>
  </si>
  <si>
    <t xml:space="preserve"> HOUDOUIN </t>
  </si>
  <si>
    <t xml:space="preserve"> MEAUXSOONNE </t>
  </si>
  <si>
    <t xml:space="preserve"> CAMPET </t>
  </si>
  <si>
    <t xml:space="preserve"> COMBS SENART TT </t>
  </si>
  <si>
    <t xml:space="preserve"> SEILER </t>
  </si>
  <si>
    <t xml:space="preserve"> CARCASSONNE MJC PONGISTE </t>
  </si>
  <si>
    <t xml:space="preserve"> GERLOT </t>
  </si>
  <si>
    <t xml:space="preserve"> CHATILLON S/COLMONT Amica </t>
  </si>
  <si>
    <t xml:space="preserve"> MESNIL </t>
  </si>
  <si>
    <t xml:space="preserve"> Loïc </t>
  </si>
  <si>
    <t xml:space="preserve"> MAZE Jeanne d Arc </t>
  </si>
  <si>
    <t xml:space="preserve"> BENOIST </t>
  </si>
  <si>
    <t xml:space="preserve"> CHAINE </t>
  </si>
  <si>
    <t xml:space="preserve"> PPC AVALLONNAIS </t>
  </si>
  <si>
    <t xml:space="preserve"> KERLEROUX </t>
  </si>
  <si>
    <t xml:space="preserve"> BOURMAUD </t>
  </si>
  <si>
    <t xml:space="preserve"> ST PHILBERT T.T. </t>
  </si>
  <si>
    <t xml:space="preserve"> RANNOU </t>
  </si>
  <si>
    <t xml:space="preserve"> AUBIGNY/NESMY T.T. (A.L.) </t>
  </si>
  <si>
    <t xml:space="preserve"> DANSICARE </t>
  </si>
  <si>
    <t xml:space="preserve"> LAPOTRE </t>
  </si>
  <si>
    <t xml:space="preserve"> VAL DE REUIL CSTT </t>
  </si>
  <si>
    <t xml:space="preserve"> CONCETTI </t>
  </si>
  <si>
    <t xml:space="preserve"> GROS </t>
  </si>
  <si>
    <t xml:space="preserve"> Jean baptiste </t>
  </si>
  <si>
    <t xml:space="preserve"> TAUT </t>
  </si>
  <si>
    <t xml:space="preserve"> Lucian </t>
  </si>
  <si>
    <t xml:space="preserve"> TRUONG </t>
  </si>
  <si>
    <t xml:space="preserve"> PARIS </t>
  </si>
  <si>
    <t xml:space="preserve"> SOULET </t>
  </si>
  <si>
    <t xml:space="preserve"> Jean Paul </t>
  </si>
  <si>
    <t xml:space="preserve"> SEGRE Ent.Sport Haut Anjo </t>
  </si>
  <si>
    <t xml:space="preserve"> FERRANDES </t>
  </si>
  <si>
    <t xml:space="preserve"> EVEILLARD </t>
  </si>
  <si>
    <t xml:space="preserve"> SCHOPPHOVEN </t>
  </si>
  <si>
    <t xml:space="preserve"> GRAUVES TT </t>
  </si>
  <si>
    <t xml:space="preserve"> LE NENN </t>
  </si>
  <si>
    <t xml:space="preserve"> DOMONT TENNIS DE TABLE </t>
  </si>
  <si>
    <t xml:space="preserve"> BERTHON </t>
  </si>
  <si>
    <t xml:space="preserve"> WEBER </t>
  </si>
  <si>
    <t xml:space="preserve"> ASSOC DU TT D'AUBENAS-VAL </t>
  </si>
  <si>
    <t xml:space="preserve"> ROUSSEAU </t>
  </si>
  <si>
    <t xml:space="preserve"> ROBERT </t>
  </si>
  <si>
    <t xml:space="preserve"> Jean jacques </t>
  </si>
  <si>
    <t xml:space="preserve"> THORIGNY </t>
  </si>
  <si>
    <t xml:space="preserve"> NOYELLES GODAULT PPC </t>
  </si>
  <si>
    <t xml:space="preserve"> RICHARDEAU </t>
  </si>
  <si>
    <t xml:space="preserve"> U S FECAMPOISE </t>
  </si>
  <si>
    <t xml:space="preserve"> FLEURY </t>
  </si>
  <si>
    <t xml:space="preserve"> Reinald </t>
  </si>
  <si>
    <t xml:space="preserve"> RUEIL ATHLETIC CLUB TT </t>
  </si>
  <si>
    <t xml:space="preserve"> TISSOT </t>
  </si>
  <si>
    <t xml:space="preserve"> AML CHAMPLITTE </t>
  </si>
  <si>
    <t xml:space="preserve"> CHORIN </t>
  </si>
  <si>
    <t xml:space="preserve"> LE MANS ASPTT </t>
  </si>
  <si>
    <t xml:space="preserve"> ROYE PPC </t>
  </si>
  <si>
    <t xml:space="preserve"> Fouras CP </t>
  </si>
  <si>
    <t xml:space="preserve"> GUILLERAULT </t>
  </si>
  <si>
    <t xml:space="preserve"> TREVISIOL </t>
  </si>
  <si>
    <t xml:space="preserve"> AS. TENNIS DE TABLE PIERR </t>
  </si>
  <si>
    <t xml:space="preserve"> MARYSSE </t>
  </si>
  <si>
    <t xml:space="preserve"> LAFITTE </t>
  </si>
  <si>
    <t xml:space="preserve"> 349B2033 </t>
  </si>
  <si>
    <t xml:space="preserve"> PHILIPPI </t>
  </si>
  <si>
    <t xml:space="preserve"> HARDY </t>
  </si>
  <si>
    <t xml:space="preserve"> ALIZAY /ROSAY TT </t>
  </si>
  <si>
    <t xml:space="preserve"> ELIE-DIT-COSAQUE </t>
  </si>
  <si>
    <t xml:space="preserve"> HERSENT </t>
  </si>
  <si>
    <t xml:space="preserve"> BRETEUIL WG TT </t>
  </si>
  <si>
    <t xml:space="preserve"> GLOTIN </t>
  </si>
  <si>
    <t xml:space="preserve"> Joel </t>
  </si>
  <si>
    <t xml:space="preserve"> ROMAINVILLOIS TT </t>
  </si>
  <si>
    <t xml:space="preserve"> Yawei </t>
  </si>
  <si>
    <t xml:space="preserve"> HAUTEVELLE </t>
  </si>
  <si>
    <t xml:space="preserve"> MENEGHINI </t>
  </si>
  <si>
    <t xml:space="preserve"> ALLAIS </t>
  </si>
  <si>
    <t xml:space="preserve"> ST ANDRE/ORNE USSA </t>
  </si>
  <si>
    <t xml:space="preserve"> DELBART </t>
  </si>
  <si>
    <t xml:space="preserve"> NATIVEL </t>
  </si>
  <si>
    <t xml:space="preserve"> 319D0461 </t>
  </si>
  <si>
    <t xml:space="preserve"> SAINTE MARIE TENNIS DE TA </t>
  </si>
  <si>
    <t xml:space="preserve"> HAVEZ </t>
  </si>
  <si>
    <t xml:space="preserve"> MATTHYS </t>
  </si>
  <si>
    <t xml:space="preserve"> SAINTE CROIX </t>
  </si>
  <si>
    <t xml:space="preserve"> CLERMONT EP </t>
  </si>
  <si>
    <t xml:space="preserve"> LHOTELIER </t>
  </si>
  <si>
    <t xml:space="preserve"> DACHEUX </t>
  </si>
  <si>
    <t xml:space="preserve"> Grégoire </t>
  </si>
  <si>
    <t xml:space="preserve"> DURIEUX </t>
  </si>
  <si>
    <t xml:space="preserve"> LA COMPANAISE </t>
  </si>
  <si>
    <t xml:space="preserve"> U.P.MAZAMETAINE </t>
  </si>
  <si>
    <t xml:space="preserve"> CAVALIER </t>
  </si>
  <si>
    <t xml:space="preserve"> VERNIERE </t>
  </si>
  <si>
    <t xml:space="preserve"> A L LE COTEAU </t>
  </si>
  <si>
    <t xml:space="preserve"> GUIHO </t>
  </si>
  <si>
    <t xml:space="preserve"> LETELLIER </t>
  </si>
  <si>
    <t xml:space="preserve"> ABELLO </t>
  </si>
  <si>
    <t xml:space="preserve"> PUNTOUS </t>
  </si>
  <si>
    <t xml:space="preserve"> LE HAILLAN ST MEDARD TT </t>
  </si>
  <si>
    <t xml:space="preserve"> COUSTEIX </t>
  </si>
  <si>
    <t xml:space="preserve"> ACHERES CLOC </t>
  </si>
  <si>
    <t xml:space="preserve"> LOPEZ </t>
  </si>
  <si>
    <t xml:space="preserve"> José </t>
  </si>
  <si>
    <t xml:space="preserve"> NOIRAULT </t>
  </si>
  <si>
    <t xml:space="preserve"> Périgné TT </t>
  </si>
  <si>
    <t xml:space="preserve"> BAILLAU </t>
  </si>
  <si>
    <t xml:space="preserve"> MARHADOUR </t>
  </si>
  <si>
    <t xml:space="preserve"> COSTE </t>
  </si>
  <si>
    <t xml:space="preserve"> GUINEHUT </t>
  </si>
  <si>
    <t xml:space="preserve"> HABERT </t>
  </si>
  <si>
    <t xml:space="preserve"> BOUTIN </t>
  </si>
  <si>
    <t xml:space="preserve"> DENIAUX </t>
  </si>
  <si>
    <t xml:space="preserve"> FAIVRE-PICON </t>
  </si>
  <si>
    <t xml:space="preserve"> SAUBIN </t>
  </si>
  <si>
    <t xml:space="preserve"> TENNIS DE TABLE POUZINOIS </t>
  </si>
  <si>
    <t xml:space="preserve"> VIDAL </t>
  </si>
  <si>
    <t xml:space="preserve"> DESTOMBES </t>
  </si>
  <si>
    <t xml:space="preserve"> DUHAMEL </t>
  </si>
  <si>
    <t xml:space="preserve"> MONTEMBAULT </t>
  </si>
  <si>
    <t xml:space="preserve"> STE FLO/VENDRENNES ES </t>
  </si>
  <si>
    <t xml:space="preserve"> LAINAUD </t>
  </si>
  <si>
    <t xml:space="preserve"> ELAN NEVERS </t>
  </si>
  <si>
    <t xml:space="preserve"> T.T.M.A </t>
  </si>
  <si>
    <t xml:space="preserve"> COSTO </t>
  </si>
  <si>
    <t xml:space="preserve"> ARTHAUD </t>
  </si>
  <si>
    <t xml:space="preserve"> ETOILE SPORTIVE ST FERJEU </t>
  </si>
  <si>
    <t xml:space="preserve"> ZAZA </t>
  </si>
  <si>
    <t xml:space="preserve"> ZORN TT HOCHFELDEN </t>
  </si>
  <si>
    <t xml:space="preserve"> ZENI </t>
  </si>
  <si>
    <t xml:space="preserve"> ASC DES AUXONS TT </t>
  </si>
  <si>
    <t xml:space="preserve"> ROSSI </t>
  </si>
  <si>
    <t xml:space="preserve"> J D ARC DE DAX </t>
  </si>
  <si>
    <t xml:space="preserve"> PELLISSIER </t>
  </si>
  <si>
    <t xml:space="preserve"> CAPO </t>
  </si>
  <si>
    <t xml:space="preserve"> DUMILLY </t>
  </si>
  <si>
    <t xml:space="preserve"> PEAUDECERF </t>
  </si>
  <si>
    <t xml:space="preserve"> TT GRAND-BOURG </t>
  </si>
  <si>
    <t xml:space="preserve"> SOK </t>
  </si>
  <si>
    <t xml:space="preserve"> CROTH - EZY-GARENNES TT </t>
  </si>
  <si>
    <t xml:space="preserve"> JOVEENNE LANGUEUROISE E.S </t>
  </si>
  <si>
    <t xml:space="preserve"> TRISTANT </t>
  </si>
  <si>
    <t xml:space="preserve"> GAILLON AUBEVOYE TT </t>
  </si>
  <si>
    <t xml:space="preserve"> CARRE </t>
  </si>
  <si>
    <t xml:space="preserve"> ALIMI </t>
  </si>
  <si>
    <t xml:space="preserve"> BISEUX </t>
  </si>
  <si>
    <t xml:space="preserve"> TARBES ODOS PYRENEES TT </t>
  </si>
  <si>
    <t xml:space="preserve"> KOCH </t>
  </si>
  <si>
    <t xml:space="preserve"> HEDDEBAUT </t>
  </si>
  <si>
    <t xml:space="preserve"> FACHES-THUMESNIL TT </t>
  </si>
  <si>
    <t xml:space="preserve"> DARRICAU </t>
  </si>
  <si>
    <t xml:space="preserve"> ROUAU </t>
  </si>
  <si>
    <t xml:space="preserve"> AS GAZELEC AUXERRE </t>
  </si>
  <si>
    <t xml:space="preserve"> BLUZAT </t>
  </si>
  <si>
    <t xml:space="preserve"> VAILLANTE AUTUN </t>
  </si>
  <si>
    <t xml:space="preserve"> CONCHON </t>
  </si>
  <si>
    <t xml:space="preserve"> ATT QUINCY </t>
  </si>
  <si>
    <t xml:space="preserve"> BESCOND </t>
  </si>
  <si>
    <t xml:space="preserve"> E.S. VILLENEUVE LOUBET </t>
  </si>
  <si>
    <t xml:space="preserve"> SAINVAL-NOEL </t>
  </si>
  <si>
    <t xml:space="preserve"> HAMIDI </t>
  </si>
  <si>
    <t xml:space="preserve"> Lacen </t>
  </si>
  <si>
    <t xml:space="preserve"> VAUX TTC </t>
  </si>
  <si>
    <t xml:space="preserve"> JOLLY </t>
  </si>
  <si>
    <t xml:space="preserve"> MADELEINE </t>
  </si>
  <si>
    <t xml:space="preserve"> TTC ARLES </t>
  </si>
  <si>
    <t xml:space="preserve"> EHERMANN </t>
  </si>
  <si>
    <t xml:space="preserve"> GAUTIER </t>
  </si>
  <si>
    <t xml:space="preserve"> LE MESNIL MAUGER LPT </t>
  </si>
  <si>
    <t xml:space="preserve"> TOMAS </t>
  </si>
  <si>
    <t xml:space="preserve"> REVEIL CHAMBONNAIRE </t>
  </si>
  <si>
    <t xml:space="preserve"> DUBIN </t>
  </si>
  <si>
    <t xml:space="preserve"> Airvault PPC </t>
  </si>
  <si>
    <t xml:space="preserve"> MELLARE </t>
  </si>
  <si>
    <t xml:space="preserve"> LESIMPLE </t>
  </si>
  <si>
    <t xml:space="preserve"> TRANS </t>
  </si>
  <si>
    <t xml:space="preserve"> P P C COURTHEZONNAIS </t>
  </si>
  <si>
    <t xml:space="preserve"> BOURGET </t>
  </si>
  <si>
    <t xml:space="preserve"> LE BECHENNEC </t>
  </si>
  <si>
    <t xml:space="preserve"> ASPTT SETE TENNIS DE TABL </t>
  </si>
  <si>
    <t xml:space="preserve"> CLEMENT </t>
  </si>
  <si>
    <t xml:space="preserve"> BANTZ </t>
  </si>
  <si>
    <t xml:space="preserve"> RAPPE </t>
  </si>
  <si>
    <t xml:space="preserve"> JAOUAR </t>
  </si>
  <si>
    <t xml:space="preserve"> Said </t>
  </si>
  <si>
    <t xml:space="preserve"> FOUACHE </t>
  </si>
  <si>
    <t xml:space="preserve"> LOMME CP </t>
  </si>
  <si>
    <t xml:space="preserve"> ROUSCHMEYER </t>
  </si>
  <si>
    <t xml:space="preserve"> T.T. SIX FOURS </t>
  </si>
  <si>
    <t xml:space="preserve"> POTIER </t>
  </si>
  <si>
    <t xml:space="preserve"> F.L. LANESTER </t>
  </si>
  <si>
    <t xml:space="preserve"> LACOUTURE </t>
  </si>
  <si>
    <t xml:space="preserve"> Puymoyen Tennis de Table </t>
  </si>
  <si>
    <t xml:space="preserve"> MORICEAU </t>
  </si>
  <si>
    <t xml:space="preserve"> PONT ST MARTIN U.S. </t>
  </si>
  <si>
    <t xml:space="preserve"> DELACOURT </t>
  </si>
  <si>
    <t xml:space="preserve"> COC CHAMBLY </t>
  </si>
  <si>
    <t xml:space="preserve"> HUE </t>
  </si>
  <si>
    <t xml:space="preserve"> CHAUMONT ECAC </t>
  </si>
  <si>
    <t xml:space="preserve"> HERISSON </t>
  </si>
  <si>
    <t xml:space="preserve"> GRIMAUD </t>
  </si>
  <si>
    <t xml:space="preserve"> AVENIR DE PARON TT </t>
  </si>
  <si>
    <t xml:space="preserve"> VAZQUEZ </t>
  </si>
  <si>
    <t xml:space="preserve"> PASQUET </t>
  </si>
  <si>
    <t xml:space="preserve"> ABGRALL </t>
  </si>
  <si>
    <t xml:space="preserve"> QUESNOY SUR DEULE TT </t>
  </si>
  <si>
    <t xml:space="preserve"> VIGIER </t>
  </si>
  <si>
    <t xml:space="preserve"> BARDY </t>
  </si>
  <si>
    <t xml:space="preserve"> GUILLO </t>
  </si>
  <si>
    <t xml:space="preserve"> MAURICE </t>
  </si>
  <si>
    <t xml:space="preserve"> Rudy </t>
  </si>
  <si>
    <t xml:space="preserve"> GUERY </t>
  </si>
  <si>
    <t xml:space="preserve"> GOLLENTZ </t>
  </si>
  <si>
    <t xml:space="preserve"> GEFFRAY </t>
  </si>
  <si>
    <t xml:space="preserve"> TRIGNAC TENNIS DE TABLE </t>
  </si>
  <si>
    <t xml:space="preserve"> EVRARD </t>
  </si>
  <si>
    <t xml:space="preserve"> SEDAN TT </t>
  </si>
  <si>
    <t xml:space="preserve"> GUINAUDEAU </t>
  </si>
  <si>
    <t xml:space="preserve"> CALAIS-BALZAC TT </t>
  </si>
  <si>
    <t xml:space="preserve"> COMBOT </t>
  </si>
  <si>
    <t xml:space="preserve"> SOETAERT </t>
  </si>
  <si>
    <t xml:space="preserve"> TT FARGUAIS </t>
  </si>
  <si>
    <t xml:space="preserve"> WAGNER </t>
  </si>
  <si>
    <t xml:space="preserve"> DALEM </t>
  </si>
  <si>
    <t xml:space="preserve"> GALLET </t>
  </si>
  <si>
    <t xml:space="preserve"> NOEUX LES MINES CL FJEP </t>
  </si>
  <si>
    <t xml:space="preserve"> EVRON Alerte </t>
  </si>
  <si>
    <t xml:space="preserve"> CHALONNES Tennis de Table </t>
  </si>
  <si>
    <t xml:space="preserve"> GUYENNET </t>
  </si>
  <si>
    <t xml:space="preserve"> Etienne </t>
  </si>
  <si>
    <t xml:space="preserve"> CHANTECAILLE </t>
  </si>
  <si>
    <t xml:space="preserve"> ESSARTS TTE (Les) </t>
  </si>
  <si>
    <t xml:space="preserve"> MERCEUR </t>
  </si>
  <si>
    <t xml:space="preserve"> RHOULAM </t>
  </si>
  <si>
    <t xml:space="preserve"> Bousselham </t>
  </si>
  <si>
    <t xml:space="preserve"> LEMIRE </t>
  </si>
  <si>
    <t xml:space="preserve"> RAVETLLAT </t>
  </si>
  <si>
    <t xml:space="preserve"> CHOSSANDE </t>
  </si>
  <si>
    <t xml:space="preserve"> ES MESSIMY </t>
  </si>
  <si>
    <t xml:space="preserve"> MERCIER </t>
  </si>
  <si>
    <t xml:space="preserve"> CAESTECKER </t>
  </si>
  <si>
    <t xml:space="preserve"> CREPIN </t>
  </si>
  <si>
    <t xml:space="preserve"> BARREAUD </t>
  </si>
  <si>
    <t xml:space="preserve"> PONTS DE CE (LES) - AAEEC </t>
  </si>
  <si>
    <t xml:space="preserve"> MONHAY </t>
  </si>
  <si>
    <t xml:space="preserve"> BOUCHAUD </t>
  </si>
  <si>
    <t xml:space="preserve"> BUREAU </t>
  </si>
  <si>
    <t xml:space="preserve"> CARQUEFOU A.L.C.E.P. </t>
  </si>
  <si>
    <t xml:space="preserve"> VEAU </t>
  </si>
  <si>
    <t xml:space="preserve"> Parthenay PPC </t>
  </si>
  <si>
    <t xml:space="preserve"> PORET </t>
  </si>
  <si>
    <t xml:space="preserve"> CLEIS </t>
  </si>
  <si>
    <t xml:space="preserve"> CASTRES TARN-SUD TT </t>
  </si>
  <si>
    <t xml:space="preserve"> GAUDREAU </t>
  </si>
  <si>
    <t xml:space="preserve"> ASTTRE RIOM </t>
  </si>
  <si>
    <t xml:space="preserve"> HOURIEZ </t>
  </si>
  <si>
    <t xml:space="preserve"> DERYCKX </t>
  </si>
  <si>
    <t xml:space="preserve"> Jean-yves </t>
  </si>
  <si>
    <t xml:space="preserve"> A.S.P.T.T. VANNES </t>
  </si>
  <si>
    <t xml:space="preserve"> CAMOULES </t>
  </si>
  <si>
    <t xml:space="preserve"> CLUB PONGISTE CHAPELAND </t>
  </si>
  <si>
    <t xml:space="preserve"> BERGERET </t>
  </si>
  <si>
    <t xml:space="preserve"> MONTEIL </t>
  </si>
  <si>
    <t xml:space="preserve"> LEVEQUE </t>
  </si>
  <si>
    <t xml:space="preserve"> KIPFER </t>
  </si>
  <si>
    <t xml:space="preserve"> CHANTEHEUX-CROISMARE TT </t>
  </si>
  <si>
    <t xml:space="preserve"> SACHOT </t>
  </si>
  <si>
    <t xml:space="preserve"> TILLOLOY </t>
  </si>
  <si>
    <t xml:space="preserve"> CASSEL </t>
  </si>
  <si>
    <t xml:space="preserve"> NEUVILLE EN FERRAIN PP </t>
  </si>
  <si>
    <t xml:space="preserve"> COLLADANT </t>
  </si>
  <si>
    <t xml:space="preserve"> RHODIA CLUB </t>
  </si>
  <si>
    <t xml:space="preserve"> BECRET </t>
  </si>
  <si>
    <t xml:space="preserve"> FRITZ </t>
  </si>
  <si>
    <t xml:space="preserve"> Matthias </t>
  </si>
  <si>
    <t xml:space="preserve"> LAMY </t>
  </si>
  <si>
    <t xml:space="preserve"> CTT DAMMARTIN </t>
  </si>
  <si>
    <t xml:space="preserve"> FERON </t>
  </si>
  <si>
    <t xml:space="preserve"> Janick </t>
  </si>
  <si>
    <t xml:space="preserve"> BODHUIN </t>
  </si>
  <si>
    <t xml:space="preserve"> THIVET </t>
  </si>
  <si>
    <t xml:space="preserve"> MARQUES </t>
  </si>
  <si>
    <t xml:space="preserve"> MAS </t>
  </si>
  <si>
    <t xml:space="preserve"> 329F0534 </t>
  </si>
  <si>
    <t xml:space="preserve"> AS MAGENTA / NOUMEA </t>
  </si>
  <si>
    <t xml:space="preserve"> POULARD </t>
  </si>
  <si>
    <t xml:space="preserve"> JOANNES </t>
  </si>
  <si>
    <t xml:space="preserve"> LISIEUX ASTT </t>
  </si>
  <si>
    <t xml:space="preserve"> FLORET </t>
  </si>
  <si>
    <t xml:space="preserve"> Willy </t>
  </si>
  <si>
    <t xml:space="preserve"> QUIESTEDE TT </t>
  </si>
  <si>
    <t xml:space="preserve"> MARC </t>
  </si>
  <si>
    <t xml:space="preserve"> Jocelyn </t>
  </si>
  <si>
    <t xml:space="preserve"> WALLECAMPS </t>
  </si>
  <si>
    <t xml:space="preserve"> CREPY EN VALOIS US </t>
  </si>
  <si>
    <t xml:space="preserve"> GUILLOU </t>
  </si>
  <si>
    <t xml:space="preserve"> PREVOT </t>
  </si>
  <si>
    <t xml:space="preserve"> ASNANS BEAUVOISIN TT </t>
  </si>
  <si>
    <t xml:space="preserve"> GROSZ </t>
  </si>
  <si>
    <t xml:space="preserve"> NOGENT ASNTT </t>
  </si>
  <si>
    <t xml:space="preserve"> ALBERT </t>
  </si>
  <si>
    <t xml:space="preserve"> Pierre-david </t>
  </si>
  <si>
    <t xml:space="preserve"> CAVAILLON TT </t>
  </si>
  <si>
    <t xml:space="preserve"> DEBAVELAERE </t>
  </si>
  <si>
    <t xml:space="preserve"> PETITE-SYNTHE SM </t>
  </si>
  <si>
    <t xml:space="preserve"> LAGRUERE-LE MAS-CALONGES </t>
  </si>
  <si>
    <t xml:space="preserve"> DABOUT </t>
  </si>
  <si>
    <t xml:space="preserve"> Pierre yves </t>
  </si>
  <si>
    <t xml:space="preserve"> GERMANI </t>
  </si>
  <si>
    <t xml:space="preserve"> MEHLING </t>
  </si>
  <si>
    <t xml:space="preserve"> SALVAT </t>
  </si>
  <si>
    <t xml:space="preserve"> POUZAUGES A.C.T.T. </t>
  </si>
  <si>
    <t xml:space="preserve"> LEMERCIER </t>
  </si>
  <si>
    <t xml:space="preserve"> ETOILE SPORTIVE JUSSEY TT </t>
  </si>
  <si>
    <t xml:space="preserve"> DELACROIX </t>
  </si>
  <si>
    <t xml:space="preserve"> HENNIQUE </t>
  </si>
  <si>
    <t xml:space="preserve"> TOULON LA SEYNE Tennis de </t>
  </si>
  <si>
    <t xml:space="preserve"> RAYNAUD </t>
  </si>
  <si>
    <t xml:space="preserve"> HAUT BUGEY TT </t>
  </si>
  <si>
    <t xml:space="preserve"> BOUQUART </t>
  </si>
  <si>
    <t xml:space="preserve"> TALAMONI </t>
  </si>
  <si>
    <t xml:space="preserve"> MONTEAU </t>
  </si>
  <si>
    <t xml:space="preserve"> JAOUEN </t>
  </si>
  <si>
    <t xml:space="preserve"> CHERBOURG ASTT </t>
  </si>
  <si>
    <t xml:space="preserve"> KYNDT </t>
  </si>
  <si>
    <t xml:space="preserve"> Yannis </t>
  </si>
  <si>
    <t xml:space="preserve"> PIDAL </t>
  </si>
  <si>
    <t xml:space="preserve"> ETHEVE </t>
  </si>
  <si>
    <t xml:space="preserve"> QUERRIEN </t>
  </si>
  <si>
    <t xml:space="preserve"> RIONDE </t>
  </si>
  <si>
    <t xml:space="preserve"> BRUENDET </t>
  </si>
  <si>
    <t xml:space="preserve"> Ent. FRANS-VILLENEUVE TT </t>
  </si>
  <si>
    <t xml:space="preserve"> MALLARME </t>
  </si>
  <si>
    <t xml:space="preserve"> VILLANOVA </t>
  </si>
  <si>
    <t xml:space="preserve"> ORSAY CA </t>
  </si>
  <si>
    <t xml:space="preserve"> DIEUX </t>
  </si>
  <si>
    <t xml:space="preserve"> LABOURSE TT </t>
  </si>
  <si>
    <t xml:space="preserve"> VIOLLIN </t>
  </si>
  <si>
    <t xml:space="preserve"> LORTHIOS </t>
  </si>
  <si>
    <t xml:space="preserve"> ARRAS TENNIS DE TABLE </t>
  </si>
  <si>
    <t xml:space="preserve"> FLAMENT </t>
  </si>
  <si>
    <t xml:space="preserve"> Rainier </t>
  </si>
  <si>
    <t xml:space="preserve"> FOUQUIERES-LES-LENS CTT </t>
  </si>
  <si>
    <t xml:space="preserve"> CALVY </t>
  </si>
  <si>
    <t xml:space="preserve"> ROCA </t>
  </si>
  <si>
    <t xml:space="preserve"> TT BLAGNACAIS </t>
  </si>
  <si>
    <t xml:space="preserve"> GIRARD </t>
  </si>
  <si>
    <t xml:space="preserve"> SEBILO </t>
  </si>
  <si>
    <t xml:space="preserve"> PENHOET U.M. </t>
  </si>
  <si>
    <t xml:space="preserve"> DUBROCA </t>
  </si>
  <si>
    <t xml:space="preserve"> ZACHER </t>
  </si>
  <si>
    <t xml:space="preserve"> HOERDT T.T. </t>
  </si>
  <si>
    <t xml:space="preserve"> LIEBENGUTH </t>
  </si>
  <si>
    <t xml:space="preserve"> LIMAY ALJ </t>
  </si>
  <si>
    <t xml:space="preserve"> DESPLATZ </t>
  </si>
  <si>
    <t xml:space="preserve"> MARCASTEL </t>
  </si>
  <si>
    <t xml:space="preserve"> FORGET </t>
  </si>
  <si>
    <t xml:space="preserve"> MAYENNE Club Athlétique </t>
  </si>
  <si>
    <t xml:space="preserve"> LANTIER </t>
  </si>
  <si>
    <t xml:space="preserve"> JEANNE </t>
  </si>
  <si>
    <t xml:space="preserve"> HUET </t>
  </si>
  <si>
    <t xml:space="preserve"> CHAPELAIN </t>
  </si>
  <si>
    <t xml:space="preserve"> ST HERBLAIN T.T. </t>
  </si>
  <si>
    <t xml:space="preserve"> VERITE </t>
  </si>
  <si>
    <t xml:space="preserve"> CHARLOT </t>
  </si>
  <si>
    <t xml:space="preserve"> Raphaël </t>
  </si>
  <si>
    <t xml:space="preserve"> BREUILLET ES </t>
  </si>
  <si>
    <t xml:space="preserve"> GILLET </t>
  </si>
  <si>
    <t xml:space="preserve"> SAINT MAX T.T.H.R. </t>
  </si>
  <si>
    <t xml:space="preserve"> BALESTRE </t>
  </si>
  <si>
    <t xml:space="preserve"> DEN HARTIGH </t>
  </si>
  <si>
    <t xml:space="preserve"> CHENAL </t>
  </si>
  <si>
    <t xml:space="preserve"> Luc olivier </t>
  </si>
  <si>
    <t xml:space="preserve"> DAOUST </t>
  </si>
  <si>
    <t xml:space="preserve"> KAPELA </t>
  </si>
  <si>
    <t xml:space="preserve"> CARON </t>
  </si>
  <si>
    <t xml:space="preserve"> QUEREL </t>
  </si>
  <si>
    <t xml:space="preserve"> A.J.K. VANNES </t>
  </si>
  <si>
    <t xml:space="preserve"> KRZYSTEK </t>
  </si>
  <si>
    <t xml:space="preserve"> MILAN </t>
  </si>
  <si>
    <t xml:space="preserve"> ESC.COUR CHEVERNY TT </t>
  </si>
  <si>
    <t xml:space="preserve"> DUBAND </t>
  </si>
  <si>
    <t xml:space="preserve"> ATT DU BREUIL </t>
  </si>
  <si>
    <t xml:space="preserve"> LAMANT </t>
  </si>
  <si>
    <t xml:space="preserve"> Mehdi </t>
  </si>
  <si>
    <t xml:space="preserve"> QUIEVRECHAIN ASQTT </t>
  </si>
  <si>
    <t xml:space="preserve"> LEJUEZ </t>
  </si>
  <si>
    <t xml:space="preserve"> CHERBOURG US </t>
  </si>
  <si>
    <t xml:space="preserve"> GROLLEAU </t>
  </si>
  <si>
    <t xml:space="preserve"> Jean yves </t>
  </si>
  <si>
    <t xml:space="preserve"> BRIEC </t>
  </si>
  <si>
    <t xml:space="preserve"> TTC BREST RECOUVRANCE </t>
  </si>
  <si>
    <t xml:space="preserve"> CALVANESE </t>
  </si>
  <si>
    <t xml:space="preserve"> GRIECO </t>
  </si>
  <si>
    <t xml:space="preserve"> POINSIGNON </t>
  </si>
  <si>
    <t xml:space="preserve"> HAITAYAN </t>
  </si>
  <si>
    <t xml:space="preserve"> PAILLAUGUE </t>
  </si>
  <si>
    <t xml:space="preserve"> TESSIER </t>
  </si>
  <si>
    <t xml:space="preserve"> CORPO TT 41 </t>
  </si>
  <si>
    <t xml:space="preserve"> DELAUBIER </t>
  </si>
  <si>
    <t xml:space="preserve"> SCHNEIDER </t>
  </si>
  <si>
    <t xml:space="preserve"> VAL DE MODER 77 CTT </t>
  </si>
  <si>
    <t xml:space="preserve"> BOUDOIRE </t>
  </si>
  <si>
    <t xml:space="preserve"> La Couronne COC </t>
  </si>
  <si>
    <t xml:space="preserve"> PASTEUR </t>
  </si>
  <si>
    <t xml:space="preserve"> Jean cyril </t>
  </si>
  <si>
    <t xml:space="preserve"> VERHAEGHEM </t>
  </si>
  <si>
    <t xml:space="preserve"> Florian </t>
  </si>
  <si>
    <t xml:space="preserve"> BRETIGNY CS </t>
  </si>
  <si>
    <t xml:space="preserve"> DRAGOVIC </t>
  </si>
  <si>
    <t xml:space="preserve"> EPPEVILLE TT </t>
  </si>
  <si>
    <t xml:space="preserve"> D ANTONIO </t>
  </si>
  <si>
    <t xml:space="preserve"> Thomaso </t>
  </si>
  <si>
    <t xml:space="preserve"> RAGALEUX </t>
  </si>
  <si>
    <t xml:space="preserve"> FOURNIEZ </t>
  </si>
  <si>
    <t xml:space="preserve"> SOUVESTE </t>
  </si>
  <si>
    <t xml:space="preserve"> TTAL HUELGOAT-PLOUYE </t>
  </si>
  <si>
    <t xml:space="preserve"> MOULE </t>
  </si>
  <si>
    <t xml:space="preserve"> ALEXANDRE </t>
  </si>
  <si>
    <t xml:space="preserve"> TENNIS DE TABLE CHINONAIS </t>
  </si>
  <si>
    <t xml:space="preserve"> NOBLET </t>
  </si>
  <si>
    <t xml:space="preserve"> AUBERVILLIERS CMTT </t>
  </si>
  <si>
    <t xml:space="preserve"> GROUX </t>
  </si>
  <si>
    <t xml:space="preserve"> ALLOUAGNE AL </t>
  </si>
  <si>
    <t xml:space="preserve"> BEDNARZ </t>
  </si>
  <si>
    <t xml:space="preserve"> SAINT-OMER-HELFAUT TT </t>
  </si>
  <si>
    <t xml:space="preserve"> CANDE SOCTT </t>
  </si>
  <si>
    <t xml:space="preserve"> BAYSE </t>
  </si>
  <si>
    <t xml:space="preserve"> MAYEUX </t>
  </si>
  <si>
    <t xml:space="preserve"> MARIANI </t>
  </si>
  <si>
    <t xml:space="preserve"> Claudio </t>
  </si>
  <si>
    <t xml:space="preserve"> MARTINO </t>
  </si>
  <si>
    <t xml:space="preserve"> CASTAGNE </t>
  </si>
  <si>
    <t xml:space="preserve"> Jean-louis </t>
  </si>
  <si>
    <t xml:space="preserve"> BOUTAUD </t>
  </si>
  <si>
    <t xml:space="preserve"> PEROLS PPC </t>
  </si>
  <si>
    <t xml:space="preserve"> CARRION </t>
  </si>
  <si>
    <t xml:space="preserve"> BUCHHOLTZ </t>
  </si>
  <si>
    <t xml:space="preserve"> CNRS BELLEVUE SPORTS </t>
  </si>
  <si>
    <t xml:space="preserve"> TRIQUET </t>
  </si>
  <si>
    <t xml:space="preserve"> MESTDAGH </t>
  </si>
  <si>
    <t xml:space="preserve"> J3 TT AMILLY </t>
  </si>
  <si>
    <t xml:space="preserve"> HAUTCOEUR </t>
  </si>
  <si>
    <t xml:space="preserve"> ROMEO </t>
  </si>
  <si>
    <t xml:space="preserve"> T.T. MONTS ARTANNES </t>
  </si>
  <si>
    <t xml:space="preserve"> GLEY </t>
  </si>
  <si>
    <t xml:space="preserve"> CHAILLOT </t>
  </si>
  <si>
    <t xml:space="preserve"> VATIN </t>
  </si>
  <si>
    <t xml:space="preserve"> NOURY </t>
  </si>
  <si>
    <t xml:space="preserve"> Yael </t>
  </si>
  <si>
    <t xml:space="preserve"> JOURNOT </t>
  </si>
  <si>
    <t xml:space="preserve"> CLUB SANGUINETOIS TT </t>
  </si>
  <si>
    <t xml:space="preserve"> CHAPERON </t>
  </si>
  <si>
    <t xml:space="preserve"> WAELBROECK </t>
  </si>
  <si>
    <t xml:space="preserve"> PACO </t>
  </si>
  <si>
    <t xml:space="preserve"> MARSEILLE </t>
  </si>
  <si>
    <t xml:space="preserve"> ANGY-BURY TT </t>
  </si>
  <si>
    <t xml:space="preserve"> LERALU </t>
  </si>
  <si>
    <t xml:space="preserve"> Erik </t>
  </si>
  <si>
    <t xml:space="preserve"> LORET </t>
  </si>
  <si>
    <t xml:space="preserve"> MELESSE PING </t>
  </si>
  <si>
    <t xml:space="preserve"> OSWALD </t>
  </si>
  <si>
    <t xml:space="preserve"> Jean claude </t>
  </si>
  <si>
    <t xml:space="preserve"> GUICHARD </t>
  </si>
  <si>
    <t xml:space="preserve"> BEUCHER </t>
  </si>
  <si>
    <t xml:space="preserve"> LE ROUX </t>
  </si>
  <si>
    <t xml:space="preserve"> DUZES </t>
  </si>
  <si>
    <t xml:space="preserve"> STERCKEMAN </t>
  </si>
  <si>
    <t xml:space="preserve"> STADE OLYMPIQUE MILLAVOIS </t>
  </si>
  <si>
    <t xml:space="preserve"> ADON </t>
  </si>
  <si>
    <t xml:space="preserve"> NGUYEN </t>
  </si>
  <si>
    <t xml:space="preserve"> Son nguyen </t>
  </si>
  <si>
    <t xml:space="preserve"> RETAILLEAU </t>
  </si>
  <si>
    <t xml:space="preserve"> ST ANDRE DE LA MARCHE TT </t>
  </si>
  <si>
    <t xml:space="preserve"> ALLAIN </t>
  </si>
  <si>
    <t xml:space="preserve"> VIROISE USM </t>
  </si>
  <si>
    <t xml:space="preserve"> LEVASSEUR </t>
  </si>
  <si>
    <t xml:space="preserve"> CA L'HAY LES ROSES TT </t>
  </si>
  <si>
    <t xml:space="preserve"> LE MANSEC </t>
  </si>
  <si>
    <t xml:space="preserve"> Ronan </t>
  </si>
  <si>
    <t xml:space="preserve"> BROGNIART </t>
  </si>
  <si>
    <t xml:space="preserve"> RADIGUET </t>
  </si>
  <si>
    <t xml:space="preserve"> TRINDADE DE CAMPOS </t>
  </si>
  <si>
    <t xml:space="preserve"> ASTT TERRASSON </t>
  </si>
  <si>
    <t xml:space="preserve"> DESPRE </t>
  </si>
  <si>
    <t xml:space="preserve"> LE MANS S.O MAINE </t>
  </si>
  <si>
    <t xml:space="preserve"> BAUWENS </t>
  </si>
  <si>
    <t xml:space="preserve"> TOURCOING TTBS </t>
  </si>
  <si>
    <t xml:space="preserve"> PRONO </t>
  </si>
  <si>
    <t xml:space="preserve"> DAUBIGNARD </t>
  </si>
  <si>
    <t xml:space="preserve"> LES PONGISTES DU VENDOMOI </t>
  </si>
  <si>
    <t xml:space="preserve"> BURGOS </t>
  </si>
  <si>
    <t xml:space="preserve"> CHAPUT </t>
  </si>
  <si>
    <t xml:space="preserve"> VOISINS TT </t>
  </si>
  <si>
    <t xml:space="preserve"> BOULOGNE </t>
  </si>
  <si>
    <t xml:space="preserve"> Jérémie </t>
  </si>
  <si>
    <t xml:space="preserve"> TABARLY </t>
  </si>
  <si>
    <t xml:space="preserve"> DELTOUR </t>
  </si>
  <si>
    <t xml:space="preserve"> BAISIEUX TT </t>
  </si>
  <si>
    <t xml:space="preserve"> SIRAMY </t>
  </si>
  <si>
    <t xml:space="preserve"> ASPTT  MONTLUCON </t>
  </si>
  <si>
    <t xml:space="preserve"> FUTTERER </t>
  </si>
  <si>
    <t xml:space="preserve"> ST CHRISTOL LEZ ALES AS </t>
  </si>
  <si>
    <t xml:space="preserve"> TOUTOUYOUTE </t>
  </si>
  <si>
    <t xml:space="preserve"> Jean roland </t>
  </si>
  <si>
    <t xml:space="preserve"> MEZIERES S PONTHOUIN AS </t>
  </si>
  <si>
    <t xml:space="preserve"> LIEGE </t>
  </si>
  <si>
    <t xml:space="preserve"> BONNAUD </t>
  </si>
  <si>
    <t xml:space="preserve"> MARTELLO </t>
  </si>
  <si>
    <t xml:space="preserve"> PP CLUB L'ISLOIS </t>
  </si>
  <si>
    <t xml:space="preserve"> STRUB </t>
  </si>
  <si>
    <t xml:space="preserve"> GIEN AS TT </t>
  </si>
  <si>
    <t xml:space="preserve"> ANDRIEU </t>
  </si>
  <si>
    <t xml:space="preserve"> Gaetan </t>
  </si>
  <si>
    <t xml:space="preserve"> BIOZAT TENNIS DE TABLE </t>
  </si>
  <si>
    <t xml:space="preserve"> PRINEAU </t>
  </si>
  <si>
    <t xml:space="preserve"> MEILLERAIE R </t>
  </si>
  <si>
    <t xml:space="preserve"> BOURDIN </t>
  </si>
  <si>
    <t xml:space="preserve"> BONDOUFLE AC </t>
  </si>
  <si>
    <t xml:space="preserve"> ROUX </t>
  </si>
  <si>
    <t xml:space="preserve"> SALBRIS SOLOGNE TT. </t>
  </si>
  <si>
    <t xml:space="preserve"> REBISZ </t>
  </si>
  <si>
    <t xml:space="preserve"> Jean-jacques </t>
  </si>
  <si>
    <t xml:space="preserve"> Haute Corrèze Tenn.de Tab </t>
  </si>
  <si>
    <t xml:space="preserve"> BERLUTI </t>
  </si>
  <si>
    <t xml:space="preserve"> LEVADOUX </t>
  </si>
  <si>
    <t xml:space="preserve"> PFRIMMER </t>
  </si>
  <si>
    <t xml:space="preserve"> Valentin </t>
  </si>
  <si>
    <t xml:space="preserve"> BETSCHDORF TT </t>
  </si>
  <si>
    <t xml:space="preserve"> CENDRIE </t>
  </si>
  <si>
    <t xml:space="preserve"> BUATOIS </t>
  </si>
  <si>
    <t xml:space="preserve"> PREMONT </t>
  </si>
  <si>
    <t xml:space="preserve"> SCIDA </t>
  </si>
  <si>
    <t xml:space="preserve"> FLORIAN </t>
  </si>
  <si>
    <t xml:space="preserve"> MESTRES </t>
  </si>
  <si>
    <t xml:space="preserve"> HARROLD </t>
  </si>
  <si>
    <t xml:space="preserve"> Quentin </t>
  </si>
  <si>
    <t xml:space="preserve"> CHATEAU D OLONNE ES </t>
  </si>
  <si>
    <t xml:space="preserve"> BONIFACE </t>
  </si>
  <si>
    <t xml:space="preserve"> SANNOIS OS TT </t>
  </si>
  <si>
    <t xml:space="preserve"> PLANTY </t>
  </si>
  <si>
    <t xml:space="preserve"> Ghislain </t>
  </si>
  <si>
    <t xml:space="preserve"> DUMONTEIL </t>
  </si>
  <si>
    <t xml:space="preserve"> LEGROS </t>
  </si>
  <si>
    <t xml:space="preserve"> CE CHEVRON SPORTS </t>
  </si>
  <si>
    <t xml:space="preserve"> DESPRES </t>
  </si>
  <si>
    <t xml:space="preserve"> LOBSTEIN </t>
  </si>
  <si>
    <t xml:space="preserve"> DAUNAY </t>
  </si>
  <si>
    <t xml:space="preserve"> KNUTANGE-NILVANGE TT </t>
  </si>
  <si>
    <t xml:space="preserve"> VIENEZ </t>
  </si>
  <si>
    <t xml:space="preserve"> Michaël </t>
  </si>
  <si>
    <t xml:space="preserve"> QUETARD </t>
  </si>
  <si>
    <t xml:space="preserve"> ANGLARD </t>
  </si>
  <si>
    <t xml:space="preserve"> LA VILLE DU BOIS CO </t>
  </si>
  <si>
    <t xml:space="preserve"> MERLINI </t>
  </si>
  <si>
    <t xml:space="preserve"> LEROUX </t>
  </si>
  <si>
    <t xml:space="preserve"> FEUQUIERES AP </t>
  </si>
  <si>
    <t xml:space="preserve"> ANDRY </t>
  </si>
  <si>
    <t xml:space="preserve"> GLAIRE ASTT </t>
  </si>
  <si>
    <t xml:space="preserve"> HUSSON </t>
  </si>
  <si>
    <t xml:space="preserve"> HUBERT </t>
  </si>
  <si>
    <t xml:space="preserve"> RENNES CERCLE PAUL BERT </t>
  </si>
  <si>
    <t xml:space="preserve"> FONTAINE </t>
  </si>
  <si>
    <t xml:space="preserve"> FAUCON </t>
  </si>
  <si>
    <t xml:space="preserve"> T.T. LA BATHIE </t>
  </si>
  <si>
    <t xml:space="preserve"> OUADOURI </t>
  </si>
  <si>
    <t xml:space="preserve"> LO </t>
  </si>
  <si>
    <t xml:space="preserve"> Van-kailath </t>
  </si>
  <si>
    <t xml:space="preserve"> US ORLEANS Tennis de Tabl </t>
  </si>
  <si>
    <t xml:space="preserve"> DEVISMES </t>
  </si>
  <si>
    <t xml:space="preserve"> MONIER </t>
  </si>
  <si>
    <t xml:space="preserve"> Clément </t>
  </si>
  <si>
    <t xml:space="preserve"> LANCON </t>
  </si>
  <si>
    <t xml:space="preserve"> MORANT </t>
  </si>
  <si>
    <t xml:space="preserve"> DELOFFRE </t>
  </si>
  <si>
    <t xml:space="preserve"> WANNEBROUCQ </t>
  </si>
  <si>
    <t xml:space="preserve"> GOELANDS DE BIARRITZ </t>
  </si>
  <si>
    <t xml:space="preserve"> CHERET </t>
  </si>
  <si>
    <t xml:space="preserve"> CASTELNAU LE LEZ MJC </t>
  </si>
  <si>
    <t xml:space="preserve"> DEBOUSSE </t>
  </si>
  <si>
    <t xml:space="preserve"> BRUNON </t>
  </si>
  <si>
    <t xml:space="preserve"> TENNIS DE TABLE VEAUCHE </t>
  </si>
  <si>
    <t xml:space="preserve"> LHUMEAU </t>
  </si>
  <si>
    <t xml:space="preserve"> BOURQUIN </t>
  </si>
  <si>
    <t xml:space="preserve"> QUENEAU </t>
  </si>
  <si>
    <t xml:space="preserve"> BATTE </t>
  </si>
  <si>
    <t xml:space="preserve"> MARRILLIET </t>
  </si>
  <si>
    <t xml:space="preserve"> Pierre-alain </t>
  </si>
  <si>
    <t xml:space="preserve"> MARCQ EN BAROEUL TT </t>
  </si>
  <si>
    <t xml:space="preserve"> ANGILBERT </t>
  </si>
  <si>
    <t xml:space="preserve"> MATILE </t>
  </si>
  <si>
    <t xml:space="preserve"> BUREL </t>
  </si>
  <si>
    <t xml:space="preserve"> Pierre alain </t>
  </si>
  <si>
    <t xml:space="preserve"> PELLERIN (LE) </t>
  </si>
  <si>
    <t xml:space="preserve"> PLANSON </t>
  </si>
  <si>
    <t xml:space="preserve"> MICHAUD </t>
  </si>
  <si>
    <t xml:space="preserve"> EntentePongisteTERCE/ST-J </t>
  </si>
  <si>
    <t xml:space="preserve"> FRANECZEK </t>
  </si>
  <si>
    <t xml:space="preserve"> TIPREZ </t>
  </si>
  <si>
    <t xml:space="preserve"> RUNSER </t>
  </si>
  <si>
    <t xml:space="preserve"> MAGNOUX </t>
  </si>
  <si>
    <t xml:space="preserve"> TRESSENS </t>
  </si>
  <si>
    <t xml:space="preserve"> POUYSEGUR </t>
  </si>
  <si>
    <t xml:space="preserve"> VIOLETTE ATURINE </t>
  </si>
  <si>
    <t xml:space="preserve"> CAGNIARD </t>
  </si>
  <si>
    <t xml:space="preserve"> TT PLAISANÇOIS </t>
  </si>
  <si>
    <t xml:space="preserve"> WALTZER </t>
  </si>
  <si>
    <t xml:space="preserve"> MANCHE </t>
  </si>
  <si>
    <t xml:space="preserve"> LESQUIN ASLTT </t>
  </si>
  <si>
    <t xml:space="preserve"> U S MIOSSAISE PING PONG </t>
  </si>
  <si>
    <t xml:space="preserve"> LINOSSIER </t>
  </si>
  <si>
    <t xml:space="preserve"> TT HENDAYAIS </t>
  </si>
  <si>
    <t xml:space="preserve"> ZANA </t>
  </si>
  <si>
    <t xml:space="preserve"> PING PONG CLUB HONDOUVILL </t>
  </si>
  <si>
    <t xml:space="preserve"> DURMONT </t>
  </si>
  <si>
    <t xml:space="preserve"> REGOURDAL </t>
  </si>
  <si>
    <t xml:space="preserve"> THUILLIEZ </t>
  </si>
  <si>
    <t xml:space="preserve"> TORRES </t>
  </si>
  <si>
    <t xml:space="preserve"> RZEPKA </t>
  </si>
  <si>
    <t xml:space="preserve"> 319D0405 </t>
  </si>
  <si>
    <t xml:space="preserve"> CLUB PONGISTE POSSESSION </t>
  </si>
  <si>
    <t xml:space="preserve"> RUBIN </t>
  </si>
  <si>
    <t xml:space="preserve"> RUPT SUR MOSELLE C.P. </t>
  </si>
  <si>
    <t xml:space="preserve"> DOULLENS-BERNAVILLE TT </t>
  </si>
  <si>
    <t xml:space="preserve"> HERVY </t>
  </si>
  <si>
    <t xml:space="preserve"> COURBERAND </t>
  </si>
  <si>
    <t xml:space="preserve"> LECHAT </t>
  </si>
  <si>
    <t xml:space="preserve"> DELBOUYS </t>
  </si>
  <si>
    <t xml:space="preserve"> GIGNAC VITROLLES TT </t>
  </si>
  <si>
    <t xml:space="preserve"> COILLOT </t>
  </si>
  <si>
    <t xml:space="preserve"> Beaumont  FEPS </t>
  </si>
  <si>
    <t xml:space="preserve"> CERRUTI </t>
  </si>
  <si>
    <t xml:space="preserve"> Jean philippe </t>
  </si>
  <si>
    <t xml:space="preserve"> SAULNIER </t>
  </si>
  <si>
    <t xml:space="preserve"> ELANCOURT CTT </t>
  </si>
  <si>
    <t xml:space="preserve"> LO PINTO </t>
  </si>
  <si>
    <t xml:space="preserve"> Jean-pierre </t>
  </si>
  <si>
    <t xml:space="preserve"> QUEVA </t>
  </si>
  <si>
    <t xml:space="preserve"> FORESTIER </t>
  </si>
  <si>
    <t xml:space="preserve"> BONO </t>
  </si>
  <si>
    <t xml:space="preserve"> PROVOST </t>
  </si>
  <si>
    <t xml:space="preserve"> VIBRAYE ASTT </t>
  </si>
  <si>
    <t xml:space="preserve"> BOUGEROL </t>
  </si>
  <si>
    <t xml:space="preserve"> ST ELOY LES MINES A.L </t>
  </si>
  <si>
    <t xml:space="preserve"> LEROYER </t>
  </si>
  <si>
    <t xml:space="preserve"> AL  EYSINES </t>
  </si>
  <si>
    <t xml:space="preserve"> LUCAS </t>
  </si>
  <si>
    <t xml:space="preserve"> AS.CHAILLES TT. </t>
  </si>
  <si>
    <t xml:space="preserve"> VELON </t>
  </si>
  <si>
    <t xml:space="preserve"> CIAUDO </t>
  </si>
  <si>
    <t xml:space="preserve"> ROQUET </t>
  </si>
  <si>
    <t xml:space="preserve"> ASCIONE </t>
  </si>
  <si>
    <t xml:space="preserve"> VAVASSORI </t>
  </si>
  <si>
    <t xml:space="preserve"> SARLIAC TENNIS DE TABLE </t>
  </si>
  <si>
    <t xml:space="preserve"> BAUFFIGEAU </t>
  </si>
  <si>
    <t xml:space="preserve"> PETITCOLIN </t>
  </si>
  <si>
    <t xml:space="preserve"> AZNAR </t>
  </si>
  <si>
    <t xml:space="preserve"> PIMIENTA </t>
  </si>
  <si>
    <t xml:space="preserve"> JOSSET </t>
  </si>
  <si>
    <t xml:space="preserve"> Perig </t>
  </si>
  <si>
    <t xml:space="preserve"> CASTEL LAVIT TT </t>
  </si>
  <si>
    <t xml:space="preserve"> ZUNIC </t>
  </si>
  <si>
    <t xml:space="preserve"> POIRIER </t>
  </si>
  <si>
    <t xml:space="preserve"> NOYERS ST MARTIN ATT </t>
  </si>
  <si>
    <t xml:space="preserve"> DELVINCOURT </t>
  </si>
  <si>
    <t xml:space="preserve"> BOISSIERE </t>
  </si>
  <si>
    <t xml:space="preserve"> SABLE TENNIS DE TABLE </t>
  </si>
  <si>
    <t xml:space="preserve"> BELLOIR </t>
  </si>
  <si>
    <t xml:space="preserve"> EJILANE </t>
  </si>
  <si>
    <t xml:space="preserve"> AEP NOHANENT </t>
  </si>
  <si>
    <t xml:space="preserve"> CONOIR </t>
  </si>
  <si>
    <t xml:space="preserve"> Saintes USSTT </t>
  </si>
  <si>
    <t xml:space="preserve"> SAMON </t>
  </si>
  <si>
    <t xml:space="preserve"> BRENOUILLE ATT </t>
  </si>
  <si>
    <t xml:space="preserve"> RUAULT </t>
  </si>
  <si>
    <t xml:space="preserve"> SUARD </t>
  </si>
  <si>
    <t xml:space="preserve"> LETREN </t>
  </si>
  <si>
    <t xml:space="preserve"> Bernard </t>
  </si>
  <si>
    <t xml:space="preserve"> DETEVE </t>
  </si>
  <si>
    <t xml:space="preserve"> LAGUERRE </t>
  </si>
  <si>
    <t xml:space="preserve"> ABSCL TT FONTAINE LE BOUR </t>
  </si>
  <si>
    <t xml:space="preserve"> HAYRABIAN </t>
  </si>
  <si>
    <t xml:space="preserve"> Axel </t>
  </si>
  <si>
    <t xml:space="preserve"> A S  THYMERAIS CHATEAUNEU </t>
  </si>
  <si>
    <t xml:space="preserve"> US CHAPELLOISE TT </t>
  </si>
  <si>
    <t xml:space="preserve"> BABEAU </t>
  </si>
  <si>
    <t xml:space="preserve"> Jean luc </t>
  </si>
  <si>
    <t xml:space="preserve"> OHANNESSIAN </t>
  </si>
  <si>
    <t xml:space="preserve"> PINS-JUSTARET VILLATE TT </t>
  </si>
  <si>
    <t xml:space="preserve"> TORVAL </t>
  </si>
  <si>
    <t xml:space="preserve"> Eddie </t>
  </si>
  <si>
    <t xml:space="preserve"> ROSNY S/BOIS MARNAUDES TT </t>
  </si>
  <si>
    <t xml:space="preserve"> NERRIERE </t>
  </si>
  <si>
    <t xml:space="preserve"> SALLERTAINE TTM </t>
  </si>
  <si>
    <t xml:space="preserve"> CHALONS </t>
  </si>
  <si>
    <t xml:space="preserve"> LAMOTTE </t>
  </si>
  <si>
    <t xml:space="preserve"> SALON TENNIS DE TABLE </t>
  </si>
  <si>
    <t xml:space="preserve"> COT </t>
  </si>
  <si>
    <t xml:space="preserve"> DESSANS </t>
  </si>
  <si>
    <t xml:space="preserve"> TT PAYS DE GIONO </t>
  </si>
  <si>
    <t xml:space="preserve"> AL COURS LA VILLE </t>
  </si>
  <si>
    <t xml:space="preserve"> LE CORRE </t>
  </si>
  <si>
    <t xml:space="preserve"> AULNOY SPORT TENNIS DE TA </t>
  </si>
  <si>
    <t xml:space="preserve"> Jean-marie </t>
  </si>
  <si>
    <t xml:space="preserve"> TENNIS DE TABLE THURIALAI </t>
  </si>
  <si>
    <t xml:space="preserve"> PIGNARD </t>
  </si>
  <si>
    <t xml:space="preserve"> MARCHAND </t>
  </si>
  <si>
    <t xml:space="preserve"> HARTENSTEIN </t>
  </si>
  <si>
    <t xml:space="preserve"> BENFELD LAURENTIA S.S.C. </t>
  </si>
  <si>
    <t xml:space="preserve"> BLOQUET </t>
  </si>
  <si>
    <t xml:space="preserve"> GOAN </t>
  </si>
  <si>
    <t xml:space="preserve"> Erwann </t>
  </si>
  <si>
    <t xml:space="preserve"> MAERO </t>
  </si>
  <si>
    <t xml:space="preserve"> NICE CAVIGAL TENNIS DE TA </t>
  </si>
  <si>
    <t xml:space="preserve"> DUMONT </t>
  </si>
  <si>
    <t xml:space="preserve"> GARS </t>
  </si>
  <si>
    <t xml:space="preserve"> TURCAN </t>
  </si>
  <si>
    <t xml:space="preserve"> PERREUX AP </t>
  </si>
  <si>
    <t xml:space="preserve"> PASQUE </t>
  </si>
  <si>
    <t xml:space="preserve"> S SOTTEVILLAIS CHEMN C </t>
  </si>
  <si>
    <t xml:space="preserve"> COUMAILLEAU </t>
  </si>
  <si>
    <t xml:space="preserve"> DELAPORTE </t>
  </si>
  <si>
    <t xml:space="preserve"> GOBE </t>
  </si>
  <si>
    <t xml:space="preserve"> Steeve </t>
  </si>
  <si>
    <t xml:space="preserve"> HERBAUT </t>
  </si>
  <si>
    <t xml:space="preserve"> CZERWINSKI </t>
  </si>
  <si>
    <t xml:space="preserve"> CROIZIER </t>
  </si>
  <si>
    <t xml:space="preserve"> TT PORT-VAIVRE-ASPTT VESO </t>
  </si>
  <si>
    <t xml:space="preserve"> ROMAIN </t>
  </si>
  <si>
    <t xml:space="preserve"> MORDELLES J.A. </t>
  </si>
  <si>
    <t xml:space="preserve"> PITAVAL </t>
  </si>
  <si>
    <t xml:space="preserve"> DEZELAK </t>
  </si>
  <si>
    <t xml:space="preserve"> BOURDEIL </t>
  </si>
  <si>
    <t xml:space="preserve"> GRANDJEAN </t>
  </si>
  <si>
    <t xml:space="preserve"> LE PORS </t>
  </si>
  <si>
    <t xml:space="preserve"> BOUZERDA </t>
  </si>
  <si>
    <t xml:space="preserve"> Abdel </t>
  </si>
  <si>
    <t xml:space="preserve"> POUGET </t>
  </si>
  <si>
    <t xml:space="preserve"> MONTESSON TT </t>
  </si>
  <si>
    <t xml:space="preserve"> BROUTIN </t>
  </si>
  <si>
    <t xml:space="preserve"> LAMBOLEY </t>
  </si>
  <si>
    <t xml:space="preserve"> PPC BAVANS </t>
  </si>
  <si>
    <t xml:space="preserve"> BERTOLOTTI </t>
  </si>
  <si>
    <t xml:space="preserve"> AUDUN LE TICHE JSA </t>
  </si>
  <si>
    <t xml:space="preserve"> SONTOT </t>
  </si>
  <si>
    <t xml:space="preserve"> CLIRYX </t>
  </si>
  <si>
    <t xml:space="preserve"> MORILLON </t>
  </si>
  <si>
    <t xml:space="preserve"> QUINNE </t>
  </si>
  <si>
    <t xml:space="preserve"> 329F0530 </t>
  </si>
  <si>
    <t xml:space="preserve"> CTT MONT DORE </t>
  </si>
  <si>
    <t xml:space="preserve"> BOFFO </t>
  </si>
  <si>
    <t xml:space="preserve"> VERBRUGGHE </t>
  </si>
  <si>
    <t xml:space="preserve"> CVTT VAIRES </t>
  </si>
  <si>
    <t xml:space="preserve"> CABY </t>
  </si>
  <si>
    <t xml:space="preserve"> DALIGAUD </t>
  </si>
  <si>
    <t xml:space="preserve"> MERLET </t>
  </si>
  <si>
    <t xml:space="preserve"> LAURRIN </t>
  </si>
  <si>
    <t xml:space="preserve"> CHAPPELET </t>
  </si>
  <si>
    <t xml:space="preserve"> SCIARRINO </t>
  </si>
  <si>
    <t xml:space="preserve"> LA MADELEINE US </t>
  </si>
  <si>
    <t xml:space="preserve"> DEPUYDT </t>
  </si>
  <si>
    <t xml:space="preserve"> ST MAX-ST LEU-VILLERS TT </t>
  </si>
  <si>
    <t xml:space="preserve"> MORTIER </t>
  </si>
  <si>
    <t xml:space="preserve"> VIALLES </t>
  </si>
  <si>
    <t xml:space="preserve"> PALENI </t>
  </si>
  <si>
    <t xml:space="preserve"> TORCHY </t>
  </si>
  <si>
    <t xml:space="preserve"> CASANOVA </t>
  </si>
  <si>
    <t xml:space="preserve"> JONQUET </t>
  </si>
  <si>
    <t xml:space="preserve"> L ATOUT STEPHANOIS </t>
  </si>
  <si>
    <t xml:space="preserve"> ASSELINE </t>
  </si>
  <si>
    <t xml:space="preserve"> GILLES </t>
  </si>
  <si>
    <t xml:space="preserve"> GEIN </t>
  </si>
  <si>
    <t xml:space="preserve"> AZZOUG </t>
  </si>
  <si>
    <t xml:space="preserve"> ECOLAN </t>
  </si>
  <si>
    <t xml:space="preserve"> MORVANT </t>
  </si>
  <si>
    <t xml:space="preserve"> JEDRZEJAK </t>
  </si>
  <si>
    <t xml:space="preserve"> MAGGINI </t>
  </si>
  <si>
    <t xml:space="preserve"> Cercle Sportif Altifagien </t>
  </si>
  <si>
    <t xml:space="preserve"> CECCON </t>
  </si>
  <si>
    <t xml:space="preserve"> GODIER </t>
  </si>
  <si>
    <t xml:space="preserve"> PROBIN </t>
  </si>
  <si>
    <t xml:space="preserve"> LACAUVE </t>
  </si>
  <si>
    <t xml:space="preserve"> LECOCQ </t>
  </si>
  <si>
    <t xml:space="preserve"> CAILLAT </t>
  </si>
  <si>
    <t xml:space="preserve"> LE METAYER </t>
  </si>
  <si>
    <t xml:space="preserve"> SUCY ES </t>
  </si>
  <si>
    <t xml:space="preserve"> LABRIET </t>
  </si>
  <si>
    <t xml:space="preserve"> BOUTON </t>
  </si>
  <si>
    <t xml:space="preserve"> A.S.T.T. M.A. MONTBEUGNY </t>
  </si>
  <si>
    <t xml:space="preserve"> RIBERET </t>
  </si>
  <si>
    <t xml:space="preserve"> TOUZOT </t>
  </si>
  <si>
    <t xml:space="preserve"> MASSY ES </t>
  </si>
  <si>
    <t xml:space="preserve"> PALUD </t>
  </si>
  <si>
    <t xml:space="preserve"> QUIMPER CORNOUAILLE TT </t>
  </si>
  <si>
    <t xml:space="preserve"> WEPPE </t>
  </si>
  <si>
    <t xml:space="preserve"> EVIAN SPORTS TENNIS DE TA </t>
  </si>
  <si>
    <t xml:space="preserve"> RODENAS </t>
  </si>
  <si>
    <t xml:space="preserve"> JOUBLIN </t>
  </si>
  <si>
    <t xml:space="preserve"> Nhut quan </t>
  </si>
  <si>
    <t xml:space="preserve"> MASSIN </t>
  </si>
  <si>
    <t xml:space="preserve"> PARRY </t>
  </si>
  <si>
    <t xml:space="preserve"> CHAUVET </t>
  </si>
  <si>
    <t xml:space="preserve"> GUILLET </t>
  </si>
  <si>
    <t xml:space="preserve"> CREICHE </t>
  </si>
  <si>
    <t xml:space="preserve"> MOUTOUSSAMY </t>
  </si>
  <si>
    <t xml:space="preserve"> LAGOUTTE </t>
  </si>
  <si>
    <t xml:space="preserve"> TT VILLARS </t>
  </si>
  <si>
    <t xml:space="preserve"> CASTRO </t>
  </si>
  <si>
    <t xml:space="preserve"> Paulo </t>
  </si>
  <si>
    <t xml:space="preserve"> COLLE </t>
  </si>
  <si>
    <t xml:space="preserve"> 349B2082 </t>
  </si>
  <si>
    <t xml:space="preserve"> ESPOIR TENNIS DE TABLE </t>
  </si>
  <si>
    <t xml:space="preserve"> PALLET (LE) TT </t>
  </si>
  <si>
    <t xml:space="preserve"> MARIE </t>
  </si>
  <si>
    <t xml:space="preserve"> TRUFLANDIER </t>
  </si>
  <si>
    <t xml:space="preserve"> MARTEL </t>
  </si>
  <si>
    <t xml:space="preserve"> Pierre jean </t>
  </si>
  <si>
    <t xml:space="preserve"> ITHURBIDE </t>
  </si>
  <si>
    <t xml:space="preserve"> ST GERMAIN DU CORBEIS ATT </t>
  </si>
  <si>
    <t xml:space="preserve"> DAVIET </t>
  </si>
  <si>
    <t xml:space="preserve"> POIRE SUR VIE AL </t>
  </si>
  <si>
    <t xml:space="preserve"> AUGUET </t>
  </si>
  <si>
    <t xml:space="preserve"> LASPOUGEAS </t>
  </si>
  <si>
    <t xml:space="preserve"> ASSUP FOS SUR MER </t>
  </si>
  <si>
    <t xml:space="preserve"> BOHME </t>
  </si>
  <si>
    <t xml:space="preserve"> VILLIERS </t>
  </si>
  <si>
    <t xml:space="preserve"> BECHU </t>
  </si>
  <si>
    <t xml:space="preserve"> ST MELAINE-MOZE LOIRE-AUB </t>
  </si>
  <si>
    <t xml:space="preserve"> GRANGENOIS </t>
  </si>
  <si>
    <t xml:space="preserve"> Alic </t>
  </si>
  <si>
    <t xml:space="preserve"> VIALATTE </t>
  </si>
  <si>
    <t xml:space="preserve"> GAVA </t>
  </si>
  <si>
    <t xml:space="preserve"> ROLET </t>
  </si>
  <si>
    <t xml:space="preserve"> CCSVA TENNIS DE TABLE </t>
  </si>
  <si>
    <t xml:space="preserve"> URBAIN </t>
  </si>
  <si>
    <t xml:space="preserve"> Boris </t>
  </si>
  <si>
    <t xml:space="preserve"> SALINDRES AS </t>
  </si>
  <si>
    <t xml:space="preserve"> CAPET </t>
  </si>
  <si>
    <t xml:space="preserve"> SAINTE CATHERINE LEZ ARRA </t>
  </si>
  <si>
    <t xml:space="preserve"> LECORDIX </t>
  </si>
  <si>
    <t xml:space="preserve"> PING PARIS 14 </t>
  </si>
  <si>
    <t xml:space="preserve"> TOUSEAU </t>
  </si>
  <si>
    <t xml:space="preserve"> ENTENTE RHODANIENNE T T </t>
  </si>
  <si>
    <t xml:space="preserve"> CHAILLOU </t>
  </si>
  <si>
    <t xml:space="preserve"> HERBERGEMENT ASTT </t>
  </si>
  <si>
    <t xml:space="preserve"> DECOUTY </t>
  </si>
  <si>
    <t xml:space="preserve"> SAINT-JUNIEN AS (87) </t>
  </si>
  <si>
    <t xml:space="preserve"> BLANCHARD </t>
  </si>
  <si>
    <t xml:space="preserve"> SAUTRIAU </t>
  </si>
  <si>
    <t xml:space="preserve"> MICHETTI </t>
  </si>
  <si>
    <t xml:space="preserve"> Max </t>
  </si>
  <si>
    <t xml:space="preserve"> C.S.C. CHARVIEU CHAVAGNEU </t>
  </si>
  <si>
    <t xml:space="preserve"> CLUB PONGISTE DU GATINAIS </t>
  </si>
  <si>
    <t xml:space="preserve"> ZRIM </t>
  </si>
  <si>
    <t xml:space="preserve"> TREGOUET </t>
  </si>
  <si>
    <t xml:space="preserve"> Sigean Tennis de Table </t>
  </si>
  <si>
    <t xml:space="preserve"> BREL </t>
  </si>
  <si>
    <t xml:space="preserve"> MAAROUF </t>
  </si>
  <si>
    <t xml:space="preserve"> Saïd </t>
  </si>
  <si>
    <t xml:space="preserve"> BATFROI </t>
  </si>
  <si>
    <t xml:space="preserve"> STELLA SPORTS MENT/ROQUEB </t>
  </si>
  <si>
    <t xml:space="preserve"> RIALLAND </t>
  </si>
  <si>
    <t xml:space="preserve"> MORILLE </t>
  </si>
  <si>
    <t xml:space="preserve"> BAUMIER </t>
  </si>
  <si>
    <t xml:space="preserve"> BRICARD </t>
  </si>
  <si>
    <t xml:space="preserve"> MUZILLAC TT </t>
  </si>
  <si>
    <t xml:space="preserve"> MERCIER FINIDORI </t>
  </si>
  <si>
    <t xml:space="preserve"> A.S.P.BONIFACIO </t>
  </si>
  <si>
    <t xml:space="preserve"> LAUNAY </t>
  </si>
  <si>
    <t xml:space="preserve"> BAUDIER </t>
  </si>
  <si>
    <t xml:space="preserve"> CHERRIER </t>
  </si>
  <si>
    <t xml:space="preserve"> MOUCHAMPS SJTT </t>
  </si>
  <si>
    <t xml:space="preserve"> GESSI </t>
  </si>
  <si>
    <t xml:space="preserve"> CHARREARD VENISSIEUX </t>
  </si>
  <si>
    <t xml:space="preserve"> LIAIGRE </t>
  </si>
  <si>
    <t xml:space="preserve"> REBILLARD </t>
  </si>
  <si>
    <t xml:space="preserve"> CHAGNY TENNIS DE TABLE </t>
  </si>
  <si>
    <t xml:space="preserve"> GELLER </t>
  </si>
  <si>
    <t xml:space="preserve"> Marc-olivier </t>
  </si>
  <si>
    <t xml:space="preserve"> HILLAIRET </t>
  </si>
  <si>
    <t xml:space="preserve"> MALHERBE </t>
  </si>
  <si>
    <t xml:space="preserve"> CHANTEUX </t>
  </si>
  <si>
    <t xml:space="preserve"> GRISEY </t>
  </si>
  <si>
    <t xml:space="preserve"> MENARD </t>
  </si>
  <si>
    <t xml:space="preserve"> REMILLIER </t>
  </si>
  <si>
    <t xml:space="preserve"> MJC VERNIOZ </t>
  </si>
  <si>
    <t xml:space="preserve"> PEYRON </t>
  </si>
  <si>
    <t xml:space="preserve"> André </t>
  </si>
  <si>
    <t xml:space="preserve"> TRILLARD </t>
  </si>
  <si>
    <t xml:space="preserve"> ETRICHE-CHAMPIGNE Entente </t>
  </si>
  <si>
    <t xml:space="preserve"> TROUPLIN </t>
  </si>
  <si>
    <t xml:space="preserve"> Mathias </t>
  </si>
  <si>
    <t xml:space="preserve"> VERQUIN </t>
  </si>
  <si>
    <t xml:space="preserve"> BOVIS </t>
  </si>
  <si>
    <t xml:space="preserve"> RACING CLUB PORT DU HAVRE </t>
  </si>
  <si>
    <t xml:space="preserve"> CHARPENTIER </t>
  </si>
  <si>
    <t xml:space="preserve"> ROZOY THIERACHE TT </t>
  </si>
  <si>
    <t xml:space="preserve"> PROKOPOWICZ </t>
  </si>
  <si>
    <t xml:space="preserve"> BERCK TT </t>
  </si>
  <si>
    <t xml:space="preserve"> MAKOWSKI </t>
  </si>
  <si>
    <t xml:space="preserve"> CHABANE </t>
  </si>
  <si>
    <t xml:space="preserve"> Kemel </t>
  </si>
  <si>
    <t xml:space="preserve"> PPC FESCHES LE CHATEL </t>
  </si>
  <si>
    <t xml:space="preserve"> LOISEAU </t>
  </si>
  <si>
    <t xml:space="preserve"> BRUN </t>
  </si>
  <si>
    <t xml:space="preserve"> BORACCINO </t>
  </si>
  <si>
    <t xml:space="preserve"> VIGNAUT </t>
  </si>
  <si>
    <t xml:space="preserve"> LA FEUILLIE CREANCES TT </t>
  </si>
  <si>
    <t xml:space="preserve"> PANSERA </t>
  </si>
  <si>
    <t xml:space="preserve"> Hugues </t>
  </si>
  <si>
    <t xml:space="preserve"> HAINZELIN </t>
  </si>
  <si>
    <t xml:space="preserve"> TT ANDERNOS-ARES </t>
  </si>
  <si>
    <t xml:space="preserve"> CHARBONNEAU </t>
  </si>
  <si>
    <t xml:space="preserve"> GIROIRE </t>
  </si>
  <si>
    <t xml:space="preserve"> MERY </t>
  </si>
  <si>
    <t xml:space="preserve"> SITHISAK </t>
  </si>
  <si>
    <t xml:space="preserve"> CTT BUSSY ST GEORGES </t>
  </si>
  <si>
    <t xml:space="preserve"> ILLE ET RANCE TT </t>
  </si>
  <si>
    <t xml:space="preserve"> SEBILLE </t>
  </si>
  <si>
    <t xml:space="preserve"> ROBINEAU </t>
  </si>
  <si>
    <t xml:space="preserve"> STEINER </t>
  </si>
  <si>
    <t xml:space="preserve"> SEYMOUR </t>
  </si>
  <si>
    <t xml:space="preserve"> BALLAND </t>
  </si>
  <si>
    <t xml:space="preserve"> RIVET </t>
  </si>
  <si>
    <t xml:space="preserve"> THOMIRE </t>
  </si>
  <si>
    <t xml:space="preserve"> GRUNENWALD </t>
  </si>
  <si>
    <t xml:space="preserve"> LEUTENHEIM C.T.T. </t>
  </si>
  <si>
    <t xml:space="preserve"> JAFFRE </t>
  </si>
  <si>
    <t xml:space="preserve"> PONT-SCORFF GESTEL TT </t>
  </si>
  <si>
    <t xml:space="preserve"> VITRE </t>
  </si>
  <si>
    <t xml:space="preserve"> MONTFORT T.T. </t>
  </si>
  <si>
    <t xml:space="preserve"> GALECKI </t>
  </si>
  <si>
    <t xml:space="preserve"> ROUYER </t>
  </si>
  <si>
    <t xml:space="preserve"> Romeo </t>
  </si>
  <si>
    <t xml:space="preserve"> GROSSE </t>
  </si>
  <si>
    <t xml:space="preserve"> CANOEN </t>
  </si>
  <si>
    <t xml:space="preserve"> Teddy </t>
  </si>
  <si>
    <t xml:space="preserve"> RIETTE </t>
  </si>
  <si>
    <t xml:space="preserve"> BARTHOU </t>
  </si>
  <si>
    <t xml:space="preserve"> TEMPLIER </t>
  </si>
  <si>
    <t xml:space="preserve"> STE FLAIVE LS </t>
  </si>
  <si>
    <t xml:space="preserve"> PATA </t>
  </si>
  <si>
    <t xml:space="preserve"> BEAUMONT UMO </t>
  </si>
  <si>
    <t xml:space="preserve"> Jérémy </t>
  </si>
  <si>
    <t xml:space="preserve"> CHAVAGNES EN P. STL </t>
  </si>
  <si>
    <t xml:space="preserve"> RISBOURG </t>
  </si>
  <si>
    <t xml:space="preserve"> BRUCKER </t>
  </si>
  <si>
    <t xml:space="preserve"> SILBERMANN </t>
  </si>
  <si>
    <t xml:space="preserve"> ROSHEIM CA </t>
  </si>
  <si>
    <t xml:space="preserve"> PRIMAULT </t>
  </si>
  <si>
    <t xml:space="preserve"> BOUSIGNIERE </t>
  </si>
  <si>
    <t xml:space="preserve"> DUBART </t>
  </si>
  <si>
    <t xml:space="preserve"> BREUIL </t>
  </si>
  <si>
    <t xml:space="preserve"> FAILLIOT </t>
  </si>
  <si>
    <t xml:space="preserve"> DAN </t>
  </si>
  <si>
    <t xml:space="preserve"> AS SPORT. CORMELLES TENNI </t>
  </si>
  <si>
    <t xml:space="preserve"> POTTIE </t>
  </si>
  <si>
    <t xml:space="preserve"> BRAGUIER </t>
  </si>
  <si>
    <t xml:space="preserve"> MARLY LE ROI US </t>
  </si>
  <si>
    <t xml:space="preserve"> LE GUERCH </t>
  </si>
  <si>
    <t xml:space="preserve"> U S 2 </t>
  </si>
  <si>
    <t xml:space="preserve"> AS RUSSE </t>
  </si>
  <si>
    <t xml:space="preserve"> REUMAUX </t>
  </si>
  <si>
    <t xml:space="preserve"> Maxime </t>
  </si>
  <si>
    <t xml:space="preserve"> HALLUIN TT </t>
  </si>
  <si>
    <t xml:space="preserve"> LEHUEDE </t>
  </si>
  <si>
    <t xml:space="preserve"> GOUBIER </t>
  </si>
  <si>
    <t xml:space="preserve"> OLYMPIQUE SAINT-QUENTINOI </t>
  </si>
  <si>
    <t xml:space="preserve"> CORNELOUP </t>
  </si>
  <si>
    <t xml:space="preserve"> DESCROIX </t>
  </si>
  <si>
    <t xml:space="preserve"> GLASSER </t>
  </si>
  <si>
    <t xml:space="preserve"> MARLINE </t>
  </si>
  <si>
    <t xml:space="preserve"> COSME </t>
  </si>
  <si>
    <t xml:space="preserve"> WEISS </t>
  </si>
  <si>
    <t xml:space="preserve"> Marans-Courçon ALTT </t>
  </si>
  <si>
    <t xml:space="preserve"> SONZOGNI </t>
  </si>
  <si>
    <t xml:space="preserve"> CTT CHAMP SUR DRAC </t>
  </si>
  <si>
    <t xml:space="preserve"> DASSAC </t>
  </si>
  <si>
    <t xml:space="preserve"> ASORTF </t>
  </si>
  <si>
    <t xml:space="preserve"> ARZUR </t>
  </si>
  <si>
    <t xml:space="preserve"> GASPAROTTO </t>
  </si>
  <si>
    <t xml:space="preserve"> DESCHAMPS </t>
  </si>
  <si>
    <t xml:space="preserve"> CROIX ASVH </t>
  </si>
  <si>
    <t xml:space="preserve"> TRUCO </t>
  </si>
  <si>
    <t xml:space="preserve"> LE MONDE DU PINGPONG </t>
  </si>
  <si>
    <t xml:space="preserve"> Courlay La Raquette </t>
  </si>
  <si>
    <t xml:space="preserve"> SPORTELLI </t>
  </si>
  <si>
    <t xml:space="preserve"> BADIA </t>
  </si>
  <si>
    <t xml:space="preserve"> BX COQS ROUGES </t>
  </si>
  <si>
    <t xml:space="preserve"> BAKUM </t>
  </si>
  <si>
    <t xml:space="preserve"> ZARMEHRZAMIN </t>
  </si>
  <si>
    <t xml:space="preserve"> Houchang </t>
  </si>
  <si>
    <t xml:space="preserve"> COLIN </t>
  </si>
  <si>
    <t xml:space="preserve"> SADI </t>
  </si>
  <si>
    <t xml:space="preserve"> GAVALY </t>
  </si>
  <si>
    <t xml:space="preserve"> Ruddy </t>
  </si>
  <si>
    <t xml:space="preserve"> 339A1007 </t>
  </si>
  <si>
    <t xml:space="preserve"> STADE LAMENTINOIS Tennis </t>
  </si>
  <si>
    <t xml:space="preserve"> TAUGIS </t>
  </si>
  <si>
    <t xml:space="preserve"> BARRE </t>
  </si>
  <si>
    <t xml:space="preserve"> BOUREGBA </t>
  </si>
  <si>
    <t xml:space="preserve"> Aïssa </t>
  </si>
  <si>
    <t xml:space="preserve"> HAGONDANGE E.S. </t>
  </si>
  <si>
    <t xml:space="preserve"> CADART </t>
  </si>
  <si>
    <t xml:space="preserve"> BOULARAND </t>
  </si>
  <si>
    <t xml:space="preserve"> DINGA </t>
  </si>
  <si>
    <t xml:space="preserve"> 339A1044 </t>
  </si>
  <si>
    <t xml:space="preserve"> PING PONG CLUB  DE BAIE M </t>
  </si>
  <si>
    <t xml:space="preserve"> BOUCHER </t>
  </si>
  <si>
    <t xml:space="preserve"> DOUARNENEZ TT </t>
  </si>
  <si>
    <t xml:space="preserve"> Yanis </t>
  </si>
  <si>
    <t xml:space="preserve"> VINCENT </t>
  </si>
  <si>
    <t xml:space="preserve"> JARLAUD </t>
  </si>
  <si>
    <t xml:space="preserve"> BARAUD </t>
  </si>
  <si>
    <t xml:space="preserve"> YUNG </t>
  </si>
  <si>
    <t xml:space="preserve"> MAIGROT </t>
  </si>
  <si>
    <t xml:space="preserve"> SABIN </t>
  </si>
  <si>
    <t xml:space="preserve"> Sedar </t>
  </si>
  <si>
    <t xml:space="preserve"> 349B2020 </t>
  </si>
  <si>
    <t xml:space="preserve"> L'INTREPIDE CLUB </t>
  </si>
  <si>
    <t xml:space="preserve"> FOUCHARD </t>
  </si>
  <si>
    <t xml:space="preserve"> ASNIERES TT </t>
  </si>
  <si>
    <t xml:space="preserve"> Ruffec Chef Boutonne TT </t>
  </si>
  <si>
    <t xml:space="preserve"> PONCHEL </t>
  </si>
  <si>
    <t xml:space="preserve"> BACK </t>
  </si>
  <si>
    <t xml:space="preserve"> BREBION </t>
  </si>
  <si>
    <t xml:space="preserve"> SOTA </t>
  </si>
  <si>
    <t xml:space="preserve"> CHAPELLON </t>
  </si>
  <si>
    <t xml:space="preserve"> 309C0320 </t>
  </si>
  <si>
    <t xml:space="preserve"> U S L MONTJOLY </t>
  </si>
  <si>
    <t xml:space="preserve"> JULIEN </t>
  </si>
  <si>
    <t xml:space="preserve"> TT LOPERHETOIS </t>
  </si>
  <si>
    <t xml:space="preserve"> POULAT </t>
  </si>
  <si>
    <t xml:space="preserve"> CENTR ISERE TT </t>
  </si>
  <si>
    <t xml:space="preserve"> FILIOLE </t>
  </si>
  <si>
    <t xml:space="preserve"> MANFREDI </t>
  </si>
  <si>
    <t xml:space="preserve"> RIFFET </t>
  </si>
  <si>
    <t xml:space="preserve"> JEAN BAPTISTE </t>
  </si>
  <si>
    <t xml:space="preserve"> GAUCHER </t>
  </si>
  <si>
    <t xml:space="preserve"> La Rochefoucauld UA TT </t>
  </si>
  <si>
    <t xml:space="preserve"> HEBERT </t>
  </si>
  <si>
    <t xml:space="preserve"> URVILLE-NACQUEVILLE ASS T </t>
  </si>
  <si>
    <t xml:space="preserve"> MOLLIERE </t>
  </si>
  <si>
    <t xml:space="preserve"> SCHAEFFER </t>
  </si>
  <si>
    <t xml:space="preserve"> LIMOSIN </t>
  </si>
  <si>
    <t xml:space="preserve"> AFONSO </t>
  </si>
  <si>
    <t xml:space="preserve"> AS VILLENEUVE-LA-GUYARD </t>
  </si>
  <si>
    <t xml:space="preserve"> HAUER </t>
  </si>
  <si>
    <t xml:space="preserve"> EA </t>
  </si>
  <si>
    <t xml:space="preserve"> Kok-eng </t>
  </si>
  <si>
    <t xml:space="preserve"> UTT SAINT-MARTIN DE CRAU </t>
  </si>
  <si>
    <t xml:space="preserve"> IBORRA </t>
  </si>
  <si>
    <t xml:space="preserve"> AGDE TENNIS DE TABLE </t>
  </si>
  <si>
    <t xml:space="preserve"> CLUB PONGISTE BELLENEUVOI </t>
  </si>
  <si>
    <t xml:space="preserve"> RENAUDINEAU </t>
  </si>
  <si>
    <t xml:space="preserve"> RENTZ </t>
  </si>
  <si>
    <t xml:space="preserve"> ISSENHEIM TT </t>
  </si>
  <si>
    <t xml:space="preserve"> ZEO </t>
  </si>
  <si>
    <t xml:space="preserve"> CHAMPETINAUD </t>
  </si>
  <si>
    <t xml:space="preserve"> VRAUX JUVIGNY RC </t>
  </si>
  <si>
    <t xml:space="preserve"> ROLAND </t>
  </si>
  <si>
    <t xml:space="preserve"> Jean marie </t>
  </si>
  <si>
    <t xml:space="preserve"> GORCE </t>
  </si>
  <si>
    <t xml:space="preserve"> KNEY </t>
  </si>
  <si>
    <t xml:space="preserve"> Jean-luc </t>
  </si>
  <si>
    <t xml:space="preserve"> SURESNES ASTT </t>
  </si>
  <si>
    <t xml:space="preserve"> BUSSIERE </t>
  </si>
  <si>
    <t xml:space="preserve"> RASOAMANANA </t>
  </si>
  <si>
    <t xml:space="preserve"> PIGEONNIER </t>
  </si>
  <si>
    <t xml:space="preserve"> BOHLI </t>
  </si>
  <si>
    <t xml:space="preserve"> Sahbi </t>
  </si>
  <si>
    <t xml:space="preserve"> LEPAROUX </t>
  </si>
  <si>
    <t xml:space="preserve"> SAFFRE TREFFIEUX TT AS </t>
  </si>
  <si>
    <t xml:space="preserve"> CHALIER </t>
  </si>
  <si>
    <t xml:space="preserve"> Savinien </t>
  </si>
  <si>
    <t xml:space="preserve"> ASPTT SMASH CLUB DE GRASS </t>
  </si>
  <si>
    <t xml:space="preserve"> MENU </t>
  </si>
  <si>
    <t xml:space="preserve"> PORTIER </t>
  </si>
  <si>
    <t xml:space="preserve"> Marennes Oléron CPPMO </t>
  </si>
  <si>
    <t xml:space="preserve"> BONNEL </t>
  </si>
  <si>
    <t xml:space="preserve"> DONTENVILL </t>
  </si>
  <si>
    <t xml:space="preserve"> MOQUET </t>
  </si>
  <si>
    <t xml:space="preserve"> CORNU </t>
  </si>
  <si>
    <t xml:space="preserve"> BREE </t>
  </si>
  <si>
    <t xml:space="preserve"> CLAYES/BOIS USM </t>
  </si>
  <si>
    <t xml:space="preserve"> TOUNKARA </t>
  </si>
  <si>
    <t xml:space="preserve"> BISCARROSSE OLYMPIQUE TT </t>
  </si>
  <si>
    <t xml:space="preserve"> GOMES </t>
  </si>
  <si>
    <t xml:space="preserve"> Custodio </t>
  </si>
  <si>
    <t xml:space="preserve"> NOUET </t>
  </si>
  <si>
    <t xml:space="preserve"> PONCHELLE </t>
  </si>
  <si>
    <t xml:space="preserve"> DESCAZEAUX </t>
  </si>
  <si>
    <t xml:space="preserve"> R LINDOISE </t>
  </si>
  <si>
    <t xml:space="preserve"> TUAILLON </t>
  </si>
  <si>
    <t xml:space="preserve"> LA BRESSE T.T. </t>
  </si>
  <si>
    <t xml:space="preserve"> BEDOUET </t>
  </si>
  <si>
    <t xml:space="preserve"> FORON </t>
  </si>
  <si>
    <t xml:space="preserve"> ASPTT GRAND PERIGUEUX </t>
  </si>
  <si>
    <t xml:space="preserve"> MICAUT </t>
  </si>
  <si>
    <t xml:space="preserve"> ZAMPIERI </t>
  </si>
  <si>
    <t xml:space="preserve"> Franck bruno </t>
  </si>
  <si>
    <t xml:space="preserve"> FEREZ </t>
  </si>
  <si>
    <t xml:space="preserve"> US YEVRES </t>
  </si>
  <si>
    <t xml:space="preserve"> GUIRAUD </t>
  </si>
  <si>
    <t xml:space="preserve"> SEICHAMPS E.P. </t>
  </si>
  <si>
    <t xml:space="preserve"> LOIRE NORD TT </t>
  </si>
  <si>
    <t xml:space="preserve"> LEYDIER </t>
  </si>
  <si>
    <t xml:space="preserve"> EVEIL MENDOIS T.T. </t>
  </si>
  <si>
    <t xml:space="preserve"> RABAUX </t>
  </si>
  <si>
    <t xml:space="preserve"> GUICHAINVILLE TT </t>
  </si>
  <si>
    <t xml:space="preserve"> PETROZ </t>
  </si>
  <si>
    <t xml:space="preserve"> LE GOFF </t>
  </si>
  <si>
    <t xml:space="preserve"> BIRON </t>
  </si>
  <si>
    <t xml:space="preserve"> E.S. LA VILLE-AUX-DAMES T </t>
  </si>
  <si>
    <t xml:space="preserve"> BERCOT </t>
  </si>
  <si>
    <t xml:space="preserve"> Jean-noel </t>
  </si>
  <si>
    <t xml:space="preserve"> DEPLAIX </t>
  </si>
  <si>
    <t xml:space="preserve"> CHARBIT </t>
  </si>
  <si>
    <t xml:space="preserve"> MARCK PPC </t>
  </si>
  <si>
    <t xml:space="preserve"> LACROIX </t>
  </si>
  <si>
    <t xml:space="preserve"> DE PEINDRAY </t>
  </si>
  <si>
    <t xml:space="preserve"> LE </t>
  </si>
  <si>
    <t xml:space="preserve"> Cong dung </t>
  </si>
  <si>
    <t xml:space="preserve"> LAVAL ATSCAF </t>
  </si>
  <si>
    <t xml:space="preserve"> PESCE </t>
  </si>
  <si>
    <t xml:space="preserve"> P P C AMBERT </t>
  </si>
  <si>
    <t xml:space="preserve"> FLAMME </t>
  </si>
  <si>
    <t xml:space="preserve"> E.S.MAINTENON-PIERRES T.T </t>
  </si>
  <si>
    <t xml:space="preserve"> GOURDIS </t>
  </si>
  <si>
    <t xml:space="preserve"> LES PONGISTES BIGOUDENS </t>
  </si>
  <si>
    <t xml:space="preserve"> TEXIER </t>
  </si>
  <si>
    <t xml:space="preserve"> FICHEUX </t>
  </si>
  <si>
    <t xml:space="preserve"> TILLOY LES MOFFLAINES TT </t>
  </si>
  <si>
    <t xml:space="preserve"> KUNTZ </t>
  </si>
  <si>
    <t xml:space="preserve"> WILLERWALD A.S. </t>
  </si>
  <si>
    <t xml:space="preserve"> GIRAUDEAU </t>
  </si>
  <si>
    <t xml:space="preserve"> PAZENAISE T.T. </t>
  </si>
  <si>
    <t xml:space="preserve"> GOSSEREZ </t>
  </si>
  <si>
    <t xml:space="preserve"> PINEAU </t>
  </si>
  <si>
    <t xml:space="preserve"> AYHERRA </t>
  </si>
  <si>
    <t xml:space="preserve"> RODRIGUES </t>
  </si>
  <si>
    <t xml:space="preserve"> Antonio </t>
  </si>
  <si>
    <t xml:space="preserve"> RICHEZ </t>
  </si>
  <si>
    <t xml:space="preserve"> PANICALI </t>
  </si>
  <si>
    <t xml:space="preserve"> ANCENIS TENNIS DE TABLE </t>
  </si>
  <si>
    <t xml:space="preserve"> CASADAMONT </t>
  </si>
  <si>
    <t xml:space="preserve"> FELUSIAK </t>
  </si>
  <si>
    <t xml:space="preserve"> US CENON </t>
  </si>
  <si>
    <t xml:space="preserve"> FICHOU </t>
  </si>
  <si>
    <t xml:space="preserve"> BICHOT </t>
  </si>
  <si>
    <t xml:space="preserve"> GILLARD </t>
  </si>
  <si>
    <t xml:space="preserve"> FRICONNEAU </t>
  </si>
  <si>
    <t xml:space="preserve"> JORDANEY </t>
  </si>
  <si>
    <t xml:space="preserve"> Jean-manuel </t>
  </si>
  <si>
    <t xml:space="preserve"> MEISTERMANN </t>
  </si>
  <si>
    <t xml:space="preserve"> DILLE </t>
  </si>
  <si>
    <t xml:space="preserve"> TORIBIO </t>
  </si>
  <si>
    <t xml:space="preserve"> RAYMOND </t>
  </si>
  <si>
    <t xml:space="preserve"> PEREZ </t>
  </si>
  <si>
    <t xml:space="preserve"> NOISY LE GRAND CSNTT </t>
  </si>
  <si>
    <t xml:space="preserve"> GOUBAND </t>
  </si>
  <si>
    <t xml:space="preserve"> Vivonne US </t>
  </si>
  <si>
    <t xml:space="preserve"> BENOLIEL </t>
  </si>
  <si>
    <t xml:space="preserve"> CHARBONNIER </t>
  </si>
  <si>
    <t xml:space="preserve"> TT DU PERIGORD NOIR </t>
  </si>
  <si>
    <t xml:space="preserve"> ILLANGE USTT </t>
  </si>
  <si>
    <t xml:space="preserve"> MAIRE </t>
  </si>
  <si>
    <t xml:space="preserve"> Robert </t>
  </si>
  <si>
    <t xml:space="preserve"> CP ORNANAIS </t>
  </si>
  <si>
    <t xml:space="preserve"> MARTINET </t>
  </si>
  <si>
    <t xml:space="preserve"> EPERNAY PPC </t>
  </si>
  <si>
    <t xml:space="preserve"> TOUSSAT </t>
  </si>
  <si>
    <t xml:space="preserve"> F.R.J.E.P. ESLETTES TT </t>
  </si>
  <si>
    <t xml:space="preserve"> GRESSIER </t>
  </si>
  <si>
    <t xml:space="preserve"> DROUHIN </t>
  </si>
  <si>
    <t xml:space="preserve"> VIERZON PING </t>
  </si>
  <si>
    <t xml:space="preserve"> ARRIAS </t>
  </si>
  <si>
    <t xml:space="preserve"> KERLAN </t>
  </si>
  <si>
    <t xml:space="preserve"> MESNIL ST D. AS </t>
  </si>
  <si>
    <t xml:space="preserve"> AUFFRET </t>
  </si>
  <si>
    <t xml:space="preserve"> TT FOUGERES-JAVENE-LECOUS </t>
  </si>
  <si>
    <t xml:space="preserve"> COMBAUROURE </t>
  </si>
  <si>
    <t xml:space="preserve"> OTILLON-GABRIEL </t>
  </si>
  <si>
    <t xml:space="preserve"> Kenny </t>
  </si>
  <si>
    <t xml:space="preserve"> VALMARY </t>
  </si>
  <si>
    <t xml:space="preserve"> ECULLY Tennis de Table </t>
  </si>
  <si>
    <t xml:space="preserve"> GORRY </t>
  </si>
  <si>
    <t xml:space="preserve"> CARRE CONRAUX </t>
  </si>
  <si>
    <t xml:space="preserve"> FRIGNICOURT PING PONG CLU </t>
  </si>
  <si>
    <t xml:space="preserve"> FOSSIER </t>
  </si>
  <si>
    <t xml:space="preserve"> LOISELEUR </t>
  </si>
  <si>
    <t xml:space="preserve"> LOUCHART </t>
  </si>
  <si>
    <t xml:space="preserve"> SAILLY LABOURSE TT </t>
  </si>
  <si>
    <t xml:space="preserve"> TREFLEZE </t>
  </si>
  <si>
    <t xml:space="preserve"> Hadi </t>
  </si>
  <si>
    <t xml:space="preserve"> Chi dung </t>
  </si>
  <si>
    <t xml:space="preserve"> PIRIOU </t>
  </si>
  <si>
    <t xml:space="preserve"> AS LOCQUENOLESIENNE TT </t>
  </si>
  <si>
    <t xml:space="preserve"> NGO </t>
  </si>
  <si>
    <t xml:space="preserve"> DELCOURT </t>
  </si>
  <si>
    <t xml:space="preserve"> FAUMONT AS </t>
  </si>
  <si>
    <t xml:space="preserve"> SORTAMBOSC </t>
  </si>
  <si>
    <t xml:space="preserve"> SAMBOL </t>
  </si>
  <si>
    <t xml:space="preserve"> CERCLE PONGISTE MEHUNOIS </t>
  </si>
  <si>
    <t xml:space="preserve"> SALBAN </t>
  </si>
  <si>
    <t xml:space="preserve"> Thibaut </t>
  </si>
  <si>
    <t xml:space="preserve"> RAQUETTE MARMANDAISE </t>
  </si>
  <si>
    <t xml:space="preserve"> LOBRY </t>
  </si>
  <si>
    <t xml:space="preserve"> ELAN BOESIEN POUR LA MAIT </t>
  </si>
  <si>
    <t xml:space="preserve"> BOULAI </t>
  </si>
  <si>
    <t xml:space="preserve"> A.S.J.NOGENT LE ROTROU </t>
  </si>
  <si>
    <t xml:space="preserve"> BILLOD MOREL </t>
  </si>
  <si>
    <t xml:space="preserve"> REIMS ASPTT </t>
  </si>
  <si>
    <t xml:space="preserve"> FERRIEUX </t>
  </si>
  <si>
    <t xml:space="preserve"> LABROUSSE </t>
  </si>
  <si>
    <t xml:space="preserve"> D'HONDT </t>
  </si>
  <si>
    <t xml:space="preserve"> GUENEE </t>
  </si>
  <si>
    <t xml:space="preserve"> LINDEPERG </t>
  </si>
  <si>
    <t xml:space="preserve"> LE BARON </t>
  </si>
  <si>
    <t xml:space="preserve"> DEREGNAUCOURT </t>
  </si>
  <si>
    <t xml:space="preserve"> TEMPLEMARS-VENDEVILLE EP </t>
  </si>
  <si>
    <t xml:space="preserve"> DUPREZ </t>
  </si>
  <si>
    <t xml:space="preserve"> CHAOUAT </t>
  </si>
  <si>
    <t xml:space="preserve"> DROMARD </t>
  </si>
  <si>
    <t xml:space="preserve"> LOUVEL </t>
  </si>
  <si>
    <t xml:space="preserve"> GERGAUD </t>
  </si>
  <si>
    <t xml:space="preserve"> HAUTE VILAINE TT </t>
  </si>
  <si>
    <t xml:space="preserve"> LEVEL </t>
  </si>
  <si>
    <t xml:space="preserve"> BRAY DUNES TT </t>
  </si>
  <si>
    <t xml:space="preserve"> AUBERT </t>
  </si>
  <si>
    <t xml:space="preserve"> Gérard </t>
  </si>
  <si>
    <t xml:space="preserve"> DARNAT </t>
  </si>
  <si>
    <t xml:space="preserve"> GACHASSIN </t>
  </si>
  <si>
    <t xml:space="preserve"> LESCAUT </t>
  </si>
  <si>
    <t xml:space="preserve"> LU </t>
  </si>
  <si>
    <t xml:space="preserve"> Augustin </t>
  </si>
  <si>
    <t xml:space="preserve"> ATHIS MONS USO </t>
  </si>
  <si>
    <t xml:space="preserve"> SALOMEZ </t>
  </si>
  <si>
    <t xml:space="preserve"> OUHNIA </t>
  </si>
  <si>
    <t xml:space="preserve"> LEPELTIER </t>
  </si>
  <si>
    <t xml:space="preserve"> HAMM </t>
  </si>
  <si>
    <t xml:space="preserve"> KESKASTEL TT </t>
  </si>
  <si>
    <t xml:space="preserve"> KOSKAS </t>
  </si>
  <si>
    <t xml:space="preserve"> Mikhael </t>
  </si>
  <si>
    <t xml:space="preserve"> LERENDU </t>
  </si>
  <si>
    <t xml:space="preserve"> DUONG </t>
  </si>
  <si>
    <t xml:space="preserve"> POULAIN </t>
  </si>
  <si>
    <t xml:space="preserve"> GORRONNAIS Tennis de Tabl </t>
  </si>
  <si>
    <t xml:space="preserve"> CAILLAUD </t>
  </si>
  <si>
    <t xml:space="preserve"> LECADRE </t>
  </si>
  <si>
    <t xml:space="preserve"> CUSSEAU </t>
  </si>
  <si>
    <t xml:space="preserve"> ST HERBLON ATT </t>
  </si>
  <si>
    <t xml:space="preserve"> VICOMTE </t>
  </si>
  <si>
    <t xml:space="preserve"> HUMEAU </t>
  </si>
  <si>
    <t xml:space="preserve"> MANGERET </t>
  </si>
  <si>
    <t xml:space="preserve"> Renaud </t>
  </si>
  <si>
    <t xml:space="preserve"> C.L.L.L.COLOMIERS </t>
  </si>
  <si>
    <t xml:space="preserve"> PAICHELER </t>
  </si>
  <si>
    <t xml:space="preserve"> LARUELLE </t>
  </si>
  <si>
    <t xml:space="preserve"> GIOVANARDI </t>
  </si>
  <si>
    <t xml:space="preserve"> BLAS </t>
  </si>
  <si>
    <t xml:space="preserve"> CHAVENON </t>
  </si>
  <si>
    <t xml:space="preserve"> GODON </t>
  </si>
  <si>
    <t xml:space="preserve"> HESNAULT </t>
  </si>
  <si>
    <t xml:space="preserve"> BENSAID </t>
  </si>
  <si>
    <t xml:space="preserve"> RAMBAUD </t>
  </si>
  <si>
    <t xml:space="preserve"> Gerald </t>
  </si>
  <si>
    <t xml:space="preserve"> DURANT </t>
  </si>
  <si>
    <t xml:space="preserve"> DAINVILLE ASTT </t>
  </si>
  <si>
    <t xml:space="preserve"> MARCONNES </t>
  </si>
  <si>
    <t xml:space="preserve"> TT CRAPONNE/ARZON </t>
  </si>
  <si>
    <t xml:space="preserve"> GUYOMARC'H </t>
  </si>
  <si>
    <t xml:space="preserve"> Pierre-yves </t>
  </si>
  <si>
    <t xml:space="preserve"> REICHERT </t>
  </si>
  <si>
    <t xml:space="preserve"> PRESQU ILE T.T. </t>
  </si>
  <si>
    <t xml:space="preserve"> PAPET </t>
  </si>
  <si>
    <t xml:space="preserve"> T.T. BOURGOIN JALLIEU </t>
  </si>
  <si>
    <t xml:space="preserve"> Chi kien </t>
  </si>
  <si>
    <t xml:space="preserve"> ROCHE VENDEE T.T. </t>
  </si>
  <si>
    <t xml:space="preserve"> MINDEGUIA </t>
  </si>
  <si>
    <t xml:space="preserve"> CROISES ST ANDRE BAYONNE </t>
  </si>
  <si>
    <t xml:space="preserve"> LIMMOIS </t>
  </si>
  <si>
    <t xml:space="preserve"> MASTRONARDI </t>
  </si>
  <si>
    <t xml:space="preserve"> OBERNAI CA </t>
  </si>
  <si>
    <t xml:space="preserve"> A.S.BASTELICACCIA </t>
  </si>
  <si>
    <t xml:space="preserve"> St BERTHEVIN/St LOUP-53 U </t>
  </si>
  <si>
    <t xml:space="preserve"> INGERSHEIM SSSA </t>
  </si>
  <si>
    <t xml:space="preserve"> COINDET </t>
  </si>
  <si>
    <t xml:space="preserve"> TOLLIS </t>
  </si>
  <si>
    <t xml:space="preserve"> MACHEFERT </t>
  </si>
  <si>
    <t xml:space="preserve"> DELANNOY </t>
  </si>
  <si>
    <t xml:space="preserve"> LAPUGNOY ASC </t>
  </si>
  <si>
    <t xml:space="preserve"> MARECHAUX </t>
  </si>
  <si>
    <t xml:space="preserve"> COMMEQUIERS TT </t>
  </si>
  <si>
    <t xml:space="preserve"> LEMEUR </t>
  </si>
  <si>
    <t xml:space="preserve"> GORYL </t>
  </si>
  <si>
    <t xml:space="preserve"> SAINT-YRIEIX-LA-PERCHE EA </t>
  </si>
  <si>
    <t xml:space="preserve"> KLEIN </t>
  </si>
  <si>
    <t xml:space="preserve"> GERICAULT </t>
  </si>
  <si>
    <t xml:space="preserve"> CLUB PONGISTE GENLISSIEN </t>
  </si>
  <si>
    <t xml:space="preserve"> LACASSAGNE </t>
  </si>
  <si>
    <t xml:space="preserve"> AREVALO </t>
  </si>
  <si>
    <t xml:space="preserve"> T.T. GOURINOIS </t>
  </si>
  <si>
    <t xml:space="preserve"> DUPONT </t>
  </si>
  <si>
    <t xml:space="preserve"> VAUCHELLES ASV </t>
  </si>
  <si>
    <t xml:space="preserve"> DESCRIAUD </t>
  </si>
  <si>
    <t xml:space="preserve"> SCHATT </t>
  </si>
  <si>
    <t xml:space="preserve"> DUBEAUX </t>
  </si>
  <si>
    <t xml:space="preserve"> CHOISY AU BAC CTT </t>
  </si>
  <si>
    <t xml:space="preserve"> LURTHY </t>
  </si>
  <si>
    <t xml:space="preserve"> VILLEPREUX TT </t>
  </si>
  <si>
    <t xml:space="preserve"> CANNET </t>
  </si>
  <si>
    <t xml:space="preserve"> MIGAIRE </t>
  </si>
  <si>
    <t xml:space="preserve"> HERCENT </t>
  </si>
  <si>
    <t xml:space="preserve"> HUGO </t>
  </si>
  <si>
    <t xml:space="preserve"> COUTANT </t>
  </si>
  <si>
    <t xml:space="preserve"> VERLEY </t>
  </si>
  <si>
    <t xml:space="preserve"> DUFROMENTEL </t>
  </si>
  <si>
    <t xml:space="preserve"> PERRAY ES </t>
  </si>
  <si>
    <t xml:space="preserve"> BELKHELOUAT </t>
  </si>
  <si>
    <t xml:space="preserve"> COURCHELETTES AP </t>
  </si>
  <si>
    <t xml:space="preserve"> AGULHON </t>
  </si>
  <si>
    <t xml:space="preserve"> CONGENIES PPC </t>
  </si>
  <si>
    <t xml:space="preserve"> DOLIMAN </t>
  </si>
  <si>
    <t xml:space="preserve"> LE BIHAN </t>
  </si>
  <si>
    <t xml:space="preserve"> FROMENT </t>
  </si>
  <si>
    <t xml:space="preserve"> LANDEVILLE </t>
  </si>
  <si>
    <t xml:space="preserve"> ROSCONVAL </t>
  </si>
  <si>
    <t xml:space="preserve"> LAFAYE </t>
  </si>
  <si>
    <t xml:space="preserve"> BONFILS </t>
  </si>
  <si>
    <t xml:space="preserve"> TT ALBERTVILLE </t>
  </si>
  <si>
    <t xml:space="preserve"> L'HENAF </t>
  </si>
  <si>
    <t xml:space="preserve"> FERRARI </t>
  </si>
  <si>
    <t xml:space="preserve"> LAHAIE </t>
  </si>
  <si>
    <t xml:space="preserve"> BOLOU </t>
  </si>
  <si>
    <t xml:space="preserve"> LIOT </t>
  </si>
  <si>
    <t xml:space="preserve"> BESSON </t>
  </si>
  <si>
    <t xml:space="preserve"> AVRILLE AS 85 </t>
  </si>
  <si>
    <t xml:space="preserve"> MORDELET </t>
  </si>
  <si>
    <t xml:space="preserve"> JAMES </t>
  </si>
  <si>
    <t xml:space="preserve"> PIQUET </t>
  </si>
  <si>
    <t xml:space="preserve"> MONTGERON (ESMTT) </t>
  </si>
  <si>
    <t xml:space="preserve"> SIBEAUX </t>
  </si>
  <si>
    <t xml:space="preserve"> BOURRASSAUD </t>
  </si>
  <si>
    <t xml:space="preserve"> LE PLEUX </t>
  </si>
  <si>
    <t xml:space="preserve"> SENTENAC </t>
  </si>
  <si>
    <t xml:space="preserve"> MACE </t>
  </si>
  <si>
    <t xml:space="preserve"> LACOTTE </t>
  </si>
  <si>
    <t xml:space="preserve"> LEPAGE </t>
  </si>
  <si>
    <t xml:space="preserve"> LEMARQUIS </t>
  </si>
  <si>
    <t xml:space="preserve"> GASSIA </t>
  </si>
  <si>
    <t xml:space="preserve"> Janson </t>
  </si>
  <si>
    <t xml:space="preserve"> FJEP METARE </t>
  </si>
  <si>
    <t xml:space="preserve"> DORLET </t>
  </si>
  <si>
    <t xml:space="preserve"> COUSIN </t>
  </si>
  <si>
    <t xml:space="preserve"> BAYARD </t>
  </si>
  <si>
    <t xml:space="preserve"> GRASSER </t>
  </si>
  <si>
    <t xml:space="preserve"> VIRY </t>
  </si>
  <si>
    <t xml:space="preserve"> NANCY ASPTT-JARVILLE Jeun </t>
  </si>
  <si>
    <t xml:space="preserve"> MARCILLAT </t>
  </si>
  <si>
    <t xml:space="preserve"> CEPRIKA </t>
  </si>
  <si>
    <t xml:space="preserve"> BOUSIES TT </t>
  </si>
  <si>
    <t xml:space="preserve"> JALLEY </t>
  </si>
  <si>
    <t xml:space="preserve"> SARLANDIE </t>
  </si>
  <si>
    <t xml:space="preserve"> SERASIN </t>
  </si>
  <si>
    <t xml:space="preserve"> CARVALHO </t>
  </si>
  <si>
    <t xml:space="preserve"> BRAULT </t>
  </si>
  <si>
    <t xml:space="preserve"> BOUTHILLON </t>
  </si>
  <si>
    <t xml:space="preserve"> COMPTE </t>
  </si>
  <si>
    <t xml:space="preserve"> BOBIN </t>
  </si>
  <si>
    <t xml:space="preserve"> BLACHER </t>
  </si>
  <si>
    <t xml:space="preserve"> BLANDINIERE </t>
  </si>
  <si>
    <t xml:space="preserve"> TT CHATEAUNEUF LA MEDE </t>
  </si>
  <si>
    <t xml:space="preserve"> DEHAIS </t>
  </si>
  <si>
    <t xml:space="preserve"> Baptiste </t>
  </si>
  <si>
    <t xml:space="preserve"> ION </t>
  </si>
  <si>
    <t xml:space="preserve"> Alexandru </t>
  </si>
  <si>
    <t xml:space="preserve"> PRATALI </t>
  </si>
  <si>
    <t xml:space="preserve"> T.T. HYEROIS </t>
  </si>
  <si>
    <t xml:space="preserve"> LUCZYSZYN </t>
  </si>
  <si>
    <t xml:space="preserve"> BUZE </t>
  </si>
  <si>
    <t xml:space="preserve"> BRISSAUD </t>
  </si>
  <si>
    <t xml:space="preserve"> CONSEIL </t>
  </si>
  <si>
    <t xml:space="preserve"> ASTT PUISEUX DU GRAND ROI </t>
  </si>
  <si>
    <t xml:space="preserve"> FORTIER </t>
  </si>
  <si>
    <t xml:space="preserve"> MONTREUIL L'ARGILLE TENNI </t>
  </si>
  <si>
    <t xml:space="preserve"> LISSILLOUR </t>
  </si>
  <si>
    <t xml:space="preserve"> VANSIMAEYS </t>
  </si>
  <si>
    <t xml:space="preserve"> MITTERRAND </t>
  </si>
  <si>
    <t xml:space="preserve"> MILLAS TENNIS DE TABLE </t>
  </si>
  <si>
    <t xml:space="preserve"> REITZ </t>
  </si>
  <si>
    <t xml:space="preserve"> ORVAULT SPORT </t>
  </si>
  <si>
    <t xml:space="preserve"> HAMZAOUI </t>
  </si>
  <si>
    <t xml:space="preserve"> Hurcine </t>
  </si>
  <si>
    <t xml:space="preserve"> SOULAT </t>
  </si>
  <si>
    <t xml:space="preserve"> LANGER </t>
  </si>
  <si>
    <t xml:space="preserve"> IMAQUE </t>
  </si>
  <si>
    <t xml:space="preserve"> MOUILLEZ </t>
  </si>
  <si>
    <t xml:space="preserve"> MELCHERS </t>
  </si>
  <si>
    <t xml:space="preserve"> BERTHELIN </t>
  </si>
  <si>
    <t xml:space="preserve"> PELET </t>
  </si>
  <si>
    <t xml:space="preserve"> NOBLE </t>
  </si>
  <si>
    <t xml:space="preserve"> MOYENMOUTIER VRTT </t>
  </si>
  <si>
    <t xml:space="preserve"> MOUREN </t>
  </si>
  <si>
    <t xml:space="preserve"> BARTOLO </t>
  </si>
  <si>
    <t xml:space="preserve"> TURCAS </t>
  </si>
  <si>
    <t xml:space="preserve"> GOBIN </t>
  </si>
  <si>
    <t xml:space="preserve"> TARDELLA </t>
  </si>
  <si>
    <t xml:space="preserve"> DEROBERT </t>
  </si>
  <si>
    <t xml:space="preserve"> TRIOLIER </t>
  </si>
  <si>
    <t xml:space="preserve"> BABIN </t>
  </si>
  <si>
    <t xml:space="preserve"> CLERY ST ANDRE AAS </t>
  </si>
  <si>
    <t xml:space="preserve"> KERDOUCI </t>
  </si>
  <si>
    <t xml:space="preserve"> Faical </t>
  </si>
  <si>
    <t xml:space="preserve"> WERNER </t>
  </si>
  <si>
    <t xml:space="preserve"> Adrien </t>
  </si>
  <si>
    <t xml:space="preserve"> FOUQUET </t>
  </si>
  <si>
    <t xml:space="preserve"> FORET </t>
  </si>
  <si>
    <t xml:space="preserve"> HUGUENY </t>
  </si>
  <si>
    <t xml:space="preserve"> MAURUGEON </t>
  </si>
  <si>
    <t xml:space="preserve"> DELAVEAU </t>
  </si>
  <si>
    <t xml:space="preserve"> SAVIGNE L EVEQUE TT </t>
  </si>
  <si>
    <t xml:space="preserve"> CHEVILLON </t>
  </si>
  <si>
    <t xml:space="preserve"> Jean albert </t>
  </si>
  <si>
    <t xml:space="preserve"> PULIZZI </t>
  </si>
  <si>
    <t xml:space="preserve"> CTT VILLEFRANCHE CORNICHE </t>
  </si>
  <si>
    <t xml:space="preserve"> JOGGERST </t>
  </si>
  <si>
    <t xml:space="preserve"> FOUCHER </t>
  </si>
  <si>
    <t xml:space="preserve"> THOUARE TT </t>
  </si>
  <si>
    <t xml:space="preserve"> MOTARD </t>
  </si>
  <si>
    <t xml:space="preserve"> BAUDOUIN </t>
  </si>
  <si>
    <t xml:space="preserve"> ALIX </t>
  </si>
  <si>
    <t xml:space="preserve"> AS MARCY CHARBONNIERES </t>
  </si>
  <si>
    <t xml:space="preserve"> DESCHEPPER </t>
  </si>
  <si>
    <t xml:space="preserve"> SEVIGNON </t>
  </si>
  <si>
    <t xml:space="preserve"> BLONDEL </t>
  </si>
  <si>
    <t xml:space="preserve"> FRANQUIN </t>
  </si>
  <si>
    <t xml:space="preserve"> LABULLE </t>
  </si>
  <si>
    <t xml:space="preserve"> DOUAUD </t>
  </si>
  <si>
    <t xml:space="preserve"> LAMI </t>
  </si>
  <si>
    <t xml:space="preserve"> BEAUVAIS PONTS ET CHAUSSE </t>
  </si>
  <si>
    <t xml:space="preserve"> BLANLOEIL </t>
  </si>
  <si>
    <t xml:space="preserve"> MOUZILLON E.T.T. </t>
  </si>
  <si>
    <t xml:space="preserve"> GAGNERAUD </t>
  </si>
  <si>
    <t xml:space="preserve"> FACHE </t>
  </si>
  <si>
    <t xml:space="preserve"> GEMMERON </t>
  </si>
  <si>
    <t xml:space="preserve"> Neuville FJEPS </t>
  </si>
  <si>
    <t xml:space="preserve"> GOUYON </t>
  </si>
  <si>
    <t xml:space="preserve"> EGGENSCHWILER </t>
  </si>
  <si>
    <t xml:space="preserve"> POUILLAUDE </t>
  </si>
  <si>
    <t xml:space="preserve"> BRANDON </t>
  </si>
  <si>
    <t xml:space="preserve"> PRAT </t>
  </si>
  <si>
    <t xml:space="preserve"> RUSSOLO </t>
  </si>
  <si>
    <t xml:space="preserve"> SAINT JULIEN LES METZ TT </t>
  </si>
  <si>
    <t xml:space="preserve"> LEVAL SUR SAMBRE US </t>
  </si>
  <si>
    <t xml:space="preserve"> LEMPENS </t>
  </si>
  <si>
    <t xml:space="preserve"> THOMMEREL </t>
  </si>
  <si>
    <t xml:space="preserve"> PONT L EVEQUE US </t>
  </si>
  <si>
    <t xml:space="preserve"> HUEL </t>
  </si>
  <si>
    <t xml:space="preserve"> ETRECHY ASETT </t>
  </si>
  <si>
    <t xml:space="preserve"> ALLIAUME </t>
  </si>
  <si>
    <t xml:space="preserve"> VAPILLON </t>
  </si>
  <si>
    <t xml:space="preserve"> GERVAISIENNE CSM </t>
  </si>
  <si>
    <t xml:space="preserve"> TRONCIN </t>
  </si>
  <si>
    <t xml:space="preserve"> TRENEL </t>
  </si>
  <si>
    <t xml:space="preserve"> GINGAST </t>
  </si>
  <si>
    <t xml:space="preserve"> Gael </t>
  </si>
  <si>
    <t xml:space="preserve"> GASIOROWSKI </t>
  </si>
  <si>
    <t xml:space="preserve"> Zbignew </t>
  </si>
  <si>
    <t xml:space="preserve"> BRARD </t>
  </si>
  <si>
    <t xml:space="preserve"> LE GALL </t>
  </si>
  <si>
    <t xml:space="preserve"> SCAER/CORAY TT </t>
  </si>
  <si>
    <t xml:space="preserve"> GOLAB </t>
  </si>
  <si>
    <t xml:space="preserve"> TESTE </t>
  </si>
  <si>
    <t xml:space="preserve"> MARVEJOLS TT </t>
  </si>
  <si>
    <t xml:space="preserve"> AUCLAIR </t>
  </si>
  <si>
    <t xml:space="preserve"> MAURER </t>
  </si>
  <si>
    <t xml:space="preserve"> BIANCO </t>
  </si>
  <si>
    <t xml:space="preserve"> Franky </t>
  </si>
  <si>
    <t xml:space="preserve"> CAPILLON </t>
  </si>
  <si>
    <t xml:space="preserve"> Arnold </t>
  </si>
  <si>
    <t xml:space="preserve"> CASPAR </t>
  </si>
  <si>
    <t xml:space="preserve"> RESSEGUIER </t>
  </si>
  <si>
    <t xml:space="preserve"> ST FELIX DE LODEZ FR TT </t>
  </si>
  <si>
    <t xml:space="preserve"> TT BIRON-ORTHEZ </t>
  </si>
  <si>
    <t xml:space="preserve"> LANOE </t>
  </si>
  <si>
    <t xml:space="preserve"> CHATEAU DU LOIR ASCC </t>
  </si>
  <si>
    <t xml:space="preserve"> COUILLEZ </t>
  </si>
  <si>
    <t xml:space="preserve"> FOELS </t>
  </si>
  <si>
    <t xml:space="preserve"> JUMEAUX </t>
  </si>
  <si>
    <t xml:space="preserve"> MAITROT </t>
  </si>
  <si>
    <t xml:space="preserve"> THOREL </t>
  </si>
  <si>
    <t xml:space="preserve"> DENYS </t>
  </si>
  <si>
    <t xml:space="preserve"> MAGISSON </t>
  </si>
  <si>
    <t xml:space="preserve"> KAUFFMANN </t>
  </si>
  <si>
    <t xml:space="preserve"> GUILLE </t>
  </si>
  <si>
    <t xml:space="preserve"> ST NAZAIRE LEON BLUM TT </t>
  </si>
  <si>
    <t xml:space="preserve"> TOURBIER </t>
  </si>
  <si>
    <t xml:space="preserve"> BEDNARSKI </t>
  </si>
  <si>
    <t xml:space="preserve"> DIVION ASTT </t>
  </si>
  <si>
    <t xml:space="preserve"> ENTENTE ANDELOT SIROD </t>
  </si>
  <si>
    <t xml:space="preserve"> CHAMPAIN </t>
  </si>
  <si>
    <t xml:space="preserve"> JARSALE </t>
  </si>
  <si>
    <t xml:space="preserve"> FORMONT </t>
  </si>
  <si>
    <t xml:space="preserve"> REYNAUD </t>
  </si>
  <si>
    <t xml:space="preserve"> Jean-robert </t>
  </si>
  <si>
    <t xml:space="preserve"> NIEUL TENNIS DE TABLE </t>
  </si>
  <si>
    <t xml:space="preserve"> LABARRE </t>
  </si>
  <si>
    <t xml:space="preserve"> FAVRE </t>
  </si>
  <si>
    <t xml:space="preserve"> BOUTLELIS </t>
  </si>
  <si>
    <t xml:space="preserve"> Sammy </t>
  </si>
  <si>
    <t xml:space="preserve"> VAUDON </t>
  </si>
  <si>
    <t xml:space="preserve"> Erwan </t>
  </si>
  <si>
    <t xml:space="preserve"> LAHOUEL </t>
  </si>
  <si>
    <t xml:space="preserve"> MERENNE </t>
  </si>
  <si>
    <t xml:space="preserve"> BEAUDET </t>
  </si>
  <si>
    <t xml:space="preserve"> ANDREONE </t>
  </si>
  <si>
    <t xml:space="preserve"> BONZOM </t>
  </si>
  <si>
    <t xml:space="preserve"> VIEVILLE </t>
  </si>
  <si>
    <t xml:space="preserve"> BUIRE CTT </t>
  </si>
  <si>
    <t xml:space="preserve"> LETENDART </t>
  </si>
  <si>
    <t xml:space="preserve"> OCCHILUPO </t>
  </si>
  <si>
    <t xml:space="preserve"> ESPERANCE LEDONIENNE </t>
  </si>
  <si>
    <t xml:space="preserve"> LASSAUX </t>
  </si>
  <si>
    <t xml:space="preserve"> CHAUVIN </t>
  </si>
  <si>
    <t xml:space="preserve"> GAYRARD </t>
  </si>
  <si>
    <t xml:space="preserve"> PING CLUB D'OLEMPS </t>
  </si>
  <si>
    <t xml:space="preserve"> PAILLAT </t>
  </si>
  <si>
    <t xml:space="preserve"> ST AUBIN-ST MARTIN-GAUBR. </t>
  </si>
  <si>
    <t xml:space="preserve"> LEBERT </t>
  </si>
  <si>
    <t xml:space="preserve"> POLVERINI </t>
  </si>
  <si>
    <t xml:space="preserve"> A S SAINT RAPHAEL </t>
  </si>
  <si>
    <t xml:space="preserve"> CHAMBERY TENNIS DE TABLE </t>
  </si>
  <si>
    <t xml:space="preserve"> BOUCHOUCHA </t>
  </si>
  <si>
    <t xml:space="preserve"> Medhi </t>
  </si>
  <si>
    <t xml:space="preserve"> MJC GRUISSAN TENNIS DE TA </t>
  </si>
  <si>
    <t xml:space="preserve"> NECIOLLI </t>
  </si>
  <si>
    <t xml:space="preserve"> QUENTIN </t>
  </si>
  <si>
    <t xml:space="preserve"> OLTRA </t>
  </si>
  <si>
    <t xml:space="preserve"> TEPHANY </t>
  </si>
  <si>
    <t xml:space="preserve"> TT FRONTON </t>
  </si>
  <si>
    <t xml:space="preserve"> BOTELLA </t>
  </si>
  <si>
    <t xml:space="preserve"> Milosav </t>
  </si>
  <si>
    <t xml:space="preserve"> JARDIN </t>
  </si>
  <si>
    <t xml:space="preserve"> SALMON </t>
  </si>
  <si>
    <t xml:space="preserve"> FRABOULET </t>
  </si>
  <si>
    <t xml:space="preserve"> MONTEBOURG SAEL </t>
  </si>
  <si>
    <t xml:space="preserve"> LOZAC'H </t>
  </si>
  <si>
    <t xml:space="preserve"> BIRABENT </t>
  </si>
  <si>
    <t xml:space="preserve"> URBAN </t>
  </si>
  <si>
    <t xml:space="preserve"> Wilfried </t>
  </si>
  <si>
    <t xml:space="preserve"> LAM </t>
  </si>
  <si>
    <t xml:space="preserve"> Chai </t>
  </si>
  <si>
    <t xml:space="preserve"> SOUDANT </t>
  </si>
  <si>
    <t xml:space="preserve"> Mikaël </t>
  </si>
  <si>
    <t xml:space="preserve"> HERIMENIL T.T. </t>
  </si>
  <si>
    <t xml:space="preserve"> NUGUE </t>
  </si>
  <si>
    <t xml:space="preserve"> LEVINE </t>
  </si>
  <si>
    <t xml:space="preserve"> Jonathan </t>
  </si>
  <si>
    <t xml:space="preserve"> ROURISSOL </t>
  </si>
  <si>
    <t xml:space="preserve"> LE TEIL OASIS TENNIS DE T </t>
  </si>
  <si>
    <t xml:space="preserve"> CUZIN </t>
  </si>
  <si>
    <t xml:space="preserve"> ROSNY CSM </t>
  </si>
  <si>
    <t xml:space="preserve"> LEMAN </t>
  </si>
  <si>
    <t xml:space="preserve"> BELVA </t>
  </si>
  <si>
    <t xml:space="preserve"> BEAUDRON </t>
  </si>
  <si>
    <t xml:space="preserve"> BETOURNE </t>
  </si>
  <si>
    <t xml:space="preserve"> GAUTREAU </t>
  </si>
  <si>
    <t xml:space="preserve"> ST JUST EN CHAUSSEE ACLES </t>
  </si>
  <si>
    <t xml:space="preserve"> MONT SAINT AIGNAN TT </t>
  </si>
  <si>
    <t xml:space="preserve"> CHANUT </t>
  </si>
  <si>
    <t xml:space="preserve"> LE GUILLAN </t>
  </si>
  <si>
    <t xml:space="preserve"> Yvonnick </t>
  </si>
  <si>
    <t xml:space="preserve"> POINSOT </t>
  </si>
  <si>
    <t xml:space="preserve"> VILLEBON/YVETTE AS </t>
  </si>
  <si>
    <t xml:space="preserve"> FAY USL </t>
  </si>
  <si>
    <t xml:space="preserve"> GENIPA </t>
  </si>
  <si>
    <t xml:space="preserve"> YESSILI </t>
  </si>
  <si>
    <t xml:space="preserve"> Kader </t>
  </si>
  <si>
    <t xml:space="preserve"> THANN TENNIS DE TABLE CLU </t>
  </si>
  <si>
    <t xml:space="preserve"> DE RIDDER </t>
  </si>
  <si>
    <t xml:space="preserve"> DARRAS </t>
  </si>
  <si>
    <t xml:space="preserve"> CARTON </t>
  </si>
  <si>
    <t xml:space="preserve"> GRANDE-SYNTHE O TT </t>
  </si>
  <si>
    <t xml:space="preserve"> DESGRANGES </t>
  </si>
  <si>
    <t xml:space="preserve"> BOULET </t>
  </si>
  <si>
    <t xml:space="preserve"> RAFFAULT </t>
  </si>
  <si>
    <t xml:space="preserve"> GIRAUDINEAU </t>
  </si>
  <si>
    <t xml:space="preserve"> LAMER </t>
  </si>
  <si>
    <t xml:space="preserve"> THUONG </t>
  </si>
  <si>
    <t xml:space="preserve"> Conghoang </t>
  </si>
  <si>
    <t xml:space="preserve"> BUNOT </t>
  </si>
  <si>
    <t xml:space="preserve"> HACHET </t>
  </si>
  <si>
    <t xml:space="preserve"> DERENONCOURT </t>
  </si>
  <si>
    <t xml:space="preserve"> AVERTY </t>
  </si>
  <si>
    <t xml:space="preserve"> BADAUT </t>
  </si>
  <si>
    <t xml:space="preserve"> LOEUILLET </t>
  </si>
  <si>
    <t xml:space="preserve"> PHUNG </t>
  </si>
  <si>
    <t xml:space="preserve"> Van phuc </t>
  </si>
  <si>
    <t xml:space="preserve"> CHRISTAL </t>
  </si>
  <si>
    <t xml:space="preserve"> CHARMES-VINCEY T.T. </t>
  </si>
  <si>
    <t xml:space="preserve"> ISMAEL </t>
  </si>
  <si>
    <t xml:space="preserve"> RICHY </t>
  </si>
  <si>
    <t xml:space="preserve"> CURE </t>
  </si>
  <si>
    <t xml:space="preserve"> SEMUR MONTBARD TENNIS DE </t>
  </si>
  <si>
    <t xml:space="preserve"> COUDERC </t>
  </si>
  <si>
    <t xml:space="preserve"> MISSIAEN </t>
  </si>
  <si>
    <t xml:space="preserve"> MAISONNAVE </t>
  </si>
  <si>
    <t xml:space="preserve"> PSALTOPOULOS </t>
  </si>
  <si>
    <t xml:space="preserve"> BRICHETEAU </t>
  </si>
  <si>
    <t xml:space="preserve"> LONGUENEE ATTL </t>
  </si>
  <si>
    <t xml:space="preserve"> BUSSON </t>
  </si>
  <si>
    <t xml:space="preserve"> TOUTAIN </t>
  </si>
  <si>
    <t xml:space="preserve"> William </t>
  </si>
  <si>
    <t xml:space="preserve"> BORDEAUX CENTRE LFTT </t>
  </si>
  <si>
    <t xml:space="preserve"> MAUGAIN </t>
  </si>
  <si>
    <t xml:space="preserve"> ST ETIENNE TENNIS DE TABL </t>
  </si>
  <si>
    <t xml:space="preserve"> BAUMSTUMMLER </t>
  </si>
  <si>
    <t xml:space="preserve"> CREUTZWALD E.P. </t>
  </si>
  <si>
    <t xml:space="preserve"> ALLAUX </t>
  </si>
  <si>
    <t xml:space="preserve"> BILLAUDAZ </t>
  </si>
  <si>
    <t xml:space="preserve"> FOULLETOURTE T.T. </t>
  </si>
  <si>
    <t xml:space="preserve"> BONTEMPS </t>
  </si>
  <si>
    <t xml:space="preserve"> KERAIN </t>
  </si>
  <si>
    <t xml:space="preserve"> TERRE </t>
  </si>
  <si>
    <t xml:space="preserve"> AIMARD </t>
  </si>
  <si>
    <t xml:space="preserve"> ST SYLVAIN D ANJOU ASTT </t>
  </si>
  <si>
    <t xml:space="preserve"> SCOTTO DI PERTA </t>
  </si>
  <si>
    <t xml:space="preserve"> BEE </t>
  </si>
  <si>
    <t xml:space="preserve"> PAILLARD </t>
  </si>
  <si>
    <t xml:space="preserve"> HANNEFSTINGELS </t>
  </si>
  <si>
    <t xml:space="preserve"> GERARDIN </t>
  </si>
  <si>
    <t xml:space="preserve"> Jean pascal </t>
  </si>
  <si>
    <t xml:space="preserve"> BARGUIL </t>
  </si>
  <si>
    <t xml:space="preserve"> LANDRI </t>
  </si>
  <si>
    <t xml:space="preserve"> ROEDIGER </t>
  </si>
  <si>
    <t xml:space="preserve"> TT BOURBON </t>
  </si>
  <si>
    <t xml:space="preserve"> KERNEIS </t>
  </si>
  <si>
    <t xml:space="preserve"> Gwenaël </t>
  </si>
  <si>
    <t xml:space="preserve"> AIGREFEUILLAIS C.P. </t>
  </si>
  <si>
    <t xml:space="preserve"> LE LOSTEC </t>
  </si>
  <si>
    <t xml:space="preserve"> DESLOGES </t>
  </si>
  <si>
    <t xml:space="preserve"> ANGERS ST LEONARD </t>
  </si>
  <si>
    <t xml:space="preserve"> AMIAUD </t>
  </si>
  <si>
    <t xml:space="preserve"> LE COSSEC </t>
  </si>
  <si>
    <t xml:space="preserve"> AL PLONEOUR-LANVERN </t>
  </si>
  <si>
    <t xml:space="preserve"> HEHN </t>
  </si>
  <si>
    <t xml:space="preserve"> SOUKHAREVSKOFF </t>
  </si>
  <si>
    <t xml:space="preserve"> RIHET </t>
  </si>
  <si>
    <t xml:space="preserve"> ENTEN SPORT ARTHON CHEMER </t>
  </si>
  <si>
    <t xml:space="preserve"> VANAMANDEL </t>
  </si>
  <si>
    <t xml:space="preserve"> HIN </t>
  </si>
  <si>
    <t xml:space="preserve"> Samedy </t>
  </si>
  <si>
    <t xml:space="preserve"> SA </t>
  </si>
  <si>
    <t xml:space="preserve"> Victor </t>
  </si>
  <si>
    <t xml:space="preserve"> PINAULT </t>
  </si>
  <si>
    <t xml:space="preserve"> USC.ST-SULPICE </t>
  </si>
  <si>
    <t xml:space="preserve"> EPIS </t>
  </si>
  <si>
    <t xml:space="preserve"> AS CALUIRE ET CUIRE </t>
  </si>
  <si>
    <t xml:space="preserve"> DUSSOURD </t>
  </si>
  <si>
    <t xml:space="preserve"> CAUX </t>
  </si>
  <si>
    <t xml:space="preserve"> Marcellin </t>
  </si>
  <si>
    <t xml:space="preserve"> GIRAULT </t>
  </si>
  <si>
    <t xml:space="preserve"> FREUCHET </t>
  </si>
  <si>
    <t xml:space="preserve"> SORINIERES (LES) </t>
  </si>
  <si>
    <t xml:space="preserve"> ROCTON </t>
  </si>
  <si>
    <t xml:space="preserve"> ENTENTE GISORSIENNE T.T </t>
  </si>
  <si>
    <t xml:space="preserve"> GRIFFAULT </t>
  </si>
  <si>
    <t xml:space="preserve"> St Maixent SASM TT </t>
  </si>
  <si>
    <t xml:space="preserve"> SAMMIEZ </t>
  </si>
  <si>
    <t xml:space="preserve"> BREUILS </t>
  </si>
  <si>
    <t xml:space="preserve"> LABARBE </t>
  </si>
  <si>
    <t xml:space="preserve"> SENLIS TT </t>
  </si>
  <si>
    <t xml:space="preserve"> AS BANQUE DE FRANCE </t>
  </si>
  <si>
    <t xml:space="preserve"> PLOQUIN </t>
  </si>
  <si>
    <t xml:space="preserve"> LESCOUT </t>
  </si>
  <si>
    <t xml:space="preserve"> MEURET </t>
  </si>
  <si>
    <t xml:space="preserve"> DOMPAIRE USTT </t>
  </si>
  <si>
    <t xml:space="preserve"> TONNEL </t>
  </si>
  <si>
    <t xml:space="preserve"> Freddy </t>
  </si>
  <si>
    <t xml:space="preserve"> JANVILLE-LARDY ASL </t>
  </si>
  <si>
    <t xml:space="preserve"> SCHNELL </t>
  </si>
  <si>
    <t xml:space="preserve"> NOIRJEAN </t>
  </si>
  <si>
    <t xml:space="preserve"> CLUB TT AUDENGEOIS </t>
  </si>
  <si>
    <t xml:space="preserve"> VIVAISE ASC TT </t>
  </si>
  <si>
    <t xml:space="preserve"> SCHMIDT </t>
  </si>
  <si>
    <t xml:space="preserve"> PEAN </t>
  </si>
  <si>
    <t xml:space="preserve"> AVANT-GARDE-DEAUVILLAISE </t>
  </si>
  <si>
    <t xml:space="preserve"> LELOIRE </t>
  </si>
  <si>
    <t xml:space="preserve"> FOUCOURT </t>
  </si>
  <si>
    <t xml:space="preserve"> BEMKA </t>
  </si>
  <si>
    <t xml:space="preserve"> BRUAY SUR ESCAUT PPC </t>
  </si>
  <si>
    <t xml:space="preserve"> BARDET </t>
  </si>
  <si>
    <t xml:space="preserve"> OTTO </t>
  </si>
  <si>
    <t xml:space="preserve"> VIENGCHAREUN </t>
  </si>
  <si>
    <t xml:space="preserve"> Somsack </t>
  </si>
  <si>
    <t xml:space="preserve"> BARGUIRDJIAN </t>
  </si>
  <si>
    <t xml:space="preserve"> ENTENTE DINAN TT </t>
  </si>
  <si>
    <t xml:space="preserve"> GOUIRAND </t>
  </si>
  <si>
    <t xml:space="preserve"> BRULEY </t>
  </si>
  <si>
    <t xml:space="preserve"> LE HENAFF </t>
  </si>
  <si>
    <t xml:space="preserve"> PLOMEUR TT </t>
  </si>
  <si>
    <t xml:space="preserve"> LARGILLIERE </t>
  </si>
  <si>
    <t xml:space="preserve"> GODARD </t>
  </si>
  <si>
    <t xml:space="preserve"> DEOM </t>
  </si>
  <si>
    <t xml:space="preserve"> RAVEL-CHAPUIS </t>
  </si>
  <si>
    <t xml:space="preserve"> ASL CHATENOY </t>
  </si>
  <si>
    <t xml:space="preserve"> BENSAADA </t>
  </si>
  <si>
    <t xml:space="preserve"> Achour </t>
  </si>
  <si>
    <t xml:space="preserve"> LES ULIS CO </t>
  </si>
  <si>
    <t xml:space="preserve"> DELUMEAU </t>
  </si>
  <si>
    <t xml:space="preserve"> LE PALAIS-SUR-VIENNE ESP. </t>
  </si>
  <si>
    <t xml:space="preserve"> LECONTE </t>
  </si>
  <si>
    <t xml:space="preserve"> HOEZ </t>
  </si>
  <si>
    <t xml:space="preserve"> LANDRECIES TTC </t>
  </si>
  <si>
    <t xml:space="preserve"> JACQUENOD </t>
  </si>
  <si>
    <t xml:space="preserve"> FEVRE </t>
  </si>
  <si>
    <t xml:space="preserve"> DE JAHAM </t>
  </si>
  <si>
    <t xml:space="preserve"> MAUPOINT </t>
  </si>
  <si>
    <t xml:space="preserve"> PARIGNE L'EVEQUE TTC </t>
  </si>
  <si>
    <t xml:space="preserve"> WILHELM </t>
  </si>
  <si>
    <t xml:space="preserve"> Tayeb </t>
  </si>
  <si>
    <t xml:space="preserve"> BULTEAU </t>
  </si>
  <si>
    <t xml:space="preserve"> SAVARIEAU </t>
  </si>
  <si>
    <t xml:space="preserve"> CHANTEAU USM TT </t>
  </si>
  <si>
    <t xml:space="preserve"> GUIOULLIER </t>
  </si>
  <si>
    <t xml:space="preserve"> POMMERIEUX Éclair Sports </t>
  </si>
  <si>
    <t xml:space="preserve"> GROSDOIGT </t>
  </si>
  <si>
    <t xml:space="preserve"> MAMERS CS </t>
  </si>
  <si>
    <t xml:space="preserve"> TARDY </t>
  </si>
  <si>
    <t xml:space="preserve"> OLLIER </t>
  </si>
  <si>
    <t xml:space="preserve"> Salomon </t>
  </si>
  <si>
    <t xml:space="preserve"> JAMROZINSKI </t>
  </si>
  <si>
    <t xml:space="preserve"> MEYER </t>
  </si>
  <si>
    <t xml:space="preserve"> LANDREAU </t>
  </si>
  <si>
    <t xml:space="preserve"> US MONTANAY PONGISTE </t>
  </si>
  <si>
    <t xml:space="preserve"> FRERY </t>
  </si>
  <si>
    <t xml:space="preserve"> FERRAT </t>
  </si>
  <si>
    <t xml:space="preserve"> MARBOTTE </t>
  </si>
  <si>
    <t xml:space="preserve"> JEAN </t>
  </si>
  <si>
    <t xml:space="preserve"> TEINTURIER </t>
  </si>
  <si>
    <t xml:space="preserve"> R.C. BALLAN </t>
  </si>
  <si>
    <t xml:space="preserve"> CHANCEREL </t>
  </si>
  <si>
    <t xml:space="preserve"> LEGEROT </t>
  </si>
  <si>
    <t xml:space="preserve"> FERRAND </t>
  </si>
  <si>
    <t xml:space="preserve"> LECARON </t>
  </si>
  <si>
    <t xml:space="preserve"> MANGALA </t>
  </si>
  <si>
    <t xml:space="preserve"> Saignalath </t>
  </si>
  <si>
    <t xml:space="preserve"> MILLOT </t>
  </si>
  <si>
    <t xml:space="preserve"> SERIFONTAINE TT </t>
  </si>
  <si>
    <t xml:space="preserve"> AMOURS </t>
  </si>
  <si>
    <t xml:space="preserve"> SAFRAN NACELLES NORMANDIE </t>
  </si>
  <si>
    <t xml:space="preserve"> CAVAILLE </t>
  </si>
  <si>
    <t xml:space="preserve"> WALLARD </t>
  </si>
  <si>
    <t xml:space="preserve"> LE COUSTUMIER </t>
  </si>
  <si>
    <t xml:space="preserve"> T. T. DU PAYS DE LOCMINE </t>
  </si>
  <si>
    <t xml:space="preserve"> DELAUTRE </t>
  </si>
  <si>
    <t xml:space="preserve"> HOYMILLE TT </t>
  </si>
  <si>
    <t xml:space="preserve"> LOUVIGNY ASL </t>
  </si>
  <si>
    <t xml:space="preserve"> HODE </t>
  </si>
  <si>
    <t xml:space="preserve"> HERIC T.T. </t>
  </si>
  <si>
    <t xml:space="preserve"> LAPOULE </t>
  </si>
  <si>
    <t xml:space="preserve"> AS ENT SP ET LOISIRS GEVR </t>
  </si>
  <si>
    <t xml:space="preserve"> MANGIN </t>
  </si>
  <si>
    <t xml:space="preserve"> DIALLO </t>
  </si>
  <si>
    <t xml:space="preserve"> PELLINGHELLI </t>
  </si>
  <si>
    <t xml:space="preserve"> TRINITE SPORTS TENNIS DE </t>
  </si>
  <si>
    <t xml:space="preserve"> QUILLET </t>
  </si>
  <si>
    <t xml:space="preserve"> PARMENTIER </t>
  </si>
  <si>
    <t xml:space="preserve"> TOUL ECROUVES ASCTT </t>
  </si>
  <si>
    <t xml:space="preserve"> METAYER </t>
  </si>
  <si>
    <t xml:space="preserve"> THAI </t>
  </si>
  <si>
    <t xml:space="preserve"> A S VIETNAM </t>
  </si>
  <si>
    <t xml:space="preserve"> BARLET </t>
  </si>
  <si>
    <t xml:space="preserve"> DESMEDT </t>
  </si>
  <si>
    <t xml:space="preserve"> Siegfried </t>
  </si>
  <si>
    <t xml:space="preserve"> FJ FAUVILLE </t>
  </si>
  <si>
    <t xml:space="preserve"> DHENIN </t>
  </si>
  <si>
    <t xml:space="preserve"> DAL </t>
  </si>
  <si>
    <t xml:space="preserve"> SLD.FUSSY </t>
  </si>
  <si>
    <t xml:space="preserve"> QUENEHEN </t>
  </si>
  <si>
    <t xml:space="preserve"> BOCQUET </t>
  </si>
  <si>
    <t xml:space="preserve"> U S BOIS LE ROI </t>
  </si>
  <si>
    <t xml:space="preserve"> QUATREMER </t>
  </si>
  <si>
    <t xml:space="preserve"> ROUGE </t>
  </si>
  <si>
    <t xml:space="preserve"> REIS </t>
  </si>
  <si>
    <t xml:space="preserve"> BRETIN </t>
  </si>
  <si>
    <t xml:space="preserve"> SEGNERE-YTER </t>
  </si>
  <si>
    <t xml:space="preserve"> CEZAR </t>
  </si>
  <si>
    <t xml:space="preserve"> SANARY TT ASSOCIATION </t>
  </si>
  <si>
    <t xml:space="preserve"> LEQUERE </t>
  </si>
  <si>
    <t xml:space="preserve"> CORMIER </t>
  </si>
  <si>
    <t xml:space="preserve"> OUIN </t>
  </si>
  <si>
    <t xml:space="preserve"> LECOUP </t>
  </si>
  <si>
    <t xml:space="preserve"> MONTS D'OR TENNIS DE TABL </t>
  </si>
  <si>
    <t xml:space="preserve"> SARS POTERIES/BEUGNIES PP </t>
  </si>
  <si>
    <t xml:space="preserve"> GOURIOU </t>
  </si>
  <si>
    <t xml:space="preserve"> LAMIGE </t>
  </si>
  <si>
    <t xml:space="preserve"> CLOSSE </t>
  </si>
  <si>
    <t xml:space="preserve"> COUSSEMENT </t>
  </si>
  <si>
    <t xml:space="preserve"> CAMEDDA </t>
  </si>
  <si>
    <t xml:space="preserve"> LONGLAVILLE TT </t>
  </si>
  <si>
    <t xml:space="preserve"> LOMBARD </t>
  </si>
  <si>
    <t xml:space="preserve"> LE BORGNE </t>
  </si>
  <si>
    <t xml:space="preserve"> KLOCK </t>
  </si>
  <si>
    <t xml:space="preserve"> Roger </t>
  </si>
  <si>
    <t xml:space="preserve"> TT DES ABERS </t>
  </si>
  <si>
    <t xml:space="preserve"> BULTEL </t>
  </si>
  <si>
    <t xml:space="preserve"> STEGIANI </t>
  </si>
  <si>
    <t xml:space="preserve"> MADEJ </t>
  </si>
  <si>
    <t xml:space="preserve"> MAILLE </t>
  </si>
  <si>
    <t xml:space="preserve"> ROUSSELIN </t>
  </si>
  <si>
    <t xml:space="preserve"> BOISSON </t>
  </si>
  <si>
    <t xml:space="preserve"> TREIZE SEPTIERS SM </t>
  </si>
  <si>
    <t xml:space="preserve"> NOE </t>
  </si>
  <si>
    <t xml:space="preserve"> MONFORT </t>
  </si>
  <si>
    <t xml:space="preserve"> ORGEVAL TT </t>
  </si>
  <si>
    <t xml:space="preserve"> NAUDIN </t>
  </si>
  <si>
    <t xml:space="preserve"> BROSSARD </t>
  </si>
  <si>
    <t xml:space="preserve"> Lilian </t>
  </si>
  <si>
    <t xml:space="preserve"> P.P.C. ORLEAT </t>
  </si>
  <si>
    <t xml:space="preserve"> RIVIERE </t>
  </si>
  <si>
    <t xml:space="preserve"> LATOUCHEL </t>
  </si>
  <si>
    <t xml:space="preserve"> C.O.SAINCAIZE-MEAUCE </t>
  </si>
  <si>
    <t xml:space="preserve"> ARNOULT </t>
  </si>
  <si>
    <t xml:space="preserve"> BRECEENNE RAQUETTE </t>
  </si>
  <si>
    <t xml:space="preserve"> JOUVELLIER </t>
  </si>
  <si>
    <t xml:space="preserve"> ONFRAY </t>
  </si>
  <si>
    <t xml:space="preserve"> PITON </t>
  </si>
  <si>
    <t xml:space="preserve"> A.S.T.T. ESVRES </t>
  </si>
  <si>
    <t xml:space="preserve"> BOISSERON </t>
  </si>
  <si>
    <t xml:space="preserve"> CHEKROUN </t>
  </si>
  <si>
    <t xml:space="preserve"> PLESSIS </t>
  </si>
  <si>
    <t xml:space="preserve"> BOIZARD </t>
  </si>
  <si>
    <t xml:space="preserve"> MESLAY DU MAINE Tennis de </t>
  </si>
  <si>
    <t xml:space="preserve"> BABEL </t>
  </si>
  <si>
    <t xml:space="preserve"> LIGONNIERE </t>
  </si>
  <si>
    <t xml:space="preserve"> ASTT Dangé / Les Ormes </t>
  </si>
  <si>
    <t xml:space="preserve"> LE CLEZIO </t>
  </si>
  <si>
    <t xml:space="preserve"> ROHARD </t>
  </si>
  <si>
    <t xml:space="preserve"> Giani </t>
  </si>
  <si>
    <t xml:space="preserve"> SANCIER </t>
  </si>
  <si>
    <t xml:space="preserve"> CAVANNA </t>
  </si>
  <si>
    <t xml:space="preserve"> CLUSAZ </t>
  </si>
  <si>
    <t xml:space="preserve"> VERHAEGEN </t>
  </si>
  <si>
    <t xml:space="preserve"> VOREUX </t>
  </si>
  <si>
    <t xml:space="preserve"> DELAFOSSE </t>
  </si>
  <si>
    <t xml:space="preserve"> VIMOUTIERS MJC </t>
  </si>
  <si>
    <t xml:space="preserve"> FINOT </t>
  </si>
  <si>
    <t xml:space="preserve"> PATOUT </t>
  </si>
  <si>
    <t xml:space="preserve"> GUYOTTE </t>
  </si>
  <si>
    <t xml:space="preserve"> BATTISTONI </t>
  </si>
  <si>
    <t xml:space="preserve"> SUBERROQUE </t>
  </si>
  <si>
    <t xml:space="preserve"> RAMANGASALAMA </t>
  </si>
  <si>
    <t xml:space="preserve"> Lalatiana </t>
  </si>
  <si>
    <t xml:space="preserve"> MALIN </t>
  </si>
  <si>
    <t xml:space="preserve"> LOIRON RUILLÉ CATT </t>
  </si>
  <si>
    <t xml:space="preserve"> COURTAT </t>
  </si>
  <si>
    <t xml:space="preserve"> Arnault </t>
  </si>
  <si>
    <t xml:space="preserve"> MESANGER T.T. </t>
  </si>
  <si>
    <t xml:space="preserve"> CHARLET </t>
  </si>
  <si>
    <t xml:space="preserve"> OLLIE </t>
  </si>
  <si>
    <t xml:space="preserve"> ESPACE ASSOCIATIF </t>
  </si>
  <si>
    <t xml:space="preserve"> MICHON </t>
  </si>
  <si>
    <t xml:space="preserve"> PARADIS </t>
  </si>
  <si>
    <t xml:space="preserve"> TTB BESSANCOURT </t>
  </si>
  <si>
    <t xml:space="preserve"> LECOINTRE </t>
  </si>
  <si>
    <t xml:space="preserve"> DEFLERS </t>
  </si>
  <si>
    <t xml:space="preserve"> KRALIK </t>
  </si>
  <si>
    <t xml:space="preserve"> Stephan </t>
  </si>
  <si>
    <t xml:space="preserve"> MANCIER </t>
  </si>
  <si>
    <t xml:space="preserve"> Vallée d'Avre Tennis de T </t>
  </si>
  <si>
    <t xml:space="preserve"> CANTIN </t>
  </si>
  <si>
    <t xml:space="preserve"> BIBERFELD </t>
  </si>
  <si>
    <t xml:space="preserve"> US RAMONVILLE TT </t>
  </si>
  <si>
    <t xml:space="preserve"> SAUVION </t>
  </si>
  <si>
    <t xml:space="preserve"> VENDREDAIN </t>
  </si>
  <si>
    <t xml:space="preserve"> CROCHET </t>
  </si>
  <si>
    <t xml:space="preserve"> VOULMINOT </t>
  </si>
  <si>
    <t xml:space="preserve"> BRIE </t>
  </si>
  <si>
    <t xml:space="preserve"> AL GRAY </t>
  </si>
  <si>
    <t xml:space="preserve"> SAUZET </t>
  </si>
  <si>
    <t xml:space="preserve"> BENARD </t>
  </si>
  <si>
    <t xml:space="preserve"> LES PIEUX AAGIR </t>
  </si>
  <si>
    <t xml:space="preserve"> KRZEMKOWSKI </t>
  </si>
  <si>
    <t xml:space="preserve"> FRUMERY </t>
  </si>
  <si>
    <t xml:space="preserve"> COAT </t>
  </si>
  <si>
    <t xml:space="preserve"> WAUTHIER </t>
  </si>
  <si>
    <t xml:space="preserve"> BLANLUET </t>
  </si>
  <si>
    <t xml:space="preserve"> IAPICHELLA </t>
  </si>
  <si>
    <t xml:space="preserve"> PICHOT </t>
  </si>
  <si>
    <t xml:space="preserve"> CATTIER </t>
  </si>
  <si>
    <t xml:space="preserve"> DOCQUIER </t>
  </si>
  <si>
    <t xml:space="preserve"> ZAPP </t>
  </si>
  <si>
    <t xml:space="preserve"> CAUDRELIER </t>
  </si>
  <si>
    <t xml:space="preserve"> INDEY </t>
  </si>
  <si>
    <t xml:space="preserve"> PIRES </t>
  </si>
  <si>
    <t xml:space="preserve"> WATTRELOT </t>
  </si>
  <si>
    <t xml:space="preserve"> ODENBACH </t>
  </si>
  <si>
    <t xml:space="preserve"> BARR Tennis de Table </t>
  </si>
  <si>
    <t xml:space="preserve"> CHAUDAGNE </t>
  </si>
  <si>
    <t xml:space="preserve"> RICHE </t>
  </si>
  <si>
    <t xml:space="preserve"> TAPIA </t>
  </si>
  <si>
    <t xml:space="preserve"> GARGES AADB </t>
  </si>
  <si>
    <t xml:space="preserve"> VINCENSINI </t>
  </si>
  <si>
    <t xml:space="preserve"> LE CADRE </t>
  </si>
  <si>
    <t xml:space="preserve"> SCHURTER </t>
  </si>
  <si>
    <t xml:space="preserve"> LEPESQUEUR </t>
  </si>
  <si>
    <t xml:space="preserve"> C.S. BEAUMONT ROMILLY TTT </t>
  </si>
  <si>
    <t xml:space="preserve"> LAUMOND </t>
  </si>
  <si>
    <t xml:space="preserve"> ASC 33 TT </t>
  </si>
  <si>
    <t xml:space="preserve"> ZAGNONI </t>
  </si>
  <si>
    <t xml:space="preserve"> DELRIVE </t>
  </si>
  <si>
    <t xml:space="preserve"> St-Palais-Vaux/Mer </t>
  </si>
  <si>
    <t xml:space="preserve"> HEGO </t>
  </si>
  <si>
    <t xml:space="preserve"> BUCHET </t>
  </si>
  <si>
    <t xml:space="preserve"> VASSEUR </t>
  </si>
  <si>
    <t xml:space="preserve"> PIEL </t>
  </si>
  <si>
    <t xml:space="preserve"> LOHEZ </t>
  </si>
  <si>
    <t xml:space="preserve"> FONTENAY AUX ROSES </t>
  </si>
  <si>
    <t xml:space="preserve"> SAGORY </t>
  </si>
  <si>
    <t xml:space="preserve"> MORLAIX ST-MARTIN TT </t>
  </si>
  <si>
    <t xml:space="preserve"> BARAN </t>
  </si>
  <si>
    <t xml:space="preserve"> CAVELLEC </t>
  </si>
  <si>
    <t xml:space="preserve"> LUZIMADIO </t>
  </si>
  <si>
    <t xml:space="preserve"> LAMBOURG </t>
  </si>
  <si>
    <t xml:space="preserve"> J LANGON </t>
  </si>
  <si>
    <t xml:space="preserve"> BONNEFOY </t>
  </si>
  <si>
    <t xml:space="preserve"> BARAL </t>
  </si>
  <si>
    <t xml:space="preserve"> MUILLE PPC </t>
  </si>
  <si>
    <t xml:space="preserve"> GABS </t>
  </si>
  <si>
    <t xml:space="preserve"> BRY PSC </t>
  </si>
  <si>
    <t xml:space="preserve"> LEBARBE </t>
  </si>
  <si>
    <t xml:space="preserve"> Jean malo </t>
  </si>
  <si>
    <t xml:space="preserve"> DEGUETTES </t>
  </si>
  <si>
    <t xml:space="preserve"> SAINT MAURICE TT </t>
  </si>
  <si>
    <t xml:space="preserve"> LAIB </t>
  </si>
  <si>
    <t xml:space="preserve"> Belkacem </t>
  </si>
  <si>
    <t xml:space="preserve"> BAILLEUL </t>
  </si>
  <si>
    <t xml:space="preserve"> SURGET </t>
  </si>
  <si>
    <t xml:space="preserve"> CAPPON </t>
  </si>
  <si>
    <t xml:space="preserve"> Marcel </t>
  </si>
  <si>
    <t xml:space="preserve"> GUIET </t>
  </si>
  <si>
    <t xml:space="preserve"> COTE D AMOUR T.T. </t>
  </si>
  <si>
    <t xml:space="preserve"> GROIZELEAU </t>
  </si>
  <si>
    <t xml:space="preserve"> VAN-LOOY </t>
  </si>
  <si>
    <t xml:space="preserve"> Jean-denis </t>
  </si>
  <si>
    <t xml:space="preserve"> ES TT APPOIGNY </t>
  </si>
  <si>
    <t xml:space="preserve"> ZYGMUNT </t>
  </si>
  <si>
    <t xml:space="preserve"> US CHEMINOTS MARSEILLAIS </t>
  </si>
  <si>
    <t xml:space="preserve"> JOUDET </t>
  </si>
  <si>
    <t xml:space="preserve"> MELIN </t>
  </si>
  <si>
    <t xml:space="preserve"> ADOUI </t>
  </si>
  <si>
    <t xml:space="preserve"> Ferhat </t>
  </si>
  <si>
    <t xml:space="preserve"> RAMA </t>
  </si>
  <si>
    <t xml:space="preserve"> GUNDERSHOFFEN P79 </t>
  </si>
  <si>
    <t xml:space="preserve"> LOUARN </t>
  </si>
  <si>
    <t xml:space="preserve"> St Benoit TT </t>
  </si>
  <si>
    <t xml:space="preserve"> BURRINK </t>
  </si>
  <si>
    <t xml:space="preserve"> FEIGNIES ATT </t>
  </si>
  <si>
    <t xml:space="preserve"> WINTER </t>
  </si>
  <si>
    <t xml:space="preserve"> BUNEL </t>
  </si>
  <si>
    <t xml:space="preserve"> HYOU </t>
  </si>
  <si>
    <t xml:space="preserve"> GREMAUD </t>
  </si>
  <si>
    <t xml:space="preserve"> Éric </t>
  </si>
  <si>
    <t xml:space="preserve"> CTT VALDAHON </t>
  </si>
  <si>
    <t xml:space="preserve"> VACLE </t>
  </si>
  <si>
    <t xml:space="preserve"> Cozes club pongiste </t>
  </si>
  <si>
    <t xml:space="preserve"> DOMITILE </t>
  </si>
  <si>
    <t xml:space="preserve"> POYEN </t>
  </si>
  <si>
    <t xml:space="preserve"> BUCHARD </t>
  </si>
  <si>
    <t xml:space="preserve"> CROIXILLE L Etoile (la)ES </t>
  </si>
  <si>
    <t xml:space="preserve"> DEFILHES </t>
  </si>
  <si>
    <t xml:space="preserve"> BESSIERE </t>
  </si>
  <si>
    <t xml:space="preserve"> SOUCHON </t>
  </si>
  <si>
    <t xml:space="preserve"> LANDRIE </t>
  </si>
  <si>
    <t xml:space="preserve"> PPC KERHUONNAIS </t>
  </si>
  <si>
    <t xml:space="preserve"> BENKHEIRA </t>
  </si>
  <si>
    <t xml:space="preserve"> Abdelkader </t>
  </si>
  <si>
    <t xml:space="preserve"> AOUDIA </t>
  </si>
  <si>
    <t xml:space="preserve"> ST BRICE V.O </t>
  </si>
  <si>
    <t xml:space="preserve"> TEN </t>
  </si>
  <si>
    <t xml:space="preserve"> Kimsong </t>
  </si>
  <si>
    <t xml:space="preserve"> TT DU PAYS DE GRAND FOUGE </t>
  </si>
  <si>
    <t xml:space="preserve"> SOYSOUVANH </t>
  </si>
  <si>
    <t xml:space="preserve"> Yong yout </t>
  </si>
  <si>
    <t xml:space="preserve"> SUD LOIRE TT 45 </t>
  </si>
  <si>
    <t xml:space="preserve"> BLANQUART </t>
  </si>
  <si>
    <t xml:space="preserve"> LILLE LOSC TENNIS DE TABL </t>
  </si>
  <si>
    <t xml:space="preserve"> LOBEZ </t>
  </si>
  <si>
    <t xml:space="preserve"> MILLERAT </t>
  </si>
  <si>
    <t xml:space="preserve"> DARRACQ </t>
  </si>
  <si>
    <t xml:space="preserve"> ROUILLE </t>
  </si>
  <si>
    <t xml:space="preserve"> DEPAEPE </t>
  </si>
  <si>
    <t xml:space="preserve"> BRATINA </t>
  </si>
  <si>
    <t xml:space="preserve"> ISSOU TT </t>
  </si>
  <si>
    <t xml:space="preserve"> DEMAILLE </t>
  </si>
  <si>
    <t xml:space="preserve"> CHASLES </t>
  </si>
  <si>
    <t xml:space="preserve"> FL ST AIGNAN </t>
  </si>
  <si>
    <t xml:space="preserve"> LALAIRE </t>
  </si>
  <si>
    <t xml:space="preserve"> Erick </t>
  </si>
  <si>
    <t xml:space="preserve"> TAWIL </t>
  </si>
  <si>
    <t xml:space="preserve"> FOVIAUX </t>
  </si>
  <si>
    <t xml:space="preserve"> ROSNY JA </t>
  </si>
  <si>
    <t xml:space="preserve"> TOUZE </t>
  </si>
  <si>
    <t xml:space="preserve"> LECLERC </t>
  </si>
  <si>
    <t xml:space="preserve"> GRONDIN </t>
  </si>
  <si>
    <t xml:space="preserve"> JACQUEMARD </t>
  </si>
  <si>
    <t xml:space="preserve"> DELAMPLE </t>
  </si>
  <si>
    <t xml:space="preserve"> LABRUGUIERE FUN PING </t>
  </si>
  <si>
    <t xml:space="preserve"> ADIASSE </t>
  </si>
  <si>
    <t xml:space="preserve"> GUISE TT </t>
  </si>
  <si>
    <t xml:space="preserve"> DELASALLE </t>
  </si>
  <si>
    <t xml:space="preserve"> HOUZE </t>
  </si>
  <si>
    <t xml:space="preserve"> LEOPARDS DE PLOERMEL </t>
  </si>
  <si>
    <t xml:space="preserve"> ANET </t>
  </si>
  <si>
    <t xml:space="preserve"> Gaëtan </t>
  </si>
  <si>
    <t xml:space="preserve"> COSSÉ LE VIVIEN </t>
  </si>
  <si>
    <t xml:space="preserve"> HERENT </t>
  </si>
  <si>
    <t xml:space="preserve"> DECHOZ </t>
  </si>
  <si>
    <t xml:space="preserve"> TIBI </t>
  </si>
  <si>
    <t xml:space="preserve"> AEC UNIEUX </t>
  </si>
  <si>
    <t xml:space="preserve"> ABDOUL </t>
  </si>
  <si>
    <t xml:space="preserve"> Omer </t>
  </si>
  <si>
    <t xml:space="preserve"> MERJAI </t>
  </si>
  <si>
    <t xml:space="preserve"> ROUSSE </t>
  </si>
  <si>
    <t xml:space="preserve"> T.T.C.CORTE </t>
  </si>
  <si>
    <t xml:space="preserve"> SARREGUEMINES A.S. </t>
  </si>
  <si>
    <t xml:space="preserve"> SASSUS BOURDA </t>
  </si>
  <si>
    <t xml:space="preserve"> JURANCON T.T. </t>
  </si>
  <si>
    <t xml:space="preserve"> LEROUGE </t>
  </si>
  <si>
    <t xml:space="preserve"> JOUEN </t>
  </si>
  <si>
    <t xml:space="preserve"> AS MOTTEVILLE </t>
  </si>
  <si>
    <t xml:space="preserve"> MALESPINE </t>
  </si>
  <si>
    <t xml:space="preserve"> REPPLINGER </t>
  </si>
  <si>
    <t xml:space="preserve"> DEROUET </t>
  </si>
  <si>
    <t xml:space="preserve"> CIESKI </t>
  </si>
  <si>
    <t xml:space="preserve"> VANNIER </t>
  </si>
  <si>
    <t xml:space="preserve"> ST OUEN EN BELIN </t>
  </si>
  <si>
    <t xml:space="preserve"> DELPHUEQUE </t>
  </si>
  <si>
    <t xml:space="preserve"> TT LOC MARIA-PLOUZANE </t>
  </si>
  <si>
    <t xml:space="preserve"> ERHARD </t>
  </si>
  <si>
    <t xml:space="preserve"> MOINE </t>
  </si>
  <si>
    <t xml:space="preserve"> TT RHÔNE - GARON </t>
  </si>
  <si>
    <t xml:space="preserve"> Jean-pascal </t>
  </si>
  <si>
    <t xml:space="preserve"> HELIE </t>
  </si>
  <si>
    <t xml:space="preserve"> Raoul </t>
  </si>
  <si>
    <t xml:space="preserve"> MARCHAL </t>
  </si>
  <si>
    <t xml:space="preserve"> ESSEY LES NANCY T.T. </t>
  </si>
  <si>
    <t xml:space="preserve"> NAYME </t>
  </si>
  <si>
    <t xml:space="preserve"> ZIMMERMANN </t>
  </si>
  <si>
    <t xml:space="preserve"> GONNET </t>
  </si>
  <si>
    <t xml:space="preserve"> GALON </t>
  </si>
  <si>
    <t xml:space="preserve"> ABAZIOU </t>
  </si>
  <si>
    <t xml:space="preserve"> TT LANDIVISIAU </t>
  </si>
  <si>
    <t xml:space="preserve"> MICHALAK </t>
  </si>
  <si>
    <t xml:space="preserve"> GASCOIN </t>
  </si>
  <si>
    <t xml:space="preserve"> GUEDON </t>
  </si>
  <si>
    <t xml:space="preserve"> CAEN ASPTT </t>
  </si>
  <si>
    <t xml:space="preserve"> GASQUET </t>
  </si>
  <si>
    <t xml:space="preserve"> TT LE FOLGOET-LESNEVEN </t>
  </si>
  <si>
    <t xml:space="preserve"> PREVOST </t>
  </si>
  <si>
    <t xml:space="preserve"> Georges </t>
  </si>
  <si>
    <t xml:space="preserve"> CAUMONT </t>
  </si>
  <si>
    <t xml:space="preserve"> CARDONI </t>
  </si>
  <si>
    <t xml:space="preserve"> ATHIEL </t>
  </si>
  <si>
    <t xml:space="preserve"> TT ST MARTINOIS </t>
  </si>
  <si>
    <t xml:space="preserve"> MOUNIGAN </t>
  </si>
  <si>
    <t xml:space="preserve"> 319D0401 </t>
  </si>
  <si>
    <t xml:space="preserve"> AIGLONS D ORIENT </t>
  </si>
  <si>
    <t xml:space="preserve"> CAMPAIN </t>
  </si>
  <si>
    <t xml:space="preserve"> VIALAN </t>
  </si>
  <si>
    <t xml:space="preserve"> RIEUMES MAUZAC SLTT </t>
  </si>
  <si>
    <t xml:space="preserve"> FAUCHER </t>
  </si>
  <si>
    <t xml:space="preserve"> ALARY-TOSSAINT </t>
  </si>
  <si>
    <t xml:space="preserve"> MERESSE </t>
  </si>
  <si>
    <t xml:space="preserve"> ANKI </t>
  </si>
  <si>
    <t xml:space="preserve"> Antar </t>
  </si>
  <si>
    <t xml:space="preserve"> LEULLIETTE </t>
  </si>
  <si>
    <t xml:space="preserve"> LAHAUT </t>
  </si>
  <si>
    <t xml:space="preserve"> USP SAINT VITOISE </t>
  </si>
  <si>
    <t xml:space="preserve"> LE PIN </t>
  </si>
  <si>
    <t xml:space="preserve"> DULTHEO </t>
  </si>
  <si>
    <t xml:space="preserve"> RODRIGUEZ DEL CID </t>
  </si>
  <si>
    <t xml:space="preserve"> HERIAU </t>
  </si>
  <si>
    <t xml:space="preserve"> AL TT CHARLIEU </t>
  </si>
  <si>
    <t xml:space="preserve"> MOUSSEAU </t>
  </si>
  <si>
    <t xml:space="preserve"> ROUSSEL </t>
  </si>
  <si>
    <t xml:space="preserve"> DIGIROLAMO </t>
  </si>
  <si>
    <t xml:space="preserve"> PENIGAUD </t>
  </si>
  <si>
    <t xml:space="preserve"> VOLFART-VIGOUREUX </t>
  </si>
  <si>
    <t xml:space="preserve"> Gaël </t>
  </si>
  <si>
    <t xml:space="preserve"> SAINT JEAN KOURTZERODE LJ </t>
  </si>
  <si>
    <t xml:space="preserve"> CARADEC </t>
  </si>
  <si>
    <t xml:space="preserve"> RIVARD </t>
  </si>
  <si>
    <t xml:space="preserve"> DAHIREL </t>
  </si>
  <si>
    <t xml:space="preserve"> WILMUS </t>
  </si>
  <si>
    <t xml:space="preserve"> SALORT </t>
  </si>
  <si>
    <t xml:space="preserve"> E.S. OESIENNE </t>
  </si>
  <si>
    <t xml:space="preserve"> FABRE </t>
  </si>
  <si>
    <t xml:space="preserve"> SIMAO </t>
  </si>
  <si>
    <t xml:space="preserve"> ASPTT ROMANS </t>
  </si>
  <si>
    <t xml:space="preserve"> BAGUER </t>
  </si>
  <si>
    <t xml:space="preserve"> CLUB PONGISTE ORANGEOIS </t>
  </si>
  <si>
    <t xml:space="preserve"> BARBIER </t>
  </si>
  <si>
    <t xml:space="preserve"> LOTTE </t>
  </si>
  <si>
    <t xml:space="preserve"> MEYMAC ATHLETIC CLUB </t>
  </si>
  <si>
    <t xml:space="preserve"> WANNER </t>
  </si>
  <si>
    <t xml:space="preserve"> ROBION </t>
  </si>
  <si>
    <t xml:space="preserve"> OLIVIER </t>
  </si>
  <si>
    <t xml:space="preserve"> MILLY MAISSE TENNIS DE TA </t>
  </si>
  <si>
    <t xml:space="preserve"> LOUISET </t>
  </si>
  <si>
    <t xml:space="preserve"> LAROUSSE </t>
  </si>
  <si>
    <t xml:space="preserve"> SEMOY ASTT </t>
  </si>
  <si>
    <t xml:space="preserve"> BOULAY </t>
  </si>
  <si>
    <t xml:space="preserve"> CHEVALLIER </t>
  </si>
  <si>
    <t xml:space="preserve"> PHAM MINH </t>
  </si>
  <si>
    <t xml:space="preserve"> VAILLEAU </t>
  </si>
  <si>
    <t xml:space="preserve"> HERAULT </t>
  </si>
  <si>
    <t xml:space="preserve"> GROSBOIS </t>
  </si>
  <si>
    <t xml:space="preserve"> PASCAL </t>
  </si>
  <si>
    <t xml:space="preserve"> Chansom </t>
  </si>
  <si>
    <t xml:space="preserve"> ALENCON ALC </t>
  </si>
  <si>
    <t xml:space="preserve"> PAYEN </t>
  </si>
  <si>
    <t xml:space="preserve"> Frédérick </t>
  </si>
  <si>
    <t xml:space="preserve"> CALVEL </t>
  </si>
  <si>
    <t xml:space="preserve"> FAVEROLLES US </t>
  </si>
  <si>
    <t xml:space="preserve"> HENNEMANN </t>
  </si>
  <si>
    <t xml:space="preserve"> EDEL </t>
  </si>
  <si>
    <t xml:space="preserve"> BRUNET </t>
  </si>
  <si>
    <t xml:space="preserve"> BANKHAUSER </t>
  </si>
  <si>
    <t xml:space="preserve"> HANAU Tennis de Table </t>
  </si>
  <si>
    <t xml:space="preserve"> FOUILLOUX </t>
  </si>
  <si>
    <t xml:space="preserve"> PARENTEAU </t>
  </si>
  <si>
    <t xml:space="preserve"> MICHAUT </t>
  </si>
  <si>
    <t xml:space="preserve"> BERGER </t>
  </si>
  <si>
    <t xml:space="preserve"> DULAIS </t>
  </si>
  <si>
    <t xml:space="preserve"> PEGOURIE </t>
  </si>
  <si>
    <t xml:space="preserve"> HONDERMARCK </t>
  </si>
  <si>
    <t xml:space="preserve"> CARBONIE </t>
  </si>
  <si>
    <t xml:space="preserve"> ESCHENBRENNER </t>
  </si>
  <si>
    <t xml:space="preserve"> CORBET </t>
  </si>
  <si>
    <t xml:space="preserve"> DOERENBECHER </t>
  </si>
  <si>
    <t xml:space="preserve"> CAROFF </t>
  </si>
  <si>
    <t xml:space="preserve"> Alfred </t>
  </si>
  <si>
    <t xml:space="preserve"> TTC PLOUGOULM </t>
  </si>
  <si>
    <t xml:space="preserve"> MUR </t>
  </si>
  <si>
    <t xml:space="preserve"> ROTSAERT </t>
  </si>
  <si>
    <t xml:space="preserve"> Morgan </t>
  </si>
  <si>
    <t xml:space="preserve"> PALABE </t>
  </si>
  <si>
    <t xml:space="preserve"> HEROUART </t>
  </si>
  <si>
    <t xml:space="preserve"> BRONQUART </t>
  </si>
  <si>
    <t xml:space="preserve"> DUMAIN </t>
  </si>
  <si>
    <t xml:space="preserve"> BAZANTAY </t>
  </si>
  <si>
    <t xml:space="preserve"> BATON </t>
  </si>
  <si>
    <t xml:space="preserve"> OTCEP </t>
  </si>
  <si>
    <t xml:space="preserve"> CARROUGE </t>
  </si>
  <si>
    <t xml:space="preserve"> FORMA </t>
  </si>
  <si>
    <t xml:space="preserve"> GRADECKI </t>
  </si>
  <si>
    <t xml:space="preserve"> GUIDOT </t>
  </si>
  <si>
    <t xml:space="preserve"> F.J. FOECY TT </t>
  </si>
  <si>
    <t xml:space="preserve"> NOLITSE </t>
  </si>
  <si>
    <t xml:space="preserve"> Koffi </t>
  </si>
  <si>
    <t xml:space="preserve"> ABECASSIS </t>
  </si>
  <si>
    <t xml:space="preserve"> EVENO </t>
  </si>
  <si>
    <t xml:space="preserve"> DUBRUNFAUT </t>
  </si>
  <si>
    <t xml:space="preserve"> PALAISEAU US </t>
  </si>
  <si>
    <t xml:space="preserve"> GANDON </t>
  </si>
  <si>
    <t xml:space="preserve"> CLUB TT COGOLIN </t>
  </si>
  <si>
    <t xml:space="preserve"> AVEL </t>
  </si>
  <si>
    <t xml:space="preserve"> ROY </t>
  </si>
  <si>
    <t xml:space="preserve"> PELLETIER </t>
  </si>
  <si>
    <t xml:space="preserve"> STOFFEL </t>
  </si>
  <si>
    <t xml:space="preserve"> MULATON </t>
  </si>
  <si>
    <t xml:space="preserve"> BIGOIN </t>
  </si>
  <si>
    <t xml:space="preserve"> SEYNHAEVE </t>
  </si>
  <si>
    <t xml:space="preserve"> Poitiers TTACC 86 </t>
  </si>
  <si>
    <t xml:space="preserve"> GARDIEN </t>
  </si>
  <si>
    <t xml:space="preserve"> MAREC </t>
  </si>
  <si>
    <t xml:space="preserve"> YVRE L EVEQUE E.P. </t>
  </si>
  <si>
    <t xml:space="preserve"> ARGENTIN </t>
  </si>
  <si>
    <t xml:space="preserve"> LERAY </t>
  </si>
  <si>
    <t xml:space="preserve"> PISSOT </t>
  </si>
  <si>
    <t xml:space="preserve"> SPAY CP </t>
  </si>
  <si>
    <t xml:space="preserve"> JACQUET </t>
  </si>
  <si>
    <t xml:space="preserve"> ARCONNAY TT </t>
  </si>
  <si>
    <t xml:space="preserve"> LUCE </t>
  </si>
  <si>
    <t xml:space="preserve"> PLOTEAU </t>
  </si>
  <si>
    <t xml:space="preserve"> MAUVES TT </t>
  </si>
  <si>
    <t xml:space="preserve"> OUDELET </t>
  </si>
  <si>
    <t xml:space="preserve"> BORDAGE </t>
  </si>
  <si>
    <t xml:space="preserve"> FENEU Tennis de Table </t>
  </si>
  <si>
    <t xml:space="preserve"> GUELOU </t>
  </si>
  <si>
    <t xml:space="preserve"> ST POL/MER AMICALE PONGIS </t>
  </si>
  <si>
    <t xml:space="preserve"> RETIF </t>
  </si>
  <si>
    <t xml:space="preserve"> BENICHOU </t>
  </si>
  <si>
    <t xml:space="preserve"> PFISTERER </t>
  </si>
  <si>
    <t xml:space="preserve"> Heiner </t>
  </si>
  <si>
    <t xml:space="preserve"> MERVEILLE </t>
  </si>
  <si>
    <t xml:space="preserve"> WATREMET </t>
  </si>
  <si>
    <t xml:space="preserve"> KOSTRZEWSKI </t>
  </si>
  <si>
    <t xml:space="preserve"> DINNAT </t>
  </si>
  <si>
    <t xml:space="preserve"> CHABRIDON </t>
  </si>
  <si>
    <t xml:space="preserve"> A. MIREFLEURS TT </t>
  </si>
  <si>
    <t xml:space="preserve"> FRESCH </t>
  </si>
  <si>
    <t xml:space="preserve"> REBOUT </t>
  </si>
  <si>
    <t xml:space="preserve"> QUINCIEUX TENNIS DE TABLE </t>
  </si>
  <si>
    <t xml:space="preserve"> CLIGNIEZ </t>
  </si>
  <si>
    <t xml:space="preserve"> LORIOU </t>
  </si>
  <si>
    <t xml:space="preserve"> LOMBART </t>
  </si>
  <si>
    <t xml:space="preserve"> SAUDUBRAY </t>
  </si>
  <si>
    <t xml:space="preserve"> BAFFREAU </t>
  </si>
  <si>
    <t xml:space="preserve"> PATUROT </t>
  </si>
  <si>
    <t xml:space="preserve"> LANG </t>
  </si>
  <si>
    <t xml:space="preserve"> GOURCEROL </t>
  </si>
  <si>
    <t xml:space="preserve"> DESMET </t>
  </si>
  <si>
    <t xml:space="preserve"> TOURCOING AJJ </t>
  </si>
  <si>
    <t xml:space="preserve"> Joachim </t>
  </si>
  <si>
    <t xml:space="preserve"> ROUEIL </t>
  </si>
  <si>
    <t xml:space="preserve"> NUILLÉ l'HUISSERIE </t>
  </si>
  <si>
    <t xml:space="preserve"> LENOIR </t>
  </si>
  <si>
    <t xml:space="preserve"> AUGE </t>
  </si>
  <si>
    <t xml:space="preserve"> PLESSIS TREVISE USM </t>
  </si>
  <si>
    <t xml:space="preserve"> GANDREUIL </t>
  </si>
  <si>
    <t xml:space="preserve"> DUDAS </t>
  </si>
  <si>
    <t xml:space="preserve"> Emilian </t>
  </si>
  <si>
    <t xml:space="preserve"> DO </t>
  </si>
  <si>
    <t xml:space="preserve"> Hoang long </t>
  </si>
  <si>
    <t xml:space="preserve"> LATOUR </t>
  </si>
  <si>
    <t xml:space="preserve"> ATT MONTOIS </t>
  </si>
  <si>
    <t xml:space="preserve"> SUDRON </t>
  </si>
  <si>
    <t xml:space="preserve"> J francois </t>
  </si>
  <si>
    <t xml:space="preserve"> SOULLARD </t>
  </si>
  <si>
    <t xml:space="preserve"> LANDES GENUSSON E </t>
  </si>
  <si>
    <t xml:space="preserve"> CRAUFFON </t>
  </si>
  <si>
    <t xml:space="preserve"> ARNOUT </t>
  </si>
  <si>
    <t xml:space="preserve"> ANICHE TT </t>
  </si>
  <si>
    <t xml:space="preserve"> Ernesto </t>
  </si>
  <si>
    <t xml:space="preserve"> JOSSE </t>
  </si>
  <si>
    <t xml:space="preserve"> LOUER </t>
  </si>
  <si>
    <t xml:space="preserve"> BOUDRY </t>
  </si>
  <si>
    <t xml:space="preserve"> CHAMPAGNE TT </t>
  </si>
  <si>
    <t xml:space="preserve"> LAQUIEVRE </t>
  </si>
  <si>
    <t xml:space="preserve"> RC CAUDEBEC </t>
  </si>
  <si>
    <t xml:space="preserve"> DESWARTE </t>
  </si>
  <si>
    <t xml:space="preserve"> GUE DE LONGROI TENNIS DE </t>
  </si>
  <si>
    <t xml:space="preserve"> FREMINET </t>
  </si>
  <si>
    <t xml:space="preserve"> CLAIRET </t>
  </si>
  <si>
    <t xml:space="preserve"> MARTET </t>
  </si>
  <si>
    <t xml:space="preserve"> Jean-bernard </t>
  </si>
  <si>
    <t xml:space="preserve"> DUCHANOIS </t>
  </si>
  <si>
    <t xml:space="preserve"> TT ARBOUANS </t>
  </si>
  <si>
    <t xml:space="preserve"> GUYOT </t>
  </si>
  <si>
    <t xml:space="preserve"> AUBRY </t>
  </si>
  <si>
    <t xml:space="preserve"> MAIGNE </t>
  </si>
  <si>
    <t xml:space="preserve"> MASTROYANNAKI </t>
  </si>
  <si>
    <t xml:space="preserve"> LETHUILLIER </t>
  </si>
  <si>
    <t xml:space="preserve"> GOR </t>
  </si>
  <si>
    <t xml:space="preserve"> OFFEMONT TENNIS DE TABLE </t>
  </si>
  <si>
    <t xml:space="preserve"> BARBAUD </t>
  </si>
  <si>
    <t xml:space="preserve"> BRULOIS </t>
  </si>
  <si>
    <t xml:space="preserve"> ROUBLIN </t>
  </si>
  <si>
    <t xml:space="preserve"> ROUSSON </t>
  </si>
  <si>
    <t xml:space="preserve"> US SANDILLON TT </t>
  </si>
  <si>
    <t xml:space="preserve"> LECLERCQ </t>
  </si>
  <si>
    <t xml:space="preserve"> RAQ PLONEVEZIENNE </t>
  </si>
  <si>
    <t xml:space="preserve"> BECAM </t>
  </si>
  <si>
    <t xml:space="preserve"> LAÜGT </t>
  </si>
  <si>
    <t xml:space="preserve"> LUCON TT </t>
  </si>
  <si>
    <t xml:space="preserve"> DEPRETZ </t>
  </si>
  <si>
    <t xml:space="preserve"> NICOLET </t>
  </si>
  <si>
    <t xml:space="preserve"> DONVILLAISES USM </t>
  </si>
  <si>
    <t xml:space="preserve"> ROSETTI </t>
  </si>
  <si>
    <t xml:space="preserve"> 319D0443 </t>
  </si>
  <si>
    <t xml:space="preserve"> CRESSONNIERE TENNIS DE TA </t>
  </si>
  <si>
    <t xml:space="preserve"> DELANGLE </t>
  </si>
  <si>
    <t xml:space="preserve"> PIN </t>
  </si>
  <si>
    <t xml:space="preserve"> MOURCEL </t>
  </si>
  <si>
    <t xml:space="preserve"> US.ARGENTON </t>
  </si>
  <si>
    <t xml:space="preserve"> LEMELLE </t>
  </si>
  <si>
    <t xml:space="preserve"> BARBAROUX </t>
  </si>
  <si>
    <t xml:space="preserve"> MORVAN </t>
  </si>
  <si>
    <t xml:space="preserve"> GAUDILLAT </t>
  </si>
  <si>
    <t xml:space="preserve"> GOUTTE </t>
  </si>
  <si>
    <t xml:space="preserve"> CRUVELLIER </t>
  </si>
  <si>
    <t xml:space="preserve"> GIRAUD </t>
  </si>
  <si>
    <t xml:space="preserve"> LETUAUT </t>
  </si>
  <si>
    <t xml:space="preserve"> DELENGAIGNE </t>
  </si>
  <si>
    <t xml:space="preserve"> BALINGHEM ALFJP </t>
  </si>
  <si>
    <t xml:space="preserve"> ABDESSELAM </t>
  </si>
  <si>
    <t xml:space="preserve"> PONT </t>
  </si>
  <si>
    <t xml:space="preserve"> HAAS </t>
  </si>
  <si>
    <t xml:space="preserve"> CLOTEAU </t>
  </si>
  <si>
    <t xml:space="preserve"> AMBRIÉRES TTC </t>
  </si>
  <si>
    <t xml:space="preserve"> BOUCARD </t>
  </si>
  <si>
    <t xml:space="preserve"> SOLER </t>
  </si>
  <si>
    <t xml:space="preserve"> C S PERTUISIEN (CSP) </t>
  </si>
  <si>
    <t xml:space="preserve"> SAMPAIO </t>
  </si>
  <si>
    <t xml:space="preserve"> Adelino </t>
  </si>
  <si>
    <t xml:space="preserve"> LEROUEIL </t>
  </si>
  <si>
    <t xml:space="preserve"> LEPETIT </t>
  </si>
  <si>
    <t xml:space="preserve"> VENTALON </t>
  </si>
  <si>
    <t xml:space="preserve"> BEYNES TTC </t>
  </si>
  <si>
    <t xml:space="preserve"> MONGAZON </t>
  </si>
  <si>
    <t xml:space="preserve"> DUMAS </t>
  </si>
  <si>
    <t xml:space="preserve"> BOIVIN </t>
  </si>
  <si>
    <t xml:space="preserve"> COFFINIER </t>
  </si>
  <si>
    <t xml:space="preserve"> THIEFFRY </t>
  </si>
  <si>
    <t xml:space="preserve"> BURON </t>
  </si>
  <si>
    <t xml:space="preserve"> POULIQUEN </t>
  </si>
  <si>
    <t xml:space="preserve"> SAUTY </t>
  </si>
  <si>
    <t xml:space="preserve"> STRASBOURG ST JOSEPH </t>
  </si>
  <si>
    <t xml:space="preserve"> DELSART </t>
  </si>
  <si>
    <t xml:space="preserve"> SAINT-AMAND TT </t>
  </si>
  <si>
    <t xml:space="preserve"> LIMOGES </t>
  </si>
  <si>
    <t xml:space="preserve"> Ulrich </t>
  </si>
  <si>
    <t xml:space="preserve"> ENNETIERES-EN-WEPPES ASL </t>
  </si>
  <si>
    <t xml:space="preserve"> BENAITEAU </t>
  </si>
  <si>
    <t xml:space="preserve"> Rodrigue </t>
  </si>
  <si>
    <t xml:space="preserve"> BEAUFILS </t>
  </si>
  <si>
    <t xml:space="preserve"> TT ST GENIS LAVAL </t>
  </si>
  <si>
    <t xml:space="preserve"> DESMETTRE </t>
  </si>
  <si>
    <t xml:space="preserve"> WAMBRECHIES CAFP </t>
  </si>
  <si>
    <t xml:space="preserve"> STREIFER </t>
  </si>
  <si>
    <t xml:space="preserve"> FJ LA REMUEE TT </t>
  </si>
  <si>
    <t xml:space="preserve"> GIARD </t>
  </si>
  <si>
    <t xml:space="preserve"> VANG FOUA </t>
  </si>
  <si>
    <t xml:space="preserve"> St PIERRE DU PERRAY CSL </t>
  </si>
  <si>
    <t xml:space="preserve"> BLAIVE </t>
  </si>
  <si>
    <t xml:space="preserve"> Jean rene </t>
  </si>
  <si>
    <t xml:space="preserve"> STRICANE </t>
  </si>
  <si>
    <t xml:space="preserve"> CHASSIGNET </t>
  </si>
  <si>
    <t xml:space="preserve"> GREE </t>
  </si>
  <si>
    <t xml:space="preserve"> JUFFIN </t>
  </si>
  <si>
    <t xml:space="preserve"> Florimond </t>
  </si>
  <si>
    <t xml:space="preserve"> DUREY </t>
  </si>
  <si>
    <t xml:space="preserve"> MONTARGIS CP </t>
  </si>
  <si>
    <t xml:space="preserve"> BEGUIER </t>
  </si>
  <si>
    <t xml:space="preserve"> LEHOURS </t>
  </si>
  <si>
    <t xml:space="preserve"> ALLANE ALLION </t>
  </si>
  <si>
    <t xml:space="preserve"> VOISIN </t>
  </si>
  <si>
    <t xml:space="preserve"> GUILLOCHEAU </t>
  </si>
  <si>
    <t xml:space="preserve"> LAJOYE </t>
  </si>
  <si>
    <t xml:space="preserve"> VIROFLAY USM </t>
  </si>
  <si>
    <t xml:space="preserve"> VRIGNON </t>
  </si>
  <si>
    <t xml:space="preserve"> MESTRE </t>
  </si>
  <si>
    <t xml:space="preserve"> Elan Pongiste du Pays de </t>
  </si>
  <si>
    <t xml:space="preserve"> LINARD </t>
  </si>
  <si>
    <t xml:space="preserve"> DARCHEN </t>
  </si>
  <si>
    <t xml:space="preserve"> GAUTRET </t>
  </si>
  <si>
    <t xml:space="preserve"> BODEREAU </t>
  </si>
  <si>
    <t xml:space="preserve"> CLECH </t>
  </si>
  <si>
    <t xml:space="preserve"> FRUCTUEUX </t>
  </si>
  <si>
    <t xml:space="preserve"> PULBY </t>
  </si>
  <si>
    <t xml:space="preserve"> BAYLE </t>
  </si>
  <si>
    <t xml:space="preserve"> MARCOUSSIS AS </t>
  </si>
  <si>
    <t xml:space="preserve"> LECOEUR </t>
  </si>
  <si>
    <t xml:space="preserve"> SUISSE NORMANDE TT </t>
  </si>
  <si>
    <t xml:space="preserve"> CONFLANS US </t>
  </si>
  <si>
    <t xml:space="preserve"> AMICALE MANIN SPORTS PARI </t>
  </si>
  <si>
    <t xml:space="preserve"> VIET </t>
  </si>
  <si>
    <t xml:space="preserve"> TRONCHE </t>
  </si>
  <si>
    <t xml:space="preserve"> FROIDUROT </t>
  </si>
  <si>
    <t xml:space="preserve"> REUX </t>
  </si>
  <si>
    <t xml:space="preserve"> BACHIR </t>
  </si>
  <si>
    <t xml:space="preserve"> SCHMIDLIN </t>
  </si>
  <si>
    <t xml:space="preserve"> MAUGEY </t>
  </si>
  <si>
    <t xml:space="preserve"> ROPPEZ </t>
  </si>
  <si>
    <t xml:space="preserve"> GESLIN </t>
  </si>
  <si>
    <t xml:space="preserve"> PLECY </t>
  </si>
  <si>
    <t xml:space="preserve"> FINKE </t>
  </si>
  <si>
    <t xml:space="preserve"> JAQUIN </t>
  </si>
  <si>
    <t xml:space="preserve"> CARIBAUX </t>
  </si>
  <si>
    <t xml:space="preserve"> A L NERAC </t>
  </si>
  <si>
    <t xml:space="preserve"> VUONG </t>
  </si>
  <si>
    <t xml:space="preserve"> DE CARLI </t>
  </si>
  <si>
    <t xml:space="preserve"> BEUREL </t>
  </si>
  <si>
    <t xml:space="preserve"> BREISTROFF </t>
  </si>
  <si>
    <t xml:space="preserve"> SOLDET </t>
  </si>
  <si>
    <t xml:space="preserve"> Bertin </t>
  </si>
  <si>
    <t xml:space="preserve"> JA CALUIRE </t>
  </si>
  <si>
    <t xml:space="preserve"> VILLENEUVE </t>
  </si>
  <si>
    <t xml:space="preserve"> MARCOUX </t>
  </si>
  <si>
    <t xml:space="preserve"> EPINAL T.S.P. </t>
  </si>
  <si>
    <t xml:space="preserve"> LOTTIN </t>
  </si>
  <si>
    <t xml:space="preserve"> PLESSIS GRAMMOIRE (LE)-AS </t>
  </si>
  <si>
    <t xml:space="preserve"> DUVIVIER </t>
  </si>
  <si>
    <t xml:space="preserve"> BONNELYE DE LAUBERTY </t>
  </si>
  <si>
    <t xml:space="preserve"> PONCET </t>
  </si>
  <si>
    <t xml:space="preserve"> Club Pongiste Mioland </t>
  </si>
  <si>
    <t xml:space="preserve"> MAGNILS REIGNIERS ATT </t>
  </si>
  <si>
    <t xml:space="preserve"> MALCZEWSKI </t>
  </si>
  <si>
    <t xml:space="preserve"> Amar </t>
  </si>
  <si>
    <t xml:space="preserve"> AUFRANC </t>
  </si>
  <si>
    <t xml:space="preserve"> DONNOT </t>
  </si>
  <si>
    <t xml:space="preserve"> Gwendal </t>
  </si>
  <si>
    <t xml:space="preserve"> CADIEU </t>
  </si>
  <si>
    <t xml:space="preserve"> BONNETABLE P </t>
  </si>
  <si>
    <t xml:space="preserve"> VOILLEQUIN </t>
  </si>
  <si>
    <t xml:space="preserve"> LA NEUVILLE EN TOURNE A F </t>
  </si>
  <si>
    <t xml:space="preserve"> BEY </t>
  </si>
  <si>
    <t xml:space="preserve"> DIOT </t>
  </si>
  <si>
    <t xml:space="preserve"> FERRASSON </t>
  </si>
  <si>
    <t xml:space="preserve"> ORCHIES AL </t>
  </si>
  <si>
    <t xml:space="preserve"> CHAMBREY </t>
  </si>
  <si>
    <t xml:space="preserve"> SABLES D OLONNE AL </t>
  </si>
  <si>
    <t xml:space="preserve"> SEBE </t>
  </si>
  <si>
    <t xml:space="preserve"> QUINQUENEL </t>
  </si>
  <si>
    <t xml:space="preserve"> GRETT </t>
  </si>
  <si>
    <t xml:space="preserve"> Gunter </t>
  </si>
  <si>
    <t xml:space="preserve"> DROUIN </t>
  </si>
  <si>
    <t xml:space="preserve"> VASSELON </t>
  </si>
  <si>
    <t xml:space="preserve"> LABADENS </t>
  </si>
  <si>
    <t xml:space="preserve"> LE MAITRE </t>
  </si>
  <si>
    <t xml:space="preserve"> SCHUTT </t>
  </si>
  <si>
    <t xml:space="preserve"> ILLKIRCH GRAFFENSTADEN AP </t>
  </si>
  <si>
    <t xml:space="preserve"> RAMEAU </t>
  </si>
  <si>
    <t xml:space="preserve"> Jean-guy </t>
  </si>
  <si>
    <t xml:space="preserve"> BOURGEOIS </t>
  </si>
  <si>
    <t xml:space="preserve"> LI </t>
  </si>
  <si>
    <t xml:space="preserve"> Jong chol </t>
  </si>
  <si>
    <t xml:space="preserve"> GUERINEAU </t>
  </si>
  <si>
    <t xml:space="preserve"> LEVARD </t>
  </si>
  <si>
    <t xml:space="preserve"> BOURDIC </t>
  </si>
  <si>
    <t xml:space="preserve"> Noël </t>
  </si>
  <si>
    <t xml:space="preserve"> RESPAUD BOUNY </t>
  </si>
  <si>
    <t xml:space="preserve"> TOULOUSE ATHLETIC CLUB </t>
  </si>
  <si>
    <t xml:space="preserve"> MOUSSAC </t>
  </si>
  <si>
    <t xml:space="preserve"> Frederik </t>
  </si>
  <si>
    <t xml:space="preserve"> SECHER </t>
  </si>
  <si>
    <t xml:space="preserve"> GUINTARD </t>
  </si>
  <si>
    <t xml:space="preserve"> CA CARBON BLANC </t>
  </si>
  <si>
    <t xml:space="preserve"> PRETOT </t>
  </si>
  <si>
    <t xml:space="preserve"> QUETIN </t>
  </si>
  <si>
    <t xml:space="preserve"> ST-AVERTIN SPORTS TT </t>
  </si>
  <si>
    <t xml:space="preserve"> COLLIN </t>
  </si>
  <si>
    <t xml:space="preserve"> DENOYER </t>
  </si>
  <si>
    <t xml:space="preserve"> ENTENTE PONGISTE SLP </t>
  </si>
  <si>
    <t xml:space="preserve"> FRADIN </t>
  </si>
  <si>
    <t xml:space="preserve"> SOULARD </t>
  </si>
  <si>
    <t xml:space="preserve"> MAIRIE </t>
  </si>
  <si>
    <t xml:space="preserve"> SUIRE </t>
  </si>
  <si>
    <t xml:space="preserve"> GIBERT </t>
  </si>
  <si>
    <t xml:space="preserve"> VRAY </t>
  </si>
  <si>
    <t xml:space="preserve"> LA FEUILLANTINE </t>
  </si>
  <si>
    <t xml:space="preserve"> BOFFY </t>
  </si>
  <si>
    <t xml:space="preserve"> MOUFFLET </t>
  </si>
  <si>
    <t xml:space="preserve"> Gémozac Tennis de Table </t>
  </si>
  <si>
    <t xml:space="preserve"> AUVILLE </t>
  </si>
  <si>
    <t xml:space="preserve"> MALTHET </t>
  </si>
  <si>
    <t xml:space="preserve"> VIAL </t>
  </si>
  <si>
    <t xml:space="preserve"> DEGEN </t>
  </si>
  <si>
    <t xml:space="preserve"> BAZEILLES PPC </t>
  </si>
  <si>
    <t xml:space="preserve"> LECOMPTE </t>
  </si>
  <si>
    <t xml:space="preserve"> BOUTIGNY-VAYRES TT </t>
  </si>
  <si>
    <t xml:space="preserve"> GREZE </t>
  </si>
  <si>
    <t xml:space="preserve"> RACIQUOT </t>
  </si>
  <si>
    <t xml:space="preserve"> LOOTEN </t>
  </si>
  <si>
    <t xml:space="preserve"> ARNOLD </t>
  </si>
  <si>
    <t xml:space="preserve"> CARDOT </t>
  </si>
  <si>
    <t xml:space="preserve"> COURNONTERRAL  TT </t>
  </si>
  <si>
    <t xml:space="preserve"> POIRE </t>
  </si>
  <si>
    <t xml:space="preserve"> MARCOUILLER </t>
  </si>
  <si>
    <t xml:space="preserve"> CRISTINI </t>
  </si>
  <si>
    <t xml:space="preserve"> Nello </t>
  </si>
  <si>
    <t xml:space="preserve"> COZIEN </t>
  </si>
  <si>
    <t xml:space="preserve"> BOUKHENFOUF </t>
  </si>
  <si>
    <t xml:space="preserve"> BAUCHET </t>
  </si>
  <si>
    <t xml:space="preserve"> GENESTE </t>
  </si>
  <si>
    <t xml:space="preserve"> DUPAS </t>
  </si>
  <si>
    <t xml:space="preserve"> VAUTORTE A.S </t>
  </si>
  <si>
    <t xml:space="preserve"> RAGUET </t>
  </si>
  <si>
    <t xml:space="preserve"> DELABARRE </t>
  </si>
  <si>
    <t xml:space="preserve"> LAROUSSERIE </t>
  </si>
  <si>
    <t xml:space="preserve"> Somkhane </t>
  </si>
  <si>
    <t xml:space="preserve"> MATHIAS </t>
  </si>
  <si>
    <t xml:space="preserve"> GOUFFAULT </t>
  </si>
  <si>
    <t xml:space="preserve"> PACREAU </t>
  </si>
  <si>
    <t xml:space="preserve"> TISON </t>
  </si>
  <si>
    <t xml:space="preserve"> FERNANDES </t>
  </si>
  <si>
    <t xml:space="preserve"> PERROTTE </t>
  </si>
  <si>
    <t xml:space="preserve"> Olympique Club d'AGNEAUX </t>
  </si>
  <si>
    <t xml:space="preserve"> PREGALDINY </t>
  </si>
  <si>
    <t xml:space="preserve"> JEANNERET </t>
  </si>
  <si>
    <t xml:space="preserve"> CAMIER </t>
  </si>
  <si>
    <t xml:space="preserve"> BOUTROIS </t>
  </si>
  <si>
    <t xml:space="preserve"> POISSY USC </t>
  </si>
  <si>
    <t xml:space="preserve"> VALLET </t>
  </si>
  <si>
    <t xml:space="preserve"> BOUTAVANT </t>
  </si>
  <si>
    <t xml:space="preserve"> BAHUAUD </t>
  </si>
  <si>
    <t xml:space="preserve"> DELEAGE </t>
  </si>
  <si>
    <t xml:space="preserve"> DEBETHUNE </t>
  </si>
  <si>
    <t xml:space="preserve"> NOEL </t>
  </si>
  <si>
    <t xml:space="preserve"> BERTAUD </t>
  </si>
  <si>
    <t xml:space="preserve"> FERRIAU </t>
  </si>
  <si>
    <t xml:space="preserve"> GERNEZ </t>
  </si>
  <si>
    <t xml:space="preserve"> HOLZER </t>
  </si>
  <si>
    <t xml:space="preserve"> BLENOD MONTAUVILLE TT </t>
  </si>
  <si>
    <t xml:space="preserve"> DORIOT </t>
  </si>
  <si>
    <t xml:space="preserve"> SERY </t>
  </si>
  <si>
    <t xml:space="preserve"> JOUVIN </t>
  </si>
  <si>
    <t xml:space="preserve"> RIBEIRO </t>
  </si>
  <si>
    <t xml:space="preserve"> GIGON </t>
  </si>
  <si>
    <t xml:space="preserve"> WITTELSHEIM MDPA TT </t>
  </si>
  <si>
    <t xml:space="preserve"> NUBOIS </t>
  </si>
  <si>
    <t xml:space="preserve"> REBOUX </t>
  </si>
  <si>
    <t xml:space="preserve"> LA FERTE MACE ALTT </t>
  </si>
  <si>
    <t xml:space="preserve"> Alphonse </t>
  </si>
  <si>
    <t xml:space="preserve"> CAS </t>
  </si>
  <si>
    <t xml:space="preserve"> GARNIER </t>
  </si>
  <si>
    <t xml:space="preserve"> GAIGNON </t>
  </si>
  <si>
    <t xml:space="preserve"> METAYE </t>
  </si>
  <si>
    <t xml:space="preserve"> FRITSCH </t>
  </si>
  <si>
    <t xml:space="preserve"> MACAUD </t>
  </si>
  <si>
    <t xml:space="preserve"> LABOULAIS </t>
  </si>
  <si>
    <t xml:space="preserve"> SAINT-RENAN TT </t>
  </si>
  <si>
    <t xml:space="preserve"> PLUMELEUR </t>
  </si>
  <si>
    <t xml:space="preserve"> FOYER RURAL VEZELOIS </t>
  </si>
  <si>
    <t xml:space="preserve"> DELON </t>
  </si>
  <si>
    <t xml:space="preserve"> THEILLET </t>
  </si>
  <si>
    <t xml:space="preserve"> SAAVEDRA  GIL </t>
  </si>
  <si>
    <t xml:space="preserve"> ALBARES </t>
  </si>
  <si>
    <t xml:space="preserve"> S.C. MOREE </t>
  </si>
  <si>
    <t xml:space="preserve"> VIALA </t>
  </si>
  <si>
    <t xml:space="preserve"> PLEURDEAU </t>
  </si>
  <si>
    <t xml:space="preserve"> LOUIS </t>
  </si>
  <si>
    <t xml:space="preserve"> GALLI </t>
  </si>
  <si>
    <t xml:space="preserve"> BOURDET </t>
  </si>
  <si>
    <t xml:space="preserve"> ARCARO </t>
  </si>
  <si>
    <t xml:space="preserve"> CALCOEN </t>
  </si>
  <si>
    <t xml:space="preserve"> L'INTERMY </t>
  </si>
  <si>
    <t xml:space="preserve"> FERGUEN </t>
  </si>
  <si>
    <t xml:space="preserve"> Lakhdar </t>
  </si>
  <si>
    <t xml:space="preserve"> GIROLAMI </t>
  </si>
  <si>
    <t xml:space="preserve"> CARRON </t>
  </si>
  <si>
    <t xml:space="preserve"> OGET </t>
  </si>
  <si>
    <t xml:space="preserve"> WARTELLE </t>
  </si>
  <si>
    <t xml:space="preserve"> BRUNNER </t>
  </si>
  <si>
    <t xml:space="preserve"> COULAINES JS </t>
  </si>
  <si>
    <t xml:space="preserve"> LEBAS </t>
  </si>
  <si>
    <t xml:space="preserve"> BIGARRE </t>
  </si>
  <si>
    <t xml:space="preserve"> BEAUCOUSIN </t>
  </si>
  <si>
    <t xml:space="preserve"> SELINGUE </t>
  </si>
  <si>
    <t xml:space="preserve"> COQUELLES TT </t>
  </si>
  <si>
    <t xml:space="preserve"> GUY </t>
  </si>
  <si>
    <t xml:space="preserve"> COPEAUX </t>
  </si>
  <si>
    <t xml:space="preserve"> PIERSON </t>
  </si>
  <si>
    <t xml:space="preserve"> MARTINS-GOMES </t>
  </si>
  <si>
    <t xml:space="preserve"> DECHAUDAT </t>
  </si>
  <si>
    <t xml:space="preserve"> CUGAND TTAL </t>
  </si>
  <si>
    <t xml:space="preserve"> RAGUENEAU </t>
  </si>
  <si>
    <t xml:space="preserve"> JURCZAK </t>
  </si>
  <si>
    <t xml:space="preserve"> JARNISY TENNIS DE TABLE </t>
  </si>
  <si>
    <t xml:space="preserve"> TRAUTMANN </t>
  </si>
  <si>
    <t xml:space="preserve"> MORSBACH Sarre et Moselle </t>
  </si>
  <si>
    <t xml:space="preserve"> MATEJA </t>
  </si>
  <si>
    <t xml:space="preserve"> CUENOT </t>
  </si>
  <si>
    <t xml:space="preserve"> AS AVOUDREY T T </t>
  </si>
  <si>
    <t xml:space="preserve"> GILBERT DE CAUWER </t>
  </si>
  <si>
    <t xml:space="preserve"> Sisay </t>
  </si>
  <si>
    <t xml:space="preserve"> LUCK </t>
  </si>
  <si>
    <t xml:space="preserve"> DORLISHEIM SD </t>
  </si>
  <si>
    <t xml:space="preserve"> GUENARD </t>
  </si>
  <si>
    <t xml:space="preserve"> CARRILLAT </t>
  </si>
  <si>
    <t xml:space="preserve"> BARSOT </t>
  </si>
  <si>
    <t xml:space="preserve"> SAM TT LESPARRE </t>
  </si>
  <si>
    <t xml:space="preserve"> LONGEPE </t>
  </si>
  <si>
    <t xml:space="preserve"> Louis jean </t>
  </si>
  <si>
    <t xml:space="preserve"> NEDELEC </t>
  </si>
  <si>
    <t xml:space="preserve"> VAISSIERE </t>
  </si>
  <si>
    <t xml:space="preserve"> MINARD </t>
  </si>
  <si>
    <t xml:space="preserve"> DOUBLET </t>
  </si>
  <si>
    <t xml:space="preserve"> GROUSSAIN </t>
  </si>
  <si>
    <t xml:space="preserve"> LEYRIS </t>
  </si>
  <si>
    <t xml:space="preserve"> PREDOT </t>
  </si>
  <si>
    <t xml:space="preserve"> BOURHIS </t>
  </si>
  <si>
    <t xml:space="preserve"> BESNARD </t>
  </si>
  <si>
    <t xml:space="preserve"> ASSO OMNISP THUIT SIGNOL </t>
  </si>
  <si>
    <t xml:space="preserve"> IANETTI </t>
  </si>
  <si>
    <t xml:space="preserve"> TRICOIRE </t>
  </si>
  <si>
    <t xml:space="preserve"> BOULETREAULT </t>
  </si>
  <si>
    <t xml:space="preserve"> BOUCHE </t>
  </si>
  <si>
    <t xml:space="preserve"> HERARD </t>
  </si>
  <si>
    <t xml:space="preserve"> LE BOULER </t>
  </si>
  <si>
    <t xml:space="preserve"> PING SASSAY LOISIRS </t>
  </si>
  <si>
    <t xml:space="preserve"> BRONDEL </t>
  </si>
  <si>
    <t xml:space="preserve"> JACOULOT </t>
  </si>
  <si>
    <t xml:space="preserve"> DUREL </t>
  </si>
  <si>
    <t xml:space="preserve"> NAVREZ </t>
  </si>
  <si>
    <t xml:space="preserve"> AVENIR SPORTIF DE ST ELOI </t>
  </si>
  <si>
    <t xml:space="preserve"> ROCU </t>
  </si>
  <si>
    <t xml:space="preserve"> VIOLLET </t>
  </si>
  <si>
    <t xml:space="preserve"> CHIREZ </t>
  </si>
  <si>
    <t xml:space="preserve"> BEAURAINS AL </t>
  </si>
  <si>
    <t xml:space="preserve"> ROUSSETTE </t>
  </si>
  <si>
    <t xml:space="preserve"> TREFCON </t>
  </si>
  <si>
    <t xml:space="preserve"> LIFFRE U.S. </t>
  </si>
  <si>
    <t xml:space="preserve"> IMMELE </t>
  </si>
  <si>
    <t xml:space="preserve"> MORESTEL TENNIS DE TABLE </t>
  </si>
  <si>
    <t xml:space="preserve"> FATOUX </t>
  </si>
  <si>
    <t xml:space="preserve"> ROBLIN </t>
  </si>
  <si>
    <t xml:space="preserve"> LAMIRAL </t>
  </si>
  <si>
    <t xml:space="preserve"> GERBAUD </t>
  </si>
  <si>
    <t xml:space="preserve"> RIEUSSEC </t>
  </si>
  <si>
    <t xml:space="preserve"> US POMPONNE </t>
  </si>
  <si>
    <t xml:space="preserve"> WIMEREUX ALEB </t>
  </si>
  <si>
    <t xml:space="preserve"> CASTEL </t>
  </si>
  <si>
    <t xml:space="preserve"> E.S. BRUGES TT H.V. </t>
  </si>
  <si>
    <t xml:space="preserve"> COZELIN </t>
  </si>
  <si>
    <t xml:space="preserve"> TTE LAMPAUL-LOCMELAR </t>
  </si>
  <si>
    <t xml:space="preserve"> DUMENIL </t>
  </si>
  <si>
    <t xml:space="preserve"> AMIARD </t>
  </si>
  <si>
    <t xml:space="preserve"> VIOLAINES TT </t>
  </si>
  <si>
    <t xml:space="preserve"> PESQUERS </t>
  </si>
  <si>
    <t xml:space="preserve"> GRIMAULT </t>
  </si>
  <si>
    <t xml:space="preserve"> REGNIER </t>
  </si>
  <si>
    <t xml:space="preserve"> LE MARREC </t>
  </si>
  <si>
    <t xml:space="preserve"> LENAIN </t>
  </si>
  <si>
    <t xml:space="preserve"> FERRET </t>
  </si>
  <si>
    <t xml:space="preserve"> MARCEROU </t>
  </si>
  <si>
    <t xml:space="preserve"> TRIPOTEAU </t>
  </si>
  <si>
    <t xml:space="preserve"> Clovis </t>
  </si>
  <si>
    <t xml:space="preserve"> ELYOUSSFI </t>
  </si>
  <si>
    <t xml:space="preserve"> DELENCLOS </t>
  </si>
  <si>
    <t xml:space="preserve"> LE DANTEC </t>
  </si>
  <si>
    <t xml:space="preserve"> PARROT </t>
  </si>
  <si>
    <t xml:space="preserve"> LA CHARTRE A.P. </t>
  </si>
  <si>
    <t xml:space="preserve"> DUCRETTET </t>
  </si>
  <si>
    <t xml:space="preserve"> Jean denis </t>
  </si>
  <si>
    <t xml:space="preserve"> Vars Entente Pongiste </t>
  </si>
  <si>
    <t xml:space="preserve"> LOEBER </t>
  </si>
  <si>
    <t xml:space="preserve"> BRISSE </t>
  </si>
  <si>
    <t xml:space="preserve"> MENUCOURT ASTT </t>
  </si>
  <si>
    <t xml:space="preserve"> DOYELLE </t>
  </si>
  <si>
    <t xml:space="preserve"> RUPPEL </t>
  </si>
  <si>
    <t xml:space="preserve"> BILLIOTTE </t>
  </si>
  <si>
    <t xml:space="preserve"> DELPONT </t>
  </si>
  <si>
    <t xml:space="preserve"> VANRENTERGHEM </t>
  </si>
  <si>
    <t xml:space="preserve"> BOUTARD </t>
  </si>
  <si>
    <t xml:space="preserve"> SARAN USM </t>
  </si>
  <si>
    <t xml:space="preserve"> MERLIN </t>
  </si>
  <si>
    <t xml:space="preserve"> NICLAUSE </t>
  </si>
  <si>
    <t xml:space="preserve"> SERRAZIN </t>
  </si>
  <si>
    <t xml:space="preserve"> BOURBON </t>
  </si>
  <si>
    <t xml:space="preserve"> COIFFARD </t>
  </si>
  <si>
    <t xml:space="preserve"> GAMARD </t>
  </si>
  <si>
    <t xml:space="preserve"> CAYOT </t>
  </si>
  <si>
    <t xml:space="preserve"> 319D0458 </t>
  </si>
  <si>
    <t xml:space="preserve"> PETITE ILE CLUB PONGISTE </t>
  </si>
  <si>
    <t xml:space="preserve"> PENVERN </t>
  </si>
  <si>
    <t xml:space="preserve"> DELALANDE </t>
  </si>
  <si>
    <t xml:space="preserve"> FERRY </t>
  </si>
  <si>
    <t xml:space="preserve"> DOURNEL </t>
  </si>
  <si>
    <t xml:space="preserve"> POIX DE PICARDIE USTT </t>
  </si>
  <si>
    <t xml:space="preserve"> LE CACHEY </t>
  </si>
  <si>
    <t xml:space="preserve"> BEAUPUY-VERDUN TT </t>
  </si>
  <si>
    <t xml:space="preserve"> LE GUEN </t>
  </si>
  <si>
    <t xml:space="preserve"> FLOTTE </t>
  </si>
  <si>
    <t xml:space="preserve"> SOPHIA TENNIS DE TABLE </t>
  </si>
  <si>
    <t xml:space="preserve"> BESIAT </t>
  </si>
  <si>
    <t xml:space="preserve"> KIEN </t>
  </si>
  <si>
    <t xml:space="preserve"> DEHEUNYNCK </t>
  </si>
  <si>
    <t xml:space="preserve"> LAVERGNE </t>
  </si>
  <si>
    <t xml:space="preserve"> US BOUSCATAISE Tennis de </t>
  </si>
  <si>
    <t xml:space="preserve"> HOMBERT </t>
  </si>
  <si>
    <t xml:space="preserve"> A.S. LUYNES T.T. </t>
  </si>
  <si>
    <t xml:space="preserve"> RINTEAU </t>
  </si>
  <si>
    <t xml:space="preserve"> PING PONG CLUB ESTAGELLOI </t>
  </si>
  <si>
    <t xml:space="preserve"> MAGLIONE </t>
  </si>
  <si>
    <t xml:space="preserve"> CLUSES TENNIS DE TABLE </t>
  </si>
  <si>
    <t xml:space="preserve"> BOUSSELET </t>
  </si>
  <si>
    <t xml:space="preserve"> MIRECOURT Lift Club </t>
  </si>
  <si>
    <t xml:space="preserve"> SENECAL </t>
  </si>
  <si>
    <t xml:space="preserve"> LEDUC </t>
  </si>
  <si>
    <t xml:space="preserve"> LACHAUSSEE </t>
  </si>
  <si>
    <t xml:space="preserve"> VENDEL </t>
  </si>
  <si>
    <t xml:space="preserve"> U.S. MARTRES DE VEYRE TT </t>
  </si>
  <si>
    <t xml:space="preserve"> MORILLEAU </t>
  </si>
  <si>
    <t xml:space="preserve"> GRIVE </t>
  </si>
  <si>
    <t xml:space="preserve"> PRIEUR </t>
  </si>
  <si>
    <t xml:space="preserve"> MINOIS </t>
  </si>
  <si>
    <t xml:space="preserve"> LE DU </t>
  </si>
  <si>
    <t xml:space="preserve"> CARRETIER </t>
  </si>
  <si>
    <t xml:space="preserve"> Jean laurent </t>
  </si>
  <si>
    <t xml:space="preserve"> LERICHE </t>
  </si>
  <si>
    <t xml:space="preserve"> PANON </t>
  </si>
  <si>
    <t xml:space="preserve"> GRAZZIANO </t>
  </si>
  <si>
    <t xml:space="preserve"> CLERJAUD </t>
  </si>
  <si>
    <t xml:space="preserve"> St Germain Lusignan FR </t>
  </si>
  <si>
    <t xml:space="preserve"> PERHIRIN </t>
  </si>
  <si>
    <t xml:space="preserve"> MOYSAN </t>
  </si>
  <si>
    <t xml:space="preserve"> CLERGET </t>
  </si>
  <si>
    <t xml:space="preserve"> RENAUDIN </t>
  </si>
  <si>
    <t xml:space="preserve"> ES.JOUY ST-PREST TT. </t>
  </si>
  <si>
    <t xml:space="preserve"> BROUSSEAU </t>
  </si>
  <si>
    <t xml:space="preserve"> BRUCHLEN </t>
  </si>
  <si>
    <t xml:space="preserve"> WAZE </t>
  </si>
  <si>
    <t xml:space="preserve"> SONNENTRUCKER </t>
  </si>
  <si>
    <t xml:space="preserve"> EXXONMOBIL GRAVENCHON SL </t>
  </si>
  <si>
    <t xml:space="preserve"> SMADJA </t>
  </si>
  <si>
    <t xml:space="preserve"> GODEBERT </t>
  </si>
  <si>
    <t xml:space="preserve"> DE PAPE </t>
  </si>
  <si>
    <t xml:space="preserve"> HOELLINGER </t>
  </si>
  <si>
    <t xml:space="preserve"> OBERGAILBACH U.P. </t>
  </si>
  <si>
    <t xml:space="preserve"> PASSA </t>
  </si>
  <si>
    <t xml:space="preserve"> EYREAUD </t>
  </si>
  <si>
    <t xml:space="preserve"> BRUZ AMICALE LAIQUE </t>
  </si>
  <si>
    <t xml:space="preserve"> VECKENS </t>
  </si>
  <si>
    <t xml:space="preserve"> COPOVI </t>
  </si>
  <si>
    <t xml:space="preserve"> TIGNON </t>
  </si>
  <si>
    <t xml:space="preserve"> UNION ATH. CADILLACAISE </t>
  </si>
  <si>
    <t xml:space="preserve"> BONET </t>
  </si>
  <si>
    <t xml:space="preserve"> ECOUFLANT ASTTE </t>
  </si>
  <si>
    <t xml:space="preserve"> TENNIS DE TABLE PLUS </t>
  </si>
  <si>
    <t xml:space="preserve"> MULOT </t>
  </si>
  <si>
    <t xml:space="preserve"> FOUCAULT </t>
  </si>
  <si>
    <t xml:space="preserve"> PALAISY </t>
  </si>
  <si>
    <t xml:space="preserve"> LELEU </t>
  </si>
  <si>
    <t xml:space="preserve"> ANILLE BRAYE ABTT </t>
  </si>
  <si>
    <t xml:space="preserve"> CARD </t>
  </si>
  <si>
    <t xml:space="preserve"> CHAMPIGNEULLES Tennis de </t>
  </si>
  <si>
    <t xml:space="preserve"> RICHER </t>
  </si>
  <si>
    <t xml:space="preserve"> LUISANT AC Tennis de Tabl </t>
  </si>
  <si>
    <t xml:space="preserve"> URENA </t>
  </si>
  <si>
    <t xml:space="preserve"> DE SIA </t>
  </si>
  <si>
    <t xml:space="preserve"> BIROT </t>
  </si>
  <si>
    <t xml:space="preserve"> AUDOUAIRE </t>
  </si>
  <si>
    <t xml:space="preserve"> ST HERBLAIN A.S.H. </t>
  </si>
  <si>
    <t xml:space="preserve"> SAUGUES </t>
  </si>
  <si>
    <t xml:space="preserve"> LACOUR </t>
  </si>
  <si>
    <t xml:space="preserve"> PONTCHARRA - ST FORGEUX T </t>
  </si>
  <si>
    <t xml:space="preserve"> PERRAULT </t>
  </si>
  <si>
    <t xml:space="preserve"> KOLINSKY </t>
  </si>
  <si>
    <t xml:space="preserve"> DEBATY </t>
  </si>
  <si>
    <t xml:space="preserve"> JUIN </t>
  </si>
  <si>
    <t xml:space="preserve"> J michel </t>
  </si>
  <si>
    <t xml:space="preserve"> NAVARRE </t>
  </si>
  <si>
    <t xml:space="preserve"> Edgar </t>
  </si>
  <si>
    <t xml:space="preserve"> CORION </t>
  </si>
  <si>
    <t xml:space="preserve"> BERAULT </t>
  </si>
  <si>
    <t xml:space="preserve"> DEDIEU </t>
  </si>
  <si>
    <t xml:space="preserve"> BEAUVAISIS NORD TT </t>
  </si>
  <si>
    <t xml:space="preserve"> DELANOE </t>
  </si>
  <si>
    <t xml:space="preserve"> BOSSLER </t>
  </si>
  <si>
    <t xml:space="preserve"> PANNET </t>
  </si>
  <si>
    <t xml:space="preserve"> COURTISOLS VOLONT </t>
  </si>
  <si>
    <t xml:space="preserve"> LECERF </t>
  </si>
  <si>
    <t xml:space="preserve"> CHEVROLIERE DU LAC TT </t>
  </si>
  <si>
    <t xml:space="preserve"> SOLON </t>
  </si>
  <si>
    <t xml:space="preserve"> DURTAL Les </t>
  </si>
  <si>
    <t xml:space="preserve"> MASSELOT </t>
  </si>
  <si>
    <t xml:space="preserve"> VASLOT </t>
  </si>
  <si>
    <t xml:space="preserve"> HAEGELIN </t>
  </si>
  <si>
    <t xml:space="preserve"> HOANG </t>
  </si>
  <si>
    <t xml:space="preserve"> BOURGEAIS </t>
  </si>
  <si>
    <t xml:space="preserve"> KRATZER </t>
  </si>
  <si>
    <t xml:space="preserve"> PL VILLETTE PAUL BERT </t>
  </si>
  <si>
    <t xml:space="preserve"> LAFFUGE </t>
  </si>
  <si>
    <t xml:space="preserve"> FRAIOLI </t>
  </si>
  <si>
    <t xml:space="preserve"> SEGUIN </t>
  </si>
  <si>
    <t xml:space="preserve"> TT BASSIN BELLEGARDIEN </t>
  </si>
  <si>
    <t xml:space="preserve"> DURIN </t>
  </si>
  <si>
    <t xml:space="preserve"> GRIVEAU </t>
  </si>
  <si>
    <t xml:space="preserve"> REZE TENNIS DE TABLE </t>
  </si>
  <si>
    <t xml:space="preserve"> INGELAERE </t>
  </si>
  <si>
    <t xml:space="preserve"> PERENCHIES US </t>
  </si>
  <si>
    <t xml:space="preserve"> QUERE </t>
  </si>
  <si>
    <t xml:space="preserve"> PRINT </t>
  </si>
  <si>
    <t xml:space="preserve"> COHEN </t>
  </si>
  <si>
    <t xml:space="preserve"> Jean-jack </t>
  </si>
  <si>
    <t xml:space="preserve"> BELLETRE </t>
  </si>
  <si>
    <t xml:space="preserve"> TT BULLY </t>
  </si>
  <si>
    <t xml:space="preserve"> VERNEDAL </t>
  </si>
  <si>
    <t xml:space="preserve"> FRJEP ST GERMAIN L VERGNE </t>
  </si>
  <si>
    <t xml:space="preserve"> MONTSURS  USC </t>
  </si>
  <si>
    <t xml:space="preserve"> HULIN </t>
  </si>
  <si>
    <t xml:space="preserve"> CHAPELLE CRAONNAISE F.J </t>
  </si>
  <si>
    <t xml:space="preserve"> COPAIN </t>
  </si>
  <si>
    <t xml:space="preserve"> Avenir Kochersberg TT </t>
  </si>
  <si>
    <t xml:space="preserve"> DESMIDT </t>
  </si>
  <si>
    <t xml:space="preserve"> Dany </t>
  </si>
  <si>
    <t xml:space="preserve"> LOVATO </t>
  </si>
  <si>
    <t xml:space="preserve"> Jessy </t>
  </si>
  <si>
    <t xml:space="preserve"> TENNIS DE TABLE SOULETIN </t>
  </si>
  <si>
    <t xml:space="preserve"> MOCIO </t>
  </si>
  <si>
    <t xml:space="preserve"> MASSOUH </t>
  </si>
  <si>
    <t xml:space="preserve"> Thomasz </t>
  </si>
  <si>
    <t xml:space="preserve"> HOUILLES SO </t>
  </si>
  <si>
    <t xml:space="preserve"> NAVIAUX </t>
  </si>
  <si>
    <t xml:space="preserve"> MONTCY NOTRE DAME PPC </t>
  </si>
  <si>
    <t xml:space="preserve"> LE MORLEC </t>
  </si>
  <si>
    <t xml:space="preserve"> QUENOT </t>
  </si>
  <si>
    <t xml:space="preserve"> ATT GRANDVILLARS </t>
  </si>
  <si>
    <t xml:space="preserve"> LE GRAND </t>
  </si>
  <si>
    <t xml:space="preserve"> UJR LANGOLEN </t>
  </si>
  <si>
    <t xml:space="preserve"> COHAN </t>
  </si>
  <si>
    <t xml:space="preserve"> HAEUW </t>
  </si>
  <si>
    <t xml:space="preserve"> BEZER </t>
  </si>
  <si>
    <t xml:space="preserve"> PERPIGNAN ST GAUDERIQUE T </t>
  </si>
  <si>
    <t xml:space="preserve"> PRUDHOMME </t>
  </si>
  <si>
    <t xml:space="preserve"> RACAUD </t>
  </si>
  <si>
    <t xml:space="preserve"> GRARD </t>
  </si>
  <si>
    <t xml:space="preserve"> Alaurent </t>
  </si>
  <si>
    <t xml:space="preserve"> LES AGEUX FR </t>
  </si>
  <si>
    <t xml:space="preserve"> DEPP </t>
  </si>
  <si>
    <t xml:space="preserve"> GUERETIN </t>
  </si>
  <si>
    <t xml:space="preserve"> BLANC </t>
  </si>
  <si>
    <t xml:space="preserve"> VERDAGUER </t>
  </si>
  <si>
    <t xml:space="preserve"> GALLERIN </t>
  </si>
  <si>
    <t xml:space="preserve"> GUILLON </t>
  </si>
  <si>
    <t xml:space="preserve"> ST MICHEL CHEF CHEF  TTMT </t>
  </si>
  <si>
    <t xml:space="preserve"> BERTIN </t>
  </si>
  <si>
    <t xml:space="preserve"> US LILLEBONNE TENNIS DE T </t>
  </si>
  <si>
    <t xml:space="preserve"> BUI </t>
  </si>
  <si>
    <t xml:space="preserve"> BABARRO </t>
  </si>
  <si>
    <t xml:space="preserve"> APPOURCHAUX </t>
  </si>
  <si>
    <t xml:space="preserve"> VIDOT </t>
  </si>
  <si>
    <t xml:space="preserve"> Freddy jean ala </t>
  </si>
  <si>
    <t xml:space="preserve"> US MELUNAISE TT </t>
  </si>
  <si>
    <t xml:space="preserve"> GUITTON </t>
  </si>
  <si>
    <t xml:space="preserve"> MAUGUIO MJC </t>
  </si>
  <si>
    <t xml:space="preserve"> GODEAU </t>
  </si>
  <si>
    <t xml:space="preserve"> COUDERT </t>
  </si>
  <si>
    <t xml:space="preserve"> NIQUET </t>
  </si>
  <si>
    <t xml:space="preserve"> THILL </t>
  </si>
  <si>
    <t xml:space="preserve"> FEUVRIER </t>
  </si>
  <si>
    <t xml:space="preserve"> GUERRERO </t>
  </si>
  <si>
    <t xml:space="preserve"> HELF </t>
  </si>
  <si>
    <t xml:space="preserve"> MIANO </t>
  </si>
  <si>
    <t xml:space="preserve"> QUINT FONSEGRIVES TENNIS </t>
  </si>
  <si>
    <t xml:space="preserve"> VALLEIN </t>
  </si>
  <si>
    <t xml:space="preserve"> Mario </t>
  </si>
  <si>
    <t xml:space="preserve"> HARTER </t>
  </si>
  <si>
    <t xml:space="preserve"> GOURSAT </t>
  </si>
  <si>
    <t xml:space="preserve"> MOIOLI </t>
  </si>
  <si>
    <t xml:space="preserve"> SCHUER </t>
  </si>
  <si>
    <t xml:space="preserve"> FILAFERRO </t>
  </si>
  <si>
    <t xml:space="preserve"> US POMAREZ TT </t>
  </si>
  <si>
    <t xml:space="preserve"> DURDURET </t>
  </si>
  <si>
    <t xml:space="preserve"> BEYER </t>
  </si>
  <si>
    <t xml:space="preserve"> Tri </t>
  </si>
  <si>
    <t xml:space="preserve"> CHAZEL </t>
  </si>
  <si>
    <t xml:space="preserve"> GIRET </t>
  </si>
  <si>
    <t xml:space="preserve"> LAVAUD </t>
  </si>
  <si>
    <t xml:space="preserve"> CHOISY LE ROI TT </t>
  </si>
  <si>
    <t xml:space="preserve"> TAN KIM </t>
  </si>
  <si>
    <t xml:space="preserve"> Hoc </t>
  </si>
  <si>
    <t xml:space="preserve"> LAON ASPTT </t>
  </si>
  <si>
    <t xml:space="preserve"> Leny </t>
  </si>
  <si>
    <t xml:space="preserve"> Mansle   Coqs Rouges </t>
  </si>
  <si>
    <t xml:space="preserve"> PONTAIS </t>
  </si>
  <si>
    <t xml:space="preserve"> OTTENWELTER </t>
  </si>
  <si>
    <t xml:space="preserve"> RAINGUEZ </t>
  </si>
  <si>
    <t xml:space="preserve"> LOUCHET </t>
  </si>
  <si>
    <t xml:space="preserve"> GUYONNET </t>
  </si>
  <si>
    <t xml:space="preserve"> STADE PORTE NORMANDE VERN </t>
  </si>
  <si>
    <t xml:space="preserve"> BROMBIN </t>
  </si>
  <si>
    <t xml:space="preserve"> PONCHELET </t>
  </si>
  <si>
    <t xml:space="preserve"> CHAUNY-AUTREVILLE ACTT </t>
  </si>
  <si>
    <t xml:space="preserve"> KIKIC </t>
  </si>
  <si>
    <t xml:space="preserve"> KLAM </t>
  </si>
  <si>
    <t xml:space="preserve"> CLAUDE </t>
  </si>
  <si>
    <t xml:space="preserve"> CAUFFRY TT </t>
  </si>
  <si>
    <t xml:space="preserve"> HUYGHE </t>
  </si>
  <si>
    <t xml:space="preserve"> LEVY </t>
  </si>
  <si>
    <t xml:space="preserve"> CHAILLY LORRIS VM TT </t>
  </si>
  <si>
    <t xml:space="preserve"> BARD </t>
  </si>
  <si>
    <t xml:space="preserve"> T.T. JOUE-LES-TOURS </t>
  </si>
  <si>
    <t xml:space="preserve"> GAILLARD </t>
  </si>
  <si>
    <t xml:space="preserve"> SC PRIVAS TT </t>
  </si>
  <si>
    <t xml:space="preserve"> DE ROECK </t>
  </si>
  <si>
    <t xml:space="preserve"> GARGENVILLE CO </t>
  </si>
  <si>
    <t xml:space="preserve"> GUALA </t>
  </si>
  <si>
    <t xml:space="preserve"> BRODEL </t>
  </si>
  <si>
    <t xml:space="preserve"> VERNEDE </t>
  </si>
  <si>
    <t xml:space="preserve"> DENECHERE </t>
  </si>
  <si>
    <t xml:space="preserve"> FELICI </t>
  </si>
  <si>
    <t xml:space="preserve"> BIGNARDI </t>
  </si>
  <si>
    <t xml:space="preserve"> Maurice </t>
  </si>
  <si>
    <t xml:space="preserve"> MOULTAIS AVENIR SPORTIF </t>
  </si>
  <si>
    <t xml:space="preserve"> MARTY </t>
  </si>
  <si>
    <t xml:space="preserve"> Bastien </t>
  </si>
  <si>
    <t xml:space="preserve"> SABISCH </t>
  </si>
  <si>
    <t xml:space="preserve"> RAECKELBOOM </t>
  </si>
  <si>
    <t xml:space="preserve"> VILLATTE </t>
  </si>
  <si>
    <t xml:space="preserve"> POTTIER </t>
  </si>
  <si>
    <t xml:space="preserve"> Jean loup </t>
  </si>
  <si>
    <t xml:space="preserve"> YUSTE </t>
  </si>
  <si>
    <t xml:space="preserve"> DELZENNE </t>
  </si>
  <si>
    <t xml:space="preserve"> LEPAS </t>
  </si>
  <si>
    <t xml:space="preserve"> CHANTRIAUX </t>
  </si>
  <si>
    <t xml:space="preserve"> ROBISSON </t>
  </si>
  <si>
    <t xml:space="preserve"> A.S. VERETZ TT </t>
  </si>
  <si>
    <t xml:space="preserve"> VANICAT </t>
  </si>
  <si>
    <t xml:space="preserve"> NOGENT/OISE ZUP JEUNES </t>
  </si>
  <si>
    <t xml:space="preserve"> LEIZOUR </t>
  </si>
  <si>
    <t xml:space="preserve"> BALESI </t>
  </si>
  <si>
    <t xml:space="preserve"> TRUBERT </t>
  </si>
  <si>
    <t xml:space="preserve"> Jean-raymond </t>
  </si>
  <si>
    <t xml:space="preserve"> CANETE </t>
  </si>
  <si>
    <t xml:space="preserve"> EVIN </t>
  </si>
  <si>
    <t xml:space="preserve"> BROCVIELLE </t>
  </si>
  <si>
    <t xml:space="preserve"> SAUVE </t>
  </si>
  <si>
    <t xml:space="preserve"> VILLENEUVE D'ASCQ DECATHL </t>
  </si>
  <si>
    <t xml:space="preserve"> LEPRETRE </t>
  </si>
  <si>
    <t xml:space="preserve"> CANDELIER </t>
  </si>
  <si>
    <t xml:space="preserve"> ROUBAIX AP </t>
  </si>
  <si>
    <t xml:space="preserve"> CHOBLET </t>
  </si>
  <si>
    <t xml:space="preserve"> Jean Marc </t>
  </si>
  <si>
    <t xml:space="preserve"> PEYR </t>
  </si>
  <si>
    <t xml:space="preserve"> TERENCIO </t>
  </si>
  <si>
    <t xml:space="preserve"> PHAM </t>
  </si>
  <si>
    <t xml:space="preserve"> CORCY TENNIS DE TABLE </t>
  </si>
  <si>
    <t xml:space="preserve"> MATZKEIT </t>
  </si>
  <si>
    <t xml:space="preserve"> DRUART </t>
  </si>
  <si>
    <t xml:space="preserve"> TERMENS </t>
  </si>
  <si>
    <t xml:space="preserve"> VANDERHAEGHE </t>
  </si>
  <si>
    <t xml:space="preserve"> MORTAGNE FRATERNELLE </t>
  </si>
  <si>
    <t xml:space="preserve"> LE TENNIS DE TABLE MANDEL </t>
  </si>
  <si>
    <t xml:space="preserve"> PLOUESCAT TT CLUB </t>
  </si>
  <si>
    <t xml:space="preserve"> QUOY </t>
  </si>
  <si>
    <t xml:space="preserve"> FRENOUVILLAIS TT </t>
  </si>
  <si>
    <t xml:space="preserve"> VANHUSE </t>
  </si>
  <si>
    <t xml:space="preserve"> WIRTH </t>
  </si>
  <si>
    <t xml:space="preserve"> EALET </t>
  </si>
  <si>
    <t xml:space="preserve"> ROBBE </t>
  </si>
  <si>
    <t xml:space="preserve"> Clement </t>
  </si>
  <si>
    <t xml:space="preserve"> GARDON </t>
  </si>
  <si>
    <t xml:space="preserve"> MEHL </t>
  </si>
  <si>
    <t xml:space="preserve"> IBANEZ </t>
  </si>
  <si>
    <t xml:space="preserve"> BOILLON </t>
  </si>
  <si>
    <t xml:space="preserve"> BLAT </t>
  </si>
  <si>
    <t xml:space="preserve"> VALLAT </t>
  </si>
  <si>
    <t xml:space="preserve"> JEANNE D ARC DE MAICHE </t>
  </si>
  <si>
    <t xml:space="preserve"> HERGAULT </t>
  </si>
  <si>
    <t xml:space="preserve"> BONDERFF </t>
  </si>
  <si>
    <t xml:space="preserve"> ORGERUS ATT </t>
  </si>
  <si>
    <t xml:space="preserve"> FREMONT </t>
  </si>
  <si>
    <t xml:space="preserve"> CALAN </t>
  </si>
  <si>
    <t xml:space="preserve"> BERAUD </t>
  </si>
  <si>
    <t xml:space="preserve"> DE ALMEIDA </t>
  </si>
  <si>
    <t xml:space="preserve"> CAILLOUX </t>
  </si>
  <si>
    <t xml:space="preserve"> POMEROLS FRTT 34 </t>
  </si>
  <si>
    <t xml:space="preserve"> LEAUTE </t>
  </si>
  <si>
    <t xml:space="preserve"> JANOSKA </t>
  </si>
  <si>
    <t xml:space="preserve"> PARRET </t>
  </si>
  <si>
    <t xml:space="preserve"> SACKEBANDT </t>
  </si>
  <si>
    <t xml:space="preserve"> HALLENNES LEZ HAUBOURDIN </t>
  </si>
  <si>
    <t xml:space="preserve"> MATEOS </t>
  </si>
  <si>
    <t xml:space="preserve"> PAUILHAC </t>
  </si>
  <si>
    <t xml:space="preserve"> LEPLUMEY </t>
  </si>
  <si>
    <t xml:space="preserve"> CASASUS </t>
  </si>
  <si>
    <t xml:space="preserve"> SC GRETZ TOURNAN </t>
  </si>
  <si>
    <t xml:space="preserve"> GUILLEMETTE </t>
  </si>
  <si>
    <t xml:space="preserve"> DELEAN </t>
  </si>
  <si>
    <t xml:space="preserve"> WIZA </t>
  </si>
  <si>
    <t xml:space="preserve"> TEURTERIE </t>
  </si>
  <si>
    <t xml:space="preserve"> JARRETON </t>
  </si>
  <si>
    <t xml:space="preserve"> GABILLAT </t>
  </si>
  <si>
    <t xml:space="preserve"> A.S.T.T. L'ISLOIS </t>
  </si>
  <si>
    <t xml:space="preserve"> KRAUS </t>
  </si>
  <si>
    <t xml:space="preserve"> GEORGELIN </t>
  </si>
  <si>
    <t xml:space="preserve"> FREY </t>
  </si>
  <si>
    <t xml:space="preserve"> DUWA </t>
  </si>
  <si>
    <t xml:space="preserve"> BREMOND </t>
  </si>
  <si>
    <t xml:space="preserve"> ZEIMET </t>
  </si>
  <si>
    <t xml:space="preserve"> Jürgen </t>
  </si>
  <si>
    <t xml:space="preserve"> FALAISE ES </t>
  </si>
  <si>
    <t xml:space="preserve"> E.P.L.R. CHARNAY </t>
  </si>
  <si>
    <t xml:space="preserve"> LURIER </t>
  </si>
  <si>
    <t xml:space="preserve"> AS VARZY </t>
  </si>
  <si>
    <t xml:space="preserve"> GLEYROUX </t>
  </si>
  <si>
    <t xml:space="preserve"> SPAGNOL </t>
  </si>
  <si>
    <t xml:space="preserve"> ARMENTIERES  FJEP </t>
  </si>
  <si>
    <t xml:space="preserve"> BOSSUT </t>
  </si>
  <si>
    <t xml:space="preserve"> LEON </t>
  </si>
  <si>
    <t xml:space="preserve"> L'Isle d'Espagnac 3STT </t>
  </si>
  <si>
    <t xml:space="preserve"> CHAU </t>
  </si>
  <si>
    <t xml:space="preserve"> Kimly </t>
  </si>
  <si>
    <t xml:space="preserve"> CERDAN </t>
  </si>
  <si>
    <t xml:space="preserve"> Idriss </t>
  </si>
  <si>
    <t xml:space="preserve"> TT SAINT-PATHUS </t>
  </si>
  <si>
    <t xml:space="preserve"> LACOMBE </t>
  </si>
  <si>
    <t xml:space="preserve"> MARCOT </t>
  </si>
  <si>
    <t xml:space="preserve"> THIAVILLE les 2 vallées T </t>
  </si>
  <si>
    <t xml:space="preserve"> GASC </t>
  </si>
  <si>
    <t xml:space="preserve"> PPC FUXEEN </t>
  </si>
  <si>
    <t xml:space="preserve"> KIM </t>
  </si>
  <si>
    <t xml:space="preserve"> Ernest </t>
  </si>
  <si>
    <t xml:space="preserve"> MAUFFREY </t>
  </si>
  <si>
    <t xml:space="preserve"> ELOYES C.L.L.T.T. </t>
  </si>
  <si>
    <t xml:space="preserve"> LEGRAND </t>
  </si>
  <si>
    <t xml:space="preserve"> CARDONA </t>
  </si>
  <si>
    <t xml:space="preserve"> GRATON </t>
  </si>
  <si>
    <t xml:space="preserve"> NOUYOU </t>
  </si>
  <si>
    <t xml:space="preserve"> AMBILLOU CHATEAU ASVR TT </t>
  </si>
  <si>
    <t xml:space="preserve"> CONDE SUR ESCAUT TT </t>
  </si>
  <si>
    <t xml:space="preserve"> BORDERIE </t>
  </si>
  <si>
    <t xml:space="preserve"> EHRET </t>
  </si>
  <si>
    <t xml:space="preserve"> Rene </t>
  </si>
  <si>
    <t xml:space="preserve"> OBENHEIM CTT </t>
  </si>
  <si>
    <t xml:space="preserve"> MACIA </t>
  </si>
  <si>
    <t xml:space="preserve"> BARILLOT </t>
  </si>
  <si>
    <t xml:space="preserve"> BLEUZE </t>
  </si>
  <si>
    <t xml:space="preserve"> CHAMPAGNE TENNIS DE TABLE </t>
  </si>
  <si>
    <t xml:space="preserve"> NORVILLE </t>
  </si>
  <si>
    <t xml:space="preserve"> SIMONET </t>
  </si>
  <si>
    <t xml:space="preserve"> Echillais-St agnant TT </t>
  </si>
  <si>
    <t xml:space="preserve"> BOITELLE </t>
  </si>
  <si>
    <t xml:space="preserve"> HOLNON-ITANCOURT TT </t>
  </si>
  <si>
    <t xml:space="preserve"> ARMANT </t>
  </si>
  <si>
    <t xml:space="preserve"> AU </t>
  </si>
  <si>
    <t xml:space="preserve"> AL PLUGUFFAN </t>
  </si>
  <si>
    <t xml:space="preserve"> MALANDAIN </t>
  </si>
  <si>
    <t xml:space="preserve"> Arsene </t>
  </si>
  <si>
    <t xml:space="preserve"> SOULISSE </t>
  </si>
  <si>
    <t xml:space="preserve"> LESEURRE </t>
  </si>
  <si>
    <t xml:space="preserve"> SISSONNE CP </t>
  </si>
  <si>
    <t xml:space="preserve"> Marie albert </t>
  </si>
  <si>
    <t xml:space="preserve"> LE MEE SPORTS </t>
  </si>
  <si>
    <t xml:space="preserve"> BINAULT </t>
  </si>
  <si>
    <t xml:space="preserve"> LUGAZ </t>
  </si>
  <si>
    <t xml:space="preserve"> LECOQ </t>
  </si>
  <si>
    <t xml:space="preserve"> CONTEST ST BAUDELLE </t>
  </si>
  <si>
    <t xml:space="preserve"> RONCIN </t>
  </si>
  <si>
    <t xml:space="preserve"> BERGERAN </t>
  </si>
  <si>
    <t xml:space="preserve"> CABANTOUS </t>
  </si>
  <si>
    <t xml:space="preserve"> LOUGE ST BRICE ES </t>
  </si>
  <si>
    <t xml:space="preserve"> BROCHET </t>
  </si>
  <si>
    <t xml:space="preserve"> PASQUIER </t>
  </si>
  <si>
    <t xml:space="preserve"> EPESSES (Les) </t>
  </si>
  <si>
    <t xml:space="preserve"> VILLER </t>
  </si>
  <si>
    <t xml:space="preserve"> MONCHOIS </t>
  </si>
  <si>
    <t xml:space="preserve"> ISIGNY/ST PELLERIN TT </t>
  </si>
  <si>
    <t xml:space="preserve"> LE FUR </t>
  </si>
  <si>
    <t xml:space="preserve"> DETOC </t>
  </si>
  <si>
    <t xml:space="preserve"> BURGAUD </t>
  </si>
  <si>
    <t xml:space="preserve"> ANDREZE-BEAUPREAU TT </t>
  </si>
  <si>
    <t xml:space="preserve"> DARSY </t>
  </si>
  <si>
    <t xml:space="preserve"> BOURBOURG SCTT </t>
  </si>
  <si>
    <t xml:space="preserve"> LABALETTE </t>
  </si>
  <si>
    <t xml:space="preserve"> NEYRAUD </t>
  </si>
  <si>
    <t xml:space="preserve"> BEDUNEAU </t>
  </si>
  <si>
    <t xml:space="preserve"> LEQUINT </t>
  </si>
  <si>
    <t xml:space="preserve"> TERREFON </t>
  </si>
  <si>
    <t xml:space="preserve"> DELAHAYE </t>
  </si>
  <si>
    <t xml:space="preserve"> LE NABOUR </t>
  </si>
  <si>
    <t xml:space="preserve"> F.L.E.P. PORT-LOUIS </t>
  </si>
  <si>
    <t xml:space="preserve"> PERARD </t>
  </si>
  <si>
    <t xml:space="preserve"> PLOTON </t>
  </si>
  <si>
    <t xml:space="preserve"> GEORGELET </t>
  </si>
  <si>
    <t xml:space="preserve"> CARBONE </t>
  </si>
  <si>
    <t xml:space="preserve"> BLANCO </t>
  </si>
  <si>
    <t xml:space="preserve"> Francisco </t>
  </si>
  <si>
    <t xml:space="preserve"> ES. VILLEFRANCHE/S/CHER </t>
  </si>
  <si>
    <t xml:space="preserve"> BRUYNEEL </t>
  </si>
  <si>
    <t xml:space="preserve"> CLICHY SUR SEINE CS </t>
  </si>
  <si>
    <t xml:space="preserve"> VAGNER </t>
  </si>
  <si>
    <t xml:space="preserve"> Guénaël </t>
  </si>
  <si>
    <t xml:space="preserve"> CORRE </t>
  </si>
  <si>
    <t xml:space="preserve"> BRICQUEBEC UC </t>
  </si>
  <si>
    <t xml:space="preserve"> DUCHEMIN </t>
  </si>
  <si>
    <t xml:space="preserve"> MONTJEAN Tennis de Table </t>
  </si>
  <si>
    <t xml:space="preserve"> HIEN </t>
  </si>
  <si>
    <t xml:space="preserve"> SEYNOD TENNIS DE TABLE </t>
  </si>
  <si>
    <t xml:space="preserve"> LAVAYSSE </t>
  </si>
  <si>
    <t xml:space="preserve"> PINTE </t>
  </si>
  <si>
    <t xml:space="preserve"> BOUSBECQUE TT/WERVICQ SUD </t>
  </si>
  <si>
    <t xml:space="preserve"> GIBAULT </t>
  </si>
  <si>
    <t xml:space="preserve"> A.T.T. CHABRIS </t>
  </si>
  <si>
    <t xml:space="preserve"> Asso TT SANTEC-ROSCOFF </t>
  </si>
  <si>
    <t xml:space="preserve"> DEMELLIER </t>
  </si>
  <si>
    <t xml:space="preserve"> PPC VILLENEUVE </t>
  </si>
  <si>
    <t xml:space="preserve"> AVONDE </t>
  </si>
  <si>
    <t xml:space="preserve"> ASM AMFREVILLE TT </t>
  </si>
  <si>
    <t xml:space="preserve"> YOU </t>
  </si>
  <si>
    <t xml:space="preserve"> CHANTONNAY T.T. </t>
  </si>
  <si>
    <t xml:space="preserve"> SAVEAN </t>
  </si>
  <si>
    <t xml:space="preserve"> BOULIER </t>
  </si>
  <si>
    <t xml:space="preserve"> COUVRAT </t>
  </si>
  <si>
    <t xml:space="preserve"> PECRIAUX </t>
  </si>
  <si>
    <t xml:space="preserve"> MONTERO </t>
  </si>
  <si>
    <t xml:space="preserve"> GAILLARDO </t>
  </si>
  <si>
    <t xml:space="preserve"> PROD'HOMME </t>
  </si>
  <si>
    <t xml:space="preserve"> F.O.L.C. LORIENT OUEST </t>
  </si>
  <si>
    <t xml:space="preserve"> DUPEYRON </t>
  </si>
  <si>
    <t xml:space="preserve"> DANNEL </t>
  </si>
  <si>
    <t xml:space="preserve"> LEBEAUPIN </t>
  </si>
  <si>
    <t xml:space="preserve"> VAYSSE </t>
  </si>
  <si>
    <t xml:space="preserve"> TASARZ </t>
  </si>
  <si>
    <t xml:space="preserve"> CADORIN </t>
  </si>
  <si>
    <t xml:space="preserve"> SAINT MARCEL TT  SMTT </t>
  </si>
  <si>
    <t xml:space="preserve"> CHATRES LA FORET C.F.L </t>
  </si>
  <si>
    <t xml:space="preserve"> CODEVILLE </t>
  </si>
  <si>
    <t xml:space="preserve"> SILVA MORAIS </t>
  </si>
  <si>
    <t xml:space="preserve"> DUPLAT </t>
  </si>
  <si>
    <t xml:space="preserve"> MEURCHIN ESPOIR  TT </t>
  </si>
  <si>
    <t xml:space="preserve"> ABOVICI </t>
  </si>
  <si>
    <t xml:space="preserve"> Chateaubernard SL TT </t>
  </si>
  <si>
    <t xml:space="preserve"> LAILLE TT US </t>
  </si>
  <si>
    <t xml:space="preserve"> RIPOCHE </t>
  </si>
  <si>
    <t xml:space="preserve"> SAUVAGE </t>
  </si>
  <si>
    <t xml:space="preserve"> Romaric </t>
  </si>
  <si>
    <t xml:space="preserve"> Rorthais AP </t>
  </si>
  <si>
    <t xml:space="preserve"> TALLARD </t>
  </si>
  <si>
    <t xml:space="preserve"> DARU </t>
  </si>
  <si>
    <t xml:space="preserve"> HERBETH </t>
  </si>
  <si>
    <t xml:space="preserve"> ATHIAS </t>
  </si>
  <si>
    <t xml:space="preserve"> ASC LAVERNAY </t>
  </si>
  <si>
    <t xml:space="preserve"> Hamid </t>
  </si>
  <si>
    <t xml:space="preserve"> PEPE </t>
  </si>
  <si>
    <t xml:space="preserve"> CHESNEAU </t>
  </si>
  <si>
    <t xml:space="preserve"> GREZ EN BOUÉRE C.P </t>
  </si>
  <si>
    <t xml:space="preserve"> AGNUS </t>
  </si>
  <si>
    <t xml:space="preserve"> TERRO </t>
  </si>
  <si>
    <t xml:space="preserve"> Luiguy </t>
  </si>
  <si>
    <t xml:space="preserve"> DUPRE </t>
  </si>
  <si>
    <t xml:space="preserve"> HOUDRE </t>
  </si>
  <si>
    <t xml:space="preserve"> Chistophe </t>
  </si>
  <si>
    <t xml:space="preserve"> CORBRION </t>
  </si>
  <si>
    <t xml:space="preserve"> Maxence </t>
  </si>
  <si>
    <t xml:space="preserve"> CLOU </t>
  </si>
  <si>
    <t xml:space="preserve"> BEIGNON </t>
  </si>
  <si>
    <t xml:space="preserve"> IGNATIO </t>
  </si>
  <si>
    <t xml:space="preserve"> DEGRAEVE </t>
  </si>
  <si>
    <t xml:space="preserve"> LE LANNIER </t>
  </si>
  <si>
    <t xml:space="preserve"> F.C.J. CAUDAN </t>
  </si>
  <si>
    <t xml:space="preserve"> GONZALES </t>
  </si>
  <si>
    <t xml:space="preserve"> BARBEROUSSE </t>
  </si>
  <si>
    <t xml:space="preserve"> SOR </t>
  </si>
  <si>
    <t xml:space="preserve"> Kiet </t>
  </si>
  <si>
    <t xml:space="preserve"> R.S.C. CHAMPIGNY </t>
  </si>
  <si>
    <t xml:space="preserve"> LE ROCH </t>
  </si>
  <si>
    <t xml:space="preserve"> BELZON </t>
  </si>
  <si>
    <t xml:space="preserve"> WIDMER </t>
  </si>
  <si>
    <t xml:space="preserve"> FERRE </t>
  </si>
  <si>
    <t xml:space="preserve"> POUEZE-LOUROUX - UP </t>
  </si>
  <si>
    <t xml:space="preserve"> BAYON </t>
  </si>
  <si>
    <t xml:space="preserve"> LOUSSIER </t>
  </si>
  <si>
    <t xml:space="preserve"> BROUSSAUD </t>
  </si>
  <si>
    <t xml:space="preserve"> FAVREUILLE </t>
  </si>
  <si>
    <t xml:space="preserve"> La Roche Posay TT </t>
  </si>
  <si>
    <t xml:space="preserve"> BENHAIM </t>
  </si>
  <si>
    <t xml:space="preserve"> CRUSEILLES TT </t>
  </si>
  <si>
    <t xml:space="preserve"> POIRON </t>
  </si>
  <si>
    <t xml:space="preserve"> CASTELLOTTI </t>
  </si>
  <si>
    <t xml:space="preserve"> Roberto </t>
  </si>
  <si>
    <t xml:space="preserve"> REMIREMONT T.T. </t>
  </si>
  <si>
    <t xml:space="preserve"> Jean sebastien </t>
  </si>
  <si>
    <t xml:space="preserve"> AS POMEYS TT </t>
  </si>
  <si>
    <t xml:space="preserve"> PERRIERE </t>
  </si>
  <si>
    <t xml:space="preserve"> HAUTIER </t>
  </si>
  <si>
    <t xml:space="preserve"> COMMER Étoile Bleue </t>
  </si>
  <si>
    <t xml:space="preserve"> MORNET </t>
  </si>
  <si>
    <t xml:space="preserve"> PECARD </t>
  </si>
  <si>
    <t xml:space="preserve"> FORT MAHON PLAGE AAE </t>
  </si>
  <si>
    <t xml:space="preserve"> GIVRY </t>
  </si>
  <si>
    <t xml:space="preserve"> JANSSENS </t>
  </si>
  <si>
    <t xml:space="preserve"> PP.ST-GEORGES/CHER </t>
  </si>
  <si>
    <t xml:space="preserve"> HUSTACHE </t>
  </si>
  <si>
    <t xml:space="preserve"> BARDENET </t>
  </si>
  <si>
    <t xml:space="preserve"> ENTENTE MALCOMBE THISE MA </t>
  </si>
  <si>
    <t xml:space="preserve"> COHEN SELMON </t>
  </si>
  <si>
    <t xml:space="preserve"> DESMOULINS </t>
  </si>
  <si>
    <t xml:space="preserve"> COSNUAU </t>
  </si>
  <si>
    <t xml:space="preserve"> NESME </t>
  </si>
  <si>
    <t xml:space="preserve"> Ivan </t>
  </si>
  <si>
    <t xml:space="preserve"> DEPPNER </t>
  </si>
  <si>
    <t xml:space="preserve"> VAILLANT </t>
  </si>
  <si>
    <t xml:space="preserve"> CANTELEU MAROMME TT </t>
  </si>
  <si>
    <t xml:space="preserve"> DURANCEAU </t>
  </si>
  <si>
    <t xml:space="preserve"> Périgny Ping </t>
  </si>
  <si>
    <t xml:space="preserve"> CHOU </t>
  </si>
  <si>
    <t xml:space="preserve"> Dorassy </t>
  </si>
  <si>
    <t xml:space="preserve"> BRIAN </t>
  </si>
  <si>
    <t xml:space="preserve"> MANTEL </t>
  </si>
  <si>
    <t xml:space="preserve"> LAMIDEY </t>
  </si>
  <si>
    <t xml:space="preserve"> FILS DE FRANCE DE BEAUNE </t>
  </si>
  <si>
    <t xml:space="preserve"> MAZE </t>
  </si>
  <si>
    <t xml:space="preserve"> DAMPERON </t>
  </si>
  <si>
    <t xml:space="preserve"> HARCY FPT </t>
  </si>
  <si>
    <t xml:space="preserve"> DRAPP </t>
  </si>
  <si>
    <t xml:space="preserve"> BLONDIAUX </t>
  </si>
  <si>
    <t xml:space="preserve"> MOUGINOT </t>
  </si>
  <si>
    <t xml:space="preserve"> QUESNEL </t>
  </si>
  <si>
    <t xml:space="preserve"> REGNAULT </t>
  </si>
  <si>
    <t xml:space="preserve"> MORITZ </t>
  </si>
  <si>
    <t xml:space="preserve"> SELESTAT CCA </t>
  </si>
  <si>
    <t xml:space="preserve"> DURIF </t>
  </si>
  <si>
    <t xml:space="preserve"> DAUGER </t>
  </si>
  <si>
    <t xml:space="preserve"> GANACHE </t>
  </si>
  <si>
    <t xml:space="preserve"> JUILLARD </t>
  </si>
  <si>
    <t xml:space="preserve"> TROIS SETS BOLBECAIS </t>
  </si>
  <si>
    <t xml:space="preserve"> COURAUD </t>
  </si>
  <si>
    <t xml:space="preserve"> GAULTIER </t>
  </si>
  <si>
    <t xml:space="preserve"> KINZINGER </t>
  </si>
  <si>
    <t xml:space="preserve"> DEVE </t>
  </si>
  <si>
    <t xml:space="preserve"> CACHAN COC TT </t>
  </si>
  <si>
    <t xml:space="preserve"> PERRIOT </t>
  </si>
  <si>
    <t xml:space="preserve"> GARNI </t>
  </si>
  <si>
    <t xml:space="preserve"> POL </t>
  </si>
  <si>
    <t xml:space="preserve"> ROOST-WARENDIN-DMF AS </t>
  </si>
  <si>
    <t xml:space="preserve"> BLOUET </t>
  </si>
  <si>
    <t xml:space="preserve"> Alberic </t>
  </si>
  <si>
    <t xml:space="preserve"> TESSOUALLE (LA) - E.A. </t>
  </si>
  <si>
    <t xml:space="preserve"> BALBASTRE </t>
  </si>
  <si>
    <t xml:space="preserve"> MARQUISE ASTT </t>
  </si>
  <si>
    <t xml:space="preserve"> LEBOURG </t>
  </si>
  <si>
    <t xml:space="preserve"> COSTENOBLE </t>
  </si>
  <si>
    <t xml:space="preserve"> LENOBLE </t>
  </si>
  <si>
    <t xml:space="preserve"> LOR </t>
  </si>
  <si>
    <t xml:space="preserve"> LAFRAGETTE </t>
  </si>
  <si>
    <t xml:space="preserve"> LEVALLOIS </t>
  </si>
  <si>
    <t xml:space="preserve"> BOISNARD </t>
  </si>
  <si>
    <t xml:space="preserve"> TIBULLE </t>
  </si>
  <si>
    <t xml:space="preserve"> TT KEMPERLE </t>
  </si>
  <si>
    <t xml:space="preserve"> CATEAU </t>
  </si>
  <si>
    <t xml:space="preserve"> PETITGENET </t>
  </si>
  <si>
    <t xml:space="preserve"> UZEMAIN </t>
  </si>
  <si>
    <t xml:space="preserve"> BORDERON </t>
  </si>
  <si>
    <t xml:space="preserve"> SEGUINIERE (LA) TT </t>
  </si>
  <si>
    <t xml:space="preserve"> BOUSQUET </t>
  </si>
  <si>
    <t xml:space="preserve"> LESTIENNE </t>
  </si>
  <si>
    <t xml:space="preserve"> BIGNON </t>
  </si>
  <si>
    <t xml:space="preserve"> GENOUILLE </t>
  </si>
  <si>
    <t xml:space="preserve"> BAROIS </t>
  </si>
  <si>
    <t xml:space="preserve"> DEVAUD </t>
  </si>
  <si>
    <t xml:space="preserve"> HADAM </t>
  </si>
  <si>
    <t xml:space="preserve"> GOURLIER </t>
  </si>
  <si>
    <t xml:space="preserve"> LE GORJU </t>
  </si>
  <si>
    <t xml:space="preserve"> CARLES </t>
  </si>
  <si>
    <t xml:space="preserve"> PONTORSON TT AL </t>
  </si>
  <si>
    <t xml:space="preserve"> Reginald </t>
  </si>
  <si>
    <t xml:space="preserve"> LAVILLE </t>
  </si>
  <si>
    <t xml:space="preserve"> ARNAUD </t>
  </si>
  <si>
    <t xml:space="preserve"> MOUTIERS MAUXFAITS TT </t>
  </si>
  <si>
    <t xml:space="preserve"> AUGEREAU </t>
  </si>
  <si>
    <t xml:space="preserve"> THARAUD </t>
  </si>
  <si>
    <t xml:space="preserve"> COF DUNOISE PONGISTE </t>
  </si>
  <si>
    <t xml:space="preserve"> BERROCHE </t>
  </si>
  <si>
    <t xml:space="preserve"> BOISSEAU </t>
  </si>
  <si>
    <t xml:space="preserve"> MENAGER </t>
  </si>
  <si>
    <t xml:space="preserve"> CONNERRE-LOMBRON  MJ </t>
  </si>
  <si>
    <t xml:space="preserve"> WARNIER </t>
  </si>
  <si>
    <t xml:space="preserve"> BOIZET </t>
  </si>
  <si>
    <t xml:space="preserve"> RIOUALL </t>
  </si>
  <si>
    <t xml:space="preserve"> TRIBILLON </t>
  </si>
  <si>
    <t xml:space="preserve"> NIBOUREL </t>
  </si>
  <si>
    <t xml:space="preserve"> MONTREVAULT-MONTLIMART TT </t>
  </si>
  <si>
    <t xml:space="preserve"> BILLON </t>
  </si>
  <si>
    <t xml:space="preserve"> Patric </t>
  </si>
  <si>
    <t xml:space="preserve"> ALARY </t>
  </si>
  <si>
    <t xml:space="preserve"> KMIECINSKI </t>
  </si>
  <si>
    <t xml:space="preserve"> LAFARGE </t>
  </si>
  <si>
    <t xml:space="preserve"> DRUESNE </t>
  </si>
  <si>
    <t xml:space="preserve"> RODRIGUEZ </t>
  </si>
  <si>
    <t xml:space="preserve"> QUEMENER </t>
  </si>
  <si>
    <t xml:space="preserve"> BEVIERRE </t>
  </si>
  <si>
    <t xml:space="preserve"> MOYNOT </t>
  </si>
  <si>
    <t xml:space="preserve"> LE GUENNEC </t>
  </si>
  <si>
    <t xml:space="preserve"> TOMASZEWSKI </t>
  </si>
  <si>
    <t xml:space="preserve"> ESSARS TT </t>
  </si>
  <si>
    <t xml:space="preserve"> POULALION </t>
  </si>
  <si>
    <t xml:space="preserve"> RUELLO </t>
  </si>
  <si>
    <t xml:space="preserve"> SALIOU </t>
  </si>
  <si>
    <t xml:space="preserve"> BERTEMONT </t>
  </si>
  <si>
    <t xml:space="preserve"> BEYRIES </t>
  </si>
  <si>
    <t xml:space="preserve"> CLUB TDT FRECHOIS </t>
  </si>
  <si>
    <t xml:space="preserve"> BALLANCOURT STT </t>
  </si>
  <si>
    <t xml:space="preserve"> CAPLIEZ </t>
  </si>
  <si>
    <t xml:space="preserve"> JOURNE </t>
  </si>
  <si>
    <t xml:space="preserve"> SLOTALA </t>
  </si>
  <si>
    <t xml:space="preserve"> CATHERINE </t>
  </si>
  <si>
    <t xml:space="preserve"> FONTAINE-ETOUPEFOUR TT </t>
  </si>
  <si>
    <t xml:space="preserve"> HOUSSIN </t>
  </si>
  <si>
    <t xml:space="preserve"> BUISSON </t>
  </si>
  <si>
    <t xml:space="preserve"> LECOURT </t>
  </si>
  <si>
    <t xml:space="preserve"> VANPEENE </t>
  </si>
  <si>
    <t xml:space="preserve"> FRETIN CFTT </t>
  </si>
  <si>
    <t xml:space="preserve"> PRZYBYLSKI </t>
  </si>
  <si>
    <t xml:space="preserve"> DEBURE </t>
  </si>
  <si>
    <t xml:space="preserve"> U S ETREPAGNY T T </t>
  </si>
  <si>
    <t xml:space="preserve"> LEMARCHAND </t>
  </si>
  <si>
    <t xml:space="preserve"> ALESC AUTHEUIL AUTHOUILLE </t>
  </si>
  <si>
    <t xml:space="preserve"> BERTHOLAT </t>
  </si>
  <si>
    <t xml:space="preserve"> BRESSE TT </t>
  </si>
  <si>
    <t xml:space="preserve"> PAROLIN </t>
  </si>
  <si>
    <t xml:space="preserve"> BRETTEVILLE L ORG/ROTS AS </t>
  </si>
  <si>
    <t xml:space="preserve"> PARISOT </t>
  </si>
  <si>
    <t xml:space="preserve"> POUTEAU </t>
  </si>
  <si>
    <t xml:space="preserve"> DEBSKI </t>
  </si>
  <si>
    <t xml:space="preserve"> US C BOIS GUILLAUME </t>
  </si>
  <si>
    <t xml:space="preserve"> POULET </t>
  </si>
  <si>
    <t xml:space="preserve"> CHAPOT </t>
  </si>
  <si>
    <t xml:space="preserve"> BOSSI </t>
  </si>
  <si>
    <t xml:space="preserve"> DANTEC </t>
  </si>
  <si>
    <t xml:space="preserve"> BOUTOUX </t>
  </si>
  <si>
    <t xml:space="preserve"> PARDO </t>
  </si>
  <si>
    <t xml:space="preserve"> BADESSI </t>
  </si>
  <si>
    <t xml:space="preserve"> Elie </t>
  </si>
  <si>
    <t xml:space="preserve"> PING PONG CLUB AVIGNONNAI </t>
  </si>
  <si>
    <t xml:space="preserve"> PENOT </t>
  </si>
  <si>
    <t xml:space="preserve"> ASTT LALANDE DE FRONSAC </t>
  </si>
  <si>
    <t xml:space="preserve"> CADIOU </t>
  </si>
  <si>
    <t xml:space="preserve"> DELVART </t>
  </si>
  <si>
    <t xml:space="preserve"> BELLET </t>
  </si>
  <si>
    <t xml:space="preserve"> TARTIE </t>
  </si>
  <si>
    <t xml:space="preserve"> FERREIRA </t>
  </si>
  <si>
    <t xml:space="preserve"> DEMOUSTIER </t>
  </si>
  <si>
    <t xml:space="preserve"> CHANCENAY-SLO TT </t>
  </si>
  <si>
    <t xml:space="preserve"> BULTEZ </t>
  </si>
  <si>
    <t xml:space="preserve"> SPORTING CLUB LE RHEU </t>
  </si>
  <si>
    <t xml:space="preserve"> MARZIN </t>
  </si>
  <si>
    <t xml:space="preserve"> CSAN TARARE TENNIS TABLE </t>
  </si>
  <si>
    <t xml:space="preserve"> LAC </t>
  </si>
  <si>
    <t xml:space="preserve"> MIALET TT </t>
  </si>
  <si>
    <t xml:space="preserve"> KOPEC </t>
  </si>
  <si>
    <t xml:space="preserve"> ANFRAY </t>
  </si>
  <si>
    <t xml:space="preserve"> HAAG </t>
  </si>
  <si>
    <t xml:space="preserve"> LEVANDAC </t>
  </si>
  <si>
    <t xml:space="preserve"> GAGNO </t>
  </si>
  <si>
    <t xml:space="preserve"> QUERCY </t>
  </si>
  <si>
    <t xml:space="preserve"> LARCHAMP MONTAUDIN T.T </t>
  </si>
  <si>
    <t xml:space="preserve"> PIETROWSKI </t>
  </si>
  <si>
    <t xml:space="preserve"> BAVAY TT </t>
  </si>
  <si>
    <t xml:space="preserve"> BOTTIAU </t>
  </si>
  <si>
    <t xml:space="preserve"> DUARTE </t>
  </si>
  <si>
    <t xml:space="preserve"> A. josé </t>
  </si>
  <si>
    <t xml:space="preserve"> LAPP </t>
  </si>
  <si>
    <t xml:space="preserve"> BRUNAULT </t>
  </si>
  <si>
    <t xml:space="preserve"> SACCOCCIA </t>
  </si>
  <si>
    <t xml:space="preserve"> GETZ </t>
  </si>
  <si>
    <t xml:space="preserve"> NOURISSON </t>
  </si>
  <si>
    <t xml:space="preserve"> CAIX-ROSIERES TTCR </t>
  </si>
  <si>
    <t xml:space="preserve"> GALET </t>
  </si>
  <si>
    <t xml:space="preserve"> COLLINET </t>
  </si>
  <si>
    <t xml:space="preserve"> SARA </t>
  </si>
  <si>
    <t xml:space="preserve"> Jean-Noel </t>
  </si>
  <si>
    <t xml:space="preserve"> FOURMIES PPC </t>
  </si>
  <si>
    <t xml:space="preserve"> RAMAHARO </t>
  </si>
  <si>
    <t xml:space="preserve"> Sandy </t>
  </si>
  <si>
    <t xml:space="preserve"> BOURUMEAU </t>
  </si>
  <si>
    <t xml:space="preserve"> CHAUCHE US </t>
  </si>
  <si>
    <t xml:space="preserve"> WALQUEMANNE </t>
  </si>
  <si>
    <t xml:space="preserve"> VILLE </t>
  </si>
  <si>
    <t xml:space="preserve"> RIVESALTES CTT </t>
  </si>
  <si>
    <t xml:space="preserve"> MARMOT </t>
  </si>
  <si>
    <t xml:space="preserve"> TT BRIENNON </t>
  </si>
  <si>
    <t xml:space="preserve"> MONCHALIN </t>
  </si>
  <si>
    <t xml:space="preserve"> HAUSHALTER </t>
  </si>
  <si>
    <t xml:space="preserve"> DURRENBACH ATTD </t>
  </si>
  <si>
    <t xml:space="preserve"> JURA MOREZ TENNIS DE TABL </t>
  </si>
  <si>
    <t xml:space="preserve"> ZINS </t>
  </si>
  <si>
    <t xml:space="preserve"> SOULGÉ ARGENTRÉ Entente </t>
  </si>
  <si>
    <t xml:space="preserve"> ELIE </t>
  </si>
  <si>
    <t xml:space="preserve"> MANDEIX </t>
  </si>
  <si>
    <t xml:space="preserve"> BOISSEUIL TT (87) </t>
  </si>
  <si>
    <t xml:space="preserve"> RAPIN </t>
  </si>
  <si>
    <t xml:space="preserve"> ST MARS REORTHE TT </t>
  </si>
  <si>
    <t xml:space="preserve"> RODRIGO </t>
  </si>
  <si>
    <t xml:space="preserve"> SCEAUX T.T. </t>
  </si>
  <si>
    <t xml:space="preserve"> PABION </t>
  </si>
  <si>
    <t xml:space="preserve"> WINTZFELDEN TT </t>
  </si>
  <si>
    <t xml:space="preserve"> CLASADONTE </t>
  </si>
  <si>
    <t xml:space="preserve"> LACHAMBRE </t>
  </si>
  <si>
    <t xml:space="preserve"> DUROYON </t>
  </si>
  <si>
    <t xml:space="preserve"> DOLOU </t>
  </si>
  <si>
    <t xml:space="preserve"> SAK-BARTHES </t>
  </si>
  <si>
    <t xml:space="preserve"> COUBRONNE </t>
  </si>
  <si>
    <t xml:space="preserve"> GASGANIAS </t>
  </si>
  <si>
    <t xml:space="preserve"> CHARRAYRE </t>
  </si>
  <si>
    <t xml:space="preserve"> GIL-MARTINS </t>
  </si>
  <si>
    <t xml:space="preserve"> MEXIMIEUX TT </t>
  </si>
  <si>
    <t xml:space="preserve"> RACANIE LAURENS </t>
  </si>
  <si>
    <t xml:space="preserve"> WATERBLEZ </t>
  </si>
  <si>
    <t xml:space="preserve"> BAILLEUL TT </t>
  </si>
  <si>
    <t xml:space="preserve"> TOUAHRIA </t>
  </si>
  <si>
    <t xml:space="preserve"> TOUZET </t>
  </si>
  <si>
    <t xml:space="preserve"> ST CHELY TT </t>
  </si>
  <si>
    <t xml:space="preserve"> LEFEUVRE </t>
  </si>
  <si>
    <t xml:space="preserve"> BATARD </t>
  </si>
  <si>
    <t xml:space="preserve"> CHATEAU THEBAUD </t>
  </si>
  <si>
    <t xml:space="preserve"> CARREIRA </t>
  </si>
  <si>
    <t xml:space="preserve"> ANNECY LE VIEUX - SILLING </t>
  </si>
  <si>
    <t xml:space="preserve"> BRENAGET </t>
  </si>
  <si>
    <t xml:space="preserve"> LE NOC </t>
  </si>
  <si>
    <t xml:space="preserve"> TT.BRENNE LE BLANC </t>
  </si>
  <si>
    <t xml:space="preserve"> RONDINEAU </t>
  </si>
  <si>
    <t xml:space="preserve"> PERUS </t>
  </si>
  <si>
    <t xml:space="preserve"> James </t>
  </si>
  <si>
    <t xml:space="preserve"> LEFOREST TT </t>
  </si>
  <si>
    <t xml:space="preserve"> FUAN </t>
  </si>
  <si>
    <t xml:space="preserve"> DURUPT </t>
  </si>
  <si>
    <t xml:space="preserve"> TOMASELLA </t>
  </si>
  <si>
    <t xml:space="preserve"> EAUZE TENNIS DE TABLE </t>
  </si>
  <si>
    <t xml:space="preserve"> CUCHE </t>
  </si>
  <si>
    <t xml:space="preserve"> EMOND </t>
  </si>
  <si>
    <t xml:space="preserve"> LEAU </t>
  </si>
  <si>
    <t xml:space="preserve"> RICQUE </t>
  </si>
  <si>
    <t xml:space="preserve"> GADENNE </t>
  </si>
  <si>
    <t xml:space="preserve"> CLUB OMNISPORT DEGAGNAC </t>
  </si>
  <si>
    <t xml:space="preserve"> LANGELUS </t>
  </si>
  <si>
    <t xml:space="preserve"> NOYELLE </t>
  </si>
  <si>
    <t xml:space="preserve"> DOLIDON </t>
  </si>
  <si>
    <t xml:space="preserve"> DENOYELLE </t>
  </si>
  <si>
    <t xml:space="preserve"> GAP HAUTES ALPES TT </t>
  </si>
  <si>
    <t xml:space="preserve"> PUISEAUX AS </t>
  </si>
  <si>
    <t xml:space="preserve"> HOVANESSIAN </t>
  </si>
  <si>
    <t xml:space="preserve"> PRUNNOT </t>
  </si>
  <si>
    <t xml:space="preserve"> HEMERY </t>
  </si>
  <si>
    <t xml:space="preserve"> DIVE </t>
  </si>
  <si>
    <t xml:space="preserve"> CHANEMOUGA </t>
  </si>
  <si>
    <t xml:space="preserve"> SINTIVE </t>
  </si>
  <si>
    <t xml:space="preserve"> DELAGOUTTE </t>
  </si>
  <si>
    <t xml:space="preserve"> BELLICHA </t>
  </si>
  <si>
    <t xml:space="preserve"> GOULAINE TENNIS DE TABLE </t>
  </si>
  <si>
    <t xml:space="preserve"> RATOUCHNIAK </t>
  </si>
  <si>
    <t xml:space="preserve"> BEAUVAIS </t>
  </si>
  <si>
    <t xml:space="preserve"> T.T. GERMINOIS </t>
  </si>
  <si>
    <t xml:space="preserve"> FOREL </t>
  </si>
  <si>
    <t xml:space="preserve"> THOYER </t>
  </si>
  <si>
    <t xml:space="preserve"> DUCROQUETZ </t>
  </si>
  <si>
    <t xml:space="preserve"> GANTZER </t>
  </si>
  <si>
    <t xml:space="preserve"> MULHOUSE FC </t>
  </si>
  <si>
    <t xml:space="preserve"> PALAYRET </t>
  </si>
  <si>
    <t xml:space="preserve"> DESANDERE </t>
  </si>
  <si>
    <t xml:space="preserve"> SARTORI </t>
  </si>
  <si>
    <t xml:space="preserve"> ANTOINE-MICHARD </t>
  </si>
  <si>
    <t xml:space="preserve"> GOULAY </t>
  </si>
  <si>
    <t xml:space="preserve"> LEINENWEBER </t>
  </si>
  <si>
    <t xml:space="preserve"> MUGNIER </t>
  </si>
  <si>
    <t xml:space="preserve"> SAVIN </t>
  </si>
  <si>
    <t xml:space="preserve"> DEZANNEAU </t>
  </si>
  <si>
    <t xml:space="preserve"> ANCEL </t>
  </si>
  <si>
    <t xml:space="preserve"> RAQUETTE CRIELLOISE </t>
  </si>
  <si>
    <t xml:space="preserve"> CUVREAU </t>
  </si>
  <si>
    <t xml:space="preserve"> SAINT ARNOULT US </t>
  </si>
  <si>
    <t xml:space="preserve"> MURAIL </t>
  </si>
  <si>
    <t xml:space="preserve"> ES NOGENT LE ROI-VILLEMEU </t>
  </si>
  <si>
    <t xml:space="preserve"> BALAND </t>
  </si>
  <si>
    <t xml:space="preserve"> PAIN </t>
  </si>
  <si>
    <t xml:space="preserve"> TIXADOR </t>
  </si>
  <si>
    <t xml:space="preserve"> TOUR ATHLETIC CLUB </t>
  </si>
  <si>
    <t xml:space="preserve"> ROULLET </t>
  </si>
  <si>
    <t xml:space="preserve"> LEBASTARD </t>
  </si>
  <si>
    <t xml:space="preserve"> ELLEBOODE </t>
  </si>
  <si>
    <t xml:space="preserve"> FROMWEILLER </t>
  </si>
  <si>
    <t xml:space="preserve"> VAUVILLERS TENNIS DE TABL </t>
  </si>
  <si>
    <t xml:space="preserve"> BORDES </t>
  </si>
  <si>
    <t xml:space="preserve"> RUIZ </t>
  </si>
  <si>
    <t xml:space="preserve"> T.T. LA MOTTE SERVOLEX </t>
  </si>
  <si>
    <t xml:space="preserve"> DABAT </t>
  </si>
  <si>
    <t xml:space="preserve"> C P BIGNY VALLENAY </t>
  </si>
  <si>
    <t xml:space="preserve"> DRAPEAU </t>
  </si>
  <si>
    <t xml:space="preserve"> DIAS </t>
  </si>
  <si>
    <t xml:space="preserve"> CAUMARTIN </t>
  </si>
  <si>
    <t xml:space="preserve"> BERHAUT </t>
  </si>
  <si>
    <t xml:space="preserve"> NICOLAU </t>
  </si>
  <si>
    <t xml:space="preserve"> FAUCONNIER </t>
  </si>
  <si>
    <t xml:space="preserve"> TT LURE CLAIREGOUTTE </t>
  </si>
  <si>
    <t xml:space="preserve"> GANDOIN </t>
  </si>
  <si>
    <t xml:space="preserve"> C.S.MEMBROLLAIS Tennis de </t>
  </si>
  <si>
    <t xml:space="preserve"> JORITE </t>
  </si>
  <si>
    <t xml:space="preserve"> BOURDARIAT </t>
  </si>
  <si>
    <t xml:space="preserve"> DERUE </t>
  </si>
  <si>
    <t xml:space="preserve"> FORAY </t>
  </si>
  <si>
    <t xml:space="preserve"> CUADROS </t>
  </si>
  <si>
    <t xml:space="preserve"> THIROUIN </t>
  </si>
  <si>
    <t xml:space="preserve"> FR SAINT-CANNAT </t>
  </si>
  <si>
    <t xml:space="preserve"> BEAUCLAIR </t>
  </si>
  <si>
    <t xml:space="preserve"> ROMILLY-VILLENAUXE CAP </t>
  </si>
  <si>
    <t xml:space="preserve"> U.T.T COLLEGIEN </t>
  </si>
  <si>
    <t xml:space="preserve"> ROBINE </t>
  </si>
  <si>
    <t xml:space="preserve"> LA FERRIERE AUX ETANGS J </t>
  </si>
  <si>
    <t xml:space="preserve"> TRIPIER </t>
  </si>
  <si>
    <t xml:space="preserve"> HILAL </t>
  </si>
  <si>
    <t xml:space="preserve"> Maamoun </t>
  </si>
  <si>
    <t xml:space="preserve"> BONNOT </t>
  </si>
  <si>
    <t xml:space="preserve"> AS VALENTIGNEY TENNIS DE </t>
  </si>
  <si>
    <t xml:space="preserve"> F.C. DE ST-RAOUL </t>
  </si>
  <si>
    <t xml:space="preserve"> CATROS </t>
  </si>
  <si>
    <t xml:space="preserve"> LETAILLEUR </t>
  </si>
  <si>
    <t xml:space="preserve"> CALVIER </t>
  </si>
  <si>
    <t xml:space="preserve"> CAROLLES-JULLOUVILLE ES </t>
  </si>
  <si>
    <t xml:space="preserve"> PORTELETTE </t>
  </si>
  <si>
    <t xml:space="preserve"> JULDE </t>
  </si>
  <si>
    <t xml:space="preserve"> HOURCADE </t>
  </si>
  <si>
    <t xml:space="preserve"> LOBJEOIS </t>
  </si>
  <si>
    <t xml:space="preserve"> LOIN </t>
  </si>
  <si>
    <t xml:space="preserve"> FRESNES SUR ESCAUT TT </t>
  </si>
  <si>
    <t xml:space="preserve"> GAUVRIT </t>
  </si>
  <si>
    <t xml:space="preserve"> MORERA </t>
  </si>
  <si>
    <t xml:space="preserve"> ROCHEREAU </t>
  </si>
  <si>
    <t xml:space="preserve"> PEYCHAUD </t>
  </si>
  <si>
    <t xml:space="preserve"> DUBREUIL </t>
  </si>
  <si>
    <t xml:space="preserve"> COUTAUD </t>
  </si>
  <si>
    <t xml:space="preserve"> FAYET </t>
  </si>
  <si>
    <t xml:space="preserve"> COTTEREAU </t>
  </si>
  <si>
    <t xml:space="preserve"> SECHET </t>
  </si>
  <si>
    <t xml:space="preserve"> ST ANDRE G. D OIE US </t>
  </si>
  <si>
    <t xml:space="preserve"> PICOT </t>
  </si>
  <si>
    <t xml:space="preserve"> NICOLLEAU </t>
  </si>
  <si>
    <t xml:space="preserve"> REVEL </t>
  </si>
  <si>
    <t xml:space="preserve"> RIEUPEYROU </t>
  </si>
  <si>
    <t xml:space="preserve"> YSABELLE </t>
  </si>
  <si>
    <t xml:space="preserve"> TT PARCAY-MESLAY </t>
  </si>
  <si>
    <t xml:space="preserve"> MENUGE </t>
  </si>
  <si>
    <t xml:space="preserve"> SION </t>
  </si>
  <si>
    <t xml:space="preserve"> BEUVRY LA FORET TT </t>
  </si>
  <si>
    <t xml:space="preserve"> BROSSEAU </t>
  </si>
  <si>
    <t xml:space="preserve"> RIGLET </t>
  </si>
  <si>
    <t xml:space="preserve"> GIRASOLI </t>
  </si>
  <si>
    <t xml:space="preserve"> Francesco </t>
  </si>
  <si>
    <t xml:space="preserve"> GROSSO </t>
  </si>
  <si>
    <t xml:space="preserve"> STREIT </t>
  </si>
  <si>
    <t xml:space="preserve"> JOLITON </t>
  </si>
  <si>
    <t xml:space="preserve"> TOULOUSE </t>
  </si>
  <si>
    <t xml:space="preserve"> DAUVERGNE </t>
  </si>
  <si>
    <t xml:space="preserve"> LEWANDOWSKI </t>
  </si>
  <si>
    <t xml:space="preserve"> DANET </t>
  </si>
  <si>
    <t xml:space="preserve"> CHAUSSAT </t>
  </si>
  <si>
    <t xml:space="preserve"> TOULOUSE PATTE D'OIE T.T. </t>
  </si>
  <si>
    <t xml:space="preserve"> EL SANWAR </t>
  </si>
  <si>
    <t xml:space="preserve"> Khaled </t>
  </si>
  <si>
    <t xml:space="preserve"> CASTELL </t>
  </si>
  <si>
    <t xml:space="preserve"> Francois xavier </t>
  </si>
  <si>
    <t xml:space="preserve"> OSSANT </t>
  </si>
  <si>
    <t xml:space="preserve"> TREMENTINES Avenir Tennis </t>
  </si>
  <si>
    <t xml:space="preserve"> BERDIEL </t>
  </si>
  <si>
    <t xml:space="preserve"> COMMERCANTS (LES) </t>
  </si>
  <si>
    <t xml:space="preserve"> BRON </t>
  </si>
  <si>
    <t xml:space="preserve"> GUIHEUX </t>
  </si>
  <si>
    <t xml:space="preserve"> MARCHESE </t>
  </si>
  <si>
    <t xml:space="preserve"> MAULOISE US </t>
  </si>
  <si>
    <t xml:space="preserve"> DERAY </t>
  </si>
  <si>
    <t xml:space="preserve"> F.R. DE HINX </t>
  </si>
  <si>
    <t xml:space="preserve"> Baignes T T C B </t>
  </si>
  <si>
    <t xml:space="preserve"> GOUGEON </t>
  </si>
  <si>
    <t xml:space="preserve"> ST PIERRE LA COUR Club Po </t>
  </si>
  <si>
    <t xml:space="preserve"> MAC-LEAN </t>
  </si>
  <si>
    <t xml:space="preserve"> DARAS </t>
  </si>
  <si>
    <t xml:space="preserve"> Valery </t>
  </si>
  <si>
    <t xml:space="preserve"> BARANTON </t>
  </si>
  <si>
    <t xml:space="preserve"> CHAURIN </t>
  </si>
  <si>
    <t xml:space="preserve"> CAVALLIE </t>
  </si>
  <si>
    <t xml:space="preserve"> GAUVIN </t>
  </si>
  <si>
    <t xml:space="preserve"> VETERE </t>
  </si>
  <si>
    <t xml:space="preserve"> FR ROUGEMONT LE CHATEAU </t>
  </si>
  <si>
    <t xml:space="preserve"> CARRAT </t>
  </si>
  <si>
    <t xml:space="preserve"> GRENTHEVILLE USTT </t>
  </si>
  <si>
    <t xml:space="preserve"> TORIGNAISE ESTT </t>
  </si>
  <si>
    <t xml:space="preserve"> PISSIS </t>
  </si>
  <si>
    <t xml:space="preserve"> Club Tennis Table BELLEY- </t>
  </si>
  <si>
    <t xml:space="preserve"> BOUDALIEZ </t>
  </si>
  <si>
    <t xml:space="preserve"> DOINEAU </t>
  </si>
  <si>
    <t xml:space="preserve"> BOILET </t>
  </si>
  <si>
    <t xml:space="preserve"> FABREGUE </t>
  </si>
  <si>
    <t xml:space="preserve"> BENATRE </t>
  </si>
  <si>
    <t xml:space="preserve"> FAUTRELLE </t>
  </si>
  <si>
    <t xml:space="preserve"> WO </t>
  </si>
  <si>
    <t xml:space="preserve"> LAPIERRE </t>
  </si>
  <si>
    <t xml:space="preserve"> GUERBI </t>
  </si>
  <si>
    <t xml:space="preserve"> Houcine </t>
  </si>
  <si>
    <t xml:space="preserve"> LAVENTURE </t>
  </si>
  <si>
    <t xml:space="preserve"> BOIX </t>
  </si>
  <si>
    <t xml:space="preserve"> HYPACH </t>
  </si>
  <si>
    <t xml:space="preserve"> TENNIS DE TABLE MEYREUIL </t>
  </si>
  <si>
    <t xml:space="preserve"> NOLY </t>
  </si>
  <si>
    <t xml:space="preserve"> RHONE SPORTIF </t>
  </si>
  <si>
    <t xml:space="preserve"> NUNENTHAL </t>
  </si>
  <si>
    <t xml:space="preserve"> BREANT </t>
  </si>
  <si>
    <t xml:space="preserve"> ARROUET </t>
  </si>
  <si>
    <t xml:space="preserve"> DELARUE </t>
  </si>
  <si>
    <t xml:space="preserve"> BOUVET </t>
  </si>
  <si>
    <t xml:space="preserve"> CLAMOUR </t>
  </si>
  <si>
    <t xml:space="preserve"> BURGER </t>
  </si>
  <si>
    <t xml:space="preserve"> BERSTETT T.T. </t>
  </si>
  <si>
    <t xml:space="preserve"> VILLETELLE </t>
  </si>
  <si>
    <t xml:space="preserve"> AEC SORBIERS </t>
  </si>
  <si>
    <t xml:space="preserve"> BOUDOT </t>
  </si>
  <si>
    <t xml:space="preserve"> MALLELOY F.J.E.P. </t>
  </si>
  <si>
    <t xml:space="preserve"> MOUSSET </t>
  </si>
  <si>
    <t xml:space="preserve"> CS BONNEVILLOIS </t>
  </si>
  <si>
    <t xml:space="preserve"> PERRAUD </t>
  </si>
  <si>
    <t xml:space="preserve"> CASSARD </t>
  </si>
  <si>
    <t xml:space="preserve"> BLAY </t>
  </si>
  <si>
    <t xml:space="preserve"> FIEAU </t>
  </si>
  <si>
    <t xml:space="preserve"> MJC GOURDON TT </t>
  </si>
  <si>
    <t xml:space="preserve"> HENRY </t>
  </si>
  <si>
    <t xml:space="preserve"> ROZ-BAGUER U.P. </t>
  </si>
  <si>
    <t xml:space="preserve"> KLEPACZ </t>
  </si>
  <si>
    <t xml:space="preserve"> DANAIS </t>
  </si>
  <si>
    <t xml:space="preserve"> IMBERT </t>
  </si>
  <si>
    <t xml:space="preserve"> TESOKA </t>
  </si>
  <si>
    <t xml:space="preserve"> F.L. KERYADO LORIENT </t>
  </si>
  <si>
    <t xml:space="preserve"> ZAJAC </t>
  </si>
  <si>
    <t xml:space="preserve"> FARCE </t>
  </si>
  <si>
    <t xml:space="preserve"> VALLEE DU GAPEAU TT </t>
  </si>
  <si>
    <t xml:space="preserve"> BONAMY </t>
  </si>
  <si>
    <t xml:space="preserve"> ETAPLES ASTT </t>
  </si>
  <si>
    <t xml:space="preserve"> AVENIR DE MANDEURE </t>
  </si>
  <si>
    <t xml:space="preserve"> BRETAUDEAU </t>
  </si>
  <si>
    <t xml:space="preserve"> TT SARLADAIS </t>
  </si>
  <si>
    <t xml:space="preserve"> TEILLOT </t>
  </si>
  <si>
    <t xml:space="preserve"> MENDES </t>
  </si>
  <si>
    <t xml:space="preserve"> PATTE </t>
  </si>
  <si>
    <t xml:space="preserve"> VELIZY CTT </t>
  </si>
  <si>
    <t xml:space="preserve"> CZERNESKI </t>
  </si>
  <si>
    <t xml:space="preserve"> SEREBRIAKOFF </t>
  </si>
  <si>
    <t xml:space="preserve"> BAPTISTE </t>
  </si>
  <si>
    <t xml:space="preserve"> VINCENNOIS TT </t>
  </si>
  <si>
    <t xml:space="preserve"> BAUSSANT </t>
  </si>
  <si>
    <t xml:space="preserve"> ES DAMMARIE LES LYS TT </t>
  </si>
  <si>
    <t xml:space="preserve"> TURBAN </t>
  </si>
  <si>
    <t xml:space="preserve"> POLUS </t>
  </si>
  <si>
    <t xml:space="preserve"> RAMPON </t>
  </si>
  <si>
    <t xml:space="preserve"> BEN ABDEL KADER </t>
  </si>
  <si>
    <t xml:space="preserve"> HEDIN </t>
  </si>
  <si>
    <t xml:space="preserve"> JUPIN </t>
  </si>
  <si>
    <t xml:space="preserve"> CHALONS JA </t>
  </si>
  <si>
    <t xml:space="preserve"> JOUIN </t>
  </si>
  <si>
    <t xml:space="preserve"> Jean-Michel </t>
  </si>
  <si>
    <t xml:space="preserve"> AL BOEN </t>
  </si>
  <si>
    <t xml:space="preserve"> BOUREAU </t>
  </si>
  <si>
    <t xml:space="preserve"> MUYLAERT </t>
  </si>
  <si>
    <t xml:space="preserve"> RAZAFINDRALAMBO </t>
  </si>
  <si>
    <t xml:space="preserve"> AS NANDEENNE </t>
  </si>
  <si>
    <t xml:space="preserve"> FOURNIL </t>
  </si>
  <si>
    <t xml:space="preserve"> PERNE </t>
  </si>
  <si>
    <t xml:space="preserve"> NANTES LE BAUT TT </t>
  </si>
  <si>
    <t xml:space="preserve"> SICARD </t>
  </si>
  <si>
    <t xml:space="preserve"> BESNE DONGES T.T. </t>
  </si>
  <si>
    <t xml:space="preserve"> GOUMENT </t>
  </si>
  <si>
    <t xml:space="preserve"> COURT </t>
  </si>
  <si>
    <t xml:space="preserve"> RAT </t>
  </si>
  <si>
    <t xml:space="preserve"> LAW WUN </t>
  </si>
  <si>
    <t xml:space="preserve"> DELAUNE </t>
  </si>
  <si>
    <t xml:space="preserve"> BABONNEAU </t>
  </si>
  <si>
    <t xml:space="preserve"> ST MARS LE CELLIER </t>
  </si>
  <si>
    <t xml:space="preserve"> JUBAULT </t>
  </si>
  <si>
    <t xml:space="preserve"> LUTZ </t>
  </si>
  <si>
    <t xml:space="preserve"> KIEFFER </t>
  </si>
  <si>
    <t xml:space="preserve"> PORCHER </t>
  </si>
  <si>
    <t xml:space="preserve"> TABARY </t>
  </si>
  <si>
    <t xml:space="preserve"> AUDEBERT </t>
  </si>
  <si>
    <t xml:space="preserve"> TT PONTRAMBERTOIS </t>
  </si>
  <si>
    <t xml:space="preserve"> GARANDEL </t>
  </si>
  <si>
    <t xml:space="preserve"> REIGNER </t>
  </si>
  <si>
    <t xml:space="preserve"> Chabanais tennis de table </t>
  </si>
  <si>
    <t xml:space="preserve"> STRASSER </t>
  </si>
  <si>
    <t xml:space="preserve"> STRASBOURG CHEMINOTS ASCS </t>
  </si>
  <si>
    <t xml:space="preserve"> HAKIMI </t>
  </si>
  <si>
    <t xml:space="preserve"> COQUELIN </t>
  </si>
  <si>
    <t xml:space="preserve"> AUDAIRE </t>
  </si>
  <si>
    <t xml:space="preserve"> THERY </t>
  </si>
  <si>
    <t xml:space="preserve"> DUFEUX </t>
  </si>
  <si>
    <t xml:space="preserve"> BERTAUX </t>
  </si>
  <si>
    <t xml:space="preserve"> SENECHAL </t>
  </si>
  <si>
    <t xml:space="preserve"> COPPIN </t>
  </si>
  <si>
    <t xml:space="preserve"> MANNINO </t>
  </si>
  <si>
    <t xml:space="preserve"> PING PONG DE VENELLES </t>
  </si>
  <si>
    <t xml:space="preserve"> DESPREZ </t>
  </si>
  <si>
    <t xml:space="preserve"> BOISRAME </t>
  </si>
  <si>
    <t xml:space="preserve"> CTT REUILLOIS </t>
  </si>
  <si>
    <t xml:space="preserve"> BARAULT </t>
  </si>
  <si>
    <t xml:space="preserve"> MASPATAUD </t>
  </si>
  <si>
    <t xml:space="preserve"> PAPEGAY </t>
  </si>
  <si>
    <t xml:space="preserve"> MARTEAUX </t>
  </si>
  <si>
    <t xml:space="preserve"> FLOING PPC </t>
  </si>
  <si>
    <t xml:space="preserve"> FAICHAUD </t>
  </si>
  <si>
    <t xml:space="preserve"> U.S. GENILLE T.T. </t>
  </si>
  <si>
    <t xml:space="preserve"> BOISSINOT </t>
  </si>
  <si>
    <t xml:space="preserve"> ZITTER </t>
  </si>
  <si>
    <t xml:space="preserve"> GENIN </t>
  </si>
  <si>
    <t xml:space="preserve"> DEFORT </t>
  </si>
  <si>
    <t xml:space="preserve"> DIARD </t>
  </si>
  <si>
    <t xml:space="preserve"> MARTIAL </t>
  </si>
  <si>
    <t xml:space="preserve"> 349B2062 </t>
  </si>
  <si>
    <t xml:space="preserve"> THREE T ASSOCIATION </t>
  </si>
  <si>
    <t xml:space="preserve"> LE MANS VILLARET GSOS TT </t>
  </si>
  <si>
    <t xml:space="preserve"> PAUVERT </t>
  </si>
  <si>
    <t xml:space="preserve"> CHATEAUBRIANT TENNIS TABL </t>
  </si>
  <si>
    <t xml:space="preserve"> Kevin </t>
  </si>
  <si>
    <t xml:space="preserve"> FR ANQUETIERVILLE </t>
  </si>
  <si>
    <t xml:space="preserve"> LAROSE </t>
  </si>
  <si>
    <t xml:space="preserve"> MANHES </t>
  </si>
  <si>
    <t xml:space="preserve"> SECLIN PPP </t>
  </si>
  <si>
    <t xml:space="preserve"> GILBAIN </t>
  </si>
  <si>
    <t xml:space="preserve"> LYET </t>
  </si>
  <si>
    <t xml:space="preserve"> RUBE </t>
  </si>
  <si>
    <t xml:space="preserve"> Surgères ACP </t>
  </si>
  <si>
    <t xml:space="preserve"> SCHEIDT </t>
  </si>
  <si>
    <t xml:space="preserve"> COGNAULT </t>
  </si>
  <si>
    <t xml:space="preserve"> JENNY </t>
  </si>
  <si>
    <t xml:space="preserve"> MORTESSAGNE </t>
  </si>
  <si>
    <t xml:space="preserve"> HAEHNEL </t>
  </si>
  <si>
    <t xml:space="preserve"> DELEPINE </t>
  </si>
  <si>
    <t xml:space="preserve"> FERREC </t>
  </si>
  <si>
    <t xml:space="preserve"> NATIXIS BRED </t>
  </si>
  <si>
    <t xml:space="preserve"> SIMONNEAUX </t>
  </si>
  <si>
    <t xml:space="preserve"> PILON </t>
  </si>
  <si>
    <t xml:space="preserve"> RUNGIS AMAR </t>
  </si>
  <si>
    <t xml:space="preserve"> GIRARDEAU </t>
  </si>
  <si>
    <t xml:space="preserve"> HOUDMON </t>
  </si>
  <si>
    <t xml:space="preserve"> LAHEYNE </t>
  </si>
  <si>
    <t xml:space="preserve"> ST CONTEST TT </t>
  </si>
  <si>
    <t xml:space="preserve"> PENNATI </t>
  </si>
  <si>
    <t xml:space="preserve"> DELCUZOUL </t>
  </si>
  <si>
    <t xml:space="preserve"> PIQUEMAL </t>
  </si>
  <si>
    <t xml:space="preserve"> THAUVIN </t>
  </si>
  <si>
    <t xml:space="preserve"> LE VAN </t>
  </si>
  <si>
    <t xml:space="preserve"> URVOY </t>
  </si>
  <si>
    <t xml:space="preserve"> FALIGANT </t>
  </si>
  <si>
    <t xml:space="preserve"> GANDELIN </t>
  </si>
  <si>
    <t xml:space="preserve"> Jael </t>
  </si>
  <si>
    <t xml:space="preserve"> FAVIER </t>
  </si>
  <si>
    <t xml:space="preserve"> LEROGNON </t>
  </si>
  <si>
    <t xml:space="preserve"> LECHESNE </t>
  </si>
  <si>
    <t xml:space="preserve"> CONSIGNY </t>
  </si>
  <si>
    <t xml:space="preserve"> RIVOAL </t>
  </si>
  <si>
    <t xml:space="preserve"> DUCLOUE </t>
  </si>
  <si>
    <t xml:space="preserve"> TT BIGANOS </t>
  </si>
  <si>
    <t xml:space="preserve"> ALNET </t>
  </si>
  <si>
    <t xml:space="preserve"> LONGUE Athlétic Club </t>
  </si>
  <si>
    <t xml:space="preserve"> HIROUT </t>
  </si>
  <si>
    <t xml:space="preserve"> DE LA BARRIERE </t>
  </si>
  <si>
    <t xml:space="preserve"> SCHMIT </t>
  </si>
  <si>
    <t xml:space="preserve"> GOBLET </t>
  </si>
  <si>
    <t xml:space="preserve"> BOYTARD </t>
  </si>
  <si>
    <t xml:space="preserve"> LE BONHOMME </t>
  </si>
  <si>
    <t xml:space="preserve"> RAMI </t>
  </si>
  <si>
    <t xml:space="preserve"> Ali </t>
  </si>
  <si>
    <t xml:space="preserve"> DOLLE </t>
  </si>
  <si>
    <t xml:space="preserve"> ARTIEDA </t>
  </si>
  <si>
    <t xml:space="preserve"> BILLET </t>
  </si>
  <si>
    <t xml:space="preserve"> Aymeric </t>
  </si>
  <si>
    <t xml:space="preserve"> VIVIER </t>
  </si>
  <si>
    <t xml:space="preserve"> ROPERS </t>
  </si>
  <si>
    <t xml:space="preserve"> Erwoan </t>
  </si>
  <si>
    <t xml:space="preserve"> DEHEZ </t>
  </si>
  <si>
    <t xml:space="preserve"> LAMARCHE </t>
  </si>
  <si>
    <t xml:space="preserve"> STARON </t>
  </si>
  <si>
    <t xml:space="preserve"> TANGHE </t>
  </si>
  <si>
    <t xml:space="preserve"> PARISELLE </t>
  </si>
  <si>
    <t xml:space="preserve"> MOUGIN </t>
  </si>
  <si>
    <t xml:space="preserve"> BREHIN </t>
  </si>
  <si>
    <t xml:space="preserve"> CHEMAZÉ TT </t>
  </si>
  <si>
    <t xml:space="preserve"> EYCHENNE </t>
  </si>
  <si>
    <t xml:space="preserve"> TENNIS DE TABLE CRITOURIE </t>
  </si>
  <si>
    <t xml:space="preserve"> LETTERON </t>
  </si>
  <si>
    <t xml:space="preserve"> LOEUR </t>
  </si>
  <si>
    <t xml:space="preserve"> THOS </t>
  </si>
  <si>
    <t xml:space="preserve"> Leon </t>
  </si>
  <si>
    <t xml:space="preserve"> SAPERES </t>
  </si>
  <si>
    <t xml:space="preserve"> THIERRY </t>
  </si>
  <si>
    <t xml:space="preserve"> MAIZIERES LES METZ T.T. </t>
  </si>
  <si>
    <t xml:space="preserve"> SOUPIZON </t>
  </si>
  <si>
    <t xml:space="preserve"> COURMELLES TT </t>
  </si>
  <si>
    <t xml:space="preserve"> LOGGHE </t>
  </si>
  <si>
    <t xml:space="preserve"> POUSSIER </t>
  </si>
  <si>
    <t xml:space="preserve"> JANZEENS VOLONTAIRES </t>
  </si>
  <si>
    <t xml:space="preserve"> AL CROIX ROUSSE </t>
  </si>
  <si>
    <t xml:space="preserve"> ROIMARMIER </t>
  </si>
  <si>
    <t xml:space="preserve"> FRANCK </t>
  </si>
  <si>
    <t xml:space="preserve"> DORMAEL </t>
  </si>
  <si>
    <t xml:space="preserve"> COUDEKERQUE-BRANCHE TT </t>
  </si>
  <si>
    <t xml:space="preserve"> BATY </t>
  </si>
  <si>
    <t xml:space="preserve"> CREDIT MUTUEL AS </t>
  </si>
  <si>
    <t xml:space="preserve"> NIETO </t>
  </si>
  <si>
    <t xml:space="preserve"> CLEVY </t>
  </si>
  <si>
    <t xml:space="preserve"> LE LAY </t>
  </si>
  <si>
    <t xml:space="preserve"> PHILBERT </t>
  </si>
  <si>
    <t xml:space="preserve"> BOURGEON </t>
  </si>
  <si>
    <t xml:space="preserve"> GRIGNARD </t>
  </si>
  <si>
    <t xml:space="preserve"> GUILLEMIN </t>
  </si>
  <si>
    <t xml:space="preserve"> PAGEOT </t>
  </si>
  <si>
    <t xml:space="preserve"> CHINCHOLE </t>
  </si>
  <si>
    <t xml:space="preserve"> SECQ </t>
  </si>
  <si>
    <t xml:space="preserve"> BEAUFORT </t>
  </si>
  <si>
    <t xml:space="preserve"> NIAUSSAT </t>
  </si>
  <si>
    <t xml:space="preserve"> LINE </t>
  </si>
  <si>
    <t xml:space="preserve"> CHASSELOUP </t>
  </si>
  <si>
    <t xml:space="preserve"> BRECHARD </t>
  </si>
  <si>
    <t xml:space="preserve"> AUBOIS </t>
  </si>
  <si>
    <t xml:space="preserve"> KAN </t>
  </si>
  <si>
    <t xml:space="preserve"> Tony wing chung </t>
  </si>
  <si>
    <t xml:space="preserve"> ROUVIERE </t>
  </si>
  <si>
    <t xml:space="preserve"> Salim </t>
  </si>
  <si>
    <t xml:space="preserve"> PAPILLIER </t>
  </si>
  <si>
    <t xml:space="preserve"> LES MAZURES TT </t>
  </si>
  <si>
    <t xml:space="preserve"> CHORON </t>
  </si>
  <si>
    <t xml:space="preserve"> US BRANNE Ping Pong </t>
  </si>
  <si>
    <t xml:space="preserve"> ROANNE MABLY TENNIS DE TA </t>
  </si>
  <si>
    <t xml:space="preserve"> BOUZY </t>
  </si>
  <si>
    <t xml:space="preserve"> BEKKER </t>
  </si>
  <si>
    <t xml:space="preserve"> CARPENTIER </t>
  </si>
  <si>
    <t xml:space="preserve"> ANGLES PPC </t>
  </si>
  <si>
    <t xml:space="preserve"> Loris </t>
  </si>
  <si>
    <t xml:space="preserve"> FARNER </t>
  </si>
  <si>
    <t xml:space="preserve"> CLEENEWERCK </t>
  </si>
  <si>
    <t xml:space="preserve"> LETENDRE </t>
  </si>
  <si>
    <t xml:space="preserve"> SAVARIT </t>
  </si>
  <si>
    <t xml:space="preserve"> DUCOTTET </t>
  </si>
  <si>
    <t xml:space="preserve"> DUQUENOY </t>
  </si>
  <si>
    <t xml:space="preserve"> Tennis de Table du Pays G </t>
  </si>
  <si>
    <t xml:space="preserve"> MERLE </t>
  </si>
  <si>
    <t xml:space="preserve"> HOMO </t>
  </si>
  <si>
    <t xml:space="preserve"> NANTES ASPTT </t>
  </si>
  <si>
    <t xml:space="preserve"> COURTOIS </t>
  </si>
  <si>
    <t xml:space="preserve"> BALAVOINE </t>
  </si>
  <si>
    <t xml:space="preserve"> MONTIGNY EN OSTREVENT CTT </t>
  </si>
  <si>
    <t xml:space="preserve"> VALLON </t>
  </si>
  <si>
    <t xml:space="preserve"> PING PONG MEZOSSAIS </t>
  </si>
  <si>
    <t xml:space="preserve"> JAN </t>
  </si>
  <si>
    <t xml:space="preserve"> JACQUEL </t>
  </si>
  <si>
    <t xml:space="preserve"> BRUMATH UNITAS Tennis de </t>
  </si>
  <si>
    <t xml:space="preserve"> VASSET </t>
  </si>
  <si>
    <t xml:space="preserve"> ROBREAU </t>
  </si>
  <si>
    <t xml:space="preserve"> AUTRUSSEAU </t>
  </si>
  <si>
    <t xml:space="preserve"> MORATO </t>
  </si>
  <si>
    <t xml:space="preserve"> LIBERCOURT CP </t>
  </si>
  <si>
    <t xml:space="preserve"> DECOENE </t>
  </si>
  <si>
    <t xml:space="preserve"> LE HOUEROU </t>
  </si>
  <si>
    <t xml:space="preserve"> RAMANAKASINA </t>
  </si>
  <si>
    <t xml:space="preserve"> Tiana </t>
  </si>
  <si>
    <t xml:space="preserve"> OUALI </t>
  </si>
  <si>
    <t xml:space="preserve"> Kemiche </t>
  </si>
  <si>
    <t xml:space="preserve"> LIEUCHY </t>
  </si>
  <si>
    <t xml:space="preserve"> SANY </t>
  </si>
  <si>
    <t xml:space="preserve"> CHARVILLAT </t>
  </si>
  <si>
    <t xml:space="preserve"> PAQUEREAU </t>
  </si>
  <si>
    <t xml:space="preserve"> DESLANDES </t>
  </si>
  <si>
    <t xml:space="preserve"> MONS TT </t>
  </si>
  <si>
    <t xml:space="preserve"> BOUCHAREL </t>
  </si>
  <si>
    <t xml:space="preserve"> FREYD </t>
  </si>
  <si>
    <t xml:space="preserve"> MOCELLIN </t>
  </si>
  <si>
    <t xml:space="preserve"> CHARMEIL PPC </t>
  </si>
  <si>
    <t xml:space="preserve"> CATHELINE </t>
  </si>
  <si>
    <t xml:space="preserve"> St Sauveur asp </t>
  </si>
  <si>
    <t xml:space="preserve"> COUCHOURON </t>
  </si>
  <si>
    <t xml:space="preserve"> BRASSART </t>
  </si>
  <si>
    <t xml:space="preserve"> FOURMENT </t>
  </si>
  <si>
    <t xml:space="preserve"> BELMONTE </t>
  </si>
  <si>
    <t xml:space="preserve"> PELLAN </t>
  </si>
  <si>
    <t xml:space="preserve"> BESSIERES </t>
  </si>
  <si>
    <t xml:space="preserve"> KEHL </t>
  </si>
  <si>
    <t xml:space="preserve"> MAUGUEN </t>
  </si>
  <si>
    <t xml:space="preserve"> GSY BOURG-BLANC </t>
  </si>
  <si>
    <t xml:space="preserve"> DENTE </t>
  </si>
  <si>
    <t xml:space="preserve"> MURS ERIGNE ASITT </t>
  </si>
  <si>
    <t xml:space="preserve"> BOUDOUX </t>
  </si>
  <si>
    <t xml:space="preserve"> GARLOT </t>
  </si>
  <si>
    <t xml:space="preserve"> LAVERUNE FRTT </t>
  </si>
  <si>
    <t xml:space="preserve"> PAILLE </t>
  </si>
  <si>
    <t xml:space="preserve"> PLARD </t>
  </si>
  <si>
    <t xml:space="preserve"> RONDELEZ </t>
  </si>
  <si>
    <t xml:space="preserve"> CATOIRE </t>
  </si>
  <si>
    <t xml:space="preserve"> CASTILLO </t>
  </si>
  <si>
    <t xml:space="preserve"> Fernando </t>
  </si>
  <si>
    <t xml:space="preserve"> SZEWCZYK </t>
  </si>
  <si>
    <t xml:space="preserve"> HERR </t>
  </si>
  <si>
    <t xml:space="preserve"> ROJON </t>
  </si>
  <si>
    <t xml:space="preserve"> ASSELIN </t>
  </si>
  <si>
    <t xml:space="preserve"> GUICHENE </t>
  </si>
  <si>
    <t xml:space="preserve"> AUBERTIN </t>
  </si>
  <si>
    <t xml:space="preserve"> BELLOCHE </t>
  </si>
  <si>
    <t xml:space="preserve"> GRISEZ </t>
  </si>
  <si>
    <t xml:space="preserve"> MICHELETTA </t>
  </si>
  <si>
    <t xml:space="preserve"> SIERCK SLPTT </t>
  </si>
  <si>
    <t xml:space="preserve"> TRANCHARD </t>
  </si>
  <si>
    <t xml:space="preserve"> CAMAGNI </t>
  </si>
  <si>
    <t xml:space="preserve"> T.T. SEMBLANCEEN </t>
  </si>
  <si>
    <t xml:space="preserve"> MAIMBOURG </t>
  </si>
  <si>
    <t xml:space="preserve"> BOLY </t>
  </si>
  <si>
    <t xml:space="preserve"> DOUARRE </t>
  </si>
  <si>
    <t xml:space="preserve"> ROMERA </t>
  </si>
  <si>
    <t xml:space="preserve"> DUPART </t>
  </si>
  <si>
    <t xml:space="preserve"> LERUSSARD </t>
  </si>
  <si>
    <t xml:space="preserve"> DAULON </t>
  </si>
  <si>
    <t xml:space="preserve"> PREIGNAN AUBIET CASTELNAU </t>
  </si>
  <si>
    <t xml:space="preserve"> RIQUART </t>
  </si>
  <si>
    <t xml:space="preserve"> PAPON </t>
  </si>
  <si>
    <t xml:space="preserve"> VELLA </t>
  </si>
  <si>
    <t xml:space="preserve"> POUSIN </t>
  </si>
  <si>
    <t xml:space="preserve"> RALLE </t>
  </si>
  <si>
    <t xml:space="preserve"> JACQUIN </t>
  </si>
  <si>
    <t xml:space="preserve"> MORE </t>
  </si>
  <si>
    <t xml:space="preserve"> Jean-emmanuel </t>
  </si>
  <si>
    <t xml:space="preserve"> POIRIEZ </t>
  </si>
  <si>
    <t xml:space="preserve"> DEBREU </t>
  </si>
  <si>
    <t xml:space="preserve"> SILVA RAMOS </t>
  </si>
  <si>
    <t xml:space="preserve"> PAPIN </t>
  </si>
  <si>
    <t xml:space="preserve"> COLSON </t>
  </si>
  <si>
    <t xml:space="preserve"> PIQUERET </t>
  </si>
  <si>
    <t xml:space="preserve"> FLEUROT </t>
  </si>
  <si>
    <t xml:space="preserve"> POORTEMAN </t>
  </si>
  <si>
    <t xml:space="preserve"> BELO </t>
  </si>
  <si>
    <t xml:space="preserve"> STRASBOURG ST JEAN CS 185 </t>
  </si>
  <si>
    <t xml:space="preserve"> PASTRE </t>
  </si>
  <si>
    <t xml:space="preserve"> VIGNON </t>
  </si>
  <si>
    <t xml:space="preserve"> SOHM </t>
  </si>
  <si>
    <t xml:space="preserve"> TEBBAKHA </t>
  </si>
  <si>
    <t xml:space="preserve"> E.P. CAMPENEAC </t>
  </si>
  <si>
    <t xml:space="preserve"> ROUAULT </t>
  </si>
  <si>
    <t xml:space="preserve"> SERAYET </t>
  </si>
  <si>
    <t xml:space="preserve"> VIGUIER </t>
  </si>
  <si>
    <t xml:space="preserve"> TRILLAUD </t>
  </si>
  <si>
    <t xml:space="preserve"> Villefagnan Animation Loi </t>
  </si>
  <si>
    <t xml:space="preserve"> CLAUDEL </t>
  </si>
  <si>
    <t xml:space="preserve"> MAISONS-LAFF. US </t>
  </si>
  <si>
    <t xml:space="preserve"> LE TRAIT YAINVILLE PONGIS </t>
  </si>
  <si>
    <t xml:space="preserve"> MOUFTIER </t>
  </si>
  <si>
    <t xml:space="preserve"> PORTE </t>
  </si>
  <si>
    <t xml:space="preserve"> MONDANI </t>
  </si>
  <si>
    <t xml:space="preserve"> T.T.LUCOIS </t>
  </si>
  <si>
    <t xml:space="preserve"> MACHAN </t>
  </si>
  <si>
    <t xml:space="preserve"> DESTOUET </t>
  </si>
  <si>
    <t xml:space="preserve"> CH CHATEAUDUN </t>
  </si>
  <si>
    <t xml:space="preserve"> BAO </t>
  </si>
  <si>
    <t xml:space="preserve"> GUEHENNEC </t>
  </si>
  <si>
    <t xml:space="preserve"> CILLIER </t>
  </si>
  <si>
    <t xml:space="preserve"> CHAVERNOZ </t>
  </si>
  <si>
    <t xml:space="preserve"> LELONG </t>
  </si>
  <si>
    <t xml:space="preserve"> ST GEORGES SUR ERVE </t>
  </si>
  <si>
    <t xml:space="preserve"> MADOUX </t>
  </si>
  <si>
    <t xml:space="preserve"> LECELLES TT </t>
  </si>
  <si>
    <t xml:space="preserve"> LANDRY </t>
  </si>
  <si>
    <t xml:space="preserve"> DUBLINEAU </t>
  </si>
  <si>
    <t xml:space="preserve"> RAULIN-FELI </t>
  </si>
  <si>
    <t xml:space="preserve"> MITRE </t>
  </si>
  <si>
    <t xml:space="preserve"> HOULGATAISE R </t>
  </si>
  <si>
    <t xml:space="preserve"> MARPEAUX </t>
  </si>
  <si>
    <t xml:space="preserve"> FEROLLES VIENNE TT </t>
  </si>
  <si>
    <t xml:space="preserve"> LE PLESSIS PATE T.T. </t>
  </si>
  <si>
    <t xml:space="preserve"> DE OLIVEIRA </t>
  </si>
  <si>
    <t xml:space="preserve"> Joaquim </t>
  </si>
  <si>
    <t xml:space="preserve"> BREHAL SAEL TT </t>
  </si>
  <si>
    <t xml:space="preserve"> BOURDEILLE </t>
  </si>
  <si>
    <t xml:space="preserve"> MENES </t>
  </si>
  <si>
    <t xml:space="preserve"> POINTIS RIVIERE STT </t>
  </si>
  <si>
    <t xml:space="preserve"> JOBARD </t>
  </si>
  <si>
    <t xml:space="preserve"> COURTONNE LA MEURDRAC FRT </t>
  </si>
  <si>
    <t xml:space="preserve"> DELATTRE </t>
  </si>
  <si>
    <t xml:space="preserve"> TOUFFLERS TT </t>
  </si>
  <si>
    <t xml:space="preserve"> PARSAIX </t>
  </si>
  <si>
    <t xml:space="preserve"> RAILLENCOURT STE OLLE TTC </t>
  </si>
  <si>
    <t xml:space="preserve"> PIONNIER </t>
  </si>
  <si>
    <t xml:space="preserve"> ZIELKOWSKI </t>
  </si>
  <si>
    <t xml:space="preserve"> MOHR </t>
  </si>
  <si>
    <t xml:space="preserve"> POIX DU NORD ASTT </t>
  </si>
  <si>
    <t xml:space="preserve"> POIREL </t>
  </si>
  <si>
    <t xml:space="preserve"> ST PAUL EN P. FARFADETS T </t>
  </si>
  <si>
    <t xml:space="preserve"> BARRIER </t>
  </si>
  <si>
    <t xml:space="preserve"> OXYGENE PSA </t>
  </si>
  <si>
    <t xml:space="preserve"> SAN MARTIN </t>
  </si>
  <si>
    <t xml:space="preserve"> BESSAT </t>
  </si>
  <si>
    <t xml:space="preserve"> SAINT PIERRE LA GARENNE </t>
  </si>
  <si>
    <t xml:space="preserve"> PELLERIN </t>
  </si>
  <si>
    <t xml:space="preserve"> JOUY LE MOUTIER-VAUREAL T </t>
  </si>
  <si>
    <t xml:space="preserve"> POUTAS </t>
  </si>
  <si>
    <t xml:space="preserve"> FR VELARS SUR OUCHE </t>
  </si>
  <si>
    <t xml:space="preserve"> GAUCHARD </t>
  </si>
  <si>
    <t xml:space="preserve"> THINON </t>
  </si>
  <si>
    <t xml:space="preserve"> St Varent TT </t>
  </si>
  <si>
    <t xml:space="preserve"> NOURDIN </t>
  </si>
  <si>
    <t xml:space="preserve"> FRESQUET </t>
  </si>
  <si>
    <t xml:space="preserve"> Ping du Pays de Naucelles </t>
  </si>
  <si>
    <t xml:space="preserve"> LASIBILLE </t>
  </si>
  <si>
    <t xml:space="preserve"> WALLE </t>
  </si>
  <si>
    <t xml:space="preserve"> LE GUIDEC </t>
  </si>
  <si>
    <t xml:space="preserve"> CHATEAUGIRON T.T. </t>
  </si>
  <si>
    <t xml:space="preserve"> BERTHIER </t>
  </si>
  <si>
    <t xml:space="preserve"> JAUNEAUX </t>
  </si>
  <si>
    <t xml:space="preserve"> DEMULES </t>
  </si>
  <si>
    <t xml:space="preserve"> TT LABASTIDE GAILLAC </t>
  </si>
  <si>
    <t xml:space="preserve"> TREHOUX </t>
  </si>
  <si>
    <t xml:space="preserve"> ALLEMAND </t>
  </si>
  <si>
    <t xml:space="preserve"> FOURCY </t>
  </si>
  <si>
    <t xml:space="preserve"> MEIGNEN </t>
  </si>
  <si>
    <t xml:space="preserve"> GAVRE (LE) T.T. </t>
  </si>
  <si>
    <t xml:space="preserve"> EHRLICH </t>
  </si>
  <si>
    <t xml:space="preserve"> DEVIS </t>
  </si>
  <si>
    <t xml:space="preserve"> VIVIER AU COURT CTT </t>
  </si>
  <si>
    <t xml:space="preserve"> Pierre-andre </t>
  </si>
  <si>
    <t xml:space="preserve"> HUGUET </t>
  </si>
  <si>
    <t xml:space="preserve"> FERIAU </t>
  </si>
  <si>
    <t xml:space="preserve"> ARQUES ES </t>
  </si>
  <si>
    <t xml:space="preserve"> VANDENSCHRICK </t>
  </si>
  <si>
    <t xml:space="preserve"> PRIOUX </t>
  </si>
  <si>
    <t xml:space="preserve"> LATAIX </t>
  </si>
  <si>
    <t xml:space="preserve"> HARDOUIN </t>
  </si>
  <si>
    <t xml:space="preserve"> Chatellerault ASTT </t>
  </si>
  <si>
    <t xml:space="preserve"> PELLE </t>
  </si>
  <si>
    <t xml:space="preserve"> HISETTE </t>
  </si>
  <si>
    <t xml:space="preserve"> VATEL </t>
  </si>
  <si>
    <t xml:space="preserve"> MERU PPC </t>
  </si>
  <si>
    <t xml:space="preserve"> SERRA </t>
  </si>
  <si>
    <t xml:space="preserve"> THUIR TT </t>
  </si>
  <si>
    <t xml:space="preserve"> SANICH CHUNG </t>
  </si>
  <si>
    <t xml:space="preserve"> GALLARD </t>
  </si>
  <si>
    <t xml:space="preserve"> DALINO </t>
  </si>
  <si>
    <t xml:space="preserve"> MUNIN </t>
  </si>
  <si>
    <t xml:space="preserve"> MORVILLERS-ROY BOISSY-FOR </t>
  </si>
  <si>
    <t xml:space="preserve"> LEGEAY </t>
  </si>
  <si>
    <t xml:space="preserve"> CARUSO </t>
  </si>
  <si>
    <t xml:space="preserve"> Salvatore </t>
  </si>
  <si>
    <t xml:space="preserve"> CABOUT </t>
  </si>
  <si>
    <t xml:space="preserve"> JADE </t>
  </si>
  <si>
    <t xml:space="preserve"> 379H0007 </t>
  </si>
  <si>
    <t xml:space="preserve"> AS Ptt section TT </t>
  </si>
  <si>
    <t xml:space="preserve"> A S BRETEUIL </t>
  </si>
  <si>
    <t xml:space="preserve"> VIEGAS </t>
  </si>
  <si>
    <t xml:space="preserve"> Luis </t>
  </si>
  <si>
    <t xml:space="preserve"> U.S.TROPEZIENNE </t>
  </si>
  <si>
    <t xml:space="preserve"> St Léger de Montbrun PPC </t>
  </si>
  <si>
    <t xml:space="preserve"> PENFORNIS </t>
  </si>
  <si>
    <t xml:space="preserve"> BLEULER </t>
  </si>
  <si>
    <t xml:space="preserve"> APPERY </t>
  </si>
  <si>
    <t xml:space="preserve"> Lucien </t>
  </si>
  <si>
    <t xml:space="preserve"> LOROUX BOTTEREAU(LE)CEPOL </t>
  </si>
  <si>
    <t xml:space="preserve"> ESCALBERT </t>
  </si>
  <si>
    <t xml:space="preserve"> BAIN DE BRETAGNE U.S. </t>
  </si>
  <si>
    <t xml:space="preserve"> MARIE VICTOIRE </t>
  </si>
  <si>
    <t xml:space="preserve"> VIGINIER </t>
  </si>
  <si>
    <t xml:space="preserve"> BERANGER </t>
  </si>
  <si>
    <t xml:space="preserve"> OYEU TENNIS DE TABLE </t>
  </si>
  <si>
    <t xml:space="preserve"> HAUDRECHY </t>
  </si>
  <si>
    <t xml:space="preserve"> SILORET </t>
  </si>
  <si>
    <t xml:space="preserve"> Luis-miguel </t>
  </si>
  <si>
    <t xml:space="preserve"> BREGEAULT </t>
  </si>
  <si>
    <t xml:space="preserve"> JEHANNO </t>
  </si>
  <si>
    <t xml:space="preserve"> ROBAT </t>
  </si>
  <si>
    <t xml:space="preserve"> JORE </t>
  </si>
  <si>
    <t xml:space="preserve"> Stecy </t>
  </si>
  <si>
    <t xml:space="preserve"> Ange </t>
  </si>
  <si>
    <t xml:space="preserve"> FRILEUX </t>
  </si>
  <si>
    <t xml:space="preserve"> COURCITÉ AS </t>
  </si>
  <si>
    <t xml:space="preserve"> HAMEREL </t>
  </si>
  <si>
    <t xml:space="preserve"> 319D0438 </t>
  </si>
  <si>
    <t xml:space="preserve"> T.T. SAINT PIERRE </t>
  </si>
  <si>
    <t xml:space="preserve"> BANNIER </t>
  </si>
  <si>
    <t xml:space="preserve"> BACCARAT ABTT </t>
  </si>
  <si>
    <t xml:space="preserve"> CHERY </t>
  </si>
  <si>
    <t xml:space="preserve"> BLAINVILLE DAMELEVIERES A </t>
  </si>
  <si>
    <t xml:space="preserve"> BOURDIER </t>
  </si>
  <si>
    <t xml:space="preserve"> NANTIAT USTT (87) </t>
  </si>
  <si>
    <t xml:space="preserve"> LEBARBIER </t>
  </si>
  <si>
    <t xml:space="preserve"> BOURRIAUD </t>
  </si>
  <si>
    <t xml:space="preserve"> DERLYN </t>
  </si>
  <si>
    <t xml:space="preserve"> ZUANON </t>
  </si>
  <si>
    <t xml:space="preserve"> PRADINE </t>
  </si>
  <si>
    <t xml:space="preserve"> LIBIER </t>
  </si>
  <si>
    <t xml:space="preserve"> CLERET </t>
  </si>
  <si>
    <t xml:space="preserve"> A.C.O.S.TILLIERS/AVRE </t>
  </si>
  <si>
    <t xml:space="preserve"> SZCZEPANSKI </t>
  </si>
  <si>
    <t xml:space="preserve"> FRANQUEVILLE ST PIERRE </t>
  </si>
  <si>
    <t xml:space="preserve"> RAHARISON </t>
  </si>
  <si>
    <t xml:space="preserve"> TENNIS DE TABLE DIGNOIS </t>
  </si>
  <si>
    <t xml:space="preserve"> FRESNAIS </t>
  </si>
  <si>
    <t xml:space="preserve"> GOUTTEBROZE </t>
  </si>
  <si>
    <t xml:space="preserve"> SAUMARD </t>
  </si>
  <si>
    <t xml:space="preserve"> US COULANGES LES NEVERS </t>
  </si>
  <si>
    <t xml:space="preserve"> MUADZER </t>
  </si>
  <si>
    <t xml:space="preserve"> Renato </t>
  </si>
  <si>
    <t xml:space="preserve"> AL VAISE SERIN </t>
  </si>
  <si>
    <t xml:space="preserve"> CHIMOT </t>
  </si>
  <si>
    <t xml:space="preserve"> AZE TENNIS DE TABLE </t>
  </si>
  <si>
    <t xml:space="preserve"> PACE/ST GREGOIRE T.T. ENT </t>
  </si>
  <si>
    <t xml:space="preserve"> LEVALET </t>
  </si>
  <si>
    <t xml:space="preserve"> GAROFALO </t>
  </si>
  <si>
    <t xml:space="preserve"> RENOUF </t>
  </si>
  <si>
    <t xml:space="preserve"> CALANDO </t>
  </si>
  <si>
    <t xml:space="preserve"> LE STRAT </t>
  </si>
  <si>
    <t xml:space="preserve"> U.S. PLOUAYSIENNE </t>
  </si>
  <si>
    <t xml:space="preserve"> BREIG </t>
  </si>
  <si>
    <t xml:space="preserve"> VAN SCHOORISSE </t>
  </si>
  <si>
    <t xml:space="preserve"> RAGOT </t>
  </si>
  <si>
    <t xml:space="preserve"> Andy </t>
  </si>
  <si>
    <t xml:space="preserve"> GSCHWIND </t>
  </si>
  <si>
    <t xml:space="preserve"> FOYER RURAL DE BOUROGNE </t>
  </si>
  <si>
    <t xml:space="preserve"> GALLEGO </t>
  </si>
  <si>
    <t xml:space="preserve"> PIGNOT </t>
  </si>
  <si>
    <t xml:space="preserve"> MONCLA </t>
  </si>
  <si>
    <t xml:space="preserve"> MICHOUX </t>
  </si>
  <si>
    <t xml:space="preserve"> CLAVEAU </t>
  </si>
  <si>
    <t xml:space="preserve"> PERIN </t>
  </si>
  <si>
    <t xml:space="preserve"> TT PRAYSSACOIS </t>
  </si>
  <si>
    <t xml:space="preserve"> GRIVAUD </t>
  </si>
  <si>
    <t xml:space="preserve"> CAREL </t>
  </si>
  <si>
    <t xml:space="preserve"> GRELLIER </t>
  </si>
  <si>
    <t xml:space="preserve"> TERRIER </t>
  </si>
  <si>
    <t xml:space="preserve"> VACQUET </t>
  </si>
  <si>
    <t xml:space="preserve"> BONTOUT </t>
  </si>
  <si>
    <t xml:space="preserve"> MAUVIEL </t>
  </si>
  <si>
    <t xml:space="preserve"> PLUMAS </t>
  </si>
  <si>
    <t xml:space="preserve"> BOITTE </t>
  </si>
  <si>
    <t xml:space="preserve"> Jean hugues </t>
  </si>
  <si>
    <t xml:space="preserve"> ARBELOA </t>
  </si>
  <si>
    <t xml:space="preserve"> VIROT </t>
  </si>
  <si>
    <t xml:space="preserve"> TT DU CAILLY </t>
  </si>
  <si>
    <t xml:space="preserve"> QUETINEAU </t>
  </si>
  <si>
    <t xml:space="preserve"> BAUDET </t>
  </si>
  <si>
    <t xml:space="preserve"> ISAMBERT </t>
  </si>
  <si>
    <t xml:space="preserve"> MONTREUIL JUIGNE As.Pongi </t>
  </si>
  <si>
    <t xml:space="preserve"> PING CLUB DE CAP D'AIL </t>
  </si>
  <si>
    <t xml:space="preserve"> GRALL </t>
  </si>
  <si>
    <t xml:space="preserve"> OSSART </t>
  </si>
  <si>
    <t xml:space="preserve"> FANTINI </t>
  </si>
  <si>
    <t xml:space="preserve"> AUGER </t>
  </si>
  <si>
    <t xml:space="preserve"> GASSER </t>
  </si>
  <si>
    <t xml:space="preserve"> MIOT </t>
  </si>
  <si>
    <t xml:space="preserve"> RIVOISY </t>
  </si>
  <si>
    <t xml:space="preserve"> SCHUTZ </t>
  </si>
  <si>
    <t xml:space="preserve"> RIBREAU </t>
  </si>
  <si>
    <t xml:space="preserve"> LE BARS </t>
  </si>
  <si>
    <t xml:space="preserve"> BAGNOLS MARCOULE SABRAN T </t>
  </si>
  <si>
    <t xml:space="preserve"> ARON </t>
  </si>
  <si>
    <t xml:space="preserve"> GRADIGNAN TENNIS DE TABLE </t>
  </si>
  <si>
    <t xml:space="preserve"> COUPE </t>
  </si>
  <si>
    <t xml:space="preserve"> BELLOY </t>
  </si>
  <si>
    <t xml:space="preserve"> ASC.VILLERBON </t>
  </si>
  <si>
    <t xml:space="preserve"> MESCAM </t>
  </si>
  <si>
    <t xml:space="preserve"> BEZIVIN </t>
  </si>
  <si>
    <t xml:space="preserve"> Lionnel </t>
  </si>
  <si>
    <t xml:space="preserve"> JULIAT </t>
  </si>
  <si>
    <t xml:space="preserve"> DUTHEUIL </t>
  </si>
  <si>
    <t xml:space="preserve"> OTT </t>
  </si>
  <si>
    <t xml:space="preserve"> LUGAND </t>
  </si>
  <si>
    <t xml:space="preserve"> ROMANETTO </t>
  </si>
  <si>
    <t xml:space="preserve"> PELTIER </t>
  </si>
  <si>
    <t xml:space="preserve"> HERITIER </t>
  </si>
  <si>
    <t xml:space="preserve"> DUNANT </t>
  </si>
  <si>
    <t xml:space="preserve"> STE MARIE STE MERE ES </t>
  </si>
  <si>
    <t xml:space="preserve"> VANDEVELDE </t>
  </si>
  <si>
    <t xml:space="preserve"> TT CASTELNAUDAIS </t>
  </si>
  <si>
    <t xml:space="preserve"> DUPUYAU </t>
  </si>
  <si>
    <t xml:space="preserve"> Frederick </t>
  </si>
  <si>
    <t xml:space="preserve"> RASCLE </t>
  </si>
  <si>
    <t xml:space="preserve"> ASPTT ST ETIENNE </t>
  </si>
  <si>
    <t xml:space="preserve"> VERHULST </t>
  </si>
  <si>
    <t xml:space="preserve"> POIGNARD </t>
  </si>
  <si>
    <t xml:space="preserve"> COGAN </t>
  </si>
  <si>
    <t xml:space="preserve"> CREACH </t>
  </si>
  <si>
    <t xml:space="preserve"> GABARD </t>
  </si>
  <si>
    <t xml:space="preserve"> Jean gilles </t>
  </si>
  <si>
    <t xml:space="preserve"> DUNA </t>
  </si>
  <si>
    <t xml:space="preserve"> DEBERNE </t>
  </si>
  <si>
    <t xml:space="preserve"> CHATELARD </t>
  </si>
  <si>
    <t xml:space="preserve"> US LA CHARITE TENNIS DE T </t>
  </si>
  <si>
    <t xml:space="preserve"> GOYENECHE </t>
  </si>
  <si>
    <t xml:space="preserve"> LIENARD </t>
  </si>
  <si>
    <t xml:space="preserve"> JEAN-CHARLES </t>
  </si>
  <si>
    <t xml:space="preserve"> RAMANITRA </t>
  </si>
  <si>
    <t xml:space="preserve"> CONDE EN BRIE UTT </t>
  </si>
  <si>
    <t xml:space="preserve"> CECCHINI </t>
  </si>
  <si>
    <t xml:space="preserve"> THEBAUD </t>
  </si>
  <si>
    <t xml:space="preserve"> FALOMIR </t>
  </si>
  <si>
    <t xml:space="preserve"> Stéfan </t>
  </si>
  <si>
    <t xml:space="preserve"> BOURGINE </t>
  </si>
  <si>
    <t xml:space="preserve"> BERTELOOT </t>
  </si>
  <si>
    <t xml:space="preserve"> C.2T MARTIZAY </t>
  </si>
  <si>
    <t xml:space="preserve"> HUMBLOT </t>
  </si>
  <si>
    <t xml:space="preserve"> ELMERICH </t>
  </si>
  <si>
    <t xml:space="preserve"> CHAMALI </t>
  </si>
  <si>
    <t xml:space="preserve"> Yahia </t>
  </si>
  <si>
    <t xml:space="preserve"> BOURGNEUF-STE CHRISTINE T </t>
  </si>
  <si>
    <t xml:space="preserve"> LE MAY </t>
  </si>
  <si>
    <t xml:space="preserve"> CAHUZAC </t>
  </si>
  <si>
    <t xml:space="preserve"> A. P. BARPAISE </t>
  </si>
  <si>
    <t xml:space="preserve"> BAZOGE </t>
  </si>
  <si>
    <t xml:space="preserve"> BRUNEEL </t>
  </si>
  <si>
    <t xml:space="preserve"> EBOR </t>
  </si>
  <si>
    <t xml:space="preserve"> MIGLIORETTI </t>
  </si>
  <si>
    <t xml:space="preserve"> Pablo </t>
  </si>
  <si>
    <t xml:space="preserve"> BOITEL </t>
  </si>
  <si>
    <t xml:space="preserve"> MUNOZ </t>
  </si>
  <si>
    <t xml:space="preserve"> Gaz Elec Omnisports St ET </t>
  </si>
  <si>
    <t xml:space="preserve"> GAÏDO </t>
  </si>
  <si>
    <t xml:space="preserve"> US CH. CLERMONT-FD </t>
  </si>
  <si>
    <t xml:space="preserve"> CASENAZ </t>
  </si>
  <si>
    <t xml:space="preserve"> MONTCHEVREUIL ASTT </t>
  </si>
  <si>
    <t xml:space="preserve"> LELIEVRE </t>
  </si>
  <si>
    <t xml:space="preserve"> SEIGNOUR </t>
  </si>
  <si>
    <t xml:space="preserve"> MATHELY </t>
  </si>
  <si>
    <t xml:space="preserve"> ONFROY </t>
  </si>
  <si>
    <t xml:space="preserve"> LIGNY EN BARROIS T.T. </t>
  </si>
  <si>
    <t xml:space="preserve"> DUPEYRAT </t>
  </si>
  <si>
    <t xml:space="preserve"> RALU </t>
  </si>
  <si>
    <t xml:space="preserve"> TINCHEBRAY PSJ </t>
  </si>
  <si>
    <t xml:space="preserve"> DOLISY </t>
  </si>
  <si>
    <t xml:space="preserve"> Emerik </t>
  </si>
  <si>
    <t xml:space="preserve"> BODART </t>
  </si>
  <si>
    <t xml:space="preserve"> PLIQUE </t>
  </si>
  <si>
    <t xml:space="preserve"> FIAUX </t>
  </si>
  <si>
    <t xml:space="preserve"> RION </t>
  </si>
  <si>
    <t xml:space="preserve"> DELAVAULT </t>
  </si>
  <si>
    <t xml:space="preserve"> La Mothe St Héray ACMTT </t>
  </si>
  <si>
    <t xml:space="preserve"> TRICAT </t>
  </si>
  <si>
    <t xml:space="preserve"> TRITH ST LEGER CO </t>
  </si>
  <si>
    <t xml:space="preserve"> DALLE PIAGGE </t>
  </si>
  <si>
    <t xml:space="preserve"> HUS </t>
  </si>
  <si>
    <t xml:space="preserve"> BOURAYON </t>
  </si>
  <si>
    <t xml:space="preserve"> DOARE </t>
  </si>
  <si>
    <t xml:space="preserve"> EP DU CAP-SIZUN </t>
  </si>
  <si>
    <t xml:space="preserve"> CREPEL </t>
  </si>
  <si>
    <t xml:space="preserve"> DACHICOURT </t>
  </si>
  <si>
    <t xml:space="preserve"> C.E.S. TOURS </t>
  </si>
  <si>
    <t xml:space="preserve"> DEFOSSE </t>
  </si>
  <si>
    <t xml:space="preserve"> GOUET </t>
  </si>
  <si>
    <t xml:space="preserve"> PAYS MELOIS ET D'ESSAY EN </t>
  </si>
  <si>
    <t xml:space="preserve"> DELPORTE </t>
  </si>
  <si>
    <t xml:space="preserve"> SCHANG </t>
  </si>
  <si>
    <t xml:space="preserve"> BECKER </t>
  </si>
  <si>
    <t xml:space="preserve"> CUCQ ASP </t>
  </si>
  <si>
    <t xml:space="preserve"> TRAVERT </t>
  </si>
  <si>
    <t xml:space="preserve"> ALLAGNAT </t>
  </si>
  <si>
    <t xml:space="preserve"> COURCOL </t>
  </si>
  <si>
    <t xml:space="preserve"> BODENAN </t>
  </si>
  <si>
    <t xml:space="preserve"> Pierre luc </t>
  </si>
  <si>
    <t xml:space="preserve"> TT URIAGE </t>
  </si>
  <si>
    <t xml:space="preserve"> FRAASS </t>
  </si>
  <si>
    <t xml:space="preserve"> MEURICE </t>
  </si>
  <si>
    <t xml:space="preserve"> CAILTEAU </t>
  </si>
  <si>
    <t xml:space="preserve"> GASTINOIS </t>
  </si>
  <si>
    <t xml:space="preserve"> BOUTERRA </t>
  </si>
  <si>
    <t xml:space="preserve"> BOURDAIN </t>
  </si>
  <si>
    <t xml:space="preserve"> PETITE </t>
  </si>
  <si>
    <t xml:space="preserve"> ATHEA </t>
  </si>
  <si>
    <t xml:space="preserve"> WIATT </t>
  </si>
  <si>
    <t xml:space="preserve"> Jean séraphin </t>
  </si>
  <si>
    <t xml:space="preserve"> VERGNET </t>
  </si>
  <si>
    <t xml:space="preserve"> DRAVIGNY </t>
  </si>
  <si>
    <t xml:space="preserve"> VALAIS </t>
  </si>
  <si>
    <t xml:space="preserve"> GASTINES CUILLÉ AS </t>
  </si>
  <si>
    <t xml:space="preserve"> BOICHAT </t>
  </si>
  <si>
    <t xml:space="preserve"> Van-lam </t>
  </si>
  <si>
    <t xml:space="preserve"> DUFOURMANTELLE </t>
  </si>
  <si>
    <t xml:space="preserve"> US JOIGNY </t>
  </si>
  <si>
    <t xml:space="preserve"> BUTEL </t>
  </si>
  <si>
    <t xml:space="preserve"> COLOMBIENNE ES </t>
  </si>
  <si>
    <t xml:space="preserve"> POISOT </t>
  </si>
  <si>
    <t xml:space="preserve"> FROUARD O.F.P. </t>
  </si>
  <si>
    <t xml:space="preserve"> BERTON </t>
  </si>
  <si>
    <t xml:space="preserve"> BODELET </t>
  </si>
  <si>
    <t xml:space="preserve"> MORON </t>
  </si>
  <si>
    <t xml:space="preserve"> DUCLOS </t>
  </si>
  <si>
    <t xml:space="preserve"> GERMAIN </t>
  </si>
  <si>
    <t xml:space="preserve"> DESFOUX </t>
  </si>
  <si>
    <t xml:space="preserve"> SPORTING CLUB BERNAY TT </t>
  </si>
  <si>
    <t xml:space="preserve"> COLAS DES FRANCS </t>
  </si>
  <si>
    <t xml:space="preserve"> SANTERRE </t>
  </si>
  <si>
    <t xml:space="preserve"> GUESNAIN ATT </t>
  </si>
  <si>
    <t xml:space="preserve"> BARTA </t>
  </si>
  <si>
    <t xml:space="preserve"> SIGNOL </t>
  </si>
  <si>
    <t xml:space="preserve"> SARTROUVILLOIS TT </t>
  </si>
  <si>
    <t xml:space="preserve"> CHOLLET </t>
  </si>
  <si>
    <t xml:space="preserve"> NAOURI </t>
  </si>
  <si>
    <t xml:space="preserve"> CARVAL </t>
  </si>
  <si>
    <t xml:space="preserve"> HUART </t>
  </si>
  <si>
    <t xml:space="preserve"> Van shavone </t>
  </si>
  <si>
    <t xml:space="preserve"> A L ST MARTIN LE VINOUX </t>
  </si>
  <si>
    <t xml:space="preserve"> VU </t>
  </si>
  <si>
    <t xml:space="preserve"> NOIRET </t>
  </si>
  <si>
    <t xml:space="preserve"> GUESDON </t>
  </si>
  <si>
    <t xml:space="preserve"> ROPARS </t>
  </si>
  <si>
    <t xml:space="preserve"> PC PLABENNEC </t>
  </si>
  <si>
    <t xml:space="preserve"> MIRRE </t>
  </si>
  <si>
    <t xml:space="preserve"> DEBRUE </t>
  </si>
  <si>
    <t xml:space="preserve"> BARBERIS </t>
  </si>
  <si>
    <t xml:space="preserve"> ROUGEMONTIER SPORTS LOISI </t>
  </si>
  <si>
    <t xml:space="preserve"> CREUZET </t>
  </si>
  <si>
    <t xml:space="preserve"> TANZI </t>
  </si>
  <si>
    <t xml:space="preserve"> MASSARD </t>
  </si>
  <si>
    <t xml:space="preserve"> GOLBEY </t>
  </si>
  <si>
    <t xml:space="preserve"> BOBER </t>
  </si>
  <si>
    <t xml:space="preserve"> SCHOENECK T.T. </t>
  </si>
  <si>
    <t xml:space="preserve"> GOSSELIN </t>
  </si>
  <si>
    <t xml:space="preserve"> MALLET </t>
  </si>
  <si>
    <t xml:space="preserve"> LJ ST ETIENNE DU BOIS </t>
  </si>
  <si>
    <t xml:space="preserve"> MONTAGNE </t>
  </si>
  <si>
    <t xml:space="preserve"> MESEMBOURG </t>
  </si>
  <si>
    <t xml:space="preserve"> FOSTIER </t>
  </si>
  <si>
    <t xml:space="preserve"> MARTINELLI </t>
  </si>
  <si>
    <t xml:space="preserve"> LEBELLE </t>
  </si>
  <si>
    <t xml:space="preserve"> POURSINE </t>
  </si>
  <si>
    <t xml:space="preserve"> JOUDON </t>
  </si>
  <si>
    <t xml:space="preserve"> PAUCHET </t>
  </si>
  <si>
    <t xml:space="preserve"> Jannick </t>
  </si>
  <si>
    <t xml:space="preserve"> MOYAL </t>
  </si>
  <si>
    <t xml:space="preserve"> AZÉ Tennis de Table </t>
  </si>
  <si>
    <t xml:space="preserve"> PERAN </t>
  </si>
  <si>
    <t xml:space="preserve"> DE SOUSA </t>
  </si>
  <si>
    <t xml:space="preserve"> Jorge </t>
  </si>
  <si>
    <t xml:space="preserve"> NAPIOT </t>
  </si>
  <si>
    <t xml:space="preserve"> JUILLET </t>
  </si>
  <si>
    <t xml:space="preserve"> DUMORTIER </t>
  </si>
  <si>
    <t xml:space="preserve"> AUGIER </t>
  </si>
  <si>
    <t xml:space="preserve"> COLOMBIER </t>
  </si>
  <si>
    <t xml:space="preserve"> SOLIVA </t>
  </si>
  <si>
    <t xml:space="preserve"> LASSELIN </t>
  </si>
  <si>
    <t xml:space="preserve"> DEMEY </t>
  </si>
  <si>
    <t xml:space="preserve"> FR LAMARCHE SUR SAONE TT </t>
  </si>
  <si>
    <t xml:space="preserve"> TATU </t>
  </si>
  <si>
    <t xml:space="preserve"> BLEAS </t>
  </si>
  <si>
    <t xml:space="preserve"> ASC BONSECOURS </t>
  </si>
  <si>
    <t xml:space="preserve"> GELLET </t>
  </si>
  <si>
    <t xml:space="preserve"> BRON TT </t>
  </si>
  <si>
    <t xml:space="preserve"> FOUCHAULT </t>
  </si>
  <si>
    <t xml:space="preserve"> BOUNY </t>
  </si>
  <si>
    <t xml:space="preserve"> PETRUVIENNE US </t>
  </si>
  <si>
    <t xml:space="preserve"> JUDEAUX </t>
  </si>
  <si>
    <t xml:space="preserve"> SAMAIN </t>
  </si>
  <si>
    <t xml:space="preserve"> SANIAL </t>
  </si>
  <si>
    <t xml:space="preserve"> LE CHEYLARD TENNIS DE TAB </t>
  </si>
  <si>
    <t xml:space="preserve"> BATAILLE </t>
  </si>
  <si>
    <t xml:space="preserve"> MESLIL </t>
  </si>
  <si>
    <t xml:space="preserve"> ALLEAUME </t>
  </si>
  <si>
    <t xml:space="preserve"> DESDEVISES </t>
  </si>
  <si>
    <t xml:space="preserve"> VOUILLOT </t>
  </si>
  <si>
    <t xml:space="preserve"> LAUGA </t>
  </si>
  <si>
    <t xml:space="preserve"> MONTOIS </t>
  </si>
  <si>
    <t xml:space="preserve"> BORDS DE VIRE AS </t>
  </si>
  <si>
    <t xml:space="preserve"> DESMARS </t>
  </si>
  <si>
    <t xml:space="preserve"> COMMARE </t>
  </si>
  <si>
    <t xml:space="preserve"> MARTHIENS </t>
  </si>
  <si>
    <t xml:space="preserve"> THIOLICA </t>
  </si>
  <si>
    <t xml:space="preserve"> 319D0463 </t>
  </si>
  <si>
    <t xml:space="preserve"> AVENIR PONGISTE PANONNAIS </t>
  </si>
  <si>
    <t xml:space="preserve"> ADDA </t>
  </si>
  <si>
    <t xml:space="preserve"> LARIQUE </t>
  </si>
  <si>
    <t xml:space="preserve"> TROYES JEUNE GARDE </t>
  </si>
  <si>
    <t xml:space="preserve"> GIRON </t>
  </si>
  <si>
    <t xml:space="preserve"> GAULIER </t>
  </si>
  <si>
    <t xml:space="preserve"> NOGENT TT </t>
  </si>
  <si>
    <t xml:space="preserve"> BERA </t>
  </si>
  <si>
    <t xml:space="preserve"> GOSTOLI </t>
  </si>
  <si>
    <t xml:space="preserve"> COLOMARS OLYMPIC CLUB TT </t>
  </si>
  <si>
    <t xml:space="preserve"> MIJNO </t>
  </si>
  <si>
    <t xml:space="preserve"> C.T.T. SAINT MAXIMIN </t>
  </si>
  <si>
    <t xml:space="preserve"> DOURIN </t>
  </si>
  <si>
    <t xml:space="preserve"> SERMAIZE Les Jeunes </t>
  </si>
  <si>
    <t xml:space="preserve"> YAHIEL </t>
  </si>
  <si>
    <t xml:space="preserve"> V5 </t>
  </si>
  <si>
    <t xml:space="preserve"> JACQUINOT </t>
  </si>
  <si>
    <t xml:space="preserve"> PROUST </t>
  </si>
  <si>
    <t xml:space="preserve"> LE GLOANEC </t>
  </si>
  <si>
    <t xml:space="preserve"> STRENGER </t>
  </si>
  <si>
    <t xml:space="preserve"> CAVIN </t>
  </si>
  <si>
    <t xml:space="preserve"> GOUNY </t>
  </si>
  <si>
    <t xml:space="preserve"> CLAMOUSE </t>
  </si>
  <si>
    <t xml:space="preserve"> MEYNIER </t>
  </si>
  <si>
    <t xml:space="preserve"> BAUDON </t>
  </si>
  <si>
    <t xml:space="preserve"> MARHIC </t>
  </si>
  <si>
    <t xml:space="preserve"> ARNAULT </t>
  </si>
  <si>
    <t xml:space="preserve"> Jean Yves </t>
  </si>
  <si>
    <t xml:space="preserve"> BOISSIERE-BOUZILLE MARILL </t>
  </si>
  <si>
    <t xml:space="preserve"> EHRENFELD </t>
  </si>
  <si>
    <t xml:space="preserve"> CAMUGLI </t>
  </si>
  <si>
    <t xml:space="preserve"> Henri-pierre </t>
  </si>
  <si>
    <t xml:space="preserve"> RACOLLIER </t>
  </si>
  <si>
    <t xml:space="preserve"> KIRSZENBLAT </t>
  </si>
  <si>
    <t xml:space="preserve"> VAN WALLEGHEM </t>
  </si>
  <si>
    <t xml:space="preserve"> Breuil Chaussee CRAB </t>
  </si>
  <si>
    <t xml:space="preserve"> GASCA </t>
  </si>
  <si>
    <t xml:space="preserve"> FOUCHET </t>
  </si>
  <si>
    <t xml:space="preserve"> DOCEUL </t>
  </si>
  <si>
    <t xml:space="preserve"> C A STE HELENE </t>
  </si>
  <si>
    <t xml:space="preserve"> CARDINE </t>
  </si>
  <si>
    <t xml:space="preserve"> MORAZIN </t>
  </si>
  <si>
    <t xml:space="preserve"> TRAVERS </t>
  </si>
  <si>
    <t xml:space="preserve"> KARRER </t>
  </si>
  <si>
    <t xml:space="preserve"> CITERNE </t>
  </si>
  <si>
    <t xml:space="preserve"> TROISSEREUX-BONL-JUVIGN-M </t>
  </si>
  <si>
    <t xml:space="preserve"> BOISSY </t>
  </si>
  <si>
    <t xml:space="preserve"> RAS ROMILLY AS </t>
  </si>
  <si>
    <t xml:space="preserve"> ETAIN R.A.S.S. </t>
  </si>
  <si>
    <t xml:space="preserve"> FOUCART </t>
  </si>
  <si>
    <t xml:space="preserve"> NOIRON </t>
  </si>
  <si>
    <t xml:space="preserve"> RABAUD </t>
  </si>
  <si>
    <t xml:space="preserve"> PILLORGER </t>
  </si>
  <si>
    <t xml:space="preserve"> ROOM </t>
  </si>
  <si>
    <t xml:space="preserve"> WATTRELOS ALT </t>
  </si>
  <si>
    <t xml:space="preserve"> BROCARD </t>
  </si>
  <si>
    <t xml:space="preserve"> RAQUETTE NEUFCHATELOISE </t>
  </si>
  <si>
    <t xml:space="preserve"> CONSTANT </t>
  </si>
  <si>
    <t xml:space="preserve"> RIALLOT </t>
  </si>
  <si>
    <t xml:space="preserve"> GRUSON </t>
  </si>
  <si>
    <t xml:space="preserve"> OLIVARES </t>
  </si>
  <si>
    <t xml:space="preserve"> LIMOUX TT </t>
  </si>
  <si>
    <t xml:space="preserve"> RENIER </t>
  </si>
  <si>
    <t xml:space="preserve"> VILLEVEQUE SOUCELLES ASC </t>
  </si>
  <si>
    <t xml:space="preserve"> CACHOT </t>
  </si>
  <si>
    <t xml:space="preserve"> VARESANO </t>
  </si>
  <si>
    <t xml:space="preserve"> TALARMAIN </t>
  </si>
  <si>
    <t xml:space="preserve"> SUZANNE </t>
  </si>
  <si>
    <t xml:space="preserve"> AS HOSSEGOR T.T </t>
  </si>
  <si>
    <t xml:space="preserve"> FICHE </t>
  </si>
  <si>
    <t xml:space="preserve"> LOYER </t>
  </si>
  <si>
    <t xml:space="preserve"> ZOTT </t>
  </si>
  <si>
    <t xml:space="preserve"> Ougo </t>
  </si>
  <si>
    <t xml:space="preserve"> ALIBERT </t>
  </si>
  <si>
    <t xml:space="preserve"> TT GRAND CROIX </t>
  </si>
  <si>
    <t xml:space="preserve"> TAMBIA </t>
  </si>
  <si>
    <t xml:space="preserve"> JULLIARD </t>
  </si>
  <si>
    <t xml:space="preserve"> A.S.C.AUREILHAN </t>
  </si>
  <si>
    <t xml:space="preserve"> VANDEWYNCKEL </t>
  </si>
  <si>
    <t xml:space="preserve"> LEONI </t>
  </si>
  <si>
    <t xml:space="preserve"> ROISNE </t>
  </si>
  <si>
    <t xml:space="preserve"> VORANGER </t>
  </si>
  <si>
    <t xml:space="preserve"> MONCEAU </t>
  </si>
  <si>
    <t xml:space="preserve"> JENNEQUIN </t>
  </si>
  <si>
    <t xml:space="preserve"> COUPELLE-NEUVE FR </t>
  </si>
  <si>
    <t xml:space="preserve"> LADHARI </t>
  </si>
  <si>
    <t xml:space="preserve"> Mohamed-ali </t>
  </si>
  <si>
    <t xml:space="preserve"> MARLET </t>
  </si>
  <si>
    <t xml:space="preserve"> NOUHANT </t>
  </si>
  <si>
    <t xml:space="preserve"> PING PONG CLUB ISSOLDUNOI </t>
  </si>
  <si>
    <t xml:space="preserve"> AUPETIT </t>
  </si>
  <si>
    <t xml:space="preserve"> EIDEL </t>
  </si>
  <si>
    <t xml:space="preserve"> BIENVENU </t>
  </si>
  <si>
    <t xml:space="preserve"> Aime </t>
  </si>
  <si>
    <t xml:space="preserve"> ODELAIN </t>
  </si>
  <si>
    <t xml:space="preserve"> PEZET </t>
  </si>
  <si>
    <t xml:space="preserve"> BOURDOISEAU </t>
  </si>
  <si>
    <t xml:space="preserve"> DA SILVA CORREIA </t>
  </si>
  <si>
    <t xml:space="preserve"> Rogério </t>
  </si>
  <si>
    <t xml:space="preserve"> LECRIQUE </t>
  </si>
  <si>
    <t xml:space="preserve"> ESTRABOLS </t>
  </si>
  <si>
    <t xml:space="preserve"> LALOI </t>
  </si>
  <si>
    <t xml:space="preserve"> STOLTZ </t>
  </si>
  <si>
    <t xml:space="preserve"> HAMARD </t>
  </si>
  <si>
    <t xml:space="preserve"> CORNE TTC </t>
  </si>
  <si>
    <t xml:space="preserve"> REBEYROL </t>
  </si>
  <si>
    <t xml:space="preserve"> AS STE LYON BANQUE </t>
  </si>
  <si>
    <t xml:space="preserve"> BREDIN </t>
  </si>
  <si>
    <t xml:space="preserve"> DELCAMPE </t>
  </si>
  <si>
    <t xml:space="preserve"> PLANQUE </t>
  </si>
  <si>
    <t xml:space="preserve"> CARRERE </t>
  </si>
  <si>
    <t xml:space="preserve"> RETOURNA </t>
  </si>
  <si>
    <t xml:space="preserve"> UCHAUD ASTT </t>
  </si>
  <si>
    <t xml:space="preserve"> PAUMIER </t>
  </si>
  <si>
    <t xml:space="preserve"> SIONCKE </t>
  </si>
  <si>
    <t xml:space="preserve"> Fernand </t>
  </si>
  <si>
    <t xml:space="preserve"> CHARCOT STE FOY LES LYON </t>
  </si>
  <si>
    <t xml:space="preserve"> LE CORSU </t>
  </si>
  <si>
    <t xml:space="preserve"> LEROUXEL </t>
  </si>
  <si>
    <t xml:space="preserve"> MALLIET </t>
  </si>
  <si>
    <t xml:space="preserve"> BERNARDI </t>
  </si>
  <si>
    <t xml:space="preserve"> LHERMITTE </t>
  </si>
  <si>
    <t xml:space="preserve"> US TORREILLES US TT </t>
  </si>
  <si>
    <t xml:space="preserve"> SIOUVILLE </t>
  </si>
  <si>
    <t xml:space="preserve"> BECOURT </t>
  </si>
  <si>
    <t xml:space="preserve"> LAGUILLE </t>
  </si>
  <si>
    <t xml:space="preserve"> FOURTIER </t>
  </si>
  <si>
    <t xml:space="preserve"> LEGAL </t>
  </si>
  <si>
    <t xml:space="preserve"> QUESSEVEUR </t>
  </si>
  <si>
    <t xml:space="preserve"> PERNEY </t>
  </si>
  <si>
    <t xml:space="preserve"> ONNAING TT </t>
  </si>
  <si>
    <t xml:space="preserve"> CARROT </t>
  </si>
  <si>
    <t xml:space="preserve"> MEDAVY AS </t>
  </si>
  <si>
    <t xml:space="preserve"> Tennis de Table Egletonna </t>
  </si>
  <si>
    <t xml:space="preserve"> FEN CHONG </t>
  </si>
  <si>
    <t xml:space="preserve"> GALAIS </t>
  </si>
  <si>
    <t xml:space="preserve"> RETRIF </t>
  </si>
  <si>
    <t xml:space="preserve"> POCHON </t>
  </si>
  <si>
    <t xml:space="preserve"> GUILLIER </t>
  </si>
  <si>
    <t xml:space="preserve"> BENOIT </t>
  </si>
  <si>
    <t xml:space="preserve"> MOLET </t>
  </si>
  <si>
    <t xml:space="preserve"> NONANTAIS TT </t>
  </si>
  <si>
    <t xml:space="preserve"> JACQUOT </t>
  </si>
  <si>
    <t xml:space="preserve"> DAUPHANT </t>
  </si>
  <si>
    <t xml:space="preserve"> TT PESCHADOIRES </t>
  </si>
  <si>
    <t xml:space="preserve"> LAPORTE </t>
  </si>
  <si>
    <t xml:space="preserve"> BETRANCOURT </t>
  </si>
  <si>
    <t xml:space="preserve"> MAGNIN </t>
  </si>
  <si>
    <t xml:space="preserve"> ASC AMBERIEU T.T. </t>
  </si>
  <si>
    <t xml:space="preserve"> JARRIER </t>
  </si>
  <si>
    <t xml:space="preserve"> SCHWEITZER </t>
  </si>
  <si>
    <t xml:space="preserve"> WEHRLE </t>
  </si>
  <si>
    <t xml:space="preserve"> EMBIZE </t>
  </si>
  <si>
    <t xml:space="preserve"> BARRAUX </t>
  </si>
  <si>
    <t xml:space="preserve"> CHAUVEAU </t>
  </si>
  <si>
    <t xml:space="preserve"> MUSY </t>
  </si>
  <si>
    <t xml:space="preserve"> GIROD </t>
  </si>
  <si>
    <t xml:space="preserve"> CAVIALE </t>
  </si>
  <si>
    <t xml:space="preserve"> COULON </t>
  </si>
  <si>
    <t xml:space="preserve"> CAESTRE TTC </t>
  </si>
  <si>
    <t xml:space="preserve"> PING PONG CLUB ORVAL </t>
  </si>
  <si>
    <t xml:space="preserve"> BARDARILLE </t>
  </si>
  <si>
    <t xml:space="preserve"> CUINCY ATT </t>
  </si>
  <si>
    <t xml:space="preserve"> DHELIN </t>
  </si>
  <si>
    <t xml:space="preserve"> USM VILLEPARISIS TT </t>
  </si>
  <si>
    <t xml:space="preserve"> CHESSERON </t>
  </si>
  <si>
    <t xml:space="preserve"> ALVAREZ </t>
  </si>
  <si>
    <t xml:space="preserve"> HUPPE </t>
  </si>
  <si>
    <t xml:space="preserve"> CHOFFAT </t>
  </si>
  <si>
    <t xml:space="preserve"> GAUGEZ </t>
  </si>
  <si>
    <t xml:space="preserve"> Jean-laurent </t>
  </si>
  <si>
    <t xml:space="preserve"> KERVADEC </t>
  </si>
  <si>
    <t xml:space="preserve"> GOURBIN </t>
  </si>
  <si>
    <t xml:space="preserve"> CARANTILLAISE JS </t>
  </si>
  <si>
    <t xml:space="preserve"> BAILLIET </t>
  </si>
  <si>
    <t xml:space="preserve"> ODDOUX </t>
  </si>
  <si>
    <t xml:space="preserve"> KERN </t>
  </si>
  <si>
    <t xml:space="preserve"> BRUNET-CHARPENTIER </t>
  </si>
  <si>
    <t xml:space="preserve"> CLUB PONGISTES BUZANCEENS </t>
  </si>
  <si>
    <t xml:space="preserve"> BACONNIÉRE (La) TENNIS DE </t>
  </si>
  <si>
    <t xml:space="preserve"> ROQUES </t>
  </si>
  <si>
    <t xml:space="preserve"> DELELIS </t>
  </si>
  <si>
    <t xml:space="preserve"> ACHARD </t>
  </si>
  <si>
    <t xml:space="preserve"> CABASSUD </t>
  </si>
  <si>
    <t xml:space="preserve"> CLUB PONGISTE NOVAIS </t>
  </si>
  <si>
    <t xml:space="preserve"> ROBARD </t>
  </si>
  <si>
    <t xml:space="preserve"> GOTTRANT </t>
  </si>
  <si>
    <t xml:space="preserve"> COCHARD </t>
  </si>
  <si>
    <t xml:space="preserve"> Sylvian </t>
  </si>
  <si>
    <t xml:space="preserve"> JULIENNE </t>
  </si>
  <si>
    <t xml:space="preserve"> LE GRAND LUCE USTT </t>
  </si>
  <si>
    <t xml:space="preserve"> LECUIR </t>
  </si>
  <si>
    <t xml:space="preserve"> AP.LA CHAPELLE VENDOMOISE </t>
  </si>
  <si>
    <t xml:space="preserve"> FJEP-T.T CRUAS </t>
  </si>
  <si>
    <t xml:space="preserve"> DECLERCK </t>
  </si>
  <si>
    <t xml:space="preserve"> ALBERT-BRAY USOA TT </t>
  </si>
  <si>
    <t xml:space="preserve"> JONCOURT </t>
  </si>
  <si>
    <t xml:space="preserve"> WU </t>
  </si>
  <si>
    <t xml:space="preserve"> DEVASSINE </t>
  </si>
  <si>
    <t xml:space="preserve"> DAL-COLLETTO </t>
  </si>
  <si>
    <t xml:space="preserve"> SIRJEAN </t>
  </si>
  <si>
    <t xml:space="preserve"> LESTAGE </t>
  </si>
  <si>
    <t xml:space="preserve"> RADLE </t>
  </si>
  <si>
    <t xml:space="preserve"> DESOUCHE </t>
  </si>
  <si>
    <t xml:space="preserve"> Claudy </t>
  </si>
  <si>
    <t xml:space="preserve"> COUDRAY </t>
  </si>
  <si>
    <t xml:space="preserve"> KLECHA </t>
  </si>
  <si>
    <t xml:space="preserve"> Jams </t>
  </si>
  <si>
    <t xml:space="preserve"> LE BRAS </t>
  </si>
  <si>
    <t xml:space="preserve"> NONIS </t>
  </si>
  <si>
    <t xml:space="preserve"> BRACONNIER </t>
  </si>
  <si>
    <t xml:space="preserve"> COUGNY </t>
  </si>
  <si>
    <t xml:space="preserve"> DIVANAC'H </t>
  </si>
  <si>
    <t xml:space="preserve"> BOULY DE LESDAIN </t>
  </si>
  <si>
    <t xml:space="preserve"> BOURE </t>
  </si>
  <si>
    <t xml:space="preserve"> LAMBERSART CTT </t>
  </si>
  <si>
    <t xml:space="preserve"> RESTA </t>
  </si>
  <si>
    <t xml:space="preserve"> NAULEAU </t>
  </si>
  <si>
    <t xml:space="preserve"> GOUPILLE </t>
  </si>
  <si>
    <t xml:space="preserve"> GUEHL </t>
  </si>
  <si>
    <t xml:space="preserve"> GAMBAIS ASGTT </t>
  </si>
  <si>
    <t xml:space="preserve"> DE LIMA </t>
  </si>
  <si>
    <t xml:space="preserve"> Rui </t>
  </si>
  <si>
    <t xml:space="preserve"> BIN </t>
  </si>
  <si>
    <t xml:space="preserve"> MJ EPENOY </t>
  </si>
  <si>
    <t xml:space="preserve"> NEMERY </t>
  </si>
  <si>
    <t xml:space="preserve"> DESNOS </t>
  </si>
  <si>
    <t xml:space="preserve"> BELVAL </t>
  </si>
  <si>
    <t xml:space="preserve"> IGEL </t>
  </si>
  <si>
    <t xml:space="preserve"> POURCELOT </t>
  </si>
  <si>
    <t xml:space="preserve"> LAHEURTE </t>
  </si>
  <si>
    <t xml:space="preserve"> RENOU </t>
  </si>
  <si>
    <t xml:space="preserve"> HAUBERT </t>
  </si>
  <si>
    <t xml:space="preserve"> BAUDAIN </t>
  </si>
  <si>
    <t xml:space="preserve"> MONTMORENCY ASMTT </t>
  </si>
  <si>
    <t xml:space="preserve"> MAISSA </t>
  </si>
  <si>
    <t xml:space="preserve"> DE SCHEERDER </t>
  </si>
  <si>
    <t xml:space="preserve"> BOQUIER </t>
  </si>
  <si>
    <t xml:space="preserve"> JACQUA </t>
  </si>
  <si>
    <t xml:space="preserve"> BOUHINEAU </t>
  </si>
  <si>
    <t xml:space="preserve"> FABER </t>
  </si>
  <si>
    <t xml:space="preserve"> SALVAI </t>
  </si>
  <si>
    <t xml:space="preserve"> Gino </t>
  </si>
  <si>
    <t xml:space="preserve"> LONGUYON E.S.L. </t>
  </si>
  <si>
    <t xml:space="preserve"> ROUILLER </t>
  </si>
  <si>
    <t xml:space="preserve"> MONTBOUTON </t>
  </si>
  <si>
    <t xml:space="preserve"> ELATTAOUI </t>
  </si>
  <si>
    <t xml:space="preserve"> ROLLANDE </t>
  </si>
  <si>
    <t xml:space="preserve"> BERTHELOT </t>
  </si>
  <si>
    <t xml:space="preserve"> US TREMBLAY </t>
  </si>
  <si>
    <t xml:space="preserve"> BARBEREAU </t>
  </si>
  <si>
    <t xml:space="preserve"> THEUX </t>
  </si>
  <si>
    <t xml:space="preserve"> LEDEZ </t>
  </si>
  <si>
    <t xml:space="preserve"> HUBRECHT </t>
  </si>
  <si>
    <t xml:space="preserve"> PANIER </t>
  </si>
  <si>
    <t xml:space="preserve"> GENNES SUR GLAIZE A.S.T.T </t>
  </si>
  <si>
    <t xml:space="preserve"> BERTO </t>
  </si>
  <si>
    <t xml:space="preserve"> VERMEERSCH </t>
  </si>
  <si>
    <t xml:space="preserve"> DESSAINT </t>
  </si>
  <si>
    <t xml:space="preserve"> DETTWILLER </t>
  </si>
  <si>
    <t xml:space="preserve"> SOULLEZ </t>
  </si>
  <si>
    <t xml:space="preserve"> BALTER </t>
  </si>
  <si>
    <t xml:space="preserve"> FOURRIER </t>
  </si>
  <si>
    <t xml:space="preserve"> MOURA </t>
  </si>
  <si>
    <t xml:space="preserve"> BEAUCHART </t>
  </si>
  <si>
    <t xml:space="preserve"> PHILIPPOT </t>
  </si>
  <si>
    <t xml:space="preserve"> RAMIS </t>
  </si>
  <si>
    <t xml:space="preserve"> MONTANIER </t>
  </si>
  <si>
    <t xml:space="preserve"> GUENEAU </t>
  </si>
  <si>
    <t xml:space="preserve"> LASSAY Tennis de Table S. </t>
  </si>
  <si>
    <t xml:space="preserve"> BERARD </t>
  </si>
  <si>
    <t xml:space="preserve"> RUST </t>
  </si>
  <si>
    <t xml:space="preserve"> CHASSARD </t>
  </si>
  <si>
    <t xml:space="preserve"> LENGRAND </t>
  </si>
  <si>
    <t xml:space="preserve"> PHAN </t>
  </si>
  <si>
    <t xml:space="preserve"> SAILLY </t>
  </si>
  <si>
    <t xml:space="preserve"> ROUSSELLE </t>
  </si>
  <si>
    <t xml:space="preserve"> 379H0042 </t>
  </si>
  <si>
    <t xml:space="preserve"> Association Koo men tong </t>
  </si>
  <si>
    <t xml:space="preserve"> WILD </t>
  </si>
  <si>
    <t xml:space="preserve"> SARISSON </t>
  </si>
  <si>
    <t xml:space="preserve"> MAUGUIN </t>
  </si>
  <si>
    <t xml:space="preserve"> MERVELLET </t>
  </si>
  <si>
    <t xml:space="preserve"> RAHMOUNE </t>
  </si>
  <si>
    <t xml:space="preserve"> DELESTRE </t>
  </si>
  <si>
    <t xml:space="preserve"> LAGARDE </t>
  </si>
  <si>
    <t xml:space="preserve"> VERNEUIL US </t>
  </si>
  <si>
    <t xml:space="preserve"> DEMEURE-BESSON </t>
  </si>
  <si>
    <t xml:space="preserve"> DELEBARRE </t>
  </si>
  <si>
    <t xml:space="preserve"> AUBERS RAQUETTE </t>
  </si>
  <si>
    <t xml:space="preserve"> MARIN </t>
  </si>
  <si>
    <t xml:space="preserve"> THEAULT </t>
  </si>
  <si>
    <t xml:space="preserve"> BASSET </t>
  </si>
  <si>
    <t xml:space="preserve"> GABORIAU </t>
  </si>
  <si>
    <t xml:space="preserve"> AUCHAPT </t>
  </si>
  <si>
    <t xml:space="preserve"> LARS </t>
  </si>
  <si>
    <t xml:space="preserve"> CEYSSAT </t>
  </si>
  <si>
    <t xml:space="preserve"> BREC </t>
  </si>
  <si>
    <t xml:space="preserve"> SIMONIAN </t>
  </si>
  <si>
    <t xml:space="preserve"> MATEO-LEMAIRE </t>
  </si>
  <si>
    <t xml:space="preserve"> FETTRE </t>
  </si>
  <si>
    <t xml:space="preserve"> ROGNERUD </t>
  </si>
  <si>
    <t xml:space="preserve"> ROBIN </t>
  </si>
  <si>
    <t xml:space="preserve"> TRICHET </t>
  </si>
  <si>
    <t xml:space="preserve"> GENOT </t>
  </si>
  <si>
    <t xml:space="preserve"> BERNADETS TENNIS DE TABLE </t>
  </si>
  <si>
    <t xml:space="preserve"> REKA </t>
  </si>
  <si>
    <t xml:space="preserve"> Afrim </t>
  </si>
  <si>
    <t xml:space="preserve"> COUPRY </t>
  </si>
  <si>
    <t xml:space="preserve"> GARRIGUE </t>
  </si>
  <si>
    <t xml:space="preserve"> LABOUYSSE </t>
  </si>
  <si>
    <t xml:space="preserve"> VAL D ORGE (Entente Pongi </t>
  </si>
  <si>
    <t xml:space="preserve"> MEAUX </t>
  </si>
  <si>
    <t xml:space="preserve"> DEBONNE </t>
  </si>
  <si>
    <t xml:space="preserve"> GERMANT </t>
  </si>
  <si>
    <t xml:space="preserve"> CHERON </t>
  </si>
  <si>
    <t xml:space="preserve"> Gaston </t>
  </si>
  <si>
    <t xml:space="preserve"> BOULANGER </t>
  </si>
  <si>
    <t xml:space="preserve"> COTTU </t>
  </si>
  <si>
    <t xml:space="preserve"> PACOT </t>
  </si>
  <si>
    <t xml:space="preserve"> BELGUEUL </t>
  </si>
  <si>
    <t xml:space="preserve"> BOUZANNE DES MAZERY </t>
  </si>
  <si>
    <t xml:space="preserve"> VAINQUEUR </t>
  </si>
  <si>
    <t xml:space="preserve"> Fredy </t>
  </si>
  <si>
    <t xml:space="preserve"> FEICHT </t>
  </si>
  <si>
    <t xml:space="preserve"> PESLERBE </t>
  </si>
  <si>
    <t xml:space="preserve"> EBERSOLD </t>
  </si>
  <si>
    <t xml:space="preserve"> NAMAN </t>
  </si>
  <si>
    <t xml:space="preserve"> BAUSSART </t>
  </si>
  <si>
    <t xml:space="preserve"> D'ESTIENNE </t>
  </si>
  <si>
    <t xml:space="preserve"> BASSO </t>
  </si>
  <si>
    <t xml:space="preserve"> MAGNUS </t>
  </si>
  <si>
    <t xml:space="preserve"> TT PONT DE VAUX </t>
  </si>
  <si>
    <t xml:space="preserve"> MINET </t>
  </si>
  <si>
    <t xml:space="preserve"> Franz </t>
  </si>
  <si>
    <t xml:space="preserve"> HAZARD </t>
  </si>
  <si>
    <t xml:space="preserve"> TA </t>
  </si>
  <si>
    <t xml:space="preserve"> RONDEAU </t>
  </si>
  <si>
    <t xml:space="preserve"> ROSALIE </t>
  </si>
  <si>
    <t xml:space="preserve"> PERIE </t>
  </si>
  <si>
    <t xml:space="preserve"> PERDRIAU </t>
  </si>
  <si>
    <t xml:space="preserve"> ALLAND </t>
  </si>
  <si>
    <t xml:space="preserve"> Secondigny PPC </t>
  </si>
  <si>
    <t xml:space="preserve"> DEVROOME </t>
  </si>
  <si>
    <t xml:space="preserve"> Harry </t>
  </si>
  <si>
    <t xml:space="preserve"> LA CHAUSSEE ST.VICTOR </t>
  </si>
  <si>
    <t xml:space="preserve"> LEVAVASSEUR </t>
  </si>
  <si>
    <t xml:space="preserve"> DA CUNHA </t>
  </si>
  <si>
    <t xml:space="preserve"> XAVIER </t>
  </si>
  <si>
    <t xml:space="preserve"> AIRE PING </t>
  </si>
  <si>
    <t xml:space="preserve"> PREDIT </t>
  </si>
  <si>
    <t xml:space="preserve"> GERSTHEIM CSD </t>
  </si>
  <si>
    <t xml:space="preserve"> PINAUT </t>
  </si>
  <si>
    <t xml:space="preserve"> VERBECQ </t>
  </si>
  <si>
    <t xml:space="preserve"> MAUREPAS AS </t>
  </si>
  <si>
    <t xml:space="preserve"> BAILLET </t>
  </si>
  <si>
    <t xml:space="preserve"> CZINCZENHEIM </t>
  </si>
  <si>
    <t xml:space="preserve"> MALHAIRE </t>
  </si>
  <si>
    <t xml:space="preserve"> SILLE DU PAYS T.T.C. </t>
  </si>
  <si>
    <t xml:space="preserve"> LE CARRE PETIT </t>
  </si>
  <si>
    <t xml:space="preserve"> SIMOND </t>
  </si>
  <si>
    <t xml:space="preserve"> TT BASSIN D'ANNONAY </t>
  </si>
  <si>
    <t xml:space="preserve"> LEGOUPIL </t>
  </si>
  <si>
    <t xml:space="preserve"> EPINAY/ORGE TT </t>
  </si>
  <si>
    <t xml:space="preserve"> HAMONOU </t>
  </si>
  <si>
    <t xml:space="preserve"> TOUZAIN </t>
  </si>
  <si>
    <t xml:space="preserve"> DEBEVRE </t>
  </si>
  <si>
    <t xml:space="preserve"> Jean-loup </t>
  </si>
  <si>
    <t xml:space="preserve"> HIERE </t>
  </si>
  <si>
    <t xml:space="preserve"> ASPTT DU BERGERACOIS </t>
  </si>
  <si>
    <t xml:space="preserve"> ITTELET </t>
  </si>
  <si>
    <t xml:space="preserve"> HOUSSARD </t>
  </si>
  <si>
    <t xml:space="preserve"> KOTTMANN </t>
  </si>
  <si>
    <t xml:space="preserve"> ROSENAU TT </t>
  </si>
  <si>
    <t xml:space="preserve"> PAPP </t>
  </si>
  <si>
    <t xml:space="preserve"> Ladislau </t>
  </si>
  <si>
    <t xml:space="preserve"> LEO </t>
  </si>
  <si>
    <t xml:space="preserve"> AMIENS LL </t>
  </si>
  <si>
    <t xml:space="preserve"> BUSSANG </t>
  </si>
  <si>
    <t xml:space="preserve"> MANSARD </t>
  </si>
  <si>
    <t xml:space="preserve"> PONT DE BRIQUES TT </t>
  </si>
  <si>
    <t xml:space="preserve"> PERIDY </t>
  </si>
  <si>
    <t xml:space="preserve"> WIERSCH </t>
  </si>
  <si>
    <t xml:space="preserve"> Tanguy </t>
  </si>
  <si>
    <t xml:space="preserve"> US CHEMINOTS LYON </t>
  </si>
  <si>
    <t xml:space="preserve"> BARRETEAU </t>
  </si>
  <si>
    <t xml:space="preserve"> COEX CP </t>
  </si>
  <si>
    <t xml:space="preserve"> VIHIERS Foyer Laique </t>
  </si>
  <si>
    <t xml:space="preserve"> TELLIER </t>
  </si>
  <si>
    <t xml:space="preserve"> LIEVIN USA Tennis de Tabl </t>
  </si>
  <si>
    <t xml:space="preserve"> T.T. ESPALIONNAIS </t>
  </si>
  <si>
    <t xml:space="preserve"> MULET </t>
  </si>
  <si>
    <t xml:space="preserve"> CASSASSUS </t>
  </si>
  <si>
    <t xml:space="preserve"> MERILLOU </t>
  </si>
  <si>
    <t xml:space="preserve"> MOUROUX TENNIS DE TABLE </t>
  </si>
  <si>
    <t xml:space="preserve"> CHOBY </t>
  </si>
  <si>
    <t xml:space="preserve"> BECHEMILH </t>
  </si>
  <si>
    <t xml:space="preserve"> LHOMEL </t>
  </si>
  <si>
    <t xml:space="preserve"> TATINGHEM AL </t>
  </si>
  <si>
    <t xml:space="preserve"> REDUREAU </t>
  </si>
  <si>
    <t xml:space="preserve"> TALL </t>
  </si>
  <si>
    <t xml:space="preserve"> TAROUX </t>
  </si>
  <si>
    <t xml:space="preserve"> PANNES PPH </t>
  </si>
  <si>
    <t xml:space="preserve"> NHENG </t>
  </si>
  <si>
    <t xml:space="preserve"> Sunny </t>
  </si>
  <si>
    <t xml:space="preserve"> LARBOULETTE </t>
  </si>
  <si>
    <t xml:space="preserve"> CONESSA </t>
  </si>
  <si>
    <t xml:space="preserve"> RACASSIN </t>
  </si>
  <si>
    <t xml:space="preserve"> BARJON </t>
  </si>
  <si>
    <t xml:space="preserve"> DEHON </t>
  </si>
  <si>
    <t xml:space="preserve"> SAINT JEAN </t>
  </si>
  <si>
    <t xml:space="preserve"> RABOUINT </t>
  </si>
  <si>
    <t xml:space="preserve"> STE GEMMES S/LOIRE R.G. </t>
  </si>
  <si>
    <t xml:space="preserve"> TALMAT </t>
  </si>
  <si>
    <t xml:space="preserve"> SERVOIN </t>
  </si>
  <si>
    <t xml:space="preserve"> RATSIMBA </t>
  </si>
  <si>
    <t xml:space="preserve"> LOHIER </t>
  </si>
  <si>
    <t xml:space="preserve"> CHATEAUNEUF TT </t>
  </si>
  <si>
    <t xml:space="preserve"> RIPOLL </t>
  </si>
  <si>
    <t xml:space="preserve"> GENETOUZE / VENANSAULT </t>
  </si>
  <si>
    <t xml:space="preserve"> VEGEAS </t>
  </si>
  <si>
    <t xml:space="preserve"> ST POISIENNE A </t>
  </si>
  <si>
    <t xml:space="preserve"> LOCOGE </t>
  </si>
  <si>
    <t xml:space="preserve"> LEVEAU </t>
  </si>
  <si>
    <t xml:space="preserve"> HORRI </t>
  </si>
  <si>
    <t xml:space="preserve"> CUSSY </t>
  </si>
  <si>
    <t xml:space="preserve"> VARGENAU </t>
  </si>
  <si>
    <t xml:space="preserve"> JOUHIER </t>
  </si>
  <si>
    <t xml:space="preserve"> KUGENER </t>
  </si>
  <si>
    <t xml:space="preserve"> VACHAL </t>
  </si>
  <si>
    <t xml:space="preserve"> GUE </t>
  </si>
  <si>
    <t xml:space="preserve"> KELEMEN </t>
  </si>
  <si>
    <t xml:space="preserve"> Csaba </t>
  </si>
  <si>
    <t xml:space="preserve"> CLEMENCE </t>
  </si>
  <si>
    <t xml:space="preserve"> VARILH </t>
  </si>
  <si>
    <t xml:space="preserve"> Patronage Sainte Mélanie </t>
  </si>
  <si>
    <t xml:space="preserve"> Chanh-hui </t>
  </si>
  <si>
    <t xml:space="preserve"> PSA AIXE-SUR-VIENNE  (87) </t>
  </si>
  <si>
    <t xml:space="preserve"> DESMAZIERES </t>
  </si>
  <si>
    <t xml:space="preserve"> PONS </t>
  </si>
  <si>
    <t xml:space="preserve"> ROULON </t>
  </si>
  <si>
    <t xml:space="preserve"> GUILLOTEAU </t>
  </si>
  <si>
    <t xml:space="preserve"> Combrand U.P. </t>
  </si>
  <si>
    <t xml:space="preserve"> LERCH </t>
  </si>
  <si>
    <t xml:space="preserve"> BELLAVIA </t>
  </si>
  <si>
    <t xml:space="preserve"> GAUNISSA GOSSIMA </t>
  </si>
  <si>
    <t xml:space="preserve"> ALLAVOINE </t>
  </si>
  <si>
    <t xml:space="preserve"> Pierre henri </t>
  </si>
  <si>
    <t xml:space="preserve"> LE MINOUX </t>
  </si>
  <si>
    <t xml:space="preserve"> BUSSIENNE </t>
  </si>
  <si>
    <t xml:space="preserve"> MASSAUD </t>
  </si>
  <si>
    <t xml:space="preserve"> US SAINT MAUR </t>
  </si>
  <si>
    <t xml:space="preserve"> VANDECASTEL </t>
  </si>
  <si>
    <t xml:space="preserve"> MARCHETTI </t>
  </si>
  <si>
    <t xml:space="preserve"> COSQUER </t>
  </si>
  <si>
    <t xml:space="preserve"> CAREMIAUX </t>
  </si>
  <si>
    <t xml:space="preserve"> Gérôme </t>
  </si>
  <si>
    <t xml:space="preserve"> MABIRE </t>
  </si>
  <si>
    <t xml:space="preserve"> DEMOULIN </t>
  </si>
  <si>
    <t xml:space="preserve"> JOSASSIEN TT </t>
  </si>
  <si>
    <t xml:space="preserve"> SCHONFELD </t>
  </si>
  <si>
    <t xml:space="preserve"> ENTENTE PONGISTE DU ROBEC </t>
  </si>
  <si>
    <t xml:space="preserve"> ROGIER </t>
  </si>
  <si>
    <t xml:space="preserve"> SERET </t>
  </si>
  <si>
    <t xml:space="preserve"> MOTTIER </t>
  </si>
  <si>
    <t xml:space="preserve"> PIEGARD </t>
  </si>
  <si>
    <t xml:space="preserve"> AVENIR D HONDEVILLIERS </t>
  </si>
  <si>
    <t xml:space="preserve"> Tan loc </t>
  </si>
  <si>
    <t xml:space="preserve"> DESHAYS </t>
  </si>
  <si>
    <t xml:space="preserve"> THIEBARD </t>
  </si>
  <si>
    <t xml:space="preserve"> ROBINOT </t>
  </si>
  <si>
    <t xml:space="preserve"> EVRECY TT </t>
  </si>
  <si>
    <t xml:space="preserve"> BAILLY-MASSON </t>
  </si>
  <si>
    <t xml:space="preserve"> ROKO </t>
  </si>
  <si>
    <t xml:space="preserve"> LE GUERN </t>
  </si>
  <si>
    <t xml:space="preserve"> SAVIGNY SO PING </t>
  </si>
  <si>
    <t xml:space="preserve"> BERTINOT </t>
  </si>
  <si>
    <t xml:space="preserve"> SOUDIERE </t>
  </si>
  <si>
    <t xml:space="preserve"> SAINTE MARGUERITE C.T.T. </t>
  </si>
  <si>
    <t xml:space="preserve"> DEHAYES </t>
  </si>
  <si>
    <t xml:space="preserve"> CAVELIER </t>
  </si>
  <si>
    <t xml:space="preserve"> MONDI </t>
  </si>
  <si>
    <t xml:space="preserve"> BARIERAUD </t>
  </si>
  <si>
    <t xml:space="preserve"> AMORIC </t>
  </si>
  <si>
    <t xml:space="preserve"> LEGEAI </t>
  </si>
  <si>
    <t xml:space="preserve"> MORTAGNAISE USTT </t>
  </si>
  <si>
    <t xml:space="preserve"> FAIVRE </t>
  </si>
  <si>
    <t xml:space="preserve"> PIEDALLU </t>
  </si>
  <si>
    <t xml:space="preserve"> AUGUSTE </t>
  </si>
  <si>
    <t xml:space="preserve"> DANIEL </t>
  </si>
  <si>
    <t xml:space="preserve"> LASSOUED </t>
  </si>
  <si>
    <t xml:space="preserve"> Nasser </t>
  </si>
  <si>
    <t xml:space="preserve"> TOURCOING JP BOURGOGNE </t>
  </si>
  <si>
    <t xml:space="preserve"> SEYSEN </t>
  </si>
  <si>
    <t xml:space="preserve"> ASC LONGCHAUMOIS </t>
  </si>
  <si>
    <t xml:space="preserve"> BONJOUR </t>
  </si>
  <si>
    <t xml:space="preserve"> TT BRIANCON </t>
  </si>
  <si>
    <t xml:space="preserve"> T.T. SEYSSINOIS </t>
  </si>
  <si>
    <t xml:space="preserve"> BASQUE </t>
  </si>
  <si>
    <t xml:space="preserve"> KARCZ </t>
  </si>
  <si>
    <t xml:space="preserve"> PORFIRIO </t>
  </si>
  <si>
    <t xml:space="preserve"> BIDOIS </t>
  </si>
  <si>
    <t xml:space="preserve"> CASTELLI </t>
  </si>
  <si>
    <t xml:space="preserve"> VANDENBULCKE </t>
  </si>
  <si>
    <t xml:space="preserve"> BOUSSEAU </t>
  </si>
  <si>
    <t xml:space="preserve"> BOUSSAY T.T.C. </t>
  </si>
  <si>
    <t xml:space="preserve"> CRENN </t>
  </si>
  <si>
    <t xml:space="preserve"> VALETTE </t>
  </si>
  <si>
    <t xml:space="preserve"> TANGUY </t>
  </si>
  <si>
    <t xml:space="preserve"> DREYER </t>
  </si>
  <si>
    <t xml:space="preserve"> VANDENBROUCKE </t>
  </si>
  <si>
    <t xml:space="preserve"> CHAUMONT </t>
  </si>
  <si>
    <t xml:space="preserve"> LE GOURLAY </t>
  </si>
  <si>
    <t xml:space="preserve"> VAN WONTERGHEM </t>
  </si>
  <si>
    <t xml:space="preserve"> MESSIER </t>
  </si>
  <si>
    <t xml:space="preserve"> SC MOUANS SARTOUX T T </t>
  </si>
  <si>
    <t xml:space="preserve"> HELIAS </t>
  </si>
  <si>
    <t xml:space="preserve"> CIBOIS </t>
  </si>
  <si>
    <t xml:space="preserve"> SENCE </t>
  </si>
  <si>
    <t xml:space="preserve"> SCHLIENGER </t>
  </si>
  <si>
    <t xml:space="preserve"> COVIN </t>
  </si>
  <si>
    <t xml:space="preserve"> BODET </t>
  </si>
  <si>
    <t xml:space="preserve"> Villiers en Plaine TS 44 </t>
  </si>
  <si>
    <t xml:space="preserve"> GAY </t>
  </si>
  <si>
    <t xml:space="preserve"> ST VALERY ASTT </t>
  </si>
  <si>
    <t xml:space="preserve"> ROUL </t>
  </si>
  <si>
    <t xml:space="preserve"> VIAUD </t>
  </si>
  <si>
    <t xml:space="preserve"> NORT SUR ERDRE N.A.C.T.T. </t>
  </si>
  <si>
    <t xml:space="preserve"> COUZEIX TENNIS DE TABLE ( </t>
  </si>
  <si>
    <t xml:space="preserve"> TROUVE </t>
  </si>
  <si>
    <t xml:space="preserve"> DUPUPET </t>
  </si>
  <si>
    <t xml:space="preserve"> RATEL </t>
  </si>
  <si>
    <t xml:space="preserve"> MORET </t>
  </si>
  <si>
    <t xml:space="preserve"> HOR </t>
  </si>
  <si>
    <t xml:space="preserve"> Bun mab </t>
  </si>
  <si>
    <t xml:space="preserve"> COURCOURONNES C.O. </t>
  </si>
  <si>
    <t xml:space="preserve"> MIHAJLOVIC </t>
  </si>
  <si>
    <t xml:space="preserve"> LE QUENTREC </t>
  </si>
  <si>
    <t xml:space="preserve"> SCHAMBERGER </t>
  </si>
  <si>
    <t xml:space="preserve"> AITEL </t>
  </si>
  <si>
    <t xml:space="preserve"> BARREAULT </t>
  </si>
  <si>
    <t xml:space="preserve"> MARTIGNE BRIAND A.S. </t>
  </si>
  <si>
    <t xml:space="preserve"> PINSARD </t>
  </si>
  <si>
    <t xml:space="preserve"> CHAN </t>
  </si>
  <si>
    <t xml:space="preserve"> DRU </t>
  </si>
  <si>
    <t xml:space="preserve"> ORAISON TENNIS DE TABLE </t>
  </si>
  <si>
    <t xml:space="preserve"> RIVALLIN </t>
  </si>
  <si>
    <t xml:space="preserve"> DEREUDRE </t>
  </si>
  <si>
    <t xml:space="preserve"> LABAT </t>
  </si>
  <si>
    <t xml:space="preserve"> BUTON </t>
  </si>
  <si>
    <t xml:space="preserve"> TENNIS DE TABLE REDON </t>
  </si>
  <si>
    <t xml:space="preserve"> GHESQUIERE </t>
  </si>
  <si>
    <t xml:space="preserve"> COMINES PPC </t>
  </si>
  <si>
    <t xml:space="preserve"> Blong </t>
  </si>
  <si>
    <t xml:space="preserve"> COUDREUSE </t>
  </si>
  <si>
    <t xml:space="preserve"> RICARD </t>
  </si>
  <si>
    <t xml:space="preserve"> COMPERE </t>
  </si>
  <si>
    <t xml:space="preserve"> TT CRAYSSACOIS </t>
  </si>
  <si>
    <t xml:space="preserve"> BOUSENDORFER </t>
  </si>
  <si>
    <t xml:space="preserve"> GAUDIN </t>
  </si>
  <si>
    <t xml:space="preserve"> ENGUEHARD </t>
  </si>
  <si>
    <t xml:space="preserve"> PLATEL </t>
  </si>
  <si>
    <t xml:space="preserve"> DERYCKE </t>
  </si>
  <si>
    <t xml:space="preserve"> AS HONGUEMARE-LE LANDIN </t>
  </si>
  <si>
    <t xml:space="preserve"> RICHOU </t>
  </si>
  <si>
    <t xml:space="preserve"> Jean andre </t>
  </si>
  <si>
    <t xml:space="preserve"> BESIN </t>
  </si>
  <si>
    <t xml:space="preserve"> CAYROU </t>
  </si>
  <si>
    <t xml:space="preserve"> PEETERS </t>
  </si>
  <si>
    <t xml:space="preserve"> KAMIN </t>
  </si>
  <si>
    <t xml:space="preserve"> Uwe </t>
  </si>
  <si>
    <t xml:space="preserve"> CHASSIGNEUX </t>
  </si>
  <si>
    <t xml:space="preserve"> Ngoc minh </t>
  </si>
  <si>
    <t xml:space="preserve"> COUANON </t>
  </si>
  <si>
    <t xml:space="preserve"> PEGUIN </t>
  </si>
  <si>
    <t xml:space="preserve"> COURDIMANCHE OMNISPORTS </t>
  </si>
  <si>
    <t xml:space="preserve"> BARBOT </t>
  </si>
  <si>
    <t xml:space="preserve"> CHAMBRELAN </t>
  </si>
  <si>
    <t xml:space="preserve"> SPELLEMACKER </t>
  </si>
  <si>
    <t xml:space="preserve"> WANG </t>
  </si>
  <si>
    <t xml:space="preserve"> Huaqing </t>
  </si>
  <si>
    <t xml:space="preserve"> GOUT </t>
  </si>
  <si>
    <t xml:space="preserve"> Lan </t>
  </si>
  <si>
    <t xml:space="preserve"> LECOFFRE </t>
  </si>
  <si>
    <t xml:space="preserve"> KEFF </t>
  </si>
  <si>
    <t xml:space="preserve"> DUPONNOIS </t>
  </si>
  <si>
    <t xml:space="preserve"> FEUILLETTE </t>
  </si>
  <si>
    <t xml:space="preserve"> BEAUVAIS TT </t>
  </si>
  <si>
    <t xml:space="preserve"> PROVOT </t>
  </si>
  <si>
    <t xml:space="preserve"> GSEM TT NICE </t>
  </si>
  <si>
    <t xml:space="preserve"> MAHZOUNZADEH </t>
  </si>
  <si>
    <t xml:space="preserve"> Jafar </t>
  </si>
  <si>
    <t xml:space="preserve"> WILK </t>
  </si>
  <si>
    <t xml:space="preserve"> ASTT BALARUC </t>
  </si>
  <si>
    <t xml:space="preserve"> OLLER </t>
  </si>
  <si>
    <t xml:space="preserve"> POIX TERRON CTT </t>
  </si>
  <si>
    <t xml:space="preserve"> DUFEU </t>
  </si>
  <si>
    <t xml:space="preserve"> MISSILLAC TTC </t>
  </si>
  <si>
    <t xml:space="preserve"> PRODANU </t>
  </si>
  <si>
    <t xml:space="preserve"> DIRER </t>
  </si>
  <si>
    <t xml:space="preserve"> RAQUETTE PLOM-TREM-PLUG </t>
  </si>
  <si>
    <t xml:space="preserve"> GARZON </t>
  </si>
  <si>
    <t xml:space="preserve"> CANIVEZ </t>
  </si>
  <si>
    <t xml:space="preserve"> MEAS </t>
  </si>
  <si>
    <t xml:space="preserve"> Hugo </t>
  </si>
  <si>
    <t xml:space="preserve"> BEAUSSIN </t>
  </si>
  <si>
    <t xml:space="preserve"> SPERANDIO </t>
  </si>
  <si>
    <t xml:space="preserve"> VEILLON </t>
  </si>
  <si>
    <t xml:space="preserve"> QUENEC'HDU </t>
  </si>
  <si>
    <t xml:space="preserve"> DION </t>
  </si>
  <si>
    <t xml:space="preserve"> LES MESNEUX ASC </t>
  </si>
  <si>
    <t xml:space="preserve"> FOURCADE </t>
  </si>
  <si>
    <t xml:space="preserve"> BUISINE </t>
  </si>
  <si>
    <t xml:space="preserve"> MERCHI </t>
  </si>
  <si>
    <t xml:space="preserve"> Omar </t>
  </si>
  <si>
    <t xml:space="preserve"> HUGNY </t>
  </si>
  <si>
    <t xml:space="preserve"> CARCEL </t>
  </si>
  <si>
    <t xml:space="preserve"> LABILLOY </t>
  </si>
  <si>
    <t xml:space="preserve"> AUVILLERS-ETEIGNIERES TT </t>
  </si>
  <si>
    <t xml:space="preserve"> SAINT-MICHEL </t>
  </si>
  <si>
    <t xml:space="preserve"> CHARLON BIGAT </t>
  </si>
  <si>
    <t xml:space="preserve"> Magnac/Touvre TT Pirons </t>
  </si>
  <si>
    <t xml:space="preserve"> MAZURE </t>
  </si>
  <si>
    <t xml:space="preserve"> EP 15 </t>
  </si>
  <si>
    <t xml:space="preserve"> CAVARROC </t>
  </si>
  <si>
    <t xml:space="preserve"> DOLLARD </t>
  </si>
  <si>
    <t xml:space="preserve"> BROSSAULT </t>
  </si>
  <si>
    <t xml:space="preserve"> LES JEUNES D'ARGENTRE TT </t>
  </si>
  <si>
    <t xml:space="preserve"> ANSARD </t>
  </si>
  <si>
    <t xml:space="preserve"> DUC </t>
  </si>
  <si>
    <t xml:space="preserve"> POUPLIN </t>
  </si>
  <si>
    <t xml:space="preserve"> MEJEAN </t>
  </si>
  <si>
    <t xml:space="preserve"> ENT FEURS CIVENS TT </t>
  </si>
  <si>
    <t xml:space="preserve"> ROPERT </t>
  </si>
  <si>
    <t xml:space="preserve"> CDF SAINT JEAN DE LA NEUV </t>
  </si>
  <si>
    <t xml:space="preserve"> DUBOS </t>
  </si>
  <si>
    <t xml:space="preserve"> PASGRIMAUD </t>
  </si>
  <si>
    <t xml:space="preserve"> CECE </t>
  </si>
  <si>
    <t xml:space="preserve"> PEAUGER </t>
  </si>
  <si>
    <t xml:space="preserve"> TT.CLOYSIEN </t>
  </si>
  <si>
    <t xml:space="preserve"> CAILLEAUX </t>
  </si>
  <si>
    <t xml:space="preserve"> ST PROUANT-MONS. EP </t>
  </si>
  <si>
    <t xml:space="preserve"> GARZUEL </t>
  </si>
  <si>
    <t xml:space="preserve"> MERONO </t>
  </si>
  <si>
    <t xml:space="preserve"> THOUEILLES </t>
  </si>
  <si>
    <t xml:space="preserve"> PHILIBERT </t>
  </si>
  <si>
    <t xml:space="preserve"> CLAVELLE </t>
  </si>
  <si>
    <t xml:space="preserve"> GALLOIS </t>
  </si>
  <si>
    <t xml:space="preserve"> CLAUDEPIERRE </t>
  </si>
  <si>
    <t xml:space="preserve"> CRAVANCHE TT </t>
  </si>
  <si>
    <t xml:space="preserve"> Laurent Toan </t>
  </si>
  <si>
    <t xml:space="preserve"> DUQUENE </t>
  </si>
  <si>
    <t xml:space="preserve"> CLERY </t>
  </si>
  <si>
    <t xml:space="preserve"> WENGERT </t>
  </si>
  <si>
    <t xml:space="preserve"> GALLON </t>
  </si>
  <si>
    <t xml:space="preserve"> CLUB DE BROUE </t>
  </si>
  <si>
    <t xml:space="preserve"> LIETARD </t>
  </si>
  <si>
    <t xml:space="preserve"> BOTT </t>
  </si>
  <si>
    <t xml:space="preserve"> MARQUE </t>
  </si>
  <si>
    <t xml:space="preserve"> FRAUDEAU </t>
  </si>
  <si>
    <t xml:space="preserve"> LONGNY-AU-PERCHE ALTT </t>
  </si>
  <si>
    <t xml:space="preserve"> ROHEL </t>
  </si>
  <si>
    <t xml:space="preserve"> DUGUEPEROUX </t>
  </si>
  <si>
    <t xml:space="preserve"> MEGROUS </t>
  </si>
  <si>
    <t xml:space="preserve"> Oulaïd </t>
  </si>
  <si>
    <t xml:space="preserve"> BERTRIN </t>
  </si>
  <si>
    <t xml:space="preserve"> ANJUMET </t>
  </si>
  <si>
    <t xml:space="preserve"> BALDAN </t>
  </si>
  <si>
    <t xml:space="preserve"> CTTC MACONNAIS </t>
  </si>
  <si>
    <t xml:space="preserve"> LOUISMET </t>
  </si>
  <si>
    <t xml:space="preserve"> JOINDREAU </t>
  </si>
  <si>
    <t xml:space="preserve"> DOMFAING-BRUYERES Ent.MJC </t>
  </si>
  <si>
    <t xml:space="preserve"> DEPREZ </t>
  </si>
  <si>
    <t xml:space="preserve"> LASNE </t>
  </si>
  <si>
    <t xml:space="preserve"> CATHELIN </t>
  </si>
  <si>
    <t xml:space="preserve"> TT LA BAIE YFFINIAC </t>
  </si>
  <si>
    <t xml:space="preserve"> HULLEY </t>
  </si>
  <si>
    <t xml:space="preserve"> CARLIER </t>
  </si>
  <si>
    <t xml:space="preserve"> CAPPELLE EN PEVELE TT </t>
  </si>
  <si>
    <t xml:space="preserve"> GAMELIN </t>
  </si>
  <si>
    <t xml:space="preserve"> AUBIGNY EN ARTOIS SC </t>
  </si>
  <si>
    <t xml:space="preserve"> CECERE </t>
  </si>
  <si>
    <t xml:space="preserve"> CLOUANGE T.T. </t>
  </si>
  <si>
    <t xml:space="preserve"> PLOUZENNEC </t>
  </si>
  <si>
    <t xml:space="preserve"> BARTOLOMEI </t>
  </si>
  <si>
    <t xml:space="preserve"> GRILLERE </t>
  </si>
  <si>
    <t xml:space="preserve"> LABORIE </t>
  </si>
  <si>
    <t xml:space="preserve"> A S NEUSSARGUES </t>
  </si>
  <si>
    <t xml:space="preserve"> TT LUSSAT </t>
  </si>
  <si>
    <t xml:space="preserve"> BOUTHINON </t>
  </si>
  <si>
    <t xml:space="preserve"> CAVE </t>
  </si>
  <si>
    <t xml:space="preserve"> GUEUDIN </t>
  </si>
  <si>
    <t xml:space="preserve"> FLATRES </t>
  </si>
  <si>
    <t xml:space="preserve"> SOUVANNARATH </t>
  </si>
  <si>
    <t xml:space="preserve"> Sing </t>
  </si>
  <si>
    <t xml:space="preserve"> COMMET </t>
  </si>
  <si>
    <t xml:space="preserve"> MARRO </t>
  </si>
  <si>
    <t xml:space="preserve"> FR ISNEAUVILLE </t>
  </si>
  <si>
    <t xml:space="preserve"> DELHAYE </t>
  </si>
  <si>
    <t xml:space="preserve"> RIVRAIN </t>
  </si>
  <si>
    <t xml:space="preserve"> BEUX </t>
  </si>
  <si>
    <t xml:space="preserve"> BELLIER </t>
  </si>
  <si>
    <t xml:space="preserve"> DRAPIER </t>
  </si>
  <si>
    <t xml:space="preserve"> LEPICIER </t>
  </si>
  <si>
    <t xml:space="preserve"> PERIER </t>
  </si>
  <si>
    <t xml:space="preserve"> LOUGSAMI </t>
  </si>
  <si>
    <t xml:space="preserve"> Abdelaziz </t>
  </si>
  <si>
    <t xml:space="preserve"> VALCARCE </t>
  </si>
  <si>
    <t xml:space="preserve"> VIEILHOMME </t>
  </si>
  <si>
    <t xml:space="preserve"> FONTAINES-DOIX </t>
  </si>
  <si>
    <t xml:space="preserve"> LESOUHAITIER </t>
  </si>
  <si>
    <t xml:space="preserve"> RAZAFINDRAKOTO </t>
  </si>
  <si>
    <t xml:space="preserve"> BLOUIN </t>
  </si>
  <si>
    <t xml:space="preserve"> FREDON </t>
  </si>
  <si>
    <t xml:space="preserve"> EUGENIE </t>
  </si>
  <si>
    <t xml:space="preserve"> ARLOT </t>
  </si>
  <si>
    <t xml:space="preserve"> ECKSTEIN </t>
  </si>
  <si>
    <t xml:space="preserve"> SERRE </t>
  </si>
  <si>
    <t xml:space="preserve"> M.J.C. LA CHATRE </t>
  </si>
  <si>
    <t xml:space="preserve"> SINGER </t>
  </si>
  <si>
    <t xml:space="preserve"> SALERNO </t>
  </si>
  <si>
    <t xml:space="preserve"> OPIGEZ </t>
  </si>
  <si>
    <t xml:space="preserve"> GOUVILLE-COUTAINVILLE ENT </t>
  </si>
  <si>
    <t xml:space="preserve"> EICHERT </t>
  </si>
  <si>
    <t xml:space="preserve"> LAFON </t>
  </si>
  <si>
    <t xml:space="preserve"> ENGRAND </t>
  </si>
  <si>
    <t xml:space="preserve"> DROUHARD </t>
  </si>
  <si>
    <t xml:space="preserve"> ODILLARD </t>
  </si>
  <si>
    <t xml:space="preserve"> PREZELIN </t>
  </si>
  <si>
    <t xml:space="preserve"> THERMIDOR </t>
  </si>
  <si>
    <t xml:space="preserve"> Mornac Tennis de Table </t>
  </si>
  <si>
    <t xml:space="preserve"> LAPLANCHE </t>
  </si>
  <si>
    <t xml:space="preserve"> PERGEAUX </t>
  </si>
  <si>
    <t xml:space="preserve"> MURARD </t>
  </si>
  <si>
    <t xml:space="preserve"> HURAND </t>
  </si>
  <si>
    <t xml:space="preserve"> GAUDELAS </t>
  </si>
  <si>
    <t xml:space="preserve"> HEULOT </t>
  </si>
  <si>
    <t xml:space="preserve"> LABASTIE </t>
  </si>
  <si>
    <t xml:space="preserve"> SAGOT </t>
  </si>
  <si>
    <t xml:space="preserve"> MOUREAU </t>
  </si>
  <si>
    <t xml:space="preserve"> BARAY </t>
  </si>
  <si>
    <t xml:space="preserve"> BODAIN </t>
  </si>
  <si>
    <t xml:space="preserve"> AMS PONGISTE SAINTE MARGU </t>
  </si>
  <si>
    <t xml:space="preserve"> VERVIN </t>
  </si>
  <si>
    <t xml:space="preserve"> THOUROTTE TT </t>
  </si>
  <si>
    <t xml:space="preserve"> GRANDMAGNAC </t>
  </si>
  <si>
    <t xml:space="preserve"> QUERRY </t>
  </si>
  <si>
    <t xml:space="preserve"> MJC VILLERS LE LAC </t>
  </si>
  <si>
    <t xml:space="preserve"> BUQUET </t>
  </si>
  <si>
    <t xml:space="preserve"> LAMOLINAIRIE </t>
  </si>
  <si>
    <t xml:space="preserve"> Henrique </t>
  </si>
  <si>
    <t xml:space="preserve"> OGER </t>
  </si>
  <si>
    <t xml:space="preserve"> CINIER </t>
  </si>
  <si>
    <t xml:space="preserve"> PAILLEUX </t>
  </si>
  <si>
    <t xml:space="preserve"> BAIS T.T </t>
  </si>
  <si>
    <t xml:space="preserve"> TALBOT </t>
  </si>
  <si>
    <t xml:space="preserve"> PPC ST LAURENT EN CAUX </t>
  </si>
  <si>
    <t xml:space="preserve"> MARTIGNAC </t>
  </si>
  <si>
    <t xml:space="preserve"> RUAUDIN TENNIS DE TABLE </t>
  </si>
  <si>
    <t xml:space="preserve"> MOGE </t>
  </si>
  <si>
    <t xml:space="preserve"> LOCHET </t>
  </si>
  <si>
    <t xml:space="preserve"> MEDREAC-QUEDILLAC U.P. </t>
  </si>
  <si>
    <t xml:space="preserve"> PROTAT </t>
  </si>
  <si>
    <t xml:space="preserve"> LE PAGE </t>
  </si>
  <si>
    <t xml:space="preserve"> TT JA CHATEAULIN </t>
  </si>
  <si>
    <t xml:space="preserve"> GARNUNG </t>
  </si>
  <si>
    <t xml:space="preserve"> RIMBOEUF </t>
  </si>
  <si>
    <t xml:space="preserve"> RECHATIN </t>
  </si>
  <si>
    <t xml:space="preserve"> FATIN </t>
  </si>
  <si>
    <t xml:space="preserve"> BRIVET T.T. </t>
  </si>
  <si>
    <t xml:space="preserve"> BLUSSON </t>
  </si>
  <si>
    <t xml:space="preserve"> ETOILE BALGENTIENNE TT </t>
  </si>
  <si>
    <t xml:space="preserve"> FONCEL </t>
  </si>
  <si>
    <t xml:space="preserve"> CASSAN </t>
  </si>
  <si>
    <t xml:space="preserve"> BOUCAUD </t>
  </si>
  <si>
    <t xml:space="preserve"> DELPHIN </t>
  </si>
  <si>
    <t xml:space="preserve"> PONGISTES LILOTS </t>
  </si>
  <si>
    <t xml:space="preserve"> DOGLIO </t>
  </si>
  <si>
    <t xml:space="preserve"> DEMUYNCK </t>
  </si>
  <si>
    <t xml:space="preserve"> FORHAN </t>
  </si>
  <si>
    <t xml:space="preserve"> ROBELIN </t>
  </si>
  <si>
    <t xml:space="preserve"> GOVINDARASSOU </t>
  </si>
  <si>
    <t xml:space="preserve"> Ragouramane </t>
  </si>
  <si>
    <t xml:space="preserve"> KOVACIC </t>
  </si>
  <si>
    <t xml:space="preserve"> CORNILLE </t>
  </si>
  <si>
    <t xml:space="preserve"> US GRAVIGNY TT </t>
  </si>
  <si>
    <t xml:space="preserve"> RYCKEBUSCH </t>
  </si>
  <si>
    <t xml:space="preserve"> GUILBAUD </t>
  </si>
  <si>
    <t xml:space="preserve"> DELAIRE </t>
  </si>
  <si>
    <t xml:space="preserve"> DUBOUE </t>
  </si>
  <si>
    <t xml:space="preserve"> MOURNETAS </t>
  </si>
  <si>
    <t xml:space="preserve"> PHAM VAN </t>
  </si>
  <si>
    <t xml:space="preserve"> Que son </t>
  </si>
  <si>
    <t xml:space="preserve"> DORVAL </t>
  </si>
  <si>
    <t xml:space="preserve"> CHAMBON </t>
  </si>
  <si>
    <t xml:space="preserve"> BEAUDOUIN </t>
  </si>
  <si>
    <t xml:space="preserve"> JOUILLETON </t>
  </si>
  <si>
    <t xml:space="preserve"> CHABOT </t>
  </si>
  <si>
    <t xml:space="preserve"> LIGNEL </t>
  </si>
  <si>
    <t xml:space="preserve"> PARDOUX </t>
  </si>
  <si>
    <t xml:space="preserve"> COMANDINI </t>
  </si>
  <si>
    <t xml:space="preserve"> DUVIN </t>
  </si>
  <si>
    <t xml:space="preserve"> TETEGHEM CTT </t>
  </si>
  <si>
    <t xml:space="preserve"> SAVOYANT </t>
  </si>
  <si>
    <t xml:space="preserve"> SOREL </t>
  </si>
  <si>
    <t xml:space="preserve"> DESCOBERT </t>
  </si>
  <si>
    <t xml:space="preserve"> PRETEUX </t>
  </si>
  <si>
    <t xml:space="preserve"> VOURIOT </t>
  </si>
  <si>
    <t xml:space="preserve"> DERHAGOPIAN </t>
  </si>
  <si>
    <t xml:space="preserve"> SAVOLDELLI </t>
  </si>
  <si>
    <t xml:space="preserve"> SAINT LYS OLYMPIQUE </t>
  </si>
  <si>
    <t xml:space="preserve"> GRANDMOUGIN </t>
  </si>
  <si>
    <t xml:space="preserve"> MARILLIER </t>
  </si>
  <si>
    <t xml:space="preserve"> ASC SAINT APOLLINAIRE </t>
  </si>
  <si>
    <t xml:space="preserve"> GRUT </t>
  </si>
  <si>
    <t xml:space="preserve"> PRIVAT </t>
  </si>
  <si>
    <t xml:space="preserve"> DESTOUCHES </t>
  </si>
  <si>
    <t xml:space="preserve"> DOURLENS </t>
  </si>
  <si>
    <t xml:space="preserve"> MOLLARD </t>
  </si>
  <si>
    <t xml:space="preserve"> ELAN DU BIOLLAY TENNIS DE </t>
  </si>
  <si>
    <t xml:space="preserve"> CABARET </t>
  </si>
  <si>
    <t xml:space="preserve"> JANEAU </t>
  </si>
  <si>
    <t xml:space="preserve"> SCHELZ </t>
  </si>
  <si>
    <t xml:space="preserve"> MENEUST </t>
  </si>
  <si>
    <t xml:space="preserve"> SOUMARE </t>
  </si>
  <si>
    <t xml:space="preserve"> COISY </t>
  </si>
  <si>
    <t xml:space="preserve"> ASC LANBERNAC </t>
  </si>
  <si>
    <t xml:space="preserve"> SAILLARD </t>
  </si>
  <si>
    <t xml:space="preserve"> RIAND </t>
  </si>
  <si>
    <t xml:space="preserve"> NANTES ASCBG </t>
  </si>
  <si>
    <t xml:space="preserve"> VEREL </t>
  </si>
  <si>
    <t xml:space="preserve"> Vivien </t>
  </si>
  <si>
    <t xml:space="preserve"> BOBEAU </t>
  </si>
  <si>
    <t xml:space="preserve"> BOSSEY </t>
  </si>
  <si>
    <t xml:space="preserve"> CANUET </t>
  </si>
  <si>
    <t xml:space="preserve"> RICHEBEZ </t>
  </si>
  <si>
    <t xml:space="preserve"> FLENET </t>
  </si>
  <si>
    <t xml:space="preserve"> ALC TAILLECOURT </t>
  </si>
  <si>
    <t xml:space="preserve"> DROUET </t>
  </si>
  <si>
    <t xml:space="preserve"> CORNILLON </t>
  </si>
  <si>
    <t xml:space="preserve"> EDIER </t>
  </si>
  <si>
    <t xml:space="preserve"> Francisque </t>
  </si>
  <si>
    <t xml:space="preserve"> LABOUREAU </t>
  </si>
  <si>
    <t xml:space="preserve"> AUVRAY </t>
  </si>
  <si>
    <t xml:space="preserve"> BEUZEVILLE ATHLETIC CLUB </t>
  </si>
  <si>
    <t xml:space="preserve"> GENET </t>
  </si>
  <si>
    <t xml:space="preserve"> MAUREL </t>
  </si>
  <si>
    <t xml:space="preserve"> HELBERT </t>
  </si>
  <si>
    <t xml:space="preserve"> BLARDONE </t>
  </si>
  <si>
    <t xml:space="preserve"> SERMONNE </t>
  </si>
  <si>
    <t xml:space="preserve"> BOCHET </t>
  </si>
  <si>
    <t xml:space="preserve"> NAZE </t>
  </si>
  <si>
    <t xml:space="preserve"> MOUYANNE </t>
  </si>
  <si>
    <t xml:space="preserve"> FACHINETTI </t>
  </si>
  <si>
    <t xml:space="preserve"> DANLOUP </t>
  </si>
  <si>
    <t xml:space="preserve"> LEVILLY </t>
  </si>
  <si>
    <t xml:space="preserve"> JEDAT </t>
  </si>
  <si>
    <t xml:space="preserve"> NAKAMURA </t>
  </si>
  <si>
    <t xml:space="preserve"> Yutaka </t>
  </si>
  <si>
    <t xml:space="preserve"> TENNIS DE TABLE PARIS 16 </t>
  </si>
  <si>
    <t xml:space="preserve"> ZINNOURY </t>
  </si>
  <si>
    <t xml:space="preserve"> Sriranga </t>
  </si>
  <si>
    <t xml:space="preserve"> PPC L'ISLE SUR LA SORGUE </t>
  </si>
  <si>
    <t xml:space="preserve"> DECAYE </t>
  </si>
  <si>
    <t xml:space="preserve"> Théo </t>
  </si>
  <si>
    <t xml:space="preserve"> PARENT </t>
  </si>
  <si>
    <t xml:space="preserve"> BONNIFAY </t>
  </si>
  <si>
    <t xml:space="preserve"> MAHLER </t>
  </si>
  <si>
    <t xml:space="preserve"> PIT </t>
  </si>
  <si>
    <t xml:space="preserve"> VERHASSEL </t>
  </si>
  <si>
    <t xml:space="preserve"> DHONDT </t>
  </si>
  <si>
    <t xml:space="preserve"> LEMAIRE </t>
  </si>
  <si>
    <t xml:space="preserve"> FLEURANCE </t>
  </si>
  <si>
    <t xml:space="preserve"> OUDART </t>
  </si>
  <si>
    <t xml:space="preserve"> UNION COSNOISE SPORTIVE </t>
  </si>
  <si>
    <t xml:space="preserve"> LE BANSAIS </t>
  </si>
  <si>
    <t xml:space="preserve"> RAFFARD </t>
  </si>
  <si>
    <t xml:space="preserve"> PICHE </t>
  </si>
  <si>
    <t xml:space="preserve"> LARDY </t>
  </si>
  <si>
    <t xml:space="preserve"> DUFETELLE </t>
  </si>
  <si>
    <t xml:space="preserve"> STEFFAN </t>
  </si>
  <si>
    <t xml:space="preserve"> BRAGADOUR </t>
  </si>
  <si>
    <t xml:space="preserve"> LEBATTEUR </t>
  </si>
  <si>
    <t xml:space="preserve"> ROULETTE </t>
  </si>
  <si>
    <t xml:space="preserve"> ALLIANZ ASC </t>
  </si>
  <si>
    <t xml:space="preserve"> HONQUERT </t>
  </si>
  <si>
    <t xml:space="preserve"> BINDER </t>
  </si>
  <si>
    <t xml:space="preserve"> Burie CTT </t>
  </si>
  <si>
    <t xml:space="preserve"> SEQUEDIN OSMS TT </t>
  </si>
  <si>
    <t xml:space="preserve"> NEYER </t>
  </si>
  <si>
    <t xml:space="preserve"> BREARD </t>
  </si>
  <si>
    <t xml:space="preserve"> DURCET Avenir </t>
  </si>
  <si>
    <t xml:space="preserve"> FR SOUZY </t>
  </si>
  <si>
    <t xml:space="preserve"> CHAUVEL </t>
  </si>
  <si>
    <t xml:space="preserve"> DAYRES </t>
  </si>
  <si>
    <t xml:space="preserve"> BUSCH </t>
  </si>
  <si>
    <t xml:space="preserve"> BRETEAU </t>
  </si>
  <si>
    <t xml:space="preserve"> ARON Sports Loisirs </t>
  </si>
  <si>
    <t xml:space="preserve"> ALFORTVILLE US </t>
  </si>
  <si>
    <t xml:space="preserve"> SIRVIN </t>
  </si>
  <si>
    <t xml:space="preserve"> PONGISTES DE VILLENOY </t>
  </si>
  <si>
    <t xml:space="preserve"> POULLAOUEC </t>
  </si>
  <si>
    <t xml:space="preserve"> DELAUNAY </t>
  </si>
  <si>
    <t xml:space="preserve"> PONNAVOY </t>
  </si>
  <si>
    <t xml:space="preserve"> BEAUSSART </t>
  </si>
  <si>
    <t xml:space="preserve"> GRAVIER </t>
  </si>
  <si>
    <t xml:space="preserve"> Roger-claude </t>
  </si>
  <si>
    <t xml:space="preserve"> FRAPPIER </t>
  </si>
  <si>
    <t xml:space="preserve"> ST VINCENT SUR GRAON </t>
  </si>
  <si>
    <t xml:space="preserve"> VERNET </t>
  </si>
  <si>
    <t xml:space="preserve"> STENAY P.P.C. </t>
  </si>
  <si>
    <t xml:space="preserve"> COQUEMONT </t>
  </si>
  <si>
    <t xml:space="preserve"> MEVEL </t>
  </si>
  <si>
    <t xml:space="preserve"> GARS DE PLOUENAN TT </t>
  </si>
  <si>
    <t xml:space="preserve"> CALATTE </t>
  </si>
  <si>
    <t xml:space="preserve"> DUMONTROTY </t>
  </si>
  <si>
    <t xml:space="preserve"> LE GALES </t>
  </si>
  <si>
    <t xml:space="preserve"> MARTEYN </t>
  </si>
  <si>
    <t xml:space="preserve"> OBERST </t>
  </si>
  <si>
    <t xml:space="preserve"> BRUNSTEIN </t>
  </si>
  <si>
    <t xml:space="preserve"> FRESSE SUR MOSELLE A.T.T. </t>
  </si>
  <si>
    <t xml:space="preserve"> DROUX </t>
  </si>
  <si>
    <t xml:space="preserve"> JEANNIER </t>
  </si>
  <si>
    <t xml:space="preserve"> ASPTT DOLE FOUCHERANS </t>
  </si>
  <si>
    <t xml:space="preserve"> BELY </t>
  </si>
  <si>
    <t xml:space="preserve"> Chazellois Copains Pongis </t>
  </si>
  <si>
    <t xml:space="preserve"> BESCHER </t>
  </si>
  <si>
    <t xml:space="preserve"> T.T. BLERE VAL DE CHER </t>
  </si>
  <si>
    <t xml:space="preserve"> MORLON </t>
  </si>
  <si>
    <t xml:space="preserve"> ENGEL </t>
  </si>
  <si>
    <t xml:space="preserve"> WUILLEMAIN </t>
  </si>
  <si>
    <t xml:space="preserve"> DE CHASSEY </t>
  </si>
  <si>
    <t xml:space="preserve"> BOUJU </t>
  </si>
  <si>
    <t xml:space="preserve"> PRÉ EN PAIL Intrépide </t>
  </si>
  <si>
    <t xml:space="preserve"> MONTDIDIER PPC </t>
  </si>
  <si>
    <t xml:space="preserve"> PENDARIES </t>
  </si>
  <si>
    <t xml:space="preserve"> BEAUJARDIN BORDS DU CHER </t>
  </si>
  <si>
    <t xml:space="preserve"> BERGERON </t>
  </si>
  <si>
    <t xml:space="preserve"> GEROLAMI </t>
  </si>
  <si>
    <t xml:space="preserve"> Jean Francois </t>
  </si>
  <si>
    <t xml:space="preserve"> DECOTTIGNIES </t>
  </si>
  <si>
    <t xml:space="preserve"> ROUXEL </t>
  </si>
  <si>
    <t xml:space="preserve"> ST DENIS CHEVASSE ES </t>
  </si>
  <si>
    <t xml:space="preserve"> DESPAGNE </t>
  </si>
  <si>
    <t xml:space="preserve"> LEBLANC </t>
  </si>
  <si>
    <t xml:space="preserve"> P P C SISTERONNAIS </t>
  </si>
  <si>
    <t xml:space="preserve"> BURBURE TT </t>
  </si>
  <si>
    <t xml:space="preserve"> GOUEFFON </t>
  </si>
  <si>
    <t xml:space="preserve"> ST JEAN DE BRAYE - SMOC </t>
  </si>
  <si>
    <t xml:space="preserve"> COURMACEUL </t>
  </si>
  <si>
    <t xml:space="preserve"> LORENTZ </t>
  </si>
  <si>
    <t xml:space="preserve"> GROHAN </t>
  </si>
  <si>
    <t xml:space="preserve"> CHIRON </t>
  </si>
  <si>
    <t xml:space="preserve"> BRUFFIERE ASBD </t>
  </si>
  <si>
    <t xml:space="preserve"> BOUEE Tennis de Table </t>
  </si>
  <si>
    <t xml:space="preserve"> WALLET </t>
  </si>
  <si>
    <t xml:space="preserve"> LUSSAC </t>
  </si>
  <si>
    <t xml:space="preserve"> BOULIO </t>
  </si>
  <si>
    <t xml:space="preserve"> PELORDET </t>
  </si>
  <si>
    <t xml:space="preserve"> MILHOU </t>
  </si>
  <si>
    <t xml:space="preserve"> MIKOLAJCZYK </t>
  </si>
  <si>
    <t xml:space="preserve"> GILLE </t>
  </si>
  <si>
    <t xml:space="preserve"> ES ARQUES </t>
  </si>
  <si>
    <t xml:space="preserve"> DEPLACE </t>
  </si>
  <si>
    <t xml:space="preserve"> GRATTEPANCHE </t>
  </si>
  <si>
    <t xml:space="preserve"> FONTAINE NOTRE DAME ATT </t>
  </si>
  <si>
    <t xml:space="preserve"> POTEL </t>
  </si>
  <si>
    <t xml:space="preserve"> PUJO </t>
  </si>
  <si>
    <t xml:space="preserve"> JOUAUD </t>
  </si>
  <si>
    <t xml:space="preserve"> LADRAT </t>
  </si>
  <si>
    <t xml:space="preserve"> MANGEMATIN </t>
  </si>
  <si>
    <t xml:space="preserve"> LOISON-SOUS-LENS ASTT </t>
  </si>
  <si>
    <t xml:space="preserve"> LION </t>
  </si>
  <si>
    <t xml:space="preserve"> CHAMORET </t>
  </si>
  <si>
    <t xml:space="preserve"> GALY </t>
  </si>
  <si>
    <t xml:space="preserve"> HER </t>
  </si>
  <si>
    <t xml:space="preserve"> LA COUTURE TTLRV </t>
  </si>
  <si>
    <t xml:space="preserve"> US CHANTELOUP TENNIS DE T </t>
  </si>
  <si>
    <t xml:space="preserve"> T.T. BRIGNOLAIS </t>
  </si>
  <si>
    <t xml:space="preserve"> RENAUX </t>
  </si>
  <si>
    <t xml:space="preserve"> FRIGGI </t>
  </si>
  <si>
    <t xml:space="preserve"> TT UBAYE </t>
  </si>
  <si>
    <t xml:space="preserve"> TAILLANDIER </t>
  </si>
  <si>
    <t xml:space="preserve"> TORELLI </t>
  </si>
  <si>
    <t xml:space="preserve"> DAMOLIS </t>
  </si>
  <si>
    <t xml:space="preserve"> SOLERS TENNIS DE TABLE </t>
  </si>
  <si>
    <t xml:space="preserve"> DEMARQUE </t>
  </si>
  <si>
    <t xml:space="preserve"> POILVET </t>
  </si>
  <si>
    <t xml:space="preserve"> LE MAO </t>
  </si>
  <si>
    <t xml:space="preserve"> Sylvestre </t>
  </si>
  <si>
    <t xml:space="preserve"> LE NAI </t>
  </si>
  <si>
    <t xml:space="preserve"> POILANE </t>
  </si>
  <si>
    <t xml:space="preserve"> HOMMEL </t>
  </si>
  <si>
    <t xml:space="preserve"> MOINET </t>
  </si>
  <si>
    <t xml:space="preserve"> BEREZOWSKI </t>
  </si>
  <si>
    <t xml:space="preserve"> LEWARDE PPC </t>
  </si>
  <si>
    <t xml:space="preserve"> NADAUD </t>
  </si>
  <si>
    <t xml:space="preserve"> Chateauneuf TT Castelnovi </t>
  </si>
  <si>
    <t xml:space="preserve"> VILLA </t>
  </si>
  <si>
    <t xml:space="preserve"> BOURSIN </t>
  </si>
  <si>
    <t xml:space="preserve"> ADAMUZ </t>
  </si>
  <si>
    <t xml:space="preserve"> VILLERS LA MONTAGNE FEP </t>
  </si>
  <si>
    <t xml:space="preserve"> GUIMBERT </t>
  </si>
  <si>
    <t xml:space="preserve"> DOREMUS </t>
  </si>
  <si>
    <t xml:space="preserve"> TURPIN </t>
  </si>
  <si>
    <t xml:space="preserve"> François-xavier </t>
  </si>
  <si>
    <t xml:space="preserve"> TELOCHE TT </t>
  </si>
  <si>
    <t xml:space="preserve"> BREJOT </t>
  </si>
  <si>
    <t xml:space="preserve"> MAQUINGHEN </t>
  </si>
  <si>
    <t xml:space="preserve"> BARICAULT </t>
  </si>
  <si>
    <t xml:space="preserve"> JUZYK </t>
  </si>
  <si>
    <t xml:space="preserve"> Phillippe </t>
  </si>
  <si>
    <t xml:space="preserve"> FONTAN </t>
  </si>
  <si>
    <t xml:space="preserve"> MILLOTTE </t>
  </si>
  <si>
    <t xml:space="preserve"> ST GILLES EP </t>
  </si>
  <si>
    <t xml:space="preserve"> VILLERS ST PAUL US </t>
  </si>
  <si>
    <t xml:space="preserve"> JOYAU </t>
  </si>
  <si>
    <t xml:space="preserve"> BOY </t>
  </si>
  <si>
    <t xml:space="preserve"> HINGES ASTT </t>
  </si>
  <si>
    <t xml:space="preserve"> ESSI-PING </t>
  </si>
  <si>
    <t xml:space="preserve"> DULAC </t>
  </si>
  <si>
    <t xml:space="preserve"> DUCORDEAU </t>
  </si>
  <si>
    <t xml:space="preserve"> PONT A VENDIN ALTT </t>
  </si>
  <si>
    <t xml:space="preserve"> DUQUES </t>
  </si>
  <si>
    <t xml:space="preserve"> ARRAMONDE </t>
  </si>
  <si>
    <t xml:space="preserve"> EBEL </t>
  </si>
  <si>
    <t xml:space="preserve"> GATE </t>
  </si>
  <si>
    <t xml:space="preserve"> AUBUSSON ASCF </t>
  </si>
  <si>
    <t xml:space="preserve"> LAVING </t>
  </si>
  <si>
    <t xml:space="preserve"> FRESSE </t>
  </si>
  <si>
    <t xml:space="preserve"> Yves marie </t>
  </si>
  <si>
    <t xml:space="preserve"> MORAND </t>
  </si>
  <si>
    <t xml:space="preserve"> Confolens Tennis de Table </t>
  </si>
  <si>
    <t xml:space="preserve"> CHAIGNE </t>
  </si>
  <si>
    <t xml:space="preserve"> CREPUT </t>
  </si>
  <si>
    <t xml:space="preserve"> LESEIGNEUR </t>
  </si>
  <si>
    <t xml:space="preserve"> VALDENAIRE </t>
  </si>
  <si>
    <t xml:space="preserve"> LEVITTE </t>
  </si>
  <si>
    <t xml:space="preserve"> BICHON </t>
  </si>
  <si>
    <t xml:space="preserve"> BRANDENBURGER </t>
  </si>
  <si>
    <t xml:space="preserve"> RYCZKO </t>
  </si>
  <si>
    <t xml:space="preserve"> LE CATEAU CJTT </t>
  </si>
  <si>
    <t xml:space="preserve"> GRANIER </t>
  </si>
  <si>
    <t xml:space="preserve"> FOIRE </t>
  </si>
  <si>
    <t xml:space="preserve"> DURANEL </t>
  </si>
  <si>
    <t xml:space="preserve"> AUPRETRE </t>
  </si>
  <si>
    <t xml:space="preserve"> SERVANT </t>
  </si>
  <si>
    <t xml:space="preserve"> WIZERNES CP </t>
  </si>
  <si>
    <t xml:space="preserve"> MOULARD </t>
  </si>
  <si>
    <t xml:space="preserve"> BABLON </t>
  </si>
  <si>
    <t xml:space="preserve"> DUROT </t>
  </si>
  <si>
    <t xml:space="preserve"> ORTEGA </t>
  </si>
  <si>
    <t xml:space="preserve"> PICHENOT </t>
  </si>
  <si>
    <t xml:space="preserve"> BIAGUI </t>
  </si>
  <si>
    <t xml:space="preserve"> BALCAEN </t>
  </si>
  <si>
    <t xml:space="preserve"> WATTRELOS US SACL </t>
  </si>
  <si>
    <t xml:space="preserve"> VEUGEOIS </t>
  </si>
  <si>
    <t xml:space="preserve"> JAMBARD </t>
  </si>
  <si>
    <t xml:space="preserve"> HOUBRON </t>
  </si>
  <si>
    <t xml:space="preserve"> BELLONY </t>
  </si>
  <si>
    <t xml:space="preserve"> PELLOILLE </t>
  </si>
  <si>
    <t xml:space="preserve"> RUTH </t>
  </si>
  <si>
    <t xml:space="preserve"> RATHANA </t>
  </si>
  <si>
    <t xml:space="preserve"> Sereirith </t>
  </si>
  <si>
    <t xml:space="preserve"> DAMERY </t>
  </si>
  <si>
    <t xml:space="preserve"> SALEMBIER </t>
  </si>
  <si>
    <t xml:space="preserve"> SNIEG </t>
  </si>
  <si>
    <t xml:space="preserve"> DE PICCOLI </t>
  </si>
  <si>
    <t xml:space="preserve"> CHENG </t>
  </si>
  <si>
    <t xml:space="preserve"> Guanhua </t>
  </si>
  <si>
    <t xml:space="preserve"> VERRY </t>
  </si>
  <si>
    <t xml:space="preserve"> BIGOT </t>
  </si>
  <si>
    <t xml:space="preserve"> Seng heng </t>
  </si>
  <si>
    <t xml:space="preserve"> TEYSSIER </t>
  </si>
  <si>
    <t xml:space="preserve"> Jean alain </t>
  </si>
  <si>
    <t xml:space="preserve"> AF CRAPONNE </t>
  </si>
  <si>
    <t xml:space="preserve"> POUZON </t>
  </si>
  <si>
    <t xml:space="preserve"> DLV TT AYDAT </t>
  </si>
  <si>
    <t xml:space="preserve"> TRUTT </t>
  </si>
  <si>
    <t xml:space="preserve"> CASTAY </t>
  </si>
  <si>
    <t xml:space="preserve"> BOICHU </t>
  </si>
  <si>
    <t xml:space="preserve"> DELLI-ZOTTI </t>
  </si>
  <si>
    <t xml:space="preserve"> MATEESCU </t>
  </si>
  <si>
    <t xml:space="preserve"> Tibériu </t>
  </si>
  <si>
    <t xml:space="preserve"> LHOTE </t>
  </si>
  <si>
    <t xml:space="preserve"> CEP ST NICOLAS ALIERMONT </t>
  </si>
  <si>
    <t xml:space="preserve"> QUARMENIL </t>
  </si>
  <si>
    <t xml:space="preserve"> BOSSARD </t>
  </si>
  <si>
    <t xml:space="preserve"> REZE AEPR </t>
  </si>
  <si>
    <t xml:space="preserve"> FRELAT </t>
  </si>
  <si>
    <t xml:space="preserve"> TT VALLEES LOIR ET BRAYE </t>
  </si>
  <si>
    <t xml:space="preserve"> FOYER RURAL LES BANNO </t>
  </si>
  <si>
    <t xml:space="preserve"> LAMARQUE </t>
  </si>
  <si>
    <t xml:space="preserve"> TT COURPIEROIS </t>
  </si>
  <si>
    <t xml:space="preserve"> COUREAU </t>
  </si>
  <si>
    <t xml:space="preserve"> Dominick </t>
  </si>
  <si>
    <t xml:space="preserve"> LASSALLE </t>
  </si>
  <si>
    <t xml:space="preserve"> CLOUET </t>
  </si>
  <si>
    <t xml:space="preserve"> LA CAPELLE TT </t>
  </si>
  <si>
    <t xml:space="preserve"> AUBEY </t>
  </si>
  <si>
    <t xml:space="preserve"> BARROW </t>
  </si>
  <si>
    <t xml:space="preserve"> Jasper </t>
  </si>
  <si>
    <t xml:space="preserve"> DIEBLING </t>
  </si>
  <si>
    <t xml:space="preserve"> BOISSIE </t>
  </si>
  <si>
    <t xml:space="preserve"> GUETIERE </t>
  </si>
  <si>
    <t xml:space="preserve"> FOUILLEUX </t>
  </si>
  <si>
    <t xml:space="preserve"> BUSSI </t>
  </si>
  <si>
    <t xml:space="preserve"> PIEDAGNEL </t>
  </si>
  <si>
    <t xml:space="preserve"> GUIMONT </t>
  </si>
  <si>
    <t xml:space="preserve"> WOURLOD </t>
  </si>
  <si>
    <t xml:space="preserve"> CORRIERI </t>
  </si>
  <si>
    <t xml:space="preserve"> HOUCHARD </t>
  </si>
  <si>
    <t xml:space="preserve"> Jean damien </t>
  </si>
  <si>
    <t xml:space="preserve"> MELLIER </t>
  </si>
  <si>
    <t xml:space="preserve"> DRELY </t>
  </si>
  <si>
    <t xml:space="preserve"> DUPOIRIER </t>
  </si>
  <si>
    <t xml:space="preserve"> GODART </t>
  </si>
  <si>
    <t xml:space="preserve"> BALTAZART </t>
  </si>
  <si>
    <t xml:space="preserve"> COUETS (LES) </t>
  </si>
  <si>
    <t xml:space="preserve"> DESCOURVIERES </t>
  </si>
  <si>
    <t xml:space="preserve"> AS ST PAUL GOUX LES USIER </t>
  </si>
  <si>
    <t xml:space="preserve"> JUGUET </t>
  </si>
  <si>
    <t xml:space="preserve"> COLASSE </t>
  </si>
  <si>
    <t xml:space="preserve"> LABORDE LAULHE </t>
  </si>
  <si>
    <t xml:space="preserve"> Chauvigny Valdivienne T.T </t>
  </si>
  <si>
    <t xml:space="preserve"> BOSSAY </t>
  </si>
  <si>
    <t xml:space="preserve"> TT TRELISSACOIS </t>
  </si>
  <si>
    <t xml:space="preserve"> VINSOT </t>
  </si>
  <si>
    <t xml:space="preserve"> L'AIGLE SELLOIS TT </t>
  </si>
  <si>
    <t xml:space="preserve"> TRILLAND </t>
  </si>
  <si>
    <t xml:space="preserve"> MONTCHANIN TT </t>
  </si>
  <si>
    <t xml:space="preserve"> PETITPAS </t>
  </si>
  <si>
    <t xml:space="preserve"> INGRAIN </t>
  </si>
  <si>
    <t xml:space="preserve"> ROTHENBURGER </t>
  </si>
  <si>
    <t xml:space="preserve"> SC.ST.AMAND MONTROND </t>
  </si>
  <si>
    <t xml:space="preserve"> LIEBEAUX </t>
  </si>
  <si>
    <t xml:space="preserve"> BIRAULT </t>
  </si>
  <si>
    <t xml:space="preserve"> PERONNARD PERROT </t>
  </si>
  <si>
    <t xml:space="preserve"> ROSZYK </t>
  </si>
  <si>
    <t xml:space="preserve"> FLAUCOURT ASL </t>
  </si>
  <si>
    <t xml:space="preserve"> GHINASSI </t>
  </si>
  <si>
    <t xml:space="preserve"> ASC MATHAY </t>
  </si>
  <si>
    <t xml:space="preserve"> DANVEAU </t>
  </si>
  <si>
    <t xml:space="preserve"> VAL </t>
  </si>
  <si>
    <t xml:space="preserve"> TT PROVINOIS </t>
  </si>
  <si>
    <t xml:space="preserve"> MAZAUD </t>
  </si>
  <si>
    <t xml:space="preserve"> BOYARD </t>
  </si>
  <si>
    <t xml:space="preserve"> FLAMANT </t>
  </si>
  <si>
    <t xml:space="preserve"> ST DIZIER CSB </t>
  </si>
  <si>
    <t xml:space="preserve"> REIGNOUX </t>
  </si>
  <si>
    <t xml:space="preserve"> DI GIOVANI </t>
  </si>
  <si>
    <t xml:space="preserve"> BASLE </t>
  </si>
  <si>
    <t xml:space="preserve"> CROUZET </t>
  </si>
  <si>
    <t xml:space="preserve"> PPC PERNOIS </t>
  </si>
  <si>
    <t xml:space="preserve"> LABRUNE </t>
  </si>
  <si>
    <t xml:space="preserve"> HECKMANN </t>
  </si>
  <si>
    <t xml:space="preserve"> FAGOT </t>
  </si>
  <si>
    <t xml:space="preserve"> SENEE </t>
  </si>
  <si>
    <t xml:space="preserve"> SCULO </t>
  </si>
  <si>
    <t xml:space="preserve"> COAVOUX </t>
  </si>
  <si>
    <t xml:space="preserve"> GUEROULT </t>
  </si>
  <si>
    <t xml:space="preserve"> BOUSSARD </t>
  </si>
  <si>
    <t xml:space="preserve"> MORAVEC </t>
  </si>
  <si>
    <t xml:space="preserve"> GOYER </t>
  </si>
  <si>
    <t xml:space="preserve"> JAIGU </t>
  </si>
  <si>
    <t xml:space="preserve"> IFFENDIC E.S. </t>
  </si>
  <si>
    <t xml:space="preserve"> DE RAIGNIAC </t>
  </si>
  <si>
    <t xml:space="preserve"> VETILLARD </t>
  </si>
  <si>
    <t xml:space="preserve"> Judicael </t>
  </si>
  <si>
    <t xml:space="preserve"> VIGNAND </t>
  </si>
  <si>
    <t xml:space="preserve"> KARDOUS </t>
  </si>
  <si>
    <t xml:space="preserve"> HERRIAU </t>
  </si>
  <si>
    <t xml:space="preserve"> SACÉ MARTIGNÉ AS </t>
  </si>
  <si>
    <t xml:space="preserve"> THOLEY </t>
  </si>
  <si>
    <t xml:space="preserve"> ASPO BRIVE </t>
  </si>
  <si>
    <t xml:space="preserve"> DONNE </t>
  </si>
  <si>
    <t xml:space="preserve"> MONSIEUR </t>
  </si>
  <si>
    <t xml:space="preserve"> SIRET </t>
  </si>
  <si>
    <t xml:space="preserve"> ROCHEFORT-BEAULIEU T.T. </t>
  </si>
  <si>
    <t xml:space="preserve"> POLISSET </t>
  </si>
  <si>
    <t xml:space="preserve"> BULLIARD </t>
  </si>
  <si>
    <t xml:space="preserve"> FALOURD </t>
  </si>
  <si>
    <t xml:space="preserve"> BOURGER </t>
  </si>
  <si>
    <t xml:space="preserve"> DEBRIL </t>
  </si>
  <si>
    <t xml:space="preserve"> REBELO-DOS SANTOS- </t>
  </si>
  <si>
    <t xml:space="preserve"> ASTT CRECHY </t>
  </si>
  <si>
    <t xml:space="preserve"> Guilain </t>
  </si>
  <si>
    <t xml:space="preserve"> YERRES ATT </t>
  </si>
  <si>
    <t xml:space="preserve"> VALENC'IN PIERRE TT </t>
  </si>
  <si>
    <t xml:space="preserve"> LEMETAIS </t>
  </si>
  <si>
    <t xml:space="preserve"> LA GLACERIE US TT </t>
  </si>
  <si>
    <t xml:space="preserve"> AMPIGNY </t>
  </si>
  <si>
    <t xml:space="preserve"> DUMAZEAU </t>
  </si>
  <si>
    <t xml:space="preserve"> BOREL </t>
  </si>
  <si>
    <t xml:space="preserve"> Brian </t>
  </si>
  <si>
    <t xml:space="preserve"> SANTARONI </t>
  </si>
  <si>
    <t xml:space="preserve"> RAPICAULT </t>
  </si>
  <si>
    <t xml:space="preserve"> CAILLY </t>
  </si>
  <si>
    <t xml:space="preserve"> PORT EN BESSIN C </t>
  </si>
  <si>
    <t xml:space="preserve"> ZHENG </t>
  </si>
  <si>
    <t xml:space="preserve"> St Jean d'Angély TT </t>
  </si>
  <si>
    <t xml:space="preserve"> BERNETTE </t>
  </si>
  <si>
    <t xml:space="preserve"> SIRAUDEAU </t>
  </si>
  <si>
    <t xml:space="preserve"> CARRA </t>
  </si>
  <si>
    <t xml:space="preserve"> DOUCET </t>
  </si>
  <si>
    <t xml:space="preserve"> CAMPION </t>
  </si>
  <si>
    <t xml:space="preserve"> BALDERANI </t>
  </si>
  <si>
    <t xml:space="preserve"> SCOTTO DI VETTIMO </t>
  </si>
  <si>
    <t xml:space="preserve"> JEUNEHOMME </t>
  </si>
  <si>
    <t xml:space="preserve"> MENANTEAU </t>
  </si>
  <si>
    <t xml:space="preserve"> LADEUILLE </t>
  </si>
  <si>
    <t xml:space="preserve"> LESSEUR </t>
  </si>
  <si>
    <t xml:space="preserve"> JEANJEAN </t>
  </si>
  <si>
    <t xml:space="preserve"> CHALET </t>
  </si>
  <si>
    <t xml:space="preserve"> PELMOINE </t>
  </si>
  <si>
    <t xml:space="preserve"> PROT </t>
  </si>
  <si>
    <t xml:space="preserve"> SOLESSE </t>
  </si>
  <si>
    <t xml:space="preserve"> BRENET </t>
  </si>
  <si>
    <t xml:space="preserve"> BOURGUIGNON </t>
  </si>
  <si>
    <t xml:space="preserve"> TT TRANSIAN </t>
  </si>
  <si>
    <t xml:space="preserve"> THOUARD </t>
  </si>
  <si>
    <t xml:space="preserve"> Jean-daniel </t>
  </si>
  <si>
    <t xml:space="preserve"> HABIL </t>
  </si>
  <si>
    <t xml:space="preserve"> Maged </t>
  </si>
  <si>
    <t xml:space="preserve"> CHARPIN </t>
  </si>
  <si>
    <t xml:space="preserve"> TRIN </t>
  </si>
  <si>
    <t xml:space="preserve"> JUSTINE </t>
  </si>
  <si>
    <t xml:space="preserve"> CUNY </t>
  </si>
  <si>
    <t xml:space="preserve"> LEDRU </t>
  </si>
  <si>
    <t xml:space="preserve"> LAVOINE </t>
  </si>
  <si>
    <t xml:space="preserve"> HOCH </t>
  </si>
  <si>
    <t xml:space="preserve"> THIBAUDEAU </t>
  </si>
  <si>
    <t xml:space="preserve"> COUVE </t>
  </si>
  <si>
    <t xml:space="preserve"> COULAND </t>
  </si>
  <si>
    <t xml:space="preserve"> STEVENIN </t>
  </si>
  <si>
    <t xml:space="preserve"> CARIGNAN YVOISIEN CTT </t>
  </si>
  <si>
    <t xml:space="preserve"> FAUX </t>
  </si>
  <si>
    <t xml:space="preserve"> BERTHE </t>
  </si>
  <si>
    <t xml:space="preserve"> FESSARD </t>
  </si>
  <si>
    <t xml:space="preserve"> JOYEUX </t>
  </si>
  <si>
    <t xml:space="preserve"> CAILLIERET </t>
  </si>
  <si>
    <t xml:space="preserve"> MUSTEL </t>
  </si>
  <si>
    <t xml:space="preserve"> HOUITTE </t>
  </si>
  <si>
    <t xml:space="preserve"> KNOCKAERT </t>
  </si>
  <si>
    <t xml:space="preserve"> Ngoc chuc </t>
  </si>
  <si>
    <t xml:space="preserve"> RABAT </t>
  </si>
  <si>
    <t xml:space="preserve"> DUMOUTIER </t>
  </si>
  <si>
    <t xml:space="preserve"> ST PHILBERT ATHLETIC CLUB </t>
  </si>
  <si>
    <t xml:space="preserve"> GUITARD </t>
  </si>
  <si>
    <t xml:space="preserve"> ECHALLIER </t>
  </si>
  <si>
    <t xml:space="preserve"> LE LOUS </t>
  </si>
  <si>
    <t xml:space="preserve"> TT DE SAINTE-SEVE </t>
  </si>
  <si>
    <t xml:space="preserve"> BACHELERIE </t>
  </si>
  <si>
    <t xml:space="preserve"> BIENAIME </t>
  </si>
  <si>
    <t xml:space="preserve"> SERE </t>
  </si>
  <si>
    <t xml:space="preserve"> THIEFIN </t>
  </si>
  <si>
    <t xml:space="preserve"> PLIVOT ASPP </t>
  </si>
  <si>
    <t xml:space="preserve"> STEVENS </t>
  </si>
  <si>
    <t xml:space="preserve"> STEPHAN </t>
  </si>
  <si>
    <t xml:space="preserve"> Pierre-marie </t>
  </si>
  <si>
    <t xml:space="preserve"> GEVEZE A.S. </t>
  </si>
  <si>
    <t xml:space="preserve"> CHALMEAU </t>
  </si>
  <si>
    <t xml:space="preserve"> PELLET </t>
  </si>
  <si>
    <t xml:space="preserve"> Tennis de Table Aurillaco </t>
  </si>
  <si>
    <t xml:space="preserve"> LE BRET </t>
  </si>
  <si>
    <t xml:space="preserve"> FERAUD </t>
  </si>
  <si>
    <t xml:space="preserve"> MERE </t>
  </si>
  <si>
    <t xml:space="preserve"> TENNIS DE TABLE BOUCHARDA </t>
  </si>
  <si>
    <t xml:space="preserve"> BECQUE </t>
  </si>
  <si>
    <t xml:space="preserve"> MAGNE </t>
  </si>
  <si>
    <t xml:space="preserve"> CHUDEAU </t>
  </si>
  <si>
    <t xml:space="preserve"> Simon </t>
  </si>
  <si>
    <t xml:space="preserve"> KESTELOOT </t>
  </si>
  <si>
    <t xml:space="preserve"> PETITJEAN </t>
  </si>
  <si>
    <t xml:space="preserve"> HABBADI </t>
  </si>
  <si>
    <t xml:space="preserve"> BROUSTAILLE </t>
  </si>
  <si>
    <t xml:space="preserve"> BARDAKJI </t>
  </si>
  <si>
    <t xml:space="preserve"> BELHADJ </t>
  </si>
  <si>
    <t xml:space="preserve"> ALBIGNY TENNIS DE TABLE </t>
  </si>
  <si>
    <t xml:space="preserve"> BOURGAIN </t>
  </si>
  <si>
    <t xml:space="preserve"> VOUZIERS LE CHESNE CTT </t>
  </si>
  <si>
    <t xml:space="preserve"> NICOLE </t>
  </si>
  <si>
    <t xml:space="preserve"> GUEDOUAR </t>
  </si>
  <si>
    <t xml:space="preserve"> Brahim </t>
  </si>
  <si>
    <t xml:space="preserve"> BOIS-BERNARD AL </t>
  </si>
  <si>
    <t xml:space="preserve"> COUSSEAU </t>
  </si>
  <si>
    <t xml:space="preserve"> DELEIGNE </t>
  </si>
  <si>
    <t xml:space="preserve"> ALLIGON </t>
  </si>
  <si>
    <t xml:space="preserve"> CHIU </t>
  </si>
  <si>
    <t xml:space="preserve"> I jung garry </t>
  </si>
  <si>
    <t xml:space="preserve"> MANIPOUD </t>
  </si>
  <si>
    <t xml:space="preserve"> STT Brie Champniers </t>
  </si>
  <si>
    <t xml:space="preserve"> TONNELLIER </t>
  </si>
  <si>
    <t xml:space="preserve"> PORT BRILLET </t>
  </si>
  <si>
    <t xml:space="preserve"> BIGALLET </t>
  </si>
  <si>
    <t xml:space="preserve"> CARO </t>
  </si>
  <si>
    <t xml:space="preserve"> NECKER </t>
  </si>
  <si>
    <t xml:space="preserve"> ARLEUX EN GOHELLE ASDL </t>
  </si>
  <si>
    <t xml:space="preserve"> PELE </t>
  </si>
  <si>
    <t xml:space="preserve"> PHILIPPON </t>
  </si>
  <si>
    <t xml:space="preserve"> BOUHOURS </t>
  </si>
  <si>
    <t xml:space="preserve"> Montamisé TT </t>
  </si>
  <si>
    <t xml:space="preserve"> DEMONT </t>
  </si>
  <si>
    <t xml:space="preserve"> AGUILLON </t>
  </si>
  <si>
    <t xml:space="preserve"> Loudun PPCL </t>
  </si>
  <si>
    <t xml:space="preserve"> SULTANIAN </t>
  </si>
  <si>
    <t xml:space="preserve"> HERSEMEULE </t>
  </si>
  <si>
    <t xml:space="preserve"> TT NESPOULS </t>
  </si>
  <si>
    <t xml:space="preserve"> NASCU </t>
  </si>
  <si>
    <t xml:space="preserve"> Horéa </t>
  </si>
  <si>
    <t xml:space="preserve"> PELLIER </t>
  </si>
  <si>
    <t xml:space="preserve"> UNION ST JEAN </t>
  </si>
  <si>
    <t xml:space="preserve"> SIEBERT </t>
  </si>
  <si>
    <t xml:space="preserve"> GUFFROY </t>
  </si>
  <si>
    <t xml:space="preserve"> APERT </t>
  </si>
  <si>
    <t xml:space="preserve"> C.O. ARPAJON </t>
  </si>
  <si>
    <t xml:space="preserve"> DABIEL </t>
  </si>
  <si>
    <t xml:space="preserve"> CATOCHAUD </t>
  </si>
  <si>
    <t xml:space="preserve"> Pierre-jean </t>
  </si>
  <si>
    <t xml:space="preserve"> RONNAY </t>
  </si>
  <si>
    <t xml:space="preserve"> MARTINAGE </t>
  </si>
  <si>
    <t xml:space="preserve"> DUQUEF </t>
  </si>
  <si>
    <t xml:space="preserve"> CIZMESIJA </t>
  </si>
  <si>
    <t xml:space="preserve"> BUTIN </t>
  </si>
  <si>
    <t xml:space="preserve"> CRUCIANI </t>
  </si>
  <si>
    <t xml:space="preserve"> TRUSCH </t>
  </si>
  <si>
    <t xml:space="preserve"> LE LANN </t>
  </si>
  <si>
    <t xml:space="preserve"> ST GILLES U.S. </t>
  </si>
  <si>
    <t xml:space="preserve"> BURY </t>
  </si>
  <si>
    <t xml:space="preserve"> ETOILE AUXONNAISE </t>
  </si>
  <si>
    <t xml:space="preserve"> PERLI </t>
  </si>
  <si>
    <t xml:space="preserve"> U.S.T.T. SASSENAGE </t>
  </si>
  <si>
    <t xml:space="preserve"> MARCHE ZORZI </t>
  </si>
  <si>
    <t xml:space="preserve"> RENOUVIN </t>
  </si>
  <si>
    <t xml:space="preserve"> CHAMBERLIN </t>
  </si>
  <si>
    <t xml:space="preserve"> T'JOEN </t>
  </si>
  <si>
    <t xml:space="preserve"> Walter </t>
  </si>
  <si>
    <t xml:space="preserve"> LOURME </t>
  </si>
  <si>
    <t xml:space="preserve"> DURANTON </t>
  </si>
  <si>
    <t xml:space="preserve"> DHIERRE </t>
  </si>
  <si>
    <t xml:space="preserve"> HAYON </t>
  </si>
  <si>
    <t xml:space="preserve"> BONNAFOUS </t>
  </si>
  <si>
    <t xml:space="preserve"> JACQUES </t>
  </si>
  <si>
    <t xml:space="preserve"> DESCOUT </t>
  </si>
  <si>
    <t xml:space="preserve"> SCIANDRA </t>
  </si>
  <si>
    <t xml:space="preserve"> Giovanni </t>
  </si>
  <si>
    <t xml:space="preserve"> FLEURIE </t>
  </si>
  <si>
    <t xml:space="preserve"> LE BRIS </t>
  </si>
  <si>
    <t xml:space="preserve"> URBANI </t>
  </si>
  <si>
    <t xml:space="preserve"> GEORGY </t>
  </si>
  <si>
    <t xml:space="preserve"> CREYSSAC </t>
  </si>
  <si>
    <t xml:space="preserve"> CHATEAU </t>
  </si>
  <si>
    <t xml:space="preserve"> CHEVRAND </t>
  </si>
  <si>
    <t xml:space="preserve"> FRATERNELLE DES VOLCANS V </t>
  </si>
  <si>
    <t xml:space="preserve"> BELKHIRIA </t>
  </si>
  <si>
    <t xml:space="preserve"> Nizard </t>
  </si>
  <si>
    <t xml:space="preserve"> FAINS LES SOURCES AEL </t>
  </si>
  <si>
    <t xml:space="preserve"> DUCLOUT </t>
  </si>
  <si>
    <t xml:space="preserve"> SHI </t>
  </si>
  <si>
    <t xml:space="preserve"> DAMY </t>
  </si>
  <si>
    <t xml:space="preserve"> BAUDE </t>
  </si>
  <si>
    <t xml:space="preserve"> SIMEON </t>
  </si>
  <si>
    <t xml:space="preserve"> SAINT PAVACE AS/NEUVILLE </t>
  </si>
  <si>
    <t xml:space="preserve"> QUEROL </t>
  </si>
  <si>
    <t xml:space="preserve"> LORIEAU </t>
  </si>
  <si>
    <t xml:space="preserve"> WAYMEL </t>
  </si>
  <si>
    <t xml:space="preserve"> SCHADECK </t>
  </si>
  <si>
    <t xml:space="preserve"> ARDINAT </t>
  </si>
  <si>
    <t xml:space="preserve"> Jean regis </t>
  </si>
  <si>
    <t xml:space="preserve"> BEAUCHAUD </t>
  </si>
  <si>
    <t xml:space="preserve"> MOYAT </t>
  </si>
  <si>
    <t xml:space="preserve"> PIEDFORT </t>
  </si>
  <si>
    <t xml:space="preserve"> SOUL </t>
  </si>
  <si>
    <t xml:space="preserve"> BRENGARD </t>
  </si>
  <si>
    <t xml:space="preserve"> PRIGENT </t>
  </si>
  <si>
    <t xml:space="preserve"> JADOT </t>
  </si>
  <si>
    <t xml:space="preserve"> HOREMANS </t>
  </si>
  <si>
    <t xml:space="preserve"> MIREMONT </t>
  </si>
  <si>
    <t xml:space="preserve"> TRESSE </t>
  </si>
  <si>
    <t xml:space="preserve"> LAOUENAN </t>
  </si>
  <si>
    <t xml:space="preserve"> VANDEKERKHOVE </t>
  </si>
  <si>
    <t xml:space="preserve"> VIDEAU </t>
  </si>
  <si>
    <t xml:space="preserve"> POURQUIER </t>
  </si>
  <si>
    <t xml:space="preserve"> Jeffrey </t>
  </si>
  <si>
    <t xml:space="preserve"> DOMARIN TENNIS DE TABLE </t>
  </si>
  <si>
    <t xml:space="preserve"> RABOUILLE </t>
  </si>
  <si>
    <t xml:space="preserve"> U.S. CHAMBRAY-LES-TOURS </t>
  </si>
  <si>
    <t xml:space="preserve"> MERSERON </t>
  </si>
  <si>
    <t xml:space="preserve"> BAR SUR SEINE FJ </t>
  </si>
  <si>
    <t xml:space="preserve"> CARTRAUD </t>
  </si>
  <si>
    <t xml:space="preserve"> ALLIGAND </t>
  </si>
  <si>
    <t xml:space="preserve"> DELBECQ </t>
  </si>
  <si>
    <t xml:space="preserve"> PANCARTE </t>
  </si>
  <si>
    <t xml:space="preserve"> MONCE </t>
  </si>
  <si>
    <t xml:space="preserve"> EYMOUTIERS TT (87) </t>
  </si>
  <si>
    <t xml:space="preserve"> VERGAVILLE F.R. </t>
  </si>
  <si>
    <t xml:space="preserve"> SITTLER </t>
  </si>
  <si>
    <t xml:space="preserve"> NUENO </t>
  </si>
  <si>
    <t xml:space="preserve"> BRUNEAUX </t>
  </si>
  <si>
    <t xml:space="preserve"> GROSSOEUVRE SPORTS </t>
  </si>
  <si>
    <t xml:space="preserve"> POLASZEK </t>
  </si>
  <si>
    <t xml:space="preserve"> MOLIN </t>
  </si>
  <si>
    <t xml:space="preserve"> GIRARDOT </t>
  </si>
  <si>
    <t xml:space="preserve"> AMICALE LAÏQUE DE SOUVIGN </t>
  </si>
  <si>
    <t xml:space="preserve"> SAUTEJEAN </t>
  </si>
  <si>
    <t xml:space="preserve"> LOOS SPORT TT </t>
  </si>
  <si>
    <t xml:space="preserve"> MALAURIE </t>
  </si>
  <si>
    <t xml:space="preserve"> CASTANIER </t>
  </si>
  <si>
    <t xml:space="preserve"> MERTZ </t>
  </si>
  <si>
    <t xml:space="preserve"> BRIAUX </t>
  </si>
  <si>
    <t xml:space="preserve"> TENNIS DE TABLE MORIERES </t>
  </si>
  <si>
    <t xml:space="preserve"> CAMPAGNOLO </t>
  </si>
  <si>
    <t xml:space="preserve"> HUGUENEL </t>
  </si>
  <si>
    <t xml:space="preserve"> GENTY </t>
  </si>
  <si>
    <t xml:space="preserve"> Réveil Pongiste Vasséen </t>
  </si>
  <si>
    <t xml:space="preserve"> DEMISSY </t>
  </si>
  <si>
    <t xml:space="preserve"> REY </t>
  </si>
  <si>
    <t xml:space="preserve"> HOURY </t>
  </si>
  <si>
    <t xml:space="preserve"> STEVENOT </t>
  </si>
  <si>
    <t xml:space="preserve"> SAINT CYR L'ECOLE TT </t>
  </si>
  <si>
    <t xml:space="preserve"> WYSOCKI </t>
  </si>
  <si>
    <t xml:space="preserve"> UNTERFINGER </t>
  </si>
  <si>
    <t xml:space="preserve"> MONGY </t>
  </si>
  <si>
    <t xml:space="preserve"> Adolfo leon </t>
  </si>
  <si>
    <t xml:space="preserve"> CHATENOIS C.C.A. </t>
  </si>
  <si>
    <t xml:space="preserve"> GORCEIX </t>
  </si>
  <si>
    <t xml:space="preserve"> Youcef </t>
  </si>
  <si>
    <t xml:space="preserve"> PONGISTES ARTIGUAIS </t>
  </si>
  <si>
    <t xml:space="preserve"> MAAS </t>
  </si>
  <si>
    <t xml:space="preserve"> DESIRE </t>
  </si>
  <si>
    <t xml:space="preserve"> OGEARD </t>
  </si>
  <si>
    <t xml:space="preserve"> RANTY </t>
  </si>
  <si>
    <t xml:space="preserve"> MACHECOUL </t>
  </si>
  <si>
    <t xml:space="preserve"> HUNOUT </t>
  </si>
  <si>
    <t xml:space="preserve"> BESSONNET </t>
  </si>
  <si>
    <t xml:space="preserve"> KRISTOF </t>
  </si>
  <si>
    <t xml:space="preserve"> ROUFFIGNAC </t>
  </si>
  <si>
    <t xml:space="preserve"> BAUNE ESVB TT </t>
  </si>
  <si>
    <t xml:space="preserve"> VAUTIER </t>
  </si>
  <si>
    <t xml:space="preserve"> GUINAULT </t>
  </si>
  <si>
    <t xml:space="preserve"> ST AIGNAN SUR ROË Espoir </t>
  </si>
  <si>
    <t xml:space="preserve"> MELCHIORRI </t>
  </si>
  <si>
    <t xml:space="preserve"> MARHEM </t>
  </si>
  <si>
    <t xml:space="preserve"> JA GENILAC </t>
  </si>
  <si>
    <t xml:space="preserve"> AUBIN </t>
  </si>
  <si>
    <t xml:space="preserve"> TAILLEPIERRE </t>
  </si>
  <si>
    <t xml:space="preserve"> BICHET </t>
  </si>
  <si>
    <t xml:space="preserve"> ST MESMIN/MONTOURNAIS AEC </t>
  </si>
  <si>
    <t xml:space="preserve"> LEPLAN </t>
  </si>
  <si>
    <t xml:space="preserve"> LALANDE </t>
  </si>
  <si>
    <t xml:space="preserve"> EVAIN </t>
  </si>
  <si>
    <t xml:space="preserve"> COTTAIS </t>
  </si>
  <si>
    <t xml:space="preserve"> TREHOUT </t>
  </si>
  <si>
    <t xml:space="preserve"> LIEGEY </t>
  </si>
  <si>
    <t xml:space="preserve"> CASSAGNES </t>
  </si>
  <si>
    <t xml:space="preserve"> POTARD </t>
  </si>
  <si>
    <t xml:space="preserve"> GRAFF </t>
  </si>
  <si>
    <t xml:space="preserve"> DECOURT </t>
  </si>
  <si>
    <t xml:space="preserve"> DEBRUYNE </t>
  </si>
  <si>
    <t xml:space="preserve"> DAUNOIS </t>
  </si>
  <si>
    <t xml:space="preserve"> CHALIMAND </t>
  </si>
  <si>
    <t xml:space="preserve"> TALENSAC PONGISTE CLUB </t>
  </si>
  <si>
    <t xml:space="preserve"> BAILLEUX </t>
  </si>
  <si>
    <t xml:space="preserve"> TREVISANI </t>
  </si>
  <si>
    <t xml:space="preserve"> WOZNIAK </t>
  </si>
  <si>
    <t xml:space="preserve"> CALMON </t>
  </si>
  <si>
    <t xml:space="preserve"> BROUILLARD </t>
  </si>
  <si>
    <t xml:space="preserve"> RINXENT-HYDREQUENT TT </t>
  </si>
  <si>
    <t xml:space="preserve"> TERRAY </t>
  </si>
  <si>
    <t xml:space="preserve"> PAGANOTTO </t>
  </si>
  <si>
    <t xml:space="preserve"> LA CRIQUE  TT </t>
  </si>
  <si>
    <t xml:space="preserve"> GAHERY </t>
  </si>
  <si>
    <t xml:space="preserve"> Arnauld </t>
  </si>
  <si>
    <t xml:space="preserve"> Ton </t>
  </si>
  <si>
    <t xml:space="preserve"> DELLA MAGGIORA </t>
  </si>
  <si>
    <t xml:space="preserve"> LECOLLIER </t>
  </si>
  <si>
    <t xml:space="preserve"> MAGNAN </t>
  </si>
  <si>
    <t xml:space="preserve"> BARBE BARRAILH </t>
  </si>
  <si>
    <t xml:space="preserve"> BALLANGER </t>
  </si>
  <si>
    <t xml:space="preserve"> LES ACHARDS TT U.S. </t>
  </si>
  <si>
    <t xml:space="preserve"> GAGNON </t>
  </si>
  <si>
    <t xml:space="preserve"> THERET </t>
  </si>
  <si>
    <t xml:space="preserve"> SAINTE-MAURE TENNIS DE TA </t>
  </si>
  <si>
    <t xml:space="preserve"> RAIMBAULT </t>
  </si>
  <si>
    <t xml:space="preserve"> ANDARD BRAIN Entente Sp. </t>
  </si>
  <si>
    <t xml:space="preserve"> ESCALIE </t>
  </si>
  <si>
    <t xml:space="preserve"> MASCARAS </t>
  </si>
  <si>
    <t xml:space="preserve"> THEUERKAUF </t>
  </si>
  <si>
    <t xml:space="preserve"> Jorn </t>
  </si>
  <si>
    <t xml:space="preserve"> 329F0601 </t>
  </si>
  <si>
    <t xml:space="preserve"> TENNIS DE TABLE CMO LA FO </t>
  </si>
  <si>
    <t xml:space="preserve"> VENET </t>
  </si>
  <si>
    <t xml:space="preserve"> VARET </t>
  </si>
  <si>
    <t xml:space="preserve"> DOUVRES TENNIS DE TABLE </t>
  </si>
  <si>
    <t xml:space="preserve"> LABBE </t>
  </si>
  <si>
    <t xml:space="preserve"> TT BRETENOUX-BIARS </t>
  </si>
  <si>
    <t xml:space="preserve"> BERGOUGNOUX </t>
  </si>
  <si>
    <t xml:space="preserve"> SOARES </t>
  </si>
  <si>
    <t xml:space="preserve"> CHEMERY SUR BAR  CO </t>
  </si>
  <si>
    <t xml:space="preserve"> TT SIPS DUN SUR AURON </t>
  </si>
  <si>
    <t xml:space="preserve"> RUBIO </t>
  </si>
  <si>
    <t xml:space="preserve"> Enrique </t>
  </si>
  <si>
    <t xml:space="preserve"> C.T.T.OUCHAMPS </t>
  </si>
  <si>
    <t xml:space="preserve"> PRODHOMME </t>
  </si>
  <si>
    <t xml:space="preserve"> MERLEY </t>
  </si>
  <si>
    <t xml:space="preserve"> BODON </t>
  </si>
  <si>
    <t xml:space="preserve"> HAUTERIVE-BRUGHEAS T.T. </t>
  </si>
  <si>
    <t xml:space="preserve"> FLOC'H </t>
  </si>
  <si>
    <t xml:space="preserve"> ZEISLER </t>
  </si>
  <si>
    <t xml:space="preserve"> VANDEVILLE </t>
  </si>
  <si>
    <t xml:space="preserve"> STARK </t>
  </si>
  <si>
    <t xml:space="preserve"> LEONARD </t>
  </si>
  <si>
    <t xml:space="preserve"> PIROTH </t>
  </si>
  <si>
    <t xml:space="preserve"> NANTES RACC </t>
  </si>
  <si>
    <t xml:space="preserve"> MANSON </t>
  </si>
  <si>
    <t xml:space="preserve"> PERPETE </t>
  </si>
  <si>
    <t xml:space="preserve"> THEPAUT </t>
  </si>
  <si>
    <t xml:space="preserve"> Renan </t>
  </si>
  <si>
    <t xml:space="preserve"> FAROULT </t>
  </si>
  <si>
    <t xml:space="preserve"> MAILHOU </t>
  </si>
  <si>
    <t xml:space="preserve"> VERGNON </t>
  </si>
  <si>
    <t xml:space="preserve"> TT FOUGEROLLAIS </t>
  </si>
  <si>
    <t xml:space="preserve"> VARADES A.S.C.P. </t>
  </si>
  <si>
    <t xml:space="preserve"> CHAIGNEAU </t>
  </si>
  <si>
    <t xml:space="preserve"> EDUCATION NATIONALE </t>
  </si>
  <si>
    <t xml:space="preserve"> HERVIEU </t>
  </si>
  <si>
    <t xml:space="preserve"> VEJUX </t>
  </si>
  <si>
    <t xml:space="preserve"> ALMEIDA </t>
  </si>
  <si>
    <t xml:space="preserve"> LIEVRE </t>
  </si>
  <si>
    <t xml:space="preserve"> Domnin </t>
  </si>
  <si>
    <t xml:space="preserve"> MONNIER </t>
  </si>
  <si>
    <t xml:space="preserve"> DESSEUX </t>
  </si>
  <si>
    <t xml:space="preserve"> FORTAT </t>
  </si>
  <si>
    <t xml:space="preserve"> FOURNAUX </t>
  </si>
  <si>
    <t xml:space="preserve"> OLYMPIC CLUB TENNIS TABLE </t>
  </si>
  <si>
    <t xml:space="preserve"> BARRIOL </t>
  </si>
  <si>
    <t xml:space="preserve"> GRAEFF </t>
  </si>
  <si>
    <t xml:space="preserve"> GRIESHEIM DINGSHEIM TT </t>
  </si>
  <si>
    <t xml:space="preserve"> RAGUENET </t>
  </si>
  <si>
    <t xml:space="preserve"> VALENTE </t>
  </si>
  <si>
    <t xml:space="preserve"> BOUSIGUE </t>
  </si>
  <si>
    <t xml:space="preserve"> MONFRAY </t>
  </si>
  <si>
    <t xml:space="preserve"> PALADINO </t>
  </si>
  <si>
    <t xml:space="preserve"> Giorgio </t>
  </si>
  <si>
    <t xml:space="preserve"> SAINT LOUP SUR SEMOUSE </t>
  </si>
  <si>
    <t xml:space="preserve"> LEBEGUE </t>
  </si>
  <si>
    <t xml:space="preserve"> DI MARTINO </t>
  </si>
  <si>
    <t xml:space="preserve"> CROUVISIER </t>
  </si>
  <si>
    <t xml:space="preserve"> XONRUPT A.S.C.X.L. T.T. </t>
  </si>
  <si>
    <t xml:space="preserve"> SALLENDRE </t>
  </si>
  <si>
    <t xml:space="preserve"> DELHAISE </t>
  </si>
  <si>
    <t xml:space="preserve"> COMMERCY P.P.C. </t>
  </si>
  <si>
    <t xml:space="preserve"> STEVENARD </t>
  </si>
  <si>
    <t xml:space="preserve"> ZUNDORFF </t>
  </si>
  <si>
    <t xml:space="preserve"> OUTIN </t>
  </si>
  <si>
    <t xml:space="preserve"> COLAS </t>
  </si>
  <si>
    <t xml:space="preserve"> GUERREBOUT </t>
  </si>
  <si>
    <t xml:space="preserve"> HULARD </t>
  </si>
  <si>
    <t xml:space="preserve"> ANTUNES MENOITA </t>
  </si>
  <si>
    <t xml:space="preserve"> RIQUET </t>
  </si>
  <si>
    <t xml:space="preserve"> WITTES US </t>
  </si>
  <si>
    <t xml:space="preserve"> BATAS </t>
  </si>
  <si>
    <t xml:space="preserve"> NEVEUX </t>
  </si>
  <si>
    <t xml:space="preserve"> DE MONTES </t>
  </si>
  <si>
    <t xml:space="preserve"> BOISGERAUX </t>
  </si>
  <si>
    <t xml:space="preserve"> KOUSSA </t>
  </si>
  <si>
    <t xml:space="preserve"> ROUCHE </t>
  </si>
  <si>
    <t xml:space="preserve"> DERATANI </t>
  </si>
  <si>
    <t xml:space="preserve"> BRESSE PING - TENNIS DE T </t>
  </si>
  <si>
    <t xml:space="preserve"> BOISARD </t>
  </si>
  <si>
    <t xml:space="preserve"> Armand </t>
  </si>
  <si>
    <t xml:space="preserve"> DERENSY </t>
  </si>
  <si>
    <t xml:space="preserve"> HEDERICH </t>
  </si>
  <si>
    <t xml:space="preserve"> DU </t>
  </si>
  <si>
    <t xml:space="preserve"> Ky duong </t>
  </si>
  <si>
    <t xml:space="preserve"> DESMOTREUX </t>
  </si>
  <si>
    <t xml:space="preserve"> BENQUET </t>
  </si>
  <si>
    <t xml:space="preserve"> GAUSSERAN </t>
  </si>
  <si>
    <t xml:space="preserve"> PING CHEMAUDIN-ET-VAUX </t>
  </si>
  <si>
    <t xml:space="preserve"> DUGAND </t>
  </si>
  <si>
    <t xml:space="preserve"> HERSANT </t>
  </si>
  <si>
    <t xml:space="preserve"> THEVENET </t>
  </si>
  <si>
    <t xml:space="preserve"> PRONOST </t>
  </si>
  <si>
    <t xml:space="preserve"> NOWACKI </t>
  </si>
  <si>
    <t xml:space="preserve"> SALOME TT </t>
  </si>
  <si>
    <t xml:space="preserve"> WEINSTEIN </t>
  </si>
  <si>
    <t xml:space="preserve"> Adelin </t>
  </si>
  <si>
    <t xml:space="preserve"> RETAIL </t>
  </si>
  <si>
    <t xml:space="preserve"> HEIMBOURGER </t>
  </si>
  <si>
    <t xml:space="preserve"> GHARIANI </t>
  </si>
  <si>
    <t xml:space="preserve"> IORI </t>
  </si>
  <si>
    <t xml:space="preserve"> TETU </t>
  </si>
  <si>
    <t xml:space="preserve"> AZIZIAN </t>
  </si>
  <si>
    <t xml:space="preserve"> SASE </t>
  </si>
  <si>
    <t xml:space="preserve"> Justin </t>
  </si>
  <si>
    <t xml:space="preserve"> PRESLES Tennis de Table </t>
  </si>
  <si>
    <t xml:space="preserve"> BERIO </t>
  </si>
  <si>
    <t xml:space="preserve"> PONTIVY-MALGUENAC TT </t>
  </si>
  <si>
    <t xml:space="preserve"> BOUCHERIE </t>
  </si>
  <si>
    <t xml:space="preserve"> CAPELLI </t>
  </si>
  <si>
    <t xml:space="preserve"> BOEHRER </t>
  </si>
  <si>
    <t xml:space="preserve"> COLMAR AJE </t>
  </si>
  <si>
    <t xml:space="preserve"> DERUDDER </t>
  </si>
  <si>
    <t xml:space="preserve"> DELOISON </t>
  </si>
  <si>
    <t xml:space="preserve"> CRETIN </t>
  </si>
  <si>
    <t xml:space="preserve"> SANDOR </t>
  </si>
  <si>
    <t xml:space="preserve"> DUHAIL </t>
  </si>
  <si>
    <t xml:space="preserve"> ASSP SAINT PHILIBERT </t>
  </si>
  <si>
    <t xml:space="preserve"> MAYER </t>
  </si>
  <si>
    <t xml:space="preserve"> BAVENT </t>
  </si>
  <si>
    <t xml:space="preserve"> TROMPETTE </t>
  </si>
  <si>
    <t xml:space="preserve"> MIQUEL </t>
  </si>
  <si>
    <t xml:space="preserve"> VANDENDRIESSCHE </t>
  </si>
  <si>
    <t xml:space="preserve"> BOMAL </t>
  </si>
  <si>
    <t xml:space="preserve"> DUBEZAK </t>
  </si>
  <si>
    <t xml:space="preserve"> DIESNIS </t>
  </si>
  <si>
    <t xml:space="preserve"> RATOAVINARIVO </t>
  </si>
  <si>
    <t xml:space="preserve"> Elian-zaka </t>
  </si>
  <si>
    <t xml:space="preserve"> MONTFORT TT </t>
  </si>
  <si>
    <t xml:space="preserve"> ARCIS MAILLY ASA TT </t>
  </si>
  <si>
    <t xml:space="preserve"> LE VERGER U.S.C. </t>
  </si>
  <si>
    <t xml:space="preserve"> TOUTTEE </t>
  </si>
  <si>
    <t xml:space="preserve"> PRAD </t>
  </si>
  <si>
    <t xml:space="preserve"> GUILLOSSOU </t>
  </si>
  <si>
    <t xml:space="preserve"> OBLETTE </t>
  </si>
  <si>
    <t xml:space="preserve"> CHATELIER </t>
  </si>
  <si>
    <t xml:space="preserve"> CHERAULT </t>
  </si>
  <si>
    <t xml:space="preserve"> BELLOT </t>
  </si>
  <si>
    <t xml:space="preserve"> ST-GERMAIN TENNNIS DE TAB </t>
  </si>
  <si>
    <t xml:space="preserve"> VAILLAND </t>
  </si>
  <si>
    <t xml:space="preserve"> SEYTRE </t>
  </si>
  <si>
    <t xml:space="preserve"> ANACREON </t>
  </si>
  <si>
    <t xml:space="preserve"> PERILLAT </t>
  </si>
  <si>
    <t xml:space="preserve"> MARPAUX </t>
  </si>
  <si>
    <t xml:space="preserve"> VERA </t>
  </si>
  <si>
    <t xml:space="preserve"> CLAPPIER </t>
  </si>
  <si>
    <t xml:space="preserve"> Eymeric </t>
  </si>
  <si>
    <t xml:space="preserve"> SAINTOBERT </t>
  </si>
  <si>
    <t xml:space="preserve"> RAIMBEAUCOURT PPC </t>
  </si>
  <si>
    <t xml:space="preserve"> MARION </t>
  </si>
  <si>
    <t xml:space="preserve"> MOSSERI </t>
  </si>
  <si>
    <t xml:space="preserve"> HUIOUTU </t>
  </si>
  <si>
    <t xml:space="preserve"> A.S.T.T. de CASTELVALERIE </t>
  </si>
  <si>
    <t xml:space="preserve"> SCHLUMBERGER </t>
  </si>
  <si>
    <t xml:space="preserve"> COQUET </t>
  </si>
  <si>
    <t xml:space="preserve"> AS VAUDREUIL TENNIS TABLE </t>
  </si>
  <si>
    <t xml:space="preserve"> LANGONET </t>
  </si>
  <si>
    <t xml:space="preserve"> MAZAINGUE </t>
  </si>
  <si>
    <t xml:space="preserve"> SECLIN ATOS  TT </t>
  </si>
  <si>
    <t xml:space="preserve"> MACHON </t>
  </si>
  <si>
    <t xml:space="preserve"> LAW DUNE </t>
  </si>
  <si>
    <t xml:space="preserve"> MARINO </t>
  </si>
  <si>
    <t xml:space="preserve"> WELC </t>
  </si>
  <si>
    <t xml:space="preserve"> TAVAN </t>
  </si>
  <si>
    <t xml:space="preserve"> GRASSET </t>
  </si>
  <si>
    <t xml:space="preserve"> NAVARRO </t>
  </si>
  <si>
    <t xml:space="preserve"> INIZAN </t>
  </si>
  <si>
    <t xml:space="preserve"> DOULS </t>
  </si>
  <si>
    <t xml:space="preserve"> BLANDIN </t>
  </si>
  <si>
    <t xml:space="preserve"> AL MOELAN SUR MER </t>
  </si>
  <si>
    <t xml:space="preserve"> CARICHON </t>
  </si>
  <si>
    <t xml:space="preserve"> Silvere </t>
  </si>
  <si>
    <t xml:space="preserve"> FOUG C.P. </t>
  </si>
  <si>
    <t xml:space="preserve"> ALLART </t>
  </si>
  <si>
    <t xml:space="preserve"> ENT PONG BELLEVILLE-CHALE </t>
  </si>
  <si>
    <t xml:space="preserve"> Jose-marie </t>
  </si>
  <si>
    <t xml:space="preserve"> HAUDIVILLERS-BAILLEUL EP </t>
  </si>
  <si>
    <t xml:space="preserve"> BESNOU </t>
  </si>
  <si>
    <t xml:space="preserve"> COSSON </t>
  </si>
  <si>
    <t xml:space="preserve"> WERNIMONT </t>
  </si>
  <si>
    <t xml:space="preserve"> CLAVY WARBY ASL </t>
  </si>
  <si>
    <t xml:space="preserve"> PECOUL </t>
  </si>
  <si>
    <t xml:space="preserve"> FIEUS </t>
  </si>
  <si>
    <t xml:space="preserve"> POIVERT </t>
  </si>
  <si>
    <t xml:space="preserve"> RENVOISE </t>
  </si>
  <si>
    <t xml:space="preserve"> KESTELYN </t>
  </si>
  <si>
    <t xml:space="preserve"> CARMANTRAND </t>
  </si>
  <si>
    <t xml:space="preserve"> PERON </t>
  </si>
  <si>
    <t xml:space="preserve"> NESLE </t>
  </si>
  <si>
    <t xml:space="preserve"> BEROUD </t>
  </si>
  <si>
    <t xml:space="preserve"> BUDISAVLJEVIC </t>
  </si>
  <si>
    <t xml:space="preserve"> Jovan </t>
  </si>
  <si>
    <t xml:space="preserve"> GURY </t>
  </si>
  <si>
    <t xml:space="preserve"> STADE VERNOLIEN T T </t>
  </si>
  <si>
    <t xml:space="preserve"> DELABYE </t>
  </si>
  <si>
    <t xml:space="preserve"> TTPS SENONCHES </t>
  </si>
  <si>
    <t xml:space="preserve"> ABID </t>
  </si>
  <si>
    <t xml:space="preserve"> Érick </t>
  </si>
  <si>
    <t xml:space="preserve"> GREFFION </t>
  </si>
  <si>
    <t xml:space="preserve"> RABASTINOIS TENNIS DE TAB </t>
  </si>
  <si>
    <t xml:space="preserve"> HAO </t>
  </si>
  <si>
    <t xml:space="preserve"> Kaphy </t>
  </si>
  <si>
    <t xml:space="preserve"> BONVALET </t>
  </si>
  <si>
    <t xml:space="preserve"> NOLOT </t>
  </si>
  <si>
    <t xml:space="preserve"> PENY </t>
  </si>
  <si>
    <t xml:space="preserve"> MOULAY Sport T.Table </t>
  </si>
  <si>
    <t xml:space="preserve"> CLUB PONGISTE DE GIROMAGN </t>
  </si>
  <si>
    <t xml:space="preserve"> GAUCHET </t>
  </si>
  <si>
    <t xml:space="preserve"> COLONNIER </t>
  </si>
  <si>
    <t xml:space="preserve"> A.T.T. AZAY-SUR-CHER </t>
  </si>
  <si>
    <t xml:space="preserve"> DE FELICE </t>
  </si>
  <si>
    <t xml:space="preserve"> LAFOIS </t>
  </si>
  <si>
    <t xml:space="preserve"> VERON </t>
  </si>
  <si>
    <t xml:space="preserve"> VERONNEAU </t>
  </si>
  <si>
    <t xml:space="preserve"> MOULY </t>
  </si>
  <si>
    <t xml:space="preserve"> MONTFORT TT US </t>
  </si>
  <si>
    <t xml:space="preserve"> MAHAUD </t>
  </si>
  <si>
    <t xml:space="preserve"> MORINEAU </t>
  </si>
  <si>
    <t xml:space="preserve"> PORTANGUEN </t>
  </si>
  <si>
    <t xml:space="preserve"> MORISOT </t>
  </si>
  <si>
    <t xml:space="preserve"> PULICANI </t>
  </si>
  <si>
    <t xml:space="preserve"> CHÂTEAU GONTIER Hôpital </t>
  </si>
  <si>
    <t xml:space="preserve"> DE COSNAC </t>
  </si>
  <si>
    <t xml:space="preserve"> AURIGNY </t>
  </si>
  <si>
    <t xml:space="preserve"> HENNECART </t>
  </si>
  <si>
    <t xml:space="preserve"> PLATEAU HAVRAIS TT </t>
  </si>
  <si>
    <t xml:space="preserve"> JOUBERT </t>
  </si>
  <si>
    <t xml:space="preserve"> A.S. SAVONNIERES </t>
  </si>
  <si>
    <t xml:space="preserve"> LAMARE </t>
  </si>
  <si>
    <t xml:space="preserve"> Noan </t>
  </si>
  <si>
    <t xml:space="preserve"> FOYER D AUZEBOSC </t>
  </si>
  <si>
    <t xml:space="preserve"> TISSERAND </t>
  </si>
  <si>
    <t xml:space="preserve"> CLUB ARBRESLOIS PONGISTE </t>
  </si>
  <si>
    <t xml:space="preserve"> PRZYLUSKI </t>
  </si>
  <si>
    <t xml:space="preserve"> SOUNY </t>
  </si>
  <si>
    <t xml:space="preserve"> FABBRO </t>
  </si>
  <si>
    <t xml:space="preserve"> CANO </t>
  </si>
  <si>
    <t xml:space="preserve"> AL GERZAT </t>
  </si>
  <si>
    <t xml:space="preserve"> SERRIERE </t>
  </si>
  <si>
    <t xml:space="preserve"> DIVEU </t>
  </si>
  <si>
    <t xml:space="preserve"> PAUPART </t>
  </si>
  <si>
    <t xml:space="preserve"> CAO </t>
  </si>
  <si>
    <t xml:space="preserve"> Khay </t>
  </si>
  <si>
    <t xml:space="preserve"> CADOT </t>
  </si>
  <si>
    <t xml:space="preserve"> POUDRE </t>
  </si>
  <si>
    <t xml:space="preserve"> Arthur </t>
  </si>
  <si>
    <t xml:space="preserve"> VOLAND </t>
  </si>
  <si>
    <t xml:space="preserve"> MAYEUR </t>
  </si>
  <si>
    <t xml:space="preserve"> TISSEAU </t>
  </si>
  <si>
    <t xml:space="preserve"> GRINCOURT </t>
  </si>
  <si>
    <t xml:space="preserve"> PASQUEREAU </t>
  </si>
  <si>
    <t xml:space="preserve"> VAN-CAEMELBEKE </t>
  </si>
  <si>
    <t xml:space="preserve"> CHATEAU THIERRY CTT </t>
  </si>
  <si>
    <t xml:space="preserve"> PERHERIN </t>
  </si>
  <si>
    <t xml:space="preserve"> RAQ ESQUIBIENNOISE </t>
  </si>
  <si>
    <t xml:space="preserve"> DAMOUR </t>
  </si>
  <si>
    <t xml:space="preserve"> Frontenay RR AFTT </t>
  </si>
  <si>
    <t xml:space="preserve"> MEYRAC </t>
  </si>
  <si>
    <t xml:space="preserve"> HERMAN </t>
  </si>
  <si>
    <t xml:space="preserve"> SMS.ROMORANTIN </t>
  </si>
  <si>
    <t xml:space="preserve"> BOURGNEUF/ST OUEN TTIC </t>
  </si>
  <si>
    <t xml:space="preserve"> HERICHER </t>
  </si>
  <si>
    <t xml:space="preserve"> QUENDO </t>
  </si>
  <si>
    <t xml:space="preserve"> Gildas </t>
  </si>
  <si>
    <t xml:space="preserve"> PRESQU ILE TT QUIBERON </t>
  </si>
  <si>
    <t xml:space="preserve"> Kean leang </t>
  </si>
  <si>
    <t xml:space="preserve"> NAVELLO </t>
  </si>
  <si>
    <t xml:space="preserve"> GRAVET </t>
  </si>
  <si>
    <t xml:space="preserve"> GRELAUD </t>
  </si>
  <si>
    <t xml:space="preserve"> PAJNIC </t>
  </si>
  <si>
    <t xml:space="preserve"> Claude gil </t>
  </si>
  <si>
    <t xml:space="preserve"> KAMMERER </t>
  </si>
  <si>
    <t xml:space="preserve"> BOSC </t>
  </si>
  <si>
    <t xml:space="preserve"> DELBEE </t>
  </si>
  <si>
    <t xml:space="preserve"> BLOTAS </t>
  </si>
  <si>
    <t xml:space="preserve"> CALLET </t>
  </si>
  <si>
    <t xml:space="preserve"> IVALDI </t>
  </si>
  <si>
    <t xml:space="preserve"> JAKUBOWSKI </t>
  </si>
  <si>
    <t xml:space="preserve"> LESOING </t>
  </si>
  <si>
    <t xml:space="preserve"> Louis-marie </t>
  </si>
  <si>
    <t xml:space="preserve"> CONDETTE </t>
  </si>
  <si>
    <t xml:space="preserve"> GOULU </t>
  </si>
  <si>
    <t xml:space="preserve"> DERREY </t>
  </si>
  <si>
    <t xml:space="preserve"> TENNIS DE TABLE YSSINGELA </t>
  </si>
  <si>
    <t xml:space="preserve"> IGN AS </t>
  </si>
  <si>
    <t xml:space="preserve"> HATTE </t>
  </si>
  <si>
    <t xml:space="preserve"> MACLART </t>
  </si>
  <si>
    <t xml:space="preserve"> TOLEDANO </t>
  </si>
  <si>
    <t xml:space="preserve"> Abraham </t>
  </si>
  <si>
    <t xml:space="preserve"> Tennis de Table en Pays V </t>
  </si>
  <si>
    <t xml:space="preserve"> LAMOURIC </t>
  </si>
  <si>
    <t xml:space="preserve"> Stéphan </t>
  </si>
  <si>
    <t xml:space="preserve"> Jean-Pierre </t>
  </si>
  <si>
    <t xml:space="preserve"> CRETU </t>
  </si>
  <si>
    <t xml:space="preserve"> LEGERE </t>
  </si>
  <si>
    <t xml:space="preserve"> LA CHATILLONNAISE TENNIS </t>
  </si>
  <si>
    <t xml:space="preserve"> MAINNEMARRE </t>
  </si>
  <si>
    <t xml:space="preserve"> VILLEREAU CDJ </t>
  </si>
  <si>
    <t xml:space="preserve"> NERFIE </t>
  </si>
  <si>
    <t xml:space="preserve"> KREMLIN BICETRE US </t>
  </si>
  <si>
    <t xml:space="preserve"> COUDRAIS </t>
  </si>
  <si>
    <t xml:space="preserve"> MADIC </t>
  </si>
  <si>
    <t xml:space="preserve"> TIRMARCHE </t>
  </si>
  <si>
    <t xml:space="preserve"> SIMONIN </t>
  </si>
  <si>
    <t xml:space="preserve"> AMICALE PONGISTE BOUCLANS </t>
  </si>
  <si>
    <t xml:space="preserve"> LONGCHAL </t>
  </si>
  <si>
    <t xml:space="preserve"> GONTIER </t>
  </si>
  <si>
    <t xml:space="preserve"> LEVALLET </t>
  </si>
  <si>
    <t xml:space="preserve"> PETRONELLI </t>
  </si>
  <si>
    <t xml:space="preserve"> ARCIL </t>
  </si>
  <si>
    <t xml:space="preserve"> MOBUCHON </t>
  </si>
  <si>
    <t xml:space="preserve"> SECEMBER </t>
  </si>
  <si>
    <t xml:space="preserve"> THOER </t>
  </si>
  <si>
    <t xml:space="preserve"> RUDY </t>
  </si>
  <si>
    <t xml:space="preserve"> BRICHET </t>
  </si>
  <si>
    <t xml:space="preserve"> HATCHADOURIAN </t>
  </si>
  <si>
    <t xml:space="preserve"> BALANCE </t>
  </si>
  <si>
    <t xml:space="preserve"> TT REVEL-LAURAGAIS </t>
  </si>
  <si>
    <t xml:space="preserve"> BAUDINET </t>
  </si>
  <si>
    <t xml:space="preserve"> Georgie </t>
  </si>
  <si>
    <t xml:space="preserve"> TETART </t>
  </si>
  <si>
    <t xml:space="preserve"> DEBRABANDERE </t>
  </si>
  <si>
    <t xml:space="preserve"> ARGUEL </t>
  </si>
  <si>
    <t xml:space="preserve"> MONTSOULT USMBM </t>
  </si>
  <si>
    <t xml:space="preserve"> POUZET </t>
  </si>
  <si>
    <t xml:space="preserve"> RABEAU </t>
  </si>
  <si>
    <t xml:space="preserve"> DYMUS </t>
  </si>
  <si>
    <t xml:space="preserve"> ANDRIEUX </t>
  </si>
  <si>
    <t xml:space="preserve"> KORNIAGO </t>
  </si>
  <si>
    <t xml:space="preserve"> VERBAUWHEDE </t>
  </si>
  <si>
    <t xml:space="preserve"> POC </t>
  </si>
  <si>
    <t xml:space="preserve"> MAGNANVILLE ES </t>
  </si>
  <si>
    <t xml:space="preserve"> VILLEMIN </t>
  </si>
  <si>
    <t xml:space="preserve"> BIRY </t>
  </si>
  <si>
    <t xml:space="preserve"> FORCÉ US </t>
  </si>
  <si>
    <t xml:space="preserve"> NAEGELE </t>
  </si>
  <si>
    <t xml:space="preserve"> POCHIC </t>
  </si>
  <si>
    <t xml:space="preserve"> STADE LOUPEEN </t>
  </si>
  <si>
    <t xml:space="preserve"> LEGOUBEY </t>
  </si>
  <si>
    <t xml:space="preserve"> HAUSER </t>
  </si>
  <si>
    <t xml:space="preserve"> VANHOVE </t>
  </si>
  <si>
    <t xml:space="preserve"> MILLE </t>
  </si>
  <si>
    <t xml:space="preserve"> RANDRIANIVOSOA </t>
  </si>
  <si>
    <t xml:space="preserve"> Paul Bert </t>
  </si>
  <si>
    <t xml:space="preserve"> SOUVERAIN </t>
  </si>
  <si>
    <t xml:space="preserve"> HAUFF </t>
  </si>
  <si>
    <t xml:space="preserve"> POTTIEZ </t>
  </si>
  <si>
    <t xml:space="preserve"> PORCHEVILLE AS </t>
  </si>
  <si>
    <t xml:space="preserve"> VI </t>
  </si>
  <si>
    <t xml:space="preserve"> Van chou </t>
  </si>
  <si>
    <t xml:space="preserve"> CONTESSA </t>
  </si>
  <si>
    <t xml:space="preserve"> Massimo </t>
  </si>
  <si>
    <t xml:space="preserve"> DAMEY </t>
  </si>
  <si>
    <t xml:space="preserve"> TT BRIVADOIS </t>
  </si>
  <si>
    <t xml:space="preserve"> BOTTON </t>
  </si>
  <si>
    <t xml:space="preserve"> LOURO </t>
  </si>
  <si>
    <t xml:space="preserve"> ST GERMAIN LES CORBEIL AC </t>
  </si>
  <si>
    <t xml:space="preserve"> FERANT </t>
  </si>
  <si>
    <t xml:space="preserve"> BLOMME </t>
  </si>
  <si>
    <t xml:space="preserve"> LEBESLE </t>
  </si>
  <si>
    <t xml:space="preserve"> LE MELINAIDRE </t>
  </si>
  <si>
    <t xml:space="preserve"> CTT VANNES MÉNIMUR </t>
  </si>
  <si>
    <t xml:space="preserve"> MERIOT </t>
  </si>
  <si>
    <t xml:space="preserve"> FENART </t>
  </si>
  <si>
    <t xml:space="preserve"> CHAILLOUX </t>
  </si>
  <si>
    <t xml:space="preserve"> A.T.T. PREVERANGES </t>
  </si>
  <si>
    <t xml:space="preserve"> MONJOU </t>
  </si>
  <si>
    <t xml:space="preserve"> ROSSEL </t>
  </si>
  <si>
    <t xml:space="preserve"> VILEY </t>
  </si>
  <si>
    <t xml:space="preserve"> DEMEESTERE </t>
  </si>
  <si>
    <t xml:space="preserve"> HAISNES-HULLUCH TT </t>
  </si>
  <si>
    <t xml:space="preserve"> LIARD </t>
  </si>
  <si>
    <t xml:space="preserve"> REBOUCO </t>
  </si>
  <si>
    <t xml:space="preserve"> ANSAUVILLERS TT </t>
  </si>
  <si>
    <t xml:space="preserve"> OPEZZO </t>
  </si>
  <si>
    <t xml:space="preserve"> AMBROISE </t>
  </si>
  <si>
    <t xml:space="preserve"> HOISNARD </t>
  </si>
  <si>
    <t xml:space="preserve"> GORNET </t>
  </si>
  <si>
    <t xml:space="preserve"> SALIER </t>
  </si>
  <si>
    <t xml:space="preserve"> BADUEL </t>
  </si>
  <si>
    <t xml:space="preserve"> PETYT </t>
  </si>
  <si>
    <t xml:space="preserve"> RIBAIL </t>
  </si>
  <si>
    <t xml:space="preserve"> VAULX-MILIEU TT </t>
  </si>
  <si>
    <t xml:space="preserve"> Hien </t>
  </si>
  <si>
    <t xml:space="preserve"> DURET </t>
  </si>
  <si>
    <t xml:space="preserve"> CAPITAINE </t>
  </si>
  <si>
    <t xml:space="preserve"> JACQUEMIN </t>
  </si>
  <si>
    <t xml:space="preserve"> VERDUN S.A.V.T.T. </t>
  </si>
  <si>
    <t xml:space="preserve"> BREST </t>
  </si>
  <si>
    <t xml:space="preserve"> Guinal </t>
  </si>
  <si>
    <t xml:space="preserve"> BRACQ </t>
  </si>
  <si>
    <t xml:space="preserve"> CLARY TENNIS DE TABLE </t>
  </si>
  <si>
    <t xml:space="preserve"> VOILLOT </t>
  </si>
  <si>
    <t xml:space="preserve"> AVENANT </t>
  </si>
  <si>
    <t xml:space="preserve"> HEUGUET </t>
  </si>
  <si>
    <t xml:space="preserve"> LE DOUR </t>
  </si>
  <si>
    <t xml:space="preserve"> VAIDIE </t>
  </si>
  <si>
    <t xml:space="preserve"> POUSSARD </t>
  </si>
  <si>
    <t xml:space="preserve"> U.S FIDELAIRE TENNIS DE T </t>
  </si>
  <si>
    <t xml:space="preserve"> BARTZ </t>
  </si>
  <si>
    <t xml:space="preserve"> DEFASSIAU </t>
  </si>
  <si>
    <t xml:space="preserve"> DETOEUF </t>
  </si>
  <si>
    <t xml:space="preserve"> DEMACON </t>
  </si>
  <si>
    <t xml:space="preserve"> HOUVION </t>
  </si>
  <si>
    <t xml:space="preserve"> CLORY </t>
  </si>
  <si>
    <t xml:space="preserve"> HERINGER </t>
  </si>
  <si>
    <t xml:space="preserve"> BOUTI </t>
  </si>
  <si>
    <t xml:space="preserve"> Mokhtar </t>
  </si>
  <si>
    <t xml:space="preserve"> BURGUN </t>
  </si>
  <si>
    <t xml:space="preserve"> GOUSSET </t>
  </si>
  <si>
    <t xml:space="preserve"> DELPAS </t>
  </si>
  <si>
    <t xml:space="preserve"> SACHE </t>
  </si>
  <si>
    <t xml:space="preserve"> LIMOUZY </t>
  </si>
  <si>
    <t xml:space="preserve"> JEHLEN </t>
  </si>
  <si>
    <t xml:space="preserve"> MANDUEL ASTT </t>
  </si>
  <si>
    <t xml:space="preserve"> DOURLET </t>
  </si>
  <si>
    <t xml:space="preserve"> KELLE </t>
  </si>
  <si>
    <t xml:space="preserve"> BEZIER </t>
  </si>
  <si>
    <t xml:space="preserve"> HADIGNY FR TT </t>
  </si>
  <si>
    <t xml:space="preserve"> BOURNY </t>
  </si>
  <si>
    <t xml:space="preserve"> ROUSSEAUX </t>
  </si>
  <si>
    <t xml:space="preserve"> SPINCOURT A.T.T.S. </t>
  </si>
  <si>
    <t xml:space="preserve"> BAUDONNAT </t>
  </si>
  <si>
    <t xml:space="preserve"> ATT PUY-GUILLAUME </t>
  </si>
  <si>
    <t xml:space="preserve"> GROLLIER </t>
  </si>
  <si>
    <t xml:space="preserve"> ST FLORENT TENNIS DE TABL </t>
  </si>
  <si>
    <t xml:space="preserve"> JULLIOT </t>
  </si>
  <si>
    <t xml:space="preserve"> BEDET </t>
  </si>
  <si>
    <t xml:space="preserve"> ROUSSILLON </t>
  </si>
  <si>
    <t xml:space="preserve"> REAUTE </t>
  </si>
  <si>
    <t xml:space="preserve"> QUENSON </t>
  </si>
  <si>
    <t xml:space="preserve"> LEPINE </t>
  </si>
  <si>
    <t xml:space="preserve"> KOPKA </t>
  </si>
  <si>
    <t xml:space="preserve"> CAULIER </t>
  </si>
  <si>
    <t xml:space="preserve"> MAZURCZAK </t>
  </si>
  <si>
    <t xml:space="preserve"> CS ANDELYS </t>
  </si>
  <si>
    <t xml:space="preserve"> HOFF </t>
  </si>
  <si>
    <t xml:space="preserve"> VALENTIN </t>
  </si>
  <si>
    <t xml:space="preserve"> BIELLMANN </t>
  </si>
  <si>
    <t xml:space="preserve"> BERNIER </t>
  </si>
  <si>
    <t xml:space="preserve"> LE NOUY </t>
  </si>
  <si>
    <t xml:space="preserve"> KREMPSKI </t>
  </si>
  <si>
    <t xml:space="preserve"> BILLY MONTIGNY TT </t>
  </si>
  <si>
    <t xml:space="preserve"> RUDE </t>
  </si>
  <si>
    <t xml:space="preserve"> TT ST DENIS LES BOURG </t>
  </si>
  <si>
    <t xml:space="preserve"> SAVARY </t>
  </si>
  <si>
    <t xml:space="preserve"> Jeremie </t>
  </si>
  <si>
    <t xml:space="preserve"> DUCARRE </t>
  </si>
  <si>
    <t xml:space="preserve"> MC GINLEY </t>
  </si>
  <si>
    <t xml:space="preserve"> Jean Luc </t>
  </si>
  <si>
    <t xml:space="preserve"> GALLIEN </t>
  </si>
  <si>
    <t xml:space="preserve"> AMICALE CH.BLOIS </t>
  </si>
  <si>
    <t xml:space="preserve"> PISCOU </t>
  </si>
  <si>
    <t xml:space="preserve"> DEGOUILLES </t>
  </si>
  <si>
    <t xml:space="preserve"> LE CLOEREC </t>
  </si>
  <si>
    <t xml:space="preserve"> PERO </t>
  </si>
  <si>
    <t xml:space="preserve"> CHELOT </t>
  </si>
  <si>
    <t xml:space="preserve"> LUCU </t>
  </si>
  <si>
    <t xml:space="preserve"> FULBERT </t>
  </si>
  <si>
    <t xml:space="preserve"> Quoc tong </t>
  </si>
  <si>
    <t xml:space="preserve"> Jean-patrick </t>
  </si>
  <si>
    <t xml:space="preserve"> TATISCHEFF </t>
  </si>
  <si>
    <t xml:space="preserve"> VARENAS </t>
  </si>
  <si>
    <t xml:space="preserve"> BOHMKE </t>
  </si>
  <si>
    <t xml:space="preserve"> GAPAIX </t>
  </si>
  <si>
    <t xml:space="preserve"> DJELLOUT </t>
  </si>
  <si>
    <t xml:space="preserve"> SIZUN </t>
  </si>
  <si>
    <t xml:space="preserve"> GAIMON </t>
  </si>
  <si>
    <t xml:space="preserve"> A.P. ST SENOCH </t>
  </si>
  <si>
    <t xml:space="preserve"> DIAZ </t>
  </si>
  <si>
    <t xml:space="preserve"> LEGAT </t>
  </si>
  <si>
    <t xml:space="preserve"> DAUVEL </t>
  </si>
  <si>
    <t xml:space="preserve"> SENTGES </t>
  </si>
  <si>
    <t xml:space="preserve"> CP LECTOUROIS </t>
  </si>
  <si>
    <t xml:space="preserve"> MAVOÏAN </t>
  </si>
  <si>
    <t xml:space="preserve"> RINGARD </t>
  </si>
  <si>
    <t xml:space="preserve"> BRUNELLE </t>
  </si>
  <si>
    <t xml:space="preserve"> BOUZINCOURT PPC </t>
  </si>
  <si>
    <t xml:space="preserve"> PLACET </t>
  </si>
  <si>
    <t xml:space="preserve"> PRACHE </t>
  </si>
  <si>
    <t xml:space="preserve"> ROCHEL </t>
  </si>
  <si>
    <t xml:space="preserve"> HUGOO </t>
  </si>
  <si>
    <t xml:space="preserve"> PERALTA </t>
  </si>
  <si>
    <t xml:space="preserve"> ST ROMAIN DE JALIONAS </t>
  </si>
  <si>
    <t xml:space="preserve"> BLANCHOT </t>
  </si>
  <si>
    <t xml:space="preserve"> CREPY </t>
  </si>
  <si>
    <t xml:space="preserve"> REUILLE </t>
  </si>
  <si>
    <t xml:space="preserve"> PHOMMAVONG </t>
  </si>
  <si>
    <t xml:space="preserve"> Phouvone </t>
  </si>
  <si>
    <t xml:space="preserve"> LARCHER </t>
  </si>
  <si>
    <t xml:space="preserve"> LAYDERNIER </t>
  </si>
  <si>
    <t xml:space="preserve"> Club de Tennis de Table d </t>
  </si>
  <si>
    <t xml:space="preserve"> DEFONTAINE </t>
  </si>
  <si>
    <t xml:space="preserve"> GRAS </t>
  </si>
  <si>
    <t xml:space="preserve"> HAMBLAIN LES PRES TT </t>
  </si>
  <si>
    <t xml:space="preserve"> LEVIEUX </t>
  </si>
  <si>
    <t xml:space="preserve"> BOURRICAUD </t>
  </si>
  <si>
    <t xml:space="preserve"> AGNES </t>
  </si>
  <si>
    <t xml:space="preserve"> DOMINGUEZ </t>
  </si>
  <si>
    <t xml:space="preserve"> BELORGEY </t>
  </si>
  <si>
    <t xml:space="preserve"> COOREMAN </t>
  </si>
  <si>
    <t xml:space="preserve"> RICHARDOT </t>
  </si>
  <si>
    <t xml:space="preserve"> PATAUT </t>
  </si>
  <si>
    <t xml:space="preserve"> ST SULPICE ST MARTIN ASTT </t>
  </si>
  <si>
    <t xml:space="preserve"> GUERMEUR </t>
  </si>
  <si>
    <t xml:space="preserve"> Oxygène Entente Lagarde A </t>
  </si>
  <si>
    <t xml:space="preserve"> PIMOR </t>
  </si>
  <si>
    <t xml:space="preserve"> FERRON </t>
  </si>
  <si>
    <t xml:space="preserve"> DESAGE </t>
  </si>
  <si>
    <t xml:space="preserve"> St Severin Association Po </t>
  </si>
  <si>
    <t xml:space="preserve"> MATTHEY </t>
  </si>
  <si>
    <t xml:space="preserve"> KERHARO </t>
  </si>
  <si>
    <t xml:space="preserve"> Pierrig </t>
  </si>
  <si>
    <t xml:space="preserve"> C.P. PLEVINOIS </t>
  </si>
  <si>
    <t xml:space="preserve"> ST LEU ETOILE </t>
  </si>
  <si>
    <t xml:space="preserve"> ZARAGOZA </t>
  </si>
  <si>
    <t xml:space="preserve"> LACOSTE </t>
  </si>
  <si>
    <t xml:space="preserve"> HILAIRE </t>
  </si>
  <si>
    <t xml:space="preserve"> WENTZO </t>
  </si>
  <si>
    <t xml:space="preserve"> HERVIN </t>
  </si>
  <si>
    <t xml:space="preserve"> P.C. COLTAINVILLE TT. </t>
  </si>
  <si>
    <t xml:space="preserve"> SAUCE </t>
  </si>
  <si>
    <t xml:space="preserve"> CHARFE </t>
  </si>
  <si>
    <t xml:space="preserve"> MONNERIE </t>
  </si>
  <si>
    <t xml:space="preserve"> LAVIGNE </t>
  </si>
  <si>
    <t xml:space="preserve"> Francois-denis </t>
  </si>
  <si>
    <t xml:space="preserve"> Javier </t>
  </si>
  <si>
    <t xml:space="preserve"> TARTAR </t>
  </si>
  <si>
    <t xml:space="preserve"> FEILLAULT </t>
  </si>
  <si>
    <t xml:space="preserve"> C.P. VEIGNE </t>
  </si>
  <si>
    <t xml:space="preserve"> CAMBOULIVES </t>
  </si>
  <si>
    <t xml:space="preserve"> Charles-henri </t>
  </si>
  <si>
    <t xml:space="preserve"> GUILLOINEAU </t>
  </si>
  <si>
    <t xml:space="preserve"> BOURGE </t>
  </si>
  <si>
    <t xml:space="preserve"> Jean-Marie </t>
  </si>
  <si>
    <t xml:space="preserve"> PETAY </t>
  </si>
  <si>
    <t xml:space="preserve"> PIGELET </t>
  </si>
  <si>
    <t xml:space="preserve"> KHELIFI </t>
  </si>
  <si>
    <t xml:space="preserve"> Kamel </t>
  </si>
  <si>
    <t xml:space="preserve"> SVOBODA </t>
  </si>
  <si>
    <t xml:space="preserve"> Davor </t>
  </si>
  <si>
    <t xml:space="preserve"> BORDI </t>
  </si>
  <si>
    <t xml:space="preserve"> GOUYER </t>
  </si>
  <si>
    <t xml:space="preserve"> CANOHES TOULOUGES TENNIS </t>
  </si>
  <si>
    <t xml:space="preserve"> FAVARD </t>
  </si>
  <si>
    <t xml:space="preserve"> CHADEYRON </t>
  </si>
  <si>
    <t xml:space="preserve"> B.O. QUESTEMBERT </t>
  </si>
  <si>
    <t xml:space="preserve"> PPC CLEDEROIS </t>
  </si>
  <si>
    <t xml:space="preserve"> GUENIN </t>
  </si>
  <si>
    <t xml:space="preserve"> MILLON </t>
  </si>
  <si>
    <t xml:space="preserve"> DAUPHY </t>
  </si>
  <si>
    <t xml:space="preserve"> LA FERTE FRESNEL SPOTT </t>
  </si>
  <si>
    <t xml:space="preserve"> ABRAHAM </t>
  </si>
  <si>
    <t xml:space="preserve"> USSAC- US ST ABRAHAM </t>
  </si>
  <si>
    <t xml:space="preserve"> FILLOD </t>
  </si>
  <si>
    <t xml:space="preserve"> MONTORIO </t>
  </si>
  <si>
    <t xml:space="preserve"> COTISEL </t>
  </si>
  <si>
    <t xml:space="preserve"> Septimiu </t>
  </si>
  <si>
    <t xml:space="preserve"> ASPTT GRENOBLE T T </t>
  </si>
  <si>
    <t xml:space="preserve"> SAILLEY </t>
  </si>
  <si>
    <t xml:space="preserve"> MAREAU </t>
  </si>
  <si>
    <t xml:space="preserve"> VILLEMONT </t>
  </si>
  <si>
    <t xml:space="preserve"> GRELARD </t>
  </si>
  <si>
    <t xml:space="preserve"> TORTEVOIX </t>
  </si>
  <si>
    <t xml:space="preserve"> MAINEMARE </t>
  </si>
  <si>
    <t xml:space="preserve"> FLIPO </t>
  </si>
  <si>
    <t xml:space="preserve"> LHOMET </t>
  </si>
  <si>
    <t xml:space="preserve"> AUBE/CRULAI/L'AIGLE TT </t>
  </si>
  <si>
    <t xml:space="preserve"> MOUGEOT </t>
  </si>
  <si>
    <t xml:space="preserve"> LESTRADE </t>
  </si>
  <si>
    <t xml:space="preserve"> COVILLOT </t>
  </si>
  <si>
    <t xml:space="preserve"> ST PIERRE DU REGARD AS </t>
  </si>
  <si>
    <t xml:space="preserve"> ROUMEGOU </t>
  </si>
  <si>
    <t xml:space="preserve"> LEBORGNE </t>
  </si>
  <si>
    <t xml:space="preserve"> BOIS </t>
  </si>
  <si>
    <t xml:space="preserve"> BOHEAS </t>
  </si>
  <si>
    <t xml:space="preserve"> AMOUROUX </t>
  </si>
  <si>
    <t xml:space="preserve"> BULTHE </t>
  </si>
  <si>
    <t xml:space="preserve"> Christel </t>
  </si>
  <si>
    <t xml:space="preserve"> DEVAUX </t>
  </si>
  <si>
    <t xml:space="preserve"> GUEUGNON </t>
  </si>
  <si>
    <t xml:space="preserve"> TROTIN </t>
  </si>
  <si>
    <t xml:space="preserve"> HUYENH </t>
  </si>
  <si>
    <t xml:space="preserve"> Minh Hong </t>
  </si>
  <si>
    <t xml:space="preserve"> BRISCHOUX </t>
  </si>
  <si>
    <t xml:space="preserve"> HELLEOUET </t>
  </si>
  <si>
    <t xml:space="preserve"> GISOLO </t>
  </si>
  <si>
    <t xml:space="preserve"> EISCHEN </t>
  </si>
  <si>
    <t xml:space="preserve"> MOTREUIL </t>
  </si>
  <si>
    <t xml:space="preserve"> MARTIGNON </t>
  </si>
  <si>
    <t xml:space="preserve"> SERNA </t>
  </si>
  <si>
    <t xml:space="preserve"> AGGLO DREUX VERNOUILLET T </t>
  </si>
  <si>
    <t xml:space="preserve"> DEBLOCK </t>
  </si>
  <si>
    <t xml:space="preserve"> FEUVRAIS </t>
  </si>
  <si>
    <t xml:space="preserve"> CATALA </t>
  </si>
  <si>
    <t xml:space="preserve"> OSSLO </t>
  </si>
  <si>
    <t xml:space="preserve"> BOUISSON </t>
  </si>
  <si>
    <t xml:space="preserve"> GUYEN </t>
  </si>
  <si>
    <t xml:space="preserve"> JAECKEL </t>
  </si>
  <si>
    <t xml:space="preserve"> MARCHEBOUT </t>
  </si>
  <si>
    <t xml:space="preserve"> LAIGNÉ ASTT </t>
  </si>
  <si>
    <t xml:space="preserve"> MIGUELANEZ </t>
  </si>
  <si>
    <t xml:space="preserve"> CLAPIER </t>
  </si>
  <si>
    <t xml:space="preserve"> PEINADO </t>
  </si>
  <si>
    <t xml:space="preserve"> CHAPIN </t>
  </si>
  <si>
    <t xml:space="preserve"> PERRODIN </t>
  </si>
  <si>
    <t xml:space="preserve"> KACIMI </t>
  </si>
  <si>
    <t xml:space="preserve"> CLUB LOISIRS NOINTOTAIS </t>
  </si>
  <si>
    <t xml:space="preserve"> LAURENS </t>
  </si>
  <si>
    <t xml:space="preserve"> U.S. VERNOU SUR BRENNE </t>
  </si>
  <si>
    <t xml:space="preserve"> VIEAU </t>
  </si>
  <si>
    <t xml:space="preserve"> DEDOUCHE </t>
  </si>
  <si>
    <t xml:space="preserve"> KOWALCZUK </t>
  </si>
  <si>
    <t xml:space="preserve"> ROUZEL </t>
  </si>
  <si>
    <t xml:space="preserve"> Judikael </t>
  </si>
  <si>
    <t xml:space="preserve"> CORNET </t>
  </si>
  <si>
    <t xml:space="preserve"> DEFREMONT </t>
  </si>
  <si>
    <t xml:space="preserve"> HARDOIN </t>
  </si>
  <si>
    <t xml:space="preserve"> LAFOURCADE </t>
  </si>
  <si>
    <t xml:space="preserve"> LAVOISIER </t>
  </si>
  <si>
    <t xml:space="preserve"> BRIERE </t>
  </si>
  <si>
    <t xml:space="preserve"> MASSE </t>
  </si>
  <si>
    <t xml:space="preserve"> CORNE </t>
  </si>
  <si>
    <t xml:space="preserve"> CABIROU </t>
  </si>
  <si>
    <t xml:space="preserve"> CTT LE PUY - CHADRAC </t>
  </si>
  <si>
    <t xml:space="preserve"> GRENIER </t>
  </si>
  <si>
    <t xml:space="preserve"> DELANLSAYS </t>
  </si>
  <si>
    <t xml:space="preserve"> CHAMBOLLE </t>
  </si>
  <si>
    <t xml:space="preserve"> CASIEZ </t>
  </si>
  <si>
    <t xml:space="preserve"> KAH </t>
  </si>
  <si>
    <t xml:space="preserve"> TONNELIER </t>
  </si>
  <si>
    <t xml:space="preserve"> CARRIE </t>
  </si>
  <si>
    <t xml:space="preserve"> BUSNOT </t>
  </si>
  <si>
    <t xml:space="preserve"> DEBIEVE </t>
  </si>
  <si>
    <t xml:space="preserve"> Jean Jacques </t>
  </si>
  <si>
    <t xml:space="preserve"> MONSALLIER </t>
  </si>
  <si>
    <t xml:space="preserve"> LAKOMSKI </t>
  </si>
  <si>
    <t xml:space="preserve"> ROUSSET </t>
  </si>
  <si>
    <t xml:space="preserve"> ALLOUCH </t>
  </si>
  <si>
    <t xml:space="preserve"> PUGNAC TT CLUB </t>
  </si>
  <si>
    <t xml:space="preserve"> FARINA </t>
  </si>
  <si>
    <t xml:space="preserve"> ATT DRACENIE </t>
  </si>
  <si>
    <t xml:space="preserve"> LA ROSA </t>
  </si>
  <si>
    <t xml:space="preserve"> LEMARIE </t>
  </si>
  <si>
    <t xml:space="preserve"> CUFFIES LL </t>
  </si>
  <si>
    <t xml:space="preserve"> US PLAISANTINE TT </t>
  </si>
  <si>
    <t xml:space="preserve"> DUFAU </t>
  </si>
  <si>
    <t xml:space="preserve"> POINCELET </t>
  </si>
  <si>
    <t xml:space="preserve"> BERNE </t>
  </si>
  <si>
    <t xml:space="preserve"> F.R.ST JULIEN </t>
  </si>
  <si>
    <t xml:space="preserve"> GUINARD </t>
  </si>
  <si>
    <t xml:space="preserve"> BADET </t>
  </si>
  <si>
    <t xml:space="preserve"> DEMOUCHY </t>
  </si>
  <si>
    <t xml:space="preserve"> TT INCHEVILLE </t>
  </si>
  <si>
    <t xml:space="preserve"> FAUPIN </t>
  </si>
  <si>
    <t xml:space="preserve"> KEDZIORA </t>
  </si>
  <si>
    <t xml:space="preserve"> PERRUCHET </t>
  </si>
  <si>
    <t xml:space="preserve"> GUITTONNEAU </t>
  </si>
  <si>
    <t xml:space="preserve"> LAHURE </t>
  </si>
  <si>
    <t xml:space="preserve"> LIENARD GAILLARD </t>
  </si>
  <si>
    <t xml:space="preserve"> LE FEVRE </t>
  </si>
  <si>
    <t xml:space="preserve"> GONZALEZ </t>
  </si>
  <si>
    <t xml:space="preserve"> LECENNE </t>
  </si>
  <si>
    <t xml:space="preserve"> GOLFIER </t>
  </si>
  <si>
    <t xml:space="preserve"> AS TABANAC </t>
  </si>
  <si>
    <t xml:space="preserve"> REGAUDIE </t>
  </si>
  <si>
    <t xml:space="preserve"> PICON </t>
  </si>
  <si>
    <t xml:space="preserve"> LECAT </t>
  </si>
  <si>
    <t xml:space="preserve"> REGUER </t>
  </si>
  <si>
    <t xml:space="preserve"> LE COZ </t>
  </si>
  <si>
    <t xml:space="preserve"> LE BORLOCH </t>
  </si>
  <si>
    <t xml:space="preserve"> BERINO </t>
  </si>
  <si>
    <t xml:space="preserve"> OBLINGER </t>
  </si>
  <si>
    <t xml:space="preserve"> FREYMING-ST MAURICE CCL </t>
  </si>
  <si>
    <t xml:space="preserve"> BRU </t>
  </si>
  <si>
    <t xml:space="preserve"> GRAND </t>
  </si>
  <si>
    <t xml:space="preserve"> CHARBEAUX </t>
  </si>
  <si>
    <t xml:space="preserve"> HARLOT </t>
  </si>
  <si>
    <t xml:space="preserve"> ALMI </t>
  </si>
  <si>
    <t xml:space="preserve"> DEMENEZES </t>
  </si>
  <si>
    <t xml:space="preserve"> BOEZ </t>
  </si>
  <si>
    <t xml:space="preserve"> TT LA TOUR D'AUVERGNE </t>
  </si>
  <si>
    <t xml:space="preserve"> GRAVEY </t>
  </si>
  <si>
    <t xml:space="preserve"> EPEV LA TETE ET LES JAMBE </t>
  </si>
  <si>
    <t xml:space="preserve"> TANNIOU </t>
  </si>
  <si>
    <t xml:space="preserve"> Raynald </t>
  </si>
  <si>
    <t xml:space="preserve"> ADAMS </t>
  </si>
  <si>
    <t xml:space="preserve"> TREILLIERES A.L. </t>
  </si>
  <si>
    <t xml:space="preserve"> BELLEC </t>
  </si>
  <si>
    <t xml:space="preserve"> ANDRIANACIRANTO </t>
  </si>
  <si>
    <t xml:space="preserve"> Nirina </t>
  </si>
  <si>
    <t xml:space="preserve"> ARCUEIL ELAN </t>
  </si>
  <si>
    <t xml:space="preserve"> GUEBLE </t>
  </si>
  <si>
    <t xml:space="preserve"> GLAIS </t>
  </si>
  <si>
    <t xml:space="preserve"> LALES </t>
  </si>
  <si>
    <t xml:space="preserve"> Jean-sylvain </t>
  </si>
  <si>
    <t xml:space="preserve"> GERARDIE </t>
  </si>
  <si>
    <t xml:space="preserve"> DE LA CHAPELLE </t>
  </si>
  <si>
    <t xml:space="preserve"> CARDENIA </t>
  </si>
  <si>
    <t xml:space="preserve"> JAVION </t>
  </si>
  <si>
    <t xml:space="preserve"> HALLOUIN </t>
  </si>
  <si>
    <t xml:space="preserve"> GORISSE </t>
  </si>
  <si>
    <t xml:space="preserve"> CHARLIER </t>
  </si>
  <si>
    <t xml:space="preserve"> DZIZMEDIAN </t>
  </si>
  <si>
    <t xml:space="preserve"> LAVAUX </t>
  </si>
  <si>
    <t xml:space="preserve"> BASCOUL </t>
  </si>
  <si>
    <t xml:space="preserve"> TIERCE A.S.T.T. </t>
  </si>
  <si>
    <t xml:space="preserve"> CONTAL </t>
  </si>
  <si>
    <t xml:space="preserve"> A.P. PLUNERET/MERIADEC </t>
  </si>
  <si>
    <t xml:space="preserve"> MACORIG </t>
  </si>
  <si>
    <t xml:space="preserve"> DEGIEUX </t>
  </si>
  <si>
    <t xml:space="preserve"> T.T. LA GUIDELOISE </t>
  </si>
  <si>
    <t xml:space="preserve"> KASAL </t>
  </si>
  <si>
    <t xml:space="preserve"> HUTEAU </t>
  </si>
  <si>
    <t xml:space="preserve"> CHRISTINE </t>
  </si>
  <si>
    <t xml:space="preserve"> Fred </t>
  </si>
  <si>
    <t xml:space="preserve"> RONOT </t>
  </si>
  <si>
    <t xml:space="preserve"> ARMAND </t>
  </si>
  <si>
    <t xml:space="preserve"> VERMOT DE BOISROLIN </t>
  </si>
  <si>
    <t xml:space="preserve"> KUNZLI </t>
  </si>
  <si>
    <t xml:space="preserve"> COUILLAUD </t>
  </si>
  <si>
    <t xml:space="preserve"> Bourgneuf/St-Rogatien TT </t>
  </si>
  <si>
    <t xml:space="preserve"> ARGENTAN OL </t>
  </si>
  <si>
    <t xml:space="preserve"> DERIGON </t>
  </si>
  <si>
    <t xml:space="preserve"> KLINGHAMMER </t>
  </si>
  <si>
    <t xml:space="preserve"> ZOLOBODJEAN </t>
  </si>
  <si>
    <t xml:space="preserve"> LOIGNÉ Club Pongiste </t>
  </si>
  <si>
    <t xml:space="preserve"> RONDEPIERRE </t>
  </si>
  <si>
    <t xml:space="preserve"> GOGNAU </t>
  </si>
  <si>
    <t xml:space="preserve"> DOMENECH </t>
  </si>
  <si>
    <t xml:space="preserve"> MARSEILLAN TT </t>
  </si>
  <si>
    <t xml:space="preserve"> LESTANI </t>
  </si>
  <si>
    <t xml:space="preserve"> CHASSE </t>
  </si>
  <si>
    <t xml:space="preserve"> CHOLEAU </t>
  </si>
  <si>
    <t xml:space="preserve"> THERSSEN </t>
  </si>
  <si>
    <t xml:space="preserve"> DECOUT </t>
  </si>
  <si>
    <t xml:space="preserve"> SAINS RICHAUMONT TT </t>
  </si>
  <si>
    <t xml:space="preserve"> FLABBEE </t>
  </si>
  <si>
    <t xml:space="preserve"> C.A.SALLES LA SOURCE </t>
  </si>
  <si>
    <t xml:space="preserve"> DUNOU </t>
  </si>
  <si>
    <t xml:space="preserve"> BREFEL </t>
  </si>
  <si>
    <t xml:space="preserve"> HUMBERTCLAUDE </t>
  </si>
  <si>
    <t xml:space="preserve"> MARESCHE E.P. 138 </t>
  </si>
  <si>
    <t xml:space="preserve"> PALOMBO </t>
  </si>
  <si>
    <t xml:space="preserve"> DELISLE </t>
  </si>
  <si>
    <t xml:space="preserve"> CHAURAY </t>
  </si>
  <si>
    <t xml:space="preserve"> HELEINE </t>
  </si>
  <si>
    <t xml:space="preserve"> ALLEGRE </t>
  </si>
  <si>
    <t xml:space="preserve"> GOLDBRONN </t>
  </si>
  <si>
    <t xml:space="preserve"> DARDINIER </t>
  </si>
  <si>
    <t xml:space="preserve"> CTT FORCALQUEIRET </t>
  </si>
  <si>
    <t xml:space="preserve"> TROUTTET </t>
  </si>
  <si>
    <t xml:space="preserve"> CARUDEL </t>
  </si>
  <si>
    <t xml:space="preserve"> PIERRAT </t>
  </si>
  <si>
    <t xml:space="preserve"> SOEUNG </t>
  </si>
  <si>
    <t xml:space="preserve"> MOLINA </t>
  </si>
  <si>
    <t xml:space="preserve"> DILLIES </t>
  </si>
  <si>
    <t xml:space="preserve"> Thibault </t>
  </si>
  <si>
    <t xml:space="preserve"> KRECIS </t>
  </si>
  <si>
    <t xml:space="preserve"> DEMANDE </t>
  </si>
  <si>
    <t xml:space="preserve"> BETOUX </t>
  </si>
  <si>
    <t xml:space="preserve"> BRIERE T.T. </t>
  </si>
  <si>
    <t xml:space="preserve"> HERMOUET </t>
  </si>
  <si>
    <t xml:space="preserve"> CUREC </t>
  </si>
  <si>
    <t xml:space="preserve"> COURANT </t>
  </si>
  <si>
    <t xml:space="preserve"> VERNANTES Reveil Vernanta </t>
  </si>
  <si>
    <t xml:space="preserve"> KERAVEN </t>
  </si>
  <si>
    <t xml:space="preserve"> Médéric </t>
  </si>
  <si>
    <t xml:space="preserve"> BENKHIAT </t>
  </si>
  <si>
    <t xml:space="preserve"> Saad </t>
  </si>
  <si>
    <t xml:space="preserve"> ORMOY Tennis de Table </t>
  </si>
  <si>
    <t xml:space="preserve"> ST QUENTIN / HARLY ASPTT </t>
  </si>
  <si>
    <t xml:space="preserve"> LENORMAND </t>
  </si>
  <si>
    <t xml:space="preserve"> GREZET </t>
  </si>
  <si>
    <t xml:space="preserve"> BAUGY TENNIS DE TABLE </t>
  </si>
  <si>
    <t xml:space="preserve"> LE MEUR </t>
  </si>
  <si>
    <t xml:space="preserve"> CASSIAU </t>
  </si>
  <si>
    <t xml:space="preserve"> BURGEVIN </t>
  </si>
  <si>
    <t xml:space="preserve"> ANDRES </t>
  </si>
  <si>
    <t xml:space="preserve"> VAN DE MEERSSCHE </t>
  </si>
  <si>
    <t xml:space="preserve"> BRETTEVILLE SUR LAIZE EVC </t>
  </si>
  <si>
    <t xml:space="preserve"> LANDAT </t>
  </si>
  <si>
    <t xml:space="preserve"> Fréderic </t>
  </si>
  <si>
    <t xml:space="preserve"> HENRIQUES </t>
  </si>
  <si>
    <t xml:space="preserve"> SERGENT </t>
  </si>
  <si>
    <t xml:space="preserve"> PERONNE TT </t>
  </si>
  <si>
    <t xml:space="preserve"> JEUNOT </t>
  </si>
  <si>
    <t xml:space="preserve"> REYNAERT </t>
  </si>
  <si>
    <t xml:space="preserve"> JALLET </t>
  </si>
  <si>
    <t xml:space="preserve"> QUINCHARD </t>
  </si>
  <si>
    <t xml:space="preserve"> LORAND </t>
  </si>
  <si>
    <t xml:space="preserve"> BOUILLY </t>
  </si>
  <si>
    <t xml:space="preserve"> PICAUT </t>
  </si>
  <si>
    <t xml:space="preserve"> TOMPS </t>
  </si>
  <si>
    <t xml:space="preserve"> HOARAU </t>
  </si>
  <si>
    <t xml:space="preserve"> LANGLOIS </t>
  </si>
  <si>
    <t xml:space="preserve"> BLOCH </t>
  </si>
  <si>
    <t xml:space="preserve"> Jean-francis </t>
  </si>
  <si>
    <t xml:space="preserve"> LEMAITRE </t>
  </si>
  <si>
    <t xml:space="preserve"> ZUNINO </t>
  </si>
  <si>
    <t xml:space="preserve"> PING PONG CLUB DIEULEFITO </t>
  </si>
  <si>
    <t xml:space="preserve"> LE FLOCH </t>
  </si>
  <si>
    <t xml:space="preserve"> TEISSIER </t>
  </si>
  <si>
    <t xml:space="preserve"> ROUCHER </t>
  </si>
  <si>
    <t xml:space="preserve"> LOOBUYCK </t>
  </si>
  <si>
    <t xml:space="preserve"> WINTERSTAN </t>
  </si>
  <si>
    <t xml:space="preserve"> LANDOLFINI </t>
  </si>
  <si>
    <t xml:space="preserve"> LOMBREZ </t>
  </si>
  <si>
    <t xml:space="preserve"> SIDDEEK </t>
  </si>
  <si>
    <t xml:space="preserve"> Rilwan </t>
  </si>
  <si>
    <t xml:space="preserve"> DOURSENAUD </t>
  </si>
  <si>
    <t xml:space="preserve"> KERLOCH </t>
  </si>
  <si>
    <t xml:space="preserve"> FAGE </t>
  </si>
  <si>
    <t xml:space="preserve"> 339A1048 </t>
  </si>
  <si>
    <t xml:space="preserve"> AMICALE PONGISTE DU MOULE </t>
  </si>
  <si>
    <t xml:space="preserve"> ASCEE </t>
  </si>
  <si>
    <t xml:space="preserve"> HEGRON </t>
  </si>
  <si>
    <t xml:space="preserve"> ENTENTE PONGISTE SUD LOIR </t>
  </si>
  <si>
    <t xml:space="preserve"> VERHAEGHE </t>
  </si>
  <si>
    <t xml:space="preserve"> ROMMENS </t>
  </si>
  <si>
    <t xml:space="preserve"> ASTT BAILLEAU LE PIN </t>
  </si>
  <si>
    <t xml:space="preserve"> GRIENENBERGER </t>
  </si>
  <si>
    <t xml:space="preserve"> Andre pierre </t>
  </si>
  <si>
    <t xml:space="preserve"> ESCHAU CTT </t>
  </si>
  <si>
    <t xml:space="preserve"> VASSEAUX </t>
  </si>
  <si>
    <t xml:space="preserve"> LE GRAET </t>
  </si>
  <si>
    <t xml:space="preserve"> VERSOL </t>
  </si>
  <si>
    <t xml:space="preserve"> PRADAL </t>
  </si>
  <si>
    <t xml:space="preserve"> HAZELL </t>
  </si>
  <si>
    <t xml:space="preserve"> VALLA </t>
  </si>
  <si>
    <t xml:space="preserve"> PATTI </t>
  </si>
  <si>
    <t xml:space="preserve"> Armel </t>
  </si>
  <si>
    <t xml:space="preserve"> MORICARD </t>
  </si>
  <si>
    <t xml:space="preserve"> Saint Cyprien Tennis de T </t>
  </si>
  <si>
    <t xml:space="preserve"> BAEY </t>
  </si>
  <si>
    <t xml:space="preserve"> HOUPLINES AC </t>
  </si>
  <si>
    <t xml:space="preserve"> TAICLET </t>
  </si>
  <si>
    <t xml:space="preserve"> ADNET </t>
  </si>
  <si>
    <t xml:space="preserve"> GOINCOURT Tennis de Table </t>
  </si>
  <si>
    <t xml:space="preserve"> MACAVOY </t>
  </si>
  <si>
    <t xml:space="preserve"> LOGEROT </t>
  </si>
  <si>
    <t xml:space="preserve"> NYBERG </t>
  </si>
  <si>
    <t xml:space="preserve"> RIVIER </t>
  </si>
  <si>
    <t xml:space="preserve"> HALLIER </t>
  </si>
  <si>
    <t xml:space="preserve"> MARIGNAN </t>
  </si>
  <si>
    <t xml:space="preserve"> ORLY AS </t>
  </si>
  <si>
    <t xml:space="preserve"> GASQUE </t>
  </si>
  <si>
    <t xml:space="preserve"> SERVEL </t>
  </si>
  <si>
    <t xml:space="preserve"> PUTOT </t>
  </si>
  <si>
    <t xml:space="preserve"> BOUCHUT </t>
  </si>
  <si>
    <t xml:space="preserve"> PELLICIOLI </t>
  </si>
  <si>
    <t xml:space="preserve"> SARKAMARI </t>
  </si>
  <si>
    <t xml:space="preserve"> TIXIER </t>
  </si>
  <si>
    <t xml:space="preserve"> ACHIN </t>
  </si>
  <si>
    <t xml:space="preserve"> SAIM </t>
  </si>
  <si>
    <t xml:space="preserve"> Miliani </t>
  </si>
  <si>
    <t xml:space="preserve"> FENAERT </t>
  </si>
  <si>
    <t xml:space="preserve"> GARSAULT </t>
  </si>
  <si>
    <t xml:space="preserve"> TT CHAROST </t>
  </si>
  <si>
    <t xml:space="preserve"> SEBAN </t>
  </si>
  <si>
    <t xml:space="preserve"> TURCHETTA </t>
  </si>
  <si>
    <t xml:space="preserve"> LECOQ-DUPUICH </t>
  </si>
  <si>
    <t xml:space="preserve"> BAZOT </t>
  </si>
  <si>
    <t xml:space="preserve"> COMMENTRY TENNIS DE TABLE </t>
  </si>
  <si>
    <t xml:space="preserve"> SOTTO </t>
  </si>
  <si>
    <t xml:space="preserve"> JOUAN </t>
  </si>
  <si>
    <t xml:space="preserve"> BURLIN </t>
  </si>
  <si>
    <t xml:space="preserve"> Foyer Rural TT CHEVENON </t>
  </si>
  <si>
    <t xml:space="preserve"> BERETTA </t>
  </si>
  <si>
    <t xml:space="preserve"> TAUDOU </t>
  </si>
  <si>
    <t xml:space="preserve"> Paul serge </t>
  </si>
  <si>
    <t xml:space="preserve"> FREITAG </t>
  </si>
  <si>
    <t xml:space="preserve"> Roman </t>
  </si>
  <si>
    <t xml:space="preserve"> MARCANET </t>
  </si>
  <si>
    <t xml:space="preserve"> DEHENNE </t>
  </si>
  <si>
    <t xml:space="preserve"> NORMANT </t>
  </si>
  <si>
    <t xml:space="preserve"> DELVAUX </t>
  </si>
  <si>
    <t xml:space="preserve"> DEKOWSKI </t>
  </si>
  <si>
    <t xml:space="preserve"> ENAUX </t>
  </si>
  <si>
    <t xml:space="preserve"> ROYANT </t>
  </si>
  <si>
    <t xml:space="preserve"> PONGISTES DE COMBRAY </t>
  </si>
  <si>
    <t xml:space="preserve"> MAUREY </t>
  </si>
  <si>
    <t xml:space="preserve"> BABAKAN </t>
  </si>
  <si>
    <t xml:space="preserve"> AS FONTAINE </t>
  </si>
  <si>
    <t xml:space="preserve"> BARDAY </t>
  </si>
  <si>
    <t xml:space="preserve"> STEPIEN </t>
  </si>
  <si>
    <t xml:space="preserve"> Dimitri </t>
  </si>
  <si>
    <t xml:space="preserve"> TORFOU Vaillants </t>
  </si>
  <si>
    <t xml:space="preserve"> FIQUET </t>
  </si>
  <si>
    <t xml:space="preserve"> ASC TOUSSAINT TT </t>
  </si>
  <si>
    <t xml:space="preserve"> HAUTIERE </t>
  </si>
  <si>
    <t xml:space="preserve"> GAUTRAIN </t>
  </si>
  <si>
    <t xml:space="preserve"> MERCELOT </t>
  </si>
  <si>
    <t xml:space="preserve"> FISCHER </t>
  </si>
  <si>
    <t xml:space="preserve"> BOUYSSIER </t>
  </si>
  <si>
    <t xml:space="preserve"> DUC DODON </t>
  </si>
  <si>
    <t xml:space="preserve"> MONTIGNY AS </t>
  </si>
  <si>
    <t xml:space="preserve"> ESCANDE </t>
  </si>
  <si>
    <t xml:space="preserve"> CRAVREUL </t>
  </si>
  <si>
    <t xml:space="preserve"> DUHIN </t>
  </si>
  <si>
    <t xml:space="preserve"> ELBAZ </t>
  </si>
  <si>
    <t xml:space="preserve"> LE BRUN </t>
  </si>
  <si>
    <t xml:space="preserve"> LEFAVRAIS </t>
  </si>
  <si>
    <t xml:space="preserve"> LAINEZ </t>
  </si>
  <si>
    <t xml:space="preserve"> ST PRIX ASTT </t>
  </si>
  <si>
    <t xml:space="preserve"> DUBREUCQ </t>
  </si>
  <si>
    <t xml:space="preserve"> GASPARD </t>
  </si>
  <si>
    <t xml:space="preserve"> VATH VIELHA TT </t>
  </si>
  <si>
    <t xml:space="preserve"> Jean-philip </t>
  </si>
  <si>
    <t xml:space="preserve"> GUALANDRIS </t>
  </si>
  <si>
    <t xml:space="preserve"> LANIEL </t>
  </si>
  <si>
    <t xml:space="preserve"> CHARPY </t>
  </si>
  <si>
    <t xml:space="preserve"> PASCO </t>
  </si>
  <si>
    <t xml:space="preserve"> PLOURAY TENNIS DE TABLE </t>
  </si>
  <si>
    <t xml:space="preserve"> BELMONT </t>
  </si>
  <si>
    <t xml:space="preserve"> ASSIE </t>
  </si>
  <si>
    <t xml:space="preserve"> PIERDON </t>
  </si>
  <si>
    <t xml:space="preserve"> JARRIGE </t>
  </si>
  <si>
    <t xml:space="preserve"> KERRIEN </t>
  </si>
  <si>
    <t xml:space="preserve"> GOUEZ </t>
  </si>
  <si>
    <t xml:space="preserve"> Jean-hervé </t>
  </si>
  <si>
    <t xml:space="preserve"> BEUSCART </t>
  </si>
  <si>
    <t xml:space="preserve"> CHRISTOPHE </t>
  </si>
  <si>
    <t xml:space="preserve"> LAFFICHE </t>
  </si>
  <si>
    <t xml:space="preserve"> GUTIEREZ </t>
  </si>
  <si>
    <t xml:space="preserve"> CLAUSSIN </t>
  </si>
  <si>
    <t xml:space="preserve"> MEILHAC </t>
  </si>
  <si>
    <t xml:space="preserve"> SAINDRENAN </t>
  </si>
  <si>
    <t xml:space="preserve"> Jean-danyel </t>
  </si>
  <si>
    <t xml:space="preserve"> ST MEDARD DE MUSSIDAN TT </t>
  </si>
  <si>
    <t xml:space="preserve"> AUDOUSSET </t>
  </si>
  <si>
    <t xml:space="preserve"> DUPIN </t>
  </si>
  <si>
    <t xml:space="preserve"> DI GIACOMO </t>
  </si>
  <si>
    <t xml:space="preserve"> VALLENARI </t>
  </si>
  <si>
    <t xml:space="preserve"> Rito </t>
  </si>
  <si>
    <t xml:space="preserve"> DÉSERTINES ASTT </t>
  </si>
  <si>
    <t xml:space="preserve"> MAXIME </t>
  </si>
  <si>
    <t xml:space="preserve"> SCIAUDEAU </t>
  </si>
  <si>
    <t xml:space="preserve"> TURBERGUE </t>
  </si>
  <si>
    <t xml:space="preserve"> SAINT GERMAIN TUE </t>
  </si>
  <si>
    <t xml:space="preserve"> KERNIN </t>
  </si>
  <si>
    <t xml:space="preserve"> VENTURI </t>
  </si>
  <si>
    <t xml:space="preserve"> KOEHL </t>
  </si>
  <si>
    <t xml:space="preserve"> KRUST </t>
  </si>
  <si>
    <t xml:space="preserve"> SOTERAS </t>
  </si>
  <si>
    <t xml:space="preserve"> FOURREAU </t>
  </si>
  <si>
    <t xml:space="preserve"> BLAIN </t>
  </si>
  <si>
    <t xml:space="preserve"> PAWLIK </t>
  </si>
  <si>
    <t xml:space="preserve"> GEORGET </t>
  </si>
  <si>
    <t xml:space="preserve"> BUKOWIECKI </t>
  </si>
  <si>
    <t xml:space="preserve"> BEAURIN </t>
  </si>
  <si>
    <t xml:space="preserve"> US RAQUETTE ENTRAIGUOISE </t>
  </si>
  <si>
    <t xml:space="preserve"> DRIEUX </t>
  </si>
  <si>
    <t xml:space="preserve"> CAMACHO </t>
  </si>
  <si>
    <t xml:space="preserve"> COUTURE </t>
  </si>
  <si>
    <t xml:space="preserve"> WILLIG </t>
  </si>
  <si>
    <t xml:space="preserve"> ALGLAVE </t>
  </si>
  <si>
    <t xml:space="preserve"> CORNEAU </t>
  </si>
  <si>
    <t xml:space="preserve"> Yan </t>
  </si>
  <si>
    <t xml:space="preserve"> PAYA </t>
  </si>
  <si>
    <t xml:space="preserve"> GRILLET </t>
  </si>
  <si>
    <t xml:space="preserve"> DAVIAS </t>
  </si>
  <si>
    <t xml:space="preserve"> GADAY </t>
  </si>
  <si>
    <t xml:space="preserve"> TOURELLE </t>
  </si>
  <si>
    <t xml:space="preserve"> BAILLY NOISY ASTT </t>
  </si>
  <si>
    <t xml:space="preserve"> MONCIARDINI </t>
  </si>
  <si>
    <t xml:space="preserve"> CLEACH </t>
  </si>
  <si>
    <t xml:space="preserve"> DJOULFAYAN </t>
  </si>
  <si>
    <t xml:space="preserve"> DAIRAINE </t>
  </si>
  <si>
    <t xml:space="preserve"> CANCHY ASC </t>
  </si>
  <si>
    <t xml:space="preserve"> ISABEL </t>
  </si>
  <si>
    <t xml:space="preserve"> MOREIRA </t>
  </si>
  <si>
    <t xml:space="preserve"> DADONVILLE TT </t>
  </si>
  <si>
    <t xml:space="preserve"> GIROUX </t>
  </si>
  <si>
    <t xml:space="preserve"> FORT </t>
  </si>
  <si>
    <t xml:space="preserve"> DELMAS </t>
  </si>
  <si>
    <t xml:space="preserve"> U.S. ISSOIRE TT </t>
  </si>
  <si>
    <t xml:space="preserve"> ROLLIN </t>
  </si>
  <si>
    <t xml:space="preserve"> OUK </t>
  </si>
  <si>
    <t xml:space="preserve"> Vibol </t>
  </si>
  <si>
    <t xml:space="preserve"> CHEVENEMENT </t>
  </si>
  <si>
    <t xml:space="preserve"> PEREY </t>
  </si>
  <si>
    <t xml:space="preserve"> RIVERA </t>
  </si>
  <si>
    <t xml:space="preserve"> BERGEROT </t>
  </si>
  <si>
    <t xml:space="preserve"> FILIO </t>
  </si>
  <si>
    <t xml:space="preserve"> JOUTEUX </t>
  </si>
  <si>
    <t xml:space="preserve"> BRIMUSSE </t>
  </si>
  <si>
    <t xml:space="preserve"> MOUY EP USD </t>
  </si>
  <si>
    <t xml:space="preserve"> GEORGE </t>
  </si>
  <si>
    <t xml:space="preserve"> GROCH </t>
  </si>
  <si>
    <t xml:space="preserve"> JURDZINSKI </t>
  </si>
  <si>
    <t xml:space="preserve"> DEBENATH </t>
  </si>
  <si>
    <t xml:space="preserve"> LAUTENBACH SCHWEIGHOUSE U </t>
  </si>
  <si>
    <t xml:space="preserve"> MANISSOL </t>
  </si>
  <si>
    <t xml:space="preserve"> BOSCHER </t>
  </si>
  <si>
    <t xml:space="preserve"> PAUL </t>
  </si>
  <si>
    <t xml:space="preserve"> CHAPPET </t>
  </si>
  <si>
    <t xml:space="preserve"> SARTRAND </t>
  </si>
  <si>
    <t xml:space="preserve"> ANFOSSO </t>
  </si>
  <si>
    <t xml:space="preserve"> Jean robert </t>
  </si>
  <si>
    <t xml:space="preserve"> DELOBEL </t>
  </si>
  <si>
    <t xml:space="preserve"> LALOUX </t>
  </si>
  <si>
    <t xml:space="preserve"> SEVIN </t>
  </si>
  <si>
    <t xml:space="preserve"> LE CREFF </t>
  </si>
  <si>
    <t xml:space="preserve"> ORLY NORD ASAF </t>
  </si>
  <si>
    <t xml:space="preserve"> PIQUE </t>
  </si>
  <si>
    <t xml:space="preserve"> MORIEUX </t>
  </si>
  <si>
    <t xml:space="preserve"> CATENNE </t>
  </si>
  <si>
    <t xml:space="preserve"> TOREAU </t>
  </si>
  <si>
    <t xml:space="preserve"> BRISSARD </t>
  </si>
  <si>
    <t xml:space="preserve"> STAERCK </t>
  </si>
  <si>
    <t xml:space="preserve"> ROBINET </t>
  </si>
  <si>
    <t xml:space="preserve"> ROSSEEUW </t>
  </si>
  <si>
    <t xml:space="preserve"> FENOUILLERE </t>
  </si>
  <si>
    <t xml:space="preserve"> Mauléon Trinitaires TT </t>
  </si>
  <si>
    <t xml:space="preserve"> BENBASSAT </t>
  </si>
  <si>
    <t xml:space="preserve"> NEEL </t>
  </si>
  <si>
    <t xml:space="preserve"> HUCHON-SIENNE </t>
  </si>
  <si>
    <t xml:space="preserve"> BOUCRE </t>
  </si>
  <si>
    <t xml:space="preserve"> VANOVERBERGHE </t>
  </si>
  <si>
    <t xml:space="preserve"> Dan </t>
  </si>
  <si>
    <t xml:space="preserve"> GESLAIN </t>
  </si>
  <si>
    <t xml:space="preserve"> COURTONNE </t>
  </si>
  <si>
    <t xml:space="preserve"> ROBYN </t>
  </si>
  <si>
    <t xml:space="preserve"> COQUAIS </t>
  </si>
  <si>
    <t xml:space="preserve"> CHAPUIS </t>
  </si>
  <si>
    <t xml:space="preserve"> FJEP DOUVILLE SUR ANDELLE </t>
  </si>
  <si>
    <t xml:space="preserve"> FOURRE </t>
  </si>
  <si>
    <t xml:space="preserve"> LEBEAU </t>
  </si>
  <si>
    <t xml:space="preserve"> MOUTEAU </t>
  </si>
  <si>
    <t xml:space="preserve"> DEBROISE </t>
  </si>
  <si>
    <t xml:space="preserve"> LUNEAU </t>
  </si>
  <si>
    <t xml:space="preserve"> DE PAEPE </t>
  </si>
  <si>
    <t xml:space="preserve"> Marc-antoine </t>
  </si>
  <si>
    <t xml:space="preserve"> PELLEGRINI </t>
  </si>
  <si>
    <t xml:space="preserve"> MAURIN </t>
  </si>
  <si>
    <t xml:space="preserve"> PIGNET </t>
  </si>
  <si>
    <t xml:space="preserve"> DUPORGE </t>
  </si>
  <si>
    <t xml:space="preserve"> GALL </t>
  </si>
  <si>
    <t xml:space="preserve"> RIVALLAND </t>
  </si>
  <si>
    <t xml:space="preserve"> OZENNE </t>
  </si>
  <si>
    <t xml:space="preserve"> FRIVILLE-ESCARBOTIN-BELLO </t>
  </si>
  <si>
    <t xml:space="preserve"> BILLA </t>
  </si>
  <si>
    <t xml:space="preserve"> DANIAUD </t>
  </si>
  <si>
    <t xml:space="preserve"> PRIMOT </t>
  </si>
  <si>
    <t xml:space="preserve"> HOGUET </t>
  </si>
  <si>
    <t xml:space="preserve"> DELLEMMES </t>
  </si>
  <si>
    <t xml:space="preserve"> CODVELLE </t>
  </si>
  <si>
    <t xml:space="preserve"> DI BENEDETTO </t>
  </si>
  <si>
    <t xml:space="preserve"> MONGENET </t>
  </si>
  <si>
    <t xml:space="preserve"> DEPOORTER </t>
  </si>
  <si>
    <t xml:space="preserve"> LECOURSONNAIS </t>
  </si>
  <si>
    <t xml:space="preserve"> GAUDRY </t>
  </si>
  <si>
    <t xml:space="preserve"> BAZIN </t>
  </si>
  <si>
    <t xml:space="preserve"> LE LAIN </t>
  </si>
  <si>
    <t xml:space="preserve"> PERLAT </t>
  </si>
  <si>
    <t xml:space="preserve"> LENGELE </t>
  </si>
  <si>
    <t xml:space="preserve"> FIEMS </t>
  </si>
  <si>
    <t xml:space="preserve"> PESCHET </t>
  </si>
  <si>
    <t xml:space="preserve"> BLEUZET </t>
  </si>
  <si>
    <t xml:space="preserve"> BRISARD </t>
  </si>
  <si>
    <t xml:space="preserve"> JORY </t>
  </si>
  <si>
    <t xml:space="preserve"> MICHEL PALUDAN </t>
  </si>
  <si>
    <t xml:space="preserve"> DESMEULES </t>
  </si>
  <si>
    <t xml:space="preserve"> BONDOUX </t>
  </si>
  <si>
    <t xml:space="preserve"> ABBETT </t>
  </si>
  <si>
    <t xml:space="preserve"> Philip </t>
  </si>
  <si>
    <t xml:space="preserve"> NARDIN </t>
  </si>
  <si>
    <t xml:space="preserve"> CO ST FONS </t>
  </si>
  <si>
    <t xml:space="preserve"> ZIMMER </t>
  </si>
  <si>
    <t xml:space="preserve"> PLAYS </t>
  </si>
  <si>
    <t xml:space="preserve"> PPC PLOZEVET </t>
  </si>
  <si>
    <t xml:space="preserve"> LE QUILLIEC </t>
  </si>
  <si>
    <t xml:space="preserve"> ST NAZAIRE AIRBUS </t>
  </si>
  <si>
    <t xml:space="preserve"> MALAPERT </t>
  </si>
  <si>
    <t xml:space="preserve"> GUERCHET </t>
  </si>
  <si>
    <t xml:space="preserve"> CHEMIN </t>
  </si>
  <si>
    <t xml:space="preserve"> COIC </t>
  </si>
  <si>
    <t xml:space="preserve"> TTC PENMARC'H </t>
  </si>
  <si>
    <t xml:space="preserve"> LORRE </t>
  </si>
  <si>
    <t xml:space="preserve"> METRAS </t>
  </si>
  <si>
    <t xml:space="preserve"> DESTREE </t>
  </si>
  <si>
    <t xml:space="preserve"> ROUZAUD </t>
  </si>
  <si>
    <t xml:space="preserve"> NEUILLY </t>
  </si>
  <si>
    <t xml:space="preserve"> LARRIEU </t>
  </si>
  <si>
    <t xml:space="preserve"> MERETTE </t>
  </si>
  <si>
    <t xml:space="preserve"> GENTRIC </t>
  </si>
  <si>
    <t xml:space="preserve"> TALOTTI </t>
  </si>
  <si>
    <t xml:space="preserve"> JARQUE </t>
  </si>
  <si>
    <t xml:space="preserve"> Germain </t>
  </si>
  <si>
    <t xml:space="preserve"> BERNET </t>
  </si>
  <si>
    <t xml:space="preserve"> Torsac Club Pongiste </t>
  </si>
  <si>
    <t xml:space="preserve"> BROUILLAC </t>
  </si>
  <si>
    <t xml:space="preserve"> BIARD </t>
  </si>
  <si>
    <t xml:space="preserve"> HACKENHEIMER </t>
  </si>
  <si>
    <t xml:space="preserve"> DEVEL </t>
  </si>
  <si>
    <t xml:space="preserve"> AEP ETOILE </t>
  </si>
  <si>
    <t xml:space="preserve"> BAREAU </t>
  </si>
  <si>
    <t xml:space="preserve"> VAUGRIGNEUSE CSMV </t>
  </si>
  <si>
    <t xml:space="preserve"> LOUINEAU </t>
  </si>
  <si>
    <t xml:space="preserve"> ROCHON </t>
  </si>
  <si>
    <t xml:space="preserve"> FLANDRIN </t>
  </si>
  <si>
    <t xml:space="preserve"> SAINT MARTIN AU LAERT AS </t>
  </si>
  <si>
    <t xml:space="preserve"> DECORTE </t>
  </si>
  <si>
    <t xml:space="preserve"> GORAL </t>
  </si>
  <si>
    <t xml:space="preserve"> LESAUVAGE </t>
  </si>
  <si>
    <t xml:space="preserve"> MAURET </t>
  </si>
  <si>
    <t xml:space="preserve"> BRIELLES </t>
  </si>
  <si>
    <t xml:space="preserve"> CHÂTEAU GONTIER Tennis de </t>
  </si>
  <si>
    <t xml:space="preserve"> CHARRE </t>
  </si>
  <si>
    <t xml:space="preserve"> MEZANGE </t>
  </si>
  <si>
    <t xml:space="preserve"> FICHEPAIN </t>
  </si>
  <si>
    <t xml:space="preserve"> ABATUT </t>
  </si>
  <si>
    <t xml:space="preserve"> BRAUD </t>
  </si>
  <si>
    <t xml:space="preserve"> GAMBINO </t>
  </si>
  <si>
    <t xml:space="preserve"> Attilio </t>
  </si>
  <si>
    <t xml:space="preserve"> COURTUAT </t>
  </si>
  <si>
    <t xml:space="preserve"> VOTTE </t>
  </si>
  <si>
    <t xml:space="preserve"> PIAUD </t>
  </si>
  <si>
    <t xml:space="preserve"> DELPLACE </t>
  </si>
  <si>
    <t xml:space="preserve"> SALZINGER </t>
  </si>
  <si>
    <t xml:space="preserve"> WALKER </t>
  </si>
  <si>
    <t xml:space="preserve"> GELY </t>
  </si>
  <si>
    <t xml:space="preserve"> VILLETTE </t>
  </si>
  <si>
    <t xml:space="preserve"> SAMSON </t>
  </si>
  <si>
    <t xml:space="preserve"> GLOAGUEN </t>
  </si>
  <si>
    <t xml:space="preserve"> CLUB MAGDUNOIS TT </t>
  </si>
  <si>
    <t xml:space="preserve"> MONTIER </t>
  </si>
  <si>
    <t xml:space="preserve"> GUTZWILLER </t>
  </si>
  <si>
    <t xml:space="preserve"> GAUTHERON </t>
  </si>
  <si>
    <t xml:space="preserve"> BAR LE DUC </t>
  </si>
  <si>
    <t xml:space="preserve"> CHUPIN </t>
  </si>
  <si>
    <t xml:space="preserve"> VAN LAAR </t>
  </si>
  <si>
    <t xml:space="preserve"> Kasper </t>
  </si>
  <si>
    <t xml:space="preserve"> FRAISSE </t>
  </si>
  <si>
    <t xml:space="preserve"> BAUMANN </t>
  </si>
  <si>
    <t xml:space="preserve"> U.S. CARMAUX TT </t>
  </si>
  <si>
    <t xml:space="preserve"> GOITRE </t>
  </si>
  <si>
    <t xml:space="preserve"> RICOULEAU </t>
  </si>
  <si>
    <t xml:space="preserve"> PEYTIER </t>
  </si>
  <si>
    <t xml:space="preserve"> RIGAUD </t>
  </si>
  <si>
    <t xml:space="preserve"> CAPUANO </t>
  </si>
  <si>
    <t xml:space="preserve"> Lyon Sport Métropole TT </t>
  </si>
  <si>
    <t xml:space="preserve"> LEMONNIER </t>
  </si>
  <si>
    <t xml:space="preserve"> GRELET </t>
  </si>
  <si>
    <t xml:space="preserve"> LES PONGISTES DU POHER </t>
  </si>
  <si>
    <t xml:space="preserve"> VALENTI </t>
  </si>
  <si>
    <t xml:space="preserve"> ROCHEFORT </t>
  </si>
  <si>
    <t xml:space="preserve"> LANDRE </t>
  </si>
  <si>
    <t xml:space="preserve"> VANDEKERKOVE </t>
  </si>
  <si>
    <t xml:space="preserve"> DORE </t>
  </si>
  <si>
    <t xml:space="preserve"> JOVENE </t>
  </si>
  <si>
    <t xml:space="preserve"> GUILLOUET </t>
  </si>
  <si>
    <t xml:space="preserve"> RASANDISONA </t>
  </si>
  <si>
    <t xml:space="preserve"> Manandraibe </t>
  </si>
  <si>
    <t xml:space="preserve"> 319D0444 </t>
  </si>
  <si>
    <t xml:space="preserve"> CLUB DIONYSIEN TENNIS TAB </t>
  </si>
  <si>
    <t xml:space="preserve"> VERDIER </t>
  </si>
  <si>
    <t xml:space="preserve"> Aigre Club Pongiste du Pa </t>
  </si>
  <si>
    <t xml:space="preserve"> AUNEUIL + 3P </t>
  </si>
  <si>
    <t xml:space="preserve"> ARFI </t>
  </si>
  <si>
    <t xml:space="preserve"> CLAEYS </t>
  </si>
  <si>
    <t xml:space="preserve"> DAILLIEZ </t>
  </si>
  <si>
    <t xml:space="preserve"> CHALLAMEL </t>
  </si>
  <si>
    <t xml:space="preserve"> TRONCHON </t>
  </si>
  <si>
    <t xml:space="preserve"> ATSCAF CLERMONT-FD </t>
  </si>
  <si>
    <t xml:space="preserve"> PUAUD </t>
  </si>
  <si>
    <t xml:space="preserve"> BRIFFEUIL </t>
  </si>
  <si>
    <t xml:space="preserve"> CHABERT </t>
  </si>
  <si>
    <t xml:space="preserve"> LESUEUR </t>
  </si>
  <si>
    <t xml:space="preserve"> NOWAK </t>
  </si>
  <si>
    <t xml:space="preserve"> BALLARIN </t>
  </si>
  <si>
    <t xml:space="preserve"> CHAVES </t>
  </si>
  <si>
    <t xml:space="preserve"> F L E P  LACABAREDE </t>
  </si>
  <si>
    <t xml:space="preserve"> US LA RICHE TENNIS DE TAB </t>
  </si>
  <si>
    <t xml:space="preserve"> LACHAUMETTE </t>
  </si>
  <si>
    <t xml:space="preserve"> PILLEBOUE </t>
  </si>
  <si>
    <t xml:space="preserve"> LANAVE </t>
  </si>
  <si>
    <t xml:space="preserve"> ACEL COUZON </t>
  </si>
  <si>
    <t xml:space="preserve"> MOULINIE </t>
  </si>
  <si>
    <t xml:space="preserve"> RODRIGUES GAGEIRO </t>
  </si>
  <si>
    <t xml:space="preserve"> ROSSETTO </t>
  </si>
  <si>
    <t xml:space="preserve"> AMBEZA </t>
  </si>
  <si>
    <t xml:space="preserve"> THIEULENT </t>
  </si>
  <si>
    <t xml:space="preserve"> MATUSZAK </t>
  </si>
  <si>
    <t xml:space="preserve"> ASL DE CLENAY </t>
  </si>
  <si>
    <t xml:space="preserve"> COQUETTE </t>
  </si>
  <si>
    <t xml:space="preserve"> POUILLIE </t>
  </si>
  <si>
    <t xml:space="preserve"> Ghislain-lauren </t>
  </si>
  <si>
    <t xml:space="preserve"> DELALIN </t>
  </si>
  <si>
    <t xml:space="preserve"> BOUILLON </t>
  </si>
  <si>
    <t xml:space="preserve"> GILET </t>
  </si>
  <si>
    <t xml:space="preserve"> ST DENIS DE GASTINES J.G </t>
  </si>
  <si>
    <t xml:space="preserve"> TOUCHARD </t>
  </si>
  <si>
    <t xml:space="preserve"> LEVESQUE </t>
  </si>
  <si>
    <t xml:space="preserve"> BAZOGE-MONTPINÇON (la) T. </t>
  </si>
  <si>
    <t xml:space="preserve"> MIONE </t>
  </si>
  <si>
    <t xml:space="preserve"> HOUEL </t>
  </si>
  <si>
    <t xml:space="preserve"> CABREUX </t>
  </si>
  <si>
    <t xml:space="preserve"> POISSENOT </t>
  </si>
  <si>
    <t xml:space="preserve"> MARETS </t>
  </si>
  <si>
    <t xml:space="preserve"> Gery </t>
  </si>
  <si>
    <t xml:space="preserve"> CHARTIER </t>
  </si>
  <si>
    <t xml:space="preserve"> PELLAT </t>
  </si>
  <si>
    <t xml:space="preserve"> DORNA </t>
  </si>
  <si>
    <t xml:space="preserve"> ROBET </t>
  </si>
  <si>
    <t xml:space="preserve"> DORNIER </t>
  </si>
  <si>
    <t xml:space="preserve"> DUBEAU </t>
  </si>
  <si>
    <t xml:space="preserve"> PENET </t>
  </si>
  <si>
    <t xml:space="preserve"> DAGUTS </t>
  </si>
  <si>
    <t xml:space="preserve"> LE DINH </t>
  </si>
  <si>
    <t xml:space="preserve"> Vinh na </t>
  </si>
  <si>
    <t xml:space="preserve"> ZINDY </t>
  </si>
  <si>
    <t xml:space="preserve"> BARBILLON </t>
  </si>
  <si>
    <t xml:space="preserve"> DOBY </t>
  </si>
  <si>
    <t xml:space="preserve"> MERIEN </t>
  </si>
  <si>
    <t xml:space="preserve"> GRIMA </t>
  </si>
  <si>
    <t xml:space="preserve"> LEBRASSEUR </t>
  </si>
  <si>
    <t xml:space="preserve"> FOUCAUD </t>
  </si>
  <si>
    <t xml:space="preserve"> SALESSE </t>
  </si>
  <si>
    <t xml:space="preserve"> ROSE </t>
  </si>
  <si>
    <t xml:space="preserve"> COTEAUX BELLEVUE TT </t>
  </si>
  <si>
    <t xml:space="preserve"> BARTHELEMY </t>
  </si>
  <si>
    <t xml:space="preserve"> MIHELIC </t>
  </si>
  <si>
    <t xml:space="preserve"> PRUNIER </t>
  </si>
  <si>
    <t xml:space="preserve"> COSI </t>
  </si>
  <si>
    <t xml:space="preserve"> GUIROY </t>
  </si>
  <si>
    <t xml:space="preserve"> MARECHAL </t>
  </si>
  <si>
    <t xml:space="preserve"> HOUDEMONT ATT </t>
  </si>
  <si>
    <t xml:space="preserve"> SOMMERIA </t>
  </si>
  <si>
    <t xml:space="preserve"> ANNE-LOUISE </t>
  </si>
  <si>
    <t xml:space="preserve"> SAINT-ELLIER </t>
  </si>
  <si>
    <t xml:space="preserve"> SAUMUR TTSC </t>
  </si>
  <si>
    <t xml:space="preserve"> Jan </t>
  </si>
  <si>
    <t xml:space="preserve"> LE MO </t>
  </si>
  <si>
    <t xml:space="preserve"> MOUNIER </t>
  </si>
  <si>
    <t xml:space="preserve"> POUVREAU </t>
  </si>
  <si>
    <t xml:space="preserve"> SAINT CHRISTO/ST ROMAIN T </t>
  </si>
  <si>
    <t xml:space="preserve"> RABILLER </t>
  </si>
  <si>
    <t xml:space="preserve"> DEVEAUX </t>
  </si>
  <si>
    <t xml:space="preserve"> TTS DUROLLIEN </t>
  </si>
  <si>
    <t xml:space="preserve"> JOUSSET </t>
  </si>
  <si>
    <t xml:space="preserve"> ORLIANGE </t>
  </si>
  <si>
    <t xml:space="preserve"> LIMOGES LA SAINT-ANTOINE </t>
  </si>
  <si>
    <t xml:space="preserve"> RABANIS </t>
  </si>
  <si>
    <t xml:space="preserve"> NICOLLE </t>
  </si>
  <si>
    <t xml:space="preserve"> Yanouch </t>
  </si>
  <si>
    <t xml:space="preserve"> FAVE </t>
  </si>
  <si>
    <t xml:space="preserve"> MARIENTHAL ASC CONCORDIA </t>
  </si>
  <si>
    <t xml:space="preserve"> DECARSIN </t>
  </si>
  <si>
    <t xml:space="preserve"> VRIGNAUD </t>
  </si>
  <si>
    <t xml:space="preserve"> TOLLET </t>
  </si>
  <si>
    <t xml:space="preserve"> PING ENTREPRISE 72 </t>
  </si>
  <si>
    <t xml:space="preserve"> LANOIX </t>
  </si>
  <si>
    <t xml:space="preserve"> CONZADE </t>
  </si>
  <si>
    <t xml:space="preserve"> CL CHAPDES-COMBRAILLES </t>
  </si>
  <si>
    <t xml:space="preserve"> QUINTARD </t>
  </si>
  <si>
    <t xml:space="preserve"> A.S.L. OUVILLE LA RIVIER </t>
  </si>
  <si>
    <t xml:space="preserve"> COLLOT </t>
  </si>
  <si>
    <t xml:space="preserve"> LOINTIER </t>
  </si>
  <si>
    <t xml:space="preserve"> MESSANT </t>
  </si>
  <si>
    <t xml:space="preserve"> LOREAU </t>
  </si>
  <si>
    <t xml:space="preserve"> ALLARD </t>
  </si>
  <si>
    <t xml:space="preserve"> GALLIER </t>
  </si>
  <si>
    <t xml:space="preserve"> Benoït </t>
  </si>
  <si>
    <t xml:space="preserve"> Nouaillé-Maupertuis TT </t>
  </si>
  <si>
    <t xml:space="preserve"> GUEGUEN </t>
  </si>
  <si>
    <t xml:space="preserve"> DEMENUS </t>
  </si>
  <si>
    <t xml:space="preserve"> CASTRIC </t>
  </si>
  <si>
    <t xml:space="preserve"> LABRUE </t>
  </si>
  <si>
    <t xml:space="preserve"> RUEL </t>
  </si>
  <si>
    <t xml:space="preserve"> ASPTT CARPENTRAS COVE </t>
  </si>
  <si>
    <t xml:space="preserve"> DOMINIQUE </t>
  </si>
  <si>
    <t xml:space="preserve"> LEAL </t>
  </si>
  <si>
    <t xml:space="preserve"> REGNAT </t>
  </si>
  <si>
    <t xml:space="preserve"> ZARITA </t>
  </si>
  <si>
    <t xml:space="preserve"> YOUSFI </t>
  </si>
  <si>
    <t xml:space="preserve"> CHEVANSE </t>
  </si>
  <si>
    <t xml:space="preserve"> POINAS </t>
  </si>
  <si>
    <t xml:space="preserve"> MAGGIONI </t>
  </si>
  <si>
    <t xml:space="preserve"> EVEN </t>
  </si>
  <si>
    <t xml:space="preserve"> CROUTTE </t>
  </si>
  <si>
    <t xml:space="preserve"> DENDONCKER </t>
  </si>
  <si>
    <t xml:space="preserve"> RATEAU </t>
  </si>
  <si>
    <t xml:space="preserve"> SAUDRAIS </t>
  </si>
  <si>
    <t xml:space="preserve"> GOUZE </t>
  </si>
  <si>
    <t xml:space="preserve"> ROMAGNE </t>
  </si>
  <si>
    <t xml:space="preserve"> FACELLO </t>
  </si>
  <si>
    <t xml:space="preserve"> DAMBRY </t>
  </si>
  <si>
    <t xml:space="preserve"> DERACHE </t>
  </si>
  <si>
    <t xml:space="preserve"> GIROLDINI </t>
  </si>
  <si>
    <t xml:space="preserve"> JACOUD </t>
  </si>
  <si>
    <t xml:space="preserve"> CARTAUX </t>
  </si>
  <si>
    <t xml:space="preserve"> PAZZAGLIA </t>
  </si>
  <si>
    <t xml:space="preserve"> AUBRIET </t>
  </si>
  <si>
    <t xml:space="preserve"> FRAYSSINES </t>
  </si>
  <si>
    <t xml:space="preserve"> VIALLET </t>
  </si>
  <si>
    <t xml:space="preserve"> MIRIBEL TENNIS DE TABLE </t>
  </si>
  <si>
    <t xml:space="preserve"> D ALMEIDA </t>
  </si>
  <si>
    <t xml:space="preserve"> Euloge </t>
  </si>
  <si>
    <t xml:space="preserve"> DECAN </t>
  </si>
  <si>
    <t xml:space="preserve"> GAZELEC SPORT NICE CT AZU </t>
  </si>
  <si>
    <t xml:space="preserve"> BELTRAMI </t>
  </si>
  <si>
    <t xml:space="preserve"> SCHOULER </t>
  </si>
  <si>
    <t xml:space="preserve"> DEMETRIO </t>
  </si>
  <si>
    <t xml:space="preserve"> GIVET CTT </t>
  </si>
  <si>
    <t xml:space="preserve"> DUFAYEL </t>
  </si>
  <si>
    <t xml:space="preserve"> Jerry </t>
  </si>
  <si>
    <t xml:space="preserve"> RIBOT </t>
  </si>
  <si>
    <t xml:space="preserve"> VANDROY </t>
  </si>
  <si>
    <t xml:space="preserve"> VENGEON </t>
  </si>
  <si>
    <t xml:space="preserve"> LE FLOC'H </t>
  </si>
  <si>
    <t xml:space="preserve"> BODILIS PLOUGAR TT </t>
  </si>
  <si>
    <t xml:space="preserve"> GLOWACKI </t>
  </si>
  <si>
    <t xml:space="preserve"> JUGIE </t>
  </si>
  <si>
    <t xml:space="preserve"> BARCELO </t>
  </si>
  <si>
    <t xml:space="preserve"> VIOT </t>
  </si>
  <si>
    <t xml:space="preserve"> GUITTENY </t>
  </si>
  <si>
    <t xml:space="preserve"> Jean-Luc </t>
  </si>
  <si>
    <t xml:space="preserve"> CHIRAT </t>
  </si>
  <si>
    <t xml:space="preserve"> ANDOR </t>
  </si>
  <si>
    <t xml:space="preserve"> FOSSES MARLY TT </t>
  </si>
  <si>
    <t xml:space="preserve"> WALTER </t>
  </si>
  <si>
    <t xml:space="preserve"> Ralphy </t>
  </si>
  <si>
    <t xml:space="preserve"> MABILAIS </t>
  </si>
  <si>
    <t xml:space="preserve"> DUCROZET </t>
  </si>
  <si>
    <t xml:space="preserve"> GOBEAUT </t>
  </si>
  <si>
    <t xml:space="preserve"> BEAUTOR GS </t>
  </si>
  <si>
    <t xml:space="preserve"> BURNY </t>
  </si>
  <si>
    <t xml:space="preserve"> CLAUSS </t>
  </si>
  <si>
    <t xml:space="preserve"> LONG </t>
  </si>
  <si>
    <t xml:space="preserve"> SUD REVERMONT TENNIS DE T </t>
  </si>
  <si>
    <t xml:space="preserve"> VOJINOVIC </t>
  </si>
  <si>
    <t xml:space="preserve"> Goran </t>
  </si>
  <si>
    <t xml:space="preserve"> LA SAINT MICHEL MORTEAU </t>
  </si>
  <si>
    <t xml:space="preserve"> BOISSELIER </t>
  </si>
  <si>
    <t xml:space="preserve"> ENSISHEIM T.T.M.C </t>
  </si>
  <si>
    <t xml:space="preserve"> TT AUBAS </t>
  </si>
  <si>
    <t xml:space="preserve"> BOUTAVIN </t>
  </si>
  <si>
    <t xml:space="preserve"> US MOULINS ENGILBERT TT </t>
  </si>
  <si>
    <t xml:space="preserve"> PROUTEAU </t>
  </si>
  <si>
    <t xml:space="preserve"> CINTAS </t>
  </si>
  <si>
    <t xml:space="preserve"> GASTON </t>
  </si>
  <si>
    <t xml:space="preserve"> SCOTH </t>
  </si>
  <si>
    <t xml:space="preserve"> L'HARIDON </t>
  </si>
  <si>
    <t xml:space="preserve"> GEHAN </t>
  </si>
  <si>
    <t xml:space="preserve"> DOL </t>
  </si>
  <si>
    <t xml:space="preserve"> HEUMANN </t>
  </si>
  <si>
    <t xml:space="preserve"> SEIGNEUR </t>
  </si>
  <si>
    <t xml:space="preserve"> Jean rené </t>
  </si>
  <si>
    <t xml:space="preserve"> VANHOUTTE </t>
  </si>
  <si>
    <t xml:space="preserve"> CHEPY ASCJ </t>
  </si>
  <si>
    <t xml:space="preserve"> AUDIC </t>
  </si>
  <si>
    <t xml:space="preserve"> GRINGUILLARD </t>
  </si>
  <si>
    <t xml:space="preserve"> JAY </t>
  </si>
  <si>
    <t xml:space="preserve"> BOURSAUD </t>
  </si>
  <si>
    <t xml:space="preserve"> SPENLE </t>
  </si>
  <si>
    <t xml:space="preserve"> MONNOT </t>
  </si>
  <si>
    <t xml:space="preserve"> GRIES </t>
  </si>
  <si>
    <t xml:space="preserve"> GAGNIER </t>
  </si>
  <si>
    <t xml:space="preserve"> JARDAT </t>
  </si>
  <si>
    <t xml:space="preserve"> GAZELEC BOURGES TT </t>
  </si>
  <si>
    <t xml:space="preserve"> VANANDRUEL </t>
  </si>
  <si>
    <t xml:space="preserve"> SAUVESTRE </t>
  </si>
  <si>
    <t xml:space="preserve"> BUSSCHAERT </t>
  </si>
  <si>
    <t xml:space="preserve"> CRIAUD </t>
  </si>
  <si>
    <t xml:space="preserve"> TREMEL </t>
  </si>
  <si>
    <t xml:space="preserve"> VERNE </t>
  </si>
  <si>
    <t xml:space="preserve"> PRIERE </t>
  </si>
  <si>
    <t xml:space="preserve"> KERISIT </t>
  </si>
  <si>
    <t xml:space="preserve"> DUREISSEIX </t>
  </si>
  <si>
    <t xml:space="preserve"> HAUT </t>
  </si>
  <si>
    <t xml:space="preserve"> LIEVIN </t>
  </si>
  <si>
    <t xml:space="preserve"> BARTHE </t>
  </si>
  <si>
    <t xml:space="preserve"> SEMUR </t>
  </si>
  <si>
    <t xml:space="preserve"> PILLOT </t>
  </si>
  <si>
    <t xml:space="preserve"> DU MESNIL ADELEE </t>
  </si>
  <si>
    <t xml:space="preserve"> AZEVEDO JEUNESSE </t>
  </si>
  <si>
    <t xml:space="preserve"> TEBOUL </t>
  </si>
  <si>
    <t xml:space="preserve"> Sidney </t>
  </si>
  <si>
    <t xml:space="preserve"> BERRUYER </t>
  </si>
  <si>
    <t xml:space="preserve"> GRIMBLOT </t>
  </si>
  <si>
    <t xml:space="preserve"> LEGAIGNOUX </t>
  </si>
  <si>
    <t xml:space="preserve"> GOMIS </t>
  </si>
  <si>
    <t xml:space="preserve"> TT ST JEAN DE MOIRANS </t>
  </si>
  <si>
    <t xml:space="preserve"> VANDOEUVRE ASTT </t>
  </si>
  <si>
    <t xml:space="preserve"> LA HOUSSIERE-VANEMONT AST </t>
  </si>
  <si>
    <t xml:space="preserve"> PLESSIS ROBINSON TT </t>
  </si>
  <si>
    <t xml:space="preserve"> BONENFANT </t>
  </si>
  <si>
    <t xml:space="preserve"> GUIZIOU </t>
  </si>
  <si>
    <t xml:space="preserve"> PICCOTTI </t>
  </si>
  <si>
    <t xml:space="preserve"> COCARDE TT ST LAURENT </t>
  </si>
  <si>
    <t xml:space="preserve"> DEGRAVE </t>
  </si>
  <si>
    <t xml:space="preserve"> LAFFELY </t>
  </si>
  <si>
    <t xml:space="preserve"> DIEP </t>
  </si>
  <si>
    <t xml:space="preserve"> JOLLET </t>
  </si>
  <si>
    <t xml:space="preserve"> REYNOLDS </t>
  </si>
  <si>
    <t xml:space="preserve"> Nordine </t>
  </si>
  <si>
    <t xml:space="preserve"> BRESSON </t>
  </si>
  <si>
    <t xml:space="preserve"> FERE-CHAMPENOISE TT </t>
  </si>
  <si>
    <t xml:space="preserve"> FLORES </t>
  </si>
  <si>
    <t xml:space="preserve"> DAMAMME </t>
  </si>
  <si>
    <t xml:space="preserve"> DE MECQUENEM </t>
  </si>
  <si>
    <t xml:space="preserve"> Martin </t>
  </si>
  <si>
    <t xml:space="preserve"> GODDE </t>
  </si>
  <si>
    <t xml:space="preserve"> LARRICHE </t>
  </si>
  <si>
    <t xml:space="preserve"> A S C LAGNIEU </t>
  </si>
  <si>
    <t xml:space="preserve"> VERGEZ </t>
  </si>
  <si>
    <t xml:space="preserve"> BRIGAULT </t>
  </si>
  <si>
    <t xml:space="preserve"> BNP PARIBAS </t>
  </si>
  <si>
    <t xml:space="preserve"> GESTIN </t>
  </si>
  <si>
    <t xml:space="preserve"> BOURQUARD </t>
  </si>
  <si>
    <t xml:space="preserve"> PILLET </t>
  </si>
  <si>
    <t xml:space="preserve"> CENTOFANTI </t>
  </si>
  <si>
    <t xml:space="preserve"> TT PIERREFEU DU VAR </t>
  </si>
  <si>
    <t xml:space="preserve"> PINATEL </t>
  </si>
  <si>
    <t xml:space="preserve"> PAVIE </t>
  </si>
  <si>
    <t xml:space="preserve"> RIFFARD </t>
  </si>
  <si>
    <t xml:space="preserve"> DUTERME </t>
  </si>
  <si>
    <t xml:space="preserve"> REFF </t>
  </si>
  <si>
    <t xml:space="preserve"> LAY SAINT CHRISTOPHE TTLS </t>
  </si>
  <si>
    <t xml:space="preserve"> LESOT </t>
  </si>
  <si>
    <t xml:space="preserve"> POULIGUEN (LE) </t>
  </si>
  <si>
    <t xml:space="preserve"> ARVENNE </t>
  </si>
  <si>
    <t xml:space="preserve"> KREB </t>
  </si>
  <si>
    <t xml:space="preserve"> VAN LAER </t>
  </si>
  <si>
    <t xml:space="preserve"> FRADET </t>
  </si>
  <si>
    <t xml:space="preserve"> BOIDIN </t>
  </si>
  <si>
    <t xml:space="preserve"> URCUN </t>
  </si>
  <si>
    <t xml:space="preserve"> ROQUECAVE </t>
  </si>
  <si>
    <t xml:space="preserve"> LEPESTEUR </t>
  </si>
  <si>
    <t xml:space="preserve"> URBANIAK </t>
  </si>
  <si>
    <t xml:space="preserve"> SORIN </t>
  </si>
  <si>
    <t xml:space="preserve"> BEAUBERT </t>
  </si>
  <si>
    <t xml:space="preserve"> PATUREL </t>
  </si>
  <si>
    <t xml:space="preserve"> GATEAU </t>
  </si>
  <si>
    <t xml:space="preserve"> GUIGUEN </t>
  </si>
  <si>
    <t xml:space="preserve"> Roger-yves </t>
  </si>
  <si>
    <t xml:space="preserve"> Jeremi </t>
  </si>
  <si>
    <t xml:space="preserve"> FONTEYNE </t>
  </si>
  <si>
    <t xml:space="preserve"> HONG </t>
  </si>
  <si>
    <t xml:space="preserve"> Rithi </t>
  </si>
  <si>
    <t xml:space="preserve"> NICOLAS </t>
  </si>
  <si>
    <t xml:space="preserve"> MOTLOCH </t>
  </si>
  <si>
    <t xml:space="preserve"> TENNIS DE TABLE DE GARCHI </t>
  </si>
  <si>
    <t xml:space="preserve"> ANXIONNAT </t>
  </si>
  <si>
    <t xml:space="preserve"> SAQUET </t>
  </si>
  <si>
    <t xml:space="preserve"> ONET LE CHATEAU T.T. </t>
  </si>
  <si>
    <t xml:space="preserve"> GAWECKI </t>
  </si>
  <si>
    <t xml:space="preserve"> DREUIL TT </t>
  </si>
  <si>
    <t xml:space="preserve"> JOLIT </t>
  </si>
  <si>
    <t xml:space="preserve"> PING PONG CAPDENACOIS </t>
  </si>
  <si>
    <t xml:space="preserve"> BABE </t>
  </si>
  <si>
    <t xml:space="preserve"> SC MESNILOIS </t>
  </si>
  <si>
    <t xml:space="preserve"> BESSE </t>
  </si>
  <si>
    <t xml:space="preserve"> SIMBOZEL </t>
  </si>
  <si>
    <t xml:space="preserve"> AUBERGENVILLE CTT </t>
  </si>
  <si>
    <t xml:space="preserve"> REBONDY </t>
  </si>
  <si>
    <t xml:space="preserve"> GUITIENNE </t>
  </si>
  <si>
    <t xml:space="preserve"> BRISSET </t>
  </si>
  <si>
    <t xml:space="preserve"> RAKOTOA </t>
  </si>
  <si>
    <t xml:space="preserve"> RUFFIER </t>
  </si>
  <si>
    <t xml:space="preserve"> GUILLEUX </t>
  </si>
  <si>
    <t xml:space="preserve"> CARBONNIER </t>
  </si>
  <si>
    <t xml:space="preserve"> SMIALY </t>
  </si>
  <si>
    <t xml:space="preserve"> SAMAH </t>
  </si>
  <si>
    <t xml:space="preserve"> Mhand </t>
  </si>
  <si>
    <t xml:space="preserve"> GORICHON </t>
  </si>
  <si>
    <t xml:space="preserve"> KRIER </t>
  </si>
  <si>
    <t xml:space="preserve"> DUHEM </t>
  </si>
  <si>
    <t xml:space="preserve"> RUI </t>
  </si>
  <si>
    <t xml:space="preserve"> PRUDENT </t>
  </si>
  <si>
    <t xml:space="preserve"> AL LONS LE SAUNIER </t>
  </si>
  <si>
    <t xml:space="preserve"> BOULLE </t>
  </si>
  <si>
    <t xml:space="preserve"> LAGARDERE </t>
  </si>
  <si>
    <t xml:space="preserve"> BENOD </t>
  </si>
  <si>
    <t xml:space="preserve"> TOTAL SPORT </t>
  </si>
  <si>
    <t xml:space="preserve"> ENGLER </t>
  </si>
  <si>
    <t xml:space="preserve"> Phao </t>
  </si>
  <si>
    <t xml:space="preserve"> MONIE </t>
  </si>
  <si>
    <t xml:space="preserve"> ATT PAYS D OLMES </t>
  </si>
  <si>
    <t xml:space="preserve"> GARGAM </t>
  </si>
  <si>
    <t xml:space="preserve"> LEPLE </t>
  </si>
  <si>
    <t xml:space="preserve"> TIXERONT </t>
  </si>
  <si>
    <t xml:space="preserve"> CHAUVE </t>
  </si>
  <si>
    <t xml:space="preserve"> GUERARD </t>
  </si>
  <si>
    <t xml:space="preserve"> GALICHET </t>
  </si>
  <si>
    <t xml:space="preserve"> BLAINVILLE CREVON </t>
  </si>
  <si>
    <t xml:space="preserve"> ALBY </t>
  </si>
  <si>
    <t xml:space="preserve"> LE BERRE </t>
  </si>
  <si>
    <t xml:space="preserve"> COSTANTINI </t>
  </si>
  <si>
    <t xml:space="preserve"> VIGNET </t>
  </si>
  <si>
    <t xml:space="preserve"> Club Pongiste PUSIGNAN </t>
  </si>
  <si>
    <t xml:space="preserve"> CTT MONTHYON </t>
  </si>
  <si>
    <t xml:space="preserve"> DOUTRIAUX </t>
  </si>
  <si>
    <t xml:space="preserve"> VIENNE </t>
  </si>
  <si>
    <t xml:space="preserve"> MONTOYA </t>
  </si>
  <si>
    <t xml:space="preserve"> Juan </t>
  </si>
  <si>
    <t xml:space="preserve"> LURON </t>
  </si>
  <si>
    <t xml:space="preserve"> REYNE </t>
  </si>
  <si>
    <t xml:space="preserve"> CDF FOURGES </t>
  </si>
  <si>
    <t xml:space="preserve"> BUCHY </t>
  </si>
  <si>
    <t xml:space="preserve"> JOANNY </t>
  </si>
  <si>
    <t xml:space="preserve"> Amicale Pongiste Ennezat </t>
  </si>
  <si>
    <t xml:space="preserve"> FISSON </t>
  </si>
  <si>
    <t xml:space="preserve"> GOUTELLE </t>
  </si>
  <si>
    <t xml:space="preserve"> VERDONCK </t>
  </si>
  <si>
    <t xml:space="preserve"> MULSANT </t>
  </si>
  <si>
    <t xml:space="preserve"> CHUFFART </t>
  </si>
  <si>
    <t xml:space="preserve"> LALLY </t>
  </si>
  <si>
    <t xml:space="preserve"> ALVES DOCRUZEIRO </t>
  </si>
  <si>
    <t xml:space="preserve"> HENONVILLE CO </t>
  </si>
  <si>
    <t xml:space="preserve"> METZLER </t>
  </si>
  <si>
    <t xml:space="preserve"> ISCAYE </t>
  </si>
  <si>
    <t xml:space="preserve"> TT CASTEL MONTROND LE CHA </t>
  </si>
  <si>
    <t xml:space="preserve"> GIRARDIER </t>
  </si>
  <si>
    <t xml:space="preserve"> GRANGE </t>
  </si>
  <si>
    <t xml:space="preserve"> L HORME TT </t>
  </si>
  <si>
    <t xml:space="preserve"> FORTIN </t>
  </si>
  <si>
    <t xml:space="preserve"> T.T.VERGONGHEON </t>
  </si>
  <si>
    <t xml:space="preserve"> BODY </t>
  </si>
  <si>
    <t xml:space="preserve"> CHAPELLE </t>
  </si>
  <si>
    <t xml:space="preserve"> C O R SANDOUVILLE </t>
  </si>
  <si>
    <t xml:space="preserve"> GUINAND </t>
  </si>
  <si>
    <t xml:space="preserve"> BONNANFANT </t>
  </si>
  <si>
    <t xml:space="preserve"> MONTEIRO </t>
  </si>
  <si>
    <t xml:space="preserve"> Avelino </t>
  </si>
  <si>
    <t xml:space="preserve"> LA RICHARDAIS PING </t>
  </si>
  <si>
    <t xml:space="preserve"> ASLOCRAM </t>
  </si>
  <si>
    <t xml:space="preserve"> TORRE </t>
  </si>
  <si>
    <t xml:space="preserve"> ROUZIER </t>
  </si>
  <si>
    <t xml:space="preserve"> IZÉ Étoile Sportive </t>
  </si>
  <si>
    <t xml:space="preserve"> MOIZARD </t>
  </si>
  <si>
    <t xml:space="preserve"> ENTENTE BAULOISE TT </t>
  </si>
  <si>
    <t xml:space="preserve"> CHARTON </t>
  </si>
  <si>
    <t xml:space="preserve"> MILER </t>
  </si>
  <si>
    <t xml:space="preserve"> MARTINACHE </t>
  </si>
  <si>
    <t xml:space="preserve"> LETORT </t>
  </si>
  <si>
    <t xml:space="preserve"> QUIVIGER </t>
  </si>
  <si>
    <t xml:space="preserve"> KERGOSIEN </t>
  </si>
  <si>
    <t xml:space="preserve"> BIDAUD </t>
  </si>
  <si>
    <t xml:space="preserve"> MESQUITA </t>
  </si>
  <si>
    <t xml:space="preserve"> CABIANCA </t>
  </si>
  <si>
    <t xml:space="preserve"> DEZE </t>
  </si>
  <si>
    <t xml:space="preserve"> LAUER </t>
  </si>
  <si>
    <t xml:space="preserve"> HUNDLING C.P.H. </t>
  </si>
  <si>
    <t xml:space="preserve"> BRODART </t>
  </si>
  <si>
    <t xml:space="preserve"> CUENCA </t>
  </si>
  <si>
    <t xml:space="preserve"> JEANNEAU </t>
  </si>
  <si>
    <t xml:space="preserve"> DEJOINT </t>
  </si>
  <si>
    <t xml:space="preserve"> SCHONSTEIN </t>
  </si>
  <si>
    <t xml:space="preserve"> BOIDE </t>
  </si>
  <si>
    <t xml:space="preserve"> ECUYER </t>
  </si>
  <si>
    <t xml:space="preserve"> FRETAULT </t>
  </si>
  <si>
    <t xml:space="preserve"> FOUREL </t>
  </si>
  <si>
    <t xml:space="preserve"> BOIS D ARCY AS </t>
  </si>
  <si>
    <t xml:space="preserve"> DUNAND </t>
  </si>
  <si>
    <t xml:space="preserve"> AVENIR DE THISE </t>
  </si>
  <si>
    <t xml:space="preserve"> TORCHE </t>
  </si>
  <si>
    <t xml:space="preserve"> BONNARD </t>
  </si>
  <si>
    <t xml:space="preserve"> FLERS ASEGO </t>
  </si>
  <si>
    <t xml:space="preserve"> BOUTALJANTE </t>
  </si>
  <si>
    <t xml:space="preserve"> Khalid </t>
  </si>
  <si>
    <t xml:space="preserve"> BUCK </t>
  </si>
  <si>
    <t xml:space="preserve"> ARCHAMBAUD </t>
  </si>
  <si>
    <t xml:space="preserve"> RUFFY </t>
  </si>
  <si>
    <t xml:space="preserve"> CORBIERE </t>
  </si>
  <si>
    <t xml:space="preserve"> THOIRYSIEN TT </t>
  </si>
  <si>
    <t xml:space="preserve"> FAVREAU </t>
  </si>
  <si>
    <t xml:space="preserve"> GOURVENEC </t>
  </si>
  <si>
    <t xml:space="preserve"> BERNICHON </t>
  </si>
  <si>
    <t xml:space="preserve"> LA FLECHE USF TT </t>
  </si>
  <si>
    <t xml:space="preserve"> DECCO </t>
  </si>
  <si>
    <t xml:space="preserve"> BOUGNOTEAU </t>
  </si>
  <si>
    <t xml:space="preserve"> TARDIERE CTT </t>
  </si>
  <si>
    <t xml:space="preserve"> ELOUARD </t>
  </si>
  <si>
    <t xml:space="preserve"> ECK </t>
  </si>
  <si>
    <t xml:space="preserve"> BAILLIE </t>
  </si>
  <si>
    <t xml:space="preserve"> TANG </t>
  </si>
  <si>
    <t xml:space="preserve"> Heig william </t>
  </si>
  <si>
    <t xml:space="preserve"> TAUREAU </t>
  </si>
  <si>
    <t xml:space="preserve"> DIXNEUF </t>
  </si>
  <si>
    <t xml:space="preserve"> ST PHILBERT ASP </t>
  </si>
  <si>
    <t xml:space="preserve"> DUSUEL </t>
  </si>
  <si>
    <t xml:space="preserve"> VASSARD </t>
  </si>
  <si>
    <t xml:space="preserve"> Lakdar </t>
  </si>
  <si>
    <t xml:space="preserve"> PEGUY </t>
  </si>
  <si>
    <t xml:space="preserve"> BENOITS </t>
  </si>
  <si>
    <t xml:space="preserve"> AMTT MEZE </t>
  </si>
  <si>
    <t xml:space="preserve"> FOINEL </t>
  </si>
  <si>
    <t xml:space="preserve"> LE HELLOCO </t>
  </si>
  <si>
    <t xml:space="preserve"> MATHIEU </t>
  </si>
  <si>
    <t xml:space="preserve"> ROVEYAZ </t>
  </si>
  <si>
    <t xml:space="preserve"> GIBOT </t>
  </si>
  <si>
    <t xml:space="preserve"> CREVECOEUR-LESDAIN-RUES A </t>
  </si>
  <si>
    <t xml:space="preserve"> COUILLARD </t>
  </si>
  <si>
    <t xml:space="preserve"> MARY </t>
  </si>
  <si>
    <t xml:space="preserve"> BOBILLOT </t>
  </si>
  <si>
    <t xml:space="preserve"> BIREMBAUX </t>
  </si>
  <si>
    <t xml:space="preserve"> DERIAN </t>
  </si>
  <si>
    <t xml:space="preserve"> CHEYTION </t>
  </si>
  <si>
    <t xml:space="preserve"> GILSON </t>
  </si>
  <si>
    <t xml:space="preserve"> DUDOUE </t>
  </si>
  <si>
    <t xml:space="preserve"> BAILLIER </t>
  </si>
  <si>
    <t xml:space="preserve"> KONIECZNY </t>
  </si>
  <si>
    <t xml:space="preserve"> SALGADO </t>
  </si>
  <si>
    <t xml:space="preserve"> Santiago </t>
  </si>
  <si>
    <t xml:space="preserve"> MENART </t>
  </si>
  <si>
    <t xml:space="preserve"> ROUJAS </t>
  </si>
  <si>
    <t xml:space="preserve"> LESBATS </t>
  </si>
  <si>
    <t xml:space="preserve"> A.T.T. LANGEAIS-CINQ-MARS </t>
  </si>
  <si>
    <t xml:space="preserve"> CAM TT MORCENX </t>
  </si>
  <si>
    <t xml:space="preserve"> AGNETZ ASTT </t>
  </si>
  <si>
    <t xml:space="preserve"> SERIEN </t>
  </si>
  <si>
    <t xml:space="preserve"> FREYMANN </t>
  </si>
  <si>
    <t xml:space="preserve"> HAYE </t>
  </si>
  <si>
    <t xml:space="preserve"> DUCROT </t>
  </si>
  <si>
    <t xml:space="preserve"> BERGE </t>
  </si>
  <si>
    <t xml:space="preserve"> ROMELOT </t>
  </si>
  <si>
    <t xml:space="preserve"> TOUZEAU </t>
  </si>
  <si>
    <t xml:space="preserve"> MACHARD </t>
  </si>
  <si>
    <t xml:space="preserve"> RAULT </t>
  </si>
  <si>
    <t xml:space="preserve"> DELELIGNE </t>
  </si>
  <si>
    <t xml:space="preserve"> ENT SPORTIVE DU FLORENTIN </t>
  </si>
  <si>
    <t xml:space="preserve"> PAUVREAU </t>
  </si>
  <si>
    <t xml:space="preserve"> GUEGAN </t>
  </si>
  <si>
    <t xml:space="preserve"> Loys </t>
  </si>
  <si>
    <t xml:space="preserve"> CANDELOT </t>
  </si>
  <si>
    <t xml:space="preserve"> QUITTET </t>
  </si>
  <si>
    <t xml:space="preserve"> BOUTEIX </t>
  </si>
  <si>
    <t xml:space="preserve"> SAONE-VALLEE TT </t>
  </si>
  <si>
    <t xml:space="preserve"> TICHIT </t>
  </si>
  <si>
    <t xml:space="preserve"> TABOULOT </t>
  </si>
  <si>
    <t xml:space="preserve"> SAUVEL </t>
  </si>
  <si>
    <t xml:space="preserve"> TALLON </t>
  </si>
  <si>
    <t xml:space="preserve"> BRUNAT </t>
  </si>
  <si>
    <t xml:space="preserve"> BLAIN TENNIS DE TABLE </t>
  </si>
  <si>
    <t xml:space="preserve"> LEOU </t>
  </si>
  <si>
    <t xml:space="preserve"> GUINOISEAU </t>
  </si>
  <si>
    <t xml:space="preserve"> ST FORT Tennis de Table </t>
  </si>
  <si>
    <t xml:space="preserve"> FOURN </t>
  </si>
  <si>
    <t xml:space="preserve"> DELAFOY </t>
  </si>
  <si>
    <t xml:space="preserve"> GRENIE </t>
  </si>
  <si>
    <t xml:space="preserve"> BAFFOU </t>
  </si>
  <si>
    <t xml:space="preserve"> DALIVOUST </t>
  </si>
  <si>
    <t xml:space="preserve"> JUGE </t>
  </si>
  <si>
    <t xml:space="preserve"> TRANS ST THOMAS E.S </t>
  </si>
  <si>
    <t xml:space="preserve"> SERAMONDI </t>
  </si>
  <si>
    <t xml:space="preserve"> PENNEC </t>
  </si>
  <si>
    <t xml:space="preserve"> CERCLE SPORTIF QUEVENOIS </t>
  </si>
  <si>
    <t xml:space="preserve"> DARON </t>
  </si>
  <si>
    <t xml:space="preserve"> CTT VALLONS FLEURIS </t>
  </si>
  <si>
    <t xml:space="preserve"> MIROULET </t>
  </si>
  <si>
    <t xml:space="preserve"> CLUB TENNIS TABLE LOURDAI </t>
  </si>
  <si>
    <t xml:space="preserve"> SUEUR </t>
  </si>
  <si>
    <t xml:space="preserve"> CLAVREUL </t>
  </si>
  <si>
    <t xml:space="preserve"> SASTRE </t>
  </si>
  <si>
    <t xml:space="preserve"> BARIAC </t>
  </si>
  <si>
    <t xml:space="preserve"> JARDET </t>
  </si>
  <si>
    <t xml:space="preserve"> Messé US </t>
  </si>
  <si>
    <t xml:space="preserve"> BISCARAS </t>
  </si>
  <si>
    <t xml:space="preserve"> MAHAUX </t>
  </si>
  <si>
    <t xml:space="preserve"> LIM </t>
  </si>
  <si>
    <t xml:space="preserve"> Keng-ang </t>
  </si>
  <si>
    <t xml:space="preserve"> ENTRINGER </t>
  </si>
  <si>
    <t xml:space="preserve"> MAITRE </t>
  </si>
  <si>
    <t xml:space="preserve"> SILVA </t>
  </si>
  <si>
    <t xml:space="preserve"> Alipio josé </t>
  </si>
  <si>
    <t xml:space="preserve"> BACHELIER </t>
  </si>
  <si>
    <t xml:space="preserve"> BEAUMIER </t>
  </si>
  <si>
    <t xml:space="preserve"> LEMMEL </t>
  </si>
  <si>
    <t xml:space="preserve"> COUTO </t>
  </si>
  <si>
    <t xml:space="preserve"> Tigon </t>
  </si>
  <si>
    <t xml:space="preserve"> GOSSET </t>
  </si>
  <si>
    <t xml:space="preserve"> THUILLIETTE </t>
  </si>
  <si>
    <t xml:space="preserve"> CHOMIENNE </t>
  </si>
  <si>
    <t xml:space="preserve"> BOUTRY </t>
  </si>
  <si>
    <t xml:space="preserve"> MICHELIN </t>
  </si>
  <si>
    <t xml:space="preserve"> ROUGERON </t>
  </si>
  <si>
    <t xml:space="preserve"> KEIL </t>
  </si>
  <si>
    <t xml:space="preserve"> SAUPIN </t>
  </si>
  <si>
    <t xml:space="preserve"> BOUSSIN </t>
  </si>
  <si>
    <t xml:space="preserve"> CHEMINADE </t>
  </si>
  <si>
    <t xml:space="preserve"> GUIOT </t>
  </si>
  <si>
    <t xml:space="preserve"> VAGNEY A.T.T. </t>
  </si>
  <si>
    <t xml:space="preserve"> OUVRARD </t>
  </si>
  <si>
    <t xml:space="preserve"> ROUVIER </t>
  </si>
  <si>
    <t xml:space="preserve"> GIRAUD-HERAUD </t>
  </si>
  <si>
    <t xml:space="preserve"> LE DREAU </t>
  </si>
  <si>
    <t xml:space="preserve"> BOUHALLIER </t>
  </si>
  <si>
    <t xml:space="preserve"> Quang buu </t>
  </si>
  <si>
    <t xml:space="preserve"> DIAS DE ASAVEDO </t>
  </si>
  <si>
    <t xml:space="preserve"> Joao </t>
  </si>
  <si>
    <t xml:space="preserve"> LESAGE </t>
  </si>
  <si>
    <t xml:space="preserve"> LOUBINOU </t>
  </si>
  <si>
    <t xml:space="preserve"> DUBOURDIEU </t>
  </si>
  <si>
    <t xml:space="preserve"> GUYON </t>
  </si>
  <si>
    <t xml:space="preserve"> GAERTNER </t>
  </si>
  <si>
    <t xml:space="preserve"> STRASBOURG AS EUROMETROPO </t>
  </si>
  <si>
    <t xml:space="preserve"> ROBLOT </t>
  </si>
  <si>
    <t xml:space="preserve"> NIEDERER </t>
  </si>
  <si>
    <t xml:space="preserve"> BEINHEIM C.T.T.B. </t>
  </si>
  <si>
    <t xml:space="preserve"> LESIEUR </t>
  </si>
  <si>
    <t xml:space="preserve"> MAMIROLLE TENNIS CLUB </t>
  </si>
  <si>
    <t xml:space="preserve"> PAGNI </t>
  </si>
  <si>
    <t xml:space="preserve"> POURRIER </t>
  </si>
  <si>
    <t xml:space="preserve"> PONDAVEN </t>
  </si>
  <si>
    <t xml:space="preserve"> VARNIER </t>
  </si>
  <si>
    <t xml:space="preserve"> CARTIE </t>
  </si>
  <si>
    <t xml:space="preserve"> HELSLOOT </t>
  </si>
  <si>
    <t xml:space="preserve"> GAUMER </t>
  </si>
  <si>
    <t xml:space="preserve"> Duc hoa </t>
  </si>
  <si>
    <t xml:space="preserve"> AVENIR MONTBETONAIS TT </t>
  </si>
  <si>
    <t xml:space="preserve"> TUFERY </t>
  </si>
  <si>
    <t xml:space="preserve"> GABLA </t>
  </si>
  <si>
    <t xml:space="preserve"> LEGATELOIS </t>
  </si>
  <si>
    <t xml:space="preserve"> GRENET </t>
  </si>
  <si>
    <t xml:space="preserve"> BELIER </t>
  </si>
  <si>
    <t xml:space="preserve"> GARNACHE </t>
  </si>
  <si>
    <t xml:space="preserve"> C C C F NICE tennis de ta </t>
  </si>
  <si>
    <t xml:space="preserve"> BRAND </t>
  </si>
  <si>
    <t xml:space="preserve"> Aimeric </t>
  </si>
  <si>
    <t xml:space="preserve"> DUFRAICHE </t>
  </si>
  <si>
    <t xml:space="preserve"> Aigrefeuille CP </t>
  </si>
  <si>
    <t xml:space="preserve"> DARREAU </t>
  </si>
  <si>
    <t xml:space="preserve"> RODE </t>
  </si>
  <si>
    <t xml:space="preserve"> DEWAELE </t>
  </si>
  <si>
    <t xml:space="preserve"> Tennis De Table Village P </t>
  </si>
  <si>
    <t xml:space="preserve"> GUETTE </t>
  </si>
  <si>
    <t xml:space="preserve"> ISTRIA </t>
  </si>
  <si>
    <t xml:space="preserve"> CADET </t>
  </si>
  <si>
    <t xml:space="preserve"> BALAWEJDER </t>
  </si>
  <si>
    <t xml:space="preserve"> GARRIDO </t>
  </si>
  <si>
    <t xml:space="preserve"> CHOLET ASPTT </t>
  </si>
  <si>
    <t xml:space="preserve"> ENDURAN </t>
  </si>
  <si>
    <t xml:space="preserve"> UJAP QUIMPER TT </t>
  </si>
  <si>
    <t xml:space="preserve"> GILLIOCQ </t>
  </si>
  <si>
    <t xml:space="preserve"> DAVAIN </t>
  </si>
  <si>
    <t xml:space="preserve"> SALVI </t>
  </si>
  <si>
    <t xml:space="preserve"> FRASNE </t>
  </si>
  <si>
    <t xml:space="preserve"> FELTESSE </t>
  </si>
  <si>
    <t xml:space="preserve"> SALLEE </t>
  </si>
  <si>
    <t xml:space="preserve"> MELGARD </t>
  </si>
  <si>
    <t xml:space="preserve"> TONON </t>
  </si>
  <si>
    <t xml:space="preserve"> JANOT </t>
  </si>
  <si>
    <t xml:space="preserve"> TEA </t>
  </si>
  <si>
    <t xml:space="preserve"> Ching </t>
  </si>
  <si>
    <t xml:space="preserve"> LASFARGUES </t>
  </si>
  <si>
    <t xml:space="preserve"> FOINARD </t>
  </si>
  <si>
    <t xml:space="preserve"> ARROZEZ </t>
  </si>
  <si>
    <t xml:space="preserve"> F.R MONEIN </t>
  </si>
  <si>
    <t xml:space="preserve"> FERIN </t>
  </si>
  <si>
    <t xml:space="preserve"> TRULES </t>
  </si>
  <si>
    <t xml:space="preserve"> MARIONNEAU </t>
  </si>
  <si>
    <t xml:space="preserve"> HAVE </t>
  </si>
  <si>
    <t xml:space="preserve"> QUIQUEREZ </t>
  </si>
  <si>
    <t xml:space="preserve"> LHERBET </t>
  </si>
  <si>
    <t xml:space="preserve"> SALANON </t>
  </si>
  <si>
    <t xml:space="preserve"> MURA </t>
  </si>
  <si>
    <t xml:space="preserve"> COURTECUISSE </t>
  </si>
  <si>
    <t xml:space="preserve"> QUINTON </t>
  </si>
  <si>
    <t xml:space="preserve"> LUCAT </t>
  </si>
  <si>
    <t xml:space="preserve"> MAZOUTH </t>
  </si>
  <si>
    <t xml:space="preserve"> Edgard </t>
  </si>
  <si>
    <t xml:space="preserve"> BESSET </t>
  </si>
  <si>
    <t xml:space="preserve"> DECOU </t>
  </si>
  <si>
    <t xml:space="preserve"> DOLOUE </t>
  </si>
  <si>
    <t xml:space="preserve"> BOROZNYAK </t>
  </si>
  <si>
    <t xml:space="preserve"> LAUBIE </t>
  </si>
  <si>
    <t xml:space="preserve"> MUSSILLON </t>
  </si>
  <si>
    <t xml:space="preserve"> François xavier </t>
  </si>
  <si>
    <t xml:space="preserve"> MAUGER </t>
  </si>
  <si>
    <t xml:space="preserve"> MANTILLY US </t>
  </si>
  <si>
    <t xml:space="preserve"> CASSANO </t>
  </si>
  <si>
    <t xml:space="preserve"> TENANT </t>
  </si>
  <si>
    <t xml:space="preserve"> YVART </t>
  </si>
  <si>
    <t xml:space="preserve"> GENDRE </t>
  </si>
  <si>
    <t xml:space="preserve"> BENNETT </t>
  </si>
  <si>
    <t xml:space="preserve"> BIDEGAIN_BIDAURY </t>
  </si>
  <si>
    <t xml:space="preserve"> POUEYMIDOU </t>
  </si>
  <si>
    <t xml:space="preserve"> THEARD </t>
  </si>
  <si>
    <t xml:space="preserve"> CUSSON </t>
  </si>
  <si>
    <t xml:space="preserve"> RIEU </t>
  </si>
  <si>
    <t xml:space="preserve"> GOUTINES </t>
  </si>
  <si>
    <t xml:space="preserve"> DESSERTINE </t>
  </si>
  <si>
    <t xml:space="preserve"> DELAINE </t>
  </si>
  <si>
    <t xml:space="preserve"> THOBOIS </t>
  </si>
  <si>
    <t xml:space="preserve"> BOUDARA </t>
  </si>
  <si>
    <t xml:space="preserve"> POT </t>
  </si>
  <si>
    <t xml:space="preserve"> L'HIRONDELLE </t>
  </si>
  <si>
    <t xml:space="preserve"> RECCHIUTTI </t>
  </si>
  <si>
    <t xml:space="preserve"> COVES </t>
  </si>
  <si>
    <t xml:space="preserve"> BOULAIS </t>
  </si>
  <si>
    <t xml:space="preserve"> Jean-albert </t>
  </si>
  <si>
    <t xml:space="preserve"> RAOUT </t>
  </si>
  <si>
    <t xml:space="preserve"> GOURNAY </t>
  </si>
  <si>
    <t xml:space="preserve"> LEBARBEY </t>
  </si>
  <si>
    <t xml:space="preserve"> BRAUNWARTH </t>
  </si>
  <si>
    <t xml:space="preserve"> COUPEROT </t>
  </si>
  <si>
    <t xml:space="preserve"> JAMOIS </t>
  </si>
  <si>
    <t xml:space="preserve"> HOU </t>
  </si>
  <si>
    <t xml:space="preserve"> ROISIN </t>
  </si>
  <si>
    <t xml:space="preserve"> JANUSKA </t>
  </si>
  <si>
    <t xml:space="preserve"> SELLE CRAONNAISE(la)S.L </t>
  </si>
  <si>
    <t xml:space="preserve"> LONGUEVE </t>
  </si>
  <si>
    <t xml:space="preserve"> CHALONS ASPTT </t>
  </si>
  <si>
    <t xml:space="preserve"> MAZENS </t>
  </si>
  <si>
    <t xml:space="preserve"> DE LAUNAY </t>
  </si>
  <si>
    <t xml:space="preserve"> BELLEMAIN </t>
  </si>
  <si>
    <t xml:space="preserve"> LADRAS </t>
  </si>
  <si>
    <t xml:space="preserve"> GABORIT </t>
  </si>
  <si>
    <t xml:space="preserve"> HOUDRY </t>
  </si>
  <si>
    <t xml:space="preserve"> REMIGEREAU </t>
  </si>
  <si>
    <t xml:space="preserve"> FOUTREL </t>
  </si>
  <si>
    <t xml:space="preserve"> DEMURGER </t>
  </si>
  <si>
    <t xml:space="preserve"> BOUSSINET </t>
  </si>
  <si>
    <t xml:space="preserve"> CHANGE TT </t>
  </si>
  <si>
    <t xml:space="preserve"> GARRIVET </t>
  </si>
  <si>
    <t xml:space="preserve"> TOULLERON </t>
  </si>
  <si>
    <t xml:space="preserve"> AUROUX </t>
  </si>
  <si>
    <t xml:space="preserve"> COCHET </t>
  </si>
  <si>
    <t xml:space="preserve"> LAUTREDOUX </t>
  </si>
  <si>
    <t xml:space="preserve"> PASSANI </t>
  </si>
  <si>
    <t xml:space="preserve"> FRANCE </t>
  </si>
  <si>
    <t xml:space="preserve"> MASTAING TT </t>
  </si>
  <si>
    <t xml:space="preserve"> LE NEVEZ </t>
  </si>
  <si>
    <t xml:space="preserve"> DEMOTZ </t>
  </si>
  <si>
    <t xml:space="preserve"> SERVET </t>
  </si>
  <si>
    <t xml:space="preserve"> BERTHAULT </t>
  </si>
  <si>
    <t xml:space="preserve"> RAVAT </t>
  </si>
  <si>
    <t xml:space="preserve"> CP GIVORS </t>
  </si>
  <si>
    <t xml:space="preserve"> VOGLER </t>
  </si>
  <si>
    <t xml:space="preserve"> Jurgen </t>
  </si>
  <si>
    <t xml:space="preserve"> PIERROT </t>
  </si>
  <si>
    <t xml:space="preserve"> NOULIN </t>
  </si>
  <si>
    <t xml:space="preserve"> SIVY </t>
  </si>
  <si>
    <t xml:space="preserve"> MINEUR </t>
  </si>
  <si>
    <t xml:space="preserve"> MAUDUIT </t>
  </si>
  <si>
    <t xml:space="preserve"> LACAILLE </t>
  </si>
  <si>
    <t xml:space="preserve"> Jean joseph </t>
  </si>
  <si>
    <t xml:space="preserve"> GROUT </t>
  </si>
  <si>
    <t xml:space="preserve"> CP BARENTIN </t>
  </si>
  <si>
    <t xml:space="preserve"> ROUAUD </t>
  </si>
  <si>
    <t xml:space="preserve"> GUEMENE PONGISTES </t>
  </si>
  <si>
    <t xml:space="preserve"> HIE </t>
  </si>
  <si>
    <t xml:space="preserve"> LAIGLE </t>
  </si>
  <si>
    <t xml:space="preserve"> GILOT </t>
  </si>
  <si>
    <t xml:space="preserve"> Geoffrey </t>
  </si>
  <si>
    <t xml:space="preserve"> BOURGEAT </t>
  </si>
  <si>
    <t xml:space="preserve"> CALEIRO </t>
  </si>
  <si>
    <t xml:space="preserve"> Baltazar </t>
  </si>
  <si>
    <t xml:space="preserve"> GREFFARD </t>
  </si>
  <si>
    <t xml:space="preserve"> LAILHEUGUE </t>
  </si>
  <si>
    <t xml:space="preserve"> LYFOUNG </t>
  </si>
  <si>
    <t xml:space="preserve"> Tougeu </t>
  </si>
  <si>
    <t xml:space="preserve"> DUCAULE </t>
  </si>
  <si>
    <t xml:space="preserve"> AUVERS ATT </t>
  </si>
  <si>
    <t xml:space="preserve"> PERRELLE </t>
  </si>
  <si>
    <t xml:space="preserve"> SACCUCCI </t>
  </si>
  <si>
    <t xml:space="preserve"> GRAZ </t>
  </si>
  <si>
    <t xml:space="preserve"> GIMENEZ </t>
  </si>
  <si>
    <t xml:space="preserve"> A S T T VALLAURIS-GOLFE J </t>
  </si>
  <si>
    <t xml:space="preserve"> TOUPET </t>
  </si>
  <si>
    <t xml:space="preserve"> BEZONS USO </t>
  </si>
  <si>
    <t xml:space="preserve"> FAURIE </t>
  </si>
  <si>
    <t xml:space="preserve"> MOY </t>
  </si>
  <si>
    <t xml:space="preserve"> Pierre-olivier </t>
  </si>
  <si>
    <t xml:space="preserve"> CHEROY </t>
  </si>
  <si>
    <t xml:space="preserve"> CAMPS </t>
  </si>
  <si>
    <t xml:space="preserve"> MONTEL </t>
  </si>
  <si>
    <t xml:space="preserve"> TAN </t>
  </si>
  <si>
    <t xml:space="preserve"> EGRETAUD </t>
  </si>
  <si>
    <t xml:space="preserve"> PIC </t>
  </si>
  <si>
    <t xml:space="preserve"> LE PICARD </t>
  </si>
  <si>
    <t xml:space="preserve"> BENAMOU </t>
  </si>
  <si>
    <t xml:space="preserve"> CARTIER </t>
  </si>
  <si>
    <t xml:space="preserve"> LUX </t>
  </si>
  <si>
    <t xml:space="preserve"> BRIN </t>
  </si>
  <si>
    <t xml:space="preserve"> GUYOMARD </t>
  </si>
  <si>
    <t xml:space="preserve"> POLVENT </t>
  </si>
  <si>
    <t xml:space="preserve"> VELLY </t>
  </si>
  <si>
    <t xml:space="preserve"> BARBE </t>
  </si>
  <si>
    <t xml:space="preserve"> MONDETEGUY </t>
  </si>
  <si>
    <t xml:space="preserve"> KOELZ </t>
  </si>
  <si>
    <t xml:space="preserve"> DEHOUCK </t>
  </si>
  <si>
    <t xml:space="preserve"> DUMAS DELAGE </t>
  </si>
  <si>
    <t xml:space="preserve"> BAYEUX TT </t>
  </si>
  <si>
    <t xml:space="preserve"> LEU </t>
  </si>
  <si>
    <t xml:space="preserve"> Slim </t>
  </si>
  <si>
    <t xml:space="preserve"> CTT SOMMIERES </t>
  </si>
  <si>
    <t xml:space="preserve"> RODDES </t>
  </si>
  <si>
    <t xml:space="preserve"> REMAUD </t>
  </si>
  <si>
    <t xml:space="preserve"> AUDOUX </t>
  </si>
  <si>
    <t xml:space="preserve"> T T PONTCHARRA </t>
  </si>
  <si>
    <t xml:space="preserve"> Loïg </t>
  </si>
  <si>
    <t xml:space="preserve"> LIVENAIS </t>
  </si>
  <si>
    <t xml:space="preserve"> Guy-paul </t>
  </si>
  <si>
    <t xml:space="preserve"> MAIGRE </t>
  </si>
  <si>
    <t xml:space="preserve"> SOUBEN </t>
  </si>
  <si>
    <t xml:space="preserve"> E.S. DES BARONNIES </t>
  </si>
  <si>
    <t xml:space="preserve"> LEGERON </t>
  </si>
  <si>
    <t xml:space="preserve"> GUISNE </t>
  </si>
  <si>
    <t xml:space="preserve"> LENS TT </t>
  </si>
  <si>
    <t xml:space="preserve"> CLOZEL </t>
  </si>
  <si>
    <t xml:space="preserve"> WEIL </t>
  </si>
  <si>
    <t xml:space="preserve"> FARRUGIA </t>
  </si>
  <si>
    <t xml:space="preserve"> LATROUITE </t>
  </si>
  <si>
    <t xml:space="preserve"> RIBIERE </t>
  </si>
  <si>
    <t xml:space="preserve"> DOUHERET </t>
  </si>
  <si>
    <t xml:space="preserve"> GRUDLER </t>
  </si>
  <si>
    <t xml:space="preserve"> VERZAROLI </t>
  </si>
  <si>
    <t xml:space="preserve"> MASSALVE </t>
  </si>
  <si>
    <t xml:space="preserve"> POTRON </t>
  </si>
  <si>
    <t xml:space="preserve"> SANCHO </t>
  </si>
  <si>
    <t xml:space="preserve"> MENSAH </t>
  </si>
  <si>
    <t xml:space="preserve"> Edoe koko </t>
  </si>
  <si>
    <t xml:space="preserve"> BOULARD </t>
  </si>
  <si>
    <t xml:space="preserve"> HELLOUIN </t>
  </si>
  <si>
    <t xml:space="preserve"> GHEZALI </t>
  </si>
  <si>
    <t xml:space="preserve"> Mekki </t>
  </si>
  <si>
    <t xml:space="preserve"> Club Pongiste ST PRIEST </t>
  </si>
  <si>
    <t xml:space="preserve"> MONTRELAY </t>
  </si>
  <si>
    <t xml:space="preserve"> TERREGATTE BEUVRON TT </t>
  </si>
  <si>
    <t xml:space="preserve"> WACHNICKI </t>
  </si>
  <si>
    <t xml:space="preserve"> MINOT </t>
  </si>
  <si>
    <t xml:space="preserve"> GAUDEMER </t>
  </si>
  <si>
    <t xml:space="preserve"> BEROULE </t>
  </si>
  <si>
    <t xml:space="preserve"> GALAND </t>
  </si>
  <si>
    <t xml:space="preserve"> AL CONCARNEAU </t>
  </si>
  <si>
    <t xml:space="preserve"> BARATELLI </t>
  </si>
  <si>
    <t xml:space="preserve"> SP L MONTFERRAND </t>
  </si>
  <si>
    <t xml:space="preserve"> LESCOAT </t>
  </si>
  <si>
    <t xml:space="preserve"> CAPORUSSO </t>
  </si>
  <si>
    <t xml:space="preserve"> Loran </t>
  </si>
  <si>
    <t xml:space="preserve"> BARREAU </t>
  </si>
  <si>
    <t xml:space="preserve"> RC CHÂTEAUNEUF </t>
  </si>
  <si>
    <t xml:space="preserve"> MONLOUP </t>
  </si>
  <si>
    <t xml:space="preserve"> FOEHRLE </t>
  </si>
  <si>
    <t xml:space="preserve"> BARRAGAN </t>
  </si>
  <si>
    <t xml:space="preserve"> LUU </t>
  </si>
  <si>
    <t xml:space="preserve"> Anh-tuan </t>
  </si>
  <si>
    <t xml:space="preserve"> SZELAG </t>
  </si>
  <si>
    <t xml:space="preserve"> TROUILLET </t>
  </si>
  <si>
    <t xml:space="preserve"> TT CHAUFFAILLES LES SALEV </t>
  </si>
  <si>
    <t xml:space="preserve"> LANNOY </t>
  </si>
  <si>
    <t xml:space="preserve"> STROSSER </t>
  </si>
  <si>
    <t xml:space="preserve"> MESMOUDI </t>
  </si>
  <si>
    <t xml:space="preserve"> FONTANA </t>
  </si>
  <si>
    <t xml:space="preserve"> DOS  SANTOS </t>
  </si>
  <si>
    <t xml:space="preserve"> FAGLA MEDEGAN </t>
  </si>
  <si>
    <t xml:space="preserve"> AUGAIN </t>
  </si>
  <si>
    <t xml:space="preserve"> HOUIVET </t>
  </si>
  <si>
    <t xml:space="preserve"> AGUILHON </t>
  </si>
  <si>
    <t xml:space="preserve"> DESTENAY </t>
  </si>
  <si>
    <t xml:space="preserve"> IVRY US TT </t>
  </si>
  <si>
    <t xml:space="preserve"> AZEVEDO </t>
  </si>
  <si>
    <t xml:space="preserve"> TRIEL TT </t>
  </si>
  <si>
    <t xml:space="preserve"> CUDOT </t>
  </si>
  <si>
    <t xml:space="preserve"> BIENFAIT </t>
  </si>
  <si>
    <t xml:space="preserve"> HUSZTI </t>
  </si>
  <si>
    <t xml:space="preserve"> HOLLANT </t>
  </si>
  <si>
    <t xml:space="preserve"> ADOBATI </t>
  </si>
  <si>
    <t xml:space="preserve"> WILLOT </t>
  </si>
  <si>
    <t xml:space="preserve"> Hong-minh </t>
  </si>
  <si>
    <t xml:space="preserve"> NAUZIN </t>
  </si>
  <si>
    <t xml:space="preserve"> RAMBEAU </t>
  </si>
  <si>
    <t xml:space="preserve"> Jean Claude </t>
  </si>
  <si>
    <t xml:space="preserve"> JANNEQUIN </t>
  </si>
  <si>
    <t xml:space="preserve"> LAIGNE ST GERVAIS CO </t>
  </si>
  <si>
    <t xml:space="preserve"> DERSOIR </t>
  </si>
  <si>
    <t xml:space="preserve"> FRANCHETEAU </t>
  </si>
  <si>
    <t xml:space="preserve"> Alan </t>
  </si>
  <si>
    <t xml:space="preserve"> BERNARDIERE T.T.C. </t>
  </si>
  <si>
    <t xml:space="preserve"> BEAGUE </t>
  </si>
  <si>
    <t xml:space="preserve"> TRELON TT </t>
  </si>
  <si>
    <t xml:space="preserve"> KHEDIM </t>
  </si>
  <si>
    <t xml:space="preserve"> BELET </t>
  </si>
  <si>
    <t xml:space="preserve"> ESPERANCE de CROSNE </t>
  </si>
  <si>
    <t xml:space="preserve"> CTT FEILLENS </t>
  </si>
  <si>
    <t xml:space="preserve"> GARREC </t>
  </si>
  <si>
    <t xml:space="preserve"> HUGEUX </t>
  </si>
  <si>
    <t xml:space="preserve"> MATIAS </t>
  </si>
  <si>
    <t xml:space="preserve"> HOUPERT </t>
  </si>
  <si>
    <t xml:space="preserve"> BLANDNET </t>
  </si>
  <si>
    <t xml:space="preserve"> AUMOND </t>
  </si>
  <si>
    <t xml:space="preserve"> COMPAGNON </t>
  </si>
  <si>
    <t xml:space="preserve"> DERVAUX </t>
  </si>
  <si>
    <t xml:space="preserve"> DE CESARE </t>
  </si>
  <si>
    <t xml:space="preserve"> PASDELOUP </t>
  </si>
  <si>
    <t xml:space="preserve"> VIVIEN </t>
  </si>
  <si>
    <t xml:space="preserve"> HAIE FOUASSIERE (LA) T.T. </t>
  </si>
  <si>
    <t xml:space="preserve"> BOURRE </t>
  </si>
  <si>
    <t xml:space="preserve"> RELET </t>
  </si>
  <si>
    <t xml:space="preserve"> CHAUMIER </t>
  </si>
  <si>
    <t xml:space="preserve"> POZZOBON </t>
  </si>
  <si>
    <t xml:space="preserve"> EYSSON </t>
  </si>
  <si>
    <t xml:space="preserve"> LAVEINE </t>
  </si>
  <si>
    <t xml:space="preserve"> SIONE </t>
  </si>
  <si>
    <t xml:space="preserve"> BOUDARD </t>
  </si>
  <si>
    <t xml:space="preserve"> LA MELORIENNE </t>
  </si>
  <si>
    <t xml:space="preserve"> VIT </t>
  </si>
  <si>
    <t xml:space="preserve"> ARFEUILLE </t>
  </si>
  <si>
    <t xml:space="preserve"> THIBAL </t>
  </si>
  <si>
    <t xml:space="preserve"> KENDZIA </t>
  </si>
  <si>
    <t xml:space="preserve"> GIRONET </t>
  </si>
  <si>
    <t xml:space="preserve"> TRINCHERO </t>
  </si>
  <si>
    <t xml:space="preserve"> NEE </t>
  </si>
  <si>
    <t xml:space="preserve"> VANEENOD </t>
  </si>
  <si>
    <t xml:space="preserve"> GANAYE </t>
  </si>
  <si>
    <t xml:space="preserve"> EPIE </t>
  </si>
  <si>
    <t xml:space="preserve"> CHAUVREAU </t>
  </si>
  <si>
    <t xml:space="preserve"> ANCIAN </t>
  </si>
  <si>
    <t xml:space="preserve"> MATHEAU </t>
  </si>
  <si>
    <t xml:space="preserve"> DEFOSSEZ </t>
  </si>
  <si>
    <t xml:space="preserve"> HECKER </t>
  </si>
  <si>
    <t xml:space="preserve"> VIGOUROUX </t>
  </si>
  <si>
    <t xml:space="preserve"> GAULIN </t>
  </si>
  <si>
    <t xml:space="preserve"> LAMOOT </t>
  </si>
  <si>
    <t xml:space="preserve"> PING ST PAULAIS </t>
  </si>
  <si>
    <t xml:space="preserve"> THEME </t>
  </si>
  <si>
    <t xml:space="preserve"> Poitiers Stade Poitevin T </t>
  </si>
  <si>
    <t xml:space="preserve"> KALTENBACH </t>
  </si>
  <si>
    <t xml:space="preserve"> OLIVER </t>
  </si>
  <si>
    <t xml:space="preserve"> SAUFFROY </t>
  </si>
  <si>
    <t xml:space="preserve"> VANDENBERGHE </t>
  </si>
  <si>
    <t xml:space="preserve"> CARMENT </t>
  </si>
  <si>
    <t xml:space="preserve"> FAUCHEREAU </t>
  </si>
  <si>
    <t xml:space="preserve"> LEMAY </t>
  </si>
  <si>
    <t xml:space="preserve"> Christopher </t>
  </si>
  <si>
    <t xml:space="preserve"> Rochefort CRTT </t>
  </si>
  <si>
    <t xml:space="preserve"> NORSIC </t>
  </si>
  <si>
    <t xml:space="preserve"> DIERS </t>
  </si>
  <si>
    <t xml:space="preserve"> FEREC </t>
  </si>
  <si>
    <t xml:space="preserve"> MANDARD </t>
  </si>
  <si>
    <t xml:space="preserve"> HOUSSAY </t>
  </si>
  <si>
    <t xml:space="preserve"> GRANDCHAMP T.T. </t>
  </si>
  <si>
    <t xml:space="preserve"> ERARD </t>
  </si>
  <si>
    <t xml:space="preserve"> BAYEL CO </t>
  </si>
  <si>
    <t xml:space="preserve"> Edmond </t>
  </si>
  <si>
    <t xml:space="preserve"> HERTWEG </t>
  </si>
  <si>
    <t xml:space="preserve"> DEMOUTIEZ </t>
  </si>
  <si>
    <t xml:space="preserve"> DE VOS </t>
  </si>
  <si>
    <t xml:space="preserve"> DAMERVALLE </t>
  </si>
  <si>
    <t xml:space="preserve"> MANESSE </t>
  </si>
  <si>
    <t xml:space="preserve"> FREYCHET </t>
  </si>
  <si>
    <t xml:space="preserve"> MICO </t>
  </si>
  <si>
    <t xml:space="preserve"> ST PARRES AUX TERTRES AST </t>
  </si>
  <si>
    <t xml:space="preserve"> METZ GRANGE AUX BOIS AS </t>
  </si>
  <si>
    <t xml:space="preserve"> LATHIERE </t>
  </si>
  <si>
    <t xml:space="preserve"> DEGUY </t>
  </si>
  <si>
    <t xml:space="preserve"> SAINT-GENCE ELAN SPORTIF </t>
  </si>
  <si>
    <t xml:space="preserve"> GUEROUT </t>
  </si>
  <si>
    <t xml:space="preserve"> GERONIMI </t>
  </si>
  <si>
    <t xml:space="preserve"> PUEYO </t>
  </si>
  <si>
    <t xml:space="preserve"> J claude </t>
  </si>
  <si>
    <t xml:space="preserve"> ROZAY EN BRIE TT </t>
  </si>
  <si>
    <t xml:space="preserve"> DELFOUR </t>
  </si>
  <si>
    <t xml:space="preserve"> DEMANDRILLE </t>
  </si>
  <si>
    <t xml:space="preserve"> OYE-PLAGE TTC </t>
  </si>
  <si>
    <t xml:space="preserve"> MURZEAU </t>
  </si>
  <si>
    <t xml:space="preserve"> SOUILLAC ATHLE 46 TT </t>
  </si>
  <si>
    <t xml:space="preserve"> CHEBEAUX </t>
  </si>
  <si>
    <t xml:space="preserve"> JOUFFRAY </t>
  </si>
  <si>
    <t xml:space="preserve"> DUQUENNE </t>
  </si>
  <si>
    <t xml:space="preserve"> AGUIDISSOU </t>
  </si>
  <si>
    <t xml:space="preserve"> ACKERMANN </t>
  </si>
  <si>
    <t xml:space="preserve"> COINTIN </t>
  </si>
  <si>
    <t xml:space="preserve"> FRAIMBOIS FOYER RURAL </t>
  </si>
  <si>
    <t xml:space="preserve"> JARRION </t>
  </si>
  <si>
    <t xml:space="preserve"> CUGOLA </t>
  </si>
  <si>
    <t xml:space="preserve"> BOURREAU </t>
  </si>
  <si>
    <t xml:space="preserve"> BRIZARD </t>
  </si>
  <si>
    <t xml:space="preserve"> FROMENTIN </t>
  </si>
  <si>
    <t xml:space="preserve"> BASTIN </t>
  </si>
  <si>
    <t xml:space="preserve"> Anselme </t>
  </si>
  <si>
    <t xml:space="preserve"> CHANG </t>
  </si>
  <si>
    <t xml:space="preserve"> MOINGEON </t>
  </si>
  <si>
    <t xml:space="preserve"> RAKOTONIRAINY </t>
  </si>
  <si>
    <t xml:space="preserve"> Hans </t>
  </si>
  <si>
    <t xml:space="preserve"> DELPECH </t>
  </si>
  <si>
    <t xml:space="preserve"> RAVOUX </t>
  </si>
  <si>
    <t xml:space="preserve"> DEMION </t>
  </si>
  <si>
    <t xml:space="preserve"> ROTH </t>
  </si>
  <si>
    <t xml:space="preserve"> KERMEL </t>
  </si>
  <si>
    <t xml:space="preserve"> GARON </t>
  </si>
  <si>
    <t xml:space="preserve"> SALLANCHES TT </t>
  </si>
  <si>
    <t xml:space="preserve"> MEES </t>
  </si>
  <si>
    <t xml:space="preserve"> METAIRIE </t>
  </si>
  <si>
    <t xml:space="preserve"> DESFLAMMES </t>
  </si>
  <si>
    <t xml:space="preserve"> DELISSE </t>
  </si>
  <si>
    <t xml:space="preserve"> CANS </t>
  </si>
  <si>
    <t xml:space="preserve"> LE DIOURON </t>
  </si>
  <si>
    <t xml:space="preserve"> VACHET </t>
  </si>
  <si>
    <t xml:space="preserve"> SARDET </t>
  </si>
  <si>
    <t xml:space="preserve"> FRAVAL DE COATPARQUE </t>
  </si>
  <si>
    <t xml:space="preserve"> BOTTOLLIER </t>
  </si>
  <si>
    <t xml:space="preserve"> DESGROUAS </t>
  </si>
  <si>
    <t xml:space="preserve"> DOMAGALA </t>
  </si>
  <si>
    <t xml:space="preserve"> BAR </t>
  </si>
  <si>
    <t xml:space="preserve"> AJLSC CANTON DAMVILLE </t>
  </si>
  <si>
    <t xml:space="preserve"> CARDIN </t>
  </si>
  <si>
    <t xml:space="preserve"> GUERIAUD </t>
  </si>
  <si>
    <t xml:space="preserve"> LEBRANCHU </t>
  </si>
  <si>
    <t xml:space="preserve"> LES RAQUETTES DE MAGNY </t>
  </si>
  <si>
    <t xml:space="preserve"> FOSSARD </t>
  </si>
  <si>
    <t xml:space="preserve"> LE LOUET </t>
  </si>
  <si>
    <t xml:space="preserve"> DELECRAY </t>
  </si>
  <si>
    <t xml:space="preserve"> CHISSEREZ </t>
  </si>
  <si>
    <t xml:space="preserve"> LASSIGNY TT </t>
  </si>
  <si>
    <t xml:space="preserve"> POURRAZ </t>
  </si>
  <si>
    <t xml:space="preserve"> SEROUX </t>
  </si>
  <si>
    <t xml:space="preserve"> GUIVARCH </t>
  </si>
  <si>
    <t xml:space="preserve"> ASINOT </t>
  </si>
  <si>
    <t xml:space="preserve"> ST GEORGES S/LOIRE U SPOR </t>
  </si>
  <si>
    <t xml:space="preserve"> FLAMBARD </t>
  </si>
  <si>
    <t xml:space="preserve"> VALOGNES </t>
  </si>
  <si>
    <t xml:space="preserve"> LANORD </t>
  </si>
  <si>
    <t xml:space="preserve"> PATOUILLAT </t>
  </si>
  <si>
    <t xml:space="preserve"> MJC RIVE DE GIER </t>
  </si>
  <si>
    <t xml:space="preserve"> PANEL </t>
  </si>
  <si>
    <t xml:space="preserve"> JEANNEROD </t>
  </si>
  <si>
    <t xml:space="preserve"> LAVAL </t>
  </si>
  <si>
    <t xml:space="preserve"> DE LAREBERDIERE </t>
  </si>
  <si>
    <t xml:space="preserve"> DEFOURNEAUX </t>
  </si>
  <si>
    <t xml:space="preserve"> ANGIBAUD </t>
  </si>
  <si>
    <t xml:space="preserve"> GEMY </t>
  </si>
  <si>
    <t xml:space="preserve"> ORLÉANS GAZELEC SPORTS </t>
  </si>
  <si>
    <t xml:space="preserve"> CHARDET </t>
  </si>
  <si>
    <t xml:space="preserve"> KOZOLINSKY </t>
  </si>
  <si>
    <t xml:space="preserve"> HERVOUET </t>
  </si>
  <si>
    <t xml:space="preserve"> Vivian </t>
  </si>
  <si>
    <t xml:space="preserve"> SANSON </t>
  </si>
  <si>
    <t xml:space="preserve"> HAYTILLON SM </t>
  </si>
  <si>
    <t xml:space="preserve"> MONTCOURTOIS </t>
  </si>
  <si>
    <t xml:space="preserve"> DELESALLE </t>
  </si>
  <si>
    <t xml:space="preserve"> BOUYSSOU </t>
  </si>
  <si>
    <t xml:space="preserve"> RIOCHE </t>
  </si>
  <si>
    <t xml:space="preserve"> MONTAUBAN DE BRETAGNE O.C </t>
  </si>
  <si>
    <t xml:space="preserve"> SIMONIE </t>
  </si>
  <si>
    <t xml:space="preserve"> DOYEN </t>
  </si>
  <si>
    <t xml:space="preserve"> GUILLAUMIN </t>
  </si>
  <si>
    <t xml:space="preserve"> LES PONGISTES MESNILOIS </t>
  </si>
  <si>
    <t xml:space="preserve"> WACRENIER </t>
  </si>
  <si>
    <t xml:space="preserve"> BINARD </t>
  </si>
  <si>
    <t xml:space="preserve"> MECHIN </t>
  </si>
  <si>
    <t xml:space="preserve"> TRUFFAUT </t>
  </si>
  <si>
    <t xml:space="preserve"> LE GOASDUFF </t>
  </si>
  <si>
    <t xml:space="preserve"> ELGART </t>
  </si>
  <si>
    <t xml:space="preserve"> DEBROSSE </t>
  </si>
  <si>
    <t xml:space="preserve"> BOOS </t>
  </si>
  <si>
    <t xml:space="preserve"> LOPES </t>
  </si>
  <si>
    <t xml:space="preserve"> ST CHRISTOPHE DU LIGNERON </t>
  </si>
  <si>
    <t xml:space="preserve"> BOYON </t>
  </si>
  <si>
    <t xml:space="preserve"> BARBIN </t>
  </si>
  <si>
    <t xml:space="preserve"> BOCHE </t>
  </si>
  <si>
    <t xml:space="preserve"> CAZALS </t>
  </si>
  <si>
    <t xml:space="preserve"> LUDRES FLAVIGNY TT </t>
  </si>
  <si>
    <t xml:space="preserve"> TESSONNEAU </t>
  </si>
  <si>
    <t xml:space="preserve"> TOURLAVILLE CL TENNIS DE </t>
  </si>
  <si>
    <t xml:space="preserve"> GAYEN </t>
  </si>
  <si>
    <t xml:space="preserve"> MALVILLE </t>
  </si>
  <si>
    <t xml:space="preserve"> LAMOUR </t>
  </si>
  <si>
    <t xml:space="preserve"> WALD </t>
  </si>
  <si>
    <t xml:space="preserve"> NOYON TT </t>
  </si>
  <si>
    <t xml:space="preserve"> FREMEAUX </t>
  </si>
  <si>
    <t xml:space="preserve"> CHATILLON </t>
  </si>
  <si>
    <t xml:space="preserve"> JULLIEN </t>
  </si>
  <si>
    <t xml:space="preserve"> MEQUIGNON </t>
  </si>
  <si>
    <t xml:space="preserve"> HERBET </t>
  </si>
  <si>
    <t xml:space="preserve"> CAVECIN </t>
  </si>
  <si>
    <t xml:space="preserve"> PEILLEX </t>
  </si>
  <si>
    <t xml:space="preserve"> BAULES </t>
  </si>
  <si>
    <t xml:space="preserve"> LE MOAL </t>
  </si>
  <si>
    <t xml:space="preserve"> DEBRA </t>
  </si>
  <si>
    <t xml:space="preserve"> MILLET </t>
  </si>
  <si>
    <t xml:space="preserve"> LVS LA VOULTE - MJC LIVRO </t>
  </si>
  <si>
    <t xml:space="preserve"> ARJOL </t>
  </si>
  <si>
    <t xml:space="preserve"> LE BOUSQUET D ORB FR </t>
  </si>
  <si>
    <t xml:space="preserve"> LEGLISE </t>
  </si>
  <si>
    <t xml:space="preserve"> ABADA </t>
  </si>
  <si>
    <t xml:space="preserve"> FLATIN </t>
  </si>
  <si>
    <t xml:space="preserve"> LONGPONT OMNISPORTS (L.O. </t>
  </si>
  <si>
    <t xml:space="preserve"> BRYCHE </t>
  </si>
  <si>
    <t xml:space="preserve"> Amicale Laïque. ST FLOUR </t>
  </si>
  <si>
    <t xml:space="preserve"> CONESA </t>
  </si>
  <si>
    <t xml:space="preserve"> FREICHE </t>
  </si>
  <si>
    <t xml:space="preserve"> EMPEREUR </t>
  </si>
  <si>
    <t xml:space="preserve"> ELALDI </t>
  </si>
  <si>
    <t xml:space="preserve"> ANDRIAVAHIMANGA </t>
  </si>
  <si>
    <t xml:space="preserve"> DEVY </t>
  </si>
  <si>
    <t xml:space="preserve"> PORT ST PERE T.T.A.C. </t>
  </si>
  <si>
    <t xml:space="preserve"> JACON </t>
  </si>
  <si>
    <t xml:space="preserve"> IVANOV </t>
  </si>
  <si>
    <t xml:space="preserve"> Dimitre </t>
  </si>
  <si>
    <t xml:space="preserve"> DUCQ </t>
  </si>
  <si>
    <t xml:space="preserve"> DELANDE </t>
  </si>
  <si>
    <t xml:space="preserve"> T T SERVANCE MELISEY </t>
  </si>
  <si>
    <t xml:space="preserve"> RUMILLY T T C </t>
  </si>
  <si>
    <t xml:space="preserve"> AIME </t>
  </si>
  <si>
    <t xml:space="preserve"> GUIRAO </t>
  </si>
  <si>
    <t xml:space="preserve"> DEBOUZY </t>
  </si>
  <si>
    <t xml:space="preserve"> BOURGON </t>
  </si>
  <si>
    <t xml:space="preserve"> GODDYN </t>
  </si>
  <si>
    <t xml:space="preserve"> HALGAND </t>
  </si>
  <si>
    <t xml:space="preserve"> TERRIN </t>
  </si>
  <si>
    <t xml:space="preserve"> SAUVINEAU </t>
  </si>
  <si>
    <t xml:space="preserve"> CORNIGLION </t>
  </si>
  <si>
    <t xml:space="preserve"> MEME </t>
  </si>
  <si>
    <t xml:space="preserve"> RELIER </t>
  </si>
  <si>
    <t xml:space="preserve"> FIEF SAUVIN (LE) - CB </t>
  </si>
  <si>
    <t xml:space="preserve"> ARNAL </t>
  </si>
  <si>
    <t xml:space="preserve"> ROBART </t>
  </si>
  <si>
    <t xml:space="preserve"> Lysian </t>
  </si>
  <si>
    <t xml:space="preserve"> OBREMBSKI </t>
  </si>
  <si>
    <t xml:space="preserve"> VENDIN LES BETHUNE FJEP </t>
  </si>
  <si>
    <t xml:space="preserve"> CHAMPION </t>
  </si>
  <si>
    <t xml:space="preserve"> BENITO </t>
  </si>
  <si>
    <t xml:space="preserve"> Jesus </t>
  </si>
  <si>
    <t xml:space="preserve"> AL NEVEZ </t>
  </si>
  <si>
    <t xml:space="preserve"> ESNAULT </t>
  </si>
  <si>
    <t xml:space="preserve"> JUBERT </t>
  </si>
  <si>
    <t xml:space="preserve"> PLESSIER ROZAINVILLERS SC </t>
  </si>
  <si>
    <t xml:space="preserve"> Paul jacques </t>
  </si>
  <si>
    <t xml:space="preserve"> BREHU </t>
  </si>
  <si>
    <t xml:space="preserve"> RAOULX </t>
  </si>
  <si>
    <t xml:space="preserve"> MONTIGNY </t>
  </si>
  <si>
    <t xml:space="preserve"> VILLEY SAINT ETIENNE MJC </t>
  </si>
  <si>
    <t xml:space="preserve"> GODICELJ </t>
  </si>
  <si>
    <t xml:space="preserve"> Karlo </t>
  </si>
  <si>
    <t xml:space="preserve"> POMPIER </t>
  </si>
  <si>
    <t xml:space="preserve"> LORANDEL </t>
  </si>
  <si>
    <t xml:space="preserve"> Philippe andré </t>
  </si>
  <si>
    <t xml:space="preserve"> GOYAU </t>
  </si>
  <si>
    <t xml:space="preserve"> DESENCLOS </t>
  </si>
  <si>
    <t xml:space="preserve"> Gautier </t>
  </si>
  <si>
    <t xml:space="preserve"> Mikael </t>
  </si>
  <si>
    <t xml:space="preserve"> LE MOING </t>
  </si>
  <si>
    <t xml:space="preserve"> SCHACHTER </t>
  </si>
  <si>
    <t xml:space="preserve"> BEIGNON BASSET TTA </t>
  </si>
  <si>
    <t xml:space="preserve"> OULEY </t>
  </si>
  <si>
    <t xml:space="preserve"> LETRECHER </t>
  </si>
  <si>
    <t xml:space="preserve"> Juan-carlos </t>
  </si>
  <si>
    <t xml:space="preserve"> SMESSAERT </t>
  </si>
  <si>
    <t xml:space="preserve"> DRIEU LA ROCHELLE </t>
  </si>
  <si>
    <t xml:space="preserve"> WILLEMIN </t>
  </si>
  <si>
    <t xml:space="preserve"> MOISSON </t>
  </si>
  <si>
    <t xml:space="preserve"> FJEP LEMPDES </t>
  </si>
  <si>
    <t xml:space="preserve"> SUTTER </t>
  </si>
  <si>
    <t xml:space="preserve"> WALTZ </t>
  </si>
  <si>
    <t xml:space="preserve"> ESQUERRE </t>
  </si>
  <si>
    <t xml:space="preserve"> MACOIN </t>
  </si>
  <si>
    <t xml:space="preserve"> MIASKIEWICZ </t>
  </si>
  <si>
    <t xml:space="preserve"> CLUB TENNIS DE TABLE SOLE </t>
  </si>
  <si>
    <t xml:space="preserve"> TEIXEIRA NUNES </t>
  </si>
  <si>
    <t xml:space="preserve"> Candido </t>
  </si>
  <si>
    <t xml:space="preserve"> PLATZ </t>
  </si>
  <si>
    <t xml:space="preserve"> AYRAULT </t>
  </si>
  <si>
    <t xml:space="preserve"> DUTHATCO </t>
  </si>
  <si>
    <t xml:space="preserve"> DUYTSCHE </t>
  </si>
  <si>
    <t xml:space="preserve"> AS GEAUNE TT </t>
  </si>
  <si>
    <t xml:space="preserve"> ST BARTHELEMY T2T </t>
  </si>
  <si>
    <t xml:space="preserve"> BUHANNIC </t>
  </si>
  <si>
    <t xml:space="preserve"> SEBIRE </t>
  </si>
  <si>
    <t xml:space="preserve"> COTELLE </t>
  </si>
  <si>
    <t xml:space="preserve"> MORINIAUX </t>
  </si>
  <si>
    <t xml:space="preserve"> ISSERTES </t>
  </si>
  <si>
    <t xml:space="preserve"> AEL GUERET </t>
  </si>
  <si>
    <t xml:space="preserve"> SECONDA </t>
  </si>
  <si>
    <t xml:space="preserve"> CHANTEPIE </t>
  </si>
  <si>
    <t xml:space="preserve"> BRUET </t>
  </si>
  <si>
    <t xml:space="preserve"> US CHEMINOTS DIJON </t>
  </si>
  <si>
    <t xml:space="preserve"> RAGUENES </t>
  </si>
  <si>
    <t xml:space="preserve"> Morgann </t>
  </si>
  <si>
    <t xml:space="preserve"> PENPENIC </t>
  </si>
  <si>
    <t xml:space="preserve"> DUMAY </t>
  </si>
  <si>
    <t xml:space="preserve"> CAUX TENNIS DE TABLE </t>
  </si>
  <si>
    <t xml:space="preserve"> BEAUPERE </t>
  </si>
  <si>
    <t xml:space="preserve"> CORENFLOS </t>
  </si>
  <si>
    <t xml:space="preserve"> DORDAIN </t>
  </si>
  <si>
    <t xml:space="preserve"> VIGNACOURT TT </t>
  </si>
  <si>
    <t xml:space="preserve"> CHARLES </t>
  </si>
  <si>
    <t xml:space="preserve"> Pierre yvon </t>
  </si>
  <si>
    <t xml:space="preserve"> BARARDO </t>
  </si>
  <si>
    <t xml:space="preserve"> RUILLÉ FROID FONDS P.P.C </t>
  </si>
  <si>
    <t xml:space="preserve"> SOUKSAVONG </t>
  </si>
  <si>
    <t xml:space="preserve"> Thuy </t>
  </si>
  <si>
    <t xml:space="preserve"> TT FERTOIS </t>
  </si>
  <si>
    <t xml:space="preserve"> DROMER </t>
  </si>
  <si>
    <t xml:space="preserve"> BRETHEAU </t>
  </si>
  <si>
    <t xml:space="preserve"> DUBE </t>
  </si>
  <si>
    <t xml:space="preserve"> SCHUMMER </t>
  </si>
  <si>
    <t xml:space="preserve"> MUIA </t>
  </si>
  <si>
    <t xml:space="preserve"> LACOURPAILLE </t>
  </si>
  <si>
    <t xml:space="preserve"> TAN T.T. </t>
  </si>
  <si>
    <t xml:space="preserve"> CHAUNIER </t>
  </si>
  <si>
    <t xml:space="preserve"> DAMGE </t>
  </si>
  <si>
    <t xml:space="preserve"> DUVERNOIS </t>
  </si>
  <si>
    <t xml:space="preserve"> LARDEZ </t>
  </si>
  <si>
    <t xml:space="preserve"> TOSI </t>
  </si>
  <si>
    <t xml:space="preserve"> VIC SUR SEILLE EP </t>
  </si>
  <si>
    <t xml:space="preserve"> MARIVIER </t>
  </si>
  <si>
    <t xml:space="preserve"> LHOMME </t>
  </si>
  <si>
    <t xml:space="preserve"> STOCK </t>
  </si>
  <si>
    <t xml:space="preserve"> HALTEUR </t>
  </si>
  <si>
    <t xml:space="preserve"> JOALLAND </t>
  </si>
  <si>
    <t xml:space="preserve"> PAPE </t>
  </si>
  <si>
    <t xml:space="preserve"> LEGOUBIN </t>
  </si>
  <si>
    <t xml:space="preserve"> COURREUR </t>
  </si>
  <si>
    <t xml:space="preserve"> SIX </t>
  </si>
  <si>
    <t xml:space="preserve"> LE ROLLAND </t>
  </si>
  <si>
    <t xml:space="preserve"> CHATEAUBOURG TT </t>
  </si>
  <si>
    <t xml:space="preserve"> DELESERRE </t>
  </si>
  <si>
    <t xml:space="preserve"> POINTECOUTEAU </t>
  </si>
  <si>
    <t xml:space="preserve"> LEVIONNOIS </t>
  </si>
  <si>
    <t xml:space="preserve"> RINGENWALD </t>
  </si>
  <si>
    <t xml:space="preserve"> BARBIERI </t>
  </si>
  <si>
    <t xml:space="preserve"> CARMÉ </t>
  </si>
  <si>
    <t xml:space="preserve"> DERAEDT </t>
  </si>
  <si>
    <t xml:space="preserve"> JOUANNIC </t>
  </si>
  <si>
    <t xml:space="preserve"> LABEL </t>
  </si>
  <si>
    <t xml:space="preserve"> CORBERAND </t>
  </si>
  <si>
    <t xml:space="preserve"> NOIDANS TENNIS DE TABLE </t>
  </si>
  <si>
    <t xml:space="preserve"> HAEN </t>
  </si>
  <si>
    <t xml:space="preserve"> VERGNAUD </t>
  </si>
  <si>
    <t xml:space="preserve"> BACINSKY </t>
  </si>
  <si>
    <t xml:space="preserve"> DANGEARD </t>
  </si>
  <si>
    <t xml:space="preserve"> BOSIO </t>
  </si>
  <si>
    <t xml:space="preserve"> ROUTHIER </t>
  </si>
  <si>
    <t xml:space="preserve"> DESHAYES </t>
  </si>
  <si>
    <t xml:space="preserve"> Diony </t>
  </si>
  <si>
    <t xml:space="preserve"> GAGNAIRE </t>
  </si>
  <si>
    <t xml:space="preserve"> Civray TT </t>
  </si>
  <si>
    <t xml:space="preserve"> MENTION </t>
  </si>
  <si>
    <t xml:space="preserve"> BOMPIERRE </t>
  </si>
  <si>
    <t xml:space="preserve"> NOWICKI </t>
  </si>
  <si>
    <t xml:space="preserve"> Jerzy </t>
  </si>
  <si>
    <t xml:space="preserve"> POEX </t>
  </si>
  <si>
    <t xml:space="preserve"> RIGAL </t>
  </si>
  <si>
    <t xml:space="preserve"> DECRETON </t>
  </si>
  <si>
    <t xml:space="preserve"> Mike </t>
  </si>
  <si>
    <t xml:space="preserve"> PREUX </t>
  </si>
  <si>
    <t xml:space="preserve"> SOUFFEL TT </t>
  </si>
  <si>
    <t xml:space="preserve"> CORVISY </t>
  </si>
  <si>
    <t xml:space="preserve"> LAPELLEGERIE </t>
  </si>
  <si>
    <t xml:space="preserve"> REDOLFI </t>
  </si>
  <si>
    <t xml:space="preserve"> KRETTNICH </t>
  </si>
  <si>
    <t xml:space="preserve"> COCHETEUX </t>
  </si>
  <si>
    <t xml:space="preserve"> OUF </t>
  </si>
  <si>
    <t xml:space="preserve"> TAISNE </t>
  </si>
  <si>
    <t xml:space="preserve"> HAIE TRAVERSAINE U.S.L (l </t>
  </si>
  <si>
    <t xml:space="preserve"> CHEVROT </t>
  </si>
  <si>
    <t xml:space="preserve"> RAOULT </t>
  </si>
  <si>
    <t xml:space="preserve"> BALDASSARI </t>
  </si>
  <si>
    <t xml:space="preserve"> PRESTON </t>
  </si>
  <si>
    <t xml:space="preserve"> GOUPIL </t>
  </si>
  <si>
    <t xml:space="preserve"> BITEAU </t>
  </si>
  <si>
    <t xml:space="preserve"> MAHEO </t>
  </si>
  <si>
    <t xml:space="preserve"> HEDOUIN </t>
  </si>
  <si>
    <t xml:space="preserve"> DREVES </t>
  </si>
  <si>
    <t xml:space="preserve"> GUILLARD </t>
  </si>
  <si>
    <t xml:space="preserve"> SHEN </t>
  </si>
  <si>
    <t xml:space="preserve"> Ye </t>
  </si>
  <si>
    <t xml:space="preserve"> BOURDOT </t>
  </si>
  <si>
    <t xml:space="preserve"> BEAUVALLET </t>
  </si>
  <si>
    <t xml:space="preserve"> BIDEAU </t>
  </si>
  <si>
    <t xml:space="preserve"> GUERVILLE </t>
  </si>
  <si>
    <t xml:space="preserve"> ASS.TT AMBRAULT </t>
  </si>
  <si>
    <t xml:space="preserve"> AUDIGER </t>
  </si>
  <si>
    <t xml:space="preserve"> TOUSSAINT </t>
  </si>
  <si>
    <t xml:space="preserve"> CAZEAUX </t>
  </si>
  <si>
    <t xml:space="preserve"> RANCE </t>
  </si>
  <si>
    <t xml:space="preserve"> RENARD DEWYNTER </t>
  </si>
  <si>
    <t xml:space="preserve"> DROULEZ </t>
  </si>
  <si>
    <t xml:space="preserve"> LECOCHE </t>
  </si>
  <si>
    <t xml:space="preserve"> NOUVION FLIZE USC </t>
  </si>
  <si>
    <t xml:space="preserve"> CHARTOIRE </t>
  </si>
  <si>
    <t xml:space="preserve"> ZIANI </t>
  </si>
  <si>
    <t xml:space="preserve"> COURTIAL </t>
  </si>
  <si>
    <t xml:space="preserve"> AL FRAISSES TT </t>
  </si>
  <si>
    <t xml:space="preserve"> NURDIN </t>
  </si>
  <si>
    <t xml:space="preserve"> CHALON TENNIS DE TABLE </t>
  </si>
  <si>
    <t xml:space="preserve"> HUCHER </t>
  </si>
  <si>
    <t xml:space="preserve"> SCRIMALI </t>
  </si>
  <si>
    <t xml:space="preserve"> RANGUIS </t>
  </si>
  <si>
    <t xml:space="preserve"> GOUBET </t>
  </si>
  <si>
    <t xml:space="preserve"> TEHUI LEE </t>
  </si>
  <si>
    <t xml:space="preserve"> ST BERTHEVIN LA TANN. AS </t>
  </si>
  <si>
    <t xml:space="preserve"> MORVILLEZ </t>
  </si>
  <si>
    <t xml:space="preserve"> DUQUESNE </t>
  </si>
  <si>
    <t xml:space="preserve"> VANCRAENENBROECK </t>
  </si>
  <si>
    <t xml:space="preserve"> GAVAUD </t>
  </si>
  <si>
    <t xml:space="preserve"> TONI-BRAZ </t>
  </si>
  <si>
    <t xml:space="preserve"> Fabio </t>
  </si>
  <si>
    <t xml:space="preserve"> MONTHUREUX SUR SAONE TT </t>
  </si>
  <si>
    <t xml:space="preserve"> LEMOING </t>
  </si>
  <si>
    <t xml:space="preserve"> PAPEGAEY </t>
  </si>
  <si>
    <t xml:space="preserve"> HANTAY FJEP </t>
  </si>
  <si>
    <t xml:space="preserve"> TELL </t>
  </si>
  <si>
    <t xml:space="preserve"> GRISY TT </t>
  </si>
  <si>
    <t xml:space="preserve"> BENHAMOUDA </t>
  </si>
  <si>
    <t xml:space="preserve"> MICHELS </t>
  </si>
  <si>
    <t xml:space="preserve"> BOURGES </t>
  </si>
  <si>
    <t xml:space="preserve"> COMPERTRIX FTT </t>
  </si>
  <si>
    <t xml:space="preserve"> FERRIERE LA GRANDE CSTT </t>
  </si>
  <si>
    <t xml:space="preserve"> CASADO </t>
  </si>
  <si>
    <t xml:space="preserve"> BOUVERESSE </t>
  </si>
  <si>
    <t xml:space="preserve"> Eugene </t>
  </si>
  <si>
    <t xml:space="preserve"> GODINEAU </t>
  </si>
  <si>
    <t xml:space="preserve"> HILDENBRAND </t>
  </si>
  <si>
    <t xml:space="preserve"> PERCQUE </t>
  </si>
  <si>
    <t xml:space="preserve"> JOUANNEAUX </t>
  </si>
  <si>
    <t xml:space="preserve"> LERAT </t>
  </si>
  <si>
    <t xml:space="preserve"> THIEBOT </t>
  </si>
  <si>
    <t xml:space="preserve"> BOES </t>
  </si>
  <si>
    <t xml:space="preserve"> FAGNON </t>
  </si>
  <si>
    <t xml:space="preserve"> VRIDAUD </t>
  </si>
  <si>
    <t xml:space="preserve"> THIRIET </t>
  </si>
  <si>
    <t xml:space="preserve"> FILOCHE </t>
  </si>
  <si>
    <t xml:space="preserve"> SIMONNEAU </t>
  </si>
  <si>
    <t xml:space="preserve"> VIGNEMONT ALAE </t>
  </si>
  <si>
    <t xml:space="preserve"> BENZONANA </t>
  </si>
  <si>
    <t xml:space="preserve"> BANESSY </t>
  </si>
  <si>
    <t xml:space="preserve"> MEZANI </t>
  </si>
  <si>
    <t xml:space="preserve"> Ramdane </t>
  </si>
  <si>
    <t xml:space="preserve"> ESPARBES </t>
  </si>
  <si>
    <t xml:space="preserve"> QUINQUIS </t>
  </si>
  <si>
    <t xml:space="preserve"> JELSCH </t>
  </si>
  <si>
    <t xml:space="preserve"> BERTHOME </t>
  </si>
  <si>
    <t xml:space="preserve"> FEILLU </t>
  </si>
  <si>
    <t xml:space="preserve"> BAGUET </t>
  </si>
  <si>
    <t xml:space="preserve"> VEYRENC </t>
  </si>
  <si>
    <t xml:space="preserve"> QUAIRE </t>
  </si>
  <si>
    <t xml:space="preserve"> PATIGNY </t>
  </si>
  <si>
    <t xml:space="preserve"> Dominiique </t>
  </si>
  <si>
    <t xml:space="preserve"> LE DORE </t>
  </si>
  <si>
    <t xml:space="preserve"> Gurvan </t>
  </si>
  <si>
    <t xml:space="preserve"> LE GUILLOIS </t>
  </si>
  <si>
    <t xml:space="preserve"> EQUEURDREVILLE UST </t>
  </si>
  <si>
    <t xml:space="preserve"> CHASSERIAU </t>
  </si>
  <si>
    <t xml:space="preserve"> REGEREAU </t>
  </si>
  <si>
    <t xml:space="preserve"> MOULLEC </t>
  </si>
  <si>
    <t xml:space="preserve"> LEFIEVRE </t>
  </si>
  <si>
    <t xml:space="preserve"> E F BERGERAC </t>
  </si>
  <si>
    <t xml:space="preserve"> BOUCKAERT </t>
  </si>
  <si>
    <t xml:space="preserve"> SAINT MARDS PING-PONG </t>
  </si>
  <si>
    <t xml:space="preserve"> Jean-nicolas </t>
  </si>
  <si>
    <t xml:space="preserve"> BASTAERT </t>
  </si>
  <si>
    <t xml:space="preserve"> TIREL </t>
  </si>
  <si>
    <t xml:space="preserve"> PRYJMAK </t>
  </si>
  <si>
    <t xml:space="preserve"> BATTAIS </t>
  </si>
  <si>
    <t xml:space="preserve"> FUMEY-HUMBERT </t>
  </si>
  <si>
    <t xml:space="preserve"> FAVERDIN </t>
  </si>
  <si>
    <t xml:space="preserve"> VIOLETTE </t>
  </si>
  <si>
    <t xml:space="preserve"> DUFAURE </t>
  </si>
  <si>
    <t xml:space="preserve"> Jean-Marc </t>
  </si>
  <si>
    <t xml:space="preserve"> COQUEL </t>
  </si>
  <si>
    <t xml:space="preserve"> MOUTTAPA </t>
  </si>
  <si>
    <t xml:space="preserve"> CAZOULAT </t>
  </si>
  <si>
    <t xml:space="preserve"> BOURRIER </t>
  </si>
  <si>
    <t xml:space="preserve"> PEROT </t>
  </si>
  <si>
    <t xml:space="preserve"> HOCQUET </t>
  </si>
  <si>
    <t xml:space="preserve"> CLOUARD </t>
  </si>
  <si>
    <t xml:space="preserve"> WARNAULT </t>
  </si>
  <si>
    <t xml:space="preserve"> FRAVAL </t>
  </si>
  <si>
    <t xml:space="preserve"> GACZOL </t>
  </si>
  <si>
    <t xml:space="preserve"> MENESTREAU-EN-VILLETTE </t>
  </si>
  <si>
    <t xml:space="preserve"> NOREVE </t>
  </si>
  <si>
    <t xml:space="preserve"> OUCHENE </t>
  </si>
  <si>
    <t xml:space="preserve"> ASTT BRIE </t>
  </si>
  <si>
    <t xml:space="preserve"> DECUYPERE </t>
  </si>
  <si>
    <t xml:space="preserve"> LEVRON </t>
  </si>
  <si>
    <t xml:space="preserve"> PALINIEWICZ </t>
  </si>
  <si>
    <t xml:space="preserve"> VIGNERON </t>
  </si>
  <si>
    <t xml:space="preserve"> GAIFFE </t>
  </si>
  <si>
    <t xml:space="preserve"> PROTIERE </t>
  </si>
  <si>
    <t xml:space="preserve"> TOURNIER </t>
  </si>
  <si>
    <t xml:space="preserve"> CRETAL </t>
  </si>
  <si>
    <t xml:space="preserve"> PICHAUD </t>
  </si>
  <si>
    <t xml:space="preserve"> JAUME </t>
  </si>
  <si>
    <t xml:space="preserve"> AVENIR PONGISTE MONTELAIS </t>
  </si>
  <si>
    <t xml:space="preserve"> VIAUX </t>
  </si>
  <si>
    <t xml:space="preserve"> BEGROLLES EN MAUGES Régin </t>
  </si>
  <si>
    <t xml:space="preserve"> DUCHATEAU </t>
  </si>
  <si>
    <t xml:space="preserve"> LEJEUNE </t>
  </si>
  <si>
    <t xml:space="preserve"> MILHERES </t>
  </si>
  <si>
    <t xml:space="preserve"> BURTIN </t>
  </si>
  <si>
    <t xml:space="preserve"> LE PRE D AUGE-LA BOISSIER </t>
  </si>
  <si>
    <t xml:space="preserve"> JOURDEN </t>
  </si>
  <si>
    <t xml:space="preserve"> MIGUET </t>
  </si>
  <si>
    <t xml:space="preserve"> SCHOUVER </t>
  </si>
  <si>
    <t xml:space="preserve"> WATTEBLED </t>
  </si>
  <si>
    <t xml:space="preserve"> DEPEUIL </t>
  </si>
  <si>
    <t xml:space="preserve"> FREYCENET </t>
  </si>
  <si>
    <t xml:space="preserve"> HURET </t>
  </si>
  <si>
    <t xml:space="preserve"> CHAPTAL </t>
  </si>
  <si>
    <t xml:space="preserve"> CASSES </t>
  </si>
  <si>
    <t xml:space="preserve"> GAESSLER </t>
  </si>
  <si>
    <t xml:space="preserve"> LEFIN </t>
  </si>
  <si>
    <t xml:space="preserve"> KURYLAK </t>
  </si>
  <si>
    <t xml:space="preserve"> GUIBRETEAU </t>
  </si>
  <si>
    <t xml:space="preserve"> TRICOTTET </t>
  </si>
  <si>
    <t xml:space="preserve"> PROYART ASTT </t>
  </si>
  <si>
    <t xml:space="preserve"> RINGUET </t>
  </si>
  <si>
    <t xml:space="preserve"> GUIMONNEAU </t>
  </si>
  <si>
    <t xml:space="preserve"> ALPILLES TT EYGUIERES </t>
  </si>
  <si>
    <t xml:space="preserve"> PAULET </t>
  </si>
  <si>
    <t xml:space="preserve"> MIODUSZEWSKI </t>
  </si>
  <si>
    <t xml:space="preserve"> Tomasz </t>
  </si>
  <si>
    <t xml:space="preserve"> US CRETEIL TENNIS DE TABL </t>
  </si>
  <si>
    <t xml:space="preserve"> ECHO SPORTIF MULSANS </t>
  </si>
  <si>
    <t xml:space="preserve"> SEILLIER </t>
  </si>
  <si>
    <t xml:space="preserve"> SYLVAIN </t>
  </si>
  <si>
    <t xml:space="preserve"> PENNINCKX </t>
  </si>
  <si>
    <t xml:space="preserve"> CALVEZ </t>
  </si>
  <si>
    <t xml:space="preserve"> CTT TAULESIEN </t>
  </si>
  <si>
    <t xml:space="preserve"> ARETTE-HOURQUET </t>
  </si>
  <si>
    <t xml:space="preserve"> LECROSNIER </t>
  </si>
  <si>
    <t xml:space="preserve"> ROUDIER </t>
  </si>
  <si>
    <t xml:space="preserve"> FERRANDO </t>
  </si>
  <si>
    <t xml:space="preserve"> BOUTELOUP </t>
  </si>
  <si>
    <t xml:space="preserve"> BIDEAU-MILLON </t>
  </si>
  <si>
    <t xml:space="preserve"> CANNONI </t>
  </si>
  <si>
    <t xml:space="preserve"> TOURNANT </t>
  </si>
  <si>
    <t xml:space="preserve"> BRAEM </t>
  </si>
  <si>
    <t xml:space="preserve"> DAIGNY </t>
  </si>
  <si>
    <t xml:space="preserve"> SAINT-DENIS </t>
  </si>
  <si>
    <t xml:space="preserve"> RIO </t>
  </si>
  <si>
    <t xml:space="preserve"> BULEON </t>
  </si>
  <si>
    <t xml:space="preserve"> E.S. SAINT-AVE </t>
  </si>
  <si>
    <t xml:space="preserve"> COLLETER </t>
  </si>
  <si>
    <t xml:space="preserve"> THULEAU </t>
  </si>
  <si>
    <t xml:space="preserve"> VALLÉE D'ORTHE U.S </t>
  </si>
  <si>
    <t xml:space="preserve"> MARQUET </t>
  </si>
  <si>
    <t xml:space="preserve"> HERBRETEAU </t>
  </si>
  <si>
    <t xml:space="preserve"> PERROCHON </t>
  </si>
  <si>
    <t xml:space="preserve"> LABARSOUQUE </t>
  </si>
  <si>
    <t xml:space="preserve"> FJEP SALIES DE BEARN </t>
  </si>
  <si>
    <t xml:space="preserve"> QUENAULT </t>
  </si>
  <si>
    <t xml:space="preserve"> DIOGO </t>
  </si>
  <si>
    <t xml:space="preserve"> RUELLON </t>
  </si>
  <si>
    <t xml:space="preserve"> FENDORF </t>
  </si>
  <si>
    <t xml:space="preserve"> PUCHAULT </t>
  </si>
  <si>
    <t xml:space="preserve"> LAMONTAGNE </t>
  </si>
  <si>
    <t xml:space="preserve"> DA COSTA </t>
  </si>
  <si>
    <t xml:space="preserve"> PEDUZZI </t>
  </si>
  <si>
    <t xml:space="preserve"> POGNON </t>
  </si>
  <si>
    <t xml:space="preserve"> FORMENTIN </t>
  </si>
  <si>
    <t xml:space="preserve"> PUZEAUX AAE </t>
  </si>
  <si>
    <t xml:space="preserve"> UNG </t>
  </si>
  <si>
    <t xml:space="preserve"> Dara </t>
  </si>
  <si>
    <t xml:space="preserve"> MERRIEN </t>
  </si>
  <si>
    <t xml:space="preserve"> G.S.A. BRANDERION </t>
  </si>
  <si>
    <t xml:space="preserve"> DEBERTHE </t>
  </si>
  <si>
    <t xml:space="preserve"> MAROUSEZ </t>
  </si>
  <si>
    <t xml:space="preserve"> LIGNEAU </t>
  </si>
  <si>
    <t xml:space="preserve"> OLDENBURG </t>
  </si>
  <si>
    <t xml:space="preserve"> DAOUDAL </t>
  </si>
  <si>
    <t xml:space="preserve"> Lanig </t>
  </si>
  <si>
    <t xml:space="preserve"> FUSELIER </t>
  </si>
  <si>
    <t xml:space="preserve"> PONIEDZIALEK </t>
  </si>
  <si>
    <t xml:space="preserve"> Conrad </t>
  </si>
  <si>
    <t xml:space="preserve"> Brétignolles EP </t>
  </si>
  <si>
    <t xml:space="preserve"> MALTIER </t>
  </si>
  <si>
    <t xml:space="preserve"> MOISSY CRAMAYEL TT </t>
  </si>
  <si>
    <t xml:space="preserve"> COCQ </t>
  </si>
  <si>
    <t xml:space="preserve"> LIBAUD </t>
  </si>
  <si>
    <t xml:space="preserve"> DISSAUX </t>
  </si>
  <si>
    <t xml:space="preserve"> ROUDAUT </t>
  </si>
  <si>
    <t xml:space="preserve"> PERNET </t>
  </si>
  <si>
    <t xml:space="preserve"> VARAGNAT </t>
  </si>
  <si>
    <t xml:space="preserve"> TT ST PRIEST EN JAREZ </t>
  </si>
  <si>
    <t xml:space="preserve"> DEMAISON </t>
  </si>
  <si>
    <t xml:space="preserve"> FERRARA </t>
  </si>
  <si>
    <t xml:space="preserve"> PESQUER </t>
  </si>
  <si>
    <t xml:space="preserve"> MONLLOR </t>
  </si>
  <si>
    <t xml:space="preserve"> GIROIS </t>
  </si>
  <si>
    <t xml:space="preserve"> CARIOU </t>
  </si>
  <si>
    <t xml:space="preserve"> SPORTS ET LOISIRS LACOLLO </t>
  </si>
  <si>
    <t xml:space="preserve"> MONTLOUIS </t>
  </si>
  <si>
    <t xml:space="preserve"> 349B2002 </t>
  </si>
  <si>
    <t xml:space="preserve"> ASPTT MARTINIQUE </t>
  </si>
  <si>
    <t xml:space="preserve"> MASSET </t>
  </si>
  <si>
    <t xml:space="preserve"> MOUGEY </t>
  </si>
  <si>
    <t xml:space="preserve"> MASSCHELEYN </t>
  </si>
  <si>
    <t xml:space="preserve"> CABESTAING </t>
  </si>
  <si>
    <t xml:space="preserve"> AVRAIN </t>
  </si>
  <si>
    <t xml:space="preserve"> TEMARII </t>
  </si>
  <si>
    <t xml:space="preserve"> ARGELES/ALBERES ENTENTE </t>
  </si>
  <si>
    <t xml:space="preserve"> NIEPOMIASCI </t>
  </si>
  <si>
    <t xml:space="preserve"> DUREAU </t>
  </si>
  <si>
    <t xml:space="preserve"> CLOP </t>
  </si>
  <si>
    <t xml:space="preserve"> CHAUT </t>
  </si>
  <si>
    <t xml:space="preserve"> CHAMBARAUD </t>
  </si>
  <si>
    <t xml:space="preserve"> POIGNANT </t>
  </si>
  <si>
    <t xml:space="preserve"> CARDOSO </t>
  </si>
  <si>
    <t xml:space="preserve"> CHERBONNET </t>
  </si>
  <si>
    <t xml:space="preserve"> JANNEYRIAS TENNIS DE TABL </t>
  </si>
  <si>
    <t xml:space="preserve"> CRECHET </t>
  </si>
  <si>
    <t xml:space="preserve"> LETERRIER </t>
  </si>
  <si>
    <t xml:space="preserve"> BIOU </t>
  </si>
  <si>
    <t xml:space="preserve"> RINIE </t>
  </si>
  <si>
    <t xml:space="preserve"> GRUDE </t>
  </si>
  <si>
    <t xml:space="preserve"> CAMPOT </t>
  </si>
  <si>
    <t xml:space="preserve"> SCHWEIZER </t>
  </si>
  <si>
    <t xml:space="preserve"> BRIEY U.S. Tennis de Tabl </t>
  </si>
  <si>
    <t xml:space="preserve"> BROUDIC </t>
  </si>
  <si>
    <t xml:space="preserve"> ERDINGER </t>
  </si>
  <si>
    <t xml:space="preserve"> ALBA </t>
  </si>
  <si>
    <t xml:space="preserve"> BRONGNIART </t>
  </si>
  <si>
    <t xml:space="preserve"> TT GELLES </t>
  </si>
  <si>
    <t xml:space="preserve"> LANNUZEL </t>
  </si>
  <si>
    <t xml:space="preserve"> ROBEZ MASSON </t>
  </si>
  <si>
    <t xml:space="preserve"> DESNOYERS </t>
  </si>
  <si>
    <t xml:space="preserve"> MESSIKA </t>
  </si>
  <si>
    <t xml:space="preserve"> SAIGOT </t>
  </si>
  <si>
    <t xml:space="preserve"> LERATTI </t>
  </si>
  <si>
    <t xml:space="preserve"> HAMAÏDE </t>
  </si>
  <si>
    <t xml:space="preserve"> GADRET </t>
  </si>
  <si>
    <t xml:space="preserve"> SOLESMES TT </t>
  </si>
  <si>
    <t xml:space="preserve"> TT ST JORY </t>
  </si>
  <si>
    <t xml:space="preserve"> DELSOL </t>
  </si>
  <si>
    <t xml:space="preserve"> LACOINTE </t>
  </si>
  <si>
    <t xml:space="preserve"> E S FRESNOY FOLNY </t>
  </si>
  <si>
    <t xml:space="preserve"> VRIGNEAU </t>
  </si>
  <si>
    <t xml:space="preserve"> MURET </t>
  </si>
  <si>
    <t xml:space="preserve"> HARNOIS </t>
  </si>
  <si>
    <t xml:space="preserve"> BELSOEUR </t>
  </si>
  <si>
    <t xml:space="preserve"> DEBREYNE </t>
  </si>
  <si>
    <t xml:space="preserve"> QUERET </t>
  </si>
  <si>
    <t xml:space="preserve"> CLAUDIN </t>
  </si>
  <si>
    <t xml:space="preserve"> COLBOC </t>
  </si>
  <si>
    <t xml:space="preserve"> HANNECART </t>
  </si>
  <si>
    <t xml:space="preserve"> JEANNEROT </t>
  </si>
  <si>
    <t xml:space="preserve"> LAROERE </t>
  </si>
  <si>
    <t xml:space="preserve"> GAGNARD </t>
  </si>
  <si>
    <t xml:space="preserve"> GIGANTE </t>
  </si>
  <si>
    <t xml:space="preserve"> CHAVAND </t>
  </si>
  <si>
    <t xml:space="preserve"> CARRARA </t>
  </si>
  <si>
    <t xml:space="preserve"> DUMESTIER </t>
  </si>
  <si>
    <t xml:space="preserve"> ROTELLI </t>
  </si>
  <si>
    <t xml:space="preserve"> LE MOUROUX </t>
  </si>
  <si>
    <t xml:space="preserve"> PEIGNE </t>
  </si>
  <si>
    <t xml:space="preserve"> NOIRMOUTIER AL </t>
  </si>
  <si>
    <t xml:space="preserve"> ROCHER </t>
  </si>
  <si>
    <t xml:space="preserve"> PLOUHINEC </t>
  </si>
  <si>
    <t xml:space="preserve"> COUPART </t>
  </si>
  <si>
    <t xml:space="preserve"> CALBRIX </t>
  </si>
  <si>
    <t xml:space="preserve"> POTT </t>
  </si>
  <si>
    <t xml:space="preserve"> AUBARBIER </t>
  </si>
  <si>
    <t xml:space="preserve"> FORNER </t>
  </si>
  <si>
    <t xml:space="preserve"> MEZERETTE </t>
  </si>
  <si>
    <t xml:space="preserve"> SOULIER </t>
  </si>
  <si>
    <t xml:space="preserve"> VIEILLEVIGNE A.P. </t>
  </si>
  <si>
    <t xml:space="preserve"> ARMORICAINE DE PEAULE </t>
  </si>
  <si>
    <t xml:space="preserve"> RAUD </t>
  </si>
  <si>
    <t xml:space="preserve"> COUTAL </t>
  </si>
  <si>
    <t xml:space="preserve"> LORMIER </t>
  </si>
  <si>
    <t xml:space="preserve"> TONSUSO </t>
  </si>
  <si>
    <t xml:space="preserve"> Jean-bruno </t>
  </si>
  <si>
    <t xml:space="preserve"> FIELBAL </t>
  </si>
  <si>
    <t xml:space="preserve"> LEMANCEL </t>
  </si>
  <si>
    <t xml:space="preserve"> PUTANGES US </t>
  </si>
  <si>
    <t xml:space="preserve"> LEFOL </t>
  </si>
  <si>
    <t xml:space="preserve"> Cédrick </t>
  </si>
  <si>
    <t xml:space="preserve"> LI HEE WAH </t>
  </si>
  <si>
    <t xml:space="preserve"> Lee </t>
  </si>
  <si>
    <t xml:space="preserve"> BOUTEILLER </t>
  </si>
  <si>
    <t xml:space="preserve"> RECHAL </t>
  </si>
  <si>
    <t xml:space="preserve"> Sony </t>
  </si>
  <si>
    <t xml:space="preserve"> CHANLON </t>
  </si>
  <si>
    <t xml:space="preserve"> DOLL </t>
  </si>
  <si>
    <t xml:space="preserve"> GUILLEMENOT </t>
  </si>
  <si>
    <t xml:space="preserve"> CETTIER </t>
  </si>
  <si>
    <t xml:space="preserve"> SENELET </t>
  </si>
  <si>
    <t xml:space="preserve"> DELMOTTE </t>
  </si>
  <si>
    <t xml:space="preserve"> DRIEU </t>
  </si>
  <si>
    <t xml:space="preserve"> MANNER </t>
  </si>
  <si>
    <t xml:space="preserve"> HAUSSY </t>
  </si>
  <si>
    <t xml:space="preserve"> AGBODJAN </t>
  </si>
  <si>
    <t xml:space="preserve"> Jonas </t>
  </si>
  <si>
    <t xml:space="preserve"> DOMINGOS </t>
  </si>
  <si>
    <t xml:space="preserve"> SOURICE </t>
  </si>
  <si>
    <t xml:space="preserve"> SEYLER </t>
  </si>
  <si>
    <t xml:space="preserve"> TAKACS </t>
  </si>
  <si>
    <t xml:space="preserve"> LAQUEDUC </t>
  </si>
  <si>
    <t xml:space="preserve"> LAVOGEZ </t>
  </si>
  <si>
    <t xml:space="preserve"> ESTOR </t>
  </si>
  <si>
    <t xml:space="preserve"> SARRE </t>
  </si>
  <si>
    <t xml:space="preserve"> SOLDERMANN </t>
  </si>
  <si>
    <t xml:space="preserve"> ACLRE RECHESY </t>
  </si>
  <si>
    <t xml:space="preserve"> FURIC </t>
  </si>
  <si>
    <t xml:space="preserve"> SPODYMECK </t>
  </si>
  <si>
    <t xml:space="preserve"> RENAULD </t>
  </si>
  <si>
    <t xml:space="preserve"> KOPCIO </t>
  </si>
  <si>
    <t xml:space="preserve"> WITZ </t>
  </si>
  <si>
    <t xml:space="preserve"> BECHERAND </t>
  </si>
  <si>
    <t xml:space="preserve"> PALISSE </t>
  </si>
  <si>
    <t xml:space="preserve"> BENATO </t>
  </si>
  <si>
    <t xml:space="preserve"> FAUGERON </t>
  </si>
  <si>
    <t xml:space="preserve"> JOUANIQUE </t>
  </si>
  <si>
    <t xml:space="preserve"> MOLLE </t>
  </si>
  <si>
    <t xml:space="preserve"> THEBAULT </t>
  </si>
  <si>
    <t xml:space="preserve"> PING GAILLARDIN </t>
  </si>
  <si>
    <t xml:space="preserve"> GOURRIER </t>
  </si>
  <si>
    <t xml:space="preserve"> ETIEVE </t>
  </si>
  <si>
    <t xml:space="preserve"> ORLIK </t>
  </si>
  <si>
    <t xml:space="preserve"> HOEFFEL </t>
  </si>
  <si>
    <t xml:space="preserve"> FARRE </t>
  </si>
  <si>
    <t xml:space="preserve"> LUNEL TENNIS DE TABLE </t>
  </si>
  <si>
    <t xml:space="preserve"> MADEC </t>
  </si>
  <si>
    <t xml:space="preserve"> SALEH </t>
  </si>
  <si>
    <t xml:space="preserve"> HENCK </t>
  </si>
  <si>
    <t xml:space="preserve"> CANTEL </t>
  </si>
  <si>
    <t xml:space="preserve"> RAUCHE </t>
  </si>
  <si>
    <t xml:space="preserve"> VILLENEUVE EN RETZ   TT </t>
  </si>
  <si>
    <t xml:space="preserve"> CLAEYSSEN </t>
  </si>
  <si>
    <t xml:space="preserve"> PAYAN </t>
  </si>
  <si>
    <t xml:space="preserve"> LANTERNAT </t>
  </si>
  <si>
    <t xml:space="preserve"> VERDES </t>
  </si>
  <si>
    <t xml:space="preserve"> TETUE </t>
  </si>
  <si>
    <t xml:space="preserve"> MAUBEUGE UTT </t>
  </si>
  <si>
    <t xml:space="preserve"> DEBAT </t>
  </si>
  <si>
    <t xml:space="preserve"> ALLOUL </t>
  </si>
  <si>
    <t xml:space="preserve"> MERAT </t>
  </si>
  <si>
    <t xml:space="preserve"> DRUCOURT TENNIS DE TABLE </t>
  </si>
  <si>
    <t xml:space="preserve"> MANDELLI </t>
  </si>
  <si>
    <t xml:space="preserve"> ROMESTAN </t>
  </si>
  <si>
    <t xml:space="preserve"> COUSOLRE ASPP </t>
  </si>
  <si>
    <t xml:space="preserve"> Quoc dung </t>
  </si>
  <si>
    <t xml:space="preserve"> PETITGAS </t>
  </si>
  <si>
    <t xml:space="preserve"> URVOIS </t>
  </si>
  <si>
    <t xml:space="preserve"> Paul marc </t>
  </si>
  <si>
    <t xml:space="preserve"> MORICE </t>
  </si>
  <si>
    <t xml:space="preserve"> GINER </t>
  </si>
  <si>
    <t xml:space="preserve"> Lucas </t>
  </si>
  <si>
    <t xml:space="preserve"> GICQUEL </t>
  </si>
  <si>
    <t xml:space="preserve"> LOURY </t>
  </si>
  <si>
    <t xml:space="preserve"> FOUCHE </t>
  </si>
  <si>
    <t xml:space="preserve"> LAFONT </t>
  </si>
  <si>
    <t xml:space="preserve"> VINOT </t>
  </si>
  <si>
    <t xml:space="preserve"> FRESNOY LE GD VERMANDOIS </t>
  </si>
  <si>
    <t xml:space="preserve"> VANTIEGHEM </t>
  </si>
  <si>
    <t xml:space="preserve"> DESCHAMPS-BERGER </t>
  </si>
  <si>
    <t xml:space="preserve"> AGAY </t>
  </si>
  <si>
    <t xml:space="preserve"> DALEKI </t>
  </si>
  <si>
    <t xml:space="preserve"> KACZOROWSKI </t>
  </si>
  <si>
    <t xml:space="preserve"> AUSSANT </t>
  </si>
  <si>
    <t xml:space="preserve"> GUYMARE </t>
  </si>
  <si>
    <t xml:space="preserve"> GARRAUD </t>
  </si>
  <si>
    <t xml:space="preserve"> REAUX </t>
  </si>
  <si>
    <t xml:space="preserve"> Théophane </t>
  </si>
  <si>
    <t xml:space="preserve"> RIEUSSET </t>
  </si>
  <si>
    <t xml:space="preserve"> Guilhem </t>
  </si>
  <si>
    <t xml:space="preserve"> PRADES ST GELY TT </t>
  </si>
  <si>
    <t xml:space="preserve"> AMSELLEM </t>
  </si>
  <si>
    <t xml:space="preserve"> DRUELLE </t>
  </si>
  <si>
    <t xml:space="preserve"> LARBAOUI </t>
  </si>
  <si>
    <t xml:space="preserve"> BREDEL </t>
  </si>
  <si>
    <t xml:space="preserve"> KIEFER </t>
  </si>
  <si>
    <t xml:space="preserve"> DESCHARMES </t>
  </si>
  <si>
    <t xml:space="preserve"> ABERGEMENT CLEMENCIA </t>
  </si>
  <si>
    <t xml:space="preserve"> BELLEE </t>
  </si>
  <si>
    <t xml:space="preserve"> CONDOTTI </t>
  </si>
  <si>
    <t xml:space="preserve"> GRARDEL </t>
  </si>
  <si>
    <t xml:space="preserve"> RONCERET </t>
  </si>
  <si>
    <t xml:space="preserve"> MALESHERBOIS CP </t>
  </si>
  <si>
    <t xml:space="preserve"> LAPLACE </t>
  </si>
  <si>
    <t xml:space="preserve"> JOUSSE </t>
  </si>
  <si>
    <t xml:space="preserve"> CORVELLEC </t>
  </si>
  <si>
    <t xml:space="preserve"> CARIS </t>
  </si>
  <si>
    <t xml:space="preserve"> MARSACAIS TENNIS DE TABLE </t>
  </si>
  <si>
    <t xml:space="preserve"> BERTINEAU </t>
  </si>
  <si>
    <t xml:space="preserve"> Mirambeau MTT </t>
  </si>
  <si>
    <t xml:space="preserve"> ORLANDO </t>
  </si>
  <si>
    <t xml:space="preserve"> COUE </t>
  </si>
  <si>
    <t xml:space="preserve"> PELLOIN </t>
  </si>
  <si>
    <t xml:space="preserve"> JUBLAINS A.S.J.T.T. </t>
  </si>
  <si>
    <t xml:space="preserve"> DUCHATELLE </t>
  </si>
  <si>
    <t xml:space="preserve"> BEAUVAL TT </t>
  </si>
  <si>
    <t xml:space="preserve"> MONACO </t>
  </si>
  <si>
    <t xml:space="preserve"> BAHON </t>
  </si>
  <si>
    <t xml:space="preserve"> PINEL </t>
  </si>
  <si>
    <t xml:space="preserve"> Anh dung </t>
  </si>
  <si>
    <t xml:space="preserve"> CUNAT </t>
  </si>
  <si>
    <t xml:space="preserve"> ANDREOZZI </t>
  </si>
  <si>
    <t xml:space="preserve"> FLECHARD </t>
  </si>
  <si>
    <t xml:space="preserve"> JERRAIN </t>
  </si>
  <si>
    <t xml:space="preserve"> Boissy saint leger ASTT </t>
  </si>
  <si>
    <t xml:space="preserve"> AUDUN LE ROMAN ASTT </t>
  </si>
  <si>
    <t xml:space="preserve"> ANDRIANAIVORAVELONA </t>
  </si>
  <si>
    <t xml:space="preserve"> Mahéry </t>
  </si>
  <si>
    <t xml:space="preserve"> STAINS ES </t>
  </si>
  <si>
    <t xml:space="preserve"> MORISSE </t>
  </si>
  <si>
    <t xml:space="preserve"> ANDIOLE </t>
  </si>
  <si>
    <t xml:space="preserve"> T.T. METTRAY </t>
  </si>
  <si>
    <t xml:space="preserve"> ANGELINI </t>
  </si>
  <si>
    <t xml:space="preserve"> COURCOT </t>
  </si>
  <si>
    <t xml:space="preserve"> PARAGOT </t>
  </si>
  <si>
    <t xml:space="preserve"> SAINT PAUL LOISIRS </t>
  </si>
  <si>
    <t xml:space="preserve"> JASPART </t>
  </si>
  <si>
    <t xml:space="preserve"> GRESSANI </t>
  </si>
  <si>
    <t xml:space="preserve"> LIEME </t>
  </si>
  <si>
    <t xml:space="preserve"> SOUFFIR </t>
  </si>
  <si>
    <t xml:space="preserve"> LEPORTIER </t>
  </si>
  <si>
    <t xml:space="preserve"> BILLY </t>
  </si>
  <si>
    <t xml:space="preserve"> Nueil-les-Aubiers A.P. </t>
  </si>
  <si>
    <t xml:space="preserve"> BENSOLTANE </t>
  </si>
  <si>
    <t xml:space="preserve"> ST LAURENT S/S ASCM </t>
  </si>
  <si>
    <t xml:space="preserve"> LENGLET </t>
  </si>
  <si>
    <t xml:space="preserve"> Herminio </t>
  </si>
  <si>
    <t xml:space="preserve"> CAGNET </t>
  </si>
  <si>
    <t xml:space="preserve"> GENERALI SPORT ET CULTURE </t>
  </si>
  <si>
    <t xml:space="preserve"> FREZIER </t>
  </si>
  <si>
    <t xml:space="preserve"> BONNENFANT </t>
  </si>
  <si>
    <t xml:space="preserve"> POHL </t>
  </si>
  <si>
    <t xml:space="preserve"> MURER </t>
  </si>
  <si>
    <t xml:space="preserve"> Nelson </t>
  </si>
  <si>
    <t xml:space="preserve"> LYONNE </t>
  </si>
  <si>
    <t xml:space="preserve"> DELEURME </t>
  </si>
  <si>
    <t xml:space="preserve"> NUMAN </t>
  </si>
  <si>
    <t xml:space="preserve"> DUMANT </t>
  </si>
  <si>
    <t xml:space="preserve"> Jean-rene </t>
  </si>
  <si>
    <t xml:space="preserve"> HARDIER </t>
  </si>
  <si>
    <t xml:space="preserve"> BLONDEAU </t>
  </si>
  <si>
    <t xml:space="preserve"> BORNAND </t>
  </si>
  <si>
    <t xml:space="preserve"> SAOUT </t>
  </si>
  <si>
    <t xml:space="preserve"> ST. DOULCHARD TT. </t>
  </si>
  <si>
    <t xml:space="preserve"> BEINSTINGEL </t>
  </si>
  <si>
    <t xml:space="preserve"> U.S.C. LEZOUX </t>
  </si>
  <si>
    <t xml:space="preserve"> ZMIROU </t>
  </si>
  <si>
    <t xml:space="preserve"> JOUSSEMET </t>
  </si>
  <si>
    <t xml:space="preserve"> E.D.P. LANESTER </t>
  </si>
  <si>
    <t xml:space="preserve"> MARLIER </t>
  </si>
  <si>
    <t xml:space="preserve"> GUIGNICOURT CTT </t>
  </si>
  <si>
    <t xml:space="preserve"> FADEUILHE </t>
  </si>
  <si>
    <t xml:space="preserve"> DERENNE </t>
  </si>
  <si>
    <t xml:space="preserve"> SANGOI </t>
  </si>
  <si>
    <t xml:space="preserve"> SOULTZ CSM TT </t>
  </si>
  <si>
    <t xml:space="preserve"> MATHEY </t>
  </si>
  <si>
    <t xml:space="preserve"> LESAINT </t>
  </si>
  <si>
    <t xml:space="preserve"> Jean-Paul </t>
  </si>
  <si>
    <t xml:space="preserve"> FRECHE </t>
  </si>
  <si>
    <t xml:space="preserve"> DEPIERRE </t>
  </si>
  <si>
    <t xml:space="preserve"> BAERT </t>
  </si>
  <si>
    <t xml:space="preserve"> TRINQUIER </t>
  </si>
  <si>
    <t xml:space="preserve"> DOUSSIN </t>
  </si>
  <si>
    <t xml:space="preserve"> HOLGARD </t>
  </si>
  <si>
    <t xml:space="preserve"> BOCHEREAU </t>
  </si>
  <si>
    <t xml:space="preserve"> FREITAS </t>
  </si>
  <si>
    <t xml:space="preserve"> LEBAUT </t>
  </si>
  <si>
    <t xml:space="preserve"> OMSL BOURG MADAME TT </t>
  </si>
  <si>
    <t xml:space="preserve"> TENNIS DE TABLE RONCHAMP </t>
  </si>
  <si>
    <t xml:space="preserve"> ROUSSY </t>
  </si>
  <si>
    <t xml:space="preserve"> LAEMMEL </t>
  </si>
  <si>
    <t xml:space="preserve"> LARROQUE </t>
  </si>
  <si>
    <t xml:space="preserve"> CAM </t>
  </si>
  <si>
    <t xml:space="preserve"> FEVRIER </t>
  </si>
  <si>
    <t xml:space="preserve"> BURETTE </t>
  </si>
  <si>
    <t xml:space="preserve"> DELOT </t>
  </si>
  <si>
    <t xml:space="preserve"> CASTELGINEST TT </t>
  </si>
  <si>
    <t xml:space="preserve"> TAING </t>
  </si>
  <si>
    <t xml:space="preserve"> APSAP PARIS </t>
  </si>
  <si>
    <t xml:space="preserve"> LE NEGARET </t>
  </si>
  <si>
    <t xml:space="preserve"> GUENOUN </t>
  </si>
  <si>
    <t xml:space="preserve"> THIESSARD </t>
  </si>
  <si>
    <t xml:space="preserve"> LAGUILLIER </t>
  </si>
  <si>
    <t xml:space="preserve"> FAUCONNET </t>
  </si>
  <si>
    <t xml:space="preserve"> VILLANUEVA </t>
  </si>
  <si>
    <t xml:space="preserve"> VILLAIN </t>
  </si>
  <si>
    <t xml:space="preserve"> BRENEL </t>
  </si>
  <si>
    <t xml:space="preserve"> CHAUDOT </t>
  </si>
  <si>
    <t xml:space="preserve"> MEMMI </t>
  </si>
  <si>
    <t xml:space="preserve"> VANHECKE </t>
  </si>
  <si>
    <t xml:space="preserve"> PARMENTELAT </t>
  </si>
  <si>
    <t xml:space="preserve"> GIAMBERTONE </t>
  </si>
  <si>
    <t xml:space="preserve"> SRENG </t>
  </si>
  <si>
    <t xml:space="preserve"> You </t>
  </si>
  <si>
    <t xml:space="preserve"> CHESNIER </t>
  </si>
  <si>
    <t xml:space="preserve"> CLEYET MERLE </t>
  </si>
  <si>
    <t xml:space="preserve"> SEITE </t>
  </si>
  <si>
    <t xml:space="preserve"> CACHARD </t>
  </si>
  <si>
    <t xml:space="preserve"> CASTAING </t>
  </si>
  <si>
    <t xml:space="preserve"> LECERCLE </t>
  </si>
  <si>
    <t xml:space="preserve"> DEMPURE </t>
  </si>
  <si>
    <t xml:space="preserve"> WYBAILLIE </t>
  </si>
  <si>
    <t xml:space="preserve"> Kleber </t>
  </si>
  <si>
    <t xml:space="preserve"> HUTTARD </t>
  </si>
  <si>
    <t xml:space="preserve"> ARSANIOUS </t>
  </si>
  <si>
    <t xml:space="preserve"> Ayman </t>
  </si>
  <si>
    <t xml:space="preserve"> ESCARGUEIL </t>
  </si>
  <si>
    <t xml:space="preserve"> DESERT </t>
  </si>
  <si>
    <t xml:space="preserve"> RIPNEL </t>
  </si>
  <si>
    <t xml:space="preserve"> MORENNE </t>
  </si>
  <si>
    <t xml:space="preserve"> Azay-Le-Rideau ESRTT </t>
  </si>
  <si>
    <t xml:space="preserve"> SINICIALI </t>
  </si>
  <si>
    <t xml:space="preserve"> DUPROT </t>
  </si>
  <si>
    <t xml:space="preserve"> SAUTOUR </t>
  </si>
  <si>
    <t xml:space="preserve"> PIERRONNE </t>
  </si>
  <si>
    <t xml:space="preserve"> BATT </t>
  </si>
  <si>
    <t xml:space="preserve"> ERBA </t>
  </si>
  <si>
    <t xml:space="preserve"> OTTEVAERE </t>
  </si>
  <si>
    <t xml:space="preserve"> MARQUES-SANTOS </t>
  </si>
  <si>
    <t xml:space="preserve"> TRIHAN </t>
  </si>
  <si>
    <t xml:space="preserve"> DELARBRE </t>
  </si>
  <si>
    <t xml:space="preserve"> D'HEM </t>
  </si>
  <si>
    <t xml:space="preserve"> RADINGHEM EN WEPPES AS </t>
  </si>
  <si>
    <t xml:space="preserve"> ZARA </t>
  </si>
  <si>
    <t xml:space="preserve"> MAHUT </t>
  </si>
  <si>
    <t xml:space="preserve"> CAPELLE </t>
  </si>
  <si>
    <t xml:space="preserve"> FOURNOL </t>
  </si>
  <si>
    <t xml:space="preserve"> COLACO </t>
  </si>
  <si>
    <t xml:space="preserve"> TURPAUD </t>
  </si>
  <si>
    <t xml:space="preserve"> DRUBAY </t>
  </si>
  <si>
    <t xml:space="preserve"> REBOUILLAT </t>
  </si>
  <si>
    <t xml:space="preserve"> CADE </t>
  </si>
  <si>
    <t xml:space="preserve"> THERIN </t>
  </si>
  <si>
    <t xml:space="preserve"> BOHREN </t>
  </si>
  <si>
    <t xml:space="preserve"> HANG </t>
  </si>
  <si>
    <t xml:space="preserve"> MISSER </t>
  </si>
  <si>
    <t xml:space="preserve"> CERCIER </t>
  </si>
  <si>
    <t xml:space="preserve"> ST NAZAIRE COSTA </t>
  </si>
  <si>
    <t xml:space="preserve"> TOURY </t>
  </si>
  <si>
    <t xml:space="preserve"> PERINET </t>
  </si>
  <si>
    <t xml:space="preserve"> CHATEIL </t>
  </si>
  <si>
    <t xml:space="preserve"> MAZZOLINI </t>
  </si>
  <si>
    <t xml:space="preserve"> PASCAULT </t>
  </si>
  <si>
    <t xml:space="preserve"> COUERON T.T. </t>
  </si>
  <si>
    <t xml:space="preserve"> DE BONFILS </t>
  </si>
  <si>
    <t xml:space="preserve"> CHAUVAT </t>
  </si>
  <si>
    <t xml:space="preserve"> BOGDAN </t>
  </si>
  <si>
    <t xml:space="preserve"> DALLE </t>
  </si>
  <si>
    <t xml:space="preserve"> NELET </t>
  </si>
  <si>
    <t xml:space="preserve"> BOIN </t>
  </si>
  <si>
    <t xml:space="preserve"> VAUCHAMP </t>
  </si>
  <si>
    <t xml:space="preserve"> SMAGUE </t>
  </si>
  <si>
    <t xml:space="preserve"> ETOC </t>
  </si>
  <si>
    <t xml:space="preserve"> FERRERO </t>
  </si>
  <si>
    <t xml:space="preserve"> CHARIL </t>
  </si>
  <si>
    <t xml:space="preserve"> BREMAUD </t>
  </si>
  <si>
    <t xml:space="preserve"> MARTIN SISTERON </t>
  </si>
  <si>
    <t xml:space="preserve"> SERPOLLIER </t>
  </si>
  <si>
    <t xml:space="preserve"> CUVILLIER </t>
  </si>
  <si>
    <t xml:space="preserve"> OHANIAN </t>
  </si>
  <si>
    <t xml:space="preserve"> IBARRONDO </t>
  </si>
  <si>
    <t xml:space="preserve"> HENNART </t>
  </si>
  <si>
    <t xml:space="preserve"> JOUET </t>
  </si>
  <si>
    <t xml:space="preserve"> FAYCELLES PING </t>
  </si>
  <si>
    <t xml:space="preserve"> DOUAILLY </t>
  </si>
  <si>
    <t xml:space="preserve"> BROYER </t>
  </si>
  <si>
    <t xml:space="preserve"> BELLANGER </t>
  </si>
  <si>
    <t xml:space="preserve"> PEREZ CANALES </t>
  </si>
  <si>
    <t xml:space="preserve"> PIETRAK </t>
  </si>
  <si>
    <t xml:space="preserve"> LECHARTRE </t>
  </si>
  <si>
    <t xml:space="preserve"> ROULIN </t>
  </si>
  <si>
    <t xml:space="preserve"> CHANTEPIE A.S. </t>
  </si>
  <si>
    <t xml:space="preserve"> ODILLE </t>
  </si>
  <si>
    <t xml:space="preserve"> MOURANT </t>
  </si>
  <si>
    <t xml:space="preserve"> Yoland </t>
  </si>
  <si>
    <t xml:space="preserve"> CHARNY </t>
  </si>
  <si>
    <t xml:space="preserve"> HELLEGOUARCH </t>
  </si>
  <si>
    <t xml:space="preserve"> TRIKI </t>
  </si>
  <si>
    <t xml:space="preserve"> VERCELLETTO </t>
  </si>
  <si>
    <t xml:space="preserve"> ETIVAL T.T. </t>
  </si>
  <si>
    <t xml:space="preserve"> TRASSAERT </t>
  </si>
  <si>
    <t xml:space="preserve"> DROUILLON </t>
  </si>
  <si>
    <t xml:space="preserve"> BOISROBERT </t>
  </si>
  <si>
    <t xml:space="preserve"> DESTEVE </t>
  </si>
  <si>
    <t xml:space="preserve"> NANTES AS CHU </t>
  </si>
  <si>
    <t xml:space="preserve"> NOUHAUD </t>
  </si>
  <si>
    <t xml:space="preserve"> DELECOURT </t>
  </si>
  <si>
    <t xml:space="preserve"> TT RHUYS-SARZEAU </t>
  </si>
  <si>
    <t xml:space="preserve"> COTTEN </t>
  </si>
  <si>
    <t xml:space="preserve"> LECELLIER </t>
  </si>
  <si>
    <t xml:space="preserve"> RUER </t>
  </si>
  <si>
    <t xml:space="preserve"> CAVES LEUCATE TENNIS DE T </t>
  </si>
  <si>
    <t xml:space="preserve"> BARDOU </t>
  </si>
  <si>
    <t xml:space="preserve"> CAHART </t>
  </si>
  <si>
    <t xml:space="preserve"> BOURLIGUEUX </t>
  </si>
  <si>
    <t xml:space="preserve"> ROBICHON </t>
  </si>
  <si>
    <t xml:space="preserve"> KLINGER </t>
  </si>
  <si>
    <t xml:space="preserve"> BOURGEAS </t>
  </si>
  <si>
    <t xml:space="preserve"> ATT XV </t>
  </si>
  <si>
    <t xml:space="preserve"> CHOPIN </t>
  </si>
  <si>
    <t xml:space="preserve"> PLANQUART </t>
  </si>
  <si>
    <t xml:space="preserve"> CHAPLET </t>
  </si>
  <si>
    <t xml:space="preserve"> DAUDIN </t>
  </si>
  <si>
    <t xml:space="preserve"> BOUKO </t>
  </si>
  <si>
    <t xml:space="preserve"> ST NICOLAS DE PORT PPCP </t>
  </si>
  <si>
    <t xml:space="preserve"> COLIBERT </t>
  </si>
  <si>
    <t xml:space="preserve"> BRIAND </t>
  </si>
  <si>
    <t xml:space="preserve"> RAQUETTE D OR A.T.T. </t>
  </si>
  <si>
    <t xml:space="preserve"> GILQUIN </t>
  </si>
  <si>
    <t xml:space="preserve"> BUTTIER </t>
  </si>
  <si>
    <t xml:space="preserve"> GARIN </t>
  </si>
  <si>
    <t xml:space="preserve"> TT MANTHES </t>
  </si>
  <si>
    <t xml:space="preserve"> DINIS </t>
  </si>
  <si>
    <t xml:space="preserve"> Alberto </t>
  </si>
  <si>
    <t xml:space="preserve"> PERREAU </t>
  </si>
  <si>
    <t xml:space="preserve"> BOUTEILLE </t>
  </si>
  <si>
    <t xml:space="preserve"> VERAN </t>
  </si>
  <si>
    <t xml:space="preserve"> GREGORY </t>
  </si>
  <si>
    <t xml:space="preserve"> CAMRRUBI </t>
  </si>
  <si>
    <t xml:space="preserve"> LE MERDY </t>
  </si>
  <si>
    <t xml:space="preserve"> JEFFREDO </t>
  </si>
  <si>
    <t xml:space="preserve"> PFISTER </t>
  </si>
  <si>
    <t xml:space="preserve"> ANSELIN </t>
  </si>
  <si>
    <t xml:space="preserve"> ORIOL </t>
  </si>
  <si>
    <t xml:space="preserve"> BEN DAOUD </t>
  </si>
  <si>
    <t xml:space="preserve"> MONTADY  CAPESTANG TT </t>
  </si>
  <si>
    <t xml:space="preserve"> VERDAT DU TREMBLEY </t>
  </si>
  <si>
    <t xml:space="preserve"> ASI ILLACAISE </t>
  </si>
  <si>
    <t xml:space="preserve"> VALLE </t>
  </si>
  <si>
    <t xml:space="preserve"> POITTE </t>
  </si>
  <si>
    <t xml:space="preserve"> BRISBARE </t>
  </si>
  <si>
    <t xml:space="preserve"> CARRASCO </t>
  </si>
  <si>
    <t xml:space="preserve"> Pedro </t>
  </si>
  <si>
    <t xml:space="preserve"> BOIME </t>
  </si>
  <si>
    <t xml:space="preserve"> BREUNE </t>
  </si>
  <si>
    <t xml:space="preserve"> MATRAY </t>
  </si>
  <si>
    <t xml:space="preserve"> THEROND </t>
  </si>
  <si>
    <t xml:space="preserve"> CAMARGUE TT </t>
  </si>
  <si>
    <t xml:space="preserve"> POUILLY </t>
  </si>
  <si>
    <t xml:space="preserve"> PHALSBOURG TT </t>
  </si>
  <si>
    <t xml:space="preserve"> MONCHANIN </t>
  </si>
  <si>
    <t xml:space="preserve"> ZAFOUR </t>
  </si>
  <si>
    <t xml:space="preserve"> ST THIBAULT PING </t>
  </si>
  <si>
    <t xml:space="preserve"> DELEPORTE </t>
  </si>
  <si>
    <t xml:space="preserve"> BENESTEAU </t>
  </si>
  <si>
    <t xml:space="preserve"> CHEMILLE Olympique T.T. </t>
  </si>
  <si>
    <t xml:space="preserve"> GRANDCOLAS </t>
  </si>
  <si>
    <t xml:space="preserve"> DENTELLE </t>
  </si>
  <si>
    <t xml:space="preserve"> LE-LOHE </t>
  </si>
  <si>
    <t xml:space="preserve"> ALBRECHT </t>
  </si>
  <si>
    <t xml:space="preserve"> BOULLIER </t>
  </si>
  <si>
    <t xml:space="preserve"> FUZEAU </t>
  </si>
  <si>
    <t xml:space="preserve"> FORTUNATO </t>
  </si>
  <si>
    <t xml:space="preserve"> PILATRINO </t>
  </si>
  <si>
    <t xml:space="preserve"> BOSQUET </t>
  </si>
  <si>
    <t xml:space="preserve"> JEHL </t>
  </si>
  <si>
    <t xml:space="preserve"> BAUDRILLER </t>
  </si>
  <si>
    <t xml:space="preserve"> DAOUD </t>
  </si>
  <si>
    <t xml:space="preserve"> TAVERNY TT </t>
  </si>
  <si>
    <t xml:space="preserve"> CHASSAIGNE </t>
  </si>
  <si>
    <t xml:space="preserve"> RAQUETTE ARDOISIERE </t>
  </si>
  <si>
    <t xml:space="preserve"> SEVERINO </t>
  </si>
  <si>
    <t xml:space="preserve"> TRIQUENOT </t>
  </si>
  <si>
    <t xml:space="preserve"> TINIE </t>
  </si>
  <si>
    <t xml:space="preserve"> A.C. AMBOISE </t>
  </si>
  <si>
    <t xml:space="preserve"> MICHELET </t>
  </si>
  <si>
    <t xml:space="preserve"> COURTIN </t>
  </si>
  <si>
    <t xml:space="preserve"> CHAPPOT </t>
  </si>
  <si>
    <t xml:space="preserve"> FRICAUD </t>
  </si>
  <si>
    <t xml:space="preserve"> CSA 2 RMAT / ESMD BRUZ </t>
  </si>
  <si>
    <t xml:space="preserve"> LEFAUCHEUX </t>
  </si>
  <si>
    <t xml:space="preserve"> Minh man </t>
  </si>
  <si>
    <t xml:space="preserve"> MIERE </t>
  </si>
  <si>
    <t xml:space="preserve"> CHATARD </t>
  </si>
  <si>
    <t xml:space="preserve"> PROU </t>
  </si>
  <si>
    <t xml:space="preserve"> INVERNIZZI </t>
  </si>
  <si>
    <t xml:space="preserve"> SCANFERLA </t>
  </si>
  <si>
    <t xml:space="preserve"> GODIOT </t>
  </si>
  <si>
    <t xml:space="preserve"> VIDARD </t>
  </si>
  <si>
    <t xml:space="preserve"> BUTENEERS </t>
  </si>
  <si>
    <t xml:space="preserve"> ROHRBACHER </t>
  </si>
  <si>
    <t xml:space="preserve"> LESPIGNAN PPC </t>
  </si>
  <si>
    <t xml:space="preserve"> LEFORT </t>
  </si>
  <si>
    <t xml:space="preserve"> SERRANO </t>
  </si>
  <si>
    <t xml:space="preserve"> ERRICO </t>
  </si>
  <si>
    <t xml:space="preserve"> BRUNOY CTT </t>
  </si>
  <si>
    <t xml:space="preserve"> HANNAERT </t>
  </si>
  <si>
    <t xml:space="preserve"> BEAUFRETON </t>
  </si>
  <si>
    <t xml:space="preserve"> MINGAM </t>
  </si>
  <si>
    <t xml:space="preserve"> LACHAT </t>
  </si>
  <si>
    <t xml:space="preserve"> BOILLOT </t>
  </si>
  <si>
    <t xml:space="preserve"> MIRAIL </t>
  </si>
  <si>
    <t xml:space="preserve"> DE BIASE </t>
  </si>
  <si>
    <t xml:space="preserve"> CHAUSSIN </t>
  </si>
  <si>
    <t xml:space="preserve"> FRERE </t>
  </si>
  <si>
    <t xml:space="preserve"> CHAUSSON </t>
  </si>
  <si>
    <t xml:space="preserve"> CHAUMETTE </t>
  </si>
  <si>
    <t xml:space="preserve"> VAN </t>
  </si>
  <si>
    <t xml:space="preserve"> VERDON </t>
  </si>
  <si>
    <t xml:space="preserve"> VERMUS </t>
  </si>
  <si>
    <t xml:space="preserve"> Lois </t>
  </si>
  <si>
    <t xml:space="preserve"> CONTE </t>
  </si>
  <si>
    <t xml:space="preserve"> RISSON </t>
  </si>
  <si>
    <t xml:space="preserve"> HOUSSAY Espérance </t>
  </si>
  <si>
    <t xml:space="preserve"> STAUDER </t>
  </si>
  <si>
    <t xml:space="preserve"> SOUCLIER </t>
  </si>
  <si>
    <t xml:space="preserve"> BERNADE </t>
  </si>
  <si>
    <t xml:space="preserve"> PLASSE </t>
  </si>
  <si>
    <t xml:space="preserve"> AL PARENT TENNIS DE TABLE </t>
  </si>
  <si>
    <t xml:space="preserve"> WOOD </t>
  </si>
  <si>
    <t xml:space="preserve"> FONTENY </t>
  </si>
  <si>
    <t xml:space="preserve"> DUBUC </t>
  </si>
  <si>
    <t xml:space="preserve"> CLUB PONGISTE DU ROUMOIS </t>
  </si>
  <si>
    <t xml:space="preserve"> DANTEN </t>
  </si>
  <si>
    <t xml:space="preserve"> TT ST VIGOR D YMONVILLE </t>
  </si>
  <si>
    <t xml:space="preserve"> SETAN </t>
  </si>
  <si>
    <t xml:space="preserve"> ELBILIA </t>
  </si>
  <si>
    <t xml:space="preserve"> Tristan </t>
  </si>
  <si>
    <t xml:space="preserve"> KIRSCH </t>
  </si>
  <si>
    <t xml:space="preserve"> TACHER </t>
  </si>
  <si>
    <t xml:space="preserve"> AS POUILLY LES NONAINS TT </t>
  </si>
  <si>
    <t xml:space="preserve"> DENMANIVONG </t>
  </si>
  <si>
    <t xml:space="preserve"> Khampheng </t>
  </si>
  <si>
    <t xml:space="preserve"> DE CROUSNILHON </t>
  </si>
  <si>
    <t xml:space="preserve"> Jean-marcel </t>
  </si>
  <si>
    <t xml:space="preserve"> T.T. MONTELIER </t>
  </si>
  <si>
    <t xml:space="preserve"> BOISGONTIER </t>
  </si>
  <si>
    <t xml:space="preserve"> CACHEUX </t>
  </si>
  <si>
    <t xml:space="preserve"> GREZIL </t>
  </si>
  <si>
    <t xml:space="preserve"> REVOL </t>
  </si>
  <si>
    <t xml:space="preserve"> CORPOS CD 21 </t>
  </si>
  <si>
    <t xml:space="preserve"> TOMASETTI </t>
  </si>
  <si>
    <t xml:space="preserve"> ALCALOIDE </t>
  </si>
  <si>
    <t xml:space="preserve"> PORQUET </t>
  </si>
  <si>
    <t xml:space="preserve"> HEQUET </t>
  </si>
  <si>
    <t xml:space="preserve"> FEUQUIERES EN VIMEU TT </t>
  </si>
  <si>
    <t xml:space="preserve"> POIX </t>
  </si>
  <si>
    <t xml:space="preserve"> DECOBERT </t>
  </si>
  <si>
    <t xml:space="preserve"> ROUSSELET </t>
  </si>
  <si>
    <t xml:space="preserve"> COMMUNAL </t>
  </si>
  <si>
    <t xml:space="preserve"> Linh </t>
  </si>
  <si>
    <t xml:space="preserve"> QUACH </t>
  </si>
  <si>
    <t xml:space="preserve"> DENIAU </t>
  </si>
  <si>
    <t xml:space="preserve"> ALVADO </t>
  </si>
  <si>
    <t xml:space="preserve"> GRANDCHAMP </t>
  </si>
  <si>
    <t xml:space="preserve"> PLUOT </t>
  </si>
  <si>
    <t xml:space="preserve"> DE KERLE </t>
  </si>
  <si>
    <t xml:space="preserve"> AUDRAIN </t>
  </si>
  <si>
    <t xml:space="preserve"> CHARRIN </t>
  </si>
  <si>
    <t xml:space="preserve"> GINET </t>
  </si>
  <si>
    <t xml:space="preserve"> PUSO </t>
  </si>
  <si>
    <t xml:space="preserve"> BRETECHE </t>
  </si>
  <si>
    <t xml:space="preserve"> RAMBLIERE </t>
  </si>
  <si>
    <t xml:space="preserve"> SCHNEEGANS </t>
  </si>
  <si>
    <t xml:space="preserve"> CHAPEIRA </t>
  </si>
  <si>
    <t xml:space="preserve"> MOKOSSO </t>
  </si>
  <si>
    <t xml:space="preserve"> Morrel marcelin </t>
  </si>
  <si>
    <t xml:space="preserve"> MOYEUX </t>
  </si>
  <si>
    <t xml:space="preserve"> BOUARD </t>
  </si>
  <si>
    <t xml:space="preserve"> OLLIVIER </t>
  </si>
  <si>
    <t xml:space="preserve"> HAY </t>
  </si>
  <si>
    <t xml:space="preserve"> CREN </t>
  </si>
  <si>
    <t xml:space="preserve"> LELEUX </t>
  </si>
  <si>
    <t xml:space="preserve"> VO DUY </t>
  </si>
  <si>
    <t xml:space="preserve"> FEFEU </t>
  </si>
  <si>
    <t xml:space="preserve"> BASTIEN </t>
  </si>
  <si>
    <t xml:space="preserve"> DOIZE </t>
  </si>
  <si>
    <t xml:space="preserve"> BOURGOGNAT </t>
  </si>
  <si>
    <t xml:space="preserve"> MARCOVECCHIO </t>
  </si>
  <si>
    <t xml:space="preserve"> LAROCHE </t>
  </si>
  <si>
    <t xml:space="preserve"> VLAD </t>
  </si>
  <si>
    <t xml:space="preserve"> Cristian-ioan </t>
  </si>
  <si>
    <t xml:space="preserve"> PECQ US </t>
  </si>
  <si>
    <t xml:space="preserve"> JOUANNIN </t>
  </si>
  <si>
    <t xml:space="preserve"> KAWECKI </t>
  </si>
  <si>
    <t xml:space="preserve"> Chalais - Montmoreau </t>
  </si>
  <si>
    <t xml:space="preserve"> CHAUMEREUIL </t>
  </si>
  <si>
    <t xml:space="preserve"> TROVALET </t>
  </si>
  <si>
    <t xml:space="preserve"> HEBRARD </t>
  </si>
  <si>
    <t xml:space="preserve"> DRUDI </t>
  </si>
  <si>
    <t xml:space="preserve"> HURIAUX </t>
  </si>
  <si>
    <t xml:space="preserve"> COULET </t>
  </si>
  <si>
    <t xml:space="preserve"> BACHTOLD </t>
  </si>
  <si>
    <t xml:space="preserve"> DEVEZE </t>
  </si>
  <si>
    <t xml:space="preserve"> HERNOT </t>
  </si>
  <si>
    <t xml:space="preserve"> DE HAUTECLOCQUE </t>
  </si>
  <si>
    <t xml:space="preserve"> GAIOLA </t>
  </si>
  <si>
    <t xml:space="preserve"> MACRE </t>
  </si>
  <si>
    <t xml:space="preserve"> BAUD </t>
  </si>
  <si>
    <t xml:space="preserve"> GALMICHE </t>
  </si>
  <si>
    <t xml:space="preserve"> CLUB J RADDON BREUCHOTTE </t>
  </si>
  <si>
    <t xml:space="preserve"> GROLEZ </t>
  </si>
  <si>
    <t xml:space="preserve"> PILLARD </t>
  </si>
  <si>
    <t xml:space="preserve"> POIROT </t>
  </si>
  <si>
    <t xml:space="preserve"> GODELLE </t>
  </si>
  <si>
    <t xml:space="preserve"> CATHL ST LAURENT NOUAN </t>
  </si>
  <si>
    <t xml:space="preserve"> LE TOUQUET TAC </t>
  </si>
  <si>
    <t xml:space="preserve"> GACE </t>
  </si>
  <si>
    <t xml:space="preserve"> AS GREZIEU TT </t>
  </si>
  <si>
    <t xml:space="preserve"> ALMUNIA </t>
  </si>
  <si>
    <t xml:space="preserve"> FLECK </t>
  </si>
  <si>
    <t xml:space="preserve"> KLUG </t>
  </si>
  <si>
    <t xml:space="preserve"> STRASBOURG ELECTRICITE AS </t>
  </si>
  <si>
    <t xml:space="preserve"> JOUISSE </t>
  </si>
  <si>
    <t xml:space="preserve"> MARCILLAUD </t>
  </si>
  <si>
    <t xml:space="preserve"> THUAULT </t>
  </si>
  <si>
    <t xml:space="preserve"> GOTTESDIENER </t>
  </si>
  <si>
    <t xml:space="preserve"> BETITO </t>
  </si>
  <si>
    <t xml:space="preserve"> OUSTRIN </t>
  </si>
  <si>
    <t xml:space="preserve"> SOLINSKI </t>
  </si>
  <si>
    <t xml:space="preserve"> DELMER </t>
  </si>
  <si>
    <t xml:space="preserve"> GOMMARD </t>
  </si>
  <si>
    <t xml:space="preserve"> RIBES </t>
  </si>
  <si>
    <t xml:space="preserve"> BELISSANT </t>
  </si>
  <si>
    <t xml:space="preserve"> COURIEUT </t>
  </si>
  <si>
    <t xml:space="preserve"> FILLIERE TENNIS DE TABLE </t>
  </si>
  <si>
    <t xml:space="preserve"> BARRERE </t>
  </si>
  <si>
    <t xml:space="preserve"> WINTERHALTER </t>
  </si>
  <si>
    <t xml:space="preserve"> VENUTOLO </t>
  </si>
  <si>
    <t xml:space="preserve"> CHARON </t>
  </si>
  <si>
    <t xml:space="preserve"> TERRET </t>
  </si>
  <si>
    <t xml:space="preserve"> LAHITTE </t>
  </si>
  <si>
    <t xml:space="preserve"> DUKIC </t>
  </si>
  <si>
    <t xml:space="preserve"> MINISCLOU </t>
  </si>
  <si>
    <t xml:space="preserve"> Elvis </t>
  </si>
  <si>
    <t xml:space="preserve"> LECOT </t>
  </si>
  <si>
    <t xml:space="preserve"> TIMMERMANS </t>
  </si>
  <si>
    <t xml:space="preserve"> BEFFARAT </t>
  </si>
  <si>
    <t xml:space="preserve"> TRULLIER </t>
  </si>
  <si>
    <t xml:space="preserve"> LARCAY TENNIS DE TABLE </t>
  </si>
  <si>
    <t xml:space="preserve"> BOULAN </t>
  </si>
  <si>
    <t xml:space="preserve"> GLEVAREC </t>
  </si>
  <si>
    <t xml:space="preserve"> WASSELEZ </t>
  </si>
  <si>
    <t xml:space="preserve"> GREMMEL </t>
  </si>
  <si>
    <t xml:space="preserve"> BAHOLET </t>
  </si>
  <si>
    <t xml:space="preserve"> DUPLAIN </t>
  </si>
  <si>
    <t xml:space="preserve"> BARBAT </t>
  </si>
  <si>
    <t xml:space="preserve"> Jean dominique </t>
  </si>
  <si>
    <t xml:space="preserve"> ADER </t>
  </si>
  <si>
    <t xml:space="preserve"> BELGRANO </t>
  </si>
  <si>
    <t xml:space="preserve"> FRESSER </t>
  </si>
  <si>
    <t xml:space="preserve"> DEBERT </t>
  </si>
  <si>
    <t xml:space="preserve"> BARATHIEU </t>
  </si>
  <si>
    <t xml:space="preserve"> CHAMPALLE </t>
  </si>
  <si>
    <t xml:space="preserve"> DESFRESNES </t>
  </si>
  <si>
    <t xml:space="preserve"> BLOYET </t>
  </si>
  <si>
    <t xml:space="preserve"> DUTEMPLE </t>
  </si>
  <si>
    <t xml:space="preserve"> BOURDE </t>
  </si>
  <si>
    <t xml:space="preserve"> HUREAU </t>
  </si>
  <si>
    <t xml:space="preserve"> ST DENIS D ANJOU Éclair </t>
  </si>
  <si>
    <t xml:space="preserve"> LENERAND </t>
  </si>
  <si>
    <t xml:space="preserve"> ORY </t>
  </si>
  <si>
    <t xml:space="preserve"> CHAMPAGNE ESP </t>
  </si>
  <si>
    <t xml:space="preserve"> CHAMBONNEAU </t>
  </si>
  <si>
    <t xml:space="preserve"> MIDOT </t>
  </si>
  <si>
    <t xml:space="preserve"> DUSSART </t>
  </si>
  <si>
    <t xml:space="preserve"> LYONNET </t>
  </si>
  <si>
    <t xml:space="preserve"> MENDY </t>
  </si>
  <si>
    <t xml:space="preserve"> DELAVIER </t>
  </si>
  <si>
    <t xml:space="preserve"> LAVALLEE </t>
  </si>
  <si>
    <t xml:space="preserve"> ARTOLA </t>
  </si>
  <si>
    <t xml:space="preserve"> A U O PONT DE ROIDE </t>
  </si>
  <si>
    <t xml:space="preserve"> PALUS </t>
  </si>
  <si>
    <t xml:space="preserve"> CALLOC'H </t>
  </si>
  <si>
    <t xml:space="preserve"> Loïck </t>
  </si>
  <si>
    <t xml:space="preserve"> POMMEREUL </t>
  </si>
  <si>
    <t xml:space="preserve"> ESTIENNE </t>
  </si>
  <si>
    <t xml:space="preserve"> PERONNAUD </t>
  </si>
  <si>
    <t xml:space="preserve"> BAZIREAU </t>
  </si>
  <si>
    <t xml:space="preserve"> VENTURINI </t>
  </si>
  <si>
    <t xml:space="preserve"> GIBIELLE </t>
  </si>
  <si>
    <t xml:space="preserve"> PIETRI </t>
  </si>
  <si>
    <t xml:space="preserve"> Jean-Claude </t>
  </si>
  <si>
    <t xml:space="preserve"> SIMPLÉ COSMES AS </t>
  </si>
  <si>
    <t xml:space="preserve"> LANGUILLE </t>
  </si>
  <si>
    <t xml:space="preserve"> SCOZZESI </t>
  </si>
  <si>
    <t xml:space="preserve"> SALEUX LL </t>
  </si>
  <si>
    <t xml:space="preserve"> DESCLOUX </t>
  </si>
  <si>
    <t xml:space="preserve"> Francinet </t>
  </si>
  <si>
    <t xml:space="preserve"> BARBIAN </t>
  </si>
  <si>
    <t xml:space="preserve"> US BAUME LES DAMES </t>
  </si>
  <si>
    <t xml:space="preserve"> ADJEDJ </t>
  </si>
  <si>
    <t xml:space="preserve"> TURRON </t>
  </si>
  <si>
    <t xml:space="preserve"> BEL </t>
  </si>
  <si>
    <t xml:space="preserve"> SOLOMIAC </t>
  </si>
  <si>
    <t xml:space="preserve"> RIVAL </t>
  </si>
  <si>
    <t xml:space="preserve"> MELIS </t>
  </si>
  <si>
    <t xml:space="preserve"> FAUVEAU </t>
  </si>
  <si>
    <t xml:space="preserve"> TOMASZIK </t>
  </si>
  <si>
    <t xml:space="preserve"> THEODET </t>
  </si>
  <si>
    <t xml:space="preserve"> LECHEVALLIER </t>
  </si>
  <si>
    <t xml:space="preserve"> REVEAU </t>
  </si>
  <si>
    <t xml:space="preserve"> DUGAST </t>
  </si>
  <si>
    <t xml:space="preserve"> CARMARANS </t>
  </si>
  <si>
    <t xml:space="preserve"> BOUVIER </t>
  </si>
  <si>
    <t xml:space="preserve"> VERPILLOT </t>
  </si>
  <si>
    <t xml:space="preserve"> PEDZIWIATR </t>
  </si>
  <si>
    <t xml:space="preserve"> DIDAT </t>
  </si>
  <si>
    <t xml:space="preserve"> DEMANGE </t>
  </si>
  <si>
    <t xml:space="preserve"> GAUDEL </t>
  </si>
  <si>
    <t xml:space="preserve"> CLUB PONGISTE D'ENTRAYGUE </t>
  </si>
  <si>
    <t xml:space="preserve"> GENTELET </t>
  </si>
  <si>
    <t xml:space="preserve"> ROZIER </t>
  </si>
  <si>
    <t xml:space="preserve"> PLUCHART </t>
  </si>
  <si>
    <t xml:space="preserve"> BOUET </t>
  </si>
  <si>
    <t xml:space="preserve"> PERRINEAU </t>
  </si>
  <si>
    <t xml:space="preserve"> FROMY </t>
  </si>
  <si>
    <t xml:space="preserve"> LE MAREC </t>
  </si>
  <si>
    <t xml:space="preserve"> BOUCHAREB </t>
  </si>
  <si>
    <t xml:space="preserve"> VALTAT </t>
  </si>
  <si>
    <t xml:space="preserve"> MARTINIE </t>
  </si>
  <si>
    <t xml:space="preserve"> F.J.E.P. Cornil </t>
  </si>
  <si>
    <t xml:space="preserve"> ST GENIX - DOMESSIN T.T. </t>
  </si>
  <si>
    <t xml:space="preserve"> GIRARD PECARRERE </t>
  </si>
  <si>
    <t xml:space="preserve"> GENY </t>
  </si>
  <si>
    <t xml:space="preserve"> Antony </t>
  </si>
  <si>
    <t xml:space="preserve"> COUETOUX </t>
  </si>
  <si>
    <t xml:space="preserve"> LEFRANC </t>
  </si>
  <si>
    <t xml:space="preserve"> Jean-Francois </t>
  </si>
  <si>
    <t xml:space="preserve"> Hong </t>
  </si>
  <si>
    <t xml:space="preserve"> CP CHAMBOST LONGESSAIGNE </t>
  </si>
  <si>
    <t xml:space="preserve"> MARCOU </t>
  </si>
  <si>
    <t xml:space="preserve"> Abdelslam </t>
  </si>
  <si>
    <t xml:space="preserve"> VASSELLE </t>
  </si>
  <si>
    <t xml:space="preserve"> LETURCQ </t>
  </si>
  <si>
    <t xml:space="preserve"> BOU </t>
  </si>
  <si>
    <t xml:space="preserve"> CLADERE </t>
  </si>
  <si>
    <t xml:space="preserve"> MOINARD </t>
  </si>
  <si>
    <t xml:space="preserve"> LAZIOU </t>
  </si>
  <si>
    <t xml:space="preserve"> SERAUDIE </t>
  </si>
  <si>
    <t xml:space="preserve"> HAILLANT </t>
  </si>
  <si>
    <t xml:space="preserve"> LALLAIZON </t>
  </si>
  <si>
    <t xml:space="preserve"> AL KERNEVEL </t>
  </si>
  <si>
    <t xml:space="preserve"> SIMARD </t>
  </si>
  <si>
    <t xml:space="preserve"> HEUZE </t>
  </si>
  <si>
    <t xml:space="preserve"> Jean Philippe </t>
  </si>
  <si>
    <t xml:space="preserve"> LIGNIER </t>
  </si>
  <si>
    <t xml:space="preserve"> GOETHAL </t>
  </si>
  <si>
    <t xml:space="preserve"> PIAU </t>
  </si>
  <si>
    <t xml:space="preserve"> PAPOIN </t>
  </si>
  <si>
    <t xml:space="preserve"> SZWEK </t>
  </si>
  <si>
    <t xml:space="preserve"> ISAAC </t>
  </si>
  <si>
    <t xml:space="preserve"> HIS </t>
  </si>
  <si>
    <t xml:space="preserve"> TARBY </t>
  </si>
  <si>
    <t xml:space="preserve"> SOUDET </t>
  </si>
  <si>
    <t xml:space="preserve"> MAURE </t>
  </si>
  <si>
    <t xml:space="preserve"> BARNES </t>
  </si>
  <si>
    <t xml:space="preserve"> A.S MONTLOUIS-SUR-LOIRE </t>
  </si>
  <si>
    <t xml:space="preserve"> VANEL </t>
  </si>
  <si>
    <t xml:space="preserve"> MASSONNET </t>
  </si>
  <si>
    <t xml:space="preserve"> ANCE </t>
  </si>
  <si>
    <t xml:space="preserve"> SUISSE-GUILLAUD </t>
  </si>
  <si>
    <t xml:space="preserve"> BOURRU </t>
  </si>
  <si>
    <t xml:space="preserve"> TREUIL </t>
  </si>
  <si>
    <t xml:space="preserve"> RIGOUSTE </t>
  </si>
  <si>
    <t xml:space="preserve"> CE MBDA BOURGES TENNIS TA </t>
  </si>
  <si>
    <t xml:space="preserve"> GODIN </t>
  </si>
  <si>
    <t xml:space="preserve"> SORET </t>
  </si>
  <si>
    <t xml:space="preserve"> FLOHIC </t>
  </si>
  <si>
    <t xml:space="preserve"> PUPIN </t>
  </si>
  <si>
    <t xml:space="preserve"> MENET </t>
  </si>
  <si>
    <t xml:space="preserve"> CHARLERY </t>
  </si>
  <si>
    <t xml:space="preserve"> Daphné </t>
  </si>
  <si>
    <t xml:space="preserve"> YE </t>
  </si>
  <si>
    <t xml:space="preserve"> Keho </t>
  </si>
  <si>
    <t xml:space="preserve"> JUSTON </t>
  </si>
  <si>
    <t xml:space="preserve"> MACRET </t>
  </si>
  <si>
    <t xml:space="preserve"> VERNIER </t>
  </si>
  <si>
    <t xml:space="preserve"> VELY </t>
  </si>
  <si>
    <t xml:space="preserve"> ARBONA-JOY </t>
  </si>
  <si>
    <t xml:space="preserve"> CANTREL </t>
  </si>
  <si>
    <t xml:space="preserve"> BRISSIAUD </t>
  </si>
  <si>
    <t xml:space="preserve"> MAREIL FR </t>
  </si>
  <si>
    <t xml:space="preserve"> THOMAZEAU </t>
  </si>
  <si>
    <t xml:space="preserve"> LEBEE </t>
  </si>
  <si>
    <t xml:space="preserve"> DIAS MATHIEU </t>
  </si>
  <si>
    <t xml:space="preserve"> GONDECOURT AL </t>
  </si>
  <si>
    <t xml:space="preserve"> CHEDEVILLE </t>
  </si>
  <si>
    <t xml:space="preserve"> LA COULONCHE ASL </t>
  </si>
  <si>
    <t xml:space="preserve"> ROESS </t>
  </si>
  <si>
    <t xml:space="preserve"> CORNILLAULT </t>
  </si>
  <si>
    <t xml:space="preserve"> GUELTON </t>
  </si>
  <si>
    <t xml:space="preserve"> GRESSUS </t>
  </si>
  <si>
    <t xml:space="preserve"> LEPEN </t>
  </si>
  <si>
    <t xml:space="preserve"> JOURDAN </t>
  </si>
  <si>
    <t xml:space="preserve"> GRANDRIEU FR </t>
  </si>
  <si>
    <t xml:space="preserve"> MONTLUET </t>
  </si>
  <si>
    <t xml:space="preserve"> Jean max </t>
  </si>
  <si>
    <t xml:space="preserve"> CANTON </t>
  </si>
  <si>
    <t xml:space="preserve"> DALAUDIERE </t>
  </si>
  <si>
    <t xml:space="preserve"> PIEGAY </t>
  </si>
  <si>
    <t xml:space="preserve"> ST HEAND TT </t>
  </si>
  <si>
    <t xml:space="preserve"> RAY </t>
  </si>
  <si>
    <t xml:space="preserve"> BROUSTAIL </t>
  </si>
  <si>
    <t xml:space="preserve"> Johan alain </t>
  </si>
  <si>
    <t xml:space="preserve"> ANDREETTA </t>
  </si>
  <si>
    <t xml:space="preserve"> Sylvio </t>
  </si>
  <si>
    <t xml:space="preserve"> MARLY TTM </t>
  </si>
  <si>
    <t xml:space="preserve"> BOISSEL </t>
  </si>
  <si>
    <t xml:space="preserve"> LOUVIOT </t>
  </si>
  <si>
    <t xml:space="preserve"> DINCUFF </t>
  </si>
  <si>
    <t xml:space="preserve"> FLOUTIER </t>
  </si>
  <si>
    <t xml:space="preserve"> LÉPINE </t>
  </si>
  <si>
    <t xml:space="preserve"> BEAUGET </t>
  </si>
  <si>
    <t xml:space="preserve"> DAUCE </t>
  </si>
  <si>
    <t xml:space="preserve"> LOON-PLAGE ATT </t>
  </si>
  <si>
    <t xml:space="preserve"> MANCUSO </t>
  </si>
  <si>
    <t xml:space="preserve"> Joselito </t>
  </si>
  <si>
    <t xml:space="preserve"> RAMERY </t>
  </si>
  <si>
    <t xml:space="preserve"> DEREDEC </t>
  </si>
  <si>
    <t xml:space="preserve"> PROUILLE </t>
  </si>
  <si>
    <t xml:space="preserve"> BRICHE </t>
  </si>
  <si>
    <t xml:space="preserve"> MECENE </t>
  </si>
  <si>
    <t xml:space="preserve"> HELLIO </t>
  </si>
  <si>
    <t xml:space="preserve"> SINACK </t>
  </si>
  <si>
    <t xml:space="preserve"> ABADIR </t>
  </si>
  <si>
    <t xml:space="preserve"> Raafat </t>
  </si>
  <si>
    <t xml:space="preserve"> THEBAUT </t>
  </si>
  <si>
    <t xml:space="preserve"> WURTH </t>
  </si>
  <si>
    <t xml:space="preserve"> Jean-etienne </t>
  </si>
  <si>
    <t xml:space="preserve"> ANGELIQUE </t>
  </si>
  <si>
    <t xml:space="preserve"> DUMOUCHEL </t>
  </si>
  <si>
    <t xml:space="preserve"> BOUDAREL </t>
  </si>
  <si>
    <t xml:space="preserve"> SOREGA </t>
  </si>
  <si>
    <t xml:space="preserve"> BONNETAT </t>
  </si>
  <si>
    <t xml:space="preserve"> P.L. PAUL BERT TOURS </t>
  </si>
  <si>
    <t xml:space="preserve"> CHARMENSAT </t>
  </si>
  <si>
    <t xml:space="preserve"> COUDOIN </t>
  </si>
  <si>
    <t xml:space="preserve"> MARIGNIER </t>
  </si>
  <si>
    <t xml:space="preserve"> BLANCKAERT </t>
  </si>
  <si>
    <t xml:space="preserve"> HUBARD </t>
  </si>
  <si>
    <t xml:space="preserve"> GRUN </t>
  </si>
  <si>
    <t xml:space="preserve"> EMPIS </t>
  </si>
  <si>
    <t xml:space="preserve"> RIGUET </t>
  </si>
  <si>
    <t xml:space="preserve"> EDERN TENNIS DE TABLE </t>
  </si>
  <si>
    <t xml:space="preserve"> DUBOST </t>
  </si>
  <si>
    <t xml:space="preserve"> HERY </t>
  </si>
  <si>
    <t xml:space="preserve"> VENETTE-MARGNY SLTT </t>
  </si>
  <si>
    <t xml:space="preserve"> DUMINI </t>
  </si>
  <si>
    <t xml:space="preserve"> JANURA </t>
  </si>
  <si>
    <t xml:space="preserve"> Pierre marie </t>
  </si>
  <si>
    <t xml:space="preserve"> HEULIN </t>
  </si>
  <si>
    <t xml:space="preserve"> BERTOME </t>
  </si>
  <si>
    <t xml:space="preserve"> Léonard </t>
  </si>
  <si>
    <t xml:space="preserve"> STEIBLE </t>
  </si>
  <si>
    <t xml:space="preserve"> PAGNEUX </t>
  </si>
  <si>
    <t xml:space="preserve"> LA BOURGONCE ST MICHEL TT </t>
  </si>
  <si>
    <t xml:space="preserve"> PREURES-ZOTEUX FR </t>
  </si>
  <si>
    <t xml:space="preserve"> NIVELET </t>
  </si>
  <si>
    <t xml:space="preserve"> VINET </t>
  </si>
  <si>
    <t xml:space="preserve"> MOUILLERON TT CLUB </t>
  </si>
  <si>
    <t xml:space="preserve"> ELIAS </t>
  </si>
  <si>
    <t xml:space="preserve"> SAINT REMY T.T. </t>
  </si>
  <si>
    <t xml:space="preserve"> CHERPIN </t>
  </si>
  <si>
    <t xml:space="preserve"> CAILLEBOT </t>
  </si>
  <si>
    <t xml:space="preserve"> DRETZ </t>
  </si>
  <si>
    <t xml:space="preserve"> Jean mathieu </t>
  </si>
  <si>
    <t xml:space="preserve"> LEIBENGUTH </t>
  </si>
  <si>
    <t xml:space="preserve"> GIGNON </t>
  </si>
  <si>
    <t xml:space="preserve"> SAINT PIERRE EGLISE TT </t>
  </si>
  <si>
    <t xml:space="preserve"> BARATEAU </t>
  </si>
  <si>
    <t xml:space="preserve"> PELLON </t>
  </si>
  <si>
    <t xml:space="preserve"> HONORE </t>
  </si>
  <si>
    <t xml:space="preserve"> PINOT </t>
  </si>
  <si>
    <t xml:space="preserve"> GIVRY-EN-ARGONNE ATPP </t>
  </si>
  <si>
    <t xml:space="preserve"> LAFFAILLE </t>
  </si>
  <si>
    <t xml:space="preserve"> CLEMOT </t>
  </si>
  <si>
    <t xml:space="preserve"> BOCCA </t>
  </si>
  <si>
    <t xml:space="preserve"> FORGERON </t>
  </si>
  <si>
    <t xml:space="preserve"> CALVAIRE </t>
  </si>
  <si>
    <t xml:space="preserve"> HALKO </t>
  </si>
  <si>
    <t xml:space="preserve"> SCAVONE </t>
  </si>
  <si>
    <t xml:space="preserve"> GUILLERMOU </t>
  </si>
  <si>
    <t xml:space="preserve"> CORVEY BIRON </t>
  </si>
  <si>
    <t xml:space="preserve"> TECHE TENNIS DE TABLE </t>
  </si>
  <si>
    <t xml:space="preserve"> BOITEAU </t>
  </si>
  <si>
    <t xml:space="preserve"> GOURITEN </t>
  </si>
  <si>
    <t xml:space="preserve"> BOUGEARD </t>
  </si>
  <si>
    <t xml:space="preserve"> VAIGES T.T </t>
  </si>
  <si>
    <t xml:space="preserve"> ANDOLSHEIM Tennis de Tabl </t>
  </si>
  <si>
    <t xml:space="preserve"> DEGLIAME </t>
  </si>
  <si>
    <t xml:space="preserve"> BELLION </t>
  </si>
  <si>
    <t xml:space="preserve"> HEREMBOURG </t>
  </si>
  <si>
    <t xml:space="preserve"> HAYLANDE ES </t>
  </si>
  <si>
    <t xml:space="preserve"> PLANQUETTE </t>
  </si>
  <si>
    <t xml:space="preserve"> COUTAND </t>
  </si>
  <si>
    <t xml:space="preserve"> SARRA </t>
  </si>
  <si>
    <t xml:space="preserve"> BICHARD </t>
  </si>
  <si>
    <t xml:space="preserve"> MORALES </t>
  </si>
  <si>
    <t xml:space="preserve"> FAILLY </t>
  </si>
  <si>
    <t xml:space="preserve"> SHIPMAN </t>
  </si>
  <si>
    <t xml:space="preserve"> CATRICE </t>
  </si>
  <si>
    <t xml:space="preserve"> BOULET-BENAC </t>
  </si>
  <si>
    <t xml:space="preserve"> KLENOV </t>
  </si>
  <si>
    <t xml:space="preserve"> Pavel </t>
  </si>
  <si>
    <t xml:space="preserve"> GESLOT </t>
  </si>
  <si>
    <t xml:space="preserve"> FERRIC </t>
  </si>
  <si>
    <t xml:space="preserve"> CP GRANDCAMP </t>
  </si>
  <si>
    <t xml:space="preserve"> CONWENTZ </t>
  </si>
  <si>
    <t xml:space="preserve"> CARDON </t>
  </si>
  <si>
    <t xml:space="preserve"> TRIPICCHIO </t>
  </si>
  <si>
    <t xml:space="preserve"> WATTELIER </t>
  </si>
  <si>
    <t xml:space="preserve"> DAUPHIN </t>
  </si>
  <si>
    <t xml:space="preserve"> BERTHENET </t>
  </si>
  <si>
    <t xml:space="preserve"> LEFORESTIER </t>
  </si>
  <si>
    <t xml:space="preserve"> LARCHE </t>
  </si>
  <si>
    <t xml:space="preserve"> LEVEAUX </t>
  </si>
  <si>
    <t xml:space="preserve"> LEBON </t>
  </si>
  <si>
    <t xml:space="preserve"> US AIGURANDE SECTION TT </t>
  </si>
  <si>
    <t xml:space="preserve"> MARGUERITAT </t>
  </si>
  <si>
    <t xml:space="preserve"> LALAUT </t>
  </si>
  <si>
    <t xml:space="preserve"> BOUQUILLION </t>
  </si>
  <si>
    <t xml:space="preserve"> ROSSET </t>
  </si>
  <si>
    <t xml:space="preserve"> DENAT </t>
  </si>
  <si>
    <t xml:space="preserve"> TENDRON </t>
  </si>
  <si>
    <t xml:space="preserve"> SUD VILAINE GOELANDS </t>
  </si>
  <si>
    <t xml:space="preserve"> MALOLEPSZY </t>
  </si>
  <si>
    <t xml:space="preserve"> PERTUS </t>
  </si>
  <si>
    <t xml:space="preserve"> BOUCLY </t>
  </si>
  <si>
    <t xml:space="preserve"> CARIA </t>
  </si>
  <si>
    <t xml:space="preserve"> Dunpin </t>
  </si>
  <si>
    <t xml:space="preserve"> GABILLARD </t>
  </si>
  <si>
    <t xml:space="preserve"> Stiven </t>
  </si>
  <si>
    <t xml:space="preserve"> CHANCY </t>
  </si>
  <si>
    <t xml:space="preserve"> GAVRAY AL </t>
  </si>
  <si>
    <t xml:space="preserve"> CADO </t>
  </si>
  <si>
    <t xml:space="preserve"> BILLEBAULT </t>
  </si>
  <si>
    <t xml:space="preserve"> AVORD TT </t>
  </si>
  <si>
    <t xml:space="preserve"> ROVELON </t>
  </si>
  <si>
    <t xml:space="preserve"> ASTT PRUNIERS </t>
  </si>
  <si>
    <t xml:space="preserve"> DAENEN </t>
  </si>
  <si>
    <t xml:space="preserve"> SIMONELLI </t>
  </si>
  <si>
    <t xml:space="preserve"> MONSEGUR </t>
  </si>
  <si>
    <t xml:space="preserve"> PERRETTE </t>
  </si>
  <si>
    <t xml:space="preserve"> TERNISIEN </t>
  </si>
  <si>
    <t xml:space="preserve"> ENGLOS TT </t>
  </si>
  <si>
    <t xml:space="preserve"> BORNARD </t>
  </si>
  <si>
    <t xml:space="preserve"> GAIN </t>
  </si>
  <si>
    <t xml:space="preserve"> SAMER T T </t>
  </si>
  <si>
    <t xml:space="preserve"> QUATREBOEUFS </t>
  </si>
  <si>
    <t xml:space="preserve"> HEBECREVON ES </t>
  </si>
  <si>
    <t xml:space="preserve"> PAYET BURIN </t>
  </si>
  <si>
    <t xml:space="preserve"> PAIGNON </t>
  </si>
  <si>
    <t xml:space="preserve"> SAUQUES </t>
  </si>
  <si>
    <t xml:space="preserve"> GRATIO </t>
  </si>
  <si>
    <t xml:space="preserve"> QUENSIER </t>
  </si>
  <si>
    <t xml:space="preserve"> SELLE </t>
  </si>
  <si>
    <t xml:space="preserve"> WOLINSKI </t>
  </si>
  <si>
    <t xml:space="preserve"> CLERGERIE </t>
  </si>
  <si>
    <t xml:space="preserve"> SEIGNEURIE </t>
  </si>
  <si>
    <t xml:space="preserve"> FOLLAIN </t>
  </si>
  <si>
    <t xml:space="preserve"> DOTTIN </t>
  </si>
  <si>
    <t xml:space="preserve"> RUOLS </t>
  </si>
  <si>
    <t xml:space="preserve"> TREMOUILLER </t>
  </si>
  <si>
    <t xml:space="preserve"> REJAUNIER </t>
  </si>
  <si>
    <t xml:space="preserve"> MERVILLE ALTT </t>
  </si>
  <si>
    <t xml:space="preserve"> LALLEMENT </t>
  </si>
  <si>
    <t xml:space="preserve"> BISSON </t>
  </si>
  <si>
    <t xml:space="preserve"> MALTETE </t>
  </si>
  <si>
    <t xml:space="preserve"> DEBOVES </t>
  </si>
  <si>
    <t xml:space="preserve"> PICAUD </t>
  </si>
  <si>
    <t xml:space="preserve"> COLA </t>
  </si>
  <si>
    <t xml:space="preserve"> KHALDI </t>
  </si>
  <si>
    <t xml:space="preserve"> Lounes </t>
  </si>
  <si>
    <t xml:space="preserve"> CRUCHANT </t>
  </si>
  <si>
    <t xml:space="preserve"> BODELLE </t>
  </si>
  <si>
    <t xml:space="preserve"> TT Andrézieux boutheon sa </t>
  </si>
  <si>
    <t xml:space="preserve"> QUETSTROEY </t>
  </si>
  <si>
    <t xml:space="preserve"> RANG DU FLIERS AL </t>
  </si>
  <si>
    <t xml:space="preserve"> DELBES </t>
  </si>
  <si>
    <t xml:space="preserve"> AUGUSTINEK </t>
  </si>
  <si>
    <t xml:space="preserve"> Albin </t>
  </si>
  <si>
    <t xml:space="preserve"> DACUNHA </t>
  </si>
  <si>
    <t xml:space="preserve"> DECAIX </t>
  </si>
  <si>
    <t xml:space="preserve"> COUAPEL </t>
  </si>
  <si>
    <t xml:space="preserve"> BOURBOTTE </t>
  </si>
  <si>
    <t xml:space="preserve"> PROFFIT </t>
  </si>
  <si>
    <t xml:space="preserve"> TALIS </t>
  </si>
  <si>
    <t xml:space="preserve"> VOYER </t>
  </si>
  <si>
    <t xml:space="preserve"> DOURY </t>
  </si>
  <si>
    <t xml:space="preserve"> PETRIACQ </t>
  </si>
  <si>
    <t xml:space="preserve"> MOZAS </t>
  </si>
  <si>
    <t xml:space="preserve"> T.T.PORTO-VECCHIAIS </t>
  </si>
  <si>
    <t xml:space="preserve"> BAVOUZET </t>
  </si>
  <si>
    <t xml:space="preserve"> CP. LEVROUX </t>
  </si>
  <si>
    <t xml:space="preserve"> BAUVIN </t>
  </si>
  <si>
    <t xml:space="preserve"> EMMANUELLI </t>
  </si>
  <si>
    <t xml:space="preserve"> DOS REIS </t>
  </si>
  <si>
    <t xml:space="preserve"> TT POUILLY EN AUXOIS </t>
  </si>
  <si>
    <t xml:space="preserve"> ROGGE </t>
  </si>
  <si>
    <t xml:space="preserve"> Fabian </t>
  </si>
  <si>
    <t xml:space="preserve"> BIRLY </t>
  </si>
  <si>
    <t xml:space="preserve"> PENHOUET </t>
  </si>
  <si>
    <t xml:space="preserve"> BALESDENS </t>
  </si>
  <si>
    <t xml:space="preserve"> KABOUCHE </t>
  </si>
  <si>
    <t xml:space="preserve"> DUCROS </t>
  </si>
  <si>
    <t xml:space="preserve"> GIOT </t>
  </si>
  <si>
    <t xml:space="preserve"> VERMOREL </t>
  </si>
  <si>
    <t xml:space="preserve"> SOTO </t>
  </si>
  <si>
    <t xml:space="preserve"> DELIGNY </t>
  </si>
  <si>
    <t xml:space="preserve"> PATOU </t>
  </si>
  <si>
    <t xml:space="preserve"> OBRY </t>
  </si>
  <si>
    <t xml:space="preserve"> CUREAU </t>
  </si>
  <si>
    <t xml:space="preserve"> GUERLEDAN TT-MUR DE BRETA </t>
  </si>
  <si>
    <t xml:space="preserve"> KULAS </t>
  </si>
  <si>
    <t xml:space="preserve"> Gunther </t>
  </si>
  <si>
    <t xml:space="preserve"> EDOUARD </t>
  </si>
  <si>
    <t xml:space="preserve"> DUDA </t>
  </si>
  <si>
    <t xml:space="preserve"> LOISON </t>
  </si>
  <si>
    <t xml:space="preserve"> SIOUVILLE HAGUE ATTLC </t>
  </si>
  <si>
    <t xml:space="preserve"> PREVEL </t>
  </si>
  <si>
    <t xml:space="preserve"> BOIREL </t>
  </si>
  <si>
    <t xml:space="preserve"> MUYS </t>
  </si>
  <si>
    <t xml:space="preserve"> HURST </t>
  </si>
  <si>
    <t xml:space="preserve"> HENOT </t>
  </si>
  <si>
    <t xml:space="preserve"> MARQUETTE </t>
  </si>
  <si>
    <t xml:space="preserve"> DELAGE </t>
  </si>
  <si>
    <t xml:space="preserve"> HOUILLOT </t>
  </si>
  <si>
    <t xml:space="preserve"> SAINSOT </t>
  </si>
  <si>
    <t xml:space="preserve"> FENOT </t>
  </si>
  <si>
    <t xml:space="preserve"> Eryck </t>
  </si>
  <si>
    <t xml:space="preserve"> MJC LE BEAUSSET TT </t>
  </si>
  <si>
    <t xml:space="preserve"> ZAWADZINSKI </t>
  </si>
  <si>
    <t xml:space="preserve"> BALLANDRAS </t>
  </si>
  <si>
    <t xml:space="preserve"> AS MORNANT TT </t>
  </si>
  <si>
    <t xml:space="preserve"> BREITENSTEIN </t>
  </si>
  <si>
    <t xml:space="preserve"> DANG </t>
  </si>
  <si>
    <t xml:space="preserve"> Huy qui </t>
  </si>
  <si>
    <t xml:space="preserve"> DELACOTTE </t>
  </si>
  <si>
    <t xml:space="preserve"> GARASSUS </t>
  </si>
  <si>
    <t xml:space="preserve"> LALARME </t>
  </si>
  <si>
    <t xml:space="preserve"> AL IRIGNY TT </t>
  </si>
  <si>
    <t xml:space="preserve"> DESFAITS </t>
  </si>
  <si>
    <t xml:space="preserve"> LARDEUX </t>
  </si>
  <si>
    <t xml:space="preserve"> RUBEAUD </t>
  </si>
  <si>
    <t xml:space="preserve"> BEHAR </t>
  </si>
  <si>
    <t xml:space="preserve"> VICENS </t>
  </si>
  <si>
    <t xml:space="preserve"> PESET </t>
  </si>
  <si>
    <t xml:space="preserve"> BARRET </t>
  </si>
  <si>
    <t xml:space="preserve"> HORBOURG-WIHR TT </t>
  </si>
  <si>
    <t xml:space="preserve"> VRIELYNCK </t>
  </si>
  <si>
    <t xml:space="preserve"> BIGEARD </t>
  </si>
  <si>
    <t xml:space="preserve"> BETTAN </t>
  </si>
  <si>
    <t xml:space="preserve"> DEIDDA </t>
  </si>
  <si>
    <t xml:space="preserve"> CERTAIN </t>
  </si>
  <si>
    <t xml:space="preserve"> ETILLEUX </t>
  </si>
  <si>
    <t xml:space="preserve"> SANTAIS </t>
  </si>
  <si>
    <t xml:space="preserve"> BRETTEVILLE DU GRAND CAUX </t>
  </si>
  <si>
    <t xml:space="preserve"> DOUBLEAU </t>
  </si>
  <si>
    <t xml:space="preserve"> Assoc. des Loisirs de Gui </t>
  </si>
  <si>
    <t xml:space="preserve"> ARJALIES </t>
  </si>
  <si>
    <t xml:space="preserve"> FROUIN </t>
  </si>
  <si>
    <t xml:space="preserve"> CHALOT </t>
  </si>
  <si>
    <t xml:space="preserve"> PATELSKI </t>
  </si>
  <si>
    <t xml:space="preserve"> BOURY </t>
  </si>
  <si>
    <t xml:space="preserve"> PICQ </t>
  </si>
  <si>
    <t xml:space="preserve"> DUQUESNOY </t>
  </si>
  <si>
    <t xml:space="preserve"> ARRIGNON </t>
  </si>
  <si>
    <t xml:space="preserve"> BENZOGLI </t>
  </si>
  <si>
    <t xml:space="preserve"> Baous </t>
  </si>
  <si>
    <t xml:space="preserve"> TT LE CENDRE </t>
  </si>
  <si>
    <t xml:space="preserve"> BEGON </t>
  </si>
  <si>
    <t xml:space="preserve"> MEDIAVILA </t>
  </si>
  <si>
    <t xml:space="preserve"> SINGLIT </t>
  </si>
  <si>
    <t xml:space="preserve"> MOUVEAUX </t>
  </si>
  <si>
    <t xml:space="preserve"> CROTTIER COMBE </t>
  </si>
  <si>
    <t xml:space="preserve"> DELIBA </t>
  </si>
  <si>
    <t xml:space="preserve"> Chouib </t>
  </si>
  <si>
    <t xml:space="preserve"> SONNENLITTER </t>
  </si>
  <si>
    <t xml:space="preserve"> LAUFRAY </t>
  </si>
  <si>
    <t xml:space="preserve"> DAYDE </t>
  </si>
  <si>
    <t xml:space="preserve"> SALOMMEZ </t>
  </si>
  <si>
    <t xml:space="preserve"> PECHIN </t>
  </si>
  <si>
    <t xml:space="preserve"> Tennis de Table CARQUEIRA </t>
  </si>
  <si>
    <t xml:space="preserve"> RENOUARD </t>
  </si>
  <si>
    <t xml:space="preserve"> SAUTER </t>
  </si>
  <si>
    <t xml:space="preserve"> GRANNEC </t>
  </si>
  <si>
    <t xml:space="preserve"> JOSSON </t>
  </si>
  <si>
    <t xml:space="preserve"> PIOLE </t>
  </si>
  <si>
    <t xml:space="preserve"> SALLIOT </t>
  </si>
  <si>
    <t xml:space="preserve"> DINH </t>
  </si>
  <si>
    <t xml:space="preserve"> Son trong </t>
  </si>
  <si>
    <t xml:space="preserve"> ENGLEBERT </t>
  </si>
  <si>
    <t xml:space="preserve"> VIALLON </t>
  </si>
  <si>
    <t xml:space="preserve"> LE GAL </t>
  </si>
  <si>
    <t xml:space="preserve"> FAULLUMEL </t>
  </si>
  <si>
    <t xml:space="preserve"> Compagnie Transports Stra </t>
  </si>
  <si>
    <t xml:space="preserve"> PERRODEAU </t>
  </si>
  <si>
    <t xml:space="preserve"> POIL </t>
  </si>
  <si>
    <t xml:space="preserve"> LABEYRIE </t>
  </si>
  <si>
    <t xml:space="preserve"> KERDAVID </t>
  </si>
  <si>
    <t xml:space="preserve"> STIGLIANO </t>
  </si>
  <si>
    <t xml:space="preserve"> Dario </t>
  </si>
  <si>
    <t xml:space="preserve"> GAGEY </t>
  </si>
  <si>
    <t xml:space="preserve"> COURTADE </t>
  </si>
  <si>
    <t xml:space="preserve"> LARHER </t>
  </si>
  <si>
    <t xml:space="preserve"> BOVES ASTT </t>
  </si>
  <si>
    <t xml:space="preserve"> MALLER </t>
  </si>
  <si>
    <t xml:space="preserve"> GADNEL </t>
  </si>
  <si>
    <t xml:space="preserve"> GUEZENNEC </t>
  </si>
  <si>
    <t xml:space="preserve"> DEMUYLDER </t>
  </si>
  <si>
    <t xml:space="preserve"> DUSEAUX </t>
  </si>
  <si>
    <t xml:space="preserve"> JEUNESSE PONG.VALLIQUERVI </t>
  </si>
  <si>
    <t xml:space="preserve"> ARTUS </t>
  </si>
  <si>
    <t xml:space="preserve"> Henry </t>
  </si>
  <si>
    <t xml:space="preserve"> GENEST </t>
  </si>
  <si>
    <t xml:space="preserve"> FONTENAY ASC </t>
  </si>
  <si>
    <t xml:space="preserve"> SOUDAN T.T. </t>
  </si>
  <si>
    <t xml:space="preserve"> GAUDRON </t>
  </si>
  <si>
    <t xml:space="preserve"> SOREAU </t>
  </si>
  <si>
    <t xml:space="preserve"> TOSONI </t>
  </si>
  <si>
    <t xml:space="preserve"> DUBERNARD </t>
  </si>
  <si>
    <t xml:space="preserve"> PATRIARCHE </t>
  </si>
  <si>
    <t xml:space="preserve"> MASSOUBRE </t>
  </si>
  <si>
    <t xml:space="preserve"> AS ST VINCENT-BRAGNY </t>
  </si>
  <si>
    <t xml:space="preserve"> CP BUCHY </t>
  </si>
  <si>
    <t xml:space="preserve"> CAVALLE </t>
  </si>
  <si>
    <t xml:space="preserve"> BOUDINET </t>
  </si>
  <si>
    <t xml:space="preserve"> ROBLAIN </t>
  </si>
  <si>
    <t xml:space="preserve"> LINISE </t>
  </si>
  <si>
    <t xml:space="preserve"> LAIGNER </t>
  </si>
  <si>
    <t xml:space="preserve"> MUTEL </t>
  </si>
  <si>
    <t xml:space="preserve"> BEUGNOT </t>
  </si>
  <si>
    <t xml:space="preserve"> KRAWCZYK </t>
  </si>
  <si>
    <t xml:space="preserve"> RAVAZE </t>
  </si>
  <si>
    <t xml:space="preserve"> HASS </t>
  </si>
  <si>
    <t xml:space="preserve"> CATEZ </t>
  </si>
  <si>
    <t xml:space="preserve"> ROBINIER </t>
  </si>
  <si>
    <t xml:space="preserve"> NICOLLAS </t>
  </si>
  <si>
    <t xml:space="preserve"> DUTHOIT </t>
  </si>
  <si>
    <t xml:space="preserve"> RUSSIER </t>
  </si>
  <si>
    <t xml:space="preserve"> BAUSSON </t>
  </si>
  <si>
    <t xml:space="preserve"> KERMARREC </t>
  </si>
  <si>
    <t xml:space="preserve"> CHEVRIER </t>
  </si>
  <si>
    <t xml:space="preserve"> AYRAL </t>
  </si>
  <si>
    <t xml:space="preserve"> JANICKI </t>
  </si>
  <si>
    <t xml:space="preserve"> BARBET </t>
  </si>
  <si>
    <t xml:space="preserve"> DAUTRUCHE </t>
  </si>
  <si>
    <t xml:space="preserve"> BRYJA </t>
  </si>
  <si>
    <t xml:space="preserve"> SOMMEN </t>
  </si>
  <si>
    <t xml:space="preserve"> LE GUERNIC </t>
  </si>
  <si>
    <t xml:space="preserve"> BASTY </t>
  </si>
  <si>
    <t xml:space="preserve"> FERET </t>
  </si>
  <si>
    <t xml:space="preserve"> MickaËl </t>
  </si>
  <si>
    <t xml:space="preserve"> FLORENTIN </t>
  </si>
  <si>
    <t xml:space="preserve"> TAISSY ASTT </t>
  </si>
  <si>
    <t xml:space="preserve"> LE PEMP </t>
  </si>
  <si>
    <t xml:space="preserve"> CHATAIL </t>
  </si>
  <si>
    <t xml:space="preserve"> COLOU </t>
  </si>
  <si>
    <t xml:space="preserve"> NAUD </t>
  </si>
  <si>
    <t xml:space="preserve"> BUFFARD </t>
  </si>
  <si>
    <t xml:space="preserve"> MAREST </t>
  </si>
  <si>
    <t xml:space="preserve"> PICART </t>
  </si>
  <si>
    <t xml:space="preserve"> DEVYNCK </t>
  </si>
  <si>
    <t xml:space="preserve"> ESTRADE </t>
  </si>
  <si>
    <t xml:space="preserve"> PICQUET </t>
  </si>
  <si>
    <t xml:space="preserve"> BOLZER </t>
  </si>
  <si>
    <t xml:space="preserve"> MARSOLLIER </t>
  </si>
  <si>
    <t xml:space="preserve"> DERVIN </t>
  </si>
  <si>
    <t xml:space="preserve"> CHOPLIN </t>
  </si>
  <si>
    <t xml:space="preserve"> HAUZA </t>
  </si>
  <si>
    <t xml:space="preserve"> GUYOMARC H </t>
  </si>
  <si>
    <t xml:space="preserve"> MOUNEDE </t>
  </si>
  <si>
    <t xml:space="preserve"> MONTAGNON </t>
  </si>
  <si>
    <t xml:space="preserve"> Phanora </t>
  </si>
  <si>
    <t xml:space="preserve"> DELOMEL </t>
  </si>
  <si>
    <t xml:space="preserve"> BURGANT </t>
  </si>
  <si>
    <t xml:space="preserve"> LOC </t>
  </si>
  <si>
    <t xml:space="preserve"> LEVASSORT </t>
  </si>
  <si>
    <t xml:space="preserve"> SCHNITZLER </t>
  </si>
  <si>
    <t xml:space="preserve"> DEFFRASNES </t>
  </si>
  <si>
    <t xml:space="preserve"> DELILLE </t>
  </si>
  <si>
    <t xml:space="preserve"> LIANCOURT TT </t>
  </si>
  <si>
    <t xml:space="preserve"> LAURANT </t>
  </si>
  <si>
    <t xml:space="preserve"> COTINAT </t>
  </si>
  <si>
    <t xml:space="preserve"> COTE DES ISLES TT </t>
  </si>
  <si>
    <t xml:space="preserve"> BOURGERIE </t>
  </si>
  <si>
    <t xml:space="preserve"> ROBO </t>
  </si>
  <si>
    <t xml:space="preserve"> RITOPER </t>
  </si>
  <si>
    <t xml:space="preserve"> SEBBAGH </t>
  </si>
  <si>
    <t xml:space="preserve"> AUDOIN </t>
  </si>
  <si>
    <t xml:space="preserve"> RE tennis de table </t>
  </si>
  <si>
    <t xml:space="preserve"> BOUCHERON </t>
  </si>
  <si>
    <t xml:space="preserve"> COURSON </t>
  </si>
  <si>
    <t xml:space="preserve"> PROCQUEZ </t>
  </si>
  <si>
    <t xml:space="preserve"> STEIGER </t>
  </si>
  <si>
    <t xml:space="preserve"> LACRAMPE </t>
  </si>
  <si>
    <t xml:space="preserve"> CHEMINOT MONTPELLIER TT </t>
  </si>
  <si>
    <t xml:space="preserve"> BRACHER </t>
  </si>
  <si>
    <t xml:space="preserve"> LICHON </t>
  </si>
  <si>
    <t xml:space="preserve"> DE-SALVO </t>
  </si>
  <si>
    <t xml:space="preserve"> STOEFFLER </t>
  </si>
  <si>
    <t xml:space="preserve"> BOERLEN </t>
  </si>
  <si>
    <t xml:space="preserve"> DUBUISSON </t>
  </si>
  <si>
    <t xml:space="preserve"> BRILLARD </t>
  </si>
  <si>
    <t xml:space="preserve"> PURET </t>
  </si>
  <si>
    <t xml:space="preserve"> MAZIN </t>
  </si>
  <si>
    <t xml:space="preserve"> DAYE </t>
  </si>
  <si>
    <t xml:space="preserve"> Hassan </t>
  </si>
  <si>
    <t xml:space="preserve"> DE SAINT JORES </t>
  </si>
  <si>
    <t xml:space="preserve"> CONSTRAINT </t>
  </si>
  <si>
    <t xml:space="preserve"> GALDEMARD </t>
  </si>
  <si>
    <t xml:space="preserve"> DEBEURME </t>
  </si>
  <si>
    <t xml:space="preserve"> GAILLARDOU </t>
  </si>
  <si>
    <t xml:space="preserve"> CHAMBRE </t>
  </si>
  <si>
    <t xml:space="preserve"> HEIM </t>
  </si>
  <si>
    <t xml:space="preserve"> ENGEAMME </t>
  </si>
  <si>
    <t xml:space="preserve"> PRED'HOMME </t>
  </si>
  <si>
    <t xml:space="preserve"> PONTIEUX </t>
  </si>
  <si>
    <t xml:space="preserve"> KONIECZKA </t>
  </si>
  <si>
    <t xml:space="preserve"> SALITOT </t>
  </si>
  <si>
    <t xml:space="preserve"> ALE PELOUSEY </t>
  </si>
  <si>
    <t xml:space="preserve"> VILLENEUVE LA GARENNE </t>
  </si>
  <si>
    <t xml:space="preserve"> DEVI </t>
  </si>
  <si>
    <t xml:space="preserve"> CHAON </t>
  </si>
  <si>
    <t xml:space="preserve"> ESTIVAL </t>
  </si>
  <si>
    <t xml:space="preserve"> LEYRONAS </t>
  </si>
  <si>
    <t xml:space="preserve"> STEINMETZ </t>
  </si>
  <si>
    <t xml:space="preserve"> LORIOT VAUQUELIN </t>
  </si>
  <si>
    <t xml:space="preserve"> BEAUJEU </t>
  </si>
  <si>
    <t xml:space="preserve"> SARHADIAN </t>
  </si>
  <si>
    <t xml:space="preserve"> AMICALE ST IRENEE </t>
  </si>
  <si>
    <t xml:space="preserve"> BASTIE </t>
  </si>
  <si>
    <t xml:space="preserve"> PIERENS </t>
  </si>
  <si>
    <t xml:space="preserve"> CHAPELET </t>
  </si>
  <si>
    <t xml:space="preserve"> RIDON </t>
  </si>
  <si>
    <t xml:space="preserve"> MANIGAND </t>
  </si>
  <si>
    <t xml:space="preserve"> MURATORE </t>
  </si>
  <si>
    <t xml:space="preserve"> CARESMEL </t>
  </si>
  <si>
    <t xml:space="preserve"> VILLAUME </t>
  </si>
  <si>
    <t xml:space="preserve"> CEP LORIENT </t>
  </si>
  <si>
    <t xml:space="preserve"> MALVY </t>
  </si>
  <si>
    <t xml:space="preserve"> ESPAGNAC </t>
  </si>
  <si>
    <t xml:space="preserve"> ACKERER </t>
  </si>
  <si>
    <t xml:space="preserve"> Gottfried </t>
  </si>
  <si>
    <t xml:space="preserve"> BOSTEAU </t>
  </si>
  <si>
    <t xml:space="preserve"> DEPRE </t>
  </si>
  <si>
    <t xml:space="preserve"> SAINT-HILAIRE COTTES CPP </t>
  </si>
  <si>
    <t xml:space="preserve"> MONJARET </t>
  </si>
  <si>
    <t xml:space="preserve"> RIQUEBON </t>
  </si>
  <si>
    <t xml:space="preserve"> LE BOULICAUT </t>
  </si>
  <si>
    <t xml:space="preserve"> NGONAVICHITH </t>
  </si>
  <si>
    <t xml:space="preserve"> DOLIVET </t>
  </si>
  <si>
    <t xml:space="preserve"> CTT PLOUIGNEAU </t>
  </si>
  <si>
    <t xml:space="preserve"> CLOUTOUR </t>
  </si>
  <si>
    <t xml:space="preserve"> NIZIER </t>
  </si>
  <si>
    <t xml:space="preserve"> TRIBOULET </t>
  </si>
  <si>
    <t xml:space="preserve"> HOCDE </t>
  </si>
  <si>
    <t xml:space="preserve"> MEZENGUEL </t>
  </si>
  <si>
    <t xml:space="preserve"> PROSICKI </t>
  </si>
  <si>
    <t xml:space="preserve"> Henryk </t>
  </si>
  <si>
    <t xml:space="preserve"> ARIAS </t>
  </si>
  <si>
    <t xml:space="preserve"> NOTIN </t>
  </si>
  <si>
    <t xml:space="preserve"> DRAIN </t>
  </si>
  <si>
    <t xml:space="preserve"> DANJOU </t>
  </si>
  <si>
    <t xml:space="preserve"> VUILLERMOZ </t>
  </si>
  <si>
    <t xml:space="preserve"> JAROUSSEAU </t>
  </si>
  <si>
    <t xml:space="preserve"> GIROLLET </t>
  </si>
  <si>
    <t xml:space="preserve"> DROSS </t>
  </si>
  <si>
    <t xml:space="preserve"> Braz </t>
  </si>
  <si>
    <t xml:space="preserve"> BONELLI </t>
  </si>
  <si>
    <t xml:space="preserve"> TIRARD </t>
  </si>
  <si>
    <t xml:space="preserve"> MATHAN </t>
  </si>
  <si>
    <t xml:space="preserve"> ST GERMAIN D AULNAY ASL </t>
  </si>
  <si>
    <t xml:space="preserve"> LEDESERT </t>
  </si>
  <si>
    <t xml:space="preserve"> SOBAN </t>
  </si>
  <si>
    <t xml:space="preserve"> NGUY </t>
  </si>
  <si>
    <t xml:space="preserve"> Chi-vinh </t>
  </si>
  <si>
    <t xml:space="preserve"> NOENNEC </t>
  </si>
  <si>
    <t xml:space="preserve"> GRUAU </t>
  </si>
  <si>
    <t xml:space="preserve"> VALOUR </t>
  </si>
  <si>
    <t xml:space="preserve"> CHARUE </t>
  </si>
  <si>
    <t xml:space="preserve"> CAUNEAU </t>
  </si>
  <si>
    <t xml:space="preserve"> MEOZZI </t>
  </si>
  <si>
    <t xml:space="preserve"> HA SUM </t>
  </si>
  <si>
    <t xml:space="preserve"> DUGUE </t>
  </si>
  <si>
    <t xml:space="preserve"> NGUYEN DUY </t>
  </si>
  <si>
    <t xml:space="preserve"> Phuong </t>
  </si>
  <si>
    <t xml:space="preserve"> DUBANCHET </t>
  </si>
  <si>
    <t xml:space="preserve"> VA </t>
  </si>
  <si>
    <t xml:space="preserve"> Sovannaroth </t>
  </si>
  <si>
    <t xml:space="preserve"> TEMPS </t>
  </si>
  <si>
    <t xml:space="preserve"> BAINVILLE AUX MIROIRS F.R </t>
  </si>
  <si>
    <t xml:space="preserve"> LACELLE </t>
  </si>
  <si>
    <t xml:space="preserve"> ODOUARD </t>
  </si>
  <si>
    <t xml:space="preserve"> AUREAL </t>
  </si>
  <si>
    <t xml:space="preserve"> MIGNOT </t>
  </si>
  <si>
    <t xml:space="preserve"> SOBELLA </t>
  </si>
  <si>
    <t xml:space="preserve"> MOISSET </t>
  </si>
  <si>
    <t xml:space="preserve"> GILOTTE </t>
  </si>
  <si>
    <t xml:space="preserve"> ANGRES ALTT </t>
  </si>
  <si>
    <t xml:space="preserve"> PERRUCHON </t>
  </si>
  <si>
    <t xml:space="preserve"> PORTANIER </t>
  </si>
  <si>
    <t xml:space="preserve"> TEILLE C.P. </t>
  </si>
  <si>
    <t xml:space="preserve"> BAULOT </t>
  </si>
  <si>
    <t xml:space="preserve"> THIL </t>
  </si>
  <si>
    <t xml:space="preserve"> CHARTREL </t>
  </si>
  <si>
    <t xml:space="preserve"> CROISSY BEAUBOURG AS </t>
  </si>
  <si>
    <t xml:space="preserve"> Son kheng </t>
  </si>
  <si>
    <t xml:space="preserve"> Emile </t>
  </si>
  <si>
    <t xml:space="preserve"> NEAU </t>
  </si>
  <si>
    <t xml:space="preserve"> LHENERT </t>
  </si>
  <si>
    <t xml:space="preserve"> FOUQUEREAU </t>
  </si>
  <si>
    <t xml:space="preserve"> GUEUDOUX </t>
  </si>
  <si>
    <t xml:space="preserve"> AMIR </t>
  </si>
  <si>
    <t xml:space="preserve"> LE GUERROUE </t>
  </si>
  <si>
    <t xml:space="preserve"> GRASS </t>
  </si>
  <si>
    <t xml:space="preserve"> SUSTAR </t>
  </si>
  <si>
    <t xml:space="preserve"> PEDRON </t>
  </si>
  <si>
    <t xml:space="preserve"> FEBRE </t>
  </si>
  <si>
    <t xml:space="preserve"> CHOIMET </t>
  </si>
  <si>
    <t xml:space="preserve"> AGOUNKE </t>
  </si>
  <si>
    <t xml:space="preserve"> LIMA </t>
  </si>
  <si>
    <t xml:space="preserve"> BEUGIN </t>
  </si>
  <si>
    <t xml:space="preserve"> DEMOLDER </t>
  </si>
  <si>
    <t xml:space="preserve"> BIZIEN </t>
  </si>
  <si>
    <t xml:space="preserve"> LE HAVRE S'PORT </t>
  </si>
  <si>
    <t xml:space="preserve"> NEVIAN TT 2001 </t>
  </si>
  <si>
    <t xml:space="preserve"> SELOSSE </t>
  </si>
  <si>
    <t xml:space="preserve"> YVINEC </t>
  </si>
  <si>
    <t xml:space="preserve"> A.S.C. MONTAUDRAN </t>
  </si>
  <si>
    <t xml:space="preserve"> PICTON </t>
  </si>
  <si>
    <t xml:space="preserve"> US CHEMINOTS DIEPPE </t>
  </si>
  <si>
    <t xml:space="preserve"> STIEN </t>
  </si>
  <si>
    <t xml:space="preserve"> ORIYOMI </t>
  </si>
  <si>
    <t xml:space="preserve"> Abimbola </t>
  </si>
  <si>
    <t xml:space="preserve"> BOUDAUD </t>
  </si>
  <si>
    <t xml:space="preserve"> JEANCOLAS </t>
  </si>
  <si>
    <t xml:space="preserve"> MONNET </t>
  </si>
  <si>
    <t xml:space="preserve"> COLOMB </t>
  </si>
  <si>
    <t xml:space="preserve"> L'HOMMEDET </t>
  </si>
  <si>
    <t xml:space="preserve"> SABLON </t>
  </si>
  <si>
    <t xml:space="preserve"> FERCE US </t>
  </si>
  <si>
    <t xml:space="preserve"> DORNBIERER </t>
  </si>
  <si>
    <t xml:space="preserve"> VANGHELUWE </t>
  </si>
  <si>
    <t xml:space="preserve"> ASTIC </t>
  </si>
  <si>
    <t xml:space="preserve"> SCHALLIER </t>
  </si>
  <si>
    <t xml:space="preserve"> VANDON </t>
  </si>
  <si>
    <t xml:space="preserve"> POULIZAC </t>
  </si>
  <si>
    <t xml:space="preserve"> MAILLEFER </t>
  </si>
  <si>
    <t xml:space="preserve"> Yue </t>
  </si>
  <si>
    <t xml:space="preserve"> MONTAGNESE </t>
  </si>
  <si>
    <t xml:space="preserve"> ETHUIN </t>
  </si>
  <si>
    <t xml:space="preserve"> ALLGEIER </t>
  </si>
  <si>
    <t xml:space="preserve"> ROSSFELD U.T et de LOISIR </t>
  </si>
  <si>
    <t xml:space="preserve"> IOPETI </t>
  </si>
  <si>
    <t xml:space="preserve"> BERNAZEAU </t>
  </si>
  <si>
    <t xml:space="preserve"> KOEPPEL </t>
  </si>
  <si>
    <t xml:space="preserve"> BERARDI </t>
  </si>
  <si>
    <t xml:space="preserve"> Xu  zhong </t>
  </si>
  <si>
    <t xml:space="preserve"> PEPINO </t>
  </si>
  <si>
    <t xml:space="preserve"> DESREUMAUX </t>
  </si>
  <si>
    <t xml:space="preserve"> SA ST SEVER TT </t>
  </si>
  <si>
    <t xml:space="preserve"> MEYERHOFF </t>
  </si>
  <si>
    <t xml:space="preserve"> NOUVEAU </t>
  </si>
  <si>
    <t xml:space="preserve"> TROTTEL </t>
  </si>
  <si>
    <t xml:space="preserve"> CHAROY </t>
  </si>
  <si>
    <t xml:space="preserve"> LAHOGUE </t>
  </si>
  <si>
    <t xml:space="preserve"> GENTILHOMME </t>
  </si>
  <si>
    <t xml:space="preserve"> GOURMELEN </t>
  </si>
  <si>
    <t xml:space="preserve"> THOMMY </t>
  </si>
  <si>
    <t xml:space="preserve"> LAIDIN </t>
  </si>
  <si>
    <t xml:space="preserve"> ROZE </t>
  </si>
  <si>
    <t xml:space="preserve"> AS AEROPORT DE PARIS </t>
  </si>
  <si>
    <t xml:space="preserve"> FEREY </t>
  </si>
  <si>
    <t xml:space="preserve"> ST SAUFLIEU ASL </t>
  </si>
  <si>
    <t xml:space="preserve"> PERSE </t>
  </si>
  <si>
    <t xml:space="preserve"> CROISSANT </t>
  </si>
  <si>
    <t xml:space="preserve"> FAMANTA </t>
  </si>
  <si>
    <t xml:space="preserve"> Bakari </t>
  </si>
  <si>
    <t xml:space="preserve"> SAINTOIN </t>
  </si>
  <si>
    <t xml:space="preserve"> LEMENICIER </t>
  </si>
  <si>
    <t xml:space="preserve"> GOICHON </t>
  </si>
  <si>
    <t xml:space="preserve"> BAZOUD </t>
  </si>
  <si>
    <t xml:space="preserve"> TARTARIN </t>
  </si>
  <si>
    <t xml:space="preserve"> PINEAUD </t>
  </si>
  <si>
    <t xml:space="preserve"> DEBAIN </t>
  </si>
  <si>
    <t xml:space="preserve"> FER </t>
  </si>
  <si>
    <t xml:space="preserve"> CANAUD </t>
  </si>
  <si>
    <t xml:space="preserve"> ST NAZAIRE ASC </t>
  </si>
  <si>
    <t xml:space="preserve"> DARD </t>
  </si>
  <si>
    <t xml:space="preserve"> BORDELOT </t>
  </si>
  <si>
    <t xml:space="preserve"> GRABHERR </t>
  </si>
  <si>
    <t xml:space="preserve"> DOMIN </t>
  </si>
  <si>
    <t xml:space="preserve"> MACHU </t>
  </si>
  <si>
    <t xml:space="preserve"> ASC GUICLAN TT </t>
  </si>
  <si>
    <t xml:space="preserve"> MASSIOT </t>
  </si>
  <si>
    <t xml:space="preserve"> HABASQUE </t>
  </si>
  <si>
    <t xml:space="preserve"> BROUARD </t>
  </si>
  <si>
    <t xml:space="preserve"> BUGNICOURT AL </t>
  </si>
  <si>
    <t xml:space="preserve"> MIEL </t>
  </si>
  <si>
    <t xml:space="preserve"> PAULHE </t>
  </si>
  <si>
    <t xml:space="preserve"> KERVIGNAC TENNIS DE TABLE </t>
  </si>
  <si>
    <t xml:space="preserve"> Francis henri </t>
  </si>
  <si>
    <t xml:space="preserve"> SINAN </t>
  </si>
  <si>
    <t xml:space="preserve"> DECHAVANNE </t>
  </si>
  <si>
    <t xml:space="preserve"> PUISSOCHET </t>
  </si>
  <si>
    <t xml:space="preserve"> HAU </t>
  </si>
  <si>
    <t xml:space="preserve"> HERZHAFT </t>
  </si>
  <si>
    <t xml:space="preserve"> KERVRAN </t>
  </si>
  <si>
    <t xml:space="preserve"> VEYSSEYRE </t>
  </si>
  <si>
    <t xml:space="preserve"> Avant Garde St Etienne T. </t>
  </si>
  <si>
    <t xml:space="preserve"> ROBLET </t>
  </si>
  <si>
    <t xml:space="preserve"> VALERO </t>
  </si>
  <si>
    <t xml:space="preserve"> DETTORI </t>
  </si>
  <si>
    <t xml:space="preserve"> NEHOU </t>
  </si>
  <si>
    <t xml:space="preserve"> LESANGE </t>
  </si>
  <si>
    <t xml:space="preserve"> LEGOULLON </t>
  </si>
  <si>
    <t xml:space="preserve"> DE VRIESE </t>
  </si>
  <si>
    <t xml:space="preserve"> PEDEL </t>
  </si>
  <si>
    <t xml:space="preserve"> SORIA-PILES </t>
  </si>
  <si>
    <t xml:space="preserve"> GARAUD </t>
  </si>
  <si>
    <t xml:space="preserve"> CRUAUD </t>
  </si>
  <si>
    <t xml:space="preserve"> CORBE </t>
  </si>
  <si>
    <t xml:space="preserve"> CLARIN </t>
  </si>
  <si>
    <t xml:space="preserve"> CLERC </t>
  </si>
  <si>
    <t xml:space="preserve"> JAPIOT </t>
  </si>
  <si>
    <t xml:space="preserve"> DEVINAT </t>
  </si>
  <si>
    <t xml:space="preserve"> AS HAYE MALHERBE TT </t>
  </si>
  <si>
    <t xml:space="preserve"> SILHOL </t>
  </si>
  <si>
    <t xml:space="preserve"> BLARD </t>
  </si>
  <si>
    <t xml:space="preserve"> VANCLEENPUTTE </t>
  </si>
  <si>
    <t xml:space="preserve"> MARTINAUD </t>
  </si>
  <si>
    <t xml:space="preserve"> HERVOUETTE </t>
  </si>
  <si>
    <t xml:space="preserve"> R. PONCHAPTOISE EN PAYS F </t>
  </si>
  <si>
    <t xml:space="preserve"> HUTHER </t>
  </si>
  <si>
    <t xml:space="preserve"> MERIAUX </t>
  </si>
  <si>
    <t xml:space="preserve"> POMMIER </t>
  </si>
  <si>
    <t xml:space="preserve"> CHAMINADOUR </t>
  </si>
  <si>
    <t xml:space="preserve"> ASTT CHEMILLE SUR DEME </t>
  </si>
  <si>
    <t xml:space="preserve"> RATIBE </t>
  </si>
  <si>
    <t xml:space="preserve"> Akrim </t>
  </si>
  <si>
    <t xml:space="preserve"> BRIANCEAU </t>
  </si>
  <si>
    <t xml:space="preserve"> PRIMAT </t>
  </si>
  <si>
    <t xml:space="preserve"> St Genis Champagnac U.P. </t>
  </si>
  <si>
    <t xml:space="preserve"> COMLAN </t>
  </si>
  <si>
    <t xml:space="preserve"> SAISY </t>
  </si>
  <si>
    <t xml:space="preserve"> LEPORCQ </t>
  </si>
  <si>
    <t xml:space="preserve"> MARCAIRE </t>
  </si>
  <si>
    <t xml:space="preserve"> DAIME </t>
  </si>
  <si>
    <t xml:space="preserve"> CONNARD </t>
  </si>
  <si>
    <t xml:space="preserve"> MALCHIODI </t>
  </si>
  <si>
    <t xml:space="preserve"> TOSETTI </t>
  </si>
  <si>
    <t xml:space="preserve"> DUFLO </t>
  </si>
  <si>
    <t xml:space="preserve"> KHUN </t>
  </si>
  <si>
    <t xml:space="preserve"> JARDINET </t>
  </si>
  <si>
    <t xml:space="preserve"> USAC C DES DEPOTS / ORANG </t>
  </si>
  <si>
    <t xml:space="preserve"> TROLEZE </t>
  </si>
  <si>
    <t xml:space="preserve"> BRIMBEUF </t>
  </si>
  <si>
    <t xml:space="preserve"> LORIOT </t>
  </si>
  <si>
    <t xml:space="preserve"> LINCK </t>
  </si>
  <si>
    <t xml:space="preserve"> LA CHAPELLE ST LUC AJFB </t>
  </si>
  <si>
    <t xml:space="preserve"> HYLLAIRE </t>
  </si>
  <si>
    <t xml:space="preserve"> POISSONNIER </t>
  </si>
  <si>
    <t xml:space="preserve"> PAOLACCI </t>
  </si>
  <si>
    <t xml:space="preserve"> BOUVARD </t>
  </si>
  <si>
    <t xml:space="preserve"> PATARY </t>
  </si>
  <si>
    <t xml:space="preserve"> GUINEDOT </t>
  </si>
  <si>
    <t xml:space="preserve"> GIANESSI </t>
  </si>
  <si>
    <t xml:space="preserve"> STERMULA </t>
  </si>
  <si>
    <t xml:space="preserve"> TT PUJAUT-GRAND AVIGNON </t>
  </si>
  <si>
    <t xml:space="preserve"> DUPIN DE SAINT-CYR </t>
  </si>
  <si>
    <t xml:space="preserve"> SMORAG </t>
  </si>
  <si>
    <t xml:space="preserve"> GROUSSARD </t>
  </si>
  <si>
    <t xml:space="preserve"> Ich </t>
  </si>
  <si>
    <t xml:space="preserve"> REYMANN </t>
  </si>
  <si>
    <t xml:space="preserve"> GALLE </t>
  </si>
  <si>
    <t xml:space="preserve"> PAPPALARDO </t>
  </si>
  <si>
    <t xml:space="preserve"> CARTERON </t>
  </si>
  <si>
    <t xml:space="preserve"> GIORGI </t>
  </si>
  <si>
    <t xml:space="preserve"> VELGE </t>
  </si>
  <si>
    <t xml:space="preserve"> VRILLAUD </t>
  </si>
  <si>
    <t xml:space="preserve"> SEPTIER </t>
  </si>
  <si>
    <t xml:space="preserve"> TT LL DUNIERES </t>
  </si>
  <si>
    <t xml:space="preserve"> JACOB </t>
  </si>
  <si>
    <t xml:space="preserve"> TEIL </t>
  </si>
  <si>
    <t xml:space="preserve"> LAMBERSEND </t>
  </si>
  <si>
    <t xml:space="preserve"> CHOSSIDIERE </t>
  </si>
  <si>
    <t xml:space="preserve"> AUGENDRE </t>
  </si>
  <si>
    <t xml:space="preserve"> PANELAY </t>
  </si>
  <si>
    <t xml:space="preserve"> BOUDESSEUL </t>
  </si>
  <si>
    <t xml:space="preserve"> GUERDIN </t>
  </si>
  <si>
    <t xml:space="preserve"> FIAULT </t>
  </si>
  <si>
    <t xml:space="preserve"> BOUCHEZ </t>
  </si>
  <si>
    <t xml:space="preserve"> CUSIN </t>
  </si>
  <si>
    <t xml:space="preserve"> HOVAERE </t>
  </si>
  <si>
    <t xml:space="preserve"> AS VENCE T.T. </t>
  </si>
  <si>
    <t xml:space="preserve"> SEVERIN </t>
  </si>
  <si>
    <t xml:space="preserve"> DOME </t>
  </si>
  <si>
    <t xml:space="preserve"> PEYRET </t>
  </si>
  <si>
    <t xml:space="preserve"> HADDAD </t>
  </si>
  <si>
    <t xml:space="preserve"> LAILLY CA TT </t>
  </si>
  <si>
    <t xml:space="preserve"> PRADELLES </t>
  </si>
  <si>
    <t xml:space="preserve"> PERDRIELLE </t>
  </si>
  <si>
    <t xml:space="preserve"> VO-QUANG </t>
  </si>
  <si>
    <t xml:space="preserve"> Sam </t>
  </si>
  <si>
    <t xml:space="preserve"> HOPQUIN </t>
  </si>
  <si>
    <t xml:space="preserve"> FERVAQUES LP </t>
  </si>
  <si>
    <t xml:space="preserve"> SAUZEAU </t>
  </si>
  <si>
    <t xml:space="preserve"> BARJOT </t>
  </si>
  <si>
    <t xml:space="preserve"> CHOUKROUN </t>
  </si>
  <si>
    <t xml:space="preserve"> ZOUITENE </t>
  </si>
  <si>
    <t xml:space="preserve"> Ahmed </t>
  </si>
  <si>
    <t xml:space="preserve"> Ly seng </t>
  </si>
  <si>
    <t xml:space="preserve"> RIBAUT </t>
  </si>
  <si>
    <t xml:space="preserve"> VAITY </t>
  </si>
  <si>
    <t xml:space="preserve"> MASIL </t>
  </si>
  <si>
    <t xml:space="preserve"> Gwénaël </t>
  </si>
  <si>
    <t xml:space="preserve"> LE TREVOUX ADLTT </t>
  </si>
  <si>
    <t xml:space="preserve"> CETRULO </t>
  </si>
  <si>
    <t xml:space="preserve"> GIROUD </t>
  </si>
  <si>
    <t xml:space="preserve"> BEAUCHARD </t>
  </si>
  <si>
    <t xml:space="preserve"> ST-NAZAIRE CHEMINOTS </t>
  </si>
  <si>
    <t xml:space="preserve"> DUDOIT </t>
  </si>
  <si>
    <t xml:space="preserve"> RONGIER </t>
  </si>
  <si>
    <t xml:space="preserve"> BRAGADO </t>
  </si>
  <si>
    <t xml:space="preserve"> SELIE </t>
  </si>
  <si>
    <t xml:space="preserve"> Jean Michel </t>
  </si>
  <si>
    <t xml:space="preserve"> SAINTE MENEHOULD VVV </t>
  </si>
  <si>
    <t xml:space="preserve"> PLISSONNEAU </t>
  </si>
  <si>
    <t xml:space="preserve"> JOVANOVIC </t>
  </si>
  <si>
    <t xml:space="preserve"> Lazare </t>
  </si>
  <si>
    <t xml:space="preserve"> CAMPART </t>
  </si>
  <si>
    <t xml:space="preserve"> GARDE </t>
  </si>
  <si>
    <t xml:space="preserve"> MALOD </t>
  </si>
  <si>
    <t xml:space="preserve"> BOMPARD </t>
  </si>
  <si>
    <t xml:space="preserve"> MORIVAL </t>
  </si>
  <si>
    <t xml:space="preserve"> MARINACE </t>
  </si>
  <si>
    <t xml:space="preserve"> BOUVIGNIES </t>
  </si>
  <si>
    <t xml:space="preserve"> AUDOUIT </t>
  </si>
  <si>
    <t xml:space="preserve"> COUTABLE </t>
  </si>
  <si>
    <t xml:space="preserve"> GUERLUS </t>
  </si>
  <si>
    <t xml:space="preserve"> Jean - francois </t>
  </si>
  <si>
    <t xml:space="preserve"> HIRBET </t>
  </si>
  <si>
    <t xml:space="preserve"> VERMEULEN </t>
  </si>
  <si>
    <t xml:space="preserve"> VILLESECHE </t>
  </si>
  <si>
    <t xml:space="preserve"> CHENEL </t>
  </si>
  <si>
    <t xml:space="preserve"> DOUDOU </t>
  </si>
  <si>
    <t xml:space="preserve"> RICCIO </t>
  </si>
  <si>
    <t xml:space="preserve"> GRASLAND </t>
  </si>
  <si>
    <t xml:space="preserve"> CORCOUEENNE </t>
  </si>
  <si>
    <t xml:space="preserve"> LECARPENTIER </t>
  </si>
  <si>
    <t xml:space="preserve"> ASTT TARASCON </t>
  </si>
  <si>
    <t xml:space="preserve"> Pierre-henri </t>
  </si>
  <si>
    <t xml:space="preserve"> A.L. PAUL BERT </t>
  </si>
  <si>
    <t xml:space="preserve"> TITOULET </t>
  </si>
  <si>
    <t xml:space="preserve"> LAURENDON </t>
  </si>
  <si>
    <t xml:space="preserve"> MILOT </t>
  </si>
  <si>
    <t xml:space="preserve"> MULSANNE PPC </t>
  </si>
  <si>
    <t xml:space="preserve"> ROMANO </t>
  </si>
  <si>
    <t xml:space="preserve"> BEILLARD </t>
  </si>
  <si>
    <t xml:space="preserve"> DUBOT </t>
  </si>
  <si>
    <t xml:space="preserve"> GUENIER </t>
  </si>
  <si>
    <t xml:space="preserve"> RABLET </t>
  </si>
  <si>
    <t xml:space="preserve"> Carl </t>
  </si>
  <si>
    <t xml:space="preserve"> VENNECY AS TT </t>
  </si>
  <si>
    <t xml:space="preserve"> CARANTON </t>
  </si>
  <si>
    <t xml:space="preserve"> SIEGEL </t>
  </si>
  <si>
    <t xml:space="preserve"> BOUTERAON </t>
  </si>
  <si>
    <t xml:space="preserve"> Gybril </t>
  </si>
  <si>
    <t xml:space="preserve"> PIGOT </t>
  </si>
  <si>
    <t xml:space="preserve"> LE CERF </t>
  </si>
  <si>
    <t xml:space="preserve"> MOLLIER-PIERRET </t>
  </si>
  <si>
    <t xml:space="preserve"> AUBRUN </t>
  </si>
  <si>
    <t xml:space="preserve"> KIRCH </t>
  </si>
  <si>
    <t xml:space="preserve"> NEUFGRANGE </t>
  </si>
  <si>
    <t xml:space="preserve"> LEBOEUF </t>
  </si>
  <si>
    <t xml:space="preserve"> SEL OYONNAX TT </t>
  </si>
  <si>
    <t xml:space="preserve"> CACAULT </t>
  </si>
  <si>
    <t xml:space="preserve"> PERIERS SPORTS TT </t>
  </si>
  <si>
    <t xml:space="preserve"> NIDELET </t>
  </si>
  <si>
    <t xml:space="preserve"> MALDINEY </t>
  </si>
  <si>
    <t xml:space="preserve"> SEP CHALEZEULE </t>
  </si>
  <si>
    <t xml:space="preserve"> RANSON </t>
  </si>
  <si>
    <t xml:space="preserve"> CONSALES </t>
  </si>
  <si>
    <t xml:space="preserve"> INSEE PARIS CLUB </t>
  </si>
  <si>
    <t xml:space="preserve"> PIGEOT </t>
  </si>
  <si>
    <t xml:space="preserve"> ENGASSER </t>
  </si>
  <si>
    <t xml:space="preserve"> ZINGRAFF </t>
  </si>
  <si>
    <t xml:space="preserve"> LAMBIN </t>
  </si>
  <si>
    <t xml:space="preserve"> VIESLY TT </t>
  </si>
  <si>
    <t xml:space="preserve"> RIBECOURT US </t>
  </si>
  <si>
    <t xml:space="preserve"> MORIAUD </t>
  </si>
  <si>
    <t xml:space="preserve"> CORNUT </t>
  </si>
  <si>
    <t xml:space="preserve"> TOZZATO </t>
  </si>
  <si>
    <t xml:space="preserve"> GHEERAERT </t>
  </si>
  <si>
    <t xml:space="preserve"> PONTOISE </t>
  </si>
  <si>
    <t xml:space="preserve"> BRIOUZAIN OC </t>
  </si>
  <si>
    <t xml:space="preserve"> ZAMORD </t>
  </si>
  <si>
    <t xml:space="preserve"> Hyannic </t>
  </si>
  <si>
    <t xml:space="preserve"> MAILLOT </t>
  </si>
  <si>
    <t xml:space="preserve"> PULEO </t>
  </si>
  <si>
    <t xml:space="preserve"> BELLINI </t>
  </si>
  <si>
    <t xml:space="preserve"> VANHERPE </t>
  </si>
  <si>
    <t xml:space="preserve"> LETEXIER </t>
  </si>
  <si>
    <t xml:space="preserve"> DOS SANTOS </t>
  </si>
  <si>
    <t xml:space="preserve"> SAUTREUIL </t>
  </si>
  <si>
    <t xml:space="preserve"> SOLE </t>
  </si>
  <si>
    <t xml:space="preserve"> KIELBASIEWICZ </t>
  </si>
  <si>
    <t xml:space="preserve"> Yacine </t>
  </si>
  <si>
    <t xml:space="preserve"> SERENNE </t>
  </si>
  <si>
    <t xml:space="preserve"> HAENSLER </t>
  </si>
  <si>
    <t xml:space="preserve"> CRINON </t>
  </si>
  <si>
    <t xml:space="preserve"> LEDOS </t>
  </si>
  <si>
    <t xml:space="preserve"> SAINT JEAN DES CHAMPS RC </t>
  </si>
  <si>
    <t xml:space="preserve"> OURSEL </t>
  </si>
  <si>
    <t xml:space="preserve"> TOURNELLE </t>
  </si>
  <si>
    <t xml:space="preserve"> BEYOU </t>
  </si>
  <si>
    <t xml:space="preserve"> BOSSIO </t>
  </si>
  <si>
    <t xml:space="preserve"> Vasco </t>
  </si>
  <si>
    <t xml:space="preserve"> NIESS </t>
  </si>
  <si>
    <t xml:space="preserve"> DONZEL </t>
  </si>
  <si>
    <t xml:space="preserve"> LAQUAIS </t>
  </si>
  <si>
    <t xml:space="preserve"> BROSSET </t>
  </si>
  <si>
    <t xml:space="preserve"> GOURDIN </t>
  </si>
  <si>
    <t xml:space="preserve"> VIRELY </t>
  </si>
  <si>
    <t xml:space="preserve"> CIOLFI </t>
  </si>
  <si>
    <t xml:space="preserve"> BIDAULT </t>
  </si>
  <si>
    <t xml:space="preserve"> SIGNORILE </t>
  </si>
  <si>
    <t xml:space="preserve"> THURIES </t>
  </si>
  <si>
    <t xml:space="preserve"> ORLAC'H </t>
  </si>
  <si>
    <t xml:space="preserve"> MATHE </t>
  </si>
  <si>
    <t xml:space="preserve"> MIGNON </t>
  </si>
  <si>
    <t xml:space="preserve"> DELAMARCHE </t>
  </si>
  <si>
    <t xml:space="preserve"> LECOUVEY </t>
  </si>
  <si>
    <t xml:space="preserve"> STOLL </t>
  </si>
  <si>
    <t xml:space="preserve"> BALLET </t>
  </si>
  <si>
    <t xml:space="preserve"> DES COGNETS </t>
  </si>
  <si>
    <t xml:space="preserve"> POQUET </t>
  </si>
  <si>
    <t xml:space="preserve"> BERNA </t>
  </si>
  <si>
    <t xml:space="preserve"> MILLERY </t>
  </si>
  <si>
    <t xml:space="preserve"> BUNA </t>
  </si>
  <si>
    <t xml:space="preserve"> Istvan </t>
  </si>
  <si>
    <t xml:space="preserve"> BIENCOURT </t>
  </si>
  <si>
    <t xml:space="preserve"> LIBEAU </t>
  </si>
  <si>
    <t xml:space="preserve"> KERGOAT </t>
  </si>
  <si>
    <t xml:space="preserve"> SCIESZYK </t>
  </si>
  <si>
    <t xml:space="preserve"> MESSIAEN </t>
  </si>
  <si>
    <t xml:space="preserve"> TOBO </t>
  </si>
  <si>
    <t xml:space="preserve"> REKAS </t>
  </si>
  <si>
    <t xml:space="preserve"> PANIEN </t>
  </si>
  <si>
    <t xml:space="preserve"> CONREUX </t>
  </si>
  <si>
    <t xml:space="preserve"> GEHIN </t>
  </si>
  <si>
    <t xml:space="preserve"> MLADENOVIC </t>
  </si>
  <si>
    <t xml:space="preserve"> Sinisa </t>
  </si>
  <si>
    <t xml:space="preserve"> BOHN </t>
  </si>
  <si>
    <t xml:space="preserve"> JOBLIN </t>
  </si>
  <si>
    <t xml:space="preserve"> LIGNY </t>
  </si>
  <si>
    <t xml:space="preserve"> COLLOBERT </t>
  </si>
  <si>
    <t xml:space="preserve"> BARROYER </t>
  </si>
  <si>
    <t xml:space="preserve"> SPANNACCINI </t>
  </si>
  <si>
    <t xml:space="preserve"> SAINT JEAN T.T. </t>
  </si>
  <si>
    <t xml:space="preserve"> GERVREAU </t>
  </si>
  <si>
    <t xml:space="preserve"> BOUTIER </t>
  </si>
  <si>
    <t xml:space="preserve"> VERBEKE </t>
  </si>
  <si>
    <t xml:space="preserve"> DIBIASE </t>
  </si>
  <si>
    <t xml:space="preserve"> ROCROI US </t>
  </si>
  <si>
    <t xml:space="preserve"> ROGEL </t>
  </si>
  <si>
    <t xml:space="preserve"> BLAMPIGNON </t>
  </si>
  <si>
    <t xml:space="preserve"> TITECA </t>
  </si>
  <si>
    <t xml:space="preserve"> PAUTY </t>
  </si>
  <si>
    <t xml:space="preserve"> CREPIEUX </t>
  </si>
  <si>
    <t xml:space="preserve"> PENLOUP </t>
  </si>
  <si>
    <t xml:space="preserve"> BARBAUX </t>
  </si>
  <si>
    <t xml:space="preserve"> VALTON </t>
  </si>
  <si>
    <t xml:space="preserve"> CURNIL </t>
  </si>
  <si>
    <t xml:space="preserve"> KHUU </t>
  </si>
  <si>
    <t xml:space="preserve"> Minh thang </t>
  </si>
  <si>
    <t xml:space="preserve"> DUCURTIL </t>
  </si>
  <si>
    <t xml:space="preserve"> CAMBIEN </t>
  </si>
  <si>
    <t xml:space="preserve"> JACCOUX </t>
  </si>
  <si>
    <t xml:space="preserve"> VERCASSON </t>
  </si>
  <si>
    <t xml:space="preserve"> OGERON </t>
  </si>
  <si>
    <t xml:space="preserve"> PIDOUX </t>
  </si>
  <si>
    <t xml:space="preserve"> REB </t>
  </si>
  <si>
    <t xml:space="preserve"> SPIELDENNER </t>
  </si>
  <si>
    <t xml:space="preserve"> RENAT </t>
  </si>
  <si>
    <t xml:space="preserve"> GRANIT BLEU T.T. </t>
  </si>
  <si>
    <t xml:space="preserve"> JOUANNE </t>
  </si>
  <si>
    <t xml:space="preserve"> VICARD </t>
  </si>
  <si>
    <t xml:space="preserve"> REBEYROLLE </t>
  </si>
  <si>
    <t xml:space="preserve"> MAREUIL PIERRY PP </t>
  </si>
  <si>
    <t xml:space="preserve"> QUIERY LA MOTTE CTT </t>
  </si>
  <si>
    <t xml:space="preserve"> PORCELLINI </t>
  </si>
  <si>
    <t xml:space="preserve"> CORBEL </t>
  </si>
  <si>
    <t xml:space="preserve"> CALANDRE </t>
  </si>
  <si>
    <t xml:space="preserve"> PALMIER </t>
  </si>
  <si>
    <t xml:space="preserve"> CHAZETTE </t>
  </si>
  <si>
    <t xml:space="preserve"> WAROT </t>
  </si>
  <si>
    <t xml:space="preserve"> AUCHY LES HESDIN TT ALCIA </t>
  </si>
  <si>
    <t xml:space="preserve"> THIBERT </t>
  </si>
  <si>
    <t xml:space="preserve"> AUBER </t>
  </si>
  <si>
    <t xml:space="preserve"> BESSAGUET </t>
  </si>
  <si>
    <t xml:space="preserve"> COLOMER </t>
  </si>
  <si>
    <t xml:space="preserve"> DEWYSE </t>
  </si>
  <si>
    <t xml:space="preserve"> CALTEAU </t>
  </si>
  <si>
    <t xml:space="preserve"> RAVONISON </t>
  </si>
  <si>
    <t xml:space="preserve"> Mamy </t>
  </si>
  <si>
    <t xml:space="preserve"> Vianney </t>
  </si>
  <si>
    <t xml:space="preserve"> RABILLE </t>
  </si>
  <si>
    <t xml:space="preserve"> BABARIT </t>
  </si>
  <si>
    <t xml:space="preserve"> THIBAULT </t>
  </si>
  <si>
    <t xml:space="preserve"> CHENILLEAU </t>
  </si>
  <si>
    <t xml:space="preserve"> BELLARD </t>
  </si>
  <si>
    <t xml:space="preserve"> DELOULE </t>
  </si>
  <si>
    <t xml:space="preserve"> PIERROIS </t>
  </si>
  <si>
    <t xml:space="preserve"> DELANOUE </t>
  </si>
  <si>
    <t xml:space="preserve"> ANGEBAULT </t>
  </si>
  <si>
    <t xml:space="preserve"> TOUMI </t>
  </si>
  <si>
    <t xml:space="preserve"> CHAMERET </t>
  </si>
  <si>
    <t xml:space="preserve"> HAUTCOLAS </t>
  </si>
  <si>
    <t xml:space="preserve"> GRUBER </t>
  </si>
  <si>
    <t xml:space="preserve"> Desire </t>
  </si>
  <si>
    <t xml:space="preserve"> LIMAT </t>
  </si>
  <si>
    <t xml:space="preserve"> SCHEFFER </t>
  </si>
  <si>
    <t xml:space="preserve"> GLANDDIER </t>
  </si>
  <si>
    <t xml:space="preserve"> TCHOKO </t>
  </si>
  <si>
    <t xml:space="preserve"> Adolphe </t>
  </si>
  <si>
    <t xml:space="preserve"> LATREUILLE </t>
  </si>
  <si>
    <t xml:space="preserve"> HENAULT </t>
  </si>
  <si>
    <t xml:space="preserve"> TREGUER </t>
  </si>
  <si>
    <t xml:space="preserve"> COURTIEUX </t>
  </si>
  <si>
    <t xml:space="preserve"> DELECHAMP </t>
  </si>
  <si>
    <t xml:space="preserve"> COUVELARD </t>
  </si>
  <si>
    <t xml:space="preserve"> BARISSET </t>
  </si>
  <si>
    <t xml:space="preserve"> LATTAY </t>
  </si>
  <si>
    <t xml:space="preserve"> COUSSOT </t>
  </si>
  <si>
    <t xml:space="preserve"> DOUSSAINT </t>
  </si>
  <si>
    <t xml:space="preserve"> SACLAY CO </t>
  </si>
  <si>
    <t xml:space="preserve"> Jean - marc </t>
  </si>
  <si>
    <t xml:space="preserve"> TT BAULON ST THURIAL </t>
  </si>
  <si>
    <t xml:space="preserve"> LEPOITTEVIN-DUBOST </t>
  </si>
  <si>
    <t xml:space="preserve"> LEMOUSSU </t>
  </si>
  <si>
    <t xml:space="preserve"> COBRUN </t>
  </si>
  <si>
    <t xml:space="preserve"> RISPOLI </t>
  </si>
  <si>
    <t xml:space="preserve"> DONAIRE </t>
  </si>
  <si>
    <t xml:space="preserve"> FOURNAISE </t>
  </si>
  <si>
    <t xml:space="preserve"> DUBILLOT </t>
  </si>
  <si>
    <t xml:space="preserve"> JUBENOT </t>
  </si>
  <si>
    <t xml:space="preserve"> GOULET </t>
  </si>
  <si>
    <t xml:space="preserve"> VAUTHIER </t>
  </si>
  <si>
    <t xml:space="preserve"> CORDIER </t>
  </si>
  <si>
    <t xml:space="preserve"> BRELOT </t>
  </si>
  <si>
    <t xml:space="preserve"> BOUSCARAT </t>
  </si>
  <si>
    <t xml:space="preserve"> MARAILLAT </t>
  </si>
  <si>
    <t xml:space="preserve"> CHAIGNARD </t>
  </si>
  <si>
    <t xml:space="preserve"> SINAEVE </t>
  </si>
  <si>
    <t xml:space="preserve"> LE BARRIER </t>
  </si>
  <si>
    <t xml:space="preserve"> KERAVAL </t>
  </si>
  <si>
    <t xml:space="preserve"> LEMPEREUR </t>
  </si>
  <si>
    <t xml:space="preserve"> BORNET </t>
  </si>
  <si>
    <t xml:space="preserve"> ESPENEL </t>
  </si>
  <si>
    <t xml:space="preserve"> VIAND </t>
  </si>
  <si>
    <t xml:space="preserve"> RF HEUQUEVILLE </t>
  </si>
  <si>
    <t xml:space="preserve"> AMARY </t>
  </si>
  <si>
    <t xml:space="preserve"> CL UXELLOIS TT </t>
  </si>
  <si>
    <t xml:space="preserve"> BANCAL </t>
  </si>
  <si>
    <t xml:space="preserve"> PROQUOT </t>
  </si>
  <si>
    <t xml:space="preserve"> HALET </t>
  </si>
  <si>
    <t xml:space="preserve"> GIRI </t>
  </si>
  <si>
    <t xml:space="preserve"> PONTAUD </t>
  </si>
  <si>
    <t xml:space="preserve"> MAGNANON </t>
  </si>
  <si>
    <t xml:space="preserve"> MAQUINGHEM </t>
  </si>
  <si>
    <t xml:space="preserve"> DOURDAIN </t>
  </si>
  <si>
    <t xml:space="preserve"> DEPLANQUES </t>
  </si>
  <si>
    <t xml:space="preserve"> TUBEUF </t>
  </si>
  <si>
    <t xml:space="preserve"> DURY </t>
  </si>
  <si>
    <t xml:space="preserve"> MARGIOTTA </t>
  </si>
  <si>
    <t xml:space="preserve"> JAMAIS </t>
  </si>
  <si>
    <t xml:space="preserve"> AS.NOGENT SUR EURE </t>
  </si>
  <si>
    <t xml:space="preserve"> PLUQUET </t>
  </si>
  <si>
    <t xml:space="preserve"> SABBAH </t>
  </si>
  <si>
    <t xml:space="preserve"> KHELLADI </t>
  </si>
  <si>
    <t xml:space="preserve"> Salah </t>
  </si>
  <si>
    <t xml:space="preserve"> CUNG </t>
  </si>
  <si>
    <t xml:space="preserve"> Van-dat </t>
  </si>
  <si>
    <t xml:space="preserve"> PALMISANO </t>
  </si>
  <si>
    <t xml:space="preserve"> DEWILDE </t>
  </si>
  <si>
    <t xml:space="preserve"> GOULARD </t>
  </si>
  <si>
    <t xml:space="preserve"> LETESSIER </t>
  </si>
  <si>
    <t xml:space="preserve"> DURIEZ </t>
  </si>
  <si>
    <t xml:space="preserve"> A S BANQUE DE FRANCE </t>
  </si>
  <si>
    <t xml:space="preserve"> DEBUCK </t>
  </si>
  <si>
    <t xml:space="preserve"> HOUZELLE </t>
  </si>
  <si>
    <t xml:space="preserve"> Firmin </t>
  </si>
  <si>
    <t xml:space="preserve"> AGBODJAN-PRINCE </t>
  </si>
  <si>
    <t xml:space="preserve"> Edoe gerard </t>
  </si>
  <si>
    <t xml:space="preserve"> PROST </t>
  </si>
  <si>
    <t xml:space="preserve"> TENNIS DE TABLE LEMPSIQUO </t>
  </si>
  <si>
    <t xml:space="preserve"> CHILON </t>
  </si>
  <si>
    <t xml:space="preserve"> GUITAY </t>
  </si>
  <si>
    <t xml:space="preserve"> EVANO </t>
  </si>
  <si>
    <t xml:space="preserve"> BLOUDEAU </t>
  </si>
  <si>
    <t xml:space="preserve"> A.T.T.ST ANTOINE DU ROCHE </t>
  </si>
  <si>
    <t xml:space="preserve"> DECRET </t>
  </si>
  <si>
    <t xml:space="preserve"> JEUDY </t>
  </si>
  <si>
    <t xml:space="preserve"> QUETSTROY </t>
  </si>
  <si>
    <t xml:space="preserve"> GENU </t>
  </si>
  <si>
    <t xml:space="preserve"> GOVENNAIS T.T. </t>
  </si>
  <si>
    <t xml:space="preserve"> BISTON </t>
  </si>
  <si>
    <t xml:space="preserve"> BAHEUX </t>
  </si>
  <si>
    <t xml:space="preserve"> RIDOUX </t>
  </si>
  <si>
    <t xml:space="preserve"> MERLIER </t>
  </si>
  <si>
    <t xml:space="preserve"> LE DREO </t>
  </si>
  <si>
    <t xml:space="preserve"> AUCLERT </t>
  </si>
  <si>
    <t xml:space="preserve"> PAYS </t>
  </si>
  <si>
    <t xml:space="preserve"> VENDRELY </t>
  </si>
  <si>
    <t xml:space="preserve"> PECTEL </t>
  </si>
  <si>
    <t xml:space="preserve"> KANDIN </t>
  </si>
  <si>
    <t xml:space="preserve"> DUGAS </t>
  </si>
  <si>
    <t xml:space="preserve"> JEANNINGROS </t>
  </si>
  <si>
    <t xml:space="preserve"> TENNIS DE TABLE CHAMPLIVE </t>
  </si>
  <si>
    <t xml:space="preserve"> LA RAQUETTE CAVALAIROISE </t>
  </si>
  <si>
    <t xml:space="preserve"> CLAIRON </t>
  </si>
  <si>
    <t xml:space="preserve"> BIOTEAU </t>
  </si>
  <si>
    <t xml:space="preserve"> JAGOURY </t>
  </si>
  <si>
    <t xml:space="preserve"> SAILLOUR </t>
  </si>
  <si>
    <t xml:space="preserve"> CREUSEL </t>
  </si>
  <si>
    <t xml:space="preserve"> BAYON Tennis de Table </t>
  </si>
  <si>
    <t xml:space="preserve"> KACHNIC </t>
  </si>
  <si>
    <t xml:space="preserve"> MISUT </t>
  </si>
  <si>
    <t xml:space="preserve"> DENNIEL </t>
  </si>
  <si>
    <t xml:space="preserve"> SLEMBROUCK </t>
  </si>
  <si>
    <t xml:space="preserve"> POLARD </t>
  </si>
  <si>
    <t xml:space="preserve"> THALAMY </t>
  </si>
  <si>
    <t xml:space="preserve"> CHAMAYOU </t>
  </si>
  <si>
    <t xml:space="preserve"> ESPOSITO </t>
  </si>
  <si>
    <t xml:space="preserve"> HAZEBROUCQ </t>
  </si>
  <si>
    <t xml:space="preserve"> JOUBAUD </t>
  </si>
  <si>
    <t xml:space="preserve"> CIPRIANI </t>
  </si>
  <si>
    <t xml:space="preserve"> GALPERN </t>
  </si>
  <si>
    <t xml:space="preserve"> CHAPOUL </t>
  </si>
  <si>
    <t xml:space="preserve"> BAILLE </t>
  </si>
  <si>
    <t xml:space="preserve"> LALOY </t>
  </si>
  <si>
    <t xml:space="preserve"> FLORIMOND </t>
  </si>
  <si>
    <t xml:space="preserve"> MERCY LE BAS F.E.P. </t>
  </si>
  <si>
    <t xml:space="preserve"> GEYER </t>
  </si>
  <si>
    <t xml:space="preserve"> Françis </t>
  </si>
  <si>
    <t xml:space="preserve"> FAIDHERBE </t>
  </si>
  <si>
    <t xml:space="preserve"> GILLOT </t>
  </si>
  <si>
    <t xml:space="preserve"> FAIZENDE </t>
  </si>
  <si>
    <t xml:space="preserve"> LE COM </t>
  </si>
  <si>
    <t xml:space="preserve"> CRICHI </t>
  </si>
  <si>
    <t xml:space="preserve"> ROULLAIS </t>
  </si>
  <si>
    <t xml:space="preserve"> COUTEAU </t>
  </si>
  <si>
    <t xml:space="preserve"> DIRE </t>
  </si>
  <si>
    <t xml:space="preserve"> LE LOC'H </t>
  </si>
  <si>
    <t xml:space="preserve"> KISIELAK </t>
  </si>
  <si>
    <t xml:space="preserve"> VO QUANG </t>
  </si>
  <si>
    <t xml:space="preserve"> JONCHERAY </t>
  </si>
  <si>
    <t xml:space="preserve"> NOUGIER </t>
  </si>
  <si>
    <t xml:space="preserve"> JOSSEAUME </t>
  </si>
  <si>
    <t xml:space="preserve"> VEKEMAN </t>
  </si>
  <si>
    <t xml:space="preserve"> VACHER </t>
  </si>
  <si>
    <t xml:space="preserve"> LARDOUX </t>
  </si>
  <si>
    <t xml:space="preserve"> ENGHIEN CTT </t>
  </si>
  <si>
    <t xml:space="preserve"> ALLONNES VILLEBERNIER </t>
  </si>
  <si>
    <t xml:space="preserve"> MIGEON </t>
  </si>
  <si>
    <t xml:space="preserve"> US BAZAS TT </t>
  </si>
  <si>
    <t xml:space="preserve"> SOUCHA </t>
  </si>
  <si>
    <t xml:space="preserve"> Jean - claude </t>
  </si>
  <si>
    <t xml:space="preserve"> ZAMBIASI </t>
  </si>
  <si>
    <t xml:space="preserve"> VANHEESBEKE </t>
  </si>
  <si>
    <t xml:space="preserve"> DANNENMULLER </t>
  </si>
  <si>
    <t xml:space="preserve"> KAHN </t>
  </si>
  <si>
    <t xml:space="preserve"> AL PLOUZANE </t>
  </si>
  <si>
    <t xml:space="preserve"> Charly </t>
  </si>
  <si>
    <t xml:space="preserve"> KHALFALLAH </t>
  </si>
  <si>
    <t xml:space="preserve"> TENNIS TABLE MIMIZANNAIS </t>
  </si>
  <si>
    <t xml:space="preserve"> BAUDIN </t>
  </si>
  <si>
    <t xml:space="preserve"> LANU </t>
  </si>
  <si>
    <t xml:space="preserve"> GUILLOTIN </t>
  </si>
  <si>
    <t xml:space="preserve"> VALADE </t>
  </si>
  <si>
    <t xml:space="preserve"> LOJEWSKI </t>
  </si>
  <si>
    <t xml:space="preserve"> Fléac M J C </t>
  </si>
  <si>
    <t xml:space="preserve"> FOURMON </t>
  </si>
  <si>
    <t xml:space="preserve"> CAMUS </t>
  </si>
  <si>
    <t xml:space="preserve"> KOZMIK </t>
  </si>
  <si>
    <t xml:space="preserve"> LAUNOIS </t>
  </si>
  <si>
    <t xml:space="preserve"> GENCE </t>
  </si>
  <si>
    <t xml:space="preserve"> LETOURNEUX </t>
  </si>
  <si>
    <t xml:space="preserve"> ESCOFFRES </t>
  </si>
  <si>
    <t xml:space="preserve"> BOUMAL </t>
  </si>
  <si>
    <t xml:space="preserve"> COELHO </t>
  </si>
  <si>
    <t xml:space="preserve"> MAETZ </t>
  </si>
  <si>
    <t xml:space="preserve"> ILE TUDY COMBRIT TT </t>
  </si>
  <si>
    <t xml:space="preserve"> CORITON </t>
  </si>
  <si>
    <t xml:space="preserve"> BRUYAS </t>
  </si>
  <si>
    <t xml:space="preserve"> TURCK </t>
  </si>
  <si>
    <t xml:space="preserve"> DELASSUS </t>
  </si>
  <si>
    <t xml:space="preserve"> CAU </t>
  </si>
  <si>
    <t xml:space="preserve"> CAFFIER </t>
  </si>
  <si>
    <t xml:space="preserve"> CORNEJO </t>
  </si>
  <si>
    <t xml:space="preserve"> SIONNEAU </t>
  </si>
  <si>
    <t xml:space="preserve"> CLAVERIE </t>
  </si>
  <si>
    <t xml:space="preserve"> MONNERET </t>
  </si>
  <si>
    <t xml:space="preserve"> DUBIE </t>
  </si>
  <si>
    <t xml:space="preserve"> GAREL </t>
  </si>
  <si>
    <t xml:space="preserve"> JA VIOLAY </t>
  </si>
  <si>
    <t xml:space="preserve"> BELLOU </t>
  </si>
  <si>
    <t xml:space="preserve"> STRINGER </t>
  </si>
  <si>
    <t xml:space="preserve"> CALVARUSO </t>
  </si>
  <si>
    <t xml:space="preserve"> ROUSSY LE VILLAGE TT </t>
  </si>
  <si>
    <t xml:space="preserve"> CRISTOL </t>
  </si>
  <si>
    <t xml:space="preserve"> VICART </t>
  </si>
  <si>
    <t xml:space="preserve"> PUYHAUBERT </t>
  </si>
  <si>
    <t xml:space="preserve"> MORLAES </t>
  </si>
  <si>
    <t xml:space="preserve"> JOINTER </t>
  </si>
  <si>
    <t xml:space="preserve"> DESSIATNIKOFF </t>
  </si>
  <si>
    <t xml:space="preserve"> LAMOUREUX </t>
  </si>
  <si>
    <t xml:space="preserve"> PEUROU </t>
  </si>
  <si>
    <t xml:space="preserve"> ORTH </t>
  </si>
  <si>
    <t xml:space="preserve"> CHAMPOURLIER </t>
  </si>
  <si>
    <t xml:space="preserve"> LOIZEAU </t>
  </si>
  <si>
    <t xml:space="preserve"> RUSCASSIER </t>
  </si>
  <si>
    <t xml:space="preserve"> MAHU </t>
  </si>
  <si>
    <t xml:space="preserve"> CHASSAING </t>
  </si>
  <si>
    <t xml:space="preserve"> MISSOUX </t>
  </si>
  <si>
    <t xml:space="preserve"> RUYER </t>
  </si>
  <si>
    <t xml:space="preserve"> MAUFRAIS </t>
  </si>
  <si>
    <t xml:space="preserve"> GALVAN </t>
  </si>
  <si>
    <t xml:space="preserve"> LEPOBER </t>
  </si>
  <si>
    <t xml:space="preserve"> ALIGON </t>
  </si>
  <si>
    <t xml:space="preserve"> HOUBEN </t>
  </si>
  <si>
    <t xml:space="preserve"> LE NOTRE </t>
  </si>
  <si>
    <t xml:space="preserve"> VATAN </t>
  </si>
  <si>
    <t xml:space="preserve"> MA </t>
  </si>
  <si>
    <t xml:space="preserve"> Sanzhou </t>
  </si>
  <si>
    <t xml:space="preserve"> T.T. BOURG DES COMPTES </t>
  </si>
  <si>
    <t xml:space="preserve"> DELOEIL </t>
  </si>
  <si>
    <t xml:space="preserve"> HERIN USTT </t>
  </si>
  <si>
    <t xml:space="preserve"> Angel </t>
  </si>
  <si>
    <t xml:space="preserve"> TT MARINOIS </t>
  </si>
  <si>
    <t xml:space="preserve"> Mathurin </t>
  </si>
  <si>
    <t xml:space="preserve"> DE LOOZE </t>
  </si>
  <si>
    <t xml:space="preserve"> HEYMAN </t>
  </si>
  <si>
    <t xml:space="preserve"> CHEREL </t>
  </si>
  <si>
    <t xml:space="preserve"> GENAUDEAU </t>
  </si>
  <si>
    <t xml:space="preserve"> ST MARTIN NOYERS ESMTT </t>
  </si>
  <si>
    <t xml:space="preserve"> BARAZER </t>
  </si>
  <si>
    <t xml:space="preserve"> BUSSER </t>
  </si>
  <si>
    <t xml:space="preserve"> URVOAZ </t>
  </si>
  <si>
    <t xml:space="preserve"> FRISON </t>
  </si>
  <si>
    <t xml:space="preserve"> LAHIRLE </t>
  </si>
  <si>
    <t xml:space="preserve"> LEMARQUAND </t>
  </si>
  <si>
    <t xml:space="preserve"> BARRY </t>
  </si>
  <si>
    <t xml:space="preserve"> COURDIN </t>
  </si>
  <si>
    <t xml:space="preserve"> LACOIN </t>
  </si>
  <si>
    <t xml:space="preserve"> SALAT </t>
  </si>
  <si>
    <t xml:space="preserve"> LACAZE </t>
  </si>
  <si>
    <t xml:space="preserve"> FAVRIE </t>
  </si>
  <si>
    <t xml:space="preserve"> DOMFRONT TT </t>
  </si>
  <si>
    <t xml:space="preserve"> ERIPRET </t>
  </si>
  <si>
    <t xml:space="preserve"> LAVIEC </t>
  </si>
  <si>
    <t xml:space="preserve"> LE MEINS </t>
  </si>
  <si>
    <t xml:space="preserve"> DANIOT </t>
  </si>
  <si>
    <t xml:space="preserve"> SZUCHENDLER </t>
  </si>
  <si>
    <t xml:space="preserve"> BRACHET </t>
  </si>
  <si>
    <t xml:space="preserve"> BARTE </t>
  </si>
  <si>
    <t xml:space="preserve"> GORENFLOT </t>
  </si>
  <si>
    <t xml:space="preserve"> ULLY ST GEORGES FR </t>
  </si>
  <si>
    <t xml:space="preserve"> ZIELINSKI </t>
  </si>
  <si>
    <t xml:space="preserve"> DENNIN </t>
  </si>
  <si>
    <t xml:space="preserve"> SOULAS </t>
  </si>
  <si>
    <t xml:space="preserve"> MORELLE </t>
  </si>
  <si>
    <t xml:space="preserve"> BEROLDY </t>
  </si>
  <si>
    <t xml:space="preserve"> BEIGNET </t>
  </si>
  <si>
    <t xml:space="preserve"> ASCAM BLOIS </t>
  </si>
  <si>
    <t xml:space="preserve"> RICHIR </t>
  </si>
  <si>
    <t xml:space="preserve"> CAVILLA </t>
  </si>
  <si>
    <t xml:space="preserve"> HUGUENIN </t>
  </si>
  <si>
    <t xml:space="preserve"> DESJARDINS </t>
  </si>
  <si>
    <t xml:space="preserve"> DOUTRESSOULLES </t>
  </si>
  <si>
    <t xml:space="preserve"> SETTE </t>
  </si>
  <si>
    <t xml:space="preserve"> CAVOLEAU </t>
  </si>
  <si>
    <t xml:space="preserve"> DHALLUIN </t>
  </si>
  <si>
    <t xml:space="preserve"> LAURANS </t>
  </si>
  <si>
    <t xml:space="preserve"> HEMONNOT </t>
  </si>
  <si>
    <t xml:space="preserve"> RAVON </t>
  </si>
  <si>
    <t xml:space="preserve"> SARAZIN </t>
  </si>
  <si>
    <t xml:space="preserve"> LE MARTELOT </t>
  </si>
  <si>
    <t xml:space="preserve"> BOUYSSI </t>
  </si>
  <si>
    <t xml:space="preserve"> BOUTEL </t>
  </si>
  <si>
    <t xml:space="preserve"> PEIFER </t>
  </si>
  <si>
    <t xml:space="preserve"> LINAS MONTLHERY E.S.A. </t>
  </si>
  <si>
    <t xml:space="preserve"> BELIARD </t>
  </si>
  <si>
    <t xml:space="preserve"> FAVRY </t>
  </si>
  <si>
    <t xml:space="preserve"> CLOAREC </t>
  </si>
  <si>
    <t xml:space="preserve"> J Baptiste </t>
  </si>
  <si>
    <t xml:space="preserve"> MOSBRUCKER </t>
  </si>
  <si>
    <t xml:space="preserve"> N GUYEN </t>
  </si>
  <si>
    <t xml:space="preserve"> Thanh minh </t>
  </si>
  <si>
    <t xml:space="preserve"> RUBENS </t>
  </si>
  <si>
    <t xml:space="preserve"> ANOR PPC </t>
  </si>
  <si>
    <t xml:space="preserve"> FAUGERAS </t>
  </si>
  <si>
    <t xml:space="preserve"> MAIZY </t>
  </si>
  <si>
    <t xml:space="preserve"> MONOURY </t>
  </si>
  <si>
    <t xml:space="preserve"> LEDROLE </t>
  </si>
  <si>
    <t xml:space="preserve"> DELBRAY </t>
  </si>
  <si>
    <t xml:space="preserve"> MASSACRIER </t>
  </si>
  <si>
    <t xml:space="preserve"> ALLA </t>
  </si>
  <si>
    <t xml:space="preserve"> WIEDEMANN </t>
  </si>
  <si>
    <t xml:space="preserve"> SOULTZ SOUS FORETS TT </t>
  </si>
  <si>
    <t xml:space="preserve"> DEWEVRE </t>
  </si>
  <si>
    <t xml:space="preserve"> VUILLAUME </t>
  </si>
  <si>
    <t xml:space="preserve"> BONIS </t>
  </si>
  <si>
    <t xml:space="preserve"> ERGERSHEIM FCJ </t>
  </si>
  <si>
    <t xml:space="preserve"> PILLAN </t>
  </si>
  <si>
    <t xml:space="preserve"> RUNAVOT </t>
  </si>
  <si>
    <t xml:space="preserve"> KUHN </t>
  </si>
  <si>
    <t xml:space="preserve"> ORMES EVEIL SPORTIF </t>
  </si>
  <si>
    <t xml:space="preserve"> SAGLIO </t>
  </si>
  <si>
    <t xml:space="preserve"> REFAUVELET </t>
  </si>
  <si>
    <t xml:space="preserve"> ROUGET </t>
  </si>
  <si>
    <t xml:space="preserve"> AUDEL </t>
  </si>
  <si>
    <t xml:space="preserve"> Jean-elie </t>
  </si>
  <si>
    <t xml:space="preserve"> T.T.CARCENAC BARAQUEVILLE </t>
  </si>
  <si>
    <t xml:space="preserve"> FELICES </t>
  </si>
  <si>
    <t xml:space="preserve"> GROU </t>
  </si>
  <si>
    <t xml:space="preserve"> HERGNIOT </t>
  </si>
  <si>
    <t xml:space="preserve"> ANDEVILLE PPC </t>
  </si>
  <si>
    <t xml:space="preserve"> REPESSE </t>
  </si>
  <si>
    <t xml:space="preserve"> ALEU </t>
  </si>
  <si>
    <t xml:space="preserve"> ANGOT </t>
  </si>
  <si>
    <t xml:space="preserve"> LE BOULANGER </t>
  </si>
  <si>
    <t xml:space="preserve"> SOUTY </t>
  </si>
  <si>
    <t xml:space="preserve"> DELEVAL </t>
  </si>
  <si>
    <t xml:space="preserve"> DI SALVO </t>
  </si>
  <si>
    <t xml:space="preserve"> KREMER </t>
  </si>
  <si>
    <t xml:space="preserve"> MARKWITZ </t>
  </si>
  <si>
    <t xml:space="preserve"> LE DEUC </t>
  </si>
  <si>
    <t xml:space="preserve"> ASFT TT FONTENAY TRESIGNY </t>
  </si>
  <si>
    <t xml:space="preserve"> POUPIN </t>
  </si>
  <si>
    <t xml:space="preserve"> DEMOLIN </t>
  </si>
  <si>
    <t xml:space="preserve"> MARTINE </t>
  </si>
  <si>
    <t xml:space="preserve"> CHAPDELAINE </t>
  </si>
  <si>
    <t xml:space="preserve"> RINGEISEN </t>
  </si>
  <si>
    <t xml:space="preserve"> VIGNER </t>
  </si>
  <si>
    <t xml:space="preserve"> FIEYRE </t>
  </si>
  <si>
    <t xml:space="preserve"> STROSBERG </t>
  </si>
  <si>
    <t xml:space="preserve"> ST HONORINE LA CHARDONNE </t>
  </si>
  <si>
    <t xml:space="preserve"> ESTORGUES </t>
  </si>
  <si>
    <t xml:space="preserve"> JEANNE D ARC PLEUCADEUC </t>
  </si>
  <si>
    <t xml:space="preserve"> REVEILLER </t>
  </si>
  <si>
    <t xml:space="preserve"> LALY </t>
  </si>
  <si>
    <t xml:space="preserve"> VOLTIGEURS DE BILLANCOURT </t>
  </si>
  <si>
    <t xml:space="preserve"> CHAIRIEW </t>
  </si>
  <si>
    <t xml:space="preserve"> PESCHKE </t>
  </si>
  <si>
    <t xml:space="preserve"> CHEVRY </t>
  </si>
  <si>
    <t xml:space="preserve"> MARTINS </t>
  </si>
  <si>
    <t xml:space="preserve"> BAELDE </t>
  </si>
  <si>
    <t xml:space="preserve"> AL CHAMPAGNE </t>
  </si>
  <si>
    <t xml:space="preserve"> LIPFERT </t>
  </si>
  <si>
    <t xml:space="preserve"> Oswald </t>
  </si>
  <si>
    <t xml:space="preserve"> GAUVAIN </t>
  </si>
  <si>
    <t xml:space="preserve"> LEBOULLENGER </t>
  </si>
  <si>
    <t xml:space="preserve"> LE RIGOLEUR </t>
  </si>
  <si>
    <t xml:space="preserve"> ALLIONE </t>
  </si>
  <si>
    <t xml:space="preserve"> SABIDUSSI </t>
  </si>
  <si>
    <t xml:space="preserve"> COLLOMB </t>
  </si>
  <si>
    <t xml:space="preserve"> DEPERSIN </t>
  </si>
  <si>
    <t xml:space="preserve"> Jackie </t>
  </si>
  <si>
    <t xml:space="preserve"> CUVELLIER </t>
  </si>
  <si>
    <t xml:space="preserve"> WENDLING </t>
  </si>
  <si>
    <t xml:space="preserve"> BORNE </t>
  </si>
  <si>
    <t xml:space="preserve"> INIAL </t>
  </si>
  <si>
    <t xml:space="preserve"> VALSEMEY </t>
  </si>
  <si>
    <t xml:space="preserve"> SEPHAIRE </t>
  </si>
  <si>
    <t xml:space="preserve"> ICKOWSKI </t>
  </si>
  <si>
    <t xml:space="preserve"> BAOUZ </t>
  </si>
  <si>
    <t xml:space="preserve"> Tito </t>
  </si>
  <si>
    <t xml:space="preserve"> BOSSERELLE </t>
  </si>
  <si>
    <t xml:space="preserve"> DUBARRY </t>
  </si>
  <si>
    <t xml:space="preserve"> PLACE </t>
  </si>
  <si>
    <t xml:space="preserve"> CHARMETTANT </t>
  </si>
  <si>
    <t xml:space="preserve"> FRANCOISE </t>
  </si>
  <si>
    <t xml:space="preserve"> Xuewen </t>
  </si>
  <si>
    <t xml:space="preserve"> VILAIN </t>
  </si>
  <si>
    <t xml:space="preserve"> GAUDAIRE </t>
  </si>
  <si>
    <t xml:space="preserve"> TENNIS DE TABLE EMBRUNAIS </t>
  </si>
  <si>
    <t xml:space="preserve"> GUEFFIER </t>
  </si>
  <si>
    <t xml:space="preserve"> RECQUIGNIES PPC </t>
  </si>
  <si>
    <t xml:space="preserve"> Tan dat </t>
  </si>
  <si>
    <t xml:space="preserve"> STADE DE VANVES </t>
  </si>
  <si>
    <t xml:space="preserve"> PERSONNAT </t>
  </si>
  <si>
    <t xml:space="preserve"> Noe </t>
  </si>
  <si>
    <t xml:space="preserve"> LORIAUX </t>
  </si>
  <si>
    <t xml:space="preserve"> BOULANT </t>
  </si>
  <si>
    <t xml:space="preserve"> TREPOS </t>
  </si>
  <si>
    <t xml:space="preserve"> Polyno </t>
  </si>
  <si>
    <t xml:space="preserve"> OLYMPIQUE CABRIES-CALAS T </t>
  </si>
  <si>
    <t xml:space="preserve"> BOURON </t>
  </si>
  <si>
    <t xml:space="preserve"> PINVIDIC </t>
  </si>
  <si>
    <t xml:space="preserve"> CHAYNE </t>
  </si>
  <si>
    <t xml:space="preserve"> L'HOUR </t>
  </si>
  <si>
    <t xml:space="preserve"> SCHOETTEL </t>
  </si>
  <si>
    <t xml:space="preserve"> ALDRIN </t>
  </si>
  <si>
    <t xml:space="preserve"> CATTEAU </t>
  </si>
  <si>
    <t xml:space="preserve"> BRUGERON </t>
  </si>
  <si>
    <t xml:space="preserve"> TROQUEREAU </t>
  </si>
  <si>
    <t xml:space="preserve"> LADEVE </t>
  </si>
  <si>
    <t xml:space="preserve"> BIVILLE </t>
  </si>
  <si>
    <t xml:space="preserve"> CP MONTVILLE ANCEAUMEVILL </t>
  </si>
  <si>
    <t xml:space="preserve"> MAIETTI </t>
  </si>
  <si>
    <t xml:space="preserve"> CAIRON </t>
  </si>
  <si>
    <t xml:space="preserve"> Jalm </t>
  </si>
  <si>
    <t xml:space="preserve"> FAGET </t>
  </si>
  <si>
    <t xml:space="preserve"> BULKA </t>
  </si>
  <si>
    <t xml:space="preserve"> SCRIBOT </t>
  </si>
  <si>
    <t xml:space="preserve"> Fernand andre </t>
  </si>
  <si>
    <t xml:space="preserve"> BEAUDOUX </t>
  </si>
  <si>
    <t xml:space="preserve"> LABEYE </t>
  </si>
  <si>
    <t xml:space="preserve"> THOMINE </t>
  </si>
  <si>
    <t xml:space="preserve"> BOTTAGISI </t>
  </si>
  <si>
    <t xml:space="preserve"> Ollivier </t>
  </si>
  <si>
    <t xml:space="preserve"> CALLAND </t>
  </si>
  <si>
    <t xml:space="preserve"> LE SQUERN </t>
  </si>
  <si>
    <t xml:space="preserve"> BRISON </t>
  </si>
  <si>
    <t xml:space="preserve"> MBOLA TEMBO </t>
  </si>
  <si>
    <t xml:space="preserve"> Bienvenu </t>
  </si>
  <si>
    <t xml:space="preserve"> MASSART </t>
  </si>
  <si>
    <t xml:space="preserve"> MAGNERON </t>
  </si>
  <si>
    <t xml:space="preserve"> CALVET </t>
  </si>
  <si>
    <t xml:space="preserve"> FAGOO </t>
  </si>
  <si>
    <t xml:space="preserve"> LOEWENGUTH </t>
  </si>
  <si>
    <t xml:space="preserve"> TOP </t>
  </si>
  <si>
    <t xml:space="preserve"> SALINGUE </t>
  </si>
  <si>
    <t xml:space="preserve"> MIRBEL </t>
  </si>
  <si>
    <t xml:space="preserve"> DANGIN </t>
  </si>
  <si>
    <t xml:space="preserve"> POSSEMIERS </t>
  </si>
  <si>
    <t xml:space="preserve"> VOUILLON </t>
  </si>
  <si>
    <t xml:space="preserve"> MILANI </t>
  </si>
  <si>
    <t xml:space="preserve"> LETHIEN </t>
  </si>
  <si>
    <t xml:space="preserve"> MONTAY </t>
  </si>
  <si>
    <t xml:space="preserve"> SENS </t>
  </si>
  <si>
    <t xml:space="preserve"> CARRIERE </t>
  </si>
  <si>
    <t xml:space="preserve"> LEPICARD </t>
  </si>
  <si>
    <t xml:space="preserve"> TRAULLE </t>
  </si>
  <si>
    <t xml:space="preserve"> CHAIZEMARTIN </t>
  </si>
  <si>
    <t xml:space="preserve"> GAMMELIN </t>
  </si>
  <si>
    <t xml:space="preserve"> BISIAUX </t>
  </si>
  <si>
    <t xml:space="preserve"> TASSOT </t>
  </si>
  <si>
    <t xml:space="preserve"> VIGNES </t>
  </si>
  <si>
    <t xml:space="preserve"> TOURET </t>
  </si>
  <si>
    <t xml:space="preserve"> GALTIE </t>
  </si>
  <si>
    <t xml:space="preserve"> LACORRE </t>
  </si>
  <si>
    <t xml:space="preserve"> BRANGER </t>
  </si>
  <si>
    <t xml:space="preserve"> DUMETZ </t>
  </si>
  <si>
    <t xml:space="preserve"> COINDRE </t>
  </si>
  <si>
    <t xml:space="preserve"> TILLIER </t>
  </si>
  <si>
    <t xml:space="preserve"> FRESNAY L'EVEQUE TENNIS D </t>
  </si>
  <si>
    <t xml:space="preserve"> QUESME </t>
  </si>
  <si>
    <t xml:space="preserve"> LAY </t>
  </si>
  <si>
    <t xml:space="preserve"> JURQUET </t>
  </si>
  <si>
    <t xml:space="preserve"> PEU </t>
  </si>
  <si>
    <t xml:space="preserve"> ABELLANEDA </t>
  </si>
  <si>
    <t xml:space="preserve"> SCUDELLER </t>
  </si>
  <si>
    <t xml:space="preserve"> LOUESSARD </t>
  </si>
  <si>
    <t xml:space="preserve"> BRETEILLAISE T.T. ASS. </t>
  </si>
  <si>
    <t xml:space="preserve"> GUIHENEUF </t>
  </si>
  <si>
    <t xml:space="preserve"> COLOMBEL </t>
  </si>
  <si>
    <t xml:space="preserve"> BOR </t>
  </si>
  <si>
    <t xml:space="preserve"> Chaniers/Montils la raque </t>
  </si>
  <si>
    <t xml:space="preserve"> philippe </t>
  </si>
  <si>
    <t xml:space="preserve"> HAUTIN </t>
  </si>
  <si>
    <t xml:space="preserve"> PALMA </t>
  </si>
  <si>
    <t xml:space="preserve"> ZARB </t>
  </si>
  <si>
    <t xml:space="preserve"> CORTEEL </t>
  </si>
  <si>
    <t xml:space="preserve"> DEFARCY </t>
  </si>
  <si>
    <t xml:space="preserve"> LEGO </t>
  </si>
  <si>
    <t xml:space="preserve"> GOUNOT </t>
  </si>
  <si>
    <t xml:space="preserve"> LERCHE </t>
  </si>
  <si>
    <t xml:space="preserve"> LEQUEN </t>
  </si>
  <si>
    <t xml:space="preserve"> WANNICKE </t>
  </si>
  <si>
    <t xml:space="preserve"> Rainer </t>
  </si>
  <si>
    <t xml:space="preserve"> EYRAL </t>
  </si>
  <si>
    <t xml:space="preserve"> MELL </t>
  </si>
  <si>
    <t xml:space="preserve"> ARC SALAVAS </t>
  </si>
  <si>
    <t xml:space="preserve"> LHEUREUX </t>
  </si>
  <si>
    <t xml:space="preserve"> DEBLIECK </t>
  </si>
  <si>
    <t xml:space="preserve"> MOKHTARI </t>
  </si>
  <si>
    <t xml:space="preserve"> DIAGNE </t>
  </si>
  <si>
    <t xml:space="preserve"> Yaré </t>
  </si>
  <si>
    <t xml:space="preserve"> KLEIN FRIEDRICH </t>
  </si>
  <si>
    <t xml:space="preserve"> MUHR </t>
  </si>
  <si>
    <t xml:space="preserve"> BONNEMAIN </t>
  </si>
  <si>
    <t xml:space="preserve"> VALMY </t>
  </si>
  <si>
    <t xml:space="preserve"> OPSOMER </t>
  </si>
  <si>
    <t xml:space="preserve"> ESTREES TENNIS DE TABLE </t>
  </si>
  <si>
    <t xml:space="preserve"> LE MEHAUTE </t>
  </si>
  <si>
    <t xml:space="preserve"> VOLPI </t>
  </si>
  <si>
    <t xml:space="preserve"> TIERCELET M.J.C. </t>
  </si>
  <si>
    <t xml:space="preserve"> VUCKO </t>
  </si>
  <si>
    <t xml:space="preserve"> TINEVEZ </t>
  </si>
  <si>
    <t xml:space="preserve"> TOMASSO </t>
  </si>
  <si>
    <t xml:space="preserve"> MAUGENDRE </t>
  </si>
  <si>
    <t xml:space="preserve"> BAILLE CLUB SPORTIF </t>
  </si>
  <si>
    <t xml:space="preserve"> GASNOT </t>
  </si>
  <si>
    <t xml:space="preserve"> DE GRYSE </t>
  </si>
  <si>
    <t xml:space="preserve"> DEGUIL </t>
  </si>
  <si>
    <t xml:space="preserve"> BATTEUX-LEVEAU </t>
  </si>
  <si>
    <t xml:space="preserve"> PROUTIERE </t>
  </si>
  <si>
    <t xml:space="preserve"> GUILMET </t>
  </si>
  <si>
    <t xml:space="preserve"> SPAGNUL </t>
  </si>
  <si>
    <t xml:space="preserve"> STOCKMANN </t>
  </si>
  <si>
    <t xml:space="preserve"> LE GUILLOU </t>
  </si>
  <si>
    <t xml:space="preserve"> DE MIN </t>
  </si>
  <si>
    <t xml:space="preserve"> CARLI </t>
  </si>
  <si>
    <t xml:space="preserve"> HEMON </t>
  </si>
  <si>
    <t xml:space="preserve"> LEBOISNE </t>
  </si>
  <si>
    <t xml:space="preserve"> ARENAS </t>
  </si>
  <si>
    <t xml:space="preserve"> BERTRANGE-DISTROFF TT </t>
  </si>
  <si>
    <t xml:space="preserve"> GIRARDON </t>
  </si>
  <si>
    <t xml:space="preserve"> RAMIREZ </t>
  </si>
  <si>
    <t xml:space="preserve"> SURELLE </t>
  </si>
  <si>
    <t xml:space="preserve"> HEITZ </t>
  </si>
  <si>
    <t xml:space="preserve"> CHAUVELIN </t>
  </si>
  <si>
    <t xml:space="preserve"> CLEQUIN </t>
  </si>
  <si>
    <t xml:space="preserve"> ROUTIER </t>
  </si>
  <si>
    <t xml:space="preserve"> HAZIF - THOMAS </t>
  </si>
  <si>
    <t xml:space="preserve"> HAINAULT </t>
  </si>
  <si>
    <t xml:space="preserve"> BRIDE </t>
  </si>
  <si>
    <t xml:space="preserve"> PLANCHE </t>
  </si>
  <si>
    <t xml:space="preserve"> ROSA ARSENE </t>
  </si>
  <si>
    <t xml:space="preserve"> DUPRAT </t>
  </si>
  <si>
    <t xml:space="preserve"> FALLOURD </t>
  </si>
  <si>
    <t xml:space="preserve"> DI PIETRO </t>
  </si>
  <si>
    <t xml:space="preserve"> CARNIS </t>
  </si>
  <si>
    <t xml:space="preserve"> BLIMOND </t>
  </si>
  <si>
    <t xml:space="preserve"> PANNETIER </t>
  </si>
  <si>
    <t xml:space="preserve"> ORLANDI </t>
  </si>
  <si>
    <t xml:space="preserve"> VILLEDIEU CS </t>
  </si>
  <si>
    <t xml:space="preserve"> KERLIN </t>
  </si>
  <si>
    <t xml:space="preserve"> LEGE A.S.T.T. </t>
  </si>
  <si>
    <t xml:space="preserve"> VINCENDEAU </t>
  </si>
  <si>
    <t xml:space="preserve"> NOLLY </t>
  </si>
  <si>
    <t xml:space="preserve"> JOURNIAC </t>
  </si>
  <si>
    <t xml:space="preserve"> BIHANNIC </t>
  </si>
  <si>
    <t xml:space="preserve"> LACHAIZE </t>
  </si>
  <si>
    <t xml:space="preserve"> COUVREUR </t>
  </si>
  <si>
    <t xml:space="preserve"> HUMEZ </t>
  </si>
  <si>
    <t xml:space="preserve"> TOLLITE </t>
  </si>
  <si>
    <t xml:space="preserve"> BOUHALI </t>
  </si>
  <si>
    <t xml:space="preserve"> SAINT-DIZIER </t>
  </si>
  <si>
    <t xml:space="preserve"> TOUFFLET </t>
  </si>
  <si>
    <t xml:space="preserve"> LEIBOVITCH </t>
  </si>
  <si>
    <t xml:space="preserve"> ST FRAIMBAULT A.J.S.F T.T </t>
  </si>
  <si>
    <t xml:space="preserve"> HAUPT </t>
  </si>
  <si>
    <t xml:space="preserve"> Erwin </t>
  </si>
  <si>
    <t xml:space="preserve"> MARCQ </t>
  </si>
  <si>
    <t xml:space="preserve"> LA CHOQUE TTLC </t>
  </si>
  <si>
    <t xml:space="preserve"> FLEURET </t>
  </si>
  <si>
    <t xml:space="preserve"> SCAVENNEC </t>
  </si>
  <si>
    <t xml:space="preserve"> VEISSIER </t>
  </si>
  <si>
    <t xml:space="preserve"> BAGEL </t>
  </si>
  <si>
    <t xml:space="preserve"> COEFFIER </t>
  </si>
  <si>
    <t xml:space="preserve"> BUSALLI </t>
  </si>
  <si>
    <t xml:space="preserve"> DESGRE </t>
  </si>
  <si>
    <t xml:space="preserve"> QUESSETTE </t>
  </si>
  <si>
    <t xml:space="preserve"> CORBEAU </t>
  </si>
  <si>
    <t xml:space="preserve"> MARCHEWKA </t>
  </si>
  <si>
    <t xml:space="preserve"> JANEL </t>
  </si>
  <si>
    <t xml:space="preserve"> SANTALUCIA </t>
  </si>
  <si>
    <t xml:space="preserve"> HEMMER </t>
  </si>
  <si>
    <t xml:space="preserve"> JOURNOUD </t>
  </si>
  <si>
    <t xml:space="preserve"> PREAULT </t>
  </si>
  <si>
    <t xml:space="preserve"> LECUIRE </t>
  </si>
  <si>
    <t xml:space="preserve"> MAUJEAN </t>
  </si>
  <si>
    <t xml:space="preserve"> A S C VILLAGES REUNIS </t>
  </si>
  <si>
    <t xml:space="preserve"> ESCOFFIER </t>
  </si>
  <si>
    <t xml:space="preserve"> ANDREUX </t>
  </si>
  <si>
    <t xml:space="preserve"> ERHARDT </t>
  </si>
  <si>
    <t xml:space="preserve"> Gonzague </t>
  </si>
  <si>
    <t xml:space="preserve"> CORBIN </t>
  </si>
  <si>
    <t xml:space="preserve"> BOUGUE </t>
  </si>
  <si>
    <t xml:space="preserve"> CAUCHY </t>
  </si>
  <si>
    <t xml:space="preserve"> BOLZINGER </t>
  </si>
  <si>
    <t xml:space="preserve"> LONLAY ABI </t>
  </si>
  <si>
    <t xml:space="preserve"> FRANÇOIS </t>
  </si>
  <si>
    <t xml:space="preserve"> GAMBIEZ </t>
  </si>
  <si>
    <t xml:space="preserve"> BELLEVERGE </t>
  </si>
  <si>
    <t xml:space="preserve"> PLUCHARD </t>
  </si>
  <si>
    <t xml:space="preserve"> TETREL </t>
  </si>
  <si>
    <t xml:space="preserve"> WILLERVAL </t>
  </si>
  <si>
    <t xml:space="preserve"> DRAN </t>
  </si>
  <si>
    <t xml:space="preserve"> VANHOECKE </t>
  </si>
  <si>
    <t xml:space="preserve"> LEWI </t>
  </si>
  <si>
    <t xml:space="preserve"> NGUYEN DANG LUAN </t>
  </si>
  <si>
    <t xml:space="preserve"> TUBACKI </t>
  </si>
  <si>
    <t xml:space="preserve"> POZO </t>
  </si>
  <si>
    <t xml:space="preserve"> CARELLI </t>
  </si>
  <si>
    <t xml:space="preserve"> BAYART </t>
  </si>
  <si>
    <t xml:space="preserve"> BEAULT </t>
  </si>
  <si>
    <t xml:space="preserve"> ALTOBELLI </t>
  </si>
  <si>
    <t xml:space="preserve"> GOUX </t>
  </si>
  <si>
    <t xml:space="preserve"> TAMI </t>
  </si>
  <si>
    <t xml:space="preserve"> LEYGNAC </t>
  </si>
  <si>
    <t xml:space="preserve"> PECQUENARD </t>
  </si>
  <si>
    <t xml:space="preserve"> VARTANIAN </t>
  </si>
  <si>
    <t xml:space="preserve"> BAZIRE </t>
  </si>
  <si>
    <t xml:space="preserve"> VIEILLEFOND </t>
  </si>
  <si>
    <t xml:space="preserve"> TT DU PAYS DE MAURS </t>
  </si>
  <si>
    <t xml:space="preserve"> PECCAVE </t>
  </si>
  <si>
    <t xml:space="preserve"> VAPPEREAU </t>
  </si>
  <si>
    <t xml:space="preserve"> TTC du LOCHOIS </t>
  </si>
  <si>
    <t xml:space="preserve"> Alain lucien </t>
  </si>
  <si>
    <t xml:space="preserve"> HAN COILIN </t>
  </si>
  <si>
    <t xml:space="preserve"> MAHIEDDINE </t>
  </si>
  <si>
    <t xml:space="preserve"> Faiz </t>
  </si>
  <si>
    <t xml:space="preserve"> RIVAUD </t>
  </si>
  <si>
    <t xml:space="preserve"> PICHARD </t>
  </si>
  <si>
    <t xml:space="preserve"> AUDEBEAUD </t>
  </si>
  <si>
    <t xml:space="preserve"> DAPOGNY </t>
  </si>
  <si>
    <t xml:space="preserve"> PELLICER </t>
  </si>
  <si>
    <t xml:space="preserve"> GUNE </t>
  </si>
  <si>
    <t xml:space="preserve"> BERTHELEMY </t>
  </si>
  <si>
    <t xml:space="preserve"> ROUGEAUX </t>
  </si>
  <si>
    <t xml:space="preserve"> MEROTTO </t>
  </si>
  <si>
    <t xml:space="preserve"> BARRAL </t>
  </si>
  <si>
    <t xml:space="preserve"> SACEPE </t>
  </si>
  <si>
    <t xml:space="preserve"> LEQUIEN </t>
  </si>
  <si>
    <t xml:space="preserve"> BESANCENEZ </t>
  </si>
  <si>
    <t xml:space="preserve"> Chasseneuil T.T.C. </t>
  </si>
  <si>
    <t xml:space="preserve"> AVRILLON </t>
  </si>
  <si>
    <t xml:space="preserve"> DUBOC </t>
  </si>
  <si>
    <t xml:space="preserve"> VAMMALE </t>
  </si>
  <si>
    <t xml:space="preserve"> STE SUZANNE ESP </t>
  </si>
  <si>
    <t xml:space="preserve"> JARRY </t>
  </si>
  <si>
    <t xml:space="preserve"> DELAFORGE </t>
  </si>
  <si>
    <t xml:space="preserve"> LABELLE </t>
  </si>
  <si>
    <t xml:space="preserve"> YOUNSI </t>
  </si>
  <si>
    <t xml:space="preserve"> Areski </t>
  </si>
  <si>
    <t xml:space="preserve"> TIBERGHIEN </t>
  </si>
  <si>
    <t xml:space="preserve"> VANACHTER </t>
  </si>
  <si>
    <t xml:space="preserve"> HUARD </t>
  </si>
  <si>
    <t xml:space="preserve"> BRANCHU </t>
  </si>
  <si>
    <t xml:space="preserve"> DUBOUCHET </t>
  </si>
  <si>
    <t xml:space="preserve"> MATTIAZZO </t>
  </si>
  <si>
    <t xml:space="preserve"> Montlieu LA GARDE T T </t>
  </si>
  <si>
    <t xml:space="preserve"> THUILLIER </t>
  </si>
  <si>
    <t xml:space="preserve"> CARNET </t>
  </si>
  <si>
    <t xml:space="preserve"> COLOM </t>
  </si>
  <si>
    <t xml:space="preserve"> SUDRE </t>
  </si>
  <si>
    <t xml:space="preserve"> Van minh </t>
  </si>
  <si>
    <t xml:space="preserve"> DACHEZ </t>
  </si>
  <si>
    <t xml:space="preserve"> DERETZ </t>
  </si>
  <si>
    <t xml:space="preserve"> NORBERCIAK </t>
  </si>
  <si>
    <t xml:space="preserve"> KLEINDIENST </t>
  </si>
  <si>
    <t xml:space="preserve"> GARTMANN </t>
  </si>
  <si>
    <t xml:space="preserve"> ZENTE </t>
  </si>
  <si>
    <t xml:space="preserve"> Jean-sébastien </t>
  </si>
  <si>
    <t xml:space="preserve"> PERSANT </t>
  </si>
  <si>
    <t xml:space="preserve"> KUHNE </t>
  </si>
  <si>
    <t xml:space="preserve"> BILLAUT </t>
  </si>
  <si>
    <t xml:space="preserve"> BOULESTIN </t>
  </si>
  <si>
    <t xml:space="preserve"> BEAUCOUZE Sporting Club </t>
  </si>
  <si>
    <t xml:space="preserve"> ST HILAIRE LEZ CAMBRAI TT </t>
  </si>
  <si>
    <t xml:space="preserve"> CAILLOSSE </t>
  </si>
  <si>
    <t xml:space="preserve"> TAVERNE </t>
  </si>
  <si>
    <t xml:space="preserve"> MAZINGARBE MAEJS </t>
  </si>
  <si>
    <t xml:space="preserve"> BORDIN </t>
  </si>
  <si>
    <t xml:space="preserve"> FASQUEL </t>
  </si>
  <si>
    <t xml:space="preserve"> CANCOUET </t>
  </si>
  <si>
    <t xml:space="preserve"> NIVELLE </t>
  </si>
  <si>
    <t xml:space="preserve"> GRANDVAL </t>
  </si>
  <si>
    <t xml:space="preserve"> ASCE ST BONNET DE MURE </t>
  </si>
  <si>
    <t xml:space="preserve"> TARIS </t>
  </si>
  <si>
    <t xml:space="preserve"> BOUNYAVONG </t>
  </si>
  <si>
    <t xml:space="preserve"> JUNOT </t>
  </si>
  <si>
    <t xml:space="preserve"> BOUQUIN </t>
  </si>
  <si>
    <t xml:space="preserve"> BESSEGES/GAGNIERES CPM </t>
  </si>
  <si>
    <t xml:space="preserve"> DE BOTTON </t>
  </si>
  <si>
    <t xml:space="preserve"> SMETS </t>
  </si>
  <si>
    <t xml:space="preserve"> BABIA </t>
  </si>
  <si>
    <t xml:space="preserve"> ENT VALLESPIR TENNIS DE T </t>
  </si>
  <si>
    <t xml:space="preserve"> COMBLES FR </t>
  </si>
  <si>
    <t xml:space="preserve"> BORDAS </t>
  </si>
  <si>
    <t xml:space="preserve"> BRIOLAT </t>
  </si>
  <si>
    <t xml:space="preserve"> BOISSET </t>
  </si>
  <si>
    <t xml:space="preserve"> VIRLOGEUX </t>
  </si>
  <si>
    <t xml:space="preserve"> LAGOURDETTE </t>
  </si>
  <si>
    <t xml:space="preserve"> HAUG </t>
  </si>
  <si>
    <t xml:space="preserve"> GUERRA </t>
  </si>
  <si>
    <t xml:space="preserve"> Louis noel </t>
  </si>
  <si>
    <t xml:space="preserve"> MAPELLI </t>
  </si>
  <si>
    <t xml:space="preserve"> ROUSSIES </t>
  </si>
  <si>
    <t xml:space="preserve"> DRIANNE </t>
  </si>
  <si>
    <t xml:space="preserve"> WACOGNE </t>
  </si>
  <si>
    <t xml:space="preserve"> DAVY </t>
  </si>
  <si>
    <t xml:space="preserve"> MAYET VIGILANTE TT </t>
  </si>
  <si>
    <t xml:space="preserve"> RIBY </t>
  </si>
  <si>
    <t xml:space="preserve"> CHAGOT </t>
  </si>
  <si>
    <t xml:space="preserve"> DAMAGNEZ </t>
  </si>
  <si>
    <t xml:space="preserve"> VALLAS </t>
  </si>
  <si>
    <t xml:space="preserve"> DUMAINE </t>
  </si>
  <si>
    <t xml:space="preserve"> LLOPIS </t>
  </si>
  <si>
    <t xml:space="preserve"> Rudolphe </t>
  </si>
  <si>
    <t xml:space="preserve"> SENAY </t>
  </si>
  <si>
    <t xml:space="preserve"> JOUANNEAU </t>
  </si>
  <si>
    <t xml:space="preserve"> TORTA </t>
  </si>
  <si>
    <t xml:space="preserve"> TAVERNIER </t>
  </si>
  <si>
    <t xml:space="preserve"> BEZZI </t>
  </si>
  <si>
    <t xml:space="preserve"> AUDOUIN </t>
  </si>
  <si>
    <t xml:space="preserve"> SOTTEJEAU </t>
  </si>
  <si>
    <t xml:space="preserve"> FITOUSSI </t>
  </si>
  <si>
    <t xml:space="preserve"> LOGE </t>
  </si>
  <si>
    <t xml:space="preserve"> CERVERA </t>
  </si>
  <si>
    <t xml:space="preserve"> DARMAIS </t>
  </si>
  <si>
    <t xml:space="preserve"> RAHATOKA </t>
  </si>
  <si>
    <t xml:space="preserve"> Honoré </t>
  </si>
  <si>
    <t xml:space="preserve"> HUBAUT </t>
  </si>
  <si>
    <t xml:space="preserve"> MAIREY </t>
  </si>
  <si>
    <t xml:space="preserve"> DEFIVES </t>
  </si>
  <si>
    <t xml:space="preserve"> WANTIER </t>
  </si>
  <si>
    <t xml:space="preserve"> MASSOT </t>
  </si>
  <si>
    <t xml:space="preserve"> JANISZEWSKI </t>
  </si>
  <si>
    <t xml:space="preserve"> OUSSALAH </t>
  </si>
  <si>
    <t xml:space="preserve"> Abdelrahmane </t>
  </si>
  <si>
    <t xml:space="preserve"> DEFOSSEUX </t>
  </si>
  <si>
    <t xml:space="preserve"> AM PONG. CHEVRIARDS </t>
  </si>
  <si>
    <t xml:space="preserve"> CHALON </t>
  </si>
  <si>
    <t xml:space="preserve"> SALVETAT </t>
  </si>
  <si>
    <t xml:space="preserve"> ARRAULT </t>
  </si>
  <si>
    <t xml:space="preserve"> SALUDEN </t>
  </si>
  <si>
    <t xml:space="preserve"> ANIEL </t>
  </si>
  <si>
    <t xml:space="preserve"> MONTMEAT </t>
  </si>
  <si>
    <t xml:space="preserve"> KESSLER </t>
  </si>
  <si>
    <t xml:space="preserve"> TRAINEAU </t>
  </si>
  <si>
    <t xml:space="preserve"> GOINAUD </t>
  </si>
  <si>
    <t xml:space="preserve"> Tourriers Jauldes EP </t>
  </si>
  <si>
    <t xml:space="preserve"> HERNAN </t>
  </si>
  <si>
    <t xml:space="preserve"> COTTA </t>
  </si>
  <si>
    <t xml:space="preserve"> TETARD </t>
  </si>
  <si>
    <t xml:space="preserve"> AUGOUVERNAIRE </t>
  </si>
  <si>
    <t xml:space="preserve"> TURBELLIER </t>
  </si>
  <si>
    <t xml:space="preserve"> GOGIEN </t>
  </si>
  <si>
    <t xml:space="preserve"> ROUZEAU </t>
  </si>
  <si>
    <t xml:space="preserve"> T.T. IZERON </t>
  </si>
  <si>
    <t xml:space="preserve"> LOQUET </t>
  </si>
  <si>
    <t xml:space="preserve"> DINI </t>
  </si>
  <si>
    <t xml:space="preserve"> ETCHEBES </t>
  </si>
  <si>
    <t xml:space="preserve"> Emilio </t>
  </si>
  <si>
    <t xml:space="preserve"> CUETTE </t>
  </si>
  <si>
    <t xml:space="preserve"> LAGNEAU </t>
  </si>
  <si>
    <t xml:space="preserve"> SALLARD </t>
  </si>
  <si>
    <t xml:space="preserve"> BENHAMOU </t>
  </si>
  <si>
    <t xml:space="preserve"> JOUETTE </t>
  </si>
  <si>
    <t xml:space="preserve"> MIOTTE </t>
  </si>
  <si>
    <t xml:space="preserve"> LELIAS </t>
  </si>
  <si>
    <t xml:space="preserve"> PASSARINI </t>
  </si>
  <si>
    <t xml:space="preserve"> MOUILLESEAUX </t>
  </si>
  <si>
    <t xml:space="preserve"> COUETTE </t>
  </si>
  <si>
    <t xml:space="preserve"> BORDENAVE </t>
  </si>
  <si>
    <t xml:space="preserve"> NAVIER </t>
  </si>
  <si>
    <t xml:space="preserve"> ROTHIOT </t>
  </si>
  <si>
    <t xml:space="preserve"> VENTE </t>
  </si>
  <si>
    <t xml:space="preserve"> QUENELLE </t>
  </si>
  <si>
    <t xml:space="preserve"> NEHME </t>
  </si>
  <si>
    <t xml:space="preserve"> Georgy </t>
  </si>
  <si>
    <t xml:space="preserve"> TROUTOT </t>
  </si>
  <si>
    <t xml:space="preserve"> LOZANO </t>
  </si>
  <si>
    <t xml:space="preserve"> FRANC </t>
  </si>
  <si>
    <t xml:space="preserve"> DE CONINCK </t>
  </si>
  <si>
    <t xml:space="preserve"> BIBARD </t>
  </si>
  <si>
    <t xml:space="preserve"> NONAISIENNE US T.T. </t>
  </si>
  <si>
    <t xml:space="preserve"> GUETRES </t>
  </si>
  <si>
    <t xml:space="preserve"> VEGA </t>
  </si>
  <si>
    <t xml:space="preserve"> ANTONIAZZI </t>
  </si>
  <si>
    <t xml:space="preserve"> ERMISSE </t>
  </si>
  <si>
    <t xml:space="preserve"> DANKAERT </t>
  </si>
  <si>
    <t xml:space="preserve"> DINAND </t>
  </si>
  <si>
    <t xml:space="preserve"> MUCHEMBLED </t>
  </si>
  <si>
    <t xml:space="preserve"> TRAN THANH </t>
  </si>
  <si>
    <t xml:space="preserve"> CHAISE </t>
  </si>
  <si>
    <t xml:space="preserve"> LA SAUTERELLE SAULX </t>
  </si>
  <si>
    <t xml:space="preserve"> CRAPET </t>
  </si>
  <si>
    <t xml:space="preserve"> DAVENEL </t>
  </si>
  <si>
    <t xml:space="preserve"> BERTHEMET </t>
  </si>
  <si>
    <t xml:space="preserve"> J. francois </t>
  </si>
  <si>
    <t xml:space="preserve"> GHEYSENS </t>
  </si>
  <si>
    <t xml:space="preserve"> LOUDUN </t>
  </si>
  <si>
    <t xml:space="preserve"> FILAINE </t>
  </si>
  <si>
    <t xml:space="preserve"> HO-KON-TIAT </t>
  </si>
  <si>
    <t xml:space="preserve"> SERRET </t>
  </si>
  <si>
    <t xml:space="preserve"> LEHMANN </t>
  </si>
  <si>
    <t xml:space="preserve"> SUCH </t>
  </si>
  <si>
    <t xml:space="preserve"> DELAIR </t>
  </si>
  <si>
    <t xml:space="preserve"> TRISTAN </t>
  </si>
  <si>
    <t xml:space="preserve"> MINAUDIER </t>
  </si>
  <si>
    <t xml:space="preserve"> GOASDOUE </t>
  </si>
  <si>
    <t xml:space="preserve"> JAVOURAY </t>
  </si>
  <si>
    <t xml:space="preserve"> VOIZE </t>
  </si>
  <si>
    <t xml:space="preserve"> US LE POINCONNET </t>
  </si>
  <si>
    <t xml:space="preserve"> DEHORS </t>
  </si>
  <si>
    <t xml:space="preserve"> GINEAU </t>
  </si>
  <si>
    <t xml:space="preserve"> LORIGNE </t>
  </si>
  <si>
    <t xml:space="preserve"> ASTT CHAINGY </t>
  </si>
  <si>
    <t xml:space="preserve"> DESCOUTURES </t>
  </si>
  <si>
    <t xml:space="preserve"> COUDOUR </t>
  </si>
  <si>
    <t xml:space="preserve"> PRINCIC </t>
  </si>
  <si>
    <t xml:space="preserve"> Roch </t>
  </si>
  <si>
    <t xml:space="preserve"> QUINIOU </t>
  </si>
  <si>
    <t xml:space="preserve"> MENIER </t>
  </si>
  <si>
    <t xml:space="preserve"> LAUSSAC </t>
  </si>
  <si>
    <t xml:space="preserve"> MERCY </t>
  </si>
  <si>
    <t xml:space="preserve"> HOTTE </t>
  </si>
  <si>
    <t xml:space="preserve"> VALLOIS </t>
  </si>
  <si>
    <t xml:space="preserve"> Charles paul </t>
  </si>
  <si>
    <t xml:space="preserve"> MARCHYLLIE </t>
  </si>
  <si>
    <t xml:space="preserve"> QUATRE COMMUNES TT </t>
  </si>
  <si>
    <t xml:space="preserve"> AMARGER </t>
  </si>
  <si>
    <t xml:space="preserve"> AULONG </t>
  </si>
  <si>
    <t xml:space="preserve"> BONCHAMP Entente Sportive </t>
  </si>
  <si>
    <t xml:space="preserve"> CHAVRIER </t>
  </si>
  <si>
    <t xml:space="preserve"> ROUAT </t>
  </si>
  <si>
    <t xml:space="preserve"> Gaby </t>
  </si>
  <si>
    <t xml:space="preserve"> ROSENTHAL </t>
  </si>
  <si>
    <t xml:space="preserve"> FIDANZI </t>
  </si>
  <si>
    <t xml:space="preserve"> GARNON </t>
  </si>
  <si>
    <t xml:space="preserve"> KREMPF </t>
  </si>
  <si>
    <t xml:space="preserve"> DEGRIS </t>
  </si>
  <si>
    <t xml:space="preserve"> VADAINE </t>
  </si>
  <si>
    <t xml:space="preserve"> BENUREAU </t>
  </si>
  <si>
    <t xml:space="preserve"> GAZAGNES </t>
  </si>
  <si>
    <t xml:space="preserve"> DOISE </t>
  </si>
  <si>
    <t xml:space="preserve"> ENGUIX </t>
  </si>
  <si>
    <t xml:space="preserve"> LARTIGUE </t>
  </si>
  <si>
    <t xml:space="preserve"> BRONQUARD </t>
  </si>
  <si>
    <t xml:space="preserve"> PALLOIS </t>
  </si>
  <si>
    <t xml:space="preserve"> Marian </t>
  </si>
  <si>
    <t xml:space="preserve"> BLOC'H </t>
  </si>
  <si>
    <t xml:space="preserve"> ERMEL </t>
  </si>
  <si>
    <t xml:space="preserve"> ENDERLIN </t>
  </si>
  <si>
    <t xml:space="preserve"> QUERTAINMONT </t>
  </si>
  <si>
    <t xml:space="preserve"> BOURILLON </t>
  </si>
  <si>
    <t xml:space="preserve"> LE POMMELLEC </t>
  </si>
  <si>
    <t xml:space="preserve"> PERROTIN </t>
  </si>
  <si>
    <t xml:space="preserve"> TIENVROT </t>
  </si>
  <si>
    <t xml:space="preserve"> DELUCA </t>
  </si>
  <si>
    <t xml:space="preserve"> Léonardo </t>
  </si>
  <si>
    <t xml:space="preserve"> HERON </t>
  </si>
  <si>
    <t xml:space="preserve"> PAREL </t>
  </si>
  <si>
    <t xml:space="preserve"> CARAYOL </t>
  </si>
  <si>
    <t xml:space="preserve"> CARREY </t>
  </si>
  <si>
    <t xml:space="preserve"> ARRABAL </t>
  </si>
  <si>
    <t xml:space="preserve"> PING PONG CLUB GERMANOIS </t>
  </si>
  <si>
    <t xml:space="preserve"> TALOIS </t>
  </si>
  <si>
    <t xml:space="preserve"> GERACI </t>
  </si>
  <si>
    <t xml:space="preserve"> GOULLON </t>
  </si>
  <si>
    <t xml:space="preserve"> LUDDENS </t>
  </si>
  <si>
    <t xml:space="preserve"> KAZAKOV </t>
  </si>
  <si>
    <t xml:space="preserve"> DEPARDIEU </t>
  </si>
  <si>
    <t xml:space="preserve"> LAMOUROUX </t>
  </si>
  <si>
    <t xml:space="preserve"> PUGET </t>
  </si>
  <si>
    <t xml:space="preserve"> VERINE </t>
  </si>
  <si>
    <t xml:space="preserve"> HAMERLA </t>
  </si>
  <si>
    <t xml:space="preserve"> KREEL </t>
  </si>
  <si>
    <t xml:space="preserve"> DEBORD </t>
  </si>
  <si>
    <t xml:space="preserve"> Philippe alexis </t>
  </si>
  <si>
    <t xml:space="preserve"> PLOUSEAU-GUEDE </t>
  </si>
  <si>
    <t xml:space="preserve"> SCHOEFER </t>
  </si>
  <si>
    <t xml:space="preserve"> DEMBA </t>
  </si>
  <si>
    <t xml:space="preserve"> Osveldo </t>
  </si>
  <si>
    <t xml:space="preserve"> JALOUX </t>
  </si>
  <si>
    <t xml:space="preserve"> DANO </t>
  </si>
  <si>
    <t xml:space="preserve"> LEBOULENGER </t>
  </si>
  <si>
    <t xml:space="preserve"> PING DE MARGENCEL </t>
  </si>
  <si>
    <t xml:space="preserve"> THYS </t>
  </si>
  <si>
    <t xml:space="preserve"> DEMAILLY </t>
  </si>
  <si>
    <t xml:space="preserve"> Huu minh </t>
  </si>
  <si>
    <t xml:space="preserve"> PAQUIN </t>
  </si>
  <si>
    <t xml:space="preserve"> PAILLER </t>
  </si>
  <si>
    <t xml:space="preserve"> LAUBUT </t>
  </si>
  <si>
    <t xml:space="preserve"> RAVEINO </t>
  </si>
  <si>
    <t xml:space="preserve"> STURM </t>
  </si>
  <si>
    <t xml:space="preserve"> MONTASSIER </t>
  </si>
  <si>
    <t xml:space="preserve"> CREON </t>
  </si>
  <si>
    <t xml:space="preserve"> Chatillon PPC </t>
  </si>
  <si>
    <t xml:space="preserve"> RISPAL </t>
  </si>
  <si>
    <t xml:space="preserve"> RAGGI </t>
  </si>
  <si>
    <t xml:space="preserve"> SABOT </t>
  </si>
  <si>
    <t xml:space="preserve"> ANTOLIN </t>
  </si>
  <si>
    <t xml:space="preserve"> SANSOUCY </t>
  </si>
  <si>
    <t xml:space="preserve"> BOLUKTAS </t>
  </si>
  <si>
    <t xml:space="preserve"> Umur </t>
  </si>
  <si>
    <t xml:space="preserve"> BARSEYNI </t>
  </si>
  <si>
    <t xml:space="preserve"> Duc thanh </t>
  </si>
  <si>
    <t xml:space="preserve"> RUDOLF </t>
  </si>
  <si>
    <t xml:space="preserve"> MACKER </t>
  </si>
  <si>
    <t xml:space="preserve"> DELEPLACE </t>
  </si>
  <si>
    <t xml:space="preserve"> BIZON </t>
  </si>
  <si>
    <t xml:space="preserve"> BANHARES </t>
  </si>
  <si>
    <t xml:space="preserve"> BESTION </t>
  </si>
  <si>
    <t xml:space="preserve"> JANIN </t>
  </si>
  <si>
    <t xml:space="preserve"> LE HAY </t>
  </si>
  <si>
    <t xml:space="preserve"> GARRET </t>
  </si>
  <si>
    <t xml:space="preserve"> GOURDEN </t>
  </si>
  <si>
    <t xml:space="preserve"> COEUGNET </t>
  </si>
  <si>
    <t xml:space="preserve"> BOUR </t>
  </si>
  <si>
    <t xml:space="preserve"> BAUDUIN </t>
  </si>
  <si>
    <t xml:space="preserve"> CSLG KELLERMANN </t>
  </si>
  <si>
    <t xml:space="preserve"> BOUFFART </t>
  </si>
  <si>
    <t xml:space="preserve"> SCHLEIMER </t>
  </si>
  <si>
    <t xml:space="preserve"> MAGNA </t>
  </si>
  <si>
    <t xml:space="preserve"> JARZE ES TENNIS DE TABLE </t>
  </si>
  <si>
    <t xml:space="preserve"> VITOUR </t>
  </si>
  <si>
    <t xml:space="preserve"> DUCHENE </t>
  </si>
  <si>
    <t xml:space="preserve"> DUTOUYA </t>
  </si>
  <si>
    <t xml:space="preserve"> FOYER RURAL DE GAMARDE </t>
  </si>
  <si>
    <t xml:space="preserve"> LESECQ </t>
  </si>
  <si>
    <t xml:space="preserve"> BRIENNE CP </t>
  </si>
  <si>
    <t xml:space="preserve"> LABALEC </t>
  </si>
  <si>
    <t xml:space="preserve"> MALLADA </t>
  </si>
  <si>
    <t xml:space="preserve"> KOLLAKOWSKI </t>
  </si>
  <si>
    <t xml:space="preserve"> KREYER </t>
  </si>
  <si>
    <t xml:space="preserve"> DUSSEAUX </t>
  </si>
  <si>
    <t xml:space="preserve"> LILLET </t>
  </si>
  <si>
    <t xml:space="preserve"> PODENSAC ASC </t>
  </si>
  <si>
    <t xml:space="preserve"> MAGER </t>
  </si>
  <si>
    <t xml:space="preserve"> GERGEN </t>
  </si>
  <si>
    <t xml:space="preserve"> HEVIN </t>
  </si>
  <si>
    <t xml:space="preserve"> HOLLANDER </t>
  </si>
  <si>
    <t xml:space="preserve"> GIRARD-SOPPET </t>
  </si>
  <si>
    <t xml:space="preserve"> WYBO </t>
  </si>
  <si>
    <t xml:space="preserve"> AISSA </t>
  </si>
  <si>
    <t xml:space="preserve"> Larry </t>
  </si>
  <si>
    <t xml:space="preserve"> DISTER </t>
  </si>
  <si>
    <t xml:space="preserve"> COLLAS </t>
  </si>
  <si>
    <t xml:space="preserve"> LANDHAUSER </t>
  </si>
  <si>
    <t xml:space="preserve"> HURTUS </t>
  </si>
  <si>
    <t xml:space="preserve"> DUCHESNE </t>
  </si>
  <si>
    <t xml:space="preserve"> PICO </t>
  </si>
  <si>
    <t xml:space="preserve"> MURIE </t>
  </si>
  <si>
    <t xml:space="preserve"> LEPERS </t>
  </si>
  <si>
    <t xml:space="preserve"> THIEBAUT </t>
  </si>
  <si>
    <t xml:space="preserve"> THEVENY </t>
  </si>
  <si>
    <t xml:space="preserve"> MABILLE </t>
  </si>
  <si>
    <t xml:space="preserve"> MAHIEU </t>
  </si>
  <si>
    <t xml:space="preserve"> KACPROWSKI </t>
  </si>
  <si>
    <t xml:space="preserve"> Piotr </t>
  </si>
  <si>
    <t xml:space="preserve"> SEZNEC </t>
  </si>
  <si>
    <t xml:space="preserve"> BECASSE </t>
  </si>
  <si>
    <t xml:space="preserve"> CAPEL </t>
  </si>
  <si>
    <t xml:space="preserve"> PORCHAIRE </t>
  </si>
  <si>
    <t xml:space="preserve"> MEYNADIER </t>
  </si>
  <si>
    <t xml:space="preserve"> GRUCHY </t>
  </si>
  <si>
    <t xml:space="preserve"> SPORTING CLUB DE TURRETOT </t>
  </si>
  <si>
    <t xml:space="preserve"> REBUFFE </t>
  </si>
  <si>
    <t xml:space="preserve"> Kalou </t>
  </si>
  <si>
    <t xml:space="preserve"> CHATEIGNER </t>
  </si>
  <si>
    <t xml:space="preserve"> NECAS </t>
  </si>
  <si>
    <t xml:space="preserve"> ROGNAC UTT </t>
  </si>
  <si>
    <t xml:space="preserve"> FARGEAS </t>
  </si>
  <si>
    <t xml:space="preserve"> LECOSSIER </t>
  </si>
  <si>
    <t xml:space="preserve"> ROSIER </t>
  </si>
  <si>
    <t xml:space="preserve"> GHARBI </t>
  </si>
  <si>
    <t xml:space="preserve"> Noureddine </t>
  </si>
  <si>
    <t xml:space="preserve"> VERGNE </t>
  </si>
  <si>
    <t xml:space="preserve"> SUAIRE </t>
  </si>
  <si>
    <t xml:space="preserve"> CHARRASSIER </t>
  </si>
  <si>
    <t xml:space="preserve"> GOSSUIN </t>
  </si>
  <si>
    <t xml:space="preserve"> IVENS </t>
  </si>
  <si>
    <t xml:space="preserve"> DELAGARDE </t>
  </si>
  <si>
    <t xml:space="preserve"> KIEU </t>
  </si>
  <si>
    <t xml:space="preserve"> PERRON </t>
  </si>
  <si>
    <t xml:space="preserve"> DESAIVRE </t>
  </si>
  <si>
    <t xml:space="preserve"> SZYNKOLEWSKI </t>
  </si>
  <si>
    <t xml:space="preserve"> HIRIGOYEN </t>
  </si>
  <si>
    <t xml:space="preserve"> FLEURIET </t>
  </si>
  <si>
    <t xml:space="preserve"> BELLEVAL </t>
  </si>
  <si>
    <t xml:space="preserve"> ASS. VARENGEVILLAISE S.R. </t>
  </si>
  <si>
    <t xml:space="preserve"> FLOCHLAY </t>
  </si>
  <si>
    <t xml:space="preserve"> FARIBAULT </t>
  </si>
  <si>
    <t xml:space="preserve"> LEPINEY </t>
  </si>
  <si>
    <t xml:space="preserve"> HAUTECOEUR </t>
  </si>
  <si>
    <t xml:space="preserve"> MICOLON </t>
  </si>
  <si>
    <t xml:space="preserve"> UTT PASLIERES </t>
  </si>
  <si>
    <t xml:space="preserve"> DUMEGE </t>
  </si>
  <si>
    <t xml:space="preserve"> BLANCHOZ </t>
  </si>
  <si>
    <t xml:space="preserve"> LABERTHONNIERE </t>
  </si>
  <si>
    <t xml:space="preserve"> POTY </t>
  </si>
  <si>
    <t xml:space="preserve"> TINCOURT-BOUCLY FR COLOGN </t>
  </si>
  <si>
    <t xml:space="preserve"> RAYON </t>
  </si>
  <si>
    <t xml:space="preserve"> VAMOS </t>
  </si>
  <si>
    <t xml:space="preserve"> DARCHE </t>
  </si>
  <si>
    <t xml:space="preserve"> LODOLA </t>
  </si>
  <si>
    <t xml:space="preserve"> CHAVET </t>
  </si>
  <si>
    <t xml:space="preserve"> SOULE </t>
  </si>
  <si>
    <t xml:space="preserve"> MARIOTTI </t>
  </si>
  <si>
    <t xml:space="preserve"> BIDET </t>
  </si>
  <si>
    <t xml:space="preserve"> POYER </t>
  </si>
  <si>
    <t xml:space="preserve"> LIGARIUS </t>
  </si>
  <si>
    <t xml:space="preserve"> ALLIAT </t>
  </si>
  <si>
    <t xml:space="preserve"> JENFT </t>
  </si>
  <si>
    <t xml:space="preserve"> GARENNE </t>
  </si>
  <si>
    <t xml:space="preserve"> CHAMBOST </t>
  </si>
  <si>
    <t xml:space="preserve"> FOURNEE </t>
  </si>
  <si>
    <t xml:space="preserve"> CAMIERS ALCR TT </t>
  </si>
  <si>
    <t xml:space="preserve"> DUFAUD </t>
  </si>
  <si>
    <t xml:space="preserve"> St Christophe ATT </t>
  </si>
  <si>
    <t xml:space="preserve"> ROCHEREUIL </t>
  </si>
  <si>
    <t xml:space="preserve"> DELERUE </t>
  </si>
  <si>
    <t xml:space="preserve"> MORATA </t>
  </si>
  <si>
    <t xml:space="preserve"> BARAFFE </t>
  </si>
  <si>
    <t xml:space="preserve"> PARARD </t>
  </si>
  <si>
    <t xml:space="preserve"> COPETTI </t>
  </si>
  <si>
    <t xml:space="preserve"> ANDNA </t>
  </si>
  <si>
    <t xml:space="preserve"> BELINGHERI </t>
  </si>
  <si>
    <t xml:space="preserve"> WARCQ TC </t>
  </si>
  <si>
    <t xml:space="preserve"> LE MOIGNE </t>
  </si>
  <si>
    <t xml:space="preserve"> BESEROVAC </t>
  </si>
  <si>
    <t xml:space="preserve"> Slavko </t>
  </si>
  <si>
    <t xml:space="preserve"> SAGOT DUVAUROUX </t>
  </si>
  <si>
    <t xml:space="preserve"> VILETTE </t>
  </si>
  <si>
    <t xml:space="preserve"> A.T.T. LUANT </t>
  </si>
  <si>
    <t xml:space="preserve"> DORCHIES </t>
  </si>
  <si>
    <t xml:space="preserve"> BROSSY </t>
  </si>
  <si>
    <t xml:space="preserve"> NACHE </t>
  </si>
  <si>
    <t xml:space="preserve"> SPENGLER </t>
  </si>
  <si>
    <t xml:space="preserve"> VESSE </t>
  </si>
  <si>
    <t xml:space="preserve"> MINCZELES </t>
  </si>
  <si>
    <t xml:space="preserve"> CRIVELLARO </t>
  </si>
  <si>
    <t xml:space="preserve"> MIRB </t>
  </si>
  <si>
    <t xml:space="preserve"> NEUDORF Union Sportiv.Ega </t>
  </si>
  <si>
    <t xml:space="preserve"> WERY </t>
  </si>
  <si>
    <t xml:space="preserve"> GARCIA-BONET </t>
  </si>
  <si>
    <t xml:space="preserve"> Jean-hugues </t>
  </si>
  <si>
    <t xml:space="preserve"> CHOURREAU </t>
  </si>
  <si>
    <t xml:space="preserve"> HEREN </t>
  </si>
  <si>
    <t xml:space="preserve"> LOYZANCE </t>
  </si>
  <si>
    <t xml:space="preserve"> AS ORIVAL </t>
  </si>
  <si>
    <t xml:space="preserve"> LE GARFF </t>
  </si>
  <si>
    <t xml:space="preserve"> PARET </t>
  </si>
  <si>
    <t xml:space="preserve"> WESPISER </t>
  </si>
  <si>
    <t xml:space="preserve"> FINA </t>
  </si>
  <si>
    <t xml:space="preserve"> RENONCET </t>
  </si>
  <si>
    <t xml:space="preserve"> PAILLET </t>
  </si>
  <si>
    <t xml:space="preserve"> MICHOT </t>
  </si>
  <si>
    <t xml:space="preserve"> CYTHERE </t>
  </si>
  <si>
    <t xml:space="preserve"> ROUMIGUIE </t>
  </si>
  <si>
    <t xml:space="preserve"> LEGRY </t>
  </si>
  <si>
    <t xml:space="preserve"> Jean emmanuel </t>
  </si>
  <si>
    <t xml:space="preserve"> MELKI </t>
  </si>
  <si>
    <t xml:space="preserve"> DINEUR </t>
  </si>
  <si>
    <t xml:space="preserve"> BOSCH </t>
  </si>
  <si>
    <t xml:space="preserve"> Antonius </t>
  </si>
  <si>
    <t xml:space="preserve"> DECORDE </t>
  </si>
  <si>
    <t xml:space="preserve"> BLANGY-BOUTTENCOURT SEP </t>
  </si>
  <si>
    <t xml:space="preserve"> BEAUCHAMP </t>
  </si>
  <si>
    <t xml:space="preserve"> SALLE </t>
  </si>
  <si>
    <t xml:space="preserve"> DEBOUT </t>
  </si>
  <si>
    <t xml:space="preserve"> GNAEDIG </t>
  </si>
  <si>
    <t xml:space="preserve"> OSTHEIM CPPC </t>
  </si>
  <si>
    <t xml:space="preserve"> MOUSSIER </t>
  </si>
  <si>
    <t xml:space="preserve"> CISZEWICZ </t>
  </si>
  <si>
    <t xml:space="preserve"> CORRIO </t>
  </si>
  <si>
    <t xml:space="preserve"> RIBEIRO MIRANDA </t>
  </si>
  <si>
    <t xml:space="preserve"> AUMALIER </t>
  </si>
  <si>
    <t xml:space="preserve"> ZICKLER </t>
  </si>
  <si>
    <t xml:space="preserve"> VIZZINI </t>
  </si>
  <si>
    <t xml:space="preserve"> REMILLY Tennis de Table </t>
  </si>
  <si>
    <t xml:space="preserve"> LATELLA </t>
  </si>
  <si>
    <t xml:space="preserve"> Alfredo </t>
  </si>
  <si>
    <t xml:space="preserve"> ZHANG </t>
  </si>
  <si>
    <t xml:space="preserve"> DESPORTES </t>
  </si>
  <si>
    <t xml:space="preserve"> LE JEUNE </t>
  </si>
  <si>
    <t xml:space="preserve"> TT GOUESNOU </t>
  </si>
  <si>
    <t xml:space="preserve"> BRANCO </t>
  </si>
  <si>
    <t xml:space="preserve"> Ramiro </t>
  </si>
  <si>
    <t xml:space="preserve"> ECHARD </t>
  </si>
  <si>
    <t xml:space="preserve"> LEVEE </t>
  </si>
  <si>
    <t xml:space="preserve"> BLESSOU </t>
  </si>
  <si>
    <t xml:space="preserve"> SOUBIRANT </t>
  </si>
  <si>
    <t xml:space="preserve"> GOURLIN </t>
  </si>
  <si>
    <t xml:space="preserve"> CAMBRAI CP </t>
  </si>
  <si>
    <t xml:space="preserve"> MARKUS </t>
  </si>
  <si>
    <t xml:space="preserve"> DELPIERRE </t>
  </si>
  <si>
    <t xml:space="preserve"> RABASSE </t>
  </si>
  <si>
    <t xml:space="preserve"> LE BAS </t>
  </si>
  <si>
    <t xml:space="preserve"> CAMPANA </t>
  </si>
  <si>
    <t xml:space="preserve"> BOULIC </t>
  </si>
  <si>
    <t xml:space="preserve"> LE VERCHE </t>
  </si>
  <si>
    <t xml:space="preserve"> GUIGANTON </t>
  </si>
  <si>
    <t xml:space="preserve"> MARTEAU-VIAU </t>
  </si>
  <si>
    <t xml:space="preserve"> JOLIVET </t>
  </si>
  <si>
    <t xml:space="preserve"> BENNECOURT STT </t>
  </si>
  <si>
    <t xml:space="preserve"> DESMAZES </t>
  </si>
  <si>
    <t xml:space="preserve"> DATY </t>
  </si>
  <si>
    <t xml:space="preserve"> Wladislas </t>
  </si>
  <si>
    <t xml:space="preserve"> VADE </t>
  </si>
  <si>
    <t xml:space="preserve"> Jean-François </t>
  </si>
  <si>
    <t xml:space="preserve"> PRENTOUT </t>
  </si>
  <si>
    <t xml:space="preserve"> BOUCHARD </t>
  </si>
  <si>
    <t xml:space="preserve"> TEBEKA </t>
  </si>
  <si>
    <t xml:space="preserve"> HINSINGER </t>
  </si>
  <si>
    <t xml:space="preserve"> POUJOL </t>
  </si>
  <si>
    <t xml:space="preserve"> VITET </t>
  </si>
  <si>
    <t xml:space="preserve"> FAUQUIER </t>
  </si>
  <si>
    <t xml:space="preserve"> JEANNET </t>
  </si>
  <si>
    <t xml:space="preserve"> JAMET </t>
  </si>
  <si>
    <t xml:space="preserve"> FAVERO </t>
  </si>
  <si>
    <t xml:space="preserve"> DETOFFOLI </t>
  </si>
  <si>
    <t xml:space="preserve"> Jean antoine </t>
  </si>
  <si>
    <t xml:space="preserve"> A S C FRENEUSE </t>
  </si>
  <si>
    <t xml:space="preserve"> Jean lin </t>
  </si>
  <si>
    <t xml:space="preserve"> BOLLENGIER </t>
  </si>
  <si>
    <t xml:space="preserve"> BONINO </t>
  </si>
  <si>
    <t xml:space="preserve"> REINBOLT </t>
  </si>
  <si>
    <t xml:space="preserve"> BAUD TENNIS DE TABLE </t>
  </si>
  <si>
    <t xml:space="preserve"> MIRAMOND </t>
  </si>
  <si>
    <t xml:space="preserve"> Vincent pascal </t>
  </si>
  <si>
    <t xml:space="preserve"> BRULE </t>
  </si>
  <si>
    <t xml:space="preserve"> LE CHANOINE </t>
  </si>
  <si>
    <t xml:space="preserve"> THERRY </t>
  </si>
  <si>
    <t xml:space="preserve"> LE PING CORBIGEOIS </t>
  </si>
  <si>
    <t xml:space="preserve"> DEH </t>
  </si>
  <si>
    <t xml:space="preserve"> Innocent </t>
  </si>
  <si>
    <t xml:space="preserve"> BOUQUILLON </t>
  </si>
  <si>
    <t xml:space="preserve"> ROUGERIE </t>
  </si>
  <si>
    <t xml:space="preserve"> JUDON </t>
  </si>
  <si>
    <t xml:space="preserve"> PEERS </t>
  </si>
  <si>
    <t xml:space="preserve"> NOYELLES/LENS EP </t>
  </si>
  <si>
    <t xml:space="preserve"> DEVILLE </t>
  </si>
  <si>
    <t xml:space="preserve"> RAQUETTE CLAIRACAISE </t>
  </si>
  <si>
    <t xml:space="preserve"> ZANOLETTI </t>
  </si>
  <si>
    <t xml:space="preserve"> Wylliam </t>
  </si>
  <si>
    <t xml:space="preserve"> NOUZONVILLE CTT </t>
  </si>
  <si>
    <t xml:space="preserve"> HERROUIN </t>
  </si>
  <si>
    <t xml:space="preserve"> MOULIERE </t>
  </si>
  <si>
    <t xml:space="preserve"> BONNEFOIS </t>
  </si>
  <si>
    <t xml:space="preserve"> BOURDILLAT </t>
  </si>
  <si>
    <t xml:space="preserve"> COURDIER </t>
  </si>
  <si>
    <t xml:space="preserve"> VASSALLO </t>
  </si>
  <si>
    <t xml:space="preserve"> UNION SPORT. DU CANTON D </t>
  </si>
  <si>
    <t xml:space="preserve"> FUSIL </t>
  </si>
  <si>
    <t xml:space="preserve"> PUCHALSKI </t>
  </si>
  <si>
    <t xml:space="preserve"> BAGUENIER </t>
  </si>
  <si>
    <t xml:space="preserve"> GARDERE </t>
  </si>
  <si>
    <t xml:space="preserve"> ERNOULT </t>
  </si>
  <si>
    <t xml:space="preserve"> PPC LIOUJACOIS </t>
  </si>
  <si>
    <t xml:space="preserve"> GAGNY USM </t>
  </si>
  <si>
    <t xml:space="preserve"> PAUMARD </t>
  </si>
  <si>
    <t xml:space="preserve"> REDANT </t>
  </si>
  <si>
    <t xml:space="preserve"> NUIXA </t>
  </si>
  <si>
    <t xml:space="preserve"> RETIERE </t>
  </si>
  <si>
    <t xml:space="preserve"> PADIOLEAU </t>
  </si>
  <si>
    <t xml:space="preserve"> MACCIOCU </t>
  </si>
  <si>
    <t xml:space="preserve"> Gianpaolo </t>
  </si>
  <si>
    <t xml:space="preserve"> MORENO </t>
  </si>
  <si>
    <t xml:space="preserve"> Charlie </t>
  </si>
  <si>
    <t xml:space="preserve"> FOURDRINOY-CAVILLON </t>
  </si>
  <si>
    <t xml:space="preserve"> RABUSSIER </t>
  </si>
  <si>
    <t xml:space="preserve"> HALE </t>
  </si>
  <si>
    <t xml:space="preserve"> DIM </t>
  </si>
  <si>
    <t xml:space="preserve"> BONETTO </t>
  </si>
  <si>
    <t xml:space="preserve"> MONIN </t>
  </si>
  <si>
    <t xml:space="preserve"> PASSELANDE </t>
  </si>
  <si>
    <t xml:space="preserve"> THOUIN </t>
  </si>
  <si>
    <t xml:space="preserve"> PEBAYLE </t>
  </si>
  <si>
    <t xml:space="preserve"> ASTT AUGY </t>
  </si>
  <si>
    <t xml:space="preserve"> JAVAUDIN </t>
  </si>
  <si>
    <t xml:space="preserve"> BURES </t>
  </si>
  <si>
    <t xml:space="preserve"> ALIAGA </t>
  </si>
  <si>
    <t xml:space="preserve"> HUIBAN </t>
  </si>
  <si>
    <t xml:space="preserve"> LAZON </t>
  </si>
  <si>
    <t xml:space="preserve"> HARNAY </t>
  </si>
  <si>
    <t xml:space="preserve"> Jian </t>
  </si>
  <si>
    <t xml:space="preserve"> BERTHEVAS </t>
  </si>
  <si>
    <t xml:space="preserve"> BORIE </t>
  </si>
  <si>
    <t xml:space="preserve"> ST FULGENT AP </t>
  </si>
  <si>
    <t xml:space="preserve"> PARIES </t>
  </si>
  <si>
    <t xml:space="preserve"> AMICALE PONGISTE D ANDRES </t>
  </si>
  <si>
    <t xml:space="preserve"> LEDIGNAN ALASC </t>
  </si>
  <si>
    <t xml:space="preserve"> GHANEM </t>
  </si>
  <si>
    <t xml:space="preserve"> Salem </t>
  </si>
  <si>
    <t xml:space="preserve"> DUTOIT </t>
  </si>
  <si>
    <t xml:space="preserve"> BRANCHEREAU </t>
  </si>
  <si>
    <t xml:space="preserve"> MENEGHIN </t>
  </si>
  <si>
    <t xml:space="preserve"> LOISY </t>
  </si>
  <si>
    <t xml:space="preserve"> LEBIGRE </t>
  </si>
  <si>
    <t xml:space="preserve"> GILLMANN </t>
  </si>
  <si>
    <t xml:space="preserve"> 329E1001 </t>
  </si>
  <si>
    <t xml:space="preserve"> IMPASSIBLE NORD KOUMAC </t>
  </si>
  <si>
    <t xml:space="preserve"> LEGOY </t>
  </si>
  <si>
    <t xml:space="preserve"> SEVELIN </t>
  </si>
  <si>
    <t xml:space="preserve"> ARAUDEAU </t>
  </si>
  <si>
    <t xml:space="preserve"> COHELEACH </t>
  </si>
  <si>
    <t xml:space="preserve"> KNITTEL </t>
  </si>
  <si>
    <t xml:space="preserve"> Tuan ngoc </t>
  </si>
  <si>
    <t xml:space="preserve"> GUERTON </t>
  </si>
  <si>
    <t xml:space="preserve"> DOLO </t>
  </si>
  <si>
    <t xml:space="preserve"> ROUHLING CTT </t>
  </si>
  <si>
    <t xml:space="preserve"> YODER </t>
  </si>
  <si>
    <t xml:space="preserve"> CHAPEAU </t>
  </si>
  <si>
    <t xml:space="preserve"> GALLAND </t>
  </si>
  <si>
    <t xml:space="preserve"> LAMBAULT </t>
  </si>
  <si>
    <t xml:space="preserve"> NIBAUDEAU </t>
  </si>
  <si>
    <t xml:space="preserve"> LELANNIC </t>
  </si>
  <si>
    <t xml:space="preserve"> BERNEDE </t>
  </si>
  <si>
    <t xml:space="preserve"> VANDOMME </t>
  </si>
  <si>
    <t xml:space="preserve"> VERNOT </t>
  </si>
  <si>
    <t xml:space="preserve"> LE GARREC </t>
  </si>
  <si>
    <t xml:space="preserve"> HASCOET </t>
  </si>
  <si>
    <t xml:space="preserve"> VAXELAIRE </t>
  </si>
  <si>
    <t xml:space="preserve"> PEIGNEY </t>
  </si>
  <si>
    <t xml:space="preserve"> BALERDI </t>
  </si>
  <si>
    <t xml:space="preserve"> CLAVE </t>
  </si>
  <si>
    <t xml:space="preserve"> DEDEBANT </t>
  </si>
  <si>
    <t xml:space="preserve"> LAPEGUE </t>
  </si>
  <si>
    <t xml:space="preserve"> LAFAGE </t>
  </si>
  <si>
    <t xml:space="preserve"> TRIOMPHE </t>
  </si>
  <si>
    <t xml:space="preserve"> Bernard-guy </t>
  </si>
  <si>
    <t xml:space="preserve"> AS LA VALLA EN GIER </t>
  </si>
  <si>
    <t xml:space="preserve"> RESTOUX </t>
  </si>
  <si>
    <t xml:space="preserve"> BERSET </t>
  </si>
  <si>
    <t xml:space="preserve"> TAFFOREAU </t>
  </si>
  <si>
    <t xml:space="preserve"> BETHUS </t>
  </si>
  <si>
    <t xml:space="preserve"> SARRAZIN </t>
  </si>
  <si>
    <t xml:space="preserve"> ASPTT DE TULLE </t>
  </si>
  <si>
    <t xml:space="preserve"> ASSET </t>
  </si>
  <si>
    <t xml:space="preserve"> HOT </t>
  </si>
  <si>
    <t xml:space="preserve"> Jean-roland </t>
  </si>
  <si>
    <t xml:space="preserve"> PASSOT </t>
  </si>
  <si>
    <t xml:space="preserve"> Saint Laurs Club Pongiste </t>
  </si>
  <si>
    <t xml:space="preserve"> DOUIN </t>
  </si>
  <si>
    <t xml:space="preserve"> NEGREL </t>
  </si>
  <si>
    <t xml:space="preserve"> USC GRANDE BASTIDE </t>
  </si>
  <si>
    <t xml:space="preserve"> ETCHEGOYHEN </t>
  </si>
  <si>
    <t xml:space="preserve"> DIMSTER </t>
  </si>
  <si>
    <t xml:space="preserve"> PERSONNIC </t>
  </si>
  <si>
    <t xml:space="preserve"> Merpins  U S </t>
  </si>
  <si>
    <t xml:space="preserve"> TROMEUR </t>
  </si>
  <si>
    <t xml:space="preserve"> MAZINGUE </t>
  </si>
  <si>
    <t xml:space="preserve"> MUNSTER </t>
  </si>
  <si>
    <t xml:space="preserve"> SURUGUE </t>
  </si>
  <si>
    <t xml:space="preserve"> GUEMAS </t>
  </si>
  <si>
    <t xml:space="preserve"> CHAPEL </t>
  </si>
  <si>
    <t xml:space="preserve"> CHEYRIE </t>
  </si>
  <si>
    <t xml:space="preserve"> LADANT </t>
  </si>
  <si>
    <t xml:space="preserve"> HAIK </t>
  </si>
  <si>
    <t xml:space="preserve"> Aldo </t>
  </si>
  <si>
    <t xml:space="preserve"> GIRARDIN </t>
  </si>
  <si>
    <t xml:space="preserve"> GAILLEUX </t>
  </si>
  <si>
    <t xml:space="preserve"> DEHESDIN </t>
  </si>
  <si>
    <t xml:space="preserve"> PRUNET </t>
  </si>
  <si>
    <t xml:space="preserve"> MOTARJEM </t>
  </si>
  <si>
    <t xml:space="preserve"> Shahryar </t>
  </si>
  <si>
    <t xml:space="preserve"> BOUGAS </t>
  </si>
  <si>
    <t xml:space="preserve"> REYBIER </t>
  </si>
  <si>
    <t xml:space="preserve"> AADARI </t>
  </si>
  <si>
    <t xml:space="preserve"> RONDINAUD </t>
  </si>
  <si>
    <t xml:space="preserve"> VANBAUCE </t>
  </si>
  <si>
    <t xml:space="preserve"> GRAUD </t>
  </si>
  <si>
    <t xml:space="preserve"> AL DARNETAL </t>
  </si>
  <si>
    <t xml:space="preserve"> TRUCHE </t>
  </si>
  <si>
    <t xml:space="preserve"> DELAGREE </t>
  </si>
  <si>
    <t xml:space="preserve"> CLAYES TENNIS DE TABLE </t>
  </si>
  <si>
    <t xml:space="preserve"> PEYRAUD </t>
  </si>
  <si>
    <t xml:space="preserve"> BAZZALI </t>
  </si>
  <si>
    <t xml:space="preserve"> LE FLANCHEC </t>
  </si>
  <si>
    <t xml:space="preserve"> DESPINEY </t>
  </si>
  <si>
    <t xml:space="preserve"> Philem </t>
  </si>
  <si>
    <t xml:space="preserve"> FUSCO </t>
  </si>
  <si>
    <t xml:space="preserve"> HOLLARD </t>
  </si>
  <si>
    <t xml:space="preserve"> MARCELLIER </t>
  </si>
  <si>
    <t xml:space="preserve"> DEMEULENAERE </t>
  </si>
  <si>
    <t xml:space="preserve"> NARCY </t>
  </si>
  <si>
    <t xml:space="preserve"> COMTESSE </t>
  </si>
  <si>
    <t xml:space="preserve"> CAMI </t>
  </si>
  <si>
    <t xml:space="preserve"> DESNOUETTE </t>
  </si>
  <si>
    <t xml:space="preserve"> RUHLMANN </t>
  </si>
  <si>
    <t xml:space="preserve"> DEGRE JS </t>
  </si>
  <si>
    <t xml:space="preserve"> BOULERE </t>
  </si>
  <si>
    <t xml:space="preserve"> DUBRULLE </t>
  </si>
  <si>
    <t xml:space="preserve"> VINZANT </t>
  </si>
  <si>
    <t xml:space="preserve"> BLIVET </t>
  </si>
  <si>
    <t xml:space="preserve"> COURILLAUD </t>
  </si>
  <si>
    <t xml:space="preserve"> MENEC </t>
  </si>
  <si>
    <t xml:space="preserve"> RAS </t>
  </si>
  <si>
    <t xml:space="preserve"> 319D0464 </t>
  </si>
  <si>
    <t xml:space="preserve"> CLUB OMNISPORT LA MONTAGN </t>
  </si>
  <si>
    <t xml:space="preserve"> LEMETAYER </t>
  </si>
  <si>
    <t xml:space="preserve"> ARMAL </t>
  </si>
  <si>
    <t xml:space="preserve"> HIBON </t>
  </si>
  <si>
    <t xml:space="preserve"> EPERLECQUES TLTT </t>
  </si>
  <si>
    <t xml:space="preserve"> VAUCOUX </t>
  </si>
  <si>
    <t xml:space="preserve"> RESTOIN </t>
  </si>
  <si>
    <t xml:space="preserve"> RIVAT </t>
  </si>
  <si>
    <t xml:space="preserve"> TT ST JUST MALMONT </t>
  </si>
  <si>
    <t xml:space="preserve"> BAUDAIS </t>
  </si>
  <si>
    <t xml:space="preserve"> MAZAL </t>
  </si>
  <si>
    <t xml:space="preserve"> TT MARTIGUES SLC </t>
  </si>
  <si>
    <t xml:space="preserve"> ROUET </t>
  </si>
  <si>
    <t xml:space="preserve"> DE COSTER </t>
  </si>
  <si>
    <t xml:space="preserve"> BEDIN </t>
  </si>
  <si>
    <t xml:space="preserve"> PIRON </t>
  </si>
  <si>
    <t xml:space="preserve"> GOUTTESOLARD </t>
  </si>
  <si>
    <t xml:space="preserve"> DUPIC </t>
  </si>
  <si>
    <t xml:space="preserve"> DUJON </t>
  </si>
  <si>
    <t xml:space="preserve"> VILLAT </t>
  </si>
  <si>
    <t xml:space="preserve"> ARULNADIN </t>
  </si>
  <si>
    <t xml:space="preserve"> BERJOT </t>
  </si>
  <si>
    <t xml:space="preserve"> CLAVIER </t>
  </si>
  <si>
    <t xml:space="preserve"> FRANCOU </t>
  </si>
  <si>
    <t xml:space="preserve"> STANOWSKI </t>
  </si>
  <si>
    <t xml:space="preserve"> ROUSSELOT </t>
  </si>
  <si>
    <t xml:space="preserve"> VAILLOT </t>
  </si>
  <si>
    <t xml:space="preserve"> LAVENN </t>
  </si>
  <si>
    <t xml:space="preserve"> BRODA </t>
  </si>
  <si>
    <t xml:space="preserve"> CHAPELLE DES FTZ ACSL </t>
  </si>
  <si>
    <t xml:space="preserve"> MAUDOUIT </t>
  </si>
  <si>
    <t xml:space="preserve"> Brieg </t>
  </si>
  <si>
    <t xml:space="preserve"> RODIER </t>
  </si>
  <si>
    <t xml:space="preserve"> JEANS </t>
  </si>
  <si>
    <t xml:space="preserve"> D'ACCRISCIO </t>
  </si>
  <si>
    <t xml:space="preserve"> THALES </t>
  </si>
  <si>
    <t xml:space="preserve"> MORDILLAT </t>
  </si>
  <si>
    <t xml:space="preserve"> DELAY </t>
  </si>
  <si>
    <t xml:space="preserve"> FRELAND </t>
  </si>
  <si>
    <t xml:space="preserve"> AROULT </t>
  </si>
  <si>
    <t xml:space="preserve"> HONGSAVANH </t>
  </si>
  <si>
    <t xml:space="preserve"> Ly </t>
  </si>
  <si>
    <t xml:space="preserve"> PERROT MINOT </t>
  </si>
  <si>
    <t xml:space="preserve"> RYCKMANS </t>
  </si>
  <si>
    <t xml:space="preserve"> BRUTSAERT </t>
  </si>
  <si>
    <t xml:space="preserve"> FAGUAIS </t>
  </si>
  <si>
    <t xml:space="preserve"> GIBERVILLAIS TT </t>
  </si>
  <si>
    <t xml:space="preserve"> DECRUYENAERE </t>
  </si>
  <si>
    <t xml:space="preserve"> POISSON </t>
  </si>
  <si>
    <t xml:space="preserve"> BELANGER </t>
  </si>
  <si>
    <t xml:space="preserve"> TT CAMALES </t>
  </si>
  <si>
    <t xml:space="preserve"> DHOLLANDE </t>
  </si>
  <si>
    <t xml:space="preserve"> LANSMANT </t>
  </si>
  <si>
    <t xml:space="preserve"> FORNARO </t>
  </si>
  <si>
    <t xml:space="preserve"> DESCORMIERS </t>
  </si>
  <si>
    <t xml:space="preserve"> LINGELSER </t>
  </si>
  <si>
    <t xml:space="preserve"> VIRGL </t>
  </si>
  <si>
    <t xml:space="preserve"> SANNAJUST </t>
  </si>
  <si>
    <t xml:space="preserve"> BRUNELLIERE </t>
  </si>
  <si>
    <t xml:space="preserve"> Francky </t>
  </si>
  <si>
    <t xml:space="preserve"> NIKOLAYEV </t>
  </si>
  <si>
    <t xml:space="preserve"> Vadym </t>
  </si>
  <si>
    <t xml:space="preserve"> SALHI </t>
  </si>
  <si>
    <t xml:space="preserve"> OTUSZEWSKI </t>
  </si>
  <si>
    <t xml:space="preserve"> ESTREUX EPSC </t>
  </si>
  <si>
    <t xml:space="preserve"> BOUTTE </t>
  </si>
  <si>
    <t xml:space="preserve"> MOGUES TT </t>
  </si>
  <si>
    <t xml:space="preserve"> LE MENN </t>
  </si>
  <si>
    <t xml:space="preserve"> Tangi </t>
  </si>
  <si>
    <t xml:space="preserve"> BRODIN </t>
  </si>
  <si>
    <t xml:space="preserve"> VIGE </t>
  </si>
  <si>
    <t xml:space="preserve"> MAILLET </t>
  </si>
  <si>
    <t xml:space="preserve"> PHELIPEAU </t>
  </si>
  <si>
    <t xml:space="preserve"> MIGNE </t>
  </si>
  <si>
    <t xml:space="preserve"> DEVATINE </t>
  </si>
  <si>
    <t xml:space="preserve"> BREDOUX </t>
  </si>
  <si>
    <t xml:space="preserve"> GUIZIER </t>
  </si>
  <si>
    <t xml:space="preserve"> TT OLORON HB </t>
  </si>
  <si>
    <t xml:space="preserve"> KELKAL </t>
  </si>
  <si>
    <t xml:space="preserve"> DEPARIS </t>
  </si>
  <si>
    <t xml:space="preserve"> AIT MAHREZ </t>
  </si>
  <si>
    <t xml:space="preserve"> Camal </t>
  </si>
  <si>
    <t xml:space="preserve"> DAUVIN </t>
  </si>
  <si>
    <t xml:space="preserve"> TT QUEVERT </t>
  </si>
  <si>
    <t xml:space="preserve"> SEVERE </t>
  </si>
  <si>
    <t xml:space="preserve"> HOGER </t>
  </si>
  <si>
    <t xml:space="preserve"> MESSIER SPORT VELIZY </t>
  </si>
  <si>
    <t xml:space="preserve"> DROGIX </t>
  </si>
  <si>
    <t xml:space="preserve"> RAFAELE </t>
  </si>
  <si>
    <t xml:space="preserve"> Vito </t>
  </si>
  <si>
    <t xml:space="preserve"> MATHUS </t>
  </si>
  <si>
    <t xml:space="preserve"> ALMAGRO </t>
  </si>
  <si>
    <t xml:space="preserve"> VIVENOT </t>
  </si>
  <si>
    <t xml:space="preserve"> MOUCHARD </t>
  </si>
  <si>
    <t xml:space="preserve"> DAUDRUY </t>
  </si>
  <si>
    <t xml:space="preserve"> JAEGER </t>
  </si>
  <si>
    <t xml:space="preserve"> MELLUL </t>
  </si>
  <si>
    <t xml:space="preserve"> Adi </t>
  </si>
  <si>
    <t xml:space="preserve"> ATTIA </t>
  </si>
  <si>
    <t xml:space="preserve"> NOENS </t>
  </si>
  <si>
    <t xml:space="preserve"> ANDREU </t>
  </si>
  <si>
    <t xml:space="preserve"> Kien hoa </t>
  </si>
  <si>
    <t xml:space="preserve"> PETEL </t>
  </si>
  <si>
    <t xml:space="preserve"> FRITOT </t>
  </si>
  <si>
    <t xml:space="preserve"> MOYAUSAINE ATT </t>
  </si>
  <si>
    <t xml:space="preserve"> SARRAGOUSSE </t>
  </si>
  <si>
    <t xml:space="preserve"> TREVET </t>
  </si>
  <si>
    <t xml:space="preserve"> PAUQUET </t>
  </si>
  <si>
    <t xml:space="preserve"> CUYNET </t>
  </si>
  <si>
    <t xml:space="preserve"> WIART </t>
  </si>
  <si>
    <t xml:space="preserve"> VIGNEAULT </t>
  </si>
  <si>
    <t xml:space="preserve"> DEL MAZEL </t>
  </si>
  <si>
    <t xml:space="preserve"> DEJAGER </t>
  </si>
  <si>
    <t xml:space="preserve"> COUET </t>
  </si>
  <si>
    <t xml:space="preserve"> CLIN </t>
  </si>
  <si>
    <t xml:space="preserve"> GUYADER </t>
  </si>
  <si>
    <t xml:space="preserve"> SIRON </t>
  </si>
  <si>
    <t xml:space="preserve"> AS CEPL </t>
  </si>
  <si>
    <t xml:space="preserve"> STAES </t>
  </si>
  <si>
    <t xml:space="preserve"> COURBET </t>
  </si>
  <si>
    <t xml:space="preserve"> STOPPANI </t>
  </si>
  <si>
    <t xml:space="preserve"> AS ST LYE LA FORET TT </t>
  </si>
  <si>
    <t xml:space="preserve"> DE MONTECLAIN </t>
  </si>
  <si>
    <t xml:space="preserve"> CANESSE </t>
  </si>
  <si>
    <t xml:space="preserve"> Jean -michel </t>
  </si>
  <si>
    <t xml:space="preserve"> TTC SG.ROUILLAC </t>
  </si>
  <si>
    <t xml:space="preserve"> GAUFFER </t>
  </si>
  <si>
    <t xml:space="preserve"> FOYER RURAL PARASSY T.T. </t>
  </si>
  <si>
    <t xml:space="preserve"> PINET </t>
  </si>
  <si>
    <t xml:space="preserve"> Jean-maclou </t>
  </si>
  <si>
    <t xml:space="preserve"> SURAT FOYER RURAL </t>
  </si>
  <si>
    <t xml:space="preserve"> BROY </t>
  </si>
  <si>
    <t xml:space="preserve"> PERLOCHIAN </t>
  </si>
  <si>
    <t xml:space="preserve"> RUHAUT </t>
  </si>
  <si>
    <t xml:space="preserve"> WOLF </t>
  </si>
  <si>
    <t xml:space="preserve"> MARAUD </t>
  </si>
  <si>
    <t xml:space="preserve"> VU NGOC </t>
  </si>
  <si>
    <t xml:space="preserve"> SARDENNE </t>
  </si>
  <si>
    <t xml:space="preserve"> DEMARETZ </t>
  </si>
  <si>
    <t xml:space="preserve"> CHAVIGNY </t>
  </si>
  <si>
    <t xml:space="preserve"> FOLTIER </t>
  </si>
  <si>
    <t xml:space="preserve"> GUICHETEAU </t>
  </si>
  <si>
    <t xml:space="preserve"> LOUBEAU </t>
  </si>
  <si>
    <t xml:space="preserve"> GUILLOTON </t>
  </si>
  <si>
    <t xml:space="preserve"> JAVIERRE </t>
  </si>
  <si>
    <t xml:space="preserve"> LANDON </t>
  </si>
  <si>
    <t xml:space="preserve"> BOTTE </t>
  </si>
  <si>
    <t xml:space="preserve"> BEUCHET </t>
  </si>
  <si>
    <t xml:space="preserve"> PAUGAM </t>
  </si>
  <si>
    <t xml:space="preserve"> Prosper </t>
  </si>
  <si>
    <t xml:space="preserve"> ALES CEVENNES TENNIS DE T </t>
  </si>
  <si>
    <t xml:space="preserve"> Thanh-quang </t>
  </si>
  <si>
    <t xml:space="preserve"> PERDOUX </t>
  </si>
  <si>
    <t xml:space="preserve"> DELEFORGE </t>
  </si>
  <si>
    <t xml:space="preserve"> CAIGNOL </t>
  </si>
  <si>
    <t xml:space="preserve"> MURACCIOLE </t>
  </si>
  <si>
    <t xml:space="preserve"> JUSTEAU </t>
  </si>
  <si>
    <t xml:space="preserve"> JUMEL </t>
  </si>
  <si>
    <t xml:space="preserve"> QUICHAUD </t>
  </si>
  <si>
    <t xml:space="preserve"> LEMAGUET </t>
  </si>
  <si>
    <t xml:space="preserve"> GREGEOIS </t>
  </si>
  <si>
    <t xml:space="preserve"> MARLIOT </t>
  </si>
  <si>
    <t xml:space="preserve"> MAUBOUSSIN </t>
  </si>
  <si>
    <t xml:space="preserve"> HONO </t>
  </si>
  <si>
    <t xml:space="preserve"> GILARDI </t>
  </si>
  <si>
    <t xml:space="preserve"> ALBER </t>
  </si>
  <si>
    <t xml:space="preserve"> LEONNEC </t>
  </si>
  <si>
    <t xml:space="preserve"> TANNEAU </t>
  </si>
  <si>
    <t xml:space="preserve"> FARIAS </t>
  </si>
  <si>
    <t xml:space="preserve"> Xaintrie TT </t>
  </si>
  <si>
    <t xml:space="preserve"> BLOND </t>
  </si>
  <si>
    <t xml:space="preserve"> BORDIER </t>
  </si>
  <si>
    <t xml:space="preserve"> POUPON </t>
  </si>
  <si>
    <t xml:space="preserve"> DURU </t>
  </si>
  <si>
    <t xml:space="preserve"> DEMARQUILLY </t>
  </si>
  <si>
    <t xml:space="preserve"> BREGERE </t>
  </si>
  <si>
    <t xml:space="preserve"> TEODOSIJEVIC </t>
  </si>
  <si>
    <t xml:space="preserve"> BARZIC </t>
  </si>
  <si>
    <t xml:space="preserve"> HANON </t>
  </si>
  <si>
    <t xml:space="preserve"> PETIGNAT </t>
  </si>
  <si>
    <t xml:space="preserve"> PETTON </t>
  </si>
  <si>
    <t xml:space="preserve"> POMMERIEUX </t>
  </si>
  <si>
    <t xml:space="preserve"> BALIVET </t>
  </si>
  <si>
    <t xml:space="preserve"> TRINCART </t>
  </si>
  <si>
    <t xml:space="preserve"> BRUYERE </t>
  </si>
  <si>
    <t xml:space="preserve"> TISSIER </t>
  </si>
  <si>
    <t xml:space="preserve"> PIETTE </t>
  </si>
  <si>
    <t xml:space="preserve"> FILLASTRE </t>
  </si>
  <si>
    <t xml:space="preserve"> MARSEILLE TENNIS DE TABLE </t>
  </si>
  <si>
    <t xml:space="preserve"> King </t>
  </si>
  <si>
    <t xml:space="preserve"> PIGNARE </t>
  </si>
  <si>
    <t xml:space="preserve"> VANPOUILLE </t>
  </si>
  <si>
    <t xml:space="preserve"> DET </t>
  </si>
  <si>
    <t xml:space="preserve"> MAGRON </t>
  </si>
  <si>
    <t xml:space="preserve"> THOULY </t>
  </si>
  <si>
    <t xml:space="preserve"> ATTOU </t>
  </si>
  <si>
    <t xml:space="preserve"> AL CHAMPEIX TT </t>
  </si>
  <si>
    <t xml:space="preserve"> VIDIL </t>
  </si>
  <si>
    <t xml:space="preserve"> DRULINGEN T.T </t>
  </si>
  <si>
    <t xml:space="preserve"> CORGNAC </t>
  </si>
  <si>
    <t xml:space="preserve"> FOLSCHWEILLER </t>
  </si>
  <si>
    <t xml:space="preserve"> Carlo </t>
  </si>
  <si>
    <t xml:space="preserve"> AGENEAU </t>
  </si>
  <si>
    <t xml:space="preserve"> THEILLAUD </t>
  </si>
  <si>
    <t xml:space="preserve"> LESKENS </t>
  </si>
  <si>
    <t xml:space="preserve"> A.S. MAXIME T.T. </t>
  </si>
  <si>
    <t xml:space="preserve"> VESCHI </t>
  </si>
  <si>
    <t xml:space="preserve"> VAURY </t>
  </si>
  <si>
    <t xml:space="preserve"> DEJONGHE </t>
  </si>
  <si>
    <t xml:space="preserve"> CRAPANNE </t>
  </si>
  <si>
    <t xml:space="preserve"> BOUÉ </t>
  </si>
  <si>
    <t xml:space="preserve"> BENETIERE </t>
  </si>
  <si>
    <t xml:space="preserve"> LUBRANO </t>
  </si>
  <si>
    <t xml:space="preserve"> DOZIERRE </t>
  </si>
  <si>
    <t xml:space="preserve"> CHAUSSE </t>
  </si>
  <si>
    <t xml:space="preserve"> BAULON </t>
  </si>
  <si>
    <t xml:space="preserve"> TT BRIONNE </t>
  </si>
  <si>
    <t xml:space="preserve"> TOUCHE </t>
  </si>
  <si>
    <t xml:space="preserve"> TARDIF </t>
  </si>
  <si>
    <t xml:space="preserve"> Allain </t>
  </si>
  <si>
    <t xml:space="preserve"> BOUDOU </t>
  </si>
  <si>
    <t xml:space="preserve"> SALLABERRY </t>
  </si>
  <si>
    <t xml:space="preserve"> JOMARD </t>
  </si>
  <si>
    <t xml:space="preserve"> DESMAT </t>
  </si>
  <si>
    <t xml:space="preserve"> US VAUX LE PENIL </t>
  </si>
  <si>
    <t xml:space="preserve"> Harold </t>
  </si>
  <si>
    <t xml:space="preserve"> COUFY </t>
  </si>
  <si>
    <t xml:space="preserve"> LEPAN </t>
  </si>
  <si>
    <t xml:space="preserve"> SARIGNAC </t>
  </si>
  <si>
    <t xml:space="preserve"> GARDEL </t>
  </si>
  <si>
    <t xml:space="preserve"> PIAUT </t>
  </si>
  <si>
    <t xml:space="preserve"> BOULLARD </t>
  </si>
  <si>
    <t xml:space="preserve"> CHAVANT </t>
  </si>
  <si>
    <t xml:space="preserve"> LE HEN </t>
  </si>
  <si>
    <t xml:space="preserve"> DURAN </t>
  </si>
  <si>
    <t xml:space="preserve"> GRENEZ </t>
  </si>
  <si>
    <t xml:space="preserve"> JOYE </t>
  </si>
  <si>
    <t xml:space="preserve"> BAYEUX </t>
  </si>
  <si>
    <t xml:space="preserve"> EMERY </t>
  </si>
  <si>
    <t xml:space="preserve"> BEYRAC </t>
  </si>
  <si>
    <t xml:space="preserve"> BIRAUD </t>
  </si>
  <si>
    <t xml:space="preserve"> DAVIAUX </t>
  </si>
  <si>
    <t xml:space="preserve"> LARUE </t>
  </si>
  <si>
    <t xml:space="preserve"> Blaise </t>
  </si>
  <si>
    <t xml:space="preserve"> GAIS MOIS. VOVES </t>
  </si>
  <si>
    <t xml:space="preserve"> ESQUIEU </t>
  </si>
  <si>
    <t xml:space="preserve"> CATHELOT </t>
  </si>
  <si>
    <t xml:space="preserve"> LECORDIER </t>
  </si>
  <si>
    <t xml:space="preserve"> TT RUY MONTCEAU </t>
  </si>
  <si>
    <t xml:space="preserve"> CANAL </t>
  </si>
  <si>
    <t xml:space="preserve"> CAMARASA </t>
  </si>
  <si>
    <t xml:space="preserve"> SOUPART </t>
  </si>
  <si>
    <t xml:space="preserve"> Abel </t>
  </si>
  <si>
    <t xml:space="preserve"> LADOUX </t>
  </si>
  <si>
    <t xml:space="preserve"> MAGGIA </t>
  </si>
  <si>
    <t xml:space="preserve"> DELETTRE </t>
  </si>
  <si>
    <t xml:space="preserve"> CLERMONT L HERAULT TT </t>
  </si>
  <si>
    <t xml:space="preserve"> SNIATECKI </t>
  </si>
  <si>
    <t xml:space="preserve"> ROSSELLO </t>
  </si>
  <si>
    <t xml:space="preserve"> L'HENORET </t>
  </si>
  <si>
    <t xml:space="preserve"> PILORGE </t>
  </si>
  <si>
    <t xml:space="preserve"> KAVINSKI </t>
  </si>
  <si>
    <t xml:space="preserve"> DUMET </t>
  </si>
  <si>
    <t xml:space="preserve"> RECHE </t>
  </si>
  <si>
    <t xml:space="preserve"> LORIETTE </t>
  </si>
  <si>
    <t xml:space="preserve"> CADIX </t>
  </si>
  <si>
    <t xml:space="preserve"> MARESCHAL </t>
  </si>
  <si>
    <t xml:space="preserve"> LUSTREMANT </t>
  </si>
  <si>
    <t xml:space="preserve"> FOURQUIER </t>
  </si>
  <si>
    <t xml:space="preserve"> GENGEMBRE </t>
  </si>
  <si>
    <t xml:space="preserve"> GAUCHOUX </t>
  </si>
  <si>
    <t xml:space="preserve"> CHOVERO </t>
  </si>
  <si>
    <t xml:space="preserve"> LAPLAIGE </t>
  </si>
  <si>
    <t xml:space="preserve"> LEYMONIE </t>
  </si>
  <si>
    <t xml:space="preserve"> WOLFF </t>
  </si>
  <si>
    <t xml:space="preserve"> MARECAL </t>
  </si>
  <si>
    <t xml:space="preserve"> Jacques-robert </t>
  </si>
  <si>
    <t xml:space="preserve"> MORANGE </t>
  </si>
  <si>
    <t xml:space="preserve"> FLORY </t>
  </si>
  <si>
    <t xml:space="preserve"> DE GRAEVE </t>
  </si>
  <si>
    <t xml:space="preserve"> BREVAULT </t>
  </si>
  <si>
    <t xml:space="preserve"> KERAMBRUN </t>
  </si>
  <si>
    <t xml:space="preserve"> LACHENAL </t>
  </si>
  <si>
    <t xml:space="preserve"> LESVEN </t>
  </si>
  <si>
    <t xml:space="preserve"> OMEIRA </t>
  </si>
  <si>
    <t xml:space="preserve"> GOUACHE </t>
  </si>
  <si>
    <t xml:space="preserve"> VERNEL-WESOLOWSKI </t>
  </si>
  <si>
    <t xml:space="preserve"> AO TOURRETTE LEVENS </t>
  </si>
  <si>
    <t xml:space="preserve"> BARBERA </t>
  </si>
  <si>
    <t xml:space="preserve"> CABRERA </t>
  </si>
  <si>
    <t xml:space="preserve"> DREZET </t>
  </si>
  <si>
    <t xml:space="preserve"> DEBODE </t>
  </si>
  <si>
    <t xml:space="preserve"> BELHASSEN </t>
  </si>
  <si>
    <t xml:space="preserve"> VICTOR </t>
  </si>
  <si>
    <t xml:space="preserve"> ULRICH </t>
  </si>
  <si>
    <t xml:space="preserve"> KUY </t>
  </si>
  <si>
    <t xml:space="preserve"> Touth </t>
  </si>
  <si>
    <t xml:space="preserve"> T.T HAUT-LIGNON </t>
  </si>
  <si>
    <t xml:space="preserve"> MAITREJEAN </t>
  </si>
  <si>
    <t xml:space="preserve"> TOUCHAIS </t>
  </si>
  <si>
    <t xml:space="preserve"> PALAU </t>
  </si>
  <si>
    <t xml:space="preserve"> ROVERE </t>
  </si>
  <si>
    <t xml:space="preserve"> LECAPELAIN </t>
  </si>
  <si>
    <t xml:space="preserve"> COCHERY </t>
  </si>
  <si>
    <t xml:space="preserve"> GOAR </t>
  </si>
  <si>
    <t xml:space="preserve"> SIMBRON </t>
  </si>
  <si>
    <t xml:space="preserve"> BOUCHEREAU </t>
  </si>
  <si>
    <t xml:space="preserve"> JUBE </t>
  </si>
  <si>
    <t xml:space="preserve"> CINÇON </t>
  </si>
  <si>
    <t xml:space="preserve"> MAZANKINE </t>
  </si>
  <si>
    <t xml:space="preserve"> BONNEMYE </t>
  </si>
  <si>
    <t xml:space="preserve"> DERCHE </t>
  </si>
  <si>
    <t xml:space="preserve"> FLECHAIS </t>
  </si>
  <si>
    <t xml:space="preserve"> ASTILLÉEN Tennis de Table </t>
  </si>
  <si>
    <t xml:space="preserve"> PANNEKOUCKE </t>
  </si>
  <si>
    <t xml:space="preserve"> FASSI </t>
  </si>
  <si>
    <t xml:space="preserve"> JEHAN </t>
  </si>
  <si>
    <t xml:space="preserve"> HAMONIC </t>
  </si>
  <si>
    <t xml:space="preserve"> HEMMERLE </t>
  </si>
  <si>
    <t xml:space="preserve"> FIMBEL </t>
  </si>
  <si>
    <t xml:space="preserve"> Pierre-paul </t>
  </si>
  <si>
    <t xml:space="preserve"> DARPOUX </t>
  </si>
  <si>
    <t xml:space="preserve"> VANHUYSSE </t>
  </si>
  <si>
    <t xml:space="preserve"> SEMAIL </t>
  </si>
  <si>
    <t xml:space="preserve"> STEPANIAN </t>
  </si>
  <si>
    <t xml:space="preserve"> OVIGUE </t>
  </si>
  <si>
    <t xml:space="preserve"> DOUILLARD </t>
  </si>
  <si>
    <t xml:space="preserve"> TOUGERON </t>
  </si>
  <si>
    <t xml:space="preserve"> GOUILLON </t>
  </si>
  <si>
    <t xml:space="preserve"> MAIRET </t>
  </si>
  <si>
    <t xml:space="preserve"> BARONNET </t>
  </si>
  <si>
    <t xml:space="preserve"> GOURLAY </t>
  </si>
  <si>
    <t xml:space="preserve"> DRAND </t>
  </si>
  <si>
    <t xml:space="preserve"> FERAHIAN </t>
  </si>
  <si>
    <t xml:space="preserve"> VEIGA </t>
  </si>
  <si>
    <t xml:space="preserve"> EHRHARDT </t>
  </si>
  <si>
    <t xml:space="preserve"> DARRICAUX </t>
  </si>
  <si>
    <t xml:space="preserve"> PEROTTET </t>
  </si>
  <si>
    <t xml:space="preserve"> REHEL </t>
  </si>
  <si>
    <t xml:space="preserve"> VALLEIX </t>
  </si>
  <si>
    <t xml:space="preserve"> ESPANA </t>
  </si>
  <si>
    <t xml:space="preserve"> HOUEIX </t>
  </si>
  <si>
    <t xml:space="preserve"> MAGERE </t>
  </si>
  <si>
    <t xml:space="preserve"> BOURDILLEAU </t>
  </si>
  <si>
    <t xml:space="preserve"> CANON </t>
  </si>
  <si>
    <t xml:space="preserve"> CHAVROCHE </t>
  </si>
  <si>
    <t xml:space="preserve"> TAILLIS ST CHRISTOPHE BOI </t>
  </si>
  <si>
    <t xml:space="preserve"> MANQUILLET </t>
  </si>
  <si>
    <t xml:space="preserve"> BOUVROT </t>
  </si>
  <si>
    <t xml:space="preserve"> DELOHEN </t>
  </si>
  <si>
    <t xml:space="preserve"> BAUGNET </t>
  </si>
  <si>
    <t xml:space="preserve"> INGUIMBERTY </t>
  </si>
  <si>
    <t xml:space="preserve"> VACHE </t>
  </si>
  <si>
    <t xml:space="preserve"> DREVON </t>
  </si>
  <si>
    <t xml:space="preserve"> ANILLO </t>
  </si>
  <si>
    <t xml:space="preserve"> CHATELLIER </t>
  </si>
  <si>
    <t xml:space="preserve"> BERSON </t>
  </si>
  <si>
    <t xml:space="preserve"> HUANG </t>
  </si>
  <si>
    <t xml:space="preserve"> Piao </t>
  </si>
  <si>
    <t xml:space="preserve"> MOURIER </t>
  </si>
  <si>
    <t xml:space="preserve"> LENNON </t>
  </si>
  <si>
    <t xml:space="preserve"> VISTICOT </t>
  </si>
  <si>
    <t xml:space="preserve"> SZEJMAN </t>
  </si>
  <si>
    <t xml:space="preserve"> COUSSEGAL </t>
  </si>
  <si>
    <t xml:space="preserve"> Antonin jean </t>
  </si>
  <si>
    <t xml:space="preserve"> DELANAUD </t>
  </si>
  <si>
    <t xml:space="preserve"> PIERREPONT/AVRE USL </t>
  </si>
  <si>
    <t xml:space="preserve"> FASSIATY </t>
  </si>
  <si>
    <t xml:space="preserve"> SEVEREYNS </t>
  </si>
  <si>
    <t xml:space="preserve"> Sven </t>
  </si>
  <si>
    <t xml:space="preserve"> SABOTINOV </t>
  </si>
  <si>
    <t xml:space="preserve"> Luben </t>
  </si>
  <si>
    <t xml:space="preserve"> MALFONDET </t>
  </si>
  <si>
    <t xml:space="preserve"> LE BIAN </t>
  </si>
  <si>
    <t xml:space="preserve"> GENETE </t>
  </si>
  <si>
    <t xml:space="preserve"> RYCKOORT </t>
  </si>
  <si>
    <t xml:space="preserve"> LEGOFF </t>
  </si>
  <si>
    <t xml:space="preserve"> FUSIER </t>
  </si>
  <si>
    <t xml:space="preserve"> GILLIER </t>
  </si>
  <si>
    <t xml:space="preserve"> LABESQUE </t>
  </si>
  <si>
    <t xml:space="preserve"> MERCHADOU </t>
  </si>
  <si>
    <t xml:space="preserve"> CAPERAA </t>
  </si>
  <si>
    <t xml:space="preserve"> ORESVE </t>
  </si>
  <si>
    <t xml:space="preserve"> VAZELLE </t>
  </si>
  <si>
    <t xml:space="preserve"> SIBOT </t>
  </si>
  <si>
    <t xml:space="preserve"> Jean-edouard </t>
  </si>
  <si>
    <t xml:space="preserve"> BARBERON </t>
  </si>
  <si>
    <t xml:space="preserve"> ONKEL </t>
  </si>
  <si>
    <t xml:space="preserve"> RYCKEWAERT </t>
  </si>
  <si>
    <t xml:space="preserve"> GILLIERS </t>
  </si>
  <si>
    <t xml:space="preserve"> HAMELIN </t>
  </si>
  <si>
    <t xml:space="preserve"> VAGANAY </t>
  </si>
  <si>
    <t xml:space="preserve"> BIANCHI </t>
  </si>
  <si>
    <t xml:space="preserve"> DHEDIN </t>
  </si>
  <si>
    <t xml:space="preserve"> VANHUYSE </t>
  </si>
  <si>
    <t xml:space="preserve"> CHESSE </t>
  </si>
  <si>
    <t xml:space="preserve"> LORNE </t>
  </si>
  <si>
    <t xml:space="preserve"> COMOY </t>
  </si>
  <si>
    <t xml:space="preserve"> ESTEVE </t>
  </si>
  <si>
    <t xml:space="preserve"> DEPRAETERE </t>
  </si>
  <si>
    <t xml:space="preserve"> LHESSANI </t>
  </si>
  <si>
    <t xml:space="preserve"> Roufki </t>
  </si>
  <si>
    <t xml:space="preserve"> DEWULF </t>
  </si>
  <si>
    <t xml:space="preserve"> Olice </t>
  </si>
  <si>
    <t xml:space="preserve"> CHHITH </t>
  </si>
  <si>
    <t xml:space="preserve"> MONTENS </t>
  </si>
  <si>
    <t xml:space="preserve"> NOUBARD-PACHA </t>
  </si>
  <si>
    <t xml:space="preserve"> BOILEAU </t>
  </si>
  <si>
    <t xml:space="preserve"> COEURU </t>
  </si>
  <si>
    <t xml:space="preserve"> MAZUET </t>
  </si>
  <si>
    <t xml:space="preserve"> LANQUETIN </t>
  </si>
  <si>
    <t xml:space="preserve"> THEVENOT </t>
  </si>
  <si>
    <t xml:space="preserve"> PIGEON </t>
  </si>
  <si>
    <t xml:space="preserve"> GADBIN </t>
  </si>
  <si>
    <t xml:space="preserve"> OWCZARCZAK </t>
  </si>
  <si>
    <t xml:space="preserve"> VILCOCQ </t>
  </si>
  <si>
    <t xml:space="preserve"> SOULALIOUX </t>
  </si>
  <si>
    <t xml:space="preserve"> PILVEN </t>
  </si>
  <si>
    <t xml:space="preserve"> BARBOZA </t>
  </si>
  <si>
    <t xml:space="preserve"> TROGER </t>
  </si>
  <si>
    <t xml:space="preserve"> DUTAIN </t>
  </si>
  <si>
    <t xml:space="preserve"> NOGUES </t>
  </si>
  <si>
    <t xml:space="preserve"> HILPIPRE </t>
  </si>
  <si>
    <t xml:space="preserve"> DALLOT </t>
  </si>
  <si>
    <t xml:space="preserve"> SICHE </t>
  </si>
  <si>
    <t xml:space="preserve"> SORRET </t>
  </si>
  <si>
    <t xml:space="preserve"> SOLAGNA </t>
  </si>
  <si>
    <t xml:space="preserve"> BRAQUE </t>
  </si>
  <si>
    <t xml:space="preserve"> ROUILLARD </t>
  </si>
  <si>
    <t xml:space="preserve"> SOCQUET CLERC </t>
  </si>
  <si>
    <t xml:space="preserve"> PLANTECOSTE </t>
  </si>
  <si>
    <t xml:space="preserve"> CHARNAY </t>
  </si>
  <si>
    <t xml:space="preserve"> BRELIVET </t>
  </si>
  <si>
    <t xml:space="preserve"> PEGAND </t>
  </si>
  <si>
    <t xml:space="preserve"> GERIN </t>
  </si>
  <si>
    <t xml:space="preserve"> SEURON </t>
  </si>
  <si>
    <t xml:space="preserve"> JAQUES </t>
  </si>
  <si>
    <t xml:space="preserve"> BERRING </t>
  </si>
  <si>
    <t xml:space="preserve"> NEAULEAU </t>
  </si>
  <si>
    <t xml:space="preserve"> COURTES </t>
  </si>
  <si>
    <t xml:space="preserve"> BERTANI </t>
  </si>
  <si>
    <t xml:space="preserve"> TUFFEREAU </t>
  </si>
  <si>
    <t xml:space="preserve"> PERICHON </t>
  </si>
  <si>
    <t xml:space="preserve"> TENNIS DE TABLE LE BRETHO </t>
  </si>
  <si>
    <t xml:space="preserve"> SALAMBIEN </t>
  </si>
  <si>
    <t xml:space="preserve"> NICLOUX </t>
  </si>
  <si>
    <t xml:space="preserve"> MESNAGE </t>
  </si>
  <si>
    <t xml:space="preserve"> TT ST MAIXANT VERDELAIS </t>
  </si>
  <si>
    <t xml:space="preserve"> PONG ETRELLAIS </t>
  </si>
  <si>
    <t xml:space="preserve"> METTEY </t>
  </si>
  <si>
    <t xml:space="preserve"> VANGREVELINGHE </t>
  </si>
  <si>
    <t xml:space="preserve"> THUMERIES AGT </t>
  </si>
  <si>
    <t xml:space="preserve"> BRIDON </t>
  </si>
  <si>
    <t xml:space="preserve"> KERVEILLANT </t>
  </si>
  <si>
    <t xml:space="preserve"> AVELLA </t>
  </si>
  <si>
    <t xml:space="preserve"> ALPERIN </t>
  </si>
  <si>
    <t xml:space="preserve"> CHADEFAUX </t>
  </si>
  <si>
    <t xml:space="preserve"> HERRMANN </t>
  </si>
  <si>
    <t xml:space="preserve"> Van nhon </t>
  </si>
  <si>
    <t xml:space="preserve"> MORELON </t>
  </si>
  <si>
    <t xml:space="preserve"> BUREAUD </t>
  </si>
  <si>
    <t xml:space="preserve"> VOI </t>
  </si>
  <si>
    <t xml:space="preserve"> DESER </t>
  </si>
  <si>
    <t xml:space="preserve"> GRUEL </t>
  </si>
  <si>
    <t xml:space="preserve"> TALLEGAS </t>
  </si>
  <si>
    <t xml:space="preserve"> Quan </t>
  </si>
  <si>
    <t xml:space="preserve"> BOCHARD </t>
  </si>
  <si>
    <t xml:space="preserve"> GUESPIN </t>
  </si>
  <si>
    <t xml:space="preserve"> ROXIN </t>
  </si>
  <si>
    <t xml:space="preserve"> RAMIN </t>
  </si>
  <si>
    <t xml:space="preserve"> BRENIERE </t>
  </si>
  <si>
    <t xml:space="preserve"> JOURDAIN </t>
  </si>
  <si>
    <t xml:space="preserve"> LEBRISEUR </t>
  </si>
  <si>
    <t xml:space="preserve"> ANGERS MONPLAISIR </t>
  </si>
  <si>
    <t xml:space="preserve"> LAURENCE </t>
  </si>
  <si>
    <t xml:space="preserve"> DENEUX </t>
  </si>
  <si>
    <t xml:space="preserve"> WATELET </t>
  </si>
  <si>
    <t xml:space="preserve"> BERTHONNEAU </t>
  </si>
  <si>
    <t xml:space="preserve"> KASIMUN </t>
  </si>
  <si>
    <t xml:space="preserve"> DELAPLACE </t>
  </si>
  <si>
    <t xml:space="preserve"> COMPAN </t>
  </si>
  <si>
    <t xml:space="preserve"> AKKAOUI </t>
  </si>
  <si>
    <t xml:space="preserve"> GENON </t>
  </si>
  <si>
    <t xml:space="preserve"> FAFOURNOUX </t>
  </si>
  <si>
    <t xml:space="preserve"> HOULLIER </t>
  </si>
  <si>
    <t xml:space="preserve"> BENTO </t>
  </si>
  <si>
    <t xml:space="preserve"> COUIGNOUX </t>
  </si>
  <si>
    <t xml:space="preserve"> DEFAUTS </t>
  </si>
  <si>
    <t xml:space="preserve"> HASPRES USTT </t>
  </si>
  <si>
    <t xml:space="preserve"> RAINEVAL </t>
  </si>
  <si>
    <t xml:space="preserve"> DEMORTIER </t>
  </si>
  <si>
    <t xml:space="preserve"> BEAUVOIS </t>
  </si>
  <si>
    <t xml:space="preserve"> GODILLE </t>
  </si>
  <si>
    <t xml:space="preserve"> TERZIC </t>
  </si>
  <si>
    <t xml:space="preserve"> Zoran </t>
  </si>
  <si>
    <t xml:space="preserve"> DESCAVES </t>
  </si>
  <si>
    <t xml:space="preserve"> LARRIERE </t>
  </si>
  <si>
    <t xml:space="preserve"> SAGE </t>
  </si>
  <si>
    <t xml:space="preserve"> ZENOUDA </t>
  </si>
  <si>
    <t xml:space="preserve"> TERNOIR </t>
  </si>
  <si>
    <t xml:space="preserve"> KNIEST </t>
  </si>
  <si>
    <t xml:space="preserve"> GAUDISSARD </t>
  </si>
  <si>
    <t xml:space="preserve"> YBERT </t>
  </si>
  <si>
    <t xml:space="preserve"> GROSSIN </t>
  </si>
  <si>
    <t xml:space="preserve"> EECKHOUTTE </t>
  </si>
  <si>
    <t xml:space="preserve"> RIBEMONT/ANCRE TT </t>
  </si>
  <si>
    <t xml:space="preserve"> RAMET </t>
  </si>
  <si>
    <t xml:space="preserve"> HOUSSAIS </t>
  </si>
  <si>
    <t xml:space="preserve"> SABATIER </t>
  </si>
  <si>
    <t xml:space="preserve"> BIDART </t>
  </si>
  <si>
    <t xml:space="preserve"> MACADRE </t>
  </si>
  <si>
    <t xml:space="preserve"> ULLERN </t>
  </si>
  <si>
    <t xml:space="preserve"> POPOTE </t>
  </si>
  <si>
    <t xml:space="preserve"> PEYTOUREAU </t>
  </si>
  <si>
    <t xml:space="preserve"> ALONSO </t>
  </si>
  <si>
    <t xml:space="preserve"> Emanuel </t>
  </si>
  <si>
    <t xml:space="preserve"> PIRE </t>
  </si>
  <si>
    <t xml:space="preserve"> Louis marie </t>
  </si>
  <si>
    <t xml:space="preserve"> CIZEAU </t>
  </si>
  <si>
    <t xml:space="preserve"> A.J.S.BRACIEUX </t>
  </si>
  <si>
    <t xml:space="preserve"> LE MESLE </t>
  </si>
  <si>
    <t xml:space="preserve"> FRAYSSE </t>
  </si>
  <si>
    <t xml:space="preserve"> JOVENIN </t>
  </si>
  <si>
    <t xml:space="preserve"> GONARD </t>
  </si>
  <si>
    <t xml:space="preserve"> ZLOTOROWICZ </t>
  </si>
  <si>
    <t xml:space="preserve"> DARLOT </t>
  </si>
  <si>
    <t xml:space="preserve"> SCHLOESSER </t>
  </si>
  <si>
    <t xml:space="preserve"> TALON </t>
  </si>
  <si>
    <t xml:space="preserve"> ARRIVE </t>
  </si>
  <si>
    <t xml:space="preserve"> KUZEMKA </t>
  </si>
  <si>
    <t xml:space="preserve"> COLET </t>
  </si>
  <si>
    <t xml:space="preserve"> BIZEUL </t>
  </si>
  <si>
    <t xml:space="preserve"> LABATI </t>
  </si>
  <si>
    <t xml:space="preserve"> GUIRRIEC </t>
  </si>
  <si>
    <t xml:space="preserve"> SKENADJI </t>
  </si>
  <si>
    <t xml:space="preserve"> TOULOTTE </t>
  </si>
  <si>
    <t xml:space="preserve"> DUCHON </t>
  </si>
  <si>
    <t xml:space="preserve"> BRUN-COSME-GAZOT </t>
  </si>
  <si>
    <t xml:space="preserve"> MEIGNAN </t>
  </si>
  <si>
    <t xml:space="preserve"> ANGELI </t>
  </si>
  <si>
    <t xml:space="preserve"> JOB TT </t>
  </si>
  <si>
    <t xml:space="preserve"> AUZENEAU </t>
  </si>
  <si>
    <t xml:space="preserve"> TRIPON </t>
  </si>
  <si>
    <t xml:space="preserve"> JONCHERY SUR VESLE PPC </t>
  </si>
  <si>
    <t xml:space="preserve"> DRUOT </t>
  </si>
  <si>
    <t xml:space="preserve"> DIVIEN </t>
  </si>
  <si>
    <t xml:space="preserve"> DAVAULT </t>
  </si>
  <si>
    <t xml:space="preserve"> QUERELLOU </t>
  </si>
  <si>
    <t xml:space="preserve"> PRIAM </t>
  </si>
  <si>
    <t xml:space="preserve"> Marc-andré </t>
  </si>
  <si>
    <t xml:space="preserve"> HUIN </t>
  </si>
  <si>
    <t xml:space="preserve"> LAFORGE </t>
  </si>
  <si>
    <t xml:space="preserve"> QUEMENEUR </t>
  </si>
  <si>
    <t xml:space="preserve"> QUANTIN </t>
  </si>
  <si>
    <t xml:space="preserve"> BLIGAND </t>
  </si>
  <si>
    <t xml:space="preserve"> DROUVOT </t>
  </si>
  <si>
    <t xml:space="preserve"> MAGNET </t>
  </si>
  <si>
    <t xml:space="preserve"> BAFLAST </t>
  </si>
  <si>
    <t xml:space="preserve"> DENOUEL </t>
  </si>
  <si>
    <t xml:space="preserve"> VILLARD </t>
  </si>
  <si>
    <t xml:space="preserve"> CONIGLIO </t>
  </si>
  <si>
    <t xml:space="preserve"> DAGHIS </t>
  </si>
  <si>
    <t xml:space="preserve"> Mustapha </t>
  </si>
  <si>
    <t xml:space="preserve"> PROMENT </t>
  </si>
  <si>
    <t xml:space="preserve"> PRUDHON </t>
  </si>
  <si>
    <t xml:space="preserve"> DESMARES </t>
  </si>
  <si>
    <t xml:space="preserve"> VANDAPEL </t>
  </si>
  <si>
    <t xml:space="preserve"> LAPOINTE </t>
  </si>
  <si>
    <t xml:space="preserve"> FOURQUEUX TT </t>
  </si>
  <si>
    <t xml:space="preserve"> MAROY </t>
  </si>
  <si>
    <t xml:space="preserve"> DHUMERELLE </t>
  </si>
  <si>
    <t xml:space="preserve"> Privat </t>
  </si>
  <si>
    <t xml:space="preserve"> SOMAS </t>
  </si>
  <si>
    <t xml:space="preserve"> MOALIC </t>
  </si>
  <si>
    <t xml:space="preserve"> GILLIBERT </t>
  </si>
  <si>
    <t xml:space="preserve"> ROUBAULT </t>
  </si>
  <si>
    <t xml:space="preserve"> TECHENEY </t>
  </si>
  <si>
    <t xml:space="preserve"> IWANOW </t>
  </si>
  <si>
    <t xml:space="preserve"> Dariusz </t>
  </si>
  <si>
    <t xml:space="preserve"> KNOERR </t>
  </si>
  <si>
    <t xml:space="preserve"> AVENIR DE CHANDAI Tennis </t>
  </si>
  <si>
    <t xml:space="preserve"> FCS LA ROCHE BLANCHE </t>
  </si>
  <si>
    <t xml:space="preserve"> QUENEE </t>
  </si>
  <si>
    <t xml:space="preserve"> GAUTHE </t>
  </si>
  <si>
    <t xml:space="preserve"> Jean guy </t>
  </si>
  <si>
    <t xml:space="preserve"> BLANCHAIS </t>
  </si>
  <si>
    <t xml:space="preserve"> BAUR </t>
  </si>
  <si>
    <t xml:space="preserve"> Auguste </t>
  </si>
  <si>
    <t xml:space="preserve"> LE POGAM </t>
  </si>
  <si>
    <t xml:space="preserve"> Rolland </t>
  </si>
  <si>
    <t xml:space="preserve"> SOUM </t>
  </si>
  <si>
    <t xml:space="preserve"> RUNGETTE </t>
  </si>
  <si>
    <t xml:space="preserve"> LOUAISIL </t>
  </si>
  <si>
    <t xml:space="preserve"> VIPRASEUT </t>
  </si>
  <si>
    <t xml:space="preserve"> Bounmy </t>
  </si>
  <si>
    <t xml:space="preserve"> MAUSSY </t>
  </si>
  <si>
    <t xml:space="preserve"> JOUBERT DU CELLIER </t>
  </si>
  <si>
    <t xml:space="preserve"> ROSSERO </t>
  </si>
  <si>
    <t xml:space="preserve"> ARCHIMBAUD </t>
  </si>
  <si>
    <t xml:space="preserve"> OMBROUCK </t>
  </si>
  <si>
    <t xml:space="preserve"> CAMY-DEBAT </t>
  </si>
  <si>
    <t xml:space="preserve"> CHAMONT </t>
  </si>
  <si>
    <t xml:space="preserve"> Benoist </t>
  </si>
  <si>
    <t xml:space="preserve"> PIEDNOEL </t>
  </si>
  <si>
    <t xml:space="preserve"> RAUCOURT </t>
  </si>
  <si>
    <t xml:space="preserve"> MICHAUX </t>
  </si>
  <si>
    <t xml:space="preserve"> LE BONNIEC </t>
  </si>
  <si>
    <t xml:space="preserve"> PPC SEGALA VIAUR </t>
  </si>
  <si>
    <t xml:space="preserve"> COCHAUT </t>
  </si>
  <si>
    <t xml:space="preserve"> FESCHAUD </t>
  </si>
  <si>
    <t xml:space="preserve"> AROLES </t>
  </si>
  <si>
    <t xml:space="preserve"> SCHWARTZ </t>
  </si>
  <si>
    <t xml:space="preserve"> Chu chai </t>
  </si>
  <si>
    <t xml:space="preserve"> ASL BERNEVAL </t>
  </si>
  <si>
    <t xml:space="preserve"> BERTHOLLE </t>
  </si>
  <si>
    <t xml:space="preserve"> TYMEN </t>
  </si>
  <si>
    <t xml:space="preserve"> AYMARD </t>
  </si>
  <si>
    <t xml:space="preserve"> VENDARGUES T.T. </t>
  </si>
  <si>
    <t xml:space="preserve"> OULA </t>
  </si>
  <si>
    <t xml:space="preserve"> Sthaphone </t>
  </si>
  <si>
    <t xml:space="preserve"> MEY </t>
  </si>
  <si>
    <t xml:space="preserve"> LEGOUET </t>
  </si>
  <si>
    <t xml:space="preserve"> PIANTONI </t>
  </si>
  <si>
    <t xml:space="preserve"> HARATYK </t>
  </si>
  <si>
    <t xml:space="preserve"> THYSSENS </t>
  </si>
  <si>
    <t xml:space="preserve"> WARIN </t>
  </si>
  <si>
    <t xml:space="preserve"> DUCANDAS </t>
  </si>
  <si>
    <t xml:space="preserve"> RINCHEVAL </t>
  </si>
  <si>
    <t xml:space="preserve"> LIETTA </t>
  </si>
  <si>
    <t xml:space="preserve"> POSZWA </t>
  </si>
  <si>
    <t xml:space="preserve"> Royan Gazelec Sports </t>
  </si>
  <si>
    <t xml:space="preserve"> VERPILLET </t>
  </si>
  <si>
    <t xml:space="preserve"> QUIN </t>
  </si>
  <si>
    <t xml:space="preserve"> CANTET </t>
  </si>
  <si>
    <t xml:space="preserve"> DESTRUY </t>
  </si>
  <si>
    <t xml:space="preserve"> CANADA </t>
  </si>
  <si>
    <t xml:space="preserve"> FIRUCKIC </t>
  </si>
  <si>
    <t xml:space="preserve"> Vasa </t>
  </si>
  <si>
    <t xml:space="preserve"> FESSELET </t>
  </si>
  <si>
    <t xml:space="preserve"> MOTTE </t>
  </si>
  <si>
    <t xml:space="preserve"> CODET </t>
  </si>
  <si>
    <t xml:space="preserve"> ALBANHAC </t>
  </si>
  <si>
    <t xml:space="preserve"> Camille </t>
  </si>
  <si>
    <t xml:space="preserve"> ROUGER </t>
  </si>
  <si>
    <t xml:space="preserve"> TT DU SAUVETERROIS </t>
  </si>
  <si>
    <t xml:space="preserve"> LAMARD </t>
  </si>
  <si>
    <t xml:space="preserve"> MONPEURT </t>
  </si>
  <si>
    <t xml:space="preserve"> DUGERS </t>
  </si>
  <si>
    <t xml:space="preserve"> GUERNEVE </t>
  </si>
  <si>
    <t xml:space="preserve"> VANDERGUSTE </t>
  </si>
  <si>
    <t xml:space="preserve"> YVENOU </t>
  </si>
  <si>
    <t xml:space="preserve"> PIPREAU </t>
  </si>
  <si>
    <t xml:space="preserve"> SACQUIN </t>
  </si>
  <si>
    <t xml:space="preserve"> CHIGOT </t>
  </si>
  <si>
    <t xml:space="preserve"> DARTOIS </t>
  </si>
  <si>
    <t xml:space="preserve"> VITRY TOP </t>
  </si>
  <si>
    <t xml:space="preserve"> PETITBERGHIEN </t>
  </si>
  <si>
    <t xml:space="preserve"> BADER </t>
  </si>
  <si>
    <t xml:space="preserve"> SAINT MEDARD T.T. </t>
  </si>
  <si>
    <t xml:space="preserve"> RIFFLARD </t>
  </si>
  <si>
    <t xml:space="preserve"> AGAR </t>
  </si>
  <si>
    <t xml:space="preserve"> COCRY </t>
  </si>
  <si>
    <t xml:space="preserve"> TRIOREAU </t>
  </si>
  <si>
    <t xml:space="preserve"> LATOUD </t>
  </si>
  <si>
    <t xml:space="preserve"> FICHET/CLAIRFONTAINE </t>
  </si>
  <si>
    <t xml:space="preserve"> FAVRE MIVILLE </t>
  </si>
  <si>
    <t xml:space="preserve"> PIGNOLY </t>
  </si>
  <si>
    <t xml:space="preserve"> CHARGE </t>
  </si>
  <si>
    <t xml:space="preserve"> CONNIL </t>
  </si>
  <si>
    <t xml:space="preserve"> LOOTENS </t>
  </si>
  <si>
    <t xml:space="preserve"> CAPRON </t>
  </si>
  <si>
    <t xml:space="preserve"> HERMANGE </t>
  </si>
  <si>
    <t xml:space="preserve"> Antonin </t>
  </si>
  <si>
    <t xml:space="preserve"> MICHIEL </t>
  </si>
  <si>
    <t xml:space="preserve"> SAND </t>
  </si>
  <si>
    <t xml:space="preserve"> FAUCARD </t>
  </si>
  <si>
    <t xml:space="preserve"> LADUGUIE </t>
  </si>
  <si>
    <t xml:space="preserve"> PICHOU </t>
  </si>
  <si>
    <t xml:space="preserve"> BEASLEY </t>
  </si>
  <si>
    <t xml:space="preserve"> DE BEAUFORT </t>
  </si>
  <si>
    <t xml:space="preserve"> DEHOLLAIN </t>
  </si>
  <si>
    <t xml:space="preserve"> VINDEVOGEL </t>
  </si>
  <si>
    <t xml:space="preserve"> KOWALEWSKI </t>
  </si>
  <si>
    <t xml:space="preserve"> LUPO </t>
  </si>
  <si>
    <t xml:space="preserve"> VANNSON </t>
  </si>
  <si>
    <t xml:space="preserve"> GLINEL </t>
  </si>
  <si>
    <t xml:space="preserve"> BUGADA </t>
  </si>
  <si>
    <t xml:space="preserve"> CONEAU </t>
  </si>
  <si>
    <t xml:space="preserve"> PEROCHE </t>
  </si>
  <si>
    <t xml:space="preserve"> LEBAUDY </t>
  </si>
  <si>
    <t xml:space="preserve"> EXTIER </t>
  </si>
  <si>
    <t xml:space="preserve"> THEVENEAU </t>
  </si>
  <si>
    <t xml:space="preserve"> DIDIME </t>
  </si>
  <si>
    <t xml:space="preserve"> BARANI </t>
  </si>
  <si>
    <t xml:space="preserve"> HOOGSTOEL </t>
  </si>
  <si>
    <t xml:space="preserve"> TSCHANZ </t>
  </si>
  <si>
    <t xml:space="preserve"> TALBERT </t>
  </si>
  <si>
    <t xml:space="preserve"> VIART </t>
  </si>
  <si>
    <t xml:space="preserve"> CSIZMADIA </t>
  </si>
  <si>
    <t xml:space="preserve"> CORMONT </t>
  </si>
  <si>
    <t xml:space="preserve"> FARGE </t>
  </si>
  <si>
    <t xml:space="preserve"> POMPON </t>
  </si>
  <si>
    <t xml:space="preserve"> GOUDOUNEIX </t>
  </si>
  <si>
    <t xml:space="preserve"> GUENGANT </t>
  </si>
  <si>
    <t xml:space="preserve"> TROUDET </t>
  </si>
  <si>
    <t xml:space="preserve"> CORDIN </t>
  </si>
  <si>
    <t xml:space="preserve"> ARNOU </t>
  </si>
  <si>
    <t xml:space="preserve"> VEISSE </t>
  </si>
  <si>
    <t xml:space="preserve"> PERRONNET </t>
  </si>
  <si>
    <t xml:space="preserve"> HACHARD </t>
  </si>
  <si>
    <t xml:space="preserve"> Larig </t>
  </si>
  <si>
    <t xml:space="preserve"> MEILLERAIS </t>
  </si>
  <si>
    <t xml:space="preserve"> DELLA VALLE </t>
  </si>
  <si>
    <t xml:space="preserve"> BROUSSIN </t>
  </si>
  <si>
    <t xml:space="preserve"> SAILLANT </t>
  </si>
  <si>
    <t xml:space="preserve"> FOURCIN </t>
  </si>
  <si>
    <t xml:space="preserve"> FRIZZIERO </t>
  </si>
  <si>
    <t xml:space="preserve"> LIEU </t>
  </si>
  <si>
    <t xml:space="preserve"> Sa-bô </t>
  </si>
  <si>
    <t xml:space="preserve"> BALEMBOY </t>
  </si>
  <si>
    <t xml:space="preserve"> HAVARD </t>
  </si>
  <si>
    <t xml:space="preserve"> MASSERON </t>
  </si>
  <si>
    <t xml:space="preserve"> JOURDREN </t>
  </si>
  <si>
    <t xml:space="preserve"> HAVET </t>
  </si>
  <si>
    <t xml:space="preserve"> BREITHOFF </t>
  </si>
  <si>
    <t xml:space="preserve"> BELZ </t>
  </si>
  <si>
    <t xml:space="preserve"> LONGETTI </t>
  </si>
  <si>
    <t xml:space="preserve"> SARGOS </t>
  </si>
  <si>
    <t xml:space="preserve"> POINTEAU </t>
  </si>
  <si>
    <t xml:space="preserve"> ST QUENTIN LES ANGES T.Ta </t>
  </si>
  <si>
    <t xml:space="preserve"> MILLES </t>
  </si>
  <si>
    <t xml:space="preserve"> GAUCHERELLE </t>
  </si>
  <si>
    <t xml:space="preserve"> GUENY </t>
  </si>
  <si>
    <t xml:space="preserve"> BONTANT </t>
  </si>
  <si>
    <t xml:space="preserve"> Montbron Club Pongiste </t>
  </si>
  <si>
    <t xml:space="preserve"> VEYSSEIRE </t>
  </si>
  <si>
    <t xml:space="preserve"> DAURIOS </t>
  </si>
  <si>
    <t xml:space="preserve"> Diego </t>
  </si>
  <si>
    <t xml:space="preserve"> DEVILLERS </t>
  </si>
  <si>
    <t xml:space="preserve"> LUTTENBACHER </t>
  </si>
  <si>
    <t xml:space="preserve"> GEFART </t>
  </si>
  <si>
    <t xml:space="preserve"> BERDOT </t>
  </si>
  <si>
    <t xml:space="preserve"> TINEL </t>
  </si>
  <si>
    <t xml:space="preserve"> BEAUGE </t>
  </si>
  <si>
    <t xml:space="preserve"> SATTA </t>
  </si>
  <si>
    <t xml:space="preserve"> DEBETTE </t>
  </si>
  <si>
    <t xml:space="preserve"> PRASASOUKH </t>
  </si>
  <si>
    <t xml:space="preserve"> Chantha </t>
  </si>
  <si>
    <t xml:space="preserve"> RAMPIN </t>
  </si>
  <si>
    <t xml:space="preserve"> TURK </t>
  </si>
  <si>
    <t xml:space="preserve"> CHAMBIRON </t>
  </si>
  <si>
    <t xml:space="preserve"> DE GROOTE </t>
  </si>
  <si>
    <t xml:space="preserve"> A.P. ABILLY </t>
  </si>
  <si>
    <t xml:space="preserve"> CHIAPPINI </t>
  </si>
  <si>
    <t xml:space="preserve"> DEMARCHE </t>
  </si>
  <si>
    <t xml:space="preserve"> MORA </t>
  </si>
  <si>
    <t xml:space="preserve"> GUILLIN </t>
  </si>
  <si>
    <t xml:space="preserve"> MIGLIOLI </t>
  </si>
  <si>
    <t xml:space="preserve"> DONNADIEU </t>
  </si>
  <si>
    <t xml:space="preserve"> FERRIGNO </t>
  </si>
  <si>
    <t xml:space="preserve"> THOREZ </t>
  </si>
  <si>
    <t xml:space="preserve"> FRANCHOIS </t>
  </si>
  <si>
    <t xml:space="preserve"> APP SALLES CURAN </t>
  </si>
  <si>
    <t xml:space="preserve"> YVERT </t>
  </si>
  <si>
    <t xml:space="preserve"> KIEHL </t>
  </si>
  <si>
    <t xml:space="preserve"> CORNIERE </t>
  </si>
  <si>
    <t xml:space="preserve"> DECOMBE </t>
  </si>
  <si>
    <t xml:space="preserve"> DADU </t>
  </si>
  <si>
    <t xml:space="preserve"> CHANTEBEL </t>
  </si>
  <si>
    <t xml:space="preserve"> KIJOWSKI </t>
  </si>
  <si>
    <t xml:space="preserve"> GRASSART </t>
  </si>
  <si>
    <t xml:space="preserve"> BOST </t>
  </si>
  <si>
    <t xml:space="preserve"> POTHIER </t>
  </si>
  <si>
    <t xml:space="preserve"> DESSOLIER </t>
  </si>
  <si>
    <t xml:space="preserve"> LECHENE </t>
  </si>
  <si>
    <t xml:space="preserve"> DESSAUNY </t>
  </si>
  <si>
    <t xml:space="preserve"> VESTU </t>
  </si>
  <si>
    <t xml:space="preserve"> BOUCLET </t>
  </si>
  <si>
    <t xml:space="preserve"> ACHET </t>
  </si>
  <si>
    <t xml:space="preserve"> CERVINKA </t>
  </si>
  <si>
    <t xml:space="preserve"> PAIMPOL </t>
  </si>
  <si>
    <t xml:space="preserve"> PODEVIN </t>
  </si>
  <si>
    <t xml:space="preserve"> BENBRAHIM </t>
  </si>
  <si>
    <t xml:space="preserve"> BARTH </t>
  </si>
  <si>
    <t xml:space="preserve"> GOVIGNON </t>
  </si>
  <si>
    <t xml:space="preserve"> CHRZANOWSKI </t>
  </si>
  <si>
    <t xml:space="preserve"> GRAND-FORT-PHILIPPE TTC </t>
  </si>
  <si>
    <t xml:space="preserve"> COSTENTIN </t>
  </si>
  <si>
    <t xml:space="preserve"> Jean Pierre </t>
  </si>
  <si>
    <t xml:space="preserve"> COURNEZ </t>
  </si>
  <si>
    <t xml:space="preserve"> CANIOT </t>
  </si>
  <si>
    <t xml:space="preserve"> BARNABE </t>
  </si>
  <si>
    <t xml:space="preserve"> MILITON </t>
  </si>
  <si>
    <t xml:space="preserve"> GUENAUX </t>
  </si>
  <si>
    <t xml:space="preserve"> CLOT </t>
  </si>
  <si>
    <t xml:space="preserve"> PATRON </t>
  </si>
  <si>
    <t xml:space="preserve"> KERNEC </t>
  </si>
  <si>
    <t xml:space="preserve"> CTT ERDEVEN-BELZ </t>
  </si>
  <si>
    <t xml:space="preserve"> VANVEUREN </t>
  </si>
  <si>
    <t xml:space="preserve"> LALLOUE </t>
  </si>
  <si>
    <t xml:space="preserve"> GUERREIRO </t>
  </si>
  <si>
    <t xml:space="preserve"> CHAMARD </t>
  </si>
  <si>
    <t xml:space="preserve"> QUILLIVIC </t>
  </si>
  <si>
    <t xml:space="preserve"> HEAS </t>
  </si>
  <si>
    <t xml:space="preserve"> DOUVENOT </t>
  </si>
  <si>
    <t xml:space="preserve"> BAILLARGEAU </t>
  </si>
  <si>
    <t xml:space="preserve"> WERNERT </t>
  </si>
  <si>
    <t xml:space="preserve"> GRANSARD </t>
  </si>
  <si>
    <t xml:space="preserve"> MASSONI </t>
  </si>
  <si>
    <t xml:space="preserve"> MOUSSY </t>
  </si>
  <si>
    <t xml:space="preserve"> NERI </t>
  </si>
  <si>
    <t xml:space="preserve"> ARTRU </t>
  </si>
  <si>
    <t xml:space="preserve"> MENESSIER </t>
  </si>
  <si>
    <t xml:space="preserve"> PRATS </t>
  </si>
  <si>
    <t xml:space="preserve"> PONTOIZEAU </t>
  </si>
  <si>
    <t xml:space="preserve"> MERCHIER </t>
  </si>
  <si>
    <t xml:space="preserve"> MAUFROIS </t>
  </si>
  <si>
    <t xml:space="preserve"> LATANNE </t>
  </si>
  <si>
    <t xml:space="preserve"> RIBLET </t>
  </si>
  <si>
    <t xml:space="preserve"> FREBOURG </t>
  </si>
  <si>
    <t xml:space="preserve"> GUIBRET </t>
  </si>
  <si>
    <t xml:space="preserve"> LEMERRE </t>
  </si>
  <si>
    <t xml:space="preserve"> RAMAHERISON </t>
  </si>
  <si>
    <t xml:space="preserve"> RATISSEAU </t>
  </si>
  <si>
    <t xml:space="preserve"> TREGLOS </t>
  </si>
  <si>
    <t xml:space="preserve"> DE VLIEGER </t>
  </si>
  <si>
    <t xml:space="preserve"> REBOT </t>
  </si>
  <si>
    <t xml:space="preserve"> PAOLANTONACCI </t>
  </si>
  <si>
    <t xml:space="preserve"> MEBOLD </t>
  </si>
  <si>
    <t xml:space="preserve"> RIMET </t>
  </si>
  <si>
    <t xml:space="preserve"> FERRAPIE </t>
  </si>
  <si>
    <t xml:space="preserve"> LEPARMENTIER </t>
  </si>
  <si>
    <t xml:space="preserve"> JEANCLAUDE </t>
  </si>
  <si>
    <t xml:space="preserve"> OLIVENCIA </t>
  </si>
  <si>
    <t xml:space="preserve"> MAUNIT </t>
  </si>
  <si>
    <t xml:space="preserve"> ENT. VOUJEAUCOURT ETOUVAN </t>
  </si>
  <si>
    <t xml:space="preserve"> GALLES </t>
  </si>
  <si>
    <t xml:space="preserve"> E.P. GRACAY-GENOUILLY </t>
  </si>
  <si>
    <t xml:space="preserve"> VAGUET </t>
  </si>
  <si>
    <t xml:space="preserve"> MALBO </t>
  </si>
  <si>
    <t xml:space="preserve"> MAURATILLE </t>
  </si>
  <si>
    <t xml:space="preserve"> MEZELI </t>
  </si>
  <si>
    <t xml:space="preserve"> KAUFLING </t>
  </si>
  <si>
    <t xml:space="preserve"> TROISPOILS </t>
  </si>
  <si>
    <t xml:space="preserve"> THEPENIER </t>
  </si>
  <si>
    <t xml:space="preserve"> PALAZZO </t>
  </si>
  <si>
    <t xml:space="preserve"> MARGERIT </t>
  </si>
  <si>
    <t xml:space="preserve"> TROCHON </t>
  </si>
  <si>
    <t xml:space="preserve"> TRIGALOUX </t>
  </si>
  <si>
    <t xml:space="preserve"> ROGERIE </t>
  </si>
  <si>
    <t xml:space="preserve"> DUCOMMUN </t>
  </si>
  <si>
    <t xml:space="preserve"> JAU </t>
  </si>
  <si>
    <t xml:space="preserve"> DORNEZ </t>
  </si>
  <si>
    <t xml:space="preserve"> BUSON </t>
  </si>
  <si>
    <t xml:space="preserve"> LE CLOIREC </t>
  </si>
  <si>
    <t xml:space="preserve"> CLERMONT </t>
  </si>
  <si>
    <t xml:space="preserve"> Van man </t>
  </si>
  <si>
    <t xml:space="preserve"> BRANLARD </t>
  </si>
  <si>
    <t xml:space="preserve"> A.S.P.T.T. TOURS </t>
  </si>
  <si>
    <t xml:space="preserve"> CAGNOL </t>
  </si>
  <si>
    <t xml:space="preserve"> LE MINEUR </t>
  </si>
  <si>
    <t xml:space="preserve"> REMON </t>
  </si>
  <si>
    <t xml:space="preserve"> ROHAUT </t>
  </si>
  <si>
    <t xml:space="preserve"> BURNIER </t>
  </si>
  <si>
    <t xml:space="preserve"> REAU </t>
  </si>
  <si>
    <t xml:space="preserve"> SOLEILHAC </t>
  </si>
  <si>
    <t xml:space="preserve"> DUBOURG </t>
  </si>
  <si>
    <t xml:space="preserve"> VEYSSET-RAPAPORT </t>
  </si>
  <si>
    <t xml:space="preserve"> BRAQUET </t>
  </si>
  <si>
    <t xml:space="preserve"> HURTREL </t>
  </si>
  <si>
    <t xml:space="preserve"> DRANCEY </t>
  </si>
  <si>
    <t xml:space="preserve"> BELLETESTE </t>
  </si>
  <si>
    <t xml:space="preserve"> BEYNET </t>
  </si>
  <si>
    <t xml:space="preserve"> RANNOUX </t>
  </si>
  <si>
    <t xml:space="preserve"> MOUSTER </t>
  </si>
  <si>
    <t xml:space="preserve"> SIMAILLEAU </t>
  </si>
  <si>
    <t xml:space="preserve"> TOUCHES (LES) </t>
  </si>
  <si>
    <t xml:space="preserve"> HEYD </t>
  </si>
  <si>
    <t xml:space="preserve"> RIOUALEN </t>
  </si>
  <si>
    <t xml:space="preserve"> BEDNAREK </t>
  </si>
  <si>
    <t xml:space="preserve"> ALCATEL ATLANTIQUE </t>
  </si>
  <si>
    <t xml:space="preserve"> BECHEMIN </t>
  </si>
  <si>
    <t xml:space="preserve"> SAGNIER </t>
  </si>
  <si>
    <t xml:space="preserve"> DUFOURNEAU </t>
  </si>
  <si>
    <t xml:space="preserve"> PPC VILLEFRANCHOIS </t>
  </si>
  <si>
    <t xml:space="preserve"> CAGNEAUX </t>
  </si>
  <si>
    <t xml:space="preserve"> DOUSSET </t>
  </si>
  <si>
    <t xml:space="preserve"> SOINARD </t>
  </si>
  <si>
    <t xml:space="preserve"> RUGGERI </t>
  </si>
  <si>
    <t xml:space="preserve"> CLUB TENNIS DE TABLE AUPS </t>
  </si>
  <si>
    <t xml:space="preserve"> REUNGOAT </t>
  </si>
  <si>
    <t xml:space="preserve"> DALONGEVILLE </t>
  </si>
  <si>
    <t xml:space="preserve"> FERRANDEZ </t>
  </si>
  <si>
    <t xml:space="preserve"> LAFOND </t>
  </si>
  <si>
    <t xml:space="preserve"> MOUZET </t>
  </si>
  <si>
    <t xml:space="preserve"> SABA </t>
  </si>
  <si>
    <t xml:space="preserve"> LUCOT </t>
  </si>
  <si>
    <t xml:space="preserve"> MOURMELON Tennis de Table </t>
  </si>
  <si>
    <t xml:space="preserve"> LOARER </t>
  </si>
  <si>
    <t xml:space="preserve"> SEYFRIED </t>
  </si>
  <si>
    <t xml:space="preserve"> BARBAUT </t>
  </si>
  <si>
    <t xml:space="preserve"> AGRARIO </t>
  </si>
  <si>
    <t xml:space="preserve"> Franco </t>
  </si>
  <si>
    <t xml:space="preserve"> LABOUREL </t>
  </si>
  <si>
    <t xml:space="preserve"> LANNELONGUE </t>
  </si>
  <si>
    <t xml:space="preserve"> CP DU BAS ARMAGNAC </t>
  </si>
  <si>
    <t xml:space="preserve"> PILLON </t>
  </si>
  <si>
    <t xml:space="preserve"> DOMART/LA LUCE TT </t>
  </si>
  <si>
    <t xml:space="preserve"> MORAIN </t>
  </si>
  <si>
    <t xml:space="preserve"> A S P O CHATEAUROUX </t>
  </si>
  <si>
    <t xml:space="preserve"> BARTUCCI </t>
  </si>
  <si>
    <t xml:space="preserve"> ALINGERY </t>
  </si>
  <si>
    <t xml:space="preserve"> PAYER </t>
  </si>
  <si>
    <t xml:space="preserve"> CROUY ASTT </t>
  </si>
  <si>
    <t xml:space="preserve"> GAUGIEN </t>
  </si>
  <si>
    <t xml:space="preserve"> SEVER </t>
  </si>
  <si>
    <t xml:space="preserve"> MARSAUD </t>
  </si>
  <si>
    <t xml:space="preserve"> JEFFROY </t>
  </si>
  <si>
    <t xml:space="preserve"> QUINETTE </t>
  </si>
  <si>
    <t xml:space="preserve"> VAAST </t>
  </si>
  <si>
    <t xml:space="preserve"> DALIN </t>
  </si>
  <si>
    <t xml:space="preserve"> BRES </t>
  </si>
  <si>
    <t xml:space="preserve"> WARDYN </t>
  </si>
  <si>
    <t xml:space="preserve"> CARNEY </t>
  </si>
  <si>
    <t xml:space="preserve"> CHAGUE </t>
  </si>
  <si>
    <t xml:space="preserve"> LAOUET </t>
  </si>
  <si>
    <t xml:space="preserve"> TITON </t>
  </si>
  <si>
    <t xml:space="preserve"> BERRY </t>
  </si>
  <si>
    <t xml:space="preserve"> DEVIN </t>
  </si>
  <si>
    <t xml:space="preserve"> TREDEZ </t>
  </si>
  <si>
    <t xml:space="preserve"> PRINTEMPS </t>
  </si>
  <si>
    <t xml:space="preserve"> Sabino </t>
  </si>
  <si>
    <t xml:space="preserve"> PREAU </t>
  </si>
  <si>
    <t xml:space="preserve"> BELLAND </t>
  </si>
  <si>
    <t xml:space="preserve"> MALKI </t>
  </si>
  <si>
    <t xml:space="preserve"> EBER </t>
  </si>
  <si>
    <t xml:space="preserve"> CHRISTMANN </t>
  </si>
  <si>
    <t xml:space="preserve"> GEYSSENS </t>
  </si>
  <si>
    <t xml:space="preserve"> L'HOSTIS </t>
  </si>
  <si>
    <t xml:space="preserve"> TOUBLANC </t>
  </si>
  <si>
    <t xml:space="preserve"> BOIDOT </t>
  </si>
  <si>
    <t xml:space="preserve"> GROSS </t>
  </si>
  <si>
    <t xml:space="preserve"> CARADEUC </t>
  </si>
  <si>
    <t xml:space="preserve"> SZABASON </t>
  </si>
  <si>
    <t xml:space="preserve"> OBERLE </t>
  </si>
  <si>
    <t xml:space="preserve"> JOUFREAU </t>
  </si>
  <si>
    <t xml:space="preserve"> IRVOAS </t>
  </si>
  <si>
    <t xml:space="preserve"> TY </t>
  </si>
  <si>
    <t xml:space="preserve"> Sohor </t>
  </si>
  <si>
    <t xml:space="preserve"> ASTT CHAMPS/MARNE </t>
  </si>
  <si>
    <t xml:space="preserve"> WATIEZ BERTHIER </t>
  </si>
  <si>
    <t xml:space="preserve"> POLLART </t>
  </si>
  <si>
    <t xml:space="preserve"> DENHEZ </t>
  </si>
  <si>
    <t xml:space="preserve"> LOUIS DIT BINET </t>
  </si>
  <si>
    <t xml:space="preserve"> TOURVILLE SUR ODON ASLO </t>
  </si>
  <si>
    <t xml:space="preserve"> CARASCO </t>
  </si>
  <si>
    <t xml:space="preserve"> CANIN </t>
  </si>
  <si>
    <t xml:space="preserve"> CAUVIN </t>
  </si>
  <si>
    <t xml:space="preserve"> LEMARIEY </t>
  </si>
  <si>
    <t xml:space="preserve"> SCHULCZ </t>
  </si>
  <si>
    <t xml:space="preserve"> TOURNAY </t>
  </si>
  <si>
    <t xml:space="preserve"> BANDIERA </t>
  </si>
  <si>
    <t xml:space="preserve"> Angelo </t>
  </si>
  <si>
    <t xml:space="preserve"> MERSCH </t>
  </si>
  <si>
    <t xml:space="preserve"> RAISIN </t>
  </si>
  <si>
    <t xml:space="preserve"> Dann </t>
  </si>
  <si>
    <t xml:space="preserve"> LESCOB </t>
  </si>
  <si>
    <t xml:space="preserve"> LE  TALLEC </t>
  </si>
  <si>
    <t xml:space="preserve"> TOMASZCZYK </t>
  </si>
  <si>
    <t xml:space="preserve"> BOUHIER </t>
  </si>
  <si>
    <t xml:space="preserve"> BEAUVINEAU </t>
  </si>
  <si>
    <t xml:space="preserve"> TERNAUX </t>
  </si>
  <si>
    <t xml:space="preserve"> SIGWALT </t>
  </si>
  <si>
    <t xml:space="preserve"> DREVET </t>
  </si>
  <si>
    <t xml:space="preserve"> DANANCHER </t>
  </si>
  <si>
    <t xml:space="preserve"> AGOSTINI </t>
  </si>
  <si>
    <t xml:space="preserve"> FRETEL </t>
  </si>
  <si>
    <t xml:space="preserve"> COEFFEC </t>
  </si>
  <si>
    <t xml:space="preserve"> DALIBARD </t>
  </si>
  <si>
    <t xml:space="preserve"> GILARDOT </t>
  </si>
  <si>
    <t xml:space="preserve"> JOYAUX </t>
  </si>
  <si>
    <t xml:space="preserve"> ERB </t>
  </si>
  <si>
    <t xml:space="preserve"> PASSARD </t>
  </si>
  <si>
    <t xml:space="preserve"> JEROME </t>
  </si>
  <si>
    <t xml:space="preserve"> MICHELY </t>
  </si>
  <si>
    <t xml:space="preserve"> CENAC </t>
  </si>
  <si>
    <t xml:space="preserve"> BEUZART </t>
  </si>
  <si>
    <t xml:space="preserve"> LABIT </t>
  </si>
  <si>
    <t xml:space="preserve"> GOAPPER </t>
  </si>
  <si>
    <t xml:space="preserve"> DELCHIER </t>
  </si>
  <si>
    <t xml:space="preserve"> LEPRINCE </t>
  </si>
  <si>
    <t xml:space="preserve"> TEXEIRA ALVES </t>
  </si>
  <si>
    <t xml:space="preserve"> Carolino </t>
  </si>
  <si>
    <t xml:space="preserve"> VU VAN </t>
  </si>
  <si>
    <t xml:space="preserve"> Hai-vincent </t>
  </si>
  <si>
    <t xml:space="preserve"> BERNAT </t>
  </si>
  <si>
    <t xml:space="preserve"> MARCHANDE </t>
  </si>
  <si>
    <t xml:space="preserve"> DEVIENNE </t>
  </si>
  <si>
    <t xml:space="preserve"> BARDU </t>
  </si>
  <si>
    <t xml:space="preserve"> CHOCRAUX </t>
  </si>
  <si>
    <t xml:space="preserve"> SERRAND </t>
  </si>
  <si>
    <t xml:space="preserve"> GOOSSE </t>
  </si>
  <si>
    <t xml:space="preserve"> BRONNER </t>
  </si>
  <si>
    <t xml:space="preserve"> PIVETEAU </t>
  </si>
  <si>
    <t xml:space="preserve"> TETEFOLLE </t>
  </si>
  <si>
    <t xml:space="preserve"> AMOUYAL </t>
  </si>
  <si>
    <t xml:space="preserve"> DALLARD </t>
  </si>
  <si>
    <t xml:space="preserve"> HENNEBELLE </t>
  </si>
  <si>
    <t xml:space="preserve"> CONRAD </t>
  </si>
  <si>
    <t xml:space="preserve"> MOBISA </t>
  </si>
  <si>
    <t xml:space="preserve"> ANDREIS </t>
  </si>
  <si>
    <t xml:space="preserve"> MADIONA </t>
  </si>
  <si>
    <t xml:space="preserve"> POULLAIN </t>
  </si>
  <si>
    <t xml:space="preserve"> T.T.DRUYES LES B.FONTAINE </t>
  </si>
  <si>
    <t xml:space="preserve"> GUIDAL </t>
  </si>
  <si>
    <t xml:space="preserve"> La Ferrière SL </t>
  </si>
  <si>
    <t xml:space="preserve"> SUTRE </t>
  </si>
  <si>
    <t xml:space="preserve"> SIMONKLEIN </t>
  </si>
  <si>
    <t xml:space="preserve"> TERFI </t>
  </si>
  <si>
    <t xml:space="preserve"> TRAMONI </t>
  </si>
  <si>
    <t xml:space="preserve"> CLUB PONGISTE SARTENE </t>
  </si>
  <si>
    <t xml:space="preserve"> LALANNE </t>
  </si>
  <si>
    <t xml:space="preserve"> SAUSSET </t>
  </si>
  <si>
    <t xml:space="preserve"> DANIERE </t>
  </si>
  <si>
    <t xml:space="preserve"> LAHET </t>
  </si>
  <si>
    <t xml:space="preserve"> RIVALLAIN </t>
  </si>
  <si>
    <t xml:space="preserve"> COZIC </t>
  </si>
  <si>
    <t xml:space="preserve"> LOPVET </t>
  </si>
  <si>
    <t xml:space="preserve"> REVEILLARD </t>
  </si>
  <si>
    <t xml:space="preserve"> TA DIT TADUC </t>
  </si>
  <si>
    <t xml:space="preserve"> RADUREAU </t>
  </si>
  <si>
    <t xml:space="preserve"> VOTHANH </t>
  </si>
  <si>
    <t xml:space="preserve"> PATERNOSTER </t>
  </si>
  <si>
    <t xml:space="preserve"> LE GOUX </t>
  </si>
  <si>
    <t xml:space="preserve"> PONTHIEU </t>
  </si>
  <si>
    <t xml:space="preserve"> AS MONTECH TT </t>
  </si>
  <si>
    <t xml:space="preserve"> GARVI </t>
  </si>
  <si>
    <t xml:space="preserve"> BOUTTER </t>
  </si>
  <si>
    <t xml:space="preserve"> LE DUAULT </t>
  </si>
  <si>
    <t xml:space="preserve"> COGNET </t>
  </si>
  <si>
    <t xml:space="preserve"> GUERRIN </t>
  </si>
  <si>
    <t xml:space="preserve"> SACQUARD </t>
  </si>
  <si>
    <t xml:space="preserve"> CHAINEAU </t>
  </si>
  <si>
    <t xml:space="preserve"> JOUGUET </t>
  </si>
  <si>
    <t xml:space="preserve"> GOURTAY </t>
  </si>
  <si>
    <t xml:space="preserve"> MICHALON </t>
  </si>
  <si>
    <t xml:space="preserve"> GARCIN </t>
  </si>
  <si>
    <t xml:space="preserve"> VANIER </t>
  </si>
  <si>
    <t xml:space="preserve"> HELUIN </t>
  </si>
  <si>
    <t xml:space="preserve"> COLLEAUX </t>
  </si>
  <si>
    <t xml:space="preserve"> INDRE A.T.T. </t>
  </si>
  <si>
    <t xml:space="preserve"> FUCHS </t>
  </si>
  <si>
    <t xml:space="preserve"> QUIEC </t>
  </si>
  <si>
    <t xml:space="preserve"> JOSEPHINE </t>
  </si>
  <si>
    <t xml:space="preserve"> VIGER </t>
  </si>
  <si>
    <t xml:space="preserve"> CANTAT </t>
  </si>
  <si>
    <t xml:space="preserve"> BUZON </t>
  </si>
  <si>
    <t xml:space="preserve"> CSL NOUVELLE FRANCE </t>
  </si>
  <si>
    <t xml:space="preserve"> COTE </t>
  </si>
  <si>
    <t xml:space="preserve"> MORNON </t>
  </si>
  <si>
    <t xml:space="preserve"> DIACRE-PIEPLU </t>
  </si>
  <si>
    <t xml:space="preserve"> GERON </t>
  </si>
  <si>
    <t xml:space="preserve"> THRO </t>
  </si>
  <si>
    <t xml:space="preserve"> Benigne </t>
  </si>
  <si>
    <t xml:space="preserve"> JEANNIN </t>
  </si>
  <si>
    <t xml:space="preserve"> PREVOTEAU </t>
  </si>
  <si>
    <t xml:space="preserve"> QUENU </t>
  </si>
  <si>
    <t xml:space="preserve"> ST FUSCIEN TT </t>
  </si>
  <si>
    <t xml:space="preserve"> LECHELARD </t>
  </si>
  <si>
    <t xml:space="preserve"> IDOUX </t>
  </si>
  <si>
    <t xml:space="preserve"> COULAN </t>
  </si>
  <si>
    <t xml:space="preserve"> ROUDOT </t>
  </si>
  <si>
    <t xml:space="preserve"> RENAUDIE </t>
  </si>
  <si>
    <t xml:space="preserve"> LE CORNEC </t>
  </si>
  <si>
    <t xml:space="preserve"> GARO </t>
  </si>
  <si>
    <t xml:space="preserve"> DUTOUQUET </t>
  </si>
  <si>
    <t xml:space="preserve"> CARIME </t>
  </si>
  <si>
    <t xml:space="preserve"> Malik </t>
  </si>
  <si>
    <t xml:space="preserve"> RENOULT </t>
  </si>
  <si>
    <t xml:space="preserve"> OCHS </t>
  </si>
  <si>
    <t xml:space="preserve"> LE SAUX </t>
  </si>
  <si>
    <t xml:space="preserve"> JUGELE </t>
  </si>
  <si>
    <t xml:space="preserve"> TANLET </t>
  </si>
  <si>
    <t xml:space="preserve"> DAUTEZ </t>
  </si>
  <si>
    <t xml:space="preserve"> DE BLIECK </t>
  </si>
  <si>
    <t xml:space="preserve"> LARBRE </t>
  </si>
  <si>
    <t xml:space="preserve"> PERBOST </t>
  </si>
  <si>
    <t xml:space="preserve"> BRULÉ </t>
  </si>
  <si>
    <t xml:space="preserve"> MORLOT </t>
  </si>
  <si>
    <t xml:space="preserve"> GASPERMENT </t>
  </si>
  <si>
    <t xml:space="preserve"> ROLANDIN </t>
  </si>
  <si>
    <t xml:space="preserve"> REQUET </t>
  </si>
  <si>
    <t xml:space="preserve"> ENTENTE SPORTIVE ERBREENN </t>
  </si>
  <si>
    <t xml:space="preserve"> KERHOMEN </t>
  </si>
  <si>
    <t xml:space="preserve"> DARIUS </t>
  </si>
  <si>
    <t xml:space="preserve"> RUELLEUX </t>
  </si>
  <si>
    <t xml:space="preserve"> LEBORLOCH </t>
  </si>
  <si>
    <t xml:space="preserve"> DROIT </t>
  </si>
  <si>
    <t xml:space="preserve"> MESIERES </t>
  </si>
  <si>
    <t xml:space="preserve"> Cassam </t>
  </si>
  <si>
    <t xml:space="preserve"> FERRADOU </t>
  </si>
  <si>
    <t xml:space="preserve"> Union Sportive Marmanhaco </t>
  </si>
  <si>
    <t xml:space="preserve"> DRAUX </t>
  </si>
  <si>
    <t xml:space="preserve"> BOISSENIN </t>
  </si>
  <si>
    <t xml:space="preserve"> MONTOURCY </t>
  </si>
  <si>
    <t xml:space="preserve"> BOUGARD </t>
  </si>
  <si>
    <t xml:space="preserve"> FACQUIER </t>
  </si>
  <si>
    <t xml:space="preserve"> VERVIALLE </t>
  </si>
  <si>
    <t xml:space="preserve"> PLANTÉ </t>
  </si>
  <si>
    <t xml:space="preserve"> ALTMAN </t>
  </si>
  <si>
    <t xml:space="preserve"> BLAES </t>
  </si>
  <si>
    <t xml:space="preserve"> LAUTIER </t>
  </si>
  <si>
    <t xml:space="preserve"> FERRARO </t>
  </si>
  <si>
    <t xml:space="preserve"> NELSON </t>
  </si>
  <si>
    <t xml:space="preserve"> DESVERGEZ </t>
  </si>
  <si>
    <t xml:space="preserve"> TE </t>
  </si>
  <si>
    <t xml:space="preserve"> LE FOULON </t>
  </si>
  <si>
    <t xml:space="preserve"> PAQUET </t>
  </si>
  <si>
    <t xml:space="preserve"> Jean Hugues </t>
  </si>
  <si>
    <t xml:space="preserve"> CREPY TT </t>
  </si>
  <si>
    <t xml:space="preserve"> GREIB </t>
  </si>
  <si>
    <t xml:space="preserve"> VERBRUGGE </t>
  </si>
  <si>
    <t xml:space="preserve"> Gauthier </t>
  </si>
  <si>
    <t xml:space="preserve"> THORETON </t>
  </si>
  <si>
    <t xml:space="preserve"> BOCK </t>
  </si>
  <si>
    <t xml:space="preserve"> LILLY AS Tennis de Table </t>
  </si>
  <si>
    <t xml:space="preserve"> NERCESSIAN </t>
  </si>
  <si>
    <t xml:space="preserve"> ROHR </t>
  </si>
  <si>
    <t xml:space="preserve"> ZUMAQUERO </t>
  </si>
  <si>
    <t xml:space="preserve"> BRICOUT </t>
  </si>
  <si>
    <t xml:space="preserve"> AVENEL </t>
  </si>
  <si>
    <t xml:space="preserve"> MAZARIN </t>
  </si>
  <si>
    <t xml:space="preserve"> LUSTRAT </t>
  </si>
  <si>
    <t xml:space="preserve"> GUEIDAN </t>
  </si>
  <si>
    <t xml:space="preserve"> MONZEL </t>
  </si>
  <si>
    <t xml:space="preserve"> LEMELTIER </t>
  </si>
  <si>
    <t xml:space="preserve"> SIVET </t>
  </si>
  <si>
    <t xml:space="preserve"> HANESSE </t>
  </si>
  <si>
    <t xml:space="preserve"> FINET </t>
  </si>
  <si>
    <t xml:space="preserve"> Flavien </t>
  </si>
  <si>
    <t xml:space="preserve"> ANDREOLETTI </t>
  </si>
  <si>
    <t xml:space="preserve"> DELVIGNE </t>
  </si>
  <si>
    <t xml:space="preserve"> HUITOREL </t>
  </si>
  <si>
    <t xml:space="preserve"> MOREL JEAN </t>
  </si>
  <si>
    <t xml:space="preserve"> MIOSSEC </t>
  </si>
  <si>
    <t xml:space="preserve"> ROULLEAUX </t>
  </si>
  <si>
    <t xml:space="preserve"> KERSON </t>
  </si>
  <si>
    <t xml:space="preserve"> SACRISTAN </t>
  </si>
  <si>
    <t xml:space="preserve"> SACLAY ASCEA </t>
  </si>
  <si>
    <t xml:space="preserve"> CUISSARD </t>
  </si>
  <si>
    <t xml:space="preserve"> POLETTI </t>
  </si>
  <si>
    <t xml:space="preserve"> LE DOEUFF </t>
  </si>
  <si>
    <t xml:space="preserve"> LE RET </t>
  </si>
  <si>
    <t xml:space="preserve"> ETCHART </t>
  </si>
  <si>
    <t xml:space="preserve"> GUIDET </t>
  </si>
  <si>
    <t xml:space="preserve"> TOURNEUX </t>
  </si>
  <si>
    <t xml:space="preserve"> CAPEZ </t>
  </si>
  <si>
    <t xml:space="preserve"> SO </t>
  </si>
  <si>
    <t xml:space="preserve"> Bonamy </t>
  </si>
  <si>
    <t xml:space="preserve"> LAFOY </t>
  </si>
  <si>
    <t xml:space="preserve"> GRUNHERTZ </t>
  </si>
  <si>
    <t xml:space="preserve"> BROUX </t>
  </si>
  <si>
    <t xml:space="preserve"> MISERAY </t>
  </si>
  <si>
    <t xml:space="preserve"> BODENNE </t>
  </si>
  <si>
    <t xml:space="preserve"> RATAJCZAK </t>
  </si>
  <si>
    <t xml:space="preserve"> CHOLIEU </t>
  </si>
  <si>
    <t xml:space="preserve"> MOUCHART </t>
  </si>
  <si>
    <t xml:space="preserve"> LAUGE </t>
  </si>
  <si>
    <t xml:space="preserve"> CHOMETTE </t>
  </si>
  <si>
    <t xml:space="preserve"> INUSO </t>
  </si>
  <si>
    <t xml:space="preserve"> LUTON </t>
  </si>
  <si>
    <t xml:space="preserve"> MENON </t>
  </si>
  <si>
    <t xml:space="preserve"> LAMANDE </t>
  </si>
  <si>
    <t xml:space="preserve"> COSNIER </t>
  </si>
  <si>
    <t xml:space="preserve"> NEUMANN </t>
  </si>
  <si>
    <t xml:space="preserve"> LANDIER </t>
  </si>
  <si>
    <t xml:space="preserve"> BACHIMONT </t>
  </si>
  <si>
    <t xml:space="preserve"> AGAESSE </t>
  </si>
  <si>
    <t xml:space="preserve"> KAMIERZAC </t>
  </si>
  <si>
    <t xml:space="preserve"> D OVIDIO </t>
  </si>
  <si>
    <t xml:space="preserve"> LEHAIN </t>
  </si>
  <si>
    <t xml:space="preserve"> COTTINEAU </t>
  </si>
  <si>
    <t xml:space="preserve"> MARTINY </t>
  </si>
  <si>
    <t xml:space="preserve"> TT LAURENTAIS </t>
  </si>
  <si>
    <t xml:space="preserve"> COIANIZ </t>
  </si>
  <si>
    <t xml:space="preserve"> COSSENET </t>
  </si>
  <si>
    <t xml:space="preserve"> DERRIEN </t>
  </si>
  <si>
    <t xml:space="preserve"> BURBAN </t>
  </si>
  <si>
    <t xml:space="preserve"> FRELAUT </t>
  </si>
  <si>
    <t xml:space="preserve"> PIATKOWSKI </t>
  </si>
  <si>
    <t xml:space="preserve"> BREY </t>
  </si>
  <si>
    <t xml:space="preserve"> CHAUPRADE </t>
  </si>
  <si>
    <t xml:space="preserve"> RATOUIT </t>
  </si>
  <si>
    <t xml:space="preserve"> MESSAGER </t>
  </si>
  <si>
    <t xml:space="preserve"> CHAMBE </t>
  </si>
  <si>
    <t xml:space="preserve"> ZELLHOEFER </t>
  </si>
  <si>
    <t xml:space="preserve"> HOTTON </t>
  </si>
  <si>
    <t xml:space="preserve"> FRAU </t>
  </si>
  <si>
    <t xml:space="preserve"> POUZIEUX </t>
  </si>
  <si>
    <t xml:space="preserve"> MARTI </t>
  </si>
  <si>
    <t xml:space="preserve"> François-marie </t>
  </si>
  <si>
    <t xml:space="preserve"> ZAGO </t>
  </si>
  <si>
    <t xml:space="preserve"> MERIEAU </t>
  </si>
  <si>
    <t xml:space="preserve"> AZOULA </t>
  </si>
  <si>
    <t xml:space="preserve"> HUMANISPORT 41 </t>
  </si>
  <si>
    <t xml:space="preserve"> WEISSENBERGER </t>
  </si>
  <si>
    <t xml:space="preserve"> THERACHE </t>
  </si>
  <si>
    <t xml:space="preserve"> GAUVREAU </t>
  </si>
  <si>
    <t xml:space="preserve"> ENTENTE BASSES MONEDIERES </t>
  </si>
  <si>
    <t xml:space="preserve"> GABRIEL </t>
  </si>
  <si>
    <t xml:space="preserve"> MARTELLINA </t>
  </si>
  <si>
    <t xml:space="preserve"> FAUCHARD </t>
  </si>
  <si>
    <t xml:space="preserve"> MATURANA </t>
  </si>
  <si>
    <t xml:space="preserve"> VANBIERVLIET </t>
  </si>
  <si>
    <t xml:space="preserve"> MANACH </t>
  </si>
  <si>
    <t xml:space="preserve"> ROUGEAULT </t>
  </si>
  <si>
    <t xml:space="preserve"> GONTHIER </t>
  </si>
  <si>
    <t xml:space="preserve"> DELEGLISE </t>
  </si>
  <si>
    <t xml:space="preserve"> SANDRINI </t>
  </si>
  <si>
    <t xml:space="preserve"> TASTARD </t>
  </si>
  <si>
    <t xml:space="preserve"> RAIMONDI </t>
  </si>
  <si>
    <t xml:space="preserve"> GEBLEUX </t>
  </si>
  <si>
    <t xml:space="preserve"> PATIE </t>
  </si>
  <si>
    <t xml:space="preserve"> BILLAND </t>
  </si>
  <si>
    <t xml:space="preserve"> BORDEL </t>
  </si>
  <si>
    <t xml:space="preserve"> DUIGOU </t>
  </si>
  <si>
    <t xml:space="preserve"> SAIDAOUI </t>
  </si>
  <si>
    <t xml:space="preserve"> CHAPRON </t>
  </si>
  <si>
    <t xml:space="preserve"> BELHAIRE </t>
  </si>
  <si>
    <t xml:space="preserve"> CREMET </t>
  </si>
  <si>
    <t xml:space="preserve"> LE PORCHOU </t>
  </si>
  <si>
    <t xml:space="preserve"> Weiguo </t>
  </si>
  <si>
    <t xml:space="preserve"> MOITET </t>
  </si>
  <si>
    <t xml:space="preserve"> JUMEAU </t>
  </si>
  <si>
    <t xml:space="preserve"> SAARBACH </t>
  </si>
  <si>
    <t xml:space="preserve"> VENZI </t>
  </si>
  <si>
    <t xml:space="preserve"> CHEVILLET </t>
  </si>
  <si>
    <t xml:space="preserve"> PRAUD </t>
  </si>
  <si>
    <t xml:space="preserve"> GENILLON </t>
  </si>
  <si>
    <t xml:space="preserve"> LECUTIEZ </t>
  </si>
  <si>
    <t xml:space="preserve"> DETABLE </t>
  </si>
  <si>
    <t xml:space="preserve"> LE BERT </t>
  </si>
  <si>
    <t xml:space="preserve"> BORDICHINI </t>
  </si>
  <si>
    <t xml:space="preserve"> Italo </t>
  </si>
  <si>
    <t xml:space="preserve"> ARNUT </t>
  </si>
  <si>
    <t xml:space="preserve"> HELLER </t>
  </si>
  <si>
    <t xml:space="preserve"> BAHIER </t>
  </si>
  <si>
    <t xml:space="preserve"> MENARDAIS </t>
  </si>
  <si>
    <t xml:space="preserve"> KERVAHUT </t>
  </si>
  <si>
    <t xml:space="preserve"> PERUCHON </t>
  </si>
  <si>
    <t xml:space="preserve"> SEGUY </t>
  </si>
  <si>
    <t xml:space="preserve"> VILLEJUIF US </t>
  </si>
  <si>
    <t xml:space="preserve"> DESGUE </t>
  </si>
  <si>
    <t xml:space="preserve"> FEUCHER </t>
  </si>
  <si>
    <t xml:space="preserve"> DAVERTON </t>
  </si>
  <si>
    <t xml:space="preserve"> LENTREBECQ </t>
  </si>
  <si>
    <t xml:space="preserve"> CALLO </t>
  </si>
  <si>
    <t xml:space="preserve"> DOUMESCHE </t>
  </si>
  <si>
    <t xml:space="preserve"> GRANJON </t>
  </si>
  <si>
    <t xml:space="preserve"> MONOT </t>
  </si>
  <si>
    <t xml:space="preserve"> DORGERE </t>
  </si>
  <si>
    <t xml:space="preserve"> VANSUYT </t>
  </si>
  <si>
    <t xml:space="preserve"> BACH </t>
  </si>
  <si>
    <t xml:space="preserve"> GUENEGOU </t>
  </si>
  <si>
    <t xml:space="preserve"> GOMEZ </t>
  </si>
  <si>
    <t xml:space="preserve"> SPINA </t>
  </si>
  <si>
    <t xml:space="preserve"> RICO </t>
  </si>
  <si>
    <t xml:space="preserve"> LEYNAUD </t>
  </si>
  <si>
    <t xml:space="preserve"> WURTZ </t>
  </si>
  <si>
    <t xml:space="preserve"> BROQUARD </t>
  </si>
  <si>
    <t xml:space="preserve"> PAILLAS </t>
  </si>
  <si>
    <t xml:space="preserve"> SIMOENS </t>
  </si>
  <si>
    <t xml:space="preserve"> PELGAS </t>
  </si>
  <si>
    <t xml:space="preserve"> GEISKOPP </t>
  </si>
  <si>
    <t xml:space="preserve"> POTHIN </t>
  </si>
  <si>
    <t xml:space="preserve"> VIEUBLE </t>
  </si>
  <si>
    <t xml:space="preserve"> BARBARIT </t>
  </si>
  <si>
    <t xml:space="preserve"> LELOGEAIS </t>
  </si>
  <si>
    <t xml:space="preserve"> BRUYER </t>
  </si>
  <si>
    <t xml:space="preserve"> MAINDRON </t>
  </si>
  <si>
    <t xml:space="preserve"> ENNERY US </t>
  </si>
  <si>
    <t xml:space="preserve"> Jacques-yves </t>
  </si>
  <si>
    <t xml:space="preserve"> LE BEL </t>
  </si>
  <si>
    <t xml:space="preserve"> LE RHUN </t>
  </si>
  <si>
    <t xml:space="preserve"> GONDOUIN </t>
  </si>
  <si>
    <t xml:space="preserve"> SANSALONE </t>
  </si>
  <si>
    <t xml:space="preserve"> CASTILLON </t>
  </si>
  <si>
    <t xml:space="preserve"> Pierre-laurent </t>
  </si>
  <si>
    <t xml:space="preserve"> LEREVEREND </t>
  </si>
  <si>
    <t xml:space="preserve"> DUCASSE </t>
  </si>
  <si>
    <t xml:space="preserve"> AUDRIN </t>
  </si>
  <si>
    <t xml:space="preserve"> RETOURNAC TENNIS DE TABLE </t>
  </si>
  <si>
    <t xml:space="preserve"> TARTU </t>
  </si>
  <si>
    <t xml:space="preserve"> ORZAKIEWICZ </t>
  </si>
  <si>
    <t xml:space="preserve"> VANCAYEZEELE </t>
  </si>
  <si>
    <t xml:space="preserve"> PATRAT </t>
  </si>
  <si>
    <t xml:space="preserve"> ARTIS </t>
  </si>
  <si>
    <t xml:space="preserve"> GAUSMAND </t>
  </si>
  <si>
    <t xml:space="preserve"> TRAMOY </t>
  </si>
  <si>
    <t xml:space="preserve"> DESAI </t>
  </si>
  <si>
    <t xml:space="preserve"> LAXOU AMICALE L.EMILE ZOL </t>
  </si>
  <si>
    <t xml:space="preserve"> CRIOU </t>
  </si>
  <si>
    <t xml:space="preserve"> MINZAGHI </t>
  </si>
  <si>
    <t xml:space="preserve"> VERNOTTE </t>
  </si>
  <si>
    <t xml:space="preserve"> BOUHI </t>
  </si>
  <si>
    <t xml:space="preserve"> BABILLOT </t>
  </si>
  <si>
    <t xml:space="preserve"> CAMUSAT </t>
  </si>
  <si>
    <t xml:space="preserve"> MACHADO </t>
  </si>
  <si>
    <t xml:space="preserve"> CANOURGUE TENNIS DE TABLE </t>
  </si>
  <si>
    <t xml:space="preserve"> IDEZ </t>
  </si>
  <si>
    <t xml:space="preserve"> LARAIZE </t>
  </si>
  <si>
    <t xml:space="preserve"> PAVE </t>
  </si>
  <si>
    <t xml:space="preserve"> BROGARD </t>
  </si>
  <si>
    <t xml:space="preserve"> FIEVET </t>
  </si>
  <si>
    <t xml:space="preserve"> IRZYK </t>
  </si>
  <si>
    <t xml:space="preserve"> CHEZE </t>
  </si>
  <si>
    <t xml:space="preserve"> HOUELCHE </t>
  </si>
  <si>
    <t xml:space="preserve"> GUEANT </t>
  </si>
  <si>
    <t xml:space="preserve"> SCHINI </t>
  </si>
  <si>
    <t xml:space="preserve"> DEPIERREUX </t>
  </si>
  <si>
    <t xml:space="preserve"> MONTMEDY P.P.C.M. </t>
  </si>
  <si>
    <t xml:space="preserve"> VIZUETE </t>
  </si>
  <si>
    <t xml:space="preserve"> FRAZIER </t>
  </si>
  <si>
    <t xml:space="preserve"> BOSMAN </t>
  </si>
  <si>
    <t xml:space="preserve"> GOUTHERAUD </t>
  </si>
  <si>
    <t xml:space="preserve"> CHALIMBAUD </t>
  </si>
  <si>
    <t xml:space="preserve"> HENNION </t>
  </si>
  <si>
    <t xml:space="preserve"> LALMANT </t>
  </si>
  <si>
    <t xml:space="preserve"> CIACNOGHI </t>
  </si>
  <si>
    <t xml:space="preserve"> AIX EN OTHE SDTDT </t>
  </si>
  <si>
    <t xml:space="preserve"> RAUSCHER </t>
  </si>
  <si>
    <t xml:space="preserve"> CROISILLE </t>
  </si>
  <si>
    <t xml:space="preserve"> MINIDOQUE </t>
  </si>
  <si>
    <t xml:space="preserve"> GUERIT </t>
  </si>
  <si>
    <t xml:space="preserve"> BUFFAT </t>
  </si>
  <si>
    <t xml:space="preserve"> OLIM DOS SANTOS </t>
  </si>
  <si>
    <t xml:space="preserve"> José carlos </t>
  </si>
  <si>
    <t xml:space="preserve"> MARETTE </t>
  </si>
  <si>
    <t xml:space="preserve"> WARZEE </t>
  </si>
  <si>
    <t xml:space="preserve"> LACHERY </t>
  </si>
  <si>
    <t xml:space="preserve"> LELOUP </t>
  </si>
  <si>
    <t xml:space="preserve"> METIVIER </t>
  </si>
  <si>
    <t xml:space="preserve"> ALEMANY </t>
  </si>
  <si>
    <t xml:space="preserve"> DERAIN </t>
  </si>
  <si>
    <t xml:space="preserve"> Irenee </t>
  </si>
  <si>
    <t xml:space="preserve"> RIPAUD </t>
  </si>
  <si>
    <t xml:space="preserve"> MEYRANX </t>
  </si>
  <si>
    <t xml:space="preserve"> MAQUIN </t>
  </si>
  <si>
    <t xml:space="preserve"> Herve pascal </t>
  </si>
  <si>
    <t xml:space="preserve"> LAGRANGE </t>
  </si>
  <si>
    <t xml:space="preserve"> JOLIQUIN </t>
  </si>
  <si>
    <t xml:space="preserve"> ENT.PONG.MARIGNY-RILLY </t>
  </si>
  <si>
    <t xml:space="preserve"> DEGARDIN </t>
  </si>
  <si>
    <t xml:space="preserve"> OREVE </t>
  </si>
  <si>
    <t xml:space="preserve"> DUFFAIT </t>
  </si>
  <si>
    <t xml:space="preserve"> JAMAIN </t>
  </si>
  <si>
    <t xml:space="preserve"> ES AMBILLOU </t>
  </si>
  <si>
    <t xml:space="preserve"> CHIAPPOLINI </t>
  </si>
  <si>
    <t xml:space="preserve"> BEAULIEU </t>
  </si>
  <si>
    <t xml:space="preserve"> ADELLON </t>
  </si>
  <si>
    <t xml:space="preserve"> AJ LA BOISSE </t>
  </si>
  <si>
    <t xml:space="preserve"> VALESCH </t>
  </si>
  <si>
    <t xml:space="preserve"> SAULIOT </t>
  </si>
  <si>
    <t xml:space="preserve"> BOULNOIS </t>
  </si>
  <si>
    <t xml:space="preserve"> STENGEL </t>
  </si>
  <si>
    <t xml:space="preserve"> BERNOT </t>
  </si>
  <si>
    <t xml:space="preserve"> COYOT </t>
  </si>
  <si>
    <t xml:space="preserve"> ROC'H </t>
  </si>
  <si>
    <t xml:space="preserve"> DELIENS </t>
  </si>
  <si>
    <t xml:space="preserve"> LARESCHE </t>
  </si>
  <si>
    <t xml:space="preserve"> HOULETTE </t>
  </si>
  <si>
    <t xml:space="preserve"> BAILLEUL ATT </t>
  </si>
  <si>
    <t xml:space="preserve"> BEURIOT </t>
  </si>
  <si>
    <t xml:space="preserve"> LAFAY </t>
  </si>
  <si>
    <t xml:space="preserve"> DUCAROUGE </t>
  </si>
  <si>
    <t xml:space="preserve"> HEINTZ </t>
  </si>
  <si>
    <t xml:space="preserve"> HAYANGE U.S.T.H. T.T. </t>
  </si>
  <si>
    <t xml:space="preserve"> PERSAC </t>
  </si>
  <si>
    <t xml:space="preserve"> J.yves </t>
  </si>
  <si>
    <t xml:space="preserve"> JEANCLER </t>
  </si>
  <si>
    <t xml:space="preserve"> KOWAL </t>
  </si>
  <si>
    <t xml:space="preserve"> ROTARD </t>
  </si>
  <si>
    <t xml:space="preserve"> RICHART </t>
  </si>
  <si>
    <t xml:space="preserve"> SERIEYS </t>
  </si>
  <si>
    <t xml:space="preserve"> TOURMEN </t>
  </si>
  <si>
    <t xml:space="preserve"> GACH </t>
  </si>
  <si>
    <t xml:space="preserve"> ABADIE </t>
  </si>
  <si>
    <t xml:space="preserve"> ICKE </t>
  </si>
  <si>
    <t xml:space="preserve"> BIEFFEILH </t>
  </si>
  <si>
    <t xml:space="preserve"> PAILLOT </t>
  </si>
  <si>
    <t xml:space="preserve"> HUBY </t>
  </si>
  <si>
    <t xml:space="preserve"> LA VAILLANTE TULLINS FURE </t>
  </si>
  <si>
    <t xml:space="preserve"> DILLY </t>
  </si>
  <si>
    <t xml:space="preserve"> CANU </t>
  </si>
  <si>
    <t xml:space="preserve"> QUESSON </t>
  </si>
  <si>
    <t xml:space="preserve"> LE MESTRALLAN </t>
  </si>
  <si>
    <t xml:space="preserve"> MOUILLEAU </t>
  </si>
  <si>
    <t xml:space="preserve"> CENEE </t>
  </si>
  <si>
    <t xml:space="preserve"> PLUBEL </t>
  </si>
  <si>
    <t xml:space="preserve"> LESCIEUX </t>
  </si>
  <si>
    <t xml:space="preserve"> LEHOUILLIER </t>
  </si>
  <si>
    <t xml:space="preserve"> RIDEL </t>
  </si>
  <si>
    <t xml:space="preserve"> CLUB PONGISTE DE ST SAENS </t>
  </si>
  <si>
    <t xml:space="preserve"> COUDE </t>
  </si>
  <si>
    <t xml:space="preserve"> Jean Charles </t>
  </si>
  <si>
    <t xml:space="preserve"> BUGLIERY </t>
  </si>
  <si>
    <t xml:space="preserve"> SIFFRE </t>
  </si>
  <si>
    <t xml:space="preserve"> MAISON </t>
  </si>
  <si>
    <t xml:space="preserve"> MARGET </t>
  </si>
  <si>
    <t xml:space="preserve"> BLONDIN </t>
  </si>
  <si>
    <t xml:space="preserve"> ALBORNA </t>
  </si>
  <si>
    <t xml:space="preserve"> MARGAT </t>
  </si>
  <si>
    <t xml:space="preserve"> Francois-xavier </t>
  </si>
  <si>
    <t xml:space="preserve"> RECOUPE </t>
  </si>
  <si>
    <t xml:space="preserve"> FERCOQ </t>
  </si>
  <si>
    <t xml:space="preserve"> BOITEUX </t>
  </si>
  <si>
    <t xml:space="preserve"> LARAVINE </t>
  </si>
  <si>
    <t xml:space="preserve"> RISSER </t>
  </si>
  <si>
    <t xml:space="preserve"> GONTRAND </t>
  </si>
  <si>
    <t xml:space="preserve"> ROIX </t>
  </si>
  <si>
    <t xml:space="preserve"> SENECAT </t>
  </si>
  <si>
    <t xml:space="preserve"> PERET </t>
  </si>
  <si>
    <t xml:space="preserve"> AVENIR DE LIGNIERES TT </t>
  </si>
  <si>
    <t xml:space="preserve"> PASSARELLI </t>
  </si>
  <si>
    <t xml:space="preserve"> LAGRUE </t>
  </si>
  <si>
    <t xml:space="preserve"> RAGONNAUD </t>
  </si>
  <si>
    <t xml:space="preserve"> BAFFIE </t>
  </si>
  <si>
    <t xml:space="preserve"> ST AMANS FR </t>
  </si>
  <si>
    <t xml:space="preserve"> LEGAY </t>
  </si>
  <si>
    <t xml:space="preserve"> CHACE-DISTRE-VARRAINS PIN </t>
  </si>
  <si>
    <t xml:space="preserve"> JAUNEAU </t>
  </si>
  <si>
    <t xml:space="preserve"> DUBERTRAND </t>
  </si>
  <si>
    <t xml:space="preserve"> TENNIS DE TABLE ARAMON </t>
  </si>
  <si>
    <t xml:space="preserve"> CHAMPENOIS </t>
  </si>
  <si>
    <t xml:space="preserve"> HOSSU </t>
  </si>
  <si>
    <t xml:space="preserve"> Gavril </t>
  </si>
  <si>
    <t xml:space="preserve"> LIEURY </t>
  </si>
  <si>
    <t xml:space="preserve"> CHABBERT </t>
  </si>
  <si>
    <t xml:space="preserve"> DE PARSCAU </t>
  </si>
  <si>
    <t xml:space="preserve"> PAPAGNO </t>
  </si>
  <si>
    <t xml:space="preserve"> DESOUTTER </t>
  </si>
  <si>
    <t xml:space="preserve"> DEBERLES </t>
  </si>
  <si>
    <t xml:space="preserve"> DOCAGNE </t>
  </si>
  <si>
    <t xml:space="preserve"> DEROUAULT </t>
  </si>
  <si>
    <t xml:space="preserve"> GOTTVALLES </t>
  </si>
  <si>
    <t xml:space="preserve"> CREVITS </t>
  </si>
  <si>
    <t xml:space="preserve"> LAINE </t>
  </si>
  <si>
    <t xml:space="preserve"> CHEVET </t>
  </si>
  <si>
    <t xml:space="preserve"> GERAUDIE </t>
  </si>
  <si>
    <t xml:space="preserve"> CRIQUET </t>
  </si>
  <si>
    <t xml:space="preserve"> MUHARY </t>
  </si>
  <si>
    <t xml:space="preserve"> CP FLEURANTIN </t>
  </si>
  <si>
    <t xml:space="preserve"> LE BRETON </t>
  </si>
  <si>
    <t xml:space="preserve"> FOUCAUT </t>
  </si>
  <si>
    <t xml:space="preserve"> GAROT </t>
  </si>
  <si>
    <t xml:space="preserve"> DENEUCHATEL </t>
  </si>
  <si>
    <t xml:space="preserve"> DESTREHEM </t>
  </si>
  <si>
    <t xml:space="preserve"> ULLIAC </t>
  </si>
  <si>
    <t xml:space="preserve"> FREMUR PONGISTE </t>
  </si>
  <si>
    <t xml:space="preserve"> REUS </t>
  </si>
  <si>
    <t xml:space="preserve"> Ass. Sportive New SFR </t>
  </si>
  <si>
    <t xml:space="preserve"> BACOT </t>
  </si>
  <si>
    <t xml:space="preserve"> GRAFFAGNINO </t>
  </si>
  <si>
    <t xml:space="preserve"> JESTIN </t>
  </si>
  <si>
    <t xml:space="preserve"> XU </t>
  </si>
  <si>
    <t xml:space="preserve"> HOUDAYER </t>
  </si>
  <si>
    <t xml:space="preserve"> SENEJOUX </t>
  </si>
  <si>
    <t xml:space="preserve"> FREROT </t>
  </si>
  <si>
    <t xml:space="preserve"> PIOLI </t>
  </si>
  <si>
    <t xml:space="preserve"> MOUCHEL </t>
  </si>
  <si>
    <t xml:space="preserve"> CAILLOT </t>
  </si>
  <si>
    <t xml:space="preserve"> KERBOUL </t>
  </si>
  <si>
    <t xml:space="preserve"> LAG </t>
  </si>
  <si>
    <t xml:space="preserve"> DE GIVENCHY </t>
  </si>
  <si>
    <t xml:space="preserve"> ANGEVIN </t>
  </si>
  <si>
    <t xml:space="preserve"> BAUDOUARD </t>
  </si>
  <si>
    <t xml:space="preserve"> FICHTER </t>
  </si>
  <si>
    <t xml:space="preserve"> LEREDE </t>
  </si>
  <si>
    <t xml:space="preserve"> FOUILLEUL </t>
  </si>
  <si>
    <t xml:space="preserve"> MAZOYER </t>
  </si>
  <si>
    <t xml:space="preserve"> ROBILLARD </t>
  </si>
  <si>
    <t xml:space="preserve"> UN </t>
  </si>
  <si>
    <t xml:space="preserve"> Eav bun </t>
  </si>
  <si>
    <t xml:space="preserve"> CHEVY </t>
  </si>
  <si>
    <t xml:space="preserve"> SUSS </t>
  </si>
  <si>
    <t xml:space="preserve"> PROUM </t>
  </si>
  <si>
    <t xml:space="preserve"> LUTINS DE LANGONNET </t>
  </si>
  <si>
    <t xml:space="preserve"> JORDAN </t>
  </si>
  <si>
    <t xml:space="preserve"> BOESINGER </t>
  </si>
  <si>
    <t xml:space="preserve"> BOTTIN </t>
  </si>
  <si>
    <t xml:space="preserve"> ANCELOT </t>
  </si>
  <si>
    <t xml:space="preserve"> EMORINE </t>
  </si>
  <si>
    <t xml:space="preserve"> REMISZ </t>
  </si>
  <si>
    <t xml:space="preserve"> LAVEDRINE </t>
  </si>
  <si>
    <t xml:space="preserve"> SCHAETZEL </t>
  </si>
  <si>
    <t xml:space="preserve"> CHARBONNEL </t>
  </si>
  <si>
    <t xml:space="preserve"> WOELFLI </t>
  </si>
  <si>
    <t xml:space="preserve"> SAVORY </t>
  </si>
  <si>
    <t xml:space="preserve"> Ian </t>
  </si>
  <si>
    <t xml:space="preserve"> MILESI </t>
  </si>
  <si>
    <t xml:space="preserve"> KUBIENA </t>
  </si>
  <si>
    <t xml:space="preserve"> CHEDOT </t>
  </si>
  <si>
    <t xml:space="preserve"> CHIKHI </t>
  </si>
  <si>
    <t xml:space="preserve"> DISCHER </t>
  </si>
  <si>
    <t xml:space="preserve"> SENGELIN </t>
  </si>
  <si>
    <t xml:space="preserve"> HILLEWAERE </t>
  </si>
  <si>
    <t xml:space="preserve"> RIEG </t>
  </si>
  <si>
    <t xml:space="preserve"> LULKA </t>
  </si>
  <si>
    <t xml:space="preserve"> GRASSO </t>
  </si>
  <si>
    <t xml:space="preserve"> CANIS </t>
  </si>
  <si>
    <t xml:space="preserve"> PEYROT </t>
  </si>
  <si>
    <t xml:space="preserve"> VEDOVATI </t>
  </si>
  <si>
    <t xml:space="preserve"> BEAULIER </t>
  </si>
  <si>
    <t xml:space="preserve"> VERMEIRE </t>
  </si>
  <si>
    <t xml:space="preserve"> RENONCE </t>
  </si>
  <si>
    <t xml:space="preserve"> MONDIEIG </t>
  </si>
  <si>
    <t xml:space="preserve"> VERVOITTE </t>
  </si>
  <si>
    <t xml:space="preserve"> THEZE </t>
  </si>
  <si>
    <t xml:space="preserve"> CHAIRON </t>
  </si>
  <si>
    <t xml:space="preserve"> AFONSO DA CRUZ </t>
  </si>
  <si>
    <t xml:space="preserve"> ROUFFACH ASC </t>
  </si>
  <si>
    <t xml:space="preserve"> VOLLETTE </t>
  </si>
  <si>
    <t xml:space="preserve"> HAUWEL </t>
  </si>
  <si>
    <t xml:space="preserve"> Montgomery </t>
  </si>
  <si>
    <t xml:space="preserve"> BARBEDETTE </t>
  </si>
  <si>
    <t xml:space="preserve"> LE GALLAIS </t>
  </si>
  <si>
    <t xml:space="preserve"> VALET </t>
  </si>
  <si>
    <t xml:space="preserve"> LEFOULON </t>
  </si>
  <si>
    <t xml:space="preserve"> PIED </t>
  </si>
  <si>
    <t xml:space="preserve"> DEMARLY </t>
  </si>
  <si>
    <t xml:space="preserve"> BETHENCOURT US </t>
  </si>
  <si>
    <t xml:space="preserve"> NEMETH </t>
  </si>
  <si>
    <t xml:space="preserve"> BITARI </t>
  </si>
  <si>
    <t xml:space="preserve"> Najib </t>
  </si>
  <si>
    <t xml:space="preserve"> HETIER </t>
  </si>
  <si>
    <t xml:space="preserve"> ZAHRA </t>
  </si>
  <si>
    <t xml:space="preserve"> AS GOELO TT </t>
  </si>
  <si>
    <t xml:space="preserve"> SASTOURNE </t>
  </si>
  <si>
    <t xml:space="preserve"> MORTET </t>
  </si>
  <si>
    <t xml:space="preserve"> REBOURS </t>
  </si>
  <si>
    <t xml:space="preserve"> DUVEAU </t>
  </si>
  <si>
    <t xml:space="preserve"> Amaury </t>
  </si>
  <si>
    <t xml:space="preserve"> AUBERTOT </t>
  </si>
  <si>
    <t xml:space="preserve"> BOUDIER </t>
  </si>
  <si>
    <t xml:space="preserve"> BENAIZE </t>
  </si>
  <si>
    <t xml:space="preserve"> La Rochelle ASPTT </t>
  </si>
  <si>
    <t xml:space="preserve"> EUDE </t>
  </si>
  <si>
    <t xml:space="preserve"> BOSCHET </t>
  </si>
  <si>
    <t xml:space="preserve"> PACILLY </t>
  </si>
  <si>
    <t xml:space="preserve"> BARBAN </t>
  </si>
  <si>
    <t xml:space="preserve"> SAN JOSE </t>
  </si>
  <si>
    <t xml:space="preserve"> MAHUET </t>
  </si>
  <si>
    <t xml:space="preserve"> QUELAUDREN </t>
  </si>
  <si>
    <t xml:space="preserve"> BIDAL </t>
  </si>
  <si>
    <t xml:space="preserve"> VADI </t>
  </si>
  <si>
    <t xml:space="preserve"> Joris </t>
  </si>
  <si>
    <t xml:space="preserve"> DEMEURISSE </t>
  </si>
  <si>
    <t xml:space="preserve"> PATRET </t>
  </si>
  <si>
    <t xml:space="preserve"> KRUTTEN </t>
  </si>
  <si>
    <t xml:space="preserve"> MONTGERMONT T.T. </t>
  </si>
  <si>
    <t xml:space="preserve"> LERBEY </t>
  </si>
  <si>
    <t xml:space="preserve"> TENNIS DE TABLE CONLIEGE </t>
  </si>
  <si>
    <t xml:space="preserve"> BOSSY </t>
  </si>
  <si>
    <t xml:space="preserve"> VILLIOD </t>
  </si>
  <si>
    <t xml:space="preserve"> BALAN </t>
  </si>
  <si>
    <t xml:space="preserve"> BUDET </t>
  </si>
  <si>
    <t xml:space="preserve"> RACOUSSOT </t>
  </si>
  <si>
    <t xml:space="preserve"> TILLY </t>
  </si>
  <si>
    <t xml:space="preserve"> VINSON </t>
  </si>
  <si>
    <t xml:space="preserve"> ERNST </t>
  </si>
  <si>
    <t xml:space="preserve"> DARDILLAC </t>
  </si>
  <si>
    <t xml:space="preserve"> NATHIEZ </t>
  </si>
  <si>
    <t xml:space="preserve"> AMBINAT </t>
  </si>
  <si>
    <t xml:space="preserve"> PPC APPAMEEN </t>
  </si>
  <si>
    <t xml:space="preserve"> COULOMB </t>
  </si>
  <si>
    <t xml:space="preserve"> STRUCK </t>
  </si>
  <si>
    <t xml:space="preserve"> NADOBNY </t>
  </si>
  <si>
    <t xml:space="preserve"> BOUKHALFA </t>
  </si>
  <si>
    <t xml:space="preserve"> RIGNOUX </t>
  </si>
  <si>
    <t xml:space="preserve"> DESEINE </t>
  </si>
  <si>
    <t xml:space="preserve"> LANNEL </t>
  </si>
  <si>
    <t xml:space="preserve"> TT CRESSENSACOIS </t>
  </si>
  <si>
    <t xml:space="preserve"> SCEMAMA </t>
  </si>
  <si>
    <t xml:space="preserve"> DEBARD </t>
  </si>
  <si>
    <t xml:space="preserve"> FORGEAU </t>
  </si>
  <si>
    <t xml:space="preserve"> GERMOND </t>
  </si>
  <si>
    <t xml:space="preserve"> HACHIN </t>
  </si>
  <si>
    <t xml:space="preserve"> RUIS </t>
  </si>
  <si>
    <t xml:space="preserve"> BECQUET </t>
  </si>
  <si>
    <t xml:space="preserve"> PAWELCZYK </t>
  </si>
  <si>
    <t xml:space="preserve"> MARX </t>
  </si>
  <si>
    <t xml:space="preserve"> BIERENT </t>
  </si>
  <si>
    <t xml:space="preserve"> MARBOT </t>
  </si>
  <si>
    <t xml:space="preserve"> TESCONI </t>
  </si>
  <si>
    <t xml:space="preserve"> CREQUER </t>
  </si>
  <si>
    <t xml:space="preserve"> GUGLIELMETTI </t>
  </si>
  <si>
    <t xml:space="preserve"> BEAUNIER </t>
  </si>
  <si>
    <t xml:space="preserve"> ORAIN </t>
  </si>
  <si>
    <t xml:space="preserve"> PEGUILLET </t>
  </si>
  <si>
    <t xml:space="preserve"> MASSIMI </t>
  </si>
  <si>
    <t xml:space="preserve"> GACON </t>
  </si>
  <si>
    <t xml:space="preserve"> LEPEL COINTET </t>
  </si>
  <si>
    <t xml:space="preserve"> MAUSSION </t>
  </si>
  <si>
    <t xml:space="preserve"> VIZCAINO </t>
  </si>
  <si>
    <t xml:space="preserve"> BERTHO </t>
  </si>
  <si>
    <t xml:space="preserve"> GELENNE </t>
  </si>
  <si>
    <t xml:space="preserve"> DIRMANN </t>
  </si>
  <si>
    <t xml:space="preserve"> POULANGE </t>
  </si>
  <si>
    <t xml:space="preserve"> MUZELET </t>
  </si>
  <si>
    <t xml:space="preserve"> SILVESTRI </t>
  </si>
  <si>
    <t xml:space="preserve"> ABLIS ATT </t>
  </si>
  <si>
    <t xml:space="preserve"> GAURON </t>
  </si>
  <si>
    <t xml:space="preserve"> JAYET </t>
  </si>
  <si>
    <t xml:space="preserve"> VAN SEUNINGEN </t>
  </si>
  <si>
    <t xml:space="preserve"> DROU </t>
  </si>
  <si>
    <t xml:space="preserve"> DALIGAULT </t>
  </si>
  <si>
    <t xml:space="preserve"> TERIOKHIN </t>
  </si>
  <si>
    <t xml:space="preserve"> NOIZET </t>
  </si>
  <si>
    <t xml:space="preserve"> GIROUTX </t>
  </si>
  <si>
    <t xml:space="preserve"> PUPILLO </t>
  </si>
  <si>
    <t xml:space="preserve"> BOULEAU </t>
  </si>
  <si>
    <t xml:space="preserve"> VIEUX </t>
  </si>
  <si>
    <t xml:space="preserve"> LESENECAL </t>
  </si>
  <si>
    <t xml:space="preserve"> BILLI </t>
  </si>
  <si>
    <t xml:space="preserve"> BARROUYER </t>
  </si>
  <si>
    <t xml:space="preserve"> COAJOU </t>
  </si>
  <si>
    <t xml:space="preserve"> BAURES </t>
  </si>
  <si>
    <t xml:space="preserve"> JARRI </t>
  </si>
  <si>
    <t xml:space="preserve"> BATTEUX </t>
  </si>
  <si>
    <t xml:space="preserve"> TOM </t>
  </si>
  <si>
    <t xml:space="preserve"> PEDROT </t>
  </si>
  <si>
    <t xml:space="preserve"> CAUSSIN </t>
  </si>
  <si>
    <t xml:space="preserve"> DUBIGNY </t>
  </si>
  <si>
    <t xml:space="preserve"> HEROUX </t>
  </si>
  <si>
    <t xml:space="preserve"> LONGAYGUE </t>
  </si>
  <si>
    <t xml:space="preserve"> HEBUTERNE </t>
  </si>
  <si>
    <t xml:space="preserve"> Cedrik </t>
  </si>
  <si>
    <t xml:space="preserve"> RAFFARIN </t>
  </si>
  <si>
    <t xml:space="preserve"> BELLEVILLE </t>
  </si>
  <si>
    <t xml:space="preserve"> QUONIOU </t>
  </si>
  <si>
    <t xml:space="preserve"> FILLEUL </t>
  </si>
  <si>
    <t xml:space="preserve"> CHEVIET </t>
  </si>
  <si>
    <t xml:space="preserve"> LASBLEIZ </t>
  </si>
  <si>
    <t xml:space="preserve"> BIDAUBAYLE </t>
  </si>
  <si>
    <t xml:space="preserve"> L'AZOU </t>
  </si>
  <si>
    <t xml:space="preserve"> CAMINADE </t>
  </si>
  <si>
    <t xml:space="preserve"> DAVESNE </t>
  </si>
  <si>
    <t xml:space="preserve"> FRANK </t>
  </si>
  <si>
    <t xml:space="preserve"> CESARD </t>
  </si>
  <si>
    <t xml:space="preserve"> DESFORGES </t>
  </si>
  <si>
    <t xml:space="preserve"> DELALEU </t>
  </si>
  <si>
    <t xml:space="preserve"> MOTTA </t>
  </si>
  <si>
    <t xml:space="preserve"> BETTINGER </t>
  </si>
  <si>
    <t xml:space="preserve"> CHOTARD </t>
  </si>
  <si>
    <t xml:space="preserve"> LE NADAN </t>
  </si>
  <si>
    <t xml:space="preserve"> RIBEYRON </t>
  </si>
  <si>
    <t xml:space="preserve"> CARNEC </t>
  </si>
  <si>
    <t xml:space="preserve"> COUTARD </t>
  </si>
  <si>
    <t xml:space="preserve"> ALBISSON </t>
  </si>
  <si>
    <t xml:space="preserve"> SAIL </t>
  </si>
  <si>
    <t xml:space="preserve"> RUESGAS </t>
  </si>
  <si>
    <t xml:space="preserve"> SOULIE </t>
  </si>
  <si>
    <t xml:space="preserve"> LUCIEN </t>
  </si>
  <si>
    <t xml:space="preserve"> HERELLE </t>
  </si>
  <si>
    <t xml:space="preserve"> DESCARPENTERIE </t>
  </si>
  <si>
    <t xml:space="preserve"> CARABIN </t>
  </si>
  <si>
    <t xml:space="preserve"> Tang </t>
  </si>
  <si>
    <t xml:space="preserve"> MELNICZEK </t>
  </si>
  <si>
    <t xml:space="preserve"> SAINTE MARIE KERQUE USTT </t>
  </si>
  <si>
    <t xml:space="preserve"> NIGI </t>
  </si>
  <si>
    <t xml:space="preserve"> PUKROP </t>
  </si>
  <si>
    <t xml:space="preserve"> SMYTH-RONGEAT </t>
  </si>
  <si>
    <t xml:space="preserve"> XIAO </t>
  </si>
  <si>
    <t xml:space="preserve"> Yijun </t>
  </si>
  <si>
    <t xml:space="preserve"> PAULOUIN </t>
  </si>
  <si>
    <t xml:space="preserve"> VINDRY </t>
  </si>
  <si>
    <t xml:space="preserve"> DETREZ </t>
  </si>
  <si>
    <t xml:space="preserve"> BRION </t>
  </si>
  <si>
    <t xml:space="preserve"> NISON </t>
  </si>
  <si>
    <t xml:space="preserve"> BOIDRON </t>
  </si>
  <si>
    <t xml:space="preserve"> DECONINCK </t>
  </si>
  <si>
    <t xml:space="preserve"> STE GEMMES Loisir Détente </t>
  </si>
  <si>
    <t xml:space="preserve"> RITZ </t>
  </si>
  <si>
    <t xml:space="preserve"> MANIA </t>
  </si>
  <si>
    <t xml:space="preserve"> MEULEMEESTER </t>
  </si>
  <si>
    <t xml:space="preserve"> LE NORMAND </t>
  </si>
  <si>
    <t xml:space="preserve"> RENON </t>
  </si>
  <si>
    <t xml:space="preserve"> TROUBADY </t>
  </si>
  <si>
    <t xml:space="preserve"> KLICKI </t>
  </si>
  <si>
    <t xml:space="preserve"> GIFFARD </t>
  </si>
  <si>
    <t xml:space="preserve"> HADYS </t>
  </si>
  <si>
    <t xml:space="preserve"> BRAVO </t>
  </si>
  <si>
    <t xml:space="preserve"> GIROU </t>
  </si>
  <si>
    <t xml:space="preserve"> Huan </t>
  </si>
  <si>
    <t xml:space="preserve"> NOUAZE </t>
  </si>
  <si>
    <t xml:space="preserve"> PEPIOT </t>
  </si>
  <si>
    <t xml:space="preserve"> PING DU VAL DE VENNES </t>
  </si>
  <si>
    <t xml:space="preserve"> ABRIL </t>
  </si>
  <si>
    <t xml:space="preserve"> POIGNET </t>
  </si>
  <si>
    <t xml:space="preserve"> COATMELLEC </t>
  </si>
  <si>
    <t xml:space="preserve"> BEJI </t>
  </si>
  <si>
    <t xml:space="preserve"> Jaoher </t>
  </si>
  <si>
    <t xml:space="preserve"> JEAN LOUIS </t>
  </si>
  <si>
    <t xml:space="preserve"> COURBARON </t>
  </si>
  <si>
    <t xml:space="preserve"> DELALAING </t>
  </si>
  <si>
    <t xml:space="preserve"> JARLIER </t>
  </si>
  <si>
    <t xml:space="preserve"> COURTEHEUSE </t>
  </si>
  <si>
    <t xml:space="preserve"> BOUHADDI </t>
  </si>
  <si>
    <t xml:space="preserve"> Patrick alain </t>
  </si>
  <si>
    <t xml:space="preserve"> ARTUR </t>
  </si>
  <si>
    <t xml:space="preserve"> BERTHOU </t>
  </si>
  <si>
    <t xml:space="preserve"> DUTHU </t>
  </si>
  <si>
    <t xml:space="preserve"> CHITEL </t>
  </si>
  <si>
    <t xml:space="preserve"> TAYLOR </t>
  </si>
  <si>
    <t xml:space="preserve"> DESPAX </t>
  </si>
  <si>
    <t xml:space="preserve"> PERIATAMBY </t>
  </si>
  <si>
    <t xml:space="preserve"> FAUQUEMONT </t>
  </si>
  <si>
    <t xml:space="preserve"> ANGER </t>
  </si>
  <si>
    <t xml:space="preserve"> GOBBE </t>
  </si>
  <si>
    <t xml:space="preserve"> PIGASSOU </t>
  </si>
  <si>
    <t xml:space="preserve"> SUMAN </t>
  </si>
  <si>
    <t xml:space="preserve"> RENART </t>
  </si>
  <si>
    <t xml:space="preserve"> LOYEZ </t>
  </si>
  <si>
    <t xml:space="preserve"> DAUCHY </t>
  </si>
  <si>
    <t xml:space="preserve"> DE SCHEPPER </t>
  </si>
  <si>
    <t xml:space="preserve"> FLORENT </t>
  </si>
  <si>
    <t xml:space="preserve"> COUSQUER </t>
  </si>
  <si>
    <t xml:space="preserve"> US. CHOUZY Tennis de Tabl </t>
  </si>
  <si>
    <t xml:space="preserve"> DEBIEU </t>
  </si>
  <si>
    <t xml:space="preserve"> ROKA </t>
  </si>
  <si>
    <t xml:space="preserve"> BEYLACQ </t>
  </si>
  <si>
    <t xml:space="preserve"> DOUBLEIN </t>
  </si>
  <si>
    <t xml:space="preserve"> CATTUS </t>
  </si>
  <si>
    <t xml:space="preserve"> SARRADIN </t>
  </si>
  <si>
    <t xml:space="preserve"> Paul-dominique </t>
  </si>
  <si>
    <t xml:space="preserve"> FOURNERIE </t>
  </si>
  <si>
    <t xml:space="preserve"> BERHAULT </t>
  </si>
  <si>
    <t xml:space="preserve"> ACCART </t>
  </si>
  <si>
    <t xml:space="preserve"> PLYWACZYK </t>
  </si>
  <si>
    <t xml:space="preserve"> DI PASQUALE </t>
  </si>
  <si>
    <t xml:space="preserve"> TENNIS DE TABLE DE LAPALI </t>
  </si>
  <si>
    <t xml:space="preserve"> PETIOT </t>
  </si>
  <si>
    <t xml:space="preserve"> BARSCH </t>
  </si>
  <si>
    <t xml:space="preserve"> GARZINO FRECHOT </t>
  </si>
  <si>
    <t xml:space="preserve"> Cendrique </t>
  </si>
  <si>
    <t xml:space="preserve"> CARAVACA </t>
  </si>
  <si>
    <t xml:space="preserve"> CAPIAUX </t>
  </si>
  <si>
    <t xml:space="preserve"> CHILAIN </t>
  </si>
  <si>
    <t xml:space="preserve"> LELIEUX </t>
  </si>
  <si>
    <t xml:space="preserve"> WALTHER </t>
  </si>
  <si>
    <t xml:space="preserve"> HANRIOT </t>
  </si>
  <si>
    <t xml:space="preserve"> BEGOIN </t>
  </si>
  <si>
    <t xml:space="preserve"> MOYNIEZ </t>
  </si>
  <si>
    <t xml:space="preserve"> LESAULNIER </t>
  </si>
  <si>
    <t xml:space="preserve"> DEPIT </t>
  </si>
  <si>
    <t xml:space="preserve"> ANNO </t>
  </si>
  <si>
    <t xml:space="preserve"> Jacques adrien </t>
  </si>
  <si>
    <t xml:space="preserve"> LE ROGER </t>
  </si>
  <si>
    <t xml:space="preserve"> DIAZ SANTOS </t>
  </si>
  <si>
    <t xml:space="preserve"> MOREN </t>
  </si>
  <si>
    <t xml:space="preserve"> DEHAY </t>
  </si>
  <si>
    <t xml:space="preserve"> JARDE </t>
  </si>
  <si>
    <t xml:space="preserve"> GADEBILLE </t>
  </si>
  <si>
    <t xml:space="preserve"> JACOBS </t>
  </si>
  <si>
    <t xml:space="preserve"> Jean marcel </t>
  </si>
  <si>
    <t xml:space="preserve"> STECULORUM </t>
  </si>
  <si>
    <t xml:space="preserve"> FRACES </t>
  </si>
  <si>
    <t xml:space="preserve"> DABURON </t>
  </si>
  <si>
    <t xml:space="preserve"> LEMENANT </t>
  </si>
  <si>
    <t xml:space="preserve"> VASLIN </t>
  </si>
  <si>
    <t xml:space="preserve"> ROGLY </t>
  </si>
  <si>
    <t xml:space="preserve"> PARINOT </t>
  </si>
  <si>
    <t xml:space="preserve"> BREMON </t>
  </si>
  <si>
    <t xml:space="preserve"> HERGAT </t>
  </si>
  <si>
    <t xml:space="preserve"> CAJNA </t>
  </si>
  <si>
    <t xml:space="preserve"> C.A.S. EAUX </t>
  </si>
  <si>
    <t xml:space="preserve"> HITIER </t>
  </si>
  <si>
    <t xml:space="preserve"> Mouthiers MJC J. BERRY </t>
  </si>
  <si>
    <t xml:space="preserve"> CROMBEZ </t>
  </si>
  <si>
    <t xml:space="preserve"> LAVIROTTE </t>
  </si>
  <si>
    <t xml:space="preserve"> DORMONT </t>
  </si>
  <si>
    <t xml:space="preserve"> COMMUN </t>
  </si>
  <si>
    <t xml:space="preserve"> FOYER RURAL D'ABEILHAN </t>
  </si>
  <si>
    <t xml:space="preserve"> Eugène </t>
  </si>
  <si>
    <t xml:space="preserve"> HERMANT </t>
  </si>
  <si>
    <t xml:space="preserve"> AMBERG </t>
  </si>
  <si>
    <t xml:space="preserve"> SEFRIOUI </t>
  </si>
  <si>
    <t xml:space="preserve"> CONTZEN </t>
  </si>
  <si>
    <t xml:space="preserve"> GUEHARD </t>
  </si>
  <si>
    <t xml:space="preserve"> DAUMAIN </t>
  </si>
  <si>
    <t xml:space="preserve"> KULA </t>
  </si>
  <si>
    <t xml:space="preserve"> FERRIER </t>
  </si>
  <si>
    <t xml:space="preserve"> ST BRICE COURCELLES ASSBC </t>
  </si>
  <si>
    <t xml:space="preserve"> MARTINOTTI </t>
  </si>
  <si>
    <t xml:space="preserve"> Bruneau </t>
  </si>
  <si>
    <t xml:space="preserve"> HERISSET </t>
  </si>
  <si>
    <t xml:space="preserve"> Cherveux A R </t>
  </si>
  <si>
    <t xml:space="preserve"> VANTHOURNOUT </t>
  </si>
  <si>
    <t xml:space="preserve"> CRISEO </t>
  </si>
  <si>
    <t xml:space="preserve"> GENDROT </t>
  </si>
  <si>
    <t xml:space="preserve"> Angoulins TT </t>
  </si>
  <si>
    <t xml:space="preserve"> DEZENAIRE </t>
  </si>
  <si>
    <t xml:space="preserve"> BUJON </t>
  </si>
  <si>
    <t xml:space="preserve"> GERMAN </t>
  </si>
  <si>
    <t xml:space="preserve"> Colin </t>
  </si>
  <si>
    <t xml:space="preserve"> THEO PING VILLEDIEU TT </t>
  </si>
  <si>
    <t xml:space="preserve"> BRITAY </t>
  </si>
  <si>
    <t xml:space="preserve"> VINCE </t>
  </si>
  <si>
    <t xml:space="preserve"> ADIN </t>
  </si>
  <si>
    <t xml:space="preserve"> LAURENCON </t>
  </si>
  <si>
    <t xml:space="preserve"> LE CAIN </t>
  </si>
  <si>
    <t xml:space="preserve"> EP BEIGNON </t>
  </si>
  <si>
    <t xml:space="preserve"> ZUNITOW </t>
  </si>
  <si>
    <t xml:space="preserve"> GRANANA </t>
  </si>
  <si>
    <t xml:space="preserve"> RATHIER </t>
  </si>
  <si>
    <t xml:space="preserve"> CHAUVRIS </t>
  </si>
  <si>
    <t xml:space="preserve"> SIMLER </t>
  </si>
  <si>
    <t xml:space="preserve"> GOLLIOT </t>
  </si>
  <si>
    <t xml:space="preserve"> BOULOGNE SUR MER EURVIN </t>
  </si>
  <si>
    <t xml:space="preserve"> BRISSON </t>
  </si>
  <si>
    <t xml:space="preserve"> DELECLUSE </t>
  </si>
  <si>
    <t xml:space="preserve"> VIOLEAU </t>
  </si>
  <si>
    <t xml:space="preserve"> DESSONS </t>
  </si>
  <si>
    <t xml:space="preserve"> PREVOSTEAU </t>
  </si>
  <si>
    <t xml:space="preserve"> NIKOLSKI </t>
  </si>
  <si>
    <t xml:space="preserve"> Valeri </t>
  </si>
  <si>
    <t xml:space="preserve"> JUSTE </t>
  </si>
  <si>
    <t xml:space="preserve"> SABAN </t>
  </si>
  <si>
    <t xml:space="preserve"> Jean-claude eli </t>
  </si>
  <si>
    <t xml:space="preserve"> CARION </t>
  </si>
  <si>
    <t xml:space="preserve"> TENNIS CLUB CRUVIERS-LASC </t>
  </si>
  <si>
    <t xml:space="preserve"> ASNAR </t>
  </si>
  <si>
    <t xml:space="preserve"> CHAPUZET </t>
  </si>
  <si>
    <t xml:space="preserve"> FOISEL </t>
  </si>
  <si>
    <t xml:space="preserve"> DA CAS </t>
  </si>
  <si>
    <t xml:space="preserve"> TOLOMELLI </t>
  </si>
  <si>
    <t xml:space="preserve"> MANDIS </t>
  </si>
  <si>
    <t xml:space="preserve"> TOKARSKI </t>
  </si>
  <si>
    <t xml:space="preserve"> SARRASIN FAMARS TTS </t>
  </si>
  <si>
    <t xml:space="preserve"> GABOYER </t>
  </si>
  <si>
    <t xml:space="preserve"> Nam phong </t>
  </si>
  <si>
    <t xml:space="preserve"> BARILLON </t>
  </si>
  <si>
    <t xml:space="preserve"> BRASIER </t>
  </si>
  <si>
    <t xml:space="preserve"> LE STANG </t>
  </si>
  <si>
    <t xml:space="preserve"> SAINT-SULPICE LAURIERE AT </t>
  </si>
  <si>
    <t xml:space="preserve"> GRATALOUP </t>
  </si>
  <si>
    <t xml:space="preserve"> ZEKIRI </t>
  </si>
  <si>
    <t xml:space="preserve"> CHEVALLEY </t>
  </si>
  <si>
    <t xml:space="preserve"> GLISIC </t>
  </si>
  <si>
    <t xml:space="preserve"> DELHOMME </t>
  </si>
  <si>
    <t xml:space="preserve"> KETOBIAKOU </t>
  </si>
  <si>
    <t xml:space="preserve"> Aristide </t>
  </si>
  <si>
    <t xml:space="preserve"> PONSOT </t>
  </si>
  <si>
    <t xml:space="preserve"> VAVASSEUR </t>
  </si>
  <si>
    <t xml:space="preserve"> HEIB </t>
  </si>
  <si>
    <t xml:space="preserve"> VALANTIN </t>
  </si>
  <si>
    <t xml:space="preserve"> CANIONCQ </t>
  </si>
  <si>
    <t xml:space="preserve"> KERDRAON </t>
  </si>
  <si>
    <t xml:space="preserve"> LOREDON </t>
  </si>
  <si>
    <t xml:space="preserve"> DAGNEAUX </t>
  </si>
  <si>
    <t xml:space="preserve"> VO </t>
  </si>
  <si>
    <t xml:space="preserve"> DENOT </t>
  </si>
  <si>
    <t xml:space="preserve"> DEBUIGNE </t>
  </si>
  <si>
    <t xml:space="preserve"> SANS </t>
  </si>
  <si>
    <t xml:space="preserve"> CHEVALOT </t>
  </si>
  <si>
    <t xml:space="preserve"> ASSAILLY </t>
  </si>
  <si>
    <t xml:space="preserve"> BEAUPARLANT </t>
  </si>
  <si>
    <t xml:space="preserve"> FOISSY </t>
  </si>
  <si>
    <t xml:space="preserve"> ESSERS </t>
  </si>
  <si>
    <t xml:space="preserve"> Jos </t>
  </si>
  <si>
    <t xml:space="preserve"> POREL </t>
  </si>
  <si>
    <t xml:space="preserve"> FOUCRIT </t>
  </si>
  <si>
    <t xml:space="preserve"> GIROUARD </t>
  </si>
  <si>
    <t xml:space="preserve"> PLANTEC </t>
  </si>
  <si>
    <t xml:space="preserve"> PECQUEUR </t>
  </si>
  <si>
    <t xml:space="preserve"> PITELET </t>
  </si>
  <si>
    <t xml:space="preserve"> PETITFRERE </t>
  </si>
  <si>
    <t xml:space="preserve"> DEBOIS </t>
  </si>
  <si>
    <t xml:space="preserve"> COME </t>
  </si>
  <si>
    <t xml:space="preserve"> LA CHAPELLE ALTT </t>
  </si>
  <si>
    <t xml:space="preserve"> BAYER </t>
  </si>
  <si>
    <t xml:space="preserve"> TRIPET </t>
  </si>
  <si>
    <t xml:space="preserve"> CHALINDREY CS </t>
  </si>
  <si>
    <t xml:space="preserve"> LAUBIER </t>
  </si>
  <si>
    <t xml:space="preserve"> CANATTONE </t>
  </si>
  <si>
    <t xml:space="preserve"> FENNI </t>
  </si>
  <si>
    <t xml:space="preserve"> Toufik </t>
  </si>
  <si>
    <t xml:space="preserve"> PAGER </t>
  </si>
  <si>
    <t xml:space="preserve"> PAQUES </t>
  </si>
  <si>
    <t xml:space="preserve"> TT BRAUD </t>
  </si>
  <si>
    <t xml:space="preserve"> DUVILLIE </t>
  </si>
  <si>
    <t xml:space="preserve"> BUBBA </t>
  </si>
  <si>
    <t xml:space="preserve"> LENGIGNON </t>
  </si>
  <si>
    <t xml:space="preserve"> LECAILLON </t>
  </si>
  <si>
    <t xml:space="preserve"> BOUSSIER </t>
  </si>
  <si>
    <t xml:space="preserve"> LEININGER </t>
  </si>
  <si>
    <t xml:space="preserve"> DUHAN </t>
  </si>
  <si>
    <t xml:space="preserve"> BRAYE </t>
  </si>
  <si>
    <t xml:space="preserve"> OUVRIL </t>
  </si>
  <si>
    <t xml:space="preserve"> CAUWEL </t>
  </si>
  <si>
    <t xml:space="preserve"> MONCOMBLE </t>
  </si>
  <si>
    <t xml:space="preserve"> BAROUH </t>
  </si>
  <si>
    <t xml:space="preserve"> DE CLERCQ </t>
  </si>
  <si>
    <t xml:space="preserve"> ROQUEVIEILLE </t>
  </si>
  <si>
    <t xml:space="preserve"> HOSPITAL </t>
  </si>
  <si>
    <t xml:space="preserve"> MONDAIN </t>
  </si>
  <si>
    <t xml:space="preserve"> CREPAUX </t>
  </si>
  <si>
    <t xml:space="preserve"> CRUSSY </t>
  </si>
  <si>
    <t xml:space="preserve"> LUZEIN </t>
  </si>
  <si>
    <t xml:space="preserve"> ROQUIER </t>
  </si>
  <si>
    <t xml:space="preserve"> HIENNE </t>
  </si>
  <si>
    <t xml:space="preserve"> METAIS </t>
  </si>
  <si>
    <t xml:space="preserve"> REYNIER </t>
  </si>
  <si>
    <t xml:space="preserve"> T DE T PERIGORD VERT </t>
  </si>
  <si>
    <t xml:space="preserve"> CROWYN </t>
  </si>
  <si>
    <t xml:space="preserve"> MOISAN </t>
  </si>
  <si>
    <t xml:space="preserve"> ARGOET STT ELVEN-MONTERBL </t>
  </si>
  <si>
    <t xml:space="preserve"> PICASSO CHALETTE CS </t>
  </si>
  <si>
    <t xml:space="preserve"> LE GARS </t>
  </si>
  <si>
    <t xml:space="preserve"> PAGNON </t>
  </si>
  <si>
    <t xml:space="preserve"> Jean-mary </t>
  </si>
  <si>
    <t xml:space="preserve"> REVEZ </t>
  </si>
  <si>
    <t xml:space="preserve"> BEAU </t>
  </si>
  <si>
    <t xml:space="preserve"> DESCOMBE </t>
  </si>
  <si>
    <t xml:space="preserve"> BILLIAR </t>
  </si>
  <si>
    <t xml:space="preserve"> LUXEY </t>
  </si>
  <si>
    <t xml:space="preserve"> DONNERY TT </t>
  </si>
  <si>
    <t xml:space="preserve"> BULTEEL </t>
  </si>
  <si>
    <t xml:space="preserve"> HEURTEBIZE </t>
  </si>
  <si>
    <t xml:space="preserve"> SANTOS </t>
  </si>
  <si>
    <t xml:space="preserve"> EGO </t>
  </si>
  <si>
    <t xml:space="preserve"> KIENER </t>
  </si>
  <si>
    <t xml:space="preserve"> LUPETTE </t>
  </si>
  <si>
    <t xml:space="preserve"> VEYS </t>
  </si>
  <si>
    <t xml:space="preserve"> BUCELET </t>
  </si>
  <si>
    <t xml:space="preserve"> FAYEULLE </t>
  </si>
  <si>
    <t xml:space="preserve"> PLANCHENAULT </t>
  </si>
  <si>
    <t xml:space="preserve"> MORESTIN </t>
  </si>
  <si>
    <t xml:space="preserve"> JOSEPH </t>
  </si>
  <si>
    <t xml:space="preserve"> FREMAUX </t>
  </si>
  <si>
    <t xml:space="preserve"> SORRUS TT </t>
  </si>
  <si>
    <t xml:space="preserve"> ALBERTIN </t>
  </si>
  <si>
    <t xml:space="preserve"> POITRINEAU </t>
  </si>
  <si>
    <t xml:space="preserve"> PERENNOU </t>
  </si>
  <si>
    <t xml:space="preserve"> LORICHON </t>
  </si>
  <si>
    <t xml:space="preserve"> PLAIGNET </t>
  </si>
  <si>
    <t xml:space="preserve"> HAUBOIS </t>
  </si>
  <si>
    <t xml:space="preserve"> DEVIGNE </t>
  </si>
  <si>
    <t xml:space="preserve"> MOSIN </t>
  </si>
  <si>
    <t xml:space="preserve"> Jauffrey </t>
  </si>
  <si>
    <t xml:space="preserve"> DESJOUIS </t>
  </si>
  <si>
    <t xml:space="preserve"> LE BOT </t>
  </si>
  <si>
    <t xml:space="preserve"> GATINE </t>
  </si>
  <si>
    <t xml:space="preserve"> DOIREAU </t>
  </si>
  <si>
    <t xml:space="preserve"> VILMANT </t>
  </si>
  <si>
    <t xml:space="preserve"> COLOGNOLI </t>
  </si>
  <si>
    <t xml:space="preserve"> ALAIN </t>
  </si>
  <si>
    <t xml:space="preserve"> RADIGUE </t>
  </si>
  <si>
    <t xml:space="preserve"> ONCINA </t>
  </si>
  <si>
    <t xml:space="preserve"> LE PEN </t>
  </si>
  <si>
    <t xml:space="preserve"> GAUCHOU </t>
  </si>
  <si>
    <t xml:space="preserve"> Dave </t>
  </si>
  <si>
    <t xml:space="preserve"> PRINGLY </t>
  </si>
  <si>
    <t xml:space="preserve"> BAUCRY </t>
  </si>
  <si>
    <t xml:space="preserve"> BIELARZ </t>
  </si>
  <si>
    <t xml:space="preserve"> HANQUIEZ </t>
  </si>
  <si>
    <t xml:space="preserve"> Guy michel </t>
  </si>
  <si>
    <t xml:space="preserve"> WEISSGERBER </t>
  </si>
  <si>
    <t xml:space="preserve"> Peng kea </t>
  </si>
  <si>
    <t xml:space="preserve"> NOGUE </t>
  </si>
  <si>
    <t xml:space="preserve"> AURIOLE </t>
  </si>
  <si>
    <t xml:space="preserve"> PALMATO </t>
  </si>
  <si>
    <t xml:space="preserve"> VENOT </t>
  </si>
  <si>
    <t xml:space="preserve"> LAVIELLE </t>
  </si>
  <si>
    <t xml:space="preserve"> GABRIELLI </t>
  </si>
  <si>
    <t xml:space="preserve"> CIVEL </t>
  </si>
  <si>
    <t xml:space="preserve"> BERTONCELLO </t>
  </si>
  <si>
    <t xml:space="preserve"> APPIANO </t>
  </si>
  <si>
    <t xml:space="preserve"> CLUB SPORTIF FAOUETAIS </t>
  </si>
  <si>
    <t xml:space="preserve"> BOURGIN </t>
  </si>
  <si>
    <t xml:space="preserve"> LETOURNEUR </t>
  </si>
  <si>
    <t xml:space="preserve"> GRUAUX </t>
  </si>
  <si>
    <t xml:space="preserve"> CLIRON PPC </t>
  </si>
  <si>
    <t xml:space="preserve"> GADAL </t>
  </si>
  <si>
    <t xml:space="preserve"> LECHAIGNE </t>
  </si>
  <si>
    <t xml:space="preserve"> ROTHUREAU </t>
  </si>
  <si>
    <t xml:space="preserve"> VIARD </t>
  </si>
  <si>
    <t xml:space="preserve"> THEOT </t>
  </si>
  <si>
    <t xml:space="preserve"> Williams </t>
  </si>
  <si>
    <t xml:space="preserve"> GEMIN </t>
  </si>
  <si>
    <t xml:space="preserve"> VEILLET </t>
  </si>
  <si>
    <t xml:space="preserve"> KUTKOWSKI </t>
  </si>
  <si>
    <t xml:space="preserve"> BEAUBOIS </t>
  </si>
  <si>
    <t xml:space="preserve"> ETEVE </t>
  </si>
  <si>
    <t xml:space="preserve"> BAUDUSSEAU </t>
  </si>
  <si>
    <t xml:space="preserve"> LENS </t>
  </si>
  <si>
    <t xml:space="preserve"> TARDIVET </t>
  </si>
  <si>
    <t xml:space="preserve"> NONY </t>
  </si>
  <si>
    <t xml:space="preserve"> CS CHAMBRY TT </t>
  </si>
  <si>
    <t xml:space="preserve"> NAGY </t>
  </si>
  <si>
    <t xml:space="preserve"> KAIOUN </t>
  </si>
  <si>
    <t xml:space="preserve"> BEDOCH </t>
  </si>
  <si>
    <t xml:space="preserve"> FAURIAT </t>
  </si>
  <si>
    <t xml:space="preserve"> MALGORN </t>
  </si>
  <si>
    <t xml:space="preserve"> GROSSET </t>
  </si>
  <si>
    <t xml:space="preserve"> CAYE </t>
  </si>
  <si>
    <t xml:space="preserve"> PENVEN </t>
  </si>
  <si>
    <t xml:space="preserve"> LOUCHEZ </t>
  </si>
  <si>
    <t xml:space="preserve"> FEROLDI </t>
  </si>
  <si>
    <t xml:space="preserve"> BEAUSSIER </t>
  </si>
  <si>
    <t xml:space="preserve"> PECOT </t>
  </si>
  <si>
    <t xml:space="preserve"> MATHIES </t>
  </si>
  <si>
    <t xml:space="preserve"> MORIZUR </t>
  </si>
  <si>
    <t xml:space="preserve"> GIGUELAY </t>
  </si>
  <si>
    <t xml:space="preserve"> LEVESQUE EVENO </t>
  </si>
  <si>
    <t xml:space="preserve"> OLESZKO </t>
  </si>
  <si>
    <t xml:space="preserve"> LOUISE </t>
  </si>
  <si>
    <t xml:space="preserve"> DELEZENNE </t>
  </si>
  <si>
    <t xml:space="preserve"> DEJAEGHERE </t>
  </si>
  <si>
    <t xml:space="preserve"> LE CHEVALIER </t>
  </si>
  <si>
    <t xml:space="preserve"> DUFLOT </t>
  </si>
  <si>
    <t xml:space="preserve"> VANDEGINSTE </t>
  </si>
  <si>
    <t xml:space="preserve"> CHAMBAUT </t>
  </si>
  <si>
    <t xml:space="preserve"> Isidro </t>
  </si>
  <si>
    <t xml:space="preserve"> DESCHOENMAKER </t>
  </si>
  <si>
    <t xml:space="preserve"> LEPERLIER </t>
  </si>
  <si>
    <t xml:space="preserve"> WOLFARTH </t>
  </si>
  <si>
    <t xml:space="preserve"> LHERAULT </t>
  </si>
  <si>
    <t xml:space="preserve"> DERDERIAN </t>
  </si>
  <si>
    <t xml:space="preserve"> BESSONNEAU </t>
  </si>
  <si>
    <t xml:space="preserve"> KORECKI </t>
  </si>
  <si>
    <t xml:space="preserve"> TOULLEC </t>
  </si>
  <si>
    <t xml:space="preserve"> LEVERT </t>
  </si>
  <si>
    <t xml:space="preserve"> BONEU </t>
  </si>
  <si>
    <t xml:space="preserve"> PINO </t>
  </si>
  <si>
    <t xml:space="preserve"> CHAMPIGNEULLE </t>
  </si>
  <si>
    <t xml:space="preserve"> BARBARIA </t>
  </si>
  <si>
    <t xml:space="preserve"> GUIDICELLI </t>
  </si>
  <si>
    <t xml:space="preserve"> MEREAU </t>
  </si>
  <si>
    <t xml:space="preserve"> MERDI </t>
  </si>
  <si>
    <t xml:space="preserve"> DELMONT </t>
  </si>
  <si>
    <t xml:space="preserve"> VANDECAVEZ </t>
  </si>
  <si>
    <t xml:space="preserve"> RIOLET </t>
  </si>
  <si>
    <t xml:space="preserve"> ASCHER </t>
  </si>
  <si>
    <t xml:space="preserve"> DEVAUTOUR </t>
  </si>
  <si>
    <t xml:space="preserve"> COURGEON </t>
  </si>
  <si>
    <t xml:space="preserve"> RIPAULT </t>
  </si>
  <si>
    <t xml:space="preserve"> ZINK </t>
  </si>
  <si>
    <t xml:space="preserve"> ROUHAUD </t>
  </si>
  <si>
    <t xml:space="preserve"> DAUGUET </t>
  </si>
  <si>
    <t xml:space="preserve"> LAJOUX </t>
  </si>
  <si>
    <t xml:space="preserve"> NEROT </t>
  </si>
  <si>
    <t xml:space="preserve"> RAYNARD </t>
  </si>
  <si>
    <t xml:space="preserve"> PACAUD </t>
  </si>
  <si>
    <t xml:space="preserve"> LABEAU </t>
  </si>
  <si>
    <t xml:space="preserve"> NIVEAU </t>
  </si>
  <si>
    <t xml:space="preserve"> DEKUSSCHE </t>
  </si>
  <si>
    <t xml:space="preserve"> NETO </t>
  </si>
  <si>
    <t xml:space="preserve"> BAUDHUIN </t>
  </si>
  <si>
    <t xml:space="preserve"> GAMBIER </t>
  </si>
  <si>
    <t xml:space="preserve"> SALMIN </t>
  </si>
  <si>
    <t xml:space="preserve"> RODOLAUSSE </t>
  </si>
  <si>
    <t xml:space="preserve"> COSTA </t>
  </si>
  <si>
    <t xml:space="preserve"> CHAVIGNEAU </t>
  </si>
  <si>
    <t xml:space="preserve"> SCHOCKERT </t>
  </si>
  <si>
    <t xml:space="preserve"> MOLFENTER </t>
  </si>
  <si>
    <t xml:space="preserve"> Hannes </t>
  </si>
  <si>
    <t xml:space="preserve"> DESSENNE </t>
  </si>
  <si>
    <t xml:space="preserve"> CUPIF </t>
  </si>
  <si>
    <t xml:space="preserve"> GUENE </t>
  </si>
  <si>
    <t xml:space="preserve"> Aimé </t>
  </si>
  <si>
    <t xml:space="preserve"> PROISY </t>
  </si>
  <si>
    <t xml:space="preserve"> DAMIEN </t>
  </si>
  <si>
    <t xml:space="preserve"> EAR </t>
  </si>
  <si>
    <t xml:space="preserve"> CATARINO </t>
  </si>
  <si>
    <t xml:space="preserve"> Jean manuel </t>
  </si>
  <si>
    <t xml:space="preserve"> BECHAALANI </t>
  </si>
  <si>
    <t xml:space="preserve"> CONG </t>
  </si>
  <si>
    <t xml:space="preserve"> BOLE </t>
  </si>
  <si>
    <t xml:space="preserve"> GUILLEMER </t>
  </si>
  <si>
    <t xml:space="preserve"> CLEP </t>
  </si>
  <si>
    <t xml:space="preserve"> MUNYINGA </t>
  </si>
  <si>
    <t xml:space="preserve"> Jonas arthur </t>
  </si>
  <si>
    <t xml:space="preserve"> LOIR </t>
  </si>
  <si>
    <t xml:space="preserve"> PFEIFFER </t>
  </si>
  <si>
    <t xml:space="preserve"> LABITTE </t>
  </si>
  <si>
    <t xml:space="preserve"> RESCHE </t>
  </si>
  <si>
    <t xml:space="preserve"> MINDIN </t>
  </si>
  <si>
    <t xml:space="preserve"> HOVELACQUE </t>
  </si>
  <si>
    <t xml:space="preserve"> CAMARET </t>
  </si>
  <si>
    <t xml:space="preserve"> AUBREE </t>
  </si>
  <si>
    <t xml:space="preserve"> HUGARD </t>
  </si>
  <si>
    <t xml:space="preserve"> BEAUDOING </t>
  </si>
  <si>
    <t xml:space="preserve"> CHIV </t>
  </si>
  <si>
    <t xml:space="preserve"> Kim khy </t>
  </si>
  <si>
    <t xml:space="preserve"> TROTIGNON </t>
  </si>
  <si>
    <t xml:space="preserve"> PRISER </t>
  </si>
  <si>
    <t xml:space="preserve"> KUENTZ </t>
  </si>
  <si>
    <t xml:space="preserve"> CHABANON </t>
  </si>
  <si>
    <t xml:space="preserve"> VITTERSBOURG </t>
  </si>
  <si>
    <t xml:space="preserve"> AURIENTIS </t>
  </si>
  <si>
    <t xml:space="preserve"> T.T.ST PAUL D ESPIS </t>
  </si>
  <si>
    <t xml:space="preserve"> GUEZET </t>
  </si>
  <si>
    <t xml:space="preserve"> HEROU </t>
  </si>
  <si>
    <t xml:space="preserve"> YIM </t>
  </si>
  <si>
    <t xml:space="preserve"> Vitou </t>
  </si>
  <si>
    <t xml:space="preserve"> AUZANCE </t>
  </si>
  <si>
    <t xml:space="preserve"> NADEAU </t>
  </si>
  <si>
    <t xml:space="preserve"> BENZAKEN </t>
  </si>
  <si>
    <t xml:space="preserve"> LE MOIGN </t>
  </si>
  <si>
    <t xml:space="preserve"> BAILLARE </t>
  </si>
  <si>
    <t xml:space="preserve"> DEMAY </t>
  </si>
  <si>
    <t xml:space="preserve"> Aloyse </t>
  </si>
  <si>
    <t xml:space="preserve"> BLINDAUER </t>
  </si>
  <si>
    <t xml:space="preserve"> LARBI-MANSOUR </t>
  </si>
  <si>
    <t xml:space="preserve"> LIMOUZIN </t>
  </si>
  <si>
    <t xml:space="preserve"> COUASNON </t>
  </si>
  <si>
    <t xml:space="preserve"> MOUR </t>
  </si>
  <si>
    <t xml:space="preserve"> Seng edouard </t>
  </si>
  <si>
    <t xml:space="preserve"> STARCK </t>
  </si>
  <si>
    <t xml:space="preserve"> CHAUBARD </t>
  </si>
  <si>
    <t xml:space="preserve"> Jean-Yves </t>
  </si>
  <si>
    <t xml:space="preserve"> JOSAPHA </t>
  </si>
  <si>
    <t xml:space="preserve"> HALEUX </t>
  </si>
  <si>
    <t xml:space="preserve"> OLLAGNIER </t>
  </si>
  <si>
    <t xml:space="preserve"> BOUTEZ </t>
  </si>
  <si>
    <t xml:space="preserve"> FRETELLIERE </t>
  </si>
  <si>
    <t xml:space="preserve"> SINTES </t>
  </si>
  <si>
    <t xml:space="preserve"> TT CHATEAURENARDAIS </t>
  </si>
  <si>
    <t xml:space="preserve"> ZAHN </t>
  </si>
  <si>
    <t xml:space="preserve"> Ludwig </t>
  </si>
  <si>
    <t xml:space="preserve"> BOIVINEAU </t>
  </si>
  <si>
    <t xml:space="preserve"> BOURNEZEAU ESBTT </t>
  </si>
  <si>
    <t xml:space="preserve"> VITTOZ </t>
  </si>
  <si>
    <t xml:space="preserve"> CERNESSE </t>
  </si>
  <si>
    <t xml:space="preserve"> PERREY </t>
  </si>
  <si>
    <t xml:space="preserve"> FISCHER-CHOMAUD </t>
  </si>
  <si>
    <t xml:space="preserve"> BONNI </t>
  </si>
  <si>
    <t xml:space="preserve"> LACROUTS </t>
  </si>
  <si>
    <t xml:space="preserve"> Virgile </t>
  </si>
  <si>
    <t xml:space="preserve"> GRELIER </t>
  </si>
  <si>
    <t xml:space="preserve"> METZ </t>
  </si>
  <si>
    <t xml:space="preserve"> GOBELIN </t>
  </si>
  <si>
    <t xml:space="preserve"> MONTATAIRE ATT </t>
  </si>
  <si>
    <t xml:space="preserve"> PASSEPONT </t>
  </si>
  <si>
    <t xml:space="preserve"> GROS LA FAIGE </t>
  </si>
  <si>
    <t xml:space="preserve"> BRILLANT </t>
  </si>
  <si>
    <t xml:space="preserve"> IMBAULT </t>
  </si>
  <si>
    <t xml:space="preserve"> BROST </t>
  </si>
  <si>
    <t xml:space="preserve"> LE DUC </t>
  </si>
  <si>
    <t xml:space="preserve"> DARIDE </t>
  </si>
  <si>
    <t xml:space="preserve"> Charles henry </t>
  </si>
  <si>
    <t xml:space="preserve"> MAGNIER </t>
  </si>
  <si>
    <t xml:space="preserve"> LOYTIER </t>
  </si>
  <si>
    <t xml:space="preserve"> GIUPPONI </t>
  </si>
  <si>
    <t xml:space="preserve"> BETARD </t>
  </si>
  <si>
    <t xml:space="preserve"> COCCA </t>
  </si>
  <si>
    <t xml:space="preserve"> Thibaud </t>
  </si>
  <si>
    <t xml:space="preserve"> TURLIN </t>
  </si>
  <si>
    <t xml:space="preserve"> AKIMOV </t>
  </si>
  <si>
    <t xml:space="preserve"> RAONIMANANA </t>
  </si>
  <si>
    <t xml:space="preserve"> Bernardin </t>
  </si>
  <si>
    <t xml:space="preserve"> CORBEIL </t>
  </si>
  <si>
    <t xml:space="preserve"> BOISTEAU </t>
  </si>
  <si>
    <t xml:space="preserve"> RENOUX </t>
  </si>
  <si>
    <t xml:space="preserve"> CLINI </t>
  </si>
  <si>
    <t xml:space="preserve"> ALVES DE REGO </t>
  </si>
  <si>
    <t xml:space="preserve"> LARROUMETS </t>
  </si>
  <si>
    <t xml:space="preserve"> DREYFUS </t>
  </si>
  <si>
    <t xml:space="preserve"> FODOR </t>
  </si>
  <si>
    <t xml:space="preserve"> HERVOCHE </t>
  </si>
  <si>
    <t xml:space="preserve"> SUROWKA </t>
  </si>
  <si>
    <t xml:space="preserve"> FICHAUX </t>
  </si>
  <si>
    <t xml:space="preserve"> VILFROY </t>
  </si>
  <si>
    <t xml:space="preserve"> BATIFOIL </t>
  </si>
  <si>
    <t xml:space="preserve"> TRAGIN </t>
  </si>
  <si>
    <t xml:space="preserve"> CRETOT </t>
  </si>
  <si>
    <t xml:space="preserve"> LHOSTE </t>
  </si>
  <si>
    <t xml:space="preserve"> Jamy </t>
  </si>
  <si>
    <t xml:space="preserve"> MARCHAIS </t>
  </si>
  <si>
    <t xml:space="preserve"> MAZENOD </t>
  </si>
  <si>
    <t xml:space="preserve"> CLERBAUX </t>
  </si>
  <si>
    <t xml:space="preserve"> LA LONGUEVILLE PPC </t>
  </si>
  <si>
    <t xml:space="preserve"> GENDRY </t>
  </si>
  <si>
    <t xml:space="preserve"> Jean Baptiste </t>
  </si>
  <si>
    <t xml:space="preserve"> LONQUETY </t>
  </si>
  <si>
    <t xml:space="preserve"> TRUCHON </t>
  </si>
  <si>
    <t xml:space="preserve"> TESSARD </t>
  </si>
  <si>
    <t xml:space="preserve"> BOURLES </t>
  </si>
  <si>
    <t xml:space="preserve"> CREPELIERE </t>
  </si>
  <si>
    <t xml:space="preserve"> CHANTRELLE </t>
  </si>
  <si>
    <t xml:space="preserve"> PLIGOT </t>
  </si>
  <si>
    <t xml:space="preserve"> DAIRON </t>
  </si>
  <si>
    <t xml:space="preserve"> SEMANA </t>
  </si>
  <si>
    <t xml:space="preserve"> MEYBECK </t>
  </si>
  <si>
    <t xml:space="preserve"> PISARONI </t>
  </si>
  <si>
    <t xml:space="preserve"> LAGULLE </t>
  </si>
  <si>
    <t xml:space="preserve"> LUCIANI </t>
  </si>
  <si>
    <t xml:space="preserve"> Ivo </t>
  </si>
  <si>
    <t xml:space="preserve"> LEVAN </t>
  </si>
  <si>
    <t xml:space="preserve"> ASTT DE SORIGNY </t>
  </si>
  <si>
    <t xml:space="preserve"> BOTREL </t>
  </si>
  <si>
    <t xml:space="preserve"> FORTUNE </t>
  </si>
  <si>
    <t xml:space="preserve"> ANDRON </t>
  </si>
  <si>
    <t xml:space="preserve"> DE-LANNOY </t>
  </si>
  <si>
    <t xml:space="preserve"> FRESLON </t>
  </si>
  <si>
    <t xml:space="preserve"> LEVEILLARD </t>
  </si>
  <si>
    <t xml:space="preserve"> COSSIN </t>
  </si>
  <si>
    <t xml:space="preserve"> PESQUET </t>
  </si>
  <si>
    <t xml:space="preserve"> SERVIN </t>
  </si>
  <si>
    <t xml:space="preserve"> VELLONE </t>
  </si>
  <si>
    <t xml:space="preserve"> SARRAMIA </t>
  </si>
  <si>
    <t xml:space="preserve"> LEPILLIEZ </t>
  </si>
  <si>
    <t xml:space="preserve"> LECHEVALIER </t>
  </si>
  <si>
    <t xml:space="preserve"> SEWOA </t>
  </si>
  <si>
    <t xml:space="preserve"> DE BELS </t>
  </si>
  <si>
    <t xml:space="preserve"> CHAPALAIN </t>
  </si>
  <si>
    <t xml:space="preserve"> PLATTARD </t>
  </si>
  <si>
    <t xml:space="preserve"> RAKOTOZANANY </t>
  </si>
  <si>
    <t xml:space="preserve"> Clark </t>
  </si>
  <si>
    <t xml:space="preserve"> CROSNIER </t>
  </si>
  <si>
    <t xml:space="preserve"> ANSQUER </t>
  </si>
  <si>
    <t xml:space="preserve"> PAREZ </t>
  </si>
  <si>
    <t xml:space="preserve"> WERDYN </t>
  </si>
  <si>
    <t xml:space="preserve"> WOLNIK </t>
  </si>
  <si>
    <t xml:space="preserve"> CAVAREC </t>
  </si>
  <si>
    <t xml:space="preserve"> CORBILLON </t>
  </si>
  <si>
    <t xml:space="preserve"> PONCEL </t>
  </si>
  <si>
    <t xml:space="preserve"> WAWRZICZNY </t>
  </si>
  <si>
    <t xml:space="preserve"> GESTE Espoir </t>
  </si>
  <si>
    <t xml:space="preserve"> DUTRIPON </t>
  </si>
  <si>
    <t xml:space="preserve"> PISKORSKI </t>
  </si>
  <si>
    <t xml:space="preserve"> Huy duc </t>
  </si>
  <si>
    <t xml:space="preserve"> PAUTONNIER </t>
  </si>
  <si>
    <t xml:space="preserve"> VIOLIN </t>
  </si>
  <si>
    <t xml:space="preserve"> BERRIOT </t>
  </si>
  <si>
    <t xml:space="preserve"> RAMARIJAONA </t>
  </si>
  <si>
    <t xml:space="preserve"> LANDAU </t>
  </si>
  <si>
    <t xml:space="preserve"> LOLIGNIER </t>
  </si>
  <si>
    <t xml:space="preserve"> LE LOUARN </t>
  </si>
  <si>
    <t xml:space="preserve"> HAJJI </t>
  </si>
  <si>
    <t xml:space="preserve"> Pierre-francois </t>
  </si>
  <si>
    <t xml:space="preserve"> BODARD </t>
  </si>
  <si>
    <t xml:space="preserve"> LANDELLE </t>
  </si>
  <si>
    <t xml:space="preserve"> GUERRE </t>
  </si>
  <si>
    <t xml:space="preserve"> ANTONSANTI </t>
  </si>
  <si>
    <t xml:space="preserve"> PERROUAULT </t>
  </si>
  <si>
    <t xml:space="preserve"> GARAND </t>
  </si>
  <si>
    <t xml:space="preserve"> BRETONNIERE </t>
  </si>
  <si>
    <t xml:space="preserve"> BRISELANCE </t>
  </si>
  <si>
    <t xml:space="preserve"> BRABANT </t>
  </si>
  <si>
    <t xml:space="preserve"> FUMELOISE TENNIS DE TABLE </t>
  </si>
  <si>
    <t xml:space="preserve"> LEBOT </t>
  </si>
  <si>
    <t xml:space="preserve"> MORAINE </t>
  </si>
  <si>
    <t xml:space="preserve"> BARRAUD </t>
  </si>
  <si>
    <t xml:space="preserve"> François-yves </t>
  </si>
  <si>
    <t xml:space="preserve"> BOURCIER </t>
  </si>
  <si>
    <t xml:space="preserve"> BOUGEOIS </t>
  </si>
  <si>
    <t xml:space="preserve"> ROIRAND </t>
  </si>
  <si>
    <t xml:space="preserve"> BODOLEC </t>
  </si>
  <si>
    <t xml:space="preserve"> KAPITZ </t>
  </si>
  <si>
    <t xml:space="preserve"> BEILLOT </t>
  </si>
  <si>
    <t xml:space="preserve"> LE FAUCHEUR </t>
  </si>
  <si>
    <t xml:space="preserve"> CHEVREUL </t>
  </si>
  <si>
    <t xml:space="preserve"> POULL </t>
  </si>
  <si>
    <t xml:space="preserve"> BULLE </t>
  </si>
  <si>
    <t xml:space="preserve"> LUNANT </t>
  </si>
  <si>
    <t xml:space="preserve"> DENEUVILLE </t>
  </si>
  <si>
    <t xml:space="preserve"> TT DECAZEVILLOIS </t>
  </si>
  <si>
    <t xml:space="preserve"> D'CRUZ </t>
  </si>
  <si>
    <t xml:space="preserve"> CRISENOY TT </t>
  </si>
  <si>
    <t xml:space="preserve"> MASVIDAL </t>
  </si>
  <si>
    <t xml:space="preserve"> LAGACHERIE </t>
  </si>
  <si>
    <t xml:space="preserve"> PERE </t>
  </si>
  <si>
    <t xml:space="preserve"> DUMOULIN </t>
  </si>
  <si>
    <t xml:space="preserve"> LABBAYE </t>
  </si>
  <si>
    <t xml:space="preserve"> PION </t>
  </si>
  <si>
    <t xml:space="preserve"> LE BOURGEOIS </t>
  </si>
  <si>
    <t xml:space="preserve"> DELESTRADE </t>
  </si>
  <si>
    <t xml:space="preserve"> LAURIERE </t>
  </si>
  <si>
    <t xml:space="preserve"> TESNIERE </t>
  </si>
  <si>
    <t xml:space="preserve"> DEINTERICK </t>
  </si>
  <si>
    <t xml:space="preserve"> DELFOSSE </t>
  </si>
  <si>
    <t xml:space="preserve"> DEMEURE </t>
  </si>
  <si>
    <t xml:space="preserve"> DEVLAMINCK </t>
  </si>
  <si>
    <t xml:space="preserve"> SOTTHACHITH </t>
  </si>
  <si>
    <t xml:space="preserve"> Phonepheth </t>
  </si>
  <si>
    <t xml:space="preserve"> EYMARD </t>
  </si>
  <si>
    <t xml:space="preserve"> FOLTZER </t>
  </si>
  <si>
    <t xml:space="preserve"> POLKOTYCKI </t>
  </si>
  <si>
    <t xml:space="preserve"> QUILLIOT </t>
  </si>
  <si>
    <t xml:space="preserve"> KAEPPLER </t>
  </si>
  <si>
    <t xml:space="preserve"> MOLEIRO </t>
  </si>
  <si>
    <t xml:space="preserve"> Alberto jorge </t>
  </si>
  <si>
    <t xml:space="preserve"> GINESTET </t>
  </si>
  <si>
    <t xml:space="preserve"> VILLEVIEILLE </t>
  </si>
  <si>
    <t xml:space="preserve"> REBER </t>
  </si>
  <si>
    <t xml:space="preserve"> PALATIN </t>
  </si>
  <si>
    <t xml:space="preserve"> ANVIN TT </t>
  </si>
  <si>
    <t xml:space="preserve"> HARANG </t>
  </si>
  <si>
    <t xml:space="preserve"> MARCHESI </t>
  </si>
  <si>
    <t xml:space="preserve"> VEYRE-MONTON TT </t>
  </si>
  <si>
    <t xml:space="preserve"> DUPE </t>
  </si>
  <si>
    <t xml:space="preserve"> MASIA </t>
  </si>
  <si>
    <t xml:space="preserve"> LE BELLEC </t>
  </si>
  <si>
    <t xml:space="preserve"> BEHAGUE </t>
  </si>
  <si>
    <t xml:space="preserve"> DUBELLOY </t>
  </si>
  <si>
    <t xml:space="preserve"> LECLAIRE </t>
  </si>
  <si>
    <t xml:space="preserve"> TONIN </t>
  </si>
  <si>
    <t xml:space="preserve"> APPOLINE </t>
  </si>
  <si>
    <t xml:space="preserve"> DOSMAS </t>
  </si>
  <si>
    <t xml:space="preserve"> CRIMONT </t>
  </si>
  <si>
    <t xml:space="preserve"> REMIGNON </t>
  </si>
  <si>
    <t xml:space="preserve"> ECHENAY </t>
  </si>
  <si>
    <t xml:space="preserve"> Jean vincent </t>
  </si>
  <si>
    <t xml:space="preserve"> AS LE BROC TT </t>
  </si>
  <si>
    <t xml:space="preserve"> BONNELLIER </t>
  </si>
  <si>
    <t xml:space="preserve"> PARISY </t>
  </si>
  <si>
    <t xml:space="preserve"> PELISSON </t>
  </si>
  <si>
    <t xml:space="preserve"> DEMONFAUCON </t>
  </si>
  <si>
    <t xml:space="preserve"> TRUPCEVIC </t>
  </si>
  <si>
    <t xml:space="preserve"> QUINTAINE </t>
  </si>
  <si>
    <t xml:space="preserve"> A.L. MAYET DE MONTAGNE T. </t>
  </si>
  <si>
    <t xml:space="preserve"> AMZALLAG </t>
  </si>
  <si>
    <t xml:space="preserve"> GILGERT </t>
  </si>
  <si>
    <t xml:space="preserve"> MARES </t>
  </si>
  <si>
    <t xml:space="preserve"> FOYER RURAL DE VERCIA </t>
  </si>
  <si>
    <t xml:space="preserve"> DELBOS </t>
  </si>
  <si>
    <t xml:space="preserve"> MOCCI </t>
  </si>
  <si>
    <t xml:space="preserve"> CREVET </t>
  </si>
  <si>
    <t xml:space="preserve"> ROTROU </t>
  </si>
  <si>
    <t xml:space="preserve"> MODESTE </t>
  </si>
  <si>
    <t xml:space="preserve"> DORIDANT </t>
  </si>
  <si>
    <t xml:space="preserve"> DANGLA </t>
  </si>
  <si>
    <t xml:space="preserve"> COQUEMON </t>
  </si>
  <si>
    <t xml:space="preserve"> LOUSSOUARN </t>
  </si>
  <si>
    <t xml:space="preserve"> BOUDELIER </t>
  </si>
  <si>
    <t xml:space="preserve"> FAUVEL </t>
  </si>
  <si>
    <t xml:space="preserve"> SCIAN </t>
  </si>
  <si>
    <t xml:space="preserve"> HERER </t>
  </si>
  <si>
    <t xml:space="preserve"> VOISINNE </t>
  </si>
  <si>
    <t xml:space="preserve"> BAUBRIAUD </t>
  </si>
  <si>
    <t xml:space="preserve"> AUTIER </t>
  </si>
  <si>
    <t xml:space="preserve"> VERSCHUEREN </t>
  </si>
  <si>
    <t xml:space="preserve"> MAMET </t>
  </si>
  <si>
    <t xml:space="preserve"> CERF </t>
  </si>
  <si>
    <t xml:space="preserve"> MONNEREAU </t>
  </si>
  <si>
    <t xml:space="preserve"> CLUB DE TENNIS DE TABLE G </t>
  </si>
  <si>
    <t xml:space="preserve"> SAINT-MARTIN </t>
  </si>
  <si>
    <t xml:space="preserve"> STE GENERALE </t>
  </si>
  <si>
    <t xml:space="preserve"> BOUFFENIE </t>
  </si>
  <si>
    <t xml:space="preserve"> BETTON </t>
  </si>
  <si>
    <t xml:space="preserve"> LITMAN </t>
  </si>
  <si>
    <t xml:space="preserve"> GOLSE </t>
  </si>
  <si>
    <t xml:space="preserve"> LEONARDELLI </t>
  </si>
  <si>
    <t xml:space="preserve"> DEBARRE </t>
  </si>
  <si>
    <t xml:space="preserve"> LOCUFIER </t>
  </si>
  <si>
    <t xml:space="preserve"> RONCHIN EP </t>
  </si>
  <si>
    <t xml:space="preserve"> AMSTOUTZ </t>
  </si>
  <si>
    <t xml:space="preserve"> LIEBAUT </t>
  </si>
  <si>
    <t xml:space="preserve"> LUPIN </t>
  </si>
  <si>
    <t xml:space="preserve"> LAJARA </t>
  </si>
  <si>
    <t xml:space="preserve"> GRANDGERE </t>
  </si>
  <si>
    <t xml:space="preserve"> BLACHON </t>
  </si>
  <si>
    <t xml:space="preserve"> BISCHEROUR </t>
  </si>
  <si>
    <t xml:space="preserve"> POTIN </t>
  </si>
  <si>
    <t xml:space="preserve"> LACOURT </t>
  </si>
  <si>
    <t xml:space="preserve"> MOULINS LES METZ FC </t>
  </si>
  <si>
    <t xml:space="preserve"> TT DURFORT-SOREZE </t>
  </si>
  <si>
    <t xml:space="preserve"> GUIRAL </t>
  </si>
  <si>
    <t xml:space="preserve"> LE BARILLEC </t>
  </si>
  <si>
    <t xml:space="preserve"> MAYOUX </t>
  </si>
  <si>
    <t xml:space="preserve"> DELBENDE </t>
  </si>
  <si>
    <t xml:space="preserve"> DUDIT </t>
  </si>
  <si>
    <t xml:space="preserve"> BRUGIEREGARDE </t>
  </si>
  <si>
    <t xml:space="preserve"> AUDOUY </t>
  </si>
  <si>
    <t xml:space="preserve"> HOORNAERT </t>
  </si>
  <si>
    <t xml:space="preserve"> SAVIDAN </t>
  </si>
  <si>
    <t xml:space="preserve"> DAUGE </t>
  </si>
  <si>
    <t xml:space="preserve"> HACARDIAUX </t>
  </si>
  <si>
    <t xml:space="preserve"> PHONSAVANE </t>
  </si>
  <si>
    <t xml:space="preserve"> Mi </t>
  </si>
  <si>
    <t xml:space="preserve"> MEDIC </t>
  </si>
  <si>
    <t xml:space="preserve"> LERIGOLEUR </t>
  </si>
  <si>
    <t xml:space="preserve"> REGIS </t>
  </si>
  <si>
    <t xml:space="preserve"> FLOUZAT </t>
  </si>
  <si>
    <t xml:space="preserve"> 319D0465 </t>
  </si>
  <si>
    <t xml:space="preserve"> ASTT STELLA </t>
  </si>
  <si>
    <t xml:space="preserve"> CHEMINEAU </t>
  </si>
  <si>
    <t xml:space="preserve"> DESVIGNES </t>
  </si>
  <si>
    <t xml:space="preserve"> DEBEERST </t>
  </si>
  <si>
    <t xml:space="preserve"> MATHY </t>
  </si>
  <si>
    <t xml:space="preserve"> BOSINO </t>
  </si>
  <si>
    <t xml:space="preserve"> FLEURENT </t>
  </si>
  <si>
    <t xml:space="preserve"> CHIKH </t>
  </si>
  <si>
    <t xml:space="preserve"> Fouad </t>
  </si>
  <si>
    <t xml:space="preserve"> DUTERNE </t>
  </si>
  <si>
    <t xml:space="preserve"> PUPIER </t>
  </si>
  <si>
    <t xml:space="preserve"> MAFFAIT </t>
  </si>
  <si>
    <t xml:space="preserve"> VAUCHEL </t>
  </si>
  <si>
    <t xml:space="preserve"> PRABEL </t>
  </si>
  <si>
    <t xml:space="preserve"> SOHIER </t>
  </si>
  <si>
    <t xml:space="preserve"> GELMAN </t>
  </si>
  <si>
    <t xml:space="preserve"> ROCHETTE </t>
  </si>
  <si>
    <t xml:space="preserve"> BUGNOT </t>
  </si>
  <si>
    <t xml:space="preserve"> CHALLET </t>
  </si>
  <si>
    <t xml:space="preserve"> DENIER </t>
  </si>
  <si>
    <t xml:space="preserve"> DELSALLE </t>
  </si>
  <si>
    <t xml:space="preserve"> MICHELLAND </t>
  </si>
  <si>
    <t xml:space="preserve"> RUSPINI </t>
  </si>
  <si>
    <t xml:space="preserve"> VANHEMS </t>
  </si>
  <si>
    <t xml:space="preserve"> CHAPEAUBLANC </t>
  </si>
  <si>
    <t xml:space="preserve"> TOURAINE </t>
  </si>
  <si>
    <t xml:space="preserve"> MERI </t>
  </si>
  <si>
    <t xml:space="preserve"> TOBELEM </t>
  </si>
  <si>
    <t xml:space="preserve"> HOUIS </t>
  </si>
  <si>
    <t xml:space="preserve"> RITTER </t>
  </si>
  <si>
    <t xml:space="preserve"> TIPLIE </t>
  </si>
  <si>
    <t xml:space="preserve"> LABLACHE COMBIER </t>
  </si>
  <si>
    <t xml:space="preserve"> GAGE </t>
  </si>
  <si>
    <t xml:space="preserve"> MOREY </t>
  </si>
  <si>
    <t xml:space="preserve"> ROULEAUD </t>
  </si>
  <si>
    <t xml:space="preserve"> Agostino </t>
  </si>
  <si>
    <t xml:space="preserve"> MELER </t>
  </si>
  <si>
    <t xml:space="preserve"> TOUCANNE </t>
  </si>
  <si>
    <t xml:space="preserve"> WIELA </t>
  </si>
  <si>
    <t xml:space="preserve"> DILLMANN </t>
  </si>
  <si>
    <t xml:space="preserve"> LIORET </t>
  </si>
  <si>
    <t xml:space="preserve"> T.T. FRESNE CAUVERVILLE </t>
  </si>
  <si>
    <t xml:space="preserve"> COUSSAERT </t>
  </si>
  <si>
    <t xml:space="preserve"> BATAILLARD </t>
  </si>
  <si>
    <t xml:space="preserve"> DUC MAUGE </t>
  </si>
  <si>
    <t xml:space="preserve"> PASCREAU </t>
  </si>
  <si>
    <t xml:space="preserve"> DRAY </t>
  </si>
  <si>
    <t xml:space="preserve"> BONEMERE </t>
  </si>
  <si>
    <t xml:space="preserve"> Phuc-nguyen </t>
  </si>
  <si>
    <t xml:space="preserve"> COHADE </t>
  </si>
  <si>
    <t xml:space="preserve"> BOISSERIE </t>
  </si>
  <si>
    <t xml:space="preserve"> GENDRILLON </t>
  </si>
  <si>
    <t xml:space="preserve"> AYELLO </t>
  </si>
  <si>
    <t xml:space="preserve"> JOHANNY </t>
  </si>
  <si>
    <t xml:space="preserve"> BRUSTIS </t>
  </si>
  <si>
    <t xml:space="preserve"> SUIN </t>
  </si>
  <si>
    <t xml:space="preserve"> LEQUESNE </t>
  </si>
  <si>
    <t xml:space="preserve"> VAN STAEN </t>
  </si>
  <si>
    <t xml:space="preserve"> WICRES TT </t>
  </si>
  <si>
    <t xml:space="preserve"> GUIMARD </t>
  </si>
  <si>
    <t xml:space="preserve"> BIANT </t>
  </si>
  <si>
    <t xml:space="preserve"> FRAUDET </t>
  </si>
  <si>
    <t xml:space="preserve"> MENNEVEUX </t>
  </si>
  <si>
    <t xml:space="preserve"> DAVIDS </t>
  </si>
  <si>
    <t xml:space="preserve"> LEMANACH </t>
  </si>
  <si>
    <t xml:space="preserve"> BRANCA </t>
  </si>
  <si>
    <t xml:space="preserve"> SURIRAY </t>
  </si>
  <si>
    <t xml:space="preserve"> CARBILLET </t>
  </si>
  <si>
    <t xml:space="preserve"> PETRONE </t>
  </si>
  <si>
    <t xml:space="preserve"> JONQUIERES </t>
  </si>
  <si>
    <t xml:space="preserve"> VIALLE </t>
  </si>
  <si>
    <t xml:space="preserve"> QUINSON </t>
  </si>
  <si>
    <t xml:space="preserve"> GROCQ </t>
  </si>
  <si>
    <t xml:space="preserve"> DEMELENNE </t>
  </si>
  <si>
    <t xml:space="preserve"> CHALAIS </t>
  </si>
  <si>
    <t xml:space="preserve"> GUIPONT </t>
  </si>
  <si>
    <t xml:space="preserve"> CAUBET </t>
  </si>
  <si>
    <t xml:space="preserve"> TERMOZ </t>
  </si>
  <si>
    <t xml:space="preserve"> Ryoji </t>
  </si>
  <si>
    <t xml:space="preserve"> GREVAZ </t>
  </si>
  <si>
    <t xml:space="preserve"> LERMECHAIN </t>
  </si>
  <si>
    <t xml:space="preserve"> PARELLE </t>
  </si>
  <si>
    <t xml:space="preserve"> LA SOURCE AL </t>
  </si>
  <si>
    <t xml:space="preserve"> KONNERT </t>
  </si>
  <si>
    <t xml:space="preserve"> LEBARD </t>
  </si>
  <si>
    <t xml:space="preserve"> CHAUVAUD </t>
  </si>
  <si>
    <t xml:space="preserve"> PERRAS </t>
  </si>
  <si>
    <t xml:space="preserve"> DULUC </t>
  </si>
  <si>
    <t xml:space="preserve"> CEAUX </t>
  </si>
  <si>
    <t xml:space="preserve"> SEUREAU </t>
  </si>
  <si>
    <t xml:space="preserve"> J A M PARIS 14e </t>
  </si>
  <si>
    <t xml:space="preserve"> LALEVEE </t>
  </si>
  <si>
    <t xml:space="preserve"> LE CAM </t>
  </si>
  <si>
    <t xml:space="preserve"> THIEBAUD </t>
  </si>
  <si>
    <t xml:space="preserve"> EINIG </t>
  </si>
  <si>
    <t xml:space="preserve"> BENJELLOUN </t>
  </si>
  <si>
    <t xml:space="preserve"> Faycal </t>
  </si>
  <si>
    <t xml:space="preserve"> MALPERTU </t>
  </si>
  <si>
    <t xml:space="preserve"> LE COR </t>
  </si>
  <si>
    <t xml:space="preserve"> DUPRE LA TOUR </t>
  </si>
  <si>
    <t xml:space="preserve"> JOHN DEERE SARAN OMSP. </t>
  </si>
  <si>
    <t xml:space="preserve"> LANCIEN </t>
  </si>
  <si>
    <t xml:space="preserve"> RENWEZ </t>
  </si>
  <si>
    <t xml:space="preserve"> BAZOUGERS/BAZOUGE DE CHEM </t>
  </si>
  <si>
    <t xml:space="preserve"> PONSIN </t>
  </si>
  <si>
    <t xml:space="preserve"> LAGACHE </t>
  </si>
  <si>
    <t xml:space="preserve"> SANNIER </t>
  </si>
  <si>
    <t xml:space="preserve"> BALZA </t>
  </si>
  <si>
    <t xml:space="preserve"> LA ROCCA </t>
  </si>
  <si>
    <t xml:space="preserve"> CLUB AJACCIEN T.T. </t>
  </si>
  <si>
    <t xml:space="preserve"> PALUSSIERE </t>
  </si>
  <si>
    <t xml:space="preserve"> VILMINOT </t>
  </si>
  <si>
    <t xml:space="preserve"> BELKALAÏ </t>
  </si>
  <si>
    <t xml:space="preserve"> LECAILLE </t>
  </si>
  <si>
    <t xml:space="preserve"> HELYE </t>
  </si>
  <si>
    <t xml:space="preserve"> DUMASDELAGE </t>
  </si>
  <si>
    <t xml:space="preserve"> GIRARDI </t>
  </si>
  <si>
    <t xml:space="preserve"> ALI MEHMETI </t>
  </si>
  <si>
    <t xml:space="preserve"> GENT </t>
  </si>
  <si>
    <t xml:space="preserve"> BORGUE </t>
  </si>
  <si>
    <t xml:space="preserve"> LEPECULIER </t>
  </si>
  <si>
    <t xml:space="preserve"> MOISY </t>
  </si>
  <si>
    <t xml:space="preserve"> BRIGAUD </t>
  </si>
  <si>
    <t xml:space="preserve"> POIRRIER </t>
  </si>
  <si>
    <t xml:space="preserve"> TENNIS DE TABLE VALLONNAI </t>
  </si>
  <si>
    <t xml:space="preserve"> LEGRIS </t>
  </si>
  <si>
    <t xml:space="preserve"> GASSIOT </t>
  </si>
  <si>
    <t xml:space="preserve"> MOISON </t>
  </si>
  <si>
    <t xml:space="preserve"> DABOUDET </t>
  </si>
  <si>
    <t xml:space="preserve"> ZASSOT </t>
  </si>
  <si>
    <t xml:space="preserve"> BOURIC </t>
  </si>
  <si>
    <t xml:space="preserve"> ASTIER </t>
  </si>
  <si>
    <t xml:space="preserve"> FOUASSON </t>
  </si>
  <si>
    <t xml:space="preserve"> FAGHEL </t>
  </si>
  <si>
    <t xml:space="preserve"> IOPPI </t>
  </si>
  <si>
    <t xml:space="preserve"> Moussa </t>
  </si>
  <si>
    <t xml:space="preserve"> GANTOIS </t>
  </si>
  <si>
    <t xml:space="preserve"> RANO </t>
  </si>
  <si>
    <t xml:space="preserve"> DRUMEZ </t>
  </si>
  <si>
    <t xml:space="preserve"> AUBIAT </t>
  </si>
  <si>
    <t xml:space="preserve"> FAUTRE </t>
  </si>
  <si>
    <t xml:space="preserve"> LEBAILLY </t>
  </si>
  <si>
    <t xml:space="preserve"> MOUNISSAMY </t>
  </si>
  <si>
    <t xml:space="preserve"> Kottaya </t>
  </si>
  <si>
    <t xml:space="preserve"> DUTERTRE </t>
  </si>
  <si>
    <t xml:space="preserve"> THIRE </t>
  </si>
  <si>
    <t xml:space="preserve"> Pierre - henri </t>
  </si>
  <si>
    <t xml:space="preserve"> SORTON </t>
  </si>
  <si>
    <t xml:space="preserve"> CASTETS </t>
  </si>
  <si>
    <t xml:space="preserve"> HAAR </t>
  </si>
  <si>
    <t xml:space="preserve"> KREBS </t>
  </si>
  <si>
    <t xml:space="preserve"> HAGUETTE </t>
  </si>
  <si>
    <t xml:space="preserve"> KUKLA </t>
  </si>
  <si>
    <t xml:space="preserve"> CHABROL </t>
  </si>
  <si>
    <t xml:space="preserve"> CECCALDI </t>
  </si>
  <si>
    <t xml:space="preserve"> CINTRACT </t>
  </si>
  <si>
    <t xml:space="preserve"> SUHARD </t>
  </si>
  <si>
    <t xml:space="preserve"> BRIENS </t>
  </si>
  <si>
    <t xml:space="preserve"> CHIODINI </t>
  </si>
  <si>
    <t xml:space="preserve"> COURTITARAT </t>
  </si>
  <si>
    <t xml:space="preserve"> ANDRIAMANDROSO </t>
  </si>
  <si>
    <t xml:space="preserve"> VERSCHELDE </t>
  </si>
  <si>
    <t xml:space="preserve"> CHAMPEYMONT </t>
  </si>
  <si>
    <t xml:space="preserve"> BETTINELLI </t>
  </si>
  <si>
    <t xml:space="preserve"> DAIAN </t>
  </si>
  <si>
    <t xml:space="preserve"> METENANI </t>
  </si>
  <si>
    <t xml:space="preserve"> DAUTROY </t>
  </si>
  <si>
    <t xml:space="preserve"> SEGAUD </t>
  </si>
  <si>
    <t xml:space="preserve"> GRANDEL </t>
  </si>
  <si>
    <t xml:space="preserve"> KOZAK </t>
  </si>
  <si>
    <t xml:space="preserve"> BAINS LES BAINS AM.PONG. </t>
  </si>
  <si>
    <t xml:space="preserve"> KELLER </t>
  </si>
  <si>
    <t xml:space="preserve"> BOUSSUGE </t>
  </si>
  <si>
    <t xml:space="preserve"> ALTERMOSER </t>
  </si>
  <si>
    <t xml:space="preserve"> FILET </t>
  </si>
  <si>
    <t xml:space="preserve"> CEMEX-SANOFI-TT </t>
  </si>
  <si>
    <t xml:space="preserve"> LIMARE </t>
  </si>
  <si>
    <t xml:space="preserve"> BARGINET </t>
  </si>
  <si>
    <t xml:space="preserve"> SMERC </t>
  </si>
  <si>
    <t xml:space="preserve"> MIETTE </t>
  </si>
  <si>
    <t xml:space="preserve"> HENIN </t>
  </si>
  <si>
    <t xml:space="preserve"> CREUTZWALD Tennis de Tabl </t>
  </si>
  <si>
    <t xml:space="preserve"> GOIMIER </t>
  </si>
  <si>
    <t xml:space="preserve"> WELTMAN ARON </t>
  </si>
  <si>
    <t xml:space="preserve"> WUST </t>
  </si>
  <si>
    <t xml:space="preserve"> CARRERAS </t>
  </si>
  <si>
    <t xml:space="preserve"> SCARWELL </t>
  </si>
  <si>
    <t xml:space="preserve"> DUPERRIN </t>
  </si>
  <si>
    <t xml:space="preserve"> GUEZENGAR </t>
  </si>
  <si>
    <t xml:space="preserve"> NAULT </t>
  </si>
  <si>
    <t xml:space="preserve"> MASCHKE </t>
  </si>
  <si>
    <t xml:space="preserve"> HOCQUART </t>
  </si>
  <si>
    <t xml:space="preserve"> LE DROGUEUX </t>
  </si>
  <si>
    <t xml:space="preserve"> LIZIARD </t>
  </si>
  <si>
    <t xml:space="preserve"> BRISSONNEAU </t>
  </si>
  <si>
    <t xml:space="preserve"> SPORT LOISIR COMMUNAL </t>
  </si>
  <si>
    <t xml:space="preserve"> BOUGUETTOUCHE </t>
  </si>
  <si>
    <t xml:space="preserve"> CLEMENCET </t>
  </si>
  <si>
    <t xml:space="preserve"> LAKOMY </t>
  </si>
  <si>
    <t xml:space="preserve"> CHARRON </t>
  </si>
  <si>
    <t xml:space="preserve"> ARZEL </t>
  </si>
  <si>
    <t xml:space="preserve"> ZIEGLER </t>
  </si>
  <si>
    <t xml:space="preserve"> VERNEAU </t>
  </si>
  <si>
    <t xml:space="preserve"> GENTET </t>
  </si>
  <si>
    <t xml:space="preserve"> BIGNAULT </t>
  </si>
  <si>
    <t xml:space="preserve"> BOUICHOU </t>
  </si>
  <si>
    <t xml:space="preserve"> MANEZ </t>
  </si>
  <si>
    <t xml:space="preserve"> Jean-raphaël </t>
  </si>
  <si>
    <t xml:space="preserve"> LENÔTRE </t>
  </si>
  <si>
    <t xml:space="preserve"> LAPLAUD </t>
  </si>
  <si>
    <t xml:space="preserve"> ORADOUR-SUR-VAYRES TT (87 </t>
  </si>
  <si>
    <t xml:space="preserve"> BULIARD </t>
  </si>
  <si>
    <t xml:space="preserve"> MICELI </t>
  </si>
  <si>
    <t xml:space="preserve"> SEBAZAC TENNIS DE TABLE </t>
  </si>
  <si>
    <t xml:space="preserve"> MARCHELIDON </t>
  </si>
  <si>
    <t xml:space="preserve"> NOURRY </t>
  </si>
  <si>
    <t xml:space="preserve"> BECHTET </t>
  </si>
  <si>
    <t xml:space="preserve"> DA ROCHA </t>
  </si>
  <si>
    <t xml:space="preserve"> TOSO </t>
  </si>
  <si>
    <t xml:space="preserve"> GUINEHEUX </t>
  </si>
  <si>
    <t xml:space="preserve"> REES </t>
  </si>
  <si>
    <t xml:space="preserve"> DROBCZYNSKI </t>
  </si>
  <si>
    <t xml:space="preserve"> LE SCANVE </t>
  </si>
  <si>
    <t xml:space="preserve"> SIBAUD </t>
  </si>
  <si>
    <t xml:space="preserve"> FAYET AMICALE TENNIS DE T </t>
  </si>
  <si>
    <t xml:space="preserve"> CASSANAS </t>
  </si>
  <si>
    <t xml:space="preserve"> FROGER </t>
  </si>
  <si>
    <t xml:space="preserve"> BOENNEC </t>
  </si>
  <si>
    <t xml:space="preserve"> HECQUET </t>
  </si>
  <si>
    <t xml:space="preserve"> PATEREK </t>
  </si>
  <si>
    <t xml:space="preserve"> THIEULIN </t>
  </si>
  <si>
    <t xml:space="preserve"> VADANS </t>
  </si>
  <si>
    <t xml:space="preserve"> GLEMBA </t>
  </si>
  <si>
    <t xml:space="preserve"> MATTER </t>
  </si>
  <si>
    <t xml:space="preserve"> BEAUCLAIRE </t>
  </si>
  <si>
    <t xml:space="preserve"> MIGNANI </t>
  </si>
  <si>
    <t xml:space="preserve"> LHERAUX </t>
  </si>
  <si>
    <t xml:space="preserve"> DUPOUY </t>
  </si>
  <si>
    <t xml:space="preserve"> MARGUERIE </t>
  </si>
  <si>
    <t xml:space="preserve"> SOLTYSIAK </t>
  </si>
  <si>
    <t xml:space="preserve"> SOUDAY </t>
  </si>
  <si>
    <t xml:space="preserve"> DELBE </t>
  </si>
  <si>
    <t xml:space="preserve"> Jean_pierre </t>
  </si>
  <si>
    <t xml:space="preserve"> CAMUSEAU </t>
  </si>
  <si>
    <t xml:space="preserve"> DAILLY </t>
  </si>
  <si>
    <t xml:space="preserve"> ALCON </t>
  </si>
  <si>
    <t xml:space="preserve"> TERNAT </t>
  </si>
  <si>
    <t xml:space="preserve"> PASCOUAU </t>
  </si>
  <si>
    <t xml:space="preserve"> DEMEILLERS </t>
  </si>
  <si>
    <t xml:space="preserve"> PELON </t>
  </si>
  <si>
    <t xml:space="preserve"> DEBUYSER </t>
  </si>
  <si>
    <t xml:space="preserve"> DELOURMEL </t>
  </si>
  <si>
    <t xml:space="preserve"> LEVOINTURIER </t>
  </si>
  <si>
    <t xml:space="preserve"> GUEURY </t>
  </si>
  <si>
    <t xml:space="preserve"> PURNODE </t>
  </si>
  <si>
    <t xml:space="preserve"> Jean - jacques </t>
  </si>
  <si>
    <t xml:space="preserve"> RICCI </t>
  </si>
  <si>
    <t xml:space="preserve"> Nevio </t>
  </si>
  <si>
    <t xml:space="preserve"> LEPOITTEVIN </t>
  </si>
  <si>
    <t xml:space="preserve"> GIBASZEK </t>
  </si>
  <si>
    <t xml:space="preserve"> MOULESSEHOUL </t>
  </si>
  <si>
    <t xml:space="preserve"> Sidi </t>
  </si>
  <si>
    <t xml:space="preserve"> TT DES COLLINES DU PERCHE </t>
  </si>
  <si>
    <t xml:space="preserve"> VANDURA </t>
  </si>
  <si>
    <t xml:space="preserve"> ROGOZINSKI </t>
  </si>
  <si>
    <t xml:space="preserve"> MIRAVETE </t>
  </si>
  <si>
    <t xml:space="preserve"> RUFFEL </t>
  </si>
  <si>
    <t xml:space="preserve"> PONCE </t>
  </si>
  <si>
    <t xml:space="preserve"> RIGAUX </t>
  </si>
  <si>
    <t xml:space="preserve"> JAUZELON </t>
  </si>
  <si>
    <t xml:space="preserve"> ABBASSI </t>
  </si>
  <si>
    <t xml:space="preserve"> Ahmad </t>
  </si>
  <si>
    <t xml:space="preserve"> BALEDENT </t>
  </si>
  <si>
    <t xml:space="preserve"> GAGNEUX </t>
  </si>
  <si>
    <t xml:space="preserve"> MAINGUET </t>
  </si>
  <si>
    <t xml:space="preserve"> CAVROT </t>
  </si>
  <si>
    <t xml:space="preserve"> MERIGNIES T.T. </t>
  </si>
  <si>
    <t xml:space="preserve"> GAUCHE </t>
  </si>
  <si>
    <t xml:space="preserve"> TRAHOT </t>
  </si>
  <si>
    <t xml:space="preserve"> PARISH </t>
  </si>
  <si>
    <t xml:space="preserve"> Syroos </t>
  </si>
  <si>
    <t xml:space="preserve"> JONVEAUX </t>
  </si>
  <si>
    <t xml:space="preserve"> DANAN </t>
  </si>
  <si>
    <t xml:space="preserve"> RAHAIN </t>
  </si>
  <si>
    <t xml:space="preserve"> ADAMO </t>
  </si>
  <si>
    <t xml:space="preserve"> TENNIS DE TABLE VALENSOLA </t>
  </si>
  <si>
    <t xml:space="preserve"> HUC-DUMAS </t>
  </si>
  <si>
    <t xml:space="preserve"> CAVARD </t>
  </si>
  <si>
    <t xml:space="preserve"> CORPEL </t>
  </si>
  <si>
    <t xml:space="preserve"> MILLARD </t>
  </si>
  <si>
    <t xml:space="preserve"> BADAULT </t>
  </si>
  <si>
    <t xml:space="preserve"> CHINIARD </t>
  </si>
  <si>
    <t xml:space="preserve"> ROGNON </t>
  </si>
  <si>
    <t xml:space="preserve"> PIEDANNA </t>
  </si>
  <si>
    <t xml:space="preserve"> PORCHIER </t>
  </si>
  <si>
    <t xml:space="preserve"> BOUDON </t>
  </si>
  <si>
    <t xml:space="preserve"> LE TOHIC </t>
  </si>
  <si>
    <t xml:space="preserve"> PRINCIPATO </t>
  </si>
  <si>
    <t xml:space="preserve"> RICART </t>
  </si>
  <si>
    <t xml:space="preserve"> CONCHOU </t>
  </si>
  <si>
    <t xml:space="preserve"> EVIEUX </t>
  </si>
  <si>
    <t xml:space="preserve"> CRUZ </t>
  </si>
  <si>
    <t xml:space="preserve"> SOSSOUGAH </t>
  </si>
  <si>
    <t xml:space="preserve"> NIVAULT </t>
  </si>
  <si>
    <t xml:space="preserve"> MAMADOU </t>
  </si>
  <si>
    <t xml:space="preserve"> DOMAS </t>
  </si>
  <si>
    <t xml:space="preserve"> Gianni </t>
  </si>
  <si>
    <t xml:space="preserve"> SOUVIGNE AS </t>
  </si>
  <si>
    <t xml:space="preserve"> POTREL </t>
  </si>
  <si>
    <t xml:space="preserve"> BRICHART </t>
  </si>
  <si>
    <t xml:space="preserve"> LAMINE </t>
  </si>
  <si>
    <t xml:space="preserve"> PINARD </t>
  </si>
  <si>
    <t xml:space="preserve"> BAUCHEREL </t>
  </si>
  <si>
    <t xml:space="preserve"> TISSET </t>
  </si>
  <si>
    <t xml:space="preserve"> MOERMAN </t>
  </si>
  <si>
    <t xml:space="preserve"> LESSIRE </t>
  </si>
  <si>
    <t xml:space="preserve"> COURSIMAULT </t>
  </si>
  <si>
    <t xml:space="preserve"> GARBANI </t>
  </si>
  <si>
    <t xml:space="preserve"> MALASSIS </t>
  </si>
  <si>
    <t xml:space="preserve"> DOERLER </t>
  </si>
  <si>
    <t xml:space="preserve"> HENTZ </t>
  </si>
  <si>
    <t xml:space="preserve"> LALLEMAND </t>
  </si>
  <si>
    <t xml:space="preserve"> CHEDAILLE </t>
  </si>
  <si>
    <t xml:space="preserve"> TENNIS DE TABLE BRIVISTE </t>
  </si>
  <si>
    <t xml:space="preserve"> Ismael </t>
  </si>
  <si>
    <t xml:space="preserve"> TALVAS </t>
  </si>
  <si>
    <t xml:space="preserve"> GRIMONPONT </t>
  </si>
  <si>
    <t xml:space="preserve"> AUBURSIN </t>
  </si>
  <si>
    <t xml:space="preserve"> DARPEIX </t>
  </si>
  <si>
    <t xml:space="preserve"> BORTOLO </t>
  </si>
  <si>
    <t xml:space="preserve"> GRZESKOWIAK </t>
  </si>
  <si>
    <t xml:space="preserve"> OBEIN </t>
  </si>
  <si>
    <t xml:space="preserve"> BUCHALET </t>
  </si>
  <si>
    <t xml:space="preserve"> WERQUIN </t>
  </si>
  <si>
    <t xml:space="preserve"> SIRVENT </t>
  </si>
  <si>
    <t xml:space="preserve"> AGUILAR </t>
  </si>
  <si>
    <t xml:space="preserve"> VENEL </t>
  </si>
  <si>
    <t xml:space="preserve"> DAGUIER </t>
  </si>
  <si>
    <t xml:space="preserve"> GIGAN </t>
  </si>
  <si>
    <t xml:space="preserve"> TEILLEULAIS TT </t>
  </si>
  <si>
    <t xml:space="preserve"> MANGONGA </t>
  </si>
  <si>
    <t xml:space="preserve"> AJ TAILLAN </t>
  </si>
  <si>
    <t xml:space="preserve"> TANKO </t>
  </si>
  <si>
    <t xml:space="preserve"> Dalibor </t>
  </si>
  <si>
    <t xml:space="preserve"> DESQUESNES </t>
  </si>
  <si>
    <t xml:space="preserve"> GOTTSCHALK </t>
  </si>
  <si>
    <t xml:space="preserve"> ABOUZEID </t>
  </si>
  <si>
    <t xml:space="preserve"> AGUERGARAY </t>
  </si>
  <si>
    <t xml:space="preserve"> BATTARD </t>
  </si>
  <si>
    <t xml:space="preserve"> DUBREIL </t>
  </si>
  <si>
    <t xml:space="preserve"> ESPERANCE DE BRIGNAIS </t>
  </si>
  <si>
    <t xml:space="preserve"> DEMOUGIN </t>
  </si>
  <si>
    <t xml:space="preserve"> VOGT </t>
  </si>
  <si>
    <t xml:space="preserve"> FIOT </t>
  </si>
  <si>
    <t xml:space="preserve"> SAMPIC </t>
  </si>
  <si>
    <t xml:space="preserve"> AS PONGISTES 8ème </t>
  </si>
  <si>
    <t xml:space="preserve"> GERGEAUX </t>
  </si>
  <si>
    <t xml:space="preserve"> Kong-fou </t>
  </si>
  <si>
    <t xml:space="preserve"> RIVAULT </t>
  </si>
  <si>
    <t xml:space="preserve"> TREBOSCEN </t>
  </si>
  <si>
    <t xml:space="preserve"> BOEGLEN </t>
  </si>
  <si>
    <t xml:space="preserve"> CALDO </t>
  </si>
  <si>
    <t xml:space="preserve"> CHAPAS </t>
  </si>
  <si>
    <t xml:space="preserve"> TRIFFAULT </t>
  </si>
  <si>
    <t xml:space="preserve"> NGUYEN TAM TRUC </t>
  </si>
  <si>
    <t xml:space="preserve"> PALOMINO </t>
  </si>
  <si>
    <t xml:space="preserve"> WAGON </t>
  </si>
  <si>
    <t xml:space="preserve"> REGOUBY </t>
  </si>
  <si>
    <t xml:space="preserve"> MANSENQUAL </t>
  </si>
  <si>
    <t xml:space="preserve"> MAUREILLE </t>
  </si>
  <si>
    <t xml:space="preserve"> GENRE GRANDPIERRE </t>
  </si>
  <si>
    <t xml:space="preserve"> LETOUZE </t>
  </si>
  <si>
    <t xml:space="preserve"> LE BOURHIS </t>
  </si>
  <si>
    <t xml:space="preserve"> BOUFFARD </t>
  </si>
  <si>
    <t xml:space="preserve"> CHATREAUX </t>
  </si>
  <si>
    <t xml:space="preserve"> CHION </t>
  </si>
  <si>
    <t xml:space="preserve"> AMESLANT </t>
  </si>
  <si>
    <t xml:space="preserve"> FAUVIN </t>
  </si>
  <si>
    <t xml:space="preserve"> CHAUDIERES </t>
  </si>
  <si>
    <t xml:space="preserve"> CHAPARD </t>
  </si>
  <si>
    <t xml:space="preserve"> CANET </t>
  </si>
  <si>
    <t xml:space="preserve"> SORBIAN </t>
  </si>
  <si>
    <t xml:space="preserve"> LE PAIH </t>
  </si>
  <si>
    <t xml:space="preserve"> BROCHER </t>
  </si>
  <si>
    <t xml:space="preserve"> MELLOU </t>
  </si>
  <si>
    <t xml:space="preserve"> VYNCKE </t>
  </si>
  <si>
    <t xml:space="preserve"> MANN </t>
  </si>
  <si>
    <t xml:space="preserve"> MARNAS </t>
  </si>
  <si>
    <t xml:space="preserve"> Gillles </t>
  </si>
  <si>
    <t xml:space="preserve"> TTC LA CHAMBRE / EPIERRE </t>
  </si>
  <si>
    <t xml:space="preserve"> JOSSERAND </t>
  </si>
  <si>
    <t xml:space="preserve"> BIBER </t>
  </si>
  <si>
    <t xml:space="preserve"> BONIN </t>
  </si>
  <si>
    <t xml:space="preserve"> OUVRY </t>
  </si>
  <si>
    <t xml:space="preserve"> MOUSSION </t>
  </si>
  <si>
    <t xml:space="preserve"> VIXEGE </t>
  </si>
  <si>
    <t xml:space="preserve"> CHANAC TENNIS DE TABLE </t>
  </si>
  <si>
    <t xml:space="preserve"> DECARLI </t>
  </si>
  <si>
    <t xml:space="preserve"> FINCK </t>
  </si>
  <si>
    <t xml:space="preserve"> MOUTAILLER </t>
  </si>
  <si>
    <t xml:space="preserve"> BELFORT </t>
  </si>
  <si>
    <t xml:space="preserve"> CROIX </t>
  </si>
  <si>
    <t xml:space="preserve"> MONNIEZ </t>
  </si>
  <si>
    <t xml:space="preserve"> CADINOT </t>
  </si>
  <si>
    <t xml:space="preserve"> BERTHET </t>
  </si>
  <si>
    <t xml:space="preserve"> VIZET </t>
  </si>
  <si>
    <t xml:space="preserve"> PARQUET </t>
  </si>
  <si>
    <t xml:space="preserve"> RACZYNSKI </t>
  </si>
  <si>
    <t xml:space="preserve"> BEQUET </t>
  </si>
  <si>
    <t xml:space="preserve"> MONCLIN </t>
  </si>
  <si>
    <t xml:space="preserve"> MILIN </t>
  </si>
  <si>
    <t xml:space="preserve"> KEROUEDAN </t>
  </si>
  <si>
    <t xml:space="preserve"> LAUGEL </t>
  </si>
  <si>
    <t xml:space="preserve"> N GUYEN DANG </t>
  </si>
  <si>
    <t xml:space="preserve"> Khoa </t>
  </si>
  <si>
    <t xml:space="preserve"> STOCLET </t>
  </si>
  <si>
    <t xml:space="preserve"> COTEL </t>
  </si>
  <si>
    <t xml:space="preserve"> Yunnat </t>
  </si>
  <si>
    <t xml:space="preserve"> MAGOT </t>
  </si>
  <si>
    <t xml:space="preserve"> SOAVE </t>
  </si>
  <si>
    <t xml:space="preserve"> DEBADE </t>
  </si>
  <si>
    <t xml:space="preserve"> FACON </t>
  </si>
  <si>
    <t xml:space="preserve"> POLO </t>
  </si>
  <si>
    <t xml:space="preserve"> YEUNG LAM KO </t>
  </si>
  <si>
    <t xml:space="preserve"> COCHEREL </t>
  </si>
  <si>
    <t xml:space="preserve"> BOESPFLUG </t>
  </si>
  <si>
    <t xml:space="preserve"> CREUSET </t>
  </si>
  <si>
    <t xml:space="preserve"> MIGNOTY </t>
  </si>
  <si>
    <t xml:space="preserve"> PERONNE </t>
  </si>
  <si>
    <t xml:space="preserve"> FRACHISSE </t>
  </si>
  <si>
    <t xml:space="preserve"> PROCIK </t>
  </si>
  <si>
    <t xml:space="preserve"> ST GEORGES S.L. </t>
  </si>
  <si>
    <t xml:space="preserve"> Sédric </t>
  </si>
  <si>
    <t xml:space="preserve"> ANDRYSIAK </t>
  </si>
  <si>
    <t xml:space="preserve"> MOGNEVILLE MONCHY LAIGNEV </t>
  </si>
  <si>
    <t xml:space="preserve"> CARTRON </t>
  </si>
  <si>
    <t xml:space="preserve"> VAN WYNENDAELE </t>
  </si>
  <si>
    <t xml:space="preserve"> LILLE CREDIT MUTUEL AS </t>
  </si>
  <si>
    <t xml:space="preserve"> JOLFRE </t>
  </si>
  <si>
    <t xml:space="preserve"> LERIQUE </t>
  </si>
  <si>
    <t xml:space="preserve"> BYRNE </t>
  </si>
  <si>
    <t xml:space="preserve"> HARRAT </t>
  </si>
  <si>
    <t xml:space="preserve"> DASNOIS </t>
  </si>
  <si>
    <t xml:space="preserve"> RUFFO </t>
  </si>
  <si>
    <t xml:space="preserve"> FOUGERE </t>
  </si>
  <si>
    <t xml:space="preserve"> CARRIQUE </t>
  </si>
  <si>
    <t xml:space="preserve"> T.T.C. BUIS LES BARONNIES </t>
  </si>
  <si>
    <t xml:space="preserve"> TROCHERIE </t>
  </si>
  <si>
    <t xml:space="preserve"> KACZEMAREK </t>
  </si>
  <si>
    <t xml:space="preserve"> BAUDEN </t>
  </si>
  <si>
    <t xml:space="preserve"> FLEURUS </t>
  </si>
  <si>
    <t xml:space="preserve"> BERNON </t>
  </si>
  <si>
    <t xml:space="preserve"> CAPLETTE </t>
  </si>
  <si>
    <t xml:space="preserve"> QUILGARS </t>
  </si>
  <si>
    <t xml:space="preserve"> COQUOIN </t>
  </si>
  <si>
    <t xml:space="preserve"> BOINOT </t>
  </si>
  <si>
    <t xml:space="preserve"> BARREZ </t>
  </si>
  <si>
    <t xml:space="preserve"> MANUSSET </t>
  </si>
  <si>
    <t xml:space="preserve"> JUTTIN </t>
  </si>
  <si>
    <t xml:space="preserve"> GOUESLAIN </t>
  </si>
  <si>
    <t xml:space="preserve"> MATEO </t>
  </si>
  <si>
    <t xml:space="preserve"> CRESSONNIER </t>
  </si>
  <si>
    <t xml:space="preserve"> SEVRIT </t>
  </si>
  <si>
    <t xml:space="preserve"> HAJ MOURAD </t>
  </si>
  <si>
    <t xml:space="preserve"> Ahmad hachem </t>
  </si>
  <si>
    <t xml:space="preserve"> TRICHEREAU </t>
  </si>
  <si>
    <t xml:space="preserve"> PIFRE </t>
  </si>
  <si>
    <t xml:space="preserve"> RANTIC </t>
  </si>
  <si>
    <t xml:space="preserve"> MALIGE </t>
  </si>
  <si>
    <t xml:space="preserve"> MAESTRUTTI </t>
  </si>
  <si>
    <t xml:space="preserve"> YQUEL </t>
  </si>
  <si>
    <t xml:space="preserve"> CHAPEAUX </t>
  </si>
  <si>
    <t xml:space="preserve"> BOUDEAUD </t>
  </si>
  <si>
    <t xml:space="preserve"> REINE ADELAIDE </t>
  </si>
  <si>
    <t xml:space="preserve"> BEGES </t>
  </si>
  <si>
    <t xml:space="preserve"> RENAZÉEN Tennis de Table </t>
  </si>
  <si>
    <t xml:space="preserve"> THORNER </t>
  </si>
  <si>
    <t xml:space="preserve"> CHARTRIN </t>
  </si>
  <si>
    <t xml:space="preserve"> BOITTIN </t>
  </si>
  <si>
    <t xml:space="preserve"> VANDINI </t>
  </si>
  <si>
    <t xml:space="preserve"> OSOUF </t>
  </si>
  <si>
    <t xml:space="preserve"> Jean Marie </t>
  </si>
  <si>
    <t xml:space="preserve"> AMELOT </t>
  </si>
  <si>
    <t xml:space="preserve"> LECLER </t>
  </si>
  <si>
    <t xml:space="preserve"> RIBOLI </t>
  </si>
  <si>
    <t xml:space="preserve"> GROLET </t>
  </si>
  <si>
    <t xml:space="preserve"> DAHLEM </t>
  </si>
  <si>
    <t xml:space="preserve"> TASSAN </t>
  </si>
  <si>
    <t xml:space="preserve"> FRETARD </t>
  </si>
  <si>
    <t xml:space="preserve"> MAETINI </t>
  </si>
  <si>
    <t xml:space="preserve"> GIPPET </t>
  </si>
  <si>
    <t xml:space="preserve"> DORIER </t>
  </si>
  <si>
    <t xml:space="preserve"> M'BEI </t>
  </si>
  <si>
    <t xml:space="preserve"> Jay </t>
  </si>
  <si>
    <t xml:space="preserve"> LE QUEN </t>
  </si>
  <si>
    <t xml:space="preserve"> COMBIER </t>
  </si>
  <si>
    <t xml:space="preserve"> DANDEVILLE </t>
  </si>
  <si>
    <t xml:space="preserve"> PARFAIT </t>
  </si>
  <si>
    <t xml:space="preserve"> MONTIGNY LE ROI AJP </t>
  </si>
  <si>
    <t xml:space="preserve"> CAILLON </t>
  </si>
  <si>
    <t xml:space="preserve"> DESAFIT </t>
  </si>
  <si>
    <t xml:space="preserve"> NESSELBUSCH </t>
  </si>
  <si>
    <t xml:space="preserve"> NAPPE </t>
  </si>
  <si>
    <t xml:space="preserve"> GORET </t>
  </si>
  <si>
    <t xml:space="preserve"> Jacques-marie </t>
  </si>
  <si>
    <t xml:space="preserve"> JAROSZ </t>
  </si>
  <si>
    <t xml:space="preserve"> RAPIERA </t>
  </si>
  <si>
    <t xml:space="preserve"> FONTA </t>
  </si>
  <si>
    <t xml:space="preserve"> SAID </t>
  </si>
  <si>
    <t xml:space="preserve"> BOUCHENEZ </t>
  </si>
  <si>
    <t xml:space="preserve"> VANTALON </t>
  </si>
  <si>
    <t xml:space="preserve"> DUCOS </t>
  </si>
  <si>
    <t xml:space="preserve"> JACCOTTEY </t>
  </si>
  <si>
    <t xml:space="preserve"> DULONG </t>
  </si>
  <si>
    <t xml:space="preserve"> BULLENGER </t>
  </si>
  <si>
    <t xml:space="preserve"> TANCHOUX </t>
  </si>
  <si>
    <t xml:space="preserve"> CHARRA </t>
  </si>
  <si>
    <t xml:space="preserve"> FLAUX </t>
  </si>
  <si>
    <t xml:space="preserve"> VAN KERCKHOVE </t>
  </si>
  <si>
    <t xml:space="preserve"> ROVEDA </t>
  </si>
  <si>
    <t xml:space="preserve"> MANTION </t>
  </si>
  <si>
    <t xml:space="preserve"> CADEAU </t>
  </si>
  <si>
    <t xml:space="preserve"> LEPREUX </t>
  </si>
  <si>
    <t xml:space="preserve"> MAQUAIRE </t>
  </si>
  <si>
    <t xml:space="preserve"> POLI </t>
  </si>
  <si>
    <t xml:space="preserve"> MANVIEU </t>
  </si>
  <si>
    <t xml:space="preserve"> BARDOT </t>
  </si>
  <si>
    <t xml:space="preserve"> BERGONZI </t>
  </si>
  <si>
    <t xml:space="preserve"> HERRY </t>
  </si>
  <si>
    <t xml:space="preserve"> MALARD </t>
  </si>
  <si>
    <t xml:space="preserve"> DEMARTHON </t>
  </si>
  <si>
    <t xml:space="preserve"> BOURRIOT </t>
  </si>
  <si>
    <t xml:space="preserve"> DEHEDIN </t>
  </si>
  <si>
    <t xml:space="preserve"> COURRET </t>
  </si>
  <si>
    <t xml:space="preserve"> DILLENSCHNEIDER </t>
  </si>
  <si>
    <t xml:space="preserve"> HENNEQUIN </t>
  </si>
  <si>
    <t xml:space="preserve"> REBUT </t>
  </si>
  <si>
    <t xml:space="preserve"> Vidal </t>
  </si>
  <si>
    <t xml:space="preserve"> BURNICHON </t>
  </si>
  <si>
    <t xml:space="preserve"> BESSERVE </t>
  </si>
  <si>
    <t xml:space="preserve"> CASTET </t>
  </si>
  <si>
    <t xml:space="preserve"> ROCAMORA </t>
  </si>
  <si>
    <t xml:space="preserve"> SMALBEEN </t>
  </si>
  <si>
    <t xml:space="preserve"> DE GABORY </t>
  </si>
  <si>
    <t xml:space="preserve"> WEHR </t>
  </si>
  <si>
    <t xml:space="preserve"> JAUBERT </t>
  </si>
  <si>
    <t xml:space="preserve"> GANNE </t>
  </si>
  <si>
    <t xml:space="preserve"> BEELER </t>
  </si>
  <si>
    <t xml:space="preserve"> GUICHET </t>
  </si>
  <si>
    <t xml:space="preserve"> MORLET </t>
  </si>
  <si>
    <t xml:space="preserve"> PALLOT </t>
  </si>
  <si>
    <t xml:space="preserve"> COTE VERMEILLE TT </t>
  </si>
  <si>
    <t xml:space="preserve"> LE MARHOLLEC </t>
  </si>
  <si>
    <t xml:space="preserve"> MAECHLING </t>
  </si>
  <si>
    <t xml:space="preserve"> GARRIOU </t>
  </si>
  <si>
    <t xml:space="preserve"> CROZIER </t>
  </si>
  <si>
    <t xml:space="preserve"> PONTONI </t>
  </si>
  <si>
    <t xml:space="preserve"> POCHET </t>
  </si>
  <si>
    <t xml:space="preserve"> RAVARY </t>
  </si>
  <si>
    <t xml:space="preserve"> MATHIVET </t>
  </si>
  <si>
    <t xml:space="preserve"> ORLEANS USOPOC </t>
  </si>
  <si>
    <t xml:space="preserve"> DESPUJOLS </t>
  </si>
  <si>
    <t xml:space="preserve"> LEDOYEN </t>
  </si>
  <si>
    <t xml:space="preserve"> BOUGUETTAYA </t>
  </si>
  <si>
    <t xml:space="preserve"> DEVOLDERE </t>
  </si>
  <si>
    <t xml:space="preserve"> AGARD </t>
  </si>
  <si>
    <t xml:space="preserve"> Sireuil ALTT </t>
  </si>
  <si>
    <t xml:space="preserve"> GOUILLART </t>
  </si>
  <si>
    <t xml:space="preserve"> SIRGANT </t>
  </si>
  <si>
    <t xml:space="preserve"> FLORQUIN </t>
  </si>
  <si>
    <t xml:space="preserve"> RECOURS </t>
  </si>
  <si>
    <t xml:space="preserve"> SCHAB </t>
  </si>
  <si>
    <t xml:space="preserve"> SUBTIL </t>
  </si>
  <si>
    <t xml:space="preserve"> POULOUIN </t>
  </si>
  <si>
    <t xml:space="preserve"> DANIEAU </t>
  </si>
  <si>
    <t xml:space="preserve"> MICLET </t>
  </si>
  <si>
    <t xml:space="preserve"> SCHOLLER </t>
  </si>
  <si>
    <t xml:space="preserve"> LANERY </t>
  </si>
  <si>
    <t xml:space="preserve"> CORSIEZ </t>
  </si>
  <si>
    <t xml:space="preserve"> LEMOIGNE </t>
  </si>
  <si>
    <t xml:space="preserve"> DELADERRIERE </t>
  </si>
  <si>
    <t xml:space="preserve"> BERNAVA </t>
  </si>
  <si>
    <t xml:space="preserve"> BUSCAIL </t>
  </si>
  <si>
    <t xml:space="preserve"> DESNIER </t>
  </si>
  <si>
    <t xml:space="preserve"> LEONE </t>
  </si>
  <si>
    <t xml:space="preserve"> LIEURON AVENIR </t>
  </si>
  <si>
    <t xml:space="preserve"> TOUPIN </t>
  </si>
  <si>
    <t xml:space="preserve"> BELLEAU </t>
  </si>
  <si>
    <t xml:space="preserve"> GOURLAN </t>
  </si>
  <si>
    <t xml:space="preserve"> LAMPIN </t>
  </si>
  <si>
    <t xml:space="preserve"> WINGLES CLL </t>
  </si>
  <si>
    <t xml:space="preserve"> CRESPEL </t>
  </si>
  <si>
    <t xml:space="preserve"> PANETTA </t>
  </si>
  <si>
    <t xml:space="preserve"> DUBUFFET </t>
  </si>
  <si>
    <t xml:space="preserve"> LEONARDI </t>
  </si>
  <si>
    <t xml:space="preserve"> PAISOT </t>
  </si>
  <si>
    <t xml:space="preserve"> STE FORTUNADE Tenn. de Ta </t>
  </si>
  <si>
    <t xml:space="preserve"> DAVAILLE </t>
  </si>
  <si>
    <t xml:space="preserve"> CHAAR </t>
  </si>
  <si>
    <t xml:space="preserve"> Hicham </t>
  </si>
  <si>
    <t xml:space="preserve"> SAINMONT </t>
  </si>
  <si>
    <t xml:space="preserve"> BRETOT </t>
  </si>
  <si>
    <t xml:space="preserve"> GALVAIRE </t>
  </si>
  <si>
    <t xml:space="preserve"> TRAWKA </t>
  </si>
  <si>
    <t xml:space="preserve"> HOLLEBECQ </t>
  </si>
  <si>
    <t xml:space="preserve"> JAMART </t>
  </si>
  <si>
    <t xml:space="preserve"> MAIRESSE </t>
  </si>
  <si>
    <t xml:space="preserve"> MOLTON </t>
  </si>
  <si>
    <t xml:space="preserve"> GOIZIL </t>
  </si>
  <si>
    <t xml:space="preserve"> DE DOMENICO </t>
  </si>
  <si>
    <t xml:space="preserve"> GRASSLER </t>
  </si>
  <si>
    <t xml:space="preserve"> STENNE </t>
  </si>
  <si>
    <t xml:space="preserve"> CANTENEUR </t>
  </si>
  <si>
    <t xml:space="preserve"> CLOWEZ </t>
  </si>
  <si>
    <t xml:space="preserve"> EVANNO </t>
  </si>
  <si>
    <t xml:space="preserve"> SEDDAOUI </t>
  </si>
  <si>
    <t xml:space="preserve"> NAOUR </t>
  </si>
  <si>
    <t xml:space="preserve"> VIROULAUD </t>
  </si>
  <si>
    <t xml:space="preserve"> KOT </t>
  </si>
  <si>
    <t xml:space="preserve"> EOUZAN </t>
  </si>
  <si>
    <t xml:space="preserve"> LORINEAU </t>
  </si>
  <si>
    <t xml:space="preserve"> SYDAPHASAVANH </t>
  </si>
  <si>
    <t xml:space="preserve"> MANSUY </t>
  </si>
  <si>
    <t xml:space="preserve"> BOLLECKER </t>
  </si>
  <si>
    <t xml:space="preserve"> TROTTA </t>
  </si>
  <si>
    <t xml:space="preserve"> Nhit phi </t>
  </si>
  <si>
    <t xml:space="preserve"> ALCARAZ </t>
  </si>
  <si>
    <t xml:space="preserve"> BORDEAUX </t>
  </si>
  <si>
    <t xml:space="preserve"> MOUILLARD </t>
  </si>
  <si>
    <t xml:space="preserve"> CRUDER </t>
  </si>
  <si>
    <t xml:space="preserve"> AUDHEON </t>
  </si>
  <si>
    <t xml:space="preserve"> AUNAY </t>
  </si>
  <si>
    <t xml:space="preserve"> BUSSIERES </t>
  </si>
  <si>
    <t xml:space="preserve"> JACOT </t>
  </si>
  <si>
    <t xml:space="preserve"> GIRETTE </t>
  </si>
  <si>
    <t xml:space="preserve"> PERY </t>
  </si>
  <si>
    <t xml:space="preserve"> FICARA </t>
  </si>
  <si>
    <t xml:space="preserve"> DEMAIN </t>
  </si>
  <si>
    <t xml:space="preserve"> FOLCHER </t>
  </si>
  <si>
    <t xml:space="preserve"> SCHOENDORF </t>
  </si>
  <si>
    <t xml:space="preserve"> BALIKDJIAN </t>
  </si>
  <si>
    <t xml:space="preserve"> LOUDIN </t>
  </si>
  <si>
    <t xml:space="preserve"> LEPROVOST </t>
  </si>
  <si>
    <t xml:space="preserve"> BROSTEAUX </t>
  </si>
  <si>
    <t xml:space="preserve"> BEBIN </t>
  </si>
  <si>
    <t xml:space="preserve"> DE LAGOS </t>
  </si>
  <si>
    <t xml:space="preserve"> BERTOLINA </t>
  </si>
  <si>
    <t xml:space="preserve"> JEAN DE DIEU </t>
  </si>
  <si>
    <t xml:space="preserve"> THERETZ </t>
  </si>
  <si>
    <t xml:space="preserve"> COLLEVILLE </t>
  </si>
  <si>
    <t xml:space="preserve"> TURLOTTE </t>
  </si>
  <si>
    <t xml:space="preserve"> BOUCHET-MICHOLIN </t>
  </si>
  <si>
    <t xml:space="preserve"> GUISSEAU </t>
  </si>
  <si>
    <t xml:space="preserve"> CHAGNON </t>
  </si>
  <si>
    <t xml:space="preserve"> RIDAME </t>
  </si>
  <si>
    <t xml:space="preserve"> BALBONI </t>
  </si>
  <si>
    <t xml:space="preserve"> LAPERS </t>
  </si>
  <si>
    <t xml:space="preserve"> CAREY </t>
  </si>
  <si>
    <t xml:space="preserve"> POUVESLE </t>
  </si>
  <si>
    <t xml:space="preserve"> STAMPETE </t>
  </si>
  <si>
    <t xml:space="preserve"> Giordano </t>
  </si>
  <si>
    <t xml:space="preserve"> CAPELLA </t>
  </si>
  <si>
    <t xml:space="preserve"> CAILLIAU </t>
  </si>
  <si>
    <t xml:space="preserve"> CORSO </t>
  </si>
  <si>
    <t xml:space="preserve"> BORDEREAUX </t>
  </si>
  <si>
    <t xml:space="preserve"> NAUJOKS </t>
  </si>
  <si>
    <t xml:space="preserve"> Pierre antoine </t>
  </si>
  <si>
    <t xml:space="preserve"> PAPELARD </t>
  </si>
  <si>
    <t xml:space="preserve"> BOUY </t>
  </si>
  <si>
    <t xml:space="preserve"> COUZZACHI </t>
  </si>
  <si>
    <t xml:space="preserve"> Basile </t>
  </si>
  <si>
    <t xml:space="preserve"> TRANNOY </t>
  </si>
  <si>
    <t xml:space="preserve"> LIPPI </t>
  </si>
  <si>
    <t xml:space="preserve"> JIMENEZ </t>
  </si>
  <si>
    <t xml:space="preserve"> Rafael </t>
  </si>
  <si>
    <t xml:space="preserve"> DAUCOURT </t>
  </si>
  <si>
    <t xml:space="preserve"> JOZEREAU </t>
  </si>
  <si>
    <t xml:space="preserve"> MEERSCHAERT </t>
  </si>
  <si>
    <t xml:space="preserve"> MESLIER </t>
  </si>
  <si>
    <t xml:space="preserve"> BOCKLER </t>
  </si>
  <si>
    <t xml:space="preserve"> YAGUE </t>
  </si>
  <si>
    <t xml:space="preserve"> MERLO </t>
  </si>
  <si>
    <t xml:space="preserve"> JOLIBOIS </t>
  </si>
  <si>
    <t xml:space="preserve"> MAZON </t>
  </si>
  <si>
    <t xml:space="preserve"> GLIGORIC </t>
  </si>
  <si>
    <t xml:space="preserve"> GIODA </t>
  </si>
  <si>
    <t xml:space="preserve"> RIGAUDEAU </t>
  </si>
  <si>
    <t xml:space="preserve"> VON EUW </t>
  </si>
  <si>
    <t xml:space="preserve"> RAVIART </t>
  </si>
  <si>
    <t xml:space="preserve"> FESTAZ </t>
  </si>
  <si>
    <t xml:space="preserve"> DERCOURT </t>
  </si>
  <si>
    <t xml:space="preserve"> ST PIERRE DES LANDES T.T </t>
  </si>
  <si>
    <t xml:space="preserve"> LAMOTHE </t>
  </si>
  <si>
    <t xml:space="preserve"> TENNIS DE TABLE PIBRACAIS </t>
  </si>
  <si>
    <t xml:space="preserve"> BATTEAU </t>
  </si>
  <si>
    <t xml:space="preserve"> Pompaire Menigoute </t>
  </si>
  <si>
    <t xml:space="preserve"> ORSAT </t>
  </si>
  <si>
    <t xml:space="preserve"> FRODE DE LA FORET </t>
  </si>
  <si>
    <t xml:space="preserve"> LUSSIGNY </t>
  </si>
  <si>
    <t xml:space="preserve"> BRACCO </t>
  </si>
  <si>
    <t xml:space="preserve"> JEGOU </t>
  </si>
  <si>
    <t xml:space="preserve"> BITAUD </t>
  </si>
  <si>
    <t xml:space="preserve"> PEYVIEUX </t>
  </si>
  <si>
    <t xml:space="preserve"> CLOUX </t>
  </si>
  <si>
    <t xml:space="preserve"> RABY </t>
  </si>
  <si>
    <t xml:space="preserve"> DESRUELLES </t>
  </si>
  <si>
    <t xml:space="preserve"> HURAUX </t>
  </si>
  <si>
    <t xml:space="preserve"> AMELINE </t>
  </si>
  <si>
    <t xml:space="preserve"> BERTOUX </t>
  </si>
  <si>
    <t xml:space="preserve"> GILIBERT </t>
  </si>
  <si>
    <t xml:space="preserve"> MARQUIER </t>
  </si>
  <si>
    <t xml:space="preserve"> DALUZEAU </t>
  </si>
  <si>
    <t xml:space="preserve"> LEMASSON </t>
  </si>
  <si>
    <t xml:space="preserve"> SAINT DENIS </t>
  </si>
  <si>
    <t xml:space="preserve"> CESPEDES </t>
  </si>
  <si>
    <t xml:space="preserve"> MARQUIS </t>
  </si>
  <si>
    <t xml:space="preserve"> PERRIDY </t>
  </si>
  <si>
    <t xml:space="preserve"> MEDINA </t>
  </si>
  <si>
    <t xml:space="preserve"> DUMERGUE </t>
  </si>
  <si>
    <t xml:space="preserve"> AUPERIN </t>
  </si>
  <si>
    <t xml:space="preserve"> BOETARD </t>
  </si>
  <si>
    <t xml:space="preserve"> DEBROUCKER </t>
  </si>
  <si>
    <t xml:space="preserve"> BOULINEAU </t>
  </si>
  <si>
    <t xml:space="preserve"> CHAVOIS </t>
  </si>
  <si>
    <t xml:space="preserve"> DESGRIPPES </t>
  </si>
  <si>
    <t xml:space="preserve"> BRIS </t>
  </si>
  <si>
    <t xml:space="preserve"> SCHWEBIUS </t>
  </si>
  <si>
    <t xml:space="preserve"> PITHOIS </t>
  </si>
  <si>
    <t xml:space="preserve"> BATUT </t>
  </si>
  <si>
    <t xml:space="preserve"> DEKEUKELAERE </t>
  </si>
  <si>
    <t xml:space="preserve"> CREVEL </t>
  </si>
  <si>
    <t xml:space="preserve"> ROMANG </t>
  </si>
  <si>
    <t xml:space="preserve"> COQUERELLE </t>
  </si>
  <si>
    <t xml:space="preserve"> JONAS </t>
  </si>
  <si>
    <t xml:space="preserve"> RICHAUD </t>
  </si>
  <si>
    <t xml:space="preserve"> ANTONA </t>
  </si>
  <si>
    <t xml:space="preserve"> NOUVEL </t>
  </si>
  <si>
    <t xml:space="preserve"> FOLLEAS </t>
  </si>
  <si>
    <t xml:space="preserve"> ARTOZOUL </t>
  </si>
  <si>
    <t xml:space="preserve"> WOODS </t>
  </si>
  <si>
    <t xml:space="preserve"> BERGIN </t>
  </si>
  <si>
    <t xml:space="preserve"> A.S. INTERCOM. GUAINVILLE </t>
  </si>
  <si>
    <t xml:space="preserve"> MARESCAUX </t>
  </si>
  <si>
    <t xml:space="preserve"> LE FLOHIC </t>
  </si>
  <si>
    <t xml:space="preserve"> TANDY </t>
  </si>
  <si>
    <t xml:space="preserve"> ALLERY TT </t>
  </si>
  <si>
    <t xml:space="preserve"> DEPROST </t>
  </si>
  <si>
    <t xml:space="preserve"> WATERS </t>
  </si>
  <si>
    <t xml:space="preserve"> Neil </t>
  </si>
  <si>
    <t xml:space="preserve"> MARCEL </t>
  </si>
  <si>
    <t xml:space="preserve"> MICHANOL </t>
  </si>
  <si>
    <t xml:space="preserve"> TT NOLAY PASSION </t>
  </si>
  <si>
    <t xml:space="preserve"> OLSEN </t>
  </si>
  <si>
    <t xml:space="preserve"> THOMINOT </t>
  </si>
  <si>
    <t xml:space="preserve"> FAEHN </t>
  </si>
  <si>
    <t xml:space="preserve"> CANIVET </t>
  </si>
  <si>
    <t xml:space="preserve"> MARTEAU </t>
  </si>
  <si>
    <t xml:space="preserve"> LANGRES BB </t>
  </si>
  <si>
    <t xml:space="preserve"> COQUIN </t>
  </si>
  <si>
    <t xml:space="preserve"> MARIANA </t>
  </si>
  <si>
    <t xml:space="preserve"> BRULIN </t>
  </si>
  <si>
    <t xml:space="preserve"> NGUYEN QUANG </t>
  </si>
  <si>
    <t xml:space="preserve"> Hanh </t>
  </si>
  <si>
    <t xml:space="preserve"> BALDACCHINO </t>
  </si>
  <si>
    <t xml:space="preserve"> COURAULT </t>
  </si>
  <si>
    <t xml:space="preserve"> DAVEAU </t>
  </si>
  <si>
    <t xml:space="preserve"> CORTES </t>
  </si>
  <si>
    <t xml:space="preserve"> OPDEBEEK </t>
  </si>
  <si>
    <t xml:space="preserve"> YEUNG </t>
  </si>
  <si>
    <t xml:space="preserve"> GIRAUDET </t>
  </si>
  <si>
    <t xml:space="preserve"> BRULLAND </t>
  </si>
  <si>
    <t xml:space="preserve"> MARMORAT </t>
  </si>
  <si>
    <t xml:space="preserve"> DELIERRE </t>
  </si>
  <si>
    <t xml:space="preserve"> SAINCIR </t>
  </si>
  <si>
    <t xml:space="preserve"> CORREARD </t>
  </si>
  <si>
    <t xml:space="preserve"> FRIBOULET </t>
  </si>
  <si>
    <t xml:space="preserve"> BOUREZ </t>
  </si>
  <si>
    <t xml:space="preserve"> CARDINAL </t>
  </si>
  <si>
    <t xml:space="preserve"> AUGIS </t>
  </si>
  <si>
    <t xml:space="preserve"> POTEREAU </t>
  </si>
  <si>
    <t xml:space="preserve"> Jean-dominique </t>
  </si>
  <si>
    <t xml:space="preserve"> LAI </t>
  </si>
  <si>
    <t xml:space="preserve"> Xuan-loc </t>
  </si>
  <si>
    <t xml:space="preserve"> GIGOU </t>
  </si>
  <si>
    <t xml:space="preserve"> BORGES </t>
  </si>
  <si>
    <t xml:space="preserve"> ENVAIN </t>
  </si>
  <si>
    <t xml:space="preserve"> MIDELTON </t>
  </si>
  <si>
    <t xml:space="preserve"> DUTRUCH </t>
  </si>
  <si>
    <t xml:space="preserve"> SAVOYE </t>
  </si>
  <si>
    <t xml:space="preserve"> OUDIN </t>
  </si>
  <si>
    <t xml:space="preserve"> BANNALEC TT </t>
  </si>
  <si>
    <t xml:space="preserve"> PARE </t>
  </si>
  <si>
    <t xml:space="preserve"> BARLEMENT </t>
  </si>
  <si>
    <t xml:space="preserve"> HADDOU-OUMOULOUD </t>
  </si>
  <si>
    <t xml:space="preserve"> DUMOLLARD </t>
  </si>
  <si>
    <t xml:space="preserve"> CORBONNOIS </t>
  </si>
  <si>
    <t xml:space="preserve"> CALONNE </t>
  </si>
  <si>
    <t xml:space="preserve"> LAPUYADE </t>
  </si>
  <si>
    <t xml:space="preserve"> SEGADE </t>
  </si>
  <si>
    <t xml:space="preserve"> Tu chien </t>
  </si>
  <si>
    <t xml:space="preserve"> ARNOL </t>
  </si>
  <si>
    <t xml:space="preserve"> GIANDOMENICO </t>
  </si>
  <si>
    <t xml:space="preserve"> CHERRE </t>
  </si>
  <si>
    <t xml:space="preserve"> LEGUELINEL </t>
  </si>
  <si>
    <t xml:space="preserve"> GUINEBRETIERE </t>
  </si>
  <si>
    <t xml:space="preserve"> PICAVEZ </t>
  </si>
  <si>
    <t xml:space="preserve"> BERRIAT </t>
  </si>
  <si>
    <t xml:space="preserve"> LECRENAY </t>
  </si>
  <si>
    <t xml:space="preserve"> GUERBER </t>
  </si>
  <si>
    <t xml:space="preserve"> KUPIETZKI </t>
  </si>
  <si>
    <t xml:space="preserve"> TREGRET </t>
  </si>
  <si>
    <t xml:space="preserve"> REYMONDIE </t>
  </si>
  <si>
    <t xml:space="preserve"> OUZILLEAU </t>
  </si>
  <si>
    <t xml:space="preserve"> BILIATO </t>
  </si>
  <si>
    <t xml:space="preserve"> AVICE </t>
  </si>
  <si>
    <t xml:space="preserve"> JOHANET </t>
  </si>
  <si>
    <t xml:space="preserve"> BRASSEUR </t>
  </si>
  <si>
    <t xml:space="preserve"> DAOULAS </t>
  </si>
  <si>
    <t xml:space="preserve"> ENCELOT </t>
  </si>
  <si>
    <t xml:space="preserve"> PROUVEUR </t>
  </si>
  <si>
    <t xml:space="preserve"> MANSOURI </t>
  </si>
  <si>
    <t xml:space="preserve"> DECHEZ </t>
  </si>
  <si>
    <t xml:space="preserve"> DEMESLAY </t>
  </si>
  <si>
    <t xml:space="preserve"> REGNARD </t>
  </si>
  <si>
    <t xml:space="preserve"> HELLIER </t>
  </si>
  <si>
    <t xml:space="preserve"> DONNINI </t>
  </si>
  <si>
    <t xml:space="preserve"> GUILMOT </t>
  </si>
  <si>
    <t xml:space="preserve"> BOUTOUILLER </t>
  </si>
  <si>
    <t xml:space="preserve"> LAVALETTE </t>
  </si>
  <si>
    <t xml:space="preserve"> VILLERET </t>
  </si>
  <si>
    <t xml:space="preserve"> SCHIAVI </t>
  </si>
  <si>
    <t xml:space="preserve"> Ralph </t>
  </si>
  <si>
    <t xml:space="preserve"> PEIGNOT </t>
  </si>
  <si>
    <t xml:space="preserve"> ABALEA </t>
  </si>
  <si>
    <t xml:space="preserve"> KITTIRATH </t>
  </si>
  <si>
    <t xml:space="preserve"> Khansay louis </t>
  </si>
  <si>
    <t xml:space="preserve"> MERLAUD </t>
  </si>
  <si>
    <t xml:space="preserve"> BRUOT </t>
  </si>
  <si>
    <t xml:space="preserve"> CHEVANNES - TENNIS DE TAB </t>
  </si>
  <si>
    <t xml:space="preserve"> MATTE </t>
  </si>
  <si>
    <t xml:space="preserve"> LAGANE </t>
  </si>
  <si>
    <t xml:space="preserve"> BELTRAMO </t>
  </si>
  <si>
    <t xml:space="preserve"> DURANDIERE </t>
  </si>
  <si>
    <t xml:space="preserve"> BUONOMO </t>
  </si>
  <si>
    <t xml:space="preserve"> GIVERT </t>
  </si>
  <si>
    <t xml:space="preserve"> LAUROUAA </t>
  </si>
  <si>
    <t xml:space="preserve"> BASTIDE </t>
  </si>
  <si>
    <t xml:space="preserve"> Florent jean </t>
  </si>
  <si>
    <t xml:space="preserve"> RECEVEUR </t>
  </si>
  <si>
    <t xml:space="preserve"> MAXIN </t>
  </si>
  <si>
    <t xml:space="preserve"> PIOT </t>
  </si>
  <si>
    <t xml:space="preserve"> JEAUMEAU </t>
  </si>
  <si>
    <t xml:space="preserve"> TOUGARD </t>
  </si>
  <si>
    <t xml:space="preserve"> FAVRESSE </t>
  </si>
  <si>
    <t xml:space="preserve"> POPULIN </t>
  </si>
  <si>
    <t xml:space="preserve"> YVROUD </t>
  </si>
  <si>
    <t xml:space="preserve"> PANCHER </t>
  </si>
  <si>
    <t xml:space="preserve"> POQUE </t>
  </si>
  <si>
    <t xml:space="preserve"> GUIGNEN A.C.P.V.V. </t>
  </si>
  <si>
    <t xml:space="preserve"> YALAOUI </t>
  </si>
  <si>
    <t xml:space="preserve"> LARDE </t>
  </si>
  <si>
    <t xml:space="preserve"> SEBASTIA </t>
  </si>
  <si>
    <t xml:space="preserve"> FARDEAU </t>
  </si>
  <si>
    <t xml:space="preserve"> FRIANT </t>
  </si>
  <si>
    <t xml:space="preserve"> TEP </t>
  </si>
  <si>
    <t xml:space="preserve"> MUTELET </t>
  </si>
  <si>
    <t xml:space="preserve"> OGIER </t>
  </si>
  <si>
    <t xml:space="preserve"> LEDEME </t>
  </si>
  <si>
    <t xml:space="preserve"> METZGER </t>
  </si>
  <si>
    <t xml:space="preserve"> BRESCIANI </t>
  </si>
  <si>
    <t xml:space="preserve"> LE FUSTEC </t>
  </si>
  <si>
    <t xml:space="preserve"> FARIZON </t>
  </si>
  <si>
    <t xml:space="preserve"> BOUTTALLA </t>
  </si>
  <si>
    <t xml:space="preserve"> DAHERON </t>
  </si>
  <si>
    <t xml:space="preserve"> VUILLEMIN </t>
  </si>
  <si>
    <t xml:space="preserve"> OLICHON </t>
  </si>
  <si>
    <t xml:space="preserve"> DELAGNEAU </t>
  </si>
  <si>
    <t xml:space="preserve"> GIOFFRED </t>
  </si>
  <si>
    <t xml:space="preserve"> LEMOR </t>
  </si>
  <si>
    <t xml:space="preserve"> LEMAOUT </t>
  </si>
  <si>
    <t xml:space="preserve"> MELLIAN </t>
  </si>
  <si>
    <t xml:space="preserve"> HARLEZ </t>
  </si>
  <si>
    <t xml:space="preserve"> GUEDAS </t>
  </si>
  <si>
    <t xml:space="preserve"> GALICH </t>
  </si>
  <si>
    <t xml:space="preserve"> WEIBEL </t>
  </si>
  <si>
    <t xml:space="preserve"> MUNSCH </t>
  </si>
  <si>
    <t xml:space="preserve"> DELPY </t>
  </si>
  <si>
    <t xml:space="preserve"> VAZART </t>
  </si>
  <si>
    <t xml:space="preserve"> MASO </t>
  </si>
  <si>
    <t xml:space="preserve"> MORANTE </t>
  </si>
  <si>
    <t xml:space="preserve"> MEYRUEIS </t>
  </si>
  <si>
    <t xml:space="preserve"> GILOUARD </t>
  </si>
  <si>
    <t xml:space="preserve"> MSAHEL </t>
  </si>
  <si>
    <t xml:space="preserve"> VALLAUD </t>
  </si>
  <si>
    <t xml:space="preserve"> GIARDI </t>
  </si>
  <si>
    <t xml:space="preserve"> JEAN-DELAUNAY </t>
  </si>
  <si>
    <t xml:space="preserve"> BROUSSES </t>
  </si>
  <si>
    <t xml:space="preserve"> LAROY </t>
  </si>
  <si>
    <t xml:space="preserve"> GRESSARD </t>
  </si>
  <si>
    <t xml:space="preserve"> COURNEDE </t>
  </si>
  <si>
    <t xml:space="preserve"> DELPUECH </t>
  </si>
  <si>
    <t xml:space="preserve"> NAFFAH </t>
  </si>
  <si>
    <t xml:space="preserve"> Patrick-olivier </t>
  </si>
  <si>
    <t xml:space="preserve"> LAFOSSE </t>
  </si>
  <si>
    <t xml:space="preserve"> CALLARD </t>
  </si>
  <si>
    <t xml:space="preserve"> DUFEUTREL </t>
  </si>
  <si>
    <t xml:space="preserve"> MERCADIER </t>
  </si>
  <si>
    <t xml:space="preserve"> FLEURIAN </t>
  </si>
  <si>
    <t xml:space="preserve"> SEBAOUI </t>
  </si>
  <si>
    <t xml:space="preserve"> CUTRY Tennis de Table </t>
  </si>
  <si>
    <t xml:space="preserve"> SEBASTIEN </t>
  </si>
  <si>
    <t xml:space="preserve"> HERLUISON </t>
  </si>
  <si>
    <t xml:space="preserve"> INGELS </t>
  </si>
  <si>
    <t xml:space="preserve"> VALLIERE </t>
  </si>
  <si>
    <t xml:space="preserve"> BOULIUNG </t>
  </si>
  <si>
    <t xml:space="preserve"> MAIA </t>
  </si>
  <si>
    <t xml:space="preserve"> MOUSSARD </t>
  </si>
  <si>
    <t xml:space="preserve"> TOUZANE </t>
  </si>
  <si>
    <t xml:space="preserve"> DELLAL </t>
  </si>
  <si>
    <t xml:space="preserve"> FOINE </t>
  </si>
  <si>
    <t xml:space="preserve"> LAUSTRIAT </t>
  </si>
  <si>
    <t xml:space="preserve"> MARZEC </t>
  </si>
  <si>
    <t xml:space="preserve"> NOCQUET </t>
  </si>
  <si>
    <t xml:space="preserve"> RUBY </t>
  </si>
  <si>
    <t xml:space="preserve"> VIDOR </t>
  </si>
  <si>
    <t xml:space="preserve"> EMIRO </t>
  </si>
  <si>
    <t xml:space="preserve"> ROUBEYRIE </t>
  </si>
  <si>
    <t xml:space="preserve"> PAVIER </t>
  </si>
  <si>
    <t xml:space="preserve"> laurent </t>
  </si>
  <si>
    <t xml:space="preserve"> BESNAULT </t>
  </si>
  <si>
    <t xml:space="preserve"> LECAS </t>
  </si>
  <si>
    <t xml:space="preserve"> DEFRENEIX </t>
  </si>
  <si>
    <t xml:space="preserve"> VITTE </t>
  </si>
  <si>
    <t xml:space="preserve"> FOURNEAUX </t>
  </si>
  <si>
    <t xml:space="preserve"> EL GAMAL </t>
  </si>
  <si>
    <t xml:space="preserve"> Mosaid </t>
  </si>
  <si>
    <t xml:space="preserve"> HEURBIZE </t>
  </si>
  <si>
    <t xml:space="preserve"> COURJAULT </t>
  </si>
  <si>
    <t xml:space="preserve"> HOUILLON </t>
  </si>
  <si>
    <t xml:space="preserve"> SOURY </t>
  </si>
  <si>
    <t xml:space="preserve"> RAILLARD </t>
  </si>
  <si>
    <t xml:space="preserve"> REBILLAT </t>
  </si>
  <si>
    <t xml:space="preserve"> ESTIEU </t>
  </si>
  <si>
    <t xml:space="preserve"> PROTON </t>
  </si>
  <si>
    <t xml:space="preserve"> EMERIT </t>
  </si>
  <si>
    <t xml:space="preserve"> HARBONN </t>
  </si>
  <si>
    <t xml:space="preserve"> VOYEN </t>
  </si>
  <si>
    <t xml:space="preserve"> WEERTZ </t>
  </si>
  <si>
    <t xml:space="preserve"> CURIE </t>
  </si>
  <si>
    <t xml:space="preserve"> DELHAIE </t>
  </si>
  <si>
    <t xml:space="preserve"> JAVELOT </t>
  </si>
  <si>
    <t xml:space="preserve"> MOUSNIER </t>
  </si>
  <si>
    <t xml:space="preserve"> LAVEYNE </t>
  </si>
  <si>
    <t xml:space="preserve"> RATHUY </t>
  </si>
  <si>
    <t xml:space="preserve"> LINDER </t>
  </si>
  <si>
    <t xml:space="preserve"> BARRERI </t>
  </si>
  <si>
    <t xml:space="preserve"> MULIN </t>
  </si>
  <si>
    <t xml:space="preserve"> DE BONIS </t>
  </si>
  <si>
    <t xml:space="preserve"> GAROCHAU </t>
  </si>
  <si>
    <t xml:space="preserve"> CHAUMEIL </t>
  </si>
  <si>
    <t xml:space="preserve"> GADAIS </t>
  </si>
  <si>
    <t xml:space="preserve"> PAGEZE </t>
  </si>
  <si>
    <t xml:space="preserve"> WALLUT </t>
  </si>
  <si>
    <t xml:space="preserve"> JACQUEMOND </t>
  </si>
  <si>
    <t xml:space="preserve"> BONNEVAL </t>
  </si>
  <si>
    <t xml:space="preserve"> VARELA </t>
  </si>
  <si>
    <t xml:space="preserve"> BERNAMONT </t>
  </si>
  <si>
    <t xml:space="preserve"> BOULAU </t>
  </si>
  <si>
    <t xml:space="preserve"> BOUTTEVILLE </t>
  </si>
  <si>
    <t xml:space="preserve"> LE VERGE </t>
  </si>
  <si>
    <t xml:space="preserve"> BEGARD TT </t>
  </si>
  <si>
    <t xml:space="preserve"> DRUILLOLE </t>
  </si>
  <si>
    <t xml:space="preserve"> LEGENTIL </t>
  </si>
  <si>
    <t xml:space="preserve"> MOMEJA </t>
  </si>
  <si>
    <t xml:space="preserve"> OCHEM </t>
  </si>
  <si>
    <t xml:space="preserve"> JACQUENET </t>
  </si>
  <si>
    <t xml:space="preserve"> BOVAGNET </t>
  </si>
  <si>
    <t xml:space="preserve"> DESSEVRES </t>
  </si>
  <si>
    <t xml:space="preserve"> BIRE </t>
  </si>
  <si>
    <t xml:space="preserve"> BOURSE </t>
  </si>
  <si>
    <t xml:space="preserve"> MATHEZ </t>
  </si>
  <si>
    <t xml:space="preserve"> LAVEILLE </t>
  </si>
  <si>
    <t xml:space="preserve"> VERNAY </t>
  </si>
  <si>
    <t xml:space="preserve"> PERES </t>
  </si>
  <si>
    <t xml:space="preserve"> Evariste </t>
  </si>
  <si>
    <t xml:space="preserve"> TT CHAZAY D AZERGUES </t>
  </si>
  <si>
    <t xml:space="preserve"> BRIANT </t>
  </si>
  <si>
    <t xml:space="preserve"> BINTZ </t>
  </si>
  <si>
    <t xml:space="preserve"> SAILLY SUR LA LYS TT </t>
  </si>
  <si>
    <t xml:space="preserve"> VASSOR </t>
  </si>
  <si>
    <t xml:space="preserve"> LAFFITTE </t>
  </si>
  <si>
    <t xml:space="preserve"> BONFICO </t>
  </si>
  <si>
    <t xml:space="preserve"> QUEIJO </t>
  </si>
  <si>
    <t xml:space="preserve"> DUNEAU </t>
  </si>
  <si>
    <t xml:space="preserve"> COUVEZ </t>
  </si>
  <si>
    <t xml:space="preserve"> ALINHAC </t>
  </si>
  <si>
    <t xml:space="preserve"> DEVELLE </t>
  </si>
  <si>
    <t xml:space="preserve"> DANTON </t>
  </si>
  <si>
    <t xml:space="preserve"> VELAY </t>
  </si>
  <si>
    <t xml:space="preserve"> DONDEYNE </t>
  </si>
  <si>
    <t xml:space="preserve"> GOUTEYROUX </t>
  </si>
  <si>
    <t xml:space="preserve"> HASLE </t>
  </si>
  <si>
    <t xml:space="preserve"> INFANTE </t>
  </si>
  <si>
    <t xml:space="preserve"> ENGGIST </t>
  </si>
  <si>
    <t xml:space="preserve"> Alain-paul </t>
  </si>
  <si>
    <t xml:space="preserve"> MORALES CALVENTE </t>
  </si>
  <si>
    <t xml:space="preserve"> MOTTIN </t>
  </si>
  <si>
    <t xml:space="preserve"> RIVEAU </t>
  </si>
  <si>
    <t xml:space="preserve"> PONTABRY </t>
  </si>
  <si>
    <t xml:space="preserve"> BRANGBOUR </t>
  </si>
  <si>
    <t xml:space="preserve"> NUSS </t>
  </si>
  <si>
    <t xml:space="preserve"> POULINGUE </t>
  </si>
  <si>
    <t xml:space="preserve"> MENOT </t>
  </si>
  <si>
    <t xml:space="preserve"> FIEVE </t>
  </si>
  <si>
    <t xml:space="preserve"> PAUT </t>
  </si>
  <si>
    <t xml:space="preserve"> GOUTTEFANGEAS </t>
  </si>
  <si>
    <t xml:space="preserve"> LE COAT </t>
  </si>
  <si>
    <t xml:space="preserve"> DUMONT-GIRARD </t>
  </si>
  <si>
    <t xml:space="preserve"> SEMARQUE </t>
  </si>
  <si>
    <t xml:space="preserve"> CTT AVIRON </t>
  </si>
  <si>
    <t xml:space="preserve"> EXBRAYAT </t>
  </si>
  <si>
    <t xml:space="preserve"> FOURE </t>
  </si>
  <si>
    <t xml:space="preserve"> CHANET </t>
  </si>
  <si>
    <t xml:space="preserve"> AZIERE </t>
  </si>
  <si>
    <t xml:space="preserve"> SUGIER </t>
  </si>
  <si>
    <t xml:space="preserve"> GAMONET </t>
  </si>
  <si>
    <t xml:space="preserve"> LAIMAY </t>
  </si>
  <si>
    <t xml:space="preserve"> BOUTEAU </t>
  </si>
  <si>
    <t xml:space="preserve"> DRANCOURT </t>
  </si>
  <si>
    <t xml:space="preserve"> ROBEYN </t>
  </si>
  <si>
    <t xml:space="preserve"> VERNIN </t>
  </si>
  <si>
    <t xml:space="preserve"> VITU </t>
  </si>
  <si>
    <t xml:space="preserve"> DENEAU </t>
  </si>
  <si>
    <t xml:space="preserve"> US CASTELMAYRAN TENNIS DE </t>
  </si>
  <si>
    <t xml:space="preserve"> BELAUD </t>
  </si>
  <si>
    <t xml:space="preserve"> MACON </t>
  </si>
  <si>
    <t xml:space="preserve"> VANDER BRIGGHE </t>
  </si>
  <si>
    <t xml:space="preserve"> DE SAINTE HERMINE </t>
  </si>
  <si>
    <t xml:space="preserve"> GADRIOT </t>
  </si>
  <si>
    <t xml:space="preserve"> NAVEZ </t>
  </si>
  <si>
    <t xml:space="preserve"> ROYET </t>
  </si>
  <si>
    <t xml:space="preserve"> BUISSIERE </t>
  </si>
  <si>
    <t xml:space="preserve"> DUCAUROY </t>
  </si>
  <si>
    <t xml:space="preserve"> GAWLINSKI </t>
  </si>
  <si>
    <t xml:space="preserve"> Czeslaw </t>
  </si>
  <si>
    <t xml:space="preserve"> DJONDO </t>
  </si>
  <si>
    <t xml:space="preserve"> Nestor </t>
  </si>
  <si>
    <t xml:space="preserve"> RIAULT </t>
  </si>
  <si>
    <t xml:space="preserve"> JAMMET </t>
  </si>
  <si>
    <t xml:space="preserve"> MOSCOVITCH </t>
  </si>
  <si>
    <t xml:space="preserve"> BROUSSE </t>
  </si>
  <si>
    <t xml:space="preserve"> LEBEDEL </t>
  </si>
  <si>
    <t xml:space="preserve"> MONTUELLE </t>
  </si>
  <si>
    <t xml:space="preserve"> GARDET </t>
  </si>
  <si>
    <t xml:space="preserve"> TAQUOI </t>
  </si>
  <si>
    <t xml:space="preserve"> Paul emile </t>
  </si>
  <si>
    <t xml:space="preserve"> CATEL </t>
  </si>
  <si>
    <t xml:space="preserve"> BERTOUT </t>
  </si>
  <si>
    <t xml:space="preserve"> LASTENNET </t>
  </si>
  <si>
    <t xml:space="preserve"> ESPOIR DU GUIERS TENNIS D </t>
  </si>
  <si>
    <t xml:space="preserve"> PERCHE </t>
  </si>
  <si>
    <t xml:space="preserve"> ST MICHEL T.T. </t>
  </si>
  <si>
    <t xml:space="preserve"> POGNANT </t>
  </si>
  <si>
    <t xml:space="preserve"> FOUERE </t>
  </si>
  <si>
    <t xml:space="preserve"> AUGIAS </t>
  </si>
  <si>
    <t xml:space="preserve"> LEVKOWIEZ </t>
  </si>
  <si>
    <t xml:space="preserve"> PRIOU </t>
  </si>
  <si>
    <t xml:space="preserve"> LE GREZAUSE </t>
  </si>
  <si>
    <t xml:space="preserve"> ALBERTOLI </t>
  </si>
  <si>
    <t xml:space="preserve"> HILARY </t>
  </si>
  <si>
    <t xml:space="preserve"> FAFET </t>
  </si>
  <si>
    <t xml:space="preserve"> CAUDERAN </t>
  </si>
  <si>
    <t xml:space="preserve"> MOITEAUX </t>
  </si>
  <si>
    <t xml:space="preserve"> BARRA </t>
  </si>
  <si>
    <t xml:space="preserve"> GOUTILLE </t>
  </si>
  <si>
    <t xml:space="preserve"> SEMENADISSE </t>
  </si>
  <si>
    <t xml:space="preserve"> FRANCINEAU </t>
  </si>
  <si>
    <t xml:space="preserve"> FLAHAUT </t>
  </si>
  <si>
    <t xml:space="preserve"> JEANNOT </t>
  </si>
  <si>
    <t xml:space="preserve"> CLERFAYT </t>
  </si>
  <si>
    <t xml:space="preserve"> GASPA </t>
  </si>
  <si>
    <t xml:space="preserve"> MERGNAC </t>
  </si>
  <si>
    <t xml:space="preserve"> BELARDAT </t>
  </si>
  <si>
    <t xml:space="preserve"> HILGERS </t>
  </si>
  <si>
    <t xml:space="preserve"> René-didier </t>
  </si>
  <si>
    <t xml:space="preserve"> BERLEMONT </t>
  </si>
  <si>
    <t xml:space="preserve"> ANGIUS </t>
  </si>
  <si>
    <t xml:space="preserve"> HAMIEAU </t>
  </si>
  <si>
    <t xml:space="preserve"> OSSIEUX </t>
  </si>
  <si>
    <t xml:space="preserve"> GRAVOT </t>
  </si>
  <si>
    <t xml:space="preserve"> COINDE </t>
  </si>
  <si>
    <t xml:space="preserve"> RIPAUX </t>
  </si>
  <si>
    <t xml:space="preserve"> BASSEL </t>
  </si>
  <si>
    <t xml:space="preserve"> HONVAULT </t>
  </si>
  <si>
    <t xml:space="preserve"> STREMLER </t>
  </si>
  <si>
    <t xml:space="preserve"> JAKUBEC </t>
  </si>
  <si>
    <t xml:space="preserve"> QUINET </t>
  </si>
  <si>
    <t xml:space="preserve"> GAFAR </t>
  </si>
  <si>
    <t xml:space="preserve"> SERS </t>
  </si>
  <si>
    <t xml:space="preserve"> CHERVET </t>
  </si>
  <si>
    <t xml:space="preserve"> MATHON </t>
  </si>
  <si>
    <t xml:space="preserve"> BECAVIN </t>
  </si>
  <si>
    <t xml:space="preserve"> DESGRES </t>
  </si>
  <si>
    <t xml:space="preserve"> SOKHA </t>
  </si>
  <si>
    <t xml:space="preserve"> Sokhay </t>
  </si>
  <si>
    <t xml:space="preserve"> LAVASTRE </t>
  </si>
  <si>
    <t xml:space="preserve"> CODJO </t>
  </si>
  <si>
    <t xml:space="preserve"> VAIRE </t>
  </si>
  <si>
    <t xml:space="preserve"> VARDIN </t>
  </si>
  <si>
    <t xml:space="preserve"> LANDEMAINE </t>
  </si>
  <si>
    <t xml:space="preserve"> BITZENHOFER </t>
  </si>
  <si>
    <t xml:space="preserve"> STENOFI </t>
  </si>
  <si>
    <t xml:space="preserve"> BASSE HAM ALPA </t>
  </si>
  <si>
    <t xml:space="preserve"> MILCENDEAU </t>
  </si>
  <si>
    <t xml:space="preserve"> HALFTERMEYER </t>
  </si>
  <si>
    <t xml:space="preserve"> CROENNE </t>
  </si>
  <si>
    <t xml:space="preserve"> HADJADJE </t>
  </si>
  <si>
    <t xml:space="preserve"> DAUTREVAUX </t>
  </si>
  <si>
    <t xml:space="preserve"> DENNEULIN </t>
  </si>
  <si>
    <t xml:space="preserve"> MONS </t>
  </si>
  <si>
    <t xml:space="preserve"> KEITH </t>
  </si>
  <si>
    <t xml:space="preserve"> KICHENASSAMY </t>
  </si>
  <si>
    <t xml:space="preserve"> Fulgencio </t>
  </si>
  <si>
    <t xml:space="preserve"> MICONNET </t>
  </si>
  <si>
    <t xml:space="preserve"> BUAILLON </t>
  </si>
  <si>
    <t xml:space="preserve"> TURCHETTI </t>
  </si>
  <si>
    <t xml:space="preserve"> HELAINE </t>
  </si>
  <si>
    <t xml:space="preserve"> SIMONI </t>
  </si>
  <si>
    <t xml:space="preserve"> TENNIS DE TABLE BOUC BEL </t>
  </si>
  <si>
    <t xml:space="preserve"> KMIEC </t>
  </si>
  <si>
    <t xml:space="preserve"> JUNCO </t>
  </si>
  <si>
    <t xml:space="preserve"> Corentin </t>
  </si>
  <si>
    <t xml:space="preserve"> PALIE </t>
  </si>
  <si>
    <t xml:space="preserve"> FLOC </t>
  </si>
  <si>
    <t xml:space="preserve"> ASTT MACAU </t>
  </si>
  <si>
    <t xml:space="preserve"> NAULLEAU </t>
  </si>
  <si>
    <t xml:space="preserve"> SEBOURG PPC (DE L'AUNELLE </t>
  </si>
  <si>
    <t xml:space="preserve"> GUESNE </t>
  </si>
  <si>
    <t xml:space="preserve"> BUTEAU </t>
  </si>
  <si>
    <t xml:space="preserve"> EPITALON </t>
  </si>
  <si>
    <t xml:space="preserve"> SIAUVE </t>
  </si>
  <si>
    <t xml:space="preserve"> SAINT-ANTONIN </t>
  </si>
  <si>
    <t xml:space="preserve"> C.C.S. SEVERAGAIS </t>
  </si>
  <si>
    <t xml:space="preserve"> DORIGNY </t>
  </si>
  <si>
    <t xml:space="preserve"> DE SAINT JORRE </t>
  </si>
  <si>
    <t xml:space="preserve"> LARROCHE </t>
  </si>
  <si>
    <t xml:space="preserve"> SERREE </t>
  </si>
  <si>
    <t xml:space="preserve"> MINTO </t>
  </si>
  <si>
    <t xml:space="preserve"> GRANDIN </t>
  </si>
  <si>
    <t xml:space="preserve"> PIGEARD </t>
  </si>
  <si>
    <t xml:space="preserve"> CARER </t>
  </si>
  <si>
    <t xml:space="preserve"> BEAUCHENE </t>
  </si>
  <si>
    <t xml:space="preserve"> CINOTTI </t>
  </si>
  <si>
    <t xml:space="preserve"> TEKOUK </t>
  </si>
  <si>
    <t xml:space="preserve"> RODOLFO </t>
  </si>
  <si>
    <t xml:space="preserve"> TENNIS DE TABLE CLUB LAUR </t>
  </si>
  <si>
    <t xml:space="preserve"> OLIBE </t>
  </si>
  <si>
    <t xml:space="preserve"> BRAI </t>
  </si>
  <si>
    <t xml:space="preserve"> PEGEAULT </t>
  </si>
  <si>
    <t xml:space="preserve"> RUAUD </t>
  </si>
  <si>
    <t xml:space="preserve"> BLANCHART </t>
  </si>
  <si>
    <t xml:space="preserve"> CHANIOLLEAU </t>
  </si>
  <si>
    <t xml:space="preserve"> NACRE TENNIS DE TABLE </t>
  </si>
  <si>
    <t xml:space="preserve"> PAGE </t>
  </si>
  <si>
    <t xml:space="preserve"> GHARIB </t>
  </si>
  <si>
    <t xml:space="preserve"> DOUHART </t>
  </si>
  <si>
    <t xml:space="preserve"> PACAULT </t>
  </si>
  <si>
    <t xml:space="preserve"> PILET </t>
  </si>
  <si>
    <t xml:space="preserve"> CHANOINAT </t>
  </si>
  <si>
    <t xml:space="preserve"> DALMONT </t>
  </si>
  <si>
    <t xml:space="preserve"> VIDAMENT </t>
  </si>
  <si>
    <t xml:space="preserve"> DAULY </t>
  </si>
  <si>
    <t xml:space="preserve"> LOUESDON </t>
  </si>
  <si>
    <t xml:space="preserve"> ENT ST GENOISE </t>
  </si>
  <si>
    <t xml:space="preserve"> HOTTOT </t>
  </si>
  <si>
    <t xml:space="preserve"> PFEFFER </t>
  </si>
  <si>
    <t xml:space="preserve"> FELTEN </t>
  </si>
  <si>
    <t xml:space="preserve"> GUIDEZ </t>
  </si>
  <si>
    <t xml:space="preserve"> MORCHOISNE </t>
  </si>
  <si>
    <t xml:space="preserve"> DAUBIAS </t>
  </si>
  <si>
    <t xml:space="preserve"> RABIER </t>
  </si>
  <si>
    <t xml:space="preserve"> PROKOP </t>
  </si>
  <si>
    <t xml:space="preserve"> MOTHY </t>
  </si>
  <si>
    <t xml:space="preserve"> CAPPE </t>
  </si>
  <si>
    <t xml:space="preserve"> MARANDE </t>
  </si>
  <si>
    <t xml:space="preserve"> CEDAT </t>
  </si>
  <si>
    <t xml:space="preserve"> MUSSET </t>
  </si>
  <si>
    <t xml:space="preserve"> LANGLET </t>
  </si>
  <si>
    <t xml:space="preserve"> AUDUC </t>
  </si>
  <si>
    <t xml:space="preserve"> FARJAS </t>
  </si>
  <si>
    <t xml:space="preserve"> Andriamahery </t>
  </si>
  <si>
    <t xml:space="preserve"> DELPRAT </t>
  </si>
  <si>
    <t xml:space="preserve"> GIMENES </t>
  </si>
  <si>
    <t xml:space="preserve"> MINA </t>
  </si>
  <si>
    <t xml:space="preserve"> BARBEAU </t>
  </si>
  <si>
    <t xml:space="preserve"> TEMPLEREAU </t>
  </si>
  <si>
    <t xml:space="preserve"> DELAYRE </t>
  </si>
  <si>
    <t xml:space="preserve"> PENAUD </t>
  </si>
  <si>
    <t xml:space="preserve"> LEGRIX </t>
  </si>
  <si>
    <t xml:space="preserve"> FOURTON </t>
  </si>
  <si>
    <t xml:space="preserve"> SOSSON </t>
  </si>
  <si>
    <t xml:space="preserve"> BUCHLER </t>
  </si>
  <si>
    <t xml:space="preserve"> MANTEGHI </t>
  </si>
  <si>
    <t xml:space="preserve"> Khashayar </t>
  </si>
  <si>
    <t xml:space="preserve"> Henri claude </t>
  </si>
  <si>
    <t xml:space="preserve"> BORDEUX </t>
  </si>
  <si>
    <t xml:space="preserve"> BEAUJON </t>
  </si>
  <si>
    <t xml:space="preserve"> CRÉTÉ </t>
  </si>
  <si>
    <t xml:space="preserve"> BEGOC </t>
  </si>
  <si>
    <t xml:space="preserve"> CAISSEE </t>
  </si>
  <si>
    <t xml:space="preserve"> LEPROUX </t>
  </si>
  <si>
    <t xml:space="preserve"> MALINGE </t>
  </si>
  <si>
    <t xml:space="preserve"> FIORE </t>
  </si>
  <si>
    <t xml:space="preserve"> BOHIN </t>
  </si>
  <si>
    <t xml:space="preserve"> Julio </t>
  </si>
  <si>
    <t xml:space="preserve"> BAUGE Olympique </t>
  </si>
  <si>
    <t xml:space="preserve"> Francois jean </t>
  </si>
  <si>
    <t xml:space="preserve"> GABEL </t>
  </si>
  <si>
    <t xml:space="preserve"> IAIA </t>
  </si>
  <si>
    <t xml:space="preserve"> BAUDOUX </t>
  </si>
  <si>
    <t xml:space="preserve"> GOURDY </t>
  </si>
  <si>
    <t xml:space="preserve"> ARDOUIN </t>
  </si>
  <si>
    <t xml:space="preserve"> VENON </t>
  </si>
  <si>
    <t xml:space="preserve"> LAUDRIN </t>
  </si>
  <si>
    <t xml:space="preserve"> Var </t>
  </si>
  <si>
    <t xml:space="preserve"> BRISSART </t>
  </si>
  <si>
    <t xml:space="preserve"> JEANNIOT </t>
  </si>
  <si>
    <t xml:space="preserve"> YONG </t>
  </si>
  <si>
    <t xml:space="preserve"> Allan </t>
  </si>
  <si>
    <t xml:space="preserve"> PECAUD </t>
  </si>
  <si>
    <t xml:space="preserve"> LE JOLLEC </t>
  </si>
  <si>
    <t xml:space="preserve"> Jean-gabriel </t>
  </si>
  <si>
    <t xml:space="preserve"> Luis carlos </t>
  </si>
  <si>
    <t xml:space="preserve"> MANIEZ </t>
  </si>
  <si>
    <t xml:space="preserve"> ESSELINE </t>
  </si>
  <si>
    <t xml:space="preserve"> RAKOTOMANGA </t>
  </si>
  <si>
    <t xml:space="preserve"> Andrianiaina </t>
  </si>
  <si>
    <t xml:space="preserve"> RABILLARD </t>
  </si>
  <si>
    <t xml:space="preserve"> ROINE </t>
  </si>
  <si>
    <t xml:space="preserve"> LAUTER </t>
  </si>
  <si>
    <t xml:space="preserve"> BLANCKE </t>
  </si>
  <si>
    <t xml:space="preserve"> GUERRY </t>
  </si>
  <si>
    <t xml:space="preserve"> FERRIERE </t>
  </si>
  <si>
    <t xml:space="preserve"> EDELINE </t>
  </si>
  <si>
    <t xml:space="preserve"> LAMIRAND </t>
  </si>
  <si>
    <t xml:space="preserve"> COUSINARD </t>
  </si>
  <si>
    <t xml:space="preserve"> BOURELLY </t>
  </si>
  <si>
    <t xml:space="preserve"> ALADJEM </t>
  </si>
  <si>
    <t xml:space="preserve"> COSSERON </t>
  </si>
  <si>
    <t xml:space="preserve"> BRENOT </t>
  </si>
  <si>
    <t xml:space="preserve"> DESTAERKE </t>
  </si>
  <si>
    <t xml:space="preserve"> PAGIS </t>
  </si>
  <si>
    <t xml:space="preserve"> MANNEVEAU </t>
  </si>
  <si>
    <t xml:space="preserve"> JOFFRE </t>
  </si>
  <si>
    <t xml:space="preserve"> Jonzac CP </t>
  </si>
  <si>
    <t xml:space="preserve"> Ngoc-son </t>
  </si>
  <si>
    <t xml:space="preserve"> HOLLEVILLE </t>
  </si>
  <si>
    <t xml:space="preserve"> GORLAS </t>
  </si>
  <si>
    <t xml:space="preserve"> PELLOUAILLES AC </t>
  </si>
  <si>
    <t xml:space="preserve"> Jean-Louis </t>
  </si>
  <si>
    <t xml:space="preserve"> MAZIERE </t>
  </si>
  <si>
    <t xml:space="preserve"> ROGEON </t>
  </si>
  <si>
    <t xml:space="preserve"> KOOPMANS </t>
  </si>
  <si>
    <t xml:space="preserve"> THEAU </t>
  </si>
  <si>
    <t xml:space="preserve"> TOUCHAUD </t>
  </si>
  <si>
    <t xml:space="preserve"> LAISIS </t>
  </si>
  <si>
    <t xml:space="preserve"> SZEKANY </t>
  </si>
  <si>
    <t xml:space="preserve"> BRIDIAU </t>
  </si>
  <si>
    <t xml:space="preserve"> ESPERANCE ST-JEAN BREVELA </t>
  </si>
  <si>
    <t xml:space="preserve"> BUTUC </t>
  </si>
  <si>
    <t xml:space="preserve"> BERTET </t>
  </si>
  <si>
    <t xml:space="preserve"> REULIER </t>
  </si>
  <si>
    <t xml:space="preserve"> DERRE </t>
  </si>
  <si>
    <t xml:space="preserve"> DUMON </t>
  </si>
  <si>
    <t xml:space="preserve"> FAOUR </t>
  </si>
  <si>
    <t xml:space="preserve"> WATTEAU </t>
  </si>
  <si>
    <t xml:space="preserve"> CORDON </t>
  </si>
  <si>
    <t xml:space="preserve"> CANIARD </t>
  </si>
  <si>
    <t xml:space="preserve"> BATION </t>
  </si>
  <si>
    <t xml:space="preserve"> TT DU CHATILLONNAIS </t>
  </si>
  <si>
    <t xml:space="preserve"> DHOOGHE </t>
  </si>
  <si>
    <t xml:space="preserve"> CHERFA </t>
  </si>
  <si>
    <t xml:space="preserve"> CHAT </t>
  </si>
  <si>
    <t xml:space="preserve"> POVILLON </t>
  </si>
  <si>
    <t xml:space="preserve"> PETITOT </t>
  </si>
  <si>
    <t xml:space="preserve"> PAIRAULT </t>
  </si>
  <si>
    <t xml:space="preserve"> FAUQUET </t>
  </si>
  <si>
    <t xml:space="preserve"> AUFRERE </t>
  </si>
  <si>
    <t xml:space="preserve"> COET </t>
  </si>
  <si>
    <t xml:space="preserve"> DUPELICZ </t>
  </si>
  <si>
    <t xml:space="preserve"> MAILLIER </t>
  </si>
  <si>
    <t xml:space="preserve"> RIEHL </t>
  </si>
  <si>
    <t xml:space="preserve"> BOCLET </t>
  </si>
  <si>
    <t xml:space="preserve"> LEDALL </t>
  </si>
  <si>
    <t xml:space="preserve"> FAVER </t>
  </si>
  <si>
    <t xml:space="preserve"> POCHETAT </t>
  </si>
  <si>
    <t xml:space="preserve"> JOHANN </t>
  </si>
  <si>
    <t xml:space="preserve"> BORG </t>
  </si>
  <si>
    <t xml:space="preserve"> RAOUX </t>
  </si>
  <si>
    <t xml:space="preserve"> TRAPP </t>
  </si>
  <si>
    <t xml:space="preserve"> GOUFFIER </t>
  </si>
  <si>
    <t xml:space="preserve"> GENY DUMONT </t>
  </si>
  <si>
    <t xml:space="preserve"> SURBIER </t>
  </si>
  <si>
    <t xml:space="preserve"> Samy </t>
  </si>
  <si>
    <t xml:space="preserve"> LANGON ESPERANCE SPORTIVE </t>
  </si>
  <si>
    <t xml:space="preserve"> BRENEY </t>
  </si>
  <si>
    <t xml:space="preserve"> VASSORT </t>
  </si>
  <si>
    <t xml:space="preserve"> LETOCART </t>
  </si>
  <si>
    <t xml:space="preserve"> HUYGEVELDE </t>
  </si>
  <si>
    <t xml:space="preserve"> PRAIRA </t>
  </si>
  <si>
    <t xml:space="preserve"> BAILLOU </t>
  </si>
  <si>
    <t xml:space="preserve"> CRANSKENS </t>
  </si>
  <si>
    <t xml:space="preserve"> POIFOL </t>
  </si>
  <si>
    <t xml:space="preserve"> ALBERIC </t>
  </si>
  <si>
    <t xml:space="preserve"> LOO </t>
  </si>
  <si>
    <t xml:space="preserve"> INGLEBERT </t>
  </si>
  <si>
    <t xml:space="preserve"> Donald </t>
  </si>
  <si>
    <t xml:space="preserve"> MALOBERTI </t>
  </si>
  <si>
    <t xml:space="preserve"> BELAY </t>
  </si>
  <si>
    <t xml:space="preserve"> CROZAS </t>
  </si>
  <si>
    <t xml:space="preserve"> FERGAND </t>
  </si>
  <si>
    <t xml:space="preserve"> TRAPATEAU </t>
  </si>
  <si>
    <t xml:space="preserve"> LE GOUEFF </t>
  </si>
  <si>
    <t xml:space="preserve"> PIEROT </t>
  </si>
  <si>
    <t xml:space="preserve"> LE TREUT </t>
  </si>
  <si>
    <t xml:space="preserve"> MONET </t>
  </si>
  <si>
    <t xml:space="preserve"> AGIN </t>
  </si>
  <si>
    <t xml:space="preserve"> BRUSCHINI </t>
  </si>
  <si>
    <t xml:space="preserve"> FIATTE </t>
  </si>
  <si>
    <t xml:space="preserve"> TURBET </t>
  </si>
  <si>
    <t xml:space="preserve"> FORRAT </t>
  </si>
  <si>
    <t xml:space="preserve"> BOUTSADY </t>
  </si>
  <si>
    <t xml:space="preserve"> GUENOLE </t>
  </si>
  <si>
    <t xml:space="preserve"> RAGUIN </t>
  </si>
  <si>
    <t xml:space="preserve"> BENNAZAR </t>
  </si>
  <si>
    <t xml:space="preserve"> LEME </t>
  </si>
  <si>
    <t xml:space="preserve"> JOUSSEAUME </t>
  </si>
  <si>
    <t xml:space="preserve"> DAVAINE </t>
  </si>
  <si>
    <t xml:space="preserve"> LAFFILLE </t>
  </si>
  <si>
    <t xml:space="preserve"> LATASSE </t>
  </si>
  <si>
    <t xml:space="preserve"> TARRIDEC </t>
  </si>
  <si>
    <t xml:space="preserve"> MARCINKOWSKI </t>
  </si>
  <si>
    <t xml:space="preserve"> BUZY </t>
  </si>
  <si>
    <t xml:space="preserve"> BRACKE </t>
  </si>
  <si>
    <t xml:space="preserve"> DEROTTE </t>
  </si>
  <si>
    <t xml:space="preserve"> MANOURY </t>
  </si>
  <si>
    <t xml:space="preserve"> AMETEAU </t>
  </si>
  <si>
    <t xml:space="preserve"> RAUX </t>
  </si>
  <si>
    <t xml:space="preserve"> CALLEAU </t>
  </si>
  <si>
    <t xml:space="preserve"> THORON </t>
  </si>
  <si>
    <t xml:space="preserve"> LARDUINAT </t>
  </si>
  <si>
    <t xml:space="preserve"> GEORGE LOURDENS </t>
  </si>
  <si>
    <t xml:space="preserve"> FERRERES </t>
  </si>
  <si>
    <t xml:space="preserve"> GINESTE </t>
  </si>
  <si>
    <t xml:space="preserve"> BOUCTOT </t>
  </si>
  <si>
    <t xml:space="preserve"> DONDEL </t>
  </si>
  <si>
    <t xml:space="preserve"> CARLU </t>
  </si>
  <si>
    <t xml:space="preserve"> BODIOT </t>
  </si>
  <si>
    <t xml:space="preserve"> QUILLATEAU </t>
  </si>
  <si>
    <t xml:space="preserve"> CALAMAND </t>
  </si>
  <si>
    <t xml:space="preserve"> GIGER </t>
  </si>
  <si>
    <t xml:space="preserve"> CHOUDEY </t>
  </si>
  <si>
    <t xml:space="preserve"> EFEYAN </t>
  </si>
  <si>
    <t xml:space="preserve"> MADIOT </t>
  </si>
  <si>
    <t xml:space="preserve"> FILLIETTE </t>
  </si>
  <si>
    <t xml:space="preserve"> CASTELAIN </t>
  </si>
  <si>
    <t xml:space="preserve"> DIOMAR </t>
  </si>
  <si>
    <t xml:space="preserve"> GODREAU </t>
  </si>
  <si>
    <t xml:space="preserve"> CHASSIN </t>
  </si>
  <si>
    <t xml:space="preserve"> DAVOUT </t>
  </si>
  <si>
    <t xml:space="preserve"> GAGNET </t>
  </si>
  <si>
    <t xml:space="preserve"> MERTRUD </t>
  </si>
  <si>
    <t xml:space="preserve"> CA.PAULSTRA CHAT. </t>
  </si>
  <si>
    <t xml:space="preserve"> LESSENT </t>
  </si>
  <si>
    <t xml:space="preserve"> Abdallah </t>
  </si>
  <si>
    <t xml:space="preserve"> FAVRIOU </t>
  </si>
  <si>
    <t xml:space="preserve"> THAERON </t>
  </si>
  <si>
    <t xml:space="preserve"> CAILLIET </t>
  </si>
  <si>
    <t xml:space="preserve"> WEIGEL </t>
  </si>
  <si>
    <t xml:space="preserve"> CHAREYRE </t>
  </si>
  <si>
    <t xml:space="preserve"> MELLINGER </t>
  </si>
  <si>
    <t xml:space="preserve"> DAIGREMONT </t>
  </si>
  <si>
    <t xml:space="preserve"> DANIELOU </t>
  </si>
  <si>
    <t xml:space="preserve"> BEUNARDEAU </t>
  </si>
  <si>
    <t xml:space="preserve"> LETT </t>
  </si>
  <si>
    <t xml:space="preserve"> BARRÉ </t>
  </si>
  <si>
    <t xml:space="preserve"> PENNANECH </t>
  </si>
  <si>
    <t xml:space="preserve"> JULOT </t>
  </si>
  <si>
    <t xml:space="preserve"> TRIGANCE </t>
  </si>
  <si>
    <t xml:space="preserve"> ZUGAJ </t>
  </si>
  <si>
    <t xml:space="preserve"> LAURENCOT </t>
  </si>
  <si>
    <t xml:space="preserve"> GONON </t>
  </si>
  <si>
    <t xml:space="preserve"> FOUQUE </t>
  </si>
  <si>
    <t xml:space="preserve"> GAGNEROT </t>
  </si>
  <si>
    <t xml:space="preserve"> CUENIN </t>
  </si>
  <si>
    <t xml:space="preserve"> RABINEAU </t>
  </si>
  <si>
    <t xml:space="preserve"> MOUVAUX </t>
  </si>
  <si>
    <t xml:space="preserve"> ALION </t>
  </si>
  <si>
    <t xml:space="preserve"> LABAJ </t>
  </si>
  <si>
    <t xml:space="preserve"> MARICAL </t>
  </si>
  <si>
    <t xml:space="preserve"> PEUCHANT </t>
  </si>
  <si>
    <t xml:space="preserve"> LOISIRS ET CULTURE </t>
  </si>
  <si>
    <t xml:space="preserve"> GOUVION </t>
  </si>
  <si>
    <t xml:space="preserve"> KRONBERGER </t>
  </si>
  <si>
    <t xml:space="preserve"> ARABA </t>
  </si>
  <si>
    <t xml:space="preserve"> NEUFCOURT </t>
  </si>
  <si>
    <t xml:space="preserve"> CAMPISI </t>
  </si>
  <si>
    <t xml:space="preserve"> MORTEAU </t>
  </si>
  <si>
    <t xml:space="preserve"> DUCHIRON </t>
  </si>
  <si>
    <t xml:space="preserve"> HAENEL </t>
  </si>
  <si>
    <t xml:space="preserve"> MENAN </t>
  </si>
  <si>
    <t xml:space="preserve"> DAMOISEAU </t>
  </si>
  <si>
    <t xml:space="preserve"> CAELEN </t>
  </si>
  <si>
    <t xml:space="preserve"> TOURNE </t>
  </si>
  <si>
    <t xml:space="preserve"> GRANDCLERC </t>
  </si>
  <si>
    <t xml:space="preserve"> CAREIRON </t>
  </si>
  <si>
    <t xml:space="preserve"> LELARGE </t>
  </si>
  <si>
    <t xml:space="preserve"> Denys </t>
  </si>
  <si>
    <t xml:space="preserve"> DAHAI </t>
  </si>
  <si>
    <t xml:space="preserve"> PLAISANT </t>
  </si>
  <si>
    <t xml:space="preserve"> POUXBERTHE </t>
  </si>
  <si>
    <t xml:space="preserve"> BOSCUS </t>
  </si>
  <si>
    <t xml:space="preserve"> MJC DOLE </t>
  </si>
  <si>
    <t xml:space="preserve"> MAGIN </t>
  </si>
  <si>
    <t xml:space="preserve"> CAMARA </t>
  </si>
  <si>
    <t xml:space="preserve"> TABILLON </t>
  </si>
  <si>
    <t xml:space="preserve"> RUGO </t>
  </si>
  <si>
    <t xml:space="preserve"> BREHON </t>
  </si>
  <si>
    <t xml:space="preserve"> GAUDUCHON </t>
  </si>
  <si>
    <t xml:space="preserve"> LABARRIERE </t>
  </si>
  <si>
    <t xml:space="preserve"> GARRIGUES </t>
  </si>
  <si>
    <t xml:space="preserve"> VERNICHON </t>
  </si>
  <si>
    <t xml:space="preserve"> HUGONNOT </t>
  </si>
  <si>
    <t xml:space="preserve"> ABEGG </t>
  </si>
  <si>
    <t xml:space="preserve"> FETEIRA </t>
  </si>
  <si>
    <t xml:space="preserve"> RAVERAT </t>
  </si>
  <si>
    <t xml:space="preserve"> EGGER </t>
  </si>
  <si>
    <t xml:space="preserve"> FUCHY </t>
  </si>
  <si>
    <t xml:space="preserve"> LUDWICZAK </t>
  </si>
  <si>
    <t xml:space="preserve"> DEROUIN </t>
  </si>
  <si>
    <t xml:space="preserve"> AYOUAZ </t>
  </si>
  <si>
    <t xml:space="preserve"> LEPEIX </t>
  </si>
  <si>
    <t xml:space="preserve"> DEBUISSY </t>
  </si>
  <si>
    <t xml:space="preserve"> ZENNER </t>
  </si>
  <si>
    <t xml:space="preserve"> SCHWAMBACH </t>
  </si>
  <si>
    <t xml:space="preserve"> JOUATEL </t>
  </si>
  <si>
    <t xml:space="preserve"> LANCELOT </t>
  </si>
  <si>
    <t xml:space="preserve"> Boris-denis </t>
  </si>
  <si>
    <t xml:space="preserve"> PERPERE </t>
  </si>
  <si>
    <t xml:space="preserve"> BAUSSANNE </t>
  </si>
  <si>
    <t xml:space="preserve"> GAGET </t>
  </si>
  <si>
    <t xml:space="preserve"> MANA </t>
  </si>
  <si>
    <t xml:space="preserve"> GIRONNET </t>
  </si>
  <si>
    <t xml:space="preserve"> WETZEL </t>
  </si>
  <si>
    <t xml:space="preserve"> MALLEVAEY </t>
  </si>
  <si>
    <t xml:space="preserve"> MACCARI </t>
  </si>
  <si>
    <t xml:space="preserve"> MICHAUDEAU </t>
  </si>
  <si>
    <t xml:space="preserve"> GAUTRIN </t>
  </si>
  <si>
    <t xml:space="preserve"> VIGNOLI </t>
  </si>
  <si>
    <t xml:space="preserve"> COURRIN </t>
  </si>
  <si>
    <t xml:space="preserve"> NODARI </t>
  </si>
  <si>
    <t xml:space="preserve"> GRIGNON </t>
  </si>
  <si>
    <t xml:space="preserve"> SERCEL </t>
  </si>
  <si>
    <t xml:space="preserve"> COSPIN </t>
  </si>
  <si>
    <t xml:space="preserve"> VALIN </t>
  </si>
  <si>
    <t xml:space="preserve"> TECHER </t>
  </si>
  <si>
    <t xml:space="preserve"> Léon </t>
  </si>
  <si>
    <t xml:space="preserve"> EBERT </t>
  </si>
  <si>
    <t xml:space="preserve"> LACLAVETINE </t>
  </si>
  <si>
    <t xml:space="preserve"> FAYAULT </t>
  </si>
  <si>
    <t xml:space="preserve"> PRUSSE </t>
  </si>
  <si>
    <t xml:space="preserve"> GOUEDARD </t>
  </si>
  <si>
    <t xml:space="preserve"> CHEVANCE </t>
  </si>
  <si>
    <t xml:space="preserve"> JOLENS </t>
  </si>
  <si>
    <t xml:space="preserve"> CLOUS </t>
  </si>
  <si>
    <t xml:space="preserve"> GRAVELINES US TT </t>
  </si>
  <si>
    <t xml:space="preserve"> GUYART </t>
  </si>
  <si>
    <t xml:space="preserve"> ROUFFIANDIS </t>
  </si>
  <si>
    <t xml:space="preserve"> TT PLAIMPIED  GIVAUDINS </t>
  </si>
  <si>
    <t xml:space="preserve"> PENIN </t>
  </si>
  <si>
    <t xml:space="preserve"> DEBUISSCHERT </t>
  </si>
  <si>
    <t xml:space="preserve"> ROQUIGNY </t>
  </si>
  <si>
    <t xml:space="preserve"> PULUHEN </t>
  </si>
  <si>
    <t xml:space="preserve"> LYANT </t>
  </si>
  <si>
    <t xml:space="preserve"> BONITEAU </t>
  </si>
  <si>
    <t xml:space="preserve"> DIEUTRE </t>
  </si>
  <si>
    <t xml:space="preserve"> IGUACEL </t>
  </si>
  <si>
    <t xml:space="preserve"> FAUCOGNEY </t>
  </si>
  <si>
    <t xml:space="preserve"> CRAVEUR </t>
  </si>
  <si>
    <t xml:space="preserve"> BERNOBIC </t>
  </si>
  <si>
    <t xml:space="preserve"> VOYNNET </t>
  </si>
  <si>
    <t xml:space="preserve"> QUATREVAUX </t>
  </si>
  <si>
    <t xml:space="preserve"> HENAUT </t>
  </si>
  <si>
    <t xml:space="preserve"> MICHENEAU </t>
  </si>
  <si>
    <t xml:space="preserve"> BEAUCHER </t>
  </si>
  <si>
    <t xml:space="preserve"> BOTTET </t>
  </si>
  <si>
    <t xml:space="preserve"> PACQUELET </t>
  </si>
  <si>
    <t xml:space="preserve"> TABUTEAU </t>
  </si>
  <si>
    <t xml:space="preserve"> DE MENDIGUREN </t>
  </si>
  <si>
    <t xml:space="preserve"> WAJNBERG-KOHN </t>
  </si>
  <si>
    <t xml:space="preserve"> PAULEAU </t>
  </si>
  <si>
    <t xml:space="preserve"> NICOL </t>
  </si>
  <si>
    <t xml:space="preserve"> HOURDIN </t>
  </si>
  <si>
    <t xml:space="preserve"> TRIVIER </t>
  </si>
  <si>
    <t xml:space="preserve"> LUBIN </t>
  </si>
  <si>
    <t xml:space="preserve"> LAJOINIE </t>
  </si>
  <si>
    <t xml:space="preserve"> RETOURNARD </t>
  </si>
  <si>
    <t xml:space="preserve"> Pierre-emmanuel </t>
  </si>
  <si>
    <t xml:space="preserve"> COMBERNOUX </t>
  </si>
  <si>
    <t xml:space="preserve"> DHENNIN </t>
  </si>
  <si>
    <t xml:space="preserve"> PERDU </t>
  </si>
  <si>
    <t xml:space="preserve"> STAMMLER </t>
  </si>
  <si>
    <t xml:space="preserve"> ROBVEILLE </t>
  </si>
  <si>
    <t xml:space="preserve"> DUJARRIER </t>
  </si>
  <si>
    <t xml:space="preserve"> FOIN </t>
  </si>
  <si>
    <t xml:space="preserve"> TROUDE </t>
  </si>
  <si>
    <t xml:space="preserve"> PASTOL </t>
  </si>
  <si>
    <t xml:space="preserve"> VIRTEL </t>
  </si>
  <si>
    <t xml:space="preserve"> VEISS </t>
  </si>
  <si>
    <t xml:space="preserve"> Alix </t>
  </si>
  <si>
    <t xml:space="preserve"> GRIGNE </t>
  </si>
  <si>
    <t xml:space="preserve"> BLONDET </t>
  </si>
  <si>
    <t xml:space="preserve"> BELNOU </t>
  </si>
  <si>
    <t xml:space="preserve"> DROCHON </t>
  </si>
  <si>
    <t xml:space="preserve"> BONAMOUR DU TARTRE </t>
  </si>
  <si>
    <t xml:space="preserve"> JACKIRIYA </t>
  </si>
  <si>
    <t xml:space="preserve"> Mohamed jamal </t>
  </si>
  <si>
    <t xml:space="preserve"> KUBIACZYK </t>
  </si>
  <si>
    <t xml:space="preserve"> Helder manuel </t>
  </si>
  <si>
    <t xml:space="preserve"> VEKEMANS </t>
  </si>
  <si>
    <t xml:space="preserve"> MANCHEC </t>
  </si>
  <si>
    <t xml:space="preserve"> CABILLIC </t>
  </si>
  <si>
    <t xml:space="preserve"> CARAGLIO </t>
  </si>
  <si>
    <t xml:space="preserve"> CHATELAS </t>
  </si>
  <si>
    <t xml:space="preserve"> THARREAU </t>
  </si>
  <si>
    <t xml:space="preserve"> PHOTION </t>
  </si>
  <si>
    <t xml:space="preserve"> BEDU </t>
  </si>
  <si>
    <t xml:space="preserve"> DUPIRE </t>
  </si>
  <si>
    <t xml:space="preserve"> GABREL </t>
  </si>
  <si>
    <t xml:space="preserve"> SAFI </t>
  </si>
  <si>
    <t xml:space="preserve"> Denis claude </t>
  </si>
  <si>
    <t xml:space="preserve"> PERISSE </t>
  </si>
  <si>
    <t xml:space="preserve"> ROMAGNY </t>
  </si>
  <si>
    <t xml:space="preserve"> NARDI </t>
  </si>
  <si>
    <t xml:space="preserve"> Wei </t>
  </si>
  <si>
    <t xml:space="preserve"> ROUYERE </t>
  </si>
  <si>
    <t xml:space="preserve"> PLATEAU </t>
  </si>
  <si>
    <t xml:space="preserve"> DELAIS </t>
  </si>
  <si>
    <t xml:space="preserve"> PONTREMOLI </t>
  </si>
  <si>
    <t xml:space="preserve"> ENARD </t>
  </si>
  <si>
    <t xml:space="preserve"> DUBESSAY </t>
  </si>
  <si>
    <t xml:space="preserve"> KOLB </t>
  </si>
  <si>
    <t xml:space="preserve"> FRAGGI </t>
  </si>
  <si>
    <t xml:space="preserve"> TROCQUE </t>
  </si>
  <si>
    <t xml:space="preserve"> JOSEPH DIT LENCHON </t>
  </si>
  <si>
    <t xml:space="preserve"> DAVENNE </t>
  </si>
  <si>
    <t xml:space="preserve"> DOURSOUX </t>
  </si>
  <si>
    <t xml:space="preserve"> SAUNIER DUVAL </t>
  </si>
  <si>
    <t xml:space="preserve"> STRNAD </t>
  </si>
  <si>
    <t xml:space="preserve"> Jean remy </t>
  </si>
  <si>
    <t xml:space="preserve"> RADICICH </t>
  </si>
  <si>
    <t xml:space="preserve"> THALY </t>
  </si>
  <si>
    <t xml:space="preserve"> 349B2081 </t>
  </si>
  <si>
    <t xml:space="preserve"> REVEIL SPORTIF </t>
  </si>
  <si>
    <t xml:space="preserve"> GESSLER </t>
  </si>
  <si>
    <t xml:space="preserve"> FAYOLLE </t>
  </si>
  <si>
    <t xml:space="preserve"> JARREAU </t>
  </si>
  <si>
    <t xml:space="preserve"> DUBAIL </t>
  </si>
  <si>
    <t xml:space="preserve"> DONET </t>
  </si>
  <si>
    <t xml:space="preserve"> VANSTEELANDT </t>
  </si>
  <si>
    <t xml:space="preserve"> DELAYEN </t>
  </si>
  <si>
    <t xml:space="preserve"> DOUCHIN </t>
  </si>
  <si>
    <t xml:space="preserve"> DEHORTER </t>
  </si>
  <si>
    <t xml:space="preserve"> CHAUMIN </t>
  </si>
  <si>
    <t xml:space="preserve"> CLAUTOUR </t>
  </si>
  <si>
    <t xml:space="preserve"> ABELLARD </t>
  </si>
  <si>
    <t xml:space="preserve"> Léandre </t>
  </si>
  <si>
    <t xml:space="preserve"> DANREE </t>
  </si>
  <si>
    <t xml:space="preserve"> CALLAC </t>
  </si>
  <si>
    <t xml:space="preserve"> CHARVENET </t>
  </si>
  <si>
    <t xml:space="preserve"> ABATE </t>
  </si>
  <si>
    <t xml:space="preserve"> GLYNOS </t>
  </si>
  <si>
    <t xml:space="preserve"> Anastasios </t>
  </si>
  <si>
    <t xml:space="preserve"> TAILLEFER </t>
  </si>
  <si>
    <t xml:space="preserve"> LE GLEUHER </t>
  </si>
  <si>
    <t xml:space="preserve"> SOLEILLET </t>
  </si>
  <si>
    <t xml:space="preserve"> TRUPHANDIER </t>
  </si>
  <si>
    <t xml:space="preserve"> BOINVILLE TT </t>
  </si>
  <si>
    <t xml:space="preserve"> THALAMAS </t>
  </si>
  <si>
    <t xml:space="preserve"> CREIS </t>
  </si>
  <si>
    <t xml:space="preserve"> POKALSKY </t>
  </si>
  <si>
    <t xml:space="preserve"> WAUQUIER </t>
  </si>
  <si>
    <t xml:space="preserve"> NICANOR </t>
  </si>
  <si>
    <t xml:space="preserve"> SOUNIE </t>
  </si>
  <si>
    <t xml:space="preserve"> BOURDAIS </t>
  </si>
  <si>
    <t xml:space="preserve"> BAUVINEAU </t>
  </si>
  <si>
    <t xml:space="preserve"> POUTOIRE </t>
  </si>
  <si>
    <t xml:space="preserve"> BROC </t>
  </si>
  <si>
    <t xml:space="preserve"> BARA </t>
  </si>
  <si>
    <t xml:space="preserve"> DEUTSCH </t>
  </si>
  <si>
    <t xml:space="preserve"> ROMANISZIN </t>
  </si>
  <si>
    <t xml:space="preserve"> LEBOUTEILLER </t>
  </si>
  <si>
    <t xml:space="preserve"> LE PELLETER </t>
  </si>
  <si>
    <t xml:space="preserve"> ALECHKINE </t>
  </si>
  <si>
    <t xml:space="preserve"> FERIOT </t>
  </si>
  <si>
    <t xml:space="preserve"> MONGIN </t>
  </si>
  <si>
    <t xml:space="preserve"> BEGEAU </t>
  </si>
  <si>
    <t xml:space="preserve"> GAYDU </t>
  </si>
  <si>
    <t xml:space="preserve"> ES ROCHE MOLIERE </t>
  </si>
  <si>
    <t xml:space="preserve"> SCAPIN </t>
  </si>
  <si>
    <t xml:space="preserve"> BUVRON </t>
  </si>
  <si>
    <t xml:space="preserve"> HO </t>
  </si>
  <si>
    <t xml:space="preserve"> SCHREINER </t>
  </si>
  <si>
    <t xml:space="preserve"> SAUT </t>
  </si>
  <si>
    <t xml:space="preserve"> MALVOLTI </t>
  </si>
  <si>
    <t xml:space="preserve"> WEILER </t>
  </si>
  <si>
    <t xml:space="preserve"> ZILLIOX </t>
  </si>
  <si>
    <t xml:space="preserve"> VANDENBROUCQ </t>
  </si>
  <si>
    <t xml:space="preserve"> LONNOY </t>
  </si>
  <si>
    <t xml:space="preserve"> FROMAGER </t>
  </si>
  <si>
    <t xml:space="preserve"> CARUZZI </t>
  </si>
  <si>
    <t xml:space="preserve"> DROESBEKE </t>
  </si>
  <si>
    <t xml:space="preserve"> RAIDOT </t>
  </si>
  <si>
    <t xml:space="preserve"> G C O BIHOREL </t>
  </si>
  <si>
    <t xml:space="preserve"> GOUGIS </t>
  </si>
  <si>
    <t xml:space="preserve"> PAILLEREAU </t>
  </si>
  <si>
    <t xml:space="preserve"> Cecil </t>
  </si>
  <si>
    <t xml:space="preserve"> DUBUS </t>
  </si>
  <si>
    <t xml:space="preserve"> BEKMEZIAN </t>
  </si>
  <si>
    <t xml:space="preserve"> PING PONG CLUB DE VALREAS </t>
  </si>
  <si>
    <t xml:space="preserve"> MILORD </t>
  </si>
  <si>
    <t xml:space="preserve"> ROLLET </t>
  </si>
  <si>
    <t xml:space="preserve"> RIBARD </t>
  </si>
  <si>
    <t xml:space="preserve"> CHAUCHARD </t>
  </si>
  <si>
    <t xml:space="preserve"> ESCALLE </t>
  </si>
  <si>
    <t xml:space="preserve"> SOLA </t>
  </si>
  <si>
    <t xml:space="preserve"> BUR </t>
  </si>
  <si>
    <t xml:space="preserve"> WILLERY </t>
  </si>
  <si>
    <t xml:space="preserve"> PFEIL </t>
  </si>
  <si>
    <t xml:space="preserve"> BERRUE </t>
  </si>
  <si>
    <t xml:space="preserve"> DRUAUX </t>
  </si>
  <si>
    <t xml:space="preserve"> GIOANNI </t>
  </si>
  <si>
    <t xml:space="preserve"> LABOULAYE </t>
  </si>
  <si>
    <t xml:space="preserve"> C.S. MICHELIN </t>
  </si>
  <si>
    <t xml:space="preserve"> SAEGH </t>
  </si>
  <si>
    <t xml:space="preserve"> AVRIL </t>
  </si>
  <si>
    <t xml:space="preserve"> Corme Royal TTC </t>
  </si>
  <si>
    <t xml:space="preserve"> STIEGER </t>
  </si>
  <si>
    <t xml:space="preserve"> GOUTAGNY </t>
  </si>
  <si>
    <t xml:space="preserve"> ENTRAIGUES </t>
  </si>
  <si>
    <t xml:space="preserve"> YVANIES </t>
  </si>
  <si>
    <t xml:space="preserve"> SEYEUX </t>
  </si>
  <si>
    <t xml:space="preserve"> LE PRIOL </t>
  </si>
  <si>
    <t xml:space="preserve"> MOL </t>
  </si>
  <si>
    <t xml:space="preserve"> DUPLISSY </t>
  </si>
  <si>
    <t xml:space="preserve"> DERANGERE </t>
  </si>
  <si>
    <t xml:space="preserve"> LARIO </t>
  </si>
  <si>
    <t xml:space="preserve"> Frantz </t>
  </si>
  <si>
    <t xml:space="preserve"> ANDRAULT </t>
  </si>
  <si>
    <t xml:space="preserve"> TAFFONNEAU </t>
  </si>
  <si>
    <t xml:space="preserve"> MELLET </t>
  </si>
  <si>
    <t xml:space="preserve"> VINCI </t>
  </si>
  <si>
    <t xml:space="preserve"> PURAVET </t>
  </si>
  <si>
    <t xml:space="preserve"> VINOUZE </t>
  </si>
  <si>
    <t xml:space="preserve"> LE JAN </t>
  </si>
  <si>
    <t xml:space="preserve"> HELIN </t>
  </si>
  <si>
    <t xml:space="preserve"> GAZENGEL </t>
  </si>
  <si>
    <t xml:space="preserve"> CHANTRE </t>
  </si>
  <si>
    <t xml:space="preserve"> Bords TT </t>
  </si>
  <si>
    <t xml:space="preserve"> DUPREY </t>
  </si>
  <si>
    <t xml:space="preserve"> PINCA </t>
  </si>
  <si>
    <t xml:space="preserve"> QUERAT </t>
  </si>
  <si>
    <t xml:space="preserve"> PERRAUT </t>
  </si>
  <si>
    <t xml:space="preserve"> FERNAGUT </t>
  </si>
  <si>
    <t xml:space="preserve"> FOND </t>
  </si>
  <si>
    <t xml:space="preserve"> GROUPEMENT LA HETRAIE </t>
  </si>
  <si>
    <t xml:space="preserve"> PELUHET </t>
  </si>
  <si>
    <t xml:space="preserve"> ATTINOST </t>
  </si>
  <si>
    <t xml:space="preserve"> JEANNES </t>
  </si>
  <si>
    <t xml:space="preserve"> ASBR </t>
  </si>
  <si>
    <t xml:space="preserve"> FETTU </t>
  </si>
  <si>
    <t xml:space="preserve"> TENEUL </t>
  </si>
  <si>
    <t xml:space="preserve"> BASSA </t>
  </si>
  <si>
    <t xml:space="preserve"> Radzistaw </t>
  </si>
  <si>
    <t xml:space="preserve"> BUFFIN </t>
  </si>
  <si>
    <t xml:space="preserve"> MAURY </t>
  </si>
  <si>
    <t xml:space="preserve"> PAVY </t>
  </si>
  <si>
    <t xml:space="preserve"> BRUNEL </t>
  </si>
  <si>
    <t xml:space="preserve"> ROIGNANT </t>
  </si>
  <si>
    <t xml:space="preserve"> PUE </t>
  </si>
  <si>
    <t xml:space="preserve"> TREMOUILLE </t>
  </si>
  <si>
    <t xml:space="preserve"> CHABAL </t>
  </si>
  <si>
    <t xml:space="preserve"> LE COQ </t>
  </si>
  <si>
    <t xml:space="preserve"> GOLL </t>
  </si>
  <si>
    <t xml:space="preserve"> DUPERRAY </t>
  </si>
  <si>
    <t xml:space="preserve"> BARTIER </t>
  </si>
  <si>
    <t xml:space="preserve"> Van dong </t>
  </si>
  <si>
    <t xml:space="preserve"> BREUREC </t>
  </si>
  <si>
    <t xml:space="preserve"> GRILLOT </t>
  </si>
  <si>
    <t xml:space="preserve"> GENERAC T.T. </t>
  </si>
  <si>
    <t xml:space="preserve"> CORNEDE </t>
  </si>
  <si>
    <t xml:space="preserve"> TIRLOY </t>
  </si>
  <si>
    <t xml:space="preserve"> WEISELFISZ </t>
  </si>
  <si>
    <t xml:space="preserve"> DIJOU </t>
  </si>
  <si>
    <t xml:space="preserve"> BOUCHAIN </t>
  </si>
  <si>
    <t xml:space="preserve"> GIGANT </t>
  </si>
  <si>
    <t xml:space="preserve"> BOUKHERIS </t>
  </si>
  <si>
    <t xml:space="preserve"> Carol </t>
  </si>
  <si>
    <t xml:space="preserve"> DEBUE </t>
  </si>
  <si>
    <t xml:space="preserve"> LASSEAUX </t>
  </si>
  <si>
    <t xml:space="preserve"> LIBIERE </t>
  </si>
  <si>
    <t xml:space="preserve"> PEGEOT </t>
  </si>
  <si>
    <t xml:space="preserve"> LOURENCO </t>
  </si>
  <si>
    <t xml:space="preserve"> BOULAIRE </t>
  </si>
  <si>
    <t xml:space="preserve"> HOUDUSSE </t>
  </si>
  <si>
    <t xml:space="preserve"> CASANOBAS </t>
  </si>
  <si>
    <t xml:space="preserve"> CULIOLI </t>
  </si>
  <si>
    <t xml:space="preserve"> VANSEVENANT </t>
  </si>
  <si>
    <t xml:space="preserve"> BAUBEL </t>
  </si>
  <si>
    <t xml:space="preserve"> HACHE </t>
  </si>
  <si>
    <t xml:space="preserve"> PIQUIER </t>
  </si>
  <si>
    <t xml:space="preserve"> TRANGE Tennis de Table AS </t>
  </si>
  <si>
    <t xml:space="preserve"> VOINCHET </t>
  </si>
  <si>
    <t xml:space="preserve"> ROHART </t>
  </si>
  <si>
    <t xml:space="preserve"> DELABRE </t>
  </si>
  <si>
    <t xml:space="preserve"> VARILLON </t>
  </si>
  <si>
    <t xml:space="preserve"> STOUVENOT </t>
  </si>
  <si>
    <t xml:space="preserve"> MAKKE </t>
  </si>
  <si>
    <t xml:space="preserve"> MERKOULOFF </t>
  </si>
  <si>
    <t xml:space="preserve"> D'ALMEIDA COELHO </t>
  </si>
  <si>
    <t xml:space="preserve"> BOUCHAUVEAU </t>
  </si>
  <si>
    <t xml:space="preserve"> LASSABLIERE </t>
  </si>
  <si>
    <t xml:space="preserve"> BRUN-BARONNAT </t>
  </si>
  <si>
    <t xml:space="preserve"> EPINAT </t>
  </si>
  <si>
    <t xml:space="preserve"> BICHELBERGER </t>
  </si>
  <si>
    <t xml:space="preserve"> Loîc </t>
  </si>
  <si>
    <t xml:space="preserve"> SERRUT </t>
  </si>
  <si>
    <t xml:space="preserve"> CHASME </t>
  </si>
  <si>
    <t xml:space="preserve"> RAMOS </t>
  </si>
  <si>
    <t xml:space="preserve"> COLART </t>
  </si>
  <si>
    <t xml:space="preserve"> SIREYZOL </t>
  </si>
  <si>
    <t xml:space="preserve"> BERCHER </t>
  </si>
  <si>
    <t xml:space="preserve"> KROURI </t>
  </si>
  <si>
    <t xml:space="preserve"> MAZOUIN </t>
  </si>
  <si>
    <t xml:space="preserve"> DEVREESE </t>
  </si>
  <si>
    <t xml:space="preserve"> ROUVREAU </t>
  </si>
  <si>
    <t xml:space="preserve"> MARONNEAU </t>
  </si>
  <si>
    <t xml:space="preserve"> BLACK </t>
  </si>
  <si>
    <t xml:space="preserve"> FLUGEL </t>
  </si>
  <si>
    <t xml:space="preserve"> HANOT </t>
  </si>
  <si>
    <t xml:space="preserve"> LE QUINQUIS </t>
  </si>
  <si>
    <t xml:space="preserve"> RIPAYRE </t>
  </si>
  <si>
    <t xml:space="preserve"> HOLAIND </t>
  </si>
  <si>
    <t xml:space="preserve"> BABKINE </t>
  </si>
  <si>
    <t xml:space="preserve"> BODERE </t>
  </si>
  <si>
    <t xml:space="preserve"> LOUAT </t>
  </si>
  <si>
    <t xml:space="preserve"> DOUTE </t>
  </si>
  <si>
    <t xml:space="preserve"> Reinhard </t>
  </si>
  <si>
    <t xml:space="preserve"> GUELLAFF </t>
  </si>
  <si>
    <t xml:space="preserve"> CASTAGNOS </t>
  </si>
  <si>
    <t xml:space="preserve"> MARGERIE </t>
  </si>
  <si>
    <t xml:space="preserve"> HERNOUX </t>
  </si>
  <si>
    <t xml:space="preserve"> RABEC </t>
  </si>
  <si>
    <t xml:space="preserve"> SAINT JOUAN TENNIS DE TAB </t>
  </si>
  <si>
    <t xml:space="preserve"> LINTIGNAT </t>
  </si>
  <si>
    <t xml:space="preserve"> FOURNEAU </t>
  </si>
  <si>
    <t xml:space="preserve"> Lusignan AS Mélusine </t>
  </si>
  <si>
    <t xml:space="preserve"> KOECHLER </t>
  </si>
  <si>
    <t xml:space="preserve"> LECUYER </t>
  </si>
  <si>
    <t xml:space="preserve"> RENET </t>
  </si>
  <si>
    <t xml:space="preserve"> BRESOUS </t>
  </si>
  <si>
    <t xml:space="preserve"> DROUILLARD </t>
  </si>
  <si>
    <t xml:space="preserve"> BAYROU </t>
  </si>
  <si>
    <t xml:space="preserve"> MAZILLE </t>
  </si>
  <si>
    <t xml:space="preserve"> NAGISCARDE </t>
  </si>
  <si>
    <t xml:space="preserve"> DOLLAT </t>
  </si>
  <si>
    <t xml:space="preserve"> PERAULT </t>
  </si>
  <si>
    <t xml:space="preserve"> BULTOT </t>
  </si>
  <si>
    <t xml:space="preserve"> MORO </t>
  </si>
  <si>
    <t xml:space="preserve"> DUBRAY </t>
  </si>
  <si>
    <t xml:space="preserve"> GUILLAMET </t>
  </si>
  <si>
    <t xml:space="preserve"> DELOMENIE </t>
  </si>
  <si>
    <t xml:space="preserve"> ETTORI </t>
  </si>
  <si>
    <t xml:space="preserve"> MURELLO </t>
  </si>
  <si>
    <t xml:space="preserve"> BOUTELIER </t>
  </si>
  <si>
    <t xml:space="preserve"> ROLLE </t>
  </si>
  <si>
    <t xml:space="preserve"> MEZIERE </t>
  </si>
  <si>
    <t xml:space="preserve"> MAZELINE </t>
  </si>
  <si>
    <t xml:space="preserve"> FIGUEIREDO </t>
  </si>
  <si>
    <t xml:space="preserve"> COLRAS </t>
  </si>
  <si>
    <t xml:space="preserve"> MALFAIT </t>
  </si>
  <si>
    <t xml:space="preserve"> DESROCHES </t>
  </si>
  <si>
    <t xml:space="preserve"> BENALI </t>
  </si>
  <si>
    <t xml:space="preserve"> GOMBART </t>
  </si>
  <si>
    <t xml:space="preserve"> MINIER </t>
  </si>
  <si>
    <t xml:space="preserve"> DUTILLEUL </t>
  </si>
  <si>
    <t xml:space="preserve"> ALFRED </t>
  </si>
  <si>
    <t xml:space="preserve"> DIAVET </t>
  </si>
  <si>
    <t xml:space="preserve"> GRANJARD </t>
  </si>
  <si>
    <t xml:space="preserve"> LOXOL </t>
  </si>
  <si>
    <t xml:space="preserve"> LAUFERON </t>
  </si>
  <si>
    <t xml:space="preserve"> DECHIRON </t>
  </si>
  <si>
    <t xml:space="preserve"> ROEDER </t>
  </si>
  <si>
    <t xml:space="preserve"> TT VILLENEUVE DE LA RAHO </t>
  </si>
  <si>
    <t xml:space="preserve"> LARREUR </t>
  </si>
  <si>
    <t xml:space="preserve"> ROBEAUX </t>
  </si>
  <si>
    <t xml:space="preserve"> AVENARD </t>
  </si>
  <si>
    <t xml:space="preserve"> GUILLERMIN </t>
  </si>
  <si>
    <t xml:space="preserve"> KASSEL </t>
  </si>
  <si>
    <t xml:space="preserve"> QUINIOT </t>
  </si>
  <si>
    <t xml:space="preserve"> BELARD </t>
  </si>
  <si>
    <t xml:space="preserve"> DECAUX </t>
  </si>
  <si>
    <t xml:space="preserve"> ROUZIERE </t>
  </si>
  <si>
    <t xml:space="preserve"> CHANAVAT </t>
  </si>
  <si>
    <t xml:space="preserve"> GUITON </t>
  </si>
  <si>
    <t xml:space="preserve"> PERTUISET </t>
  </si>
  <si>
    <t xml:space="preserve"> DALIBERT </t>
  </si>
  <si>
    <t xml:space="preserve"> GROMADA </t>
  </si>
  <si>
    <t xml:space="preserve"> JULLIAN </t>
  </si>
  <si>
    <t xml:space="preserve"> BOURDEIX </t>
  </si>
  <si>
    <t xml:space="preserve"> CAZAUBON </t>
  </si>
  <si>
    <t xml:space="preserve"> GRANGEOT </t>
  </si>
  <si>
    <t xml:space="preserve"> SIGUIER </t>
  </si>
  <si>
    <t xml:space="preserve"> LIGER </t>
  </si>
  <si>
    <t xml:space="preserve"> DESSANDIER </t>
  </si>
  <si>
    <t xml:space="preserve"> VANNEUVILLE </t>
  </si>
  <si>
    <t xml:space="preserve"> AULNAYSIENS AP </t>
  </si>
  <si>
    <t xml:space="preserve"> SANDEYRON </t>
  </si>
  <si>
    <t xml:space="preserve"> SOUCHET </t>
  </si>
  <si>
    <t xml:space="preserve"> NARACCI </t>
  </si>
  <si>
    <t xml:space="preserve"> VILVERT </t>
  </si>
  <si>
    <t xml:space="preserve"> LOYE </t>
  </si>
  <si>
    <t xml:space="preserve"> MAJORCZYK </t>
  </si>
  <si>
    <t xml:space="preserve"> DUCHATELET </t>
  </si>
  <si>
    <t xml:space="preserve"> SPOHR </t>
  </si>
  <si>
    <t xml:space="preserve"> PEDRALI </t>
  </si>
  <si>
    <t xml:space="preserve"> FEIGE </t>
  </si>
  <si>
    <t xml:space="preserve"> BESTETTI </t>
  </si>
  <si>
    <t xml:space="preserve"> DELETRAZ </t>
  </si>
  <si>
    <t xml:space="preserve"> TIJOU </t>
  </si>
  <si>
    <t xml:space="preserve"> SOUCHAL </t>
  </si>
  <si>
    <t xml:space="preserve"> VALLEZ </t>
  </si>
  <si>
    <t xml:space="preserve"> HYVARD </t>
  </si>
  <si>
    <t xml:space="preserve"> MANOEUVRIER </t>
  </si>
  <si>
    <t xml:space="preserve"> DEDENON </t>
  </si>
  <si>
    <t xml:space="preserve"> ARRIBART </t>
  </si>
  <si>
    <t xml:space="preserve"> HEIME </t>
  </si>
  <si>
    <t xml:space="preserve"> MORARA </t>
  </si>
  <si>
    <t xml:space="preserve"> Paolo </t>
  </si>
  <si>
    <t xml:space="preserve"> BROGNIARD </t>
  </si>
  <si>
    <t xml:space="preserve"> GUEGO </t>
  </si>
  <si>
    <t xml:space="preserve"> PAPRZYCKI </t>
  </si>
  <si>
    <t xml:space="preserve"> GNEITING </t>
  </si>
  <si>
    <t xml:space="preserve"> Paul van linh </t>
  </si>
  <si>
    <t xml:space="preserve"> CHASSAIN </t>
  </si>
  <si>
    <t xml:space="preserve"> LELOIR </t>
  </si>
  <si>
    <t xml:space="preserve"> CAMBIER </t>
  </si>
  <si>
    <t xml:space="preserve"> COUCHEY </t>
  </si>
  <si>
    <t xml:space="preserve"> OPSOMMER </t>
  </si>
  <si>
    <t xml:space="preserve"> NOTREDAEME </t>
  </si>
  <si>
    <t xml:space="preserve"> BOURSON </t>
  </si>
  <si>
    <t xml:space="preserve"> ECOCHARD </t>
  </si>
  <si>
    <t xml:space="preserve"> HEMERAY </t>
  </si>
  <si>
    <t xml:space="preserve"> CRAGNOLINI </t>
  </si>
  <si>
    <t xml:space="preserve"> GOANEC </t>
  </si>
  <si>
    <t xml:space="preserve"> AUBY ETT </t>
  </si>
  <si>
    <t xml:space="preserve"> BECHEPOIS </t>
  </si>
  <si>
    <t xml:space="preserve"> TOMCZYK </t>
  </si>
  <si>
    <t xml:space="preserve"> COURQUIN </t>
  </si>
  <si>
    <t xml:space="preserve"> RABATEL REYMOND </t>
  </si>
  <si>
    <t xml:space="preserve"> DELORY </t>
  </si>
  <si>
    <t xml:space="preserve"> GRAILLOT </t>
  </si>
  <si>
    <t xml:space="preserve"> DELEMOTTE </t>
  </si>
  <si>
    <t xml:space="preserve"> HELLEBOID </t>
  </si>
  <si>
    <t xml:space="preserve"> VERMOT DES ROCHES </t>
  </si>
  <si>
    <t xml:space="preserve"> DESRIAC </t>
  </si>
  <si>
    <t xml:space="preserve"> ZMUDA </t>
  </si>
  <si>
    <t xml:space="preserve"> VIEYRES </t>
  </si>
  <si>
    <t xml:space="preserve"> BALIN </t>
  </si>
  <si>
    <t xml:space="preserve"> CURTIL </t>
  </si>
  <si>
    <t xml:space="preserve"> BEAUDRIER </t>
  </si>
  <si>
    <t xml:space="preserve"> TCHAOUSSOFF </t>
  </si>
  <si>
    <t xml:space="preserve"> CRAMATTE </t>
  </si>
  <si>
    <t xml:space="preserve"> CHASSAGNON </t>
  </si>
  <si>
    <t xml:space="preserve"> BENZEKRI </t>
  </si>
  <si>
    <t xml:space="preserve"> BIJACIK </t>
  </si>
  <si>
    <t xml:space="preserve"> LEMAUR </t>
  </si>
  <si>
    <t xml:space="preserve"> REVERET </t>
  </si>
  <si>
    <t xml:space="preserve"> TRICART </t>
  </si>
  <si>
    <t xml:space="preserve"> ASC B N P PARIBAS </t>
  </si>
  <si>
    <t xml:space="preserve"> CREPEAU </t>
  </si>
  <si>
    <t xml:space="preserve"> PAULIN </t>
  </si>
  <si>
    <t xml:space="preserve"> RENNES MUNICIPAUX A.S. </t>
  </si>
  <si>
    <t xml:space="preserve"> OLIER </t>
  </si>
  <si>
    <t xml:space="preserve"> GRANDE </t>
  </si>
  <si>
    <t xml:space="preserve"> ACHEZ </t>
  </si>
  <si>
    <t xml:space="preserve"> BIGNET </t>
  </si>
  <si>
    <t xml:space="preserve"> EWIG </t>
  </si>
  <si>
    <t xml:space="preserve"> LE GALLO </t>
  </si>
  <si>
    <t xml:space="preserve"> SPIESSENS </t>
  </si>
  <si>
    <t xml:space="preserve"> NOGUER </t>
  </si>
  <si>
    <t xml:space="preserve"> BINSSE </t>
  </si>
  <si>
    <t xml:space="preserve"> TREILLE </t>
  </si>
  <si>
    <t xml:space="preserve"> VILLY </t>
  </si>
  <si>
    <t xml:space="preserve"> DAILLET </t>
  </si>
  <si>
    <t xml:space="preserve"> CESSOU </t>
  </si>
  <si>
    <t xml:space="preserve"> GAUTHRIN </t>
  </si>
  <si>
    <t xml:space="preserve"> SINGEOT </t>
  </si>
  <si>
    <t xml:space="preserve"> PRELOT </t>
  </si>
  <si>
    <t xml:space="preserve"> ROSATO </t>
  </si>
  <si>
    <t xml:space="preserve"> DONZE </t>
  </si>
  <si>
    <t xml:space="preserve"> WANNEGUE </t>
  </si>
  <si>
    <t xml:space="preserve"> ACQUIER </t>
  </si>
  <si>
    <t xml:space="preserve"> SIRODOT </t>
  </si>
  <si>
    <t xml:space="preserve"> KIS </t>
  </si>
  <si>
    <t xml:space="preserve"> ELOI-BLEZES </t>
  </si>
  <si>
    <t xml:space="preserve"> DOHOLLO </t>
  </si>
  <si>
    <t xml:space="preserve"> MATIGNON </t>
  </si>
  <si>
    <t xml:space="preserve"> RESTIVO </t>
  </si>
  <si>
    <t xml:space="preserve"> COPINE </t>
  </si>
  <si>
    <t xml:space="preserve"> VION </t>
  </si>
  <si>
    <t xml:space="preserve"> BENATI </t>
  </si>
  <si>
    <t xml:space="preserve"> PASSERIEUX </t>
  </si>
  <si>
    <t xml:space="preserve"> MONTEVERDI </t>
  </si>
  <si>
    <t xml:space="preserve"> WINDELS </t>
  </si>
  <si>
    <t xml:space="preserve"> FILLAUDEAU </t>
  </si>
  <si>
    <t xml:space="preserve"> KASPAR </t>
  </si>
  <si>
    <t xml:space="preserve"> VOULOT </t>
  </si>
  <si>
    <t xml:space="preserve"> LORCERIE </t>
  </si>
  <si>
    <t xml:space="preserve"> CORDONNIER </t>
  </si>
  <si>
    <t xml:space="preserve"> Meddy </t>
  </si>
  <si>
    <t xml:space="preserve"> MALVOISIN </t>
  </si>
  <si>
    <t xml:space="preserve"> CORAIL </t>
  </si>
  <si>
    <t xml:space="preserve"> FLINOIS </t>
  </si>
  <si>
    <t xml:space="preserve"> GARRANGER </t>
  </si>
  <si>
    <t xml:space="preserve"> ITICSOHN </t>
  </si>
  <si>
    <t xml:space="preserve"> CABON </t>
  </si>
  <si>
    <t xml:space="preserve"> STEYER </t>
  </si>
  <si>
    <t xml:space="preserve"> GRIVELET </t>
  </si>
  <si>
    <t xml:space="preserve"> CONTENT </t>
  </si>
  <si>
    <t xml:space="preserve"> SYLVESTRE </t>
  </si>
  <si>
    <t xml:space="preserve"> DAIX </t>
  </si>
  <si>
    <t xml:space="preserve"> BONVARLET </t>
  </si>
  <si>
    <t xml:space="preserve"> COURBON </t>
  </si>
  <si>
    <t xml:space="preserve"> PEYRUCHAUD </t>
  </si>
  <si>
    <t xml:space="preserve"> MOLINARI </t>
  </si>
  <si>
    <t xml:space="preserve"> BEAUGENDRE </t>
  </si>
  <si>
    <t xml:space="preserve"> DA RIVA </t>
  </si>
  <si>
    <t xml:space="preserve"> FRUCHARD </t>
  </si>
  <si>
    <t xml:space="preserve"> BOINET </t>
  </si>
  <si>
    <t xml:space="preserve"> VACHIAS </t>
  </si>
  <si>
    <t xml:space="preserve"> MILOUA </t>
  </si>
  <si>
    <t xml:space="preserve"> HESPEL </t>
  </si>
  <si>
    <t xml:space="preserve"> DEBBIH </t>
  </si>
  <si>
    <t xml:space="preserve"> ALLETZ </t>
  </si>
  <si>
    <t xml:space="preserve"> WATREMEZ </t>
  </si>
  <si>
    <t xml:space="preserve"> IFFLY </t>
  </si>
  <si>
    <t xml:space="preserve"> LETRILLARD </t>
  </si>
  <si>
    <t xml:space="preserve"> DANCOINE </t>
  </si>
  <si>
    <t xml:space="preserve"> SAVATTIER </t>
  </si>
  <si>
    <t xml:space="preserve"> FOUBERT </t>
  </si>
  <si>
    <t xml:space="preserve"> NADALIN </t>
  </si>
  <si>
    <t xml:space="preserve"> FRIED </t>
  </si>
  <si>
    <t xml:space="preserve"> ROULLON </t>
  </si>
  <si>
    <t xml:space="preserve"> CHELALI </t>
  </si>
  <si>
    <t xml:space="preserve"> Acene </t>
  </si>
  <si>
    <t xml:space="preserve"> CALLOT </t>
  </si>
  <si>
    <t xml:space="preserve"> MANIGLIER </t>
  </si>
  <si>
    <t xml:space="preserve"> BOUVRY </t>
  </si>
  <si>
    <t xml:space="preserve"> ORSELLI </t>
  </si>
  <si>
    <t xml:space="preserve"> WENDENBAUM </t>
  </si>
  <si>
    <t xml:space="preserve"> BUROCHAIN </t>
  </si>
  <si>
    <t xml:space="preserve"> MENEZ </t>
  </si>
  <si>
    <t xml:space="preserve"> ANTONSEN </t>
  </si>
  <si>
    <t xml:space="preserve"> Bjorn </t>
  </si>
  <si>
    <t xml:space="preserve"> JUMELAIS </t>
  </si>
  <si>
    <t xml:space="preserve"> Briac </t>
  </si>
  <si>
    <t xml:space="preserve"> PINA </t>
  </si>
  <si>
    <t xml:space="preserve"> YANAR </t>
  </si>
  <si>
    <t xml:space="preserve"> Bulent </t>
  </si>
  <si>
    <t xml:space="preserve"> CLUB PONGISTE MONTCELLIEN </t>
  </si>
  <si>
    <t xml:space="preserve"> PISSEVIN </t>
  </si>
  <si>
    <t xml:space="preserve"> PLOUJOUX </t>
  </si>
  <si>
    <t xml:space="preserve"> BELLAY </t>
  </si>
  <si>
    <t xml:space="preserve"> BELZEAUX </t>
  </si>
  <si>
    <t xml:space="preserve"> DEBENEST </t>
  </si>
  <si>
    <t xml:space="preserve"> BOURASSEAU </t>
  </si>
  <si>
    <t xml:space="preserve"> REIGNIER </t>
  </si>
  <si>
    <t xml:space="preserve"> HEID </t>
  </si>
  <si>
    <t xml:space="preserve"> GOINEAU </t>
  </si>
  <si>
    <t xml:space="preserve"> MOULINIER </t>
  </si>
  <si>
    <t xml:space="preserve"> FAUCHEUX </t>
  </si>
  <si>
    <t xml:space="preserve"> FEMENIA </t>
  </si>
  <si>
    <t xml:space="preserve"> CRESSANT </t>
  </si>
  <si>
    <t xml:space="preserve"> BIGUENET </t>
  </si>
  <si>
    <t xml:space="preserve"> PREHER </t>
  </si>
  <si>
    <t xml:space="preserve"> POCHOLLE </t>
  </si>
  <si>
    <t xml:space="preserve"> HY </t>
  </si>
  <si>
    <t xml:space="preserve"> MONRIBOT </t>
  </si>
  <si>
    <t xml:space="preserve"> SCHEM </t>
  </si>
  <si>
    <t xml:space="preserve"> PORTALURI </t>
  </si>
  <si>
    <t xml:space="preserve"> Silvano </t>
  </si>
  <si>
    <t xml:space="preserve"> DUTHUILLE </t>
  </si>
  <si>
    <t xml:space="preserve"> MYSENGSAY </t>
  </si>
  <si>
    <t xml:space="preserve"> Somchay </t>
  </si>
  <si>
    <t xml:space="preserve"> LAMACHE </t>
  </si>
  <si>
    <t xml:space="preserve"> NOTTET </t>
  </si>
  <si>
    <t xml:space="preserve"> CAMU </t>
  </si>
  <si>
    <t xml:space="preserve"> KARAKACHIAN </t>
  </si>
  <si>
    <t xml:space="preserve"> HARROUET </t>
  </si>
  <si>
    <t xml:space="preserve"> MARECESCHE </t>
  </si>
  <si>
    <t xml:space="preserve"> KFOURY </t>
  </si>
  <si>
    <t xml:space="preserve"> VERDIER THERRE </t>
  </si>
  <si>
    <t xml:space="preserve"> GUINET </t>
  </si>
  <si>
    <t xml:space="preserve"> TARTAS </t>
  </si>
  <si>
    <t xml:space="preserve"> ARCOURT </t>
  </si>
  <si>
    <t xml:space="preserve"> DE HARO </t>
  </si>
  <si>
    <t xml:space="preserve"> MECHAIN </t>
  </si>
  <si>
    <t xml:space="preserve"> JAUNATRE </t>
  </si>
  <si>
    <t xml:space="preserve"> PENARRUBIA </t>
  </si>
  <si>
    <t xml:space="preserve"> RUFFIN </t>
  </si>
  <si>
    <t xml:space="preserve"> BOULEY </t>
  </si>
  <si>
    <t xml:space="preserve"> HENNEBERT </t>
  </si>
  <si>
    <t xml:space="preserve"> BUSIN </t>
  </si>
  <si>
    <t xml:space="preserve"> LE SCANFF </t>
  </si>
  <si>
    <t xml:space="preserve"> TT GUERLESQUINAIS </t>
  </si>
  <si>
    <t xml:space="preserve"> WIDEHEM </t>
  </si>
  <si>
    <t xml:space="preserve"> KERGUEN </t>
  </si>
  <si>
    <t xml:space="preserve"> DENY </t>
  </si>
  <si>
    <t xml:space="preserve"> FORTEL </t>
  </si>
  <si>
    <t xml:space="preserve"> MENG </t>
  </si>
  <si>
    <t xml:space="preserve"> LEQUERTIER </t>
  </si>
  <si>
    <t xml:space="preserve"> PLOMMET </t>
  </si>
  <si>
    <t xml:space="preserve"> SAVINA </t>
  </si>
  <si>
    <t xml:space="preserve"> PINGUET </t>
  </si>
  <si>
    <t xml:space="preserve"> MARIOT </t>
  </si>
  <si>
    <t xml:space="preserve"> ZACORE </t>
  </si>
  <si>
    <t xml:space="preserve"> LE CAMUS </t>
  </si>
  <si>
    <t xml:space="preserve"> SUNDARA </t>
  </si>
  <si>
    <t xml:space="preserve"> Phousana </t>
  </si>
  <si>
    <t xml:space="preserve"> RONDEL </t>
  </si>
  <si>
    <t xml:space="preserve"> 349B2083 </t>
  </si>
  <si>
    <t xml:space="preserve"> ASSEC RIVIERE SALEE </t>
  </si>
  <si>
    <t xml:space="preserve"> LUCET </t>
  </si>
  <si>
    <t xml:space="preserve"> POUSSINEAU </t>
  </si>
  <si>
    <t xml:space="preserve"> REGAIN </t>
  </si>
  <si>
    <t xml:space="preserve"> BAZILE </t>
  </si>
  <si>
    <t xml:space="preserve"> ROCHELLE </t>
  </si>
  <si>
    <t xml:space="preserve"> ANSOTTE </t>
  </si>
  <si>
    <t xml:space="preserve"> WOJCIESZAK </t>
  </si>
  <si>
    <t xml:space="preserve"> FOUASSIER </t>
  </si>
  <si>
    <t xml:space="preserve"> TU VERRIERES TT </t>
  </si>
  <si>
    <t xml:space="preserve"> PIDLUNY </t>
  </si>
  <si>
    <t xml:space="preserve"> GROLLET </t>
  </si>
  <si>
    <t xml:space="preserve"> CLUB VALETTOIS TT </t>
  </si>
  <si>
    <t xml:space="preserve"> Duc nhan </t>
  </si>
  <si>
    <t xml:space="preserve"> ANDRADE </t>
  </si>
  <si>
    <t xml:space="preserve"> TT COLOMBIER SAUGNIEU </t>
  </si>
  <si>
    <t xml:space="preserve"> CORLAY </t>
  </si>
  <si>
    <t xml:space="preserve"> JUET </t>
  </si>
  <si>
    <t xml:space="preserve"> PIAULT </t>
  </si>
  <si>
    <t xml:space="preserve"> RIETSCH </t>
  </si>
  <si>
    <t xml:space="preserve"> SANAA </t>
  </si>
  <si>
    <t xml:space="preserve"> Malique </t>
  </si>
  <si>
    <t xml:space="preserve"> SECLEPPE </t>
  </si>
  <si>
    <t xml:space="preserve"> COTTON </t>
  </si>
  <si>
    <t xml:space="preserve"> RUEDIN </t>
  </si>
  <si>
    <t xml:space="preserve"> TASSART </t>
  </si>
  <si>
    <t xml:space="preserve"> Silvain </t>
  </si>
  <si>
    <t xml:space="preserve"> AGGOUNE </t>
  </si>
  <si>
    <t xml:space="preserve"> FLECHON </t>
  </si>
  <si>
    <t xml:space="preserve"> PASSUELLO </t>
  </si>
  <si>
    <t xml:space="preserve"> OUDEVILLE </t>
  </si>
  <si>
    <t xml:space="preserve"> GARNOT </t>
  </si>
  <si>
    <t xml:space="preserve"> ALLIOT </t>
  </si>
  <si>
    <t xml:space="preserve"> ADNIN </t>
  </si>
  <si>
    <t xml:space="preserve"> LANGLUME </t>
  </si>
  <si>
    <t xml:space="preserve"> FOURMOND </t>
  </si>
  <si>
    <t xml:space="preserve"> BOURDON </t>
  </si>
  <si>
    <t xml:space="preserve"> FOUR </t>
  </si>
  <si>
    <t xml:space="preserve"> CHAUDRE </t>
  </si>
  <si>
    <t xml:space="preserve"> CORMON </t>
  </si>
  <si>
    <t xml:space="preserve"> OUADEC </t>
  </si>
  <si>
    <t xml:space="preserve"> PLANCHIN </t>
  </si>
  <si>
    <t xml:space="preserve"> Pierre mathieu </t>
  </si>
  <si>
    <t xml:space="preserve"> DOUHET </t>
  </si>
  <si>
    <t xml:space="preserve"> BARJETTAS </t>
  </si>
  <si>
    <t xml:space="preserve"> DIGARD </t>
  </si>
  <si>
    <t xml:space="preserve"> PIOLA </t>
  </si>
  <si>
    <t xml:space="preserve"> STAIANO </t>
  </si>
  <si>
    <t xml:space="preserve"> Gaetano </t>
  </si>
  <si>
    <t xml:space="preserve"> LESOURD </t>
  </si>
  <si>
    <t xml:space="preserve"> WOLFSPERGER </t>
  </si>
  <si>
    <t xml:space="preserve"> VANNUCCI </t>
  </si>
  <si>
    <t xml:space="preserve"> CEYRAT </t>
  </si>
  <si>
    <t xml:space="preserve"> CAQUET </t>
  </si>
  <si>
    <t xml:space="preserve"> PAULIAT </t>
  </si>
  <si>
    <t xml:space="preserve"> DELGERIE </t>
  </si>
  <si>
    <t xml:space="preserve"> GOUIN </t>
  </si>
  <si>
    <t xml:space="preserve"> HEURTEFEU </t>
  </si>
  <si>
    <t xml:space="preserve"> VATAIN </t>
  </si>
  <si>
    <t xml:space="preserve"> DENIEL </t>
  </si>
  <si>
    <t xml:space="preserve"> BOUCHERIT </t>
  </si>
  <si>
    <t xml:space="preserve"> CARMONA </t>
  </si>
  <si>
    <t xml:space="preserve"> XAMBEU </t>
  </si>
  <si>
    <t xml:space="preserve"> Luong </t>
  </si>
  <si>
    <t xml:space="preserve"> NAGEL </t>
  </si>
  <si>
    <t xml:space="preserve"> LEBEURIER </t>
  </si>
  <si>
    <t xml:space="preserve"> PEXIORA MJC TT </t>
  </si>
  <si>
    <t xml:space="preserve"> LUCAND </t>
  </si>
  <si>
    <t xml:space="preserve"> DUSE </t>
  </si>
  <si>
    <t xml:space="preserve"> CUVELIER </t>
  </si>
  <si>
    <t xml:space="preserve"> BOISSELEAU </t>
  </si>
  <si>
    <t xml:space="preserve"> ROSE-DENIS </t>
  </si>
  <si>
    <t xml:space="preserve"> WIESCHALLER </t>
  </si>
  <si>
    <t xml:space="preserve"> GORA </t>
  </si>
  <si>
    <t xml:space="preserve"> GUSATTO </t>
  </si>
  <si>
    <t xml:space="preserve"> SKWARSKI </t>
  </si>
  <si>
    <t xml:space="preserve"> Ryszard </t>
  </si>
  <si>
    <t xml:space="preserve"> GRAND MOULIN DE PARIS </t>
  </si>
  <si>
    <t xml:space="preserve"> GUERIF </t>
  </si>
  <si>
    <t xml:space="preserve"> CALENDREAU </t>
  </si>
  <si>
    <t xml:space="preserve"> NOAILLE </t>
  </si>
  <si>
    <t xml:space="preserve"> TT34 SUD BITERROIS - SAUV </t>
  </si>
  <si>
    <t xml:space="preserve"> OMER </t>
  </si>
  <si>
    <t xml:space="preserve"> CHOLEY </t>
  </si>
  <si>
    <t xml:space="preserve"> BONOMETTI </t>
  </si>
  <si>
    <t xml:space="preserve"> AKKUS </t>
  </si>
  <si>
    <t xml:space="preserve"> Yachar </t>
  </si>
  <si>
    <t xml:space="preserve"> FREDERICK </t>
  </si>
  <si>
    <t xml:space="preserve"> LIBOR </t>
  </si>
  <si>
    <t xml:space="preserve"> HEINRICH </t>
  </si>
  <si>
    <t xml:space="preserve"> AREN </t>
  </si>
  <si>
    <t xml:space="preserve"> SAADA </t>
  </si>
  <si>
    <t xml:space="preserve"> VISENTIN </t>
  </si>
  <si>
    <t xml:space="preserve"> AGUSTIN </t>
  </si>
  <si>
    <t xml:space="preserve"> DONNEZ </t>
  </si>
  <si>
    <t xml:space="preserve"> BEI </t>
  </si>
  <si>
    <t xml:space="preserve"> CASCIANO </t>
  </si>
  <si>
    <t xml:space="preserve"> Jean-georges </t>
  </si>
  <si>
    <t xml:space="preserve"> SIHARATH </t>
  </si>
  <si>
    <t xml:space="preserve"> BANDRY </t>
  </si>
  <si>
    <t xml:space="preserve"> THABAULT </t>
  </si>
  <si>
    <t xml:space="preserve"> GOUJET </t>
  </si>
  <si>
    <t xml:space="preserve"> PAN </t>
  </si>
  <si>
    <t xml:space="preserve"> JOVENIAUX </t>
  </si>
  <si>
    <t xml:space="preserve"> BECHEFER </t>
  </si>
  <si>
    <t xml:space="preserve"> ABALLEA </t>
  </si>
  <si>
    <t xml:space="preserve"> DALLOYAU </t>
  </si>
  <si>
    <t xml:space="preserve"> MELEY </t>
  </si>
  <si>
    <t xml:space="preserve"> LADEUIL </t>
  </si>
  <si>
    <t xml:space="preserve"> LEDIEU </t>
  </si>
  <si>
    <t xml:space="preserve"> BERGAY </t>
  </si>
  <si>
    <t xml:space="preserve"> LIDOVE </t>
  </si>
  <si>
    <t xml:space="preserve"> SELIN </t>
  </si>
  <si>
    <t xml:space="preserve"> FRUITIER </t>
  </si>
  <si>
    <t xml:space="preserve"> MAZEL </t>
  </si>
  <si>
    <t xml:space="preserve"> QUEYREL </t>
  </si>
  <si>
    <t xml:space="preserve"> CHOUQUET </t>
  </si>
  <si>
    <t xml:space="preserve"> PUROLCZAK </t>
  </si>
  <si>
    <t xml:space="preserve"> BANULS </t>
  </si>
  <si>
    <t xml:space="preserve"> OIRY </t>
  </si>
  <si>
    <t xml:space="preserve"> LAIR </t>
  </si>
  <si>
    <t xml:space="preserve"> DERVILLERS </t>
  </si>
  <si>
    <t xml:space="preserve"> SYLVAND </t>
  </si>
  <si>
    <t xml:space="preserve"> GORDET </t>
  </si>
  <si>
    <t xml:space="preserve"> NOHANNIC </t>
  </si>
  <si>
    <t xml:space="preserve"> PERRAUDIN </t>
  </si>
  <si>
    <t xml:space="preserve"> Erich </t>
  </si>
  <si>
    <t xml:space="preserve"> Luciano </t>
  </si>
  <si>
    <t xml:space="preserve"> SAUQUET </t>
  </si>
  <si>
    <t xml:space="preserve"> HERAUDEAU </t>
  </si>
  <si>
    <t xml:space="preserve"> CAILLARD </t>
  </si>
  <si>
    <t xml:space="preserve"> MELLOUET </t>
  </si>
  <si>
    <t xml:space="preserve"> TÉBALDINI </t>
  </si>
  <si>
    <t xml:space="preserve"> Philbert </t>
  </si>
  <si>
    <t xml:space="preserve"> JOULIA </t>
  </si>
  <si>
    <t xml:space="preserve"> SCHONEK </t>
  </si>
  <si>
    <t xml:space="preserve"> THEILLAC </t>
  </si>
  <si>
    <t xml:space="preserve"> JAVELLE </t>
  </si>
  <si>
    <t xml:space="preserve"> BURAU </t>
  </si>
  <si>
    <t xml:space="preserve"> MOUTEL </t>
  </si>
  <si>
    <t xml:space="preserve"> HERCZOG </t>
  </si>
  <si>
    <t xml:space="preserve"> LA RAQUETTE GUEGONNAISE </t>
  </si>
  <si>
    <t xml:space="preserve"> MAMIAS </t>
  </si>
  <si>
    <t xml:space="preserve"> STEFANKIW </t>
  </si>
  <si>
    <t xml:space="preserve"> VUILLIER DEVILLERS </t>
  </si>
  <si>
    <t xml:space="preserve"> The duc </t>
  </si>
  <si>
    <t xml:space="preserve"> SAINT MARTIN </t>
  </si>
  <si>
    <t xml:space="preserve"> HENSCHEN </t>
  </si>
  <si>
    <t xml:space="preserve"> POUDADE </t>
  </si>
  <si>
    <t xml:space="preserve"> LIEHN </t>
  </si>
  <si>
    <t xml:space="preserve"> QUERTIER </t>
  </si>
  <si>
    <t xml:space="preserve"> KRIEGER </t>
  </si>
  <si>
    <t xml:space="preserve"> JEHANNIN </t>
  </si>
  <si>
    <t xml:space="preserve"> CHIROUF </t>
  </si>
  <si>
    <t xml:space="preserve"> Acime </t>
  </si>
  <si>
    <t xml:space="preserve"> MARCVALTER </t>
  </si>
  <si>
    <t xml:space="preserve"> Akli </t>
  </si>
  <si>
    <t xml:space="preserve"> RESSOUCHE </t>
  </si>
  <si>
    <t xml:space="preserve"> WANAVERBECQ </t>
  </si>
  <si>
    <t xml:space="preserve"> SURCIN </t>
  </si>
  <si>
    <t xml:space="preserve"> LAFFARGUE </t>
  </si>
  <si>
    <t xml:space="preserve"> Jacques Antoine </t>
  </si>
  <si>
    <t xml:space="preserve"> LE ROSSIGNOL </t>
  </si>
  <si>
    <t xml:space="preserve"> DEFRANSURE </t>
  </si>
  <si>
    <t xml:space="preserve"> DUCREUX </t>
  </si>
  <si>
    <t xml:space="preserve"> DESTEMPES </t>
  </si>
  <si>
    <t xml:space="preserve"> ENGAMMARE </t>
  </si>
  <si>
    <t xml:space="preserve"> Besnoit </t>
  </si>
  <si>
    <t xml:space="preserve"> GODMER </t>
  </si>
  <si>
    <t xml:space="preserve"> BOYET </t>
  </si>
  <si>
    <t xml:space="preserve"> SUBLET </t>
  </si>
  <si>
    <t xml:space="preserve"> DROCOURT </t>
  </si>
  <si>
    <t xml:space="preserve"> LUCCHESI PALLI </t>
  </si>
  <si>
    <t xml:space="preserve"> BROUZAKIS </t>
  </si>
  <si>
    <t xml:space="preserve"> Nicos </t>
  </si>
  <si>
    <t xml:space="preserve"> NADAL </t>
  </si>
  <si>
    <t xml:space="preserve"> HOUSSEAU </t>
  </si>
  <si>
    <t xml:space="preserve"> NOELLE </t>
  </si>
  <si>
    <t xml:space="preserve"> BENHADDOU </t>
  </si>
  <si>
    <t xml:space="preserve"> BAILLEUIL </t>
  </si>
  <si>
    <t xml:space="preserve"> BALLAINVILLIERS TENNIS DE </t>
  </si>
  <si>
    <t xml:space="preserve"> EUSTACHON </t>
  </si>
  <si>
    <t xml:space="preserve"> LOUISAR </t>
  </si>
  <si>
    <t xml:space="preserve"> CALSYN </t>
  </si>
  <si>
    <t xml:space="preserve"> BEAUPIED </t>
  </si>
  <si>
    <t xml:space="preserve"> DAUTEL </t>
  </si>
  <si>
    <t xml:space="preserve"> PETRONIN </t>
  </si>
  <si>
    <t xml:space="preserve"> PLASSART </t>
  </si>
  <si>
    <t xml:space="preserve"> EJARQUE </t>
  </si>
  <si>
    <t xml:space="preserve"> PRIOUR </t>
  </si>
  <si>
    <t xml:space="preserve"> DE CAMARET </t>
  </si>
  <si>
    <t xml:space="preserve"> MORFU </t>
  </si>
  <si>
    <t xml:space="preserve"> Saverio </t>
  </si>
  <si>
    <t xml:space="preserve"> WIRQUIN TT </t>
  </si>
  <si>
    <t xml:space="preserve"> MONTAZEL </t>
  </si>
  <si>
    <t xml:space="preserve"> LAURIAC </t>
  </si>
  <si>
    <t xml:space="preserve"> PURAYE </t>
  </si>
  <si>
    <t xml:space="preserve"> QUEUDOT </t>
  </si>
  <si>
    <t xml:space="preserve"> KERMORGANT </t>
  </si>
  <si>
    <t xml:space="preserve"> CHICAULT </t>
  </si>
  <si>
    <t xml:space="preserve"> BACQUE </t>
  </si>
  <si>
    <t xml:space="preserve"> DULIEU </t>
  </si>
  <si>
    <t xml:space="preserve"> BOISMARE </t>
  </si>
  <si>
    <t xml:space="preserve"> CHANEZ </t>
  </si>
  <si>
    <t xml:space="preserve"> THELOHAN </t>
  </si>
  <si>
    <t xml:space="preserve"> JAUNET </t>
  </si>
  <si>
    <t xml:space="preserve"> GENEVRIER </t>
  </si>
  <si>
    <t xml:space="preserve"> LIMACHER </t>
  </si>
  <si>
    <t xml:space="preserve"> MANGANNE </t>
  </si>
  <si>
    <t xml:space="preserve"> LORIC </t>
  </si>
  <si>
    <t xml:space="preserve"> GAUDOUX </t>
  </si>
  <si>
    <t xml:space="preserve"> JOSSO </t>
  </si>
  <si>
    <t xml:space="preserve"> TIBLE </t>
  </si>
  <si>
    <t xml:space="preserve"> TENNIS DE TABLE MAURIAC </t>
  </si>
  <si>
    <t xml:space="preserve"> LESCROART </t>
  </si>
  <si>
    <t xml:space="preserve"> Jean gabriel </t>
  </si>
  <si>
    <t xml:space="preserve"> D'HERVILLEY </t>
  </si>
  <si>
    <t xml:space="preserve"> EGLIZOT </t>
  </si>
  <si>
    <t xml:space="preserve"> BRYSSE </t>
  </si>
  <si>
    <t xml:space="preserve"> LEMETEYER </t>
  </si>
  <si>
    <t xml:space="preserve"> KERVIEL </t>
  </si>
  <si>
    <t xml:space="preserve"> ZAPATA </t>
  </si>
  <si>
    <t xml:space="preserve"> COUTURAS </t>
  </si>
  <si>
    <t xml:space="preserve"> AMILLARD </t>
  </si>
  <si>
    <t xml:space="preserve"> CRUCHET </t>
  </si>
  <si>
    <t xml:space="preserve"> SCHETRIT </t>
  </si>
  <si>
    <t xml:space="preserve"> COLOMBIE </t>
  </si>
  <si>
    <t xml:space="preserve"> VERVEL </t>
  </si>
  <si>
    <t xml:space="preserve"> DOLCEMASCOLO </t>
  </si>
  <si>
    <t xml:space="preserve"> RESANO </t>
  </si>
  <si>
    <t xml:space="preserve"> SIAU </t>
  </si>
  <si>
    <t xml:space="preserve"> CYPRIENNE </t>
  </si>
  <si>
    <t xml:space="preserve"> VINCHON </t>
  </si>
  <si>
    <t xml:space="preserve"> DANTAN </t>
  </si>
  <si>
    <t xml:space="preserve"> PROUVOST </t>
  </si>
  <si>
    <t xml:space="preserve"> VANPEPERSTRAETE </t>
  </si>
  <si>
    <t xml:space="preserve"> MIALOT </t>
  </si>
  <si>
    <t xml:space="preserve"> MICHEAU </t>
  </si>
  <si>
    <t xml:space="preserve"> BLORDE </t>
  </si>
  <si>
    <t xml:space="preserve"> LE MERRER </t>
  </si>
  <si>
    <t xml:space="preserve"> SENICOURT </t>
  </si>
  <si>
    <t xml:space="preserve"> BIESA </t>
  </si>
  <si>
    <t xml:space="preserve"> SATRE </t>
  </si>
  <si>
    <t xml:space="preserve"> BRIOIS </t>
  </si>
  <si>
    <t xml:space="preserve"> CANTINI </t>
  </si>
  <si>
    <t xml:space="preserve"> RICHAUDEAU </t>
  </si>
  <si>
    <t xml:space="preserve"> Guylain </t>
  </si>
  <si>
    <t xml:space="preserve"> AGNERAY </t>
  </si>
  <si>
    <t xml:space="preserve"> CASTANO </t>
  </si>
  <si>
    <t xml:space="preserve"> BAUCHE </t>
  </si>
  <si>
    <t xml:space="preserve"> Verrières Ent Pongiste </t>
  </si>
  <si>
    <t xml:space="preserve"> GEROUARD </t>
  </si>
  <si>
    <t xml:space="preserve"> HEREL </t>
  </si>
  <si>
    <t xml:space="preserve"> RAVIER </t>
  </si>
  <si>
    <t xml:space="preserve"> J.pierre </t>
  </si>
  <si>
    <t xml:space="preserve"> LABROUCHE </t>
  </si>
  <si>
    <t xml:space="preserve"> ORRIOLS </t>
  </si>
  <si>
    <t xml:space="preserve"> LARDEAU </t>
  </si>
  <si>
    <t xml:space="preserve"> PROTTI </t>
  </si>
  <si>
    <t xml:space="preserve"> VASSAUX </t>
  </si>
  <si>
    <t xml:space="preserve"> Luther </t>
  </si>
  <si>
    <t xml:space="preserve"> ROSAIS </t>
  </si>
  <si>
    <t xml:space="preserve"> FRANCHET </t>
  </si>
  <si>
    <t xml:space="preserve"> SACHA </t>
  </si>
  <si>
    <t xml:space="preserve"> Wojciech </t>
  </si>
  <si>
    <t xml:space="preserve"> VILEROY </t>
  </si>
  <si>
    <t xml:space="preserve"> PAUME </t>
  </si>
  <si>
    <t xml:space="preserve"> EBOULEAU </t>
  </si>
  <si>
    <t xml:space="preserve"> DELAMARE </t>
  </si>
  <si>
    <t xml:space="preserve"> ST AUBIN DU CORMIER ASSA </t>
  </si>
  <si>
    <t xml:space="preserve"> QUINTIN </t>
  </si>
  <si>
    <t xml:space="preserve"> SAVETIER </t>
  </si>
  <si>
    <t xml:space="preserve"> DETAILLE </t>
  </si>
  <si>
    <t xml:space="preserve"> RAFFESTIN </t>
  </si>
  <si>
    <t xml:space="preserve"> LECORNE </t>
  </si>
  <si>
    <t xml:space="preserve"> BERNARDIN </t>
  </si>
  <si>
    <t xml:space="preserve"> BANCE </t>
  </si>
  <si>
    <t xml:space="preserve"> DEWINNE </t>
  </si>
  <si>
    <t xml:space="preserve"> HERROUX </t>
  </si>
  <si>
    <t xml:space="preserve"> BOISDENGHIEN </t>
  </si>
  <si>
    <t xml:space="preserve"> MOREUL </t>
  </si>
  <si>
    <t xml:space="preserve"> VANNETZEL </t>
  </si>
  <si>
    <t xml:space="preserve"> LEVILLAIN </t>
  </si>
  <si>
    <t xml:space="preserve"> BEAURAIN </t>
  </si>
  <si>
    <t xml:space="preserve"> JARNO </t>
  </si>
  <si>
    <t xml:space="preserve"> KUREK </t>
  </si>
  <si>
    <t xml:space="preserve"> LA BAROCHE S/S LUCE ASB </t>
  </si>
  <si>
    <t xml:space="preserve"> LAURICHESSE </t>
  </si>
  <si>
    <t xml:space="preserve"> DOS SANTOS DIAS </t>
  </si>
  <si>
    <t xml:space="preserve"> P.P.C. ST MARTIN LE BEAU </t>
  </si>
  <si>
    <t xml:space="preserve"> CAGNIANT </t>
  </si>
  <si>
    <t xml:space="preserve"> AUGUSTIN </t>
  </si>
  <si>
    <t xml:space="preserve"> JENECOURT </t>
  </si>
  <si>
    <t xml:space="preserve"> CHOUBRAC </t>
  </si>
  <si>
    <t xml:space="preserve"> TAINE </t>
  </si>
  <si>
    <t xml:space="preserve"> LE GALLIC </t>
  </si>
  <si>
    <t xml:space="preserve"> GERBER </t>
  </si>
  <si>
    <t xml:space="preserve"> ERCOLI </t>
  </si>
  <si>
    <t xml:space="preserve"> VIVANT </t>
  </si>
  <si>
    <t xml:space="preserve"> GASSAUD </t>
  </si>
  <si>
    <t xml:space="preserve"> DELAHAIES </t>
  </si>
  <si>
    <t xml:space="preserve"> SIHAPANYA </t>
  </si>
  <si>
    <t xml:space="preserve"> Thanomsouk </t>
  </si>
  <si>
    <t xml:space="preserve"> MONLIEN </t>
  </si>
  <si>
    <t xml:space="preserve"> WITTIG </t>
  </si>
  <si>
    <t xml:space="preserve"> CHAUDOUET </t>
  </si>
  <si>
    <t xml:space="preserve"> COSTES </t>
  </si>
  <si>
    <t xml:space="preserve"> CRETEL </t>
  </si>
  <si>
    <t xml:space="preserve"> KUCHMANN </t>
  </si>
  <si>
    <t xml:space="preserve"> GUIL </t>
  </si>
  <si>
    <t xml:space="preserve"> DEUX </t>
  </si>
  <si>
    <t xml:space="preserve"> ST LAURENT DE CONDEL TT F </t>
  </si>
  <si>
    <t xml:space="preserve"> FAUCH </t>
  </si>
  <si>
    <t xml:space="preserve"> FERROUD </t>
  </si>
  <si>
    <t xml:space="preserve"> GONDOLFF </t>
  </si>
  <si>
    <t xml:space="preserve"> BROS </t>
  </si>
  <si>
    <t xml:space="preserve"> CRAPARD </t>
  </si>
  <si>
    <t xml:space="preserve"> BASSIN </t>
  </si>
  <si>
    <t xml:space="preserve"> GEST </t>
  </si>
  <si>
    <t xml:space="preserve"> NATALE </t>
  </si>
  <si>
    <t xml:space="preserve"> PEYRARD </t>
  </si>
  <si>
    <t xml:space="preserve"> NOVAK </t>
  </si>
  <si>
    <t xml:space="preserve"> SZTYKGOLD </t>
  </si>
  <si>
    <t xml:space="preserve"> LAMEIRE </t>
  </si>
  <si>
    <t xml:space="preserve"> PERALDI </t>
  </si>
  <si>
    <t xml:space="preserve"> GOUTON </t>
  </si>
  <si>
    <t xml:space="preserve"> GOURINCHAS </t>
  </si>
  <si>
    <t xml:space="preserve"> BOMPOINT </t>
  </si>
  <si>
    <t xml:space="preserve"> DESCOT </t>
  </si>
  <si>
    <t xml:space="preserve"> BRIFFA </t>
  </si>
  <si>
    <t xml:space="preserve"> MAINGUYAGUE </t>
  </si>
  <si>
    <t xml:space="preserve"> HERGOTT </t>
  </si>
  <si>
    <t xml:space="preserve"> REISEMBERG </t>
  </si>
  <si>
    <t xml:space="preserve"> WALMACQ </t>
  </si>
  <si>
    <t xml:space="preserve"> LONGIN </t>
  </si>
  <si>
    <t xml:space="preserve"> ALLARY </t>
  </si>
  <si>
    <t xml:space="preserve"> ORHANT </t>
  </si>
  <si>
    <t xml:space="preserve"> BEGANTON </t>
  </si>
  <si>
    <t xml:space="preserve"> Frankie </t>
  </si>
  <si>
    <t xml:space="preserve"> COULLON </t>
  </si>
  <si>
    <t xml:space="preserve"> MONDINO </t>
  </si>
  <si>
    <t xml:space="preserve"> LABOUISSE </t>
  </si>
  <si>
    <t xml:space="preserve"> DIRIX </t>
  </si>
  <si>
    <t xml:space="preserve"> BILLANT </t>
  </si>
  <si>
    <t xml:space="preserve"> CAO HUU TRUNG </t>
  </si>
  <si>
    <t xml:space="preserve"> LAUNAI </t>
  </si>
  <si>
    <t xml:space="preserve"> DEBOAISNE </t>
  </si>
  <si>
    <t xml:space="preserve"> GUNTHER </t>
  </si>
  <si>
    <t xml:space="preserve"> MORCILLO </t>
  </si>
  <si>
    <t xml:space="preserve"> MONTAVON </t>
  </si>
  <si>
    <t xml:space="preserve"> Léon-guillaume </t>
  </si>
  <si>
    <t xml:space="preserve"> MERALLI BALLOU </t>
  </si>
  <si>
    <t xml:space="preserve"> Aslam </t>
  </si>
  <si>
    <t xml:space="preserve"> PRIN </t>
  </si>
  <si>
    <t xml:space="preserve"> AHACHE </t>
  </si>
  <si>
    <t xml:space="preserve"> PONTET </t>
  </si>
  <si>
    <t xml:space="preserve"> BRADIC </t>
  </si>
  <si>
    <t xml:space="preserve"> BONNAMOUR </t>
  </si>
  <si>
    <t xml:space="preserve"> FILLY </t>
  </si>
  <si>
    <t xml:space="preserve"> GACQUER </t>
  </si>
  <si>
    <t xml:space="preserve"> ARVOR </t>
  </si>
  <si>
    <t xml:space="preserve"> LACHEVRE </t>
  </si>
  <si>
    <t xml:space="preserve"> DESHOULLIERE </t>
  </si>
  <si>
    <t xml:space="preserve"> FOGEL </t>
  </si>
  <si>
    <t xml:space="preserve"> BARTISSOL </t>
  </si>
  <si>
    <t xml:space="preserve"> GOURMELON </t>
  </si>
  <si>
    <t xml:space="preserve"> MAZEURE </t>
  </si>
  <si>
    <t xml:space="preserve"> MURARI </t>
  </si>
  <si>
    <t xml:space="preserve"> TAILLADE </t>
  </si>
  <si>
    <t xml:space="preserve"> JEAN-ALEXIS </t>
  </si>
  <si>
    <t xml:space="preserve"> BIARE </t>
  </si>
  <si>
    <t xml:space="preserve"> TOMBINI </t>
  </si>
  <si>
    <t xml:space="preserve"> PENARROYA </t>
  </si>
  <si>
    <t xml:space="preserve"> BOUILLET </t>
  </si>
  <si>
    <t xml:space="preserve"> BELARBI </t>
  </si>
  <si>
    <t xml:space="preserve"> Djilali </t>
  </si>
  <si>
    <t xml:space="preserve"> MONOTUKA </t>
  </si>
  <si>
    <t xml:space="preserve"> BOYAVAL </t>
  </si>
  <si>
    <t xml:space="preserve"> AUBOURG </t>
  </si>
  <si>
    <t xml:space="preserve"> KERJEAN </t>
  </si>
  <si>
    <t xml:space="preserve"> CHADOURNE </t>
  </si>
  <si>
    <t xml:space="preserve"> PICAT </t>
  </si>
  <si>
    <t xml:space="preserve"> ANDRIANOMANANA </t>
  </si>
  <si>
    <t xml:space="preserve"> Tsilefy </t>
  </si>
  <si>
    <t xml:space="preserve"> L AVENIR MURETAIN T T </t>
  </si>
  <si>
    <t xml:space="preserve"> DUJARDIN </t>
  </si>
  <si>
    <t xml:space="preserve"> BERMENT </t>
  </si>
  <si>
    <t xml:space="preserve"> FARINEAU </t>
  </si>
  <si>
    <t xml:space="preserve"> MALET </t>
  </si>
  <si>
    <t xml:space="preserve"> SENDREY </t>
  </si>
  <si>
    <t xml:space="preserve"> GODQUIN </t>
  </si>
  <si>
    <t xml:space="preserve"> MASANET </t>
  </si>
  <si>
    <t xml:space="preserve"> TCHYDEMIAN </t>
  </si>
  <si>
    <t xml:space="preserve"> KERVOT </t>
  </si>
  <si>
    <t xml:space="preserve"> MARIE-ANNE </t>
  </si>
  <si>
    <t xml:space="preserve"> PERRIGOT </t>
  </si>
  <si>
    <t xml:space="preserve"> BATISSE </t>
  </si>
  <si>
    <t xml:space="preserve"> WALIGORA </t>
  </si>
  <si>
    <t xml:space="preserve"> LESPORT </t>
  </si>
  <si>
    <t xml:space="preserve"> CHIPEAUX </t>
  </si>
  <si>
    <t xml:space="preserve"> GRAND-JEAN </t>
  </si>
  <si>
    <t xml:space="preserve"> BLUM </t>
  </si>
  <si>
    <t xml:space="preserve"> TELLIEZ </t>
  </si>
  <si>
    <t xml:space="preserve"> BOUREUX </t>
  </si>
  <si>
    <t xml:space="preserve"> BERNARDELLI </t>
  </si>
  <si>
    <t xml:space="preserve"> DE LOPEZ </t>
  </si>
  <si>
    <t xml:space="preserve"> Sopha </t>
  </si>
  <si>
    <t xml:space="preserve"> BRIOT </t>
  </si>
  <si>
    <t xml:space="preserve"> BOUTTAZ </t>
  </si>
  <si>
    <t xml:space="preserve"> VANCON </t>
  </si>
  <si>
    <t xml:space="preserve"> LEVREUX </t>
  </si>
  <si>
    <t xml:space="preserve"> Edmundo </t>
  </si>
  <si>
    <t xml:space="preserve"> CHAMPAGNAY </t>
  </si>
  <si>
    <t xml:space="preserve"> BREGENT </t>
  </si>
  <si>
    <t xml:space="preserve"> DE COATPONT </t>
  </si>
  <si>
    <t xml:space="preserve"> BAYAERT </t>
  </si>
  <si>
    <t xml:space="preserve"> MAYERAS </t>
  </si>
  <si>
    <t xml:space="preserve"> ANIANE TENNIS DE TABLE </t>
  </si>
  <si>
    <t xml:space="preserve"> COUPRIE </t>
  </si>
  <si>
    <t xml:space="preserve"> DUFEIL </t>
  </si>
  <si>
    <t xml:space="preserve"> CHIMIRRI </t>
  </si>
  <si>
    <t xml:space="preserve"> PAYEUR </t>
  </si>
  <si>
    <t xml:space="preserve"> FOREST </t>
  </si>
  <si>
    <t xml:space="preserve"> WASQUEHAL TT </t>
  </si>
  <si>
    <t xml:space="preserve"> MENANT </t>
  </si>
  <si>
    <t xml:space="preserve"> VANDERMERSCH </t>
  </si>
  <si>
    <t xml:space="preserve"> REVILLON </t>
  </si>
  <si>
    <t xml:space="preserve"> BOICHEROT </t>
  </si>
  <si>
    <t xml:space="preserve"> Charles-henry </t>
  </si>
  <si>
    <t xml:space="preserve"> GROSPERRIN </t>
  </si>
  <si>
    <t xml:space="preserve"> ARBOGAST </t>
  </si>
  <si>
    <t xml:space="preserve"> GUILOUET </t>
  </si>
  <si>
    <t xml:space="preserve"> MORINI </t>
  </si>
  <si>
    <t xml:space="preserve"> VIEIRA ARANTES </t>
  </si>
  <si>
    <t xml:space="preserve"> BORGHERO </t>
  </si>
  <si>
    <t xml:space="preserve"> POLLIEN </t>
  </si>
  <si>
    <t xml:space="preserve"> GAETA </t>
  </si>
  <si>
    <t xml:space="preserve"> BOUCHART </t>
  </si>
  <si>
    <t xml:space="preserve"> Tam Vinh </t>
  </si>
  <si>
    <t xml:space="preserve"> DIOTALEVI </t>
  </si>
  <si>
    <t xml:space="preserve"> LABADI </t>
  </si>
  <si>
    <t xml:space="preserve"> SULAS </t>
  </si>
  <si>
    <t xml:space="preserve"> ROGUET </t>
  </si>
  <si>
    <t xml:space="preserve"> HAYS </t>
  </si>
  <si>
    <t xml:space="preserve"> WIDEMANN </t>
  </si>
  <si>
    <t xml:space="preserve"> HETZEL </t>
  </si>
  <si>
    <t xml:space="preserve"> MOERCANT </t>
  </si>
  <si>
    <t xml:space="preserve"> TOUANEN </t>
  </si>
  <si>
    <t xml:space="preserve"> LE MOT </t>
  </si>
  <si>
    <t xml:space="preserve"> Padrig </t>
  </si>
  <si>
    <t xml:space="preserve"> ROTA </t>
  </si>
  <si>
    <t xml:space="preserve"> Cyr-david </t>
  </si>
  <si>
    <t xml:space="preserve"> DELRUE </t>
  </si>
  <si>
    <t xml:space="preserve"> LARGIER </t>
  </si>
  <si>
    <t xml:space="preserve"> CONTU </t>
  </si>
  <si>
    <t xml:space="preserve"> Luigino </t>
  </si>
  <si>
    <t xml:space="preserve"> RAVEL </t>
  </si>
  <si>
    <t xml:space="preserve"> VANNES </t>
  </si>
  <si>
    <t xml:space="preserve"> SIXSOUT </t>
  </si>
  <si>
    <t xml:space="preserve"> BESSEAU </t>
  </si>
  <si>
    <t xml:space="preserve"> DEBON </t>
  </si>
  <si>
    <t xml:space="preserve"> DEBUT </t>
  </si>
  <si>
    <t xml:space="preserve"> COUSSERAN </t>
  </si>
  <si>
    <t xml:space="preserve"> TRANI </t>
  </si>
  <si>
    <t xml:space="preserve"> DEROO </t>
  </si>
  <si>
    <t xml:space="preserve"> CHARVOLIN </t>
  </si>
  <si>
    <t xml:space="preserve"> GRENAULT </t>
  </si>
  <si>
    <t xml:space="preserve"> ENOND </t>
  </si>
  <si>
    <t xml:space="preserve"> Montigny U S </t>
  </si>
  <si>
    <t xml:space="preserve"> CHASTEL </t>
  </si>
  <si>
    <t xml:space="preserve"> GOULAMHOUSSEN </t>
  </si>
  <si>
    <t xml:space="preserve"> Navrozaly </t>
  </si>
  <si>
    <t xml:space="preserve"> LEBACQ </t>
  </si>
  <si>
    <t xml:space="preserve"> JAMIN </t>
  </si>
  <si>
    <t xml:space="preserve"> CHALOPIN </t>
  </si>
  <si>
    <t xml:space="preserve"> VARGA </t>
  </si>
  <si>
    <t xml:space="preserve"> CAYUELAS </t>
  </si>
  <si>
    <t xml:space="preserve"> HARVENT </t>
  </si>
  <si>
    <t xml:space="preserve"> LERUTH </t>
  </si>
  <si>
    <t xml:space="preserve"> MANGINOT </t>
  </si>
  <si>
    <t xml:space="preserve"> ALOI </t>
  </si>
  <si>
    <t xml:space="preserve"> Natale dit noel </t>
  </si>
  <si>
    <t xml:space="preserve"> SEGER </t>
  </si>
  <si>
    <t xml:space="preserve"> DEVENEY </t>
  </si>
  <si>
    <t xml:space="preserve"> EDIEU </t>
  </si>
  <si>
    <t xml:space="preserve"> FAVERY </t>
  </si>
  <si>
    <t xml:space="preserve"> LOEFFLER </t>
  </si>
  <si>
    <t xml:space="preserve"> TROUSSELLE </t>
  </si>
  <si>
    <t xml:space="preserve"> WORLDLINE </t>
  </si>
  <si>
    <t xml:space="preserve"> DOREAU </t>
  </si>
  <si>
    <t xml:space="preserve"> RUELLAN </t>
  </si>
  <si>
    <t xml:space="preserve"> BAQUE </t>
  </si>
  <si>
    <t xml:space="preserve"> GOOLEN </t>
  </si>
  <si>
    <t xml:space="preserve"> BOURRIN </t>
  </si>
  <si>
    <t xml:space="preserve"> GRUZELLE </t>
  </si>
  <si>
    <t xml:space="preserve"> DIDIER LAURENT </t>
  </si>
  <si>
    <t xml:space="preserve"> RAINETEAU </t>
  </si>
  <si>
    <t xml:space="preserve"> TRICARD </t>
  </si>
  <si>
    <t xml:space="preserve"> STRAALMAN </t>
  </si>
  <si>
    <t xml:space="preserve"> KESTLER </t>
  </si>
  <si>
    <t xml:space="preserve"> HOUPLINE </t>
  </si>
  <si>
    <t xml:space="preserve"> LEMONCHOIS </t>
  </si>
  <si>
    <t xml:space="preserve"> GUELLUY </t>
  </si>
  <si>
    <t xml:space="preserve"> Yoan </t>
  </si>
  <si>
    <t xml:space="preserve"> VANWAES </t>
  </si>
  <si>
    <t xml:space="preserve"> SENOVILLE </t>
  </si>
  <si>
    <t xml:space="preserve"> WATRIN </t>
  </si>
  <si>
    <t xml:space="preserve"> BRUNSCHWIG </t>
  </si>
  <si>
    <t xml:space="preserve"> VERSCHAE </t>
  </si>
  <si>
    <t xml:space="preserve"> Juan manuel </t>
  </si>
  <si>
    <t xml:space="preserve"> MANIVONG </t>
  </si>
  <si>
    <t xml:space="preserve"> Bounsy </t>
  </si>
  <si>
    <t xml:space="preserve"> MAO </t>
  </si>
  <si>
    <t xml:space="preserve"> Nguon </t>
  </si>
  <si>
    <t xml:space="preserve"> CHAUVIERE </t>
  </si>
  <si>
    <t xml:space="preserve"> CIROT </t>
  </si>
  <si>
    <t xml:space="preserve"> EL HAFAIA </t>
  </si>
  <si>
    <t xml:space="preserve"> VENAULT </t>
  </si>
  <si>
    <t xml:space="preserve"> LOUIS THERESE. </t>
  </si>
  <si>
    <t xml:space="preserve"> GODICHEAU </t>
  </si>
  <si>
    <t xml:space="preserve"> MITY </t>
  </si>
  <si>
    <t xml:space="preserve"> PERRUCHETTI </t>
  </si>
  <si>
    <t xml:space="preserve"> LACOTE </t>
  </si>
  <si>
    <t xml:space="preserve"> BEURROIS </t>
  </si>
  <si>
    <t xml:space="preserve"> TRESSEL </t>
  </si>
  <si>
    <t xml:space="preserve"> KIHL </t>
  </si>
  <si>
    <t xml:space="preserve"> VANDENBAVIERE </t>
  </si>
  <si>
    <t xml:space="preserve"> AS CAMPUS TT LA BATIE NEU </t>
  </si>
  <si>
    <t xml:space="preserve"> COMMEREUC </t>
  </si>
  <si>
    <t xml:space="preserve"> LAURISSE </t>
  </si>
  <si>
    <t xml:space="preserve"> TAMBRUN </t>
  </si>
  <si>
    <t xml:space="preserve"> CROSKE </t>
  </si>
  <si>
    <t xml:space="preserve"> LARONZE </t>
  </si>
  <si>
    <t xml:space="preserve"> BLUSSEAU </t>
  </si>
  <si>
    <t xml:space="preserve"> CABROL </t>
  </si>
  <si>
    <t xml:space="preserve"> CUCURULL </t>
  </si>
  <si>
    <t xml:space="preserve"> VERRET </t>
  </si>
  <si>
    <t xml:space="preserve"> DARMET </t>
  </si>
  <si>
    <t xml:space="preserve"> ELENA </t>
  </si>
  <si>
    <t xml:space="preserve"> PRONNIER </t>
  </si>
  <si>
    <t xml:space="preserve"> SMIALKOWSKI </t>
  </si>
  <si>
    <t xml:space="preserve"> LIBRA </t>
  </si>
  <si>
    <t xml:space="preserve"> DE BOUARD </t>
  </si>
  <si>
    <t xml:space="preserve"> RIGOULOT </t>
  </si>
  <si>
    <t xml:space="preserve"> PEDRAU </t>
  </si>
  <si>
    <t xml:space="preserve"> FRANQUART </t>
  </si>
  <si>
    <t xml:space="preserve"> CALON </t>
  </si>
  <si>
    <t xml:space="preserve"> Jeanjacques </t>
  </si>
  <si>
    <t xml:space="preserve"> COHEN-SOLAL </t>
  </si>
  <si>
    <t xml:space="preserve"> HERETE </t>
  </si>
  <si>
    <t xml:space="preserve"> MANDIN </t>
  </si>
  <si>
    <t xml:space="preserve"> PRUNELLE </t>
  </si>
  <si>
    <t xml:space="preserve"> CALMELS </t>
  </si>
  <si>
    <t xml:space="preserve"> THIBOULT </t>
  </si>
  <si>
    <t xml:space="preserve"> JACQUEMOT </t>
  </si>
  <si>
    <t xml:space="preserve"> DESCHOOLMEESTER </t>
  </si>
  <si>
    <t xml:space="preserve"> HAUTOT </t>
  </si>
  <si>
    <t xml:space="preserve"> DELOUARD </t>
  </si>
  <si>
    <t xml:space="preserve"> CHAGNAUD </t>
  </si>
  <si>
    <t xml:space="preserve"> HERREN </t>
  </si>
  <si>
    <t xml:space="preserve"> BOUSSARIE </t>
  </si>
  <si>
    <t xml:space="preserve"> BONOUVRIER </t>
  </si>
  <si>
    <t xml:space="preserve"> BOUFFLERS </t>
  </si>
  <si>
    <t xml:space="preserve"> JAGUELIN </t>
  </si>
  <si>
    <t xml:space="preserve"> DOGAT </t>
  </si>
  <si>
    <t xml:space="preserve"> FOUGEROLLES DU PLESSIS TT </t>
  </si>
  <si>
    <t xml:space="preserve"> JUVENON </t>
  </si>
  <si>
    <t xml:space="preserve"> SAINT DIDIER TT </t>
  </si>
  <si>
    <t xml:space="preserve"> GRANDCLERE </t>
  </si>
  <si>
    <t xml:space="preserve"> MIMOUN </t>
  </si>
  <si>
    <t xml:space="preserve"> BOUCRELLE </t>
  </si>
  <si>
    <t xml:space="preserve"> CINCIDDA </t>
  </si>
  <si>
    <t xml:space="preserve"> ANFIF </t>
  </si>
  <si>
    <t xml:space="preserve"> Sarghini </t>
  </si>
  <si>
    <t xml:space="preserve"> VIGREUX </t>
  </si>
  <si>
    <t xml:space="preserve"> FERRARD </t>
  </si>
  <si>
    <t xml:space="preserve"> PEYSSY </t>
  </si>
  <si>
    <t xml:space="preserve"> BONNERY </t>
  </si>
  <si>
    <t xml:space="preserve"> FOY </t>
  </si>
  <si>
    <t xml:space="preserve"> CATTINI </t>
  </si>
  <si>
    <t xml:space="preserve"> LEUDIERE </t>
  </si>
  <si>
    <t xml:space="preserve"> PRIOL </t>
  </si>
  <si>
    <t xml:space="preserve"> DEVERNAY </t>
  </si>
  <si>
    <t xml:space="preserve"> GENSOLLEN </t>
  </si>
  <si>
    <t xml:space="preserve"> NATAIL </t>
  </si>
  <si>
    <t xml:space="preserve"> CRUCIFIX </t>
  </si>
  <si>
    <t xml:space="preserve"> TENNIS DE TABLE GUERCHAIS </t>
  </si>
  <si>
    <t xml:space="preserve"> REIFFERS </t>
  </si>
  <si>
    <t xml:space="preserve"> DI SANTOLO </t>
  </si>
  <si>
    <t xml:space="preserve"> TESTUT </t>
  </si>
  <si>
    <t xml:space="preserve"> QUENEUDEC </t>
  </si>
  <si>
    <t xml:space="preserve"> ANSCUTTER </t>
  </si>
  <si>
    <t xml:space="preserve"> LEVEILLE </t>
  </si>
  <si>
    <t xml:space="preserve"> LLERENA </t>
  </si>
  <si>
    <t xml:space="preserve"> DEGAND </t>
  </si>
  <si>
    <t xml:space="preserve"> BERNADIN </t>
  </si>
  <si>
    <t xml:space="preserve"> GARETTE </t>
  </si>
  <si>
    <t xml:space="preserve"> BICHLER </t>
  </si>
  <si>
    <t xml:space="preserve"> GOMME </t>
  </si>
  <si>
    <t xml:space="preserve"> GOUROU </t>
  </si>
  <si>
    <t xml:space="preserve"> HOCHET </t>
  </si>
  <si>
    <t xml:space="preserve"> CHARDARD </t>
  </si>
  <si>
    <t xml:space="preserve"> VIGNOLES </t>
  </si>
  <si>
    <t xml:space="preserve"> THOORENS </t>
  </si>
  <si>
    <t xml:space="preserve"> FROMAGET </t>
  </si>
  <si>
    <t xml:space="preserve"> Dinh </t>
  </si>
  <si>
    <t xml:space="preserve"> MACHABERT </t>
  </si>
  <si>
    <t xml:space="preserve"> CONGREGA </t>
  </si>
  <si>
    <t xml:space="preserve"> TISSERAUD </t>
  </si>
  <si>
    <t xml:space="preserve"> BAYLAC </t>
  </si>
  <si>
    <t xml:space="preserve"> JOSSELIN </t>
  </si>
  <si>
    <t xml:space="preserve"> IBM ORLEANS </t>
  </si>
  <si>
    <t xml:space="preserve"> REVIRON </t>
  </si>
  <si>
    <t xml:space="preserve"> RUCKEBUSCH </t>
  </si>
  <si>
    <t xml:space="preserve"> CARATY </t>
  </si>
  <si>
    <t xml:space="preserve"> COROMINA </t>
  </si>
  <si>
    <t xml:space="preserve"> NISSERON </t>
  </si>
  <si>
    <t xml:space="preserve"> SCHOERLEIN </t>
  </si>
  <si>
    <t xml:space="preserve"> SASSE </t>
  </si>
  <si>
    <t xml:space="preserve"> RUFF </t>
  </si>
  <si>
    <t xml:space="preserve"> CHARGELEGUE </t>
  </si>
  <si>
    <t xml:space="preserve"> HUCHET </t>
  </si>
  <si>
    <t xml:space="preserve"> RONCERAY </t>
  </si>
  <si>
    <t xml:space="preserve"> PORTIER-LAY </t>
  </si>
  <si>
    <t xml:space="preserve"> AYEN </t>
  </si>
  <si>
    <t xml:space="preserve"> CHAZELLE </t>
  </si>
  <si>
    <t xml:space="preserve"> DOUETIL </t>
  </si>
  <si>
    <t xml:space="preserve"> BRIFFOTEAUX </t>
  </si>
  <si>
    <t xml:space="preserve"> NAEL </t>
  </si>
  <si>
    <t xml:space="preserve"> GUEMENE </t>
  </si>
  <si>
    <t xml:space="preserve"> MICHALOWICZ </t>
  </si>
  <si>
    <t xml:space="preserve"> DEHERLY </t>
  </si>
  <si>
    <t xml:space="preserve"> LE BERR </t>
  </si>
  <si>
    <t xml:space="preserve"> GUILLOIS </t>
  </si>
  <si>
    <t xml:space="preserve"> RODEAU </t>
  </si>
  <si>
    <t xml:space="preserve"> GRENON </t>
  </si>
  <si>
    <t xml:space="preserve"> CHARTRES </t>
  </si>
  <si>
    <t xml:space="preserve"> DEBUIGNY </t>
  </si>
  <si>
    <t xml:space="preserve"> HOSTI </t>
  </si>
  <si>
    <t xml:space="preserve"> SOULIMAN </t>
  </si>
  <si>
    <t xml:space="preserve"> PENOTET </t>
  </si>
  <si>
    <t xml:space="preserve"> MARECAUX </t>
  </si>
  <si>
    <t xml:space="preserve"> KUROWSKI </t>
  </si>
  <si>
    <t xml:space="preserve"> DANTIER </t>
  </si>
  <si>
    <t xml:space="preserve"> MONDON </t>
  </si>
  <si>
    <t xml:space="preserve"> PELZER </t>
  </si>
  <si>
    <t xml:space="preserve"> RACOUET </t>
  </si>
  <si>
    <t xml:space="preserve"> BAIL </t>
  </si>
  <si>
    <t xml:space="preserve"> NZAMBA MBOUTOU </t>
  </si>
  <si>
    <t xml:space="preserve"> Gervais arsel </t>
  </si>
  <si>
    <t xml:space="preserve"> BAUBY </t>
  </si>
  <si>
    <t xml:space="preserve"> BAVENCOFF </t>
  </si>
  <si>
    <t xml:space="preserve"> TIGEOT </t>
  </si>
  <si>
    <t xml:space="preserve"> XIE </t>
  </si>
  <si>
    <t xml:space="preserve"> Yang </t>
  </si>
  <si>
    <t xml:space="preserve"> LA BOUSBOTTE </t>
  </si>
  <si>
    <t xml:space="preserve"> CASSEZ </t>
  </si>
  <si>
    <t xml:space="preserve"> INGRAND </t>
  </si>
  <si>
    <t xml:space="preserve"> BONNERAVE </t>
  </si>
  <si>
    <t xml:space="preserve"> BECLIN </t>
  </si>
  <si>
    <t xml:space="preserve"> SAVELLI </t>
  </si>
  <si>
    <t xml:space="preserve"> PLE </t>
  </si>
  <si>
    <t xml:space="preserve"> OSTROWSKI </t>
  </si>
  <si>
    <t xml:space="preserve"> LE BOUEDEC </t>
  </si>
  <si>
    <t xml:space="preserve"> MONTHERME CTT </t>
  </si>
  <si>
    <t xml:space="preserve"> ACQUAVIVA </t>
  </si>
  <si>
    <t xml:space="preserve"> DUBRAC </t>
  </si>
  <si>
    <t xml:space="preserve"> GUILLARMIC </t>
  </si>
  <si>
    <t xml:space="preserve"> TASSELLI </t>
  </si>
  <si>
    <t xml:space="preserve"> RAVARD </t>
  </si>
  <si>
    <t xml:space="preserve"> DONDARINI </t>
  </si>
  <si>
    <t xml:space="preserve"> COUPEZ </t>
  </si>
  <si>
    <t xml:space="preserve"> PROS-TOURNIER </t>
  </si>
  <si>
    <t xml:space="preserve"> GABORY </t>
  </si>
  <si>
    <t xml:space="preserve"> OSTER </t>
  </si>
  <si>
    <t xml:space="preserve"> EGER </t>
  </si>
  <si>
    <t xml:space="preserve"> DESSAY </t>
  </si>
  <si>
    <t xml:space="preserve"> THIEBAUX </t>
  </si>
  <si>
    <t xml:space="preserve"> CHARLEC </t>
  </si>
  <si>
    <t xml:space="preserve"> HERTH </t>
  </si>
  <si>
    <t xml:space="preserve"> QUIGNON </t>
  </si>
  <si>
    <t xml:space="preserve"> BÊLE </t>
  </si>
  <si>
    <t xml:space="preserve"> PATISSIER </t>
  </si>
  <si>
    <t xml:space="preserve"> LOSA </t>
  </si>
  <si>
    <t xml:space="preserve"> TERRADE </t>
  </si>
  <si>
    <t xml:space="preserve"> GAMOLTHIP </t>
  </si>
  <si>
    <t xml:space="preserve"> Pongsakdi </t>
  </si>
  <si>
    <t xml:space="preserve"> CORDUAN </t>
  </si>
  <si>
    <t xml:space="preserve"> JOUAULT </t>
  </si>
  <si>
    <t xml:space="preserve"> BEAUVISAGE </t>
  </si>
  <si>
    <t xml:space="preserve"> ROSEC </t>
  </si>
  <si>
    <t xml:space="preserve"> TORREZ </t>
  </si>
  <si>
    <t xml:space="preserve"> ORVAIN </t>
  </si>
  <si>
    <t xml:space="preserve"> VANKEIRSBILCK </t>
  </si>
  <si>
    <t xml:space="preserve"> CAUDOUX </t>
  </si>
  <si>
    <t xml:space="preserve"> DUVAUX </t>
  </si>
  <si>
    <t xml:space="preserve"> CLAIR </t>
  </si>
  <si>
    <t xml:space="preserve"> BAL </t>
  </si>
  <si>
    <t xml:space="preserve"> LORINQUER </t>
  </si>
  <si>
    <t xml:space="preserve"> GARAT </t>
  </si>
  <si>
    <t xml:space="preserve"> USTT PAREMPUYRE </t>
  </si>
  <si>
    <t xml:space="preserve"> AVIGNON </t>
  </si>
  <si>
    <t xml:space="preserve"> FLUHR </t>
  </si>
  <si>
    <t xml:space="preserve"> BELLOC </t>
  </si>
  <si>
    <t xml:space="preserve"> DUPONCHELLE </t>
  </si>
  <si>
    <t xml:space="preserve"> KAESER </t>
  </si>
  <si>
    <t xml:space="preserve"> Serge-andre </t>
  </si>
  <si>
    <t xml:space="preserve"> MOMMEJA </t>
  </si>
  <si>
    <t xml:space="preserve"> QUELLEC </t>
  </si>
  <si>
    <t xml:space="preserve"> CONORD </t>
  </si>
  <si>
    <t xml:space="preserve"> D'ISOARD DE CHENERIL </t>
  </si>
  <si>
    <t xml:space="preserve"> MEISSONNIER </t>
  </si>
  <si>
    <t xml:space="preserve"> DASSENS </t>
  </si>
  <si>
    <t xml:space="preserve"> MARTEIL </t>
  </si>
  <si>
    <t xml:space="preserve"> CHOUAN </t>
  </si>
  <si>
    <t xml:space="preserve"> MARTRON </t>
  </si>
  <si>
    <t xml:space="preserve"> GERGELY </t>
  </si>
  <si>
    <t xml:space="preserve"> Célio </t>
  </si>
  <si>
    <t xml:space="preserve"> HOULIERE </t>
  </si>
  <si>
    <t xml:space="preserve"> COLARD </t>
  </si>
  <si>
    <t xml:space="preserve"> SEBAL </t>
  </si>
  <si>
    <t xml:space="preserve"> GEFFLOT </t>
  </si>
  <si>
    <t xml:space="preserve"> CASSE </t>
  </si>
  <si>
    <t xml:space="preserve"> PINCHON </t>
  </si>
  <si>
    <t xml:space="preserve"> BALLOUTI </t>
  </si>
  <si>
    <t xml:space="preserve"> Mourad </t>
  </si>
  <si>
    <t xml:space="preserve"> SANTERNE </t>
  </si>
  <si>
    <t xml:space="preserve"> VIELLE </t>
  </si>
  <si>
    <t xml:space="preserve"> HICK </t>
  </si>
  <si>
    <t xml:space="preserve"> LAHAYE </t>
  </si>
  <si>
    <t xml:space="preserve"> MENEL </t>
  </si>
  <si>
    <t xml:space="preserve"> SILVIO </t>
  </si>
  <si>
    <t xml:space="preserve"> BOUYGE </t>
  </si>
  <si>
    <t xml:space="preserve"> FALCK </t>
  </si>
  <si>
    <t xml:space="preserve"> LAVENIER </t>
  </si>
  <si>
    <t xml:space="preserve"> EUSEBE </t>
  </si>
  <si>
    <t xml:space="preserve"> GAGNEUR </t>
  </si>
  <si>
    <t xml:space="preserve"> KIELINSKI </t>
  </si>
  <si>
    <t xml:space="preserve"> MOTA </t>
  </si>
  <si>
    <t xml:space="preserve"> GIBET </t>
  </si>
  <si>
    <t xml:space="preserve"> TACCOEN </t>
  </si>
  <si>
    <t xml:space="preserve"> GACHET </t>
  </si>
  <si>
    <t xml:space="preserve"> DEFACHELLES </t>
  </si>
  <si>
    <t xml:space="preserve"> CHAFFANGE </t>
  </si>
  <si>
    <t xml:space="preserve"> CATALLON </t>
  </si>
  <si>
    <t xml:space="preserve"> COLLETTE </t>
  </si>
  <si>
    <t xml:space="preserve"> THELIER </t>
  </si>
  <si>
    <t xml:space="preserve"> BONZACK </t>
  </si>
  <si>
    <t xml:space="preserve"> MARGUEREZ </t>
  </si>
  <si>
    <t xml:space="preserve"> HIRTH </t>
  </si>
  <si>
    <t xml:space="preserve"> BIBRON </t>
  </si>
  <si>
    <t xml:space="preserve"> FIALON </t>
  </si>
  <si>
    <t xml:space="preserve"> HOGREL </t>
  </si>
  <si>
    <t xml:space="preserve"> NUNES </t>
  </si>
  <si>
    <t xml:space="preserve"> JANTZEM </t>
  </si>
  <si>
    <t xml:space="preserve"> IHUELLOU </t>
  </si>
  <si>
    <t xml:space="preserve"> BRIFFAUD </t>
  </si>
  <si>
    <t xml:space="preserve"> FLOCON </t>
  </si>
  <si>
    <t xml:space="preserve"> MEULAN-MUR. UTT </t>
  </si>
  <si>
    <t xml:space="preserve"> SILVERI </t>
  </si>
  <si>
    <t xml:space="preserve"> SUZENNE </t>
  </si>
  <si>
    <t xml:space="preserve"> VERRIER </t>
  </si>
  <si>
    <t xml:space="preserve"> IGNARD </t>
  </si>
  <si>
    <t xml:space="preserve"> BAILLON </t>
  </si>
  <si>
    <t xml:space="preserve"> GRISELLE </t>
  </si>
  <si>
    <t xml:space="preserve"> GOSLIN </t>
  </si>
  <si>
    <t xml:space="preserve"> HOUDOU </t>
  </si>
  <si>
    <t xml:space="preserve"> Hans-jurgen </t>
  </si>
  <si>
    <t xml:space="preserve"> FERRANDIN </t>
  </si>
  <si>
    <t xml:space="preserve"> CERMAN </t>
  </si>
  <si>
    <t xml:space="preserve"> BOUTE </t>
  </si>
  <si>
    <t xml:space="preserve"> TINKA </t>
  </si>
  <si>
    <t xml:space="preserve"> MARTELLI </t>
  </si>
  <si>
    <t xml:space="preserve"> DEPAUW </t>
  </si>
  <si>
    <t xml:space="preserve"> GALLOT </t>
  </si>
  <si>
    <t xml:space="preserve"> LECALLIER </t>
  </si>
  <si>
    <t xml:space="preserve"> HOVETTE </t>
  </si>
  <si>
    <t xml:space="preserve"> BUCHHEIT </t>
  </si>
  <si>
    <t xml:space="preserve"> MILON </t>
  </si>
  <si>
    <t xml:space="preserve"> JEANSON </t>
  </si>
  <si>
    <t xml:space="preserve"> GENDRON </t>
  </si>
  <si>
    <t xml:space="preserve"> FAZENDA </t>
  </si>
  <si>
    <t xml:space="preserve"> DU SORDET </t>
  </si>
  <si>
    <t xml:space="preserve"> Pongiste Club BELLEMOIS </t>
  </si>
  <si>
    <t xml:space="preserve"> VILLECHALANE </t>
  </si>
  <si>
    <t xml:space="preserve"> MONMOUSSEAU </t>
  </si>
  <si>
    <t xml:space="preserve"> SCHLEGEL </t>
  </si>
  <si>
    <t xml:space="preserve"> RANDRIAMAMPIANINA </t>
  </si>
  <si>
    <t xml:space="preserve"> Rosario </t>
  </si>
  <si>
    <t xml:space="preserve"> GLINEC </t>
  </si>
  <si>
    <t xml:space="preserve"> STORMS </t>
  </si>
  <si>
    <t xml:space="preserve"> ALBARET </t>
  </si>
  <si>
    <t xml:space="preserve"> PAVAGEAU </t>
  </si>
  <si>
    <t xml:space="preserve"> BONRAISIN </t>
  </si>
  <si>
    <t xml:space="preserve"> FELLON </t>
  </si>
  <si>
    <t xml:space="preserve"> BELOT </t>
  </si>
  <si>
    <t xml:space="preserve"> ASTT BUCEY LES GY </t>
  </si>
  <si>
    <t xml:space="preserve"> MAGNIEN </t>
  </si>
  <si>
    <t xml:space="preserve"> SIPOS </t>
  </si>
  <si>
    <t xml:space="preserve"> Laszlo </t>
  </si>
  <si>
    <t xml:space="preserve"> MANOKOUNE </t>
  </si>
  <si>
    <t xml:space="preserve"> Youane-lee </t>
  </si>
  <si>
    <t xml:space="preserve"> COQUERET </t>
  </si>
  <si>
    <t xml:space="preserve"> AGUETTAZ </t>
  </si>
  <si>
    <t xml:space="preserve"> MORENA </t>
  </si>
  <si>
    <t xml:space="preserve"> GOURSAUD </t>
  </si>
  <si>
    <t xml:space="preserve"> BOUDENGAIN </t>
  </si>
  <si>
    <t xml:space="preserve"> WISSMANN </t>
  </si>
  <si>
    <t xml:space="preserve"> Trunghien </t>
  </si>
  <si>
    <t xml:space="preserve"> COUBAT </t>
  </si>
  <si>
    <t xml:space="preserve"> PENEL </t>
  </si>
  <si>
    <t xml:space="preserve"> MERLAND </t>
  </si>
  <si>
    <t xml:space="preserve"> CARATINI </t>
  </si>
  <si>
    <t xml:space="preserve"> SIBOUN </t>
  </si>
  <si>
    <t xml:space="preserve"> ORHON </t>
  </si>
  <si>
    <t xml:space="preserve"> CHALANDON </t>
  </si>
  <si>
    <t xml:space="preserve"> HESNARD </t>
  </si>
  <si>
    <t xml:space="preserve"> DELBREUVE </t>
  </si>
  <si>
    <t xml:space="preserve"> OLIVEIRA </t>
  </si>
  <si>
    <t xml:space="preserve"> Serge-cesar </t>
  </si>
  <si>
    <t xml:space="preserve"> GAULMIN </t>
  </si>
  <si>
    <t xml:space="preserve"> GALVEZ </t>
  </si>
  <si>
    <t xml:space="preserve"> RENAULT DOUAI AS </t>
  </si>
  <si>
    <t xml:space="preserve"> EBERHART </t>
  </si>
  <si>
    <t xml:space="preserve"> ESCUDIER </t>
  </si>
  <si>
    <t xml:space="preserve"> SALOME </t>
  </si>
  <si>
    <t xml:space="preserve"> NEGRON </t>
  </si>
  <si>
    <t xml:space="preserve"> MARTINIERE </t>
  </si>
  <si>
    <t xml:space="preserve"> MONCLAR </t>
  </si>
  <si>
    <t xml:space="preserve"> François-régis </t>
  </si>
  <si>
    <t xml:space="preserve"> FROMONT </t>
  </si>
  <si>
    <t xml:space="preserve"> BISTER </t>
  </si>
  <si>
    <t xml:space="preserve"> BANVILLET </t>
  </si>
  <si>
    <t xml:space="preserve"> Jean jack </t>
  </si>
  <si>
    <t xml:space="preserve"> STRADY </t>
  </si>
  <si>
    <t xml:space="preserve"> CARTIGNY </t>
  </si>
  <si>
    <t xml:space="preserve"> PANNIER </t>
  </si>
  <si>
    <t xml:space="preserve"> ZILBERMANN </t>
  </si>
  <si>
    <t xml:space="preserve"> DERWEDUWEN </t>
  </si>
  <si>
    <t xml:space="preserve"> ROZETTE </t>
  </si>
  <si>
    <t xml:space="preserve"> MOURANY </t>
  </si>
  <si>
    <t xml:space="preserve"> REGNY </t>
  </si>
  <si>
    <t xml:space="preserve"> GRAFFIN </t>
  </si>
  <si>
    <t xml:space="preserve"> LUNOT </t>
  </si>
  <si>
    <t xml:space="preserve"> DESCHARD </t>
  </si>
  <si>
    <t xml:space="preserve"> VANDENBILCKE </t>
  </si>
  <si>
    <t xml:space="preserve"> DUMARQUEZ </t>
  </si>
  <si>
    <t xml:space="preserve"> ROCARD </t>
  </si>
  <si>
    <t xml:space="preserve"> GALBRUN </t>
  </si>
  <si>
    <t xml:space="preserve"> MEDJEBEUR </t>
  </si>
  <si>
    <t xml:space="preserve"> QUELLIER </t>
  </si>
  <si>
    <t xml:space="preserve"> TRICHARD </t>
  </si>
  <si>
    <t xml:space="preserve"> RAQUETTE D'OUST DE PEILLA </t>
  </si>
  <si>
    <t xml:space="preserve"> POTDEVIN </t>
  </si>
  <si>
    <t xml:space="preserve"> LARBALETRIER </t>
  </si>
  <si>
    <t xml:space="preserve"> LABENNE </t>
  </si>
  <si>
    <t xml:space="preserve"> LE CORGUILLE </t>
  </si>
  <si>
    <t xml:space="preserve"> GEORGEON </t>
  </si>
  <si>
    <t xml:space="preserve"> CORREAS </t>
  </si>
  <si>
    <t xml:space="preserve"> BERLAND </t>
  </si>
  <si>
    <t xml:space="preserve"> RONSIN </t>
  </si>
  <si>
    <t xml:space="preserve"> HANVIC </t>
  </si>
  <si>
    <t xml:space="preserve"> LOURS </t>
  </si>
  <si>
    <t xml:space="preserve"> BALVERDE </t>
  </si>
  <si>
    <t xml:space="preserve"> BEDEI </t>
  </si>
  <si>
    <t xml:space="preserve"> NEDELLEC </t>
  </si>
  <si>
    <t xml:space="preserve"> TULOUP </t>
  </si>
  <si>
    <t xml:space="preserve"> VENNER </t>
  </si>
  <si>
    <t xml:space="preserve"> PHERAUD </t>
  </si>
  <si>
    <t xml:space="preserve"> NICOU </t>
  </si>
  <si>
    <t xml:space="preserve"> PEYRAT </t>
  </si>
  <si>
    <t xml:space="preserve"> POINT </t>
  </si>
  <si>
    <t xml:space="preserve"> GAULLIER </t>
  </si>
  <si>
    <t xml:space="preserve"> CHEENNE </t>
  </si>
  <si>
    <t xml:space="preserve"> CONTI </t>
  </si>
  <si>
    <t xml:space="preserve"> Pino </t>
  </si>
  <si>
    <t xml:space="preserve"> GUEUX </t>
  </si>
  <si>
    <t xml:space="preserve"> PAUBERT </t>
  </si>
  <si>
    <t xml:space="preserve"> DUPORT </t>
  </si>
  <si>
    <t xml:space="preserve"> GAFFET </t>
  </si>
  <si>
    <t xml:space="preserve"> THIAULT </t>
  </si>
  <si>
    <t xml:space="preserve"> ES GENAS AZIEU </t>
  </si>
  <si>
    <t xml:space="preserve"> ANNEST </t>
  </si>
  <si>
    <t xml:space="preserve"> BALLUAS </t>
  </si>
  <si>
    <t xml:space="preserve"> EBRARD </t>
  </si>
  <si>
    <t xml:space="preserve"> BOIXEL </t>
  </si>
  <si>
    <t xml:space="preserve"> POLONSKY </t>
  </si>
  <si>
    <t xml:space="preserve"> Vsevolod </t>
  </si>
  <si>
    <t xml:space="preserve"> NOLLET </t>
  </si>
  <si>
    <t xml:space="preserve"> ALMERAS </t>
  </si>
  <si>
    <t xml:space="preserve"> GIGNOUX </t>
  </si>
  <si>
    <t xml:space="preserve"> VARAINNE </t>
  </si>
  <si>
    <t xml:space="preserve"> CHAZARD </t>
  </si>
  <si>
    <t xml:space="preserve"> ORBIE </t>
  </si>
  <si>
    <t xml:space="preserve"> BOUSSEREAU </t>
  </si>
  <si>
    <t xml:space="preserve"> HIDOT </t>
  </si>
  <si>
    <t xml:space="preserve"> DAMIENS </t>
  </si>
  <si>
    <t xml:space="preserve"> NIEDERLANDER </t>
  </si>
  <si>
    <t xml:space="preserve"> HENAFF </t>
  </si>
  <si>
    <t xml:space="preserve"> ROMO </t>
  </si>
  <si>
    <t xml:space="preserve"> KOLLER </t>
  </si>
  <si>
    <t xml:space="preserve"> GOUDROYE </t>
  </si>
  <si>
    <t xml:space="preserve"> PIETRASZEWSKI </t>
  </si>
  <si>
    <t xml:space="preserve"> BURDIN </t>
  </si>
  <si>
    <t xml:space="preserve"> CHAUMONNOT </t>
  </si>
  <si>
    <t xml:space="preserve"> RILLIARD </t>
  </si>
  <si>
    <t xml:space="preserve"> FEBVIN </t>
  </si>
  <si>
    <t xml:space="preserve"> DORLOT </t>
  </si>
  <si>
    <t xml:space="preserve"> BALSE </t>
  </si>
  <si>
    <t xml:space="preserve"> CABIDDU </t>
  </si>
  <si>
    <t xml:space="preserve"> GARD </t>
  </si>
  <si>
    <t xml:space="preserve"> FUMAT </t>
  </si>
  <si>
    <t xml:space="preserve"> MICHALEC </t>
  </si>
  <si>
    <t xml:space="preserve"> BOU NOUAR </t>
  </si>
  <si>
    <t xml:space="preserve"> CLAIN </t>
  </si>
  <si>
    <t xml:space="preserve"> GAZEAU </t>
  </si>
  <si>
    <t xml:space="preserve"> GUEZ </t>
  </si>
  <si>
    <t xml:space="preserve"> LELORE </t>
  </si>
  <si>
    <t xml:space="preserve"> LAUTIE </t>
  </si>
  <si>
    <t xml:space="preserve"> DECHARROIS </t>
  </si>
  <si>
    <t xml:space="preserve"> TURQUOIS </t>
  </si>
  <si>
    <t xml:space="preserve"> BRAMIN </t>
  </si>
  <si>
    <t xml:space="preserve"> VABOIS </t>
  </si>
  <si>
    <t xml:space="preserve"> FIAGA </t>
  </si>
  <si>
    <t xml:space="preserve"> Yao </t>
  </si>
  <si>
    <t xml:space="preserve"> JENDROWIAK </t>
  </si>
  <si>
    <t xml:space="preserve"> Daris </t>
  </si>
  <si>
    <t xml:space="preserve"> BENEDIC </t>
  </si>
  <si>
    <t xml:space="preserve"> OURRY </t>
  </si>
  <si>
    <t xml:space="preserve"> GICQUEAU </t>
  </si>
  <si>
    <t xml:space="preserve"> ANCEY </t>
  </si>
  <si>
    <t xml:space="preserve"> THOORES </t>
  </si>
  <si>
    <t xml:space="preserve"> ROCQUENCOURT </t>
  </si>
  <si>
    <t xml:space="preserve"> RAKOTOARIVONY </t>
  </si>
  <si>
    <t xml:space="preserve"> Olivier nary </t>
  </si>
  <si>
    <t xml:space="preserve"> ESCOT </t>
  </si>
  <si>
    <t xml:space="preserve"> CRETEUR </t>
  </si>
  <si>
    <t xml:space="preserve"> CHOPINET </t>
  </si>
  <si>
    <t xml:space="preserve"> OLIVA </t>
  </si>
  <si>
    <t xml:space="preserve"> SEBAG </t>
  </si>
  <si>
    <t xml:space="preserve"> TISSIDRE </t>
  </si>
  <si>
    <t xml:space="preserve"> DESCLAUX </t>
  </si>
  <si>
    <t xml:space="preserve"> PRADES CONFLENT CANIGO TT </t>
  </si>
  <si>
    <t xml:space="preserve"> SIMOES </t>
  </si>
  <si>
    <t xml:space="preserve"> RYBARCZYK </t>
  </si>
  <si>
    <t xml:space="preserve"> CZYZYK </t>
  </si>
  <si>
    <t xml:space="preserve"> BRAUN </t>
  </si>
  <si>
    <t xml:space="preserve"> GOLLIET </t>
  </si>
  <si>
    <t xml:space="preserve"> LEBRAULT </t>
  </si>
  <si>
    <t xml:space="preserve"> POISSONNET </t>
  </si>
  <si>
    <t xml:space="preserve"> LETIENT </t>
  </si>
  <si>
    <t xml:space="preserve"> T.T. HAUT MACONNAIS </t>
  </si>
  <si>
    <t xml:space="preserve"> DESCOMBES </t>
  </si>
  <si>
    <t xml:space="preserve"> MASSA </t>
  </si>
  <si>
    <t xml:space="preserve"> LE BARBANCHON </t>
  </si>
  <si>
    <t xml:space="preserve"> MONTILHAUD </t>
  </si>
  <si>
    <t xml:space="preserve"> CHAMEROY </t>
  </si>
  <si>
    <t xml:space="preserve"> RAMBICUR </t>
  </si>
  <si>
    <t xml:space="preserve"> CANDE </t>
  </si>
  <si>
    <t xml:space="preserve"> MARESCAL </t>
  </si>
  <si>
    <t xml:space="preserve"> LE MESTRE </t>
  </si>
  <si>
    <t xml:space="preserve"> COURONNE </t>
  </si>
  <si>
    <t xml:space="preserve"> OULHEN </t>
  </si>
  <si>
    <t xml:space="preserve"> VELASCO </t>
  </si>
  <si>
    <t xml:space="preserve"> PENAS </t>
  </si>
  <si>
    <t xml:space="preserve"> TRONEL </t>
  </si>
  <si>
    <t xml:space="preserve"> IACOBELLI </t>
  </si>
  <si>
    <t xml:space="preserve"> LAGLAINE </t>
  </si>
  <si>
    <t xml:space="preserve"> BATTISTA </t>
  </si>
  <si>
    <t xml:space="preserve"> CHUMONT </t>
  </si>
  <si>
    <t xml:space="preserve"> LANNI </t>
  </si>
  <si>
    <t xml:space="preserve"> POLETTO </t>
  </si>
  <si>
    <t xml:space="preserve"> PIERRET </t>
  </si>
  <si>
    <t xml:space="preserve"> DELEPLANQUE </t>
  </si>
  <si>
    <t xml:space="preserve"> JOORIS </t>
  </si>
  <si>
    <t xml:space="preserve"> FILLION </t>
  </si>
  <si>
    <t xml:space="preserve"> CASLOT </t>
  </si>
  <si>
    <t xml:space="preserve"> DEMAREST </t>
  </si>
  <si>
    <t xml:space="preserve"> BRIDIER </t>
  </si>
  <si>
    <t xml:space="preserve"> LANOY </t>
  </si>
  <si>
    <t xml:space="preserve"> MARCHE </t>
  </si>
  <si>
    <t xml:space="preserve"> BOLMONT </t>
  </si>
  <si>
    <t xml:space="preserve"> MALLEREAU </t>
  </si>
  <si>
    <t xml:space="preserve"> L'HERIAU </t>
  </si>
  <si>
    <t xml:space="preserve"> DEVISE </t>
  </si>
  <si>
    <t xml:space="preserve"> PIARD </t>
  </si>
  <si>
    <t xml:space="preserve"> DEBRIS </t>
  </si>
  <si>
    <t xml:space="preserve"> TT ST-JOUIN BRUNEVAL </t>
  </si>
  <si>
    <t xml:space="preserve"> COURTEIX </t>
  </si>
  <si>
    <t xml:space="preserve"> MAKHLOUF </t>
  </si>
  <si>
    <t xml:space="preserve"> BENEDE </t>
  </si>
  <si>
    <t xml:space="preserve"> CAPUT </t>
  </si>
  <si>
    <t xml:space="preserve"> CHATTON </t>
  </si>
  <si>
    <t xml:space="preserve"> CONZETT </t>
  </si>
  <si>
    <t xml:space="preserve"> GADET </t>
  </si>
  <si>
    <t xml:space="preserve"> BRILLAT </t>
  </si>
  <si>
    <t xml:space="preserve"> PEUDENNIER </t>
  </si>
  <si>
    <t xml:space="preserve"> DARCIS </t>
  </si>
  <si>
    <t xml:space="preserve"> BUTRUILLE </t>
  </si>
  <si>
    <t xml:space="preserve"> MOUCHETTE </t>
  </si>
  <si>
    <t xml:space="preserve"> SOHAR </t>
  </si>
  <si>
    <t xml:space="preserve"> LAGUENS </t>
  </si>
  <si>
    <t xml:space="preserve"> AFTALION </t>
  </si>
  <si>
    <t xml:space="preserve"> LALUT </t>
  </si>
  <si>
    <t xml:space="preserve"> BOUFFARTIGUE </t>
  </si>
  <si>
    <t xml:space="preserve"> PATRU </t>
  </si>
  <si>
    <t xml:space="preserve"> DELAVERNHE </t>
  </si>
  <si>
    <t xml:space="preserve"> PAPIERSKI </t>
  </si>
  <si>
    <t xml:space="preserve"> Édouard </t>
  </si>
  <si>
    <t xml:space="preserve"> GUALTIERI </t>
  </si>
  <si>
    <t xml:space="preserve"> QUILLES </t>
  </si>
  <si>
    <t xml:space="preserve"> GOUILLARD </t>
  </si>
  <si>
    <t xml:space="preserve"> TENINGE </t>
  </si>
  <si>
    <t xml:space="preserve"> COUSSAT </t>
  </si>
  <si>
    <t xml:space="preserve"> JUSTAUD </t>
  </si>
  <si>
    <t xml:space="preserve"> PPC DE MALAUSE </t>
  </si>
  <si>
    <t xml:space="preserve"> JAGENEAU </t>
  </si>
  <si>
    <t xml:space="preserve"> SARROLA </t>
  </si>
  <si>
    <t xml:space="preserve"> BELTRAN </t>
  </si>
  <si>
    <t xml:space="preserve"> RAVENEAU </t>
  </si>
  <si>
    <t xml:space="preserve"> CULPIN </t>
  </si>
  <si>
    <t xml:space="preserve"> AGNIERAY </t>
  </si>
  <si>
    <t xml:space="preserve"> BOIRY </t>
  </si>
  <si>
    <t xml:space="preserve"> HUGOT </t>
  </si>
  <si>
    <t xml:space="preserve"> APPELGREN </t>
  </si>
  <si>
    <t xml:space="preserve"> MITRIDE </t>
  </si>
  <si>
    <t xml:space="preserve"> LECROQ </t>
  </si>
  <si>
    <t xml:space="preserve"> GANIA </t>
  </si>
  <si>
    <t xml:space="preserve"> COLLIARD-MASSON </t>
  </si>
  <si>
    <t xml:space="preserve"> PAULMIER </t>
  </si>
  <si>
    <t xml:space="preserve"> CAILLIEZ </t>
  </si>
  <si>
    <t xml:space="preserve"> LOUIN </t>
  </si>
  <si>
    <t xml:space="preserve"> MARIVIN </t>
  </si>
  <si>
    <t xml:space="preserve"> GUIGNARD </t>
  </si>
  <si>
    <t xml:space="preserve"> EDDE </t>
  </si>
  <si>
    <t xml:space="preserve"> MACAIRE </t>
  </si>
  <si>
    <t xml:space="preserve"> BOISMAIN </t>
  </si>
  <si>
    <t xml:space="preserve"> GHETTEM </t>
  </si>
  <si>
    <t xml:space="preserve"> PERIGNON </t>
  </si>
  <si>
    <t xml:space="preserve"> ROINSOLLE </t>
  </si>
  <si>
    <t xml:space="preserve"> SCHAFF </t>
  </si>
  <si>
    <t xml:space="preserve"> MEZENGE </t>
  </si>
  <si>
    <t xml:space="preserve"> APPERT </t>
  </si>
  <si>
    <t xml:space="preserve"> LECAPITAINE </t>
  </si>
  <si>
    <t xml:space="preserve"> LHOTEL </t>
  </si>
  <si>
    <t xml:space="preserve"> BURGEAT </t>
  </si>
  <si>
    <t xml:space="preserve"> LABY </t>
  </si>
  <si>
    <t xml:space="preserve"> DE BLOTEAU </t>
  </si>
  <si>
    <t xml:space="preserve"> ASPTT BREST </t>
  </si>
  <si>
    <t xml:space="preserve"> BOUGLIMINA </t>
  </si>
  <si>
    <t xml:space="preserve"> Achille </t>
  </si>
  <si>
    <t xml:space="preserve"> VIVANCOS </t>
  </si>
  <si>
    <t xml:space="preserve"> MAHIETTE </t>
  </si>
  <si>
    <t xml:space="preserve"> DUBAN </t>
  </si>
  <si>
    <t xml:space="preserve"> DAGUSE </t>
  </si>
  <si>
    <t xml:space="preserve"> LEGAND </t>
  </si>
  <si>
    <t xml:space="preserve"> LABIZE </t>
  </si>
  <si>
    <t xml:space="preserve"> CRUBILLE </t>
  </si>
  <si>
    <t xml:space="preserve"> OOGHE </t>
  </si>
  <si>
    <t xml:space="preserve"> SENE </t>
  </si>
  <si>
    <t xml:space="preserve"> MANCHERON </t>
  </si>
  <si>
    <t xml:space="preserve"> LE HOUEDEC </t>
  </si>
  <si>
    <t xml:space="preserve"> CADIET </t>
  </si>
  <si>
    <t xml:space="preserve"> DE LA FORTERIE </t>
  </si>
  <si>
    <t xml:space="preserve"> SELVA </t>
  </si>
  <si>
    <t xml:space="preserve"> PEROUELLE </t>
  </si>
  <si>
    <t xml:space="preserve"> LIFFER </t>
  </si>
  <si>
    <t xml:space="preserve"> GODIVEAUX </t>
  </si>
  <si>
    <t xml:space="preserve"> Jean -pierre </t>
  </si>
  <si>
    <t xml:space="preserve"> KHAO </t>
  </si>
  <si>
    <t xml:space="preserve"> GISSON </t>
  </si>
  <si>
    <t xml:space="preserve"> USC VENAREY LES LAUMES TT </t>
  </si>
  <si>
    <t xml:space="preserve"> TAILLARDAT </t>
  </si>
  <si>
    <t xml:space="preserve"> DEMOUGEOT </t>
  </si>
  <si>
    <t xml:space="preserve"> TREMBLY </t>
  </si>
  <si>
    <t xml:space="preserve"> GITTON </t>
  </si>
  <si>
    <t xml:space="preserve"> CHOBRIAT </t>
  </si>
  <si>
    <t xml:space="preserve"> MATECKI </t>
  </si>
  <si>
    <t xml:space="preserve"> GAYET </t>
  </si>
  <si>
    <t xml:space="preserve"> RAISON </t>
  </si>
  <si>
    <t xml:space="preserve"> STEPHANUS </t>
  </si>
  <si>
    <t xml:space="preserve"> BOUVY </t>
  </si>
  <si>
    <t xml:space="preserve"> BORDEREAU </t>
  </si>
  <si>
    <t xml:space="preserve"> HERTZOG </t>
  </si>
  <si>
    <t xml:space="preserve"> CHOISY </t>
  </si>
  <si>
    <t xml:space="preserve"> CUDELOU </t>
  </si>
  <si>
    <t xml:space="preserve"> FLABEL </t>
  </si>
  <si>
    <t xml:space="preserve"> BASTONERO </t>
  </si>
  <si>
    <t xml:space="preserve"> MASURE </t>
  </si>
  <si>
    <t xml:space="preserve"> CHAPPUIS </t>
  </si>
  <si>
    <t xml:space="preserve"> GIORDAN </t>
  </si>
  <si>
    <t xml:space="preserve"> GALLUZZO </t>
  </si>
  <si>
    <t xml:space="preserve"> DEVANNE </t>
  </si>
  <si>
    <t xml:space="preserve"> GUEDJ </t>
  </si>
  <si>
    <t xml:space="preserve"> JARDY </t>
  </si>
  <si>
    <t xml:space="preserve"> MENEAU </t>
  </si>
  <si>
    <t xml:space="preserve"> CAHOREAU </t>
  </si>
  <si>
    <t xml:space="preserve"> SCHERER </t>
  </si>
  <si>
    <t xml:space="preserve"> POTFER </t>
  </si>
  <si>
    <t xml:space="preserve"> TETTAMANTI </t>
  </si>
  <si>
    <t xml:space="preserve"> DELLA CORTE </t>
  </si>
  <si>
    <t xml:space="preserve"> Alessandro </t>
  </si>
  <si>
    <t xml:space="preserve"> RINGEVAL </t>
  </si>
  <si>
    <t xml:space="preserve"> VERMOT </t>
  </si>
  <si>
    <t xml:space="preserve"> THIAM </t>
  </si>
  <si>
    <t xml:space="preserve"> BELARBRE </t>
  </si>
  <si>
    <t xml:space="preserve"> BENIGAUD </t>
  </si>
  <si>
    <t xml:space="preserve"> ALMECIJA </t>
  </si>
  <si>
    <t xml:space="preserve"> DE VASCONCELOS </t>
  </si>
  <si>
    <t xml:space="preserve"> LEPAGNOL </t>
  </si>
  <si>
    <t xml:space="preserve"> Jean-evenor </t>
  </si>
  <si>
    <t xml:space="preserve"> JOUANNO </t>
  </si>
  <si>
    <t xml:space="preserve"> LA RAQUETTE MELECIENNE-PL </t>
  </si>
  <si>
    <t xml:space="preserve"> RIGOLET </t>
  </si>
  <si>
    <t xml:space="preserve"> Constantin </t>
  </si>
  <si>
    <t xml:space="preserve"> GASSMANN </t>
  </si>
  <si>
    <t xml:space="preserve"> COMAS </t>
  </si>
  <si>
    <t xml:space="preserve"> ALLETTO </t>
  </si>
  <si>
    <t xml:space="preserve"> LAUGAUDIN </t>
  </si>
  <si>
    <t xml:space="preserve"> REFFET </t>
  </si>
  <si>
    <t xml:space="preserve"> LABANNE </t>
  </si>
  <si>
    <t xml:space="preserve"> NEBOUT </t>
  </si>
  <si>
    <t xml:space="preserve"> MENDIOROZ </t>
  </si>
  <si>
    <t xml:space="preserve"> CHALUMEAU </t>
  </si>
  <si>
    <t xml:space="preserve"> DALL </t>
  </si>
  <si>
    <t xml:space="preserve"> KPP PLOUNEVEZ-LOCHRIST </t>
  </si>
  <si>
    <t xml:space="preserve"> RACODON </t>
  </si>
  <si>
    <t xml:space="preserve"> BOTHOREL </t>
  </si>
  <si>
    <t xml:space="preserve"> ARNON </t>
  </si>
  <si>
    <t xml:space="preserve"> MORINIERE </t>
  </si>
  <si>
    <t xml:space="preserve"> GOUPILLEAU </t>
  </si>
  <si>
    <t xml:space="preserve"> BUKOWSKI </t>
  </si>
  <si>
    <t xml:space="preserve"> DELAVAL </t>
  </si>
  <si>
    <t xml:space="preserve"> DELANNEY </t>
  </si>
  <si>
    <t xml:space="preserve"> TARCHER </t>
  </si>
  <si>
    <t xml:space="preserve"> GUIGNOU </t>
  </si>
  <si>
    <t xml:space="preserve"> SANDILLON </t>
  </si>
  <si>
    <t xml:space="preserve"> MONTUY </t>
  </si>
  <si>
    <t xml:space="preserve"> HOLON </t>
  </si>
  <si>
    <t xml:space="preserve"> TT STE CATHERINE DE FIERB </t>
  </si>
  <si>
    <t xml:space="preserve"> KASPRZYK </t>
  </si>
  <si>
    <t xml:space="preserve"> LARMOR </t>
  </si>
  <si>
    <t xml:space="preserve"> FAUVET </t>
  </si>
  <si>
    <t xml:space="preserve"> CHAPELON </t>
  </si>
  <si>
    <t xml:space="preserve"> KAUFFER </t>
  </si>
  <si>
    <t xml:space="preserve"> RAINFRAY </t>
  </si>
  <si>
    <t xml:space="preserve"> CATHALA </t>
  </si>
  <si>
    <t xml:space="preserve"> THAVARD </t>
  </si>
  <si>
    <t xml:space="preserve"> BARRABES </t>
  </si>
  <si>
    <t xml:space="preserve"> MORETHE </t>
  </si>
  <si>
    <t xml:space="preserve"> GAYDON </t>
  </si>
  <si>
    <t xml:space="preserve"> SILVESTRINI </t>
  </si>
  <si>
    <t xml:space="preserve"> STRECK </t>
  </si>
  <si>
    <t xml:space="preserve"> LABRUT </t>
  </si>
  <si>
    <t xml:space="preserve"> BRENYK </t>
  </si>
  <si>
    <t xml:space="preserve"> FIXOT </t>
  </si>
  <si>
    <t xml:space="preserve"> DERUELLE </t>
  </si>
  <si>
    <t xml:space="preserve"> BELOUARD </t>
  </si>
  <si>
    <t xml:space="preserve"> GOURAUD </t>
  </si>
  <si>
    <t xml:space="preserve"> MSAQ </t>
  </si>
  <si>
    <t xml:space="preserve"> Chakib </t>
  </si>
  <si>
    <t xml:space="preserve"> ROBILLART </t>
  </si>
  <si>
    <t xml:space="preserve"> LE MEYEC </t>
  </si>
  <si>
    <t xml:space="preserve"> COURTAULT </t>
  </si>
  <si>
    <t xml:space="preserve"> LEQUART </t>
  </si>
  <si>
    <t xml:space="preserve"> CHASSERAUD </t>
  </si>
  <si>
    <t xml:space="preserve"> DROUAIRE </t>
  </si>
  <si>
    <t xml:space="preserve"> PILIPCZUK </t>
  </si>
  <si>
    <t xml:space="preserve"> BLUTEAU </t>
  </si>
  <si>
    <t xml:space="preserve"> DELBIRANI </t>
  </si>
  <si>
    <t xml:space="preserve"> MIESZALY </t>
  </si>
  <si>
    <t xml:space="preserve"> BROSSIER </t>
  </si>
  <si>
    <t xml:space="preserve"> GIREAU </t>
  </si>
  <si>
    <t xml:space="preserve"> HARET </t>
  </si>
  <si>
    <t xml:space="preserve"> LE PRAT </t>
  </si>
  <si>
    <t xml:space="preserve"> BARIATTI </t>
  </si>
  <si>
    <t xml:space="preserve"> JORIS </t>
  </si>
  <si>
    <t xml:space="preserve"> DESMEE </t>
  </si>
  <si>
    <t xml:space="preserve"> BOLTEAU </t>
  </si>
  <si>
    <t xml:space="preserve"> LIGOT </t>
  </si>
  <si>
    <t xml:space="preserve"> MOUGEL </t>
  </si>
  <si>
    <t xml:space="preserve"> THIBOUVILLE </t>
  </si>
  <si>
    <t xml:space="preserve"> PERDEREAU </t>
  </si>
  <si>
    <t xml:space="preserve"> BEZEMONT </t>
  </si>
  <si>
    <t xml:space="preserve"> QUINIO </t>
  </si>
  <si>
    <t xml:space="preserve"> DEHARCHIES </t>
  </si>
  <si>
    <t xml:space="preserve"> FETTIH </t>
  </si>
  <si>
    <t xml:space="preserve"> MATULA </t>
  </si>
  <si>
    <t xml:space="preserve"> COSSART </t>
  </si>
  <si>
    <t xml:space="preserve"> WEISSENBACH </t>
  </si>
  <si>
    <t xml:space="preserve"> HERB </t>
  </si>
  <si>
    <t xml:space="preserve"> LECOMMANDOUX </t>
  </si>
  <si>
    <t xml:space="preserve"> DOURLEN </t>
  </si>
  <si>
    <t xml:space="preserve"> BURGE </t>
  </si>
  <si>
    <t xml:space="preserve"> DUFFIEUX </t>
  </si>
  <si>
    <t xml:space="preserve"> LE VAN SUU </t>
  </si>
  <si>
    <t xml:space="preserve"> ZBINDEN </t>
  </si>
  <si>
    <t xml:space="preserve"> TRILLET </t>
  </si>
  <si>
    <t xml:space="preserve"> EUDO </t>
  </si>
  <si>
    <t xml:space="preserve"> PAINSECQ </t>
  </si>
  <si>
    <t xml:space="preserve"> MOMENCEAU </t>
  </si>
  <si>
    <t xml:space="preserve"> SOTTIL </t>
  </si>
  <si>
    <t xml:space="preserve"> MANGO </t>
  </si>
  <si>
    <t xml:space="preserve"> BALLOY </t>
  </si>
  <si>
    <t xml:space="preserve"> POUPARD </t>
  </si>
  <si>
    <t xml:space="preserve"> MONTREUIL BELLAY UAM TT </t>
  </si>
  <si>
    <t xml:space="preserve"> TT DE LA HYSE </t>
  </si>
  <si>
    <t xml:space="preserve"> MATELLA </t>
  </si>
  <si>
    <t xml:space="preserve"> CHEETHAM </t>
  </si>
  <si>
    <t xml:space="preserve"> AYE </t>
  </si>
  <si>
    <t xml:space="preserve"> LASSER </t>
  </si>
  <si>
    <t xml:space="preserve"> BINOTTO </t>
  </si>
  <si>
    <t xml:space="preserve"> ALBERTINO </t>
  </si>
  <si>
    <t xml:space="preserve"> FRONTEAU </t>
  </si>
  <si>
    <t xml:space="preserve"> ROMARIE </t>
  </si>
  <si>
    <t xml:space="preserve"> AIMEE </t>
  </si>
  <si>
    <t xml:space="preserve"> VANDENHOUTE </t>
  </si>
  <si>
    <t xml:space="preserve"> CAREIL </t>
  </si>
  <si>
    <t xml:space="preserve"> LEPAISANT </t>
  </si>
  <si>
    <t xml:space="preserve"> STURIONE </t>
  </si>
  <si>
    <t xml:space="preserve"> CACCIOPPOLI </t>
  </si>
  <si>
    <t xml:space="preserve"> DOBRZYNSKI </t>
  </si>
  <si>
    <t xml:space="preserve"> Leonard </t>
  </si>
  <si>
    <t xml:space="preserve"> PIRONOM </t>
  </si>
  <si>
    <t xml:space="preserve"> DUGARD </t>
  </si>
  <si>
    <t xml:space="preserve"> AUPIED </t>
  </si>
  <si>
    <t xml:space="preserve"> CAYN </t>
  </si>
  <si>
    <t xml:space="preserve"> VAUVERT OPP </t>
  </si>
  <si>
    <t xml:space="preserve"> DUPRIEZ </t>
  </si>
  <si>
    <t xml:space="preserve"> FLOCZEK </t>
  </si>
  <si>
    <t xml:space="preserve"> CLAIRGEAUX </t>
  </si>
  <si>
    <t xml:space="preserve"> CLION </t>
  </si>
  <si>
    <t xml:space="preserve"> LEGLAND </t>
  </si>
  <si>
    <t xml:space="preserve"> FAUSTINI </t>
  </si>
  <si>
    <t xml:space="preserve"> CESBRON </t>
  </si>
  <si>
    <t xml:space="preserve"> Janic </t>
  </si>
  <si>
    <t xml:space="preserve"> SINQUIN </t>
  </si>
  <si>
    <t xml:space="preserve"> MOUDEN </t>
  </si>
  <si>
    <t xml:space="preserve"> BOBET </t>
  </si>
  <si>
    <t xml:space="preserve"> VALLON US TENNIS DE TABLE </t>
  </si>
  <si>
    <t xml:space="preserve"> GUILLEM </t>
  </si>
  <si>
    <t xml:space="preserve"> GABAY </t>
  </si>
  <si>
    <t xml:space="preserve"> DERSEL </t>
  </si>
  <si>
    <t xml:space="preserve"> ESTEOULE </t>
  </si>
  <si>
    <t xml:space="preserve"> BAUDOT </t>
  </si>
  <si>
    <t xml:space="preserve"> VASSAL </t>
  </si>
  <si>
    <t xml:space="preserve"> MAIGNAN </t>
  </si>
  <si>
    <t xml:space="preserve"> VOGE </t>
  </si>
  <si>
    <t xml:space="preserve"> POCHAT </t>
  </si>
  <si>
    <t xml:space="preserve"> MICHE </t>
  </si>
  <si>
    <t xml:space="preserve"> PRECIAT </t>
  </si>
  <si>
    <t xml:space="preserve"> KOJABASHIAN </t>
  </si>
  <si>
    <t xml:space="preserve"> COUTELLE </t>
  </si>
  <si>
    <t xml:space="preserve"> NAMUR </t>
  </si>
  <si>
    <t xml:space="preserve"> LEMESLE </t>
  </si>
  <si>
    <t xml:space="preserve"> SANDRIN </t>
  </si>
  <si>
    <t xml:space="preserve"> DACLIN </t>
  </si>
  <si>
    <t xml:space="preserve"> CEREMONIE </t>
  </si>
  <si>
    <t xml:space="preserve"> MUNAKATA </t>
  </si>
  <si>
    <t xml:space="preserve"> Hideaki </t>
  </si>
  <si>
    <t xml:space="preserve"> ALARCON </t>
  </si>
  <si>
    <t xml:space="preserve"> BESSIRARD </t>
  </si>
  <si>
    <t xml:space="preserve"> DECLEZ </t>
  </si>
  <si>
    <t xml:space="preserve"> GOUTAREL </t>
  </si>
  <si>
    <t xml:space="preserve"> DUPLANTIER </t>
  </si>
  <si>
    <t xml:space="preserve"> AUMONT TT </t>
  </si>
  <si>
    <t xml:space="preserve"> FUMERON </t>
  </si>
  <si>
    <t xml:space="preserve"> OUAKI </t>
  </si>
  <si>
    <t xml:space="preserve"> LARDIERE </t>
  </si>
  <si>
    <t xml:space="preserve"> HERMET </t>
  </si>
  <si>
    <t xml:space="preserve"> DASSE </t>
  </si>
  <si>
    <t xml:space="preserve"> DUTHIN </t>
  </si>
  <si>
    <t xml:space="preserve"> ASTRUC </t>
  </si>
  <si>
    <t xml:space="preserve"> DONIER </t>
  </si>
  <si>
    <t xml:space="preserve"> TOUMAYAN </t>
  </si>
  <si>
    <t xml:space="preserve"> STILLITANO </t>
  </si>
  <si>
    <t xml:space="preserve"> Santo </t>
  </si>
  <si>
    <t xml:space="preserve"> FUSEAU </t>
  </si>
  <si>
    <t xml:space="preserve"> GRISELHOUBER </t>
  </si>
  <si>
    <t xml:space="preserve"> SYOEN </t>
  </si>
  <si>
    <t xml:space="preserve"> PEROUX </t>
  </si>
  <si>
    <t xml:space="preserve"> FURNERI </t>
  </si>
  <si>
    <t xml:space="preserve"> Maurizo </t>
  </si>
  <si>
    <t xml:space="preserve"> LEMORT </t>
  </si>
  <si>
    <t xml:space="preserve"> COPIN </t>
  </si>
  <si>
    <t xml:space="preserve"> ANZIN AS TT </t>
  </si>
  <si>
    <t xml:space="preserve"> SAVE </t>
  </si>
  <si>
    <t xml:space="preserve"> CAPOSIENA </t>
  </si>
  <si>
    <t xml:space="preserve"> POUDENS </t>
  </si>
  <si>
    <t xml:space="preserve"> LESUR </t>
  </si>
  <si>
    <t xml:space="preserve"> BEAUDREY </t>
  </si>
  <si>
    <t xml:space="preserve"> RAVELOMANANTSOA </t>
  </si>
  <si>
    <t xml:space="preserve"> Stella </t>
  </si>
  <si>
    <t xml:space="preserve"> MARTINEL </t>
  </si>
  <si>
    <t xml:space="preserve"> WELSCHBILLIG </t>
  </si>
  <si>
    <t xml:space="preserve"> OUDOT </t>
  </si>
  <si>
    <t xml:space="preserve"> SORBON </t>
  </si>
  <si>
    <t xml:space="preserve"> CWILING </t>
  </si>
  <si>
    <t xml:space="preserve"> LENGLIN </t>
  </si>
  <si>
    <t xml:space="preserve"> VILLEDIEU </t>
  </si>
  <si>
    <t xml:space="preserve"> LEFFET </t>
  </si>
  <si>
    <t xml:space="preserve"> RISSACK </t>
  </si>
  <si>
    <t xml:space="preserve"> THUAL </t>
  </si>
  <si>
    <t xml:space="preserve"> DELION </t>
  </si>
  <si>
    <t xml:space="preserve"> MARTINA </t>
  </si>
  <si>
    <t xml:space="preserve"> JAFFIOL </t>
  </si>
  <si>
    <t xml:space="preserve"> CLUZE </t>
  </si>
  <si>
    <t xml:space="preserve"> BOURGERY </t>
  </si>
  <si>
    <t xml:space="preserve"> BRASA </t>
  </si>
  <si>
    <t xml:space="preserve"> SERES </t>
  </si>
  <si>
    <t xml:space="preserve"> REMOND </t>
  </si>
  <si>
    <t xml:space="preserve"> GAIFFIER </t>
  </si>
  <si>
    <t xml:space="preserve"> SERRES </t>
  </si>
  <si>
    <t xml:space="preserve"> BENECH </t>
  </si>
  <si>
    <t xml:space="preserve"> GERALD </t>
  </si>
  <si>
    <t xml:space="preserve"> CANCEL </t>
  </si>
  <si>
    <t xml:space="preserve"> ALLAG </t>
  </si>
  <si>
    <t xml:space="preserve"> Kaddour </t>
  </si>
  <si>
    <t xml:space="preserve"> ARZUL </t>
  </si>
  <si>
    <t xml:space="preserve"> FATH </t>
  </si>
  <si>
    <t xml:space="preserve"> BILHANT </t>
  </si>
  <si>
    <t xml:space="preserve"> TEREAU </t>
  </si>
  <si>
    <t xml:space="preserve"> PALISSES - CARDET </t>
  </si>
  <si>
    <t xml:space="preserve"> JUBIEN </t>
  </si>
  <si>
    <t xml:space="preserve"> VAQUEZ </t>
  </si>
  <si>
    <t xml:space="preserve"> THIBAUD </t>
  </si>
  <si>
    <t xml:space="preserve"> DUSSOUILLEZ </t>
  </si>
  <si>
    <t xml:space="preserve"> MEYRIEUX </t>
  </si>
  <si>
    <t xml:space="preserve"> DOMENC </t>
  </si>
  <si>
    <t xml:space="preserve"> ENEA </t>
  </si>
  <si>
    <t xml:space="preserve"> LAPPAI </t>
  </si>
  <si>
    <t xml:space="preserve"> BEAUGER </t>
  </si>
  <si>
    <t xml:space="preserve"> 329E1010 </t>
  </si>
  <si>
    <t xml:space="preserve"> PWEDI WIMIAN PONGISTES PO </t>
  </si>
  <si>
    <t xml:space="preserve"> GATTUS </t>
  </si>
  <si>
    <t xml:space="preserve"> BRIATTE </t>
  </si>
  <si>
    <t xml:space="preserve"> PERRY </t>
  </si>
  <si>
    <t xml:space="preserve"> SANSONETTI </t>
  </si>
  <si>
    <t xml:space="preserve"> Luiggi </t>
  </si>
  <si>
    <t xml:space="preserve"> SCHWALLER </t>
  </si>
  <si>
    <t xml:space="preserve"> LYVER </t>
  </si>
  <si>
    <t xml:space="preserve"> GREBAUT </t>
  </si>
  <si>
    <t xml:space="preserve"> PRAIN </t>
  </si>
  <si>
    <t xml:space="preserve"> TACHON </t>
  </si>
  <si>
    <t xml:space="preserve"> BUGNET </t>
  </si>
  <si>
    <t xml:space="preserve"> DUGORD </t>
  </si>
  <si>
    <t xml:space="preserve"> SUDOL </t>
  </si>
  <si>
    <t xml:space="preserve"> MAINGUY </t>
  </si>
  <si>
    <t xml:space="preserve"> POUX </t>
  </si>
  <si>
    <t xml:space="preserve"> GUENERON </t>
  </si>
  <si>
    <t xml:space="preserve"> EMONIDE </t>
  </si>
  <si>
    <t xml:space="preserve"> DELOZE </t>
  </si>
  <si>
    <t xml:space="preserve"> RAULT MAISONNEUVE </t>
  </si>
  <si>
    <t xml:space="preserve"> LAMOURET </t>
  </si>
  <si>
    <t xml:space="preserve"> LEGUILLOUX </t>
  </si>
  <si>
    <t xml:space="preserve"> SAVIGNONI </t>
  </si>
  <si>
    <t xml:space="preserve"> LEHERISSEY </t>
  </si>
  <si>
    <t xml:space="preserve"> DAUTRICHE </t>
  </si>
  <si>
    <t xml:space="preserve"> MICHALSKI </t>
  </si>
  <si>
    <t xml:space="preserve"> ODILE </t>
  </si>
  <si>
    <t xml:space="preserve"> SUREAU </t>
  </si>
  <si>
    <t xml:space="preserve"> BERGIRON </t>
  </si>
  <si>
    <t xml:space="preserve"> BAUMAUX </t>
  </si>
  <si>
    <t xml:space="preserve"> DECOCK </t>
  </si>
  <si>
    <t xml:space="preserve"> BESNEVILLE </t>
  </si>
  <si>
    <t xml:space="preserve"> VADEBLE </t>
  </si>
  <si>
    <t xml:space="preserve"> DEMESSINE </t>
  </si>
  <si>
    <t xml:space="preserve"> FERCHAL </t>
  </si>
  <si>
    <t xml:space="preserve"> COUGOULIC </t>
  </si>
  <si>
    <t xml:space="preserve"> RANC </t>
  </si>
  <si>
    <t xml:space="preserve"> The phiet </t>
  </si>
  <si>
    <t xml:space="preserve"> BAUX </t>
  </si>
  <si>
    <t xml:space="preserve"> Pierre-robert </t>
  </si>
  <si>
    <t xml:space="preserve"> LEBOULLEUX </t>
  </si>
  <si>
    <t xml:space="preserve"> DEPLANNE </t>
  </si>
  <si>
    <t xml:space="preserve"> TEDOLDI </t>
  </si>
  <si>
    <t xml:space="preserve"> BUGNON-MURYS </t>
  </si>
  <si>
    <t xml:space="preserve"> FERES </t>
  </si>
  <si>
    <t xml:space="preserve"> RAIMONDO </t>
  </si>
  <si>
    <t xml:space="preserve"> LESCAUDRON </t>
  </si>
  <si>
    <t xml:space="preserve"> DROUGLAZET </t>
  </si>
  <si>
    <t xml:space="preserve"> SACCHET </t>
  </si>
  <si>
    <t xml:space="preserve"> PARAZ </t>
  </si>
  <si>
    <t xml:space="preserve"> MARQUELET </t>
  </si>
  <si>
    <t xml:space="preserve"> CHABOD </t>
  </si>
  <si>
    <t xml:space="preserve"> HEUBERGER </t>
  </si>
  <si>
    <t xml:space="preserve"> SARRIGNE Loisirs Détente </t>
  </si>
  <si>
    <t xml:space="preserve"> PEUDOUX </t>
  </si>
  <si>
    <t xml:space="preserve"> DUCAM </t>
  </si>
  <si>
    <t xml:space="preserve"> SCOLAN </t>
  </si>
  <si>
    <t xml:space="preserve"> CLISSON </t>
  </si>
  <si>
    <t xml:space="preserve"> EBY </t>
  </si>
  <si>
    <t xml:space="preserve"> PAGLIARDINI </t>
  </si>
  <si>
    <t xml:space="preserve"> PICOLET </t>
  </si>
  <si>
    <t xml:space="preserve"> LAOT </t>
  </si>
  <si>
    <t xml:space="preserve"> VEREECQUE </t>
  </si>
  <si>
    <t xml:space="preserve"> LE DREFF </t>
  </si>
  <si>
    <t xml:space="preserve"> DELABY </t>
  </si>
  <si>
    <t xml:space="preserve"> PATUREAUX </t>
  </si>
  <si>
    <t xml:space="preserve"> FRESNEDA </t>
  </si>
  <si>
    <t xml:space="preserve"> MISLIN </t>
  </si>
  <si>
    <t xml:space="preserve"> POTELLE </t>
  </si>
  <si>
    <t xml:space="preserve"> TRONNET </t>
  </si>
  <si>
    <t xml:space="preserve"> GRIFFITHS </t>
  </si>
  <si>
    <t xml:space="preserve"> ROUZEYROL </t>
  </si>
  <si>
    <t xml:space="preserve"> BOUTHIER </t>
  </si>
  <si>
    <t xml:space="preserve"> CORPO 45 TT </t>
  </si>
  <si>
    <t xml:space="preserve"> K'DUAL </t>
  </si>
  <si>
    <t xml:space="preserve"> JURY </t>
  </si>
  <si>
    <t xml:space="preserve"> AGBO </t>
  </si>
  <si>
    <t xml:space="preserve"> GIGAUD </t>
  </si>
  <si>
    <t xml:space="preserve"> ASAL </t>
  </si>
  <si>
    <t xml:space="preserve"> AUDUREAU </t>
  </si>
  <si>
    <t xml:space="preserve"> BERTANA </t>
  </si>
  <si>
    <t xml:space="preserve"> OBEDIA </t>
  </si>
  <si>
    <t xml:space="preserve"> BROUTEL </t>
  </si>
  <si>
    <t xml:space="preserve"> LAUNOY </t>
  </si>
  <si>
    <t xml:space="preserve"> BELSOULD </t>
  </si>
  <si>
    <t xml:space="preserve"> BLANQUET </t>
  </si>
  <si>
    <t xml:space="preserve"> FLORECQ </t>
  </si>
  <si>
    <t xml:space="preserve"> CHAUSSEX </t>
  </si>
  <si>
    <t xml:space="preserve"> THIEUBAUT </t>
  </si>
  <si>
    <t xml:space="preserve"> BEAUMOND </t>
  </si>
  <si>
    <t xml:space="preserve"> AMARA </t>
  </si>
  <si>
    <t xml:space="preserve"> FABIER </t>
  </si>
  <si>
    <t xml:space="preserve"> FLECHELLE </t>
  </si>
  <si>
    <t xml:space="preserve"> CHESNAUD </t>
  </si>
  <si>
    <t xml:space="preserve"> CAYRIER </t>
  </si>
  <si>
    <t xml:space="preserve"> BOBU </t>
  </si>
  <si>
    <t xml:space="preserve"> JOANNE </t>
  </si>
  <si>
    <t xml:space="preserve"> LACHAUD </t>
  </si>
  <si>
    <t xml:space="preserve"> BERON </t>
  </si>
  <si>
    <t xml:space="preserve"> CASSAIGNE </t>
  </si>
  <si>
    <t xml:space="preserve"> MOUGEOTTE </t>
  </si>
  <si>
    <t xml:space="preserve"> VANNE </t>
  </si>
  <si>
    <t xml:space="preserve"> Cedrick </t>
  </si>
  <si>
    <t xml:space="preserve"> LECORNU </t>
  </si>
  <si>
    <t xml:space="preserve"> QUEYROUX </t>
  </si>
  <si>
    <t xml:space="preserve"> Quang-cong </t>
  </si>
  <si>
    <t xml:space="preserve"> PELFRENE </t>
  </si>
  <si>
    <t xml:space="preserve"> COLINEAU </t>
  </si>
  <si>
    <t xml:space="preserve"> DUEE </t>
  </si>
  <si>
    <t xml:space="preserve"> LAVEAU </t>
  </si>
  <si>
    <t xml:space="preserve"> KAHANE </t>
  </si>
  <si>
    <t xml:space="preserve"> HAUTBOIS </t>
  </si>
  <si>
    <t xml:space="preserve"> CARTALADE </t>
  </si>
  <si>
    <t xml:space="preserve"> MINERY </t>
  </si>
  <si>
    <t xml:space="preserve"> GRATADOUR </t>
  </si>
  <si>
    <t xml:space="preserve"> FOURNAND </t>
  </si>
  <si>
    <t xml:space="preserve"> PIHAN </t>
  </si>
  <si>
    <t xml:space="preserve"> FONTAINEBLEAU TT </t>
  </si>
  <si>
    <t xml:space="preserve"> LARGE </t>
  </si>
  <si>
    <t xml:space="preserve"> Pierre françois </t>
  </si>
  <si>
    <t xml:space="preserve"> GANDRILLON </t>
  </si>
  <si>
    <t xml:space="preserve"> GALLO </t>
  </si>
  <si>
    <t xml:space="preserve"> GRAVIERE </t>
  </si>
  <si>
    <t xml:space="preserve"> BIGAND </t>
  </si>
  <si>
    <t xml:space="preserve"> HAMEAU </t>
  </si>
  <si>
    <t xml:space="preserve"> MANDALLAZ </t>
  </si>
  <si>
    <t xml:space="preserve"> CHETOUI </t>
  </si>
  <si>
    <t xml:space="preserve"> Sofiane </t>
  </si>
  <si>
    <t xml:space="preserve"> DIZEL </t>
  </si>
  <si>
    <t xml:space="preserve"> PONSART </t>
  </si>
  <si>
    <t xml:space="preserve"> LAUMAILLE </t>
  </si>
  <si>
    <t xml:space="preserve"> BRICAUD </t>
  </si>
  <si>
    <t xml:space="preserve"> CURSAZ </t>
  </si>
  <si>
    <t xml:space="preserve"> MUGWANYA </t>
  </si>
  <si>
    <t xml:space="preserve"> Hilaire </t>
  </si>
  <si>
    <t xml:space="preserve"> BOUREL </t>
  </si>
  <si>
    <t xml:space="preserve"> ANSEL </t>
  </si>
  <si>
    <t xml:space="preserve"> ARTIGE </t>
  </si>
  <si>
    <t xml:space="preserve"> LECHERTIER </t>
  </si>
  <si>
    <t xml:space="preserve"> BEKKAR </t>
  </si>
  <si>
    <t xml:space="preserve"> MASSIAS </t>
  </si>
  <si>
    <t xml:space="preserve"> MARCELLIN </t>
  </si>
  <si>
    <t xml:space="preserve"> BOUSSAA </t>
  </si>
  <si>
    <t xml:space="preserve"> FAIBIS </t>
  </si>
  <si>
    <t xml:space="preserve"> DELPEUX </t>
  </si>
  <si>
    <t xml:space="preserve"> BANACH </t>
  </si>
  <si>
    <t xml:space="preserve"> VAUPRE </t>
  </si>
  <si>
    <t xml:space="preserve"> DREMONT </t>
  </si>
  <si>
    <t xml:space="preserve"> DA CUNHA MACIEL </t>
  </si>
  <si>
    <t xml:space="preserve"> Francki </t>
  </si>
  <si>
    <t xml:space="preserve"> SPRECACENERE </t>
  </si>
  <si>
    <t xml:space="preserve"> MORERE </t>
  </si>
  <si>
    <t xml:space="preserve"> VITRANT </t>
  </si>
  <si>
    <t xml:space="preserve"> RABRET </t>
  </si>
  <si>
    <t xml:space="preserve"> NOUAILLE </t>
  </si>
  <si>
    <t xml:space="preserve"> ROGERé </t>
  </si>
  <si>
    <t xml:space="preserve"> FINAND </t>
  </si>
  <si>
    <t xml:space="preserve"> LORANCE </t>
  </si>
  <si>
    <t xml:space="preserve"> MORET ES JEAN </t>
  </si>
  <si>
    <t xml:space="preserve"> GENTIL </t>
  </si>
  <si>
    <t xml:space="preserve"> MOVSESSIAN </t>
  </si>
  <si>
    <t xml:space="preserve"> MONTERDE </t>
  </si>
  <si>
    <t xml:space="preserve"> BRECHAT </t>
  </si>
  <si>
    <t xml:space="preserve"> VERGRACHT </t>
  </si>
  <si>
    <t xml:space="preserve"> JANNOT </t>
  </si>
  <si>
    <t xml:space="preserve"> ST PERE EN RETZ </t>
  </si>
  <si>
    <t xml:space="preserve"> COLLARD </t>
  </si>
  <si>
    <t xml:space="preserve"> L'HOPITAL </t>
  </si>
  <si>
    <t xml:space="preserve"> POUYDEBAT </t>
  </si>
  <si>
    <t xml:space="preserve"> KARSENTY </t>
  </si>
  <si>
    <t xml:space="preserve"> BAUM </t>
  </si>
  <si>
    <t xml:space="preserve"> SALIVE </t>
  </si>
  <si>
    <t xml:space="preserve"> BOURDIAUX </t>
  </si>
  <si>
    <t xml:space="preserve"> SIROT </t>
  </si>
  <si>
    <t xml:space="preserve"> RUBENACH </t>
  </si>
  <si>
    <t xml:space="preserve"> GANGLOFF </t>
  </si>
  <si>
    <t xml:space="preserve"> MERLOT </t>
  </si>
  <si>
    <t xml:space="preserve"> DUPLAIX </t>
  </si>
  <si>
    <t xml:space="preserve"> LE BISSONNAIS </t>
  </si>
  <si>
    <t xml:space="preserve"> STAUDT </t>
  </si>
  <si>
    <t xml:space="preserve"> QUAGLIO </t>
  </si>
  <si>
    <t xml:space="preserve"> JULLIARD-KUZNICKI </t>
  </si>
  <si>
    <t xml:space="preserve"> SAINT ELLIER </t>
  </si>
  <si>
    <t xml:space="preserve"> GENTES </t>
  </si>
  <si>
    <t xml:space="preserve"> PONT SUR SEINE ASLP </t>
  </si>
  <si>
    <t xml:space="preserve"> DEGABRIEL </t>
  </si>
  <si>
    <t xml:space="preserve"> BOUKRA </t>
  </si>
  <si>
    <t xml:space="preserve"> Nourrédine </t>
  </si>
  <si>
    <t xml:space="preserve"> FOUQUES </t>
  </si>
  <si>
    <t xml:space="preserve"> DOS  ANJOS </t>
  </si>
  <si>
    <t xml:space="preserve"> LASNIER </t>
  </si>
  <si>
    <t xml:space="preserve"> DU PARC LOCMARIA </t>
  </si>
  <si>
    <t xml:space="preserve"> PATRY </t>
  </si>
  <si>
    <t xml:space="preserve"> JENIN </t>
  </si>
  <si>
    <t xml:space="preserve"> SCALZOTTO </t>
  </si>
  <si>
    <t xml:space="preserve"> SOKOL </t>
  </si>
  <si>
    <t xml:space="preserve"> PEUGNET </t>
  </si>
  <si>
    <t xml:space="preserve"> RADET </t>
  </si>
  <si>
    <t xml:space="preserve"> GRAVOUILLE </t>
  </si>
  <si>
    <t xml:space="preserve"> SIREY </t>
  </si>
  <si>
    <t xml:space="preserve"> KALPAKIS </t>
  </si>
  <si>
    <t xml:space="preserve"> Jean-vincent </t>
  </si>
  <si>
    <t xml:space="preserve"> GUGUEN </t>
  </si>
  <si>
    <t xml:space="preserve"> VIALEIX </t>
  </si>
  <si>
    <t xml:space="preserve"> EMICA </t>
  </si>
  <si>
    <t xml:space="preserve"> VARQUET </t>
  </si>
  <si>
    <t xml:space="preserve"> GALLOU </t>
  </si>
  <si>
    <t xml:space="preserve"> MENGUY </t>
  </si>
  <si>
    <t xml:space="preserve"> LEIGNEL </t>
  </si>
  <si>
    <t xml:space="preserve"> VAROQUEAUX </t>
  </si>
  <si>
    <t xml:space="preserve"> LASSALE </t>
  </si>
  <si>
    <t xml:space="preserve"> BUNET </t>
  </si>
  <si>
    <t xml:space="preserve"> DAVRINCHE </t>
  </si>
  <si>
    <t xml:space="preserve"> GAYRAUD </t>
  </si>
  <si>
    <t xml:space="preserve"> SAULIERE </t>
  </si>
  <si>
    <t xml:space="preserve"> POUSSIN </t>
  </si>
  <si>
    <t xml:space="preserve"> DIAF </t>
  </si>
  <si>
    <t xml:space="preserve"> LEICHTWEISS </t>
  </si>
  <si>
    <t xml:space="preserve"> ISLIWA </t>
  </si>
  <si>
    <t xml:space="preserve"> REUSEAU </t>
  </si>
  <si>
    <t xml:space="preserve"> PLOUVIER </t>
  </si>
  <si>
    <t xml:space="preserve"> BAINEE </t>
  </si>
  <si>
    <t xml:space="preserve"> Patanapong </t>
  </si>
  <si>
    <t xml:space="preserve"> AUDARD </t>
  </si>
  <si>
    <t xml:space="preserve"> ROHOU </t>
  </si>
  <si>
    <t xml:space="preserve"> D'HAENE </t>
  </si>
  <si>
    <t xml:space="preserve"> BARRIERE </t>
  </si>
  <si>
    <t xml:space="preserve"> REISSE </t>
  </si>
  <si>
    <t xml:space="preserve"> MARCUSSEAU </t>
  </si>
  <si>
    <t xml:space="preserve"> JALLU </t>
  </si>
  <si>
    <t xml:space="preserve"> FLUCK </t>
  </si>
  <si>
    <t xml:space="preserve"> VILLEMEJEANNE </t>
  </si>
  <si>
    <t xml:space="preserve"> LAHER </t>
  </si>
  <si>
    <t xml:space="preserve"> GENEVEY </t>
  </si>
  <si>
    <t xml:space="preserve"> LE CROM </t>
  </si>
  <si>
    <t xml:space="preserve"> PEUZIAT </t>
  </si>
  <si>
    <t xml:space="preserve"> DESSEIGNE </t>
  </si>
  <si>
    <t xml:space="preserve"> KERDONCUFF </t>
  </si>
  <si>
    <t xml:space="preserve"> STAAT </t>
  </si>
  <si>
    <t xml:space="preserve"> MEGE </t>
  </si>
  <si>
    <t xml:space="preserve"> MASSANO </t>
  </si>
  <si>
    <t xml:space="preserve"> CAILLIERE </t>
  </si>
  <si>
    <t xml:space="preserve"> DOMINGUES </t>
  </si>
  <si>
    <t xml:space="preserve"> SEBDAOUI </t>
  </si>
  <si>
    <t xml:space="preserve"> GLUMINEAU </t>
  </si>
  <si>
    <t xml:space="preserve"> FROISSART </t>
  </si>
  <si>
    <t xml:space="preserve"> MUSZALSKI </t>
  </si>
  <si>
    <t xml:space="preserve"> LORANT </t>
  </si>
  <si>
    <t xml:space="preserve"> VAUQUOY </t>
  </si>
  <si>
    <t xml:space="preserve"> ANCELLE </t>
  </si>
  <si>
    <t xml:space="preserve"> BOUCHIER </t>
  </si>
  <si>
    <t xml:space="preserve"> DULUARD </t>
  </si>
  <si>
    <t xml:space="preserve"> NANTES MUNICIPAUX </t>
  </si>
  <si>
    <t xml:space="preserve"> BROSSAUD </t>
  </si>
  <si>
    <t xml:space="preserve"> BONDU </t>
  </si>
  <si>
    <t xml:space="preserve"> SACRE </t>
  </si>
  <si>
    <t xml:space="preserve"> CHIVE </t>
  </si>
  <si>
    <t xml:space="preserve"> CHOQUET </t>
  </si>
  <si>
    <t xml:space="preserve"> JOSEFSBERG </t>
  </si>
  <si>
    <t xml:space="preserve"> LAULOM </t>
  </si>
  <si>
    <t xml:space="preserve"> ORNITOZZI </t>
  </si>
  <si>
    <t xml:space="preserve"> GLORIOD </t>
  </si>
  <si>
    <t xml:space="preserve"> MANIERE </t>
  </si>
  <si>
    <t xml:space="preserve"> KREMEURT </t>
  </si>
  <si>
    <t xml:space="preserve"> HAMMANN </t>
  </si>
  <si>
    <t xml:space="preserve"> Roudy </t>
  </si>
  <si>
    <t xml:space="preserve"> PANAUD </t>
  </si>
  <si>
    <t xml:space="preserve"> VIDRON </t>
  </si>
  <si>
    <t xml:space="preserve"> AGUERRE </t>
  </si>
  <si>
    <t xml:space="preserve"> DAMART </t>
  </si>
  <si>
    <t xml:space="preserve"> MERELLE </t>
  </si>
  <si>
    <t xml:space="preserve"> THEVENARD </t>
  </si>
  <si>
    <t xml:space="preserve"> CREVIER </t>
  </si>
  <si>
    <t xml:space="preserve"> LEFORGEAIS </t>
  </si>
  <si>
    <t xml:space="preserve"> QUEUDEVILLE-LEBOEUF </t>
  </si>
  <si>
    <t xml:space="preserve"> Jean-piere </t>
  </si>
  <si>
    <t xml:space="preserve"> KOBILNYK </t>
  </si>
  <si>
    <t xml:space="preserve"> BEN BOUBAKER </t>
  </si>
  <si>
    <t xml:space="preserve"> Madji </t>
  </si>
  <si>
    <t xml:space="preserve"> KOELSCH </t>
  </si>
  <si>
    <t xml:space="preserve"> BOURACHOT </t>
  </si>
  <si>
    <t xml:space="preserve"> BARIL </t>
  </si>
  <si>
    <t xml:space="preserve"> Cyriaque </t>
  </si>
  <si>
    <t xml:space="preserve"> STAUBER </t>
  </si>
  <si>
    <t xml:space="preserve"> KUBASIK </t>
  </si>
  <si>
    <t xml:space="preserve"> ZAMORA </t>
  </si>
  <si>
    <t xml:space="preserve"> DELLA-VITTORIA </t>
  </si>
  <si>
    <t xml:space="preserve"> DESTIN </t>
  </si>
  <si>
    <t xml:space="preserve"> RAEIS </t>
  </si>
  <si>
    <t xml:space="preserve"> RAMBECKI </t>
  </si>
  <si>
    <t xml:space="preserve"> GRIVET </t>
  </si>
  <si>
    <t xml:space="preserve"> TAUZY </t>
  </si>
  <si>
    <t xml:space="preserve"> GRAU </t>
  </si>
  <si>
    <t xml:space="preserve"> PELISSIER </t>
  </si>
  <si>
    <t xml:space="preserve"> JAVID BRESSOT </t>
  </si>
  <si>
    <t xml:space="preserve"> MOULINOU </t>
  </si>
  <si>
    <t xml:space="preserve"> LACROZE </t>
  </si>
  <si>
    <t xml:space="preserve"> MEULEY </t>
  </si>
  <si>
    <t xml:space="preserve"> ARLABOSSE </t>
  </si>
  <si>
    <t xml:space="preserve"> JOURDON </t>
  </si>
  <si>
    <t xml:space="preserve"> BELMON </t>
  </si>
  <si>
    <t xml:space="preserve"> ODOU </t>
  </si>
  <si>
    <t xml:space="preserve"> DARGEIN </t>
  </si>
  <si>
    <t xml:space="preserve"> SOEN </t>
  </si>
  <si>
    <t xml:space="preserve"> MERAI </t>
  </si>
  <si>
    <t xml:space="preserve"> BLET </t>
  </si>
  <si>
    <t xml:space="preserve"> COTTET </t>
  </si>
  <si>
    <t xml:space="preserve"> MAZZA </t>
  </si>
  <si>
    <t xml:space="preserve"> DAT </t>
  </si>
  <si>
    <t xml:space="preserve"> GACHE </t>
  </si>
  <si>
    <t xml:space="preserve"> LESTAVEL </t>
  </si>
  <si>
    <t xml:space="preserve"> CAVALLO </t>
  </si>
  <si>
    <t xml:space="preserve"> BEAUDOIN </t>
  </si>
  <si>
    <t xml:space="preserve"> FANIEL </t>
  </si>
  <si>
    <t xml:space="preserve"> STELLA </t>
  </si>
  <si>
    <t xml:space="preserve"> BIZET </t>
  </si>
  <si>
    <t xml:space="preserve"> LAGALLE </t>
  </si>
  <si>
    <t xml:space="preserve"> DIXMIER </t>
  </si>
  <si>
    <t xml:space="preserve"> Zaccharie </t>
  </si>
  <si>
    <t xml:space="preserve"> BOURDINIERE </t>
  </si>
  <si>
    <t xml:space="preserve"> DESMASURES </t>
  </si>
  <si>
    <t xml:space="preserve"> SERGIENKO </t>
  </si>
  <si>
    <t xml:space="preserve"> BERTU </t>
  </si>
  <si>
    <t xml:space="preserve"> HESRY </t>
  </si>
  <si>
    <t xml:space="preserve"> LEMPERIERE </t>
  </si>
  <si>
    <t xml:space="preserve"> DARTHENAY </t>
  </si>
  <si>
    <t xml:space="preserve"> HERCE </t>
  </si>
  <si>
    <t xml:space="preserve"> BOLOT </t>
  </si>
  <si>
    <t xml:space="preserve"> LONGUEPEE </t>
  </si>
  <si>
    <t xml:space="preserve"> CROAS </t>
  </si>
  <si>
    <t xml:space="preserve"> HERANVAL </t>
  </si>
  <si>
    <t xml:space="preserve"> KERVOERN </t>
  </si>
  <si>
    <t xml:space="preserve"> LE COURRIC </t>
  </si>
  <si>
    <t xml:space="preserve"> CEZAC </t>
  </si>
  <si>
    <t xml:space="preserve"> BREYNE </t>
  </si>
  <si>
    <t xml:space="preserve"> TENEAU </t>
  </si>
  <si>
    <t xml:space="preserve"> Pierre louis </t>
  </si>
  <si>
    <t xml:space="preserve"> BOIXIERE </t>
  </si>
  <si>
    <t xml:space="preserve"> DABIN </t>
  </si>
  <si>
    <t xml:space="preserve"> CORVEE </t>
  </si>
  <si>
    <t xml:space="preserve"> DAUCHEL </t>
  </si>
  <si>
    <t xml:space="preserve"> LORIEUX </t>
  </si>
  <si>
    <t xml:space="preserve"> PIORKOWSKI </t>
  </si>
  <si>
    <t xml:space="preserve"> JAUZION </t>
  </si>
  <si>
    <t xml:space="preserve"> QUEMAR </t>
  </si>
  <si>
    <t xml:space="preserve"> AUTEXIER </t>
  </si>
  <si>
    <t xml:space="preserve"> HELMER </t>
  </si>
  <si>
    <t xml:space="preserve"> Youenn </t>
  </si>
  <si>
    <t xml:space="preserve"> LADURELLE </t>
  </si>
  <si>
    <t xml:space="preserve"> DEMARS </t>
  </si>
  <si>
    <t xml:space="preserve"> MARRONIER </t>
  </si>
  <si>
    <t xml:space="preserve"> POINTET </t>
  </si>
  <si>
    <t xml:space="preserve"> BILLEBAUD </t>
  </si>
  <si>
    <t xml:space="preserve"> SARTHOU </t>
  </si>
  <si>
    <t xml:space="preserve"> GUIGUE </t>
  </si>
  <si>
    <t xml:space="preserve"> LUNARI </t>
  </si>
  <si>
    <t xml:space="preserve"> GUILLAUMIE </t>
  </si>
  <si>
    <t xml:space="preserve"> DUVERNET </t>
  </si>
  <si>
    <t xml:space="preserve"> CLOYES AL </t>
  </si>
  <si>
    <t xml:space="preserve"> AIVADIAN </t>
  </si>
  <si>
    <t xml:space="preserve"> SOUMAGNE </t>
  </si>
  <si>
    <t xml:space="preserve"> HAIM </t>
  </si>
  <si>
    <t xml:space="preserve"> LEMARDELEY </t>
  </si>
  <si>
    <t xml:space="preserve"> LEPISSIER </t>
  </si>
  <si>
    <t xml:space="preserve"> HATTON </t>
  </si>
  <si>
    <t xml:space="preserve"> VERDY </t>
  </si>
  <si>
    <t xml:space="preserve"> BABINSKI </t>
  </si>
  <si>
    <t xml:space="preserve"> BONARDI </t>
  </si>
  <si>
    <t xml:space="preserve"> Sylvere </t>
  </si>
  <si>
    <t xml:space="preserve"> GIRARD CLAUDON </t>
  </si>
  <si>
    <t xml:space="preserve"> BERRANGER </t>
  </si>
  <si>
    <t xml:space="preserve"> BAHNWEG </t>
  </si>
  <si>
    <t xml:space="preserve"> DUBOUDIN </t>
  </si>
  <si>
    <t xml:space="preserve"> ROTUREAU </t>
  </si>
  <si>
    <t xml:space="preserve"> PASTOR </t>
  </si>
  <si>
    <t xml:space="preserve"> DALLET </t>
  </si>
  <si>
    <t xml:space="preserve"> LAGARMITE </t>
  </si>
  <si>
    <t xml:space="preserve"> HERBIN </t>
  </si>
  <si>
    <t xml:space="preserve"> LENGERT </t>
  </si>
  <si>
    <t xml:space="preserve"> BOURCET </t>
  </si>
  <si>
    <t xml:space="preserve"> MUZZIN </t>
  </si>
  <si>
    <t xml:space="preserve"> ANEDDA </t>
  </si>
  <si>
    <t xml:space="preserve"> GRIMONET </t>
  </si>
  <si>
    <t xml:space="preserve"> SAISSET </t>
  </si>
  <si>
    <t xml:space="preserve"> NAUZERET </t>
  </si>
  <si>
    <t xml:space="preserve"> LIN </t>
  </si>
  <si>
    <t xml:space="preserve"> MAUGIS </t>
  </si>
  <si>
    <t xml:space="preserve"> DE LASCOUPS </t>
  </si>
  <si>
    <t xml:space="preserve"> CARGOUET </t>
  </si>
  <si>
    <t xml:space="preserve"> VERGNIAULT </t>
  </si>
  <si>
    <t xml:space="preserve"> CHABREYRON </t>
  </si>
  <si>
    <t xml:space="preserve"> Fanch </t>
  </si>
  <si>
    <t xml:space="preserve"> LE NOIR </t>
  </si>
  <si>
    <t xml:space="preserve"> CORIA </t>
  </si>
  <si>
    <t xml:space="preserve"> GOMOND </t>
  </si>
  <si>
    <t xml:space="preserve"> PINAUDEAU </t>
  </si>
  <si>
    <t xml:space="preserve"> MARAND </t>
  </si>
  <si>
    <t xml:space="preserve"> GANTIER </t>
  </si>
  <si>
    <t xml:space="preserve"> LICARI </t>
  </si>
  <si>
    <t xml:space="preserve"> BARIOU </t>
  </si>
  <si>
    <t xml:space="preserve"> DRIDI </t>
  </si>
  <si>
    <t xml:space="preserve"> TRIAIL </t>
  </si>
  <si>
    <t xml:space="preserve"> FAUQUENOI </t>
  </si>
  <si>
    <t xml:space="preserve"> DAISSON </t>
  </si>
  <si>
    <t xml:space="preserve"> BON </t>
  </si>
  <si>
    <t xml:space="preserve"> PERRONNE </t>
  </si>
  <si>
    <t xml:space="preserve"> AZIBERT </t>
  </si>
  <si>
    <t xml:space="preserve"> FILLIATRE </t>
  </si>
  <si>
    <t xml:space="preserve"> LORRAIN </t>
  </si>
  <si>
    <t xml:space="preserve"> JAILLET </t>
  </si>
  <si>
    <t xml:space="preserve"> BIDEGARAY </t>
  </si>
  <si>
    <t xml:space="preserve"> Gerard-michel </t>
  </si>
  <si>
    <t xml:space="preserve"> DECITRE </t>
  </si>
  <si>
    <t xml:space="preserve"> LESENEY </t>
  </si>
  <si>
    <t xml:space="preserve"> MASSOL </t>
  </si>
  <si>
    <t xml:space="preserve"> FLAUD </t>
  </si>
  <si>
    <t xml:space="preserve"> BECAMEL </t>
  </si>
  <si>
    <t xml:space="preserve"> THERMUNIEN </t>
  </si>
  <si>
    <t xml:space="preserve"> SONDEYKER </t>
  </si>
  <si>
    <t xml:space="preserve"> REBIERE-POUYADE </t>
  </si>
  <si>
    <t xml:space="preserve"> CALAME </t>
  </si>
  <si>
    <t xml:space="preserve"> WASNIEWSKI </t>
  </si>
  <si>
    <t xml:space="preserve"> ARDELLIER </t>
  </si>
  <si>
    <t xml:space="preserve"> LAGRAVE </t>
  </si>
  <si>
    <t xml:space="preserve"> LOUP </t>
  </si>
  <si>
    <t xml:space="preserve"> BERT </t>
  </si>
  <si>
    <t xml:space="preserve"> FOMBERTASSE </t>
  </si>
  <si>
    <t xml:space="preserve"> PEGET </t>
  </si>
  <si>
    <t xml:space="preserve"> IGLESIAS </t>
  </si>
  <si>
    <t xml:space="preserve"> CHABANNE </t>
  </si>
  <si>
    <t xml:space="preserve"> NOUAILLES </t>
  </si>
  <si>
    <t xml:space="preserve"> MAPPA </t>
  </si>
  <si>
    <t xml:space="preserve"> DAUBRESSE </t>
  </si>
  <si>
    <t xml:space="preserve"> COUTY </t>
  </si>
  <si>
    <t xml:space="preserve"> BATTISTEL </t>
  </si>
  <si>
    <t xml:space="preserve"> HAKKIOGLU </t>
  </si>
  <si>
    <t xml:space="preserve"> Suat </t>
  </si>
  <si>
    <t xml:space="preserve"> JALOUNEIX </t>
  </si>
  <si>
    <t xml:space="preserve"> HEGUE </t>
  </si>
  <si>
    <t xml:space="preserve"> SEON </t>
  </si>
  <si>
    <t xml:space="preserve"> DELOBELLE </t>
  </si>
  <si>
    <t xml:space="preserve"> PICQUART </t>
  </si>
  <si>
    <t xml:space="preserve"> CAPILLA </t>
  </si>
  <si>
    <t xml:space="preserve"> PLU </t>
  </si>
  <si>
    <t xml:space="preserve"> DESNOES </t>
  </si>
  <si>
    <t xml:space="preserve"> VANHALLEWYN </t>
  </si>
  <si>
    <t xml:space="preserve"> SEIMANDI </t>
  </si>
  <si>
    <t xml:space="preserve"> WACHET </t>
  </si>
  <si>
    <t xml:space="preserve"> LATO </t>
  </si>
  <si>
    <t xml:space="preserve"> BOUFFAY </t>
  </si>
  <si>
    <t xml:space="preserve"> BRISTEAU </t>
  </si>
  <si>
    <t xml:space="preserve"> BOZELLE </t>
  </si>
  <si>
    <t xml:space="preserve"> ASSEMAN </t>
  </si>
  <si>
    <t xml:space="preserve"> MARSAULT </t>
  </si>
  <si>
    <t xml:space="preserve"> BRUGER </t>
  </si>
  <si>
    <t xml:space="preserve"> FAGES </t>
  </si>
  <si>
    <t xml:space="preserve"> WATRINET </t>
  </si>
  <si>
    <t xml:space="preserve"> PLOU </t>
  </si>
  <si>
    <t xml:space="preserve"> Joaquin </t>
  </si>
  <si>
    <t xml:space="preserve"> WINKLER </t>
  </si>
  <si>
    <t xml:space="preserve"> NORREEL </t>
  </si>
  <si>
    <t xml:space="preserve"> LAPAIRE </t>
  </si>
  <si>
    <t xml:space="preserve"> LACROUX </t>
  </si>
  <si>
    <t xml:space="preserve"> MEDAR </t>
  </si>
  <si>
    <t xml:space="preserve"> ROBIC </t>
  </si>
  <si>
    <t xml:space="preserve"> SARASAR </t>
  </si>
  <si>
    <t xml:space="preserve"> SCOTTE </t>
  </si>
  <si>
    <t xml:space="preserve"> SPERANDINI </t>
  </si>
  <si>
    <t xml:space="preserve"> BUOT </t>
  </si>
  <si>
    <t xml:space="preserve"> MARCILLY </t>
  </si>
  <si>
    <t xml:space="preserve"> PECOME </t>
  </si>
  <si>
    <t xml:space="preserve"> DI PONIO </t>
  </si>
  <si>
    <t xml:space="preserve"> CREQUY </t>
  </si>
  <si>
    <t xml:space="preserve"> BIGONI </t>
  </si>
  <si>
    <t xml:space="preserve"> VRIET </t>
  </si>
  <si>
    <t xml:space="preserve"> FREMON </t>
  </si>
  <si>
    <t xml:space="preserve"> LE QUERE </t>
  </si>
  <si>
    <t xml:space="preserve"> ZINGLE </t>
  </si>
  <si>
    <t xml:space="preserve"> BARBIERE </t>
  </si>
  <si>
    <t xml:space="preserve"> Sergio </t>
  </si>
  <si>
    <t xml:space="preserve"> PATAY CP </t>
  </si>
  <si>
    <t xml:space="preserve"> MIGNARD </t>
  </si>
  <si>
    <t xml:space="preserve"> VERONESE </t>
  </si>
  <si>
    <t xml:space="preserve"> DELIERS </t>
  </si>
  <si>
    <t xml:space="preserve"> GRAZON </t>
  </si>
  <si>
    <t xml:space="preserve"> BALDINI </t>
  </si>
  <si>
    <t xml:space="preserve"> DAUXOIS </t>
  </si>
  <si>
    <t xml:space="preserve"> Nghia dung </t>
  </si>
  <si>
    <t xml:space="preserve"> BADIN </t>
  </si>
  <si>
    <t xml:space="preserve"> MARATHEE </t>
  </si>
  <si>
    <t xml:space="preserve"> PUEYO PALACIN </t>
  </si>
  <si>
    <t xml:space="preserve"> DELSAUT </t>
  </si>
  <si>
    <t xml:space="preserve"> HENG </t>
  </si>
  <si>
    <t xml:space="preserve"> Chhoun </t>
  </si>
  <si>
    <t xml:space="preserve"> BARDONESCHI </t>
  </si>
  <si>
    <t xml:space="preserve"> GALASSI </t>
  </si>
  <si>
    <t xml:space="preserve"> FRUMENCE </t>
  </si>
  <si>
    <t xml:space="preserve"> WALLON </t>
  </si>
  <si>
    <t xml:space="preserve"> DUNET </t>
  </si>
  <si>
    <t xml:space="preserve"> CACCIOLA </t>
  </si>
  <si>
    <t xml:space="preserve"> GALEA </t>
  </si>
  <si>
    <t xml:space="preserve"> SEGUI </t>
  </si>
  <si>
    <t xml:space="preserve"> GAVEAU </t>
  </si>
  <si>
    <t xml:space="preserve"> AMEN </t>
  </si>
  <si>
    <t xml:space="preserve"> BALAZS </t>
  </si>
  <si>
    <t xml:space="preserve"> LAPRAY </t>
  </si>
  <si>
    <t xml:space="preserve"> CONVERCY </t>
  </si>
  <si>
    <t xml:space="preserve"> Zavier </t>
  </si>
  <si>
    <t xml:space="preserve"> GARGUIER </t>
  </si>
  <si>
    <t xml:space="preserve"> RACAPE </t>
  </si>
  <si>
    <t xml:space="preserve"> MORELLI </t>
  </si>
  <si>
    <t xml:space="preserve"> FRUHAUF </t>
  </si>
  <si>
    <t xml:space="preserve"> LEVIS </t>
  </si>
  <si>
    <t xml:space="preserve"> RISS </t>
  </si>
  <si>
    <t xml:space="preserve"> TICHET </t>
  </si>
  <si>
    <t xml:space="preserve"> CHOFFARDET </t>
  </si>
  <si>
    <t xml:space="preserve"> MIRO </t>
  </si>
  <si>
    <t xml:space="preserve"> Luis arturo </t>
  </si>
  <si>
    <t xml:space="preserve"> LETENNEUR </t>
  </si>
  <si>
    <t xml:space="preserve"> FRANCART </t>
  </si>
  <si>
    <t xml:space="preserve"> TOP SPIN 45 </t>
  </si>
  <si>
    <t xml:space="preserve"> JUANOLA </t>
  </si>
  <si>
    <t xml:space="preserve"> GRUWEZ </t>
  </si>
  <si>
    <t xml:space="preserve"> BUN </t>
  </si>
  <si>
    <t xml:space="preserve"> TREBERN </t>
  </si>
  <si>
    <t xml:space="preserve"> KERMAREC </t>
  </si>
  <si>
    <t xml:space="preserve"> ORFEUIL </t>
  </si>
  <si>
    <t xml:space="preserve"> CAMPOS </t>
  </si>
  <si>
    <t xml:space="preserve"> DAURON </t>
  </si>
  <si>
    <t xml:space="preserve"> THOMERE </t>
  </si>
  <si>
    <t xml:space="preserve"> LAMBLIN </t>
  </si>
  <si>
    <t xml:space="preserve"> ACEVAL </t>
  </si>
  <si>
    <t xml:space="preserve"> ROLLAT </t>
  </si>
  <si>
    <t xml:space="preserve"> GULLUSCIO </t>
  </si>
  <si>
    <t xml:space="preserve"> ALLAIZEAU </t>
  </si>
  <si>
    <t xml:space="preserve"> CHAUVIER </t>
  </si>
  <si>
    <t xml:space="preserve"> POULHET </t>
  </si>
  <si>
    <t xml:space="preserve"> SIMONETTO </t>
  </si>
  <si>
    <t xml:space="preserve"> LEHY </t>
  </si>
  <si>
    <t xml:space="preserve"> COLNAY </t>
  </si>
  <si>
    <t xml:space="preserve"> BLOSSIER </t>
  </si>
  <si>
    <t xml:space="preserve"> FEMOLANT </t>
  </si>
  <si>
    <t xml:space="preserve"> MARIAUX </t>
  </si>
  <si>
    <t xml:space="preserve"> LHOMMEAU </t>
  </si>
  <si>
    <t xml:space="preserve"> CABLE </t>
  </si>
  <si>
    <t xml:space="preserve"> BEGNECOURT Club </t>
  </si>
  <si>
    <t xml:space="preserve"> HINTERSTEIN </t>
  </si>
  <si>
    <t xml:space="preserve"> BARRAU </t>
  </si>
  <si>
    <t xml:space="preserve"> KRUG </t>
  </si>
  <si>
    <t xml:space="preserve"> BUSQUET </t>
  </si>
  <si>
    <t xml:space="preserve"> AMET </t>
  </si>
  <si>
    <t xml:space="preserve"> DUCHMANN </t>
  </si>
  <si>
    <t xml:space="preserve"> CADON </t>
  </si>
  <si>
    <t xml:space="preserve"> LARRAMENDY </t>
  </si>
  <si>
    <t xml:space="preserve"> BOBAY </t>
  </si>
  <si>
    <t xml:space="preserve"> GIROT </t>
  </si>
  <si>
    <t xml:space="preserve"> CALLONNEC </t>
  </si>
  <si>
    <t xml:space="preserve"> DEPOUILLE </t>
  </si>
  <si>
    <t xml:space="preserve"> FILLOLS </t>
  </si>
  <si>
    <t xml:space="preserve"> STEENSTRUP </t>
  </si>
  <si>
    <t xml:space="preserve"> Svend </t>
  </si>
  <si>
    <t xml:space="preserve"> VANSON </t>
  </si>
  <si>
    <t xml:space="preserve"> DONNART </t>
  </si>
  <si>
    <t xml:space="preserve"> SAUDEMONT </t>
  </si>
  <si>
    <t xml:space="preserve"> ROULAUD </t>
  </si>
  <si>
    <t xml:space="preserve"> GIBON </t>
  </si>
  <si>
    <t xml:space="preserve"> DEBRAY </t>
  </si>
  <si>
    <t xml:space="preserve"> GLATIGNY </t>
  </si>
  <si>
    <t xml:space="preserve"> RIGOLLIER </t>
  </si>
  <si>
    <t xml:space="preserve"> CARNEIRO </t>
  </si>
  <si>
    <t xml:space="preserve"> NONNARATH </t>
  </si>
  <si>
    <t xml:space="preserve"> Aksone </t>
  </si>
  <si>
    <t xml:space="preserve"> THOMMERET </t>
  </si>
  <si>
    <t xml:space="preserve"> GENEAU </t>
  </si>
  <si>
    <t xml:space="preserve"> PECHON </t>
  </si>
  <si>
    <t xml:space="preserve"> Lawrence </t>
  </si>
  <si>
    <t xml:space="preserve"> BASTARD </t>
  </si>
  <si>
    <t xml:space="preserve"> RIX </t>
  </si>
  <si>
    <t xml:space="preserve"> CORBION </t>
  </si>
  <si>
    <t xml:space="preserve"> FREARD </t>
  </si>
  <si>
    <t xml:space="preserve"> PAGNOT </t>
  </si>
  <si>
    <t xml:space="preserve"> MAGNIEZ </t>
  </si>
  <si>
    <t xml:space="preserve"> COLLART </t>
  </si>
  <si>
    <t xml:space="preserve"> BRAS </t>
  </si>
  <si>
    <t xml:space="preserve"> BARUDONI </t>
  </si>
  <si>
    <t xml:space="preserve"> DELAIN </t>
  </si>
  <si>
    <t xml:space="preserve"> MORAINVILLE </t>
  </si>
  <si>
    <t xml:space="preserve"> STAQUET </t>
  </si>
  <si>
    <t xml:space="preserve"> GRARE </t>
  </si>
  <si>
    <t xml:space="preserve"> SILLIARD </t>
  </si>
  <si>
    <t xml:space="preserve"> POVEDA </t>
  </si>
  <si>
    <t xml:space="preserve"> DESCANTES </t>
  </si>
  <si>
    <t xml:space="preserve"> FIGONI </t>
  </si>
  <si>
    <t xml:space="preserve"> CHEVASSON </t>
  </si>
  <si>
    <t xml:space="preserve"> MONTICO </t>
  </si>
  <si>
    <t xml:space="preserve"> LANTEZ </t>
  </si>
  <si>
    <t xml:space="preserve"> HUNAULT </t>
  </si>
  <si>
    <t xml:space="preserve"> TORREGROSSA </t>
  </si>
  <si>
    <t xml:space="preserve"> ADLOFF </t>
  </si>
  <si>
    <t xml:space="preserve"> PUECHAVY </t>
  </si>
  <si>
    <t xml:space="preserve"> CHELLE </t>
  </si>
  <si>
    <t xml:space="preserve"> MAGIER </t>
  </si>
  <si>
    <t xml:space="preserve"> MONGE </t>
  </si>
  <si>
    <t xml:space="preserve"> Edward </t>
  </si>
  <si>
    <t xml:space="preserve"> GODEFROY </t>
  </si>
  <si>
    <t xml:space="preserve"> COMPAGNE </t>
  </si>
  <si>
    <t xml:space="preserve"> UNAL </t>
  </si>
  <si>
    <t xml:space="preserve"> FALCHIER </t>
  </si>
  <si>
    <t xml:space="preserve"> DELFORGE </t>
  </si>
  <si>
    <t xml:space="preserve"> WOIRGARD </t>
  </si>
  <si>
    <t xml:space="preserve"> DAVOUST </t>
  </si>
  <si>
    <t xml:space="preserve"> GAUDOUIN </t>
  </si>
  <si>
    <t xml:space="preserve"> DEMANGEAT </t>
  </si>
  <si>
    <t xml:space="preserve"> NAZOU </t>
  </si>
  <si>
    <t xml:space="preserve"> MAGUER </t>
  </si>
  <si>
    <t xml:space="preserve"> PIFFRE </t>
  </si>
  <si>
    <t xml:space="preserve"> ROCCIA </t>
  </si>
  <si>
    <t xml:space="preserve"> ROUSSELIERE </t>
  </si>
  <si>
    <t xml:space="preserve"> WANNYN </t>
  </si>
  <si>
    <t xml:space="preserve"> GRIMARD </t>
  </si>
  <si>
    <t xml:space="preserve"> SAUER </t>
  </si>
  <si>
    <t xml:space="preserve"> BLETTERIE </t>
  </si>
  <si>
    <t xml:space="preserve"> ANTHEAUME </t>
  </si>
  <si>
    <t xml:space="preserve"> KENES </t>
  </si>
  <si>
    <t xml:space="preserve"> RIOT </t>
  </si>
  <si>
    <t xml:space="preserve"> GILLON </t>
  </si>
  <si>
    <t xml:space="preserve"> DUEZ </t>
  </si>
  <si>
    <t xml:space="preserve"> MOMPIED </t>
  </si>
  <si>
    <t xml:space="preserve"> LE BATARD </t>
  </si>
  <si>
    <t xml:space="preserve"> HAUTEKEUR </t>
  </si>
  <si>
    <t xml:space="preserve"> DELAUNEY </t>
  </si>
  <si>
    <t xml:space="preserve"> MANSART </t>
  </si>
  <si>
    <t xml:space="preserve"> FILY </t>
  </si>
  <si>
    <t xml:space="preserve"> MERDJANI </t>
  </si>
  <si>
    <t xml:space="preserve"> MOURICOU </t>
  </si>
  <si>
    <t xml:space="preserve"> LIEVREMONT </t>
  </si>
  <si>
    <t xml:space="preserve"> REVERT </t>
  </si>
  <si>
    <t xml:space="preserve"> HARLOZYNSKI </t>
  </si>
  <si>
    <t xml:space="preserve"> ALLIROL </t>
  </si>
  <si>
    <t xml:space="preserve"> ALBINNI </t>
  </si>
  <si>
    <t xml:space="preserve"> ANCELIN </t>
  </si>
  <si>
    <t xml:space="preserve"> CONNIN </t>
  </si>
  <si>
    <t xml:space="preserve"> CUTILLAS </t>
  </si>
  <si>
    <t xml:space="preserve"> Ghyslain </t>
  </si>
  <si>
    <t xml:space="preserve"> PALOYAN </t>
  </si>
  <si>
    <t xml:space="preserve"> ASTT VIENNE ST ROMAIN EN </t>
  </si>
  <si>
    <t xml:space="preserve"> TALOU </t>
  </si>
  <si>
    <t xml:space="preserve"> MORJON </t>
  </si>
  <si>
    <t xml:space="preserve"> BOURGOIN </t>
  </si>
  <si>
    <t xml:space="preserve"> D'AGOSTINO </t>
  </si>
  <si>
    <t xml:space="preserve"> REVILLION </t>
  </si>
  <si>
    <t xml:space="preserve"> ASSOC. PONGISTE VUACHE </t>
  </si>
  <si>
    <t xml:space="preserve"> MARMEY </t>
  </si>
  <si>
    <t xml:space="preserve"> MARGUILLIER </t>
  </si>
  <si>
    <t xml:space="preserve"> MONANGE </t>
  </si>
  <si>
    <t xml:space="preserve"> BELFLEUR </t>
  </si>
  <si>
    <t xml:space="preserve"> SALARD </t>
  </si>
  <si>
    <t xml:space="preserve"> GRESSENT </t>
  </si>
  <si>
    <t xml:space="preserve"> MOLINES </t>
  </si>
  <si>
    <t xml:space="preserve"> ELOY </t>
  </si>
  <si>
    <t xml:space="preserve"> STAVOLONE </t>
  </si>
  <si>
    <t xml:space="preserve"> FERT </t>
  </si>
  <si>
    <t xml:space="preserve"> CHIBAH </t>
  </si>
  <si>
    <t xml:space="preserve"> CHOQUER </t>
  </si>
  <si>
    <t xml:space="preserve"> BEN HACINE </t>
  </si>
  <si>
    <t xml:space="preserve"> TARENNE </t>
  </si>
  <si>
    <t xml:space="preserve"> BERQUÉ </t>
  </si>
  <si>
    <t xml:space="preserve"> KOUDRITCH </t>
  </si>
  <si>
    <t xml:space="preserve"> LAPLAGNE </t>
  </si>
  <si>
    <t xml:space="preserve"> Quang </t>
  </si>
  <si>
    <t xml:space="preserve"> CHANTEREAU </t>
  </si>
  <si>
    <t xml:space="preserve"> Somlith </t>
  </si>
  <si>
    <t xml:space="preserve"> TERRASSON </t>
  </si>
  <si>
    <t xml:space="preserve"> BICHERON </t>
  </si>
  <si>
    <t xml:space="preserve"> VENNEGUES </t>
  </si>
  <si>
    <t xml:space="preserve"> MANZINALI </t>
  </si>
  <si>
    <t xml:space="preserve"> MATHET </t>
  </si>
  <si>
    <t xml:space="preserve"> MAYAM </t>
  </si>
  <si>
    <t xml:space="preserve"> BOURGETEAU </t>
  </si>
  <si>
    <t xml:space="preserve"> PIROUE </t>
  </si>
  <si>
    <t xml:space="preserve"> FRAMBOISIER </t>
  </si>
  <si>
    <t xml:space="preserve"> CHAVANNE </t>
  </si>
  <si>
    <t xml:space="preserve"> TORRA </t>
  </si>
  <si>
    <t xml:space="preserve"> MIGNET </t>
  </si>
  <si>
    <t xml:space="preserve"> CASALINI </t>
  </si>
  <si>
    <t xml:space="preserve"> SECRETAIN </t>
  </si>
  <si>
    <t xml:space="preserve"> COEUR PERCHE AP </t>
  </si>
  <si>
    <t xml:space="preserve"> SCHULER </t>
  </si>
  <si>
    <t xml:space="preserve"> HUGUIER </t>
  </si>
  <si>
    <t xml:space="preserve"> POURCEAU </t>
  </si>
  <si>
    <t xml:space="preserve"> DUMAS MAILLON </t>
  </si>
  <si>
    <t xml:space="preserve"> BARREIRAS </t>
  </si>
  <si>
    <t xml:space="preserve"> RONFOT </t>
  </si>
  <si>
    <t xml:space="preserve"> GELLY </t>
  </si>
  <si>
    <t xml:space="preserve"> CHAMAILLARD </t>
  </si>
  <si>
    <t xml:space="preserve"> FABLET </t>
  </si>
  <si>
    <t xml:space="preserve"> CHATELET </t>
  </si>
  <si>
    <t xml:space="preserve"> THIEFFIN </t>
  </si>
  <si>
    <t xml:space="preserve"> FARENC </t>
  </si>
  <si>
    <t xml:space="preserve"> FROMONTEIL </t>
  </si>
  <si>
    <t xml:space="preserve"> CIMA </t>
  </si>
  <si>
    <t xml:space="preserve"> NESCI </t>
  </si>
  <si>
    <t xml:space="preserve"> Pascal bruno </t>
  </si>
  <si>
    <t xml:space="preserve"> AUBRON </t>
  </si>
  <si>
    <t xml:space="preserve"> ANTIEUL </t>
  </si>
  <si>
    <t xml:space="preserve"> MASSUS </t>
  </si>
  <si>
    <t xml:space="preserve"> LE STANGUENNEC </t>
  </si>
  <si>
    <t xml:space="preserve"> BRAEKE </t>
  </si>
  <si>
    <t xml:space="preserve"> SOLEILHAC JEAN </t>
  </si>
  <si>
    <t xml:space="preserve"> LABOURDETTE </t>
  </si>
  <si>
    <t xml:space="preserve"> CORNIC </t>
  </si>
  <si>
    <t xml:space="preserve"> BRUGUIERE </t>
  </si>
  <si>
    <t xml:space="preserve"> HARMEY </t>
  </si>
  <si>
    <t xml:space="preserve"> RIGAU </t>
  </si>
  <si>
    <t xml:space="preserve"> SANSIQUET </t>
  </si>
  <si>
    <t xml:space="preserve"> GARNODON </t>
  </si>
  <si>
    <t xml:space="preserve"> MERITET </t>
  </si>
  <si>
    <t xml:space="preserve"> BRINGAS </t>
  </si>
  <si>
    <t xml:space="preserve"> CADIO </t>
  </si>
  <si>
    <t xml:space="preserve"> BECQUAERT </t>
  </si>
  <si>
    <t xml:space="preserve"> CLABEAUT </t>
  </si>
  <si>
    <t xml:space="preserve"> DEMARECAUX </t>
  </si>
  <si>
    <t xml:space="preserve"> POUYEZ </t>
  </si>
  <si>
    <t xml:space="preserve"> CHERAMY </t>
  </si>
  <si>
    <t xml:space="preserve"> LEQUIPE </t>
  </si>
  <si>
    <t xml:space="preserve"> ROSTANT </t>
  </si>
  <si>
    <t xml:space="preserve"> OLIVAUX </t>
  </si>
  <si>
    <t xml:space="preserve"> PAPIER </t>
  </si>
  <si>
    <t xml:space="preserve"> POULOT </t>
  </si>
  <si>
    <t xml:space="preserve"> VANNARATH </t>
  </si>
  <si>
    <t xml:space="preserve"> FEDOU </t>
  </si>
  <si>
    <t xml:space="preserve"> PARPAILLON </t>
  </si>
  <si>
    <t xml:space="preserve"> BOUGIER </t>
  </si>
  <si>
    <t xml:space="preserve"> IGUENANE </t>
  </si>
  <si>
    <t xml:space="preserve"> LOEB </t>
  </si>
  <si>
    <t xml:space="preserve"> DELEU </t>
  </si>
  <si>
    <t xml:space="preserve"> DEWAILLY </t>
  </si>
  <si>
    <t xml:space="preserve"> FRAPPAT </t>
  </si>
  <si>
    <t xml:space="preserve"> DASSANCE </t>
  </si>
  <si>
    <t xml:space="preserve"> BOLLMANN </t>
  </si>
  <si>
    <t xml:space="preserve"> DEBELLE </t>
  </si>
  <si>
    <t xml:space="preserve"> GUILLARME </t>
  </si>
  <si>
    <t xml:space="preserve"> LAVIGNAC </t>
  </si>
  <si>
    <t xml:space="preserve"> BERNASCONI </t>
  </si>
  <si>
    <t xml:space="preserve"> WEGSCHEIDER </t>
  </si>
  <si>
    <t xml:space="preserve"> BONNISSENT </t>
  </si>
  <si>
    <t xml:space="preserve"> TABARDIN </t>
  </si>
  <si>
    <t xml:space="preserve"> CIUDAD </t>
  </si>
  <si>
    <t xml:space="preserve"> CHEREAU </t>
  </si>
  <si>
    <t xml:space="preserve"> DROUART </t>
  </si>
  <si>
    <t xml:space="preserve"> SAINT PERON </t>
  </si>
  <si>
    <t xml:space="preserve"> FIASCARO </t>
  </si>
  <si>
    <t xml:space="preserve"> LESQUOY </t>
  </si>
  <si>
    <t xml:space="preserve"> GAROCHE </t>
  </si>
  <si>
    <t xml:space="preserve"> DUVERNE </t>
  </si>
  <si>
    <t xml:space="preserve"> PREVOSTO </t>
  </si>
  <si>
    <t xml:space="preserve"> AUTREAU </t>
  </si>
  <si>
    <t xml:space="preserve"> GRYNBERG </t>
  </si>
  <si>
    <t xml:space="preserve"> DEFRANCE </t>
  </si>
  <si>
    <t xml:space="preserve"> HINGRAY </t>
  </si>
  <si>
    <t xml:space="preserve"> MARGOUX </t>
  </si>
  <si>
    <t xml:space="preserve"> Yoeuk </t>
  </si>
  <si>
    <t xml:space="preserve"> ALTHEIM </t>
  </si>
  <si>
    <t xml:space="preserve"> Bernhard </t>
  </si>
  <si>
    <t xml:space="preserve"> BEEHARRY </t>
  </si>
  <si>
    <t xml:space="preserve"> Balraj </t>
  </si>
  <si>
    <t xml:space="preserve"> CUZACQ </t>
  </si>
  <si>
    <t xml:space="preserve"> AL ISMAIL </t>
  </si>
  <si>
    <t xml:space="preserve"> Ismail </t>
  </si>
  <si>
    <t xml:space="preserve"> LEFRERE </t>
  </si>
  <si>
    <t xml:space="preserve"> JOUNY </t>
  </si>
  <si>
    <t xml:space="preserve"> LEGALL </t>
  </si>
  <si>
    <t xml:space="preserve"> HENRIET </t>
  </si>
  <si>
    <t xml:space="preserve"> JUBEAU </t>
  </si>
  <si>
    <t xml:space="preserve"> LOZERAND </t>
  </si>
  <si>
    <t xml:space="preserve"> SANTORO </t>
  </si>
  <si>
    <t xml:space="preserve"> Bonifacio </t>
  </si>
  <si>
    <t xml:space="preserve"> ANOTO </t>
  </si>
  <si>
    <t xml:space="preserve"> AS ROTO SPORTS </t>
  </si>
  <si>
    <t xml:space="preserve"> GIRRE </t>
  </si>
  <si>
    <t xml:space="preserve"> DHAUD </t>
  </si>
  <si>
    <t xml:space="preserve"> BAVOILLOT </t>
  </si>
  <si>
    <t xml:space="preserve"> FOUGERON </t>
  </si>
  <si>
    <t xml:space="preserve"> DUGNY </t>
  </si>
  <si>
    <t xml:space="preserve"> LETURQUE </t>
  </si>
  <si>
    <t xml:space="preserve"> CHARIGNON </t>
  </si>
  <si>
    <t xml:space="preserve"> BALAY </t>
  </si>
  <si>
    <t xml:space="preserve"> TRAN THUONG </t>
  </si>
  <si>
    <t xml:space="preserve"> Tien </t>
  </si>
  <si>
    <t xml:space="preserve"> Raphaêl </t>
  </si>
  <si>
    <t xml:space="preserve"> Louis-jacques </t>
  </si>
  <si>
    <t xml:space="preserve"> LABONNE </t>
  </si>
  <si>
    <t xml:space="preserve"> GROO </t>
  </si>
  <si>
    <t xml:space="preserve"> TOUEILLE </t>
  </si>
  <si>
    <t xml:space="preserve"> DUCHADEAU </t>
  </si>
  <si>
    <t xml:space="preserve"> AUBARET </t>
  </si>
  <si>
    <t xml:space="preserve"> DIGUET </t>
  </si>
  <si>
    <t xml:space="preserve"> DELSAUX </t>
  </si>
  <si>
    <t xml:space="preserve"> DEROCQUENCOURT </t>
  </si>
  <si>
    <t xml:space="preserve"> MURIER </t>
  </si>
  <si>
    <t xml:space="preserve"> GAYTTE </t>
  </si>
  <si>
    <t xml:space="preserve"> VIGNE </t>
  </si>
  <si>
    <t xml:space="preserve"> HAESSIG </t>
  </si>
  <si>
    <t xml:space="preserve"> Glbert </t>
  </si>
  <si>
    <t xml:space="preserve"> HINAULT </t>
  </si>
  <si>
    <t xml:space="preserve"> SCHALL </t>
  </si>
  <si>
    <t xml:space="preserve"> BRENNER </t>
  </si>
  <si>
    <t xml:space="preserve"> RIVAUX </t>
  </si>
  <si>
    <t xml:space="preserve"> DECLOEDT </t>
  </si>
  <si>
    <t xml:space="preserve"> DE MONTEYNARD </t>
  </si>
  <si>
    <t xml:space="preserve"> RAGOO </t>
  </si>
  <si>
    <t xml:space="preserve"> SIGNOLET </t>
  </si>
  <si>
    <t xml:space="preserve"> LE CALLOCH </t>
  </si>
  <si>
    <t xml:space="preserve"> ZACHAYUS </t>
  </si>
  <si>
    <t xml:space="preserve"> CHABAT </t>
  </si>
  <si>
    <t xml:space="preserve"> VIGNEAU </t>
  </si>
  <si>
    <t xml:space="preserve"> LETZELTER </t>
  </si>
  <si>
    <t xml:space="preserve"> COUVET </t>
  </si>
  <si>
    <t xml:space="preserve"> DAVIN </t>
  </si>
  <si>
    <t xml:space="preserve"> MOCKELYN </t>
  </si>
  <si>
    <t xml:space="preserve"> Frédèric </t>
  </si>
  <si>
    <t xml:space="preserve"> MEURINE </t>
  </si>
  <si>
    <t xml:space="preserve"> LASSERON </t>
  </si>
  <si>
    <t xml:space="preserve"> BARCZENSKI </t>
  </si>
  <si>
    <t xml:space="preserve"> DELLA CHIESA </t>
  </si>
  <si>
    <t xml:space="preserve"> TOUZARD </t>
  </si>
  <si>
    <t xml:space="preserve"> SETIAO-SRISONGFA </t>
  </si>
  <si>
    <t xml:space="preserve"> Ou-hinh </t>
  </si>
  <si>
    <t xml:space="preserve"> WEPIERRE </t>
  </si>
  <si>
    <t xml:space="preserve"> PECHEUR </t>
  </si>
  <si>
    <t xml:space="preserve"> CHAN-NG-YOK </t>
  </si>
  <si>
    <t xml:space="preserve"> COIGNARD </t>
  </si>
  <si>
    <t xml:space="preserve"> ORGERES A.T.T. </t>
  </si>
  <si>
    <t xml:space="preserve"> MISSE </t>
  </si>
  <si>
    <t xml:space="preserve"> FEUILLOIS </t>
  </si>
  <si>
    <t xml:space="preserve"> VAN ASSCHE </t>
  </si>
  <si>
    <t xml:space="preserve"> POIRAUD </t>
  </si>
  <si>
    <t xml:space="preserve"> SONNTAG </t>
  </si>
  <si>
    <t xml:space="preserve"> TUEUX </t>
  </si>
  <si>
    <t xml:space="preserve"> CHASTANG </t>
  </si>
  <si>
    <t xml:space="preserve"> QUINAOU </t>
  </si>
  <si>
    <t xml:space="preserve"> RAQUE </t>
  </si>
  <si>
    <t xml:space="preserve"> JAULNEAU </t>
  </si>
  <si>
    <t xml:space="preserve"> HENRIOT </t>
  </si>
  <si>
    <t xml:space="preserve"> VENDRE </t>
  </si>
  <si>
    <t xml:space="preserve"> MICHEL DE ROISSY </t>
  </si>
  <si>
    <t xml:space="preserve"> LE GOUANVIC </t>
  </si>
  <si>
    <t xml:space="preserve"> VANWALLEGHEM </t>
  </si>
  <si>
    <t xml:space="preserve"> CRAMILLY </t>
  </si>
  <si>
    <t xml:space="preserve"> DURRIEU DEMADRON </t>
  </si>
  <si>
    <t xml:space="preserve"> ASSANDRI </t>
  </si>
  <si>
    <t xml:space="preserve"> CART </t>
  </si>
  <si>
    <t xml:space="preserve"> Stany </t>
  </si>
  <si>
    <t xml:space="preserve"> AURIERE </t>
  </si>
  <si>
    <t xml:space="preserve"> LE VIOL </t>
  </si>
  <si>
    <t xml:space="preserve"> THIRY </t>
  </si>
  <si>
    <t xml:space="preserve"> VITALI </t>
  </si>
  <si>
    <t xml:space="preserve"> HENRARD </t>
  </si>
  <si>
    <t xml:space="preserve"> PARMIER </t>
  </si>
  <si>
    <t xml:space="preserve"> ARZALIER </t>
  </si>
  <si>
    <t xml:space="preserve"> XAYAVONGSACK </t>
  </si>
  <si>
    <t xml:space="preserve"> Vichit </t>
  </si>
  <si>
    <t xml:space="preserve"> REPINCAY </t>
  </si>
  <si>
    <t xml:space="preserve"> GROSCOLAS </t>
  </si>
  <si>
    <t xml:space="preserve"> LE BECHEC </t>
  </si>
  <si>
    <t xml:space="preserve"> POCHAULLE </t>
  </si>
  <si>
    <t xml:space="preserve"> PIPET </t>
  </si>
  <si>
    <t xml:space="preserve"> CAZES </t>
  </si>
  <si>
    <t xml:space="preserve"> COUEFFE </t>
  </si>
  <si>
    <t xml:space="preserve"> THUDOR </t>
  </si>
  <si>
    <t xml:space="preserve"> LAHURTE </t>
  </si>
  <si>
    <t xml:space="preserve"> LEMMENS </t>
  </si>
  <si>
    <t xml:space="preserve"> ZANONI </t>
  </si>
  <si>
    <t xml:space="preserve"> LAVENU </t>
  </si>
  <si>
    <t xml:space="preserve"> BREUVART </t>
  </si>
  <si>
    <t xml:space="preserve"> PEQUIN </t>
  </si>
  <si>
    <t xml:space="preserve"> DESMONTS </t>
  </si>
  <si>
    <t xml:space="preserve"> TURLA </t>
  </si>
  <si>
    <t xml:space="preserve"> AZZOPARDI </t>
  </si>
  <si>
    <t xml:space="preserve"> BERMOND </t>
  </si>
  <si>
    <t xml:space="preserve"> CHABERNAUD </t>
  </si>
  <si>
    <t xml:space="preserve"> CHEREZY </t>
  </si>
  <si>
    <t xml:space="preserve"> BORDINI </t>
  </si>
  <si>
    <t xml:space="preserve"> PEZAVANT </t>
  </si>
  <si>
    <t xml:space="preserve"> MALATRAT </t>
  </si>
  <si>
    <t xml:space="preserve"> BINEL </t>
  </si>
  <si>
    <t xml:space="preserve"> AGOSTINO </t>
  </si>
  <si>
    <t xml:space="preserve"> DE PAOLI </t>
  </si>
  <si>
    <t xml:space="preserve"> BIBAUT </t>
  </si>
  <si>
    <t xml:space="preserve"> VERDOÏA </t>
  </si>
  <si>
    <t xml:space="preserve"> DERREZ </t>
  </si>
  <si>
    <t xml:space="preserve"> CHALVET </t>
  </si>
  <si>
    <t xml:space="preserve"> BAILLETTE </t>
  </si>
  <si>
    <t xml:space="preserve"> ZIMMERLIN </t>
  </si>
  <si>
    <t xml:space="preserve"> ILLOUZ </t>
  </si>
  <si>
    <t xml:space="preserve"> ANE </t>
  </si>
  <si>
    <t xml:space="preserve"> LAVIGNASSE </t>
  </si>
  <si>
    <t xml:space="preserve"> GOURGUES </t>
  </si>
  <si>
    <t xml:space="preserve"> MAUCCI </t>
  </si>
  <si>
    <t xml:space="preserve"> KLELIFA </t>
  </si>
  <si>
    <t xml:space="preserve"> CORNILLET </t>
  </si>
  <si>
    <t xml:space="preserve"> King yong </t>
  </si>
  <si>
    <t xml:space="preserve"> PROM </t>
  </si>
  <si>
    <t xml:space="preserve"> Prachnha </t>
  </si>
  <si>
    <t xml:space="preserve"> CLUB TENNIS DE TABLE ARVI </t>
  </si>
  <si>
    <t xml:space="preserve"> AHUIR </t>
  </si>
  <si>
    <t xml:space="preserve"> GARLIN </t>
  </si>
  <si>
    <t xml:space="preserve"> THIESSART </t>
  </si>
  <si>
    <t xml:space="preserve"> HOLLIER </t>
  </si>
  <si>
    <t xml:space="preserve"> JEGO </t>
  </si>
  <si>
    <t xml:space="preserve"> RIFELDE </t>
  </si>
  <si>
    <t xml:space="preserve"> ZANIC </t>
  </si>
  <si>
    <t xml:space="preserve"> Darko </t>
  </si>
  <si>
    <t xml:space="preserve"> LORIN </t>
  </si>
  <si>
    <t xml:space="preserve"> LE NY </t>
  </si>
  <si>
    <t xml:space="preserve"> PING PONG OLLIOULAIS </t>
  </si>
  <si>
    <t xml:space="preserve"> MOUGENOT </t>
  </si>
  <si>
    <t xml:space="preserve"> BOUTHEMY </t>
  </si>
  <si>
    <t xml:space="preserve"> GENETTE </t>
  </si>
  <si>
    <t xml:space="preserve"> JEDREZAC </t>
  </si>
  <si>
    <t xml:space="preserve"> KLEINHANS </t>
  </si>
  <si>
    <t xml:space="preserve"> BRIDONNEAU </t>
  </si>
  <si>
    <t xml:space="preserve"> LABARTHE-DESSUS </t>
  </si>
  <si>
    <t xml:space="preserve"> DELAHAYES </t>
  </si>
  <si>
    <t xml:space="preserve"> VIGOUREUX </t>
  </si>
  <si>
    <t xml:space="preserve"> CRIBIER </t>
  </si>
  <si>
    <t xml:space="preserve"> FETU </t>
  </si>
  <si>
    <t xml:space="preserve"> VOYOT </t>
  </si>
  <si>
    <t xml:space="preserve"> VANSTAEN </t>
  </si>
  <si>
    <t xml:space="preserve"> BURET </t>
  </si>
  <si>
    <t xml:space="preserve"> LEPERT </t>
  </si>
  <si>
    <t xml:space="preserve"> HUROT </t>
  </si>
  <si>
    <t xml:space="preserve"> CONREAUX </t>
  </si>
  <si>
    <t xml:space="preserve"> GUERMONPREZ </t>
  </si>
  <si>
    <t xml:space="preserve"> ABDELHADI </t>
  </si>
  <si>
    <t xml:space="preserve"> TROTTIER </t>
  </si>
  <si>
    <t xml:space="preserve"> BOUBEL </t>
  </si>
  <si>
    <t xml:space="preserve"> BRAY </t>
  </si>
  <si>
    <t xml:space="preserve"> CAGNIOT </t>
  </si>
  <si>
    <t xml:space="preserve"> Association Sportive Paro </t>
  </si>
  <si>
    <t xml:space="preserve"> HAMMER </t>
  </si>
  <si>
    <t xml:space="preserve"> LE MAHIER </t>
  </si>
  <si>
    <t xml:space="preserve"> CASALI </t>
  </si>
  <si>
    <t xml:space="preserve"> LABORD </t>
  </si>
  <si>
    <t xml:space="preserve"> BLANCQUAERT </t>
  </si>
  <si>
    <t xml:space="preserve"> Nguyen </t>
  </si>
  <si>
    <t xml:space="preserve"> ONESIME </t>
  </si>
  <si>
    <t xml:space="preserve"> CAUCHOIS </t>
  </si>
  <si>
    <t xml:space="preserve"> LEVRIERI </t>
  </si>
  <si>
    <t xml:space="preserve"> PETIBON </t>
  </si>
  <si>
    <t xml:space="preserve"> Yvann </t>
  </si>
  <si>
    <t xml:space="preserve"> HILLEREAU </t>
  </si>
  <si>
    <t xml:space="preserve"> BENNEVEAU </t>
  </si>
  <si>
    <t xml:space="preserve"> KRAEMER </t>
  </si>
  <si>
    <t xml:space="preserve"> FAIDEAU </t>
  </si>
  <si>
    <t xml:space="preserve"> CHEBLI </t>
  </si>
  <si>
    <t xml:space="preserve"> PRINGY FAMILLES RURALES </t>
  </si>
  <si>
    <t xml:space="preserve"> MAZOT </t>
  </si>
  <si>
    <t xml:space="preserve"> GALINIER </t>
  </si>
  <si>
    <t xml:space="preserve"> BIDEAUX </t>
  </si>
  <si>
    <t xml:space="preserve"> Yvonique </t>
  </si>
  <si>
    <t xml:space="preserve"> DEVRED </t>
  </si>
  <si>
    <t xml:space="preserve"> BRUHAT </t>
  </si>
  <si>
    <t xml:space="preserve"> MARCERE </t>
  </si>
  <si>
    <t xml:space="preserve"> GOSSE </t>
  </si>
  <si>
    <t xml:space="preserve"> COEVOET </t>
  </si>
  <si>
    <t xml:space="preserve"> LOAEC </t>
  </si>
  <si>
    <t xml:space="preserve"> CHONE </t>
  </si>
  <si>
    <t xml:space="preserve"> BOISRAMÉ </t>
  </si>
  <si>
    <t xml:space="preserve"> RAZIK </t>
  </si>
  <si>
    <t xml:space="preserve"> BIET </t>
  </si>
  <si>
    <t xml:space="preserve"> Jean- marc </t>
  </si>
  <si>
    <t xml:space="preserve"> OMLOR </t>
  </si>
  <si>
    <t xml:space="preserve"> COUEDELO </t>
  </si>
  <si>
    <t xml:space="preserve"> COL </t>
  </si>
  <si>
    <t xml:space="preserve"> Josy </t>
  </si>
  <si>
    <t xml:space="preserve"> BRIARD </t>
  </si>
  <si>
    <t xml:space="preserve"> CHABAH </t>
  </si>
  <si>
    <t xml:space="preserve"> VAN DER LINDEN </t>
  </si>
  <si>
    <t xml:space="preserve"> SCHIEL </t>
  </si>
  <si>
    <t xml:space="preserve"> LE BOLZER </t>
  </si>
  <si>
    <t xml:space="preserve"> GOYET </t>
  </si>
  <si>
    <t xml:space="preserve"> JAMONEAU </t>
  </si>
  <si>
    <t xml:space="preserve"> HOAREAU </t>
  </si>
  <si>
    <t xml:space="preserve"> RABAROT </t>
  </si>
  <si>
    <t xml:space="preserve"> BASBOIS </t>
  </si>
  <si>
    <t xml:space="preserve"> PUVILLAND </t>
  </si>
  <si>
    <t xml:space="preserve"> GAVALDA </t>
  </si>
  <si>
    <t xml:space="preserve"> SWINGEDOUW </t>
  </si>
  <si>
    <t xml:space="preserve"> LEMAGOARIEC </t>
  </si>
  <si>
    <t xml:space="preserve"> MININ </t>
  </si>
  <si>
    <t xml:space="preserve"> CHACUN </t>
  </si>
  <si>
    <t xml:space="preserve"> BOUFFANDEAU </t>
  </si>
  <si>
    <t xml:space="preserve"> NOUCHI </t>
  </si>
  <si>
    <t xml:space="preserve"> SABOURIN </t>
  </si>
  <si>
    <t xml:space="preserve"> DROUMAGUET </t>
  </si>
  <si>
    <t xml:space="preserve"> GRELAT </t>
  </si>
  <si>
    <t xml:space="preserve"> BRISSEAU </t>
  </si>
  <si>
    <t xml:space="preserve"> BRIEGA </t>
  </si>
  <si>
    <t xml:space="preserve"> LUDINARD </t>
  </si>
  <si>
    <t xml:space="preserve"> AMIRAL </t>
  </si>
  <si>
    <t xml:space="preserve"> LE BAIL </t>
  </si>
  <si>
    <t xml:space="preserve"> Juan-ignacio </t>
  </si>
  <si>
    <t xml:space="preserve"> LE VIGOUROUX </t>
  </si>
  <si>
    <t xml:space="preserve"> Goulven </t>
  </si>
  <si>
    <t xml:space="preserve"> MAZURIE </t>
  </si>
  <si>
    <t xml:space="preserve"> BELLAMY </t>
  </si>
  <si>
    <t xml:space="preserve"> FALCAO MALHADO </t>
  </si>
  <si>
    <t xml:space="preserve"> Avelino pedro </t>
  </si>
  <si>
    <t xml:space="preserve"> LEMONT </t>
  </si>
  <si>
    <t xml:space="preserve"> LEVACHER </t>
  </si>
  <si>
    <t xml:space="preserve"> MAUDET </t>
  </si>
  <si>
    <t xml:space="preserve"> BOUGUIER </t>
  </si>
  <si>
    <t xml:space="preserve"> DIMUR </t>
  </si>
  <si>
    <t xml:space="preserve"> CIGAL </t>
  </si>
  <si>
    <t xml:space="preserve"> SAHM </t>
  </si>
  <si>
    <t xml:space="preserve"> Dieter </t>
  </si>
  <si>
    <t xml:space="preserve"> MIRA </t>
  </si>
  <si>
    <t xml:space="preserve"> GRANCHER </t>
  </si>
  <si>
    <t xml:space="preserve"> DUCARTON </t>
  </si>
  <si>
    <t xml:space="preserve"> LE GRANCHÉ </t>
  </si>
  <si>
    <t xml:space="preserve"> WASYKULA </t>
  </si>
  <si>
    <t xml:space="preserve"> JAUGEY </t>
  </si>
  <si>
    <t xml:space="preserve"> LEGARCON </t>
  </si>
  <si>
    <t xml:space="preserve"> AS TT BREAL </t>
  </si>
  <si>
    <t xml:space="preserve"> ANTINORI </t>
  </si>
  <si>
    <t xml:space="preserve"> KLOTZ </t>
  </si>
  <si>
    <t xml:space="preserve"> DARDENNE </t>
  </si>
  <si>
    <t xml:space="preserve"> DESTRES </t>
  </si>
  <si>
    <t xml:space="preserve"> FARGERE </t>
  </si>
  <si>
    <t xml:space="preserve"> COURTAY </t>
  </si>
  <si>
    <t xml:space="preserve"> GSTALTER </t>
  </si>
  <si>
    <t xml:space="preserve"> BILLOT </t>
  </si>
  <si>
    <t xml:space="preserve"> PIRO </t>
  </si>
  <si>
    <t xml:space="preserve"> GILBART </t>
  </si>
  <si>
    <t xml:space="preserve"> SANTOS DOMINGUES </t>
  </si>
  <si>
    <t xml:space="preserve"> SAUREL </t>
  </si>
  <si>
    <t xml:space="preserve"> LAGUEYRIE </t>
  </si>
  <si>
    <t xml:space="preserve"> LARZILLERE </t>
  </si>
  <si>
    <t xml:space="preserve"> JOHNSON </t>
  </si>
  <si>
    <t xml:space="preserve"> Silas </t>
  </si>
  <si>
    <t xml:space="preserve"> TAVANI </t>
  </si>
  <si>
    <t xml:space="preserve"> CAVANAC </t>
  </si>
  <si>
    <t xml:space="preserve"> BREBAN </t>
  </si>
  <si>
    <t xml:space="preserve"> MOENNE </t>
  </si>
  <si>
    <t xml:space="preserve"> CORDELOIS </t>
  </si>
  <si>
    <t xml:space="preserve"> BISMUTH </t>
  </si>
  <si>
    <t xml:space="preserve"> HUEBER </t>
  </si>
  <si>
    <t xml:space="preserve"> PETER </t>
  </si>
  <si>
    <t xml:space="preserve"> BIGOTTE </t>
  </si>
  <si>
    <t xml:space="preserve"> PARGADE </t>
  </si>
  <si>
    <t xml:space="preserve"> BOCIAN </t>
  </si>
  <si>
    <t xml:space="preserve"> ZOLYNIAK </t>
  </si>
  <si>
    <t xml:space="preserve"> GUILLAUD </t>
  </si>
  <si>
    <t xml:space="preserve"> PETOLAS </t>
  </si>
  <si>
    <t xml:space="preserve"> JOFFRIN </t>
  </si>
  <si>
    <t xml:space="preserve"> CARFANTAN </t>
  </si>
  <si>
    <t xml:space="preserve"> OLLIVON </t>
  </si>
  <si>
    <t xml:space="preserve"> AIGUIER </t>
  </si>
  <si>
    <t xml:space="preserve"> MATARASSO </t>
  </si>
  <si>
    <t xml:space="preserve"> DEL VOLGO </t>
  </si>
  <si>
    <t xml:space="preserve"> POLIAUTRE </t>
  </si>
  <si>
    <t xml:space="preserve"> AVOT </t>
  </si>
  <si>
    <t xml:space="preserve"> Stanis </t>
  </si>
  <si>
    <t xml:space="preserve"> PRIME </t>
  </si>
  <si>
    <t xml:space="preserve"> COLINET </t>
  </si>
  <si>
    <t xml:space="preserve"> DAUSSET </t>
  </si>
  <si>
    <t xml:space="preserve"> SAINT LEGER </t>
  </si>
  <si>
    <t xml:space="preserve"> PONSI </t>
  </si>
  <si>
    <t xml:space="preserve"> VICENS MOYA </t>
  </si>
  <si>
    <t xml:space="preserve"> GIOVANNI </t>
  </si>
  <si>
    <t xml:space="preserve"> CHERNIER </t>
  </si>
  <si>
    <t xml:space="preserve"> VILLERETTE </t>
  </si>
  <si>
    <t xml:space="preserve"> MAGNES </t>
  </si>
  <si>
    <t xml:space="preserve"> SOLIGNAC </t>
  </si>
  <si>
    <t xml:space="preserve"> GUERITTE </t>
  </si>
  <si>
    <t xml:space="preserve"> LIEZ </t>
  </si>
  <si>
    <t xml:space="preserve"> BAUVY </t>
  </si>
  <si>
    <t xml:space="preserve"> SARMIENTO </t>
  </si>
  <si>
    <t xml:space="preserve"> CONTASSOT </t>
  </si>
  <si>
    <t xml:space="preserve"> DELBEGUE </t>
  </si>
  <si>
    <t xml:space="preserve"> LAZE </t>
  </si>
  <si>
    <t xml:space="preserve"> LANDRA </t>
  </si>
  <si>
    <t xml:space="preserve"> PIPERE </t>
  </si>
  <si>
    <t xml:space="preserve"> MADELAINE </t>
  </si>
  <si>
    <t xml:space="preserve"> LEGAUD </t>
  </si>
  <si>
    <t xml:space="preserve"> RAABERG </t>
  </si>
  <si>
    <t xml:space="preserve"> MIGLIORE </t>
  </si>
  <si>
    <t xml:space="preserve"> GADILHE </t>
  </si>
  <si>
    <t xml:space="preserve"> DROUAL </t>
  </si>
  <si>
    <t xml:space="preserve"> HANDEL </t>
  </si>
  <si>
    <t xml:space="preserve"> BERCHE </t>
  </si>
  <si>
    <t xml:space="preserve"> NOVINCE </t>
  </si>
  <si>
    <t xml:space="preserve"> FIGUREAU </t>
  </si>
  <si>
    <t xml:space="preserve"> GONNOT </t>
  </si>
  <si>
    <t xml:space="preserve"> PEARD </t>
  </si>
  <si>
    <t xml:space="preserve"> BORDEAU </t>
  </si>
  <si>
    <t xml:space="preserve"> WOJTKOWIAK </t>
  </si>
  <si>
    <t xml:space="preserve"> BRIEAU </t>
  </si>
  <si>
    <t xml:space="preserve"> EYRAUD </t>
  </si>
  <si>
    <t xml:space="preserve"> DUVERCEAU </t>
  </si>
  <si>
    <t xml:space="preserve"> LERIDON </t>
  </si>
  <si>
    <t xml:space="preserve"> PAPAIN </t>
  </si>
  <si>
    <t xml:space="preserve"> MANGEL </t>
  </si>
  <si>
    <t xml:space="preserve"> AMODRU </t>
  </si>
  <si>
    <t xml:space="preserve"> JOUHANNEAU </t>
  </si>
  <si>
    <t xml:space="preserve"> MANSUELA </t>
  </si>
  <si>
    <t xml:space="preserve"> HERBST </t>
  </si>
  <si>
    <t xml:space="preserve"> Lorenz </t>
  </si>
  <si>
    <t xml:space="preserve"> GOUTTENOIRE </t>
  </si>
  <si>
    <t xml:space="preserve"> THULLIER </t>
  </si>
  <si>
    <t xml:space="preserve"> POREAUX </t>
  </si>
  <si>
    <t xml:space="preserve"> PINGOT </t>
  </si>
  <si>
    <t xml:space="preserve"> CAHIERRE </t>
  </si>
  <si>
    <t xml:space="preserve"> ROUSSALY </t>
  </si>
  <si>
    <t xml:space="preserve"> SEMPE </t>
  </si>
  <si>
    <t xml:space="preserve"> DIEBOLD </t>
  </si>
  <si>
    <t xml:space="preserve"> CAMPAGNIE </t>
  </si>
  <si>
    <t xml:space="preserve"> GUMEZ </t>
  </si>
  <si>
    <t xml:space="preserve"> LEIZA </t>
  </si>
  <si>
    <t xml:space="preserve"> Sindo </t>
  </si>
  <si>
    <t xml:space="preserve"> CORMERAIS </t>
  </si>
  <si>
    <t xml:space="preserve"> ROCHERON </t>
  </si>
  <si>
    <t xml:space="preserve"> MALBRANQUE </t>
  </si>
  <si>
    <t xml:space="preserve"> PAGES </t>
  </si>
  <si>
    <t xml:space="preserve"> CAUGANT </t>
  </si>
  <si>
    <t xml:space="preserve"> DOMIS </t>
  </si>
  <si>
    <t xml:space="preserve"> BAUMARD </t>
  </si>
  <si>
    <t xml:space="preserve"> MALDANT </t>
  </si>
  <si>
    <t xml:space="preserve"> JONCKHEERE </t>
  </si>
  <si>
    <t xml:space="preserve"> LAUFER </t>
  </si>
  <si>
    <t xml:space="preserve"> BOUFFAULT </t>
  </si>
  <si>
    <t xml:space="preserve"> NIEL </t>
  </si>
  <si>
    <t xml:space="preserve"> SOULAIRE ET BOURG PING PO </t>
  </si>
  <si>
    <t xml:space="preserve"> FIEVRE </t>
  </si>
  <si>
    <t xml:space="preserve"> RABIANT </t>
  </si>
  <si>
    <t xml:space="preserve"> LA HOGUETTE FR </t>
  </si>
  <si>
    <t xml:space="preserve"> SAINT-POL </t>
  </si>
  <si>
    <t xml:space="preserve"> MENAUD </t>
  </si>
  <si>
    <t xml:space="preserve"> PENNEQUIN </t>
  </si>
  <si>
    <t xml:space="preserve"> GOUYET </t>
  </si>
  <si>
    <t xml:space="preserve"> CANDELIBES </t>
  </si>
  <si>
    <t xml:space="preserve"> MAY </t>
  </si>
  <si>
    <t xml:space="preserve"> FICAT </t>
  </si>
  <si>
    <t xml:space="preserve"> CORRUBLE </t>
  </si>
  <si>
    <t xml:space="preserve"> DEMELIN </t>
  </si>
  <si>
    <t xml:space="preserve"> CABIRON </t>
  </si>
  <si>
    <t xml:space="preserve"> THOMAIN </t>
  </si>
  <si>
    <t xml:space="preserve"> Amael </t>
  </si>
  <si>
    <t xml:space="preserve"> PICHAT </t>
  </si>
  <si>
    <t xml:space="preserve"> HISCHKE </t>
  </si>
  <si>
    <t xml:space="preserve"> BESSAC </t>
  </si>
  <si>
    <t xml:space="preserve"> CASTOR </t>
  </si>
  <si>
    <t xml:space="preserve"> BAFFREY </t>
  </si>
  <si>
    <t xml:space="preserve"> MESSIN </t>
  </si>
  <si>
    <t xml:space="preserve"> AZALBERT </t>
  </si>
  <si>
    <t xml:space="preserve"> GASPAR </t>
  </si>
  <si>
    <t xml:space="preserve"> TESI </t>
  </si>
  <si>
    <t xml:space="preserve"> VENTORINO </t>
  </si>
  <si>
    <t xml:space="preserve"> PHAVORIN </t>
  </si>
  <si>
    <t xml:space="preserve"> RETHORE </t>
  </si>
  <si>
    <t xml:space="preserve"> SALA </t>
  </si>
  <si>
    <t xml:space="preserve"> PIGNON </t>
  </si>
  <si>
    <t xml:space="preserve"> LESOUEF </t>
  </si>
  <si>
    <t xml:space="preserve"> SEVEN </t>
  </si>
  <si>
    <t xml:space="preserve"> LUCCHETTI </t>
  </si>
  <si>
    <t xml:space="preserve"> BARBONNE TENNIS DE TABLE </t>
  </si>
  <si>
    <t xml:space="preserve"> MAINFRAY </t>
  </si>
  <si>
    <t xml:space="preserve"> COUGNOUX </t>
  </si>
  <si>
    <t xml:space="preserve"> REMARS </t>
  </si>
  <si>
    <t xml:space="preserve"> CHANEBOUX </t>
  </si>
  <si>
    <t xml:space="preserve"> L.C. RANDAN </t>
  </si>
  <si>
    <t xml:space="preserve"> DELCAMP </t>
  </si>
  <si>
    <t xml:space="preserve"> SZETERLAK </t>
  </si>
  <si>
    <t xml:space="preserve"> PERIAUT </t>
  </si>
  <si>
    <t xml:space="preserve"> KOUZMITCH </t>
  </si>
  <si>
    <t xml:space="preserve"> PUYMIRAIL </t>
  </si>
  <si>
    <t xml:space="preserve"> JAMEN </t>
  </si>
  <si>
    <t xml:space="preserve"> TAUNAY </t>
  </si>
  <si>
    <t xml:space="preserve"> BLACODON </t>
  </si>
  <si>
    <t xml:space="preserve"> DE MASSIAS DE BONNE </t>
  </si>
  <si>
    <t xml:space="preserve"> ALLAL </t>
  </si>
  <si>
    <t xml:space="preserve"> INCABY </t>
  </si>
  <si>
    <t xml:space="preserve"> MOUNIS </t>
  </si>
  <si>
    <t xml:space="preserve"> ETIEN </t>
  </si>
  <si>
    <t xml:space="preserve"> SUDRES </t>
  </si>
  <si>
    <t xml:space="preserve"> DUPAU </t>
  </si>
  <si>
    <t xml:space="preserve"> FRANCHI </t>
  </si>
  <si>
    <t xml:space="preserve"> LANDRIT </t>
  </si>
  <si>
    <t xml:space="preserve"> LORBER </t>
  </si>
  <si>
    <t xml:space="preserve"> DISTEFANO </t>
  </si>
  <si>
    <t xml:space="preserve"> BIZIEUX </t>
  </si>
  <si>
    <t xml:space="preserve"> SAINTIN </t>
  </si>
  <si>
    <t xml:space="preserve"> DOHM </t>
  </si>
  <si>
    <t xml:space="preserve"> AUBLIN </t>
  </si>
  <si>
    <t xml:space="preserve"> POLIS </t>
  </si>
  <si>
    <t xml:space="preserve"> CANCHO </t>
  </si>
  <si>
    <t xml:space="preserve"> ODOT </t>
  </si>
  <si>
    <t xml:space="preserve"> RINGENBACH </t>
  </si>
  <si>
    <t xml:space="preserve"> FANZUTTI </t>
  </si>
  <si>
    <t xml:space="preserve"> REMEGEAU </t>
  </si>
  <si>
    <t xml:space="preserve"> Josselyn </t>
  </si>
  <si>
    <t xml:space="preserve"> MARRET </t>
  </si>
  <si>
    <t xml:space="preserve"> PANZANI </t>
  </si>
  <si>
    <t xml:space="preserve"> Patrick mathieu </t>
  </si>
  <si>
    <t xml:space="preserve"> BENTOLILA </t>
  </si>
  <si>
    <t xml:space="preserve"> DE LATAILLADE </t>
  </si>
  <si>
    <t xml:space="preserve"> OUNOUGHI </t>
  </si>
  <si>
    <t xml:space="preserve"> Meziane </t>
  </si>
  <si>
    <t xml:space="preserve"> HOLLIER LAROUSSE </t>
  </si>
  <si>
    <t xml:space="preserve"> CLEMENTINE </t>
  </si>
  <si>
    <t xml:space="preserve"> DECOURCELLE </t>
  </si>
  <si>
    <t xml:space="preserve"> DESJARDIN </t>
  </si>
  <si>
    <t xml:space="preserve"> LARSON </t>
  </si>
  <si>
    <t xml:space="preserve"> MONTELEON </t>
  </si>
  <si>
    <t xml:space="preserve"> BARJOU </t>
  </si>
  <si>
    <t xml:space="preserve"> LOCHE </t>
  </si>
  <si>
    <t xml:space="preserve"> DANQUIGNY </t>
  </si>
  <si>
    <t xml:space="preserve"> QUERRIEL </t>
  </si>
  <si>
    <t xml:space="preserve"> BARRABE </t>
  </si>
  <si>
    <t xml:space="preserve"> TAILLIEU </t>
  </si>
  <si>
    <t xml:space="preserve"> ROUVIDANT </t>
  </si>
  <si>
    <t xml:space="preserve"> TONNOIR </t>
  </si>
  <si>
    <t xml:space="preserve"> QUESADA </t>
  </si>
  <si>
    <t xml:space="preserve"> MARIE-JOSEPH </t>
  </si>
  <si>
    <t xml:space="preserve"> VERDREL </t>
  </si>
  <si>
    <t xml:space="preserve"> BUSCAYLET </t>
  </si>
  <si>
    <t xml:space="preserve"> MARTIN-GRIES </t>
  </si>
  <si>
    <t xml:space="preserve"> GUILHEM </t>
  </si>
  <si>
    <t xml:space="preserve"> CARAYON </t>
  </si>
  <si>
    <t xml:space="preserve"> RIEGEL </t>
  </si>
  <si>
    <t xml:space="preserve"> MALLINJOUD </t>
  </si>
  <si>
    <t xml:space="preserve"> ROCHEDREUX </t>
  </si>
  <si>
    <t xml:space="preserve"> LE DUEY </t>
  </si>
  <si>
    <t xml:space="preserve"> DE GUBERNATIS </t>
  </si>
  <si>
    <t xml:space="preserve"> TOUYA </t>
  </si>
  <si>
    <t xml:space="preserve"> NOZAHIC </t>
  </si>
  <si>
    <t xml:space="preserve"> VALENZA </t>
  </si>
  <si>
    <t xml:space="preserve"> VINCENDON-DUC </t>
  </si>
  <si>
    <t xml:space="preserve"> BILLIARD </t>
  </si>
  <si>
    <t xml:space="preserve"> BRIONNET </t>
  </si>
  <si>
    <t xml:space="preserve"> WEINGARTNER </t>
  </si>
  <si>
    <t xml:space="preserve"> ESPI </t>
  </si>
  <si>
    <t xml:space="preserve"> JACQ </t>
  </si>
  <si>
    <t xml:space="preserve"> PHANTHONGSING </t>
  </si>
  <si>
    <t xml:space="preserve"> CARABY </t>
  </si>
  <si>
    <t xml:space="preserve"> SUSZEK </t>
  </si>
  <si>
    <t xml:space="preserve"> DELOUIS </t>
  </si>
  <si>
    <t xml:space="preserve"> WASCAT </t>
  </si>
  <si>
    <t xml:space="preserve"> BOUSSIS </t>
  </si>
  <si>
    <t xml:space="preserve"> AUBERGER </t>
  </si>
  <si>
    <t xml:space="preserve"> NIQUE </t>
  </si>
  <si>
    <t xml:space="preserve"> GUSTIN </t>
  </si>
  <si>
    <t xml:space="preserve"> HELLEC </t>
  </si>
  <si>
    <t xml:space="preserve"> LE GOFFIC </t>
  </si>
  <si>
    <t xml:space="preserve"> PECHER </t>
  </si>
  <si>
    <t xml:space="preserve"> BRULANT </t>
  </si>
  <si>
    <t xml:space="preserve"> LE PERFF </t>
  </si>
  <si>
    <t xml:space="preserve"> RANDRIANARIVELO </t>
  </si>
  <si>
    <t xml:space="preserve"> Prince </t>
  </si>
  <si>
    <t xml:space="preserve"> HILPERT </t>
  </si>
  <si>
    <t xml:space="preserve"> MASFRANCKX </t>
  </si>
  <si>
    <t xml:space="preserve"> FLAGEOLLET </t>
  </si>
  <si>
    <t xml:space="preserve"> VIARGUES </t>
  </si>
  <si>
    <t xml:space="preserve"> PAVOT </t>
  </si>
  <si>
    <t xml:space="preserve"> TACHET </t>
  </si>
  <si>
    <t xml:space="preserve"> CAHU </t>
  </si>
  <si>
    <t xml:space="preserve"> QUADOUT </t>
  </si>
  <si>
    <t xml:space="preserve"> CHARDON </t>
  </si>
  <si>
    <t xml:space="preserve"> COUDRIER </t>
  </si>
  <si>
    <t xml:space="preserve"> SCHUBERT </t>
  </si>
  <si>
    <t xml:space="preserve"> VASSAS </t>
  </si>
  <si>
    <t xml:space="preserve"> TOUET </t>
  </si>
  <si>
    <t xml:space="preserve"> BONNOMET </t>
  </si>
  <si>
    <t xml:space="preserve"> LIART PPC </t>
  </si>
  <si>
    <t xml:space="preserve"> PLAS </t>
  </si>
  <si>
    <t xml:space="preserve"> PILTE </t>
  </si>
  <si>
    <t xml:space="preserve"> FERLIN </t>
  </si>
  <si>
    <t xml:space="preserve"> BERNAUDIN </t>
  </si>
  <si>
    <t xml:space="preserve"> MEGIER </t>
  </si>
  <si>
    <t xml:space="preserve"> BALLY </t>
  </si>
  <si>
    <t xml:space="preserve"> GOHIER </t>
  </si>
  <si>
    <t xml:space="preserve"> FERREIRA DA PIEDADE </t>
  </si>
  <si>
    <t xml:space="preserve"> MADELRIEU </t>
  </si>
  <si>
    <t xml:space="preserve"> AL KANAWATI </t>
  </si>
  <si>
    <t xml:space="preserve"> BALOCCO </t>
  </si>
  <si>
    <t xml:space="preserve"> FORTE </t>
  </si>
  <si>
    <t xml:space="preserve"> COURNUT </t>
  </si>
  <si>
    <t xml:space="preserve"> COUDOUGNAN </t>
  </si>
  <si>
    <t xml:space="preserve"> MANISZEWSKI </t>
  </si>
  <si>
    <t xml:space="preserve"> MOUELLIC </t>
  </si>
  <si>
    <t xml:space="preserve"> ACOSTA </t>
  </si>
  <si>
    <t xml:space="preserve"> DELAS </t>
  </si>
  <si>
    <t xml:space="preserve"> CHAMPENIER </t>
  </si>
  <si>
    <t xml:space="preserve"> BUNIET </t>
  </si>
  <si>
    <t xml:space="preserve"> BEUDARD </t>
  </si>
  <si>
    <t xml:space="preserve"> RIOS </t>
  </si>
  <si>
    <t xml:space="preserve"> BIENERT </t>
  </si>
  <si>
    <t xml:space="preserve"> SOMBARDIER </t>
  </si>
  <si>
    <t xml:space="preserve"> ALOCCIO </t>
  </si>
  <si>
    <t xml:space="preserve"> LAFOUX </t>
  </si>
  <si>
    <t xml:space="preserve"> BETTINI </t>
  </si>
  <si>
    <t xml:space="preserve"> KARCZEWSKI </t>
  </si>
  <si>
    <t xml:space="preserve"> LLAMAS </t>
  </si>
  <si>
    <t xml:space="preserve"> FONTENIT </t>
  </si>
  <si>
    <t xml:space="preserve"> MINNE </t>
  </si>
  <si>
    <t xml:space="preserve"> BEST </t>
  </si>
  <si>
    <t xml:space="preserve"> BASTIDE DE GRAVE </t>
  </si>
  <si>
    <t xml:space="preserve"> BUZZI </t>
  </si>
  <si>
    <t xml:space="preserve"> BLED </t>
  </si>
  <si>
    <t xml:space="preserve"> DIOSO </t>
  </si>
  <si>
    <t xml:space="preserve"> DURSAPT </t>
  </si>
  <si>
    <t xml:space="preserve"> JANC </t>
  </si>
  <si>
    <t xml:space="preserve"> SANZ </t>
  </si>
  <si>
    <t xml:space="preserve"> SPILERS </t>
  </si>
  <si>
    <t xml:space="preserve"> CIBERT GOTON </t>
  </si>
  <si>
    <t xml:space="preserve"> TAILLEZ </t>
  </si>
  <si>
    <t xml:space="preserve"> REBIER </t>
  </si>
  <si>
    <t xml:space="preserve"> LEVIER </t>
  </si>
  <si>
    <t xml:space="preserve"> AMESLON </t>
  </si>
  <si>
    <t xml:space="preserve"> Jeannot </t>
  </si>
  <si>
    <t xml:space="preserve"> DEVOIR </t>
  </si>
  <si>
    <t xml:space="preserve"> MOLINU </t>
  </si>
  <si>
    <t xml:space="preserve"> CAVILLON </t>
  </si>
  <si>
    <t xml:space="preserve"> CHARRUAULT </t>
  </si>
  <si>
    <t xml:space="preserve"> GODEL </t>
  </si>
  <si>
    <t xml:space="preserve"> DALGALARRONDO </t>
  </si>
  <si>
    <t xml:space="preserve"> TRIAU </t>
  </si>
  <si>
    <t xml:space="preserve"> TOUFFET </t>
  </si>
  <si>
    <t xml:space="preserve"> BLES </t>
  </si>
  <si>
    <t xml:space="preserve"> Aubin </t>
  </si>
  <si>
    <t xml:space="preserve"> BUHOT </t>
  </si>
  <si>
    <t xml:space="preserve"> IIZUKA </t>
  </si>
  <si>
    <t xml:space="preserve"> Yoshihiko </t>
  </si>
  <si>
    <t xml:space="preserve"> DE AVEIRO </t>
  </si>
  <si>
    <t xml:space="preserve"> José avelino </t>
  </si>
  <si>
    <t xml:space="preserve"> Vong </t>
  </si>
  <si>
    <t xml:space="preserve"> MOSNIER </t>
  </si>
  <si>
    <t xml:space="preserve"> PASBECQ </t>
  </si>
  <si>
    <t xml:space="preserve"> CELMA </t>
  </si>
  <si>
    <t xml:space="preserve"> VALY </t>
  </si>
  <si>
    <t xml:space="preserve"> NOUAL </t>
  </si>
  <si>
    <t xml:space="preserve"> COQUE </t>
  </si>
  <si>
    <t xml:space="preserve"> Jany </t>
  </si>
  <si>
    <t xml:space="preserve"> PICOURE </t>
  </si>
  <si>
    <t xml:space="preserve"> LEFAUX </t>
  </si>
  <si>
    <t xml:space="preserve"> NEZOU </t>
  </si>
  <si>
    <t xml:space="preserve"> COQUILLAT </t>
  </si>
  <si>
    <t xml:space="preserve"> DESMAISONS </t>
  </si>
  <si>
    <t xml:space="preserve"> HOUSET </t>
  </si>
  <si>
    <t xml:space="preserve"> FOLTRAN </t>
  </si>
  <si>
    <t xml:space="preserve"> LIZARRIBAR </t>
  </si>
  <si>
    <t xml:space="preserve"> Jatsu </t>
  </si>
  <si>
    <t xml:space="preserve"> CATOIS </t>
  </si>
  <si>
    <t xml:space="preserve"> CHAUTARD </t>
  </si>
  <si>
    <t xml:space="preserve"> Règis </t>
  </si>
  <si>
    <t xml:space="preserve"> THELEM ASSURANCES </t>
  </si>
  <si>
    <t xml:space="preserve"> BENSALAH </t>
  </si>
  <si>
    <t xml:space="preserve"> FONFREIDE </t>
  </si>
  <si>
    <t xml:space="preserve"> TREVIEN </t>
  </si>
  <si>
    <t xml:space="preserve"> CORIC </t>
  </si>
  <si>
    <t xml:space="preserve"> LY-BINGLER </t>
  </si>
  <si>
    <t xml:space="preserve"> Thérakun </t>
  </si>
  <si>
    <t xml:space="preserve"> MARCOTTE </t>
  </si>
  <si>
    <t xml:space="preserve"> GREAU </t>
  </si>
  <si>
    <t xml:space="preserve"> BOURJOT </t>
  </si>
  <si>
    <t xml:space="preserve"> VANDEWEEGHE </t>
  </si>
  <si>
    <t xml:space="preserve"> GRESSER </t>
  </si>
  <si>
    <t xml:space="preserve"> VILLEMAGNE </t>
  </si>
  <si>
    <t xml:space="preserve"> GROSSI </t>
  </si>
  <si>
    <t xml:space="preserve"> MESNIER </t>
  </si>
  <si>
    <t xml:space="preserve"> DERAMBURE </t>
  </si>
  <si>
    <t xml:space="preserve"> MACCHIETTI </t>
  </si>
  <si>
    <t xml:space="preserve"> ALBERTINI </t>
  </si>
  <si>
    <t xml:space="preserve"> RINGOT </t>
  </si>
  <si>
    <t xml:space="preserve"> DAVESNES </t>
  </si>
  <si>
    <t xml:space="preserve"> MIROUX </t>
  </si>
  <si>
    <t xml:space="preserve"> GUILLORIT </t>
  </si>
  <si>
    <t xml:space="preserve"> UDRON </t>
  </si>
  <si>
    <t xml:space="preserve"> BOUDEILLE </t>
  </si>
  <si>
    <t xml:space="preserve"> CACCIATORE </t>
  </si>
  <si>
    <t xml:space="preserve"> MAESTRE </t>
  </si>
  <si>
    <t xml:space="preserve"> BISSEY </t>
  </si>
  <si>
    <t xml:space="preserve"> TUFFRAUD </t>
  </si>
  <si>
    <t xml:space="preserve"> PEYRET LACOMBE </t>
  </si>
  <si>
    <t xml:space="preserve"> ADOUZI </t>
  </si>
  <si>
    <t xml:space="preserve"> ZENATI </t>
  </si>
  <si>
    <t xml:space="preserve"> Mokrane </t>
  </si>
  <si>
    <t xml:space="preserve"> MICHALET </t>
  </si>
  <si>
    <t xml:space="preserve"> CAMBRA </t>
  </si>
  <si>
    <t xml:space="preserve"> WARGNY </t>
  </si>
  <si>
    <t xml:space="preserve"> FORGEOIS </t>
  </si>
  <si>
    <t xml:space="preserve"> BONINGRE </t>
  </si>
  <si>
    <t xml:space="preserve"> FRAIGNEAU </t>
  </si>
  <si>
    <t xml:space="preserve"> GIFFAULT </t>
  </si>
  <si>
    <t xml:space="preserve"> BAGI </t>
  </si>
  <si>
    <t xml:space="preserve"> PEISSON </t>
  </si>
  <si>
    <t xml:space="preserve"> KOULICHE </t>
  </si>
  <si>
    <t xml:space="preserve"> BROUET </t>
  </si>
  <si>
    <t xml:space="preserve"> PARRONNAUD </t>
  </si>
  <si>
    <t xml:space="preserve"> DERFLA </t>
  </si>
  <si>
    <t xml:space="preserve"> BUU </t>
  </si>
  <si>
    <t xml:space="preserve"> Vinh bau </t>
  </si>
  <si>
    <t xml:space="preserve"> ATIA </t>
  </si>
  <si>
    <t xml:space="preserve"> Amgad </t>
  </si>
  <si>
    <t xml:space="preserve"> DESCARPENTRIES </t>
  </si>
  <si>
    <t xml:space="preserve"> NOIROT </t>
  </si>
  <si>
    <t xml:space="preserve"> ORTIZ DE ZARATE </t>
  </si>
  <si>
    <t xml:space="preserve"> HAUCHARD </t>
  </si>
  <si>
    <t xml:space="preserve"> ANDRO </t>
  </si>
  <si>
    <t xml:space="preserve"> TALIC </t>
  </si>
  <si>
    <t xml:space="preserve"> Adil </t>
  </si>
  <si>
    <t xml:space="preserve"> THIZY </t>
  </si>
  <si>
    <t xml:space="preserve"> LE BOEDEC </t>
  </si>
  <si>
    <t xml:space="preserve"> MOUCHIROUD </t>
  </si>
  <si>
    <t xml:space="preserve"> TAMISIER </t>
  </si>
  <si>
    <t xml:space="preserve"> HERSTAIN </t>
  </si>
  <si>
    <t xml:space="preserve"> ROHAN </t>
  </si>
  <si>
    <t xml:space="preserve"> JANICOT </t>
  </si>
  <si>
    <t xml:space="preserve"> FOUILLAT </t>
  </si>
  <si>
    <t xml:space="preserve"> POURMONET </t>
  </si>
  <si>
    <t xml:space="preserve"> FERJOUX </t>
  </si>
  <si>
    <t xml:space="preserve"> FOURY </t>
  </si>
  <si>
    <t xml:space="preserve"> LOQUIER </t>
  </si>
  <si>
    <t xml:space="preserve"> LETHEUX </t>
  </si>
  <si>
    <t xml:space="preserve"> DE RAGO </t>
  </si>
  <si>
    <t xml:space="preserve"> LEFÉVÈRE </t>
  </si>
  <si>
    <t xml:space="preserve"> RADOU </t>
  </si>
  <si>
    <t xml:space="preserve"> LACOUX </t>
  </si>
  <si>
    <t xml:space="preserve"> AFFLEVILLE ASC </t>
  </si>
  <si>
    <t xml:space="preserve"> VISSUZAINE </t>
  </si>
  <si>
    <t xml:space="preserve"> ECHASSERIEAU </t>
  </si>
  <si>
    <t xml:space="preserve"> TROCHUT </t>
  </si>
  <si>
    <t xml:space="preserve"> LE HAZIF </t>
  </si>
  <si>
    <t xml:space="preserve"> BANNINO </t>
  </si>
  <si>
    <t xml:space="preserve"> GIBOULOT </t>
  </si>
  <si>
    <t xml:space="preserve"> DREVENSEK </t>
  </si>
  <si>
    <t xml:space="preserve"> OPPEL </t>
  </si>
  <si>
    <t xml:space="preserve"> RIES </t>
  </si>
  <si>
    <t xml:space="preserve"> MERMET-BOUVIER </t>
  </si>
  <si>
    <t xml:space="preserve"> MICHALIKOVA </t>
  </si>
  <si>
    <t xml:space="preserve"> BEURRIER </t>
  </si>
  <si>
    <t xml:space="preserve"> POISAT </t>
  </si>
  <si>
    <t xml:space="preserve"> Malek </t>
  </si>
  <si>
    <t xml:space="preserve"> HURTE </t>
  </si>
  <si>
    <t xml:space="preserve"> LEBAHY </t>
  </si>
  <si>
    <t xml:space="preserve"> MARIUS LE PRINCE </t>
  </si>
  <si>
    <t xml:space="preserve"> DUDOUIT </t>
  </si>
  <si>
    <t xml:space="preserve"> MASURIER </t>
  </si>
  <si>
    <t xml:space="preserve"> PEDRERO </t>
  </si>
  <si>
    <t xml:space="preserve"> DELOUSTAL </t>
  </si>
  <si>
    <t xml:space="preserve"> LEBOUVIER </t>
  </si>
  <si>
    <t xml:space="preserve"> HISLEN </t>
  </si>
  <si>
    <t xml:space="preserve"> VERBECK </t>
  </si>
  <si>
    <t xml:space="preserve"> CHEUSSET </t>
  </si>
  <si>
    <t xml:space="preserve"> AUSSIETTE </t>
  </si>
  <si>
    <t xml:space="preserve"> BOIREAU </t>
  </si>
  <si>
    <t xml:space="preserve"> RIHAY </t>
  </si>
  <si>
    <t xml:space="preserve"> BILLAULT </t>
  </si>
  <si>
    <t xml:space="preserve"> CAMBRAY </t>
  </si>
  <si>
    <t xml:space="preserve"> REGIN </t>
  </si>
  <si>
    <t xml:space="preserve"> GOUGET </t>
  </si>
  <si>
    <t xml:space="preserve"> BERGAMINI </t>
  </si>
  <si>
    <t xml:space="preserve"> CABALLERO </t>
  </si>
  <si>
    <t xml:space="preserve"> BACHMANN </t>
  </si>
  <si>
    <t xml:space="preserve"> TROUILLOT </t>
  </si>
  <si>
    <t xml:space="preserve"> PESTANA </t>
  </si>
  <si>
    <t xml:space="preserve"> LEDOUX </t>
  </si>
  <si>
    <t xml:space="preserve"> MIMAULT </t>
  </si>
  <si>
    <t xml:space="preserve"> ZAWADZKI </t>
  </si>
  <si>
    <t xml:space="preserve"> DELGADO </t>
  </si>
  <si>
    <t xml:space="preserve"> ANDREANI </t>
  </si>
  <si>
    <t xml:space="preserve"> AUTIN </t>
  </si>
  <si>
    <t xml:space="preserve"> PORTELANCE </t>
  </si>
  <si>
    <t xml:space="preserve"> PONNIN </t>
  </si>
  <si>
    <t xml:space="preserve"> Baradidassane </t>
  </si>
  <si>
    <t xml:space="preserve"> ERTEL </t>
  </si>
  <si>
    <t xml:space="preserve"> DRUAIS </t>
  </si>
  <si>
    <t xml:space="preserve"> VOLMUNSTER F.J. </t>
  </si>
  <si>
    <t xml:space="preserve"> SOFIA </t>
  </si>
  <si>
    <t xml:space="preserve"> VERPLANKEN </t>
  </si>
  <si>
    <t xml:space="preserve"> ROLIN </t>
  </si>
  <si>
    <t xml:space="preserve"> Jean-alain </t>
  </si>
  <si>
    <t xml:space="preserve"> BERROU </t>
  </si>
  <si>
    <t xml:space="preserve"> Derek </t>
  </si>
  <si>
    <t xml:space="preserve"> NION </t>
  </si>
  <si>
    <t xml:space="preserve"> SIBERT </t>
  </si>
  <si>
    <t xml:space="preserve"> LE BRECH </t>
  </si>
  <si>
    <t xml:space="preserve"> DUPUITS </t>
  </si>
  <si>
    <t xml:space="preserve"> MOTHRE </t>
  </si>
  <si>
    <t xml:space="preserve"> MPT 4 montagnes VILLARD D </t>
  </si>
  <si>
    <t xml:space="preserve"> DEQUICK </t>
  </si>
  <si>
    <t xml:space="preserve"> LE CLERC </t>
  </si>
  <si>
    <t xml:space="preserve"> MODUGNO </t>
  </si>
  <si>
    <t xml:space="preserve"> Biagio </t>
  </si>
  <si>
    <t xml:space="preserve"> CADIOT </t>
  </si>
  <si>
    <t xml:space="preserve"> FRANCISOUD </t>
  </si>
  <si>
    <t xml:space="preserve"> HOSTALIER </t>
  </si>
  <si>
    <t xml:space="preserve"> LAZARUS </t>
  </si>
  <si>
    <t xml:space="preserve"> SKYRONKA </t>
  </si>
  <si>
    <t xml:space="preserve"> SIDLER </t>
  </si>
  <si>
    <t xml:space="preserve"> NASSIET </t>
  </si>
  <si>
    <t xml:space="preserve"> ROUXIN </t>
  </si>
  <si>
    <t xml:space="preserve"> CUSUMANO </t>
  </si>
  <si>
    <t xml:space="preserve"> LE BESCOND </t>
  </si>
  <si>
    <t xml:space="preserve"> HAIDAR </t>
  </si>
  <si>
    <t xml:space="preserve"> Khalil </t>
  </si>
  <si>
    <t xml:space="preserve"> OUDET </t>
  </si>
  <si>
    <t xml:space="preserve"> RIOUAL </t>
  </si>
  <si>
    <t xml:space="preserve"> GAUFICHON </t>
  </si>
  <si>
    <t xml:space="preserve"> AYGALENQ </t>
  </si>
  <si>
    <t xml:space="preserve"> ICHTERTZ </t>
  </si>
  <si>
    <t xml:space="preserve"> WISCHNIEWSKI </t>
  </si>
  <si>
    <t xml:space="preserve"> DRENO </t>
  </si>
  <si>
    <t xml:space="preserve"> VIGNEUX </t>
  </si>
  <si>
    <t xml:space="preserve"> GENINI </t>
  </si>
  <si>
    <t xml:space="preserve"> SCARSET </t>
  </si>
  <si>
    <t xml:space="preserve"> BENSAIDI </t>
  </si>
  <si>
    <t xml:space="preserve"> Hocine </t>
  </si>
  <si>
    <t xml:space="preserve"> MARCHON </t>
  </si>
  <si>
    <t xml:space="preserve"> SAVATON </t>
  </si>
  <si>
    <t xml:space="preserve"> FAUVERGUE </t>
  </si>
  <si>
    <t xml:space="preserve"> QUESTEL </t>
  </si>
  <si>
    <t xml:space="preserve"> LAFFORT </t>
  </si>
  <si>
    <t xml:space="preserve"> LEFESSANT </t>
  </si>
  <si>
    <t xml:space="preserve"> LADUREE </t>
  </si>
  <si>
    <t xml:space="preserve"> PRESSOIR </t>
  </si>
  <si>
    <t xml:space="preserve"> MESPLES </t>
  </si>
  <si>
    <t xml:space="preserve"> DEFAUT </t>
  </si>
  <si>
    <t xml:space="preserve"> VAQUIER </t>
  </si>
  <si>
    <t xml:space="preserve"> SIETTE </t>
  </si>
  <si>
    <t xml:space="preserve"> HELDT </t>
  </si>
  <si>
    <t xml:space="preserve"> DEROUA </t>
  </si>
  <si>
    <t xml:space="preserve"> GODDON </t>
  </si>
  <si>
    <t xml:space="preserve"> GUINCHARD </t>
  </si>
  <si>
    <t xml:space="preserve"> HOFMANN </t>
  </si>
  <si>
    <t xml:space="preserve"> DEBYTERE </t>
  </si>
  <si>
    <t xml:space="preserve"> Vital </t>
  </si>
  <si>
    <t xml:space="preserve"> HENRIST </t>
  </si>
  <si>
    <t xml:space="preserve"> RUELLE </t>
  </si>
  <si>
    <t xml:space="preserve"> ZOZIME </t>
  </si>
  <si>
    <t xml:space="preserve"> BENON </t>
  </si>
  <si>
    <t xml:space="preserve"> LAUGIER </t>
  </si>
  <si>
    <t xml:space="preserve"> BONDIS </t>
  </si>
  <si>
    <t xml:space="preserve"> BARBRY </t>
  </si>
  <si>
    <t xml:space="preserve"> BREHERET </t>
  </si>
  <si>
    <t xml:space="preserve"> ADJAOUT </t>
  </si>
  <si>
    <t xml:space="preserve"> Abdelhamid </t>
  </si>
  <si>
    <t xml:space="preserve"> BELISON </t>
  </si>
  <si>
    <t xml:space="preserve"> RIOULT </t>
  </si>
  <si>
    <t xml:space="preserve"> DABILLY </t>
  </si>
  <si>
    <t xml:space="preserve"> DEBIAIS </t>
  </si>
  <si>
    <t xml:space="preserve"> CHAMBRY </t>
  </si>
  <si>
    <t xml:space="preserve"> VOJINOVITCH </t>
  </si>
  <si>
    <t xml:space="preserve"> CASSIN </t>
  </si>
  <si>
    <t xml:space="preserve"> ESTEVENON </t>
  </si>
  <si>
    <t xml:space="preserve"> DESCOURS </t>
  </si>
  <si>
    <t xml:space="preserve"> SQUELBUT </t>
  </si>
  <si>
    <t xml:space="preserve"> MONTROL </t>
  </si>
  <si>
    <t xml:space="preserve"> MASTELLOTTO </t>
  </si>
  <si>
    <t xml:space="preserve"> FEGHOUL </t>
  </si>
  <si>
    <t xml:space="preserve"> JORGE </t>
  </si>
  <si>
    <t xml:space="preserve"> BERNARDO </t>
  </si>
  <si>
    <t xml:space="preserve"> SOUDEE </t>
  </si>
  <si>
    <t xml:space="preserve"> TARTEAUT </t>
  </si>
  <si>
    <t xml:space="preserve"> FREYBURGER </t>
  </si>
  <si>
    <t xml:space="preserve"> MONTANA </t>
  </si>
  <si>
    <t xml:space="preserve"> QUIJANO </t>
  </si>
  <si>
    <t xml:space="preserve"> GOY </t>
  </si>
  <si>
    <t xml:space="preserve"> COPYANS </t>
  </si>
  <si>
    <t xml:space="preserve"> ALTMEYERHENZIEN </t>
  </si>
  <si>
    <t xml:space="preserve"> DESBORDES </t>
  </si>
  <si>
    <t xml:space="preserve"> FAVIA </t>
  </si>
  <si>
    <t xml:space="preserve"> CORNETTE </t>
  </si>
  <si>
    <t xml:space="preserve"> LANDRAUD </t>
  </si>
  <si>
    <t xml:space="preserve"> BOUDGHENE STAMBOULI </t>
  </si>
  <si>
    <t xml:space="preserve"> Djamal </t>
  </si>
  <si>
    <t xml:space="preserve"> DEBAY </t>
  </si>
  <si>
    <t xml:space="preserve"> DESCORS </t>
  </si>
  <si>
    <t xml:space="preserve"> LEBEL </t>
  </si>
  <si>
    <t xml:space="preserve"> BADMINGTON </t>
  </si>
  <si>
    <t xml:space="preserve"> GRUET </t>
  </si>
  <si>
    <t xml:space="preserve"> TRICHEUX </t>
  </si>
  <si>
    <t xml:space="preserve"> PERRUTEL </t>
  </si>
  <si>
    <t xml:space="preserve"> CAPY </t>
  </si>
  <si>
    <t xml:space="preserve"> DELESTRAIN </t>
  </si>
  <si>
    <t xml:space="preserve"> FENETRE </t>
  </si>
  <si>
    <t xml:space="preserve"> CHENAVIER </t>
  </si>
  <si>
    <t xml:space="preserve"> FRESIER </t>
  </si>
  <si>
    <t xml:space="preserve"> René-luc </t>
  </si>
  <si>
    <t xml:space="preserve"> BIRRINI </t>
  </si>
  <si>
    <t xml:space="preserve"> GROUZE </t>
  </si>
  <si>
    <t xml:space="preserve"> GOADEC </t>
  </si>
  <si>
    <t xml:space="preserve"> TOUTFAIRE </t>
  </si>
  <si>
    <t xml:space="preserve"> MONGISON </t>
  </si>
  <si>
    <t xml:space="preserve"> DESUSCLADE </t>
  </si>
  <si>
    <t xml:space="preserve"> MOUCHE </t>
  </si>
  <si>
    <t xml:space="preserve"> LE MONTAGNER </t>
  </si>
  <si>
    <t xml:space="preserve"> GALERON </t>
  </si>
  <si>
    <t xml:space="preserve"> ROSSIGNON </t>
  </si>
  <si>
    <t xml:space="preserve"> BERTONI </t>
  </si>
  <si>
    <t xml:space="preserve"> GARNY </t>
  </si>
  <si>
    <t xml:space="preserve"> DRAGON </t>
  </si>
  <si>
    <t xml:space="preserve"> GAMAURY </t>
  </si>
  <si>
    <t xml:space="preserve"> VEISLINGER </t>
  </si>
  <si>
    <t xml:space="preserve"> FILLON </t>
  </si>
  <si>
    <t xml:space="preserve"> Guy-denis </t>
  </si>
  <si>
    <t xml:space="preserve"> LOCQUET </t>
  </si>
  <si>
    <t xml:space="preserve"> BLONDELLE </t>
  </si>
  <si>
    <t xml:space="preserve"> COLLIER </t>
  </si>
  <si>
    <t xml:space="preserve"> BARNOUIN </t>
  </si>
  <si>
    <t xml:space="preserve"> CHERMEUX </t>
  </si>
  <si>
    <t xml:space="preserve"> HALLOT </t>
  </si>
  <si>
    <t xml:space="preserve"> BOURSILLON </t>
  </si>
  <si>
    <t xml:space="preserve"> BONSERGENT </t>
  </si>
  <si>
    <t xml:space="preserve"> TLUSTEK </t>
  </si>
  <si>
    <t xml:space="preserve"> LATAMIE </t>
  </si>
  <si>
    <t xml:space="preserve"> GRAZIANO </t>
  </si>
  <si>
    <t xml:space="preserve"> DESCHIN </t>
  </si>
  <si>
    <t xml:space="preserve"> DESTEE </t>
  </si>
  <si>
    <t xml:space="preserve"> MEDER </t>
  </si>
  <si>
    <t xml:space="preserve"> LAMBALLAIS </t>
  </si>
  <si>
    <t xml:space="preserve"> COTTO </t>
  </si>
  <si>
    <t xml:space="preserve"> MANGEAT </t>
  </si>
  <si>
    <t xml:space="preserve"> GAGNE </t>
  </si>
  <si>
    <t xml:space="preserve"> TOKARZ </t>
  </si>
  <si>
    <t xml:space="preserve"> VIVICORSI </t>
  </si>
  <si>
    <t xml:space="preserve"> DUMAND </t>
  </si>
  <si>
    <t xml:space="preserve"> BOULO </t>
  </si>
  <si>
    <t xml:space="preserve"> GAMOT </t>
  </si>
  <si>
    <t xml:space="preserve"> FIASSON </t>
  </si>
  <si>
    <t xml:space="preserve"> JOURNEAULT </t>
  </si>
  <si>
    <t xml:space="preserve"> DESCHODT </t>
  </si>
  <si>
    <t xml:space="preserve"> BIRONNEAU </t>
  </si>
  <si>
    <t xml:space="preserve"> METE </t>
  </si>
  <si>
    <t xml:space="preserve"> Kim </t>
  </si>
  <si>
    <t xml:space="preserve"> DUDOGNON </t>
  </si>
  <si>
    <t xml:space="preserve"> JEANSOLIN </t>
  </si>
  <si>
    <t xml:space="preserve"> BIRAGHI </t>
  </si>
  <si>
    <t xml:space="preserve"> CAZZARO </t>
  </si>
  <si>
    <t xml:space="preserve"> HEMONT </t>
  </si>
  <si>
    <t xml:space="preserve"> POTTECHER </t>
  </si>
  <si>
    <t xml:space="preserve"> SORLUT </t>
  </si>
  <si>
    <t xml:space="preserve"> ACKER </t>
  </si>
  <si>
    <t xml:space="preserve"> VANPOUCKE </t>
  </si>
  <si>
    <t xml:space="preserve"> PLEDEL </t>
  </si>
  <si>
    <t xml:space="preserve"> BINQUET </t>
  </si>
  <si>
    <t xml:space="preserve"> BRONDY </t>
  </si>
  <si>
    <t xml:space="preserve"> NIFFELS </t>
  </si>
  <si>
    <t xml:space="preserve"> THEUVEUNAUX </t>
  </si>
  <si>
    <t xml:space="preserve"> AUNEAU </t>
  </si>
  <si>
    <t xml:space="preserve"> LAFFAY </t>
  </si>
  <si>
    <t xml:space="preserve"> LONGCHAMP </t>
  </si>
  <si>
    <t xml:space="preserve"> ARABIA </t>
  </si>
  <si>
    <t xml:space="preserve"> BRUNETTE </t>
  </si>
  <si>
    <t xml:space="preserve"> GENIS </t>
  </si>
  <si>
    <t xml:space="preserve"> DESJOURS </t>
  </si>
  <si>
    <t xml:space="preserve"> MOLARD </t>
  </si>
  <si>
    <t xml:space="preserve"> SADRIN </t>
  </si>
  <si>
    <t xml:space="preserve"> BIDOT </t>
  </si>
  <si>
    <t xml:space="preserve"> BOBON </t>
  </si>
  <si>
    <t xml:space="preserve"> MACQUET </t>
  </si>
  <si>
    <t xml:space="preserve"> DOROTTE </t>
  </si>
  <si>
    <t xml:space="preserve"> WETZER </t>
  </si>
  <si>
    <t xml:space="preserve"> DEMOUZON </t>
  </si>
  <si>
    <t xml:space="preserve"> ADRAGNA </t>
  </si>
  <si>
    <t xml:space="preserve"> PLANCHON </t>
  </si>
  <si>
    <t xml:space="preserve"> CERQUEIRA </t>
  </si>
  <si>
    <t xml:space="preserve"> REBEYROLES </t>
  </si>
  <si>
    <t xml:space="preserve"> PALIERNE </t>
  </si>
  <si>
    <t xml:space="preserve"> DELATRE </t>
  </si>
  <si>
    <t xml:space="preserve"> RANAIVOSON </t>
  </si>
  <si>
    <t xml:space="preserve"> Andriamparantso </t>
  </si>
  <si>
    <t xml:space="preserve"> CHALVIDAL </t>
  </si>
  <si>
    <t xml:space="preserve"> LE MARHADOUR </t>
  </si>
  <si>
    <t xml:space="preserve"> IORDAN </t>
  </si>
  <si>
    <t xml:space="preserve"> Werner </t>
  </si>
  <si>
    <t xml:space="preserve"> ASBERT </t>
  </si>
  <si>
    <t xml:space="preserve"> JEANNETON </t>
  </si>
  <si>
    <t xml:space="preserve"> LABORDE </t>
  </si>
  <si>
    <t xml:space="preserve"> LESTAS </t>
  </si>
  <si>
    <t xml:space="preserve"> HOREAU </t>
  </si>
  <si>
    <t xml:space="preserve"> GAUNEAU </t>
  </si>
  <si>
    <t xml:space="preserve"> CHAMPIN </t>
  </si>
  <si>
    <t xml:space="preserve"> LALOUPE </t>
  </si>
  <si>
    <t xml:space="preserve"> BONNART </t>
  </si>
  <si>
    <t xml:space="preserve"> DELAPIERRE </t>
  </si>
  <si>
    <t xml:space="preserve"> LACOMBLEZ </t>
  </si>
  <si>
    <t xml:space="preserve"> NICOD </t>
  </si>
  <si>
    <t xml:space="preserve"> BREUX </t>
  </si>
  <si>
    <t xml:space="preserve"> BONIMEUX </t>
  </si>
  <si>
    <t xml:space="preserve"> PREVOS </t>
  </si>
  <si>
    <t xml:space="preserve"> Pierre-alexis </t>
  </si>
  <si>
    <t xml:space="preserve"> DAUSSE </t>
  </si>
  <si>
    <t xml:space="preserve"> CHALAL </t>
  </si>
  <si>
    <t xml:space="preserve"> BELTRANDO </t>
  </si>
  <si>
    <t xml:space="preserve"> BOCAHUT </t>
  </si>
  <si>
    <t xml:space="preserve"> BULIN </t>
  </si>
  <si>
    <t xml:space="preserve"> CHANTELOT </t>
  </si>
  <si>
    <t xml:space="preserve"> COMMER </t>
  </si>
  <si>
    <t xml:space="preserve"> BRANCHARD </t>
  </si>
  <si>
    <t xml:space="preserve"> HAWECKER </t>
  </si>
  <si>
    <t xml:space="preserve"> GOUVERNANT </t>
  </si>
  <si>
    <t xml:space="preserve"> HERVAGAULT </t>
  </si>
  <si>
    <t xml:space="preserve"> GINCETRE </t>
  </si>
  <si>
    <t xml:space="preserve"> KLAJMIC </t>
  </si>
  <si>
    <t xml:space="preserve"> LE MOUEL </t>
  </si>
  <si>
    <t xml:space="preserve"> EHRMANN </t>
  </si>
  <si>
    <t xml:space="preserve"> DARNOUX </t>
  </si>
  <si>
    <t xml:space="preserve"> PEQUIGNOT </t>
  </si>
  <si>
    <t xml:space="preserve"> BIAS </t>
  </si>
  <si>
    <t xml:space="preserve"> Ramon </t>
  </si>
  <si>
    <t xml:space="preserve"> SAURIN </t>
  </si>
  <si>
    <t xml:space="preserve"> ANGELE </t>
  </si>
  <si>
    <t xml:space="preserve"> SOLYLO </t>
  </si>
  <si>
    <t xml:space="preserve"> COUEGNAS </t>
  </si>
  <si>
    <t xml:space="preserve"> PICCIN </t>
  </si>
  <si>
    <t xml:space="preserve"> TENNIS DE TABLE DES COMBR </t>
  </si>
  <si>
    <t xml:space="preserve"> PITAUT </t>
  </si>
  <si>
    <t xml:space="preserve"> DERMIGNY </t>
  </si>
  <si>
    <t xml:space="preserve"> DE ORTA </t>
  </si>
  <si>
    <t xml:space="preserve"> PECHINE </t>
  </si>
  <si>
    <t xml:space="preserve"> DANTIGNY </t>
  </si>
  <si>
    <t xml:space="preserve"> SALEINE </t>
  </si>
  <si>
    <t xml:space="preserve"> VANSUYPEENE </t>
  </si>
  <si>
    <t xml:space="preserve"> PAQUEZ </t>
  </si>
  <si>
    <t xml:space="preserve"> SOUPLET </t>
  </si>
  <si>
    <t xml:space="preserve"> MERCIER BROSSE </t>
  </si>
  <si>
    <t xml:space="preserve"> MORARDET </t>
  </si>
  <si>
    <t xml:space="preserve"> HAMIDOUCHE </t>
  </si>
  <si>
    <t xml:space="preserve"> BERARD DE MALAVAS </t>
  </si>
  <si>
    <t xml:space="preserve"> COURTINE </t>
  </si>
  <si>
    <t xml:space="preserve"> LE SAP TT </t>
  </si>
  <si>
    <t xml:space="preserve"> STICKELMANN </t>
  </si>
  <si>
    <t xml:space="preserve"> GRISTI </t>
  </si>
  <si>
    <t xml:space="preserve"> LESIOURD </t>
  </si>
  <si>
    <t xml:space="preserve"> SANTUS </t>
  </si>
  <si>
    <t xml:space="preserve"> OSCHE </t>
  </si>
  <si>
    <t xml:space="preserve"> ORVEN </t>
  </si>
  <si>
    <t xml:space="preserve"> LE MIGNON </t>
  </si>
  <si>
    <t xml:space="preserve"> GOFFIN </t>
  </si>
  <si>
    <t xml:space="preserve"> LAVILLETTE </t>
  </si>
  <si>
    <t xml:space="preserve"> STRUZZO </t>
  </si>
  <si>
    <t xml:space="preserve"> FRAGNAUD </t>
  </si>
  <si>
    <t xml:space="preserve"> SAMBON </t>
  </si>
  <si>
    <t xml:space="preserve"> CRONIER </t>
  </si>
  <si>
    <t xml:space="preserve"> MAUVAIS </t>
  </si>
  <si>
    <t xml:space="preserve"> BOUMEDJANE </t>
  </si>
  <si>
    <t xml:space="preserve"> Karim abdelkrim </t>
  </si>
  <si>
    <t xml:space="preserve"> BAUDRON </t>
  </si>
  <si>
    <t xml:space="preserve"> YVETOT </t>
  </si>
  <si>
    <t xml:space="preserve"> VILCOT </t>
  </si>
  <si>
    <t xml:space="preserve"> HERSIN </t>
  </si>
  <si>
    <t xml:space="preserve"> ECHAPPE </t>
  </si>
  <si>
    <t xml:space="preserve"> BRIDOUX </t>
  </si>
  <si>
    <t xml:space="preserve"> TRANCHANT </t>
  </si>
  <si>
    <t xml:space="preserve"> Mona </t>
  </si>
  <si>
    <t xml:space="preserve"> SWERTVAEGHER </t>
  </si>
  <si>
    <t xml:space="preserve"> POINCHEVAL </t>
  </si>
  <si>
    <t xml:space="preserve"> SEEBURGER </t>
  </si>
  <si>
    <t xml:space="preserve"> FRAIGNAUD </t>
  </si>
  <si>
    <t xml:space="preserve"> MAILLIET </t>
  </si>
  <si>
    <t xml:space="preserve"> PERRE </t>
  </si>
  <si>
    <t xml:space="preserve"> DELMARRE </t>
  </si>
  <si>
    <t xml:space="preserve"> CHAVAUDRET </t>
  </si>
  <si>
    <t xml:space="preserve"> FEYER </t>
  </si>
  <si>
    <t xml:space="preserve"> BREVART </t>
  </si>
  <si>
    <t xml:space="preserve"> POLSELLI </t>
  </si>
  <si>
    <t xml:space="preserve"> COUROUNET </t>
  </si>
  <si>
    <t xml:space="preserve"> LEMOSSE </t>
  </si>
  <si>
    <t xml:space="preserve"> MORNAC </t>
  </si>
  <si>
    <t xml:space="preserve"> REBOULET </t>
  </si>
  <si>
    <t xml:space="preserve"> INREP </t>
  </si>
  <si>
    <t xml:space="preserve"> DE BETTIGNIES </t>
  </si>
  <si>
    <t xml:space="preserve"> LASSAINE </t>
  </si>
  <si>
    <t xml:space="preserve"> PENVERNE </t>
  </si>
  <si>
    <t xml:space="preserve"> CHAVENTRE </t>
  </si>
  <si>
    <t xml:space="preserve"> Gerry </t>
  </si>
  <si>
    <t xml:space="preserve"> BERTOLINI </t>
  </si>
  <si>
    <t xml:space="preserve"> MOULAY </t>
  </si>
  <si>
    <t xml:space="preserve"> Quang hoan vu </t>
  </si>
  <si>
    <t xml:space="preserve"> CHARIOT </t>
  </si>
  <si>
    <t xml:space="preserve"> PLASSANT </t>
  </si>
  <si>
    <t xml:space="preserve"> GEORGIEFF </t>
  </si>
  <si>
    <t xml:space="preserve"> MOINIER </t>
  </si>
  <si>
    <t xml:space="preserve"> TRICOT </t>
  </si>
  <si>
    <t xml:space="preserve"> ENSERET </t>
  </si>
  <si>
    <t xml:space="preserve"> JORDY </t>
  </si>
  <si>
    <t xml:space="preserve"> PERNOT </t>
  </si>
  <si>
    <t xml:space="preserve"> LA </t>
  </si>
  <si>
    <t xml:space="preserve"> BUNODIERE </t>
  </si>
  <si>
    <t xml:space="preserve"> Valter </t>
  </si>
  <si>
    <t xml:space="preserve"> BOZEC </t>
  </si>
  <si>
    <t xml:space="preserve"> BUIRETTE </t>
  </si>
  <si>
    <t xml:space="preserve"> TURGY </t>
  </si>
  <si>
    <t xml:space="preserve"> BROCHEC </t>
  </si>
  <si>
    <t xml:space="preserve"> CONNAN </t>
  </si>
  <si>
    <t xml:space="preserve"> LANDORMY </t>
  </si>
  <si>
    <t xml:space="preserve"> SIBOUT </t>
  </si>
  <si>
    <t xml:space="preserve"> LANCO </t>
  </si>
  <si>
    <t xml:space="preserve"> VAUCELLE </t>
  </si>
  <si>
    <t xml:space="preserve"> FARJOT </t>
  </si>
  <si>
    <t xml:space="preserve"> BENCHORA </t>
  </si>
  <si>
    <t xml:space="preserve"> BOISSIER </t>
  </si>
  <si>
    <t xml:space="preserve"> BESLARD </t>
  </si>
  <si>
    <t xml:space="preserve"> MICOLIER </t>
  </si>
  <si>
    <t xml:space="preserve"> BOISOT </t>
  </si>
  <si>
    <t xml:space="preserve"> ELOISE </t>
  </si>
  <si>
    <t xml:space="preserve"> TRUMEAU </t>
  </si>
  <si>
    <t xml:space="preserve"> DEMARET </t>
  </si>
  <si>
    <t xml:space="preserve"> ALCANTARA </t>
  </si>
  <si>
    <t xml:space="preserve"> MALTERRE </t>
  </si>
  <si>
    <t xml:space="preserve"> HELBERT - BERTHELOT </t>
  </si>
  <si>
    <t xml:space="preserve"> BONTRON </t>
  </si>
  <si>
    <t xml:space="preserve"> LHUISSIER </t>
  </si>
  <si>
    <t xml:space="preserve"> Andre xavier </t>
  </si>
  <si>
    <t xml:space="preserve"> BRENNETOT </t>
  </si>
  <si>
    <t xml:space="preserve"> GARGALLO </t>
  </si>
  <si>
    <t xml:space="preserve"> PAGAN </t>
  </si>
  <si>
    <t xml:space="preserve"> DUROS </t>
  </si>
  <si>
    <t xml:space="preserve"> PENARD </t>
  </si>
  <si>
    <t xml:space="preserve"> CHERBETIAN </t>
  </si>
  <si>
    <t xml:space="preserve"> HUREL </t>
  </si>
  <si>
    <t xml:space="preserve"> GOUREAU </t>
  </si>
  <si>
    <t xml:space="preserve"> COIRAS </t>
  </si>
  <si>
    <t xml:space="preserve"> BOUQUE </t>
  </si>
  <si>
    <t xml:space="preserve"> LIGNEUL </t>
  </si>
  <si>
    <t xml:space="preserve"> MOULAC </t>
  </si>
  <si>
    <t xml:space="preserve"> CLAUX </t>
  </si>
  <si>
    <t xml:space="preserve"> TTC RIBERACOIS </t>
  </si>
  <si>
    <t xml:space="preserve"> STEFFANUT </t>
  </si>
  <si>
    <t xml:space="preserve"> LE BLAYE </t>
  </si>
  <si>
    <t xml:space="preserve"> HABART </t>
  </si>
  <si>
    <t xml:space="preserve"> DURRHEIMER </t>
  </si>
  <si>
    <t xml:space="preserve"> PONRAMON </t>
  </si>
  <si>
    <t xml:space="preserve"> CENZI </t>
  </si>
  <si>
    <t xml:space="preserve"> SAINDON </t>
  </si>
  <si>
    <t xml:space="preserve"> TROUPEL </t>
  </si>
  <si>
    <t xml:space="preserve"> CIRET </t>
  </si>
  <si>
    <t xml:space="preserve"> BRECHE </t>
  </si>
  <si>
    <t xml:space="preserve"> PALIN </t>
  </si>
  <si>
    <t xml:space="preserve"> BOUNADER </t>
  </si>
  <si>
    <t xml:space="preserve"> LECOINTE </t>
  </si>
  <si>
    <t xml:space="preserve"> POLLICINO </t>
  </si>
  <si>
    <t xml:space="preserve"> GODOY </t>
  </si>
  <si>
    <t xml:space="preserve"> DESNAULT </t>
  </si>
  <si>
    <t xml:space="preserve"> DUTIER </t>
  </si>
  <si>
    <t xml:space="preserve"> LEBORRE </t>
  </si>
  <si>
    <t xml:space="preserve"> JALLAN </t>
  </si>
  <si>
    <t xml:space="preserve"> VANDEPUTTE </t>
  </si>
  <si>
    <t xml:space="preserve"> HELLIN </t>
  </si>
  <si>
    <t xml:space="preserve"> JOUARIE </t>
  </si>
  <si>
    <t xml:space="preserve"> BOGAERT </t>
  </si>
  <si>
    <t xml:space="preserve"> CHERRUAULT </t>
  </si>
  <si>
    <t xml:space="preserve"> SALETTE </t>
  </si>
  <si>
    <t xml:space="preserve"> CHEDEAU </t>
  </si>
  <si>
    <t xml:space="preserve"> DUHAUTOIS </t>
  </si>
  <si>
    <t xml:space="preserve"> DEVESA </t>
  </si>
  <si>
    <t xml:space="preserve"> GADEAU </t>
  </si>
  <si>
    <t xml:space="preserve"> DERROISNE </t>
  </si>
  <si>
    <t xml:space="preserve"> RUSSO </t>
  </si>
  <si>
    <t xml:space="preserve"> WIEST </t>
  </si>
  <si>
    <t xml:space="preserve"> TUAL </t>
  </si>
  <si>
    <t xml:space="preserve"> CASANA </t>
  </si>
  <si>
    <t xml:space="preserve"> VANDERCOILLE </t>
  </si>
  <si>
    <t xml:space="preserve"> BALUSSON </t>
  </si>
  <si>
    <t xml:space="preserve"> DUHAMEAU </t>
  </si>
  <si>
    <t xml:space="preserve"> CHARRION </t>
  </si>
  <si>
    <t xml:space="preserve"> HIVART </t>
  </si>
  <si>
    <t xml:space="preserve"> ZWEIFEL </t>
  </si>
  <si>
    <t xml:space="preserve"> COREAU </t>
  </si>
  <si>
    <t xml:space="preserve"> RIGALLEAU </t>
  </si>
  <si>
    <t xml:space="preserve"> VAUDRY </t>
  </si>
  <si>
    <t xml:space="preserve"> BROUSSARD </t>
  </si>
  <si>
    <t xml:space="preserve"> PEYON </t>
  </si>
  <si>
    <t xml:space="preserve"> PEIS </t>
  </si>
  <si>
    <t xml:space="preserve"> GLEYEN </t>
  </si>
  <si>
    <t xml:space="preserve"> REVER </t>
  </si>
  <si>
    <t xml:space="preserve"> QUIEN </t>
  </si>
  <si>
    <t xml:space="preserve"> FONTANAUD </t>
  </si>
  <si>
    <t xml:space="preserve"> HERMIL </t>
  </si>
  <si>
    <t xml:space="preserve"> HELMAN </t>
  </si>
  <si>
    <t xml:space="preserve"> DECAENS </t>
  </si>
  <si>
    <t xml:space="preserve"> GRZEGORZEWSKI </t>
  </si>
  <si>
    <t xml:space="preserve"> DESPLANTES </t>
  </si>
  <si>
    <t xml:space="preserve"> WEISBECKER </t>
  </si>
  <si>
    <t xml:space="preserve"> RZEPCZYK </t>
  </si>
  <si>
    <t xml:space="preserve"> BURNEL </t>
  </si>
  <si>
    <t xml:space="preserve"> LEMARCHANDEL </t>
  </si>
  <si>
    <t xml:space="preserve"> PLOYART </t>
  </si>
  <si>
    <t xml:space="preserve"> GERFAULT </t>
  </si>
  <si>
    <t xml:space="preserve"> LEGLINEL </t>
  </si>
  <si>
    <t xml:space="preserve"> RAGUES </t>
  </si>
  <si>
    <t xml:space="preserve"> K'DELANT </t>
  </si>
  <si>
    <t xml:space="preserve"> COUSTENOBLE </t>
  </si>
  <si>
    <t xml:space="preserve"> GRZESIAK </t>
  </si>
  <si>
    <t xml:space="preserve"> TASSIN CLUB PONGISTE </t>
  </si>
  <si>
    <t xml:space="preserve"> ZEPHIR </t>
  </si>
  <si>
    <t xml:space="preserve"> MAILAENDER </t>
  </si>
  <si>
    <t xml:space="preserve"> DUTEY </t>
  </si>
  <si>
    <t xml:space="preserve"> PERROQUIN </t>
  </si>
  <si>
    <t xml:space="preserve"> ALLO </t>
  </si>
  <si>
    <t xml:space="preserve"> AUDREN </t>
  </si>
  <si>
    <t xml:space="preserve"> ROZIS </t>
  </si>
  <si>
    <t xml:space="preserve"> BOU-DEBS </t>
  </si>
  <si>
    <t xml:space="preserve"> Yves laurent </t>
  </si>
  <si>
    <t xml:space="preserve"> PEQUERY </t>
  </si>
  <si>
    <t xml:space="preserve"> DESSAIN </t>
  </si>
  <si>
    <t xml:space="preserve"> VIRLY </t>
  </si>
  <si>
    <t xml:space="preserve"> BITOUN </t>
  </si>
  <si>
    <t xml:space="preserve"> ZANCHI </t>
  </si>
  <si>
    <t xml:space="preserve"> Fuxiang </t>
  </si>
  <si>
    <t xml:space="preserve"> BOSSUET </t>
  </si>
  <si>
    <t xml:space="preserve"> DAMON </t>
  </si>
  <si>
    <t xml:space="preserve"> WALIGORSKI </t>
  </si>
  <si>
    <t xml:space="preserve"> LE BON </t>
  </si>
  <si>
    <t xml:space="preserve"> SOMVEILLE </t>
  </si>
  <si>
    <t xml:space="preserve"> COURBIERE </t>
  </si>
  <si>
    <t xml:space="preserve"> FREGER </t>
  </si>
  <si>
    <t xml:space="preserve"> BALANDIER </t>
  </si>
  <si>
    <t xml:space="preserve"> DUBEDOUT </t>
  </si>
  <si>
    <t xml:space="preserve"> BLACHE </t>
  </si>
  <si>
    <t xml:space="preserve"> GORLET </t>
  </si>
  <si>
    <t xml:space="preserve"> MEURIC </t>
  </si>
  <si>
    <t xml:space="preserve"> STREFF </t>
  </si>
  <si>
    <t xml:space="preserve"> URETA </t>
  </si>
  <si>
    <t xml:space="preserve"> NARGUET </t>
  </si>
  <si>
    <t xml:space="preserve"> GAQUIERE </t>
  </si>
  <si>
    <t xml:space="preserve"> BARRELLE </t>
  </si>
  <si>
    <t xml:space="preserve"> BUHR </t>
  </si>
  <si>
    <t xml:space="preserve"> GATIN </t>
  </si>
  <si>
    <t xml:space="preserve"> POUSSARDIN </t>
  </si>
  <si>
    <t xml:space="preserve"> CARREZ </t>
  </si>
  <si>
    <t xml:space="preserve"> GOUGELET </t>
  </si>
  <si>
    <t xml:space="preserve"> OURY </t>
  </si>
  <si>
    <t xml:space="preserve"> MESSEMANNE </t>
  </si>
  <si>
    <t xml:space="preserve"> CANN </t>
  </si>
  <si>
    <t xml:space="preserve"> QUIERCELIN </t>
  </si>
  <si>
    <t xml:space="preserve"> VETTORI </t>
  </si>
  <si>
    <t xml:space="preserve"> HERISSEAU </t>
  </si>
  <si>
    <t xml:space="preserve"> OWONA EBAMBOU </t>
  </si>
  <si>
    <t xml:space="preserve"> PLANTECOTE </t>
  </si>
  <si>
    <t xml:space="preserve"> BIOTTEAU </t>
  </si>
  <si>
    <t xml:space="preserve"> SARRAULT </t>
  </si>
  <si>
    <t xml:space="preserve"> Jean - michel </t>
  </si>
  <si>
    <t xml:space="preserve"> LACHARME </t>
  </si>
  <si>
    <t xml:space="preserve"> PIQUOT </t>
  </si>
  <si>
    <t xml:space="preserve"> ATHANASSIOU </t>
  </si>
  <si>
    <t xml:space="preserve"> VERSTRAETE </t>
  </si>
  <si>
    <t xml:space="preserve"> VADCARD </t>
  </si>
  <si>
    <t xml:space="preserve"> Francq </t>
  </si>
  <si>
    <t xml:space="preserve"> KRARIA </t>
  </si>
  <si>
    <t xml:space="preserve"> PITOT </t>
  </si>
  <si>
    <t xml:space="preserve"> STACHETTI </t>
  </si>
  <si>
    <t xml:space="preserve"> ANGLADE </t>
  </si>
  <si>
    <t xml:space="preserve"> VERIN </t>
  </si>
  <si>
    <t xml:space="preserve"> WIEHN </t>
  </si>
  <si>
    <t xml:space="preserve"> GABRIEL-ROBEZ </t>
  </si>
  <si>
    <t xml:space="preserve"> KOEGLER </t>
  </si>
  <si>
    <t xml:space="preserve"> CHENARD </t>
  </si>
  <si>
    <t xml:space="preserve"> JEAUNEAU </t>
  </si>
  <si>
    <t xml:space="preserve"> DEPARDAY </t>
  </si>
  <si>
    <t xml:space="preserve"> POIS </t>
  </si>
  <si>
    <t xml:space="preserve"> EVANDRE </t>
  </si>
  <si>
    <t xml:space="preserve"> VIZIER </t>
  </si>
  <si>
    <t xml:space="preserve"> OLIVON </t>
  </si>
  <si>
    <t xml:space="preserve"> CHASLE </t>
  </si>
  <si>
    <t xml:space="preserve"> AGEORGES </t>
  </si>
  <si>
    <t xml:space="preserve"> ENEE </t>
  </si>
  <si>
    <t xml:space="preserve"> BRUCHER </t>
  </si>
  <si>
    <t xml:space="preserve"> GENDRAUD </t>
  </si>
  <si>
    <t xml:space="preserve"> ADAMOIS TENNIS DE TABLE </t>
  </si>
  <si>
    <t xml:space="preserve"> VIESSIERE </t>
  </si>
  <si>
    <t xml:space="preserve"> SURY </t>
  </si>
  <si>
    <t xml:space="preserve"> BERTEAU </t>
  </si>
  <si>
    <t xml:space="preserve"> STOURM </t>
  </si>
  <si>
    <t xml:space="preserve"> PERINTI </t>
  </si>
  <si>
    <t xml:space="preserve"> Fosco </t>
  </si>
  <si>
    <t xml:space="preserve"> HUMANISPORT </t>
  </si>
  <si>
    <t xml:space="preserve"> PERCHOC </t>
  </si>
  <si>
    <t xml:space="preserve"> LAISSAC </t>
  </si>
  <si>
    <t xml:space="preserve"> GUILLAUMONT </t>
  </si>
  <si>
    <t xml:space="preserve"> MANNECHEZ </t>
  </si>
  <si>
    <t xml:space="preserve"> BOURALY </t>
  </si>
  <si>
    <t xml:space="preserve"> BULLY </t>
  </si>
  <si>
    <t xml:space="preserve"> DE STOPPELEIRE </t>
  </si>
  <si>
    <t xml:space="preserve"> BUN CHUOR </t>
  </si>
  <si>
    <t xml:space="preserve"> BLAZY </t>
  </si>
  <si>
    <t xml:space="preserve"> DATCHARY </t>
  </si>
  <si>
    <t xml:space="preserve"> Yves-marie </t>
  </si>
  <si>
    <t xml:space="preserve"> MIALON </t>
  </si>
  <si>
    <t xml:space="preserve"> BLANDINEAU </t>
  </si>
  <si>
    <t xml:space="preserve"> WEDERHAKE </t>
  </si>
  <si>
    <t xml:space="preserve"> LAILLET </t>
  </si>
  <si>
    <t xml:space="preserve"> CHAUX </t>
  </si>
  <si>
    <t xml:space="preserve"> ULIVIERI </t>
  </si>
  <si>
    <t xml:space="preserve"> DIMILTA </t>
  </si>
  <si>
    <t xml:space="preserve"> Guiseppe </t>
  </si>
  <si>
    <t xml:space="preserve"> LE COZLER </t>
  </si>
  <si>
    <t xml:space="preserve"> DESSAGNE </t>
  </si>
  <si>
    <t xml:space="preserve"> GONZVA </t>
  </si>
  <si>
    <t xml:space="preserve"> COCUSSE </t>
  </si>
  <si>
    <t xml:space="preserve"> VANSTEENE </t>
  </si>
  <si>
    <t xml:space="preserve"> FEZARD </t>
  </si>
  <si>
    <t xml:space="preserve"> CHATIN </t>
  </si>
  <si>
    <t xml:space="preserve"> DAUBORD </t>
  </si>
  <si>
    <t xml:space="preserve"> GERBIER </t>
  </si>
  <si>
    <t xml:space="preserve"> LEFERME </t>
  </si>
  <si>
    <t xml:space="preserve"> TROLONG </t>
  </si>
  <si>
    <t xml:space="preserve"> TOBAL DE ALAIZ </t>
  </si>
  <si>
    <t xml:space="preserve"> CHOGNARD </t>
  </si>
  <si>
    <t xml:space="preserve"> MELACOTTE </t>
  </si>
  <si>
    <t xml:space="preserve"> REVEILLE </t>
  </si>
  <si>
    <t xml:space="preserve"> FIRMIN </t>
  </si>
  <si>
    <t xml:space="preserve"> FRANVILLERS ATT </t>
  </si>
  <si>
    <t xml:space="preserve"> LEMAIGRE </t>
  </si>
  <si>
    <t xml:space="preserve"> CERATI </t>
  </si>
  <si>
    <t xml:space="preserve"> CHATYNSKI </t>
  </si>
  <si>
    <t xml:space="preserve"> FATTORI </t>
  </si>
  <si>
    <t xml:space="preserve"> L'HéNORET </t>
  </si>
  <si>
    <t xml:space="preserve"> ANTILLE </t>
  </si>
  <si>
    <t xml:space="preserve"> GALICHER </t>
  </si>
  <si>
    <t xml:space="preserve"> DEHAUDT </t>
  </si>
  <si>
    <t xml:space="preserve"> SERRALHA </t>
  </si>
  <si>
    <t xml:space="preserve"> TANT </t>
  </si>
  <si>
    <t xml:space="preserve"> DEQUESNE </t>
  </si>
  <si>
    <t xml:space="preserve"> BUVRY </t>
  </si>
  <si>
    <t xml:space="preserve"> HELY </t>
  </si>
  <si>
    <t xml:space="preserve"> GRAPPE </t>
  </si>
  <si>
    <t xml:space="preserve"> Arjean </t>
  </si>
  <si>
    <t xml:space="preserve"> TROHEL </t>
  </si>
  <si>
    <t xml:space="preserve"> DELACOUR </t>
  </si>
  <si>
    <t xml:space="preserve"> FURET </t>
  </si>
  <si>
    <t xml:space="preserve"> MENETRIER </t>
  </si>
  <si>
    <t xml:space="preserve"> REILLAT </t>
  </si>
  <si>
    <t xml:space="preserve"> LESCOP </t>
  </si>
  <si>
    <t xml:space="preserve"> CURATE </t>
  </si>
  <si>
    <t xml:space="preserve"> PIHOUET </t>
  </si>
  <si>
    <t xml:space="preserve"> CODRON </t>
  </si>
  <si>
    <t xml:space="preserve"> LHOMMEDET </t>
  </si>
  <si>
    <t xml:space="preserve"> MARBACH </t>
  </si>
  <si>
    <t xml:space="preserve"> DELOGE </t>
  </si>
  <si>
    <t xml:space="preserve"> DE RAUGLAUDRE </t>
  </si>
  <si>
    <t xml:space="preserve"> PYREE </t>
  </si>
  <si>
    <t xml:space="preserve"> BOULY </t>
  </si>
  <si>
    <t xml:space="preserve"> Hippolyte </t>
  </si>
  <si>
    <t xml:space="preserve"> LIONNE </t>
  </si>
  <si>
    <t xml:space="preserve"> RAIFORT </t>
  </si>
  <si>
    <t xml:space="preserve"> BERNADOU </t>
  </si>
  <si>
    <t xml:space="preserve"> CREMER </t>
  </si>
  <si>
    <t xml:space="preserve"> GADAT </t>
  </si>
  <si>
    <t xml:space="preserve"> MOULET </t>
  </si>
  <si>
    <t xml:space="preserve"> QUEMY </t>
  </si>
  <si>
    <t xml:space="preserve"> PY </t>
  </si>
  <si>
    <t xml:space="preserve"> POCHELU </t>
  </si>
  <si>
    <t xml:space="preserve"> VICAIGNE </t>
  </si>
  <si>
    <t xml:space="preserve"> DRIGUET </t>
  </si>
  <si>
    <t xml:space="preserve"> BERRUET </t>
  </si>
  <si>
    <t xml:space="preserve"> MARZOUK </t>
  </si>
  <si>
    <t xml:space="preserve"> MCDADE </t>
  </si>
  <si>
    <t xml:space="preserve"> GAINIER </t>
  </si>
  <si>
    <t xml:space="preserve"> MORGAND </t>
  </si>
  <si>
    <t xml:space="preserve"> GRESSEY MAULETTE PP </t>
  </si>
  <si>
    <t xml:space="preserve"> PIET </t>
  </si>
  <si>
    <t xml:space="preserve"> LAGRESLE </t>
  </si>
  <si>
    <t xml:space="preserve"> WARNEZ </t>
  </si>
  <si>
    <t xml:space="preserve"> ROUAIX </t>
  </si>
  <si>
    <t xml:space="preserve"> GOLLNISCH </t>
  </si>
  <si>
    <t xml:space="preserve"> KRAJKA </t>
  </si>
  <si>
    <t xml:space="preserve"> AMILLAC </t>
  </si>
  <si>
    <t xml:space="preserve"> DESBOS </t>
  </si>
  <si>
    <t xml:space="preserve"> MARCATTE </t>
  </si>
  <si>
    <t xml:space="preserve"> GUNTZ </t>
  </si>
  <si>
    <t xml:space="preserve"> SONNEFRAUD </t>
  </si>
  <si>
    <t xml:space="preserve"> CHARBOTEL </t>
  </si>
  <si>
    <t xml:space="preserve"> GRESSE </t>
  </si>
  <si>
    <t xml:space="preserve"> FOURNEL </t>
  </si>
  <si>
    <t xml:space="preserve"> Bazilio </t>
  </si>
  <si>
    <t xml:space="preserve"> VETTARD </t>
  </si>
  <si>
    <t xml:space="preserve"> BERGERE </t>
  </si>
  <si>
    <t xml:space="preserve"> BELMAS </t>
  </si>
  <si>
    <t xml:space="preserve"> PERNOD </t>
  </si>
  <si>
    <t xml:space="preserve"> ANZANO </t>
  </si>
  <si>
    <t xml:space="preserve"> COMPAIN </t>
  </si>
  <si>
    <t xml:space="preserve"> ALLANCHE </t>
  </si>
  <si>
    <t xml:space="preserve"> FRAPPIN </t>
  </si>
  <si>
    <t xml:space="preserve"> TORMEN </t>
  </si>
  <si>
    <t xml:space="preserve"> RABEREAU </t>
  </si>
  <si>
    <t xml:space="preserve"> AJON </t>
  </si>
  <si>
    <t xml:space="preserve"> KERVINIO </t>
  </si>
  <si>
    <t xml:space="preserve"> ALLIX </t>
  </si>
  <si>
    <t xml:space="preserve"> COUTTS </t>
  </si>
  <si>
    <t xml:space="preserve"> SUBREGIS </t>
  </si>
  <si>
    <t xml:space="preserve"> VEILLEROT </t>
  </si>
  <si>
    <t xml:space="preserve"> DUPARQUE </t>
  </si>
  <si>
    <t xml:space="preserve"> A.S.C. B.N.P. TOURS </t>
  </si>
  <si>
    <t xml:space="preserve"> PASCI </t>
  </si>
  <si>
    <t xml:space="preserve"> BOCHER </t>
  </si>
  <si>
    <t xml:space="preserve"> BREMAND </t>
  </si>
  <si>
    <t xml:space="preserve"> DEFFERRARD </t>
  </si>
  <si>
    <t xml:space="preserve"> AMETLLER </t>
  </si>
  <si>
    <t xml:space="preserve"> LACAUSSAGUE </t>
  </si>
  <si>
    <t xml:space="preserve"> BOURASSIN </t>
  </si>
  <si>
    <t xml:space="preserve"> VERSCHOORE </t>
  </si>
  <si>
    <t xml:space="preserve"> FRUGNAC </t>
  </si>
  <si>
    <t xml:space="preserve"> COSENTINO </t>
  </si>
  <si>
    <t xml:space="preserve"> MECHE </t>
  </si>
  <si>
    <t xml:space="preserve"> ALLES </t>
  </si>
  <si>
    <t xml:space="preserve"> SULZ </t>
  </si>
  <si>
    <t xml:space="preserve"> DARSEL </t>
  </si>
  <si>
    <t xml:space="preserve"> RUBLON </t>
  </si>
  <si>
    <t xml:space="preserve"> AUBUSSON </t>
  </si>
  <si>
    <t xml:space="preserve"> LUSSEAU </t>
  </si>
  <si>
    <t xml:space="preserve"> DERLON </t>
  </si>
  <si>
    <t xml:space="preserve"> GARISSON </t>
  </si>
  <si>
    <t xml:space="preserve"> LE LOHE </t>
  </si>
  <si>
    <t xml:space="preserve"> Dominique roger </t>
  </si>
  <si>
    <t xml:space="preserve"> PRESVOTS </t>
  </si>
  <si>
    <t xml:space="preserve"> ANEZO </t>
  </si>
  <si>
    <t xml:space="preserve"> DECLAS </t>
  </si>
  <si>
    <t xml:space="preserve"> VIGNAL </t>
  </si>
  <si>
    <t xml:space="preserve"> MANIVEL </t>
  </si>
  <si>
    <t xml:space="preserve"> HUSS </t>
  </si>
  <si>
    <t xml:space="preserve"> FRELAU </t>
  </si>
  <si>
    <t xml:space="preserve"> LARNICOL </t>
  </si>
  <si>
    <t xml:space="preserve"> LARTISIEN </t>
  </si>
  <si>
    <t xml:space="preserve"> POUPLY </t>
  </si>
  <si>
    <t xml:space="preserve"> ROSZAK </t>
  </si>
  <si>
    <t xml:space="preserve"> CALERO </t>
  </si>
  <si>
    <t xml:space="preserve"> ROMPTEAUX </t>
  </si>
  <si>
    <t xml:space="preserve"> DEVOUASSOUX </t>
  </si>
  <si>
    <t xml:space="preserve"> FOLLIOT </t>
  </si>
  <si>
    <t xml:space="preserve"> LE DONGE </t>
  </si>
  <si>
    <t xml:space="preserve"> GUIMBAULT </t>
  </si>
  <si>
    <t xml:space="preserve"> HAUSLER </t>
  </si>
  <si>
    <t xml:space="preserve"> CHEVALLEREAU </t>
  </si>
  <si>
    <t xml:space="preserve"> VENTURA </t>
  </si>
  <si>
    <t xml:space="preserve"> DUVERT </t>
  </si>
  <si>
    <t xml:space="preserve"> Enfu </t>
  </si>
  <si>
    <t xml:space="preserve"> Eugéne </t>
  </si>
  <si>
    <t xml:space="preserve"> LE PRINCE MARIUS </t>
  </si>
  <si>
    <t xml:space="preserve"> TAELDEMAN </t>
  </si>
  <si>
    <t xml:space="preserve"> DANJOUX </t>
  </si>
  <si>
    <t xml:space="preserve"> CHAUDRON </t>
  </si>
  <si>
    <t xml:space="preserve"> LAMETAIRIE </t>
  </si>
  <si>
    <t xml:space="preserve"> ADENET-LOUVET </t>
  </si>
  <si>
    <t xml:space="preserve"> Billy </t>
  </si>
  <si>
    <t xml:space="preserve"> SCHEIDECKER </t>
  </si>
  <si>
    <t xml:space="preserve"> DUVERNEUIL </t>
  </si>
  <si>
    <t xml:space="preserve"> SABOUREUX </t>
  </si>
  <si>
    <t xml:space="preserve"> CALIPPE </t>
  </si>
  <si>
    <t xml:space="preserve"> DELAIGUE </t>
  </si>
  <si>
    <t xml:space="preserve"> FONTANET </t>
  </si>
  <si>
    <t xml:space="preserve"> DUCHSCHER </t>
  </si>
  <si>
    <t xml:space="preserve"> GARCION </t>
  </si>
  <si>
    <t xml:space="preserve"> MUSIAL </t>
  </si>
  <si>
    <t xml:space="preserve"> PERSIL </t>
  </si>
  <si>
    <t xml:space="preserve"> HOUAREAU </t>
  </si>
  <si>
    <t xml:space="preserve"> DUCHAMP </t>
  </si>
  <si>
    <t xml:space="preserve"> CHAERLE </t>
  </si>
  <si>
    <t xml:space="preserve"> CONTRAFATTO </t>
  </si>
  <si>
    <t xml:space="preserve"> WEYENETH </t>
  </si>
  <si>
    <t xml:space="preserve"> PUSCHMANN </t>
  </si>
  <si>
    <t xml:space="preserve"> SPILLEMAECKER </t>
  </si>
  <si>
    <t xml:space="preserve"> DOUAY </t>
  </si>
  <si>
    <t xml:space="preserve"> BIGONNEAU </t>
  </si>
  <si>
    <t xml:space="preserve"> DELUNSCH </t>
  </si>
  <si>
    <t xml:space="preserve"> SERVAGE </t>
  </si>
  <si>
    <t xml:space="preserve"> YUNTA </t>
  </si>
  <si>
    <t xml:space="preserve"> GOZDALA </t>
  </si>
  <si>
    <t xml:space="preserve"> COFFINEAU </t>
  </si>
  <si>
    <t xml:space="preserve"> DESSAUX </t>
  </si>
  <si>
    <t xml:space="preserve"> GINCHELEAU </t>
  </si>
  <si>
    <t xml:space="preserve"> CAVATZ </t>
  </si>
  <si>
    <t xml:space="preserve"> NOUAILHANE </t>
  </si>
  <si>
    <t xml:space="preserve"> FRENETTE </t>
  </si>
  <si>
    <t xml:space="preserve"> PROVO </t>
  </si>
  <si>
    <t xml:space="preserve"> TEIXEIRA </t>
  </si>
  <si>
    <t xml:space="preserve"> Arnaldo </t>
  </si>
  <si>
    <t xml:space="preserve"> LENTHIEZ </t>
  </si>
  <si>
    <t xml:space="preserve"> PRALONG </t>
  </si>
  <si>
    <t xml:space="preserve"> VEZIEN </t>
  </si>
  <si>
    <t xml:space="preserve"> COJEZ </t>
  </si>
  <si>
    <t xml:space="preserve"> COGNIE </t>
  </si>
  <si>
    <t xml:space="preserve"> TUILLIERE </t>
  </si>
  <si>
    <t xml:space="preserve"> SUAUD </t>
  </si>
  <si>
    <t xml:space="preserve"> HENOUX </t>
  </si>
  <si>
    <t xml:space="preserve"> DESIO </t>
  </si>
  <si>
    <t xml:space="preserve"> Van van </t>
  </si>
  <si>
    <t xml:space="preserve"> OBSCUR </t>
  </si>
  <si>
    <t xml:space="preserve"> COCAIGN </t>
  </si>
  <si>
    <t xml:space="preserve"> PAYSANT </t>
  </si>
  <si>
    <t xml:space="preserve"> LECHANOINE </t>
  </si>
  <si>
    <t xml:space="preserve"> WAUTIER </t>
  </si>
  <si>
    <t xml:space="preserve"> MUSSO </t>
  </si>
  <si>
    <t xml:space="preserve"> LARGER </t>
  </si>
  <si>
    <t xml:space="preserve"> EBBO </t>
  </si>
  <si>
    <t xml:space="preserve"> VAN HAUTE </t>
  </si>
  <si>
    <t xml:space="preserve"> LIZE </t>
  </si>
  <si>
    <t xml:space="preserve"> DESANNAUX </t>
  </si>
  <si>
    <t xml:space="preserve"> PEGAZ </t>
  </si>
  <si>
    <t xml:space="preserve"> HIDEE </t>
  </si>
  <si>
    <t xml:space="preserve"> CHAINIER </t>
  </si>
  <si>
    <t xml:space="preserve"> RABOUIN </t>
  </si>
  <si>
    <t xml:space="preserve"> THETIOT </t>
  </si>
  <si>
    <t xml:space="preserve"> TARDE </t>
  </si>
  <si>
    <t xml:space="preserve"> PLEIGNET </t>
  </si>
  <si>
    <t xml:space="preserve"> BRIANÇON </t>
  </si>
  <si>
    <t xml:space="preserve"> ZIETEK </t>
  </si>
  <si>
    <t xml:space="preserve"> RABARIJAONA </t>
  </si>
  <si>
    <t xml:space="preserve"> Zo </t>
  </si>
  <si>
    <t xml:space="preserve"> BOUNAUDET </t>
  </si>
  <si>
    <t xml:space="preserve"> MAGALHAES DE MORAIS </t>
  </si>
  <si>
    <t xml:space="preserve"> QUIBEL </t>
  </si>
  <si>
    <t xml:space="preserve"> MISRAI </t>
  </si>
  <si>
    <t xml:space="preserve"> HERVIER </t>
  </si>
  <si>
    <t xml:space="preserve"> GAUTIER-CHEVREUX </t>
  </si>
  <si>
    <t xml:space="preserve"> SIEFEN </t>
  </si>
  <si>
    <t xml:space="preserve"> PEZERIL </t>
  </si>
  <si>
    <t xml:space="preserve"> HACQUE </t>
  </si>
  <si>
    <t xml:space="preserve"> HEIN </t>
  </si>
  <si>
    <t xml:space="preserve"> BELINGER </t>
  </si>
  <si>
    <t xml:space="preserve"> CULVER </t>
  </si>
  <si>
    <t xml:space="preserve"> Roderic </t>
  </si>
  <si>
    <t xml:space="preserve"> CARRANO </t>
  </si>
  <si>
    <t xml:space="preserve"> MONTANGER </t>
  </si>
  <si>
    <t xml:space="preserve"> VOIVRES CLUB PONGISTE </t>
  </si>
  <si>
    <t xml:space="preserve"> JAECKENS </t>
  </si>
  <si>
    <t xml:space="preserve"> ORIEUX </t>
  </si>
  <si>
    <t xml:space="preserve"> MIDON </t>
  </si>
  <si>
    <t xml:space="preserve"> POLAN </t>
  </si>
  <si>
    <t xml:space="preserve"> ROGEREAU </t>
  </si>
  <si>
    <t xml:space="preserve"> DELORT </t>
  </si>
  <si>
    <t xml:space="preserve"> BRIER </t>
  </si>
  <si>
    <t xml:space="preserve"> FONTANES </t>
  </si>
  <si>
    <t xml:space="preserve"> SOUVESTRE </t>
  </si>
  <si>
    <t xml:space="preserve"> DOUCHET </t>
  </si>
  <si>
    <t xml:space="preserve"> PEDRONO </t>
  </si>
  <si>
    <t xml:space="preserve"> ISENBECK </t>
  </si>
  <si>
    <t xml:space="preserve"> DUPERIER </t>
  </si>
  <si>
    <t xml:space="preserve"> LEYENDECKER </t>
  </si>
  <si>
    <t xml:space="preserve"> BARBACHOUX </t>
  </si>
  <si>
    <t xml:space="preserve"> SAVY </t>
  </si>
  <si>
    <t xml:space="preserve"> STARLINE CLUB TENNIS TABL </t>
  </si>
  <si>
    <t xml:space="preserve"> DEGRANGE </t>
  </si>
  <si>
    <t xml:space="preserve"> SISAKOUN </t>
  </si>
  <si>
    <t xml:space="preserve"> PRUDHAM </t>
  </si>
  <si>
    <t xml:space="preserve"> LE CHEVILLIER </t>
  </si>
  <si>
    <t xml:space="preserve"> MORLEC </t>
  </si>
  <si>
    <t xml:space="preserve"> PICAL-CAPRE </t>
  </si>
  <si>
    <t xml:space="preserve"> HAUTMONT USTT </t>
  </si>
  <si>
    <t xml:space="preserve"> GASCUEL </t>
  </si>
  <si>
    <t xml:space="preserve"> LESBLEIZ </t>
  </si>
  <si>
    <t xml:space="preserve"> ACHAINTRE </t>
  </si>
  <si>
    <t xml:space="preserve"> GOURLAOUEN </t>
  </si>
  <si>
    <t xml:space="preserve"> CHAZEIX </t>
  </si>
  <si>
    <t xml:space="preserve"> Minh luan </t>
  </si>
  <si>
    <t xml:space="preserve"> LEJOUR </t>
  </si>
  <si>
    <t xml:space="preserve"> QUERO </t>
  </si>
  <si>
    <t xml:space="preserve"> DUCHAILLUT </t>
  </si>
  <si>
    <t xml:space="preserve"> MOITIE </t>
  </si>
  <si>
    <t xml:space="preserve"> ERDMANN </t>
  </si>
  <si>
    <t xml:space="preserve"> DRUON </t>
  </si>
  <si>
    <t xml:space="preserve"> BOECHIE </t>
  </si>
  <si>
    <t xml:space="preserve"> LETTAT </t>
  </si>
  <si>
    <t xml:space="preserve"> PETITEAU </t>
  </si>
  <si>
    <t xml:space="preserve"> DEGOT </t>
  </si>
  <si>
    <t xml:space="preserve"> ZELDIN </t>
  </si>
  <si>
    <t xml:space="preserve"> GUES </t>
  </si>
  <si>
    <t xml:space="preserve"> SCHWIND </t>
  </si>
  <si>
    <t xml:space="preserve"> HOUL </t>
  </si>
  <si>
    <t xml:space="preserve"> Punthoul </t>
  </si>
  <si>
    <t xml:space="preserve"> COUSSY </t>
  </si>
  <si>
    <t xml:space="preserve"> GOBART </t>
  </si>
  <si>
    <t xml:space="preserve"> BARNA </t>
  </si>
  <si>
    <t xml:space="preserve"> ENSMINGER </t>
  </si>
  <si>
    <t xml:space="preserve"> LE QUANG </t>
  </si>
  <si>
    <t xml:space="preserve"> SECHERRE </t>
  </si>
  <si>
    <t xml:space="preserve"> VENAUD </t>
  </si>
  <si>
    <t xml:space="preserve"> NAYRAND </t>
  </si>
  <si>
    <t xml:space="preserve"> GIGUET </t>
  </si>
  <si>
    <t xml:space="preserve"> PILLOIX </t>
  </si>
  <si>
    <t xml:space="preserve"> COUTHIER </t>
  </si>
  <si>
    <t xml:space="preserve"> CAUD </t>
  </si>
  <si>
    <t xml:space="preserve"> FONTENELLE </t>
  </si>
  <si>
    <t xml:space="preserve"> GAMACHE </t>
  </si>
  <si>
    <t xml:space="preserve"> BENEZIT </t>
  </si>
  <si>
    <t xml:space="preserve"> BAUVIN TT </t>
  </si>
  <si>
    <t xml:space="preserve"> BOUVERGNE </t>
  </si>
  <si>
    <t xml:space="preserve"> VEDERE </t>
  </si>
  <si>
    <t xml:space="preserve"> JAHAN DE LESTANG </t>
  </si>
  <si>
    <t xml:space="preserve"> REINARD </t>
  </si>
  <si>
    <t xml:space="preserve"> LARGY </t>
  </si>
  <si>
    <t xml:space="preserve"> CHEURET </t>
  </si>
  <si>
    <t xml:space="preserve"> LANFRAY </t>
  </si>
  <si>
    <t xml:space="preserve"> PARTHENAY </t>
  </si>
  <si>
    <t xml:space="preserve"> BINET </t>
  </si>
  <si>
    <t xml:space="preserve"> BOISTAY </t>
  </si>
  <si>
    <t xml:space="preserve"> DATCHARRY </t>
  </si>
  <si>
    <t xml:space="preserve"> SMATI </t>
  </si>
  <si>
    <t xml:space="preserve"> Reda </t>
  </si>
  <si>
    <t xml:space="preserve"> MAUPILE </t>
  </si>
  <si>
    <t xml:space="preserve"> TAIEB </t>
  </si>
  <si>
    <t xml:space="preserve"> THOUVENIN </t>
  </si>
  <si>
    <t xml:space="preserve"> WIRRMANN </t>
  </si>
  <si>
    <t xml:space="preserve"> CHEVAL </t>
  </si>
  <si>
    <t xml:space="preserve"> VILLEMONTEIX </t>
  </si>
  <si>
    <t xml:space="preserve"> DESSEIX </t>
  </si>
  <si>
    <t xml:space="preserve"> BERNHART </t>
  </si>
  <si>
    <t xml:space="preserve"> BOURRY </t>
  </si>
  <si>
    <t xml:space="preserve"> COMBETTES </t>
  </si>
  <si>
    <t xml:space="preserve"> MERIAN </t>
  </si>
  <si>
    <t xml:space="preserve"> COIRAULT </t>
  </si>
  <si>
    <t xml:space="preserve"> CHAMPDORGE </t>
  </si>
  <si>
    <t xml:space="preserve"> MAINGAINT </t>
  </si>
  <si>
    <t xml:space="preserve"> DOHER </t>
  </si>
  <si>
    <t xml:space="preserve"> COURSOL </t>
  </si>
  <si>
    <t xml:space="preserve"> BEGARD </t>
  </si>
  <si>
    <t xml:space="preserve"> ROBIOLLE </t>
  </si>
  <si>
    <t xml:space="preserve"> PUTHOD </t>
  </si>
  <si>
    <t xml:space="preserve"> MARQUETTE  SMS  TT </t>
  </si>
  <si>
    <t xml:space="preserve"> VO HUU </t>
  </si>
  <si>
    <t xml:space="preserve"> Dung </t>
  </si>
  <si>
    <t xml:space="preserve"> KERUSORE </t>
  </si>
  <si>
    <t xml:space="preserve"> ROUCOU </t>
  </si>
  <si>
    <t xml:space="preserve"> RAIMBAUD </t>
  </si>
  <si>
    <t xml:space="preserve"> GIL-LEON </t>
  </si>
  <si>
    <t xml:space="preserve"> GOURDIEN </t>
  </si>
  <si>
    <t xml:space="preserve"> MATHEYS </t>
  </si>
  <si>
    <t xml:space="preserve"> BARROCA </t>
  </si>
  <si>
    <t xml:space="preserve"> MENELOT </t>
  </si>
  <si>
    <t xml:space="preserve"> ZRIBI </t>
  </si>
  <si>
    <t xml:space="preserve"> COURVOISIER </t>
  </si>
  <si>
    <t xml:space="preserve"> CLORIS </t>
  </si>
  <si>
    <t xml:space="preserve"> PICOLLET </t>
  </si>
  <si>
    <t xml:space="preserve"> DY </t>
  </si>
  <si>
    <t xml:space="preserve"> SAUTERAUD </t>
  </si>
  <si>
    <t xml:space="preserve"> DOUBLET CUILLER </t>
  </si>
  <si>
    <t xml:space="preserve"> CACHERA </t>
  </si>
  <si>
    <t xml:space="preserve"> REUTHER </t>
  </si>
  <si>
    <t xml:space="preserve"> PAILLOUX </t>
  </si>
  <si>
    <t xml:space="preserve"> POTIRON </t>
  </si>
  <si>
    <t xml:space="preserve"> BARLAND </t>
  </si>
  <si>
    <t xml:space="preserve"> MEYNARD </t>
  </si>
  <si>
    <t xml:space="preserve"> DESSUP </t>
  </si>
  <si>
    <t xml:space="preserve"> PIZIVIN </t>
  </si>
  <si>
    <t xml:space="preserve"> JONCOUR </t>
  </si>
  <si>
    <t xml:space="preserve"> BOISSEAUX </t>
  </si>
  <si>
    <t xml:space="preserve"> CAYUELA </t>
  </si>
  <si>
    <t xml:space="preserve"> BAIZE </t>
  </si>
  <si>
    <t xml:space="preserve"> AURIOL </t>
  </si>
  <si>
    <t xml:space="preserve"> DIEULLE </t>
  </si>
  <si>
    <t xml:space="preserve"> ROBIEU </t>
  </si>
  <si>
    <t xml:space="preserve"> GHIELMINI </t>
  </si>
  <si>
    <t xml:space="preserve"> GILLAIZEAU </t>
  </si>
  <si>
    <t xml:space="preserve"> LANDREVIE </t>
  </si>
  <si>
    <t xml:space="preserve"> REIGNIR </t>
  </si>
  <si>
    <t xml:space="preserve"> AMPLEPUIS TTC </t>
  </si>
  <si>
    <t xml:space="preserve"> DESVALOIS </t>
  </si>
  <si>
    <t xml:space="preserve"> MARCIAUX </t>
  </si>
  <si>
    <t xml:space="preserve"> MOUILLE </t>
  </si>
  <si>
    <t xml:space="preserve"> RAFAT </t>
  </si>
  <si>
    <t xml:space="preserve"> GRUIN </t>
  </si>
  <si>
    <t xml:space="preserve"> FOURMENTIN </t>
  </si>
  <si>
    <t xml:space="preserve"> BUCHE </t>
  </si>
  <si>
    <t xml:space="preserve"> GOIFFON </t>
  </si>
  <si>
    <t xml:space="preserve"> HALTER </t>
  </si>
  <si>
    <t xml:space="preserve"> POCHE </t>
  </si>
  <si>
    <t xml:space="preserve"> VAUVERT </t>
  </si>
  <si>
    <t xml:space="preserve"> MENAGE </t>
  </si>
  <si>
    <t xml:space="preserve"> MILCENT </t>
  </si>
  <si>
    <t xml:space="preserve"> KOMINIARZ </t>
  </si>
  <si>
    <t xml:space="preserve"> DOUAREC </t>
  </si>
  <si>
    <t xml:space="preserve"> FILODEAU </t>
  </si>
  <si>
    <t xml:space="preserve"> CHABIN </t>
  </si>
  <si>
    <t xml:space="preserve"> KAMBRUN </t>
  </si>
  <si>
    <t xml:space="preserve"> PLANTADE </t>
  </si>
  <si>
    <t xml:space="preserve"> VANNEAU </t>
  </si>
  <si>
    <t xml:space="preserve"> BELLOLI </t>
  </si>
  <si>
    <t xml:space="preserve"> LEBRE </t>
  </si>
  <si>
    <t xml:space="preserve"> GUILAIN </t>
  </si>
  <si>
    <t xml:space="preserve"> DUGUET </t>
  </si>
  <si>
    <t xml:space="preserve"> DE LANSALUT </t>
  </si>
  <si>
    <t xml:space="preserve"> SARRET </t>
  </si>
  <si>
    <t xml:space="preserve"> CORREIA </t>
  </si>
  <si>
    <t xml:space="preserve"> CRITON </t>
  </si>
  <si>
    <t xml:space="preserve"> NOIRAY </t>
  </si>
  <si>
    <t xml:space="preserve"> DOUET </t>
  </si>
  <si>
    <t xml:space="preserve"> BORDET </t>
  </si>
  <si>
    <t xml:space="preserve"> Tiburce </t>
  </si>
  <si>
    <t xml:space="preserve"> TARTIVOT </t>
  </si>
  <si>
    <t xml:space="preserve"> BOUCHARE </t>
  </si>
  <si>
    <t xml:space="preserve"> TADDEI </t>
  </si>
  <si>
    <t xml:space="preserve"> BLEUSE </t>
  </si>
  <si>
    <t xml:space="preserve"> PELSE </t>
  </si>
  <si>
    <t xml:space="preserve"> GUINOT </t>
  </si>
  <si>
    <t xml:space="preserve"> GUALBERT </t>
  </si>
  <si>
    <t xml:space="preserve"> MAUPETIT </t>
  </si>
  <si>
    <t xml:space="preserve"> PRIOUZEAU </t>
  </si>
  <si>
    <t xml:space="preserve"> FIGUIERE </t>
  </si>
  <si>
    <t xml:space="preserve"> DE FREITAS </t>
  </si>
  <si>
    <t xml:space="preserve"> PEYCRU </t>
  </si>
  <si>
    <t xml:space="preserve"> MARCAULT </t>
  </si>
  <si>
    <t xml:space="preserve"> TITECAT </t>
  </si>
  <si>
    <t xml:space="preserve"> GIDON </t>
  </si>
  <si>
    <t xml:space="preserve"> LEFFONDRE </t>
  </si>
  <si>
    <t xml:space="preserve"> VAN-OVERBECK </t>
  </si>
  <si>
    <t xml:space="preserve"> GENTILLEAU </t>
  </si>
  <si>
    <t xml:space="preserve"> DACHET </t>
  </si>
  <si>
    <t xml:space="preserve"> BOUSSEMAER </t>
  </si>
  <si>
    <t xml:space="preserve"> PERAIRE </t>
  </si>
  <si>
    <t xml:space="preserve"> ERHART </t>
  </si>
  <si>
    <t xml:space="preserve"> LAIZE </t>
  </si>
  <si>
    <t xml:space="preserve"> Section de l'AS HERY </t>
  </si>
  <si>
    <t xml:space="preserve"> DEMEULEMESTER </t>
  </si>
  <si>
    <t xml:space="preserve"> AGUILERA </t>
  </si>
  <si>
    <t xml:space="preserve"> Jean-auguste </t>
  </si>
  <si>
    <t xml:space="preserve"> CORNILLAT </t>
  </si>
  <si>
    <t xml:space="preserve"> SALINGRE </t>
  </si>
  <si>
    <t xml:space="preserve"> DEROCHE </t>
  </si>
  <si>
    <t xml:space="preserve"> BOUGET </t>
  </si>
  <si>
    <t xml:space="preserve"> DORLEE </t>
  </si>
  <si>
    <t xml:space="preserve"> SEVERAC </t>
  </si>
  <si>
    <t xml:space="preserve"> DEMEUDE </t>
  </si>
  <si>
    <t xml:space="preserve"> ARZOUMANIAN </t>
  </si>
  <si>
    <t xml:space="preserve"> Raffy </t>
  </si>
  <si>
    <t xml:space="preserve"> CLUZEAU </t>
  </si>
  <si>
    <t xml:space="preserve"> TALEB </t>
  </si>
  <si>
    <t xml:space="preserve"> BAUBE </t>
  </si>
  <si>
    <t xml:space="preserve"> BAUDELET </t>
  </si>
  <si>
    <t xml:space="preserve"> DEGUEUR </t>
  </si>
  <si>
    <t xml:space="preserve"> MARMILLOD </t>
  </si>
  <si>
    <t xml:space="preserve"> BELTRAMELLI </t>
  </si>
  <si>
    <t xml:space="preserve"> HETAULT </t>
  </si>
  <si>
    <t xml:space="preserve"> ALGABA </t>
  </si>
  <si>
    <t xml:space="preserve"> LE BERVET </t>
  </si>
  <si>
    <t xml:space="preserve"> CIDOLIT </t>
  </si>
  <si>
    <t xml:space="preserve"> TOULLIER </t>
  </si>
  <si>
    <t xml:space="preserve"> Hôpitaux Universit. Stras </t>
  </si>
  <si>
    <t xml:space="preserve"> HYNDERICK </t>
  </si>
  <si>
    <t xml:space="preserve"> HARDUIN </t>
  </si>
  <si>
    <t xml:space="preserve"> ALASSAIRE </t>
  </si>
  <si>
    <t xml:space="preserve"> PARRA </t>
  </si>
  <si>
    <t xml:space="preserve"> VIGLIETTI </t>
  </si>
  <si>
    <t xml:space="preserve"> NGUYEN THI </t>
  </si>
  <si>
    <t xml:space="preserve"> Thu </t>
  </si>
  <si>
    <t xml:space="preserve"> HELLEBOUT </t>
  </si>
  <si>
    <t xml:space="preserve"> Laurentemmanuel </t>
  </si>
  <si>
    <t xml:space="preserve"> DETILLEUX </t>
  </si>
  <si>
    <t xml:space="preserve"> TAHER ZADEH </t>
  </si>
  <si>
    <t xml:space="preserve"> LIGNEAUT </t>
  </si>
  <si>
    <t xml:space="preserve"> LAUMONIER </t>
  </si>
  <si>
    <t xml:space="preserve"> Claude-henry </t>
  </si>
  <si>
    <t xml:space="preserve"> BILLOUX </t>
  </si>
  <si>
    <t xml:space="preserve"> JARBINET </t>
  </si>
  <si>
    <t xml:space="preserve"> DARNAULT </t>
  </si>
  <si>
    <t xml:space="preserve"> JACQUELINE </t>
  </si>
  <si>
    <t xml:space="preserve"> BOUYOUX </t>
  </si>
  <si>
    <t xml:space="preserve"> JURBERT </t>
  </si>
  <si>
    <t xml:space="preserve"> PLET </t>
  </si>
  <si>
    <t xml:space="preserve"> PEZARD </t>
  </si>
  <si>
    <t xml:space="preserve"> TITILLON </t>
  </si>
  <si>
    <t xml:space="preserve"> ALEXANDRINO </t>
  </si>
  <si>
    <t xml:space="preserve"> Amilcare </t>
  </si>
  <si>
    <t xml:space="preserve"> ARCHAS </t>
  </si>
  <si>
    <t xml:space="preserve"> LESSARD </t>
  </si>
  <si>
    <t xml:space="preserve"> MALINOWSKY </t>
  </si>
  <si>
    <t xml:space="preserve"> ENNELIN </t>
  </si>
  <si>
    <t xml:space="preserve"> GRACIS </t>
  </si>
  <si>
    <t xml:space="preserve"> HENNEBEL </t>
  </si>
  <si>
    <t xml:space="preserve"> GOULETTE </t>
  </si>
  <si>
    <t xml:space="preserve"> RIBANELLI </t>
  </si>
  <si>
    <t xml:space="preserve"> LOHEZIC </t>
  </si>
  <si>
    <t xml:space="preserve"> PONCHANT </t>
  </si>
  <si>
    <t xml:space="preserve"> JEMANTS </t>
  </si>
  <si>
    <t xml:space="preserve"> AUREILLE </t>
  </si>
  <si>
    <t xml:space="preserve"> CALATAYUD </t>
  </si>
  <si>
    <t xml:space="preserve"> LE SANN </t>
  </si>
  <si>
    <t xml:space="preserve"> VOGRIG </t>
  </si>
  <si>
    <t xml:space="preserve"> BOSCOLO </t>
  </si>
  <si>
    <t xml:space="preserve"> SEGOVIA </t>
  </si>
  <si>
    <t xml:space="preserve"> PIGUEL </t>
  </si>
  <si>
    <t xml:space="preserve"> GUISSET </t>
  </si>
  <si>
    <t xml:space="preserve"> HAZOUARD </t>
  </si>
  <si>
    <t xml:space="preserve"> BEHIER </t>
  </si>
  <si>
    <t xml:space="preserve"> COVALI </t>
  </si>
  <si>
    <t xml:space="preserve"> VERSAVEL </t>
  </si>
  <si>
    <t xml:space="preserve"> FORGES </t>
  </si>
  <si>
    <t xml:space="preserve"> COHIER </t>
  </si>
  <si>
    <t xml:space="preserve"> KOZARI </t>
  </si>
  <si>
    <t xml:space="preserve"> CASTELNAUDARY FJEP TT </t>
  </si>
  <si>
    <t xml:space="preserve"> DE LESTRANGE </t>
  </si>
  <si>
    <t xml:space="preserve"> Ithier </t>
  </si>
  <si>
    <t xml:space="preserve"> DELMAU </t>
  </si>
  <si>
    <t xml:space="preserve"> RUF </t>
  </si>
  <si>
    <t xml:space="preserve"> GRASTEAU </t>
  </si>
  <si>
    <t xml:space="preserve"> VERNAC </t>
  </si>
  <si>
    <t xml:space="preserve"> ARGUS </t>
  </si>
  <si>
    <t xml:space="preserve"> MORIERES </t>
  </si>
  <si>
    <t xml:space="preserve"> KERDREUX </t>
  </si>
  <si>
    <t xml:space="preserve"> DE BRUYNE </t>
  </si>
  <si>
    <t xml:space="preserve"> COSTER </t>
  </si>
  <si>
    <t xml:space="preserve"> RIDOIS </t>
  </si>
  <si>
    <t xml:space="preserve"> ZRYD </t>
  </si>
  <si>
    <t xml:space="preserve"> XIBERRAS </t>
  </si>
  <si>
    <t xml:space="preserve"> TRABATTONI </t>
  </si>
  <si>
    <t xml:space="preserve"> Louis-michel </t>
  </si>
  <si>
    <t xml:space="preserve"> BIEBER </t>
  </si>
  <si>
    <t xml:space="preserve"> ROSENBERGER </t>
  </si>
  <si>
    <t xml:space="preserve"> BECUE </t>
  </si>
  <si>
    <t xml:space="preserve"> POREE </t>
  </si>
  <si>
    <t xml:space="preserve"> GODAR </t>
  </si>
  <si>
    <t xml:space="preserve"> KERMEN </t>
  </si>
  <si>
    <t xml:space="preserve"> CALLOCH </t>
  </si>
  <si>
    <t xml:space="preserve"> PASSINI </t>
  </si>
  <si>
    <t xml:space="preserve"> QUEYRIAUD </t>
  </si>
  <si>
    <t xml:space="preserve"> LAGNIEZ </t>
  </si>
  <si>
    <t xml:space="preserve"> ANKRI </t>
  </si>
  <si>
    <t xml:space="preserve"> JOURDY </t>
  </si>
  <si>
    <t xml:space="preserve"> PESQUEREL </t>
  </si>
  <si>
    <t xml:space="preserve"> RUZICKA </t>
  </si>
  <si>
    <t xml:space="preserve"> TURLURE </t>
  </si>
  <si>
    <t xml:space="preserve"> DEFER </t>
  </si>
  <si>
    <t xml:space="preserve"> EUGENE </t>
  </si>
  <si>
    <t xml:space="preserve"> CARE </t>
  </si>
  <si>
    <t xml:space="preserve"> GOUALC'H </t>
  </si>
  <si>
    <t xml:space="preserve"> MARME </t>
  </si>
  <si>
    <t xml:space="preserve"> LOUSTEAU </t>
  </si>
  <si>
    <t xml:space="preserve"> BEULZ </t>
  </si>
  <si>
    <t xml:space="preserve"> BOILLOD </t>
  </si>
  <si>
    <t xml:space="preserve"> BEZIZ </t>
  </si>
  <si>
    <t xml:space="preserve"> GONNORD </t>
  </si>
  <si>
    <t xml:space="preserve"> HENNEUSE </t>
  </si>
  <si>
    <t xml:space="preserve"> PAPAIL </t>
  </si>
  <si>
    <t xml:space="preserve"> ABIN </t>
  </si>
  <si>
    <t xml:space="preserve"> MULET MARQUIS </t>
  </si>
  <si>
    <t xml:space="preserve"> MILHOUD </t>
  </si>
  <si>
    <t xml:space="preserve"> AUVRET </t>
  </si>
  <si>
    <t xml:space="preserve"> REVILLOT </t>
  </si>
  <si>
    <t xml:space="preserve"> VUILLET </t>
  </si>
  <si>
    <t xml:space="preserve"> BAUDEAU </t>
  </si>
  <si>
    <t xml:space="preserve"> SOUCHARD </t>
  </si>
  <si>
    <t xml:space="preserve"> LEGOURD </t>
  </si>
  <si>
    <t xml:space="preserve"> PORHEL </t>
  </si>
  <si>
    <t xml:space="preserve"> KSCHONSEK </t>
  </si>
  <si>
    <t xml:space="preserve"> DUREMORD </t>
  </si>
  <si>
    <t xml:space="preserve"> CERTENAIS </t>
  </si>
  <si>
    <t xml:space="preserve"> DUVEY </t>
  </si>
  <si>
    <t xml:space="preserve"> EVRAY </t>
  </si>
  <si>
    <t xml:space="preserve"> KOLNIK </t>
  </si>
  <si>
    <t xml:space="preserve"> BARET </t>
  </si>
  <si>
    <t xml:space="preserve"> VIGNAUD </t>
  </si>
  <si>
    <t xml:space="preserve"> VETREAC </t>
  </si>
  <si>
    <t xml:space="preserve"> REIG </t>
  </si>
  <si>
    <t xml:space="preserve"> DUPUTEL </t>
  </si>
  <si>
    <t xml:space="preserve"> SOLBES </t>
  </si>
  <si>
    <t xml:space="preserve"> DONDA </t>
  </si>
  <si>
    <t xml:space="preserve"> SECOURGEON </t>
  </si>
  <si>
    <t xml:space="preserve"> BELLONET </t>
  </si>
  <si>
    <t xml:space="preserve"> BOET </t>
  </si>
  <si>
    <t xml:space="preserve"> DAUTRESIRE </t>
  </si>
  <si>
    <t xml:space="preserve"> MARELLE </t>
  </si>
  <si>
    <t xml:space="preserve"> PING PONG JOUQUARD </t>
  </si>
  <si>
    <t xml:space="preserve"> ZAKRZEWSKI </t>
  </si>
  <si>
    <t xml:space="preserve"> HUTTER </t>
  </si>
  <si>
    <t xml:space="preserve"> CHAFFRAIX </t>
  </si>
  <si>
    <t xml:space="preserve"> RICOUL </t>
  </si>
  <si>
    <t xml:space="preserve"> ALGOURDIN </t>
  </si>
  <si>
    <t xml:space="preserve"> CAZIN </t>
  </si>
  <si>
    <t xml:space="preserve"> DEWEULF </t>
  </si>
  <si>
    <t xml:space="preserve"> CERVELLI </t>
  </si>
  <si>
    <t xml:space="preserve"> BRANDLIN </t>
  </si>
  <si>
    <t xml:space="preserve"> OUILLON </t>
  </si>
  <si>
    <t xml:space="preserve"> VIVIEN SOULIER </t>
  </si>
  <si>
    <t xml:space="preserve"> LE VOURCH </t>
  </si>
  <si>
    <t xml:space="preserve"> LLUENT </t>
  </si>
  <si>
    <t xml:space="preserve"> DOCLOT </t>
  </si>
  <si>
    <t xml:space="preserve"> FEVE </t>
  </si>
  <si>
    <t xml:space="preserve"> CREDIT MUTUEL ASCM TT </t>
  </si>
  <si>
    <t xml:space="preserve"> STAFFE </t>
  </si>
  <si>
    <t xml:space="preserve"> Endian </t>
  </si>
  <si>
    <t xml:space="preserve"> ZABAN </t>
  </si>
  <si>
    <t xml:space="preserve"> EL YAHIAOUI </t>
  </si>
  <si>
    <t xml:space="preserve"> VETU </t>
  </si>
  <si>
    <t xml:space="preserve"> DUVERNOY </t>
  </si>
  <si>
    <t xml:space="preserve"> VERBRACKEL </t>
  </si>
  <si>
    <t xml:space="preserve"> DEBAR </t>
  </si>
  <si>
    <t xml:space="preserve"> CHIEREGHIN </t>
  </si>
  <si>
    <t xml:space="preserve"> TOUFFREVILLE TENNIS DE TA </t>
  </si>
  <si>
    <t xml:space="preserve"> DUBERNET </t>
  </si>
  <si>
    <t xml:space="preserve"> JAMA </t>
  </si>
  <si>
    <t xml:space="preserve"> ROUS </t>
  </si>
  <si>
    <t xml:space="preserve"> TRENDA </t>
  </si>
  <si>
    <t xml:space="preserve"> OCHMANN </t>
  </si>
  <si>
    <t xml:space="preserve"> PIEDBOIS </t>
  </si>
  <si>
    <t xml:space="preserve"> COLLON </t>
  </si>
  <si>
    <t xml:space="preserve"> MARCK </t>
  </si>
  <si>
    <t xml:space="preserve"> VAROQUI </t>
  </si>
  <si>
    <t xml:space="preserve"> HERSART </t>
  </si>
  <si>
    <t xml:space="preserve"> BERISSET </t>
  </si>
  <si>
    <t xml:space="preserve"> VAILLE </t>
  </si>
  <si>
    <t xml:space="preserve"> BARDIN </t>
  </si>
  <si>
    <t xml:space="preserve"> JAULIN </t>
  </si>
  <si>
    <t xml:space="preserve"> BARBANCON </t>
  </si>
  <si>
    <t xml:space="preserve"> GABLE </t>
  </si>
  <si>
    <t xml:space="preserve"> Étienne </t>
  </si>
  <si>
    <t xml:space="preserve"> MERIC </t>
  </si>
  <si>
    <t xml:space="preserve"> Altan </t>
  </si>
  <si>
    <t xml:space="preserve"> LATOUCHE </t>
  </si>
  <si>
    <t xml:space="preserve"> PLANTARD </t>
  </si>
  <si>
    <t xml:space="preserve"> SOUPRAYEN </t>
  </si>
  <si>
    <t xml:space="preserve"> FRANCAIS DEMAY </t>
  </si>
  <si>
    <t xml:space="preserve"> BONNY </t>
  </si>
  <si>
    <t xml:space="preserve"> LIBESSART </t>
  </si>
  <si>
    <t xml:space="preserve"> LARROUY </t>
  </si>
  <si>
    <t xml:space="preserve"> Jc </t>
  </si>
  <si>
    <t xml:space="preserve"> GOUSSU </t>
  </si>
  <si>
    <t xml:space="preserve"> DE GROSSOUVRE </t>
  </si>
  <si>
    <t xml:space="preserve"> LIKILIKI </t>
  </si>
  <si>
    <t xml:space="preserve"> Ateléa </t>
  </si>
  <si>
    <t xml:space="preserve"> DEKENS </t>
  </si>
  <si>
    <t xml:space="preserve"> GRAVEZ </t>
  </si>
  <si>
    <t xml:space="preserve"> SIBY </t>
  </si>
  <si>
    <t xml:space="preserve"> FOISELLE </t>
  </si>
  <si>
    <t xml:space="preserve"> GOASCOZ </t>
  </si>
  <si>
    <t xml:space="preserve"> FIGEAT </t>
  </si>
  <si>
    <t xml:space="preserve"> AMBERT </t>
  </si>
  <si>
    <t xml:space="preserve"> THIOLAT </t>
  </si>
  <si>
    <t xml:space="preserve"> FRIESS </t>
  </si>
  <si>
    <t xml:space="preserve"> DUTEURTRE </t>
  </si>
  <si>
    <t xml:space="preserve"> RALITERASON </t>
  </si>
  <si>
    <t xml:space="preserve"> Radotiana </t>
  </si>
  <si>
    <t xml:space="preserve"> CLAUSE </t>
  </si>
  <si>
    <t xml:space="preserve"> PAULOIN </t>
  </si>
  <si>
    <t xml:space="preserve"> CRESTA </t>
  </si>
  <si>
    <t xml:space="preserve"> SECCIA </t>
  </si>
  <si>
    <t xml:space="preserve"> POTSCHKE </t>
  </si>
  <si>
    <t xml:space="preserve"> Johannes </t>
  </si>
  <si>
    <t xml:space="preserve"> POIZAT </t>
  </si>
  <si>
    <t xml:space="preserve"> COSTIOU </t>
  </si>
  <si>
    <t xml:space="preserve"> Josian </t>
  </si>
  <si>
    <t xml:space="preserve"> TUDAL </t>
  </si>
  <si>
    <t xml:space="preserve"> CARRÉ </t>
  </si>
  <si>
    <t xml:space="preserve"> MONCHABLON </t>
  </si>
  <si>
    <t xml:space="preserve"> FABRY </t>
  </si>
  <si>
    <t xml:space="preserve"> RALINORO </t>
  </si>
  <si>
    <t xml:space="preserve"> MAFFETTONE </t>
  </si>
  <si>
    <t xml:space="preserve"> BLANCHEMAIN </t>
  </si>
  <si>
    <t xml:space="preserve"> THOLLET </t>
  </si>
  <si>
    <t xml:space="preserve"> DANDRIEU </t>
  </si>
  <si>
    <t xml:space="preserve"> LANNES </t>
  </si>
  <si>
    <t xml:space="preserve"> FRAIPONT </t>
  </si>
  <si>
    <t xml:space="preserve"> FELLONEAU </t>
  </si>
  <si>
    <t xml:space="preserve"> LE GOAS </t>
  </si>
  <si>
    <t xml:space="preserve"> MATELOT </t>
  </si>
  <si>
    <t xml:space="preserve"> LEVERRIER </t>
  </si>
  <si>
    <t xml:space="preserve"> AIRAULT </t>
  </si>
  <si>
    <t xml:space="preserve"> PAOLI </t>
  </si>
  <si>
    <t xml:space="preserve"> LIBERGE </t>
  </si>
  <si>
    <t xml:space="preserve"> MEYLHEUC </t>
  </si>
  <si>
    <t xml:space="preserve"> TOILLON </t>
  </si>
  <si>
    <t xml:space="preserve"> LAFERTE </t>
  </si>
  <si>
    <t xml:space="preserve"> GOUFFRAN </t>
  </si>
  <si>
    <t xml:space="preserve"> CLAUSON </t>
  </si>
  <si>
    <t xml:space="preserve"> TASSERIE </t>
  </si>
  <si>
    <t xml:space="preserve"> TURC </t>
  </si>
  <si>
    <t xml:space="preserve"> THAMIE </t>
  </si>
  <si>
    <t xml:space="preserve"> MELOIS </t>
  </si>
  <si>
    <t xml:space="preserve"> DELMOLY </t>
  </si>
  <si>
    <t xml:space="preserve"> SELLOS </t>
  </si>
  <si>
    <t xml:space="preserve"> LOVIAT </t>
  </si>
  <si>
    <t xml:space="preserve"> BROSSAY </t>
  </si>
  <si>
    <t xml:space="preserve"> HAUTREUX </t>
  </si>
  <si>
    <t xml:space="preserve"> HALES </t>
  </si>
  <si>
    <t xml:space="preserve"> LE CLECH </t>
  </si>
  <si>
    <t xml:space="preserve"> OPPIZZI </t>
  </si>
  <si>
    <t xml:space="preserve"> MELARD </t>
  </si>
  <si>
    <t xml:space="preserve"> COIFFIER </t>
  </si>
  <si>
    <t xml:space="preserve"> PEROL </t>
  </si>
  <si>
    <t xml:space="preserve"> LENIERE </t>
  </si>
  <si>
    <t xml:space="preserve"> GENIER </t>
  </si>
  <si>
    <t xml:space="preserve"> HAHN </t>
  </si>
  <si>
    <t xml:space="preserve"> QUINON </t>
  </si>
  <si>
    <t xml:space="preserve"> TVERDENKO </t>
  </si>
  <si>
    <t xml:space="preserve"> DELAHAY </t>
  </si>
  <si>
    <t xml:space="preserve"> LE PING THOROIS </t>
  </si>
  <si>
    <t xml:space="preserve"> DESMARCHAIS </t>
  </si>
  <si>
    <t xml:space="preserve"> GITEAU </t>
  </si>
  <si>
    <t xml:space="preserve"> ESPIEU </t>
  </si>
  <si>
    <t xml:space="preserve"> HERMELINE </t>
  </si>
  <si>
    <t xml:space="preserve"> TIERSOONE </t>
  </si>
  <si>
    <t xml:space="preserve"> CAILLIBOT </t>
  </si>
  <si>
    <t xml:space="preserve"> DELAUNOIS </t>
  </si>
  <si>
    <t xml:space="preserve"> JARZEMBOWSKI </t>
  </si>
  <si>
    <t xml:space="preserve"> Flavio </t>
  </si>
  <si>
    <t xml:space="preserve"> MARCEAU </t>
  </si>
  <si>
    <t xml:space="preserve"> RONZON </t>
  </si>
  <si>
    <t xml:space="preserve"> CORBI </t>
  </si>
  <si>
    <t xml:space="preserve"> TAMBORRINI </t>
  </si>
  <si>
    <t xml:space="preserve"> BRUANDET </t>
  </si>
  <si>
    <t xml:space="preserve"> GAMBA </t>
  </si>
  <si>
    <t xml:space="preserve"> TT SIMIANE COLLONGUE </t>
  </si>
  <si>
    <t xml:space="preserve"> DECHELETTE </t>
  </si>
  <si>
    <t xml:space="preserve"> COLLOREC </t>
  </si>
  <si>
    <t xml:space="preserve"> BANNWARTH </t>
  </si>
  <si>
    <t xml:space="preserve"> VINEE </t>
  </si>
  <si>
    <t xml:space="preserve"> SERVIEN </t>
  </si>
  <si>
    <t xml:space="preserve"> GAUDRE </t>
  </si>
  <si>
    <t xml:space="preserve"> FIOL </t>
  </si>
  <si>
    <t xml:space="preserve"> MEMIN </t>
  </si>
  <si>
    <t xml:space="preserve"> RECULEAU </t>
  </si>
  <si>
    <t xml:space="preserve"> QIAN </t>
  </si>
  <si>
    <t xml:space="preserve"> Yun </t>
  </si>
  <si>
    <t xml:space="preserve"> WONG </t>
  </si>
  <si>
    <t xml:space="preserve"> DE PASQUALE </t>
  </si>
  <si>
    <t xml:space="preserve"> LOIE </t>
  </si>
  <si>
    <t xml:space="preserve"> MONTEFERRARIO </t>
  </si>
  <si>
    <t xml:space="preserve"> GUILLAY </t>
  </si>
  <si>
    <t xml:space="preserve"> PIMPY </t>
  </si>
  <si>
    <t xml:space="preserve"> GARDIC </t>
  </si>
  <si>
    <t xml:space="preserve"> MINELLA </t>
  </si>
  <si>
    <t xml:space="preserve"> LHERMITE </t>
  </si>
  <si>
    <t xml:space="preserve"> ISSOULIE </t>
  </si>
  <si>
    <t xml:space="preserve"> JULIOT </t>
  </si>
  <si>
    <t xml:space="preserve"> VERNETTE </t>
  </si>
  <si>
    <t xml:space="preserve"> TABERLET </t>
  </si>
  <si>
    <t xml:space="preserve"> Jean Christian </t>
  </si>
  <si>
    <t xml:space="preserve"> CRAQUELIN </t>
  </si>
  <si>
    <t xml:space="preserve"> TERTU </t>
  </si>
  <si>
    <t xml:space="preserve"> PING CATURIGE </t>
  </si>
  <si>
    <t xml:space="preserve"> LE GRILL </t>
  </si>
  <si>
    <t xml:space="preserve"> AFGOUN </t>
  </si>
  <si>
    <t xml:space="preserve"> Gaétan </t>
  </si>
  <si>
    <t xml:space="preserve"> LE MORVAN </t>
  </si>
  <si>
    <t xml:space="preserve"> PERRIN JULLIEN </t>
  </si>
  <si>
    <t xml:space="preserve"> COUDIERE </t>
  </si>
  <si>
    <t xml:space="preserve"> EGEA </t>
  </si>
  <si>
    <t xml:space="preserve"> DEBOURG </t>
  </si>
  <si>
    <t xml:space="preserve"> PITARD </t>
  </si>
  <si>
    <t xml:space="preserve"> DENJEAN </t>
  </si>
  <si>
    <t xml:space="preserve"> GARAYT </t>
  </si>
  <si>
    <t xml:space="preserve"> REIX </t>
  </si>
  <si>
    <t xml:space="preserve"> BLIGUET </t>
  </si>
  <si>
    <t xml:space="preserve"> TAYEB </t>
  </si>
  <si>
    <t xml:space="preserve"> SOBCZAK </t>
  </si>
  <si>
    <t xml:space="preserve"> LABARTHE </t>
  </si>
  <si>
    <t xml:space="preserve"> PAWLOWSKI </t>
  </si>
  <si>
    <t xml:space="preserve"> Adam </t>
  </si>
  <si>
    <t xml:space="preserve"> SADORGE </t>
  </si>
  <si>
    <t xml:space="preserve"> BORT </t>
  </si>
  <si>
    <t xml:space="preserve"> SABREJA </t>
  </si>
  <si>
    <t xml:space="preserve"> JULIA </t>
  </si>
  <si>
    <t xml:space="preserve"> DENIZE </t>
  </si>
  <si>
    <t xml:space="preserve"> DEHOUX </t>
  </si>
  <si>
    <t xml:space="preserve"> CALLEJA </t>
  </si>
  <si>
    <t xml:space="preserve"> GESLAND </t>
  </si>
  <si>
    <t xml:space="preserve"> DEKEUKELARE </t>
  </si>
  <si>
    <t xml:space="preserve"> RUMIGAJLOFF </t>
  </si>
  <si>
    <t xml:space="preserve"> GUILLEMPOURQUE </t>
  </si>
  <si>
    <t xml:space="preserve"> LOUBIERE </t>
  </si>
  <si>
    <t xml:space="preserve"> MEILLERAY </t>
  </si>
  <si>
    <t xml:space="preserve"> CHANCEL </t>
  </si>
  <si>
    <t xml:space="preserve"> RIGOMONT </t>
  </si>
  <si>
    <t xml:space="preserve"> RAPATEL </t>
  </si>
  <si>
    <t xml:space="preserve"> GONIN </t>
  </si>
  <si>
    <t xml:space="preserve"> DERBRE </t>
  </si>
  <si>
    <t xml:space="preserve"> CAHAREL </t>
  </si>
  <si>
    <t xml:space="preserve"> PERSIN </t>
  </si>
  <si>
    <t xml:space="preserve"> HIBSCHELE </t>
  </si>
  <si>
    <t xml:space="preserve"> BARRIERA </t>
  </si>
  <si>
    <t xml:space="preserve"> RAMOUDT </t>
  </si>
  <si>
    <t xml:space="preserve"> STRAZEL </t>
  </si>
  <si>
    <t xml:space="preserve"> LELU </t>
  </si>
  <si>
    <t xml:space="preserve"> NERO </t>
  </si>
  <si>
    <t xml:space="preserve"> JURION </t>
  </si>
  <si>
    <t xml:space="preserve"> VALLOT </t>
  </si>
  <si>
    <t xml:space="preserve"> TRESTCHOV </t>
  </si>
  <si>
    <t xml:space="preserve"> JOSON </t>
  </si>
  <si>
    <t xml:space="preserve"> AUGRIS </t>
  </si>
  <si>
    <t xml:space="preserve"> GOISBAULT </t>
  </si>
  <si>
    <t xml:space="preserve"> BOURDEAU </t>
  </si>
  <si>
    <t xml:space="preserve"> GREFFIOZ </t>
  </si>
  <si>
    <t xml:space="preserve"> COTARD </t>
  </si>
  <si>
    <t xml:space="preserve"> BERNARD BOUISSIERES </t>
  </si>
  <si>
    <t xml:space="preserve"> WINTERPELTZ </t>
  </si>
  <si>
    <t xml:space="preserve"> JOVET </t>
  </si>
  <si>
    <t xml:space="preserve"> PHILIPPART </t>
  </si>
  <si>
    <t xml:space="preserve"> BARUCHEL </t>
  </si>
  <si>
    <t xml:space="preserve"> MALOISEL </t>
  </si>
  <si>
    <t xml:space="preserve"> LAGOCKI </t>
  </si>
  <si>
    <t xml:space="preserve"> Jean-guilherm </t>
  </si>
  <si>
    <t xml:space="preserve"> CARRO </t>
  </si>
  <si>
    <t xml:space="preserve"> COENAERT </t>
  </si>
  <si>
    <t xml:space="preserve"> ASSE LE BOISNE TT </t>
  </si>
  <si>
    <t xml:space="preserve"> HILLS </t>
  </si>
  <si>
    <t xml:space="preserve"> RIGAUT </t>
  </si>
  <si>
    <t xml:space="preserve"> TATTOLI </t>
  </si>
  <si>
    <t xml:space="preserve"> Cosimo </t>
  </si>
  <si>
    <t xml:space="preserve"> FAIZ </t>
  </si>
  <si>
    <t xml:space="preserve"> Fawzi </t>
  </si>
  <si>
    <t xml:space="preserve"> LE CARDINAL </t>
  </si>
  <si>
    <t xml:space="preserve"> BURGEAUD </t>
  </si>
  <si>
    <t xml:space="preserve"> PILCH </t>
  </si>
  <si>
    <t xml:space="preserve"> PANNECOUCKE </t>
  </si>
  <si>
    <t xml:space="preserve"> BAUDCHON </t>
  </si>
  <si>
    <t xml:space="preserve"> BOUGEANT </t>
  </si>
  <si>
    <t xml:space="preserve"> PERRONNO </t>
  </si>
  <si>
    <t xml:space="preserve"> BUSBE </t>
  </si>
  <si>
    <t xml:space="preserve"> GUICHOU </t>
  </si>
  <si>
    <t xml:space="preserve"> ETCHEVERS </t>
  </si>
  <si>
    <t xml:space="preserve"> ROUGON </t>
  </si>
  <si>
    <t xml:space="preserve"> GUERINET </t>
  </si>
  <si>
    <t xml:space="preserve"> COFFIN </t>
  </si>
  <si>
    <t xml:space="preserve"> Thuan </t>
  </si>
  <si>
    <t xml:space="preserve"> JADAS </t>
  </si>
  <si>
    <t xml:space="preserve"> BASCLE </t>
  </si>
  <si>
    <t xml:space="preserve"> MIDI </t>
  </si>
  <si>
    <t xml:space="preserve"> INGIGLIARDI </t>
  </si>
  <si>
    <t xml:space="preserve"> GERDIL </t>
  </si>
  <si>
    <t xml:space="preserve"> CHOLOUP </t>
  </si>
  <si>
    <t xml:space="preserve"> KOENIG </t>
  </si>
  <si>
    <t xml:space="preserve"> BASTIAO </t>
  </si>
  <si>
    <t xml:space="preserve"> MOYART </t>
  </si>
  <si>
    <t xml:space="preserve"> CONDOR </t>
  </si>
  <si>
    <t xml:space="preserve"> ZANARDO </t>
  </si>
  <si>
    <t xml:space="preserve"> VITRY </t>
  </si>
  <si>
    <t xml:space="preserve"> JULIEN-LAFERRIERE </t>
  </si>
  <si>
    <t xml:space="preserve"> DE METS </t>
  </si>
  <si>
    <t xml:space="preserve"> RIOTTE </t>
  </si>
  <si>
    <t xml:space="preserve"> DAVID NILLET </t>
  </si>
  <si>
    <t xml:space="preserve"> GOUHIER </t>
  </si>
  <si>
    <t xml:space="preserve"> OLLIVRO </t>
  </si>
  <si>
    <t xml:space="preserve"> THUIZAT </t>
  </si>
  <si>
    <t xml:space="preserve"> ZANGARI </t>
  </si>
  <si>
    <t xml:space="preserve"> DEBACHY </t>
  </si>
  <si>
    <t xml:space="preserve"> BINAULD </t>
  </si>
  <si>
    <t xml:space="preserve"> SGARD </t>
  </si>
  <si>
    <t xml:space="preserve"> Aubry-max </t>
  </si>
  <si>
    <t xml:space="preserve"> BRUGERE </t>
  </si>
  <si>
    <t xml:space="preserve"> DEL CASTILLO </t>
  </si>
  <si>
    <t xml:space="preserve"> MARMILLOT </t>
  </si>
  <si>
    <t xml:space="preserve"> EGHERMANNE </t>
  </si>
  <si>
    <t xml:space="preserve"> GRELOT </t>
  </si>
  <si>
    <t xml:space="preserve"> Stan </t>
  </si>
  <si>
    <t xml:space="preserve"> SUC </t>
  </si>
  <si>
    <t xml:space="preserve"> BONHIVERS </t>
  </si>
  <si>
    <t xml:space="preserve"> LASCAUX </t>
  </si>
  <si>
    <t xml:space="preserve"> PALMER </t>
  </si>
  <si>
    <t xml:space="preserve"> CAGNARD </t>
  </si>
  <si>
    <t xml:space="preserve"> LEGERET </t>
  </si>
  <si>
    <t xml:space="preserve"> POULTIER </t>
  </si>
  <si>
    <t xml:space="preserve"> LE THAi </t>
  </si>
  <si>
    <t xml:space="preserve"> Bao </t>
  </si>
  <si>
    <t xml:space="preserve"> SCHAAL </t>
  </si>
  <si>
    <t xml:space="preserve"> DELJARRY </t>
  </si>
  <si>
    <t xml:space="preserve"> SANDRET </t>
  </si>
  <si>
    <t xml:space="preserve"> PLOUVIEZ </t>
  </si>
  <si>
    <t xml:space="preserve"> JAUDOIN </t>
  </si>
  <si>
    <t xml:space="preserve"> POUCHIN </t>
  </si>
  <si>
    <t xml:space="preserve"> DESFOSSES </t>
  </si>
  <si>
    <t xml:space="preserve"> MONTBAZIN PING </t>
  </si>
  <si>
    <t xml:space="preserve"> MORTAS </t>
  </si>
  <si>
    <t xml:space="preserve"> SAUMITOU </t>
  </si>
  <si>
    <t xml:space="preserve"> CANOT </t>
  </si>
  <si>
    <t xml:space="preserve"> BERTEAUX </t>
  </si>
  <si>
    <t xml:space="preserve"> LEFRANCAIS </t>
  </si>
  <si>
    <t xml:space="preserve"> DESCHAMBRES </t>
  </si>
  <si>
    <t xml:space="preserve"> BENETEAU </t>
  </si>
  <si>
    <t xml:space="preserve"> LE TOUSSE </t>
  </si>
  <si>
    <t xml:space="preserve"> AS EURO INFORMATION NANTE </t>
  </si>
  <si>
    <t xml:space="preserve"> MARGELIDON </t>
  </si>
  <si>
    <t xml:space="preserve"> PICAVET </t>
  </si>
  <si>
    <t xml:space="preserve"> Luchac-Chassors T T </t>
  </si>
  <si>
    <t xml:space="preserve"> LAMAISON </t>
  </si>
  <si>
    <t xml:space="preserve"> ZAFARANE </t>
  </si>
  <si>
    <t xml:space="preserve"> PARCE </t>
  </si>
  <si>
    <t xml:space="preserve"> WOJCIK </t>
  </si>
  <si>
    <t xml:space="preserve"> IAQUINTA </t>
  </si>
  <si>
    <t xml:space="preserve"> DIOLEZ </t>
  </si>
  <si>
    <t xml:space="preserve"> TISSERANT </t>
  </si>
  <si>
    <t xml:space="preserve"> KEERSTOCK </t>
  </si>
  <si>
    <t xml:space="preserve"> ALLOUET </t>
  </si>
  <si>
    <t xml:space="preserve"> POUCHOY </t>
  </si>
  <si>
    <t xml:space="preserve"> LE MEE </t>
  </si>
  <si>
    <t xml:space="preserve"> ENJOLRAS </t>
  </si>
  <si>
    <t xml:space="preserve"> MICHELER </t>
  </si>
  <si>
    <t xml:space="preserve"> Noêl </t>
  </si>
  <si>
    <t xml:space="preserve"> DERUYTER </t>
  </si>
  <si>
    <t xml:space="preserve"> MILHORAT </t>
  </si>
  <si>
    <t xml:space="preserve"> HOSTEIN </t>
  </si>
  <si>
    <t xml:space="preserve"> COIGDARENS </t>
  </si>
  <si>
    <t xml:space="preserve"> LOVAGLIO </t>
  </si>
  <si>
    <t xml:space="preserve"> MURAT </t>
  </si>
  <si>
    <t xml:space="preserve"> CHABOUD </t>
  </si>
  <si>
    <t xml:space="preserve"> DE LAMARLIERE </t>
  </si>
  <si>
    <t xml:space="preserve"> DARENNE </t>
  </si>
  <si>
    <t xml:space="preserve"> BESLIER </t>
  </si>
  <si>
    <t xml:space="preserve"> PENDANT </t>
  </si>
  <si>
    <t xml:space="preserve"> BERTHAT </t>
  </si>
  <si>
    <t xml:space="preserve"> JABES </t>
  </si>
  <si>
    <t xml:space="preserve"> LE GOURRIER </t>
  </si>
  <si>
    <t xml:space="preserve"> J-claude </t>
  </si>
  <si>
    <t xml:space="preserve"> LIESS </t>
  </si>
  <si>
    <t xml:space="preserve"> CHASTAGNAC </t>
  </si>
  <si>
    <t xml:space="preserve"> FALTOT </t>
  </si>
  <si>
    <t xml:space="preserve"> KLOWSKOWSKY </t>
  </si>
  <si>
    <t xml:space="preserve"> GRAJNERT </t>
  </si>
  <si>
    <t xml:space="preserve"> BIMONT </t>
  </si>
  <si>
    <t xml:space="preserve"> Jean -marc </t>
  </si>
  <si>
    <t xml:space="preserve"> GIANELLA </t>
  </si>
  <si>
    <t xml:space="preserve"> IMPEDOVO </t>
  </si>
  <si>
    <t xml:space="preserve"> FONT </t>
  </si>
  <si>
    <t xml:space="preserve"> FORNASARI </t>
  </si>
  <si>
    <t xml:space="preserve"> PAKEL </t>
  </si>
  <si>
    <t xml:space="preserve"> GUIDE </t>
  </si>
  <si>
    <t xml:space="preserve"> VANDERDONCKT </t>
  </si>
  <si>
    <t xml:space="preserve"> MOTA DOS SANTOS </t>
  </si>
  <si>
    <t xml:space="preserve"> CONTER </t>
  </si>
  <si>
    <t xml:space="preserve"> FUEHRER </t>
  </si>
  <si>
    <t xml:space="preserve"> DERU </t>
  </si>
  <si>
    <t xml:space="preserve"> CASTANG </t>
  </si>
  <si>
    <t xml:space="preserve"> VANKEMMEL </t>
  </si>
  <si>
    <t xml:space="preserve"> Pierre Yves </t>
  </si>
  <si>
    <t xml:space="preserve"> MONSTERLET </t>
  </si>
  <si>
    <t xml:space="preserve"> DRONIOU </t>
  </si>
  <si>
    <t xml:space="preserve"> GOS </t>
  </si>
  <si>
    <t xml:space="preserve"> WILQUIN </t>
  </si>
  <si>
    <t xml:space="preserve"> AUXENFANS </t>
  </si>
  <si>
    <t xml:space="preserve"> ELUECQUE </t>
  </si>
  <si>
    <t xml:space="preserve"> SASSELLA </t>
  </si>
  <si>
    <t xml:space="preserve"> GISORS </t>
  </si>
  <si>
    <t xml:space="preserve"> CONGIU </t>
  </si>
  <si>
    <t xml:space="preserve"> Danny </t>
  </si>
  <si>
    <t xml:space="preserve"> FENET </t>
  </si>
  <si>
    <t xml:space="preserve"> HAURAT </t>
  </si>
  <si>
    <t xml:space="preserve"> PREAUD </t>
  </si>
  <si>
    <t xml:space="preserve"> DEBAERT </t>
  </si>
  <si>
    <t xml:space="preserve"> BENITEZ </t>
  </si>
  <si>
    <t xml:space="preserve"> DECAY </t>
  </si>
  <si>
    <t xml:space="preserve"> MODAT </t>
  </si>
  <si>
    <t xml:space="preserve"> LUIS </t>
  </si>
  <si>
    <t xml:space="preserve"> CHAPPEL </t>
  </si>
  <si>
    <t xml:space="preserve"> RIPPE </t>
  </si>
  <si>
    <t xml:space="preserve"> BRASSELET </t>
  </si>
  <si>
    <t xml:space="preserve"> GRASSIN </t>
  </si>
  <si>
    <t xml:space="preserve"> PARAGEAUD </t>
  </si>
  <si>
    <t xml:space="preserve"> BELOTTI </t>
  </si>
  <si>
    <t xml:space="preserve"> FERTON </t>
  </si>
  <si>
    <t xml:space="preserve"> BUSSETI </t>
  </si>
  <si>
    <t xml:space="preserve"> CANCE </t>
  </si>
  <si>
    <t xml:space="preserve"> DRUCBERT </t>
  </si>
  <si>
    <t xml:space="preserve"> CABOUILLET </t>
  </si>
  <si>
    <t xml:space="preserve"> Yanneck </t>
  </si>
  <si>
    <t xml:space="preserve"> VOGIN </t>
  </si>
  <si>
    <t xml:space="preserve"> BOURQUENCIER </t>
  </si>
  <si>
    <t xml:space="preserve"> FOHRER </t>
  </si>
  <si>
    <t xml:space="preserve"> DACQUIN </t>
  </si>
  <si>
    <t xml:space="preserve"> DIEULOUARD F.J.E.P. </t>
  </si>
  <si>
    <t xml:space="preserve"> ALFF </t>
  </si>
  <si>
    <t xml:space="preserve"> BOUKOU </t>
  </si>
  <si>
    <t xml:space="preserve"> PROTIN </t>
  </si>
  <si>
    <t xml:space="preserve"> MORIZOT </t>
  </si>
  <si>
    <t xml:space="preserve"> RABASTE </t>
  </si>
  <si>
    <t xml:space="preserve"> GROGUELIN </t>
  </si>
  <si>
    <t xml:space="preserve"> LEBAIL </t>
  </si>
  <si>
    <t xml:space="preserve"> LINO </t>
  </si>
  <si>
    <t xml:space="preserve"> RECHTMAN </t>
  </si>
  <si>
    <t xml:space="preserve"> BOUCHAIRE </t>
  </si>
  <si>
    <t xml:space="preserve"> SUDANO </t>
  </si>
  <si>
    <t xml:space="preserve"> LAMERANT </t>
  </si>
  <si>
    <t xml:space="preserve"> BURESI </t>
  </si>
  <si>
    <t xml:space="preserve"> FOLLET </t>
  </si>
  <si>
    <t xml:space="preserve"> LINARES </t>
  </si>
  <si>
    <t xml:space="preserve"> PIETROVSKI </t>
  </si>
  <si>
    <t xml:space="preserve"> LE SAINT </t>
  </si>
  <si>
    <t xml:space="preserve"> DAY </t>
  </si>
  <si>
    <t xml:space="preserve"> SEVENO </t>
  </si>
  <si>
    <t xml:space="preserve"> ATTRAIT </t>
  </si>
  <si>
    <t xml:space="preserve"> NOBLANC </t>
  </si>
  <si>
    <t xml:space="preserve"> RIQUIN </t>
  </si>
  <si>
    <t xml:space="preserve"> TROCHU </t>
  </si>
  <si>
    <t xml:space="preserve"> CZUBA </t>
  </si>
  <si>
    <t xml:space="preserve"> JAUNIAUX </t>
  </si>
  <si>
    <t xml:space="preserve"> PECHE </t>
  </si>
  <si>
    <t xml:space="preserve"> SEMINARA </t>
  </si>
  <si>
    <t xml:space="preserve"> CHAUBET </t>
  </si>
  <si>
    <t xml:space="preserve"> LIPP-GEORGE </t>
  </si>
  <si>
    <t xml:space="preserve"> SIGIEZ </t>
  </si>
  <si>
    <t xml:space="preserve"> RAPI </t>
  </si>
  <si>
    <t xml:space="preserve"> WYTTENBACH </t>
  </si>
  <si>
    <t xml:space="preserve"> NOYE </t>
  </si>
  <si>
    <t xml:space="preserve"> ASTT BREZOLLES </t>
  </si>
  <si>
    <t xml:space="preserve"> DAHMANI </t>
  </si>
  <si>
    <t xml:space="preserve"> BOUILLIEZ </t>
  </si>
  <si>
    <t xml:space="preserve"> CONDAMINE </t>
  </si>
  <si>
    <t xml:space="preserve"> CALS </t>
  </si>
  <si>
    <t xml:space="preserve"> DEBUSE </t>
  </si>
  <si>
    <t xml:space="preserve"> BOCCIARELLI </t>
  </si>
  <si>
    <t xml:space="preserve"> AMIGUES </t>
  </si>
  <si>
    <t xml:space="preserve"> PUTIGNY </t>
  </si>
  <si>
    <t xml:space="preserve"> KAISER </t>
  </si>
  <si>
    <t xml:space="preserve"> NACHON </t>
  </si>
  <si>
    <t xml:space="preserve"> SCHUSTER </t>
  </si>
  <si>
    <t xml:space="preserve"> ROULLOIS </t>
  </si>
  <si>
    <t xml:space="preserve"> LAGNOUX </t>
  </si>
  <si>
    <t xml:space="preserve"> MENTEUR </t>
  </si>
  <si>
    <t xml:space="preserve"> BONNIER </t>
  </si>
  <si>
    <t xml:space="preserve"> PASSICOT </t>
  </si>
  <si>
    <t xml:space="preserve"> LIMONET </t>
  </si>
  <si>
    <t xml:space="preserve"> AUDRIEU </t>
  </si>
  <si>
    <t xml:space="preserve"> BUIGUEZ </t>
  </si>
  <si>
    <t xml:space="preserve"> COMES </t>
  </si>
  <si>
    <t xml:space="preserve"> José julien </t>
  </si>
  <si>
    <t xml:space="preserve"> VANDWALLE </t>
  </si>
  <si>
    <t xml:space="preserve"> CLEUX </t>
  </si>
  <si>
    <t xml:space="preserve"> BENMEDDOUR </t>
  </si>
  <si>
    <t xml:space="preserve"> Farouk </t>
  </si>
  <si>
    <t xml:space="preserve"> DROTHIERE </t>
  </si>
  <si>
    <t xml:space="preserve"> CALVENTUS </t>
  </si>
  <si>
    <t xml:space="preserve"> PRADALIE </t>
  </si>
  <si>
    <t xml:space="preserve"> DHENNE </t>
  </si>
  <si>
    <t xml:space="preserve"> GRISARD </t>
  </si>
  <si>
    <t xml:space="preserve"> BOUILLAUD </t>
  </si>
  <si>
    <t xml:space="preserve"> CHAFFANGEON </t>
  </si>
  <si>
    <t xml:space="preserve"> GAUTRAIS </t>
  </si>
  <si>
    <t xml:space="preserve"> GAZON </t>
  </si>
  <si>
    <t xml:space="preserve"> Tuan </t>
  </si>
  <si>
    <t xml:space="preserve"> DUVAUCHEL </t>
  </si>
  <si>
    <t xml:space="preserve"> MASQUELIER </t>
  </si>
  <si>
    <t xml:space="preserve"> BRIAUD </t>
  </si>
  <si>
    <t xml:space="preserve"> Montendre Club Omnisport </t>
  </si>
  <si>
    <t xml:space="preserve"> BOUILLOUX </t>
  </si>
  <si>
    <t xml:space="preserve"> FACCHETTI </t>
  </si>
  <si>
    <t xml:space="preserve"> SHARAF ELDIN </t>
  </si>
  <si>
    <t xml:space="preserve"> CORBREJAUD </t>
  </si>
  <si>
    <t xml:space="preserve"> PIERRE-LOUIS </t>
  </si>
  <si>
    <t xml:space="preserve"> DURAC </t>
  </si>
  <si>
    <t xml:space="preserve"> HAGNERE </t>
  </si>
  <si>
    <t xml:space="preserve"> VOTIER </t>
  </si>
  <si>
    <t xml:space="preserve"> CHARCELLAY </t>
  </si>
  <si>
    <t xml:space="preserve"> HOUNKPATIN </t>
  </si>
  <si>
    <t xml:space="preserve"> Renaud roland </t>
  </si>
  <si>
    <t xml:space="preserve"> TAILLARDAS </t>
  </si>
  <si>
    <t xml:space="preserve"> GAINCHE </t>
  </si>
  <si>
    <t xml:space="preserve"> MARIS </t>
  </si>
  <si>
    <t xml:space="preserve"> CHAPOLARD </t>
  </si>
  <si>
    <t xml:space="preserve"> BERTHELIER </t>
  </si>
  <si>
    <t xml:space="preserve"> Jacques olivier </t>
  </si>
  <si>
    <t xml:space="preserve"> VIGOR </t>
  </si>
  <si>
    <t xml:space="preserve"> GUIBBERT </t>
  </si>
  <si>
    <t xml:space="preserve"> COYERE </t>
  </si>
  <si>
    <t xml:space="preserve"> FOUILLADE </t>
  </si>
  <si>
    <t xml:space="preserve"> MALRAS </t>
  </si>
  <si>
    <t xml:space="preserve"> SOS </t>
  </si>
  <si>
    <t xml:space="preserve"> Hamly </t>
  </si>
  <si>
    <t xml:space="preserve"> DEZUTTER </t>
  </si>
  <si>
    <t xml:space="preserve"> DELGRANGE </t>
  </si>
  <si>
    <t xml:space="preserve"> DILVY </t>
  </si>
  <si>
    <t xml:space="preserve"> CHARRIERE </t>
  </si>
  <si>
    <t xml:space="preserve"> FERNAND </t>
  </si>
  <si>
    <t xml:space="preserve"> FESTI </t>
  </si>
  <si>
    <t xml:space="preserve"> MAKSEM </t>
  </si>
  <si>
    <t xml:space="preserve"> TASSIE </t>
  </si>
  <si>
    <t xml:space="preserve"> LE TUTOUR </t>
  </si>
  <si>
    <t xml:space="preserve"> MIRET </t>
  </si>
  <si>
    <t xml:space="preserve"> LIBERT </t>
  </si>
  <si>
    <t xml:space="preserve"> LELLI </t>
  </si>
  <si>
    <t xml:space="preserve"> Andrea </t>
  </si>
  <si>
    <t xml:space="preserve"> JONES </t>
  </si>
  <si>
    <t xml:space="preserve"> CHARAVET </t>
  </si>
  <si>
    <t xml:space="preserve"> DHEILLY </t>
  </si>
  <si>
    <t xml:space="preserve"> GUEZENEC </t>
  </si>
  <si>
    <t xml:space="preserve"> MONTAMAT </t>
  </si>
  <si>
    <t xml:space="preserve"> PRESSENSE </t>
  </si>
  <si>
    <t xml:space="preserve"> GOMBAUD </t>
  </si>
  <si>
    <t xml:space="preserve"> CHABROLLE </t>
  </si>
  <si>
    <t xml:space="preserve"> MAYOT </t>
  </si>
  <si>
    <t xml:space="preserve"> COUFFINAL </t>
  </si>
  <si>
    <t xml:space="preserve"> DOSSEREAUX </t>
  </si>
  <si>
    <t xml:space="preserve"> BENHARDON </t>
  </si>
  <si>
    <t xml:space="preserve"> CROUSSE </t>
  </si>
  <si>
    <t xml:space="preserve"> SARKISSIAN </t>
  </si>
  <si>
    <t xml:space="preserve"> Joannes </t>
  </si>
  <si>
    <t xml:space="preserve"> GAINON </t>
  </si>
  <si>
    <t xml:space="preserve"> OFFORD </t>
  </si>
  <si>
    <t xml:space="preserve"> SAINT-MARC </t>
  </si>
  <si>
    <t xml:space="preserve"> JACOBY </t>
  </si>
  <si>
    <t xml:space="preserve"> HATZIKYRIAKIDIS </t>
  </si>
  <si>
    <t xml:space="preserve"> Kosta </t>
  </si>
  <si>
    <t xml:space="preserve"> GUILLERME </t>
  </si>
  <si>
    <t xml:space="preserve"> MAZZORAN </t>
  </si>
  <si>
    <t xml:space="preserve"> MARKOVIC </t>
  </si>
  <si>
    <t xml:space="preserve"> Dragan </t>
  </si>
  <si>
    <t xml:space="preserve"> TINTIN-ZACHILLE </t>
  </si>
  <si>
    <t xml:space="preserve"> MOUTON </t>
  </si>
  <si>
    <t xml:space="preserve"> HASSAN </t>
  </si>
  <si>
    <t xml:space="preserve"> PESSEAT </t>
  </si>
  <si>
    <t xml:space="preserve"> MELOUX </t>
  </si>
  <si>
    <t xml:space="preserve"> COTTARD </t>
  </si>
  <si>
    <t xml:space="preserve"> TOURDOT </t>
  </si>
  <si>
    <t xml:space="preserve"> DOMART </t>
  </si>
  <si>
    <t xml:space="preserve"> GHOSN </t>
  </si>
  <si>
    <t xml:space="preserve"> Elias </t>
  </si>
  <si>
    <t xml:space="preserve"> VIGNOT </t>
  </si>
  <si>
    <t xml:space="preserve"> MAERTEN </t>
  </si>
  <si>
    <t xml:space="preserve"> CALEGARI </t>
  </si>
  <si>
    <t xml:space="preserve"> LENSEL </t>
  </si>
  <si>
    <t xml:space="preserve"> LIEBAERT </t>
  </si>
  <si>
    <t xml:space="preserve"> LE PRIVE </t>
  </si>
  <si>
    <t xml:space="preserve"> MARANDET </t>
  </si>
  <si>
    <t xml:space="preserve"> PELERBE </t>
  </si>
  <si>
    <t xml:space="preserve"> BERTHUCAT </t>
  </si>
  <si>
    <t xml:space="preserve"> SUHR </t>
  </si>
  <si>
    <t xml:space="preserve"> PINAUD </t>
  </si>
  <si>
    <t xml:space="preserve"> VIEILLARD </t>
  </si>
  <si>
    <t xml:space="preserve"> GORIOT </t>
  </si>
  <si>
    <t xml:space="preserve"> BOITE </t>
  </si>
  <si>
    <t xml:space="preserve"> PIRUS </t>
  </si>
  <si>
    <t xml:space="preserve"> TENNIS DE TABLE DE CENSEA </t>
  </si>
  <si>
    <t xml:space="preserve"> Philipp </t>
  </si>
  <si>
    <t xml:space="preserve"> COTINAUT </t>
  </si>
  <si>
    <t xml:space="preserve"> LAVAUZELLE </t>
  </si>
  <si>
    <t xml:space="preserve"> L'HUISSIER </t>
  </si>
  <si>
    <t xml:space="preserve"> DEY </t>
  </si>
  <si>
    <t xml:space="preserve"> PLANTROU </t>
  </si>
  <si>
    <t xml:space="preserve"> OULAD CHRIF </t>
  </si>
  <si>
    <t xml:space="preserve"> OKON </t>
  </si>
  <si>
    <t xml:space="preserve"> GRAFFEILLE </t>
  </si>
  <si>
    <t xml:space="preserve"> MONNIOT </t>
  </si>
  <si>
    <t xml:space="preserve"> VERGNEAU </t>
  </si>
  <si>
    <t xml:space="preserve"> GAUCI </t>
  </si>
  <si>
    <t xml:space="preserve"> CERBELLE </t>
  </si>
  <si>
    <t xml:space="preserve"> FONG </t>
  </si>
  <si>
    <t xml:space="preserve"> HOUPIN </t>
  </si>
  <si>
    <t xml:space="preserve"> ICHE </t>
  </si>
  <si>
    <t xml:space="preserve"> AMEYE </t>
  </si>
  <si>
    <t xml:space="preserve"> RETORE </t>
  </si>
  <si>
    <t xml:space="preserve"> KOLENDA </t>
  </si>
  <si>
    <t xml:space="preserve"> DEVUN </t>
  </si>
  <si>
    <t xml:space="preserve"> GENOUX </t>
  </si>
  <si>
    <t xml:space="preserve"> PEYREFICHE </t>
  </si>
  <si>
    <t xml:space="preserve"> RAULIN </t>
  </si>
  <si>
    <t xml:space="preserve"> DI DONATO </t>
  </si>
  <si>
    <t xml:space="preserve"> WAMBST </t>
  </si>
  <si>
    <t xml:space="preserve"> DUSSAUX </t>
  </si>
  <si>
    <t xml:space="preserve"> LACAES </t>
  </si>
  <si>
    <t xml:space="preserve"> MARE </t>
  </si>
  <si>
    <t xml:space="preserve"> FERDINAND </t>
  </si>
  <si>
    <t xml:space="preserve"> CAILLE </t>
  </si>
  <si>
    <t xml:space="preserve"> POUSSET </t>
  </si>
  <si>
    <t xml:space="preserve"> LANSEUR </t>
  </si>
  <si>
    <t xml:space="preserve"> BELESTAT </t>
  </si>
  <si>
    <t xml:space="preserve"> LEZE </t>
  </si>
  <si>
    <t xml:space="preserve"> THAILLE </t>
  </si>
  <si>
    <t xml:space="preserve"> ABIS </t>
  </si>
  <si>
    <t xml:space="preserve"> YSABEL </t>
  </si>
  <si>
    <t xml:space="preserve"> PLOTTON </t>
  </si>
  <si>
    <t xml:space="preserve"> MAUBRU </t>
  </si>
  <si>
    <t xml:space="preserve"> CARRATT </t>
  </si>
  <si>
    <t xml:space="preserve"> AMICOLA </t>
  </si>
  <si>
    <t xml:space="preserve"> DENANT </t>
  </si>
  <si>
    <t xml:space="preserve"> LEZIER </t>
  </si>
  <si>
    <t xml:space="preserve"> CHAZOT </t>
  </si>
  <si>
    <t xml:space="preserve"> RUGA </t>
  </si>
  <si>
    <t xml:space="preserve"> OMNES </t>
  </si>
  <si>
    <t xml:space="preserve"> PAVIC </t>
  </si>
  <si>
    <t xml:space="preserve"> COURNARIE </t>
  </si>
  <si>
    <t xml:space="preserve"> LINGLIN </t>
  </si>
  <si>
    <t xml:space="preserve"> PULTIER </t>
  </si>
  <si>
    <t xml:space="preserve"> AMBROSIONI </t>
  </si>
  <si>
    <t xml:space="preserve"> PITOIS </t>
  </si>
  <si>
    <t xml:space="preserve"> CHAUDET </t>
  </si>
  <si>
    <t xml:space="preserve"> JEGU </t>
  </si>
  <si>
    <t xml:space="preserve"> PASSAGEON </t>
  </si>
  <si>
    <t xml:space="preserve"> BULCIAGHY </t>
  </si>
  <si>
    <t xml:space="preserve"> NAERHUYSEN </t>
  </si>
  <si>
    <t xml:space="preserve"> GUIFFES </t>
  </si>
  <si>
    <t xml:space="preserve"> BERGUE </t>
  </si>
  <si>
    <t xml:space="preserve"> MAYNARD </t>
  </si>
  <si>
    <t xml:space="preserve"> Keith </t>
  </si>
  <si>
    <t xml:space="preserve"> LE BEC </t>
  </si>
  <si>
    <t xml:space="preserve"> WREMBEL </t>
  </si>
  <si>
    <t xml:space="preserve"> DORFFER </t>
  </si>
  <si>
    <t xml:space="preserve"> TSCHAN </t>
  </si>
  <si>
    <t xml:space="preserve"> SAGNARD </t>
  </si>
  <si>
    <t xml:space="preserve"> DOLFI </t>
  </si>
  <si>
    <t xml:space="preserve"> LORY </t>
  </si>
  <si>
    <t xml:space="preserve"> DEBLONDE </t>
  </si>
  <si>
    <t xml:space="preserve"> VIGNEAUD </t>
  </si>
  <si>
    <t xml:space="preserve"> TAUPIN </t>
  </si>
  <si>
    <t xml:space="preserve"> MIE </t>
  </si>
  <si>
    <t xml:space="preserve"> DEJEAN </t>
  </si>
  <si>
    <t xml:space="preserve"> FILLET </t>
  </si>
  <si>
    <t xml:space="preserve"> BOCQUEL </t>
  </si>
  <si>
    <t xml:space="preserve"> ARMENGAUD </t>
  </si>
  <si>
    <t xml:space="preserve"> SAVANT </t>
  </si>
  <si>
    <t xml:space="preserve"> DECONCHE </t>
  </si>
  <si>
    <t xml:space="preserve"> POURTIER </t>
  </si>
  <si>
    <t xml:space="preserve"> OURLIAC </t>
  </si>
  <si>
    <t xml:space="preserve"> YVER </t>
  </si>
  <si>
    <t xml:space="preserve"> PAINPARAY </t>
  </si>
  <si>
    <t xml:space="preserve"> COTRAIT </t>
  </si>
  <si>
    <t xml:space="preserve"> BEZANNIER </t>
  </si>
  <si>
    <t xml:space="preserve"> REGULUS </t>
  </si>
  <si>
    <t xml:space="preserve"> VILLEROY </t>
  </si>
  <si>
    <t xml:space="preserve"> SCHMUTZ </t>
  </si>
  <si>
    <t xml:space="preserve"> LEGOUEIX </t>
  </si>
  <si>
    <t xml:space="preserve"> LOLLIEROU </t>
  </si>
  <si>
    <t xml:space="preserve"> ALALINARDE </t>
  </si>
  <si>
    <t xml:space="preserve"> LENEPVEU </t>
  </si>
  <si>
    <t xml:space="preserve"> MAERTENS </t>
  </si>
  <si>
    <t xml:space="preserve"> NORIS </t>
  </si>
  <si>
    <t xml:space="preserve"> COULOMBIER </t>
  </si>
  <si>
    <t xml:space="preserve"> BELLERY </t>
  </si>
  <si>
    <t xml:space="preserve"> LAUGER </t>
  </si>
  <si>
    <t xml:space="preserve"> ROUMEGIERAS </t>
  </si>
  <si>
    <t xml:space="preserve"> GAUDRIOT </t>
  </si>
  <si>
    <t xml:space="preserve"> MIGEOT </t>
  </si>
  <si>
    <t xml:space="preserve"> GACHOD </t>
  </si>
  <si>
    <t xml:space="preserve"> Henri louis </t>
  </si>
  <si>
    <t xml:space="preserve"> LABBEZ </t>
  </si>
  <si>
    <t xml:space="preserve"> HEBA </t>
  </si>
  <si>
    <t xml:space="preserve"> PINCHOT </t>
  </si>
  <si>
    <t xml:space="preserve"> CAYRE </t>
  </si>
  <si>
    <t xml:space="preserve"> ROBERGE </t>
  </si>
  <si>
    <t xml:space="preserve"> OUAZI </t>
  </si>
  <si>
    <t xml:space="preserve"> RAMIARAMANANA </t>
  </si>
  <si>
    <t xml:space="preserve"> KARPINSKI </t>
  </si>
  <si>
    <t xml:space="preserve"> RIQUIER </t>
  </si>
  <si>
    <t xml:space="preserve"> FRAIN </t>
  </si>
  <si>
    <t xml:space="preserve"> CHANE PANE </t>
  </si>
  <si>
    <t xml:space="preserve"> LE DISSEZ </t>
  </si>
  <si>
    <t xml:space="preserve"> BOUILLER </t>
  </si>
  <si>
    <t xml:space="preserve"> REGOUIN </t>
  </si>
  <si>
    <t xml:space="preserve"> BENYAHIA </t>
  </si>
  <si>
    <t xml:space="preserve"> Saddek </t>
  </si>
  <si>
    <t xml:space="preserve"> LACOLONGE </t>
  </si>
  <si>
    <t xml:space="preserve"> Henri francois </t>
  </si>
  <si>
    <t xml:space="preserve"> VIGNA </t>
  </si>
  <si>
    <t xml:space="preserve"> BANGARD </t>
  </si>
  <si>
    <t xml:space="preserve"> VEYRADIER </t>
  </si>
  <si>
    <t xml:space="preserve"> Jean alexandre </t>
  </si>
  <si>
    <t xml:space="preserve"> RAMEL </t>
  </si>
  <si>
    <t xml:space="preserve"> KWAN-NING </t>
  </si>
  <si>
    <t xml:space="preserve"> LESCOT </t>
  </si>
  <si>
    <t xml:space="preserve"> KRYSZCZYSZYN </t>
  </si>
  <si>
    <t xml:space="preserve"> FRUCTUS </t>
  </si>
  <si>
    <t xml:space="preserve"> ABBADIE </t>
  </si>
  <si>
    <t xml:space="preserve"> CHEKIR </t>
  </si>
  <si>
    <t xml:space="preserve"> PASCUAL </t>
  </si>
  <si>
    <t xml:space="preserve"> VAIDIS </t>
  </si>
  <si>
    <t xml:space="preserve"> PROUX </t>
  </si>
  <si>
    <t xml:space="preserve"> CHARREAUX </t>
  </si>
  <si>
    <t xml:space="preserve"> LEGLANTIER </t>
  </si>
  <si>
    <t xml:space="preserve"> MOREAUX </t>
  </si>
  <si>
    <t xml:space="preserve"> ANNEREAU </t>
  </si>
  <si>
    <t xml:space="preserve"> DELLINGER </t>
  </si>
  <si>
    <t xml:space="preserve"> SCHMITTVILLER ATT </t>
  </si>
  <si>
    <t xml:space="preserve"> CHAING </t>
  </si>
  <si>
    <t xml:space="preserve"> MELLIKECHE </t>
  </si>
  <si>
    <t xml:space="preserve"> BLITTE </t>
  </si>
  <si>
    <t xml:space="preserve"> BETTOLI </t>
  </si>
  <si>
    <t xml:space="preserve"> COISNE </t>
  </si>
  <si>
    <t xml:space="preserve"> MOSNAT </t>
  </si>
  <si>
    <t xml:space="preserve"> FRERARD </t>
  </si>
  <si>
    <t xml:space="preserve"> BALICHARD </t>
  </si>
  <si>
    <t xml:space="preserve"> OUAIRY </t>
  </si>
  <si>
    <t xml:space="preserve"> BOFFA </t>
  </si>
  <si>
    <t xml:space="preserve"> SOFR </t>
  </si>
  <si>
    <t xml:space="preserve"> RAVEREAU </t>
  </si>
  <si>
    <t xml:space="preserve"> MARIGOT </t>
  </si>
  <si>
    <t xml:space="preserve"> BOUSSEMART </t>
  </si>
  <si>
    <t xml:space="preserve"> José patrick </t>
  </si>
  <si>
    <t xml:space="preserve"> DUFFET </t>
  </si>
  <si>
    <t xml:space="preserve"> VAUX </t>
  </si>
  <si>
    <t xml:space="preserve"> RAVRY </t>
  </si>
  <si>
    <t xml:space="preserve"> TRONQUIT </t>
  </si>
  <si>
    <t xml:space="preserve"> TIRACHE </t>
  </si>
  <si>
    <t xml:space="preserve"> HURTH </t>
  </si>
  <si>
    <t xml:space="preserve"> RAFFEGEAU </t>
  </si>
  <si>
    <t xml:space="preserve"> BILLIOU </t>
  </si>
  <si>
    <t xml:space="preserve"> VOLATIER </t>
  </si>
  <si>
    <t xml:space="preserve"> GUEYTRON </t>
  </si>
  <si>
    <t xml:space="preserve"> ISSERTY </t>
  </si>
  <si>
    <t xml:space="preserve"> BROUTTIER </t>
  </si>
  <si>
    <t xml:space="preserve"> Jean  - marc </t>
  </si>
  <si>
    <t xml:space="preserve"> CORNUEIL </t>
  </si>
  <si>
    <t xml:space="preserve"> NAPOLI </t>
  </si>
  <si>
    <t xml:space="preserve"> Emile-michel </t>
  </si>
  <si>
    <t xml:space="preserve"> HOLOWKA </t>
  </si>
  <si>
    <t xml:space="preserve"> SCHLETZER </t>
  </si>
  <si>
    <t xml:space="preserve"> GOUTTEBARON </t>
  </si>
  <si>
    <t xml:space="preserve"> LE SOUDER </t>
  </si>
  <si>
    <t xml:space="preserve"> VIN </t>
  </si>
  <si>
    <t xml:space="preserve"> BOUCHOIR </t>
  </si>
  <si>
    <t xml:space="preserve"> COIGNAT </t>
  </si>
  <si>
    <t xml:space="preserve"> LOTTON </t>
  </si>
  <si>
    <t xml:space="preserve"> TUR </t>
  </si>
  <si>
    <t xml:space="preserve"> KULLMANN </t>
  </si>
  <si>
    <t xml:space="preserve"> CHARRETEUR </t>
  </si>
  <si>
    <t xml:space="preserve"> NIKLY </t>
  </si>
  <si>
    <t xml:space="preserve"> DOVERGNE </t>
  </si>
  <si>
    <t xml:space="preserve"> Yannig </t>
  </si>
  <si>
    <t xml:space="preserve"> BREGEARD </t>
  </si>
  <si>
    <t xml:space="preserve"> SILLORAY </t>
  </si>
  <si>
    <t xml:space="preserve"> GAYER </t>
  </si>
  <si>
    <t xml:space="preserve"> RAVAIL </t>
  </si>
  <si>
    <t xml:space="preserve"> DIET </t>
  </si>
  <si>
    <t xml:space="preserve"> GOMES DAUBENAY </t>
  </si>
  <si>
    <t xml:space="preserve"> GRISON </t>
  </si>
  <si>
    <t xml:space="preserve"> PUZONE </t>
  </si>
  <si>
    <t xml:space="preserve"> MELINETTE </t>
  </si>
  <si>
    <t xml:space="preserve"> LHUBERT </t>
  </si>
  <si>
    <t xml:space="preserve"> GAILLARDON </t>
  </si>
  <si>
    <t xml:space="preserve"> LEBLAY </t>
  </si>
  <si>
    <t xml:space="preserve"> PICAN </t>
  </si>
  <si>
    <t xml:space="preserve"> GILIGNY </t>
  </si>
  <si>
    <t xml:space="preserve"> DEMAN </t>
  </si>
  <si>
    <t xml:space="preserve"> BERTI </t>
  </si>
  <si>
    <t xml:space="preserve"> MALEMANCHE </t>
  </si>
  <si>
    <t xml:space="preserve"> CABANES </t>
  </si>
  <si>
    <t xml:space="preserve"> MACOU </t>
  </si>
  <si>
    <t xml:space="preserve"> CHAPPELLE </t>
  </si>
  <si>
    <t xml:space="preserve"> PROTOIS-MENU </t>
  </si>
  <si>
    <t xml:space="preserve"> ARTETA </t>
  </si>
  <si>
    <t xml:space="preserve"> COQUELLE </t>
  </si>
  <si>
    <t xml:space="preserve"> TURBAT </t>
  </si>
  <si>
    <t xml:space="preserve"> DAMPERAT </t>
  </si>
  <si>
    <t xml:space="preserve"> GOURBILLON </t>
  </si>
  <si>
    <t xml:space="preserve"> PEUAUD </t>
  </si>
  <si>
    <t xml:space="preserve"> CREIGNOU </t>
  </si>
  <si>
    <t xml:space="preserve"> IACONA </t>
  </si>
  <si>
    <t xml:space="preserve"> RANCHY </t>
  </si>
  <si>
    <t xml:space="preserve"> ASCHBACHER </t>
  </si>
  <si>
    <t xml:space="preserve"> AMBELLOUIS </t>
  </si>
  <si>
    <t xml:space="preserve"> ALSUGUREN </t>
  </si>
  <si>
    <t xml:space="preserve"> JABLY </t>
  </si>
  <si>
    <t xml:space="preserve"> DEROUSSEAUX </t>
  </si>
  <si>
    <t xml:space="preserve"> NEIBECKER </t>
  </si>
  <si>
    <t xml:space="preserve"> VANAERDE </t>
  </si>
  <si>
    <t xml:space="preserve"> NOWAKOWSKI </t>
  </si>
  <si>
    <t xml:space="preserve"> BUGUET </t>
  </si>
  <si>
    <t xml:space="preserve"> BREUILLOISE UNION TT </t>
  </si>
  <si>
    <t xml:space="preserve"> CIULEA </t>
  </si>
  <si>
    <t xml:space="preserve"> Corneliu </t>
  </si>
  <si>
    <t xml:space="preserve"> GREFFE </t>
  </si>
  <si>
    <t xml:space="preserve"> THOBIE </t>
  </si>
  <si>
    <t xml:space="preserve"> ESCOUBOUE </t>
  </si>
  <si>
    <t xml:space="preserve"> GAYE </t>
  </si>
  <si>
    <t xml:space="preserve"> DELAVOIE </t>
  </si>
  <si>
    <t xml:space="preserve"> NIOLLON </t>
  </si>
  <si>
    <t xml:space="preserve"> PITOY </t>
  </si>
  <si>
    <t xml:space="preserve"> FONTANILLE </t>
  </si>
  <si>
    <t xml:space="preserve"> FRAVALO </t>
  </si>
  <si>
    <t xml:space="preserve"> FRAS </t>
  </si>
  <si>
    <t xml:space="preserve"> PIFFETEAU </t>
  </si>
  <si>
    <t xml:space="preserve"> CALMETTE </t>
  </si>
  <si>
    <t xml:space="preserve"> BOBY </t>
  </si>
  <si>
    <t xml:space="preserve"> AMIRY </t>
  </si>
  <si>
    <t xml:space="preserve"> MULLARD </t>
  </si>
  <si>
    <t xml:space="preserve"> LEGAULT </t>
  </si>
  <si>
    <t xml:space="preserve"> HOUILLONS </t>
  </si>
  <si>
    <t xml:space="preserve"> PESSIN </t>
  </si>
  <si>
    <t xml:space="preserve"> GUTIERREZ </t>
  </si>
  <si>
    <t xml:space="preserve"> Rafaël </t>
  </si>
  <si>
    <t xml:space="preserve"> RIEU-CASTAING </t>
  </si>
  <si>
    <t xml:space="preserve"> LAVENANT </t>
  </si>
  <si>
    <t xml:space="preserve"> BOURIN </t>
  </si>
  <si>
    <t xml:space="preserve"> LETOURMY </t>
  </si>
  <si>
    <t xml:space="preserve"> FOURNET </t>
  </si>
  <si>
    <t xml:space="preserve"> COBAST </t>
  </si>
  <si>
    <t xml:space="preserve"> DEPOND </t>
  </si>
  <si>
    <t xml:space="preserve"> FOVELLE </t>
  </si>
  <si>
    <t xml:space="preserve"> BRECHBUHLER </t>
  </si>
  <si>
    <t xml:space="preserve"> MARMOL </t>
  </si>
  <si>
    <t xml:space="preserve"> BIZERAY </t>
  </si>
  <si>
    <t xml:space="preserve"> VERGEAU </t>
  </si>
  <si>
    <t xml:space="preserve"> GENDRONNEAU </t>
  </si>
  <si>
    <t xml:space="preserve"> SABAT </t>
  </si>
  <si>
    <t xml:space="preserve"> POTET </t>
  </si>
  <si>
    <t xml:space="preserve"> BATTOLLA </t>
  </si>
  <si>
    <t xml:space="preserve"> ERRAHIBI </t>
  </si>
  <si>
    <t xml:space="preserve"> Lahsene </t>
  </si>
  <si>
    <t xml:space="preserve"> GARAVEL </t>
  </si>
  <si>
    <t xml:space="preserve"> MALBERT </t>
  </si>
  <si>
    <t xml:space="preserve"> MARIAGE </t>
  </si>
  <si>
    <t xml:space="preserve"> LEONETTI </t>
  </si>
  <si>
    <t xml:space="preserve"> SOSINSKI </t>
  </si>
  <si>
    <t xml:space="preserve"> DESCHATRETTES </t>
  </si>
  <si>
    <t xml:space="preserve"> CAZENOVE </t>
  </si>
  <si>
    <t xml:space="preserve"> FRICARD </t>
  </si>
  <si>
    <t xml:space="preserve"> VEUILLET </t>
  </si>
  <si>
    <t xml:space="preserve"> CIESLA </t>
  </si>
  <si>
    <t xml:space="preserve"> VIDAL CHAMPETIER </t>
  </si>
  <si>
    <t xml:space="preserve"> WARET </t>
  </si>
  <si>
    <t xml:space="preserve"> DELARIVE </t>
  </si>
  <si>
    <t xml:space="preserve"> SEITÉ </t>
  </si>
  <si>
    <t xml:space="preserve"> BARRERA </t>
  </si>
  <si>
    <t xml:space="preserve"> THIVOYON </t>
  </si>
  <si>
    <t xml:space="preserve"> RIST </t>
  </si>
  <si>
    <t xml:space="preserve"> FERRA </t>
  </si>
  <si>
    <t xml:space="preserve"> RIEGERT </t>
  </si>
  <si>
    <t xml:space="preserve"> MUZARD </t>
  </si>
  <si>
    <t xml:space="preserve"> DEJARDIN </t>
  </si>
  <si>
    <t xml:space="preserve"> TANI </t>
  </si>
  <si>
    <t xml:space="preserve"> DIVARET </t>
  </si>
  <si>
    <t xml:space="preserve"> CANTERO </t>
  </si>
  <si>
    <t xml:space="preserve"> Félice </t>
  </si>
  <si>
    <t xml:space="preserve"> PARCOLLET </t>
  </si>
  <si>
    <t xml:space="preserve"> PETASSOU </t>
  </si>
  <si>
    <t xml:space="preserve"> BOUZARD </t>
  </si>
  <si>
    <t xml:space="preserve"> CHANAL DU BESSET </t>
  </si>
  <si>
    <t xml:space="preserve"> MASSOULIER </t>
  </si>
  <si>
    <t xml:space="preserve"> FASSENET </t>
  </si>
  <si>
    <t xml:space="preserve"> ORTET </t>
  </si>
  <si>
    <t xml:space="preserve"> MACQUART </t>
  </si>
  <si>
    <t xml:space="preserve"> BIGAN </t>
  </si>
  <si>
    <t xml:space="preserve"> MARESSE </t>
  </si>
  <si>
    <t xml:space="preserve"> DENAIX </t>
  </si>
  <si>
    <t xml:space="preserve"> KAMIYA </t>
  </si>
  <si>
    <t xml:space="preserve"> Takahisa </t>
  </si>
  <si>
    <t xml:space="preserve"> SENNEGON </t>
  </si>
  <si>
    <t xml:space="preserve"> RICHETON </t>
  </si>
  <si>
    <t xml:space="preserve"> ZINDEL </t>
  </si>
  <si>
    <t xml:space="preserve"> DERICQUE </t>
  </si>
  <si>
    <t xml:space="preserve"> DORIZON </t>
  </si>
  <si>
    <t xml:space="preserve"> BREVET </t>
  </si>
  <si>
    <t xml:space="preserve"> FERGANI </t>
  </si>
  <si>
    <t xml:space="preserve"> MERCIER METZ </t>
  </si>
  <si>
    <t xml:space="preserve"> CORDEL </t>
  </si>
  <si>
    <t xml:space="preserve"> TESTARD </t>
  </si>
  <si>
    <t xml:space="preserve"> BATARDIERE </t>
  </si>
  <si>
    <t xml:space="preserve"> PETITBON </t>
  </si>
  <si>
    <t xml:space="preserve"> SAULAIS </t>
  </si>
  <si>
    <t xml:space="preserve"> TRAVER </t>
  </si>
  <si>
    <t xml:space="preserve"> PIERQUET </t>
  </si>
  <si>
    <t xml:space="preserve"> CAMHAJI </t>
  </si>
  <si>
    <t xml:space="preserve"> RENDU </t>
  </si>
  <si>
    <t xml:space="preserve"> SCHEMEL </t>
  </si>
  <si>
    <t xml:space="preserve"> ACHOURI </t>
  </si>
  <si>
    <t xml:space="preserve"> Yazid </t>
  </si>
  <si>
    <t xml:space="preserve"> SOISTIER </t>
  </si>
  <si>
    <t xml:space="preserve"> FUENTES </t>
  </si>
  <si>
    <t xml:space="preserve"> CHARROIN </t>
  </si>
  <si>
    <t xml:space="preserve"> DEBRONS </t>
  </si>
  <si>
    <t xml:space="preserve"> Lilaï-jacques </t>
  </si>
  <si>
    <t xml:space="preserve"> MAQUART </t>
  </si>
  <si>
    <t xml:space="preserve"> FACQ </t>
  </si>
  <si>
    <t xml:space="preserve"> IENCIU </t>
  </si>
  <si>
    <t xml:space="preserve"> MALLE </t>
  </si>
  <si>
    <t xml:space="preserve"> HIMBER </t>
  </si>
  <si>
    <t xml:space="preserve"> PAQUENTIN </t>
  </si>
  <si>
    <t xml:space="preserve"> Marc-edouard </t>
  </si>
  <si>
    <t xml:space="preserve"> RUCHOT </t>
  </si>
  <si>
    <t xml:space="preserve"> SENECAUX </t>
  </si>
  <si>
    <t xml:space="preserve"> PERTILE </t>
  </si>
  <si>
    <t xml:space="preserve"> LENNE </t>
  </si>
  <si>
    <t xml:space="preserve"> DAMEZ </t>
  </si>
  <si>
    <t xml:space="preserve"> CHIRIS </t>
  </si>
  <si>
    <t xml:space="preserve"> CESARI </t>
  </si>
  <si>
    <t xml:space="preserve"> LOUVANCOURT </t>
  </si>
  <si>
    <t xml:space="preserve"> BENOUAHLIMA </t>
  </si>
  <si>
    <t xml:space="preserve"> LAISNE </t>
  </si>
  <si>
    <t xml:space="preserve"> DURST </t>
  </si>
  <si>
    <t xml:space="preserve"> AROSKO </t>
  </si>
  <si>
    <t xml:space="preserve"> PITET </t>
  </si>
  <si>
    <t xml:space="preserve"> BARBARAS </t>
  </si>
  <si>
    <t xml:space="preserve"> LESTRELIN </t>
  </si>
  <si>
    <t xml:space="preserve"> DEGOUVE </t>
  </si>
  <si>
    <t xml:space="preserve"> LETURMY </t>
  </si>
  <si>
    <t xml:space="preserve"> VANSCHELLE </t>
  </si>
  <si>
    <t xml:space="preserve"> SPIRIDON </t>
  </si>
  <si>
    <t xml:space="preserve"> thierry </t>
  </si>
  <si>
    <t xml:space="preserve"> SZWARC </t>
  </si>
  <si>
    <t xml:space="preserve"> AKRATI </t>
  </si>
  <si>
    <t xml:space="preserve"> Ouadia </t>
  </si>
  <si>
    <t xml:space="preserve"> LUNET </t>
  </si>
  <si>
    <t xml:space="preserve"> BERNADI </t>
  </si>
  <si>
    <t xml:space="preserve"> CHARLON </t>
  </si>
  <si>
    <t xml:space="preserve"> COULOM </t>
  </si>
  <si>
    <t xml:space="preserve"> BITARD </t>
  </si>
  <si>
    <t xml:space="preserve"> MAIRIAUX </t>
  </si>
  <si>
    <t xml:space="preserve"> BEGEY </t>
  </si>
  <si>
    <t xml:space="preserve"> BOUHAOUCHE </t>
  </si>
  <si>
    <t xml:space="preserve"> Morad </t>
  </si>
  <si>
    <t xml:space="preserve"> THIOUX </t>
  </si>
  <si>
    <t xml:space="preserve"> CHOTEAU </t>
  </si>
  <si>
    <t xml:space="preserve"> BENVENUTO </t>
  </si>
  <si>
    <t xml:space="preserve"> CUCCA </t>
  </si>
  <si>
    <t xml:space="preserve"> Ba hung </t>
  </si>
  <si>
    <t xml:space="preserve"> Moise </t>
  </si>
  <si>
    <t xml:space="preserve"> CHARAUDEAU </t>
  </si>
  <si>
    <t xml:space="preserve"> CHAPLEAU </t>
  </si>
  <si>
    <t xml:space="preserve"> DELEAZ </t>
  </si>
  <si>
    <t xml:space="preserve"> GODEBOUT </t>
  </si>
  <si>
    <t xml:space="preserve"> LEPELLEC </t>
  </si>
  <si>
    <t xml:space="preserve"> SAINT YVES </t>
  </si>
  <si>
    <t xml:space="preserve"> STALIN </t>
  </si>
  <si>
    <t xml:space="preserve"> BRUYNEL </t>
  </si>
  <si>
    <t xml:space="preserve"> VANVOLXEM </t>
  </si>
  <si>
    <t xml:space="preserve"> CARTAGENA </t>
  </si>
  <si>
    <t xml:space="preserve"> NEVIER </t>
  </si>
  <si>
    <t xml:space="preserve"> MARCHADIER </t>
  </si>
  <si>
    <t xml:space="preserve"> FABBRI </t>
  </si>
  <si>
    <t xml:space="preserve"> FETET </t>
  </si>
  <si>
    <t xml:space="preserve"> DUBOUCHAUD </t>
  </si>
  <si>
    <t xml:space="preserve"> STARKS </t>
  </si>
  <si>
    <t xml:space="preserve"> Christy </t>
  </si>
  <si>
    <t xml:space="preserve"> SEEBALLACK </t>
  </si>
  <si>
    <t xml:space="preserve"> FALCOU </t>
  </si>
  <si>
    <t xml:space="preserve"> MIGNEAU </t>
  </si>
  <si>
    <t xml:space="preserve"> GENDREY </t>
  </si>
  <si>
    <t xml:space="preserve"> SCHNEUWLY </t>
  </si>
  <si>
    <t xml:space="preserve"> GODRIE </t>
  </si>
  <si>
    <t xml:space="preserve"> ASTT de LAROQUEBROU </t>
  </si>
  <si>
    <t xml:space="preserve"> MILET </t>
  </si>
  <si>
    <t xml:space="preserve"> ARPIN </t>
  </si>
  <si>
    <t xml:space="preserve"> GUILLEMAUD </t>
  </si>
  <si>
    <t xml:space="preserve"> HUTIN </t>
  </si>
  <si>
    <t xml:space="preserve"> HISZ </t>
  </si>
  <si>
    <t xml:space="preserve"> VILATTE </t>
  </si>
  <si>
    <t xml:space="preserve"> VERONIQUE </t>
  </si>
  <si>
    <t xml:space="preserve"> 309C0359 </t>
  </si>
  <si>
    <t xml:space="preserve"> A. DEVELOP SPORTIF ET CUL </t>
  </si>
  <si>
    <t xml:space="preserve"> FREYERMUTH </t>
  </si>
  <si>
    <t xml:space="preserve"> DECHAMPS </t>
  </si>
  <si>
    <t xml:space="preserve"> GAITE </t>
  </si>
  <si>
    <t xml:space="preserve"> YAHIA </t>
  </si>
  <si>
    <t xml:space="preserve"> ROCHAT </t>
  </si>
  <si>
    <t xml:space="preserve"> FOLGOAS </t>
  </si>
  <si>
    <t xml:space="preserve"> LE FRANC </t>
  </si>
  <si>
    <t xml:space="preserve"> CABRAL </t>
  </si>
  <si>
    <t xml:space="preserve"> Valère </t>
  </si>
  <si>
    <t xml:space="preserve"> DACHARY </t>
  </si>
  <si>
    <t xml:space="preserve"> LAIGNEL-DUVAL </t>
  </si>
  <si>
    <t xml:space="preserve"> BOUDEVILLE </t>
  </si>
  <si>
    <t xml:space="preserve"> UGOLINI </t>
  </si>
  <si>
    <t xml:space="preserve"> NOBLIA </t>
  </si>
  <si>
    <t xml:space="preserve"> Benat </t>
  </si>
  <si>
    <t xml:space="preserve"> FAVREL </t>
  </si>
  <si>
    <t xml:space="preserve"> DUCOMBS </t>
  </si>
  <si>
    <t xml:space="preserve"> CEPERO </t>
  </si>
  <si>
    <t xml:space="preserve"> DAVOINE </t>
  </si>
  <si>
    <t xml:space="preserve"> SAUVAGET </t>
  </si>
  <si>
    <t xml:space="preserve"> DARENGOSSE </t>
  </si>
  <si>
    <t xml:space="preserve"> AVEZARD </t>
  </si>
  <si>
    <t xml:space="preserve"> AS BANQUE POPULAIRE VAL F </t>
  </si>
  <si>
    <t xml:space="preserve"> DALLMAYR </t>
  </si>
  <si>
    <t xml:space="preserve"> PATARD </t>
  </si>
  <si>
    <t xml:space="preserve"> BAD PING LE GRAU DU ROI </t>
  </si>
  <si>
    <t xml:space="preserve"> BRAHMI </t>
  </si>
  <si>
    <t xml:space="preserve"> ROCHERIEUX </t>
  </si>
  <si>
    <t xml:space="preserve"> CALLAREC </t>
  </si>
  <si>
    <t xml:space="preserve"> MAGNAIN </t>
  </si>
  <si>
    <t xml:space="preserve"> WARCHAL </t>
  </si>
  <si>
    <t xml:space="preserve"> MATTEI </t>
  </si>
  <si>
    <t xml:space="preserve"> TRAINEL </t>
  </si>
  <si>
    <t xml:space="preserve"> PLAZANET </t>
  </si>
  <si>
    <t xml:space="preserve"> HEUDUIN </t>
  </si>
  <si>
    <t xml:space="preserve"> GOUZENNE </t>
  </si>
  <si>
    <t xml:space="preserve"> VALARCHE </t>
  </si>
  <si>
    <t xml:space="preserve"> MELO </t>
  </si>
  <si>
    <t xml:space="preserve"> Rodrigo </t>
  </si>
  <si>
    <t xml:space="preserve"> CHAMPAGNE </t>
  </si>
  <si>
    <t xml:space="preserve"> SORDELET </t>
  </si>
  <si>
    <t xml:space="preserve"> KUHNER </t>
  </si>
  <si>
    <t xml:space="preserve"> BIZAT </t>
  </si>
  <si>
    <t xml:space="preserve"> PEYNET </t>
  </si>
  <si>
    <t xml:space="preserve"> POCHCIOL </t>
  </si>
  <si>
    <t xml:space="preserve"> JEGAT </t>
  </si>
  <si>
    <t xml:space="preserve"> GASCARD </t>
  </si>
  <si>
    <t xml:space="preserve"> PARNAUT </t>
  </si>
  <si>
    <t xml:space="preserve"> MOULIE </t>
  </si>
  <si>
    <t xml:space="preserve"> PECHARD </t>
  </si>
  <si>
    <t xml:space="preserve"> ECKETT </t>
  </si>
  <si>
    <t xml:space="preserve"> HERCOUET </t>
  </si>
  <si>
    <t xml:space="preserve"> COUZIN </t>
  </si>
  <si>
    <t xml:space="preserve"> GIAFFERI </t>
  </si>
  <si>
    <t xml:space="preserve"> LETARD </t>
  </si>
  <si>
    <t xml:space="preserve"> DOUSTEYSSIER </t>
  </si>
  <si>
    <t xml:space="preserve"> GRAYON </t>
  </si>
  <si>
    <t xml:space="preserve"> REGARD </t>
  </si>
  <si>
    <t xml:space="preserve"> PAYRAMAURE </t>
  </si>
  <si>
    <t xml:space="preserve"> DELHORBE </t>
  </si>
  <si>
    <t xml:space="preserve"> PREVERT </t>
  </si>
  <si>
    <t xml:space="preserve"> FAYARD </t>
  </si>
  <si>
    <t xml:space="preserve"> MONTANE </t>
  </si>
  <si>
    <t xml:space="preserve"> SMOLEVSKY </t>
  </si>
  <si>
    <t xml:space="preserve"> PICACHE </t>
  </si>
  <si>
    <t xml:space="preserve"> LLOMPART </t>
  </si>
  <si>
    <t xml:space="preserve"> TARCY </t>
  </si>
  <si>
    <t xml:space="preserve"> BOBECHE </t>
  </si>
  <si>
    <t xml:space="preserve"> GENAY </t>
  </si>
  <si>
    <t xml:space="preserve"> LEOMENT </t>
  </si>
  <si>
    <t xml:space="preserve"> LOBERGER </t>
  </si>
  <si>
    <t xml:space="preserve"> HOUDIN </t>
  </si>
  <si>
    <t xml:space="preserve"> MANOLI </t>
  </si>
  <si>
    <t xml:space="preserve"> PHANUEL </t>
  </si>
  <si>
    <t xml:space="preserve"> LANUIT </t>
  </si>
  <si>
    <t xml:space="preserve"> VLASTELIC </t>
  </si>
  <si>
    <t xml:space="preserve"> Viktor </t>
  </si>
  <si>
    <t xml:space="preserve"> HEDREUX </t>
  </si>
  <si>
    <t xml:space="preserve"> Pierric </t>
  </si>
  <si>
    <t xml:space="preserve"> DAVILLERD </t>
  </si>
  <si>
    <t xml:space="preserve"> UNION SPORTIVE BLETTERANO </t>
  </si>
  <si>
    <t xml:space="preserve"> GUISGAND </t>
  </si>
  <si>
    <t xml:space="preserve"> JELLOULI </t>
  </si>
  <si>
    <t xml:space="preserve"> Abdajabar </t>
  </si>
  <si>
    <t xml:space="preserve"> GARDAN </t>
  </si>
  <si>
    <t xml:space="preserve"> LES P'TITES RAQUETTES DE </t>
  </si>
  <si>
    <t xml:space="preserve"> BLANDEL </t>
  </si>
  <si>
    <t xml:space="preserve"> BUIS </t>
  </si>
  <si>
    <t xml:space="preserve"> LOTHORE </t>
  </si>
  <si>
    <t xml:space="preserve"> FROT </t>
  </si>
  <si>
    <t xml:space="preserve"> BOURNICHE </t>
  </si>
  <si>
    <t xml:space="preserve"> TATIN </t>
  </si>
  <si>
    <t xml:space="preserve"> AUDEBEAU </t>
  </si>
  <si>
    <t xml:space="preserve"> MULLIER </t>
  </si>
  <si>
    <t xml:space="preserve"> CADUC </t>
  </si>
  <si>
    <t xml:space="preserve"> HELFER </t>
  </si>
  <si>
    <t xml:space="preserve"> MAUDELONDE </t>
  </si>
  <si>
    <t xml:space="preserve"> VEZON </t>
  </si>
  <si>
    <t xml:space="preserve"> GUERVENO </t>
  </si>
  <si>
    <t xml:space="preserve"> JOBIN </t>
  </si>
  <si>
    <t xml:space="preserve"> ESTREM </t>
  </si>
  <si>
    <t xml:space="preserve"> TEXEIRA </t>
  </si>
  <si>
    <t xml:space="preserve"> DRONSART </t>
  </si>
  <si>
    <t xml:space="preserve"> ETCHEGOIN </t>
  </si>
  <si>
    <t xml:space="preserve"> NGO TAN </t>
  </si>
  <si>
    <t xml:space="preserve"> CORROYEZ </t>
  </si>
  <si>
    <t xml:space="preserve"> Abdelmadjid </t>
  </si>
  <si>
    <t xml:space="preserve"> BUSVELLE </t>
  </si>
  <si>
    <t xml:space="preserve"> PIBRE </t>
  </si>
  <si>
    <t xml:space="preserve"> HELBECQUE </t>
  </si>
  <si>
    <t xml:space="preserve"> José alberto </t>
  </si>
  <si>
    <t xml:space="preserve"> DANJEAN </t>
  </si>
  <si>
    <t xml:space="preserve"> BARGUET </t>
  </si>
  <si>
    <t xml:space="preserve"> BRZOZOWSKI </t>
  </si>
  <si>
    <t xml:space="preserve"> MANNIER </t>
  </si>
  <si>
    <t xml:space="preserve"> ENRIQUET </t>
  </si>
  <si>
    <t xml:space="preserve"> ALUNNI </t>
  </si>
  <si>
    <t xml:space="preserve"> EDMONT </t>
  </si>
  <si>
    <t xml:space="preserve"> BEUTIS </t>
  </si>
  <si>
    <t xml:space="preserve"> SANCHOT </t>
  </si>
  <si>
    <t xml:space="preserve"> PERROUX </t>
  </si>
  <si>
    <t xml:space="preserve"> FOURMY </t>
  </si>
  <si>
    <t xml:space="preserve"> AUGERI </t>
  </si>
  <si>
    <t xml:space="preserve"> SOUFFLET </t>
  </si>
  <si>
    <t xml:space="preserve"> MAROTTE </t>
  </si>
  <si>
    <t xml:space="preserve"> CACCIARI </t>
  </si>
  <si>
    <t xml:space="preserve"> HAYEZ </t>
  </si>
  <si>
    <t xml:space="preserve"> COUZON </t>
  </si>
  <si>
    <t xml:space="preserve"> FERRANT </t>
  </si>
  <si>
    <t xml:space="preserve"> LENER </t>
  </si>
  <si>
    <t xml:space="preserve"> GINDRE </t>
  </si>
  <si>
    <t xml:space="preserve"> DONNET </t>
  </si>
  <si>
    <t xml:space="preserve"> KERBOURC'H </t>
  </si>
  <si>
    <t xml:space="preserve"> GROSMAIRE </t>
  </si>
  <si>
    <t xml:space="preserve"> HASBROUCK </t>
  </si>
  <si>
    <t xml:space="preserve"> RAINVILLE </t>
  </si>
  <si>
    <t xml:space="preserve"> BIJEON </t>
  </si>
  <si>
    <t xml:space="preserve"> CRINQUAND </t>
  </si>
  <si>
    <t xml:space="preserve"> VERT </t>
  </si>
  <si>
    <t xml:space="preserve"> LAFORGUE </t>
  </si>
  <si>
    <t xml:space="preserve"> COMBIS </t>
  </si>
  <si>
    <t xml:space="preserve"> PUCHE </t>
  </si>
  <si>
    <t xml:space="preserve"> MISZTAL </t>
  </si>
  <si>
    <t xml:space="preserve"> LELAY </t>
  </si>
  <si>
    <t xml:space="preserve"> KESLER </t>
  </si>
  <si>
    <t xml:space="preserve"> VEIGA DOS SANTOS </t>
  </si>
  <si>
    <t xml:space="preserve"> PEZZINI </t>
  </si>
  <si>
    <t xml:space="preserve"> RIBARDIERE </t>
  </si>
  <si>
    <t xml:space="preserve"> QUERY </t>
  </si>
  <si>
    <t xml:space="preserve"> BILLOIR </t>
  </si>
  <si>
    <t xml:space="preserve"> NOBLIN </t>
  </si>
  <si>
    <t xml:space="preserve"> BOREE </t>
  </si>
  <si>
    <t xml:space="preserve"> BEZIAT </t>
  </si>
  <si>
    <t xml:space="preserve"> LE COURTOIS </t>
  </si>
  <si>
    <t xml:space="preserve"> SKOTNICKI </t>
  </si>
  <si>
    <t xml:space="preserve"> Karol </t>
  </si>
  <si>
    <t xml:space="preserve"> COHUET </t>
  </si>
  <si>
    <t xml:space="preserve"> DEWEVER </t>
  </si>
  <si>
    <t xml:space="preserve"> SOLANS </t>
  </si>
  <si>
    <t xml:space="preserve"> MATZ </t>
  </si>
  <si>
    <t xml:space="preserve"> ROELOFS </t>
  </si>
  <si>
    <t xml:space="preserve"> RUELENS </t>
  </si>
  <si>
    <t xml:space="preserve"> DELEMONTEY </t>
  </si>
  <si>
    <t xml:space="preserve"> COROLLER </t>
  </si>
  <si>
    <t xml:space="preserve"> VARDON </t>
  </si>
  <si>
    <t xml:space="preserve"> MACREZ </t>
  </si>
  <si>
    <t xml:space="preserve"> BRIDAY </t>
  </si>
  <si>
    <t xml:space="preserve"> Philipe </t>
  </si>
  <si>
    <t xml:space="preserve"> LEMOS BORGES </t>
  </si>
  <si>
    <t xml:space="preserve"> Zeferino </t>
  </si>
  <si>
    <t xml:space="preserve"> PARFANT </t>
  </si>
  <si>
    <t xml:space="preserve"> PERLIE LONG </t>
  </si>
  <si>
    <t xml:space="preserve"> COULIN </t>
  </si>
  <si>
    <t xml:space="preserve"> BOUTOUTE </t>
  </si>
  <si>
    <t xml:space="preserve"> HERVO </t>
  </si>
  <si>
    <t xml:space="preserve"> TILLET </t>
  </si>
  <si>
    <t xml:space="preserve"> LIBAN </t>
  </si>
  <si>
    <t xml:space="preserve"> SIROP </t>
  </si>
  <si>
    <t xml:space="preserve"> COUDRET </t>
  </si>
  <si>
    <t xml:space="preserve"> TRANNIN </t>
  </si>
  <si>
    <t xml:space="preserve"> VANDRISSE </t>
  </si>
  <si>
    <t xml:space="preserve"> TRUY </t>
  </si>
  <si>
    <t xml:space="preserve"> VUCCINO </t>
  </si>
  <si>
    <t xml:space="preserve"> UMEC </t>
  </si>
  <si>
    <t xml:space="preserve"> COMMEYNE </t>
  </si>
  <si>
    <t xml:space="preserve"> RUSSEIL </t>
  </si>
  <si>
    <t xml:space="preserve"> SUGERES </t>
  </si>
  <si>
    <t xml:space="preserve"> VAREILLE </t>
  </si>
  <si>
    <t xml:space="preserve"> GUIARD </t>
  </si>
  <si>
    <t xml:space="preserve"> GUILLY </t>
  </si>
  <si>
    <t xml:space="preserve"> CALLEBAUT </t>
  </si>
  <si>
    <t xml:space="preserve"> TRZEWIK </t>
  </si>
  <si>
    <t xml:space="preserve"> Irek </t>
  </si>
  <si>
    <t xml:space="preserve"> LOUET </t>
  </si>
  <si>
    <t xml:space="preserve"> DAVIAU </t>
  </si>
  <si>
    <t xml:space="preserve"> LAMBERGER </t>
  </si>
  <si>
    <t xml:space="preserve"> GROSCLAUDE </t>
  </si>
  <si>
    <t xml:space="preserve"> BAHUCHET </t>
  </si>
  <si>
    <t xml:space="preserve"> TREBOSSEN </t>
  </si>
  <si>
    <t xml:space="preserve"> MUESSER </t>
  </si>
  <si>
    <t xml:space="preserve"> PANFIL </t>
  </si>
  <si>
    <t xml:space="preserve"> BERTHEUX </t>
  </si>
  <si>
    <t xml:space="preserve"> AUDIN </t>
  </si>
  <si>
    <t xml:space="preserve"> VANVILLIERS </t>
  </si>
  <si>
    <t xml:space="preserve"> BERTAULD </t>
  </si>
  <si>
    <t xml:space="preserve"> BOTTEREAU </t>
  </si>
  <si>
    <t xml:space="preserve"> DEROEUX </t>
  </si>
  <si>
    <t xml:space="preserve"> ALBOUY </t>
  </si>
  <si>
    <t xml:space="preserve"> DUCHEMANN </t>
  </si>
  <si>
    <t xml:space="preserve"> DURIEU </t>
  </si>
  <si>
    <t xml:space="preserve"> CAZÉ </t>
  </si>
  <si>
    <t xml:space="preserve"> ESTILLE </t>
  </si>
  <si>
    <t xml:space="preserve"> RAEDERSDORFF </t>
  </si>
  <si>
    <t xml:space="preserve"> ROZAINE </t>
  </si>
  <si>
    <t xml:space="preserve"> NANIN </t>
  </si>
  <si>
    <t xml:space="preserve"> DEBORDE </t>
  </si>
  <si>
    <t xml:space="preserve"> HUCHETTE </t>
  </si>
  <si>
    <t xml:space="preserve"> BOEUF </t>
  </si>
  <si>
    <t xml:space="preserve"> PELADE </t>
  </si>
  <si>
    <t xml:space="preserve"> BILLIAN </t>
  </si>
  <si>
    <t xml:space="preserve"> BADANI </t>
  </si>
  <si>
    <t xml:space="preserve"> Jean-olivier </t>
  </si>
  <si>
    <t xml:space="preserve"> GOYALLON </t>
  </si>
  <si>
    <t xml:space="preserve"> COUTIN </t>
  </si>
  <si>
    <t xml:space="preserve"> LEGOUZE </t>
  </si>
  <si>
    <t xml:space="preserve"> BARTHOL </t>
  </si>
  <si>
    <t xml:space="preserve"> NALBORCZYK </t>
  </si>
  <si>
    <t xml:space="preserve"> Rachel </t>
  </si>
  <si>
    <t xml:space="preserve"> KHAU </t>
  </si>
  <si>
    <t xml:space="preserve"> Vong-xay </t>
  </si>
  <si>
    <t xml:space="preserve"> RISCH </t>
  </si>
  <si>
    <t xml:space="preserve"> LEDUEY </t>
  </si>
  <si>
    <t xml:space="preserve"> BERTHOLET </t>
  </si>
  <si>
    <t xml:space="preserve"> AMIC SPORTIVE ROUTOTOISE </t>
  </si>
  <si>
    <t xml:space="preserve"> HIEGEL </t>
  </si>
  <si>
    <t xml:space="preserve"> CROZAT </t>
  </si>
  <si>
    <t xml:space="preserve"> DEL BIANCO </t>
  </si>
  <si>
    <t xml:space="preserve"> RUMEAU </t>
  </si>
  <si>
    <t xml:space="preserve"> NOUGAYREDE </t>
  </si>
  <si>
    <t xml:space="preserve"> PFLIGER </t>
  </si>
  <si>
    <t xml:space="preserve"> LORNET </t>
  </si>
  <si>
    <t xml:space="preserve"> BARRANGER </t>
  </si>
  <si>
    <t xml:space="preserve"> DUCHER </t>
  </si>
  <si>
    <t xml:space="preserve"> COUPLET </t>
  </si>
  <si>
    <t xml:space="preserve"> SKWIRZYNSKI </t>
  </si>
  <si>
    <t xml:space="preserve"> DELUEN </t>
  </si>
  <si>
    <t xml:space="preserve"> WITKOWSKI </t>
  </si>
  <si>
    <t xml:space="preserve"> CHOHO </t>
  </si>
  <si>
    <t xml:space="preserve"> LEDAUPHIN </t>
  </si>
  <si>
    <t xml:space="preserve"> CHAVROT </t>
  </si>
  <si>
    <t xml:space="preserve"> FAUCHERAND </t>
  </si>
  <si>
    <t xml:space="preserve"> Claude-bernard </t>
  </si>
  <si>
    <t xml:space="preserve"> FEROT </t>
  </si>
  <si>
    <t xml:space="preserve"> PSZYBYSZ </t>
  </si>
  <si>
    <t xml:space="preserve"> RAST </t>
  </si>
  <si>
    <t xml:space="preserve"> DASSAULT SPORTS </t>
  </si>
  <si>
    <t xml:space="preserve"> RAIMOND </t>
  </si>
  <si>
    <t xml:space="preserve"> GOBERT </t>
  </si>
  <si>
    <t xml:space="preserve"> FERARD </t>
  </si>
  <si>
    <t xml:space="preserve"> DEKERVEL </t>
  </si>
  <si>
    <t xml:space="preserve"> LAUNAIS </t>
  </si>
  <si>
    <t xml:space="preserve"> GOULAS </t>
  </si>
  <si>
    <t xml:space="preserve"> GAINE </t>
  </si>
  <si>
    <t xml:space="preserve"> GAGNOL </t>
  </si>
  <si>
    <t xml:space="preserve"> VICENTE </t>
  </si>
  <si>
    <t xml:space="preserve"> NAGOT </t>
  </si>
  <si>
    <t xml:space="preserve"> SOUILLÉ </t>
  </si>
  <si>
    <t xml:space="preserve"> TRZESICKI </t>
  </si>
  <si>
    <t xml:space="preserve"> LADEYN </t>
  </si>
  <si>
    <t xml:space="preserve"> ROUARD </t>
  </si>
  <si>
    <t xml:space="preserve"> BALLOUD </t>
  </si>
  <si>
    <t xml:space="preserve"> HEIDET </t>
  </si>
  <si>
    <t xml:space="preserve"> ESPINOUX </t>
  </si>
  <si>
    <t xml:space="preserve"> MASUYER </t>
  </si>
  <si>
    <t xml:space="preserve"> CANONNE </t>
  </si>
  <si>
    <t xml:space="preserve"> JOUSSELIN </t>
  </si>
  <si>
    <t xml:space="preserve"> BRACQUART </t>
  </si>
  <si>
    <t xml:space="preserve"> ABRECHT </t>
  </si>
  <si>
    <t xml:space="preserve"> WILLAY </t>
  </si>
  <si>
    <t xml:space="preserve"> GALLIAN </t>
  </si>
  <si>
    <t xml:space="preserve"> COUGNAUD </t>
  </si>
  <si>
    <t xml:space="preserve"> ONG </t>
  </si>
  <si>
    <t xml:space="preserve"> Khath-minh </t>
  </si>
  <si>
    <t xml:space="preserve"> WLODARCZAK </t>
  </si>
  <si>
    <t xml:space="preserve"> DESJAMES </t>
  </si>
  <si>
    <t xml:space="preserve"> RACINE </t>
  </si>
  <si>
    <t xml:space="preserve"> DELUY </t>
  </si>
  <si>
    <t xml:space="preserve"> LARRIPA </t>
  </si>
  <si>
    <t xml:space="preserve"> BAEZA </t>
  </si>
  <si>
    <t xml:space="preserve"> CIVELLI </t>
  </si>
  <si>
    <t xml:space="preserve"> VOLTINI </t>
  </si>
  <si>
    <t xml:space="preserve"> VARENGOT </t>
  </si>
  <si>
    <t xml:space="preserve"> BORREL </t>
  </si>
  <si>
    <t xml:space="preserve"> AUBAGUE </t>
  </si>
  <si>
    <t xml:space="preserve"> LESAULE </t>
  </si>
  <si>
    <t xml:space="preserve"> SIGRIST </t>
  </si>
  <si>
    <t xml:space="preserve"> MAGNON </t>
  </si>
  <si>
    <t xml:space="preserve"> DELPAL </t>
  </si>
  <si>
    <t xml:space="preserve"> CHAVEROT </t>
  </si>
  <si>
    <t xml:space="preserve"> ADIBA </t>
  </si>
  <si>
    <t xml:space="preserve"> Pierre-jacques </t>
  </si>
  <si>
    <t xml:space="preserve"> RAFFENOT </t>
  </si>
  <si>
    <t xml:space="preserve"> ASTA-PING </t>
  </si>
  <si>
    <t xml:space="preserve"> PIERDET </t>
  </si>
  <si>
    <t xml:space="preserve"> ST MARTIN DE LANDELLES TT </t>
  </si>
  <si>
    <t xml:space="preserve"> REZARD </t>
  </si>
  <si>
    <t xml:space="preserve"> VIOLET </t>
  </si>
  <si>
    <t xml:space="preserve"> BLANGY </t>
  </si>
  <si>
    <t xml:space="preserve"> ARLANDA </t>
  </si>
  <si>
    <t xml:space="preserve"> HAECK </t>
  </si>
  <si>
    <t xml:space="preserve"> VERNHES </t>
  </si>
  <si>
    <t xml:space="preserve"> FEKETE </t>
  </si>
  <si>
    <t xml:space="preserve"> AS ESCRAGNOLLES </t>
  </si>
  <si>
    <t xml:space="preserve"> FORLI </t>
  </si>
  <si>
    <t xml:space="preserve"> Yves jean </t>
  </si>
  <si>
    <t xml:space="preserve"> JANNETEAU </t>
  </si>
  <si>
    <t xml:space="preserve"> GAUTRON </t>
  </si>
  <si>
    <t xml:space="preserve"> ARNAUDIES </t>
  </si>
  <si>
    <t xml:space="preserve"> ADREY </t>
  </si>
  <si>
    <t xml:space="preserve"> NOBILI </t>
  </si>
  <si>
    <t xml:space="preserve"> ESPAULLARD </t>
  </si>
  <si>
    <t xml:space="preserve"> ADRIAENSSENS </t>
  </si>
  <si>
    <t xml:space="preserve"> Isabelle </t>
  </si>
  <si>
    <t xml:space="preserve"> FROIDCOURT </t>
  </si>
  <si>
    <t xml:space="preserve"> TELLANCOURT ASC </t>
  </si>
  <si>
    <t xml:space="preserve"> PONCIER </t>
  </si>
  <si>
    <t xml:space="preserve"> BROUAT </t>
  </si>
  <si>
    <t xml:space="preserve"> NIMES ST CESAIRE AM </t>
  </si>
  <si>
    <t xml:space="preserve"> ROBITZER </t>
  </si>
  <si>
    <t xml:space="preserve"> BERTHU </t>
  </si>
  <si>
    <t xml:space="preserve"> EPAGNETTE AS </t>
  </si>
  <si>
    <t xml:space="preserve"> DE BONI </t>
  </si>
  <si>
    <t xml:space="preserve"> DETROYAT </t>
  </si>
  <si>
    <t xml:space="preserve"> BEAUJOUAN </t>
  </si>
  <si>
    <t xml:space="preserve"> SAUGER </t>
  </si>
  <si>
    <t xml:space="preserve"> PANEONIN </t>
  </si>
  <si>
    <t xml:space="preserve"> DUBROEUCQ </t>
  </si>
  <si>
    <t xml:space="preserve"> GARCON </t>
  </si>
  <si>
    <t xml:space="preserve"> FOYER RURAL AUSSONNE </t>
  </si>
  <si>
    <t xml:space="preserve"> BARROIS </t>
  </si>
  <si>
    <t xml:space="preserve"> KAZMIERCZAK </t>
  </si>
  <si>
    <t xml:space="preserve"> 329F0604 </t>
  </si>
  <si>
    <t xml:space="preserve"> PAITA TENNIS DE TABLE </t>
  </si>
  <si>
    <t xml:space="preserve"> L'HER </t>
  </si>
  <si>
    <t xml:space="preserve"> MIONET </t>
  </si>
  <si>
    <t xml:space="preserve"> PIGNOREL </t>
  </si>
  <si>
    <t xml:space="preserve"> GYORGY </t>
  </si>
  <si>
    <t xml:space="preserve"> COQUATRIX </t>
  </si>
  <si>
    <t xml:space="preserve"> US PAYS DE  L'OURCQ </t>
  </si>
  <si>
    <t xml:space="preserve"> VISSER </t>
  </si>
  <si>
    <t xml:space="preserve"> GUEDE </t>
  </si>
  <si>
    <t xml:space="preserve"> ROUZIC </t>
  </si>
  <si>
    <t xml:space="preserve"> CAZE </t>
  </si>
  <si>
    <t xml:space="preserve"> NYFFELS </t>
  </si>
  <si>
    <t xml:space="preserve"> PUGNET </t>
  </si>
  <si>
    <t xml:space="preserve"> BACHELERY </t>
  </si>
  <si>
    <t xml:space="preserve"> LAJOIX </t>
  </si>
  <si>
    <t xml:space="preserve"> BESSINES-SUR-GARTEMPE UST </t>
  </si>
  <si>
    <t xml:space="preserve"> FOISY </t>
  </si>
  <si>
    <t xml:space="preserve"> JURASCHEK </t>
  </si>
  <si>
    <t xml:space="preserve"> SALINE TENNIS DE TABLE </t>
  </si>
  <si>
    <t xml:space="preserve"> SAUVADET </t>
  </si>
  <si>
    <t xml:space="preserve"> LEVARLET </t>
  </si>
  <si>
    <t xml:space="preserve"> BORNAREL </t>
  </si>
  <si>
    <t xml:space="preserve"> TOMCZAK </t>
  </si>
  <si>
    <t xml:space="preserve"> BERTHOLON </t>
  </si>
  <si>
    <t xml:space="preserve"> LEOTOT </t>
  </si>
  <si>
    <t xml:space="preserve"> BASIRE </t>
  </si>
  <si>
    <t xml:space="preserve"> DEGOUEY </t>
  </si>
  <si>
    <t xml:space="preserve"> TABET </t>
  </si>
  <si>
    <t xml:space="preserve"> FALCOZ </t>
  </si>
  <si>
    <t xml:space="preserve"> DEMANNE </t>
  </si>
  <si>
    <t xml:space="preserve"> QUESADO </t>
  </si>
  <si>
    <t xml:space="preserve"> 389W0005 </t>
  </si>
  <si>
    <t xml:space="preserve"> CLUB MULTISPORT ONO TT </t>
  </si>
  <si>
    <t xml:space="preserve"> BURGIARD </t>
  </si>
  <si>
    <t xml:space="preserve"> MASSICOT </t>
  </si>
  <si>
    <t xml:space="preserve"> DELAFENETRE </t>
  </si>
  <si>
    <t xml:space="preserve"> ALVES DE SOUZA </t>
  </si>
  <si>
    <t xml:space="preserve"> KALAHA </t>
  </si>
  <si>
    <t xml:space="preserve"> AUZEMERY </t>
  </si>
  <si>
    <t xml:space="preserve"> WEYER </t>
  </si>
  <si>
    <t xml:space="preserve"> GUILLEMARD </t>
  </si>
  <si>
    <t xml:space="preserve"> LIAUBET </t>
  </si>
  <si>
    <t xml:space="preserve"> HENSEVAL </t>
  </si>
  <si>
    <t xml:space="preserve"> FAPPANI </t>
  </si>
  <si>
    <t xml:space="preserve"> CHAMPENOUX </t>
  </si>
  <si>
    <t xml:space="preserve"> GOURREAU </t>
  </si>
  <si>
    <t xml:space="preserve"> PUYDUPIN </t>
  </si>
  <si>
    <t xml:space="preserve"> ST-GERMAIN-LES-BELLES AIR </t>
  </si>
  <si>
    <t xml:space="preserve"> PIETROZYCKI </t>
  </si>
  <si>
    <t xml:space="preserve"> SIAB </t>
  </si>
  <si>
    <t xml:space="preserve"> ROULLIER </t>
  </si>
  <si>
    <t xml:space="preserve"> CRAVANT SL </t>
  </si>
  <si>
    <t xml:space="preserve"> TEMPLON </t>
  </si>
  <si>
    <t xml:space="preserve"> KEHREN </t>
  </si>
  <si>
    <t xml:space="preserve"> SOYEZ </t>
  </si>
  <si>
    <t xml:space="preserve"> NOWINSKI </t>
  </si>
  <si>
    <t xml:space="preserve"> LHORTOLARY </t>
  </si>
  <si>
    <t xml:space="preserve"> STROCK </t>
  </si>
  <si>
    <t xml:space="preserve"> TUFELE </t>
  </si>
  <si>
    <t xml:space="preserve"> Salatiele </t>
  </si>
  <si>
    <t xml:space="preserve"> GROISARD </t>
  </si>
  <si>
    <t xml:space="preserve"> HAQUETTE </t>
  </si>
  <si>
    <t xml:space="preserve"> XUEREB </t>
  </si>
  <si>
    <t xml:space="preserve"> HANY </t>
  </si>
  <si>
    <t xml:space="preserve"> AST LA TESTE TENNIS DE TA </t>
  </si>
  <si>
    <t xml:space="preserve"> QUELARD </t>
  </si>
  <si>
    <t xml:space="preserve"> MIETTON </t>
  </si>
  <si>
    <t xml:space="preserve"> LALOUBERE </t>
  </si>
  <si>
    <t xml:space="preserve"> BOTREAU-ROUSSEL </t>
  </si>
  <si>
    <t xml:space="preserve"> RUCKI </t>
  </si>
  <si>
    <t xml:space="preserve"> GRAESSLIN </t>
  </si>
  <si>
    <t xml:space="preserve"> VEYRES </t>
  </si>
  <si>
    <t xml:space="preserve"> CASTEX </t>
  </si>
  <si>
    <t xml:space="preserve"> BELLENGEZ </t>
  </si>
  <si>
    <t xml:space="preserve"> OFFROY </t>
  </si>
  <si>
    <t xml:space="preserve"> BOUANICH </t>
  </si>
  <si>
    <t xml:space="preserve"> GROZINGER </t>
  </si>
  <si>
    <t xml:space="preserve"> STOECKEL </t>
  </si>
  <si>
    <t xml:space="preserve"> KORLIAKOV </t>
  </si>
  <si>
    <t xml:space="preserve"> Andrei </t>
  </si>
  <si>
    <t xml:space="preserve"> HERIQUE </t>
  </si>
  <si>
    <t xml:space="preserve"> SPIECKER </t>
  </si>
  <si>
    <t xml:space="preserve"> VILIN </t>
  </si>
  <si>
    <t xml:space="preserve"> VINOIS </t>
  </si>
  <si>
    <t xml:space="preserve"> CHARRETTE </t>
  </si>
  <si>
    <t xml:space="preserve"> BEUQUE </t>
  </si>
  <si>
    <t xml:space="preserve"> BOURDELOIE </t>
  </si>
  <si>
    <t xml:space="preserve"> DEFAWE </t>
  </si>
  <si>
    <t xml:space="preserve"> PUECH </t>
  </si>
  <si>
    <t xml:space="preserve"> JEREZ </t>
  </si>
  <si>
    <t xml:space="preserve"> BELLEGARDE COB </t>
  </si>
  <si>
    <t xml:space="preserve"> FECHTER </t>
  </si>
  <si>
    <t xml:space="preserve"> VALTORTA </t>
  </si>
  <si>
    <t xml:space="preserve"> TOMMASI </t>
  </si>
  <si>
    <t xml:space="preserve"> MENTHEOUR </t>
  </si>
  <si>
    <t xml:space="preserve"> LIHRMANN </t>
  </si>
  <si>
    <t xml:space="preserve"> GOUILLANDEAU </t>
  </si>
  <si>
    <t xml:space="preserve"> KINDERSTUTH </t>
  </si>
  <si>
    <t xml:space="preserve"> SOILOT </t>
  </si>
  <si>
    <t xml:space="preserve"> BONNAUDET </t>
  </si>
  <si>
    <t xml:space="preserve"> CSTT CHAMONIX </t>
  </si>
  <si>
    <t xml:space="preserve"> AUDE </t>
  </si>
  <si>
    <t xml:space="preserve"> SCHOTT </t>
  </si>
  <si>
    <t xml:space="preserve"> JEBANE </t>
  </si>
  <si>
    <t xml:space="preserve"> HARTMANN </t>
  </si>
  <si>
    <t xml:space="preserve"> CUISY </t>
  </si>
  <si>
    <t xml:space="preserve"> LAPERCHE </t>
  </si>
  <si>
    <t xml:space="preserve"> FROUSSART </t>
  </si>
  <si>
    <t xml:space="preserve"> BUTYNSKI </t>
  </si>
  <si>
    <t xml:space="preserve"> CHIGNARD </t>
  </si>
  <si>
    <t xml:space="preserve"> DAGORET </t>
  </si>
  <si>
    <t xml:space="preserve"> MUZART </t>
  </si>
  <si>
    <t xml:space="preserve"> MARREAU </t>
  </si>
  <si>
    <t xml:space="preserve"> DUBAELE </t>
  </si>
  <si>
    <t xml:space="preserve"> BARNERIAS </t>
  </si>
  <si>
    <t xml:space="preserve"> LEPLUS </t>
  </si>
  <si>
    <t xml:space="preserve"> BRUGUET </t>
  </si>
  <si>
    <t xml:space="preserve"> GIRONNAY </t>
  </si>
  <si>
    <t xml:space="preserve"> AMEGAN </t>
  </si>
  <si>
    <t xml:space="preserve"> VANDOEUVRE ASCI </t>
  </si>
  <si>
    <t xml:space="preserve"> KLEINBORT </t>
  </si>
  <si>
    <t xml:space="preserve"> LEMBERGIER </t>
  </si>
  <si>
    <t xml:space="preserve"> JULES </t>
  </si>
  <si>
    <t xml:space="preserve"> RIGODANZO </t>
  </si>
  <si>
    <t xml:space="preserve"> BOURJADE </t>
  </si>
  <si>
    <t xml:space="preserve"> LORIEU </t>
  </si>
  <si>
    <t xml:space="preserve"> TENES </t>
  </si>
  <si>
    <t xml:space="preserve"> ROC </t>
  </si>
  <si>
    <t xml:space="preserve"> VAIRETTY </t>
  </si>
  <si>
    <t xml:space="preserve"> CHEMLOUL </t>
  </si>
  <si>
    <t xml:space="preserve"> DENETRE </t>
  </si>
  <si>
    <t xml:space="preserve"> O'DOWD </t>
  </si>
  <si>
    <t xml:space="preserve"> HUAULT </t>
  </si>
  <si>
    <t xml:space="preserve"> CRESPO </t>
  </si>
  <si>
    <t xml:space="preserve"> QUENARD </t>
  </si>
  <si>
    <t xml:space="preserve"> CASTEILTORT </t>
  </si>
  <si>
    <t xml:space="preserve"> DUTOUR </t>
  </si>
  <si>
    <t xml:space="preserve"> LOUILLET </t>
  </si>
  <si>
    <t xml:space="preserve"> BELLIN </t>
  </si>
  <si>
    <t xml:space="preserve"> BALZAC </t>
  </si>
  <si>
    <t xml:space="preserve"> Rapahel </t>
  </si>
  <si>
    <t xml:space="preserve"> ELNAVUI TT </t>
  </si>
  <si>
    <t xml:space="preserve"> CLARK </t>
  </si>
  <si>
    <t xml:space="preserve"> HANTZ </t>
  </si>
  <si>
    <t xml:space="preserve"> FORTIAS </t>
  </si>
  <si>
    <t xml:space="preserve"> ORO </t>
  </si>
  <si>
    <t xml:space="preserve"> DELOR </t>
  </si>
  <si>
    <t xml:space="preserve"> MERAND </t>
  </si>
  <si>
    <t xml:space="preserve"> PEYROUX </t>
  </si>
  <si>
    <t xml:space="preserve"> DALBAN MOREYNAS </t>
  </si>
  <si>
    <t xml:space="preserve"> DEFOUR </t>
  </si>
  <si>
    <t xml:space="preserve"> Joel jacques </t>
  </si>
  <si>
    <t xml:space="preserve"> REYNET </t>
  </si>
  <si>
    <t xml:space="preserve"> ANGIGNARD </t>
  </si>
  <si>
    <t xml:space="preserve"> Jean-carl </t>
  </si>
  <si>
    <t xml:space="preserve"> LUCIUS </t>
  </si>
  <si>
    <t xml:space="preserve"> JOUINOT </t>
  </si>
  <si>
    <t xml:space="preserve"> CORPO36 TENNIS DE TABLE </t>
  </si>
  <si>
    <t xml:space="preserve"> BOUGIVAL AS </t>
  </si>
  <si>
    <t xml:space="preserve"> LEPRESLE </t>
  </si>
  <si>
    <t xml:space="preserve"> DI GIOIA </t>
  </si>
  <si>
    <t xml:space="preserve"> LENOTRE </t>
  </si>
  <si>
    <t xml:space="preserve"> DEFFAINS </t>
  </si>
  <si>
    <t xml:space="preserve"> AOUSTIN </t>
  </si>
  <si>
    <t xml:space="preserve"> DAGUE </t>
  </si>
  <si>
    <t xml:space="preserve"> BOURLIERE </t>
  </si>
  <si>
    <t xml:space="preserve"> CHAMINADE </t>
  </si>
  <si>
    <t xml:space="preserve"> Heimana </t>
  </si>
  <si>
    <t xml:space="preserve"> 379H0046 </t>
  </si>
  <si>
    <t xml:space="preserve"> A.S. D.C.A. Raiatea </t>
  </si>
  <si>
    <t xml:space="preserve"> JONGMANS </t>
  </si>
  <si>
    <t xml:space="preserve"> TT STE HELENE DU LAC </t>
  </si>
  <si>
    <t xml:space="preserve"> RABUSSEAU </t>
  </si>
  <si>
    <t xml:space="preserve"> DIETHER </t>
  </si>
  <si>
    <t xml:space="preserve"> FELEU </t>
  </si>
  <si>
    <t xml:space="preserve"> Nisie </t>
  </si>
  <si>
    <t xml:space="preserve"> 389W0006 </t>
  </si>
  <si>
    <t xml:space="preserve"> CABOCHE RIO </t>
  </si>
  <si>
    <t xml:space="preserve"> FRENOT </t>
  </si>
  <si>
    <t xml:space="preserve"> DEVYS </t>
  </si>
  <si>
    <t xml:space="preserve"> HIBLOT </t>
  </si>
  <si>
    <t xml:space="preserve"> MICHALLET </t>
  </si>
  <si>
    <t xml:space="preserve"> BOHAIN </t>
  </si>
  <si>
    <t xml:space="preserve"> ITARD </t>
  </si>
  <si>
    <t xml:space="preserve"> FRICOT </t>
  </si>
  <si>
    <t xml:space="preserve"> COURS </t>
  </si>
  <si>
    <t xml:space="preserve"> LAMIOT </t>
  </si>
  <si>
    <t xml:space="preserve"> CHOUPIN </t>
  </si>
  <si>
    <t xml:space="preserve"> LEDUCQ </t>
  </si>
  <si>
    <t xml:space="preserve"> BORZAKIAN </t>
  </si>
  <si>
    <t xml:space="preserve"> GRAVELEINE </t>
  </si>
  <si>
    <t xml:space="preserve"> MITARD </t>
  </si>
  <si>
    <t xml:space="preserve"> PEBERAT </t>
  </si>
  <si>
    <t xml:space="preserve"> SOL </t>
  </si>
  <si>
    <t xml:space="preserve"> CELSE </t>
  </si>
  <si>
    <t xml:space="preserve"> OUDJIAL </t>
  </si>
  <si>
    <t xml:space="preserve"> LANFRANCHI </t>
  </si>
  <si>
    <t xml:space="preserve"> ARCADE </t>
  </si>
  <si>
    <t xml:space="preserve"> GOSTIAUX </t>
  </si>
  <si>
    <t xml:space="preserve"> Joanny </t>
  </si>
  <si>
    <t xml:space="preserve"> GREVET </t>
  </si>
  <si>
    <t xml:space="preserve"> BISCH </t>
  </si>
  <si>
    <t xml:space="preserve"> GUIHEU </t>
  </si>
  <si>
    <t xml:space="preserve"> HITACHE </t>
  </si>
  <si>
    <t xml:space="preserve"> PROTAIN </t>
  </si>
  <si>
    <t xml:space="preserve"> COETTE </t>
  </si>
  <si>
    <t xml:space="preserve"> LE BLANC </t>
  </si>
  <si>
    <t xml:space="preserve"> HUYGE </t>
  </si>
  <si>
    <t xml:space="preserve"> STRAUCH </t>
  </si>
  <si>
    <t xml:space="preserve"> GAILLET </t>
  </si>
  <si>
    <t xml:space="preserve"> VEDRINE </t>
  </si>
  <si>
    <t xml:space="preserve"> BATTET </t>
  </si>
  <si>
    <t xml:space="preserve"> TRUFFY </t>
  </si>
  <si>
    <t xml:space="preserve"> GUILLORY </t>
  </si>
  <si>
    <t xml:space="preserve"> DAMBRE </t>
  </si>
  <si>
    <t xml:space="preserve"> FANCELLI </t>
  </si>
  <si>
    <t xml:space="preserve"> MATCH POINT </t>
  </si>
  <si>
    <t xml:space="preserve"> GUENEUGUES </t>
  </si>
  <si>
    <t xml:space="preserve"> PROUCHANDY </t>
  </si>
  <si>
    <t xml:space="preserve"> PALENZUELA </t>
  </si>
  <si>
    <t xml:space="preserve"> DIDONNA </t>
  </si>
  <si>
    <t xml:space="preserve"> THERIEZ </t>
  </si>
  <si>
    <t xml:space="preserve"> HERVEZ </t>
  </si>
  <si>
    <t xml:space="preserve"> MOUSSIE </t>
  </si>
  <si>
    <t xml:space="preserve"> GUIRKINGER </t>
  </si>
  <si>
    <t xml:space="preserve"> BUISSONIER </t>
  </si>
  <si>
    <t xml:space="preserve"> RODELIN </t>
  </si>
  <si>
    <t xml:space="preserve"> CHEDMAIL </t>
  </si>
  <si>
    <t xml:space="preserve"> GAYRAL </t>
  </si>
  <si>
    <t xml:space="preserve"> CALANGE </t>
  </si>
  <si>
    <t xml:space="preserve"> MOTREFF </t>
  </si>
  <si>
    <t xml:space="preserve"> DA ROIT </t>
  </si>
  <si>
    <t xml:space="preserve"> CHAMBOURCY ASM </t>
  </si>
  <si>
    <t xml:space="preserve"> HAMDOUN </t>
  </si>
  <si>
    <t xml:space="preserve"> Mounir </t>
  </si>
  <si>
    <t xml:space="preserve"> MOLLIER </t>
  </si>
  <si>
    <t xml:space="preserve"> DELAMONTAGNE </t>
  </si>
  <si>
    <t xml:space="preserve"> CHAUDRUT </t>
  </si>
  <si>
    <t xml:space="preserve"> GIOVANNINI </t>
  </si>
  <si>
    <t xml:space="preserve"> KUS </t>
  </si>
  <si>
    <t xml:space="preserve"> CLUSELLS </t>
  </si>
  <si>
    <t xml:space="preserve"> JOURNOUX </t>
  </si>
  <si>
    <t xml:space="preserve"> HUMETZ </t>
  </si>
  <si>
    <t xml:space="preserve"> ZORELLE </t>
  </si>
  <si>
    <t xml:space="preserve"> DE RYCKE </t>
  </si>
  <si>
    <t xml:space="preserve"> LETROT </t>
  </si>
  <si>
    <t xml:space="preserve"> ZIEGELMEYER </t>
  </si>
  <si>
    <t xml:space="preserve"> GAZ. CHATEAUROUX </t>
  </si>
  <si>
    <t xml:space="preserve"> PITERS </t>
  </si>
  <si>
    <t xml:space="preserve"> LIVET </t>
  </si>
  <si>
    <t xml:space="preserve"> QUEMET </t>
  </si>
  <si>
    <t xml:space="preserve"> VAROQUIER </t>
  </si>
  <si>
    <t xml:space="preserve"> GLINKOWSKI </t>
  </si>
  <si>
    <t xml:space="preserve"> TRIMOUILLE </t>
  </si>
  <si>
    <t xml:space="preserve"> BRUSSOLO </t>
  </si>
  <si>
    <t xml:space="preserve"> AIROLA </t>
  </si>
  <si>
    <t xml:space="preserve"> CHAREYRON </t>
  </si>
  <si>
    <t xml:space="preserve"> FERNBACH </t>
  </si>
  <si>
    <t xml:space="preserve"> MORABITO </t>
  </si>
  <si>
    <t xml:space="preserve"> KIECKEN </t>
  </si>
  <si>
    <t xml:space="preserve"> SAINT DIZIER </t>
  </si>
  <si>
    <t xml:space="preserve"> BOURELLE </t>
  </si>
  <si>
    <t xml:space="preserve"> LETTY </t>
  </si>
  <si>
    <t xml:space="preserve"> BEAUFORT TT </t>
  </si>
  <si>
    <t xml:space="preserve"> LECOLANT </t>
  </si>
  <si>
    <t xml:space="preserve"> RENEVOT </t>
  </si>
  <si>
    <t xml:space="preserve"> INCARDONA </t>
  </si>
  <si>
    <t xml:space="preserve"> JENNEPIN </t>
  </si>
  <si>
    <t xml:space="preserve"> LA MEZIERE A.S. T.T. </t>
  </si>
  <si>
    <t xml:space="preserve"> GUIDIBI </t>
  </si>
  <si>
    <t xml:space="preserve"> CHEVIRON </t>
  </si>
  <si>
    <t xml:space="preserve"> AUSPERT </t>
  </si>
  <si>
    <t xml:space="preserve"> DE SAINT MELEUC </t>
  </si>
  <si>
    <t xml:space="preserve"> DUFFAU </t>
  </si>
  <si>
    <t xml:space="preserve"> BOULON </t>
  </si>
  <si>
    <t xml:space="preserve"> VILLIER </t>
  </si>
  <si>
    <t xml:space="preserve"> BATS </t>
  </si>
  <si>
    <t xml:space="preserve"> MELET </t>
  </si>
  <si>
    <t xml:space="preserve"> ACHOUR </t>
  </si>
  <si>
    <t xml:space="preserve"> GOUVERNET </t>
  </si>
  <si>
    <t xml:space="preserve"> KRIKORIAN </t>
  </si>
  <si>
    <t xml:space="preserve"> BONAUD </t>
  </si>
  <si>
    <t xml:space="preserve"> IAKIMOV </t>
  </si>
  <si>
    <t xml:space="preserve"> Miho </t>
  </si>
  <si>
    <t xml:space="preserve"> BENHAIEM </t>
  </si>
  <si>
    <t xml:space="preserve"> PLESDIN </t>
  </si>
  <si>
    <t xml:space="preserve"> ROTTREAU </t>
  </si>
  <si>
    <t xml:space="preserve"> DEPIESSE </t>
  </si>
  <si>
    <t xml:space="preserve"> PIGNOUX </t>
  </si>
  <si>
    <t xml:space="preserve"> GOYARD </t>
  </si>
  <si>
    <t xml:space="preserve"> LIEBON </t>
  </si>
  <si>
    <t xml:space="preserve"> DI BONA </t>
  </si>
  <si>
    <t xml:space="preserve"> LEMESRE </t>
  </si>
  <si>
    <t xml:space="preserve"> BANSE </t>
  </si>
  <si>
    <t xml:space="preserve"> POHU </t>
  </si>
  <si>
    <t xml:space="preserve"> PITO </t>
  </si>
  <si>
    <t xml:space="preserve"> Gustave </t>
  </si>
  <si>
    <t xml:space="preserve"> 379H0044 </t>
  </si>
  <si>
    <t xml:space="preserve"> Club de Makemo </t>
  </si>
  <si>
    <t xml:space="preserve"> LECORPS </t>
  </si>
  <si>
    <t xml:space="preserve"> ALLEGUEDE </t>
  </si>
  <si>
    <t xml:space="preserve"> JAMMES </t>
  </si>
  <si>
    <t xml:space="preserve"> RESSORT </t>
  </si>
  <si>
    <t xml:space="preserve"> 389W0007 </t>
  </si>
  <si>
    <t xml:space="preserve"> PAUTRAS </t>
  </si>
  <si>
    <t xml:space="preserve"> DEVIAENE </t>
  </si>
  <si>
    <t xml:space="preserve"> BOTZ </t>
  </si>
  <si>
    <t xml:space="preserve"> CAGNON </t>
  </si>
  <si>
    <t xml:space="preserve"> ARONOFF </t>
  </si>
  <si>
    <t xml:space="preserve"> RENAUDOT </t>
  </si>
  <si>
    <t xml:space="preserve"> BARRUEZO </t>
  </si>
  <si>
    <t xml:space="preserve"> BENNIS </t>
  </si>
  <si>
    <t xml:space="preserve"> HURTAUD </t>
  </si>
  <si>
    <t xml:space="preserve"> AMODEO </t>
  </si>
  <si>
    <t xml:space="preserve"> MANGOLD </t>
  </si>
  <si>
    <t xml:space="preserve"> TRINEL </t>
  </si>
  <si>
    <t xml:space="preserve"> LEMAL </t>
  </si>
  <si>
    <t xml:space="preserve"> LEGAVRE </t>
  </si>
  <si>
    <t xml:space="preserve"> FRANCESCHI </t>
  </si>
  <si>
    <t xml:space="preserve"> RIMBERT </t>
  </si>
  <si>
    <t xml:space="preserve"> BANQUART </t>
  </si>
  <si>
    <t xml:space="preserve"> LACOUA </t>
  </si>
  <si>
    <t xml:space="preserve"> GUIZELIN </t>
  </si>
  <si>
    <t xml:space="preserve"> RATAJSKI </t>
  </si>
  <si>
    <t xml:space="preserve"> SEJEAN </t>
  </si>
  <si>
    <t xml:space="preserve"> RUELLAND </t>
  </si>
  <si>
    <t xml:space="preserve"> HOFFER </t>
  </si>
  <si>
    <t xml:space="preserve"> COQUEREAU </t>
  </si>
  <si>
    <t xml:space="preserve"> HANSS </t>
  </si>
  <si>
    <t xml:space="preserve"> PIRAN </t>
  </si>
  <si>
    <t xml:space="preserve"> GENNETIER </t>
  </si>
  <si>
    <t xml:space="preserve"> FORMET </t>
  </si>
  <si>
    <t xml:space="preserve"> MARIONNET </t>
  </si>
  <si>
    <t xml:space="preserve"> MILLERAUT </t>
  </si>
  <si>
    <t xml:space="preserve"> CORPO PING 49 </t>
  </si>
  <si>
    <t xml:space="preserve"> MOSIMANN </t>
  </si>
  <si>
    <t xml:space="preserve"> MOTSCH </t>
  </si>
  <si>
    <t xml:space="preserve"> GULIAN </t>
  </si>
  <si>
    <t xml:space="preserve"> CURREN </t>
  </si>
  <si>
    <t xml:space="preserve"> OTERO </t>
  </si>
  <si>
    <t xml:space="preserve"> L'EPONGISTES P.B.C </t>
  </si>
  <si>
    <t xml:space="preserve"> LEOTARD </t>
  </si>
  <si>
    <t xml:space="preserve"> CARRIERES SUR SEINE US </t>
  </si>
  <si>
    <t xml:space="preserve"> RIALET </t>
  </si>
  <si>
    <t xml:space="preserve"> CALVO </t>
  </si>
  <si>
    <t xml:space="preserve"> PHILIPPEAU </t>
  </si>
  <si>
    <t xml:space="preserve"> BRULARD </t>
  </si>
  <si>
    <t xml:space="preserve"> DELAPRE </t>
  </si>
  <si>
    <t xml:space="preserve"> SICART </t>
  </si>
  <si>
    <t xml:space="preserve"> DEROUELLE </t>
  </si>
  <si>
    <t xml:space="preserve"> HEBLES </t>
  </si>
  <si>
    <t xml:space="preserve"> BACCI </t>
  </si>
  <si>
    <t xml:space="preserve"> STUDY </t>
  </si>
  <si>
    <t xml:space="preserve"> VAILLAGOU </t>
  </si>
  <si>
    <t xml:space="preserve"> KOEHREN </t>
  </si>
  <si>
    <t xml:space="preserve"> HORNEZ </t>
  </si>
  <si>
    <t xml:space="preserve"> BREMA </t>
  </si>
  <si>
    <t xml:space="preserve"> RINGEL </t>
  </si>
  <si>
    <t xml:space="preserve"> TROTTE </t>
  </si>
  <si>
    <t xml:space="preserve"> GOUBIN </t>
  </si>
  <si>
    <t xml:space="preserve"> BONHOMMEAU </t>
  </si>
  <si>
    <t xml:space="preserve"> TRANG </t>
  </si>
  <si>
    <t xml:space="preserve"> LEMAISTRE </t>
  </si>
  <si>
    <t xml:space="preserve"> JEANNAUX </t>
  </si>
  <si>
    <t xml:space="preserve"> SERVAGER </t>
  </si>
  <si>
    <t xml:space="preserve"> GRIT </t>
  </si>
  <si>
    <t xml:space="preserve"> Jean-patrice </t>
  </si>
  <si>
    <t xml:space="preserve"> DENAIS </t>
  </si>
  <si>
    <t xml:space="preserve"> BONNEMOY </t>
  </si>
  <si>
    <t xml:space="preserve"> ROLDEZ </t>
  </si>
  <si>
    <t xml:space="preserve"> RESSEGAIRE </t>
  </si>
  <si>
    <t xml:space="preserve"> SALENNE </t>
  </si>
  <si>
    <t xml:space="preserve"> U S CURIAL CAMBRAI </t>
  </si>
  <si>
    <t xml:space="preserve"> GUEDES </t>
  </si>
  <si>
    <t xml:space="preserve"> DERISBOURG </t>
  </si>
  <si>
    <t xml:space="preserve"> Laurent-nicolas </t>
  </si>
  <si>
    <t xml:space="preserve"> GAILHARD </t>
  </si>
  <si>
    <t xml:space="preserve"> MONAVON </t>
  </si>
  <si>
    <t xml:space="preserve"> GUENET </t>
  </si>
  <si>
    <t xml:space="preserve"> BALLE </t>
  </si>
  <si>
    <t xml:space="preserve"> CADORET </t>
  </si>
  <si>
    <t xml:space="preserve"> TERNOIS </t>
  </si>
  <si>
    <t xml:space="preserve"> FRICHE </t>
  </si>
  <si>
    <t xml:space="preserve"> GUEDRAT </t>
  </si>
  <si>
    <t xml:space="preserve"> MERCEY </t>
  </si>
  <si>
    <t xml:space="preserve"> POUZAT </t>
  </si>
  <si>
    <t xml:space="preserve"> BARREL </t>
  </si>
  <si>
    <t xml:space="preserve"> JUINO </t>
  </si>
  <si>
    <t xml:space="preserve"> BUFFIERE </t>
  </si>
  <si>
    <t xml:space="preserve"> CRITELLI </t>
  </si>
  <si>
    <t xml:space="preserve"> DUVILER </t>
  </si>
  <si>
    <t xml:space="preserve"> Constant </t>
  </si>
  <si>
    <t xml:space="preserve"> LACOMME </t>
  </si>
  <si>
    <t xml:space="preserve"> GIBOIN </t>
  </si>
  <si>
    <t xml:space="preserve"> BOURG-CAZAN </t>
  </si>
  <si>
    <t xml:space="preserve"> MALA </t>
  </si>
  <si>
    <t xml:space="preserve"> GUCLU </t>
  </si>
  <si>
    <t xml:space="preserve"> Selcuk </t>
  </si>
  <si>
    <t xml:space="preserve"> DULOU </t>
  </si>
  <si>
    <t xml:space="preserve"> SHILLINGFORD </t>
  </si>
  <si>
    <t xml:space="preserve"> CONNANT </t>
  </si>
  <si>
    <t xml:space="preserve"> SIMONUTTI </t>
  </si>
  <si>
    <t xml:space="preserve"> Dino </t>
  </si>
  <si>
    <t xml:space="preserve"> THOMARAT </t>
  </si>
  <si>
    <t xml:space="preserve"> MOKRANI </t>
  </si>
  <si>
    <t xml:space="preserve"> PRADELLES ASTT </t>
  </si>
  <si>
    <t xml:space="preserve"> DESAILLY </t>
  </si>
  <si>
    <t xml:space="preserve"> GOLUBOVIC </t>
  </si>
  <si>
    <t xml:space="preserve"> Terence </t>
  </si>
  <si>
    <t xml:space="preserve"> MARIOS </t>
  </si>
  <si>
    <t xml:space="preserve"> BAUDOIN </t>
  </si>
  <si>
    <t xml:space="preserve"> TANEPAU </t>
  </si>
  <si>
    <t xml:space="preserve"> Tihoti </t>
  </si>
  <si>
    <t xml:space="preserve"> 379H0043 </t>
  </si>
  <si>
    <t xml:space="preserve"> Comité des Sports de Tubu </t>
  </si>
  <si>
    <t xml:space="preserve"> LACHEAU </t>
  </si>
  <si>
    <t xml:space="preserve"> VERCOUSTRE </t>
  </si>
  <si>
    <t xml:space="preserve"> CHOUVIAC </t>
  </si>
  <si>
    <t xml:space="preserve"> DANNENMÜLLER </t>
  </si>
  <si>
    <t xml:space="preserve"> SORIEUX </t>
  </si>
  <si>
    <t xml:space="preserve"> KOCHER </t>
  </si>
  <si>
    <t xml:space="preserve"> DUFLOS </t>
  </si>
  <si>
    <t xml:space="preserve"> Rénald </t>
  </si>
  <si>
    <t xml:space="preserve"> VAQUE </t>
  </si>
  <si>
    <t xml:space="preserve"> ASP SAVIGNY </t>
  </si>
  <si>
    <t xml:space="preserve"> OSMU </t>
  </si>
  <si>
    <t xml:space="preserve"> TRICAUD </t>
  </si>
  <si>
    <t xml:space="preserve"> BAUZOU </t>
  </si>
  <si>
    <t xml:space="preserve"> DECABANE </t>
  </si>
  <si>
    <t xml:space="preserve"> WABNITZ </t>
  </si>
  <si>
    <t xml:space="preserve"> Sven-holger </t>
  </si>
  <si>
    <t xml:space="preserve"> MOLENDA </t>
  </si>
  <si>
    <t xml:space="preserve"> MELLERIN </t>
  </si>
  <si>
    <t xml:space="preserve"> SICH </t>
  </si>
  <si>
    <t xml:space="preserve"> DELAVAUD </t>
  </si>
  <si>
    <t xml:space="preserve"> Luigi </t>
  </si>
  <si>
    <t xml:space="preserve"> CATHELINEAU </t>
  </si>
  <si>
    <t xml:space="preserve"> LACH </t>
  </si>
  <si>
    <t xml:space="preserve"> TRAN HOU HUE </t>
  </si>
  <si>
    <t xml:space="preserve"> MARTZ </t>
  </si>
  <si>
    <t xml:space="preserve"> LE VEXIER </t>
  </si>
  <si>
    <t xml:space="preserve"> CARRUELLE </t>
  </si>
  <si>
    <t xml:space="preserve"> MARICHAL </t>
  </si>
  <si>
    <t xml:space="preserve"> DESMORTIER </t>
  </si>
  <si>
    <t xml:space="preserve"> PARSOT </t>
  </si>
  <si>
    <t xml:space="preserve"> RISSO </t>
  </si>
  <si>
    <t xml:space="preserve"> TESTARD DE MARANS </t>
  </si>
  <si>
    <t xml:space="preserve"> DROUOT </t>
  </si>
  <si>
    <t xml:space="preserve"> HEUDRON </t>
  </si>
  <si>
    <t xml:space="preserve"> WASSELIN </t>
  </si>
  <si>
    <t xml:space="preserve"> ZORZI </t>
  </si>
  <si>
    <t xml:space="preserve"> SURET </t>
  </si>
  <si>
    <t xml:space="preserve"> D'HORDAIN </t>
  </si>
  <si>
    <t xml:space="preserve"> BAJOR </t>
  </si>
  <si>
    <t xml:space="preserve"> János </t>
  </si>
  <si>
    <t xml:space="preserve"> BECHARD </t>
  </si>
  <si>
    <t xml:space="preserve"> MULHOUSE C.C.C. T-T </t>
  </si>
  <si>
    <t xml:space="preserve"> BOURDEL </t>
  </si>
  <si>
    <t xml:space="preserve"> ASSOCIATION LIN NAM </t>
  </si>
  <si>
    <t xml:space="preserve"> BUCHER </t>
  </si>
  <si>
    <t xml:space="preserve"> KALAUTA </t>
  </si>
  <si>
    <t xml:space="preserve"> Poli </t>
  </si>
  <si>
    <t xml:space="preserve"> APKARIAN </t>
  </si>
  <si>
    <t xml:space="preserve"> DONATELLO </t>
  </si>
  <si>
    <t xml:space="preserve"> NEUVILLE </t>
  </si>
  <si>
    <t xml:space="preserve"> ST SATURNIN S/L. U.S.P.L </t>
  </si>
  <si>
    <t xml:space="preserve"> ROY-CHEVALIER </t>
  </si>
  <si>
    <t xml:space="preserve"> TARTOUR </t>
  </si>
  <si>
    <t xml:space="preserve"> KARBOROSKI </t>
  </si>
  <si>
    <t xml:space="preserve"> TEK </t>
  </si>
  <si>
    <t xml:space="preserve"> Sovathéro </t>
  </si>
  <si>
    <t xml:space="preserve"> MEBARKI </t>
  </si>
  <si>
    <t xml:space="preserve"> CHABRIEL </t>
  </si>
  <si>
    <t xml:space="preserve"> CHOMANT </t>
  </si>
  <si>
    <t xml:space="preserve"> ZIEBA </t>
  </si>
  <si>
    <t xml:space="preserve"> GAULT </t>
  </si>
  <si>
    <t xml:space="preserve"> LUQUET </t>
  </si>
  <si>
    <t xml:space="preserve"> NIEBORAK </t>
  </si>
  <si>
    <t xml:space="preserve"> BRASLET </t>
  </si>
  <si>
    <t xml:space="preserve"> GIORGETTI </t>
  </si>
  <si>
    <t xml:space="preserve"> BALLUFFIER </t>
  </si>
  <si>
    <t xml:space="preserve"> MESSAI </t>
  </si>
  <si>
    <t xml:space="preserve"> BOUZATS </t>
  </si>
  <si>
    <t xml:space="preserve"> CUBALA </t>
  </si>
  <si>
    <t xml:space="preserve"> PITA </t>
  </si>
  <si>
    <t xml:space="preserve"> 309C0357 </t>
  </si>
  <si>
    <t xml:space="preserve"> COSMA TENNIS DE TABLE </t>
  </si>
  <si>
    <t xml:space="preserve"> SPEGAGNE </t>
  </si>
  <si>
    <t xml:space="preserve"> ANTIGNY </t>
  </si>
  <si>
    <t xml:space="preserve"> GRUGEON </t>
  </si>
  <si>
    <t xml:space="preserve"> ISSARTEL </t>
  </si>
  <si>
    <t xml:space="preserve"> MERTENS </t>
  </si>
  <si>
    <t xml:space="preserve"> TAKALA </t>
  </si>
  <si>
    <t xml:space="preserve"> Sosefo </t>
  </si>
  <si>
    <t xml:space="preserve"> LACHOQUE </t>
  </si>
  <si>
    <t xml:space="preserve"> PASCAUD </t>
  </si>
  <si>
    <t xml:space="preserve"> JENTY </t>
  </si>
  <si>
    <t xml:space="preserve"> Lambert </t>
  </si>
  <si>
    <t xml:space="preserve"> ESPES </t>
  </si>
  <si>
    <t xml:space="preserve"> MOUNIAPIN </t>
  </si>
  <si>
    <t xml:space="preserve"> MOHAMMEDI </t>
  </si>
  <si>
    <t xml:space="preserve"> CHALINE </t>
  </si>
  <si>
    <t xml:space="preserve"> OTGE </t>
  </si>
  <si>
    <t xml:space="preserve"> TESSEDRE </t>
  </si>
  <si>
    <t xml:space="preserve"> SENNEPIN </t>
  </si>
  <si>
    <t xml:space="preserve"> BARASCUD </t>
  </si>
  <si>
    <t xml:space="preserve"> DYLA </t>
  </si>
  <si>
    <t xml:space="preserve"> BLAZEJEWSKI </t>
  </si>
  <si>
    <t xml:space="preserve"> DURELLO </t>
  </si>
  <si>
    <t xml:space="preserve"> JEULAND </t>
  </si>
  <si>
    <t xml:space="preserve"> CNOCKAERT </t>
  </si>
  <si>
    <t xml:space="preserve"> Lyndia </t>
  </si>
  <si>
    <t xml:space="preserve"> PENNETIER </t>
  </si>
  <si>
    <t xml:space="preserve"> DEMON </t>
  </si>
  <si>
    <t xml:space="preserve"> GADRAT </t>
  </si>
  <si>
    <t xml:space="preserve"> DE MARCO </t>
  </si>
  <si>
    <t xml:space="preserve"> LAGACY </t>
  </si>
  <si>
    <t xml:space="preserve"> BONI </t>
  </si>
  <si>
    <t xml:space="preserve"> MOUNIER POULAT </t>
  </si>
  <si>
    <t xml:space="preserve"> Thien-hiep </t>
  </si>
  <si>
    <t xml:space="preserve"> GACHELIN </t>
  </si>
  <si>
    <t xml:space="preserve"> GIERSTEJN </t>
  </si>
  <si>
    <t xml:space="preserve"> DAUSSY </t>
  </si>
  <si>
    <t xml:space="preserve"> KASSO </t>
  </si>
  <si>
    <t xml:space="preserve"> AGENAIS </t>
  </si>
  <si>
    <t xml:space="preserve"> JOUFFROY </t>
  </si>
  <si>
    <t xml:space="preserve"> LAIRIE </t>
  </si>
  <si>
    <t xml:space="preserve"> SEGOUIN </t>
  </si>
  <si>
    <t xml:space="preserve"> BURGUIERE </t>
  </si>
  <si>
    <t xml:space="preserve"> LURIN </t>
  </si>
  <si>
    <t xml:space="preserve"> LAUGT </t>
  </si>
  <si>
    <t xml:space="preserve"> LEQUILERIER </t>
  </si>
  <si>
    <t xml:space="preserve"> LEGAUX </t>
  </si>
  <si>
    <t xml:space="preserve"> CRENEL </t>
  </si>
  <si>
    <t xml:space="preserve"> FRAQUET </t>
  </si>
  <si>
    <t xml:space="preserve"> GARONS TENNIS DE TABLE </t>
  </si>
  <si>
    <t xml:space="preserve"> CHAPELIER </t>
  </si>
  <si>
    <t xml:space="preserve"> BEYRIS </t>
  </si>
  <si>
    <t xml:space="preserve"> BOHAN </t>
  </si>
  <si>
    <t xml:space="preserve"> COULAIS </t>
  </si>
  <si>
    <t xml:space="preserve"> NARANZI </t>
  </si>
  <si>
    <t xml:space="preserve"> AILLARD </t>
  </si>
  <si>
    <t xml:space="preserve"> NOUALI </t>
  </si>
  <si>
    <t xml:space="preserve"> VERHOEST </t>
  </si>
  <si>
    <t xml:space="preserve"> RICHARD-DUCROS </t>
  </si>
  <si>
    <t xml:space="preserve"> AZE </t>
  </si>
  <si>
    <t xml:space="preserve"> CADIS </t>
  </si>
  <si>
    <t xml:space="preserve"> PROUDOM </t>
  </si>
  <si>
    <t xml:space="preserve"> MONEGER </t>
  </si>
  <si>
    <t xml:space="preserve"> NEMMOUR </t>
  </si>
  <si>
    <t xml:space="preserve"> RIFFAUD </t>
  </si>
  <si>
    <t xml:space="preserve"> HENNEBICQ </t>
  </si>
  <si>
    <t xml:space="preserve"> LITTORIE </t>
  </si>
  <si>
    <t xml:space="preserve"> DEDIT </t>
  </si>
  <si>
    <t xml:space="preserve"> JOSSIN </t>
  </si>
  <si>
    <t xml:space="preserve"> SEZESTRE </t>
  </si>
  <si>
    <t xml:space="preserve"> BROBBEL DORSMAN </t>
  </si>
  <si>
    <t xml:space="preserve"> HUYNEN </t>
  </si>
  <si>
    <t xml:space="preserve"> Juvenal </t>
  </si>
  <si>
    <t xml:space="preserve"> BRUBION </t>
  </si>
  <si>
    <t xml:space="preserve"> SALTZMAN </t>
  </si>
  <si>
    <t xml:space="preserve"> THONG </t>
  </si>
  <si>
    <t xml:space="preserve"> SAUBAT </t>
  </si>
  <si>
    <t xml:space="preserve"> ROIG </t>
  </si>
  <si>
    <t xml:space="preserve"> JAVET </t>
  </si>
  <si>
    <t xml:space="preserve"> LAFUMA </t>
  </si>
  <si>
    <t xml:space="preserve"> 1941LELIGNY </t>
  </si>
  <si>
    <t xml:space="preserve"> SAMTER </t>
  </si>
  <si>
    <t xml:space="preserve"> DAL MOLIN </t>
  </si>
  <si>
    <t xml:space="preserve"> DRUCKER </t>
  </si>
  <si>
    <t xml:space="preserve"> AZZARA </t>
  </si>
  <si>
    <t xml:space="preserve"> AMOSALA </t>
  </si>
  <si>
    <t xml:space="preserve"> Napoléone </t>
  </si>
  <si>
    <t xml:space="preserve"> ENCAOUA </t>
  </si>
  <si>
    <t xml:space="preserve"> Moshé </t>
  </si>
  <si>
    <t xml:space="preserve"> OVION </t>
  </si>
  <si>
    <t xml:space="preserve"> KELETAONA </t>
  </si>
  <si>
    <t xml:space="preserve"> Falaone </t>
  </si>
  <si>
    <t xml:space="preserve"> JOULLIN </t>
  </si>
  <si>
    <t xml:space="preserve"> LABEJOF </t>
  </si>
  <si>
    <t xml:space="preserve"> Pierre-eugène </t>
  </si>
  <si>
    <t xml:space="preserve"> GLATKA </t>
  </si>
  <si>
    <t xml:space="preserve"> CERISIER </t>
  </si>
  <si>
    <t xml:space="preserve"> QUETTIER </t>
  </si>
  <si>
    <t xml:space="preserve"> MODENA </t>
  </si>
  <si>
    <t xml:space="preserve"> LAMOUCHE </t>
  </si>
  <si>
    <t xml:space="preserve"> EVRY SCA 2000 </t>
  </si>
  <si>
    <t xml:space="preserve"> JACQUIER </t>
  </si>
  <si>
    <t xml:space="preserve"> JOLLIVET </t>
  </si>
  <si>
    <t xml:space="preserve"> DEBAUGE </t>
  </si>
  <si>
    <t xml:space="preserve"> GUILLERMINET </t>
  </si>
  <si>
    <t xml:space="preserve"> Phiippe </t>
  </si>
  <si>
    <t xml:space="preserve"> MINGOUAL </t>
  </si>
  <si>
    <t xml:space="preserve"> BOULIN </t>
  </si>
  <si>
    <t xml:space="preserve"> LEBOSSE </t>
  </si>
  <si>
    <t xml:space="preserve"> IANNOTA </t>
  </si>
  <si>
    <t xml:space="preserve"> SZTERMULA </t>
  </si>
  <si>
    <t xml:space="preserve"> LONGY </t>
  </si>
  <si>
    <t xml:space="preserve"> HOURMAND </t>
  </si>
  <si>
    <t xml:space="preserve"> MODOLO </t>
  </si>
  <si>
    <t xml:space="preserve"> ELIOT </t>
  </si>
  <si>
    <t xml:space="preserve"> SAUTRON T.T. </t>
  </si>
  <si>
    <t xml:space="preserve"> LEVET </t>
  </si>
  <si>
    <t xml:space="preserve"> ELY </t>
  </si>
  <si>
    <t xml:space="preserve"> PL SANQUER BREST </t>
  </si>
  <si>
    <t xml:space="preserve"> TOMASZEK </t>
  </si>
  <si>
    <t xml:space="preserve"> TAULERE </t>
  </si>
  <si>
    <t xml:space="preserve"> DUCHOSSOY </t>
  </si>
  <si>
    <t xml:space="preserve"> CHASLIN </t>
  </si>
  <si>
    <t xml:space="preserve"> THAFLET </t>
  </si>
  <si>
    <t xml:space="preserve"> BUECHER </t>
  </si>
  <si>
    <t xml:space="preserve"> BERDIER </t>
  </si>
  <si>
    <t xml:space="preserve"> WOLCZEK </t>
  </si>
  <si>
    <t xml:space="preserve"> FLUTEAUX </t>
  </si>
  <si>
    <t xml:space="preserve"> SULYAN </t>
  </si>
  <si>
    <t xml:space="preserve"> Pierre-aloïs </t>
  </si>
  <si>
    <t xml:space="preserve"> MENUT </t>
  </si>
  <si>
    <t xml:space="preserve"> VALENET </t>
  </si>
  <si>
    <t xml:space="preserve"> WILLAERT </t>
  </si>
  <si>
    <t xml:space="preserve"> Jean-andre </t>
  </si>
  <si>
    <t xml:space="preserve"> DEVILLER </t>
  </si>
  <si>
    <t xml:space="preserve"> DERIOT </t>
  </si>
  <si>
    <t xml:space="preserve"> BERBETT </t>
  </si>
  <si>
    <t xml:space="preserve"> PONTADIT </t>
  </si>
  <si>
    <t xml:space="preserve"> LEVILLAND </t>
  </si>
  <si>
    <t xml:space="preserve"> WILLAEY </t>
  </si>
  <si>
    <t xml:space="preserve"> LE BOUDEC </t>
  </si>
  <si>
    <t xml:space="preserve"> MARSAUDON </t>
  </si>
  <si>
    <t xml:space="preserve"> FRICHES </t>
  </si>
  <si>
    <t xml:space="preserve"> GALIANA </t>
  </si>
  <si>
    <t xml:space="preserve"> NOILHAC </t>
  </si>
  <si>
    <t xml:space="preserve"> DEGOUY </t>
  </si>
  <si>
    <t xml:space="preserve"> BOUGAREL </t>
  </si>
  <si>
    <t xml:space="preserve"> BNP PARIBAS ORL/SARAN ASC </t>
  </si>
  <si>
    <t xml:space="preserve"> VALERY </t>
  </si>
  <si>
    <t xml:space="preserve"> LE SAMEDY </t>
  </si>
  <si>
    <t xml:space="preserve"> HAYOUN </t>
  </si>
  <si>
    <t xml:space="preserve"> BALLATAK </t>
  </si>
  <si>
    <t xml:space="preserve"> AUDISIO </t>
  </si>
  <si>
    <t xml:space="preserve"> DUVERGER </t>
  </si>
  <si>
    <t xml:space="preserve"> CAMPARGUE </t>
  </si>
  <si>
    <t xml:space="preserve"> LOMENECH </t>
  </si>
  <si>
    <t xml:space="preserve"> MAUPUY </t>
  </si>
  <si>
    <t xml:space="preserve"> TZEOU </t>
  </si>
  <si>
    <t xml:space="preserve"> Aling </t>
  </si>
  <si>
    <t xml:space="preserve"> 329F0605 </t>
  </si>
  <si>
    <t xml:space="preserve"> TENNIS DE TABLE DE DUMBEA </t>
  </si>
  <si>
    <t xml:space="preserve"> BURSON </t>
  </si>
  <si>
    <t xml:space="preserve"> ROCCA </t>
  </si>
  <si>
    <t xml:space="preserve"> DEBURCK </t>
  </si>
  <si>
    <t xml:space="preserve"> SABATTIÉ </t>
  </si>
  <si>
    <t xml:space="preserve"> GEFFROTIN </t>
  </si>
  <si>
    <t xml:space="preserve"> MAYOL </t>
  </si>
  <si>
    <t xml:space="preserve"> PERRIN-TURENNE </t>
  </si>
  <si>
    <t xml:space="preserve"> MAINGAUT </t>
  </si>
  <si>
    <t xml:space="preserve"> ORENGE </t>
  </si>
  <si>
    <t xml:space="preserve"> BERNERD </t>
  </si>
  <si>
    <t xml:space="preserve"> VAZE </t>
  </si>
  <si>
    <t xml:space="preserve"> CARME </t>
  </si>
  <si>
    <t xml:space="preserve"> DELCROIX </t>
  </si>
  <si>
    <t xml:space="preserve"> EMANUEL </t>
  </si>
  <si>
    <t xml:space="preserve"> CHENEAU </t>
  </si>
  <si>
    <t xml:space="preserve"> DEBORDES </t>
  </si>
  <si>
    <t xml:space="preserve"> JOTTREAU </t>
  </si>
  <si>
    <t xml:space="preserve"> PRINCL </t>
  </si>
  <si>
    <t xml:space="preserve"> MALTRY </t>
  </si>
  <si>
    <t xml:space="preserve"> POPPE </t>
  </si>
  <si>
    <t xml:space="preserve"> CAREMEL </t>
  </si>
  <si>
    <t xml:space="preserve"> AILLAUD </t>
  </si>
  <si>
    <t xml:space="preserve"> MORICET </t>
  </si>
  <si>
    <t xml:space="preserve"> PERRUCHOT </t>
  </si>
  <si>
    <t xml:space="preserve"> LIDA </t>
  </si>
  <si>
    <t xml:space="preserve"> LESEUR </t>
  </si>
  <si>
    <t xml:space="preserve"> LOTH </t>
  </si>
  <si>
    <t xml:space="preserve"> LULE </t>
  </si>
  <si>
    <t xml:space="preserve"> SOLEM </t>
  </si>
  <si>
    <t xml:space="preserve"> VUILLOD </t>
  </si>
  <si>
    <t xml:space="preserve"> RIERA </t>
  </si>
  <si>
    <t xml:space="preserve"> SADONES </t>
  </si>
  <si>
    <t xml:space="preserve"> STRACZEK </t>
  </si>
  <si>
    <t xml:space="preserve"> CREMA </t>
  </si>
  <si>
    <t xml:space="preserve"> MEDJADJ </t>
  </si>
  <si>
    <t xml:space="preserve"> RAULO </t>
  </si>
  <si>
    <t xml:space="preserve"> FOCHER </t>
  </si>
  <si>
    <t xml:space="preserve"> VIOLA </t>
  </si>
  <si>
    <t xml:space="preserve"> CASETEUBLE </t>
  </si>
  <si>
    <t xml:space="preserve"> GUIHARD </t>
  </si>
  <si>
    <t xml:space="preserve"> Walfroy </t>
  </si>
  <si>
    <t xml:space="preserve"> MARCHI </t>
  </si>
  <si>
    <t xml:space="preserve"> BLANCHY </t>
  </si>
  <si>
    <t xml:space="preserve"> DUFNER </t>
  </si>
  <si>
    <t xml:space="preserve"> LOIGNON </t>
  </si>
  <si>
    <t xml:space="preserve"> RIVIEREZ </t>
  </si>
  <si>
    <t xml:space="preserve"> Martian </t>
  </si>
  <si>
    <t xml:space="preserve"> LANGE </t>
  </si>
  <si>
    <t xml:space="preserve"> FTULISIAK </t>
  </si>
  <si>
    <t xml:space="preserve"> PATOIR </t>
  </si>
  <si>
    <t xml:space="preserve"> KINGA </t>
  </si>
  <si>
    <t xml:space="preserve"> Pacome </t>
  </si>
  <si>
    <t xml:space="preserve"> DELMARE </t>
  </si>
  <si>
    <t xml:space="preserve"> MAUPU </t>
  </si>
  <si>
    <t xml:space="preserve"> MARTHOURET </t>
  </si>
  <si>
    <t xml:space="preserve"> TRIAY </t>
  </si>
  <si>
    <t xml:space="preserve"> BAILLIEZ </t>
  </si>
  <si>
    <t xml:space="preserve"> Quoc thang </t>
  </si>
  <si>
    <t xml:space="preserve"> WEINGAND </t>
  </si>
  <si>
    <t xml:space="preserve"> LABORDE CASTEX </t>
  </si>
  <si>
    <t xml:space="preserve"> FOULADOUX </t>
  </si>
  <si>
    <t xml:space="preserve"> DENOEUX </t>
  </si>
  <si>
    <t xml:space="preserve"> CONTAULT </t>
  </si>
  <si>
    <t xml:space="preserve"> ROI </t>
  </si>
  <si>
    <t xml:space="preserve"> Maximilien </t>
  </si>
  <si>
    <t xml:space="preserve"> COURTE </t>
  </si>
  <si>
    <t xml:space="preserve"> FELIN </t>
  </si>
  <si>
    <t xml:space="preserve"> DOLACINSKI </t>
  </si>
  <si>
    <t xml:space="preserve"> DODU </t>
  </si>
  <si>
    <t xml:space="preserve"> DOUILLY </t>
  </si>
  <si>
    <t xml:space="preserve"> NUSSBAUM </t>
  </si>
  <si>
    <t xml:space="preserve"> ROUBERTIER </t>
  </si>
  <si>
    <t xml:space="preserve"> THIEURY </t>
  </si>
  <si>
    <t xml:space="preserve"> DAUER </t>
  </si>
  <si>
    <t xml:space="preserve"> BERNERIE (LA) </t>
  </si>
  <si>
    <t xml:space="preserve"> PRETET </t>
  </si>
  <si>
    <t xml:space="preserve"> DEMELLE </t>
  </si>
  <si>
    <t xml:space="preserve"> HAUZERAY </t>
  </si>
  <si>
    <t xml:space="preserve"> TROLET </t>
  </si>
  <si>
    <t xml:space="preserve"> GATEY </t>
  </si>
  <si>
    <t xml:space="preserve"> FAVERIAL </t>
  </si>
  <si>
    <t xml:space="preserve"> CLAREBOUT </t>
  </si>
  <si>
    <t xml:space="preserve"> DEPAULE </t>
  </si>
  <si>
    <t xml:space="preserve"> VAN HOLLEBEKE </t>
  </si>
  <si>
    <t xml:space="preserve"> BEAUPREAU </t>
  </si>
  <si>
    <t xml:space="preserve"> MATHEVON </t>
  </si>
  <si>
    <t xml:space="preserve"> DAUBASSE </t>
  </si>
  <si>
    <t xml:space="preserve"> DIAT </t>
  </si>
  <si>
    <t xml:space="preserve"> FERRETTI </t>
  </si>
  <si>
    <t xml:space="preserve"> WACHE </t>
  </si>
  <si>
    <t xml:space="preserve"> METAILLER </t>
  </si>
  <si>
    <t xml:space="preserve"> DANGLADE </t>
  </si>
  <si>
    <t xml:space="preserve"> BERTE </t>
  </si>
  <si>
    <t xml:space="preserve"> PIACENZA </t>
  </si>
  <si>
    <t xml:space="preserve"> D'HIVER </t>
  </si>
  <si>
    <t xml:space="preserve"> Jaime </t>
  </si>
  <si>
    <t xml:space="preserve"> BERNATA </t>
  </si>
  <si>
    <t xml:space="preserve"> FENEAU </t>
  </si>
  <si>
    <t xml:space="preserve"> JANOD </t>
  </si>
  <si>
    <t xml:space="preserve"> MARSAL </t>
  </si>
  <si>
    <t xml:space="preserve"> HALLAIS </t>
  </si>
  <si>
    <t xml:space="preserve"> VIEIRA </t>
  </si>
  <si>
    <t xml:space="preserve"> BIANCHERI </t>
  </si>
  <si>
    <t xml:space="preserve"> TATE </t>
  </si>
  <si>
    <t xml:space="preserve"> GARBAR </t>
  </si>
  <si>
    <t xml:space="preserve"> PAGNET </t>
  </si>
  <si>
    <t xml:space="preserve"> BROCHOT </t>
  </si>
  <si>
    <t xml:space="preserve"> Jean frank </t>
  </si>
  <si>
    <t xml:space="preserve"> LEGUILLETTE </t>
  </si>
  <si>
    <t xml:space="preserve"> DORLENCOURT </t>
  </si>
  <si>
    <t xml:space="preserve"> VOLTA </t>
  </si>
  <si>
    <t xml:space="preserve"> COTRET </t>
  </si>
  <si>
    <t xml:space="preserve"> HOUSSOY </t>
  </si>
  <si>
    <t xml:space="preserve"> DESILE </t>
  </si>
  <si>
    <t xml:space="preserve"> LAUDE </t>
  </si>
  <si>
    <t xml:space="preserve"> LAMBART </t>
  </si>
  <si>
    <t xml:space="preserve"> DESNOUHES </t>
  </si>
  <si>
    <t xml:space="preserve"> EBNER </t>
  </si>
  <si>
    <t xml:space="preserve"> CARLOTTI </t>
  </si>
  <si>
    <t xml:space="preserve"> COSAR </t>
  </si>
  <si>
    <t xml:space="preserve"> Paul-henri </t>
  </si>
  <si>
    <t xml:space="preserve"> GORIN </t>
  </si>
  <si>
    <t xml:space="preserve"> MORGANA </t>
  </si>
  <si>
    <t xml:space="preserve"> FAITROP </t>
  </si>
  <si>
    <t xml:space="preserve"> GRANTHOMME </t>
  </si>
  <si>
    <t xml:space="preserve"> HARGUES </t>
  </si>
  <si>
    <t xml:space="preserve"> VARGAS </t>
  </si>
  <si>
    <t xml:space="preserve"> LICANDRO </t>
  </si>
  <si>
    <t xml:space="preserve"> KERFURIC </t>
  </si>
  <si>
    <t xml:space="preserve"> SIZARDJIAN </t>
  </si>
  <si>
    <t xml:space="preserve"> Lauder </t>
  </si>
  <si>
    <t xml:space="preserve"> Adrian </t>
  </si>
  <si>
    <t xml:space="preserve"> LASCOMBE </t>
  </si>
  <si>
    <t xml:space="preserve"> HIZETTE </t>
  </si>
  <si>
    <t xml:space="preserve"> LAVRUT </t>
  </si>
  <si>
    <t xml:space="preserve"> CLERAY </t>
  </si>
  <si>
    <t xml:space="preserve"> Mong tuan </t>
  </si>
  <si>
    <t xml:space="preserve"> PORQUER </t>
  </si>
  <si>
    <t xml:space="preserve"> TESTUD </t>
  </si>
  <si>
    <t xml:space="preserve"> CALBET </t>
  </si>
  <si>
    <t xml:space="preserve"> GRANDHOMME </t>
  </si>
  <si>
    <t xml:space="preserve"> DA RONCH </t>
  </si>
  <si>
    <t xml:space="preserve"> IONNIKOFF </t>
  </si>
  <si>
    <t xml:space="preserve"> Nikita </t>
  </si>
  <si>
    <t xml:space="preserve"> VESQUE </t>
  </si>
  <si>
    <t xml:space="preserve"> SCARAMUCCIA </t>
  </si>
  <si>
    <t xml:space="preserve"> MATEU </t>
  </si>
  <si>
    <t xml:space="preserve"> AUVINET </t>
  </si>
  <si>
    <t xml:space="preserve"> DINDIN </t>
  </si>
  <si>
    <t xml:space="preserve"> LORIDAN </t>
  </si>
  <si>
    <t xml:space="preserve"> CHOLET </t>
  </si>
  <si>
    <t xml:space="preserve"> RODOT </t>
  </si>
  <si>
    <t xml:space="preserve"> DOUEZ </t>
  </si>
  <si>
    <t xml:space="preserve"> LEROTY </t>
  </si>
  <si>
    <t xml:space="preserve"> MINISTRAL </t>
  </si>
  <si>
    <t xml:space="preserve"> AMOUZOU </t>
  </si>
  <si>
    <t xml:space="preserve"> SAINT-BLANQUET </t>
  </si>
  <si>
    <t xml:space="preserve"> VIRAZELS </t>
  </si>
  <si>
    <t xml:space="preserve"> POULY </t>
  </si>
  <si>
    <t xml:space="preserve"> SULLET </t>
  </si>
  <si>
    <t xml:space="preserve"> BECART </t>
  </si>
  <si>
    <t xml:space="preserve"> SCHITTENHELM </t>
  </si>
  <si>
    <t xml:space="preserve"> BAYOUD </t>
  </si>
  <si>
    <t xml:space="preserve"> ALBEPART </t>
  </si>
  <si>
    <t xml:space="preserve"> PISTONE </t>
  </si>
  <si>
    <t xml:space="preserve"> DALAIGRE </t>
  </si>
  <si>
    <t xml:space="preserve"> DARVOY TENNIS DE TABLE </t>
  </si>
  <si>
    <t xml:space="preserve"> BRIOCHE </t>
  </si>
  <si>
    <t xml:space="preserve"> POULIN </t>
  </si>
  <si>
    <t xml:space="preserve"> MAZURIER </t>
  </si>
  <si>
    <t xml:space="preserve"> DEKETER </t>
  </si>
  <si>
    <t xml:space="preserve"> COMBES </t>
  </si>
  <si>
    <t xml:space="preserve"> PLAZA </t>
  </si>
  <si>
    <t xml:space="preserve"> TUANIA </t>
  </si>
  <si>
    <t xml:space="preserve"> Charley </t>
  </si>
  <si>
    <t xml:space="preserve"> RUQUET </t>
  </si>
  <si>
    <t xml:space="preserve"> MONTAGUT </t>
  </si>
  <si>
    <t xml:space="preserve"> LO SCHIAVO </t>
  </si>
  <si>
    <t xml:space="preserve"> BALLORE </t>
  </si>
  <si>
    <t xml:space="preserve"> Danilo </t>
  </si>
  <si>
    <t xml:space="preserve"> BOHOUNSI </t>
  </si>
  <si>
    <t xml:space="preserve"> LILIN </t>
  </si>
  <si>
    <t xml:space="preserve"> HAUTECOURT </t>
  </si>
  <si>
    <t xml:space="preserve"> DE PRACONTAL </t>
  </si>
  <si>
    <t xml:space="preserve"> FUALDES </t>
  </si>
  <si>
    <t xml:space="preserve"> SOUPE </t>
  </si>
  <si>
    <t xml:space="preserve"> HOPKO </t>
  </si>
  <si>
    <t xml:space="preserve"> THETIS </t>
  </si>
  <si>
    <t xml:space="preserve"> ROL </t>
  </si>
  <si>
    <t xml:space="preserve"> CHARRUAU </t>
  </si>
  <si>
    <t xml:space="preserve"> CASTELNEAU </t>
  </si>
  <si>
    <t xml:space="preserve"> MORFOISSE </t>
  </si>
  <si>
    <t xml:space="preserve"> OFFNER </t>
  </si>
  <si>
    <t xml:space="preserve"> POSSON </t>
  </si>
  <si>
    <t xml:space="preserve"> DROUARD </t>
  </si>
  <si>
    <t xml:space="preserve"> Yoël, david </t>
  </si>
  <si>
    <t xml:space="preserve"> PLUT </t>
  </si>
  <si>
    <t xml:space="preserve"> DUYCK </t>
  </si>
  <si>
    <t xml:space="preserve"> TESSER </t>
  </si>
  <si>
    <t xml:space="preserve"> GUILLAUDEUX </t>
  </si>
  <si>
    <t xml:space="preserve"> HERLIDOU </t>
  </si>
  <si>
    <t xml:space="preserve"> REYDELLET </t>
  </si>
  <si>
    <t xml:space="preserve"> STADELMANN </t>
  </si>
  <si>
    <t xml:space="preserve"> HODEAU </t>
  </si>
  <si>
    <t xml:space="preserve"> Jean - paul </t>
  </si>
  <si>
    <t xml:space="preserve"> FARGIER </t>
  </si>
  <si>
    <t xml:space="preserve"> TOURNAYRE </t>
  </si>
  <si>
    <t xml:space="preserve"> FAEHAU </t>
  </si>
  <si>
    <t xml:space="preserve"> Bernardo </t>
  </si>
  <si>
    <t xml:space="preserve"> FEDERICO </t>
  </si>
  <si>
    <t xml:space="preserve"> HOUTTAVE </t>
  </si>
  <si>
    <t xml:space="preserve"> MAZIER </t>
  </si>
  <si>
    <t xml:space="preserve"> MARCHANT </t>
  </si>
  <si>
    <t xml:space="preserve"> NOWACZYK </t>
  </si>
  <si>
    <t xml:space="preserve"> SALVAR </t>
  </si>
  <si>
    <t xml:space="preserve"> VILLERONCE </t>
  </si>
  <si>
    <t xml:space="preserve"> Pierre-louis </t>
  </si>
  <si>
    <t xml:space="preserve"> LALO </t>
  </si>
  <si>
    <t xml:space="preserve"> KAIKILEKOFE </t>
  </si>
  <si>
    <t xml:space="preserve"> Alone </t>
  </si>
  <si>
    <t xml:space="preserve"> DEDEURWAERDER </t>
  </si>
  <si>
    <t xml:space="preserve"> TOURNIÉ </t>
  </si>
  <si>
    <t xml:space="preserve"> FENOCCHIO </t>
  </si>
  <si>
    <t xml:space="preserve"> HUGUES </t>
  </si>
  <si>
    <t xml:space="preserve"> HOORELBEKE </t>
  </si>
  <si>
    <t xml:space="preserve"> WALDURA </t>
  </si>
  <si>
    <t xml:space="preserve"> SUBIAS </t>
  </si>
  <si>
    <t xml:space="preserve"> DUGRE </t>
  </si>
  <si>
    <t xml:space="preserve"> CARL </t>
  </si>
  <si>
    <t xml:space="preserve"> BAVOIL </t>
  </si>
  <si>
    <t xml:space="preserve"> GOUY </t>
  </si>
  <si>
    <t xml:space="preserve"> DELOYE </t>
  </si>
  <si>
    <t xml:space="preserve"> SPORTS LOISIRS OCTEVILLAI </t>
  </si>
  <si>
    <t xml:space="preserve"> PRETRE </t>
  </si>
  <si>
    <t xml:space="preserve"> BROUCQUE </t>
  </si>
  <si>
    <t xml:space="preserve"> ABEL - MORVAN </t>
  </si>
  <si>
    <t xml:space="preserve"> Sylvie </t>
  </si>
  <si>
    <t xml:space="preserve"> EDOUIN </t>
  </si>
  <si>
    <t xml:space="preserve"> DORY </t>
  </si>
  <si>
    <t xml:space="preserve"> Gwec hen </t>
  </si>
  <si>
    <t xml:space="preserve"> ARBIZU </t>
  </si>
  <si>
    <t xml:space="preserve"> TEMPEZ </t>
  </si>
  <si>
    <t xml:space="preserve"> CHAUMEAU </t>
  </si>
  <si>
    <t xml:space="preserve"> THEVENON-SADY </t>
  </si>
  <si>
    <t xml:space="preserve"> MOLINIER </t>
  </si>
  <si>
    <t xml:space="preserve"> BARBARAY </t>
  </si>
  <si>
    <t xml:space="preserve"> GUILLEMOT </t>
  </si>
  <si>
    <t xml:space="preserve"> LONCLE </t>
  </si>
  <si>
    <t xml:space="preserve"> MACARI </t>
  </si>
  <si>
    <t xml:space="preserve"> AIT AKKOUCHE </t>
  </si>
  <si>
    <t xml:space="preserve"> MAURAS </t>
  </si>
  <si>
    <t xml:space="preserve"> BANZET </t>
  </si>
  <si>
    <t xml:space="preserve"> CANAC </t>
  </si>
  <si>
    <t xml:space="preserve"> ARSICAUD </t>
  </si>
  <si>
    <t xml:space="preserve"> Dinh khôi </t>
  </si>
  <si>
    <t xml:space="preserve"> BOURDAUD'HUI </t>
  </si>
  <si>
    <t xml:space="preserve"> HOUSIAUX </t>
  </si>
  <si>
    <t xml:space="preserve"> SUI SENG </t>
  </si>
  <si>
    <t xml:space="preserve"> MOESCHLIN </t>
  </si>
  <si>
    <t xml:space="preserve"> TENG </t>
  </si>
  <si>
    <t xml:space="preserve"> Den </t>
  </si>
  <si>
    <t xml:space="preserve"> DESORTHES-BEDOURET </t>
  </si>
  <si>
    <t xml:space="preserve"> GALLIFA </t>
  </si>
  <si>
    <t xml:space="preserve"> BURGUNDER </t>
  </si>
  <si>
    <t xml:space="preserve"> ZAKINI </t>
  </si>
  <si>
    <t xml:space="preserve"> GUIBON </t>
  </si>
  <si>
    <t xml:space="preserve"> BRIOIST </t>
  </si>
  <si>
    <t xml:space="preserve"> PIASECKI </t>
  </si>
  <si>
    <t xml:space="preserve"> WERNETTE </t>
  </si>
  <si>
    <t xml:space="preserve"> BEAUCREUX </t>
  </si>
  <si>
    <t xml:space="preserve"> LAUDREL </t>
  </si>
  <si>
    <t xml:space="preserve"> CHABAUD </t>
  </si>
  <si>
    <t xml:space="preserve"> GREFFIER </t>
  </si>
  <si>
    <t xml:space="preserve"> Jean maurice </t>
  </si>
  <si>
    <t xml:space="preserve"> ANSELME </t>
  </si>
  <si>
    <t xml:space="preserve"> SCELERS </t>
  </si>
  <si>
    <t xml:space="preserve"> TEISSANDIER </t>
  </si>
  <si>
    <t xml:space="preserve"> BOULLET </t>
  </si>
  <si>
    <t xml:space="preserve"> PAPLORAY </t>
  </si>
  <si>
    <t xml:space="preserve"> BRIGNON </t>
  </si>
  <si>
    <t xml:space="preserve"> EL KHILALI </t>
  </si>
  <si>
    <t xml:space="preserve"> Aziz </t>
  </si>
  <si>
    <t xml:space="preserve"> GRINBAUD </t>
  </si>
  <si>
    <t xml:space="preserve"> COTTE </t>
  </si>
  <si>
    <t xml:space="preserve"> SEOUD </t>
  </si>
  <si>
    <t xml:space="preserve"> Camel </t>
  </si>
  <si>
    <t xml:space="preserve"> LLINARES </t>
  </si>
  <si>
    <t xml:space="preserve"> NYS </t>
  </si>
  <si>
    <t xml:space="preserve"> TABBI </t>
  </si>
  <si>
    <t xml:space="preserve"> BERNARDIE </t>
  </si>
  <si>
    <t xml:space="preserve"> ALEXIS </t>
  </si>
  <si>
    <t xml:space="preserve"> MASTEY </t>
  </si>
  <si>
    <t xml:space="preserve"> ROULAND </t>
  </si>
  <si>
    <t xml:space="preserve"> COCANDEAU </t>
  </si>
  <si>
    <t xml:space="preserve"> DEBUCQUOY </t>
  </si>
  <si>
    <t xml:space="preserve"> GUALANDRI </t>
  </si>
  <si>
    <t xml:space="preserve"> AUFFRAY </t>
  </si>
  <si>
    <t xml:space="preserve"> MIGAIROU </t>
  </si>
  <si>
    <t xml:space="preserve"> Qidao </t>
  </si>
  <si>
    <t xml:space="preserve"> RODEIRON </t>
  </si>
  <si>
    <t xml:space="preserve"> RULLIER </t>
  </si>
  <si>
    <t xml:space="preserve"> UHL </t>
  </si>
  <si>
    <t xml:space="preserve"> D'ANDREA </t>
  </si>
  <si>
    <t xml:space="preserve"> COLLIAUX </t>
  </si>
  <si>
    <t xml:space="preserve"> TIERRIE </t>
  </si>
  <si>
    <t xml:space="preserve"> LEQUELLEC </t>
  </si>
  <si>
    <t xml:space="preserve"> HENNO </t>
  </si>
  <si>
    <t xml:space="preserve"> SIGARI </t>
  </si>
  <si>
    <t xml:space="preserve"> TROTEREAU </t>
  </si>
  <si>
    <t xml:space="preserve"> BILLOET </t>
  </si>
  <si>
    <t xml:space="preserve"> Pamphile </t>
  </si>
  <si>
    <t xml:space="preserve"> DESPALINS </t>
  </si>
  <si>
    <t xml:space="preserve"> OBERTHUR </t>
  </si>
  <si>
    <t xml:space="preserve"> BAPT </t>
  </si>
  <si>
    <t xml:space="preserve"> PACE </t>
  </si>
  <si>
    <t xml:space="preserve"> MASSETEAU </t>
  </si>
  <si>
    <t xml:space="preserve"> DELROT </t>
  </si>
  <si>
    <t xml:space="preserve"> MAYET </t>
  </si>
  <si>
    <t xml:space="preserve"> ARRAMOND </t>
  </si>
  <si>
    <t xml:space="preserve"> CIMBARO </t>
  </si>
  <si>
    <t xml:space="preserve"> PRUSAK </t>
  </si>
  <si>
    <t xml:space="preserve"> ROMAN </t>
  </si>
  <si>
    <t xml:space="preserve"> TRAMART </t>
  </si>
  <si>
    <t xml:space="preserve"> BENJAMIN </t>
  </si>
  <si>
    <t xml:space="preserve"> NICAUD </t>
  </si>
  <si>
    <t xml:space="preserve"> ISABEY </t>
  </si>
  <si>
    <t xml:space="preserve"> LASAUSSE </t>
  </si>
  <si>
    <t xml:space="preserve"> HAENDLER </t>
  </si>
  <si>
    <t xml:space="preserve"> OUDINET </t>
  </si>
  <si>
    <t xml:space="preserve"> FAJWISIEWICZ </t>
  </si>
  <si>
    <t xml:space="preserve"> TAP </t>
  </si>
  <si>
    <t xml:space="preserve"> BARBOSA </t>
  </si>
  <si>
    <t xml:space="preserve"> RATTENNI </t>
  </si>
  <si>
    <t xml:space="preserve"> NORDEZ </t>
  </si>
  <si>
    <t xml:space="preserve"> LECOUVREUR </t>
  </si>
  <si>
    <t xml:space="preserve"> LEVRIER </t>
  </si>
  <si>
    <t xml:space="preserve"> KEMOUN </t>
  </si>
  <si>
    <t xml:space="preserve"> PINCHEDEZ </t>
  </si>
  <si>
    <t xml:space="preserve"> VAUTOUR </t>
  </si>
  <si>
    <t xml:space="preserve"> DEVULDER </t>
  </si>
  <si>
    <t xml:space="preserve"> Chokri </t>
  </si>
  <si>
    <t xml:space="preserve"> NSIALA </t>
  </si>
  <si>
    <t xml:space="preserve"> QUINDOS </t>
  </si>
  <si>
    <t xml:space="preserve"> COSTA GAIO </t>
  </si>
  <si>
    <t xml:space="preserve"> VAU </t>
  </si>
  <si>
    <t xml:space="preserve"> CORNEC </t>
  </si>
  <si>
    <t xml:space="preserve"> DUCROCQ </t>
  </si>
  <si>
    <t xml:space="preserve"> LAPERSE </t>
  </si>
  <si>
    <t xml:space="preserve"> SCHONBORN </t>
  </si>
  <si>
    <t xml:space="preserve"> TOCANT </t>
  </si>
  <si>
    <t xml:space="preserve"> BONNEGENT </t>
  </si>
  <si>
    <t xml:space="preserve"> Claude julien </t>
  </si>
  <si>
    <t xml:space="preserve"> SOYER </t>
  </si>
  <si>
    <t xml:space="preserve"> GABALA </t>
  </si>
  <si>
    <t xml:space="preserve"> WAN </t>
  </si>
  <si>
    <t xml:space="preserve"> TAN PHENG </t>
  </si>
  <si>
    <t xml:space="preserve"> PERODEAU </t>
  </si>
  <si>
    <t xml:space="preserve"> LA MOTTE </t>
  </si>
  <si>
    <t xml:space="preserve"> BILLAS </t>
  </si>
  <si>
    <t xml:space="preserve"> KERVESTIN </t>
  </si>
  <si>
    <t xml:space="preserve"> PORTAIL </t>
  </si>
  <si>
    <t xml:space="preserve"> CHANCLU </t>
  </si>
  <si>
    <t xml:space="preserve"> GRAVE </t>
  </si>
  <si>
    <t xml:space="preserve"> SEBASTIANI </t>
  </si>
  <si>
    <t xml:space="preserve"> CITHAREL </t>
  </si>
  <si>
    <t xml:space="preserve"> ROMAGNOLI </t>
  </si>
  <si>
    <t xml:space="preserve"> HEINIS </t>
  </si>
  <si>
    <t xml:space="preserve"> HABETS </t>
  </si>
  <si>
    <t xml:space="preserve"> BOUGE </t>
  </si>
  <si>
    <t xml:space="preserve"> BRET </t>
  </si>
  <si>
    <t xml:space="preserve"> GEBERT </t>
  </si>
  <si>
    <t xml:space="preserve"> GUIERMET </t>
  </si>
  <si>
    <t xml:space="preserve"> CAMSING </t>
  </si>
  <si>
    <t xml:space="preserve"> CHING </t>
  </si>
  <si>
    <t xml:space="preserve"> BARNIET </t>
  </si>
  <si>
    <t xml:space="preserve"> KIENTZI </t>
  </si>
  <si>
    <t xml:space="preserve"> ALBIN </t>
  </si>
  <si>
    <t xml:space="preserve"> DELAUX </t>
  </si>
  <si>
    <t xml:space="preserve"> JUILLOT </t>
  </si>
  <si>
    <t xml:space="preserve"> LEDENT </t>
  </si>
  <si>
    <t xml:space="preserve"> SAMAILLE </t>
  </si>
  <si>
    <t xml:space="preserve"> VIARDIN </t>
  </si>
  <si>
    <t xml:space="preserve"> NIVESSE </t>
  </si>
  <si>
    <t xml:space="preserve"> CHONG DIAZ </t>
  </si>
  <si>
    <t xml:space="preserve"> Sixto </t>
  </si>
  <si>
    <t xml:space="preserve"> BRAYER </t>
  </si>
  <si>
    <t xml:space="preserve"> ARTHUR </t>
  </si>
  <si>
    <t xml:space="preserve"> PALADIN </t>
  </si>
  <si>
    <t xml:space="preserve"> PESTRE </t>
  </si>
  <si>
    <t xml:space="preserve"> SILLY </t>
  </si>
  <si>
    <t xml:space="preserve"> PITSCH </t>
  </si>
  <si>
    <t xml:space="preserve"> LAMBOULE </t>
  </si>
  <si>
    <t xml:space="preserve"> BOUCHETTA </t>
  </si>
  <si>
    <t xml:space="preserve"> CONTRAIN </t>
  </si>
  <si>
    <t xml:space="preserve"> COTTIN </t>
  </si>
  <si>
    <t xml:space="preserve"> PELLI </t>
  </si>
  <si>
    <t xml:space="preserve"> PERRAU </t>
  </si>
  <si>
    <t xml:space="preserve"> GUEUGNAUT </t>
  </si>
  <si>
    <t xml:space="preserve"> TREBAOL </t>
  </si>
  <si>
    <t xml:space="preserve"> LEDOLLEY </t>
  </si>
  <si>
    <t xml:space="preserve"> SYMEZYC </t>
  </si>
  <si>
    <t xml:space="preserve"> BAUGE </t>
  </si>
  <si>
    <t xml:space="preserve"> SANNIE </t>
  </si>
  <si>
    <t xml:space="preserve"> TSANG-CHIN-YEE </t>
  </si>
  <si>
    <t xml:space="preserve"> OUVRIEUX </t>
  </si>
  <si>
    <t xml:space="preserve"> SARTINI </t>
  </si>
  <si>
    <t xml:space="preserve"> GRIEBEL </t>
  </si>
  <si>
    <t xml:space="preserve"> CAPOURET </t>
  </si>
  <si>
    <t xml:space="preserve"> VENEU </t>
  </si>
  <si>
    <t xml:space="preserve"> TEDALDI </t>
  </si>
  <si>
    <t xml:space="preserve"> CLARON </t>
  </si>
  <si>
    <t xml:space="preserve"> LOTHIER </t>
  </si>
  <si>
    <t xml:space="preserve"> GROSSAIN </t>
  </si>
  <si>
    <t xml:space="preserve"> POUJADE </t>
  </si>
  <si>
    <t xml:space="preserve"> PAVARD </t>
  </si>
  <si>
    <t xml:space="preserve"> FAUVARQUE </t>
  </si>
  <si>
    <t xml:space="preserve"> SALPETRIER </t>
  </si>
  <si>
    <t xml:space="preserve"> GUILLAUD ROLLIN </t>
  </si>
  <si>
    <t xml:space="preserve"> JAMBERT </t>
  </si>
  <si>
    <t xml:space="preserve"> PRUGNON </t>
  </si>
  <si>
    <t xml:space="preserve"> AURAIN </t>
  </si>
  <si>
    <t xml:space="preserve"> CASUBOLO </t>
  </si>
  <si>
    <t xml:space="preserve"> GANNAT </t>
  </si>
  <si>
    <t xml:space="preserve"> Darius </t>
  </si>
  <si>
    <t xml:space="preserve"> NOSLIER </t>
  </si>
  <si>
    <t xml:space="preserve"> MILLOIS </t>
  </si>
  <si>
    <t xml:space="preserve"> ROZOTTE </t>
  </si>
  <si>
    <t xml:space="preserve"> SALESSES </t>
  </si>
  <si>
    <t xml:space="preserve"> REVEILHAC </t>
  </si>
  <si>
    <t xml:space="preserve"> APERY </t>
  </si>
  <si>
    <t xml:space="preserve"> WATROBA </t>
  </si>
  <si>
    <t xml:space="preserve"> ZABBARA </t>
  </si>
  <si>
    <t xml:space="preserve"> URAN </t>
  </si>
  <si>
    <t xml:space="preserve"> JABOT </t>
  </si>
  <si>
    <t xml:space="preserve"> HERBERA </t>
  </si>
  <si>
    <t xml:space="preserve"> GUILLEMAIN </t>
  </si>
  <si>
    <t xml:space="preserve"> BOISSONNADE </t>
  </si>
  <si>
    <t xml:space="preserve"> JASOR </t>
  </si>
  <si>
    <t xml:space="preserve"> MARTHOU </t>
  </si>
  <si>
    <t xml:space="preserve"> MALZIEU </t>
  </si>
  <si>
    <t xml:space="preserve"> BLADEK </t>
  </si>
  <si>
    <t xml:space="preserve"> MORACCHINI </t>
  </si>
  <si>
    <t xml:space="preserve"> TRUSSART </t>
  </si>
  <si>
    <t xml:space="preserve"> PAPEGHIN </t>
  </si>
  <si>
    <t xml:space="preserve"> MORGANT </t>
  </si>
  <si>
    <t xml:space="preserve"> MANAS </t>
  </si>
  <si>
    <t xml:space="preserve"> RALLIERE </t>
  </si>
  <si>
    <t xml:space="preserve"> MOLLIGNIER </t>
  </si>
  <si>
    <t xml:space="preserve"> Yves denis </t>
  </si>
  <si>
    <t xml:space="preserve"> COM </t>
  </si>
  <si>
    <t xml:space="preserve"> Joseph-michel </t>
  </si>
  <si>
    <t xml:space="preserve"> LEE </t>
  </si>
  <si>
    <t xml:space="preserve"> Wen chin </t>
  </si>
  <si>
    <t xml:space="preserve"> COCHENNEC </t>
  </si>
  <si>
    <t xml:space="preserve"> BEVALOT </t>
  </si>
  <si>
    <t xml:space="preserve"> CIMETIERE </t>
  </si>
  <si>
    <t xml:space="preserve"> DARAUD </t>
  </si>
  <si>
    <t xml:space="preserve"> CHOPAT </t>
  </si>
  <si>
    <t xml:space="preserve"> DEMAS </t>
  </si>
  <si>
    <t xml:space="preserve"> ARNUEL </t>
  </si>
  <si>
    <t xml:space="preserve"> DARCET </t>
  </si>
  <si>
    <t xml:space="preserve"> RUNFOLA </t>
  </si>
  <si>
    <t xml:space="preserve"> GUERGOUR </t>
  </si>
  <si>
    <t xml:space="preserve"> OLIVERES </t>
  </si>
  <si>
    <t xml:space="preserve"> KANY </t>
  </si>
  <si>
    <t xml:space="preserve"> COUSTILLON </t>
  </si>
  <si>
    <t xml:space="preserve"> ROYAUX </t>
  </si>
  <si>
    <t xml:space="preserve"> LE TEXIER TONNERRE </t>
  </si>
  <si>
    <t xml:space="preserve"> Chantal </t>
  </si>
  <si>
    <t xml:space="preserve"> BRECHET </t>
  </si>
  <si>
    <t xml:space="preserve"> DANCOISNE </t>
  </si>
  <si>
    <t xml:space="preserve"> BONATON-DUPONT </t>
  </si>
  <si>
    <t xml:space="preserve"> BALTUS </t>
  </si>
  <si>
    <t xml:space="preserve"> PHANNAVONG </t>
  </si>
  <si>
    <t xml:space="preserve"> Sonedeth </t>
  </si>
  <si>
    <t xml:space="preserve"> Manfred </t>
  </si>
  <si>
    <t xml:space="preserve"> PAIVA DOS SANTOS </t>
  </si>
  <si>
    <t xml:space="preserve"> MALFRAY </t>
  </si>
  <si>
    <t xml:space="preserve"> TORCHIA </t>
  </si>
  <si>
    <t xml:space="preserve"> Joseph guiseppe </t>
  </si>
  <si>
    <t xml:space="preserve"> CHAVALARD </t>
  </si>
  <si>
    <t xml:space="preserve"> KIENTZ </t>
  </si>
  <si>
    <t xml:space="preserve"> PEDERGNANA </t>
  </si>
  <si>
    <t xml:space="preserve"> CAUSCHETEUX </t>
  </si>
  <si>
    <t xml:space="preserve"> GIRAUDON </t>
  </si>
  <si>
    <t xml:space="preserve"> DAVAL-FREROT </t>
  </si>
  <si>
    <t xml:space="preserve"> MONTANARO </t>
  </si>
  <si>
    <t xml:space="preserve"> NENERT </t>
  </si>
  <si>
    <t xml:space="preserve"> ADE </t>
  </si>
  <si>
    <t xml:space="preserve"> GERBEL </t>
  </si>
  <si>
    <t xml:space="preserve"> SANDER </t>
  </si>
  <si>
    <t xml:space="preserve"> CHAM </t>
  </si>
  <si>
    <t xml:space="preserve"> Romul </t>
  </si>
  <si>
    <t xml:space="preserve"> WOELFL </t>
  </si>
  <si>
    <t xml:space="preserve"> SCHITT </t>
  </si>
  <si>
    <t xml:space="preserve"> MARGOTTIN </t>
  </si>
  <si>
    <t xml:space="preserve"> FOUET </t>
  </si>
  <si>
    <t xml:space="preserve"> REGNAUD </t>
  </si>
  <si>
    <t xml:space="preserve"> GUIOT MAILLARD </t>
  </si>
  <si>
    <t xml:space="preserve"> BERNIGAUD </t>
  </si>
  <si>
    <t xml:space="preserve"> BERTHAUX </t>
  </si>
  <si>
    <t xml:space="preserve"> HACCART </t>
  </si>
  <si>
    <t xml:space="preserve"> ETIQUE </t>
  </si>
  <si>
    <t xml:space="preserve"> LE DENMAT </t>
  </si>
  <si>
    <t xml:space="preserve"> BOUQUEAU </t>
  </si>
  <si>
    <t xml:space="preserve"> LEDIGABEL </t>
  </si>
  <si>
    <t xml:space="preserve"> TURLAN </t>
  </si>
  <si>
    <t xml:space="preserve"> FEUERMANN </t>
  </si>
  <si>
    <t xml:space="preserve"> CHAFAI </t>
  </si>
  <si>
    <t xml:space="preserve"> DUFOREAU </t>
  </si>
  <si>
    <t xml:space="preserve"> DAUMAL </t>
  </si>
  <si>
    <t xml:space="preserve"> PLOMION </t>
  </si>
  <si>
    <t xml:space="preserve"> BERTEN </t>
  </si>
  <si>
    <t xml:space="preserve"> SEMETE </t>
  </si>
  <si>
    <t xml:space="preserve"> LARROUS </t>
  </si>
  <si>
    <t xml:space="preserve"> FROUMENTIN </t>
  </si>
  <si>
    <t xml:space="preserve"> CARMAN </t>
  </si>
  <si>
    <t xml:space="preserve"> DE WEINDEL </t>
  </si>
  <si>
    <t xml:space="preserve"> DAHAN </t>
  </si>
  <si>
    <t xml:space="preserve"> BOURDALEIX </t>
  </si>
  <si>
    <t xml:space="preserve"> MAGGIO </t>
  </si>
  <si>
    <t xml:space="preserve"> VIOLAS </t>
  </si>
  <si>
    <t xml:space="preserve"> Jean-joël </t>
  </si>
  <si>
    <t xml:space="preserve"> SCHOMBS </t>
  </si>
  <si>
    <t xml:space="preserve"> FLEJSZMAN </t>
  </si>
  <si>
    <t xml:space="preserve"> HENNES </t>
  </si>
  <si>
    <t xml:space="preserve"> BISSONNIER </t>
  </si>
  <si>
    <t xml:space="preserve"> JANSON </t>
  </si>
  <si>
    <t xml:space="preserve"> CALVI </t>
  </si>
  <si>
    <t xml:space="preserve"> HUGEDE </t>
  </si>
  <si>
    <t xml:space="preserve"> GOURHAND </t>
  </si>
  <si>
    <t xml:space="preserve"> GEVERS </t>
  </si>
  <si>
    <t xml:space="preserve"> PESCIAIOLI </t>
  </si>
  <si>
    <t xml:space="preserve"> BUTTIN </t>
  </si>
  <si>
    <t xml:space="preserve"> SAWICKI </t>
  </si>
  <si>
    <t xml:space="preserve"> PRUNENEC </t>
  </si>
  <si>
    <t xml:space="preserve"> VIRET </t>
  </si>
  <si>
    <t xml:space="preserve"> SAUVAGEOT </t>
  </si>
  <si>
    <t xml:space="preserve"> DELATOUR </t>
  </si>
  <si>
    <t xml:space="preserve"> SOOFI SHIRAZ AHMAD </t>
  </si>
  <si>
    <t xml:space="preserve"> Sp </t>
  </si>
  <si>
    <t xml:space="preserve"> BOISAUBERT </t>
  </si>
  <si>
    <t xml:space="preserve"> SPITZ </t>
  </si>
  <si>
    <t xml:space="preserve"> ERMENEUX </t>
  </si>
  <si>
    <t xml:space="preserve"> FAUDOT </t>
  </si>
  <si>
    <t xml:space="preserve"> FIMBEAU </t>
  </si>
  <si>
    <t xml:space="preserve"> FAJTL </t>
  </si>
  <si>
    <t xml:space="preserve"> SZIY </t>
  </si>
  <si>
    <t xml:space="preserve"> PLAUT </t>
  </si>
  <si>
    <t xml:space="preserve"> DE LAFFOREST </t>
  </si>
  <si>
    <t xml:space="preserve"> CHAMBRAS </t>
  </si>
  <si>
    <t xml:space="preserve"> BARDAZZI </t>
  </si>
  <si>
    <t xml:space="preserve"> MORONI </t>
  </si>
  <si>
    <t xml:space="preserve"> DEBELVALET </t>
  </si>
  <si>
    <t xml:space="preserve"> PIGNAUD </t>
  </si>
  <si>
    <t xml:space="preserve"> DELVAQUE </t>
  </si>
  <si>
    <t xml:space="preserve"> CHOLLOIS </t>
  </si>
  <si>
    <t xml:space="preserve"> QUERNET </t>
  </si>
  <si>
    <t xml:space="preserve"> FARINET </t>
  </si>
  <si>
    <t xml:space="preserve"> SEMINATI </t>
  </si>
  <si>
    <t xml:space="preserve"> SANTIN </t>
  </si>
  <si>
    <t xml:space="preserve"> ANNEZO </t>
  </si>
  <si>
    <t xml:space="preserve"> PEPIN </t>
  </si>
  <si>
    <t xml:space="preserve"> REGNER </t>
  </si>
  <si>
    <t xml:space="preserve"> MANSOIS </t>
  </si>
  <si>
    <t xml:space="preserve"> MALADIN </t>
  </si>
  <si>
    <t xml:space="preserve"> VEGEE </t>
  </si>
  <si>
    <t xml:space="preserve"> J Paul </t>
  </si>
  <si>
    <t xml:space="preserve"> LEPHAL </t>
  </si>
  <si>
    <t xml:space="preserve"> LE BLAYO </t>
  </si>
  <si>
    <t xml:space="preserve"> CELLE </t>
  </si>
  <si>
    <t xml:space="preserve"> MOLENAT </t>
  </si>
  <si>
    <t xml:space="preserve"> GOUVEIA </t>
  </si>
  <si>
    <t xml:space="preserve"> Albano </t>
  </si>
  <si>
    <t xml:space="preserve"> VILLOUTREIX </t>
  </si>
  <si>
    <t xml:space="preserve"> ELZIERE </t>
  </si>
  <si>
    <t xml:space="preserve"> COLONIER </t>
  </si>
  <si>
    <t xml:space="preserve"> TRANCHIDA </t>
  </si>
  <si>
    <t xml:space="preserve"> LONGHI </t>
  </si>
  <si>
    <t xml:space="preserve"> Tranquille </t>
  </si>
  <si>
    <t xml:space="preserve"> PENTIER </t>
  </si>
  <si>
    <t xml:space="preserve"> DELABOISSIERE </t>
  </si>
  <si>
    <t xml:space="preserve"> HAEGAERT </t>
  </si>
  <si>
    <t xml:space="preserve"> VENTER </t>
  </si>
  <si>
    <t xml:space="preserve"> ORLANDINI </t>
  </si>
  <si>
    <t xml:space="preserve"> DENOJEAN </t>
  </si>
  <si>
    <t xml:space="preserve"> LARIVIERE </t>
  </si>
  <si>
    <t xml:space="preserve"> Pierre andré </t>
  </si>
  <si>
    <t xml:space="preserve"> BASUYAUX </t>
  </si>
  <si>
    <t xml:space="preserve"> TEMPIER </t>
  </si>
  <si>
    <t xml:space="preserve"> BOULLAND </t>
  </si>
  <si>
    <t xml:space="preserve"> GUINGNE </t>
  </si>
  <si>
    <t xml:space="preserve"> COUPEL </t>
  </si>
  <si>
    <t xml:space="preserve"> BAMBINI </t>
  </si>
  <si>
    <t xml:space="preserve"> CHOSSAT </t>
  </si>
  <si>
    <t xml:space="preserve"> GUEHENNEUX </t>
  </si>
  <si>
    <t xml:space="preserve"> GENEVRE </t>
  </si>
  <si>
    <t xml:space="preserve"> BORDIEC </t>
  </si>
  <si>
    <t xml:space="preserve"> MENOU </t>
  </si>
  <si>
    <t xml:space="preserve"> YARDIN </t>
  </si>
  <si>
    <t xml:space="preserve"> DOURNAUX </t>
  </si>
  <si>
    <t xml:space="preserve"> CSUZI </t>
  </si>
  <si>
    <t xml:space="preserve"> éric </t>
  </si>
  <si>
    <t xml:space="preserve"> ADAMCZAK </t>
  </si>
  <si>
    <t xml:space="preserve"> JUBIN </t>
  </si>
  <si>
    <t xml:space="preserve"> GRUSELLE </t>
  </si>
  <si>
    <t xml:space="preserve"> LE BADEZET </t>
  </si>
  <si>
    <t xml:space="preserve"> CHAIX </t>
  </si>
  <si>
    <t xml:space="preserve"> DUPLAA </t>
  </si>
  <si>
    <t xml:space="preserve"> PANTIN </t>
  </si>
  <si>
    <t xml:space="preserve"> TIEBERGHIEN </t>
  </si>
  <si>
    <t xml:space="preserve"> TCHENG </t>
  </si>
  <si>
    <t xml:space="preserve"> GUILLARDEAU </t>
  </si>
  <si>
    <t xml:space="preserve"> MACCANTI </t>
  </si>
  <si>
    <t xml:space="preserve"> HELOU </t>
  </si>
  <si>
    <t xml:space="preserve"> JOHANNIN </t>
  </si>
  <si>
    <t xml:space="preserve"> KOWALSKI </t>
  </si>
  <si>
    <t xml:space="preserve"> MERAD </t>
  </si>
  <si>
    <t xml:space="preserve"> Abderrahmane </t>
  </si>
  <si>
    <t xml:space="preserve"> BETIN </t>
  </si>
  <si>
    <t xml:space="preserve"> LE BECQ </t>
  </si>
  <si>
    <t xml:space="preserve"> SIRACUSA </t>
  </si>
  <si>
    <t xml:space="preserve"> BAKKER </t>
  </si>
  <si>
    <t xml:space="preserve"> ORGANI </t>
  </si>
  <si>
    <t xml:space="preserve"> PROCOPE </t>
  </si>
  <si>
    <t xml:space="preserve"> PROSKURKA </t>
  </si>
  <si>
    <t xml:space="preserve"> RITLENG </t>
  </si>
  <si>
    <t xml:space="preserve"> DE MATOS </t>
  </si>
  <si>
    <t xml:space="preserve"> LE CAROUR </t>
  </si>
  <si>
    <t xml:space="preserve"> L'HERBIER </t>
  </si>
  <si>
    <t xml:space="preserve"> ROYERE </t>
  </si>
  <si>
    <t xml:space="preserve"> PICHELIN </t>
  </si>
  <si>
    <t xml:space="preserve"> BATHEDOU </t>
  </si>
  <si>
    <t xml:space="preserve"> ARLANDIS </t>
  </si>
  <si>
    <t xml:space="preserve"> RAMBOUR </t>
  </si>
  <si>
    <t xml:space="preserve"> GYONNET </t>
  </si>
  <si>
    <t xml:space="preserve"> MORDAN </t>
  </si>
  <si>
    <t xml:space="preserve"> AUZOUX </t>
  </si>
  <si>
    <t xml:space="preserve"> WENDEHENNE </t>
  </si>
  <si>
    <t xml:space="preserve"> MONGRENIER </t>
  </si>
  <si>
    <t xml:space="preserve"> AMIN </t>
  </si>
  <si>
    <t xml:space="preserve"> Hashem </t>
  </si>
  <si>
    <t xml:space="preserve"> BIHOUIS </t>
  </si>
  <si>
    <t xml:space="preserve"> Jean-cyrille </t>
  </si>
  <si>
    <t xml:space="preserve"> JAQUET </t>
  </si>
  <si>
    <t xml:space="preserve"> ZARMATI </t>
  </si>
  <si>
    <t xml:space="preserve"> MARSAT </t>
  </si>
  <si>
    <t xml:space="preserve"> FINARDI </t>
  </si>
  <si>
    <t xml:space="preserve"> DEVAS </t>
  </si>
  <si>
    <t xml:space="preserve"> BOUYON </t>
  </si>
  <si>
    <t xml:space="preserve"> NAULET </t>
  </si>
  <si>
    <t xml:space="preserve"> Jean alexis </t>
  </si>
  <si>
    <t xml:space="preserve"> DAINESE </t>
  </si>
  <si>
    <t xml:space="preserve"> BOUSBIA </t>
  </si>
  <si>
    <t xml:space="preserve"> GANDELOT </t>
  </si>
  <si>
    <t xml:space="preserve"> ZINSIUS </t>
  </si>
  <si>
    <t xml:space="preserve"> CHAUVRON </t>
  </si>
  <si>
    <t xml:space="preserve"> LAPARADE </t>
  </si>
  <si>
    <t xml:space="preserve"> DHELLIN </t>
  </si>
  <si>
    <t xml:space="preserve"> BUIRON </t>
  </si>
  <si>
    <t xml:space="preserve"> MEREL </t>
  </si>
  <si>
    <t xml:space="preserve"> MENACHE </t>
  </si>
  <si>
    <t xml:space="preserve"> NHOUYVANISVONG </t>
  </si>
  <si>
    <t xml:space="preserve"> Thong </t>
  </si>
  <si>
    <t xml:space="preserve"> LAMPEL </t>
  </si>
  <si>
    <t xml:space="preserve"> KERBRAT </t>
  </si>
  <si>
    <t xml:space="preserve"> LERMECHIN </t>
  </si>
  <si>
    <t xml:space="preserve"> BESSEAS </t>
  </si>
  <si>
    <t xml:space="preserve"> ZACCARIA </t>
  </si>
  <si>
    <t xml:space="preserve"> LELARGET </t>
  </si>
  <si>
    <t xml:space="preserve"> LABBÉ </t>
  </si>
  <si>
    <t xml:space="preserve"> LE BROUSTER </t>
  </si>
  <si>
    <t xml:space="preserve"> PERSY </t>
  </si>
  <si>
    <t xml:space="preserve"> BERNOUIN </t>
  </si>
  <si>
    <t xml:space="preserve"> MOURARD </t>
  </si>
  <si>
    <t xml:space="preserve"> DUSSAUSSOIS </t>
  </si>
  <si>
    <t xml:space="preserve"> LAYE </t>
  </si>
  <si>
    <t xml:space="preserve"> Jean-max </t>
  </si>
  <si>
    <t xml:space="preserve"> NAHON </t>
  </si>
  <si>
    <t xml:space="preserve"> LE FOUEST </t>
  </si>
  <si>
    <t xml:space="preserve"> TORTET </t>
  </si>
  <si>
    <t xml:space="preserve"> ROTIVAL </t>
  </si>
  <si>
    <t xml:space="preserve"> BONMATI </t>
  </si>
  <si>
    <t xml:space="preserve"> HINTERLANG </t>
  </si>
  <si>
    <t xml:space="preserve"> OREAL </t>
  </si>
  <si>
    <t xml:space="preserve"> TREHET </t>
  </si>
  <si>
    <t xml:space="preserve"> FUSENIG </t>
  </si>
  <si>
    <t xml:space="preserve"> PARDON </t>
  </si>
  <si>
    <t xml:space="preserve"> VASNIER </t>
  </si>
  <si>
    <t xml:space="preserve"> CHASSAT </t>
  </si>
  <si>
    <t xml:space="preserve"> BERTEAUD </t>
  </si>
  <si>
    <t xml:space="preserve"> VANNIEUWENHUYSE </t>
  </si>
  <si>
    <t xml:space="preserve"> KERVAZO </t>
  </si>
  <si>
    <t xml:space="preserve"> PATOUX </t>
  </si>
  <si>
    <t xml:space="preserve"> RIBERE </t>
  </si>
  <si>
    <t xml:space="preserve"> DEDRIE </t>
  </si>
  <si>
    <t xml:space="preserve"> DIEL </t>
  </si>
  <si>
    <t xml:space="preserve"> BIELER </t>
  </si>
  <si>
    <t xml:space="preserve"> CLEMENCEAU </t>
  </si>
  <si>
    <t xml:space="preserve"> SOUTIF </t>
  </si>
  <si>
    <t xml:space="preserve"> KROLAK </t>
  </si>
  <si>
    <t xml:space="preserve"> Jean    luc </t>
  </si>
  <si>
    <t xml:space="preserve"> CASTAGNET </t>
  </si>
  <si>
    <t xml:space="preserve"> Johny </t>
  </si>
  <si>
    <t xml:space="preserve"> LOUCHE </t>
  </si>
  <si>
    <t xml:space="preserve"> ITTHIRAD </t>
  </si>
  <si>
    <t xml:space="preserve"> GATEL </t>
  </si>
  <si>
    <t xml:space="preserve"> COLNOT </t>
  </si>
  <si>
    <t xml:space="preserve"> OBERT </t>
  </si>
  <si>
    <t xml:space="preserve"> NDONGO </t>
  </si>
  <si>
    <t xml:space="preserve"> GLAIZE </t>
  </si>
  <si>
    <t xml:space="preserve"> FORCINAL </t>
  </si>
  <si>
    <t xml:space="preserve"> MASSUYEAU </t>
  </si>
  <si>
    <t xml:space="preserve"> LAGOUCHE </t>
  </si>
  <si>
    <t xml:space="preserve"> SOURLIER </t>
  </si>
  <si>
    <t xml:space="preserve"> PLATERIER </t>
  </si>
  <si>
    <t xml:space="preserve"> SCIBONA </t>
  </si>
  <si>
    <t xml:space="preserve"> Eliseo </t>
  </si>
  <si>
    <t xml:space="preserve"> BOURREAUD </t>
  </si>
  <si>
    <t xml:space="preserve"> LELAURE </t>
  </si>
  <si>
    <t xml:space="preserve"> ROSETTA </t>
  </si>
  <si>
    <t xml:space="preserve"> BOISSART </t>
  </si>
  <si>
    <t xml:space="preserve"> BASTARD ROSSET </t>
  </si>
  <si>
    <t xml:space="preserve"> CLAR </t>
  </si>
  <si>
    <t xml:space="preserve"> RENE </t>
  </si>
  <si>
    <t xml:space="preserve"> LE DREZEN </t>
  </si>
  <si>
    <t xml:space="preserve"> COSTEMALE </t>
  </si>
  <si>
    <t xml:space="preserve"> SARBIT </t>
  </si>
  <si>
    <t xml:space="preserve"> PETRILLI </t>
  </si>
  <si>
    <t xml:space="preserve"> KERGUIDUFF </t>
  </si>
  <si>
    <t xml:space="preserve"> PRIMETENS </t>
  </si>
  <si>
    <t xml:space="preserve"> CIBRARIO </t>
  </si>
  <si>
    <t xml:space="preserve"> AISSOU </t>
  </si>
  <si>
    <t xml:space="preserve"> MERIEUX </t>
  </si>
  <si>
    <t xml:space="preserve"> RAZAFINJOELINA </t>
  </si>
  <si>
    <t xml:space="preserve"> Harison </t>
  </si>
  <si>
    <t xml:space="preserve"> CHAILLET </t>
  </si>
  <si>
    <t xml:space="preserve"> MEICHER </t>
  </si>
  <si>
    <t xml:space="preserve"> DUVETTE </t>
  </si>
  <si>
    <t xml:space="preserve"> DESMONT </t>
  </si>
  <si>
    <t xml:space="preserve"> TOUSSAERT </t>
  </si>
  <si>
    <t xml:space="preserve"> MOUCHET </t>
  </si>
  <si>
    <t xml:space="preserve"> POUCHARD </t>
  </si>
  <si>
    <t xml:space="preserve"> WINAND </t>
  </si>
  <si>
    <t xml:space="preserve"> PLANCHAT </t>
  </si>
  <si>
    <t xml:space="preserve"> CABIC </t>
  </si>
  <si>
    <t xml:space="preserve"> LE MANCHEC </t>
  </si>
  <si>
    <t xml:space="preserve"> RICOU </t>
  </si>
  <si>
    <t xml:space="preserve"> SABOUREAU </t>
  </si>
  <si>
    <t xml:space="preserve"> MEYNIEL </t>
  </si>
  <si>
    <t xml:space="preserve"> DESAUNOIS </t>
  </si>
  <si>
    <t xml:space="preserve"> KIRCHHOFFER </t>
  </si>
  <si>
    <t xml:space="preserve"> DI CICCO </t>
  </si>
  <si>
    <t xml:space="preserve"> Toni </t>
  </si>
  <si>
    <t xml:space="preserve"> PRÉVÉRAL </t>
  </si>
  <si>
    <t xml:space="preserve"> SABALZA </t>
  </si>
  <si>
    <t xml:space="preserve"> CHARRY </t>
  </si>
  <si>
    <t xml:space="preserve"> RAFTON </t>
  </si>
  <si>
    <t xml:space="preserve"> LACHAISE </t>
  </si>
  <si>
    <t xml:space="preserve"> JAMENOT </t>
  </si>
  <si>
    <t xml:space="preserve"> BOULONNOIS </t>
  </si>
  <si>
    <t xml:space="preserve"> PETESCH </t>
  </si>
  <si>
    <t xml:space="preserve"> LELERRE </t>
  </si>
  <si>
    <t xml:space="preserve"> REHAULT </t>
  </si>
  <si>
    <t xml:space="preserve"> PYCLIK </t>
  </si>
  <si>
    <t xml:space="preserve"> FOISNET </t>
  </si>
  <si>
    <t xml:space="preserve"> DERES </t>
  </si>
  <si>
    <t xml:space="preserve"> BESLOT </t>
  </si>
  <si>
    <t xml:space="preserve"> JOUCHOUX </t>
  </si>
  <si>
    <t xml:space="preserve"> COPARD </t>
  </si>
  <si>
    <t xml:space="preserve"> CAPDEVILLE </t>
  </si>
  <si>
    <t xml:space="preserve"> Jean david </t>
  </si>
  <si>
    <t xml:space="preserve"> SAUMIER </t>
  </si>
  <si>
    <t xml:space="preserve"> DEFAYE </t>
  </si>
  <si>
    <t xml:space="preserve"> LA TORRE </t>
  </si>
  <si>
    <t xml:space="preserve"> LANDREVILLE </t>
  </si>
  <si>
    <t xml:space="preserve"> BETOU </t>
  </si>
  <si>
    <t xml:space="preserve"> LOUBARESSE </t>
  </si>
  <si>
    <t xml:space="preserve"> AUBAZAC </t>
  </si>
  <si>
    <t xml:space="preserve"> Phlippe </t>
  </si>
  <si>
    <t xml:space="preserve"> Van-cuong </t>
  </si>
  <si>
    <t xml:space="preserve"> RUVIO </t>
  </si>
  <si>
    <t xml:space="preserve"> OLAGNON </t>
  </si>
  <si>
    <t xml:space="preserve"> GUIMBRETIERE </t>
  </si>
  <si>
    <t xml:space="preserve"> HERVILLARD </t>
  </si>
  <si>
    <t xml:space="preserve"> RENEUVE </t>
  </si>
  <si>
    <t xml:space="preserve"> BUVAT </t>
  </si>
  <si>
    <t xml:space="preserve"> FRETIER </t>
  </si>
  <si>
    <t xml:space="preserve"> DAVERIO </t>
  </si>
  <si>
    <t xml:space="preserve"> MORIO </t>
  </si>
  <si>
    <t xml:space="preserve"> DECHERON </t>
  </si>
  <si>
    <t xml:space="preserve"> GRBOVIC </t>
  </si>
  <si>
    <t xml:space="preserve"> Dejan </t>
  </si>
  <si>
    <t xml:space="preserve"> LEDARD </t>
  </si>
  <si>
    <t xml:space="preserve"> COURMARTIN </t>
  </si>
  <si>
    <t xml:space="preserve"> YAYICI </t>
  </si>
  <si>
    <t xml:space="preserve"> BOUGREAU </t>
  </si>
  <si>
    <t xml:space="preserve"> BOMBARDIER </t>
  </si>
  <si>
    <t xml:space="preserve"> CACHELEUX </t>
  </si>
  <si>
    <t xml:space="preserve"> MADROSZYK </t>
  </si>
  <si>
    <t xml:space="preserve"> BECQUEREL </t>
  </si>
  <si>
    <t xml:space="preserve"> BATIER </t>
  </si>
  <si>
    <t xml:space="preserve"> Magali </t>
  </si>
  <si>
    <t xml:space="preserve"> KSIAZEK </t>
  </si>
  <si>
    <t xml:space="preserve"> VAN GILS </t>
  </si>
  <si>
    <t xml:space="preserve"> KURKDJIAN </t>
  </si>
  <si>
    <t xml:space="preserve"> KUBS </t>
  </si>
  <si>
    <t xml:space="preserve"> LETANGRE </t>
  </si>
  <si>
    <t xml:space="preserve"> PATINAUD </t>
  </si>
  <si>
    <t xml:space="preserve"> PINIER </t>
  </si>
  <si>
    <t xml:space="preserve"> BAUMERT </t>
  </si>
  <si>
    <t xml:space="preserve"> LAURENCO </t>
  </si>
  <si>
    <t xml:space="preserve"> AJAVON </t>
  </si>
  <si>
    <t xml:space="preserve"> LAMEIRAS </t>
  </si>
  <si>
    <t xml:space="preserve"> Filipe </t>
  </si>
  <si>
    <t xml:space="preserve"> GRANSART </t>
  </si>
  <si>
    <t xml:space="preserve"> BEGGIO </t>
  </si>
  <si>
    <t xml:space="preserve"> DONADIEU </t>
  </si>
  <si>
    <t xml:space="preserve"> DERVEAUX </t>
  </si>
  <si>
    <t xml:space="preserve"> GALLIENNE </t>
  </si>
  <si>
    <t xml:space="preserve"> ZIMNOL </t>
  </si>
  <si>
    <t xml:space="preserve"> SOUQUES </t>
  </si>
  <si>
    <t xml:space="preserve"> CALVES </t>
  </si>
  <si>
    <t xml:space="preserve"> AGOPIAN </t>
  </si>
  <si>
    <t xml:space="preserve"> MARTINON </t>
  </si>
  <si>
    <t xml:space="preserve"> CANADAS </t>
  </si>
  <si>
    <t xml:space="preserve"> PAMIES </t>
  </si>
  <si>
    <t xml:space="preserve"> AUGIZEAU </t>
  </si>
  <si>
    <t xml:space="preserve"> TRECOURT </t>
  </si>
  <si>
    <t xml:space="preserve"> MEAUDE </t>
  </si>
  <si>
    <t xml:space="preserve"> HELLARD </t>
  </si>
  <si>
    <t xml:space="preserve"> FIANCETTE </t>
  </si>
  <si>
    <t xml:space="preserve"> NIARD </t>
  </si>
  <si>
    <t xml:space="preserve"> LOISEY </t>
  </si>
  <si>
    <t xml:space="preserve"> NARDONE </t>
  </si>
  <si>
    <t xml:space="preserve"> GILLOURY </t>
  </si>
  <si>
    <t xml:space="preserve"> VANHOOREN </t>
  </si>
  <si>
    <t xml:space="preserve"> BLONDEAUX </t>
  </si>
  <si>
    <t xml:space="preserve"> LE CLERE </t>
  </si>
  <si>
    <t xml:space="preserve"> DRAKE </t>
  </si>
  <si>
    <t xml:space="preserve"> Dylan </t>
  </si>
  <si>
    <t xml:space="preserve"> RALAIARISON </t>
  </si>
  <si>
    <t xml:space="preserve"> Solofoniriana </t>
  </si>
  <si>
    <t xml:space="preserve"> DURFORT </t>
  </si>
  <si>
    <t xml:space="preserve"> CARCAUD </t>
  </si>
  <si>
    <t xml:space="preserve"> BARGIBANT </t>
  </si>
  <si>
    <t xml:space="preserve"> JUGEAU </t>
  </si>
  <si>
    <t xml:space="preserve"> FIORUCCI </t>
  </si>
  <si>
    <t xml:space="preserve"> BLANCKEMAN </t>
  </si>
  <si>
    <t xml:space="preserve"> BENBRIK </t>
  </si>
  <si>
    <t xml:space="preserve"> KUBACKI </t>
  </si>
  <si>
    <t xml:space="preserve"> BLAGERES </t>
  </si>
  <si>
    <t xml:space="preserve"> CAZANOVE </t>
  </si>
  <si>
    <t xml:space="preserve"> DI NATALE </t>
  </si>
  <si>
    <t xml:space="preserve"> MALAMAIRE </t>
  </si>
  <si>
    <t xml:space="preserve"> BALLUAIS </t>
  </si>
  <si>
    <t xml:space="preserve"> THOUVENOT </t>
  </si>
  <si>
    <t xml:space="preserve"> VALZER </t>
  </si>
  <si>
    <t xml:space="preserve"> BAILLY-MAITRE </t>
  </si>
  <si>
    <t xml:space="preserve"> VILLOIS </t>
  </si>
  <si>
    <t xml:space="preserve"> GUILBAULT </t>
  </si>
  <si>
    <t xml:space="preserve"> Guenael </t>
  </si>
  <si>
    <t xml:space="preserve"> FRACZEK </t>
  </si>
  <si>
    <t xml:space="preserve"> GRAD </t>
  </si>
  <si>
    <t xml:space="preserve"> GENNA </t>
  </si>
  <si>
    <t xml:space="preserve"> PRORIOL </t>
  </si>
  <si>
    <t xml:space="preserve"> BOIT </t>
  </si>
  <si>
    <t xml:space="preserve"> DEBIEN </t>
  </si>
  <si>
    <t xml:space="preserve"> BOURBOULOU </t>
  </si>
  <si>
    <t xml:space="preserve"> BOUIN </t>
  </si>
  <si>
    <t xml:space="preserve"> CORNATON </t>
  </si>
  <si>
    <t xml:space="preserve"> TIFFON </t>
  </si>
  <si>
    <t xml:space="preserve"> RIGGI </t>
  </si>
  <si>
    <t xml:space="preserve"> Yorig </t>
  </si>
  <si>
    <t xml:space="preserve"> PITTELOUD </t>
  </si>
  <si>
    <t xml:space="preserve"> Andr¿ </t>
  </si>
  <si>
    <t xml:space="preserve"> LAMTHANH </t>
  </si>
  <si>
    <t xml:space="preserve"> Anhtuan </t>
  </si>
  <si>
    <t xml:space="preserve"> HAMOUMA </t>
  </si>
  <si>
    <t xml:space="preserve"> PILLONE </t>
  </si>
  <si>
    <t xml:space="preserve"> CORDEY </t>
  </si>
  <si>
    <t xml:space="preserve"> Jean  yves </t>
  </si>
  <si>
    <t xml:space="preserve"> TZARICK </t>
  </si>
  <si>
    <t xml:space="preserve"> WACHS </t>
  </si>
  <si>
    <t xml:space="preserve"> BEAUCHE </t>
  </si>
  <si>
    <t xml:space="preserve"> LA STEPHANOISE TT </t>
  </si>
  <si>
    <t xml:space="preserve"> SERVOT </t>
  </si>
  <si>
    <t xml:space="preserve"> SABLONIERE </t>
  </si>
  <si>
    <t xml:space="preserve"> VIQUESNEL </t>
  </si>
  <si>
    <t xml:space="preserve"> VILLECROZE </t>
  </si>
  <si>
    <t xml:space="preserve"> ROT </t>
  </si>
  <si>
    <t xml:space="preserve"> DUBOIS DE MONTREYNAU </t>
  </si>
  <si>
    <t xml:space="preserve"> MALLEM </t>
  </si>
  <si>
    <t xml:space="preserve"> PACHART </t>
  </si>
  <si>
    <t xml:space="preserve"> BAILHACHE </t>
  </si>
  <si>
    <t xml:space="preserve"> DERE </t>
  </si>
  <si>
    <t xml:space="preserve"> DESMARCHELIER </t>
  </si>
  <si>
    <t xml:space="preserve"> COGNOUX </t>
  </si>
  <si>
    <t xml:space="preserve"> FOULIOT </t>
  </si>
  <si>
    <t xml:space="preserve"> THUBERT </t>
  </si>
  <si>
    <t xml:space="preserve"> MINEZ </t>
  </si>
  <si>
    <t xml:space="preserve"> DEFOORT </t>
  </si>
  <si>
    <t xml:space="preserve"> DAMASSE </t>
  </si>
  <si>
    <t xml:space="preserve"> PILATE </t>
  </si>
  <si>
    <t xml:space="preserve"> BOLF </t>
  </si>
  <si>
    <t xml:space="preserve"> ROLLOT </t>
  </si>
  <si>
    <t xml:space="preserve"> CHANAY </t>
  </si>
  <si>
    <t xml:space="preserve"> BECHON </t>
  </si>
  <si>
    <t xml:space="preserve"> TROMPAT </t>
  </si>
  <si>
    <t xml:space="preserve"> GALAMPOIX </t>
  </si>
  <si>
    <t xml:space="preserve"> MARZYS </t>
  </si>
  <si>
    <t xml:space="preserve"> BRICE </t>
  </si>
  <si>
    <t xml:space="preserve"> ROUSERE </t>
  </si>
  <si>
    <t xml:space="preserve"> DESRUMAUX </t>
  </si>
  <si>
    <t xml:space="preserve"> BOURAT </t>
  </si>
  <si>
    <t xml:space="preserve"> BREUILLET </t>
  </si>
  <si>
    <t xml:space="preserve"> CHATEL </t>
  </si>
  <si>
    <t xml:space="preserve"> LE SERRE </t>
  </si>
  <si>
    <t xml:space="preserve"> CARRIER </t>
  </si>
  <si>
    <t xml:space="preserve"> PASTE </t>
  </si>
  <si>
    <t xml:space="preserve"> DEVEMY </t>
  </si>
  <si>
    <t xml:space="preserve"> DECHAMP </t>
  </si>
  <si>
    <t xml:space="preserve"> NAPOLITANO </t>
  </si>
  <si>
    <t xml:space="preserve"> VALU </t>
  </si>
  <si>
    <t xml:space="preserve"> RIBAULT </t>
  </si>
  <si>
    <t xml:space="preserve"> BOSSENO </t>
  </si>
  <si>
    <t xml:space="preserve"> COUDREAU </t>
  </si>
  <si>
    <t xml:space="preserve"> KOSOVAC </t>
  </si>
  <si>
    <t xml:space="preserve"> ORZECH </t>
  </si>
  <si>
    <t xml:space="preserve"> GARLAN </t>
  </si>
  <si>
    <t xml:space="preserve"> FRONTERA </t>
  </si>
  <si>
    <t xml:space="preserve"> DANTAUD </t>
  </si>
  <si>
    <t xml:space="preserve"> RIFFAULT </t>
  </si>
  <si>
    <t xml:space="preserve"> Francois jerome </t>
  </si>
  <si>
    <t xml:space="preserve"> VISCIERE </t>
  </si>
  <si>
    <t xml:space="preserve"> BEN </t>
  </si>
  <si>
    <t xml:space="preserve"> GABORIEAU </t>
  </si>
  <si>
    <t xml:space="preserve"> TIEFERS </t>
  </si>
  <si>
    <t xml:space="preserve"> DOUZIECH </t>
  </si>
  <si>
    <t xml:space="preserve"> WILLEMS </t>
  </si>
  <si>
    <t xml:space="preserve"> HARMEGNIES </t>
  </si>
  <si>
    <t xml:space="preserve"> OLYMPIC MONTREUIL LANDAVR </t>
  </si>
  <si>
    <t xml:space="preserve"> CATTET </t>
  </si>
  <si>
    <t xml:space="preserve"> DERBOIS </t>
  </si>
  <si>
    <t xml:space="preserve"> GISCARD </t>
  </si>
  <si>
    <t xml:space="preserve"> GOIN </t>
  </si>
  <si>
    <t xml:space="preserve"> COLLANGE </t>
  </si>
  <si>
    <t xml:space="preserve"> ADLER </t>
  </si>
  <si>
    <t xml:space="preserve"> BALENGHIEN </t>
  </si>
  <si>
    <t xml:space="preserve"> DELABROUSSE </t>
  </si>
  <si>
    <t xml:space="preserve"> TENNIS DE TABLE CATHARE </t>
  </si>
  <si>
    <t xml:space="preserve"> PLAZER </t>
  </si>
  <si>
    <t xml:space="preserve"> TCHERKASS </t>
  </si>
  <si>
    <t xml:space="preserve"> JEANDEL </t>
  </si>
  <si>
    <t xml:space="preserve"> MACHUELLE </t>
  </si>
  <si>
    <t xml:space="preserve"> Pierre andre </t>
  </si>
  <si>
    <t xml:space="preserve"> QUINOT </t>
  </si>
  <si>
    <t xml:space="preserve"> ANCELET </t>
  </si>
  <si>
    <t xml:space="preserve"> CUKIERMAN </t>
  </si>
  <si>
    <t xml:space="preserve"> SALAÜN </t>
  </si>
  <si>
    <t xml:space="preserve"> Dminique </t>
  </si>
  <si>
    <t xml:space="preserve"> LAVISSE </t>
  </si>
  <si>
    <t xml:space="preserve"> CASTAGNÉ </t>
  </si>
  <si>
    <t xml:space="preserve"> VANACKER </t>
  </si>
  <si>
    <t xml:space="preserve"> KRIEGEL </t>
  </si>
  <si>
    <t xml:space="preserve"> LEURETTE </t>
  </si>
  <si>
    <t xml:space="preserve"> BIDAUX </t>
  </si>
  <si>
    <t xml:space="preserve"> BEAURY </t>
  </si>
  <si>
    <t xml:space="preserve"> BASSI </t>
  </si>
  <si>
    <t xml:space="preserve"> CHARDEL </t>
  </si>
  <si>
    <t xml:space="preserve"> JAUFFRES </t>
  </si>
  <si>
    <t xml:space="preserve"> DESEYNE </t>
  </si>
  <si>
    <t xml:space="preserve"> KOSYNSKY </t>
  </si>
  <si>
    <t xml:space="preserve"> ANESETTI </t>
  </si>
  <si>
    <t xml:space="preserve"> MEYNCKENS </t>
  </si>
  <si>
    <t xml:space="preserve"> LANELUC </t>
  </si>
  <si>
    <t xml:space="preserve"> TRAINS </t>
  </si>
  <si>
    <t xml:space="preserve"> JOUANOLE </t>
  </si>
  <si>
    <t xml:space="preserve"> TREMBLIN </t>
  </si>
  <si>
    <t xml:space="preserve"> TRAVEL </t>
  </si>
  <si>
    <t xml:space="preserve"> RYBACKI </t>
  </si>
  <si>
    <t xml:space="preserve"> CROIZER </t>
  </si>
  <si>
    <t xml:space="preserve"> SOUPLY </t>
  </si>
  <si>
    <t xml:space="preserve"> LANCEA </t>
  </si>
  <si>
    <t xml:space="preserve"> KIBBE </t>
  </si>
  <si>
    <t xml:space="preserve"> Helios </t>
  </si>
  <si>
    <t xml:space="preserve"> POITEVIN </t>
  </si>
  <si>
    <t xml:space="preserve"> PAINEAU </t>
  </si>
  <si>
    <t xml:space="preserve"> LE CROLLER </t>
  </si>
  <si>
    <t xml:space="preserve"> DU REAU </t>
  </si>
  <si>
    <t xml:space="preserve"> VIRENQUE </t>
  </si>
  <si>
    <t xml:space="preserve"> LE NAN </t>
  </si>
  <si>
    <t xml:space="preserve"> JAYET LARAFFE </t>
  </si>
  <si>
    <t xml:space="preserve"> WAHAGA </t>
  </si>
  <si>
    <t xml:space="preserve"> HURFIN </t>
  </si>
  <si>
    <t xml:space="preserve"> VOIGNIER </t>
  </si>
  <si>
    <t xml:space="preserve"> LEGGIO </t>
  </si>
  <si>
    <t xml:space="preserve"> FARNIER </t>
  </si>
  <si>
    <t xml:space="preserve"> SAVIGNY </t>
  </si>
  <si>
    <t xml:space="preserve"> RONCHI </t>
  </si>
  <si>
    <t xml:space="preserve"> GERNIGON </t>
  </si>
  <si>
    <t xml:space="preserve"> RAMANARIVO RANARIVEL </t>
  </si>
  <si>
    <t xml:space="preserve"> HARNOULD </t>
  </si>
  <si>
    <t xml:space="preserve"> FAVOCCIA </t>
  </si>
  <si>
    <t xml:space="preserve"> TARRADE </t>
  </si>
  <si>
    <t xml:space="preserve"> AGRIOPOULOS </t>
  </si>
  <si>
    <t xml:space="preserve"> ARTAUD </t>
  </si>
  <si>
    <t xml:space="preserve"> RAHARIMANANA </t>
  </si>
  <si>
    <t xml:space="preserve"> CHEVROLAIS </t>
  </si>
  <si>
    <t xml:space="preserve"> NOUGE </t>
  </si>
  <si>
    <t xml:space="preserve"> MARQUER </t>
  </si>
  <si>
    <t xml:space="preserve"> TRILHE </t>
  </si>
  <si>
    <t xml:space="preserve"> FONSIN </t>
  </si>
  <si>
    <t xml:space="preserve"> COUTURAUD </t>
  </si>
  <si>
    <t xml:space="preserve"> COSTIER </t>
  </si>
  <si>
    <t xml:space="preserve"> GUILLONNEAU </t>
  </si>
  <si>
    <t xml:space="preserve"> LE BEHEREC </t>
  </si>
  <si>
    <t xml:space="preserve"> DREUX </t>
  </si>
  <si>
    <t xml:space="preserve"> SOMMIER </t>
  </si>
  <si>
    <t xml:space="preserve"> CHASSAGNE </t>
  </si>
  <si>
    <t xml:space="preserve"> TURBIN </t>
  </si>
  <si>
    <t xml:space="preserve"> VERNEY </t>
  </si>
  <si>
    <t xml:space="preserve"> ARMSPACH </t>
  </si>
  <si>
    <t xml:space="preserve"> GIORDANO </t>
  </si>
  <si>
    <t xml:space="preserve"> MANADE </t>
  </si>
  <si>
    <t xml:space="preserve"> TRAN-THIET </t>
  </si>
  <si>
    <t xml:space="preserve"> CAPITAO </t>
  </si>
  <si>
    <t xml:space="preserve"> STOCKER </t>
  </si>
  <si>
    <t xml:space="preserve"> STAURI </t>
  </si>
  <si>
    <t xml:space="preserve"> TOUCH </t>
  </si>
  <si>
    <t xml:space="preserve"> ZARUDIANSKY </t>
  </si>
  <si>
    <t xml:space="preserve"> PIROTAIS </t>
  </si>
  <si>
    <t xml:space="preserve"> DHAZE </t>
  </si>
  <si>
    <t xml:space="preserve"> WOULZEZ </t>
  </si>
  <si>
    <t xml:space="preserve"> KOUZMIN </t>
  </si>
  <si>
    <t xml:space="preserve"> JORET </t>
  </si>
  <si>
    <t xml:space="preserve"> LANNIC </t>
  </si>
  <si>
    <t xml:space="preserve"> CONTET </t>
  </si>
  <si>
    <t xml:space="preserve"> KERDEKACHIAN </t>
  </si>
  <si>
    <t xml:space="preserve"> JONET </t>
  </si>
  <si>
    <t xml:space="preserve"> SIAUDEAU </t>
  </si>
  <si>
    <t xml:space="preserve"> ORGERET </t>
  </si>
  <si>
    <t xml:space="preserve"> RICHEBOEUF </t>
  </si>
  <si>
    <t xml:space="preserve"> CABEL </t>
  </si>
  <si>
    <t xml:space="preserve"> LOUNI </t>
  </si>
  <si>
    <t xml:space="preserve"> HIVERT </t>
  </si>
  <si>
    <t xml:space="preserve"> DIGUINY </t>
  </si>
  <si>
    <t xml:space="preserve"> DOUARD </t>
  </si>
  <si>
    <t xml:space="preserve"> RAKOTOBE </t>
  </si>
  <si>
    <t xml:space="preserve"> VIGNARATH </t>
  </si>
  <si>
    <t xml:space="preserve"> Soukchaleun </t>
  </si>
  <si>
    <t xml:space="preserve"> CLOSSAIS </t>
  </si>
  <si>
    <t xml:space="preserve"> MINEAU </t>
  </si>
  <si>
    <t xml:space="preserve"> FONTARIVE </t>
  </si>
  <si>
    <t xml:space="preserve"> QUENETTE </t>
  </si>
  <si>
    <t xml:space="preserve"> BARKA </t>
  </si>
  <si>
    <t xml:space="preserve"> BRENTHOMME </t>
  </si>
  <si>
    <t xml:space="preserve"> MAISONNEUVE </t>
  </si>
  <si>
    <t xml:space="preserve"> GOAREGUER </t>
  </si>
  <si>
    <t xml:space="preserve"> LESPRIT </t>
  </si>
  <si>
    <t xml:space="preserve"> GIBLAT </t>
  </si>
  <si>
    <t xml:space="preserve"> DE LAMARE </t>
  </si>
  <si>
    <t xml:space="preserve"> VIOLANTE </t>
  </si>
  <si>
    <t xml:space="preserve"> LAGISQUET </t>
  </si>
  <si>
    <t xml:space="preserve"> DELEHEDDE </t>
  </si>
  <si>
    <t xml:space="preserve"> GUILLOMOT </t>
  </si>
  <si>
    <t xml:space="preserve"> BOURREE </t>
  </si>
  <si>
    <t xml:space="preserve"> EVARISTE </t>
  </si>
  <si>
    <t xml:space="preserve"> ROSINE </t>
  </si>
  <si>
    <t xml:space="preserve"> HEUGHEBAERT </t>
  </si>
  <si>
    <t xml:space="preserve"> BADENS </t>
  </si>
  <si>
    <t xml:space="preserve"> ROUVRAIS </t>
  </si>
  <si>
    <t xml:space="preserve"> MALIDAIN </t>
  </si>
  <si>
    <t xml:space="preserve"> VENIEZ </t>
  </si>
  <si>
    <t xml:space="preserve"> BEJOT </t>
  </si>
  <si>
    <t xml:space="preserve"> SEILLERY </t>
  </si>
  <si>
    <t xml:space="preserve"> DEBOFFE </t>
  </si>
  <si>
    <t xml:space="preserve"> Mark </t>
  </si>
  <si>
    <t xml:space="preserve"> AOUIZERATE </t>
  </si>
  <si>
    <t xml:space="preserve"> CUNUDER </t>
  </si>
  <si>
    <t xml:space="preserve"> BITTIGHOFFER </t>
  </si>
  <si>
    <t xml:space="preserve"> BOUZIGE </t>
  </si>
  <si>
    <t xml:space="preserve"> MARCHICA </t>
  </si>
  <si>
    <t xml:space="preserve"> BENABDELMOUMENE </t>
  </si>
  <si>
    <t xml:space="preserve"> Nourdine </t>
  </si>
  <si>
    <t xml:space="preserve"> GERRER </t>
  </si>
  <si>
    <t xml:space="preserve"> LANFREY </t>
  </si>
  <si>
    <t xml:space="preserve"> LONGUET </t>
  </si>
  <si>
    <t xml:space="preserve"> LABOUBEE </t>
  </si>
  <si>
    <t xml:space="preserve"> CHOUX </t>
  </si>
  <si>
    <t xml:space="preserve"> MALBOSC </t>
  </si>
  <si>
    <t xml:space="preserve"> GARBIL </t>
  </si>
  <si>
    <t xml:space="preserve"> DEPORTE </t>
  </si>
  <si>
    <t xml:space="preserve"> TARGUES </t>
  </si>
  <si>
    <t xml:space="preserve"> GRANDGIRARD </t>
  </si>
  <si>
    <t xml:space="preserve"> BAPTISTA </t>
  </si>
  <si>
    <t xml:space="preserve"> GALMARD </t>
  </si>
  <si>
    <t xml:space="preserve"> GOMBERT </t>
  </si>
  <si>
    <t xml:space="preserve"> BEKKARI </t>
  </si>
  <si>
    <t xml:space="preserve"> DUMONTET </t>
  </si>
  <si>
    <t xml:space="preserve"> JESPERE </t>
  </si>
  <si>
    <t xml:space="preserve"> CORRIETTE </t>
  </si>
  <si>
    <t xml:space="preserve"> CHAIGNEPAIN </t>
  </si>
  <si>
    <t xml:space="preserve"> ROUAUT </t>
  </si>
  <si>
    <t xml:space="preserve"> CANDILLIER </t>
  </si>
  <si>
    <t xml:space="preserve"> JIBIDAR </t>
  </si>
  <si>
    <t xml:space="preserve"> Theophile </t>
  </si>
  <si>
    <t xml:space="preserve"> LEHAY </t>
  </si>
  <si>
    <t xml:space="preserve"> WABLE </t>
  </si>
  <si>
    <t xml:space="preserve"> MATT </t>
  </si>
  <si>
    <t xml:space="preserve"> GUILLEMOTO </t>
  </si>
  <si>
    <t xml:space="preserve"> ALOPH </t>
  </si>
  <si>
    <t xml:space="preserve"> CHARDEY </t>
  </si>
  <si>
    <t xml:space="preserve"> BOISYVON </t>
  </si>
  <si>
    <t xml:space="preserve"> LE GOIC </t>
  </si>
  <si>
    <t xml:space="preserve"> SABADIE </t>
  </si>
  <si>
    <t xml:space="preserve"> ROMANI </t>
  </si>
  <si>
    <t xml:space="preserve"> CRISAN </t>
  </si>
  <si>
    <t xml:space="preserve"> SENECHAUD </t>
  </si>
  <si>
    <t xml:space="preserve"> HERTZMANN </t>
  </si>
  <si>
    <t xml:space="preserve"> CHENGADOO </t>
  </si>
  <si>
    <t xml:space="preserve"> DOURDOIGNE </t>
  </si>
  <si>
    <t xml:space="preserve"> POUGEOISE </t>
  </si>
  <si>
    <t xml:space="preserve"> HAZOTTE </t>
  </si>
  <si>
    <t xml:space="preserve"> JOUX </t>
  </si>
  <si>
    <t xml:space="preserve"> VIREY </t>
  </si>
  <si>
    <t xml:space="preserve"> GELLE </t>
  </si>
  <si>
    <t xml:space="preserve"> ASTORG </t>
  </si>
  <si>
    <t xml:space="preserve"> HOUGET </t>
  </si>
  <si>
    <t xml:space="preserve"> LOZACH </t>
  </si>
  <si>
    <t xml:space="preserve"> DINCKI </t>
  </si>
  <si>
    <t xml:space="preserve"> LECHABLE </t>
  </si>
  <si>
    <t xml:space="preserve"> ORDINAS </t>
  </si>
  <si>
    <t xml:space="preserve"> LISBONIS </t>
  </si>
  <si>
    <t xml:space="preserve"> TCHILINGUIRIAN </t>
  </si>
  <si>
    <t xml:space="preserve"> FINUCCI </t>
  </si>
  <si>
    <t xml:space="preserve"> BATHEROSSE </t>
  </si>
  <si>
    <t xml:space="preserve"> FLATTET </t>
  </si>
  <si>
    <t xml:space="preserve"> BESSAA </t>
  </si>
  <si>
    <t xml:space="preserve"> LEMARTINEL </t>
  </si>
  <si>
    <t xml:space="preserve"> LEBARGY </t>
  </si>
  <si>
    <t xml:space="preserve"> VANDORMAEL </t>
  </si>
  <si>
    <t xml:space="preserve"> ISCH </t>
  </si>
  <si>
    <t xml:space="preserve"> JESSON </t>
  </si>
  <si>
    <t xml:space="preserve"> AUMONT </t>
  </si>
  <si>
    <t xml:space="preserve"> SIVRET </t>
  </si>
  <si>
    <t xml:space="preserve"> REBEL </t>
  </si>
  <si>
    <t xml:space="preserve"> SESE </t>
  </si>
  <si>
    <t xml:space="preserve"> TRUCHOT </t>
  </si>
  <si>
    <t xml:space="preserve"> APOSTOLIDIS </t>
  </si>
  <si>
    <t xml:space="preserve"> CLEMENCON </t>
  </si>
  <si>
    <t xml:space="preserve"> COTINEAU </t>
  </si>
  <si>
    <t xml:space="preserve"> JEAN-DENIS </t>
  </si>
  <si>
    <t xml:space="preserve"> BRUGE </t>
  </si>
  <si>
    <t xml:space="preserve"> MECHINAUD </t>
  </si>
  <si>
    <t xml:space="preserve"> SWIERCZYNSKI </t>
  </si>
  <si>
    <t xml:space="preserve"> BRANGEON </t>
  </si>
  <si>
    <t xml:space="preserve"> DEBOTTE </t>
  </si>
  <si>
    <t xml:space="preserve"> REVAUD </t>
  </si>
  <si>
    <t xml:space="preserve"> MAGNIERE </t>
  </si>
  <si>
    <t xml:space="preserve"> SANGAN </t>
  </si>
  <si>
    <t xml:space="preserve"> Syvlain </t>
  </si>
  <si>
    <t xml:space="preserve"> MAUPIN </t>
  </si>
  <si>
    <t xml:space="preserve"> NOIREAU </t>
  </si>
  <si>
    <t xml:space="preserve"> BLANCHETON </t>
  </si>
  <si>
    <t xml:space="preserve"> CORVOISIER </t>
  </si>
  <si>
    <t xml:space="preserve"> FEZANS </t>
  </si>
  <si>
    <t xml:space="preserve"> BREDENFELDT </t>
  </si>
  <si>
    <t xml:space="preserve"> QUIRION </t>
  </si>
  <si>
    <t xml:space="preserve"> ATANASOAEI </t>
  </si>
  <si>
    <t xml:space="preserve"> NEVE </t>
  </si>
  <si>
    <t xml:space="preserve"> DESFOURS </t>
  </si>
  <si>
    <t xml:space="preserve"> RIDET </t>
  </si>
  <si>
    <t xml:space="preserve"> GELARD </t>
  </si>
  <si>
    <t xml:space="preserve"> GAUTHERIN </t>
  </si>
  <si>
    <t xml:space="preserve"> LE CLAIR </t>
  </si>
  <si>
    <t xml:space="preserve"> George </t>
  </si>
  <si>
    <t xml:space="preserve"> COSTACHE </t>
  </si>
  <si>
    <t xml:space="preserve"> GAURIAT </t>
  </si>
  <si>
    <t xml:space="preserve"> DESCHAMP </t>
  </si>
  <si>
    <t xml:space="preserve"> COUDURIER </t>
  </si>
  <si>
    <t xml:space="preserve"> BARREAUX </t>
  </si>
  <si>
    <t xml:space="preserve"> LECLEIR </t>
  </si>
  <si>
    <t xml:space="preserve"> SECRET </t>
  </si>
  <si>
    <t xml:space="preserve"> LEROND </t>
  </si>
  <si>
    <t xml:space="preserve"> ASSICE </t>
  </si>
  <si>
    <t xml:space="preserve"> NOVE </t>
  </si>
  <si>
    <t xml:space="preserve"> BRONDEAU </t>
  </si>
  <si>
    <t xml:space="preserve"> Brigitte </t>
  </si>
  <si>
    <t xml:space="preserve"> JULE </t>
  </si>
  <si>
    <t xml:space="preserve"> BELLAIZE </t>
  </si>
  <si>
    <t xml:space="preserve"> GIORGIS </t>
  </si>
  <si>
    <t xml:space="preserve"> POSLUSZNY </t>
  </si>
  <si>
    <t xml:space="preserve"> GUARDIOLA </t>
  </si>
  <si>
    <t xml:space="preserve"> LEFEBURE </t>
  </si>
  <si>
    <t xml:space="preserve"> PLASSARD </t>
  </si>
  <si>
    <t xml:space="preserve"> ESCAFFRE </t>
  </si>
  <si>
    <t xml:space="preserve"> EISENSTEIN </t>
  </si>
  <si>
    <t xml:space="preserve"> TANVEZ </t>
  </si>
  <si>
    <t xml:space="preserve"> Chrystophe </t>
  </si>
  <si>
    <t xml:space="preserve"> HAYRAULT </t>
  </si>
  <si>
    <t xml:space="preserve"> PETITHORY </t>
  </si>
  <si>
    <t xml:space="preserve"> DISCACCIATI </t>
  </si>
  <si>
    <t xml:space="preserve"> BUCAILLE </t>
  </si>
  <si>
    <t xml:space="preserve"> LANVIN </t>
  </si>
  <si>
    <t xml:space="preserve"> LIEUREY </t>
  </si>
  <si>
    <t xml:space="preserve"> PIZZIMENTI </t>
  </si>
  <si>
    <t xml:space="preserve"> JEAN-MARIE </t>
  </si>
  <si>
    <t xml:space="preserve"> THUISSARD </t>
  </si>
  <si>
    <t xml:space="preserve"> BRUNETON </t>
  </si>
  <si>
    <t xml:space="preserve"> Beranger </t>
  </si>
  <si>
    <t xml:space="preserve"> POINTU </t>
  </si>
  <si>
    <t xml:space="preserve"> SAUVAGEON </t>
  </si>
  <si>
    <t xml:space="preserve"> GAYAN </t>
  </si>
  <si>
    <t xml:space="preserve"> PUTZOLU </t>
  </si>
  <si>
    <t xml:space="preserve"> BOURDREUX </t>
  </si>
  <si>
    <t xml:space="preserve"> JESIORSKI </t>
  </si>
  <si>
    <t xml:space="preserve"> LE CORVAISIER </t>
  </si>
  <si>
    <t xml:space="preserve"> CROC </t>
  </si>
  <si>
    <t xml:space="preserve"> GOETZINGER </t>
  </si>
  <si>
    <t xml:space="preserve"> CABEZA </t>
  </si>
  <si>
    <t xml:space="preserve"> TREBOUET </t>
  </si>
  <si>
    <t xml:space="preserve"> DE LUISE </t>
  </si>
  <si>
    <t xml:space="preserve"> GUIMBERTEAU </t>
  </si>
  <si>
    <t xml:space="preserve"> LOURDELLE </t>
  </si>
  <si>
    <t xml:space="preserve"> NEUS </t>
  </si>
  <si>
    <t xml:space="preserve"> BEAUBRUN </t>
  </si>
  <si>
    <t xml:space="preserve"> POITRIMOL </t>
  </si>
  <si>
    <t xml:space="preserve"> LE CLOAREC </t>
  </si>
  <si>
    <t xml:space="preserve"> SAMBOURG </t>
  </si>
  <si>
    <t xml:space="preserve"> ARDHUIN </t>
  </si>
  <si>
    <t xml:space="preserve"> ETEMAD-ZADEH </t>
  </si>
  <si>
    <t xml:space="preserve"> Keyvan </t>
  </si>
  <si>
    <t xml:space="preserve"> THOUVENEL </t>
  </si>
  <si>
    <t xml:space="preserve"> RATTON </t>
  </si>
  <si>
    <t xml:space="preserve"> PETAIN </t>
  </si>
  <si>
    <t xml:space="preserve"> AMBIEHL </t>
  </si>
  <si>
    <t xml:space="preserve"> FONTANI </t>
  </si>
  <si>
    <t xml:space="preserve"> ILLY </t>
  </si>
  <si>
    <t xml:space="preserve"> TREILLARD </t>
  </si>
  <si>
    <t xml:space="preserve"> LUCO </t>
  </si>
  <si>
    <t xml:space="preserve"> WLOSZCZOWSKI </t>
  </si>
  <si>
    <t xml:space="preserve"> BYAKOWSKI </t>
  </si>
  <si>
    <t xml:space="preserve"> VANICHE </t>
  </si>
  <si>
    <t xml:space="preserve"> PANDOCCHI </t>
  </si>
  <si>
    <t xml:space="preserve"> LEVIONNAIS </t>
  </si>
  <si>
    <t xml:space="preserve"> LEBECQ </t>
  </si>
  <si>
    <t xml:space="preserve"> Jefferson </t>
  </si>
  <si>
    <t xml:space="preserve"> CORDANI </t>
  </si>
  <si>
    <t xml:space="preserve"> PENCO </t>
  </si>
  <si>
    <t xml:space="preserve"> TORRENT </t>
  </si>
  <si>
    <t xml:space="preserve"> CHEVESSENT </t>
  </si>
  <si>
    <t xml:space="preserve"> THIROUX </t>
  </si>
  <si>
    <t xml:space="preserve"> KHENNACHE </t>
  </si>
  <si>
    <t xml:space="preserve"> DJENDAR </t>
  </si>
  <si>
    <t xml:space="preserve"> Abdassis </t>
  </si>
  <si>
    <t xml:space="preserve"> CHAMPARE </t>
  </si>
  <si>
    <t xml:space="preserve"> Calixte </t>
  </si>
  <si>
    <t xml:space="preserve"> HOERMANN </t>
  </si>
  <si>
    <t xml:space="preserve"> PAVIOT </t>
  </si>
  <si>
    <t xml:space="preserve"> TATINCLAUX </t>
  </si>
  <si>
    <t xml:space="preserve"> DAVRANCHE </t>
  </si>
  <si>
    <t xml:space="preserve"> SLOIM </t>
  </si>
  <si>
    <t xml:space="preserve"> CANNERE </t>
  </si>
  <si>
    <t xml:space="preserve"> FEUERSTOSS </t>
  </si>
  <si>
    <t xml:space="preserve"> QUAREZ </t>
  </si>
  <si>
    <t xml:space="preserve"> VANDERSTRAETEN </t>
  </si>
  <si>
    <t xml:space="preserve"> COUBE </t>
  </si>
  <si>
    <t xml:space="preserve"> MANDRICK </t>
  </si>
  <si>
    <t xml:space="preserve"> SCHEER </t>
  </si>
  <si>
    <t xml:space="preserve"> JAUBARD </t>
  </si>
  <si>
    <t xml:space="preserve"> SLOETJES </t>
  </si>
  <si>
    <t xml:space="preserve"> Bart </t>
  </si>
  <si>
    <t xml:space="preserve"> STREHLE </t>
  </si>
  <si>
    <t xml:space="preserve"> CAUSSEROUGE </t>
  </si>
  <si>
    <t xml:space="preserve"> ESCOUTE </t>
  </si>
  <si>
    <t xml:space="preserve"> BERTIER </t>
  </si>
  <si>
    <t xml:space="preserve"> Marc antoine </t>
  </si>
  <si>
    <t xml:space="preserve"> MERAULT </t>
  </si>
  <si>
    <t xml:space="preserve"> HÉDÉ </t>
  </si>
  <si>
    <t xml:space="preserve"> GAUBE </t>
  </si>
  <si>
    <t xml:space="preserve"> Nevuthda </t>
  </si>
  <si>
    <t xml:space="preserve"> CAUTY </t>
  </si>
  <si>
    <t xml:space="preserve"> LEBOSSÉ </t>
  </si>
  <si>
    <t xml:space="preserve"> COIN </t>
  </si>
  <si>
    <t xml:space="preserve"> FILLOUX </t>
  </si>
  <si>
    <t xml:space="preserve"> BAVEREY </t>
  </si>
  <si>
    <t xml:space="preserve"> MAUGIN </t>
  </si>
  <si>
    <t xml:space="preserve"> PELOURDEAU </t>
  </si>
  <si>
    <t xml:space="preserve"> JANTON </t>
  </si>
  <si>
    <t xml:space="preserve"> CRETON </t>
  </si>
  <si>
    <t xml:space="preserve"> CHAMPOD </t>
  </si>
  <si>
    <t xml:space="preserve"> SOWAMBER </t>
  </si>
  <si>
    <t xml:space="preserve"> Hurrylall </t>
  </si>
  <si>
    <t xml:space="preserve"> MOREL  LE ROY </t>
  </si>
  <si>
    <t xml:space="preserve"> DHOMPS </t>
  </si>
  <si>
    <t xml:space="preserve"> BAIXAS </t>
  </si>
  <si>
    <t xml:space="preserve"> CHEQUER </t>
  </si>
  <si>
    <t xml:space="preserve"> FROGE </t>
  </si>
  <si>
    <t xml:space="preserve"> PUREN </t>
  </si>
  <si>
    <t xml:space="preserve"> KIEPURA </t>
  </si>
  <si>
    <t xml:space="preserve"> HAVERLANT </t>
  </si>
  <si>
    <t xml:space="preserve"> Cendric </t>
  </si>
  <si>
    <t xml:space="preserve"> MINISINI </t>
  </si>
  <si>
    <t xml:space="preserve"> Yves-joel </t>
  </si>
  <si>
    <t xml:space="preserve"> VIANNENC </t>
  </si>
  <si>
    <t xml:space="preserve"> DILE </t>
  </si>
  <si>
    <t xml:space="preserve"> SOMMESOUS </t>
  </si>
  <si>
    <t xml:space="preserve"> CHENE </t>
  </si>
  <si>
    <t xml:space="preserve"> PICOU </t>
  </si>
  <si>
    <t xml:space="preserve"> 349B2085 </t>
  </si>
  <si>
    <t xml:space="preserve"> ESPOIR ESSIMORNAIS </t>
  </si>
  <si>
    <t xml:space="preserve"> JEULIN </t>
  </si>
  <si>
    <t xml:space="preserve"> GULA </t>
  </si>
  <si>
    <t xml:space="preserve"> BUTHMANN </t>
  </si>
  <si>
    <t xml:space="preserve"> DACCORD </t>
  </si>
  <si>
    <t xml:space="preserve"> PRESSION </t>
  </si>
  <si>
    <t xml:space="preserve"> POMES-BORDEDEBAT </t>
  </si>
  <si>
    <t xml:space="preserve"> LEMIRRE </t>
  </si>
  <si>
    <t xml:space="preserve"> CHANTELOUP </t>
  </si>
  <si>
    <t xml:space="preserve"> CLINARD </t>
  </si>
  <si>
    <t xml:space="preserve"> Yuan </t>
  </si>
  <si>
    <t xml:space="preserve"> F </t>
  </si>
  <si>
    <t xml:space="preserve"> LE LANNIC </t>
  </si>
  <si>
    <t xml:space="preserve"> Agnés </t>
  </si>
  <si>
    <t xml:space="preserve"> BOILEAU DEMARET </t>
  </si>
  <si>
    <t xml:space="preserve"> Anne </t>
  </si>
  <si>
    <t xml:space="preserve"> Fang </t>
  </si>
  <si>
    <t xml:space="preserve"> JONEAU </t>
  </si>
  <si>
    <t xml:space="preserve"> Alice </t>
  </si>
  <si>
    <t xml:space="preserve"> Sandrine </t>
  </si>
  <si>
    <t xml:space="preserve"> BROCHIER </t>
  </si>
  <si>
    <t xml:space="preserve"> Jessica </t>
  </si>
  <si>
    <t xml:space="preserve"> Caroline </t>
  </si>
  <si>
    <t xml:space="preserve"> Cynthia </t>
  </si>
  <si>
    <t xml:space="preserve"> Sophie </t>
  </si>
  <si>
    <t xml:space="preserve"> CHERCHOUR </t>
  </si>
  <si>
    <t xml:space="preserve"> HOREL </t>
  </si>
  <si>
    <t xml:space="preserve"> Helene </t>
  </si>
  <si>
    <t xml:space="preserve"> CABOT </t>
  </si>
  <si>
    <t xml:space="preserve"> Delphine </t>
  </si>
  <si>
    <t xml:space="preserve"> LINDECKER NEE BAUER </t>
  </si>
  <si>
    <t xml:space="preserve"> Corinne </t>
  </si>
  <si>
    <t xml:space="preserve"> Laetitia </t>
  </si>
  <si>
    <t xml:space="preserve"> IVANOVA </t>
  </si>
  <si>
    <t xml:space="preserve"> Tatiana </t>
  </si>
  <si>
    <t xml:space="preserve"> MESLIN </t>
  </si>
  <si>
    <t xml:space="preserve"> Béatrice </t>
  </si>
  <si>
    <t xml:space="preserve"> Magalie </t>
  </si>
  <si>
    <t xml:space="preserve"> KAMKASOMPHOU </t>
  </si>
  <si>
    <t xml:space="preserve"> Vanessa </t>
  </si>
  <si>
    <t xml:space="preserve"> POURSINE-LOBRY </t>
  </si>
  <si>
    <t xml:space="preserve"> THOLIMET </t>
  </si>
  <si>
    <t xml:space="preserve"> Marie claude </t>
  </si>
  <si>
    <t xml:space="preserve"> Eliane </t>
  </si>
  <si>
    <t xml:space="preserve"> Géraldine </t>
  </si>
  <si>
    <t xml:space="preserve"> Laurence </t>
  </si>
  <si>
    <t xml:space="preserve"> Marie christine </t>
  </si>
  <si>
    <t xml:space="preserve"> DABROWSKI </t>
  </si>
  <si>
    <t xml:space="preserve"> Severine </t>
  </si>
  <si>
    <t xml:space="preserve"> Anne laure </t>
  </si>
  <si>
    <t xml:space="preserve"> ROSCONVAL-MARENGUE </t>
  </si>
  <si>
    <t xml:space="preserve"> Genevieve </t>
  </si>
  <si>
    <t xml:space="preserve"> LIOPE </t>
  </si>
  <si>
    <t xml:space="preserve"> KOVACS </t>
  </si>
  <si>
    <t xml:space="preserve"> Carole </t>
  </si>
  <si>
    <t xml:space="preserve"> DEBOMY </t>
  </si>
  <si>
    <t xml:space="preserve"> Christine </t>
  </si>
  <si>
    <t xml:space="preserve"> LA VAULLEE </t>
  </si>
  <si>
    <t xml:space="preserve"> Nathalie </t>
  </si>
  <si>
    <t xml:space="preserve"> TARTAISE </t>
  </si>
  <si>
    <t xml:space="preserve"> Emmanuelle </t>
  </si>
  <si>
    <t xml:space="preserve"> Angeline </t>
  </si>
  <si>
    <t xml:space="preserve"> Claire </t>
  </si>
  <si>
    <t xml:space="preserve"> Cedrine </t>
  </si>
  <si>
    <t xml:space="preserve"> Nelly </t>
  </si>
  <si>
    <t xml:space="preserve"> Marielle </t>
  </si>
  <si>
    <t xml:space="preserve"> FRICK </t>
  </si>
  <si>
    <t xml:space="preserve"> DELAC </t>
  </si>
  <si>
    <t xml:space="preserve"> Pascale </t>
  </si>
  <si>
    <t xml:space="preserve"> VAUCOULEUR </t>
  </si>
  <si>
    <t xml:space="preserve"> CURT </t>
  </si>
  <si>
    <t xml:space="preserve"> ROUSSEAU-GONCALVES </t>
  </si>
  <si>
    <t xml:space="preserve"> Elisabeth </t>
  </si>
  <si>
    <t xml:space="preserve"> CLE </t>
  </si>
  <si>
    <t xml:space="preserve"> Valérie </t>
  </si>
  <si>
    <t xml:space="preserve"> Virginie </t>
  </si>
  <si>
    <t xml:space="preserve"> ZANUTTINI </t>
  </si>
  <si>
    <t xml:space="preserve"> JONCQUEL </t>
  </si>
  <si>
    <t xml:space="preserve"> France </t>
  </si>
  <si>
    <t xml:space="preserve"> Fabienne </t>
  </si>
  <si>
    <t xml:space="preserve"> Valerie </t>
  </si>
  <si>
    <t xml:space="preserve"> Annie </t>
  </si>
  <si>
    <t xml:space="preserve"> LUCAS-MAQUIN </t>
  </si>
  <si>
    <t xml:space="preserve"> Beatrice </t>
  </si>
  <si>
    <t xml:space="preserve"> Myriam </t>
  </si>
  <si>
    <t xml:space="preserve"> Celine </t>
  </si>
  <si>
    <t xml:space="preserve"> Marie therese </t>
  </si>
  <si>
    <t xml:space="preserve"> Colette </t>
  </si>
  <si>
    <t xml:space="preserve"> Catherine </t>
  </si>
  <si>
    <t xml:space="preserve"> Martine </t>
  </si>
  <si>
    <t xml:space="preserve"> MOIGNEU </t>
  </si>
  <si>
    <t xml:space="preserve"> Michèle </t>
  </si>
  <si>
    <t xml:space="preserve"> MOLINS </t>
  </si>
  <si>
    <t xml:space="preserve"> Corine </t>
  </si>
  <si>
    <t xml:space="preserve"> BRUN CANOR </t>
  </si>
  <si>
    <t xml:space="preserve"> Veronique </t>
  </si>
  <si>
    <t xml:space="preserve"> CILLARD </t>
  </si>
  <si>
    <t xml:space="preserve"> Monique </t>
  </si>
  <si>
    <t xml:space="preserve"> BERGAMASCHI </t>
  </si>
  <si>
    <t xml:space="preserve"> BEAUMESNIL </t>
  </si>
  <si>
    <t xml:space="preserve"> Francoise </t>
  </si>
  <si>
    <t xml:space="preserve"> Claudie </t>
  </si>
  <si>
    <t xml:space="preserve"> Malory </t>
  </si>
  <si>
    <t xml:space="preserve"> Marie laure </t>
  </si>
  <si>
    <t xml:space="preserve"> M. bernadette </t>
  </si>
  <si>
    <t xml:space="preserve"> Céline </t>
  </si>
  <si>
    <t xml:space="preserve"> Stephanie </t>
  </si>
  <si>
    <t xml:space="preserve"> Gwenn </t>
  </si>
  <si>
    <t xml:space="preserve"> ZUCCO </t>
  </si>
  <si>
    <t xml:space="preserve"> LABASTE </t>
  </si>
  <si>
    <t xml:space="preserve"> Carine </t>
  </si>
  <si>
    <t xml:space="preserve"> Marie-laure </t>
  </si>
  <si>
    <t xml:space="preserve"> ZHOU </t>
  </si>
  <si>
    <t xml:space="preserve"> Jie </t>
  </si>
  <si>
    <t xml:space="preserve"> BONNEFOY-GRAILLOT </t>
  </si>
  <si>
    <t xml:space="preserve"> Maryse </t>
  </si>
  <si>
    <t xml:space="preserve"> Marie-geneviève </t>
  </si>
  <si>
    <t xml:space="preserve"> Cécile </t>
  </si>
  <si>
    <t xml:space="preserve"> Françoise </t>
  </si>
  <si>
    <t xml:space="preserve"> CORDELIER </t>
  </si>
  <si>
    <t xml:space="preserve"> Liliane </t>
  </si>
  <si>
    <t xml:space="preserve"> GUTH </t>
  </si>
  <si>
    <t xml:space="preserve"> Francine </t>
  </si>
  <si>
    <t xml:space="preserve"> Nadine </t>
  </si>
  <si>
    <t xml:space="preserve"> MARADEIX </t>
  </si>
  <si>
    <t xml:space="preserve"> SAMPEREZ </t>
  </si>
  <si>
    <t xml:space="preserve"> QUENIART </t>
  </si>
  <si>
    <t xml:space="preserve"> DARCHICOURT </t>
  </si>
  <si>
    <t xml:space="preserve"> Audrey </t>
  </si>
  <si>
    <t xml:space="preserve"> PILLIERE </t>
  </si>
  <si>
    <t xml:space="preserve"> Nicole </t>
  </si>
  <si>
    <t xml:space="preserve"> LONCKE </t>
  </si>
  <si>
    <t xml:space="preserve"> GRKOVIC </t>
  </si>
  <si>
    <t xml:space="preserve"> Danijela </t>
  </si>
  <si>
    <t xml:space="preserve"> Cecile </t>
  </si>
  <si>
    <t xml:space="preserve"> LAITENBERGER </t>
  </si>
  <si>
    <t xml:space="preserve"> Valeria </t>
  </si>
  <si>
    <t xml:space="preserve"> BAULU </t>
  </si>
  <si>
    <t xml:space="preserve"> Karine </t>
  </si>
  <si>
    <t xml:space="preserve"> PERCHOC - LE MEROUR </t>
  </si>
  <si>
    <t xml:space="preserve"> DUGACHARD </t>
  </si>
  <si>
    <t xml:space="preserve"> Maylis </t>
  </si>
  <si>
    <t xml:space="preserve"> Annabelle </t>
  </si>
  <si>
    <t xml:space="preserve"> Evelyne </t>
  </si>
  <si>
    <t xml:space="preserve"> Murielle </t>
  </si>
  <si>
    <t xml:space="preserve"> GONZALEZ DEL POZO </t>
  </si>
  <si>
    <t xml:space="preserve"> Anne gael </t>
  </si>
  <si>
    <t xml:space="preserve"> FILIPIAK </t>
  </si>
  <si>
    <t xml:space="preserve"> MERRER </t>
  </si>
  <si>
    <t xml:space="preserve"> Patricia </t>
  </si>
  <si>
    <t xml:space="preserve"> TOSSER </t>
  </si>
  <si>
    <t xml:space="preserve"> CASELLI </t>
  </si>
  <si>
    <t xml:space="preserve"> FLOQUET </t>
  </si>
  <si>
    <t xml:space="preserve"> Véronique </t>
  </si>
  <si>
    <t xml:space="preserve"> SIEUR </t>
  </si>
  <si>
    <t xml:space="preserve"> FRIRY </t>
  </si>
  <si>
    <t xml:space="preserve"> ANTONOFF </t>
  </si>
  <si>
    <t xml:space="preserve"> CHAMPROUX </t>
  </si>
  <si>
    <t xml:space="preserve"> LYSAK </t>
  </si>
  <si>
    <t xml:space="preserve"> Florence </t>
  </si>
  <si>
    <t xml:space="preserve"> D'ARBONNEAU </t>
  </si>
  <si>
    <t xml:space="preserve"> Marie hélène </t>
  </si>
  <si>
    <t xml:space="preserve"> Fabianna </t>
  </si>
  <si>
    <t xml:space="preserve"> Ludivine </t>
  </si>
  <si>
    <t xml:space="preserve"> Sabine </t>
  </si>
  <si>
    <t xml:space="preserve"> GUITEL </t>
  </si>
  <si>
    <t xml:space="preserve"> Johanne </t>
  </si>
  <si>
    <t xml:space="preserve"> FONTES </t>
  </si>
  <si>
    <t xml:space="preserve"> BERSAUTER </t>
  </si>
  <si>
    <t xml:space="preserve"> Jocelyne </t>
  </si>
  <si>
    <t xml:space="preserve"> Anne sophie </t>
  </si>
  <si>
    <t xml:space="preserve"> ARRONDEAU </t>
  </si>
  <si>
    <t xml:space="preserve"> TEISSET </t>
  </si>
  <si>
    <t xml:space="preserve"> Irène </t>
  </si>
  <si>
    <t xml:space="preserve"> PELSENEER </t>
  </si>
  <si>
    <t xml:space="preserve"> LACROIX-CLEMOT </t>
  </si>
  <si>
    <t xml:space="preserve"> SUEL </t>
  </si>
  <si>
    <t xml:space="preserve"> Marine </t>
  </si>
  <si>
    <t xml:space="preserve"> DUBOURDEAUX </t>
  </si>
  <si>
    <t xml:space="preserve"> Muriel </t>
  </si>
  <si>
    <t xml:space="preserve"> Christele </t>
  </si>
  <si>
    <t xml:space="preserve"> NERFIE-PURKART </t>
  </si>
  <si>
    <t xml:space="preserve"> Alexia </t>
  </si>
  <si>
    <t xml:space="preserve"> DUTREIX </t>
  </si>
  <si>
    <t xml:space="preserve"> Marie-armande </t>
  </si>
  <si>
    <t xml:space="preserve"> Odile </t>
  </si>
  <si>
    <t xml:space="preserve"> BESTEL </t>
  </si>
  <si>
    <t xml:space="preserve"> Sylvaine </t>
  </si>
  <si>
    <t xml:space="preserve"> HUYNH THI </t>
  </si>
  <si>
    <t xml:space="preserve"> Dieukhanh </t>
  </si>
  <si>
    <t xml:space="preserve"> Cathy </t>
  </si>
  <si>
    <t xml:space="preserve"> GREVIN </t>
  </si>
  <si>
    <t xml:space="preserve"> Anneline </t>
  </si>
  <si>
    <t xml:space="preserve"> DELATOUCHE </t>
  </si>
  <si>
    <t xml:space="preserve"> Nadia </t>
  </si>
  <si>
    <t xml:space="preserve"> MURATORI </t>
  </si>
  <si>
    <t xml:space="preserve"> Verica </t>
  </si>
  <si>
    <t xml:space="preserve"> Bérengère </t>
  </si>
  <si>
    <t xml:space="preserve"> Marilyne </t>
  </si>
  <si>
    <t xml:space="preserve"> Claudine </t>
  </si>
  <si>
    <t xml:space="preserve"> RAHARINOSY </t>
  </si>
  <si>
    <t xml:space="preserve"> Joëlle </t>
  </si>
  <si>
    <t xml:space="preserve"> Annick </t>
  </si>
  <si>
    <t xml:space="preserve"> Yveline </t>
  </si>
  <si>
    <t xml:space="preserve"> GANRY </t>
  </si>
  <si>
    <t xml:space="preserve"> LABLEE </t>
  </si>
  <si>
    <t xml:space="preserve"> Marylene </t>
  </si>
  <si>
    <t xml:space="preserve"> ZABOUT </t>
  </si>
  <si>
    <t xml:space="preserve"> CAPELLI COINTET </t>
  </si>
  <si>
    <t xml:space="preserve"> WALBECQ </t>
  </si>
  <si>
    <t xml:space="preserve"> Stéphanie </t>
  </si>
  <si>
    <t xml:space="preserve"> Gwenaelle </t>
  </si>
  <si>
    <t xml:space="preserve"> LOTODE </t>
  </si>
  <si>
    <t xml:space="preserve"> VETSEL </t>
  </si>
  <si>
    <t xml:space="preserve"> Anne-laure </t>
  </si>
  <si>
    <t xml:space="preserve"> GROSEIL </t>
  </si>
  <si>
    <t xml:space="preserve"> BURLE </t>
  </si>
  <si>
    <t xml:space="preserve"> LAPRESA </t>
  </si>
  <si>
    <t xml:space="preserve"> Donatella </t>
  </si>
  <si>
    <t xml:space="preserve"> KRESSER </t>
  </si>
  <si>
    <t xml:space="preserve"> Marie-dominique </t>
  </si>
  <si>
    <t xml:space="preserve"> Janine </t>
  </si>
  <si>
    <t xml:space="preserve"> Edith </t>
  </si>
  <si>
    <t xml:space="preserve"> Ratchaneewarn </t>
  </si>
  <si>
    <t xml:space="preserve"> Agnès </t>
  </si>
  <si>
    <t xml:space="preserve"> FRANQUELIN </t>
  </si>
  <si>
    <t xml:space="preserve"> Danielle </t>
  </si>
  <si>
    <t xml:space="preserve"> HALLER </t>
  </si>
  <si>
    <t xml:space="preserve"> BADOUX </t>
  </si>
  <si>
    <t xml:space="preserve"> POCHIC-COUASNON </t>
  </si>
  <si>
    <t xml:space="preserve"> ASSOUS </t>
  </si>
  <si>
    <t xml:space="preserve"> CALLAIS </t>
  </si>
  <si>
    <t xml:space="preserve"> BREHAULT-PUJOL </t>
  </si>
  <si>
    <t xml:space="preserve"> HORNBERGER </t>
  </si>
  <si>
    <t xml:space="preserve"> DISSANE </t>
  </si>
  <si>
    <t xml:space="preserve"> Hélène </t>
  </si>
  <si>
    <t xml:space="preserve"> Anne marie </t>
  </si>
  <si>
    <t xml:space="preserve"> BOILEAU-LIBAUD </t>
  </si>
  <si>
    <t xml:space="preserve"> Jennyfer </t>
  </si>
  <si>
    <t xml:space="preserve"> DEMAZEUX </t>
  </si>
  <si>
    <t xml:space="preserve"> TIAO </t>
  </si>
  <si>
    <t xml:space="preserve"> LE GRAS </t>
  </si>
  <si>
    <t xml:space="preserve"> Peggy </t>
  </si>
  <si>
    <t xml:space="preserve"> ARER </t>
  </si>
  <si>
    <t xml:space="preserve"> Christelle </t>
  </si>
  <si>
    <t xml:space="preserve"> KERGOURLAY </t>
  </si>
  <si>
    <t xml:space="preserve"> LIPPARELLI </t>
  </si>
  <si>
    <t xml:space="preserve"> Solange </t>
  </si>
  <si>
    <t xml:space="preserve"> SUBILEAU </t>
  </si>
  <si>
    <t xml:space="preserve"> TANVIER </t>
  </si>
  <si>
    <t xml:space="preserve"> Visita </t>
  </si>
  <si>
    <t xml:space="preserve"> DE FUSTER </t>
  </si>
  <si>
    <t xml:space="preserve"> BERGEOT </t>
  </si>
  <si>
    <t xml:space="preserve"> MEYRAN </t>
  </si>
  <si>
    <t xml:space="preserve"> CHARRUAUD </t>
  </si>
  <si>
    <t xml:space="preserve"> Angelique </t>
  </si>
  <si>
    <t xml:space="preserve"> LAGUNE </t>
  </si>
  <si>
    <t xml:space="preserve"> Blandine </t>
  </si>
  <si>
    <t xml:space="preserve"> PONZANELLI </t>
  </si>
  <si>
    <t xml:space="preserve"> Séverine </t>
  </si>
  <si>
    <t xml:space="preserve"> Marie-noëlle </t>
  </si>
  <si>
    <t xml:space="preserve"> VAUGEOIS </t>
  </si>
  <si>
    <t xml:space="preserve"> Clarisse </t>
  </si>
  <si>
    <t xml:space="preserve"> FOLLIN </t>
  </si>
  <si>
    <t xml:space="preserve"> Marianne </t>
  </si>
  <si>
    <t xml:space="preserve"> PONTILLE </t>
  </si>
  <si>
    <t xml:space="preserve"> FILLOU </t>
  </si>
  <si>
    <t xml:space="preserve"> Marie-christine </t>
  </si>
  <si>
    <t xml:space="preserve"> LECAL </t>
  </si>
  <si>
    <t xml:space="preserve"> LO BARTOLO </t>
  </si>
  <si>
    <t xml:space="preserve"> RALAIVAO </t>
  </si>
  <si>
    <t xml:space="preserve"> Lyne may </t>
  </si>
  <si>
    <t xml:space="preserve"> LE MEUTH </t>
  </si>
  <si>
    <t xml:space="preserve"> Germaine </t>
  </si>
  <si>
    <t xml:space="preserve"> DE SANTA BARBARA </t>
  </si>
  <si>
    <t xml:space="preserve"> Natacha </t>
  </si>
  <si>
    <t xml:space="preserve"> JEAN-JACQUES </t>
  </si>
  <si>
    <t xml:space="preserve"> Marie-pierre </t>
  </si>
  <si>
    <t xml:space="preserve"> CERINI-PHILIPPE </t>
  </si>
  <si>
    <t xml:space="preserve"> Marie </t>
  </si>
  <si>
    <t xml:space="preserve"> Paulette </t>
  </si>
  <si>
    <t xml:space="preserve"> MOUREY </t>
  </si>
  <si>
    <t xml:space="preserve"> Ane-lyse </t>
  </si>
  <si>
    <t xml:space="preserve"> Lida </t>
  </si>
  <si>
    <t xml:space="preserve"> CHENOT </t>
  </si>
  <si>
    <t xml:space="preserve"> Laurie </t>
  </si>
  <si>
    <t xml:space="preserve"> CHAMPEIL-DESPLATS </t>
  </si>
  <si>
    <t xml:space="preserve"> SOUVAY </t>
  </si>
  <si>
    <t xml:space="preserve"> GIANELLI </t>
  </si>
  <si>
    <t xml:space="preserve"> RIBOUCHON </t>
  </si>
  <si>
    <t xml:space="preserve"> HOURI </t>
  </si>
  <si>
    <t xml:space="preserve"> Chrystel </t>
  </si>
  <si>
    <t xml:space="preserve"> DELABORDE </t>
  </si>
  <si>
    <t xml:space="preserve"> LATIERE </t>
  </si>
  <si>
    <t xml:space="preserve"> BRUAND </t>
  </si>
  <si>
    <t xml:space="preserve"> Viviane </t>
  </si>
  <si>
    <t xml:space="preserve"> Armelle </t>
  </si>
  <si>
    <t xml:space="preserve"> LEREBOURS </t>
  </si>
  <si>
    <t xml:space="preserve"> Rosine </t>
  </si>
  <si>
    <t xml:space="preserve"> ALBEAU </t>
  </si>
  <si>
    <t xml:space="preserve"> Gaelle </t>
  </si>
  <si>
    <t xml:space="preserve"> CAZENEUVE </t>
  </si>
  <si>
    <t xml:space="preserve"> DORLEANS </t>
  </si>
  <si>
    <t xml:space="preserve"> VOUILLEMY </t>
  </si>
  <si>
    <t xml:space="preserve"> MOUCADEL </t>
  </si>
  <si>
    <t xml:space="preserve"> Sylvia </t>
  </si>
  <si>
    <t xml:space="preserve"> ROYAL </t>
  </si>
  <si>
    <t xml:space="preserve"> JUND </t>
  </si>
  <si>
    <t xml:space="preserve"> COMPAIN-METERAUD </t>
  </si>
  <si>
    <t xml:space="preserve"> Danièle </t>
  </si>
  <si>
    <t xml:space="preserve"> DESBRINI </t>
  </si>
  <si>
    <t xml:space="preserve"> Tania </t>
  </si>
  <si>
    <t xml:space="preserve"> LAURENT RAIFORD </t>
  </si>
  <si>
    <t xml:space="preserve"> Marie jo </t>
  </si>
  <si>
    <t xml:space="preserve"> Minaz </t>
  </si>
  <si>
    <t xml:space="preserve"> Sandra </t>
  </si>
  <si>
    <t xml:space="preserve"> Maryannick </t>
  </si>
  <si>
    <t xml:space="preserve"> GIACOBBI </t>
  </si>
  <si>
    <t xml:space="preserve"> Jenny anne </t>
  </si>
  <si>
    <t xml:space="preserve"> DOGNETON </t>
  </si>
  <si>
    <t xml:space="preserve"> BOURACHON </t>
  </si>
  <si>
    <t xml:space="preserve"> Laure </t>
  </si>
  <si>
    <t xml:space="preserve"> PILOT </t>
  </si>
  <si>
    <t xml:space="preserve"> Marie-cecile </t>
  </si>
  <si>
    <t xml:space="preserve"> BOLIVEAU </t>
  </si>
  <si>
    <t xml:space="preserve"> DUGUEPERROUX </t>
  </si>
  <si>
    <t xml:space="preserve"> GALLENNE </t>
  </si>
  <si>
    <t xml:space="preserve"> Marie line </t>
  </si>
  <si>
    <t xml:space="preserve"> CICERON </t>
  </si>
  <si>
    <t xml:space="preserve"> Alexandra </t>
  </si>
  <si>
    <t xml:space="preserve"> PIERONI </t>
  </si>
  <si>
    <t xml:space="preserve"> LECACHEY </t>
  </si>
  <si>
    <t xml:space="preserve"> Geneviève </t>
  </si>
  <si>
    <t xml:space="preserve"> RODRIGUES DA SILVA </t>
  </si>
  <si>
    <t xml:space="preserve"> RAPY </t>
  </si>
  <si>
    <t xml:space="preserve"> Estelle </t>
  </si>
  <si>
    <t xml:space="preserve"> Laëtitia </t>
  </si>
  <si>
    <t xml:space="preserve"> GAGNEPAIN </t>
  </si>
  <si>
    <t xml:space="preserve"> SOURISSEAU </t>
  </si>
  <si>
    <t xml:space="preserve"> VIGUIE-MARTIN </t>
  </si>
  <si>
    <t xml:space="preserve"> LAMBERON </t>
  </si>
  <si>
    <t xml:space="preserve"> FAVIERE </t>
  </si>
  <si>
    <t xml:space="preserve"> Lydie </t>
  </si>
  <si>
    <t xml:space="preserve"> NEROZZI </t>
  </si>
  <si>
    <t xml:space="preserve"> Annabel </t>
  </si>
  <si>
    <t xml:space="preserve"> SOLEIMANI </t>
  </si>
  <si>
    <t xml:space="preserve"> Violaine </t>
  </si>
  <si>
    <t xml:space="preserve"> JOWYK </t>
  </si>
  <si>
    <t xml:space="preserve"> Ghislaine </t>
  </si>
  <si>
    <t xml:space="preserve"> TOULMONDE </t>
  </si>
  <si>
    <t xml:space="preserve"> SOEUR </t>
  </si>
  <si>
    <t xml:space="preserve"> Nadege </t>
  </si>
  <si>
    <t xml:space="preserve"> CIEUR </t>
  </si>
  <si>
    <t xml:space="preserve"> GONCU </t>
  </si>
  <si>
    <t xml:space="preserve"> Sylvette </t>
  </si>
  <si>
    <t xml:space="preserve"> BLANQUIE </t>
  </si>
  <si>
    <t xml:space="preserve"> RICATTE </t>
  </si>
  <si>
    <t xml:space="preserve"> Therese </t>
  </si>
  <si>
    <t xml:space="preserve"> TRAVES </t>
  </si>
  <si>
    <t xml:space="preserve"> DALTIN </t>
  </si>
  <si>
    <t xml:space="preserve"> Marie-josé </t>
  </si>
  <si>
    <t xml:space="preserve"> TOSKA </t>
  </si>
  <si>
    <t xml:space="preserve"> Julieta </t>
  </si>
  <si>
    <t xml:space="preserve"> Marie-jeanne </t>
  </si>
  <si>
    <t xml:space="preserve"> Betty </t>
  </si>
  <si>
    <t xml:space="preserve"> BALLATORE </t>
  </si>
  <si>
    <t xml:space="preserve"> ANDRIAMBELO </t>
  </si>
  <si>
    <t xml:space="preserve"> Manitra </t>
  </si>
  <si>
    <t xml:space="preserve"> Pierrette </t>
  </si>
  <si>
    <t xml:space="preserve"> Agnes </t>
  </si>
  <si>
    <t xml:space="preserve"> Marie-helene </t>
  </si>
  <si>
    <t xml:space="preserve"> DUPARD-KLEIJN </t>
  </si>
  <si>
    <t xml:space="preserve"> ROELANDT </t>
  </si>
  <si>
    <t xml:space="preserve"> TREINEN </t>
  </si>
  <si>
    <t xml:space="preserve"> Claudette </t>
  </si>
  <si>
    <t xml:space="preserve"> Marie-astrid </t>
  </si>
  <si>
    <t xml:space="preserve"> BLATEYRON </t>
  </si>
  <si>
    <t xml:space="preserve"> NAMIK </t>
  </si>
  <si>
    <t xml:space="preserve"> GICQUIAUD </t>
  </si>
  <si>
    <t xml:space="preserve"> Sonia </t>
  </si>
  <si>
    <t xml:space="preserve"> ROUIBAH </t>
  </si>
  <si>
    <t xml:space="preserve"> Lysiane </t>
  </si>
  <si>
    <t xml:space="preserve"> CASAJUS </t>
  </si>
  <si>
    <t xml:space="preserve"> Marie-paule </t>
  </si>
  <si>
    <t xml:space="preserve"> AUROUET </t>
  </si>
  <si>
    <t xml:space="preserve"> VILAINE </t>
  </si>
  <si>
    <t xml:space="preserve"> Marie-thérèse </t>
  </si>
  <si>
    <t xml:space="preserve"> Lidewij </t>
  </si>
  <si>
    <t xml:space="preserve"> Claudia </t>
  </si>
  <si>
    <t xml:space="preserve"> CHEVRIAU </t>
  </si>
  <si>
    <t xml:space="preserve"> Christiane </t>
  </si>
  <si>
    <t xml:space="preserve"> Mireille </t>
  </si>
  <si>
    <t xml:space="preserve"> Malaurie </t>
  </si>
  <si>
    <t xml:space="preserve"> MERLY </t>
  </si>
  <si>
    <t xml:space="preserve"> BARNAULT </t>
  </si>
  <si>
    <t xml:space="preserve"> LEBAILLEUR-LACAGE </t>
  </si>
  <si>
    <t xml:space="preserve"> PISOWICZ </t>
  </si>
  <si>
    <t xml:space="preserve"> LASSON </t>
  </si>
  <si>
    <t xml:space="preserve"> LAGUENS-CHELLE </t>
  </si>
  <si>
    <t xml:space="preserve"> Régine </t>
  </si>
  <si>
    <t xml:space="preserve"> PIRCHER-DEBRY </t>
  </si>
  <si>
    <t xml:space="preserve"> Renée </t>
  </si>
  <si>
    <t xml:space="preserve"> HOUOT </t>
  </si>
  <si>
    <t xml:space="preserve"> Anne gaelle </t>
  </si>
  <si>
    <t xml:space="preserve"> NOYEL </t>
  </si>
  <si>
    <t xml:space="preserve"> TAPON </t>
  </si>
  <si>
    <t xml:space="preserve"> GOUTHIER </t>
  </si>
  <si>
    <t xml:space="preserve"> SCHWEYER </t>
  </si>
  <si>
    <t xml:space="preserve"> Fanny </t>
  </si>
  <si>
    <t xml:space="preserve"> Txia </t>
  </si>
  <si>
    <t xml:space="preserve"> ROUILLERE </t>
  </si>
  <si>
    <t xml:space="preserve"> DUBOSC </t>
  </si>
  <si>
    <t xml:space="preserve"> BILLON LANFRAY </t>
  </si>
  <si>
    <t xml:space="preserve"> Marie josé </t>
  </si>
  <si>
    <t xml:space="preserve"> Joceleine </t>
  </si>
  <si>
    <t xml:space="preserve"> MIAS </t>
  </si>
  <si>
    <t xml:space="preserve"> ASSOULINE </t>
  </si>
  <si>
    <t xml:space="preserve"> PAILLE-BARRERE </t>
  </si>
  <si>
    <t xml:space="preserve"> Suzanne </t>
  </si>
  <si>
    <t xml:space="preserve"> PHAROSE </t>
  </si>
  <si>
    <t xml:space="preserve"> HADADOU </t>
  </si>
  <si>
    <t xml:space="preserve"> Malika </t>
  </si>
  <si>
    <t xml:space="preserve"> EPIARD </t>
  </si>
  <si>
    <t xml:space="preserve"> Ly quyen </t>
  </si>
  <si>
    <t xml:space="preserve"> NYKOLYSZAK </t>
  </si>
  <si>
    <t xml:space="preserve"> Frédérique </t>
  </si>
  <si>
    <t xml:space="preserve"> BOBILLIER </t>
  </si>
  <si>
    <t xml:space="preserve"> Ghyslaine </t>
  </si>
  <si>
    <t xml:space="preserve"> MANZONI </t>
  </si>
  <si>
    <t xml:space="preserve"> PAULY </t>
  </si>
  <si>
    <t xml:space="preserve"> Marie-rose </t>
  </si>
  <si>
    <t xml:space="preserve"> BASSEREAU </t>
  </si>
  <si>
    <t xml:space="preserve"> CHANE BEN CHEIN </t>
  </si>
  <si>
    <t xml:space="preserve"> LAPICQUE </t>
  </si>
  <si>
    <t xml:space="preserve"> FONVIEILLE </t>
  </si>
  <si>
    <t xml:space="preserve"> ZANASI - BERTIN </t>
  </si>
  <si>
    <t xml:space="preserve"> SOLET </t>
  </si>
  <si>
    <t xml:space="preserve"> Lucette </t>
  </si>
  <si>
    <t xml:space="preserve"> Anne-sophie </t>
  </si>
  <si>
    <t xml:space="preserve"> BRIAU </t>
  </si>
  <si>
    <t xml:space="preserve"> SELIGOUR </t>
  </si>
  <si>
    <t xml:space="preserve"> Anne pascale </t>
  </si>
  <si>
    <t xml:space="preserve"> HENRI </t>
  </si>
  <si>
    <t xml:space="preserve"> Aline </t>
  </si>
  <si>
    <t xml:space="preserve"> TAULLE </t>
  </si>
  <si>
    <t xml:space="preserve"> BONIZEC </t>
  </si>
  <si>
    <t xml:space="preserve"> WIPF </t>
  </si>
  <si>
    <t xml:space="preserve"> Mallory </t>
  </si>
  <si>
    <t xml:space="preserve"> SINGUERLÉ FRIART </t>
  </si>
  <si>
    <t xml:space="preserve"> Line </t>
  </si>
  <si>
    <t xml:space="preserve"> DESJONQUERES </t>
  </si>
  <si>
    <t xml:space="preserve"> Marie-françoise </t>
  </si>
  <si>
    <t xml:space="preserve"> MODERY </t>
  </si>
  <si>
    <t xml:space="preserve"> Beata </t>
  </si>
  <si>
    <t xml:space="preserve"> GERVIN </t>
  </si>
  <si>
    <t xml:space="preserve"> GUERAULT </t>
  </si>
  <si>
    <t xml:space="preserve"> RABIAN </t>
  </si>
  <si>
    <t xml:space="preserve"> Sabrina </t>
  </si>
  <si>
    <t xml:space="preserve"> CHANU </t>
  </si>
  <si>
    <t xml:space="preserve"> LARDANT </t>
  </si>
  <si>
    <t xml:space="preserve"> PAINCHAUD </t>
  </si>
  <si>
    <t xml:space="preserve"> BANCO </t>
  </si>
  <si>
    <t xml:space="preserve"> Antje </t>
  </si>
  <si>
    <t xml:space="preserve"> DROALEN </t>
  </si>
  <si>
    <t xml:space="preserve"> Marie-claude </t>
  </si>
  <si>
    <t xml:space="preserve"> Josiane </t>
  </si>
  <si>
    <t xml:space="preserve"> Ginette </t>
  </si>
  <si>
    <t xml:space="preserve"> Benédicte </t>
  </si>
  <si>
    <t xml:space="preserve"> GONDRY </t>
  </si>
  <si>
    <t xml:space="preserve"> Mikaëlle </t>
  </si>
  <si>
    <t xml:space="preserve"> CHABASSE </t>
  </si>
  <si>
    <t xml:space="preserve"> Marie-noelle </t>
  </si>
  <si>
    <t xml:space="preserve"> Anita </t>
  </si>
  <si>
    <t xml:space="preserve"> Jeannine </t>
  </si>
  <si>
    <t xml:space="preserve"> VIALLA DE SOLEYROL </t>
  </si>
  <si>
    <t xml:space="preserve"> ALY-BERIL </t>
  </si>
  <si>
    <t xml:space="preserve"> DELBECQUE </t>
  </si>
  <si>
    <t xml:space="preserve"> BALLON </t>
  </si>
  <si>
    <t xml:space="preserve"> MILBEAU </t>
  </si>
  <si>
    <t xml:space="preserve"> Marilyn </t>
  </si>
  <si>
    <t xml:space="preserve"> SAVAN </t>
  </si>
  <si>
    <t xml:space="preserve"> Vuthny </t>
  </si>
  <si>
    <t xml:space="preserve"> Marie noelle </t>
  </si>
  <si>
    <t xml:space="preserve"> Julie </t>
  </si>
  <si>
    <t xml:space="preserve"> CAVICCHI </t>
  </si>
  <si>
    <t xml:space="preserve"> CHEVASSIER </t>
  </si>
  <si>
    <t xml:space="preserve"> UDOVC </t>
  </si>
  <si>
    <t xml:space="preserve"> DORDE </t>
  </si>
  <si>
    <t xml:space="preserve"> Lise </t>
  </si>
  <si>
    <t xml:space="preserve"> VILANOVA </t>
  </si>
  <si>
    <t xml:space="preserve"> Cherryl </t>
  </si>
  <si>
    <t xml:space="preserve"> HEURTIER </t>
  </si>
  <si>
    <t xml:space="preserve"> Marie helene </t>
  </si>
  <si>
    <t xml:space="preserve"> DELIN </t>
  </si>
  <si>
    <t xml:space="preserve"> SIREAU-GOSSIAUX </t>
  </si>
  <si>
    <t xml:space="preserve"> DELCAMBRE </t>
  </si>
  <si>
    <t xml:space="preserve"> BIDABE </t>
  </si>
  <si>
    <t xml:space="preserve"> Nadège </t>
  </si>
  <si>
    <t xml:space="preserve"> DE PAULI </t>
  </si>
  <si>
    <t xml:space="preserve"> LANGOUET </t>
  </si>
  <si>
    <t xml:space="preserve"> FRANGVILLE </t>
  </si>
  <si>
    <t xml:space="preserve"> CROCE </t>
  </si>
  <si>
    <t xml:space="preserve"> CHARDONNET </t>
  </si>
  <si>
    <t xml:space="preserve"> GELIBERT </t>
  </si>
  <si>
    <t xml:space="preserve"> Joelle </t>
  </si>
  <si>
    <t xml:space="preserve"> BENSAHA-RAYBAUD </t>
  </si>
  <si>
    <t xml:space="preserve"> Lydia </t>
  </si>
  <si>
    <t xml:space="preserve"> COUZINOU </t>
  </si>
  <si>
    <t xml:space="preserve"> Michele </t>
  </si>
  <si>
    <t xml:space="preserve"> ROEHM </t>
  </si>
  <si>
    <t xml:space="preserve"> MUZIOT </t>
  </si>
  <si>
    <t xml:space="preserve"> PARAVY </t>
  </si>
  <si>
    <t xml:space="preserve"> JOURNET </t>
  </si>
  <si>
    <t xml:space="preserve"> DELPLANQUE </t>
  </si>
  <si>
    <t xml:space="preserve"> HEREUS </t>
  </si>
  <si>
    <t xml:space="preserve"> Arlette </t>
  </si>
  <si>
    <t xml:space="preserve"> Rosaline </t>
  </si>
  <si>
    <t xml:space="preserve"> COURDAVAULT </t>
  </si>
  <si>
    <t xml:space="preserve"> CONSTANT MORAND </t>
  </si>
  <si>
    <t xml:space="preserve"> BEAUGHON </t>
  </si>
  <si>
    <t xml:space="preserve"> PERICAT </t>
  </si>
  <si>
    <t xml:space="preserve"> Anne-marie </t>
  </si>
  <si>
    <t xml:space="preserve"> OSSADON </t>
  </si>
  <si>
    <t xml:space="preserve"> CHAMALOT </t>
  </si>
  <si>
    <t xml:space="preserve"> Julienne </t>
  </si>
  <si>
    <t xml:space="preserve"> KONIEZNA </t>
  </si>
  <si>
    <t xml:space="preserve"> EHM </t>
  </si>
  <si>
    <t xml:space="preserve"> BOUILLOD </t>
  </si>
  <si>
    <t xml:space="preserve"> JAUSET </t>
  </si>
  <si>
    <t xml:space="preserve"> M.therese </t>
  </si>
  <si>
    <t xml:space="preserve"> LANSON </t>
  </si>
  <si>
    <t xml:space="preserve"> LANOË </t>
  </si>
  <si>
    <t xml:space="preserve"> ZAEHRINGER </t>
  </si>
  <si>
    <t xml:space="preserve"> DAGNA </t>
  </si>
  <si>
    <t xml:space="preserve"> CROST </t>
  </si>
  <si>
    <t xml:space="preserve"> SIRGAND </t>
  </si>
  <si>
    <t xml:space="preserve"> THIEVIN </t>
  </si>
  <si>
    <t xml:space="preserve"> DUET </t>
  </si>
  <si>
    <t xml:space="preserve"> Lucile </t>
  </si>
  <si>
    <t xml:space="preserve"> GAS </t>
  </si>
  <si>
    <t xml:space="preserve"> Lauriane </t>
  </si>
  <si>
    <t xml:space="preserve"> CHOAY </t>
  </si>
  <si>
    <t xml:space="preserve"> CAYLA DESTHIEUX </t>
  </si>
  <si>
    <t xml:space="preserve"> Marie-francoise </t>
  </si>
  <si>
    <t xml:space="preserve"> Maryvonne </t>
  </si>
  <si>
    <t xml:space="preserve"> MEENS </t>
  </si>
  <si>
    <t xml:space="preserve"> Annette </t>
  </si>
  <si>
    <t xml:space="preserve"> LOLLIER </t>
  </si>
  <si>
    <t xml:space="preserve"> RAMANANA-RAHARY </t>
  </si>
  <si>
    <t xml:space="preserve"> Suzy </t>
  </si>
  <si>
    <t xml:space="preserve"> BAULIER </t>
  </si>
  <si>
    <t xml:space="preserve"> ROERE </t>
  </si>
  <si>
    <t xml:space="preserve"> Angela </t>
  </si>
  <si>
    <t xml:space="preserve"> REYDET </t>
  </si>
  <si>
    <t xml:space="preserve"> ESCALIER </t>
  </si>
  <si>
    <t xml:space="preserve"> Marie andree </t>
  </si>
  <si>
    <t xml:space="preserve"> VASSE </t>
  </si>
  <si>
    <t xml:space="preserve"> ZEHNER </t>
  </si>
  <si>
    <t xml:space="preserve"> Ivonne </t>
  </si>
  <si>
    <t xml:space="preserve"> PLAI </t>
  </si>
  <si>
    <t xml:space="preserve"> MERCOU </t>
  </si>
  <si>
    <t xml:space="preserve"> Ingrid </t>
  </si>
  <si>
    <t xml:space="preserve"> Noelle </t>
  </si>
  <si>
    <t xml:space="preserve"> LLULL </t>
  </si>
  <si>
    <t xml:space="preserve"> BOXHO </t>
  </si>
  <si>
    <t xml:space="preserve"> Cam-phuong </t>
  </si>
  <si>
    <t xml:space="preserve"> Sévérine </t>
  </si>
  <si>
    <t xml:space="preserve"> RIOLLET </t>
  </si>
  <si>
    <t xml:space="preserve"> Karelle </t>
  </si>
  <si>
    <t xml:space="preserve"> PAPOT </t>
  </si>
  <si>
    <t xml:space="preserve"> DIANI </t>
  </si>
  <si>
    <t xml:space="preserve"> Marie-ange </t>
  </si>
  <si>
    <t xml:space="preserve"> BOSSOUTROT </t>
  </si>
  <si>
    <t xml:space="preserve"> PELAUT </t>
  </si>
  <si>
    <t xml:space="preserve"> BROSSEL </t>
  </si>
  <si>
    <t xml:space="preserve"> DIVERREZ </t>
  </si>
  <si>
    <t xml:space="preserve"> BINDAULT </t>
  </si>
  <si>
    <t xml:space="preserve"> Jacqueline </t>
  </si>
  <si>
    <t xml:space="preserve"> GARREL </t>
  </si>
  <si>
    <t xml:space="preserve"> FAUCHILLE </t>
  </si>
  <si>
    <t xml:space="preserve"> BOURET </t>
  </si>
  <si>
    <t xml:space="preserve"> Michelle </t>
  </si>
  <si>
    <t xml:space="preserve"> VALANCHON </t>
  </si>
  <si>
    <t xml:space="preserve"> PAPILLON </t>
  </si>
  <si>
    <t xml:space="preserve"> BELIN </t>
  </si>
  <si>
    <t xml:space="preserve"> Chang tho </t>
  </si>
  <si>
    <t xml:space="preserve"> TILMANT </t>
  </si>
  <si>
    <t xml:space="preserve"> Maryline </t>
  </si>
  <si>
    <t xml:space="preserve"> DE SAINT ROMAN </t>
  </si>
  <si>
    <t xml:space="preserve"> Marie-alice </t>
  </si>
  <si>
    <t xml:space="preserve"> BURGOT </t>
  </si>
  <si>
    <t xml:space="preserve"> FAZILLEAU </t>
  </si>
  <si>
    <t xml:space="preserve"> DAIRE </t>
  </si>
  <si>
    <t xml:space="preserve"> RALUY </t>
  </si>
  <si>
    <t xml:space="preserve"> Marguerite </t>
  </si>
  <si>
    <t xml:space="preserve"> BARDONNET </t>
  </si>
  <si>
    <t xml:space="preserve"> NUNES DE SOUSA </t>
  </si>
  <si>
    <t xml:space="preserve"> Lucinda </t>
  </si>
  <si>
    <t xml:space="preserve"> BEAUMONT-BESNARD </t>
  </si>
  <si>
    <t xml:space="preserve"> GONNY </t>
  </si>
  <si>
    <t xml:space="preserve"> Renee </t>
  </si>
  <si>
    <t xml:space="preserve"> MOULIA </t>
  </si>
  <si>
    <t xml:space="preserve"> HOLL </t>
  </si>
  <si>
    <t xml:space="preserve"> MALENFER </t>
  </si>
  <si>
    <t xml:space="preserve"> GOURDAIN </t>
  </si>
  <si>
    <t xml:space="preserve"> BOURIAU </t>
  </si>
  <si>
    <t xml:space="preserve"> Yvette </t>
  </si>
  <si>
    <t xml:space="preserve"> MONEGO </t>
  </si>
  <si>
    <t xml:space="preserve"> DEMAGNY </t>
  </si>
  <si>
    <t xml:space="preserve"> LE LONG </t>
  </si>
  <si>
    <t xml:space="preserve"> PALMINO </t>
  </si>
  <si>
    <t xml:space="preserve"> Beate </t>
  </si>
  <si>
    <t xml:space="preserve"> ANDUJAR </t>
  </si>
  <si>
    <t xml:space="preserve"> GOSSART </t>
  </si>
  <si>
    <t xml:space="preserve"> BEAUDUCEAU </t>
  </si>
  <si>
    <t xml:space="preserve"> TENET </t>
  </si>
  <si>
    <t xml:space="preserve"> Madeleine </t>
  </si>
  <si>
    <t xml:space="preserve"> CHAMBIN </t>
  </si>
  <si>
    <t xml:space="preserve"> MENICHETTI </t>
  </si>
  <si>
    <t xml:space="preserve"> MUSELET </t>
  </si>
  <si>
    <t xml:space="preserve"> GUILLEN </t>
  </si>
  <si>
    <t xml:space="preserve"> Marie-jose </t>
  </si>
  <si>
    <t xml:space="preserve"> CHABASSIERE </t>
  </si>
  <si>
    <t xml:space="preserve"> WITTORSKI </t>
  </si>
  <si>
    <t xml:space="preserve"> Astride </t>
  </si>
  <si>
    <t xml:space="preserve"> Aurélie </t>
  </si>
  <si>
    <t xml:space="preserve"> SCHLEININGER </t>
  </si>
  <si>
    <t xml:space="preserve"> Benedicte </t>
  </si>
  <si>
    <t xml:space="preserve"> AUDEMARD </t>
  </si>
  <si>
    <t xml:space="preserve"> PEREIRADEVASCONCELOS </t>
  </si>
  <si>
    <t xml:space="preserve"> Yolaine </t>
  </si>
  <si>
    <t xml:space="preserve"> BOULARAND PLANCHE </t>
  </si>
  <si>
    <t xml:space="preserve"> RASTETTER </t>
  </si>
  <si>
    <t xml:space="preserve"> Marie thérèse </t>
  </si>
  <si>
    <t xml:space="preserve"> KEZDI </t>
  </si>
  <si>
    <t xml:space="preserve"> Eleonora </t>
  </si>
  <si>
    <t xml:space="preserve"> DI GIORGI </t>
  </si>
  <si>
    <t xml:space="preserve"> MINART </t>
  </si>
  <si>
    <t xml:space="preserve"> Angélique </t>
  </si>
  <si>
    <t xml:space="preserve"> SASSIAT </t>
  </si>
  <si>
    <t xml:space="preserve"> HERICHARD </t>
  </si>
  <si>
    <t xml:space="preserve"> Gabriele </t>
  </si>
  <si>
    <t xml:space="preserve"> Gaëlle </t>
  </si>
  <si>
    <t xml:space="preserve"> Celia </t>
  </si>
  <si>
    <t xml:space="preserve"> MASSELOT REDOLFI </t>
  </si>
  <si>
    <t xml:space="preserve"> ZALTZMAN </t>
  </si>
  <si>
    <t xml:space="preserve"> Odesse </t>
  </si>
  <si>
    <t xml:space="preserve"> SEELWEGER </t>
  </si>
  <si>
    <t xml:space="preserve"> SCHIER </t>
  </si>
  <si>
    <t xml:space="preserve"> Katell </t>
  </si>
  <si>
    <t xml:space="preserve"> LEMMET </t>
  </si>
  <si>
    <t xml:space="preserve"> LE NECHET </t>
  </si>
  <si>
    <t xml:space="preserve"> HARTOUT </t>
  </si>
  <si>
    <t xml:space="preserve"> GRANDGEORGE </t>
  </si>
  <si>
    <t xml:space="preserve"> GARDELLA </t>
  </si>
  <si>
    <t xml:space="preserve"> Marta </t>
  </si>
  <si>
    <t xml:space="preserve"> MAHIER </t>
  </si>
  <si>
    <t xml:space="preserve"> GADELLE </t>
  </si>
  <si>
    <t xml:space="preserve"> CAMPILLO </t>
  </si>
  <si>
    <t xml:space="preserve"> ANTRIG </t>
  </si>
  <si>
    <t xml:space="preserve"> Clotilde </t>
  </si>
  <si>
    <t xml:space="preserve"> WATERLOT </t>
  </si>
  <si>
    <t xml:space="preserve"> NGUYEN THAC </t>
  </si>
  <si>
    <t xml:space="preserve"> Thanh huyen </t>
  </si>
  <si>
    <t xml:space="preserve"> BILLAT </t>
  </si>
  <si>
    <t xml:space="preserve"> SZABADI </t>
  </si>
  <si>
    <t xml:space="preserve"> Aude </t>
  </si>
  <si>
    <t xml:space="preserve"> BUAT </t>
  </si>
  <si>
    <t xml:space="preserve"> SALOMOVICI </t>
  </si>
  <si>
    <t xml:space="preserve"> Elise </t>
  </si>
  <si>
    <t xml:space="preserve"> BRAMBILLA </t>
  </si>
  <si>
    <t xml:space="preserve"> ROBERT-PEAULT </t>
  </si>
  <si>
    <t xml:space="preserve"> DEUSCHER </t>
  </si>
  <si>
    <t xml:space="preserve"> CAVALIN </t>
  </si>
  <si>
    <t xml:space="preserve"> SIWECKI </t>
  </si>
  <si>
    <t xml:space="preserve"> LINGAT </t>
  </si>
  <si>
    <t xml:space="preserve"> MAVIGNER </t>
  </si>
  <si>
    <t xml:space="preserve"> MAZUE-MEUNIER </t>
  </si>
  <si>
    <t xml:space="preserve"> ROUDIERE </t>
  </si>
  <si>
    <t xml:space="preserve"> Honorine </t>
  </si>
  <si>
    <t xml:space="preserve"> LISSE </t>
  </si>
  <si>
    <t xml:space="preserve"> Marie-claire </t>
  </si>
  <si>
    <t xml:space="preserve"> Irene </t>
  </si>
  <si>
    <t xml:space="preserve"> LE BIGOT </t>
  </si>
  <si>
    <t xml:space="preserve"> GALIAY </t>
  </si>
  <si>
    <t xml:space="preserve"> PAIRON </t>
  </si>
  <si>
    <t xml:space="preserve"> LABACH </t>
  </si>
  <si>
    <t xml:space="preserve"> MADRIGAL </t>
  </si>
  <si>
    <t xml:space="preserve"> DUBIEF </t>
  </si>
  <si>
    <t xml:space="preserve"> MENDIGUIA </t>
  </si>
  <si>
    <t xml:space="preserve"> Huguette </t>
  </si>
  <si>
    <t xml:space="preserve"> NIGEN </t>
  </si>
  <si>
    <t xml:space="preserve"> SALAS </t>
  </si>
  <si>
    <t xml:space="preserve"> Gisele </t>
  </si>
  <si>
    <t xml:space="preserve"> LACHOT </t>
  </si>
  <si>
    <t xml:space="preserve"> ROUSSIN </t>
  </si>
  <si>
    <t xml:space="preserve"> Cindy </t>
  </si>
  <si>
    <t xml:space="preserve"> Mélanie </t>
  </si>
  <si>
    <t xml:space="preserve"> YVERNAY </t>
  </si>
  <si>
    <t xml:space="preserve"> Melanie </t>
  </si>
  <si>
    <t xml:space="preserve"> LECARDONNEL </t>
  </si>
  <si>
    <t xml:space="preserve"> HUETTER </t>
  </si>
  <si>
    <t xml:space="preserve"> DE ROBICHON </t>
  </si>
  <si>
    <t xml:space="preserve"> Bernadette </t>
  </si>
  <si>
    <t xml:space="preserve"> GENIES </t>
  </si>
  <si>
    <t xml:space="preserve"> Teresa </t>
  </si>
  <si>
    <t xml:space="preserve"> THORE </t>
  </si>
  <si>
    <t xml:space="preserve"> BOIVEAU </t>
  </si>
  <si>
    <t xml:space="preserve"> FERRAM </t>
  </si>
  <si>
    <t xml:space="preserve"> Marie-elisabeth </t>
  </si>
  <si>
    <t xml:space="preserve"> LOYRION </t>
  </si>
  <si>
    <t xml:space="preserve"> PARREIN </t>
  </si>
  <si>
    <t xml:space="preserve"> Adeline </t>
  </si>
  <si>
    <t xml:space="preserve"> SUUN </t>
  </si>
  <si>
    <t xml:space="preserve"> DRANE </t>
  </si>
  <si>
    <t xml:space="preserve"> Berthe raymonde </t>
  </si>
  <si>
    <t xml:space="preserve"> MORISSON </t>
  </si>
  <si>
    <t xml:space="preserve"> PERTUISEL </t>
  </si>
  <si>
    <t xml:space="preserve"> LUSSIEZ </t>
  </si>
  <si>
    <t xml:space="preserve"> GEAIX </t>
  </si>
  <si>
    <t xml:space="preserve"> GELLIBERT </t>
  </si>
  <si>
    <t xml:space="preserve"> Luce </t>
  </si>
  <si>
    <t xml:space="preserve"> SEGALA </t>
  </si>
  <si>
    <t xml:space="preserve"> BUTHAUD </t>
  </si>
  <si>
    <t xml:space="preserve"> DEVILLEZ </t>
  </si>
  <si>
    <t xml:space="preserve"> Jessie </t>
  </si>
  <si>
    <t xml:space="preserve"> FAGIS </t>
  </si>
  <si>
    <t xml:space="preserve"> DURASSIER </t>
  </si>
  <si>
    <t xml:space="preserve"> HAMELET </t>
  </si>
  <si>
    <t xml:space="preserve"> BELOUIN </t>
  </si>
  <si>
    <t xml:space="preserve"> VALLOBRA </t>
  </si>
  <si>
    <t xml:space="preserve"> Vinciane </t>
  </si>
  <si>
    <t xml:space="preserve"> RAKOTOMALALA </t>
  </si>
  <si>
    <t xml:space="preserve"> VANLERBERGHE </t>
  </si>
  <si>
    <t xml:space="preserve"> VALPREMIT </t>
  </si>
  <si>
    <t xml:space="preserve"> Marie odile </t>
  </si>
  <si>
    <t xml:space="preserve"> HOUSER </t>
  </si>
  <si>
    <t xml:space="preserve"> Linda </t>
  </si>
  <si>
    <t xml:space="preserve"> ESPERN </t>
  </si>
  <si>
    <t xml:space="preserve"> LECOIN </t>
  </si>
  <si>
    <t xml:space="preserve"> Tomoko </t>
  </si>
  <si>
    <t xml:space="preserve"> SEVENE DECOURT </t>
  </si>
  <si>
    <t xml:space="preserve"> LEPINAY </t>
  </si>
  <si>
    <t xml:space="preserve"> Mathilde </t>
  </si>
  <si>
    <t xml:space="preserve"> ANCINON </t>
  </si>
  <si>
    <t xml:space="preserve"> VIRAG </t>
  </si>
  <si>
    <t xml:space="preserve"> ALGOET </t>
  </si>
  <si>
    <t xml:space="preserve"> DAFNIET </t>
  </si>
  <si>
    <t xml:space="preserve"> BRAILLON </t>
  </si>
  <si>
    <t xml:space="preserve"> POIT </t>
  </si>
  <si>
    <t xml:space="preserve"> Marie-agnès </t>
  </si>
  <si>
    <t xml:space="preserve"> SALVADORI </t>
  </si>
  <si>
    <t xml:space="preserve"> GRATIEN </t>
  </si>
  <si>
    <t xml:space="preserve"> MONTIBERT </t>
  </si>
  <si>
    <t xml:space="preserve"> MORILLAS </t>
  </si>
  <si>
    <t xml:space="preserve"> CARITEY </t>
  </si>
  <si>
    <t xml:space="preserve"> GRIFFOUL </t>
  </si>
  <si>
    <t xml:space="preserve"> GAUDIER </t>
  </si>
  <si>
    <t xml:space="preserve"> Guillemette </t>
  </si>
  <si>
    <t xml:space="preserve"> RENAUDEAU </t>
  </si>
  <si>
    <t xml:space="preserve"> Katia </t>
  </si>
  <si>
    <t xml:space="preserve"> DEFAUCHEUX </t>
  </si>
  <si>
    <t xml:space="preserve"> RIAHI </t>
  </si>
  <si>
    <t xml:space="preserve"> BASCOU </t>
  </si>
  <si>
    <t xml:space="preserve"> Cathia </t>
  </si>
  <si>
    <t xml:space="preserve"> FRANCESCHINI </t>
  </si>
  <si>
    <t xml:space="preserve"> PERROCHET </t>
  </si>
  <si>
    <t xml:space="preserve"> SAUTEREAU </t>
  </si>
  <si>
    <t xml:space="preserve"> Olga </t>
  </si>
  <si>
    <t xml:space="preserve"> ROBY GERARD </t>
  </si>
  <si>
    <t xml:space="preserve"> Lucienne </t>
  </si>
  <si>
    <t xml:space="preserve"> CANOVAS </t>
  </si>
  <si>
    <t xml:space="preserve"> BABU </t>
  </si>
  <si>
    <t xml:space="preserve"> BAHON CHAPUT </t>
  </si>
  <si>
    <t xml:space="preserve"> BASTION </t>
  </si>
  <si>
    <t xml:space="preserve"> DARGAUD </t>
  </si>
  <si>
    <t xml:space="preserve"> SELLIEZ </t>
  </si>
  <si>
    <t xml:space="preserve"> GLACHANT </t>
  </si>
  <si>
    <t xml:space="preserve"> BUIGNET </t>
  </si>
  <si>
    <t xml:space="preserve"> Daniele </t>
  </si>
  <si>
    <t xml:space="preserve"> FEUILLET </t>
  </si>
  <si>
    <t xml:space="preserve"> COLAS NONNOTTE </t>
  </si>
  <si>
    <t xml:space="preserve"> DARVAND </t>
  </si>
  <si>
    <t xml:space="preserve"> FRECHET </t>
  </si>
  <si>
    <t xml:space="preserve"> WAIN </t>
  </si>
  <si>
    <t xml:space="preserve"> Chrystelle </t>
  </si>
  <si>
    <t xml:space="preserve"> POMMERUEL </t>
  </si>
  <si>
    <t xml:space="preserve"> BRUZON </t>
  </si>
  <si>
    <t xml:space="preserve"> ECHEVARNE </t>
  </si>
  <si>
    <t xml:space="preserve"> QUILLÉ </t>
  </si>
  <si>
    <t xml:space="preserve"> Konstance </t>
  </si>
  <si>
    <t xml:space="preserve"> BRETEZ </t>
  </si>
  <si>
    <t xml:space="preserve"> Aurore </t>
  </si>
  <si>
    <t xml:space="preserve"> SERRETTE </t>
  </si>
  <si>
    <t xml:space="preserve"> Anne-catherine </t>
  </si>
  <si>
    <t xml:space="preserve"> Esmeralda </t>
  </si>
  <si>
    <t xml:space="preserve"> CARBONNEL </t>
  </si>
  <si>
    <t xml:space="preserve"> Thérèse </t>
  </si>
  <si>
    <t xml:space="preserve"> PROQUIN </t>
  </si>
  <si>
    <t xml:space="preserve"> Regine </t>
  </si>
  <si>
    <t xml:space="preserve"> Maud </t>
  </si>
  <si>
    <t xml:space="preserve"> LE FORESTIER </t>
  </si>
  <si>
    <t xml:space="preserve"> ZIGADI </t>
  </si>
  <si>
    <t xml:space="preserve"> PILFERT </t>
  </si>
  <si>
    <t xml:space="preserve"> Frederique </t>
  </si>
  <si>
    <t xml:space="preserve"> CHENET </t>
  </si>
  <si>
    <t xml:space="preserve"> LOURDIN </t>
  </si>
  <si>
    <t xml:space="preserve"> Bénédicte </t>
  </si>
  <si>
    <t xml:space="preserve"> CHENAIS </t>
  </si>
  <si>
    <t xml:space="preserve"> GRADSZTEIN </t>
  </si>
  <si>
    <t xml:space="preserve"> BURKHARD </t>
  </si>
  <si>
    <t xml:space="preserve"> DETAIN </t>
  </si>
  <si>
    <t xml:space="preserve"> CALIXTE </t>
  </si>
  <si>
    <t xml:space="preserve"> Roselyne </t>
  </si>
  <si>
    <t xml:space="preserve"> GINOES </t>
  </si>
  <si>
    <t xml:space="preserve"> HAURE-PLACE </t>
  </si>
  <si>
    <t xml:space="preserve"> Dali </t>
  </si>
  <si>
    <t xml:space="preserve"> GOUALARD </t>
  </si>
  <si>
    <t xml:space="preserve"> Mireillle </t>
  </si>
  <si>
    <t xml:space="preserve"> CAEL </t>
  </si>
  <si>
    <t xml:space="preserve"> ACHIBET </t>
  </si>
  <si>
    <t xml:space="preserve"> FRASLIN </t>
  </si>
  <si>
    <t xml:space="preserve"> DE BENQUE D AGUT </t>
  </si>
  <si>
    <t xml:space="preserve"> BOCCIOLESI </t>
  </si>
  <si>
    <t xml:space="preserve"> ORIA </t>
  </si>
  <si>
    <t xml:space="preserve"> MENUSIER </t>
  </si>
  <si>
    <t xml:space="preserve"> FESSAI </t>
  </si>
  <si>
    <t xml:space="preserve"> COLOMBE </t>
  </si>
  <si>
    <t xml:space="preserve"> SCHRADER </t>
  </si>
  <si>
    <t xml:space="preserve"> SOUQUE </t>
  </si>
  <si>
    <t xml:space="preserve"> MILHE-POUTINGON </t>
  </si>
  <si>
    <t xml:space="preserve"> KLYZ </t>
  </si>
  <si>
    <t xml:space="preserve"> GODFRIN </t>
  </si>
  <si>
    <t xml:space="preserve"> PATRICIO </t>
  </si>
  <si>
    <t xml:space="preserve"> FERSING </t>
  </si>
  <si>
    <t xml:space="preserve"> LABROY </t>
  </si>
  <si>
    <t xml:space="preserve"> BONDAREVA-REGNIER </t>
  </si>
  <si>
    <t xml:space="preserve"> Marina </t>
  </si>
  <si>
    <t xml:space="preserve"> GUEMART </t>
  </si>
  <si>
    <t xml:space="preserve"> Raphaele </t>
  </si>
  <si>
    <t xml:space="preserve"> DEL MOLINO </t>
  </si>
  <si>
    <t xml:space="preserve"> Natalia </t>
  </si>
  <si>
    <t xml:space="preserve"> LEPVRAUD </t>
  </si>
  <si>
    <t xml:space="preserve"> QUENET </t>
  </si>
  <si>
    <t xml:space="preserve"> MELIM </t>
  </si>
  <si>
    <t xml:space="preserve"> Chrystele </t>
  </si>
  <si>
    <t xml:space="preserve"> LAPPIERRE </t>
  </si>
  <si>
    <t xml:space="preserve"> VIKTORY </t>
  </si>
  <si>
    <t xml:space="preserve"> MAUPAS </t>
  </si>
  <si>
    <t xml:space="preserve"> URBANO </t>
  </si>
  <si>
    <t xml:space="preserve"> Yvonne </t>
  </si>
  <si>
    <t xml:space="preserve"> SAVOIE </t>
  </si>
  <si>
    <t xml:space="preserve"> Coralie </t>
  </si>
  <si>
    <t xml:space="preserve"> MORIZET </t>
  </si>
  <si>
    <t xml:space="preserve"> Edwige </t>
  </si>
  <si>
    <t xml:space="preserve"> VIDEMONT-POUMARAT </t>
  </si>
  <si>
    <t xml:space="preserve"> DERVAL </t>
  </si>
  <si>
    <t xml:space="preserve"> BENAHMED </t>
  </si>
  <si>
    <t xml:space="preserve"> BRIENS-BONDU </t>
  </si>
  <si>
    <t xml:space="preserve"> LAFAITEUR </t>
  </si>
  <si>
    <t xml:space="preserve"> PASQUET-BLARY </t>
  </si>
  <si>
    <t xml:space="preserve"> BACON BAZOGE </t>
  </si>
  <si>
    <t xml:space="preserve"> SONG </t>
  </si>
  <si>
    <t xml:space="preserve"> SAMONDES </t>
  </si>
  <si>
    <t xml:space="preserve"> BOUSIGUES </t>
  </si>
  <si>
    <t xml:space="preserve"> ALVES DE PUGA </t>
  </si>
  <si>
    <t xml:space="preserve"> RECART </t>
  </si>
  <si>
    <t xml:space="preserve"> PATENOTTE </t>
  </si>
  <si>
    <t xml:space="preserve"> MEAR </t>
  </si>
  <si>
    <t xml:space="preserve"> MOOKIEN </t>
  </si>
  <si>
    <t xml:space="preserve"> Soushila </t>
  </si>
  <si>
    <t xml:space="preserve"> ATTARD </t>
  </si>
  <si>
    <t xml:space="preserve"> Karen </t>
  </si>
  <si>
    <t xml:space="preserve"> GAEREMYNCK </t>
  </si>
  <si>
    <t xml:space="preserve"> RIENDONNANT </t>
  </si>
  <si>
    <t xml:space="preserve"> VANOVERBEKE </t>
  </si>
  <si>
    <t xml:space="preserve"> DEL PISTOIA </t>
  </si>
  <si>
    <t xml:space="preserve"> POINTURIER </t>
  </si>
  <si>
    <t xml:space="preserve"> AYMES </t>
  </si>
  <si>
    <t xml:space="preserve"> Elena </t>
  </si>
  <si>
    <t xml:space="preserve"> PEYS </t>
  </si>
  <si>
    <t xml:space="preserve"> LAMFROY </t>
  </si>
  <si>
    <t xml:space="preserve"> HAROUTIAN </t>
  </si>
  <si>
    <t xml:space="preserve"> BUISSART </t>
  </si>
  <si>
    <t xml:space="preserve"> URBANSKI BEAUCAMP </t>
  </si>
  <si>
    <t xml:space="preserve"> DEVAULT </t>
  </si>
  <si>
    <t xml:space="preserve"> Sylviane </t>
  </si>
  <si>
    <t xml:space="preserve"> ROSSONI </t>
  </si>
  <si>
    <t xml:space="preserve"> Ariane </t>
  </si>
  <si>
    <t xml:space="preserve"> LAIGNEAU </t>
  </si>
  <si>
    <t xml:space="preserve"> POUZANCRE </t>
  </si>
  <si>
    <t xml:space="preserve"> GOURVES </t>
  </si>
  <si>
    <t xml:space="preserve"> Aurélia </t>
  </si>
  <si>
    <t xml:space="preserve"> Guillermina </t>
  </si>
  <si>
    <t xml:space="preserve"> ABDOU </t>
  </si>
  <si>
    <t xml:space="preserve"> Siti </t>
  </si>
  <si>
    <t xml:space="preserve"> COASSIN </t>
  </si>
  <si>
    <t xml:space="preserve"> PANELLA </t>
  </si>
  <si>
    <t xml:space="preserve"> PIBOLEAU </t>
  </si>
  <si>
    <t xml:space="preserve"> BARBEROT </t>
  </si>
  <si>
    <t xml:space="preserve"> STEAD </t>
  </si>
  <si>
    <t xml:space="preserve"> DOLIGNON </t>
  </si>
  <si>
    <t xml:space="preserve"> MUCCHERIE </t>
  </si>
  <si>
    <t xml:space="preserve"> Manolita </t>
  </si>
  <si>
    <t xml:space="preserve"> Sylvianne </t>
  </si>
  <si>
    <t xml:space="preserve"> Jeanne </t>
  </si>
  <si>
    <t xml:space="preserve"> AGOSTA </t>
  </si>
  <si>
    <t xml:space="preserve"> VILLEBONNET </t>
  </si>
  <si>
    <t xml:space="preserve"> Astrid </t>
  </si>
  <si>
    <t xml:space="preserve"> COLTEE </t>
  </si>
  <si>
    <t xml:space="preserve"> EDELMANN </t>
  </si>
  <si>
    <t xml:space="preserve"> NOMINE </t>
  </si>
  <si>
    <t xml:space="preserve"> Marie joelle </t>
  </si>
  <si>
    <t xml:space="preserve"> DEMEER </t>
  </si>
  <si>
    <t xml:space="preserve"> MONLOIS </t>
  </si>
  <si>
    <t xml:space="preserve"> Emilie </t>
  </si>
  <si>
    <t xml:space="preserve"> GINISTY </t>
  </si>
  <si>
    <t xml:space="preserve"> BOUDONNAT - TALON </t>
  </si>
  <si>
    <t xml:space="preserve"> WANDEL </t>
  </si>
  <si>
    <t xml:space="preserve"> Marie-therese </t>
  </si>
  <si>
    <t xml:space="preserve"> CANOVA </t>
  </si>
  <si>
    <t xml:space="preserve"> PEARON </t>
  </si>
  <si>
    <t xml:space="preserve"> PREPONT </t>
  </si>
  <si>
    <t xml:space="preserve"> REVIDON </t>
  </si>
  <si>
    <t xml:space="preserve"> KLEIN-DE GAUGUE </t>
  </si>
  <si>
    <t xml:space="preserve"> GAIMARD </t>
  </si>
  <si>
    <t xml:space="preserve"> GUEVEL </t>
  </si>
  <si>
    <t xml:space="preserve"> Marie pierre </t>
  </si>
  <si>
    <t xml:space="preserve"> VAUDIN </t>
  </si>
  <si>
    <t xml:space="preserve"> CHERUEL </t>
  </si>
  <si>
    <t xml:space="preserve"> CHARLOU </t>
  </si>
  <si>
    <t xml:space="preserve"> MULIAVA </t>
  </si>
  <si>
    <t xml:space="preserve"> LAMBERTZ </t>
  </si>
  <si>
    <t xml:space="preserve"> SAMMOUR </t>
  </si>
  <si>
    <t xml:space="preserve"> Inès </t>
  </si>
  <si>
    <t xml:space="preserve"> SYGULA </t>
  </si>
  <si>
    <t xml:space="preserve"> HEYSE </t>
  </si>
  <si>
    <t xml:space="preserve"> BOULE </t>
  </si>
  <si>
    <t xml:space="preserve"> Lina </t>
  </si>
  <si>
    <t xml:space="preserve"> DENTIE </t>
  </si>
  <si>
    <t xml:space="preserve"> DOIZY </t>
  </si>
  <si>
    <t xml:space="preserve"> Marie laurence </t>
  </si>
  <si>
    <t xml:space="preserve"> ODIE </t>
  </si>
  <si>
    <t xml:space="preserve"> MONTMAYEUR </t>
  </si>
  <si>
    <t xml:space="preserve"> DELAMBRE </t>
  </si>
  <si>
    <t xml:space="preserve"> Barbara </t>
  </si>
  <si>
    <t xml:space="preserve"> DELERIN-RINTEAU </t>
  </si>
  <si>
    <t xml:space="preserve"> DESILLE </t>
  </si>
  <si>
    <t xml:space="preserve"> TRIOULEYRE </t>
  </si>
  <si>
    <t xml:space="preserve"> CHABANEIX </t>
  </si>
  <si>
    <t xml:space="preserve"> COURY </t>
  </si>
  <si>
    <t xml:space="preserve"> Lana </t>
  </si>
  <si>
    <t xml:space="preserve"> JAGUENEAU </t>
  </si>
  <si>
    <t xml:space="preserve"> DE LEPINE </t>
  </si>
  <si>
    <t xml:space="preserve"> EGLIN </t>
  </si>
  <si>
    <t xml:space="preserve"> ZONCA </t>
  </si>
  <si>
    <t xml:space="preserve"> Marie pascale </t>
  </si>
  <si>
    <t xml:space="preserve"> CHAPUZOT </t>
  </si>
  <si>
    <t xml:space="preserve"> PIETREMENT </t>
  </si>
  <si>
    <t xml:space="preserve"> LECLAIR </t>
  </si>
  <si>
    <t xml:space="preserve"> OOSTERLYNCK </t>
  </si>
  <si>
    <t xml:space="preserve"> CALAIS </t>
  </si>
  <si>
    <t xml:space="preserve"> HILLAIRET BOISFERON </t>
  </si>
  <si>
    <t xml:space="preserve"> Simone </t>
  </si>
  <si>
    <t xml:space="preserve"> BESSON-TALABOT </t>
  </si>
  <si>
    <t xml:space="preserve"> GENEAU DE LA MARLIER </t>
  </si>
  <si>
    <t xml:space="preserve"> CONAND </t>
  </si>
  <si>
    <t xml:space="preserve"> BATLLE </t>
  </si>
  <si>
    <t xml:space="preserve"> VII </t>
  </si>
  <si>
    <t xml:space="preserve"> NAKACHE </t>
  </si>
  <si>
    <t xml:space="preserve"> Chistine </t>
  </si>
  <si>
    <t xml:space="preserve"> BRANCHETTI </t>
  </si>
  <si>
    <t xml:space="preserve"> CANELLE </t>
  </si>
  <si>
    <t xml:space="preserve"> Aurelie </t>
  </si>
  <si>
    <t xml:space="preserve"> BAUDVIN </t>
  </si>
  <si>
    <t xml:space="preserve"> BOEHM </t>
  </si>
  <si>
    <t xml:space="preserve"> Clarice </t>
  </si>
  <si>
    <t xml:space="preserve"> COQUANT </t>
  </si>
  <si>
    <t xml:space="preserve"> Paule </t>
  </si>
  <si>
    <t xml:space="preserve"> LE BOLAY </t>
  </si>
  <si>
    <t xml:space="preserve"> DELBO </t>
  </si>
  <si>
    <t xml:space="preserve"> RAYA </t>
  </si>
  <si>
    <t xml:space="preserve"> AROARO </t>
  </si>
  <si>
    <t xml:space="preserve"> ROBBAZ </t>
  </si>
  <si>
    <t xml:space="preserve"> HANQUIER </t>
  </si>
  <si>
    <t xml:space="preserve"> OUKID </t>
  </si>
  <si>
    <t xml:space="preserve"> VOLKAMER </t>
  </si>
  <si>
    <t xml:space="preserve"> SAVOYE-ROYER </t>
  </si>
  <si>
    <t xml:space="preserve"> BARS </t>
  </si>
  <si>
    <t xml:space="preserve"> METLEJ </t>
  </si>
  <si>
    <t xml:space="preserve"> APPEL </t>
  </si>
  <si>
    <t xml:space="preserve"> TEISSONNIERE </t>
  </si>
  <si>
    <t xml:space="preserve"> PIERRE BENITE TENNIS DE T </t>
  </si>
  <si>
    <t xml:space="preserve"> TANCRAY </t>
  </si>
  <si>
    <t xml:space="preserve"> Melly </t>
  </si>
  <si>
    <t xml:space="preserve"> GAUGUIN </t>
  </si>
  <si>
    <t xml:space="preserve"> RAHIER </t>
  </si>
  <si>
    <t xml:space="preserve"> NUNES HIPPEL </t>
  </si>
  <si>
    <t xml:space="preserve"> CORIN </t>
  </si>
  <si>
    <t xml:space="preserve"> RUSSMANN </t>
  </si>
  <si>
    <t xml:space="preserve"> FEYDEL </t>
  </si>
  <si>
    <t xml:space="preserve"> WEY </t>
  </si>
  <si>
    <t xml:space="preserve"> ROSSEAU </t>
  </si>
  <si>
    <t xml:space="preserve"> ZINI </t>
  </si>
  <si>
    <t xml:space="preserve"> LATOURTE </t>
  </si>
  <si>
    <t xml:space="preserve"> LOUDOT </t>
  </si>
  <si>
    <t xml:space="preserve"> HUSSER </t>
  </si>
  <si>
    <t xml:space="preserve"> PINCON </t>
  </si>
  <si>
    <t xml:space="preserve"> TIPHAIGNE </t>
  </si>
  <si>
    <t xml:space="preserve"> POUMEYRAU </t>
  </si>
  <si>
    <t xml:space="preserve"> FRANCESCONI </t>
  </si>
  <si>
    <t xml:space="preserve"> DOUROU </t>
  </si>
  <si>
    <t xml:space="preserve"> PENSART </t>
  </si>
  <si>
    <t xml:space="preserve"> DE SAN FULGENCIO </t>
  </si>
  <si>
    <t xml:space="preserve"> BODOIGNET </t>
  </si>
  <si>
    <t xml:space="preserve"> CAYZAC </t>
  </si>
  <si>
    <t xml:space="preserve"> SIGNORINO </t>
  </si>
  <si>
    <t xml:space="preserve"> GOGEL </t>
  </si>
  <si>
    <t xml:space="preserve"> LAÏLY </t>
  </si>
  <si>
    <t xml:space="preserve"> Gisèle </t>
  </si>
  <si>
    <t xml:space="preserve"> LE CARDINAL CAVALIER </t>
  </si>
  <si>
    <t xml:space="preserve"> Sarah </t>
  </si>
  <si>
    <t xml:space="preserve"> PAISANT </t>
  </si>
  <si>
    <t xml:space="preserve"> Charline </t>
  </si>
  <si>
    <t xml:space="preserve"> HIGUERA </t>
  </si>
  <si>
    <t xml:space="preserve"> Irene florence </t>
  </si>
  <si>
    <t xml:space="preserve"> LEPAUMIER </t>
  </si>
  <si>
    <t xml:space="preserve"> Marylène </t>
  </si>
  <si>
    <t xml:space="preserve"> Marie-alix </t>
  </si>
  <si>
    <t xml:space="preserve"> SCHUURMAN </t>
  </si>
  <si>
    <t xml:space="preserve"> GERDERES </t>
  </si>
  <si>
    <t xml:space="preserve"> MULLOIS </t>
  </si>
  <si>
    <t xml:space="preserve"> SOULAGE </t>
  </si>
  <si>
    <t xml:space="preserve"> TILLEUL </t>
  </si>
  <si>
    <t xml:space="preserve"> Guylaine </t>
  </si>
  <si>
    <t xml:space="preserve"> Erika </t>
  </si>
  <si>
    <t xml:space="preserve"> POUCH </t>
  </si>
  <si>
    <t xml:space="preserve"> PIDANCE </t>
  </si>
  <si>
    <t xml:space="preserve"> Augusta </t>
  </si>
  <si>
    <t xml:space="preserve"> JASMIN </t>
  </si>
  <si>
    <t xml:space="preserve"> Jeanine </t>
  </si>
  <si>
    <t xml:space="preserve"> BROTONS </t>
  </si>
  <si>
    <t xml:space="preserve"> BANET </t>
  </si>
  <si>
    <t xml:space="preserve"> MARET </t>
  </si>
  <si>
    <t xml:space="preserve"> CEBOKLI </t>
  </si>
  <si>
    <t xml:space="preserve"> BOSTEL </t>
  </si>
  <si>
    <t xml:space="preserve"> CUI </t>
  </si>
  <si>
    <t xml:space="preserve"> Frances </t>
  </si>
  <si>
    <t xml:space="preserve"> CAPELARES </t>
  </si>
  <si>
    <t xml:space="preserve"> LE FLIP MONTOIS - ND DE M </t>
  </si>
  <si>
    <t xml:space="preserve"> JOMEER </t>
  </si>
  <si>
    <t xml:space="preserve"> HORNECKER </t>
  </si>
  <si>
    <t xml:space="preserve"> Marlyse </t>
  </si>
  <si>
    <t xml:space="preserve"> KNOPF </t>
  </si>
  <si>
    <t xml:space="preserve"> Pierrete </t>
  </si>
  <si>
    <t xml:space="preserve"> Vérène </t>
  </si>
  <si>
    <t xml:space="preserve"> BOISTIER </t>
  </si>
  <si>
    <t xml:space="preserve"> SOLIER </t>
  </si>
  <si>
    <t xml:space="preserve"> Gilberte </t>
  </si>
  <si>
    <t xml:space="preserve"> STE ENIMIE CL </t>
  </si>
  <si>
    <t xml:space="preserve"> DUSSUD </t>
  </si>
  <si>
    <t xml:space="preserve"> LAMATAKI </t>
  </si>
  <si>
    <t xml:space="preserve"> Ana </t>
  </si>
  <si>
    <t xml:space="preserve"> VANIAMBOURG </t>
  </si>
  <si>
    <t xml:space="preserve"> RUSTIQUE </t>
  </si>
  <si>
    <t xml:space="preserve"> DEWARLINCOURT </t>
  </si>
  <si>
    <t xml:space="preserve"> RENUCCI - MERCIER </t>
  </si>
  <si>
    <t xml:space="preserve"> MARLIERE </t>
  </si>
  <si>
    <t xml:space="preserve"> Marie-estelle </t>
  </si>
  <si>
    <t xml:space="preserve"> CONDELLO </t>
  </si>
  <si>
    <t xml:space="preserve"> BARLINGE </t>
  </si>
  <si>
    <t xml:space="preserve"> GRAPIN </t>
  </si>
  <si>
    <t xml:space="preserve"> LETEY </t>
  </si>
  <si>
    <t xml:space="preserve"> Micheline </t>
  </si>
  <si>
    <t xml:space="preserve"> BURDZY </t>
  </si>
  <si>
    <t xml:space="preserve"> WILL </t>
  </si>
  <si>
    <t xml:space="preserve"> Eleonore </t>
  </si>
  <si>
    <t xml:space="preserve"> BE </t>
  </si>
  <si>
    <t xml:space="preserve"> ROUSSILLE </t>
  </si>
  <si>
    <t xml:space="preserve"> Morgane </t>
  </si>
  <si>
    <t xml:space="preserve"> BRUSSEAU </t>
  </si>
  <si>
    <t xml:space="preserve"> Kristell </t>
  </si>
  <si>
    <t xml:space="preserve"> VARNAI </t>
  </si>
  <si>
    <t xml:space="preserve"> Marie-andree </t>
  </si>
  <si>
    <t xml:space="preserve"> GAMBLIN </t>
  </si>
  <si>
    <t xml:space="preserve"> JURET </t>
  </si>
  <si>
    <t xml:space="preserve"> LECHELLE </t>
  </si>
  <si>
    <t xml:space="preserve"> MICHELET LEGENDRE </t>
  </si>
  <si>
    <t xml:space="preserve"> Jeannette </t>
  </si>
  <si>
    <t xml:space="preserve"> COSTILHES </t>
  </si>
  <si>
    <t xml:space="preserve"> LAGE </t>
  </si>
  <si>
    <t xml:space="preserve"> DELACÔTE </t>
  </si>
  <si>
    <t xml:space="preserve"> QUESTEMBERT CF TT </t>
  </si>
  <si>
    <t xml:space="preserve"> JANIS </t>
  </si>
  <si>
    <t xml:space="preserve"> DHEURLE </t>
  </si>
  <si>
    <t xml:space="preserve"> GRANGEMAR </t>
  </si>
  <si>
    <t xml:space="preserve"> TRASCU </t>
  </si>
  <si>
    <t xml:space="preserve"> Dorothee </t>
  </si>
  <si>
    <t xml:space="preserve"> Antoinette </t>
  </si>
  <si>
    <t xml:space="preserve"> Marie louise </t>
  </si>
  <si>
    <t xml:space="preserve"> FONDACCI </t>
  </si>
  <si>
    <t xml:space="preserve"> MONNEAU </t>
  </si>
  <si>
    <t xml:space="preserve"> GAUTON </t>
  </si>
  <si>
    <t xml:space="preserve"> Marjorie </t>
  </si>
  <si>
    <t xml:space="preserve"> DOUX </t>
  </si>
  <si>
    <t xml:space="preserve"> CONTANT </t>
  </si>
  <si>
    <t xml:space="preserve"> REVKOLEVSKI </t>
  </si>
  <si>
    <t xml:space="preserve"> TARIN </t>
  </si>
  <si>
    <t xml:space="preserve"> Guetty </t>
  </si>
  <si>
    <t xml:space="preserve"> RABARTIN </t>
  </si>
  <si>
    <t xml:space="preserve"> VAN-ELSUWE MINART </t>
  </si>
  <si>
    <t xml:space="preserve"> Annelise </t>
  </si>
  <si>
    <t xml:space="preserve"> Pauline </t>
  </si>
  <si>
    <t xml:space="preserve"> TEFAATAU </t>
  </si>
  <si>
    <t xml:space="preserve"> Moeana </t>
  </si>
  <si>
    <t xml:space="preserve"> TABLIN </t>
  </si>
  <si>
    <t xml:space="preserve"> Ulrike </t>
  </si>
  <si>
    <t xml:space="preserve"> LAGUETTE </t>
  </si>
  <si>
    <t xml:space="preserve"> Muriele </t>
  </si>
  <si>
    <t xml:space="preserve"> DAJEAN </t>
  </si>
  <si>
    <t xml:space="preserve"> Josette </t>
  </si>
  <si>
    <t xml:space="preserve"> PERRODO </t>
  </si>
  <si>
    <t xml:space="preserve"> RICHEPAIN </t>
  </si>
  <si>
    <t xml:space="preserve"> DORON </t>
  </si>
  <si>
    <t xml:space="preserve"> AVIT </t>
  </si>
  <si>
    <t xml:space="preserve"> DIMBOUR </t>
  </si>
  <si>
    <t xml:space="preserve"> DOLLEY </t>
  </si>
  <si>
    <t xml:space="preserve"> Rolande </t>
  </si>
  <si>
    <t xml:space="preserve"> WAXWEILER </t>
  </si>
  <si>
    <t xml:space="preserve"> MILLASSEAU </t>
  </si>
  <si>
    <t xml:space="preserve"> BARNEOUD </t>
  </si>
  <si>
    <t xml:space="preserve"> BRILLOUET </t>
  </si>
  <si>
    <t xml:space="preserve"> Jeannick </t>
  </si>
  <si>
    <t xml:space="preserve"> DONAT </t>
  </si>
  <si>
    <t xml:space="preserve"> Waleska </t>
  </si>
  <si>
    <t xml:space="preserve"> VOLIEN </t>
  </si>
  <si>
    <t xml:space="preserve"> BOUILLAGUET </t>
  </si>
  <si>
    <t xml:space="preserve"> RINCON </t>
  </si>
  <si>
    <t xml:space="preserve"> DELEM </t>
  </si>
  <si>
    <t xml:space="preserve"> Beatrix </t>
  </si>
  <si>
    <t xml:space="preserve"> COURTADON </t>
  </si>
  <si>
    <t xml:space="preserve"> CHRISTANVAL </t>
  </si>
  <si>
    <t xml:space="preserve"> BARBUT </t>
  </si>
  <si>
    <t xml:space="preserve"> BONNIOT </t>
  </si>
  <si>
    <t xml:space="preserve"> PALOMO </t>
  </si>
  <si>
    <t xml:space="preserve"> Giuliana </t>
  </si>
  <si>
    <t xml:space="preserve"> VALLIOT </t>
  </si>
  <si>
    <t xml:space="preserve"> PERROCHEAU </t>
  </si>
  <si>
    <t xml:space="preserve"> HOUDMONT </t>
  </si>
  <si>
    <t xml:space="preserve"> FOUCO </t>
  </si>
  <si>
    <t xml:space="preserve"> WEGEL </t>
  </si>
  <si>
    <t xml:space="preserve"> GONTCHARENKO </t>
  </si>
  <si>
    <t xml:space="preserve"> Marie rose </t>
  </si>
  <si>
    <t xml:space="preserve"> CHARIE </t>
  </si>
  <si>
    <t xml:space="preserve"> PICOD CHAGUE </t>
  </si>
  <si>
    <t xml:space="preserve"> BARROT </t>
  </si>
  <si>
    <t xml:space="preserve"> JOUVE </t>
  </si>
  <si>
    <t xml:space="preserve"> ROUCHON </t>
  </si>
  <si>
    <t xml:space="preserve"> Marcelline </t>
  </si>
  <si>
    <t xml:space="preserve"> PEAUD </t>
  </si>
  <si>
    <t xml:space="preserve"> PEUTIN </t>
  </si>
  <si>
    <t xml:space="preserve"> BUNOUST </t>
  </si>
  <si>
    <t xml:space="preserve"> COGNO </t>
  </si>
  <si>
    <t xml:space="preserve"> Jennifer </t>
  </si>
  <si>
    <t xml:space="preserve"> Maria isabel </t>
  </si>
  <si>
    <t xml:space="preserve"> RANDRIANATOAVINA </t>
  </si>
  <si>
    <t xml:space="preserve"> Judith </t>
  </si>
  <si>
    <t xml:space="preserve"> DELHOUME </t>
  </si>
  <si>
    <t xml:space="preserve"> Louise </t>
  </si>
  <si>
    <t xml:space="preserve"> GIUDICELLI </t>
  </si>
  <si>
    <t xml:space="preserve"> PANTOSTIER </t>
  </si>
  <si>
    <t xml:space="preserve"> ONNO </t>
  </si>
  <si>
    <t xml:space="preserve"> DARTIGUELONGUE </t>
  </si>
  <si>
    <t xml:space="preserve"> MARIOTTINI ROSSI </t>
  </si>
  <si>
    <t xml:space="preserve"> VAN DER HAUWAERT </t>
  </si>
  <si>
    <t xml:space="preserve"> MOLAY </t>
  </si>
  <si>
    <t xml:space="preserve"> DE REVIERS </t>
  </si>
  <si>
    <t xml:space="preserve"> MOMAL </t>
  </si>
  <si>
    <t xml:space="preserve"> SOUEGES </t>
  </si>
  <si>
    <t xml:space="preserve"> Marie veronique </t>
  </si>
  <si>
    <t xml:space="preserve"> IVARS </t>
  </si>
  <si>
    <t xml:space="preserve"> Paquita </t>
  </si>
  <si>
    <t xml:space="preserve"> CANDOLINI </t>
  </si>
  <si>
    <t xml:space="preserve"> EGLOFF </t>
  </si>
  <si>
    <t xml:space="preserve"> NERGEAULT </t>
  </si>
  <si>
    <t xml:space="preserve"> RAIMUNDO </t>
  </si>
  <si>
    <t xml:space="preserve"> PEGUET </t>
  </si>
  <si>
    <t xml:space="preserve"> Luigina </t>
  </si>
  <si>
    <t xml:space="preserve"> CHASTAGNOL </t>
  </si>
  <si>
    <t xml:space="preserve"> Marie-louise </t>
  </si>
  <si>
    <t xml:space="preserve"> BARRANCO </t>
  </si>
  <si>
    <t xml:space="preserve"> BOCEREAN </t>
  </si>
  <si>
    <t xml:space="preserve"> Esther </t>
  </si>
  <si>
    <t xml:space="preserve"> REINSON </t>
  </si>
  <si>
    <t xml:space="preserve"> TRAN VAN HUU </t>
  </si>
  <si>
    <t xml:space="preserve"> Marion </t>
  </si>
  <si>
    <t xml:space="preserve"> AVRIT </t>
  </si>
  <si>
    <t xml:space="preserve"> COULON BODIN </t>
  </si>
  <si>
    <t xml:space="preserve"> SAMEL </t>
  </si>
  <si>
    <t xml:space="preserve"> BRONSART </t>
  </si>
  <si>
    <t xml:space="preserve"> MOURGUES </t>
  </si>
  <si>
    <t xml:space="preserve"> Delice </t>
  </si>
  <si>
    <t xml:space="preserve"> Marinette </t>
  </si>
  <si>
    <t xml:space="preserve"> Marie-andrée </t>
  </si>
  <si>
    <t xml:space="preserve"> Georgette </t>
  </si>
  <si>
    <t xml:space="preserve"> DEGREMONT </t>
  </si>
  <si>
    <t xml:space="preserve"> DELASSE </t>
  </si>
  <si>
    <t xml:space="preserve"> Cédrine </t>
  </si>
  <si>
    <t xml:space="preserve"> COBERAC </t>
  </si>
  <si>
    <t xml:space="preserve"> MELQUIONI </t>
  </si>
  <si>
    <t xml:space="preserve"> COURTEAUX </t>
  </si>
  <si>
    <t xml:space="preserve"> ANGÉE </t>
  </si>
  <si>
    <t xml:space="preserve"> GODEMENT </t>
  </si>
  <si>
    <t xml:space="preserve"> VERCLYTTE </t>
  </si>
  <si>
    <t xml:space="preserve"> CELANIE </t>
  </si>
  <si>
    <t xml:space="preserve"> HANCER </t>
  </si>
  <si>
    <t xml:space="preserve"> Fatma </t>
  </si>
  <si>
    <t xml:space="preserve"> CHOCHILLON </t>
  </si>
  <si>
    <t xml:space="preserve"> LEWONCZUK </t>
  </si>
  <si>
    <t xml:space="preserve"> Marie-emmanuell </t>
  </si>
  <si>
    <t xml:space="preserve"> GUINE </t>
  </si>
  <si>
    <t xml:space="preserve"> BOISGARD </t>
  </si>
  <si>
    <t xml:space="preserve"> COLOBER </t>
  </si>
  <si>
    <t xml:space="preserve"> BRIENT </t>
  </si>
  <si>
    <t xml:space="preserve"> FUMEL </t>
  </si>
  <si>
    <t xml:space="preserve"> Josephine </t>
  </si>
  <si>
    <t xml:space="preserve"> LE GUYADER </t>
  </si>
  <si>
    <t xml:space="preserve"> LASSAIGNE </t>
  </si>
  <si>
    <t xml:space="preserve"> BASTANTI </t>
  </si>
  <si>
    <t xml:space="preserve"> DIMULLE </t>
  </si>
  <si>
    <t xml:space="preserve"> Yolande </t>
  </si>
  <si>
    <t xml:space="preserve"> ORLOWSKI </t>
  </si>
  <si>
    <t xml:space="preserve"> DESMULIE </t>
  </si>
  <si>
    <t xml:space="preserve"> RASNEUR </t>
  </si>
  <si>
    <t xml:space="preserve"> CENDRIER </t>
  </si>
  <si>
    <t xml:space="preserve"> JAMELOT </t>
  </si>
  <si>
    <t xml:space="preserve"> MICHOU </t>
  </si>
  <si>
    <t xml:space="preserve"> MALAVAL </t>
  </si>
  <si>
    <t xml:space="preserve"> Jacklyn </t>
  </si>
  <si>
    <t xml:space="preserve"> Marie chantal </t>
  </si>
  <si>
    <t xml:space="preserve"> MAUCOURANT </t>
  </si>
  <si>
    <t xml:space="preserve"> Marie cecile </t>
  </si>
  <si>
    <t xml:space="preserve"> GLORIA </t>
  </si>
  <si>
    <t xml:space="preserve"> DIEVAL </t>
  </si>
  <si>
    <t xml:space="preserve"> DARRIET </t>
  </si>
  <si>
    <t xml:space="preserve"> Ellen </t>
  </si>
  <si>
    <t xml:space="preserve"> BURTY </t>
  </si>
  <si>
    <t xml:space="preserve"> HIREL </t>
  </si>
  <si>
    <t xml:space="preserve"> TRENS </t>
  </si>
  <si>
    <t xml:space="preserve"> BOUZOL </t>
  </si>
  <si>
    <t xml:space="preserve"> GERMANY </t>
  </si>
  <si>
    <t xml:space="preserve"> Marlise </t>
  </si>
  <si>
    <t xml:space="preserve"> BRUNO </t>
  </si>
  <si>
    <t xml:space="preserve"> DEBARGE </t>
  </si>
  <si>
    <t xml:space="preserve"> TERES </t>
  </si>
  <si>
    <t xml:space="preserve"> Odette </t>
  </si>
  <si>
    <t xml:space="preserve"> BATTUT </t>
  </si>
  <si>
    <t xml:space="preserve"> GROUSSOT </t>
  </si>
  <si>
    <t xml:space="preserve"> DAGAULT </t>
  </si>
  <si>
    <t xml:space="preserve"> MICHY </t>
  </si>
  <si>
    <t xml:space="preserve"> MEURISSE </t>
  </si>
  <si>
    <t xml:space="preserve"> BOURNEL </t>
  </si>
  <si>
    <t xml:space="preserve"> SIEFFERMANN </t>
  </si>
  <si>
    <t xml:space="preserve"> TROGI </t>
  </si>
  <si>
    <t xml:space="preserve"> Marie claire </t>
  </si>
  <si>
    <t xml:space="preserve"> MENI </t>
  </si>
  <si>
    <t xml:space="preserve"> FRANCISCO </t>
  </si>
  <si>
    <t xml:space="preserve"> Roseline </t>
  </si>
  <si>
    <t xml:space="preserve"> Malia dolores </t>
  </si>
  <si>
    <t xml:space="preserve"> TURMEL </t>
  </si>
  <si>
    <t xml:space="preserve"> Tiphaine </t>
  </si>
  <si>
    <t xml:space="preserve"> Julia </t>
  </si>
  <si>
    <t xml:space="preserve"> Coryse </t>
  </si>
  <si>
    <t xml:space="preserve"> FALANTIN </t>
  </si>
  <si>
    <t xml:space="preserve"> NOËL </t>
  </si>
  <si>
    <t xml:space="preserve"> CAZEBONNE </t>
  </si>
  <si>
    <t xml:space="preserve"> LAMOITTE </t>
  </si>
  <si>
    <t xml:space="preserve"> NISTCH </t>
  </si>
  <si>
    <t xml:space="preserve"> Lisette </t>
  </si>
  <si>
    <t xml:space="preserve"> ALCIDE DIT CLAUZEL </t>
  </si>
  <si>
    <t xml:space="preserve"> Elidia </t>
  </si>
  <si>
    <t xml:space="preserve"> VANDEN ABEELE </t>
  </si>
  <si>
    <t xml:space="preserve"> 329F0606 </t>
  </si>
  <si>
    <t xml:space="preserve"> Moindou tennis de table </t>
  </si>
  <si>
    <t xml:space="preserve"> GLEDIC </t>
  </si>
  <si>
    <t xml:space="preserve"> JOANNARD </t>
  </si>
  <si>
    <t xml:space="preserve"> Nhu quynh </t>
  </si>
  <si>
    <t xml:space="preserve"> CHATARD-PERIER </t>
  </si>
  <si>
    <t xml:space="preserve"> Denise </t>
  </si>
  <si>
    <t xml:space="preserve"> JOUGLA </t>
  </si>
  <si>
    <t xml:space="preserve"> LABARRE-MARIOTTE </t>
  </si>
  <si>
    <t xml:space="preserve"> KNAFF </t>
  </si>
  <si>
    <t xml:space="preserve"> CAINJO </t>
  </si>
  <si>
    <t xml:space="preserve"> ROMBAUX </t>
  </si>
  <si>
    <t xml:space="preserve"> RAPINE </t>
  </si>
  <si>
    <t xml:space="preserve"> Johanna </t>
  </si>
  <si>
    <t xml:space="preserve"> RAVELONANOSY </t>
  </si>
  <si>
    <t xml:space="preserve"> Ny aina </t>
  </si>
  <si>
    <t xml:space="preserve"> AZIZI </t>
  </si>
  <si>
    <t xml:space="preserve"> Lineda </t>
  </si>
  <si>
    <t xml:space="preserve"> MARTIN-CASLANT </t>
  </si>
  <si>
    <t xml:space="preserve"> JALADIS </t>
  </si>
  <si>
    <t xml:space="preserve"> Marcelle </t>
  </si>
  <si>
    <t xml:space="preserve"> VESIEZ </t>
  </si>
  <si>
    <t xml:space="preserve"> DOURSON </t>
  </si>
  <si>
    <t xml:space="preserve"> CORDIER WOJTIUK </t>
  </si>
  <si>
    <t xml:space="preserve"> GARCIOUX </t>
  </si>
  <si>
    <t xml:space="preserve"> VERHELLEN </t>
  </si>
  <si>
    <t xml:space="preserve"> MONCHAUX </t>
  </si>
  <si>
    <t xml:space="preserve"> VAN BEERS </t>
  </si>
  <si>
    <t xml:space="preserve"> MUILWIJK </t>
  </si>
  <si>
    <t xml:space="preserve"> Geraldine </t>
  </si>
  <si>
    <t xml:space="preserve"> REGARDIN </t>
  </si>
  <si>
    <t xml:space="preserve"> Charlotte </t>
  </si>
  <si>
    <t xml:space="preserve"> VAUTHIER BAILLY </t>
  </si>
  <si>
    <t xml:space="preserve"> LECEE </t>
  </si>
  <si>
    <t xml:space="preserve"> JOMBART </t>
  </si>
  <si>
    <t xml:space="preserve"> CAUTILLON </t>
  </si>
  <si>
    <t xml:space="preserve"> BASSALER </t>
  </si>
  <si>
    <t xml:space="preserve"> LE GUYADEC </t>
  </si>
  <si>
    <t xml:space="preserve"> VIEULOUP </t>
  </si>
  <si>
    <t xml:space="preserve"> AMATO </t>
  </si>
  <si>
    <t xml:space="preserve"> BLANCHER </t>
  </si>
  <si>
    <t xml:space="preserve"> RIESE </t>
  </si>
  <si>
    <t xml:space="preserve"> MOUTIC </t>
  </si>
  <si>
    <t xml:space="preserve"> SALIGOT </t>
  </si>
  <si>
    <t xml:space="preserve"> MORISS </t>
  </si>
  <si>
    <t xml:space="preserve"> LE NOZACH </t>
  </si>
  <si>
    <t xml:space="preserve"> TERMINET </t>
  </si>
  <si>
    <t xml:space="preserve"> Marjolaine </t>
  </si>
  <si>
    <t xml:space="preserve"> DUMAS-AUBERT </t>
  </si>
  <si>
    <t xml:space="preserve"> VIELFAURE </t>
  </si>
  <si>
    <t xml:space="preserve"> Mercedes </t>
  </si>
  <si>
    <t xml:space="preserve"> PREZUT </t>
  </si>
  <si>
    <t xml:space="preserve"> DELVALLEE </t>
  </si>
  <si>
    <t xml:space="preserve"> HORNAERT </t>
  </si>
  <si>
    <t xml:space="preserve"> PRIVE </t>
  </si>
  <si>
    <t xml:space="preserve"> BRAIL </t>
  </si>
  <si>
    <t xml:space="preserve"> OSER </t>
  </si>
  <si>
    <t xml:space="preserve"> LEBRET </t>
  </si>
  <si>
    <t xml:space="preserve"> CHEVASSU </t>
  </si>
  <si>
    <t xml:space="preserve"> COLOMBET </t>
  </si>
  <si>
    <t xml:space="preserve"> GERMONT </t>
  </si>
  <si>
    <t xml:space="preserve"> JOUAT </t>
  </si>
  <si>
    <t xml:space="preserve"> Marie paule </t>
  </si>
  <si>
    <t xml:space="preserve"> MOKADEM </t>
  </si>
  <si>
    <t xml:space="preserve"> Fatima </t>
  </si>
  <si>
    <t xml:space="preserve"> FAGEOT </t>
  </si>
  <si>
    <t xml:space="preserve"> CALEMARD </t>
  </si>
  <si>
    <t xml:space="preserve"> Maryan </t>
  </si>
  <si>
    <t xml:space="preserve"> COUSY </t>
  </si>
  <si>
    <t xml:space="preserve"> LISSENKO </t>
  </si>
  <si>
    <t xml:space="preserve"> MEZRARI </t>
  </si>
  <si>
    <t xml:space="preserve"> Leila </t>
  </si>
  <si>
    <t xml:space="preserve"> POIZIVARA </t>
  </si>
  <si>
    <t xml:space="preserve"> BRISPOT </t>
  </si>
  <si>
    <t xml:space="preserve"> BARTHOUX </t>
  </si>
  <si>
    <t xml:space="preserve"> DELARBRE -GUILLAUME </t>
  </si>
  <si>
    <t xml:space="preserve"> Anne-gatienne </t>
  </si>
  <si>
    <t xml:space="preserve"> LOUVARD </t>
  </si>
  <si>
    <t xml:space="preserve"> MARTELLIERE </t>
  </si>
  <si>
    <t xml:space="preserve"> BOUILLOUD </t>
  </si>
  <si>
    <t xml:space="preserve"> THIALLE </t>
  </si>
  <si>
    <t xml:space="preserve"> Marie-martine </t>
  </si>
  <si>
    <t xml:space="preserve"> GENEAUX </t>
  </si>
  <si>
    <t xml:space="preserve"> Rosa </t>
  </si>
  <si>
    <t xml:space="preserve"> DUPONT-NIVET </t>
  </si>
  <si>
    <t xml:space="preserve"> VOS </t>
  </si>
  <si>
    <t xml:space="preserve"> Soazic </t>
  </si>
  <si>
    <t xml:space="preserve"> LE PINVIDIC </t>
  </si>
  <si>
    <t xml:space="preserve"> LAVERSANNE </t>
  </si>
  <si>
    <t xml:space="preserve"> ROETTGER </t>
  </si>
  <si>
    <t xml:space="preserve"> BOUCHAUDON </t>
  </si>
  <si>
    <t xml:space="preserve"> GOTTARDI </t>
  </si>
  <si>
    <t xml:space="preserve"> PISANO </t>
  </si>
  <si>
    <t xml:space="preserve"> LE GAT </t>
  </si>
  <si>
    <t xml:space="preserve"> MOUSSART </t>
  </si>
  <si>
    <t xml:space="preserve"> FAOU LOPEZ </t>
  </si>
  <si>
    <t xml:space="preserve"> PUILLET </t>
  </si>
  <si>
    <t xml:space="preserve"> FAUTRAT </t>
  </si>
  <si>
    <t xml:space="preserve"> Andrée </t>
  </si>
  <si>
    <t xml:space="preserve"> DOSSOU </t>
  </si>
  <si>
    <t xml:space="preserve"> AJROUCHE </t>
  </si>
  <si>
    <t xml:space="preserve"> MEERSMAN </t>
  </si>
  <si>
    <t xml:space="preserve"> MOUSSA </t>
  </si>
  <si>
    <t xml:space="preserve"> LABATUT </t>
  </si>
  <si>
    <t xml:space="preserve"> ANSALDI </t>
  </si>
  <si>
    <t xml:space="preserve"> COLOMBEAU </t>
  </si>
  <si>
    <t xml:space="preserve"> ANTONI </t>
  </si>
  <si>
    <t xml:space="preserve"> MANENT </t>
  </si>
  <si>
    <t xml:space="preserve"> ARIBAUD </t>
  </si>
  <si>
    <t xml:space="preserve"> Jacquine </t>
  </si>
  <si>
    <t xml:space="preserve"> DEJEUNES </t>
  </si>
  <si>
    <t xml:space="preserve"> TRIBONDEAU </t>
  </si>
  <si>
    <t xml:space="preserve"> DAMBROSIO </t>
  </si>
  <si>
    <t xml:space="preserve"> Olivia </t>
  </si>
  <si>
    <t xml:space="preserve"> KRIEGSHAUSER </t>
  </si>
  <si>
    <t xml:space="preserve"> RAMSAMYNAICK </t>
  </si>
  <si>
    <t xml:space="preserve"> Marie-michele </t>
  </si>
  <si>
    <t xml:space="preserve"> DESMOORT </t>
  </si>
  <si>
    <t xml:space="preserve"> DUCLOUX </t>
  </si>
  <si>
    <t xml:space="preserve"> GASTAUD </t>
  </si>
  <si>
    <t xml:space="preserve"> Raymonde </t>
  </si>
  <si>
    <t xml:space="preserve"> Jasmine </t>
  </si>
  <si>
    <t xml:space="preserve"> DESPLANQUES </t>
  </si>
  <si>
    <t xml:space="preserve"> LEBRETON-THOMERE </t>
  </si>
  <si>
    <t xml:space="preserve"> Marie-odile </t>
  </si>
  <si>
    <t xml:space="preserve"> SYNAVE </t>
  </si>
  <si>
    <t xml:space="preserve"> Ruijuan </t>
  </si>
  <si>
    <t xml:space="preserve"> JEGOUIC </t>
  </si>
  <si>
    <t xml:space="preserve"> Anne-françoise </t>
  </si>
  <si>
    <t xml:space="preserve"> Léa </t>
  </si>
  <si>
    <t xml:space="preserve"> RAYE </t>
  </si>
  <si>
    <t xml:space="preserve"> Raphaëlle </t>
  </si>
  <si>
    <t xml:space="preserve"> HINFRAY </t>
  </si>
  <si>
    <t xml:space="preserve"> PONCHE </t>
  </si>
  <si>
    <t xml:space="preserve"> Christèle </t>
  </si>
  <si>
    <t xml:space="preserve"> ARONDEL </t>
  </si>
  <si>
    <t xml:space="preserve"> PERNIAS </t>
  </si>
  <si>
    <t xml:space="preserve"> MALFIGAN </t>
  </si>
  <si>
    <t xml:space="preserve"> Lucie </t>
  </si>
  <si>
    <t xml:space="preserve"> RUCHAUD </t>
  </si>
  <si>
    <t xml:space="preserve"> LEGEARD </t>
  </si>
  <si>
    <t xml:space="preserve"> BEAUDEAU </t>
  </si>
  <si>
    <t xml:space="preserve"> ROUHET </t>
  </si>
  <si>
    <t xml:space="preserve"> HEMARD </t>
  </si>
  <si>
    <t xml:space="preserve"> DERDINGER </t>
  </si>
  <si>
    <t xml:space="preserve"> TOURRET </t>
  </si>
  <si>
    <t xml:space="preserve"> LALIEVE </t>
  </si>
  <si>
    <t xml:space="preserve"> Gabriela-violet </t>
  </si>
  <si>
    <t xml:space="preserve"> WORTZELMANN </t>
  </si>
  <si>
    <t xml:space="preserve"> COGNARD </t>
  </si>
  <si>
    <t xml:space="preserve"> ROESER </t>
  </si>
  <si>
    <t xml:space="preserve"> SAINT-GEORGES </t>
  </si>
  <si>
    <t xml:space="preserve"> PIVER </t>
  </si>
  <si>
    <t xml:space="preserve"> HACQUET </t>
  </si>
  <si>
    <t xml:space="preserve"> OKRASZEWSKI </t>
  </si>
  <si>
    <t xml:space="preserve"> REJEAUNIER </t>
  </si>
  <si>
    <t xml:space="preserve"> PETIT-JEAN </t>
  </si>
  <si>
    <t xml:space="preserve"> Monik </t>
  </si>
  <si>
    <t xml:space="preserve"> DOURIS </t>
  </si>
  <si>
    <t xml:space="preserve"> DESJACQUES </t>
  </si>
  <si>
    <t xml:space="preserve"> YVONET-MALET </t>
  </si>
  <si>
    <t xml:space="preserve"> CIERNIEWSKI </t>
  </si>
  <si>
    <t xml:space="preserve"> HAMANT </t>
  </si>
  <si>
    <t xml:space="preserve"> Martine sarah </t>
  </si>
  <si>
    <t xml:space="preserve"> JACKSON </t>
  </si>
  <si>
    <t xml:space="preserve"> Ivana </t>
  </si>
  <si>
    <t xml:space="preserve"> FRANCEQUIN </t>
  </si>
  <si>
    <t xml:space="preserve"> LEANDRI </t>
  </si>
  <si>
    <t xml:space="preserve"> VERDIERE </t>
  </si>
  <si>
    <t xml:space="preserve"> LODE </t>
  </si>
  <si>
    <t xml:space="preserve"> Amandine </t>
  </si>
  <si>
    <t xml:space="preserve"> Marie-hélène </t>
  </si>
  <si>
    <t xml:space="preserve"> BOINEAU </t>
  </si>
  <si>
    <t xml:space="preserve"> FARNABE </t>
  </si>
  <si>
    <t xml:space="preserve"> IACONE-HOURGASSAN </t>
  </si>
  <si>
    <t xml:space="preserve"> DE LEPINEGUEN </t>
  </si>
  <si>
    <t xml:space="preserve"> KHARO </t>
  </si>
  <si>
    <t xml:space="preserve"> CLAYE </t>
  </si>
  <si>
    <t xml:space="preserve"> Kathleen </t>
  </si>
  <si>
    <t xml:space="preserve"> LE POL </t>
  </si>
  <si>
    <t xml:space="preserve"> NOIRT </t>
  </si>
  <si>
    <t xml:space="preserve"> CIENKI FOSTIER </t>
  </si>
  <si>
    <t xml:space="preserve"> THIREAU </t>
  </si>
  <si>
    <t xml:space="preserve"> GUERLOT </t>
  </si>
  <si>
    <t xml:space="preserve"> Marie josette </t>
  </si>
  <si>
    <t xml:space="preserve"> FLANDRE </t>
  </si>
  <si>
    <t xml:space="preserve"> FROISSARD </t>
  </si>
  <si>
    <t xml:space="preserve"> Anne-cecile </t>
  </si>
  <si>
    <t xml:space="preserve"> SAUVAGET-DELLUS </t>
  </si>
  <si>
    <t xml:space="preserve"> DELACHAUSSEE </t>
  </si>
  <si>
    <t xml:space="preserve"> Delphyne </t>
  </si>
  <si>
    <t xml:space="preserve"> MONDINI </t>
  </si>
  <si>
    <t xml:space="preserve"> BORGES DA SILVA </t>
  </si>
  <si>
    <t xml:space="preserve"> ARNEFAUD </t>
  </si>
  <si>
    <t xml:space="preserve"> GAUTRELET </t>
  </si>
  <si>
    <t xml:space="preserve"> DRELON </t>
  </si>
  <si>
    <t xml:space="preserve"> VAYR </t>
  </si>
  <si>
    <t xml:space="preserve"> MINERBE </t>
  </si>
  <si>
    <t xml:space="preserve"> RAVELOARIJAONA </t>
  </si>
  <si>
    <t xml:space="preserve"> KUZOSKI </t>
  </si>
  <si>
    <t xml:space="preserve"> LANGLER </t>
  </si>
  <si>
    <t xml:space="preserve"> MAJOIS </t>
  </si>
  <si>
    <t xml:space="preserve"> Soizic </t>
  </si>
  <si>
    <t xml:space="preserve"> PUTZ </t>
  </si>
  <si>
    <t xml:space="preserve"> Sylvine </t>
  </si>
  <si>
    <t xml:space="preserve"> BARBERO </t>
  </si>
  <si>
    <t xml:space="preserve"> PACTON </t>
  </si>
  <si>
    <t xml:space="preserve"> CHAINTREUIL </t>
  </si>
  <si>
    <t xml:space="preserve"> Clara </t>
  </si>
  <si>
    <t xml:space="preserve"> BALCOU LE BORGNE </t>
  </si>
  <si>
    <t xml:space="preserve"> Katy </t>
  </si>
  <si>
    <t xml:space="preserve"> AS TT SCIERIE MOBILE DE B </t>
  </si>
  <si>
    <t xml:space="preserve"> BAIJOT </t>
  </si>
  <si>
    <t xml:space="preserve"> GUIO </t>
  </si>
  <si>
    <t xml:space="preserve"> ZOCCHETTI </t>
  </si>
  <si>
    <t xml:space="preserve"> ROMANELLO </t>
  </si>
  <si>
    <t xml:space="preserve"> FERBUS </t>
  </si>
  <si>
    <t xml:space="preserve"> SUREL </t>
  </si>
  <si>
    <t xml:space="preserve"> Anne-yvonne </t>
  </si>
  <si>
    <t xml:space="preserve"> Marie-lyse </t>
  </si>
  <si>
    <t xml:space="preserve"> Marie-yvonne </t>
  </si>
  <si>
    <t xml:space="preserve"> VILLORO </t>
  </si>
  <si>
    <t xml:space="preserve"> LEPIERRE </t>
  </si>
  <si>
    <t xml:space="preserve"> AUGU </t>
  </si>
  <si>
    <t xml:space="preserve"> WERLE </t>
  </si>
  <si>
    <t xml:space="preserve"> MERMOUD </t>
  </si>
  <si>
    <t xml:space="preserve"> TANTET </t>
  </si>
  <si>
    <t xml:space="preserve"> MAALEM </t>
  </si>
  <si>
    <t xml:space="preserve"> Fatiha </t>
  </si>
  <si>
    <t xml:space="preserve"> BALLIEUX </t>
  </si>
  <si>
    <t xml:space="preserve"> GARDACH - VALERI </t>
  </si>
  <si>
    <t xml:space="preserve"> Pascaline </t>
  </si>
  <si>
    <t xml:space="preserve"> FALLONE </t>
  </si>
  <si>
    <t xml:space="preserve"> SORIANO </t>
  </si>
  <si>
    <t xml:space="preserve"> Marie agnes </t>
  </si>
  <si>
    <t xml:space="preserve"> GUILLOTEL </t>
  </si>
  <si>
    <t xml:space="preserve"> DEMEILLAT </t>
  </si>
  <si>
    <t xml:space="preserve"> DUCLOY </t>
  </si>
  <si>
    <t xml:space="preserve"> DELBROUCK </t>
  </si>
  <si>
    <t xml:space="preserve"> BOURANTE </t>
  </si>
  <si>
    <t xml:space="preserve"> COULOMBEL </t>
  </si>
  <si>
    <t xml:space="preserve"> HUFTIER </t>
  </si>
  <si>
    <t xml:space="preserve"> VIALARD </t>
  </si>
  <si>
    <t xml:space="preserve"> ROBY </t>
  </si>
  <si>
    <t xml:space="preserve"> LAUTOUR </t>
  </si>
  <si>
    <t xml:space="preserve"> SANFILIPPO </t>
  </si>
  <si>
    <t xml:space="preserve"> HARROUARD </t>
  </si>
  <si>
    <t xml:space="preserve"> LEY </t>
  </si>
  <si>
    <t xml:space="preserve"> Jeaninne </t>
  </si>
  <si>
    <t xml:space="preserve"> LESTERLIN </t>
  </si>
  <si>
    <t xml:space="preserve"> MEILLAN </t>
  </si>
  <si>
    <t xml:space="preserve"> BONNAND </t>
  </si>
  <si>
    <t xml:space="preserve"> JORAND </t>
  </si>
  <si>
    <t xml:space="preserve"> Solenn </t>
  </si>
  <si>
    <t xml:space="preserve"> FEDY </t>
  </si>
  <si>
    <t xml:space="preserve"> BULLEUX </t>
  </si>
  <si>
    <t xml:space="preserve"> SALOMON </t>
  </si>
  <si>
    <t xml:space="preserve"> ROURESSOL </t>
  </si>
  <si>
    <t>75013 PARIS</t>
  </si>
  <si>
    <t>CHARENTON TENNIS DE TABLE (08940052)</t>
  </si>
  <si>
    <t>ENTENTE SAINT PIERRAISE TT (09760168)</t>
  </si>
  <si>
    <t>BOIS COLOMBES SPORTS (08920075)</t>
  </si>
  <si>
    <t>BOUAYE A.L. (12440081)</t>
  </si>
  <si>
    <t>FERRIERE VENDEE TENNIS DE TABLE (12850024)</t>
  </si>
  <si>
    <t>DRAVEIL TENNIS DE TABLE (08910214)</t>
  </si>
  <si>
    <t>BRUILLE CTT (07590231)</t>
  </si>
  <si>
    <t>CHOLET TENNIS DE TABLE (12490132)</t>
  </si>
  <si>
    <t>PAVILLONNAIS SE (08930452)</t>
  </si>
  <si>
    <t>CAM BORDEAUX (10330067)</t>
  </si>
  <si>
    <t>A.S. FONDETTES (04370183)</t>
  </si>
  <si>
    <t>COUDUN SL (07600069)</t>
  </si>
  <si>
    <t>BERRICHONNE-CHATEAUROUX (04360454)</t>
  </si>
  <si>
    <t>LE MANS SARTHE TENNIS DE TABLE (12720104)</t>
  </si>
  <si>
    <t>J.S. OUROUX TT (02710041)</t>
  </si>
  <si>
    <t>MANOM J.S. (06570014)</t>
  </si>
  <si>
    <t>RIS ORANGIS US (08910434)</t>
  </si>
  <si>
    <t>CHEVILLY ELAN (08940326)</t>
  </si>
  <si>
    <t>A.S.P.BONIFACIO (05990010)</t>
  </si>
  <si>
    <t>valence-bourg tennis de table (01260054)</t>
  </si>
  <si>
    <t>CMPJM INGRE TT (04450571)</t>
  </si>
  <si>
    <t>CHILLY-MORANGIS CTT (08910918)</t>
  </si>
  <si>
    <t>BOURGETIN CTT (08931011)</t>
  </si>
  <si>
    <t>VALENCIENNES USTT (07590392)</t>
  </si>
  <si>
    <t>ALCL TT GRAND QUEVILLY (09760107)</t>
  </si>
  <si>
    <t>DOMBASLE STT (06540020)</t>
  </si>
  <si>
    <t>CA BEGLAIS (10330003)</t>
  </si>
  <si>
    <t>CLAMART CSM (08920111)</t>
  </si>
  <si>
    <t>CARVIN ATT (07620104)</t>
  </si>
  <si>
    <t>SAINT PAIR BRICQUEVILLE TT (09500117)</t>
  </si>
  <si>
    <t>Argantel Club PLERIN (03220033)</t>
  </si>
  <si>
    <t>DUNKERQUE TTAB (07590050)</t>
  </si>
  <si>
    <t>ST SEBASTIEN P.P.C. (12440021)</t>
  </si>
  <si>
    <t>CANNET COTE D AZUR TT (13060064)</t>
  </si>
  <si>
    <t>NANTES TTCNA (12440002)</t>
  </si>
  <si>
    <t>EAUBONNE CSM (08950978)</t>
  </si>
  <si>
    <t>FC GUEUGNON (02710005)</t>
  </si>
  <si>
    <t>ARGENTEUIL TT (08950623)</t>
  </si>
  <si>
    <t>US TORPES BOUSSIERES (02250024)</t>
  </si>
  <si>
    <t>CLUB PONGISTE DU GATINAIS (04450754)</t>
  </si>
  <si>
    <t>CHATENAY MALABRY T T ASV (08920063)</t>
  </si>
  <si>
    <t>ESK ST-POL DE LEON (03290010)</t>
  </si>
  <si>
    <t>T DE T SELONCOURTOIS (02250017)</t>
  </si>
  <si>
    <t>9D176</t>
  </si>
  <si>
    <t>AIGLONS D ORIENT (319D0401)</t>
  </si>
  <si>
    <t>CP QUEVILLAIS (09760018)</t>
  </si>
  <si>
    <t>St-Palais-Vaux/Mer (10170033)</t>
  </si>
  <si>
    <t>LABOURSE TT (07620060)</t>
  </si>
  <si>
    <t>ROSHEIM CA (06670027)</t>
  </si>
  <si>
    <t>LE MANS S.O MAINE (12720004)</t>
  </si>
  <si>
    <t>A M S L FREJUS (13830029)</t>
  </si>
  <si>
    <t>POMMERIEUX Éclair Sports (12530099)</t>
  </si>
  <si>
    <t>NOISIEL VLAN (08770865)</t>
  </si>
  <si>
    <t>ISIGNY-MONTIGNY ENT P (09500025)</t>
  </si>
  <si>
    <t>NANTERRE ES (08920234)</t>
  </si>
  <si>
    <t>U S MIOSSAISE PING PONG (10330031)</t>
  </si>
  <si>
    <t>AS.CHAILLES TT. (04410697)</t>
  </si>
  <si>
    <t>CHAMBERY TENNIS DE TABLE (01730068)</t>
  </si>
  <si>
    <t>SENLIS TT (07600003)</t>
  </si>
  <si>
    <t>SAINT AVOLD C.T.T. (06570019)</t>
  </si>
  <si>
    <t>ANGERS VAILLANTE Sports TT (12490073)</t>
  </si>
  <si>
    <t>S SOTTEVILLAIS CHEMN C (09760011)</t>
  </si>
  <si>
    <t>CSM FINANCES (08750007)</t>
  </si>
  <si>
    <t>ANNECY TENNIS DE TABLE (01740003)</t>
  </si>
  <si>
    <t>LONGJUMEAU PO (08910359)</t>
  </si>
  <si>
    <t>SABLES D OLONNE AL (12850008)</t>
  </si>
  <si>
    <t>MESNIL ESNARD TT (09760108)</t>
  </si>
  <si>
    <t>VINEUIL SPORTS / SUEVRES TT (04410612)</t>
  </si>
  <si>
    <t>AVION TT (07620100)</t>
  </si>
  <si>
    <t>QUIMPER CORNOUAILLE TT (03290223)</t>
  </si>
  <si>
    <t>BOULOGNE BILLANCOURT AC (08920049)</t>
  </si>
  <si>
    <t>Niort Tennis de Table (10790235)</t>
  </si>
  <si>
    <t>TTC PLOUGOULM (03290039)</t>
  </si>
  <si>
    <t>E.S. VILLENEUVE LOUBET (13060063)</t>
  </si>
  <si>
    <t>PETITE-SYNTHE SM (07590011)</t>
  </si>
  <si>
    <t>SAM TT LESPARRE (10330032)</t>
  </si>
  <si>
    <t>RENNES TOUR D AUVERGNE (03350014)</t>
  </si>
  <si>
    <t>CONDE/NOIREAU SLSN (09140013)</t>
  </si>
  <si>
    <t>TRIGNAC TENNIS DE TABLE (12440038)</t>
  </si>
  <si>
    <t>4S TOURS T.T. (04370002)</t>
  </si>
  <si>
    <t>CHANGÉ Union Sportive (12530060)</t>
  </si>
  <si>
    <t>STENAY P.P.C. (06550009)</t>
  </si>
  <si>
    <t>TAMPON TENNIS DE TABLE (319D0439)</t>
  </si>
  <si>
    <t>MAIZIERES LES METZ T.T. (06570107)</t>
  </si>
  <si>
    <t>CHAPELAINE (LA) (12440033)</t>
  </si>
  <si>
    <t>ST GRATIEN AS (08950083)</t>
  </si>
  <si>
    <t>0665</t>
  </si>
  <si>
    <t>RENNES CERCLE PAUL BERT (03350011)</t>
  </si>
  <si>
    <t>PONTOISE CERGY A.S. (08950330)</t>
  </si>
  <si>
    <t>TT MONTROND LES BAINS (01420048)</t>
  </si>
  <si>
    <t>CHAMPAGNE TT (01690112)</t>
  </si>
  <si>
    <t>NANTES ASGEN (12440012)</t>
  </si>
  <si>
    <t>PING ST JEAN 45 (04450751)</t>
  </si>
  <si>
    <t>RAQUETTE PLOM-TREM-PLUG (03290217)</t>
  </si>
  <si>
    <t>MAHAIN JOKO HASPARREN (10640008)</t>
  </si>
  <si>
    <t>Boissy saint leger ASTT (08941461)</t>
  </si>
  <si>
    <t>CEP ST NICOLAS ALIERMONT (09760007)</t>
  </si>
  <si>
    <t>ST BARTHELEMY T2T (12490062)</t>
  </si>
  <si>
    <t>02587</t>
  </si>
  <si>
    <t>ESPERANCE LEDONIENNE (02390007)</t>
  </si>
  <si>
    <t>BETHUNE-BEUVRY ASTT (07620067)</t>
  </si>
  <si>
    <t>MURS ERIGNE ASITT (12490080)</t>
  </si>
  <si>
    <t>ETRECHY ASETT (08910914)</t>
  </si>
  <si>
    <t>CREPY TT (07021012)</t>
  </si>
  <si>
    <t>BEAUVAIS TT (07600040)</t>
  </si>
  <si>
    <t>DONNERY TT (04450429)</t>
  </si>
  <si>
    <t>Ste GENEVIEVE SP (08910876)</t>
  </si>
  <si>
    <t>C.S.MEMBROLLAIS Tennis de Table (04370151)</t>
  </si>
  <si>
    <t>TRINITE SPORTS TENNIS DE TABLE (13060005)</t>
  </si>
  <si>
    <t>MONTOIR ST MALO TT (12440197)</t>
  </si>
  <si>
    <t>T.T. LA MOTTE SERVOLEX (01730051)</t>
  </si>
  <si>
    <t>US LA CRAU TENNIS DE TABLE (13830044)</t>
  </si>
  <si>
    <t>VILLENEUVE D'ASCQ FOS (07590068)</t>
  </si>
  <si>
    <t>LAVAL BOURNY Tennis de Table (12530114)</t>
  </si>
  <si>
    <t>ENTEN SPORT ARTHON CHEMERE (12440073)</t>
  </si>
  <si>
    <t>VIERZON PING (04180696)</t>
  </si>
  <si>
    <t>CHÂTEAU GONTIER Tennis de Table (12530018)</t>
  </si>
  <si>
    <t>VILLERS ST PAUL US (07600037)</t>
  </si>
  <si>
    <t>0111914</t>
  </si>
  <si>
    <t>09781</t>
  </si>
  <si>
    <t>026914</t>
  </si>
  <si>
    <t>POISSY USC (08780108)</t>
  </si>
  <si>
    <t>PAYS COURVILLOIS TT (04280322)</t>
  </si>
  <si>
    <t>AMO.MER TT. (04410080)</t>
  </si>
  <si>
    <t>BOULOGNE SUR MER ABCP (07620046)</t>
  </si>
  <si>
    <t>US TALENCE (10330011)</t>
  </si>
  <si>
    <t>GOLBEY (06880051)</t>
  </si>
  <si>
    <t>COUTANCES JA TT (09500013)</t>
  </si>
  <si>
    <t>VENIZEL TT (07020031)</t>
  </si>
  <si>
    <t>ASFT TT FONTENAY TRESIGNY (08771518)</t>
  </si>
  <si>
    <t>J D ARC DE DAX (10400002)</t>
  </si>
  <si>
    <t>ASNANS BEAUVOISIN TT (02390046)</t>
  </si>
  <si>
    <t>NICE CAVIGAL TENNIS DE TABLE (13060066)</t>
  </si>
  <si>
    <t>JURANCON T.T. (10640006)</t>
  </si>
  <si>
    <t>SAFFRE TREFFIEUX TT AS (12440182)</t>
  </si>
  <si>
    <t>ATSCAF CLERMONT-FD (01630005)</t>
  </si>
  <si>
    <t>CTT.DEOLS (04360002)</t>
  </si>
  <si>
    <t>COURBEVOIE SPORT TENNIS DE TABLE (08920025)</t>
  </si>
  <si>
    <t>CP PAVILLY (09760041)</t>
  </si>
  <si>
    <t>ST PHILBERT ATHLETIC CLUB (09270110)</t>
  </si>
  <si>
    <t>ST NAZAIRE TENNIS DE TABLE (12440266)</t>
  </si>
  <si>
    <t>LA SAVOUREUSE (02900028)</t>
  </si>
  <si>
    <t>VERNANTES Reveil Vernantais (12490064)</t>
  </si>
  <si>
    <t>ST NAZAIRE LEON BLUM TT (12440049)</t>
  </si>
  <si>
    <t>AS ST VINCENT-BRAGNY (02710049)</t>
  </si>
  <si>
    <t>BILLY BERCLAU TT (07620049)</t>
  </si>
  <si>
    <t>CHEVROLIERE DU LAC TT (12440262)</t>
  </si>
  <si>
    <t>LEGION ST-PIERRE BREST (03290090)</t>
  </si>
  <si>
    <t>LOIRE NORD TT (01420152)</t>
  </si>
  <si>
    <t>MARSEILLE TENNIS DE TABLE (13130162)</t>
  </si>
  <si>
    <t>021166</t>
  </si>
  <si>
    <t>088048</t>
  </si>
  <si>
    <t>0610931</t>
  </si>
  <si>
    <t>CHAMPIONNAT DE FRANCE VÉTÉRANS</t>
  </si>
  <si>
    <t>FÉDÉRATION FRANCAISE DE TENNIS DE TABLE</t>
  </si>
  <si>
    <t>062486</t>
  </si>
  <si>
    <t xml:space="preserve"> ROBICHON CHOUHAM </t>
  </si>
  <si>
    <t xml:space="preserve"> Laila </t>
  </si>
  <si>
    <t>Saison 2018 / 2019</t>
  </si>
  <si>
    <t>Pts Clt
Janvier
 2019</t>
  </si>
  <si>
    <t>Pts Clt
Avril 
2019</t>
  </si>
  <si>
    <t xml:space="preserve"> PLOTUNA </t>
  </si>
  <si>
    <t xml:space="preserve"> Malin </t>
  </si>
  <si>
    <t xml:space="preserve"> DE LA BOURDONNAYE </t>
  </si>
  <si>
    <t xml:space="preserve"> NOURTIER </t>
  </si>
  <si>
    <t xml:space="preserve"> ROUZO </t>
  </si>
  <si>
    <t xml:space="preserve"> JUNQUE </t>
  </si>
  <si>
    <t xml:space="preserve"> Annecy Cran-Gevrier Meyth </t>
  </si>
  <si>
    <t xml:space="preserve"> CABOURG TT </t>
  </si>
  <si>
    <t xml:space="preserve"> HEROLD </t>
  </si>
  <si>
    <t xml:space="preserve"> BABIKIAN </t>
  </si>
  <si>
    <t xml:space="preserve"> BELGUISE </t>
  </si>
  <si>
    <t xml:space="preserve"> LACRIMINI </t>
  </si>
  <si>
    <t xml:space="preserve"> BONNEVIALLE </t>
  </si>
  <si>
    <t xml:space="preserve"> CHEROYAN </t>
  </si>
  <si>
    <t xml:space="preserve"> USM OLIVET TENNIS DE TABL </t>
  </si>
  <si>
    <t xml:space="preserve"> KUPS </t>
  </si>
  <si>
    <t xml:space="preserve"> ARE-ESCANDE </t>
  </si>
  <si>
    <t xml:space="preserve"> GIURESCU </t>
  </si>
  <si>
    <t xml:space="preserve"> Ovidiu </t>
  </si>
  <si>
    <t xml:space="preserve"> NANTES MELLINET (LA) </t>
  </si>
  <si>
    <t xml:space="preserve"> LE BELLEGUIC </t>
  </si>
  <si>
    <t xml:space="preserve"> ESPERANCE ST-QUAY PORTRIE </t>
  </si>
  <si>
    <t xml:space="preserve"> GRAUSEM </t>
  </si>
  <si>
    <t xml:space="preserve"> PRADELLE </t>
  </si>
  <si>
    <t xml:space="preserve"> MAGGIOLINI </t>
  </si>
  <si>
    <t xml:space="preserve"> Franckie </t>
  </si>
  <si>
    <t xml:space="preserve"> MARMION </t>
  </si>
  <si>
    <t xml:space="preserve"> FLOREA </t>
  </si>
  <si>
    <t xml:space="preserve"> Lica </t>
  </si>
  <si>
    <t xml:space="preserve"> KHING </t>
  </si>
  <si>
    <t xml:space="preserve"> Danid </t>
  </si>
  <si>
    <t xml:space="preserve"> YAOUDARENE </t>
  </si>
  <si>
    <t xml:space="preserve"> WADOUX </t>
  </si>
  <si>
    <t xml:space="preserve"> SI AHMED </t>
  </si>
  <si>
    <t xml:space="preserve"> Nadjib </t>
  </si>
  <si>
    <t xml:space="preserve"> EL YACOUBI </t>
  </si>
  <si>
    <t xml:space="preserve"> Tarak </t>
  </si>
  <si>
    <t xml:space="preserve"> LEGDALI </t>
  </si>
  <si>
    <t xml:space="preserve"> Abdelhadi </t>
  </si>
  <si>
    <t xml:space="preserve"> VIENNOT </t>
  </si>
  <si>
    <t xml:space="preserve"> TIBAUDO </t>
  </si>
  <si>
    <t xml:space="preserve"> PALENGAT </t>
  </si>
  <si>
    <t xml:space="preserve"> NOULARD </t>
  </si>
  <si>
    <t xml:space="preserve"> BELLEVIGNY ESBV </t>
  </si>
  <si>
    <t xml:space="preserve"> ANSOLA ALLEMANY </t>
  </si>
  <si>
    <t xml:space="preserve"> CAMION </t>
  </si>
  <si>
    <t xml:space="preserve"> GRUEZ </t>
  </si>
  <si>
    <t xml:space="preserve"> OLRY </t>
  </si>
  <si>
    <t xml:space="preserve"> TT GRACES </t>
  </si>
  <si>
    <t xml:space="preserve"> AVOL </t>
  </si>
  <si>
    <t xml:space="preserve"> JANKI </t>
  </si>
  <si>
    <t xml:space="preserve"> THILLIER </t>
  </si>
  <si>
    <t xml:space="preserve"> TROARN TT </t>
  </si>
  <si>
    <t xml:space="preserve"> KASPER </t>
  </si>
  <si>
    <t xml:space="preserve"> BETTENDORF </t>
  </si>
  <si>
    <t xml:space="preserve"> HABUDA </t>
  </si>
  <si>
    <t xml:space="preserve"> BREVAUX </t>
  </si>
  <si>
    <t xml:space="preserve"> SCHILTIGHEIM Tennis de Ta </t>
  </si>
  <si>
    <t xml:space="preserve"> RICCO </t>
  </si>
  <si>
    <t xml:space="preserve"> MATENET </t>
  </si>
  <si>
    <t xml:space="preserve"> VISONNEAU </t>
  </si>
  <si>
    <t xml:space="preserve"> GANCEL </t>
  </si>
  <si>
    <t xml:space="preserve"> PIVRON </t>
  </si>
  <si>
    <t xml:space="preserve"> Y </t>
  </si>
  <si>
    <t xml:space="preserve"> LE HIR </t>
  </si>
  <si>
    <t xml:space="preserve"> GRIZARD </t>
  </si>
  <si>
    <t xml:space="preserve"> SUEUR - DA COSTA </t>
  </si>
  <si>
    <t xml:space="preserve"> BACHETTI </t>
  </si>
  <si>
    <t xml:space="preserve"> VILLEURBANNE TENNIS DE TA </t>
  </si>
  <si>
    <t xml:space="preserve"> LIMARGUE FIGEAC SAINT-CER </t>
  </si>
  <si>
    <t xml:space="preserve"> PALUYAN </t>
  </si>
  <si>
    <t xml:space="preserve"> Ari </t>
  </si>
  <si>
    <t xml:space="preserve"> COURSAT </t>
  </si>
  <si>
    <t xml:space="preserve"> GIANNETTO </t>
  </si>
  <si>
    <t xml:space="preserve"> SAINT-REMY-CHEVREUSE TT </t>
  </si>
  <si>
    <t xml:space="preserve"> TOULOUSE O A C TT </t>
  </si>
  <si>
    <t xml:space="preserve"> LEYSEN </t>
  </si>
  <si>
    <t xml:space="preserve"> Dimitry </t>
  </si>
  <si>
    <t xml:space="preserve"> CORTET </t>
  </si>
  <si>
    <t xml:space="preserve"> VILLERS BOCAGE US </t>
  </si>
  <si>
    <t xml:space="preserve"> BOUGHANEM </t>
  </si>
  <si>
    <t xml:space="preserve"> Lias </t>
  </si>
  <si>
    <t xml:space="preserve"> GINGOLD </t>
  </si>
  <si>
    <t xml:space="preserve"> Nathaniel </t>
  </si>
  <si>
    <t xml:space="preserve"> VANLIERDE </t>
  </si>
  <si>
    <t xml:space="preserve"> SOMVILLE </t>
  </si>
  <si>
    <t xml:space="preserve"> PANSU </t>
  </si>
  <si>
    <t xml:space="preserve"> TALBA </t>
  </si>
  <si>
    <t xml:space="preserve"> BEKHTI </t>
  </si>
  <si>
    <t xml:space="preserve"> SANSANO </t>
  </si>
  <si>
    <t xml:space="preserve"> FUMEAU </t>
  </si>
  <si>
    <t xml:space="preserve"> Angely </t>
  </si>
  <si>
    <t xml:space="preserve"> LAFOLIE </t>
  </si>
  <si>
    <t xml:space="preserve"> ST MICHEL SPORT TENNIS DE </t>
  </si>
  <si>
    <t xml:space="preserve"> CHEVALARIAS </t>
  </si>
  <si>
    <t xml:space="preserve"> MELONI </t>
  </si>
  <si>
    <t xml:space="preserve"> BAILLOUX </t>
  </si>
  <si>
    <t xml:space="preserve"> WATTRE </t>
  </si>
  <si>
    <t xml:space="preserve"> CUBERO </t>
  </si>
  <si>
    <t xml:space="preserve"> LASAK </t>
  </si>
  <si>
    <t xml:space="preserve"> MONTIVILLIERS T T </t>
  </si>
  <si>
    <t xml:space="preserve"> ARTUIT </t>
  </si>
  <si>
    <t xml:space="preserve"> URAI </t>
  </si>
  <si>
    <t xml:space="preserve"> Thanousinh </t>
  </si>
  <si>
    <t xml:space="preserve"> ASM BELFORT FROIDEVAL TT </t>
  </si>
  <si>
    <t xml:space="preserve"> ALINCANT </t>
  </si>
  <si>
    <t xml:space="preserve"> ARSLANIAN </t>
  </si>
  <si>
    <t xml:space="preserve"> A. LESCARIENNE TT </t>
  </si>
  <si>
    <t xml:space="preserve"> MAUHOURAT </t>
  </si>
  <si>
    <t xml:space="preserve"> Arno </t>
  </si>
  <si>
    <t xml:space="preserve"> SEUILLET </t>
  </si>
  <si>
    <t xml:space="preserve"> TOURS SUR MARNE TENNIS DE </t>
  </si>
  <si>
    <t xml:space="preserve"> GROSSMANN </t>
  </si>
  <si>
    <t xml:space="preserve"> PERPIGNAN ROUSSILLON TENN </t>
  </si>
  <si>
    <t xml:space="preserve"> SPORTING CLUB LAMENTINOIS </t>
  </si>
  <si>
    <t xml:space="preserve"> BRYL </t>
  </si>
  <si>
    <t xml:space="preserve"> TAILLY </t>
  </si>
  <si>
    <t xml:space="preserve"> SPORTING PARIS 20 TT </t>
  </si>
  <si>
    <t xml:space="preserve"> Jean benoit </t>
  </si>
  <si>
    <t xml:space="preserve"> DEBERSEE </t>
  </si>
  <si>
    <t xml:space="preserve"> CHANROUX </t>
  </si>
  <si>
    <t xml:space="preserve"> GUEUGNEAUD </t>
  </si>
  <si>
    <t xml:space="preserve"> THELLIER </t>
  </si>
  <si>
    <t xml:space="preserve"> STEIN </t>
  </si>
  <si>
    <t xml:space="preserve"> HU WEI </t>
  </si>
  <si>
    <t xml:space="preserve"> Long </t>
  </si>
  <si>
    <t xml:space="preserve"> BUFFLIER </t>
  </si>
  <si>
    <t xml:space="preserve"> BOTRAS </t>
  </si>
  <si>
    <t xml:space="preserve"> PATIN </t>
  </si>
  <si>
    <t xml:space="preserve"> SUAUDEAU </t>
  </si>
  <si>
    <t xml:space="preserve"> BELLONIE </t>
  </si>
  <si>
    <t xml:space="preserve"> RAVILLION </t>
  </si>
  <si>
    <t xml:space="preserve"> BANH </t>
  </si>
  <si>
    <t xml:space="preserve"> RIFF </t>
  </si>
  <si>
    <t xml:space="preserve"> CHAMBARET </t>
  </si>
  <si>
    <t xml:space="preserve"> FILLIERE </t>
  </si>
  <si>
    <t xml:space="preserve"> TEAM LUCIAN TAUT 06 TT NI </t>
  </si>
  <si>
    <t xml:space="preserve"> VENAYRE </t>
  </si>
  <si>
    <t xml:space="preserve"> Tom </t>
  </si>
  <si>
    <t xml:space="preserve"> DUBRAI </t>
  </si>
  <si>
    <t xml:space="preserve"> AS DOMATS TENNIS DE TABLE </t>
  </si>
  <si>
    <t xml:space="preserve"> TT LOUANNEC PLOUARET LANN </t>
  </si>
  <si>
    <t xml:space="preserve"> Bérenger </t>
  </si>
  <si>
    <t xml:space="preserve"> LE BOUFFO </t>
  </si>
  <si>
    <t xml:space="preserve"> BASTIANI </t>
  </si>
  <si>
    <t xml:space="preserve"> PLESTIN LES GREVES TT </t>
  </si>
  <si>
    <t xml:space="preserve"> POBEREJKO </t>
  </si>
  <si>
    <t xml:space="preserve"> DUBURCH </t>
  </si>
  <si>
    <t xml:space="preserve"> METURA </t>
  </si>
  <si>
    <t xml:space="preserve"> TARDIVEL </t>
  </si>
  <si>
    <t xml:space="preserve"> LOUVIER </t>
  </si>
  <si>
    <t xml:space="preserve"> 369G0002 </t>
  </si>
  <si>
    <t xml:space="preserve"> POUTOU BEBEROU T.T </t>
  </si>
  <si>
    <t xml:space="preserve"> BESSEMOULIN </t>
  </si>
  <si>
    <t xml:space="preserve"> FOYER RURAL DE VAILHAUQUE </t>
  </si>
  <si>
    <t xml:space="preserve"> JACQUEMONT </t>
  </si>
  <si>
    <t xml:space="preserve"> BIZIOU </t>
  </si>
  <si>
    <t xml:space="preserve"> DELANSAY </t>
  </si>
  <si>
    <t xml:space="preserve"> LEZIGNAN CORBIERES MJC TT </t>
  </si>
  <si>
    <t xml:space="preserve"> DABONVILLE </t>
  </si>
  <si>
    <t xml:space="preserve"> ROBIDEL </t>
  </si>
  <si>
    <t xml:space="preserve"> Yves-alan </t>
  </si>
  <si>
    <t xml:space="preserve"> NANTES ST JOSEPH T.T. </t>
  </si>
  <si>
    <t xml:space="preserve"> DODIN </t>
  </si>
  <si>
    <t xml:space="preserve"> VERBIESE </t>
  </si>
  <si>
    <t xml:space="preserve"> UP Monistrol Ste-sigolène </t>
  </si>
  <si>
    <t xml:space="preserve"> SADMI </t>
  </si>
  <si>
    <t xml:space="preserve"> ALBAUT </t>
  </si>
  <si>
    <t xml:space="preserve"> GAMRACYT </t>
  </si>
  <si>
    <t xml:space="preserve"> DREBOT </t>
  </si>
  <si>
    <t xml:space="preserve"> LE BRIZE </t>
  </si>
  <si>
    <t xml:space="preserve"> ISSENHUTH </t>
  </si>
  <si>
    <t xml:space="preserve"> PARAIRE </t>
  </si>
  <si>
    <t xml:space="preserve"> ADDE </t>
  </si>
  <si>
    <t xml:space="preserve"> CUISSE </t>
  </si>
  <si>
    <t xml:space="preserve"> ZOUIOUECHE </t>
  </si>
  <si>
    <t xml:space="preserve"> ROBERTO </t>
  </si>
  <si>
    <t xml:space="preserve"> CASTELHANO </t>
  </si>
  <si>
    <t xml:space="preserve"> Jose carlos </t>
  </si>
  <si>
    <t xml:space="preserve"> COEUGNIET </t>
  </si>
  <si>
    <t xml:space="preserve"> ST OUEN S/ITON TT </t>
  </si>
  <si>
    <t xml:space="preserve"> HERGNIES  CTT </t>
  </si>
  <si>
    <t xml:space="preserve"> VAN LANDEGHEM </t>
  </si>
  <si>
    <t xml:space="preserve"> CHAKMAKIAN </t>
  </si>
  <si>
    <t xml:space="preserve"> LAUTRIDOU </t>
  </si>
  <si>
    <t xml:space="preserve"> LE DEM </t>
  </si>
  <si>
    <t xml:space="preserve"> BOZONNET </t>
  </si>
  <si>
    <t xml:space="preserve"> LANDRAIN </t>
  </si>
  <si>
    <t xml:space="preserve"> BIANCHETTI </t>
  </si>
  <si>
    <t xml:space="preserve"> A.S. CROSSEY Tennis de Ta </t>
  </si>
  <si>
    <t xml:space="preserve"> APOUX </t>
  </si>
  <si>
    <t xml:space="preserve"> TT BILLOM </t>
  </si>
  <si>
    <t xml:space="preserve"> VACHERON </t>
  </si>
  <si>
    <t xml:space="preserve"> ESSARTS AGSE </t>
  </si>
  <si>
    <t xml:space="preserve"> DELLEZAY </t>
  </si>
  <si>
    <t xml:space="preserve"> MOCQUAIS </t>
  </si>
  <si>
    <t xml:space="preserve"> THURY </t>
  </si>
  <si>
    <t xml:space="preserve"> AMICALE PONGISTE WOLXHEIM </t>
  </si>
  <si>
    <t xml:space="preserve"> ANTOINE MICHARD </t>
  </si>
  <si>
    <t xml:space="preserve"> PRESQU'ILE de CROZON TT </t>
  </si>
  <si>
    <t xml:space="preserve"> ALEM </t>
  </si>
  <si>
    <t xml:space="preserve"> BRUTEL </t>
  </si>
  <si>
    <t xml:space="preserve"> BEATRIX </t>
  </si>
  <si>
    <t xml:space="preserve"> Avenir TT DUCEY AVRANCHES </t>
  </si>
  <si>
    <t xml:space="preserve"> RENOLLEAU </t>
  </si>
  <si>
    <t xml:space="preserve"> MAZAN </t>
  </si>
  <si>
    <t xml:space="preserve"> TALIBART </t>
  </si>
  <si>
    <t xml:space="preserve"> ARMOR PING PLOUFRAGAN </t>
  </si>
  <si>
    <t xml:space="preserve"> CAILLOIN </t>
  </si>
  <si>
    <t xml:space="preserve"> TESTU </t>
  </si>
  <si>
    <t xml:space="preserve"> GOULEAU </t>
  </si>
  <si>
    <t xml:space="preserve"> DESSOMME </t>
  </si>
  <si>
    <t xml:space="preserve"> AURAT </t>
  </si>
  <si>
    <t xml:space="preserve"> SL. VICHY TT </t>
  </si>
  <si>
    <t xml:space="preserve"> Alain-jean </t>
  </si>
  <si>
    <t xml:space="preserve"> DORDENART </t>
  </si>
  <si>
    <t xml:space="preserve"> LA CHATELAUDRINAISE </t>
  </si>
  <si>
    <t xml:space="preserve"> CHAIZE </t>
  </si>
  <si>
    <t xml:space="preserve"> DRIGO </t>
  </si>
  <si>
    <t xml:space="preserve"> MALECOT </t>
  </si>
  <si>
    <t xml:space="preserve"> GOURNAY Tennis de Table </t>
  </si>
  <si>
    <t xml:space="preserve"> HUSY </t>
  </si>
  <si>
    <t xml:space="preserve"> MOTTI </t>
  </si>
  <si>
    <t xml:space="preserve"> BONVALOT </t>
  </si>
  <si>
    <t xml:space="preserve"> JACINTO </t>
  </si>
  <si>
    <t xml:space="preserve"> Louis michel </t>
  </si>
  <si>
    <t xml:space="preserve"> DEVOLDER </t>
  </si>
  <si>
    <t xml:space="preserve"> THAON CREULLY TENNIS DE T </t>
  </si>
  <si>
    <t xml:space="preserve"> FOVET </t>
  </si>
  <si>
    <t xml:space="preserve"> DELATTE </t>
  </si>
  <si>
    <t xml:space="preserve"> MARGUERON </t>
  </si>
  <si>
    <t xml:space="preserve"> CHARVOT </t>
  </si>
  <si>
    <t xml:space="preserve"> T.T. PLEMET </t>
  </si>
  <si>
    <t xml:space="preserve"> BONNARDE </t>
  </si>
  <si>
    <t xml:space="preserve"> LEBRUMAN </t>
  </si>
  <si>
    <t xml:space="preserve"> PTIT-RED &amp; ENCHEN TT </t>
  </si>
  <si>
    <t xml:space="preserve"> DANIELSKY </t>
  </si>
  <si>
    <t xml:space="preserve"> SENOUSSI </t>
  </si>
  <si>
    <t xml:space="preserve"> DERIEN </t>
  </si>
  <si>
    <t xml:space="preserve"> Lei </t>
  </si>
  <si>
    <t xml:space="preserve"> PENLAND </t>
  </si>
  <si>
    <t xml:space="preserve"> OREE D'ANJOU TT </t>
  </si>
  <si>
    <t xml:space="preserve"> KECH </t>
  </si>
  <si>
    <t xml:space="preserve"> Hak </t>
  </si>
  <si>
    <t xml:space="preserve"> BENALLAL-LECAT </t>
  </si>
  <si>
    <t xml:space="preserve"> WALKOWIAK </t>
  </si>
  <si>
    <t xml:space="preserve"> BILLEUX </t>
  </si>
  <si>
    <t xml:space="preserve"> DE VENDEUIL </t>
  </si>
  <si>
    <t xml:space="preserve"> TT CLISSONNAIS </t>
  </si>
  <si>
    <t xml:space="preserve"> HELL </t>
  </si>
  <si>
    <t xml:space="preserve"> PENISSAT </t>
  </si>
  <si>
    <t xml:space="preserve"> BARROCHE </t>
  </si>
  <si>
    <t xml:space="preserve"> PAUZET </t>
  </si>
  <si>
    <t xml:space="preserve"> LAMAND </t>
  </si>
  <si>
    <t xml:space="preserve"> PAJANIANDY </t>
  </si>
  <si>
    <t xml:space="preserve"> Paul-patrick </t>
  </si>
  <si>
    <t xml:space="preserve"> 319D0466 </t>
  </si>
  <si>
    <t xml:space="preserve"> Sainte-Suzanne tennis de </t>
  </si>
  <si>
    <t xml:space="preserve"> PPC ASSEVENT </t>
  </si>
  <si>
    <t xml:space="preserve"> LEPONT </t>
  </si>
  <si>
    <t xml:space="preserve"> BENALAYA </t>
  </si>
  <si>
    <t xml:space="preserve"> VAL de LIEPVRE ASL </t>
  </si>
  <si>
    <t xml:space="preserve"> LEOCAT </t>
  </si>
  <si>
    <t xml:space="preserve"> AL VILLECRESNES TENNIS DE </t>
  </si>
  <si>
    <t xml:space="preserve"> US PLOUBALAY </t>
  </si>
  <si>
    <t xml:space="preserve"> FERMENTEL </t>
  </si>
  <si>
    <t xml:space="preserve"> PACH </t>
  </si>
  <si>
    <t xml:space="preserve"> SENNER </t>
  </si>
  <si>
    <t xml:space="preserve"> CAUJOLLE </t>
  </si>
  <si>
    <t xml:space="preserve"> CARBONARO </t>
  </si>
  <si>
    <t xml:space="preserve"> BIXQUERT </t>
  </si>
  <si>
    <t xml:space="preserve"> CASTELOOT </t>
  </si>
  <si>
    <t xml:space="preserve"> ESCOLAN </t>
  </si>
  <si>
    <t xml:space="preserve"> PILANDON </t>
  </si>
  <si>
    <t xml:space="preserve"> CROSAZ </t>
  </si>
  <si>
    <t xml:space="preserve"> DE GREEF </t>
  </si>
  <si>
    <t xml:space="preserve"> Bonann </t>
  </si>
  <si>
    <t xml:space="preserve"> HA PHONG </t>
  </si>
  <si>
    <t xml:space="preserve"> SAROUMA </t>
  </si>
  <si>
    <t xml:space="preserve"> Soidiki </t>
  </si>
  <si>
    <t xml:space="preserve"> LE GENEST </t>
  </si>
  <si>
    <t xml:space="preserve"> VAUGIRARD </t>
  </si>
  <si>
    <t xml:space="preserve"> LETOURNEL </t>
  </si>
  <si>
    <t xml:space="preserve"> CATELAND </t>
  </si>
  <si>
    <t xml:space="preserve"> CP CANYCAIS </t>
  </si>
  <si>
    <t xml:space="preserve"> CANEVET </t>
  </si>
  <si>
    <t xml:space="preserve"> HOSOTTE </t>
  </si>
  <si>
    <t xml:space="preserve"> TT MALREVERS BLAVOZY </t>
  </si>
  <si>
    <t xml:space="preserve"> TONGUET </t>
  </si>
  <si>
    <t xml:space="preserve"> DELLA BIANCA </t>
  </si>
  <si>
    <t xml:space="preserve"> VUIBERT </t>
  </si>
  <si>
    <t xml:space="preserve"> JOUANNES </t>
  </si>
  <si>
    <t xml:space="preserve"> KALUZNY </t>
  </si>
  <si>
    <t xml:space="preserve"> SOPENA </t>
  </si>
  <si>
    <t xml:space="preserve"> TULLIEZ </t>
  </si>
  <si>
    <t xml:space="preserve"> ALLANE </t>
  </si>
  <si>
    <t xml:space="preserve"> ST MESMIN-VALLANT TT </t>
  </si>
  <si>
    <t xml:space="preserve"> SALOT </t>
  </si>
  <si>
    <t xml:space="preserve"> DAUMAS </t>
  </si>
  <si>
    <t xml:space="preserve"> GRAPPOTTE </t>
  </si>
  <si>
    <t xml:space="preserve"> PERVIER </t>
  </si>
  <si>
    <t xml:space="preserve"> GAUDUCHEAU </t>
  </si>
  <si>
    <t xml:space="preserve"> BLONDEEL </t>
  </si>
  <si>
    <t xml:space="preserve"> MATURSKI </t>
  </si>
  <si>
    <t xml:space="preserve"> MORMANT Tennis de Table </t>
  </si>
  <si>
    <t xml:space="preserve"> PAVAUT </t>
  </si>
  <si>
    <t xml:space="preserve"> GAUDENOT </t>
  </si>
  <si>
    <t xml:space="preserve"> COURREGES </t>
  </si>
  <si>
    <t xml:space="preserve"> GEHENN </t>
  </si>
  <si>
    <t xml:space="preserve"> St Savin St Germain CTT </t>
  </si>
  <si>
    <t xml:space="preserve"> T.T. DU PAYS ROCHOIS </t>
  </si>
  <si>
    <t xml:space="preserve"> BOUBAY </t>
  </si>
  <si>
    <t xml:space="preserve"> MORDI </t>
  </si>
  <si>
    <t xml:space="preserve"> LONGEFAY </t>
  </si>
  <si>
    <t xml:space="preserve"> VAAS </t>
  </si>
  <si>
    <t xml:space="preserve"> TENNIS DE TABLE 3 ROCHERS </t>
  </si>
  <si>
    <t xml:space="preserve"> CELETTI </t>
  </si>
  <si>
    <t xml:space="preserve"> TT CUSSET </t>
  </si>
  <si>
    <t xml:space="preserve"> PREVOSTAT </t>
  </si>
  <si>
    <t xml:space="preserve"> CS MEAUX TT </t>
  </si>
  <si>
    <t xml:space="preserve"> MUSARD </t>
  </si>
  <si>
    <t xml:space="preserve"> HUGAIN </t>
  </si>
  <si>
    <t xml:space="preserve"> DIBLING </t>
  </si>
  <si>
    <t xml:space="preserve"> GANDOLFO </t>
  </si>
  <si>
    <t xml:space="preserve"> COGNEE </t>
  </si>
  <si>
    <t xml:space="preserve"> GRAND COURONNE TENNIS DE </t>
  </si>
  <si>
    <t xml:space="preserve"> BUREK </t>
  </si>
  <si>
    <t xml:space="preserve"> KOCHLI </t>
  </si>
  <si>
    <t xml:space="preserve"> LEGUILLIER </t>
  </si>
  <si>
    <t xml:space="preserve"> FUGIER </t>
  </si>
  <si>
    <t xml:space="preserve"> HELLERINGER </t>
  </si>
  <si>
    <t xml:space="preserve"> GUITTIENNE </t>
  </si>
  <si>
    <t xml:space="preserve"> TOUX </t>
  </si>
  <si>
    <t xml:space="preserve"> Jean-benoît </t>
  </si>
  <si>
    <t xml:space="preserve"> BREGEON </t>
  </si>
  <si>
    <t xml:space="preserve"> VILLAGEOIS </t>
  </si>
  <si>
    <t xml:space="preserve"> MASSEL </t>
  </si>
  <si>
    <t xml:space="preserve"> CL MARSANNAY TENNIS DE TA </t>
  </si>
  <si>
    <t xml:space="preserve"> CORBAS TENNIS DE TABLE </t>
  </si>
  <si>
    <t xml:space="preserve"> BEZARD </t>
  </si>
  <si>
    <t xml:space="preserve"> SENEK </t>
  </si>
  <si>
    <t xml:space="preserve"> CATTIAUX </t>
  </si>
  <si>
    <t xml:space="preserve"> VAUDAN </t>
  </si>
  <si>
    <t xml:space="preserve"> KEOHEUANGPRASEUTH </t>
  </si>
  <si>
    <t xml:space="preserve"> DELANNOIS </t>
  </si>
  <si>
    <t xml:space="preserve"> TENNIS DE TABLE SUD CHER </t>
  </si>
  <si>
    <t xml:space="preserve"> NEUVILLE SPORTS TT </t>
  </si>
  <si>
    <t xml:space="preserve"> TT MONTS ET VALLEES </t>
  </si>
  <si>
    <t xml:space="preserve"> PLUMECOCQ </t>
  </si>
  <si>
    <t xml:space="preserve"> CLETON </t>
  </si>
  <si>
    <t xml:space="preserve"> BOURDELAIS </t>
  </si>
  <si>
    <t xml:space="preserve"> ORDENER </t>
  </si>
  <si>
    <t xml:space="preserve"> MAHIEZ </t>
  </si>
  <si>
    <t xml:space="preserve"> KRAJDA </t>
  </si>
  <si>
    <t xml:space="preserve"> BECANE </t>
  </si>
  <si>
    <t xml:space="preserve"> SEGANTI </t>
  </si>
  <si>
    <t xml:space="preserve"> BARBEYRON </t>
  </si>
  <si>
    <t xml:space="preserve"> Sullivan </t>
  </si>
  <si>
    <t xml:space="preserve"> THORIGNE </t>
  </si>
  <si>
    <t xml:space="preserve"> Servan </t>
  </si>
  <si>
    <t xml:space="preserve"> VESVAL </t>
  </si>
  <si>
    <t xml:space="preserve"> METREAU </t>
  </si>
  <si>
    <t xml:space="preserve"> AS VILLEREST TENNIS DE TA </t>
  </si>
  <si>
    <t xml:space="preserve"> PIROUELLE </t>
  </si>
  <si>
    <t xml:space="preserve"> LIMOGES C.A.P.O TT (87) </t>
  </si>
  <si>
    <t xml:space="preserve"> SULLI </t>
  </si>
  <si>
    <t xml:space="preserve"> DUMUR </t>
  </si>
  <si>
    <t xml:space="preserve"> CAILLEAUD </t>
  </si>
  <si>
    <t xml:space="preserve"> PEINOT </t>
  </si>
  <si>
    <t xml:space="preserve"> GARAIX </t>
  </si>
  <si>
    <t xml:space="preserve"> JACQUOLANDIN Tennis de Ta </t>
  </si>
  <si>
    <t xml:space="preserve"> TT PONT DE BUIS </t>
  </si>
  <si>
    <t xml:space="preserve"> SANTIER </t>
  </si>
  <si>
    <t xml:space="preserve"> MUEL </t>
  </si>
  <si>
    <t xml:space="preserve"> BREJAUD </t>
  </si>
  <si>
    <t xml:space="preserve"> MIEDAN PEISEY </t>
  </si>
  <si>
    <t xml:space="preserve"> YOUENOU </t>
  </si>
  <si>
    <t xml:space="preserve"> PARTAUD </t>
  </si>
  <si>
    <t xml:space="preserve"> VALIENNE </t>
  </si>
  <si>
    <t xml:space="preserve"> SALLET </t>
  </si>
  <si>
    <t xml:space="preserve"> Jacob </t>
  </si>
  <si>
    <t xml:space="preserve"> LAGRELE </t>
  </si>
  <si>
    <t xml:space="preserve"> LABADIE </t>
  </si>
  <si>
    <t xml:space="preserve"> SCOLARI </t>
  </si>
  <si>
    <t xml:space="preserve"> DAGUISE </t>
  </si>
  <si>
    <t xml:space="preserve"> AROUS </t>
  </si>
  <si>
    <t xml:space="preserve"> SBARDELLINI </t>
  </si>
  <si>
    <t xml:space="preserve"> LINDOR </t>
  </si>
  <si>
    <t xml:space="preserve"> CLASTRES </t>
  </si>
  <si>
    <t xml:space="preserve"> ES JONAGE Tennis de table </t>
  </si>
  <si>
    <t xml:space="preserve"> DEL FURIA </t>
  </si>
  <si>
    <t xml:space="preserve"> ALLE </t>
  </si>
  <si>
    <t xml:space="preserve"> UNITE SPORTIVE FERTESIENN </t>
  </si>
  <si>
    <t xml:space="preserve"> VIRAY </t>
  </si>
  <si>
    <t xml:space="preserve"> FEVRAT </t>
  </si>
  <si>
    <t xml:space="preserve"> PETITPIERRE </t>
  </si>
  <si>
    <t xml:space="preserve"> GRUNY </t>
  </si>
  <si>
    <t xml:space="preserve"> T'KINDT </t>
  </si>
  <si>
    <t xml:space="preserve"> DAMBON </t>
  </si>
  <si>
    <t xml:space="preserve"> MAINGUENEAU </t>
  </si>
  <si>
    <t xml:space="preserve"> TENNIS DE TABLE DAMPRICHA </t>
  </si>
  <si>
    <t xml:space="preserve"> SABLE </t>
  </si>
  <si>
    <t xml:space="preserve"> ADEL </t>
  </si>
  <si>
    <t xml:space="preserve"> CAILLEAU </t>
  </si>
  <si>
    <t xml:space="preserve"> BIDANT </t>
  </si>
  <si>
    <t xml:space="preserve"> MAITIA </t>
  </si>
  <si>
    <t xml:space="preserve"> HAUDEGOND </t>
  </si>
  <si>
    <t xml:space="preserve"> DILLENSEGER </t>
  </si>
  <si>
    <t xml:space="preserve"> VERLEENE </t>
  </si>
  <si>
    <t xml:space="preserve"> GAUNARD </t>
  </si>
  <si>
    <t xml:space="preserve"> NIGER </t>
  </si>
  <si>
    <t xml:space="preserve"> T.T. BENAISIEN </t>
  </si>
  <si>
    <t xml:space="preserve"> MET </t>
  </si>
  <si>
    <t xml:space="preserve"> Jeanne D'ARC EVREUX </t>
  </si>
  <si>
    <t xml:space="preserve"> FOTINAR </t>
  </si>
  <si>
    <t xml:space="preserve"> Mien-sanh </t>
  </si>
  <si>
    <t xml:space="preserve"> CORRAL </t>
  </si>
  <si>
    <t xml:space="preserve"> BECHT </t>
  </si>
  <si>
    <t xml:space="preserve"> DAUWE </t>
  </si>
  <si>
    <t xml:space="preserve"> SYRYKHANE </t>
  </si>
  <si>
    <t xml:space="preserve"> Thomas bounmy </t>
  </si>
  <si>
    <t xml:space="preserve"> BOURILLOT </t>
  </si>
  <si>
    <t xml:space="preserve"> BRISTOT </t>
  </si>
  <si>
    <t xml:space="preserve"> LABOSSE </t>
  </si>
  <si>
    <t xml:space="preserve"> DEILHES </t>
  </si>
  <si>
    <t xml:space="preserve"> TRETON </t>
  </si>
  <si>
    <t xml:space="preserve"> FINCKBOHNER </t>
  </si>
  <si>
    <t xml:space="preserve"> UP PLEDRANAISE </t>
  </si>
  <si>
    <t xml:space="preserve"> CHOR </t>
  </si>
  <si>
    <t xml:space="preserve"> Sopheak </t>
  </si>
  <si>
    <t xml:space="preserve"> FAGON </t>
  </si>
  <si>
    <t xml:space="preserve"> HOFFNER </t>
  </si>
  <si>
    <t xml:space="preserve"> DERQUENNE </t>
  </si>
  <si>
    <t xml:space="preserve"> SENTUC </t>
  </si>
  <si>
    <t xml:space="preserve"> UBERTINO </t>
  </si>
  <si>
    <t xml:space="preserve"> GOUDELIN/PLOUHA T.T. </t>
  </si>
  <si>
    <t xml:space="preserve"> RELAIS </t>
  </si>
  <si>
    <t xml:space="preserve"> CHARLY-ETAMPES PING CONCE </t>
  </si>
  <si>
    <t xml:space="preserve"> JACQUEMET </t>
  </si>
  <si>
    <t xml:space="preserve"> FISMES ARDRE VESLE US </t>
  </si>
  <si>
    <t xml:space="preserve"> Sovathar </t>
  </si>
  <si>
    <t xml:space="preserve"> ALLONCLE </t>
  </si>
  <si>
    <t xml:space="preserve"> TT Ambition-Loisirs-PLOUM </t>
  </si>
  <si>
    <t xml:space="preserve"> SM MONTROUGE </t>
  </si>
  <si>
    <t xml:space="preserve"> DOUMEIX </t>
  </si>
  <si>
    <t xml:space="preserve"> CHAUDEY </t>
  </si>
  <si>
    <t xml:space="preserve"> Aldonio </t>
  </si>
  <si>
    <t xml:space="preserve"> CURUTCHET </t>
  </si>
  <si>
    <t xml:space="preserve"> TALEC </t>
  </si>
  <si>
    <t xml:space="preserve"> KELLERKNECHT </t>
  </si>
  <si>
    <t xml:space="preserve"> CLERFEUILLE </t>
  </si>
  <si>
    <t xml:space="preserve"> DEPOYANT </t>
  </si>
  <si>
    <t xml:space="preserve"> TOGNAN </t>
  </si>
  <si>
    <t xml:space="preserve"> DOUMBIA </t>
  </si>
  <si>
    <t xml:space="preserve"> BOULINGUIEZ </t>
  </si>
  <si>
    <t xml:space="preserve"> BESPEA </t>
  </si>
  <si>
    <t xml:space="preserve"> DANTRESSANGLE </t>
  </si>
  <si>
    <t xml:space="preserve"> EL MOHAMADI </t>
  </si>
  <si>
    <t xml:space="preserve"> Morade </t>
  </si>
  <si>
    <t xml:space="preserve"> CAPELLI-COINTET </t>
  </si>
  <si>
    <t xml:space="preserve"> MARIE SAINTE </t>
  </si>
  <si>
    <t xml:space="preserve"> DARRAGON </t>
  </si>
  <si>
    <t xml:space="preserve"> MENEGON </t>
  </si>
  <si>
    <t xml:space="preserve"> PENEZ </t>
  </si>
  <si>
    <t xml:space="preserve"> PLATTEAU </t>
  </si>
  <si>
    <t xml:space="preserve"> GOURD </t>
  </si>
  <si>
    <t xml:space="preserve"> BOURLARD </t>
  </si>
  <si>
    <t xml:space="preserve"> DEHENNAULT </t>
  </si>
  <si>
    <t xml:space="preserve"> MORGADO </t>
  </si>
  <si>
    <t xml:space="preserve"> KIDJO </t>
  </si>
  <si>
    <t xml:space="preserve"> SEURIN </t>
  </si>
  <si>
    <t xml:space="preserve"> LAW MAN YO </t>
  </si>
  <si>
    <t xml:space="preserve"> BELASCO </t>
  </si>
  <si>
    <t xml:space="preserve"> CAUSERO </t>
  </si>
  <si>
    <t xml:space="preserve"> SEMAVOINE </t>
  </si>
  <si>
    <t xml:space="preserve"> YVIGNAC LA TOUR T.T. </t>
  </si>
  <si>
    <t xml:space="preserve"> BRANDY </t>
  </si>
  <si>
    <t xml:space="preserve"> LOCQUENEUX </t>
  </si>
  <si>
    <t xml:space="preserve"> MINOTTE </t>
  </si>
  <si>
    <t xml:space="preserve"> AMMARDJI </t>
  </si>
  <si>
    <t xml:space="preserve"> NANTES IBP </t>
  </si>
  <si>
    <t xml:space="preserve"> HOPIN </t>
  </si>
  <si>
    <t xml:space="preserve"> HILAND </t>
  </si>
  <si>
    <t xml:space="preserve"> CANTELE </t>
  </si>
  <si>
    <t xml:space="preserve"> EUSTACHE </t>
  </si>
  <si>
    <t xml:space="preserve"> BELTZUNG </t>
  </si>
  <si>
    <t xml:space="preserve"> ASC DU TERTRE </t>
  </si>
  <si>
    <t xml:space="preserve"> ASPTT ALBI tennis de tabl </t>
  </si>
  <si>
    <t xml:space="preserve"> BALLIS </t>
  </si>
  <si>
    <t xml:space="preserve"> BAJEUX </t>
  </si>
  <si>
    <t xml:space="preserve"> GRANGETAS </t>
  </si>
  <si>
    <t xml:space="preserve"> LPBB St Galmier </t>
  </si>
  <si>
    <t xml:space="preserve"> ARDISSON </t>
  </si>
  <si>
    <t xml:space="preserve"> MAHY </t>
  </si>
  <si>
    <t xml:space="preserve"> Berenger </t>
  </si>
  <si>
    <t xml:space="preserve"> LOIBL </t>
  </si>
  <si>
    <t xml:space="preserve"> DELAPLANCHE </t>
  </si>
  <si>
    <t xml:space="preserve"> LATEVE </t>
  </si>
  <si>
    <t xml:space="preserve"> POLIDOR </t>
  </si>
  <si>
    <t xml:space="preserve"> MORISSEAU </t>
  </si>
  <si>
    <t xml:space="preserve"> DORAT </t>
  </si>
  <si>
    <t xml:space="preserve"> BALZ </t>
  </si>
  <si>
    <t xml:space="preserve"> GUINEL </t>
  </si>
  <si>
    <t xml:space="preserve"> METHNER </t>
  </si>
  <si>
    <t xml:space="preserve"> FANGOO </t>
  </si>
  <si>
    <t xml:space="preserve"> PETRAZOLLER </t>
  </si>
  <si>
    <t xml:space="preserve"> DOBBELS </t>
  </si>
  <si>
    <t xml:space="preserve"> Marc-valentin </t>
  </si>
  <si>
    <t xml:space="preserve"> BIGET </t>
  </si>
  <si>
    <t xml:space="preserve"> PAUTREMAT </t>
  </si>
  <si>
    <t xml:space="preserve"> DENGLOS </t>
  </si>
  <si>
    <t xml:space="preserve"> MELINA </t>
  </si>
  <si>
    <t xml:space="preserve"> CORPO 35 TT </t>
  </si>
  <si>
    <t xml:space="preserve"> BARILI </t>
  </si>
  <si>
    <t xml:space="preserve"> SUEZ </t>
  </si>
  <si>
    <t xml:space="preserve"> BOISSOT </t>
  </si>
  <si>
    <t xml:space="preserve"> WISSOUS TT </t>
  </si>
  <si>
    <t xml:space="preserve"> PATRIS </t>
  </si>
  <si>
    <t xml:space="preserve"> GAMBIRASIO </t>
  </si>
  <si>
    <t xml:space="preserve"> CERCLIER </t>
  </si>
  <si>
    <t xml:space="preserve"> HAUSPIED </t>
  </si>
  <si>
    <t xml:space="preserve"> BURCKEL </t>
  </si>
  <si>
    <t xml:space="preserve"> DUCHEYRON </t>
  </si>
  <si>
    <t xml:space="preserve"> CATHO </t>
  </si>
  <si>
    <t xml:space="preserve"> VAUSSOUÉ </t>
  </si>
  <si>
    <t xml:space="preserve"> RENARDET </t>
  </si>
  <si>
    <t xml:space="preserve"> BALDAUFF </t>
  </si>
  <si>
    <t xml:space="preserve"> EPAILLY </t>
  </si>
  <si>
    <t xml:space="preserve"> S.C. TREBEURDEN T.T. </t>
  </si>
  <si>
    <t xml:space="preserve"> SPINASSOU </t>
  </si>
  <si>
    <t xml:space="preserve"> KOSIOREK </t>
  </si>
  <si>
    <t xml:space="preserve"> LE MEN </t>
  </si>
  <si>
    <t xml:space="preserve"> VERJUS </t>
  </si>
  <si>
    <t xml:space="preserve"> COZ </t>
  </si>
  <si>
    <t xml:space="preserve"> JULLIARD - KUZNICKI </t>
  </si>
  <si>
    <t xml:space="preserve"> TCT MONTBRISON </t>
  </si>
  <si>
    <t xml:space="preserve"> AURORE </t>
  </si>
  <si>
    <t xml:space="preserve"> CHABBAT </t>
  </si>
  <si>
    <t xml:space="preserve"> BONETTE </t>
  </si>
  <si>
    <t xml:space="preserve"> FERUGLIO </t>
  </si>
  <si>
    <t xml:space="preserve"> SALGUES </t>
  </si>
  <si>
    <t xml:space="preserve"> Ali reza </t>
  </si>
  <si>
    <t xml:space="preserve"> THIROT </t>
  </si>
  <si>
    <t xml:space="preserve"> BANOUCH </t>
  </si>
  <si>
    <t xml:space="preserve"> S.C.GRAULHETOIS TENNIS DE </t>
  </si>
  <si>
    <t xml:space="preserve"> COCOGNE </t>
  </si>
  <si>
    <t xml:space="preserve"> MARCILLÉ US Tennis de Tab </t>
  </si>
  <si>
    <t xml:space="preserve"> TT Corporatif BRIOCHIN </t>
  </si>
  <si>
    <t xml:space="preserve"> LE DOUCE </t>
  </si>
  <si>
    <t xml:space="preserve"> BRAQUEHAIS </t>
  </si>
  <si>
    <t xml:space="preserve"> JOUVALASINGH </t>
  </si>
  <si>
    <t xml:space="preserve"> NACKAERTS </t>
  </si>
  <si>
    <t xml:space="preserve"> BEGGIATO </t>
  </si>
  <si>
    <t xml:space="preserve"> CHOPINEAUX </t>
  </si>
  <si>
    <t xml:space="preserve"> FERRANDIS </t>
  </si>
  <si>
    <t xml:space="preserve"> MACAGNO </t>
  </si>
  <si>
    <t xml:space="preserve"> CENSE </t>
  </si>
  <si>
    <t xml:space="preserve"> VANHAMME </t>
  </si>
  <si>
    <t xml:space="preserve"> DARDARD </t>
  </si>
  <si>
    <t xml:space="preserve"> ELIZAGOIEN </t>
  </si>
  <si>
    <t xml:space="preserve"> BULTELLE </t>
  </si>
  <si>
    <t xml:space="preserve"> PONVEL TENNIS DE TABLE </t>
  </si>
  <si>
    <t xml:space="preserve"> ROUMILLAC </t>
  </si>
  <si>
    <t xml:space="preserve"> BRASEBIN </t>
  </si>
  <si>
    <t xml:space="preserve"> RIVALLEAU </t>
  </si>
  <si>
    <t xml:space="preserve"> COMBY </t>
  </si>
  <si>
    <t xml:space="preserve"> BRGM CLUB OMNISPORTS </t>
  </si>
  <si>
    <t xml:space="preserve"> WEHRUNG </t>
  </si>
  <si>
    <t xml:space="preserve"> LE HORPS Union Sportive </t>
  </si>
  <si>
    <t xml:space="preserve"> BREJON </t>
  </si>
  <si>
    <t xml:space="preserve"> TRONVILLE </t>
  </si>
  <si>
    <t xml:space="preserve"> VIREL </t>
  </si>
  <si>
    <t xml:space="preserve"> Maël </t>
  </si>
  <si>
    <t xml:space="preserve"> ADAMSKI </t>
  </si>
  <si>
    <t xml:space="preserve"> ARLE </t>
  </si>
  <si>
    <t xml:space="preserve"> RAQUETTE SPORTIVE ENVERME </t>
  </si>
  <si>
    <t xml:space="preserve"> CHAZAL </t>
  </si>
  <si>
    <t xml:space="preserve"> DORET </t>
  </si>
  <si>
    <t xml:space="preserve"> KANDAS </t>
  </si>
  <si>
    <t xml:space="preserve"> Suleyman </t>
  </si>
  <si>
    <t xml:space="preserve"> DUMATHRAT </t>
  </si>
  <si>
    <t xml:space="preserve"> THIN </t>
  </si>
  <si>
    <t xml:space="preserve"> LYON EST SPORT TENNIS DE </t>
  </si>
  <si>
    <t xml:space="preserve"> GIACOTTI </t>
  </si>
  <si>
    <t xml:space="preserve"> ASSIDON </t>
  </si>
  <si>
    <t xml:space="preserve"> A STEPHANAISE TT </t>
  </si>
  <si>
    <t xml:space="preserve"> BERENGER </t>
  </si>
  <si>
    <t xml:space="preserve"> MUTHS </t>
  </si>
  <si>
    <t xml:space="preserve"> THOPART </t>
  </si>
  <si>
    <t xml:space="preserve"> LE MERCIER </t>
  </si>
  <si>
    <t xml:space="preserve"> Jean-maï </t>
  </si>
  <si>
    <t xml:space="preserve"> LANCOU </t>
  </si>
  <si>
    <t xml:space="preserve"> GERAND </t>
  </si>
  <si>
    <t xml:space="preserve"> GANY </t>
  </si>
  <si>
    <t xml:space="preserve"> Géraud </t>
  </si>
  <si>
    <t xml:space="preserve"> VICIANA </t>
  </si>
  <si>
    <t xml:space="preserve"> BARTHEYE </t>
  </si>
  <si>
    <t xml:space="preserve"> LA BANNIE - VAL ST ELOI </t>
  </si>
  <si>
    <t xml:space="preserve"> CORBILLE </t>
  </si>
  <si>
    <t xml:space="preserve"> REBEYROTTE </t>
  </si>
  <si>
    <t xml:space="preserve"> Entente ASS-ASC-TT CHAZEL </t>
  </si>
  <si>
    <t xml:space="preserve"> Mamyhaja </t>
  </si>
  <si>
    <t xml:space="preserve"> Handy </t>
  </si>
  <si>
    <t xml:space="preserve"> PENTHIEVRE LAMBALLE TT </t>
  </si>
  <si>
    <t xml:space="preserve"> VALIERE </t>
  </si>
  <si>
    <t xml:space="preserve"> ONDARSUHU </t>
  </si>
  <si>
    <t xml:space="preserve"> RAQUETTE SEISSANNAISE </t>
  </si>
  <si>
    <t xml:space="preserve"> CALLAUD </t>
  </si>
  <si>
    <t xml:space="preserve"> LEFLOCH </t>
  </si>
  <si>
    <t xml:space="preserve"> DREANO </t>
  </si>
  <si>
    <t xml:space="preserve"> DOUVRIN CSFM </t>
  </si>
  <si>
    <t xml:space="preserve"> HERPRECK </t>
  </si>
  <si>
    <t xml:space="preserve"> RAKOTONDRAINIBE </t>
  </si>
  <si>
    <t xml:space="preserve"> Serge thierry </t>
  </si>
  <si>
    <t xml:space="preserve"> PELOILLE </t>
  </si>
  <si>
    <t xml:space="preserve"> SACKENPREZ </t>
  </si>
  <si>
    <t xml:space="preserve"> CLUB.PONGISTE. SAINT CYPR </t>
  </si>
  <si>
    <t xml:space="preserve"> THOMAIDIS </t>
  </si>
  <si>
    <t xml:space="preserve"> GOORDEN </t>
  </si>
  <si>
    <t xml:space="preserve"> MACIEJASZ </t>
  </si>
  <si>
    <t xml:space="preserve"> SCHNEID </t>
  </si>
  <si>
    <t xml:space="preserve"> LETAT </t>
  </si>
  <si>
    <t xml:space="preserve"> TT ERQUY/PLENEUF </t>
  </si>
  <si>
    <t xml:space="preserve"> SWAGTEN </t>
  </si>
  <si>
    <t xml:space="preserve"> VITAL </t>
  </si>
  <si>
    <t xml:space="preserve"> TT ROMAGNAT </t>
  </si>
  <si>
    <t xml:space="preserve"> BIBET </t>
  </si>
  <si>
    <t xml:space="preserve"> MORGAT </t>
  </si>
  <si>
    <t xml:space="preserve"> MASSONNAT </t>
  </si>
  <si>
    <t xml:space="preserve"> BOLDODUCK </t>
  </si>
  <si>
    <t xml:space="preserve"> LERALLU </t>
  </si>
  <si>
    <t xml:space="preserve"> JUDIC </t>
  </si>
  <si>
    <t xml:space="preserve"> AJONCS D OR ST-NOLFF </t>
  </si>
  <si>
    <t xml:space="preserve"> PÉAN </t>
  </si>
  <si>
    <t xml:space="preserve"> GARIDOU </t>
  </si>
  <si>
    <t xml:space="preserve"> VAUQUELIN </t>
  </si>
  <si>
    <t xml:space="preserve"> LE JOLY </t>
  </si>
  <si>
    <t xml:space="preserve"> BROT </t>
  </si>
  <si>
    <t xml:space="preserve"> PUIG </t>
  </si>
  <si>
    <t xml:space="preserve"> Ping Sarroux St Julien </t>
  </si>
  <si>
    <t xml:space="preserve"> PLUNET </t>
  </si>
  <si>
    <t xml:space="preserve"> DARLEY </t>
  </si>
  <si>
    <t xml:space="preserve"> SAINTOMER </t>
  </si>
  <si>
    <t xml:space="preserve"> VERDUZIER </t>
  </si>
  <si>
    <t xml:space="preserve"> VAN DE PUTTE </t>
  </si>
  <si>
    <t xml:space="preserve"> A.S. ALCATEL LUCENT ILLKI </t>
  </si>
  <si>
    <t xml:space="preserve"> CAILLETEAU </t>
  </si>
  <si>
    <t xml:space="preserve"> LANCIGU </t>
  </si>
  <si>
    <t xml:space="preserve"> DECATS </t>
  </si>
  <si>
    <t xml:space="preserve"> DESCAMP </t>
  </si>
  <si>
    <t xml:space="preserve"> KOSMALA </t>
  </si>
  <si>
    <t xml:space="preserve"> PAGET </t>
  </si>
  <si>
    <t xml:space="preserve"> GARDIN </t>
  </si>
  <si>
    <t xml:space="preserve"> COTELOISE TT MAUMUSSON </t>
  </si>
  <si>
    <t xml:space="preserve"> SA Moncoutant TT </t>
  </si>
  <si>
    <t xml:space="preserve"> REGNIEZ </t>
  </si>
  <si>
    <t xml:space="preserve"> ATAMNA </t>
  </si>
  <si>
    <t xml:space="preserve"> Tarek </t>
  </si>
  <si>
    <t xml:space="preserve"> MONNERAUD </t>
  </si>
  <si>
    <t xml:space="preserve"> HUGON </t>
  </si>
  <si>
    <t xml:space="preserve"> REBIERE </t>
  </si>
  <si>
    <t xml:space="preserve"> JOECKER </t>
  </si>
  <si>
    <t xml:space="preserve"> DELENTE </t>
  </si>
  <si>
    <t xml:space="preserve"> DE BENEDETTO </t>
  </si>
  <si>
    <t xml:space="preserve"> CREDIT AGRICOLE </t>
  </si>
  <si>
    <t xml:space="preserve"> NOTTEGHEM </t>
  </si>
  <si>
    <t xml:space="preserve"> MONTEAUD </t>
  </si>
  <si>
    <t xml:space="preserve"> ORNSTAIN </t>
  </si>
  <si>
    <t xml:space="preserve"> GLEDEL </t>
  </si>
  <si>
    <t xml:space="preserve"> DEROUSSENT </t>
  </si>
  <si>
    <t xml:space="preserve"> CAZIER </t>
  </si>
  <si>
    <t xml:space="preserve"> BOREAN </t>
  </si>
  <si>
    <t xml:space="preserve"> DOUCHY LES MINES TTC </t>
  </si>
  <si>
    <t xml:space="preserve"> CANTAGREL </t>
  </si>
  <si>
    <t xml:space="preserve"> ARCHINARD </t>
  </si>
  <si>
    <t xml:space="preserve"> BOURINET </t>
  </si>
  <si>
    <t xml:space="preserve"> BRIU </t>
  </si>
  <si>
    <t xml:space="preserve"> FIERLING </t>
  </si>
  <si>
    <t xml:space="preserve"> ST REMY DU NORD CP </t>
  </si>
  <si>
    <t xml:space="preserve"> AUPICON </t>
  </si>
  <si>
    <t xml:space="preserve"> AELION </t>
  </si>
  <si>
    <t xml:space="preserve"> Firma-henri </t>
  </si>
  <si>
    <t xml:space="preserve"> BROSSON </t>
  </si>
  <si>
    <t xml:space="preserve"> STRANCAR </t>
  </si>
  <si>
    <t xml:space="preserve"> Wladimir </t>
  </si>
  <si>
    <t xml:space="preserve"> MIGNER </t>
  </si>
  <si>
    <t xml:space="preserve"> GOFF </t>
  </si>
  <si>
    <t xml:space="preserve"> A.S. MINIHY-TREGUIER TT </t>
  </si>
  <si>
    <t xml:space="preserve"> CEROU </t>
  </si>
  <si>
    <t xml:space="preserve"> POYE </t>
  </si>
  <si>
    <t xml:space="preserve"> QUISSAC T.T. </t>
  </si>
  <si>
    <t xml:space="preserve"> DUMOUX </t>
  </si>
  <si>
    <t xml:space="preserve"> SEZANNE TENNIS DE TABLE </t>
  </si>
  <si>
    <t xml:space="preserve"> POMART </t>
  </si>
  <si>
    <t xml:space="preserve"> SCAILLEREZ </t>
  </si>
  <si>
    <t xml:space="preserve"> RONCELIN </t>
  </si>
  <si>
    <t xml:space="preserve"> THOUANEL </t>
  </si>
  <si>
    <t xml:space="preserve"> HOSAERT </t>
  </si>
  <si>
    <t xml:space="preserve"> HU YEN TACK </t>
  </si>
  <si>
    <t xml:space="preserve"> ENOULT </t>
  </si>
  <si>
    <t xml:space="preserve"> ESCLUSA </t>
  </si>
  <si>
    <t xml:space="preserve"> GOLFE TT 56-PLOEREN/ARRAD </t>
  </si>
  <si>
    <t xml:space="preserve"> Yoni </t>
  </si>
  <si>
    <t xml:space="preserve"> FRESNEAU </t>
  </si>
  <si>
    <t xml:space="preserve"> BONGARD </t>
  </si>
  <si>
    <t xml:space="preserve"> BOEHRINGER </t>
  </si>
  <si>
    <t xml:space="preserve"> GERY </t>
  </si>
  <si>
    <t xml:space="preserve"> WEYMIENS </t>
  </si>
  <si>
    <t xml:space="preserve"> FRATY </t>
  </si>
  <si>
    <t xml:space="preserve"> COSNARD </t>
  </si>
  <si>
    <t xml:space="preserve"> BARRAND </t>
  </si>
  <si>
    <t xml:space="preserve"> Yves-eric </t>
  </si>
  <si>
    <t xml:space="preserve"> TONNEINS PING </t>
  </si>
  <si>
    <t xml:space="preserve"> Alaric </t>
  </si>
  <si>
    <t xml:space="preserve"> THONNON </t>
  </si>
  <si>
    <t xml:space="preserve"> CARBAIN </t>
  </si>
  <si>
    <t xml:space="preserve"> JAVAL </t>
  </si>
  <si>
    <t xml:space="preserve"> PASSEMARD </t>
  </si>
  <si>
    <t xml:space="preserve"> LEGOF </t>
  </si>
  <si>
    <t xml:space="preserve"> ROGALSKI </t>
  </si>
  <si>
    <t xml:space="preserve"> BOUTINEAU </t>
  </si>
  <si>
    <t xml:space="preserve"> ARAUJO </t>
  </si>
  <si>
    <t xml:space="preserve"> OUELD </t>
  </si>
  <si>
    <t xml:space="preserve"> ZINKGRAF </t>
  </si>
  <si>
    <t xml:space="preserve"> LE NIR </t>
  </si>
  <si>
    <t xml:space="preserve"> BUIRE </t>
  </si>
  <si>
    <t xml:space="preserve"> Enguerrand </t>
  </si>
  <si>
    <t xml:space="preserve"> BABINOT </t>
  </si>
  <si>
    <t xml:space="preserve"> DORN </t>
  </si>
  <si>
    <t xml:space="preserve"> RELAIX </t>
  </si>
  <si>
    <t xml:space="preserve"> MASMAUD </t>
  </si>
  <si>
    <t xml:space="preserve"> TT DU DOURDU </t>
  </si>
  <si>
    <t xml:space="preserve"> SALOM </t>
  </si>
  <si>
    <t xml:space="preserve"> DANJAN </t>
  </si>
  <si>
    <t xml:space="preserve"> MEDARD </t>
  </si>
  <si>
    <t xml:space="preserve"> GOETHALS </t>
  </si>
  <si>
    <t xml:space="preserve"> ZUCCARELLI </t>
  </si>
  <si>
    <t xml:space="preserve"> LAISNARD </t>
  </si>
  <si>
    <t xml:space="preserve"> CAGNIN </t>
  </si>
  <si>
    <t xml:space="preserve"> TRIMOREAU </t>
  </si>
  <si>
    <t xml:space="preserve"> GEGONNE </t>
  </si>
  <si>
    <t xml:space="preserve"> Jean-Guy </t>
  </si>
  <si>
    <t xml:space="preserve"> MILTGEN </t>
  </si>
  <si>
    <t xml:space="preserve"> PARCHANTOU </t>
  </si>
  <si>
    <t xml:space="preserve"> ZEHREN </t>
  </si>
  <si>
    <t xml:space="preserve"> ZAMIT </t>
  </si>
  <si>
    <t xml:space="preserve"> DEMONCHY </t>
  </si>
  <si>
    <t xml:space="preserve"> BEAUDON </t>
  </si>
  <si>
    <t xml:space="preserve"> CALVIGNAC </t>
  </si>
  <si>
    <t xml:space="preserve"> SPAS </t>
  </si>
  <si>
    <t xml:space="preserve"> PETILLON </t>
  </si>
  <si>
    <t xml:space="preserve"> LEDARATH </t>
  </si>
  <si>
    <t xml:space="preserve"> VELASQUEZ </t>
  </si>
  <si>
    <t xml:space="preserve"> DAYGRE </t>
  </si>
  <si>
    <t xml:space="preserve"> BER </t>
  </si>
  <si>
    <t xml:space="preserve"> MOTROT </t>
  </si>
  <si>
    <t xml:space="preserve"> MONCE TENNIS DE TABLE </t>
  </si>
  <si>
    <t xml:space="preserve"> DINGLEY </t>
  </si>
  <si>
    <t xml:space="preserve"> BAUJEAN </t>
  </si>
  <si>
    <t xml:space="preserve"> COQUEREL </t>
  </si>
  <si>
    <t xml:space="preserve"> GENERET </t>
  </si>
  <si>
    <t xml:space="preserve"> GOUDSTIKKER </t>
  </si>
  <si>
    <t xml:space="preserve"> LESTIENNES </t>
  </si>
  <si>
    <t xml:space="preserve"> MAGAND </t>
  </si>
  <si>
    <t xml:space="preserve"> EUDELINE </t>
  </si>
  <si>
    <t xml:space="preserve"> GUIGNIER </t>
  </si>
  <si>
    <t xml:space="preserve"> BARTHEL </t>
  </si>
  <si>
    <t xml:space="preserve"> RAIMBERT </t>
  </si>
  <si>
    <t xml:space="preserve"> PLOURABOUE </t>
  </si>
  <si>
    <t xml:space="preserve"> AGRIPNIDIS </t>
  </si>
  <si>
    <t xml:space="preserve"> VANDANGEON </t>
  </si>
  <si>
    <t xml:space="preserve"> DHOTE </t>
  </si>
  <si>
    <t xml:space="preserve"> FOYER RURAL DE DAMPIERRE </t>
  </si>
  <si>
    <t xml:space="preserve"> CHAPPUY </t>
  </si>
  <si>
    <t xml:space="preserve"> MELEUC </t>
  </si>
  <si>
    <t xml:space="preserve"> SCHILTZ </t>
  </si>
  <si>
    <t xml:space="preserve"> LA MILESSE TTA </t>
  </si>
  <si>
    <t xml:space="preserve"> VIE </t>
  </si>
  <si>
    <t xml:space="preserve"> BIQUILLON </t>
  </si>
  <si>
    <t xml:space="preserve"> PARMANTIER </t>
  </si>
  <si>
    <t xml:space="preserve"> LEVRAY </t>
  </si>
  <si>
    <t xml:space="preserve"> RASQUIN </t>
  </si>
  <si>
    <t xml:space="preserve"> BORES </t>
  </si>
  <si>
    <t xml:space="preserve"> DESPLAS </t>
  </si>
  <si>
    <t xml:space="preserve"> DELZONGLE </t>
  </si>
  <si>
    <t xml:space="preserve"> JOLLE </t>
  </si>
  <si>
    <t xml:space="preserve"> GIURI </t>
  </si>
  <si>
    <t xml:space="preserve"> Rene-michel </t>
  </si>
  <si>
    <t xml:space="preserve"> FLEUTOT </t>
  </si>
  <si>
    <t xml:space="preserve"> GRIOT </t>
  </si>
  <si>
    <t xml:space="preserve"> RAULET </t>
  </si>
  <si>
    <t xml:space="preserve"> HAUCHECORNE </t>
  </si>
  <si>
    <t xml:space="preserve"> BALSAMO </t>
  </si>
  <si>
    <t xml:space="preserve"> FICHET </t>
  </si>
  <si>
    <t xml:space="preserve"> Jean bosco </t>
  </si>
  <si>
    <t xml:space="preserve"> Jean-lou </t>
  </si>
  <si>
    <t xml:space="preserve"> PANTEGNIES </t>
  </si>
  <si>
    <t xml:space="preserve"> Phiew </t>
  </si>
  <si>
    <t xml:space="preserve"> DUVAULT </t>
  </si>
  <si>
    <t xml:space="preserve"> SERRU </t>
  </si>
  <si>
    <t xml:space="preserve"> DENOUILLE </t>
  </si>
  <si>
    <t xml:space="preserve"> MAGNIFIQUE </t>
  </si>
  <si>
    <t xml:space="preserve"> WAIGNIER </t>
  </si>
  <si>
    <t xml:space="preserve"> PRIEM </t>
  </si>
  <si>
    <t xml:space="preserve"> JAMOUS </t>
  </si>
  <si>
    <t xml:space="preserve"> Yasser </t>
  </si>
  <si>
    <t xml:space="preserve"> RACADOT </t>
  </si>
  <si>
    <t xml:space="preserve"> FLUTTE </t>
  </si>
  <si>
    <t xml:space="preserve"> PESCHARD </t>
  </si>
  <si>
    <t xml:space="preserve"> GABA </t>
  </si>
  <si>
    <t xml:space="preserve"> MANDES </t>
  </si>
  <si>
    <t xml:space="preserve"> CHAUMERON </t>
  </si>
  <si>
    <t xml:space="preserve"> ROSETINY </t>
  </si>
  <si>
    <t xml:space="preserve"> DALOZ </t>
  </si>
  <si>
    <t xml:space="preserve"> MAHIEUX </t>
  </si>
  <si>
    <t xml:space="preserve"> TABONE </t>
  </si>
  <si>
    <t xml:space="preserve"> ALLALI </t>
  </si>
  <si>
    <t xml:space="preserve"> Sed </t>
  </si>
  <si>
    <t xml:space="preserve"> REIMS AMICALE JAMIN </t>
  </si>
  <si>
    <t xml:space="preserve"> Timothée </t>
  </si>
  <si>
    <t xml:space="preserve"> GIREJENSKI </t>
  </si>
  <si>
    <t xml:space="preserve"> BERTILLOT </t>
  </si>
  <si>
    <t xml:space="preserve"> DIEUL </t>
  </si>
  <si>
    <t xml:space="preserve"> LOBBE </t>
  </si>
  <si>
    <t xml:space="preserve"> LE MENTEC </t>
  </si>
  <si>
    <t xml:space="preserve"> DEPLANQUE </t>
  </si>
  <si>
    <t xml:space="preserve"> DALLEAS </t>
  </si>
  <si>
    <t xml:space="preserve"> Stevan </t>
  </si>
  <si>
    <t xml:space="preserve"> WENGLER </t>
  </si>
  <si>
    <t xml:space="preserve"> CONGRATELLE </t>
  </si>
  <si>
    <t xml:space="preserve"> DELCLE </t>
  </si>
  <si>
    <t xml:space="preserve"> MILLIOT </t>
  </si>
  <si>
    <t xml:space="preserve"> EVEZARD </t>
  </si>
  <si>
    <t xml:space="preserve"> BILLIAU </t>
  </si>
  <si>
    <t xml:space="preserve"> FLEURENCE </t>
  </si>
  <si>
    <t xml:space="preserve"> PICCEU </t>
  </si>
  <si>
    <t xml:space="preserve"> Tennis de Table CORLAY </t>
  </si>
  <si>
    <t xml:space="preserve"> HINARD </t>
  </si>
  <si>
    <t xml:space="preserve"> BESACIER </t>
  </si>
  <si>
    <t xml:space="preserve"> MARLAIRE </t>
  </si>
  <si>
    <t xml:space="preserve"> LALLIER </t>
  </si>
  <si>
    <t xml:space="preserve"> POREYE </t>
  </si>
  <si>
    <t xml:space="preserve"> GOUDENECHE </t>
  </si>
  <si>
    <t xml:space="preserve"> BOUSTANE </t>
  </si>
  <si>
    <t xml:space="preserve"> LANDREAU TT </t>
  </si>
  <si>
    <t xml:space="preserve"> US ARGOAT TT KERPERT </t>
  </si>
  <si>
    <t xml:space="preserve"> BERNEVAL </t>
  </si>
  <si>
    <t xml:space="preserve"> DAGEONS </t>
  </si>
  <si>
    <t xml:space="preserve"> LEPERCQ </t>
  </si>
  <si>
    <t xml:space="preserve"> OCTOR </t>
  </si>
  <si>
    <t xml:space="preserve"> CAGNIAC </t>
  </si>
  <si>
    <t xml:space="preserve"> CRUBLE </t>
  </si>
  <si>
    <t xml:space="preserve"> RIVAS </t>
  </si>
  <si>
    <t xml:space="preserve"> GIBOULET </t>
  </si>
  <si>
    <t xml:space="preserve"> RAINETTE </t>
  </si>
  <si>
    <t xml:space="preserve"> GROSZEK </t>
  </si>
  <si>
    <t xml:space="preserve"> GARDELEIN </t>
  </si>
  <si>
    <t xml:space="preserve"> GATTEGNO </t>
  </si>
  <si>
    <t xml:space="preserve"> MENIERE </t>
  </si>
  <si>
    <t xml:space="preserve"> DUCERT </t>
  </si>
  <si>
    <t xml:space="preserve"> ROMAND </t>
  </si>
  <si>
    <t xml:space="preserve"> CHAUMONTOISE LA RAQUETTE </t>
  </si>
  <si>
    <t xml:space="preserve"> COLSENET </t>
  </si>
  <si>
    <t xml:space="preserve"> LAMPSON </t>
  </si>
  <si>
    <t xml:space="preserve"> MOREL-JEAN </t>
  </si>
  <si>
    <t xml:space="preserve"> SIMIAN MERMIER </t>
  </si>
  <si>
    <t xml:space="preserve"> BOUILLOT </t>
  </si>
  <si>
    <t xml:space="preserve"> GALIA </t>
  </si>
  <si>
    <t xml:space="preserve"> VANRAPENBUSCH </t>
  </si>
  <si>
    <t xml:space="preserve"> HOGGAS </t>
  </si>
  <si>
    <t xml:space="preserve"> Djellal </t>
  </si>
  <si>
    <t xml:space="preserve"> GHIENNE </t>
  </si>
  <si>
    <t xml:space="preserve"> MICALLEF </t>
  </si>
  <si>
    <t xml:space="preserve"> BONFIGLIO </t>
  </si>
  <si>
    <t xml:space="preserve"> BISKUPSKI </t>
  </si>
  <si>
    <t xml:space="preserve"> TTC GRAND LANVALLAY </t>
  </si>
  <si>
    <t xml:space="preserve"> VYBORNY </t>
  </si>
  <si>
    <t xml:space="preserve"> CELERIER </t>
  </si>
  <si>
    <t xml:space="preserve"> ZERBINI </t>
  </si>
  <si>
    <t xml:space="preserve"> HAUSSELMANN </t>
  </si>
  <si>
    <t xml:space="preserve"> LECACHELEUX </t>
  </si>
  <si>
    <t xml:space="preserve"> PANCHOUT </t>
  </si>
  <si>
    <t xml:space="preserve"> CAUSIER </t>
  </si>
  <si>
    <t xml:space="preserve"> ENTENTE TT PONTRIEUX </t>
  </si>
  <si>
    <t xml:space="preserve"> ERBS </t>
  </si>
  <si>
    <t xml:space="preserve"> DE GRANDE </t>
  </si>
  <si>
    <t xml:space="preserve"> Baldo </t>
  </si>
  <si>
    <t xml:space="preserve"> LOSSON </t>
  </si>
  <si>
    <t xml:space="preserve"> TALBO </t>
  </si>
  <si>
    <t xml:space="preserve"> CALDARA </t>
  </si>
  <si>
    <t xml:space="preserve"> CHAPOUR </t>
  </si>
  <si>
    <t xml:space="preserve"> DUROURE </t>
  </si>
  <si>
    <t xml:space="preserve"> VANDENBERG </t>
  </si>
  <si>
    <t xml:space="preserve"> RELMY </t>
  </si>
  <si>
    <t xml:space="preserve"> BEZOMBES </t>
  </si>
  <si>
    <t xml:space="preserve"> WIRKHANI </t>
  </si>
  <si>
    <t xml:space="preserve"> Lyazid </t>
  </si>
  <si>
    <t xml:space="preserve"> OLEN </t>
  </si>
  <si>
    <t xml:space="preserve"> PORTES </t>
  </si>
  <si>
    <t xml:space="preserve"> QUINOL </t>
  </si>
  <si>
    <t xml:space="preserve"> MAIGNIEN </t>
  </si>
  <si>
    <t xml:space="preserve"> JANNETTE </t>
  </si>
  <si>
    <t xml:space="preserve"> NABAIS </t>
  </si>
  <si>
    <t xml:space="preserve"> LEHERLE </t>
  </si>
  <si>
    <t xml:space="preserve"> DESCLOSIERES </t>
  </si>
  <si>
    <t xml:space="preserve"> BRANCION </t>
  </si>
  <si>
    <t xml:space="preserve"> STRASBOURG EUROMETROPOLE </t>
  </si>
  <si>
    <t xml:space="preserve"> VERFAILLIE </t>
  </si>
  <si>
    <t xml:space="preserve"> LE RU </t>
  </si>
  <si>
    <t xml:space="preserve"> LE TALLEC </t>
  </si>
  <si>
    <t xml:space="preserve"> MOCQUET </t>
  </si>
  <si>
    <t xml:space="preserve"> LEPANTE </t>
  </si>
  <si>
    <t xml:space="preserve"> CHAUWIN </t>
  </si>
  <si>
    <t xml:space="preserve"> CAIUS </t>
  </si>
  <si>
    <t xml:space="preserve"> Emanïus </t>
  </si>
  <si>
    <t xml:space="preserve"> BAHUAUT </t>
  </si>
  <si>
    <t xml:space="preserve"> PORZUCEK </t>
  </si>
  <si>
    <t xml:space="preserve"> LAVILLONIERE </t>
  </si>
  <si>
    <t xml:space="preserve"> LOTFI </t>
  </si>
  <si>
    <t xml:space="preserve"> HOUVENAGEL </t>
  </si>
  <si>
    <t xml:space="preserve"> STYRNA </t>
  </si>
  <si>
    <t xml:space="preserve"> Stanislaw </t>
  </si>
  <si>
    <t xml:space="preserve"> CANNUYER </t>
  </si>
  <si>
    <t xml:space="preserve"> STEININGER </t>
  </si>
  <si>
    <t xml:space="preserve"> DELLA CROCE </t>
  </si>
  <si>
    <t xml:space="preserve"> LANOISELEE </t>
  </si>
  <si>
    <t xml:space="preserve"> SONET </t>
  </si>
  <si>
    <t xml:space="preserve"> Tommy </t>
  </si>
  <si>
    <t xml:space="preserve"> QUIQUEMPOIX </t>
  </si>
  <si>
    <t xml:space="preserve"> BUSKA </t>
  </si>
  <si>
    <t xml:space="preserve"> BRACOUD </t>
  </si>
  <si>
    <t xml:space="preserve"> Alfonso </t>
  </si>
  <si>
    <t xml:space="preserve"> GOUBERT </t>
  </si>
  <si>
    <t xml:space="preserve"> OVAERE </t>
  </si>
  <si>
    <t xml:space="preserve"> RIBOULEAU </t>
  </si>
  <si>
    <t xml:space="preserve"> ZEROUATI </t>
  </si>
  <si>
    <t xml:space="preserve"> NALETTO </t>
  </si>
  <si>
    <t xml:space="preserve"> LOTRIAN </t>
  </si>
  <si>
    <t xml:space="preserve"> CHASTAGNER </t>
  </si>
  <si>
    <t xml:space="preserve"> GATINEAU </t>
  </si>
  <si>
    <t xml:space="preserve"> COLLEAU </t>
  </si>
  <si>
    <t xml:space="preserve"> ASTT MORRE LA VEZE </t>
  </si>
  <si>
    <t xml:space="preserve"> SAINT AUBIN </t>
  </si>
  <si>
    <t xml:space="preserve"> Sascha </t>
  </si>
  <si>
    <t xml:space="preserve"> CLAIRSIN </t>
  </si>
  <si>
    <t xml:space="preserve"> ANDRZEJEWSKI </t>
  </si>
  <si>
    <t xml:space="preserve"> SIEFERT </t>
  </si>
  <si>
    <t xml:space="preserve"> TAGHON </t>
  </si>
  <si>
    <t xml:space="preserve"> FAYOUX </t>
  </si>
  <si>
    <t xml:space="preserve"> HESSELS </t>
  </si>
  <si>
    <t xml:space="preserve"> LEPIC POPULAIRE </t>
  </si>
  <si>
    <t xml:space="preserve"> MATHIOUX </t>
  </si>
  <si>
    <t xml:space="preserve"> MARQUILLIE </t>
  </si>
  <si>
    <t xml:space="preserve"> CHALARD </t>
  </si>
  <si>
    <t xml:space="preserve"> MEDIDENT </t>
  </si>
  <si>
    <t xml:space="preserve"> CTT FONTROUGE - SAUSSET </t>
  </si>
  <si>
    <t xml:space="preserve"> RIEUFREGIER </t>
  </si>
  <si>
    <t xml:space="preserve"> SOTTIAU </t>
  </si>
  <si>
    <t xml:space="preserve"> ZEMIS </t>
  </si>
  <si>
    <t xml:space="preserve"> BEAUJARDIN </t>
  </si>
  <si>
    <t xml:space="preserve"> SANCHIS </t>
  </si>
  <si>
    <t xml:space="preserve"> MAGNANT </t>
  </si>
  <si>
    <t xml:space="preserve"> HERRIER </t>
  </si>
  <si>
    <t xml:space="preserve"> LUQUES </t>
  </si>
  <si>
    <t xml:space="preserve"> Aliptien </t>
  </si>
  <si>
    <t xml:space="preserve"> ES RENAULT </t>
  </si>
  <si>
    <t xml:space="preserve"> FERMET PERTUSIER </t>
  </si>
  <si>
    <t xml:space="preserve"> AUPEE </t>
  </si>
  <si>
    <t xml:space="preserve"> PEREK </t>
  </si>
  <si>
    <t xml:space="preserve"> ROGIEZ </t>
  </si>
  <si>
    <t xml:space="preserve"> TROADEC </t>
  </si>
  <si>
    <t xml:space="preserve"> STEGMANN </t>
  </si>
  <si>
    <t xml:space="preserve"> Ugo </t>
  </si>
  <si>
    <t xml:space="preserve"> HACAULT </t>
  </si>
  <si>
    <t xml:space="preserve"> PETRCIC </t>
  </si>
  <si>
    <t xml:space="preserve"> MICHELOT </t>
  </si>
  <si>
    <t xml:space="preserve"> MELKON </t>
  </si>
  <si>
    <t xml:space="preserve"> Jean walid </t>
  </si>
  <si>
    <t xml:space="preserve"> EVERARD </t>
  </si>
  <si>
    <t xml:space="preserve"> HAN CHING </t>
  </si>
  <si>
    <t xml:space="preserve"> LIDOUREN </t>
  </si>
  <si>
    <t xml:space="preserve"> PONT-D'OUILLY FR </t>
  </si>
  <si>
    <t xml:space="preserve"> DUZAN </t>
  </si>
  <si>
    <t xml:space="preserve"> LEBRIS </t>
  </si>
  <si>
    <t xml:space="preserve"> BOULDOIRE </t>
  </si>
  <si>
    <t xml:space="preserve"> BOVI </t>
  </si>
  <si>
    <t xml:space="preserve"> DAZY </t>
  </si>
  <si>
    <t xml:space="preserve"> MICROCHIP </t>
  </si>
  <si>
    <t xml:space="preserve"> STUBBS </t>
  </si>
  <si>
    <t xml:space="preserve"> JABNEAU </t>
  </si>
  <si>
    <t xml:space="preserve"> CHERMETTE </t>
  </si>
  <si>
    <t xml:space="preserve"> LANGLADE </t>
  </si>
  <si>
    <t xml:space="preserve"> DORVILLERS </t>
  </si>
  <si>
    <t xml:space="preserve"> THALES AVS FRANCE </t>
  </si>
  <si>
    <t xml:space="preserve"> LESCALIER </t>
  </si>
  <si>
    <t xml:space="preserve"> TRAMARIN </t>
  </si>
  <si>
    <t xml:space="preserve"> CRASSON </t>
  </si>
  <si>
    <t xml:space="preserve"> PLENAT </t>
  </si>
  <si>
    <t xml:space="preserve"> COUTAUDIER </t>
  </si>
  <si>
    <t xml:space="preserve"> FILLONNEAU </t>
  </si>
  <si>
    <t xml:space="preserve"> CHEMINEL </t>
  </si>
  <si>
    <t xml:space="preserve"> BARRAT </t>
  </si>
  <si>
    <t xml:space="preserve"> FLAMAND </t>
  </si>
  <si>
    <t xml:space="preserve"> CIF </t>
  </si>
  <si>
    <t xml:space="preserve"> BANASZCZYK </t>
  </si>
  <si>
    <t xml:space="preserve"> KEMBS TT </t>
  </si>
  <si>
    <t xml:space="preserve"> NONNE </t>
  </si>
  <si>
    <t xml:space="preserve"> LORETTE </t>
  </si>
  <si>
    <t xml:space="preserve"> ERNAULT </t>
  </si>
  <si>
    <t xml:space="preserve"> DESENLIS </t>
  </si>
  <si>
    <t xml:space="preserve"> DONEGA </t>
  </si>
  <si>
    <t xml:space="preserve"> ROGE </t>
  </si>
  <si>
    <t xml:space="preserve"> Come </t>
  </si>
  <si>
    <t xml:space="preserve"> VAULOUP </t>
  </si>
  <si>
    <t xml:space="preserve"> DEWATINE </t>
  </si>
  <si>
    <t xml:space="preserve"> CAN </t>
  </si>
  <si>
    <t xml:space="preserve"> NAHMANI </t>
  </si>
  <si>
    <t xml:space="preserve"> LE TELLIER </t>
  </si>
  <si>
    <t xml:space="preserve"> LE CLEVE </t>
  </si>
  <si>
    <t xml:space="preserve"> BEN LARBI </t>
  </si>
  <si>
    <t xml:space="preserve"> Jaouad </t>
  </si>
  <si>
    <t xml:space="preserve"> BURNER </t>
  </si>
  <si>
    <t xml:space="preserve"> KINZIGER </t>
  </si>
  <si>
    <t xml:space="preserve"> CAPRINI </t>
  </si>
  <si>
    <t xml:space="preserve"> MEILLIEZ </t>
  </si>
  <si>
    <t xml:space="preserve"> MAYE </t>
  </si>
  <si>
    <t xml:space="preserve"> Lim </t>
  </si>
  <si>
    <t xml:space="preserve"> SAULODES </t>
  </si>
  <si>
    <t xml:space="preserve"> FERMOND </t>
  </si>
  <si>
    <t xml:space="preserve"> MALARDEL </t>
  </si>
  <si>
    <t xml:space="preserve"> COLLIEZ </t>
  </si>
  <si>
    <t xml:space="preserve"> TRAN VAN </t>
  </si>
  <si>
    <t xml:space="preserve"> AGASSE </t>
  </si>
  <si>
    <t xml:space="preserve"> NADIR </t>
  </si>
  <si>
    <t xml:space="preserve"> Essam </t>
  </si>
  <si>
    <t xml:space="preserve"> DUSAUTIEZ </t>
  </si>
  <si>
    <t xml:space="preserve"> MEIGNIER </t>
  </si>
  <si>
    <t xml:space="preserve"> FLAMMER </t>
  </si>
  <si>
    <t xml:space="preserve"> KUBICKI </t>
  </si>
  <si>
    <t xml:space="preserve"> GOT </t>
  </si>
  <si>
    <t xml:space="preserve"> G.M. ST-POTAN </t>
  </si>
  <si>
    <t xml:space="preserve"> GYOR </t>
  </si>
  <si>
    <t xml:space="preserve"> Attila </t>
  </si>
  <si>
    <t xml:space="preserve"> PERDRIEL </t>
  </si>
  <si>
    <t xml:space="preserve"> STUDER </t>
  </si>
  <si>
    <t xml:space="preserve"> NEGRI </t>
  </si>
  <si>
    <t xml:space="preserve"> BARRAULT </t>
  </si>
  <si>
    <t xml:space="preserve"> LOUARGANT </t>
  </si>
  <si>
    <t xml:space="preserve"> Glenn </t>
  </si>
  <si>
    <t xml:space="preserve"> GIBERTIER </t>
  </si>
  <si>
    <t xml:space="preserve"> FAVRET </t>
  </si>
  <si>
    <t xml:space="preserve"> GRAVELINE </t>
  </si>
  <si>
    <t xml:space="preserve"> MANCIP </t>
  </si>
  <si>
    <t xml:space="preserve"> LE PETIT </t>
  </si>
  <si>
    <t xml:space="preserve"> SALANI </t>
  </si>
  <si>
    <t xml:space="preserve"> PIOTROWSKI </t>
  </si>
  <si>
    <t xml:space="preserve"> DALMASSO </t>
  </si>
  <si>
    <t xml:space="preserve"> Mehdy </t>
  </si>
  <si>
    <t xml:space="preserve"> GARRE </t>
  </si>
  <si>
    <t xml:space="preserve"> DANDRIMONT </t>
  </si>
  <si>
    <t xml:space="preserve"> SOVILLA </t>
  </si>
  <si>
    <t xml:space="preserve"> HEUZEY </t>
  </si>
  <si>
    <t xml:space="preserve"> MARANGE </t>
  </si>
  <si>
    <t xml:space="preserve"> GAUMY </t>
  </si>
  <si>
    <t xml:space="preserve"> GROUSSET </t>
  </si>
  <si>
    <t xml:space="preserve"> DALPHIN </t>
  </si>
  <si>
    <t xml:space="preserve"> HALATEK </t>
  </si>
  <si>
    <t xml:space="preserve"> PENNEAU </t>
  </si>
  <si>
    <t xml:space="preserve"> ROUDET </t>
  </si>
  <si>
    <t xml:space="preserve"> POLICARPE </t>
  </si>
  <si>
    <t xml:space="preserve"> MAINE </t>
  </si>
  <si>
    <t xml:space="preserve"> GATTEPAILLE </t>
  </si>
  <si>
    <t xml:space="preserve"> LACRABERIE </t>
  </si>
  <si>
    <t xml:space="preserve"> DEBOST </t>
  </si>
  <si>
    <t xml:space="preserve"> SZABO </t>
  </si>
  <si>
    <t xml:space="preserve"> NALDO </t>
  </si>
  <si>
    <t xml:space="preserve"> BIGORNE </t>
  </si>
  <si>
    <t xml:space="preserve"> STREBLER </t>
  </si>
  <si>
    <t xml:space="preserve"> DEJUGNAT </t>
  </si>
  <si>
    <t xml:space="preserve"> FOUCARD </t>
  </si>
  <si>
    <t xml:space="preserve"> HERBOMEL </t>
  </si>
  <si>
    <t xml:space="preserve"> SALEY </t>
  </si>
  <si>
    <t xml:space="preserve"> JEHANNE </t>
  </si>
  <si>
    <t xml:space="preserve"> BRESTEAUX </t>
  </si>
  <si>
    <t xml:space="preserve"> RIZZELLO </t>
  </si>
  <si>
    <t xml:space="preserve"> BRO </t>
  </si>
  <si>
    <t xml:space="preserve"> BONINI </t>
  </si>
  <si>
    <t xml:space="preserve"> WALCZAK </t>
  </si>
  <si>
    <t xml:space="preserve"> AUBRIL </t>
  </si>
  <si>
    <t xml:space="preserve"> MOUHSANE </t>
  </si>
  <si>
    <t xml:space="preserve"> ANTUNES </t>
  </si>
  <si>
    <t xml:space="preserve"> Pierre alexandr </t>
  </si>
  <si>
    <t xml:space="preserve"> EAV </t>
  </si>
  <si>
    <t xml:space="preserve"> Hak ying </t>
  </si>
  <si>
    <t xml:space="preserve"> SWARTEBROECKX </t>
  </si>
  <si>
    <t xml:space="preserve"> SAGUES </t>
  </si>
  <si>
    <t xml:space="preserve"> BLE </t>
  </si>
  <si>
    <t xml:space="preserve"> Michel-marc </t>
  </si>
  <si>
    <t xml:space="preserve"> DEMONCHAUX </t>
  </si>
  <si>
    <t xml:space="preserve"> MOEUR </t>
  </si>
  <si>
    <t xml:space="preserve"> TRAITCHEVITCH </t>
  </si>
  <si>
    <t xml:space="preserve"> MENERAULT </t>
  </si>
  <si>
    <t xml:space="preserve"> PLAT </t>
  </si>
  <si>
    <t xml:space="preserve"> MAILLOCHON </t>
  </si>
  <si>
    <t xml:space="preserve"> BOCHART </t>
  </si>
  <si>
    <t xml:space="preserve"> JORTIE </t>
  </si>
  <si>
    <t xml:space="preserve"> VAUTHENY </t>
  </si>
  <si>
    <t xml:space="preserve"> RABETTE </t>
  </si>
  <si>
    <t xml:space="preserve"> HERMEL </t>
  </si>
  <si>
    <t xml:space="preserve"> VOLKMER </t>
  </si>
  <si>
    <t xml:space="preserve"> JEAN ANGELE </t>
  </si>
  <si>
    <t xml:space="preserve"> DELANEZ </t>
  </si>
  <si>
    <t xml:space="preserve"> THOMAZO </t>
  </si>
  <si>
    <t xml:space="preserve"> VERDEGEM </t>
  </si>
  <si>
    <t xml:space="preserve"> SCHAFFAUSER </t>
  </si>
  <si>
    <t xml:space="preserve"> VALADON </t>
  </si>
  <si>
    <t xml:space="preserve"> BAY </t>
  </si>
  <si>
    <t xml:space="preserve"> DUPLOYER </t>
  </si>
  <si>
    <t xml:space="preserve"> STAROPOLI </t>
  </si>
  <si>
    <t xml:space="preserve"> MALASSIGNE </t>
  </si>
  <si>
    <t xml:space="preserve"> MOSCARDINI </t>
  </si>
  <si>
    <t xml:space="preserve"> CAZOR </t>
  </si>
  <si>
    <t xml:space="preserve"> La Ronde TT </t>
  </si>
  <si>
    <t xml:space="preserve"> LOYSON </t>
  </si>
  <si>
    <t xml:space="preserve"> RIEZ </t>
  </si>
  <si>
    <t xml:space="preserve"> POMIAN </t>
  </si>
  <si>
    <t xml:space="preserve"> MERLEN </t>
  </si>
  <si>
    <t xml:space="preserve"> JONNEAUX </t>
  </si>
  <si>
    <t xml:space="preserve"> VESLES ET CAUMONT AS </t>
  </si>
  <si>
    <t xml:space="preserve"> DAUBIE </t>
  </si>
  <si>
    <t xml:space="preserve"> GRAND JEAN </t>
  </si>
  <si>
    <t xml:space="preserve"> LE DEVEHAT </t>
  </si>
  <si>
    <t xml:space="preserve"> PALAIS </t>
  </si>
  <si>
    <t xml:space="preserve"> BLAGNY </t>
  </si>
  <si>
    <t xml:space="preserve"> TROPHIME </t>
  </si>
  <si>
    <t xml:space="preserve"> COCHONNEAU </t>
  </si>
  <si>
    <t xml:space="preserve"> DUVOT </t>
  </si>
  <si>
    <t xml:space="preserve"> Thelong </t>
  </si>
  <si>
    <t xml:space="preserve"> D'ALESSIO </t>
  </si>
  <si>
    <t xml:space="preserve"> DERBORD </t>
  </si>
  <si>
    <t xml:space="preserve"> BERGEZ-CASALOU </t>
  </si>
  <si>
    <t xml:space="preserve"> DUGEAY </t>
  </si>
  <si>
    <t xml:space="preserve"> Yffic </t>
  </si>
  <si>
    <t xml:space="preserve"> VILLECOURT </t>
  </si>
  <si>
    <t xml:space="preserve"> MYOTTE </t>
  </si>
  <si>
    <t xml:space="preserve"> GALLECIER </t>
  </si>
  <si>
    <t xml:space="preserve"> PIERREUSE </t>
  </si>
  <si>
    <t xml:space="preserve"> CESSINAS </t>
  </si>
  <si>
    <t xml:space="preserve"> TOUS </t>
  </si>
  <si>
    <t xml:space="preserve"> DESCHILDRE </t>
  </si>
  <si>
    <t xml:space="preserve"> MERHRIOUI </t>
  </si>
  <si>
    <t xml:space="preserve"> KOBA </t>
  </si>
  <si>
    <t xml:space="preserve"> WATELIER </t>
  </si>
  <si>
    <t xml:space="preserve"> RICORDEAU </t>
  </si>
  <si>
    <t xml:space="preserve"> CARCOUET </t>
  </si>
  <si>
    <t xml:space="preserve"> RIGEOT </t>
  </si>
  <si>
    <t xml:space="preserve"> BELTRAND </t>
  </si>
  <si>
    <t xml:space="preserve"> LABENS </t>
  </si>
  <si>
    <t xml:space="preserve"> MAGNAUD </t>
  </si>
  <si>
    <t xml:space="preserve"> DELAURIERE </t>
  </si>
  <si>
    <t xml:space="preserve"> HENNEQUEZ </t>
  </si>
  <si>
    <t xml:space="preserve"> TANNEUR </t>
  </si>
  <si>
    <t xml:space="preserve"> ASENSIO VALLS </t>
  </si>
  <si>
    <t xml:space="preserve"> * </t>
  </si>
  <si>
    <t xml:space="preserve"> ** </t>
  </si>
  <si>
    <t xml:space="preserve"> GEAY </t>
  </si>
  <si>
    <t xml:space="preserve"> COTTERET </t>
  </si>
  <si>
    <t xml:space="preserve"> DUCLOYER </t>
  </si>
  <si>
    <t xml:space="preserve"> SABLAYROLLES </t>
  </si>
  <si>
    <t xml:space="preserve"> BERLIOZ </t>
  </si>
  <si>
    <t xml:space="preserve"> TAULEIGNE </t>
  </si>
  <si>
    <t xml:space="preserve"> BREHELIN </t>
  </si>
  <si>
    <t xml:space="preserve"> Menrik </t>
  </si>
  <si>
    <t xml:space="preserve"> POINT P </t>
  </si>
  <si>
    <t xml:space="preserve"> ALSTOM SSA </t>
  </si>
  <si>
    <t xml:space="preserve"> FERAUT </t>
  </si>
  <si>
    <t xml:space="preserve"> DIMOLA </t>
  </si>
  <si>
    <t xml:space="preserve"> GUILLAUMOT </t>
  </si>
  <si>
    <t xml:space="preserve"> DELBOULBE </t>
  </si>
  <si>
    <t xml:space="preserve"> CISTERNE </t>
  </si>
  <si>
    <t xml:space="preserve"> ROUMILLY </t>
  </si>
  <si>
    <t xml:space="preserve"> CADOR </t>
  </si>
  <si>
    <t xml:space="preserve"> AGALOSTHENNE </t>
  </si>
  <si>
    <t xml:space="preserve"> BAROT </t>
  </si>
  <si>
    <t xml:space="preserve"> LAUCOURNET </t>
  </si>
  <si>
    <t xml:space="preserve"> LEPOUTRE </t>
  </si>
  <si>
    <t xml:space="preserve"> SEBBE </t>
  </si>
  <si>
    <t xml:space="preserve"> ZUCCHERI </t>
  </si>
  <si>
    <t xml:space="preserve"> CALVAT </t>
  </si>
  <si>
    <t xml:space="preserve"> STAUCH </t>
  </si>
  <si>
    <t xml:space="preserve"> LOCUSSOL </t>
  </si>
  <si>
    <t xml:space="preserve"> KAROLEWICZ </t>
  </si>
  <si>
    <t xml:space="preserve"> THONIER </t>
  </si>
  <si>
    <t xml:space="preserve"> PARCHENIAK </t>
  </si>
  <si>
    <t xml:space="preserve"> TOULGOAT </t>
  </si>
  <si>
    <t xml:space="preserve"> RADOUBE </t>
  </si>
  <si>
    <t xml:space="preserve"> HUITRIC </t>
  </si>
  <si>
    <t xml:space="preserve"> BENSUSSAN </t>
  </si>
  <si>
    <t xml:space="preserve"> TAILLENDIER </t>
  </si>
  <si>
    <t xml:space="preserve"> KUZNICKI </t>
  </si>
  <si>
    <t xml:space="preserve"> LE BOHEC </t>
  </si>
  <si>
    <t xml:space="preserve"> FOUGERARD </t>
  </si>
  <si>
    <t xml:space="preserve"> PARMEGIANI </t>
  </si>
  <si>
    <t xml:space="preserve"> SONNIC </t>
  </si>
  <si>
    <t xml:space="preserve"> WASILKOWSKI </t>
  </si>
  <si>
    <t xml:space="preserve"> MAINTROT </t>
  </si>
  <si>
    <t xml:space="preserve"> LESPAGNOL </t>
  </si>
  <si>
    <t xml:space="preserve"> SCODELLARO </t>
  </si>
  <si>
    <t xml:space="preserve"> MAHAUT </t>
  </si>
  <si>
    <t xml:space="preserve"> CALENDRAU </t>
  </si>
  <si>
    <t xml:space="preserve"> PERESSON </t>
  </si>
  <si>
    <t xml:space="preserve"> CHARLUT </t>
  </si>
  <si>
    <t xml:space="preserve"> SCHEID </t>
  </si>
  <si>
    <t xml:space="preserve"> BENAZZOUZ </t>
  </si>
  <si>
    <t xml:space="preserve"> THELLIEZ </t>
  </si>
  <si>
    <t xml:space="preserve"> Andry </t>
  </si>
  <si>
    <t xml:space="preserve"> NANTES TOUTES AIDES - AST </t>
  </si>
  <si>
    <t xml:space="preserve"> DE MARQUE </t>
  </si>
  <si>
    <t xml:space="preserve"> BOTTAU </t>
  </si>
  <si>
    <t xml:space="preserve"> TRIQUENEAUX </t>
  </si>
  <si>
    <t xml:space="preserve"> GUILHEMDEBAT </t>
  </si>
  <si>
    <t xml:space="preserve"> PIGOUT </t>
  </si>
  <si>
    <t xml:space="preserve"> ESPINASSE </t>
  </si>
  <si>
    <t xml:space="preserve"> FREBY </t>
  </si>
  <si>
    <t xml:space="preserve"> VALERIUS </t>
  </si>
  <si>
    <t xml:space="preserve"> DOLT </t>
  </si>
  <si>
    <t xml:space="preserve"> NEGROUCHE </t>
  </si>
  <si>
    <t xml:space="preserve"> RIEUX </t>
  </si>
  <si>
    <t xml:space="preserve"> PORTAIS </t>
  </si>
  <si>
    <t xml:space="preserve"> ZELMAR </t>
  </si>
  <si>
    <t xml:space="preserve"> ACHILLE </t>
  </si>
  <si>
    <t xml:space="preserve"> CHHUN </t>
  </si>
  <si>
    <t xml:space="preserve"> Sophanarith </t>
  </si>
  <si>
    <t xml:space="preserve"> DANIGO </t>
  </si>
  <si>
    <t xml:space="preserve"> PANDZOU </t>
  </si>
  <si>
    <t xml:space="preserve"> SAUTRON </t>
  </si>
  <si>
    <t xml:space="preserve"> COISNON </t>
  </si>
  <si>
    <t xml:space="preserve"> JEANNEL </t>
  </si>
  <si>
    <t xml:space="preserve"> RAVENEL </t>
  </si>
  <si>
    <t xml:space="preserve"> MAURISSET </t>
  </si>
  <si>
    <t xml:space="preserve"> MIRRA </t>
  </si>
  <si>
    <t xml:space="preserve"> DA COSTA ADAO </t>
  </si>
  <si>
    <t xml:space="preserve"> MARJOLET </t>
  </si>
  <si>
    <t xml:space="preserve"> GASSELIN </t>
  </si>
  <si>
    <t xml:space="preserve"> BANOS </t>
  </si>
  <si>
    <t xml:space="preserve"> DROUAN </t>
  </si>
  <si>
    <t xml:space="preserve"> LORENZO </t>
  </si>
  <si>
    <t xml:space="preserve"> LEDUBY </t>
  </si>
  <si>
    <t xml:space="preserve"> DAVELU </t>
  </si>
  <si>
    <t xml:space="preserve"> DELESTREE </t>
  </si>
  <si>
    <t xml:space="preserve"> LANGELIN </t>
  </si>
  <si>
    <t xml:space="preserve"> JANSEN </t>
  </si>
  <si>
    <t xml:space="preserve"> DODARD </t>
  </si>
  <si>
    <t xml:space="preserve"> DHERSIN </t>
  </si>
  <si>
    <t xml:space="preserve"> FOUIN </t>
  </si>
  <si>
    <t xml:space="preserve"> BREDECHE </t>
  </si>
  <si>
    <t xml:space="preserve"> CHAV </t>
  </si>
  <si>
    <t xml:space="preserve"> Vanna </t>
  </si>
  <si>
    <t xml:space="preserve"> GAMBIE </t>
  </si>
  <si>
    <t xml:space="preserve"> SPETEBROOT </t>
  </si>
  <si>
    <t xml:space="preserve"> RIBOULET </t>
  </si>
  <si>
    <t xml:space="preserve"> MIREY </t>
  </si>
  <si>
    <t xml:space="preserve"> SASUELA </t>
  </si>
  <si>
    <t xml:space="preserve"> Miecislas </t>
  </si>
  <si>
    <t xml:space="preserve"> ZORZIN </t>
  </si>
  <si>
    <t xml:space="preserve"> DU VERDIER </t>
  </si>
  <si>
    <t xml:space="preserve"> BENCTEUX </t>
  </si>
  <si>
    <t xml:space="preserve"> YTIER </t>
  </si>
  <si>
    <t xml:space="preserve"> CHANSEL </t>
  </si>
  <si>
    <t xml:space="preserve"> BUSEYNE </t>
  </si>
  <si>
    <t xml:space="preserve"> SICAUD </t>
  </si>
  <si>
    <t xml:space="preserve"> BRUIANT </t>
  </si>
  <si>
    <t xml:space="preserve"> LECORNUE </t>
  </si>
  <si>
    <t xml:space="preserve"> CORNIQUET </t>
  </si>
  <si>
    <t xml:space="preserve"> MAINGE </t>
  </si>
  <si>
    <t xml:space="preserve"> SOUVRAIN </t>
  </si>
  <si>
    <t xml:space="preserve"> MIGAUD </t>
  </si>
  <si>
    <t xml:space="preserve"> GEE </t>
  </si>
  <si>
    <t xml:space="preserve"> SAHUC </t>
  </si>
  <si>
    <t xml:space="preserve"> GLINA </t>
  </si>
  <si>
    <t xml:space="preserve"> DEMOCRITE </t>
  </si>
  <si>
    <t xml:space="preserve"> Clotaire </t>
  </si>
  <si>
    <t xml:space="preserve"> MARINHO DA COSTA </t>
  </si>
  <si>
    <t xml:space="preserve"> RASPAUD </t>
  </si>
  <si>
    <t xml:space="preserve"> HEINTZELMANN </t>
  </si>
  <si>
    <t xml:space="preserve"> COANUS </t>
  </si>
  <si>
    <t xml:space="preserve"> VANWYNSBERGE </t>
  </si>
  <si>
    <t xml:space="preserve"> DUME </t>
  </si>
  <si>
    <t xml:space="preserve"> AMO </t>
  </si>
  <si>
    <t xml:space="preserve"> MANDON </t>
  </si>
  <si>
    <t xml:space="preserve"> LEPINOY </t>
  </si>
  <si>
    <t xml:space="preserve"> UNVOIS </t>
  </si>
  <si>
    <t xml:space="preserve"> PERDRIX </t>
  </si>
  <si>
    <t xml:space="preserve"> ST-BRIEUC TT ST-LAMBERT </t>
  </si>
  <si>
    <t xml:space="preserve"> PERICHET </t>
  </si>
  <si>
    <t xml:space="preserve"> HUGEL </t>
  </si>
  <si>
    <t xml:space="preserve"> ASSELINEAU </t>
  </si>
  <si>
    <t xml:space="preserve"> GESSET </t>
  </si>
  <si>
    <t xml:space="preserve"> TOUVIER </t>
  </si>
  <si>
    <t xml:space="preserve"> JAJOLET </t>
  </si>
  <si>
    <t xml:space="preserve"> KALITINSKY </t>
  </si>
  <si>
    <t xml:space="preserve"> BEN ABDALLAH </t>
  </si>
  <si>
    <t xml:space="preserve"> Jiab </t>
  </si>
  <si>
    <t xml:space="preserve"> SERPIN </t>
  </si>
  <si>
    <t xml:space="preserve"> CHAMOUX </t>
  </si>
  <si>
    <t xml:space="preserve"> CORDINA </t>
  </si>
  <si>
    <t xml:space="preserve"> Van khai </t>
  </si>
  <si>
    <t xml:space="preserve"> LERICHOMME </t>
  </si>
  <si>
    <t xml:space="preserve"> OUDOIRE </t>
  </si>
  <si>
    <t xml:space="preserve"> DENIGER </t>
  </si>
  <si>
    <t xml:space="preserve"> AFFAGARD </t>
  </si>
  <si>
    <t xml:space="preserve"> LAURAY </t>
  </si>
  <si>
    <t xml:space="preserve"> FAILLIE </t>
  </si>
  <si>
    <t xml:space="preserve"> OLOW </t>
  </si>
  <si>
    <t xml:space="preserve"> THULLIEZ </t>
  </si>
  <si>
    <t xml:space="preserve"> ZANETTE </t>
  </si>
  <si>
    <t xml:space="preserve"> DIOGO DE SOUSA </t>
  </si>
  <si>
    <t xml:space="preserve"> QUEGUINER </t>
  </si>
  <si>
    <t xml:space="preserve"> BLINO </t>
  </si>
  <si>
    <t xml:space="preserve"> LOULIER </t>
  </si>
  <si>
    <t xml:space="preserve"> Heng </t>
  </si>
  <si>
    <t xml:space="preserve"> SAINT NOM SL </t>
  </si>
  <si>
    <t xml:space="preserve"> JOAO </t>
  </si>
  <si>
    <t xml:space="preserve"> Saul </t>
  </si>
  <si>
    <t xml:space="preserve"> tennis club MONTROTTIER A </t>
  </si>
  <si>
    <t xml:space="preserve"> TRINQUET </t>
  </si>
  <si>
    <t xml:space="preserve"> HINCQ </t>
  </si>
  <si>
    <t xml:space="preserve"> LEHRMANN </t>
  </si>
  <si>
    <t xml:space="preserve"> ROBUCHON </t>
  </si>
  <si>
    <t xml:space="preserve"> BOUTROUX </t>
  </si>
  <si>
    <t xml:space="preserve"> PELLIZZARO </t>
  </si>
  <si>
    <t xml:space="preserve"> Flaviano </t>
  </si>
  <si>
    <t xml:space="preserve"> SALLOT </t>
  </si>
  <si>
    <t xml:space="preserve"> BABSKI </t>
  </si>
  <si>
    <t xml:space="preserve"> DETOURNE </t>
  </si>
  <si>
    <t xml:space="preserve"> TRUONG CONG TON </t>
  </si>
  <si>
    <t xml:space="preserve"> VUILLIER </t>
  </si>
  <si>
    <t xml:space="preserve"> LEDOUBLET </t>
  </si>
  <si>
    <t xml:space="preserve"> édouard </t>
  </si>
  <si>
    <t xml:space="preserve"> VANILLO </t>
  </si>
  <si>
    <t xml:space="preserve"> SPADA </t>
  </si>
  <si>
    <t xml:space="preserve"> TOURNADE </t>
  </si>
  <si>
    <t xml:space="preserve"> Yonnie </t>
  </si>
  <si>
    <t xml:space="preserve"> GODBILLE </t>
  </si>
  <si>
    <t xml:space="preserve"> FERAL </t>
  </si>
  <si>
    <t xml:space="preserve"> BEUVAIN </t>
  </si>
  <si>
    <t xml:space="preserve"> MERCERON </t>
  </si>
  <si>
    <t xml:space="preserve"> CAUDRY </t>
  </si>
  <si>
    <t xml:space="preserve"> TRONDLE </t>
  </si>
  <si>
    <t xml:space="preserve"> BONDUEL </t>
  </si>
  <si>
    <t xml:space="preserve"> PAQUIER </t>
  </si>
  <si>
    <t xml:space="preserve"> MONTBAILLY </t>
  </si>
  <si>
    <t xml:space="preserve"> MESNIS </t>
  </si>
  <si>
    <t xml:space="preserve"> SAYAH </t>
  </si>
  <si>
    <t xml:space="preserve"> PENNAMEN </t>
  </si>
  <si>
    <t xml:space="preserve"> Guénaèl </t>
  </si>
  <si>
    <t xml:space="preserve"> ANDRIANARIMANGA </t>
  </si>
  <si>
    <t xml:space="preserve"> MONCHY </t>
  </si>
  <si>
    <t xml:space="preserve"> Placide </t>
  </si>
  <si>
    <t xml:space="preserve"> GRISOT </t>
  </si>
  <si>
    <t xml:space="preserve"> HOUTTEMENT </t>
  </si>
  <si>
    <t xml:space="preserve"> RAVELOJAONA </t>
  </si>
  <si>
    <t xml:space="preserve"> Ricky </t>
  </si>
  <si>
    <t xml:space="preserve"> CLAUZON </t>
  </si>
  <si>
    <t xml:space="preserve"> CHAGNEAUD </t>
  </si>
  <si>
    <t xml:space="preserve"> BOUSCHET </t>
  </si>
  <si>
    <t xml:space="preserve"> LE BOUHART </t>
  </si>
  <si>
    <t xml:space="preserve"> LAVA </t>
  </si>
  <si>
    <t xml:space="preserve"> PERSON </t>
  </si>
  <si>
    <t xml:space="preserve"> BASILE </t>
  </si>
  <si>
    <t xml:space="preserve"> CESAR </t>
  </si>
  <si>
    <t xml:space="preserve"> TANCHON </t>
  </si>
  <si>
    <t xml:space="preserve"> CHENEAUX </t>
  </si>
  <si>
    <t xml:space="preserve"> DUBANT </t>
  </si>
  <si>
    <t xml:space="preserve"> ABDALCANNY </t>
  </si>
  <si>
    <t xml:space="preserve"> Amil </t>
  </si>
  <si>
    <t xml:space="preserve"> DEKONINCK </t>
  </si>
  <si>
    <t xml:space="preserve"> DANOIS </t>
  </si>
  <si>
    <t xml:space="preserve"> M'BORLO </t>
  </si>
  <si>
    <t xml:space="preserve"> NEYNER </t>
  </si>
  <si>
    <t xml:space="preserve"> FRYDRICH </t>
  </si>
  <si>
    <t xml:space="preserve"> ARAUD </t>
  </si>
  <si>
    <t xml:space="preserve"> BANTIGNY </t>
  </si>
  <si>
    <t xml:space="preserve"> COMMEAU </t>
  </si>
  <si>
    <t xml:space="preserve"> TULEWICZ </t>
  </si>
  <si>
    <t xml:space="preserve"> WOJERZ </t>
  </si>
  <si>
    <t xml:space="preserve"> REIGNIEZ </t>
  </si>
  <si>
    <t xml:space="preserve"> BRILLEAUD </t>
  </si>
  <si>
    <t xml:space="preserve"> ALESTRO </t>
  </si>
  <si>
    <t xml:space="preserve"> DUGROSPREZ </t>
  </si>
  <si>
    <t xml:space="preserve"> BILLÉ </t>
  </si>
  <si>
    <t xml:space="preserve"> FONCK </t>
  </si>
  <si>
    <t xml:space="preserve"> MARRON </t>
  </si>
  <si>
    <t xml:space="preserve"> MENGUAL </t>
  </si>
  <si>
    <t xml:space="preserve"> PIPPOLO </t>
  </si>
  <si>
    <t xml:space="preserve"> LUQUIN </t>
  </si>
  <si>
    <t xml:space="preserve"> SAINGIER </t>
  </si>
  <si>
    <t xml:space="preserve"> BOCQUENET </t>
  </si>
  <si>
    <t xml:space="preserve"> DEGROULT </t>
  </si>
  <si>
    <t xml:space="preserve"> THONGDY </t>
  </si>
  <si>
    <t xml:space="preserve"> SZLACHTA </t>
  </si>
  <si>
    <t xml:space="preserve"> SAURO </t>
  </si>
  <si>
    <t xml:space="preserve"> GRAUR </t>
  </si>
  <si>
    <t xml:space="preserve"> LIENNEL </t>
  </si>
  <si>
    <t xml:space="preserve"> WALLEZ </t>
  </si>
  <si>
    <t xml:space="preserve"> SCHWALM </t>
  </si>
  <si>
    <t xml:space="preserve"> CAROLI </t>
  </si>
  <si>
    <t xml:space="preserve"> BONMORT </t>
  </si>
  <si>
    <t xml:space="preserve"> PILLIOT </t>
  </si>
  <si>
    <t xml:space="preserve"> TUFFIER </t>
  </si>
  <si>
    <t xml:space="preserve"> PAGETTA </t>
  </si>
  <si>
    <t xml:space="preserve"> ABEL </t>
  </si>
  <si>
    <t xml:space="preserve"> MOYA </t>
  </si>
  <si>
    <t xml:space="preserve"> Matias </t>
  </si>
  <si>
    <t xml:space="preserve"> SANGUIN </t>
  </si>
  <si>
    <t xml:space="preserve"> BROQUET </t>
  </si>
  <si>
    <t xml:space="preserve"> LE ROHELLEC </t>
  </si>
  <si>
    <t xml:space="preserve"> SOLANILA </t>
  </si>
  <si>
    <t xml:space="preserve"> CANTOURNET </t>
  </si>
  <si>
    <t xml:space="preserve"> PERONA </t>
  </si>
  <si>
    <t xml:space="preserve"> ZYLKA </t>
  </si>
  <si>
    <t xml:space="preserve"> MISPELAERE </t>
  </si>
  <si>
    <t xml:space="preserve"> HIEZ </t>
  </si>
  <si>
    <t xml:space="preserve"> FREYBERGER </t>
  </si>
  <si>
    <t xml:space="preserve"> GARDIOLA </t>
  </si>
  <si>
    <t xml:space="preserve"> EYNAUD </t>
  </si>
  <si>
    <t xml:space="preserve"> KAYSER </t>
  </si>
  <si>
    <t xml:space="preserve"> Chasseneuil Ping Développ </t>
  </si>
  <si>
    <t xml:space="preserve"> GRELLET </t>
  </si>
  <si>
    <t xml:space="preserve"> HESLOT </t>
  </si>
  <si>
    <t xml:space="preserve"> Tennis de Table Tignieu </t>
  </si>
  <si>
    <t xml:space="preserve"> BOYE </t>
  </si>
  <si>
    <t xml:space="preserve"> NILUSMAS </t>
  </si>
  <si>
    <t xml:space="preserve"> FRAGA </t>
  </si>
  <si>
    <t xml:space="preserve"> FLEAUX </t>
  </si>
  <si>
    <t xml:space="preserve"> VASSE PAILLIER </t>
  </si>
  <si>
    <t xml:space="preserve"> STASZEWSKI </t>
  </si>
  <si>
    <t xml:space="preserve"> DIF </t>
  </si>
  <si>
    <t xml:space="preserve"> GUNCU </t>
  </si>
  <si>
    <t xml:space="preserve"> Huseyin </t>
  </si>
  <si>
    <t xml:space="preserve"> LAMPERIER </t>
  </si>
  <si>
    <t xml:space="preserve"> PAGNANINI </t>
  </si>
  <si>
    <t xml:space="preserve"> GUITTER </t>
  </si>
  <si>
    <t xml:space="preserve"> BILGIN </t>
  </si>
  <si>
    <t xml:space="preserve"> Mehmet </t>
  </si>
  <si>
    <t xml:space="preserve"> PPC VARENNOIS </t>
  </si>
  <si>
    <t xml:space="preserve"> TORREGROSA </t>
  </si>
  <si>
    <t xml:space="preserve"> LEYRIT </t>
  </si>
  <si>
    <t xml:space="preserve"> GUILLEMANT </t>
  </si>
  <si>
    <t xml:space="preserve"> FACQUEUR </t>
  </si>
  <si>
    <t xml:space="preserve"> DE PUIFFERRAT </t>
  </si>
  <si>
    <t xml:space="preserve"> VERCKEN </t>
  </si>
  <si>
    <t xml:space="preserve"> Quoc-tien </t>
  </si>
  <si>
    <t xml:space="preserve"> ABOU ZOUNON </t>
  </si>
  <si>
    <t xml:space="preserve"> DIETRICH </t>
  </si>
  <si>
    <t xml:space="preserve"> FAIRFORT </t>
  </si>
  <si>
    <t xml:space="preserve"> IANNI </t>
  </si>
  <si>
    <t xml:space="preserve"> CHESNE </t>
  </si>
  <si>
    <t xml:space="preserve"> COULEON </t>
  </si>
  <si>
    <t xml:space="preserve"> BOUCHINDOMME </t>
  </si>
  <si>
    <t xml:space="preserve"> BOULENT </t>
  </si>
  <si>
    <t xml:space="preserve"> LEPAIGNEUL </t>
  </si>
  <si>
    <t xml:space="preserve"> SAINT-GERMES </t>
  </si>
  <si>
    <t xml:space="preserve"> MAJJI </t>
  </si>
  <si>
    <t xml:space="preserve"> TAUZIN </t>
  </si>
  <si>
    <t xml:space="preserve"> RATTAIRE </t>
  </si>
  <si>
    <t xml:space="preserve"> MAUFFET </t>
  </si>
  <si>
    <t xml:space="preserve"> SCHIETSE </t>
  </si>
  <si>
    <t xml:space="preserve"> CLOS </t>
  </si>
  <si>
    <t xml:space="preserve"> LERR </t>
  </si>
  <si>
    <t xml:space="preserve"> Pierre jacques </t>
  </si>
  <si>
    <t xml:space="preserve"> GENTAIRE </t>
  </si>
  <si>
    <t xml:space="preserve"> YARD </t>
  </si>
  <si>
    <t xml:space="preserve"> Vi hung </t>
  </si>
  <si>
    <t xml:space="preserve"> TUTRICE </t>
  </si>
  <si>
    <t xml:space="preserve"> Jordan </t>
  </si>
  <si>
    <t xml:space="preserve"> TOPART </t>
  </si>
  <si>
    <t xml:space="preserve"> HAIS </t>
  </si>
  <si>
    <t xml:space="preserve"> DOMY </t>
  </si>
  <si>
    <t xml:space="preserve"> Paul henri </t>
  </si>
  <si>
    <t xml:space="preserve"> CHENAUD </t>
  </si>
  <si>
    <t xml:space="preserve"> Luc claude </t>
  </si>
  <si>
    <t xml:space="preserve"> GIRODINEAU </t>
  </si>
  <si>
    <t xml:space="preserve"> POURCHEL </t>
  </si>
  <si>
    <t xml:space="preserve"> STROHER </t>
  </si>
  <si>
    <t xml:space="preserve"> FALIP </t>
  </si>
  <si>
    <t xml:space="preserve"> DOS ANJOS </t>
  </si>
  <si>
    <t xml:space="preserve"> FIORIANI </t>
  </si>
  <si>
    <t xml:space="preserve"> GRAVELINES </t>
  </si>
  <si>
    <t xml:space="preserve"> PATIS </t>
  </si>
  <si>
    <t xml:space="preserve"> DYJAS </t>
  </si>
  <si>
    <t xml:space="preserve"> VITTINI </t>
  </si>
  <si>
    <t xml:space="preserve"> SMIRNOFF </t>
  </si>
  <si>
    <t xml:space="preserve"> SMAGGHE </t>
  </si>
  <si>
    <t xml:space="preserve"> ROBILLOT </t>
  </si>
  <si>
    <t xml:space="preserve"> T.T. FREHEL </t>
  </si>
  <si>
    <t xml:space="preserve"> CONTAMINE </t>
  </si>
  <si>
    <t xml:space="preserve"> LUBERT </t>
  </si>
  <si>
    <t xml:space="preserve"> TRESCARTE </t>
  </si>
  <si>
    <t xml:space="preserve"> HERBULOT </t>
  </si>
  <si>
    <t xml:space="preserve"> ARBONNEAU </t>
  </si>
  <si>
    <t xml:space="preserve"> HUAN </t>
  </si>
  <si>
    <t xml:space="preserve"> RANDRIANARISOA </t>
  </si>
  <si>
    <t xml:space="preserve"> Bruno andriasol </t>
  </si>
  <si>
    <t xml:space="preserve"> REICHART </t>
  </si>
  <si>
    <t xml:space="preserve"> ZADIKIAN </t>
  </si>
  <si>
    <t xml:space="preserve"> Xianwei </t>
  </si>
  <si>
    <t xml:space="preserve"> LABAUNE </t>
  </si>
  <si>
    <t xml:space="preserve"> DESOIGNIES </t>
  </si>
  <si>
    <t xml:space="preserve"> POUPELIN </t>
  </si>
  <si>
    <t xml:space="preserve"> SALAIN </t>
  </si>
  <si>
    <t xml:space="preserve"> BRICK AIDA </t>
  </si>
  <si>
    <t xml:space="preserve"> EATON </t>
  </si>
  <si>
    <t xml:space="preserve"> Russel </t>
  </si>
  <si>
    <t xml:space="preserve"> NOUGARET </t>
  </si>
  <si>
    <t xml:space="preserve"> GIACHELLO </t>
  </si>
  <si>
    <t xml:space="preserve"> PFANDLER </t>
  </si>
  <si>
    <t xml:space="preserve"> NONET </t>
  </si>
  <si>
    <t xml:space="preserve"> BOUNZEKI MASSOU </t>
  </si>
  <si>
    <t xml:space="preserve"> DAGA </t>
  </si>
  <si>
    <t xml:space="preserve"> FOURICHON </t>
  </si>
  <si>
    <t xml:space="preserve"> MASODA MA HONGLA </t>
  </si>
  <si>
    <t xml:space="preserve"> LAVENAC </t>
  </si>
  <si>
    <t xml:space="preserve"> CHANEY </t>
  </si>
  <si>
    <t xml:space="preserve"> AYOUB </t>
  </si>
  <si>
    <t xml:space="preserve"> KASKASSIADES </t>
  </si>
  <si>
    <t xml:space="preserve"> Ulysse </t>
  </si>
  <si>
    <t xml:space="preserve"> MAI THANH </t>
  </si>
  <si>
    <t xml:space="preserve"> Son </t>
  </si>
  <si>
    <t xml:space="preserve"> AMINEUR </t>
  </si>
  <si>
    <t xml:space="preserve"> SCHOOS </t>
  </si>
  <si>
    <t xml:space="preserve"> RIPART </t>
  </si>
  <si>
    <t xml:space="preserve"> BASLER </t>
  </si>
  <si>
    <t xml:space="preserve"> LIGNY EN CAMBRESIS TT </t>
  </si>
  <si>
    <t xml:space="preserve"> CAUET </t>
  </si>
  <si>
    <t xml:space="preserve"> CHRISTINY </t>
  </si>
  <si>
    <t xml:space="preserve"> PAUTOT </t>
  </si>
  <si>
    <t xml:space="preserve"> TITH </t>
  </si>
  <si>
    <t xml:space="preserve"> GARRABE </t>
  </si>
  <si>
    <t xml:space="preserve"> BENYETTOU </t>
  </si>
  <si>
    <t xml:space="preserve"> POZLEWICZ </t>
  </si>
  <si>
    <t xml:space="preserve"> LIPPERT </t>
  </si>
  <si>
    <t xml:space="preserve"> PUTEAUX </t>
  </si>
  <si>
    <t xml:space="preserve"> OUELLETTE </t>
  </si>
  <si>
    <t xml:space="preserve"> BALAMDRAUD </t>
  </si>
  <si>
    <t xml:space="preserve"> THEREAUX </t>
  </si>
  <si>
    <t xml:space="preserve"> NAYL </t>
  </si>
  <si>
    <t xml:space="preserve"> GATON </t>
  </si>
  <si>
    <t xml:space="preserve"> Hilario </t>
  </si>
  <si>
    <t xml:space="preserve"> BONNIEZ </t>
  </si>
  <si>
    <t xml:space="preserve"> LIBAR </t>
  </si>
  <si>
    <t xml:space="preserve"> GUCCIARDI </t>
  </si>
  <si>
    <t xml:space="preserve"> JACEWICZ </t>
  </si>
  <si>
    <t xml:space="preserve"> DOUINOT </t>
  </si>
  <si>
    <t xml:space="preserve"> LOISANCE </t>
  </si>
  <si>
    <t xml:space="preserve"> SIEFFERT </t>
  </si>
  <si>
    <t xml:space="preserve"> REINHART </t>
  </si>
  <si>
    <t xml:space="preserve"> CONGA </t>
  </si>
  <si>
    <t xml:space="preserve"> DELICHERE </t>
  </si>
  <si>
    <t xml:space="preserve"> COZE </t>
  </si>
  <si>
    <t xml:space="preserve"> MELIDON </t>
  </si>
  <si>
    <t xml:space="preserve"> Toan thang </t>
  </si>
  <si>
    <t xml:space="preserve"> KRINCKET </t>
  </si>
  <si>
    <t xml:space="preserve"> BLANWALHIN </t>
  </si>
  <si>
    <t xml:space="preserve"> BIGOTTIÈRE (La) USTT </t>
  </si>
  <si>
    <t xml:space="preserve"> GRANDSERRE </t>
  </si>
  <si>
    <t xml:space="preserve"> JANNETTA </t>
  </si>
  <si>
    <t xml:space="preserve"> DUSSARRAT </t>
  </si>
  <si>
    <t xml:space="preserve"> PELARD </t>
  </si>
  <si>
    <t xml:space="preserve"> Barthelemy </t>
  </si>
  <si>
    <t xml:space="preserve"> DAIKER </t>
  </si>
  <si>
    <t xml:space="preserve"> Redouane </t>
  </si>
  <si>
    <t xml:space="preserve"> ISAEV </t>
  </si>
  <si>
    <t xml:space="preserve"> BOULIOU </t>
  </si>
  <si>
    <t xml:space="preserve"> BAGUELIN </t>
  </si>
  <si>
    <t xml:space="preserve"> GOGUET </t>
  </si>
  <si>
    <t xml:space="preserve"> BOULAUD </t>
  </si>
  <si>
    <t xml:space="preserve"> BAGLIOTTO </t>
  </si>
  <si>
    <t xml:space="preserve"> MAGADUR </t>
  </si>
  <si>
    <t xml:space="preserve"> HENTZIEN </t>
  </si>
  <si>
    <t xml:space="preserve"> ARCHAMBAULT </t>
  </si>
  <si>
    <t xml:space="preserve"> CAETANO </t>
  </si>
  <si>
    <t xml:space="preserve"> CORRIGER </t>
  </si>
  <si>
    <t xml:space="preserve"> VALDEVIT </t>
  </si>
  <si>
    <t xml:space="preserve"> WAGHON </t>
  </si>
  <si>
    <t xml:space="preserve"> EPPINGER </t>
  </si>
  <si>
    <t xml:space="preserve"> LAPOIRE </t>
  </si>
  <si>
    <t xml:space="preserve"> DODANE </t>
  </si>
  <si>
    <t xml:space="preserve"> VARENNES </t>
  </si>
  <si>
    <t xml:space="preserve"> BEAUVAL </t>
  </si>
  <si>
    <t xml:space="preserve"> Anthime </t>
  </si>
  <si>
    <t xml:space="preserve"> Albertino </t>
  </si>
  <si>
    <t xml:space="preserve"> GADIFFET </t>
  </si>
  <si>
    <t xml:space="preserve"> DREVILLE </t>
  </si>
  <si>
    <t xml:space="preserve"> LE NIGNOL </t>
  </si>
  <si>
    <t xml:space="preserve"> BENCHEIKH </t>
  </si>
  <si>
    <t xml:space="preserve"> Noury </t>
  </si>
  <si>
    <t xml:space="preserve"> MALATRAY </t>
  </si>
  <si>
    <t xml:space="preserve"> BLANGER </t>
  </si>
  <si>
    <t xml:space="preserve"> LOUETTE </t>
  </si>
  <si>
    <t xml:space="preserve"> VAYSSIE </t>
  </si>
  <si>
    <t xml:space="preserve"> KOHARI </t>
  </si>
  <si>
    <t xml:space="preserve"> DOITEAU </t>
  </si>
  <si>
    <t xml:space="preserve"> DOURNELLE </t>
  </si>
  <si>
    <t xml:space="preserve"> FAVERGEAT </t>
  </si>
  <si>
    <t xml:space="preserve"> TALMA </t>
  </si>
  <si>
    <t xml:space="preserve"> PROULT </t>
  </si>
  <si>
    <t xml:space="preserve"> LABROUE </t>
  </si>
  <si>
    <t xml:space="preserve"> ORLICKI </t>
  </si>
  <si>
    <t xml:space="preserve"> Van thanh </t>
  </si>
  <si>
    <t xml:space="preserve"> VATINET </t>
  </si>
  <si>
    <t xml:space="preserve"> DESMULLIER </t>
  </si>
  <si>
    <t xml:space="preserve"> PLANCOULAINE </t>
  </si>
  <si>
    <t xml:space="preserve"> DECISY </t>
  </si>
  <si>
    <t xml:space="preserve"> PAGEAU </t>
  </si>
  <si>
    <t xml:space="preserve"> YAMYUENT </t>
  </si>
  <si>
    <t xml:space="preserve"> Chaiyan </t>
  </si>
  <si>
    <t xml:space="preserve"> LEGEMBLE </t>
  </si>
  <si>
    <t xml:space="preserve"> JERSIER </t>
  </si>
  <si>
    <t xml:space="preserve"> PAULHIAC </t>
  </si>
  <si>
    <t xml:space="preserve"> HEBBACHE </t>
  </si>
  <si>
    <t xml:space="preserve"> Wassim </t>
  </si>
  <si>
    <t xml:space="preserve"> SPRIMONT </t>
  </si>
  <si>
    <t xml:space="preserve"> MACAIGNE </t>
  </si>
  <si>
    <t xml:space="preserve"> HUGUERRE </t>
  </si>
  <si>
    <t xml:space="preserve"> SCIASCIA </t>
  </si>
  <si>
    <t xml:space="preserve"> DESEUZES </t>
  </si>
  <si>
    <t xml:space="preserve"> FABING </t>
  </si>
  <si>
    <t xml:space="preserve"> BEAUCOURT </t>
  </si>
  <si>
    <t xml:space="preserve"> CREVECOEUR </t>
  </si>
  <si>
    <t xml:space="preserve"> RINEAU </t>
  </si>
  <si>
    <t xml:space="preserve"> ROCHAS </t>
  </si>
  <si>
    <t xml:space="preserve"> FERRER </t>
  </si>
  <si>
    <t xml:space="preserve"> BOUTTEVILLE KRAEMER </t>
  </si>
  <si>
    <t xml:space="preserve"> Yanick </t>
  </si>
  <si>
    <t xml:space="preserve"> PALLUS </t>
  </si>
  <si>
    <t xml:space="preserve"> CHAUMOITRE </t>
  </si>
  <si>
    <t xml:space="preserve"> NADELMAN </t>
  </si>
  <si>
    <t xml:space="preserve"> BOUGUERAIRA </t>
  </si>
  <si>
    <t xml:space="preserve"> HANSER </t>
  </si>
  <si>
    <t xml:space="preserve"> DOUDEAU </t>
  </si>
  <si>
    <t xml:space="preserve"> LE GOURIEREC </t>
  </si>
  <si>
    <t xml:space="preserve"> PLAYE </t>
  </si>
  <si>
    <t xml:space="preserve"> VASTEL </t>
  </si>
  <si>
    <t xml:space="preserve"> MALARET </t>
  </si>
  <si>
    <t xml:space="preserve"> LHERMENOT </t>
  </si>
  <si>
    <t xml:space="preserve"> CHEDEMOIS </t>
  </si>
  <si>
    <t xml:space="preserve"> DEVORSINE </t>
  </si>
  <si>
    <t xml:space="preserve"> SALAHOVIC </t>
  </si>
  <si>
    <t xml:space="preserve"> PERRAMOND </t>
  </si>
  <si>
    <t xml:space="preserve"> EFFANTIN </t>
  </si>
  <si>
    <t xml:space="preserve"> MAYENOBE </t>
  </si>
  <si>
    <t xml:space="preserve"> DELBOUIS </t>
  </si>
  <si>
    <t xml:space="preserve"> RELUQUER </t>
  </si>
  <si>
    <t xml:space="preserve"> BARATA </t>
  </si>
  <si>
    <t xml:space="preserve"> MANTZ </t>
  </si>
  <si>
    <t xml:space="preserve"> BOUPIES </t>
  </si>
  <si>
    <t xml:space="preserve"> ZEBAIR </t>
  </si>
  <si>
    <t xml:space="preserve"> LUDWIG </t>
  </si>
  <si>
    <t xml:space="preserve"> WILLINGER </t>
  </si>
  <si>
    <t xml:space="preserve"> AMASIO </t>
  </si>
  <si>
    <t xml:space="preserve"> OSSET </t>
  </si>
  <si>
    <t xml:space="preserve"> LENEVE </t>
  </si>
  <si>
    <t xml:space="preserve"> MIREAUX </t>
  </si>
  <si>
    <t xml:space="preserve"> LE STUNFF </t>
  </si>
  <si>
    <t xml:space="preserve"> NEUBAUER </t>
  </si>
  <si>
    <t xml:space="preserve"> MARMANDE </t>
  </si>
  <si>
    <t xml:space="preserve"> BIHAN-POUDEC </t>
  </si>
  <si>
    <t xml:space="preserve"> CAILLER </t>
  </si>
  <si>
    <t xml:space="preserve"> LAURIOT </t>
  </si>
  <si>
    <t xml:space="preserve"> MEERT </t>
  </si>
  <si>
    <t xml:space="preserve"> LOU </t>
  </si>
  <si>
    <t xml:space="preserve"> Huynh minh </t>
  </si>
  <si>
    <t xml:space="preserve"> BOUTTIER </t>
  </si>
  <si>
    <t xml:space="preserve"> GAT </t>
  </si>
  <si>
    <t xml:space="preserve"> BAUGUYON </t>
  </si>
  <si>
    <t xml:space="preserve"> VILNEUVE </t>
  </si>
  <si>
    <t xml:space="preserve"> CLAUSSET </t>
  </si>
  <si>
    <t xml:space="preserve"> POSTAIRE </t>
  </si>
  <si>
    <t xml:space="preserve"> CHARRIAUT </t>
  </si>
  <si>
    <t xml:space="preserve"> THALHAOUI </t>
  </si>
  <si>
    <t xml:space="preserve"> CONSTANTIN </t>
  </si>
  <si>
    <t xml:space="preserve"> GILGEAN </t>
  </si>
  <si>
    <t xml:space="preserve"> DELLE-VEDOVE </t>
  </si>
  <si>
    <t xml:space="preserve"> MORANDIN </t>
  </si>
  <si>
    <t xml:space="preserve"> RAMOND </t>
  </si>
  <si>
    <t xml:space="preserve"> CHEBRET </t>
  </si>
  <si>
    <t xml:space="preserve"> SIAT </t>
  </si>
  <si>
    <t xml:space="preserve"> BURGALAT </t>
  </si>
  <si>
    <t xml:space="preserve"> Eugenio </t>
  </si>
  <si>
    <t xml:space="preserve"> BLETTERER </t>
  </si>
  <si>
    <t xml:space="preserve"> DENOULET </t>
  </si>
  <si>
    <t xml:space="preserve"> SAINTE-MARIE </t>
  </si>
  <si>
    <t xml:space="preserve"> CHANDON </t>
  </si>
  <si>
    <t xml:space="preserve"> PETORIN </t>
  </si>
  <si>
    <t xml:space="preserve"> CHABENAT </t>
  </si>
  <si>
    <t xml:space="preserve"> DEBAUDRE </t>
  </si>
  <si>
    <t xml:space="preserve"> TOURNEZ </t>
  </si>
  <si>
    <t xml:space="preserve"> GAUDY </t>
  </si>
  <si>
    <t xml:space="preserve"> NAVET </t>
  </si>
  <si>
    <t xml:space="preserve"> MARCHELEK </t>
  </si>
  <si>
    <t xml:space="preserve"> LHOMMELET </t>
  </si>
  <si>
    <t xml:space="preserve"> CLARY </t>
  </si>
  <si>
    <t xml:space="preserve"> ROTHARMEL </t>
  </si>
  <si>
    <t xml:space="preserve"> Rudolf </t>
  </si>
  <si>
    <t xml:space="preserve"> CHMIELEWSKI </t>
  </si>
  <si>
    <t xml:space="preserve"> DENKMANN </t>
  </si>
  <si>
    <t xml:space="preserve"> LANDEAU </t>
  </si>
  <si>
    <t xml:space="preserve"> LAVRILLAT </t>
  </si>
  <si>
    <t xml:space="preserve"> LEFRANCQ </t>
  </si>
  <si>
    <t xml:space="preserve"> LEMARESQUIER </t>
  </si>
  <si>
    <t xml:space="preserve"> CARRERA </t>
  </si>
  <si>
    <t xml:space="preserve"> DROULERS </t>
  </si>
  <si>
    <t xml:space="preserve"> CUISINIER </t>
  </si>
  <si>
    <t xml:space="preserve"> CHATAIN </t>
  </si>
  <si>
    <t xml:space="preserve"> MAITRIER </t>
  </si>
  <si>
    <t xml:space="preserve"> BOURGEREAU </t>
  </si>
  <si>
    <t xml:space="preserve"> BUTTY </t>
  </si>
  <si>
    <t xml:space="preserve"> CHAMBAUDRY </t>
  </si>
  <si>
    <t xml:space="preserve"> ANGELLE </t>
  </si>
  <si>
    <t xml:space="preserve"> COUVREPUE </t>
  </si>
  <si>
    <t xml:space="preserve"> BENHISSEN </t>
  </si>
  <si>
    <t xml:space="preserve"> CUNIT-RAVET </t>
  </si>
  <si>
    <t xml:space="preserve"> BRULEZ </t>
  </si>
  <si>
    <t xml:space="preserve"> PEQUEGNOT </t>
  </si>
  <si>
    <t xml:space="preserve"> HALLE </t>
  </si>
  <si>
    <t xml:space="preserve"> ALBERT-SIMAR </t>
  </si>
  <si>
    <t xml:space="preserve"> MORGENTHALER </t>
  </si>
  <si>
    <t xml:space="preserve"> MAURIES </t>
  </si>
  <si>
    <t xml:space="preserve"> DUAULT </t>
  </si>
  <si>
    <t xml:space="preserve"> GARSIA </t>
  </si>
  <si>
    <t xml:space="preserve"> BOUSCHARAIN </t>
  </si>
  <si>
    <t xml:space="preserve"> PICHEVIN </t>
  </si>
  <si>
    <t xml:space="preserve"> BIKAI </t>
  </si>
  <si>
    <t xml:space="preserve"> MIDELET </t>
  </si>
  <si>
    <t xml:space="preserve"> LEFEVRE THIBAULT </t>
  </si>
  <si>
    <t xml:space="preserve"> DUFIEF </t>
  </si>
  <si>
    <t xml:space="preserve"> CHADEFFAUD </t>
  </si>
  <si>
    <t xml:space="preserve"> ROSENZWEIG </t>
  </si>
  <si>
    <t xml:space="preserve"> VAN OS </t>
  </si>
  <si>
    <t xml:space="preserve"> VENE </t>
  </si>
  <si>
    <t xml:space="preserve"> JOUVET </t>
  </si>
  <si>
    <t xml:space="preserve"> WATISSEE </t>
  </si>
  <si>
    <t xml:space="preserve"> NOUBLANCHE </t>
  </si>
  <si>
    <t xml:space="preserve"> RAMAUGE </t>
  </si>
  <si>
    <t xml:space="preserve"> CORREA </t>
  </si>
  <si>
    <t xml:space="preserve"> Hong wu </t>
  </si>
  <si>
    <t xml:space="preserve"> BOURNEUF </t>
  </si>
  <si>
    <t xml:space="preserve"> DENIAUD </t>
  </si>
  <si>
    <t xml:space="preserve"> GRESSET </t>
  </si>
  <si>
    <t xml:space="preserve"> Jacques alain </t>
  </si>
  <si>
    <t xml:space="preserve"> INTES </t>
  </si>
  <si>
    <t xml:space="preserve"> SORREAU </t>
  </si>
  <si>
    <t xml:space="preserve"> BAUTRAIT </t>
  </si>
  <si>
    <t xml:space="preserve"> SOLANGE </t>
  </si>
  <si>
    <t xml:space="preserve"> ALLEMANN </t>
  </si>
  <si>
    <t xml:space="preserve"> HEBINCK </t>
  </si>
  <si>
    <t xml:space="preserve"> BENCHAÏBI </t>
  </si>
  <si>
    <t xml:space="preserve"> FONSECA </t>
  </si>
  <si>
    <t xml:space="preserve"> MOLINE </t>
  </si>
  <si>
    <t xml:space="preserve"> KRIEF </t>
  </si>
  <si>
    <t xml:space="preserve"> BONNOMEAU </t>
  </si>
  <si>
    <t xml:space="preserve"> GOUMY </t>
  </si>
  <si>
    <t xml:space="preserve"> SAMYDE </t>
  </si>
  <si>
    <t xml:space="preserve"> Guy-louis </t>
  </si>
  <si>
    <t xml:space="preserve"> COQUART </t>
  </si>
  <si>
    <t xml:space="preserve"> ANNIC </t>
  </si>
  <si>
    <t xml:space="preserve"> MUREZ </t>
  </si>
  <si>
    <t xml:space="preserve"> LUGAN </t>
  </si>
  <si>
    <t xml:space="preserve"> POPESCU </t>
  </si>
  <si>
    <t xml:space="preserve"> BRILLAT-SAVARIN </t>
  </si>
  <si>
    <t xml:space="preserve"> SOULA </t>
  </si>
  <si>
    <t xml:space="preserve"> NEVES </t>
  </si>
  <si>
    <t xml:space="preserve"> MIMOUNI </t>
  </si>
  <si>
    <t xml:space="preserve"> MONTANELLA </t>
  </si>
  <si>
    <t xml:space="preserve"> LOISEL </t>
  </si>
  <si>
    <t xml:space="preserve"> PALUCHIENICZ </t>
  </si>
  <si>
    <t xml:space="preserve"> BEN AYOUN </t>
  </si>
  <si>
    <t xml:space="preserve"> ROSSETTI </t>
  </si>
  <si>
    <t xml:space="preserve"> BESTELLE </t>
  </si>
  <si>
    <t xml:space="preserve"> DESFOUR </t>
  </si>
  <si>
    <t xml:space="preserve"> D ARFEUILLE </t>
  </si>
  <si>
    <t xml:space="preserve"> GOURION </t>
  </si>
  <si>
    <t xml:space="preserve"> LUTYN </t>
  </si>
  <si>
    <t xml:space="preserve"> AUCLER </t>
  </si>
  <si>
    <t xml:space="preserve"> SREBOT </t>
  </si>
  <si>
    <t xml:space="preserve"> SAID MOHAMED </t>
  </si>
  <si>
    <t xml:space="preserve"> Seif </t>
  </si>
  <si>
    <t xml:space="preserve"> PRUD'HOMME </t>
  </si>
  <si>
    <t xml:space="preserve"> NORDON </t>
  </si>
  <si>
    <t xml:space="preserve"> COMBLE </t>
  </si>
  <si>
    <t xml:space="preserve"> FOURNEYRON </t>
  </si>
  <si>
    <t xml:space="preserve"> DESPINOY </t>
  </si>
  <si>
    <t xml:space="preserve"> BREUILLAUD </t>
  </si>
  <si>
    <t xml:space="preserve"> LAPERNE SERRAPANE </t>
  </si>
  <si>
    <t xml:space="preserve"> REIDINGER </t>
  </si>
  <si>
    <t xml:space="preserve"> ROUZIN </t>
  </si>
  <si>
    <t xml:space="preserve"> ANGHINOLFI </t>
  </si>
  <si>
    <t xml:space="preserve"> ETEVENAUX </t>
  </si>
  <si>
    <t xml:space="preserve"> ADANE </t>
  </si>
  <si>
    <t xml:space="preserve"> Belaid </t>
  </si>
  <si>
    <t xml:space="preserve"> APPARAILLY </t>
  </si>
  <si>
    <t xml:space="preserve"> DAVODEAU </t>
  </si>
  <si>
    <t xml:space="preserve"> ROSADA </t>
  </si>
  <si>
    <t xml:space="preserve"> GARRA </t>
  </si>
  <si>
    <t xml:space="preserve"> Jean daniel </t>
  </si>
  <si>
    <t xml:space="preserve"> PEL </t>
  </si>
  <si>
    <t xml:space="preserve"> CLOTA </t>
  </si>
  <si>
    <t xml:space="preserve"> DUPIRES </t>
  </si>
  <si>
    <t xml:space="preserve"> BENGIO </t>
  </si>
  <si>
    <t xml:space="preserve"> FOREY </t>
  </si>
  <si>
    <t xml:space="preserve"> FRYDRYCH </t>
  </si>
  <si>
    <t xml:space="preserve"> DEBOISSY </t>
  </si>
  <si>
    <t xml:space="preserve"> HADJARA </t>
  </si>
  <si>
    <t xml:space="preserve"> VAYSSIERES </t>
  </si>
  <si>
    <t xml:space="preserve"> BOITTET </t>
  </si>
  <si>
    <t xml:space="preserve"> EBERHARDT </t>
  </si>
  <si>
    <t xml:space="preserve"> BRETEL </t>
  </si>
  <si>
    <t xml:space="preserve"> Konan </t>
  </si>
  <si>
    <t xml:space="preserve"> GUERCI </t>
  </si>
  <si>
    <t xml:space="preserve"> MOUILLOT </t>
  </si>
  <si>
    <t xml:space="preserve"> LE TEXIER </t>
  </si>
  <si>
    <t xml:space="preserve"> LHERIAU </t>
  </si>
  <si>
    <t xml:space="preserve"> CLOUP </t>
  </si>
  <si>
    <t xml:space="preserve"> DOUTAZ </t>
  </si>
  <si>
    <t xml:space="preserve"> CADROT </t>
  </si>
  <si>
    <t xml:space="preserve"> COUYOUPETROU </t>
  </si>
  <si>
    <t xml:space="preserve"> NAZARIAN </t>
  </si>
  <si>
    <t xml:space="preserve"> Roubik </t>
  </si>
  <si>
    <t xml:space="preserve"> TRAN VAN NGOC </t>
  </si>
  <si>
    <t xml:space="preserve"> FREULON </t>
  </si>
  <si>
    <t xml:space="preserve"> MARGUERITE </t>
  </si>
  <si>
    <t xml:space="preserve"> LANDRU </t>
  </si>
  <si>
    <t xml:space="preserve"> VENIARD </t>
  </si>
  <si>
    <t xml:space="preserve"> FIDELIS </t>
  </si>
  <si>
    <t xml:space="preserve"> CAZAL </t>
  </si>
  <si>
    <t xml:space="preserve"> LOINARD </t>
  </si>
  <si>
    <t xml:space="preserve"> STOINSKI </t>
  </si>
  <si>
    <t xml:space="preserve"> DE BARTOLO </t>
  </si>
  <si>
    <t xml:space="preserve"> DARABAN </t>
  </si>
  <si>
    <t xml:space="preserve"> Costin </t>
  </si>
  <si>
    <t xml:space="preserve"> AFANASJEW </t>
  </si>
  <si>
    <t xml:space="preserve"> POPU </t>
  </si>
  <si>
    <t xml:space="preserve"> SPIESS </t>
  </si>
  <si>
    <t xml:space="preserve"> MONTESINO </t>
  </si>
  <si>
    <t xml:space="preserve"> PANOUILLOT </t>
  </si>
  <si>
    <t xml:space="preserve"> MILLERET </t>
  </si>
  <si>
    <t xml:space="preserve"> ROTOLO </t>
  </si>
  <si>
    <t xml:space="preserve"> LUGUE </t>
  </si>
  <si>
    <t xml:space="preserve"> GEORGESCU </t>
  </si>
  <si>
    <t xml:space="preserve"> Bogdan </t>
  </si>
  <si>
    <t xml:space="preserve"> BRANDICOURT </t>
  </si>
  <si>
    <t xml:space="preserve"> ROCLIN </t>
  </si>
  <si>
    <t xml:space="preserve"> MONTI </t>
  </si>
  <si>
    <t xml:space="preserve"> FAILLE </t>
  </si>
  <si>
    <t xml:space="preserve"> SIRI </t>
  </si>
  <si>
    <t xml:space="preserve"> CAMHI </t>
  </si>
  <si>
    <t xml:space="preserve"> Hugue </t>
  </si>
  <si>
    <t xml:space="preserve"> VILLEFERT </t>
  </si>
  <si>
    <t xml:space="preserve"> RAHAOUI </t>
  </si>
  <si>
    <t xml:space="preserve"> ROYON </t>
  </si>
  <si>
    <t xml:space="preserve"> BOUYSSE </t>
  </si>
  <si>
    <t xml:space="preserve"> SCHMIDLET </t>
  </si>
  <si>
    <t xml:space="preserve"> RAZAFINIMPANANA </t>
  </si>
  <si>
    <t xml:space="preserve"> Héry </t>
  </si>
  <si>
    <t xml:space="preserve"> LEGELEUX </t>
  </si>
  <si>
    <t xml:space="preserve"> LOOCK </t>
  </si>
  <si>
    <t xml:space="preserve"> CATRIX </t>
  </si>
  <si>
    <t xml:space="preserve"> THIBONNET </t>
  </si>
  <si>
    <t xml:space="preserve"> HUCHARD </t>
  </si>
  <si>
    <t xml:space="preserve"> DELAVOYE </t>
  </si>
  <si>
    <t xml:space="preserve"> MARGUET </t>
  </si>
  <si>
    <t xml:space="preserve"> RUMIGNY </t>
  </si>
  <si>
    <t xml:space="preserve"> SELMANI </t>
  </si>
  <si>
    <t xml:space="preserve"> Mansour </t>
  </si>
  <si>
    <t xml:space="preserve"> Jacque </t>
  </si>
  <si>
    <t xml:space="preserve"> DUMARTIN </t>
  </si>
  <si>
    <t xml:space="preserve"> VALAKOON </t>
  </si>
  <si>
    <t xml:space="preserve"> Vo-dang </t>
  </si>
  <si>
    <t xml:space="preserve"> EIZAGUIRRE </t>
  </si>
  <si>
    <t xml:space="preserve"> Séphane </t>
  </si>
  <si>
    <t xml:space="preserve"> GATTO </t>
  </si>
  <si>
    <t xml:space="preserve"> SOENEN </t>
  </si>
  <si>
    <t xml:space="preserve"> DIERSTEIN </t>
  </si>
  <si>
    <t xml:space="preserve"> HERIN </t>
  </si>
  <si>
    <t xml:space="preserve"> GOULIAN </t>
  </si>
  <si>
    <t xml:space="preserve"> TOMAZIC </t>
  </si>
  <si>
    <t xml:space="preserve"> DERIMAIS </t>
  </si>
  <si>
    <t xml:space="preserve"> BOURGOUIN </t>
  </si>
  <si>
    <t xml:space="preserve"> DUBOIS DU BELLAY </t>
  </si>
  <si>
    <t xml:space="preserve"> TEPLIER </t>
  </si>
  <si>
    <t xml:space="preserve"> VAISSE </t>
  </si>
  <si>
    <t xml:space="preserve"> BONNAY </t>
  </si>
  <si>
    <t xml:space="preserve"> ANSELMINI </t>
  </si>
  <si>
    <t xml:space="preserve"> PIERRE-DUPLESSIX </t>
  </si>
  <si>
    <t xml:space="preserve"> SAUVOL </t>
  </si>
  <si>
    <t xml:space="preserve"> FAL BEAUREGARD L'EVEQUE </t>
  </si>
  <si>
    <t xml:space="preserve"> Judickael </t>
  </si>
  <si>
    <t xml:space="preserve"> LANCELIN </t>
  </si>
  <si>
    <t xml:space="preserve"> BROSS </t>
  </si>
  <si>
    <t xml:space="preserve"> ALTINKAYNAK </t>
  </si>
  <si>
    <t xml:space="preserve"> DEBRIE </t>
  </si>
  <si>
    <t xml:space="preserve"> PRUNIAUX </t>
  </si>
  <si>
    <t xml:space="preserve"> ABBI </t>
  </si>
  <si>
    <t xml:space="preserve"> COUZIGOU </t>
  </si>
  <si>
    <t xml:space="preserve"> BRESSANT </t>
  </si>
  <si>
    <t xml:space="preserve"> LEAUX </t>
  </si>
  <si>
    <t xml:space="preserve"> WESOLOWSKI </t>
  </si>
  <si>
    <t xml:space="preserve"> Heping </t>
  </si>
  <si>
    <t xml:space="preserve"> ERDOCIO </t>
  </si>
  <si>
    <t xml:space="preserve"> BOYAUX </t>
  </si>
  <si>
    <t xml:space="preserve"> VANDENKERCKHOVE </t>
  </si>
  <si>
    <t xml:space="preserve"> MALFILATRE </t>
  </si>
  <si>
    <t xml:space="preserve"> Marc-henri </t>
  </si>
  <si>
    <t xml:space="preserve"> MAISIER </t>
  </si>
  <si>
    <t xml:space="preserve"> LAGNEZ </t>
  </si>
  <si>
    <t xml:space="preserve"> CARNIEL </t>
  </si>
  <si>
    <t xml:space="preserve"> NOGUEZ </t>
  </si>
  <si>
    <t xml:space="preserve"> VONARX </t>
  </si>
  <si>
    <t xml:space="preserve"> LUTYJ </t>
  </si>
  <si>
    <t xml:space="preserve"> DARBELLAY </t>
  </si>
  <si>
    <t xml:space="preserve"> DE FINANCE </t>
  </si>
  <si>
    <t xml:space="preserve"> MASSIP </t>
  </si>
  <si>
    <t xml:space="preserve"> TALBOURDET </t>
  </si>
  <si>
    <t xml:space="preserve"> OUDARD </t>
  </si>
  <si>
    <t xml:space="preserve"> HANRYON </t>
  </si>
  <si>
    <t xml:space="preserve"> HUILLET </t>
  </si>
  <si>
    <t xml:space="preserve"> DRUENNE </t>
  </si>
  <si>
    <t xml:space="preserve"> WEILL </t>
  </si>
  <si>
    <t xml:space="preserve"> ERNENWEIN </t>
  </si>
  <si>
    <t xml:space="preserve"> NIGAULT </t>
  </si>
  <si>
    <t xml:space="preserve"> BOURRIEZ </t>
  </si>
  <si>
    <t xml:space="preserve"> KLASSEN </t>
  </si>
  <si>
    <t xml:space="preserve"> LAGABE </t>
  </si>
  <si>
    <t xml:space="preserve"> PACCIONI </t>
  </si>
  <si>
    <t xml:space="preserve"> Aymar </t>
  </si>
  <si>
    <t xml:space="preserve"> BROHAN </t>
  </si>
  <si>
    <t xml:space="preserve"> DELCHEN </t>
  </si>
  <si>
    <t xml:space="preserve"> Mitko </t>
  </si>
  <si>
    <t xml:space="preserve"> MORELLEC </t>
  </si>
  <si>
    <t xml:space="preserve"> DELANEAU </t>
  </si>
  <si>
    <t xml:space="preserve"> LARIVE </t>
  </si>
  <si>
    <t xml:space="preserve"> DE NODREST </t>
  </si>
  <si>
    <t xml:space="preserve"> DOSDAS </t>
  </si>
  <si>
    <t xml:space="preserve"> BRIAL </t>
  </si>
  <si>
    <t xml:space="preserve"> DENES </t>
  </si>
  <si>
    <t xml:space="preserve"> PEILLIEN </t>
  </si>
  <si>
    <t xml:space="preserve"> TRIBOULOT </t>
  </si>
  <si>
    <t xml:space="preserve"> FOLZ </t>
  </si>
  <si>
    <t xml:space="preserve"> ROHAIS </t>
  </si>
  <si>
    <t xml:space="preserve"> GADESAUD </t>
  </si>
  <si>
    <t xml:space="preserve"> DECUNG </t>
  </si>
  <si>
    <t xml:space="preserve"> MAQUET </t>
  </si>
  <si>
    <t xml:space="preserve"> GAN </t>
  </si>
  <si>
    <t xml:space="preserve"> OLIVARD </t>
  </si>
  <si>
    <t xml:space="preserve"> FISCHBACH </t>
  </si>
  <si>
    <t xml:space="preserve"> SAGONE </t>
  </si>
  <si>
    <t xml:space="preserve"> CORNEE </t>
  </si>
  <si>
    <t xml:space="preserve"> LARRE </t>
  </si>
  <si>
    <t xml:space="preserve"> BEAUBOUCHEZ </t>
  </si>
  <si>
    <t xml:space="preserve"> Andre michel </t>
  </si>
  <si>
    <t xml:space="preserve"> KY </t>
  </si>
  <si>
    <t xml:space="preserve"> Rithy </t>
  </si>
  <si>
    <t xml:space="preserve"> BRETAUD </t>
  </si>
  <si>
    <t xml:space="preserve"> PLANCKE </t>
  </si>
  <si>
    <t xml:space="preserve"> LESTIC </t>
  </si>
  <si>
    <t xml:space="preserve"> GROUGI </t>
  </si>
  <si>
    <t xml:space="preserve"> EGONNEAU </t>
  </si>
  <si>
    <t xml:space="preserve"> FONTBONNE </t>
  </si>
  <si>
    <t xml:space="preserve"> MANGONE </t>
  </si>
  <si>
    <t xml:space="preserve"> ASSADI </t>
  </si>
  <si>
    <t xml:space="preserve"> YANDJA </t>
  </si>
  <si>
    <t xml:space="preserve"> SOLANO </t>
  </si>
  <si>
    <t xml:space="preserve"> GUILLERY </t>
  </si>
  <si>
    <t xml:space="preserve"> SEYCHELLES </t>
  </si>
  <si>
    <t xml:space="preserve"> DIOMBOSSEGUE </t>
  </si>
  <si>
    <t xml:space="preserve"> ROUBY </t>
  </si>
  <si>
    <t xml:space="preserve"> LE FLEM </t>
  </si>
  <si>
    <t xml:space="preserve"> MOLENDI </t>
  </si>
  <si>
    <t xml:space="preserve"> DISLYS </t>
  </si>
  <si>
    <t xml:space="preserve"> PERRETIN </t>
  </si>
  <si>
    <t xml:space="preserve"> PLANTAVIN </t>
  </si>
  <si>
    <t xml:space="preserve"> BOUYSSET </t>
  </si>
  <si>
    <t xml:space="preserve"> COURGEY </t>
  </si>
  <si>
    <t xml:space="preserve"> RECCHIA </t>
  </si>
  <si>
    <t xml:space="preserve"> BELLENFANT </t>
  </si>
  <si>
    <t xml:space="preserve"> PRENEY </t>
  </si>
  <si>
    <t xml:space="preserve"> DECARRIS </t>
  </si>
  <si>
    <t xml:space="preserve"> ROCHAULT </t>
  </si>
  <si>
    <t xml:space="preserve"> SCIEUR </t>
  </si>
  <si>
    <t xml:space="preserve"> CORMERY </t>
  </si>
  <si>
    <t xml:space="preserve"> FRECHT </t>
  </si>
  <si>
    <t xml:space="preserve"> CORVISIER </t>
  </si>
  <si>
    <t xml:space="preserve"> LACKNER </t>
  </si>
  <si>
    <t xml:space="preserve"> DELARRE </t>
  </si>
  <si>
    <t xml:space="preserve"> CHAUVIGNE </t>
  </si>
  <si>
    <t xml:space="preserve"> BISCARROS </t>
  </si>
  <si>
    <t xml:space="preserve"> LE CHEVALLIER </t>
  </si>
  <si>
    <t xml:space="preserve"> BRUEZ </t>
  </si>
  <si>
    <t xml:space="preserve"> THOUMAKED </t>
  </si>
  <si>
    <t xml:space="preserve"> Phonesypraphay </t>
  </si>
  <si>
    <t xml:space="preserve"> PLANTIN </t>
  </si>
  <si>
    <t xml:space="preserve"> ROCQUES </t>
  </si>
  <si>
    <t xml:space="preserve"> WéMAMA </t>
  </si>
  <si>
    <t xml:space="preserve"> Jean piere </t>
  </si>
  <si>
    <t xml:space="preserve"> BOUJON </t>
  </si>
  <si>
    <t xml:space="preserve"> LEBESCHU </t>
  </si>
  <si>
    <t xml:space="preserve"> HOGARD </t>
  </si>
  <si>
    <t xml:space="preserve"> LLOVERAS </t>
  </si>
  <si>
    <t xml:space="preserve"> COGREL </t>
  </si>
  <si>
    <t xml:space="preserve"> GRANDIDIER </t>
  </si>
  <si>
    <t xml:space="preserve"> MEYRAND </t>
  </si>
  <si>
    <t xml:space="preserve"> Wandrille </t>
  </si>
  <si>
    <t xml:space="preserve"> TERNANT </t>
  </si>
  <si>
    <t xml:space="preserve"> FAUVY </t>
  </si>
  <si>
    <t xml:space="preserve"> HOLVOET </t>
  </si>
  <si>
    <t xml:space="preserve"> JEPHOS </t>
  </si>
  <si>
    <t xml:space="preserve"> Van thach </t>
  </si>
  <si>
    <t xml:space="preserve"> RIOUX </t>
  </si>
  <si>
    <t xml:space="preserve"> POURCHET </t>
  </si>
  <si>
    <t xml:space="preserve"> RIGOU </t>
  </si>
  <si>
    <t xml:space="preserve"> BRIHMOUCHE </t>
  </si>
  <si>
    <t xml:space="preserve"> BAHIRENNE </t>
  </si>
  <si>
    <t xml:space="preserve"> ALLUIN </t>
  </si>
  <si>
    <t xml:space="preserve"> CHESNAIS </t>
  </si>
  <si>
    <t xml:space="preserve"> LEHNER </t>
  </si>
  <si>
    <t xml:space="preserve"> PENCHE </t>
  </si>
  <si>
    <t xml:space="preserve"> COUVIDOUX </t>
  </si>
  <si>
    <t xml:space="preserve"> TAINTURIER </t>
  </si>
  <si>
    <t xml:space="preserve"> YVONNOU </t>
  </si>
  <si>
    <t xml:space="preserve"> WAROQUET </t>
  </si>
  <si>
    <t xml:space="preserve"> RICOEUR </t>
  </si>
  <si>
    <t xml:space="preserve"> SOUQUET </t>
  </si>
  <si>
    <t xml:space="preserve"> Dang son </t>
  </si>
  <si>
    <t xml:space="preserve"> CASANE </t>
  </si>
  <si>
    <t xml:space="preserve"> GARRIC </t>
  </si>
  <si>
    <t xml:space="preserve"> GROSSER </t>
  </si>
  <si>
    <t xml:space="preserve"> HUCHEROT </t>
  </si>
  <si>
    <t xml:space="preserve"> PASQUIET </t>
  </si>
  <si>
    <t xml:space="preserve"> ATHIMOND </t>
  </si>
  <si>
    <t xml:space="preserve"> GLESSINGER </t>
  </si>
  <si>
    <t xml:space="preserve"> PRADEL </t>
  </si>
  <si>
    <t xml:space="preserve"> Sawdy </t>
  </si>
  <si>
    <t xml:space="preserve"> LOGRE </t>
  </si>
  <si>
    <t xml:space="preserve"> DE KORSAK </t>
  </si>
  <si>
    <t xml:space="preserve"> ORIOT </t>
  </si>
  <si>
    <t xml:space="preserve"> BOUYSSONNADE </t>
  </si>
  <si>
    <t xml:space="preserve"> BENZID </t>
  </si>
  <si>
    <t xml:space="preserve"> JAFFUER </t>
  </si>
  <si>
    <t xml:space="preserve"> LE LABOURIER </t>
  </si>
  <si>
    <t xml:space="preserve"> Guénolé </t>
  </si>
  <si>
    <t xml:space="preserve"> BRECHEMIER </t>
  </si>
  <si>
    <t xml:space="preserve"> LOTEANU </t>
  </si>
  <si>
    <t xml:space="preserve"> Vlad </t>
  </si>
  <si>
    <t xml:space="preserve"> CHEROUAL </t>
  </si>
  <si>
    <t xml:space="preserve"> VILBERT </t>
  </si>
  <si>
    <t xml:space="preserve"> MERIENNE </t>
  </si>
  <si>
    <t xml:space="preserve"> SIBILEAU </t>
  </si>
  <si>
    <t xml:space="preserve"> DANELON </t>
  </si>
  <si>
    <t xml:space="preserve"> FOUREZON </t>
  </si>
  <si>
    <t xml:space="preserve"> GAREAU </t>
  </si>
  <si>
    <t xml:space="preserve"> ZAJDENWEBER </t>
  </si>
  <si>
    <t xml:space="preserve"> RUGGIERI </t>
  </si>
  <si>
    <t xml:space="preserve"> RABESALAMA </t>
  </si>
  <si>
    <t xml:space="preserve"> NOUGAREDE </t>
  </si>
  <si>
    <t xml:space="preserve"> BERJAUD </t>
  </si>
  <si>
    <t xml:space="preserve"> BETZ </t>
  </si>
  <si>
    <t xml:space="preserve"> MULARD </t>
  </si>
  <si>
    <t xml:space="preserve"> DIES </t>
  </si>
  <si>
    <t xml:space="preserve"> VERKINDERE </t>
  </si>
  <si>
    <t xml:space="preserve"> LIRONDIERE </t>
  </si>
  <si>
    <t xml:space="preserve"> NAGGEA </t>
  </si>
  <si>
    <t xml:space="preserve"> Janoo </t>
  </si>
  <si>
    <t xml:space="preserve"> MESANGE </t>
  </si>
  <si>
    <t xml:space="preserve"> LAMBS </t>
  </si>
  <si>
    <t xml:space="preserve"> RENAULDON </t>
  </si>
  <si>
    <t xml:space="preserve"> WROBEL </t>
  </si>
  <si>
    <t xml:space="preserve"> MULLOT </t>
  </si>
  <si>
    <t xml:space="preserve"> CAMILLO </t>
  </si>
  <si>
    <t xml:space="preserve"> Giuseppe </t>
  </si>
  <si>
    <t xml:space="preserve"> TABORDA </t>
  </si>
  <si>
    <t xml:space="preserve"> HEDONT </t>
  </si>
  <si>
    <t xml:space="preserve"> FOLTZ </t>
  </si>
  <si>
    <t xml:space="preserve"> LE QUAY </t>
  </si>
  <si>
    <t xml:space="preserve"> RIBAILLIER </t>
  </si>
  <si>
    <t xml:space="preserve"> VAUTRIN </t>
  </si>
  <si>
    <t xml:space="preserve"> VALERI </t>
  </si>
  <si>
    <t xml:space="preserve"> RONGIERAS </t>
  </si>
  <si>
    <t xml:space="preserve"> CHALABI </t>
  </si>
  <si>
    <t xml:space="preserve"> OLIVERI </t>
  </si>
  <si>
    <t xml:space="preserve"> VISEUR </t>
  </si>
  <si>
    <t xml:space="preserve"> DESESQUELLE </t>
  </si>
  <si>
    <t xml:space="preserve"> DEFAUX </t>
  </si>
  <si>
    <t xml:space="preserve"> GRANGE-CABANE </t>
  </si>
  <si>
    <t xml:space="preserve"> COEUR </t>
  </si>
  <si>
    <t xml:space="preserve"> CALVARIN </t>
  </si>
  <si>
    <t xml:space="preserve"> TREFOUEL </t>
  </si>
  <si>
    <t xml:space="preserve"> PORTENIER </t>
  </si>
  <si>
    <t xml:space="preserve"> VUARGNOZ </t>
  </si>
  <si>
    <t xml:space="preserve"> GARDES </t>
  </si>
  <si>
    <t xml:space="preserve"> SALEN </t>
  </si>
  <si>
    <t xml:space="preserve"> FERREUX </t>
  </si>
  <si>
    <t xml:space="preserve"> THERAGE </t>
  </si>
  <si>
    <t xml:space="preserve"> TSANG KONG U </t>
  </si>
  <si>
    <t xml:space="preserve"> FERREIRO </t>
  </si>
  <si>
    <t xml:space="preserve"> DREAN </t>
  </si>
  <si>
    <t xml:space="preserve"> ALLORO </t>
  </si>
  <si>
    <t xml:space="preserve"> LIADOUZE </t>
  </si>
  <si>
    <t xml:space="preserve"> SERAN </t>
  </si>
  <si>
    <t xml:space="preserve"> LEFLAMAND </t>
  </si>
  <si>
    <t xml:space="preserve"> EUSSNER </t>
  </si>
  <si>
    <t xml:space="preserve"> Ansgar </t>
  </si>
  <si>
    <t xml:space="preserve"> R¿mi </t>
  </si>
  <si>
    <t xml:space="preserve"> VERDEIL </t>
  </si>
  <si>
    <t xml:space="preserve"> LEPLAY </t>
  </si>
  <si>
    <t xml:space="preserve"> SEMEN </t>
  </si>
  <si>
    <t xml:space="preserve"> JULIER </t>
  </si>
  <si>
    <t xml:space="preserve"> CATTELAIN </t>
  </si>
  <si>
    <t xml:space="preserve"> BARRALON </t>
  </si>
  <si>
    <t xml:space="preserve"> Cam minh </t>
  </si>
  <si>
    <t xml:space="preserve"> KOUASSI </t>
  </si>
  <si>
    <t xml:space="preserve"> BARAT </t>
  </si>
  <si>
    <t xml:space="preserve"> BESSEVE </t>
  </si>
  <si>
    <t xml:space="preserve"> BELLIL </t>
  </si>
  <si>
    <t xml:space="preserve"> DECEUNINCK </t>
  </si>
  <si>
    <t xml:space="preserve"> RAPAPORT </t>
  </si>
  <si>
    <t xml:space="preserve"> JEZIERSKI </t>
  </si>
  <si>
    <t xml:space="preserve"> CHARDRONNET </t>
  </si>
  <si>
    <t xml:space="preserve"> Guirec </t>
  </si>
  <si>
    <t xml:space="preserve"> COSSONNEAU </t>
  </si>
  <si>
    <t xml:space="preserve"> BRUZZI </t>
  </si>
  <si>
    <t xml:space="preserve"> CADOUX </t>
  </si>
  <si>
    <t xml:space="preserve"> OSOWSKI </t>
  </si>
  <si>
    <t xml:space="preserve"> VANEY </t>
  </si>
  <si>
    <t xml:space="preserve"> MARTINAIS </t>
  </si>
  <si>
    <t xml:space="preserve"> Rudolf-florian </t>
  </si>
  <si>
    <t xml:space="preserve"> JUAN </t>
  </si>
  <si>
    <t xml:space="preserve"> DAUCHET </t>
  </si>
  <si>
    <t xml:space="preserve"> CAMPAGNE LES BOULONNAIS A </t>
  </si>
  <si>
    <t xml:space="preserve"> LAFORET </t>
  </si>
  <si>
    <t xml:space="preserve"> BISMAN </t>
  </si>
  <si>
    <t xml:space="preserve"> GUERANGER </t>
  </si>
  <si>
    <t xml:space="preserve"> VUILLEMIN DELABEAME </t>
  </si>
  <si>
    <t xml:space="preserve"> BACLE </t>
  </si>
  <si>
    <t xml:space="preserve"> SABIC </t>
  </si>
  <si>
    <t xml:space="preserve"> CIOCOIU </t>
  </si>
  <si>
    <t xml:space="preserve"> Catalin </t>
  </si>
  <si>
    <t xml:space="preserve"> RANZ </t>
  </si>
  <si>
    <t xml:space="preserve"> FAUTHOUX </t>
  </si>
  <si>
    <t xml:space="preserve"> CHARTRAIN </t>
  </si>
  <si>
    <t xml:space="preserve"> BUSOLINI </t>
  </si>
  <si>
    <t xml:space="preserve"> FEAT </t>
  </si>
  <si>
    <t xml:space="preserve"> BARAZANDEH </t>
  </si>
  <si>
    <t xml:space="preserve"> CHAPPAZ </t>
  </si>
  <si>
    <t xml:space="preserve"> RAWAS </t>
  </si>
  <si>
    <t xml:space="preserve"> OUTTERS </t>
  </si>
  <si>
    <t xml:space="preserve"> BRULPORT </t>
  </si>
  <si>
    <t xml:space="preserve"> DRUBIGNY </t>
  </si>
  <si>
    <t xml:space="preserve"> LABOUSOLLE </t>
  </si>
  <si>
    <t xml:space="preserve"> ROGEMONT </t>
  </si>
  <si>
    <t xml:space="preserve"> PAGNIER </t>
  </si>
  <si>
    <t xml:space="preserve"> ROUBINEAU </t>
  </si>
  <si>
    <t xml:space="preserve"> BUGNICOURT </t>
  </si>
  <si>
    <t xml:space="preserve"> MARTAUX </t>
  </si>
  <si>
    <t xml:space="preserve"> CIBONE </t>
  </si>
  <si>
    <t xml:space="preserve"> 329E1011 </t>
  </si>
  <si>
    <t xml:space="preserve"> Club Handi et Sport Adapt </t>
  </si>
  <si>
    <t xml:space="preserve"> CORNUAU </t>
  </si>
  <si>
    <t xml:space="preserve"> SEGARRA </t>
  </si>
  <si>
    <t xml:space="preserve"> Alain guy </t>
  </si>
  <si>
    <t xml:space="preserve"> BRIOLAN </t>
  </si>
  <si>
    <t xml:space="preserve"> DEBUISSON </t>
  </si>
  <si>
    <t xml:space="preserve"> DESCHARS </t>
  </si>
  <si>
    <t xml:space="preserve"> NIVET </t>
  </si>
  <si>
    <t xml:space="preserve"> BOLLEN </t>
  </si>
  <si>
    <t xml:space="preserve"> DE SAINTE LORETTE </t>
  </si>
  <si>
    <t xml:space="preserve"> MACHEFELD </t>
  </si>
  <si>
    <t xml:space="preserve"> LE CALVE </t>
  </si>
  <si>
    <t xml:space="preserve"> DECRUPPE </t>
  </si>
  <si>
    <t xml:space="preserve"> Giovani </t>
  </si>
  <si>
    <t xml:space="preserve"> RUDEWICZ </t>
  </si>
  <si>
    <t xml:space="preserve"> CHASSY </t>
  </si>
  <si>
    <t xml:space="preserve"> BELLEMIN </t>
  </si>
  <si>
    <t xml:space="preserve"> BELZACKI </t>
  </si>
  <si>
    <t xml:space="preserve"> BUCZAK </t>
  </si>
  <si>
    <t xml:space="preserve"> PITOUT </t>
  </si>
  <si>
    <t xml:space="preserve"> BEDOUILLAT-DELORME </t>
  </si>
  <si>
    <t xml:space="preserve"> BOURDOU </t>
  </si>
  <si>
    <t xml:space="preserve"> GRIGNY TENNIS DE TABLE US </t>
  </si>
  <si>
    <t xml:space="preserve"> BOUVATTIER </t>
  </si>
  <si>
    <t xml:space="preserve"> RAMAHOLISON </t>
  </si>
  <si>
    <t xml:space="preserve"> Tovo </t>
  </si>
  <si>
    <t xml:space="preserve"> IRISSOU </t>
  </si>
  <si>
    <t xml:space="preserve"> HAFNAOUI </t>
  </si>
  <si>
    <t xml:space="preserve"> EGRET </t>
  </si>
  <si>
    <t xml:space="preserve"> SALIERES </t>
  </si>
  <si>
    <t xml:space="preserve"> TUARUE </t>
  </si>
  <si>
    <t xml:space="preserve"> BACQUAERT </t>
  </si>
  <si>
    <t xml:space="preserve"> BEHR </t>
  </si>
  <si>
    <t xml:space="preserve"> MAINSEL </t>
  </si>
  <si>
    <t xml:space="preserve"> BELVEZE </t>
  </si>
  <si>
    <t xml:space="preserve"> BRET MOREL </t>
  </si>
  <si>
    <t xml:space="preserve"> Club de Sigave de Tennis </t>
  </si>
  <si>
    <t xml:space="preserve"> ILLAN </t>
  </si>
  <si>
    <t xml:space="preserve"> CHARASSE </t>
  </si>
  <si>
    <t xml:space="preserve"> LIBERATORE </t>
  </si>
  <si>
    <t xml:space="preserve"> FILLEUX </t>
  </si>
  <si>
    <t xml:space="preserve"> NAPIAS </t>
  </si>
  <si>
    <t xml:space="preserve"> GIPCHTEIN </t>
  </si>
  <si>
    <t xml:space="preserve"> BOURGUET </t>
  </si>
  <si>
    <t xml:space="preserve"> DESWARTVAEGER </t>
  </si>
  <si>
    <t xml:space="preserve"> DELENEUVILLE </t>
  </si>
  <si>
    <t xml:space="preserve"> Thiery </t>
  </si>
  <si>
    <t xml:space="preserve"> BENDAOUD </t>
  </si>
  <si>
    <t xml:space="preserve"> RIBRAULT </t>
  </si>
  <si>
    <t xml:space="preserve"> RASSELET </t>
  </si>
  <si>
    <t xml:space="preserve"> Jean-jerome </t>
  </si>
  <si>
    <t xml:space="preserve"> CURIEL </t>
  </si>
  <si>
    <t xml:space="preserve"> SMITTARELLO </t>
  </si>
  <si>
    <t xml:space="preserve"> GIBERTIE </t>
  </si>
  <si>
    <t xml:space="preserve"> BOIVERT </t>
  </si>
  <si>
    <t xml:space="preserve"> DRAGICEVIC </t>
  </si>
  <si>
    <t xml:space="preserve"> Slobodan </t>
  </si>
  <si>
    <t xml:space="preserve"> ONESTAS </t>
  </si>
  <si>
    <t xml:space="preserve"> 339A1003 </t>
  </si>
  <si>
    <t xml:space="preserve"> PONGYS ABYM CLUB MJCA </t>
  </si>
  <si>
    <t xml:space="preserve"> DELIAS </t>
  </si>
  <si>
    <t xml:space="preserve"> Club de Hahake Tennis de </t>
  </si>
  <si>
    <t xml:space="preserve"> JAMBOU </t>
  </si>
  <si>
    <t xml:space="preserve"> KIANG </t>
  </si>
  <si>
    <t xml:space="preserve"> EVARD </t>
  </si>
  <si>
    <t xml:space="preserve"> SZITAS </t>
  </si>
  <si>
    <t xml:space="preserve"> AMY </t>
  </si>
  <si>
    <t xml:space="preserve"> CECCHI </t>
  </si>
  <si>
    <t xml:space="preserve"> ROBERTON </t>
  </si>
  <si>
    <t xml:space="preserve"> GUESTAULT </t>
  </si>
  <si>
    <t xml:space="preserve"> MEHDI </t>
  </si>
  <si>
    <t xml:space="preserve"> CRANCHI BELLONE </t>
  </si>
  <si>
    <t xml:space="preserve"> DUCORONT </t>
  </si>
  <si>
    <t xml:space="preserve"> CHANTHAVONG </t>
  </si>
  <si>
    <t xml:space="preserve"> KOTELBA </t>
  </si>
  <si>
    <t xml:space="preserve"> CHAINEAUD </t>
  </si>
  <si>
    <t xml:space="preserve"> KERVIZIC </t>
  </si>
  <si>
    <t xml:space="preserve"> SOW </t>
  </si>
  <si>
    <t xml:space="preserve"> Abdoulaye </t>
  </si>
  <si>
    <t xml:space="preserve"> KLOVSJO </t>
  </si>
  <si>
    <t xml:space="preserve"> VANDEVOGHEL </t>
  </si>
  <si>
    <t xml:space="preserve"> LEBREC </t>
  </si>
  <si>
    <t xml:space="preserve"> POUSSE </t>
  </si>
  <si>
    <t xml:space="preserve"> DOUCHEZ </t>
  </si>
  <si>
    <t xml:space="preserve"> VIZZUTTI </t>
  </si>
  <si>
    <t xml:space="preserve"> POUILLON </t>
  </si>
  <si>
    <t xml:space="preserve"> LATRON </t>
  </si>
  <si>
    <t xml:space="preserve"> BOUISSOU </t>
  </si>
  <si>
    <t xml:space="preserve"> BASTAI </t>
  </si>
  <si>
    <t xml:space="preserve"> GUISSANI </t>
  </si>
  <si>
    <t xml:space="preserve"> KRUTH </t>
  </si>
  <si>
    <t xml:space="preserve"> CHALIGNE </t>
  </si>
  <si>
    <t xml:space="preserve"> PELTAIS </t>
  </si>
  <si>
    <t xml:space="preserve"> MARCH </t>
  </si>
  <si>
    <t xml:space="preserve"> MASINI </t>
  </si>
  <si>
    <t xml:space="preserve"> FITY </t>
  </si>
  <si>
    <t xml:space="preserve"> LECORCHEY </t>
  </si>
  <si>
    <t xml:space="preserve"> FELTES </t>
  </si>
  <si>
    <t xml:space="preserve"> SOMANO </t>
  </si>
  <si>
    <t xml:space="preserve"> DEMAREZ </t>
  </si>
  <si>
    <t xml:space="preserve"> DE OLIVEIRA SILVA </t>
  </si>
  <si>
    <t xml:space="preserve"> Quoc chau </t>
  </si>
  <si>
    <t xml:space="preserve"> DENNINGER </t>
  </si>
  <si>
    <t xml:space="preserve"> HANQUEZ </t>
  </si>
  <si>
    <t xml:space="preserve"> MUTELLE </t>
  </si>
  <si>
    <t xml:space="preserve"> NANCY </t>
  </si>
  <si>
    <t xml:space="preserve"> PI </t>
  </si>
  <si>
    <t xml:space="preserve"> BENMEDJAHED </t>
  </si>
  <si>
    <t xml:space="preserve"> Habib </t>
  </si>
  <si>
    <t xml:space="preserve"> DEBOSZ </t>
  </si>
  <si>
    <t xml:space="preserve"> TOURNABIEN </t>
  </si>
  <si>
    <t xml:space="preserve"> 329E1005 </t>
  </si>
  <si>
    <t xml:space="preserve"> Petites Raquettes de POUE </t>
  </si>
  <si>
    <t xml:space="preserve"> SEIGNEZ </t>
  </si>
  <si>
    <t xml:space="preserve"> BARSAMIAN </t>
  </si>
  <si>
    <t xml:space="preserve"> ADOLPHE </t>
  </si>
  <si>
    <t xml:space="preserve"> CABANILLAS </t>
  </si>
  <si>
    <t xml:space="preserve"> DELABALLE </t>
  </si>
  <si>
    <t xml:space="preserve"> SAIELLO </t>
  </si>
  <si>
    <t xml:space="preserve"> ENKARY </t>
  </si>
  <si>
    <t xml:space="preserve"> Eleuther </t>
  </si>
  <si>
    <t xml:space="preserve"> AMBROIS </t>
  </si>
  <si>
    <t xml:space="preserve"> BOUCHAM </t>
  </si>
  <si>
    <t xml:space="preserve"> MIHALACHE </t>
  </si>
  <si>
    <t xml:space="preserve"> Marius sorin </t>
  </si>
  <si>
    <t xml:space="preserve"> GUILLEMIER </t>
  </si>
  <si>
    <t xml:space="preserve"> GILLY </t>
  </si>
  <si>
    <t xml:space="preserve"> TAUKOLO </t>
  </si>
  <si>
    <t xml:space="preserve"> Soane </t>
  </si>
  <si>
    <t xml:space="preserve"> 389W0008 </t>
  </si>
  <si>
    <t xml:space="preserve"> MULTISPORTS AVAMAFOA </t>
  </si>
  <si>
    <t xml:space="preserve"> COQUELET </t>
  </si>
  <si>
    <t xml:space="preserve"> FLANDINET </t>
  </si>
  <si>
    <t xml:space="preserve"> JUSOT </t>
  </si>
  <si>
    <t xml:space="preserve"> AUCLERC </t>
  </si>
  <si>
    <t xml:space="preserve"> WINCKEL </t>
  </si>
  <si>
    <t xml:space="preserve"> COUILLEAU </t>
  </si>
  <si>
    <t xml:space="preserve"> DISDIER </t>
  </si>
  <si>
    <t xml:space="preserve"> CIRIO </t>
  </si>
  <si>
    <t xml:space="preserve"> EL FASSI </t>
  </si>
  <si>
    <t xml:space="preserve"> MANLAY </t>
  </si>
  <si>
    <t xml:space="preserve"> CHEMOUNI </t>
  </si>
  <si>
    <t xml:space="preserve"> Rudolph </t>
  </si>
  <si>
    <t xml:space="preserve"> SABATTIER </t>
  </si>
  <si>
    <t xml:space="preserve"> AVDIC </t>
  </si>
  <si>
    <t xml:space="preserve"> Amir </t>
  </si>
  <si>
    <t xml:space="preserve"> VERICHON </t>
  </si>
  <si>
    <t xml:space="preserve"> CHAPUS </t>
  </si>
  <si>
    <t xml:space="preserve"> MAURIAC </t>
  </si>
  <si>
    <t xml:space="preserve"> BORSATO </t>
  </si>
  <si>
    <t xml:space="preserve"> EYNARD </t>
  </si>
  <si>
    <t xml:space="preserve"> NGUYEN HOANG </t>
  </si>
  <si>
    <t xml:space="preserve"> Tung </t>
  </si>
  <si>
    <t xml:space="preserve"> LORENZI </t>
  </si>
  <si>
    <t xml:space="preserve"> ECKLY </t>
  </si>
  <si>
    <t xml:space="preserve"> DUMOTIER-CAZES </t>
  </si>
  <si>
    <t xml:space="preserve"> AUBRIOT </t>
  </si>
  <si>
    <t xml:space="preserve"> FADIL </t>
  </si>
  <si>
    <t xml:space="preserve"> Manssour </t>
  </si>
  <si>
    <t xml:space="preserve"> TOULZAC </t>
  </si>
  <si>
    <t xml:space="preserve"> RUBATIER </t>
  </si>
  <si>
    <t xml:space="preserve"> MEHMETI </t>
  </si>
  <si>
    <t xml:space="preserve"> Dashnor </t>
  </si>
  <si>
    <t xml:space="preserve"> DA SILVA MARQUEZ </t>
  </si>
  <si>
    <t xml:space="preserve"> Adriano </t>
  </si>
  <si>
    <t xml:space="preserve"> APAYDIN </t>
  </si>
  <si>
    <t xml:space="preserve"> Cengiz </t>
  </si>
  <si>
    <t xml:space="preserve"> PELLEGRIN </t>
  </si>
  <si>
    <t xml:space="preserve"> VELTEN </t>
  </si>
  <si>
    <t xml:space="preserve"> GARANGER </t>
  </si>
  <si>
    <t xml:space="preserve"> SPORTS LOISIRS CULTURE </t>
  </si>
  <si>
    <t xml:space="preserve"> BIRYNCZYK </t>
  </si>
  <si>
    <t xml:space="preserve"> SOMMER </t>
  </si>
  <si>
    <t xml:space="preserve"> FASSASSI </t>
  </si>
  <si>
    <t xml:space="preserve"> DESALLAIS </t>
  </si>
  <si>
    <t xml:space="preserve"> BACRI </t>
  </si>
  <si>
    <t xml:space="preserve"> DELCEY </t>
  </si>
  <si>
    <t xml:space="preserve"> PONGERARD </t>
  </si>
  <si>
    <t xml:space="preserve"> Bonna </t>
  </si>
  <si>
    <t xml:space="preserve"> CHAZALET </t>
  </si>
  <si>
    <t xml:space="preserve"> YON </t>
  </si>
  <si>
    <t xml:space="preserve"> HESSE </t>
  </si>
  <si>
    <t xml:space="preserve"> TROSSARELLO </t>
  </si>
  <si>
    <t xml:space="preserve"> FRONT </t>
  </si>
  <si>
    <t xml:space="preserve"> HARRAULT </t>
  </si>
  <si>
    <t xml:space="preserve"> DENELE </t>
  </si>
  <si>
    <t xml:space="preserve"> CHAN TO HING </t>
  </si>
  <si>
    <t xml:space="preserve"> HELLEMANS </t>
  </si>
  <si>
    <t xml:space="preserve"> DROZ </t>
  </si>
  <si>
    <t xml:space="preserve"> PIVOT </t>
  </si>
  <si>
    <t xml:space="preserve"> VATERKOWSKI </t>
  </si>
  <si>
    <t xml:space="preserve"> JAEN </t>
  </si>
  <si>
    <t xml:space="preserve"> REIMER </t>
  </si>
  <si>
    <t xml:space="preserve"> SIGHA </t>
  </si>
  <si>
    <t xml:space="preserve"> Andre-marie </t>
  </si>
  <si>
    <t xml:space="preserve"> MUSITELLI </t>
  </si>
  <si>
    <t xml:space="preserve"> LASQUELLEC </t>
  </si>
  <si>
    <t xml:space="preserve"> PETITPREZ </t>
  </si>
  <si>
    <t xml:space="preserve"> LOLIVIER </t>
  </si>
  <si>
    <t xml:space="preserve"> ROLLY </t>
  </si>
  <si>
    <t xml:space="preserve"> BONNAMY </t>
  </si>
  <si>
    <t xml:space="preserve"> ROOSENS </t>
  </si>
  <si>
    <t xml:space="preserve"> RAZALI </t>
  </si>
  <si>
    <t xml:space="preserve"> Boualem </t>
  </si>
  <si>
    <t xml:space="preserve"> DANCHAUD </t>
  </si>
  <si>
    <t xml:space="preserve"> BOINON </t>
  </si>
  <si>
    <t xml:space="preserve"> LE GUERINEL </t>
  </si>
  <si>
    <t xml:space="preserve"> AUPHAN </t>
  </si>
  <si>
    <t xml:space="preserve"> BROSSIER ROPITAL </t>
  </si>
  <si>
    <t xml:space="preserve"> OROSZ </t>
  </si>
  <si>
    <t xml:space="preserve"> K BIDY </t>
  </si>
  <si>
    <t xml:space="preserve"> Jean-fernand </t>
  </si>
  <si>
    <t xml:space="preserve"> DESGROUX </t>
  </si>
  <si>
    <t xml:space="preserve"> PAGLI </t>
  </si>
  <si>
    <t xml:space="preserve"> Alain jean </t>
  </si>
  <si>
    <t xml:space="preserve"> LANHERS </t>
  </si>
  <si>
    <t xml:space="preserve"> ASVELLI </t>
  </si>
  <si>
    <t xml:space="preserve"> MASSEY </t>
  </si>
  <si>
    <t xml:space="preserve"> ROBILLIART </t>
  </si>
  <si>
    <t xml:space="preserve"> PERETTO </t>
  </si>
  <si>
    <t xml:space="preserve"> VAUBOURGEIX </t>
  </si>
  <si>
    <t xml:space="preserve"> CROIZIERS  LACVIVIER </t>
  </si>
  <si>
    <t xml:space="preserve"> NAWROCKI </t>
  </si>
  <si>
    <t xml:space="preserve"> HASSANI </t>
  </si>
  <si>
    <t xml:space="preserve"> Yamine </t>
  </si>
  <si>
    <t xml:space="preserve"> LARROUQUERE </t>
  </si>
  <si>
    <t xml:space="preserve"> MERIGARD </t>
  </si>
  <si>
    <t xml:space="preserve"> BOUNEL </t>
  </si>
  <si>
    <t xml:space="preserve"> TIRON </t>
  </si>
  <si>
    <t xml:space="preserve"> BEAUQUIN </t>
  </si>
  <si>
    <t xml:space="preserve"> CHEAIBI </t>
  </si>
  <si>
    <t xml:space="preserve"> Mamaar </t>
  </si>
  <si>
    <t xml:space="preserve"> DARGERE </t>
  </si>
  <si>
    <t xml:space="preserve"> HUTH </t>
  </si>
  <si>
    <t xml:space="preserve"> VAN OVERMEIRE </t>
  </si>
  <si>
    <t xml:space="preserve"> MARFIL </t>
  </si>
  <si>
    <t xml:space="preserve"> ALESSI </t>
  </si>
  <si>
    <t xml:space="preserve"> VAUGHAN </t>
  </si>
  <si>
    <t xml:space="preserve"> PIERRARD </t>
  </si>
  <si>
    <t xml:space="preserve"> DOUSSOUX </t>
  </si>
  <si>
    <t xml:space="preserve"> DALSTEIN </t>
  </si>
  <si>
    <t xml:space="preserve"> EMERALD </t>
  </si>
  <si>
    <t xml:space="preserve"> Rozenn </t>
  </si>
  <si>
    <t xml:space="preserve"> VERTEFOIX </t>
  </si>
  <si>
    <t xml:space="preserve"> COEFFIN </t>
  </si>
  <si>
    <t xml:space="preserve"> AYACHE </t>
  </si>
  <si>
    <t xml:space="preserve"> ELOUNDOU </t>
  </si>
  <si>
    <t xml:space="preserve"> BOCHATON </t>
  </si>
  <si>
    <t xml:space="preserve"> HEILES </t>
  </si>
  <si>
    <t xml:space="preserve"> FRELON </t>
  </si>
  <si>
    <t xml:space="preserve"> LEGENNE </t>
  </si>
  <si>
    <t xml:space="preserve"> REANT </t>
  </si>
  <si>
    <t xml:space="preserve"> BURDEYRON </t>
  </si>
  <si>
    <t xml:space="preserve"> BROUTART </t>
  </si>
  <si>
    <t xml:space="preserve"> PATAUD DELANNOY </t>
  </si>
  <si>
    <t xml:space="preserve"> VINCIGUERRA </t>
  </si>
  <si>
    <t xml:space="preserve"> PERAUDEAU </t>
  </si>
  <si>
    <t xml:space="preserve"> MEIER </t>
  </si>
  <si>
    <t xml:space="preserve"> MASON </t>
  </si>
  <si>
    <t xml:space="preserve"> CHANE LOCK </t>
  </si>
  <si>
    <t xml:space="preserve"> QUIQUENPOIS </t>
  </si>
  <si>
    <t xml:space="preserve"> FRAYSSINET </t>
  </si>
  <si>
    <t xml:space="preserve"> MEGANGE </t>
  </si>
  <si>
    <t xml:space="preserve"> SIREDEY </t>
  </si>
  <si>
    <t xml:space="preserve"> COUCHE </t>
  </si>
  <si>
    <t xml:space="preserve"> HAVEL </t>
  </si>
  <si>
    <t xml:space="preserve"> DE RYCKERE </t>
  </si>
  <si>
    <t xml:space="preserve"> WACKER </t>
  </si>
  <si>
    <t xml:space="preserve"> Ronnie </t>
  </si>
  <si>
    <t xml:space="preserve"> HERMIER </t>
  </si>
  <si>
    <t xml:space="preserve"> GUIGON </t>
  </si>
  <si>
    <t xml:space="preserve"> Salvador </t>
  </si>
  <si>
    <t xml:space="preserve"> JOVIGNOT </t>
  </si>
  <si>
    <t xml:space="preserve"> MAGNAT </t>
  </si>
  <si>
    <t xml:space="preserve"> GOHEL </t>
  </si>
  <si>
    <t xml:space="preserve"> DESLOOVER </t>
  </si>
  <si>
    <t xml:space="preserve"> PILLIOD </t>
  </si>
  <si>
    <t xml:space="preserve"> SAYNAC </t>
  </si>
  <si>
    <t xml:space="preserve"> AMEIL </t>
  </si>
  <si>
    <t xml:space="preserve"> SEKALI </t>
  </si>
  <si>
    <t xml:space="preserve"> GLAIRON MONDET </t>
  </si>
  <si>
    <t xml:space="preserve"> DEMETER </t>
  </si>
  <si>
    <t xml:space="preserve"> HEDDOUD </t>
  </si>
  <si>
    <t xml:space="preserve"> ESCALLIER - DURONT </t>
  </si>
  <si>
    <t xml:space="preserve"> GALAP </t>
  </si>
  <si>
    <t xml:space="preserve"> HENNER </t>
  </si>
  <si>
    <t xml:space="preserve"> DI GIUSEPPE </t>
  </si>
  <si>
    <t xml:space="preserve"> Fabrizio </t>
  </si>
  <si>
    <t xml:space="preserve"> MABIT </t>
  </si>
  <si>
    <t xml:space="preserve"> MARGUIER </t>
  </si>
  <si>
    <t xml:space="preserve"> VLAEMINCK </t>
  </si>
  <si>
    <t xml:space="preserve"> MASFRANT </t>
  </si>
  <si>
    <t xml:space="preserve"> HASSINE </t>
  </si>
  <si>
    <t xml:space="preserve"> VARENNE </t>
  </si>
  <si>
    <t xml:space="preserve"> BERTOT </t>
  </si>
  <si>
    <t xml:space="preserve"> BELLOTTI </t>
  </si>
  <si>
    <t xml:space="preserve"> LEBOUC </t>
  </si>
  <si>
    <t xml:space="preserve"> BEANCOURT </t>
  </si>
  <si>
    <t xml:space="preserve"> Pierre-antoine </t>
  </si>
  <si>
    <t xml:space="preserve"> Vu ngoc </t>
  </si>
  <si>
    <t xml:space="preserve"> ALLIER </t>
  </si>
  <si>
    <t xml:space="preserve"> BEDAT </t>
  </si>
  <si>
    <t xml:space="preserve"> CORTESI </t>
  </si>
  <si>
    <t xml:space="preserve"> BUCY </t>
  </si>
  <si>
    <t xml:space="preserve"> MARRY </t>
  </si>
  <si>
    <t xml:space="preserve"> CATALAN </t>
  </si>
  <si>
    <t xml:space="preserve"> MERNICI </t>
  </si>
  <si>
    <t xml:space="preserve"> JEANDEMANGE </t>
  </si>
  <si>
    <t xml:space="preserve"> SOUVRE </t>
  </si>
  <si>
    <t xml:space="preserve"> RESBEUT </t>
  </si>
  <si>
    <t xml:space="preserve"> MAHEAS </t>
  </si>
  <si>
    <t xml:space="preserve"> SOKOTAUA </t>
  </si>
  <si>
    <t xml:space="preserve"> Saamea </t>
  </si>
  <si>
    <t xml:space="preserve"> CHOLLEY </t>
  </si>
  <si>
    <t xml:space="preserve"> BUGEIA </t>
  </si>
  <si>
    <t xml:space="preserve"> WESTEEL </t>
  </si>
  <si>
    <t xml:space="preserve"> KACZMAREK </t>
  </si>
  <si>
    <t xml:space="preserve"> FARANDA </t>
  </si>
  <si>
    <t xml:space="preserve"> BOULLAIS </t>
  </si>
  <si>
    <t xml:space="preserve"> KRILI </t>
  </si>
  <si>
    <t xml:space="preserve"> Sais </t>
  </si>
  <si>
    <t xml:space="preserve"> CUZIAT </t>
  </si>
  <si>
    <t xml:space="preserve"> GASTRIN </t>
  </si>
  <si>
    <t xml:space="preserve"> AMEDODJI </t>
  </si>
  <si>
    <t xml:space="preserve"> Kwame </t>
  </si>
  <si>
    <t xml:space="preserve"> POLANI </t>
  </si>
  <si>
    <t xml:space="preserve"> DUBUIS </t>
  </si>
  <si>
    <t xml:space="preserve"> RAMSSAMY </t>
  </si>
  <si>
    <t xml:space="preserve"> DETROULLEAU </t>
  </si>
  <si>
    <t xml:space="preserve"> SOULY </t>
  </si>
  <si>
    <t xml:space="preserve"> COUCHY </t>
  </si>
  <si>
    <t xml:space="preserve"> MONGET SARRAIL </t>
  </si>
  <si>
    <t xml:space="preserve"> FERRAS </t>
  </si>
  <si>
    <t xml:space="preserve"> KAROUTCHI </t>
  </si>
  <si>
    <t xml:space="preserve"> MALIGES </t>
  </si>
  <si>
    <t xml:space="preserve"> Stephant </t>
  </si>
  <si>
    <t xml:space="preserve"> SCHIBLER </t>
  </si>
  <si>
    <t xml:space="preserve"> COLTEY </t>
  </si>
  <si>
    <t xml:space="preserve"> MOUSSAI </t>
  </si>
  <si>
    <t xml:space="preserve"> FROTTIN </t>
  </si>
  <si>
    <t xml:space="preserve"> MONGNE </t>
  </si>
  <si>
    <t xml:space="preserve"> FALCONE </t>
  </si>
  <si>
    <t xml:space="preserve"> LAVANDON </t>
  </si>
  <si>
    <t xml:space="preserve"> HO KON TIAT </t>
  </si>
  <si>
    <t xml:space="preserve"> CLENET </t>
  </si>
  <si>
    <t xml:space="preserve"> Batiste </t>
  </si>
  <si>
    <t xml:space="preserve"> DEL-BANO </t>
  </si>
  <si>
    <t xml:space="preserve"> LLACA BALMORI </t>
  </si>
  <si>
    <t xml:space="preserve"> Brunot </t>
  </si>
  <si>
    <t xml:space="preserve"> KRONBACHER </t>
  </si>
  <si>
    <t xml:space="preserve"> FAKATIKA </t>
  </si>
  <si>
    <t xml:space="preserve"> Aelemo </t>
  </si>
  <si>
    <t xml:space="preserve"> LEVANT </t>
  </si>
  <si>
    <t xml:space="preserve"> DINH VAN </t>
  </si>
  <si>
    <t xml:space="preserve"> GIOVANNETTI </t>
  </si>
  <si>
    <t xml:space="preserve"> DELAITRE </t>
  </si>
  <si>
    <t xml:space="preserve"> DOMINJON </t>
  </si>
  <si>
    <t xml:space="preserve"> Ilalio </t>
  </si>
  <si>
    <t xml:space="preserve"> FAUTER </t>
  </si>
  <si>
    <t xml:space="preserve"> LAUPIE </t>
  </si>
  <si>
    <t xml:space="preserve"> CASSINADRI </t>
  </si>
  <si>
    <t xml:space="preserve"> SAUTIER </t>
  </si>
  <si>
    <t xml:space="preserve"> JANIK </t>
  </si>
  <si>
    <t xml:space="preserve"> PANTALEONI </t>
  </si>
  <si>
    <t xml:space="preserve"> MISCOPEIN </t>
  </si>
  <si>
    <t xml:space="preserve"> MAIGNAUT </t>
  </si>
  <si>
    <t xml:space="preserve"> ARANDA </t>
  </si>
  <si>
    <t xml:space="preserve"> SZALAWA </t>
  </si>
  <si>
    <t xml:space="preserve"> KARTES </t>
  </si>
  <si>
    <t xml:space="preserve"> TARHINI </t>
  </si>
  <si>
    <t xml:space="preserve"> Ziad </t>
  </si>
  <si>
    <t xml:space="preserve"> LASFARGUE </t>
  </si>
  <si>
    <t xml:space="preserve"> Herimanana </t>
  </si>
  <si>
    <t xml:space="preserve"> ROSTREN </t>
  </si>
  <si>
    <t xml:space="preserve"> AUZOU </t>
  </si>
  <si>
    <t xml:space="preserve"> CHABHTHAVONG </t>
  </si>
  <si>
    <t xml:space="preserve"> LAIGNEL </t>
  </si>
  <si>
    <t xml:space="preserve"> LADEIRO </t>
  </si>
  <si>
    <t xml:space="preserve"> Pédro </t>
  </si>
  <si>
    <t xml:space="preserve"> VIRICEL </t>
  </si>
  <si>
    <t xml:space="preserve"> AUMEUNIER </t>
  </si>
  <si>
    <t xml:space="preserve"> ASSENSE </t>
  </si>
  <si>
    <t xml:space="preserve"> DANIELIAN </t>
  </si>
  <si>
    <t xml:space="preserve"> MOAN </t>
  </si>
  <si>
    <t xml:space="preserve"> LAIZET </t>
  </si>
  <si>
    <t xml:space="preserve"> Yec'han </t>
  </si>
  <si>
    <t xml:space="preserve"> Yann-marie </t>
  </si>
  <si>
    <t xml:space="preserve"> BIRRI </t>
  </si>
  <si>
    <t xml:space="preserve"> VILLEZ </t>
  </si>
  <si>
    <t xml:space="preserve"> ISKRA </t>
  </si>
  <si>
    <t xml:space="preserve"> COUTRET </t>
  </si>
  <si>
    <t xml:space="preserve"> DE FRANCQUEVILLE </t>
  </si>
  <si>
    <t xml:space="preserve"> LE BRIQUIR </t>
  </si>
  <si>
    <t xml:space="preserve"> BERTHOLLET </t>
  </si>
  <si>
    <t xml:space="preserve"> TARDIN </t>
  </si>
  <si>
    <t xml:space="preserve"> SAINREAU </t>
  </si>
  <si>
    <t xml:space="preserve"> LOUISON </t>
  </si>
  <si>
    <t xml:space="preserve"> TEXEREAU </t>
  </si>
  <si>
    <t xml:space="preserve"> EMROT </t>
  </si>
  <si>
    <t xml:space="preserve"> CHANTRAINNE </t>
  </si>
  <si>
    <t xml:space="preserve"> SALOMONI </t>
  </si>
  <si>
    <t xml:space="preserve"> MOYNE </t>
  </si>
  <si>
    <t xml:space="preserve"> MERABET </t>
  </si>
  <si>
    <t xml:space="preserve"> BOE </t>
  </si>
  <si>
    <t xml:space="preserve"> AMERT </t>
  </si>
  <si>
    <t xml:space="preserve"> THARIN </t>
  </si>
  <si>
    <t xml:space="preserve"> BEAUBRAS </t>
  </si>
  <si>
    <t xml:space="preserve"> MARGHERINI </t>
  </si>
  <si>
    <t xml:space="preserve"> TRUONG MINH-TAO </t>
  </si>
  <si>
    <t xml:space="preserve"> DE CUPPER </t>
  </si>
  <si>
    <t xml:space="preserve"> TERKI </t>
  </si>
  <si>
    <t xml:space="preserve"> CHENEVIER </t>
  </si>
  <si>
    <t xml:space="preserve"> AGEZ </t>
  </si>
  <si>
    <t xml:space="preserve"> HALANGESCU </t>
  </si>
  <si>
    <t xml:space="preserve"> PARMENT </t>
  </si>
  <si>
    <t xml:space="preserve"> BRAURE </t>
  </si>
  <si>
    <t xml:space="preserve"> CADEILLAN </t>
  </si>
  <si>
    <t xml:space="preserve"> CHAMBALU </t>
  </si>
  <si>
    <t xml:space="preserve"> CARMAUX </t>
  </si>
  <si>
    <t xml:space="preserve"> PIMPOT </t>
  </si>
  <si>
    <t xml:space="preserve"> CAZEJUST </t>
  </si>
  <si>
    <t xml:space="preserve"> LEVIEL </t>
  </si>
  <si>
    <t xml:space="preserve"> Yuping </t>
  </si>
  <si>
    <t xml:space="preserve"> BERRAIS </t>
  </si>
  <si>
    <t xml:space="preserve"> ALA ARJY </t>
  </si>
  <si>
    <t xml:space="preserve"> FELIX </t>
  </si>
  <si>
    <t xml:space="preserve"> GIBLIN </t>
  </si>
  <si>
    <t xml:space="preserve"> TCHAN </t>
  </si>
  <si>
    <t xml:space="preserve"> AKASBI </t>
  </si>
  <si>
    <t xml:space="preserve"> DUCHAUSSOY </t>
  </si>
  <si>
    <t xml:space="preserve"> GRADEL </t>
  </si>
  <si>
    <t xml:space="preserve"> CHELOUDKO </t>
  </si>
  <si>
    <t xml:space="preserve"> HARREWYN </t>
  </si>
  <si>
    <t xml:space="preserve"> FEDERAL MOGUL </t>
  </si>
  <si>
    <t xml:space="preserve"> HEURTAULT </t>
  </si>
  <si>
    <t xml:space="preserve"> BOURIAULT </t>
  </si>
  <si>
    <t xml:space="preserve"> COLLANDOS </t>
  </si>
  <si>
    <t xml:space="preserve"> MARESCHI </t>
  </si>
  <si>
    <t xml:space="preserve"> SERVOZ </t>
  </si>
  <si>
    <t xml:space="preserve"> FONTENAY </t>
  </si>
  <si>
    <t xml:space="preserve"> MOERCKEL </t>
  </si>
  <si>
    <t xml:space="preserve"> SANSIAUME </t>
  </si>
  <si>
    <t xml:space="preserve"> CARCASSONNE </t>
  </si>
  <si>
    <t xml:space="preserve"> CONJOUR </t>
  </si>
  <si>
    <t xml:space="preserve"> LE ROUZO </t>
  </si>
  <si>
    <t xml:space="preserve"> BULL </t>
  </si>
  <si>
    <t xml:space="preserve"> DUVALET </t>
  </si>
  <si>
    <t xml:space="preserve"> TAUZIN-RAYNAUD </t>
  </si>
  <si>
    <t xml:space="preserve"> TREILLAUD </t>
  </si>
  <si>
    <t xml:space="preserve"> NOSZCZYNSKI </t>
  </si>
  <si>
    <t xml:space="preserve"> TACHEN </t>
  </si>
  <si>
    <t xml:space="preserve"> LEUILLET </t>
  </si>
  <si>
    <t xml:space="preserve"> OUZOUNIAN </t>
  </si>
  <si>
    <t xml:space="preserve"> MALMEZAC </t>
  </si>
  <si>
    <t xml:space="preserve"> WLADEUZ </t>
  </si>
  <si>
    <t xml:space="preserve"> MEYSSONNIER </t>
  </si>
  <si>
    <t xml:space="preserve"> DESFONTAINE </t>
  </si>
  <si>
    <t xml:space="preserve"> LABOUEBE </t>
  </si>
  <si>
    <t xml:space="preserve"> VIRETON </t>
  </si>
  <si>
    <t xml:space="preserve"> GAIDOT </t>
  </si>
  <si>
    <t xml:space="preserve"> MAUGUIERE </t>
  </si>
  <si>
    <t xml:space="preserve"> PENAY </t>
  </si>
  <si>
    <t xml:space="preserve"> GRETTEN </t>
  </si>
  <si>
    <t xml:space="preserve"> NOMDEDEU </t>
  </si>
  <si>
    <t xml:space="preserve"> OUDNI </t>
  </si>
  <si>
    <t xml:space="preserve"> CARP </t>
  </si>
  <si>
    <t xml:space="preserve"> SUN </t>
  </si>
  <si>
    <t xml:space="preserve"> Xiaojian </t>
  </si>
  <si>
    <t xml:space="preserve"> SATGE </t>
  </si>
  <si>
    <t xml:space="preserve"> Jean  françois </t>
  </si>
  <si>
    <t xml:space="preserve"> SZYMANOWSKI </t>
  </si>
  <si>
    <t xml:space="preserve"> STENLER </t>
  </si>
  <si>
    <t xml:space="preserve"> BEUGNET </t>
  </si>
  <si>
    <t xml:space="preserve"> KIBANGUI </t>
  </si>
  <si>
    <t xml:space="preserve"> Yoani </t>
  </si>
  <si>
    <t xml:space="preserve"> HEMRIT </t>
  </si>
  <si>
    <t xml:space="preserve"> BELLA </t>
  </si>
  <si>
    <t xml:space="preserve"> GISPERT </t>
  </si>
  <si>
    <t xml:space="preserve"> DROZ-BARTHELET </t>
  </si>
  <si>
    <t xml:space="preserve"> PHU MINH </t>
  </si>
  <si>
    <t xml:space="preserve"> FRANJUS </t>
  </si>
  <si>
    <t xml:space="preserve"> MAUGRION </t>
  </si>
  <si>
    <t xml:space="preserve"> BRIQUET </t>
  </si>
  <si>
    <t xml:space="preserve"> FOSCOLO </t>
  </si>
  <si>
    <t xml:space="preserve"> CHANTOISEL </t>
  </si>
  <si>
    <t xml:space="preserve"> FRICKER </t>
  </si>
  <si>
    <t xml:space="preserve"> ROUSSOS </t>
  </si>
  <si>
    <t xml:space="preserve"> J-pierre </t>
  </si>
  <si>
    <t xml:space="preserve"> DE LA ROCQUE </t>
  </si>
  <si>
    <t xml:space="preserve"> VAKAULIAFA </t>
  </si>
  <si>
    <t xml:space="preserve"> Penisio </t>
  </si>
  <si>
    <t xml:space="preserve"> LAFUGE </t>
  </si>
  <si>
    <t xml:space="preserve"> GODINHO </t>
  </si>
  <si>
    <t xml:space="preserve"> Capri </t>
  </si>
  <si>
    <t xml:space="preserve"> DUDZINSKI </t>
  </si>
  <si>
    <t xml:space="preserve"> ANDRIANBOLOLONA </t>
  </si>
  <si>
    <t xml:space="preserve"> 369G0001 </t>
  </si>
  <si>
    <t xml:space="preserve"> PING PONG CLUB BANDRELE </t>
  </si>
  <si>
    <t xml:space="preserve"> SAUTET </t>
  </si>
  <si>
    <t xml:space="preserve"> MARETHEU </t>
  </si>
  <si>
    <t xml:space="preserve"> christophe </t>
  </si>
  <si>
    <t xml:space="preserve"> SEGUY-HOUËL </t>
  </si>
  <si>
    <t xml:space="preserve"> BenoÎt </t>
  </si>
  <si>
    <t xml:space="preserve"> SAUVAIRE </t>
  </si>
  <si>
    <t xml:space="preserve"> DELL ABATE </t>
  </si>
  <si>
    <t xml:space="preserve"> Walter fabio </t>
  </si>
  <si>
    <t xml:space="preserve"> SABBANI </t>
  </si>
  <si>
    <t xml:space="preserve"> Sunil </t>
  </si>
  <si>
    <t xml:space="preserve"> MOUSTEY </t>
  </si>
  <si>
    <t xml:space="preserve"> BERRIAU </t>
  </si>
  <si>
    <t xml:space="preserve"> TAVERGEUX </t>
  </si>
  <si>
    <t xml:space="preserve"> LY KUI </t>
  </si>
  <si>
    <t xml:space="preserve"> DAVAL </t>
  </si>
  <si>
    <t xml:space="preserve"> LANTOINE </t>
  </si>
  <si>
    <t xml:space="preserve"> BRUGES-RENARD </t>
  </si>
  <si>
    <t xml:space="preserve"> KRUCKER </t>
  </si>
  <si>
    <t xml:space="preserve"> CAPALDI </t>
  </si>
  <si>
    <t xml:space="preserve"> RAMOUSSE </t>
  </si>
  <si>
    <t xml:space="preserve"> GAUBARD </t>
  </si>
  <si>
    <t xml:space="preserve"> BOUMEDIENE </t>
  </si>
  <si>
    <t xml:space="preserve"> SOUTON </t>
  </si>
  <si>
    <t xml:space="preserve"> CAUQUIL </t>
  </si>
  <si>
    <t xml:space="preserve"> LYVINEC </t>
  </si>
  <si>
    <t xml:space="preserve"> DE POOTER </t>
  </si>
  <si>
    <t xml:space="preserve"> SOLAL </t>
  </si>
  <si>
    <t xml:space="preserve"> LAGASSE </t>
  </si>
  <si>
    <t xml:space="preserve"> CRAMMER </t>
  </si>
  <si>
    <t xml:space="preserve"> FERRAN </t>
  </si>
  <si>
    <t xml:space="preserve"> LE FAOUDER </t>
  </si>
  <si>
    <t xml:space="preserve"> HILL </t>
  </si>
  <si>
    <t xml:space="preserve"> SENNECEY LE GRAND TENNIS </t>
  </si>
  <si>
    <t xml:space="preserve"> BEHAR REHALA </t>
  </si>
  <si>
    <t xml:space="preserve"> CHARLEY </t>
  </si>
  <si>
    <t xml:space="preserve"> DAULEU </t>
  </si>
  <si>
    <t xml:space="preserve"> GOUDSMEDT </t>
  </si>
  <si>
    <t xml:space="preserve"> ODET </t>
  </si>
  <si>
    <t xml:space="preserve"> PIERREZ </t>
  </si>
  <si>
    <t xml:space="preserve"> COLMANT </t>
  </si>
  <si>
    <t xml:space="preserve"> TOUADI </t>
  </si>
  <si>
    <t xml:space="preserve"> CERCEAU </t>
  </si>
  <si>
    <t xml:space="preserve"> THILLET </t>
  </si>
  <si>
    <t xml:space="preserve"> AMBROSINI </t>
  </si>
  <si>
    <t xml:space="preserve"> BARILLERE </t>
  </si>
  <si>
    <t xml:space="preserve"> MONTAGNY </t>
  </si>
  <si>
    <t xml:space="preserve"> FAUGIERES </t>
  </si>
  <si>
    <t xml:space="preserve"> RADJATTINAME </t>
  </si>
  <si>
    <t xml:space="preserve"> Selvam </t>
  </si>
  <si>
    <t xml:space="preserve"> FERAY </t>
  </si>
  <si>
    <t xml:space="preserve"> ASATEKIN </t>
  </si>
  <si>
    <t xml:space="preserve"> GAUDION </t>
  </si>
  <si>
    <t xml:space="preserve"> GEOFFRE </t>
  </si>
  <si>
    <t xml:space="preserve"> MARCON </t>
  </si>
  <si>
    <t xml:space="preserve"> LANDGREBE </t>
  </si>
  <si>
    <t xml:space="preserve"> BRIET </t>
  </si>
  <si>
    <t xml:space="preserve"> VANHOOVE </t>
  </si>
  <si>
    <t xml:space="preserve"> CLIVET </t>
  </si>
  <si>
    <t xml:space="preserve"> GREMILLET </t>
  </si>
  <si>
    <t xml:space="preserve"> ANTONIO </t>
  </si>
  <si>
    <t xml:space="preserve"> DE BONNECHOSE </t>
  </si>
  <si>
    <t xml:space="preserve"> LONGER </t>
  </si>
  <si>
    <t xml:space="preserve"> SAFAROV </t>
  </si>
  <si>
    <t xml:space="preserve"> Viatcheslav </t>
  </si>
  <si>
    <t xml:space="preserve"> MELCHIORE </t>
  </si>
  <si>
    <t xml:space="preserve"> TCHICHELLE </t>
  </si>
  <si>
    <t xml:space="preserve"> Zeph </t>
  </si>
  <si>
    <t xml:space="preserve"> DEMIGUEL </t>
  </si>
  <si>
    <t xml:space="preserve"> DUFETRELLE </t>
  </si>
  <si>
    <t xml:space="preserve"> DESDOUETS </t>
  </si>
  <si>
    <t xml:space="preserve"> WINDRESTIN </t>
  </si>
  <si>
    <t xml:space="preserve"> CANNIAUX </t>
  </si>
  <si>
    <t xml:space="preserve"> PETIT-BARAT </t>
  </si>
  <si>
    <t xml:space="preserve"> CAUSSOU-GOUARDERES </t>
  </si>
  <si>
    <t xml:space="preserve"> PERRINET </t>
  </si>
  <si>
    <t xml:space="preserve"> Xinmin </t>
  </si>
  <si>
    <t xml:space="preserve"> SPIELMANN </t>
  </si>
  <si>
    <t xml:space="preserve"> LAHOUSSE </t>
  </si>
  <si>
    <t xml:space="preserve"> ARSEGUEL </t>
  </si>
  <si>
    <t xml:space="preserve"> MACIAS </t>
  </si>
  <si>
    <t xml:space="preserve"> CONSTANTINI </t>
  </si>
  <si>
    <t xml:space="preserve"> BELLAN </t>
  </si>
  <si>
    <t xml:space="preserve"> FRASCHINI </t>
  </si>
  <si>
    <t xml:space="preserve"> HOMEY </t>
  </si>
  <si>
    <t xml:space="preserve"> MEGYERI </t>
  </si>
  <si>
    <t xml:space="preserve"> LEPIN </t>
  </si>
  <si>
    <t xml:space="preserve"> HAYASHI </t>
  </si>
  <si>
    <t xml:space="preserve"> Gengo </t>
  </si>
  <si>
    <t xml:space="preserve"> GOULLIN </t>
  </si>
  <si>
    <t xml:space="preserve"> Yannik </t>
  </si>
  <si>
    <t xml:space="preserve"> DESTARAC </t>
  </si>
  <si>
    <t xml:space="preserve"> MACHEBOEUF </t>
  </si>
  <si>
    <t xml:space="preserve"> PLAQUEVENT </t>
  </si>
  <si>
    <t xml:space="preserve"> BAUDRIN </t>
  </si>
  <si>
    <t xml:space="preserve"> PARISE </t>
  </si>
  <si>
    <t xml:space="preserve"> SECKLER </t>
  </si>
  <si>
    <t xml:space="preserve"> IRAILLES </t>
  </si>
  <si>
    <t xml:space="preserve"> COLOMBO </t>
  </si>
  <si>
    <t xml:space="preserve"> EIFFES </t>
  </si>
  <si>
    <t xml:space="preserve"> PANIZ </t>
  </si>
  <si>
    <t xml:space="preserve"> MANDORLO </t>
  </si>
  <si>
    <t xml:space="preserve"> VOITURIEZ </t>
  </si>
  <si>
    <t xml:space="preserve"> Pierre-elie </t>
  </si>
  <si>
    <t xml:space="preserve"> MOYON </t>
  </si>
  <si>
    <t xml:space="preserve"> LAULERGUE </t>
  </si>
  <si>
    <t xml:space="preserve"> DEBAS </t>
  </si>
  <si>
    <t xml:space="preserve"> BERNAL </t>
  </si>
  <si>
    <t xml:space="preserve"> MARZELIERE </t>
  </si>
  <si>
    <t xml:space="preserve"> VERSTRAETEN </t>
  </si>
  <si>
    <t xml:space="preserve"> SIGOGNEAU </t>
  </si>
  <si>
    <t xml:space="preserve"> MOULIS </t>
  </si>
  <si>
    <t xml:space="preserve"> WITTMER </t>
  </si>
  <si>
    <t xml:space="preserve"> NEMOUTHE </t>
  </si>
  <si>
    <t xml:space="preserve"> GROUST </t>
  </si>
  <si>
    <t xml:space="preserve"> D'AURIA </t>
  </si>
  <si>
    <t xml:space="preserve"> DE GREGORIO </t>
  </si>
  <si>
    <t xml:space="preserve"> LEQUEC </t>
  </si>
  <si>
    <t xml:space="preserve"> VIOLAIN </t>
  </si>
  <si>
    <t xml:space="preserve"> ALLENDER </t>
  </si>
  <si>
    <t xml:space="preserve"> HERNOULD </t>
  </si>
  <si>
    <t xml:space="preserve"> VELOSO </t>
  </si>
  <si>
    <t xml:space="preserve"> MARTELLONI </t>
  </si>
  <si>
    <t xml:space="preserve"> Ignacio </t>
  </si>
  <si>
    <t xml:space="preserve"> DIVOT </t>
  </si>
  <si>
    <t xml:space="preserve"> GAUTHÉ </t>
  </si>
  <si>
    <t xml:space="preserve"> POURETTE </t>
  </si>
  <si>
    <t xml:space="preserve"> KOL </t>
  </si>
  <si>
    <t xml:space="preserve"> CANUEL </t>
  </si>
  <si>
    <t xml:space="preserve"> CAPPONI </t>
  </si>
  <si>
    <t xml:space="preserve"> LEPAGNEY </t>
  </si>
  <si>
    <t xml:space="preserve"> VARNY </t>
  </si>
  <si>
    <t xml:space="preserve"> CAMOIN </t>
  </si>
  <si>
    <t xml:space="preserve"> TOUTANT </t>
  </si>
  <si>
    <t xml:space="preserve"> MONTEILS </t>
  </si>
  <si>
    <t xml:space="preserve"> Jean-.luc </t>
  </si>
  <si>
    <t xml:space="preserve"> BEUN </t>
  </si>
  <si>
    <t xml:space="preserve"> Sega </t>
  </si>
  <si>
    <t xml:space="preserve"> LACAS </t>
  </si>
  <si>
    <t xml:space="preserve"> LANCRY </t>
  </si>
  <si>
    <t xml:space="preserve"> BUSNEL </t>
  </si>
  <si>
    <t xml:space="preserve"> Jan mickael </t>
  </si>
  <si>
    <t xml:space="preserve"> MOURIC </t>
  </si>
  <si>
    <t xml:space="preserve"> PIGNERET </t>
  </si>
  <si>
    <t xml:space="preserve"> NIFENECKER </t>
  </si>
  <si>
    <t xml:space="preserve"> BROUSSOU </t>
  </si>
  <si>
    <t xml:space="preserve"> CEREZO </t>
  </si>
  <si>
    <t xml:space="preserve"> CHABERTY </t>
  </si>
  <si>
    <t xml:space="preserve"> TUCKER </t>
  </si>
  <si>
    <t xml:space="preserve"> SOUBIRON </t>
  </si>
  <si>
    <t xml:space="preserve"> STROBBE </t>
  </si>
  <si>
    <t xml:space="preserve"> SOCHARD </t>
  </si>
  <si>
    <t xml:space="preserve"> MASCLEF </t>
  </si>
  <si>
    <t xml:space="preserve"> THIBAUDIN </t>
  </si>
  <si>
    <t xml:space="preserve"> MENSONIDES </t>
  </si>
  <si>
    <t xml:space="preserve"> Ernst </t>
  </si>
  <si>
    <t xml:space="preserve"> FONTAGNE </t>
  </si>
  <si>
    <t xml:space="preserve"> GUILLOUX </t>
  </si>
  <si>
    <t xml:space="preserve"> LEBREDONCHEL </t>
  </si>
  <si>
    <t xml:space="preserve"> Gontran </t>
  </si>
  <si>
    <t xml:space="preserve"> LHORI </t>
  </si>
  <si>
    <t xml:space="preserve"> NSEIR </t>
  </si>
  <si>
    <t xml:space="preserve"> KRISSIAN </t>
  </si>
  <si>
    <t xml:space="preserve"> BRIDENNE </t>
  </si>
  <si>
    <t xml:space="preserve"> WALLEMACQ </t>
  </si>
  <si>
    <t xml:space="preserve"> FICOT </t>
  </si>
  <si>
    <t xml:space="preserve"> TURROC </t>
  </si>
  <si>
    <t xml:space="preserve"> DAMIOT </t>
  </si>
  <si>
    <t xml:space="preserve"> KESSELMARK </t>
  </si>
  <si>
    <t xml:space="preserve"> PIERREDON </t>
  </si>
  <si>
    <t xml:space="preserve"> FORTUNATTO </t>
  </si>
  <si>
    <t xml:space="preserve"> LEMEL </t>
  </si>
  <si>
    <t xml:space="preserve"> BIAIS </t>
  </si>
  <si>
    <t xml:space="preserve"> MER </t>
  </si>
  <si>
    <t xml:space="preserve"> GOUGOU </t>
  </si>
  <si>
    <t xml:space="preserve"> Driss </t>
  </si>
  <si>
    <t xml:space="preserve"> DEUDON </t>
  </si>
  <si>
    <t xml:space="preserve"> GULLY </t>
  </si>
  <si>
    <t xml:space="preserve"> PROBECK </t>
  </si>
  <si>
    <t xml:space="preserve"> RENSON </t>
  </si>
  <si>
    <t xml:space="preserve"> MOUTIEZ </t>
  </si>
  <si>
    <t xml:space="preserve"> CORMARY </t>
  </si>
  <si>
    <t xml:space="preserve"> TURINAY </t>
  </si>
  <si>
    <t xml:space="preserve"> MOLINO </t>
  </si>
  <si>
    <t xml:space="preserve"> Mario antonello </t>
  </si>
  <si>
    <t xml:space="preserve"> CAVAILLOLE </t>
  </si>
  <si>
    <t xml:space="preserve"> HERVET </t>
  </si>
  <si>
    <t xml:space="preserve"> GARBIT </t>
  </si>
  <si>
    <t xml:space="preserve"> VIOLIER </t>
  </si>
  <si>
    <t xml:space="preserve"> RABACHE </t>
  </si>
  <si>
    <t xml:space="preserve"> BERTHOMMIER </t>
  </si>
  <si>
    <t xml:space="preserve"> ALBERI </t>
  </si>
  <si>
    <t xml:space="preserve"> OSSON </t>
  </si>
  <si>
    <t xml:space="preserve"> Pierre-hubert </t>
  </si>
  <si>
    <t xml:space="preserve"> VISCARDI </t>
  </si>
  <si>
    <t xml:space="preserve"> ROELAND </t>
  </si>
  <si>
    <t xml:space="preserve"> BORDAIS </t>
  </si>
  <si>
    <t xml:space="preserve"> VANAUTRYVE </t>
  </si>
  <si>
    <t xml:space="preserve"> TREMOUREUX </t>
  </si>
  <si>
    <t xml:space="preserve"> GALLISSON </t>
  </si>
  <si>
    <t xml:space="preserve"> DI DONNA </t>
  </si>
  <si>
    <t xml:space="preserve"> MONTALS </t>
  </si>
  <si>
    <t xml:space="preserve"> DORÉ </t>
  </si>
  <si>
    <t xml:space="preserve"> BOURNISIEN </t>
  </si>
  <si>
    <t xml:space="preserve"> YANA </t>
  </si>
  <si>
    <t xml:space="preserve"> PARRENIN </t>
  </si>
  <si>
    <t xml:space="preserve"> POUILLART </t>
  </si>
  <si>
    <t xml:space="preserve"> CHOYER </t>
  </si>
  <si>
    <t xml:space="preserve"> RAFFAELE </t>
  </si>
  <si>
    <t xml:space="preserve"> GOGNEAU </t>
  </si>
  <si>
    <t xml:space="preserve"> BONAIME </t>
  </si>
  <si>
    <t xml:space="preserve"> NAUCHE </t>
  </si>
  <si>
    <t xml:space="preserve"> GUENIOT </t>
  </si>
  <si>
    <t xml:space="preserve"> POULLILIAN </t>
  </si>
  <si>
    <t xml:space="preserve"> VIMONT </t>
  </si>
  <si>
    <t xml:space="preserve"> BARDIOT </t>
  </si>
  <si>
    <t xml:space="preserve"> MENISSEZ </t>
  </si>
  <si>
    <t xml:space="preserve"> BRENON </t>
  </si>
  <si>
    <t xml:space="preserve"> PRESTAT </t>
  </si>
  <si>
    <t xml:space="preserve"> COQUERIE </t>
  </si>
  <si>
    <t xml:space="preserve"> MAIER </t>
  </si>
  <si>
    <t xml:space="preserve"> Thavarak </t>
  </si>
  <si>
    <t xml:space="preserve"> LIZABAULT </t>
  </si>
  <si>
    <t xml:space="preserve"> QUILLERE </t>
  </si>
  <si>
    <t xml:space="preserve"> FABRIS </t>
  </si>
  <si>
    <t xml:space="preserve"> LIGI </t>
  </si>
  <si>
    <t xml:space="preserve"> TOUATI </t>
  </si>
  <si>
    <t xml:space="preserve"> WALL </t>
  </si>
  <si>
    <t xml:space="preserve"> PUCCI </t>
  </si>
  <si>
    <t xml:space="preserve"> Valdo </t>
  </si>
  <si>
    <t xml:space="preserve"> FREYCENON </t>
  </si>
  <si>
    <t xml:space="preserve"> COEFFARD </t>
  </si>
  <si>
    <t xml:space="preserve"> VERET </t>
  </si>
  <si>
    <t xml:space="preserve"> JOGAND </t>
  </si>
  <si>
    <t xml:space="preserve"> GAURY </t>
  </si>
  <si>
    <t xml:space="preserve"> BEGEL </t>
  </si>
  <si>
    <t xml:space="preserve"> SAVOCA </t>
  </si>
  <si>
    <t xml:space="preserve"> SIRE </t>
  </si>
  <si>
    <t xml:space="preserve"> AWAD </t>
  </si>
  <si>
    <t xml:space="preserve"> Ibrahim </t>
  </si>
  <si>
    <t xml:space="preserve"> BAUDUCEL </t>
  </si>
  <si>
    <t xml:space="preserve"> LABROSSE </t>
  </si>
  <si>
    <t xml:space="preserve"> EHLERS </t>
  </si>
  <si>
    <t xml:space="preserve"> LEMARINIER </t>
  </si>
  <si>
    <t xml:space="preserve"> CAUDAN </t>
  </si>
  <si>
    <t xml:space="preserve"> LACOMBLED </t>
  </si>
  <si>
    <t xml:space="preserve"> DESSOUBRAIS </t>
  </si>
  <si>
    <t xml:space="preserve"> BRICHARD </t>
  </si>
  <si>
    <t xml:space="preserve"> KHA </t>
  </si>
  <si>
    <t xml:space="preserve"> LAÔUT </t>
  </si>
  <si>
    <t xml:space="preserve"> HAIGRON </t>
  </si>
  <si>
    <t xml:space="preserve"> DAUDE </t>
  </si>
  <si>
    <t xml:space="preserve"> GIRAND </t>
  </si>
  <si>
    <t xml:space="preserve"> BOTREAU </t>
  </si>
  <si>
    <t xml:space="preserve"> MESSANI </t>
  </si>
  <si>
    <t xml:space="preserve"> COFFY </t>
  </si>
  <si>
    <t xml:space="preserve"> CSERNAK </t>
  </si>
  <si>
    <t xml:space="preserve"> Jean jerome </t>
  </si>
  <si>
    <t xml:space="preserve"> VERNISSE </t>
  </si>
  <si>
    <t xml:space="preserve"> VOEGELE </t>
  </si>
  <si>
    <t xml:space="preserve"> Francois-marie </t>
  </si>
  <si>
    <t xml:space="preserve"> KERINEC </t>
  </si>
  <si>
    <t xml:space="preserve"> DENIEUL </t>
  </si>
  <si>
    <t xml:space="preserve"> TIROT </t>
  </si>
  <si>
    <t xml:space="preserve"> GASPARINE </t>
  </si>
  <si>
    <t xml:space="preserve"> TZANOS </t>
  </si>
  <si>
    <t xml:space="preserve"> BACHELOT </t>
  </si>
  <si>
    <t xml:space="preserve"> FURMINIEUX </t>
  </si>
  <si>
    <t xml:space="preserve"> MALACRINO </t>
  </si>
  <si>
    <t xml:space="preserve"> NANAIX </t>
  </si>
  <si>
    <t xml:space="preserve"> Phi-phong </t>
  </si>
  <si>
    <t xml:space="preserve"> JOUBIN </t>
  </si>
  <si>
    <t xml:space="preserve"> CABANE </t>
  </si>
  <si>
    <t xml:space="preserve"> CHAMIOT PONCET </t>
  </si>
  <si>
    <t xml:space="preserve"> BERTHIN </t>
  </si>
  <si>
    <t xml:space="preserve"> VIGNAU </t>
  </si>
  <si>
    <t xml:space="preserve"> BUZENET </t>
  </si>
  <si>
    <t xml:space="preserve"> LEGROUT </t>
  </si>
  <si>
    <t xml:space="preserve"> Marx </t>
  </si>
  <si>
    <t xml:space="preserve"> CHAILLY </t>
  </si>
  <si>
    <t xml:space="preserve"> MIONNET </t>
  </si>
  <si>
    <t xml:space="preserve"> RUHANT </t>
  </si>
  <si>
    <t xml:space="preserve"> LOUIS-FRANCOIS </t>
  </si>
  <si>
    <t xml:space="preserve"> MAUVERNAY </t>
  </si>
  <si>
    <t xml:space="preserve"> NEZOT </t>
  </si>
  <si>
    <t xml:space="preserve"> CARN </t>
  </si>
  <si>
    <t xml:space="preserve"> LENFANT </t>
  </si>
  <si>
    <t xml:space="preserve"> Phillipe </t>
  </si>
  <si>
    <t xml:space="preserve"> BISETTI </t>
  </si>
  <si>
    <t xml:space="preserve"> TISSERON </t>
  </si>
  <si>
    <t xml:space="preserve"> LORON </t>
  </si>
  <si>
    <t xml:space="preserve"> CALLEJON </t>
  </si>
  <si>
    <t xml:space="preserve"> REA </t>
  </si>
  <si>
    <t xml:space="preserve"> LE BOURDAIS </t>
  </si>
  <si>
    <t xml:space="preserve"> MAFILLE </t>
  </si>
  <si>
    <t xml:space="preserve"> ZARKA </t>
  </si>
  <si>
    <t xml:space="preserve"> MORAN </t>
  </si>
  <si>
    <t xml:space="preserve"> FLAVIGNY </t>
  </si>
  <si>
    <t xml:space="preserve"> Stepfane </t>
  </si>
  <si>
    <t xml:space="preserve"> MOULINAT </t>
  </si>
  <si>
    <t xml:space="preserve"> MENZILDJIAN </t>
  </si>
  <si>
    <t xml:space="preserve"> BASSE </t>
  </si>
  <si>
    <t xml:space="preserve"> SANTHA </t>
  </si>
  <si>
    <t xml:space="preserve"> LAGATHU </t>
  </si>
  <si>
    <t xml:space="preserve"> CUNIBIL </t>
  </si>
  <si>
    <t xml:space="preserve"> ROUBIN </t>
  </si>
  <si>
    <t xml:space="preserve"> BRESSY </t>
  </si>
  <si>
    <t xml:space="preserve"> DESAVIS </t>
  </si>
  <si>
    <t xml:space="preserve"> BERAZA </t>
  </si>
  <si>
    <t xml:space="preserve"> BRETHE </t>
  </si>
  <si>
    <t xml:space="preserve"> HENNETIER </t>
  </si>
  <si>
    <t xml:space="preserve"> LORSERY </t>
  </si>
  <si>
    <t xml:space="preserve"> FERINCZEK </t>
  </si>
  <si>
    <t xml:space="preserve"> GABILLET </t>
  </si>
  <si>
    <t xml:space="preserve"> LE MARIE </t>
  </si>
  <si>
    <t xml:space="preserve"> TRAMBOUZE </t>
  </si>
  <si>
    <t xml:space="preserve"> TANRE </t>
  </si>
  <si>
    <t xml:space="preserve"> TOURNY </t>
  </si>
  <si>
    <t xml:space="preserve"> MALGRAS </t>
  </si>
  <si>
    <t xml:space="preserve"> VERGARA </t>
  </si>
  <si>
    <t xml:space="preserve"> LESCARBOTTE </t>
  </si>
  <si>
    <t xml:space="preserve"> BONNASSIEUX </t>
  </si>
  <si>
    <t xml:space="preserve"> MURRIA </t>
  </si>
  <si>
    <t xml:space="preserve"> BRENNE </t>
  </si>
  <si>
    <t xml:space="preserve"> DOMINICI </t>
  </si>
  <si>
    <t xml:space="preserve"> CONDON </t>
  </si>
  <si>
    <t xml:space="preserve"> SABIRON </t>
  </si>
  <si>
    <t xml:space="preserve"> ADHARI </t>
  </si>
  <si>
    <t xml:space="preserve"> RAQUIN </t>
  </si>
  <si>
    <t xml:space="preserve"> COLUS </t>
  </si>
  <si>
    <t xml:space="preserve"> LEOSZEWSKI </t>
  </si>
  <si>
    <t xml:space="preserve"> SMITH </t>
  </si>
  <si>
    <t xml:space="preserve"> MONGODIN </t>
  </si>
  <si>
    <t xml:space="preserve"> BENAYOUN </t>
  </si>
  <si>
    <t xml:space="preserve"> VANDEN MAAGDENBERG </t>
  </si>
  <si>
    <t xml:space="preserve"> SENEZ </t>
  </si>
  <si>
    <t xml:space="preserve"> PIEMONTESI </t>
  </si>
  <si>
    <t xml:space="preserve"> AQUE </t>
  </si>
  <si>
    <t xml:space="preserve"> BUCHERY </t>
  </si>
  <si>
    <t xml:space="preserve"> Pierre.gille </t>
  </si>
  <si>
    <t xml:space="preserve"> CSL BONS EN CHABLAIS </t>
  </si>
  <si>
    <t xml:space="preserve"> LAMOUILLE </t>
  </si>
  <si>
    <t xml:space="preserve"> TARISSAN </t>
  </si>
  <si>
    <t xml:space="preserve"> LESCH </t>
  </si>
  <si>
    <t xml:space="preserve"> DOFFIN </t>
  </si>
  <si>
    <t xml:space="preserve"> GUYARD </t>
  </si>
  <si>
    <t xml:space="preserve"> SUIGNARD </t>
  </si>
  <si>
    <t xml:space="preserve"> DEVAINE </t>
  </si>
  <si>
    <t xml:space="preserve"> JONDEAU </t>
  </si>
  <si>
    <t xml:space="preserve"> LOIRE </t>
  </si>
  <si>
    <t xml:space="preserve"> POUSSOT </t>
  </si>
  <si>
    <t xml:space="preserve"> CINCON </t>
  </si>
  <si>
    <t xml:space="preserve"> DEVENDEVILLE </t>
  </si>
  <si>
    <t xml:space="preserve"> WITT </t>
  </si>
  <si>
    <t xml:space="preserve"> CHIODEGA </t>
  </si>
  <si>
    <t xml:space="preserve"> KELLENER </t>
  </si>
  <si>
    <t xml:space="preserve"> EPINETTE </t>
  </si>
  <si>
    <t xml:space="preserve"> MORNAND </t>
  </si>
  <si>
    <t xml:space="preserve"> HAUTEMAYOU </t>
  </si>
  <si>
    <t xml:space="preserve"> NOVEL PUGLIESE </t>
  </si>
  <si>
    <t xml:space="preserve"> BITTANTE </t>
  </si>
  <si>
    <t xml:space="preserve"> MILLER </t>
  </si>
  <si>
    <t xml:space="preserve"> SABOY </t>
  </si>
  <si>
    <t xml:space="preserve"> LUROT </t>
  </si>
  <si>
    <t xml:space="preserve"> GAIDOU </t>
  </si>
  <si>
    <t xml:space="preserve"> EQUINET </t>
  </si>
  <si>
    <t xml:space="preserve"> FAURET </t>
  </si>
  <si>
    <t xml:space="preserve"> CAUSEUR </t>
  </si>
  <si>
    <t xml:space="preserve"> COLTEL </t>
  </si>
  <si>
    <t xml:space="preserve"> AUBUGEAU </t>
  </si>
  <si>
    <t xml:space="preserve"> DEBERDT </t>
  </si>
  <si>
    <t xml:space="preserve"> ZEENNY </t>
  </si>
  <si>
    <t xml:space="preserve"> FRECHARD </t>
  </si>
  <si>
    <t xml:space="preserve"> MANCAUX </t>
  </si>
  <si>
    <t xml:space="preserve"> SCARPETTA </t>
  </si>
  <si>
    <t xml:space="preserve"> HAFFNER </t>
  </si>
  <si>
    <t xml:space="preserve"> LEPODER </t>
  </si>
  <si>
    <t xml:space="preserve"> GRAILLE </t>
  </si>
  <si>
    <t xml:space="preserve"> BINDNER </t>
  </si>
  <si>
    <t xml:space="preserve"> DUCOURTIOUX </t>
  </si>
  <si>
    <t xml:space="preserve"> MENUDIER </t>
  </si>
  <si>
    <t xml:space="preserve"> HILDYARD </t>
  </si>
  <si>
    <t xml:space="preserve"> DE VENTURA </t>
  </si>
  <si>
    <t xml:space="preserve"> DANDEL </t>
  </si>
  <si>
    <t xml:space="preserve"> BEYET </t>
  </si>
  <si>
    <t xml:space="preserve"> TAGHAVI </t>
  </si>
  <si>
    <t xml:space="preserve"> Iradj </t>
  </si>
  <si>
    <t xml:space="preserve"> Yaneck </t>
  </si>
  <si>
    <t xml:space="preserve"> BARRONNET </t>
  </si>
  <si>
    <t xml:space="preserve"> JOUANNY </t>
  </si>
  <si>
    <t xml:space="preserve"> RUBINO </t>
  </si>
  <si>
    <t xml:space="preserve"> CHERFANE </t>
  </si>
  <si>
    <t xml:space="preserve"> SOLDNER </t>
  </si>
  <si>
    <t xml:space="preserve"> TERRILLON </t>
  </si>
  <si>
    <t xml:space="preserve"> MADELENAT </t>
  </si>
  <si>
    <t xml:space="preserve"> CLABAUT </t>
  </si>
  <si>
    <t xml:space="preserve"> PATTYN </t>
  </si>
  <si>
    <t xml:space="preserve"> DELLUC </t>
  </si>
  <si>
    <t xml:space="preserve"> LE BLEVEC </t>
  </si>
  <si>
    <t xml:space="preserve"> MASSAT </t>
  </si>
  <si>
    <t xml:space="preserve"> TOUDIC </t>
  </si>
  <si>
    <t xml:space="preserve"> CHARDENAL </t>
  </si>
  <si>
    <t xml:space="preserve"> EVENOU </t>
  </si>
  <si>
    <t xml:space="preserve"> LEHOUCQ </t>
  </si>
  <si>
    <t xml:space="preserve"> CRUZIN </t>
  </si>
  <si>
    <t xml:space="preserve"> GRANJOU </t>
  </si>
  <si>
    <t xml:space="preserve"> CLAVIERES </t>
  </si>
  <si>
    <t xml:space="preserve"> PRAZ </t>
  </si>
  <si>
    <t xml:space="preserve"> MAKSIMOVIC </t>
  </si>
  <si>
    <t xml:space="preserve"> Veljko </t>
  </si>
  <si>
    <t xml:space="preserve"> DIFIORE </t>
  </si>
  <si>
    <t xml:space="preserve"> DELANNAY </t>
  </si>
  <si>
    <t xml:space="preserve"> SCHANN </t>
  </si>
  <si>
    <t xml:space="preserve"> TAIPINA </t>
  </si>
  <si>
    <t xml:space="preserve"> Quoc bao </t>
  </si>
  <si>
    <t xml:space="preserve"> WILMART </t>
  </si>
  <si>
    <t xml:space="preserve"> MALENGROS </t>
  </si>
  <si>
    <t xml:space="preserve"> DARAGON </t>
  </si>
  <si>
    <t xml:space="preserve"> CAPARROS </t>
  </si>
  <si>
    <t xml:space="preserve"> CARBONNEAUX </t>
  </si>
  <si>
    <t xml:space="preserve"> SCHWAB </t>
  </si>
  <si>
    <t xml:space="preserve"> SADLER </t>
  </si>
  <si>
    <t xml:space="preserve"> Nathan </t>
  </si>
  <si>
    <t xml:space="preserve"> PRUSSEL </t>
  </si>
  <si>
    <t xml:space="preserve"> NICOLEAU </t>
  </si>
  <si>
    <t xml:space="preserve"> PORTMANN </t>
  </si>
  <si>
    <t xml:space="preserve"> Gus </t>
  </si>
  <si>
    <t xml:space="preserve"> SAINTON </t>
  </si>
  <si>
    <t xml:space="preserve"> LE FAOU </t>
  </si>
  <si>
    <t xml:space="preserve"> ROUQUAT </t>
  </si>
  <si>
    <t xml:space="preserve"> LABOULLE </t>
  </si>
  <si>
    <t xml:space="preserve"> CAMPER </t>
  </si>
  <si>
    <t xml:space="preserve"> VIADE </t>
  </si>
  <si>
    <t xml:space="preserve"> José luis </t>
  </si>
  <si>
    <t xml:space="preserve"> CHOSSIERE </t>
  </si>
  <si>
    <t xml:space="preserve"> WEYCHAN </t>
  </si>
  <si>
    <t xml:space="preserve"> SEREY </t>
  </si>
  <si>
    <t xml:space="preserve"> PAYOLE </t>
  </si>
  <si>
    <t xml:space="preserve"> DOS SANTOS  OLIVEIRA </t>
  </si>
  <si>
    <t xml:space="preserve"> SWIETEK </t>
  </si>
  <si>
    <t xml:space="preserve"> BIASI </t>
  </si>
  <si>
    <t xml:space="preserve"> CULIE </t>
  </si>
  <si>
    <t xml:space="preserve"> MEZIERES </t>
  </si>
  <si>
    <t xml:space="preserve"> VILAULT </t>
  </si>
  <si>
    <t xml:space="preserve"> MASSOTEAU </t>
  </si>
  <si>
    <t xml:space="preserve"> GAMBADE </t>
  </si>
  <si>
    <t xml:space="preserve"> REYS </t>
  </si>
  <si>
    <t xml:space="preserve"> FOSTIN </t>
  </si>
  <si>
    <t xml:space="preserve"> MONTEGUT </t>
  </si>
  <si>
    <t xml:space="preserve"> TODOROVIC </t>
  </si>
  <si>
    <t xml:space="preserve"> DENEY </t>
  </si>
  <si>
    <t xml:space="preserve"> BERLU </t>
  </si>
  <si>
    <t xml:space="preserve"> LAMORT </t>
  </si>
  <si>
    <t xml:space="preserve"> FARAUS </t>
  </si>
  <si>
    <t xml:space="preserve"> SOMMAIN </t>
  </si>
  <si>
    <t xml:space="preserve"> Youri </t>
  </si>
  <si>
    <t xml:space="preserve"> BEDON </t>
  </si>
  <si>
    <t xml:space="preserve"> ROGERET </t>
  </si>
  <si>
    <t xml:space="preserve"> MARIER </t>
  </si>
  <si>
    <t xml:space="preserve"> GUT </t>
  </si>
  <si>
    <t xml:space="preserve"> CABALERO </t>
  </si>
  <si>
    <t xml:space="preserve"> MOUNSAVENG </t>
  </si>
  <si>
    <t xml:space="preserve"> Ketsavanh </t>
  </si>
  <si>
    <t xml:space="preserve"> SARDAIN </t>
  </si>
  <si>
    <t xml:space="preserve"> RECROIX </t>
  </si>
  <si>
    <t xml:space="preserve"> HOUDBINE </t>
  </si>
  <si>
    <t xml:space="preserve"> POIVRE </t>
  </si>
  <si>
    <t xml:space="preserve"> WINGERT </t>
  </si>
  <si>
    <t xml:space="preserve"> VEYRE </t>
  </si>
  <si>
    <t xml:space="preserve"> TINTILLIER </t>
  </si>
  <si>
    <t xml:space="preserve"> LESENNE </t>
  </si>
  <si>
    <t xml:space="preserve"> BEOLET </t>
  </si>
  <si>
    <t xml:space="preserve"> DUFFULER </t>
  </si>
  <si>
    <t xml:space="preserve"> BERGET </t>
  </si>
  <si>
    <t xml:space="preserve"> CHERUY </t>
  </si>
  <si>
    <t xml:space="preserve"> BERAUT </t>
  </si>
  <si>
    <t xml:space="preserve"> BESSEYRE </t>
  </si>
  <si>
    <t xml:space="preserve"> LAMBOU </t>
  </si>
  <si>
    <t xml:space="preserve"> CHASTENET </t>
  </si>
  <si>
    <t xml:space="preserve"> MENDEZ </t>
  </si>
  <si>
    <t xml:space="preserve"> ACHIHAB </t>
  </si>
  <si>
    <t xml:space="preserve"> SICHERE </t>
  </si>
  <si>
    <t xml:space="preserve"> BAURENS </t>
  </si>
  <si>
    <t xml:space="preserve"> AMICO </t>
  </si>
  <si>
    <t xml:space="preserve"> NACHUN </t>
  </si>
  <si>
    <t xml:space="preserve"> PARISET </t>
  </si>
  <si>
    <t xml:space="preserve"> FOULTIER </t>
  </si>
  <si>
    <t xml:space="preserve"> OVART </t>
  </si>
  <si>
    <t xml:space="preserve"> PRIZÉ </t>
  </si>
  <si>
    <t xml:space="preserve"> SOLDEVILA </t>
  </si>
  <si>
    <t xml:space="preserve"> Amador </t>
  </si>
  <si>
    <t xml:space="preserve"> LEROU </t>
  </si>
  <si>
    <t xml:space="preserve"> DURQUETY </t>
  </si>
  <si>
    <t xml:space="preserve"> ZAGGAR </t>
  </si>
  <si>
    <t xml:space="preserve"> Faouzi </t>
  </si>
  <si>
    <t xml:space="preserve"> LOPES DE FREITAS </t>
  </si>
  <si>
    <t xml:space="preserve"> Joan </t>
  </si>
  <si>
    <t xml:space="preserve"> ANDRIAMIFIDY </t>
  </si>
  <si>
    <t xml:space="preserve"> Ravanondratoson </t>
  </si>
  <si>
    <t xml:space="preserve"> FAULCONNIER </t>
  </si>
  <si>
    <t xml:space="preserve"> ROUVET </t>
  </si>
  <si>
    <t xml:space="preserve"> TOURNIERE </t>
  </si>
  <si>
    <t xml:space="preserve"> DEVALLIERE </t>
  </si>
  <si>
    <t xml:space="preserve"> CORVAISIER </t>
  </si>
  <si>
    <t xml:space="preserve"> VANNUFEL </t>
  </si>
  <si>
    <t xml:space="preserve"> BEDOU </t>
  </si>
  <si>
    <t xml:space="preserve"> HAROUTIOUNIAN </t>
  </si>
  <si>
    <t xml:space="preserve"> DUHOUX </t>
  </si>
  <si>
    <t xml:space="preserve"> PICCO </t>
  </si>
  <si>
    <t xml:space="preserve"> DELAPILLE </t>
  </si>
  <si>
    <t xml:space="preserve"> LECHEVESTRIER </t>
  </si>
  <si>
    <t xml:space="preserve"> DELOOS </t>
  </si>
  <si>
    <t xml:space="preserve"> GRUSCHWITZ </t>
  </si>
  <si>
    <t xml:space="preserve"> HEJBLUM </t>
  </si>
  <si>
    <t xml:space="preserve"> Marc-alexandre </t>
  </si>
  <si>
    <t xml:space="preserve"> SILVAIN </t>
  </si>
  <si>
    <t xml:space="preserve"> DESRUES </t>
  </si>
  <si>
    <t xml:space="preserve"> FASSBENDER </t>
  </si>
  <si>
    <t xml:space="preserve"> PADEY </t>
  </si>
  <si>
    <t xml:space="preserve"> GALPIN </t>
  </si>
  <si>
    <t xml:space="preserve"> PILLETTE </t>
  </si>
  <si>
    <t xml:space="preserve"> ZECH </t>
  </si>
  <si>
    <t xml:space="preserve"> Ezechiel </t>
  </si>
  <si>
    <t xml:space="preserve"> LE TOLLEC </t>
  </si>
  <si>
    <t xml:space="preserve"> ROTOLONI </t>
  </si>
  <si>
    <t xml:space="preserve"> BELCHNEROWSKI </t>
  </si>
  <si>
    <t xml:space="preserve"> PARTHIOT </t>
  </si>
  <si>
    <t xml:space="preserve"> LANDEREAU </t>
  </si>
  <si>
    <t xml:space="preserve"> JOKSIMOVIC </t>
  </si>
  <si>
    <t xml:space="preserve"> Gregori </t>
  </si>
  <si>
    <t xml:space="preserve"> AUSTRUY </t>
  </si>
  <si>
    <t xml:space="preserve"> CODER </t>
  </si>
  <si>
    <t xml:space="preserve"> FEDDAL </t>
  </si>
  <si>
    <t xml:space="preserve"> BASS </t>
  </si>
  <si>
    <t xml:space="preserve"> PERONNET </t>
  </si>
  <si>
    <t xml:space="preserve"> PAGOT </t>
  </si>
  <si>
    <t xml:space="preserve"> Dorian </t>
  </si>
  <si>
    <t xml:space="preserve"> FOUCONNIER </t>
  </si>
  <si>
    <t xml:space="preserve"> CELLA </t>
  </si>
  <si>
    <t xml:space="preserve"> WILLEM </t>
  </si>
  <si>
    <t xml:space="preserve"> JEUNON </t>
  </si>
  <si>
    <t xml:space="preserve"> CHATELAT </t>
  </si>
  <si>
    <t xml:space="preserve"> PAJOT </t>
  </si>
  <si>
    <t xml:space="preserve"> BOIDOUX </t>
  </si>
  <si>
    <t xml:space="preserve"> FALLUEL </t>
  </si>
  <si>
    <t xml:space="preserve"> HELARY </t>
  </si>
  <si>
    <t xml:space="preserve"> QUEMARD </t>
  </si>
  <si>
    <t xml:space="preserve"> BASTOUIL </t>
  </si>
  <si>
    <t xml:space="preserve"> Steevens </t>
  </si>
  <si>
    <t xml:space="preserve"> EPP </t>
  </si>
  <si>
    <t xml:space="preserve"> DECRESSAC </t>
  </si>
  <si>
    <t xml:space="preserve"> FLUET </t>
  </si>
  <si>
    <t xml:space="preserve"> WODIANYK </t>
  </si>
  <si>
    <t xml:space="preserve"> DEVLIEGER </t>
  </si>
  <si>
    <t xml:space="preserve"> PORTHEAULT </t>
  </si>
  <si>
    <t xml:space="preserve"> JASTRZABEK </t>
  </si>
  <si>
    <t xml:space="preserve"> ORIA-VATIER </t>
  </si>
  <si>
    <t xml:space="preserve"> CHEVASSUS-ROSSET </t>
  </si>
  <si>
    <t xml:space="preserve"> PRINGAULT </t>
  </si>
  <si>
    <t xml:space="preserve"> HERPIERRE </t>
  </si>
  <si>
    <t xml:space="preserve"> VILQUIN </t>
  </si>
  <si>
    <t xml:space="preserve"> HURÉ </t>
  </si>
  <si>
    <t xml:space="preserve"> Alexandrine </t>
  </si>
  <si>
    <t xml:space="preserve"> Thao </t>
  </si>
  <si>
    <t xml:space="preserve"> WENTZEL </t>
  </si>
  <si>
    <t xml:space="preserve"> Marie france </t>
  </si>
  <si>
    <t xml:space="preserve"> TAINON </t>
  </si>
  <si>
    <t xml:space="preserve"> DEWARUMEZ </t>
  </si>
  <si>
    <t xml:space="preserve"> ZEIGER </t>
  </si>
  <si>
    <t xml:space="preserve"> BOURGOING </t>
  </si>
  <si>
    <t xml:space="preserve"> Georgina </t>
  </si>
  <si>
    <t xml:space="preserve"> VAN LIERDE </t>
  </si>
  <si>
    <t xml:space="preserve"> BERNALEAU </t>
  </si>
  <si>
    <t xml:space="preserve"> Marie-agnes </t>
  </si>
  <si>
    <t xml:space="preserve"> BABOT </t>
  </si>
  <si>
    <t xml:space="preserve"> BUGEAU </t>
  </si>
  <si>
    <t xml:space="preserve"> MULLIEZ </t>
  </si>
  <si>
    <t xml:space="preserve"> Albane </t>
  </si>
  <si>
    <t xml:space="preserve"> LOUZEAU </t>
  </si>
  <si>
    <t xml:space="preserve"> DJILGHIR </t>
  </si>
  <si>
    <t xml:space="preserve"> Melica </t>
  </si>
  <si>
    <t xml:space="preserve"> COMAILLS </t>
  </si>
  <si>
    <t xml:space="preserve"> LAFLECHE </t>
  </si>
  <si>
    <t xml:space="preserve"> MESSAOUDI </t>
  </si>
  <si>
    <t xml:space="preserve"> VIOLLON </t>
  </si>
  <si>
    <t xml:space="preserve"> GUEGUEN PICHON </t>
  </si>
  <si>
    <t xml:space="preserve"> LE HUBY </t>
  </si>
  <si>
    <t xml:space="preserve"> ENGUEHARD-VIBERT </t>
  </si>
  <si>
    <t xml:space="preserve"> LEVIN </t>
  </si>
  <si>
    <t xml:space="preserve"> FAGNEN </t>
  </si>
  <si>
    <t xml:space="preserve"> Soazig </t>
  </si>
  <si>
    <t xml:space="preserve"> CLATOT </t>
  </si>
  <si>
    <t xml:space="preserve"> MICHELO </t>
  </si>
  <si>
    <t xml:space="preserve"> RONVAL </t>
  </si>
  <si>
    <t xml:space="preserve"> BOUDAZIN </t>
  </si>
  <si>
    <t xml:space="preserve"> OUZILOU </t>
  </si>
  <si>
    <t xml:space="preserve"> GANIVET </t>
  </si>
  <si>
    <t xml:space="preserve"> IAFRATE </t>
  </si>
  <si>
    <t xml:space="preserve"> PESQUEUX </t>
  </si>
  <si>
    <t xml:space="preserve"> MEHU </t>
  </si>
  <si>
    <t xml:space="preserve"> CHAMP </t>
  </si>
  <si>
    <t xml:space="preserve"> PAINVIN </t>
  </si>
  <si>
    <t xml:space="preserve"> OCHSENBEIN </t>
  </si>
  <si>
    <t xml:space="preserve"> FALSARELLA </t>
  </si>
  <si>
    <t xml:space="preserve"> HEMSEN </t>
  </si>
  <si>
    <t xml:space="preserve"> GERARD-GUERIN </t>
  </si>
  <si>
    <t xml:space="preserve"> ALMIN </t>
  </si>
  <si>
    <t xml:space="preserve"> PRADES </t>
  </si>
  <si>
    <t xml:space="preserve"> FRIES </t>
  </si>
  <si>
    <t xml:space="preserve"> AIT-AMEUR </t>
  </si>
  <si>
    <t xml:space="preserve"> BAUDAT </t>
  </si>
  <si>
    <t xml:space="preserve"> HAMANN </t>
  </si>
  <si>
    <t xml:space="preserve"> DUQUEYROIX </t>
  </si>
  <si>
    <t xml:space="preserve"> BARTALUCCI </t>
  </si>
  <si>
    <t xml:space="preserve"> Lyne </t>
  </si>
  <si>
    <t xml:space="preserve"> TABOURIN </t>
  </si>
  <si>
    <t xml:space="preserve"> SPERANDEO </t>
  </si>
  <si>
    <t xml:space="preserve"> TROISLOUCHES </t>
  </si>
  <si>
    <t xml:space="preserve"> Rosélia </t>
  </si>
  <si>
    <t xml:space="preserve"> TURCANT </t>
  </si>
  <si>
    <t xml:space="preserve"> CHERMANSKI </t>
  </si>
  <si>
    <t xml:space="preserve"> JAÏN </t>
  </si>
  <si>
    <t xml:space="preserve"> ALLEYRAT </t>
  </si>
  <si>
    <t xml:space="preserve"> PAYOT </t>
  </si>
  <si>
    <t xml:space="preserve"> BORD </t>
  </si>
  <si>
    <t xml:space="preserve"> JOUBIOUX </t>
  </si>
  <si>
    <t xml:space="preserve"> SINGLA </t>
  </si>
  <si>
    <t xml:space="preserve"> BORDAS-GUILLARD </t>
  </si>
  <si>
    <t xml:space="preserve"> LALIER-CHADELAUD </t>
  </si>
  <si>
    <t xml:space="preserve"> Fany </t>
  </si>
  <si>
    <t xml:space="preserve"> DATIN </t>
  </si>
  <si>
    <t xml:space="preserve"> PIVA </t>
  </si>
  <si>
    <t xml:space="preserve"> COUPPEY </t>
  </si>
  <si>
    <t xml:space="preserve"> GALODE </t>
  </si>
  <si>
    <t xml:space="preserve"> RIGOULET </t>
  </si>
  <si>
    <t xml:space="preserve"> PARVILLE </t>
  </si>
  <si>
    <t xml:space="preserve"> RENVERSEZ </t>
  </si>
  <si>
    <t xml:space="preserve"> CHICHERY </t>
  </si>
  <si>
    <t xml:space="preserve"> BALLABRIGA-BOLDRON </t>
  </si>
  <si>
    <t xml:space="preserve"> DAVEU </t>
  </si>
  <si>
    <t xml:space="preserve"> MARTINS LE BOUEDEC </t>
  </si>
  <si>
    <t xml:space="preserve"> Melissa </t>
  </si>
  <si>
    <t xml:space="preserve"> BES DE BERC </t>
  </si>
  <si>
    <t xml:space="preserve"> LAMONERIE </t>
  </si>
  <si>
    <t xml:space="preserve"> Angélique katia </t>
  </si>
  <si>
    <t xml:space="preserve"> BRAYELLE </t>
  </si>
  <si>
    <t xml:space="preserve"> BEAUTEMPS </t>
  </si>
  <si>
    <t xml:space="preserve"> HASCOET GREGORI </t>
  </si>
  <si>
    <t xml:space="preserve"> Maggy </t>
  </si>
  <si>
    <t xml:space="preserve"> CHEMS MAARIF </t>
  </si>
  <si>
    <t xml:space="preserve"> COTTREAU </t>
  </si>
  <si>
    <t xml:space="preserve"> CHRIQUI </t>
  </si>
  <si>
    <t xml:space="preserve"> M-claude </t>
  </si>
  <si>
    <t xml:space="preserve"> TROUILLON </t>
  </si>
  <si>
    <t xml:space="preserve"> TROUBAT </t>
  </si>
  <si>
    <t xml:space="preserve"> LIZEN </t>
  </si>
  <si>
    <t xml:space="preserve"> FOUQUEMBERG </t>
  </si>
  <si>
    <t xml:space="preserve"> Marie-anne </t>
  </si>
  <si>
    <t xml:space="preserve"> HABASH </t>
  </si>
  <si>
    <t xml:space="preserve"> Vida </t>
  </si>
  <si>
    <t xml:space="preserve"> TOURNIAIRE </t>
  </si>
  <si>
    <t xml:space="preserve"> ARRIBARD </t>
  </si>
  <si>
    <t xml:space="preserve"> CRAGO </t>
  </si>
  <si>
    <t xml:space="preserve"> Marylin </t>
  </si>
  <si>
    <t xml:space="preserve"> BORODINE </t>
  </si>
  <si>
    <t xml:space="preserve"> VOLCKAERT </t>
  </si>
  <si>
    <t xml:space="preserve"> IACONO </t>
  </si>
  <si>
    <t xml:space="preserve"> Godeleine </t>
  </si>
  <si>
    <t xml:space="preserve"> LISCOUET </t>
  </si>
  <si>
    <t xml:space="preserve"> GIBAUD - BERNARD </t>
  </si>
  <si>
    <t xml:space="preserve"> VINAGRE </t>
  </si>
  <si>
    <t xml:space="preserve"> Virginia </t>
  </si>
  <si>
    <t xml:space="preserve"> TUHEIAVA </t>
  </si>
  <si>
    <t xml:space="preserve"> Elvina </t>
  </si>
  <si>
    <t xml:space="preserve"> Marie.j </t>
  </si>
  <si>
    <t xml:space="preserve"> VELLUT </t>
  </si>
  <si>
    <t xml:space="preserve"> PAWLOWSKI-GROPPI </t>
  </si>
  <si>
    <t xml:space="preserve"> PHENG </t>
  </si>
  <si>
    <t xml:space="preserve"> ROUCOUX </t>
  </si>
  <si>
    <t xml:space="preserve"> Margit </t>
  </si>
  <si>
    <t xml:space="preserve"> TAHIATA </t>
  </si>
  <si>
    <t xml:space="preserve"> Toorea </t>
  </si>
  <si>
    <t xml:space="preserve"> 379H0045 </t>
  </si>
  <si>
    <t xml:space="preserve"> Club de Rimatara </t>
  </si>
  <si>
    <t xml:space="preserve"> POUGEA </t>
  </si>
  <si>
    <t xml:space="preserve"> Annie françoise </t>
  </si>
  <si>
    <t xml:space="preserve"> KURY </t>
  </si>
  <si>
    <t xml:space="preserve"> BEGAUD </t>
  </si>
  <si>
    <t xml:space="preserve"> LYANDRAT </t>
  </si>
  <si>
    <t xml:space="preserve"> Crystèle </t>
  </si>
  <si>
    <t xml:space="preserve"> ALLAF </t>
  </si>
  <si>
    <t xml:space="preserve"> Oula </t>
  </si>
  <si>
    <t xml:space="preserve"> CHRISTOPHE PIGNARD </t>
  </si>
  <si>
    <t xml:space="preserve"> ANTOCICCO </t>
  </si>
  <si>
    <t xml:space="preserve"> ROUILLON </t>
  </si>
  <si>
    <t xml:space="preserve"> MARTINAT </t>
  </si>
  <si>
    <t xml:space="preserve"> BETTIN </t>
  </si>
  <si>
    <t xml:space="preserve"> Mylene </t>
  </si>
  <si>
    <t xml:space="preserve"> ARDOIN SAINT AMAND </t>
  </si>
  <si>
    <t xml:space="preserve"> IVANES </t>
  </si>
  <si>
    <t xml:space="preserve"> BAER </t>
  </si>
  <si>
    <t xml:space="preserve"> Birgit </t>
  </si>
  <si>
    <t xml:space="preserve"> MOUTAMA </t>
  </si>
  <si>
    <t xml:space="preserve"> KAROUIA </t>
  </si>
  <si>
    <t xml:space="preserve"> JUVANON </t>
  </si>
  <si>
    <t xml:space="preserve"> Doris </t>
  </si>
  <si>
    <t xml:space="preserve"> Mariline </t>
  </si>
  <si>
    <t xml:space="preserve"> NOEL-CLEMENT </t>
  </si>
  <si>
    <t xml:space="preserve"> Mariannick </t>
  </si>
  <si>
    <t xml:space="preserve"> GAUTHO </t>
  </si>
  <si>
    <t xml:space="preserve"> GULDEN </t>
  </si>
  <si>
    <t xml:space="preserve"> TREFLEZ </t>
  </si>
  <si>
    <t xml:space="preserve"> CHEYNARD </t>
  </si>
  <si>
    <t xml:space="preserve"> ROY-RETIF </t>
  </si>
  <si>
    <t xml:space="preserve"> LUAKI </t>
  </si>
  <si>
    <t xml:space="preserve"> Peata </t>
  </si>
  <si>
    <t xml:space="preserve"> GANDIN </t>
  </si>
  <si>
    <t xml:space="preserve"> Lara </t>
  </si>
  <si>
    <t xml:space="preserve"> ALIBRANDI </t>
  </si>
  <si>
    <t xml:space="preserve"> Natahlie </t>
  </si>
  <si>
    <t xml:space="preserve"> LOUBOUTIN </t>
  </si>
  <si>
    <t xml:space="preserve"> FOURASTIE </t>
  </si>
  <si>
    <t xml:space="preserve"> Cendrine </t>
  </si>
  <si>
    <t xml:space="preserve"> DESHAIES </t>
  </si>
  <si>
    <t xml:space="preserve"> LE COINTE </t>
  </si>
  <si>
    <t xml:space="preserve"> CHIMBAULT </t>
  </si>
  <si>
    <t xml:space="preserve"> ADDEY </t>
  </si>
  <si>
    <t xml:space="preserve"> FILSTICH </t>
  </si>
  <si>
    <t xml:space="preserve"> KLAR </t>
  </si>
  <si>
    <t xml:space="preserve"> Rita </t>
  </si>
  <si>
    <t xml:space="preserve"> Laetita </t>
  </si>
  <si>
    <t xml:space="preserve"> ERDHARDT </t>
  </si>
  <si>
    <t xml:space="preserve"> Berengere </t>
  </si>
  <si>
    <t xml:space="preserve"> MENS </t>
  </si>
  <si>
    <t xml:space="preserve"> DANZE MAHEUT </t>
  </si>
  <si>
    <t xml:space="preserve"> STIVES </t>
  </si>
  <si>
    <t xml:space="preserve"> DELHOMMEAU </t>
  </si>
  <si>
    <t xml:space="preserve"> MOLLON </t>
  </si>
  <si>
    <t xml:space="preserve"> Adrienne </t>
  </si>
  <si>
    <t xml:space="preserve"> CATTA </t>
  </si>
  <si>
    <t xml:space="preserve"> MARIAMAL </t>
  </si>
  <si>
    <t xml:space="preserve"> ORTELIO </t>
  </si>
  <si>
    <t xml:space="preserve"> Isaurinda </t>
  </si>
  <si>
    <t xml:space="preserve"> DIZY </t>
  </si>
  <si>
    <t xml:space="preserve"> LE BRUCHEC </t>
  </si>
  <si>
    <t xml:space="preserve"> Gwenaëlle </t>
  </si>
  <si>
    <t xml:space="preserve"> MELMOUX </t>
  </si>
  <si>
    <t xml:space="preserve"> THIMOLEON </t>
  </si>
  <si>
    <t xml:space="preserve"> Anne-pascale </t>
  </si>
  <si>
    <t xml:space="preserve"> WAIHAE </t>
  </si>
  <si>
    <t xml:space="preserve"> LAYALLE </t>
  </si>
  <si>
    <t xml:space="preserve"> Feng yun </t>
  </si>
  <si>
    <t xml:space="preserve"> VELAZCO </t>
  </si>
  <si>
    <t xml:space="preserve"> LUCQUIN </t>
  </si>
  <si>
    <t xml:space="preserve"> DAUD </t>
  </si>
  <si>
    <t xml:space="preserve"> GARRON </t>
  </si>
  <si>
    <t xml:space="preserve"> Aurelia </t>
  </si>
  <si>
    <t xml:space="preserve"> HAUSPIE </t>
  </si>
  <si>
    <t xml:space="preserve"> BEAUTIER </t>
  </si>
  <si>
    <t xml:space="preserve"> Vivianne </t>
  </si>
  <si>
    <t xml:space="preserve"> DE BEAUCHESNE </t>
  </si>
  <si>
    <t xml:space="preserve"> MEDREAU </t>
  </si>
  <si>
    <t xml:space="preserve"> Elodie </t>
  </si>
  <si>
    <t xml:space="preserve"> Velerie </t>
  </si>
  <si>
    <t xml:space="preserve"> Marie-josèphe </t>
  </si>
  <si>
    <t xml:space="preserve"> RIEAU </t>
  </si>
  <si>
    <t xml:space="preserve"> PANZER </t>
  </si>
  <si>
    <t xml:space="preserve"> KERGARAVAT </t>
  </si>
  <si>
    <t xml:space="preserve"> NIKOU-SERECHT </t>
  </si>
  <si>
    <t xml:space="preserve"> VEY </t>
  </si>
  <si>
    <t xml:space="preserve"> LIMAN </t>
  </si>
  <si>
    <t xml:space="preserve"> ANDREJAK </t>
  </si>
  <si>
    <t xml:space="preserve"> Chantale </t>
  </si>
  <si>
    <t xml:space="preserve"> BERGEY </t>
  </si>
  <si>
    <t xml:space="preserve"> RODDE-RUIVET </t>
  </si>
  <si>
    <t xml:space="preserve"> Marie-madeleine </t>
  </si>
  <si>
    <t xml:space="preserve"> MILLIAT </t>
  </si>
  <si>
    <t xml:space="preserve"> BOSSUET ARCELIN </t>
  </si>
  <si>
    <t xml:space="preserve"> HACQ </t>
  </si>
  <si>
    <t xml:space="preserve"> ELISABETH </t>
  </si>
  <si>
    <t xml:space="preserve"> Eugenie </t>
  </si>
  <si>
    <t xml:space="preserve"> Emeline </t>
  </si>
  <si>
    <t xml:space="preserve"> LEPERTEL </t>
  </si>
  <si>
    <t xml:space="preserve"> GIANNINI DE ZERBI </t>
  </si>
  <si>
    <t xml:space="preserve"> JUNKER </t>
  </si>
  <si>
    <t xml:space="preserve"> FAUSTIN </t>
  </si>
  <si>
    <t xml:space="preserve"> GUTMANN </t>
  </si>
  <si>
    <t xml:space="preserve"> ROINEAU </t>
  </si>
  <si>
    <t xml:space="preserve"> CEAS </t>
  </si>
  <si>
    <t xml:space="preserve"> SANDEL </t>
  </si>
  <si>
    <t xml:space="preserve"> MONTALANT </t>
  </si>
  <si>
    <t xml:space="preserve"> SARTON </t>
  </si>
  <si>
    <t xml:space="preserve"> PREVOST BOYER </t>
  </si>
  <si>
    <t xml:space="preserve"> Viroune </t>
  </si>
  <si>
    <t xml:space="preserve"> CONTY </t>
  </si>
  <si>
    <t xml:space="preserve"> LEITE LOPES </t>
  </si>
  <si>
    <t xml:space="preserve"> TEREOPA </t>
  </si>
  <si>
    <t xml:space="preserve"> Irmima </t>
  </si>
  <si>
    <t xml:space="preserve"> DEMINATI </t>
  </si>
  <si>
    <t xml:space="preserve"> LE GAL LA SALLE </t>
  </si>
  <si>
    <t xml:space="preserve"> FOURNERON </t>
  </si>
  <si>
    <t xml:space="preserve"> DEMAZURE </t>
  </si>
  <si>
    <t xml:space="preserve"> GOVART </t>
  </si>
  <si>
    <t xml:space="preserve"> BEGARDS </t>
  </si>
  <si>
    <t xml:space="preserve"> Marie-annick </t>
  </si>
  <si>
    <t xml:space="preserve"> PLETAN </t>
  </si>
  <si>
    <t xml:space="preserve"> MOUTARDE </t>
  </si>
  <si>
    <t xml:space="preserve"> BAZIN OZTURK </t>
  </si>
  <si>
    <t xml:space="preserve"> FERROUDJ </t>
  </si>
  <si>
    <t xml:space="preserve"> CIZDZIEL </t>
  </si>
  <si>
    <t xml:space="preserve"> VEYRET </t>
  </si>
  <si>
    <t xml:space="preserve"> VAN DE POEL </t>
  </si>
  <si>
    <t xml:space="preserve"> BORNUAT </t>
  </si>
  <si>
    <t xml:space="preserve"> Monia </t>
  </si>
  <si>
    <t xml:space="preserve"> ZHOU LEVIEUX </t>
  </si>
  <si>
    <t xml:space="preserve"> Xiaoyi </t>
  </si>
  <si>
    <t xml:space="preserve"> CUMPS </t>
  </si>
  <si>
    <t xml:space="preserve"> LANDOIS </t>
  </si>
  <si>
    <t xml:space="preserve"> MOIREZ </t>
  </si>
  <si>
    <t xml:space="preserve"> HUBSCH </t>
  </si>
  <si>
    <t xml:space="preserve"> Rose </t>
  </si>
  <si>
    <t xml:space="preserve"> JORGE DO MARCO </t>
  </si>
  <si>
    <t xml:space="preserve"> GREMION </t>
  </si>
  <si>
    <t xml:space="preserve"> PEIGNEE </t>
  </si>
  <si>
    <t xml:space="preserve"> BOIRE </t>
  </si>
  <si>
    <t xml:space="preserve"> FRITEGOTTO </t>
  </si>
  <si>
    <t xml:space="preserve"> Anne-Marie </t>
  </si>
  <si>
    <t xml:space="preserve"> MICHIELS </t>
  </si>
  <si>
    <t xml:space="preserve"> HIVANOHE </t>
  </si>
  <si>
    <t xml:space="preserve"> Iréne </t>
  </si>
  <si>
    <t xml:space="preserve"> BOSSHAMMER </t>
  </si>
  <si>
    <t xml:space="preserve"> SPEZIALE </t>
  </si>
  <si>
    <t xml:space="preserve"> ORCEL </t>
  </si>
  <si>
    <t xml:space="preserve"> JETTE </t>
  </si>
  <si>
    <t xml:space="preserve"> ETASSE </t>
  </si>
  <si>
    <t xml:space="preserve"> DONARIER </t>
  </si>
  <si>
    <t xml:space="preserve"> BAUMBERGER </t>
  </si>
  <si>
    <t xml:space="preserve"> MOGERE </t>
  </si>
  <si>
    <t xml:space="preserve"> BENEDETTI </t>
  </si>
  <si>
    <t xml:space="preserve"> Clothilde </t>
  </si>
  <si>
    <t xml:space="preserve"> Erica </t>
  </si>
  <si>
    <t xml:space="preserve"> RORATO </t>
  </si>
  <si>
    <t xml:space="preserve"> ESPASA </t>
  </si>
  <si>
    <t xml:space="preserve"> SAUZEAT </t>
  </si>
  <si>
    <t xml:space="preserve"> CAUCHARD </t>
  </si>
  <si>
    <t xml:space="preserve"> AUTRIVE </t>
  </si>
  <si>
    <t xml:space="preserve"> BOUVET HABLOT </t>
  </si>
  <si>
    <t xml:space="preserve"> DEZ </t>
  </si>
  <si>
    <t xml:space="preserve"> VETTRAINO </t>
  </si>
  <si>
    <t xml:space="preserve"> MARCUZZI </t>
  </si>
  <si>
    <t xml:space="preserve"> BELFILS </t>
  </si>
  <si>
    <t xml:space="preserve"> PAILLERE </t>
  </si>
  <si>
    <t xml:space="preserve"> Nahid </t>
  </si>
  <si>
    <t xml:space="preserve"> MOULIGNIER </t>
  </si>
  <si>
    <t xml:space="preserve"> MARQUILLY </t>
  </si>
  <si>
    <t xml:space="preserve"> GRAÊFF </t>
  </si>
  <si>
    <t xml:space="preserve"> Mina </t>
  </si>
  <si>
    <t xml:space="preserve"> PICOUX </t>
  </si>
  <si>
    <t xml:space="preserve"> SAINT-PIERRE </t>
  </si>
  <si>
    <t xml:space="preserve"> MAUXION </t>
  </si>
  <si>
    <t xml:space="preserve"> FOUCAL </t>
  </si>
  <si>
    <t xml:space="preserve"> LALIGAND </t>
  </si>
  <si>
    <t xml:space="preserve"> GERAUD </t>
  </si>
  <si>
    <t xml:space="preserve"> SEUVE </t>
  </si>
  <si>
    <t xml:space="preserve"> Mary </t>
  </si>
  <si>
    <t xml:space="preserve"> BARILLEAU </t>
  </si>
  <si>
    <t xml:space="preserve"> BOUBE </t>
  </si>
  <si>
    <t xml:space="preserve"> YVEN </t>
  </si>
  <si>
    <t xml:space="preserve"> GOUZERH </t>
  </si>
  <si>
    <t xml:space="preserve"> CLAUZEL </t>
  </si>
  <si>
    <t xml:space="preserve"> GOACHET </t>
  </si>
  <si>
    <t xml:space="preserve"> HOLTZ </t>
  </si>
  <si>
    <t xml:space="preserve"> ABDELKADER </t>
  </si>
  <si>
    <t xml:space="preserve"> DULIN </t>
  </si>
  <si>
    <t xml:space="preserve"> Carile </t>
  </si>
  <si>
    <t xml:space="preserve"> MOREIRA FONTES </t>
  </si>
  <si>
    <t xml:space="preserve"> Maite </t>
  </si>
  <si>
    <t xml:space="preserve"> NUISEMENT </t>
  </si>
  <si>
    <t xml:space="preserve"> VO THI PHUONG </t>
  </si>
  <si>
    <t xml:space="preserve"> ESKANDARIAN </t>
  </si>
  <si>
    <t xml:space="preserve"> Elham </t>
  </si>
  <si>
    <t xml:space="preserve"> REAUD </t>
  </si>
  <si>
    <t xml:space="preserve"> DANSAC </t>
  </si>
  <si>
    <t xml:space="preserve"> SAMUEL </t>
  </si>
  <si>
    <t xml:space="preserve"> DAMIEN-GIL </t>
  </si>
  <si>
    <t xml:space="preserve"> SANDU </t>
  </si>
  <si>
    <t xml:space="preserve"> DUFILS </t>
  </si>
  <si>
    <t xml:space="preserve"> L' HARIDON </t>
  </si>
  <si>
    <t xml:space="preserve"> COTTERILL </t>
  </si>
  <si>
    <t xml:space="preserve"> MARCOLLET </t>
  </si>
  <si>
    <t xml:space="preserve"> Marie elisabeth </t>
  </si>
  <si>
    <t xml:space="preserve"> PLA </t>
  </si>
  <si>
    <t xml:space="preserve"> BERU </t>
  </si>
  <si>
    <t xml:space="preserve"> Marie  france </t>
  </si>
  <si>
    <t xml:space="preserve"> JASINSKI </t>
  </si>
  <si>
    <t xml:space="preserve"> Candy </t>
  </si>
  <si>
    <t xml:space="preserve"> HAMAMA SANSALONE </t>
  </si>
  <si>
    <t xml:space="preserve"> SIADOU </t>
  </si>
  <si>
    <t xml:space="preserve"> BERGER-SABBATEL </t>
  </si>
  <si>
    <t xml:space="preserve"> Réjane </t>
  </si>
  <si>
    <t xml:space="preserve"> LADRAS BON </t>
  </si>
  <si>
    <t xml:space="preserve"> LASSERE </t>
  </si>
  <si>
    <t xml:space="preserve"> POLFLIET </t>
  </si>
  <si>
    <t xml:space="preserve"> Anne-lise </t>
  </si>
  <si>
    <t xml:space="preserve"> DE CHRISTEN </t>
  </si>
  <si>
    <t xml:space="preserve"> COPEAU </t>
  </si>
  <si>
    <t xml:space="preserve"> BEILLON </t>
  </si>
  <si>
    <t xml:space="preserve"> GUERIN EP GAILLETON </t>
  </si>
  <si>
    <t xml:space="preserve"> VARNEROT </t>
  </si>
  <si>
    <t xml:space="preserve"> NOUAILHER-BOURDOIS </t>
  </si>
  <si>
    <t xml:space="preserve"> MENASSE </t>
  </si>
  <si>
    <t xml:space="preserve"> CHARQUILLON </t>
  </si>
  <si>
    <t xml:space="preserve"> DUFFAUD </t>
  </si>
  <si>
    <t xml:space="preserve"> PITHON </t>
  </si>
  <si>
    <t xml:space="preserve"> LEPECUCHELLE </t>
  </si>
  <si>
    <t xml:space="preserve"> NICOLAS NESTOUR </t>
  </si>
  <si>
    <t xml:space="preserve"> GAMBETTI </t>
  </si>
  <si>
    <t xml:space="preserve"> ESCURE </t>
  </si>
  <si>
    <t xml:space="preserve"> GHYS </t>
  </si>
  <si>
    <t xml:space="preserve"> DAEL </t>
  </si>
  <si>
    <t xml:space="preserve"> ZISLIN </t>
  </si>
  <si>
    <t xml:space="preserve"> SAGOT-DUVAUROUX </t>
  </si>
  <si>
    <t xml:space="preserve"> KING </t>
  </si>
  <si>
    <t xml:space="preserve"> LABIGNE </t>
  </si>
  <si>
    <t xml:space="preserve"> MAUNET </t>
  </si>
  <si>
    <t xml:space="preserve"> THODOROFF </t>
  </si>
  <si>
    <t xml:space="preserve"> BROAGE </t>
  </si>
  <si>
    <t xml:space="preserve"> MARGOTIN </t>
  </si>
  <si>
    <t xml:space="preserve"> Fousia </t>
  </si>
  <si>
    <t xml:space="preserve"> TRUY-COURTIES </t>
  </si>
  <si>
    <t xml:space="preserve"> NOVOA </t>
  </si>
  <si>
    <t xml:space="preserve"> ENACHE </t>
  </si>
  <si>
    <t xml:space="preserve"> Valentina </t>
  </si>
  <si>
    <t xml:space="preserve"> HERRAULT </t>
  </si>
  <si>
    <t xml:space="preserve"> VINELLA </t>
  </si>
  <si>
    <t xml:space="preserve"> Angela patricia </t>
  </si>
  <si>
    <t xml:space="preserve"> PERRICHAUD </t>
  </si>
  <si>
    <t xml:space="preserve"> GEMBOLYS </t>
  </si>
  <si>
    <t xml:space="preserve"> CORTES-CHETOUI </t>
  </si>
  <si>
    <t xml:space="preserve"> LASSUS </t>
  </si>
  <si>
    <t xml:space="preserve"> AMOROSO </t>
  </si>
  <si>
    <t xml:space="preserve"> TOURNIANT </t>
  </si>
  <si>
    <t xml:space="preserve"> Rose-anne </t>
  </si>
  <si>
    <t xml:space="preserve"> BEZZINA </t>
  </si>
  <si>
    <t xml:space="preserve"> MUSSARD </t>
  </si>
  <si>
    <t xml:space="preserve"> LEPROUST </t>
  </si>
  <si>
    <t xml:space="preserve"> COULY </t>
  </si>
  <si>
    <t xml:space="preserve"> HENNEBIQUE </t>
  </si>
  <si>
    <t xml:space="preserve"> JUQUEL </t>
  </si>
  <si>
    <t>PPC SORGUAIS (13840001)</t>
  </si>
  <si>
    <t>COMTE Emmanuel</t>
  </si>
  <si>
    <t>CERNEA Doru nicolae</t>
  </si>
  <si>
    <t>LY Toan dan</t>
  </si>
  <si>
    <t>RAUTUREAU Benoit</t>
  </si>
  <si>
    <t>GIGEAN ASM (11340014)</t>
  </si>
  <si>
    <t>RICHARD Julien</t>
  </si>
  <si>
    <t>GUIBERT Jérôme</t>
  </si>
  <si>
    <t>RAVAUX Emmanuel</t>
  </si>
  <si>
    <t>BELLIEN Jeremy</t>
  </si>
  <si>
    <t>DASSIER Nicolas</t>
  </si>
  <si>
    <t>MARTINEZ Mickael</t>
  </si>
  <si>
    <t>BEAUMONT Jerome</t>
  </si>
  <si>
    <t>QUAIN Stephane</t>
  </si>
  <si>
    <t>LIMOUSIN Laurent</t>
  </si>
  <si>
    <t>HEROLD Matthias</t>
  </si>
  <si>
    <t>GORIAUD Franck</t>
  </si>
  <si>
    <t>CP AUSCITAIN (11320005)</t>
  </si>
  <si>
    <t>GOEDAER Gregory</t>
  </si>
  <si>
    <t>POURNIN Stephane</t>
  </si>
  <si>
    <t>SEGURA Stephane</t>
  </si>
  <si>
    <t>BROCHARD Stéphane</t>
  </si>
  <si>
    <t>PERRET Remi</t>
  </si>
  <si>
    <t>TOULON LA SEYNE Tennis de Table (13830083)</t>
  </si>
  <si>
    <t>ZAMUNER J jacques</t>
  </si>
  <si>
    <t>RONCQ ULJAP (07590194)</t>
  </si>
  <si>
    <t>FALEK Hazedine</t>
  </si>
  <si>
    <t>HURE Sebastien</t>
  </si>
  <si>
    <t>ORMESSON US (08940894)</t>
  </si>
  <si>
    <t>HOSY Rémi</t>
  </si>
  <si>
    <t>MALAKOFF USMM (08920018)</t>
  </si>
  <si>
    <t>PEYRAT-ARMANDY Charles</t>
  </si>
  <si>
    <t>NANTES MELLINET (LA) (12440004)</t>
  </si>
  <si>
    <t>DUBOIS Vincent</t>
  </si>
  <si>
    <t>BERCY David</t>
  </si>
  <si>
    <t>VILGICQUEL Laurent</t>
  </si>
  <si>
    <t>VILLEPINTE STTT (08930598)</t>
  </si>
  <si>
    <t>PROUVAT Fabien</t>
  </si>
  <si>
    <t>COGET David</t>
  </si>
  <si>
    <t>MERCIER Damien</t>
  </si>
  <si>
    <t>MENAND Xavier</t>
  </si>
  <si>
    <t>SALVAT Regis</t>
  </si>
  <si>
    <t>9D508</t>
  </si>
  <si>
    <t>BULLY LP (07620005)</t>
  </si>
  <si>
    <t>THILLIER Sylvain</t>
  </si>
  <si>
    <t>CHALON TENNIS DE TABLE (02710008)</t>
  </si>
  <si>
    <t>SALIS Stephane</t>
  </si>
  <si>
    <t>GUILLOT Pascal</t>
  </si>
  <si>
    <t>IMBERTY Matthieu</t>
  </si>
  <si>
    <t>POTHAIN Bruce</t>
  </si>
  <si>
    <t>RAYNAL Xavier</t>
  </si>
  <si>
    <t>POCARD Yann</t>
  </si>
  <si>
    <t>GOURDON Jerome</t>
  </si>
  <si>
    <t>MANSOUR Rachid</t>
  </si>
  <si>
    <t>CORDELLE Christophe</t>
  </si>
  <si>
    <t>VINCLAIR Fabrice</t>
  </si>
  <si>
    <t>BONHOMME Pascal</t>
  </si>
  <si>
    <t>CAMPAR Carlos</t>
  </si>
  <si>
    <t>PONCELET Fabien</t>
  </si>
  <si>
    <t>BEAUCHAMP CTT (08950553)</t>
  </si>
  <si>
    <t>SEROUSSI David</t>
  </si>
  <si>
    <t>VILLEMOMBLE SPTT (08930113)</t>
  </si>
  <si>
    <t>BONNEVIALLE Bruce</t>
  </si>
  <si>
    <t>TT PASSAGEOIS (10470006)</t>
  </si>
  <si>
    <t>PEREYROL Richard</t>
  </si>
  <si>
    <t>PPC BASTIA (05980003)</t>
  </si>
  <si>
    <t>MERCIER FINIDORI Sébastien</t>
  </si>
  <si>
    <t>GROSSMANN Laurent</t>
  </si>
  <si>
    <t>MONTMAGNY STT (08951261)</t>
  </si>
  <si>
    <t>REGEARD Fabrice</t>
  </si>
  <si>
    <t>NOURTIER Vincent</t>
  </si>
  <si>
    <t>MANGEOT Philippe</t>
  </si>
  <si>
    <t>ALENCON ETOILE (09610009)</t>
  </si>
  <si>
    <t>RAGEL Laurent</t>
  </si>
  <si>
    <t>HENNIQUE Rodolphe</t>
  </si>
  <si>
    <t>CHAPLAIN Jérôme</t>
  </si>
  <si>
    <t>DOMERGUE Jean</t>
  </si>
  <si>
    <t>HERNANDEZ Franck</t>
  </si>
  <si>
    <t>LEDAIN Sebastien</t>
  </si>
  <si>
    <t>MOUQUET David</t>
  </si>
  <si>
    <t>RICHARD Bruno</t>
  </si>
  <si>
    <t>TOUTOUYOUTE Jean roland</t>
  </si>
  <si>
    <t>CHAPUT Laurent</t>
  </si>
  <si>
    <t>TOUJAS Patrick</t>
  </si>
  <si>
    <t>ST CHRISTOL LEZ ALES AS (11300014)</t>
  </si>
  <si>
    <t>LEROY Jean marc</t>
  </si>
  <si>
    <t>ZABOUT Jocelyne</t>
  </si>
  <si>
    <t>ESSARTS AGSE (08781266)</t>
  </si>
  <si>
    <t>ALEXANDRE Régis</t>
  </si>
  <si>
    <t>GUILLEMART Philippe</t>
  </si>
  <si>
    <t>BONHOMME Francoise</t>
  </si>
  <si>
    <t>CONFLANS US (08780128)</t>
  </si>
  <si>
    <t>LEVEQUE Gerard</t>
  </si>
  <si>
    <t>LEBLANC Nicole</t>
  </si>
  <si>
    <t>GOUYON Patrick</t>
  </si>
  <si>
    <t>ROUSSON Roger</t>
  </si>
  <si>
    <t>MOTARD Didier</t>
  </si>
  <si>
    <t>DESAILLY Jocelyne</t>
  </si>
  <si>
    <t>AMNEVILLE T.T. (06570070)</t>
  </si>
  <si>
    <t>LEBIGOT Joël</t>
  </si>
  <si>
    <t>CASY Martine</t>
  </si>
  <si>
    <t>SAINT-REMY-CHEVREUSE TT (08780674)</t>
  </si>
  <si>
    <t>SAYMARD Jack</t>
  </si>
  <si>
    <t>D'ARBONNEAU Marie hélène</t>
  </si>
  <si>
    <t>CHATILLON S/COLMONT Amicale (12530147)</t>
  </si>
  <si>
    <t>GUIOULLIER Claude</t>
  </si>
  <si>
    <t>ESC.COUR CHEVERNY TT (04410015)</t>
  </si>
  <si>
    <t>ROGER Philippe</t>
  </si>
  <si>
    <t>LEBRETON Martine</t>
  </si>
  <si>
    <t>MARRILLIET Gerard</t>
  </si>
  <si>
    <t>BENSAHA-RAYBAUD Francoise</t>
  </si>
  <si>
    <t>DUMONTEIL Philippe</t>
  </si>
  <si>
    <t>DESSAINT Catherine</t>
  </si>
  <si>
    <t>COLLET Pierre</t>
  </si>
  <si>
    <t>DESMET Françoise</t>
  </si>
  <si>
    <t>GERLOT Hervé</t>
  </si>
  <si>
    <t>LEGOUT Odile</t>
  </si>
  <si>
    <t>DUMONT Jean-marc</t>
  </si>
  <si>
    <t>LEROY Jean-louis</t>
  </si>
  <si>
    <t>LOUIS Annick</t>
  </si>
  <si>
    <t>MONTEAU Jacques</t>
  </si>
  <si>
    <t>GUILLOTEAU Françoise</t>
  </si>
  <si>
    <t>LOISEAU Francois</t>
  </si>
  <si>
    <t>LASSON Sylvie</t>
  </si>
  <si>
    <t>FARRONI Francis</t>
  </si>
  <si>
    <t>CHARBONNEAU Eliane</t>
  </si>
  <si>
    <t>BELEY Pascal</t>
  </si>
  <si>
    <t>MILESI Christine</t>
  </si>
  <si>
    <t>HUGO Denis</t>
  </si>
  <si>
    <t>DELRIVE Luc</t>
  </si>
  <si>
    <t>LE CRES SALAISON T.T. (11340008)</t>
  </si>
  <si>
    <t>LAUGA Jean marie</t>
  </si>
  <si>
    <t>DARU Catherine</t>
  </si>
  <si>
    <t>GODEAU Christian</t>
  </si>
  <si>
    <t>MAUFFREY Marie</t>
  </si>
  <si>
    <t>MILLERAT Pascal</t>
  </si>
  <si>
    <t>MICHEL Hervé</t>
  </si>
  <si>
    <t>SCHMIDT Guy</t>
  </si>
  <si>
    <t>KERGOURLAY Chantal</t>
  </si>
  <si>
    <t>ASPTT TOULOUSE T.T. (11310006)</t>
  </si>
  <si>
    <t>HUOI Trang meng</t>
  </si>
  <si>
    <t>SKENADJI Janine</t>
  </si>
  <si>
    <t>ETIENNE Thierry</t>
  </si>
  <si>
    <t>PASQUE Philippe</t>
  </si>
  <si>
    <t>AGOSTINI Marine</t>
  </si>
  <si>
    <t>PARIS Luc</t>
  </si>
  <si>
    <t>LECOINTRE Francoise</t>
  </si>
  <si>
    <t>ROUSSEL Rémy</t>
  </si>
  <si>
    <t>BRIDAY Brigitte</t>
  </si>
  <si>
    <t>LA COMPANAISE (08771394)</t>
  </si>
  <si>
    <t>RICHARD Daniel</t>
  </si>
  <si>
    <t>RAGALEUX Thierry</t>
  </si>
  <si>
    <t>MATIAS Pascale</t>
  </si>
  <si>
    <t>VIEMON Jean-claude</t>
  </si>
  <si>
    <t>MERY Christine</t>
  </si>
  <si>
    <t>TT AUBIGNY SUR NERE (04180041)</t>
  </si>
  <si>
    <t>GILLARD Daniel</t>
  </si>
  <si>
    <t>PLESSIS Patrick</t>
  </si>
  <si>
    <t>DUSSOURD Christian</t>
  </si>
  <si>
    <t>GEOFFROY Alain</t>
  </si>
  <si>
    <t>MISTLER Christian</t>
  </si>
  <si>
    <t>AMIENS STT (07800001)</t>
  </si>
  <si>
    <t>BAILLAU Michel</t>
  </si>
  <si>
    <t>RICHY Patrick</t>
  </si>
  <si>
    <t>BAUDIER Gabriel</t>
  </si>
  <si>
    <t>BLANCHARD Thierry</t>
  </si>
  <si>
    <t>BLARD Christian</t>
  </si>
  <si>
    <t>DANIELSKY Pierre</t>
  </si>
  <si>
    <t>DIEUX Philippe</t>
  </si>
  <si>
    <t>FROIDUROT Bernard</t>
  </si>
  <si>
    <t>GUITTET Hubert</t>
  </si>
  <si>
    <t>HAMZAOUI Hurcine</t>
  </si>
  <si>
    <t>JEAN Alain</t>
  </si>
  <si>
    <t>TAQUET Jean</t>
  </si>
  <si>
    <t>WALLART Pascal</t>
  </si>
  <si>
    <t>MERLET Nicole</t>
  </si>
  <si>
    <t>LEBAILLEUR-LACAGE Monique</t>
  </si>
  <si>
    <t>PAOLI Danielle</t>
  </si>
  <si>
    <t>LOUVIGNY ASL (09140111)</t>
  </si>
  <si>
    <t>ASM BELFORT FROIDEVAL TT (02900039)</t>
  </si>
  <si>
    <t>DELABORDE Nicole</t>
  </si>
  <si>
    <t>HEMSEN Françoise</t>
  </si>
  <si>
    <t>PLAISANT Charlotte</t>
  </si>
  <si>
    <t>CHATEAU D OLONNE ES (12850148)</t>
  </si>
  <si>
    <t>VILLIERS ES (08940549)</t>
  </si>
  <si>
    <t>DUGUEPERROUX Francine</t>
  </si>
  <si>
    <t>AS MARCY CHARBONNIERES (01690001)</t>
  </si>
  <si>
    <t>DEMARS Claire</t>
  </si>
  <si>
    <t>PENNEC Marie-claude</t>
  </si>
  <si>
    <t>LIVRY-GARGAN EP (08930430)</t>
  </si>
  <si>
    <t>CLUB VALETTOIS TT (13830088)</t>
  </si>
  <si>
    <t>BOURET Michelle</t>
  </si>
  <si>
    <t>TOULOUSE ATHLETIC CLUB (11310008)</t>
  </si>
  <si>
    <t>CASAJUS Marie-paule</t>
  </si>
  <si>
    <t>PONTILLE Martine</t>
  </si>
  <si>
    <t>LEZIGNAN CORBIERES MJC TT (11110015)</t>
  </si>
  <si>
    <t>BEAUDUCEAU Francine</t>
  </si>
  <si>
    <t>LE CORVEC Colette</t>
  </si>
  <si>
    <t>BRAMBILLA Ginette</t>
  </si>
  <si>
    <t>LIGNE A.S.T.T. (12440076)</t>
  </si>
  <si>
    <t>BIGOT Annick</t>
  </si>
  <si>
    <t>CHARTRES ASTT. (04280004)</t>
  </si>
  <si>
    <t>ESCAUDAIN ASTT (07590061)</t>
  </si>
  <si>
    <t>ASC SAINT APOLLINAIRE (02210029)</t>
  </si>
  <si>
    <t>BLOIS PING 41 (04410466)</t>
  </si>
  <si>
    <t>DE SANTA BARBARA Michèle</t>
  </si>
  <si>
    <t>TEISSET Francoise</t>
  </si>
  <si>
    <t>ATT DRACENIE (13830031)</t>
  </si>
  <si>
    <t>PLAISANT Jacques</t>
  </si>
  <si>
    <t>AGDE TENNIS DE TABLE (11340067)</t>
  </si>
  <si>
    <t>LEANDRI Simone</t>
  </si>
  <si>
    <t>FAFOURNOUX Solange</t>
  </si>
  <si>
    <t>PILLIERE Nicole</t>
  </si>
  <si>
    <t>ROMILLY-VILLENAUXE CAP (06100040)</t>
  </si>
  <si>
    <t>DESSERTINE Jean</t>
  </si>
  <si>
    <t>CO ST FONS (01690014)</t>
  </si>
  <si>
    <t>AZÉ Tennis de Table (12530090)</t>
  </si>
  <si>
    <t>DEL CASTILLO Maryvonne</t>
  </si>
  <si>
    <t>LAILHEUGUE Pierre</t>
  </si>
  <si>
    <t>Azay-Le-Rideau ESRTT (04370533)</t>
  </si>
  <si>
    <t>FAFOURNOUX Pierre</t>
  </si>
  <si>
    <t>GUYOT Nicole</t>
  </si>
  <si>
    <t>MENNECY TT (08911323)</t>
  </si>
  <si>
    <t>GREFFION Rene</t>
  </si>
  <si>
    <t>CP ST GIRONNAIS (11090002)</t>
  </si>
  <si>
    <t>PRESQU ILE T.T. (12440195)</t>
  </si>
  <si>
    <t>TTB BESSANCOURT (08951366)</t>
  </si>
  <si>
    <t>A.S.BASTELICACCIA (05990009)</t>
  </si>
  <si>
    <t>LIBERCOURT CP (07620112)</t>
  </si>
  <si>
    <t>VEYRE-MONTON TT (01630307)</t>
  </si>
  <si>
    <t>BELLEVIGNY ESBV (12850016)</t>
  </si>
  <si>
    <t>LUISANT AC Tennis de Table (04280121)</t>
  </si>
  <si>
    <t>US YEVRES (04280202)</t>
  </si>
  <si>
    <t>GDR GUIPAVAS (03290087)</t>
  </si>
  <si>
    <t>ASPTT SMASH CLUB DE GRASSE (13060102)</t>
  </si>
  <si>
    <t>SPORTING PARIS 20 TT (08751061)</t>
  </si>
  <si>
    <t>CRUSEILLES TT (01740010)</t>
  </si>
  <si>
    <t>CORBEIL ESSONNES AS (08910402)</t>
  </si>
  <si>
    <t>JS CUGNAUX/VILLENEUVE TT (11310121)</t>
  </si>
  <si>
    <t>PLESSIS ROBINSON TT (08920503)</t>
  </si>
  <si>
    <t>0618065</t>
  </si>
  <si>
    <t>HORNEZ Valérie</t>
  </si>
  <si>
    <t>MOUGEOT Chrystel</t>
  </si>
  <si>
    <t>MOUILLARD Sylvie</t>
  </si>
  <si>
    <t>LYSAK Carole</t>
  </si>
  <si>
    <t>MONTADY CAPESTANG TT (11340017)</t>
  </si>
  <si>
    <t>FOUQUET Sandrine</t>
  </si>
  <si>
    <t>BOISAUBERT Francoise</t>
  </si>
  <si>
    <t>DIDIER Sabine</t>
  </si>
  <si>
    <t>BIGOT Fabienne</t>
  </si>
  <si>
    <t>TOSSER Emmanuelle</t>
  </si>
  <si>
    <t>MONTPELLIER TT (11340010)</t>
  </si>
  <si>
    <t>VEILLEROT Laurence</t>
  </si>
  <si>
    <t>THIVET Sylvie</t>
  </si>
  <si>
    <t>ROSCONVAL-MARENGUE Genevieve</t>
  </si>
  <si>
    <t>BLANC Sandrine</t>
  </si>
  <si>
    <t>PING PONG CAPDENACOIS (11120043)</t>
  </si>
  <si>
    <t>MIAS Alice</t>
  </si>
  <si>
    <t>T.T. JOUE-LES-TOURS (04370566)</t>
  </si>
  <si>
    <t>BESTEL Sylvie</t>
  </si>
  <si>
    <t>MOLINS Corine</t>
  </si>
  <si>
    <t>PAPON Laurence</t>
  </si>
  <si>
    <t>ALLEAUME Beatrice</t>
  </si>
  <si>
    <t>SARTROUVILLOIS TT (08780627)</t>
  </si>
  <si>
    <t>MOREAU Anne marie</t>
  </si>
  <si>
    <t>LAROUSSE Valerie</t>
  </si>
  <si>
    <t>ESPERANCE ST-QUAY PORTRIEUX (03220048)</t>
  </si>
  <si>
    <t>PAVOT Sophie</t>
  </si>
  <si>
    <t>BERGAMASCHI Sophie</t>
  </si>
  <si>
    <t>PICARD Catherine</t>
  </si>
  <si>
    <t>TANGUY Marie christine</t>
  </si>
  <si>
    <t>CC DANJOUTIN (02900003)</t>
  </si>
  <si>
    <t>FAURIE Sylvie</t>
  </si>
  <si>
    <t>FRIRY Isabelle</t>
  </si>
  <si>
    <t>KANDIN Catherine</t>
  </si>
  <si>
    <t>AUBIN Geneviève</t>
  </si>
  <si>
    <t>BAUR Florence</t>
  </si>
  <si>
    <t>GRADIGNAN TENNIS DE TABLE (10330037)</t>
  </si>
  <si>
    <t>TAINON Claire</t>
  </si>
  <si>
    <t>CTT VANNES MÉNIMUR (03560049)</t>
  </si>
  <si>
    <t>THOMARAT Severine</t>
  </si>
  <si>
    <t>GALMICHE Kim</t>
  </si>
  <si>
    <t>LUCAS-MAQUIN Emmanuelle</t>
  </si>
  <si>
    <t>MARADEIX Christine</t>
  </si>
  <si>
    <t>DEBOMY Christine</t>
  </si>
  <si>
    <t>NURDIN Nadine</t>
  </si>
  <si>
    <t>MESLIN Sophie</t>
  </si>
  <si>
    <t>COME Corinne</t>
  </si>
  <si>
    <t>PAGES Florence</t>
  </si>
  <si>
    <t>BRUNET Valérie</t>
  </si>
  <si>
    <t>CHEVASSUS-ROSSET Claire</t>
  </si>
  <si>
    <t>DEVREESE Marie-agnes</t>
  </si>
  <si>
    <t>KOVACS Carole</t>
  </si>
  <si>
    <t>PAVE Sophie</t>
  </si>
  <si>
    <t>LEMAUR Annick</t>
  </si>
  <si>
    <t>O.ANTIBES JUAN LES PINS (13060008)</t>
  </si>
  <si>
    <t>CHELLES TENNIS DE TABLE (08770237)</t>
  </si>
  <si>
    <t>A.T.T. AULNAT (01630249)</t>
  </si>
  <si>
    <t>NAMIK Sabine</t>
  </si>
  <si>
    <t>DUBOSC Patricia</t>
  </si>
  <si>
    <t>UP CREUSOT VARENNES (02710067)</t>
  </si>
  <si>
    <t>ANDRE Michèle</t>
  </si>
  <si>
    <t>BOCCIOLESI Patricia</t>
  </si>
  <si>
    <t>CHARDONNET Aline</t>
  </si>
  <si>
    <t>GOSSART Anne</t>
  </si>
  <si>
    <t>0610352</t>
  </si>
  <si>
    <t>Royan Océan Saint Sulpice TT (10170016)</t>
  </si>
  <si>
    <t>ES JONAGE Tennis de table (01690013)</t>
  </si>
  <si>
    <t>TT OLORON HB (10640011)</t>
  </si>
  <si>
    <t>BOUSSION Jacquine</t>
  </si>
  <si>
    <t>NOGENT TT (08940524)</t>
  </si>
  <si>
    <t>DE BENQUE D AGUT Elisabeth</t>
  </si>
  <si>
    <t>BREVANNAISE AS (08940866)</t>
  </si>
  <si>
    <t>MARENGUE Eric</t>
  </si>
  <si>
    <t>COLMAR MJC (06680004)</t>
  </si>
  <si>
    <t>ZANASI Gilles</t>
  </si>
  <si>
    <t>A.T.T. CHABRIS (04360341)</t>
  </si>
  <si>
    <t>KALETA Marc</t>
  </si>
  <si>
    <t>AUBAGNE TT (13130067)</t>
  </si>
  <si>
    <t>HOUDART Eric</t>
  </si>
  <si>
    <t>SABLE TENNIS DE TABLE (12720120)</t>
  </si>
  <si>
    <t>INCHY-BEAUMONT UP (07590204)</t>
  </si>
  <si>
    <t>SCHWARZ Franck</t>
  </si>
  <si>
    <t>COMBS SENART TT (08770426)</t>
  </si>
  <si>
    <t>OHANNESSIAN Serge</t>
  </si>
  <si>
    <t>ROMERO Rémi</t>
  </si>
  <si>
    <t>TT BIGANOS (10330082)</t>
  </si>
  <si>
    <t>JOLLY Philippe</t>
  </si>
  <si>
    <t>SAINT ORENS TT (11310064)</t>
  </si>
  <si>
    <t>SANCHEZ Albert</t>
  </si>
  <si>
    <t>LEPLOMB Christophe</t>
  </si>
  <si>
    <t>MAROLLEAU Olivier</t>
  </si>
  <si>
    <t>THIAIS AS TT (08940459)</t>
  </si>
  <si>
    <t>LAMARRE Jean louis</t>
  </si>
  <si>
    <t>SENE TENNIS DE TABLE (03560036)</t>
  </si>
  <si>
    <t>LAMRI Thierry</t>
  </si>
  <si>
    <t>HOUDOUIN Didier</t>
  </si>
  <si>
    <t>HERCENT Eric</t>
  </si>
  <si>
    <t>PIETU Stephane</t>
  </si>
  <si>
    <t>GUILLOU Erwan</t>
  </si>
  <si>
    <t>REMLE Didier</t>
  </si>
  <si>
    <t>BEGUE Thierry</t>
  </si>
  <si>
    <t>ARPAJON ESR (08910303)</t>
  </si>
  <si>
    <t>GUIGONIS Eric</t>
  </si>
  <si>
    <t>COMBE Laurent</t>
  </si>
  <si>
    <t>BAILLOUX Marc</t>
  </si>
  <si>
    <t>NEUVES MAISONS TT (06540032)</t>
  </si>
  <si>
    <t>FORBAULT Denis</t>
  </si>
  <si>
    <t>LIMOGES ALOUETTE TT (87) (10870003)</t>
  </si>
  <si>
    <t>STELLA THONON (01740020)</t>
  </si>
  <si>
    <t>GROGNET Dominique</t>
  </si>
  <si>
    <t>SELLIER Pierrick</t>
  </si>
  <si>
    <t>SPO ROUEN Tennis de Table (09760004)</t>
  </si>
  <si>
    <t>STOICA Cornel</t>
  </si>
  <si>
    <t>ANNEQUIN TT (07620057)</t>
  </si>
  <si>
    <t>DUFOSSE Christian</t>
  </si>
  <si>
    <t>PICARD Pierre</t>
  </si>
  <si>
    <t>ST MACAIRE EN MAUGES ASPM (12490061)</t>
  </si>
  <si>
    <t>VARACHE Alain</t>
  </si>
  <si>
    <t>PACO Frederic</t>
  </si>
  <si>
    <t>ST MARCEAU ORLEANS TT (04450026)</t>
  </si>
  <si>
    <t>CAVAILLON TT (13840005)</t>
  </si>
  <si>
    <t>ROUSCHMEYER Stéphane</t>
  </si>
  <si>
    <t>AUTRET Bruno</t>
  </si>
  <si>
    <t>ERNÉENNE Sport Tennis de Table (12530017)</t>
  </si>
  <si>
    <t>DUVAL Guillaume</t>
  </si>
  <si>
    <t>PANTIN CMS (08930368)</t>
  </si>
  <si>
    <t>MILLAS TENNIS DE TABLE (11660032)</t>
  </si>
  <si>
    <t>PINS-JUSTARET VILLATE TT (11310075)</t>
  </si>
  <si>
    <t>CAMPET Pascal</t>
  </si>
  <si>
    <t>CJM BOURGES TT (04180613)</t>
  </si>
  <si>
    <t>LIENARD Eric</t>
  </si>
  <si>
    <t>SAG CESTAS (10330002)</t>
  </si>
  <si>
    <t>LETHOREL Serge</t>
  </si>
  <si>
    <t>GUISNEL Christian</t>
  </si>
  <si>
    <t>T.T. DU GRESIVAUDAN (01380199)</t>
  </si>
  <si>
    <t>THERON Philippe</t>
  </si>
  <si>
    <t>HONDERLIK Laurent</t>
  </si>
  <si>
    <t>CESSON VERT ST DENIS TT (08771426)</t>
  </si>
  <si>
    <t>CARQUIN Jean michel</t>
  </si>
  <si>
    <t>T.T. SIX FOURS (13830051)</t>
  </si>
  <si>
    <t>MANGIN Thierry</t>
  </si>
  <si>
    <t>TREBES TT (11110013)</t>
  </si>
  <si>
    <t>CORBARIEU Laurent</t>
  </si>
  <si>
    <t>ZANA Eric</t>
  </si>
  <si>
    <t>CALVANESE Pascal</t>
  </si>
  <si>
    <t>LARGILLIERE Dominique</t>
  </si>
  <si>
    <t>CHARCOT STE FOY LES LYON (01690090)</t>
  </si>
  <si>
    <t>US C BOIS GUILLAUME (09760331)</t>
  </si>
  <si>
    <t>LE CORVEC Christophe</t>
  </si>
  <si>
    <t>REBY Pascal</t>
  </si>
  <si>
    <t>LEVOYER Lionel</t>
  </si>
  <si>
    <t>ALC LONGVIC (02210081)</t>
  </si>
  <si>
    <t>SANSANO Bruno</t>
  </si>
  <si>
    <t>BAERENZUNG Michel</t>
  </si>
  <si>
    <t>ARNOUT Frederic</t>
  </si>
  <si>
    <t>BOISSIERE Stéphane</t>
  </si>
  <si>
    <t>LAMIGE Alain</t>
  </si>
  <si>
    <t>LORTHIOIR Laurent</t>
  </si>
  <si>
    <t>MANCEAU Bruno</t>
  </si>
  <si>
    <t>MIJOVIC Momcilo</t>
  </si>
  <si>
    <t>MITTERRAND Pascal</t>
  </si>
  <si>
    <t>RAMON Christian</t>
  </si>
  <si>
    <t>ROFFI Jean michel</t>
  </si>
  <si>
    <t>WAZE Jean-michel</t>
  </si>
  <si>
    <t>BALIVET Stephane</t>
  </si>
  <si>
    <t>GUICHENE Laurent</t>
  </si>
  <si>
    <t>HILAL Maamoun</t>
  </si>
  <si>
    <t>SILVA Alipio josé</t>
  </si>
  <si>
    <t>02589</t>
  </si>
  <si>
    <t>JONNET Felix</t>
  </si>
  <si>
    <t>VERSANG Jacques</t>
  </si>
  <si>
    <t>CAPARD Philippe</t>
  </si>
  <si>
    <t>FLAGEUL Alain</t>
  </si>
  <si>
    <t>DESSOMME Michel</t>
  </si>
  <si>
    <t>JALLEY Jean</t>
  </si>
  <si>
    <t>JARSALE Daniel</t>
  </si>
  <si>
    <t>MACE Jacques</t>
  </si>
  <si>
    <t>HAITAYAN Salomon</t>
  </si>
  <si>
    <t>PHUNG Van phuc</t>
  </si>
  <si>
    <t>AMIAUD Andre</t>
  </si>
  <si>
    <t>BARON Yves</t>
  </si>
  <si>
    <t>COGET Bernard</t>
  </si>
  <si>
    <t>CAROFF Alfred</t>
  </si>
  <si>
    <t>DEHEUNYNCK Andre</t>
  </si>
  <si>
    <t>GARANDEL Denis</t>
  </si>
  <si>
    <t>LE CORRE Marc</t>
  </si>
  <si>
    <t>SCHLIENGER Guy</t>
  </si>
  <si>
    <t>BRAULT Paul</t>
  </si>
  <si>
    <t>FAVIER Philippe</t>
  </si>
  <si>
    <t>BUSSON Guy</t>
  </si>
  <si>
    <t>SIMONNEAUX Claude</t>
  </si>
  <si>
    <t>VERGER René</t>
  </si>
  <si>
    <t>BONTOUT Roger</t>
  </si>
  <si>
    <t>DESSAINT Jacques</t>
  </si>
  <si>
    <t>JOYAU Christian</t>
  </si>
  <si>
    <t>DUFETELLE Patrice</t>
  </si>
  <si>
    <t>RIVIERE Daniel</t>
  </si>
  <si>
    <t>GUETIERE Alain</t>
  </si>
  <si>
    <t>CHOBY Jean bernard</t>
  </si>
  <si>
    <t>ESTRABOLS Alain</t>
  </si>
  <si>
    <t>DORVAL Michel</t>
  </si>
  <si>
    <t>HERVIN René</t>
  </si>
  <si>
    <t>MOUGEOT Roger</t>
  </si>
  <si>
    <t>RICHARD Robert</t>
  </si>
  <si>
    <t>SNIEG Alex</t>
  </si>
  <si>
    <t>MAAS Andre</t>
  </si>
  <si>
    <t>MEZANI Ramdane</t>
  </si>
  <si>
    <t>ANTOINE Francis</t>
  </si>
  <si>
    <t>GOFF Jean yves</t>
  </si>
  <si>
    <t>YAHIEL Henri</t>
  </si>
  <si>
    <t>MARTIN Roger</t>
  </si>
  <si>
    <t>MICHELET Bernard</t>
  </si>
  <si>
    <t>RANGUIS Lucien</t>
  </si>
  <si>
    <t>JOUAN Robert</t>
  </si>
  <si>
    <t>MORIAUD Denis</t>
  </si>
  <si>
    <t>DECRET Claude</t>
  </si>
  <si>
    <t>JACOB Hubert</t>
  </si>
  <si>
    <t>REBOUL Rene</t>
  </si>
  <si>
    <t>KULA Edouard</t>
  </si>
  <si>
    <t>SICHE Jean</t>
  </si>
  <si>
    <t>GUILLEMIN Alain</t>
  </si>
  <si>
    <t>LEFEVRE Bernard</t>
  </si>
  <si>
    <t>THOMAS Lucien</t>
  </si>
  <si>
    <t>HERCENT André</t>
  </si>
  <si>
    <t>DELORY Gilbert</t>
  </si>
  <si>
    <t>JOVER Francois</t>
  </si>
  <si>
    <t>BIZEUL Guy</t>
  </si>
  <si>
    <t>DESCHAMP Paul</t>
  </si>
  <si>
    <t>PLAISANT Sylvie</t>
  </si>
  <si>
    <t>CATROUILLET Cynthia</t>
  </si>
  <si>
    <t>CHERCHOUR Sylvie</t>
  </si>
  <si>
    <t>GAPAILLARD Sophie</t>
  </si>
  <si>
    <t>CABOT Delphine</t>
  </si>
  <si>
    <t>MOREAU Géraldine</t>
  </si>
  <si>
    <t>LIOPE Magali</t>
  </si>
  <si>
    <t>POURSINE-LOBRY Isabelle</t>
  </si>
  <si>
    <t>PORTHEAULT Marie-pierre</t>
  </si>
  <si>
    <t>BONHOMME Corinne</t>
  </si>
  <si>
    <t>KERLEROUX Béatrice</t>
  </si>
  <si>
    <t>HOSY Angeline</t>
  </si>
  <si>
    <t>LEFORT Emmanuelle</t>
  </si>
  <si>
    <t>POUPIN Virginie</t>
  </si>
  <si>
    <t>JUBAULT Nelly</t>
  </si>
  <si>
    <t>ORIA-VATIER Virginie</t>
  </si>
  <si>
    <t>LEONARD Marielle</t>
  </si>
  <si>
    <t>BOZEC Gwenn</t>
  </si>
  <si>
    <t>BLANQUART Valerie</t>
  </si>
  <si>
    <t>DUPUIS Nathalie</t>
  </si>
  <si>
    <t>JACQUEMARD Isabelle</t>
  </si>
  <si>
    <t>GUILLOU Annabelle</t>
  </si>
  <si>
    <t>DOURIN Cecile</t>
  </si>
  <si>
    <t>HELIX Claude</t>
  </si>
  <si>
    <t>SENECHAL Cécile</t>
  </si>
  <si>
    <t>BADOUX Nadine</t>
  </si>
  <si>
    <t>DESPREZ Nathalie</t>
  </si>
  <si>
    <t>DUBOURDEAUX Corinne</t>
  </si>
  <si>
    <t>DURAND Delphine</t>
  </si>
  <si>
    <t>DAVID Irène</t>
  </si>
  <si>
    <t>PERISSE Cecile</t>
  </si>
  <si>
    <t>DEMAZEUX Sandrine</t>
  </si>
  <si>
    <t>WALBECQ Stéphanie</t>
  </si>
  <si>
    <t>GIROUD Christel</t>
  </si>
  <si>
    <t>BOUVET Florence</t>
  </si>
  <si>
    <t>BOUQUART Anne-laure</t>
  </si>
  <si>
    <t>MENICHETTI Véronique</t>
  </si>
  <si>
    <t>SUBILEAU Delphine</t>
  </si>
  <si>
    <t>HERBRETEAU Audrey</t>
  </si>
  <si>
    <t>VAN LIERDE Melanie</t>
  </si>
  <si>
    <t>NEMMOUR Anne</t>
  </si>
  <si>
    <t>MAHE Sandrine</t>
  </si>
  <si>
    <t>NAVARRO Fabienne</t>
  </si>
  <si>
    <t>CAZENEUVE Céline</t>
  </si>
  <si>
    <t>BOURGINE Celine</t>
  </si>
  <si>
    <t>LEREBOURS Stéphanie</t>
  </si>
  <si>
    <t>FAUVEL Sandrine</t>
  </si>
  <si>
    <t>CAVICCHI Corinne</t>
  </si>
  <si>
    <t>CARITEY Corine</t>
  </si>
  <si>
    <t>BROCHARD Céline</t>
  </si>
  <si>
    <t>JORAND Solenn</t>
  </si>
  <si>
    <t>MB - Edition du 12 avril 2019</t>
  </si>
  <si>
    <t>WO</t>
  </si>
  <si>
    <t>MB - Edition du 16 avril 2019</t>
  </si>
  <si>
    <t>Scratché</t>
  </si>
  <si>
    <t>Blessé</t>
  </si>
  <si>
    <t>Contrairement au Règlement fédéral, ce tableau se jouera en poule unique de 4 joueuses.</t>
  </si>
  <si>
    <t>MB - Edition du 18 avril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</si>
</sst>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\ _€_-;\-* #,##0.00\ _€_-;_-* &quot;-&quot;??\ _€_-;_-@_-"/>
  </numFmts>
  <fonts count="10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b/>
      <u/>
      <sz val="16"/>
      <name val="Arial"/>
      <family val="2"/>
    </font>
    <font>
      <sz val="8"/>
      <name val="Verdana"/>
      <family val="2"/>
    </font>
    <font>
      <sz val="6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</cellStyleXfs>
  <cellXfs count="55">
    <xf numFmtId="0" fontId="0" fillId="0" borderId="0" xfId="0"/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right"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8" fillId="3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9" fillId="0" borderId="0" xfId="0" applyFont="1" applyFill="1" applyAlignment="1">
      <alignment horizontal="center" vertical="center"/>
    </xf>
    <xf numFmtId="43" fontId="5" fillId="2" borderId="1" xfId="1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0" fillId="4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/>
    <xf numFmtId="0" fontId="8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43" fontId="5" fillId="0" borderId="1" xfId="1" applyFont="1" applyFill="1" applyBorder="1" applyAlignment="1">
      <alignment vertical="center"/>
    </xf>
    <xf numFmtId="0" fontId="0" fillId="0" borderId="0" xfId="0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11" fontId="0" fillId="0" borderId="0" xfId="0" applyNumberFormat="1"/>
    <xf numFmtId="0" fontId="5" fillId="2" borderId="2" xfId="0" applyFont="1" applyFill="1" applyBorder="1" applyAlignment="1">
      <alignment horizontal="center" vertical="center" wrapText="1"/>
    </xf>
    <xf numFmtId="43" fontId="3" fillId="2" borderId="3" xfId="0" applyNumberFormat="1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14" fontId="5" fillId="2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 wrapText="1"/>
    </xf>
    <xf numFmtId="43" fontId="8" fillId="6" borderId="1" xfId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3" fontId="3" fillId="0" borderId="3" xfId="0" applyNumberFormat="1" applyFont="1" applyFill="1" applyBorder="1" applyAlignment="1">
      <alignment vertical="center" wrapText="1"/>
    </xf>
    <xf numFmtId="49" fontId="5" fillId="2" borderId="1" xfId="0" applyNumberFormat="1" applyFont="1" applyFill="1" applyBorder="1" applyAlignment="1">
      <alignment horizontal="right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43" fontId="8" fillId="7" borderId="1" xfId="1" applyFont="1" applyFill="1" applyBorder="1" applyAlignment="1">
      <alignment horizontal="center" vertical="center" wrapText="1"/>
    </xf>
    <xf numFmtId="43" fontId="3" fillId="2" borderId="1" xfId="0" applyNumberFormat="1" applyFont="1" applyFill="1" applyBorder="1" applyAlignment="1">
      <alignment vertical="center" wrapText="1"/>
    </xf>
    <xf numFmtId="0" fontId="5" fillId="4" borderId="1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horizontal="center" vertical="center" wrapText="1"/>
    </xf>
    <xf numFmtId="14" fontId="5" fillId="4" borderId="1" xfId="0" applyNumberFormat="1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/>
    </xf>
    <xf numFmtId="0" fontId="5" fillId="6" borderId="4" xfId="0" applyFont="1" applyFill="1" applyBorder="1" applyAlignment="1">
      <alignment horizontal="center" vertical="center" wrapText="1"/>
    </xf>
    <xf numFmtId="43" fontId="5" fillId="6" borderId="4" xfId="1" applyFont="1" applyFill="1" applyBorder="1" applyAlignment="1">
      <alignment horizontal="center" vertical="center" wrapText="1"/>
    </xf>
    <xf numFmtId="43" fontId="5" fillId="6" borderId="1" xfId="1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right" vertic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</cellXfs>
  <cellStyles count="4">
    <cellStyle name="Milliers" xfId="1" builtinId="3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colors>
    <mruColors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M74"/>
  <sheetViews>
    <sheetView showGridLines="0" zoomScale="130" zoomScaleNormal="130" workbookViewId="0">
      <selection activeCell="F8" sqref="F8"/>
    </sheetView>
  </sheetViews>
  <sheetFormatPr baseColWidth="10" defaultColWidth="11.44140625" defaultRowHeight="10.199999999999999" x14ac:dyDescent="0.25"/>
  <cols>
    <col min="1" max="1" width="3.6640625" style="5" customWidth="1"/>
    <col min="2" max="2" width="7.88671875" style="6" customWidth="1"/>
    <col min="3" max="3" width="28.44140625" style="5" customWidth="1"/>
    <col min="4" max="4" width="8.6640625" style="6" customWidth="1"/>
    <col min="5" max="5" width="10.6640625" style="6" customWidth="1"/>
    <col min="6" max="6" width="45.44140625" style="5" customWidth="1"/>
    <col min="7" max="7" width="8.77734375" style="5" customWidth="1"/>
    <col min="8" max="9" width="4" style="5" customWidth="1"/>
    <col min="10" max="10" width="8" style="11" customWidth="1"/>
    <col min="11" max="11" width="21" style="8" customWidth="1"/>
    <col min="12" max="12" width="11.44140625" style="8" customWidth="1"/>
    <col min="13" max="13" width="29.5546875" style="8" customWidth="1"/>
    <col min="14" max="16384" width="11.44140625" style="5"/>
  </cols>
  <sheetData>
    <row r="1" spans="1:13" x14ac:dyDescent="0.25">
      <c r="A1" s="1" t="s">
        <v>26504</v>
      </c>
      <c r="B1" s="3"/>
      <c r="C1" s="2"/>
      <c r="E1" s="3"/>
      <c r="F1" s="4" t="s">
        <v>26508</v>
      </c>
      <c r="G1" s="4"/>
    </row>
    <row r="2" spans="1:13" x14ac:dyDescent="0.25">
      <c r="A2" s="1" t="s">
        <v>23</v>
      </c>
      <c r="B2" s="3"/>
      <c r="C2" s="2"/>
      <c r="E2" s="3"/>
      <c r="F2" s="3"/>
      <c r="G2" s="3"/>
    </row>
    <row r="3" spans="1:13" x14ac:dyDescent="0.25">
      <c r="A3" s="1" t="s">
        <v>26349</v>
      </c>
      <c r="B3" s="3"/>
      <c r="C3" s="2"/>
      <c r="E3" s="3"/>
      <c r="F3" s="4"/>
      <c r="G3" s="4"/>
    </row>
    <row r="4" spans="1:13" x14ac:dyDescent="0.25">
      <c r="A4" s="1" t="s">
        <v>0</v>
      </c>
      <c r="B4" s="3"/>
      <c r="C4" s="2"/>
      <c r="E4" s="3"/>
      <c r="F4" s="3"/>
      <c r="G4" s="3"/>
    </row>
    <row r="5" spans="1:13" x14ac:dyDescent="0.25">
      <c r="A5" s="1"/>
      <c r="B5" s="3"/>
      <c r="C5" s="2"/>
      <c r="E5" s="3"/>
      <c r="F5" s="3"/>
      <c r="G5" s="3"/>
    </row>
    <row r="6" spans="1:13" ht="21" x14ac:dyDescent="0.25">
      <c r="A6" s="50" t="s">
        <v>26503</v>
      </c>
      <c r="B6" s="50"/>
      <c r="C6" s="50"/>
      <c r="D6" s="50"/>
      <c r="E6" s="50"/>
      <c r="F6" s="50"/>
      <c r="G6" s="22"/>
    </row>
    <row r="7" spans="1:13" ht="28.5" customHeight="1" x14ac:dyDescent="0.25">
      <c r="A7" s="51" t="s">
        <v>11</v>
      </c>
      <c r="B7" s="51"/>
      <c r="C7" s="51"/>
      <c r="D7" s="51"/>
      <c r="E7" s="51"/>
      <c r="F7" s="51"/>
      <c r="G7" s="23"/>
      <c r="I7" s="52" t="s">
        <v>8</v>
      </c>
      <c r="J7" s="53"/>
      <c r="K7" s="53"/>
      <c r="L7" s="53"/>
      <c r="M7" s="53"/>
    </row>
    <row r="8" spans="1:13" x14ac:dyDescent="0.25">
      <c r="A8" s="1"/>
      <c r="B8" s="3"/>
      <c r="C8" s="2"/>
      <c r="E8" s="3"/>
      <c r="F8" s="49" t="s">
        <v>30643</v>
      </c>
      <c r="G8" s="3"/>
    </row>
    <row r="10" spans="1:13" s="7" customFormat="1" ht="30.6" x14ac:dyDescent="0.25">
      <c r="A10" s="30" t="s">
        <v>2</v>
      </c>
      <c r="B10" s="30" t="s">
        <v>1</v>
      </c>
      <c r="C10" s="30" t="s">
        <v>4</v>
      </c>
      <c r="D10" s="31" t="s">
        <v>26509</v>
      </c>
      <c r="E10" s="32" t="s">
        <v>10</v>
      </c>
      <c r="F10" s="30" t="s">
        <v>5</v>
      </c>
      <c r="G10" s="32" t="s">
        <v>26510</v>
      </c>
      <c r="I10" s="17" t="s">
        <v>7</v>
      </c>
      <c r="J10" s="17" t="s">
        <v>1</v>
      </c>
      <c r="K10" s="17" t="s">
        <v>4</v>
      </c>
      <c r="L10" s="17" t="s">
        <v>3</v>
      </c>
      <c r="M10" s="17" t="s">
        <v>6</v>
      </c>
    </row>
    <row r="11" spans="1:13" s="7" customFormat="1" ht="11.25" customHeight="1" x14ac:dyDescent="0.25">
      <c r="A11" s="25">
        <v>1</v>
      </c>
      <c r="B11" s="27">
        <v>8010397</v>
      </c>
      <c r="C11" s="27" t="s">
        <v>30193</v>
      </c>
      <c r="D11" s="28">
        <v>2408</v>
      </c>
      <c r="E11" s="29">
        <v>28809</v>
      </c>
      <c r="F11" s="27" t="s">
        <v>30166</v>
      </c>
      <c r="G11" s="26">
        <f t="shared" ref="G11:G42" si="0">L11</f>
        <v>2414.17</v>
      </c>
      <c r="I11" s="10" t="str">
        <f t="shared" ref="I11:I42" si="1">IF(C11=K11,"","ERR")</f>
        <v>ERR</v>
      </c>
      <c r="J11" s="13" t="str">
        <f t="shared" ref="J11:J42" si="2">LEFT(B11,LEN(B11))</f>
        <v>8010397</v>
      </c>
      <c r="K11" s="12" t="str">
        <f>VLOOKUP($J11,Base!$A$2:$G$50000,2,FALSE)</f>
        <v xml:space="preserve"> NOURTIER </v>
      </c>
      <c r="L11" s="12">
        <f>VLOOKUP($J11,Base!$A$2:$H$50000,8,FALSE)</f>
        <v>2414.17</v>
      </c>
      <c r="M11" s="12" t="str">
        <f>VLOOKUP($J11,Base!$A$2:$G$50000,7,FALSE)</f>
        <v xml:space="preserve"> BULLY LP </v>
      </c>
    </row>
    <row r="12" spans="1:13" s="7" customFormat="1" ht="11.25" customHeight="1" x14ac:dyDescent="0.25">
      <c r="A12" s="25">
        <v>2</v>
      </c>
      <c r="B12" s="27">
        <v>938693</v>
      </c>
      <c r="C12" s="27" t="s">
        <v>30139</v>
      </c>
      <c r="D12" s="28">
        <v>2338</v>
      </c>
      <c r="E12" s="29">
        <v>26393</v>
      </c>
      <c r="F12" s="27" t="s">
        <v>30140</v>
      </c>
      <c r="G12" s="26">
        <f t="shared" si="0"/>
        <v>2356.67</v>
      </c>
      <c r="I12" s="10" t="str">
        <f t="shared" si="1"/>
        <v>ERR</v>
      </c>
      <c r="J12" s="13" t="str">
        <f t="shared" si="2"/>
        <v>938693</v>
      </c>
      <c r="K12" s="12" t="str">
        <f>VLOOKUP($J12,Base!$A$2:$G$50000,2,FALSE)</f>
        <v xml:space="preserve"> GORIAUD </v>
      </c>
      <c r="L12" s="12">
        <f>VLOOKUP($J12,Base!$A$2:$H$50000,8,FALSE)</f>
        <v>2356.67</v>
      </c>
      <c r="M12" s="12" t="str">
        <f>VLOOKUP($J12,Base!$A$2:$G$50000,7,FALSE)</f>
        <v xml:space="preserve"> CP AUSCITAIN </v>
      </c>
    </row>
    <row r="13" spans="1:13" s="7" customFormat="1" ht="11.25" customHeight="1" x14ac:dyDescent="0.25">
      <c r="A13" s="25">
        <v>3</v>
      </c>
      <c r="B13" s="27">
        <v>8516491</v>
      </c>
      <c r="C13" s="27" t="s">
        <v>30144</v>
      </c>
      <c r="D13" s="28">
        <v>2267</v>
      </c>
      <c r="E13" s="29">
        <v>26923</v>
      </c>
      <c r="F13" s="27" t="s">
        <v>26354</v>
      </c>
      <c r="G13" s="26">
        <f t="shared" si="0"/>
        <v>2249.92</v>
      </c>
      <c r="I13" s="10" t="str">
        <f t="shared" si="1"/>
        <v>ERR</v>
      </c>
      <c r="J13" s="13" t="str">
        <f t="shared" si="2"/>
        <v>8516491</v>
      </c>
      <c r="K13" s="12" t="str">
        <f>VLOOKUP($J13,Base!$A$2:$G$50000,2,FALSE)</f>
        <v xml:space="preserve"> BROCHARD </v>
      </c>
      <c r="L13" s="12">
        <f>VLOOKUP($J13,Base!$A$2:$H$50000,8,FALSE)</f>
        <v>2249.92</v>
      </c>
      <c r="M13" s="12" t="str">
        <f>VLOOKUP($J13,Base!$A$2:$G$50000,7,FALSE)</f>
        <v xml:space="preserve"> FERRIERE VENDEE TENNIS DE </v>
      </c>
    </row>
    <row r="14" spans="1:13" s="7" customFormat="1" ht="11.25" customHeight="1" x14ac:dyDescent="0.25">
      <c r="A14" s="25">
        <v>4</v>
      </c>
      <c r="B14" s="27">
        <v>942654</v>
      </c>
      <c r="C14" s="27" t="s">
        <v>30136</v>
      </c>
      <c r="D14" s="28">
        <v>2238</v>
      </c>
      <c r="E14" s="29">
        <v>28016</v>
      </c>
      <c r="F14" s="27" t="s">
        <v>26373</v>
      </c>
      <c r="G14" s="26">
        <f t="shared" si="0"/>
        <v>2248.17</v>
      </c>
      <c r="I14" s="10" t="str">
        <f t="shared" si="1"/>
        <v>ERR</v>
      </c>
      <c r="J14" s="13" t="str">
        <f t="shared" si="2"/>
        <v>942654</v>
      </c>
      <c r="K14" s="12" t="str">
        <f>VLOOKUP($J14,Base!$A$2:$G$50000,2,FALSE)</f>
        <v xml:space="preserve"> QUAIN </v>
      </c>
      <c r="L14" s="12">
        <f>VLOOKUP($J14,Base!$A$2:$H$50000,8,FALSE)</f>
        <v>2248.17</v>
      </c>
      <c r="M14" s="12" t="str">
        <f>VLOOKUP($J14,Base!$A$2:$G$50000,7,FALSE)</f>
        <v xml:space="preserve"> VALENCIENNES USTT </v>
      </c>
    </row>
    <row r="15" spans="1:13" s="7" customFormat="1" ht="11.25" customHeight="1" x14ac:dyDescent="0.25">
      <c r="A15" s="25">
        <v>5</v>
      </c>
      <c r="B15" s="27">
        <v>626646</v>
      </c>
      <c r="C15" s="27" t="s">
        <v>30141</v>
      </c>
      <c r="D15" s="28">
        <v>2229</v>
      </c>
      <c r="E15" s="29">
        <v>25666</v>
      </c>
      <c r="F15" s="27" t="s">
        <v>26373</v>
      </c>
      <c r="G15" s="26">
        <f t="shared" si="0"/>
        <v>2239.67</v>
      </c>
      <c r="I15" s="10" t="str">
        <f t="shared" si="1"/>
        <v>ERR</v>
      </c>
      <c r="J15" s="13" t="str">
        <f t="shared" si="2"/>
        <v>626646</v>
      </c>
      <c r="K15" s="12" t="str">
        <f>VLOOKUP($J15,Base!$A$2:$G$50000,2,FALSE)</f>
        <v xml:space="preserve"> GOEDAER </v>
      </c>
      <c r="L15" s="12">
        <f>VLOOKUP($J15,Base!$A$2:$H$50000,8,FALSE)</f>
        <v>2239.67</v>
      </c>
      <c r="M15" s="12" t="str">
        <f>VLOOKUP($J15,Base!$A$2:$G$50000,7,FALSE)</f>
        <v xml:space="preserve"> VALENCIENNES USTT </v>
      </c>
    </row>
    <row r="16" spans="1:13" s="7" customFormat="1" ht="11.25" customHeight="1" x14ac:dyDescent="0.25">
      <c r="A16" s="25">
        <v>6</v>
      </c>
      <c r="B16" s="27">
        <v>596034</v>
      </c>
      <c r="C16" s="27" t="s">
        <v>30134</v>
      </c>
      <c r="D16" s="28">
        <v>2177</v>
      </c>
      <c r="E16" s="29">
        <v>28132</v>
      </c>
      <c r="F16" s="27" t="s">
        <v>26356</v>
      </c>
      <c r="G16" s="26">
        <f t="shared" si="0"/>
        <v>2170.17</v>
      </c>
      <c r="I16" s="10" t="str">
        <f t="shared" si="1"/>
        <v>ERR</v>
      </c>
      <c r="J16" s="13" t="str">
        <f t="shared" si="2"/>
        <v>596034</v>
      </c>
      <c r="K16" s="12" t="str">
        <f>VLOOKUP($J16,Base!$A$2:$G$50000,2,FALSE)</f>
        <v xml:space="preserve"> MARTINEZ </v>
      </c>
      <c r="L16" s="12">
        <f>VLOOKUP($J16,Base!$A$2:$H$50000,8,FALSE)</f>
        <v>2170.17</v>
      </c>
      <c r="M16" s="12" t="str">
        <f>VLOOKUP($J16,Base!$A$2:$G$50000,7,FALSE)</f>
        <v xml:space="preserve"> BRUILLE CTT </v>
      </c>
    </row>
    <row r="17" spans="1:13" s="7" customFormat="1" ht="11.25" customHeight="1" x14ac:dyDescent="0.25">
      <c r="A17" s="25">
        <v>7</v>
      </c>
      <c r="B17" s="27">
        <v>513389</v>
      </c>
      <c r="C17" s="27" t="s">
        <v>30138</v>
      </c>
      <c r="D17" s="28">
        <v>2090</v>
      </c>
      <c r="E17" s="29">
        <v>28572</v>
      </c>
      <c r="F17" s="27" t="s">
        <v>30148</v>
      </c>
      <c r="G17" s="26">
        <f t="shared" si="0"/>
        <v>2165.9299999999998</v>
      </c>
      <c r="I17" s="10" t="str">
        <f t="shared" si="1"/>
        <v>ERR</v>
      </c>
      <c r="J17" s="13" t="str">
        <f t="shared" si="2"/>
        <v>513389</v>
      </c>
      <c r="K17" s="12" t="str">
        <f>VLOOKUP($J17,Base!$A$2:$G$50000,2,FALSE)</f>
        <v xml:space="preserve"> HEROLD </v>
      </c>
      <c r="L17" s="12">
        <f>VLOOKUP($J17,Base!$A$2:$H$50000,8,FALSE)</f>
        <v>2165.9299999999998</v>
      </c>
      <c r="M17" s="12" t="str">
        <f>VLOOKUP($J17,Base!$A$2:$G$50000,7,FALSE)</f>
        <v xml:space="preserve"> RONCQ ULJAP </v>
      </c>
    </row>
    <row r="18" spans="1:13" s="7" customFormat="1" ht="11.25" customHeight="1" x14ac:dyDescent="0.25">
      <c r="A18" s="25">
        <v>8</v>
      </c>
      <c r="B18" s="27">
        <v>7622056</v>
      </c>
      <c r="C18" s="27" t="s">
        <v>30125</v>
      </c>
      <c r="D18" s="28">
        <v>2172</v>
      </c>
      <c r="E18" s="29">
        <v>27401</v>
      </c>
      <c r="F18" s="27" t="s">
        <v>26351</v>
      </c>
      <c r="G18" s="26">
        <f t="shared" si="0"/>
        <v>2164.8000000000002</v>
      </c>
      <c r="I18" s="10" t="str">
        <f t="shared" si="1"/>
        <v>ERR</v>
      </c>
      <c r="J18" s="13" t="str">
        <f t="shared" si="2"/>
        <v>7622056</v>
      </c>
      <c r="K18" s="12" t="str">
        <f>VLOOKUP($J18,Base!$A$2:$G$50000,2,FALSE)</f>
        <v xml:space="preserve"> CERNEA </v>
      </c>
      <c r="L18" s="12">
        <f>VLOOKUP($J18,Base!$A$2:$H$50000,8,FALSE)</f>
        <v>2164.8000000000002</v>
      </c>
      <c r="M18" s="12" t="str">
        <f>VLOOKUP($J18,Base!$A$2:$G$50000,7,FALSE)</f>
        <v xml:space="preserve"> ENTENTE SAINT PIERRAISE T </v>
      </c>
    </row>
    <row r="19" spans="1:13" s="7" customFormat="1" ht="11.25" customHeight="1" x14ac:dyDescent="0.25">
      <c r="A19" s="25">
        <v>9</v>
      </c>
      <c r="B19" s="27">
        <v>451415</v>
      </c>
      <c r="C19" s="27" t="s">
        <v>30173</v>
      </c>
      <c r="D19" s="28">
        <v>2156</v>
      </c>
      <c r="E19" s="29">
        <v>27229</v>
      </c>
      <c r="F19" s="27" t="s">
        <v>26370</v>
      </c>
      <c r="G19" s="26">
        <f t="shared" si="0"/>
        <v>2155.67</v>
      </c>
      <c r="I19" s="10" t="str">
        <f t="shared" si="1"/>
        <v>ERR</v>
      </c>
      <c r="J19" s="13" t="str">
        <f t="shared" si="2"/>
        <v>451415</v>
      </c>
      <c r="K19" s="12" t="str">
        <f>VLOOKUP($J19,Base!$A$2:$G$50000,2,FALSE)</f>
        <v xml:space="preserve"> RAYNAL </v>
      </c>
      <c r="L19" s="12">
        <f>VLOOKUP($J19,Base!$A$2:$H$50000,8,FALSE)</f>
        <v>2155.67</v>
      </c>
      <c r="M19" s="12" t="str">
        <f>VLOOKUP($J19,Base!$A$2:$G$50000,7,FALSE)</f>
        <v xml:space="preserve"> CMPJM INGRE TT </v>
      </c>
    </row>
    <row r="20" spans="1:13" s="7" customFormat="1" ht="11.25" customHeight="1" x14ac:dyDescent="0.25">
      <c r="A20" s="25">
        <v>10</v>
      </c>
      <c r="B20" s="27">
        <v>3410225</v>
      </c>
      <c r="C20" s="27" t="s">
        <v>30129</v>
      </c>
      <c r="D20" s="28">
        <v>2117</v>
      </c>
      <c r="E20" s="29">
        <v>28710</v>
      </c>
      <c r="F20" s="27" t="s">
        <v>30128</v>
      </c>
      <c r="G20" s="26">
        <f t="shared" si="0"/>
        <v>2125.17</v>
      </c>
      <c r="I20" s="10" t="str">
        <f t="shared" si="1"/>
        <v>ERR</v>
      </c>
      <c r="J20" s="13" t="str">
        <f t="shared" si="2"/>
        <v>3410225</v>
      </c>
      <c r="K20" s="12" t="str">
        <f>VLOOKUP($J20,Base!$A$2:$G$50000,2,FALSE)</f>
        <v xml:space="preserve"> RICHARD </v>
      </c>
      <c r="L20" s="12">
        <f>VLOOKUP($J20,Base!$A$2:$H$50000,8,FALSE)</f>
        <v>2125.17</v>
      </c>
      <c r="M20" s="12" t="str">
        <f>VLOOKUP($J20,Base!$A$2:$G$50000,7,FALSE)</f>
        <v xml:space="preserve"> GIGEAN ASM </v>
      </c>
    </row>
    <row r="21" spans="1:13" s="7" customFormat="1" ht="11.25" customHeight="1" x14ac:dyDescent="0.25">
      <c r="A21" s="25">
        <v>11</v>
      </c>
      <c r="B21" s="27">
        <v>341990</v>
      </c>
      <c r="C21" s="27" t="s">
        <v>30185</v>
      </c>
      <c r="D21" s="28">
        <v>2108</v>
      </c>
      <c r="E21" s="29">
        <v>28606</v>
      </c>
      <c r="F21" s="27" t="s">
        <v>30128</v>
      </c>
      <c r="G21" s="26">
        <f t="shared" si="0"/>
        <v>2118.17</v>
      </c>
      <c r="I21" s="10" t="str">
        <f t="shared" si="1"/>
        <v>ERR</v>
      </c>
      <c r="J21" s="13" t="str">
        <f t="shared" si="2"/>
        <v>341990</v>
      </c>
      <c r="K21" s="12" t="str">
        <f>VLOOKUP($J21,Base!$A$2:$G$50000,2,FALSE)</f>
        <v xml:space="preserve"> BONNEVIALLE </v>
      </c>
      <c r="L21" s="12">
        <f>VLOOKUP($J21,Base!$A$2:$H$50000,8,FALSE)</f>
        <v>2118.17</v>
      </c>
      <c r="M21" s="12" t="str">
        <f>VLOOKUP($J21,Base!$A$2:$G$50000,7,FALSE)</f>
        <v xml:space="preserve"> GIGEAN ASM </v>
      </c>
    </row>
    <row r="22" spans="1:13" s="7" customFormat="1" ht="11.25" customHeight="1" x14ac:dyDescent="0.25">
      <c r="A22" s="25">
        <v>12</v>
      </c>
      <c r="B22" s="27">
        <v>954224</v>
      </c>
      <c r="C22" s="27" t="s">
        <v>30149</v>
      </c>
      <c r="D22" s="28">
        <v>2074</v>
      </c>
      <c r="E22" s="29">
        <v>26746</v>
      </c>
      <c r="F22" s="27" t="s">
        <v>26361</v>
      </c>
      <c r="G22" s="26">
        <f t="shared" si="0"/>
        <v>2100.79</v>
      </c>
      <c r="I22" s="10" t="str">
        <f t="shared" si="1"/>
        <v>ERR</v>
      </c>
      <c r="J22" s="13" t="str">
        <f t="shared" si="2"/>
        <v>954224</v>
      </c>
      <c r="K22" s="12" t="str">
        <f>VLOOKUP($J22,Base!$A$2:$G$50000,2,FALSE)</f>
        <v xml:space="preserve"> FALEK </v>
      </c>
      <c r="L22" s="12">
        <f>VLOOKUP($J22,Base!$A$2:$H$50000,8,FALSE)</f>
        <v>2100.79</v>
      </c>
      <c r="M22" s="12" t="str">
        <f>VLOOKUP($J22,Base!$A$2:$G$50000,7,FALSE)</f>
        <v xml:space="preserve"> COUDUN SL </v>
      </c>
    </row>
    <row r="23" spans="1:13" s="7" customFormat="1" ht="11.25" customHeight="1" x14ac:dyDescent="0.25">
      <c r="A23" s="25">
        <v>13</v>
      </c>
      <c r="B23" s="27">
        <v>283205</v>
      </c>
      <c r="C23" s="27" t="s">
        <v>30198</v>
      </c>
      <c r="D23" s="28">
        <v>2042</v>
      </c>
      <c r="E23" s="29">
        <v>25915</v>
      </c>
      <c r="F23" s="27" t="s">
        <v>26472</v>
      </c>
      <c r="G23" s="26">
        <f t="shared" si="0"/>
        <v>2048.67</v>
      </c>
      <c r="I23" s="10" t="str">
        <f t="shared" si="1"/>
        <v>ERR</v>
      </c>
      <c r="J23" s="13" t="str">
        <f t="shared" si="2"/>
        <v>283205</v>
      </c>
      <c r="K23" s="12" t="str">
        <f>VLOOKUP($J23,Base!$A$2:$G$50000,2,FALSE)</f>
        <v xml:space="preserve"> CHAPLAIN </v>
      </c>
      <c r="L23" s="12">
        <f>VLOOKUP($J23,Base!$A$2:$H$50000,8,FALSE)</f>
        <v>2048.67</v>
      </c>
      <c r="M23" s="12" t="str">
        <f>VLOOKUP($J23,Base!$A$2:$G$50000,7,FALSE)</f>
        <v xml:space="preserve"> PAYS COURVILLOIS TT </v>
      </c>
    </row>
    <row r="24" spans="1:13" s="7" customFormat="1" ht="11.25" customHeight="1" x14ac:dyDescent="0.25">
      <c r="A24" s="25">
        <v>14</v>
      </c>
      <c r="B24" s="27">
        <v>712089</v>
      </c>
      <c r="C24" s="27" t="s">
        <v>30145</v>
      </c>
      <c r="D24" s="28">
        <v>2019</v>
      </c>
      <c r="E24" s="29">
        <v>28212</v>
      </c>
      <c r="F24" s="27" t="s">
        <v>26364</v>
      </c>
      <c r="G24" s="26">
        <f t="shared" si="0"/>
        <v>2046.05</v>
      </c>
      <c r="I24" s="10" t="str">
        <f t="shared" si="1"/>
        <v>ERR</v>
      </c>
      <c r="J24" s="13" t="str">
        <f t="shared" si="2"/>
        <v>712089</v>
      </c>
      <c r="K24" s="12" t="str">
        <f>VLOOKUP($J24,Base!$A$2:$G$50000,2,FALSE)</f>
        <v xml:space="preserve"> PERRET </v>
      </c>
      <c r="L24" s="12">
        <f>VLOOKUP($J24,Base!$A$2:$H$50000,8,FALSE)</f>
        <v>2046.05</v>
      </c>
      <c r="M24" s="12" t="str">
        <f>VLOOKUP($J24,Base!$A$2:$G$50000,7,FALSE)</f>
        <v xml:space="preserve"> J.S. OUROUX TT </v>
      </c>
    </row>
    <row r="25" spans="1:13" s="7" customFormat="1" ht="11.25" customHeight="1" x14ac:dyDescent="0.25">
      <c r="A25" s="25">
        <v>15</v>
      </c>
      <c r="B25" s="27">
        <v>918310</v>
      </c>
      <c r="C25" s="27" t="s">
        <v>30172</v>
      </c>
      <c r="D25" s="28">
        <v>2064</v>
      </c>
      <c r="E25" s="29">
        <v>26740</v>
      </c>
      <c r="F25" s="27" t="s">
        <v>26371</v>
      </c>
      <c r="G25" s="26">
        <f t="shared" si="0"/>
        <v>2043.04</v>
      </c>
      <c r="I25" s="10" t="str">
        <f t="shared" si="1"/>
        <v>ERR</v>
      </c>
      <c r="J25" s="13" t="str">
        <f t="shared" si="2"/>
        <v>918310</v>
      </c>
      <c r="K25" s="12" t="str">
        <f>VLOOKUP($J25,Base!$A$2:$G$50000,2,FALSE)</f>
        <v xml:space="preserve"> POTHAIN </v>
      </c>
      <c r="L25" s="12">
        <f>VLOOKUP($J25,Base!$A$2:$H$50000,8,FALSE)</f>
        <v>2043.04</v>
      </c>
      <c r="M25" s="12" t="str">
        <f>VLOOKUP($J25,Base!$A$2:$G$50000,7,FALSE)</f>
        <v xml:space="preserve"> CHILLY-MORANGIS CTT </v>
      </c>
    </row>
    <row r="26" spans="1:13" s="7" customFormat="1" ht="11.25" customHeight="1" x14ac:dyDescent="0.25">
      <c r="A26" s="25">
        <v>16</v>
      </c>
      <c r="B26" s="27">
        <v>591891</v>
      </c>
      <c r="C26" s="27" t="s">
        <v>30177</v>
      </c>
      <c r="D26" s="28">
        <v>2039</v>
      </c>
      <c r="E26" s="29">
        <v>26069</v>
      </c>
      <c r="F26" s="27" t="s">
        <v>26373</v>
      </c>
      <c r="G26" s="26">
        <f t="shared" si="0"/>
        <v>2017.67</v>
      </c>
      <c r="I26" s="10" t="str">
        <f t="shared" si="1"/>
        <v>ERR</v>
      </c>
      <c r="J26" s="13" t="str">
        <f t="shared" si="2"/>
        <v>591891</v>
      </c>
      <c r="K26" s="12" t="str">
        <f>VLOOKUP($J26,Base!$A$2:$G$50000,2,FALSE)</f>
        <v xml:space="preserve"> CORDELLE </v>
      </c>
      <c r="L26" s="12">
        <f>VLOOKUP($J26,Base!$A$2:$H$50000,8,FALSE)</f>
        <v>2017.67</v>
      </c>
      <c r="M26" s="12" t="str">
        <f>VLOOKUP($J26,Base!$A$2:$G$50000,7,FALSE)</f>
        <v xml:space="preserve"> VALENCIENNES USTT </v>
      </c>
    </row>
    <row r="27" spans="1:13" s="7" customFormat="1" ht="11.25" customHeight="1" x14ac:dyDescent="0.25">
      <c r="A27" s="25">
        <v>17</v>
      </c>
      <c r="B27" s="27">
        <v>442470</v>
      </c>
      <c r="C27" s="27" t="s">
        <v>30127</v>
      </c>
      <c r="D27" s="28">
        <v>1993</v>
      </c>
      <c r="E27" s="29">
        <v>26750</v>
      </c>
      <c r="F27" s="27" t="s">
        <v>30155</v>
      </c>
      <c r="G27" s="26">
        <f t="shared" si="0"/>
        <v>2015.67</v>
      </c>
      <c r="I27" s="10" t="str">
        <f t="shared" si="1"/>
        <v>ERR</v>
      </c>
      <c r="J27" s="13" t="str">
        <f t="shared" si="2"/>
        <v>442470</v>
      </c>
      <c r="K27" s="12" t="str">
        <f>VLOOKUP($J27,Base!$A$2:$G$50000,2,FALSE)</f>
        <v xml:space="preserve"> RAUTUREAU </v>
      </c>
      <c r="L27" s="12">
        <f>VLOOKUP($J27,Base!$A$2:$H$50000,8,FALSE)</f>
        <v>2015.67</v>
      </c>
      <c r="M27" s="12" t="str">
        <f>VLOOKUP($J27,Base!$A$2:$G$50000,7,FALSE)</f>
        <v xml:space="preserve"> NANTES MELLINET (LA) </v>
      </c>
    </row>
    <row r="28" spans="1:13" s="7" customFormat="1" ht="11.25" customHeight="1" x14ac:dyDescent="0.25">
      <c r="A28" s="25">
        <v>18</v>
      </c>
      <c r="B28" s="27">
        <v>611747</v>
      </c>
      <c r="C28" s="27" t="s">
        <v>30178</v>
      </c>
      <c r="D28" s="28">
        <v>1986</v>
      </c>
      <c r="E28" s="29">
        <v>27595</v>
      </c>
      <c r="F28" s="27" t="s">
        <v>30195</v>
      </c>
      <c r="G28" s="26">
        <f t="shared" si="0"/>
        <v>2008.67</v>
      </c>
      <c r="I28" s="10" t="str">
        <f t="shared" si="1"/>
        <v>ERR</v>
      </c>
      <c r="J28" s="13" t="str">
        <f t="shared" si="2"/>
        <v>611747</v>
      </c>
      <c r="K28" s="12" t="str">
        <f>VLOOKUP($J28,Base!$A$2:$G$50000,2,FALSE)</f>
        <v xml:space="preserve"> VINCLAIR </v>
      </c>
      <c r="L28" s="12">
        <f>VLOOKUP($J28,Base!$A$2:$H$50000,8,FALSE)</f>
        <v>2008.67</v>
      </c>
      <c r="M28" s="12" t="str">
        <f>VLOOKUP($J28,Base!$A$2:$G$50000,7,FALSE)</f>
        <v xml:space="preserve"> ALENCON ETOILE </v>
      </c>
    </row>
    <row r="29" spans="1:13" s="7" customFormat="1" ht="11.25" customHeight="1" x14ac:dyDescent="0.25">
      <c r="A29" s="25">
        <v>19</v>
      </c>
      <c r="B29" s="27">
        <v>57166</v>
      </c>
      <c r="C29" s="27" t="s">
        <v>30152</v>
      </c>
      <c r="D29" s="28">
        <v>2019</v>
      </c>
      <c r="E29" s="29">
        <v>25458</v>
      </c>
      <c r="F29" s="27" t="s">
        <v>26365</v>
      </c>
      <c r="G29" s="26">
        <f t="shared" si="0"/>
        <v>2006.67</v>
      </c>
      <c r="I29" s="10" t="str">
        <f t="shared" si="1"/>
        <v>ERR</v>
      </c>
      <c r="J29" s="13" t="str">
        <f t="shared" si="2"/>
        <v>57166</v>
      </c>
      <c r="K29" s="12" t="str">
        <f>VLOOKUP($J29,Base!$A$2:$G$50000,2,FALSE)</f>
        <v xml:space="preserve"> HOSY </v>
      </c>
      <c r="L29" s="12">
        <f>VLOOKUP($J29,Base!$A$2:$H$50000,8,FALSE)</f>
        <v>2006.67</v>
      </c>
      <c r="M29" s="12" t="str">
        <f>VLOOKUP($J29,Base!$A$2:$G$50000,7,FALSE)</f>
        <v xml:space="preserve"> MANOM J.S. </v>
      </c>
    </row>
    <row r="30" spans="1:13" s="7" customFormat="1" ht="11.25" customHeight="1" x14ac:dyDescent="0.25">
      <c r="A30" s="25">
        <v>20</v>
      </c>
      <c r="B30" s="27">
        <v>942147</v>
      </c>
      <c r="C30" s="27" t="s">
        <v>30150</v>
      </c>
      <c r="D30" s="28">
        <v>2019</v>
      </c>
      <c r="E30" s="29">
        <v>26940</v>
      </c>
      <c r="F30" s="27" t="s">
        <v>30151</v>
      </c>
      <c r="G30" s="26">
        <f t="shared" si="0"/>
        <v>1994.92</v>
      </c>
      <c r="I30" s="10" t="str">
        <f t="shared" si="1"/>
        <v>ERR</v>
      </c>
      <c r="J30" s="13" t="str">
        <f t="shared" si="2"/>
        <v>942147</v>
      </c>
      <c r="K30" s="12" t="str">
        <f>VLOOKUP($J30,Base!$A$2:$G$50000,2,FALSE)</f>
        <v xml:space="preserve"> HURE </v>
      </c>
      <c r="L30" s="12">
        <f>VLOOKUP($J30,Base!$A$2:$H$50000,8,FALSE)</f>
        <v>1994.92</v>
      </c>
      <c r="M30" s="12" t="str">
        <f>VLOOKUP($J30,Base!$A$2:$G$50000,7,FALSE)</f>
        <v xml:space="preserve"> ORMESSON US </v>
      </c>
    </row>
    <row r="31" spans="1:13" s="7" customFormat="1" ht="11.25" customHeight="1" x14ac:dyDescent="0.25">
      <c r="A31" s="25">
        <v>21</v>
      </c>
      <c r="B31" s="27">
        <v>224014</v>
      </c>
      <c r="C31" s="27" t="s">
        <v>30174</v>
      </c>
      <c r="D31" s="28">
        <v>1978</v>
      </c>
      <c r="E31" s="29">
        <v>27763</v>
      </c>
      <c r="F31" s="27" t="s">
        <v>26371</v>
      </c>
      <c r="G31" s="26">
        <f t="shared" si="0"/>
        <v>1989.3</v>
      </c>
      <c r="I31" s="10" t="str">
        <f t="shared" si="1"/>
        <v>ERR</v>
      </c>
      <c r="J31" s="13" t="str">
        <f t="shared" si="2"/>
        <v>224014</v>
      </c>
      <c r="K31" s="12" t="str">
        <f>VLOOKUP($J31,Base!$A$2:$G$50000,2,FALSE)</f>
        <v xml:space="preserve"> POCARD </v>
      </c>
      <c r="L31" s="12">
        <f>VLOOKUP($J31,Base!$A$2:$H$50000,8,FALSE)</f>
        <v>1989.3</v>
      </c>
      <c r="M31" s="12" t="str">
        <f>VLOOKUP($J31,Base!$A$2:$G$50000,7,FALSE)</f>
        <v xml:space="preserve"> CHILLY-MORANGIS CTT </v>
      </c>
    </row>
    <row r="32" spans="1:13" s="7" customFormat="1" ht="11.25" customHeight="1" x14ac:dyDescent="0.25">
      <c r="A32" s="25">
        <v>22</v>
      </c>
      <c r="B32" s="27">
        <v>6915508</v>
      </c>
      <c r="C32" s="27" t="s">
        <v>30194</v>
      </c>
      <c r="D32" s="28">
        <v>1975</v>
      </c>
      <c r="E32" s="29">
        <v>25834</v>
      </c>
      <c r="F32" s="27" t="s">
        <v>13</v>
      </c>
      <c r="G32" s="26">
        <f t="shared" si="0"/>
        <v>1978.17</v>
      </c>
      <c r="I32" s="10" t="str">
        <f t="shared" si="1"/>
        <v>ERR</v>
      </c>
      <c r="J32" s="13" t="str">
        <f t="shared" si="2"/>
        <v>6915508</v>
      </c>
      <c r="K32" s="12" t="str">
        <f>VLOOKUP($J32,Base!$A$2:$G$50000,2,FALSE)</f>
        <v xml:space="preserve"> MANGEOT </v>
      </c>
      <c r="L32" s="12">
        <f>VLOOKUP($J32,Base!$A$2:$H$50000,8,FALSE)</f>
        <v>1978.17</v>
      </c>
      <c r="M32" s="12" t="str">
        <f>VLOOKUP($J32,Base!$A$2:$G$50000,7,FALSE)</f>
        <v xml:space="preserve"> LYON 7 TT GERLAND </v>
      </c>
    </row>
    <row r="33" spans="1:13" s="7" customFormat="1" ht="11.25" customHeight="1" x14ac:dyDescent="0.25">
      <c r="A33" s="25">
        <v>23</v>
      </c>
      <c r="B33" s="27">
        <v>331893</v>
      </c>
      <c r="C33" s="27" t="s">
        <v>30143</v>
      </c>
      <c r="D33" s="28">
        <v>1970</v>
      </c>
      <c r="E33" s="29">
        <v>25653</v>
      </c>
      <c r="F33" s="27" t="s">
        <v>26376</v>
      </c>
      <c r="G33" s="26">
        <f t="shared" si="0"/>
        <v>1957.54</v>
      </c>
      <c r="I33" s="10" t="str">
        <f t="shared" si="1"/>
        <v>ERR</v>
      </c>
      <c r="J33" s="13" t="str">
        <f t="shared" si="2"/>
        <v>331893</v>
      </c>
      <c r="K33" s="12" t="str">
        <f>VLOOKUP($J33,Base!$A$2:$G$50000,2,FALSE)</f>
        <v xml:space="preserve"> SEGURA </v>
      </c>
      <c r="L33" s="12">
        <f>VLOOKUP($J33,Base!$A$2:$H$50000,8,FALSE)</f>
        <v>1957.54</v>
      </c>
      <c r="M33" s="12" t="str">
        <f>VLOOKUP($J33,Base!$A$2:$G$50000,7,FALSE)</f>
        <v xml:space="preserve"> CA BEGLAIS </v>
      </c>
    </row>
    <row r="34" spans="1:13" s="7" customFormat="1" ht="11.25" customHeight="1" x14ac:dyDescent="0.25">
      <c r="A34" s="25">
        <v>24</v>
      </c>
      <c r="B34" s="27">
        <v>723759</v>
      </c>
      <c r="C34" s="27" t="s">
        <v>30130</v>
      </c>
      <c r="D34" s="28">
        <v>1944</v>
      </c>
      <c r="E34" s="29">
        <v>27382</v>
      </c>
      <c r="F34" s="27" t="s">
        <v>26363</v>
      </c>
      <c r="G34" s="26">
        <f t="shared" si="0"/>
        <v>1955.3</v>
      </c>
      <c r="I34" s="10" t="str">
        <f t="shared" si="1"/>
        <v>ERR</v>
      </c>
      <c r="J34" s="13" t="str">
        <f t="shared" si="2"/>
        <v>723759</v>
      </c>
      <c r="K34" s="12" t="str">
        <f>VLOOKUP($J34,Base!$A$2:$G$50000,2,FALSE)</f>
        <v xml:space="preserve"> GUIBERT </v>
      </c>
      <c r="L34" s="12">
        <f>VLOOKUP($J34,Base!$A$2:$H$50000,8,FALSE)</f>
        <v>1955.3</v>
      </c>
      <c r="M34" s="12" t="str">
        <f>VLOOKUP($J34,Base!$A$2:$G$50000,7,FALSE)</f>
        <v xml:space="preserve"> LE MANS SARTHE TENNIS DE </v>
      </c>
    </row>
    <row r="35" spans="1:13" s="7" customFormat="1" ht="11.25" customHeight="1" x14ac:dyDescent="0.25">
      <c r="A35" s="25">
        <v>25</v>
      </c>
      <c r="B35" s="27">
        <v>452722</v>
      </c>
      <c r="C35" s="27" t="s">
        <v>30181</v>
      </c>
      <c r="D35" s="28">
        <v>1955</v>
      </c>
      <c r="E35" s="29">
        <v>26143</v>
      </c>
      <c r="F35" s="27" t="s">
        <v>26370</v>
      </c>
      <c r="G35" s="26">
        <f t="shared" si="0"/>
        <v>1945.67</v>
      </c>
      <c r="I35" s="10" t="str">
        <f t="shared" si="1"/>
        <v>ERR</v>
      </c>
      <c r="J35" s="13" t="str">
        <f t="shared" si="2"/>
        <v>452722</v>
      </c>
      <c r="K35" s="12" t="str">
        <f>VLOOKUP($J35,Base!$A$2:$G$50000,2,FALSE)</f>
        <v xml:space="preserve"> PONCELET </v>
      </c>
      <c r="L35" s="12">
        <f>VLOOKUP($J35,Base!$A$2:$H$50000,8,FALSE)</f>
        <v>1945.67</v>
      </c>
      <c r="M35" s="12" t="str">
        <f>VLOOKUP($J35,Base!$A$2:$G$50000,7,FALSE)</f>
        <v xml:space="preserve"> CMPJM INGRE TT </v>
      </c>
    </row>
    <row r="36" spans="1:13" s="7" customFormat="1" ht="11.25" customHeight="1" x14ac:dyDescent="0.25">
      <c r="A36" s="25">
        <v>26</v>
      </c>
      <c r="B36" s="27">
        <v>4921341</v>
      </c>
      <c r="C36" s="27" t="s">
        <v>30156</v>
      </c>
      <c r="D36" s="28">
        <v>1908</v>
      </c>
      <c r="E36" s="29">
        <v>25942</v>
      </c>
      <c r="F36" s="27" t="s">
        <v>26360</v>
      </c>
      <c r="G36" s="26">
        <f t="shared" si="0"/>
        <v>1938.42</v>
      </c>
      <c r="I36" s="10" t="str">
        <f t="shared" si="1"/>
        <v>ERR</v>
      </c>
      <c r="J36" s="13" t="str">
        <f t="shared" si="2"/>
        <v>4921341</v>
      </c>
      <c r="K36" s="12" t="str">
        <f>VLOOKUP($J36,Base!$A$2:$G$50000,2,FALSE)</f>
        <v xml:space="preserve"> DUBOIS </v>
      </c>
      <c r="L36" s="12">
        <f>VLOOKUP($J36,Base!$A$2:$H$50000,8,FALSE)</f>
        <v>1938.42</v>
      </c>
      <c r="M36" s="12" t="str">
        <f>VLOOKUP($J36,Base!$A$2:$G$50000,7,FALSE)</f>
        <v xml:space="preserve"> A.S. FONDETTES </v>
      </c>
    </row>
    <row r="37" spans="1:13" s="7" customFormat="1" ht="11.25" customHeight="1" x14ac:dyDescent="0.25">
      <c r="A37" s="25">
        <v>27</v>
      </c>
      <c r="B37" s="27">
        <v>764204</v>
      </c>
      <c r="C37" s="27" t="s">
        <v>30196</v>
      </c>
      <c r="D37" s="28">
        <v>1937</v>
      </c>
      <c r="E37" s="29">
        <v>25840</v>
      </c>
      <c r="F37" s="27" t="s">
        <v>26374</v>
      </c>
      <c r="G37" s="26">
        <f t="shared" si="0"/>
        <v>1928.92</v>
      </c>
      <c r="I37" s="10" t="str">
        <f t="shared" si="1"/>
        <v>ERR</v>
      </c>
      <c r="J37" s="13" t="str">
        <f t="shared" si="2"/>
        <v>764204</v>
      </c>
      <c r="K37" s="12" t="str">
        <f>VLOOKUP($J37,Base!$A$2:$G$50000,2,FALSE)</f>
        <v xml:space="preserve"> RAGEL </v>
      </c>
      <c r="L37" s="12">
        <f>VLOOKUP($J37,Base!$A$2:$H$50000,8,FALSE)</f>
        <v>1928.92</v>
      </c>
      <c r="M37" s="12" t="str">
        <f>VLOOKUP($J37,Base!$A$2:$G$50000,7,FALSE)</f>
        <v xml:space="preserve"> ALCL TT GRAND QUEVILLY </v>
      </c>
    </row>
    <row r="38" spans="1:13" s="7" customFormat="1" ht="11.25" customHeight="1" x14ac:dyDescent="0.25">
      <c r="A38" s="25">
        <v>28</v>
      </c>
      <c r="B38" s="27">
        <v>7710423</v>
      </c>
      <c r="C38" s="27" t="s">
        <v>30176</v>
      </c>
      <c r="D38" s="28">
        <v>1931</v>
      </c>
      <c r="E38" s="29">
        <v>28378</v>
      </c>
      <c r="F38" s="27" t="s">
        <v>30159</v>
      </c>
      <c r="G38" s="26">
        <f t="shared" si="0"/>
        <v>1926.42</v>
      </c>
      <c r="I38" s="10" t="str">
        <f t="shared" si="1"/>
        <v>ERR</v>
      </c>
      <c r="J38" s="13" t="str">
        <f t="shared" si="2"/>
        <v>7710423</v>
      </c>
      <c r="K38" s="12" t="str">
        <f>VLOOKUP($J38,Base!$A$2:$G$50000,2,FALSE)</f>
        <v xml:space="preserve"> MANSOUR </v>
      </c>
      <c r="L38" s="12">
        <f>VLOOKUP($J38,Base!$A$2:$H$50000,8,FALSE)</f>
        <v>1926.42</v>
      </c>
      <c r="M38" s="12" t="str">
        <f>VLOOKUP($J38,Base!$A$2:$G$50000,7,FALSE)</f>
        <v xml:space="preserve"> VILLEPINTE STTT </v>
      </c>
    </row>
    <row r="39" spans="1:13" s="7" customFormat="1" ht="11.25" customHeight="1" x14ac:dyDescent="0.25">
      <c r="A39" s="25">
        <v>29</v>
      </c>
      <c r="B39" s="27">
        <v>59175</v>
      </c>
      <c r="C39" s="27" t="s">
        <v>30161</v>
      </c>
      <c r="D39" s="28">
        <v>1928</v>
      </c>
      <c r="E39" s="29">
        <v>26936</v>
      </c>
      <c r="F39" s="27" t="s">
        <v>26356</v>
      </c>
      <c r="G39" s="26">
        <f t="shared" si="0"/>
        <v>1924.67</v>
      </c>
      <c r="I39" s="10" t="str">
        <f t="shared" si="1"/>
        <v>ERR</v>
      </c>
      <c r="J39" s="13" t="str">
        <f t="shared" si="2"/>
        <v>59175</v>
      </c>
      <c r="K39" s="12" t="str">
        <f>VLOOKUP($J39,Base!$A$2:$G$50000,2,FALSE)</f>
        <v xml:space="preserve"> COGET </v>
      </c>
      <c r="L39" s="12">
        <f>VLOOKUP($J39,Base!$A$2:$H$50000,8,FALSE)</f>
        <v>1924.67</v>
      </c>
      <c r="M39" s="12" t="str">
        <f>VLOOKUP($J39,Base!$A$2:$G$50000,7,FALSE)</f>
        <v xml:space="preserve"> BRUILLE CTT </v>
      </c>
    </row>
    <row r="40" spans="1:13" s="7" customFormat="1" ht="11.25" customHeight="1" x14ac:dyDescent="0.25">
      <c r="A40" s="25">
        <v>30</v>
      </c>
      <c r="B40" s="27">
        <v>7511453</v>
      </c>
      <c r="C40" s="27" t="s">
        <v>30160</v>
      </c>
      <c r="D40" s="28">
        <v>1930</v>
      </c>
      <c r="E40" s="29">
        <v>27125</v>
      </c>
      <c r="F40" s="27" t="s">
        <v>26372</v>
      </c>
      <c r="G40" s="26">
        <f t="shared" si="0"/>
        <v>1922.67</v>
      </c>
      <c r="I40" s="10" t="str">
        <f t="shared" si="1"/>
        <v>ERR</v>
      </c>
      <c r="J40" s="13" t="str">
        <f t="shared" si="2"/>
        <v>7511453</v>
      </c>
      <c r="K40" s="12" t="str">
        <f>VLOOKUP($J40,Base!$A$2:$G$50000,2,FALSE)</f>
        <v xml:space="preserve"> PROUVAT </v>
      </c>
      <c r="L40" s="12">
        <f>VLOOKUP($J40,Base!$A$2:$H$50000,8,FALSE)</f>
        <v>1922.67</v>
      </c>
      <c r="M40" s="12" t="str">
        <f>VLOOKUP($J40,Base!$A$2:$G$50000,7,FALSE)</f>
        <v xml:space="preserve"> BOURGETIN CTT </v>
      </c>
    </row>
    <row r="41" spans="1:13" s="7" customFormat="1" ht="11.25" customHeight="1" x14ac:dyDescent="0.25">
      <c r="A41" s="25">
        <v>31</v>
      </c>
      <c r="B41" s="27">
        <v>715393</v>
      </c>
      <c r="C41" s="27" t="s">
        <v>30170</v>
      </c>
      <c r="D41" s="28">
        <v>1891</v>
      </c>
      <c r="E41" s="29">
        <v>28220</v>
      </c>
      <c r="F41" s="27" t="s">
        <v>26364</v>
      </c>
      <c r="G41" s="26">
        <f t="shared" si="0"/>
        <v>1921.67</v>
      </c>
      <c r="I41" s="10" t="str">
        <f t="shared" si="1"/>
        <v>ERR</v>
      </c>
      <c r="J41" s="13" t="str">
        <f t="shared" si="2"/>
        <v>715393</v>
      </c>
      <c r="K41" s="12" t="str">
        <f>VLOOKUP($J41,Base!$A$2:$G$50000,2,FALSE)</f>
        <v xml:space="preserve"> GUILLOT </v>
      </c>
      <c r="L41" s="12">
        <f>VLOOKUP($J41,Base!$A$2:$H$50000,8,FALSE)</f>
        <v>1921.67</v>
      </c>
      <c r="M41" s="12" t="str">
        <f>VLOOKUP($J41,Base!$A$2:$G$50000,7,FALSE)</f>
        <v xml:space="preserve"> J.S. OUROUX TT </v>
      </c>
    </row>
    <row r="42" spans="1:13" s="7" customFormat="1" ht="11.25" customHeight="1" x14ac:dyDescent="0.25">
      <c r="A42" s="25">
        <v>32</v>
      </c>
      <c r="B42" s="27">
        <v>769365</v>
      </c>
      <c r="C42" s="27" t="s">
        <v>30132</v>
      </c>
      <c r="D42" s="28">
        <v>1897</v>
      </c>
      <c r="E42" s="29">
        <v>28179</v>
      </c>
      <c r="F42" s="27" t="s">
        <v>26351</v>
      </c>
      <c r="G42" s="26">
        <f t="shared" si="0"/>
        <v>1900.67</v>
      </c>
      <c r="I42" s="10" t="str">
        <f t="shared" si="1"/>
        <v>ERR</v>
      </c>
      <c r="J42" s="13" t="str">
        <f t="shared" si="2"/>
        <v>769365</v>
      </c>
      <c r="K42" s="12" t="str">
        <f>VLOOKUP($J42,Base!$A$2:$G$50000,2,FALSE)</f>
        <v xml:space="preserve"> BELLIEN </v>
      </c>
      <c r="L42" s="12">
        <f>VLOOKUP($J42,Base!$A$2:$H$50000,8,FALSE)</f>
        <v>1900.67</v>
      </c>
      <c r="M42" s="12" t="str">
        <f>VLOOKUP($J42,Base!$A$2:$G$50000,7,FALSE)</f>
        <v xml:space="preserve"> ENTENTE SAINT PIERRAISE T </v>
      </c>
    </row>
    <row r="43" spans="1:13" s="7" customFormat="1" ht="11.25" customHeight="1" x14ac:dyDescent="0.25">
      <c r="A43" s="25">
        <v>33</v>
      </c>
      <c r="B43" s="27">
        <v>931378</v>
      </c>
      <c r="C43" s="27" t="s">
        <v>30203</v>
      </c>
      <c r="D43" s="28">
        <v>1871</v>
      </c>
      <c r="E43" s="29">
        <v>26395</v>
      </c>
      <c r="F43" s="27" t="s">
        <v>30184</v>
      </c>
      <c r="G43" s="26">
        <f t="shared" ref="G43:G74" si="3">L43</f>
        <v>1879.18</v>
      </c>
      <c r="I43" s="10" t="str">
        <f t="shared" ref="I43:I74" si="4">IF(C43=K43,"","ERR")</f>
        <v>ERR</v>
      </c>
      <c r="J43" s="13" t="str">
        <f t="shared" ref="J43:J74" si="5">LEFT(B43,LEN(B43))</f>
        <v>931378</v>
      </c>
      <c r="K43" s="12" t="str">
        <f>VLOOKUP($J43,Base!$A$2:$G$50000,2,FALSE)</f>
        <v xml:space="preserve"> RICHARD </v>
      </c>
      <c r="L43" s="12">
        <f>VLOOKUP($J43,Base!$A$2:$H$50000,8,FALSE)</f>
        <v>1879.18</v>
      </c>
      <c r="M43" s="12" t="str">
        <f>VLOOKUP($J43,Base!$A$2:$G$50000,7,FALSE)</f>
        <v xml:space="preserve"> VILLEMOMBLE SPTT </v>
      </c>
    </row>
    <row r="44" spans="1:13" s="7" customFormat="1" ht="11.25" customHeight="1" x14ac:dyDescent="0.25">
      <c r="A44" s="25">
        <v>34</v>
      </c>
      <c r="B44" s="27">
        <v>361667</v>
      </c>
      <c r="C44" s="27" t="s">
        <v>30175</v>
      </c>
      <c r="D44" s="28">
        <v>1849</v>
      </c>
      <c r="E44" s="29">
        <v>28386</v>
      </c>
      <c r="F44" s="27" t="s">
        <v>26362</v>
      </c>
      <c r="G44" s="26">
        <f t="shared" si="3"/>
        <v>1851.17</v>
      </c>
      <c r="I44" s="10" t="str">
        <f t="shared" si="4"/>
        <v>ERR</v>
      </c>
      <c r="J44" s="13" t="str">
        <f t="shared" si="5"/>
        <v>361667</v>
      </c>
      <c r="K44" s="12" t="str">
        <f>VLOOKUP($J44,Base!$A$2:$G$50000,2,FALSE)</f>
        <v xml:space="preserve"> GOURDON </v>
      </c>
      <c r="L44" s="12">
        <f>VLOOKUP($J44,Base!$A$2:$H$50000,8,FALSE)</f>
        <v>1851.17</v>
      </c>
      <c r="M44" s="12" t="str">
        <f>VLOOKUP($J44,Base!$A$2:$G$50000,7,FALSE)</f>
        <v xml:space="preserve"> BERRICHONNE-CHATEAUROUX </v>
      </c>
    </row>
    <row r="45" spans="1:13" s="7" customFormat="1" ht="11.25" customHeight="1" x14ac:dyDescent="0.25">
      <c r="A45" s="25">
        <v>35</v>
      </c>
      <c r="B45" s="27">
        <v>9510706</v>
      </c>
      <c r="C45" s="27" t="s">
        <v>30199</v>
      </c>
      <c r="D45" s="28">
        <v>1821</v>
      </c>
      <c r="E45" s="29">
        <v>26370</v>
      </c>
      <c r="F45" s="27" t="s">
        <v>26359</v>
      </c>
      <c r="G45" s="26">
        <f t="shared" si="3"/>
        <v>1848.17</v>
      </c>
      <c r="I45" s="10" t="str">
        <f t="shared" si="4"/>
        <v>ERR</v>
      </c>
      <c r="J45" s="13" t="str">
        <f t="shared" si="5"/>
        <v>9510706</v>
      </c>
      <c r="K45" s="12" t="str">
        <f>VLOOKUP($J45,Base!$A$2:$G$50000,2,FALSE)</f>
        <v xml:space="preserve"> DOMERGUE </v>
      </c>
      <c r="L45" s="12">
        <f>VLOOKUP($J45,Base!$A$2:$H$50000,8,FALSE)</f>
        <v>1848.17</v>
      </c>
      <c r="M45" s="12" t="str">
        <f>VLOOKUP($J45,Base!$A$2:$G$50000,7,FALSE)</f>
        <v xml:space="preserve"> CAM BORDEAUX </v>
      </c>
    </row>
    <row r="46" spans="1:13" s="7" customFormat="1" ht="11.25" customHeight="1" x14ac:dyDescent="0.25">
      <c r="A46" s="25">
        <v>36</v>
      </c>
      <c r="B46" s="27">
        <v>361673</v>
      </c>
      <c r="C46" s="27" t="s">
        <v>30142</v>
      </c>
      <c r="D46" s="28">
        <v>1828</v>
      </c>
      <c r="E46" s="29">
        <v>27528</v>
      </c>
      <c r="F46" s="27" t="s">
        <v>26362</v>
      </c>
      <c r="G46" s="26">
        <f t="shared" si="3"/>
        <v>1828.17</v>
      </c>
      <c r="I46" s="10" t="str">
        <f t="shared" si="4"/>
        <v>ERR</v>
      </c>
      <c r="J46" s="13" t="str">
        <f t="shared" si="5"/>
        <v>361673</v>
      </c>
      <c r="K46" s="12" t="str">
        <f>VLOOKUP($J46,Base!$A$2:$G$50000,2,FALSE)</f>
        <v xml:space="preserve"> POURNIN </v>
      </c>
      <c r="L46" s="12">
        <f>VLOOKUP($J46,Base!$A$2:$H$50000,8,FALSE)</f>
        <v>1828.17</v>
      </c>
      <c r="M46" s="12" t="str">
        <f>VLOOKUP($J46,Base!$A$2:$G$50000,7,FALSE)</f>
        <v xml:space="preserve"> BERRICHONNE-CHATEAUROUX </v>
      </c>
    </row>
    <row r="47" spans="1:13" s="7" customFormat="1" x14ac:dyDescent="0.25">
      <c r="A47" s="25">
        <v>37</v>
      </c>
      <c r="B47" s="27">
        <v>954299</v>
      </c>
      <c r="C47" s="27" t="s">
        <v>30183</v>
      </c>
      <c r="D47" s="28">
        <v>1837</v>
      </c>
      <c r="E47" s="29">
        <v>26856</v>
      </c>
      <c r="F47" s="27" t="s">
        <v>30191</v>
      </c>
      <c r="G47" s="26">
        <f t="shared" si="3"/>
        <v>1820.8</v>
      </c>
      <c r="I47" s="10" t="str">
        <f t="shared" si="4"/>
        <v>ERR</v>
      </c>
      <c r="J47" s="13" t="str">
        <f t="shared" si="5"/>
        <v>954299</v>
      </c>
      <c r="K47" s="12" t="str">
        <f>VLOOKUP($J47,Base!$A$2:$G$50000,2,FALSE)</f>
        <v xml:space="preserve"> SEROUSSI </v>
      </c>
      <c r="L47" s="12">
        <f>VLOOKUP($J47,Base!$A$2:$H$50000,8,FALSE)</f>
        <v>1820.8</v>
      </c>
      <c r="M47" s="12" t="str">
        <f>VLOOKUP($J47,Base!$A$2:$G$50000,7,FALSE)</f>
        <v xml:space="preserve"> MONTMAGNY STT </v>
      </c>
    </row>
    <row r="48" spans="1:13" s="7" customFormat="1" x14ac:dyDescent="0.25">
      <c r="A48" s="25">
        <v>38</v>
      </c>
      <c r="B48" s="27">
        <v>363914</v>
      </c>
      <c r="C48" s="27" t="s">
        <v>30167</v>
      </c>
      <c r="D48" s="28">
        <v>1838</v>
      </c>
      <c r="E48" s="29">
        <v>28501</v>
      </c>
      <c r="F48" s="27" t="s">
        <v>26417</v>
      </c>
      <c r="G48" s="26">
        <f t="shared" si="3"/>
        <v>1807.42</v>
      </c>
      <c r="I48" s="10" t="str">
        <f t="shared" si="4"/>
        <v>ERR</v>
      </c>
      <c r="J48" s="13" t="str">
        <f t="shared" si="5"/>
        <v>363914</v>
      </c>
      <c r="K48" s="12" t="str">
        <f>VLOOKUP($J48,Base!$A$2:$G$50000,2,FALSE)</f>
        <v xml:space="preserve"> THILLIER </v>
      </c>
      <c r="L48" s="12">
        <f>VLOOKUP($J48,Base!$A$2:$H$50000,8,FALSE)</f>
        <v>1807.42</v>
      </c>
      <c r="M48" s="12" t="str">
        <f>VLOOKUP($J48,Base!$A$2:$G$50000,7,FALSE)</f>
        <v xml:space="preserve"> VINEUIL SPORTS / SUEVRES </v>
      </c>
    </row>
    <row r="49" spans="1:13" s="7" customFormat="1" x14ac:dyDescent="0.25">
      <c r="A49" s="25">
        <v>39</v>
      </c>
      <c r="B49" s="27">
        <v>4428010</v>
      </c>
      <c r="C49" s="27" t="s">
        <v>30179</v>
      </c>
      <c r="D49" s="28">
        <v>1816</v>
      </c>
      <c r="E49" s="29">
        <v>25774</v>
      </c>
      <c r="F49" s="27" t="s">
        <v>26353</v>
      </c>
      <c r="G49" s="26">
        <f t="shared" si="3"/>
        <v>1797.67</v>
      </c>
      <c r="I49" s="10" t="str">
        <f t="shared" si="4"/>
        <v>ERR</v>
      </c>
      <c r="J49" s="13" t="str">
        <f t="shared" si="5"/>
        <v>4428010</v>
      </c>
      <c r="K49" s="12" t="str">
        <f>VLOOKUP($J49,Base!$A$2:$G$50000,2,FALSE)</f>
        <v xml:space="preserve"> BONHOMME </v>
      </c>
      <c r="L49" s="12">
        <f>VLOOKUP($J49,Base!$A$2:$H$50000,8,FALSE)</f>
        <v>1797.67</v>
      </c>
      <c r="M49" s="12" t="str">
        <f>VLOOKUP($J49,Base!$A$2:$G$50000,7,FALSE)</f>
        <v xml:space="preserve"> BOUAYE A.L. </v>
      </c>
    </row>
    <row r="50" spans="1:13" s="7" customFormat="1" x14ac:dyDescent="0.25">
      <c r="A50" s="25">
        <v>40</v>
      </c>
      <c r="B50" s="27">
        <v>9419833</v>
      </c>
      <c r="C50" s="27" t="s">
        <v>30126</v>
      </c>
      <c r="D50" s="28">
        <v>1816</v>
      </c>
      <c r="E50" s="29">
        <v>26246</v>
      </c>
      <c r="F50" s="27" t="s">
        <v>26367</v>
      </c>
      <c r="G50" s="26">
        <f t="shared" si="3"/>
        <v>1793.17</v>
      </c>
      <c r="I50" s="10" t="str">
        <f t="shared" si="4"/>
        <v>ERR</v>
      </c>
      <c r="J50" s="13" t="str">
        <f t="shared" si="5"/>
        <v>9419833</v>
      </c>
      <c r="K50" s="12" t="str">
        <f>VLOOKUP($J50,Base!$A$2:$G$50000,2,FALSE)</f>
        <v xml:space="preserve"> LY </v>
      </c>
      <c r="L50" s="12">
        <f>VLOOKUP($J50,Base!$A$2:$H$50000,8,FALSE)</f>
        <v>1793.17</v>
      </c>
      <c r="M50" s="12" t="str">
        <f>VLOOKUP($J50,Base!$A$2:$G$50000,7,FALSE)</f>
        <v xml:space="preserve"> CHEVILLY ELAN </v>
      </c>
    </row>
    <row r="51" spans="1:13" s="7" customFormat="1" x14ac:dyDescent="0.25">
      <c r="A51" s="25">
        <v>41</v>
      </c>
      <c r="B51" s="27">
        <v>9247849</v>
      </c>
      <c r="C51" s="27" t="s">
        <v>30171</v>
      </c>
      <c r="D51" s="28">
        <v>1781</v>
      </c>
      <c r="E51" s="29">
        <v>26959</v>
      </c>
      <c r="F51" s="27" t="s">
        <v>30153</v>
      </c>
      <c r="G51" s="26">
        <f t="shared" si="3"/>
        <v>1784.43</v>
      </c>
      <c r="I51" s="10" t="str">
        <f t="shared" si="4"/>
        <v>ERR</v>
      </c>
      <c r="J51" s="13" t="str">
        <f t="shared" si="5"/>
        <v>9247849</v>
      </c>
      <c r="K51" s="12" t="str">
        <f>VLOOKUP($J51,Base!$A$2:$G$50000,2,FALSE)</f>
        <v xml:space="preserve"> IMBERTY </v>
      </c>
      <c r="L51" s="12">
        <f>VLOOKUP($J51,Base!$A$2:$H$50000,8,FALSE)</f>
        <v>1784.43</v>
      </c>
      <c r="M51" s="12" t="str">
        <f>VLOOKUP($J51,Base!$A$2:$G$50000,7,FALSE)</f>
        <v xml:space="preserve"> MALAKOFF USMM </v>
      </c>
    </row>
    <row r="52" spans="1:13" s="7" customFormat="1" x14ac:dyDescent="0.25">
      <c r="A52" s="25">
        <v>42</v>
      </c>
      <c r="B52" s="27">
        <v>7827254</v>
      </c>
      <c r="C52" s="27" t="s">
        <v>30158</v>
      </c>
      <c r="D52" s="28">
        <v>1748</v>
      </c>
      <c r="E52" s="29">
        <v>26200</v>
      </c>
      <c r="F52" s="27" t="s">
        <v>13</v>
      </c>
      <c r="G52" s="26">
        <f t="shared" si="3"/>
        <v>1781.17</v>
      </c>
      <c r="I52" s="10" t="str">
        <f t="shared" si="4"/>
        <v>ERR</v>
      </c>
      <c r="J52" s="13" t="str">
        <f t="shared" si="5"/>
        <v>7827254</v>
      </c>
      <c r="K52" s="12" t="str">
        <f>VLOOKUP($J52,Base!$A$2:$G$50000,2,FALSE)</f>
        <v xml:space="preserve"> VILGICQUEL </v>
      </c>
      <c r="L52" s="12">
        <f>VLOOKUP($J52,Base!$A$2:$H$50000,8,FALSE)</f>
        <v>1781.17</v>
      </c>
      <c r="M52" s="12" t="str">
        <f>VLOOKUP($J52,Base!$A$2:$G$50000,7,FALSE)</f>
        <v xml:space="preserve"> LYON 7 TT GERLAND </v>
      </c>
    </row>
    <row r="53" spans="1:13" s="7" customFormat="1" x14ac:dyDescent="0.25">
      <c r="A53" s="25">
        <v>43</v>
      </c>
      <c r="B53" s="27">
        <v>3326326</v>
      </c>
      <c r="C53" s="27" t="s">
        <v>30137</v>
      </c>
      <c r="D53" s="28">
        <v>1783</v>
      </c>
      <c r="E53" s="29">
        <v>26759</v>
      </c>
      <c r="F53" s="27" t="s">
        <v>30155</v>
      </c>
      <c r="G53" s="26">
        <f t="shared" si="3"/>
        <v>1774.17</v>
      </c>
      <c r="I53" s="10" t="str">
        <f t="shared" si="4"/>
        <v>ERR</v>
      </c>
      <c r="J53" s="13" t="str">
        <f t="shared" si="5"/>
        <v>3326326</v>
      </c>
      <c r="K53" s="12" t="str">
        <f>VLOOKUP($J53,Base!$A$2:$G$50000,2,FALSE)</f>
        <v xml:space="preserve"> LIMOUSIN </v>
      </c>
      <c r="L53" s="12">
        <f>VLOOKUP($J53,Base!$A$2:$H$50000,8,FALSE)</f>
        <v>1774.17</v>
      </c>
      <c r="M53" s="12" t="str">
        <f>VLOOKUP($J53,Base!$A$2:$G$50000,7,FALSE)</f>
        <v xml:space="preserve"> NANTES MELLINET (LA) </v>
      </c>
    </row>
    <row r="54" spans="1:13" s="7" customFormat="1" x14ac:dyDescent="0.25">
      <c r="A54" s="25">
        <v>44</v>
      </c>
      <c r="B54" s="27">
        <v>9415552</v>
      </c>
      <c r="C54" s="27" t="s">
        <v>30201</v>
      </c>
      <c r="D54" s="28">
        <v>1748</v>
      </c>
      <c r="E54" s="29">
        <v>27351</v>
      </c>
      <c r="F54" s="27" t="s">
        <v>26366</v>
      </c>
      <c r="G54" s="26">
        <f t="shared" si="3"/>
        <v>1758.92</v>
      </c>
      <c r="I54" s="10" t="str">
        <f t="shared" si="4"/>
        <v>ERR</v>
      </c>
      <c r="J54" s="13" t="str">
        <f t="shared" si="5"/>
        <v>9415552</v>
      </c>
      <c r="K54" s="12" t="str">
        <f>VLOOKUP($J54,Base!$A$2:$G$50000,2,FALSE)</f>
        <v xml:space="preserve"> LEDAIN </v>
      </c>
      <c r="L54" s="12">
        <f>VLOOKUP($J54,Base!$A$2:$H$50000,8,FALSE)</f>
        <v>1758.92</v>
      </c>
      <c r="M54" s="12" t="str">
        <f>VLOOKUP($J54,Base!$A$2:$G$50000,7,FALSE)</f>
        <v xml:space="preserve"> RIS ORANGIS US </v>
      </c>
    </row>
    <row r="55" spans="1:13" s="7" customFormat="1" x14ac:dyDescent="0.25">
      <c r="A55" s="25">
        <v>45</v>
      </c>
      <c r="B55" s="27">
        <v>9422694</v>
      </c>
      <c r="C55" s="27" t="s">
        <v>30180</v>
      </c>
      <c r="D55" s="28">
        <v>1776</v>
      </c>
      <c r="E55" s="29">
        <v>28485</v>
      </c>
      <c r="F55" s="27" t="s">
        <v>26355</v>
      </c>
      <c r="G55" s="26">
        <f t="shared" si="3"/>
        <v>1734.29</v>
      </c>
      <c r="I55" s="10" t="str">
        <f t="shared" si="4"/>
        <v>ERR</v>
      </c>
      <c r="J55" s="13" t="str">
        <f t="shared" si="5"/>
        <v>9422694</v>
      </c>
      <c r="K55" s="12" t="str">
        <f>VLOOKUP($J55,Base!$A$2:$G$50000,2,FALSE)</f>
        <v xml:space="preserve"> CAMPAR </v>
      </c>
      <c r="L55" s="12">
        <f>VLOOKUP($J55,Base!$A$2:$H$50000,8,FALSE)</f>
        <v>1734.29</v>
      </c>
      <c r="M55" s="12" t="str">
        <f>VLOOKUP($J55,Base!$A$2:$G$50000,7,FALSE)</f>
        <v xml:space="preserve"> DRAVEIL TENNIS DE TABLE </v>
      </c>
    </row>
    <row r="56" spans="1:13" s="7" customFormat="1" x14ac:dyDescent="0.25">
      <c r="A56" s="25">
        <v>46</v>
      </c>
      <c r="B56" s="27">
        <v>9244273</v>
      </c>
      <c r="C56" s="27" t="s">
        <v>30131</v>
      </c>
      <c r="D56" s="28">
        <v>1733</v>
      </c>
      <c r="E56" s="29">
        <v>26425</v>
      </c>
      <c r="F56" s="27" t="s">
        <v>26371</v>
      </c>
      <c r="G56" s="26">
        <f t="shared" si="3"/>
        <v>1730.68</v>
      </c>
      <c r="I56" s="10" t="str">
        <f t="shared" si="4"/>
        <v>ERR</v>
      </c>
      <c r="J56" s="13" t="str">
        <f t="shared" si="5"/>
        <v>9244273</v>
      </c>
      <c r="K56" s="12" t="str">
        <f>VLOOKUP($J56,Base!$A$2:$G$50000,2,FALSE)</f>
        <v xml:space="preserve"> RAVAUX </v>
      </c>
      <c r="L56" s="12">
        <f>VLOOKUP($J56,Base!$A$2:$H$50000,8,FALSE)</f>
        <v>1730.68</v>
      </c>
      <c r="M56" s="12" t="str">
        <f>VLOOKUP($J56,Base!$A$2:$G$50000,7,FALSE)</f>
        <v xml:space="preserve"> CHILLY-MORANGIS CTT </v>
      </c>
    </row>
    <row r="57" spans="1:13" s="7" customFormat="1" x14ac:dyDescent="0.25">
      <c r="A57" s="25">
        <v>47</v>
      </c>
      <c r="B57" s="27">
        <v>692462</v>
      </c>
      <c r="C57" s="27" t="s">
        <v>30200</v>
      </c>
      <c r="D57" s="28">
        <v>1701</v>
      </c>
      <c r="E57" s="29">
        <v>25591</v>
      </c>
      <c r="F57" s="27" t="s">
        <v>13</v>
      </c>
      <c r="G57" s="26">
        <f t="shared" si="3"/>
        <v>1725.8</v>
      </c>
      <c r="I57" s="10" t="str">
        <f t="shared" si="4"/>
        <v>ERR</v>
      </c>
      <c r="J57" s="13" t="str">
        <f t="shared" si="5"/>
        <v>692462</v>
      </c>
      <c r="K57" s="12" t="str">
        <f>VLOOKUP($J57,Base!$A$2:$G$50000,2,FALSE)</f>
        <v xml:space="preserve"> HERNANDEZ </v>
      </c>
      <c r="L57" s="12">
        <f>VLOOKUP($J57,Base!$A$2:$H$50000,8,FALSE)</f>
        <v>1725.8</v>
      </c>
      <c r="M57" s="12" t="str">
        <f>VLOOKUP($J57,Base!$A$2:$G$50000,7,FALSE)</f>
        <v xml:space="preserve"> LYON 7 TT GERLAND </v>
      </c>
    </row>
    <row r="58" spans="1:13" s="7" customFormat="1" x14ac:dyDescent="0.25">
      <c r="A58" s="25">
        <v>48</v>
      </c>
      <c r="B58" s="27">
        <v>843944</v>
      </c>
      <c r="C58" s="27" t="s">
        <v>30135</v>
      </c>
      <c r="D58" s="28">
        <v>1718</v>
      </c>
      <c r="E58" s="29">
        <v>27998</v>
      </c>
      <c r="F58" s="27" t="s">
        <v>30123</v>
      </c>
      <c r="G58" s="26">
        <f t="shared" si="3"/>
        <v>1720.67</v>
      </c>
      <c r="I58" s="10" t="str">
        <f t="shared" si="4"/>
        <v>ERR</v>
      </c>
      <c r="J58" s="13" t="str">
        <f t="shared" si="5"/>
        <v>843944</v>
      </c>
      <c r="K58" s="12" t="str">
        <f>VLOOKUP($J58,Base!$A$2:$G$50000,2,FALSE)</f>
        <v xml:space="preserve"> BEAUMONT </v>
      </c>
      <c r="L58" s="12">
        <f>VLOOKUP($J58,Base!$A$2:$H$50000,8,FALSE)</f>
        <v>1720.67</v>
      </c>
      <c r="M58" s="12" t="str">
        <f>VLOOKUP($J58,Base!$A$2:$G$50000,7,FALSE)</f>
        <v xml:space="preserve"> PPC SORGUAIS </v>
      </c>
    </row>
    <row r="59" spans="1:13" s="7" customFormat="1" x14ac:dyDescent="0.25">
      <c r="A59" s="25">
        <v>49</v>
      </c>
      <c r="B59" s="27">
        <v>842353</v>
      </c>
      <c r="C59" s="27" t="s">
        <v>30124</v>
      </c>
      <c r="D59" s="28">
        <v>1708</v>
      </c>
      <c r="E59" s="29">
        <v>25317</v>
      </c>
      <c r="F59" s="27" t="s">
        <v>30123</v>
      </c>
      <c r="G59" s="26">
        <f t="shared" si="3"/>
        <v>1712.05</v>
      </c>
      <c r="I59" s="10" t="str">
        <f t="shared" si="4"/>
        <v>ERR</v>
      </c>
      <c r="J59" s="13" t="str">
        <f t="shared" si="5"/>
        <v>842353</v>
      </c>
      <c r="K59" s="12" t="str">
        <f>VLOOKUP($J59,Base!$A$2:$G$50000,2,FALSE)</f>
        <v xml:space="preserve"> COMTE </v>
      </c>
      <c r="L59" s="12">
        <f>VLOOKUP($J59,Base!$A$2:$H$50000,8,FALSE)</f>
        <v>1712.05</v>
      </c>
      <c r="M59" s="12" t="str">
        <f>VLOOKUP($J59,Base!$A$2:$G$50000,7,FALSE)</f>
        <v xml:space="preserve"> PPC SORGUAIS </v>
      </c>
    </row>
    <row r="60" spans="1:13" s="7" customFormat="1" x14ac:dyDescent="0.25">
      <c r="A60" s="25">
        <v>50</v>
      </c>
      <c r="B60" s="27">
        <v>28748</v>
      </c>
      <c r="C60" s="27" t="s">
        <v>30133</v>
      </c>
      <c r="D60" s="28">
        <v>1660</v>
      </c>
      <c r="E60" s="29">
        <v>25750</v>
      </c>
      <c r="F60" s="27" t="s">
        <v>26472</v>
      </c>
      <c r="G60" s="26">
        <f t="shared" si="3"/>
        <v>1695.17</v>
      </c>
      <c r="I60" s="10" t="str">
        <f t="shared" si="4"/>
        <v>ERR</v>
      </c>
      <c r="J60" s="13" t="str">
        <f t="shared" si="5"/>
        <v>28748</v>
      </c>
      <c r="K60" s="12" t="str">
        <f>VLOOKUP($J60,Base!$A$2:$G$50000,2,FALSE)</f>
        <v xml:space="preserve"> DASSIER </v>
      </c>
      <c r="L60" s="12">
        <f>VLOOKUP($J60,Base!$A$2:$H$50000,8,FALSE)</f>
        <v>1695.17</v>
      </c>
      <c r="M60" s="12" t="str">
        <f>VLOOKUP($J60,Base!$A$2:$G$50000,7,FALSE)</f>
        <v xml:space="preserve"> PAYS COURVILLOIS TT </v>
      </c>
    </row>
    <row r="61" spans="1:13" s="7" customFormat="1" x14ac:dyDescent="0.25">
      <c r="A61" s="25">
        <v>51</v>
      </c>
      <c r="B61" s="27">
        <v>95631</v>
      </c>
      <c r="C61" s="27" t="s">
        <v>30192</v>
      </c>
      <c r="D61" s="28">
        <v>1726</v>
      </c>
      <c r="E61" s="29">
        <v>25771</v>
      </c>
      <c r="F61" s="27" t="s">
        <v>30182</v>
      </c>
      <c r="G61" s="26">
        <f t="shared" si="3"/>
        <v>1690.55</v>
      </c>
      <c r="I61" s="10" t="str">
        <f t="shared" si="4"/>
        <v>ERR</v>
      </c>
      <c r="J61" s="13" t="str">
        <f t="shared" si="5"/>
        <v>95631</v>
      </c>
      <c r="K61" s="12" t="str">
        <f>VLOOKUP($J61,Base!$A$2:$G$50000,2,FALSE)</f>
        <v xml:space="preserve"> REGEARD </v>
      </c>
      <c r="L61" s="12">
        <f>VLOOKUP($J61,Base!$A$2:$H$50000,8,FALSE)</f>
        <v>1690.55</v>
      </c>
      <c r="M61" s="12" t="str">
        <f>VLOOKUP($J61,Base!$A$2:$G$50000,7,FALSE)</f>
        <v xml:space="preserve"> BEAUCHAMP CTT </v>
      </c>
    </row>
    <row r="62" spans="1:13" s="7" customFormat="1" x14ac:dyDescent="0.25">
      <c r="A62" s="25">
        <v>52</v>
      </c>
      <c r="B62" s="27">
        <v>13300</v>
      </c>
      <c r="C62" s="27" t="s">
        <v>30147</v>
      </c>
      <c r="D62" s="28">
        <v>1686</v>
      </c>
      <c r="E62" s="29">
        <v>27331</v>
      </c>
      <c r="F62" s="27" t="s">
        <v>26383</v>
      </c>
      <c r="G62" s="26">
        <f t="shared" si="3"/>
        <v>1648.17</v>
      </c>
      <c r="I62" s="10" t="str">
        <f t="shared" si="4"/>
        <v>ERR</v>
      </c>
      <c r="J62" s="13" t="str">
        <f t="shared" si="5"/>
        <v>13300</v>
      </c>
      <c r="K62" s="12" t="str">
        <f>VLOOKUP($J62,Base!$A$2:$G$50000,2,FALSE)</f>
        <v xml:space="preserve"> ZAMUNER </v>
      </c>
      <c r="L62" s="12">
        <f>VLOOKUP($J62,Base!$A$2:$H$50000,8,FALSE)</f>
        <v>1648.17</v>
      </c>
      <c r="M62" s="12" t="str">
        <f>VLOOKUP($J62,Base!$A$2:$G$50000,7,FALSE)</f>
        <v xml:space="preserve"> CANNET COTE D AZUR TT </v>
      </c>
    </row>
    <row r="63" spans="1:13" s="7" customFormat="1" x14ac:dyDescent="0.25">
      <c r="A63" s="25">
        <v>53</v>
      </c>
      <c r="B63" s="27">
        <v>472004</v>
      </c>
      <c r="C63" s="27" t="s">
        <v>30169</v>
      </c>
      <c r="D63" s="28">
        <v>1633</v>
      </c>
      <c r="E63" s="29">
        <v>26502</v>
      </c>
      <c r="F63" s="27" t="s">
        <v>30186</v>
      </c>
      <c r="G63" s="26">
        <f t="shared" si="3"/>
        <v>1625.17</v>
      </c>
      <c r="I63" s="10" t="str">
        <f t="shared" si="4"/>
        <v>ERR</v>
      </c>
      <c r="J63" s="13" t="str">
        <f t="shared" si="5"/>
        <v>472004</v>
      </c>
      <c r="K63" s="12" t="str">
        <f>VLOOKUP($J63,Base!$A$2:$G$50000,2,FALSE)</f>
        <v xml:space="preserve"> SALIS </v>
      </c>
      <c r="L63" s="12">
        <f>VLOOKUP($J63,Base!$A$2:$H$50000,8,FALSE)</f>
        <v>1625.17</v>
      </c>
      <c r="M63" s="12" t="str">
        <f>VLOOKUP($J63,Base!$A$2:$G$50000,7,FALSE)</f>
        <v xml:space="preserve"> TT PASSAGEOIS </v>
      </c>
    </row>
    <row r="64" spans="1:13" s="7" customFormat="1" x14ac:dyDescent="0.25">
      <c r="A64" s="25">
        <v>54</v>
      </c>
      <c r="B64" s="27">
        <v>941705</v>
      </c>
      <c r="C64" s="27" t="s">
        <v>30157</v>
      </c>
      <c r="D64" s="28">
        <v>1675</v>
      </c>
      <c r="E64" s="29">
        <v>26936</v>
      </c>
      <c r="F64" s="27" t="s">
        <v>26350</v>
      </c>
      <c r="G64" s="26">
        <f t="shared" si="3"/>
        <v>1617.8</v>
      </c>
      <c r="I64" s="10" t="str">
        <f t="shared" si="4"/>
        <v>ERR</v>
      </c>
      <c r="J64" s="13" t="str">
        <f t="shared" si="5"/>
        <v>941705</v>
      </c>
      <c r="K64" s="12" t="str">
        <f>VLOOKUP($J64,Base!$A$2:$G$50000,2,FALSE)</f>
        <v xml:space="preserve"> BERCY </v>
      </c>
      <c r="L64" s="12">
        <f>VLOOKUP($J64,Base!$A$2:$H$50000,8,FALSE)</f>
        <v>1617.8</v>
      </c>
      <c r="M64" s="12" t="str">
        <f>VLOOKUP($J64,Base!$A$2:$G$50000,7,FALSE)</f>
        <v xml:space="preserve"> CHARENTON TENNIS DE TABLE </v>
      </c>
    </row>
    <row r="65" spans="1:13" s="7" customFormat="1" x14ac:dyDescent="0.25">
      <c r="A65" s="25">
        <v>55</v>
      </c>
      <c r="B65" s="27">
        <v>451698</v>
      </c>
      <c r="C65" s="27" t="s">
        <v>30163</v>
      </c>
      <c r="D65" s="28">
        <v>1577</v>
      </c>
      <c r="E65" s="29">
        <v>26288</v>
      </c>
      <c r="F65" s="27" t="s">
        <v>26370</v>
      </c>
      <c r="G65" s="26">
        <f t="shared" si="3"/>
        <v>1599.67</v>
      </c>
      <c r="I65" s="10" t="str">
        <f t="shared" si="4"/>
        <v>ERR</v>
      </c>
      <c r="J65" s="13" t="str">
        <f t="shared" si="5"/>
        <v>451698</v>
      </c>
      <c r="K65" s="12" t="str">
        <f>VLOOKUP($J65,Base!$A$2:$G$50000,2,FALSE)</f>
        <v xml:space="preserve"> MENAND </v>
      </c>
      <c r="L65" s="12">
        <f>VLOOKUP($J65,Base!$A$2:$H$50000,8,FALSE)</f>
        <v>1599.67</v>
      </c>
      <c r="M65" s="12" t="str">
        <f>VLOOKUP($J65,Base!$A$2:$G$50000,7,FALSE)</f>
        <v xml:space="preserve"> CMPJM INGRE TT </v>
      </c>
    </row>
    <row r="66" spans="1:13" s="7" customFormat="1" x14ac:dyDescent="0.25">
      <c r="A66" s="25">
        <v>56</v>
      </c>
      <c r="B66" s="27">
        <v>7514353</v>
      </c>
      <c r="C66" s="27" t="s">
        <v>30154</v>
      </c>
      <c r="D66" s="28">
        <v>1533</v>
      </c>
      <c r="E66" s="29">
        <v>26604</v>
      </c>
      <c r="F66" s="27" t="s">
        <v>26377</v>
      </c>
      <c r="G66" s="26">
        <f t="shared" si="3"/>
        <v>1563.8</v>
      </c>
      <c r="I66" s="10" t="str">
        <f t="shared" si="4"/>
        <v>ERR</v>
      </c>
      <c r="J66" s="13" t="str">
        <f t="shared" si="5"/>
        <v>7514353</v>
      </c>
      <c r="K66" s="12" t="str">
        <f>VLOOKUP($J66,Base!$A$2:$G$50000,2,FALSE)</f>
        <v xml:space="preserve"> PEYRAT-ARMANDY </v>
      </c>
      <c r="L66" s="12">
        <f>VLOOKUP($J66,Base!$A$2:$H$50000,8,FALSE)</f>
        <v>1563.8</v>
      </c>
      <c r="M66" s="12" t="str">
        <f>VLOOKUP($J66,Base!$A$2:$G$50000,7,FALSE)</f>
        <v xml:space="preserve"> CLAMART CSM </v>
      </c>
    </row>
    <row r="67" spans="1:13" s="7" customFormat="1" x14ac:dyDescent="0.25">
      <c r="A67" s="25">
        <v>57</v>
      </c>
      <c r="B67" s="27">
        <v>364468</v>
      </c>
      <c r="C67" s="27" t="s">
        <v>30162</v>
      </c>
      <c r="D67" s="28">
        <v>1553</v>
      </c>
      <c r="E67" s="29">
        <v>28406</v>
      </c>
      <c r="F67" s="27" t="s">
        <v>26362</v>
      </c>
      <c r="G67" s="26">
        <f t="shared" si="3"/>
        <v>1542.3</v>
      </c>
      <c r="I67" s="10" t="str">
        <f t="shared" si="4"/>
        <v>ERR</v>
      </c>
      <c r="J67" s="13" t="str">
        <f t="shared" si="5"/>
        <v>364468</v>
      </c>
      <c r="K67" s="12" t="str">
        <f>VLOOKUP($J67,Base!$A$2:$G$50000,2,FALSE)</f>
        <v xml:space="preserve"> MERCIER </v>
      </c>
      <c r="L67" s="12">
        <f>VLOOKUP($J67,Base!$A$2:$H$50000,8,FALSE)</f>
        <v>1542.3</v>
      </c>
      <c r="M67" s="12" t="str">
        <f>VLOOKUP($J67,Base!$A$2:$G$50000,7,FALSE)</f>
        <v xml:space="preserve"> BERRICHONNE-CHATEAUROUX </v>
      </c>
    </row>
    <row r="68" spans="1:13" s="7" customFormat="1" x14ac:dyDescent="0.25">
      <c r="A68" s="25">
        <v>58</v>
      </c>
      <c r="B68" s="27">
        <v>7214272</v>
      </c>
      <c r="C68" s="27" t="s">
        <v>30204</v>
      </c>
      <c r="D68" s="28">
        <v>1513</v>
      </c>
      <c r="E68" s="29">
        <v>26526</v>
      </c>
      <c r="F68" s="27" t="s">
        <v>26363</v>
      </c>
      <c r="G68" s="26">
        <f t="shared" si="3"/>
        <v>1520.8</v>
      </c>
      <c r="I68" s="10" t="str">
        <f t="shared" si="4"/>
        <v>ERR</v>
      </c>
      <c r="J68" s="13" t="str">
        <f t="shared" si="5"/>
        <v>7214272</v>
      </c>
      <c r="K68" s="12" t="str">
        <f>VLOOKUP($J68,Base!$A$2:$G$50000,2,FALSE)</f>
        <v xml:space="preserve"> TOUTOUYOUTE </v>
      </c>
      <c r="L68" s="12">
        <f>VLOOKUP($J68,Base!$A$2:$H$50000,8,FALSE)</f>
        <v>1520.8</v>
      </c>
      <c r="M68" s="12" t="str">
        <f>VLOOKUP($J68,Base!$A$2:$G$50000,7,FALSE)</f>
        <v xml:space="preserve"> LE MANS SARTHE TENNIS DE </v>
      </c>
    </row>
    <row r="69" spans="1:13" s="7" customFormat="1" x14ac:dyDescent="0.25">
      <c r="A69" s="25">
        <v>59</v>
      </c>
      <c r="B69" s="27">
        <v>8323</v>
      </c>
      <c r="C69" s="27" t="s">
        <v>30197</v>
      </c>
      <c r="D69" s="28">
        <v>1489</v>
      </c>
      <c r="E69" s="29">
        <v>25419</v>
      </c>
      <c r="F69" s="27" t="s">
        <v>30146</v>
      </c>
      <c r="G69" s="26">
        <f t="shared" si="3"/>
        <v>1504.79</v>
      </c>
      <c r="I69" s="10" t="str">
        <f t="shared" si="4"/>
        <v>ERR</v>
      </c>
      <c r="J69" s="13" t="str">
        <f t="shared" si="5"/>
        <v>8323</v>
      </c>
      <c r="K69" s="12" t="str">
        <f>VLOOKUP($J69,Base!$A$2:$G$50000,2,FALSE)</f>
        <v xml:space="preserve"> HENNIQUE </v>
      </c>
      <c r="L69" s="12">
        <f>VLOOKUP($J69,Base!$A$2:$H$50000,8,FALSE)</f>
        <v>1504.79</v>
      </c>
      <c r="M69" s="12" t="str">
        <f>VLOOKUP($J69,Base!$A$2:$G$50000,7,FALSE)</f>
        <v xml:space="preserve"> TOULON LA SEYNE Tennis de </v>
      </c>
    </row>
    <row r="70" spans="1:13" s="7" customFormat="1" x14ac:dyDescent="0.25">
      <c r="A70" s="25">
        <v>60</v>
      </c>
      <c r="B70" s="27">
        <v>3813842</v>
      </c>
      <c r="C70" s="27" t="s">
        <v>30187</v>
      </c>
      <c r="D70" s="28">
        <v>1541</v>
      </c>
      <c r="E70" s="29">
        <v>27749</v>
      </c>
      <c r="F70" s="27" t="s">
        <v>30168</v>
      </c>
      <c r="G70" s="26">
        <f t="shared" si="3"/>
        <v>1492.79</v>
      </c>
      <c r="I70" s="10" t="str">
        <f t="shared" si="4"/>
        <v>ERR</v>
      </c>
      <c r="J70" s="13" t="str">
        <f t="shared" si="5"/>
        <v>3813842</v>
      </c>
      <c r="K70" s="12" t="str">
        <f>VLOOKUP($J70,Base!$A$2:$G$50000,2,FALSE)</f>
        <v xml:space="preserve"> PEREYROL </v>
      </c>
      <c r="L70" s="12">
        <f>VLOOKUP($J70,Base!$A$2:$H$50000,8,FALSE)</f>
        <v>1492.79</v>
      </c>
      <c r="M70" s="12" t="str">
        <f>VLOOKUP($J70,Base!$A$2:$G$50000,7,FALSE)</f>
        <v xml:space="preserve"> CHALON TENNIS DE TABLE </v>
      </c>
    </row>
    <row r="71" spans="1:13" s="7" customFormat="1" x14ac:dyDescent="0.25">
      <c r="A71" s="25">
        <v>61</v>
      </c>
      <c r="B71" s="27" t="s">
        <v>30165</v>
      </c>
      <c r="C71" s="27" t="s">
        <v>30202</v>
      </c>
      <c r="D71" s="28">
        <v>1461</v>
      </c>
      <c r="E71" s="29">
        <v>27211</v>
      </c>
      <c r="F71" s="27" t="s">
        <v>26432</v>
      </c>
      <c r="G71" s="26">
        <f t="shared" si="3"/>
        <v>1480.17</v>
      </c>
      <c r="I71" s="10" t="str">
        <f t="shared" si="4"/>
        <v>ERR</v>
      </c>
      <c r="J71" s="13" t="str">
        <f t="shared" si="5"/>
        <v>9D508</v>
      </c>
      <c r="K71" s="12" t="str">
        <f>VLOOKUP($J71,Base!$A$2:$G$50000,2,FALSE)</f>
        <v xml:space="preserve"> MOUQUET </v>
      </c>
      <c r="L71" s="12">
        <f>VLOOKUP($J71,Base!$A$2:$H$50000,8,FALSE)</f>
        <v>1480.17</v>
      </c>
      <c r="M71" s="12" t="str">
        <f>VLOOKUP($J71,Base!$A$2:$G$50000,7,FALSE)</f>
        <v xml:space="preserve"> TAMPON TENNIS DE TABLE </v>
      </c>
    </row>
    <row r="72" spans="1:13" s="7" customFormat="1" x14ac:dyDescent="0.25">
      <c r="A72" s="25">
        <v>62</v>
      </c>
      <c r="B72" s="27">
        <v>66876</v>
      </c>
      <c r="C72" s="27" t="s">
        <v>30164</v>
      </c>
      <c r="D72" s="28">
        <v>1466</v>
      </c>
      <c r="E72" s="29">
        <v>27087</v>
      </c>
      <c r="F72" s="27" t="s">
        <v>30188</v>
      </c>
      <c r="G72" s="26">
        <f t="shared" si="3"/>
        <v>1471.56</v>
      </c>
      <c r="I72" s="10" t="str">
        <f t="shared" si="4"/>
        <v>ERR</v>
      </c>
      <c r="J72" s="13" t="str">
        <f t="shared" si="5"/>
        <v>66876</v>
      </c>
      <c r="K72" s="12" t="str">
        <f>VLOOKUP($J72,Base!$A$2:$G$50000,2,FALSE)</f>
        <v xml:space="preserve"> SALVAT </v>
      </c>
      <c r="L72" s="12">
        <f>VLOOKUP($J72,Base!$A$2:$H$50000,8,FALSE)</f>
        <v>1471.56</v>
      </c>
      <c r="M72" s="12" t="str">
        <f>VLOOKUP($J72,Base!$A$2:$G$50000,7,FALSE)</f>
        <v xml:space="preserve"> PPC BASTIA </v>
      </c>
    </row>
    <row r="73" spans="1:13" s="7" customFormat="1" x14ac:dyDescent="0.25">
      <c r="A73" s="25">
        <v>63</v>
      </c>
      <c r="B73" s="27">
        <v>663131</v>
      </c>
      <c r="C73" s="27" t="s">
        <v>30190</v>
      </c>
      <c r="D73" s="28">
        <v>1490</v>
      </c>
      <c r="E73" s="29">
        <v>28590</v>
      </c>
      <c r="F73" s="27" t="s">
        <v>26376</v>
      </c>
      <c r="G73" s="26">
        <f t="shared" si="3"/>
        <v>1469.55</v>
      </c>
      <c r="I73" s="10" t="str">
        <f t="shared" si="4"/>
        <v>ERR</v>
      </c>
      <c r="J73" s="13" t="str">
        <f t="shared" si="5"/>
        <v>663131</v>
      </c>
      <c r="K73" s="12" t="str">
        <f>VLOOKUP($J73,Base!$A$2:$G$50000,2,FALSE)</f>
        <v xml:space="preserve"> GROSSMANN </v>
      </c>
      <c r="L73" s="12">
        <f>VLOOKUP($J73,Base!$A$2:$H$50000,8,FALSE)</f>
        <v>1469.55</v>
      </c>
      <c r="M73" s="12" t="str">
        <f>VLOOKUP($J73,Base!$A$2:$G$50000,7,FALSE)</f>
        <v xml:space="preserve"> CA BEGLAIS </v>
      </c>
    </row>
    <row r="74" spans="1:13" s="7" customFormat="1" x14ac:dyDescent="0.25">
      <c r="A74" s="25">
        <v>64</v>
      </c>
      <c r="B74" s="27">
        <v>99392</v>
      </c>
      <c r="C74" s="27" t="s">
        <v>30189</v>
      </c>
      <c r="D74" s="28">
        <v>1427</v>
      </c>
      <c r="E74" s="29">
        <v>25595</v>
      </c>
      <c r="F74" s="27" t="s">
        <v>26368</v>
      </c>
      <c r="G74" s="26">
        <f t="shared" si="3"/>
        <v>1419.81</v>
      </c>
      <c r="I74" s="10" t="str">
        <f t="shared" si="4"/>
        <v>ERR</v>
      </c>
      <c r="J74" s="13" t="str">
        <f t="shared" si="5"/>
        <v>99392</v>
      </c>
      <c r="K74" s="12" t="str">
        <f>VLOOKUP($J74,Base!$A$2:$G$50000,2,FALSE)</f>
        <v xml:space="preserve"> MERCIER FINIDORI </v>
      </c>
      <c r="L74" s="12">
        <f>VLOOKUP($J74,Base!$A$2:$H$50000,8,FALSE)</f>
        <v>1419.81</v>
      </c>
      <c r="M74" s="12" t="str">
        <f>VLOOKUP($J74,Base!$A$2:$G$50000,7,FALSE)</f>
        <v xml:space="preserve"> A.S.P.BONIFACIO </v>
      </c>
    </row>
  </sheetData>
  <sortState ref="A11:M74">
    <sortCondition descending="1" ref="G11:G74"/>
  </sortState>
  <mergeCells count="3">
    <mergeCell ref="A6:F6"/>
    <mergeCell ref="A7:F7"/>
    <mergeCell ref="I7:M7"/>
  </mergeCells>
  <printOptions horizontalCentered="1"/>
  <pageMargins left="0" right="0" top="0.59055118110236227" bottom="0.59055118110236227" header="0.31496062992125984" footer="0.31496062992125984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M21"/>
  <sheetViews>
    <sheetView showGridLines="0" tabSelected="1" topLeftCell="A4" zoomScale="130" zoomScaleNormal="130" workbookViewId="0">
      <selection activeCell="F9" sqref="F9"/>
    </sheetView>
  </sheetViews>
  <sheetFormatPr baseColWidth="10" defaultColWidth="11.44140625" defaultRowHeight="10.199999999999999" x14ac:dyDescent="0.25"/>
  <cols>
    <col min="1" max="1" width="3.6640625" style="5" customWidth="1"/>
    <col min="2" max="2" width="7.88671875" style="6" customWidth="1"/>
    <col min="3" max="3" width="28.44140625" style="5" customWidth="1"/>
    <col min="4" max="4" width="8.6640625" style="6" customWidth="1"/>
    <col min="5" max="5" width="10.6640625" style="6" customWidth="1"/>
    <col min="6" max="6" width="45.44140625" style="5" customWidth="1"/>
    <col min="7" max="7" width="8.77734375" style="5" customWidth="1"/>
    <col min="8" max="9" width="4" style="5" customWidth="1"/>
    <col min="10" max="10" width="8" style="11" customWidth="1"/>
    <col min="11" max="11" width="21" style="8" customWidth="1"/>
    <col min="12" max="12" width="11.44140625" style="8" customWidth="1"/>
    <col min="13" max="13" width="29.5546875" style="8" customWidth="1"/>
    <col min="14" max="16384" width="11.44140625" style="5"/>
  </cols>
  <sheetData>
    <row r="1" spans="1:13" x14ac:dyDescent="0.25">
      <c r="A1" s="1" t="s">
        <v>26504</v>
      </c>
      <c r="B1" s="3"/>
      <c r="C1" s="2"/>
      <c r="E1" s="3"/>
      <c r="F1" s="4" t="s">
        <v>26508</v>
      </c>
      <c r="G1" s="4"/>
    </row>
    <row r="2" spans="1:13" x14ac:dyDescent="0.25">
      <c r="A2" s="1" t="s">
        <v>23</v>
      </c>
      <c r="B2" s="3"/>
      <c r="C2" s="2"/>
      <c r="E2" s="3"/>
      <c r="F2" s="3"/>
      <c r="G2" s="3"/>
    </row>
    <row r="3" spans="1:13" x14ac:dyDescent="0.25">
      <c r="A3" s="1" t="s">
        <v>26349</v>
      </c>
      <c r="B3" s="3"/>
      <c r="C3" s="2"/>
      <c r="E3" s="3"/>
      <c r="F3" s="4"/>
      <c r="G3" s="4"/>
    </row>
    <row r="4" spans="1:13" x14ac:dyDescent="0.25">
      <c r="A4" s="1" t="s">
        <v>0</v>
      </c>
      <c r="B4" s="3"/>
      <c r="C4" s="2"/>
      <c r="E4" s="3"/>
      <c r="F4" s="3"/>
      <c r="G4" s="3"/>
    </row>
    <row r="5" spans="1:13" x14ac:dyDescent="0.25">
      <c r="A5" s="1"/>
      <c r="B5" s="3"/>
      <c r="C5" s="2"/>
      <c r="E5" s="3"/>
      <c r="F5" s="3"/>
      <c r="G5" s="3"/>
    </row>
    <row r="6" spans="1:13" ht="21" x14ac:dyDescent="0.25">
      <c r="A6" s="50" t="s">
        <v>26503</v>
      </c>
      <c r="B6" s="50"/>
      <c r="C6" s="50"/>
      <c r="D6" s="50"/>
      <c r="E6" s="50"/>
      <c r="F6" s="50"/>
      <c r="G6" s="22"/>
    </row>
    <row r="7" spans="1:13" ht="28.5" customHeight="1" x14ac:dyDescent="0.25">
      <c r="A7" s="51" t="s">
        <v>22</v>
      </c>
      <c r="B7" s="51"/>
      <c r="C7" s="51"/>
      <c r="D7" s="51"/>
      <c r="E7" s="51"/>
      <c r="F7" s="51"/>
      <c r="G7" s="23"/>
      <c r="I7" s="52" t="s">
        <v>8</v>
      </c>
      <c r="J7" s="53"/>
      <c r="K7" s="53"/>
      <c r="L7" s="53"/>
      <c r="M7" s="53"/>
    </row>
    <row r="8" spans="1:13" x14ac:dyDescent="0.25">
      <c r="A8" s="1"/>
      <c r="B8" s="3"/>
      <c r="C8" s="2"/>
      <c r="E8" s="3"/>
      <c r="F8" s="49" t="s">
        <v>30649</v>
      </c>
      <c r="G8" s="3"/>
    </row>
    <row r="10" spans="1:13" s="7" customFormat="1" ht="30.6" x14ac:dyDescent="0.25">
      <c r="A10" s="37" t="s">
        <v>2</v>
      </c>
      <c r="B10" s="37" t="s">
        <v>1</v>
      </c>
      <c r="C10" s="37" t="s">
        <v>4</v>
      </c>
      <c r="D10" s="38" t="s">
        <v>26509</v>
      </c>
      <c r="E10" s="39" t="s">
        <v>10</v>
      </c>
      <c r="F10" s="37" t="s">
        <v>5</v>
      </c>
      <c r="G10" s="39" t="s">
        <v>26510</v>
      </c>
      <c r="I10" s="9" t="s">
        <v>7</v>
      </c>
      <c r="J10" s="9" t="s">
        <v>1</v>
      </c>
      <c r="K10" s="9" t="s">
        <v>4</v>
      </c>
      <c r="L10" s="9" t="s">
        <v>3</v>
      </c>
      <c r="M10" s="9" t="s">
        <v>6</v>
      </c>
    </row>
    <row r="11" spans="1:13" s="7" customFormat="1" ht="11.25" customHeight="1" x14ac:dyDescent="0.25">
      <c r="A11" s="25">
        <v>1</v>
      </c>
      <c r="B11" s="27">
        <v>37239</v>
      </c>
      <c r="C11" s="27" t="s">
        <v>30335</v>
      </c>
      <c r="D11" s="28">
        <v>1018</v>
      </c>
      <c r="E11" s="29">
        <v>13453</v>
      </c>
      <c r="F11" s="27" t="s">
        <v>26457</v>
      </c>
      <c r="G11" s="26">
        <f>L11</f>
        <v>962.17</v>
      </c>
      <c r="I11" s="10" t="str">
        <f>IF(C11=K11,"","ERR")</f>
        <v>ERR</v>
      </c>
      <c r="J11" s="13" t="str">
        <f>LEFT(B11,LEN(B11))</f>
        <v>37239</v>
      </c>
      <c r="K11" s="12" t="str">
        <f>VLOOKUP($J11,Base!$A$2:$H$42700,2,FALSE)</f>
        <v xml:space="preserve"> PILLIERE </v>
      </c>
      <c r="L11" s="12">
        <f>VLOOKUP($J11,Base!$A$2:$H$42700,8,FALSE)</f>
        <v>962.17</v>
      </c>
      <c r="M11" s="12" t="str">
        <f>VLOOKUP($J11,Base!$A$2:$H$42700,7,FALSE)</f>
        <v xml:space="preserve"> C.S.MEMBROLLAIS Tennis de </v>
      </c>
    </row>
    <row r="12" spans="1:13" s="7" customFormat="1" ht="11.25" customHeight="1" x14ac:dyDescent="0.25">
      <c r="A12" s="25">
        <v>2</v>
      </c>
      <c r="B12" s="27">
        <v>692307</v>
      </c>
      <c r="C12" s="27" t="s">
        <v>30334</v>
      </c>
      <c r="D12" s="28">
        <v>861</v>
      </c>
      <c r="E12" s="29">
        <v>13086</v>
      </c>
      <c r="F12" s="27" t="s">
        <v>26440</v>
      </c>
      <c r="G12" s="26">
        <f>L12</f>
        <v>858.17</v>
      </c>
      <c r="I12" s="10" t="str">
        <f>IF(C12=K12,"","ERR")</f>
        <v>ERR</v>
      </c>
      <c r="J12" s="13" t="str">
        <f>LEFT(B12,LEN(B12))</f>
        <v>692307</v>
      </c>
      <c r="K12" s="12" t="str">
        <f>VLOOKUP($J12,Base!$A$2:$H$42700,2,FALSE)</f>
        <v xml:space="preserve"> FAFOURNOUX </v>
      </c>
      <c r="L12" s="12">
        <f>VLOOKUP($J12,Base!$A$2:$H$42700,8,FALSE)</f>
        <v>858.17</v>
      </c>
      <c r="M12" s="12" t="str">
        <f>VLOOKUP($J12,Base!$A$2:$H$42700,7,FALSE)</f>
        <v xml:space="preserve"> CHAMPAGNE TT </v>
      </c>
    </row>
    <row r="13" spans="1:13" s="7" customFormat="1" ht="11.25" customHeight="1" x14ac:dyDescent="0.25">
      <c r="A13" s="25">
        <v>3</v>
      </c>
      <c r="B13" s="27">
        <v>13642</v>
      </c>
      <c r="C13" s="27" t="s">
        <v>30333</v>
      </c>
      <c r="D13" s="28">
        <v>500</v>
      </c>
      <c r="E13" s="29">
        <v>12743</v>
      </c>
      <c r="F13" s="27" t="s">
        <v>26499</v>
      </c>
      <c r="G13" s="26">
        <f>L13</f>
        <v>501</v>
      </c>
      <c r="I13" s="10" t="str">
        <f>IF(C13=K13,"","ERR")</f>
        <v>ERR</v>
      </c>
      <c r="J13" s="13" t="str">
        <f>LEFT(B13,LEN(B13))</f>
        <v>13642</v>
      </c>
      <c r="K13" s="12" t="str">
        <f>VLOOKUP($J13,Base!$A$2:$H$42700,2,FALSE)</f>
        <v xml:space="preserve"> LEANDRI </v>
      </c>
      <c r="L13" s="12">
        <f>VLOOKUP($J13,Base!$A$2:$H$42700,8,FALSE)</f>
        <v>501</v>
      </c>
      <c r="M13" s="12" t="str">
        <f>VLOOKUP($J13,Base!$A$2:$H$42700,7,FALSE)</f>
        <v xml:space="preserve"> MARSEILLE TENNIS DE TABLE </v>
      </c>
    </row>
    <row r="14" spans="1:13" s="7" customFormat="1" ht="11.25" customHeight="1" x14ac:dyDescent="0.25">
      <c r="A14" s="25">
        <v>4</v>
      </c>
      <c r="B14" s="27">
        <v>402688</v>
      </c>
      <c r="C14" s="27" t="s">
        <v>30340</v>
      </c>
      <c r="D14" s="28">
        <v>506</v>
      </c>
      <c r="E14" s="29">
        <v>13898</v>
      </c>
      <c r="F14" s="27" t="s">
        <v>26480</v>
      </c>
      <c r="G14" s="26">
        <f>L14</f>
        <v>487.17</v>
      </c>
      <c r="I14" s="10" t="str">
        <f>IF(C14=K14,"","ERR")</f>
        <v>ERR</v>
      </c>
      <c r="J14" s="13" t="str">
        <f>LEFT(B14,LEN(B14))</f>
        <v>402688</v>
      </c>
      <c r="K14" s="12" t="str">
        <f>VLOOKUP($J14,Base!$A$2:$H$42700,2,FALSE)</f>
        <v xml:space="preserve"> DEL CASTILLO </v>
      </c>
      <c r="L14" s="12">
        <f>VLOOKUP($J14,Base!$A$2:$H$42700,8,FALSE)</f>
        <v>487.17</v>
      </c>
      <c r="M14" s="12" t="str">
        <f>VLOOKUP($J14,Base!$A$2:$H$42700,7,FALSE)</f>
        <v xml:space="preserve"> J D ARC DE DAX </v>
      </c>
    </row>
    <row r="17" spans="1:6" x14ac:dyDescent="0.25">
      <c r="C17" s="54" t="s">
        <v>30648</v>
      </c>
      <c r="D17" s="54"/>
      <c r="E17" s="54"/>
      <c r="F17" s="54"/>
    </row>
    <row r="21" spans="1:6" x14ac:dyDescent="0.25">
      <c r="A21" s="48" t="s">
        <v>30644</v>
      </c>
      <c r="B21" s="41">
        <v>832452</v>
      </c>
      <c r="C21" s="41" t="s">
        <v>30344</v>
      </c>
      <c r="D21" s="42">
        <v>525</v>
      </c>
      <c r="E21" s="43">
        <v>13417</v>
      </c>
      <c r="F21" s="41" t="s">
        <v>26461</v>
      </c>
    </row>
  </sheetData>
  <sortState ref="A11:M15">
    <sortCondition descending="1" ref="G11:G15"/>
  </sortState>
  <mergeCells count="4">
    <mergeCell ref="A6:F6"/>
    <mergeCell ref="A7:F7"/>
    <mergeCell ref="I7:M7"/>
    <mergeCell ref="C17:F17"/>
  </mergeCells>
  <printOptions horizontalCentered="1"/>
  <pageMargins left="0.19685039370078741" right="0.19685039370078741" top="0.59055118110236227" bottom="0.59055118110236227" header="0.31496062992125984" footer="0.31496062992125984"/>
  <pageSetup paperSize="9" scale="8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 x14ac:dyDescent="0.25"/>
  <sheetData/>
  <sortState ref="A1:T75">
    <sortCondition ref="G1:G75"/>
  </sortState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930"/>
  <sheetViews>
    <sheetView workbookViewId="0">
      <selection activeCell="A2" sqref="A2"/>
    </sheetView>
  </sheetViews>
  <sheetFormatPr baseColWidth="10" defaultRowHeight="13.2" x14ac:dyDescent="0.25"/>
  <cols>
    <col min="1" max="1" width="11.5546875" style="15"/>
    <col min="2" max="3" width="23.33203125" style="16" customWidth="1"/>
    <col min="4" max="6" width="11.5546875" style="15"/>
    <col min="7" max="7" width="29.88671875" style="16" bestFit="1" customWidth="1"/>
    <col min="8" max="16384" width="11.5546875" style="16"/>
  </cols>
  <sheetData>
    <row r="1" spans="1:8" s="15" customFormat="1" x14ac:dyDescent="0.25">
      <c r="A1" s="14" t="s">
        <v>24</v>
      </c>
      <c r="B1" s="14" t="s">
        <v>25</v>
      </c>
      <c r="C1" s="14" t="s">
        <v>26</v>
      </c>
      <c r="D1" s="14" t="s">
        <v>27</v>
      </c>
      <c r="E1" s="14" t="s">
        <v>28</v>
      </c>
      <c r="F1" s="14" t="s">
        <v>29</v>
      </c>
      <c r="G1" s="14" t="s">
        <v>30</v>
      </c>
      <c r="H1" s="14" t="s">
        <v>31</v>
      </c>
    </row>
    <row r="2" spans="1:8" customFormat="1" x14ac:dyDescent="0.25">
      <c r="A2" t="str">
        <f>"4429784"</f>
        <v>4429784</v>
      </c>
      <c r="B2" t="s">
        <v>45</v>
      </c>
      <c r="C2" t="s">
        <v>46</v>
      </c>
      <c r="D2" s="21" t="s">
        <v>34</v>
      </c>
      <c r="E2" s="21" t="s">
        <v>35</v>
      </c>
      <c r="F2">
        <v>12440002</v>
      </c>
      <c r="G2" t="s">
        <v>47</v>
      </c>
      <c r="H2" s="21">
        <v>2759.67</v>
      </c>
    </row>
    <row r="3" spans="1:8" customFormat="1" x14ac:dyDescent="0.25">
      <c r="A3" t="str">
        <f>"584842"</f>
        <v>584842</v>
      </c>
      <c r="B3" t="s">
        <v>42</v>
      </c>
      <c r="C3" t="s">
        <v>43</v>
      </c>
      <c r="D3" s="21" t="s">
        <v>34</v>
      </c>
      <c r="E3" s="21" t="s">
        <v>35</v>
      </c>
      <c r="F3">
        <v>8930024</v>
      </c>
      <c r="G3" t="s">
        <v>44</v>
      </c>
      <c r="H3" s="21">
        <v>2735.67</v>
      </c>
    </row>
    <row r="4" spans="1:8" customFormat="1" x14ac:dyDescent="0.25">
      <c r="A4" t="str">
        <f>"83866"</f>
        <v>83866</v>
      </c>
      <c r="B4" t="s">
        <v>57</v>
      </c>
      <c r="C4" t="s">
        <v>58</v>
      </c>
      <c r="D4" s="21" t="s">
        <v>34</v>
      </c>
      <c r="E4" s="21" t="s">
        <v>35</v>
      </c>
      <c r="F4">
        <v>13060007</v>
      </c>
      <c r="G4" t="s">
        <v>59</v>
      </c>
      <c r="H4" s="21">
        <v>2670.67</v>
      </c>
    </row>
    <row r="5" spans="1:8" customFormat="1" x14ac:dyDescent="0.25">
      <c r="A5" t="str">
        <f>"928073"</f>
        <v>928073</v>
      </c>
      <c r="B5" t="s">
        <v>48</v>
      </c>
      <c r="C5" t="s">
        <v>49</v>
      </c>
      <c r="D5" s="21" t="s">
        <v>34</v>
      </c>
      <c r="E5" s="21" t="s">
        <v>35</v>
      </c>
      <c r="F5">
        <v>8771170</v>
      </c>
      <c r="G5" t="s">
        <v>50</v>
      </c>
      <c r="H5" s="21">
        <v>2659.92</v>
      </c>
    </row>
    <row r="6" spans="1:8" customFormat="1" x14ac:dyDescent="0.25">
      <c r="A6" t="str">
        <f>"9227488"</f>
        <v>9227488</v>
      </c>
      <c r="B6" t="s">
        <v>54</v>
      </c>
      <c r="C6" t="s">
        <v>55</v>
      </c>
      <c r="D6" s="21" t="s">
        <v>34</v>
      </c>
      <c r="E6" s="21" t="s">
        <v>35</v>
      </c>
      <c r="F6">
        <v>9760018</v>
      </c>
      <c r="G6" t="s">
        <v>117</v>
      </c>
      <c r="H6" s="21">
        <v>2648.67</v>
      </c>
    </row>
    <row r="7" spans="1:8" customFormat="1" x14ac:dyDescent="0.25">
      <c r="A7" t="str">
        <f>"4920268"</f>
        <v>4920268</v>
      </c>
      <c r="B7" t="s">
        <v>3440</v>
      </c>
      <c r="C7" t="s">
        <v>7740</v>
      </c>
      <c r="D7" s="21" t="s">
        <v>34</v>
      </c>
      <c r="E7" s="21" t="s">
        <v>35</v>
      </c>
      <c r="F7">
        <v>8930024</v>
      </c>
      <c r="G7" t="s">
        <v>44</v>
      </c>
      <c r="H7" s="21">
        <v>2643.67</v>
      </c>
    </row>
    <row r="8" spans="1:8" customFormat="1" x14ac:dyDescent="0.25">
      <c r="A8" t="str">
        <f>"3323740"</f>
        <v>3323740</v>
      </c>
      <c r="B8" t="s">
        <v>51</v>
      </c>
      <c r="C8" t="s">
        <v>52</v>
      </c>
      <c r="D8" s="21" t="s">
        <v>34</v>
      </c>
      <c r="E8" s="21" t="s">
        <v>35</v>
      </c>
      <c r="F8">
        <v>10330002</v>
      </c>
      <c r="G8" t="s">
        <v>53</v>
      </c>
      <c r="H8" s="21">
        <v>2633.17</v>
      </c>
    </row>
    <row r="9" spans="1:8" customFormat="1" x14ac:dyDescent="0.25">
      <c r="A9" t="str">
        <f>"541926"</f>
        <v>541926</v>
      </c>
      <c r="B9" t="s">
        <v>61</v>
      </c>
      <c r="C9" t="s">
        <v>62</v>
      </c>
      <c r="D9" s="21" t="s">
        <v>34</v>
      </c>
      <c r="E9" s="21" t="s">
        <v>35</v>
      </c>
      <c r="F9">
        <v>6540032</v>
      </c>
      <c r="G9" t="s">
        <v>63</v>
      </c>
      <c r="H9" s="21">
        <v>2565.67</v>
      </c>
    </row>
    <row r="10" spans="1:8" customFormat="1" x14ac:dyDescent="0.25">
      <c r="A10" t="str">
        <f>"343032"</f>
        <v>343032</v>
      </c>
      <c r="B10" t="s">
        <v>67</v>
      </c>
      <c r="C10" t="s">
        <v>55</v>
      </c>
      <c r="D10" s="21" t="s">
        <v>34</v>
      </c>
      <c r="E10" s="21" t="s">
        <v>35</v>
      </c>
      <c r="F10">
        <v>13130012</v>
      </c>
      <c r="G10" t="s">
        <v>68</v>
      </c>
      <c r="H10" s="21">
        <v>2557.0500000000002</v>
      </c>
    </row>
    <row r="11" spans="1:8" customFormat="1" x14ac:dyDescent="0.25">
      <c r="A11" t="str">
        <f>"615506"</f>
        <v>615506</v>
      </c>
      <c r="B11" t="s">
        <v>73</v>
      </c>
      <c r="C11" t="s">
        <v>74</v>
      </c>
      <c r="D11" s="21" t="s">
        <v>34</v>
      </c>
      <c r="E11" s="21" t="s">
        <v>71</v>
      </c>
      <c r="F11">
        <v>9610002</v>
      </c>
      <c r="G11" t="s">
        <v>75</v>
      </c>
      <c r="H11" s="21">
        <v>2526.17</v>
      </c>
    </row>
    <row r="12" spans="1:8" customFormat="1" x14ac:dyDescent="0.25">
      <c r="A12" t="str">
        <f>"339735"</f>
        <v>339735</v>
      </c>
      <c r="B12" t="s">
        <v>76</v>
      </c>
      <c r="C12" t="s">
        <v>77</v>
      </c>
      <c r="D12" s="21" t="s">
        <v>34</v>
      </c>
      <c r="E12" s="21" t="s">
        <v>71</v>
      </c>
      <c r="F12">
        <v>10330002</v>
      </c>
      <c r="G12" t="s">
        <v>53</v>
      </c>
      <c r="H12" s="21">
        <v>2518.67</v>
      </c>
    </row>
    <row r="13" spans="1:8" customFormat="1" x14ac:dyDescent="0.25">
      <c r="A13" t="str">
        <f>"346130"</f>
        <v>346130</v>
      </c>
      <c r="B13" t="s">
        <v>64</v>
      </c>
      <c r="C13" t="s">
        <v>65</v>
      </c>
      <c r="D13" s="21" t="s">
        <v>34</v>
      </c>
      <c r="E13" s="21" t="s">
        <v>35</v>
      </c>
      <c r="F13">
        <v>11340010</v>
      </c>
      <c r="G13" t="s">
        <v>66</v>
      </c>
      <c r="H13" s="21">
        <v>2516.17</v>
      </c>
    </row>
    <row r="14" spans="1:8" customFormat="1" x14ac:dyDescent="0.25">
      <c r="A14" t="str">
        <f>"086591"</f>
        <v>086591</v>
      </c>
      <c r="B14" t="s">
        <v>69</v>
      </c>
      <c r="C14" t="s">
        <v>70</v>
      </c>
      <c r="D14" s="21" t="s">
        <v>34</v>
      </c>
      <c r="E14" s="21" t="s">
        <v>71</v>
      </c>
      <c r="F14">
        <v>6570014</v>
      </c>
      <c r="G14" t="s">
        <v>72</v>
      </c>
      <c r="H14" s="21">
        <v>2512.17</v>
      </c>
    </row>
    <row r="15" spans="1:8" customFormat="1" x14ac:dyDescent="0.25">
      <c r="A15" t="str">
        <f>"7624666"</f>
        <v>7624666</v>
      </c>
      <c r="B15" t="s">
        <v>26511</v>
      </c>
      <c r="C15" t="s">
        <v>26512</v>
      </c>
      <c r="D15" s="21" t="s">
        <v>34</v>
      </c>
      <c r="E15" s="21" t="s">
        <v>35</v>
      </c>
      <c r="F15">
        <v>9760168</v>
      </c>
      <c r="G15" t="s">
        <v>179</v>
      </c>
      <c r="H15" s="21">
        <v>2478.17</v>
      </c>
    </row>
    <row r="16" spans="1:8" customFormat="1" x14ac:dyDescent="0.25">
      <c r="A16" t="str">
        <f>"446688"</f>
        <v>446688</v>
      </c>
      <c r="B16" t="s">
        <v>26513</v>
      </c>
      <c r="C16" t="s">
        <v>198</v>
      </c>
      <c r="D16" s="21" t="s">
        <v>34</v>
      </c>
      <c r="E16" s="21" t="s">
        <v>35</v>
      </c>
      <c r="F16">
        <v>12440002</v>
      </c>
      <c r="G16" t="s">
        <v>47</v>
      </c>
      <c r="H16" s="21">
        <v>2464.67</v>
      </c>
    </row>
    <row r="17" spans="1:8" customFormat="1" x14ac:dyDescent="0.25">
      <c r="A17" t="str">
        <f>"61505"</f>
        <v>61505</v>
      </c>
      <c r="B17" t="s">
        <v>81</v>
      </c>
      <c r="C17" t="s">
        <v>82</v>
      </c>
      <c r="D17" s="21" t="s">
        <v>34</v>
      </c>
      <c r="E17" s="21" t="s">
        <v>35</v>
      </c>
      <c r="F17">
        <v>8930452</v>
      </c>
      <c r="G17" t="s">
        <v>83</v>
      </c>
      <c r="H17" s="21">
        <v>2449.67</v>
      </c>
    </row>
    <row r="18" spans="1:8" customFormat="1" x14ac:dyDescent="0.25">
      <c r="A18" t="str">
        <f>"766035"</f>
        <v>766035</v>
      </c>
      <c r="B18" t="s">
        <v>95</v>
      </c>
      <c r="C18" t="s">
        <v>96</v>
      </c>
      <c r="D18" s="21" t="s">
        <v>34</v>
      </c>
      <c r="E18" s="21" t="s">
        <v>35</v>
      </c>
      <c r="F18">
        <v>9760004</v>
      </c>
      <c r="G18" t="s">
        <v>56</v>
      </c>
      <c r="H18" s="21">
        <v>2435.67</v>
      </c>
    </row>
    <row r="19" spans="1:8" customFormat="1" x14ac:dyDescent="0.25">
      <c r="A19" t="str">
        <f>"939255"</f>
        <v>939255</v>
      </c>
      <c r="B19" t="s">
        <v>78</v>
      </c>
      <c r="C19" t="s">
        <v>79</v>
      </c>
      <c r="D19" s="21" t="s">
        <v>34</v>
      </c>
      <c r="E19" s="21" t="s">
        <v>71</v>
      </c>
      <c r="F19">
        <v>8751163</v>
      </c>
      <c r="G19" t="s">
        <v>80</v>
      </c>
      <c r="H19" s="21">
        <v>2430.17</v>
      </c>
    </row>
    <row r="20" spans="1:8" customFormat="1" x14ac:dyDescent="0.25">
      <c r="A20" t="str">
        <f>"622025"</f>
        <v>622025</v>
      </c>
      <c r="B20" t="s">
        <v>17480</v>
      </c>
      <c r="C20" t="s">
        <v>33</v>
      </c>
      <c r="D20" s="21" t="s">
        <v>34</v>
      </c>
      <c r="E20" s="21" t="s">
        <v>35</v>
      </c>
      <c r="F20">
        <v>7620067</v>
      </c>
      <c r="G20" t="s">
        <v>860</v>
      </c>
      <c r="H20" s="21">
        <v>2429.92</v>
      </c>
    </row>
    <row r="21" spans="1:8" customFormat="1" x14ac:dyDescent="0.25">
      <c r="A21" t="str">
        <f>"287439"</f>
        <v>287439</v>
      </c>
      <c r="B21" t="s">
        <v>89</v>
      </c>
      <c r="C21" t="s">
        <v>90</v>
      </c>
      <c r="D21" s="21" t="s">
        <v>34</v>
      </c>
      <c r="E21" s="21" t="s">
        <v>35</v>
      </c>
      <c r="F21">
        <v>4280004</v>
      </c>
      <c r="G21" t="s">
        <v>91</v>
      </c>
      <c r="H21" s="21">
        <v>2416.17</v>
      </c>
    </row>
    <row r="22" spans="1:8" customFormat="1" x14ac:dyDescent="0.25">
      <c r="A22" t="str">
        <f>"8010397"</f>
        <v>8010397</v>
      </c>
      <c r="B22" t="s">
        <v>26514</v>
      </c>
      <c r="C22" t="s">
        <v>121</v>
      </c>
      <c r="D22" s="21" t="s">
        <v>34</v>
      </c>
      <c r="E22" s="21" t="s">
        <v>35</v>
      </c>
      <c r="F22">
        <v>7620005</v>
      </c>
      <c r="G22" t="s">
        <v>200</v>
      </c>
      <c r="H22" s="21">
        <v>2414.17</v>
      </c>
    </row>
    <row r="23" spans="1:8" customFormat="1" x14ac:dyDescent="0.25">
      <c r="A23" t="str">
        <f>"5910578"</f>
        <v>5910578</v>
      </c>
      <c r="B23" t="s">
        <v>84</v>
      </c>
      <c r="C23" t="s">
        <v>65</v>
      </c>
      <c r="D23" s="21" t="s">
        <v>34</v>
      </c>
      <c r="E23" s="21" t="s">
        <v>71</v>
      </c>
      <c r="F23">
        <v>7590123</v>
      </c>
      <c r="G23" t="s">
        <v>85</v>
      </c>
      <c r="H23" s="21">
        <v>2409.17</v>
      </c>
    </row>
    <row r="24" spans="1:8" customFormat="1" x14ac:dyDescent="0.25">
      <c r="A24" t="str">
        <f>"9224820"</f>
        <v>9224820</v>
      </c>
      <c r="B24" t="s">
        <v>86</v>
      </c>
      <c r="C24" t="s">
        <v>87</v>
      </c>
      <c r="D24" s="21" t="s">
        <v>34</v>
      </c>
      <c r="E24" s="21" t="s">
        <v>35</v>
      </c>
      <c r="F24">
        <v>10170016</v>
      </c>
      <c r="G24" t="s">
        <v>88</v>
      </c>
      <c r="H24" s="21">
        <v>2408.17</v>
      </c>
    </row>
    <row r="25" spans="1:8" customFormat="1" x14ac:dyDescent="0.25">
      <c r="A25" t="str">
        <f>"785082"</f>
        <v>785082</v>
      </c>
      <c r="B25" t="s">
        <v>105</v>
      </c>
      <c r="C25" t="s">
        <v>55</v>
      </c>
      <c r="D25" s="21" t="s">
        <v>34</v>
      </c>
      <c r="E25" s="21" t="s">
        <v>35</v>
      </c>
      <c r="F25">
        <v>13830025</v>
      </c>
      <c r="G25" t="s">
        <v>106</v>
      </c>
      <c r="H25" s="21">
        <v>2408.0500000000002</v>
      </c>
    </row>
    <row r="26" spans="1:8" customFormat="1" x14ac:dyDescent="0.25">
      <c r="A26" t="str">
        <f>"4916477"</f>
        <v>4916477</v>
      </c>
      <c r="B26" t="s">
        <v>92</v>
      </c>
      <c r="C26" t="s">
        <v>93</v>
      </c>
      <c r="D26" s="21" t="s">
        <v>34</v>
      </c>
      <c r="E26" s="21" t="s">
        <v>35</v>
      </c>
      <c r="F26">
        <v>12490040</v>
      </c>
      <c r="G26" t="s">
        <v>94</v>
      </c>
      <c r="H26" s="21">
        <v>2390.17</v>
      </c>
    </row>
    <row r="27" spans="1:8" customFormat="1" x14ac:dyDescent="0.25">
      <c r="A27" t="str">
        <f>"948679"</f>
        <v>948679</v>
      </c>
      <c r="B27" t="s">
        <v>208</v>
      </c>
      <c r="C27" t="s">
        <v>867</v>
      </c>
      <c r="D27" s="21" t="s">
        <v>34</v>
      </c>
      <c r="E27" s="21" t="s">
        <v>35</v>
      </c>
      <c r="F27">
        <v>8770237</v>
      </c>
      <c r="G27" t="s">
        <v>128</v>
      </c>
      <c r="H27" s="21">
        <v>2370.17</v>
      </c>
    </row>
    <row r="28" spans="1:8" customFormat="1" x14ac:dyDescent="0.25">
      <c r="A28" t="str">
        <f>"4417270"</f>
        <v>4417270</v>
      </c>
      <c r="B28" t="s">
        <v>100</v>
      </c>
      <c r="C28" t="s">
        <v>101</v>
      </c>
      <c r="D28" s="21" t="s">
        <v>34</v>
      </c>
      <c r="E28" s="21" t="s">
        <v>71</v>
      </c>
      <c r="F28">
        <v>4280681</v>
      </c>
      <c r="G28" t="s">
        <v>1656</v>
      </c>
      <c r="H28" s="21">
        <v>2366.67</v>
      </c>
    </row>
    <row r="29" spans="1:8" customFormat="1" x14ac:dyDescent="0.25">
      <c r="A29" t="str">
        <f>"574180"</f>
        <v>574180</v>
      </c>
      <c r="B29" t="s">
        <v>97</v>
      </c>
      <c r="C29" t="s">
        <v>98</v>
      </c>
      <c r="D29" s="21" t="s">
        <v>34</v>
      </c>
      <c r="E29" s="21" t="s">
        <v>35</v>
      </c>
      <c r="F29">
        <v>6570111</v>
      </c>
      <c r="G29" t="s">
        <v>99</v>
      </c>
      <c r="H29" s="21">
        <v>2360.67</v>
      </c>
    </row>
    <row r="30" spans="1:8" customFormat="1" x14ac:dyDescent="0.25">
      <c r="A30" t="str">
        <f>"7658"</f>
        <v>7658</v>
      </c>
      <c r="B30" t="s">
        <v>107</v>
      </c>
      <c r="C30" t="s">
        <v>33</v>
      </c>
      <c r="D30" s="21" t="s">
        <v>34</v>
      </c>
      <c r="E30" s="21" t="s">
        <v>71</v>
      </c>
      <c r="F30">
        <v>9760004</v>
      </c>
      <c r="G30" t="s">
        <v>56</v>
      </c>
      <c r="H30" s="21">
        <v>2359.0500000000002</v>
      </c>
    </row>
    <row r="31" spans="1:8" customFormat="1" x14ac:dyDescent="0.25">
      <c r="A31" t="str">
        <f>"938693"</f>
        <v>938693</v>
      </c>
      <c r="B31" t="s">
        <v>118</v>
      </c>
      <c r="C31" t="s">
        <v>119</v>
      </c>
      <c r="D31" s="21" t="s">
        <v>34</v>
      </c>
      <c r="E31" s="21" t="s">
        <v>35</v>
      </c>
      <c r="F31">
        <v>11320005</v>
      </c>
      <c r="G31" t="s">
        <v>120</v>
      </c>
      <c r="H31" s="21">
        <v>2356.67</v>
      </c>
    </row>
    <row r="32" spans="1:8" customFormat="1" x14ac:dyDescent="0.25">
      <c r="A32" t="str">
        <f>"349173"</f>
        <v>349173</v>
      </c>
      <c r="B32" t="s">
        <v>102</v>
      </c>
      <c r="C32" t="s">
        <v>87</v>
      </c>
      <c r="D32" s="21" t="s">
        <v>34</v>
      </c>
      <c r="E32" s="21" t="s">
        <v>35</v>
      </c>
      <c r="F32">
        <v>11340010</v>
      </c>
      <c r="G32" t="s">
        <v>66</v>
      </c>
      <c r="H32" s="21">
        <v>2343.42</v>
      </c>
    </row>
    <row r="33" spans="1:8" customFormat="1" x14ac:dyDescent="0.25">
      <c r="A33" t="str">
        <f>"7621911"</f>
        <v>7621911</v>
      </c>
      <c r="B33" t="s">
        <v>115</v>
      </c>
      <c r="C33" t="s">
        <v>116</v>
      </c>
      <c r="D33" s="21" t="s">
        <v>34</v>
      </c>
      <c r="E33" s="21" t="s">
        <v>71</v>
      </c>
      <c r="F33">
        <v>7600074</v>
      </c>
      <c r="G33" t="s">
        <v>1912</v>
      </c>
      <c r="H33" s="21">
        <v>2314.17</v>
      </c>
    </row>
    <row r="34" spans="1:8" customFormat="1" x14ac:dyDescent="0.25">
      <c r="A34" t="str">
        <f>"227607"</f>
        <v>227607</v>
      </c>
      <c r="B34" t="s">
        <v>129</v>
      </c>
      <c r="C34" t="s">
        <v>130</v>
      </c>
      <c r="D34" s="21" t="s">
        <v>34</v>
      </c>
      <c r="E34" s="21" t="s">
        <v>35</v>
      </c>
      <c r="F34">
        <v>3220033</v>
      </c>
      <c r="G34" t="s">
        <v>657</v>
      </c>
      <c r="H34" s="21">
        <v>2308.92</v>
      </c>
    </row>
    <row r="35" spans="1:8" customFormat="1" x14ac:dyDescent="0.25">
      <c r="A35" t="str">
        <f>"3319957"</f>
        <v>3319957</v>
      </c>
      <c r="B35" t="s">
        <v>123</v>
      </c>
      <c r="C35" t="s">
        <v>124</v>
      </c>
      <c r="D35" s="21" t="s">
        <v>34</v>
      </c>
      <c r="E35" s="21" t="s">
        <v>71</v>
      </c>
      <c r="F35">
        <v>10330067</v>
      </c>
      <c r="G35" t="s">
        <v>125</v>
      </c>
      <c r="H35" s="21">
        <v>2307.67</v>
      </c>
    </row>
    <row r="36" spans="1:8" customFormat="1" x14ac:dyDescent="0.25">
      <c r="A36" t="str">
        <f>"768378"</f>
        <v>768378</v>
      </c>
      <c r="B36" t="s">
        <v>26240</v>
      </c>
      <c r="C36" t="s">
        <v>149</v>
      </c>
      <c r="D36" s="21" t="s">
        <v>34</v>
      </c>
      <c r="E36" s="21" t="s">
        <v>35</v>
      </c>
      <c r="F36">
        <v>9760004</v>
      </c>
      <c r="G36" t="s">
        <v>56</v>
      </c>
      <c r="H36" s="21">
        <v>2298.67</v>
      </c>
    </row>
    <row r="37" spans="1:8" customFormat="1" x14ac:dyDescent="0.25">
      <c r="A37" t="str">
        <f>"5913975"</f>
        <v>5913975</v>
      </c>
      <c r="B37" t="s">
        <v>108</v>
      </c>
      <c r="C37" t="s">
        <v>109</v>
      </c>
      <c r="D37" s="21" t="s">
        <v>34</v>
      </c>
      <c r="E37" s="21" t="s">
        <v>35</v>
      </c>
      <c r="F37">
        <v>7590008</v>
      </c>
      <c r="G37" t="s">
        <v>110</v>
      </c>
      <c r="H37" s="21">
        <v>2294.17</v>
      </c>
    </row>
    <row r="38" spans="1:8" customFormat="1" x14ac:dyDescent="0.25">
      <c r="A38" t="str">
        <f>"351231"</f>
        <v>351231</v>
      </c>
      <c r="B38" t="s">
        <v>132</v>
      </c>
      <c r="C38" t="s">
        <v>60</v>
      </c>
      <c r="D38" s="21" t="s">
        <v>34</v>
      </c>
      <c r="E38" s="21" t="s">
        <v>35</v>
      </c>
      <c r="F38">
        <v>3350016</v>
      </c>
      <c r="G38" t="s">
        <v>133</v>
      </c>
      <c r="H38" s="21">
        <v>2290.3000000000002</v>
      </c>
    </row>
    <row r="39" spans="1:8" customFormat="1" x14ac:dyDescent="0.25">
      <c r="A39" t="str">
        <f>"777227"</f>
        <v>777227</v>
      </c>
      <c r="B39" t="s">
        <v>13387</v>
      </c>
      <c r="C39" t="s">
        <v>484</v>
      </c>
      <c r="D39" s="21" t="s">
        <v>34</v>
      </c>
      <c r="E39" s="21" t="s">
        <v>35</v>
      </c>
      <c r="F39">
        <v>6510107</v>
      </c>
      <c r="G39" t="s">
        <v>1392</v>
      </c>
      <c r="H39" s="21">
        <v>2285.67</v>
      </c>
    </row>
    <row r="40" spans="1:8" customFormat="1" x14ac:dyDescent="0.25">
      <c r="A40" t="str">
        <f>"371844"</f>
        <v>371844</v>
      </c>
      <c r="B40" t="s">
        <v>111</v>
      </c>
      <c r="C40" t="s">
        <v>60</v>
      </c>
      <c r="D40" s="21" t="s">
        <v>34</v>
      </c>
      <c r="E40" s="21" t="s">
        <v>35</v>
      </c>
      <c r="F40">
        <v>4370002</v>
      </c>
      <c r="G40" t="s">
        <v>112</v>
      </c>
      <c r="H40" s="21">
        <v>2277.67</v>
      </c>
    </row>
    <row r="41" spans="1:8" customFormat="1" x14ac:dyDescent="0.25">
      <c r="A41" t="str">
        <f>"5310771"</f>
        <v>5310771</v>
      </c>
      <c r="B41" t="s">
        <v>160</v>
      </c>
      <c r="C41" t="s">
        <v>161</v>
      </c>
      <c r="D41" s="21" t="s">
        <v>34</v>
      </c>
      <c r="E41" s="21" t="s">
        <v>35</v>
      </c>
      <c r="F41">
        <v>8921458</v>
      </c>
      <c r="G41" t="s">
        <v>162</v>
      </c>
      <c r="H41" s="21">
        <v>2273.17</v>
      </c>
    </row>
    <row r="42" spans="1:8" customFormat="1" x14ac:dyDescent="0.25">
      <c r="A42" t="str">
        <f>"561265"</f>
        <v>561265</v>
      </c>
      <c r="B42" t="s">
        <v>26515</v>
      </c>
      <c r="C42" t="s">
        <v>198</v>
      </c>
      <c r="D42" s="21" t="s">
        <v>34</v>
      </c>
      <c r="E42" s="21" t="s">
        <v>35</v>
      </c>
      <c r="F42">
        <v>3560039</v>
      </c>
      <c r="G42" t="s">
        <v>167</v>
      </c>
      <c r="H42" s="21">
        <v>2266.67</v>
      </c>
    </row>
    <row r="43" spans="1:8" customFormat="1" x14ac:dyDescent="0.25">
      <c r="A43" t="str">
        <f>"621774"</f>
        <v>621774</v>
      </c>
      <c r="B43" t="s">
        <v>113</v>
      </c>
      <c r="C43" t="s">
        <v>114</v>
      </c>
      <c r="D43" s="21" t="s">
        <v>34</v>
      </c>
      <c r="E43" s="21" t="s">
        <v>35</v>
      </c>
      <c r="F43">
        <v>7590008</v>
      </c>
      <c r="G43" t="s">
        <v>110</v>
      </c>
      <c r="H43" s="21">
        <v>2265.67</v>
      </c>
    </row>
    <row r="44" spans="1:8" customFormat="1" x14ac:dyDescent="0.25">
      <c r="A44" t="str">
        <f>"623881"</f>
        <v>623881</v>
      </c>
      <c r="B44" t="s">
        <v>143</v>
      </c>
      <c r="C44" t="s">
        <v>144</v>
      </c>
      <c r="D44" s="21" t="s">
        <v>34</v>
      </c>
      <c r="E44" s="21" t="s">
        <v>35</v>
      </c>
      <c r="F44">
        <v>7620100</v>
      </c>
      <c r="G44" t="s">
        <v>145</v>
      </c>
      <c r="H44" s="21">
        <v>2260.17</v>
      </c>
    </row>
    <row r="45" spans="1:8" customFormat="1" x14ac:dyDescent="0.25">
      <c r="A45" t="str">
        <f>"9414122"</f>
        <v>9414122</v>
      </c>
      <c r="B45" t="s">
        <v>136</v>
      </c>
      <c r="C45" t="s">
        <v>119</v>
      </c>
      <c r="D45" s="21" t="s">
        <v>34</v>
      </c>
      <c r="E45" s="21" t="s">
        <v>35</v>
      </c>
      <c r="F45">
        <v>8771184</v>
      </c>
      <c r="G45" t="s">
        <v>137</v>
      </c>
      <c r="H45" s="21">
        <v>2257.67</v>
      </c>
    </row>
    <row r="46" spans="1:8" customFormat="1" x14ac:dyDescent="0.25">
      <c r="A46" t="str">
        <f>"9411507"</f>
        <v>9411507</v>
      </c>
      <c r="B46" t="s">
        <v>134</v>
      </c>
      <c r="C46" t="s">
        <v>58</v>
      </c>
      <c r="D46" s="21" t="s">
        <v>34</v>
      </c>
      <c r="E46" s="21" t="s">
        <v>35</v>
      </c>
      <c r="F46">
        <v>4410080</v>
      </c>
      <c r="G46" t="s">
        <v>135</v>
      </c>
      <c r="H46" s="21">
        <v>2253.42</v>
      </c>
    </row>
    <row r="47" spans="1:8" customFormat="1" x14ac:dyDescent="0.25">
      <c r="A47" t="str">
        <f>"5711225"</f>
        <v>5711225</v>
      </c>
      <c r="B47" t="s">
        <v>150</v>
      </c>
      <c r="C47" t="s">
        <v>151</v>
      </c>
      <c r="D47" s="21" t="s">
        <v>34</v>
      </c>
      <c r="E47" s="21" t="s">
        <v>35</v>
      </c>
      <c r="F47">
        <v>6570168</v>
      </c>
      <c r="G47" t="s">
        <v>152</v>
      </c>
      <c r="H47" s="21">
        <v>2252.67</v>
      </c>
    </row>
    <row r="48" spans="1:8" customFormat="1" x14ac:dyDescent="0.25">
      <c r="A48" t="str">
        <f>"149817"</f>
        <v>149817</v>
      </c>
      <c r="B48" t="s">
        <v>141</v>
      </c>
      <c r="C48" t="s">
        <v>60</v>
      </c>
      <c r="D48" s="21" t="s">
        <v>34</v>
      </c>
      <c r="E48" s="21" t="s">
        <v>35</v>
      </c>
      <c r="F48">
        <v>9760414</v>
      </c>
      <c r="G48" t="s">
        <v>142</v>
      </c>
      <c r="H48" s="21">
        <v>2251.17</v>
      </c>
    </row>
    <row r="49" spans="1:8" customFormat="1" x14ac:dyDescent="0.25">
      <c r="A49" t="str">
        <f>"8516491"</f>
        <v>8516491</v>
      </c>
      <c r="B49" t="s">
        <v>138</v>
      </c>
      <c r="C49" t="s">
        <v>139</v>
      </c>
      <c r="D49" s="21" t="s">
        <v>34</v>
      </c>
      <c r="E49" s="21" t="s">
        <v>35</v>
      </c>
      <c r="F49">
        <v>12850024</v>
      </c>
      <c r="G49" t="s">
        <v>140</v>
      </c>
      <c r="H49" s="21">
        <v>2249.92</v>
      </c>
    </row>
    <row r="50" spans="1:8" customFormat="1" x14ac:dyDescent="0.25">
      <c r="A50" t="str">
        <f>"942654"</f>
        <v>942654</v>
      </c>
      <c r="B50" t="s">
        <v>153</v>
      </c>
      <c r="C50" t="s">
        <v>65</v>
      </c>
      <c r="D50" s="21" t="s">
        <v>34</v>
      </c>
      <c r="E50" s="21" t="s">
        <v>35</v>
      </c>
      <c r="F50">
        <v>7590392</v>
      </c>
      <c r="G50" t="s">
        <v>154</v>
      </c>
      <c r="H50" s="21">
        <v>2248.17</v>
      </c>
    </row>
    <row r="51" spans="1:8" customFormat="1" x14ac:dyDescent="0.25">
      <c r="A51" t="str">
        <f>"7830074"</f>
        <v>7830074</v>
      </c>
      <c r="B51" t="s">
        <v>26516</v>
      </c>
      <c r="C51" t="s">
        <v>33</v>
      </c>
      <c r="D51" s="21" t="s">
        <v>34</v>
      </c>
      <c r="E51" s="21" t="s">
        <v>35</v>
      </c>
      <c r="F51">
        <v>1630123</v>
      </c>
      <c r="G51" t="s">
        <v>1036</v>
      </c>
      <c r="H51" s="21">
        <v>2241.67</v>
      </c>
    </row>
    <row r="52" spans="1:8" customFormat="1" x14ac:dyDescent="0.25">
      <c r="A52" t="str">
        <f>"626646"</f>
        <v>626646</v>
      </c>
      <c r="B52" t="s">
        <v>148</v>
      </c>
      <c r="C52" t="s">
        <v>149</v>
      </c>
      <c r="D52" s="21" t="s">
        <v>34</v>
      </c>
      <c r="E52" s="21" t="s">
        <v>35</v>
      </c>
      <c r="F52">
        <v>7590392</v>
      </c>
      <c r="G52" t="s">
        <v>154</v>
      </c>
      <c r="H52" s="21">
        <v>2239.67</v>
      </c>
    </row>
    <row r="53" spans="1:8" customFormat="1" x14ac:dyDescent="0.25">
      <c r="A53" t="str">
        <f>"147194"</f>
        <v>147194</v>
      </c>
      <c r="B53" t="s">
        <v>146</v>
      </c>
      <c r="C53" t="s">
        <v>147</v>
      </c>
      <c r="D53" s="21" t="s">
        <v>34</v>
      </c>
      <c r="E53" s="21" t="s">
        <v>35</v>
      </c>
      <c r="F53">
        <v>9140156</v>
      </c>
      <c r="G53" t="s">
        <v>645</v>
      </c>
      <c r="H53" s="21">
        <v>2234.67</v>
      </c>
    </row>
    <row r="54" spans="1:8" customFormat="1" x14ac:dyDescent="0.25">
      <c r="A54" t="str">
        <f>"302445"</f>
        <v>302445</v>
      </c>
      <c r="B54" t="s">
        <v>155</v>
      </c>
      <c r="C54" t="s">
        <v>156</v>
      </c>
      <c r="D54" s="21" t="s">
        <v>34</v>
      </c>
      <c r="E54" s="21" t="s">
        <v>71</v>
      </c>
      <c r="F54">
        <v>11300023</v>
      </c>
      <c r="G54" t="s">
        <v>2679</v>
      </c>
      <c r="H54" s="21">
        <v>2226.17</v>
      </c>
    </row>
    <row r="55" spans="1:8" customFormat="1" x14ac:dyDescent="0.25">
      <c r="A55" t="str">
        <f>"451414"</f>
        <v>451414</v>
      </c>
      <c r="B55" t="s">
        <v>186</v>
      </c>
      <c r="C55" t="s">
        <v>33</v>
      </c>
      <c r="D55" s="21" t="s">
        <v>34</v>
      </c>
      <c r="E55" s="21" t="s">
        <v>35</v>
      </c>
      <c r="F55">
        <v>4450571</v>
      </c>
      <c r="G55" t="s">
        <v>188</v>
      </c>
      <c r="H55" s="21">
        <v>2222.17</v>
      </c>
    </row>
    <row r="56" spans="1:8" customFormat="1" x14ac:dyDescent="0.25">
      <c r="A56" t="str">
        <f>"805540"</f>
        <v>805540</v>
      </c>
      <c r="B56" t="s">
        <v>175</v>
      </c>
      <c r="C56" t="s">
        <v>33</v>
      </c>
      <c r="D56" s="21" t="s">
        <v>34</v>
      </c>
      <c r="E56" s="21" t="s">
        <v>35</v>
      </c>
      <c r="F56">
        <v>7800001</v>
      </c>
      <c r="G56" t="s">
        <v>176</v>
      </c>
      <c r="H56" s="21">
        <v>2210.67</v>
      </c>
    </row>
    <row r="57" spans="1:8" customFormat="1" x14ac:dyDescent="0.25">
      <c r="A57" t="str">
        <f>"5918653"</f>
        <v>5918653</v>
      </c>
      <c r="B57" t="s">
        <v>170</v>
      </c>
      <c r="C57" t="s">
        <v>171</v>
      </c>
      <c r="D57" s="21" t="s">
        <v>34</v>
      </c>
      <c r="E57" s="21" t="s">
        <v>71</v>
      </c>
      <c r="F57">
        <v>7590182</v>
      </c>
      <c r="G57" t="s">
        <v>172</v>
      </c>
      <c r="H57" s="21">
        <v>2208.67</v>
      </c>
    </row>
    <row r="58" spans="1:8" customFormat="1" x14ac:dyDescent="0.25">
      <c r="A58" t="str">
        <f>"267137"</f>
        <v>267137</v>
      </c>
      <c r="B58" t="s">
        <v>173</v>
      </c>
      <c r="C58" t="s">
        <v>174</v>
      </c>
      <c r="D58" s="21" t="s">
        <v>34</v>
      </c>
      <c r="E58" s="21" t="s">
        <v>35</v>
      </c>
      <c r="F58">
        <v>1740038</v>
      </c>
      <c r="G58" t="s">
        <v>26517</v>
      </c>
      <c r="H58" s="21">
        <v>2207.67</v>
      </c>
    </row>
    <row r="59" spans="1:8" customFormat="1" x14ac:dyDescent="0.25">
      <c r="A59" t="str">
        <f>"332822"</f>
        <v>332822</v>
      </c>
      <c r="B59" t="s">
        <v>185</v>
      </c>
      <c r="C59" t="s">
        <v>156</v>
      </c>
      <c r="D59" s="21" t="s">
        <v>34</v>
      </c>
      <c r="E59" s="21" t="s">
        <v>71</v>
      </c>
      <c r="F59">
        <v>10330002</v>
      </c>
      <c r="G59" t="s">
        <v>53</v>
      </c>
      <c r="H59" s="21">
        <v>2195.67</v>
      </c>
    </row>
    <row r="60" spans="1:8" customFormat="1" x14ac:dyDescent="0.25">
      <c r="A60" t="str">
        <f>"9227501"</f>
        <v>9227501</v>
      </c>
      <c r="B60" t="s">
        <v>158</v>
      </c>
      <c r="C60" t="s">
        <v>82</v>
      </c>
      <c r="D60" s="21" t="s">
        <v>34</v>
      </c>
      <c r="E60" s="21" t="s">
        <v>35</v>
      </c>
      <c r="F60">
        <v>8920025</v>
      </c>
      <c r="G60" t="s">
        <v>159</v>
      </c>
      <c r="H60" s="21">
        <v>2190.17</v>
      </c>
    </row>
    <row r="61" spans="1:8" customFormat="1" x14ac:dyDescent="0.25">
      <c r="A61" t="str">
        <f>"9216246"</f>
        <v>9216246</v>
      </c>
      <c r="B61" t="s">
        <v>163</v>
      </c>
      <c r="C61" t="s">
        <v>55</v>
      </c>
      <c r="D61" s="21" t="s">
        <v>34</v>
      </c>
      <c r="E61" s="21" t="s">
        <v>35</v>
      </c>
      <c r="F61">
        <v>11340010</v>
      </c>
      <c r="G61" t="s">
        <v>66</v>
      </c>
      <c r="H61" s="21">
        <v>2188.67</v>
      </c>
    </row>
    <row r="62" spans="1:8" customFormat="1" x14ac:dyDescent="0.25">
      <c r="A62" t="str">
        <f>"625005"</f>
        <v>625005</v>
      </c>
      <c r="B62" t="s">
        <v>183</v>
      </c>
      <c r="C62" t="s">
        <v>33</v>
      </c>
      <c r="D62" s="21" t="s">
        <v>34</v>
      </c>
      <c r="E62" s="21" t="s">
        <v>71</v>
      </c>
      <c r="F62">
        <v>7620057</v>
      </c>
      <c r="G62" t="s">
        <v>184</v>
      </c>
      <c r="H62" s="21">
        <v>2181.17</v>
      </c>
    </row>
    <row r="63" spans="1:8" customFormat="1" x14ac:dyDescent="0.25">
      <c r="A63" t="str">
        <f>"14218"</f>
        <v>14218</v>
      </c>
      <c r="B63" t="s">
        <v>196</v>
      </c>
      <c r="C63" t="s">
        <v>33</v>
      </c>
      <c r="D63" s="21" t="s">
        <v>34</v>
      </c>
      <c r="E63" s="21" t="s">
        <v>71</v>
      </c>
      <c r="F63">
        <v>9140012</v>
      </c>
      <c r="G63" t="s">
        <v>26518</v>
      </c>
      <c r="H63" s="21">
        <v>2175.17</v>
      </c>
    </row>
    <row r="64" spans="1:8" customFormat="1" x14ac:dyDescent="0.25">
      <c r="A64" t="str">
        <f>"306358"</f>
        <v>306358</v>
      </c>
      <c r="B64" t="s">
        <v>197</v>
      </c>
      <c r="C64" t="s">
        <v>198</v>
      </c>
      <c r="D64" s="21" t="s">
        <v>34</v>
      </c>
      <c r="E64" s="21" t="s">
        <v>35</v>
      </c>
      <c r="F64">
        <v>13130159</v>
      </c>
      <c r="G64" t="s">
        <v>199</v>
      </c>
      <c r="H64" s="21">
        <v>2170.92</v>
      </c>
    </row>
    <row r="65" spans="1:8" customFormat="1" x14ac:dyDescent="0.25">
      <c r="A65" t="str">
        <f>"596034"</f>
        <v>596034</v>
      </c>
      <c r="B65" t="s">
        <v>205</v>
      </c>
      <c r="C65" t="s">
        <v>206</v>
      </c>
      <c r="D65" s="21" t="s">
        <v>34</v>
      </c>
      <c r="E65" s="21" t="s">
        <v>35</v>
      </c>
      <c r="F65">
        <v>7590231</v>
      </c>
      <c r="G65" t="s">
        <v>207</v>
      </c>
      <c r="H65" s="21">
        <v>2170.17</v>
      </c>
    </row>
    <row r="66" spans="1:8" customFormat="1" x14ac:dyDescent="0.25">
      <c r="A66" t="str">
        <f>"9227481"</f>
        <v>9227481</v>
      </c>
      <c r="B66" t="s">
        <v>168</v>
      </c>
      <c r="C66" t="s">
        <v>169</v>
      </c>
      <c r="D66" s="21" t="s">
        <v>34</v>
      </c>
      <c r="E66" s="21" t="s">
        <v>35</v>
      </c>
      <c r="F66">
        <v>8931057</v>
      </c>
      <c r="G66" t="s">
        <v>1011</v>
      </c>
      <c r="H66" s="21">
        <v>2166.9299999999998</v>
      </c>
    </row>
    <row r="67" spans="1:8" customFormat="1" x14ac:dyDescent="0.25">
      <c r="A67" t="str">
        <f>"513389"</f>
        <v>513389</v>
      </c>
      <c r="B67" t="s">
        <v>26519</v>
      </c>
      <c r="C67" t="s">
        <v>2117</v>
      </c>
      <c r="D67" s="21" t="s">
        <v>34</v>
      </c>
      <c r="E67" s="21" t="s">
        <v>35</v>
      </c>
      <c r="F67">
        <v>7590194</v>
      </c>
      <c r="G67" t="s">
        <v>460</v>
      </c>
      <c r="H67" s="21">
        <v>2165.9299999999998</v>
      </c>
    </row>
    <row r="68" spans="1:8" customFormat="1" x14ac:dyDescent="0.25">
      <c r="A68" t="str">
        <f>"7622056"</f>
        <v>7622056</v>
      </c>
      <c r="B68" t="s">
        <v>177</v>
      </c>
      <c r="C68" t="s">
        <v>178</v>
      </c>
      <c r="D68" s="21" t="s">
        <v>34</v>
      </c>
      <c r="E68" s="21" t="s">
        <v>35</v>
      </c>
      <c r="F68">
        <v>9760168</v>
      </c>
      <c r="G68" t="s">
        <v>179</v>
      </c>
      <c r="H68" s="21">
        <v>2164.8000000000002</v>
      </c>
    </row>
    <row r="69" spans="1:8" customFormat="1" x14ac:dyDescent="0.25">
      <c r="A69" t="str">
        <f>"5928821"</f>
        <v>5928821</v>
      </c>
      <c r="B69" t="s">
        <v>143</v>
      </c>
      <c r="C69" t="s">
        <v>187</v>
      </c>
      <c r="D69" s="21" t="s">
        <v>34</v>
      </c>
      <c r="E69" s="21" t="s">
        <v>35</v>
      </c>
      <c r="F69">
        <v>7620051</v>
      </c>
      <c r="G69" t="s">
        <v>2741</v>
      </c>
      <c r="H69" s="21">
        <v>2163.92</v>
      </c>
    </row>
    <row r="70" spans="1:8" customFormat="1" x14ac:dyDescent="0.25">
      <c r="A70" t="str">
        <f>"7814487"</f>
        <v>7814487</v>
      </c>
      <c r="B70" t="s">
        <v>8784</v>
      </c>
      <c r="C70" t="s">
        <v>60</v>
      </c>
      <c r="D70" s="21" t="s">
        <v>34</v>
      </c>
      <c r="E70" s="21" t="s">
        <v>35</v>
      </c>
      <c r="F70">
        <v>8780496</v>
      </c>
      <c r="G70" t="s">
        <v>2477</v>
      </c>
      <c r="H70" s="21">
        <v>2160.67</v>
      </c>
    </row>
    <row r="71" spans="1:8" customFormat="1" x14ac:dyDescent="0.25">
      <c r="A71" t="str">
        <f>"569365"</f>
        <v>569365</v>
      </c>
      <c r="B71" t="s">
        <v>166</v>
      </c>
      <c r="C71" t="s">
        <v>119</v>
      </c>
      <c r="D71" s="21" t="s">
        <v>34</v>
      </c>
      <c r="E71" s="21" t="s">
        <v>35</v>
      </c>
      <c r="F71">
        <v>3560039</v>
      </c>
      <c r="G71" t="s">
        <v>167</v>
      </c>
      <c r="H71" s="21">
        <v>2157.67</v>
      </c>
    </row>
    <row r="72" spans="1:8" customFormat="1" x14ac:dyDescent="0.25">
      <c r="A72" t="str">
        <f>"451415"</f>
        <v>451415</v>
      </c>
      <c r="B72" t="s">
        <v>186</v>
      </c>
      <c r="C72" t="s">
        <v>187</v>
      </c>
      <c r="D72" s="21" t="s">
        <v>34</v>
      </c>
      <c r="E72" s="21" t="s">
        <v>35</v>
      </c>
      <c r="F72">
        <v>4450571</v>
      </c>
      <c r="G72" t="s">
        <v>188</v>
      </c>
      <c r="H72" s="21">
        <v>2155.67</v>
      </c>
    </row>
    <row r="73" spans="1:8" customFormat="1" x14ac:dyDescent="0.25">
      <c r="A73" t="str">
        <f>"616830"</f>
        <v>616830</v>
      </c>
      <c r="B73" t="s">
        <v>191</v>
      </c>
      <c r="C73" t="s">
        <v>40</v>
      </c>
      <c r="D73" s="21" t="s">
        <v>34</v>
      </c>
      <c r="E73" s="21" t="s">
        <v>35</v>
      </c>
      <c r="F73">
        <v>9760004</v>
      </c>
      <c r="G73" t="s">
        <v>56</v>
      </c>
      <c r="H73" s="21">
        <v>2154.17</v>
      </c>
    </row>
    <row r="74" spans="1:8" customFormat="1" x14ac:dyDescent="0.25">
      <c r="A74" t="str">
        <f>"944437"</f>
        <v>944437</v>
      </c>
      <c r="B74" t="s">
        <v>266</v>
      </c>
      <c r="C74" t="s">
        <v>267</v>
      </c>
      <c r="D74" s="21" t="s">
        <v>34</v>
      </c>
      <c r="E74" s="21" t="s">
        <v>35</v>
      </c>
      <c r="F74">
        <v>8940052</v>
      </c>
      <c r="G74" t="s">
        <v>190</v>
      </c>
      <c r="H74" s="21">
        <v>2152.0500000000002</v>
      </c>
    </row>
    <row r="75" spans="1:8" customFormat="1" x14ac:dyDescent="0.25">
      <c r="A75" t="str">
        <f>"4211113"</f>
        <v>4211113</v>
      </c>
      <c r="B75" t="s">
        <v>180</v>
      </c>
      <c r="C75" t="s">
        <v>181</v>
      </c>
      <c r="D75" s="21" t="s">
        <v>34</v>
      </c>
      <c r="E75" s="21" t="s">
        <v>254</v>
      </c>
      <c r="F75">
        <v>2250137</v>
      </c>
      <c r="G75" t="s">
        <v>182</v>
      </c>
      <c r="H75" s="21">
        <v>2149.0500000000002</v>
      </c>
    </row>
    <row r="76" spans="1:8" customFormat="1" x14ac:dyDescent="0.25">
      <c r="A76" t="str">
        <f>"266534"</f>
        <v>266534</v>
      </c>
      <c r="B76" t="s">
        <v>26520</v>
      </c>
      <c r="C76" t="s">
        <v>388</v>
      </c>
      <c r="D76" s="21" t="s">
        <v>34</v>
      </c>
      <c r="E76" s="21" t="s">
        <v>35</v>
      </c>
      <c r="F76">
        <v>1380236</v>
      </c>
      <c r="G76" t="s">
        <v>2876</v>
      </c>
      <c r="H76" s="21">
        <v>2148.67</v>
      </c>
    </row>
    <row r="77" spans="1:8" customFormat="1" x14ac:dyDescent="0.25">
      <c r="A77" t="str">
        <f>"355542"</f>
        <v>355542</v>
      </c>
      <c r="B77" t="s">
        <v>164</v>
      </c>
      <c r="C77" t="s">
        <v>37</v>
      </c>
      <c r="D77" s="21" t="s">
        <v>34</v>
      </c>
      <c r="E77" s="21" t="s">
        <v>35</v>
      </c>
      <c r="F77">
        <v>9140235</v>
      </c>
      <c r="G77" t="s">
        <v>165</v>
      </c>
      <c r="H77" s="21">
        <v>2148.17</v>
      </c>
    </row>
    <row r="78" spans="1:8" customFormat="1" x14ac:dyDescent="0.25">
      <c r="A78" t="str">
        <f>"5714664"</f>
        <v>5714664</v>
      </c>
      <c r="B78" t="s">
        <v>201</v>
      </c>
      <c r="C78" t="s">
        <v>202</v>
      </c>
      <c r="D78" s="21" t="s">
        <v>34</v>
      </c>
      <c r="E78" s="21" t="s">
        <v>71</v>
      </c>
      <c r="F78">
        <v>6540032</v>
      </c>
      <c r="G78" t="s">
        <v>63</v>
      </c>
      <c r="H78" s="21">
        <v>2147.17</v>
      </c>
    </row>
    <row r="79" spans="1:8" customFormat="1" x14ac:dyDescent="0.25">
      <c r="A79" t="str">
        <f>"576252"</f>
        <v>576252</v>
      </c>
      <c r="B79" t="s">
        <v>26521</v>
      </c>
      <c r="C79" t="s">
        <v>1853</v>
      </c>
      <c r="D79" s="21" t="s">
        <v>34</v>
      </c>
      <c r="E79" s="21" t="s">
        <v>35</v>
      </c>
      <c r="F79">
        <v>6570190</v>
      </c>
      <c r="G79" t="s">
        <v>622</v>
      </c>
      <c r="H79" s="21">
        <v>2143.67</v>
      </c>
    </row>
    <row r="80" spans="1:8" customFormat="1" x14ac:dyDescent="0.25">
      <c r="A80" t="str">
        <f>"591097"</f>
        <v>591097</v>
      </c>
      <c r="B80" t="s">
        <v>213</v>
      </c>
      <c r="C80" t="s">
        <v>40</v>
      </c>
      <c r="D80" s="21" t="s">
        <v>34</v>
      </c>
      <c r="E80" s="21" t="s">
        <v>71</v>
      </c>
      <c r="F80">
        <v>7590127</v>
      </c>
      <c r="G80" t="s">
        <v>214</v>
      </c>
      <c r="H80" s="21">
        <v>2140.67</v>
      </c>
    </row>
    <row r="81" spans="1:8" customFormat="1" x14ac:dyDescent="0.25">
      <c r="A81" t="str">
        <f>"7714349"</f>
        <v>7714349</v>
      </c>
      <c r="B81" t="s">
        <v>210</v>
      </c>
      <c r="C81" t="s">
        <v>211</v>
      </c>
      <c r="D81" s="21" t="s">
        <v>34</v>
      </c>
      <c r="E81" s="21" t="s">
        <v>71</v>
      </c>
      <c r="F81">
        <v>8770408</v>
      </c>
      <c r="G81" t="s">
        <v>212</v>
      </c>
      <c r="H81" s="21">
        <v>2138.67</v>
      </c>
    </row>
    <row r="82" spans="1:8" customFormat="1" x14ac:dyDescent="0.25">
      <c r="A82" t="str">
        <f>"322026"</f>
        <v>322026</v>
      </c>
      <c r="B82" t="s">
        <v>216</v>
      </c>
      <c r="C82" t="s">
        <v>217</v>
      </c>
      <c r="D82" s="21" t="s">
        <v>34</v>
      </c>
      <c r="E82" s="21" t="s">
        <v>35</v>
      </c>
      <c r="F82">
        <v>12440002</v>
      </c>
      <c r="G82" t="s">
        <v>47</v>
      </c>
      <c r="H82" s="21">
        <v>2136.67</v>
      </c>
    </row>
    <row r="83" spans="1:8" customFormat="1" x14ac:dyDescent="0.25">
      <c r="A83" t="str">
        <f>"834342"</f>
        <v>834342</v>
      </c>
      <c r="B83" t="s">
        <v>26522</v>
      </c>
      <c r="C83" t="s">
        <v>204</v>
      </c>
      <c r="D83" s="21" t="s">
        <v>34</v>
      </c>
      <c r="E83" s="21" t="s">
        <v>35</v>
      </c>
      <c r="F83">
        <v>13060005</v>
      </c>
      <c r="G83" t="s">
        <v>3609</v>
      </c>
      <c r="H83" s="21">
        <v>2132.17</v>
      </c>
    </row>
    <row r="84" spans="1:8" customFormat="1" x14ac:dyDescent="0.25">
      <c r="A84" t="str">
        <f>"472253"</f>
        <v>472253</v>
      </c>
      <c r="B84" t="s">
        <v>23550</v>
      </c>
      <c r="C84" t="s">
        <v>98</v>
      </c>
      <c r="D84" s="21" t="s">
        <v>34</v>
      </c>
      <c r="E84" s="21" t="s">
        <v>35</v>
      </c>
      <c r="F84">
        <v>9760168</v>
      </c>
      <c r="G84" t="s">
        <v>179</v>
      </c>
      <c r="H84" s="21">
        <v>2131.67</v>
      </c>
    </row>
    <row r="85" spans="1:8" customFormat="1" x14ac:dyDescent="0.25">
      <c r="A85" t="str">
        <f>"941835"</f>
        <v>941835</v>
      </c>
      <c r="B85" t="s">
        <v>189</v>
      </c>
      <c r="C85" t="s">
        <v>169</v>
      </c>
      <c r="D85" s="21" t="s">
        <v>34</v>
      </c>
      <c r="E85" s="21" t="s">
        <v>35</v>
      </c>
      <c r="F85">
        <v>8940052</v>
      </c>
      <c r="G85" t="s">
        <v>190</v>
      </c>
      <c r="H85" s="21">
        <v>2129.67</v>
      </c>
    </row>
    <row r="86" spans="1:8" customFormat="1" x14ac:dyDescent="0.25">
      <c r="A86" t="str">
        <f>"682466"</f>
        <v>682466</v>
      </c>
      <c r="B86" t="s">
        <v>238</v>
      </c>
      <c r="C86" t="s">
        <v>239</v>
      </c>
      <c r="D86" s="21" t="s">
        <v>34</v>
      </c>
      <c r="E86" s="21" t="s">
        <v>35</v>
      </c>
      <c r="F86">
        <v>6670187</v>
      </c>
      <c r="G86" t="s">
        <v>240</v>
      </c>
      <c r="H86" s="21">
        <v>2129.67</v>
      </c>
    </row>
    <row r="87" spans="1:8" customFormat="1" x14ac:dyDescent="0.25">
      <c r="A87" t="str">
        <f>"49912"</f>
        <v>49912</v>
      </c>
      <c r="B87" t="s">
        <v>173</v>
      </c>
      <c r="C87" t="s">
        <v>204</v>
      </c>
      <c r="D87" s="21" t="s">
        <v>34</v>
      </c>
      <c r="E87" s="21" t="s">
        <v>35</v>
      </c>
      <c r="F87">
        <v>12490040</v>
      </c>
      <c r="G87" t="s">
        <v>94</v>
      </c>
      <c r="H87" s="21">
        <v>2129.0500000000002</v>
      </c>
    </row>
    <row r="88" spans="1:8" customFormat="1" x14ac:dyDescent="0.25">
      <c r="A88" t="str">
        <f>"3410225"</f>
        <v>3410225</v>
      </c>
      <c r="B88" t="s">
        <v>461</v>
      </c>
      <c r="C88" t="s">
        <v>96</v>
      </c>
      <c r="D88" s="21" t="s">
        <v>34</v>
      </c>
      <c r="E88" s="21" t="s">
        <v>35</v>
      </c>
      <c r="F88">
        <v>11340014</v>
      </c>
      <c r="G88" t="s">
        <v>1455</v>
      </c>
      <c r="H88" s="21">
        <v>2125.17</v>
      </c>
    </row>
    <row r="89" spans="1:8" customFormat="1" x14ac:dyDescent="0.25">
      <c r="A89" t="str">
        <f>"62641"</f>
        <v>62641</v>
      </c>
      <c r="B89" t="s">
        <v>241</v>
      </c>
      <c r="C89" t="s">
        <v>109</v>
      </c>
      <c r="D89" s="21" t="s">
        <v>34</v>
      </c>
      <c r="E89" s="21" t="s">
        <v>35</v>
      </c>
      <c r="F89">
        <v>7620046</v>
      </c>
      <c r="G89" t="s">
        <v>242</v>
      </c>
      <c r="H89" s="21">
        <v>2124.67</v>
      </c>
    </row>
    <row r="90" spans="1:8" customFormat="1" x14ac:dyDescent="0.25">
      <c r="A90" t="str">
        <f>"341990"</f>
        <v>341990</v>
      </c>
      <c r="B90" t="s">
        <v>26523</v>
      </c>
      <c r="C90" t="s">
        <v>349</v>
      </c>
      <c r="D90" s="21" t="s">
        <v>34</v>
      </c>
      <c r="E90" s="21" t="s">
        <v>35</v>
      </c>
      <c r="F90">
        <v>11340014</v>
      </c>
      <c r="G90" t="s">
        <v>1455</v>
      </c>
      <c r="H90" s="21">
        <v>2118.17</v>
      </c>
    </row>
    <row r="91" spans="1:8" customFormat="1" x14ac:dyDescent="0.25">
      <c r="A91" t="str">
        <f>"135885"</f>
        <v>135885</v>
      </c>
      <c r="B91" t="s">
        <v>225</v>
      </c>
      <c r="C91" t="s">
        <v>226</v>
      </c>
      <c r="D91" s="21" t="s">
        <v>34</v>
      </c>
      <c r="E91" s="21" t="s">
        <v>35</v>
      </c>
      <c r="F91">
        <v>13130012</v>
      </c>
      <c r="G91" t="s">
        <v>68</v>
      </c>
      <c r="H91" s="21">
        <v>2118.17</v>
      </c>
    </row>
    <row r="92" spans="1:8" customFormat="1" x14ac:dyDescent="0.25">
      <c r="A92" t="str">
        <f>"931856"</f>
        <v>931856</v>
      </c>
      <c r="B92" t="s">
        <v>223</v>
      </c>
      <c r="C92" t="s">
        <v>58</v>
      </c>
      <c r="D92" s="21" t="s">
        <v>34</v>
      </c>
      <c r="E92" s="21" t="s">
        <v>35</v>
      </c>
      <c r="F92">
        <v>12720104</v>
      </c>
      <c r="G92" t="s">
        <v>224</v>
      </c>
      <c r="H92" s="21">
        <v>2116.8000000000002</v>
      </c>
    </row>
    <row r="93" spans="1:8" customFormat="1" x14ac:dyDescent="0.25">
      <c r="A93" t="str">
        <f>"3527004"</f>
        <v>3527004</v>
      </c>
      <c r="B93" t="s">
        <v>232</v>
      </c>
      <c r="C93" t="s">
        <v>233</v>
      </c>
      <c r="D93" s="21" t="s">
        <v>34</v>
      </c>
      <c r="E93" s="21" t="s">
        <v>35</v>
      </c>
      <c r="F93">
        <v>3350016</v>
      </c>
      <c r="G93" t="s">
        <v>133</v>
      </c>
      <c r="H93" s="21">
        <v>2115.92</v>
      </c>
    </row>
    <row r="94" spans="1:8" customFormat="1" x14ac:dyDescent="0.25">
      <c r="A94" t="str">
        <f>"59663"</f>
        <v>59663</v>
      </c>
      <c r="B94" t="s">
        <v>250</v>
      </c>
      <c r="C94" t="s">
        <v>87</v>
      </c>
      <c r="D94" s="21" t="s">
        <v>34</v>
      </c>
      <c r="E94" s="21" t="s">
        <v>35</v>
      </c>
      <c r="F94">
        <v>7590028</v>
      </c>
      <c r="G94" t="s">
        <v>251</v>
      </c>
      <c r="H94" s="21">
        <v>2113.3000000000002</v>
      </c>
    </row>
    <row r="95" spans="1:8" customFormat="1" x14ac:dyDescent="0.25">
      <c r="A95" t="str">
        <f>"616016"</f>
        <v>616016</v>
      </c>
      <c r="B95" t="s">
        <v>220</v>
      </c>
      <c r="C95" t="s">
        <v>49</v>
      </c>
      <c r="D95" s="21" t="s">
        <v>34</v>
      </c>
      <c r="E95" s="21" t="s">
        <v>35</v>
      </c>
      <c r="F95">
        <v>9610002</v>
      </c>
      <c r="G95" t="s">
        <v>75</v>
      </c>
      <c r="H95" s="21">
        <v>2112.17</v>
      </c>
    </row>
    <row r="96" spans="1:8" customFormat="1" x14ac:dyDescent="0.25">
      <c r="A96" t="str">
        <f>"517876"</f>
        <v>517876</v>
      </c>
      <c r="B96" t="s">
        <v>245</v>
      </c>
      <c r="C96" t="s">
        <v>246</v>
      </c>
      <c r="D96" s="21" t="s">
        <v>34</v>
      </c>
      <c r="E96" s="21" t="s">
        <v>71</v>
      </c>
      <c r="F96">
        <v>9500025</v>
      </c>
      <c r="G96" t="s">
        <v>665</v>
      </c>
      <c r="H96" s="21">
        <v>2111.17</v>
      </c>
    </row>
    <row r="97" spans="1:8" customFormat="1" x14ac:dyDescent="0.25">
      <c r="A97" t="str">
        <f>"8011368"</f>
        <v>8011368</v>
      </c>
      <c r="B97" t="s">
        <v>292</v>
      </c>
      <c r="C97" t="s">
        <v>293</v>
      </c>
      <c r="D97" s="21" t="s">
        <v>34</v>
      </c>
      <c r="E97" s="21" t="s">
        <v>35</v>
      </c>
      <c r="F97">
        <v>11820008</v>
      </c>
      <c r="G97" t="s">
        <v>294</v>
      </c>
      <c r="H97" s="21">
        <v>2111.0500000000002</v>
      </c>
    </row>
    <row r="98" spans="1:8" customFormat="1" x14ac:dyDescent="0.25">
      <c r="A98" t="str">
        <f>"361188"</f>
        <v>361188</v>
      </c>
      <c r="B98" t="s">
        <v>221</v>
      </c>
      <c r="C98" t="s">
        <v>33</v>
      </c>
      <c r="D98" s="21" t="s">
        <v>34</v>
      </c>
      <c r="E98" s="21" t="s">
        <v>71</v>
      </c>
      <c r="F98">
        <v>4360002</v>
      </c>
      <c r="G98" t="s">
        <v>222</v>
      </c>
      <c r="H98" s="21">
        <v>2102.67</v>
      </c>
    </row>
    <row r="99" spans="1:8" customFormat="1" x14ac:dyDescent="0.25">
      <c r="A99" t="str">
        <f>"954224"</f>
        <v>954224</v>
      </c>
      <c r="B99" t="s">
        <v>193</v>
      </c>
      <c r="C99" t="s">
        <v>194</v>
      </c>
      <c r="D99" s="21" t="s">
        <v>34</v>
      </c>
      <c r="E99" s="21" t="s">
        <v>35</v>
      </c>
      <c r="F99">
        <v>7600069</v>
      </c>
      <c r="G99" t="s">
        <v>195</v>
      </c>
      <c r="H99" s="21">
        <v>2100.79</v>
      </c>
    </row>
    <row r="100" spans="1:8" customFormat="1" x14ac:dyDescent="0.25">
      <c r="A100" t="str">
        <f>"7615526"</f>
        <v>7615526</v>
      </c>
      <c r="B100" t="s">
        <v>277</v>
      </c>
      <c r="C100" t="s">
        <v>278</v>
      </c>
      <c r="D100" s="21" t="s">
        <v>34</v>
      </c>
      <c r="E100" s="21" t="s">
        <v>71</v>
      </c>
      <c r="F100">
        <v>9760331</v>
      </c>
      <c r="G100" t="s">
        <v>5134</v>
      </c>
      <c r="H100" s="21">
        <v>2095.17</v>
      </c>
    </row>
    <row r="101" spans="1:8" customFormat="1" x14ac:dyDescent="0.25">
      <c r="A101" t="str">
        <f>"7812957"</f>
        <v>7812957</v>
      </c>
      <c r="B101" t="s">
        <v>227</v>
      </c>
      <c r="C101" t="s">
        <v>228</v>
      </c>
      <c r="D101" s="21" t="s">
        <v>34</v>
      </c>
      <c r="E101" s="21" t="s">
        <v>35</v>
      </c>
      <c r="F101">
        <v>8780078</v>
      </c>
      <c r="G101" t="s">
        <v>229</v>
      </c>
      <c r="H101" s="21">
        <v>2088.67</v>
      </c>
    </row>
    <row r="102" spans="1:8" customFormat="1" x14ac:dyDescent="0.25">
      <c r="A102" t="str">
        <f>"9218460"</f>
        <v>9218460</v>
      </c>
      <c r="B102" t="s">
        <v>235</v>
      </c>
      <c r="C102" t="s">
        <v>236</v>
      </c>
      <c r="D102" s="21" t="s">
        <v>34</v>
      </c>
      <c r="E102" s="21" t="s">
        <v>71</v>
      </c>
      <c r="F102">
        <v>8920049</v>
      </c>
      <c r="G102" t="s">
        <v>237</v>
      </c>
      <c r="H102" s="21">
        <v>2085.67</v>
      </c>
    </row>
    <row r="103" spans="1:8" customFormat="1" x14ac:dyDescent="0.25">
      <c r="A103" t="str">
        <f>"68113"</f>
        <v>68113</v>
      </c>
      <c r="B103" t="s">
        <v>340</v>
      </c>
      <c r="C103" t="s">
        <v>204</v>
      </c>
      <c r="D103" s="21" t="s">
        <v>34</v>
      </c>
      <c r="E103" s="21" t="s">
        <v>35</v>
      </c>
      <c r="F103">
        <v>6680128</v>
      </c>
      <c r="G103" t="s">
        <v>341</v>
      </c>
      <c r="H103" s="21">
        <v>2077.67</v>
      </c>
    </row>
    <row r="104" spans="1:8" customFormat="1" x14ac:dyDescent="0.25">
      <c r="A104" t="str">
        <f>"297223"</f>
        <v>297223</v>
      </c>
      <c r="B104" t="s">
        <v>268</v>
      </c>
      <c r="C104" t="s">
        <v>269</v>
      </c>
      <c r="D104" s="21" t="s">
        <v>34</v>
      </c>
      <c r="E104" s="21" t="s">
        <v>35</v>
      </c>
      <c r="F104">
        <v>3290052</v>
      </c>
      <c r="G104" t="s">
        <v>270</v>
      </c>
      <c r="H104" s="21">
        <v>2077.67</v>
      </c>
    </row>
    <row r="105" spans="1:8" customFormat="1" x14ac:dyDescent="0.25">
      <c r="A105" t="str">
        <f>"684129"</f>
        <v>684129</v>
      </c>
      <c r="B105" t="s">
        <v>218</v>
      </c>
      <c r="C105" t="s">
        <v>114</v>
      </c>
      <c r="D105" s="21" t="s">
        <v>34</v>
      </c>
      <c r="E105" s="21" t="s">
        <v>71</v>
      </c>
      <c r="F105">
        <v>8940459</v>
      </c>
      <c r="G105" t="s">
        <v>743</v>
      </c>
      <c r="H105" s="21">
        <v>2069.42</v>
      </c>
    </row>
    <row r="106" spans="1:8" customFormat="1" x14ac:dyDescent="0.25">
      <c r="A106" t="str">
        <f>"3315706"</f>
        <v>3315706</v>
      </c>
      <c r="B106" t="s">
        <v>1347</v>
      </c>
      <c r="C106" t="s">
        <v>249</v>
      </c>
      <c r="D106" s="21" t="s">
        <v>34</v>
      </c>
      <c r="E106" s="21" t="s">
        <v>35</v>
      </c>
      <c r="F106">
        <v>10330117</v>
      </c>
      <c r="G106" t="s">
        <v>1942</v>
      </c>
      <c r="H106" s="21">
        <v>2068.67</v>
      </c>
    </row>
    <row r="107" spans="1:8" customFormat="1" x14ac:dyDescent="0.25">
      <c r="A107" t="str">
        <f>"7621913"</f>
        <v>7621913</v>
      </c>
      <c r="B107" t="s">
        <v>259</v>
      </c>
      <c r="C107" t="s">
        <v>260</v>
      </c>
      <c r="D107" s="21" t="s">
        <v>34</v>
      </c>
      <c r="E107" s="21" t="s">
        <v>35</v>
      </c>
      <c r="F107">
        <v>9760168</v>
      </c>
      <c r="G107" t="s">
        <v>179</v>
      </c>
      <c r="H107" s="21">
        <v>2068.17</v>
      </c>
    </row>
    <row r="108" spans="1:8" customFormat="1" x14ac:dyDescent="0.25">
      <c r="A108" t="str">
        <f>"947391"</f>
        <v>947391</v>
      </c>
      <c r="B108" t="s">
        <v>248</v>
      </c>
      <c r="C108" t="s">
        <v>249</v>
      </c>
      <c r="D108" s="21" t="s">
        <v>34</v>
      </c>
      <c r="E108" s="21" t="s">
        <v>71</v>
      </c>
      <c r="F108">
        <v>8921458</v>
      </c>
      <c r="G108" t="s">
        <v>162</v>
      </c>
      <c r="H108" s="21">
        <v>2062.67</v>
      </c>
    </row>
    <row r="109" spans="1:8" customFormat="1" x14ac:dyDescent="0.25">
      <c r="A109" t="str">
        <f>"372096"</f>
        <v>372096</v>
      </c>
      <c r="B109" t="s">
        <v>230</v>
      </c>
      <c r="C109" t="s">
        <v>60</v>
      </c>
      <c r="D109" s="21" t="s">
        <v>34</v>
      </c>
      <c r="E109" s="21" t="s">
        <v>35</v>
      </c>
      <c r="F109">
        <v>4370183</v>
      </c>
      <c r="G109" t="s">
        <v>231</v>
      </c>
      <c r="H109" s="21">
        <v>2061.17</v>
      </c>
    </row>
    <row r="110" spans="1:8" customFormat="1" x14ac:dyDescent="0.25">
      <c r="A110" t="str">
        <f>"57597"</f>
        <v>57597</v>
      </c>
      <c r="B110" t="s">
        <v>324</v>
      </c>
      <c r="C110" t="s">
        <v>269</v>
      </c>
      <c r="D110" s="21" t="s">
        <v>34</v>
      </c>
      <c r="E110" s="21" t="s">
        <v>71</v>
      </c>
      <c r="F110">
        <v>6570111</v>
      </c>
      <c r="G110" t="s">
        <v>99</v>
      </c>
      <c r="H110" s="21">
        <v>2059.67</v>
      </c>
    </row>
    <row r="111" spans="1:8" customFormat="1" x14ac:dyDescent="0.25">
      <c r="A111" t="str">
        <f>"7827069"</f>
        <v>7827069</v>
      </c>
      <c r="B111" t="s">
        <v>26524</v>
      </c>
      <c r="C111" t="s">
        <v>2786</v>
      </c>
      <c r="D111" s="21" t="s">
        <v>34</v>
      </c>
      <c r="E111" s="21" t="s">
        <v>35</v>
      </c>
      <c r="F111">
        <v>8780496</v>
      </c>
      <c r="G111" t="s">
        <v>2477</v>
      </c>
      <c r="H111" s="21">
        <v>2055.17</v>
      </c>
    </row>
    <row r="112" spans="1:8" customFormat="1" x14ac:dyDescent="0.25">
      <c r="A112" t="str">
        <f>"802838"</f>
        <v>802838</v>
      </c>
      <c r="B112" t="s">
        <v>274</v>
      </c>
      <c r="C112" t="s">
        <v>275</v>
      </c>
      <c r="D112" s="21" t="s">
        <v>34</v>
      </c>
      <c r="E112" s="21" t="s">
        <v>35</v>
      </c>
      <c r="F112">
        <v>7800003</v>
      </c>
      <c r="G112" t="s">
        <v>276</v>
      </c>
      <c r="H112" s="21">
        <v>2055.17</v>
      </c>
    </row>
    <row r="113" spans="1:8" customFormat="1" x14ac:dyDescent="0.25">
      <c r="A113" t="str">
        <f>"451367"</f>
        <v>451367</v>
      </c>
      <c r="B113" t="s">
        <v>261</v>
      </c>
      <c r="C113" t="s">
        <v>262</v>
      </c>
      <c r="D113" s="21" t="s">
        <v>34</v>
      </c>
      <c r="E113" s="21" t="s">
        <v>35</v>
      </c>
      <c r="F113">
        <v>4450410</v>
      </c>
      <c r="G113" t="s">
        <v>26525</v>
      </c>
      <c r="H113" s="21">
        <v>2053.17</v>
      </c>
    </row>
    <row r="114" spans="1:8" customFormat="1" x14ac:dyDescent="0.25">
      <c r="A114" t="str">
        <f>"832419"</f>
        <v>832419</v>
      </c>
      <c r="B114" t="s">
        <v>313</v>
      </c>
      <c r="C114" t="s">
        <v>314</v>
      </c>
      <c r="D114" s="21" t="s">
        <v>34</v>
      </c>
      <c r="E114" s="21" t="s">
        <v>35</v>
      </c>
      <c r="F114">
        <v>13830029</v>
      </c>
      <c r="G114" t="s">
        <v>315</v>
      </c>
      <c r="H114" s="21">
        <v>2052.17</v>
      </c>
    </row>
    <row r="115" spans="1:8" customFormat="1" x14ac:dyDescent="0.25">
      <c r="A115" t="str">
        <f>"778991"</f>
        <v>778991</v>
      </c>
      <c r="B115" t="s">
        <v>215</v>
      </c>
      <c r="C115" t="s">
        <v>40</v>
      </c>
      <c r="D115" s="21" t="s">
        <v>34</v>
      </c>
      <c r="E115" s="21" t="s">
        <v>35</v>
      </c>
      <c r="F115">
        <v>8770408</v>
      </c>
      <c r="G115" t="s">
        <v>212</v>
      </c>
      <c r="H115" s="21">
        <v>2050.67</v>
      </c>
    </row>
    <row r="116" spans="1:8" customFormat="1" x14ac:dyDescent="0.25">
      <c r="A116" t="str">
        <f>"283205"</f>
        <v>283205</v>
      </c>
      <c r="B116" t="s">
        <v>264</v>
      </c>
      <c r="C116" t="s">
        <v>82</v>
      </c>
      <c r="D116" s="21" t="s">
        <v>34</v>
      </c>
      <c r="E116" s="21" t="s">
        <v>35</v>
      </c>
      <c r="F116">
        <v>4280322</v>
      </c>
      <c r="G116" t="s">
        <v>265</v>
      </c>
      <c r="H116" s="21">
        <v>2048.67</v>
      </c>
    </row>
    <row r="117" spans="1:8" customFormat="1" x14ac:dyDescent="0.25">
      <c r="A117" t="str">
        <f>"703896"</f>
        <v>703896</v>
      </c>
      <c r="B117" t="s">
        <v>404</v>
      </c>
      <c r="C117" t="s">
        <v>285</v>
      </c>
      <c r="D117" s="21" t="s">
        <v>34</v>
      </c>
      <c r="E117" s="21" t="s">
        <v>35</v>
      </c>
      <c r="F117">
        <v>8950083</v>
      </c>
      <c r="G117" t="s">
        <v>405</v>
      </c>
      <c r="H117" s="21">
        <v>2048.5500000000002</v>
      </c>
    </row>
    <row r="118" spans="1:8" customFormat="1" x14ac:dyDescent="0.25">
      <c r="A118" t="str">
        <f>"712089"</f>
        <v>712089</v>
      </c>
      <c r="B118" t="s">
        <v>387</v>
      </c>
      <c r="C118" t="s">
        <v>388</v>
      </c>
      <c r="D118" s="21" t="s">
        <v>34</v>
      </c>
      <c r="E118" s="21" t="s">
        <v>35</v>
      </c>
      <c r="F118">
        <v>2710041</v>
      </c>
      <c r="G118" t="s">
        <v>389</v>
      </c>
      <c r="H118" s="21">
        <v>2046.05</v>
      </c>
    </row>
    <row r="119" spans="1:8" customFormat="1" x14ac:dyDescent="0.25">
      <c r="A119" t="str">
        <f>"918310"</f>
        <v>918310</v>
      </c>
      <c r="B119" t="s">
        <v>348</v>
      </c>
      <c r="C119" t="s">
        <v>349</v>
      </c>
      <c r="D119" s="21" t="s">
        <v>34</v>
      </c>
      <c r="E119" s="21" t="s">
        <v>35</v>
      </c>
      <c r="F119">
        <v>8910918</v>
      </c>
      <c r="G119" t="s">
        <v>332</v>
      </c>
      <c r="H119" s="21">
        <v>2043.04</v>
      </c>
    </row>
    <row r="120" spans="1:8" customFormat="1" x14ac:dyDescent="0.25">
      <c r="A120" t="str">
        <f>"624472"</f>
        <v>624472</v>
      </c>
      <c r="B120" t="s">
        <v>26526</v>
      </c>
      <c r="C120" t="s">
        <v>381</v>
      </c>
      <c r="D120" s="21" t="s">
        <v>34</v>
      </c>
      <c r="E120" s="21" t="s">
        <v>35</v>
      </c>
      <c r="F120">
        <v>7620100</v>
      </c>
      <c r="G120" t="s">
        <v>145</v>
      </c>
      <c r="H120" s="21">
        <v>2038.17</v>
      </c>
    </row>
    <row r="121" spans="1:8" customFormat="1" x14ac:dyDescent="0.25">
      <c r="A121" t="str">
        <f>"682465"</f>
        <v>682465</v>
      </c>
      <c r="B121" t="s">
        <v>238</v>
      </c>
      <c r="C121" t="s">
        <v>263</v>
      </c>
      <c r="D121" s="21" t="s">
        <v>34</v>
      </c>
      <c r="E121" s="21" t="s">
        <v>35</v>
      </c>
      <c r="F121">
        <v>6670187</v>
      </c>
      <c r="G121" t="s">
        <v>240</v>
      </c>
      <c r="H121" s="21">
        <v>2038.17</v>
      </c>
    </row>
    <row r="122" spans="1:8" customFormat="1" x14ac:dyDescent="0.25">
      <c r="A122" t="str">
        <f>"5916405"</f>
        <v>5916405</v>
      </c>
      <c r="B122" t="s">
        <v>325</v>
      </c>
      <c r="C122" t="s">
        <v>288</v>
      </c>
      <c r="D122" s="21" t="s">
        <v>34</v>
      </c>
      <c r="E122" s="21" t="s">
        <v>35</v>
      </c>
      <c r="F122">
        <v>1630078</v>
      </c>
      <c r="G122" t="s">
        <v>326</v>
      </c>
      <c r="H122" s="21">
        <v>2034.67</v>
      </c>
    </row>
    <row r="123" spans="1:8" customFormat="1" x14ac:dyDescent="0.25">
      <c r="A123" t="str">
        <f>"3412264"</f>
        <v>3412264</v>
      </c>
      <c r="B123" t="s">
        <v>338</v>
      </c>
      <c r="C123" t="s">
        <v>62</v>
      </c>
      <c r="D123" s="21" t="s">
        <v>34</v>
      </c>
      <c r="E123" s="21" t="s">
        <v>35</v>
      </c>
      <c r="F123">
        <v>6880022</v>
      </c>
      <c r="G123" t="s">
        <v>339</v>
      </c>
      <c r="H123" s="21">
        <v>2033.04</v>
      </c>
    </row>
    <row r="124" spans="1:8" customFormat="1" x14ac:dyDescent="0.25">
      <c r="A124" t="str">
        <f>"9213456"</f>
        <v>9213456</v>
      </c>
      <c r="B124" t="s">
        <v>26527</v>
      </c>
      <c r="C124" t="s">
        <v>874</v>
      </c>
      <c r="D124" s="21" t="s">
        <v>34</v>
      </c>
      <c r="E124" s="21" t="s">
        <v>35</v>
      </c>
      <c r="F124">
        <v>8920312</v>
      </c>
      <c r="G124" t="s">
        <v>1026</v>
      </c>
      <c r="H124" s="21">
        <v>2029.17</v>
      </c>
    </row>
    <row r="125" spans="1:8" customFormat="1" x14ac:dyDescent="0.25">
      <c r="A125" t="str">
        <f>"8011978"</f>
        <v>8011978</v>
      </c>
      <c r="B125" t="s">
        <v>299</v>
      </c>
      <c r="C125" t="s">
        <v>114</v>
      </c>
      <c r="D125" s="21" t="s">
        <v>34</v>
      </c>
      <c r="E125" s="21" t="s">
        <v>71</v>
      </c>
      <c r="F125">
        <v>7800001</v>
      </c>
      <c r="G125" t="s">
        <v>176</v>
      </c>
      <c r="H125" s="21">
        <v>2027.67</v>
      </c>
    </row>
    <row r="126" spans="1:8" customFormat="1" x14ac:dyDescent="0.25">
      <c r="A126" t="str">
        <f>"942760"</f>
        <v>942760</v>
      </c>
      <c r="B126" t="s">
        <v>283</v>
      </c>
      <c r="C126" t="s">
        <v>33</v>
      </c>
      <c r="D126" s="21" t="s">
        <v>34</v>
      </c>
      <c r="E126" s="21" t="s">
        <v>35</v>
      </c>
      <c r="F126">
        <v>2710067</v>
      </c>
      <c r="G126" t="s">
        <v>284</v>
      </c>
      <c r="H126" s="21">
        <v>2026.17</v>
      </c>
    </row>
    <row r="127" spans="1:8" customFormat="1" x14ac:dyDescent="0.25">
      <c r="A127" t="str">
        <f>"69460"</f>
        <v>69460</v>
      </c>
      <c r="B127" t="s">
        <v>301</v>
      </c>
      <c r="C127" t="s">
        <v>302</v>
      </c>
      <c r="D127" s="21" t="s">
        <v>34</v>
      </c>
      <c r="E127" s="21" t="s">
        <v>35</v>
      </c>
      <c r="F127">
        <v>1690221</v>
      </c>
      <c r="G127" t="s">
        <v>303</v>
      </c>
      <c r="H127" s="21">
        <v>2024.67</v>
      </c>
    </row>
    <row r="128" spans="1:8" customFormat="1" x14ac:dyDescent="0.25">
      <c r="A128" t="str">
        <f>"89399"</f>
        <v>89399</v>
      </c>
      <c r="B128" t="s">
        <v>327</v>
      </c>
      <c r="C128" t="s">
        <v>328</v>
      </c>
      <c r="D128" s="21" t="s">
        <v>34</v>
      </c>
      <c r="E128" s="21" t="s">
        <v>35</v>
      </c>
      <c r="F128">
        <v>12490063</v>
      </c>
      <c r="G128" t="s">
        <v>329</v>
      </c>
      <c r="H128" s="21">
        <v>2022.17</v>
      </c>
    </row>
    <row r="129" spans="1:8" customFormat="1" x14ac:dyDescent="0.25">
      <c r="A129" t="str">
        <f>"943253"</f>
        <v>943253</v>
      </c>
      <c r="B129" t="s">
        <v>446</v>
      </c>
      <c r="C129" t="s">
        <v>109</v>
      </c>
      <c r="D129" s="21" t="s">
        <v>34</v>
      </c>
      <c r="E129" s="21" t="s">
        <v>35</v>
      </c>
      <c r="F129">
        <v>8770499</v>
      </c>
      <c r="G129" t="s">
        <v>447</v>
      </c>
      <c r="H129" s="21">
        <v>2022.05</v>
      </c>
    </row>
    <row r="130" spans="1:8" customFormat="1" x14ac:dyDescent="0.25">
      <c r="A130" t="str">
        <f>"534538"</f>
        <v>534538</v>
      </c>
      <c r="B130" t="s">
        <v>306</v>
      </c>
      <c r="C130" t="s">
        <v>87</v>
      </c>
      <c r="D130" s="21" t="s">
        <v>34</v>
      </c>
      <c r="E130" s="21" t="s">
        <v>71</v>
      </c>
      <c r="F130">
        <v>12530017</v>
      </c>
      <c r="G130" t="s">
        <v>307</v>
      </c>
      <c r="H130" s="21">
        <v>2020.17</v>
      </c>
    </row>
    <row r="131" spans="1:8" customFormat="1" x14ac:dyDescent="0.25">
      <c r="A131" t="str">
        <f>"809614"</f>
        <v>809614</v>
      </c>
      <c r="B131" t="s">
        <v>26528</v>
      </c>
      <c r="C131" t="s">
        <v>26529</v>
      </c>
      <c r="D131" s="21" t="s">
        <v>34</v>
      </c>
      <c r="E131" s="21" t="s">
        <v>35</v>
      </c>
      <c r="F131">
        <v>1740065</v>
      </c>
      <c r="G131" t="s">
        <v>5226</v>
      </c>
      <c r="H131" s="21">
        <v>2017.67</v>
      </c>
    </row>
    <row r="132" spans="1:8" customFormat="1" x14ac:dyDescent="0.25">
      <c r="A132" t="str">
        <f>"591891"</f>
        <v>591891</v>
      </c>
      <c r="B132" t="s">
        <v>330</v>
      </c>
      <c r="C132" t="s">
        <v>33</v>
      </c>
      <c r="D132" s="21" t="s">
        <v>34</v>
      </c>
      <c r="E132" s="21" t="s">
        <v>35</v>
      </c>
      <c r="F132">
        <v>7590392</v>
      </c>
      <c r="G132" t="s">
        <v>154</v>
      </c>
      <c r="H132" s="21">
        <v>2017.67</v>
      </c>
    </row>
    <row r="133" spans="1:8" customFormat="1" x14ac:dyDescent="0.25">
      <c r="A133" t="str">
        <f>"442470"</f>
        <v>442470</v>
      </c>
      <c r="B133" t="s">
        <v>383</v>
      </c>
      <c r="C133" t="s">
        <v>90</v>
      </c>
      <c r="D133" s="21" t="s">
        <v>34</v>
      </c>
      <c r="E133" s="21" t="s">
        <v>35</v>
      </c>
      <c r="F133">
        <v>12440004</v>
      </c>
      <c r="G133" t="s">
        <v>26530</v>
      </c>
      <c r="H133" s="21">
        <v>2015.67</v>
      </c>
    </row>
    <row r="134" spans="1:8" customFormat="1" x14ac:dyDescent="0.25">
      <c r="A134" t="str">
        <f>"0868"</f>
        <v>0868</v>
      </c>
      <c r="B134" t="s">
        <v>346</v>
      </c>
      <c r="C134" t="s">
        <v>217</v>
      </c>
      <c r="D134" s="21" t="s">
        <v>34</v>
      </c>
      <c r="E134" s="21" t="s">
        <v>35</v>
      </c>
      <c r="F134">
        <v>1740001</v>
      </c>
      <c r="G134" t="s">
        <v>347</v>
      </c>
      <c r="H134" s="21">
        <v>2015.67</v>
      </c>
    </row>
    <row r="135" spans="1:8" customFormat="1" x14ac:dyDescent="0.25">
      <c r="A135" t="str">
        <f>"4432866"</f>
        <v>4432866</v>
      </c>
      <c r="B135" t="s">
        <v>427</v>
      </c>
      <c r="C135" t="s">
        <v>428</v>
      </c>
      <c r="D135" s="21" t="s">
        <v>34</v>
      </c>
      <c r="E135" s="21" t="s">
        <v>71</v>
      </c>
      <c r="F135">
        <v>12440021</v>
      </c>
      <c r="G135" t="s">
        <v>429</v>
      </c>
      <c r="H135" s="21">
        <v>2015.17</v>
      </c>
    </row>
    <row r="136" spans="1:8" customFormat="1" x14ac:dyDescent="0.25">
      <c r="A136" t="str">
        <f>"163884"</f>
        <v>163884</v>
      </c>
      <c r="B136" t="s">
        <v>1422</v>
      </c>
      <c r="C136" t="s">
        <v>5578</v>
      </c>
      <c r="D136" s="21" t="s">
        <v>34</v>
      </c>
      <c r="E136" s="21" t="s">
        <v>35</v>
      </c>
      <c r="F136">
        <v>13060114</v>
      </c>
      <c r="G136" t="s">
        <v>4501</v>
      </c>
      <c r="H136" s="21">
        <v>2012.67</v>
      </c>
    </row>
    <row r="137" spans="1:8" customFormat="1" x14ac:dyDescent="0.25">
      <c r="A137" t="str">
        <f>"92636"</f>
        <v>92636</v>
      </c>
      <c r="B137" t="s">
        <v>257</v>
      </c>
      <c r="C137" t="s">
        <v>169</v>
      </c>
      <c r="D137" s="21" t="s">
        <v>34</v>
      </c>
      <c r="E137" s="21" t="s">
        <v>71</v>
      </c>
      <c r="F137">
        <v>8920067</v>
      </c>
      <c r="G137" t="s">
        <v>258</v>
      </c>
      <c r="H137" s="21">
        <v>2012.67</v>
      </c>
    </row>
    <row r="138" spans="1:8" customFormat="1" x14ac:dyDescent="0.25">
      <c r="A138" t="str">
        <f>"223477"</f>
        <v>223477</v>
      </c>
      <c r="B138" t="s">
        <v>26531</v>
      </c>
      <c r="C138" t="s">
        <v>1359</v>
      </c>
      <c r="D138" s="21" t="s">
        <v>34</v>
      </c>
      <c r="E138" s="21" t="s">
        <v>35</v>
      </c>
      <c r="F138">
        <v>3290019</v>
      </c>
      <c r="G138" t="s">
        <v>4452</v>
      </c>
      <c r="H138" s="21">
        <v>2012.17</v>
      </c>
    </row>
    <row r="139" spans="1:8" customFormat="1" x14ac:dyDescent="0.25">
      <c r="A139" t="str">
        <f>"9216247"</f>
        <v>9216247</v>
      </c>
      <c r="B139" t="s">
        <v>316</v>
      </c>
      <c r="C139" t="s">
        <v>60</v>
      </c>
      <c r="D139" s="21" t="s">
        <v>34</v>
      </c>
      <c r="E139" s="21" t="s">
        <v>35</v>
      </c>
      <c r="F139">
        <v>8920075</v>
      </c>
      <c r="G139" t="s">
        <v>317</v>
      </c>
      <c r="H139" s="21">
        <v>2011.67</v>
      </c>
    </row>
    <row r="140" spans="1:8" customFormat="1" x14ac:dyDescent="0.25">
      <c r="A140" t="str">
        <f>"4912652"</f>
        <v>4912652</v>
      </c>
      <c r="B140" t="s">
        <v>295</v>
      </c>
      <c r="C140" t="s">
        <v>60</v>
      </c>
      <c r="D140" s="21" t="s">
        <v>34</v>
      </c>
      <c r="E140" s="21" t="s">
        <v>35</v>
      </c>
      <c r="F140">
        <v>12490073</v>
      </c>
      <c r="G140" t="s">
        <v>296</v>
      </c>
      <c r="H140" s="21">
        <v>2011.67</v>
      </c>
    </row>
    <row r="141" spans="1:8" customFormat="1" x14ac:dyDescent="0.25">
      <c r="A141" t="str">
        <f>"292623"</f>
        <v>292623</v>
      </c>
      <c r="B141" t="s">
        <v>363</v>
      </c>
      <c r="C141" t="s">
        <v>55</v>
      </c>
      <c r="D141" s="21" t="s">
        <v>34</v>
      </c>
      <c r="E141" s="21" t="s">
        <v>35</v>
      </c>
      <c r="F141">
        <v>3290087</v>
      </c>
      <c r="G141" t="s">
        <v>364</v>
      </c>
      <c r="H141" s="21">
        <v>2010.67</v>
      </c>
    </row>
    <row r="142" spans="1:8" customFormat="1" x14ac:dyDescent="0.25">
      <c r="A142" t="str">
        <f>"562650"</f>
        <v>562650</v>
      </c>
      <c r="B142" t="s">
        <v>297</v>
      </c>
      <c r="C142" t="s">
        <v>262</v>
      </c>
      <c r="D142" s="21" t="s">
        <v>34</v>
      </c>
      <c r="E142" s="21" t="s">
        <v>35</v>
      </c>
      <c r="F142">
        <v>3560053</v>
      </c>
      <c r="G142" t="s">
        <v>298</v>
      </c>
      <c r="H142" s="21">
        <v>2010.42</v>
      </c>
    </row>
    <row r="143" spans="1:8" customFormat="1" x14ac:dyDescent="0.25">
      <c r="A143" t="str">
        <f>"685657"</f>
        <v>685657</v>
      </c>
      <c r="B143" t="s">
        <v>287</v>
      </c>
      <c r="C143" t="s">
        <v>288</v>
      </c>
      <c r="D143" s="21" t="s">
        <v>34</v>
      </c>
      <c r="E143" s="21" t="s">
        <v>71</v>
      </c>
      <c r="F143">
        <v>6680082</v>
      </c>
      <c r="G143" t="s">
        <v>289</v>
      </c>
      <c r="H143" s="21">
        <v>2009.67</v>
      </c>
    </row>
    <row r="144" spans="1:8" customFormat="1" x14ac:dyDescent="0.25">
      <c r="A144" t="str">
        <f>"611747"</f>
        <v>611747</v>
      </c>
      <c r="B144" t="s">
        <v>281</v>
      </c>
      <c r="C144" t="s">
        <v>204</v>
      </c>
      <c r="D144" s="21" t="s">
        <v>34</v>
      </c>
      <c r="E144" s="21" t="s">
        <v>35</v>
      </c>
      <c r="F144">
        <v>9610009</v>
      </c>
      <c r="G144" t="s">
        <v>282</v>
      </c>
      <c r="H144" s="21">
        <v>2008.67</v>
      </c>
    </row>
    <row r="145" spans="1:8" customFormat="1" x14ac:dyDescent="0.25">
      <c r="A145" t="str">
        <f>"624388"</f>
        <v>624388</v>
      </c>
      <c r="B145" t="s">
        <v>502</v>
      </c>
      <c r="C145" t="s">
        <v>288</v>
      </c>
      <c r="D145" s="21" t="s">
        <v>34</v>
      </c>
      <c r="E145" s="21" t="s">
        <v>35</v>
      </c>
      <c r="F145">
        <v>7620100</v>
      </c>
      <c r="G145" t="s">
        <v>145</v>
      </c>
      <c r="H145" s="21">
        <v>2006.8</v>
      </c>
    </row>
    <row r="146" spans="1:8" customFormat="1" x14ac:dyDescent="0.25">
      <c r="A146" t="str">
        <f>"57166"</f>
        <v>57166</v>
      </c>
      <c r="B146" t="s">
        <v>322</v>
      </c>
      <c r="C146" t="s">
        <v>323</v>
      </c>
      <c r="D146" s="21" t="s">
        <v>34</v>
      </c>
      <c r="E146" s="21" t="s">
        <v>35</v>
      </c>
      <c r="F146">
        <v>6570014</v>
      </c>
      <c r="G146" t="s">
        <v>72</v>
      </c>
      <c r="H146" s="21">
        <v>2006.67</v>
      </c>
    </row>
    <row r="147" spans="1:8" customFormat="1" x14ac:dyDescent="0.25">
      <c r="A147" t="str">
        <f>"167444"</f>
        <v>167444</v>
      </c>
      <c r="B147" t="s">
        <v>337</v>
      </c>
      <c r="C147" t="s">
        <v>249</v>
      </c>
      <c r="D147" s="21" t="s">
        <v>34</v>
      </c>
      <c r="E147" s="21" t="s">
        <v>35</v>
      </c>
      <c r="F147">
        <v>3220048</v>
      </c>
      <c r="G147" t="s">
        <v>26532</v>
      </c>
      <c r="H147" s="21">
        <v>2003.67</v>
      </c>
    </row>
    <row r="148" spans="1:8" customFormat="1" x14ac:dyDescent="0.25">
      <c r="A148" t="str">
        <f>"7510458"</f>
        <v>7510458</v>
      </c>
      <c r="B148" t="s">
        <v>392</v>
      </c>
      <c r="C148" t="s">
        <v>328</v>
      </c>
      <c r="D148" s="21" t="s">
        <v>34</v>
      </c>
      <c r="E148" s="21" t="s">
        <v>35</v>
      </c>
      <c r="F148">
        <v>13130159</v>
      </c>
      <c r="G148" t="s">
        <v>199</v>
      </c>
      <c r="H148" s="21">
        <v>2003.17</v>
      </c>
    </row>
    <row r="149" spans="1:8" customFormat="1" x14ac:dyDescent="0.25">
      <c r="A149" t="str">
        <f>"3814377"</f>
        <v>3814377</v>
      </c>
      <c r="B149" t="s">
        <v>67</v>
      </c>
      <c r="C149" t="s">
        <v>171</v>
      </c>
      <c r="D149" s="21" t="s">
        <v>34</v>
      </c>
      <c r="E149" s="21" t="s">
        <v>35</v>
      </c>
      <c r="F149">
        <v>11340033</v>
      </c>
      <c r="G149" t="s">
        <v>433</v>
      </c>
      <c r="H149" s="21">
        <v>2001.67</v>
      </c>
    </row>
    <row r="150" spans="1:8" customFormat="1" x14ac:dyDescent="0.25">
      <c r="A150" t="str">
        <f>"385461"</f>
        <v>385461</v>
      </c>
      <c r="B150" t="s">
        <v>319</v>
      </c>
      <c r="C150" t="s">
        <v>320</v>
      </c>
      <c r="D150" s="21" t="s">
        <v>34</v>
      </c>
      <c r="E150" s="21" t="s">
        <v>35</v>
      </c>
      <c r="F150">
        <v>1380199</v>
      </c>
      <c r="G150" t="s">
        <v>321</v>
      </c>
      <c r="H150" s="21">
        <v>1997.17</v>
      </c>
    </row>
    <row r="151" spans="1:8" customFormat="1" x14ac:dyDescent="0.25">
      <c r="A151" t="str">
        <f>"5926446"</f>
        <v>5926446</v>
      </c>
      <c r="B151" t="s">
        <v>243</v>
      </c>
      <c r="C151" t="s">
        <v>244</v>
      </c>
      <c r="D151" s="21" t="s">
        <v>34</v>
      </c>
      <c r="E151" s="21" t="s">
        <v>35</v>
      </c>
      <c r="F151">
        <v>7620046</v>
      </c>
      <c r="G151" t="s">
        <v>242</v>
      </c>
      <c r="H151" s="21">
        <v>1995.67</v>
      </c>
    </row>
    <row r="152" spans="1:8" customFormat="1" x14ac:dyDescent="0.25">
      <c r="A152" t="str">
        <f>"681232"</f>
        <v>681232</v>
      </c>
      <c r="B152" t="s">
        <v>402</v>
      </c>
      <c r="C152" t="s">
        <v>269</v>
      </c>
      <c r="D152" s="21" t="s">
        <v>34</v>
      </c>
      <c r="E152" s="21" t="s">
        <v>71</v>
      </c>
      <c r="F152">
        <v>6680105</v>
      </c>
      <c r="G152" t="s">
        <v>403</v>
      </c>
      <c r="H152" s="21">
        <v>1995.17</v>
      </c>
    </row>
    <row r="153" spans="1:8" customFormat="1" x14ac:dyDescent="0.25">
      <c r="A153" t="str">
        <f>"942147"</f>
        <v>942147</v>
      </c>
      <c r="B153" t="s">
        <v>480</v>
      </c>
      <c r="C153" t="s">
        <v>43</v>
      </c>
      <c r="D153" s="21" t="s">
        <v>34</v>
      </c>
      <c r="E153" s="21" t="s">
        <v>35</v>
      </c>
      <c r="F153">
        <v>8940894</v>
      </c>
      <c r="G153" t="s">
        <v>481</v>
      </c>
      <c r="H153" s="21">
        <v>1994.92</v>
      </c>
    </row>
    <row r="154" spans="1:8" customFormat="1" x14ac:dyDescent="0.25">
      <c r="A154" t="str">
        <f>"951246"</f>
        <v>951246</v>
      </c>
      <c r="B154" t="s">
        <v>367</v>
      </c>
      <c r="C154" t="s">
        <v>249</v>
      </c>
      <c r="D154" s="21" t="s">
        <v>34</v>
      </c>
      <c r="E154" s="21" t="s">
        <v>71</v>
      </c>
      <c r="F154">
        <v>8930113</v>
      </c>
      <c r="G154" t="s">
        <v>368</v>
      </c>
      <c r="H154" s="21">
        <v>1994.67</v>
      </c>
    </row>
    <row r="155" spans="1:8" customFormat="1" x14ac:dyDescent="0.25">
      <c r="A155" t="str">
        <f>"313200"</f>
        <v>313200</v>
      </c>
      <c r="B155" t="s">
        <v>417</v>
      </c>
      <c r="C155" t="s">
        <v>418</v>
      </c>
      <c r="D155" s="21" t="s">
        <v>34</v>
      </c>
      <c r="E155" s="21" t="s">
        <v>71</v>
      </c>
      <c r="F155">
        <v>11310006</v>
      </c>
      <c r="G155" t="s">
        <v>419</v>
      </c>
      <c r="H155" s="21">
        <v>1993.67</v>
      </c>
    </row>
    <row r="156" spans="1:8" customFormat="1" x14ac:dyDescent="0.25">
      <c r="A156" t="str">
        <f>"59662"</f>
        <v>59662</v>
      </c>
      <c r="B156" t="s">
        <v>250</v>
      </c>
      <c r="C156" t="s">
        <v>169</v>
      </c>
      <c r="D156" s="21" t="s">
        <v>34</v>
      </c>
      <c r="E156" s="21" t="s">
        <v>35</v>
      </c>
      <c r="F156">
        <v>7590028</v>
      </c>
      <c r="G156" t="s">
        <v>251</v>
      </c>
      <c r="H156" s="21">
        <v>1992.67</v>
      </c>
    </row>
    <row r="157" spans="1:8" customFormat="1" x14ac:dyDescent="0.25">
      <c r="A157" t="str">
        <f>"7810269"</f>
        <v>7810269</v>
      </c>
      <c r="B157" t="s">
        <v>290</v>
      </c>
      <c r="C157" t="s">
        <v>169</v>
      </c>
      <c r="D157" s="21" t="s">
        <v>34</v>
      </c>
      <c r="E157" s="21" t="s">
        <v>71</v>
      </c>
      <c r="F157">
        <v>4450026</v>
      </c>
      <c r="G157" t="s">
        <v>291</v>
      </c>
      <c r="H157" s="21">
        <v>1991.67</v>
      </c>
    </row>
    <row r="158" spans="1:8" customFormat="1" x14ac:dyDescent="0.25">
      <c r="A158" t="str">
        <f>"9513561"</f>
        <v>9513561</v>
      </c>
      <c r="B158" t="s">
        <v>304</v>
      </c>
      <c r="C158" t="s">
        <v>305</v>
      </c>
      <c r="D158" s="21" t="s">
        <v>34</v>
      </c>
      <c r="E158" s="21" t="s">
        <v>35</v>
      </c>
      <c r="F158">
        <v>8920025</v>
      </c>
      <c r="G158" t="s">
        <v>159</v>
      </c>
      <c r="H158" s="21">
        <v>1991.67</v>
      </c>
    </row>
    <row r="159" spans="1:8" customFormat="1" x14ac:dyDescent="0.25">
      <c r="A159" t="str">
        <f>"9310065"</f>
        <v>9310065</v>
      </c>
      <c r="B159" t="s">
        <v>335</v>
      </c>
      <c r="C159" t="s">
        <v>336</v>
      </c>
      <c r="D159" s="21" t="s">
        <v>34</v>
      </c>
      <c r="E159" s="21" t="s">
        <v>35</v>
      </c>
      <c r="F159">
        <v>8751163</v>
      </c>
      <c r="G159" t="s">
        <v>80</v>
      </c>
      <c r="H159" s="21">
        <v>1991.67</v>
      </c>
    </row>
    <row r="160" spans="1:8" customFormat="1" x14ac:dyDescent="0.25">
      <c r="A160" t="str">
        <f>"746249"</f>
        <v>746249</v>
      </c>
      <c r="B160" t="s">
        <v>430</v>
      </c>
      <c r="C160" t="s">
        <v>3393</v>
      </c>
      <c r="D160" s="21" t="s">
        <v>34</v>
      </c>
      <c r="E160" s="21" t="s">
        <v>35</v>
      </c>
      <c r="F160">
        <v>1740011</v>
      </c>
      <c r="G160" t="s">
        <v>2638</v>
      </c>
      <c r="H160" s="21">
        <v>1991.17</v>
      </c>
    </row>
    <row r="161" spans="1:8" customFormat="1" x14ac:dyDescent="0.25">
      <c r="A161" t="str">
        <f>"57518"</f>
        <v>57518</v>
      </c>
      <c r="B161" t="s">
        <v>26533</v>
      </c>
      <c r="C161" t="s">
        <v>37</v>
      </c>
      <c r="D161" s="21" t="s">
        <v>34</v>
      </c>
      <c r="E161" s="21" t="s">
        <v>35</v>
      </c>
      <c r="F161">
        <v>6570030</v>
      </c>
      <c r="G161" t="s">
        <v>851</v>
      </c>
      <c r="H161" s="21">
        <v>1989.67</v>
      </c>
    </row>
    <row r="162" spans="1:8" customFormat="1" x14ac:dyDescent="0.25">
      <c r="A162" t="str">
        <f>"224014"</f>
        <v>224014</v>
      </c>
      <c r="B162" t="s">
        <v>331</v>
      </c>
      <c r="C162" t="s">
        <v>302</v>
      </c>
      <c r="D162" s="21" t="s">
        <v>34</v>
      </c>
      <c r="E162" s="21" t="s">
        <v>35</v>
      </c>
      <c r="F162">
        <v>8910918</v>
      </c>
      <c r="G162" t="s">
        <v>332</v>
      </c>
      <c r="H162" s="21">
        <v>1989.3</v>
      </c>
    </row>
    <row r="163" spans="1:8" customFormat="1" x14ac:dyDescent="0.25">
      <c r="A163" t="str">
        <f>"417534"</f>
        <v>417534</v>
      </c>
      <c r="B163" t="s">
        <v>352</v>
      </c>
      <c r="C163" t="s">
        <v>353</v>
      </c>
      <c r="D163" s="21" t="s">
        <v>34</v>
      </c>
      <c r="E163" s="21" t="s">
        <v>35</v>
      </c>
      <c r="F163">
        <v>12530054</v>
      </c>
      <c r="G163" t="s">
        <v>354</v>
      </c>
      <c r="H163" s="21">
        <v>1988.67</v>
      </c>
    </row>
    <row r="164" spans="1:8" customFormat="1" x14ac:dyDescent="0.25">
      <c r="A164" t="str">
        <f>"7713649"</f>
        <v>7713649</v>
      </c>
      <c r="B164" t="s">
        <v>385</v>
      </c>
      <c r="C164" t="s">
        <v>65</v>
      </c>
      <c r="D164" s="21" t="s">
        <v>34</v>
      </c>
      <c r="E164" s="21" t="s">
        <v>71</v>
      </c>
      <c r="F164">
        <v>8771236</v>
      </c>
      <c r="G164" t="s">
        <v>386</v>
      </c>
      <c r="H164" s="21">
        <v>1987.67</v>
      </c>
    </row>
    <row r="165" spans="1:8" customFormat="1" x14ac:dyDescent="0.25">
      <c r="A165" t="str">
        <f>"6210790"</f>
        <v>6210790</v>
      </c>
      <c r="B165" t="s">
        <v>366</v>
      </c>
      <c r="C165" t="s">
        <v>98</v>
      </c>
      <c r="D165" s="21" t="s">
        <v>34</v>
      </c>
      <c r="E165" s="21" t="s">
        <v>35</v>
      </c>
      <c r="F165">
        <v>7590040</v>
      </c>
      <c r="G165" t="s">
        <v>104</v>
      </c>
      <c r="H165" s="21">
        <v>1986.67</v>
      </c>
    </row>
    <row r="166" spans="1:8" customFormat="1" x14ac:dyDescent="0.25">
      <c r="A166" t="str">
        <f>"6923159"</f>
        <v>6923159</v>
      </c>
      <c r="B166" t="s">
        <v>271</v>
      </c>
      <c r="C166" t="s">
        <v>272</v>
      </c>
      <c r="D166" s="21" t="s">
        <v>34</v>
      </c>
      <c r="E166" s="21" t="s">
        <v>71</v>
      </c>
      <c r="F166">
        <v>1690052</v>
      </c>
      <c r="G166" t="s">
        <v>273</v>
      </c>
      <c r="H166" s="21">
        <v>1986.17</v>
      </c>
    </row>
    <row r="167" spans="1:8" customFormat="1" x14ac:dyDescent="0.25">
      <c r="A167" t="str">
        <f>"9519719"</f>
        <v>9519719</v>
      </c>
      <c r="B167" t="s">
        <v>252</v>
      </c>
      <c r="C167" t="s">
        <v>253</v>
      </c>
      <c r="D167" s="21" t="s">
        <v>34</v>
      </c>
      <c r="E167" s="21" t="s">
        <v>254</v>
      </c>
      <c r="F167">
        <v>7590127</v>
      </c>
      <c r="G167" t="s">
        <v>214</v>
      </c>
      <c r="H167" s="21">
        <v>1981.17</v>
      </c>
    </row>
    <row r="168" spans="1:8" customFormat="1" x14ac:dyDescent="0.25">
      <c r="A168" t="str">
        <f>"5411554"</f>
        <v>5411554</v>
      </c>
      <c r="B168" t="s">
        <v>350</v>
      </c>
      <c r="C168" t="s">
        <v>156</v>
      </c>
      <c r="D168" s="21" t="s">
        <v>34</v>
      </c>
      <c r="E168" s="21" t="s">
        <v>35</v>
      </c>
      <c r="F168">
        <v>6570005</v>
      </c>
      <c r="G168" t="s">
        <v>351</v>
      </c>
      <c r="H168" s="21">
        <v>1979.67</v>
      </c>
    </row>
    <row r="169" spans="1:8" customFormat="1" x14ac:dyDescent="0.25">
      <c r="A169" t="str">
        <f>"7713646"</f>
        <v>7713646</v>
      </c>
      <c r="B169" t="s">
        <v>499</v>
      </c>
      <c r="C169" t="s">
        <v>500</v>
      </c>
      <c r="D169" s="21" t="s">
        <v>34</v>
      </c>
      <c r="E169" s="21" t="s">
        <v>35</v>
      </c>
      <c r="F169">
        <v>6880002</v>
      </c>
      <c r="G169" t="s">
        <v>501</v>
      </c>
      <c r="H169" s="21">
        <v>1979.17</v>
      </c>
    </row>
    <row r="170" spans="1:8" customFormat="1" x14ac:dyDescent="0.25">
      <c r="A170" t="str">
        <f>"6915508"</f>
        <v>6915508</v>
      </c>
      <c r="B170" t="s">
        <v>437</v>
      </c>
      <c r="C170" t="s">
        <v>209</v>
      </c>
      <c r="D170" s="21" t="s">
        <v>34</v>
      </c>
      <c r="E170" s="21" t="s">
        <v>35</v>
      </c>
      <c r="F170">
        <v>1690186</v>
      </c>
      <c r="G170" t="s">
        <v>438</v>
      </c>
      <c r="H170" s="21">
        <v>1978.17</v>
      </c>
    </row>
    <row r="171" spans="1:8" customFormat="1" x14ac:dyDescent="0.25">
      <c r="A171" t="str">
        <f>"9416906"</f>
        <v>9416906</v>
      </c>
      <c r="B171" t="s">
        <v>8045</v>
      </c>
      <c r="C171" t="s">
        <v>62</v>
      </c>
      <c r="D171" s="21" t="s">
        <v>34</v>
      </c>
      <c r="E171" s="21" t="s">
        <v>35</v>
      </c>
      <c r="F171">
        <v>8940326</v>
      </c>
      <c r="G171" t="s">
        <v>659</v>
      </c>
      <c r="H171" s="21">
        <v>1977.67</v>
      </c>
    </row>
    <row r="172" spans="1:8" customFormat="1" x14ac:dyDescent="0.25">
      <c r="A172" t="str">
        <f>"638196"</f>
        <v>638196</v>
      </c>
      <c r="B172" t="s">
        <v>357</v>
      </c>
      <c r="C172" t="s">
        <v>209</v>
      </c>
      <c r="D172" s="21" t="s">
        <v>34</v>
      </c>
      <c r="E172" s="21" t="s">
        <v>35</v>
      </c>
      <c r="F172">
        <v>1260054</v>
      </c>
      <c r="G172" t="s">
        <v>358</v>
      </c>
      <c r="H172" s="21">
        <v>1976.17</v>
      </c>
    </row>
    <row r="173" spans="1:8" customFormat="1" x14ac:dyDescent="0.25">
      <c r="A173" t="str">
        <f>"8512372"</f>
        <v>8512372</v>
      </c>
      <c r="B173" t="s">
        <v>431</v>
      </c>
      <c r="C173" t="s">
        <v>109</v>
      </c>
      <c r="D173" s="21" t="s">
        <v>34</v>
      </c>
      <c r="E173" s="21" t="s">
        <v>35</v>
      </c>
      <c r="F173">
        <v>1690030</v>
      </c>
      <c r="G173" t="s">
        <v>432</v>
      </c>
      <c r="H173" s="21">
        <v>1974.17</v>
      </c>
    </row>
    <row r="174" spans="1:8" customFormat="1" x14ac:dyDescent="0.25">
      <c r="A174" t="str">
        <f>"3513972"</f>
        <v>3513972</v>
      </c>
      <c r="B174" t="s">
        <v>365</v>
      </c>
      <c r="C174" t="s">
        <v>43</v>
      </c>
      <c r="D174" s="21" t="s">
        <v>34</v>
      </c>
      <c r="E174" s="21" t="s">
        <v>35</v>
      </c>
      <c r="F174">
        <v>3350060</v>
      </c>
      <c r="G174" t="s">
        <v>38</v>
      </c>
      <c r="H174" s="21">
        <v>1971.67</v>
      </c>
    </row>
    <row r="175" spans="1:8" customFormat="1" x14ac:dyDescent="0.25">
      <c r="A175" t="str">
        <f>"595091"</f>
        <v>595091</v>
      </c>
      <c r="B175" t="s">
        <v>369</v>
      </c>
      <c r="C175" t="s">
        <v>169</v>
      </c>
      <c r="D175" s="21" t="s">
        <v>34</v>
      </c>
      <c r="E175" s="21" t="s">
        <v>35</v>
      </c>
      <c r="F175">
        <v>7590005</v>
      </c>
      <c r="G175" t="s">
        <v>540</v>
      </c>
      <c r="H175" s="21">
        <v>1971.17</v>
      </c>
    </row>
    <row r="176" spans="1:8" customFormat="1" x14ac:dyDescent="0.25">
      <c r="A176" t="str">
        <f>"102340"</f>
        <v>102340</v>
      </c>
      <c r="B176" t="s">
        <v>495</v>
      </c>
      <c r="C176" t="s">
        <v>169</v>
      </c>
      <c r="D176" s="21" t="s">
        <v>34</v>
      </c>
      <c r="E176" s="21" t="s">
        <v>71</v>
      </c>
      <c r="F176">
        <v>6100004</v>
      </c>
      <c r="G176" t="s">
        <v>496</v>
      </c>
      <c r="H176" s="21">
        <v>1970.67</v>
      </c>
    </row>
    <row r="177" spans="1:8" customFormat="1" x14ac:dyDescent="0.25">
      <c r="A177" t="str">
        <f>"303228"</f>
        <v>303228</v>
      </c>
      <c r="B177" t="s">
        <v>362</v>
      </c>
      <c r="C177" t="s">
        <v>169</v>
      </c>
      <c r="D177" s="21" t="s">
        <v>34</v>
      </c>
      <c r="E177" s="21" t="s">
        <v>35</v>
      </c>
      <c r="F177">
        <v>11300007</v>
      </c>
      <c r="G177" t="s">
        <v>361</v>
      </c>
      <c r="H177" s="21">
        <v>1969.67</v>
      </c>
    </row>
    <row r="178" spans="1:8" customFormat="1" x14ac:dyDescent="0.25">
      <c r="A178" t="str">
        <f>"344394"</f>
        <v>344394</v>
      </c>
      <c r="B178" t="s">
        <v>310</v>
      </c>
      <c r="C178" t="s">
        <v>311</v>
      </c>
      <c r="D178" s="21" t="s">
        <v>34</v>
      </c>
      <c r="E178" s="21" t="s">
        <v>35</v>
      </c>
      <c r="F178">
        <v>11340008</v>
      </c>
      <c r="G178" t="s">
        <v>312</v>
      </c>
      <c r="H178" s="21">
        <v>1969.17</v>
      </c>
    </row>
    <row r="179" spans="1:8" customFormat="1" x14ac:dyDescent="0.25">
      <c r="A179" t="str">
        <f>"5936642"</f>
        <v>5936642</v>
      </c>
      <c r="B179" t="s">
        <v>392</v>
      </c>
      <c r="C179" t="s">
        <v>60</v>
      </c>
      <c r="D179" s="21" t="s">
        <v>34</v>
      </c>
      <c r="E179" s="21" t="s">
        <v>35</v>
      </c>
      <c r="F179">
        <v>9760168</v>
      </c>
      <c r="G179" t="s">
        <v>179</v>
      </c>
      <c r="H179" s="21">
        <v>1968.17</v>
      </c>
    </row>
    <row r="180" spans="1:8" customFormat="1" x14ac:dyDescent="0.25">
      <c r="A180" t="str">
        <f>"6011020"</f>
        <v>6011020</v>
      </c>
      <c r="B180" t="s">
        <v>333</v>
      </c>
      <c r="C180" t="s">
        <v>147</v>
      </c>
      <c r="D180" s="21" t="s">
        <v>34</v>
      </c>
      <c r="E180" s="21" t="s">
        <v>35</v>
      </c>
      <c r="F180">
        <v>7590116</v>
      </c>
      <c r="G180" t="s">
        <v>11019</v>
      </c>
      <c r="H180" s="21">
        <v>1968.13</v>
      </c>
    </row>
    <row r="181" spans="1:8" customFormat="1" x14ac:dyDescent="0.25">
      <c r="A181" t="str">
        <f>"704209"</f>
        <v>704209</v>
      </c>
      <c r="B181" t="s">
        <v>406</v>
      </c>
      <c r="C181" t="s">
        <v>407</v>
      </c>
      <c r="D181" s="21" t="s">
        <v>34</v>
      </c>
      <c r="E181" s="21" t="s">
        <v>35</v>
      </c>
      <c r="F181">
        <v>3290229</v>
      </c>
      <c r="G181" t="s">
        <v>408</v>
      </c>
      <c r="H181" s="21">
        <v>1967.67</v>
      </c>
    </row>
    <row r="182" spans="1:8" customFormat="1" x14ac:dyDescent="0.25">
      <c r="A182" t="str">
        <f>"383725"</f>
        <v>383725</v>
      </c>
      <c r="B182" t="s">
        <v>372</v>
      </c>
      <c r="C182" t="s">
        <v>373</v>
      </c>
      <c r="D182" s="21" t="s">
        <v>34</v>
      </c>
      <c r="E182" s="21" t="s">
        <v>71</v>
      </c>
      <c r="F182">
        <v>1380028</v>
      </c>
      <c r="G182" t="s">
        <v>374</v>
      </c>
      <c r="H182" s="21">
        <v>1967.17</v>
      </c>
    </row>
    <row r="183" spans="1:8" customFormat="1" x14ac:dyDescent="0.25">
      <c r="A183" t="str">
        <f>"699538"</f>
        <v>699538</v>
      </c>
      <c r="B183" t="s">
        <v>26534</v>
      </c>
      <c r="C183" t="s">
        <v>43</v>
      </c>
      <c r="D183" s="21" t="s">
        <v>34</v>
      </c>
      <c r="E183" s="21" t="s">
        <v>35</v>
      </c>
      <c r="F183">
        <v>1690221</v>
      </c>
      <c r="G183" t="s">
        <v>303</v>
      </c>
      <c r="H183" s="21">
        <v>1965.67</v>
      </c>
    </row>
    <row r="184" spans="1:8" customFormat="1" x14ac:dyDescent="0.25">
      <c r="A184" t="str">
        <f>"06987"</f>
        <v>06987</v>
      </c>
      <c r="B184" t="s">
        <v>26535</v>
      </c>
      <c r="C184" t="s">
        <v>119</v>
      </c>
      <c r="D184" s="21" t="s">
        <v>34</v>
      </c>
      <c r="E184" s="21" t="s">
        <v>35</v>
      </c>
      <c r="F184">
        <v>13830085</v>
      </c>
      <c r="G184" t="s">
        <v>478</v>
      </c>
      <c r="H184" s="21">
        <v>1965.17</v>
      </c>
    </row>
    <row r="185" spans="1:8" customFormat="1" x14ac:dyDescent="0.25">
      <c r="A185" t="str">
        <f>"491971"</f>
        <v>491971</v>
      </c>
      <c r="B185" t="s">
        <v>466</v>
      </c>
      <c r="C185" t="s">
        <v>87</v>
      </c>
      <c r="D185" s="21" t="s">
        <v>34</v>
      </c>
      <c r="E185" s="21" t="s">
        <v>35</v>
      </c>
      <c r="F185">
        <v>12490038</v>
      </c>
      <c r="G185" t="s">
        <v>467</v>
      </c>
      <c r="H185" s="21">
        <v>1959.17</v>
      </c>
    </row>
    <row r="186" spans="1:8" customFormat="1" x14ac:dyDescent="0.25">
      <c r="A186" t="str">
        <f>"132028"</f>
        <v>132028</v>
      </c>
      <c r="B186" t="s">
        <v>479</v>
      </c>
      <c r="C186" t="s">
        <v>209</v>
      </c>
      <c r="D186" s="21" t="s">
        <v>34</v>
      </c>
      <c r="E186" s="21" t="s">
        <v>71</v>
      </c>
      <c r="F186">
        <v>13130159</v>
      </c>
      <c r="G186" t="s">
        <v>199</v>
      </c>
      <c r="H186" s="21">
        <v>1959.17</v>
      </c>
    </row>
    <row r="187" spans="1:8" customFormat="1" x14ac:dyDescent="0.25">
      <c r="A187" t="str">
        <f>"331893"</f>
        <v>331893</v>
      </c>
      <c r="B187" t="s">
        <v>308</v>
      </c>
      <c r="C187" t="s">
        <v>65</v>
      </c>
      <c r="D187" s="21" t="s">
        <v>34</v>
      </c>
      <c r="E187" s="21" t="s">
        <v>35</v>
      </c>
      <c r="F187">
        <v>10330003</v>
      </c>
      <c r="G187" t="s">
        <v>309</v>
      </c>
      <c r="H187" s="21">
        <v>1957.54</v>
      </c>
    </row>
    <row r="188" spans="1:8" customFormat="1" x14ac:dyDescent="0.25">
      <c r="A188" t="str">
        <f>"83719"</f>
        <v>83719</v>
      </c>
      <c r="B188" t="s">
        <v>355</v>
      </c>
      <c r="C188" t="s">
        <v>149</v>
      </c>
      <c r="D188" s="21" t="s">
        <v>34</v>
      </c>
      <c r="E188" s="21" t="s">
        <v>35</v>
      </c>
      <c r="F188">
        <v>13830029</v>
      </c>
      <c r="G188" t="s">
        <v>315</v>
      </c>
      <c r="H188" s="21">
        <v>1957.05</v>
      </c>
    </row>
    <row r="189" spans="1:8" customFormat="1" x14ac:dyDescent="0.25">
      <c r="A189" t="str">
        <f>"723759"</f>
        <v>723759</v>
      </c>
      <c r="B189" t="s">
        <v>430</v>
      </c>
      <c r="C189" t="s">
        <v>82</v>
      </c>
      <c r="D189" s="21" t="s">
        <v>34</v>
      </c>
      <c r="E189" s="21" t="s">
        <v>35</v>
      </c>
      <c r="F189">
        <v>12720104</v>
      </c>
      <c r="G189" t="s">
        <v>224</v>
      </c>
      <c r="H189" s="21">
        <v>1955.3</v>
      </c>
    </row>
    <row r="190" spans="1:8" customFormat="1" x14ac:dyDescent="0.25">
      <c r="A190" t="str">
        <f>"7510032"</f>
        <v>7510032</v>
      </c>
      <c r="B190" t="s">
        <v>378</v>
      </c>
      <c r="C190" t="s">
        <v>379</v>
      </c>
      <c r="D190" s="21" t="s">
        <v>34</v>
      </c>
      <c r="E190" s="21" t="s">
        <v>71</v>
      </c>
      <c r="F190">
        <v>8940052</v>
      </c>
      <c r="G190" t="s">
        <v>190</v>
      </c>
      <c r="H190" s="21">
        <v>1955.17</v>
      </c>
    </row>
    <row r="191" spans="1:8" customFormat="1" x14ac:dyDescent="0.25">
      <c r="A191" t="str">
        <f>"378721"</f>
        <v>378721</v>
      </c>
      <c r="B191" t="s">
        <v>450</v>
      </c>
      <c r="C191" t="s">
        <v>127</v>
      </c>
      <c r="D191" s="21" t="s">
        <v>34</v>
      </c>
      <c r="E191" s="21" t="s">
        <v>35</v>
      </c>
      <c r="F191">
        <v>4370002</v>
      </c>
      <c r="G191" t="s">
        <v>112</v>
      </c>
      <c r="H191" s="21">
        <v>1955.17</v>
      </c>
    </row>
    <row r="192" spans="1:8" customFormat="1" x14ac:dyDescent="0.25">
      <c r="A192" t="str">
        <f>"4920065"</f>
        <v>4920065</v>
      </c>
      <c r="B192" t="s">
        <v>5927</v>
      </c>
      <c r="C192" t="s">
        <v>26536</v>
      </c>
      <c r="D192" s="21" t="s">
        <v>34</v>
      </c>
      <c r="E192" s="21" t="s">
        <v>35</v>
      </c>
      <c r="F192">
        <v>12490073</v>
      </c>
      <c r="G192" t="s">
        <v>296</v>
      </c>
      <c r="H192" s="21">
        <v>1954.67</v>
      </c>
    </row>
    <row r="193" spans="1:8" customFormat="1" x14ac:dyDescent="0.25">
      <c r="A193" t="str">
        <f>"261510"</f>
        <v>261510</v>
      </c>
      <c r="B193" t="s">
        <v>400</v>
      </c>
      <c r="C193" t="s">
        <v>302</v>
      </c>
      <c r="D193" s="21" t="s">
        <v>34</v>
      </c>
      <c r="E193" s="21" t="s">
        <v>35</v>
      </c>
      <c r="F193">
        <v>1260045</v>
      </c>
      <c r="G193" t="s">
        <v>401</v>
      </c>
      <c r="H193" s="21">
        <v>1954.67</v>
      </c>
    </row>
    <row r="194" spans="1:8" customFormat="1" x14ac:dyDescent="0.25">
      <c r="A194" t="str">
        <f>"319077"</f>
        <v>319077</v>
      </c>
      <c r="B194" t="s">
        <v>370</v>
      </c>
      <c r="C194" t="s">
        <v>267</v>
      </c>
      <c r="D194" s="21" t="s">
        <v>34</v>
      </c>
      <c r="E194" s="21" t="s">
        <v>35</v>
      </c>
      <c r="F194">
        <v>11310098</v>
      </c>
      <c r="G194" t="s">
        <v>371</v>
      </c>
      <c r="H194" s="21">
        <v>1954.67</v>
      </c>
    </row>
    <row r="195" spans="1:8" customFormat="1" x14ac:dyDescent="0.25">
      <c r="A195" t="str">
        <f>"9419832"</f>
        <v>9419832</v>
      </c>
      <c r="B195" t="s">
        <v>2116</v>
      </c>
      <c r="C195" t="s">
        <v>576</v>
      </c>
      <c r="D195" s="21" t="s">
        <v>34</v>
      </c>
      <c r="E195" s="21" t="s">
        <v>35</v>
      </c>
      <c r="F195">
        <v>8910214</v>
      </c>
      <c r="G195" t="s">
        <v>986</v>
      </c>
      <c r="H195" s="21">
        <v>1954.17</v>
      </c>
    </row>
    <row r="196" spans="1:8" customFormat="1" x14ac:dyDescent="0.25">
      <c r="A196" t="str">
        <f>"9521042"</f>
        <v>9521042</v>
      </c>
      <c r="B196" t="s">
        <v>1840</v>
      </c>
      <c r="C196" t="s">
        <v>285</v>
      </c>
      <c r="D196" s="21" t="s">
        <v>34</v>
      </c>
      <c r="E196" s="21" t="s">
        <v>35</v>
      </c>
      <c r="F196">
        <v>8750074</v>
      </c>
      <c r="G196" t="s">
        <v>698</v>
      </c>
      <c r="H196" s="21">
        <v>1953.17</v>
      </c>
    </row>
    <row r="197" spans="1:8" customFormat="1" x14ac:dyDescent="0.25">
      <c r="A197" t="str">
        <f>"138239"</f>
        <v>138239</v>
      </c>
      <c r="B197" t="s">
        <v>359</v>
      </c>
      <c r="C197" t="s">
        <v>360</v>
      </c>
      <c r="D197" s="21" t="s">
        <v>34</v>
      </c>
      <c r="E197" s="21" t="s">
        <v>35</v>
      </c>
      <c r="F197">
        <v>11300007</v>
      </c>
      <c r="G197" t="s">
        <v>361</v>
      </c>
      <c r="H197" s="21">
        <v>1950.67</v>
      </c>
    </row>
    <row r="198" spans="1:8" customFormat="1" x14ac:dyDescent="0.25">
      <c r="A198" t="str">
        <f>"1413317"</f>
        <v>1413317</v>
      </c>
      <c r="B198" t="s">
        <v>342</v>
      </c>
      <c r="C198" t="s">
        <v>343</v>
      </c>
      <c r="D198" s="21" t="s">
        <v>34</v>
      </c>
      <c r="E198" s="21" t="s">
        <v>35</v>
      </c>
      <c r="F198">
        <v>9140235</v>
      </c>
      <c r="G198" t="s">
        <v>165</v>
      </c>
      <c r="H198" s="21">
        <v>1950</v>
      </c>
    </row>
    <row r="199" spans="1:8" customFormat="1" x14ac:dyDescent="0.25">
      <c r="A199" t="str">
        <f>"723527"</f>
        <v>723527</v>
      </c>
      <c r="B199" t="s">
        <v>26537</v>
      </c>
      <c r="C199" t="s">
        <v>139</v>
      </c>
      <c r="D199" s="21" t="s">
        <v>34</v>
      </c>
      <c r="E199" s="21" t="s">
        <v>35</v>
      </c>
      <c r="F199">
        <v>12720008</v>
      </c>
      <c r="G199" t="s">
        <v>753</v>
      </c>
      <c r="H199" s="21">
        <v>1946.67</v>
      </c>
    </row>
    <row r="200" spans="1:8" customFormat="1" x14ac:dyDescent="0.25">
      <c r="A200" t="str">
        <f>"452722"</f>
        <v>452722</v>
      </c>
      <c r="B200" t="s">
        <v>483</v>
      </c>
      <c r="C200" t="s">
        <v>484</v>
      </c>
      <c r="D200" s="21" t="s">
        <v>34</v>
      </c>
      <c r="E200" s="21" t="s">
        <v>35</v>
      </c>
      <c r="F200">
        <v>4450571</v>
      </c>
      <c r="G200" t="s">
        <v>188</v>
      </c>
      <c r="H200" s="21">
        <v>1945.67</v>
      </c>
    </row>
    <row r="201" spans="1:8" customFormat="1" x14ac:dyDescent="0.25">
      <c r="A201" t="str">
        <f>"14101"</f>
        <v>14101</v>
      </c>
      <c r="B201" t="s">
        <v>235</v>
      </c>
      <c r="C201" t="s">
        <v>114</v>
      </c>
      <c r="D201" s="21" t="s">
        <v>34</v>
      </c>
      <c r="E201" s="21" t="s">
        <v>71</v>
      </c>
      <c r="F201">
        <v>9140007</v>
      </c>
      <c r="G201" t="s">
        <v>434</v>
      </c>
      <c r="H201" s="21">
        <v>1945.17</v>
      </c>
    </row>
    <row r="202" spans="1:8" customFormat="1" x14ac:dyDescent="0.25">
      <c r="A202" t="str">
        <f>"591587"</f>
        <v>591587</v>
      </c>
      <c r="B202" t="s">
        <v>979</v>
      </c>
      <c r="C202" t="s">
        <v>98</v>
      </c>
      <c r="D202" s="21" t="s">
        <v>34</v>
      </c>
      <c r="E202" s="21" t="s">
        <v>35</v>
      </c>
      <c r="F202">
        <v>7590040</v>
      </c>
      <c r="G202" t="s">
        <v>104</v>
      </c>
      <c r="H202" s="21">
        <v>1943.68</v>
      </c>
    </row>
    <row r="203" spans="1:8" customFormat="1" x14ac:dyDescent="0.25">
      <c r="A203" t="str">
        <f>"941821"</f>
        <v>941821</v>
      </c>
      <c r="B203" t="s">
        <v>123</v>
      </c>
      <c r="C203" t="s">
        <v>236</v>
      </c>
      <c r="D203" s="21" t="s">
        <v>34</v>
      </c>
      <c r="E203" s="21" t="s">
        <v>35</v>
      </c>
      <c r="F203">
        <v>2250001</v>
      </c>
      <c r="G203" t="s">
        <v>424</v>
      </c>
      <c r="H203" s="21">
        <v>1943.67</v>
      </c>
    </row>
    <row r="204" spans="1:8" customFormat="1" x14ac:dyDescent="0.25">
      <c r="A204" t="str">
        <f>"2823"</f>
        <v>2823</v>
      </c>
      <c r="B204" t="s">
        <v>468</v>
      </c>
      <c r="C204" t="s">
        <v>469</v>
      </c>
      <c r="D204" s="21" t="s">
        <v>34</v>
      </c>
      <c r="E204" s="21" t="s">
        <v>71</v>
      </c>
      <c r="F204">
        <v>4280004</v>
      </c>
      <c r="G204" t="s">
        <v>91</v>
      </c>
      <c r="H204" s="21">
        <v>1943.17</v>
      </c>
    </row>
    <row r="205" spans="1:8" customFormat="1" x14ac:dyDescent="0.25">
      <c r="A205" t="str">
        <f>"696668"</f>
        <v>696668</v>
      </c>
      <c r="B205" t="s">
        <v>409</v>
      </c>
      <c r="C205" t="s">
        <v>121</v>
      </c>
      <c r="D205" s="21" t="s">
        <v>34</v>
      </c>
      <c r="E205" s="21" t="s">
        <v>35</v>
      </c>
      <c r="F205">
        <v>1690215</v>
      </c>
      <c r="G205" t="s">
        <v>1080</v>
      </c>
      <c r="H205" s="21">
        <v>1942.17</v>
      </c>
    </row>
    <row r="206" spans="1:8" customFormat="1" x14ac:dyDescent="0.25">
      <c r="A206" t="str">
        <f>"7618269"</f>
        <v>7618269</v>
      </c>
      <c r="B206" t="s">
        <v>26538</v>
      </c>
      <c r="C206" t="s">
        <v>26539</v>
      </c>
      <c r="D206" s="21" t="s">
        <v>34</v>
      </c>
      <c r="E206" s="21" t="s">
        <v>35</v>
      </c>
      <c r="F206">
        <v>3220048</v>
      </c>
      <c r="G206" t="s">
        <v>26532</v>
      </c>
      <c r="H206" s="21">
        <v>1942.17</v>
      </c>
    </row>
    <row r="207" spans="1:8" customFormat="1" x14ac:dyDescent="0.25">
      <c r="A207" t="str">
        <f>"9414127"</f>
        <v>9414127</v>
      </c>
      <c r="B207" t="s">
        <v>414</v>
      </c>
      <c r="C207" t="s">
        <v>415</v>
      </c>
      <c r="D207" s="21" t="s">
        <v>34</v>
      </c>
      <c r="E207" s="21" t="s">
        <v>71</v>
      </c>
      <c r="F207">
        <v>8780627</v>
      </c>
      <c r="G207" t="s">
        <v>6097</v>
      </c>
      <c r="H207" s="21">
        <v>1941.67</v>
      </c>
    </row>
    <row r="208" spans="1:8" customFormat="1" x14ac:dyDescent="0.25">
      <c r="A208" t="str">
        <f>"7910584"</f>
        <v>7910584</v>
      </c>
      <c r="B208" t="s">
        <v>411</v>
      </c>
      <c r="C208" t="s">
        <v>412</v>
      </c>
      <c r="D208" s="21" t="s">
        <v>34</v>
      </c>
      <c r="E208" s="21" t="s">
        <v>71</v>
      </c>
      <c r="F208">
        <v>10790235</v>
      </c>
      <c r="G208" t="s">
        <v>413</v>
      </c>
      <c r="H208" s="21">
        <v>1940.67</v>
      </c>
    </row>
    <row r="209" spans="1:8" customFormat="1" x14ac:dyDescent="0.25">
      <c r="A209" t="str">
        <f>"7616260"</f>
        <v>7616260</v>
      </c>
      <c r="B209" t="s">
        <v>451</v>
      </c>
      <c r="C209" t="s">
        <v>65</v>
      </c>
      <c r="D209" s="21" t="s">
        <v>34</v>
      </c>
      <c r="E209" s="21" t="s">
        <v>35</v>
      </c>
      <c r="F209">
        <v>9760041</v>
      </c>
      <c r="G209" t="s">
        <v>452</v>
      </c>
      <c r="H209" s="21">
        <v>1939.67</v>
      </c>
    </row>
    <row r="210" spans="1:8" customFormat="1" x14ac:dyDescent="0.25">
      <c r="A210" t="str">
        <f>"5946651"</f>
        <v>5946651</v>
      </c>
      <c r="B210" t="s">
        <v>538</v>
      </c>
      <c r="C210" t="s">
        <v>539</v>
      </c>
      <c r="D210" s="21" t="s">
        <v>34</v>
      </c>
      <c r="E210" s="21" t="s">
        <v>35</v>
      </c>
      <c r="F210">
        <v>7590005</v>
      </c>
      <c r="G210" t="s">
        <v>540</v>
      </c>
      <c r="H210" s="21">
        <v>1939.42</v>
      </c>
    </row>
    <row r="211" spans="1:8" customFormat="1" x14ac:dyDescent="0.25">
      <c r="A211" t="str">
        <f>"185201"</f>
        <v>185201</v>
      </c>
      <c r="B211" t="s">
        <v>420</v>
      </c>
      <c r="C211" t="s">
        <v>421</v>
      </c>
      <c r="D211" s="21" t="s">
        <v>34</v>
      </c>
      <c r="E211" s="21" t="s">
        <v>35</v>
      </c>
      <c r="F211">
        <v>4180613</v>
      </c>
      <c r="G211" t="s">
        <v>422</v>
      </c>
      <c r="H211" s="21">
        <v>1938.67</v>
      </c>
    </row>
    <row r="212" spans="1:8" customFormat="1" x14ac:dyDescent="0.25">
      <c r="A212" t="str">
        <f>"4921341"</f>
        <v>4921341</v>
      </c>
      <c r="B212" t="s">
        <v>623</v>
      </c>
      <c r="C212" t="s">
        <v>121</v>
      </c>
      <c r="D212" s="21" t="s">
        <v>34</v>
      </c>
      <c r="E212" s="21" t="s">
        <v>35</v>
      </c>
      <c r="F212">
        <v>4370183</v>
      </c>
      <c r="G212" t="s">
        <v>231</v>
      </c>
      <c r="H212" s="21">
        <v>1938.42</v>
      </c>
    </row>
    <row r="213" spans="1:8" customFormat="1" x14ac:dyDescent="0.25">
      <c r="A213" t="str">
        <f>"695795"</f>
        <v>695795</v>
      </c>
      <c r="B213" t="s">
        <v>457</v>
      </c>
      <c r="C213" t="s">
        <v>415</v>
      </c>
      <c r="D213" s="21" t="s">
        <v>34</v>
      </c>
      <c r="E213" s="21" t="s">
        <v>71</v>
      </c>
      <c r="F213">
        <v>1690221</v>
      </c>
      <c r="G213" t="s">
        <v>303</v>
      </c>
      <c r="H213" s="21">
        <v>1934.17</v>
      </c>
    </row>
    <row r="214" spans="1:8" customFormat="1" x14ac:dyDescent="0.25">
      <c r="A214" t="str">
        <f>"713871"</f>
        <v>713871</v>
      </c>
      <c r="B214" t="s">
        <v>485</v>
      </c>
      <c r="C214" t="s">
        <v>486</v>
      </c>
      <c r="D214" s="21" t="s">
        <v>34</v>
      </c>
      <c r="E214" s="21" t="s">
        <v>35</v>
      </c>
      <c r="F214">
        <v>2710067</v>
      </c>
      <c r="G214" t="s">
        <v>284</v>
      </c>
      <c r="H214" s="21">
        <v>1930.17</v>
      </c>
    </row>
    <row r="215" spans="1:8" customFormat="1" x14ac:dyDescent="0.25">
      <c r="A215" t="str">
        <f>"764204"</f>
        <v>764204</v>
      </c>
      <c r="B215" t="s">
        <v>397</v>
      </c>
      <c r="C215" t="s">
        <v>169</v>
      </c>
      <c r="D215" s="21" t="s">
        <v>34</v>
      </c>
      <c r="E215" s="21" t="s">
        <v>35</v>
      </c>
      <c r="F215">
        <v>9760107</v>
      </c>
      <c r="G215" t="s">
        <v>122</v>
      </c>
      <c r="H215" s="21">
        <v>1928.92</v>
      </c>
    </row>
    <row r="216" spans="1:8" customFormat="1" x14ac:dyDescent="0.25">
      <c r="A216" t="str">
        <f>"7511455"</f>
        <v>7511455</v>
      </c>
      <c r="B216" t="s">
        <v>26540</v>
      </c>
      <c r="C216" t="s">
        <v>26541</v>
      </c>
      <c r="D216" s="21" t="s">
        <v>34</v>
      </c>
      <c r="E216" s="21" t="s">
        <v>35</v>
      </c>
      <c r="F216">
        <v>8750120</v>
      </c>
      <c r="G216" t="s">
        <v>838</v>
      </c>
      <c r="H216" s="21">
        <v>1927.93</v>
      </c>
    </row>
    <row r="217" spans="1:8" customFormat="1" x14ac:dyDescent="0.25">
      <c r="A217" t="str">
        <f>"5912527"</f>
        <v>5912527</v>
      </c>
      <c r="B217" t="s">
        <v>26542</v>
      </c>
      <c r="C217" t="s">
        <v>260</v>
      </c>
      <c r="D217" s="21" t="s">
        <v>34</v>
      </c>
      <c r="E217" s="21" t="s">
        <v>35</v>
      </c>
      <c r="F217">
        <v>7590256</v>
      </c>
      <c r="G217" t="s">
        <v>4156</v>
      </c>
      <c r="H217" s="21">
        <v>1927.17</v>
      </c>
    </row>
    <row r="218" spans="1:8" customFormat="1" x14ac:dyDescent="0.25">
      <c r="A218" t="str">
        <f>"551585"</f>
        <v>551585</v>
      </c>
      <c r="B218" t="s">
        <v>569</v>
      </c>
      <c r="C218" t="s">
        <v>570</v>
      </c>
      <c r="D218" s="21" t="s">
        <v>34</v>
      </c>
      <c r="E218" s="21" t="s">
        <v>35</v>
      </c>
      <c r="F218">
        <v>6520003</v>
      </c>
      <c r="G218" t="s">
        <v>571</v>
      </c>
      <c r="H218" s="21">
        <v>1926.92</v>
      </c>
    </row>
    <row r="219" spans="1:8" customFormat="1" x14ac:dyDescent="0.25">
      <c r="A219" t="str">
        <f>"7710423"</f>
        <v>7710423</v>
      </c>
      <c r="B219" t="s">
        <v>443</v>
      </c>
      <c r="C219" t="s">
        <v>444</v>
      </c>
      <c r="D219" s="21" t="s">
        <v>34</v>
      </c>
      <c r="E219" s="21" t="s">
        <v>35</v>
      </c>
      <c r="F219">
        <v>8930598</v>
      </c>
      <c r="G219" t="s">
        <v>445</v>
      </c>
      <c r="H219" s="21">
        <v>1926.42</v>
      </c>
    </row>
    <row r="220" spans="1:8" customFormat="1" x14ac:dyDescent="0.25">
      <c r="A220" t="str">
        <f>"59175"</f>
        <v>59175</v>
      </c>
      <c r="B220" t="s">
        <v>384</v>
      </c>
      <c r="C220" t="s">
        <v>60</v>
      </c>
      <c r="D220" s="21" t="s">
        <v>34</v>
      </c>
      <c r="E220" s="21" t="s">
        <v>35</v>
      </c>
      <c r="F220">
        <v>7590231</v>
      </c>
      <c r="G220" t="s">
        <v>207</v>
      </c>
      <c r="H220" s="21">
        <v>1924.67</v>
      </c>
    </row>
    <row r="221" spans="1:8" customFormat="1" x14ac:dyDescent="0.25">
      <c r="A221" t="str">
        <f>"941811"</f>
        <v>941811</v>
      </c>
      <c r="B221" t="s">
        <v>146</v>
      </c>
      <c r="C221" t="s">
        <v>453</v>
      </c>
      <c r="D221" s="21" t="s">
        <v>34</v>
      </c>
      <c r="E221" s="21" t="s">
        <v>71</v>
      </c>
      <c r="F221">
        <v>8940549</v>
      </c>
      <c r="G221" t="s">
        <v>454</v>
      </c>
      <c r="H221" s="21">
        <v>1923.67</v>
      </c>
    </row>
    <row r="222" spans="1:8" customFormat="1" x14ac:dyDescent="0.25">
      <c r="A222" t="str">
        <f>"382872"</f>
        <v>382872</v>
      </c>
      <c r="B222" t="s">
        <v>610</v>
      </c>
      <c r="C222" t="s">
        <v>611</v>
      </c>
      <c r="D222" s="21" t="s">
        <v>34</v>
      </c>
      <c r="E222" s="21" t="s">
        <v>35</v>
      </c>
      <c r="F222">
        <v>1380028</v>
      </c>
      <c r="G222" t="s">
        <v>374</v>
      </c>
      <c r="H222" s="21">
        <v>1923.17</v>
      </c>
    </row>
    <row r="223" spans="1:8" customFormat="1" x14ac:dyDescent="0.25">
      <c r="A223" t="str">
        <f>"7511453"</f>
        <v>7511453</v>
      </c>
      <c r="B223" t="s">
        <v>529</v>
      </c>
      <c r="C223" t="s">
        <v>484</v>
      </c>
      <c r="D223" s="21" t="s">
        <v>34</v>
      </c>
      <c r="E223" s="21" t="s">
        <v>35</v>
      </c>
      <c r="F223">
        <v>8931011</v>
      </c>
      <c r="G223" t="s">
        <v>530</v>
      </c>
      <c r="H223" s="21">
        <v>1922.67</v>
      </c>
    </row>
    <row r="224" spans="1:8" customFormat="1" x14ac:dyDescent="0.25">
      <c r="A224" t="str">
        <f>"715393"</f>
        <v>715393</v>
      </c>
      <c r="B224" t="s">
        <v>517</v>
      </c>
      <c r="C224" t="s">
        <v>269</v>
      </c>
      <c r="D224" s="21" t="s">
        <v>34</v>
      </c>
      <c r="E224" s="21" t="s">
        <v>35</v>
      </c>
      <c r="F224">
        <v>2710041</v>
      </c>
      <c r="G224" t="s">
        <v>389</v>
      </c>
      <c r="H224" s="21">
        <v>1921.67</v>
      </c>
    </row>
    <row r="225" spans="1:8" customFormat="1" x14ac:dyDescent="0.25">
      <c r="A225" t="str">
        <f>"703558"</f>
        <v>703558</v>
      </c>
      <c r="B225" t="s">
        <v>520</v>
      </c>
      <c r="C225" t="s">
        <v>139</v>
      </c>
      <c r="D225" s="21" t="s">
        <v>34</v>
      </c>
      <c r="E225" s="21" t="s">
        <v>35</v>
      </c>
      <c r="F225">
        <v>2250017</v>
      </c>
      <c r="G225" t="s">
        <v>521</v>
      </c>
      <c r="H225" s="21">
        <v>1921.67</v>
      </c>
    </row>
    <row r="226" spans="1:8" customFormat="1" x14ac:dyDescent="0.25">
      <c r="A226" t="str">
        <f>"7612876"</f>
        <v>7612876</v>
      </c>
      <c r="B226" t="s">
        <v>592</v>
      </c>
      <c r="C226" t="s">
        <v>43</v>
      </c>
      <c r="D226" s="21" t="s">
        <v>34</v>
      </c>
      <c r="E226" s="21" t="s">
        <v>71</v>
      </c>
      <c r="F226">
        <v>9760168</v>
      </c>
      <c r="G226" t="s">
        <v>179</v>
      </c>
      <c r="H226" s="21">
        <v>1921.67</v>
      </c>
    </row>
    <row r="227" spans="1:8" customFormat="1" x14ac:dyDescent="0.25">
      <c r="A227" t="str">
        <f>"776738"</f>
        <v>776738</v>
      </c>
      <c r="B227" t="s">
        <v>26543</v>
      </c>
      <c r="C227" t="s">
        <v>96</v>
      </c>
      <c r="D227" s="21" t="s">
        <v>34</v>
      </c>
      <c r="E227" s="21" t="s">
        <v>35</v>
      </c>
      <c r="F227">
        <v>8770166</v>
      </c>
      <c r="G227" t="s">
        <v>653</v>
      </c>
      <c r="H227" s="21">
        <v>1921.17</v>
      </c>
    </row>
    <row r="228" spans="1:8" customFormat="1" x14ac:dyDescent="0.25">
      <c r="A228" t="str">
        <f>"95356"</f>
        <v>95356</v>
      </c>
      <c r="B228" t="s">
        <v>39</v>
      </c>
      <c r="C228" t="s">
        <v>439</v>
      </c>
      <c r="D228" s="21" t="s">
        <v>34</v>
      </c>
      <c r="E228" s="21" t="s">
        <v>71</v>
      </c>
      <c r="F228">
        <v>8950978</v>
      </c>
      <c r="G228" t="s">
        <v>1164</v>
      </c>
      <c r="H228" s="21">
        <v>1918.67</v>
      </c>
    </row>
    <row r="229" spans="1:8" customFormat="1" x14ac:dyDescent="0.25">
      <c r="A229" t="str">
        <f>"454815"</f>
        <v>454815</v>
      </c>
      <c r="B229" t="s">
        <v>471</v>
      </c>
      <c r="C229" t="s">
        <v>37</v>
      </c>
      <c r="D229" s="21" t="s">
        <v>34</v>
      </c>
      <c r="E229" s="21" t="s">
        <v>35</v>
      </c>
      <c r="F229">
        <v>4450410</v>
      </c>
      <c r="G229" t="s">
        <v>26525</v>
      </c>
      <c r="H229" s="21">
        <v>1918.67</v>
      </c>
    </row>
    <row r="230" spans="1:8" customFormat="1" x14ac:dyDescent="0.25">
      <c r="A230" t="str">
        <f>"442677"</f>
        <v>442677</v>
      </c>
      <c r="B230" t="s">
        <v>393</v>
      </c>
      <c r="C230" t="s">
        <v>37</v>
      </c>
      <c r="D230" s="21" t="s">
        <v>34</v>
      </c>
      <c r="E230" s="21" t="s">
        <v>35</v>
      </c>
      <c r="F230">
        <v>12440058</v>
      </c>
      <c r="G230" t="s">
        <v>394</v>
      </c>
      <c r="H230" s="21">
        <v>1917.17</v>
      </c>
    </row>
    <row r="231" spans="1:8" customFormat="1" x14ac:dyDescent="0.25">
      <c r="A231" t="str">
        <f>"294138"</f>
        <v>294138</v>
      </c>
      <c r="B231" t="s">
        <v>474</v>
      </c>
      <c r="C231" t="s">
        <v>33</v>
      </c>
      <c r="D231" s="21" t="s">
        <v>34</v>
      </c>
      <c r="E231" s="21" t="s">
        <v>35</v>
      </c>
      <c r="F231">
        <v>3290052</v>
      </c>
      <c r="G231" t="s">
        <v>270</v>
      </c>
      <c r="H231" s="21">
        <v>1916.67</v>
      </c>
    </row>
    <row r="232" spans="1:8" customFormat="1" x14ac:dyDescent="0.25">
      <c r="A232" t="str">
        <f>"4925022"</f>
        <v>4925022</v>
      </c>
      <c r="B232" t="s">
        <v>26544</v>
      </c>
      <c r="C232" t="s">
        <v>26545</v>
      </c>
      <c r="D232" s="21" t="s">
        <v>34</v>
      </c>
      <c r="E232" s="21" t="s">
        <v>35</v>
      </c>
      <c r="F232">
        <v>13840028</v>
      </c>
      <c r="G232" t="s">
        <v>4139</v>
      </c>
      <c r="H232" s="21">
        <v>1916.17</v>
      </c>
    </row>
    <row r="233" spans="1:8" customFormat="1" x14ac:dyDescent="0.25">
      <c r="A233" t="str">
        <f>"566339"</f>
        <v>566339</v>
      </c>
      <c r="B233" t="s">
        <v>26032</v>
      </c>
      <c r="C233" t="s">
        <v>1132</v>
      </c>
      <c r="D233" s="21" t="s">
        <v>34</v>
      </c>
      <c r="E233" s="21" t="s">
        <v>35</v>
      </c>
      <c r="F233">
        <v>3560014</v>
      </c>
      <c r="G233" t="s">
        <v>8206</v>
      </c>
      <c r="H233" s="21">
        <v>1916.17</v>
      </c>
    </row>
    <row r="234" spans="1:8" customFormat="1" x14ac:dyDescent="0.25">
      <c r="A234" t="str">
        <f>"254969"</f>
        <v>254969</v>
      </c>
      <c r="B234" t="s">
        <v>492</v>
      </c>
      <c r="C234" t="s">
        <v>493</v>
      </c>
      <c r="D234" s="21" t="s">
        <v>34</v>
      </c>
      <c r="E234" s="21" t="s">
        <v>35</v>
      </c>
      <c r="F234">
        <v>2250181</v>
      </c>
      <c r="G234" t="s">
        <v>494</v>
      </c>
      <c r="H234" s="21">
        <v>1915.67</v>
      </c>
    </row>
    <row r="235" spans="1:8" customFormat="1" x14ac:dyDescent="0.25">
      <c r="A235" t="str">
        <f>"061247"</f>
        <v>061247</v>
      </c>
      <c r="B235" t="s">
        <v>477</v>
      </c>
      <c r="C235" t="s">
        <v>285</v>
      </c>
      <c r="D235" s="21" t="s">
        <v>34</v>
      </c>
      <c r="E235" s="21" t="s">
        <v>35</v>
      </c>
      <c r="F235">
        <v>13830085</v>
      </c>
      <c r="G235" t="s">
        <v>478</v>
      </c>
      <c r="H235" s="21">
        <v>1915.55</v>
      </c>
    </row>
    <row r="236" spans="1:8" customFormat="1" x14ac:dyDescent="0.25">
      <c r="A236" t="str">
        <f>"954207"</f>
        <v>954207</v>
      </c>
      <c r="B236" t="s">
        <v>470</v>
      </c>
      <c r="C236" t="s">
        <v>169</v>
      </c>
      <c r="D236" s="21" t="s">
        <v>34</v>
      </c>
      <c r="E236" s="21" t="s">
        <v>35</v>
      </c>
      <c r="F236">
        <v>8920025</v>
      </c>
      <c r="G236" t="s">
        <v>159</v>
      </c>
      <c r="H236" s="21">
        <v>1915.17</v>
      </c>
    </row>
    <row r="237" spans="1:8" customFormat="1" x14ac:dyDescent="0.25">
      <c r="A237" t="str">
        <f>"9221622"</f>
        <v>9221622</v>
      </c>
      <c r="B237" t="s">
        <v>398</v>
      </c>
      <c r="C237" t="s">
        <v>399</v>
      </c>
      <c r="D237" s="21" t="s">
        <v>34</v>
      </c>
      <c r="E237" s="21" t="s">
        <v>35</v>
      </c>
      <c r="F237">
        <v>10170016</v>
      </c>
      <c r="G237" t="s">
        <v>88</v>
      </c>
      <c r="H237" s="21">
        <v>1915.17</v>
      </c>
    </row>
    <row r="238" spans="1:8" customFormat="1" x14ac:dyDescent="0.25">
      <c r="A238" t="str">
        <f>"451048"</f>
        <v>451048</v>
      </c>
      <c r="B238" t="s">
        <v>441</v>
      </c>
      <c r="C238" t="s">
        <v>109</v>
      </c>
      <c r="D238" s="21" t="s">
        <v>34</v>
      </c>
      <c r="E238" s="21" t="s">
        <v>35</v>
      </c>
      <c r="F238">
        <v>4450751</v>
      </c>
      <c r="G238" t="s">
        <v>442</v>
      </c>
      <c r="H238" s="21">
        <v>1914.17</v>
      </c>
    </row>
    <row r="239" spans="1:8" customFormat="1" x14ac:dyDescent="0.25">
      <c r="A239" t="str">
        <f>"593293"</f>
        <v>593293</v>
      </c>
      <c r="B239" t="s">
        <v>487</v>
      </c>
      <c r="C239" t="s">
        <v>488</v>
      </c>
      <c r="D239" s="21" t="s">
        <v>34</v>
      </c>
      <c r="E239" s="21" t="s">
        <v>71</v>
      </c>
      <c r="F239">
        <v>7590412</v>
      </c>
      <c r="G239" t="s">
        <v>489</v>
      </c>
      <c r="H239" s="21">
        <v>1913.67</v>
      </c>
    </row>
    <row r="240" spans="1:8" customFormat="1" x14ac:dyDescent="0.25">
      <c r="A240" t="str">
        <f>"597306"</f>
        <v>597306</v>
      </c>
      <c r="B240" t="s">
        <v>318</v>
      </c>
      <c r="C240" t="s">
        <v>285</v>
      </c>
      <c r="D240" s="21" t="s">
        <v>34</v>
      </c>
      <c r="E240" s="21" t="s">
        <v>35</v>
      </c>
      <c r="F240">
        <v>7590231</v>
      </c>
      <c r="G240" t="s">
        <v>207</v>
      </c>
      <c r="H240" s="21">
        <v>1912.67</v>
      </c>
    </row>
    <row r="241" spans="1:8" customFormat="1" x14ac:dyDescent="0.25">
      <c r="A241" t="str">
        <f>"62287"</f>
        <v>62287</v>
      </c>
      <c r="B241" t="s">
        <v>376</v>
      </c>
      <c r="C241" t="s">
        <v>169</v>
      </c>
      <c r="D241" s="21" t="s">
        <v>34</v>
      </c>
      <c r="E241" s="21" t="s">
        <v>35</v>
      </c>
      <c r="F241">
        <v>7620015</v>
      </c>
      <c r="G241" t="s">
        <v>377</v>
      </c>
      <c r="H241" s="21">
        <v>1911.67</v>
      </c>
    </row>
    <row r="242" spans="1:8" customFormat="1" x14ac:dyDescent="0.25">
      <c r="A242" t="str">
        <f>"699446"</f>
        <v>699446</v>
      </c>
      <c r="B242" t="s">
        <v>26546</v>
      </c>
      <c r="C242" t="s">
        <v>26547</v>
      </c>
      <c r="D242" s="21" t="s">
        <v>34</v>
      </c>
      <c r="E242" s="21" t="s">
        <v>35</v>
      </c>
      <c r="F242">
        <v>1690090</v>
      </c>
      <c r="G242" t="s">
        <v>6286</v>
      </c>
      <c r="H242" s="21">
        <v>1910.92</v>
      </c>
    </row>
    <row r="243" spans="1:8" customFormat="1" x14ac:dyDescent="0.25">
      <c r="A243" t="str">
        <f>"162374"</f>
        <v>162374</v>
      </c>
      <c r="B243" t="s">
        <v>509</v>
      </c>
      <c r="C243" t="s">
        <v>510</v>
      </c>
      <c r="D243" s="21" t="s">
        <v>34</v>
      </c>
      <c r="E243" s="21" t="s">
        <v>35</v>
      </c>
      <c r="F243">
        <v>10160024</v>
      </c>
      <c r="G243" t="s">
        <v>511</v>
      </c>
      <c r="H243" s="21">
        <v>1909.17</v>
      </c>
    </row>
    <row r="244" spans="1:8" customFormat="1" x14ac:dyDescent="0.25">
      <c r="A244" t="str">
        <f>"597114"</f>
        <v>597114</v>
      </c>
      <c r="B244" t="s">
        <v>585</v>
      </c>
      <c r="C244" t="s">
        <v>209</v>
      </c>
      <c r="D244" s="21" t="s">
        <v>34</v>
      </c>
      <c r="E244" s="21" t="s">
        <v>35</v>
      </c>
      <c r="F244">
        <v>7590028</v>
      </c>
      <c r="G244" t="s">
        <v>251</v>
      </c>
      <c r="H244" s="21">
        <v>1905.17</v>
      </c>
    </row>
    <row r="245" spans="1:8" customFormat="1" x14ac:dyDescent="0.25">
      <c r="A245" t="str">
        <f>"592059"</f>
        <v>592059</v>
      </c>
      <c r="B245" t="s">
        <v>575</v>
      </c>
      <c r="C245" t="s">
        <v>576</v>
      </c>
      <c r="D245" s="21" t="s">
        <v>34</v>
      </c>
      <c r="E245" s="21" t="s">
        <v>35</v>
      </c>
      <c r="F245">
        <v>7590182</v>
      </c>
      <c r="G245" t="s">
        <v>172</v>
      </c>
      <c r="H245" s="21">
        <v>1904.17</v>
      </c>
    </row>
    <row r="246" spans="1:8" customFormat="1" x14ac:dyDescent="0.25">
      <c r="A246" t="str">
        <f>"135260"</f>
        <v>135260</v>
      </c>
      <c r="B246" t="s">
        <v>26548</v>
      </c>
      <c r="C246" t="s">
        <v>26549</v>
      </c>
      <c r="D246" s="21" t="s">
        <v>34</v>
      </c>
      <c r="E246" s="21" t="s">
        <v>71</v>
      </c>
      <c r="F246">
        <v>13130170</v>
      </c>
      <c r="G246" t="s">
        <v>10164</v>
      </c>
      <c r="H246" s="21">
        <v>1903.67</v>
      </c>
    </row>
    <row r="247" spans="1:8" customFormat="1" x14ac:dyDescent="0.25">
      <c r="A247" t="str">
        <f>"776737"</f>
        <v>776737</v>
      </c>
      <c r="B247" t="s">
        <v>26543</v>
      </c>
      <c r="C247" t="s">
        <v>121</v>
      </c>
      <c r="D247" s="21" t="s">
        <v>34</v>
      </c>
      <c r="E247" s="21" t="s">
        <v>35</v>
      </c>
      <c r="F247">
        <v>8770166</v>
      </c>
      <c r="G247" t="s">
        <v>653</v>
      </c>
      <c r="H247" s="21">
        <v>1903.17</v>
      </c>
    </row>
    <row r="248" spans="1:8" customFormat="1" x14ac:dyDescent="0.25">
      <c r="A248" t="str">
        <f>"572696"</f>
        <v>572696</v>
      </c>
      <c r="B248" t="s">
        <v>463</v>
      </c>
      <c r="C248" t="s">
        <v>33</v>
      </c>
      <c r="D248" s="21" t="s">
        <v>34</v>
      </c>
      <c r="E248" s="21" t="s">
        <v>35</v>
      </c>
      <c r="F248">
        <v>6570024</v>
      </c>
      <c r="G248" t="s">
        <v>464</v>
      </c>
      <c r="H248" s="21">
        <v>1903.17</v>
      </c>
    </row>
    <row r="249" spans="1:8" customFormat="1" x14ac:dyDescent="0.25">
      <c r="A249" t="str">
        <f>"40742"</f>
        <v>40742</v>
      </c>
      <c r="B249" t="s">
        <v>607</v>
      </c>
      <c r="C249" t="s">
        <v>608</v>
      </c>
      <c r="D249" s="21" t="s">
        <v>34</v>
      </c>
      <c r="E249" s="21" t="s">
        <v>35</v>
      </c>
      <c r="F249">
        <v>10400001</v>
      </c>
      <c r="G249" t="s">
        <v>609</v>
      </c>
      <c r="H249" s="21">
        <v>1901.17</v>
      </c>
    </row>
    <row r="250" spans="1:8" customFormat="1" x14ac:dyDescent="0.25">
      <c r="A250" t="str">
        <f>"769365"</f>
        <v>769365</v>
      </c>
      <c r="B250" t="s">
        <v>514</v>
      </c>
      <c r="C250" t="s">
        <v>515</v>
      </c>
      <c r="D250" s="21" t="s">
        <v>34</v>
      </c>
      <c r="E250" s="21" t="s">
        <v>35</v>
      </c>
      <c r="F250">
        <v>9760168</v>
      </c>
      <c r="G250" t="s">
        <v>179</v>
      </c>
      <c r="H250" s="21">
        <v>1900.67</v>
      </c>
    </row>
    <row r="251" spans="1:8" customFormat="1" x14ac:dyDescent="0.25">
      <c r="A251" t="str">
        <f>"6922229"</f>
        <v>6922229</v>
      </c>
      <c r="B251" t="s">
        <v>86</v>
      </c>
      <c r="C251" t="s">
        <v>62</v>
      </c>
      <c r="D251" s="21" t="s">
        <v>34</v>
      </c>
      <c r="E251" s="21" t="s">
        <v>35</v>
      </c>
      <c r="F251">
        <v>1260026</v>
      </c>
      <c r="G251" t="s">
        <v>516</v>
      </c>
      <c r="H251" s="21">
        <v>1900.67</v>
      </c>
    </row>
    <row r="252" spans="1:8" customFormat="1" x14ac:dyDescent="0.25">
      <c r="A252" t="str">
        <f>"2917595"</f>
        <v>2917595</v>
      </c>
      <c r="B252" t="s">
        <v>837</v>
      </c>
      <c r="C252" t="s">
        <v>40</v>
      </c>
      <c r="D252" s="21" t="s">
        <v>34</v>
      </c>
      <c r="E252" s="21" t="s">
        <v>35</v>
      </c>
      <c r="F252">
        <v>3290052</v>
      </c>
      <c r="G252" t="s">
        <v>270</v>
      </c>
      <c r="H252" s="21">
        <v>1899.5</v>
      </c>
    </row>
    <row r="253" spans="1:8" customFormat="1" x14ac:dyDescent="0.25">
      <c r="A253" t="str">
        <f>"2870"</f>
        <v>2870</v>
      </c>
      <c r="B253" t="s">
        <v>435</v>
      </c>
      <c r="C253" t="s">
        <v>98</v>
      </c>
      <c r="D253" s="21" t="s">
        <v>34</v>
      </c>
      <c r="E253" s="21" t="s">
        <v>35</v>
      </c>
      <c r="F253">
        <v>4280517</v>
      </c>
      <c r="G253" t="s">
        <v>436</v>
      </c>
      <c r="H253" s="21">
        <v>1899.17</v>
      </c>
    </row>
    <row r="254" spans="1:8" customFormat="1" x14ac:dyDescent="0.25">
      <c r="A254" t="str">
        <f>"69871"</f>
        <v>69871</v>
      </c>
      <c r="B254" t="s">
        <v>375</v>
      </c>
      <c r="C254" t="s">
        <v>269</v>
      </c>
      <c r="D254" s="21" t="s">
        <v>34</v>
      </c>
      <c r="E254" s="21" t="s">
        <v>71</v>
      </c>
      <c r="F254">
        <v>1690221</v>
      </c>
      <c r="G254" t="s">
        <v>303</v>
      </c>
      <c r="H254" s="21">
        <v>1898.67</v>
      </c>
    </row>
    <row r="255" spans="1:8" customFormat="1" x14ac:dyDescent="0.25">
      <c r="A255" t="str">
        <f>"4517284"</f>
        <v>4517284</v>
      </c>
      <c r="B255" t="s">
        <v>475</v>
      </c>
      <c r="C255" t="s">
        <v>476</v>
      </c>
      <c r="D255" s="21" t="s">
        <v>34</v>
      </c>
      <c r="E255" s="21" t="s">
        <v>35</v>
      </c>
      <c r="F255">
        <v>4450571</v>
      </c>
      <c r="G255" t="s">
        <v>188</v>
      </c>
      <c r="H255" s="21">
        <v>1898.17</v>
      </c>
    </row>
    <row r="256" spans="1:8" customFormat="1" x14ac:dyDescent="0.25">
      <c r="A256" t="str">
        <f>"318254"</f>
        <v>318254</v>
      </c>
      <c r="B256" t="s">
        <v>26550</v>
      </c>
      <c r="C256" t="s">
        <v>62</v>
      </c>
      <c r="D256" s="21" t="s">
        <v>34</v>
      </c>
      <c r="E256" s="21" t="s">
        <v>35</v>
      </c>
      <c r="F256">
        <v>3290052</v>
      </c>
      <c r="G256" t="s">
        <v>270</v>
      </c>
      <c r="H256" s="21">
        <v>1898.17</v>
      </c>
    </row>
    <row r="257" spans="1:8" customFormat="1" x14ac:dyDescent="0.25">
      <c r="A257" t="str">
        <f>"261733"</f>
        <v>261733</v>
      </c>
      <c r="B257" t="s">
        <v>423</v>
      </c>
      <c r="C257" t="s">
        <v>239</v>
      </c>
      <c r="D257" s="21" t="s">
        <v>34</v>
      </c>
      <c r="E257" s="21" t="s">
        <v>71</v>
      </c>
      <c r="F257">
        <v>1380199</v>
      </c>
      <c r="G257" t="s">
        <v>321</v>
      </c>
      <c r="H257" s="21">
        <v>1894.17</v>
      </c>
    </row>
    <row r="258" spans="1:8" customFormat="1" x14ac:dyDescent="0.25">
      <c r="A258" t="str">
        <f>"303229"</f>
        <v>303229</v>
      </c>
      <c r="B258" t="s">
        <v>705</v>
      </c>
      <c r="C258" t="s">
        <v>285</v>
      </c>
      <c r="D258" s="21" t="s">
        <v>34</v>
      </c>
      <c r="E258" s="21" t="s">
        <v>35</v>
      </c>
      <c r="F258">
        <v>11340033</v>
      </c>
      <c r="G258" t="s">
        <v>433</v>
      </c>
      <c r="H258" s="21">
        <v>1891.67</v>
      </c>
    </row>
    <row r="259" spans="1:8" customFormat="1" x14ac:dyDescent="0.25">
      <c r="A259" t="str">
        <f>"76997"</f>
        <v>76997</v>
      </c>
      <c r="B259" t="s">
        <v>497</v>
      </c>
      <c r="C259" t="s">
        <v>498</v>
      </c>
      <c r="D259" s="21" t="s">
        <v>34</v>
      </c>
      <c r="E259" s="21" t="s">
        <v>71</v>
      </c>
      <c r="F259">
        <v>9760414</v>
      </c>
      <c r="G259" t="s">
        <v>142</v>
      </c>
      <c r="H259" s="21">
        <v>1891.67</v>
      </c>
    </row>
    <row r="260" spans="1:8" customFormat="1" x14ac:dyDescent="0.25">
      <c r="A260" t="str">
        <f>"944511"</f>
        <v>944511</v>
      </c>
      <c r="B260" t="s">
        <v>26551</v>
      </c>
      <c r="C260" t="s">
        <v>209</v>
      </c>
      <c r="D260" s="21" t="s">
        <v>34</v>
      </c>
      <c r="E260" s="21" t="s">
        <v>35</v>
      </c>
      <c r="F260">
        <v>12440084</v>
      </c>
      <c r="G260" t="s">
        <v>1014</v>
      </c>
      <c r="H260" s="21">
        <v>1890.67</v>
      </c>
    </row>
    <row r="261" spans="1:8" customFormat="1" x14ac:dyDescent="0.25">
      <c r="A261" t="str">
        <f>"285337"</f>
        <v>285337</v>
      </c>
      <c r="B261" t="s">
        <v>512</v>
      </c>
      <c r="C261" t="s">
        <v>513</v>
      </c>
      <c r="D261" s="21" t="s">
        <v>34</v>
      </c>
      <c r="E261" s="21" t="s">
        <v>35</v>
      </c>
      <c r="F261">
        <v>4280322</v>
      </c>
      <c r="G261" t="s">
        <v>265</v>
      </c>
      <c r="H261" s="21">
        <v>1889.67</v>
      </c>
    </row>
    <row r="262" spans="1:8" customFormat="1" x14ac:dyDescent="0.25">
      <c r="A262" t="str">
        <f>"7623280"</f>
        <v>7623280</v>
      </c>
      <c r="B262" t="s">
        <v>490</v>
      </c>
      <c r="C262" t="s">
        <v>209</v>
      </c>
      <c r="D262" s="21" t="s">
        <v>34</v>
      </c>
      <c r="E262" s="21" t="s">
        <v>71</v>
      </c>
      <c r="F262">
        <v>8950348</v>
      </c>
      <c r="G262" t="s">
        <v>491</v>
      </c>
      <c r="H262" s="21">
        <v>1888.17</v>
      </c>
    </row>
    <row r="263" spans="1:8" customFormat="1" x14ac:dyDescent="0.25">
      <c r="A263" t="str">
        <f>"942779"</f>
        <v>942779</v>
      </c>
      <c r="B263" t="s">
        <v>551</v>
      </c>
      <c r="C263" t="s">
        <v>37</v>
      </c>
      <c r="D263" s="21" t="s">
        <v>34</v>
      </c>
      <c r="E263" s="21" t="s">
        <v>35</v>
      </c>
      <c r="F263">
        <v>8920031</v>
      </c>
      <c r="G263" t="s">
        <v>552</v>
      </c>
      <c r="H263" s="21">
        <v>1887.67</v>
      </c>
    </row>
    <row r="264" spans="1:8" customFormat="1" x14ac:dyDescent="0.25">
      <c r="A264" t="str">
        <f>"315347"</f>
        <v>315347</v>
      </c>
      <c r="B264" t="s">
        <v>718</v>
      </c>
      <c r="C264" t="s">
        <v>719</v>
      </c>
      <c r="D264" s="21" t="s">
        <v>34</v>
      </c>
      <c r="E264" s="21" t="s">
        <v>35</v>
      </c>
      <c r="F264">
        <v>11310121</v>
      </c>
      <c r="G264" t="s">
        <v>578</v>
      </c>
      <c r="H264" s="21">
        <v>1887.17</v>
      </c>
    </row>
    <row r="265" spans="1:8" customFormat="1" x14ac:dyDescent="0.25">
      <c r="A265" t="str">
        <f>"9410215"</f>
        <v>9410215</v>
      </c>
      <c r="B265" t="s">
        <v>26552</v>
      </c>
      <c r="C265" t="s">
        <v>469</v>
      </c>
      <c r="D265" s="21" t="s">
        <v>34</v>
      </c>
      <c r="E265" s="21" t="s">
        <v>35</v>
      </c>
      <c r="F265">
        <v>1690052</v>
      </c>
      <c r="G265" t="s">
        <v>273</v>
      </c>
      <c r="H265" s="21">
        <v>1887.17</v>
      </c>
    </row>
    <row r="266" spans="1:8" customFormat="1" x14ac:dyDescent="0.25">
      <c r="A266" t="str">
        <f>"5931192"</f>
        <v>5931192</v>
      </c>
      <c r="B266" t="s">
        <v>503</v>
      </c>
      <c r="C266" t="s">
        <v>65</v>
      </c>
      <c r="D266" s="21" t="s">
        <v>34</v>
      </c>
      <c r="E266" s="21" t="s">
        <v>35</v>
      </c>
      <c r="F266">
        <v>7620010</v>
      </c>
      <c r="G266" t="s">
        <v>504</v>
      </c>
      <c r="H266" s="21">
        <v>1885.67</v>
      </c>
    </row>
    <row r="267" spans="1:8" customFormat="1" x14ac:dyDescent="0.25">
      <c r="A267" t="str">
        <f>"5926172"</f>
        <v>5926172</v>
      </c>
      <c r="B267" t="s">
        <v>458</v>
      </c>
      <c r="C267" t="s">
        <v>459</v>
      </c>
      <c r="D267" s="21" t="s">
        <v>34</v>
      </c>
      <c r="E267" s="21" t="s">
        <v>71</v>
      </c>
      <c r="F267">
        <v>7590194</v>
      </c>
      <c r="G267" t="s">
        <v>460</v>
      </c>
      <c r="H267" s="21">
        <v>1882.67</v>
      </c>
    </row>
    <row r="268" spans="1:8" customFormat="1" x14ac:dyDescent="0.25">
      <c r="A268" t="str">
        <f>"5910799"</f>
        <v>5910799</v>
      </c>
      <c r="B268" t="s">
        <v>8936</v>
      </c>
      <c r="C268" t="s">
        <v>576</v>
      </c>
      <c r="D268" s="21" t="s">
        <v>34</v>
      </c>
      <c r="E268" s="21" t="s">
        <v>35</v>
      </c>
      <c r="F268">
        <v>7590040</v>
      </c>
      <c r="G268" t="s">
        <v>104</v>
      </c>
      <c r="H268" s="21">
        <v>1881.17</v>
      </c>
    </row>
    <row r="269" spans="1:8" customFormat="1" x14ac:dyDescent="0.25">
      <c r="A269" t="str">
        <f>"671744"</f>
        <v>671744</v>
      </c>
      <c r="B269" t="s">
        <v>26553</v>
      </c>
      <c r="C269" t="s">
        <v>1196</v>
      </c>
      <c r="D269" s="21" t="s">
        <v>34</v>
      </c>
      <c r="E269" s="21" t="s">
        <v>35</v>
      </c>
      <c r="F269">
        <v>6670045</v>
      </c>
      <c r="G269" t="s">
        <v>707</v>
      </c>
      <c r="H269" s="21">
        <v>1880.67</v>
      </c>
    </row>
    <row r="270" spans="1:8" customFormat="1" x14ac:dyDescent="0.25">
      <c r="A270" t="str">
        <f>"836759"</f>
        <v>836759</v>
      </c>
      <c r="B270" t="s">
        <v>526</v>
      </c>
      <c r="C270" t="s">
        <v>285</v>
      </c>
      <c r="D270" s="21" t="s">
        <v>34</v>
      </c>
      <c r="E270" s="21" t="s">
        <v>35</v>
      </c>
      <c r="F270">
        <v>6880123</v>
      </c>
      <c r="G270" t="s">
        <v>527</v>
      </c>
      <c r="H270" s="21">
        <v>1880.67</v>
      </c>
    </row>
    <row r="271" spans="1:8" customFormat="1" x14ac:dyDescent="0.25">
      <c r="A271" t="str">
        <f>"681647"</f>
        <v>681647</v>
      </c>
      <c r="B271" t="s">
        <v>692</v>
      </c>
      <c r="C271" t="s">
        <v>239</v>
      </c>
      <c r="D271" s="21" t="s">
        <v>34</v>
      </c>
      <c r="E271" s="21" t="s">
        <v>71</v>
      </c>
      <c r="F271">
        <v>6680091</v>
      </c>
      <c r="G271" t="s">
        <v>693</v>
      </c>
      <c r="H271" s="21">
        <v>1880.17</v>
      </c>
    </row>
    <row r="272" spans="1:8" customFormat="1" x14ac:dyDescent="0.25">
      <c r="A272" t="str">
        <f>"942619"</f>
        <v>942619</v>
      </c>
      <c r="B272" t="s">
        <v>518</v>
      </c>
      <c r="C272" t="s">
        <v>96</v>
      </c>
      <c r="D272" s="21" t="s">
        <v>34</v>
      </c>
      <c r="E272" s="21" t="s">
        <v>35</v>
      </c>
      <c r="F272">
        <v>8940866</v>
      </c>
      <c r="G272" t="s">
        <v>519</v>
      </c>
      <c r="H272" s="21">
        <v>1880.04</v>
      </c>
    </row>
    <row r="273" spans="1:8" customFormat="1" x14ac:dyDescent="0.25">
      <c r="A273" t="str">
        <f>"931378"</f>
        <v>931378</v>
      </c>
      <c r="B273" t="s">
        <v>461</v>
      </c>
      <c r="C273" t="s">
        <v>462</v>
      </c>
      <c r="D273" s="21" t="s">
        <v>34</v>
      </c>
      <c r="E273" s="21" t="s">
        <v>35</v>
      </c>
      <c r="F273">
        <v>8930113</v>
      </c>
      <c r="G273" t="s">
        <v>368</v>
      </c>
      <c r="H273" s="21">
        <v>1879.18</v>
      </c>
    </row>
    <row r="274" spans="1:8" customFormat="1" x14ac:dyDescent="0.25">
      <c r="A274" t="str">
        <f>"5310180"</f>
        <v>5310180</v>
      </c>
      <c r="B274" t="s">
        <v>21594</v>
      </c>
      <c r="C274" t="s">
        <v>58</v>
      </c>
      <c r="D274" s="21" t="s">
        <v>34</v>
      </c>
      <c r="E274" s="21" t="s">
        <v>35</v>
      </c>
      <c r="F274">
        <v>12530022</v>
      </c>
      <c r="G274" t="s">
        <v>914</v>
      </c>
      <c r="H274" s="21">
        <v>1877.67</v>
      </c>
    </row>
    <row r="275" spans="1:8" customFormat="1" x14ac:dyDescent="0.25">
      <c r="A275" t="str">
        <f>"286964"</f>
        <v>286964</v>
      </c>
      <c r="B275" t="s">
        <v>356</v>
      </c>
      <c r="C275" t="s">
        <v>65</v>
      </c>
      <c r="D275" s="21" t="s">
        <v>34</v>
      </c>
      <c r="E275" s="21" t="s">
        <v>35</v>
      </c>
      <c r="F275">
        <v>4280322</v>
      </c>
      <c r="G275" t="s">
        <v>265</v>
      </c>
      <c r="H275" s="21">
        <v>1877.17</v>
      </c>
    </row>
    <row r="276" spans="1:8" customFormat="1" x14ac:dyDescent="0.25">
      <c r="A276" t="str">
        <f>"951618"</f>
        <v>951618</v>
      </c>
      <c r="B276" t="s">
        <v>655</v>
      </c>
      <c r="C276" t="s">
        <v>656</v>
      </c>
      <c r="D276" s="21" t="s">
        <v>34</v>
      </c>
      <c r="E276" s="21" t="s">
        <v>35</v>
      </c>
      <c r="F276">
        <v>3220033</v>
      </c>
      <c r="G276" t="s">
        <v>657</v>
      </c>
      <c r="H276" s="21">
        <v>1875.67</v>
      </c>
    </row>
    <row r="277" spans="1:8" customFormat="1" x14ac:dyDescent="0.25">
      <c r="A277" t="str">
        <f>"91441"</f>
        <v>91441</v>
      </c>
      <c r="B277" t="s">
        <v>553</v>
      </c>
      <c r="C277" t="s">
        <v>55</v>
      </c>
      <c r="D277" s="21" t="s">
        <v>34</v>
      </c>
      <c r="E277" s="21" t="s">
        <v>71</v>
      </c>
      <c r="F277">
        <v>8910918</v>
      </c>
      <c r="G277" t="s">
        <v>332</v>
      </c>
      <c r="H277" s="21">
        <v>1875.43</v>
      </c>
    </row>
    <row r="278" spans="1:8" customFormat="1" x14ac:dyDescent="0.25">
      <c r="A278" t="str">
        <f>"594972"</f>
        <v>594972</v>
      </c>
      <c r="B278" t="s">
        <v>579</v>
      </c>
      <c r="C278" t="s">
        <v>65</v>
      </c>
      <c r="D278" s="21" t="s">
        <v>34</v>
      </c>
      <c r="E278" s="21" t="s">
        <v>35</v>
      </c>
      <c r="F278">
        <v>7590040</v>
      </c>
      <c r="G278" t="s">
        <v>104</v>
      </c>
      <c r="H278" s="21">
        <v>1873.67</v>
      </c>
    </row>
    <row r="279" spans="1:8" customFormat="1" x14ac:dyDescent="0.25">
      <c r="A279" t="str">
        <f>"597401"</f>
        <v>597401</v>
      </c>
      <c r="B279" t="s">
        <v>595</v>
      </c>
      <c r="C279" t="s">
        <v>43</v>
      </c>
      <c r="D279" s="21" t="s">
        <v>34</v>
      </c>
      <c r="E279" s="21" t="s">
        <v>35</v>
      </c>
      <c r="F279">
        <v>7590338</v>
      </c>
      <c r="G279" t="s">
        <v>682</v>
      </c>
      <c r="H279" s="21">
        <v>1873.17</v>
      </c>
    </row>
    <row r="280" spans="1:8" customFormat="1" x14ac:dyDescent="0.25">
      <c r="A280" t="str">
        <f>"834308"</f>
        <v>834308</v>
      </c>
      <c r="B280" t="s">
        <v>506</v>
      </c>
      <c r="C280" t="s">
        <v>149</v>
      </c>
      <c r="D280" s="21" t="s">
        <v>34</v>
      </c>
      <c r="E280" s="21" t="s">
        <v>35</v>
      </c>
      <c r="F280">
        <v>13830029</v>
      </c>
      <c r="G280" t="s">
        <v>315</v>
      </c>
      <c r="H280" s="21">
        <v>1872.67</v>
      </c>
    </row>
    <row r="281" spans="1:8" customFormat="1" x14ac:dyDescent="0.25">
      <c r="A281" t="str">
        <f>"3665"</f>
        <v>3665</v>
      </c>
      <c r="B281" t="s">
        <v>568</v>
      </c>
      <c r="C281" t="s">
        <v>33</v>
      </c>
      <c r="D281" s="21" t="s">
        <v>34</v>
      </c>
      <c r="E281" s="21" t="s">
        <v>71</v>
      </c>
      <c r="F281">
        <v>10170051</v>
      </c>
      <c r="G281" t="s">
        <v>826</v>
      </c>
      <c r="H281" s="21">
        <v>1872.67</v>
      </c>
    </row>
    <row r="282" spans="1:8" customFormat="1" x14ac:dyDescent="0.25">
      <c r="A282" t="str">
        <f>"317845"</f>
        <v>317845</v>
      </c>
      <c r="B282" t="s">
        <v>577</v>
      </c>
      <c r="C282" t="s">
        <v>198</v>
      </c>
      <c r="D282" s="21" t="s">
        <v>34</v>
      </c>
      <c r="E282" s="21" t="s">
        <v>35</v>
      </c>
      <c r="F282">
        <v>11310121</v>
      </c>
      <c r="G282" t="s">
        <v>578</v>
      </c>
      <c r="H282" s="21">
        <v>1871.93</v>
      </c>
    </row>
    <row r="283" spans="1:8" customFormat="1" x14ac:dyDescent="0.25">
      <c r="A283" t="str">
        <f>"543435"</f>
        <v>543435</v>
      </c>
      <c r="B283" t="s">
        <v>620</v>
      </c>
      <c r="C283" t="s">
        <v>621</v>
      </c>
      <c r="D283" s="21" t="s">
        <v>34</v>
      </c>
      <c r="E283" s="21" t="s">
        <v>35</v>
      </c>
      <c r="F283">
        <v>6570190</v>
      </c>
      <c r="G283" t="s">
        <v>622</v>
      </c>
      <c r="H283" s="21">
        <v>1871.67</v>
      </c>
    </row>
    <row r="284" spans="1:8" customFormat="1" x14ac:dyDescent="0.25">
      <c r="A284" t="str">
        <f>"857141"</f>
        <v>857141</v>
      </c>
      <c r="B284" t="s">
        <v>537</v>
      </c>
      <c r="C284" t="s">
        <v>139</v>
      </c>
      <c r="D284" s="21" t="s">
        <v>34</v>
      </c>
      <c r="E284" s="21" t="s">
        <v>71</v>
      </c>
      <c r="F284">
        <v>12850016</v>
      </c>
      <c r="G284" t="s">
        <v>26554</v>
      </c>
      <c r="H284" s="21">
        <v>1871.17</v>
      </c>
    </row>
    <row r="285" spans="1:8" customFormat="1" x14ac:dyDescent="0.25">
      <c r="A285" t="str">
        <f>"822056"</f>
        <v>822056</v>
      </c>
      <c r="B285" t="s">
        <v>531</v>
      </c>
      <c r="C285" t="s">
        <v>33</v>
      </c>
      <c r="D285" s="21" t="s">
        <v>34</v>
      </c>
      <c r="E285" s="21" t="s">
        <v>35</v>
      </c>
      <c r="F285">
        <v>11820007</v>
      </c>
      <c r="G285" t="s">
        <v>532</v>
      </c>
      <c r="H285" s="21">
        <v>1870.17</v>
      </c>
    </row>
    <row r="286" spans="1:8" customFormat="1" x14ac:dyDescent="0.25">
      <c r="A286" t="str">
        <f>"5922873"</f>
        <v>5922873</v>
      </c>
      <c r="B286" t="s">
        <v>482</v>
      </c>
      <c r="C286" t="s">
        <v>60</v>
      </c>
      <c r="D286" s="21" t="s">
        <v>34</v>
      </c>
      <c r="E286" s="21" t="s">
        <v>35</v>
      </c>
      <c r="F286">
        <v>7590005</v>
      </c>
      <c r="G286" t="s">
        <v>540</v>
      </c>
      <c r="H286" s="21">
        <v>1869.67</v>
      </c>
    </row>
    <row r="287" spans="1:8" customFormat="1" x14ac:dyDescent="0.25">
      <c r="A287" t="str">
        <f>"6287"</f>
        <v>6287</v>
      </c>
      <c r="B287" t="s">
        <v>600</v>
      </c>
      <c r="C287" t="s">
        <v>601</v>
      </c>
      <c r="D287" s="21" t="s">
        <v>34</v>
      </c>
      <c r="E287" s="21" t="s">
        <v>35</v>
      </c>
      <c r="F287">
        <v>7620058</v>
      </c>
      <c r="G287" t="s">
        <v>602</v>
      </c>
      <c r="H287" s="21">
        <v>1869.67</v>
      </c>
    </row>
    <row r="288" spans="1:8" customFormat="1" x14ac:dyDescent="0.25">
      <c r="A288" t="str">
        <f>"299399"</f>
        <v>299399</v>
      </c>
      <c r="B288" t="s">
        <v>572</v>
      </c>
      <c r="C288" t="s">
        <v>58</v>
      </c>
      <c r="D288" s="21" t="s">
        <v>34</v>
      </c>
      <c r="E288" s="21" t="s">
        <v>35</v>
      </c>
      <c r="F288">
        <v>3290244</v>
      </c>
      <c r="G288" t="s">
        <v>573</v>
      </c>
      <c r="H288" s="21">
        <v>1868.42</v>
      </c>
    </row>
    <row r="289" spans="1:8" customFormat="1" x14ac:dyDescent="0.25">
      <c r="A289" t="str">
        <f>"424232"</f>
        <v>424232</v>
      </c>
      <c r="B289" t="s">
        <v>448</v>
      </c>
      <c r="C289" t="s">
        <v>249</v>
      </c>
      <c r="D289" s="21" t="s">
        <v>34</v>
      </c>
      <c r="E289" s="21" t="s">
        <v>35</v>
      </c>
      <c r="F289">
        <v>1420128</v>
      </c>
      <c r="G289" t="s">
        <v>449</v>
      </c>
      <c r="H289" s="21">
        <v>1867.67</v>
      </c>
    </row>
    <row r="290" spans="1:8" customFormat="1" x14ac:dyDescent="0.25">
      <c r="A290" t="str">
        <f>"3791"</f>
        <v>3791</v>
      </c>
      <c r="B290" t="s">
        <v>584</v>
      </c>
      <c r="C290" t="s">
        <v>33</v>
      </c>
      <c r="D290" s="21" t="s">
        <v>34</v>
      </c>
      <c r="E290" s="21" t="s">
        <v>35</v>
      </c>
      <c r="F290">
        <v>4370002</v>
      </c>
      <c r="G290" t="s">
        <v>112</v>
      </c>
      <c r="H290" s="21">
        <v>1867.17</v>
      </c>
    </row>
    <row r="291" spans="1:8" customFormat="1" x14ac:dyDescent="0.25">
      <c r="A291" t="str">
        <f>"2511536"</f>
        <v>2511536</v>
      </c>
      <c r="B291" t="s">
        <v>563</v>
      </c>
      <c r="C291" t="s">
        <v>564</v>
      </c>
      <c r="D291" s="21" t="s">
        <v>34</v>
      </c>
      <c r="E291" s="21" t="s">
        <v>71</v>
      </c>
      <c r="F291">
        <v>10170016</v>
      </c>
      <c r="G291" t="s">
        <v>88</v>
      </c>
      <c r="H291" s="21">
        <v>1866.3</v>
      </c>
    </row>
    <row r="292" spans="1:8" customFormat="1" x14ac:dyDescent="0.25">
      <c r="A292" t="str">
        <f>"333481"</f>
        <v>333481</v>
      </c>
      <c r="B292" t="s">
        <v>524</v>
      </c>
      <c r="C292" t="s">
        <v>211</v>
      </c>
      <c r="D292" s="21" t="s">
        <v>34</v>
      </c>
      <c r="E292" s="21" t="s">
        <v>35</v>
      </c>
      <c r="F292">
        <v>10330004</v>
      </c>
      <c r="G292" t="s">
        <v>525</v>
      </c>
      <c r="H292" s="21">
        <v>1864.92</v>
      </c>
    </row>
    <row r="293" spans="1:8" customFormat="1" x14ac:dyDescent="0.25">
      <c r="A293" t="str">
        <f>"621605"</f>
        <v>621605</v>
      </c>
      <c r="B293" t="s">
        <v>549</v>
      </c>
      <c r="C293" t="s">
        <v>550</v>
      </c>
      <c r="D293" s="21" t="s">
        <v>34</v>
      </c>
      <c r="E293" s="21" t="s">
        <v>71</v>
      </c>
      <c r="F293">
        <v>7620046</v>
      </c>
      <c r="G293" t="s">
        <v>242</v>
      </c>
      <c r="H293" s="21">
        <v>1864.17</v>
      </c>
    </row>
    <row r="294" spans="1:8" customFormat="1" x14ac:dyDescent="0.25">
      <c r="A294" t="str">
        <f>"775501"</f>
        <v>775501</v>
      </c>
      <c r="B294" t="s">
        <v>26555</v>
      </c>
      <c r="C294" t="s">
        <v>3217</v>
      </c>
      <c r="D294" s="21" t="s">
        <v>34</v>
      </c>
      <c r="E294" s="21" t="s">
        <v>35</v>
      </c>
      <c r="F294">
        <v>8770169</v>
      </c>
      <c r="G294" t="s">
        <v>1001</v>
      </c>
      <c r="H294" s="21">
        <v>1863.17</v>
      </c>
    </row>
    <row r="295" spans="1:8" customFormat="1" x14ac:dyDescent="0.25">
      <c r="A295" t="str">
        <f>"9419840"</f>
        <v>9419840</v>
      </c>
      <c r="B295" t="s">
        <v>565</v>
      </c>
      <c r="C295" t="s">
        <v>566</v>
      </c>
      <c r="D295" s="21" t="s">
        <v>34</v>
      </c>
      <c r="E295" s="21" t="s">
        <v>35</v>
      </c>
      <c r="F295">
        <v>12440029</v>
      </c>
      <c r="G295" t="s">
        <v>567</v>
      </c>
      <c r="H295" s="21">
        <v>1862.17</v>
      </c>
    </row>
    <row r="296" spans="1:8" customFormat="1" x14ac:dyDescent="0.25">
      <c r="A296" t="str">
        <f>"911961"</f>
        <v>911961</v>
      </c>
      <c r="B296" t="s">
        <v>597</v>
      </c>
      <c r="C296" t="s">
        <v>598</v>
      </c>
      <c r="D296" s="21" t="s">
        <v>34</v>
      </c>
      <c r="E296" s="21" t="s">
        <v>35</v>
      </c>
      <c r="F296">
        <v>8911161</v>
      </c>
      <c r="G296" t="s">
        <v>599</v>
      </c>
      <c r="H296" s="21">
        <v>1862.17</v>
      </c>
    </row>
    <row r="297" spans="1:8" customFormat="1" x14ac:dyDescent="0.25">
      <c r="A297" t="str">
        <f>"375343"</f>
        <v>375343</v>
      </c>
      <c r="B297" t="s">
        <v>667</v>
      </c>
      <c r="C297" t="s">
        <v>239</v>
      </c>
      <c r="D297" s="21" t="s">
        <v>34</v>
      </c>
      <c r="E297" s="21" t="s">
        <v>71</v>
      </c>
      <c r="F297">
        <v>4370002</v>
      </c>
      <c r="G297" t="s">
        <v>112</v>
      </c>
      <c r="H297" s="21">
        <v>1862.17</v>
      </c>
    </row>
    <row r="298" spans="1:8" customFormat="1" x14ac:dyDescent="0.25">
      <c r="A298" t="str">
        <f>"7510055"</f>
        <v>7510055</v>
      </c>
      <c r="B298" t="s">
        <v>26556</v>
      </c>
      <c r="C298" t="s">
        <v>305</v>
      </c>
      <c r="D298" s="21" t="s">
        <v>34</v>
      </c>
      <c r="E298" s="21" t="s">
        <v>35</v>
      </c>
      <c r="F298">
        <v>8920049</v>
      </c>
      <c r="G298" t="s">
        <v>237</v>
      </c>
      <c r="H298" s="21">
        <v>1861.67</v>
      </c>
    </row>
    <row r="299" spans="1:8" customFormat="1" x14ac:dyDescent="0.25">
      <c r="A299" t="str">
        <f>"622784"</f>
        <v>622784</v>
      </c>
      <c r="B299" t="s">
        <v>634</v>
      </c>
      <c r="C299" t="s">
        <v>209</v>
      </c>
      <c r="D299" s="21" t="s">
        <v>34</v>
      </c>
      <c r="E299" s="21" t="s">
        <v>35</v>
      </c>
      <c r="F299">
        <v>7620104</v>
      </c>
      <c r="G299" t="s">
        <v>635</v>
      </c>
      <c r="H299" s="21">
        <v>1860.55</v>
      </c>
    </row>
    <row r="300" spans="1:8" customFormat="1" x14ac:dyDescent="0.25">
      <c r="A300" t="str">
        <f>"501074"</f>
        <v>501074</v>
      </c>
      <c r="B300" t="s">
        <v>543</v>
      </c>
      <c r="C300" t="s">
        <v>544</v>
      </c>
      <c r="D300" s="21" t="s">
        <v>34</v>
      </c>
      <c r="E300" s="21" t="s">
        <v>35</v>
      </c>
      <c r="F300">
        <v>9500003</v>
      </c>
      <c r="G300" t="s">
        <v>545</v>
      </c>
      <c r="H300" s="21">
        <v>1860.29</v>
      </c>
    </row>
    <row r="301" spans="1:8" customFormat="1" x14ac:dyDescent="0.25">
      <c r="A301" t="str">
        <f>"952176"</f>
        <v>952176</v>
      </c>
      <c r="B301" t="s">
        <v>683</v>
      </c>
      <c r="C301" t="s">
        <v>130</v>
      </c>
      <c r="D301" s="21" t="s">
        <v>34</v>
      </c>
      <c r="E301" s="21" t="s">
        <v>71</v>
      </c>
      <c r="F301">
        <v>8950623</v>
      </c>
      <c r="G301" t="s">
        <v>684</v>
      </c>
      <c r="H301" s="21">
        <v>1857.67</v>
      </c>
    </row>
    <row r="302" spans="1:8" customFormat="1" x14ac:dyDescent="0.25">
      <c r="A302" t="str">
        <f>"754118"</f>
        <v>754118</v>
      </c>
      <c r="B302" t="s">
        <v>709</v>
      </c>
      <c r="C302" t="s">
        <v>710</v>
      </c>
      <c r="D302" s="21" t="s">
        <v>34</v>
      </c>
      <c r="E302" s="21" t="s">
        <v>35</v>
      </c>
      <c r="F302">
        <v>13130012</v>
      </c>
      <c r="G302" t="s">
        <v>68</v>
      </c>
      <c r="H302" s="21">
        <v>1857.17</v>
      </c>
    </row>
    <row r="303" spans="1:8" customFormat="1" x14ac:dyDescent="0.25">
      <c r="A303" t="str">
        <f>"4426121"</f>
        <v>4426121</v>
      </c>
      <c r="B303" t="s">
        <v>561</v>
      </c>
      <c r="C303" t="s">
        <v>90</v>
      </c>
      <c r="D303" s="21" t="s">
        <v>34</v>
      </c>
      <c r="E303" s="21" t="s">
        <v>35</v>
      </c>
      <c r="F303">
        <v>12440138</v>
      </c>
      <c r="G303" t="s">
        <v>562</v>
      </c>
      <c r="H303" s="21">
        <v>1854.17</v>
      </c>
    </row>
    <row r="304" spans="1:8" customFormat="1" x14ac:dyDescent="0.25">
      <c r="A304" t="str">
        <f>"5612450"</f>
        <v>5612450</v>
      </c>
      <c r="B304" t="s">
        <v>425</v>
      </c>
      <c r="C304" t="s">
        <v>124</v>
      </c>
      <c r="D304" s="21" t="s">
        <v>34</v>
      </c>
      <c r="E304" s="21" t="s">
        <v>71</v>
      </c>
      <c r="F304">
        <v>3560020</v>
      </c>
      <c r="G304" t="s">
        <v>426</v>
      </c>
      <c r="H304" s="21">
        <v>1853.17</v>
      </c>
    </row>
    <row r="305" spans="1:8" customFormat="1" x14ac:dyDescent="0.25">
      <c r="A305" t="str">
        <f>"601528"</f>
        <v>601528</v>
      </c>
      <c r="B305" t="s">
        <v>541</v>
      </c>
      <c r="C305" t="s">
        <v>484</v>
      </c>
      <c r="D305" s="21" t="s">
        <v>34</v>
      </c>
      <c r="E305" s="21" t="s">
        <v>35</v>
      </c>
      <c r="F305">
        <v>7600070</v>
      </c>
      <c r="G305" t="s">
        <v>542</v>
      </c>
      <c r="H305" s="21">
        <v>1852.67</v>
      </c>
    </row>
    <row r="306" spans="1:8" customFormat="1" x14ac:dyDescent="0.25">
      <c r="A306" t="str">
        <f>"703553"</f>
        <v>703553</v>
      </c>
      <c r="B306" t="s">
        <v>650</v>
      </c>
      <c r="C306" t="s">
        <v>156</v>
      </c>
      <c r="D306" s="21" t="s">
        <v>34</v>
      </c>
      <c r="E306" s="21" t="s">
        <v>35</v>
      </c>
      <c r="F306">
        <v>11460010</v>
      </c>
      <c r="G306" t="s">
        <v>654</v>
      </c>
      <c r="H306" s="21">
        <v>1852.67</v>
      </c>
    </row>
    <row r="307" spans="1:8" customFormat="1" x14ac:dyDescent="0.25">
      <c r="A307" t="str">
        <f>"5915026"</f>
        <v>5915026</v>
      </c>
      <c r="B307" t="s">
        <v>2417</v>
      </c>
      <c r="C307" t="s">
        <v>204</v>
      </c>
      <c r="D307" s="21" t="s">
        <v>34</v>
      </c>
      <c r="E307" s="21" t="s">
        <v>35</v>
      </c>
      <c r="F307">
        <v>7590137</v>
      </c>
      <c r="G307" t="s">
        <v>4246</v>
      </c>
      <c r="H307" s="21">
        <v>1852.67</v>
      </c>
    </row>
    <row r="308" spans="1:8" customFormat="1" x14ac:dyDescent="0.25">
      <c r="A308" t="str">
        <f>"692357"</f>
        <v>692357</v>
      </c>
      <c r="B308" t="s">
        <v>757</v>
      </c>
      <c r="C308" t="s">
        <v>33</v>
      </c>
      <c r="D308" s="21" t="s">
        <v>34</v>
      </c>
      <c r="E308" s="21" t="s">
        <v>35</v>
      </c>
      <c r="F308">
        <v>1690030</v>
      </c>
      <c r="G308" t="s">
        <v>432</v>
      </c>
      <c r="H308" s="21">
        <v>1852.3</v>
      </c>
    </row>
    <row r="309" spans="1:8" customFormat="1" x14ac:dyDescent="0.25">
      <c r="A309" t="str">
        <f>"471611"</f>
        <v>471611</v>
      </c>
      <c r="B309" t="s">
        <v>390</v>
      </c>
      <c r="C309" t="s">
        <v>169</v>
      </c>
      <c r="D309" s="21" t="s">
        <v>34</v>
      </c>
      <c r="E309" s="21" t="s">
        <v>35</v>
      </c>
      <c r="F309">
        <v>10470001</v>
      </c>
      <c r="G309" t="s">
        <v>391</v>
      </c>
      <c r="H309" s="21">
        <v>1852.17</v>
      </c>
    </row>
    <row r="310" spans="1:8" customFormat="1" x14ac:dyDescent="0.25">
      <c r="A310" t="str">
        <f>"754606"</f>
        <v>754606</v>
      </c>
      <c r="B310" t="s">
        <v>522</v>
      </c>
      <c r="C310" t="s">
        <v>523</v>
      </c>
      <c r="D310" s="21" t="s">
        <v>34</v>
      </c>
      <c r="E310" s="21" t="s">
        <v>71</v>
      </c>
      <c r="F310">
        <v>8751163</v>
      </c>
      <c r="G310" t="s">
        <v>80</v>
      </c>
      <c r="H310" s="21">
        <v>1852.17</v>
      </c>
    </row>
    <row r="311" spans="1:8" customFormat="1" x14ac:dyDescent="0.25">
      <c r="A311" t="str">
        <f>"5910714"</f>
        <v>5910714</v>
      </c>
      <c r="B311" t="s">
        <v>26557</v>
      </c>
      <c r="C311" t="s">
        <v>169</v>
      </c>
      <c r="D311" s="21" t="s">
        <v>34</v>
      </c>
      <c r="E311" s="21" t="s">
        <v>35</v>
      </c>
      <c r="F311">
        <v>7590055</v>
      </c>
      <c r="G311" t="s">
        <v>1573</v>
      </c>
      <c r="H311" s="21">
        <v>1851.17</v>
      </c>
    </row>
    <row r="312" spans="1:8" customFormat="1" x14ac:dyDescent="0.25">
      <c r="A312" t="str">
        <f>"3814262"</f>
        <v>3814262</v>
      </c>
      <c r="B312" t="s">
        <v>26558</v>
      </c>
      <c r="C312" t="s">
        <v>65</v>
      </c>
      <c r="D312" s="21" t="s">
        <v>34</v>
      </c>
      <c r="E312" s="21" t="s">
        <v>35</v>
      </c>
      <c r="F312">
        <v>1730048</v>
      </c>
      <c r="G312" t="s">
        <v>3173</v>
      </c>
      <c r="H312" s="21">
        <v>1851.17</v>
      </c>
    </row>
    <row r="313" spans="1:8" customFormat="1" x14ac:dyDescent="0.25">
      <c r="A313" t="str">
        <f>"361667"</f>
        <v>361667</v>
      </c>
      <c r="B313" t="s">
        <v>671</v>
      </c>
      <c r="C313" t="s">
        <v>285</v>
      </c>
      <c r="D313" s="21" t="s">
        <v>34</v>
      </c>
      <c r="E313" s="21" t="s">
        <v>35</v>
      </c>
      <c r="F313">
        <v>4360454</v>
      </c>
      <c r="G313" t="s">
        <v>637</v>
      </c>
      <c r="H313" s="21">
        <v>1851.17</v>
      </c>
    </row>
    <row r="314" spans="1:8" customFormat="1" x14ac:dyDescent="0.25">
      <c r="A314" t="str">
        <f>"4920064"</f>
        <v>4920064</v>
      </c>
      <c r="B314" t="s">
        <v>593</v>
      </c>
      <c r="C314" t="s">
        <v>60</v>
      </c>
      <c r="D314" s="21" t="s">
        <v>34</v>
      </c>
      <c r="E314" s="21" t="s">
        <v>35</v>
      </c>
      <c r="F314">
        <v>12440084</v>
      </c>
      <c r="G314" t="s">
        <v>1014</v>
      </c>
      <c r="H314" s="21">
        <v>1850.67</v>
      </c>
    </row>
    <row r="315" spans="1:8" customFormat="1" x14ac:dyDescent="0.25">
      <c r="A315" t="str">
        <f>"684831"</f>
        <v>684831</v>
      </c>
      <c r="B315" t="s">
        <v>648</v>
      </c>
      <c r="C315" t="s">
        <v>98</v>
      </c>
      <c r="D315" s="21" t="s">
        <v>34</v>
      </c>
      <c r="E315" s="21" t="s">
        <v>35</v>
      </c>
      <c r="F315">
        <v>10170051</v>
      </c>
      <c r="G315" t="s">
        <v>826</v>
      </c>
      <c r="H315" s="21">
        <v>1850.67</v>
      </c>
    </row>
    <row r="316" spans="1:8" customFormat="1" x14ac:dyDescent="0.25">
      <c r="A316" t="str">
        <f>"851198"</f>
        <v>851198</v>
      </c>
      <c r="B316" t="s">
        <v>702</v>
      </c>
      <c r="C316" t="s">
        <v>204</v>
      </c>
      <c r="D316" s="21" t="s">
        <v>34</v>
      </c>
      <c r="E316" s="21" t="s">
        <v>35</v>
      </c>
      <c r="F316">
        <v>12850033</v>
      </c>
      <c r="G316" t="s">
        <v>703</v>
      </c>
      <c r="H316" s="21">
        <v>1850.67</v>
      </c>
    </row>
    <row r="317" spans="1:8" customFormat="1" x14ac:dyDescent="0.25">
      <c r="A317" t="str">
        <f>"9510706"</f>
        <v>9510706</v>
      </c>
      <c r="B317" t="s">
        <v>666</v>
      </c>
      <c r="C317" t="s">
        <v>412</v>
      </c>
      <c r="D317" s="21" t="s">
        <v>34</v>
      </c>
      <c r="E317" s="21" t="s">
        <v>35</v>
      </c>
      <c r="F317">
        <v>10330067</v>
      </c>
      <c r="G317" t="s">
        <v>125</v>
      </c>
      <c r="H317" s="21">
        <v>1848.17</v>
      </c>
    </row>
    <row r="318" spans="1:8" customFormat="1" x14ac:dyDescent="0.25">
      <c r="A318" t="str">
        <f>"35477"</f>
        <v>35477</v>
      </c>
      <c r="B318" t="s">
        <v>650</v>
      </c>
      <c r="C318" t="s">
        <v>43</v>
      </c>
      <c r="D318" s="21" t="s">
        <v>34</v>
      </c>
      <c r="E318" s="21" t="s">
        <v>35</v>
      </c>
      <c r="F318">
        <v>3350060</v>
      </c>
      <c r="G318" t="s">
        <v>38</v>
      </c>
      <c r="H318" s="21">
        <v>1847.17</v>
      </c>
    </row>
    <row r="319" spans="1:8" customFormat="1" x14ac:dyDescent="0.25">
      <c r="A319" t="str">
        <f>"2211029"</f>
        <v>2211029</v>
      </c>
      <c r="B319" t="s">
        <v>627</v>
      </c>
      <c r="C319" t="s">
        <v>60</v>
      </c>
      <c r="D319" s="21" t="s">
        <v>34</v>
      </c>
      <c r="E319" s="21" t="s">
        <v>35</v>
      </c>
      <c r="F319">
        <v>3220064</v>
      </c>
      <c r="G319" t="s">
        <v>26559</v>
      </c>
      <c r="H319" s="21">
        <v>1847.17</v>
      </c>
    </row>
    <row r="320" spans="1:8" customFormat="1" x14ac:dyDescent="0.25">
      <c r="A320" t="str">
        <f>"38591"</f>
        <v>38591</v>
      </c>
      <c r="B320" t="s">
        <v>618</v>
      </c>
      <c r="C320" t="s">
        <v>249</v>
      </c>
      <c r="D320" s="21" t="s">
        <v>34</v>
      </c>
      <c r="E320" s="21" t="s">
        <v>35</v>
      </c>
      <c r="F320">
        <v>1380290</v>
      </c>
      <c r="G320" t="s">
        <v>619</v>
      </c>
      <c r="H320" s="21">
        <v>1845.67</v>
      </c>
    </row>
    <row r="321" spans="1:8" customFormat="1" x14ac:dyDescent="0.25">
      <c r="A321" t="str">
        <f>"692358"</f>
        <v>692358</v>
      </c>
      <c r="B321" t="s">
        <v>596</v>
      </c>
      <c r="C321" t="s">
        <v>239</v>
      </c>
      <c r="D321" s="21" t="s">
        <v>34</v>
      </c>
      <c r="E321" s="21" t="s">
        <v>71</v>
      </c>
      <c r="F321">
        <v>1690221</v>
      </c>
      <c r="G321" t="s">
        <v>303</v>
      </c>
      <c r="H321" s="21">
        <v>1844.67</v>
      </c>
    </row>
    <row r="322" spans="1:8" customFormat="1" x14ac:dyDescent="0.25">
      <c r="A322" t="str">
        <f>"7175"</f>
        <v>7175</v>
      </c>
      <c r="B322" t="s">
        <v>641</v>
      </c>
      <c r="C322" t="s">
        <v>156</v>
      </c>
      <c r="D322" s="21" t="s">
        <v>34</v>
      </c>
      <c r="E322" s="21" t="s">
        <v>254</v>
      </c>
      <c r="F322">
        <v>2710005</v>
      </c>
      <c r="G322" t="s">
        <v>642</v>
      </c>
      <c r="H322" s="21">
        <v>1844.67</v>
      </c>
    </row>
    <row r="323" spans="1:8" customFormat="1" x14ac:dyDescent="0.25">
      <c r="A323" t="str">
        <f>"516229"</f>
        <v>516229</v>
      </c>
      <c r="B323" t="s">
        <v>589</v>
      </c>
      <c r="C323" t="s">
        <v>62</v>
      </c>
      <c r="D323" s="21" t="s">
        <v>34</v>
      </c>
      <c r="E323" s="21" t="s">
        <v>35</v>
      </c>
      <c r="F323" t="s">
        <v>590</v>
      </c>
      <c r="G323" t="s">
        <v>591</v>
      </c>
      <c r="H323" s="21">
        <v>1844.17</v>
      </c>
    </row>
    <row r="324" spans="1:8" customFormat="1" x14ac:dyDescent="0.25">
      <c r="A324" t="str">
        <f>"941820"</f>
        <v>941820</v>
      </c>
      <c r="B324" t="s">
        <v>123</v>
      </c>
      <c r="C324" t="s">
        <v>253</v>
      </c>
      <c r="D324" s="21" t="s">
        <v>34</v>
      </c>
      <c r="E324" s="21" t="s">
        <v>71</v>
      </c>
      <c r="F324">
        <v>10400004</v>
      </c>
      <c r="G324" t="s">
        <v>2929</v>
      </c>
      <c r="H324" s="21">
        <v>1843.67</v>
      </c>
    </row>
    <row r="325" spans="1:8" customFormat="1" x14ac:dyDescent="0.25">
      <c r="A325" t="str">
        <f>"459591"</f>
        <v>459591</v>
      </c>
      <c r="B325" t="s">
        <v>26560</v>
      </c>
      <c r="C325" t="s">
        <v>576</v>
      </c>
      <c r="D325" s="21" t="s">
        <v>34</v>
      </c>
      <c r="E325" s="21" t="s">
        <v>35</v>
      </c>
      <c r="F325">
        <v>4450410</v>
      </c>
      <c r="G325" t="s">
        <v>26525</v>
      </c>
      <c r="H325" s="21">
        <v>1843.3</v>
      </c>
    </row>
    <row r="326" spans="1:8" customFormat="1" x14ac:dyDescent="0.25">
      <c r="A326" t="str">
        <f>"7611433"</f>
        <v>7611433</v>
      </c>
      <c r="B326" t="s">
        <v>630</v>
      </c>
      <c r="C326" t="s">
        <v>328</v>
      </c>
      <c r="D326" s="21" t="s">
        <v>34</v>
      </c>
      <c r="E326" s="21" t="s">
        <v>35</v>
      </c>
      <c r="F326">
        <v>9760414</v>
      </c>
      <c r="G326" t="s">
        <v>142</v>
      </c>
      <c r="H326" s="21">
        <v>1843.17</v>
      </c>
    </row>
    <row r="327" spans="1:8" customFormat="1" x14ac:dyDescent="0.25">
      <c r="A327" t="str">
        <f>"456769"</f>
        <v>456769</v>
      </c>
      <c r="B327" t="s">
        <v>556</v>
      </c>
      <c r="C327" t="s">
        <v>147</v>
      </c>
      <c r="D327" s="21" t="s">
        <v>34</v>
      </c>
      <c r="E327" s="21" t="s">
        <v>71</v>
      </c>
      <c r="F327">
        <v>12720104</v>
      </c>
      <c r="G327" t="s">
        <v>224</v>
      </c>
      <c r="H327" s="21">
        <v>1842.17</v>
      </c>
    </row>
    <row r="328" spans="1:8" customFormat="1" x14ac:dyDescent="0.25">
      <c r="A328" t="str">
        <f>"686906"</f>
        <v>686906</v>
      </c>
      <c r="B328" t="s">
        <v>835</v>
      </c>
      <c r="C328" t="s">
        <v>151</v>
      </c>
      <c r="D328" s="21" t="s">
        <v>34</v>
      </c>
      <c r="E328" s="21" t="s">
        <v>35</v>
      </c>
      <c r="F328">
        <v>6680091</v>
      </c>
      <c r="G328" t="s">
        <v>693</v>
      </c>
      <c r="H328" s="21">
        <v>1842.17</v>
      </c>
    </row>
    <row r="329" spans="1:8" customFormat="1" x14ac:dyDescent="0.25">
      <c r="A329" t="str">
        <f>"5936916"</f>
        <v>5936916</v>
      </c>
      <c r="B329" t="s">
        <v>595</v>
      </c>
      <c r="C329" t="s">
        <v>62</v>
      </c>
      <c r="D329" s="21" t="s">
        <v>34</v>
      </c>
      <c r="E329" s="21" t="s">
        <v>35</v>
      </c>
      <c r="F329">
        <v>7590005</v>
      </c>
      <c r="G329" t="s">
        <v>540</v>
      </c>
      <c r="H329" s="21">
        <v>1841.3</v>
      </c>
    </row>
    <row r="330" spans="1:8" customFormat="1" x14ac:dyDescent="0.25">
      <c r="A330" t="str">
        <f>"941551"</f>
        <v>941551</v>
      </c>
      <c r="B330" t="s">
        <v>614</v>
      </c>
      <c r="C330" t="s">
        <v>415</v>
      </c>
      <c r="D330" s="21" t="s">
        <v>34</v>
      </c>
      <c r="E330" s="21" t="s">
        <v>71</v>
      </c>
      <c r="F330">
        <v>8940976</v>
      </c>
      <c r="G330" t="s">
        <v>615</v>
      </c>
      <c r="H330" s="21">
        <v>1839.67</v>
      </c>
    </row>
    <row r="331" spans="1:8" customFormat="1" x14ac:dyDescent="0.25">
      <c r="A331" t="str">
        <f>"49644"</f>
        <v>49644</v>
      </c>
      <c r="B331" t="s">
        <v>580</v>
      </c>
      <c r="C331" t="s">
        <v>581</v>
      </c>
      <c r="D331" s="21" t="s">
        <v>34</v>
      </c>
      <c r="E331" s="21" t="s">
        <v>254</v>
      </c>
      <c r="F331">
        <v>12490022</v>
      </c>
      <c r="G331" t="s">
        <v>1450</v>
      </c>
      <c r="H331" s="21">
        <v>1837.67</v>
      </c>
    </row>
    <row r="332" spans="1:8" customFormat="1" x14ac:dyDescent="0.25">
      <c r="A332" t="str">
        <f>"5610199"</f>
        <v>5610199</v>
      </c>
      <c r="B332" t="s">
        <v>821</v>
      </c>
      <c r="C332" t="s">
        <v>822</v>
      </c>
      <c r="D332" s="21" t="s">
        <v>34</v>
      </c>
      <c r="E332" s="21" t="s">
        <v>254</v>
      </c>
      <c r="F332">
        <v>3560053</v>
      </c>
      <c r="G332" t="s">
        <v>298</v>
      </c>
      <c r="H332" s="21">
        <v>1837.17</v>
      </c>
    </row>
    <row r="333" spans="1:8" customFormat="1" x14ac:dyDescent="0.25">
      <c r="A333" t="str">
        <f>"089664"</f>
        <v>089664</v>
      </c>
      <c r="B333" t="s">
        <v>3167</v>
      </c>
      <c r="C333" t="s">
        <v>3355</v>
      </c>
      <c r="D333" s="21" t="s">
        <v>34</v>
      </c>
      <c r="E333" s="21" t="s">
        <v>35</v>
      </c>
      <c r="F333">
        <v>6080013</v>
      </c>
      <c r="G333" t="s">
        <v>1532</v>
      </c>
      <c r="H333" s="21">
        <v>1834.93</v>
      </c>
    </row>
    <row r="334" spans="1:8" customFormat="1" x14ac:dyDescent="0.25">
      <c r="A334" t="str">
        <f>"3815264"</f>
        <v>3815264</v>
      </c>
      <c r="B334" t="s">
        <v>505</v>
      </c>
      <c r="C334" t="s">
        <v>55</v>
      </c>
      <c r="D334" s="21" t="s">
        <v>34</v>
      </c>
      <c r="E334" s="21" t="s">
        <v>71</v>
      </c>
      <c r="F334">
        <v>1380199</v>
      </c>
      <c r="G334" t="s">
        <v>321</v>
      </c>
      <c r="H334" s="21">
        <v>1834.67</v>
      </c>
    </row>
    <row r="335" spans="1:8" customFormat="1" x14ac:dyDescent="0.25">
      <c r="A335" t="str">
        <f>"3895"</f>
        <v>3895</v>
      </c>
      <c r="B335" t="s">
        <v>685</v>
      </c>
      <c r="C335" t="s">
        <v>55</v>
      </c>
      <c r="D335" s="21" t="s">
        <v>34</v>
      </c>
      <c r="E335" s="21" t="s">
        <v>35</v>
      </c>
      <c r="F335">
        <v>1380284</v>
      </c>
      <c r="G335" t="s">
        <v>300</v>
      </c>
      <c r="H335" s="21">
        <v>1834.67</v>
      </c>
    </row>
    <row r="336" spans="1:8" customFormat="1" x14ac:dyDescent="0.25">
      <c r="A336" t="str">
        <f>"08993"</f>
        <v>08993</v>
      </c>
      <c r="B336" t="s">
        <v>582</v>
      </c>
      <c r="C336" t="s">
        <v>249</v>
      </c>
      <c r="D336" s="21" t="s">
        <v>34</v>
      </c>
      <c r="E336" s="21" t="s">
        <v>35</v>
      </c>
      <c r="F336">
        <v>6080035</v>
      </c>
      <c r="G336" t="s">
        <v>583</v>
      </c>
      <c r="H336" s="21">
        <v>1834.17</v>
      </c>
    </row>
    <row r="337" spans="1:8" customFormat="1" x14ac:dyDescent="0.25">
      <c r="A337" t="str">
        <f>"534545"</f>
        <v>534545</v>
      </c>
      <c r="B337" t="s">
        <v>673</v>
      </c>
      <c r="C337" t="s">
        <v>121</v>
      </c>
      <c r="D337" s="21" t="s">
        <v>34</v>
      </c>
      <c r="E337" s="21" t="s">
        <v>35</v>
      </c>
      <c r="F337">
        <v>3350060</v>
      </c>
      <c r="G337" t="s">
        <v>38</v>
      </c>
      <c r="H337" s="21">
        <v>1833.79</v>
      </c>
    </row>
    <row r="338" spans="1:8" customFormat="1" x14ac:dyDescent="0.25">
      <c r="A338" t="str">
        <f>"223283"</f>
        <v>223283</v>
      </c>
      <c r="B338" t="s">
        <v>734</v>
      </c>
      <c r="C338" t="s">
        <v>2276</v>
      </c>
      <c r="D338" s="21" t="s">
        <v>34</v>
      </c>
      <c r="E338" s="21" t="s">
        <v>35</v>
      </c>
      <c r="F338">
        <v>12850170</v>
      </c>
      <c r="G338" t="s">
        <v>3349</v>
      </c>
      <c r="H338" s="21">
        <v>1833.67</v>
      </c>
    </row>
    <row r="339" spans="1:8" customFormat="1" x14ac:dyDescent="0.25">
      <c r="A339" t="str">
        <f>"592568"</f>
        <v>592568</v>
      </c>
      <c r="B339" t="s">
        <v>472</v>
      </c>
      <c r="C339" t="s">
        <v>239</v>
      </c>
      <c r="D339" s="21" t="s">
        <v>34</v>
      </c>
      <c r="E339" s="21" t="s">
        <v>71</v>
      </c>
      <c r="F339">
        <v>7590050</v>
      </c>
      <c r="G339" t="s">
        <v>473</v>
      </c>
      <c r="H339" s="21">
        <v>1833.67</v>
      </c>
    </row>
    <row r="340" spans="1:8" customFormat="1" x14ac:dyDescent="0.25">
      <c r="A340" t="str">
        <f>"366045"</f>
        <v>366045</v>
      </c>
      <c r="B340" t="s">
        <v>799</v>
      </c>
      <c r="C340" t="s">
        <v>513</v>
      </c>
      <c r="D340" s="21" t="s">
        <v>34</v>
      </c>
      <c r="E340" s="21" t="s">
        <v>35</v>
      </c>
      <c r="F340">
        <v>4360002</v>
      </c>
      <c r="G340" t="s">
        <v>222</v>
      </c>
      <c r="H340" s="21">
        <v>1832.42</v>
      </c>
    </row>
    <row r="341" spans="1:8" customFormat="1" x14ac:dyDescent="0.25">
      <c r="A341" t="str">
        <f>"703387"</f>
        <v>703387</v>
      </c>
      <c r="B341" t="s">
        <v>536</v>
      </c>
      <c r="C341" t="s">
        <v>462</v>
      </c>
      <c r="D341" s="21" t="s">
        <v>34</v>
      </c>
      <c r="E341" s="21" t="s">
        <v>35</v>
      </c>
      <c r="F341">
        <v>2250017</v>
      </c>
      <c r="G341" t="s">
        <v>521</v>
      </c>
      <c r="H341" s="21">
        <v>1832.17</v>
      </c>
    </row>
    <row r="342" spans="1:8" customFormat="1" x14ac:dyDescent="0.25">
      <c r="A342" t="str">
        <f>"444527"</f>
        <v>444527</v>
      </c>
      <c r="B342" t="s">
        <v>724</v>
      </c>
      <c r="C342" t="s">
        <v>262</v>
      </c>
      <c r="D342" s="21" t="s">
        <v>34</v>
      </c>
      <c r="E342" s="21" t="s">
        <v>35</v>
      </c>
      <c r="F342">
        <v>12850020</v>
      </c>
      <c r="G342" t="s">
        <v>725</v>
      </c>
      <c r="H342" s="21">
        <v>1831.17</v>
      </c>
    </row>
    <row r="343" spans="1:8" customFormat="1" x14ac:dyDescent="0.25">
      <c r="A343" t="str">
        <f>"80167"</f>
        <v>80167</v>
      </c>
      <c r="B343" t="s">
        <v>548</v>
      </c>
      <c r="C343" t="s">
        <v>412</v>
      </c>
      <c r="D343" s="21" t="s">
        <v>34</v>
      </c>
      <c r="E343" s="21" t="s">
        <v>254</v>
      </c>
      <c r="F343">
        <v>7800001</v>
      </c>
      <c r="G343" t="s">
        <v>176</v>
      </c>
      <c r="H343" s="21">
        <v>1830.67</v>
      </c>
    </row>
    <row r="344" spans="1:8" customFormat="1" x14ac:dyDescent="0.25">
      <c r="A344" t="str">
        <f>"19465"</f>
        <v>19465</v>
      </c>
      <c r="B344" t="s">
        <v>14212</v>
      </c>
      <c r="C344" t="s">
        <v>121</v>
      </c>
      <c r="D344" s="21" t="s">
        <v>34</v>
      </c>
      <c r="E344" s="21" t="s">
        <v>35</v>
      </c>
      <c r="F344">
        <v>10190054</v>
      </c>
      <c r="G344" t="s">
        <v>4189</v>
      </c>
      <c r="H344" s="21">
        <v>1830.67</v>
      </c>
    </row>
    <row r="345" spans="1:8" customFormat="1" x14ac:dyDescent="0.25">
      <c r="A345" t="str">
        <f>"144609"</f>
        <v>144609</v>
      </c>
      <c r="B345" t="s">
        <v>141</v>
      </c>
      <c r="C345" t="s">
        <v>109</v>
      </c>
      <c r="D345" s="21" t="s">
        <v>34</v>
      </c>
      <c r="E345" s="21" t="s">
        <v>35</v>
      </c>
      <c r="F345">
        <v>9140156</v>
      </c>
      <c r="G345" t="s">
        <v>645</v>
      </c>
      <c r="H345" s="21">
        <v>1830.17</v>
      </c>
    </row>
    <row r="346" spans="1:8" customFormat="1" x14ac:dyDescent="0.25">
      <c r="A346" t="str">
        <f>"92126"</f>
        <v>92126</v>
      </c>
      <c r="B346" t="s">
        <v>700</v>
      </c>
      <c r="C346" t="s">
        <v>198</v>
      </c>
      <c r="D346" s="21" t="s">
        <v>34</v>
      </c>
      <c r="E346" s="21" t="s">
        <v>71</v>
      </c>
      <c r="F346">
        <v>8920031</v>
      </c>
      <c r="G346" t="s">
        <v>552</v>
      </c>
      <c r="H346" s="21">
        <v>1830.17</v>
      </c>
    </row>
    <row r="347" spans="1:8" customFormat="1" x14ac:dyDescent="0.25">
      <c r="A347" t="str">
        <f>"142345"</f>
        <v>142345</v>
      </c>
      <c r="B347" t="s">
        <v>660</v>
      </c>
      <c r="C347" t="s">
        <v>513</v>
      </c>
      <c r="D347" s="21" t="s">
        <v>34</v>
      </c>
      <c r="E347" s="21" t="s">
        <v>35</v>
      </c>
      <c r="F347">
        <v>9140123</v>
      </c>
      <c r="G347" t="s">
        <v>661</v>
      </c>
      <c r="H347" s="21">
        <v>1829.17</v>
      </c>
    </row>
    <row r="348" spans="1:8" customFormat="1" x14ac:dyDescent="0.25">
      <c r="A348" t="str">
        <f>"361673"</f>
        <v>361673</v>
      </c>
      <c r="B348" t="s">
        <v>636</v>
      </c>
      <c r="C348" t="s">
        <v>65</v>
      </c>
      <c r="D348" s="21" t="s">
        <v>34</v>
      </c>
      <c r="E348" s="21" t="s">
        <v>35</v>
      </c>
      <c r="F348">
        <v>4360454</v>
      </c>
      <c r="G348" t="s">
        <v>637</v>
      </c>
      <c r="H348" s="21">
        <v>1828.17</v>
      </c>
    </row>
    <row r="349" spans="1:8" customFormat="1" x14ac:dyDescent="0.25">
      <c r="A349" t="str">
        <f>"494435"</f>
        <v>494435</v>
      </c>
      <c r="B349" t="s">
        <v>675</v>
      </c>
      <c r="C349" t="s">
        <v>676</v>
      </c>
      <c r="D349" s="21" t="s">
        <v>34</v>
      </c>
      <c r="E349" s="21" t="s">
        <v>35</v>
      </c>
      <c r="F349">
        <v>12490124</v>
      </c>
      <c r="G349" t="s">
        <v>677</v>
      </c>
      <c r="H349" s="21">
        <v>1827.67</v>
      </c>
    </row>
    <row r="350" spans="1:8" customFormat="1" x14ac:dyDescent="0.25">
      <c r="A350" t="str">
        <f>"5912839"</f>
        <v>5912839</v>
      </c>
      <c r="B350" t="s">
        <v>26561</v>
      </c>
      <c r="C350" t="s">
        <v>3522</v>
      </c>
      <c r="D350" s="21" t="s">
        <v>34</v>
      </c>
      <c r="E350" s="21" t="s">
        <v>35</v>
      </c>
      <c r="F350">
        <v>11310047</v>
      </c>
      <c r="G350" t="s">
        <v>2188</v>
      </c>
      <c r="H350" s="21">
        <v>1827.67</v>
      </c>
    </row>
    <row r="351" spans="1:8" customFormat="1" x14ac:dyDescent="0.25">
      <c r="A351" t="str">
        <f>"94274"</f>
        <v>94274</v>
      </c>
      <c r="B351" t="s">
        <v>658</v>
      </c>
      <c r="C351" t="s">
        <v>198</v>
      </c>
      <c r="D351" s="21" t="s">
        <v>34</v>
      </c>
      <c r="E351" s="21" t="s">
        <v>71</v>
      </c>
      <c r="F351">
        <v>8940326</v>
      </c>
      <c r="G351" t="s">
        <v>659</v>
      </c>
      <c r="H351" s="21">
        <v>1827.54</v>
      </c>
    </row>
    <row r="352" spans="1:8" customFormat="1" x14ac:dyDescent="0.25">
      <c r="A352" t="str">
        <f>"111077"</f>
        <v>111077</v>
      </c>
      <c r="B352" t="s">
        <v>638</v>
      </c>
      <c r="C352" t="s">
        <v>639</v>
      </c>
      <c r="D352" s="21" t="s">
        <v>34</v>
      </c>
      <c r="E352" s="21" t="s">
        <v>71</v>
      </c>
      <c r="F352">
        <v>11110013</v>
      </c>
      <c r="G352" t="s">
        <v>640</v>
      </c>
      <c r="H352" s="21">
        <v>1827.42</v>
      </c>
    </row>
    <row r="353" spans="1:8" customFormat="1" x14ac:dyDescent="0.25">
      <c r="A353" t="str">
        <f>"252422"</f>
        <v>252422</v>
      </c>
      <c r="B353" t="s">
        <v>674</v>
      </c>
      <c r="C353" t="s">
        <v>611</v>
      </c>
      <c r="D353" s="21" t="s">
        <v>34</v>
      </c>
      <c r="E353" s="21" t="s">
        <v>35</v>
      </c>
      <c r="F353">
        <v>2250017</v>
      </c>
      <c r="G353" t="s">
        <v>521</v>
      </c>
      <c r="H353" s="21">
        <v>1826.55</v>
      </c>
    </row>
    <row r="354" spans="1:8" customFormat="1" x14ac:dyDescent="0.25">
      <c r="A354" t="str">
        <f>"511398"</f>
        <v>511398</v>
      </c>
      <c r="B354" t="s">
        <v>651</v>
      </c>
      <c r="C354" t="s">
        <v>119</v>
      </c>
      <c r="D354" s="21" t="s">
        <v>34</v>
      </c>
      <c r="E354" s="21" t="s">
        <v>35</v>
      </c>
      <c r="F354">
        <v>6080013</v>
      </c>
      <c r="G354" t="s">
        <v>1532</v>
      </c>
      <c r="H354" s="21">
        <v>1826.17</v>
      </c>
    </row>
    <row r="355" spans="1:8" customFormat="1" x14ac:dyDescent="0.25">
      <c r="A355" t="str">
        <f>"68695"</f>
        <v>68695</v>
      </c>
      <c r="B355" t="s">
        <v>643</v>
      </c>
      <c r="C355" t="s">
        <v>598</v>
      </c>
      <c r="D355" s="21" t="s">
        <v>34</v>
      </c>
      <c r="E355" s="21" t="s">
        <v>71</v>
      </c>
      <c r="F355">
        <v>6680004</v>
      </c>
      <c r="G355" t="s">
        <v>644</v>
      </c>
      <c r="H355" s="21">
        <v>1825.67</v>
      </c>
    </row>
    <row r="356" spans="1:8" customFormat="1" x14ac:dyDescent="0.25">
      <c r="A356" t="str">
        <f>"683975"</f>
        <v>683975</v>
      </c>
      <c r="B356" t="s">
        <v>679</v>
      </c>
      <c r="C356" t="s">
        <v>87</v>
      </c>
      <c r="D356" s="21" t="s">
        <v>34</v>
      </c>
      <c r="E356" s="21" t="s">
        <v>35</v>
      </c>
      <c r="F356">
        <v>6680059</v>
      </c>
      <c r="G356" t="s">
        <v>11282</v>
      </c>
      <c r="H356" s="21">
        <v>1825.67</v>
      </c>
    </row>
    <row r="357" spans="1:8" customFormat="1" x14ac:dyDescent="0.25">
      <c r="A357" t="str">
        <f>"3410205"</f>
        <v>3410205</v>
      </c>
      <c r="B357" t="s">
        <v>612</v>
      </c>
      <c r="C357" t="s">
        <v>169</v>
      </c>
      <c r="D357" s="21" t="s">
        <v>34</v>
      </c>
      <c r="E357" s="21" t="s">
        <v>35</v>
      </c>
      <c r="F357">
        <v>10330013</v>
      </c>
      <c r="G357" t="s">
        <v>613</v>
      </c>
      <c r="H357" s="21">
        <v>1825.17</v>
      </c>
    </row>
    <row r="358" spans="1:8" customFormat="1" x14ac:dyDescent="0.25">
      <c r="A358" t="str">
        <f>"941082"</f>
        <v>941082</v>
      </c>
      <c r="B358" t="s">
        <v>557</v>
      </c>
      <c r="C358" t="s">
        <v>209</v>
      </c>
      <c r="D358" s="21" t="s">
        <v>34</v>
      </c>
      <c r="E358" s="21" t="s">
        <v>35</v>
      </c>
      <c r="F358">
        <v>8940549</v>
      </c>
      <c r="G358" t="s">
        <v>454</v>
      </c>
      <c r="H358" s="21">
        <v>1824.67</v>
      </c>
    </row>
    <row r="359" spans="1:8" customFormat="1" x14ac:dyDescent="0.25">
      <c r="A359" t="str">
        <f>"68225"</f>
        <v>68225</v>
      </c>
      <c r="B359" t="s">
        <v>805</v>
      </c>
      <c r="C359" t="s">
        <v>412</v>
      </c>
      <c r="D359" s="21" t="s">
        <v>34</v>
      </c>
      <c r="E359" s="21" t="s">
        <v>71</v>
      </c>
      <c r="F359">
        <v>6680091</v>
      </c>
      <c r="G359" t="s">
        <v>693</v>
      </c>
      <c r="H359" s="21">
        <v>1824.17</v>
      </c>
    </row>
    <row r="360" spans="1:8" customFormat="1" x14ac:dyDescent="0.25">
      <c r="A360" t="str">
        <f>"5937345"</f>
        <v>5937345</v>
      </c>
      <c r="B360" t="s">
        <v>533</v>
      </c>
      <c r="C360" t="s">
        <v>534</v>
      </c>
      <c r="D360" s="21" t="s">
        <v>34</v>
      </c>
      <c r="E360" s="21" t="s">
        <v>35</v>
      </c>
      <c r="F360">
        <v>7590009</v>
      </c>
      <c r="G360" t="s">
        <v>535</v>
      </c>
      <c r="H360" s="21">
        <v>1823.42</v>
      </c>
    </row>
    <row r="361" spans="1:8" customFormat="1" x14ac:dyDescent="0.25">
      <c r="A361" t="str">
        <f>"792308"</f>
        <v>792308</v>
      </c>
      <c r="B361" t="s">
        <v>688</v>
      </c>
      <c r="C361" t="s">
        <v>87</v>
      </c>
      <c r="D361" s="21" t="s">
        <v>34</v>
      </c>
      <c r="E361" s="21" t="s">
        <v>35</v>
      </c>
      <c r="F361">
        <v>10790069</v>
      </c>
      <c r="G361" t="s">
        <v>689</v>
      </c>
      <c r="H361" s="21">
        <v>1822.67</v>
      </c>
    </row>
    <row r="362" spans="1:8" customFormat="1" x14ac:dyDescent="0.25">
      <c r="A362" t="str">
        <f>"382358"</f>
        <v>382358</v>
      </c>
      <c r="B362" t="s">
        <v>586</v>
      </c>
      <c r="C362" t="s">
        <v>62</v>
      </c>
      <c r="D362" s="21" t="s">
        <v>34</v>
      </c>
      <c r="E362" s="21" t="s">
        <v>35</v>
      </c>
      <c r="F362">
        <v>1380284</v>
      </c>
      <c r="G362" t="s">
        <v>300</v>
      </c>
      <c r="H362" s="21">
        <v>1821.67</v>
      </c>
    </row>
    <row r="363" spans="1:8" customFormat="1" x14ac:dyDescent="0.25">
      <c r="A363" t="str">
        <f>"914356"</f>
        <v>914356</v>
      </c>
      <c r="B363" t="s">
        <v>554</v>
      </c>
      <c r="C363" t="s">
        <v>198</v>
      </c>
      <c r="D363" s="21" t="s">
        <v>34</v>
      </c>
      <c r="E363" s="21" t="s">
        <v>35</v>
      </c>
      <c r="F363">
        <v>8911323</v>
      </c>
      <c r="G363" t="s">
        <v>555</v>
      </c>
      <c r="H363" s="21">
        <v>1821.17</v>
      </c>
    </row>
    <row r="364" spans="1:8" customFormat="1" x14ac:dyDescent="0.25">
      <c r="A364" t="str">
        <f>"954299"</f>
        <v>954299</v>
      </c>
      <c r="B364" t="s">
        <v>943</v>
      </c>
      <c r="C364" t="s">
        <v>60</v>
      </c>
      <c r="D364" s="21" t="s">
        <v>34</v>
      </c>
      <c r="E364" s="21" t="s">
        <v>35</v>
      </c>
      <c r="F364">
        <v>8951261</v>
      </c>
      <c r="G364" t="s">
        <v>920</v>
      </c>
      <c r="H364" s="21">
        <v>1820.8</v>
      </c>
    </row>
    <row r="365" spans="1:8" customFormat="1" x14ac:dyDescent="0.25">
      <c r="A365" t="str">
        <f>"7713674"</f>
        <v>7713674</v>
      </c>
      <c r="B365" t="s">
        <v>558</v>
      </c>
      <c r="C365" t="s">
        <v>559</v>
      </c>
      <c r="D365" s="21" t="s">
        <v>34</v>
      </c>
      <c r="E365" s="21" t="s">
        <v>35</v>
      </c>
      <c r="F365">
        <v>8931358</v>
      </c>
      <c r="G365" t="s">
        <v>560</v>
      </c>
      <c r="H365" s="21">
        <v>1820.42</v>
      </c>
    </row>
    <row r="366" spans="1:8" customFormat="1" x14ac:dyDescent="0.25">
      <c r="A366" t="str">
        <f>"9222730"</f>
        <v>9222730</v>
      </c>
      <c r="B366" t="s">
        <v>12494</v>
      </c>
      <c r="C366" t="s">
        <v>8693</v>
      </c>
      <c r="D366" s="21" t="s">
        <v>34</v>
      </c>
      <c r="E366" s="21" t="s">
        <v>35</v>
      </c>
      <c r="F366">
        <v>10170005</v>
      </c>
      <c r="G366" t="s">
        <v>4290</v>
      </c>
      <c r="H366" s="21">
        <v>1820.17</v>
      </c>
    </row>
    <row r="367" spans="1:8" customFormat="1" x14ac:dyDescent="0.25">
      <c r="A367" t="str">
        <f>"3317971"</f>
        <v>3317971</v>
      </c>
      <c r="B367" t="s">
        <v>704</v>
      </c>
      <c r="C367" t="s">
        <v>209</v>
      </c>
      <c r="D367" s="21" t="s">
        <v>34</v>
      </c>
      <c r="E367" s="21" t="s">
        <v>254</v>
      </c>
      <c r="F367">
        <v>10330067</v>
      </c>
      <c r="G367" t="s">
        <v>125</v>
      </c>
      <c r="H367" s="21">
        <v>1817.67</v>
      </c>
    </row>
    <row r="368" spans="1:8" customFormat="1" x14ac:dyDescent="0.25">
      <c r="A368" t="str">
        <f>"37145"</f>
        <v>37145</v>
      </c>
      <c r="B368" t="s">
        <v>672</v>
      </c>
      <c r="C368" t="s">
        <v>62</v>
      </c>
      <c r="D368" s="21" t="s">
        <v>34</v>
      </c>
      <c r="E368" s="21" t="s">
        <v>35</v>
      </c>
      <c r="F368">
        <v>4370002</v>
      </c>
      <c r="G368" t="s">
        <v>112</v>
      </c>
      <c r="H368" s="21">
        <v>1817.67</v>
      </c>
    </row>
    <row r="369" spans="1:8" customFormat="1" x14ac:dyDescent="0.25">
      <c r="A369" t="str">
        <f>"765773"</f>
        <v>765773</v>
      </c>
      <c r="B369" t="s">
        <v>701</v>
      </c>
      <c r="C369" t="s">
        <v>428</v>
      </c>
      <c r="D369" s="21" t="s">
        <v>34</v>
      </c>
      <c r="E369" s="21" t="s">
        <v>35</v>
      </c>
      <c r="F369">
        <v>9760004</v>
      </c>
      <c r="G369" t="s">
        <v>56</v>
      </c>
      <c r="H369" s="21">
        <v>1817.67</v>
      </c>
    </row>
    <row r="370" spans="1:8" customFormat="1" x14ac:dyDescent="0.25">
      <c r="A370" t="str">
        <f>"364684"</f>
        <v>364684</v>
      </c>
      <c r="B370" t="s">
        <v>18975</v>
      </c>
      <c r="C370" t="s">
        <v>171</v>
      </c>
      <c r="D370" s="21" t="s">
        <v>34</v>
      </c>
      <c r="E370" s="21" t="s">
        <v>71</v>
      </c>
      <c r="F370">
        <v>4360454</v>
      </c>
      <c r="G370" t="s">
        <v>637</v>
      </c>
      <c r="H370" s="21">
        <v>1816.17</v>
      </c>
    </row>
    <row r="371" spans="1:8" customFormat="1" x14ac:dyDescent="0.25">
      <c r="A371" t="str">
        <f>"572228"</f>
        <v>572228</v>
      </c>
      <c r="B371" t="s">
        <v>463</v>
      </c>
      <c r="C371" t="s">
        <v>269</v>
      </c>
      <c r="D371" s="21" t="s">
        <v>34</v>
      </c>
      <c r="E371" s="21" t="s">
        <v>35</v>
      </c>
      <c r="F371">
        <v>6570015</v>
      </c>
      <c r="G371" t="s">
        <v>749</v>
      </c>
      <c r="H371" s="21">
        <v>1814.67</v>
      </c>
    </row>
    <row r="372" spans="1:8" customFormat="1" x14ac:dyDescent="0.25">
      <c r="A372" t="str">
        <f>"7714836"</f>
        <v>7714836</v>
      </c>
      <c r="B372" t="s">
        <v>843</v>
      </c>
      <c r="C372" t="s">
        <v>323</v>
      </c>
      <c r="D372" s="21" t="s">
        <v>34</v>
      </c>
      <c r="E372" s="21" t="s">
        <v>71</v>
      </c>
      <c r="F372">
        <v>8771426</v>
      </c>
      <c r="G372" t="s">
        <v>844</v>
      </c>
      <c r="H372" s="21">
        <v>1814.29</v>
      </c>
    </row>
    <row r="373" spans="1:8" customFormat="1" x14ac:dyDescent="0.25">
      <c r="A373" t="str">
        <f>"67152"</f>
        <v>67152</v>
      </c>
      <c r="B373" t="s">
        <v>690</v>
      </c>
      <c r="C373" t="s">
        <v>209</v>
      </c>
      <c r="D373" s="21" t="s">
        <v>34</v>
      </c>
      <c r="E373" s="21" t="s">
        <v>71</v>
      </c>
      <c r="F373">
        <v>6670014</v>
      </c>
      <c r="G373" t="s">
        <v>4258</v>
      </c>
      <c r="H373" s="21">
        <v>1814.17</v>
      </c>
    </row>
    <row r="374" spans="1:8" customFormat="1" x14ac:dyDescent="0.25">
      <c r="A374" t="str">
        <f>"592013"</f>
        <v>592013</v>
      </c>
      <c r="B374" t="s">
        <v>694</v>
      </c>
      <c r="C374" t="s">
        <v>695</v>
      </c>
      <c r="D374" s="21" t="s">
        <v>34</v>
      </c>
      <c r="E374" s="21" t="s">
        <v>35</v>
      </c>
      <c r="F374">
        <v>7590204</v>
      </c>
      <c r="G374" t="s">
        <v>696</v>
      </c>
      <c r="H374" s="21">
        <v>1813.67</v>
      </c>
    </row>
    <row r="375" spans="1:8" customFormat="1" x14ac:dyDescent="0.25">
      <c r="A375" t="str">
        <f>"945876"</f>
        <v>945876</v>
      </c>
      <c r="B375" t="s">
        <v>746</v>
      </c>
      <c r="C375" t="s">
        <v>62</v>
      </c>
      <c r="D375" s="21" t="s">
        <v>34</v>
      </c>
      <c r="E375" s="21" t="s">
        <v>35</v>
      </c>
      <c r="F375">
        <v>8940894</v>
      </c>
      <c r="G375" t="s">
        <v>481</v>
      </c>
      <c r="H375" s="21">
        <v>1813.17</v>
      </c>
    </row>
    <row r="376" spans="1:8" customFormat="1" x14ac:dyDescent="0.25">
      <c r="A376" t="str">
        <f>"758469"</f>
        <v>758469</v>
      </c>
      <c r="B376" t="s">
        <v>773</v>
      </c>
      <c r="C376" t="s">
        <v>774</v>
      </c>
      <c r="D376" s="21" t="s">
        <v>34</v>
      </c>
      <c r="E376" s="21" t="s">
        <v>35</v>
      </c>
      <c r="F376">
        <v>8750007</v>
      </c>
      <c r="G376" t="s">
        <v>775</v>
      </c>
      <c r="H376" s="21">
        <v>1812.67</v>
      </c>
    </row>
    <row r="377" spans="1:8" customFormat="1" x14ac:dyDescent="0.25">
      <c r="A377" t="str">
        <f>"703966"</f>
        <v>703966</v>
      </c>
      <c r="B377" t="s">
        <v>1056</v>
      </c>
      <c r="C377" t="s">
        <v>825</v>
      </c>
      <c r="D377" s="21" t="s">
        <v>34</v>
      </c>
      <c r="E377" s="21" t="s">
        <v>71</v>
      </c>
      <c r="F377">
        <v>2700002</v>
      </c>
      <c r="G377" t="s">
        <v>953</v>
      </c>
      <c r="H377" s="21">
        <v>1812.67</v>
      </c>
    </row>
    <row r="378" spans="1:8" customFormat="1" x14ac:dyDescent="0.25">
      <c r="A378" t="str">
        <f>"9F1585"</f>
        <v>9F1585</v>
      </c>
      <c r="B378" t="s">
        <v>12377</v>
      </c>
      <c r="C378" t="s">
        <v>169</v>
      </c>
      <c r="D378" s="21" t="s">
        <v>34</v>
      </c>
      <c r="E378" s="21" t="s">
        <v>35</v>
      </c>
      <c r="F378" t="s">
        <v>2591</v>
      </c>
      <c r="G378" t="s">
        <v>2592</v>
      </c>
      <c r="H378" s="21">
        <v>1811.17</v>
      </c>
    </row>
    <row r="379" spans="1:8" customFormat="1" x14ac:dyDescent="0.25">
      <c r="A379" t="str">
        <f>"291378"</f>
        <v>291378</v>
      </c>
      <c r="B379" t="s">
        <v>736</v>
      </c>
      <c r="C379" t="s">
        <v>55</v>
      </c>
      <c r="D379" s="21" t="s">
        <v>34</v>
      </c>
      <c r="E379" s="21" t="s">
        <v>71</v>
      </c>
      <c r="F379">
        <v>3220033</v>
      </c>
      <c r="G379" t="s">
        <v>657</v>
      </c>
      <c r="H379" s="21">
        <v>1810.92</v>
      </c>
    </row>
    <row r="380" spans="1:8" customFormat="1" x14ac:dyDescent="0.25">
      <c r="A380" t="str">
        <f>"695856"</f>
        <v>695856</v>
      </c>
      <c r="B380" t="s">
        <v>646</v>
      </c>
      <c r="C380" t="s">
        <v>65</v>
      </c>
      <c r="D380" s="21" t="s">
        <v>34</v>
      </c>
      <c r="E380" s="21" t="s">
        <v>35</v>
      </c>
      <c r="F380">
        <v>1690023</v>
      </c>
      <c r="G380" t="s">
        <v>647</v>
      </c>
      <c r="H380" s="21">
        <v>1808.17</v>
      </c>
    </row>
    <row r="381" spans="1:8" customFormat="1" x14ac:dyDescent="0.25">
      <c r="A381" t="str">
        <f>"6265"</f>
        <v>6265</v>
      </c>
      <c r="B381" t="s">
        <v>113</v>
      </c>
      <c r="C381" t="s">
        <v>58</v>
      </c>
      <c r="D381" s="21" t="s">
        <v>34</v>
      </c>
      <c r="E381" s="21" t="s">
        <v>35</v>
      </c>
      <c r="F381">
        <v>7620088</v>
      </c>
      <c r="G381" t="s">
        <v>3342</v>
      </c>
      <c r="H381" s="21">
        <v>1808.17</v>
      </c>
    </row>
    <row r="382" spans="1:8" customFormat="1" x14ac:dyDescent="0.25">
      <c r="A382" t="str">
        <f>"544795"</f>
        <v>544795</v>
      </c>
      <c r="B382" t="s">
        <v>769</v>
      </c>
      <c r="C382" t="s">
        <v>656</v>
      </c>
      <c r="D382" s="21" t="s">
        <v>34</v>
      </c>
      <c r="E382" s="21" t="s">
        <v>71</v>
      </c>
      <c r="F382">
        <v>6540032</v>
      </c>
      <c r="G382" t="s">
        <v>63</v>
      </c>
      <c r="H382" s="21">
        <v>1807.67</v>
      </c>
    </row>
    <row r="383" spans="1:8" customFormat="1" x14ac:dyDescent="0.25">
      <c r="A383" t="str">
        <f>"363914"</f>
        <v>363914</v>
      </c>
      <c r="B383" t="s">
        <v>26562</v>
      </c>
      <c r="C383" t="s">
        <v>328</v>
      </c>
      <c r="D383" s="21" t="s">
        <v>34</v>
      </c>
      <c r="E383" s="21" t="s">
        <v>35</v>
      </c>
      <c r="F383">
        <v>4410612</v>
      </c>
      <c r="G383" t="s">
        <v>815</v>
      </c>
      <c r="H383" s="21">
        <v>1807.42</v>
      </c>
    </row>
    <row r="384" spans="1:8" customFormat="1" x14ac:dyDescent="0.25">
      <c r="A384" t="str">
        <f>"80482"</f>
        <v>80482</v>
      </c>
      <c r="B384" t="s">
        <v>747</v>
      </c>
      <c r="C384" t="s">
        <v>269</v>
      </c>
      <c r="D384" s="21" t="s">
        <v>34</v>
      </c>
      <c r="E384" s="21" t="s">
        <v>71</v>
      </c>
      <c r="F384">
        <v>7800004</v>
      </c>
      <c r="G384" t="s">
        <v>748</v>
      </c>
      <c r="H384" s="21">
        <v>1806.17</v>
      </c>
    </row>
    <row r="385" spans="1:8" customFormat="1" x14ac:dyDescent="0.25">
      <c r="A385" t="str">
        <f>"7511071"</f>
        <v>7511071</v>
      </c>
      <c r="B385" t="s">
        <v>796</v>
      </c>
      <c r="C385" t="s">
        <v>60</v>
      </c>
      <c r="D385" s="21" t="s">
        <v>34</v>
      </c>
      <c r="E385" s="21" t="s">
        <v>35</v>
      </c>
      <c r="F385">
        <v>9270151</v>
      </c>
      <c r="G385" t="s">
        <v>626</v>
      </c>
      <c r="H385" s="21">
        <v>1805.18</v>
      </c>
    </row>
    <row r="386" spans="1:8" customFormat="1" x14ac:dyDescent="0.25">
      <c r="A386" t="str">
        <f>"9412795"</f>
        <v>9412795</v>
      </c>
      <c r="B386" t="s">
        <v>755</v>
      </c>
      <c r="C386" t="s">
        <v>611</v>
      </c>
      <c r="D386" s="21" t="s">
        <v>34</v>
      </c>
      <c r="E386" s="21" t="s">
        <v>35</v>
      </c>
      <c r="F386">
        <v>9140052</v>
      </c>
      <c r="G386" t="s">
        <v>26563</v>
      </c>
      <c r="H386" s="21">
        <v>1805.17</v>
      </c>
    </row>
    <row r="387" spans="1:8" customFormat="1" x14ac:dyDescent="0.25">
      <c r="A387" t="str">
        <f>"788686"</f>
        <v>788686</v>
      </c>
      <c r="B387" t="s">
        <v>1000</v>
      </c>
      <c r="C387" t="s">
        <v>109</v>
      </c>
      <c r="D387" s="21" t="s">
        <v>34</v>
      </c>
      <c r="E387" s="21" t="s">
        <v>35</v>
      </c>
      <c r="F387">
        <v>8770169</v>
      </c>
      <c r="G387" t="s">
        <v>1001</v>
      </c>
      <c r="H387" s="21">
        <v>1804.67</v>
      </c>
    </row>
    <row r="388" spans="1:8" customFormat="1" x14ac:dyDescent="0.25">
      <c r="A388" t="str">
        <f>"021755"</f>
        <v>021755</v>
      </c>
      <c r="B388" t="s">
        <v>974</v>
      </c>
      <c r="C388" t="s">
        <v>169</v>
      </c>
      <c r="D388" s="21" t="s">
        <v>34</v>
      </c>
      <c r="E388" s="21" t="s">
        <v>35</v>
      </c>
      <c r="F388">
        <v>7020031</v>
      </c>
      <c r="G388" t="s">
        <v>828</v>
      </c>
      <c r="H388" s="21">
        <v>1803.17</v>
      </c>
    </row>
    <row r="389" spans="1:8" customFormat="1" x14ac:dyDescent="0.25">
      <c r="A389" t="str">
        <f>"7827067"</f>
        <v>7827067</v>
      </c>
      <c r="B389" t="s">
        <v>687</v>
      </c>
      <c r="C389" t="s">
        <v>174</v>
      </c>
      <c r="D389" s="21" t="s">
        <v>34</v>
      </c>
      <c r="E389" s="21" t="s">
        <v>35</v>
      </c>
      <c r="F389">
        <v>11310121</v>
      </c>
      <c r="G389" t="s">
        <v>578</v>
      </c>
      <c r="H389" s="21">
        <v>1802.67</v>
      </c>
    </row>
    <row r="390" spans="1:8" customFormat="1" x14ac:dyDescent="0.25">
      <c r="A390" t="str">
        <f>"296646"</f>
        <v>296646</v>
      </c>
      <c r="B390" t="s">
        <v>572</v>
      </c>
      <c r="C390" t="s">
        <v>119</v>
      </c>
      <c r="D390" s="21" t="s">
        <v>34</v>
      </c>
      <c r="E390" s="21" t="s">
        <v>35</v>
      </c>
      <c r="F390">
        <v>3290244</v>
      </c>
      <c r="G390" t="s">
        <v>573</v>
      </c>
      <c r="H390" s="21">
        <v>1802.42</v>
      </c>
    </row>
    <row r="391" spans="1:8" customFormat="1" x14ac:dyDescent="0.25">
      <c r="A391" t="str">
        <f>"595410"</f>
        <v>595410</v>
      </c>
      <c r="B391" t="s">
        <v>804</v>
      </c>
      <c r="C391" t="s">
        <v>60</v>
      </c>
      <c r="D391" s="21" t="s">
        <v>34</v>
      </c>
      <c r="E391" s="21" t="s">
        <v>35</v>
      </c>
      <c r="F391">
        <v>7590231</v>
      </c>
      <c r="G391" t="s">
        <v>207</v>
      </c>
      <c r="H391" s="21">
        <v>1801.17</v>
      </c>
    </row>
    <row r="392" spans="1:8" customFormat="1" x14ac:dyDescent="0.25">
      <c r="A392" t="str">
        <f>"542124"</f>
        <v>542124</v>
      </c>
      <c r="B392" t="s">
        <v>849</v>
      </c>
      <c r="C392" t="s">
        <v>249</v>
      </c>
      <c r="D392" s="21" t="s">
        <v>34</v>
      </c>
      <c r="E392" s="21" t="s">
        <v>71</v>
      </c>
      <c r="F392">
        <v>6540032</v>
      </c>
      <c r="G392" t="s">
        <v>63</v>
      </c>
      <c r="H392" s="21">
        <v>1801.05</v>
      </c>
    </row>
    <row r="393" spans="1:8" customFormat="1" x14ac:dyDescent="0.25">
      <c r="A393" t="str">
        <f>"611705"</f>
        <v>611705</v>
      </c>
      <c r="B393" t="s">
        <v>146</v>
      </c>
      <c r="C393" t="s">
        <v>763</v>
      </c>
      <c r="D393" s="21" t="s">
        <v>34</v>
      </c>
      <c r="E393" s="21" t="s">
        <v>35</v>
      </c>
      <c r="F393">
        <v>9610002</v>
      </c>
      <c r="G393" t="s">
        <v>75</v>
      </c>
      <c r="H393" s="21">
        <v>1800.17</v>
      </c>
    </row>
    <row r="394" spans="1:8" customFormat="1" x14ac:dyDescent="0.25">
      <c r="A394" t="str">
        <f>"121677"</f>
        <v>121677</v>
      </c>
      <c r="B394" t="s">
        <v>764</v>
      </c>
      <c r="C394" t="s">
        <v>328</v>
      </c>
      <c r="D394" s="21" t="s">
        <v>34</v>
      </c>
      <c r="E394" s="21" t="s">
        <v>35</v>
      </c>
      <c r="F394">
        <v>11310006</v>
      </c>
      <c r="G394" t="s">
        <v>419</v>
      </c>
      <c r="H394" s="21">
        <v>1800.17</v>
      </c>
    </row>
    <row r="395" spans="1:8" customFormat="1" x14ac:dyDescent="0.25">
      <c r="A395" t="str">
        <f>"2210263"</f>
        <v>2210263</v>
      </c>
      <c r="B395" t="s">
        <v>740</v>
      </c>
      <c r="C395" t="s">
        <v>741</v>
      </c>
      <c r="D395" s="21" t="s">
        <v>34</v>
      </c>
      <c r="E395" s="21" t="s">
        <v>35</v>
      </c>
      <c r="F395">
        <v>3350014</v>
      </c>
      <c r="G395" t="s">
        <v>1078</v>
      </c>
      <c r="H395" s="21">
        <v>1800.17</v>
      </c>
    </row>
    <row r="396" spans="1:8" customFormat="1" x14ac:dyDescent="0.25">
      <c r="A396" t="str">
        <f>"757598"</f>
        <v>757598</v>
      </c>
      <c r="B396" t="s">
        <v>716</v>
      </c>
      <c r="C396" t="s">
        <v>717</v>
      </c>
      <c r="D396" s="21" t="s">
        <v>34</v>
      </c>
      <c r="E396" s="21" t="s">
        <v>71</v>
      </c>
      <c r="F396">
        <v>8750074</v>
      </c>
      <c r="G396" t="s">
        <v>698</v>
      </c>
      <c r="H396" s="21">
        <v>1799.67</v>
      </c>
    </row>
    <row r="397" spans="1:8" customFormat="1" x14ac:dyDescent="0.25">
      <c r="A397" t="str">
        <f>"679339"</f>
        <v>679339</v>
      </c>
      <c r="B397" t="s">
        <v>603</v>
      </c>
      <c r="C397" t="s">
        <v>604</v>
      </c>
      <c r="D397" s="21" t="s">
        <v>34</v>
      </c>
      <c r="E397" s="21" t="s">
        <v>71</v>
      </c>
      <c r="F397">
        <v>6670202</v>
      </c>
      <c r="G397" t="s">
        <v>605</v>
      </c>
      <c r="H397" s="21">
        <v>1799.17</v>
      </c>
    </row>
    <row r="398" spans="1:8" customFormat="1" x14ac:dyDescent="0.25">
      <c r="A398" t="str">
        <f>"7710057"</f>
        <v>7710057</v>
      </c>
      <c r="B398" t="s">
        <v>802</v>
      </c>
      <c r="C398" t="s">
        <v>62</v>
      </c>
      <c r="D398" s="21" t="s">
        <v>34</v>
      </c>
      <c r="E398" s="21" t="s">
        <v>35</v>
      </c>
      <c r="F398">
        <v>8771184</v>
      </c>
      <c r="G398" t="s">
        <v>137</v>
      </c>
      <c r="H398" s="21">
        <v>1799.17</v>
      </c>
    </row>
    <row r="399" spans="1:8" customFormat="1" x14ac:dyDescent="0.25">
      <c r="A399" t="str">
        <f>"422178"</f>
        <v>422178</v>
      </c>
      <c r="B399" t="s">
        <v>744</v>
      </c>
      <c r="C399" t="s">
        <v>285</v>
      </c>
      <c r="D399" s="21" t="s">
        <v>34</v>
      </c>
      <c r="E399" s="21" t="s">
        <v>35</v>
      </c>
      <c r="F399">
        <v>1420048</v>
      </c>
      <c r="G399" t="s">
        <v>745</v>
      </c>
      <c r="H399" s="21">
        <v>1798.67</v>
      </c>
    </row>
    <row r="400" spans="1:8" customFormat="1" x14ac:dyDescent="0.25">
      <c r="A400" t="str">
        <f>"292271"</f>
        <v>292271</v>
      </c>
      <c r="B400" t="s">
        <v>546</v>
      </c>
      <c r="C400" t="s">
        <v>547</v>
      </c>
      <c r="D400" s="21" t="s">
        <v>34</v>
      </c>
      <c r="E400" s="21" t="s">
        <v>35</v>
      </c>
      <c r="F400">
        <v>3290229</v>
      </c>
      <c r="G400" t="s">
        <v>408</v>
      </c>
      <c r="H400" s="21">
        <v>1798.67</v>
      </c>
    </row>
    <row r="401" spans="1:8" customFormat="1" x14ac:dyDescent="0.25">
      <c r="A401" t="str">
        <f>"4428010"</f>
        <v>4428010</v>
      </c>
      <c r="B401" t="s">
        <v>616</v>
      </c>
      <c r="C401" t="s">
        <v>269</v>
      </c>
      <c r="D401" s="21" t="s">
        <v>34</v>
      </c>
      <c r="E401" s="21" t="s">
        <v>35</v>
      </c>
      <c r="F401">
        <v>12440081</v>
      </c>
      <c r="G401" t="s">
        <v>617</v>
      </c>
      <c r="H401" s="21">
        <v>1797.67</v>
      </c>
    </row>
    <row r="402" spans="1:8" customFormat="1" x14ac:dyDescent="0.25">
      <c r="A402" t="str">
        <f>"543869"</f>
        <v>543869</v>
      </c>
      <c r="B402" t="s">
        <v>726</v>
      </c>
      <c r="C402" t="s">
        <v>455</v>
      </c>
      <c r="D402" s="21" t="s">
        <v>34</v>
      </c>
      <c r="E402" s="21" t="s">
        <v>35</v>
      </c>
      <c r="F402">
        <v>6570190</v>
      </c>
      <c r="G402" t="s">
        <v>622</v>
      </c>
      <c r="H402" s="21">
        <v>1796.67</v>
      </c>
    </row>
    <row r="403" spans="1:8" customFormat="1" x14ac:dyDescent="0.25">
      <c r="A403" t="str">
        <f>"577330"</f>
        <v>577330</v>
      </c>
      <c r="B403" t="s">
        <v>26564</v>
      </c>
      <c r="C403" t="s">
        <v>33</v>
      </c>
      <c r="D403" s="21" t="s">
        <v>34</v>
      </c>
      <c r="E403" s="21" t="s">
        <v>35</v>
      </c>
      <c r="F403">
        <v>6670260</v>
      </c>
      <c r="G403" t="s">
        <v>1202</v>
      </c>
      <c r="H403" s="21">
        <v>1796.67</v>
      </c>
    </row>
    <row r="404" spans="1:8" customFormat="1" x14ac:dyDescent="0.25">
      <c r="A404" t="str">
        <f>"5916602"</f>
        <v>5916602</v>
      </c>
      <c r="B404" t="s">
        <v>158</v>
      </c>
      <c r="C404" t="s">
        <v>62</v>
      </c>
      <c r="D404" s="21" t="s">
        <v>34</v>
      </c>
      <c r="E404" s="21" t="s">
        <v>35</v>
      </c>
      <c r="F404">
        <v>7590231</v>
      </c>
      <c r="G404" t="s">
        <v>207</v>
      </c>
      <c r="H404" s="21">
        <v>1794.17</v>
      </c>
    </row>
    <row r="405" spans="1:8" customFormat="1" x14ac:dyDescent="0.25">
      <c r="A405" t="str">
        <f>"44336"</f>
        <v>44336</v>
      </c>
      <c r="B405" t="s">
        <v>806</v>
      </c>
      <c r="C405" t="s">
        <v>202</v>
      </c>
      <c r="D405" s="21" t="s">
        <v>34</v>
      </c>
      <c r="E405" s="21" t="s">
        <v>71</v>
      </c>
      <c r="F405">
        <v>12440012</v>
      </c>
      <c r="G405" t="s">
        <v>807</v>
      </c>
      <c r="H405" s="21">
        <v>1794.17</v>
      </c>
    </row>
    <row r="406" spans="1:8" customFormat="1" x14ac:dyDescent="0.25">
      <c r="A406" t="str">
        <f>"2921310"</f>
        <v>2921310</v>
      </c>
      <c r="B406" t="s">
        <v>770</v>
      </c>
      <c r="C406" t="s">
        <v>209</v>
      </c>
      <c r="D406" s="21" t="s">
        <v>34</v>
      </c>
      <c r="E406" s="21" t="s">
        <v>71</v>
      </c>
      <c r="F406">
        <v>3290052</v>
      </c>
      <c r="G406" t="s">
        <v>270</v>
      </c>
      <c r="H406" s="21">
        <v>1793.67</v>
      </c>
    </row>
    <row r="407" spans="1:8" customFormat="1" x14ac:dyDescent="0.25">
      <c r="A407" t="str">
        <f>"944823"</f>
        <v>944823</v>
      </c>
      <c r="B407" t="s">
        <v>765</v>
      </c>
      <c r="C407" t="s">
        <v>119</v>
      </c>
      <c r="D407" s="21" t="s">
        <v>34</v>
      </c>
      <c r="E407" s="21" t="s">
        <v>71</v>
      </c>
      <c r="F407">
        <v>12490027</v>
      </c>
      <c r="G407" t="s">
        <v>766</v>
      </c>
      <c r="H407" s="21">
        <v>1793.17</v>
      </c>
    </row>
    <row r="408" spans="1:8" customFormat="1" x14ac:dyDescent="0.25">
      <c r="A408" t="str">
        <f>"9419833"</f>
        <v>9419833</v>
      </c>
      <c r="B408" t="s">
        <v>875</v>
      </c>
      <c r="C408" t="s">
        <v>876</v>
      </c>
      <c r="D408" s="21" t="s">
        <v>34</v>
      </c>
      <c r="E408" s="21" t="s">
        <v>35</v>
      </c>
      <c r="F408">
        <v>8940326</v>
      </c>
      <c r="G408" t="s">
        <v>659</v>
      </c>
      <c r="H408" s="21">
        <v>1793.17</v>
      </c>
    </row>
    <row r="409" spans="1:8" customFormat="1" x14ac:dyDescent="0.25">
      <c r="A409" t="str">
        <f>"687795"</f>
        <v>687795</v>
      </c>
      <c r="B409" t="s">
        <v>788</v>
      </c>
      <c r="C409" t="s">
        <v>598</v>
      </c>
      <c r="D409" s="21" t="s">
        <v>34</v>
      </c>
      <c r="E409" s="21" t="s">
        <v>35</v>
      </c>
      <c r="F409">
        <v>1690052</v>
      </c>
      <c r="G409" t="s">
        <v>273</v>
      </c>
      <c r="H409" s="21">
        <v>1792.67</v>
      </c>
    </row>
    <row r="410" spans="1:8" customFormat="1" x14ac:dyDescent="0.25">
      <c r="A410" t="str">
        <f>"5933903"</f>
        <v>5933903</v>
      </c>
      <c r="B410" t="s">
        <v>762</v>
      </c>
      <c r="C410" t="s">
        <v>33</v>
      </c>
      <c r="D410" s="21" t="s">
        <v>34</v>
      </c>
      <c r="E410" s="21" t="s">
        <v>35</v>
      </c>
      <c r="F410">
        <v>7620054</v>
      </c>
      <c r="G410" t="s">
        <v>1677</v>
      </c>
      <c r="H410" s="21">
        <v>1792.67</v>
      </c>
    </row>
    <row r="411" spans="1:8" customFormat="1" x14ac:dyDescent="0.25">
      <c r="A411" t="str">
        <f>"7823905"</f>
        <v>7823905</v>
      </c>
      <c r="B411" t="s">
        <v>759</v>
      </c>
      <c r="C411" t="s">
        <v>43</v>
      </c>
      <c r="D411" s="21" t="s">
        <v>34</v>
      </c>
      <c r="E411" s="21" t="s">
        <v>35</v>
      </c>
      <c r="F411">
        <v>8770237</v>
      </c>
      <c r="G411" t="s">
        <v>128</v>
      </c>
      <c r="H411" s="21">
        <v>1791.67</v>
      </c>
    </row>
    <row r="412" spans="1:8" customFormat="1" x14ac:dyDescent="0.25">
      <c r="A412" t="str">
        <f>"715919"</f>
        <v>715919</v>
      </c>
      <c r="B412" t="s">
        <v>301</v>
      </c>
      <c r="C412" t="s">
        <v>708</v>
      </c>
      <c r="D412" s="21" t="s">
        <v>34</v>
      </c>
      <c r="E412" s="21" t="s">
        <v>254</v>
      </c>
      <c r="F412">
        <v>9760168</v>
      </c>
      <c r="G412" t="s">
        <v>179</v>
      </c>
      <c r="H412" s="21">
        <v>1791.67</v>
      </c>
    </row>
    <row r="413" spans="1:8" customFormat="1" x14ac:dyDescent="0.25">
      <c r="A413" t="str">
        <f>"57177"</f>
        <v>57177</v>
      </c>
      <c r="B413" t="s">
        <v>791</v>
      </c>
      <c r="C413" t="s">
        <v>114</v>
      </c>
      <c r="D413" s="21" t="s">
        <v>34</v>
      </c>
      <c r="E413" s="21" t="s">
        <v>71</v>
      </c>
      <c r="F413">
        <v>6570014</v>
      </c>
      <c r="G413" t="s">
        <v>72</v>
      </c>
      <c r="H413" s="21">
        <v>1789.42</v>
      </c>
    </row>
    <row r="414" spans="1:8" customFormat="1" x14ac:dyDescent="0.25">
      <c r="A414" t="str">
        <f>"933973"</f>
        <v>933973</v>
      </c>
      <c r="B414" t="s">
        <v>17530</v>
      </c>
      <c r="C414" t="s">
        <v>1025</v>
      </c>
      <c r="D414" s="21" t="s">
        <v>34</v>
      </c>
      <c r="E414" s="21" t="s">
        <v>35</v>
      </c>
      <c r="F414">
        <v>8930024</v>
      </c>
      <c r="G414" t="s">
        <v>44</v>
      </c>
      <c r="H414" s="21">
        <v>1789</v>
      </c>
    </row>
    <row r="415" spans="1:8" customFormat="1" x14ac:dyDescent="0.25">
      <c r="A415" t="str">
        <f>"223271"</f>
        <v>223271</v>
      </c>
      <c r="B415" t="s">
        <v>686</v>
      </c>
      <c r="C415" t="s">
        <v>33</v>
      </c>
      <c r="D415" s="21" t="s">
        <v>34</v>
      </c>
      <c r="E415" s="21" t="s">
        <v>35</v>
      </c>
      <c r="F415">
        <v>3220064</v>
      </c>
      <c r="G415" t="s">
        <v>26559</v>
      </c>
      <c r="H415" s="21">
        <v>1788.67</v>
      </c>
    </row>
    <row r="416" spans="1:8" customFormat="1" x14ac:dyDescent="0.25">
      <c r="A416" t="str">
        <f>"458110"</f>
        <v>458110</v>
      </c>
      <c r="B416" t="s">
        <v>733</v>
      </c>
      <c r="C416" t="s">
        <v>40</v>
      </c>
      <c r="D416" s="21" t="s">
        <v>34</v>
      </c>
      <c r="E416" s="21" t="s">
        <v>254</v>
      </c>
      <c r="F416">
        <v>4450571</v>
      </c>
      <c r="G416" t="s">
        <v>188</v>
      </c>
      <c r="H416" s="21">
        <v>1787.17</v>
      </c>
    </row>
    <row r="417" spans="1:8" customFormat="1" x14ac:dyDescent="0.25">
      <c r="A417" t="str">
        <f>"2713058"</f>
        <v>2713058</v>
      </c>
      <c r="B417" t="s">
        <v>727</v>
      </c>
      <c r="C417" t="s">
        <v>288</v>
      </c>
      <c r="D417" s="21" t="s">
        <v>34</v>
      </c>
      <c r="E417" s="21" t="s">
        <v>35</v>
      </c>
      <c r="F417">
        <v>9270063</v>
      </c>
      <c r="G417" t="s">
        <v>808</v>
      </c>
      <c r="H417" s="21">
        <v>1787.17</v>
      </c>
    </row>
    <row r="418" spans="1:8" customFormat="1" x14ac:dyDescent="0.25">
      <c r="A418" t="str">
        <f>"4210079"</f>
        <v>4210079</v>
      </c>
      <c r="B418" t="s">
        <v>816</v>
      </c>
      <c r="C418" t="s">
        <v>817</v>
      </c>
      <c r="D418" s="21" t="s">
        <v>34</v>
      </c>
      <c r="E418" s="21" t="s">
        <v>35</v>
      </c>
      <c r="F418">
        <v>1420149</v>
      </c>
      <c r="G418" t="s">
        <v>818</v>
      </c>
      <c r="H418" s="21">
        <v>1786.42</v>
      </c>
    </row>
    <row r="419" spans="1:8" customFormat="1" x14ac:dyDescent="0.25">
      <c r="A419" t="str">
        <f>"111503"</f>
        <v>111503</v>
      </c>
      <c r="B419" t="s">
        <v>711</v>
      </c>
      <c r="C419" t="s">
        <v>712</v>
      </c>
      <c r="D419" s="21" t="s">
        <v>34</v>
      </c>
      <c r="E419" s="21" t="s">
        <v>35</v>
      </c>
      <c r="F419">
        <v>11110027</v>
      </c>
      <c r="G419" t="s">
        <v>713</v>
      </c>
      <c r="H419" s="21">
        <v>1786.17</v>
      </c>
    </row>
    <row r="420" spans="1:8" customFormat="1" x14ac:dyDescent="0.25">
      <c r="A420" t="str">
        <f>"518267"</f>
        <v>518267</v>
      </c>
      <c r="B420" t="s">
        <v>650</v>
      </c>
      <c r="C420" t="s">
        <v>40</v>
      </c>
      <c r="D420" s="21" t="s">
        <v>34</v>
      </c>
      <c r="E420" s="21" t="s">
        <v>35</v>
      </c>
      <c r="F420">
        <v>6510077</v>
      </c>
      <c r="G420" t="s">
        <v>756</v>
      </c>
      <c r="H420" s="21">
        <v>1785.67</v>
      </c>
    </row>
    <row r="421" spans="1:8" customFormat="1" x14ac:dyDescent="0.25">
      <c r="A421" t="str">
        <f>"50140"</f>
        <v>50140</v>
      </c>
      <c r="B421" t="s">
        <v>663</v>
      </c>
      <c r="C421" t="s">
        <v>664</v>
      </c>
      <c r="D421" s="21" t="s">
        <v>34</v>
      </c>
      <c r="E421" s="21" t="s">
        <v>254</v>
      </c>
      <c r="F421">
        <v>9500025</v>
      </c>
      <c r="G421" t="s">
        <v>665</v>
      </c>
      <c r="H421" s="21">
        <v>1785.42</v>
      </c>
    </row>
    <row r="422" spans="1:8" customFormat="1" x14ac:dyDescent="0.25">
      <c r="A422" t="str">
        <f>"9247849"</f>
        <v>9247849</v>
      </c>
      <c r="B422" t="s">
        <v>1280</v>
      </c>
      <c r="C422" t="s">
        <v>1104</v>
      </c>
      <c r="D422" s="21" t="s">
        <v>34</v>
      </c>
      <c r="E422" s="21" t="s">
        <v>35</v>
      </c>
      <c r="F422">
        <v>8920018</v>
      </c>
      <c r="G422" t="s">
        <v>1281</v>
      </c>
      <c r="H422" s="21">
        <v>1784.43</v>
      </c>
    </row>
    <row r="423" spans="1:8" customFormat="1" x14ac:dyDescent="0.25">
      <c r="A423" t="str">
        <f>"511486"</f>
        <v>511486</v>
      </c>
      <c r="B423" t="s">
        <v>26565</v>
      </c>
      <c r="C423" t="s">
        <v>302</v>
      </c>
      <c r="D423" s="21" t="s">
        <v>34</v>
      </c>
      <c r="E423" s="21" t="s">
        <v>35</v>
      </c>
      <c r="F423">
        <v>6080013</v>
      </c>
      <c r="G423" t="s">
        <v>1532</v>
      </c>
      <c r="H423" s="21">
        <v>1784.17</v>
      </c>
    </row>
    <row r="424" spans="1:8" customFormat="1" x14ac:dyDescent="0.25">
      <c r="A424" t="str">
        <f>"51970"</f>
        <v>51970</v>
      </c>
      <c r="B424" t="s">
        <v>691</v>
      </c>
      <c r="C424" t="s">
        <v>65</v>
      </c>
      <c r="D424" s="21" t="s">
        <v>34</v>
      </c>
      <c r="E424" s="21" t="s">
        <v>35</v>
      </c>
      <c r="F424">
        <v>6510001</v>
      </c>
      <c r="G424" t="s">
        <v>286</v>
      </c>
      <c r="H424" s="21">
        <v>1783.67</v>
      </c>
    </row>
    <row r="425" spans="1:8" customFormat="1" x14ac:dyDescent="0.25">
      <c r="A425" t="str">
        <f>"142044"</f>
        <v>142044</v>
      </c>
      <c r="B425" t="s">
        <v>662</v>
      </c>
      <c r="C425" t="s">
        <v>204</v>
      </c>
      <c r="D425" s="21" t="s">
        <v>34</v>
      </c>
      <c r="E425" s="21" t="s">
        <v>35</v>
      </c>
      <c r="F425">
        <v>9140123</v>
      </c>
      <c r="G425" t="s">
        <v>661</v>
      </c>
      <c r="H425" s="21">
        <v>1783.17</v>
      </c>
    </row>
    <row r="426" spans="1:8" customFormat="1" x14ac:dyDescent="0.25">
      <c r="A426" t="str">
        <f>"312973"</f>
        <v>312973</v>
      </c>
      <c r="B426" t="s">
        <v>1052</v>
      </c>
      <c r="C426" t="s">
        <v>598</v>
      </c>
      <c r="D426" s="21" t="s">
        <v>34</v>
      </c>
      <c r="E426" s="21" t="s">
        <v>35</v>
      </c>
      <c r="F426">
        <v>11310098</v>
      </c>
      <c r="G426" t="s">
        <v>371</v>
      </c>
      <c r="H426" s="21">
        <v>1781.67</v>
      </c>
    </row>
    <row r="427" spans="1:8" customFormat="1" x14ac:dyDescent="0.25">
      <c r="A427" t="str">
        <f>"389256"</f>
        <v>389256</v>
      </c>
      <c r="B427" t="s">
        <v>800</v>
      </c>
      <c r="C427" t="s">
        <v>801</v>
      </c>
      <c r="D427" s="21" t="s">
        <v>34</v>
      </c>
      <c r="E427" s="21" t="s">
        <v>35</v>
      </c>
      <c r="F427">
        <v>8951411</v>
      </c>
      <c r="G427" t="s">
        <v>416</v>
      </c>
      <c r="H427" s="21">
        <v>1781.67</v>
      </c>
    </row>
    <row r="428" spans="1:8" customFormat="1" x14ac:dyDescent="0.25">
      <c r="A428" t="str">
        <f>"7827254"</f>
        <v>7827254</v>
      </c>
      <c r="B428" t="s">
        <v>852</v>
      </c>
      <c r="C428" t="s">
        <v>169</v>
      </c>
      <c r="D428" s="21" t="s">
        <v>34</v>
      </c>
      <c r="E428" s="21" t="s">
        <v>35</v>
      </c>
      <c r="F428">
        <v>1690186</v>
      </c>
      <c r="G428" t="s">
        <v>438</v>
      </c>
      <c r="H428" s="21">
        <v>1781.17</v>
      </c>
    </row>
    <row r="429" spans="1:8" customFormat="1" x14ac:dyDescent="0.25">
      <c r="A429" t="str">
        <f>"7616780"</f>
        <v>7616780</v>
      </c>
      <c r="B429" t="s">
        <v>778</v>
      </c>
      <c r="C429" t="s">
        <v>779</v>
      </c>
      <c r="D429" s="21" t="s">
        <v>34</v>
      </c>
      <c r="E429" s="21" t="s">
        <v>35</v>
      </c>
      <c r="F429">
        <v>9270006</v>
      </c>
      <c r="G429" t="s">
        <v>780</v>
      </c>
      <c r="H429" s="21">
        <v>1781.05</v>
      </c>
    </row>
    <row r="430" spans="1:8" customFormat="1" x14ac:dyDescent="0.25">
      <c r="A430" t="str">
        <f>"9516262"</f>
        <v>9516262</v>
      </c>
      <c r="B430" t="s">
        <v>886</v>
      </c>
      <c r="C430" t="s">
        <v>87</v>
      </c>
      <c r="D430" s="21" t="s">
        <v>34</v>
      </c>
      <c r="E430" s="21" t="s">
        <v>35</v>
      </c>
      <c r="F430">
        <v>7590105</v>
      </c>
      <c r="G430" t="s">
        <v>887</v>
      </c>
      <c r="H430" s="21">
        <v>1780.17</v>
      </c>
    </row>
    <row r="431" spans="1:8" customFormat="1" x14ac:dyDescent="0.25">
      <c r="A431" t="str">
        <f>"10469"</f>
        <v>10469</v>
      </c>
      <c r="B431" t="s">
        <v>853</v>
      </c>
      <c r="C431" t="s">
        <v>854</v>
      </c>
      <c r="D431" s="21" t="s">
        <v>34</v>
      </c>
      <c r="E431" s="21" t="s">
        <v>35</v>
      </c>
      <c r="F431">
        <v>6100005</v>
      </c>
      <c r="G431" t="s">
        <v>855</v>
      </c>
      <c r="H431" s="21">
        <v>1780.17</v>
      </c>
    </row>
    <row r="432" spans="1:8" customFormat="1" x14ac:dyDescent="0.25">
      <c r="A432" t="str">
        <f>"768933"</f>
        <v>768933</v>
      </c>
      <c r="B432" t="s">
        <v>624</v>
      </c>
      <c r="C432" t="s">
        <v>625</v>
      </c>
      <c r="D432" s="21" t="s">
        <v>34</v>
      </c>
      <c r="E432" s="21" t="s">
        <v>35</v>
      </c>
      <c r="F432">
        <v>9270151</v>
      </c>
      <c r="G432" t="s">
        <v>626</v>
      </c>
      <c r="H432" s="21">
        <v>1779.17</v>
      </c>
    </row>
    <row r="433" spans="1:8" customFormat="1" x14ac:dyDescent="0.25">
      <c r="A433" t="str">
        <f>"422261"</f>
        <v>422261</v>
      </c>
      <c r="B433" t="s">
        <v>831</v>
      </c>
      <c r="C433" t="s">
        <v>269</v>
      </c>
      <c r="D433" s="21" t="s">
        <v>34</v>
      </c>
      <c r="E433" s="21" t="s">
        <v>35</v>
      </c>
      <c r="F433">
        <v>1420149</v>
      </c>
      <c r="G433" t="s">
        <v>818</v>
      </c>
      <c r="H433" s="21">
        <v>1778.67</v>
      </c>
    </row>
    <row r="434" spans="1:8" customFormat="1" x14ac:dyDescent="0.25">
      <c r="A434" t="str">
        <f>"536911"</f>
        <v>536911</v>
      </c>
      <c r="B434" t="s">
        <v>963</v>
      </c>
      <c r="C434" t="s">
        <v>204</v>
      </c>
      <c r="D434" s="21" t="s">
        <v>34</v>
      </c>
      <c r="E434" s="21" t="s">
        <v>35</v>
      </c>
      <c r="F434">
        <v>12530017</v>
      </c>
      <c r="G434" t="s">
        <v>307</v>
      </c>
      <c r="H434" s="21">
        <v>1778.67</v>
      </c>
    </row>
    <row r="435" spans="1:8" customFormat="1" x14ac:dyDescent="0.25">
      <c r="A435" t="str">
        <f>"22790"</f>
        <v>22790</v>
      </c>
      <c r="B435" t="s">
        <v>739</v>
      </c>
      <c r="C435" t="s">
        <v>147</v>
      </c>
      <c r="D435" s="21" t="s">
        <v>34</v>
      </c>
      <c r="E435" s="21" t="s">
        <v>35</v>
      </c>
      <c r="F435">
        <v>3220064</v>
      </c>
      <c r="G435" t="s">
        <v>26559</v>
      </c>
      <c r="H435" s="21">
        <v>1777.17</v>
      </c>
    </row>
    <row r="436" spans="1:8" customFormat="1" x14ac:dyDescent="0.25">
      <c r="A436" t="str">
        <f>"267877"</f>
        <v>267877</v>
      </c>
      <c r="B436" t="s">
        <v>789</v>
      </c>
      <c r="C436" t="s">
        <v>239</v>
      </c>
      <c r="D436" s="21" t="s">
        <v>34</v>
      </c>
      <c r="E436" s="21" t="s">
        <v>71</v>
      </c>
      <c r="F436">
        <v>1260006</v>
      </c>
      <c r="G436" t="s">
        <v>790</v>
      </c>
      <c r="H436" s="21">
        <v>1775.67</v>
      </c>
    </row>
    <row r="437" spans="1:8" customFormat="1" x14ac:dyDescent="0.25">
      <c r="A437" t="str">
        <f>"6923264"</f>
        <v>6923264</v>
      </c>
      <c r="B437" t="s">
        <v>877</v>
      </c>
      <c r="C437" t="s">
        <v>60</v>
      </c>
      <c r="D437" s="21" t="s">
        <v>34</v>
      </c>
      <c r="E437" s="21" t="s">
        <v>35</v>
      </c>
      <c r="F437">
        <v>1690221</v>
      </c>
      <c r="G437" t="s">
        <v>303</v>
      </c>
      <c r="H437" s="21">
        <v>1774.42</v>
      </c>
    </row>
    <row r="438" spans="1:8" customFormat="1" x14ac:dyDescent="0.25">
      <c r="A438" t="str">
        <f>"3326326"</f>
        <v>3326326</v>
      </c>
      <c r="B438" t="s">
        <v>795</v>
      </c>
      <c r="C438" t="s">
        <v>169</v>
      </c>
      <c r="D438" s="21" t="s">
        <v>34</v>
      </c>
      <c r="E438" s="21" t="s">
        <v>35</v>
      </c>
      <c r="F438">
        <v>12440004</v>
      </c>
      <c r="G438" t="s">
        <v>26530</v>
      </c>
      <c r="H438" s="21">
        <v>1774.17</v>
      </c>
    </row>
    <row r="439" spans="1:8" customFormat="1" x14ac:dyDescent="0.25">
      <c r="A439" t="str">
        <f>"7816914"</f>
        <v>7816914</v>
      </c>
      <c r="B439" t="s">
        <v>2189</v>
      </c>
      <c r="C439" t="s">
        <v>3934</v>
      </c>
      <c r="D439" s="21" t="s">
        <v>34</v>
      </c>
      <c r="E439" s="21" t="s">
        <v>35</v>
      </c>
      <c r="F439">
        <v>12530114</v>
      </c>
      <c r="G439" t="s">
        <v>1342</v>
      </c>
      <c r="H439" s="21">
        <v>1773.67</v>
      </c>
    </row>
    <row r="440" spans="1:8" customFormat="1" x14ac:dyDescent="0.25">
      <c r="A440" t="str">
        <f>"787656"</f>
        <v>787656</v>
      </c>
      <c r="B440" t="s">
        <v>786</v>
      </c>
      <c r="C440" t="s">
        <v>263</v>
      </c>
      <c r="D440" s="21" t="s">
        <v>34</v>
      </c>
      <c r="E440" s="21" t="s">
        <v>71</v>
      </c>
      <c r="F440">
        <v>4280045</v>
      </c>
      <c r="G440" t="s">
        <v>787</v>
      </c>
      <c r="H440" s="21">
        <v>1771.67</v>
      </c>
    </row>
    <row r="441" spans="1:8" customFormat="1" x14ac:dyDescent="0.25">
      <c r="A441" t="str">
        <f>"57158"</f>
        <v>57158</v>
      </c>
      <c r="B441" t="s">
        <v>878</v>
      </c>
      <c r="C441" t="s">
        <v>879</v>
      </c>
      <c r="D441" s="21" t="s">
        <v>34</v>
      </c>
      <c r="E441" s="21" t="s">
        <v>254</v>
      </c>
      <c r="F441">
        <v>6570070</v>
      </c>
      <c r="G441" t="s">
        <v>1765</v>
      </c>
      <c r="H441" s="21">
        <v>1770.67</v>
      </c>
    </row>
    <row r="442" spans="1:8" customFormat="1" x14ac:dyDescent="0.25">
      <c r="A442" t="str">
        <f>"305405"</f>
        <v>305405</v>
      </c>
      <c r="B442" t="s">
        <v>26566</v>
      </c>
      <c r="C442" t="s">
        <v>2250</v>
      </c>
      <c r="D442" s="21" t="s">
        <v>34</v>
      </c>
      <c r="E442" s="21" t="s">
        <v>35</v>
      </c>
      <c r="F442">
        <v>11300007</v>
      </c>
      <c r="G442" t="s">
        <v>361</v>
      </c>
      <c r="H442" s="21">
        <v>1770.67</v>
      </c>
    </row>
    <row r="443" spans="1:8" customFormat="1" x14ac:dyDescent="0.25">
      <c r="A443" t="str">
        <f>"9422725"</f>
        <v>9422725</v>
      </c>
      <c r="B443" t="s">
        <v>742</v>
      </c>
      <c r="C443" t="s">
        <v>87</v>
      </c>
      <c r="D443" s="21" t="s">
        <v>34</v>
      </c>
      <c r="E443" s="21" t="s">
        <v>35</v>
      </c>
      <c r="F443">
        <v>8940459</v>
      </c>
      <c r="G443" t="s">
        <v>743</v>
      </c>
      <c r="H443" s="21">
        <v>1770.55</v>
      </c>
    </row>
    <row r="444" spans="1:8" customFormat="1" x14ac:dyDescent="0.25">
      <c r="A444" t="str">
        <f>"671485"</f>
        <v>671485</v>
      </c>
      <c r="B444" t="s">
        <v>495</v>
      </c>
      <c r="C444" t="s">
        <v>121</v>
      </c>
      <c r="D444" s="21" t="s">
        <v>34</v>
      </c>
      <c r="E444" s="21" t="s">
        <v>35</v>
      </c>
      <c r="F444">
        <v>6670160</v>
      </c>
      <c r="G444" t="s">
        <v>908</v>
      </c>
      <c r="H444" s="21">
        <v>1769.17</v>
      </c>
    </row>
    <row r="445" spans="1:8" customFormat="1" x14ac:dyDescent="0.25">
      <c r="A445" t="str">
        <f>"627911"</f>
        <v>627911</v>
      </c>
      <c r="B445" t="s">
        <v>26567</v>
      </c>
      <c r="C445" t="s">
        <v>239</v>
      </c>
      <c r="D445" s="21" t="s">
        <v>34</v>
      </c>
      <c r="E445" s="21" t="s">
        <v>35</v>
      </c>
      <c r="F445">
        <v>7620031</v>
      </c>
      <c r="G445" t="s">
        <v>2182</v>
      </c>
      <c r="H445" s="21">
        <v>1768.92</v>
      </c>
    </row>
    <row r="446" spans="1:8" customFormat="1" x14ac:dyDescent="0.25">
      <c r="A446" t="str">
        <f>"675615"</f>
        <v>675615</v>
      </c>
      <c r="B446" t="s">
        <v>814</v>
      </c>
      <c r="C446" t="s">
        <v>87</v>
      </c>
      <c r="D446" s="21" t="s">
        <v>34</v>
      </c>
      <c r="E446" s="21" t="s">
        <v>35</v>
      </c>
      <c r="F446">
        <v>6670272</v>
      </c>
      <c r="G446" t="s">
        <v>26568</v>
      </c>
      <c r="H446" s="21">
        <v>1767.42</v>
      </c>
    </row>
    <row r="447" spans="1:8" customFormat="1" x14ac:dyDescent="0.25">
      <c r="A447" t="str">
        <f>"339055"</f>
        <v>339055</v>
      </c>
      <c r="B447" t="s">
        <v>754</v>
      </c>
      <c r="C447" t="s">
        <v>174</v>
      </c>
      <c r="D447" s="21" t="s">
        <v>34</v>
      </c>
      <c r="E447" s="21" t="s">
        <v>35</v>
      </c>
      <c r="F447">
        <v>10330013</v>
      </c>
      <c r="G447" t="s">
        <v>613</v>
      </c>
      <c r="H447" s="21">
        <v>1767.17</v>
      </c>
    </row>
    <row r="448" spans="1:8" customFormat="1" x14ac:dyDescent="0.25">
      <c r="A448" t="str">
        <f>"941721"</f>
        <v>941721</v>
      </c>
      <c r="B448" t="s">
        <v>836</v>
      </c>
      <c r="C448" t="s">
        <v>209</v>
      </c>
      <c r="D448" s="21" t="s">
        <v>34</v>
      </c>
      <c r="E448" s="21" t="s">
        <v>71</v>
      </c>
      <c r="F448">
        <v>8930024</v>
      </c>
      <c r="G448" t="s">
        <v>44</v>
      </c>
      <c r="H448" s="21">
        <v>1766.67</v>
      </c>
    </row>
    <row r="449" spans="1:8" customFormat="1" x14ac:dyDescent="0.25">
      <c r="A449" t="str">
        <f>"596549"</f>
        <v>596549</v>
      </c>
      <c r="B449" t="s">
        <v>26569</v>
      </c>
      <c r="C449" t="s">
        <v>233</v>
      </c>
      <c r="D449" s="21" t="s">
        <v>34</v>
      </c>
      <c r="E449" s="21" t="s">
        <v>35</v>
      </c>
      <c r="F449">
        <v>7590005</v>
      </c>
      <c r="G449" t="s">
        <v>540</v>
      </c>
      <c r="H449" s="21">
        <v>1766.67</v>
      </c>
    </row>
    <row r="450" spans="1:8" customFormat="1" x14ac:dyDescent="0.25">
      <c r="A450" t="str">
        <f>"2714184"</f>
        <v>2714184</v>
      </c>
      <c r="B450" t="s">
        <v>1008</v>
      </c>
      <c r="C450" t="s">
        <v>305</v>
      </c>
      <c r="D450" s="21" t="s">
        <v>34</v>
      </c>
      <c r="E450" s="21" t="s">
        <v>35</v>
      </c>
      <c r="F450">
        <v>9270089</v>
      </c>
      <c r="G450" t="s">
        <v>1009</v>
      </c>
      <c r="H450" s="21">
        <v>1765.67</v>
      </c>
    </row>
    <row r="451" spans="1:8" customFormat="1" x14ac:dyDescent="0.25">
      <c r="A451" t="str">
        <f>"49853"</f>
        <v>49853</v>
      </c>
      <c r="B451" t="s">
        <v>776</v>
      </c>
      <c r="C451" t="s">
        <v>608</v>
      </c>
      <c r="D451" s="21" t="s">
        <v>34</v>
      </c>
      <c r="E451" s="21" t="s">
        <v>35</v>
      </c>
      <c r="F451">
        <v>12490038</v>
      </c>
      <c r="G451" t="s">
        <v>467</v>
      </c>
      <c r="H451" s="21">
        <v>1765.67</v>
      </c>
    </row>
    <row r="452" spans="1:8" customFormat="1" x14ac:dyDescent="0.25">
      <c r="A452" t="str">
        <f>"444609"</f>
        <v>444609</v>
      </c>
      <c r="B452" t="s">
        <v>832</v>
      </c>
      <c r="C452" t="s">
        <v>249</v>
      </c>
      <c r="D452" s="21" t="s">
        <v>34</v>
      </c>
      <c r="E452" s="21" t="s">
        <v>71</v>
      </c>
      <c r="F452">
        <v>12440259</v>
      </c>
      <c r="G452" t="s">
        <v>833</v>
      </c>
      <c r="H452" s="21">
        <v>1765.42</v>
      </c>
    </row>
    <row r="453" spans="1:8" customFormat="1" x14ac:dyDescent="0.25">
      <c r="A453" t="str">
        <f>"595133"</f>
        <v>595133</v>
      </c>
      <c r="B453" t="s">
        <v>777</v>
      </c>
      <c r="C453" t="s">
        <v>62</v>
      </c>
      <c r="D453" s="21" t="s">
        <v>34</v>
      </c>
      <c r="E453" s="21" t="s">
        <v>35</v>
      </c>
      <c r="F453">
        <v>7590028</v>
      </c>
      <c r="G453" t="s">
        <v>251</v>
      </c>
      <c r="H453" s="21">
        <v>1765.17</v>
      </c>
    </row>
    <row r="454" spans="1:8" customFormat="1" x14ac:dyDescent="0.25">
      <c r="A454" t="str">
        <f>"5913850"</f>
        <v>5913850</v>
      </c>
      <c r="B454" t="s">
        <v>208</v>
      </c>
      <c r="C454" t="s">
        <v>43</v>
      </c>
      <c r="D454" s="21" t="s">
        <v>34</v>
      </c>
      <c r="E454" s="21" t="s">
        <v>35</v>
      </c>
      <c r="F454">
        <v>7590050</v>
      </c>
      <c r="G454" t="s">
        <v>473</v>
      </c>
      <c r="H454" s="21">
        <v>1764.67</v>
      </c>
    </row>
    <row r="455" spans="1:8" customFormat="1" x14ac:dyDescent="0.25">
      <c r="A455" t="str">
        <f>"31574"</f>
        <v>31574</v>
      </c>
      <c r="B455" t="s">
        <v>930</v>
      </c>
      <c r="C455" t="s">
        <v>169</v>
      </c>
      <c r="D455" s="21" t="s">
        <v>34</v>
      </c>
      <c r="E455" s="21" t="s">
        <v>71</v>
      </c>
      <c r="F455">
        <v>11310064</v>
      </c>
      <c r="G455" t="s">
        <v>931</v>
      </c>
      <c r="H455" s="21">
        <v>1764.67</v>
      </c>
    </row>
    <row r="456" spans="1:8" customFormat="1" x14ac:dyDescent="0.25">
      <c r="A456" t="str">
        <f>"411790"</f>
        <v>411790</v>
      </c>
      <c r="B456" t="s">
        <v>650</v>
      </c>
      <c r="C456" t="s">
        <v>874</v>
      </c>
      <c r="D456" s="21" t="s">
        <v>34</v>
      </c>
      <c r="E456" s="21" t="s">
        <v>35</v>
      </c>
      <c r="F456">
        <v>4360454</v>
      </c>
      <c r="G456" t="s">
        <v>637</v>
      </c>
      <c r="H456" s="21">
        <v>1763.67</v>
      </c>
    </row>
    <row r="457" spans="1:8" customFormat="1" x14ac:dyDescent="0.25">
      <c r="A457" t="str">
        <f>"76525"</f>
        <v>76525</v>
      </c>
      <c r="B457" t="s">
        <v>771</v>
      </c>
      <c r="C457" t="s">
        <v>772</v>
      </c>
      <c r="D457" s="21" t="s">
        <v>34</v>
      </c>
      <c r="E457" s="21" t="s">
        <v>35</v>
      </c>
      <c r="F457">
        <v>9760018</v>
      </c>
      <c r="G457" t="s">
        <v>117</v>
      </c>
      <c r="H457" s="21">
        <v>1763.17</v>
      </c>
    </row>
    <row r="458" spans="1:8" customFormat="1" x14ac:dyDescent="0.25">
      <c r="A458" t="str">
        <f>"516796"</f>
        <v>516796</v>
      </c>
      <c r="B458" t="s">
        <v>19451</v>
      </c>
      <c r="C458" t="s">
        <v>37</v>
      </c>
      <c r="D458" s="21" t="s">
        <v>34</v>
      </c>
      <c r="E458" s="21" t="s">
        <v>35</v>
      </c>
      <c r="F458">
        <v>7590194</v>
      </c>
      <c r="G458" t="s">
        <v>460</v>
      </c>
      <c r="H458" s="21">
        <v>1763.17</v>
      </c>
    </row>
    <row r="459" spans="1:8" customFormat="1" x14ac:dyDescent="0.25">
      <c r="A459" t="str">
        <f>"92687"</f>
        <v>92687</v>
      </c>
      <c r="B459" t="s">
        <v>820</v>
      </c>
      <c r="C459" t="s">
        <v>124</v>
      </c>
      <c r="D459" s="21" t="s">
        <v>34</v>
      </c>
      <c r="E459" s="21" t="s">
        <v>71</v>
      </c>
      <c r="F459">
        <v>8920075</v>
      </c>
      <c r="G459" t="s">
        <v>317</v>
      </c>
      <c r="H459" s="21">
        <v>1762.67</v>
      </c>
    </row>
    <row r="460" spans="1:8" customFormat="1" x14ac:dyDescent="0.25">
      <c r="A460" t="str">
        <f>"7636"</f>
        <v>7636</v>
      </c>
      <c r="B460" t="s">
        <v>1016</v>
      </c>
      <c r="C460" t="s">
        <v>867</v>
      </c>
      <c r="D460" s="21" t="s">
        <v>34</v>
      </c>
      <c r="E460" s="21" t="s">
        <v>71</v>
      </c>
      <c r="F460">
        <v>9760041</v>
      </c>
      <c r="G460" t="s">
        <v>452</v>
      </c>
      <c r="H460" s="21">
        <v>1761.67</v>
      </c>
    </row>
    <row r="461" spans="1:8" customFormat="1" x14ac:dyDescent="0.25">
      <c r="A461" t="str">
        <f>"6934466"</f>
        <v>6934466</v>
      </c>
      <c r="B461" t="s">
        <v>1031</v>
      </c>
      <c r="C461" t="s">
        <v>1032</v>
      </c>
      <c r="D461" s="21" t="s">
        <v>34</v>
      </c>
      <c r="E461" s="21" t="s">
        <v>35</v>
      </c>
      <c r="F461">
        <v>1690186</v>
      </c>
      <c r="G461" t="s">
        <v>438</v>
      </c>
      <c r="H461" s="21">
        <v>1761.42</v>
      </c>
    </row>
    <row r="462" spans="1:8" customFormat="1" x14ac:dyDescent="0.25">
      <c r="A462" t="str">
        <f>"515017"</f>
        <v>515017</v>
      </c>
      <c r="B462" t="s">
        <v>1288</v>
      </c>
      <c r="C462" t="s">
        <v>109</v>
      </c>
      <c r="D462" s="21" t="s">
        <v>34</v>
      </c>
      <c r="E462" s="21" t="s">
        <v>35</v>
      </c>
      <c r="F462">
        <v>7020015</v>
      </c>
      <c r="G462" t="s">
        <v>1289</v>
      </c>
      <c r="H462" s="21">
        <v>1761.3</v>
      </c>
    </row>
    <row r="463" spans="1:8" customFormat="1" x14ac:dyDescent="0.25">
      <c r="A463" t="str">
        <f>"6942423"</f>
        <v>6942423</v>
      </c>
      <c r="B463" t="s">
        <v>1114</v>
      </c>
      <c r="C463" t="s">
        <v>169</v>
      </c>
      <c r="D463" s="21" t="s">
        <v>34</v>
      </c>
      <c r="E463" s="21" t="s">
        <v>35</v>
      </c>
      <c r="F463">
        <v>1690175</v>
      </c>
      <c r="G463" t="s">
        <v>410</v>
      </c>
      <c r="H463" s="21">
        <v>1760.67</v>
      </c>
    </row>
    <row r="464" spans="1:8" customFormat="1" x14ac:dyDescent="0.25">
      <c r="A464" t="str">
        <f>"773540"</f>
        <v>773540</v>
      </c>
      <c r="B464" t="s">
        <v>829</v>
      </c>
      <c r="C464" t="s">
        <v>109</v>
      </c>
      <c r="D464" s="21" t="s">
        <v>34</v>
      </c>
      <c r="E464" s="21" t="s">
        <v>35</v>
      </c>
      <c r="F464">
        <v>8770408</v>
      </c>
      <c r="G464" t="s">
        <v>212</v>
      </c>
      <c r="H464" s="21">
        <v>1760.67</v>
      </c>
    </row>
    <row r="465" spans="1:8" customFormat="1" x14ac:dyDescent="0.25">
      <c r="A465" t="str">
        <f>"541791"</f>
        <v>541791</v>
      </c>
      <c r="B465" t="s">
        <v>884</v>
      </c>
      <c r="C465" t="s">
        <v>288</v>
      </c>
      <c r="D465" s="21" t="s">
        <v>34</v>
      </c>
      <c r="E465" s="21" t="s">
        <v>71</v>
      </c>
      <c r="F465">
        <v>6540040</v>
      </c>
      <c r="G465" t="s">
        <v>256</v>
      </c>
      <c r="H465" s="21">
        <v>1760.17</v>
      </c>
    </row>
    <row r="466" spans="1:8" customFormat="1" x14ac:dyDescent="0.25">
      <c r="A466" t="str">
        <f>"923954"</f>
        <v>923954</v>
      </c>
      <c r="B466" t="s">
        <v>809</v>
      </c>
      <c r="C466" t="s">
        <v>204</v>
      </c>
      <c r="D466" s="21" t="s">
        <v>34</v>
      </c>
      <c r="E466" s="21" t="s">
        <v>71</v>
      </c>
      <c r="F466">
        <v>8921190</v>
      </c>
      <c r="G466" t="s">
        <v>810</v>
      </c>
      <c r="H466" s="21">
        <v>1759.67</v>
      </c>
    </row>
    <row r="467" spans="1:8" customFormat="1" x14ac:dyDescent="0.25">
      <c r="A467" t="str">
        <f>"745753"</f>
        <v>745753</v>
      </c>
      <c r="B467" t="s">
        <v>880</v>
      </c>
      <c r="C467" t="s">
        <v>428</v>
      </c>
      <c r="D467" s="21" t="s">
        <v>34</v>
      </c>
      <c r="E467" s="21" t="s">
        <v>35</v>
      </c>
      <c r="F467">
        <v>1740020</v>
      </c>
      <c r="G467" t="s">
        <v>881</v>
      </c>
      <c r="H467" s="21">
        <v>1759.17</v>
      </c>
    </row>
    <row r="468" spans="1:8" customFormat="1" x14ac:dyDescent="0.25">
      <c r="A468" t="str">
        <f>"9415552"</f>
        <v>9415552</v>
      </c>
      <c r="B468" t="s">
        <v>680</v>
      </c>
      <c r="C468" t="s">
        <v>43</v>
      </c>
      <c r="D468" s="21" t="s">
        <v>34</v>
      </c>
      <c r="E468" s="21" t="s">
        <v>35</v>
      </c>
      <c r="F468">
        <v>8910434</v>
      </c>
      <c r="G468" t="s">
        <v>681</v>
      </c>
      <c r="H468" s="21">
        <v>1758.92</v>
      </c>
    </row>
    <row r="469" spans="1:8" customFormat="1" x14ac:dyDescent="0.25">
      <c r="A469" t="str">
        <f>"411390"</f>
        <v>411390</v>
      </c>
      <c r="B469" t="s">
        <v>8687</v>
      </c>
      <c r="C469" t="s">
        <v>631</v>
      </c>
      <c r="D469" s="21" t="s">
        <v>34</v>
      </c>
      <c r="E469" s="21" t="s">
        <v>35</v>
      </c>
      <c r="F469">
        <v>4410080</v>
      </c>
      <c r="G469" t="s">
        <v>135</v>
      </c>
      <c r="H469" s="21">
        <v>1758.67</v>
      </c>
    </row>
    <row r="470" spans="1:8" customFormat="1" x14ac:dyDescent="0.25">
      <c r="A470" t="str">
        <f>"3531505"</f>
        <v>3531505</v>
      </c>
      <c r="B470" t="s">
        <v>734</v>
      </c>
      <c r="C470" t="s">
        <v>547</v>
      </c>
      <c r="D470" s="21" t="s">
        <v>34</v>
      </c>
      <c r="E470" s="21" t="s">
        <v>71</v>
      </c>
      <c r="F470">
        <v>3350169</v>
      </c>
      <c r="G470" t="s">
        <v>735</v>
      </c>
      <c r="H470" s="21">
        <v>1758.67</v>
      </c>
    </row>
    <row r="471" spans="1:8" customFormat="1" x14ac:dyDescent="0.25">
      <c r="A471" t="str">
        <f>"7511235"</f>
        <v>7511235</v>
      </c>
      <c r="B471" t="s">
        <v>1019</v>
      </c>
      <c r="C471" t="s">
        <v>288</v>
      </c>
      <c r="D471" s="21" t="s">
        <v>34</v>
      </c>
      <c r="E471" s="21" t="s">
        <v>35</v>
      </c>
      <c r="F471">
        <v>12440176</v>
      </c>
      <c r="G471" t="s">
        <v>1020</v>
      </c>
      <c r="H471" s="21">
        <v>1758.17</v>
      </c>
    </row>
    <row r="472" spans="1:8" customFormat="1" x14ac:dyDescent="0.25">
      <c r="A472" t="str">
        <f>"802387"</f>
        <v>802387</v>
      </c>
      <c r="B472" t="s">
        <v>1103</v>
      </c>
      <c r="C472" t="s">
        <v>1104</v>
      </c>
      <c r="D472" s="21" t="s">
        <v>34</v>
      </c>
      <c r="E472" s="21" t="s">
        <v>35</v>
      </c>
      <c r="F472">
        <v>7800126</v>
      </c>
      <c r="G472" t="s">
        <v>1105</v>
      </c>
      <c r="H472" s="21">
        <v>1756.67</v>
      </c>
    </row>
    <row r="473" spans="1:8" customFormat="1" x14ac:dyDescent="0.25">
      <c r="A473" t="str">
        <f>"6224088"</f>
        <v>6224088</v>
      </c>
      <c r="B473" t="s">
        <v>4183</v>
      </c>
      <c r="C473" t="s">
        <v>275</v>
      </c>
      <c r="D473" s="21" t="s">
        <v>34</v>
      </c>
      <c r="E473" s="21" t="s">
        <v>35</v>
      </c>
      <c r="F473">
        <v>7620145</v>
      </c>
      <c r="G473" t="s">
        <v>2068</v>
      </c>
      <c r="H473" s="21">
        <v>1756.67</v>
      </c>
    </row>
    <row r="474" spans="1:8" customFormat="1" x14ac:dyDescent="0.25">
      <c r="A474" t="str">
        <f>"931270"</f>
        <v>931270</v>
      </c>
      <c r="B474" t="s">
        <v>146</v>
      </c>
      <c r="C474" t="s">
        <v>87</v>
      </c>
      <c r="D474" s="21" t="s">
        <v>34</v>
      </c>
      <c r="E474" s="21" t="s">
        <v>35</v>
      </c>
      <c r="F474">
        <v>8940549</v>
      </c>
      <c r="G474" t="s">
        <v>454</v>
      </c>
      <c r="H474" s="21">
        <v>1755.67</v>
      </c>
    </row>
    <row r="475" spans="1:8" customFormat="1" x14ac:dyDescent="0.25">
      <c r="A475" t="str">
        <f>"633744"</f>
        <v>633744</v>
      </c>
      <c r="B475" t="s">
        <v>1092</v>
      </c>
      <c r="C475" t="s">
        <v>598</v>
      </c>
      <c r="D475" s="21" t="s">
        <v>34</v>
      </c>
      <c r="E475" s="21" t="s">
        <v>71</v>
      </c>
      <c r="F475">
        <v>1630078</v>
      </c>
      <c r="G475" t="s">
        <v>326</v>
      </c>
      <c r="H475" s="21">
        <v>1755.42</v>
      </c>
    </row>
    <row r="476" spans="1:8" customFormat="1" x14ac:dyDescent="0.25">
      <c r="A476" t="str">
        <f>"569841"</f>
        <v>569841</v>
      </c>
      <c r="B476" t="s">
        <v>909</v>
      </c>
      <c r="C476" t="s">
        <v>130</v>
      </c>
      <c r="D476" s="21" t="s">
        <v>34</v>
      </c>
      <c r="E476" s="21" t="s">
        <v>71</v>
      </c>
      <c r="F476">
        <v>3560036</v>
      </c>
      <c r="G476" t="s">
        <v>910</v>
      </c>
      <c r="H476" s="21">
        <v>1755.3</v>
      </c>
    </row>
    <row r="477" spans="1:8" customFormat="1" x14ac:dyDescent="0.25">
      <c r="A477" t="str">
        <f>"91333"</f>
        <v>91333</v>
      </c>
      <c r="B477" t="s">
        <v>966</v>
      </c>
      <c r="C477" t="s">
        <v>967</v>
      </c>
      <c r="D477" s="21" t="s">
        <v>34</v>
      </c>
      <c r="E477" s="21" t="s">
        <v>35</v>
      </c>
      <c r="F477">
        <v>8910918</v>
      </c>
      <c r="G477" t="s">
        <v>332</v>
      </c>
      <c r="H477" s="21">
        <v>1755.17</v>
      </c>
    </row>
    <row r="478" spans="1:8" customFormat="1" x14ac:dyDescent="0.25">
      <c r="A478" t="str">
        <f>"758209"</f>
        <v>758209</v>
      </c>
      <c r="B478" t="s">
        <v>10039</v>
      </c>
      <c r="C478" t="s">
        <v>124</v>
      </c>
      <c r="D478" s="21" t="s">
        <v>34</v>
      </c>
      <c r="E478" s="21" t="s">
        <v>71</v>
      </c>
      <c r="F478">
        <v>1380005</v>
      </c>
      <c r="G478" t="s">
        <v>3119</v>
      </c>
      <c r="H478" s="21">
        <v>1755.17</v>
      </c>
    </row>
    <row r="479" spans="1:8" customFormat="1" x14ac:dyDescent="0.25">
      <c r="A479" t="str">
        <f>"281736"</f>
        <v>281736</v>
      </c>
      <c r="B479" t="s">
        <v>1083</v>
      </c>
      <c r="C479" t="s">
        <v>127</v>
      </c>
      <c r="D479" s="21" t="s">
        <v>34</v>
      </c>
      <c r="E479" s="21" t="s">
        <v>35</v>
      </c>
      <c r="F479">
        <v>4280517</v>
      </c>
      <c r="G479" t="s">
        <v>436</v>
      </c>
      <c r="H479" s="21">
        <v>1754.67</v>
      </c>
    </row>
    <row r="480" spans="1:8" customFormat="1" x14ac:dyDescent="0.25">
      <c r="A480" t="str">
        <f>"183758"</f>
        <v>183758</v>
      </c>
      <c r="B480" t="s">
        <v>679</v>
      </c>
      <c r="C480" t="s">
        <v>784</v>
      </c>
      <c r="D480" s="21" t="s">
        <v>34</v>
      </c>
      <c r="E480" s="21" t="s">
        <v>71</v>
      </c>
      <c r="F480">
        <v>10330086</v>
      </c>
      <c r="G480" t="s">
        <v>785</v>
      </c>
      <c r="H480" s="21">
        <v>1753.67</v>
      </c>
    </row>
    <row r="481" spans="1:8" customFormat="1" x14ac:dyDescent="0.25">
      <c r="A481" t="str">
        <f>"564216"</f>
        <v>564216</v>
      </c>
      <c r="B481" t="s">
        <v>1093</v>
      </c>
      <c r="C481" t="s">
        <v>127</v>
      </c>
      <c r="D481" s="21" t="s">
        <v>34</v>
      </c>
      <c r="E481" s="21" t="s">
        <v>35</v>
      </c>
      <c r="F481">
        <v>3560053</v>
      </c>
      <c r="G481" t="s">
        <v>298</v>
      </c>
      <c r="H481" s="21">
        <v>1753.67</v>
      </c>
    </row>
    <row r="482" spans="1:8" customFormat="1" x14ac:dyDescent="0.25">
      <c r="A482" t="str">
        <f>"852097"</f>
        <v>852097</v>
      </c>
      <c r="B482" t="s">
        <v>1145</v>
      </c>
      <c r="C482" t="s">
        <v>1146</v>
      </c>
      <c r="D482" s="21" t="s">
        <v>34</v>
      </c>
      <c r="E482" s="21" t="s">
        <v>71</v>
      </c>
      <c r="F482">
        <v>12720104</v>
      </c>
      <c r="G482" t="s">
        <v>224</v>
      </c>
      <c r="H482" s="21">
        <v>1753.17</v>
      </c>
    </row>
    <row r="483" spans="1:8" customFormat="1" x14ac:dyDescent="0.25">
      <c r="A483" t="str">
        <f>"458803"</f>
        <v>458803</v>
      </c>
      <c r="B483" t="s">
        <v>760</v>
      </c>
      <c r="C483" t="s">
        <v>275</v>
      </c>
      <c r="D483" s="21" t="s">
        <v>34</v>
      </c>
      <c r="E483" s="21" t="s">
        <v>35</v>
      </c>
      <c r="F483">
        <v>4410612</v>
      </c>
      <c r="G483" t="s">
        <v>815</v>
      </c>
      <c r="H483" s="21">
        <v>1752.92</v>
      </c>
    </row>
    <row r="484" spans="1:8" customFormat="1" x14ac:dyDescent="0.25">
      <c r="A484" t="str">
        <f>"451398"</f>
        <v>451398</v>
      </c>
      <c r="B484" t="s">
        <v>26570</v>
      </c>
      <c r="C484" t="s">
        <v>262</v>
      </c>
      <c r="D484" s="21" t="s">
        <v>34</v>
      </c>
      <c r="E484" s="21" t="s">
        <v>35</v>
      </c>
      <c r="F484">
        <v>4450410</v>
      </c>
      <c r="G484" t="s">
        <v>26525</v>
      </c>
      <c r="H484" s="21">
        <v>1752.67</v>
      </c>
    </row>
    <row r="485" spans="1:8" customFormat="1" x14ac:dyDescent="0.25">
      <c r="A485" t="str">
        <f>"331574"</f>
        <v>331574</v>
      </c>
      <c r="B485" t="s">
        <v>861</v>
      </c>
      <c r="C485" t="s">
        <v>862</v>
      </c>
      <c r="D485" s="21" t="s">
        <v>34</v>
      </c>
      <c r="E485" s="21" t="s">
        <v>71</v>
      </c>
      <c r="F485">
        <v>10330003</v>
      </c>
      <c r="G485" t="s">
        <v>309</v>
      </c>
      <c r="H485" s="21">
        <v>1752.67</v>
      </c>
    </row>
    <row r="486" spans="1:8" customFormat="1" x14ac:dyDescent="0.25">
      <c r="A486" t="str">
        <f>"9110954"</f>
        <v>9110954</v>
      </c>
      <c r="B486" t="s">
        <v>760</v>
      </c>
      <c r="C486" t="s">
        <v>269</v>
      </c>
      <c r="D486" s="21" t="s">
        <v>34</v>
      </c>
      <c r="E486" s="21" t="s">
        <v>71</v>
      </c>
      <c r="F486">
        <v>8910438</v>
      </c>
      <c r="G486" t="s">
        <v>761</v>
      </c>
      <c r="H486" s="21">
        <v>1752.17</v>
      </c>
    </row>
    <row r="487" spans="1:8" customFormat="1" x14ac:dyDescent="0.25">
      <c r="A487" t="str">
        <f>"578365"</f>
        <v>578365</v>
      </c>
      <c r="B487" t="s">
        <v>898</v>
      </c>
      <c r="C487" t="s">
        <v>33</v>
      </c>
      <c r="D487" s="21" t="s">
        <v>34</v>
      </c>
      <c r="E487" s="21" t="s">
        <v>71</v>
      </c>
      <c r="F487">
        <v>6570008</v>
      </c>
      <c r="G487" t="s">
        <v>899</v>
      </c>
      <c r="H487" s="21">
        <v>1752.17</v>
      </c>
    </row>
    <row r="488" spans="1:8" customFormat="1" x14ac:dyDescent="0.25">
      <c r="A488" t="str">
        <f>"267171"</f>
        <v>267171</v>
      </c>
      <c r="B488" t="s">
        <v>797</v>
      </c>
      <c r="C488" t="s">
        <v>484</v>
      </c>
      <c r="D488" s="21" t="s">
        <v>34</v>
      </c>
      <c r="E488" s="21" t="s">
        <v>35</v>
      </c>
      <c r="F488">
        <v>1260071</v>
      </c>
      <c r="G488" t="s">
        <v>798</v>
      </c>
      <c r="H488" s="21">
        <v>1751.17</v>
      </c>
    </row>
    <row r="489" spans="1:8" customFormat="1" x14ac:dyDescent="0.25">
      <c r="A489" t="str">
        <f>"591776"</f>
        <v>591776</v>
      </c>
      <c r="B489" t="s">
        <v>804</v>
      </c>
      <c r="C489" t="s">
        <v>187</v>
      </c>
      <c r="D489" s="21" t="s">
        <v>34</v>
      </c>
      <c r="E489" s="21" t="s">
        <v>35</v>
      </c>
      <c r="F489">
        <v>7590231</v>
      </c>
      <c r="G489" t="s">
        <v>207</v>
      </c>
      <c r="H489" s="21">
        <v>1750.67</v>
      </c>
    </row>
    <row r="490" spans="1:8" customFormat="1" x14ac:dyDescent="0.25">
      <c r="A490" t="str">
        <f>"2511667"</f>
        <v>2511667</v>
      </c>
      <c r="B490" t="s">
        <v>651</v>
      </c>
      <c r="C490" t="s">
        <v>652</v>
      </c>
      <c r="D490" s="21" t="s">
        <v>34</v>
      </c>
      <c r="E490" s="21" t="s">
        <v>35</v>
      </c>
      <c r="F490">
        <v>8770166</v>
      </c>
      <c r="G490" t="s">
        <v>653</v>
      </c>
      <c r="H490" s="21">
        <v>1750.17</v>
      </c>
    </row>
    <row r="491" spans="1:8" customFormat="1" x14ac:dyDescent="0.25">
      <c r="A491" t="str">
        <f>"217276"</f>
        <v>217276</v>
      </c>
      <c r="B491" t="s">
        <v>2362</v>
      </c>
      <c r="C491" t="s">
        <v>462</v>
      </c>
      <c r="D491" s="21" t="s">
        <v>34</v>
      </c>
      <c r="E491" s="21" t="s">
        <v>71</v>
      </c>
      <c r="F491">
        <v>2210101</v>
      </c>
      <c r="G491" t="s">
        <v>1374</v>
      </c>
      <c r="H491" s="21">
        <v>1749.67</v>
      </c>
    </row>
    <row r="492" spans="1:8" customFormat="1" x14ac:dyDescent="0.25">
      <c r="A492" t="str">
        <f>"312410"</f>
        <v>312410</v>
      </c>
      <c r="B492" t="s">
        <v>900</v>
      </c>
      <c r="C492" t="s">
        <v>33</v>
      </c>
      <c r="D492" s="21" t="s">
        <v>34</v>
      </c>
      <c r="E492" s="21" t="s">
        <v>35</v>
      </c>
      <c r="F492">
        <v>11090002</v>
      </c>
      <c r="G492" t="s">
        <v>901</v>
      </c>
      <c r="H492" s="21">
        <v>1749.17</v>
      </c>
    </row>
    <row r="493" spans="1:8" customFormat="1" x14ac:dyDescent="0.25">
      <c r="A493" t="str">
        <f>"082359"</f>
        <v>082359</v>
      </c>
      <c r="B493" t="s">
        <v>960</v>
      </c>
      <c r="C493" t="s">
        <v>90</v>
      </c>
      <c r="D493" s="21" t="s">
        <v>34</v>
      </c>
      <c r="E493" s="21" t="s">
        <v>35</v>
      </c>
      <c r="F493">
        <v>6080043</v>
      </c>
      <c r="G493" t="s">
        <v>961</v>
      </c>
      <c r="H493" s="21">
        <v>1748.67</v>
      </c>
    </row>
    <row r="494" spans="1:8" customFormat="1" x14ac:dyDescent="0.25">
      <c r="A494" t="str">
        <f>"672860"</f>
        <v>672860</v>
      </c>
      <c r="B494" t="s">
        <v>1068</v>
      </c>
      <c r="C494" t="s">
        <v>40</v>
      </c>
      <c r="D494" s="21" t="s">
        <v>34</v>
      </c>
      <c r="E494" s="21" t="s">
        <v>71</v>
      </c>
      <c r="F494">
        <v>6670202</v>
      </c>
      <c r="G494" t="s">
        <v>605</v>
      </c>
      <c r="H494" s="21">
        <v>1748.67</v>
      </c>
    </row>
    <row r="495" spans="1:8" customFormat="1" x14ac:dyDescent="0.25">
      <c r="A495" t="str">
        <f>"675539"</f>
        <v>675539</v>
      </c>
      <c r="B495" t="s">
        <v>962</v>
      </c>
      <c r="C495" t="s">
        <v>130</v>
      </c>
      <c r="D495" s="21" t="s">
        <v>34</v>
      </c>
      <c r="E495" s="21" t="s">
        <v>35</v>
      </c>
      <c r="F495">
        <v>6670160</v>
      </c>
      <c r="G495" t="s">
        <v>908</v>
      </c>
      <c r="H495" s="21">
        <v>1748.67</v>
      </c>
    </row>
    <row r="496" spans="1:8" customFormat="1" x14ac:dyDescent="0.25">
      <c r="A496" t="str">
        <f>"886825"</f>
        <v>886825</v>
      </c>
      <c r="B496" t="s">
        <v>946</v>
      </c>
      <c r="C496" t="s">
        <v>652</v>
      </c>
      <c r="D496" s="21" t="s">
        <v>34</v>
      </c>
      <c r="E496" s="21" t="s">
        <v>35</v>
      </c>
      <c r="F496">
        <v>6540040</v>
      </c>
      <c r="G496" t="s">
        <v>256</v>
      </c>
      <c r="H496" s="21">
        <v>1748.17</v>
      </c>
    </row>
    <row r="497" spans="1:8" customFormat="1" x14ac:dyDescent="0.25">
      <c r="A497" t="str">
        <f>"774452"</f>
        <v>774452</v>
      </c>
      <c r="B497" t="s">
        <v>940</v>
      </c>
      <c r="C497" t="s">
        <v>37</v>
      </c>
      <c r="D497" s="21" t="s">
        <v>34</v>
      </c>
      <c r="E497" s="21" t="s">
        <v>35</v>
      </c>
      <c r="F497">
        <v>6540032</v>
      </c>
      <c r="G497" t="s">
        <v>63</v>
      </c>
      <c r="H497" s="21">
        <v>1748.17</v>
      </c>
    </row>
    <row r="498" spans="1:8" customFormat="1" x14ac:dyDescent="0.25">
      <c r="A498" t="str">
        <f>"217179"</f>
        <v>217179</v>
      </c>
      <c r="B498" t="s">
        <v>26571</v>
      </c>
      <c r="C498" t="s">
        <v>631</v>
      </c>
      <c r="D498" s="21" t="s">
        <v>34</v>
      </c>
      <c r="E498" s="21" t="s">
        <v>35</v>
      </c>
      <c r="F498">
        <v>12440056</v>
      </c>
      <c r="G498" t="s">
        <v>2037</v>
      </c>
      <c r="H498" s="21">
        <v>1748.17</v>
      </c>
    </row>
    <row r="499" spans="1:8" customFormat="1" x14ac:dyDescent="0.25">
      <c r="A499" t="str">
        <f>"494005"</f>
        <v>494005</v>
      </c>
      <c r="B499" t="s">
        <v>697</v>
      </c>
      <c r="C499" t="s">
        <v>33</v>
      </c>
      <c r="D499" s="21" t="s">
        <v>34</v>
      </c>
      <c r="E499" s="21" t="s">
        <v>35</v>
      </c>
      <c r="F499">
        <v>12490132</v>
      </c>
      <c r="G499" t="s">
        <v>1125</v>
      </c>
      <c r="H499" s="21">
        <v>1747.67</v>
      </c>
    </row>
    <row r="500" spans="1:8" customFormat="1" x14ac:dyDescent="0.25">
      <c r="A500" t="str">
        <f>"76940"</f>
        <v>76940</v>
      </c>
      <c r="B500" t="s">
        <v>965</v>
      </c>
      <c r="C500" t="s">
        <v>288</v>
      </c>
      <c r="D500" s="21" t="s">
        <v>34</v>
      </c>
      <c r="E500" s="21" t="s">
        <v>35</v>
      </c>
      <c r="F500">
        <v>9760004</v>
      </c>
      <c r="G500" t="s">
        <v>56</v>
      </c>
      <c r="H500" s="21">
        <v>1746.67</v>
      </c>
    </row>
    <row r="501" spans="1:8" customFormat="1" x14ac:dyDescent="0.25">
      <c r="A501" t="str">
        <f>"62818"</f>
        <v>62818</v>
      </c>
      <c r="B501" t="s">
        <v>722</v>
      </c>
      <c r="C501" t="s">
        <v>121</v>
      </c>
      <c r="D501" s="21" t="s">
        <v>34</v>
      </c>
      <c r="E501" s="21" t="s">
        <v>35</v>
      </c>
      <c r="F501">
        <v>7620019</v>
      </c>
      <c r="G501" t="s">
        <v>723</v>
      </c>
      <c r="H501" s="21">
        <v>1746.17</v>
      </c>
    </row>
    <row r="502" spans="1:8" customFormat="1" x14ac:dyDescent="0.25">
      <c r="A502" t="str">
        <f>"062498"</f>
        <v>062498</v>
      </c>
      <c r="B502" t="s">
        <v>3001</v>
      </c>
      <c r="C502" t="s">
        <v>98</v>
      </c>
      <c r="D502" s="21" t="s">
        <v>34</v>
      </c>
      <c r="E502" s="21" t="s">
        <v>35</v>
      </c>
      <c r="F502">
        <v>13830085</v>
      </c>
      <c r="G502" t="s">
        <v>478</v>
      </c>
      <c r="H502" s="21">
        <v>1744.67</v>
      </c>
    </row>
    <row r="503" spans="1:8" customFormat="1" x14ac:dyDescent="0.25">
      <c r="A503" t="str">
        <f>"7830126"</f>
        <v>7830126</v>
      </c>
      <c r="B503" t="s">
        <v>752</v>
      </c>
      <c r="C503" t="s">
        <v>96</v>
      </c>
      <c r="D503" s="21" t="s">
        <v>34</v>
      </c>
      <c r="E503" s="21" t="s">
        <v>35</v>
      </c>
      <c r="F503">
        <v>12720008</v>
      </c>
      <c r="G503" t="s">
        <v>753</v>
      </c>
      <c r="H503" s="21">
        <v>1744.67</v>
      </c>
    </row>
    <row r="504" spans="1:8" customFormat="1" x14ac:dyDescent="0.25">
      <c r="A504" t="str">
        <f>"711578"</f>
        <v>711578</v>
      </c>
      <c r="B504" t="s">
        <v>699</v>
      </c>
      <c r="C504" t="s">
        <v>169</v>
      </c>
      <c r="D504" s="21" t="s">
        <v>34</v>
      </c>
      <c r="E504" s="21" t="s">
        <v>71</v>
      </c>
      <c r="F504">
        <v>2710005</v>
      </c>
      <c r="G504" t="s">
        <v>642</v>
      </c>
      <c r="H504" s="21">
        <v>1744.17</v>
      </c>
    </row>
    <row r="505" spans="1:8" customFormat="1" x14ac:dyDescent="0.25">
      <c r="A505" t="str">
        <f>"773934"</f>
        <v>773934</v>
      </c>
      <c r="B505" t="s">
        <v>829</v>
      </c>
      <c r="C505" t="s">
        <v>288</v>
      </c>
      <c r="D505" s="21" t="s">
        <v>34</v>
      </c>
      <c r="E505" s="21" t="s">
        <v>35</v>
      </c>
      <c r="F505">
        <v>8771446</v>
      </c>
      <c r="G505" t="s">
        <v>830</v>
      </c>
      <c r="H505" s="21">
        <v>1743.67</v>
      </c>
    </row>
    <row r="506" spans="1:8" customFormat="1" x14ac:dyDescent="0.25">
      <c r="A506" t="str">
        <f>"931093"</f>
        <v>931093</v>
      </c>
      <c r="B506" t="s">
        <v>958</v>
      </c>
      <c r="C506" t="s">
        <v>209</v>
      </c>
      <c r="D506" s="21" t="s">
        <v>34</v>
      </c>
      <c r="E506" s="21" t="s">
        <v>71</v>
      </c>
      <c r="F506">
        <v>10870031</v>
      </c>
      <c r="G506" t="s">
        <v>959</v>
      </c>
      <c r="H506" s="21">
        <v>1743.17</v>
      </c>
    </row>
    <row r="507" spans="1:8" customFormat="1" x14ac:dyDescent="0.25">
      <c r="A507" t="str">
        <f>"80418"</f>
        <v>80418</v>
      </c>
      <c r="B507" t="s">
        <v>840</v>
      </c>
      <c r="C507" t="s">
        <v>841</v>
      </c>
      <c r="D507" s="21" t="s">
        <v>34</v>
      </c>
      <c r="E507" s="21" t="s">
        <v>254</v>
      </c>
      <c r="F507">
        <v>7800008</v>
      </c>
      <c r="G507" t="s">
        <v>842</v>
      </c>
      <c r="H507" s="21">
        <v>1742.17</v>
      </c>
    </row>
    <row r="508" spans="1:8" customFormat="1" x14ac:dyDescent="0.25">
      <c r="A508" t="str">
        <f>"376505"</f>
        <v>376505</v>
      </c>
      <c r="B508" t="s">
        <v>987</v>
      </c>
      <c r="C508" t="s">
        <v>988</v>
      </c>
      <c r="D508" s="21" t="s">
        <v>34</v>
      </c>
      <c r="E508" s="21" t="s">
        <v>35</v>
      </c>
      <c r="F508">
        <v>4370694</v>
      </c>
      <c r="G508" t="s">
        <v>989</v>
      </c>
      <c r="H508" s="21">
        <v>1742.17</v>
      </c>
    </row>
    <row r="509" spans="1:8" customFormat="1" x14ac:dyDescent="0.25">
      <c r="A509" t="str">
        <f>"7510985"</f>
        <v>7510985</v>
      </c>
      <c r="B509" t="s">
        <v>819</v>
      </c>
      <c r="C509" t="s">
        <v>239</v>
      </c>
      <c r="D509" s="21" t="s">
        <v>34</v>
      </c>
      <c r="E509" s="21" t="s">
        <v>71</v>
      </c>
      <c r="F509">
        <v>6510001</v>
      </c>
      <c r="G509" t="s">
        <v>286</v>
      </c>
      <c r="H509" s="21">
        <v>1741.67</v>
      </c>
    </row>
    <row r="510" spans="1:8" customFormat="1" x14ac:dyDescent="0.25">
      <c r="A510" t="str">
        <f>"636170"</f>
        <v>636170</v>
      </c>
      <c r="B510" t="s">
        <v>856</v>
      </c>
      <c r="C510" t="s">
        <v>857</v>
      </c>
      <c r="D510" s="21" t="s">
        <v>34</v>
      </c>
      <c r="E510" s="21" t="s">
        <v>35</v>
      </c>
      <c r="F510">
        <v>1630185</v>
      </c>
      <c r="G510" t="s">
        <v>858</v>
      </c>
      <c r="H510" s="21">
        <v>1741.67</v>
      </c>
    </row>
    <row r="511" spans="1:8" customFormat="1" x14ac:dyDescent="0.25">
      <c r="A511" t="str">
        <f>"929816"</f>
        <v>929816</v>
      </c>
      <c r="B511" t="s">
        <v>727</v>
      </c>
      <c r="C511" t="s">
        <v>43</v>
      </c>
      <c r="D511" s="21" t="s">
        <v>34</v>
      </c>
      <c r="E511" s="21" t="s">
        <v>35</v>
      </c>
      <c r="F511">
        <v>8950479</v>
      </c>
      <c r="G511" t="s">
        <v>728</v>
      </c>
      <c r="H511" s="21">
        <v>1740.67</v>
      </c>
    </row>
    <row r="512" spans="1:8" customFormat="1" x14ac:dyDescent="0.25">
      <c r="A512" t="str">
        <f>"576247"</f>
        <v>576247</v>
      </c>
      <c r="B512" t="s">
        <v>850</v>
      </c>
      <c r="C512" t="s">
        <v>209</v>
      </c>
      <c r="D512" s="21" t="s">
        <v>34</v>
      </c>
      <c r="E512" s="21" t="s">
        <v>71</v>
      </c>
      <c r="F512">
        <v>6570030</v>
      </c>
      <c r="G512" t="s">
        <v>851</v>
      </c>
      <c r="H512" s="21">
        <v>1740.67</v>
      </c>
    </row>
    <row r="513" spans="1:8" customFormat="1" x14ac:dyDescent="0.25">
      <c r="A513" t="str">
        <f>"417434"</f>
        <v>417434</v>
      </c>
      <c r="B513" t="s">
        <v>824</v>
      </c>
      <c r="C513" t="s">
        <v>119</v>
      </c>
      <c r="D513" s="21" t="s">
        <v>34</v>
      </c>
      <c r="E513" s="21" t="s">
        <v>35</v>
      </c>
      <c r="F513">
        <v>4450571</v>
      </c>
      <c r="G513" t="s">
        <v>188</v>
      </c>
      <c r="H513" s="21">
        <v>1740.3</v>
      </c>
    </row>
    <row r="514" spans="1:8" customFormat="1" x14ac:dyDescent="0.25">
      <c r="A514" t="str">
        <f>"9714834"</f>
        <v>9714834</v>
      </c>
      <c r="B514" t="s">
        <v>729</v>
      </c>
      <c r="C514" t="s">
        <v>730</v>
      </c>
      <c r="D514" s="21" t="s">
        <v>34</v>
      </c>
      <c r="E514" s="21" t="s">
        <v>71</v>
      </c>
      <c r="F514" t="s">
        <v>731</v>
      </c>
      <c r="G514" t="s">
        <v>732</v>
      </c>
      <c r="H514" s="21">
        <v>1739.67</v>
      </c>
    </row>
    <row r="515" spans="1:8" customFormat="1" x14ac:dyDescent="0.25">
      <c r="A515" t="str">
        <f>"449712"</f>
        <v>449712</v>
      </c>
      <c r="B515" t="s">
        <v>890</v>
      </c>
      <c r="C515" t="s">
        <v>891</v>
      </c>
      <c r="D515" s="21" t="s">
        <v>34</v>
      </c>
      <c r="E515" s="21" t="s">
        <v>35</v>
      </c>
      <c r="F515">
        <v>12440094</v>
      </c>
      <c r="G515" t="s">
        <v>892</v>
      </c>
      <c r="H515" s="21">
        <v>1739.67</v>
      </c>
    </row>
    <row r="516" spans="1:8" customFormat="1" x14ac:dyDescent="0.25">
      <c r="A516" t="str">
        <f>"5315666"</f>
        <v>5315666</v>
      </c>
      <c r="B516" t="s">
        <v>913</v>
      </c>
      <c r="C516" t="s">
        <v>58</v>
      </c>
      <c r="D516" s="21" t="s">
        <v>34</v>
      </c>
      <c r="E516" s="21" t="s">
        <v>35</v>
      </c>
      <c r="F516">
        <v>12530022</v>
      </c>
      <c r="G516" t="s">
        <v>914</v>
      </c>
      <c r="H516" s="21">
        <v>1739.17</v>
      </c>
    </row>
    <row r="517" spans="1:8" customFormat="1" x14ac:dyDescent="0.25">
      <c r="A517" t="str">
        <f>"5715918"</f>
        <v>5715918</v>
      </c>
      <c r="B517" t="s">
        <v>950</v>
      </c>
      <c r="C517" t="s">
        <v>951</v>
      </c>
      <c r="D517" s="21" t="s">
        <v>34</v>
      </c>
      <c r="E517" s="21" t="s">
        <v>35</v>
      </c>
      <c r="F517">
        <v>6570073</v>
      </c>
      <c r="G517" t="s">
        <v>952</v>
      </c>
      <c r="H517" s="21">
        <v>1739.17</v>
      </c>
    </row>
    <row r="518" spans="1:8" customFormat="1" x14ac:dyDescent="0.25">
      <c r="A518" t="str">
        <f>"7814493"</f>
        <v>7814493</v>
      </c>
      <c r="B518" t="s">
        <v>937</v>
      </c>
      <c r="C518" t="s">
        <v>96</v>
      </c>
      <c r="D518" s="21" t="s">
        <v>34</v>
      </c>
      <c r="E518" s="21" t="s">
        <v>35</v>
      </c>
      <c r="F518">
        <v>8780329</v>
      </c>
      <c r="G518" t="s">
        <v>917</v>
      </c>
      <c r="H518" s="21">
        <v>1738.17</v>
      </c>
    </row>
    <row r="519" spans="1:8" customFormat="1" x14ac:dyDescent="0.25">
      <c r="A519" t="str">
        <f>"495767"</f>
        <v>495767</v>
      </c>
      <c r="B519" t="s">
        <v>714</v>
      </c>
      <c r="C519" t="s">
        <v>275</v>
      </c>
      <c r="D519" s="21" t="s">
        <v>34</v>
      </c>
      <c r="E519" s="21" t="s">
        <v>35</v>
      </c>
      <c r="F519">
        <v>12490107</v>
      </c>
      <c r="G519" t="s">
        <v>715</v>
      </c>
      <c r="H519" s="21">
        <v>1738.17</v>
      </c>
    </row>
    <row r="520" spans="1:8" customFormat="1" x14ac:dyDescent="0.25">
      <c r="A520" t="str">
        <f>"228066"</f>
        <v>228066</v>
      </c>
      <c r="B520" t="s">
        <v>792</v>
      </c>
      <c r="C520" t="s">
        <v>121</v>
      </c>
      <c r="D520" s="21" t="s">
        <v>34</v>
      </c>
      <c r="E520" s="21" t="s">
        <v>35</v>
      </c>
      <c r="F520">
        <v>3220064</v>
      </c>
      <c r="G520" t="s">
        <v>26559</v>
      </c>
      <c r="H520" s="21">
        <v>1738.17</v>
      </c>
    </row>
    <row r="521" spans="1:8" customFormat="1" x14ac:dyDescent="0.25">
      <c r="A521" t="str">
        <f>"5934085"</f>
        <v>5934085</v>
      </c>
      <c r="B521" t="s">
        <v>628</v>
      </c>
      <c r="C521" t="s">
        <v>121</v>
      </c>
      <c r="D521" s="21" t="s">
        <v>34</v>
      </c>
      <c r="E521" s="21" t="s">
        <v>35</v>
      </c>
      <c r="F521">
        <v>7590027</v>
      </c>
      <c r="G521" t="s">
        <v>629</v>
      </c>
      <c r="H521" s="21">
        <v>1738.17</v>
      </c>
    </row>
    <row r="522" spans="1:8" customFormat="1" x14ac:dyDescent="0.25">
      <c r="A522" t="str">
        <f>"785085"</f>
        <v>785085</v>
      </c>
      <c r="B522" t="s">
        <v>863</v>
      </c>
      <c r="C522" t="s">
        <v>864</v>
      </c>
      <c r="D522" s="21" t="s">
        <v>34</v>
      </c>
      <c r="E522" s="21" t="s">
        <v>35</v>
      </c>
      <c r="F522">
        <v>8780080</v>
      </c>
      <c r="G522" t="s">
        <v>865</v>
      </c>
      <c r="H522" s="21">
        <v>1737.17</v>
      </c>
    </row>
    <row r="523" spans="1:8" customFormat="1" x14ac:dyDescent="0.25">
      <c r="A523" t="str">
        <f>"392893"</f>
        <v>392893</v>
      </c>
      <c r="B523" t="s">
        <v>1149</v>
      </c>
      <c r="C523" t="s">
        <v>328</v>
      </c>
      <c r="D523" s="21" t="s">
        <v>34</v>
      </c>
      <c r="E523" s="21" t="s">
        <v>35</v>
      </c>
      <c r="F523">
        <v>2390003</v>
      </c>
      <c r="G523" t="s">
        <v>1150</v>
      </c>
      <c r="H523" s="21">
        <v>1735.67</v>
      </c>
    </row>
    <row r="524" spans="1:8" customFormat="1" x14ac:dyDescent="0.25">
      <c r="A524" t="str">
        <f>"767471"</f>
        <v>767471</v>
      </c>
      <c r="B524" t="s">
        <v>1165</v>
      </c>
      <c r="C524" t="s">
        <v>147</v>
      </c>
      <c r="D524" s="21" t="s">
        <v>34</v>
      </c>
      <c r="E524" s="21" t="s">
        <v>35</v>
      </c>
      <c r="F524">
        <v>9760004</v>
      </c>
      <c r="G524" t="s">
        <v>56</v>
      </c>
      <c r="H524" s="21">
        <v>1735.17</v>
      </c>
    </row>
    <row r="525" spans="1:8" customFormat="1" x14ac:dyDescent="0.25">
      <c r="A525" t="str">
        <f>"9422694"</f>
        <v>9422694</v>
      </c>
      <c r="B525" t="s">
        <v>984</v>
      </c>
      <c r="C525" t="s">
        <v>985</v>
      </c>
      <c r="D525" s="21" t="s">
        <v>34</v>
      </c>
      <c r="E525" s="21" t="s">
        <v>35</v>
      </c>
      <c r="F525">
        <v>8910214</v>
      </c>
      <c r="G525" t="s">
        <v>986</v>
      </c>
      <c r="H525" s="21">
        <v>1734.29</v>
      </c>
    </row>
    <row r="526" spans="1:8" customFormat="1" x14ac:dyDescent="0.25">
      <c r="A526" t="str">
        <f>"956301"</f>
        <v>956301</v>
      </c>
      <c r="B526" t="s">
        <v>26572</v>
      </c>
      <c r="C526" t="s">
        <v>7441</v>
      </c>
      <c r="D526" s="21" t="s">
        <v>34</v>
      </c>
      <c r="E526" s="21" t="s">
        <v>35</v>
      </c>
      <c r="F526">
        <v>8950083</v>
      </c>
      <c r="G526" t="s">
        <v>405</v>
      </c>
      <c r="H526" s="21">
        <v>1734.18</v>
      </c>
    </row>
    <row r="527" spans="1:8" customFormat="1" x14ac:dyDescent="0.25">
      <c r="A527" t="str">
        <f>"57678"</f>
        <v>57678</v>
      </c>
      <c r="B527" t="s">
        <v>811</v>
      </c>
      <c r="C527" t="s">
        <v>812</v>
      </c>
      <c r="D527" s="21" t="s">
        <v>34</v>
      </c>
      <c r="E527" s="21" t="s">
        <v>254</v>
      </c>
      <c r="F527">
        <v>6570140</v>
      </c>
      <c r="G527" t="s">
        <v>813</v>
      </c>
      <c r="H527" s="21">
        <v>1734.17</v>
      </c>
    </row>
    <row r="528" spans="1:8" customFormat="1" x14ac:dyDescent="0.25">
      <c r="A528" t="str">
        <f>"6269"</f>
        <v>6269</v>
      </c>
      <c r="B528" t="s">
        <v>859</v>
      </c>
      <c r="C528" t="s">
        <v>55</v>
      </c>
      <c r="D528" s="21" t="s">
        <v>34</v>
      </c>
      <c r="E528" s="21" t="s">
        <v>71</v>
      </c>
      <c r="F528">
        <v>7620067</v>
      </c>
      <c r="G528" t="s">
        <v>860</v>
      </c>
      <c r="H528" s="21">
        <v>1734.17</v>
      </c>
    </row>
    <row r="529" spans="1:8" customFormat="1" x14ac:dyDescent="0.25">
      <c r="A529" t="str">
        <f>"569532"</f>
        <v>569532</v>
      </c>
      <c r="B529" t="s">
        <v>737</v>
      </c>
      <c r="C529" t="s">
        <v>204</v>
      </c>
      <c r="D529" s="21" t="s">
        <v>34</v>
      </c>
      <c r="E529" s="21" t="s">
        <v>35</v>
      </c>
      <c r="F529">
        <v>3560031</v>
      </c>
      <c r="G529" t="s">
        <v>738</v>
      </c>
      <c r="H529" s="21">
        <v>1734.17</v>
      </c>
    </row>
    <row r="530" spans="1:8" customFormat="1" x14ac:dyDescent="0.25">
      <c r="A530" t="str">
        <f>"5910477"</f>
        <v>5910477</v>
      </c>
      <c r="B530" t="s">
        <v>866</v>
      </c>
      <c r="C530" t="s">
        <v>867</v>
      </c>
      <c r="D530" s="21" t="s">
        <v>34</v>
      </c>
      <c r="E530" s="21" t="s">
        <v>35</v>
      </c>
      <c r="F530">
        <v>7590170</v>
      </c>
      <c r="G530" t="s">
        <v>868</v>
      </c>
      <c r="H530" s="21">
        <v>1733.67</v>
      </c>
    </row>
    <row r="531" spans="1:8" customFormat="1" x14ac:dyDescent="0.25">
      <c r="A531" t="str">
        <f>"4433931"</f>
        <v>4433931</v>
      </c>
      <c r="B531" t="s">
        <v>1250</v>
      </c>
      <c r="C531" t="s">
        <v>415</v>
      </c>
      <c r="D531" s="21" t="s">
        <v>34</v>
      </c>
      <c r="E531" s="21" t="s">
        <v>71</v>
      </c>
      <c r="F531">
        <v>12440081</v>
      </c>
      <c r="G531" t="s">
        <v>617</v>
      </c>
      <c r="H531" s="21">
        <v>1733.17</v>
      </c>
    </row>
    <row r="532" spans="1:8" customFormat="1" x14ac:dyDescent="0.25">
      <c r="A532" t="str">
        <f>"442582"</f>
        <v>442582</v>
      </c>
      <c r="B532" t="s">
        <v>8114</v>
      </c>
      <c r="C532" t="s">
        <v>328</v>
      </c>
      <c r="D532" s="21" t="s">
        <v>34</v>
      </c>
      <c r="E532" s="21" t="s">
        <v>35</v>
      </c>
      <c r="F532">
        <v>12440004</v>
      </c>
      <c r="G532" t="s">
        <v>26530</v>
      </c>
      <c r="H532" s="21">
        <v>1732.67</v>
      </c>
    </row>
    <row r="533" spans="1:8" customFormat="1" x14ac:dyDescent="0.25">
      <c r="A533" t="str">
        <f>"6924444"</f>
        <v>6924444</v>
      </c>
      <c r="B533" t="s">
        <v>392</v>
      </c>
      <c r="C533" t="s">
        <v>750</v>
      </c>
      <c r="D533" s="21" t="s">
        <v>34</v>
      </c>
      <c r="E533" s="21" t="s">
        <v>254</v>
      </c>
      <c r="F533">
        <v>2250024</v>
      </c>
      <c r="G533" t="s">
        <v>751</v>
      </c>
      <c r="H533" s="21">
        <v>1731.67</v>
      </c>
    </row>
    <row r="534" spans="1:8" customFormat="1" x14ac:dyDescent="0.25">
      <c r="A534" t="str">
        <f>"9244273"</f>
        <v>9244273</v>
      </c>
      <c r="B534" t="s">
        <v>1065</v>
      </c>
      <c r="C534" t="s">
        <v>288</v>
      </c>
      <c r="D534" s="21" t="s">
        <v>34</v>
      </c>
      <c r="E534" s="21" t="s">
        <v>35</v>
      </c>
      <c r="F534">
        <v>8910918</v>
      </c>
      <c r="G534" t="s">
        <v>332</v>
      </c>
      <c r="H534" s="21">
        <v>1730.68</v>
      </c>
    </row>
    <row r="535" spans="1:8" customFormat="1" x14ac:dyDescent="0.25">
      <c r="A535" t="str">
        <f>"574377"</f>
        <v>574377</v>
      </c>
      <c r="B535" t="s">
        <v>928</v>
      </c>
      <c r="C535" t="s">
        <v>929</v>
      </c>
      <c r="D535" s="21" t="s">
        <v>34</v>
      </c>
      <c r="E535" s="21" t="s">
        <v>35</v>
      </c>
      <c r="F535">
        <v>6570190</v>
      </c>
      <c r="G535" t="s">
        <v>622</v>
      </c>
      <c r="H535" s="21">
        <v>1730.67</v>
      </c>
    </row>
    <row r="536" spans="1:8" customFormat="1" x14ac:dyDescent="0.25">
      <c r="A536" t="str">
        <f>"81470"</f>
        <v>81470</v>
      </c>
      <c r="B536" t="s">
        <v>3368</v>
      </c>
      <c r="C536" t="s">
        <v>62</v>
      </c>
      <c r="D536" s="21" t="s">
        <v>34</v>
      </c>
      <c r="E536" s="21" t="s">
        <v>35</v>
      </c>
      <c r="F536">
        <v>11310047</v>
      </c>
      <c r="G536" t="s">
        <v>2188</v>
      </c>
      <c r="H536" s="21">
        <v>1730.67</v>
      </c>
    </row>
    <row r="537" spans="1:8" customFormat="1" x14ac:dyDescent="0.25">
      <c r="A537" t="str">
        <f>"50837"</f>
        <v>50837</v>
      </c>
      <c r="B537" t="s">
        <v>7608</v>
      </c>
      <c r="C537" t="s">
        <v>498</v>
      </c>
      <c r="D537" s="21" t="s">
        <v>34</v>
      </c>
      <c r="E537" s="21" t="s">
        <v>35</v>
      </c>
      <c r="F537">
        <v>9500159</v>
      </c>
      <c r="G537" t="s">
        <v>11102</v>
      </c>
      <c r="H537" s="21">
        <v>1730.17</v>
      </c>
    </row>
    <row r="538" spans="1:8" customFormat="1" x14ac:dyDescent="0.25">
      <c r="A538" t="str">
        <f>"626207"</f>
        <v>626207</v>
      </c>
      <c r="B538" t="s">
        <v>23272</v>
      </c>
      <c r="C538" t="s">
        <v>206</v>
      </c>
      <c r="D538" s="21" t="s">
        <v>34</v>
      </c>
      <c r="E538" s="21" t="s">
        <v>35</v>
      </c>
      <c r="F538">
        <v>7620088</v>
      </c>
      <c r="G538" t="s">
        <v>3342</v>
      </c>
      <c r="H538" s="21">
        <v>1729.92</v>
      </c>
    </row>
    <row r="539" spans="1:8" customFormat="1" x14ac:dyDescent="0.25">
      <c r="A539" t="str">
        <f>"305419"</f>
        <v>305419</v>
      </c>
      <c r="B539" t="s">
        <v>1040</v>
      </c>
      <c r="C539" t="s">
        <v>1041</v>
      </c>
      <c r="D539" s="21" t="s">
        <v>34</v>
      </c>
      <c r="E539" s="21" t="s">
        <v>71</v>
      </c>
      <c r="F539">
        <v>9610004</v>
      </c>
      <c r="G539" t="s">
        <v>1042</v>
      </c>
      <c r="H539" s="21">
        <v>1729.67</v>
      </c>
    </row>
    <row r="540" spans="1:8" customFormat="1" x14ac:dyDescent="0.25">
      <c r="A540" t="str">
        <f>"023920"</f>
        <v>023920</v>
      </c>
      <c r="B540" t="s">
        <v>827</v>
      </c>
      <c r="C540" t="s">
        <v>486</v>
      </c>
      <c r="D540" s="21" t="s">
        <v>34</v>
      </c>
      <c r="E540" s="21" t="s">
        <v>71</v>
      </c>
      <c r="F540">
        <v>7020031</v>
      </c>
      <c r="G540" t="s">
        <v>828</v>
      </c>
      <c r="H540" s="21">
        <v>1729.67</v>
      </c>
    </row>
    <row r="541" spans="1:8" customFormat="1" x14ac:dyDescent="0.25">
      <c r="A541" t="str">
        <f>"954272"</f>
        <v>954272</v>
      </c>
      <c r="B541" t="s">
        <v>1094</v>
      </c>
      <c r="C541" t="s">
        <v>493</v>
      </c>
      <c r="D541" s="21" t="s">
        <v>34</v>
      </c>
      <c r="E541" s="21" t="s">
        <v>35</v>
      </c>
      <c r="F541">
        <v>10400015</v>
      </c>
      <c r="G541" t="s">
        <v>1095</v>
      </c>
      <c r="H541" s="21">
        <v>1728.67</v>
      </c>
    </row>
    <row r="542" spans="1:8" customFormat="1" x14ac:dyDescent="0.25">
      <c r="A542" t="str">
        <f>"83890"</f>
        <v>83890</v>
      </c>
      <c r="B542" t="s">
        <v>67</v>
      </c>
      <c r="C542" t="s">
        <v>55</v>
      </c>
      <c r="D542" s="21" t="s">
        <v>34</v>
      </c>
      <c r="E542" s="21" t="s">
        <v>71</v>
      </c>
      <c r="F542">
        <v>13830029</v>
      </c>
      <c r="G542" t="s">
        <v>315</v>
      </c>
      <c r="H542" s="21">
        <v>1728.67</v>
      </c>
    </row>
    <row r="543" spans="1:8" customFormat="1" x14ac:dyDescent="0.25">
      <c r="A543" t="str">
        <f>"724113"</f>
        <v>724113</v>
      </c>
      <c r="B543" t="s">
        <v>921</v>
      </c>
      <c r="C543" t="s">
        <v>40</v>
      </c>
      <c r="D543" s="21" t="s">
        <v>34</v>
      </c>
      <c r="E543" s="21" t="s">
        <v>71</v>
      </c>
      <c r="F543">
        <v>12720042</v>
      </c>
      <c r="G543" t="s">
        <v>922</v>
      </c>
      <c r="H543" s="21">
        <v>1728.17</v>
      </c>
    </row>
    <row r="544" spans="1:8" customFormat="1" x14ac:dyDescent="0.25">
      <c r="A544" t="str">
        <f>"384552"</f>
        <v>384552</v>
      </c>
      <c r="B544" t="s">
        <v>1046</v>
      </c>
      <c r="C544" t="s">
        <v>65</v>
      </c>
      <c r="D544" s="21" t="s">
        <v>34</v>
      </c>
      <c r="E544" s="21" t="s">
        <v>71</v>
      </c>
      <c r="F544">
        <v>1380136</v>
      </c>
      <c r="G544" t="s">
        <v>1047</v>
      </c>
      <c r="H544" s="21">
        <v>1727.67</v>
      </c>
    </row>
    <row r="545" spans="1:8" customFormat="1" x14ac:dyDescent="0.25">
      <c r="A545" t="str">
        <f>"174928"</f>
        <v>174928</v>
      </c>
      <c r="B545" t="s">
        <v>904</v>
      </c>
      <c r="C545" t="s">
        <v>528</v>
      </c>
      <c r="D545" s="21" t="s">
        <v>34</v>
      </c>
      <c r="E545" s="21" t="s">
        <v>71</v>
      </c>
      <c r="F545">
        <v>10170016</v>
      </c>
      <c r="G545" t="s">
        <v>88</v>
      </c>
      <c r="H545" s="21">
        <v>1727.17</v>
      </c>
    </row>
    <row r="546" spans="1:8" customFormat="1" x14ac:dyDescent="0.25">
      <c r="A546" t="str">
        <f>"5314877"</f>
        <v>5314877</v>
      </c>
      <c r="B546" t="s">
        <v>5403</v>
      </c>
      <c r="C546" t="s">
        <v>967</v>
      </c>
      <c r="D546" s="21" t="s">
        <v>34</v>
      </c>
      <c r="E546" s="21" t="s">
        <v>35</v>
      </c>
      <c r="F546">
        <v>12530060</v>
      </c>
      <c r="G546" t="s">
        <v>1356</v>
      </c>
      <c r="H546" s="21">
        <v>1727</v>
      </c>
    </row>
    <row r="547" spans="1:8" customFormat="1" x14ac:dyDescent="0.25">
      <c r="A547" t="str">
        <f>"144454"</f>
        <v>144454</v>
      </c>
      <c r="B547" t="s">
        <v>26573</v>
      </c>
      <c r="C547" t="s">
        <v>33</v>
      </c>
      <c r="D547" s="21" t="s">
        <v>34</v>
      </c>
      <c r="E547" s="21" t="s">
        <v>35</v>
      </c>
      <c r="F547">
        <v>9140123</v>
      </c>
      <c r="G547" t="s">
        <v>661</v>
      </c>
      <c r="H547" s="21">
        <v>1726.67</v>
      </c>
    </row>
    <row r="548" spans="1:8" customFormat="1" x14ac:dyDescent="0.25">
      <c r="A548" t="str">
        <f>"50306"</f>
        <v>50306</v>
      </c>
      <c r="B548" t="s">
        <v>1177</v>
      </c>
      <c r="C548" t="s">
        <v>1100</v>
      </c>
      <c r="D548" s="21" t="s">
        <v>34</v>
      </c>
      <c r="E548" s="21" t="s">
        <v>35</v>
      </c>
      <c r="F548">
        <v>9500013</v>
      </c>
      <c r="G548" t="s">
        <v>992</v>
      </c>
      <c r="H548" s="21">
        <v>1726.67</v>
      </c>
    </row>
    <row r="549" spans="1:8" customFormat="1" x14ac:dyDescent="0.25">
      <c r="A549" t="str">
        <f>"305293"</f>
        <v>305293</v>
      </c>
      <c r="B549" t="s">
        <v>4352</v>
      </c>
      <c r="C549" t="s">
        <v>121</v>
      </c>
      <c r="D549" s="21" t="s">
        <v>34</v>
      </c>
      <c r="E549" s="21" t="s">
        <v>71</v>
      </c>
      <c r="F549">
        <v>1730051</v>
      </c>
      <c r="G549" t="s">
        <v>5293</v>
      </c>
      <c r="H549" s="21">
        <v>1726.67</v>
      </c>
    </row>
    <row r="550" spans="1:8" customFormat="1" x14ac:dyDescent="0.25">
      <c r="A550" t="str">
        <f>"424787"</f>
        <v>424787</v>
      </c>
      <c r="B550" t="s">
        <v>9424</v>
      </c>
      <c r="C550" t="s">
        <v>285</v>
      </c>
      <c r="D550" s="21" t="s">
        <v>34</v>
      </c>
      <c r="E550" s="21" t="s">
        <v>35</v>
      </c>
      <c r="F550">
        <v>1420013</v>
      </c>
      <c r="G550" t="s">
        <v>2013</v>
      </c>
      <c r="H550" s="21">
        <v>1726.62</v>
      </c>
    </row>
    <row r="551" spans="1:8" customFormat="1" x14ac:dyDescent="0.25">
      <c r="A551" t="str">
        <f>"442537"</f>
        <v>442537</v>
      </c>
      <c r="B551" t="s">
        <v>1013</v>
      </c>
      <c r="C551" t="s">
        <v>109</v>
      </c>
      <c r="D551" s="21" t="s">
        <v>34</v>
      </c>
      <c r="E551" s="21" t="s">
        <v>35</v>
      </c>
      <c r="F551">
        <v>12440084</v>
      </c>
      <c r="G551" t="s">
        <v>1014</v>
      </c>
      <c r="H551" s="21">
        <v>1726.17</v>
      </c>
    </row>
    <row r="552" spans="1:8" customFormat="1" x14ac:dyDescent="0.25">
      <c r="A552" t="str">
        <f>"592199"</f>
        <v>592199</v>
      </c>
      <c r="B552" t="s">
        <v>136</v>
      </c>
      <c r="C552" t="s">
        <v>147</v>
      </c>
      <c r="D552" s="21" t="s">
        <v>34</v>
      </c>
      <c r="E552" s="21" t="s">
        <v>35</v>
      </c>
      <c r="F552">
        <v>7590123</v>
      </c>
      <c r="G552" t="s">
        <v>85</v>
      </c>
      <c r="H552" s="21">
        <v>1726.17</v>
      </c>
    </row>
    <row r="553" spans="1:8" customFormat="1" x14ac:dyDescent="0.25">
      <c r="A553" t="str">
        <f>"692462"</f>
        <v>692462</v>
      </c>
      <c r="B553" t="s">
        <v>1111</v>
      </c>
      <c r="C553" t="s">
        <v>119</v>
      </c>
      <c r="D553" s="21" t="s">
        <v>34</v>
      </c>
      <c r="E553" s="21" t="s">
        <v>35</v>
      </c>
      <c r="F553">
        <v>1690186</v>
      </c>
      <c r="G553" t="s">
        <v>438</v>
      </c>
      <c r="H553" s="21">
        <v>1725.8</v>
      </c>
    </row>
    <row r="554" spans="1:8" customFormat="1" x14ac:dyDescent="0.25">
      <c r="A554" t="str">
        <f>"795639"</f>
        <v>795639</v>
      </c>
      <c r="B554" t="s">
        <v>3972</v>
      </c>
      <c r="C554" t="s">
        <v>3522</v>
      </c>
      <c r="D554" s="21" t="s">
        <v>34</v>
      </c>
      <c r="E554" s="21" t="s">
        <v>35</v>
      </c>
      <c r="F554">
        <v>10790069</v>
      </c>
      <c r="G554" t="s">
        <v>689</v>
      </c>
      <c r="H554" s="21">
        <v>1725.67</v>
      </c>
    </row>
    <row r="555" spans="1:8" customFormat="1" x14ac:dyDescent="0.25">
      <c r="A555" t="str">
        <f>"759412"</f>
        <v>759412</v>
      </c>
      <c r="B555" t="s">
        <v>1062</v>
      </c>
      <c r="C555" t="s">
        <v>1063</v>
      </c>
      <c r="D555" s="21" t="s">
        <v>34</v>
      </c>
      <c r="E555" s="21" t="s">
        <v>35</v>
      </c>
      <c r="F555">
        <v>8920111</v>
      </c>
      <c r="G555" t="s">
        <v>1064</v>
      </c>
      <c r="H555" s="21">
        <v>1724.67</v>
      </c>
    </row>
    <row r="556" spans="1:8" customFormat="1" x14ac:dyDescent="0.25">
      <c r="A556" t="str">
        <f>"724953"</f>
        <v>724953</v>
      </c>
      <c r="B556" t="s">
        <v>782</v>
      </c>
      <c r="C556" t="s">
        <v>233</v>
      </c>
      <c r="D556" s="21" t="s">
        <v>34</v>
      </c>
      <c r="E556" s="21" t="s">
        <v>71</v>
      </c>
      <c r="F556">
        <v>12720120</v>
      </c>
      <c r="G556" t="s">
        <v>2509</v>
      </c>
      <c r="H556" s="21">
        <v>1724.17</v>
      </c>
    </row>
    <row r="557" spans="1:8" customFormat="1" x14ac:dyDescent="0.25">
      <c r="A557" t="str">
        <f>"591721"</f>
        <v>591721</v>
      </c>
      <c r="B557" t="s">
        <v>954</v>
      </c>
      <c r="C557" t="s">
        <v>955</v>
      </c>
      <c r="D557" s="21" t="s">
        <v>34</v>
      </c>
      <c r="E557" s="21" t="s">
        <v>71</v>
      </c>
      <c r="F557">
        <v>7590170</v>
      </c>
      <c r="G557" t="s">
        <v>868</v>
      </c>
      <c r="H557" s="21">
        <v>1723.67</v>
      </c>
    </row>
    <row r="558" spans="1:8" customFormat="1" x14ac:dyDescent="0.25">
      <c r="A558" t="str">
        <f>"3664"</f>
        <v>3664</v>
      </c>
      <c r="B558" t="s">
        <v>948</v>
      </c>
      <c r="C558" t="s">
        <v>598</v>
      </c>
      <c r="D558" s="21" t="s">
        <v>34</v>
      </c>
      <c r="E558" s="21" t="s">
        <v>254</v>
      </c>
      <c r="F558">
        <v>4360002</v>
      </c>
      <c r="G558" t="s">
        <v>222</v>
      </c>
      <c r="H558" s="21">
        <v>1723.67</v>
      </c>
    </row>
    <row r="559" spans="1:8" customFormat="1" x14ac:dyDescent="0.25">
      <c r="A559" t="str">
        <f>"724375"</f>
        <v>724375</v>
      </c>
      <c r="B559" t="s">
        <v>949</v>
      </c>
      <c r="C559" t="s">
        <v>87</v>
      </c>
      <c r="D559" s="21" t="s">
        <v>34</v>
      </c>
      <c r="E559" s="21" t="s">
        <v>35</v>
      </c>
      <c r="F559">
        <v>12720104</v>
      </c>
      <c r="G559" t="s">
        <v>224</v>
      </c>
      <c r="H559" s="21">
        <v>1723.67</v>
      </c>
    </row>
    <row r="560" spans="1:8" customFormat="1" x14ac:dyDescent="0.25">
      <c r="A560" t="str">
        <f>"925143"</f>
        <v>925143</v>
      </c>
      <c r="B560" t="s">
        <v>871</v>
      </c>
      <c r="C560" t="s">
        <v>171</v>
      </c>
      <c r="D560" s="21" t="s">
        <v>34</v>
      </c>
      <c r="E560" s="21" t="s">
        <v>35</v>
      </c>
      <c r="F560">
        <v>8920067</v>
      </c>
      <c r="G560" t="s">
        <v>258</v>
      </c>
      <c r="H560" s="21">
        <v>1722.67</v>
      </c>
    </row>
    <row r="561" spans="1:8" customFormat="1" x14ac:dyDescent="0.25">
      <c r="A561" t="str">
        <f>"2351"</f>
        <v>2351</v>
      </c>
      <c r="B561" t="s">
        <v>911</v>
      </c>
      <c r="C561" t="s">
        <v>608</v>
      </c>
      <c r="D561" s="21" t="s">
        <v>34</v>
      </c>
      <c r="E561" s="21" t="s">
        <v>35</v>
      </c>
      <c r="F561">
        <v>10230067</v>
      </c>
      <c r="G561" t="s">
        <v>912</v>
      </c>
      <c r="H561" s="21">
        <v>1721.56</v>
      </c>
    </row>
    <row r="562" spans="1:8" customFormat="1" x14ac:dyDescent="0.25">
      <c r="A562" t="str">
        <f>"676570"</f>
        <v>676570</v>
      </c>
      <c r="B562" t="s">
        <v>668</v>
      </c>
      <c r="C562" t="s">
        <v>669</v>
      </c>
      <c r="D562" s="21" t="s">
        <v>34</v>
      </c>
      <c r="E562" s="21" t="s">
        <v>35</v>
      </c>
      <c r="F562">
        <v>6670183</v>
      </c>
      <c r="G562" t="s">
        <v>670</v>
      </c>
      <c r="H562" s="21">
        <v>1721.17</v>
      </c>
    </row>
    <row r="563" spans="1:8" customFormat="1" x14ac:dyDescent="0.25">
      <c r="A563" t="str">
        <f>"593775"</f>
        <v>593775</v>
      </c>
      <c r="B563" t="s">
        <v>1081</v>
      </c>
      <c r="C563" t="s">
        <v>90</v>
      </c>
      <c r="D563" s="21" t="s">
        <v>34</v>
      </c>
      <c r="E563" s="21" t="s">
        <v>35</v>
      </c>
      <c r="F563">
        <v>7590338</v>
      </c>
      <c r="G563" t="s">
        <v>682</v>
      </c>
      <c r="H563" s="21">
        <v>1720.67</v>
      </c>
    </row>
    <row r="564" spans="1:8" customFormat="1" x14ac:dyDescent="0.25">
      <c r="A564" t="str">
        <f>"843944"</f>
        <v>843944</v>
      </c>
      <c r="B564" t="s">
        <v>971</v>
      </c>
      <c r="C564" t="s">
        <v>285</v>
      </c>
      <c r="D564" s="21" t="s">
        <v>34</v>
      </c>
      <c r="E564" s="21" t="s">
        <v>35</v>
      </c>
      <c r="F564">
        <v>13840001</v>
      </c>
      <c r="G564" t="s">
        <v>972</v>
      </c>
      <c r="H564" s="21">
        <v>1720.67</v>
      </c>
    </row>
    <row r="565" spans="1:8" customFormat="1" x14ac:dyDescent="0.25">
      <c r="A565" t="str">
        <f>"723054"</f>
        <v>723054</v>
      </c>
      <c r="B565" t="s">
        <v>944</v>
      </c>
      <c r="C565" t="s">
        <v>139</v>
      </c>
      <c r="D565" s="21" t="s">
        <v>34</v>
      </c>
      <c r="E565" s="21" t="s">
        <v>35</v>
      </c>
      <c r="F565">
        <v>13130100</v>
      </c>
      <c r="G565" t="s">
        <v>2893</v>
      </c>
      <c r="H565" s="21">
        <v>1720.17</v>
      </c>
    </row>
    <row r="566" spans="1:8" customFormat="1" x14ac:dyDescent="0.25">
      <c r="A566" t="str">
        <f>"572867"</f>
        <v>572867</v>
      </c>
      <c r="B566" t="s">
        <v>983</v>
      </c>
      <c r="C566" t="s">
        <v>598</v>
      </c>
      <c r="D566" s="21" t="s">
        <v>34</v>
      </c>
      <c r="E566" s="21" t="s">
        <v>35</v>
      </c>
      <c r="F566">
        <v>6570024</v>
      </c>
      <c r="G566" t="s">
        <v>464</v>
      </c>
      <c r="H566" s="21">
        <v>1719.8</v>
      </c>
    </row>
    <row r="567" spans="1:8" customFormat="1" x14ac:dyDescent="0.25">
      <c r="A567" t="str">
        <f>"959628"</f>
        <v>959628</v>
      </c>
      <c r="B567" t="s">
        <v>9810</v>
      </c>
      <c r="C567" t="s">
        <v>598</v>
      </c>
      <c r="D567" s="21" t="s">
        <v>34</v>
      </c>
      <c r="E567" s="21" t="s">
        <v>35</v>
      </c>
      <c r="F567">
        <v>8950262</v>
      </c>
      <c r="G567" t="s">
        <v>1881</v>
      </c>
      <c r="H567" s="21">
        <v>1719.67</v>
      </c>
    </row>
    <row r="568" spans="1:8" customFormat="1" x14ac:dyDescent="0.25">
      <c r="A568" t="str">
        <f>"82918"</f>
        <v>82918</v>
      </c>
      <c r="B568" t="s">
        <v>1347</v>
      </c>
      <c r="C568" t="s">
        <v>96</v>
      </c>
      <c r="D568" s="21" t="s">
        <v>34</v>
      </c>
      <c r="E568" s="21" t="s">
        <v>35</v>
      </c>
      <c r="F568">
        <v>11820007</v>
      </c>
      <c r="G568" t="s">
        <v>532</v>
      </c>
      <c r="H568" s="21">
        <v>1719.17</v>
      </c>
    </row>
    <row r="569" spans="1:8" customFormat="1" x14ac:dyDescent="0.25">
      <c r="A569" t="str">
        <f>"331688"</f>
        <v>331688</v>
      </c>
      <c r="B569" t="s">
        <v>834</v>
      </c>
      <c r="C569" t="s">
        <v>40</v>
      </c>
      <c r="D569" s="21" t="s">
        <v>34</v>
      </c>
      <c r="E569" s="21" t="s">
        <v>254</v>
      </c>
      <c r="F569">
        <v>10330003</v>
      </c>
      <c r="G569" t="s">
        <v>309</v>
      </c>
      <c r="H569" s="21">
        <v>1718.67</v>
      </c>
    </row>
    <row r="570" spans="1:8" customFormat="1" x14ac:dyDescent="0.25">
      <c r="A570" t="str">
        <f>"771636"</f>
        <v>771636</v>
      </c>
      <c r="B570" t="s">
        <v>4820</v>
      </c>
      <c r="C570" t="s">
        <v>26574</v>
      </c>
      <c r="D570" s="21" t="s">
        <v>34</v>
      </c>
      <c r="E570" s="21" t="s">
        <v>254</v>
      </c>
      <c r="F570">
        <v>8770474</v>
      </c>
      <c r="G570" t="s">
        <v>1600</v>
      </c>
      <c r="H570" s="21">
        <v>1718.17</v>
      </c>
    </row>
    <row r="571" spans="1:8" customFormat="1" x14ac:dyDescent="0.25">
      <c r="A571" t="str">
        <f>"067334"</f>
        <v>067334</v>
      </c>
      <c r="B571" t="s">
        <v>1098</v>
      </c>
      <c r="C571" t="s">
        <v>60</v>
      </c>
      <c r="D571" s="21" t="s">
        <v>34</v>
      </c>
      <c r="E571" s="21" t="s">
        <v>35</v>
      </c>
      <c r="F571">
        <v>7620010</v>
      </c>
      <c r="G571" t="s">
        <v>504</v>
      </c>
      <c r="H571" s="21">
        <v>1717.67</v>
      </c>
    </row>
    <row r="572" spans="1:8" customFormat="1" x14ac:dyDescent="0.25">
      <c r="A572" t="str">
        <f>"607708"</f>
        <v>607708</v>
      </c>
      <c r="B572" t="s">
        <v>1006</v>
      </c>
      <c r="C572" t="s">
        <v>275</v>
      </c>
      <c r="D572" s="21" t="s">
        <v>34</v>
      </c>
      <c r="E572" s="21" t="s">
        <v>35</v>
      </c>
      <c r="F572">
        <v>8951312</v>
      </c>
      <c r="G572" t="s">
        <v>1007</v>
      </c>
      <c r="H572" s="21">
        <v>1717.67</v>
      </c>
    </row>
    <row r="573" spans="1:8" customFormat="1" x14ac:dyDescent="0.25">
      <c r="A573" t="str">
        <f>"042343"</f>
        <v>042343</v>
      </c>
      <c r="B573" t="s">
        <v>941</v>
      </c>
      <c r="C573" t="s">
        <v>311</v>
      </c>
      <c r="D573" s="21" t="s">
        <v>34</v>
      </c>
      <c r="E573" s="21" t="s">
        <v>35</v>
      </c>
      <c r="F573">
        <v>13130004</v>
      </c>
      <c r="G573" t="s">
        <v>942</v>
      </c>
      <c r="H573" s="21">
        <v>1717.67</v>
      </c>
    </row>
    <row r="574" spans="1:8" customFormat="1" x14ac:dyDescent="0.25">
      <c r="A574" t="str">
        <f>"3322286"</f>
        <v>3322286</v>
      </c>
      <c r="B574" t="s">
        <v>24200</v>
      </c>
      <c r="C574" t="s">
        <v>139</v>
      </c>
      <c r="D574" s="21" t="s">
        <v>34</v>
      </c>
      <c r="E574" s="21" t="s">
        <v>35</v>
      </c>
      <c r="F574">
        <v>10330030</v>
      </c>
      <c r="G574" t="s">
        <v>2990</v>
      </c>
      <c r="H574" s="21">
        <v>1716.92</v>
      </c>
    </row>
    <row r="575" spans="1:8" customFormat="1" x14ac:dyDescent="0.25">
      <c r="A575" t="str">
        <f>"759562"</f>
        <v>759562</v>
      </c>
      <c r="B575" t="s">
        <v>1186</v>
      </c>
      <c r="C575" t="s">
        <v>249</v>
      </c>
      <c r="D575" s="21" t="s">
        <v>34</v>
      </c>
      <c r="E575" s="21" t="s">
        <v>35</v>
      </c>
      <c r="F575">
        <v>10870003</v>
      </c>
      <c r="G575" t="s">
        <v>1187</v>
      </c>
      <c r="H575" s="21">
        <v>1716.67</v>
      </c>
    </row>
    <row r="576" spans="1:8" customFormat="1" x14ac:dyDescent="0.25">
      <c r="A576" t="str">
        <f>"595295"</f>
        <v>595295</v>
      </c>
      <c r="B576" t="s">
        <v>938</v>
      </c>
      <c r="C576" t="s">
        <v>55</v>
      </c>
      <c r="D576" s="21" t="s">
        <v>34</v>
      </c>
      <c r="E576" s="21" t="s">
        <v>71</v>
      </c>
      <c r="F576">
        <v>7590127</v>
      </c>
      <c r="G576" t="s">
        <v>214</v>
      </c>
      <c r="H576" s="21">
        <v>1714.67</v>
      </c>
    </row>
    <row r="577" spans="1:8" customFormat="1" x14ac:dyDescent="0.25">
      <c r="A577" t="str">
        <f>"621324"</f>
        <v>621324</v>
      </c>
      <c r="B577" t="s">
        <v>897</v>
      </c>
      <c r="C577" t="s">
        <v>65</v>
      </c>
      <c r="D577" s="21" t="s">
        <v>34</v>
      </c>
      <c r="E577" s="21" t="s">
        <v>35</v>
      </c>
      <c r="F577">
        <v>7620010</v>
      </c>
      <c r="G577" t="s">
        <v>504</v>
      </c>
      <c r="H577" s="21">
        <v>1713.67</v>
      </c>
    </row>
    <row r="578" spans="1:8" customFormat="1" x14ac:dyDescent="0.25">
      <c r="A578" t="str">
        <f>"497618"</f>
        <v>497618</v>
      </c>
      <c r="B578" t="s">
        <v>26575</v>
      </c>
      <c r="C578" t="s">
        <v>156</v>
      </c>
      <c r="D578" s="21" t="s">
        <v>34</v>
      </c>
      <c r="E578" s="21" t="s">
        <v>35</v>
      </c>
      <c r="F578">
        <v>3560059</v>
      </c>
      <c r="G578" t="s">
        <v>2033</v>
      </c>
      <c r="H578" s="21">
        <v>1713.17</v>
      </c>
    </row>
    <row r="579" spans="1:8" customFormat="1" x14ac:dyDescent="0.25">
      <c r="A579" t="str">
        <f>"597333"</f>
        <v>597333</v>
      </c>
      <c r="B579" t="s">
        <v>933</v>
      </c>
      <c r="C579" t="s">
        <v>934</v>
      </c>
      <c r="D579" s="21" t="s">
        <v>34</v>
      </c>
      <c r="E579" s="21" t="s">
        <v>35</v>
      </c>
      <c r="F579">
        <v>7590204</v>
      </c>
      <c r="G579" t="s">
        <v>696</v>
      </c>
      <c r="H579" s="21">
        <v>1713.05</v>
      </c>
    </row>
    <row r="580" spans="1:8" customFormat="1" x14ac:dyDescent="0.25">
      <c r="A580" t="str">
        <f>"319758"</f>
        <v>319758</v>
      </c>
      <c r="B580" t="s">
        <v>1021</v>
      </c>
      <c r="C580" t="s">
        <v>1022</v>
      </c>
      <c r="D580" s="21" t="s">
        <v>34</v>
      </c>
      <c r="E580" s="21" t="s">
        <v>35</v>
      </c>
      <c r="F580">
        <v>11300007</v>
      </c>
      <c r="G580" t="s">
        <v>361</v>
      </c>
      <c r="H580" s="21">
        <v>1712.92</v>
      </c>
    </row>
    <row r="581" spans="1:8" customFormat="1" x14ac:dyDescent="0.25">
      <c r="A581" t="str">
        <f>"7816166"</f>
        <v>7816166</v>
      </c>
      <c r="B581" t="s">
        <v>11944</v>
      </c>
      <c r="C581" t="s">
        <v>267</v>
      </c>
      <c r="D581" s="21" t="s">
        <v>34</v>
      </c>
      <c r="E581" s="21" t="s">
        <v>35</v>
      </c>
      <c r="F581">
        <v>8780496</v>
      </c>
      <c r="G581" t="s">
        <v>2477</v>
      </c>
      <c r="H581" s="21">
        <v>1712.67</v>
      </c>
    </row>
    <row r="582" spans="1:8" customFormat="1" x14ac:dyDescent="0.25">
      <c r="A582" t="str">
        <f>"508848"</f>
        <v>508848</v>
      </c>
      <c r="B582" t="s">
        <v>26576</v>
      </c>
      <c r="C582" t="s">
        <v>576</v>
      </c>
      <c r="D582" s="21" t="s">
        <v>34</v>
      </c>
      <c r="E582" s="21" t="s">
        <v>35</v>
      </c>
      <c r="F582">
        <v>9500013</v>
      </c>
      <c r="G582" t="s">
        <v>992</v>
      </c>
      <c r="H582" s="21">
        <v>1712.67</v>
      </c>
    </row>
    <row r="583" spans="1:8" customFormat="1" x14ac:dyDescent="0.25">
      <c r="A583" t="str">
        <f>"842353"</f>
        <v>842353</v>
      </c>
      <c r="B583" t="s">
        <v>820</v>
      </c>
      <c r="C583" t="s">
        <v>288</v>
      </c>
      <c r="D583" s="21" t="s">
        <v>34</v>
      </c>
      <c r="E583" s="21" t="s">
        <v>35</v>
      </c>
      <c r="F583">
        <v>13840001</v>
      </c>
      <c r="G583" t="s">
        <v>972</v>
      </c>
      <c r="H583" s="21">
        <v>1712.05</v>
      </c>
    </row>
    <row r="584" spans="1:8" customFormat="1" x14ac:dyDescent="0.25">
      <c r="A584" t="str">
        <f>"6226903"</f>
        <v>6226903</v>
      </c>
      <c r="B584" t="s">
        <v>1175</v>
      </c>
      <c r="C584" t="s">
        <v>174</v>
      </c>
      <c r="D584" s="21" t="s">
        <v>34</v>
      </c>
      <c r="E584" s="21" t="s">
        <v>35</v>
      </c>
      <c r="F584">
        <v>7620049</v>
      </c>
      <c r="G584" t="s">
        <v>1176</v>
      </c>
      <c r="H584" s="21">
        <v>1711.92</v>
      </c>
    </row>
    <row r="585" spans="1:8" customFormat="1" x14ac:dyDescent="0.25">
      <c r="A585" t="str">
        <f>"95826"</f>
        <v>95826</v>
      </c>
      <c r="B585" t="s">
        <v>1163</v>
      </c>
      <c r="C585" t="s">
        <v>598</v>
      </c>
      <c r="D585" s="21" t="s">
        <v>34</v>
      </c>
      <c r="E585" s="21" t="s">
        <v>71</v>
      </c>
      <c r="F585">
        <v>8950978</v>
      </c>
      <c r="G585" t="s">
        <v>1164</v>
      </c>
      <c r="H585" s="21">
        <v>1711.44</v>
      </c>
    </row>
    <row r="586" spans="1:8" customFormat="1" x14ac:dyDescent="0.25">
      <c r="A586" t="str">
        <f>"803684"</f>
        <v>803684</v>
      </c>
      <c r="B586" t="s">
        <v>26577</v>
      </c>
      <c r="C586" t="s">
        <v>139</v>
      </c>
      <c r="D586" s="21" t="s">
        <v>34</v>
      </c>
      <c r="E586" s="21" t="s">
        <v>35</v>
      </c>
      <c r="F586">
        <v>7020030</v>
      </c>
      <c r="G586" t="s">
        <v>1796</v>
      </c>
      <c r="H586" s="21">
        <v>1710.67</v>
      </c>
    </row>
    <row r="587" spans="1:8" customFormat="1" x14ac:dyDescent="0.25">
      <c r="A587" t="str">
        <f>"805436"</f>
        <v>805436</v>
      </c>
      <c r="B587" t="s">
        <v>885</v>
      </c>
      <c r="C587" t="s">
        <v>169</v>
      </c>
      <c r="D587" s="21" t="s">
        <v>34</v>
      </c>
      <c r="E587" s="21" t="s">
        <v>71</v>
      </c>
      <c r="F587">
        <v>7800008</v>
      </c>
      <c r="G587" t="s">
        <v>842</v>
      </c>
      <c r="H587" s="21">
        <v>1710.17</v>
      </c>
    </row>
    <row r="588" spans="1:8" customFormat="1" x14ac:dyDescent="0.25">
      <c r="A588" t="str">
        <f>"579967"</f>
        <v>579967</v>
      </c>
      <c r="B588" t="s">
        <v>26578</v>
      </c>
      <c r="C588" t="s">
        <v>60</v>
      </c>
      <c r="D588" s="21" t="s">
        <v>34</v>
      </c>
      <c r="E588" s="21" t="s">
        <v>35</v>
      </c>
      <c r="F588">
        <v>6540014</v>
      </c>
      <c r="G588" t="s">
        <v>1483</v>
      </c>
      <c r="H588" s="21">
        <v>1710.17</v>
      </c>
    </row>
    <row r="589" spans="1:8" customFormat="1" x14ac:dyDescent="0.25">
      <c r="A589" t="str">
        <f>"699902"</f>
        <v>699902</v>
      </c>
      <c r="B589" t="s">
        <v>1152</v>
      </c>
      <c r="C589" t="s">
        <v>119</v>
      </c>
      <c r="D589" s="21" t="s">
        <v>34</v>
      </c>
      <c r="E589" s="21" t="s">
        <v>35</v>
      </c>
      <c r="F589">
        <v>1690223</v>
      </c>
      <c r="G589" t="s">
        <v>26579</v>
      </c>
      <c r="H589" s="21">
        <v>1709.67</v>
      </c>
    </row>
    <row r="590" spans="1:8" customFormat="1" x14ac:dyDescent="0.25">
      <c r="A590" t="str">
        <f>"448274"</f>
        <v>448274</v>
      </c>
      <c r="B590" t="s">
        <v>2645</v>
      </c>
      <c r="C590" t="s">
        <v>169</v>
      </c>
      <c r="D590" s="21" t="s">
        <v>34</v>
      </c>
      <c r="E590" s="21" t="s">
        <v>35</v>
      </c>
      <c r="F590">
        <v>12490068</v>
      </c>
      <c r="G590" t="s">
        <v>2070</v>
      </c>
      <c r="H590" s="21">
        <v>1709.67</v>
      </c>
    </row>
    <row r="591" spans="1:8" customFormat="1" x14ac:dyDescent="0.25">
      <c r="A591" t="str">
        <f>"598756"</f>
        <v>598756</v>
      </c>
      <c r="B591" t="s">
        <v>1012</v>
      </c>
      <c r="C591" t="s">
        <v>65</v>
      </c>
      <c r="D591" s="21" t="s">
        <v>34</v>
      </c>
      <c r="E591" s="21" t="s">
        <v>35</v>
      </c>
      <c r="F591">
        <v>7590028</v>
      </c>
      <c r="G591" t="s">
        <v>251</v>
      </c>
      <c r="H591" s="21">
        <v>1708.17</v>
      </c>
    </row>
    <row r="592" spans="1:8" customFormat="1" x14ac:dyDescent="0.25">
      <c r="A592" t="str">
        <f>"3527634"</f>
        <v>3527634</v>
      </c>
      <c r="B592" t="s">
        <v>1233</v>
      </c>
      <c r="C592" t="s">
        <v>109</v>
      </c>
      <c r="D592" s="21" t="s">
        <v>34</v>
      </c>
      <c r="E592" s="21" t="s">
        <v>71</v>
      </c>
      <c r="F592">
        <v>3350016</v>
      </c>
      <c r="G592" t="s">
        <v>133</v>
      </c>
      <c r="H592" s="21">
        <v>1708.17</v>
      </c>
    </row>
    <row r="593" spans="1:8" customFormat="1" x14ac:dyDescent="0.25">
      <c r="A593" t="str">
        <f>"273461"</f>
        <v>273461</v>
      </c>
      <c r="B593" t="s">
        <v>793</v>
      </c>
      <c r="C593" t="s">
        <v>127</v>
      </c>
      <c r="D593" s="21" t="s">
        <v>34</v>
      </c>
      <c r="E593" s="21" t="s">
        <v>35</v>
      </c>
      <c r="F593">
        <v>8950330</v>
      </c>
      <c r="G593" t="s">
        <v>794</v>
      </c>
      <c r="H593" s="21">
        <v>1708.17</v>
      </c>
    </row>
    <row r="594" spans="1:8" customFormat="1" x14ac:dyDescent="0.25">
      <c r="A594" t="str">
        <f>"8515400"</f>
        <v>8515400</v>
      </c>
      <c r="B594" t="s">
        <v>1074</v>
      </c>
      <c r="C594" t="s">
        <v>114</v>
      </c>
      <c r="D594" s="21" t="s">
        <v>34</v>
      </c>
      <c r="E594" s="21" t="s">
        <v>35</v>
      </c>
      <c r="F594">
        <v>12851023</v>
      </c>
      <c r="G594" t="s">
        <v>1075</v>
      </c>
      <c r="H594" s="21">
        <v>1708.17</v>
      </c>
    </row>
    <row r="595" spans="1:8" customFormat="1" x14ac:dyDescent="0.25">
      <c r="A595" t="str">
        <f>"935843"</f>
        <v>935843</v>
      </c>
      <c r="B595" t="s">
        <v>918</v>
      </c>
      <c r="C595" t="s">
        <v>919</v>
      </c>
      <c r="D595" s="21" t="s">
        <v>34</v>
      </c>
      <c r="E595" s="21" t="s">
        <v>35</v>
      </c>
      <c r="F595">
        <v>8951261</v>
      </c>
      <c r="G595" t="s">
        <v>920</v>
      </c>
      <c r="H595" s="21">
        <v>1707.8</v>
      </c>
    </row>
    <row r="596" spans="1:8" customFormat="1" x14ac:dyDescent="0.25">
      <c r="A596" t="str">
        <f>"136022"</f>
        <v>136022</v>
      </c>
      <c r="B596" t="s">
        <v>905</v>
      </c>
      <c r="C596" t="s">
        <v>55</v>
      </c>
      <c r="D596" s="21" t="s">
        <v>34</v>
      </c>
      <c r="E596" s="21" t="s">
        <v>35</v>
      </c>
      <c r="F596">
        <v>13130152</v>
      </c>
      <c r="G596" t="s">
        <v>906</v>
      </c>
      <c r="H596" s="21">
        <v>1707.68</v>
      </c>
    </row>
    <row r="597" spans="1:8" customFormat="1" x14ac:dyDescent="0.25">
      <c r="A597" t="str">
        <f>"72311"</f>
        <v>72311</v>
      </c>
      <c r="B597" t="s">
        <v>996</v>
      </c>
      <c r="C597" t="s">
        <v>997</v>
      </c>
      <c r="D597" s="21" t="s">
        <v>34</v>
      </c>
      <c r="E597" s="21" t="s">
        <v>35</v>
      </c>
      <c r="F597">
        <v>12720104</v>
      </c>
      <c r="G597" t="s">
        <v>224</v>
      </c>
      <c r="H597" s="21">
        <v>1706.67</v>
      </c>
    </row>
    <row r="598" spans="1:8" customFormat="1" x14ac:dyDescent="0.25">
      <c r="A598" t="str">
        <f>"7623832"</f>
        <v>7623832</v>
      </c>
      <c r="B598" t="s">
        <v>907</v>
      </c>
      <c r="C598" t="s">
        <v>156</v>
      </c>
      <c r="D598" s="21" t="s">
        <v>34</v>
      </c>
      <c r="E598" s="21" t="s">
        <v>35</v>
      </c>
      <c r="F598">
        <v>10790235</v>
      </c>
      <c r="G598" t="s">
        <v>413</v>
      </c>
      <c r="H598" s="21">
        <v>1706.67</v>
      </c>
    </row>
    <row r="599" spans="1:8" customFormat="1" x14ac:dyDescent="0.25">
      <c r="A599" t="str">
        <f>"9310997"</f>
        <v>9310997</v>
      </c>
      <c r="B599" t="s">
        <v>1284</v>
      </c>
      <c r="C599" t="s">
        <v>1285</v>
      </c>
      <c r="D599" s="21" t="s">
        <v>34</v>
      </c>
      <c r="E599" s="21" t="s">
        <v>35</v>
      </c>
      <c r="F599">
        <v>10330013</v>
      </c>
      <c r="G599" t="s">
        <v>613</v>
      </c>
      <c r="H599" s="21">
        <v>1706.67</v>
      </c>
    </row>
    <row r="600" spans="1:8" customFormat="1" x14ac:dyDescent="0.25">
      <c r="A600" t="str">
        <f>"594476"</f>
        <v>594476</v>
      </c>
      <c r="B600" t="s">
        <v>1004</v>
      </c>
      <c r="C600" t="s">
        <v>233</v>
      </c>
      <c r="D600" s="21" t="s">
        <v>34</v>
      </c>
      <c r="E600" s="21" t="s">
        <v>71</v>
      </c>
      <c r="F600">
        <v>7590068</v>
      </c>
      <c r="G600" t="s">
        <v>1005</v>
      </c>
      <c r="H600" s="21">
        <v>1706.17</v>
      </c>
    </row>
    <row r="601" spans="1:8" customFormat="1" x14ac:dyDescent="0.25">
      <c r="A601" t="str">
        <f>"575622"</f>
        <v>575622</v>
      </c>
      <c r="B601" t="s">
        <v>1135</v>
      </c>
      <c r="C601" t="s">
        <v>43</v>
      </c>
      <c r="D601" s="21" t="s">
        <v>34</v>
      </c>
      <c r="E601" s="21" t="s">
        <v>35</v>
      </c>
      <c r="F601">
        <v>6540056</v>
      </c>
      <c r="G601" t="s">
        <v>1136</v>
      </c>
      <c r="H601" s="21">
        <v>1706.17</v>
      </c>
    </row>
    <row r="602" spans="1:8" customFormat="1" x14ac:dyDescent="0.25">
      <c r="A602" t="str">
        <f>"513537"</f>
        <v>513537</v>
      </c>
      <c r="B602" t="s">
        <v>1030</v>
      </c>
      <c r="C602" t="s">
        <v>121</v>
      </c>
      <c r="D602" s="21" t="s">
        <v>34</v>
      </c>
      <c r="E602" s="21" t="s">
        <v>35</v>
      </c>
      <c r="F602">
        <v>11460027</v>
      </c>
      <c r="G602" t="s">
        <v>26580</v>
      </c>
      <c r="H602" s="21">
        <v>1706.17</v>
      </c>
    </row>
    <row r="603" spans="1:8" customFormat="1" x14ac:dyDescent="0.25">
      <c r="A603" t="str">
        <f>"7618415"</f>
        <v>7618415</v>
      </c>
      <c r="B603" t="s">
        <v>1241</v>
      </c>
      <c r="C603" t="s">
        <v>198</v>
      </c>
      <c r="D603" s="21" t="s">
        <v>34</v>
      </c>
      <c r="E603" s="21" t="s">
        <v>35</v>
      </c>
      <c r="F603">
        <v>9760034</v>
      </c>
      <c r="G603" t="s">
        <v>1242</v>
      </c>
      <c r="H603" s="21">
        <v>1705.67</v>
      </c>
    </row>
    <row r="604" spans="1:8" customFormat="1" x14ac:dyDescent="0.25">
      <c r="A604" t="str">
        <f>"536224"</f>
        <v>536224</v>
      </c>
      <c r="B604" t="s">
        <v>1662</v>
      </c>
      <c r="C604" t="s">
        <v>275</v>
      </c>
      <c r="D604" s="21" t="s">
        <v>34</v>
      </c>
      <c r="E604" s="21" t="s">
        <v>35</v>
      </c>
      <c r="F604">
        <v>12530035</v>
      </c>
      <c r="G604" t="s">
        <v>1663</v>
      </c>
      <c r="H604" s="21">
        <v>1705.67</v>
      </c>
    </row>
    <row r="605" spans="1:8" customFormat="1" x14ac:dyDescent="0.25">
      <c r="A605" t="str">
        <f>"9519695"</f>
        <v>9519695</v>
      </c>
      <c r="B605" t="s">
        <v>979</v>
      </c>
      <c r="C605" t="s">
        <v>109</v>
      </c>
      <c r="D605" s="21" t="s">
        <v>34</v>
      </c>
      <c r="E605" s="21" t="s">
        <v>35</v>
      </c>
      <c r="F605">
        <v>7620027</v>
      </c>
      <c r="G605" t="s">
        <v>980</v>
      </c>
      <c r="H605" s="21">
        <v>1705.17</v>
      </c>
    </row>
    <row r="606" spans="1:8" customFormat="1" x14ac:dyDescent="0.25">
      <c r="A606" t="str">
        <f>"742856"</f>
        <v>742856</v>
      </c>
      <c r="B606" t="s">
        <v>981</v>
      </c>
      <c r="C606" t="s">
        <v>239</v>
      </c>
      <c r="D606" s="21" t="s">
        <v>34</v>
      </c>
      <c r="E606" s="21" t="s">
        <v>71</v>
      </c>
      <c r="F606">
        <v>1740003</v>
      </c>
      <c r="G606" t="s">
        <v>982</v>
      </c>
      <c r="H606" s="21">
        <v>1705.17</v>
      </c>
    </row>
    <row r="607" spans="1:8" customFormat="1" x14ac:dyDescent="0.25">
      <c r="A607" t="str">
        <f>"933604"</f>
        <v>933604</v>
      </c>
      <c r="B607" t="s">
        <v>26581</v>
      </c>
      <c r="C607" t="s">
        <v>26582</v>
      </c>
      <c r="D607" s="21" t="s">
        <v>34</v>
      </c>
      <c r="E607" s="21" t="s">
        <v>35</v>
      </c>
      <c r="F607">
        <v>8930113</v>
      </c>
      <c r="G607" t="s">
        <v>368</v>
      </c>
      <c r="H607" s="21">
        <v>1704.67</v>
      </c>
    </row>
    <row r="608" spans="1:8" customFormat="1" x14ac:dyDescent="0.25">
      <c r="A608" t="str">
        <f>"4428802"</f>
        <v>4428802</v>
      </c>
      <c r="B608" t="s">
        <v>939</v>
      </c>
      <c r="C608" t="s">
        <v>302</v>
      </c>
      <c r="D608" s="21" t="s">
        <v>34</v>
      </c>
      <c r="E608" s="21" t="s">
        <v>35</v>
      </c>
      <c r="F608">
        <v>12440058</v>
      </c>
      <c r="G608" t="s">
        <v>394</v>
      </c>
      <c r="H608" s="21">
        <v>1704.67</v>
      </c>
    </row>
    <row r="609" spans="1:8" customFormat="1" x14ac:dyDescent="0.25">
      <c r="A609" t="str">
        <f>"693735"</f>
        <v>693735</v>
      </c>
      <c r="B609" t="s">
        <v>1024</v>
      </c>
      <c r="C609" t="s">
        <v>269</v>
      </c>
      <c r="D609" s="21" t="s">
        <v>34</v>
      </c>
      <c r="E609" s="21" t="s">
        <v>71</v>
      </c>
      <c r="F609">
        <v>1690221</v>
      </c>
      <c r="G609" t="s">
        <v>303</v>
      </c>
      <c r="H609" s="21">
        <v>1704.67</v>
      </c>
    </row>
    <row r="610" spans="1:8" customFormat="1" x14ac:dyDescent="0.25">
      <c r="A610" t="str">
        <f>"7830077"</f>
        <v>7830077</v>
      </c>
      <c r="B610" t="s">
        <v>1151</v>
      </c>
      <c r="C610" t="s">
        <v>139</v>
      </c>
      <c r="D610" s="21" t="s">
        <v>34</v>
      </c>
      <c r="E610" s="21" t="s">
        <v>35</v>
      </c>
      <c r="F610">
        <v>3350060</v>
      </c>
      <c r="G610" t="s">
        <v>38</v>
      </c>
      <c r="H610" s="21">
        <v>1703.8</v>
      </c>
    </row>
    <row r="611" spans="1:8" customFormat="1" x14ac:dyDescent="0.25">
      <c r="A611" t="str">
        <f>"2513244"</f>
        <v>2513244</v>
      </c>
      <c r="B611" t="s">
        <v>1440</v>
      </c>
      <c r="C611" t="s">
        <v>198</v>
      </c>
      <c r="D611" s="21" t="s">
        <v>34</v>
      </c>
      <c r="E611" s="21" t="s">
        <v>71</v>
      </c>
      <c r="F611">
        <v>2250017</v>
      </c>
      <c r="G611" t="s">
        <v>521</v>
      </c>
      <c r="H611" s="21">
        <v>1703.67</v>
      </c>
    </row>
    <row r="612" spans="1:8" customFormat="1" x14ac:dyDescent="0.25">
      <c r="A612" t="str">
        <f>"5013463"</f>
        <v>5013463</v>
      </c>
      <c r="B612" t="s">
        <v>1037</v>
      </c>
      <c r="C612" t="s">
        <v>139</v>
      </c>
      <c r="D612" s="21" t="s">
        <v>34</v>
      </c>
      <c r="E612" s="21" t="s">
        <v>71</v>
      </c>
      <c r="F612">
        <v>3350060</v>
      </c>
      <c r="G612" t="s">
        <v>38</v>
      </c>
      <c r="H612" s="21">
        <v>1701.67</v>
      </c>
    </row>
    <row r="613" spans="1:8" customFormat="1" x14ac:dyDescent="0.25">
      <c r="A613" t="str">
        <f>"254579"</f>
        <v>254579</v>
      </c>
      <c r="B613" t="s">
        <v>1102</v>
      </c>
      <c r="C613" t="s">
        <v>209</v>
      </c>
      <c r="D613" s="21" t="s">
        <v>34</v>
      </c>
      <c r="E613" s="21" t="s">
        <v>35</v>
      </c>
      <c r="F613">
        <v>2250017</v>
      </c>
      <c r="G613" t="s">
        <v>521</v>
      </c>
      <c r="H613" s="21">
        <v>1701.67</v>
      </c>
    </row>
    <row r="614" spans="1:8" customFormat="1" x14ac:dyDescent="0.25">
      <c r="A614" t="str">
        <f>"426982"</f>
        <v>426982</v>
      </c>
      <c r="B614" t="s">
        <v>1076</v>
      </c>
      <c r="C614" t="s">
        <v>934</v>
      </c>
      <c r="D614" s="21" t="s">
        <v>34</v>
      </c>
      <c r="E614" s="21" t="s">
        <v>35</v>
      </c>
      <c r="F614">
        <v>1740003</v>
      </c>
      <c r="G614" t="s">
        <v>982</v>
      </c>
      <c r="H614" s="21">
        <v>1701.17</v>
      </c>
    </row>
    <row r="615" spans="1:8" customFormat="1" x14ac:dyDescent="0.25">
      <c r="A615" t="str">
        <f>"76893"</f>
        <v>76893</v>
      </c>
      <c r="B615" t="s">
        <v>1198</v>
      </c>
      <c r="C615" t="s">
        <v>1199</v>
      </c>
      <c r="D615" s="21" t="s">
        <v>34</v>
      </c>
      <c r="E615" s="21" t="s">
        <v>254</v>
      </c>
      <c r="F615">
        <v>9760414</v>
      </c>
      <c r="G615" t="s">
        <v>142</v>
      </c>
      <c r="H615" s="21">
        <v>1700.17</v>
      </c>
    </row>
    <row r="616" spans="1:8" customFormat="1" x14ac:dyDescent="0.25">
      <c r="A616" t="str">
        <f>"3710478"</f>
        <v>3710478</v>
      </c>
      <c r="B616" t="s">
        <v>1043</v>
      </c>
      <c r="C616" t="s">
        <v>1044</v>
      </c>
      <c r="D616" s="21" t="s">
        <v>34</v>
      </c>
      <c r="E616" s="21" t="s">
        <v>71</v>
      </c>
      <c r="F616">
        <v>4370038</v>
      </c>
      <c r="G616" t="s">
        <v>1045</v>
      </c>
      <c r="H616" s="21">
        <v>1699.67</v>
      </c>
    </row>
    <row r="617" spans="1:8" customFormat="1" x14ac:dyDescent="0.25">
      <c r="A617" t="str">
        <f>"1410799"</f>
        <v>1410799</v>
      </c>
      <c r="B617" t="s">
        <v>537</v>
      </c>
      <c r="C617" t="s">
        <v>781</v>
      </c>
      <c r="D617" s="21" t="s">
        <v>34</v>
      </c>
      <c r="E617" s="21" t="s">
        <v>71</v>
      </c>
      <c r="F617">
        <v>9140055</v>
      </c>
      <c r="G617" t="s">
        <v>344</v>
      </c>
      <c r="H617" s="21">
        <v>1699.17</v>
      </c>
    </row>
    <row r="618" spans="1:8" customFormat="1" x14ac:dyDescent="0.25">
      <c r="A618" t="str">
        <f>"698130"</f>
        <v>698130</v>
      </c>
      <c r="B618" t="s">
        <v>26583</v>
      </c>
      <c r="C618" t="s">
        <v>90</v>
      </c>
      <c r="D618" s="21" t="s">
        <v>34</v>
      </c>
      <c r="E618" s="21" t="s">
        <v>35</v>
      </c>
      <c r="F618">
        <v>1690058</v>
      </c>
      <c r="G618" t="s">
        <v>1644</v>
      </c>
      <c r="H618" s="21">
        <v>1698.67</v>
      </c>
    </row>
    <row r="619" spans="1:8" customFormat="1" x14ac:dyDescent="0.25">
      <c r="A619" t="str">
        <f>"3322540"</f>
        <v>3322540</v>
      </c>
      <c r="B619" t="s">
        <v>1224</v>
      </c>
      <c r="C619" t="s">
        <v>62</v>
      </c>
      <c r="D619" s="21" t="s">
        <v>34</v>
      </c>
      <c r="E619" s="21" t="s">
        <v>35</v>
      </c>
      <c r="F619">
        <v>10470006</v>
      </c>
      <c r="G619" t="s">
        <v>1225</v>
      </c>
      <c r="H619" s="21">
        <v>1698.67</v>
      </c>
    </row>
    <row r="620" spans="1:8" customFormat="1" x14ac:dyDescent="0.25">
      <c r="A620" t="str">
        <f>"4919873"</f>
        <v>4919873</v>
      </c>
      <c r="B620" t="s">
        <v>1082</v>
      </c>
      <c r="C620" t="s">
        <v>236</v>
      </c>
      <c r="D620" s="21" t="s">
        <v>34</v>
      </c>
      <c r="E620" s="21" t="s">
        <v>35</v>
      </c>
      <c r="F620">
        <v>12490027</v>
      </c>
      <c r="G620" t="s">
        <v>766</v>
      </c>
      <c r="H620" s="21">
        <v>1698.67</v>
      </c>
    </row>
    <row r="621" spans="1:8" customFormat="1" x14ac:dyDescent="0.25">
      <c r="A621" t="str">
        <f>"288753"</f>
        <v>288753</v>
      </c>
      <c r="B621" t="s">
        <v>671</v>
      </c>
      <c r="C621" t="s">
        <v>156</v>
      </c>
      <c r="D621" s="21" t="s">
        <v>34</v>
      </c>
      <c r="E621" s="21" t="s">
        <v>35</v>
      </c>
      <c r="F621">
        <v>12490092</v>
      </c>
      <c r="G621" t="s">
        <v>1854</v>
      </c>
      <c r="H621" s="21">
        <v>1698.67</v>
      </c>
    </row>
    <row r="622" spans="1:8" customFormat="1" x14ac:dyDescent="0.25">
      <c r="A622" t="str">
        <f>"16552"</f>
        <v>16552</v>
      </c>
      <c r="B622" t="s">
        <v>1130</v>
      </c>
      <c r="C622" t="s">
        <v>60</v>
      </c>
      <c r="D622" s="21" t="s">
        <v>34</v>
      </c>
      <c r="E622" s="21" t="s">
        <v>35</v>
      </c>
      <c r="F622">
        <v>10160040</v>
      </c>
      <c r="G622" t="s">
        <v>1131</v>
      </c>
      <c r="H622" s="21">
        <v>1698.67</v>
      </c>
    </row>
    <row r="623" spans="1:8" customFormat="1" x14ac:dyDescent="0.25">
      <c r="A623" t="str">
        <f>"787738"</f>
        <v>787738</v>
      </c>
      <c r="B623" t="s">
        <v>915</v>
      </c>
      <c r="C623" t="s">
        <v>916</v>
      </c>
      <c r="D623" s="21" t="s">
        <v>34</v>
      </c>
      <c r="E623" s="21" t="s">
        <v>35</v>
      </c>
      <c r="F623">
        <v>8780329</v>
      </c>
      <c r="G623" t="s">
        <v>917</v>
      </c>
      <c r="H623" s="21">
        <v>1698.17</v>
      </c>
    </row>
    <row r="624" spans="1:8" customFormat="1" x14ac:dyDescent="0.25">
      <c r="A624" t="str">
        <f>"6711848"</f>
        <v>6711848</v>
      </c>
      <c r="B624" t="s">
        <v>1348</v>
      </c>
      <c r="C624" t="s">
        <v>98</v>
      </c>
      <c r="D624" s="21" t="s">
        <v>34</v>
      </c>
      <c r="E624" s="21" t="s">
        <v>35</v>
      </c>
      <c r="F624">
        <v>6670010</v>
      </c>
      <c r="G624" t="s">
        <v>721</v>
      </c>
      <c r="H624" s="21">
        <v>1698.17</v>
      </c>
    </row>
    <row r="625" spans="1:8" customFormat="1" x14ac:dyDescent="0.25">
      <c r="A625" t="str">
        <f>"7835217"</f>
        <v>7835217</v>
      </c>
      <c r="B625" t="s">
        <v>1276</v>
      </c>
      <c r="C625" t="s">
        <v>144</v>
      </c>
      <c r="D625" s="21" t="s">
        <v>34</v>
      </c>
      <c r="E625" s="21" t="s">
        <v>35</v>
      </c>
      <c r="F625">
        <v>8940073</v>
      </c>
      <c r="G625" t="s">
        <v>1085</v>
      </c>
      <c r="H625" s="21">
        <v>1697.67</v>
      </c>
    </row>
    <row r="626" spans="1:8" customFormat="1" x14ac:dyDescent="0.25">
      <c r="A626" t="str">
        <f>"3511577"</f>
        <v>3511577</v>
      </c>
      <c r="B626" t="s">
        <v>1027</v>
      </c>
      <c r="C626" t="s">
        <v>65</v>
      </c>
      <c r="D626" s="21" t="s">
        <v>34</v>
      </c>
      <c r="E626" s="21" t="s">
        <v>35</v>
      </c>
      <c r="F626">
        <v>3560039</v>
      </c>
      <c r="G626" t="s">
        <v>167</v>
      </c>
      <c r="H626" s="21">
        <v>1697.67</v>
      </c>
    </row>
    <row r="627" spans="1:8" customFormat="1" x14ac:dyDescent="0.25">
      <c r="A627" t="str">
        <f>"7278"</f>
        <v>7278</v>
      </c>
      <c r="B627" t="s">
        <v>968</v>
      </c>
      <c r="C627" t="s">
        <v>144</v>
      </c>
      <c r="D627" s="21" t="s">
        <v>34</v>
      </c>
      <c r="E627" s="21" t="s">
        <v>71</v>
      </c>
      <c r="F627">
        <v>12490061</v>
      </c>
      <c r="G627" t="s">
        <v>969</v>
      </c>
      <c r="H627" s="21">
        <v>1697.42</v>
      </c>
    </row>
    <row r="628" spans="1:8" customFormat="1" x14ac:dyDescent="0.25">
      <c r="A628" t="str">
        <f>"764150"</f>
        <v>764150</v>
      </c>
      <c r="B628" t="s">
        <v>451</v>
      </c>
      <c r="C628" t="s">
        <v>169</v>
      </c>
      <c r="D628" s="21" t="s">
        <v>34</v>
      </c>
      <c r="E628" s="21" t="s">
        <v>35</v>
      </c>
      <c r="F628">
        <v>9760041</v>
      </c>
      <c r="G628" t="s">
        <v>452</v>
      </c>
      <c r="H628" s="21">
        <v>1697.17</v>
      </c>
    </row>
    <row r="629" spans="1:8" customFormat="1" x14ac:dyDescent="0.25">
      <c r="A629" t="str">
        <f>"681447"</f>
        <v>681447</v>
      </c>
      <c r="B629" t="s">
        <v>1109</v>
      </c>
      <c r="C629" t="s">
        <v>1110</v>
      </c>
      <c r="D629" s="21" t="s">
        <v>34</v>
      </c>
      <c r="E629" s="21" t="s">
        <v>254</v>
      </c>
      <c r="F629">
        <v>6680082</v>
      </c>
      <c r="G629" t="s">
        <v>289</v>
      </c>
      <c r="H629" s="21">
        <v>1697.17</v>
      </c>
    </row>
    <row r="630" spans="1:8" customFormat="1" x14ac:dyDescent="0.25">
      <c r="A630" t="str">
        <f>"063302"</f>
        <v>063302</v>
      </c>
      <c r="B630" t="s">
        <v>882</v>
      </c>
      <c r="C630" t="s">
        <v>883</v>
      </c>
      <c r="D630" s="21" t="s">
        <v>34</v>
      </c>
      <c r="E630" s="21" t="s">
        <v>35</v>
      </c>
      <c r="F630">
        <v>10330002</v>
      </c>
      <c r="G630" t="s">
        <v>53</v>
      </c>
      <c r="H630" s="21">
        <v>1696.67</v>
      </c>
    </row>
    <row r="631" spans="1:8" customFormat="1" x14ac:dyDescent="0.25">
      <c r="A631" t="str">
        <f>"5012496"</f>
        <v>5012496</v>
      </c>
      <c r="B631" t="s">
        <v>1071</v>
      </c>
      <c r="C631" t="s">
        <v>1072</v>
      </c>
      <c r="D631" s="21" t="s">
        <v>34</v>
      </c>
      <c r="E631" s="21" t="s">
        <v>71</v>
      </c>
      <c r="F631">
        <v>9500131</v>
      </c>
      <c r="G631" t="s">
        <v>1073</v>
      </c>
      <c r="H631" s="21">
        <v>1696.3</v>
      </c>
    </row>
    <row r="632" spans="1:8" customFormat="1" x14ac:dyDescent="0.25">
      <c r="A632" t="str">
        <f>"773229"</f>
        <v>773229</v>
      </c>
      <c r="B632" t="s">
        <v>4662</v>
      </c>
      <c r="C632" t="s">
        <v>130</v>
      </c>
      <c r="D632" s="21" t="s">
        <v>34</v>
      </c>
      <c r="E632" s="21" t="s">
        <v>35</v>
      </c>
      <c r="F632">
        <v>8770250</v>
      </c>
      <c r="G632" t="s">
        <v>2595</v>
      </c>
      <c r="H632" s="21">
        <v>1695.93</v>
      </c>
    </row>
    <row r="633" spans="1:8" customFormat="1" x14ac:dyDescent="0.25">
      <c r="A633" t="str">
        <f>"942804"</f>
        <v>942804</v>
      </c>
      <c r="B633" t="s">
        <v>26584</v>
      </c>
      <c r="C633" t="s">
        <v>130</v>
      </c>
      <c r="D633" s="21" t="s">
        <v>34</v>
      </c>
      <c r="E633" s="21" t="s">
        <v>71</v>
      </c>
      <c r="F633">
        <v>8771201</v>
      </c>
      <c r="G633" t="s">
        <v>9153</v>
      </c>
      <c r="H633" s="21">
        <v>1695.67</v>
      </c>
    </row>
    <row r="634" spans="1:8" customFormat="1" x14ac:dyDescent="0.25">
      <c r="A634" t="str">
        <f>"774617"</f>
        <v>774617</v>
      </c>
      <c r="B634" t="s">
        <v>1060</v>
      </c>
      <c r="C634" t="s">
        <v>1061</v>
      </c>
      <c r="D634" s="21" t="s">
        <v>34</v>
      </c>
      <c r="E634" s="21" t="s">
        <v>71</v>
      </c>
      <c r="F634">
        <v>8770237</v>
      </c>
      <c r="G634" t="s">
        <v>128</v>
      </c>
      <c r="H634" s="21">
        <v>1695.67</v>
      </c>
    </row>
    <row r="635" spans="1:8" customFormat="1" x14ac:dyDescent="0.25">
      <c r="A635" t="str">
        <f>"28748"</f>
        <v>28748</v>
      </c>
      <c r="B635" t="s">
        <v>993</v>
      </c>
      <c r="C635" t="s">
        <v>62</v>
      </c>
      <c r="D635" s="21" t="s">
        <v>34</v>
      </c>
      <c r="E635" s="21" t="s">
        <v>35</v>
      </c>
      <c r="F635">
        <v>4280322</v>
      </c>
      <c r="G635" t="s">
        <v>265</v>
      </c>
      <c r="H635" s="21">
        <v>1695.17</v>
      </c>
    </row>
    <row r="636" spans="1:8" customFormat="1" x14ac:dyDescent="0.25">
      <c r="A636" t="str">
        <f>"93808"</f>
        <v>93808</v>
      </c>
      <c r="B636" t="s">
        <v>994</v>
      </c>
      <c r="C636" t="s">
        <v>33</v>
      </c>
      <c r="D636" s="21" t="s">
        <v>34</v>
      </c>
      <c r="E636" s="21" t="s">
        <v>71</v>
      </c>
      <c r="F636">
        <v>8930430</v>
      </c>
      <c r="G636" t="s">
        <v>995</v>
      </c>
      <c r="H636" s="21">
        <v>1695.17</v>
      </c>
    </row>
    <row r="637" spans="1:8" customFormat="1" x14ac:dyDescent="0.25">
      <c r="A637" t="str">
        <f>"301017"</f>
        <v>301017</v>
      </c>
      <c r="B637" t="s">
        <v>1053</v>
      </c>
      <c r="C637" t="s">
        <v>1054</v>
      </c>
      <c r="D637" s="21" t="s">
        <v>34</v>
      </c>
      <c r="E637" s="21" t="s">
        <v>71</v>
      </c>
      <c r="F637">
        <v>11300016</v>
      </c>
      <c r="G637" t="s">
        <v>157</v>
      </c>
      <c r="H637" s="21">
        <v>1695.17</v>
      </c>
    </row>
    <row r="638" spans="1:8" customFormat="1" x14ac:dyDescent="0.25">
      <c r="A638" t="str">
        <f>"5934210"</f>
        <v>5934210</v>
      </c>
      <c r="B638" t="s">
        <v>1123</v>
      </c>
      <c r="C638" t="s">
        <v>206</v>
      </c>
      <c r="D638" s="21" t="s">
        <v>34</v>
      </c>
      <c r="E638" s="21" t="s">
        <v>35</v>
      </c>
      <c r="F638">
        <v>10330084</v>
      </c>
      <c r="G638" t="s">
        <v>1124</v>
      </c>
      <c r="H638" s="21">
        <v>1694.42</v>
      </c>
    </row>
    <row r="639" spans="1:8" customFormat="1" x14ac:dyDescent="0.25">
      <c r="A639" t="str">
        <f>"7511439"</f>
        <v>7511439</v>
      </c>
      <c r="B639" t="s">
        <v>1066</v>
      </c>
      <c r="C639" t="s">
        <v>934</v>
      </c>
      <c r="D639" s="21" t="s">
        <v>34</v>
      </c>
      <c r="E639" s="21" t="s">
        <v>35</v>
      </c>
      <c r="F639">
        <v>8751271</v>
      </c>
      <c r="G639" t="s">
        <v>1067</v>
      </c>
      <c r="H639" s="21">
        <v>1694.3</v>
      </c>
    </row>
    <row r="640" spans="1:8" customFormat="1" x14ac:dyDescent="0.25">
      <c r="A640" t="str">
        <f>"725397"</f>
        <v>725397</v>
      </c>
      <c r="B640" t="s">
        <v>1293</v>
      </c>
      <c r="C640" t="s">
        <v>1294</v>
      </c>
      <c r="D640" s="21" t="s">
        <v>34</v>
      </c>
      <c r="E640" s="21" t="s">
        <v>35</v>
      </c>
      <c r="F640">
        <v>12720104</v>
      </c>
      <c r="G640" t="s">
        <v>224</v>
      </c>
      <c r="H640" s="21">
        <v>1694.17</v>
      </c>
    </row>
    <row r="641" spans="1:8" customFormat="1" x14ac:dyDescent="0.25">
      <c r="A641" t="str">
        <f>"781164"</f>
        <v>781164</v>
      </c>
      <c r="B641" t="s">
        <v>1018</v>
      </c>
      <c r="C641" t="s">
        <v>288</v>
      </c>
      <c r="D641" s="21" t="s">
        <v>34</v>
      </c>
      <c r="E641" s="21" t="s">
        <v>35</v>
      </c>
      <c r="F641">
        <v>4280004</v>
      </c>
      <c r="G641" t="s">
        <v>91</v>
      </c>
      <c r="H641" s="21">
        <v>1693.67</v>
      </c>
    </row>
    <row r="642" spans="1:8" customFormat="1" x14ac:dyDescent="0.25">
      <c r="A642" t="str">
        <f>"753226"</f>
        <v>753226</v>
      </c>
      <c r="B642" t="s">
        <v>1433</v>
      </c>
      <c r="C642" t="s">
        <v>867</v>
      </c>
      <c r="D642" s="21" t="s">
        <v>34</v>
      </c>
      <c r="E642" s="21" t="s">
        <v>35</v>
      </c>
      <c r="F642">
        <v>8920151</v>
      </c>
      <c r="G642" t="s">
        <v>1434</v>
      </c>
      <c r="H642" s="21">
        <v>1693.67</v>
      </c>
    </row>
    <row r="643" spans="1:8" customFormat="1" x14ac:dyDescent="0.25">
      <c r="A643" t="str">
        <f>"063865"</f>
        <v>063865</v>
      </c>
      <c r="B643" t="s">
        <v>1619</v>
      </c>
      <c r="C643" t="s">
        <v>1620</v>
      </c>
      <c r="D643" s="21" t="s">
        <v>34</v>
      </c>
      <c r="E643" s="21" t="s">
        <v>35</v>
      </c>
      <c r="F643">
        <v>13060008</v>
      </c>
      <c r="G643" t="s">
        <v>36</v>
      </c>
      <c r="H643" s="21">
        <v>1692.8</v>
      </c>
    </row>
    <row r="644" spans="1:8" customFormat="1" x14ac:dyDescent="0.25">
      <c r="A644" t="str">
        <f>"62981"</f>
        <v>62981</v>
      </c>
      <c r="B644" t="s">
        <v>1409</v>
      </c>
      <c r="C644" t="s">
        <v>1410</v>
      </c>
      <c r="D644" s="21" t="s">
        <v>34</v>
      </c>
      <c r="E644" s="21" t="s">
        <v>71</v>
      </c>
      <c r="F644">
        <v>7620100</v>
      </c>
      <c r="G644" t="s">
        <v>145</v>
      </c>
      <c r="H644" s="21">
        <v>1692.42</v>
      </c>
    </row>
    <row r="645" spans="1:8" customFormat="1" x14ac:dyDescent="0.25">
      <c r="A645" t="str">
        <f>"4920122"</f>
        <v>4920122</v>
      </c>
      <c r="B645" t="s">
        <v>5648</v>
      </c>
      <c r="C645" t="s">
        <v>43</v>
      </c>
      <c r="D645" s="21" t="s">
        <v>34</v>
      </c>
      <c r="E645" s="21" t="s">
        <v>35</v>
      </c>
      <c r="F645">
        <v>12490076</v>
      </c>
      <c r="G645" t="s">
        <v>2086</v>
      </c>
      <c r="H645" s="21">
        <v>1692.17</v>
      </c>
    </row>
    <row r="646" spans="1:8" customFormat="1" x14ac:dyDescent="0.25">
      <c r="A646" t="str">
        <f>"937398"</f>
        <v>937398</v>
      </c>
      <c r="B646" t="s">
        <v>1010</v>
      </c>
      <c r="C646" t="s">
        <v>484</v>
      </c>
      <c r="D646" s="21" t="s">
        <v>34</v>
      </c>
      <c r="E646" s="21" t="s">
        <v>35</v>
      </c>
      <c r="F646">
        <v>8931057</v>
      </c>
      <c r="G646" t="s">
        <v>1011</v>
      </c>
      <c r="H646" s="21">
        <v>1692.17</v>
      </c>
    </row>
    <row r="647" spans="1:8" customFormat="1" x14ac:dyDescent="0.25">
      <c r="A647" t="str">
        <f>"227871"</f>
        <v>227871</v>
      </c>
      <c r="B647" t="s">
        <v>1077</v>
      </c>
      <c r="C647" t="s">
        <v>60</v>
      </c>
      <c r="D647" s="21" t="s">
        <v>34</v>
      </c>
      <c r="E647" s="21" t="s">
        <v>35</v>
      </c>
      <c r="F647">
        <v>3350014</v>
      </c>
      <c r="G647" t="s">
        <v>1078</v>
      </c>
      <c r="H647" s="21">
        <v>1691.67</v>
      </c>
    </row>
    <row r="648" spans="1:8" customFormat="1" x14ac:dyDescent="0.25">
      <c r="A648" t="str">
        <f>"162259"</f>
        <v>162259</v>
      </c>
      <c r="B648" t="s">
        <v>1048</v>
      </c>
      <c r="C648" t="s">
        <v>187</v>
      </c>
      <c r="D648" s="21" t="s">
        <v>34</v>
      </c>
      <c r="E648" s="21" t="s">
        <v>35</v>
      </c>
      <c r="F648">
        <v>10160029</v>
      </c>
      <c r="G648" t="s">
        <v>896</v>
      </c>
      <c r="H648" s="21">
        <v>1691.67</v>
      </c>
    </row>
    <row r="649" spans="1:8" customFormat="1" x14ac:dyDescent="0.25">
      <c r="A649" t="str">
        <f>"12613"</f>
        <v>12613</v>
      </c>
      <c r="B649" t="s">
        <v>1086</v>
      </c>
      <c r="C649" t="s">
        <v>65</v>
      </c>
      <c r="D649" s="21" t="s">
        <v>34</v>
      </c>
      <c r="E649" s="21" t="s">
        <v>35</v>
      </c>
      <c r="F649">
        <v>11340033</v>
      </c>
      <c r="G649" t="s">
        <v>433</v>
      </c>
      <c r="H649" s="21">
        <v>1691.17</v>
      </c>
    </row>
    <row r="650" spans="1:8" customFormat="1" x14ac:dyDescent="0.25">
      <c r="A650" t="str">
        <f>"581072"</f>
        <v>581072</v>
      </c>
      <c r="B650" t="s">
        <v>1069</v>
      </c>
      <c r="C650" t="s">
        <v>60</v>
      </c>
      <c r="D650" s="21" t="s">
        <v>34</v>
      </c>
      <c r="E650" s="21" t="s">
        <v>35</v>
      </c>
      <c r="F650">
        <v>2210052</v>
      </c>
      <c r="G650" t="s">
        <v>1070</v>
      </c>
      <c r="H650" s="21">
        <v>1691.17</v>
      </c>
    </row>
    <row r="651" spans="1:8" customFormat="1" x14ac:dyDescent="0.25">
      <c r="A651" t="str">
        <f>"95631"</f>
        <v>95631</v>
      </c>
      <c r="B651" t="s">
        <v>1057</v>
      </c>
      <c r="C651" t="s">
        <v>204</v>
      </c>
      <c r="D651" s="21" t="s">
        <v>34</v>
      </c>
      <c r="E651" s="21" t="s">
        <v>35</v>
      </c>
      <c r="F651">
        <v>8950553</v>
      </c>
      <c r="G651" t="s">
        <v>1058</v>
      </c>
      <c r="H651" s="21">
        <v>1690.55</v>
      </c>
    </row>
    <row r="652" spans="1:8" customFormat="1" x14ac:dyDescent="0.25">
      <c r="A652" t="str">
        <f>"781686"</f>
        <v>781686</v>
      </c>
      <c r="B652" t="s">
        <v>1133</v>
      </c>
      <c r="C652" t="s">
        <v>124</v>
      </c>
      <c r="D652" s="21" t="s">
        <v>34</v>
      </c>
      <c r="E652" s="21" t="s">
        <v>35</v>
      </c>
      <c r="F652">
        <v>8780674</v>
      </c>
      <c r="G652" t="s">
        <v>26585</v>
      </c>
      <c r="H652" s="21">
        <v>1690.17</v>
      </c>
    </row>
    <row r="653" spans="1:8" customFormat="1" x14ac:dyDescent="0.25">
      <c r="A653" t="str">
        <f>"59237"</f>
        <v>59237</v>
      </c>
      <c r="B653" t="s">
        <v>1140</v>
      </c>
      <c r="C653" t="s">
        <v>65</v>
      </c>
      <c r="D653" s="21" t="s">
        <v>34</v>
      </c>
      <c r="E653" s="21" t="s">
        <v>35</v>
      </c>
      <c r="F653">
        <v>7590269</v>
      </c>
      <c r="G653" t="s">
        <v>873</v>
      </c>
      <c r="H653" s="21">
        <v>1690.17</v>
      </c>
    </row>
    <row r="654" spans="1:8" customFormat="1" x14ac:dyDescent="0.25">
      <c r="A654" t="str">
        <f>"422768"</f>
        <v>422768</v>
      </c>
      <c r="B654" t="s">
        <v>1295</v>
      </c>
      <c r="C654" t="s">
        <v>209</v>
      </c>
      <c r="D654" s="21" t="s">
        <v>34</v>
      </c>
      <c r="E654" s="21" t="s">
        <v>71</v>
      </c>
      <c r="F654">
        <v>1420017</v>
      </c>
      <c r="G654" t="s">
        <v>1296</v>
      </c>
      <c r="H654" s="21">
        <v>1690.17</v>
      </c>
    </row>
    <row r="655" spans="1:8" customFormat="1" x14ac:dyDescent="0.25">
      <c r="A655" t="str">
        <f>"18772"</f>
        <v>18772</v>
      </c>
      <c r="B655" t="s">
        <v>1328</v>
      </c>
      <c r="C655" t="s">
        <v>33</v>
      </c>
      <c r="D655" s="21" t="s">
        <v>34</v>
      </c>
      <c r="E655" s="21" t="s">
        <v>35</v>
      </c>
      <c r="F655">
        <v>4180485</v>
      </c>
      <c r="G655" t="s">
        <v>345</v>
      </c>
      <c r="H655" s="21">
        <v>1690.05</v>
      </c>
    </row>
    <row r="656" spans="1:8" customFormat="1" x14ac:dyDescent="0.25">
      <c r="A656" t="str">
        <f>"215123"</f>
        <v>215123</v>
      </c>
      <c r="B656" t="s">
        <v>1525</v>
      </c>
      <c r="C656" t="s">
        <v>114</v>
      </c>
      <c r="D656" s="21" t="s">
        <v>34</v>
      </c>
      <c r="E656" s="21" t="s">
        <v>35</v>
      </c>
      <c r="F656">
        <v>2210052</v>
      </c>
      <c r="G656" t="s">
        <v>1070</v>
      </c>
      <c r="H656" s="21">
        <v>1689.67</v>
      </c>
    </row>
    <row r="657" spans="1:8" customFormat="1" x14ac:dyDescent="0.25">
      <c r="A657" t="str">
        <f>"9125137"</f>
        <v>9125137</v>
      </c>
      <c r="B657" t="s">
        <v>1165</v>
      </c>
      <c r="C657" t="s">
        <v>82</v>
      </c>
      <c r="D657" s="21" t="s">
        <v>34</v>
      </c>
      <c r="E657" s="21" t="s">
        <v>35</v>
      </c>
      <c r="F657">
        <v>7590170</v>
      </c>
      <c r="G657" t="s">
        <v>868</v>
      </c>
      <c r="H657" s="21">
        <v>1689.17</v>
      </c>
    </row>
    <row r="658" spans="1:8" customFormat="1" x14ac:dyDescent="0.25">
      <c r="A658" t="str">
        <f>"4428500"</f>
        <v>4428500</v>
      </c>
      <c r="B658" t="s">
        <v>5333</v>
      </c>
      <c r="C658" t="s">
        <v>1100</v>
      </c>
      <c r="D658" s="21" t="s">
        <v>34</v>
      </c>
      <c r="E658" s="21" t="s">
        <v>35</v>
      </c>
      <c r="F658">
        <v>12440075</v>
      </c>
      <c r="G658" t="s">
        <v>1437</v>
      </c>
      <c r="H658" s="21">
        <v>1689.17</v>
      </c>
    </row>
    <row r="659" spans="1:8" customFormat="1" x14ac:dyDescent="0.25">
      <c r="A659" t="str">
        <f>"54467"</f>
        <v>54467</v>
      </c>
      <c r="B659" t="s">
        <v>1273</v>
      </c>
      <c r="C659" t="s">
        <v>43</v>
      </c>
      <c r="D659" s="21" t="s">
        <v>34</v>
      </c>
      <c r="E659" s="21" t="s">
        <v>35</v>
      </c>
      <c r="F659">
        <v>6540020</v>
      </c>
      <c r="G659" t="s">
        <v>1269</v>
      </c>
      <c r="H659" s="21">
        <v>1689.17</v>
      </c>
    </row>
    <row r="660" spans="1:8" customFormat="1" x14ac:dyDescent="0.25">
      <c r="A660" t="str">
        <f>"282606"</f>
        <v>282606</v>
      </c>
      <c r="B660" t="s">
        <v>5765</v>
      </c>
      <c r="C660" t="s">
        <v>65</v>
      </c>
      <c r="D660" s="21" t="s">
        <v>34</v>
      </c>
      <c r="E660" s="21" t="s">
        <v>35</v>
      </c>
      <c r="F660">
        <v>4370669</v>
      </c>
      <c r="G660" t="s">
        <v>8189</v>
      </c>
      <c r="H660" s="21">
        <v>1688.67</v>
      </c>
    </row>
    <row r="661" spans="1:8" customFormat="1" x14ac:dyDescent="0.25">
      <c r="A661" t="str">
        <f>"4429762"</f>
        <v>4429762</v>
      </c>
      <c r="B661" t="s">
        <v>1223</v>
      </c>
      <c r="C661" t="s">
        <v>239</v>
      </c>
      <c r="D661" s="21" t="s">
        <v>34</v>
      </c>
      <c r="E661" s="21" t="s">
        <v>71</v>
      </c>
      <c r="F661">
        <v>12440021</v>
      </c>
      <c r="G661" t="s">
        <v>429</v>
      </c>
      <c r="H661" s="21">
        <v>1688.17</v>
      </c>
    </row>
    <row r="662" spans="1:8" customFormat="1" x14ac:dyDescent="0.25">
      <c r="A662" t="str">
        <f>"1310340"</f>
        <v>1310340</v>
      </c>
      <c r="B662" t="s">
        <v>975</v>
      </c>
      <c r="C662" t="s">
        <v>119</v>
      </c>
      <c r="D662" s="21" t="s">
        <v>34</v>
      </c>
      <c r="E662" s="21" t="s">
        <v>71</v>
      </c>
      <c r="F662">
        <v>13060064</v>
      </c>
      <c r="G662" t="s">
        <v>976</v>
      </c>
      <c r="H662" s="21">
        <v>1688.17</v>
      </c>
    </row>
    <row r="663" spans="1:8" customFormat="1" x14ac:dyDescent="0.25">
      <c r="A663" t="str">
        <f>"624393"</f>
        <v>624393</v>
      </c>
      <c r="B663" t="s">
        <v>1113</v>
      </c>
      <c r="C663" t="s">
        <v>486</v>
      </c>
      <c r="D663" s="21" t="s">
        <v>34</v>
      </c>
      <c r="E663" s="21" t="s">
        <v>35</v>
      </c>
      <c r="F663">
        <v>7800004</v>
      </c>
      <c r="G663" t="s">
        <v>748</v>
      </c>
      <c r="H663" s="21">
        <v>1688.17</v>
      </c>
    </row>
    <row r="664" spans="1:8" customFormat="1" x14ac:dyDescent="0.25">
      <c r="A664" t="str">
        <f>"75818"</f>
        <v>75818</v>
      </c>
      <c r="B664" t="s">
        <v>1203</v>
      </c>
      <c r="C664" t="s">
        <v>1025</v>
      </c>
      <c r="D664" s="21" t="s">
        <v>34</v>
      </c>
      <c r="E664" s="21" t="s">
        <v>35</v>
      </c>
      <c r="F664">
        <v>8910918</v>
      </c>
      <c r="G664" t="s">
        <v>332</v>
      </c>
      <c r="H664" s="21">
        <v>1687.67</v>
      </c>
    </row>
    <row r="665" spans="1:8" customFormat="1" x14ac:dyDescent="0.25">
      <c r="A665" t="str">
        <f>"912301"</f>
        <v>912301</v>
      </c>
      <c r="B665" t="s">
        <v>788</v>
      </c>
      <c r="C665" t="s">
        <v>236</v>
      </c>
      <c r="D665" s="21" t="s">
        <v>34</v>
      </c>
      <c r="E665" s="21" t="s">
        <v>35</v>
      </c>
      <c r="F665">
        <v>8910881</v>
      </c>
      <c r="G665" t="s">
        <v>1300</v>
      </c>
      <c r="H665" s="21">
        <v>1686.93</v>
      </c>
    </row>
    <row r="666" spans="1:8" customFormat="1" x14ac:dyDescent="0.25">
      <c r="A666" t="str">
        <f>"9213094"</f>
        <v>9213094</v>
      </c>
      <c r="B666" t="s">
        <v>1118</v>
      </c>
      <c r="C666" t="s">
        <v>1119</v>
      </c>
      <c r="D666" s="21" t="s">
        <v>34</v>
      </c>
      <c r="E666" s="21" t="s">
        <v>71</v>
      </c>
      <c r="F666">
        <v>8910861</v>
      </c>
      <c r="G666" t="s">
        <v>1120</v>
      </c>
      <c r="H666" s="21">
        <v>1686.67</v>
      </c>
    </row>
    <row r="667" spans="1:8" customFormat="1" x14ac:dyDescent="0.25">
      <c r="A667" t="str">
        <f>"885061"</f>
        <v>885061</v>
      </c>
      <c r="B667" t="s">
        <v>1302</v>
      </c>
      <c r="C667" t="s">
        <v>109</v>
      </c>
      <c r="D667" s="21" t="s">
        <v>34</v>
      </c>
      <c r="E667" s="21" t="s">
        <v>35</v>
      </c>
      <c r="F667">
        <v>6880145</v>
      </c>
      <c r="G667" t="s">
        <v>1303</v>
      </c>
      <c r="H667" s="21">
        <v>1685.67</v>
      </c>
    </row>
    <row r="668" spans="1:8" customFormat="1" x14ac:dyDescent="0.25">
      <c r="A668" t="str">
        <f>"809129"</f>
        <v>809129</v>
      </c>
      <c r="B668" t="s">
        <v>1157</v>
      </c>
      <c r="C668" t="s">
        <v>239</v>
      </c>
      <c r="D668" s="21" t="s">
        <v>34</v>
      </c>
      <c r="E668" s="21" t="s">
        <v>35</v>
      </c>
      <c r="F668">
        <v>3350016</v>
      </c>
      <c r="G668" t="s">
        <v>133</v>
      </c>
      <c r="H668" s="21">
        <v>1685.67</v>
      </c>
    </row>
    <row r="669" spans="1:8" customFormat="1" x14ac:dyDescent="0.25">
      <c r="A669" t="str">
        <f>"4510305"</f>
        <v>4510305</v>
      </c>
      <c r="B669" t="s">
        <v>1357</v>
      </c>
      <c r="C669" t="s">
        <v>55</v>
      </c>
      <c r="D669" s="21" t="s">
        <v>34</v>
      </c>
      <c r="E669" s="21" t="s">
        <v>35</v>
      </c>
      <c r="F669">
        <v>4450571</v>
      </c>
      <c r="G669" t="s">
        <v>188</v>
      </c>
      <c r="H669" s="21">
        <v>1685.17</v>
      </c>
    </row>
    <row r="670" spans="1:8" customFormat="1" x14ac:dyDescent="0.25">
      <c r="A670" t="str">
        <f>"538379"</f>
        <v>538379</v>
      </c>
      <c r="B670" t="s">
        <v>19096</v>
      </c>
      <c r="C670" t="s">
        <v>695</v>
      </c>
      <c r="D670" s="21" t="s">
        <v>34</v>
      </c>
      <c r="E670" s="21" t="s">
        <v>35</v>
      </c>
      <c r="F670">
        <v>12530050</v>
      </c>
      <c r="G670" t="s">
        <v>5196</v>
      </c>
      <c r="H670" s="21">
        <v>1685.17</v>
      </c>
    </row>
    <row r="671" spans="1:8" customFormat="1" x14ac:dyDescent="0.25">
      <c r="A671" t="str">
        <f>"592197"</f>
        <v>592197</v>
      </c>
      <c r="B671" t="s">
        <v>932</v>
      </c>
      <c r="C671" t="s">
        <v>267</v>
      </c>
      <c r="D671" s="21" t="s">
        <v>34</v>
      </c>
      <c r="E671" s="21" t="s">
        <v>35</v>
      </c>
      <c r="F671">
        <v>7590123</v>
      </c>
      <c r="G671" t="s">
        <v>85</v>
      </c>
      <c r="H671" s="21">
        <v>1682.67</v>
      </c>
    </row>
    <row r="672" spans="1:8" customFormat="1" x14ac:dyDescent="0.25">
      <c r="A672" t="str">
        <f>"9530074"</f>
        <v>9530074</v>
      </c>
      <c r="B672" t="s">
        <v>973</v>
      </c>
      <c r="C672" t="s">
        <v>198</v>
      </c>
      <c r="D672" s="21" t="s">
        <v>34</v>
      </c>
      <c r="E672" s="21" t="s">
        <v>35</v>
      </c>
      <c r="F672">
        <v>8950481</v>
      </c>
      <c r="G672" t="s">
        <v>1472</v>
      </c>
      <c r="H672" s="21">
        <v>1682.54</v>
      </c>
    </row>
    <row r="673" spans="1:8" customFormat="1" x14ac:dyDescent="0.25">
      <c r="A673" t="str">
        <f>"9417581"</f>
        <v>9417581</v>
      </c>
      <c r="B673" t="s">
        <v>1240</v>
      </c>
      <c r="C673" t="s">
        <v>43</v>
      </c>
      <c r="D673" s="21" t="s">
        <v>34</v>
      </c>
      <c r="E673" s="21" t="s">
        <v>35</v>
      </c>
      <c r="F673">
        <v>7590105</v>
      </c>
      <c r="G673" t="s">
        <v>887</v>
      </c>
      <c r="H673" s="21">
        <v>1682.04</v>
      </c>
    </row>
    <row r="674" spans="1:8" customFormat="1" x14ac:dyDescent="0.25">
      <c r="A674" t="str">
        <f>"066374"</f>
        <v>066374</v>
      </c>
      <c r="B674" t="s">
        <v>1159</v>
      </c>
      <c r="C674" t="s">
        <v>1146</v>
      </c>
      <c r="D674" s="21" t="s">
        <v>34</v>
      </c>
      <c r="E674" s="21" t="s">
        <v>35</v>
      </c>
      <c r="F674">
        <v>13060008</v>
      </c>
      <c r="G674" t="s">
        <v>36</v>
      </c>
      <c r="H674" s="21">
        <v>1681.67</v>
      </c>
    </row>
    <row r="675" spans="1:8" customFormat="1" x14ac:dyDescent="0.25">
      <c r="A675" t="str">
        <f>"935085"</f>
        <v>935085</v>
      </c>
      <c r="B675" t="s">
        <v>1122</v>
      </c>
      <c r="C675" t="s">
        <v>62</v>
      </c>
      <c r="D675" s="21" t="s">
        <v>34</v>
      </c>
      <c r="E675" s="21" t="s">
        <v>35</v>
      </c>
      <c r="F675">
        <v>8930024</v>
      </c>
      <c r="G675" t="s">
        <v>44</v>
      </c>
      <c r="H675" s="21">
        <v>1681.67</v>
      </c>
    </row>
    <row r="676" spans="1:8" customFormat="1" x14ac:dyDescent="0.25">
      <c r="A676" t="str">
        <f>"265756"</f>
        <v>265756</v>
      </c>
      <c r="B676" t="s">
        <v>1162</v>
      </c>
      <c r="C676" t="s">
        <v>249</v>
      </c>
      <c r="D676" s="21" t="s">
        <v>34</v>
      </c>
      <c r="E676" s="21" t="s">
        <v>35</v>
      </c>
      <c r="F676">
        <v>2710005</v>
      </c>
      <c r="G676" t="s">
        <v>642</v>
      </c>
      <c r="H676" s="21">
        <v>1681.67</v>
      </c>
    </row>
    <row r="677" spans="1:8" customFormat="1" x14ac:dyDescent="0.25">
      <c r="A677" t="str">
        <f>"3326746"</f>
        <v>3326746</v>
      </c>
      <c r="B677" t="s">
        <v>1108</v>
      </c>
      <c r="C677" t="s">
        <v>249</v>
      </c>
      <c r="D677" s="21" t="s">
        <v>34</v>
      </c>
      <c r="E677" s="21" t="s">
        <v>35</v>
      </c>
      <c r="F677">
        <v>10330086</v>
      </c>
      <c r="G677" t="s">
        <v>785</v>
      </c>
      <c r="H677" s="21">
        <v>1681.17</v>
      </c>
    </row>
    <row r="678" spans="1:8" customFormat="1" x14ac:dyDescent="0.25">
      <c r="A678" t="str">
        <f>"78426"</f>
        <v>78426</v>
      </c>
      <c r="B678" t="s">
        <v>925</v>
      </c>
      <c r="C678" t="s">
        <v>926</v>
      </c>
      <c r="D678" s="21" t="s">
        <v>34</v>
      </c>
      <c r="E678" s="21" t="s">
        <v>71</v>
      </c>
      <c r="F678">
        <v>8780114</v>
      </c>
      <c r="G678" t="s">
        <v>927</v>
      </c>
      <c r="H678" s="21">
        <v>1681.17</v>
      </c>
    </row>
    <row r="679" spans="1:8" customFormat="1" x14ac:dyDescent="0.25">
      <c r="A679" t="str">
        <f>"785154"</f>
        <v>785154</v>
      </c>
      <c r="B679" t="s">
        <v>1335</v>
      </c>
      <c r="C679" t="s">
        <v>65</v>
      </c>
      <c r="D679" s="21" t="s">
        <v>34</v>
      </c>
      <c r="E679" s="21" t="s">
        <v>35</v>
      </c>
      <c r="F679">
        <v>8910442</v>
      </c>
      <c r="G679" t="s">
        <v>1336</v>
      </c>
      <c r="H679" s="21">
        <v>1680.92</v>
      </c>
    </row>
    <row r="680" spans="1:8" customFormat="1" x14ac:dyDescent="0.25">
      <c r="A680" t="str">
        <f>"799907"</f>
        <v>799907</v>
      </c>
      <c r="B680" t="s">
        <v>1154</v>
      </c>
      <c r="C680" t="s">
        <v>87</v>
      </c>
      <c r="D680" s="21" t="s">
        <v>34</v>
      </c>
      <c r="E680" s="21" t="s">
        <v>35</v>
      </c>
      <c r="F680">
        <v>10790009</v>
      </c>
      <c r="G680" t="s">
        <v>1155</v>
      </c>
      <c r="H680" s="21">
        <v>1680.67</v>
      </c>
    </row>
    <row r="681" spans="1:8" customFormat="1" x14ac:dyDescent="0.25">
      <c r="A681" t="str">
        <f>"943193"</f>
        <v>943193</v>
      </c>
      <c r="B681" t="s">
        <v>1117</v>
      </c>
      <c r="C681" t="s">
        <v>611</v>
      </c>
      <c r="D681" s="21" t="s">
        <v>34</v>
      </c>
      <c r="E681" s="21" t="s">
        <v>35</v>
      </c>
      <c r="F681">
        <v>8940326</v>
      </c>
      <c r="G681" t="s">
        <v>659</v>
      </c>
      <c r="H681" s="21">
        <v>1680.3</v>
      </c>
    </row>
    <row r="682" spans="1:8" customFormat="1" x14ac:dyDescent="0.25">
      <c r="A682" t="str">
        <f>"753315"</f>
        <v>753315</v>
      </c>
      <c r="B682" t="s">
        <v>888</v>
      </c>
      <c r="C682" t="s">
        <v>249</v>
      </c>
      <c r="D682" s="21" t="s">
        <v>34</v>
      </c>
      <c r="E682" s="21" t="s">
        <v>71</v>
      </c>
      <c r="F682">
        <v>8750074</v>
      </c>
      <c r="G682" t="s">
        <v>698</v>
      </c>
      <c r="H682" s="21">
        <v>1680.17</v>
      </c>
    </row>
    <row r="683" spans="1:8" customFormat="1" x14ac:dyDescent="0.25">
      <c r="A683" t="str">
        <f>"922776"</f>
        <v>922776</v>
      </c>
      <c r="B683" t="s">
        <v>1167</v>
      </c>
      <c r="C683" t="s">
        <v>40</v>
      </c>
      <c r="D683" s="21" t="s">
        <v>34</v>
      </c>
      <c r="E683" s="21" t="s">
        <v>35</v>
      </c>
      <c r="F683">
        <v>8920126</v>
      </c>
      <c r="G683" t="s">
        <v>1168</v>
      </c>
      <c r="H683" s="21">
        <v>1679.67</v>
      </c>
    </row>
    <row r="684" spans="1:8" customFormat="1" x14ac:dyDescent="0.25">
      <c r="A684" t="str">
        <f>"042345"</f>
        <v>042345</v>
      </c>
      <c r="B684" t="s">
        <v>1170</v>
      </c>
      <c r="C684" t="s">
        <v>87</v>
      </c>
      <c r="D684" s="21" t="s">
        <v>34</v>
      </c>
      <c r="E684" s="21" t="s">
        <v>35</v>
      </c>
      <c r="F684">
        <v>13130067</v>
      </c>
      <c r="G684" t="s">
        <v>1420</v>
      </c>
      <c r="H684" s="21">
        <v>1679.67</v>
      </c>
    </row>
    <row r="685" spans="1:8" customFormat="1" x14ac:dyDescent="0.25">
      <c r="A685" t="str">
        <f>"448388"</f>
        <v>448388</v>
      </c>
      <c r="B685" t="s">
        <v>1099</v>
      </c>
      <c r="C685" t="s">
        <v>1100</v>
      </c>
      <c r="D685" s="21" t="s">
        <v>34</v>
      </c>
      <c r="E685" s="21" t="s">
        <v>35</v>
      </c>
      <c r="F685">
        <v>12440197</v>
      </c>
      <c r="G685" t="s">
        <v>1101</v>
      </c>
      <c r="H685" s="21">
        <v>1679.42</v>
      </c>
    </row>
    <row r="686" spans="1:8" customFormat="1" x14ac:dyDescent="0.25">
      <c r="A686" t="str">
        <f>"291576"</f>
        <v>291576</v>
      </c>
      <c r="B686" t="s">
        <v>1442</v>
      </c>
      <c r="C686" t="s">
        <v>462</v>
      </c>
      <c r="D686" s="21" t="s">
        <v>34</v>
      </c>
      <c r="E686" s="21" t="s">
        <v>71</v>
      </c>
      <c r="F686">
        <v>3290087</v>
      </c>
      <c r="G686" t="s">
        <v>364</v>
      </c>
      <c r="H686" s="21">
        <v>1679.17</v>
      </c>
    </row>
    <row r="687" spans="1:8" customFormat="1" x14ac:dyDescent="0.25">
      <c r="A687" t="str">
        <f>"314738"</f>
        <v>314738</v>
      </c>
      <c r="B687" t="s">
        <v>1153</v>
      </c>
      <c r="C687" t="s">
        <v>528</v>
      </c>
      <c r="D687" s="21" t="s">
        <v>34</v>
      </c>
      <c r="E687" s="21" t="s">
        <v>35</v>
      </c>
      <c r="F687">
        <v>11310011</v>
      </c>
      <c r="G687" t="s">
        <v>26586</v>
      </c>
      <c r="H687" s="21">
        <v>1678.67</v>
      </c>
    </row>
    <row r="688" spans="1:8" customFormat="1" x14ac:dyDescent="0.25">
      <c r="A688" t="str">
        <f>"5918738"</f>
        <v>5918738</v>
      </c>
      <c r="B688" t="s">
        <v>1333</v>
      </c>
      <c r="C688" t="s">
        <v>817</v>
      </c>
      <c r="D688" s="21" t="s">
        <v>34</v>
      </c>
      <c r="E688" s="21" t="s">
        <v>71</v>
      </c>
      <c r="F688">
        <v>7590194</v>
      </c>
      <c r="G688" t="s">
        <v>460</v>
      </c>
      <c r="H688" s="21">
        <v>1678.17</v>
      </c>
    </row>
    <row r="689" spans="1:8" customFormat="1" x14ac:dyDescent="0.25">
      <c r="A689" t="str">
        <f>"06762"</f>
        <v>06762</v>
      </c>
      <c r="B689" t="s">
        <v>765</v>
      </c>
      <c r="C689" t="s">
        <v>55</v>
      </c>
      <c r="D689" s="21" t="s">
        <v>34</v>
      </c>
      <c r="E689" s="21" t="s">
        <v>71</v>
      </c>
      <c r="F689">
        <v>13060007</v>
      </c>
      <c r="G689" t="s">
        <v>59</v>
      </c>
      <c r="H689" s="21">
        <v>1678.17</v>
      </c>
    </row>
    <row r="690" spans="1:8" customFormat="1" x14ac:dyDescent="0.25">
      <c r="A690" t="str">
        <f>"6217876"</f>
        <v>6217876</v>
      </c>
      <c r="B690" t="s">
        <v>1084</v>
      </c>
      <c r="C690" t="s">
        <v>244</v>
      </c>
      <c r="D690" s="21" t="s">
        <v>34</v>
      </c>
      <c r="E690" s="21" t="s">
        <v>35</v>
      </c>
      <c r="F690">
        <v>7620057</v>
      </c>
      <c r="G690" t="s">
        <v>184</v>
      </c>
      <c r="H690" s="21">
        <v>1677.67</v>
      </c>
    </row>
    <row r="691" spans="1:8" customFormat="1" x14ac:dyDescent="0.25">
      <c r="A691" t="str">
        <f>"492917"</f>
        <v>492917</v>
      </c>
      <c r="B691" t="s">
        <v>1049</v>
      </c>
      <c r="C691" t="s">
        <v>1050</v>
      </c>
      <c r="D691" s="21" t="s">
        <v>34</v>
      </c>
      <c r="E691" s="21" t="s">
        <v>35</v>
      </c>
      <c r="F691">
        <v>12490066</v>
      </c>
      <c r="G691" t="s">
        <v>1051</v>
      </c>
      <c r="H691" s="21">
        <v>1677.17</v>
      </c>
    </row>
    <row r="692" spans="1:8" customFormat="1" x14ac:dyDescent="0.25">
      <c r="A692" t="str">
        <f>"447699"</f>
        <v>447699</v>
      </c>
      <c r="B692" t="s">
        <v>1227</v>
      </c>
      <c r="C692" t="s">
        <v>302</v>
      </c>
      <c r="D692" s="21" t="s">
        <v>34</v>
      </c>
      <c r="E692" s="21" t="s">
        <v>35</v>
      </c>
      <c r="F692">
        <v>12440012</v>
      </c>
      <c r="G692" t="s">
        <v>807</v>
      </c>
      <c r="H692" s="21">
        <v>1676.92</v>
      </c>
    </row>
    <row r="693" spans="1:8" customFormat="1" x14ac:dyDescent="0.25">
      <c r="A693" t="str">
        <f>"612695"</f>
        <v>612695</v>
      </c>
      <c r="B693" t="s">
        <v>1178</v>
      </c>
      <c r="C693" t="s">
        <v>60</v>
      </c>
      <c r="D693" s="21" t="s">
        <v>34</v>
      </c>
      <c r="E693" s="21" t="s">
        <v>35</v>
      </c>
      <c r="F693">
        <v>9610009</v>
      </c>
      <c r="G693" t="s">
        <v>282</v>
      </c>
      <c r="H693" s="21">
        <v>1676.67</v>
      </c>
    </row>
    <row r="694" spans="1:8" customFormat="1" x14ac:dyDescent="0.25">
      <c r="A694" t="str">
        <f>"853451"</f>
        <v>853451</v>
      </c>
      <c r="B694" t="s">
        <v>1195</v>
      </c>
      <c r="C694" t="s">
        <v>1196</v>
      </c>
      <c r="D694" s="21" t="s">
        <v>34</v>
      </c>
      <c r="E694" s="21" t="s">
        <v>71</v>
      </c>
      <c r="F694">
        <v>12850001</v>
      </c>
      <c r="G694" t="s">
        <v>1197</v>
      </c>
      <c r="H694" s="21">
        <v>1676.67</v>
      </c>
    </row>
    <row r="695" spans="1:8" customFormat="1" x14ac:dyDescent="0.25">
      <c r="A695" t="str">
        <f>"25145"</f>
        <v>25145</v>
      </c>
      <c r="B695" t="s">
        <v>1121</v>
      </c>
      <c r="C695" t="s">
        <v>269</v>
      </c>
      <c r="D695" s="21" t="s">
        <v>34</v>
      </c>
      <c r="E695" s="21" t="s">
        <v>254</v>
      </c>
      <c r="F695">
        <v>2250017</v>
      </c>
      <c r="G695" t="s">
        <v>521</v>
      </c>
      <c r="H695" s="21">
        <v>1676.67</v>
      </c>
    </row>
    <row r="696" spans="1:8" customFormat="1" x14ac:dyDescent="0.25">
      <c r="A696" t="str">
        <f>"5310807"</f>
        <v>5310807</v>
      </c>
      <c r="B696" t="s">
        <v>1341</v>
      </c>
      <c r="C696" t="s">
        <v>239</v>
      </c>
      <c r="D696" s="21" t="s">
        <v>34</v>
      </c>
      <c r="E696" s="21" t="s">
        <v>35</v>
      </c>
      <c r="F696">
        <v>12530114</v>
      </c>
      <c r="G696" t="s">
        <v>1342</v>
      </c>
      <c r="H696" s="21">
        <v>1676.67</v>
      </c>
    </row>
    <row r="697" spans="1:8" customFormat="1" x14ac:dyDescent="0.25">
      <c r="A697" t="str">
        <f>"2980"</f>
        <v>2980</v>
      </c>
      <c r="B697" t="s">
        <v>1138</v>
      </c>
      <c r="C697" t="s">
        <v>87</v>
      </c>
      <c r="D697" s="21" t="s">
        <v>34</v>
      </c>
      <c r="E697" s="21" t="s">
        <v>35</v>
      </c>
      <c r="F697">
        <v>3290262</v>
      </c>
      <c r="G697" t="s">
        <v>1139</v>
      </c>
      <c r="H697" s="21">
        <v>1676.17</v>
      </c>
    </row>
    <row r="698" spans="1:8" customFormat="1" x14ac:dyDescent="0.25">
      <c r="A698" t="str">
        <f>"292200"</f>
        <v>292200</v>
      </c>
      <c r="B698" t="s">
        <v>1389</v>
      </c>
      <c r="C698" t="s">
        <v>139</v>
      </c>
      <c r="D698" s="21" t="s">
        <v>34</v>
      </c>
      <c r="E698" s="21" t="s">
        <v>35</v>
      </c>
      <c r="F698">
        <v>3290090</v>
      </c>
      <c r="G698" t="s">
        <v>1390</v>
      </c>
      <c r="H698" s="21">
        <v>1676.05</v>
      </c>
    </row>
    <row r="699" spans="1:8" customFormat="1" x14ac:dyDescent="0.25">
      <c r="A699" t="str">
        <f>"35160"</f>
        <v>35160</v>
      </c>
      <c r="B699" t="s">
        <v>1180</v>
      </c>
      <c r="C699" t="s">
        <v>33</v>
      </c>
      <c r="D699" s="21" t="s">
        <v>34</v>
      </c>
      <c r="E699" s="21" t="s">
        <v>71</v>
      </c>
      <c r="F699" t="s">
        <v>1181</v>
      </c>
      <c r="G699" t="s">
        <v>1182</v>
      </c>
      <c r="H699" s="21">
        <v>1676</v>
      </c>
    </row>
    <row r="700" spans="1:8" customFormat="1" x14ac:dyDescent="0.25">
      <c r="A700" t="str">
        <f>"103729"</f>
        <v>103729</v>
      </c>
      <c r="B700" t="s">
        <v>1499</v>
      </c>
      <c r="C700" t="s">
        <v>55</v>
      </c>
      <c r="D700" s="21" t="s">
        <v>34</v>
      </c>
      <c r="E700" s="21" t="s">
        <v>35</v>
      </c>
      <c r="F700">
        <v>6100004</v>
      </c>
      <c r="G700" t="s">
        <v>496</v>
      </c>
      <c r="H700" s="21">
        <v>1675.67</v>
      </c>
    </row>
    <row r="701" spans="1:8" customFormat="1" x14ac:dyDescent="0.25">
      <c r="A701" t="str">
        <f>"0618031"</f>
        <v>0618031</v>
      </c>
      <c r="B701" t="s">
        <v>26587</v>
      </c>
      <c r="C701" t="s">
        <v>37</v>
      </c>
      <c r="D701" s="21" t="s">
        <v>34</v>
      </c>
      <c r="E701" s="21" t="s">
        <v>35</v>
      </c>
      <c r="F701">
        <v>13060005</v>
      </c>
      <c r="G701" t="s">
        <v>3609</v>
      </c>
      <c r="H701" s="21">
        <v>1675.67</v>
      </c>
    </row>
    <row r="702" spans="1:8" customFormat="1" x14ac:dyDescent="0.25">
      <c r="A702" t="str">
        <f>"58936"</f>
        <v>58936</v>
      </c>
      <c r="B702" t="s">
        <v>1143</v>
      </c>
      <c r="C702" t="s">
        <v>249</v>
      </c>
      <c r="D702" s="21" t="s">
        <v>34</v>
      </c>
      <c r="E702" s="21" t="s">
        <v>35</v>
      </c>
      <c r="F702">
        <v>2580012</v>
      </c>
      <c r="G702" t="s">
        <v>1144</v>
      </c>
      <c r="H702" s="21">
        <v>1675.17</v>
      </c>
    </row>
    <row r="703" spans="1:8" customFormat="1" x14ac:dyDescent="0.25">
      <c r="A703" t="str">
        <f>"257565"</f>
        <v>257565</v>
      </c>
      <c r="B703" t="s">
        <v>577</v>
      </c>
      <c r="C703" t="s">
        <v>209</v>
      </c>
      <c r="D703" s="21" t="s">
        <v>34</v>
      </c>
      <c r="E703" s="21" t="s">
        <v>71</v>
      </c>
      <c r="F703">
        <v>2250007</v>
      </c>
      <c r="G703" t="s">
        <v>1137</v>
      </c>
      <c r="H703" s="21">
        <v>1675.17</v>
      </c>
    </row>
    <row r="704" spans="1:8" customFormat="1" x14ac:dyDescent="0.25">
      <c r="A704" t="str">
        <f>"79323"</f>
        <v>79323</v>
      </c>
      <c r="B704" t="s">
        <v>8916</v>
      </c>
      <c r="C704" t="s">
        <v>87</v>
      </c>
      <c r="D704" s="21" t="s">
        <v>34</v>
      </c>
      <c r="E704" s="21" t="s">
        <v>35</v>
      </c>
      <c r="F704">
        <v>12440238</v>
      </c>
      <c r="G704" t="s">
        <v>5258</v>
      </c>
      <c r="H704" s="21">
        <v>1674.67</v>
      </c>
    </row>
    <row r="705" spans="1:8" customFormat="1" x14ac:dyDescent="0.25">
      <c r="A705" t="str">
        <f>"771323"</f>
        <v>771323</v>
      </c>
      <c r="B705" t="s">
        <v>577</v>
      </c>
      <c r="C705" t="s">
        <v>812</v>
      </c>
      <c r="D705" s="21" t="s">
        <v>34</v>
      </c>
      <c r="E705" s="21" t="s">
        <v>35</v>
      </c>
      <c r="F705">
        <v>11310121</v>
      </c>
      <c r="G705" t="s">
        <v>578</v>
      </c>
      <c r="H705" s="21">
        <v>1674.17</v>
      </c>
    </row>
    <row r="706" spans="1:8" customFormat="1" x14ac:dyDescent="0.25">
      <c r="A706" t="str">
        <f>"88231"</f>
        <v>88231</v>
      </c>
      <c r="B706" t="s">
        <v>1028</v>
      </c>
      <c r="C706" t="s">
        <v>144</v>
      </c>
      <c r="D706" s="21" t="s">
        <v>34</v>
      </c>
      <c r="E706" s="21" t="s">
        <v>71</v>
      </c>
      <c r="F706">
        <v>6880010</v>
      </c>
      <c r="G706" t="s">
        <v>1029</v>
      </c>
      <c r="H706" s="21">
        <v>1674.17</v>
      </c>
    </row>
    <row r="707" spans="1:8" customFormat="1" x14ac:dyDescent="0.25">
      <c r="A707" t="str">
        <f>"18398"</f>
        <v>18398</v>
      </c>
      <c r="B707" t="s">
        <v>1551</v>
      </c>
      <c r="C707" t="s">
        <v>90</v>
      </c>
      <c r="D707" s="21" t="s">
        <v>34</v>
      </c>
      <c r="E707" s="21" t="s">
        <v>35</v>
      </c>
      <c r="F707">
        <v>4180613</v>
      </c>
      <c r="G707" t="s">
        <v>422</v>
      </c>
      <c r="H707" s="21">
        <v>1674.17</v>
      </c>
    </row>
    <row r="708" spans="1:8" customFormat="1" x14ac:dyDescent="0.25">
      <c r="A708" t="str">
        <f>"593348"</f>
        <v>593348</v>
      </c>
      <c r="B708" t="s">
        <v>1191</v>
      </c>
      <c r="C708" t="s">
        <v>169</v>
      </c>
      <c r="D708" s="21" t="s">
        <v>34</v>
      </c>
      <c r="E708" s="21" t="s">
        <v>35</v>
      </c>
      <c r="F708">
        <v>7590182</v>
      </c>
      <c r="G708" t="s">
        <v>172</v>
      </c>
      <c r="H708" s="21">
        <v>1674.17</v>
      </c>
    </row>
    <row r="709" spans="1:8" customFormat="1" x14ac:dyDescent="0.25">
      <c r="A709" t="str">
        <f>"7830312"</f>
        <v>7830312</v>
      </c>
      <c r="B709" t="s">
        <v>10132</v>
      </c>
      <c r="C709" t="s">
        <v>174</v>
      </c>
      <c r="D709" s="21" t="s">
        <v>34</v>
      </c>
      <c r="E709" s="21" t="s">
        <v>35</v>
      </c>
      <c r="F709">
        <v>10400015</v>
      </c>
      <c r="G709" t="s">
        <v>1095</v>
      </c>
      <c r="H709" s="21">
        <v>1673.92</v>
      </c>
    </row>
    <row r="710" spans="1:8" customFormat="1" x14ac:dyDescent="0.25">
      <c r="A710" t="str">
        <f>"173901"</f>
        <v>173901</v>
      </c>
      <c r="B710" t="s">
        <v>2199</v>
      </c>
      <c r="C710" t="s">
        <v>26588</v>
      </c>
      <c r="D710" s="21" t="s">
        <v>34</v>
      </c>
      <c r="E710" s="21" t="s">
        <v>35</v>
      </c>
      <c r="F710">
        <v>9140156</v>
      </c>
      <c r="G710" t="s">
        <v>645</v>
      </c>
      <c r="H710" s="21">
        <v>1672.67</v>
      </c>
    </row>
    <row r="711" spans="1:8" customFormat="1" x14ac:dyDescent="0.25">
      <c r="A711" t="str">
        <f>"38472"</f>
        <v>38472</v>
      </c>
      <c r="B711" t="s">
        <v>1317</v>
      </c>
      <c r="C711" t="s">
        <v>1199</v>
      </c>
      <c r="D711" s="21" t="s">
        <v>34</v>
      </c>
      <c r="E711" s="21" t="s">
        <v>71</v>
      </c>
      <c r="F711">
        <v>1380056</v>
      </c>
      <c r="G711" t="s">
        <v>846</v>
      </c>
      <c r="H711" s="21">
        <v>1672.67</v>
      </c>
    </row>
    <row r="712" spans="1:8" customFormat="1" x14ac:dyDescent="0.25">
      <c r="A712" t="str">
        <f>"5411857"</f>
        <v>5411857</v>
      </c>
      <c r="B712" t="s">
        <v>998</v>
      </c>
      <c r="C712" t="s">
        <v>246</v>
      </c>
      <c r="D712" s="21" t="s">
        <v>34</v>
      </c>
      <c r="E712" s="21" t="s">
        <v>35</v>
      </c>
      <c r="F712">
        <v>12720104</v>
      </c>
      <c r="G712" t="s">
        <v>224</v>
      </c>
      <c r="H712" s="21">
        <v>1672.67</v>
      </c>
    </row>
    <row r="713" spans="1:8" customFormat="1" x14ac:dyDescent="0.25">
      <c r="A713" t="str">
        <f>"959987"</f>
        <v>959987</v>
      </c>
      <c r="B713" t="s">
        <v>1183</v>
      </c>
      <c r="C713" t="s">
        <v>65</v>
      </c>
      <c r="D713" s="21" t="s">
        <v>34</v>
      </c>
      <c r="E713" s="21" t="s">
        <v>71</v>
      </c>
      <c r="F713">
        <v>8920234</v>
      </c>
      <c r="G713" t="s">
        <v>1184</v>
      </c>
      <c r="H713" s="21">
        <v>1672.42</v>
      </c>
    </row>
    <row r="714" spans="1:8" customFormat="1" x14ac:dyDescent="0.25">
      <c r="A714" t="str">
        <f>"141109"</f>
        <v>141109</v>
      </c>
      <c r="B714" t="s">
        <v>1526</v>
      </c>
      <c r="C714" t="s">
        <v>462</v>
      </c>
      <c r="D714" s="21" t="s">
        <v>34</v>
      </c>
      <c r="E714" s="21" t="s">
        <v>35</v>
      </c>
      <c r="F714">
        <v>9140123</v>
      </c>
      <c r="G714" t="s">
        <v>661</v>
      </c>
      <c r="H714" s="21">
        <v>1672.17</v>
      </c>
    </row>
    <row r="715" spans="1:8" customFormat="1" x14ac:dyDescent="0.25">
      <c r="A715" t="str">
        <f>"374421"</f>
        <v>374421</v>
      </c>
      <c r="B715" t="s">
        <v>1126</v>
      </c>
      <c r="C715" t="s">
        <v>33</v>
      </c>
      <c r="D715" s="21" t="s">
        <v>34</v>
      </c>
      <c r="E715" s="21" t="s">
        <v>35</v>
      </c>
      <c r="F715">
        <v>4370656</v>
      </c>
      <c r="G715" t="s">
        <v>1127</v>
      </c>
      <c r="H715" s="21">
        <v>1672.17</v>
      </c>
    </row>
    <row r="716" spans="1:8" customFormat="1" x14ac:dyDescent="0.25">
      <c r="A716" t="str">
        <f>"6921464"</f>
        <v>6921464</v>
      </c>
      <c r="B716" t="s">
        <v>964</v>
      </c>
      <c r="C716" t="s">
        <v>114</v>
      </c>
      <c r="D716" s="21" t="s">
        <v>34</v>
      </c>
      <c r="E716" s="21" t="s">
        <v>35</v>
      </c>
      <c r="F716">
        <v>1420149</v>
      </c>
      <c r="G716" t="s">
        <v>818</v>
      </c>
      <c r="H716" s="21">
        <v>1671.67</v>
      </c>
    </row>
    <row r="717" spans="1:8" customFormat="1" x14ac:dyDescent="0.25">
      <c r="A717" t="str">
        <f>"759502"</f>
        <v>759502</v>
      </c>
      <c r="B717" t="s">
        <v>1015</v>
      </c>
      <c r="C717" t="s">
        <v>87</v>
      </c>
      <c r="D717" s="21" t="s">
        <v>34</v>
      </c>
      <c r="E717" s="21" t="s">
        <v>71</v>
      </c>
      <c r="F717">
        <v>8751163</v>
      </c>
      <c r="G717" t="s">
        <v>80</v>
      </c>
      <c r="H717" s="21">
        <v>1670.67</v>
      </c>
    </row>
    <row r="718" spans="1:8" customFormat="1" x14ac:dyDescent="0.25">
      <c r="A718" t="str">
        <f>"836861"</f>
        <v>836861</v>
      </c>
      <c r="B718" t="s">
        <v>1258</v>
      </c>
      <c r="C718" t="s">
        <v>171</v>
      </c>
      <c r="D718" s="21" t="s">
        <v>34</v>
      </c>
      <c r="E718" s="21" t="s">
        <v>35</v>
      </c>
      <c r="F718">
        <v>13060007</v>
      </c>
      <c r="G718" t="s">
        <v>59</v>
      </c>
      <c r="H718" s="21">
        <v>1670.67</v>
      </c>
    </row>
    <row r="719" spans="1:8" customFormat="1" x14ac:dyDescent="0.25">
      <c r="A719" t="str">
        <f>"3811557"</f>
        <v>3811557</v>
      </c>
      <c r="B719" t="s">
        <v>1172</v>
      </c>
      <c r="C719" t="s">
        <v>62</v>
      </c>
      <c r="D719" s="21" t="s">
        <v>34</v>
      </c>
      <c r="E719" s="21" t="s">
        <v>35</v>
      </c>
      <c r="F719">
        <v>1260006</v>
      </c>
      <c r="G719" t="s">
        <v>790</v>
      </c>
      <c r="H719" s="21">
        <v>1670.67</v>
      </c>
    </row>
    <row r="720" spans="1:8" customFormat="1" x14ac:dyDescent="0.25">
      <c r="A720" t="str">
        <f>"5933922"</f>
        <v>5933922</v>
      </c>
      <c r="B720" t="s">
        <v>893</v>
      </c>
      <c r="C720" t="s">
        <v>894</v>
      </c>
      <c r="D720" s="21" t="s">
        <v>34</v>
      </c>
      <c r="E720" s="21" t="s">
        <v>35</v>
      </c>
      <c r="F720">
        <v>7590263</v>
      </c>
      <c r="G720" t="s">
        <v>895</v>
      </c>
      <c r="H720" s="21">
        <v>1670.17</v>
      </c>
    </row>
    <row r="721" spans="1:8" customFormat="1" x14ac:dyDescent="0.25">
      <c r="A721" t="str">
        <f>"573850"</f>
        <v>573850</v>
      </c>
      <c r="B721" t="s">
        <v>950</v>
      </c>
      <c r="C721" t="s">
        <v>33</v>
      </c>
      <c r="D721" s="21" t="s">
        <v>34</v>
      </c>
      <c r="E721" s="21" t="s">
        <v>35</v>
      </c>
      <c r="F721">
        <v>6570073</v>
      </c>
      <c r="G721" t="s">
        <v>952</v>
      </c>
      <c r="H721" s="21">
        <v>1670.17</v>
      </c>
    </row>
    <row r="722" spans="1:8" customFormat="1" x14ac:dyDescent="0.25">
      <c r="A722" t="str">
        <f>"9227463"</f>
        <v>9227463</v>
      </c>
      <c r="B722" t="s">
        <v>990</v>
      </c>
      <c r="C722" t="s">
        <v>169</v>
      </c>
      <c r="D722" s="21" t="s">
        <v>34</v>
      </c>
      <c r="E722" s="21" t="s">
        <v>35</v>
      </c>
      <c r="F722">
        <v>8780114</v>
      </c>
      <c r="G722" t="s">
        <v>927</v>
      </c>
      <c r="H722" s="21">
        <v>1669.17</v>
      </c>
    </row>
    <row r="723" spans="1:8" customFormat="1" x14ac:dyDescent="0.25">
      <c r="A723" t="str">
        <f>"4420848"</f>
        <v>4420848</v>
      </c>
      <c r="B723" t="s">
        <v>26589</v>
      </c>
      <c r="C723" t="s">
        <v>611</v>
      </c>
      <c r="D723" s="21" t="s">
        <v>34</v>
      </c>
      <c r="E723" s="21" t="s">
        <v>35</v>
      </c>
      <c r="F723">
        <v>12440004</v>
      </c>
      <c r="G723" t="s">
        <v>26530</v>
      </c>
      <c r="H723" s="21">
        <v>1669.17</v>
      </c>
    </row>
    <row r="724" spans="1:8" customFormat="1" x14ac:dyDescent="0.25">
      <c r="A724" t="str">
        <f>"5911283"</f>
        <v>5911283</v>
      </c>
      <c r="B724" t="s">
        <v>16953</v>
      </c>
      <c r="C724" t="s">
        <v>8546</v>
      </c>
      <c r="D724" s="21" t="s">
        <v>34</v>
      </c>
      <c r="E724" s="21" t="s">
        <v>35</v>
      </c>
      <c r="F724">
        <v>7590327</v>
      </c>
      <c r="G724" t="s">
        <v>2330</v>
      </c>
      <c r="H724" s="21">
        <v>1669.17</v>
      </c>
    </row>
    <row r="725" spans="1:8" customFormat="1" x14ac:dyDescent="0.25">
      <c r="A725" t="str">
        <f>"69140"</f>
        <v>69140</v>
      </c>
      <c r="B725" t="s">
        <v>1059</v>
      </c>
      <c r="C725" t="s">
        <v>114</v>
      </c>
      <c r="D725" s="21" t="s">
        <v>34</v>
      </c>
      <c r="E725" s="21" t="s">
        <v>71</v>
      </c>
      <c r="F725">
        <v>1690090</v>
      </c>
      <c r="G725" t="s">
        <v>6286</v>
      </c>
      <c r="H725" s="21">
        <v>1669.17</v>
      </c>
    </row>
    <row r="726" spans="1:8" customFormat="1" x14ac:dyDescent="0.25">
      <c r="A726" t="str">
        <f>"9310958"</f>
        <v>9310958</v>
      </c>
      <c r="B726" t="s">
        <v>869</v>
      </c>
      <c r="C726" t="s">
        <v>311</v>
      </c>
      <c r="D726" s="21" t="s">
        <v>34</v>
      </c>
      <c r="E726" s="21" t="s">
        <v>35</v>
      </c>
      <c r="F726">
        <v>10240020</v>
      </c>
      <c r="G726" t="s">
        <v>870</v>
      </c>
      <c r="H726" s="21">
        <v>1668.67</v>
      </c>
    </row>
    <row r="727" spans="1:8" customFormat="1" x14ac:dyDescent="0.25">
      <c r="A727" t="str">
        <f>"401247"</f>
        <v>401247</v>
      </c>
      <c r="B727" t="s">
        <v>1339</v>
      </c>
      <c r="C727" t="s">
        <v>55</v>
      </c>
      <c r="D727" s="21" t="s">
        <v>34</v>
      </c>
      <c r="E727" s="21" t="s">
        <v>35</v>
      </c>
      <c r="F727">
        <v>10400001</v>
      </c>
      <c r="G727" t="s">
        <v>609</v>
      </c>
      <c r="H727" s="21">
        <v>1668.67</v>
      </c>
    </row>
    <row r="728" spans="1:8" customFormat="1" x14ac:dyDescent="0.25">
      <c r="A728" t="str">
        <f>"54433"</f>
        <v>54433</v>
      </c>
      <c r="B728" t="s">
        <v>1268</v>
      </c>
      <c r="C728" t="s">
        <v>415</v>
      </c>
      <c r="D728" s="21" t="s">
        <v>34</v>
      </c>
      <c r="E728" s="21" t="s">
        <v>254</v>
      </c>
      <c r="F728">
        <v>6540020</v>
      </c>
      <c r="G728" t="s">
        <v>1269</v>
      </c>
      <c r="H728" s="21">
        <v>1668.17</v>
      </c>
    </row>
    <row r="729" spans="1:8" customFormat="1" x14ac:dyDescent="0.25">
      <c r="A729" t="str">
        <f>"261769"</f>
        <v>261769</v>
      </c>
      <c r="B729" t="s">
        <v>23630</v>
      </c>
      <c r="C729" t="s">
        <v>62</v>
      </c>
      <c r="D729" s="21" t="s">
        <v>34</v>
      </c>
      <c r="E729" s="21" t="s">
        <v>35</v>
      </c>
      <c r="F729">
        <v>13130145</v>
      </c>
      <c r="G729" t="s">
        <v>21547</v>
      </c>
      <c r="H729" s="21">
        <v>1668.17</v>
      </c>
    </row>
    <row r="730" spans="1:8" customFormat="1" x14ac:dyDescent="0.25">
      <c r="A730" t="str">
        <f>"798950"</f>
        <v>798950</v>
      </c>
      <c r="B730" t="s">
        <v>1217</v>
      </c>
      <c r="C730" t="s">
        <v>462</v>
      </c>
      <c r="D730" s="21" t="s">
        <v>34</v>
      </c>
      <c r="E730" s="21" t="s">
        <v>71</v>
      </c>
      <c r="F730">
        <v>10790025</v>
      </c>
      <c r="G730" t="s">
        <v>1218</v>
      </c>
      <c r="H730" s="21">
        <v>1668.05</v>
      </c>
    </row>
    <row r="731" spans="1:8" customFormat="1" x14ac:dyDescent="0.25">
      <c r="A731" t="str">
        <f>"758099"</f>
        <v>758099</v>
      </c>
      <c r="B731" t="s">
        <v>1238</v>
      </c>
      <c r="C731" t="s">
        <v>1239</v>
      </c>
      <c r="D731" s="21" t="s">
        <v>34</v>
      </c>
      <c r="E731" s="21" t="s">
        <v>35</v>
      </c>
      <c r="F731">
        <v>1690186</v>
      </c>
      <c r="G731" t="s">
        <v>438</v>
      </c>
      <c r="H731" s="21">
        <v>1667.68</v>
      </c>
    </row>
    <row r="732" spans="1:8" customFormat="1" x14ac:dyDescent="0.25">
      <c r="A732" t="str">
        <f>"5936918"</f>
        <v>5936918</v>
      </c>
      <c r="B732" t="s">
        <v>1346</v>
      </c>
      <c r="C732" t="s">
        <v>60</v>
      </c>
      <c r="D732" s="21" t="s">
        <v>34</v>
      </c>
      <c r="E732" s="21" t="s">
        <v>35</v>
      </c>
      <c r="F732">
        <v>7590027</v>
      </c>
      <c r="G732" t="s">
        <v>629</v>
      </c>
      <c r="H732" s="21">
        <v>1666</v>
      </c>
    </row>
    <row r="733" spans="1:8" customFormat="1" x14ac:dyDescent="0.25">
      <c r="A733" t="str">
        <f>"2711002"</f>
        <v>2711002</v>
      </c>
      <c r="B733" t="s">
        <v>1254</v>
      </c>
      <c r="C733" t="s">
        <v>206</v>
      </c>
      <c r="D733" s="21" t="s">
        <v>34</v>
      </c>
      <c r="E733" s="21" t="s">
        <v>35</v>
      </c>
      <c r="F733">
        <v>9270005</v>
      </c>
      <c r="G733" t="s">
        <v>1255</v>
      </c>
      <c r="H733" s="21">
        <v>1665.67</v>
      </c>
    </row>
    <row r="734" spans="1:8" customFormat="1" x14ac:dyDescent="0.25">
      <c r="A734" t="str">
        <f>"5917011"</f>
        <v>5917011</v>
      </c>
      <c r="B734" t="s">
        <v>1090</v>
      </c>
      <c r="C734" t="s">
        <v>87</v>
      </c>
      <c r="D734" s="21" t="s">
        <v>34</v>
      </c>
      <c r="E734" s="21" t="s">
        <v>71</v>
      </c>
      <c r="F734">
        <v>7590102</v>
      </c>
      <c r="G734" t="s">
        <v>1091</v>
      </c>
      <c r="H734" s="21">
        <v>1665.17</v>
      </c>
    </row>
    <row r="735" spans="1:8" customFormat="1" x14ac:dyDescent="0.25">
      <c r="A735" t="str">
        <f>"7827081"</f>
        <v>7827081</v>
      </c>
      <c r="B735" t="s">
        <v>1112</v>
      </c>
      <c r="C735" t="s">
        <v>147</v>
      </c>
      <c r="D735" s="21" t="s">
        <v>34</v>
      </c>
      <c r="E735" s="21" t="s">
        <v>35</v>
      </c>
      <c r="F735">
        <v>8780329</v>
      </c>
      <c r="G735" t="s">
        <v>917</v>
      </c>
      <c r="H735" s="21">
        <v>1664.3</v>
      </c>
    </row>
    <row r="736" spans="1:8" customFormat="1" x14ac:dyDescent="0.25">
      <c r="A736" t="str">
        <f>"141022"</f>
        <v>141022</v>
      </c>
      <c r="B736" t="s">
        <v>1200</v>
      </c>
      <c r="C736" t="s">
        <v>209</v>
      </c>
      <c r="D736" s="21" t="s">
        <v>34</v>
      </c>
      <c r="E736" s="21" t="s">
        <v>254</v>
      </c>
      <c r="F736">
        <v>9140115</v>
      </c>
      <c r="G736" t="s">
        <v>26590</v>
      </c>
      <c r="H736" s="21">
        <v>1663.67</v>
      </c>
    </row>
    <row r="737" spans="1:8" customFormat="1" x14ac:dyDescent="0.25">
      <c r="A737" t="str">
        <f>"6213381"</f>
        <v>6213381</v>
      </c>
      <c r="B737" t="s">
        <v>1113</v>
      </c>
      <c r="C737" t="s">
        <v>127</v>
      </c>
      <c r="D737" s="21" t="s">
        <v>34</v>
      </c>
      <c r="E737" s="21" t="s">
        <v>35</v>
      </c>
      <c r="F737">
        <v>7620067</v>
      </c>
      <c r="G737" t="s">
        <v>860</v>
      </c>
      <c r="H737" s="21">
        <v>1663.67</v>
      </c>
    </row>
    <row r="738" spans="1:8" customFormat="1" x14ac:dyDescent="0.25">
      <c r="A738" t="str">
        <f>"4915958"</f>
        <v>4915958</v>
      </c>
      <c r="B738" t="s">
        <v>1722</v>
      </c>
      <c r="C738" t="s">
        <v>269</v>
      </c>
      <c r="D738" s="21" t="s">
        <v>34</v>
      </c>
      <c r="E738" s="21" t="s">
        <v>35</v>
      </c>
      <c r="F738">
        <v>12440067</v>
      </c>
      <c r="G738" t="s">
        <v>1723</v>
      </c>
      <c r="H738" s="21">
        <v>1663.17</v>
      </c>
    </row>
    <row r="739" spans="1:8" customFormat="1" x14ac:dyDescent="0.25">
      <c r="A739" t="str">
        <f>"9517934"</f>
        <v>9517934</v>
      </c>
      <c r="B739" t="s">
        <v>1158</v>
      </c>
      <c r="C739" t="s">
        <v>87</v>
      </c>
      <c r="D739" s="21" t="s">
        <v>34</v>
      </c>
      <c r="E739" s="21" t="s">
        <v>71</v>
      </c>
      <c r="F739">
        <v>8950083</v>
      </c>
      <c r="G739" t="s">
        <v>405</v>
      </c>
      <c r="H739" s="21">
        <v>1662.93</v>
      </c>
    </row>
    <row r="740" spans="1:8" customFormat="1" x14ac:dyDescent="0.25">
      <c r="A740" t="str">
        <f>"4913869"</f>
        <v>4913869</v>
      </c>
      <c r="B740" t="s">
        <v>16790</v>
      </c>
      <c r="C740" t="s">
        <v>58</v>
      </c>
      <c r="D740" s="21" t="s">
        <v>34</v>
      </c>
      <c r="E740" s="21" t="s">
        <v>35</v>
      </c>
      <c r="F740">
        <v>12490048</v>
      </c>
      <c r="G740" t="s">
        <v>4228</v>
      </c>
      <c r="H740" s="21">
        <v>1662.42</v>
      </c>
    </row>
    <row r="741" spans="1:8" customFormat="1" x14ac:dyDescent="0.25">
      <c r="A741" t="str">
        <f>"35266"</f>
        <v>35266</v>
      </c>
      <c r="B741" t="s">
        <v>1286</v>
      </c>
      <c r="C741" t="s">
        <v>198</v>
      </c>
      <c r="D741" s="21" t="s">
        <v>34</v>
      </c>
      <c r="E741" s="21" t="s">
        <v>71</v>
      </c>
      <c r="F741">
        <v>3350022</v>
      </c>
      <c r="G741" t="s">
        <v>1287</v>
      </c>
      <c r="H741" s="21">
        <v>1662.17</v>
      </c>
    </row>
    <row r="742" spans="1:8" customFormat="1" x14ac:dyDescent="0.25">
      <c r="A742" t="str">
        <f>"536263"</f>
        <v>536263</v>
      </c>
      <c r="B742" t="s">
        <v>1115</v>
      </c>
      <c r="C742" t="s">
        <v>1072</v>
      </c>
      <c r="D742" s="21" t="s">
        <v>34</v>
      </c>
      <c r="E742" s="21" t="s">
        <v>35</v>
      </c>
      <c r="F742">
        <v>12530035</v>
      </c>
      <c r="G742" t="s">
        <v>1663</v>
      </c>
      <c r="H742" s="21">
        <v>1662.17</v>
      </c>
    </row>
    <row r="743" spans="1:8" customFormat="1" x14ac:dyDescent="0.25">
      <c r="A743" t="str">
        <f>"7772"</f>
        <v>7772</v>
      </c>
      <c r="B743" t="s">
        <v>185</v>
      </c>
      <c r="C743" t="s">
        <v>1025</v>
      </c>
      <c r="D743" s="21" t="s">
        <v>34</v>
      </c>
      <c r="E743" s="21" t="s">
        <v>71</v>
      </c>
      <c r="F743">
        <v>8920312</v>
      </c>
      <c r="G743" t="s">
        <v>1026</v>
      </c>
      <c r="H743" s="21">
        <v>1662.17</v>
      </c>
    </row>
    <row r="744" spans="1:8" customFormat="1" x14ac:dyDescent="0.25">
      <c r="A744" t="str">
        <f>"6919660"</f>
        <v>6919660</v>
      </c>
      <c r="B744" t="s">
        <v>1367</v>
      </c>
      <c r="C744" t="s">
        <v>169</v>
      </c>
      <c r="D744" s="21" t="s">
        <v>34</v>
      </c>
      <c r="E744" s="21" t="s">
        <v>35</v>
      </c>
      <c r="F744">
        <v>1690221</v>
      </c>
      <c r="G744" t="s">
        <v>303</v>
      </c>
      <c r="H744" s="21">
        <v>1662.06</v>
      </c>
    </row>
    <row r="745" spans="1:8" customFormat="1" x14ac:dyDescent="0.25">
      <c r="A745" t="str">
        <f>"7816164"</f>
        <v>7816164</v>
      </c>
      <c r="B745" t="s">
        <v>1096</v>
      </c>
      <c r="C745" t="s">
        <v>462</v>
      </c>
      <c r="D745" s="21" t="s">
        <v>34</v>
      </c>
      <c r="E745" s="21" t="s">
        <v>71</v>
      </c>
      <c r="F745">
        <v>8781473</v>
      </c>
      <c r="G745" t="s">
        <v>1097</v>
      </c>
      <c r="H745" s="21">
        <v>1661.67</v>
      </c>
    </row>
    <row r="746" spans="1:8" customFormat="1" x14ac:dyDescent="0.25">
      <c r="A746" t="str">
        <f>"581346"</f>
        <v>581346</v>
      </c>
      <c r="B746" t="s">
        <v>1160</v>
      </c>
      <c r="C746" t="s">
        <v>598</v>
      </c>
      <c r="D746" s="21" t="s">
        <v>34</v>
      </c>
      <c r="E746" s="21" t="s">
        <v>71</v>
      </c>
      <c r="F746">
        <v>2580042</v>
      </c>
      <c r="G746" t="s">
        <v>1161</v>
      </c>
      <c r="H746" s="21">
        <v>1661.67</v>
      </c>
    </row>
    <row r="747" spans="1:8" customFormat="1" x14ac:dyDescent="0.25">
      <c r="A747" t="str">
        <f>"92129"</f>
        <v>92129</v>
      </c>
      <c r="B747" t="s">
        <v>902</v>
      </c>
      <c r="C747" t="s">
        <v>124</v>
      </c>
      <c r="D747" s="21" t="s">
        <v>34</v>
      </c>
      <c r="E747" s="21" t="s">
        <v>71</v>
      </c>
      <c r="F747">
        <v>8920031</v>
      </c>
      <c r="G747" t="s">
        <v>552</v>
      </c>
      <c r="H747" s="21">
        <v>1661.17</v>
      </c>
    </row>
    <row r="748" spans="1:8" customFormat="1" x14ac:dyDescent="0.25">
      <c r="A748" t="str">
        <f>"215886"</f>
        <v>215886</v>
      </c>
      <c r="B748" t="s">
        <v>146</v>
      </c>
      <c r="C748" t="s">
        <v>328</v>
      </c>
      <c r="D748" s="21" t="s">
        <v>34</v>
      </c>
      <c r="E748" s="21" t="s">
        <v>35</v>
      </c>
      <c r="F748">
        <v>2390091</v>
      </c>
      <c r="G748" t="s">
        <v>7093</v>
      </c>
      <c r="H748" s="21">
        <v>1661</v>
      </c>
    </row>
    <row r="749" spans="1:8" customFormat="1" x14ac:dyDescent="0.25">
      <c r="A749" t="str">
        <f>"638751"</f>
        <v>638751</v>
      </c>
      <c r="B749" t="s">
        <v>1189</v>
      </c>
      <c r="C749" t="s">
        <v>269</v>
      </c>
      <c r="D749" s="21" t="s">
        <v>34</v>
      </c>
      <c r="E749" s="21" t="s">
        <v>35</v>
      </c>
      <c r="F749">
        <v>1630281</v>
      </c>
      <c r="G749" t="s">
        <v>1190</v>
      </c>
      <c r="H749" s="21">
        <v>1660.17</v>
      </c>
    </row>
    <row r="750" spans="1:8" customFormat="1" x14ac:dyDescent="0.25">
      <c r="A750" t="str">
        <f>"9229733"</f>
        <v>9229733</v>
      </c>
      <c r="B750" t="s">
        <v>26591</v>
      </c>
      <c r="C750" t="s">
        <v>26592</v>
      </c>
      <c r="D750" s="21" t="s">
        <v>34</v>
      </c>
      <c r="E750" s="21" t="s">
        <v>35</v>
      </c>
      <c r="F750">
        <v>8950330</v>
      </c>
      <c r="G750" t="s">
        <v>794</v>
      </c>
      <c r="H750" s="21">
        <v>1659.92</v>
      </c>
    </row>
    <row r="751" spans="1:8" customFormat="1" x14ac:dyDescent="0.25">
      <c r="A751" t="str">
        <f>"923615"</f>
        <v>923615</v>
      </c>
      <c r="B751" t="s">
        <v>1165</v>
      </c>
      <c r="C751" t="s">
        <v>498</v>
      </c>
      <c r="D751" s="21" t="s">
        <v>34</v>
      </c>
      <c r="E751" s="21" t="s">
        <v>35</v>
      </c>
      <c r="F751">
        <v>8920309</v>
      </c>
      <c r="G751" t="s">
        <v>1894</v>
      </c>
      <c r="H751" s="21">
        <v>1659.67</v>
      </c>
    </row>
    <row r="752" spans="1:8" customFormat="1" x14ac:dyDescent="0.25">
      <c r="A752" t="str">
        <f>"11945"</f>
        <v>11945</v>
      </c>
      <c r="B752" t="s">
        <v>2618</v>
      </c>
      <c r="C752" t="s">
        <v>631</v>
      </c>
      <c r="D752" s="21" t="s">
        <v>34</v>
      </c>
      <c r="E752" s="21" t="s">
        <v>35</v>
      </c>
      <c r="F752">
        <v>11110013</v>
      </c>
      <c r="G752" t="s">
        <v>640</v>
      </c>
      <c r="H752" s="21">
        <v>1659.42</v>
      </c>
    </row>
    <row r="753" spans="1:8" customFormat="1" x14ac:dyDescent="0.25">
      <c r="A753" t="str">
        <f>"5936620"</f>
        <v>5936620</v>
      </c>
      <c r="B753" t="s">
        <v>16670</v>
      </c>
      <c r="C753" t="s">
        <v>233</v>
      </c>
      <c r="D753" s="21" t="s">
        <v>34</v>
      </c>
      <c r="E753" s="21" t="s">
        <v>71</v>
      </c>
      <c r="F753">
        <v>7590075</v>
      </c>
      <c r="G753" t="s">
        <v>6459</v>
      </c>
      <c r="H753" s="21">
        <v>1659.17</v>
      </c>
    </row>
    <row r="754" spans="1:8" customFormat="1" x14ac:dyDescent="0.25">
      <c r="A754" t="str">
        <f>"7617033"</f>
        <v>7617033</v>
      </c>
      <c r="B754" t="s">
        <v>1305</v>
      </c>
      <c r="C754" t="s">
        <v>169</v>
      </c>
      <c r="D754" s="21" t="s">
        <v>34</v>
      </c>
      <c r="E754" s="21" t="s">
        <v>35</v>
      </c>
      <c r="F754">
        <v>9760221</v>
      </c>
      <c r="G754" t="s">
        <v>1306</v>
      </c>
      <c r="H754" s="21">
        <v>1659.17</v>
      </c>
    </row>
    <row r="755" spans="1:8" customFormat="1" x14ac:dyDescent="0.25">
      <c r="A755" t="str">
        <f>"9119037"</f>
        <v>9119037</v>
      </c>
      <c r="B755" t="s">
        <v>1257</v>
      </c>
      <c r="C755" t="s">
        <v>119</v>
      </c>
      <c r="D755" s="21" t="s">
        <v>34</v>
      </c>
      <c r="E755" s="21" t="s">
        <v>254</v>
      </c>
      <c r="F755">
        <v>8911161</v>
      </c>
      <c r="G755" t="s">
        <v>599</v>
      </c>
      <c r="H755" s="21">
        <v>1658.67</v>
      </c>
    </row>
    <row r="756" spans="1:8" customFormat="1" x14ac:dyDescent="0.25">
      <c r="A756" t="str">
        <f>"915316"</f>
        <v>915316</v>
      </c>
      <c r="B756" t="s">
        <v>26593</v>
      </c>
      <c r="C756" t="s">
        <v>26594</v>
      </c>
      <c r="D756" s="21" t="s">
        <v>34</v>
      </c>
      <c r="E756" s="21" t="s">
        <v>35</v>
      </c>
      <c r="F756">
        <v>8910042</v>
      </c>
      <c r="G756" t="s">
        <v>4009</v>
      </c>
      <c r="H756" s="21">
        <v>1658.67</v>
      </c>
    </row>
    <row r="757" spans="1:8" customFormat="1" x14ac:dyDescent="0.25">
      <c r="A757" t="str">
        <f>"9520354"</f>
        <v>9520354</v>
      </c>
      <c r="B757" t="s">
        <v>1735</v>
      </c>
      <c r="C757" t="s">
        <v>114</v>
      </c>
      <c r="D757" s="21" t="s">
        <v>34</v>
      </c>
      <c r="E757" s="21" t="s">
        <v>71</v>
      </c>
      <c r="F757">
        <v>8950978</v>
      </c>
      <c r="G757" t="s">
        <v>1164</v>
      </c>
      <c r="H757" s="21">
        <v>1657.93</v>
      </c>
    </row>
    <row r="758" spans="1:8" customFormat="1" x14ac:dyDescent="0.25">
      <c r="A758" t="str">
        <f>"675178"</f>
        <v>675178</v>
      </c>
      <c r="B758" t="s">
        <v>1201</v>
      </c>
      <c r="C758" t="s">
        <v>55</v>
      </c>
      <c r="D758" s="21" t="s">
        <v>34</v>
      </c>
      <c r="E758" s="21" t="s">
        <v>35</v>
      </c>
      <c r="F758">
        <v>6670260</v>
      </c>
      <c r="G758" t="s">
        <v>1202</v>
      </c>
      <c r="H758" s="21">
        <v>1656.67</v>
      </c>
    </row>
    <row r="759" spans="1:8" customFormat="1" x14ac:dyDescent="0.25">
      <c r="A759" t="str">
        <f>"341673"</f>
        <v>341673</v>
      </c>
      <c r="B759" t="s">
        <v>1274</v>
      </c>
      <c r="C759" t="s">
        <v>169</v>
      </c>
      <c r="D759" s="21" t="s">
        <v>34</v>
      </c>
      <c r="E759" s="21" t="s">
        <v>35</v>
      </c>
      <c r="F759">
        <v>11340060</v>
      </c>
      <c r="G759" t="s">
        <v>1275</v>
      </c>
      <c r="H759" s="21">
        <v>1656.67</v>
      </c>
    </row>
    <row r="760" spans="1:8" customFormat="1" x14ac:dyDescent="0.25">
      <c r="A760" t="str">
        <f>"3710"</f>
        <v>3710</v>
      </c>
      <c r="B760" t="s">
        <v>956</v>
      </c>
      <c r="C760" t="s">
        <v>263</v>
      </c>
      <c r="D760" s="21" t="s">
        <v>34</v>
      </c>
      <c r="E760" s="21" t="s">
        <v>71</v>
      </c>
      <c r="F760">
        <v>4370001</v>
      </c>
      <c r="G760" t="s">
        <v>957</v>
      </c>
      <c r="H760" s="21">
        <v>1656.55</v>
      </c>
    </row>
    <row r="761" spans="1:8" customFormat="1" x14ac:dyDescent="0.25">
      <c r="A761" t="str">
        <f>"62419"</f>
        <v>62419</v>
      </c>
      <c r="B761" t="s">
        <v>1664</v>
      </c>
      <c r="C761" t="s">
        <v>87</v>
      </c>
      <c r="D761" s="21" t="s">
        <v>34</v>
      </c>
      <c r="E761" s="21" t="s">
        <v>35</v>
      </c>
      <c r="F761">
        <v>7620100</v>
      </c>
      <c r="G761" t="s">
        <v>145</v>
      </c>
      <c r="H761" s="21">
        <v>1656.3</v>
      </c>
    </row>
    <row r="762" spans="1:8" customFormat="1" x14ac:dyDescent="0.25">
      <c r="A762" t="str">
        <f>"5911258"</f>
        <v>5911258</v>
      </c>
      <c r="B762" t="s">
        <v>1106</v>
      </c>
      <c r="C762" t="s">
        <v>58</v>
      </c>
      <c r="D762" s="21" t="s">
        <v>34</v>
      </c>
      <c r="E762" s="21" t="s">
        <v>35</v>
      </c>
      <c r="F762">
        <v>7590173</v>
      </c>
      <c r="G762" t="s">
        <v>5675</v>
      </c>
      <c r="H762" s="21">
        <v>1655.17</v>
      </c>
    </row>
    <row r="763" spans="1:8" customFormat="1" x14ac:dyDescent="0.25">
      <c r="A763" t="str">
        <f>"9517308"</f>
        <v>9517308</v>
      </c>
      <c r="B763" t="s">
        <v>1185</v>
      </c>
      <c r="C763" t="s">
        <v>171</v>
      </c>
      <c r="D763" s="21" t="s">
        <v>34</v>
      </c>
      <c r="E763" s="21" t="s">
        <v>35</v>
      </c>
      <c r="F763">
        <v>3560036</v>
      </c>
      <c r="G763" t="s">
        <v>910</v>
      </c>
      <c r="H763" s="21">
        <v>1654.67</v>
      </c>
    </row>
    <row r="764" spans="1:8" customFormat="1" x14ac:dyDescent="0.25">
      <c r="A764" t="str">
        <f>"6011918"</f>
        <v>6011918</v>
      </c>
      <c r="B764" t="s">
        <v>5431</v>
      </c>
      <c r="C764" t="s">
        <v>171</v>
      </c>
      <c r="D764" s="21" t="s">
        <v>34</v>
      </c>
      <c r="E764" s="21" t="s">
        <v>35</v>
      </c>
      <c r="F764">
        <v>8950092</v>
      </c>
      <c r="G764" t="s">
        <v>2039</v>
      </c>
      <c r="H764" s="21">
        <v>1653.93</v>
      </c>
    </row>
    <row r="765" spans="1:8" customFormat="1" x14ac:dyDescent="0.25">
      <c r="A765" t="str">
        <f>"149804"</f>
        <v>149804</v>
      </c>
      <c r="B765" t="s">
        <v>1456</v>
      </c>
      <c r="C765" t="s">
        <v>1457</v>
      </c>
      <c r="D765" s="21" t="s">
        <v>34</v>
      </c>
      <c r="E765" s="21" t="s">
        <v>35</v>
      </c>
      <c r="F765" t="s">
        <v>1458</v>
      </c>
      <c r="G765" t="s">
        <v>1459</v>
      </c>
      <c r="H765" s="21">
        <v>1653.43</v>
      </c>
    </row>
    <row r="766" spans="1:8" customFormat="1" x14ac:dyDescent="0.25">
      <c r="A766" t="str">
        <f>"623268"</f>
        <v>623268</v>
      </c>
      <c r="B766" t="s">
        <v>23361</v>
      </c>
      <c r="C766" t="s">
        <v>60</v>
      </c>
      <c r="D766" s="21" t="s">
        <v>34</v>
      </c>
      <c r="E766" s="21" t="s">
        <v>35</v>
      </c>
      <c r="F766">
        <v>8770250</v>
      </c>
      <c r="G766" t="s">
        <v>2595</v>
      </c>
      <c r="H766" s="21">
        <v>1652.79</v>
      </c>
    </row>
    <row r="767" spans="1:8" customFormat="1" x14ac:dyDescent="0.25">
      <c r="A767" t="str">
        <f>"5932343"</f>
        <v>5932343</v>
      </c>
      <c r="B767" t="s">
        <v>1324</v>
      </c>
      <c r="C767" t="s">
        <v>1325</v>
      </c>
      <c r="D767" s="21" t="s">
        <v>34</v>
      </c>
      <c r="E767" s="21" t="s">
        <v>35</v>
      </c>
      <c r="F767">
        <v>7590014</v>
      </c>
      <c r="G767" t="s">
        <v>1326</v>
      </c>
      <c r="H767" s="21">
        <v>1652.67</v>
      </c>
    </row>
    <row r="768" spans="1:8" customFormat="1" x14ac:dyDescent="0.25">
      <c r="A768" t="str">
        <f>"67499"</f>
        <v>67499</v>
      </c>
      <c r="B768" t="s">
        <v>1415</v>
      </c>
      <c r="C768" t="s">
        <v>719</v>
      </c>
      <c r="D768" s="21" t="s">
        <v>34</v>
      </c>
      <c r="E768" s="21" t="s">
        <v>35</v>
      </c>
      <c r="F768">
        <v>6670160</v>
      </c>
      <c r="G768" t="s">
        <v>908</v>
      </c>
      <c r="H768" s="21">
        <v>1651.67</v>
      </c>
    </row>
    <row r="769" spans="1:8" customFormat="1" x14ac:dyDescent="0.25">
      <c r="A769" t="str">
        <f>"6210889"</f>
        <v>6210889</v>
      </c>
      <c r="B769" t="s">
        <v>26595</v>
      </c>
      <c r="C769" t="s">
        <v>130</v>
      </c>
      <c r="D769" s="21" t="s">
        <v>34</v>
      </c>
      <c r="E769" s="21" t="s">
        <v>71</v>
      </c>
      <c r="F769">
        <v>7620181</v>
      </c>
      <c r="G769" t="s">
        <v>2268</v>
      </c>
      <c r="H769" s="21">
        <v>1651.67</v>
      </c>
    </row>
    <row r="770" spans="1:8" customFormat="1" x14ac:dyDescent="0.25">
      <c r="A770" t="str">
        <f>"4510577"</f>
        <v>4510577</v>
      </c>
      <c r="B770" t="s">
        <v>1449</v>
      </c>
      <c r="C770" t="s">
        <v>209</v>
      </c>
      <c r="D770" s="21" t="s">
        <v>34</v>
      </c>
      <c r="E770" s="21" t="s">
        <v>35</v>
      </c>
      <c r="F770">
        <v>12490022</v>
      </c>
      <c r="G770" t="s">
        <v>1450</v>
      </c>
      <c r="H770" s="21">
        <v>1651.67</v>
      </c>
    </row>
    <row r="771" spans="1:8" customFormat="1" x14ac:dyDescent="0.25">
      <c r="A771" t="str">
        <f>"72634"</f>
        <v>72634</v>
      </c>
      <c r="B771" t="s">
        <v>1246</v>
      </c>
      <c r="C771" t="s">
        <v>428</v>
      </c>
      <c r="D771" s="21" t="s">
        <v>34</v>
      </c>
      <c r="E771" s="21" t="s">
        <v>35</v>
      </c>
      <c r="F771">
        <v>12720104</v>
      </c>
      <c r="G771" t="s">
        <v>224</v>
      </c>
      <c r="H771" s="21">
        <v>1651.67</v>
      </c>
    </row>
    <row r="772" spans="1:8" customFormat="1" x14ac:dyDescent="0.25">
      <c r="A772" t="str">
        <f>"571999"</f>
        <v>571999</v>
      </c>
      <c r="B772" t="s">
        <v>1173</v>
      </c>
      <c r="C772" t="s">
        <v>621</v>
      </c>
      <c r="D772" s="21" t="s">
        <v>34</v>
      </c>
      <c r="E772" s="21" t="s">
        <v>35</v>
      </c>
      <c r="F772">
        <v>6570167</v>
      </c>
      <c r="G772" t="s">
        <v>1174</v>
      </c>
      <c r="H772" s="21">
        <v>1651.17</v>
      </c>
    </row>
    <row r="773" spans="1:8" customFormat="1" x14ac:dyDescent="0.25">
      <c r="A773" t="str">
        <f>"698504"</f>
        <v>698504</v>
      </c>
      <c r="B773" t="s">
        <v>970</v>
      </c>
      <c r="C773" t="s">
        <v>169</v>
      </c>
      <c r="D773" s="21" t="s">
        <v>34</v>
      </c>
      <c r="E773" s="21" t="s">
        <v>35</v>
      </c>
      <c r="F773">
        <v>1690223</v>
      </c>
      <c r="G773" t="s">
        <v>26579</v>
      </c>
      <c r="H773" s="21">
        <v>1651.17</v>
      </c>
    </row>
    <row r="774" spans="1:8" customFormat="1" x14ac:dyDescent="0.25">
      <c r="A774" t="str">
        <f>"3310"</f>
        <v>3310</v>
      </c>
      <c r="B774" t="s">
        <v>1088</v>
      </c>
      <c r="C774" t="s">
        <v>822</v>
      </c>
      <c r="D774" s="21" t="s">
        <v>34</v>
      </c>
      <c r="E774" s="21" t="s">
        <v>1089</v>
      </c>
      <c r="F774">
        <v>10330002</v>
      </c>
      <c r="G774" t="s">
        <v>53</v>
      </c>
      <c r="H774" s="21">
        <v>1651.17</v>
      </c>
    </row>
    <row r="775" spans="1:8" customFormat="1" x14ac:dyDescent="0.25">
      <c r="A775" t="str">
        <f>"3815478"</f>
        <v>3815478</v>
      </c>
      <c r="B775" t="s">
        <v>1301</v>
      </c>
      <c r="C775" t="s">
        <v>43</v>
      </c>
      <c r="D775" s="21" t="s">
        <v>34</v>
      </c>
      <c r="E775" s="21" t="s">
        <v>35</v>
      </c>
      <c r="F775">
        <v>4450026</v>
      </c>
      <c r="G775" t="s">
        <v>291</v>
      </c>
      <c r="H775" s="21">
        <v>1651.17</v>
      </c>
    </row>
    <row r="776" spans="1:8" customFormat="1" x14ac:dyDescent="0.25">
      <c r="A776" t="str">
        <f>"621592"</f>
        <v>621592</v>
      </c>
      <c r="B776" t="s">
        <v>26596</v>
      </c>
      <c r="C776" t="s">
        <v>544</v>
      </c>
      <c r="D776" s="21" t="s">
        <v>34</v>
      </c>
      <c r="E776" s="21" t="s">
        <v>35</v>
      </c>
      <c r="F776">
        <v>7600040</v>
      </c>
      <c r="G776" t="s">
        <v>6757</v>
      </c>
      <c r="H776" s="21">
        <v>1650.67</v>
      </c>
    </row>
    <row r="777" spans="1:8" customFormat="1" x14ac:dyDescent="0.25">
      <c r="A777" t="str">
        <f>"6312450"</f>
        <v>6312450</v>
      </c>
      <c r="B777" t="s">
        <v>1035</v>
      </c>
      <c r="C777" t="s">
        <v>60</v>
      </c>
      <c r="D777" s="21" t="s">
        <v>34</v>
      </c>
      <c r="E777" s="21" t="s">
        <v>35</v>
      </c>
      <c r="F777">
        <v>1630123</v>
      </c>
      <c r="G777" t="s">
        <v>1036</v>
      </c>
      <c r="H777" s="21">
        <v>1650.67</v>
      </c>
    </row>
    <row r="778" spans="1:8" customFormat="1" x14ac:dyDescent="0.25">
      <c r="A778" t="str">
        <f>"4451091"</f>
        <v>4451091</v>
      </c>
      <c r="B778" t="s">
        <v>1320</v>
      </c>
      <c r="C778" t="s">
        <v>239</v>
      </c>
      <c r="D778" s="21" t="s">
        <v>34</v>
      </c>
      <c r="E778" s="21" t="s">
        <v>254</v>
      </c>
      <c r="F778">
        <v>12440002</v>
      </c>
      <c r="G778" t="s">
        <v>47</v>
      </c>
      <c r="H778" s="21">
        <v>1650</v>
      </c>
    </row>
    <row r="779" spans="1:8" customFormat="1" x14ac:dyDescent="0.25">
      <c r="A779" t="str">
        <f>"784492"</f>
        <v>784492</v>
      </c>
      <c r="B779" t="s">
        <v>1278</v>
      </c>
      <c r="C779" t="s">
        <v>98</v>
      </c>
      <c r="D779" s="21" t="s">
        <v>34</v>
      </c>
      <c r="E779" s="21" t="s">
        <v>35</v>
      </c>
      <c r="F779">
        <v>8780584</v>
      </c>
      <c r="G779" t="s">
        <v>18410</v>
      </c>
      <c r="H779" s="21">
        <v>1649.67</v>
      </c>
    </row>
    <row r="780" spans="1:8" customFormat="1" x14ac:dyDescent="0.25">
      <c r="A780" t="str">
        <f>"13300"</f>
        <v>13300</v>
      </c>
      <c r="B780" t="s">
        <v>1213</v>
      </c>
      <c r="C780" t="s">
        <v>1214</v>
      </c>
      <c r="D780" s="21" t="s">
        <v>34</v>
      </c>
      <c r="E780" s="21" t="s">
        <v>35</v>
      </c>
      <c r="F780">
        <v>13060064</v>
      </c>
      <c r="G780" t="s">
        <v>976</v>
      </c>
      <c r="H780" s="21">
        <v>1648.17</v>
      </c>
    </row>
    <row r="781" spans="1:8" customFormat="1" x14ac:dyDescent="0.25">
      <c r="A781" t="str">
        <f>"5042"</f>
        <v>5042</v>
      </c>
      <c r="B781" t="s">
        <v>1235</v>
      </c>
      <c r="C781" t="s">
        <v>926</v>
      </c>
      <c r="D781" s="21" t="s">
        <v>34</v>
      </c>
      <c r="E781" s="21" t="s">
        <v>71</v>
      </c>
      <c r="F781">
        <v>9500003</v>
      </c>
      <c r="G781" t="s">
        <v>545</v>
      </c>
      <c r="H781" s="21">
        <v>1648.17</v>
      </c>
    </row>
    <row r="782" spans="1:8" customFormat="1" x14ac:dyDescent="0.25">
      <c r="A782" t="str">
        <f>"428168"</f>
        <v>428168</v>
      </c>
      <c r="B782" t="s">
        <v>26597</v>
      </c>
      <c r="C782" t="s">
        <v>33</v>
      </c>
      <c r="D782" s="21" t="s">
        <v>34</v>
      </c>
      <c r="E782" s="21" t="s">
        <v>35</v>
      </c>
      <c r="F782">
        <v>1420152</v>
      </c>
      <c r="G782" t="s">
        <v>2948</v>
      </c>
      <c r="H782" s="21">
        <v>1647.42</v>
      </c>
    </row>
    <row r="783" spans="1:8" customFormat="1" x14ac:dyDescent="0.25">
      <c r="A783" t="str">
        <f>"9B39"</f>
        <v>9B39</v>
      </c>
      <c r="B783" t="s">
        <v>26598</v>
      </c>
      <c r="C783" t="s">
        <v>528</v>
      </c>
      <c r="D783" s="21" t="s">
        <v>34</v>
      </c>
      <c r="E783" s="21" t="s">
        <v>71</v>
      </c>
      <c r="F783" t="s">
        <v>2861</v>
      </c>
      <c r="G783" t="s">
        <v>2862</v>
      </c>
      <c r="H783" s="21">
        <v>1646.17</v>
      </c>
    </row>
    <row r="784" spans="1:8" customFormat="1" x14ac:dyDescent="0.25">
      <c r="A784" t="str">
        <f>"5954576"</f>
        <v>5954576</v>
      </c>
      <c r="B784" t="s">
        <v>1263</v>
      </c>
      <c r="C784" t="s">
        <v>576</v>
      </c>
      <c r="D784" s="21" t="s">
        <v>34</v>
      </c>
      <c r="E784" s="21" t="s">
        <v>35</v>
      </c>
      <c r="F784">
        <v>7600069</v>
      </c>
      <c r="G784" t="s">
        <v>195</v>
      </c>
      <c r="H784" s="21">
        <v>1645.67</v>
      </c>
    </row>
    <row r="785" spans="1:8" customFormat="1" x14ac:dyDescent="0.25">
      <c r="A785" t="str">
        <f>"087159"</f>
        <v>087159</v>
      </c>
      <c r="B785" t="s">
        <v>213</v>
      </c>
      <c r="C785" t="s">
        <v>825</v>
      </c>
      <c r="D785" s="21" t="s">
        <v>34</v>
      </c>
      <c r="E785" s="21" t="s">
        <v>35</v>
      </c>
      <c r="F785">
        <v>6080013</v>
      </c>
      <c r="G785" t="s">
        <v>1532</v>
      </c>
      <c r="H785" s="21">
        <v>1645.67</v>
      </c>
    </row>
    <row r="786" spans="1:8" customFormat="1" x14ac:dyDescent="0.25">
      <c r="A786" t="str">
        <f>"3511189"</f>
        <v>3511189</v>
      </c>
      <c r="B786" t="s">
        <v>1322</v>
      </c>
      <c r="C786" t="s">
        <v>926</v>
      </c>
      <c r="D786" s="21" t="s">
        <v>34</v>
      </c>
      <c r="E786" s="21" t="s">
        <v>71</v>
      </c>
      <c r="F786">
        <v>3350137</v>
      </c>
      <c r="G786" t="s">
        <v>1323</v>
      </c>
      <c r="H786" s="21">
        <v>1645.67</v>
      </c>
    </row>
    <row r="787" spans="1:8" customFormat="1" x14ac:dyDescent="0.25">
      <c r="A787" t="str">
        <f>"4414950"</f>
        <v>4414950</v>
      </c>
      <c r="B787" t="s">
        <v>1205</v>
      </c>
      <c r="C787" t="s">
        <v>246</v>
      </c>
      <c r="D787" s="21" t="s">
        <v>34</v>
      </c>
      <c r="E787" s="21" t="s">
        <v>254</v>
      </c>
      <c r="F787">
        <v>12440002</v>
      </c>
      <c r="G787" t="s">
        <v>47</v>
      </c>
      <c r="H787" s="21">
        <v>1644.67</v>
      </c>
    </row>
    <row r="788" spans="1:8" customFormat="1" x14ac:dyDescent="0.25">
      <c r="A788" t="str">
        <f>"102993"</f>
        <v>102993</v>
      </c>
      <c r="B788" t="s">
        <v>23667</v>
      </c>
      <c r="C788" t="s">
        <v>547</v>
      </c>
      <c r="D788" s="21" t="s">
        <v>34</v>
      </c>
      <c r="E788" s="21" t="s">
        <v>71</v>
      </c>
      <c r="F788">
        <v>8770426</v>
      </c>
      <c r="G788" t="s">
        <v>1847</v>
      </c>
      <c r="H788" s="21">
        <v>1644.67</v>
      </c>
    </row>
    <row r="789" spans="1:8" customFormat="1" x14ac:dyDescent="0.25">
      <c r="A789" t="str">
        <f>"9113307"</f>
        <v>9113307</v>
      </c>
      <c r="B789" t="s">
        <v>1549</v>
      </c>
      <c r="C789" t="s">
        <v>288</v>
      </c>
      <c r="D789" s="21" t="s">
        <v>34</v>
      </c>
      <c r="E789" s="21" t="s">
        <v>35</v>
      </c>
      <c r="F789">
        <v>7600054</v>
      </c>
      <c r="G789" t="s">
        <v>1352</v>
      </c>
      <c r="H789" s="21">
        <v>1644.17</v>
      </c>
    </row>
    <row r="790" spans="1:8" customFormat="1" x14ac:dyDescent="0.25">
      <c r="A790" t="str">
        <f>"7519825"</f>
        <v>7519825</v>
      </c>
      <c r="B790" t="s">
        <v>1508</v>
      </c>
      <c r="C790" t="s">
        <v>267</v>
      </c>
      <c r="D790" s="21" t="s">
        <v>34</v>
      </c>
      <c r="E790" s="21" t="s">
        <v>35</v>
      </c>
      <c r="F790">
        <v>8750120</v>
      </c>
      <c r="G790" t="s">
        <v>838</v>
      </c>
      <c r="H790" s="21">
        <v>1644.05</v>
      </c>
    </row>
    <row r="791" spans="1:8" customFormat="1" x14ac:dyDescent="0.25">
      <c r="A791" t="str">
        <f>"50858"</f>
        <v>50858</v>
      </c>
      <c r="B791" t="s">
        <v>1667</v>
      </c>
      <c r="C791" t="s">
        <v>285</v>
      </c>
      <c r="D791" s="21" t="s">
        <v>34</v>
      </c>
      <c r="E791" s="21" t="s">
        <v>35</v>
      </c>
      <c r="F791">
        <v>9500112</v>
      </c>
      <c r="G791" t="s">
        <v>1668</v>
      </c>
      <c r="H791" s="21">
        <v>1642.17</v>
      </c>
    </row>
    <row r="792" spans="1:8" customFormat="1" x14ac:dyDescent="0.25">
      <c r="A792" t="str">
        <f>"6916999"</f>
        <v>6916999</v>
      </c>
      <c r="B792" t="s">
        <v>1753</v>
      </c>
      <c r="C792" t="s">
        <v>1754</v>
      </c>
      <c r="D792" s="21" t="s">
        <v>34</v>
      </c>
      <c r="E792" s="21" t="s">
        <v>35</v>
      </c>
      <c r="F792">
        <v>1690030</v>
      </c>
      <c r="G792" t="s">
        <v>432</v>
      </c>
      <c r="H792" s="21">
        <v>1641.81</v>
      </c>
    </row>
    <row r="793" spans="1:8" customFormat="1" x14ac:dyDescent="0.25">
      <c r="A793" t="str">
        <f>"381817"</f>
        <v>381817</v>
      </c>
      <c r="B793" t="s">
        <v>1307</v>
      </c>
      <c r="C793" t="s">
        <v>209</v>
      </c>
      <c r="D793" s="21" t="s">
        <v>34</v>
      </c>
      <c r="E793" s="21" t="s">
        <v>35</v>
      </c>
      <c r="F793">
        <v>1380136</v>
      </c>
      <c r="G793" t="s">
        <v>1047</v>
      </c>
      <c r="H793" s="21">
        <v>1641.67</v>
      </c>
    </row>
    <row r="794" spans="1:8" customFormat="1" x14ac:dyDescent="0.25">
      <c r="A794" t="str">
        <f>"623132"</f>
        <v>623132</v>
      </c>
      <c r="B794" t="s">
        <v>1226</v>
      </c>
      <c r="C794" t="s">
        <v>415</v>
      </c>
      <c r="D794" s="21" t="s">
        <v>34</v>
      </c>
      <c r="E794" s="21" t="s">
        <v>35</v>
      </c>
      <c r="F794">
        <v>7620067</v>
      </c>
      <c r="G794" t="s">
        <v>860</v>
      </c>
      <c r="H794" s="21">
        <v>1641.17</v>
      </c>
    </row>
    <row r="795" spans="1:8" customFormat="1" x14ac:dyDescent="0.25">
      <c r="A795" t="str">
        <f>"4411632"</f>
        <v>4411632</v>
      </c>
      <c r="B795" t="s">
        <v>431</v>
      </c>
      <c r="C795" t="s">
        <v>124</v>
      </c>
      <c r="D795" s="21" t="s">
        <v>34</v>
      </c>
      <c r="E795" s="21" t="s">
        <v>35</v>
      </c>
      <c r="F795">
        <v>12440151</v>
      </c>
      <c r="G795" t="s">
        <v>1327</v>
      </c>
      <c r="H795" s="21">
        <v>1640.67</v>
      </c>
    </row>
    <row r="796" spans="1:8" customFormat="1" x14ac:dyDescent="0.25">
      <c r="A796" t="str">
        <f>"39987"</f>
        <v>39987</v>
      </c>
      <c r="B796" t="s">
        <v>1309</v>
      </c>
      <c r="C796" t="s">
        <v>144</v>
      </c>
      <c r="D796" s="21" t="s">
        <v>34</v>
      </c>
      <c r="E796" s="21" t="s">
        <v>35</v>
      </c>
      <c r="F796">
        <v>12440266</v>
      </c>
      <c r="G796" t="s">
        <v>924</v>
      </c>
      <c r="H796" s="21">
        <v>1640.42</v>
      </c>
    </row>
    <row r="797" spans="1:8" customFormat="1" x14ac:dyDescent="0.25">
      <c r="A797" t="str">
        <f>"593889"</f>
        <v>593889</v>
      </c>
      <c r="B797" t="s">
        <v>465</v>
      </c>
      <c r="C797" t="s">
        <v>147</v>
      </c>
      <c r="D797" s="21" t="s">
        <v>34</v>
      </c>
      <c r="E797" s="21" t="s">
        <v>35</v>
      </c>
      <c r="F797">
        <v>7590164</v>
      </c>
      <c r="G797" t="s">
        <v>2451</v>
      </c>
      <c r="H797" s="21">
        <v>1640.17</v>
      </c>
    </row>
    <row r="798" spans="1:8" customFormat="1" x14ac:dyDescent="0.25">
      <c r="A798" t="str">
        <f>"518732"</f>
        <v>518732</v>
      </c>
      <c r="B798" t="s">
        <v>1391</v>
      </c>
      <c r="C798" t="s">
        <v>62</v>
      </c>
      <c r="D798" s="21" t="s">
        <v>34</v>
      </c>
      <c r="E798" s="21" t="s">
        <v>35</v>
      </c>
      <c r="F798">
        <v>6510107</v>
      </c>
      <c r="G798" t="s">
        <v>1392</v>
      </c>
      <c r="H798" s="21">
        <v>1639.67</v>
      </c>
    </row>
    <row r="799" spans="1:8" customFormat="1" x14ac:dyDescent="0.25">
      <c r="A799" t="str">
        <f>"5936312"</f>
        <v>5936312</v>
      </c>
      <c r="B799" t="s">
        <v>1310</v>
      </c>
      <c r="C799" t="s">
        <v>43</v>
      </c>
      <c r="D799" s="21" t="s">
        <v>34</v>
      </c>
      <c r="E799" s="21" t="s">
        <v>35</v>
      </c>
      <c r="F799">
        <v>7590130</v>
      </c>
      <c r="G799" t="s">
        <v>1311</v>
      </c>
      <c r="H799" s="21">
        <v>1639.67</v>
      </c>
    </row>
    <row r="800" spans="1:8" customFormat="1" x14ac:dyDescent="0.25">
      <c r="A800" t="str">
        <f>"936793"</f>
        <v>936793</v>
      </c>
      <c r="B800" t="s">
        <v>26599</v>
      </c>
      <c r="C800" t="s">
        <v>507</v>
      </c>
      <c r="D800" s="21" t="s">
        <v>34</v>
      </c>
      <c r="E800" s="21" t="s">
        <v>35</v>
      </c>
      <c r="F800">
        <v>12720104</v>
      </c>
      <c r="G800" t="s">
        <v>224</v>
      </c>
      <c r="H800" s="21">
        <v>1639.5</v>
      </c>
    </row>
    <row r="801" spans="1:8" customFormat="1" x14ac:dyDescent="0.25">
      <c r="A801" t="str">
        <f>"3521297"</f>
        <v>3521297</v>
      </c>
      <c r="B801" t="s">
        <v>26600</v>
      </c>
      <c r="C801" t="s">
        <v>462</v>
      </c>
      <c r="D801" s="21" t="s">
        <v>34</v>
      </c>
      <c r="E801" s="21" t="s">
        <v>71</v>
      </c>
      <c r="F801">
        <v>3350011</v>
      </c>
      <c r="G801" t="s">
        <v>2404</v>
      </c>
      <c r="H801" s="21">
        <v>1639.17</v>
      </c>
    </row>
    <row r="802" spans="1:8" customFormat="1" x14ac:dyDescent="0.25">
      <c r="A802" t="str">
        <f>"3825945"</f>
        <v>3825945</v>
      </c>
      <c r="B802" t="s">
        <v>1331</v>
      </c>
      <c r="C802" t="s">
        <v>169</v>
      </c>
      <c r="D802" s="21" t="s">
        <v>34</v>
      </c>
      <c r="E802" s="21" t="s">
        <v>71</v>
      </c>
      <c r="F802">
        <v>1380056</v>
      </c>
      <c r="G802" t="s">
        <v>846</v>
      </c>
      <c r="H802" s="21">
        <v>1638.67</v>
      </c>
    </row>
    <row r="803" spans="1:8" customFormat="1" x14ac:dyDescent="0.25">
      <c r="A803" t="str">
        <f>"821985"</f>
        <v>821985</v>
      </c>
      <c r="B803" t="s">
        <v>1422</v>
      </c>
      <c r="C803" t="s">
        <v>1423</v>
      </c>
      <c r="D803" s="21" t="s">
        <v>34</v>
      </c>
      <c r="E803" s="21" t="s">
        <v>71</v>
      </c>
      <c r="F803">
        <v>11820008</v>
      </c>
      <c r="G803" t="s">
        <v>294</v>
      </c>
      <c r="H803" s="21">
        <v>1638.67</v>
      </c>
    </row>
    <row r="804" spans="1:8" customFormat="1" x14ac:dyDescent="0.25">
      <c r="A804" t="str">
        <f>"572104"</f>
        <v>572104</v>
      </c>
      <c r="B804" t="s">
        <v>1511</v>
      </c>
      <c r="C804" t="s">
        <v>598</v>
      </c>
      <c r="D804" s="21" t="s">
        <v>34</v>
      </c>
      <c r="E804" s="21" t="s">
        <v>35</v>
      </c>
      <c r="F804">
        <v>6570190</v>
      </c>
      <c r="G804" t="s">
        <v>622</v>
      </c>
      <c r="H804" s="21">
        <v>1638.42</v>
      </c>
    </row>
    <row r="805" spans="1:8" customFormat="1" x14ac:dyDescent="0.25">
      <c r="A805" t="str">
        <f>"80945"</f>
        <v>80945</v>
      </c>
      <c r="B805" t="s">
        <v>1447</v>
      </c>
      <c r="C805" t="s">
        <v>288</v>
      </c>
      <c r="D805" s="21" t="s">
        <v>34</v>
      </c>
      <c r="E805" s="21" t="s">
        <v>35</v>
      </c>
      <c r="F805">
        <v>7800040</v>
      </c>
      <c r="G805" t="s">
        <v>1448</v>
      </c>
      <c r="H805" s="21">
        <v>1638.17</v>
      </c>
    </row>
    <row r="806" spans="1:8" customFormat="1" x14ac:dyDescent="0.25">
      <c r="A806" t="str">
        <f>"38673"</f>
        <v>38673</v>
      </c>
      <c r="B806" t="s">
        <v>1357</v>
      </c>
      <c r="C806" t="s">
        <v>209</v>
      </c>
      <c r="D806" s="21" t="s">
        <v>34</v>
      </c>
      <c r="E806" s="21" t="s">
        <v>35</v>
      </c>
      <c r="F806">
        <v>13060090</v>
      </c>
      <c r="G806" t="s">
        <v>1363</v>
      </c>
      <c r="H806" s="21">
        <v>1637.17</v>
      </c>
    </row>
    <row r="807" spans="1:8" customFormat="1" x14ac:dyDescent="0.25">
      <c r="A807" t="str">
        <f>"4424209"</f>
        <v>4424209</v>
      </c>
      <c r="B807" t="s">
        <v>1165</v>
      </c>
      <c r="C807" t="s">
        <v>1421</v>
      </c>
      <c r="D807" s="21" t="s">
        <v>34</v>
      </c>
      <c r="E807" s="21" t="s">
        <v>71</v>
      </c>
      <c r="F807">
        <v>12440004</v>
      </c>
      <c r="G807" t="s">
        <v>26530</v>
      </c>
      <c r="H807" s="21">
        <v>1636.67</v>
      </c>
    </row>
    <row r="808" spans="1:8" customFormat="1" x14ac:dyDescent="0.25">
      <c r="A808" t="str">
        <f>"60615"</f>
        <v>60615</v>
      </c>
      <c r="B808" t="s">
        <v>392</v>
      </c>
      <c r="C808" t="s">
        <v>528</v>
      </c>
      <c r="D808" s="21" t="s">
        <v>34</v>
      </c>
      <c r="E808" s="21" t="s">
        <v>71</v>
      </c>
      <c r="F808">
        <v>7600024</v>
      </c>
      <c r="G808" t="s">
        <v>1234</v>
      </c>
      <c r="H808" s="21">
        <v>1636.67</v>
      </c>
    </row>
    <row r="809" spans="1:8" customFormat="1" x14ac:dyDescent="0.25">
      <c r="A809" t="str">
        <f>"61624"</f>
        <v>61624</v>
      </c>
      <c r="B809" t="s">
        <v>1393</v>
      </c>
      <c r="C809" t="s">
        <v>455</v>
      </c>
      <c r="D809" s="21" t="s">
        <v>34</v>
      </c>
      <c r="E809" s="21" t="s">
        <v>35</v>
      </c>
      <c r="F809">
        <v>4280322</v>
      </c>
      <c r="G809" t="s">
        <v>265</v>
      </c>
      <c r="H809" s="21">
        <v>1636.43</v>
      </c>
    </row>
    <row r="810" spans="1:8" customFormat="1" x14ac:dyDescent="0.25">
      <c r="A810" t="str">
        <f>"3339518"</f>
        <v>3339518</v>
      </c>
      <c r="B810" t="s">
        <v>26601</v>
      </c>
      <c r="C810" t="s">
        <v>2338</v>
      </c>
      <c r="D810" s="21" t="s">
        <v>34</v>
      </c>
      <c r="E810" s="21" t="s">
        <v>35</v>
      </c>
      <c r="F810">
        <v>10330011</v>
      </c>
      <c r="G810" t="s">
        <v>1789</v>
      </c>
      <c r="H810" s="21">
        <v>1636.29</v>
      </c>
    </row>
    <row r="811" spans="1:8" customFormat="1" x14ac:dyDescent="0.25">
      <c r="A811" t="str">
        <f>"5933915"</f>
        <v>5933915</v>
      </c>
      <c r="B811" t="s">
        <v>1362</v>
      </c>
      <c r="C811" t="s">
        <v>415</v>
      </c>
      <c r="D811" s="21" t="s">
        <v>34</v>
      </c>
      <c r="E811" s="21" t="s">
        <v>35</v>
      </c>
      <c r="F811">
        <v>7590105</v>
      </c>
      <c r="G811" t="s">
        <v>887</v>
      </c>
      <c r="H811" s="21">
        <v>1636.17</v>
      </c>
    </row>
    <row r="812" spans="1:8" customFormat="1" x14ac:dyDescent="0.25">
      <c r="A812" t="str">
        <f>"948809"</f>
        <v>948809</v>
      </c>
      <c r="B812" t="s">
        <v>1332</v>
      </c>
      <c r="C812" t="s">
        <v>302</v>
      </c>
      <c r="D812" s="21" t="s">
        <v>34</v>
      </c>
      <c r="E812" s="21" t="s">
        <v>35</v>
      </c>
      <c r="F812">
        <v>8940866</v>
      </c>
      <c r="G812" t="s">
        <v>519</v>
      </c>
      <c r="H812" s="21">
        <v>1635.42</v>
      </c>
    </row>
    <row r="813" spans="1:8" customFormat="1" x14ac:dyDescent="0.25">
      <c r="A813" t="str">
        <f>"3311541"</f>
        <v>3311541</v>
      </c>
      <c r="B813" t="s">
        <v>1430</v>
      </c>
      <c r="C813" t="s">
        <v>33</v>
      </c>
      <c r="D813" s="21" t="s">
        <v>34</v>
      </c>
      <c r="E813" s="21" t="s">
        <v>35</v>
      </c>
      <c r="F813">
        <v>10330086</v>
      </c>
      <c r="G813" t="s">
        <v>785</v>
      </c>
      <c r="H813" s="21">
        <v>1635.17</v>
      </c>
    </row>
    <row r="814" spans="1:8" customFormat="1" x14ac:dyDescent="0.25">
      <c r="A814" t="str">
        <f>"871408"</f>
        <v>871408</v>
      </c>
      <c r="B814" t="s">
        <v>1277</v>
      </c>
      <c r="C814" t="s">
        <v>121</v>
      </c>
      <c r="D814" s="21" t="s">
        <v>34</v>
      </c>
      <c r="E814" s="21" t="s">
        <v>35</v>
      </c>
      <c r="F814">
        <v>10870031</v>
      </c>
      <c r="G814" t="s">
        <v>959</v>
      </c>
      <c r="H814" s="21">
        <v>1635.17</v>
      </c>
    </row>
    <row r="815" spans="1:8" customFormat="1" x14ac:dyDescent="0.25">
      <c r="A815" t="str">
        <f>"10320"</f>
        <v>10320</v>
      </c>
      <c r="B815" t="s">
        <v>1128</v>
      </c>
      <c r="C815" t="s">
        <v>269</v>
      </c>
      <c r="D815" s="21" t="s">
        <v>34</v>
      </c>
      <c r="E815" s="21" t="s">
        <v>71</v>
      </c>
      <c r="F815">
        <v>6100005</v>
      </c>
      <c r="G815" t="s">
        <v>855</v>
      </c>
      <c r="H815" s="21">
        <v>1635.17</v>
      </c>
    </row>
    <row r="816" spans="1:8" customFormat="1" x14ac:dyDescent="0.25">
      <c r="A816" t="str">
        <f>"88198"</f>
        <v>88198</v>
      </c>
      <c r="B816" t="s">
        <v>1500</v>
      </c>
      <c r="C816" t="s">
        <v>169</v>
      </c>
      <c r="D816" s="21" t="s">
        <v>34</v>
      </c>
      <c r="E816" s="21" t="s">
        <v>35</v>
      </c>
      <c r="F816">
        <v>6880010</v>
      </c>
      <c r="G816" t="s">
        <v>1029</v>
      </c>
      <c r="H816" s="21">
        <v>1634.79</v>
      </c>
    </row>
    <row r="817" spans="1:8" customFormat="1" x14ac:dyDescent="0.25">
      <c r="A817" t="str">
        <f>"80499"</f>
        <v>80499</v>
      </c>
      <c r="B817" t="s">
        <v>1329</v>
      </c>
      <c r="C817" t="s">
        <v>209</v>
      </c>
      <c r="D817" s="21" t="s">
        <v>34</v>
      </c>
      <c r="E817" s="21" t="s">
        <v>71</v>
      </c>
      <c r="F817">
        <v>7800061</v>
      </c>
      <c r="G817" t="s">
        <v>1330</v>
      </c>
      <c r="H817" s="21">
        <v>1634.3</v>
      </c>
    </row>
    <row r="818" spans="1:8" customFormat="1" x14ac:dyDescent="0.25">
      <c r="A818" t="str">
        <f>"54466"</f>
        <v>54466</v>
      </c>
      <c r="B818" t="s">
        <v>1273</v>
      </c>
      <c r="C818" t="s">
        <v>124</v>
      </c>
      <c r="D818" s="21" t="s">
        <v>34</v>
      </c>
      <c r="E818" s="21" t="s">
        <v>71</v>
      </c>
      <c r="F818">
        <v>6540020</v>
      </c>
      <c r="G818" t="s">
        <v>1269</v>
      </c>
      <c r="H818" s="21">
        <v>1634.17</v>
      </c>
    </row>
    <row r="819" spans="1:8" customFormat="1" x14ac:dyDescent="0.25">
      <c r="A819" t="str">
        <f>"373109"</f>
        <v>373109</v>
      </c>
      <c r="B819" t="s">
        <v>1141</v>
      </c>
      <c r="C819" t="s">
        <v>1142</v>
      </c>
      <c r="D819" s="21" t="s">
        <v>34</v>
      </c>
      <c r="E819" s="21" t="s">
        <v>254</v>
      </c>
      <c r="F819">
        <v>4410612</v>
      </c>
      <c r="G819" t="s">
        <v>815</v>
      </c>
      <c r="H819" s="21">
        <v>1634.17</v>
      </c>
    </row>
    <row r="820" spans="1:8" customFormat="1" x14ac:dyDescent="0.25">
      <c r="A820" t="str">
        <f>"088356"</f>
        <v>088356</v>
      </c>
      <c r="B820" t="s">
        <v>1531</v>
      </c>
      <c r="C820" t="s">
        <v>119</v>
      </c>
      <c r="D820" s="21" t="s">
        <v>34</v>
      </c>
      <c r="E820" s="21" t="s">
        <v>35</v>
      </c>
      <c r="F820">
        <v>6080013</v>
      </c>
      <c r="G820" t="s">
        <v>1532</v>
      </c>
      <c r="H820" s="21">
        <v>1633.79</v>
      </c>
    </row>
    <row r="821" spans="1:8" customFormat="1" x14ac:dyDescent="0.25">
      <c r="A821" t="str">
        <f>"6919482"</f>
        <v>6919482</v>
      </c>
      <c r="B821" t="s">
        <v>1643</v>
      </c>
      <c r="C821" t="s">
        <v>55</v>
      </c>
      <c r="D821" s="21" t="s">
        <v>34</v>
      </c>
      <c r="E821" s="21" t="s">
        <v>35</v>
      </c>
      <c r="F821">
        <v>1690058</v>
      </c>
      <c r="G821" t="s">
        <v>1644</v>
      </c>
      <c r="H821" s="21">
        <v>1633.67</v>
      </c>
    </row>
    <row r="822" spans="1:8" customFormat="1" x14ac:dyDescent="0.25">
      <c r="A822" t="str">
        <f>"638022"</f>
        <v>638022</v>
      </c>
      <c r="B822" t="s">
        <v>1236</v>
      </c>
      <c r="C822" t="s">
        <v>65</v>
      </c>
      <c r="D822" s="21" t="s">
        <v>34</v>
      </c>
      <c r="E822" s="21" t="s">
        <v>35</v>
      </c>
      <c r="F822">
        <v>1630249</v>
      </c>
      <c r="G822" t="s">
        <v>1237</v>
      </c>
      <c r="H822" s="21">
        <v>1633.67</v>
      </c>
    </row>
    <row r="823" spans="1:8" customFormat="1" x14ac:dyDescent="0.25">
      <c r="A823" t="str">
        <f>"937876"</f>
        <v>937876</v>
      </c>
      <c r="B823" t="s">
        <v>1312</v>
      </c>
      <c r="C823" t="s">
        <v>275</v>
      </c>
      <c r="D823" s="21" t="s">
        <v>34</v>
      </c>
      <c r="E823" s="21" t="s">
        <v>35</v>
      </c>
      <c r="F823">
        <v>8930113</v>
      </c>
      <c r="G823" t="s">
        <v>368</v>
      </c>
      <c r="H823" s="21">
        <v>1633.54</v>
      </c>
    </row>
    <row r="824" spans="1:8" customFormat="1" x14ac:dyDescent="0.25">
      <c r="A824" t="str">
        <f>"563758"</f>
        <v>563758</v>
      </c>
      <c r="B824" t="s">
        <v>2165</v>
      </c>
      <c r="C824" t="s">
        <v>3355</v>
      </c>
      <c r="D824" s="21" t="s">
        <v>34</v>
      </c>
      <c r="E824" s="21" t="s">
        <v>35</v>
      </c>
      <c r="F824">
        <v>3560049</v>
      </c>
      <c r="G824" t="s">
        <v>8021</v>
      </c>
      <c r="H824" s="21">
        <v>1633.5</v>
      </c>
    </row>
    <row r="825" spans="1:8" customFormat="1" x14ac:dyDescent="0.25">
      <c r="A825" t="str">
        <f>"5960401"</f>
        <v>5960401</v>
      </c>
      <c r="B825" t="s">
        <v>1621</v>
      </c>
      <c r="C825" t="s">
        <v>1622</v>
      </c>
      <c r="D825" s="21" t="s">
        <v>34</v>
      </c>
      <c r="E825" s="21" t="s">
        <v>71</v>
      </c>
      <c r="F825">
        <v>7590402</v>
      </c>
      <c r="G825" t="s">
        <v>1623</v>
      </c>
      <c r="H825" s="21">
        <v>1633.17</v>
      </c>
    </row>
    <row r="826" spans="1:8" customFormat="1" x14ac:dyDescent="0.25">
      <c r="A826" t="str">
        <f>"8811182"</f>
        <v>8811182</v>
      </c>
      <c r="B826" t="s">
        <v>1683</v>
      </c>
      <c r="C826" t="s">
        <v>139</v>
      </c>
      <c r="D826" s="21" t="s">
        <v>34</v>
      </c>
      <c r="E826" s="21" t="s">
        <v>35</v>
      </c>
      <c r="F826">
        <v>6880022</v>
      </c>
      <c r="G826" t="s">
        <v>339</v>
      </c>
      <c r="H826" s="21">
        <v>1633.17</v>
      </c>
    </row>
    <row r="827" spans="1:8" customFormat="1" x14ac:dyDescent="0.25">
      <c r="A827" t="str">
        <f>"9116079"</f>
        <v>9116079</v>
      </c>
      <c r="B827" t="s">
        <v>1469</v>
      </c>
      <c r="C827" t="s">
        <v>90</v>
      </c>
      <c r="D827" s="21" t="s">
        <v>34</v>
      </c>
      <c r="E827" s="21" t="s">
        <v>35</v>
      </c>
      <c r="F827">
        <v>8910918</v>
      </c>
      <c r="G827" t="s">
        <v>332</v>
      </c>
      <c r="H827" s="21">
        <v>1632.67</v>
      </c>
    </row>
    <row r="828" spans="1:8" customFormat="1" x14ac:dyDescent="0.25">
      <c r="A828" t="str">
        <f>"591963"</f>
        <v>591963</v>
      </c>
      <c r="B828" t="s">
        <v>1593</v>
      </c>
      <c r="C828" t="s">
        <v>98</v>
      </c>
      <c r="D828" s="21" t="s">
        <v>34</v>
      </c>
      <c r="E828" s="21" t="s">
        <v>35</v>
      </c>
      <c r="F828">
        <v>10640003</v>
      </c>
      <c r="G828" t="s">
        <v>1594</v>
      </c>
      <c r="H828" s="21">
        <v>1632.67</v>
      </c>
    </row>
    <row r="829" spans="1:8" customFormat="1" x14ac:dyDescent="0.25">
      <c r="A829" t="str">
        <f>"473787"</f>
        <v>473787</v>
      </c>
      <c r="B829" t="s">
        <v>1467</v>
      </c>
      <c r="C829" t="s">
        <v>1468</v>
      </c>
      <c r="D829" s="21" t="s">
        <v>34</v>
      </c>
      <c r="E829" s="21" t="s">
        <v>35</v>
      </c>
      <c r="F829">
        <v>12490038</v>
      </c>
      <c r="G829" t="s">
        <v>467</v>
      </c>
      <c r="H829" s="21">
        <v>1632.17</v>
      </c>
    </row>
    <row r="830" spans="1:8" customFormat="1" x14ac:dyDescent="0.25">
      <c r="A830" t="str">
        <f>"836085"</f>
        <v>836085</v>
      </c>
      <c r="B830" t="s">
        <v>1206</v>
      </c>
      <c r="C830" t="s">
        <v>55</v>
      </c>
      <c r="D830" s="21" t="s">
        <v>34</v>
      </c>
      <c r="E830" s="21" t="s">
        <v>71</v>
      </c>
      <c r="F830">
        <v>13060064</v>
      </c>
      <c r="G830" t="s">
        <v>976</v>
      </c>
      <c r="H830" s="21">
        <v>1632.05</v>
      </c>
    </row>
    <row r="831" spans="1:8" customFormat="1" x14ac:dyDescent="0.25">
      <c r="A831" t="str">
        <f>"749397"</f>
        <v>749397</v>
      </c>
      <c r="B831" t="s">
        <v>1368</v>
      </c>
      <c r="C831" t="s">
        <v>608</v>
      </c>
      <c r="D831" s="21" t="s">
        <v>34</v>
      </c>
      <c r="E831" s="21" t="s">
        <v>35</v>
      </c>
      <c r="F831">
        <v>1740090</v>
      </c>
      <c r="G831" t="s">
        <v>1369</v>
      </c>
      <c r="H831" s="21">
        <v>1631.92</v>
      </c>
    </row>
    <row r="832" spans="1:8" customFormat="1" x14ac:dyDescent="0.25">
      <c r="A832" t="str">
        <f>"176407"</f>
        <v>176407</v>
      </c>
      <c r="B832" t="s">
        <v>1406</v>
      </c>
      <c r="C832" t="s">
        <v>60</v>
      </c>
      <c r="D832" s="21" t="s">
        <v>34</v>
      </c>
      <c r="E832" s="21" t="s">
        <v>35</v>
      </c>
      <c r="F832">
        <v>10170051</v>
      </c>
      <c r="G832" t="s">
        <v>826</v>
      </c>
      <c r="H832" s="21">
        <v>1631.17</v>
      </c>
    </row>
    <row r="833" spans="1:8" customFormat="1" x14ac:dyDescent="0.25">
      <c r="A833" t="str">
        <f>"934383"</f>
        <v>934383</v>
      </c>
      <c r="B833" t="s">
        <v>431</v>
      </c>
      <c r="C833" t="s">
        <v>656</v>
      </c>
      <c r="D833" s="21" t="s">
        <v>34</v>
      </c>
      <c r="E833" s="21" t="s">
        <v>35</v>
      </c>
      <c r="F833">
        <v>9760018</v>
      </c>
      <c r="G833" t="s">
        <v>117</v>
      </c>
      <c r="H833" s="21">
        <v>1631.05</v>
      </c>
    </row>
    <row r="834" spans="1:8" customFormat="1" x14ac:dyDescent="0.25">
      <c r="A834" t="str">
        <f>"1418056"</f>
        <v>1418056</v>
      </c>
      <c r="B834" t="s">
        <v>1297</v>
      </c>
      <c r="C834" t="s">
        <v>328</v>
      </c>
      <c r="D834" s="21" t="s">
        <v>34</v>
      </c>
      <c r="E834" s="21" t="s">
        <v>35</v>
      </c>
      <c r="F834">
        <v>9140123</v>
      </c>
      <c r="G834" t="s">
        <v>661</v>
      </c>
      <c r="H834" s="21">
        <v>1630.3</v>
      </c>
    </row>
    <row r="835" spans="1:8" customFormat="1" x14ac:dyDescent="0.25">
      <c r="A835" t="str">
        <f>"79610"</f>
        <v>79610</v>
      </c>
      <c r="B835" t="s">
        <v>1212</v>
      </c>
      <c r="C835" t="s">
        <v>40</v>
      </c>
      <c r="D835" s="21" t="s">
        <v>34</v>
      </c>
      <c r="E835" s="21" t="s">
        <v>71</v>
      </c>
      <c r="F835">
        <v>10170051</v>
      </c>
      <c r="G835" t="s">
        <v>826</v>
      </c>
      <c r="H835" s="21">
        <v>1630.17</v>
      </c>
    </row>
    <row r="836" spans="1:8" customFormat="1" x14ac:dyDescent="0.25">
      <c r="A836" t="str">
        <f>"95750"</f>
        <v>95750</v>
      </c>
      <c r="B836" t="s">
        <v>1471</v>
      </c>
      <c r="C836" t="s">
        <v>484</v>
      </c>
      <c r="D836" s="21" t="s">
        <v>34</v>
      </c>
      <c r="E836" s="21" t="s">
        <v>35</v>
      </c>
      <c r="F836">
        <v>8950481</v>
      </c>
      <c r="G836" t="s">
        <v>1472</v>
      </c>
      <c r="H836" s="21">
        <v>1629.93</v>
      </c>
    </row>
    <row r="837" spans="1:8" customFormat="1" x14ac:dyDescent="0.25">
      <c r="A837" t="str">
        <f>"602922"</f>
        <v>602922</v>
      </c>
      <c r="B837" t="s">
        <v>847</v>
      </c>
      <c r="C837" t="s">
        <v>305</v>
      </c>
      <c r="D837" s="21" t="s">
        <v>34</v>
      </c>
      <c r="E837" s="21" t="s">
        <v>35</v>
      </c>
      <c r="F837">
        <v>7600003</v>
      </c>
      <c r="G837" t="s">
        <v>3515</v>
      </c>
      <c r="H837" s="21">
        <v>1629.92</v>
      </c>
    </row>
    <row r="838" spans="1:8" customFormat="1" x14ac:dyDescent="0.25">
      <c r="A838" t="str">
        <f>"266872"</f>
        <v>266872</v>
      </c>
      <c r="B838" t="s">
        <v>1264</v>
      </c>
      <c r="C838" t="s">
        <v>1265</v>
      </c>
      <c r="D838" s="21" t="s">
        <v>34</v>
      </c>
      <c r="E838" s="21" t="s">
        <v>35</v>
      </c>
      <c r="F838">
        <v>1260054</v>
      </c>
      <c r="G838" t="s">
        <v>358</v>
      </c>
      <c r="H838" s="21">
        <v>1629.92</v>
      </c>
    </row>
    <row r="839" spans="1:8" customFormat="1" x14ac:dyDescent="0.25">
      <c r="A839" t="str">
        <f>"4419529"</f>
        <v>4419529</v>
      </c>
      <c r="B839" t="s">
        <v>1081</v>
      </c>
      <c r="C839" t="s">
        <v>608</v>
      </c>
      <c r="D839" s="21" t="s">
        <v>34</v>
      </c>
      <c r="E839" s="21" t="s">
        <v>71</v>
      </c>
      <c r="F839">
        <v>12490061</v>
      </c>
      <c r="G839" t="s">
        <v>969</v>
      </c>
      <c r="H839" s="21">
        <v>1629.79</v>
      </c>
    </row>
    <row r="840" spans="1:8" customFormat="1" x14ac:dyDescent="0.25">
      <c r="A840" t="str">
        <f>"4429889"</f>
        <v>4429889</v>
      </c>
      <c r="B840" t="s">
        <v>5344</v>
      </c>
      <c r="C840" t="s">
        <v>26602</v>
      </c>
      <c r="D840" s="21" t="s">
        <v>34</v>
      </c>
      <c r="E840" s="21" t="s">
        <v>35</v>
      </c>
      <c r="F840">
        <v>12440012</v>
      </c>
      <c r="G840" t="s">
        <v>807</v>
      </c>
      <c r="H840" s="21">
        <v>1628.92</v>
      </c>
    </row>
    <row r="841" spans="1:8" customFormat="1" x14ac:dyDescent="0.25">
      <c r="A841" t="str">
        <f>"7821932"</f>
        <v>7821932</v>
      </c>
      <c r="B841" t="s">
        <v>1943</v>
      </c>
      <c r="C841" t="s">
        <v>544</v>
      </c>
      <c r="D841" s="21" t="s">
        <v>34</v>
      </c>
      <c r="E841" s="21" t="s">
        <v>35</v>
      </c>
      <c r="F841">
        <v>8780935</v>
      </c>
      <c r="G841" t="s">
        <v>1944</v>
      </c>
      <c r="H841" s="21">
        <v>1628.42</v>
      </c>
    </row>
    <row r="842" spans="1:8" customFormat="1" x14ac:dyDescent="0.25">
      <c r="A842" t="str">
        <f>"758765"</f>
        <v>758765</v>
      </c>
      <c r="B842" t="s">
        <v>1377</v>
      </c>
      <c r="C842" t="s">
        <v>40</v>
      </c>
      <c r="D842" s="21" t="s">
        <v>34</v>
      </c>
      <c r="E842" s="21" t="s">
        <v>35</v>
      </c>
      <c r="F842">
        <v>8751271</v>
      </c>
      <c r="G842" t="s">
        <v>1067</v>
      </c>
      <c r="H842" s="21">
        <v>1628.3</v>
      </c>
    </row>
    <row r="843" spans="1:8" customFormat="1" x14ac:dyDescent="0.25">
      <c r="A843" t="str">
        <f>"756840"</f>
        <v>756840</v>
      </c>
      <c r="B843" t="s">
        <v>1377</v>
      </c>
      <c r="C843" t="s">
        <v>1146</v>
      </c>
      <c r="D843" s="21" t="s">
        <v>34</v>
      </c>
      <c r="E843" s="21" t="s">
        <v>71</v>
      </c>
      <c r="F843">
        <v>8751124</v>
      </c>
      <c r="G843" t="s">
        <v>1481</v>
      </c>
      <c r="H843" s="21">
        <v>1627.79</v>
      </c>
    </row>
    <row r="844" spans="1:8" customFormat="1" x14ac:dyDescent="0.25">
      <c r="A844" t="str">
        <f>"733008"</f>
        <v>733008</v>
      </c>
      <c r="B844" t="s">
        <v>1516</v>
      </c>
      <c r="C844" t="s">
        <v>130</v>
      </c>
      <c r="D844" s="21" t="s">
        <v>34</v>
      </c>
      <c r="E844" s="21" t="s">
        <v>35</v>
      </c>
      <c r="F844">
        <v>1730077</v>
      </c>
      <c r="G844" t="s">
        <v>1517</v>
      </c>
      <c r="H844" s="21">
        <v>1627.42</v>
      </c>
    </row>
    <row r="845" spans="1:8" customFormat="1" x14ac:dyDescent="0.25">
      <c r="A845" t="str">
        <f>"3312700"</f>
        <v>3312700</v>
      </c>
      <c r="B845" t="s">
        <v>824</v>
      </c>
      <c r="C845" t="s">
        <v>65</v>
      </c>
      <c r="D845" s="21" t="s">
        <v>34</v>
      </c>
      <c r="E845" s="21" t="s">
        <v>71</v>
      </c>
      <c r="F845">
        <v>10330003</v>
      </c>
      <c r="G845" t="s">
        <v>309</v>
      </c>
      <c r="H845" s="21">
        <v>1627.17</v>
      </c>
    </row>
    <row r="846" spans="1:8" customFormat="1" x14ac:dyDescent="0.25">
      <c r="A846" t="str">
        <f>"161125"</f>
        <v>161125</v>
      </c>
      <c r="B846" t="s">
        <v>1261</v>
      </c>
      <c r="C846" t="s">
        <v>249</v>
      </c>
      <c r="D846" s="21" t="s">
        <v>34</v>
      </c>
      <c r="E846" s="21" t="s">
        <v>71</v>
      </c>
      <c r="F846">
        <v>10170158</v>
      </c>
      <c r="G846" t="s">
        <v>1262</v>
      </c>
      <c r="H846" s="21">
        <v>1626.67</v>
      </c>
    </row>
    <row r="847" spans="1:8" customFormat="1" x14ac:dyDescent="0.25">
      <c r="A847" t="str">
        <f>"3321930"</f>
        <v>3321930</v>
      </c>
      <c r="B847" t="s">
        <v>26603</v>
      </c>
      <c r="C847" t="s">
        <v>169</v>
      </c>
      <c r="D847" s="21" t="s">
        <v>34</v>
      </c>
      <c r="E847" s="21" t="s">
        <v>35</v>
      </c>
      <c r="F847">
        <v>10330010</v>
      </c>
      <c r="G847" t="s">
        <v>2831</v>
      </c>
      <c r="H847" s="21">
        <v>1626.17</v>
      </c>
    </row>
    <row r="848" spans="1:8" customFormat="1" x14ac:dyDescent="0.25">
      <c r="A848" t="str">
        <f>"286273"</f>
        <v>286273</v>
      </c>
      <c r="B848" t="s">
        <v>1252</v>
      </c>
      <c r="C848" t="s">
        <v>486</v>
      </c>
      <c r="D848" s="21" t="s">
        <v>34</v>
      </c>
      <c r="E848" s="21" t="s">
        <v>35</v>
      </c>
      <c r="F848">
        <v>3290005</v>
      </c>
      <c r="G848" t="s">
        <v>1253</v>
      </c>
      <c r="H848" s="21">
        <v>1626.17</v>
      </c>
    </row>
    <row r="849" spans="1:8" customFormat="1" x14ac:dyDescent="0.25">
      <c r="A849" t="str">
        <f>"679330"</f>
        <v>679330</v>
      </c>
      <c r="B849" t="s">
        <v>1192</v>
      </c>
      <c r="C849" t="s">
        <v>1193</v>
      </c>
      <c r="D849" s="21" t="s">
        <v>34</v>
      </c>
      <c r="E849" s="21" t="s">
        <v>35</v>
      </c>
      <c r="F849">
        <v>6670248</v>
      </c>
      <c r="G849" t="s">
        <v>1194</v>
      </c>
      <c r="H849" s="21">
        <v>1626.17</v>
      </c>
    </row>
    <row r="850" spans="1:8" customFormat="1" x14ac:dyDescent="0.25">
      <c r="A850" t="str">
        <f>"7814494"</f>
        <v>7814494</v>
      </c>
      <c r="B850" t="s">
        <v>1381</v>
      </c>
      <c r="C850" t="s">
        <v>236</v>
      </c>
      <c r="D850" s="21" t="s">
        <v>34</v>
      </c>
      <c r="E850" s="21" t="s">
        <v>71</v>
      </c>
      <c r="F850">
        <v>1630261</v>
      </c>
      <c r="G850" t="s">
        <v>1382</v>
      </c>
      <c r="H850" s="21">
        <v>1625.67</v>
      </c>
    </row>
    <row r="851" spans="1:8" customFormat="1" x14ac:dyDescent="0.25">
      <c r="A851" t="str">
        <f>"7827068"</f>
        <v>7827068</v>
      </c>
      <c r="B851" t="s">
        <v>1408</v>
      </c>
      <c r="C851" t="s">
        <v>98</v>
      </c>
      <c r="D851" s="21" t="s">
        <v>34</v>
      </c>
      <c r="E851" s="21" t="s">
        <v>35</v>
      </c>
      <c r="F851">
        <v>8910285</v>
      </c>
      <c r="G851" t="s">
        <v>26604</v>
      </c>
      <c r="H851" s="21">
        <v>1625.42</v>
      </c>
    </row>
    <row r="852" spans="1:8" customFormat="1" x14ac:dyDescent="0.25">
      <c r="A852" t="str">
        <f>"704414"</f>
        <v>704414</v>
      </c>
      <c r="B852" t="s">
        <v>1366</v>
      </c>
      <c r="C852" t="s">
        <v>169</v>
      </c>
      <c r="D852" s="21" t="s">
        <v>34</v>
      </c>
      <c r="E852" s="21" t="s">
        <v>71</v>
      </c>
      <c r="F852">
        <v>2700002</v>
      </c>
      <c r="G852" t="s">
        <v>953</v>
      </c>
      <c r="H852" s="21">
        <v>1625.17</v>
      </c>
    </row>
    <row r="853" spans="1:8" customFormat="1" x14ac:dyDescent="0.25">
      <c r="A853" t="str">
        <f>"7284"</f>
        <v>7284</v>
      </c>
      <c r="B853" t="s">
        <v>1221</v>
      </c>
      <c r="C853" t="s">
        <v>269</v>
      </c>
      <c r="D853" s="21" t="s">
        <v>34</v>
      </c>
      <c r="E853" s="21" t="s">
        <v>71</v>
      </c>
      <c r="F853">
        <v>12720104</v>
      </c>
      <c r="G853" t="s">
        <v>224</v>
      </c>
      <c r="H853" s="21">
        <v>1625.17</v>
      </c>
    </row>
    <row r="854" spans="1:8" customFormat="1" x14ac:dyDescent="0.25">
      <c r="A854" t="str">
        <f>"472004"</f>
        <v>472004</v>
      </c>
      <c r="B854" t="s">
        <v>1633</v>
      </c>
      <c r="C854" t="s">
        <v>65</v>
      </c>
      <c r="D854" s="21" t="s">
        <v>34</v>
      </c>
      <c r="E854" s="21" t="s">
        <v>35</v>
      </c>
      <c r="F854">
        <v>10470006</v>
      </c>
      <c r="G854" t="s">
        <v>1225</v>
      </c>
      <c r="H854" s="21">
        <v>1625.17</v>
      </c>
    </row>
    <row r="855" spans="1:8" customFormat="1" x14ac:dyDescent="0.25">
      <c r="A855" t="str">
        <f>"24773"</f>
        <v>24773</v>
      </c>
      <c r="B855" t="s">
        <v>26605</v>
      </c>
      <c r="C855" t="s">
        <v>484</v>
      </c>
      <c r="D855" s="21" t="s">
        <v>34</v>
      </c>
      <c r="E855" s="21" t="s">
        <v>35</v>
      </c>
      <c r="F855">
        <v>10240003</v>
      </c>
      <c r="G855" t="s">
        <v>2940</v>
      </c>
      <c r="H855" s="21">
        <v>1624.67</v>
      </c>
    </row>
    <row r="856" spans="1:8" customFormat="1" x14ac:dyDescent="0.25">
      <c r="A856" t="str">
        <f>"5714658"</f>
        <v>5714658</v>
      </c>
      <c r="B856" t="s">
        <v>26606</v>
      </c>
      <c r="C856" t="s">
        <v>632</v>
      </c>
      <c r="D856" s="21" t="s">
        <v>34</v>
      </c>
      <c r="E856" s="21" t="s">
        <v>35</v>
      </c>
      <c r="F856">
        <v>6540014</v>
      </c>
      <c r="G856" t="s">
        <v>1483</v>
      </c>
      <c r="H856" s="21">
        <v>1624.17</v>
      </c>
    </row>
    <row r="857" spans="1:8" customFormat="1" x14ac:dyDescent="0.25">
      <c r="A857" t="str">
        <f>"081177"</f>
        <v>081177</v>
      </c>
      <c r="B857" t="s">
        <v>1270</v>
      </c>
      <c r="C857" t="s">
        <v>1271</v>
      </c>
      <c r="D857" s="21" t="s">
        <v>34</v>
      </c>
      <c r="E857" s="21" t="s">
        <v>71</v>
      </c>
      <c r="F857">
        <v>6080014</v>
      </c>
      <c r="G857" t="s">
        <v>1272</v>
      </c>
      <c r="H857" s="21">
        <v>1624.04</v>
      </c>
    </row>
    <row r="858" spans="1:8" customFormat="1" x14ac:dyDescent="0.25">
      <c r="A858" t="str">
        <f>"331521"</f>
        <v>331521</v>
      </c>
      <c r="B858" t="s">
        <v>1337</v>
      </c>
      <c r="C858" t="s">
        <v>598</v>
      </c>
      <c r="D858" s="21" t="s">
        <v>34</v>
      </c>
      <c r="E858" s="21" t="s">
        <v>254</v>
      </c>
      <c r="F858">
        <v>10330086</v>
      </c>
      <c r="G858" t="s">
        <v>785</v>
      </c>
      <c r="H858" s="21">
        <v>1623.67</v>
      </c>
    </row>
    <row r="859" spans="1:8" customFormat="1" x14ac:dyDescent="0.25">
      <c r="A859" t="str">
        <f>"91385"</f>
        <v>91385</v>
      </c>
      <c r="B859" t="s">
        <v>1370</v>
      </c>
      <c r="C859" t="s">
        <v>87</v>
      </c>
      <c r="D859" s="21" t="s">
        <v>34</v>
      </c>
      <c r="E859" s="21" t="s">
        <v>71</v>
      </c>
      <c r="F859">
        <v>8910402</v>
      </c>
      <c r="G859" t="s">
        <v>1371</v>
      </c>
      <c r="H859" s="21">
        <v>1623.67</v>
      </c>
    </row>
    <row r="860" spans="1:8" customFormat="1" x14ac:dyDescent="0.25">
      <c r="A860" t="str">
        <f>"951228"</f>
        <v>951228</v>
      </c>
      <c r="B860" t="s">
        <v>26607</v>
      </c>
      <c r="C860" t="s">
        <v>130</v>
      </c>
      <c r="D860" s="21" t="s">
        <v>34</v>
      </c>
      <c r="E860" s="21" t="s">
        <v>71</v>
      </c>
      <c r="F860">
        <v>4360341</v>
      </c>
      <c r="G860" t="s">
        <v>4912</v>
      </c>
      <c r="H860" s="21">
        <v>1623.18</v>
      </c>
    </row>
    <row r="861" spans="1:8" customFormat="1" x14ac:dyDescent="0.25">
      <c r="A861" t="str">
        <f>"781281"</f>
        <v>781281</v>
      </c>
      <c r="B861" t="s">
        <v>1646</v>
      </c>
      <c r="C861" t="s">
        <v>1647</v>
      </c>
      <c r="D861" s="21" t="s">
        <v>34</v>
      </c>
      <c r="E861" s="21" t="s">
        <v>35</v>
      </c>
      <c r="F861">
        <v>8940012</v>
      </c>
      <c r="G861" t="s">
        <v>1648</v>
      </c>
      <c r="H861" s="21">
        <v>1622.67</v>
      </c>
    </row>
    <row r="862" spans="1:8" customFormat="1" x14ac:dyDescent="0.25">
      <c r="A862" t="str">
        <f>"734241"</f>
        <v>734241</v>
      </c>
      <c r="B862" t="s">
        <v>26608</v>
      </c>
      <c r="C862" t="s">
        <v>62</v>
      </c>
      <c r="D862" s="21" t="s">
        <v>34</v>
      </c>
      <c r="E862" s="21" t="s">
        <v>35</v>
      </c>
      <c r="F862">
        <v>1690175</v>
      </c>
      <c r="G862" t="s">
        <v>410</v>
      </c>
      <c r="H862" s="21">
        <v>1622.17</v>
      </c>
    </row>
    <row r="863" spans="1:8" customFormat="1" x14ac:dyDescent="0.25">
      <c r="A863" t="str">
        <f>"94170"</f>
        <v>94170</v>
      </c>
      <c r="B863" t="s">
        <v>1375</v>
      </c>
      <c r="C863" t="s">
        <v>288</v>
      </c>
      <c r="D863" s="21" t="s">
        <v>34</v>
      </c>
      <c r="E863" s="21" t="s">
        <v>71</v>
      </c>
      <c r="F863">
        <v>8940033</v>
      </c>
      <c r="G863" t="s">
        <v>1376</v>
      </c>
      <c r="H863" s="21">
        <v>1621.67</v>
      </c>
    </row>
    <row r="864" spans="1:8" customFormat="1" x14ac:dyDescent="0.25">
      <c r="A864" t="str">
        <f>"292288"</f>
        <v>292288</v>
      </c>
      <c r="B864" t="s">
        <v>1413</v>
      </c>
      <c r="C864" t="s">
        <v>288</v>
      </c>
      <c r="D864" s="21" t="s">
        <v>34</v>
      </c>
      <c r="E864" s="21" t="s">
        <v>71</v>
      </c>
      <c r="F864">
        <v>3290087</v>
      </c>
      <c r="G864" t="s">
        <v>364</v>
      </c>
      <c r="H864" s="21">
        <v>1621.67</v>
      </c>
    </row>
    <row r="865" spans="1:8" customFormat="1" x14ac:dyDescent="0.25">
      <c r="A865" t="str">
        <f>"9112278"</f>
        <v>9112278</v>
      </c>
      <c r="B865" t="s">
        <v>1243</v>
      </c>
      <c r="C865" t="s">
        <v>82</v>
      </c>
      <c r="D865" s="21" t="s">
        <v>34</v>
      </c>
      <c r="E865" s="21" t="s">
        <v>35</v>
      </c>
      <c r="F865">
        <v>8910667</v>
      </c>
      <c r="G865" t="s">
        <v>2361</v>
      </c>
      <c r="H865" s="21">
        <v>1621.17</v>
      </c>
    </row>
    <row r="866" spans="1:8" customFormat="1" x14ac:dyDescent="0.25">
      <c r="A866" t="str">
        <f>"9125041"</f>
        <v>9125041</v>
      </c>
      <c r="B866" t="s">
        <v>1379</v>
      </c>
      <c r="C866" t="s">
        <v>547</v>
      </c>
      <c r="D866" s="21" t="s">
        <v>34</v>
      </c>
      <c r="E866" s="21" t="s">
        <v>71</v>
      </c>
      <c r="F866">
        <v>8910077</v>
      </c>
      <c r="G866" t="s">
        <v>1380</v>
      </c>
      <c r="H866" s="21">
        <v>1620.67</v>
      </c>
    </row>
    <row r="867" spans="1:8" customFormat="1" x14ac:dyDescent="0.25">
      <c r="A867" t="str">
        <f>"3316353"</f>
        <v>3316353</v>
      </c>
      <c r="B867" t="s">
        <v>1360</v>
      </c>
      <c r="C867" t="s">
        <v>288</v>
      </c>
      <c r="D867" s="21" t="s">
        <v>34</v>
      </c>
      <c r="E867" s="21" t="s">
        <v>35</v>
      </c>
      <c r="F867">
        <v>10330080</v>
      </c>
      <c r="G867" t="s">
        <v>5634</v>
      </c>
      <c r="H867" s="21">
        <v>1620.67</v>
      </c>
    </row>
    <row r="868" spans="1:8" customFormat="1" x14ac:dyDescent="0.25">
      <c r="A868" t="str">
        <f>"285411"</f>
        <v>285411</v>
      </c>
      <c r="B868" t="s">
        <v>1655</v>
      </c>
      <c r="C868" t="s">
        <v>43</v>
      </c>
      <c r="D868" s="21" t="s">
        <v>34</v>
      </c>
      <c r="E868" s="21" t="s">
        <v>35</v>
      </c>
      <c r="F868">
        <v>4280681</v>
      </c>
      <c r="G868" t="s">
        <v>1656</v>
      </c>
      <c r="H868" s="21">
        <v>1620.17</v>
      </c>
    </row>
    <row r="869" spans="1:8" customFormat="1" x14ac:dyDescent="0.25">
      <c r="A869" t="str">
        <f>"32699"</f>
        <v>32699</v>
      </c>
      <c r="B869" t="s">
        <v>26609</v>
      </c>
      <c r="C869" t="s">
        <v>169</v>
      </c>
      <c r="D869" s="21" t="s">
        <v>34</v>
      </c>
      <c r="E869" s="21" t="s">
        <v>35</v>
      </c>
      <c r="F869">
        <v>11320005</v>
      </c>
      <c r="G869" t="s">
        <v>120</v>
      </c>
      <c r="H869" s="21">
        <v>1619.93</v>
      </c>
    </row>
    <row r="870" spans="1:8" customFormat="1" x14ac:dyDescent="0.25">
      <c r="A870" t="str">
        <f>"9411524"</f>
        <v>9411524</v>
      </c>
      <c r="B870" t="s">
        <v>2973</v>
      </c>
      <c r="C870" t="s">
        <v>65</v>
      </c>
      <c r="D870" s="21" t="s">
        <v>34</v>
      </c>
      <c r="E870" s="21" t="s">
        <v>35</v>
      </c>
      <c r="F870">
        <v>4370439</v>
      </c>
      <c r="G870" t="s">
        <v>2956</v>
      </c>
      <c r="H870" s="21">
        <v>1619.17</v>
      </c>
    </row>
    <row r="871" spans="1:8" customFormat="1" x14ac:dyDescent="0.25">
      <c r="A871" t="str">
        <f>"139533"</f>
        <v>139533</v>
      </c>
      <c r="B871" t="s">
        <v>1419</v>
      </c>
      <c r="C871" t="s">
        <v>249</v>
      </c>
      <c r="D871" s="21" t="s">
        <v>34</v>
      </c>
      <c r="E871" s="21" t="s">
        <v>71</v>
      </c>
      <c r="F871">
        <v>13130067</v>
      </c>
      <c r="G871" t="s">
        <v>1420</v>
      </c>
      <c r="H871" s="21">
        <v>1619.17</v>
      </c>
    </row>
    <row r="872" spans="1:8" customFormat="1" x14ac:dyDescent="0.25">
      <c r="A872" t="str">
        <f>"5412292"</f>
        <v>5412292</v>
      </c>
      <c r="B872" t="s">
        <v>2149</v>
      </c>
      <c r="C872" t="s">
        <v>2150</v>
      </c>
      <c r="D872" s="21" t="s">
        <v>34</v>
      </c>
      <c r="E872" s="21" t="s">
        <v>71</v>
      </c>
      <c r="F872">
        <v>6540040</v>
      </c>
      <c r="G872" t="s">
        <v>256</v>
      </c>
      <c r="H872" s="21">
        <v>1618.67</v>
      </c>
    </row>
    <row r="873" spans="1:8" customFormat="1" x14ac:dyDescent="0.25">
      <c r="A873" t="str">
        <f>"2510353"</f>
        <v>2510353</v>
      </c>
      <c r="B873" t="s">
        <v>1527</v>
      </c>
      <c r="C873" t="s">
        <v>43</v>
      </c>
      <c r="D873" s="21" t="s">
        <v>34</v>
      </c>
      <c r="E873" s="21" t="s">
        <v>35</v>
      </c>
      <c r="F873">
        <v>2250007</v>
      </c>
      <c r="G873" t="s">
        <v>1137</v>
      </c>
      <c r="H873" s="21">
        <v>1618.17</v>
      </c>
    </row>
    <row r="874" spans="1:8" customFormat="1" x14ac:dyDescent="0.25">
      <c r="A874" t="str">
        <f>"759488"</f>
        <v>759488</v>
      </c>
      <c r="B874" t="s">
        <v>1484</v>
      </c>
      <c r="C874" t="s">
        <v>65</v>
      </c>
      <c r="D874" s="21" t="s">
        <v>34</v>
      </c>
      <c r="E874" s="21" t="s">
        <v>35</v>
      </c>
      <c r="F874">
        <v>1030308</v>
      </c>
      <c r="G874" t="s">
        <v>1485</v>
      </c>
      <c r="H874" s="21">
        <v>1617.92</v>
      </c>
    </row>
    <row r="875" spans="1:8" customFormat="1" x14ac:dyDescent="0.25">
      <c r="A875" t="str">
        <f>"941705"</f>
        <v>941705</v>
      </c>
      <c r="B875" t="s">
        <v>1129</v>
      </c>
      <c r="C875" t="s">
        <v>60</v>
      </c>
      <c r="D875" s="21" t="s">
        <v>34</v>
      </c>
      <c r="E875" s="21" t="s">
        <v>35</v>
      </c>
      <c r="F875">
        <v>8940052</v>
      </c>
      <c r="G875" t="s">
        <v>190</v>
      </c>
      <c r="H875" s="21">
        <v>1617.8</v>
      </c>
    </row>
    <row r="876" spans="1:8" customFormat="1" x14ac:dyDescent="0.25">
      <c r="A876" t="str">
        <f>"85306"</f>
        <v>85306</v>
      </c>
      <c r="B876" t="s">
        <v>1444</v>
      </c>
      <c r="C876" t="s">
        <v>415</v>
      </c>
      <c r="D876" s="21" t="s">
        <v>34</v>
      </c>
      <c r="E876" s="21" t="s">
        <v>35</v>
      </c>
      <c r="F876">
        <v>12851011</v>
      </c>
      <c r="G876" t="s">
        <v>1445</v>
      </c>
      <c r="H876" s="21">
        <v>1617.67</v>
      </c>
    </row>
    <row r="877" spans="1:8" customFormat="1" x14ac:dyDescent="0.25">
      <c r="A877" t="str">
        <f>"5938132"</f>
        <v>5938132</v>
      </c>
      <c r="B877" t="s">
        <v>1416</v>
      </c>
      <c r="C877" t="s">
        <v>1417</v>
      </c>
      <c r="D877" s="21" t="s">
        <v>34</v>
      </c>
      <c r="E877" s="21" t="s">
        <v>35</v>
      </c>
      <c r="F877">
        <v>7590089</v>
      </c>
      <c r="G877" t="s">
        <v>1418</v>
      </c>
      <c r="H877" s="21">
        <v>1617.67</v>
      </c>
    </row>
    <row r="878" spans="1:8" customFormat="1" x14ac:dyDescent="0.25">
      <c r="A878" t="str">
        <f>"4424504"</f>
        <v>4424504</v>
      </c>
      <c r="B878" t="s">
        <v>1427</v>
      </c>
      <c r="C878" t="s">
        <v>1061</v>
      </c>
      <c r="D878" s="21" t="s">
        <v>34</v>
      </c>
      <c r="E878" s="21" t="s">
        <v>1089</v>
      </c>
      <c r="F878">
        <v>12440076</v>
      </c>
      <c r="G878" t="s">
        <v>1750</v>
      </c>
      <c r="H878" s="21">
        <v>1617.67</v>
      </c>
    </row>
    <row r="879" spans="1:8" customFormat="1" x14ac:dyDescent="0.25">
      <c r="A879" t="str">
        <f>"954872"</f>
        <v>954872</v>
      </c>
      <c r="B879" t="s">
        <v>2877</v>
      </c>
      <c r="C879" t="s">
        <v>328</v>
      </c>
      <c r="D879" s="21" t="s">
        <v>34</v>
      </c>
      <c r="E879" s="21" t="s">
        <v>35</v>
      </c>
      <c r="F879">
        <v>8940448</v>
      </c>
      <c r="G879" t="s">
        <v>1691</v>
      </c>
      <c r="H879" s="21">
        <v>1617.3</v>
      </c>
    </row>
    <row r="880" spans="1:8" customFormat="1" x14ac:dyDescent="0.25">
      <c r="A880" t="str">
        <f>"7618980"</f>
        <v>7618980</v>
      </c>
      <c r="B880" t="s">
        <v>1373</v>
      </c>
      <c r="C880" t="s">
        <v>40</v>
      </c>
      <c r="D880" s="21" t="s">
        <v>34</v>
      </c>
      <c r="E880" s="21" t="s">
        <v>35</v>
      </c>
      <c r="F880">
        <v>9500003</v>
      </c>
      <c r="G880" t="s">
        <v>545</v>
      </c>
      <c r="H880" s="21">
        <v>1616.67</v>
      </c>
    </row>
    <row r="881" spans="1:8" customFormat="1" x14ac:dyDescent="0.25">
      <c r="A881" t="str">
        <f>"5910497"</f>
        <v>5910497</v>
      </c>
      <c r="B881" t="s">
        <v>1094</v>
      </c>
      <c r="C881" t="s">
        <v>169</v>
      </c>
      <c r="D881" s="21" t="s">
        <v>34</v>
      </c>
      <c r="E881" s="21" t="s">
        <v>35</v>
      </c>
      <c r="F881">
        <v>7590363</v>
      </c>
      <c r="G881" t="s">
        <v>5167</v>
      </c>
      <c r="H881" s="21">
        <v>1616.67</v>
      </c>
    </row>
    <row r="882" spans="1:8" customFormat="1" x14ac:dyDescent="0.25">
      <c r="A882" t="str">
        <f>"212320"</f>
        <v>212320</v>
      </c>
      <c r="B882" t="s">
        <v>700</v>
      </c>
      <c r="C882" t="s">
        <v>33</v>
      </c>
      <c r="D882" s="21" t="s">
        <v>34</v>
      </c>
      <c r="E882" s="21" t="s">
        <v>71</v>
      </c>
      <c r="F882">
        <v>2210101</v>
      </c>
      <c r="G882" t="s">
        <v>1374</v>
      </c>
      <c r="H882" s="21">
        <v>1616.17</v>
      </c>
    </row>
    <row r="883" spans="1:8" customFormat="1" x14ac:dyDescent="0.25">
      <c r="A883" t="str">
        <f>"3520090"</f>
        <v>3520090</v>
      </c>
      <c r="B883" t="s">
        <v>1338</v>
      </c>
      <c r="C883" t="s">
        <v>87</v>
      </c>
      <c r="D883" s="21" t="s">
        <v>34</v>
      </c>
      <c r="E883" s="21" t="s">
        <v>35</v>
      </c>
      <c r="F883">
        <v>3350060</v>
      </c>
      <c r="G883" t="s">
        <v>38</v>
      </c>
      <c r="H883" s="21">
        <v>1615.79</v>
      </c>
    </row>
    <row r="884" spans="1:8" customFormat="1" x14ac:dyDescent="0.25">
      <c r="A884" t="str">
        <f>"874285"</f>
        <v>874285</v>
      </c>
      <c r="B884" t="s">
        <v>1283</v>
      </c>
      <c r="C884" t="s">
        <v>114</v>
      </c>
      <c r="D884" s="21" t="s">
        <v>34</v>
      </c>
      <c r="E884" s="21" t="s">
        <v>71</v>
      </c>
      <c r="F884">
        <v>10470001</v>
      </c>
      <c r="G884" t="s">
        <v>391</v>
      </c>
      <c r="H884" s="21">
        <v>1615.67</v>
      </c>
    </row>
    <row r="885" spans="1:8" customFormat="1" x14ac:dyDescent="0.25">
      <c r="A885" t="str">
        <f>"547066"</f>
        <v>547066</v>
      </c>
      <c r="B885" t="s">
        <v>14301</v>
      </c>
      <c r="C885" t="s">
        <v>11214</v>
      </c>
      <c r="D885" s="21" t="s">
        <v>34</v>
      </c>
      <c r="E885" s="21" t="s">
        <v>35</v>
      </c>
      <c r="F885">
        <v>3290285</v>
      </c>
      <c r="G885" t="s">
        <v>2234</v>
      </c>
      <c r="H885" s="21">
        <v>1614.92</v>
      </c>
    </row>
    <row r="886" spans="1:8" customFormat="1" x14ac:dyDescent="0.25">
      <c r="A886" t="str">
        <f>"724315"</f>
        <v>724315</v>
      </c>
      <c r="B886" t="s">
        <v>1491</v>
      </c>
      <c r="C886" t="s">
        <v>65</v>
      </c>
      <c r="D886" s="21" t="s">
        <v>34</v>
      </c>
      <c r="E886" s="21" t="s">
        <v>35</v>
      </c>
      <c r="F886">
        <v>10330040</v>
      </c>
      <c r="G886" t="s">
        <v>1492</v>
      </c>
      <c r="H886" s="21">
        <v>1614.8</v>
      </c>
    </row>
    <row r="887" spans="1:8" customFormat="1" x14ac:dyDescent="0.25">
      <c r="A887" t="str">
        <f>"4434491"</f>
        <v>4434491</v>
      </c>
      <c r="B887" t="s">
        <v>1736</v>
      </c>
      <c r="C887" t="s">
        <v>169</v>
      </c>
      <c r="D887" s="21" t="s">
        <v>34</v>
      </c>
      <c r="E887" s="21" t="s">
        <v>35</v>
      </c>
      <c r="F887">
        <v>3560053</v>
      </c>
      <c r="G887" t="s">
        <v>298</v>
      </c>
      <c r="H887" s="21">
        <v>1614.79</v>
      </c>
    </row>
    <row r="888" spans="1:8" customFormat="1" x14ac:dyDescent="0.25">
      <c r="A888" t="str">
        <f>"625341"</f>
        <v>625341</v>
      </c>
      <c r="B888" t="s">
        <v>12492</v>
      </c>
      <c r="C888" t="s">
        <v>149</v>
      </c>
      <c r="D888" s="21" t="s">
        <v>34</v>
      </c>
      <c r="E888" s="21" t="s">
        <v>35</v>
      </c>
      <c r="F888">
        <v>7620069</v>
      </c>
      <c r="G888" t="s">
        <v>5442</v>
      </c>
      <c r="H888" s="21">
        <v>1614.67</v>
      </c>
    </row>
    <row r="889" spans="1:8" customFormat="1" x14ac:dyDescent="0.25">
      <c r="A889" t="str">
        <f>"543961"</f>
        <v>543961</v>
      </c>
      <c r="B889" t="s">
        <v>1248</v>
      </c>
      <c r="C889" t="s">
        <v>867</v>
      </c>
      <c r="D889" s="21" t="s">
        <v>34</v>
      </c>
      <c r="E889" s="21" t="s">
        <v>35</v>
      </c>
      <c r="F889">
        <v>6540128</v>
      </c>
      <c r="G889" t="s">
        <v>1249</v>
      </c>
      <c r="H889" s="21">
        <v>1614.67</v>
      </c>
    </row>
    <row r="890" spans="1:8" customFormat="1" x14ac:dyDescent="0.25">
      <c r="A890" t="str">
        <f>"214000"</f>
        <v>214000</v>
      </c>
      <c r="B890" t="s">
        <v>1364</v>
      </c>
      <c r="C890" t="s">
        <v>151</v>
      </c>
      <c r="D890" s="21" t="s">
        <v>34</v>
      </c>
      <c r="E890" s="21" t="s">
        <v>35</v>
      </c>
      <c r="F890">
        <v>2210081</v>
      </c>
      <c r="G890" t="s">
        <v>1365</v>
      </c>
      <c r="H890" s="21">
        <v>1614.67</v>
      </c>
    </row>
    <row r="891" spans="1:8" customFormat="1" x14ac:dyDescent="0.25">
      <c r="A891" t="str">
        <f>"504670"</f>
        <v>504670</v>
      </c>
      <c r="B891" t="s">
        <v>1169</v>
      </c>
      <c r="C891" t="s">
        <v>55</v>
      </c>
      <c r="D891" s="21" t="s">
        <v>34</v>
      </c>
      <c r="E891" s="21" t="s">
        <v>35</v>
      </c>
      <c r="F891">
        <v>9500025</v>
      </c>
      <c r="G891" t="s">
        <v>665</v>
      </c>
      <c r="H891" s="21">
        <v>1614.17</v>
      </c>
    </row>
    <row r="892" spans="1:8" customFormat="1" x14ac:dyDescent="0.25">
      <c r="A892" t="str">
        <f>"80948"</f>
        <v>80948</v>
      </c>
      <c r="B892" t="s">
        <v>1447</v>
      </c>
      <c r="C892" t="s">
        <v>879</v>
      </c>
      <c r="D892" s="21" t="s">
        <v>34</v>
      </c>
      <c r="E892" s="21" t="s">
        <v>71</v>
      </c>
      <c r="F892">
        <v>7800040</v>
      </c>
      <c r="G892" t="s">
        <v>1448</v>
      </c>
      <c r="H892" s="21">
        <v>1614.05</v>
      </c>
    </row>
    <row r="893" spans="1:8" customFormat="1" x14ac:dyDescent="0.25">
      <c r="A893" t="str">
        <f>"943923"</f>
        <v>943923</v>
      </c>
      <c r="B893" t="s">
        <v>1515</v>
      </c>
      <c r="C893" t="s">
        <v>263</v>
      </c>
      <c r="D893" s="21" t="s">
        <v>34</v>
      </c>
      <c r="E893" s="21" t="s">
        <v>71</v>
      </c>
      <c r="F893">
        <v>3560036</v>
      </c>
      <c r="G893" t="s">
        <v>910</v>
      </c>
      <c r="H893" s="21">
        <v>1614.04</v>
      </c>
    </row>
    <row r="894" spans="1:8" customFormat="1" x14ac:dyDescent="0.25">
      <c r="A894" t="str">
        <f>"855003"</f>
        <v>855003</v>
      </c>
      <c r="B894" t="s">
        <v>1399</v>
      </c>
      <c r="C894" t="s">
        <v>187</v>
      </c>
      <c r="D894" s="21" t="s">
        <v>34</v>
      </c>
      <c r="E894" s="21" t="s">
        <v>35</v>
      </c>
      <c r="F894">
        <v>12850026</v>
      </c>
      <c r="G894" t="s">
        <v>1400</v>
      </c>
      <c r="H894" s="21">
        <v>1613.67</v>
      </c>
    </row>
    <row r="895" spans="1:8" customFormat="1" x14ac:dyDescent="0.25">
      <c r="A895" t="str">
        <f>"953272"</f>
        <v>953272</v>
      </c>
      <c r="B895" t="s">
        <v>1219</v>
      </c>
      <c r="C895" t="s">
        <v>1220</v>
      </c>
      <c r="D895" s="21" t="s">
        <v>34</v>
      </c>
      <c r="E895" s="21" t="s">
        <v>35</v>
      </c>
      <c r="F895">
        <v>8950083</v>
      </c>
      <c r="G895" t="s">
        <v>405</v>
      </c>
      <c r="H895" s="21">
        <v>1613.43</v>
      </c>
    </row>
    <row r="896" spans="1:8" customFormat="1" x14ac:dyDescent="0.25">
      <c r="A896" t="str">
        <f>"9124877"</f>
        <v>9124877</v>
      </c>
      <c r="B896" t="s">
        <v>1689</v>
      </c>
      <c r="C896" t="s">
        <v>87</v>
      </c>
      <c r="D896" s="21" t="s">
        <v>34</v>
      </c>
      <c r="E896" s="21" t="s">
        <v>35</v>
      </c>
      <c r="F896">
        <v>8910077</v>
      </c>
      <c r="G896" t="s">
        <v>1380</v>
      </c>
      <c r="H896" s="21">
        <v>1613.3</v>
      </c>
    </row>
    <row r="897" spans="1:8" customFormat="1" x14ac:dyDescent="0.25">
      <c r="A897" t="str">
        <f>"942812"</f>
        <v>942812</v>
      </c>
      <c r="B897" t="s">
        <v>1334</v>
      </c>
      <c r="C897" t="s">
        <v>33</v>
      </c>
      <c r="D897" s="21" t="s">
        <v>34</v>
      </c>
      <c r="E897" s="21" t="s">
        <v>35</v>
      </c>
      <c r="F897">
        <v>8940326</v>
      </c>
      <c r="G897" t="s">
        <v>659</v>
      </c>
      <c r="H897" s="21">
        <v>1613.17</v>
      </c>
    </row>
    <row r="898" spans="1:8" customFormat="1" x14ac:dyDescent="0.25">
      <c r="A898" t="str">
        <f>"441034"</f>
        <v>441034</v>
      </c>
      <c r="B898" t="s">
        <v>1313</v>
      </c>
      <c r="C898" t="s">
        <v>169</v>
      </c>
      <c r="D898" s="21" t="s">
        <v>34</v>
      </c>
      <c r="E898" s="21" t="s">
        <v>71</v>
      </c>
      <c r="F898">
        <v>12440028</v>
      </c>
      <c r="G898" t="s">
        <v>1314</v>
      </c>
      <c r="H898" s="21">
        <v>1613.17</v>
      </c>
    </row>
    <row r="899" spans="1:8" customFormat="1" x14ac:dyDescent="0.25">
      <c r="A899" t="str">
        <f>"5937141"</f>
        <v>5937141</v>
      </c>
      <c r="B899" t="s">
        <v>1349</v>
      </c>
      <c r="C899" t="s">
        <v>1350</v>
      </c>
      <c r="D899" s="21" t="s">
        <v>34</v>
      </c>
      <c r="E899" s="21" t="s">
        <v>35</v>
      </c>
      <c r="F899">
        <v>7620067</v>
      </c>
      <c r="G899" t="s">
        <v>860</v>
      </c>
      <c r="H899" s="21">
        <v>1613.17</v>
      </c>
    </row>
    <row r="900" spans="1:8" customFormat="1" x14ac:dyDescent="0.25">
      <c r="A900" t="str">
        <f>"7832390"</f>
        <v>7832390</v>
      </c>
      <c r="B900" t="s">
        <v>420</v>
      </c>
      <c r="C900" t="s">
        <v>1266</v>
      </c>
      <c r="D900" s="21" t="s">
        <v>34</v>
      </c>
      <c r="E900" s="21" t="s">
        <v>71</v>
      </c>
      <c r="F900">
        <v>8780905</v>
      </c>
      <c r="G900" t="s">
        <v>1267</v>
      </c>
      <c r="H900" s="21">
        <v>1612.67</v>
      </c>
    </row>
    <row r="901" spans="1:8" customFormat="1" x14ac:dyDescent="0.25">
      <c r="A901" t="str">
        <f>"884172"</f>
        <v>884172</v>
      </c>
      <c r="B901" t="s">
        <v>1540</v>
      </c>
      <c r="C901" t="s">
        <v>65</v>
      </c>
      <c r="D901" s="21" t="s">
        <v>34</v>
      </c>
      <c r="E901" s="21" t="s">
        <v>35</v>
      </c>
      <c r="F901">
        <v>2900028</v>
      </c>
      <c r="G901" t="s">
        <v>1541</v>
      </c>
      <c r="H901" s="21">
        <v>1612.67</v>
      </c>
    </row>
    <row r="902" spans="1:8" customFormat="1" x14ac:dyDescent="0.25">
      <c r="A902" t="str">
        <f>"7514092"</f>
        <v>7514092</v>
      </c>
      <c r="B902" t="s">
        <v>1401</v>
      </c>
      <c r="C902" t="s">
        <v>1402</v>
      </c>
      <c r="D902" s="21" t="s">
        <v>34</v>
      </c>
      <c r="E902" s="21" t="s">
        <v>35</v>
      </c>
      <c r="F902" t="s">
        <v>1403</v>
      </c>
      <c r="G902" t="s">
        <v>1404</v>
      </c>
      <c r="H902" s="21">
        <v>1612.67</v>
      </c>
    </row>
    <row r="903" spans="1:8" customFormat="1" x14ac:dyDescent="0.25">
      <c r="A903" t="str">
        <f>"724609"</f>
        <v>724609</v>
      </c>
      <c r="B903" t="s">
        <v>1208</v>
      </c>
      <c r="C903" t="s">
        <v>147</v>
      </c>
      <c r="D903" s="21" t="s">
        <v>34</v>
      </c>
      <c r="E903" s="21" t="s">
        <v>35</v>
      </c>
      <c r="F903">
        <v>12530117</v>
      </c>
      <c r="G903" t="s">
        <v>1209</v>
      </c>
      <c r="H903" s="21">
        <v>1612.17</v>
      </c>
    </row>
    <row r="904" spans="1:8" customFormat="1" x14ac:dyDescent="0.25">
      <c r="A904" t="str">
        <f>"59823"</f>
        <v>59823</v>
      </c>
      <c r="B904" t="s">
        <v>1659</v>
      </c>
      <c r="C904" t="s">
        <v>87</v>
      </c>
      <c r="D904" s="21" t="s">
        <v>34</v>
      </c>
      <c r="E904" s="21" t="s">
        <v>35</v>
      </c>
      <c r="F904">
        <v>7590071</v>
      </c>
      <c r="G904" t="s">
        <v>2602</v>
      </c>
      <c r="H904" s="21">
        <v>1611.8</v>
      </c>
    </row>
    <row r="905" spans="1:8" customFormat="1" x14ac:dyDescent="0.25">
      <c r="A905" t="str">
        <f>"792074"</f>
        <v>792074</v>
      </c>
      <c r="B905" t="s">
        <v>1497</v>
      </c>
      <c r="C905" t="s">
        <v>198</v>
      </c>
      <c r="D905" s="21" t="s">
        <v>34</v>
      </c>
      <c r="E905" s="21" t="s">
        <v>71</v>
      </c>
      <c r="F905">
        <v>10790045</v>
      </c>
      <c r="G905" t="s">
        <v>1498</v>
      </c>
      <c r="H905" s="21">
        <v>1611.17</v>
      </c>
    </row>
    <row r="906" spans="1:8" customFormat="1" x14ac:dyDescent="0.25">
      <c r="A906" t="str">
        <f>"68394"</f>
        <v>68394</v>
      </c>
      <c r="B906" t="s">
        <v>1523</v>
      </c>
      <c r="C906" t="s">
        <v>109</v>
      </c>
      <c r="D906" s="21" t="s">
        <v>34</v>
      </c>
      <c r="E906" s="21" t="s">
        <v>35</v>
      </c>
      <c r="F906">
        <v>6680011</v>
      </c>
      <c r="G906" t="s">
        <v>1524</v>
      </c>
      <c r="H906" s="21">
        <v>1610.67</v>
      </c>
    </row>
    <row r="907" spans="1:8" customFormat="1" x14ac:dyDescent="0.25">
      <c r="A907" t="str">
        <f>"621156"</f>
        <v>621156</v>
      </c>
      <c r="B907" t="s">
        <v>1349</v>
      </c>
      <c r="C907" t="s">
        <v>171</v>
      </c>
      <c r="D907" s="21" t="s">
        <v>34</v>
      </c>
      <c r="E907" s="21" t="s">
        <v>71</v>
      </c>
      <c r="F907">
        <v>7620111</v>
      </c>
      <c r="G907" t="s">
        <v>1372</v>
      </c>
      <c r="H907" s="21">
        <v>1610.67</v>
      </c>
    </row>
    <row r="908" spans="1:8" customFormat="1" x14ac:dyDescent="0.25">
      <c r="A908" t="str">
        <f>"384597"</f>
        <v>384597</v>
      </c>
      <c r="B908" t="s">
        <v>1383</v>
      </c>
      <c r="C908" t="s">
        <v>285</v>
      </c>
      <c r="D908" s="21" t="s">
        <v>34</v>
      </c>
      <c r="E908" s="21" t="s">
        <v>35</v>
      </c>
      <c r="F908">
        <v>1380136</v>
      </c>
      <c r="G908" t="s">
        <v>1047</v>
      </c>
      <c r="H908" s="21">
        <v>1610.67</v>
      </c>
    </row>
    <row r="909" spans="1:8" customFormat="1" x14ac:dyDescent="0.25">
      <c r="A909" t="str">
        <f>"7821329"</f>
        <v>7821329</v>
      </c>
      <c r="B909" t="s">
        <v>935</v>
      </c>
      <c r="C909" t="s">
        <v>263</v>
      </c>
      <c r="D909" s="21" t="s">
        <v>34</v>
      </c>
      <c r="E909" s="21" t="s">
        <v>71</v>
      </c>
      <c r="F909">
        <v>8780114</v>
      </c>
      <c r="G909" t="s">
        <v>927</v>
      </c>
      <c r="H909" s="21">
        <v>1610.67</v>
      </c>
    </row>
    <row r="910" spans="1:8" customFormat="1" x14ac:dyDescent="0.25">
      <c r="A910" t="str">
        <f>"3321807"</f>
        <v>3321807</v>
      </c>
      <c r="B910" t="s">
        <v>1340</v>
      </c>
      <c r="C910" t="s">
        <v>498</v>
      </c>
      <c r="D910" s="21" t="s">
        <v>34</v>
      </c>
      <c r="E910" s="21" t="s">
        <v>35</v>
      </c>
      <c r="F910">
        <v>10400015</v>
      </c>
      <c r="G910" t="s">
        <v>1095</v>
      </c>
      <c r="H910" s="21">
        <v>1610.17</v>
      </c>
    </row>
    <row r="911" spans="1:8" customFormat="1" x14ac:dyDescent="0.25">
      <c r="A911" t="str">
        <f>"144056"</f>
        <v>144056</v>
      </c>
      <c r="B911" t="s">
        <v>1955</v>
      </c>
      <c r="C911" t="s">
        <v>87</v>
      </c>
      <c r="D911" s="21" t="s">
        <v>34</v>
      </c>
      <c r="E911" s="21" t="s">
        <v>35</v>
      </c>
      <c r="F911">
        <v>12440087</v>
      </c>
      <c r="G911" t="s">
        <v>1860</v>
      </c>
      <c r="H911" s="21">
        <v>1610.17</v>
      </c>
    </row>
    <row r="912" spans="1:8" customFormat="1" x14ac:dyDescent="0.25">
      <c r="A912" t="str">
        <f>"675616"</f>
        <v>675616</v>
      </c>
      <c r="B912" t="s">
        <v>26610</v>
      </c>
      <c r="C912" t="s">
        <v>55</v>
      </c>
      <c r="D912" s="21" t="s">
        <v>34</v>
      </c>
      <c r="E912" s="21" t="s">
        <v>35</v>
      </c>
      <c r="F912">
        <v>6670272</v>
      </c>
      <c r="G912" t="s">
        <v>26568</v>
      </c>
      <c r="H912" s="21">
        <v>1610.17</v>
      </c>
    </row>
    <row r="913" spans="1:8" customFormat="1" x14ac:dyDescent="0.25">
      <c r="A913" t="str">
        <f>"5010234"</f>
        <v>5010234</v>
      </c>
      <c r="B913" t="s">
        <v>1487</v>
      </c>
      <c r="C913" t="s">
        <v>598</v>
      </c>
      <c r="D913" s="21" t="s">
        <v>34</v>
      </c>
      <c r="E913" s="21" t="s">
        <v>71</v>
      </c>
      <c r="F913">
        <v>9500117</v>
      </c>
      <c r="G913" t="s">
        <v>247</v>
      </c>
      <c r="H913" s="21">
        <v>1609.67</v>
      </c>
    </row>
    <row r="914" spans="1:8" customFormat="1" x14ac:dyDescent="0.25">
      <c r="A914" t="str">
        <f>"542259"</f>
        <v>542259</v>
      </c>
      <c r="B914" t="s">
        <v>1550</v>
      </c>
      <c r="C914" t="s">
        <v>55</v>
      </c>
      <c r="D914" s="21" t="s">
        <v>34</v>
      </c>
      <c r="E914" s="21" t="s">
        <v>71</v>
      </c>
      <c r="F914">
        <v>6570014</v>
      </c>
      <c r="G914" t="s">
        <v>72</v>
      </c>
      <c r="H914" s="21">
        <v>1609.67</v>
      </c>
    </row>
    <row r="915" spans="1:8" customFormat="1" x14ac:dyDescent="0.25">
      <c r="A915" t="str">
        <f>"3815879"</f>
        <v>3815879</v>
      </c>
      <c r="B915" t="s">
        <v>1384</v>
      </c>
      <c r="C915" t="s">
        <v>114</v>
      </c>
      <c r="D915" s="21" t="s">
        <v>34</v>
      </c>
      <c r="E915" s="21" t="s">
        <v>71</v>
      </c>
      <c r="F915">
        <v>1380236</v>
      </c>
      <c r="G915" t="s">
        <v>2876</v>
      </c>
      <c r="H915" s="21">
        <v>1609.42</v>
      </c>
    </row>
    <row r="916" spans="1:8" customFormat="1" x14ac:dyDescent="0.25">
      <c r="A916" t="str">
        <f>"7615688"</f>
        <v>7615688</v>
      </c>
      <c r="B916" t="s">
        <v>18413</v>
      </c>
      <c r="C916" t="s">
        <v>33</v>
      </c>
      <c r="D916" s="21" t="s">
        <v>34</v>
      </c>
      <c r="E916" s="21" t="s">
        <v>35</v>
      </c>
      <c r="F916">
        <v>9760168</v>
      </c>
      <c r="G916" t="s">
        <v>179</v>
      </c>
      <c r="H916" s="21">
        <v>1608.92</v>
      </c>
    </row>
    <row r="917" spans="1:8" customFormat="1" x14ac:dyDescent="0.25">
      <c r="A917" t="str">
        <f>"937399"</f>
        <v>937399</v>
      </c>
      <c r="B917" t="s">
        <v>1010</v>
      </c>
      <c r="C917" t="s">
        <v>305</v>
      </c>
      <c r="D917" s="21" t="s">
        <v>34</v>
      </c>
      <c r="E917" s="21" t="s">
        <v>35</v>
      </c>
      <c r="F917">
        <v>8940073</v>
      </c>
      <c r="G917" t="s">
        <v>1085</v>
      </c>
      <c r="H917" s="21">
        <v>1608.17</v>
      </c>
    </row>
    <row r="918" spans="1:8" customFormat="1" x14ac:dyDescent="0.25">
      <c r="A918" t="str">
        <f>"7513920"</f>
        <v>7513920</v>
      </c>
      <c r="B918" t="s">
        <v>1949</v>
      </c>
      <c r="C918" t="s">
        <v>598</v>
      </c>
      <c r="D918" s="21" t="s">
        <v>34</v>
      </c>
      <c r="E918" s="21" t="s">
        <v>254</v>
      </c>
      <c r="F918">
        <v>12440002</v>
      </c>
      <c r="G918" t="s">
        <v>47</v>
      </c>
      <c r="H918" s="21">
        <v>1607.18</v>
      </c>
    </row>
    <row r="919" spans="1:8" customFormat="1" x14ac:dyDescent="0.25">
      <c r="A919" t="str">
        <f>"7850656"</f>
        <v>7850656</v>
      </c>
      <c r="B919" t="s">
        <v>1518</v>
      </c>
      <c r="C919" t="s">
        <v>1519</v>
      </c>
      <c r="D919" s="21" t="s">
        <v>34</v>
      </c>
      <c r="E919" s="21" t="s">
        <v>35</v>
      </c>
      <c r="F919">
        <v>6670003</v>
      </c>
      <c r="G919" t="s">
        <v>1520</v>
      </c>
      <c r="H919" s="21">
        <v>1607.17</v>
      </c>
    </row>
    <row r="920" spans="1:8" customFormat="1" x14ac:dyDescent="0.25">
      <c r="A920" t="str">
        <f>"1838"</f>
        <v>1838</v>
      </c>
      <c r="B920" t="s">
        <v>1593</v>
      </c>
      <c r="C920" t="s">
        <v>209</v>
      </c>
      <c r="D920" s="21" t="s">
        <v>34</v>
      </c>
      <c r="E920" s="21" t="s">
        <v>254</v>
      </c>
      <c r="F920">
        <v>4180041</v>
      </c>
      <c r="G920" t="s">
        <v>1740</v>
      </c>
      <c r="H920" s="21">
        <v>1607.17</v>
      </c>
    </row>
    <row r="921" spans="1:8" customFormat="1" x14ac:dyDescent="0.25">
      <c r="A921" t="str">
        <f>"621886"</f>
        <v>621886</v>
      </c>
      <c r="B921" t="s">
        <v>1318</v>
      </c>
      <c r="C921" t="s">
        <v>98</v>
      </c>
      <c r="D921" s="21" t="s">
        <v>34</v>
      </c>
      <c r="E921" s="21" t="s">
        <v>35</v>
      </c>
      <c r="F921">
        <v>7620040</v>
      </c>
      <c r="G921" t="s">
        <v>1319</v>
      </c>
      <c r="H921" s="21">
        <v>1606.67</v>
      </c>
    </row>
    <row r="922" spans="1:8" customFormat="1" x14ac:dyDescent="0.25">
      <c r="A922" t="str">
        <f>"371681"</f>
        <v>371681</v>
      </c>
      <c r="B922" t="s">
        <v>1717</v>
      </c>
      <c r="C922" t="s">
        <v>285</v>
      </c>
      <c r="D922" s="21" t="s">
        <v>34</v>
      </c>
      <c r="E922" s="21" t="s">
        <v>35</v>
      </c>
      <c r="F922">
        <v>4370024</v>
      </c>
      <c r="G922" t="s">
        <v>1718</v>
      </c>
      <c r="H922" s="21">
        <v>1606.17</v>
      </c>
    </row>
    <row r="923" spans="1:8" customFormat="1" x14ac:dyDescent="0.25">
      <c r="A923" t="str">
        <f>"1413319"</f>
        <v>1413319</v>
      </c>
      <c r="B923" t="s">
        <v>1256</v>
      </c>
      <c r="C923" t="s">
        <v>209</v>
      </c>
      <c r="D923" s="21" t="s">
        <v>34</v>
      </c>
      <c r="E923" s="21" t="s">
        <v>254</v>
      </c>
      <c r="F923">
        <v>13830029</v>
      </c>
      <c r="G923" t="s">
        <v>315</v>
      </c>
      <c r="H923" s="21">
        <v>1606.17</v>
      </c>
    </row>
    <row r="924" spans="1:8" customFormat="1" x14ac:dyDescent="0.25">
      <c r="A924" t="str">
        <f>"348278"</f>
        <v>348278</v>
      </c>
      <c r="B924" t="s">
        <v>650</v>
      </c>
      <c r="C924" t="s">
        <v>1665</v>
      </c>
      <c r="D924" s="21" t="s">
        <v>34</v>
      </c>
      <c r="E924" s="21" t="s">
        <v>71</v>
      </c>
      <c r="F924">
        <v>11340060</v>
      </c>
      <c r="G924" t="s">
        <v>1275</v>
      </c>
      <c r="H924" s="21">
        <v>1606.17</v>
      </c>
    </row>
    <row r="925" spans="1:8" customFormat="1" x14ac:dyDescent="0.25">
      <c r="A925" t="str">
        <f>"082191"</f>
        <v>082191</v>
      </c>
      <c r="B925" t="s">
        <v>465</v>
      </c>
      <c r="C925" t="s">
        <v>867</v>
      </c>
      <c r="D925" s="21" t="s">
        <v>34</v>
      </c>
      <c r="E925" s="21" t="s">
        <v>35</v>
      </c>
      <c r="F925">
        <v>6080043</v>
      </c>
      <c r="G925" t="s">
        <v>961</v>
      </c>
      <c r="H925" s="21">
        <v>1606.17</v>
      </c>
    </row>
    <row r="926" spans="1:8" customFormat="1" x14ac:dyDescent="0.25">
      <c r="A926" t="str">
        <f>"881925"</f>
        <v>881925</v>
      </c>
      <c r="B926" t="s">
        <v>1292</v>
      </c>
      <c r="C926" t="s">
        <v>174</v>
      </c>
      <c r="D926" s="21" t="s">
        <v>34</v>
      </c>
      <c r="E926" s="21" t="s">
        <v>35</v>
      </c>
      <c r="F926">
        <v>6880123</v>
      </c>
      <c r="G926" t="s">
        <v>527</v>
      </c>
      <c r="H926" s="21">
        <v>1606.17</v>
      </c>
    </row>
    <row r="927" spans="1:8" customFormat="1" x14ac:dyDescent="0.25">
      <c r="A927" t="str">
        <f>"4417376"</f>
        <v>4417376</v>
      </c>
      <c r="B927" t="s">
        <v>1290</v>
      </c>
      <c r="C927" t="s">
        <v>96</v>
      </c>
      <c r="D927" s="21" t="s">
        <v>34</v>
      </c>
      <c r="E927" s="21" t="s">
        <v>35</v>
      </c>
      <c r="F927">
        <v>12850057</v>
      </c>
      <c r="G927" t="s">
        <v>1291</v>
      </c>
      <c r="H927" s="21">
        <v>1605.67</v>
      </c>
    </row>
    <row r="928" spans="1:8" customFormat="1" x14ac:dyDescent="0.25">
      <c r="A928" t="str">
        <f>"784017"</f>
        <v>784017</v>
      </c>
      <c r="B928" t="s">
        <v>1398</v>
      </c>
      <c r="C928" t="s">
        <v>817</v>
      </c>
      <c r="D928" s="21" t="s">
        <v>34</v>
      </c>
      <c r="E928" s="21" t="s">
        <v>71</v>
      </c>
      <c r="F928">
        <v>8920111</v>
      </c>
      <c r="G928" t="s">
        <v>1064</v>
      </c>
      <c r="H928" s="21">
        <v>1605.3</v>
      </c>
    </row>
    <row r="929" spans="1:8" customFormat="1" x14ac:dyDescent="0.25">
      <c r="A929" t="str">
        <f>"5939881"</f>
        <v>5939881</v>
      </c>
      <c r="B929" t="s">
        <v>1315</v>
      </c>
      <c r="C929" t="s">
        <v>169</v>
      </c>
      <c r="D929" s="21" t="s">
        <v>34</v>
      </c>
      <c r="E929" s="21" t="s">
        <v>71</v>
      </c>
      <c r="F929">
        <v>7590017</v>
      </c>
      <c r="G929" t="s">
        <v>1316</v>
      </c>
      <c r="H929" s="21">
        <v>1605.17</v>
      </c>
    </row>
    <row r="930" spans="1:8" customFormat="1" x14ac:dyDescent="0.25">
      <c r="A930" t="str">
        <f>"687025"</f>
        <v>687025</v>
      </c>
      <c r="B930" t="s">
        <v>1230</v>
      </c>
      <c r="C930" t="s">
        <v>1231</v>
      </c>
      <c r="D930" s="21" t="s">
        <v>34</v>
      </c>
      <c r="E930" s="21" t="s">
        <v>71</v>
      </c>
      <c r="F930">
        <v>6680102</v>
      </c>
      <c r="G930" t="s">
        <v>1232</v>
      </c>
      <c r="H930" s="21">
        <v>1605.17</v>
      </c>
    </row>
    <row r="931" spans="1:8" customFormat="1" x14ac:dyDescent="0.25">
      <c r="A931" t="str">
        <f>"26235"</f>
        <v>26235</v>
      </c>
      <c r="B931" t="s">
        <v>1673</v>
      </c>
      <c r="C931" t="s">
        <v>171</v>
      </c>
      <c r="D931" s="21" t="s">
        <v>34</v>
      </c>
      <c r="E931" s="21" t="s">
        <v>71</v>
      </c>
      <c r="F931">
        <v>1260054</v>
      </c>
      <c r="G931" t="s">
        <v>358</v>
      </c>
      <c r="H931" s="21">
        <v>1604.05</v>
      </c>
    </row>
    <row r="932" spans="1:8" customFormat="1" x14ac:dyDescent="0.25">
      <c r="A932" t="str">
        <f>"789012"</f>
        <v>789012</v>
      </c>
      <c r="B932" t="s">
        <v>1495</v>
      </c>
      <c r="C932" t="s">
        <v>462</v>
      </c>
      <c r="D932" s="21" t="s">
        <v>34</v>
      </c>
      <c r="E932" s="21" t="s">
        <v>71</v>
      </c>
      <c r="F932">
        <v>8780674</v>
      </c>
      <c r="G932" t="s">
        <v>26585</v>
      </c>
      <c r="H932" s="21">
        <v>1603.67</v>
      </c>
    </row>
    <row r="933" spans="1:8" customFormat="1" x14ac:dyDescent="0.25">
      <c r="A933" t="str">
        <f>"6710421"</f>
        <v>6710421</v>
      </c>
      <c r="B933" t="s">
        <v>1530</v>
      </c>
      <c r="C933" t="s">
        <v>275</v>
      </c>
      <c r="D933" s="21" t="s">
        <v>34</v>
      </c>
      <c r="E933" s="21" t="s">
        <v>35</v>
      </c>
      <c r="F933">
        <v>6680128</v>
      </c>
      <c r="G933" t="s">
        <v>341</v>
      </c>
      <c r="H933" s="21">
        <v>1603.42</v>
      </c>
    </row>
    <row r="934" spans="1:8" customFormat="1" x14ac:dyDescent="0.25">
      <c r="A934" t="str">
        <f>"2510824"</f>
        <v>2510824</v>
      </c>
      <c r="B934" t="s">
        <v>1685</v>
      </c>
      <c r="C934" t="s">
        <v>576</v>
      </c>
      <c r="D934" s="21" t="s">
        <v>34</v>
      </c>
      <c r="E934" s="21" t="s">
        <v>35</v>
      </c>
      <c r="F934">
        <v>2250181</v>
      </c>
      <c r="G934" t="s">
        <v>494</v>
      </c>
      <c r="H934" s="21">
        <v>1603.18</v>
      </c>
    </row>
    <row r="935" spans="1:8" customFormat="1" x14ac:dyDescent="0.25">
      <c r="A935" t="str">
        <f>"441886"</f>
        <v>441886</v>
      </c>
      <c r="B935" t="s">
        <v>1463</v>
      </c>
      <c r="C935" t="s">
        <v>249</v>
      </c>
      <c r="D935" s="21" t="s">
        <v>34</v>
      </c>
      <c r="E935" s="21" t="s">
        <v>71</v>
      </c>
      <c r="F935">
        <v>12440058</v>
      </c>
      <c r="G935" t="s">
        <v>394</v>
      </c>
      <c r="H935" s="21">
        <v>1603.17</v>
      </c>
    </row>
    <row r="936" spans="1:8" customFormat="1" x14ac:dyDescent="0.25">
      <c r="A936" t="str">
        <f>"591315"</f>
        <v>591315</v>
      </c>
      <c r="B936" t="s">
        <v>1504</v>
      </c>
      <c r="C936" t="s">
        <v>33</v>
      </c>
      <c r="D936" s="21" t="s">
        <v>34</v>
      </c>
      <c r="E936" s="21" t="s">
        <v>71</v>
      </c>
      <c r="F936">
        <v>7590050</v>
      </c>
      <c r="G936" t="s">
        <v>473</v>
      </c>
      <c r="H936" s="21">
        <v>1602.67</v>
      </c>
    </row>
    <row r="937" spans="1:8" customFormat="1" x14ac:dyDescent="0.25">
      <c r="A937" t="str">
        <f>"292655"</f>
        <v>292655</v>
      </c>
      <c r="B937" t="s">
        <v>1452</v>
      </c>
      <c r="C937" t="s">
        <v>415</v>
      </c>
      <c r="D937" s="21" t="s">
        <v>34</v>
      </c>
      <c r="E937" s="21" t="s">
        <v>254</v>
      </c>
      <c r="F937">
        <v>3290010</v>
      </c>
      <c r="G937" t="s">
        <v>1453</v>
      </c>
      <c r="H937" s="21">
        <v>1601.67</v>
      </c>
    </row>
    <row r="938" spans="1:8" customFormat="1" x14ac:dyDescent="0.25">
      <c r="A938" t="str">
        <f>"5920032"</f>
        <v>5920032</v>
      </c>
      <c r="B938" t="s">
        <v>12944</v>
      </c>
      <c r="C938" t="s">
        <v>127</v>
      </c>
      <c r="D938" s="21" t="s">
        <v>34</v>
      </c>
      <c r="E938" s="21" t="s">
        <v>35</v>
      </c>
      <c r="F938">
        <v>7590005</v>
      </c>
      <c r="G938" t="s">
        <v>540</v>
      </c>
      <c r="H938" s="21">
        <v>1601.67</v>
      </c>
    </row>
    <row r="939" spans="1:8" customFormat="1" x14ac:dyDescent="0.25">
      <c r="A939" t="str">
        <f>"274739"</f>
        <v>274739</v>
      </c>
      <c r="B939" t="s">
        <v>1831</v>
      </c>
      <c r="C939" t="s">
        <v>1832</v>
      </c>
      <c r="D939" s="21" t="s">
        <v>34</v>
      </c>
      <c r="E939" s="21" t="s">
        <v>35</v>
      </c>
      <c r="F939">
        <v>9760291</v>
      </c>
      <c r="G939" t="s">
        <v>26611</v>
      </c>
      <c r="H939" s="21">
        <v>1601.17</v>
      </c>
    </row>
    <row r="940" spans="1:8" customFormat="1" x14ac:dyDescent="0.25">
      <c r="A940" t="str">
        <f>"5011829"</f>
        <v>5011829</v>
      </c>
      <c r="B940" t="s">
        <v>543</v>
      </c>
      <c r="C940" t="s">
        <v>275</v>
      </c>
      <c r="D940" s="21" t="s">
        <v>34</v>
      </c>
      <c r="E940" s="21" t="s">
        <v>35</v>
      </c>
      <c r="F940">
        <v>9500058</v>
      </c>
      <c r="G940" t="s">
        <v>1585</v>
      </c>
      <c r="H940" s="21">
        <v>1600.29</v>
      </c>
    </row>
    <row r="941" spans="1:8" customFormat="1" x14ac:dyDescent="0.25">
      <c r="A941" t="str">
        <f>"2510281"</f>
        <v>2510281</v>
      </c>
      <c r="B941" t="s">
        <v>1867</v>
      </c>
      <c r="C941" t="s">
        <v>1868</v>
      </c>
      <c r="D941" s="21" t="s">
        <v>34</v>
      </c>
      <c r="E941" s="21" t="s">
        <v>35</v>
      </c>
      <c r="F941">
        <v>2250017</v>
      </c>
      <c r="G941" t="s">
        <v>521</v>
      </c>
      <c r="H941" s="21">
        <v>1600.17</v>
      </c>
    </row>
    <row r="942" spans="1:8" customFormat="1" x14ac:dyDescent="0.25">
      <c r="A942" t="str">
        <f>"31109"</f>
        <v>31109</v>
      </c>
      <c r="B942" t="s">
        <v>1546</v>
      </c>
      <c r="C942" t="s">
        <v>412</v>
      </c>
      <c r="D942" s="21" t="s">
        <v>34</v>
      </c>
      <c r="E942" s="21" t="s">
        <v>71</v>
      </c>
      <c r="F942">
        <v>11310006</v>
      </c>
      <c r="G942" t="s">
        <v>419</v>
      </c>
      <c r="H942" s="21">
        <v>1600.17</v>
      </c>
    </row>
    <row r="943" spans="1:8" customFormat="1" x14ac:dyDescent="0.25">
      <c r="A943" t="str">
        <f>"451698"</f>
        <v>451698</v>
      </c>
      <c r="B943" t="s">
        <v>1037</v>
      </c>
      <c r="C943" t="s">
        <v>187</v>
      </c>
      <c r="D943" s="21" t="s">
        <v>34</v>
      </c>
      <c r="E943" s="21" t="s">
        <v>35</v>
      </c>
      <c r="F943">
        <v>4450571</v>
      </c>
      <c r="G943" t="s">
        <v>188</v>
      </c>
      <c r="H943" s="21">
        <v>1599.67</v>
      </c>
    </row>
    <row r="944" spans="1:8" customFormat="1" x14ac:dyDescent="0.25">
      <c r="A944" t="str">
        <f>"3510586"</f>
        <v>3510586</v>
      </c>
      <c r="B944" t="s">
        <v>1925</v>
      </c>
      <c r="C944" t="s">
        <v>209</v>
      </c>
      <c r="D944" s="21" t="s">
        <v>34</v>
      </c>
      <c r="E944" s="21" t="s">
        <v>71</v>
      </c>
      <c r="F944">
        <v>3350021</v>
      </c>
      <c r="G944" t="s">
        <v>1758</v>
      </c>
      <c r="H944" s="21">
        <v>1599.67</v>
      </c>
    </row>
    <row r="945" spans="1:8" customFormat="1" x14ac:dyDescent="0.25">
      <c r="A945" t="str">
        <f>"581600"</f>
        <v>581600</v>
      </c>
      <c r="B945" t="s">
        <v>1388</v>
      </c>
      <c r="C945" t="s">
        <v>285</v>
      </c>
      <c r="D945" s="21" t="s">
        <v>34</v>
      </c>
      <c r="E945" s="21" t="s">
        <v>35</v>
      </c>
      <c r="F945">
        <v>2580012</v>
      </c>
      <c r="G945" t="s">
        <v>1144</v>
      </c>
      <c r="H945" s="21">
        <v>1599.67</v>
      </c>
    </row>
    <row r="946" spans="1:8" customFormat="1" x14ac:dyDescent="0.25">
      <c r="A946" t="str">
        <f>"4928620"</f>
        <v>4928620</v>
      </c>
      <c r="B946" t="s">
        <v>1565</v>
      </c>
      <c r="C946" t="s">
        <v>1566</v>
      </c>
      <c r="D946" s="21" t="s">
        <v>34</v>
      </c>
      <c r="E946" s="21" t="s">
        <v>71</v>
      </c>
      <c r="F946">
        <v>12490040</v>
      </c>
      <c r="G946" t="s">
        <v>94</v>
      </c>
      <c r="H946" s="21">
        <v>1599.67</v>
      </c>
    </row>
    <row r="947" spans="1:8" customFormat="1" x14ac:dyDescent="0.25">
      <c r="A947" t="str">
        <f>"319148"</f>
        <v>319148</v>
      </c>
      <c r="B947" t="s">
        <v>1396</v>
      </c>
      <c r="C947" t="s">
        <v>1397</v>
      </c>
      <c r="D947" s="21" t="s">
        <v>34</v>
      </c>
      <c r="E947" s="21" t="s">
        <v>35</v>
      </c>
      <c r="F947">
        <v>11310011</v>
      </c>
      <c r="G947" t="s">
        <v>26586</v>
      </c>
      <c r="H947" s="21">
        <v>1599.17</v>
      </c>
    </row>
    <row r="948" spans="1:8" customFormat="1" x14ac:dyDescent="0.25">
      <c r="A948" t="str">
        <f>"755823"</f>
        <v>755823</v>
      </c>
      <c r="B948" t="s">
        <v>1871</v>
      </c>
      <c r="C948" t="s">
        <v>611</v>
      </c>
      <c r="D948" s="21" t="s">
        <v>34</v>
      </c>
      <c r="E948" s="21" t="s">
        <v>71</v>
      </c>
      <c r="F948">
        <v>8771184</v>
      </c>
      <c r="G948" t="s">
        <v>137</v>
      </c>
      <c r="H948" s="21">
        <v>1599.17</v>
      </c>
    </row>
    <row r="949" spans="1:8" customFormat="1" x14ac:dyDescent="0.25">
      <c r="A949" t="str">
        <f>"5911256"</f>
        <v>5911256</v>
      </c>
      <c r="B949" t="s">
        <v>18950</v>
      </c>
      <c r="C949" t="s">
        <v>285</v>
      </c>
      <c r="D949" s="21" t="s">
        <v>34</v>
      </c>
      <c r="E949" s="21" t="s">
        <v>35</v>
      </c>
      <c r="F949">
        <v>7590016</v>
      </c>
      <c r="G949" t="s">
        <v>5653</v>
      </c>
      <c r="H949" s="21">
        <v>1599.17</v>
      </c>
    </row>
    <row r="950" spans="1:8" customFormat="1" x14ac:dyDescent="0.25">
      <c r="A950" t="str">
        <f>"5316601"</f>
        <v>5316601</v>
      </c>
      <c r="B950" t="s">
        <v>26612</v>
      </c>
      <c r="C950" t="s">
        <v>156</v>
      </c>
      <c r="D950" s="21" t="s">
        <v>34</v>
      </c>
      <c r="E950" s="21" t="s">
        <v>35</v>
      </c>
      <c r="F950">
        <v>12530022</v>
      </c>
      <c r="G950" t="s">
        <v>914</v>
      </c>
      <c r="H950" s="21">
        <v>1598.17</v>
      </c>
    </row>
    <row r="951" spans="1:8" customFormat="1" x14ac:dyDescent="0.25">
      <c r="A951" t="str">
        <f>"695112"</f>
        <v>695112</v>
      </c>
      <c r="B951" t="s">
        <v>26613</v>
      </c>
      <c r="C951" t="s">
        <v>26614</v>
      </c>
      <c r="D951" s="21" t="s">
        <v>34</v>
      </c>
      <c r="E951" s="21" t="s">
        <v>71</v>
      </c>
      <c r="F951">
        <v>1690052</v>
      </c>
      <c r="G951" t="s">
        <v>273</v>
      </c>
      <c r="H951" s="21">
        <v>1597.67</v>
      </c>
    </row>
    <row r="952" spans="1:8" customFormat="1" x14ac:dyDescent="0.25">
      <c r="A952" t="str">
        <f>"7818845"</f>
        <v>7818845</v>
      </c>
      <c r="B952" t="s">
        <v>1543</v>
      </c>
      <c r="C952" t="s">
        <v>169</v>
      </c>
      <c r="D952" s="21" t="s">
        <v>34</v>
      </c>
      <c r="E952" s="21" t="s">
        <v>35</v>
      </c>
      <c r="F952">
        <v>8780114</v>
      </c>
      <c r="G952" t="s">
        <v>927</v>
      </c>
      <c r="H952" s="21">
        <v>1597.67</v>
      </c>
    </row>
    <row r="953" spans="1:8" customFormat="1" x14ac:dyDescent="0.25">
      <c r="A953" t="str">
        <f>"4437285"</f>
        <v>4437285</v>
      </c>
      <c r="B953" t="s">
        <v>1163</v>
      </c>
      <c r="C953" t="s">
        <v>43</v>
      </c>
      <c r="D953" s="21" t="s">
        <v>34</v>
      </c>
      <c r="E953" s="21" t="s">
        <v>35</v>
      </c>
      <c r="F953">
        <v>12440009</v>
      </c>
      <c r="G953" t="s">
        <v>1983</v>
      </c>
      <c r="H953" s="21">
        <v>1597.17</v>
      </c>
    </row>
    <row r="954" spans="1:8" customFormat="1" x14ac:dyDescent="0.25">
      <c r="A954" t="str">
        <f>"082005"</f>
        <v>082005</v>
      </c>
      <c r="B954" t="s">
        <v>18832</v>
      </c>
      <c r="C954" t="s">
        <v>58</v>
      </c>
      <c r="D954" s="21" t="s">
        <v>34</v>
      </c>
      <c r="E954" s="21" t="s">
        <v>35</v>
      </c>
      <c r="F954">
        <v>7590020</v>
      </c>
      <c r="G954" t="s">
        <v>5181</v>
      </c>
      <c r="H954" s="21">
        <v>1597.17</v>
      </c>
    </row>
    <row r="955" spans="1:8" customFormat="1" x14ac:dyDescent="0.25">
      <c r="A955" t="str">
        <f>"4429967"</f>
        <v>4429967</v>
      </c>
      <c r="B955" t="s">
        <v>946</v>
      </c>
      <c r="C955" t="s">
        <v>62</v>
      </c>
      <c r="D955" s="21" t="s">
        <v>34</v>
      </c>
      <c r="E955" s="21" t="s">
        <v>71</v>
      </c>
      <c r="F955">
        <v>12440138</v>
      </c>
      <c r="G955" t="s">
        <v>562</v>
      </c>
      <c r="H955" s="21">
        <v>1597.17</v>
      </c>
    </row>
    <row r="956" spans="1:8" customFormat="1" x14ac:dyDescent="0.25">
      <c r="A956" t="str">
        <f>"692317"</f>
        <v>692317</v>
      </c>
      <c r="B956" t="s">
        <v>1843</v>
      </c>
      <c r="C956" t="s">
        <v>198</v>
      </c>
      <c r="D956" s="21" t="s">
        <v>34</v>
      </c>
      <c r="E956" s="21" t="s">
        <v>71</v>
      </c>
      <c r="F956">
        <v>1690221</v>
      </c>
      <c r="G956" t="s">
        <v>303</v>
      </c>
      <c r="H956" s="21">
        <v>1597.17</v>
      </c>
    </row>
    <row r="957" spans="1:8" customFormat="1" x14ac:dyDescent="0.25">
      <c r="A957" t="str">
        <f>"496966"</f>
        <v>496966</v>
      </c>
      <c r="B957" t="s">
        <v>1574</v>
      </c>
      <c r="C957" t="s">
        <v>275</v>
      </c>
      <c r="D957" s="21" t="s">
        <v>34</v>
      </c>
      <c r="E957" s="21" t="s">
        <v>35</v>
      </c>
      <c r="F957">
        <v>12490063</v>
      </c>
      <c r="G957" t="s">
        <v>329</v>
      </c>
      <c r="H957" s="21">
        <v>1596.67</v>
      </c>
    </row>
    <row r="958" spans="1:8" customFormat="1" x14ac:dyDescent="0.25">
      <c r="A958" t="str">
        <f>"865119"</f>
        <v>865119</v>
      </c>
      <c r="B958" t="s">
        <v>1583</v>
      </c>
      <c r="C958" t="s">
        <v>484</v>
      </c>
      <c r="D958" s="21" t="s">
        <v>34</v>
      </c>
      <c r="E958" s="21" t="s">
        <v>35</v>
      </c>
      <c r="F958">
        <v>10470001</v>
      </c>
      <c r="G958" t="s">
        <v>391</v>
      </c>
      <c r="H958" s="21">
        <v>1596.67</v>
      </c>
    </row>
    <row r="959" spans="1:8" customFormat="1" x14ac:dyDescent="0.25">
      <c r="A959" t="str">
        <f>"087580"</f>
        <v>087580</v>
      </c>
      <c r="B959" t="s">
        <v>1575</v>
      </c>
      <c r="C959" t="s">
        <v>65</v>
      </c>
      <c r="D959" s="21" t="s">
        <v>34</v>
      </c>
      <c r="E959" s="21" t="s">
        <v>35</v>
      </c>
      <c r="F959">
        <v>6080043</v>
      </c>
      <c r="G959" t="s">
        <v>961</v>
      </c>
      <c r="H959" s="21">
        <v>1596.67</v>
      </c>
    </row>
    <row r="960" spans="1:8" customFormat="1" x14ac:dyDescent="0.25">
      <c r="A960" t="str">
        <f>"5415243"</f>
        <v>5415243</v>
      </c>
      <c r="B960" t="s">
        <v>1564</v>
      </c>
      <c r="C960" t="s">
        <v>49</v>
      </c>
      <c r="D960" s="21" t="s">
        <v>34</v>
      </c>
      <c r="E960" s="21" t="s">
        <v>35</v>
      </c>
      <c r="F960">
        <v>6540040</v>
      </c>
      <c r="G960" t="s">
        <v>256</v>
      </c>
      <c r="H960" s="21">
        <v>1596.56</v>
      </c>
    </row>
    <row r="961" spans="1:8" customFormat="1" x14ac:dyDescent="0.25">
      <c r="A961" t="str">
        <f>"243334"</f>
        <v>243334</v>
      </c>
      <c r="B961" t="s">
        <v>1432</v>
      </c>
      <c r="C961" t="s">
        <v>62</v>
      </c>
      <c r="D961" s="21" t="s">
        <v>34</v>
      </c>
      <c r="E961" s="21" t="s">
        <v>35</v>
      </c>
      <c r="F961">
        <v>10240020</v>
      </c>
      <c r="G961" t="s">
        <v>870</v>
      </c>
      <c r="H961" s="21">
        <v>1596.3</v>
      </c>
    </row>
    <row r="962" spans="1:8" customFormat="1" x14ac:dyDescent="0.25">
      <c r="A962" t="str">
        <f>"0611004"</f>
        <v>0611004</v>
      </c>
      <c r="B962" t="s">
        <v>1569</v>
      </c>
      <c r="C962" t="s">
        <v>608</v>
      </c>
      <c r="D962" s="21" t="s">
        <v>34</v>
      </c>
      <c r="E962" s="21" t="s">
        <v>35</v>
      </c>
      <c r="F962">
        <v>13060008</v>
      </c>
      <c r="G962" t="s">
        <v>36</v>
      </c>
      <c r="H962" s="21">
        <v>1596.17</v>
      </c>
    </row>
    <row r="963" spans="1:8" customFormat="1" x14ac:dyDescent="0.25">
      <c r="A963" t="str">
        <f>"6210901"</f>
        <v>6210901</v>
      </c>
      <c r="B963" t="s">
        <v>23722</v>
      </c>
      <c r="C963" t="s">
        <v>486</v>
      </c>
      <c r="D963" s="21" t="s">
        <v>34</v>
      </c>
      <c r="E963" s="21" t="s">
        <v>35</v>
      </c>
      <c r="F963">
        <v>7620015</v>
      </c>
      <c r="G963" t="s">
        <v>377</v>
      </c>
      <c r="H963" s="21">
        <v>1595.67</v>
      </c>
    </row>
    <row r="964" spans="1:8" customFormat="1" x14ac:dyDescent="0.25">
      <c r="A964" t="str">
        <f>"6211714"</f>
        <v>6211714</v>
      </c>
      <c r="B964" t="s">
        <v>257</v>
      </c>
      <c r="C964" t="s">
        <v>130</v>
      </c>
      <c r="D964" s="21" t="s">
        <v>34</v>
      </c>
      <c r="E964" s="21" t="s">
        <v>35</v>
      </c>
      <c r="F964">
        <v>7590018</v>
      </c>
      <c r="G964" t="s">
        <v>2807</v>
      </c>
      <c r="H964" s="21">
        <v>1595.67</v>
      </c>
    </row>
    <row r="965" spans="1:8" customFormat="1" x14ac:dyDescent="0.25">
      <c r="A965" t="str">
        <f>"775235"</f>
        <v>775235</v>
      </c>
      <c r="B965" t="s">
        <v>1424</v>
      </c>
      <c r="C965" t="s">
        <v>1425</v>
      </c>
      <c r="D965" s="21" t="s">
        <v>34</v>
      </c>
      <c r="E965" s="21" t="s">
        <v>254</v>
      </c>
      <c r="F965">
        <v>8770865</v>
      </c>
      <c r="G965" t="s">
        <v>1426</v>
      </c>
      <c r="H965" s="21">
        <v>1595.42</v>
      </c>
    </row>
    <row r="966" spans="1:8" customFormat="1" x14ac:dyDescent="0.25">
      <c r="A966" t="str">
        <f>"9B100"</f>
        <v>9B100</v>
      </c>
      <c r="B966" t="s">
        <v>1779</v>
      </c>
      <c r="C966" t="s">
        <v>239</v>
      </c>
      <c r="D966" s="21" t="s">
        <v>34</v>
      </c>
      <c r="E966" s="21" t="s">
        <v>35</v>
      </c>
      <c r="F966" t="s">
        <v>590</v>
      </c>
      <c r="G966" t="s">
        <v>591</v>
      </c>
      <c r="H966" s="21">
        <v>1594.43</v>
      </c>
    </row>
    <row r="967" spans="1:8" customFormat="1" x14ac:dyDescent="0.25">
      <c r="A967" t="str">
        <f>"101280"</f>
        <v>101280</v>
      </c>
      <c r="B967" t="s">
        <v>1640</v>
      </c>
      <c r="C967" t="s">
        <v>127</v>
      </c>
      <c r="D967" s="21" t="s">
        <v>34</v>
      </c>
      <c r="E967" s="21" t="s">
        <v>35</v>
      </c>
      <c r="F967">
        <v>6100032</v>
      </c>
      <c r="G967" t="s">
        <v>1641</v>
      </c>
      <c r="H967" s="21">
        <v>1594.3</v>
      </c>
    </row>
    <row r="968" spans="1:8" customFormat="1" x14ac:dyDescent="0.25">
      <c r="A968" t="str">
        <f>"253566"</f>
        <v>253566</v>
      </c>
      <c r="B968" t="s">
        <v>1547</v>
      </c>
      <c r="C968" t="s">
        <v>328</v>
      </c>
      <c r="D968" s="21" t="s">
        <v>34</v>
      </c>
      <c r="E968" s="21" t="s">
        <v>35</v>
      </c>
      <c r="F968">
        <v>2250181</v>
      </c>
      <c r="G968" t="s">
        <v>494</v>
      </c>
      <c r="H968" s="21">
        <v>1594.17</v>
      </c>
    </row>
    <row r="969" spans="1:8" customFormat="1" x14ac:dyDescent="0.25">
      <c r="A969" t="str">
        <f>"6923285"</f>
        <v>6923285</v>
      </c>
      <c r="B969" t="s">
        <v>970</v>
      </c>
      <c r="C969" t="s">
        <v>43</v>
      </c>
      <c r="D969" s="21" t="s">
        <v>34</v>
      </c>
      <c r="E969" s="21" t="s">
        <v>35</v>
      </c>
      <c r="F969">
        <v>4180613</v>
      </c>
      <c r="G969" t="s">
        <v>422</v>
      </c>
      <c r="H969" s="21">
        <v>1593.67</v>
      </c>
    </row>
    <row r="970" spans="1:8" customFormat="1" x14ac:dyDescent="0.25">
      <c r="A970" t="str">
        <f>"611328"</f>
        <v>611328</v>
      </c>
      <c r="B970" t="s">
        <v>1094</v>
      </c>
      <c r="C970" t="s">
        <v>462</v>
      </c>
      <c r="D970" s="21" t="s">
        <v>34</v>
      </c>
      <c r="E970" s="21" t="s">
        <v>71</v>
      </c>
      <c r="F970">
        <v>9610002</v>
      </c>
      <c r="G970" t="s">
        <v>75</v>
      </c>
      <c r="H970" s="21">
        <v>1593.17</v>
      </c>
    </row>
    <row r="971" spans="1:8" customFormat="1" x14ac:dyDescent="0.25">
      <c r="A971" t="str">
        <f>"572535"</f>
        <v>572535</v>
      </c>
      <c r="B971" t="s">
        <v>1628</v>
      </c>
      <c r="C971" t="s">
        <v>60</v>
      </c>
      <c r="D971" s="21" t="s">
        <v>34</v>
      </c>
      <c r="E971" s="21" t="s">
        <v>35</v>
      </c>
      <c r="F971">
        <v>6570030</v>
      </c>
      <c r="G971" t="s">
        <v>851</v>
      </c>
      <c r="H971" s="21">
        <v>1592.67</v>
      </c>
    </row>
    <row r="972" spans="1:8" customFormat="1" x14ac:dyDescent="0.25">
      <c r="A972" t="str">
        <f>"217311"</f>
        <v>217311</v>
      </c>
      <c r="B972" t="s">
        <v>1460</v>
      </c>
      <c r="C972" t="s">
        <v>124</v>
      </c>
      <c r="D972" s="21" t="s">
        <v>34</v>
      </c>
      <c r="E972" s="21" t="s">
        <v>71</v>
      </c>
      <c r="F972">
        <v>2710072</v>
      </c>
      <c r="G972" t="s">
        <v>1461</v>
      </c>
      <c r="H972" s="21">
        <v>1592.67</v>
      </c>
    </row>
    <row r="973" spans="1:8" customFormat="1" x14ac:dyDescent="0.25">
      <c r="A973" t="str">
        <f>"3511420"</f>
        <v>3511420</v>
      </c>
      <c r="B973" t="s">
        <v>1473</v>
      </c>
      <c r="C973" t="s">
        <v>1474</v>
      </c>
      <c r="D973" s="21" t="s">
        <v>34</v>
      </c>
      <c r="E973" s="21" t="s">
        <v>35</v>
      </c>
      <c r="F973">
        <v>3350049</v>
      </c>
      <c r="G973" t="s">
        <v>1475</v>
      </c>
      <c r="H973" s="21">
        <v>1592.67</v>
      </c>
    </row>
    <row r="974" spans="1:8" customFormat="1" x14ac:dyDescent="0.25">
      <c r="A974" t="str">
        <f>"9113303"</f>
        <v>9113303</v>
      </c>
      <c r="B974" t="s">
        <v>1405</v>
      </c>
      <c r="C974" t="s">
        <v>267</v>
      </c>
      <c r="D974" s="21" t="s">
        <v>34</v>
      </c>
      <c r="E974" s="21" t="s">
        <v>71</v>
      </c>
      <c r="F974">
        <v>8910434</v>
      </c>
      <c r="G974" t="s">
        <v>681</v>
      </c>
      <c r="H974" s="21">
        <v>1592.55</v>
      </c>
    </row>
    <row r="975" spans="1:8" customFormat="1" x14ac:dyDescent="0.25">
      <c r="A975" t="str">
        <f>"4475"</f>
        <v>4475</v>
      </c>
      <c r="B975" t="s">
        <v>1247</v>
      </c>
      <c r="C975" t="s">
        <v>156</v>
      </c>
      <c r="D975" s="21" t="s">
        <v>34</v>
      </c>
      <c r="E975" s="21" t="s">
        <v>71</v>
      </c>
      <c r="F975">
        <v>12440002</v>
      </c>
      <c r="G975" t="s">
        <v>47</v>
      </c>
      <c r="H975" s="21">
        <v>1592.17</v>
      </c>
    </row>
    <row r="976" spans="1:8" customFormat="1" x14ac:dyDescent="0.25">
      <c r="A976" t="str">
        <f>"686396"</f>
        <v>686396</v>
      </c>
      <c r="B976" t="s">
        <v>1584</v>
      </c>
      <c r="C976" t="s">
        <v>1474</v>
      </c>
      <c r="D976" s="21" t="s">
        <v>34</v>
      </c>
      <c r="E976" s="21" t="s">
        <v>35</v>
      </c>
      <c r="F976">
        <v>6680091</v>
      </c>
      <c r="G976" t="s">
        <v>693</v>
      </c>
      <c r="H976" s="21">
        <v>1592.17</v>
      </c>
    </row>
    <row r="977" spans="1:8" customFormat="1" x14ac:dyDescent="0.25">
      <c r="A977" t="str">
        <f>"9415550"</f>
        <v>9415550</v>
      </c>
      <c r="B977" t="s">
        <v>1642</v>
      </c>
      <c r="C977" t="s">
        <v>249</v>
      </c>
      <c r="D977" s="21" t="s">
        <v>34</v>
      </c>
      <c r="E977" s="21" t="s">
        <v>71</v>
      </c>
      <c r="F977">
        <v>1740020</v>
      </c>
      <c r="G977" t="s">
        <v>881</v>
      </c>
      <c r="H977" s="21">
        <v>1591.67</v>
      </c>
    </row>
    <row r="978" spans="1:8" customFormat="1" x14ac:dyDescent="0.25">
      <c r="A978" t="str">
        <f>"902916"</f>
        <v>902916</v>
      </c>
      <c r="B978" t="s">
        <v>1282</v>
      </c>
      <c r="C978" t="s">
        <v>211</v>
      </c>
      <c r="D978" s="21" t="s">
        <v>34</v>
      </c>
      <c r="E978" s="21" t="s">
        <v>35</v>
      </c>
      <c r="F978">
        <v>2900039</v>
      </c>
      <c r="G978" t="s">
        <v>26615</v>
      </c>
      <c r="H978" s="21">
        <v>1591.67</v>
      </c>
    </row>
    <row r="979" spans="1:8" customFormat="1" x14ac:dyDescent="0.25">
      <c r="A979" t="str">
        <f>"62126"</f>
        <v>62126</v>
      </c>
      <c r="B979" t="s">
        <v>1394</v>
      </c>
      <c r="C979" t="s">
        <v>415</v>
      </c>
      <c r="D979" s="21" t="s">
        <v>34</v>
      </c>
      <c r="E979" s="21" t="s">
        <v>71</v>
      </c>
      <c r="F979">
        <v>7620111</v>
      </c>
      <c r="G979" t="s">
        <v>1372</v>
      </c>
      <c r="H979" s="21">
        <v>1591.17</v>
      </c>
    </row>
    <row r="980" spans="1:8" customFormat="1" x14ac:dyDescent="0.25">
      <c r="A980" t="str">
        <f>"585868"</f>
        <v>585868</v>
      </c>
      <c r="B980" t="s">
        <v>1996</v>
      </c>
      <c r="C980" t="s">
        <v>812</v>
      </c>
      <c r="D980" s="21" t="s">
        <v>34</v>
      </c>
      <c r="E980" s="21" t="s">
        <v>35</v>
      </c>
      <c r="F980">
        <v>2710042</v>
      </c>
      <c r="G980" t="s">
        <v>1997</v>
      </c>
      <c r="H980" s="21">
        <v>1590.79</v>
      </c>
    </row>
    <row r="981" spans="1:8" customFormat="1" x14ac:dyDescent="0.25">
      <c r="A981" t="str">
        <f>"444866"</f>
        <v>444866</v>
      </c>
      <c r="B981" t="s">
        <v>1637</v>
      </c>
      <c r="C981" t="s">
        <v>328</v>
      </c>
      <c r="D981" s="21" t="s">
        <v>34</v>
      </c>
      <c r="E981" s="21" t="s">
        <v>35</v>
      </c>
      <c r="F981">
        <v>12440084</v>
      </c>
      <c r="G981" t="s">
        <v>1014</v>
      </c>
      <c r="H981" s="21">
        <v>1590.67</v>
      </c>
    </row>
    <row r="982" spans="1:8" customFormat="1" x14ac:dyDescent="0.25">
      <c r="A982" t="str">
        <f>"25340"</f>
        <v>25340</v>
      </c>
      <c r="B982" t="s">
        <v>1968</v>
      </c>
      <c r="C982" t="s">
        <v>121</v>
      </c>
      <c r="D982" s="21" t="s">
        <v>34</v>
      </c>
      <c r="E982" s="21" t="s">
        <v>35</v>
      </c>
      <c r="F982">
        <v>2250213</v>
      </c>
      <c r="G982" t="s">
        <v>1969</v>
      </c>
      <c r="H982" s="21">
        <v>1590.67</v>
      </c>
    </row>
    <row r="983" spans="1:8" customFormat="1" x14ac:dyDescent="0.25">
      <c r="A983" t="str">
        <f>"7713650"</f>
        <v>7713650</v>
      </c>
      <c r="B983" t="s">
        <v>1512</v>
      </c>
      <c r="C983" t="s">
        <v>1513</v>
      </c>
      <c r="D983" s="21" t="s">
        <v>34</v>
      </c>
      <c r="E983" s="21" t="s">
        <v>35</v>
      </c>
      <c r="F983">
        <v>8750141</v>
      </c>
      <c r="G983" t="s">
        <v>1514</v>
      </c>
      <c r="H983" s="21">
        <v>1590.17</v>
      </c>
    </row>
    <row r="984" spans="1:8" customFormat="1" x14ac:dyDescent="0.25">
      <c r="A984" t="str">
        <f>"301326"</f>
        <v>301326</v>
      </c>
      <c r="B984" t="s">
        <v>1378</v>
      </c>
      <c r="C984" t="s">
        <v>109</v>
      </c>
      <c r="D984" s="21" t="s">
        <v>34</v>
      </c>
      <c r="E984" s="21" t="s">
        <v>71</v>
      </c>
      <c r="F984">
        <v>11300016</v>
      </c>
      <c r="G984" t="s">
        <v>157</v>
      </c>
      <c r="H984" s="21">
        <v>1590.17</v>
      </c>
    </row>
    <row r="985" spans="1:8" customFormat="1" x14ac:dyDescent="0.25">
      <c r="A985" t="str">
        <f>"9527372"</f>
        <v>9527372</v>
      </c>
      <c r="B985" t="s">
        <v>1544</v>
      </c>
      <c r="C985" t="s">
        <v>1545</v>
      </c>
      <c r="D985" s="21" t="s">
        <v>34</v>
      </c>
      <c r="E985" s="21" t="s">
        <v>35</v>
      </c>
      <c r="F985">
        <v>8950553</v>
      </c>
      <c r="G985" t="s">
        <v>1058</v>
      </c>
      <c r="H985" s="21">
        <v>1589.92</v>
      </c>
    </row>
    <row r="986" spans="1:8" customFormat="1" x14ac:dyDescent="0.25">
      <c r="A986" t="str">
        <f>"5711141"</f>
        <v>5711141</v>
      </c>
      <c r="B986" t="s">
        <v>1435</v>
      </c>
      <c r="C986" t="s">
        <v>817</v>
      </c>
      <c r="D986" s="21" t="s">
        <v>34</v>
      </c>
      <c r="E986" s="21" t="s">
        <v>35</v>
      </c>
      <c r="F986">
        <v>6570190</v>
      </c>
      <c r="G986" t="s">
        <v>622</v>
      </c>
      <c r="H986" s="21">
        <v>1589.67</v>
      </c>
    </row>
    <row r="987" spans="1:8" customFormat="1" x14ac:dyDescent="0.25">
      <c r="A987" t="str">
        <f>"5930103"</f>
        <v>5930103</v>
      </c>
      <c r="B987" t="s">
        <v>1528</v>
      </c>
      <c r="C987" t="s">
        <v>1529</v>
      </c>
      <c r="D987" s="21" t="s">
        <v>34</v>
      </c>
      <c r="E987" s="21" t="s">
        <v>35</v>
      </c>
      <c r="F987">
        <v>7590008</v>
      </c>
      <c r="G987" t="s">
        <v>110</v>
      </c>
      <c r="H987" s="21">
        <v>1589.67</v>
      </c>
    </row>
    <row r="988" spans="1:8" customFormat="1" x14ac:dyDescent="0.25">
      <c r="A988" t="str">
        <f>"343984"</f>
        <v>343984</v>
      </c>
      <c r="B988" t="s">
        <v>1454</v>
      </c>
      <c r="C988" t="s">
        <v>209</v>
      </c>
      <c r="D988" s="21" t="s">
        <v>34</v>
      </c>
      <c r="E988" s="21" t="s">
        <v>71</v>
      </c>
      <c r="F988">
        <v>11340014</v>
      </c>
      <c r="G988" t="s">
        <v>1455</v>
      </c>
      <c r="H988" s="21">
        <v>1589.67</v>
      </c>
    </row>
    <row r="989" spans="1:8" customFormat="1" x14ac:dyDescent="0.25">
      <c r="A989" t="str">
        <f>"578145"</f>
        <v>578145</v>
      </c>
      <c r="B989" t="s">
        <v>11458</v>
      </c>
      <c r="C989" t="s">
        <v>253</v>
      </c>
      <c r="D989" s="21" t="s">
        <v>34</v>
      </c>
      <c r="E989" s="21" t="s">
        <v>35</v>
      </c>
      <c r="F989">
        <v>1380005</v>
      </c>
      <c r="G989" t="s">
        <v>3119</v>
      </c>
      <c r="H989" s="21">
        <v>1589.67</v>
      </c>
    </row>
    <row r="990" spans="1:8" customFormat="1" x14ac:dyDescent="0.25">
      <c r="A990" t="str">
        <f>"9514790"</f>
        <v>9514790</v>
      </c>
      <c r="B990" t="s">
        <v>2464</v>
      </c>
      <c r="C990" t="s">
        <v>388</v>
      </c>
      <c r="D990" s="21" t="s">
        <v>34</v>
      </c>
      <c r="E990" s="21" t="s">
        <v>35</v>
      </c>
      <c r="F990">
        <v>8950330</v>
      </c>
      <c r="G990" t="s">
        <v>794</v>
      </c>
      <c r="H990" s="21">
        <v>1589.55</v>
      </c>
    </row>
    <row r="991" spans="1:8" customFormat="1" x14ac:dyDescent="0.25">
      <c r="A991" t="str">
        <f>"699679"</f>
        <v>699679</v>
      </c>
      <c r="B991" t="s">
        <v>1215</v>
      </c>
      <c r="C991" t="s">
        <v>209</v>
      </c>
      <c r="D991" s="21" t="s">
        <v>34</v>
      </c>
      <c r="E991" s="21" t="s">
        <v>35</v>
      </c>
      <c r="F991">
        <v>1690207</v>
      </c>
      <c r="G991" t="s">
        <v>4232</v>
      </c>
      <c r="H991" s="21">
        <v>1589.17</v>
      </c>
    </row>
    <row r="992" spans="1:8" customFormat="1" x14ac:dyDescent="0.25">
      <c r="A992" t="str">
        <f>"55548"</f>
        <v>55548</v>
      </c>
      <c r="B992" t="s">
        <v>1580</v>
      </c>
      <c r="C992" t="s">
        <v>750</v>
      </c>
      <c r="D992" s="21" t="s">
        <v>34</v>
      </c>
      <c r="E992" s="21" t="s">
        <v>35</v>
      </c>
      <c r="F992">
        <v>6550005</v>
      </c>
      <c r="G992" t="s">
        <v>1581</v>
      </c>
      <c r="H992" s="21">
        <v>1589.17</v>
      </c>
    </row>
    <row r="993" spans="1:8" customFormat="1" x14ac:dyDescent="0.25">
      <c r="A993" t="str">
        <f>"761003"</f>
        <v>761003</v>
      </c>
      <c r="B993" t="s">
        <v>1245</v>
      </c>
      <c r="C993" t="s">
        <v>124</v>
      </c>
      <c r="D993" s="21" t="s">
        <v>34</v>
      </c>
      <c r="E993" s="21" t="s">
        <v>254</v>
      </c>
      <c r="F993">
        <v>9760168</v>
      </c>
      <c r="G993" t="s">
        <v>179</v>
      </c>
      <c r="H993" s="21">
        <v>1589.17</v>
      </c>
    </row>
    <row r="994" spans="1:8" customFormat="1" x14ac:dyDescent="0.25">
      <c r="A994" t="str">
        <f>"9110935"</f>
        <v>9110935</v>
      </c>
      <c r="B994" t="s">
        <v>1604</v>
      </c>
      <c r="C994" t="s">
        <v>1605</v>
      </c>
      <c r="D994" s="21" t="s">
        <v>34</v>
      </c>
      <c r="E994" s="21" t="s">
        <v>254</v>
      </c>
      <c r="F994">
        <v>8911050</v>
      </c>
      <c r="G994" t="s">
        <v>1606</v>
      </c>
      <c r="H994" s="21">
        <v>1589</v>
      </c>
    </row>
    <row r="995" spans="1:8" customFormat="1" x14ac:dyDescent="0.25">
      <c r="A995" t="str">
        <f>"933274"</f>
        <v>933274</v>
      </c>
      <c r="B995" t="s">
        <v>1343</v>
      </c>
      <c r="C995" t="s">
        <v>121</v>
      </c>
      <c r="D995" s="21" t="s">
        <v>34</v>
      </c>
      <c r="E995" s="21" t="s">
        <v>35</v>
      </c>
      <c r="F995">
        <v>8930368</v>
      </c>
      <c r="G995" t="s">
        <v>508</v>
      </c>
      <c r="H995" s="21">
        <v>1588.8</v>
      </c>
    </row>
    <row r="996" spans="1:8" customFormat="1" x14ac:dyDescent="0.25">
      <c r="A996" t="str">
        <f>"6915490"</f>
        <v>6915490</v>
      </c>
      <c r="B996" t="s">
        <v>26616</v>
      </c>
      <c r="C996" t="s">
        <v>60</v>
      </c>
      <c r="D996" s="21" t="s">
        <v>34</v>
      </c>
      <c r="E996" s="21" t="s">
        <v>35</v>
      </c>
      <c r="F996">
        <v>1690186</v>
      </c>
      <c r="G996" t="s">
        <v>438</v>
      </c>
      <c r="H996" s="21">
        <v>1588.67</v>
      </c>
    </row>
    <row r="997" spans="1:8" customFormat="1" x14ac:dyDescent="0.25">
      <c r="A997" t="str">
        <f>"941325"</f>
        <v>941325</v>
      </c>
      <c r="B997" t="s">
        <v>13522</v>
      </c>
      <c r="C997" t="s">
        <v>484</v>
      </c>
      <c r="D997" s="21" t="s">
        <v>34</v>
      </c>
      <c r="E997" s="21" t="s">
        <v>35</v>
      </c>
      <c r="F997">
        <v>4450108</v>
      </c>
      <c r="G997" t="s">
        <v>2354</v>
      </c>
      <c r="H997" s="21">
        <v>1588.67</v>
      </c>
    </row>
    <row r="998" spans="1:8" customFormat="1" x14ac:dyDescent="0.25">
      <c r="A998" t="str">
        <f>"676120"</f>
        <v>676120</v>
      </c>
      <c r="B998" t="s">
        <v>788</v>
      </c>
      <c r="C998" t="s">
        <v>121</v>
      </c>
      <c r="D998" s="21" t="s">
        <v>34</v>
      </c>
      <c r="E998" s="21" t="s">
        <v>35</v>
      </c>
      <c r="F998">
        <v>6670027</v>
      </c>
      <c r="G998" t="s">
        <v>2791</v>
      </c>
      <c r="H998" s="21">
        <v>1588.17</v>
      </c>
    </row>
    <row r="999" spans="1:8" customFormat="1" x14ac:dyDescent="0.25">
      <c r="A999" t="str">
        <f>"777392"</f>
        <v>777392</v>
      </c>
      <c r="B999" t="s">
        <v>1599</v>
      </c>
      <c r="C999" t="s">
        <v>305</v>
      </c>
      <c r="D999" s="21" t="s">
        <v>34</v>
      </c>
      <c r="E999" s="21" t="s">
        <v>35</v>
      </c>
      <c r="F999">
        <v>8770474</v>
      </c>
      <c r="G999" t="s">
        <v>1600</v>
      </c>
      <c r="H999" s="21">
        <v>1588.17</v>
      </c>
    </row>
    <row r="1000" spans="1:8" customFormat="1" x14ac:dyDescent="0.25">
      <c r="A1000" t="str">
        <f>"622908"</f>
        <v>622908</v>
      </c>
      <c r="B1000" t="s">
        <v>1978</v>
      </c>
      <c r="C1000" t="s">
        <v>109</v>
      </c>
      <c r="D1000" s="21" t="s">
        <v>34</v>
      </c>
      <c r="E1000" s="21" t="s">
        <v>35</v>
      </c>
      <c r="F1000">
        <v>7620027</v>
      </c>
      <c r="G1000" t="s">
        <v>980</v>
      </c>
      <c r="H1000" s="21">
        <v>1588.17</v>
      </c>
    </row>
    <row r="1001" spans="1:8" customFormat="1" x14ac:dyDescent="0.25">
      <c r="A1001" t="str">
        <f>"286956"</f>
        <v>286956</v>
      </c>
      <c r="B1001" t="s">
        <v>1558</v>
      </c>
      <c r="C1001" t="s">
        <v>139</v>
      </c>
      <c r="D1001" s="21" t="s">
        <v>34</v>
      </c>
      <c r="E1001" s="21" t="s">
        <v>35</v>
      </c>
      <c r="F1001">
        <v>4280045</v>
      </c>
      <c r="G1001" t="s">
        <v>787</v>
      </c>
      <c r="H1001" s="21">
        <v>1587.17</v>
      </c>
    </row>
    <row r="1002" spans="1:8" customFormat="1" x14ac:dyDescent="0.25">
      <c r="A1002" t="str">
        <f>"7614292"</f>
        <v>7614292</v>
      </c>
      <c r="B1002" t="s">
        <v>1349</v>
      </c>
      <c r="C1002" t="s">
        <v>462</v>
      </c>
      <c r="D1002" s="21" t="s">
        <v>34</v>
      </c>
      <c r="E1002" s="21" t="s">
        <v>35</v>
      </c>
      <c r="F1002">
        <v>9760018</v>
      </c>
      <c r="G1002" t="s">
        <v>117</v>
      </c>
      <c r="H1002" s="21">
        <v>1587.17</v>
      </c>
    </row>
    <row r="1003" spans="1:8" customFormat="1" x14ac:dyDescent="0.25">
      <c r="A1003" t="str">
        <f>"182046"</f>
        <v>182046</v>
      </c>
      <c r="B1003" t="s">
        <v>485</v>
      </c>
      <c r="C1003" t="s">
        <v>65</v>
      </c>
      <c r="D1003" s="21" t="s">
        <v>34</v>
      </c>
      <c r="E1003" s="21" t="s">
        <v>35</v>
      </c>
      <c r="F1003">
        <v>4180613</v>
      </c>
      <c r="G1003" t="s">
        <v>422</v>
      </c>
      <c r="H1003" s="21">
        <v>1587.17</v>
      </c>
    </row>
    <row r="1004" spans="1:8" customFormat="1" x14ac:dyDescent="0.25">
      <c r="A1004" t="str">
        <f>"76382"</f>
        <v>76382</v>
      </c>
      <c r="B1004" t="s">
        <v>1493</v>
      </c>
      <c r="C1004" t="s">
        <v>1494</v>
      </c>
      <c r="D1004" s="21" t="s">
        <v>34</v>
      </c>
      <c r="E1004" s="21" t="s">
        <v>71</v>
      </c>
      <c r="F1004">
        <v>9760168</v>
      </c>
      <c r="G1004" t="s">
        <v>179</v>
      </c>
      <c r="H1004" s="21">
        <v>1587.17</v>
      </c>
    </row>
    <row r="1005" spans="1:8" customFormat="1" x14ac:dyDescent="0.25">
      <c r="A1005" t="str">
        <f>"642207"</f>
        <v>642207</v>
      </c>
      <c r="B1005" t="s">
        <v>26617</v>
      </c>
      <c r="C1005" t="s">
        <v>204</v>
      </c>
      <c r="D1005" s="21" t="s">
        <v>34</v>
      </c>
      <c r="E1005" s="21" t="s">
        <v>35</v>
      </c>
      <c r="F1005">
        <v>10640004</v>
      </c>
      <c r="G1005" t="s">
        <v>26618</v>
      </c>
      <c r="H1005" s="21">
        <v>1586.8</v>
      </c>
    </row>
    <row r="1006" spans="1:8" customFormat="1" x14ac:dyDescent="0.25">
      <c r="A1006" t="str">
        <f>"9726610"</f>
        <v>9726610</v>
      </c>
      <c r="B1006" t="s">
        <v>1476</v>
      </c>
      <c r="C1006" t="s">
        <v>33</v>
      </c>
      <c r="D1006" s="21" t="s">
        <v>34</v>
      </c>
      <c r="E1006" s="21" t="s">
        <v>35</v>
      </c>
      <c r="F1006" t="s">
        <v>1477</v>
      </c>
      <c r="G1006" t="s">
        <v>1478</v>
      </c>
      <c r="H1006" s="21">
        <v>1586.68</v>
      </c>
    </row>
    <row r="1007" spans="1:8" customFormat="1" x14ac:dyDescent="0.25">
      <c r="A1007" t="str">
        <f>"643250"</f>
        <v>643250</v>
      </c>
      <c r="B1007" t="s">
        <v>1592</v>
      </c>
      <c r="C1007" t="s">
        <v>33</v>
      </c>
      <c r="D1007" s="21" t="s">
        <v>34</v>
      </c>
      <c r="E1007" s="21" t="s">
        <v>71</v>
      </c>
      <c r="F1007">
        <v>10640004</v>
      </c>
      <c r="G1007" t="s">
        <v>26618</v>
      </c>
      <c r="H1007" s="21">
        <v>1586.67</v>
      </c>
    </row>
    <row r="1008" spans="1:8" customFormat="1" x14ac:dyDescent="0.25">
      <c r="A1008" t="str">
        <f>"198696"</f>
        <v>198696</v>
      </c>
      <c r="B1008" t="s">
        <v>1725</v>
      </c>
      <c r="C1008" t="s">
        <v>249</v>
      </c>
      <c r="D1008" s="21" t="s">
        <v>34</v>
      </c>
      <c r="E1008" s="21" t="s">
        <v>35</v>
      </c>
      <c r="F1008">
        <v>10190080</v>
      </c>
      <c r="G1008" t="s">
        <v>1726</v>
      </c>
      <c r="H1008" s="21">
        <v>1585.92</v>
      </c>
    </row>
    <row r="1009" spans="1:8" customFormat="1" x14ac:dyDescent="0.25">
      <c r="A1009" t="str">
        <f>"7411604"</f>
        <v>7411604</v>
      </c>
      <c r="B1009" t="s">
        <v>2480</v>
      </c>
      <c r="C1009" t="s">
        <v>109</v>
      </c>
      <c r="D1009" s="21" t="s">
        <v>34</v>
      </c>
      <c r="E1009" s="21" t="s">
        <v>71</v>
      </c>
      <c r="F1009">
        <v>1740001</v>
      </c>
      <c r="G1009" t="s">
        <v>347</v>
      </c>
      <c r="H1009" s="21">
        <v>1585.92</v>
      </c>
    </row>
    <row r="1010" spans="1:8" customFormat="1" x14ac:dyDescent="0.25">
      <c r="A1010" t="str">
        <f>"784944"</f>
        <v>784944</v>
      </c>
      <c r="B1010" t="s">
        <v>26619</v>
      </c>
      <c r="C1010" t="s">
        <v>26620</v>
      </c>
      <c r="D1010" s="21" t="s">
        <v>34</v>
      </c>
      <c r="E1010" s="21" t="s">
        <v>35</v>
      </c>
      <c r="F1010">
        <v>8781473</v>
      </c>
      <c r="G1010" t="s">
        <v>1097</v>
      </c>
      <c r="H1010" s="21">
        <v>1585.67</v>
      </c>
    </row>
    <row r="1011" spans="1:8" customFormat="1" x14ac:dyDescent="0.25">
      <c r="A1011" t="str">
        <f>"60875"</f>
        <v>60875</v>
      </c>
      <c r="B1011" t="s">
        <v>1443</v>
      </c>
      <c r="C1011" t="s">
        <v>275</v>
      </c>
      <c r="D1011" s="21" t="s">
        <v>34</v>
      </c>
      <c r="E1011" s="21" t="s">
        <v>35</v>
      </c>
      <c r="F1011">
        <v>7800003</v>
      </c>
      <c r="G1011" t="s">
        <v>276</v>
      </c>
      <c r="H1011" s="21">
        <v>1585.67</v>
      </c>
    </row>
    <row r="1012" spans="1:8" customFormat="1" x14ac:dyDescent="0.25">
      <c r="A1012" t="str">
        <f>"746624"</f>
        <v>746624</v>
      </c>
      <c r="B1012" t="s">
        <v>1554</v>
      </c>
      <c r="C1012" t="s">
        <v>253</v>
      </c>
      <c r="D1012" s="21" t="s">
        <v>34</v>
      </c>
      <c r="E1012" s="21" t="s">
        <v>1089</v>
      </c>
      <c r="F1012">
        <v>1740001</v>
      </c>
      <c r="G1012" t="s">
        <v>347</v>
      </c>
      <c r="H1012" s="21">
        <v>1585.67</v>
      </c>
    </row>
    <row r="1013" spans="1:8" customFormat="1" x14ac:dyDescent="0.25">
      <c r="A1013" t="str">
        <f>"3323768"</f>
        <v>3323768</v>
      </c>
      <c r="B1013" t="s">
        <v>1108</v>
      </c>
      <c r="C1013" t="s">
        <v>124</v>
      </c>
      <c r="D1013" s="21" t="s">
        <v>34</v>
      </c>
      <c r="E1013" s="21" t="s">
        <v>35</v>
      </c>
      <c r="F1013">
        <v>10330086</v>
      </c>
      <c r="G1013" t="s">
        <v>785</v>
      </c>
      <c r="H1013" s="21">
        <v>1585.67</v>
      </c>
    </row>
    <row r="1014" spans="1:8" customFormat="1" x14ac:dyDescent="0.25">
      <c r="A1014" t="str">
        <f>"628882"</f>
        <v>628882</v>
      </c>
      <c r="B1014" t="s">
        <v>1676</v>
      </c>
      <c r="C1014" t="s">
        <v>249</v>
      </c>
      <c r="D1014" s="21" t="s">
        <v>34</v>
      </c>
      <c r="E1014" s="21" t="s">
        <v>35</v>
      </c>
      <c r="F1014">
        <v>7620054</v>
      </c>
      <c r="G1014" t="s">
        <v>1677</v>
      </c>
      <c r="H1014" s="21">
        <v>1585.67</v>
      </c>
    </row>
    <row r="1015" spans="1:8" customFormat="1" x14ac:dyDescent="0.25">
      <c r="A1015" t="str">
        <f>"593639"</f>
        <v>593639</v>
      </c>
      <c r="B1015" t="s">
        <v>1629</v>
      </c>
      <c r="C1015" t="s">
        <v>244</v>
      </c>
      <c r="D1015" s="21" t="s">
        <v>34</v>
      </c>
      <c r="E1015" s="21" t="s">
        <v>35</v>
      </c>
      <c r="F1015">
        <v>7590040</v>
      </c>
      <c r="G1015" t="s">
        <v>104</v>
      </c>
      <c r="H1015" s="21">
        <v>1585.17</v>
      </c>
    </row>
    <row r="1016" spans="1:8" customFormat="1" x14ac:dyDescent="0.25">
      <c r="A1016" t="str">
        <f>"543609"</f>
        <v>543609</v>
      </c>
      <c r="B1016" t="s">
        <v>1387</v>
      </c>
      <c r="C1016" t="s">
        <v>236</v>
      </c>
      <c r="D1016" s="21" t="s">
        <v>34</v>
      </c>
      <c r="E1016" s="21" t="s">
        <v>71</v>
      </c>
      <c r="F1016">
        <v>6570140</v>
      </c>
      <c r="G1016" t="s">
        <v>813</v>
      </c>
      <c r="H1016" s="21">
        <v>1584.92</v>
      </c>
    </row>
    <row r="1017" spans="1:8" customFormat="1" x14ac:dyDescent="0.25">
      <c r="A1017" t="str">
        <f>"3324987"</f>
        <v>3324987</v>
      </c>
      <c r="B1017" t="s">
        <v>26621</v>
      </c>
      <c r="C1017" t="s">
        <v>1132</v>
      </c>
      <c r="D1017" s="21" t="s">
        <v>34</v>
      </c>
      <c r="E1017" s="21" t="s">
        <v>71</v>
      </c>
      <c r="F1017">
        <v>10330031</v>
      </c>
      <c r="G1017" t="s">
        <v>2452</v>
      </c>
      <c r="H1017" s="21">
        <v>1584.67</v>
      </c>
    </row>
    <row r="1018" spans="1:8" customFormat="1" x14ac:dyDescent="0.25">
      <c r="A1018" t="str">
        <f>"454092"</f>
        <v>454092</v>
      </c>
      <c r="B1018" t="s">
        <v>3930</v>
      </c>
      <c r="C1018" t="s">
        <v>127</v>
      </c>
      <c r="D1018" s="21" t="s">
        <v>34</v>
      </c>
      <c r="E1018" s="21" t="s">
        <v>35</v>
      </c>
      <c r="F1018">
        <v>4450571</v>
      </c>
      <c r="G1018" t="s">
        <v>188</v>
      </c>
      <c r="H1018" s="21">
        <v>1584.04</v>
      </c>
    </row>
    <row r="1019" spans="1:8" customFormat="1" x14ac:dyDescent="0.25">
      <c r="A1019" t="str">
        <f>"684545"</f>
        <v>684545</v>
      </c>
      <c r="B1019" t="s">
        <v>1612</v>
      </c>
      <c r="C1019" t="s">
        <v>151</v>
      </c>
      <c r="D1019" s="21" t="s">
        <v>34</v>
      </c>
      <c r="E1019" s="21" t="s">
        <v>71</v>
      </c>
      <c r="F1019">
        <v>6680011</v>
      </c>
      <c r="G1019" t="s">
        <v>1524</v>
      </c>
      <c r="H1019" s="21">
        <v>1583.92</v>
      </c>
    </row>
    <row r="1020" spans="1:8" customFormat="1" x14ac:dyDescent="0.25">
      <c r="A1020" t="str">
        <f>"675394"</f>
        <v>675394</v>
      </c>
      <c r="B1020" t="s">
        <v>2369</v>
      </c>
      <c r="C1020" t="s">
        <v>2370</v>
      </c>
      <c r="D1020" s="21" t="s">
        <v>34</v>
      </c>
      <c r="E1020" s="21" t="s">
        <v>71</v>
      </c>
      <c r="F1020">
        <v>6670203</v>
      </c>
      <c r="G1020" t="s">
        <v>2371</v>
      </c>
      <c r="H1020" s="21">
        <v>1583.67</v>
      </c>
    </row>
    <row r="1021" spans="1:8" customFormat="1" x14ac:dyDescent="0.25">
      <c r="A1021" t="str">
        <f>"22128"</f>
        <v>22128</v>
      </c>
      <c r="B1021" t="s">
        <v>1438</v>
      </c>
      <c r="C1021" t="s">
        <v>198</v>
      </c>
      <c r="D1021" s="21" t="s">
        <v>34</v>
      </c>
      <c r="E1021" s="21" t="s">
        <v>35</v>
      </c>
      <c r="F1021">
        <v>3220047</v>
      </c>
      <c r="G1021" t="s">
        <v>131</v>
      </c>
      <c r="H1021" s="21">
        <v>1583.67</v>
      </c>
    </row>
    <row r="1022" spans="1:8" customFormat="1" x14ac:dyDescent="0.25">
      <c r="A1022" t="str">
        <f>"1412098"</f>
        <v>1412098</v>
      </c>
      <c r="B1022" t="s">
        <v>1304</v>
      </c>
      <c r="C1022" t="s">
        <v>621</v>
      </c>
      <c r="D1022" s="21" t="s">
        <v>34</v>
      </c>
      <c r="E1022" s="21" t="s">
        <v>71</v>
      </c>
      <c r="F1022">
        <v>6680105</v>
      </c>
      <c r="G1022" t="s">
        <v>403</v>
      </c>
      <c r="H1022" s="21">
        <v>1583.67</v>
      </c>
    </row>
    <row r="1023" spans="1:8" customFormat="1" x14ac:dyDescent="0.25">
      <c r="A1023" t="str">
        <f>"3318610"</f>
        <v>3318610</v>
      </c>
      <c r="B1023" t="s">
        <v>1362</v>
      </c>
      <c r="C1023" t="s">
        <v>1714</v>
      </c>
      <c r="D1023" s="21" t="s">
        <v>34</v>
      </c>
      <c r="E1023" s="21" t="s">
        <v>71</v>
      </c>
      <c r="F1023">
        <v>10330013</v>
      </c>
      <c r="G1023" t="s">
        <v>613</v>
      </c>
      <c r="H1023" s="21">
        <v>1583.17</v>
      </c>
    </row>
    <row r="1024" spans="1:8" customFormat="1" x14ac:dyDescent="0.25">
      <c r="A1024" t="str">
        <f>"564303"</f>
        <v>564303</v>
      </c>
      <c r="B1024" t="s">
        <v>3174</v>
      </c>
      <c r="C1024" t="s">
        <v>98</v>
      </c>
      <c r="D1024" s="21" t="s">
        <v>34</v>
      </c>
      <c r="E1024" s="21" t="s">
        <v>35</v>
      </c>
      <c r="F1024">
        <v>3560053</v>
      </c>
      <c r="G1024" t="s">
        <v>298</v>
      </c>
      <c r="H1024" s="21">
        <v>1582.67</v>
      </c>
    </row>
    <row r="1025" spans="1:8" customFormat="1" x14ac:dyDescent="0.25">
      <c r="A1025" t="str">
        <f>"9224807"</f>
        <v>9224807</v>
      </c>
      <c r="B1025" t="s">
        <v>1407</v>
      </c>
      <c r="C1025" t="s">
        <v>169</v>
      </c>
      <c r="D1025" s="21" t="s">
        <v>34</v>
      </c>
      <c r="E1025" s="21" t="s">
        <v>71</v>
      </c>
      <c r="F1025">
        <v>8750007</v>
      </c>
      <c r="G1025" t="s">
        <v>775</v>
      </c>
      <c r="H1025" s="21">
        <v>1582.67</v>
      </c>
    </row>
    <row r="1026" spans="1:8" customFormat="1" x14ac:dyDescent="0.25">
      <c r="A1026" t="str">
        <f>"456031"</f>
        <v>456031</v>
      </c>
      <c r="B1026" t="s">
        <v>89</v>
      </c>
      <c r="C1026" t="s">
        <v>484</v>
      </c>
      <c r="D1026" s="21" t="s">
        <v>34</v>
      </c>
      <c r="E1026" s="21" t="s">
        <v>35</v>
      </c>
      <c r="F1026">
        <v>4450410</v>
      </c>
      <c r="G1026" t="s">
        <v>26525</v>
      </c>
      <c r="H1026" s="21">
        <v>1582.67</v>
      </c>
    </row>
    <row r="1027" spans="1:8" customFormat="1" x14ac:dyDescent="0.25">
      <c r="A1027" t="str">
        <f>"917259"</f>
        <v>917259</v>
      </c>
      <c r="B1027" t="s">
        <v>461</v>
      </c>
      <c r="C1027" t="s">
        <v>267</v>
      </c>
      <c r="D1027" s="21" t="s">
        <v>34</v>
      </c>
      <c r="E1027" s="21" t="s">
        <v>254</v>
      </c>
      <c r="F1027">
        <v>8910359</v>
      </c>
      <c r="G1027" t="s">
        <v>1204</v>
      </c>
      <c r="H1027" s="21">
        <v>1582.43</v>
      </c>
    </row>
    <row r="1028" spans="1:8" customFormat="1" x14ac:dyDescent="0.25">
      <c r="A1028" t="str">
        <f>"258490"</f>
        <v>258490</v>
      </c>
      <c r="B1028" t="s">
        <v>1634</v>
      </c>
      <c r="C1028" t="s">
        <v>198</v>
      </c>
      <c r="D1028" s="21" t="s">
        <v>34</v>
      </c>
      <c r="E1028" s="21" t="s">
        <v>71</v>
      </c>
      <c r="F1028">
        <v>2250181</v>
      </c>
      <c r="G1028" t="s">
        <v>494</v>
      </c>
      <c r="H1028" s="21">
        <v>1582.17</v>
      </c>
    </row>
    <row r="1029" spans="1:8" customFormat="1" x14ac:dyDescent="0.25">
      <c r="A1029" t="str">
        <f>"493263"</f>
        <v>493263</v>
      </c>
      <c r="B1029" t="s">
        <v>1451</v>
      </c>
      <c r="C1029" t="s">
        <v>65</v>
      </c>
      <c r="D1029" s="21" t="s">
        <v>34</v>
      </c>
      <c r="E1029" s="21" t="s">
        <v>35</v>
      </c>
      <c r="F1029">
        <v>12490132</v>
      </c>
      <c r="G1029" t="s">
        <v>1125</v>
      </c>
      <c r="H1029" s="21">
        <v>1582.17</v>
      </c>
    </row>
    <row r="1030" spans="1:8" customFormat="1" x14ac:dyDescent="0.25">
      <c r="A1030" t="str">
        <f>"492258"</f>
        <v>492258</v>
      </c>
      <c r="B1030" t="s">
        <v>1470</v>
      </c>
      <c r="C1030" t="s">
        <v>40</v>
      </c>
      <c r="D1030" s="21" t="s">
        <v>34</v>
      </c>
      <c r="E1030" s="21" t="s">
        <v>71</v>
      </c>
      <c r="F1030">
        <v>12490132</v>
      </c>
      <c r="G1030" t="s">
        <v>1125</v>
      </c>
      <c r="H1030" s="21">
        <v>1581.67</v>
      </c>
    </row>
    <row r="1031" spans="1:8" customFormat="1" x14ac:dyDescent="0.25">
      <c r="A1031" t="str">
        <f>"5923080"</f>
        <v>5923080</v>
      </c>
      <c r="B1031" t="s">
        <v>1320</v>
      </c>
      <c r="C1031" t="s">
        <v>33</v>
      </c>
      <c r="D1031" s="21" t="s">
        <v>34</v>
      </c>
      <c r="E1031" s="21" t="s">
        <v>35</v>
      </c>
      <c r="F1031">
        <v>7590231</v>
      </c>
      <c r="G1031" t="s">
        <v>207</v>
      </c>
      <c r="H1031" s="21">
        <v>1581.17</v>
      </c>
    </row>
    <row r="1032" spans="1:8" customFormat="1" x14ac:dyDescent="0.25">
      <c r="A1032" t="str">
        <f>"3813521"</f>
        <v>3813521</v>
      </c>
      <c r="B1032" t="s">
        <v>1521</v>
      </c>
      <c r="C1032" t="s">
        <v>169</v>
      </c>
      <c r="D1032" s="21" t="s">
        <v>34</v>
      </c>
      <c r="E1032" s="21" t="s">
        <v>35</v>
      </c>
      <c r="F1032">
        <v>1380267</v>
      </c>
      <c r="G1032" t="s">
        <v>1002</v>
      </c>
      <c r="H1032" s="21">
        <v>1581.17</v>
      </c>
    </row>
    <row r="1033" spans="1:8" customFormat="1" x14ac:dyDescent="0.25">
      <c r="A1033" t="str">
        <f>"9227464"</f>
        <v>9227464</v>
      </c>
      <c r="B1033" t="s">
        <v>1686</v>
      </c>
      <c r="C1033" t="s">
        <v>87</v>
      </c>
      <c r="D1033" s="21" t="s">
        <v>34</v>
      </c>
      <c r="E1033" s="21" t="s">
        <v>35</v>
      </c>
      <c r="F1033">
        <v>8950479</v>
      </c>
      <c r="G1033" t="s">
        <v>728</v>
      </c>
      <c r="H1033" s="21">
        <v>1581.05</v>
      </c>
    </row>
    <row r="1034" spans="1:8" customFormat="1" x14ac:dyDescent="0.25">
      <c r="A1034" t="str">
        <f>"9722507"</f>
        <v>9722507</v>
      </c>
      <c r="B1034" t="s">
        <v>1922</v>
      </c>
      <c r="C1034" t="s">
        <v>204</v>
      </c>
      <c r="D1034" s="21" t="s">
        <v>34</v>
      </c>
      <c r="E1034" s="21" t="s">
        <v>35</v>
      </c>
      <c r="F1034" t="s">
        <v>1923</v>
      </c>
      <c r="G1034" t="s">
        <v>1924</v>
      </c>
      <c r="H1034" s="21">
        <v>1580.8</v>
      </c>
    </row>
    <row r="1035" spans="1:8" customFormat="1" x14ac:dyDescent="0.25">
      <c r="A1035" t="str">
        <f>"3816000"</f>
        <v>3816000</v>
      </c>
      <c r="B1035" t="s">
        <v>1414</v>
      </c>
      <c r="C1035" t="s">
        <v>98</v>
      </c>
      <c r="D1035" s="21" t="s">
        <v>34</v>
      </c>
      <c r="E1035" s="21" t="s">
        <v>35</v>
      </c>
      <c r="F1035">
        <v>1380028</v>
      </c>
      <c r="G1035" t="s">
        <v>374</v>
      </c>
      <c r="H1035" s="21">
        <v>1580.67</v>
      </c>
    </row>
    <row r="1036" spans="1:8" customFormat="1" x14ac:dyDescent="0.25">
      <c r="A1036" t="str">
        <f>"013287"</f>
        <v>013287</v>
      </c>
      <c r="B1036" t="s">
        <v>4818</v>
      </c>
      <c r="C1036" t="s">
        <v>87</v>
      </c>
      <c r="D1036" s="21" t="s">
        <v>34</v>
      </c>
      <c r="E1036" s="21" t="s">
        <v>35</v>
      </c>
      <c r="F1036">
        <v>1010027</v>
      </c>
      <c r="G1036" t="s">
        <v>6318</v>
      </c>
      <c r="H1036" s="21">
        <v>1580.67</v>
      </c>
    </row>
    <row r="1037" spans="1:8" customFormat="1" x14ac:dyDescent="0.25">
      <c r="A1037" t="str">
        <f>"9119419"</f>
        <v>9119419</v>
      </c>
      <c r="B1037" t="s">
        <v>1610</v>
      </c>
      <c r="C1037" t="s">
        <v>33</v>
      </c>
      <c r="D1037" s="21" t="s">
        <v>34</v>
      </c>
      <c r="E1037" s="21" t="s">
        <v>35</v>
      </c>
      <c r="F1037">
        <v>8910918</v>
      </c>
      <c r="G1037" t="s">
        <v>332</v>
      </c>
      <c r="H1037" s="21">
        <v>1580.17</v>
      </c>
    </row>
    <row r="1038" spans="1:8" customFormat="1" x14ac:dyDescent="0.25">
      <c r="A1038" t="str">
        <f>"804555"</f>
        <v>804555</v>
      </c>
      <c r="B1038" t="s">
        <v>17319</v>
      </c>
      <c r="C1038" t="s">
        <v>1803</v>
      </c>
      <c r="D1038" s="21" t="s">
        <v>34</v>
      </c>
      <c r="E1038" s="21" t="s">
        <v>35</v>
      </c>
      <c r="F1038">
        <v>8951449</v>
      </c>
      <c r="G1038" t="s">
        <v>4475</v>
      </c>
      <c r="H1038" s="21">
        <v>1579.81</v>
      </c>
    </row>
    <row r="1039" spans="1:8" customFormat="1" x14ac:dyDescent="0.25">
      <c r="A1039" t="str">
        <f>"474404"</f>
        <v>474404</v>
      </c>
      <c r="B1039" t="s">
        <v>1591</v>
      </c>
      <c r="C1039" t="s">
        <v>601</v>
      </c>
      <c r="D1039" s="21" t="s">
        <v>34</v>
      </c>
      <c r="E1039" s="21" t="s">
        <v>35</v>
      </c>
      <c r="F1039">
        <v>9500117</v>
      </c>
      <c r="G1039" t="s">
        <v>247</v>
      </c>
      <c r="H1039" s="21">
        <v>1578.92</v>
      </c>
    </row>
    <row r="1040" spans="1:8" customFormat="1" x14ac:dyDescent="0.25">
      <c r="A1040" t="str">
        <f>"45230"</f>
        <v>45230</v>
      </c>
      <c r="B1040" t="s">
        <v>1522</v>
      </c>
      <c r="C1040" t="s">
        <v>781</v>
      </c>
      <c r="D1040" s="21" t="s">
        <v>34</v>
      </c>
      <c r="E1040" s="21" t="s">
        <v>71</v>
      </c>
      <c r="F1040">
        <v>4450571</v>
      </c>
      <c r="G1040" t="s">
        <v>188</v>
      </c>
      <c r="H1040" s="21">
        <v>1578.67</v>
      </c>
    </row>
    <row r="1041" spans="1:8" customFormat="1" x14ac:dyDescent="0.25">
      <c r="A1041" t="str">
        <f>"599563"</f>
        <v>599563</v>
      </c>
      <c r="B1041" t="s">
        <v>1935</v>
      </c>
      <c r="C1041" t="s">
        <v>719</v>
      </c>
      <c r="D1041" s="21" t="s">
        <v>34</v>
      </c>
      <c r="E1041" s="21" t="s">
        <v>35</v>
      </c>
      <c r="F1041">
        <v>7590228</v>
      </c>
      <c r="G1041" t="s">
        <v>1798</v>
      </c>
      <c r="H1041" s="21">
        <v>1578.67</v>
      </c>
    </row>
    <row r="1042" spans="1:8" customFormat="1" x14ac:dyDescent="0.25">
      <c r="A1042" t="str">
        <f>"7617736"</f>
        <v>7617736</v>
      </c>
      <c r="B1042" t="s">
        <v>979</v>
      </c>
      <c r="C1042" t="s">
        <v>109</v>
      </c>
      <c r="D1042" s="21" t="s">
        <v>34</v>
      </c>
      <c r="E1042" s="21" t="s">
        <v>35</v>
      </c>
      <c r="F1042">
        <v>9270151</v>
      </c>
      <c r="G1042" t="s">
        <v>626</v>
      </c>
      <c r="H1042" s="21">
        <v>1578.18</v>
      </c>
    </row>
    <row r="1043" spans="1:8" customFormat="1" x14ac:dyDescent="0.25">
      <c r="A1043" t="str">
        <f>"6214934"</f>
        <v>6214934</v>
      </c>
      <c r="B1043" t="s">
        <v>1616</v>
      </c>
      <c r="C1043" t="s">
        <v>119</v>
      </c>
      <c r="D1043" s="21" t="s">
        <v>34</v>
      </c>
      <c r="E1043" s="21" t="s">
        <v>71</v>
      </c>
      <c r="F1043">
        <v>7620104</v>
      </c>
      <c r="G1043" t="s">
        <v>635</v>
      </c>
      <c r="H1043" s="21">
        <v>1578.17</v>
      </c>
    </row>
    <row r="1044" spans="1:8" customFormat="1" x14ac:dyDescent="0.25">
      <c r="A1044" t="str">
        <f>"504038"</f>
        <v>504038</v>
      </c>
      <c r="B1044" t="s">
        <v>1609</v>
      </c>
      <c r="C1044" t="s">
        <v>204</v>
      </c>
      <c r="D1044" s="21" t="s">
        <v>34</v>
      </c>
      <c r="E1044" s="21" t="s">
        <v>35</v>
      </c>
      <c r="F1044">
        <v>9500025</v>
      </c>
      <c r="G1044" t="s">
        <v>665</v>
      </c>
      <c r="H1044" s="21">
        <v>1577.92</v>
      </c>
    </row>
    <row r="1045" spans="1:8" customFormat="1" x14ac:dyDescent="0.25">
      <c r="A1045" t="str">
        <f>"729677"</f>
        <v>729677</v>
      </c>
      <c r="B1045" t="s">
        <v>1897</v>
      </c>
      <c r="C1045" t="s">
        <v>244</v>
      </c>
      <c r="D1045" s="21" t="s">
        <v>34</v>
      </c>
      <c r="E1045" s="21" t="s">
        <v>35</v>
      </c>
      <c r="F1045">
        <v>12720023</v>
      </c>
      <c r="G1045" t="s">
        <v>1898</v>
      </c>
      <c r="H1045" s="21">
        <v>1577.92</v>
      </c>
    </row>
    <row r="1046" spans="1:8" customFormat="1" x14ac:dyDescent="0.25">
      <c r="A1046" t="str">
        <f>"025991"</f>
        <v>025991</v>
      </c>
      <c r="B1046" t="s">
        <v>6681</v>
      </c>
      <c r="C1046" t="s">
        <v>156</v>
      </c>
      <c r="D1046" s="21" t="s">
        <v>34</v>
      </c>
      <c r="E1046" s="21" t="s">
        <v>71</v>
      </c>
      <c r="F1046">
        <v>7600040</v>
      </c>
      <c r="G1046" t="s">
        <v>6757</v>
      </c>
      <c r="H1046" s="21">
        <v>1577.67</v>
      </c>
    </row>
    <row r="1047" spans="1:8" customFormat="1" x14ac:dyDescent="0.25">
      <c r="A1047" t="str">
        <f>"063711"</f>
        <v>063711</v>
      </c>
      <c r="B1047" t="s">
        <v>1576</v>
      </c>
      <c r="C1047" t="s">
        <v>812</v>
      </c>
      <c r="D1047" s="21" t="s">
        <v>34</v>
      </c>
      <c r="E1047" s="21" t="s">
        <v>35</v>
      </c>
      <c r="F1047">
        <v>13060064</v>
      </c>
      <c r="G1047" t="s">
        <v>976</v>
      </c>
      <c r="H1047" s="21">
        <v>1577.67</v>
      </c>
    </row>
    <row r="1048" spans="1:8" customFormat="1" x14ac:dyDescent="0.25">
      <c r="A1048" t="str">
        <f>"297414"</f>
        <v>297414</v>
      </c>
      <c r="B1048" t="s">
        <v>1552</v>
      </c>
      <c r="C1048" t="s">
        <v>1025</v>
      </c>
      <c r="D1048" s="21" t="s">
        <v>34</v>
      </c>
      <c r="E1048" s="21" t="s">
        <v>35</v>
      </c>
      <c r="F1048">
        <v>3290208</v>
      </c>
      <c r="G1048" t="s">
        <v>1553</v>
      </c>
      <c r="H1048" s="21">
        <v>1577.67</v>
      </c>
    </row>
    <row r="1049" spans="1:8" customFormat="1" x14ac:dyDescent="0.25">
      <c r="A1049" t="str">
        <f>"698293"</f>
        <v>698293</v>
      </c>
      <c r="B1049" t="s">
        <v>1987</v>
      </c>
      <c r="C1049" t="s">
        <v>719</v>
      </c>
      <c r="D1049" s="21" t="s">
        <v>34</v>
      </c>
      <c r="E1049" s="21" t="s">
        <v>35</v>
      </c>
      <c r="F1049">
        <v>1690030</v>
      </c>
      <c r="G1049" t="s">
        <v>432</v>
      </c>
      <c r="H1049" s="21">
        <v>1577.67</v>
      </c>
    </row>
    <row r="1050" spans="1:8" customFormat="1" x14ac:dyDescent="0.25">
      <c r="A1050" t="str">
        <f>"023475"</f>
        <v>023475</v>
      </c>
      <c r="B1050" t="s">
        <v>146</v>
      </c>
      <c r="C1050" t="s">
        <v>149</v>
      </c>
      <c r="D1050" s="21" t="s">
        <v>34</v>
      </c>
      <c r="E1050" s="21" t="s">
        <v>35</v>
      </c>
      <c r="F1050">
        <v>7020062</v>
      </c>
      <c r="G1050" t="s">
        <v>1505</v>
      </c>
      <c r="H1050" s="21">
        <v>1577.67</v>
      </c>
    </row>
    <row r="1051" spans="1:8" customFormat="1" x14ac:dyDescent="0.25">
      <c r="A1051" t="str">
        <f>"8524677"</f>
        <v>8524677</v>
      </c>
      <c r="B1051" t="s">
        <v>1962</v>
      </c>
      <c r="C1051" t="s">
        <v>1853</v>
      </c>
      <c r="D1051" s="21" t="s">
        <v>34</v>
      </c>
      <c r="E1051" s="21" t="s">
        <v>71</v>
      </c>
      <c r="F1051">
        <v>12851012</v>
      </c>
      <c r="G1051" t="s">
        <v>1963</v>
      </c>
      <c r="H1051" s="21">
        <v>1577.17</v>
      </c>
    </row>
    <row r="1052" spans="1:8" customFormat="1" x14ac:dyDescent="0.25">
      <c r="A1052" t="str">
        <f>"9751289"</f>
        <v>9751289</v>
      </c>
      <c r="B1052" t="s">
        <v>1910</v>
      </c>
      <c r="C1052" t="s">
        <v>204</v>
      </c>
      <c r="D1052" s="21" t="s">
        <v>34</v>
      </c>
      <c r="E1052" s="21" t="s">
        <v>35</v>
      </c>
      <c r="F1052" t="s">
        <v>590</v>
      </c>
      <c r="G1052" t="s">
        <v>591</v>
      </c>
      <c r="H1052" s="21">
        <v>1576.8</v>
      </c>
    </row>
    <row r="1053" spans="1:8" customFormat="1" x14ac:dyDescent="0.25">
      <c r="A1053" t="str">
        <f>"939258"</f>
        <v>939258</v>
      </c>
      <c r="B1053" t="s">
        <v>1536</v>
      </c>
      <c r="C1053" t="s">
        <v>997</v>
      </c>
      <c r="D1053" s="21" t="s">
        <v>34</v>
      </c>
      <c r="E1053" s="21" t="s">
        <v>35</v>
      </c>
      <c r="F1053">
        <v>8930368</v>
      </c>
      <c r="G1053" t="s">
        <v>508</v>
      </c>
      <c r="H1053" s="21">
        <v>1576.67</v>
      </c>
    </row>
    <row r="1054" spans="1:8" customFormat="1" x14ac:dyDescent="0.25">
      <c r="A1054" t="str">
        <f>"592563"</f>
        <v>592563</v>
      </c>
      <c r="B1054" t="s">
        <v>1926</v>
      </c>
      <c r="C1054" t="s">
        <v>263</v>
      </c>
      <c r="D1054" s="21" t="s">
        <v>34</v>
      </c>
      <c r="E1054" s="21" t="s">
        <v>71</v>
      </c>
      <c r="F1054">
        <v>7620046</v>
      </c>
      <c r="G1054" t="s">
        <v>242</v>
      </c>
      <c r="H1054" s="21">
        <v>1576.67</v>
      </c>
    </row>
    <row r="1055" spans="1:8" customFormat="1" x14ac:dyDescent="0.25">
      <c r="A1055" t="str">
        <f>"523168"</f>
        <v>523168</v>
      </c>
      <c r="B1055" t="s">
        <v>1601</v>
      </c>
      <c r="C1055" t="s">
        <v>233</v>
      </c>
      <c r="D1055" s="21" t="s">
        <v>34</v>
      </c>
      <c r="E1055" s="21" t="s">
        <v>71</v>
      </c>
      <c r="F1055">
        <v>6100002</v>
      </c>
      <c r="G1055" t="s">
        <v>1602</v>
      </c>
      <c r="H1055" s="21">
        <v>1576.67</v>
      </c>
    </row>
    <row r="1056" spans="1:8" customFormat="1" x14ac:dyDescent="0.25">
      <c r="A1056" t="str">
        <f>"9765000"</f>
        <v>9765000</v>
      </c>
      <c r="B1056" t="s">
        <v>1259</v>
      </c>
      <c r="C1056" t="s">
        <v>1260</v>
      </c>
      <c r="D1056" s="21" t="s">
        <v>34</v>
      </c>
      <c r="E1056" s="21" t="s">
        <v>71</v>
      </c>
      <c r="F1056">
        <v>8930368</v>
      </c>
      <c r="G1056" t="s">
        <v>508</v>
      </c>
      <c r="H1056" s="21">
        <v>1576.67</v>
      </c>
    </row>
    <row r="1057" spans="1:8" customFormat="1" x14ac:dyDescent="0.25">
      <c r="A1057" t="str">
        <f>"7612435"</f>
        <v>7612435</v>
      </c>
      <c r="B1057" t="s">
        <v>2202</v>
      </c>
      <c r="C1057" t="s">
        <v>130</v>
      </c>
      <c r="D1057" s="21" t="s">
        <v>34</v>
      </c>
      <c r="E1057" s="21" t="s">
        <v>71</v>
      </c>
      <c r="F1057">
        <v>9760414</v>
      </c>
      <c r="G1057" t="s">
        <v>142</v>
      </c>
      <c r="H1057" s="21">
        <v>1576.17</v>
      </c>
    </row>
    <row r="1058" spans="1:8" customFormat="1" x14ac:dyDescent="0.25">
      <c r="A1058" t="str">
        <f>"594021"</f>
        <v>594021</v>
      </c>
      <c r="B1058" t="s">
        <v>1666</v>
      </c>
      <c r="C1058" t="s">
        <v>171</v>
      </c>
      <c r="D1058" s="21" t="s">
        <v>34</v>
      </c>
      <c r="E1058" s="21" t="s">
        <v>35</v>
      </c>
      <c r="F1058">
        <v>7590014</v>
      </c>
      <c r="G1058" t="s">
        <v>1326</v>
      </c>
      <c r="H1058" s="21">
        <v>1576.17</v>
      </c>
    </row>
    <row r="1059" spans="1:8" customFormat="1" x14ac:dyDescent="0.25">
      <c r="A1059" t="str">
        <f>"783045"</f>
        <v>783045</v>
      </c>
      <c r="B1059" t="s">
        <v>1617</v>
      </c>
      <c r="C1059" t="s">
        <v>246</v>
      </c>
      <c r="D1059" s="21" t="s">
        <v>34</v>
      </c>
      <c r="E1059" s="21" t="s">
        <v>71</v>
      </c>
      <c r="F1059">
        <v>8780674</v>
      </c>
      <c r="G1059" t="s">
        <v>26585</v>
      </c>
      <c r="H1059" s="21">
        <v>1575.92</v>
      </c>
    </row>
    <row r="1060" spans="1:8" customFormat="1" x14ac:dyDescent="0.25">
      <c r="A1060" t="str">
        <f>"564524"</f>
        <v>564524</v>
      </c>
      <c r="B1060" t="s">
        <v>363</v>
      </c>
      <c r="C1060" t="s">
        <v>462</v>
      </c>
      <c r="D1060" s="21" t="s">
        <v>34</v>
      </c>
      <c r="E1060" s="21" t="s">
        <v>71</v>
      </c>
      <c r="F1060">
        <v>3560066</v>
      </c>
      <c r="G1060" t="s">
        <v>1156</v>
      </c>
      <c r="H1060" s="21">
        <v>1575.8</v>
      </c>
    </row>
    <row r="1061" spans="1:8" customFormat="1" x14ac:dyDescent="0.25">
      <c r="A1061" t="str">
        <f>"591639"</f>
        <v>591639</v>
      </c>
      <c r="B1061" t="s">
        <v>2167</v>
      </c>
      <c r="C1061" t="s">
        <v>33</v>
      </c>
      <c r="D1061" s="21" t="s">
        <v>34</v>
      </c>
      <c r="E1061" s="21" t="s">
        <v>71</v>
      </c>
      <c r="F1061">
        <v>7590194</v>
      </c>
      <c r="G1061" t="s">
        <v>460</v>
      </c>
      <c r="H1061" s="21">
        <v>1575.67</v>
      </c>
    </row>
    <row r="1062" spans="1:8" customFormat="1" x14ac:dyDescent="0.25">
      <c r="A1062" t="str">
        <f>"8224"</f>
        <v>8224</v>
      </c>
      <c r="B1062" t="s">
        <v>1710</v>
      </c>
      <c r="C1062" t="s">
        <v>249</v>
      </c>
      <c r="D1062" s="21" t="s">
        <v>34</v>
      </c>
      <c r="E1062" s="21" t="s">
        <v>71</v>
      </c>
      <c r="F1062">
        <v>11820007</v>
      </c>
      <c r="G1062" t="s">
        <v>532</v>
      </c>
      <c r="H1062" s="21">
        <v>1575.67</v>
      </c>
    </row>
    <row r="1063" spans="1:8" customFormat="1" x14ac:dyDescent="0.25">
      <c r="A1063" t="str">
        <f>"47413"</f>
        <v>47413</v>
      </c>
      <c r="B1063" t="s">
        <v>1395</v>
      </c>
      <c r="C1063" t="s">
        <v>576</v>
      </c>
      <c r="D1063" s="21" t="s">
        <v>34</v>
      </c>
      <c r="E1063" s="21" t="s">
        <v>35</v>
      </c>
      <c r="F1063">
        <v>10470006</v>
      </c>
      <c r="G1063" t="s">
        <v>1225</v>
      </c>
      <c r="H1063" s="21">
        <v>1575.17</v>
      </c>
    </row>
    <row r="1064" spans="1:8" customFormat="1" x14ac:dyDescent="0.25">
      <c r="A1064" t="str">
        <f>"241043"</f>
        <v>241043</v>
      </c>
      <c r="B1064" t="s">
        <v>2325</v>
      </c>
      <c r="C1064" t="s">
        <v>65</v>
      </c>
      <c r="D1064" s="21" t="s">
        <v>34</v>
      </c>
      <c r="E1064" s="21" t="s">
        <v>35</v>
      </c>
      <c r="F1064">
        <v>10240007</v>
      </c>
      <c r="G1064" t="s">
        <v>2326</v>
      </c>
      <c r="H1064" s="21">
        <v>1575.17</v>
      </c>
    </row>
    <row r="1065" spans="1:8" customFormat="1" x14ac:dyDescent="0.25">
      <c r="A1065" t="str">
        <f>"793338"</f>
        <v>793338</v>
      </c>
      <c r="B1065" t="s">
        <v>1947</v>
      </c>
      <c r="C1065" t="s">
        <v>147</v>
      </c>
      <c r="D1065" s="21" t="s">
        <v>34</v>
      </c>
      <c r="E1065" s="21" t="s">
        <v>35</v>
      </c>
      <c r="F1065">
        <v>10790005</v>
      </c>
      <c r="G1065" t="s">
        <v>1948</v>
      </c>
      <c r="H1065" s="21">
        <v>1575.17</v>
      </c>
    </row>
    <row r="1066" spans="1:8" customFormat="1" x14ac:dyDescent="0.25">
      <c r="A1066" t="str">
        <f>"2511301"</f>
        <v>2511301</v>
      </c>
      <c r="B1066" t="s">
        <v>431</v>
      </c>
      <c r="C1066" t="s">
        <v>1708</v>
      </c>
      <c r="D1066" s="21" t="s">
        <v>34</v>
      </c>
      <c r="E1066" s="21" t="s">
        <v>35</v>
      </c>
      <c r="F1066">
        <v>2250016</v>
      </c>
      <c r="G1066" t="s">
        <v>1709</v>
      </c>
      <c r="H1066" s="21">
        <v>1574.67</v>
      </c>
    </row>
    <row r="1067" spans="1:8" customFormat="1" x14ac:dyDescent="0.25">
      <c r="A1067" t="str">
        <f>"861810"</f>
        <v>861810</v>
      </c>
      <c r="B1067" t="s">
        <v>2438</v>
      </c>
      <c r="C1067" t="s">
        <v>2168</v>
      </c>
      <c r="D1067" s="21" t="s">
        <v>34</v>
      </c>
      <c r="E1067" s="21" t="s">
        <v>35</v>
      </c>
      <c r="F1067">
        <v>10860017</v>
      </c>
      <c r="G1067" t="s">
        <v>2439</v>
      </c>
      <c r="H1067" s="21">
        <v>1574.17</v>
      </c>
    </row>
    <row r="1068" spans="1:8" customFormat="1" x14ac:dyDescent="0.25">
      <c r="A1068" t="str">
        <f>"745339"</f>
        <v>745339</v>
      </c>
      <c r="B1068" t="s">
        <v>22849</v>
      </c>
      <c r="C1068" t="s">
        <v>124</v>
      </c>
      <c r="D1068" s="21" t="s">
        <v>34</v>
      </c>
      <c r="E1068" s="21" t="s">
        <v>35</v>
      </c>
      <c r="F1068">
        <v>1740003</v>
      </c>
      <c r="G1068" t="s">
        <v>982</v>
      </c>
      <c r="H1068" s="21">
        <v>1574.17</v>
      </c>
    </row>
    <row r="1069" spans="1:8" customFormat="1" x14ac:dyDescent="0.25">
      <c r="A1069" t="str">
        <f>"5430793"</f>
        <v>5430793</v>
      </c>
      <c r="B1069" t="s">
        <v>1814</v>
      </c>
      <c r="C1069" t="s">
        <v>656</v>
      </c>
      <c r="D1069" s="21" t="s">
        <v>34</v>
      </c>
      <c r="E1069" s="21" t="s">
        <v>35</v>
      </c>
      <c r="F1069">
        <v>6540021</v>
      </c>
      <c r="G1069" t="s">
        <v>1815</v>
      </c>
      <c r="H1069" s="21">
        <v>1573.67</v>
      </c>
    </row>
    <row r="1070" spans="1:8" customFormat="1" x14ac:dyDescent="0.25">
      <c r="A1070" t="str">
        <f>"517428"</f>
        <v>517428</v>
      </c>
      <c r="B1070" t="s">
        <v>623</v>
      </c>
      <c r="C1070" t="s">
        <v>65</v>
      </c>
      <c r="D1070" s="21" t="s">
        <v>34</v>
      </c>
      <c r="E1070" s="21" t="s">
        <v>35</v>
      </c>
      <c r="F1070">
        <v>6510008</v>
      </c>
      <c r="G1070" t="s">
        <v>26622</v>
      </c>
      <c r="H1070" s="21">
        <v>1573.67</v>
      </c>
    </row>
    <row r="1071" spans="1:8" customFormat="1" x14ac:dyDescent="0.25">
      <c r="A1071" t="str">
        <f>"2510365"</f>
        <v>2510365</v>
      </c>
      <c r="B1071" t="s">
        <v>1741</v>
      </c>
      <c r="C1071" t="s">
        <v>82</v>
      </c>
      <c r="D1071" s="21" t="s">
        <v>34</v>
      </c>
      <c r="E1071" s="21" t="s">
        <v>35</v>
      </c>
      <c r="F1071">
        <v>2900003</v>
      </c>
      <c r="G1071" t="s">
        <v>1742</v>
      </c>
      <c r="H1071" s="21">
        <v>1573.67</v>
      </c>
    </row>
    <row r="1072" spans="1:8" customFormat="1" x14ac:dyDescent="0.25">
      <c r="A1072" t="str">
        <f>"762445"</f>
        <v>762445</v>
      </c>
      <c r="B1072" t="s">
        <v>1501</v>
      </c>
      <c r="C1072" t="s">
        <v>302</v>
      </c>
      <c r="D1072" s="21" t="s">
        <v>34</v>
      </c>
      <c r="E1072" s="21" t="s">
        <v>35</v>
      </c>
      <c r="F1072">
        <v>9760034</v>
      </c>
      <c r="G1072" t="s">
        <v>1242</v>
      </c>
      <c r="H1072" s="21">
        <v>1573.67</v>
      </c>
    </row>
    <row r="1073" spans="1:8" customFormat="1" x14ac:dyDescent="0.25">
      <c r="A1073" t="str">
        <f>"318950"</f>
        <v>318950</v>
      </c>
      <c r="B1073" t="s">
        <v>2530</v>
      </c>
      <c r="C1073" t="s">
        <v>236</v>
      </c>
      <c r="D1073" s="21" t="s">
        <v>34</v>
      </c>
      <c r="E1073" s="21" t="s">
        <v>71</v>
      </c>
      <c r="F1073">
        <v>11310075</v>
      </c>
      <c r="G1073" t="s">
        <v>2531</v>
      </c>
      <c r="H1073" s="21">
        <v>1573.43</v>
      </c>
    </row>
    <row r="1074" spans="1:8" customFormat="1" x14ac:dyDescent="0.25">
      <c r="A1074" t="str">
        <f>"49267"</f>
        <v>49267</v>
      </c>
      <c r="B1074" t="s">
        <v>1669</v>
      </c>
      <c r="C1074" t="s">
        <v>415</v>
      </c>
      <c r="D1074" s="21" t="s">
        <v>34</v>
      </c>
      <c r="E1074" s="21" t="s">
        <v>71</v>
      </c>
      <c r="F1074">
        <v>12490061</v>
      </c>
      <c r="G1074" t="s">
        <v>969</v>
      </c>
      <c r="H1074" s="21">
        <v>1572.67</v>
      </c>
    </row>
    <row r="1075" spans="1:8" customFormat="1" x14ac:dyDescent="0.25">
      <c r="A1075" t="str">
        <f>"663132"</f>
        <v>663132</v>
      </c>
      <c r="B1075" t="s">
        <v>26623</v>
      </c>
      <c r="C1075" t="s">
        <v>926</v>
      </c>
      <c r="D1075" s="21" t="s">
        <v>34</v>
      </c>
      <c r="E1075" s="21" t="s">
        <v>35</v>
      </c>
      <c r="F1075">
        <v>11660009</v>
      </c>
      <c r="G1075" t="s">
        <v>26624</v>
      </c>
      <c r="H1075" s="21">
        <v>1572.17</v>
      </c>
    </row>
    <row r="1076" spans="1:8" customFormat="1" x14ac:dyDescent="0.25">
      <c r="A1076" t="str">
        <f>"6013826"</f>
        <v>6013826</v>
      </c>
      <c r="B1076" t="s">
        <v>1534</v>
      </c>
      <c r="C1076" t="s">
        <v>879</v>
      </c>
      <c r="D1076" s="21" t="s">
        <v>34</v>
      </c>
      <c r="E1076" s="21" t="s">
        <v>71</v>
      </c>
      <c r="F1076">
        <v>13830090</v>
      </c>
      <c r="G1076" t="s">
        <v>1535</v>
      </c>
      <c r="H1076" s="21">
        <v>1571.67</v>
      </c>
    </row>
    <row r="1077" spans="1:8" customFormat="1" x14ac:dyDescent="0.25">
      <c r="A1077" t="str">
        <f>"54267"</f>
        <v>54267</v>
      </c>
      <c r="B1077" t="s">
        <v>1482</v>
      </c>
      <c r="C1077" t="s">
        <v>598</v>
      </c>
      <c r="D1077" s="21" t="s">
        <v>34</v>
      </c>
      <c r="E1077" s="21" t="s">
        <v>254</v>
      </c>
      <c r="F1077">
        <v>6540014</v>
      </c>
      <c r="G1077" t="s">
        <v>1483</v>
      </c>
      <c r="H1077" s="21">
        <v>1571.67</v>
      </c>
    </row>
    <row r="1078" spans="1:8" customFormat="1" x14ac:dyDescent="0.25">
      <c r="A1078" t="str">
        <f>"5315061"</f>
        <v>5315061</v>
      </c>
      <c r="B1078" t="s">
        <v>67</v>
      </c>
      <c r="C1078" t="s">
        <v>1446</v>
      </c>
      <c r="D1078" s="21" t="s">
        <v>34</v>
      </c>
      <c r="E1078" s="21" t="s">
        <v>35</v>
      </c>
      <c r="F1078">
        <v>12530035</v>
      </c>
      <c r="G1078" t="s">
        <v>1663</v>
      </c>
      <c r="H1078" s="21">
        <v>1571.67</v>
      </c>
    </row>
    <row r="1079" spans="1:8" customFormat="1" x14ac:dyDescent="0.25">
      <c r="A1079" t="str">
        <f>"3311972"</f>
        <v>3311972</v>
      </c>
      <c r="B1079" t="s">
        <v>1557</v>
      </c>
      <c r="C1079" t="s">
        <v>267</v>
      </c>
      <c r="D1079" s="21" t="s">
        <v>34</v>
      </c>
      <c r="E1079" s="21" t="s">
        <v>35</v>
      </c>
      <c r="F1079">
        <v>10330013</v>
      </c>
      <c r="G1079" t="s">
        <v>613</v>
      </c>
      <c r="H1079" s="21">
        <v>1571.17</v>
      </c>
    </row>
    <row r="1080" spans="1:8" customFormat="1" x14ac:dyDescent="0.25">
      <c r="A1080" t="str">
        <f>"76999"</f>
        <v>76999</v>
      </c>
      <c r="B1080" t="s">
        <v>1872</v>
      </c>
      <c r="C1080" t="s">
        <v>817</v>
      </c>
      <c r="D1080" s="21" t="s">
        <v>34</v>
      </c>
      <c r="E1080" s="21" t="s">
        <v>254</v>
      </c>
      <c r="F1080">
        <v>9760168</v>
      </c>
      <c r="G1080" t="s">
        <v>179</v>
      </c>
      <c r="H1080" s="21">
        <v>1571.17</v>
      </c>
    </row>
    <row r="1081" spans="1:8" customFormat="1" x14ac:dyDescent="0.25">
      <c r="A1081" t="str">
        <f>"50498"</f>
        <v>50498</v>
      </c>
      <c r="B1081" t="s">
        <v>1658</v>
      </c>
      <c r="C1081" t="s">
        <v>239</v>
      </c>
      <c r="D1081" s="21" t="s">
        <v>34</v>
      </c>
      <c r="E1081" s="21" t="s">
        <v>35</v>
      </c>
      <c r="F1081">
        <v>9500025</v>
      </c>
      <c r="G1081" t="s">
        <v>665</v>
      </c>
      <c r="H1081" s="21">
        <v>1571.05</v>
      </c>
    </row>
    <row r="1082" spans="1:8" customFormat="1" x14ac:dyDescent="0.25">
      <c r="A1082" t="str">
        <f>"5312554"</f>
        <v>5312554</v>
      </c>
      <c r="B1082" t="s">
        <v>1850</v>
      </c>
      <c r="C1082" t="s">
        <v>151</v>
      </c>
      <c r="D1082" s="21" t="s">
        <v>34</v>
      </c>
      <c r="E1082" s="21" t="s">
        <v>254</v>
      </c>
      <c r="F1082">
        <v>12530147</v>
      </c>
      <c r="G1082" t="s">
        <v>1851</v>
      </c>
      <c r="H1082" s="21">
        <v>1571.05</v>
      </c>
    </row>
    <row r="1083" spans="1:8" customFormat="1" x14ac:dyDescent="0.25">
      <c r="A1083" t="str">
        <f>"04118"</f>
        <v>04118</v>
      </c>
      <c r="B1083" t="s">
        <v>1902</v>
      </c>
      <c r="C1083" t="s">
        <v>598</v>
      </c>
      <c r="D1083" s="21" t="s">
        <v>34</v>
      </c>
      <c r="E1083" s="21" t="s">
        <v>35</v>
      </c>
      <c r="F1083">
        <v>13040030</v>
      </c>
      <c r="G1083" t="s">
        <v>1903</v>
      </c>
      <c r="H1083" s="21">
        <v>1570.81</v>
      </c>
    </row>
    <row r="1084" spans="1:8" customFormat="1" x14ac:dyDescent="0.25">
      <c r="A1084" t="str">
        <f>"4511830"</f>
        <v>4511830</v>
      </c>
      <c r="B1084" t="s">
        <v>1905</v>
      </c>
      <c r="C1084" t="s">
        <v>169</v>
      </c>
      <c r="D1084" s="21" t="s">
        <v>34</v>
      </c>
      <c r="E1084" s="21" t="s">
        <v>35</v>
      </c>
      <c r="F1084" t="s">
        <v>1906</v>
      </c>
      <c r="G1084" t="s">
        <v>26625</v>
      </c>
      <c r="H1084" s="21">
        <v>1570.8</v>
      </c>
    </row>
    <row r="1085" spans="1:8" customFormat="1" x14ac:dyDescent="0.25">
      <c r="A1085" t="str">
        <f>"6216139"</f>
        <v>6216139</v>
      </c>
      <c r="B1085" t="s">
        <v>2067</v>
      </c>
      <c r="C1085" t="s">
        <v>459</v>
      </c>
      <c r="D1085" s="21" t="s">
        <v>34</v>
      </c>
      <c r="E1085" s="21" t="s">
        <v>35</v>
      </c>
      <c r="F1085">
        <v>7620145</v>
      </c>
      <c r="G1085" t="s">
        <v>2068</v>
      </c>
      <c r="H1085" s="21">
        <v>1570.67</v>
      </c>
    </row>
    <row r="1086" spans="1:8" customFormat="1" x14ac:dyDescent="0.25">
      <c r="A1086" t="str">
        <f>"357727"</f>
        <v>357727</v>
      </c>
      <c r="B1086" t="s">
        <v>1614</v>
      </c>
      <c r="C1086" t="s">
        <v>1615</v>
      </c>
      <c r="D1086" s="21" t="s">
        <v>34</v>
      </c>
      <c r="E1086" s="21" t="s">
        <v>71</v>
      </c>
      <c r="F1086">
        <v>3350060</v>
      </c>
      <c r="G1086" t="s">
        <v>38</v>
      </c>
      <c r="H1086" s="21">
        <v>1570.67</v>
      </c>
    </row>
    <row r="1087" spans="1:8" customFormat="1" x14ac:dyDescent="0.25">
      <c r="A1087" t="str">
        <f>"724447"</f>
        <v>724447</v>
      </c>
      <c r="B1087" t="s">
        <v>1576</v>
      </c>
      <c r="C1087" t="s">
        <v>174</v>
      </c>
      <c r="D1087" s="21" t="s">
        <v>34</v>
      </c>
      <c r="E1087" s="21" t="s">
        <v>35</v>
      </c>
      <c r="F1087">
        <v>12720067</v>
      </c>
      <c r="G1087" t="s">
        <v>10622</v>
      </c>
      <c r="H1087" s="21">
        <v>1570</v>
      </c>
    </row>
    <row r="1088" spans="1:8" customFormat="1" x14ac:dyDescent="0.25">
      <c r="A1088" t="str">
        <f>"541751"</f>
        <v>541751</v>
      </c>
      <c r="B1088" t="s">
        <v>1730</v>
      </c>
      <c r="C1088" t="s">
        <v>415</v>
      </c>
      <c r="D1088" s="21" t="s">
        <v>34</v>
      </c>
      <c r="E1088" s="21" t="s">
        <v>71</v>
      </c>
      <c r="F1088">
        <v>6540040</v>
      </c>
      <c r="G1088" t="s">
        <v>256</v>
      </c>
      <c r="H1088" s="21">
        <v>1569.68</v>
      </c>
    </row>
    <row r="1089" spans="1:8" customFormat="1" x14ac:dyDescent="0.25">
      <c r="A1089" t="str">
        <f>"833187"</f>
        <v>833187</v>
      </c>
      <c r="B1089" t="s">
        <v>1321</v>
      </c>
      <c r="C1089" t="s">
        <v>55</v>
      </c>
      <c r="D1089" s="21" t="s">
        <v>34</v>
      </c>
      <c r="E1089" s="21" t="s">
        <v>71</v>
      </c>
      <c r="F1089">
        <v>13830029</v>
      </c>
      <c r="G1089" t="s">
        <v>315</v>
      </c>
      <c r="H1089" s="21">
        <v>1569.67</v>
      </c>
    </row>
    <row r="1090" spans="1:8" customFormat="1" x14ac:dyDescent="0.25">
      <c r="A1090" t="str">
        <f>"853668"</f>
        <v>853668</v>
      </c>
      <c r="B1090" t="s">
        <v>1699</v>
      </c>
      <c r="C1090" t="s">
        <v>169</v>
      </c>
      <c r="D1090" s="21" t="s">
        <v>34</v>
      </c>
      <c r="E1090" s="21" t="s">
        <v>35</v>
      </c>
      <c r="F1090">
        <v>12850028</v>
      </c>
      <c r="G1090" t="s">
        <v>1700</v>
      </c>
      <c r="H1090" s="21">
        <v>1569.67</v>
      </c>
    </row>
    <row r="1091" spans="1:8" customFormat="1" x14ac:dyDescent="0.25">
      <c r="A1091" t="str">
        <f>"597125"</f>
        <v>597125</v>
      </c>
      <c r="B1091" t="s">
        <v>1582</v>
      </c>
      <c r="C1091" t="s">
        <v>204</v>
      </c>
      <c r="D1091" s="21" t="s">
        <v>34</v>
      </c>
      <c r="E1091" s="21" t="s">
        <v>35</v>
      </c>
      <c r="F1091">
        <v>7590231</v>
      </c>
      <c r="G1091" t="s">
        <v>207</v>
      </c>
      <c r="H1091" s="21">
        <v>1569.67</v>
      </c>
    </row>
    <row r="1092" spans="1:8" customFormat="1" x14ac:dyDescent="0.25">
      <c r="A1092" t="str">
        <f>"6219650"</f>
        <v>6219650</v>
      </c>
      <c r="B1092" t="s">
        <v>26626</v>
      </c>
      <c r="C1092" t="s">
        <v>60</v>
      </c>
      <c r="D1092" s="21" t="s">
        <v>34</v>
      </c>
      <c r="E1092" s="21" t="s">
        <v>35</v>
      </c>
      <c r="F1092">
        <v>7590182</v>
      </c>
      <c r="G1092" t="s">
        <v>172</v>
      </c>
      <c r="H1092" s="21">
        <v>1569.67</v>
      </c>
    </row>
    <row r="1093" spans="1:8" customFormat="1" x14ac:dyDescent="0.25">
      <c r="A1093" t="str">
        <f>"5910615"</f>
        <v>5910615</v>
      </c>
      <c r="B1093" t="s">
        <v>1842</v>
      </c>
      <c r="C1093" t="s">
        <v>285</v>
      </c>
      <c r="D1093" s="21" t="s">
        <v>34</v>
      </c>
      <c r="E1093" s="21" t="s">
        <v>35</v>
      </c>
      <c r="F1093">
        <v>7590345</v>
      </c>
      <c r="G1093" t="s">
        <v>3297</v>
      </c>
      <c r="H1093" s="21">
        <v>1568.81</v>
      </c>
    </row>
    <row r="1094" spans="1:8" customFormat="1" x14ac:dyDescent="0.25">
      <c r="A1094" t="str">
        <f>"951238"</f>
        <v>951238</v>
      </c>
      <c r="B1094" t="s">
        <v>1651</v>
      </c>
      <c r="C1094" t="s">
        <v>209</v>
      </c>
      <c r="D1094" s="21" t="s">
        <v>34</v>
      </c>
      <c r="E1094" s="21" t="s">
        <v>71</v>
      </c>
      <c r="F1094">
        <v>8920111</v>
      </c>
      <c r="G1094" t="s">
        <v>1064</v>
      </c>
      <c r="H1094" s="21">
        <v>1568.67</v>
      </c>
    </row>
    <row r="1095" spans="1:8" customFormat="1" x14ac:dyDescent="0.25">
      <c r="A1095" t="str">
        <f>"7823059"</f>
        <v>7823059</v>
      </c>
      <c r="B1095" t="s">
        <v>1684</v>
      </c>
      <c r="C1095" t="s">
        <v>209</v>
      </c>
      <c r="D1095" s="21" t="s">
        <v>34</v>
      </c>
      <c r="E1095" s="21" t="s">
        <v>71</v>
      </c>
      <c r="F1095">
        <v>8780674</v>
      </c>
      <c r="G1095" t="s">
        <v>26585</v>
      </c>
      <c r="H1095" s="21">
        <v>1568.67</v>
      </c>
    </row>
    <row r="1096" spans="1:8" customFormat="1" x14ac:dyDescent="0.25">
      <c r="A1096" t="str">
        <f>"863596"</f>
        <v>863596</v>
      </c>
      <c r="B1096" t="s">
        <v>1526</v>
      </c>
      <c r="C1096" t="s">
        <v>249</v>
      </c>
      <c r="D1096" s="21" t="s">
        <v>34</v>
      </c>
      <c r="E1096" s="21" t="s">
        <v>35</v>
      </c>
      <c r="F1096">
        <v>1380056</v>
      </c>
      <c r="G1096" t="s">
        <v>846</v>
      </c>
      <c r="H1096" s="21">
        <v>1568.17</v>
      </c>
    </row>
    <row r="1097" spans="1:8" customFormat="1" x14ac:dyDescent="0.25">
      <c r="A1097" t="str">
        <f>"729593"</f>
        <v>729593</v>
      </c>
      <c r="B1097" t="s">
        <v>1824</v>
      </c>
      <c r="C1097" t="s">
        <v>812</v>
      </c>
      <c r="D1097" s="21" t="s">
        <v>34</v>
      </c>
      <c r="E1097" s="21" t="s">
        <v>35</v>
      </c>
      <c r="F1097">
        <v>6670003</v>
      </c>
      <c r="G1097" t="s">
        <v>1520</v>
      </c>
      <c r="H1097" s="21">
        <v>1568.17</v>
      </c>
    </row>
    <row r="1098" spans="1:8" customFormat="1" x14ac:dyDescent="0.25">
      <c r="A1098" t="str">
        <f>"69826"</f>
        <v>69826</v>
      </c>
      <c r="B1098" t="s">
        <v>2023</v>
      </c>
      <c r="C1098" t="s">
        <v>253</v>
      </c>
      <c r="D1098" s="21" t="s">
        <v>34</v>
      </c>
      <c r="E1098" s="21" t="s">
        <v>71</v>
      </c>
      <c r="F1098">
        <v>1690023</v>
      </c>
      <c r="G1098" t="s">
        <v>647</v>
      </c>
      <c r="H1098" s="21">
        <v>1568.17</v>
      </c>
    </row>
    <row r="1099" spans="1:8" customFormat="1" x14ac:dyDescent="0.25">
      <c r="A1099" t="str">
        <f>"953943"</f>
        <v>953943</v>
      </c>
      <c r="B1099" t="s">
        <v>1880</v>
      </c>
      <c r="C1099" t="s">
        <v>926</v>
      </c>
      <c r="D1099" s="21" t="s">
        <v>34</v>
      </c>
      <c r="E1099" s="21" t="s">
        <v>35</v>
      </c>
      <c r="F1099">
        <v>8950262</v>
      </c>
      <c r="G1099" t="s">
        <v>1881</v>
      </c>
      <c r="H1099" s="21">
        <v>1568.05</v>
      </c>
    </row>
    <row r="1100" spans="1:8" customFormat="1" x14ac:dyDescent="0.25">
      <c r="A1100" t="str">
        <f>"62912"</f>
        <v>62912</v>
      </c>
      <c r="B1100" t="s">
        <v>12483</v>
      </c>
      <c r="C1100" t="s">
        <v>60</v>
      </c>
      <c r="D1100" s="21" t="s">
        <v>34</v>
      </c>
      <c r="E1100" s="21" t="s">
        <v>35</v>
      </c>
      <c r="F1100">
        <v>7620040</v>
      </c>
      <c r="G1100" t="s">
        <v>1319</v>
      </c>
      <c r="H1100" s="21">
        <v>1568</v>
      </c>
    </row>
    <row r="1101" spans="1:8" customFormat="1" x14ac:dyDescent="0.25">
      <c r="A1101" t="str">
        <f>"375626"</f>
        <v>375626</v>
      </c>
      <c r="B1101" t="s">
        <v>987</v>
      </c>
      <c r="C1101" t="s">
        <v>43</v>
      </c>
      <c r="D1101" s="21" t="s">
        <v>34</v>
      </c>
      <c r="E1101" s="21" t="s">
        <v>35</v>
      </c>
      <c r="F1101">
        <v>4370694</v>
      </c>
      <c r="G1101" t="s">
        <v>989</v>
      </c>
      <c r="H1101" s="21">
        <v>1567.67</v>
      </c>
    </row>
    <row r="1102" spans="1:8" customFormat="1" x14ac:dyDescent="0.25">
      <c r="A1102" t="str">
        <f>"4512351"</f>
        <v>4512351</v>
      </c>
      <c r="B1102" t="s">
        <v>1613</v>
      </c>
      <c r="C1102" t="s">
        <v>33</v>
      </c>
      <c r="D1102" s="21" t="s">
        <v>34</v>
      </c>
      <c r="E1102" s="21" t="s">
        <v>35</v>
      </c>
      <c r="F1102">
        <v>4450751</v>
      </c>
      <c r="G1102" t="s">
        <v>442</v>
      </c>
      <c r="H1102" s="21">
        <v>1567.55</v>
      </c>
    </row>
    <row r="1103" spans="1:8" customFormat="1" x14ac:dyDescent="0.25">
      <c r="A1103" t="str">
        <f>"5932995"</f>
        <v>5932995</v>
      </c>
      <c r="B1103" t="s">
        <v>1835</v>
      </c>
      <c r="C1103" t="s">
        <v>121</v>
      </c>
      <c r="D1103" s="21" t="s">
        <v>34</v>
      </c>
      <c r="E1103" s="21" t="s">
        <v>35</v>
      </c>
      <c r="F1103">
        <v>7590123</v>
      </c>
      <c r="G1103" t="s">
        <v>85</v>
      </c>
      <c r="H1103" s="21">
        <v>1567.42</v>
      </c>
    </row>
    <row r="1104" spans="1:8" customFormat="1" x14ac:dyDescent="0.25">
      <c r="A1104" t="str">
        <f>"49749"</f>
        <v>49749</v>
      </c>
      <c r="B1104" t="s">
        <v>1652</v>
      </c>
      <c r="C1104" t="s">
        <v>239</v>
      </c>
      <c r="D1104" s="21" t="s">
        <v>34</v>
      </c>
      <c r="E1104" s="21" t="s">
        <v>71</v>
      </c>
      <c r="F1104">
        <v>12490027</v>
      </c>
      <c r="G1104" t="s">
        <v>766</v>
      </c>
      <c r="H1104" s="21">
        <v>1567.17</v>
      </c>
    </row>
    <row r="1105" spans="1:8" customFormat="1" x14ac:dyDescent="0.25">
      <c r="A1105" t="str">
        <f>"564892"</f>
        <v>564892</v>
      </c>
      <c r="B1105" t="s">
        <v>1802</v>
      </c>
      <c r="C1105" t="s">
        <v>2100</v>
      </c>
      <c r="D1105" s="21" t="s">
        <v>34</v>
      </c>
      <c r="E1105" s="21" t="s">
        <v>35</v>
      </c>
      <c r="F1105">
        <v>3560005</v>
      </c>
      <c r="G1105" t="s">
        <v>2101</v>
      </c>
      <c r="H1105" s="21">
        <v>1567.17</v>
      </c>
    </row>
    <row r="1106" spans="1:8" customFormat="1" x14ac:dyDescent="0.25">
      <c r="A1106" t="str">
        <f>"676599"</f>
        <v>676599</v>
      </c>
      <c r="B1106" t="s">
        <v>2120</v>
      </c>
      <c r="C1106" t="s">
        <v>2121</v>
      </c>
      <c r="D1106" s="21" t="s">
        <v>34</v>
      </c>
      <c r="E1106" s="21" t="s">
        <v>71</v>
      </c>
      <c r="F1106">
        <v>6670014</v>
      </c>
      <c r="G1106" t="s">
        <v>4258</v>
      </c>
      <c r="H1106" s="21">
        <v>1567.17</v>
      </c>
    </row>
    <row r="1107" spans="1:8" customFormat="1" x14ac:dyDescent="0.25">
      <c r="A1107" t="str">
        <f>"33206"</f>
        <v>33206</v>
      </c>
      <c r="B1107" t="s">
        <v>1624</v>
      </c>
      <c r="C1107" t="s">
        <v>263</v>
      </c>
      <c r="D1107" s="21" t="s">
        <v>34</v>
      </c>
      <c r="E1107" s="21" t="s">
        <v>71</v>
      </c>
      <c r="F1107">
        <v>10330003</v>
      </c>
      <c r="G1107" t="s">
        <v>309</v>
      </c>
      <c r="H1107" s="21">
        <v>1566.67</v>
      </c>
    </row>
    <row r="1108" spans="1:8" customFormat="1" x14ac:dyDescent="0.25">
      <c r="A1108" t="str">
        <f>"299547"</f>
        <v>299547</v>
      </c>
      <c r="B1108" t="s">
        <v>2063</v>
      </c>
      <c r="C1108" t="s">
        <v>926</v>
      </c>
      <c r="D1108" s="21" t="s">
        <v>34</v>
      </c>
      <c r="E1108" s="21" t="s">
        <v>35</v>
      </c>
      <c r="F1108">
        <v>10330009</v>
      </c>
      <c r="G1108" t="s">
        <v>2064</v>
      </c>
      <c r="H1108" s="21">
        <v>1566.31</v>
      </c>
    </row>
    <row r="1109" spans="1:8" customFormat="1" x14ac:dyDescent="0.25">
      <c r="A1109" t="str">
        <f>"4447779"</f>
        <v>4447779</v>
      </c>
      <c r="B1109" t="s">
        <v>2052</v>
      </c>
      <c r="C1109" t="s">
        <v>2053</v>
      </c>
      <c r="D1109" s="21" t="s">
        <v>34</v>
      </c>
      <c r="E1109" s="21" t="s">
        <v>35</v>
      </c>
      <c r="F1109">
        <v>12440033</v>
      </c>
      <c r="G1109" t="s">
        <v>1638</v>
      </c>
      <c r="H1109" s="21">
        <v>1566.06</v>
      </c>
    </row>
    <row r="1110" spans="1:8" customFormat="1" x14ac:dyDescent="0.25">
      <c r="A1110" t="str">
        <f>"1410888"</f>
        <v>1410888</v>
      </c>
      <c r="B1110" t="s">
        <v>16818</v>
      </c>
      <c r="C1110" t="s">
        <v>576</v>
      </c>
      <c r="D1110" s="21" t="s">
        <v>34</v>
      </c>
      <c r="E1110" s="21" t="s">
        <v>35</v>
      </c>
      <c r="F1110">
        <v>3290090</v>
      </c>
      <c r="G1110" t="s">
        <v>1390</v>
      </c>
      <c r="H1110" s="21">
        <v>1565.8</v>
      </c>
    </row>
    <row r="1111" spans="1:8" customFormat="1" x14ac:dyDescent="0.25">
      <c r="A1111" t="str">
        <f>"58106"</f>
        <v>58106</v>
      </c>
      <c r="B1111" t="s">
        <v>1502</v>
      </c>
      <c r="C1111" t="s">
        <v>486</v>
      </c>
      <c r="D1111" s="21" t="s">
        <v>34</v>
      </c>
      <c r="E1111" s="21" t="s">
        <v>35</v>
      </c>
      <c r="F1111">
        <v>2580007</v>
      </c>
      <c r="G1111" t="s">
        <v>1503</v>
      </c>
      <c r="H1111" s="21">
        <v>1565.67</v>
      </c>
    </row>
    <row r="1112" spans="1:8" customFormat="1" x14ac:dyDescent="0.25">
      <c r="A1112" t="str">
        <f>"028282"</f>
        <v>028282</v>
      </c>
      <c r="B1112" t="s">
        <v>1795</v>
      </c>
      <c r="C1112" t="s">
        <v>1708</v>
      </c>
      <c r="D1112" s="21" t="s">
        <v>34</v>
      </c>
      <c r="E1112" s="21" t="s">
        <v>35</v>
      </c>
      <c r="F1112">
        <v>7020030</v>
      </c>
      <c r="G1112" t="s">
        <v>1796</v>
      </c>
      <c r="H1112" s="21">
        <v>1565.67</v>
      </c>
    </row>
    <row r="1113" spans="1:8" customFormat="1" x14ac:dyDescent="0.25">
      <c r="A1113" t="str">
        <f>"912832"</f>
        <v>912832</v>
      </c>
      <c r="B1113" t="s">
        <v>1839</v>
      </c>
      <c r="C1113" t="s">
        <v>253</v>
      </c>
      <c r="D1113" s="21" t="s">
        <v>34</v>
      </c>
      <c r="E1113" s="21" t="s">
        <v>71</v>
      </c>
      <c r="F1113">
        <v>8911334</v>
      </c>
      <c r="G1113" t="s">
        <v>4170</v>
      </c>
      <c r="H1113" s="21">
        <v>1565.67</v>
      </c>
    </row>
    <row r="1114" spans="1:8" customFormat="1" x14ac:dyDescent="0.25">
      <c r="A1114" t="str">
        <f>"1415416"</f>
        <v>1415416</v>
      </c>
      <c r="B1114" t="s">
        <v>1774</v>
      </c>
      <c r="C1114" t="s">
        <v>269</v>
      </c>
      <c r="D1114" s="21" t="s">
        <v>34</v>
      </c>
      <c r="E1114" s="21" t="s">
        <v>71</v>
      </c>
      <c r="F1114">
        <v>9140071</v>
      </c>
      <c r="G1114" t="s">
        <v>1775</v>
      </c>
      <c r="H1114" s="21">
        <v>1565.17</v>
      </c>
    </row>
    <row r="1115" spans="1:8" customFormat="1" x14ac:dyDescent="0.25">
      <c r="A1115" t="str">
        <f>"3331182"</f>
        <v>3331182</v>
      </c>
      <c r="B1115" t="s">
        <v>2006</v>
      </c>
      <c r="C1115" t="s">
        <v>209</v>
      </c>
      <c r="D1115" s="21" t="s">
        <v>34</v>
      </c>
      <c r="E1115" s="21" t="s">
        <v>71</v>
      </c>
      <c r="F1115">
        <v>10330003</v>
      </c>
      <c r="G1115" t="s">
        <v>309</v>
      </c>
      <c r="H1115" s="21">
        <v>1565.17</v>
      </c>
    </row>
    <row r="1116" spans="1:8" customFormat="1" x14ac:dyDescent="0.25">
      <c r="A1116" t="str">
        <f>"143414"</f>
        <v>143414</v>
      </c>
      <c r="B1116" t="s">
        <v>1919</v>
      </c>
      <c r="C1116" t="s">
        <v>204</v>
      </c>
      <c r="D1116" s="21" t="s">
        <v>34</v>
      </c>
      <c r="E1116" s="21" t="s">
        <v>35</v>
      </c>
      <c r="F1116">
        <v>9140078</v>
      </c>
      <c r="G1116" t="s">
        <v>1920</v>
      </c>
      <c r="H1116" s="21">
        <v>1565.17</v>
      </c>
    </row>
    <row r="1117" spans="1:8" customFormat="1" x14ac:dyDescent="0.25">
      <c r="A1117" t="str">
        <f>"912847"</f>
        <v>912847</v>
      </c>
      <c r="B1117" t="s">
        <v>2116</v>
      </c>
      <c r="C1117" t="s">
        <v>2117</v>
      </c>
      <c r="D1117" s="21" t="s">
        <v>34</v>
      </c>
      <c r="E1117" s="21" t="s">
        <v>35</v>
      </c>
      <c r="F1117">
        <v>8911161</v>
      </c>
      <c r="G1117" t="s">
        <v>599</v>
      </c>
      <c r="H1117" s="21">
        <v>1565.17</v>
      </c>
    </row>
    <row r="1118" spans="1:8" customFormat="1" x14ac:dyDescent="0.25">
      <c r="A1118" t="str">
        <f>"8511379"</f>
        <v>8511379</v>
      </c>
      <c r="B1118" t="s">
        <v>2104</v>
      </c>
      <c r="C1118" t="s">
        <v>33</v>
      </c>
      <c r="D1118" s="21" t="s">
        <v>34</v>
      </c>
      <c r="E1118" s="21" t="s">
        <v>35</v>
      </c>
      <c r="F1118">
        <v>12851023</v>
      </c>
      <c r="G1118" t="s">
        <v>1075</v>
      </c>
      <c r="H1118" s="21">
        <v>1565.17</v>
      </c>
    </row>
    <row r="1119" spans="1:8" customFormat="1" x14ac:dyDescent="0.25">
      <c r="A1119" t="str">
        <f>"8011223"</f>
        <v>8011223</v>
      </c>
      <c r="B1119" t="s">
        <v>1251</v>
      </c>
      <c r="C1119" t="s">
        <v>608</v>
      </c>
      <c r="D1119" s="21" t="s">
        <v>34</v>
      </c>
      <c r="E1119" s="21" t="s">
        <v>71</v>
      </c>
      <c r="F1119">
        <v>7800001</v>
      </c>
      <c r="G1119" t="s">
        <v>176</v>
      </c>
      <c r="H1119" s="21">
        <v>1564.92</v>
      </c>
    </row>
    <row r="1120" spans="1:8" customFormat="1" x14ac:dyDescent="0.25">
      <c r="A1120" t="str">
        <f>"444710"</f>
        <v>444710</v>
      </c>
      <c r="B1120" t="s">
        <v>1672</v>
      </c>
      <c r="C1120" t="s">
        <v>204</v>
      </c>
      <c r="D1120" s="21" t="s">
        <v>34</v>
      </c>
      <c r="E1120" s="21" t="s">
        <v>35</v>
      </c>
      <c r="F1120">
        <v>12440058</v>
      </c>
      <c r="G1120" t="s">
        <v>394</v>
      </c>
      <c r="H1120" s="21">
        <v>1564.67</v>
      </c>
    </row>
    <row r="1121" spans="1:8" customFormat="1" x14ac:dyDescent="0.25">
      <c r="A1121" t="str">
        <f>"804293"</f>
        <v>804293</v>
      </c>
      <c r="B1121" t="s">
        <v>1759</v>
      </c>
      <c r="C1121" t="s">
        <v>43</v>
      </c>
      <c r="D1121" s="21" t="s">
        <v>34</v>
      </c>
      <c r="E1121" s="21" t="s">
        <v>35</v>
      </c>
      <c r="F1121">
        <v>7800008</v>
      </c>
      <c r="G1121" t="s">
        <v>842</v>
      </c>
      <c r="H1121" s="21">
        <v>1564.67</v>
      </c>
    </row>
    <row r="1122" spans="1:8" customFormat="1" x14ac:dyDescent="0.25">
      <c r="A1122" t="str">
        <f>"5923178"</f>
        <v>5923178</v>
      </c>
      <c r="B1122" t="s">
        <v>1439</v>
      </c>
      <c r="C1122" t="s">
        <v>65</v>
      </c>
      <c r="D1122" s="21" t="s">
        <v>34</v>
      </c>
      <c r="E1122" s="21" t="s">
        <v>35</v>
      </c>
      <c r="F1122">
        <v>7620054</v>
      </c>
      <c r="G1122" t="s">
        <v>1677</v>
      </c>
      <c r="H1122" s="21">
        <v>1564.67</v>
      </c>
    </row>
    <row r="1123" spans="1:8" customFormat="1" x14ac:dyDescent="0.25">
      <c r="A1123" t="str">
        <f>"4439328"</f>
        <v>4439328</v>
      </c>
      <c r="B1123" t="s">
        <v>1950</v>
      </c>
      <c r="C1123" t="s">
        <v>119</v>
      </c>
      <c r="D1123" s="21" t="s">
        <v>34</v>
      </c>
      <c r="E1123" s="21" t="s">
        <v>71</v>
      </c>
      <c r="F1123">
        <v>12440084</v>
      </c>
      <c r="G1123" t="s">
        <v>1014</v>
      </c>
      <c r="H1123" s="21">
        <v>1564.17</v>
      </c>
    </row>
    <row r="1124" spans="1:8" customFormat="1" x14ac:dyDescent="0.25">
      <c r="A1124" t="str">
        <f>"78474"</f>
        <v>78474</v>
      </c>
      <c r="B1124" t="s">
        <v>1570</v>
      </c>
      <c r="C1124" t="s">
        <v>269</v>
      </c>
      <c r="D1124" s="21" t="s">
        <v>34</v>
      </c>
      <c r="E1124" s="21" t="s">
        <v>71</v>
      </c>
      <c r="F1124">
        <v>8780632</v>
      </c>
      <c r="G1124" t="s">
        <v>1571</v>
      </c>
      <c r="H1124" s="21">
        <v>1564.17</v>
      </c>
    </row>
    <row r="1125" spans="1:8" customFormat="1" x14ac:dyDescent="0.25">
      <c r="A1125" t="str">
        <f>"7716260"</f>
        <v>7716260</v>
      </c>
      <c r="B1125" t="s">
        <v>1846</v>
      </c>
      <c r="C1125" t="s">
        <v>269</v>
      </c>
      <c r="D1125" s="21" t="s">
        <v>34</v>
      </c>
      <c r="E1125" s="21" t="s">
        <v>71</v>
      </c>
      <c r="F1125">
        <v>8770426</v>
      </c>
      <c r="G1125" t="s">
        <v>1847</v>
      </c>
      <c r="H1125" s="21">
        <v>1564.05</v>
      </c>
    </row>
    <row r="1126" spans="1:8" customFormat="1" x14ac:dyDescent="0.25">
      <c r="A1126" t="str">
        <f>"7514353"</f>
        <v>7514353</v>
      </c>
      <c r="B1126" t="s">
        <v>1488</v>
      </c>
      <c r="C1126" t="s">
        <v>1489</v>
      </c>
      <c r="D1126" s="21" t="s">
        <v>34</v>
      </c>
      <c r="E1126" s="21" t="s">
        <v>35</v>
      </c>
      <c r="F1126">
        <v>8920111</v>
      </c>
      <c r="G1126" t="s">
        <v>1064</v>
      </c>
      <c r="H1126" s="21">
        <v>1563.8</v>
      </c>
    </row>
    <row r="1127" spans="1:8" customFormat="1" x14ac:dyDescent="0.25">
      <c r="A1127" t="str">
        <f>"23514"</f>
        <v>23514</v>
      </c>
      <c r="B1127" t="s">
        <v>1979</v>
      </c>
      <c r="C1127" t="s">
        <v>43</v>
      </c>
      <c r="D1127" s="21" t="s">
        <v>34</v>
      </c>
      <c r="E1127" s="21" t="s">
        <v>35</v>
      </c>
      <c r="F1127">
        <v>10230111</v>
      </c>
      <c r="G1127" t="s">
        <v>1980</v>
      </c>
      <c r="H1127" s="21">
        <v>1563.67</v>
      </c>
    </row>
    <row r="1128" spans="1:8" customFormat="1" x14ac:dyDescent="0.25">
      <c r="A1128" t="str">
        <f>"144569"</f>
        <v>144569</v>
      </c>
      <c r="B1128" t="s">
        <v>2339</v>
      </c>
      <c r="C1128" t="s">
        <v>119</v>
      </c>
      <c r="D1128" s="21" t="s">
        <v>34</v>
      </c>
      <c r="E1128" s="21" t="s">
        <v>35</v>
      </c>
      <c r="F1128">
        <v>8940549</v>
      </c>
      <c r="G1128" t="s">
        <v>454</v>
      </c>
      <c r="H1128" s="21">
        <v>1563.67</v>
      </c>
    </row>
    <row r="1129" spans="1:8" customFormat="1" x14ac:dyDescent="0.25">
      <c r="A1129" t="str">
        <f>"925596"</f>
        <v>925596</v>
      </c>
      <c r="B1129" t="s">
        <v>1678</v>
      </c>
      <c r="C1129" t="s">
        <v>171</v>
      </c>
      <c r="D1129" s="21" t="s">
        <v>34</v>
      </c>
      <c r="E1129" s="21" t="s">
        <v>71</v>
      </c>
      <c r="F1129">
        <v>8921190</v>
      </c>
      <c r="G1129" t="s">
        <v>810</v>
      </c>
      <c r="H1129" s="21">
        <v>1563.67</v>
      </c>
    </row>
    <row r="1130" spans="1:8" customFormat="1" x14ac:dyDescent="0.25">
      <c r="A1130" t="str">
        <f>"493004"</f>
        <v>493004</v>
      </c>
      <c r="B1130" t="s">
        <v>136</v>
      </c>
      <c r="C1130" t="s">
        <v>1559</v>
      </c>
      <c r="D1130" s="21" t="s">
        <v>34</v>
      </c>
      <c r="E1130" s="21" t="s">
        <v>35</v>
      </c>
      <c r="F1130">
        <v>12490038</v>
      </c>
      <c r="G1130" t="s">
        <v>467</v>
      </c>
      <c r="H1130" s="21">
        <v>1563.67</v>
      </c>
    </row>
    <row r="1131" spans="1:8" customFormat="1" x14ac:dyDescent="0.25">
      <c r="A1131" t="str">
        <f>"573901"</f>
        <v>573901</v>
      </c>
      <c r="B1131" t="s">
        <v>1764</v>
      </c>
      <c r="C1131" t="s">
        <v>33</v>
      </c>
      <c r="D1131" s="21" t="s">
        <v>34</v>
      </c>
      <c r="E1131" s="21" t="s">
        <v>35</v>
      </c>
      <c r="F1131">
        <v>6570070</v>
      </c>
      <c r="G1131" t="s">
        <v>1765</v>
      </c>
      <c r="H1131" s="21">
        <v>1563.17</v>
      </c>
    </row>
    <row r="1132" spans="1:8" customFormat="1" x14ac:dyDescent="0.25">
      <c r="A1132" t="str">
        <f>"6811228"</f>
        <v>6811228</v>
      </c>
      <c r="B1132" t="s">
        <v>1682</v>
      </c>
      <c r="C1132" t="s">
        <v>249</v>
      </c>
      <c r="D1132" s="21" t="s">
        <v>34</v>
      </c>
      <c r="E1132" s="21" t="s">
        <v>35</v>
      </c>
      <c r="F1132">
        <v>6680128</v>
      </c>
      <c r="G1132" t="s">
        <v>341</v>
      </c>
      <c r="H1132" s="21">
        <v>1563.17</v>
      </c>
    </row>
    <row r="1133" spans="1:8" customFormat="1" x14ac:dyDescent="0.25">
      <c r="A1133" t="str">
        <f>"65438"</f>
        <v>65438</v>
      </c>
      <c r="B1133" t="s">
        <v>1816</v>
      </c>
      <c r="C1133" t="s">
        <v>124</v>
      </c>
      <c r="D1133" s="21" t="s">
        <v>34</v>
      </c>
      <c r="E1133" s="21" t="s">
        <v>35</v>
      </c>
      <c r="F1133">
        <v>11650004</v>
      </c>
      <c r="G1133" t="s">
        <v>382</v>
      </c>
      <c r="H1133" s="21">
        <v>1562.8</v>
      </c>
    </row>
    <row r="1134" spans="1:8" customFormat="1" x14ac:dyDescent="0.25">
      <c r="A1134" t="str">
        <f>"5418029"</f>
        <v>5418029</v>
      </c>
      <c r="B1134" t="s">
        <v>1486</v>
      </c>
      <c r="C1134" t="s">
        <v>124</v>
      </c>
      <c r="D1134" s="21" t="s">
        <v>34</v>
      </c>
      <c r="E1134" s="21" t="s">
        <v>71</v>
      </c>
      <c r="F1134">
        <v>12851011</v>
      </c>
      <c r="G1134" t="s">
        <v>1445</v>
      </c>
      <c r="H1134" s="21">
        <v>1562.67</v>
      </c>
    </row>
    <row r="1135" spans="1:8" customFormat="1" x14ac:dyDescent="0.25">
      <c r="A1135" t="str">
        <f>"6217757"</f>
        <v>6217757</v>
      </c>
      <c r="B1135" t="s">
        <v>1560</v>
      </c>
      <c r="C1135" t="s">
        <v>121</v>
      </c>
      <c r="D1135" s="21" t="s">
        <v>34</v>
      </c>
      <c r="E1135" s="21" t="s">
        <v>35</v>
      </c>
      <c r="F1135">
        <v>7620185</v>
      </c>
      <c r="G1135" t="s">
        <v>1561</v>
      </c>
      <c r="H1135" s="21">
        <v>1562.67</v>
      </c>
    </row>
    <row r="1136" spans="1:8" customFormat="1" x14ac:dyDescent="0.25">
      <c r="A1136" t="str">
        <f>"8813539"</f>
        <v>8813539</v>
      </c>
      <c r="B1136" t="s">
        <v>1431</v>
      </c>
      <c r="C1136" t="s">
        <v>171</v>
      </c>
      <c r="D1136" s="21" t="s">
        <v>34</v>
      </c>
      <c r="E1136" s="21" t="s">
        <v>71</v>
      </c>
      <c r="F1136">
        <v>6880002</v>
      </c>
      <c r="G1136" t="s">
        <v>501</v>
      </c>
      <c r="H1136" s="21">
        <v>1561.8</v>
      </c>
    </row>
    <row r="1137" spans="1:8" customFormat="1" x14ac:dyDescent="0.25">
      <c r="A1137" t="str">
        <f>"4516164"</f>
        <v>4516164</v>
      </c>
      <c r="B1137" t="s">
        <v>1913</v>
      </c>
      <c r="C1137" t="s">
        <v>1914</v>
      </c>
      <c r="D1137" s="21" t="s">
        <v>34</v>
      </c>
      <c r="E1137" s="21" t="s">
        <v>71</v>
      </c>
      <c r="F1137">
        <v>4450410</v>
      </c>
      <c r="G1137" t="s">
        <v>26525</v>
      </c>
      <c r="H1137" s="21">
        <v>1561.67</v>
      </c>
    </row>
    <row r="1138" spans="1:8" customFormat="1" x14ac:dyDescent="0.25">
      <c r="A1138" t="str">
        <f>"454506"</f>
        <v>454506</v>
      </c>
      <c r="B1138" t="s">
        <v>1361</v>
      </c>
      <c r="C1138" t="s">
        <v>109</v>
      </c>
      <c r="D1138" s="21" t="s">
        <v>34</v>
      </c>
      <c r="E1138" s="21" t="s">
        <v>35</v>
      </c>
      <c r="F1138">
        <v>4360454</v>
      </c>
      <c r="G1138" t="s">
        <v>637</v>
      </c>
      <c r="H1138" s="21">
        <v>1561.67</v>
      </c>
    </row>
    <row r="1139" spans="1:8" customFormat="1" x14ac:dyDescent="0.25">
      <c r="A1139" t="str">
        <f>"3323801"</f>
        <v>3323801</v>
      </c>
      <c r="B1139" t="s">
        <v>26627</v>
      </c>
      <c r="C1139" t="s">
        <v>11797</v>
      </c>
      <c r="D1139" s="21" t="s">
        <v>34</v>
      </c>
      <c r="E1139" s="21" t="s">
        <v>35</v>
      </c>
      <c r="F1139">
        <v>11660009</v>
      </c>
      <c r="G1139" t="s">
        <v>26624</v>
      </c>
      <c r="H1139" s="21">
        <v>1561.17</v>
      </c>
    </row>
    <row r="1140" spans="1:8" customFormat="1" x14ac:dyDescent="0.25">
      <c r="A1140" t="str">
        <f>"59776"</f>
        <v>59776</v>
      </c>
      <c r="B1140" t="s">
        <v>1773</v>
      </c>
      <c r="C1140" t="s">
        <v>209</v>
      </c>
      <c r="D1140" s="21" t="s">
        <v>34</v>
      </c>
      <c r="E1140" s="21" t="s">
        <v>35</v>
      </c>
      <c r="F1140">
        <v>7590005</v>
      </c>
      <c r="G1140" t="s">
        <v>540</v>
      </c>
      <c r="H1140" s="21">
        <v>1561.17</v>
      </c>
    </row>
    <row r="1141" spans="1:8" customFormat="1" x14ac:dyDescent="0.25">
      <c r="A1141" t="str">
        <f>"854886"</f>
        <v>854886</v>
      </c>
      <c r="B1141" t="s">
        <v>10087</v>
      </c>
      <c r="C1141" t="s">
        <v>1359</v>
      </c>
      <c r="D1141" s="21" t="s">
        <v>34</v>
      </c>
      <c r="E1141" s="21" t="s">
        <v>35</v>
      </c>
      <c r="F1141">
        <v>12850165</v>
      </c>
      <c r="G1141" t="s">
        <v>9632</v>
      </c>
      <c r="H1141" s="21">
        <v>1560.79</v>
      </c>
    </row>
    <row r="1142" spans="1:8" customFormat="1" x14ac:dyDescent="0.25">
      <c r="A1142" t="str">
        <f>"956062"</f>
        <v>956062</v>
      </c>
      <c r="B1142" t="s">
        <v>1525</v>
      </c>
      <c r="C1142" t="s">
        <v>33</v>
      </c>
      <c r="D1142" s="21" t="s">
        <v>34</v>
      </c>
      <c r="E1142" s="21" t="s">
        <v>35</v>
      </c>
      <c r="F1142">
        <v>8950553</v>
      </c>
      <c r="G1142" t="s">
        <v>1058</v>
      </c>
      <c r="H1142" s="21">
        <v>1560.67</v>
      </c>
    </row>
    <row r="1143" spans="1:8" customFormat="1" x14ac:dyDescent="0.25">
      <c r="A1143" t="str">
        <f>"622569"</f>
        <v>622569</v>
      </c>
      <c r="B1143" t="s">
        <v>6002</v>
      </c>
      <c r="C1143" t="s">
        <v>656</v>
      </c>
      <c r="D1143" s="21" t="s">
        <v>34</v>
      </c>
      <c r="E1143" s="21" t="s">
        <v>35</v>
      </c>
      <c r="F1143">
        <v>7590074</v>
      </c>
      <c r="G1143" t="s">
        <v>1992</v>
      </c>
      <c r="H1143" s="21">
        <v>1560.67</v>
      </c>
    </row>
    <row r="1144" spans="1:8" customFormat="1" x14ac:dyDescent="0.25">
      <c r="A1144" t="str">
        <f>"596082"</f>
        <v>596082</v>
      </c>
      <c r="B1144" t="s">
        <v>1778</v>
      </c>
      <c r="C1144" t="s">
        <v>169</v>
      </c>
      <c r="D1144" s="21" t="s">
        <v>34</v>
      </c>
      <c r="E1144" s="21" t="s">
        <v>35</v>
      </c>
      <c r="F1144">
        <v>7590028</v>
      </c>
      <c r="G1144" t="s">
        <v>251</v>
      </c>
      <c r="H1144" s="21">
        <v>1560.17</v>
      </c>
    </row>
    <row r="1145" spans="1:8" customFormat="1" x14ac:dyDescent="0.25">
      <c r="A1145" t="str">
        <f>"4510943"</f>
        <v>4510943</v>
      </c>
      <c r="B1145" t="s">
        <v>1645</v>
      </c>
      <c r="C1145" t="s">
        <v>209</v>
      </c>
      <c r="D1145" s="21" t="s">
        <v>34</v>
      </c>
      <c r="E1145" s="21" t="s">
        <v>71</v>
      </c>
      <c r="F1145">
        <v>4450702</v>
      </c>
      <c r="G1145" t="s">
        <v>1772</v>
      </c>
      <c r="H1145" s="21">
        <v>1559.92</v>
      </c>
    </row>
    <row r="1146" spans="1:8" customFormat="1" x14ac:dyDescent="0.25">
      <c r="A1146" t="str">
        <f>"49146"</f>
        <v>49146</v>
      </c>
      <c r="B1146" t="s">
        <v>1479</v>
      </c>
      <c r="C1146" t="s">
        <v>244</v>
      </c>
      <c r="D1146" s="21" t="s">
        <v>34</v>
      </c>
      <c r="E1146" s="21" t="s">
        <v>35</v>
      </c>
      <c r="F1146">
        <v>12490006</v>
      </c>
      <c r="G1146" t="s">
        <v>1480</v>
      </c>
      <c r="H1146" s="21">
        <v>1559.67</v>
      </c>
    </row>
    <row r="1147" spans="1:8" customFormat="1" x14ac:dyDescent="0.25">
      <c r="A1147" t="str">
        <f>"143685"</f>
        <v>143685</v>
      </c>
      <c r="B1147" t="s">
        <v>1836</v>
      </c>
      <c r="C1147" t="s">
        <v>263</v>
      </c>
      <c r="D1147" s="21" t="s">
        <v>34</v>
      </c>
      <c r="E1147" s="21" t="s">
        <v>35</v>
      </c>
      <c r="F1147">
        <v>9140013</v>
      </c>
      <c r="G1147" t="s">
        <v>1837</v>
      </c>
      <c r="H1147" s="21">
        <v>1559.67</v>
      </c>
    </row>
    <row r="1148" spans="1:8" customFormat="1" x14ac:dyDescent="0.25">
      <c r="A1148" t="str">
        <f>"955700"</f>
        <v>955700</v>
      </c>
      <c r="B1148" t="s">
        <v>1586</v>
      </c>
      <c r="C1148" t="s">
        <v>121</v>
      </c>
      <c r="D1148" s="21" t="s">
        <v>34</v>
      </c>
      <c r="E1148" s="21" t="s">
        <v>35</v>
      </c>
      <c r="F1148">
        <v>13130067</v>
      </c>
      <c r="G1148" t="s">
        <v>1420</v>
      </c>
      <c r="H1148" s="21">
        <v>1559.67</v>
      </c>
    </row>
    <row r="1149" spans="1:8" customFormat="1" x14ac:dyDescent="0.25">
      <c r="A1149" t="str">
        <f>"757614"</f>
        <v>757614</v>
      </c>
      <c r="B1149" t="s">
        <v>51</v>
      </c>
      <c r="C1149" t="s">
        <v>1916</v>
      </c>
      <c r="D1149" s="21" t="s">
        <v>34</v>
      </c>
      <c r="E1149" s="21" t="s">
        <v>254</v>
      </c>
      <c r="F1149">
        <v>8751061</v>
      </c>
      <c r="G1149" t="s">
        <v>26628</v>
      </c>
      <c r="H1149" s="21">
        <v>1559.55</v>
      </c>
    </row>
    <row r="1150" spans="1:8" customFormat="1" x14ac:dyDescent="0.25">
      <c r="A1150" t="str">
        <f>"774688"</f>
        <v>774688</v>
      </c>
      <c r="B1150" t="s">
        <v>1793</v>
      </c>
      <c r="C1150" t="s">
        <v>249</v>
      </c>
      <c r="D1150" s="21" t="s">
        <v>34</v>
      </c>
      <c r="E1150" s="21" t="s">
        <v>71</v>
      </c>
      <c r="F1150">
        <v>10790025</v>
      </c>
      <c r="G1150" t="s">
        <v>1218</v>
      </c>
      <c r="H1150" s="21">
        <v>1559.5</v>
      </c>
    </row>
    <row r="1151" spans="1:8" customFormat="1" x14ac:dyDescent="0.25">
      <c r="A1151" t="str">
        <f>"272879"</f>
        <v>272879</v>
      </c>
      <c r="B1151" t="s">
        <v>2189</v>
      </c>
      <c r="C1151" t="s">
        <v>544</v>
      </c>
      <c r="D1151" s="21" t="s">
        <v>34</v>
      </c>
      <c r="E1151" s="21" t="s">
        <v>35</v>
      </c>
      <c r="F1151">
        <v>9270151</v>
      </c>
      <c r="G1151" t="s">
        <v>626</v>
      </c>
      <c r="H1151" s="21">
        <v>1558.8</v>
      </c>
    </row>
    <row r="1152" spans="1:8" customFormat="1" x14ac:dyDescent="0.25">
      <c r="A1152" t="str">
        <f>"883302"</f>
        <v>883302</v>
      </c>
      <c r="B1152" t="s">
        <v>1490</v>
      </c>
      <c r="C1152" t="s">
        <v>87</v>
      </c>
      <c r="D1152" s="21" t="s">
        <v>34</v>
      </c>
      <c r="E1152" s="21" t="s">
        <v>71</v>
      </c>
      <c r="F1152">
        <v>6880010</v>
      </c>
      <c r="G1152" t="s">
        <v>1029</v>
      </c>
      <c r="H1152" s="21">
        <v>1558.79</v>
      </c>
    </row>
    <row r="1153" spans="1:8" customFormat="1" x14ac:dyDescent="0.25">
      <c r="A1153" t="str">
        <f>"111376"</f>
        <v>111376</v>
      </c>
      <c r="B1153" t="s">
        <v>1027</v>
      </c>
      <c r="C1153" t="s">
        <v>82</v>
      </c>
      <c r="D1153" s="21" t="s">
        <v>34</v>
      </c>
      <c r="E1153" s="21" t="s">
        <v>35</v>
      </c>
      <c r="F1153">
        <v>11110023</v>
      </c>
      <c r="G1153" t="s">
        <v>1849</v>
      </c>
      <c r="H1153" s="21">
        <v>1558.67</v>
      </c>
    </row>
    <row r="1154" spans="1:8" customFormat="1" x14ac:dyDescent="0.25">
      <c r="A1154" t="str">
        <f>"4920578"</f>
        <v>4920578</v>
      </c>
      <c r="B1154" t="s">
        <v>1733</v>
      </c>
      <c r="C1154" t="s">
        <v>62</v>
      </c>
      <c r="D1154" s="21" t="s">
        <v>34</v>
      </c>
      <c r="E1154" s="21" t="s">
        <v>35</v>
      </c>
      <c r="F1154">
        <v>12490038</v>
      </c>
      <c r="G1154" t="s">
        <v>467</v>
      </c>
      <c r="H1154" s="21">
        <v>1558.67</v>
      </c>
    </row>
    <row r="1155" spans="1:8" customFormat="1" x14ac:dyDescent="0.25">
      <c r="A1155" t="str">
        <f>"778087"</f>
        <v>778087</v>
      </c>
      <c r="B1155" t="s">
        <v>1762</v>
      </c>
      <c r="C1155" t="s">
        <v>149</v>
      </c>
      <c r="D1155" s="21" t="s">
        <v>34</v>
      </c>
      <c r="E1155" s="21" t="s">
        <v>35</v>
      </c>
      <c r="F1155">
        <v>8770489</v>
      </c>
      <c r="G1155" t="s">
        <v>1763</v>
      </c>
      <c r="H1155" s="21">
        <v>1558.67</v>
      </c>
    </row>
    <row r="1156" spans="1:8" customFormat="1" x14ac:dyDescent="0.25">
      <c r="A1156" t="str">
        <f>"808537"</f>
        <v>808537</v>
      </c>
      <c r="B1156" t="s">
        <v>1611</v>
      </c>
      <c r="C1156" t="s">
        <v>87</v>
      </c>
      <c r="D1156" s="21" t="s">
        <v>34</v>
      </c>
      <c r="E1156" s="21" t="s">
        <v>35</v>
      </c>
      <c r="F1156">
        <v>9760463</v>
      </c>
      <c r="G1156" t="s">
        <v>1188</v>
      </c>
      <c r="H1156" s="21">
        <v>1558.67</v>
      </c>
    </row>
    <row r="1157" spans="1:8" customFormat="1" x14ac:dyDescent="0.25">
      <c r="A1157" t="str">
        <f>"8011893"</f>
        <v>8011893</v>
      </c>
      <c r="B1157" t="s">
        <v>1805</v>
      </c>
      <c r="C1157" t="s">
        <v>174</v>
      </c>
      <c r="D1157" s="21" t="s">
        <v>34</v>
      </c>
      <c r="E1157" s="21" t="s">
        <v>35</v>
      </c>
      <c r="F1157">
        <v>10870116</v>
      </c>
      <c r="G1157" t="s">
        <v>1806</v>
      </c>
      <c r="H1157" s="21">
        <v>1558.17</v>
      </c>
    </row>
    <row r="1158" spans="1:8" customFormat="1" x14ac:dyDescent="0.25">
      <c r="A1158" t="str">
        <f>"4429647"</f>
        <v>4429647</v>
      </c>
      <c r="B1158" t="s">
        <v>497</v>
      </c>
      <c r="C1158" t="s">
        <v>26629</v>
      </c>
      <c r="D1158" s="21" t="s">
        <v>34</v>
      </c>
      <c r="E1158" s="21" t="s">
        <v>71</v>
      </c>
      <c r="F1158">
        <v>12440058</v>
      </c>
      <c r="G1158" t="s">
        <v>394</v>
      </c>
      <c r="H1158" s="21">
        <v>1558.17</v>
      </c>
    </row>
    <row r="1159" spans="1:8" customFormat="1" x14ac:dyDescent="0.25">
      <c r="A1159" t="str">
        <f>"072016"</f>
        <v>072016</v>
      </c>
      <c r="B1159" t="s">
        <v>1957</v>
      </c>
      <c r="C1159" t="s">
        <v>124</v>
      </c>
      <c r="D1159" s="21" t="s">
        <v>34</v>
      </c>
      <c r="E1159" s="21" t="s">
        <v>71</v>
      </c>
      <c r="F1159">
        <v>1260065</v>
      </c>
      <c r="G1159" t="s">
        <v>1958</v>
      </c>
      <c r="H1159" s="21">
        <v>1558.17</v>
      </c>
    </row>
    <row r="1160" spans="1:8" customFormat="1" x14ac:dyDescent="0.25">
      <c r="A1160" t="str">
        <f>"392328"</f>
        <v>392328</v>
      </c>
      <c r="B1160" t="s">
        <v>1956</v>
      </c>
      <c r="C1160" t="s">
        <v>62</v>
      </c>
      <c r="D1160" s="21" t="s">
        <v>34</v>
      </c>
      <c r="E1160" s="21" t="s">
        <v>71</v>
      </c>
      <c r="F1160">
        <v>2390003</v>
      </c>
      <c r="G1160" t="s">
        <v>1150</v>
      </c>
      <c r="H1160" s="21">
        <v>1558.17</v>
      </c>
    </row>
    <row r="1161" spans="1:8" customFormat="1" x14ac:dyDescent="0.25">
      <c r="A1161" t="str">
        <f>"861797"</f>
        <v>861797</v>
      </c>
      <c r="B1161" t="s">
        <v>146</v>
      </c>
      <c r="C1161" t="s">
        <v>209</v>
      </c>
      <c r="D1161" s="21" t="s">
        <v>34</v>
      </c>
      <c r="E1161" s="21" t="s">
        <v>35</v>
      </c>
      <c r="F1161">
        <v>10860193</v>
      </c>
      <c r="G1161" t="s">
        <v>1603</v>
      </c>
      <c r="H1161" s="21">
        <v>1558.17</v>
      </c>
    </row>
    <row r="1162" spans="1:8" customFormat="1" x14ac:dyDescent="0.25">
      <c r="A1162" t="str">
        <f>"9112665"</f>
        <v>9112665</v>
      </c>
      <c r="B1162" t="s">
        <v>1917</v>
      </c>
      <c r="C1162" t="s">
        <v>275</v>
      </c>
      <c r="D1162" s="21" t="s">
        <v>34</v>
      </c>
      <c r="E1162" s="21" t="s">
        <v>35</v>
      </c>
      <c r="F1162">
        <v>12440067</v>
      </c>
      <c r="G1162" t="s">
        <v>1723</v>
      </c>
      <c r="H1162" s="21">
        <v>1557.67</v>
      </c>
    </row>
    <row r="1163" spans="1:8" customFormat="1" x14ac:dyDescent="0.25">
      <c r="A1163" t="str">
        <f>"575404"</f>
        <v>575404</v>
      </c>
      <c r="B1163" t="s">
        <v>1734</v>
      </c>
      <c r="C1163" t="s">
        <v>139</v>
      </c>
      <c r="D1163" s="21" t="s">
        <v>34</v>
      </c>
      <c r="E1163" s="21" t="s">
        <v>71</v>
      </c>
      <c r="F1163">
        <v>6570027</v>
      </c>
      <c r="G1163" t="s">
        <v>395</v>
      </c>
      <c r="H1163" s="21">
        <v>1557.17</v>
      </c>
    </row>
    <row r="1164" spans="1:8" customFormat="1" x14ac:dyDescent="0.25">
      <c r="A1164" t="str">
        <f>"4927257"</f>
        <v>4927257</v>
      </c>
      <c r="B1164" t="s">
        <v>2192</v>
      </c>
      <c r="C1164" t="s">
        <v>169</v>
      </c>
      <c r="D1164" s="21" t="s">
        <v>34</v>
      </c>
      <c r="E1164" s="21" t="s">
        <v>71</v>
      </c>
      <c r="F1164">
        <v>12490027</v>
      </c>
      <c r="G1164" t="s">
        <v>766</v>
      </c>
      <c r="H1164" s="21">
        <v>1556.67</v>
      </c>
    </row>
    <row r="1165" spans="1:8" customFormat="1" x14ac:dyDescent="0.25">
      <c r="A1165" t="str">
        <f>"3516298"</f>
        <v>3516298</v>
      </c>
      <c r="B1165" t="s">
        <v>1587</v>
      </c>
      <c r="C1165" t="s">
        <v>1588</v>
      </c>
      <c r="D1165" s="21" t="s">
        <v>34</v>
      </c>
      <c r="E1165" s="21" t="s">
        <v>71</v>
      </c>
      <c r="F1165">
        <v>3350041</v>
      </c>
      <c r="G1165" t="s">
        <v>1589</v>
      </c>
      <c r="H1165" s="21">
        <v>1556.17</v>
      </c>
    </row>
    <row r="1166" spans="1:8" customFormat="1" x14ac:dyDescent="0.25">
      <c r="A1166" t="str">
        <f>"4411511"</f>
        <v>4411511</v>
      </c>
      <c r="B1166" t="s">
        <v>2190</v>
      </c>
      <c r="C1166" t="s">
        <v>149</v>
      </c>
      <c r="D1166" s="21" t="s">
        <v>34</v>
      </c>
      <c r="E1166" s="21" t="s">
        <v>35</v>
      </c>
      <c r="F1166">
        <v>12440051</v>
      </c>
      <c r="G1166" t="s">
        <v>2191</v>
      </c>
      <c r="H1166" s="21">
        <v>1556.17</v>
      </c>
    </row>
    <row r="1167" spans="1:8" customFormat="1" x14ac:dyDescent="0.25">
      <c r="A1167" t="str">
        <f>"753525"</f>
        <v>753525</v>
      </c>
      <c r="B1167" t="s">
        <v>7599</v>
      </c>
      <c r="C1167" t="s">
        <v>3098</v>
      </c>
      <c r="D1167" s="21" t="s">
        <v>34</v>
      </c>
      <c r="E1167" s="21" t="s">
        <v>35</v>
      </c>
      <c r="F1167">
        <v>8750007</v>
      </c>
      <c r="G1167" t="s">
        <v>775</v>
      </c>
      <c r="H1167" s="21">
        <v>1556.06</v>
      </c>
    </row>
    <row r="1168" spans="1:8" customFormat="1" x14ac:dyDescent="0.25">
      <c r="A1168" t="str">
        <f>"5417179"</f>
        <v>5417179</v>
      </c>
      <c r="B1168" t="s">
        <v>1533</v>
      </c>
      <c r="C1168" t="s">
        <v>169</v>
      </c>
      <c r="D1168" s="21" t="s">
        <v>34</v>
      </c>
      <c r="E1168" s="21" t="s">
        <v>71</v>
      </c>
      <c r="F1168">
        <v>6540020</v>
      </c>
      <c r="G1168" t="s">
        <v>1269</v>
      </c>
      <c r="H1168" s="21">
        <v>1555.67</v>
      </c>
    </row>
    <row r="1169" spans="1:8" customFormat="1" x14ac:dyDescent="0.25">
      <c r="A1169" t="str">
        <f>"841424"</f>
        <v>841424</v>
      </c>
      <c r="B1169" t="s">
        <v>2143</v>
      </c>
      <c r="C1169" t="s">
        <v>2144</v>
      </c>
      <c r="D1169" s="21" t="s">
        <v>34</v>
      </c>
      <c r="E1169" s="21" t="s">
        <v>35</v>
      </c>
      <c r="F1169">
        <v>13840005</v>
      </c>
      <c r="G1169" t="s">
        <v>2145</v>
      </c>
      <c r="H1169" s="21">
        <v>1555.17</v>
      </c>
    </row>
    <row r="1170" spans="1:8" customFormat="1" x14ac:dyDescent="0.25">
      <c r="A1170" t="str">
        <f>"26693"</f>
        <v>26693</v>
      </c>
      <c r="B1170" t="s">
        <v>1428</v>
      </c>
      <c r="C1170" t="s">
        <v>33</v>
      </c>
      <c r="D1170" s="21" t="s">
        <v>34</v>
      </c>
      <c r="E1170" s="21" t="s">
        <v>35</v>
      </c>
      <c r="F1170">
        <v>1260004</v>
      </c>
      <c r="G1170" t="s">
        <v>1429</v>
      </c>
      <c r="H1170" s="21">
        <v>1555.17</v>
      </c>
    </row>
    <row r="1171" spans="1:8" customFormat="1" x14ac:dyDescent="0.25">
      <c r="A1171" t="str">
        <f>"51778"</f>
        <v>51778</v>
      </c>
      <c r="B1171" t="s">
        <v>7443</v>
      </c>
      <c r="C1171" t="s">
        <v>55</v>
      </c>
      <c r="D1171" s="21" t="s">
        <v>34</v>
      </c>
      <c r="E1171" s="21" t="s">
        <v>35</v>
      </c>
      <c r="F1171">
        <v>6510020</v>
      </c>
      <c r="G1171" t="s">
        <v>3013</v>
      </c>
      <c r="H1171" s="21">
        <v>1554.68</v>
      </c>
    </row>
    <row r="1172" spans="1:8" customFormat="1" x14ac:dyDescent="0.25">
      <c r="A1172" t="str">
        <f>"72244"</f>
        <v>72244</v>
      </c>
      <c r="B1172" t="s">
        <v>1538</v>
      </c>
      <c r="C1172" t="s">
        <v>1539</v>
      </c>
      <c r="D1172" s="21" t="s">
        <v>34</v>
      </c>
      <c r="E1172" s="21" t="s">
        <v>254</v>
      </c>
      <c r="F1172">
        <v>12720104</v>
      </c>
      <c r="G1172" t="s">
        <v>224</v>
      </c>
      <c r="H1172" s="21">
        <v>1554.67</v>
      </c>
    </row>
    <row r="1173" spans="1:8" customFormat="1" x14ac:dyDescent="0.25">
      <c r="A1173" t="str">
        <f>"714393"</f>
        <v>714393</v>
      </c>
      <c r="B1173" t="s">
        <v>1729</v>
      </c>
      <c r="C1173" t="s">
        <v>428</v>
      </c>
      <c r="D1173" s="21" t="s">
        <v>34</v>
      </c>
      <c r="E1173" s="21" t="s">
        <v>35</v>
      </c>
      <c r="F1173">
        <v>1380290</v>
      </c>
      <c r="G1173" t="s">
        <v>619</v>
      </c>
      <c r="H1173" s="21">
        <v>1554.67</v>
      </c>
    </row>
    <row r="1174" spans="1:8" customFormat="1" x14ac:dyDescent="0.25">
      <c r="A1174" t="str">
        <f>"5914267"</f>
        <v>5914267</v>
      </c>
      <c r="B1174" t="s">
        <v>26630</v>
      </c>
      <c r="C1174" t="s">
        <v>55</v>
      </c>
      <c r="D1174" s="21" t="s">
        <v>34</v>
      </c>
      <c r="E1174" s="21" t="s">
        <v>35</v>
      </c>
      <c r="F1174">
        <v>7590271</v>
      </c>
      <c r="G1174" t="s">
        <v>3163</v>
      </c>
      <c r="H1174" s="21">
        <v>1554.17</v>
      </c>
    </row>
    <row r="1175" spans="1:8" customFormat="1" x14ac:dyDescent="0.25">
      <c r="A1175" t="str">
        <f>"44576"</f>
        <v>44576</v>
      </c>
      <c r="B1175" t="s">
        <v>1436</v>
      </c>
      <c r="C1175" t="s">
        <v>87</v>
      </c>
      <c r="D1175" s="21" t="s">
        <v>34</v>
      </c>
      <c r="E1175" s="21" t="s">
        <v>35</v>
      </c>
      <c r="F1175">
        <v>12440075</v>
      </c>
      <c r="G1175" t="s">
        <v>1437</v>
      </c>
      <c r="H1175" s="21">
        <v>1554.17</v>
      </c>
    </row>
    <row r="1176" spans="1:8" customFormat="1" x14ac:dyDescent="0.25">
      <c r="A1176" t="str">
        <f>"62672"</f>
        <v>62672</v>
      </c>
      <c r="B1176" t="s">
        <v>1961</v>
      </c>
      <c r="C1176" t="s">
        <v>55</v>
      </c>
      <c r="D1176" s="21" t="s">
        <v>34</v>
      </c>
      <c r="E1176" s="21" t="s">
        <v>71</v>
      </c>
      <c r="F1176">
        <v>7620058</v>
      </c>
      <c r="G1176" t="s">
        <v>602</v>
      </c>
      <c r="H1176" s="21">
        <v>1554.17</v>
      </c>
    </row>
    <row r="1177" spans="1:8" customFormat="1" x14ac:dyDescent="0.25">
      <c r="A1177" t="str">
        <f>"94123"</f>
        <v>94123</v>
      </c>
      <c r="B1177" t="s">
        <v>1737</v>
      </c>
      <c r="C1177" t="s">
        <v>415</v>
      </c>
      <c r="D1177" s="21" t="s">
        <v>34</v>
      </c>
      <c r="E1177" s="21" t="s">
        <v>254</v>
      </c>
      <c r="F1177">
        <v>8940976</v>
      </c>
      <c r="G1177" t="s">
        <v>615</v>
      </c>
      <c r="H1177" s="21">
        <v>1554.05</v>
      </c>
    </row>
    <row r="1178" spans="1:8" customFormat="1" x14ac:dyDescent="0.25">
      <c r="A1178" t="str">
        <f>"64398"</f>
        <v>64398</v>
      </c>
      <c r="B1178" t="s">
        <v>1693</v>
      </c>
      <c r="C1178" t="s">
        <v>267</v>
      </c>
      <c r="D1178" s="21" t="s">
        <v>34</v>
      </c>
      <c r="E1178" s="21" t="s">
        <v>35</v>
      </c>
      <c r="F1178">
        <v>10640008</v>
      </c>
      <c r="G1178" t="s">
        <v>1694</v>
      </c>
      <c r="H1178" s="21">
        <v>1553.92</v>
      </c>
    </row>
    <row r="1179" spans="1:8" customFormat="1" x14ac:dyDescent="0.25">
      <c r="A1179" t="str">
        <f>"68120"</f>
        <v>68120</v>
      </c>
      <c r="B1179" t="s">
        <v>1747</v>
      </c>
      <c r="C1179" t="s">
        <v>249</v>
      </c>
      <c r="D1179" s="21" t="s">
        <v>34</v>
      </c>
      <c r="E1179" s="21" t="s">
        <v>71</v>
      </c>
      <c r="F1179">
        <v>6680004</v>
      </c>
      <c r="G1179" t="s">
        <v>644</v>
      </c>
      <c r="H1179" s="21">
        <v>1553.67</v>
      </c>
    </row>
    <row r="1180" spans="1:8" customFormat="1" x14ac:dyDescent="0.25">
      <c r="A1180" t="str">
        <f>"853075"</f>
        <v>853075</v>
      </c>
      <c r="B1180" t="s">
        <v>431</v>
      </c>
      <c r="C1180" t="s">
        <v>156</v>
      </c>
      <c r="D1180" s="21" t="s">
        <v>34</v>
      </c>
      <c r="E1180" s="21" t="s">
        <v>35</v>
      </c>
      <c r="F1180">
        <v>12850143</v>
      </c>
      <c r="G1180" t="s">
        <v>1625</v>
      </c>
      <c r="H1180" s="21">
        <v>1553.17</v>
      </c>
    </row>
    <row r="1181" spans="1:8" customFormat="1" x14ac:dyDescent="0.25">
      <c r="A1181" t="str">
        <f>"5910506"</f>
        <v>5910506</v>
      </c>
      <c r="B1181" t="s">
        <v>1639</v>
      </c>
      <c r="C1181" t="s">
        <v>269</v>
      </c>
      <c r="D1181" s="21" t="s">
        <v>34</v>
      </c>
      <c r="E1181" s="21" t="s">
        <v>254</v>
      </c>
      <c r="F1181">
        <v>7620100</v>
      </c>
      <c r="G1181" t="s">
        <v>145</v>
      </c>
      <c r="H1181" s="21">
        <v>1552.17</v>
      </c>
    </row>
    <row r="1182" spans="1:8" customFormat="1" x14ac:dyDescent="0.25">
      <c r="A1182" t="str">
        <f>"442721"</f>
        <v>442721</v>
      </c>
      <c r="B1182" t="s">
        <v>1859</v>
      </c>
      <c r="C1182" t="s">
        <v>249</v>
      </c>
      <c r="D1182" s="21" t="s">
        <v>34</v>
      </c>
      <c r="E1182" s="21" t="s">
        <v>71</v>
      </c>
      <c r="F1182">
        <v>12440087</v>
      </c>
      <c r="G1182" t="s">
        <v>1860</v>
      </c>
      <c r="H1182" s="21">
        <v>1552.17</v>
      </c>
    </row>
    <row r="1183" spans="1:8" customFormat="1" x14ac:dyDescent="0.25">
      <c r="A1183" t="str">
        <f>"64397"</f>
        <v>64397</v>
      </c>
      <c r="B1183" t="s">
        <v>1693</v>
      </c>
      <c r="C1183" t="s">
        <v>239</v>
      </c>
      <c r="D1183" s="21" t="s">
        <v>34</v>
      </c>
      <c r="E1183" s="21" t="s">
        <v>35</v>
      </c>
      <c r="F1183">
        <v>10640008</v>
      </c>
      <c r="G1183" t="s">
        <v>1694</v>
      </c>
      <c r="H1183" s="21">
        <v>1551.92</v>
      </c>
    </row>
    <row r="1184" spans="1:8" customFormat="1" x14ac:dyDescent="0.25">
      <c r="A1184" t="str">
        <f>"302137"</f>
        <v>302137</v>
      </c>
      <c r="B1184" t="s">
        <v>2712</v>
      </c>
      <c r="C1184" t="s">
        <v>336</v>
      </c>
      <c r="D1184" s="21" t="s">
        <v>34</v>
      </c>
      <c r="E1184" s="21" t="s">
        <v>254</v>
      </c>
      <c r="F1184">
        <v>11300014</v>
      </c>
      <c r="G1184" t="s">
        <v>2345</v>
      </c>
      <c r="H1184" s="21">
        <v>1551.79</v>
      </c>
    </row>
    <row r="1185" spans="1:8" customFormat="1" x14ac:dyDescent="0.25">
      <c r="A1185" t="str">
        <f>"667072"</f>
        <v>667072</v>
      </c>
      <c r="B1185" t="s">
        <v>1799</v>
      </c>
      <c r="C1185" t="s">
        <v>269</v>
      </c>
      <c r="D1185" s="21" t="s">
        <v>34</v>
      </c>
      <c r="E1185" s="21" t="s">
        <v>71</v>
      </c>
      <c r="F1185">
        <v>11660009</v>
      </c>
      <c r="G1185" t="s">
        <v>26624</v>
      </c>
      <c r="H1185" s="21">
        <v>1551.67</v>
      </c>
    </row>
    <row r="1186" spans="1:8" customFormat="1" x14ac:dyDescent="0.25">
      <c r="A1186" t="str">
        <f>"4918715"</f>
        <v>4918715</v>
      </c>
      <c r="B1186" t="s">
        <v>2020</v>
      </c>
      <c r="C1186" t="s">
        <v>40</v>
      </c>
      <c r="D1186" s="21" t="s">
        <v>34</v>
      </c>
      <c r="E1186" s="21" t="s">
        <v>35</v>
      </c>
      <c r="F1186">
        <v>12490038</v>
      </c>
      <c r="G1186" t="s">
        <v>467</v>
      </c>
      <c r="H1186" s="21">
        <v>1551.67</v>
      </c>
    </row>
    <row r="1187" spans="1:8" customFormat="1" x14ac:dyDescent="0.25">
      <c r="A1187" t="str">
        <f>"7510759"</f>
        <v>7510759</v>
      </c>
      <c r="B1187" t="s">
        <v>2065</v>
      </c>
      <c r="C1187" t="s">
        <v>209</v>
      </c>
      <c r="D1187" s="21" t="s">
        <v>34</v>
      </c>
      <c r="E1187" s="21" t="s">
        <v>35</v>
      </c>
      <c r="F1187">
        <v>8910077</v>
      </c>
      <c r="G1187" t="s">
        <v>1380</v>
      </c>
      <c r="H1187" s="21">
        <v>1551.67</v>
      </c>
    </row>
    <row r="1188" spans="1:8" customFormat="1" x14ac:dyDescent="0.25">
      <c r="A1188" t="str">
        <f>"581109"</f>
        <v>581109</v>
      </c>
      <c r="B1188" t="s">
        <v>1964</v>
      </c>
      <c r="C1188" t="s">
        <v>65</v>
      </c>
      <c r="D1188" s="21" t="s">
        <v>34</v>
      </c>
      <c r="E1188" s="21" t="s">
        <v>35</v>
      </c>
      <c r="F1188">
        <v>2580010</v>
      </c>
      <c r="G1188" t="s">
        <v>1965</v>
      </c>
      <c r="H1188" s="21">
        <v>1551.67</v>
      </c>
    </row>
    <row r="1189" spans="1:8" customFormat="1" x14ac:dyDescent="0.25">
      <c r="A1189" t="str">
        <f>"57387"</f>
        <v>57387</v>
      </c>
      <c r="B1189" t="s">
        <v>1632</v>
      </c>
      <c r="C1189" t="s">
        <v>598</v>
      </c>
      <c r="D1189" s="21" t="s">
        <v>34</v>
      </c>
      <c r="E1189" s="21" t="s">
        <v>71</v>
      </c>
      <c r="F1189">
        <v>6570030</v>
      </c>
      <c r="G1189" t="s">
        <v>851</v>
      </c>
      <c r="H1189" s="21">
        <v>1551.67</v>
      </c>
    </row>
    <row r="1190" spans="1:8" customFormat="1" x14ac:dyDescent="0.25">
      <c r="A1190" t="str">
        <f>"272006"</f>
        <v>272006</v>
      </c>
      <c r="B1190" t="s">
        <v>1984</v>
      </c>
      <c r="C1190" t="s">
        <v>285</v>
      </c>
      <c r="D1190" s="21" t="s">
        <v>34</v>
      </c>
      <c r="E1190" s="21" t="s">
        <v>35</v>
      </c>
      <c r="F1190">
        <v>9270060</v>
      </c>
      <c r="G1190" t="s">
        <v>1982</v>
      </c>
      <c r="H1190" s="21">
        <v>1551.29</v>
      </c>
    </row>
    <row r="1191" spans="1:8" customFormat="1" x14ac:dyDescent="0.25">
      <c r="A1191" t="str">
        <f>"74337"</f>
        <v>74337</v>
      </c>
      <c r="B1191" t="s">
        <v>1780</v>
      </c>
      <c r="C1191" t="s">
        <v>121</v>
      </c>
      <c r="D1191" s="21" t="s">
        <v>34</v>
      </c>
      <c r="E1191" s="21" t="s">
        <v>35</v>
      </c>
      <c r="F1191">
        <v>1740038</v>
      </c>
      <c r="G1191" t="s">
        <v>26517</v>
      </c>
      <c r="H1191" s="21">
        <v>1551.17</v>
      </c>
    </row>
    <row r="1192" spans="1:8" customFormat="1" x14ac:dyDescent="0.25">
      <c r="A1192" t="str">
        <f>"5717667"</f>
        <v>5717667</v>
      </c>
      <c r="B1192" t="s">
        <v>1555</v>
      </c>
      <c r="C1192" t="s">
        <v>109</v>
      </c>
      <c r="D1192" s="21" t="s">
        <v>34</v>
      </c>
      <c r="E1192" s="21" t="s">
        <v>35</v>
      </c>
      <c r="F1192">
        <v>6570146</v>
      </c>
      <c r="G1192" t="s">
        <v>1556</v>
      </c>
      <c r="H1192" s="21">
        <v>1551.17</v>
      </c>
    </row>
    <row r="1193" spans="1:8" customFormat="1" x14ac:dyDescent="0.25">
      <c r="A1193" t="str">
        <f>"622314"</f>
        <v>622314</v>
      </c>
      <c r="B1193" t="s">
        <v>2084</v>
      </c>
      <c r="C1193" t="s">
        <v>263</v>
      </c>
      <c r="D1193" s="21" t="s">
        <v>34</v>
      </c>
      <c r="E1193" s="21" t="s">
        <v>71</v>
      </c>
      <c r="F1193">
        <v>7620100</v>
      </c>
      <c r="G1193" t="s">
        <v>145</v>
      </c>
      <c r="H1193" s="21">
        <v>1550.8</v>
      </c>
    </row>
    <row r="1194" spans="1:8" customFormat="1" x14ac:dyDescent="0.25">
      <c r="A1194" t="str">
        <f>"7626291"</f>
        <v>7626291</v>
      </c>
      <c r="B1194" t="s">
        <v>26631</v>
      </c>
      <c r="C1194" t="s">
        <v>62</v>
      </c>
      <c r="D1194" s="21" t="s">
        <v>34</v>
      </c>
      <c r="E1194" s="21" t="s">
        <v>35</v>
      </c>
      <c r="F1194">
        <v>9760041</v>
      </c>
      <c r="G1194" t="s">
        <v>452</v>
      </c>
      <c r="H1194" s="21">
        <v>1550.67</v>
      </c>
    </row>
    <row r="1195" spans="1:8" customFormat="1" x14ac:dyDescent="0.25">
      <c r="A1195" t="str">
        <f>"7834017"</f>
        <v>7834017</v>
      </c>
      <c r="B1195" t="s">
        <v>1768</v>
      </c>
      <c r="C1195" t="s">
        <v>121</v>
      </c>
      <c r="D1195" s="21" t="s">
        <v>34</v>
      </c>
      <c r="E1195" s="21" t="s">
        <v>35</v>
      </c>
      <c r="F1195">
        <v>4410728</v>
      </c>
      <c r="G1195" t="s">
        <v>2241</v>
      </c>
      <c r="H1195" s="21">
        <v>1550.42</v>
      </c>
    </row>
    <row r="1196" spans="1:8" customFormat="1" x14ac:dyDescent="0.25">
      <c r="A1196" t="str">
        <f>"605965"</f>
        <v>605965</v>
      </c>
      <c r="B1196" t="s">
        <v>1927</v>
      </c>
      <c r="C1196" t="s">
        <v>879</v>
      </c>
      <c r="D1196" s="21" t="s">
        <v>34</v>
      </c>
      <c r="E1196" s="21" t="s">
        <v>71</v>
      </c>
      <c r="F1196">
        <v>12850097</v>
      </c>
      <c r="G1196" t="s">
        <v>4111</v>
      </c>
      <c r="H1196" s="21">
        <v>1550.17</v>
      </c>
    </row>
    <row r="1197" spans="1:8" customFormat="1" x14ac:dyDescent="0.25">
      <c r="A1197" t="str">
        <f>"71378"</f>
        <v>71378</v>
      </c>
      <c r="B1197" t="s">
        <v>26632</v>
      </c>
      <c r="C1197" t="s">
        <v>109</v>
      </c>
      <c r="D1197" s="21" t="s">
        <v>34</v>
      </c>
      <c r="E1197" s="21" t="s">
        <v>35</v>
      </c>
      <c r="F1197">
        <v>2710023</v>
      </c>
      <c r="G1197" t="s">
        <v>3549</v>
      </c>
      <c r="H1197" s="21">
        <v>1550.17</v>
      </c>
    </row>
    <row r="1198" spans="1:8" customFormat="1" x14ac:dyDescent="0.25">
      <c r="A1198" t="str">
        <f>"911393"</f>
        <v>911393</v>
      </c>
      <c r="B1198" t="s">
        <v>1844</v>
      </c>
      <c r="C1198" t="s">
        <v>124</v>
      </c>
      <c r="D1198" s="21" t="s">
        <v>34</v>
      </c>
      <c r="E1198" s="21" t="s">
        <v>71</v>
      </c>
      <c r="F1198">
        <v>8910303</v>
      </c>
      <c r="G1198" t="s">
        <v>1244</v>
      </c>
      <c r="H1198" s="21">
        <v>1549.93</v>
      </c>
    </row>
    <row r="1199" spans="1:8" customFormat="1" x14ac:dyDescent="0.25">
      <c r="A1199" t="str">
        <f>"74621"</f>
        <v>74621</v>
      </c>
      <c r="B1199" t="s">
        <v>1618</v>
      </c>
      <c r="C1199" t="s">
        <v>209</v>
      </c>
      <c r="D1199" s="21" t="s">
        <v>34</v>
      </c>
      <c r="E1199" s="21" t="s">
        <v>254</v>
      </c>
      <c r="F1199">
        <v>1740003</v>
      </c>
      <c r="G1199" t="s">
        <v>982</v>
      </c>
      <c r="H1199" s="21">
        <v>1549.92</v>
      </c>
    </row>
    <row r="1200" spans="1:8" customFormat="1" x14ac:dyDescent="0.25">
      <c r="A1200" t="str">
        <f>"0112944"</f>
        <v>0112944</v>
      </c>
      <c r="B1200" t="s">
        <v>2213</v>
      </c>
      <c r="C1200" t="s">
        <v>320</v>
      </c>
      <c r="D1200" s="21" t="s">
        <v>34</v>
      </c>
      <c r="E1200" s="21" t="s">
        <v>35</v>
      </c>
      <c r="F1200">
        <v>1010023</v>
      </c>
      <c r="G1200" t="s">
        <v>2174</v>
      </c>
      <c r="H1200" s="21">
        <v>1549.92</v>
      </c>
    </row>
    <row r="1201" spans="1:8" customFormat="1" x14ac:dyDescent="0.25">
      <c r="A1201" t="str">
        <f>"082888"</f>
        <v>082888</v>
      </c>
      <c r="B1201" t="s">
        <v>582</v>
      </c>
      <c r="C1201" t="s">
        <v>119</v>
      </c>
      <c r="D1201" s="21" t="s">
        <v>34</v>
      </c>
      <c r="E1201" s="21" t="s">
        <v>35</v>
      </c>
      <c r="F1201">
        <v>6080035</v>
      </c>
      <c r="G1201" t="s">
        <v>583</v>
      </c>
      <c r="H1201" s="21">
        <v>1549.18</v>
      </c>
    </row>
    <row r="1202" spans="1:8" customFormat="1" x14ac:dyDescent="0.25">
      <c r="A1202" t="str">
        <f>"7843579"</f>
        <v>7843579</v>
      </c>
      <c r="B1202" t="s">
        <v>1827</v>
      </c>
      <c r="C1202" t="s">
        <v>62</v>
      </c>
      <c r="D1202" s="21" t="s">
        <v>34</v>
      </c>
      <c r="E1202" s="21" t="s">
        <v>35</v>
      </c>
      <c r="F1202">
        <v>4180613</v>
      </c>
      <c r="G1202" t="s">
        <v>422</v>
      </c>
      <c r="H1202" s="21">
        <v>1549.17</v>
      </c>
    </row>
    <row r="1203" spans="1:8" customFormat="1" x14ac:dyDescent="0.25">
      <c r="A1203" t="str">
        <f>"9751894"</f>
        <v>9751894</v>
      </c>
      <c r="B1203" t="s">
        <v>1863</v>
      </c>
      <c r="C1203" t="s">
        <v>114</v>
      </c>
      <c r="D1203" s="21" t="s">
        <v>34</v>
      </c>
      <c r="E1203" s="21" t="s">
        <v>71</v>
      </c>
      <c r="F1203" t="s">
        <v>590</v>
      </c>
      <c r="G1203" t="s">
        <v>591</v>
      </c>
      <c r="H1203" s="21">
        <v>1549.17</v>
      </c>
    </row>
    <row r="1204" spans="1:8" customFormat="1" x14ac:dyDescent="0.25">
      <c r="A1204" t="str">
        <f>"62472"</f>
        <v>62472</v>
      </c>
      <c r="B1204" t="s">
        <v>26633</v>
      </c>
      <c r="C1204" t="s">
        <v>147</v>
      </c>
      <c r="D1204" s="21" t="s">
        <v>34</v>
      </c>
      <c r="E1204" s="21" t="s">
        <v>35</v>
      </c>
      <c r="F1204">
        <v>7620010</v>
      </c>
      <c r="G1204" t="s">
        <v>504</v>
      </c>
      <c r="H1204" s="21">
        <v>1549.17</v>
      </c>
    </row>
    <row r="1205" spans="1:8" customFormat="1" x14ac:dyDescent="0.25">
      <c r="A1205" t="str">
        <f>"7711322"</f>
        <v>7711322</v>
      </c>
      <c r="B1205" t="s">
        <v>1464</v>
      </c>
      <c r="C1205" t="s">
        <v>49</v>
      </c>
      <c r="D1205" s="21" t="s">
        <v>34</v>
      </c>
      <c r="E1205" s="21" t="s">
        <v>35</v>
      </c>
      <c r="F1205" t="s">
        <v>1465</v>
      </c>
      <c r="G1205" t="s">
        <v>1466</v>
      </c>
      <c r="H1205" s="21">
        <v>1548.93</v>
      </c>
    </row>
    <row r="1206" spans="1:8" customFormat="1" x14ac:dyDescent="0.25">
      <c r="A1206" t="str">
        <f>"388194"</f>
        <v>388194</v>
      </c>
      <c r="B1206" t="s">
        <v>2422</v>
      </c>
      <c r="C1206" t="s">
        <v>1754</v>
      </c>
      <c r="D1206" s="21" t="s">
        <v>34</v>
      </c>
      <c r="E1206" s="21" t="s">
        <v>71</v>
      </c>
      <c r="F1206">
        <v>1380056</v>
      </c>
      <c r="G1206" t="s">
        <v>846</v>
      </c>
      <c r="H1206" s="21">
        <v>1548.67</v>
      </c>
    </row>
    <row r="1207" spans="1:8" customFormat="1" x14ac:dyDescent="0.25">
      <c r="A1207" t="str">
        <f>"886835"</f>
        <v>886835</v>
      </c>
      <c r="B1207" t="s">
        <v>1769</v>
      </c>
      <c r="C1207" t="s">
        <v>305</v>
      </c>
      <c r="D1207" s="21" t="s">
        <v>34</v>
      </c>
      <c r="E1207" s="21" t="s">
        <v>35</v>
      </c>
      <c r="F1207">
        <v>6880007</v>
      </c>
      <c r="G1207" t="s">
        <v>1039</v>
      </c>
      <c r="H1207" s="21">
        <v>1548.17</v>
      </c>
    </row>
    <row r="1208" spans="1:8" customFormat="1" x14ac:dyDescent="0.25">
      <c r="A1208" t="str">
        <f>"693492"</f>
        <v>693492</v>
      </c>
      <c r="B1208" t="s">
        <v>1695</v>
      </c>
      <c r="C1208" t="s">
        <v>209</v>
      </c>
      <c r="D1208" s="21" t="s">
        <v>34</v>
      </c>
      <c r="E1208" s="21" t="s">
        <v>71</v>
      </c>
      <c r="F1208">
        <v>1690090</v>
      </c>
      <c r="G1208" t="s">
        <v>6286</v>
      </c>
      <c r="H1208" s="21">
        <v>1548.17</v>
      </c>
    </row>
    <row r="1209" spans="1:8" customFormat="1" x14ac:dyDescent="0.25">
      <c r="A1209" t="str">
        <f>"49175"</f>
        <v>49175</v>
      </c>
      <c r="B1209" t="s">
        <v>1579</v>
      </c>
      <c r="C1209" t="s">
        <v>825</v>
      </c>
      <c r="D1209" s="21" t="s">
        <v>34</v>
      </c>
      <c r="E1209" s="21" t="s">
        <v>35</v>
      </c>
      <c r="F1209">
        <v>12490006</v>
      </c>
      <c r="G1209" t="s">
        <v>1480</v>
      </c>
      <c r="H1209" s="21">
        <v>1548.05</v>
      </c>
    </row>
    <row r="1210" spans="1:8" customFormat="1" x14ac:dyDescent="0.25">
      <c r="A1210" t="str">
        <f>"5924684"</f>
        <v>5924684</v>
      </c>
      <c r="B1210" t="s">
        <v>1797</v>
      </c>
      <c r="C1210" t="s">
        <v>87</v>
      </c>
      <c r="D1210" s="21" t="s">
        <v>34</v>
      </c>
      <c r="E1210" s="21" t="s">
        <v>35</v>
      </c>
      <c r="F1210">
        <v>7590228</v>
      </c>
      <c r="G1210" t="s">
        <v>1798</v>
      </c>
      <c r="H1210" s="21">
        <v>1547.67</v>
      </c>
    </row>
    <row r="1211" spans="1:8" customFormat="1" x14ac:dyDescent="0.25">
      <c r="A1211" t="str">
        <f>"774880"</f>
        <v>774880</v>
      </c>
      <c r="B1211" t="s">
        <v>2105</v>
      </c>
      <c r="C1211" t="s">
        <v>3393</v>
      </c>
      <c r="D1211" s="21" t="s">
        <v>34</v>
      </c>
      <c r="E1211" s="21" t="s">
        <v>35</v>
      </c>
      <c r="F1211">
        <v>1740080</v>
      </c>
      <c r="G1211" t="s">
        <v>12809</v>
      </c>
      <c r="H1211" s="21">
        <v>1547.5</v>
      </c>
    </row>
    <row r="1212" spans="1:8" customFormat="1" x14ac:dyDescent="0.25">
      <c r="A1212" t="str">
        <f>"9227493"</f>
        <v>9227493</v>
      </c>
      <c r="B1212" t="s">
        <v>26634</v>
      </c>
      <c r="C1212" t="s">
        <v>867</v>
      </c>
      <c r="D1212" s="21" t="s">
        <v>34</v>
      </c>
      <c r="E1212" s="21" t="s">
        <v>35</v>
      </c>
      <c r="F1212">
        <v>8921458</v>
      </c>
      <c r="G1212" t="s">
        <v>162</v>
      </c>
      <c r="H1212" s="21">
        <v>1547.31</v>
      </c>
    </row>
    <row r="1213" spans="1:8" customFormat="1" x14ac:dyDescent="0.25">
      <c r="A1213" t="str">
        <f>"275842"</f>
        <v>275842</v>
      </c>
      <c r="B1213" t="s">
        <v>2016</v>
      </c>
      <c r="C1213" t="s">
        <v>719</v>
      </c>
      <c r="D1213" s="21" t="s">
        <v>34</v>
      </c>
      <c r="E1213" s="21" t="s">
        <v>35</v>
      </c>
      <c r="F1213">
        <v>9270063</v>
      </c>
      <c r="G1213" t="s">
        <v>808</v>
      </c>
      <c r="H1213" s="21">
        <v>1547.17</v>
      </c>
    </row>
    <row r="1214" spans="1:8" customFormat="1" x14ac:dyDescent="0.25">
      <c r="A1214" t="str">
        <f>"687005"</f>
        <v>687005</v>
      </c>
      <c r="B1214" t="s">
        <v>1743</v>
      </c>
      <c r="C1214" t="s">
        <v>209</v>
      </c>
      <c r="D1214" s="21" t="s">
        <v>34</v>
      </c>
      <c r="E1214" s="21" t="s">
        <v>1089</v>
      </c>
      <c r="F1214">
        <v>2900039</v>
      </c>
      <c r="G1214" t="s">
        <v>26615</v>
      </c>
      <c r="H1214" s="21">
        <v>1547.17</v>
      </c>
    </row>
    <row r="1215" spans="1:8" customFormat="1" x14ac:dyDescent="0.25">
      <c r="A1215" t="str">
        <f>"691310"</f>
        <v>691310</v>
      </c>
      <c r="B1215" t="s">
        <v>1732</v>
      </c>
      <c r="C1215" t="s">
        <v>1294</v>
      </c>
      <c r="D1215" s="21" t="s">
        <v>34</v>
      </c>
      <c r="E1215" s="21" t="s">
        <v>35</v>
      </c>
      <c r="F1215">
        <v>1420017</v>
      </c>
      <c r="G1215" t="s">
        <v>1296</v>
      </c>
      <c r="H1215" s="21">
        <v>1547.17</v>
      </c>
    </row>
    <row r="1216" spans="1:8" customFormat="1" x14ac:dyDescent="0.25">
      <c r="A1216" t="str">
        <f>"067018"</f>
        <v>067018</v>
      </c>
      <c r="B1216" t="s">
        <v>2000</v>
      </c>
      <c r="C1216" t="s">
        <v>109</v>
      </c>
      <c r="D1216" s="21" t="s">
        <v>34</v>
      </c>
      <c r="E1216" s="21" t="s">
        <v>35</v>
      </c>
      <c r="F1216">
        <v>13060082</v>
      </c>
      <c r="G1216" t="s">
        <v>11729</v>
      </c>
      <c r="H1216" s="21">
        <v>1546.92</v>
      </c>
    </row>
    <row r="1217" spans="1:8" customFormat="1" x14ac:dyDescent="0.25">
      <c r="A1217" t="str">
        <f>"16418"</f>
        <v>16418</v>
      </c>
      <c r="B1217" t="s">
        <v>1657</v>
      </c>
      <c r="C1217" t="s">
        <v>267</v>
      </c>
      <c r="D1217" s="21" t="s">
        <v>34</v>
      </c>
      <c r="E1217" s="21" t="s">
        <v>254</v>
      </c>
      <c r="F1217">
        <v>10160029</v>
      </c>
      <c r="G1217" t="s">
        <v>896</v>
      </c>
      <c r="H1217" s="21">
        <v>1546.17</v>
      </c>
    </row>
    <row r="1218" spans="1:8" customFormat="1" x14ac:dyDescent="0.25">
      <c r="A1218" t="str">
        <f>"7811538"</f>
        <v>7811538</v>
      </c>
      <c r="B1218" t="s">
        <v>26635</v>
      </c>
      <c r="C1218" t="s">
        <v>26636</v>
      </c>
      <c r="D1218" s="21" t="s">
        <v>34</v>
      </c>
      <c r="E1218" s="21" t="s">
        <v>35</v>
      </c>
      <c r="F1218">
        <v>11340060</v>
      </c>
      <c r="G1218" t="s">
        <v>1275</v>
      </c>
      <c r="H1218" s="21">
        <v>1546.17</v>
      </c>
    </row>
    <row r="1219" spans="1:8" customFormat="1" x14ac:dyDescent="0.25">
      <c r="A1219" t="str">
        <f>"024890"</f>
        <v>024890</v>
      </c>
      <c r="B1219" t="s">
        <v>1696</v>
      </c>
      <c r="C1219" t="s">
        <v>1697</v>
      </c>
      <c r="D1219" s="21" t="s">
        <v>34</v>
      </c>
      <c r="E1219" s="21" t="s">
        <v>71</v>
      </c>
      <c r="F1219">
        <v>7020040</v>
      </c>
      <c r="G1219" t="s">
        <v>1698</v>
      </c>
      <c r="H1219" s="21">
        <v>1546.17</v>
      </c>
    </row>
    <row r="1220" spans="1:8" customFormat="1" x14ac:dyDescent="0.25">
      <c r="A1220" t="str">
        <f>"319880"</f>
        <v>319880</v>
      </c>
      <c r="B1220" t="s">
        <v>1988</v>
      </c>
      <c r="C1220" t="s">
        <v>1025</v>
      </c>
      <c r="D1220" s="21" t="s">
        <v>34</v>
      </c>
      <c r="E1220" s="21" t="s">
        <v>35</v>
      </c>
      <c r="F1220">
        <v>11650034</v>
      </c>
      <c r="G1220" t="s">
        <v>1989</v>
      </c>
      <c r="H1220" s="21">
        <v>1546.17</v>
      </c>
    </row>
    <row r="1221" spans="1:8" customFormat="1" x14ac:dyDescent="0.25">
      <c r="A1221" t="str">
        <f>"9439981"</f>
        <v>9439981</v>
      </c>
      <c r="B1221" t="s">
        <v>2260</v>
      </c>
      <c r="C1221" t="s">
        <v>87</v>
      </c>
      <c r="D1221" s="21" t="s">
        <v>34</v>
      </c>
      <c r="E1221" s="21" t="s">
        <v>35</v>
      </c>
      <c r="F1221">
        <v>8940549</v>
      </c>
      <c r="G1221" t="s">
        <v>454</v>
      </c>
      <c r="H1221" s="21">
        <v>1546.05</v>
      </c>
    </row>
    <row r="1222" spans="1:8" customFormat="1" x14ac:dyDescent="0.25">
      <c r="A1222" t="str">
        <f>"3324966"</f>
        <v>3324966</v>
      </c>
      <c r="B1222" t="s">
        <v>2487</v>
      </c>
      <c r="C1222" t="s">
        <v>147</v>
      </c>
      <c r="D1222" s="21" t="s">
        <v>34</v>
      </c>
      <c r="E1222" s="21" t="s">
        <v>71</v>
      </c>
      <c r="F1222">
        <v>10330050</v>
      </c>
      <c r="G1222" t="s">
        <v>2488</v>
      </c>
      <c r="H1222" s="21">
        <v>1545.79</v>
      </c>
    </row>
    <row r="1223" spans="1:8" customFormat="1" x14ac:dyDescent="0.25">
      <c r="A1223" t="str">
        <f>"5719815"</f>
        <v>5719815</v>
      </c>
      <c r="B1223" t="s">
        <v>1945</v>
      </c>
      <c r="C1223" t="s">
        <v>1946</v>
      </c>
      <c r="D1223" s="21" t="s">
        <v>34</v>
      </c>
      <c r="E1223" s="21" t="s">
        <v>35</v>
      </c>
      <c r="F1223">
        <v>6570168</v>
      </c>
      <c r="G1223" t="s">
        <v>152</v>
      </c>
      <c r="H1223" s="21">
        <v>1545.67</v>
      </c>
    </row>
    <row r="1224" spans="1:8" customFormat="1" x14ac:dyDescent="0.25">
      <c r="A1224" t="str">
        <f>"445443"</f>
        <v>445443</v>
      </c>
      <c r="B1224" t="s">
        <v>2263</v>
      </c>
      <c r="C1224" t="s">
        <v>62</v>
      </c>
      <c r="D1224" s="21" t="s">
        <v>34</v>
      </c>
      <c r="E1224" s="21" t="s">
        <v>35</v>
      </c>
      <c r="F1224">
        <v>12440056</v>
      </c>
      <c r="G1224" t="s">
        <v>2037</v>
      </c>
      <c r="H1224" s="21">
        <v>1545.67</v>
      </c>
    </row>
    <row r="1225" spans="1:8" customFormat="1" x14ac:dyDescent="0.25">
      <c r="A1225" t="str">
        <f>"4429389"</f>
        <v>4429389</v>
      </c>
      <c r="B1225" t="s">
        <v>2036</v>
      </c>
      <c r="C1225" t="s">
        <v>249</v>
      </c>
      <c r="D1225" s="21" t="s">
        <v>34</v>
      </c>
      <c r="E1225" s="21" t="s">
        <v>71</v>
      </c>
      <c r="F1225">
        <v>12440056</v>
      </c>
      <c r="G1225" t="s">
        <v>2037</v>
      </c>
      <c r="H1225" s="21">
        <v>1545.17</v>
      </c>
    </row>
    <row r="1226" spans="1:8" customFormat="1" x14ac:dyDescent="0.25">
      <c r="A1226" t="str">
        <f>"837034"</f>
        <v>837034</v>
      </c>
      <c r="B1226" t="s">
        <v>1876</v>
      </c>
      <c r="C1226" t="s">
        <v>305</v>
      </c>
      <c r="D1226" s="21" t="s">
        <v>34</v>
      </c>
      <c r="E1226" s="21" t="s">
        <v>35</v>
      </c>
      <c r="F1226">
        <v>13830025</v>
      </c>
      <c r="G1226" t="s">
        <v>106</v>
      </c>
      <c r="H1226" s="21">
        <v>1545.17</v>
      </c>
    </row>
    <row r="1227" spans="1:8" customFormat="1" x14ac:dyDescent="0.25">
      <c r="A1227" t="str">
        <f>"7622002"</f>
        <v>7622002</v>
      </c>
      <c r="B1227" t="s">
        <v>1807</v>
      </c>
      <c r="C1227" t="s">
        <v>33</v>
      </c>
      <c r="D1227" s="21" t="s">
        <v>34</v>
      </c>
      <c r="E1227" s="21" t="s">
        <v>35</v>
      </c>
      <c r="F1227">
        <v>9500093</v>
      </c>
      <c r="G1227" t="s">
        <v>1808</v>
      </c>
      <c r="H1227" s="21">
        <v>1545.17</v>
      </c>
    </row>
    <row r="1228" spans="1:8" customFormat="1" x14ac:dyDescent="0.25">
      <c r="A1228" t="str">
        <f>"523295"</f>
        <v>523295</v>
      </c>
      <c r="B1228" t="s">
        <v>2141</v>
      </c>
      <c r="C1228" t="s">
        <v>43</v>
      </c>
      <c r="D1228" s="21" t="s">
        <v>34</v>
      </c>
      <c r="E1228" s="21" t="s">
        <v>35</v>
      </c>
      <c r="F1228">
        <v>6520054</v>
      </c>
      <c r="G1228" t="s">
        <v>2142</v>
      </c>
      <c r="H1228" s="21">
        <v>1545.17</v>
      </c>
    </row>
    <row r="1229" spans="1:8" customFormat="1" x14ac:dyDescent="0.25">
      <c r="A1229" t="str">
        <f>"9125580"</f>
        <v>9125580</v>
      </c>
      <c r="B1229" t="s">
        <v>1885</v>
      </c>
      <c r="C1229" t="s">
        <v>139</v>
      </c>
      <c r="D1229" s="21" t="s">
        <v>34</v>
      </c>
      <c r="E1229" s="21" t="s">
        <v>35</v>
      </c>
      <c r="F1229">
        <v>8910402</v>
      </c>
      <c r="G1229" t="s">
        <v>1371</v>
      </c>
      <c r="H1229" s="21">
        <v>1545.17</v>
      </c>
    </row>
    <row r="1230" spans="1:8" customFormat="1" x14ac:dyDescent="0.25">
      <c r="A1230" t="str">
        <f>"542282"</f>
        <v>542282</v>
      </c>
      <c r="B1230" t="s">
        <v>1701</v>
      </c>
      <c r="C1230" t="s">
        <v>119</v>
      </c>
      <c r="D1230" s="21" t="s">
        <v>34</v>
      </c>
      <c r="E1230" s="21" t="s">
        <v>71</v>
      </c>
      <c r="F1230">
        <v>6540011</v>
      </c>
      <c r="G1230" t="s">
        <v>6084</v>
      </c>
      <c r="H1230" s="21">
        <v>1545.17</v>
      </c>
    </row>
    <row r="1231" spans="1:8" customFormat="1" x14ac:dyDescent="0.25">
      <c r="A1231" t="str">
        <f>"294608"</f>
        <v>294608</v>
      </c>
      <c r="B1231" t="s">
        <v>1858</v>
      </c>
      <c r="C1231" t="s">
        <v>144</v>
      </c>
      <c r="D1231" s="21" t="s">
        <v>34</v>
      </c>
      <c r="E1231" s="21" t="s">
        <v>35</v>
      </c>
      <c r="F1231">
        <v>3290087</v>
      </c>
      <c r="G1231" t="s">
        <v>364</v>
      </c>
      <c r="H1231" s="21">
        <v>1544.67</v>
      </c>
    </row>
    <row r="1232" spans="1:8" customFormat="1" x14ac:dyDescent="0.25">
      <c r="A1232" t="str">
        <f>"598407"</f>
        <v>598407</v>
      </c>
      <c r="B1232" t="s">
        <v>1755</v>
      </c>
      <c r="C1232" t="s">
        <v>187</v>
      </c>
      <c r="D1232" s="21" t="s">
        <v>34</v>
      </c>
      <c r="E1232" s="21" t="s">
        <v>35</v>
      </c>
      <c r="F1232">
        <v>7590050</v>
      </c>
      <c r="G1232" t="s">
        <v>473</v>
      </c>
      <c r="H1232" s="21">
        <v>1544.67</v>
      </c>
    </row>
    <row r="1233" spans="1:8" customFormat="1" x14ac:dyDescent="0.25">
      <c r="A1233" t="str">
        <f>"883457"</f>
        <v>883457</v>
      </c>
      <c r="B1233" t="s">
        <v>1866</v>
      </c>
      <c r="C1233" t="s">
        <v>498</v>
      </c>
      <c r="D1233" s="21" t="s">
        <v>34</v>
      </c>
      <c r="E1233" s="21" t="s">
        <v>35</v>
      </c>
      <c r="F1233">
        <v>6880123</v>
      </c>
      <c r="G1233" t="s">
        <v>527</v>
      </c>
      <c r="H1233" s="21">
        <v>1544.67</v>
      </c>
    </row>
    <row r="1234" spans="1:8" customFormat="1" x14ac:dyDescent="0.25">
      <c r="A1234" t="str">
        <f>"9420187"</f>
        <v>9420187</v>
      </c>
      <c r="B1234" t="s">
        <v>2258</v>
      </c>
      <c r="C1234" t="s">
        <v>33</v>
      </c>
      <c r="D1234" s="21" t="s">
        <v>34</v>
      </c>
      <c r="E1234" s="21" t="s">
        <v>35</v>
      </c>
      <c r="F1234">
        <v>8940549</v>
      </c>
      <c r="G1234" t="s">
        <v>454</v>
      </c>
      <c r="H1234" s="21">
        <v>1544.42</v>
      </c>
    </row>
    <row r="1235" spans="1:8" customFormat="1" x14ac:dyDescent="0.25">
      <c r="A1235" t="str">
        <f>"442369"</f>
        <v>442369</v>
      </c>
      <c r="B1235" t="s">
        <v>1749</v>
      </c>
      <c r="C1235" t="s">
        <v>246</v>
      </c>
      <c r="D1235" s="21" t="s">
        <v>34</v>
      </c>
      <c r="E1235" s="21" t="s">
        <v>35</v>
      </c>
      <c r="F1235">
        <v>12440076</v>
      </c>
      <c r="G1235" t="s">
        <v>1750</v>
      </c>
      <c r="H1235" s="21">
        <v>1543.67</v>
      </c>
    </row>
    <row r="1236" spans="1:8" customFormat="1" x14ac:dyDescent="0.25">
      <c r="A1236" t="str">
        <f>"7612811"</f>
        <v>7612811</v>
      </c>
      <c r="B1236" t="s">
        <v>2134</v>
      </c>
      <c r="C1236" t="s">
        <v>2135</v>
      </c>
      <c r="D1236" s="21" t="s">
        <v>34</v>
      </c>
      <c r="E1236" s="21" t="s">
        <v>71</v>
      </c>
      <c r="F1236">
        <v>9270095</v>
      </c>
      <c r="G1236" t="s">
        <v>1681</v>
      </c>
      <c r="H1236" s="21">
        <v>1543.67</v>
      </c>
    </row>
    <row r="1237" spans="1:8" customFormat="1" x14ac:dyDescent="0.25">
      <c r="A1237" t="str">
        <f>"9218457"</f>
        <v>9218457</v>
      </c>
      <c r="B1237" t="s">
        <v>2009</v>
      </c>
      <c r="C1237" t="s">
        <v>82</v>
      </c>
      <c r="D1237" s="21" t="s">
        <v>34</v>
      </c>
      <c r="E1237" s="21" t="s">
        <v>35</v>
      </c>
      <c r="F1237">
        <v>8780114</v>
      </c>
      <c r="G1237" t="s">
        <v>927</v>
      </c>
      <c r="H1237" s="21">
        <v>1543.17</v>
      </c>
    </row>
    <row r="1238" spans="1:8" customFormat="1" x14ac:dyDescent="0.25">
      <c r="A1238" t="str">
        <f>"49618"</f>
        <v>49618</v>
      </c>
      <c r="B1238" t="s">
        <v>1745</v>
      </c>
      <c r="C1238" t="s">
        <v>209</v>
      </c>
      <c r="D1238" s="21" t="s">
        <v>34</v>
      </c>
      <c r="E1238" s="21" t="s">
        <v>71</v>
      </c>
      <c r="F1238">
        <v>5980003</v>
      </c>
      <c r="G1238" t="s">
        <v>1746</v>
      </c>
      <c r="H1238" s="21">
        <v>1543.17</v>
      </c>
    </row>
    <row r="1239" spans="1:8" customFormat="1" x14ac:dyDescent="0.25">
      <c r="A1239" t="str">
        <f>"551099"</f>
        <v>551099</v>
      </c>
      <c r="B1239" t="s">
        <v>26637</v>
      </c>
      <c r="C1239" t="s">
        <v>49</v>
      </c>
      <c r="D1239" s="21" t="s">
        <v>34</v>
      </c>
      <c r="E1239" s="21" t="s">
        <v>35</v>
      </c>
      <c r="F1239">
        <v>11820011</v>
      </c>
      <c r="G1239" t="s">
        <v>2611</v>
      </c>
      <c r="H1239" s="21">
        <v>1542.67</v>
      </c>
    </row>
    <row r="1240" spans="1:8" customFormat="1" x14ac:dyDescent="0.25">
      <c r="A1240" t="str">
        <f>"364468"</f>
        <v>364468</v>
      </c>
      <c r="B1240" t="s">
        <v>2082</v>
      </c>
      <c r="C1240" t="s">
        <v>37</v>
      </c>
      <c r="D1240" s="21" t="s">
        <v>34</v>
      </c>
      <c r="E1240" s="21" t="s">
        <v>35</v>
      </c>
      <c r="F1240">
        <v>4360454</v>
      </c>
      <c r="G1240" t="s">
        <v>637</v>
      </c>
      <c r="H1240" s="21">
        <v>1542.3</v>
      </c>
    </row>
    <row r="1241" spans="1:8" customFormat="1" x14ac:dyDescent="0.25">
      <c r="A1241" t="str">
        <f>"502397"</f>
        <v>502397</v>
      </c>
      <c r="B1241" t="s">
        <v>1802</v>
      </c>
      <c r="C1241" t="s">
        <v>1803</v>
      </c>
      <c r="D1241" s="21" t="s">
        <v>34</v>
      </c>
      <c r="E1241" s="21" t="s">
        <v>35</v>
      </c>
      <c r="F1241">
        <v>9500048</v>
      </c>
      <c r="G1241" t="s">
        <v>1804</v>
      </c>
      <c r="H1241" s="21">
        <v>1542.17</v>
      </c>
    </row>
    <row r="1242" spans="1:8" customFormat="1" x14ac:dyDescent="0.25">
      <c r="A1242" t="str">
        <f>"764884"</f>
        <v>764884</v>
      </c>
      <c r="B1242" t="s">
        <v>1501</v>
      </c>
      <c r="C1242" t="s">
        <v>320</v>
      </c>
      <c r="D1242" s="21" t="s">
        <v>34</v>
      </c>
      <c r="E1242" s="21" t="s">
        <v>35</v>
      </c>
      <c r="F1242">
        <v>9760034</v>
      </c>
      <c r="G1242" t="s">
        <v>1242</v>
      </c>
      <c r="H1242" s="21">
        <v>1541.67</v>
      </c>
    </row>
    <row r="1243" spans="1:8" customFormat="1" x14ac:dyDescent="0.25">
      <c r="A1243" t="str">
        <f>"537634"</f>
        <v>537634</v>
      </c>
      <c r="B1243" t="s">
        <v>1462</v>
      </c>
      <c r="C1243" t="s">
        <v>328</v>
      </c>
      <c r="D1243" s="21" t="s">
        <v>34</v>
      </c>
      <c r="E1243" s="21" t="s">
        <v>35</v>
      </c>
      <c r="F1243">
        <v>12530114</v>
      </c>
      <c r="G1243" t="s">
        <v>1342</v>
      </c>
      <c r="H1243" s="21">
        <v>1541.67</v>
      </c>
    </row>
    <row r="1244" spans="1:8" customFormat="1" x14ac:dyDescent="0.25">
      <c r="A1244" t="str">
        <f>"863337"</f>
        <v>863337</v>
      </c>
      <c r="B1244" t="s">
        <v>2576</v>
      </c>
      <c r="C1244" t="s">
        <v>109</v>
      </c>
      <c r="D1244" s="21" t="s">
        <v>34</v>
      </c>
      <c r="E1244" s="21" t="s">
        <v>71</v>
      </c>
      <c r="F1244">
        <v>10860017</v>
      </c>
      <c r="G1244" t="s">
        <v>2439</v>
      </c>
      <c r="H1244" s="21">
        <v>1541.67</v>
      </c>
    </row>
    <row r="1245" spans="1:8" customFormat="1" x14ac:dyDescent="0.25">
      <c r="A1245" t="str">
        <f>"083553"</f>
        <v>083553</v>
      </c>
      <c r="B1245" t="s">
        <v>1766</v>
      </c>
      <c r="C1245" t="s">
        <v>60</v>
      </c>
      <c r="D1245" s="21" t="s">
        <v>34</v>
      </c>
      <c r="E1245" s="21" t="s">
        <v>35</v>
      </c>
      <c r="F1245">
        <v>6080076</v>
      </c>
      <c r="G1245" t="s">
        <v>1767</v>
      </c>
      <c r="H1245" s="21">
        <v>1541.17</v>
      </c>
    </row>
    <row r="1246" spans="1:8" customFormat="1" x14ac:dyDescent="0.25">
      <c r="A1246" t="str">
        <f>"517657"</f>
        <v>517657</v>
      </c>
      <c r="B1246" t="s">
        <v>2433</v>
      </c>
      <c r="C1246" t="s">
        <v>1665</v>
      </c>
      <c r="D1246" s="21" t="s">
        <v>34</v>
      </c>
      <c r="E1246" s="21" t="s">
        <v>71</v>
      </c>
      <c r="F1246">
        <v>6510107</v>
      </c>
      <c r="G1246" t="s">
        <v>1392</v>
      </c>
      <c r="H1246" s="21">
        <v>1541.17</v>
      </c>
    </row>
    <row r="1247" spans="1:8" customFormat="1" x14ac:dyDescent="0.25">
      <c r="A1247" t="str">
        <f>"7623212"</f>
        <v>7623212</v>
      </c>
      <c r="B1247" t="s">
        <v>1635</v>
      </c>
      <c r="C1247" t="s">
        <v>1072</v>
      </c>
      <c r="D1247" s="21" t="s">
        <v>34</v>
      </c>
      <c r="E1247" s="21" t="s">
        <v>254</v>
      </c>
      <c r="F1247">
        <v>9760108</v>
      </c>
      <c r="G1247" t="s">
        <v>1636</v>
      </c>
      <c r="H1247" s="21">
        <v>1541.17</v>
      </c>
    </row>
    <row r="1248" spans="1:8" customFormat="1" x14ac:dyDescent="0.25">
      <c r="A1248" t="str">
        <f>"931951"</f>
        <v>931951</v>
      </c>
      <c r="B1248" t="s">
        <v>23829</v>
      </c>
      <c r="C1248" t="s">
        <v>33</v>
      </c>
      <c r="D1248" s="21" t="s">
        <v>34</v>
      </c>
      <c r="E1248" s="21" t="s">
        <v>35</v>
      </c>
      <c r="F1248">
        <v>8930368</v>
      </c>
      <c r="G1248" t="s">
        <v>508</v>
      </c>
      <c r="H1248" s="21">
        <v>1541</v>
      </c>
    </row>
    <row r="1249" spans="1:8" customFormat="1" x14ac:dyDescent="0.25">
      <c r="A1249" t="str">
        <f>"773840"</f>
        <v>773840</v>
      </c>
      <c r="B1249" t="s">
        <v>1998</v>
      </c>
      <c r="C1249" t="s">
        <v>328</v>
      </c>
      <c r="D1249" s="21" t="s">
        <v>34</v>
      </c>
      <c r="E1249" s="21" t="s">
        <v>35</v>
      </c>
      <c r="F1249">
        <v>8770202</v>
      </c>
      <c r="G1249" t="s">
        <v>1999</v>
      </c>
      <c r="H1249" s="21">
        <v>1540.8</v>
      </c>
    </row>
    <row r="1250" spans="1:8" customFormat="1" x14ac:dyDescent="0.25">
      <c r="A1250" t="str">
        <f>"7613608"</f>
        <v>7613608</v>
      </c>
      <c r="B1250" t="s">
        <v>26638</v>
      </c>
      <c r="C1250" t="s">
        <v>87</v>
      </c>
      <c r="D1250" s="21" t="s">
        <v>34</v>
      </c>
      <c r="E1250" s="21" t="s">
        <v>35</v>
      </c>
      <c r="F1250">
        <v>9760414</v>
      </c>
      <c r="G1250" t="s">
        <v>142</v>
      </c>
      <c r="H1250" s="21">
        <v>1540.17</v>
      </c>
    </row>
    <row r="1251" spans="1:8" customFormat="1" x14ac:dyDescent="0.25">
      <c r="A1251" t="str">
        <f>"5713616"</f>
        <v>5713616</v>
      </c>
      <c r="B1251" t="s">
        <v>2751</v>
      </c>
      <c r="C1251" t="s">
        <v>2752</v>
      </c>
      <c r="D1251" s="21" t="s">
        <v>34</v>
      </c>
      <c r="E1251" s="21" t="s">
        <v>71</v>
      </c>
      <c r="F1251">
        <v>6670260</v>
      </c>
      <c r="G1251" t="s">
        <v>1202</v>
      </c>
      <c r="H1251" s="21">
        <v>1540.17</v>
      </c>
    </row>
    <row r="1252" spans="1:8" customFormat="1" x14ac:dyDescent="0.25">
      <c r="A1252" t="str">
        <f>"4411743"</f>
        <v>4411743</v>
      </c>
      <c r="B1252" t="s">
        <v>2549</v>
      </c>
      <c r="C1252" t="s">
        <v>3309</v>
      </c>
      <c r="D1252" s="21" t="s">
        <v>34</v>
      </c>
      <c r="E1252" s="21" t="s">
        <v>35</v>
      </c>
      <c r="F1252">
        <v>12440136</v>
      </c>
      <c r="G1252" t="s">
        <v>3271</v>
      </c>
      <c r="H1252" s="21">
        <v>1539.92</v>
      </c>
    </row>
    <row r="1253" spans="1:8" customFormat="1" x14ac:dyDescent="0.25">
      <c r="A1253" t="str">
        <f>"7511294"</f>
        <v>7511294</v>
      </c>
      <c r="B1253" t="s">
        <v>3144</v>
      </c>
      <c r="C1253" t="s">
        <v>695</v>
      </c>
      <c r="D1253" s="21" t="s">
        <v>34</v>
      </c>
      <c r="E1253" s="21" t="s">
        <v>35</v>
      </c>
      <c r="F1253">
        <v>8910359</v>
      </c>
      <c r="G1253" t="s">
        <v>1204</v>
      </c>
      <c r="H1253" s="21">
        <v>1539.67</v>
      </c>
    </row>
    <row r="1254" spans="1:8" customFormat="1" x14ac:dyDescent="0.25">
      <c r="A1254" t="str">
        <f>"95812"</f>
        <v>95812</v>
      </c>
      <c r="B1254" t="s">
        <v>1692</v>
      </c>
      <c r="C1254" t="s">
        <v>40</v>
      </c>
      <c r="D1254" s="21" t="s">
        <v>34</v>
      </c>
      <c r="E1254" s="21" t="s">
        <v>71</v>
      </c>
      <c r="F1254">
        <v>8950083</v>
      </c>
      <c r="G1254" t="s">
        <v>405</v>
      </c>
      <c r="H1254" s="21">
        <v>1539.67</v>
      </c>
    </row>
    <row r="1255" spans="1:8" customFormat="1" x14ac:dyDescent="0.25">
      <c r="A1255" t="str">
        <f>"6218385"</f>
        <v>6218385</v>
      </c>
      <c r="B1255" t="s">
        <v>1888</v>
      </c>
      <c r="C1255" t="s">
        <v>33</v>
      </c>
      <c r="D1255" s="21" t="s">
        <v>34</v>
      </c>
      <c r="E1255" s="21" t="s">
        <v>35</v>
      </c>
      <c r="F1255">
        <v>7620063</v>
      </c>
      <c r="G1255" t="s">
        <v>1889</v>
      </c>
      <c r="H1255" s="21">
        <v>1539.42</v>
      </c>
    </row>
    <row r="1256" spans="1:8" customFormat="1" x14ac:dyDescent="0.25">
      <c r="A1256" t="str">
        <f>"4415676"</f>
        <v>4415676</v>
      </c>
      <c r="B1256" t="s">
        <v>2056</v>
      </c>
      <c r="C1256" t="s">
        <v>169</v>
      </c>
      <c r="D1256" s="21" t="s">
        <v>34</v>
      </c>
      <c r="E1256" s="21" t="s">
        <v>35</v>
      </c>
      <c r="F1256">
        <v>12440038</v>
      </c>
      <c r="G1256" t="s">
        <v>2057</v>
      </c>
      <c r="H1256" s="21">
        <v>1539.17</v>
      </c>
    </row>
    <row r="1257" spans="1:8" customFormat="1" x14ac:dyDescent="0.25">
      <c r="A1257" t="str">
        <f>"648693"</f>
        <v>648693</v>
      </c>
      <c r="B1257" t="s">
        <v>987</v>
      </c>
      <c r="C1257" t="s">
        <v>87</v>
      </c>
      <c r="D1257" s="21" t="s">
        <v>34</v>
      </c>
      <c r="E1257" s="21" t="s">
        <v>35</v>
      </c>
      <c r="F1257">
        <v>10640004</v>
      </c>
      <c r="G1257" t="s">
        <v>26618</v>
      </c>
      <c r="H1257" s="21">
        <v>1539.17</v>
      </c>
    </row>
    <row r="1258" spans="1:8" customFormat="1" x14ac:dyDescent="0.25">
      <c r="A1258" t="str">
        <f>"01100"</f>
        <v>01100</v>
      </c>
      <c r="B1258" t="s">
        <v>146</v>
      </c>
      <c r="C1258" t="s">
        <v>139</v>
      </c>
      <c r="D1258" s="21" t="s">
        <v>34</v>
      </c>
      <c r="E1258" s="21" t="s">
        <v>35</v>
      </c>
      <c r="F1258">
        <v>1010069</v>
      </c>
      <c r="G1258" t="s">
        <v>1707</v>
      </c>
      <c r="H1258" s="21">
        <v>1539.17</v>
      </c>
    </row>
    <row r="1259" spans="1:8" customFormat="1" x14ac:dyDescent="0.25">
      <c r="A1259" t="str">
        <f>"809231"</f>
        <v>809231</v>
      </c>
      <c r="B1259" t="s">
        <v>2110</v>
      </c>
      <c r="C1259" t="s">
        <v>121</v>
      </c>
      <c r="D1259" s="21" t="s">
        <v>34</v>
      </c>
      <c r="E1259" s="21" t="s">
        <v>35</v>
      </c>
      <c r="F1259">
        <v>7800040</v>
      </c>
      <c r="G1259" t="s">
        <v>1448</v>
      </c>
      <c r="H1259" s="21">
        <v>1539.17</v>
      </c>
    </row>
    <row r="1260" spans="1:8" customFormat="1" x14ac:dyDescent="0.25">
      <c r="A1260" t="str">
        <f>"80133"</f>
        <v>80133</v>
      </c>
      <c r="B1260" t="s">
        <v>1904</v>
      </c>
      <c r="C1260" t="s">
        <v>462</v>
      </c>
      <c r="D1260" s="21" t="s">
        <v>34</v>
      </c>
      <c r="E1260" s="21" t="s">
        <v>254</v>
      </c>
      <c r="F1260">
        <v>7800001</v>
      </c>
      <c r="G1260" t="s">
        <v>176</v>
      </c>
      <c r="H1260" s="21">
        <v>1539.17</v>
      </c>
    </row>
    <row r="1261" spans="1:8" customFormat="1" x14ac:dyDescent="0.25">
      <c r="A1261" t="str">
        <f>"62637"</f>
        <v>62637</v>
      </c>
      <c r="B1261" t="s">
        <v>1409</v>
      </c>
      <c r="C1261" t="s">
        <v>169</v>
      </c>
      <c r="D1261" s="21" t="s">
        <v>34</v>
      </c>
      <c r="E1261" s="21" t="s">
        <v>35</v>
      </c>
      <c r="F1261">
        <v>7620100</v>
      </c>
      <c r="G1261" t="s">
        <v>145</v>
      </c>
      <c r="H1261" s="21">
        <v>1538.67</v>
      </c>
    </row>
    <row r="1262" spans="1:8" customFormat="1" x14ac:dyDescent="0.25">
      <c r="A1262" t="str">
        <f>"2914676"</f>
        <v>2914676</v>
      </c>
      <c r="B1262" t="s">
        <v>1704</v>
      </c>
      <c r="C1262" t="s">
        <v>1705</v>
      </c>
      <c r="D1262" s="21" t="s">
        <v>34</v>
      </c>
      <c r="E1262" s="21" t="s">
        <v>71</v>
      </c>
      <c r="F1262">
        <v>3290018</v>
      </c>
      <c r="G1262" t="s">
        <v>1706</v>
      </c>
      <c r="H1262" s="21">
        <v>1538.42</v>
      </c>
    </row>
    <row r="1263" spans="1:8" customFormat="1" x14ac:dyDescent="0.25">
      <c r="A1263" t="str">
        <f>"80818"</f>
        <v>80818</v>
      </c>
      <c r="B1263" t="s">
        <v>1930</v>
      </c>
      <c r="C1263" t="s">
        <v>1931</v>
      </c>
      <c r="D1263" s="21" t="s">
        <v>34</v>
      </c>
      <c r="E1263" s="21" t="s">
        <v>71</v>
      </c>
      <c r="F1263">
        <v>7590028</v>
      </c>
      <c r="G1263" t="s">
        <v>251</v>
      </c>
      <c r="H1263" s="21">
        <v>1538.17</v>
      </c>
    </row>
    <row r="1264" spans="1:8" customFormat="1" x14ac:dyDescent="0.25">
      <c r="A1264" t="str">
        <f>"807315"</f>
        <v>807315</v>
      </c>
      <c r="B1264" t="s">
        <v>1568</v>
      </c>
      <c r="C1264" t="s">
        <v>209</v>
      </c>
      <c r="D1264" s="21" t="s">
        <v>34</v>
      </c>
      <c r="E1264" s="21" t="s">
        <v>71</v>
      </c>
      <c r="F1264">
        <v>7800061</v>
      </c>
      <c r="G1264" t="s">
        <v>1330</v>
      </c>
      <c r="H1264" s="21">
        <v>1538.17</v>
      </c>
    </row>
    <row r="1265" spans="1:8" customFormat="1" x14ac:dyDescent="0.25">
      <c r="A1265" t="str">
        <f>"2918186"</f>
        <v>2918186</v>
      </c>
      <c r="B1265" t="s">
        <v>1822</v>
      </c>
      <c r="C1265" t="s">
        <v>58</v>
      </c>
      <c r="D1265" s="21" t="s">
        <v>34</v>
      </c>
      <c r="E1265" s="21" t="s">
        <v>35</v>
      </c>
      <c r="F1265">
        <v>3350009</v>
      </c>
      <c r="G1265" t="s">
        <v>1823</v>
      </c>
      <c r="H1265" s="21">
        <v>1538.17</v>
      </c>
    </row>
    <row r="1266" spans="1:8" customFormat="1" x14ac:dyDescent="0.25">
      <c r="A1266" t="str">
        <f>"616227"</f>
        <v>616227</v>
      </c>
      <c r="B1266" t="s">
        <v>1791</v>
      </c>
      <c r="C1266" t="s">
        <v>967</v>
      </c>
      <c r="D1266" s="21" t="s">
        <v>34</v>
      </c>
      <c r="E1266" s="21" t="s">
        <v>71</v>
      </c>
      <c r="F1266">
        <v>9610031</v>
      </c>
      <c r="G1266" t="s">
        <v>1792</v>
      </c>
      <c r="H1266" s="21">
        <v>1537.67</v>
      </c>
    </row>
    <row r="1267" spans="1:8" customFormat="1" x14ac:dyDescent="0.25">
      <c r="A1267" t="str">
        <f>"9113816"</f>
        <v>9113816</v>
      </c>
      <c r="B1267" t="s">
        <v>1298</v>
      </c>
      <c r="C1267" t="s">
        <v>1299</v>
      </c>
      <c r="D1267" s="21" t="s">
        <v>34</v>
      </c>
      <c r="E1267" s="21" t="s">
        <v>35</v>
      </c>
      <c r="F1267">
        <v>8910881</v>
      </c>
      <c r="G1267" t="s">
        <v>1300</v>
      </c>
      <c r="H1267" s="21">
        <v>1537.55</v>
      </c>
    </row>
    <row r="1268" spans="1:8" customFormat="1" x14ac:dyDescent="0.25">
      <c r="A1268" t="str">
        <f>"521084"</f>
        <v>521084</v>
      </c>
      <c r="B1268" t="s">
        <v>946</v>
      </c>
      <c r="C1268" t="s">
        <v>211</v>
      </c>
      <c r="D1268" s="21" t="s">
        <v>34</v>
      </c>
      <c r="E1268" s="21" t="s">
        <v>35</v>
      </c>
      <c r="F1268">
        <v>6520003</v>
      </c>
      <c r="G1268" t="s">
        <v>571</v>
      </c>
      <c r="H1268" s="21">
        <v>1537.29</v>
      </c>
    </row>
    <row r="1269" spans="1:8" customFormat="1" x14ac:dyDescent="0.25">
      <c r="A1269" t="str">
        <f>"765539"</f>
        <v>765539</v>
      </c>
      <c r="B1269" t="s">
        <v>2625</v>
      </c>
      <c r="C1269" t="s">
        <v>109</v>
      </c>
      <c r="D1269" s="21" t="s">
        <v>34</v>
      </c>
      <c r="E1269" s="21" t="s">
        <v>35</v>
      </c>
      <c r="F1269">
        <v>9760018</v>
      </c>
      <c r="G1269" t="s">
        <v>117</v>
      </c>
      <c r="H1269" s="21">
        <v>1537.17</v>
      </c>
    </row>
    <row r="1270" spans="1:8" customFormat="1" x14ac:dyDescent="0.25">
      <c r="A1270" t="str">
        <f>"6915"</f>
        <v>6915</v>
      </c>
      <c r="B1270" t="s">
        <v>1882</v>
      </c>
      <c r="C1270" t="s">
        <v>156</v>
      </c>
      <c r="D1270" s="21" t="s">
        <v>34</v>
      </c>
      <c r="E1270" s="21" t="s">
        <v>254</v>
      </c>
      <c r="F1270">
        <v>1690052</v>
      </c>
      <c r="G1270" t="s">
        <v>273</v>
      </c>
      <c r="H1270" s="21">
        <v>1537.17</v>
      </c>
    </row>
    <row r="1271" spans="1:8" customFormat="1" x14ac:dyDescent="0.25">
      <c r="A1271" t="str">
        <f>"418522"</f>
        <v>418522</v>
      </c>
      <c r="B1271" t="s">
        <v>14507</v>
      </c>
      <c r="C1271" t="s">
        <v>37</v>
      </c>
      <c r="D1271" s="21" t="s">
        <v>34</v>
      </c>
      <c r="E1271" s="21" t="s">
        <v>35</v>
      </c>
      <c r="F1271">
        <v>4410083</v>
      </c>
      <c r="G1271" t="s">
        <v>2333</v>
      </c>
      <c r="H1271" s="21">
        <v>1537.17</v>
      </c>
    </row>
    <row r="1272" spans="1:8" customFormat="1" x14ac:dyDescent="0.25">
      <c r="A1272" t="str">
        <f>"8816282"</f>
        <v>8816282</v>
      </c>
      <c r="B1272" t="s">
        <v>1821</v>
      </c>
      <c r="C1272" t="s">
        <v>55</v>
      </c>
      <c r="D1272" s="21" t="s">
        <v>34</v>
      </c>
      <c r="E1272" s="21" t="s">
        <v>71</v>
      </c>
      <c r="F1272">
        <v>6880002</v>
      </c>
      <c r="G1272" t="s">
        <v>501</v>
      </c>
      <c r="H1272" s="21">
        <v>1537.05</v>
      </c>
    </row>
    <row r="1273" spans="1:8" customFormat="1" x14ac:dyDescent="0.25">
      <c r="A1273" t="str">
        <f>"8011720"</f>
        <v>8011720</v>
      </c>
      <c r="B1273" t="s">
        <v>26639</v>
      </c>
      <c r="C1273" t="s">
        <v>60</v>
      </c>
      <c r="D1273" s="21" t="s">
        <v>34</v>
      </c>
      <c r="E1273" s="21" t="s">
        <v>35</v>
      </c>
      <c r="F1273">
        <v>7620019</v>
      </c>
      <c r="G1273" t="s">
        <v>723</v>
      </c>
      <c r="H1273" s="21">
        <v>1537</v>
      </c>
    </row>
    <row r="1274" spans="1:8" customFormat="1" x14ac:dyDescent="0.25">
      <c r="A1274" t="str">
        <f>"645140"</f>
        <v>645140</v>
      </c>
      <c r="B1274" t="s">
        <v>2368</v>
      </c>
      <c r="C1274" t="s">
        <v>121</v>
      </c>
      <c r="D1274" s="21" t="s">
        <v>34</v>
      </c>
      <c r="E1274" s="21" t="s">
        <v>35</v>
      </c>
      <c r="F1274">
        <v>10640008</v>
      </c>
      <c r="G1274" t="s">
        <v>1694</v>
      </c>
      <c r="H1274" s="21">
        <v>1536.67</v>
      </c>
    </row>
    <row r="1275" spans="1:8" customFormat="1" x14ac:dyDescent="0.25">
      <c r="A1275" t="str">
        <f>"566242"</f>
        <v>566242</v>
      </c>
      <c r="B1275" t="s">
        <v>2645</v>
      </c>
      <c r="C1275" t="s">
        <v>198</v>
      </c>
      <c r="D1275" s="21" t="s">
        <v>34</v>
      </c>
      <c r="E1275" s="21" t="s">
        <v>71</v>
      </c>
      <c r="F1275">
        <v>6540040</v>
      </c>
      <c r="G1275" t="s">
        <v>256</v>
      </c>
      <c r="H1275" s="21">
        <v>1535.92</v>
      </c>
    </row>
    <row r="1276" spans="1:8" customFormat="1" x14ac:dyDescent="0.25">
      <c r="A1276" t="str">
        <f>"3519460"</f>
        <v>3519460</v>
      </c>
      <c r="B1276" t="s">
        <v>26640</v>
      </c>
      <c r="C1276" t="s">
        <v>62</v>
      </c>
      <c r="D1276" s="21" t="s">
        <v>34</v>
      </c>
      <c r="E1276" s="21" t="s">
        <v>35</v>
      </c>
      <c r="F1276">
        <v>3220087</v>
      </c>
      <c r="G1276" t="s">
        <v>3540</v>
      </c>
      <c r="H1276" s="21">
        <v>1535.67</v>
      </c>
    </row>
    <row r="1277" spans="1:8" customFormat="1" x14ac:dyDescent="0.25">
      <c r="A1277" t="str">
        <f>"9227506"</f>
        <v>9227506</v>
      </c>
      <c r="B1277" t="s">
        <v>1892</v>
      </c>
      <c r="C1277" t="s">
        <v>1893</v>
      </c>
      <c r="D1277" s="21" t="s">
        <v>34</v>
      </c>
      <c r="E1277" s="21" t="s">
        <v>35</v>
      </c>
      <c r="F1277">
        <v>8920309</v>
      </c>
      <c r="G1277" t="s">
        <v>1894</v>
      </c>
      <c r="H1277" s="21">
        <v>1535.67</v>
      </c>
    </row>
    <row r="1278" spans="1:8" customFormat="1" x14ac:dyDescent="0.25">
      <c r="A1278" t="str">
        <f>"333373"</f>
        <v>333373</v>
      </c>
      <c r="B1278" t="s">
        <v>1760</v>
      </c>
      <c r="C1278" t="s">
        <v>812</v>
      </c>
      <c r="D1278" s="21" t="s">
        <v>34</v>
      </c>
      <c r="E1278" s="21" t="s">
        <v>35</v>
      </c>
      <c r="F1278">
        <v>10330019</v>
      </c>
      <c r="G1278" t="s">
        <v>1761</v>
      </c>
      <c r="H1278" s="21">
        <v>1535.67</v>
      </c>
    </row>
    <row r="1279" spans="1:8" customFormat="1" x14ac:dyDescent="0.25">
      <c r="A1279" t="str">
        <f>"54675"</f>
        <v>54675</v>
      </c>
      <c r="B1279" t="s">
        <v>1877</v>
      </c>
      <c r="C1279" t="s">
        <v>119</v>
      </c>
      <c r="D1279" s="21" t="s">
        <v>34</v>
      </c>
      <c r="E1279" s="21" t="s">
        <v>71</v>
      </c>
      <c r="F1279">
        <v>6540128</v>
      </c>
      <c r="G1279" t="s">
        <v>1249</v>
      </c>
      <c r="H1279" s="21">
        <v>1535.67</v>
      </c>
    </row>
    <row r="1280" spans="1:8" customFormat="1" x14ac:dyDescent="0.25">
      <c r="A1280" t="str">
        <f>"4428413"</f>
        <v>4428413</v>
      </c>
      <c r="B1280" t="s">
        <v>1818</v>
      </c>
      <c r="C1280" t="s">
        <v>1819</v>
      </c>
      <c r="D1280" s="21" t="s">
        <v>34</v>
      </c>
      <c r="E1280" s="21" t="s">
        <v>35</v>
      </c>
      <c r="F1280">
        <v>6100005</v>
      </c>
      <c r="G1280" t="s">
        <v>855</v>
      </c>
      <c r="H1280" s="21">
        <v>1535.67</v>
      </c>
    </row>
    <row r="1281" spans="1:8" customFormat="1" x14ac:dyDescent="0.25">
      <c r="A1281" t="str">
        <f>"5012605"</f>
        <v>5012605</v>
      </c>
      <c r="B1281" t="s">
        <v>3022</v>
      </c>
      <c r="C1281" t="s">
        <v>82</v>
      </c>
      <c r="D1281" s="21" t="s">
        <v>34</v>
      </c>
      <c r="E1281" s="21" t="s">
        <v>35</v>
      </c>
      <c r="F1281">
        <v>3350209</v>
      </c>
      <c r="G1281" t="s">
        <v>3023</v>
      </c>
      <c r="H1281" s="21">
        <v>1535.54</v>
      </c>
    </row>
    <row r="1282" spans="1:8" customFormat="1" x14ac:dyDescent="0.25">
      <c r="A1282" t="str">
        <f>"5319496"</f>
        <v>5319496</v>
      </c>
      <c r="B1282" t="s">
        <v>26641</v>
      </c>
      <c r="C1282" t="s">
        <v>33</v>
      </c>
      <c r="D1282" s="21" t="s">
        <v>34</v>
      </c>
      <c r="E1282" s="21" t="s">
        <v>71</v>
      </c>
      <c r="F1282">
        <v>12530054</v>
      </c>
      <c r="G1282" t="s">
        <v>354</v>
      </c>
      <c r="H1282" s="21">
        <v>1535.05</v>
      </c>
    </row>
    <row r="1283" spans="1:8" customFormat="1" x14ac:dyDescent="0.25">
      <c r="A1283" t="str">
        <f>"57347"</f>
        <v>57347</v>
      </c>
      <c r="B1283" t="s">
        <v>1509</v>
      </c>
      <c r="C1283" t="s">
        <v>239</v>
      </c>
      <c r="D1283" s="21" t="s">
        <v>34</v>
      </c>
      <c r="E1283" s="21" t="s">
        <v>254</v>
      </c>
      <c r="F1283">
        <v>6570019</v>
      </c>
      <c r="G1283" t="s">
        <v>1510</v>
      </c>
      <c r="H1283" s="21">
        <v>1534.79</v>
      </c>
    </row>
    <row r="1284" spans="1:8" customFormat="1" x14ac:dyDescent="0.25">
      <c r="A1284" t="str">
        <f>"167157"</f>
        <v>167157</v>
      </c>
      <c r="B1284" t="s">
        <v>2034</v>
      </c>
      <c r="C1284" t="s">
        <v>462</v>
      </c>
      <c r="D1284" s="21" t="s">
        <v>34</v>
      </c>
      <c r="E1284" s="21" t="s">
        <v>35</v>
      </c>
      <c r="F1284">
        <v>10160185</v>
      </c>
      <c r="G1284" t="s">
        <v>2035</v>
      </c>
      <c r="H1284" s="21">
        <v>1534.67</v>
      </c>
    </row>
    <row r="1285" spans="1:8" customFormat="1" x14ac:dyDescent="0.25">
      <c r="A1285" t="str">
        <f>"2924033"</f>
        <v>2924033</v>
      </c>
      <c r="B1285" t="s">
        <v>1781</v>
      </c>
      <c r="C1285" t="s">
        <v>1782</v>
      </c>
      <c r="D1285" s="21" t="s">
        <v>34</v>
      </c>
      <c r="E1285" s="21" t="s">
        <v>35</v>
      </c>
      <c r="F1285">
        <v>3290266</v>
      </c>
      <c r="G1285" t="s">
        <v>1783</v>
      </c>
      <c r="H1285" s="21">
        <v>1534.54</v>
      </c>
    </row>
    <row r="1286" spans="1:8" customFormat="1" x14ac:dyDescent="0.25">
      <c r="A1286" t="str">
        <f>"79422"</f>
        <v>79422</v>
      </c>
      <c r="B1286" t="s">
        <v>1820</v>
      </c>
      <c r="C1286" t="s">
        <v>33</v>
      </c>
      <c r="D1286" s="21" t="s">
        <v>34</v>
      </c>
      <c r="E1286" s="21" t="s">
        <v>71</v>
      </c>
      <c r="F1286">
        <v>10790025</v>
      </c>
      <c r="G1286" t="s">
        <v>1218</v>
      </c>
      <c r="H1286" s="21">
        <v>1534.3</v>
      </c>
    </row>
    <row r="1287" spans="1:8" customFormat="1" x14ac:dyDescent="0.25">
      <c r="A1287" t="str">
        <f>"7510048"</f>
        <v>7510048</v>
      </c>
      <c r="B1287" t="s">
        <v>1748</v>
      </c>
      <c r="C1287" t="s">
        <v>119</v>
      </c>
      <c r="D1287" s="21" t="s">
        <v>34</v>
      </c>
      <c r="E1287" s="21" t="s">
        <v>35</v>
      </c>
      <c r="F1287">
        <v>8930598</v>
      </c>
      <c r="G1287" t="s">
        <v>445</v>
      </c>
      <c r="H1287" s="21">
        <v>1534.17</v>
      </c>
    </row>
    <row r="1288" spans="1:8" customFormat="1" x14ac:dyDescent="0.25">
      <c r="A1288" t="str">
        <f>"938055"</f>
        <v>938055</v>
      </c>
      <c r="B1288" t="s">
        <v>1562</v>
      </c>
      <c r="C1288" t="s">
        <v>269</v>
      </c>
      <c r="D1288" s="21" t="s">
        <v>34</v>
      </c>
      <c r="E1288" s="21" t="s">
        <v>71</v>
      </c>
      <c r="F1288">
        <v>8940073</v>
      </c>
      <c r="G1288" t="s">
        <v>1085</v>
      </c>
      <c r="H1288" s="21">
        <v>1534.17</v>
      </c>
    </row>
    <row r="1289" spans="1:8" customFormat="1" x14ac:dyDescent="0.25">
      <c r="A1289" t="str">
        <f>"066357"</f>
        <v>066357</v>
      </c>
      <c r="B1289" t="s">
        <v>2878</v>
      </c>
      <c r="C1289" t="s">
        <v>576</v>
      </c>
      <c r="D1289" s="21" t="s">
        <v>34</v>
      </c>
      <c r="E1289" s="21" t="s">
        <v>35</v>
      </c>
      <c r="F1289">
        <v>13060085</v>
      </c>
      <c r="G1289" t="s">
        <v>2703</v>
      </c>
      <c r="H1289" s="21">
        <v>1534.17</v>
      </c>
    </row>
    <row r="1290" spans="1:8" customFormat="1" x14ac:dyDescent="0.25">
      <c r="A1290" t="str">
        <f>"796494"</f>
        <v>796494</v>
      </c>
      <c r="B1290" t="s">
        <v>1653</v>
      </c>
      <c r="C1290" t="s">
        <v>169</v>
      </c>
      <c r="D1290" s="21" t="s">
        <v>34</v>
      </c>
      <c r="E1290" s="21" t="s">
        <v>71</v>
      </c>
      <c r="F1290">
        <v>10330082</v>
      </c>
      <c r="G1290" t="s">
        <v>5564</v>
      </c>
      <c r="H1290" s="21">
        <v>1533.92</v>
      </c>
    </row>
    <row r="1291" spans="1:8" customFormat="1" x14ac:dyDescent="0.25">
      <c r="A1291" t="str">
        <f>"644614"</f>
        <v>644614</v>
      </c>
      <c r="B1291" t="s">
        <v>2310</v>
      </c>
      <c r="C1291" t="s">
        <v>1410</v>
      </c>
      <c r="D1291" s="21" t="s">
        <v>34</v>
      </c>
      <c r="E1291" s="21" t="s">
        <v>35</v>
      </c>
      <c r="F1291">
        <v>11120004</v>
      </c>
      <c r="G1291" t="s">
        <v>2311</v>
      </c>
      <c r="H1291" s="21">
        <v>1533.92</v>
      </c>
    </row>
    <row r="1292" spans="1:8" customFormat="1" x14ac:dyDescent="0.25">
      <c r="A1292" t="str">
        <f>"428136"</f>
        <v>428136</v>
      </c>
      <c r="B1292" t="s">
        <v>2007</v>
      </c>
      <c r="C1292" t="s">
        <v>515</v>
      </c>
      <c r="D1292" s="21" t="s">
        <v>34</v>
      </c>
      <c r="E1292" s="21" t="s">
        <v>35</v>
      </c>
      <c r="F1292">
        <v>1420128</v>
      </c>
      <c r="G1292" t="s">
        <v>449</v>
      </c>
      <c r="H1292" s="21">
        <v>1533.67</v>
      </c>
    </row>
    <row r="1293" spans="1:8" customFormat="1" x14ac:dyDescent="0.25">
      <c r="A1293" t="str">
        <f>"7614020"</f>
        <v>7614020</v>
      </c>
      <c r="B1293" t="s">
        <v>1883</v>
      </c>
      <c r="C1293" t="s">
        <v>1588</v>
      </c>
      <c r="D1293" s="21" t="s">
        <v>34</v>
      </c>
      <c r="E1293" s="21" t="s">
        <v>1089</v>
      </c>
      <c r="F1293">
        <v>1260034</v>
      </c>
      <c r="G1293" t="s">
        <v>1884</v>
      </c>
      <c r="H1293" s="21">
        <v>1533.67</v>
      </c>
    </row>
    <row r="1294" spans="1:8" customFormat="1" x14ac:dyDescent="0.25">
      <c r="A1294" t="str">
        <f>"4921432"</f>
        <v>4921432</v>
      </c>
      <c r="B1294" t="s">
        <v>3318</v>
      </c>
      <c r="C1294" t="s">
        <v>33</v>
      </c>
      <c r="D1294" s="21" t="s">
        <v>34</v>
      </c>
      <c r="E1294" s="21" t="s">
        <v>35</v>
      </c>
      <c r="F1294">
        <v>12490107</v>
      </c>
      <c r="G1294" t="s">
        <v>715</v>
      </c>
      <c r="H1294" s="21">
        <v>1533.67</v>
      </c>
    </row>
    <row r="1295" spans="1:8" customFormat="1" x14ac:dyDescent="0.25">
      <c r="A1295" t="str">
        <f>"7713599"</f>
        <v>7713599</v>
      </c>
      <c r="B1295" t="s">
        <v>2696</v>
      </c>
      <c r="C1295" t="s">
        <v>1588</v>
      </c>
      <c r="D1295" s="21" t="s">
        <v>34</v>
      </c>
      <c r="E1295" s="21" t="s">
        <v>35</v>
      </c>
      <c r="F1295">
        <v>8770426</v>
      </c>
      <c r="G1295" t="s">
        <v>1847</v>
      </c>
      <c r="H1295" s="21">
        <v>1533.42</v>
      </c>
    </row>
    <row r="1296" spans="1:8" customFormat="1" x14ac:dyDescent="0.25">
      <c r="A1296" t="str">
        <f>"541746"</f>
        <v>541746</v>
      </c>
      <c r="B1296" t="s">
        <v>1834</v>
      </c>
      <c r="C1296" t="s">
        <v>198</v>
      </c>
      <c r="D1296" s="21" t="s">
        <v>34</v>
      </c>
      <c r="E1296" s="21" t="s">
        <v>35</v>
      </c>
      <c r="F1296">
        <v>6540032</v>
      </c>
      <c r="G1296" t="s">
        <v>63</v>
      </c>
      <c r="H1296" s="21">
        <v>1533.3</v>
      </c>
    </row>
    <row r="1297" spans="1:8" customFormat="1" x14ac:dyDescent="0.25">
      <c r="A1297" t="str">
        <f>"593365"</f>
        <v>593365</v>
      </c>
      <c r="B1297" t="s">
        <v>2136</v>
      </c>
      <c r="C1297" t="s">
        <v>459</v>
      </c>
      <c r="D1297" s="21" t="s">
        <v>34</v>
      </c>
      <c r="E1297" s="21" t="s">
        <v>71</v>
      </c>
      <c r="F1297">
        <v>7590194</v>
      </c>
      <c r="G1297" t="s">
        <v>460</v>
      </c>
      <c r="H1297" s="21">
        <v>1533.17</v>
      </c>
    </row>
    <row r="1298" spans="1:8" customFormat="1" x14ac:dyDescent="0.25">
      <c r="A1298" t="str">
        <f>"5948438"</f>
        <v>5948438</v>
      </c>
      <c r="B1298" t="s">
        <v>4296</v>
      </c>
      <c r="C1298" t="s">
        <v>253</v>
      </c>
      <c r="D1298" s="21" t="s">
        <v>34</v>
      </c>
      <c r="E1298" s="21" t="s">
        <v>35</v>
      </c>
      <c r="F1298">
        <v>7590017</v>
      </c>
      <c r="G1298" t="s">
        <v>1316</v>
      </c>
      <c r="H1298" s="21">
        <v>1533.17</v>
      </c>
    </row>
    <row r="1299" spans="1:8" customFormat="1" x14ac:dyDescent="0.25">
      <c r="A1299" t="str">
        <f>"72247"</f>
        <v>72247</v>
      </c>
      <c r="B1299" t="s">
        <v>17378</v>
      </c>
      <c r="C1299" t="s">
        <v>1119</v>
      </c>
      <c r="D1299" s="21" t="s">
        <v>34</v>
      </c>
      <c r="E1299" s="21" t="s">
        <v>254</v>
      </c>
      <c r="F1299">
        <v>12720104</v>
      </c>
      <c r="G1299" t="s">
        <v>224</v>
      </c>
      <c r="H1299" s="21">
        <v>1532.67</v>
      </c>
    </row>
    <row r="1300" spans="1:8" customFormat="1" x14ac:dyDescent="0.25">
      <c r="A1300" t="str">
        <f>"429682"</f>
        <v>429682</v>
      </c>
      <c r="B1300" t="s">
        <v>2012</v>
      </c>
      <c r="C1300" t="s">
        <v>109</v>
      </c>
      <c r="D1300" s="21" t="s">
        <v>34</v>
      </c>
      <c r="E1300" s="21" t="s">
        <v>35</v>
      </c>
      <c r="F1300">
        <v>1420013</v>
      </c>
      <c r="G1300" t="s">
        <v>2013</v>
      </c>
      <c r="H1300" s="21">
        <v>1532.67</v>
      </c>
    </row>
    <row r="1301" spans="1:8" customFormat="1" x14ac:dyDescent="0.25">
      <c r="A1301" t="str">
        <f>"891151"</f>
        <v>891151</v>
      </c>
      <c r="B1301" t="s">
        <v>2076</v>
      </c>
      <c r="C1301" t="s">
        <v>2077</v>
      </c>
      <c r="D1301" s="21" t="s">
        <v>34</v>
      </c>
      <c r="E1301" s="21" t="s">
        <v>35</v>
      </c>
      <c r="F1301">
        <v>2890023</v>
      </c>
      <c r="G1301" t="s">
        <v>1995</v>
      </c>
      <c r="H1301" s="21">
        <v>1532.67</v>
      </c>
    </row>
    <row r="1302" spans="1:8" customFormat="1" x14ac:dyDescent="0.25">
      <c r="A1302" t="str">
        <f>"4511035"</f>
        <v>4511035</v>
      </c>
      <c r="B1302" t="s">
        <v>2409</v>
      </c>
      <c r="C1302" t="s">
        <v>2410</v>
      </c>
      <c r="D1302" s="21" t="s">
        <v>34</v>
      </c>
      <c r="E1302" s="21" t="s">
        <v>35</v>
      </c>
      <c r="F1302">
        <v>4450192</v>
      </c>
      <c r="G1302" t="s">
        <v>2411</v>
      </c>
      <c r="H1302" s="21">
        <v>1532.42</v>
      </c>
    </row>
    <row r="1303" spans="1:8" customFormat="1" x14ac:dyDescent="0.25">
      <c r="A1303" t="str">
        <f>"544540"</f>
        <v>544540</v>
      </c>
      <c r="B1303" t="s">
        <v>2279</v>
      </c>
      <c r="C1303" t="s">
        <v>263</v>
      </c>
      <c r="D1303" s="21" t="s">
        <v>34</v>
      </c>
      <c r="E1303" s="21" t="s">
        <v>35</v>
      </c>
      <c r="F1303">
        <v>6540128</v>
      </c>
      <c r="G1303" t="s">
        <v>1249</v>
      </c>
      <c r="H1303" s="21">
        <v>1532.17</v>
      </c>
    </row>
    <row r="1304" spans="1:8" customFormat="1" x14ac:dyDescent="0.25">
      <c r="A1304" t="str">
        <f>"8513777"</f>
        <v>8513777</v>
      </c>
      <c r="B1304" t="s">
        <v>1066</v>
      </c>
      <c r="C1304" t="s">
        <v>82</v>
      </c>
      <c r="D1304" s="21" t="s">
        <v>34</v>
      </c>
      <c r="E1304" s="21" t="s">
        <v>35</v>
      </c>
      <c r="F1304">
        <v>12850154</v>
      </c>
      <c r="G1304" t="s">
        <v>7078</v>
      </c>
      <c r="H1304" s="21">
        <v>1532.17</v>
      </c>
    </row>
    <row r="1305" spans="1:8" customFormat="1" x14ac:dyDescent="0.25">
      <c r="A1305" t="str">
        <f>"864335"</f>
        <v>864335</v>
      </c>
      <c r="B1305" t="s">
        <v>2023</v>
      </c>
      <c r="C1305" t="s">
        <v>60</v>
      </c>
      <c r="D1305" s="21" t="s">
        <v>34</v>
      </c>
      <c r="E1305" s="21" t="s">
        <v>35</v>
      </c>
      <c r="F1305">
        <v>10860016</v>
      </c>
      <c r="G1305" t="s">
        <v>3289</v>
      </c>
      <c r="H1305" s="21">
        <v>1531.8</v>
      </c>
    </row>
    <row r="1306" spans="1:8" customFormat="1" x14ac:dyDescent="0.25">
      <c r="A1306" t="str">
        <f>"491405"</f>
        <v>491405</v>
      </c>
      <c r="B1306" t="s">
        <v>208</v>
      </c>
      <c r="C1306" t="s">
        <v>246</v>
      </c>
      <c r="D1306" s="21" t="s">
        <v>34</v>
      </c>
      <c r="E1306" s="21" t="s">
        <v>71</v>
      </c>
      <c r="F1306">
        <v>12490063</v>
      </c>
      <c r="G1306" t="s">
        <v>329</v>
      </c>
      <c r="H1306" s="21">
        <v>1531.67</v>
      </c>
    </row>
    <row r="1307" spans="1:8" customFormat="1" x14ac:dyDescent="0.25">
      <c r="A1307" t="str">
        <f>"595089"</f>
        <v>595089</v>
      </c>
      <c r="B1307" t="s">
        <v>2507</v>
      </c>
      <c r="C1307" t="s">
        <v>822</v>
      </c>
      <c r="D1307" s="21" t="s">
        <v>34</v>
      </c>
      <c r="E1307" s="21" t="s">
        <v>35</v>
      </c>
      <c r="F1307">
        <v>7590231</v>
      </c>
      <c r="G1307" t="s">
        <v>207</v>
      </c>
      <c r="H1307" s="21">
        <v>1531.67</v>
      </c>
    </row>
    <row r="1308" spans="1:8" customFormat="1" x14ac:dyDescent="0.25">
      <c r="A1308" t="str">
        <f>"936270"</f>
        <v>936270</v>
      </c>
      <c r="B1308" t="s">
        <v>1809</v>
      </c>
      <c r="C1308" t="s">
        <v>1810</v>
      </c>
      <c r="D1308" s="21" t="s">
        <v>34</v>
      </c>
      <c r="E1308" s="21" t="s">
        <v>71</v>
      </c>
      <c r="F1308">
        <v>8931461</v>
      </c>
      <c r="G1308" t="s">
        <v>1811</v>
      </c>
      <c r="H1308" s="21">
        <v>1531.67</v>
      </c>
    </row>
    <row r="1309" spans="1:8" customFormat="1" x14ac:dyDescent="0.25">
      <c r="A1309" t="str">
        <f>"747166"</f>
        <v>747166</v>
      </c>
      <c r="B1309" t="s">
        <v>3033</v>
      </c>
      <c r="C1309" t="s">
        <v>121</v>
      </c>
      <c r="D1309" s="21" t="s">
        <v>34</v>
      </c>
      <c r="E1309" s="21" t="s">
        <v>35</v>
      </c>
      <c r="F1309">
        <v>1740057</v>
      </c>
      <c r="G1309" t="s">
        <v>1567</v>
      </c>
      <c r="H1309" s="21">
        <v>1531.67</v>
      </c>
    </row>
    <row r="1310" spans="1:8" customFormat="1" x14ac:dyDescent="0.25">
      <c r="A1310" t="str">
        <f>"513458"</f>
        <v>513458</v>
      </c>
      <c r="B1310" t="s">
        <v>26642</v>
      </c>
      <c r="C1310" t="s">
        <v>285</v>
      </c>
      <c r="D1310" s="21" t="s">
        <v>34</v>
      </c>
      <c r="E1310" s="21" t="s">
        <v>35</v>
      </c>
      <c r="F1310">
        <v>6510040</v>
      </c>
      <c r="G1310" t="s">
        <v>9113</v>
      </c>
      <c r="H1310" s="21">
        <v>1531.67</v>
      </c>
    </row>
    <row r="1311" spans="1:8" customFormat="1" x14ac:dyDescent="0.25">
      <c r="A1311" t="str">
        <f>"4920476"</f>
        <v>4920476</v>
      </c>
      <c r="B1311" t="s">
        <v>1661</v>
      </c>
      <c r="C1311" t="s">
        <v>127</v>
      </c>
      <c r="D1311" s="21" t="s">
        <v>34</v>
      </c>
      <c r="E1311" s="21" t="s">
        <v>35</v>
      </c>
      <c r="F1311">
        <v>12490107</v>
      </c>
      <c r="G1311" t="s">
        <v>715</v>
      </c>
      <c r="H1311" s="21">
        <v>1531.3</v>
      </c>
    </row>
    <row r="1312" spans="1:8" customFormat="1" x14ac:dyDescent="0.25">
      <c r="A1312" t="str">
        <f>"586562"</f>
        <v>586562</v>
      </c>
      <c r="B1312" t="s">
        <v>700</v>
      </c>
      <c r="C1312" t="s">
        <v>269</v>
      </c>
      <c r="D1312" s="21" t="s">
        <v>34</v>
      </c>
      <c r="E1312" s="21" t="s">
        <v>71</v>
      </c>
      <c r="F1312">
        <v>2580042</v>
      </c>
      <c r="G1312" t="s">
        <v>1161</v>
      </c>
      <c r="H1312" s="21">
        <v>1531.17</v>
      </c>
    </row>
    <row r="1313" spans="1:8" customFormat="1" x14ac:dyDescent="0.25">
      <c r="A1313" t="str">
        <f>"729629"</f>
        <v>729629</v>
      </c>
      <c r="B1313" t="s">
        <v>1727</v>
      </c>
      <c r="C1313" t="s">
        <v>1728</v>
      </c>
      <c r="D1313" s="21" t="s">
        <v>34</v>
      </c>
      <c r="E1313" s="21" t="s">
        <v>71</v>
      </c>
      <c r="F1313">
        <v>12720104</v>
      </c>
      <c r="G1313" t="s">
        <v>224</v>
      </c>
      <c r="H1313" s="21">
        <v>1531.17</v>
      </c>
    </row>
    <row r="1314" spans="1:8" customFormat="1" x14ac:dyDescent="0.25">
      <c r="A1314" t="str">
        <f>"671730"</f>
        <v>671730</v>
      </c>
      <c r="B1314" t="s">
        <v>1970</v>
      </c>
      <c r="C1314" t="s">
        <v>239</v>
      </c>
      <c r="D1314" s="21" t="s">
        <v>34</v>
      </c>
      <c r="E1314" s="21" t="s">
        <v>35</v>
      </c>
      <c r="F1314">
        <v>6670041</v>
      </c>
      <c r="G1314" t="s">
        <v>1971</v>
      </c>
      <c r="H1314" s="21">
        <v>1531.17</v>
      </c>
    </row>
    <row r="1315" spans="1:8" customFormat="1" x14ac:dyDescent="0.25">
      <c r="A1315" t="str">
        <f>"137103"</f>
        <v>137103</v>
      </c>
      <c r="B1315" t="s">
        <v>1590</v>
      </c>
      <c r="C1315" t="s">
        <v>171</v>
      </c>
      <c r="D1315" s="21" t="s">
        <v>34</v>
      </c>
      <c r="E1315" s="21" t="s">
        <v>71</v>
      </c>
      <c r="F1315">
        <v>13130152</v>
      </c>
      <c r="G1315" t="s">
        <v>906</v>
      </c>
      <c r="H1315" s="21">
        <v>1531.17</v>
      </c>
    </row>
    <row r="1316" spans="1:8" customFormat="1" x14ac:dyDescent="0.25">
      <c r="A1316" t="str">
        <f>"5948914"</f>
        <v>5948914</v>
      </c>
      <c r="B1316" t="s">
        <v>2111</v>
      </c>
      <c r="C1316" t="s">
        <v>498</v>
      </c>
      <c r="D1316" s="21" t="s">
        <v>34</v>
      </c>
      <c r="E1316" s="21" t="s">
        <v>35</v>
      </c>
      <c r="F1316">
        <v>7590087</v>
      </c>
      <c r="G1316" t="s">
        <v>2112</v>
      </c>
      <c r="H1316" s="21">
        <v>1530.67</v>
      </c>
    </row>
    <row r="1317" spans="1:8" customFormat="1" x14ac:dyDescent="0.25">
      <c r="A1317" t="str">
        <f>"76391"</f>
        <v>76391</v>
      </c>
      <c r="B1317" t="s">
        <v>1855</v>
      </c>
      <c r="C1317" t="s">
        <v>249</v>
      </c>
      <c r="D1317" s="21" t="s">
        <v>34</v>
      </c>
      <c r="E1317" s="21" t="s">
        <v>71</v>
      </c>
      <c r="F1317">
        <v>9270095</v>
      </c>
      <c r="G1317" t="s">
        <v>1681</v>
      </c>
      <c r="H1317" s="21">
        <v>1530.67</v>
      </c>
    </row>
    <row r="1318" spans="1:8" customFormat="1" x14ac:dyDescent="0.25">
      <c r="A1318" t="str">
        <f>"7619569"</f>
        <v>7619569</v>
      </c>
      <c r="B1318" t="s">
        <v>2078</v>
      </c>
      <c r="C1318" t="s">
        <v>33</v>
      </c>
      <c r="D1318" s="21" t="s">
        <v>34</v>
      </c>
      <c r="E1318" s="21" t="s">
        <v>71</v>
      </c>
      <c r="F1318">
        <v>9270005</v>
      </c>
      <c r="G1318" t="s">
        <v>1255</v>
      </c>
      <c r="H1318" s="21">
        <v>1530.67</v>
      </c>
    </row>
    <row r="1319" spans="1:8" customFormat="1" x14ac:dyDescent="0.25">
      <c r="A1319" t="str">
        <f>"358516"</f>
        <v>358516</v>
      </c>
      <c r="B1319" t="s">
        <v>1757</v>
      </c>
      <c r="C1319" t="s">
        <v>127</v>
      </c>
      <c r="D1319" s="21" t="s">
        <v>34</v>
      </c>
      <c r="E1319" s="21" t="s">
        <v>35</v>
      </c>
      <c r="F1319">
        <v>3350021</v>
      </c>
      <c r="G1319" t="s">
        <v>1758</v>
      </c>
      <c r="H1319" s="21">
        <v>1530.67</v>
      </c>
    </row>
    <row r="1320" spans="1:8" customFormat="1" x14ac:dyDescent="0.25">
      <c r="A1320" t="str">
        <f>"712451"</f>
        <v>712451</v>
      </c>
      <c r="B1320" t="s">
        <v>1143</v>
      </c>
      <c r="C1320" t="s">
        <v>119</v>
      </c>
      <c r="D1320" s="21" t="s">
        <v>34</v>
      </c>
      <c r="E1320" s="21" t="s">
        <v>35</v>
      </c>
      <c r="F1320">
        <v>2210052</v>
      </c>
      <c r="G1320" t="s">
        <v>1070</v>
      </c>
      <c r="H1320" s="21">
        <v>1530.67</v>
      </c>
    </row>
    <row r="1321" spans="1:8" customFormat="1" x14ac:dyDescent="0.25">
      <c r="A1321" t="str">
        <f>"9411976"</f>
        <v>9411976</v>
      </c>
      <c r="B1321" t="s">
        <v>1690</v>
      </c>
      <c r="C1321" t="s">
        <v>812</v>
      </c>
      <c r="D1321" s="21" t="s">
        <v>34</v>
      </c>
      <c r="E1321" s="21" t="s">
        <v>35</v>
      </c>
      <c r="F1321">
        <v>8940448</v>
      </c>
      <c r="G1321" t="s">
        <v>1691</v>
      </c>
      <c r="H1321" s="21">
        <v>1530.55</v>
      </c>
    </row>
    <row r="1322" spans="1:8" customFormat="1" x14ac:dyDescent="0.25">
      <c r="A1322" t="str">
        <f>"065328"</f>
        <v>065328</v>
      </c>
      <c r="B1322" t="s">
        <v>26643</v>
      </c>
      <c r="C1322" t="s">
        <v>55</v>
      </c>
      <c r="D1322" s="21" t="s">
        <v>34</v>
      </c>
      <c r="E1322" s="21" t="s">
        <v>35</v>
      </c>
      <c r="F1322">
        <v>8940326</v>
      </c>
      <c r="G1322" t="s">
        <v>659</v>
      </c>
      <c r="H1322" s="21">
        <v>1530.17</v>
      </c>
    </row>
    <row r="1323" spans="1:8" customFormat="1" x14ac:dyDescent="0.25">
      <c r="A1323" t="str">
        <f>"624453"</f>
        <v>624453</v>
      </c>
      <c r="B1323" t="s">
        <v>2122</v>
      </c>
      <c r="C1323" t="s">
        <v>305</v>
      </c>
      <c r="D1323" s="21" t="s">
        <v>34</v>
      </c>
      <c r="E1323" s="21" t="s">
        <v>35</v>
      </c>
      <c r="F1323">
        <v>7620040</v>
      </c>
      <c r="G1323" t="s">
        <v>1319</v>
      </c>
      <c r="H1323" s="21">
        <v>1530.17</v>
      </c>
    </row>
    <row r="1324" spans="1:8" customFormat="1" x14ac:dyDescent="0.25">
      <c r="A1324" t="str">
        <f>"924593"</f>
        <v>924593</v>
      </c>
      <c r="B1324" t="s">
        <v>650</v>
      </c>
      <c r="C1324" t="s">
        <v>285</v>
      </c>
      <c r="D1324" s="21" t="s">
        <v>34</v>
      </c>
      <c r="E1324" s="21" t="s">
        <v>35</v>
      </c>
      <c r="F1324">
        <v>8781017</v>
      </c>
      <c r="G1324" t="s">
        <v>2581</v>
      </c>
      <c r="H1324" s="21">
        <v>1530.17</v>
      </c>
    </row>
    <row r="1325" spans="1:8" customFormat="1" x14ac:dyDescent="0.25">
      <c r="A1325" t="str">
        <f>"385732"</f>
        <v>385732</v>
      </c>
      <c r="B1325" t="s">
        <v>1674</v>
      </c>
      <c r="C1325" t="s">
        <v>1675</v>
      </c>
      <c r="D1325" s="21" t="s">
        <v>34</v>
      </c>
      <c r="E1325" s="21" t="s">
        <v>35</v>
      </c>
      <c r="F1325">
        <v>1380284</v>
      </c>
      <c r="G1325" t="s">
        <v>300</v>
      </c>
      <c r="H1325" s="21">
        <v>1529.67</v>
      </c>
    </row>
    <row r="1326" spans="1:8" customFormat="1" x14ac:dyDescent="0.25">
      <c r="A1326" t="str">
        <f>"801830"</f>
        <v>801830</v>
      </c>
      <c r="B1326" t="s">
        <v>2491</v>
      </c>
      <c r="C1326" t="s">
        <v>60</v>
      </c>
      <c r="D1326" s="21" t="s">
        <v>34</v>
      </c>
      <c r="E1326" s="21" t="s">
        <v>35</v>
      </c>
      <c r="F1326">
        <v>7800004</v>
      </c>
      <c r="G1326" t="s">
        <v>748</v>
      </c>
      <c r="H1326" s="21">
        <v>1529.67</v>
      </c>
    </row>
    <row r="1327" spans="1:8" customFormat="1" x14ac:dyDescent="0.25">
      <c r="A1327" t="str">
        <f>"448598"</f>
        <v>448598</v>
      </c>
      <c r="B1327" t="s">
        <v>1838</v>
      </c>
      <c r="C1327" t="s">
        <v>399</v>
      </c>
      <c r="D1327" s="21" t="s">
        <v>34</v>
      </c>
      <c r="E1327" s="21" t="s">
        <v>35</v>
      </c>
      <c r="F1327">
        <v>12440012</v>
      </c>
      <c r="G1327" t="s">
        <v>807</v>
      </c>
      <c r="H1327" s="21">
        <v>1529.17</v>
      </c>
    </row>
    <row r="1328" spans="1:8" customFormat="1" x14ac:dyDescent="0.25">
      <c r="A1328" t="str">
        <f>"5921477"</f>
        <v>5921477</v>
      </c>
      <c r="B1328" t="s">
        <v>1991</v>
      </c>
      <c r="C1328" t="s">
        <v>598</v>
      </c>
      <c r="D1328" s="21" t="s">
        <v>34</v>
      </c>
      <c r="E1328" s="21" t="s">
        <v>254</v>
      </c>
      <c r="F1328">
        <v>7590074</v>
      </c>
      <c r="G1328" t="s">
        <v>1992</v>
      </c>
      <c r="H1328" s="21">
        <v>1528.8</v>
      </c>
    </row>
    <row r="1329" spans="1:8" customFormat="1" x14ac:dyDescent="0.25">
      <c r="A1329" t="str">
        <f>"303231"</f>
        <v>303231</v>
      </c>
      <c r="B1329" t="s">
        <v>2344</v>
      </c>
      <c r="C1329" t="s">
        <v>60</v>
      </c>
      <c r="D1329" s="21" t="s">
        <v>34</v>
      </c>
      <c r="E1329" s="21" t="s">
        <v>35</v>
      </c>
      <c r="F1329">
        <v>11300014</v>
      </c>
      <c r="G1329" t="s">
        <v>2345</v>
      </c>
      <c r="H1329" s="21">
        <v>1528.17</v>
      </c>
    </row>
    <row r="1330" spans="1:8" customFormat="1" x14ac:dyDescent="0.25">
      <c r="A1330" t="str">
        <f>"801943"</f>
        <v>801943</v>
      </c>
      <c r="B1330" t="s">
        <v>630</v>
      </c>
      <c r="C1330" t="s">
        <v>43</v>
      </c>
      <c r="D1330" s="21" t="s">
        <v>34</v>
      </c>
      <c r="E1330" s="21" t="s">
        <v>35</v>
      </c>
      <c r="F1330">
        <v>7800088</v>
      </c>
      <c r="G1330" t="s">
        <v>1899</v>
      </c>
      <c r="H1330" s="21">
        <v>1528.17</v>
      </c>
    </row>
    <row r="1331" spans="1:8" customFormat="1" x14ac:dyDescent="0.25">
      <c r="A1331" t="str">
        <f>"683586"</f>
        <v>683586</v>
      </c>
      <c r="B1331" t="s">
        <v>26644</v>
      </c>
      <c r="C1331" t="s">
        <v>33</v>
      </c>
      <c r="D1331" s="21" t="s">
        <v>34</v>
      </c>
      <c r="E1331" s="21" t="s">
        <v>35</v>
      </c>
      <c r="F1331">
        <v>6680071</v>
      </c>
      <c r="G1331" t="s">
        <v>2899</v>
      </c>
      <c r="H1331" s="21">
        <v>1528.17</v>
      </c>
    </row>
    <row r="1332" spans="1:8" customFormat="1" x14ac:dyDescent="0.25">
      <c r="A1332" t="str">
        <f>"3413664"</f>
        <v>3413664</v>
      </c>
      <c r="B1332" t="s">
        <v>1840</v>
      </c>
      <c r="C1332" t="s">
        <v>1841</v>
      </c>
      <c r="D1332" s="21" t="s">
        <v>34</v>
      </c>
      <c r="E1332" s="21" t="s">
        <v>71</v>
      </c>
      <c r="F1332">
        <v>8940655</v>
      </c>
      <c r="G1332" t="s">
        <v>10168</v>
      </c>
      <c r="H1332" s="21">
        <v>1528</v>
      </c>
    </row>
    <row r="1333" spans="1:8" customFormat="1" x14ac:dyDescent="0.25">
      <c r="A1333" t="str">
        <f>"7622800"</f>
        <v>7622800</v>
      </c>
      <c r="B1333" t="s">
        <v>1990</v>
      </c>
      <c r="C1333" t="s">
        <v>209</v>
      </c>
      <c r="D1333" s="21" t="s">
        <v>34</v>
      </c>
      <c r="E1333" s="21" t="s">
        <v>35</v>
      </c>
      <c r="F1333">
        <v>1380199</v>
      </c>
      <c r="G1333" t="s">
        <v>321</v>
      </c>
      <c r="H1333" s="21">
        <v>1527.92</v>
      </c>
    </row>
    <row r="1334" spans="1:8" customFormat="1" x14ac:dyDescent="0.25">
      <c r="A1334" t="str">
        <f>"19493"</f>
        <v>19493</v>
      </c>
      <c r="B1334" t="s">
        <v>26645</v>
      </c>
      <c r="C1334" t="s">
        <v>55</v>
      </c>
      <c r="D1334" s="21" t="s">
        <v>34</v>
      </c>
      <c r="E1334" s="21" t="s">
        <v>35</v>
      </c>
      <c r="F1334">
        <v>10190080</v>
      </c>
      <c r="G1334" t="s">
        <v>1726</v>
      </c>
      <c r="H1334" s="21">
        <v>1527.55</v>
      </c>
    </row>
    <row r="1335" spans="1:8" customFormat="1" x14ac:dyDescent="0.25">
      <c r="A1335" t="str">
        <f>"623995"</f>
        <v>623995</v>
      </c>
      <c r="B1335" t="s">
        <v>2181</v>
      </c>
      <c r="C1335" t="s">
        <v>87</v>
      </c>
      <c r="D1335" s="21" t="s">
        <v>34</v>
      </c>
      <c r="E1335" s="21" t="s">
        <v>35</v>
      </c>
      <c r="F1335">
        <v>7620031</v>
      </c>
      <c r="G1335" t="s">
        <v>2182</v>
      </c>
      <c r="H1335" s="21">
        <v>1527.17</v>
      </c>
    </row>
    <row r="1336" spans="1:8" customFormat="1" x14ac:dyDescent="0.25">
      <c r="A1336" t="str">
        <f>"3412364"</f>
        <v>3412364</v>
      </c>
      <c r="B1336" t="s">
        <v>2222</v>
      </c>
      <c r="C1336" t="s">
        <v>156</v>
      </c>
      <c r="D1336" s="21" t="s">
        <v>34</v>
      </c>
      <c r="E1336" s="21" t="s">
        <v>35</v>
      </c>
      <c r="F1336">
        <v>4410015</v>
      </c>
      <c r="G1336" t="s">
        <v>2223</v>
      </c>
      <c r="H1336" s="21">
        <v>1527.17</v>
      </c>
    </row>
    <row r="1337" spans="1:8" customFormat="1" x14ac:dyDescent="0.25">
      <c r="A1337" t="str">
        <f>"7619289"</f>
        <v>7619289</v>
      </c>
      <c r="B1337" t="s">
        <v>2083</v>
      </c>
      <c r="C1337" t="s">
        <v>269</v>
      </c>
      <c r="D1337" s="21" t="s">
        <v>34</v>
      </c>
      <c r="E1337" s="21" t="s">
        <v>71</v>
      </c>
      <c r="F1337">
        <v>4280517</v>
      </c>
      <c r="G1337" t="s">
        <v>436</v>
      </c>
      <c r="H1337" s="21">
        <v>1526.92</v>
      </c>
    </row>
    <row r="1338" spans="1:8" customFormat="1" x14ac:dyDescent="0.25">
      <c r="A1338" t="str">
        <f>"57981"</f>
        <v>57981</v>
      </c>
      <c r="B1338" t="s">
        <v>1607</v>
      </c>
      <c r="C1338" t="s">
        <v>486</v>
      </c>
      <c r="D1338" s="21" t="s">
        <v>34</v>
      </c>
      <c r="E1338" s="21" t="s">
        <v>35</v>
      </c>
      <c r="F1338">
        <v>6570158</v>
      </c>
      <c r="G1338" t="s">
        <v>2391</v>
      </c>
      <c r="H1338" s="21">
        <v>1526.67</v>
      </c>
    </row>
    <row r="1339" spans="1:8" customFormat="1" x14ac:dyDescent="0.25">
      <c r="A1339" t="str">
        <f>"683312"</f>
        <v>683312</v>
      </c>
      <c r="B1339" t="s">
        <v>1353</v>
      </c>
      <c r="C1339" t="s">
        <v>1354</v>
      </c>
      <c r="D1339" s="21" t="s">
        <v>34</v>
      </c>
      <c r="E1339" s="21" t="s">
        <v>35</v>
      </c>
      <c r="F1339">
        <v>6680105</v>
      </c>
      <c r="G1339" t="s">
        <v>403</v>
      </c>
      <c r="H1339" s="21">
        <v>1526.67</v>
      </c>
    </row>
    <row r="1340" spans="1:8" customFormat="1" x14ac:dyDescent="0.25">
      <c r="A1340" t="str">
        <f>"5934433"</f>
        <v>5934433</v>
      </c>
      <c r="B1340" t="s">
        <v>2226</v>
      </c>
      <c r="C1340" t="s">
        <v>2227</v>
      </c>
      <c r="D1340" s="21" t="s">
        <v>34</v>
      </c>
      <c r="E1340" s="21" t="s">
        <v>35</v>
      </c>
      <c r="F1340">
        <v>7590409</v>
      </c>
      <c r="G1340" t="s">
        <v>2228</v>
      </c>
      <c r="H1340" s="21">
        <v>1526.67</v>
      </c>
    </row>
    <row r="1341" spans="1:8" customFormat="1" x14ac:dyDescent="0.25">
      <c r="A1341" t="str">
        <f>"585128"</f>
        <v>585128</v>
      </c>
      <c r="B1341" t="s">
        <v>2297</v>
      </c>
      <c r="C1341" t="s">
        <v>109</v>
      </c>
      <c r="D1341" s="21" t="s">
        <v>34</v>
      </c>
      <c r="E1341" s="21" t="s">
        <v>71</v>
      </c>
      <c r="F1341">
        <v>4180613</v>
      </c>
      <c r="G1341" t="s">
        <v>422</v>
      </c>
      <c r="H1341" s="21">
        <v>1526.54</v>
      </c>
    </row>
    <row r="1342" spans="1:8" customFormat="1" x14ac:dyDescent="0.25">
      <c r="A1342" t="str">
        <f>"77603"</f>
        <v>77603</v>
      </c>
      <c r="B1342" t="s">
        <v>4014</v>
      </c>
      <c r="C1342" t="s">
        <v>60</v>
      </c>
      <c r="D1342" s="21" t="s">
        <v>34</v>
      </c>
      <c r="E1342" s="21" t="s">
        <v>35</v>
      </c>
      <c r="F1342">
        <v>8770474</v>
      </c>
      <c r="G1342" t="s">
        <v>1600</v>
      </c>
      <c r="H1342" s="21">
        <v>1526.5</v>
      </c>
    </row>
    <row r="1343" spans="1:8" customFormat="1" x14ac:dyDescent="0.25">
      <c r="A1343" t="str">
        <f>"6012664"</f>
        <v>6012664</v>
      </c>
      <c r="B1343" t="s">
        <v>12448</v>
      </c>
      <c r="C1343" t="s">
        <v>62</v>
      </c>
      <c r="D1343" s="21" t="s">
        <v>34</v>
      </c>
      <c r="E1343" s="21" t="s">
        <v>35</v>
      </c>
      <c r="F1343">
        <v>7600024</v>
      </c>
      <c r="G1343" t="s">
        <v>1234</v>
      </c>
      <c r="H1343" s="21">
        <v>1526.17</v>
      </c>
    </row>
    <row r="1344" spans="1:8" customFormat="1" x14ac:dyDescent="0.25">
      <c r="A1344" t="str">
        <f>"143131"</f>
        <v>143131</v>
      </c>
      <c r="B1344" t="s">
        <v>1577</v>
      </c>
      <c r="C1344" t="s">
        <v>58</v>
      </c>
      <c r="D1344" s="21" t="s">
        <v>34</v>
      </c>
      <c r="E1344" s="21" t="s">
        <v>35</v>
      </c>
      <c r="F1344">
        <v>9140185</v>
      </c>
      <c r="G1344" t="s">
        <v>1578</v>
      </c>
      <c r="H1344" s="21">
        <v>1526.04</v>
      </c>
    </row>
    <row r="1345" spans="1:8" customFormat="1" x14ac:dyDescent="0.25">
      <c r="A1345" t="str">
        <f>"958625"</f>
        <v>958625</v>
      </c>
      <c r="B1345" t="s">
        <v>26646</v>
      </c>
      <c r="C1345" t="s">
        <v>127</v>
      </c>
      <c r="D1345" s="21" t="s">
        <v>34</v>
      </c>
      <c r="E1345" s="21" t="s">
        <v>35</v>
      </c>
      <c r="F1345">
        <v>8951411</v>
      </c>
      <c r="G1345" t="s">
        <v>416</v>
      </c>
      <c r="H1345" s="21">
        <v>1525.92</v>
      </c>
    </row>
    <row r="1346" spans="1:8" customFormat="1" x14ac:dyDescent="0.25">
      <c r="A1346" t="str">
        <f>"067801"</f>
        <v>067801</v>
      </c>
      <c r="B1346" t="s">
        <v>1869</v>
      </c>
      <c r="C1346" t="s">
        <v>1870</v>
      </c>
      <c r="D1346" s="21" t="s">
        <v>34</v>
      </c>
      <c r="E1346" s="21" t="s">
        <v>35</v>
      </c>
      <c r="F1346">
        <v>13060111</v>
      </c>
      <c r="G1346" t="s">
        <v>26647</v>
      </c>
      <c r="H1346" s="21">
        <v>1525.67</v>
      </c>
    </row>
    <row r="1347" spans="1:8" customFormat="1" x14ac:dyDescent="0.25">
      <c r="A1347" t="str">
        <f>"212510"</f>
        <v>212510</v>
      </c>
      <c r="B1347" t="s">
        <v>1607</v>
      </c>
      <c r="C1347" t="s">
        <v>169</v>
      </c>
      <c r="D1347" s="21" t="s">
        <v>34</v>
      </c>
      <c r="E1347" s="21" t="s">
        <v>71</v>
      </c>
      <c r="F1347">
        <v>2210052</v>
      </c>
      <c r="G1347" t="s">
        <v>1070</v>
      </c>
      <c r="H1347" s="21">
        <v>1525.17</v>
      </c>
    </row>
    <row r="1348" spans="1:8" customFormat="1" x14ac:dyDescent="0.25">
      <c r="A1348" t="str">
        <f>"8310820"</f>
        <v>8310820</v>
      </c>
      <c r="B1348" t="s">
        <v>2030</v>
      </c>
      <c r="C1348" t="s">
        <v>139</v>
      </c>
      <c r="D1348" s="21" t="s">
        <v>34</v>
      </c>
      <c r="E1348" s="21" t="s">
        <v>71</v>
      </c>
      <c r="F1348">
        <v>13830051</v>
      </c>
      <c r="G1348" t="s">
        <v>2031</v>
      </c>
      <c r="H1348" s="21">
        <v>1525.17</v>
      </c>
    </row>
    <row r="1349" spans="1:8" customFormat="1" x14ac:dyDescent="0.25">
      <c r="A1349" t="str">
        <f>"6018036"</f>
        <v>6018036</v>
      </c>
      <c r="B1349" t="s">
        <v>2886</v>
      </c>
      <c r="C1349" t="s">
        <v>2365</v>
      </c>
      <c r="D1349" s="21" t="s">
        <v>34</v>
      </c>
      <c r="E1349" s="21" t="s">
        <v>71</v>
      </c>
      <c r="F1349">
        <v>8950092</v>
      </c>
      <c r="G1349" t="s">
        <v>2039</v>
      </c>
      <c r="H1349" s="21">
        <v>1524.8</v>
      </c>
    </row>
    <row r="1350" spans="1:8" customFormat="1" x14ac:dyDescent="0.25">
      <c r="A1350" t="str">
        <f>"45660"</f>
        <v>45660</v>
      </c>
      <c r="B1350" t="s">
        <v>2394</v>
      </c>
      <c r="C1350" t="s">
        <v>249</v>
      </c>
      <c r="D1350" s="21" t="s">
        <v>34</v>
      </c>
      <c r="E1350" s="21" t="s">
        <v>254</v>
      </c>
      <c r="F1350">
        <v>4450751</v>
      </c>
      <c r="G1350" t="s">
        <v>442</v>
      </c>
      <c r="H1350" s="21">
        <v>1524.67</v>
      </c>
    </row>
    <row r="1351" spans="1:8" customFormat="1" x14ac:dyDescent="0.25">
      <c r="A1351" t="str">
        <f>"7813305"</f>
        <v>7813305</v>
      </c>
      <c r="B1351" t="s">
        <v>205</v>
      </c>
      <c r="C1351" t="s">
        <v>926</v>
      </c>
      <c r="D1351" s="21" t="s">
        <v>34</v>
      </c>
      <c r="E1351" s="21" t="s">
        <v>35</v>
      </c>
      <c r="F1351">
        <v>9270152</v>
      </c>
      <c r="G1351" t="s">
        <v>1985</v>
      </c>
      <c r="H1351" s="21">
        <v>1524.17</v>
      </c>
    </row>
    <row r="1352" spans="1:8" customFormat="1" x14ac:dyDescent="0.25">
      <c r="A1352" t="str">
        <f>"724669"</f>
        <v>724669</v>
      </c>
      <c r="B1352" t="s">
        <v>2327</v>
      </c>
      <c r="C1352" t="s">
        <v>87</v>
      </c>
      <c r="D1352" s="21" t="s">
        <v>34</v>
      </c>
      <c r="E1352" s="21" t="s">
        <v>35</v>
      </c>
      <c r="F1352">
        <v>12720004</v>
      </c>
      <c r="G1352" t="s">
        <v>2328</v>
      </c>
      <c r="H1352" s="21">
        <v>1523.92</v>
      </c>
    </row>
    <row r="1353" spans="1:8" customFormat="1" x14ac:dyDescent="0.25">
      <c r="A1353" t="str">
        <f>"584151"</f>
        <v>584151</v>
      </c>
      <c r="B1353" t="s">
        <v>1901</v>
      </c>
      <c r="C1353" t="s">
        <v>139</v>
      </c>
      <c r="D1353" s="21" t="s">
        <v>34</v>
      </c>
      <c r="E1353" s="21" t="s">
        <v>35</v>
      </c>
      <c r="F1353">
        <v>2580012</v>
      </c>
      <c r="G1353" t="s">
        <v>1144</v>
      </c>
      <c r="H1353" s="21">
        <v>1523.67</v>
      </c>
    </row>
    <row r="1354" spans="1:8" customFormat="1" x14ac:dyDescent="0.25">
      <c r="A1354" t="str">
        <f>"8829"</f>
        <v>8829</v>
      </c>
      <c r="B1354" t="s">
        <v>2498</v>
      </c>
      <c r="C1354" t="s">
        <v>253</v>
      </c>
      <c r="D1354" s="21" t="s">
        <v>34</v>
      </c>
      <c r="E1354" s="21" t="s">
        <v>35</v>
      </c>
      <c r="F1354">
        <v>6880145</v>
      </c>
      <c r="G1354" t="s">
        <v>1303</v>
      </c>
      <c r="H1354" s="21">
        <v>1523.67</v>
      </c>
    </row>
    <row r="1355" spans="1:8" customFormat="1" x14ac:dyDescent="0.25">
      <c r="A1355" t="str">
        <f>"85579"</f>
        <v>85579</v>
      </c>
      <c r="B1355" t="s">
        <v>1611</v>
      </c>
      <c r="C1355" t="s">
        <v>124</v>
      </c>
      <c r="D1355" s="21" t="s">
        <v>34</v>
      </c>
      <c r="E1355" s="21" t="s">
        <v>35</v>
      </c>
      <c r="F1355">
        <v>12850069</v>
      </c>
      <c r="G1355" t="s">
        <v>2154</v>
      </c>
      <c r="H1355" s="21">
        <v>1523.17</v>
      </c>
    </row>
    <row r="1356" spans="1:8" customFormat="1" x14ac:dyDescent="0.25">
      <c r="A1356" t="str">
        <f>"4110551"</f>
        <v>4110551</v>
      </c>
      <c r="B1356" t="s">
        <v>2571</v>
      </c>
      <c r="C1356" t="s">
        <v>60</v>
      </c>
      <c r="D1356" s="21" t="s">
        <v>34</v>
      </c>
      <c r="E1356" s="21" t="s">
        <v>35</v>
      </c>
      <c r="F1356">
        <v>3350183</v>
      </c>
      <c r="G1356" t="s">
        <v>2572</v>
      </c>
      <c r="H1356" s="21">
        <v>1523.17</v>
      </c>
    </row>
    <row r="1357" spans="1:8" customFormat="1" x14ac:dyDescent="0.25">
      <c r="A1357" t="str">
        <f>"5956415"</f>
        <v>5956415</v>
      </c>
      <c r="B1357" t="s">
        <v>2047</v>
      </c>
      <c r="C1357" t="s">
        <v>249</v>
      </c>
      <c r="D1357" s="21" t="s">
        <v>34</v>
      </c>
      <c r="E1357" s="21" t="s">
        <v>35</v>
      </c>
      <c r="F1357">
        <v>7590410</v>
      </c>
      <c r="G1357" t="s">
        <v>2048</v>
      </c>
      <c r="H1357" s="21">
        <v>1523.17</v>
      </c>
    </row>
    <row r="1358" spans="1:8" customFormat="1" x14ac:dyDescent="0.25">
      <c r="A1358" t="str">
        <f>"493397"</f>
        <v>493397</v>
      </c>
      <c r="B1358" t="s">
        <v>1800</v>
      </c>
      <c r="C1358" t="s">
        <v>1801</v>
      </c>
      <c r="D1358" s="21" t="s">
        <v>34</v>
      </c>
      <c r="E1358" s="21" t="s">
        <v>35</v>
      </c>
      <c r="F1358">
        <v>12490038</v>
      </c>
      <c r="G1358" t="s">
        <v>467</v>
      </c>
      <c r="H1358" s="21">
        <v>1522.8</v>
      </c>
    </row>
    <row r="1359" spans="1:8" customFormat="1" x14ac:dyDescent="0.25">
      <c r="A1359" t="str">
        <f>"33119"</f>
        <v>33119</v>
      </c>
      <c r="B1359" t="s">
        <v>1828</v>
      </c>
      <c r="C1359" t="s">
        <v>1829</v>
      </c>
      <c r="D1359" s="21" t="s">
        <v>34</v>
      </c>
      <c r="E1359" s="21" t="s">
        <v>35</v>
      </c>
      <c r="F1359">
        <v>10330022</v>
      </c>
      <c r="G1359" t="s">
        <v>1830</v>
      </c>
      <c r="H1359" s="21">
        <v>1522.67</v>
      </c>
    </row>
    <row r="1360" spans="1:8" customFormat="1" x14ac:dyDescent="0.25">
      <c r="A1360" t="str">
        <f>"853772"</f>
        <v>853772</v>
      </c>
      <c r="B1360" t="s">
        <v>1719</v>
      </c>
      <c r="C1360" t="s">
        <v>1720</v>
      </c>
      <c r="D1360" s="21" t="s">
        <v>34</v>
      </c>
      <c r="E1360" s="21" t="s">
        <v>35</v>
      </c>
      <c r="F1360">
        <v>8910876</v>
      </c>
      <c r="G1360" t="s">
        <v>1721</v>
      </c>
      <c r="H1360" s="21">
        <v>1522.67</v>
      </c>
    </row>
    <row r="1361" spans="1:8" customFormat="1" x14ac:dyDescent="0.25">
      <c r="A1361" t="str">
        <f>"14327"</f>
        <v>14327</v>
      </c>
      <c r="B1361" t="s">
        <v>2093</v>
      </c>
      <c r="C1361" t="s">
        <v>209</v>
      </c>
      <c r="D1361" s="21" t="s">
        <v>34</v>
      </c>
      <c r="E1361" s="21" t="s">
        <v>71</v>
      </c>
      <c r="F1361">
        <v>9140055</v>
      </c>
      <c r="G1361" t="s">
        <v>344</v>
      </c>
      <c r="H1361" s="21">
        <v>1521.67</v>
      </c>
    </row>
    <row r="1362" spans="1:8" customFormat="1" x14ac:dyDescent="0.25">
      <c r="A1362" t="str">
        <f>"7710215"</f>
        <v>7710215</v>
      </c>
      <c r="B1362" t="s">
        <v>2270</v>
      </c>
      <c r="C1362" t="s">
        <v>288</v>
      </c>
      <c r="D1362" s="21" t="s">
        <v>34</v>
      </c>
      <c r="E1362" s="21" t="s">
        <v>35</v>
      </c>
      <c r="F1362">
        <v>8770426</v>
      </c>
      <c r="G1362" t="s">
        <v>1847</v>
      </c>
      <c r="H1362" s="21">
        <v>1521.42</v>
      </c>
    </row>
    <row r="1363" spans="1:8" customFormat="1" x14ac:dyDescent="0.25">
      <c r="A1363" t="str">
        <f>"498037"</f>
        <v>498037</v>
      </c>
      <c r="B1363" t="s">
        <v>2622</v>
      </c>
      <c r="C1363" t="s">
        <v>262</v>
      </c>
      <c r="D1363" s="21" t="s">
        <v>34</v>
      </c>
      <c r="E1363" s="21" t="s">
        <v>35</v>
      </c>
      <c r="F1363">
        <v>12490061</v>
      </c>
      <c r="G1363" t="s">
        <v>969</v>
      </c>
      <c r="H1363" s="21">
        <v>1521.17</v>
      </c>
    </row>
    <row r="1364" spans="1:8" customFormat="1" x14ac:dyDescent="0.25">
      <c r="A1364" t="str">
        <f>"446477"</f>
        <v>446477</v>
      </c>
      <c r="B1364" t="s">
        <v>2331</v>
      </c>
      <c r="C1364" t="s">
        <v>171</v>
      </c>
      <c r="D1364" s="21" t="s">
        <v>34</v>
      </c>
      <c r="E1364" s="21" t="s">
        <v>35</v>
      </c>
      <c r="F1364">
        <v>12440076</v>
      </c>
      <c r="G1364" t="s">
        <v>1750</v>
      </c>
      <c r="H1364" s="21">
        <v>1521.17</v>
      </c>
    </row>
    <row r="1365" spans="1:8" customFormat="1" x14ac:dyDescent="0.25">
      <c r="A1365" t="str">
        <f>"7214272"</f>
        <v>7214272</v>
      </c>
      <c r="B1365" t="s">
        <v>2346</v>
      </c>
      <c r="C1365" t="s">
        <v>2347</v>
      </c>
      <c r="D1365" s="21" t="s">
        <v>34</v>
      </c>
      <c r="E1365" s="21" t="s">
        <v>35</v>
      </c>
      <c r="F1365">
        <v>12720104</v>
      </c>
      <c r="G1365" t="s">
        <v>224</v>
      </c>
      <c r="H1365" s="21">
        <v>1520.8</v>
      </c>
    </row>
    <row r="1366" spans="1:8" customFormat="1" x14ac:dyDescent="0.25">
      <c r="A1366" t="str">
        <f>"6811915"</f>
        <v>6811915</v>
      </c>
      <c r="B1366" t="s">
        <v>2055</v>
      </c>
      <c r="C1366" t="s">
        <v>121</v>
      </c>
      <c r="D1366" s="21" t="s">
        <v>34</v>
      </c>
      <c r="E1366" s="21" t="s">
        <v>35</v>
      </c>
      <c r="F1366">
        <v>6680091</v>
      </c>
      <c r="G1366" t="s">
        <v>693</v>
      </c>
      <c r="H1366" s="21">
        <v>1520.67</v>
      </c>
    </row>
    <row r="1367" spans="1:8" customFormat="1" x14ac:dyDescent="0.25">
      <c r="A1367" t="str">
        <f>"62630"</f>
        <v>62630</v>
      </c>
      <c r="B1367" t="s">
        <v>143</v>
      </c>
      <c r="C1367" t="s">
        <v>263</v>
      </c>
      <c r="D1367" s="21" t="s">
        <v>34</v>
      </c>
      <c r="E1367" s="21" t="s">
        <v>35</v>
      </c>
      <c r="F1367">
        <v>7620100</v>
      </c>
      <c r="G1367" t="s">
        <v>145</v>
      </c>
      <c r="H1367" s="21">
        <v>1520.67</v>
      </c>
    </row>
    <row r="1368" spans="1:8" customFormat="1" x14ac:dyDescent="0.25">
      <c r="A1368" t="str">
        <f>"9745026"</f>
        <v>9745026</v>
      </c>
      <c r="B1368" t="s">
        <v>2002</v>
      </c>
      <c r="C1368" t="s">
        <v>1231</v>
      </c>
      <c r="D1368" s="21" t="s">
        <v>34</v>
      </c>
      <c r="E1368" s="21" t="s">
        <v>71</v>
      </c>
      <c r="F1368" t="s">
        <v>1465</v>
      </c>
      <c r="G1368" t="s">
        <v>1466</v>
      </c>
      <c r="H1368" s="21">
        <v>1520.67</v>
      </c>
    </row>
    <row r="1369" spans="1:8" customFormat="1" x14ac:dyDescent="0.25">
      <c r="A1369" t="str">
        <f>"703951"</f>
        <v>703951</v>
      </c>
      <c r="B1369" t="s">
        <v>1895</v>
      </c>
      <c r="C1369" t="s">
        <v>37</v>
      </c>
      <c r="D1369" s="21" t="s">
        <v>34</v>
      </c>
      <c r="E1369" s="21" t="s">
        <v>35</v>
      </c>
      <c r="F1369">
        <v>1630261</v>
      </c>
      <c r="G1369" t="s">
        <v>1382</v>
      </c>
      <c r="H1369" s="21">
        <v>1520.42</v>
      </c>
    </row>
    <row r="1370" spans="1:8" customFormat="1" x14ac:dyDescent="0.25">
      <c r="A1370" t="str">
        <f>"337677"</f>
        <v>337677</v>
      </c>
      <c r="B1370" t="s">
        <v>2275</v>
      </c>
      <c r="C1370" t="s">
        <v>2276</v>
      </c>
      <c r="D1370" s="21" t="s">
        <v>34</v>
      </c>
      <c r="E1370" s="21" t="s">
        <v>71</v>
      </c>
      <c r="F1370">
        <v>10330003</v>
      </c>
      <c r="G1370" t="s">
        <v>309</v>
      </c>
      <c r="H1370" s="21">
        <v>1520.17</v>
      </c>
    </row>
    <row r="1371" spans="1:8" customFormat="1" x14ac:dyDescent="0.25">
      <c r="A1371" t="str">
        <f>"945513"</f>
        <v>945513</v>
      </c>
      <c r="B1371" t="s">
        <v>461</v>
      </c>
      <c r="C1371" t="s">
        <v>598</v>
      </c>
      <c r="D1371" s="21" t="s">
        <v>34</v>
      </c>
      <c r="E1371" s="21" t="s">
        <v>71</v>
      </c>
      <c r="F1371">
        <v>8940549</v>
      </c>
      <c r="G1371" t="s">
        <v>454</v>
      </c>
      <c r="H1371" s="21">
        <v>1520.17</v>
      </c>
    </row>
    <row r="1372" spans="1:8" customFormat="1" x14ac:dyDescent="0.25">
      <c r="A1372" t="str">
        <f>"148058"</f>
        <v>148058</v>
      </c>
      <c r="B1372" t="s">
        <v>1825</v>
      </c>
      <c r="C1372" t="s">
        <v>58</v>
      </c>
      <c r="D1372" s="21" t="s">
        <v>34</v>
      </c>
      <c r="E1372" s="21" t="s">
        <v>35</v>
      </c>
      <c r="F1372">
        <v>10790235</v>
      </c>
      <c r="G1372" t="s">
        <v>413</v>
      </c>
      <c r="H1372" s="21">
        <v>1520.17</v>
      </c>
    </row>
    <row r="1373" spans="1:8" customFormat="1" x14ac:dyDescent="0.25">
      <c r="A1373" t="str">
        <f>"938054"</f>
        <v>938054</v>
      </c>
      <c r="B1373" t="s">
        <v>335</v>
      </c>
      <c r="C1373" t="s">
        <v>772</v>
      </c>
      <c r="D1373" s="21" t="s">
        <v>34</v>
      </c>
      <c r="E1373" s="21" t="s">
        <v>71</v>
      </c>
      <c r="F1373">
        <v>8930368</v>
      </c>
      <c r="G1373" t="s">
        <v>508</v>
      </c>
      <c r="H1373" s="21">
        <v>1519.92</v>
      </c>
    </row>
    <row r="1374" spans="1:8" customFormat="1" x14ac:dyDescent="0.25">
      <c r="A1374" t="str">
        <f>"338986"</f>
        <v>338986</v>
      </c>
      <c r="B1374" t="s">
        <v>26648</v>
      </c>
      <c r="C1374" t="s">
        <v>656</v>
      </c>
      <c r="D1374" s="21" t="s">
        <v>34</v>
      </c>
      <c r="E1374" s="21" t="s">
        <v>35</v>
      </c>
      <c r="F1374">
        <v>10330002</v>
      </c>
      <c r="G1374" t="s">
        <v>53</v>
      </c>
      <c r="H1374" s="21">
        <v>1519.67</v>
      </c>
    </row>
    <row r="1375" spans="1:8" customFormat="1" x14ac:dyDescent="0.25">
      <c r="A1375" t="str">
        <f>"786714"</f>
        <v>786714</v>
      </c>
      <c r="B1375" t="s">
        <v>2189</v>
      </c>
      <c r="C1375" t="s">
        <v>1708</v>
      </c>
      <c r="D1375" s="21" t="s">
        <v>34</v>
      </c>
      <c r="E1375" s="21" t="s">
        <v>35</v>
      </c>
      <c r="F1375" t="s">
        <v>2462</v>
      </c>
      <c r="G1375" t="s">
        <v>2463</v>
      </c>
      <c r="H1375" s="21">
        <v>1519.18</v>
      </c>
    </row>
    <row r="1376" spans="1:8" customFormat="1" x14ac:dyDescent="0.25">
      <c r="A1376" t="str">
        <f>"3816979"</f>
        <v>3816979</v>
      </c>
      <c r="B1376" t="s">
        <v>2102</v>
      </c>
      <c r="C1376" t="s">
        <v>40</v>
      </c>
      <c r="D1376" s="21" t="s">
        <v>34</v>
      </c>
      <c r="E1376" s="21" t="s">
        <v>71</v>
      </c>
      <c r="F1376">
        <v>1380293</v>
      </c>
      <c r="G1376" t="s">
        <v>2103</v>
      </c>
      <c r="H1376" s="21">
        <v>1519.17</v>
      </c>
    </row>
    <row r="1377" spans="1:8" customFormat="1" x14ac:dyDescent="0.25">
      <c r="A1377" t="str">
        <f>"1313723"</f>
        <v>1313723</v>
      </c>
      <c r="B1377" t="s">
        <v>2026</v>
      </c>
      <c r="C1377" t="s">
        <v>2027</v>
      </c>
      <c r="D1377" s="21" t="s">
        <v>34</v>
      </c>
      <c r="E1377" s="21" t="s">
        <v>35</v>
      </c>
      <c r="F1377">
        <v>13130012</v>
      </c>
      <c r="G1377" t="s">
        <v>68</v>
      </c>
      <c r="H1377" s="21">
        <v>1519.17</v>
      </c>
    </row>
    <row r="1378" spans="1:8" customFormat="1" x14ac:dyDescent="0.25">
      <c r="A1378" t="str">
        <f>"577169"</f>
        <v>577169</v>
      </c>
      <c r="B1378" t="s">
        <v>8637</v>
      </c>
      <c r="C1378" t="s">
        <v>26649</v>
      </c>
      <c r="D1378" s="21" t="s">
        <v>34</v>
      </c>
      <c r="E1378" s="21" t="s">
        <v>35</v>
      </c>
      <c r="F1378">
        <v>6540192</v>
      </c>
      <c r="G1378" t="s">
        <v>3644</v>
      </c>
      <c r="H1378" s="21">
        <v>1518.67</v>
      </c>
    </row>
    <row r="1379" spans="1:8" customFormat="1" x14ac:dyDescent="0.25">
      <c r="A1379" t="str">
        <f>"2717650"</f>
        <v>2717650</v>
      </c>
      <c r="B1379" t="s">
        <v>2087</v>
      </c>
      <c r="C1379" t="s">
        <v>109</v>
      </c>
      <c r="D1379" s="21" t="s">
        <v>34</v>
      </c>
      <c r="E1379" s="21" t="s">
        <v>35</v>
      </c>
      <c r="F1379">
        <v>9270006</v>
      </c>
      <c r="G1379" t="s">
        <v>780</v>
      </c>
      <c r="H1379" s="21">
        <v>1518.67</v>
      </c>
    </row>
    <row r="1380" spans="1:8" customFormat="1" x14ac:dyDescent="0.25">
      <c r="A1380" t="str">
        <f>"9216239"</f>
        <v>9216239</v>
      </c>
      <c r="B1380" t="s">
        <v>1738</v>
      </c>
      <c r="C1380" t="s">
        <v>40</v>
      </c>
      <c r="D1380" s="21" t="s">
        <v>34</v>
      </c>
      <c r="E1380" s="21" t="s">
        <v>35</v>
      </c>
      <c r="F1380">
        <v>8920389</v>
      </c>
      <c r="G1380" t="s">
        <v>1739</v>
      </c>
      <c r="H1380" s="21">
        <v>1518.29</v>
      </c>
    </row>
    <row r="1381" spans="1:8" customFormat="1" x14ac:dyDescent="0.25">
      <c r="A1381" t="str">
        <f>"4917499"</f>
        <v>4917499</v>
      </c>
      <c r="B1381" t="s">
        <v>1852</v>
      </c>
      <c r="C1381" t="s">
        <v>1853</v>
      </c>
      <c r="D1381" s="21" t="s">
        <v>34</v>
      </c>
      <c r="E1381" s="21" t="s">
        <v>71</v>
      </c>
      <c r="F1381">
        <v>12490092</v>
      </c>
      <c r="G1381" t="s">
        <v>1854</v>
      </c>
      <c r="H1381" s="21">
        <v>1518.17</v>
      </c>
    </row>
    <row r="1382" spans="1:8" customFormat="1" x14ac:dyDescent="0.25">
      <c r="A1382" t="str">
        <f>"447452"</f>
        <v>447452</v>
      </c>
      <c r="B1382" t="s">
        <v>1645</v>
      </c>
      <c r="C1382" t="s">
        <v>109</v>
      </c>
      <c r="D1382" s="21" t="s">
        <v>34</v>
      </c>
      <c r="E1382" s="21" t="s">
        <v>35</v>
      </c>
      <c r="F1382">
        <v>12440084</v>
      </c>
      <c r="G1382" t="s">
        <v>1014</v>
      </c>
      <c r="H1382" s="21">
        <v>1518.17</v>
      </c>
    </row>
    <row r="1383" spans="1:8" customFormat="1" x14ac:dyDescent="0.25">
      <c r="A1383" t="str">
        <f>"4921726"</f>
        <v>4921726</v>
      </c>
      <c r="B1383" t="s">
        <v>2085</v>
      </c>
      <c r="C1383" t="s">
        <v>139</v>
      </c>
      <c r="D1383" s="21" t="s">
        <v>34</v>
      </c>
      <c r="E1383" s="21" t="s">
        <v>35</v>
      </c>
      <c r="F1383">
        <v>12490076</v>
      </c>
      <c r="G1383" t="s">
        <v>2086</v>
      </c>
      <c r="H1383" s="21">
        <v>1518.17</v>
      </c>
    </row>
    <row r="1384" spans="1:8" customFormat="1" x14ac:dyDescent="0.25">
      <c r="A1384" t="str">
        <f>"904150"</f>
        <v>904150</v>
      </c>
      <c r="B1384" t="s">
        <v>1848</v>
      </c>
      <c r="C1384" t="s">
        <v>239</v>
      </c>
      <c r="D1384" s="21" t="s">
        <v>34</v>
      </c>
      <c r="E1384" s="21" t="s">
        <v>71</v>
      </c>
      <c r="F1384">
        <v>2900039</v>
      </c>
      <c r="G1384" t="s">
        <v>26615</v>
      </c>
      <c r="H1384" s="21">
        <v>1518.17</v>
      </c>
    </row>
    <row r="1385" spans="1:8" customFormat="1" x14ac:dyDescent="0.25">
      <c r="A1385" t="str">
        <f>"722395"</f>
        <v>722395</v>
      </c>
      <c r="B1385" t="s">
        <v>1626</v>
      </c>
      <c r="C1385" t="s">
        <v>415</v>
      </c>
      <c r="D1385" s="21" t="s">
        <v>34</v>
      </c>
      <c r="E1385" s="21" t="s">
        <v>71</v>
      </c>
      <c r="F1385">
        <v>12720049</v>
      </c>
      <c r="G1385" t="s">
        <v>1627</v>
      </c>
      <c r="H1385" s="21">
        <v>1518.17</v>
      </c>
    </row>
    <row r="1386" spans="1:8" customFormat="1" x14ac:dyDescent="0.25">
      <c r="A1386" t="str">
        <f>"2913943"</f>
        <v>2913943</v>
      </c>
      <c r="B1386" t="s">
        <v>12219</v>
      </c>
      <c r="C1386" t="s">
        <v>269</v>
      </c>
      <c r="D1386" s="21" t="s">
        <v>34</v>
      </c>
      <c r="E1386" s="21" t="s">
        <v>35</v>
      </c>
      <c r="F1386">
        <v>3290047</v>
      </c>
      <c r="G1386" t="s">
        <v>2874</v>
      </c>
      <c r="H1386" s="21">
        <v>1517.92</v>
      </c>
    </row>
    <row r="1387" spans="1:8" customFormat="1" x14ac:dyDescent="0.25">
      <c r="A1387" t="str">
        <f>"914429"</f>
        <v>914429</v>
      </c>
      <c r="B1387" t="s">
        <v>2021</v>
      </c>
      <c r="C1387" t="s">
        <v>415</v>
      </c>
      <c r="D1387" s="21" t="s">
        <v>34</v>
      </c>
      <c r="E1387" s="21" t="s">
        <v>35</v>
      </c>
      <c r="F1387">
        <v>11340065</v>
      </c>
      <c r="G1387" t="s">
        <v>2022</v>
      </c>
      <c r="H1387" s="21">
        <v>1517.67</v>
      </c>
    </row>
    <row r="1388" spans="1:8" customFormat="1" x14ac:dyDescent="0.25">
      <c r="A1388" t="str">
        <f>"08246"</f>
        <v>08246</v>
      </c>
      <c r="B1388" t="s">
        <v>2416</v>
      </c>
      <c r="C1388" t="s">
        <v>1605</v>
      </c>
      <c r="D1388" s="21" t="s">
        <v>34</v>
      </c>
      <c r="E1388" s="21" t="s">
        <v>254</v>
      </c>
      <c r="F1388">
        <v>6080035</v>
      </c>
      <c r="G1388" t="s">
        <v>583</v>
      </c>
      <c r="H1388" s="21">
        <v>1517.67</v>
      </c>
    </row>
    <row r="1389" spans="1:8" customFormat="1" x14ac:dyDescent="0.25">
      <c r="A1389" t="str">
        <f>"148621"</f>
        <v>148621</v>
      </c>
      <c r="B1389" t="s">
        <v>2317</v>
      </c>
      <c r="C1389" t="s">
        <v>156</v>
      </c>
      <c r="D1389" s="21" t="s">
        <v>34</v>
      </c>
      <c r="E1389" s="21" t="s">
        <v>71</v>
      </c>
      <c r="F1389">
        <v>9140023</v>
      </c>
      <c r="G1389" t="s">
        <v>2318</v>
      </c>
      <c r="H1389" s="21">
        <v>1517.67</v>
      </c>
    </row>
    <row r="1390" spans="1:8" customFormat="1" x14ac:dyDescent="0.25">
      <c r="A1390" t="str">
        <f>"393207"</f>
        <v>393207</v>
      </c>
      <c r="B1390" t="s">
        <v>2247</v>
      </c>
      <c r="C1390" t="s">
        <v>2248</v>
      </c>
      <c r="D1390" s="21" t="s">
        <v>34</v>
      </c>
      <c r="E1390" s="21" t="s">
        <v>35</v>
      </c>
      <c r="F1390">
        <v>2390003</v>
      </c>
      <c r="G1390" t="s">
        <v>1150</v>
      </c>
      <c r="H1390" s="21">
        <v>1517.17</v>
      </c>
    </row>
    <row r="1391" spans="1:8" customFormat="1" x14ac:dyDescent="0.25">
      <c r="A1391" t="str">
        <f>"291337"</f>
        <v>291337</v>
      </c>
      <c r="B1391" t="s">
        <v>2233</v>
      </c>
      <c r="C1391" t="s">
        <v>269</v>
      </c>
      <c r="D1391" s="21" t="s">
        <v>34</v>
      </c>
      <c r="E1391" s="21" t="s">
        <v>71</v>
      </c>
      <c r="F1391">
        <v>3290285</v>
      </c>
      <c r="G1391" t="s">
        <v>2234</v>
      </c>
      <c r="H1391" s="21">
        <v>1516.67</v>
      </c>
    </row>
    <row r="1392" spans="1:8" customFormat="1" x14ac:dyDescent="0.25">
      <c r="A1392" t="str">
        <f>"5421847"</f>
        <v>5421847</v>
      </c>
      <c r="B1392" t="s">
        <v>2157</v>
      </c>
      <c r="C1392" t="s">
        <v>55</v>
      </c>
      <c r="D1392" s="21" t="s">
        <v>34</v>
      </c>
      <c r="E1392" s="21" t="s">
        <v>71</v>
      </c>
      <c r="F1392">
        <v>6540056</v>
      </c>
      <c r="G1392" t="s">
        <v>1136</v>
      </c>
      <c r="H1392" s="21">
        <v>1516.67</v>
      </c>
    </row>
    <row r="1393" spans="1:8" customFormat="1" x14ac:dyDescent="0.25">
      <c r="A1393" t="str">
        <f>"5715093"</f>
        <v>5715093</v>
      </c>
      <c r="B1393" t="s">
        <v>2843</v>
      </c>
      <c r="C1393" t="s">
        <v>2844</v>
      </c>
      <c r="D1393" s="21" t="s">
        <v>34</v>
      </c>
      <c r="E1393" s="21" t="s">
        <v>35</v>
      </c>
      <c r="F1393">
        <v>6570007</v>
      </c>
      <c r="G1393" t="s">
        <v>2845</v>
      </c>
      <c r="H1393" s="21">
        <v>1516.67</v>
      </c>
    </row>
    <row r="1394" spans="1:8" customFormat="1" x14ac:dyDescent="0.25">
      <c r="A1394" t="str">
        <f>"935142"</f>
        <v>935142</v>
      </c>
      <c r="B1394" t="s">
        <v>26650</v>
      </c>
      <c r="C1394" t="s">
        <v>49</v>
      </c>
      <c r="D1394" s="21" t="s">
        <v>34</v>
      </c>
      <c r="E1394" s="21" t="s">
        <v>35</v>
      </c>
      <c r="F1394">
        <v>8931011</v>
      </c>
      <c r="G1394" t="s">
        <v>530</v>
      </c>
      <c r="H1394" s="21">
        <v>1516.3</v>
      </c>
    </row>
    <row r="1395" spans="1:8" customFormat="1" x14ac:dyDescent="0.25">
      <c r="A1395" t="str">
        <f>"3314279"</f>
        <v>3314279</v>
      </c>
      <c r="B1395" t="s">
        <v>1941</v>
      </c>
      <c r="C1395" t="s">
        <v>40</v>
      </c>
      <c r="D1395" s="21" t="s">
        <v>34</v>
      </c>
      <c r="E1395" s="21" t="s">
        <v>71</v>
      </c>
      <c r="F1395">
        <v>10330117</v>
      </c>
      <c r="G1395" t="s">
        <v>1942</v>
      </c>
      <c r="H1395" s="21">
        <v>1516.17</v>
      </c>
    </row>
    <row r="1396" spans="1:8" customFormat="1" x14ac:dyDescent="0.25">
      <c r="A1396" t="str">
        <f>"272373"</f>
        <v>272373</v>
      </c>
      <c r="B1396" t="s">
        <v>1411</v>
      </c>
      <c r="C1396" t="s">
        <v>1412</v>
      </c>
      <c r="D1396" s="21" t="s">
        <v>34</v>
      </c>
      <c r="E1396" s="21" t="s">
        <v>35</v>
      </c>
      <c r="F1396">
        <v>9270063</v>
      </c>
      <c r="G1396" t="s">
        <v>808</v>
      </c>
      <c r="H1396" s="21">
        <v>1516.17</v>
      </c>
    </row>
    <row r="1397" spans="1:8" customFormat="1" x14ac:dyDescent="0.25">
      <c r="A1397" t="str">
        <f>"493887"</f>
        <v>493887</v>
      </c>
      <c r="B1397" t="s">
        <v>1826</v>
      </c>
      <c r="C1397" t="s">
        <v>55</v>
      </c>
      <c r="D1397" s="21" t="s">
        <v>34</v>
      </c>
      <c r="E1397" s="21" t="s">
        <v>35</v>
      </c>
      <c r="F1397">
        <v>12490068</v>
      </c>
      <c r="G1397" t="s">
        <v>2070</v>
      </c>
      <c r="H1397" s="21">
        <v>1516.17</v>
      </c>
    </row>
    <row r="1398" spans="1:8" customFormat="1" x14ac:dyDescent="0.25">
      <c r="A1398" t="str">
        <f>"286213"</f>
        <v>286213</v>
      </c>
      <c r="B1398" t="s">
        <v>25339</v>
      </c>
      <c r="C1398" t="s">
        <v>139</v>
      </c>
      <c r="D1398" s="21" t="s">
        <v>34</v>
      </c>
      <c r="E1398" s="21" t="s">
        <v>35</v>
      </c>
      <c r="F1398">
        <v>12530058</v>
      </c>
      <c r="G1398" t="s">
        <v>3128</v>
      </c>
      <c r="H1398" s="21">
        <v>1515.67</v>
      </c>
    </row>
    <row r="1399" spans="1:8" customFormat="1" x14ac:dyDescent="0.25">
      <c r="A1399" t="str">
        <f>"3526128"</f>
        <v>3526128</v>
      </c>
      <c r="B1399" t="s">
        <v>2403</v>
      </c>
      <c r="C1399" t="s">
        <v>98</v>
      </c>
      <c r="D1399" s="21" t="s">
        <v>34</v>
      </c>
      <c r="E1399" s="21" t="s">
        <v>35</v>
      </c>
      <c r="F1399">
        <v>3350011</v>
      </c>
      <c r="G1399" t="s">
        <v>2404</v>
      </c>
      <c r="H1399" s="21">
        <v>1515.67</v>
      </c>
    </row>
    <row r="1400" spans="1:8" customFormat="1" x14ac:dyDescent="0.25">
      <c r="A1400" t="str">
        <f>"512368"</f>
        <v>512368</v>
      </c>
      <c r="B1400" t="s">
        <v>1878</v>
      </c>
      <c r="C1400" t="s">
        <v>233</v>
      </c>
      <c r="D1400" s="21" t="s">
        <v>34</v>
      </c>
      <c r="E1400" s="21" t="s">
        <v>71</v>
      </c>
      <c r="F1400">
        <v>6510029</v>
      </c>
      <c r="G1400" t="s">
        <v>1879</v>
      </c>
      <c r="H1400" s="21">
        <v>1515.67</v>
      </c>
    </row>
    <row r="1401" spans="1:8" customFormat="1" x14ac:dyDescent="0.25">
      <c r="A1401" t="str">
        <f>"602017"</f>
        <v>602017</v>
      </c>
      <c r="B1401" t="s">
        <v>1911</v>
      </c>
      <c r="C1401" t="s">
        <v>33</v>
      </c>
      <c r="D1401" s="21" t="s">
        <v>34</v>
      </c>
      <c r="E1401" s="21" t="s">
        <v>35</v>
      </c>
      <c r="F1401">
        <v>7600074</v>
      </c>
      <c r="G1401" t="s">
        <v>1912</v>
      </c>
      <c r="H1401" s="21">
        <v>1515.67</v>
      </c>
    </row>
    <row r="1402" spans="1:8" customFormat="1" x14ac:dyDescent="0.25">
      <c r="A1402" t="str">
        <f>"9514833"</f>
        <v>9514833</v>
      </c>
      <c r="B1402" t="s">
        <v>2378</v>
      </c>
      <c r="C1402" t="s">
        <v>2379</v>
      </c>
      <c r="D1402" s="21" t="s">
        <v>34</v>
      </c>
      <c r="E1402" s="21" t="s">
        <v>35</v>
      </c>
      <c r="F1402">
        <v>12850148</v>
      </c>
      <c r="G1402" t="s">
        <v>2380</v>
      </c>
      <c r="H1402" s="21">
        <v>1515.67</v>
      </c>
    </row>
    <row r="1403" spans="1:8" customFormat="1" x14ac:dyDescent="0.25">
      <c r="A1403" t="str">
        <f>"7816091"</f>
        <v>7816091</v>
      </c>
      <c r="B1403" t="s">
        <v>22133</v>
      </c>
      <c r="C1403" t="s">
        <v>33</v>
      </c>
      <c r="D1403" s="21" t="s">
        <v>34</v>
      </c>
      <c r="E1403" s="21" t="s">
        <v>35</v>
      </c>
      <c r="F1403">
        <v>8780935</v>
      </c>
      <c r="G1403" t="s">
        <v>1944</v>
      </c>
      <c r="H1403" s="21">
        <v>1515.17</v>
      </c>
    </row>
    <row r="1404" spans="1:8" customFormat="1" x14ac:dyDescent="0.25">
      <c r="A1404" t="str">
        <f>"5912293"</f>
        <v>5912293</v>
      </c>
      <c r="B1404" t="s">
        <v>3070</v>
      </c>
      <c r="C1404" t="s">
        <v>1675</v>
      </c>
      <c r="D1404" s="21" t="s">
        <v>34</v>
      </c>
      <c r="E1404" s="21" t="s">
        <v>35</v>
      </c>
      <c r="F1404">
        <v>7590175</v>
      </c>
      <c r="G1404" t="s">
        <v>3063</v>
      </c>
      <c r="H1404" s="21">
        <v>1515.17</v>
      </c>
    </row>
    <row r="1405" spans="1:8" customFormat="1" x14ac:dyDescent="0.25">
      <c r="A1405" t="str">
        <f>"895409"</f>
        <v>895409</v>
      </c>
      <c r="B1405" t="s">
        <v>1358</v>
      </c>
      <c r="C1405" t="s">
        <v>1359</v>
      </c>
      <c r="D1405" s="21" t="s">
        <v>34</v>
      </c>
      <c r="E1405" s="21" t="s">
        <v>35</v>
      </c>
      <c r="F1405">
        <v>2890059</v>
      </c>
      <c r="G1405" t="s">
        <v>26651</v>
      </c>
      <c r="H1405" s="21">
        <v>1515.17</v>
      </c>
    </row>
    <row r="1406" spans="1:8" customFormat="1" x14ac:dyDescent="0.25">
      <c r="A1406" t="str">
        <f>"541702"</f>
        <v>541702</v>
      </c>
      <c r="B1406" t="s">
        <v>2313</v>
      </c>
      <c r="C1406" t="s">
        <v>2314</v>
      </c>
      <c r="D1406" s="21" t="s">
        <v>34</v>
      </c>
      <c r="E1406" s="21" t="s">
        <v>35</v>
      </c>
      <c r="F1406">
        <v>6570190</v>
      </c>
      <c r="G1406" t="s">
        <v>622</v>
      </c>
      <c r="H1406" s="21">
        <v>1514.42</v>
      </c>
    </row>
    <row r="1407" spans="1:8" customFormat="1" x14ac:dyDescent="0.25">
      <c r="A1407" t="str">
        <f>"4512542"</f>
        <v>4512542</v>
      </c>
      <c r="B1407" t="s">
        <v>1462</v>
      </c>
      <c r="C1407" t="s">
        <v>87</v>
      </c>
      <c r="D1407" s="21" t="s">
        <v>34</v>
      </c>
      <c r="E1407" s="21" t="s">
        <v>35</v>
      </c>
      <c r="F1407">
        <v>4450754</v>
      </c>
      <c r="G1407" t="s">
        <v>2695</v>
      </c>
      <c r="H1407" s="21">
        <v>1514.17</v>
      </c>
    </row>
    <row r="1408" spans="1:8" customFormat="1" x14ac:dyDescent="0.25">
      <c r="A1408" t="str">
        <f>"0210849"</f>
        <v>0210849</v>
      </c>
      <c r="B1408" t="s">
        <v>889</v>
      </c>
      <c r="C1408" t="s">
        <v>109</v>
      </c>
      <c r="D1408" s="21" t="s">
        <v>34</v>
      </c>
      <c r="E1408" s="21" t="s">
        <v>35</v>
      </c>
      <c r="F1408">
        <v>7020015</v>
      </c>
      <c r="G1408" t="s">
        <v>1289</v>
      </c>
      <c r="H1408" s="21">
        <v>1514.17</v>
      </c>
    </row>
    <row r="1409" spans="1:8" customFormat="1" x14ac:dyDescent="0.25">
      <c r="A1409" t="str">
        <f>"9517905"</f>
        <v>9517905</v>
      </c>
      <c r="B1409" t="s">
        <v>2003</v>
      </c>
      <c r="C1409" t="s">
        <v>2004</v>
      </c>
      <c r="D1409" s="21" t="s">
        <v>34</v>
      </c>
      <c r="E1409" s="21" t="s">
        <v>35</v>
      </c>
      <c r="F1409">
        <v>8780002</v>
      </c>
      <c r="G1409" t="s">
        <v>2196</v>
      </c>
      <c r="H1409" s="21">
        <v>1513.8</v>
      </c>
    </row>
    <row r="1410" spans="1:8" customFormat="1" x14ac:dyDescent="0.25">
      <c r="A1410" t="str">
        <f>"2211635"</f>
        <v>2211635</v>
      </c>
      <c r="B1410" t="s">
        <v>10699</v>
      </c>
      <c r="C1410" t="s">
        <v>169</v>
      </c>
      <c r="D1410" s="21" t="s">
        <v>34</v>
      </c>
      <c r="E1410" s="21" t="s">
        <v>35</v>
      </c>
      <c r="F1410">
        <v>3220127</v>
      </c>
      <c r="G1410" t="s">
        <v>26652</v>
      </c>
      <c r="H1410" s="21">
        <v>1513.67</v>
      </c>
    </row>
    <row r="1411" spans="1:8" customFormat="1" x14ac:dyDescent="0.25">
      <c r="A1411" t="str">
        <f>"68838"</f>
        <v>68838</v>
      </c>
      <c r="B1411" t="s">
        <v>1790</v>
      </c>
      <c r="C1411" t="s">
        <v>262</v>
      </c>
      <c r="D1411" s="21" t="s">
        <v>34</v>
      </c>
      <c r="E1411" s="21" t="s">
        <v>35</v>
      </c>
      <c r="F1411">
        <v>6680082</v>
      </c>
      <c r="G1411" t="s">
        <v>289</v>
      </c>
      <c r="H1411" s="21">
        <v>1513.54</v>
      </c>
    </row>
    <row r="1412" spans="1:8" customFormat="1" x14ac:dyDescent="0.25">
      <c r="A1412" t="str">
        <f>"677375"</f>
        <v>677375</v>
      </c>
      <c r="B1412" t="s">
        <v>146</v>
      </c>
      <c r="C1412" t="s">
        <v>127</v>
      </c>
      <c r="D1412" s="21" t="s">
        <v>34</v>
      </c>
      <c r="E1412" s="21" t="s">
        <v>35</v>
      </c>
      <c r="F1412">
        <v>6670045</v>
      </c>
      <c r="G1412" t="s">
        <v>707</v>
      </c>
      <c r="H1412" s="21">
        <v>1513.3</v>
      </c>
    </row>
    <row r="1413" spans="1:8" customFormat="1" x14ac:dyDescent="0.25">
      <c r="A1413" t="str">
        <f>"7624105"</f>
        <v>7624105</v>
      </c>
      <c r="B1413" t="s">
        <v>1558</v>
      </c>
      <c r="C1413" t="s">
        <v>33</v>
      </c>
      <c r="D1413" s="21" t="s">
        <v>34</v>
      </c>
      <c r="E1413" s="21" t="s">
        <v>35</v>
      </c>
      <c r="F1413">
        <v>9760004</v>
      </c>
      <c r="G1413" t="s">
        <v>56</v>
      </c>
      <c r="H1413" s="21">
        <v>1513.17</v>
      </c>
    </row>
    <row r="1414" spans="1:8" customFormat="1" x14ac:dyDescent="0.25">
      <c r="A1414" t="str">
        <f>"5310987"</f>
        <v>5310987</v>
      </c>
      <c r="B1414" t="s">
        <v>461</v>
      </c>
      <c r="C1414" t="s">
        <v>119</v>
      </c>
      <c r="D1414" s="21" t="s">
        <v>34</v>
      </c>
      <c r="E1414" s="21" t="s">
        <v>35</v>
      </c>
      <c r="F1414">
        <v>12530016</v>
      </c>
      <c r="G1414" t="s">
        <v>2069</v>
      </c>
      <c r="H1414" s="21">
        <v>1513.17</v>
      </c>
    </row>
    <row r="1415" spans="1:8" customFormat="1" x14ac:dyDescent="0.25">
      <c r="A1415" t="str">
        <f>"458801"</f>
        <v>458801</v>
      </c>
      <c r="B1415" t="s">
        <v>2128</v>
      </c>
      <c r="C1415" t="s">
        <v>1803</v>
      </c>
      <c r="D1415" s="21" t="s">
        <v>34</v>
      </c>
      <c r="E1415" s="21" t="s">
        <v>35</v>
      </c>
      <c r="F1415">
        <v>4450702</v>
      </c>
      <c r="G1415" t="s">
        <v>1772</v>
      </c>
      <c r="H1415" s="21">
        <v>1513.17</v>
      </c>
    </row>
    <row r="1416" spans="1:8" customFormat="1" x14ac:dyDescent="0.25">
      <c r="A1416" t="str">
        <f>"449933"</f>
        <v>449933</v>
      </c>
      <c r="B1416" t="s">
        <v>2050</v>
      </c>
      <c r="C1416" t="s">
        <v>109</v>
      </c>
      <c r="D1416" s="21" t="s">
        <v>34</v>
      </c>
      <c r="E1416" s="21" t="s">
        <v>35</v>
      </c>
      <c r="F1416">
        <v>12440056</v>
      </c>
      <c r="G1416" t="s">
        <v>2037</v>
      </c>
      <c r="H1416" s="21">
        <v>1512.67</v>
      </c>
    </row>
    <row r="1417" spans="1:8" customFormat="1" x14ac:dyDescent="0.25">
      <c r="A1417" t="str">
        <f>"279232"</f>
        <v>279232</v>
      </c>
      <c r="B1417" t="s">
        <v>1827</v>
      </c>
      <c r="C1417" t="s">
        <v>812</v>
      </c>
      <c r="D1417" s="21" t="s">
        <v>34</v>
      </c>
      <c r="E1417" s="21" t="s">
        <v>35</v>
      </c>
      <c r="F1417">
        <v>9270104</v>
      </c>
      <c r="G1417" t="s">
        <v>2456</v>
      </c>
      <c r="H1417" s="21">
        <v>1512.67</v>
      </c>
    </row>
    <row r="1418" spans="1:8" customFormat="1" x14ac:dyDescent="0.25">
      <c r="A1418" t="str">
        <f>"8515376"</f>
        <v>8515376</v>
      </c>
      <c r="B1418" t="s">
        <v>2073</v>
      </c>
      <c r="C1418" t="s">
        <v>469</v>
      </c>
      <c r="D1418" s="21" t="s">
        <v>34</v>
      </c>
      <c r="E1418" s="21" t="s">
        <v>35</v>
      </c>
      <c r="F1418">
        <v>12850040</v>
      </c>
      <c r="G1418" t="s">
        <v>2074</v>
      </c>
      <c r="H1418" s="21">
        <v>1512.17</v>
      </c>
    </row>
    <row r="1419" spans="1:8" customFormat="1" x14ac:dyDescent="0.25">
      <c r="A1419" t="str">
        <f>"38939"</f>
        <v>38939</v>
      </c>
      <c r="B1419" t="s">
        <v>2236</v>
      </c>
      <c r="C1419" t="s">
        <v>608</v>
      </c>
      <c r="D1419" s="21" t="s">
        <v>34</v>
      </c>
      <c r="E1419" s="21" t="s">
        <v>35</v>
      </c>
      <c r="F1419">
        <v>1380056</v>
      </c>
      <c r="G1419" t="s">
        <v>846</v>
      </c>
      <c r="H1419" s="21">
        <v>1512.17</v>
      </c>
    </row>
    <row r="1420" spans="1:8" customFormat="1" x14ac:dyDescent="0.25">
      <c r="A1420" t="str">
        <f>"935703"</f>
        <v>935703</v>
      </c>
      <c r="B1420" t="s">
        <v>1932</v>
      </c>
      <c r="C1420" t="s">
        <v>114</v>
      </c>
      <c r="D1420" s="21" t="s">
        <v>34</v>
      </c>
      <c r="E1420" s="21" t="s">
        <v>71</v>
      </c>
      <c r="F1420">
        <v>8770250</v>
      </c>
      <c r="G1420" t="s">
        <v>2595</v>
      </c>
      <c r="H1420" s="21">
        <v>1512.05</v>
      </c>
    </row>
    <row r="1421" spans="1:8" customFormat="1" x14ac:dyDescent="0.25">
      <c r="A1421" t="str">
        <f>"401257"</f>
        <v>401257</v>
      </c>
      <c r="B1421" t="s">
        <v>1974</v>
      </c>
      <c r="C1421" t="s">
        <v>547</v>
      </c>
      <c r="D1421" s="21" t="s">
        <v>34</v>
      </c>
      <c r="E1421" s="21" t="s">
        <v>71</v>
      </c>
      <c r="F1421">
        <v>10400002</v>
      </c>
      <c r="G1421" t="s">
        <v>1975</v>
      </c>
      <c r="H1421" s="21">
        <v>1511.42</v>
      </c>
    </row>
    <row r="1422" spans="1:8" customFormat="1" x14ac:dyDescent="0.25">
      <c r="A1422" t="str">
        <f>"382961"</f>
        <v>382961</v>
      </c>
      <c r="B1422" t="s">
        <v>2113</v>
      </c>
      <c r="C1422" t="s">
        <v>302</v>
      </c>
      <c r="D1422" s="21" t="s">
        <v>34</v>
      </c>
      <c r="E1422" s="21" t="s">
        <v>35</v>
      </c>
      <c r="F1422">
        <v>1380045</v>
      </c>
      <c r="G1422" t="s">
        <v>2114</v>
      </c>
      <c r="H1422" s="21">
        <v>1511.17</v>
      </c>
    </row>
    <row r="1423" spans="1:8" customFormat="1" x14ac:dyDescent="0.25">
      <c r="A1423" t="str">
        <f>"332635"</f>
        <v>332635</v>
      </c>
      <c r="B1423" t="s">
        <v>1702</v>
      </c>
      <c r="C1423" t="s">
        <v>55</v>
      </c>
      <c r="D1423" s="21" t="s">
        <v>34</v>
      </c>
      <c r="E1423" s="21" t="s">
        <v>35</v>
      </c>
      <c r="F1423">
        <v>10330043</v>
      </c>
      <c r="G1423" t="s">
        <v>1703</v>
      </c>
      <c r="H1423" s="21">
        <v>1511.17</v>
      </c>
    </row>
    <row r="1424" spans="1:8" customFormat="1" x14ac:dyDescent="0.25">
      <c r="A1424" t="str">
        <f>"386334"</f>
        <v>386334</v>
      </c>
      <c r="B1424" t="s">
        <v>1976</v>
      </c>
      <c r="C1424" t="s">
        <v>156</v>
      </c>
      <c r="D1424" s="21" t="s">
        <v>34</v>
      </c>
      <c r="E1424" s="21" t="s">
        <v>35</v>
      </c>
      <c r="F1424">
        <v>1380290</v>
      </c>
      <c r="G1424" t="s">
        <v>619</v>
      </c>
      <c r="H1424" s="21">
        <v>1511.17</v>
      </c>
    </row>
    <row r="1425" spans="1:8" customFormat="1" x14ac:dyDescent="0.25">
      <c r="A1425" t="str">
        <f>"0838"</f>
        <v>0838</v>
      </c>
      <c r="B1425" t="s">
        <v>2058</v>
      </c>
      <c r="C1425" t="s">
        <v>269</v>
      </c>
      <c r="D1425" s="21" t="s">
        <v>34</v>
      </c>
      <c r="E1425" s="21" t="s">
        <v>71</v>
      </c>
      <c r="F1425">
        <v>6080004</v>
      </c>
      <c r="G1425" t="s">
        <v>2059</v>
      </c>
      <c r="H1425" s="21">
        <v>1511.17</v>
      </c>
    </row>
    <row r="1426" spans="1:8" customFormat="1" x14ac:dyDescent="0.25">
      <c r="A1426" t="str">
        <f>"3321839"</f>
        <v>3321839</v>
      </c>
      <c r="B1426" t="s">
        <v>1435</v>
      </c>
      <c r="C1426" t="s">
        <v>55</v>
      </c>
      <c r="D1426" s="21" t="s">
        <v>34</v>
      </c>
      <c r="E1426" s="21" t="s">
        <v>35</v>
      </c>
      <c r="F1426">
        <v>10330031</v>
      </c>
      <c r="G1426" t="s">
        <v>2452</v>
      </c>
      <c r="H1426" s="21">
        <v>1510.92</v>
      </c>
    </row>
    <row r="1427" spans="1:8" customFormat="1" x14ac:dyDescent="0.25">
      <c r="A1427" t="str">
        <f>"4920743"</f>
        <v>4920743</v>
      </c>
      <c r="B1427" t="s">
        <v>1977</v>
      </c>
      <c r="C1427" t="s">
        <v>486</v>
      </c>
      <c r="D1427" s="21" t="s">
        <v>34</v>
      </c>
      <c r="E1427" s="21" t="s">
        <v>35</v>
      </c>
      <c r="F1427">
        <v>12490027</v>
      </c>
      <c r="G1427" t="s">
        <v>766</v>
      </c>
      <c r="H1427" s="21">
        <v>1510.8</v>
      </c>
    </row>
    <row r="1428" spans="1:8" customFormat="1" x14ac:dyDescent="0.25">
      <c r="A1428" t="str">
        <f>"892258"</f>
        <v>892258</v>
      </c>
      <c r="B1428" t="s">
        <v>1994</v>
      </c>
      <c r="C1428" t="s">
        <v>124</v>
      </c>
      <c r="D1428" s="21" t="s">
        <v>34</v>
      </c>
      <c r="E1428" s="21" t="s">
        <v>71</v>
      </c>
      <c r="F1428">
        <v>2890023</v>
      </c>
      <c r="G1428" t="s">
        <v>1995</v>
      </c>
      <c r="H1428" s="21">
        <v>1510.67</v>
      </c>
    </row>
    <row r="1429" spans="1:8" customFormat="1" x14ac:dyDescent="0.25">
      <c r="A1429" t="str">
        <f>"5612594"</f>
        <v>5612594</v>
      </c>
      <c r="B1429" t="s">
        <v>2770</v>
      </c>
      <c r="C1429" t="s">
        <v>109</v>
      </c>
      <c r="D1429" s="21" t="s">
        <v>34</v>
      </c>
      <c r="E1429" s="21" t="s">
        <v>35</v>
      </c>
      <c r="F1429">
        <v>3560096</v>
      </c>
      <c r="G1429" t="s">
        <v>2771</v>
      </c>
      <c r="H1429" s="21">
        <v>1510.67</v>
      </c>
    </row>
    <row r="1430" spans="1:8" customFormat="1" x14ac:dyDescent="0.25">
      <c r="A1430" t="str">
        <f>"5941370"</f>
        <v>5941370</v>
      </c>
      <c r="B1430" t="s">
        <v>1732</v>
      </c>
      <c r="C1430" t="s">
        <v>14362</v>
      </c>
      <c r="D1430" s="21" t="s">
        <v>34</v>
      </c>
      <c r="E1430" s="21" t="s">
        <v>35</v>
      </c>
      <c r="F1430">
        <v>7590372</v>
      </c>
      <c r="G1430" t="s">
        <v>3638</v>
      </c>
      <c r="H1430" s="21">
        <v>1510.67</v>
      </c>
    </row>
    <row r="1431" spans="1:8" customFormat="1" x14ac:dyDescent="0.25">
      <c r="A1431" t="str">
        <f>"604597"</f>
        <v>604597</v>
      </c>
      <c r="B1431" t="s">
        <v>8842</v>
      </c>
      <c r="C1431" t="s">
        <v>26653</v>
      </c>
      <c r="D1431" s="21" t="s">
        <v>34</v>
      </c>
      <c r="E1431" s="21" t="s">
        <v>35</v>
      </c>
      <c r="F1431">
        <v>7600069</v>
      </c>
      <c r="G1431" t="s">
        <v>195</v>
      </c>
      <c r="H1431" s="21">
        <v>1510.67</v>
      </c>
    </row>
    <row r="1432" spans="1:8" customFormat="1" x14ac:dyDescent="0.25">
      <c r="A1432" t="str">
        <f>"62657"</f>
        <v>62657</v>
      </c>
      <c r="B1432" t="s">
        <v>2178</v>
      </c>
      <c r="C1432" t="s">
        <v>209</v>
      </c>
      <c r="D1432" s="21" t="s">
        <v>34</v>
      </c>
      <c r="E1432" s="21" t="s">
        <v>254</v>
      </c>
      <c r="F1432">
        <v>7620060</v>
      </c>
      <c r="G1432" t="s">
        <v>2179</v>
      </c>
      <c r="H1432" s="21">
        <v>1510.17</v>
      </c>
    </row>
    <row r="1433" spans="1:8" customFormat="1" x14ac:dyDescent="0.25">
      <c r="A1433" t="str">
        <f>"5939432"</f>
        <v>5939432</v>
      </c>
      <c r="B1433" t="s">
        <v>1833</v>
      </c>
      <c r="C1433" t="s">
        <v>415</v>
      </c>
      <c r="D1433" s="21" t="s">
        <v>34</v>
      </c>
      <c r="E1433" s="21" t="s">
        <v>35</v>
      </c>
      <c r="F1433">
        <v>7590028</v>
      </c>
      <c r="G1433" t="s">
        <v>251</v>
      </c>
      <c r="H1433" s="21">
        <v>1509.67</v>
      </c>
    </row>
    <row r="1434" spans="1:8" customFormat="1" x14ac:dyDescent="0.25">
      <c r="A1434" t="str">
        <f>"7514452"</f>
        <v>7514452</v>
      </c>
      <c r="B1434" t="s">
        <v>2296</v>
      </c>
      <c r="C1434" t="s">
        <v>169</v>
      </c>
      <c r="D1434" s="21" t="s">
        <v>34</v>
      </c>
      <c r="E1434" s="21" t="s">
        <v>35</v>
      </c>
      <c r="F1434">
        <v>8751271</v>
      </c>
      <c r="G1434" t="s">
        <v>1067</v>
      </c>
      <c r="H1434" s="21">
        <v>1509.05</v>
      </c>
    </row>
    <row r="1435" spans="1:8" customFormat="1" x14ac:dyDescent="0.25">
      <c r="A1435" t="str">
        <f>"4210221"</f>
        <v>4210221</v>
      </c>
      <c r="B1435" t="s">
        <v>2648</v>
      </c>
      <c r="C1435" t="s">
        <v>2475</v>
      </c>
      <c r="D1435" s="21" t="s">
        <v>34</v>
      </c>
      <c r="E1435" s="21" t="s">
        <v>35</v>
      </c>
      <c r="F1435">
        <v>1420117</v>
      </c>
      <c r="G1435" t="s">
        <v>2649</v>
      </c>
      <c r="H1435" s="21">
        <v>1508.67</v>
      </c>
    </row>
    <row r="1436" spans="1:8" customFormat="1" x14ac:dyDescent="0.25">
      <c r="A1436" t="str">
        <f>"7718149"</f>
        <v>7718149</v>
      </c>
      <c r="B1436" t="s">
        <v>1771</v>
      </c>
      <c r="C1436" t="s">
        <v>33</v>
      </c>
      <c r="D1436" s="21" t="s">
        <v>34</v>
      </c>
      <c r="E1436" s="21" t="s">
        <v>71</v>
      </c>
      <c r="F1436">
        <v>8770169</v>
      </c>
      <c r="G1436" t="s">
        <v>1001</v>
      </c>
      <c r="H1436" s="21">
        <v>1508.42</v>
      </c>
    </row>
    <row r="1437" spans="1:8" customFormat="1" x14ac:dyDescent="0.25">
      <c r="A1437" t="str">
        <f>"3313708"</f>
        <v>3313708</v>
      </c>
      <c r="B1437" t="s">
        <v>26654</v>
      </c>
      <c r="C1437" t="s">
        <v>169</v>
      </c>
      <c r="D1437" s="21" t="s">
        <v>34</v>
      </c>
      <c r="E1437" s="21" t="s">
        <v>35</v>
      </c>
      <c r="F1437">
        <v>11820008</v>
      </c>
      <c r="G1437" t="s">
        <v>294</v>
      </c>
      <c r="H1437" s="21">
        <v>1508.17</v>
      </c>
    </row>
    <row r="1438" spans="1:8" customFormat="1" x14ac:dyDescent="0.25">
      <c r="A1438" t="str">
        <f>"212334"</f>
        <v>212334</v>
      </c>
      <c r="B1438" t="s">
        <v>1784</v>
      </c>
      <c r="C1438" t="s">
        <v>302</v>
      </c>
      <c r="D1438" s="21" t="s">
        <v>34</v>
      </c>
      <c r="E1438" s="21" t="s">
        <v>35</v>
      </c>
      <c r="F1438">
        <v>2210101</v>
      </c>
      <c r="G1438" t="s">
        <v>1374</v>
      </c>
      <c r="H1438" s="21">
        <v>1508.17</v>
      </c>
    </row>
    <row r="1439" spans="1:8" customFormat="1" x14ac:dyDescent="0.25">
      <c r="A1439" t="str">
        <f>"7511459"</f>
        <v>7511459</v>
      </c>
      <c r="B1439" t="s">
        <v>2146</v>
      </c>
      <c r="C1439" t="s">
        <v>119</v>
      </c>
      <c r="D1439" s="21" t="s">
        <v>34</v>
      </c>
      <c r="E1439" s="21" t="s">
        <v>35</v>
      </c>
      <c r="F1439">
        <v>7590011</v>
      </c>
      <c r="G1439" t="s">
        <v>2147</v>
      </c>
      <c r="H1439" s="21">
        <v>1508.17</v>
      </c>
    </row>
    <row r="1440" spans="1:8" customFormat="1" x14ac:dyDescent="0.25">
      <c r="A1440" t="str">
        <f>"72571"</f>
        <v>72571</v>
      </c>
      <c r="B1440" t="s">
        <v>1826</v>
      </c>
      <c r="C1440" t="s">
        <v>33</v>
      </c>
      <c r="D1440" s="21" t="s">
        <v>34</v>
      </c>
      <c r="E1440" s="21" t="s">
        <v>71</v>
      </c>
      <c r="F1440">
        <v>12720104</v>
      </c>
      <c r="G1440" t="s">
        <v>224</v>
      </c>
      <c r="H1440" s="21">
        <v>1508.17</v>
      </c>
    </row>
    <row r="1441" spans="1:8" customFormat="1" x14ac:dyDescent="0.25">
      <c r="A1441" t="str">
        <f>"608792"</f>
        <v>608792</v>
      </c>
      <c r="B1441" t="s">
        <v>1604</v>
      </c>
      <c r="C1441" t="s">
        <v>209</v>
      </c>
      <c r="D1441" s="21" t="s">
        <v>34</v>
      </c>
      <c r="E1441" s="21" t="s">
        <v>254</v>
      </c>
      <c r="F1441">
        <v>7600070</v>
      </c>
      <c r="G1441" t="s">
        <v>542</v>
      </c>
      <c r="H1441" s="21">
        <v>1507.67</v>
      </c>
    </row>
    <row r="1442" spans="1:8" customFormat="1" x14ac:dyDescent="0.25">
      <c r="A1442" t="str">
        <f>"5936910"</f>
        <v>5936910</v>
      </c>
      <c r="B1442" t="s">
        <v>2415</v>
      </c>
      <c r="C1442" t="s">
        <v>462</v>
      </c>
      <c r="D1442" s="21" t="s">
        <v>34</v>
      </c>
      <c r="E1442" s="21" t="s">
        <v>35</v>
      </c>
      <c r="F1442">
        <v>7590014</v>
      </c>
      <c r="G1442" t="s">
        <v>1326</v>
      </c>
      <c r="H1442" s="21">
        <v>1507.67</v>
      </c>
    </row>
    <row r="1443" spans="1:8" customFormat="1" x14ac:dyDescent="0.25">
      <c r="A1443" t="str">
        <f>"78391"</f>
        <v>78391</v>
      </c>
      <c r="B1443" t="s">
        <v>1940</v>
      </c>
      <c r="C1443" t="s">
        <v>1146</v>
      </c>
      <c r="D1443" s="21" t="s">
        <v>34</v>
      </c>
      <c r="E1443" s="21" t="s">
        <v>1089</v>
      </c>
      <c r="F1443">
        <v>8780114</v>
      </c>
      <c r="G1443" t="s">
        <v>927</v>
      </c>
      <c r="H1443" s="21">
        <v>1507.67</v>
      </c>
    </row>
    <row r="1444" spans="1:8" customFormat="1" x14ac:dyDescent="0.25">
      <c r="A1444" t="str">
        <f>"919757"</f>
        <v>919757</v>
      </c>
      <c r="B1444" t="s">
        <v>1817</v>
      </c>
      <c r="C1444" t="s">
        <v>109</v>
      </c>
      <c r="D1444" s="21" t="s">
        <v>34</v>
      </c>
      <c r="E1444" s="21" t="s">
        <v>35</v>
      </c>
      <c r="F1444">
        <v>8911323</v>
      </c>
      <c r="G1444" t="s">
        <v>555</v>
      </c>
      <c r="H1444" s="21">
        <v>1507.67</v>
      </c>
    </row>
    <row r="1445" spans="1:8" customFormat="1" x14ac:dyDescent="0.25">
      <c r="A1445" t="str">
        <f>"593289"</f>
        <v>593289</v>
      </c>
      <c r="B1445" t="s">
        <v>2969</v>
      </c>
      <c r="C1445" t="s">
        <v>151</v>
      </c>
      <c r="D1445" s="21" t="s">
        <v>34</v>
      </c>
      <c r="E1445" s="21" t="s">
        <v>35</v>
      </c>
      <c r="F1445">
        <v>4280529</v>
      </c>
      <c r="G1445" t="s">
        <v>2970</v>
      </c>
      <c r="H1445" s="21">
        <v>1507.17</v>
      </c>
    </row>
    <row r="1446" spans="1:8" customFormat="1" x14ac:dyDescent="0.25">
      <c r="A1446" t="str">
        <f>"933769"</f>
        <v>933769</v>
      </c>
      <c r="B1446" t="s">
        <v>26655</v>
      </c>
      <c r="C1446" t="s">
        <v>5877</v>
      </c>
      <c r="D1446" s="21" t="s">
        <v>34</v>
      </c>
      <c r="E1446" s="21" t="s">
        <v>35</v>
      </c>
      <c r="F1446">
        <v>8930368</v>
      </c>
      <c r="G1446" t="s">
        <v>508</v>
      </c>
      <c r="H1446" s="21">
        <v>1507.05</v>
      </c>
    </row>
    <row r="1447" spans="1:8" customFormat="1" x14ac:dyDescent="0.25">
      <c r="A1447" t="str">
        <f>"7510050"</f>
        <v>7510050</v>
      </c>
      <c r="B1447" t="s">
        <v>2427</v>
      </c>
      <c r="C1447" t="s">
        <v>62</v>
      </c>
      <c r="D1447" s="21" t="s">
        <v>34</v>
      </c>
      <c r="E1447" s="21" t="s">
        <v>35</v>
      </c>
      <c r="F1447">
        <v>8940052</v>
      </c>
      <c r="G1447" t="s">
        <v>190</v>
      </c>
      <c r="H1447" s="21">
        <v>1506.17</v>
      </c>
    </row>
    <row r="1448" spans="1:8" customFormat="1" x14ac:dyDescent="0.25">
      <c r="A1448" t="str">
        <f>"2717871"</f>
        <v>2717871</v>
      </c>
      <c r="B1448" t="s">
        <v>1679</v>
      </c>
      <c r="C1448" t="s">
        <v>1680</v>
      </c>
      <c r="D1448" s="21" t="s">
        <v>34</v>
      </c>
      <c r="E1448" s="21" t="s">
        <v>35</v>
      </c>
      <c r="F1448">
        <v>9270095</v>
      </c>
      <c r="G1448" t="s">
        <v>1681</v>
      </c>
      <c r="H1448" s="21">
        <v>1506.17</v>
      </c>
    </row>
    <row r="1449" spans="1:8" customFormat="1" x14ac:dyDescent="0.25">
      <c r="A1449" t="str">
        <f>"629822"</f>
        <v>629822</v>
      </c>
      <c r="B1449" t="s">
        <v>3110</v>
      </c>
      <c r="C1449" t="s">
        <v>209</v>
      </c>
      <c r="D1449" s="21" t="s">
        <v>34</v>
      </c>
      <c r="E1449" s="21" t="s">
        <v>71</v>
      </c>
      <c r="F1449">
        <v>7620176</v>
      </c>
      <c r="G1449" t="s">
        <v>3111</v>
      </c>
      <c r="H1449" s="21">
        <v>1506.17</v>
      </c>
    </row>
    <row r="1450" spans="1:8" customFormat="1" x14ac:dyDescent="0.25">
      <c r="A1450" t="str">
        <f>"451169"</f>
        <v>451169</v>
      </c>
      <c r="B1450" t="s">
        <v>2240</v>
      </c>
      <c r="C1450" t="s">
        <v>139</v>
      </c>
      <c r="D1450" s="21" t="s">
        <v>34</v>
      </c>
      <c r="E1450" s="21" t="s">
        <v>35</v>
      </c>
      <c r="F1450">
        <v>4410728</v>
      </c>
      <c r="G1450" t="s">
        <v>2241</v>
      </c>
      <c r="H1450" s="21">
        <v>1506</v>
      </c>
    </row>
    <row r="1451" spans="1:8" customFormat="1" x14ac:dyDescent="0.25">
      <c r="A1451" t="str">
        <f>"786486"</f>
        <v>786486</v>
      </c>
      <c r="B1451" t="s">
        <v>1048</v>
      </c>
      <c r="C1451" t="s">
        <v>198</v>
      </c>
      <c r="D1451" s="21" t="s">
        <v>34</v>
      </c>
      <c r="E1451" s="21" t="s">
        <v>71</v>
      </c>
      <c r="F1451">
        <v>8780114</v>
      </c>
      <c r="G1451" t="s">
        <v>927</v>
      </c>
      <c r="H1451" s="21">
        <v>1505.17</v>
      </c>
    </row>
    <row r="1452" spans="1:8" customFormat="1" x14ac:dyDescent="0.25">
      <c r="A1452" t="str">
        <f>"225996"</f>
        <v>225996</v>
      </c>
      <c r="B1452" t="s">
        <v>1506</v>
      </c>
      <c r="C1452" t="s">
        <v>109</v>
      </c>
      <c r="D1452" s="21" t="s">
        <v>34</v>
      </c>
      <c r="E1452" s="21" t="s">
        <v>35</v>
      </c>
      <c r="F1452">
        <v>3350161</v>
      </c>
      <c r="G1452" t="s">
        <v>1507</v>
      </c>
      <c r="H1452" s="21">
        <v>1504.93</v>
      </c>
    </row>
    <row r="1453" spans="1:8" customFormat="1" x14ac:dyDescent="0.25">
      <c r="A1453" t="str">
        <f>"8323"</f>
        <v>8323</v>
      </c>
      <c r="B1453" t="s">
        <v>2158</v>
      </c>
      <c r="C1453" t="s">
        <v>1100</v>
      </c>
      <c r="D1453" s="21" t="s">
        <v>34</v>
      </c>
      <c r="E1453" s="21" t="s">
        <v>35</v>
      </c>
      <c r="F1453">
        <v>13830083</v>
      </c>
      <c r="G1453" t="s">
        <v>2159</v>
      </c>
      <c r="H1453" s="21">
        <v>1504.79</v>
      </c>
    </row>
    <row r="1454" spans="1:8" customFormat="1" x14ac:dyDescent="0.25">
      <c r="A1454" t="str">
        <f>"441202"</f>
        <v>441202</v>
      </c>
      <c r="B1454" t="s">
        <v>2321</v>
      </c>
      <c r="C1454" t="s">
        <v>2322</v>
      </c>
      <c r="D1454" s="21" t="s">
        <v>34</v>
      </c>
      <c r="E1454" s="21" t="s">
        <v>35</v>
      </c>
      <c r="F1454">
        <v>3350169</v>
      </c>
      <c r="G1454" t="s">
        <v>735</v>
      </c>
      <c r="H1454" s="21">
        <v>1504.17</v>
      </c>
    </row>
    <row r="1455" spans="1:8" customFormat="1" x14ac:dyDescent="0.25">
      <c r="A1455" t="str">
        <f>"865607"</f>
        <v>865607</v>
      </c>
      <c r="B1455" t="s">
        <v>3939</v>
      </c>
      <c r="C1455" t="s">
        <v>119</v>
      </c>
      <c r="D1455" s="21" t="s">
        <v>34</v>
      </c>
      <c r="E1455" s="21" t="s">
        <v>35</v>
      </c>
      <c r="F1455">
        <v>8930113</v>
      </c>
      <c r="G1455" t="s">
        <v>368</v>
      </c>
      <c r="H1455" s="21">
        <v>1504.17</v>
      </c>
    </row>
    <row r="1456" spans="1:8" customFormat="1" x14ac:dyDescent="0.25">
      <c r="A1456" t="str">
        <f>"166566"</f>
        <v>166566</v>
      </c>
      <c r="B1456" t="s">
        <v>2881</v>
      </c>
      <c r="C1456" t="s">
        <v>130</v>
      </c>
      <c r="D1456" s="21" t="s">
        <v>34</v>
      </c>
      <c r="E1456" s="21" t="s">
        <v>35</v>
      </c>
      <c r="F1456">
        <v>10160232</v>
      </c>
      <c r="G1456" t="s">
        <v>2882</v>
      </c>
      <c r="H1456" s="21">
        <v>1504.17</v>
      </c>
    </row>
    <row r="1457" spans="1:8" customFormat="1" x14ac:dyDescent="0.25">
      <c r="A1457" t="str">
        <f>"062478"</f>
        <v>062478</v>
      </c>
      <c r="B1457" t="s">
        <v>1886</v>
      </c>
      <c r="C1457" t="s">
        <v>1887</v>
      </c>
      <c r="D1457" s="21" t="s">
        <v>34</v>
      </c>
      <c r="E1457" s="21" t="s">
        <v>1089</v>
      </c>
      <c r="F1457">
        <v>13060064</v>
      </c>
      <c r="G1457" t="s">
        <v>976</v>
      </c>
      <c r="H1457" s="21">
        <v>1504.17</v>
      </c>
    </row>
    <row r="1458" spans="1:8" customFormat="1" x14ac:dyDescent="0.25">
      <c r="A1458" t="str">
        <f>"612408"</f>
        <v>612408</v>
      </c>
      <c r="B1458" t="s">
        <v>1027</v>
      </c>
      <c r="C1458" t="s">
        <v>1708</v>
      </c>
      <c r="D1458" s="21" t="s">
        <v>34</v>
      </c>
      <c r="E1458" s="21" t="s">
        <v>35</v>
      </c>
      <c r="F1458">
        <v>3220140</v>
      </c>
      <c r="G1458" t="s">
        <v>26656</v>
      </c>
      <c r="H1458" s="21">
        <v>1504</v>
      </c>
    </row>
    <row r="1459" spans="1:8" customFormat="1" x14ac:dyDescent="0.25">
      <c r="A1459" t="str">
        <f>"601273"</f>
        <v>601273</v>
      </c>
      <c r="B1459" t="s">
        <v>2812</v>
      </c>
      <c r="C1459" t="s">
        <v>198</v>
      </c>
      <c r="D1459" s="21" t="s">
        <v>34</v>
      </c>
      <c r="E1459" s="21" t="s">
        <v>35</v>
      </c>
      <c r="F1459">
        <v>7600070</v>
      </c>
      <c r="G1459" t="s">
        <v>542</v>
      </c>
      <c r="H1459" s="21">
        <v>1503.67</v>
      </c>
    </row>
    <row r="1460" spans="1:8" customFormat="1" x14ac:dyDescent="0.25">
      <c r="A1460" t="str">
        <f>"4921790"</f>
        <v>4921790</v>
      </c>
      <c r="B1460" t="s">
        <v>2629</v>
      </c>
      <c r="C1460" t="s">
        <v>82</v>
      </c>
      <c r="D1460" s="21" t="s">
        <v>34</v>
      </c>
      <c r="E1460" s="21" t="s">
        <v>35</v>
      </c>
      <c r="F1460">
        <v>12530022</v>
      </c>
      <c r="G1460" t="s">
        <v>914</v>
      </c>
      <c r="H1460" s="21">
        <v>1503.67</v>
      </c>
    </row>
    <row r="1461" spans="1:8" customFormat="1" x14ac:dyDescent="0.25">
      <c r="A1461" t="str">
        <f>"4420997"</f>
        <v>4420997</v>
      </c>
      <c r="B1461" t="s">
        <v>8114</v>
      </c>
      <c r="C1461" t="s">
        <v>285</v>
      </c>
      <c r="D1461" s="21" t="s">
        <v>34</v>
      </c>
      <c r="E1461" s="21" t="s">
        <v>35</v>
      </c>
      <c r="F1461">
        <v>12440004</v>
      </c>
      <c r="G1461" t="s">
        <v>26530</v>
      </c>
      <c r="H1461" s="21">
        <v>1503.67</v>
      </c>
    </row>
    <row r="1462" spans="1:8" customFormat="1" x14ac:dyDescent="0.25">
      <c r="A1462" t="str">
        <f>"594395"</f>
        <v>594395</v>
      </c>
      <c r="B1462" t="s">
        <v>26657</v>
      </c>
      <c r="C1462" t="s">
        <v>428</v>
      </c>
      <c r="D1462" s="21" t="s">
        <v>34</v>
      </c>
      <c r="E1462" s="21" t="s">
        <v>35</v>
      </c>
      <c r="F1462">
        <v>7590002</v>
      </c>
      <c r="G1462" t="s">
        <v>7135</v>
      </c>
      <c r="H1462" s="21">
        <v>1503.67</v>
      </c>
    </row>
    <row r="1463" spans="1:8" customFormat="1" x14ac:dyDescent="0.25">
      <c r="A1463" t="str">
        <f>"7911796"</f>
        <v>7911796</v>
      </c>
      <c r="B1463" t="s">
        <v>2091</v>
      </c>
      <c r="C1463" t="s">
        <v>812</v>
      </c>
      <c r="D1463" s="21" t="s">
        <v>34</v>
      </c>
      <c r="E1463" s="21" t="s">
        <v>35</v>
      </c>
      <c r="F1463">
        <v>10790042</v>
      </c>
      <c r="G1463" t="s">
        <v>2092</v>
      </c>
      <c r="H1463" s="21">
        <v>1503.67</v>
      </c>
    </row>
    <row r="1464" spans="1:8" customFormat="1" x14ac:dyDescent="0.25">
      <c r="A1464" t="str">
        <f>"2911621"</f>
        <v>2911621</v>
      </c>
      <c r="B1464" t="s">
        <v>2062</v>
      </c>
      <c r="C1464" t="s">
        <v>98</v>
      </c>
      <c r="D1464" s="21" t="s">
        <v>34</v>
      </c>
      <c r="E1464" s="21" t="s">
        <v>35</v>
      </c>
      <c r="F1464">
        <v>3290010</v>
      </c>
      <c r="G1464" t="s">
        <v>1453</v>
      </c>
      <c r="H1464" s="21">
        <v>1503.67</v>
      </c>
    </row>
    <row r="1465" spans="1:8" customFormat="1" x14ac:dyDescent="0.25">
      <c r="A1465" t="str">
        <f>"133072"</f>
        <v>133072</v>
      </c>
      <c r="B1465" t="s">
        <v>1263</v>
      </c>
      <c r="C1465" t="s">
        <v>55</v>
      </c>
      <c r="D1465" s="21" t="s">
        <v>34</v>
      </c>
      <c r="E1465" s="21" t="s">
        <v>35</v>
      </c>
      <c r="F1465">
        <v>13130159</v>
      </c>
      <c r="G1465" t="s">
        <v>199</v>
      </c>
      <c r="H1465" s="21">
        <v>1502.67</v>
      </c>
    </row>
    <row r="1466" spans="1:8" customFormat="1" x14ac:dyDescent="0.25">
      <c r="A1466" t="str">
        <f>"08995"</f>
        <v>08995</v>
      </c>
      <c r="B1466" t="s">
        <v>2400</v>
      </c>
      <c r="C1466" t="s">
        <v>171</v>
      </c>
      <c r="D1466" s="21" t="s">
        <v>34</v>
      </c>
      <c r="E1466" s="21" t="s">
        <v>35</v>
      </c>
      <c r="F1466">
        <v>6080082</v>
      </c>
      <c r="G1466" t="s">
        <v>2401</v>
      </c>
      <c r="H1466" s="21">
        <v>1502.67</v>
      </c>
    </row>
    <row r="1467" spans="1:8" customFormat="1" x14ac:dyDescent="0.25">
      <c r="A1467" t="str">
        <f>"7833913"</f>
        <v>7833913</v>
      </c>
      <c r="B1467" t="s">
        <v>2412</v>
      </c>
      <c r="C1467" t="s">
        <v>82</v>
      </c>
      <c r="D1467" s="21" t="s">
        <v>34</v>
      </c>
      <c r="E1467" s="21" t="s">
        <v>71</v>
      </c>
      <c r="F1467">
        <v>8780440</v>
      </c>
      <c r="G1467" t="s">
        <v>6629</v>
      </c>
      <c r="H1467" s="21">
        <v>1502.67</v>
      </c>
    </row>
    <row r="1468" spans="1:8" customFormat="1" x14ac:dyDescent="0.25">
      <c r="A1468" t="str">
        <f>"857778"</f>
        <v>857778</v>
      </c>
      <c r="B1468" t="s">
        <v>1087</v>
      </c>
      <c r="C1468" t="s">
        <v>486</v>
      </c>
      <c r="D1468" s="21" t="s">
        <v>34</v>
      </c>
      <c r="E1468" s="21" t="s">
        <v>35</v>
      </c>
      <c r="F1468">
        <v>12850020</v>
      </c>
      <c r="G1468" t="s">
        <v>725</v>
      </c>
      <c r="H1468" s="21">
        <v>1502.67</v>
      </c>
    </row>
    <row r="1469" spans="1:8" customFormat="1" x14ac:dyDescent="0.25">
      <c r="A1469" t="str">
        <f>"591408"</f>
        <v>591408</v>
      </c>
      <c r="B1469" t="s">
        <v>1596</v>
      </c>
      <c r="C1469" t="s">
        <v>1597</v>
      </c>
      <c r="D1469" s="21" t="s">
        <v>34</v>
      </c>
      <c r="E1469" s="21" t="s">
        <v>35</v>
      </c>
      <c r="F1469">
        <v>7590065</v>
      </c>
      <c r="G1469" t="s">
        <v>1598</v>
      </c>
      <c r="H1469" s="21">
        <v>1502.17</v>
      </c>
    </row>
    <row r="1470" spans="1:8" customFormat="1" x14ac:dyDescent="0.25">
      <c r="A1470" t="str">
        <f>"9422993"</f>
        <v>9422993</v>
      </c>
      <c r="B1470" t="s">
        <v>1856</v>
      </c>
      <c r="C1470" t="s">
        <v>130</v>
      </c>
      <c r="D1470" s="21" t="s">
        <v>34</v>
      </c>
      <c r="E1470" s="21" t="s">
        <v>35</v>
      </c>
      <c r="F1470">
        <v>2890019</v>
      </c>
      <c r="G1470" t="s">
        <v>1857</v>
      </c>
      <c r="H1470" s="21">
        <v>1502.17</v>
      </c>
    </row>
    <row r="1471" spans="1:8" customFormat="1" x14ac:dyDescent="0.25">
      <c r="A1471" t="str">
        <f>"7512615"</f>
        <v>7512615</v>
      </c>
      <c r="B1471" t="s">
        <v>2413</v>
      </c>
      <c r="C1471" t="s">
        <v>2414</v>
      </c>
      <c r="D1471" s="21" t="s">
        <v>34</v>
      </c>
      <c r="E1471" s="21" t="s">
        <v>35</v>
      </c>
      <c r="F1471">
        <v>8751271</v>
      </c>
      <c r="G1471" t="s">
        <v>1067</v>
      </c>
      <c r="H1471" s="21">
        <v>1502.05</v>
      </c>
    </row>
    <row r="1472" spans="1:8" customFormat="1" x14ac:dyDescent="0.25">
      <c r="A1472" t="str">
        <f>"63184"</f>
        <v>63184</v>
      </c>
      <c r="B1472" t="s">
        <v>1794</v>
      </c>
      <c r="C1472" t="s">
        <v>320</v>
      </c>
      <c r="D1472" s="21" t="s">
        <v>34</v>
      </c>
      <c r="E1472" s="21" t="s">
        <v>35</v>
      </c>
      <c r="F1472">
        <v>1630281</v>
      </c>
      <c r="G1472" t="s">
        <v>1190</v>
      </c>
      <c r="H1472" s="21">
        <v>1501.67</v>
      </c>
    </row>
    <row r="1473" spans="1:8" customFormat="1" x14ac:dyDescent="0.25">
      <c r="A1473" t="str">
        <f>"447815"</f>
        <v>447815</v>
      </c>
      <c r="B1473" t="s">
        <v>1576</v>
      </c>
      <c r="C1473" t="s">
        <v>55</v>
      </c>
      <c r="D1473" s="21" t="s">
        <v>34</v>
      </c>
      <c r="E1473" s="21" t="s">
        <v>35</v>
      </c>
      <c r="F1473">
        <v>12440138</v>
      </c>
      <c r="G1473" t="s">
        <v>562</v>
      </c>
      <c r="H1473" s="21">
        <v>1501.67</v>
      </c>
    </row>
    <row r="1474" spans="1:8" customFormat="1" x14ac:dyDescent="0.25">
      <c r="A1474" t="str">
        <f>"505435"</f>
        <v>505435</v>
      </c>
      <c r="B1474" t="s">
        <v>1756</v>
      </c>
      <c r="C1474" t="s">
        <v>267</v>
      </c>
      <c r="D1474" s="21" t="s">
        <v>34</v>
      </c>
      <c r="E1474" s="21" t="s">
        <v>254</v>
      </c>
      <c r="F1474">
        <v>9500131</v>
      </c>
      <c r="G1474" t="s">
        <v>1073</v>
      </c>
      <c r="H1474" s="21">
        <v>1501.43</v>
      </c>
    </row>
    <row r="1475" spans="1:8" customFormat="1" x14ac:dyDescent="0.25">
      <c r="A1475" t="str">
        <f>"6910633"</f>
        <v>6910633</v>
      </c>
      <c r="B1475" t="s">
        <v>2271</v>
      </c>
      <c r="C1475" t="s">
        <v>65</v>
      </c>
      <c r="D1475" s="21" t="s">
        <v>34</v>
      </c>
      <c r="E1475" s="21" t="s">
        <v>35</v>
      </c>
      <c r="F1475">
        <v>13130152</v>
      </c>
      <c r="G1475" t="s">
        <v>906</v>
      </c>
      <c r="H1475" s="21">
        <v>1501.3</v>
      </c>
    </row>
    <row r="1476" spans="1:8" customFormat="1" x14ac:dyDescent="0.25">
      <c r="A1476" t="str">
        <f>"498938"</f>
        <v>498938</v>
      </c>
      <c r="B1476" t="s">
        <v>2261</v>
      </c>
      <c r="C1476" t="s">
        <v>151</v>
      </c>
      <c r="D1476" s="21" t="s">
        <v>34</v>
      </c>
      <c r="E1476" s="21" t="s">
        <v>254</v>
      </c>
      <c r="F1476">
        <v>4370132</v>
      </c>
      <c r="G1476" t="s">
        <v>2262</v>
      </c>
      <c r="H1476" s="21">
        <v>1501.17</v>
      </c>
    </row>
    <row r="1477" spans="1:8" customFormat="1" x14ac:dyDescent="0.25">
      <c r="A1477" t="str">
        <f>"331327"</f>
        <v>331327</v>
      </c>
      <c r="B1477" t="s">
        <v>2186</v>
      </c>
      <c r="C1477" t="s">
        <v>415</v>
      </c>
      <c r="D1477" s="21" t="s">
        <v>34</v>
      </c>
      <c r="E1477" s="21" t="s">
        <v>71</v>
      </c>
      <c r="F1477">
        <v>10330038</v>
      </c>
      <c r="G1477" t="s">
        <v>4280</v>
      </c>
      <c r="H1477" s="21">
        <v>1501</v>
      </c>
    </row>
    <row r="1478" spans="1:8" customFormat="1" x14ac:dyDescent="0.25">
      <c r="A1478" t="str">
        <f>"256596"</f>
        <v>256596</v>
      </c>
      <c r="B1478" t="s">
        <v>1972</v>
      </c>
      <c r="C1478" t="s">
        <v>40</v>
      </c>
      <c r="D1478" s="21" t="s">
        <v>34</v>
      </c>
      <c r="E1478" s="21" t="s">
        <v>71</v>
      </c>
      <c r="F1478">
        <v>2250154</v>
      </c>
      <c r="G1478" t="s">
        <v>1973</v>
      </c>
      <c r="H1478" s="21">
        <v>1500.67</v>
      </c>
    </row>
    <row r="1479" spans="1:8" customFormat="1" x14ac:dyDescent="0.25">
      <c r="A1479" t="str">
        <f>"3336205"</f>
        <v>3336205</v>
      </c>
      <c r="B1479" t="s">
        <v>26658</v>
      </c>
      <c r="C1479" t="s">
        <v>62</v>
      </c>
      <c r="D1479" s="21" t="s">
        <v>34</v>
      </c>
      <c r="E1479" s="21" t="s">
        <v>35</v>
      </c>
      <c r="F1479">
        <v>10330117</v>
      </c>
      <c r="G1479" t="s">
        <v>1942</v>
      </c>
      <c r="H1479" s="21">
        <v>1500.67</v>
      </c>
    </row>
    <row r="1480" spans="1:8" customFormat="1" x14ac:dyDescent="0.25">
      <c r="A1480" t="str">
        <f>"95949"</f>
        <v>95949</v>
      </c>
      <c r="B1480" t="s">
        <v>26659</v>
      </c>
      <c r="C1480" t="s">
        <v>253</v>
      </c>
      <c r="D1480" s="21" t="s">
        <v>34</v>
      </c>
      <c r="E1480" s="21" t="s">
        <v>254</v>
      </c>
      <c r="F1480">
        <v>8950435</v>
      </c>
      <c r="G1480" t="s">
        <v>6404</v>
      </c>
      <c r="H1480" s="21">
        <v>1500.67</v>
      </c>
    </row>
    <row r="1481" spans="1:8" customFormat="1" x14ac:dyDescent="0.25">
      <c r="A1481" t="str">
        <f>"9D2423"</f>
        <v>9D2423</v>
      </c>
      <c r="B1481" t="s">
        <v>26660</v>
      </c>
      <c r="C1481" t="s">
        <v>139</v>
      </c>
      <c r="D1481" s="21" t="s">
        <v>34</v>
      </c>
      <c r="E1481" s="21" t="s">
        <v>35</v>
      </c>
      <c r="F1481" t="s">
        <v>3911</v>
      </c>
      <c r="G1481" t="s">
        <v>3912</v>
      </c>
      <c r="H1481" s="21">
        <v>1499.67</v>
      </c>
    </row>
    <row r="1482" spans="1:8" customFormat="1" x14ac:dyDescent="0.25">
      <c r="A1482" t="str">
        <f>"7510770"</f>
        <v>7510770</v>
      </c>
      <c r="B1482" t="s">
        <v>2152</v>
      </c>
      <c r="C1482" t="s">
        <v>209</v>
      </c>
      <c r="D1482" s="21" t="s">
        <v>34</v>
      </c>
      <c r="E1482" s="21" t="s">
        <v>254</v>
      </c>
      <c r="F1482">
        <v>8780571</v>
      </c>
      <c r="G1482" t="s">
        <v>2336</v>
      </c>
      <c r="H1482" s="21">
        <v>1499.67</v>
      </c>
    </row>
    <row r="1483" spans="1:8" customFormat="1" x14ac:dyDescent="0.25">
      <c r="A1483" t="str">
        <f>"9D1871"</f>
        <v>9D1871</v>
      </c>
      <c r="B1483" t="s">
        <v>26661</v>
      </c>
      <c r="C1483" t="s">
        <v>486</v>
      </c>
      <c r="D1483" s="21" t="s">
        <v>34</v>
      </c>
      <c r="E1483" s="21" t="s">
        <v>71</v>
      </c>
      <c r="F1483" t="s">
        <v>26662</v>
      </c>
      <c r="G1483" t="s">
        <v>26663</v>
      </c>
      <c r="H1483" s="21">
        <v>1499.67</v>
      </c>
    </row>
    <row r="1484" spans="1:8" customFormat="1" x14ac:dyDescent="0.25">
      <c r="A1484" t="str">
        <f>"957867"</f>
        <v>957867</v>
      </c>
      <c r="B1484" t="s">
        <v>1751</v>
      </c>
      <c r="C1484" t="s">
        <v>926</v>
      </c>
      <c r="D1484" s="21" t="s">
        <v>34</v>
      </c>
      <c r="E1484" s="21" t="s">
        <v>71</v>
      </c>
      <c r="F1484">
        <v>3220033</v>
      </c>
      <c r="G1484" t="s">
        <v>657</v>
      </c>
      <c r="H1484" s="21">
        <v>1499.67</v>
      </c>
    </row>
    <row r="1485" spans="1:8" customFormat="1" x14ac:dyDescent="0.25">
      <c r="A1485" t="str">
        <f>"02190"</f>
        <v>02190</v>
      </c>
      <c r="B1485" t="s">
        <v>3361</v>
      </c>
      <c r="C1485" t="s">
        <v>269</v>
      </c>
      <c r="D1485" s="21" t="s">
        <v>34</v>
      </c>
      <c r="E1485" s="21" t="s">
        <v>35</v>
      </c>
      <c r="F1485">
        <v>7020009</v>
      </c>
      <c r="G1485" t="s">
        <v>3362</v>
      </c>
      <c r="H1485" s="21">
        <v>1499.56</v>
      </c>
    </row>
    <row r="1486" spans="1:8" customFormat="1" x14ac:dyDescent="0.25">
      <c r="A1486" t="str">
        <f>"3316083"</f>
        <v>3316083</v>
      </c>
      <c r="B1486" t="s">
        <v>2588</v>
      </c>
      <c r="C1486" t="s">
        <v>547</v>
      </c>
      <c r="D1486" s="21" t="s">
        <v>34</v>
      </c>
      <c r="E1486" s="21" t="s">
        <v>35</v>
      </c>
      <c r="F1486" t="s">
        <v>590</v>
      </c>
      <c r="G1486" t="s">
        <v>591</v>
      </c>
      <c r="H1486" s="21">
        <v>1499.42</v>
      </c>
    </row>
    <row r="1487" spans="1:8" customFormat="1" x14ac:dyDescent="0.25">
      <c r="A1487" t="str">
        <f>"763241"</f>
        <v>763241</v>
      </c>
      <c r="B1487" t="s">
        <v>509</v>
      </c>
      <c r="C1487" t="s">
        <v>5578</v>
      </c>
      <c r="D1487" s="21" t="s">
        <v>34</v>
      </c>
      <c r="E1487" s="21" t="s">
        <v>35</v>
      </c>
      <c r="F1487">
        <v>9760004</v>
      </c>
      <c r="G1487" t="s">
        <v>56</v>
      </c>
      <c r="H1487" s="21">
        <v>1499.17</v>
      </c>
    </row>
    <row r="1488" spans="1:8" customFormat="1" x14ac:dyDescent="0.25">
      <c r="A1488" t="str">
        <f>"6710933"</f>
        <v>6710933</v>
      </c>
      <c r="B1488" t="s">
        <v>2106</v>
      </c>
      <c r="C1488" t="s">
        <v>33</v>
      </c>
      <c r="D1488" s="21" t="s">
        <v>34</v>
      </c>
      <c r="E1488" s="21" t="s">
        <v>35</v>
      </c>
      <c r="F1488">
        <v>8920309</v>
      </c>
      <c r="G1488" t="s">
        <v>1894</v>
      </c>
      <c r="H1488" s="21">
        <v>1499.17</v>
      </c>
    </row>
    <row r="1489" spans="1:8" customFormat="1" x14ac:dyDescent="0.25">
      <c r="A1489" t="str">
        <f>"9227449"</f>
        <v>9227449</v>
      </c>
      <c r="B1489" t="s">
        <v>1986</v>
      </c>
      <c r="C1489" t="s">
        <v>598</v>
      </c>
      <c r="D1489" s="21" t="s">
        <v>34</v>
      </c>
      <c r="E1489" s="21" t="s">
        <v>71</v>
      </c>
      <c r="F1489">
        <v>8921190</v>
      </c>
      <c r="G1489" t="s">
        <v>810</v>
      </c>
      <c r="H1489" s="21">
        <v>1499.17</v>
      </c>
    </row>
    <row r="1490" spans="1:8" customFormat="1" x14ac:dyDescent="0.25">
      <c r="A1490" t="str">
        <f>"456579"</f>
        <v>456579</v>
      </c>
      <c r="B1490" t="s">
        <v>2879</v>
      </c>
      <c r="C1490" t="s">
        <v>328</v>
      </c>
      <c r="D1490" s="21" t="s">
        <v>34</v>
      </c>
      <c r="E1490" s="21" t="s">
        <v>35</v>
      </c>
      <c r="F1490">
        <v>4450663</v>
      </c>
      <c r="G1490" t="s">
        <v>2527</v>
      </c>
      <c r="H1490" s="21">
        <v>1498.92</v>
      </c>
    </row>
    <row r="1491" spans="1:8" customFormat="1" x14ac:dyDescent="0.25">
      <c r="A1491" t="str">
        <f>"836463"</f>
        <v>836463</v>
      </c>
      <c r="B1491" t="s">
        <v>1341</v>
      </c>
      <c r="C1491" t="s">
        <v>40</v>
      </c>
      <c r="D1491" s="21" t="s">
        <v>34</v>
      </c>
      <c r="E1491" s="21" t="s">
        <v>71</v>
      </c>
      <c r="F1491">
        <v>11340008</v>
      </c>
      <c r="G1491" t="s">
        <v>312</v>
      </c>
      <c r="H1491" s="21">
        <v>1498.67</v>
      </c>
    </row>
    <row r="1492" spans="1:8" customFormat="1" x14ac:dyDescent="0.25">
      <c r="A1492" t="str">
        <f>"185493"</f>
        <v>185493</v>
      </c>
      <c r="B1492" t="s">
        <v>26664</v>
      </c>
      <c r="C1492" t="s">
        <v>109</v>
      </c>
      <c r="D1492" s="21" t="s">
        <v>34</v>
      </c>
      <c r="E1492" s="21" t="s">
        <v>35</v>
      </c>
      <c r="F1492">
        <v>12440176</v>
      </c>
      <c r="G1492" t="s">
        <v>1020</v>
      </c>
      <c r="H1492" s="21">
        <v>1498.17</v>
      </c>
    </row>
    <row r="1493" spans="1:8" customFormat="1" x14ac:dyDescent="0.25">
      <c r="A1493" t="str">
        <f>"9221640"</f>
        <v>9221640</v>
      </c>
      <c r="B1493" t="s">
        <v>2726</v>
      </c>
      <c r="C1493" t="s">
        <v>428</v>
      </c>
      <c r="D1493" s="21" t="s">
        <v>34</v>
      </c>
      <c r="E1493" s="21" t="s">
        <v>35</v>
      </c>
      <c r="F1493">
        <v>3350027</v>
      </c>
      <c r="G1493" t="s">
        <v>2760</v>
      </c>
      <c r="H1493" s="21">
        <v>1498.17</v>
      </c>
    </row>
    <row r="1494" spans="1:8" customFormat="1" x14ac:dyDescent="0.25">
      <c r="A1494" t="str">
        <f>"9214085"</f>
        <v>9214085</v>
      </c>
      <c r="B1494" t="s">
        <v>2189</v>
      </c>
      <c r="C1494" t="s">
        <v>33</v>
      </c>
      <c r="D1494" s="21" t="s">
        <v>34</v>
      </c>
      <c r="E1494" s="21" t="s">
        <v>71</v>
      </c>
      <c r="F1494">
        <v>8930001</v>
      </c>
      <c r="G1494" t="s">
        <v>2264</v>
      </c>
      <c r="H1494" s="21">
        <v>1498.17</v>
      </c>
    </row>
    <row r="1495" spans="1:8" customFormat="1" x14ac:dyDescent="0.25">
      <c r="A1495" t="str">
        <f>"3711937"</f>
        <v>3711937</v>
      </c>
      <c r="B1495" t="s">
        <v>136</v>
      </c>
      <c r="C1495" t="s">
        <v>65</v>
      </c>
      <c r="D1495" s="21" t="s">
        <v>34</v>
      </c>
      <c r="E1495" s="21" t="s">
        <v>35</v>
      </c>
      <c r="F1495">
        <v>10170033</v>
      </c>
      <c r="G1495" t="s">
        <v>3756</v>
      </c>
      <c r="H1495" s="21">
        <v>1498.17</v>
      </c>
    </row>
    <row r="1496" spans="1:8" customFormat="1" x14ac:dyDescent="0.25">
      <c r="A1496" t="str">
        <f>"4926767"</f>
        <v>4926767</v>
      </c>
      <c r="B1496" t="s">
        <v>2109</v>
      </c>
      <c r="C1496" t="s">
        <v>109</v>
      </c>
      <c r="D1496" s="21" t="s">
        <v>34</v>
      </c>
      <c r="E1496" s="21" t="s">
        <v>35</v>
      </c>
      <c r="F1496">
        <v>12490132</v>
      </c>
      <c r="G1496" t="s">
        <v>1125</v>
      </c>
      <c r="H1496" s="21">
        <v>1498.17</v>
      </c>
    </row>
    <row r="1497" spans="1:8" customFormat="1" x14ac:dyDescent="0.25">
      <c r="A1497" t="str">
        <f>"6012665"</f>
        <v>6012665</v>
      </c>
      <c r="B1497" t="s">
        <v>1649</v>
      </c>
      <c r="C1497" t="s">
        <v>198</v>
      </c>
      <c r="D1497" s="21" t="s">
        <v>34</v>
      </c>
      <c r="E1497" s="21" t="s">
        <v>35</v>
      </c>
      <c r="F1497">
        <v>8951273</v>
      </c>
      <c r="G1497" t="s">
        <v>2382</v>
      </c>
      <c r="H1497" s="21">
        <v>1498.17</v>
      </c>
    </row>
    <row r="1498" spans="1:8" customFormat="1" x14ac:dyDescent="0.25">
      <c r="A1498" t="str">
        <f>"9B77"</f>
        <v>9B77</v>
      </c>
      <c r="B1498" t="s">
        <v>2349</v>
      </c>
      <c r="C1498" t="s">
        <v>750</v>
      </c>
      <c r="D1498" s="21" t="s">
        <v>34</v>
      </c>
      <c r="E1498" s="21" t="s">
        <v>71</v>
      </c>
      <c r="F1498" t="s">
        <v>1403</v>
      </c>
      <c r="G1498" t="s">
        <v>1404</v>
      </c>
      <c r="H1498" s="21">
        <v>1497.68</v>
      </c>
    </row>
    <row r="1499" spans="1:8" customFormat="1" x14ac:dyDescent="0.25">
      <c r="A1499" t="str">
        <f>"3320073"</f>
        <v>3320073</v>
      </c>
      <c r="B1499" t="s">
        <v>2163</v>
      </c>
      <c r="C1499" t="s">
        <v>302</v>
      </c>
      <c r="D1499" s="21" t="s">
        <v>34</v>
      </c>
      <c r="E1499" s="21" t="s">
        <v>35</v>
      </c>
      <c r="F1499">
        <v>10330117</v>
      </c>
      <c r="G1499" t="s">
        <v>1942</v>
      </c>
      <c r="H1499" s="21">
        <v>1497.67</v>
      </c>
    </row>
    <row r="1500" spans="1:8" customFormat="1" x14ac:dyDescent="0.25">
      <c r="A1500" t="str">
        <f>"634771"</f>
        <v>634771</v>
      </c>
      <c r="B1500" t="s">
        <v>10702</v>
      </c>
      <c r="C1500" t="s">
        <v>33</v>
      </c>
      <c r="D1500" s="21" t="s">
        <v>34</v>
      </c>
      <c r="E1500" s="21" t="s">
        <v>35</v>
      </c>
      <c r="F1500">
        <v>1630329</v>
      </c>
      <c r="G1500" t="s">
        <v>13763</v>
      </c>
      <c r="H1500" s="21">
        <v>1497.67</v>
      </c>
    </row>
    <row r="1501" spans="1:8" customFormat="1" x14ac:dyDescent="0.25">
      <c r="A1501" t="str">
        <f>"836615"</f>
        <v>836615</v>
      </c>
      <c r="B1501" t="s">
        <v>2046</v>
      </c>
      <c r="C1501" t="s">
        <v>275</v>
      </c>
      <c r="D1501" s="21" t="s">
        <v>34</v>
      </c>
      <c r="E1501" s="21" t="s">
        <v>35</v>
      </c>
      <c r="F1501">
        <v>4410466</v>
      </c>
      <c r="G1501" t="s">
        <v>678</v>
      </c>
      <c r="H1501" s="21">
        <v>1497.67</v>
      </c>
    </row>
    <row r="1502" spans="1:8" customFormat="1" x14ac:dyDescent="0.25">
      <c r="A1502" t="str">
        <f>"14118"</f>
        <v>14118</v>
      </c>
      <c r="B1502" t="s">
        <v>2493</v>
      </c>
      <c r="C1502" t="s">
        <v>121</v>
      </c>
      <c r="D1502" s="21" t="s">
        <v>34</v>
      </c>
      <c r="E1502" s="21" t="s">
        <v>71</v>
      </c>
      <c r="F1502">
        <v>9140055</v>
      </c>
      <c r="G1502" t="s">
        <v>344</v>
      </c>
      <c r="H1502" s="21">
        <v>1497.67</v>
      </c>
    </row>
    <row r="1503" spans="1:8" customFormat="1" x14ac:dyDescent="0.25">
      <c r="A1503" t="str">
        <f>"684619"</f>
        <v>684619</v>
      </c>
      <c r="B1503" t="s">
        <v>12349</v>
      </c>
      <c r="C1503" t="s">
        <v>139</v>
      </c>
      <c r="D1503" s="21" t="s">
        <v>34</v>
      </c>
      <c r="E1503" s="21" t="s">
        <v>35</v>
      </c>
      <c r="F1503">
        <v>6680105</v>
      </c>
      <c r="G1503" t="s">
        <v>403</v>
      </c>
      <c r="H1503" s="21">
        <v>1497.67</v>
      </c>
    </row>
    <row r="1504" spans="1:8" customFormat="1" x14ac:dyDescent="0.25">
      <c r="A1504" t="str">
        <f>"242175"</f>
        <v>242175</v>
      </c>
      <c r="B1504" t="s">
        <v>2049</v>
      </c>
      <c r="C1504" t="s">
        <v>124</v>
      </c>
      <c r="D1504" s="21" t="s">
        <v>34</v>
      </c>
      <c r="E1504" s="21" t="s">
        <v>71</v>
      </c>
      <c r="F1504">
        <v>10240020</v>
      </c>
      <c r="G1504" t="s">
        <v>870</v>
      </c>
      <c r="H1504" s="21">
        <v>1497.17</v>
      </c>
    </row>
    <row r="1505" spans="1:8" customFormat="1" x14ac:dyDescent="0.25">
      <c r="A1505" t="str">
        <f>"756370"</f>
        <v>756370</v>
      </c>
      <c r="B1505" t="s">
        <v>2753</v>
      </c>
      <c r="C1505" t="s">
        <v>288</v>
      </c>
      <c r="D1505" s="21" t="s">
        <v>34</v>
      </c>
      <c r="E1505" s="21" t="s">
        <v>35</v>
      </c>
      <c r="F1505">
        <v>10330017</v>
      </c>
      <c r="G1505" t="s">
        <v>2754</v>
      </c>
      <c r="H1505" s="21">
        <v>1496.67</v>
      </c>
    </row>
    <row r="1506" spans="1:8" customFormat="1" x14ac:dyDescent="0.25">
      <c r="A1506" t="str">
        <f>"5941956"</f>
        <v>5941956</v>
      </c>
      <c r="B1506" t="s">
        <v>2257</v>
      </c>
      <c r="C1506" t="s">
        <v>187</v>
      </c>
      <c r="D1506" s="21" t="s">
        <v>34</v>
      </c>
      <c r="E1506" s="21" t="s">
        <v>35</v>
      </c>
      <c r="F1506">
        <v>7590028</v>
      </c>
      <c r="G1506" t="s">
        <v>251</v>
      </c>
      <c r="H1506" s="21">
        <v>1496.67</v>
      </c>
    </row>
    <row r="1507" spans="1:8" customFormat="1" x14ac:dyDescent="0.25">
      <c r="A1507" t="str">
        <f>"938690"</f>
        <v>938690</v>
      </c>
      <c r="B1507" t="s">
        <v>1344</v>
      </c>
      <c r="C1507" t="s">
        <v>249</v>
      </c>
      <c r="D1507" s="21" t="s">
        <v>34</v>
      </c>
      <c r="E1507" s="21" t="s">
        <v>71</v>
      </c>
      <c r="F1507">
        <v>13060029</v>
      </c>
      <c r="G1507" t="s">
        <v>1345</v>
      </c>
      <c r="H1507" s="21">
        <v>1496.67</v>
      </c>
    </row>
    <row r="1508" spans="1:8" customFormat="1" x14ac:dyDescent="0.25">
      <c r="A1508" t="str">
        <f>"4215935"</f>
        <v>4215935</v>
      </c>
      <c r="B1508" t="s">
        <v>2169</v>
      </c>
      <c r="C1508" t="s">
        <v>171</v>
      </c>
      <c r="D1508" s="21" t="s">
        <v>34</v>
      </c>
      <c r="E1508" s="21" t="s">
        <v>35</v>
      </c>
      <c r="F1508">
        <v>1420160</v>
      </c>
      <c r="G1508" t="s">
        <v>5488</v>
      </c>
      <c r="H1508" s="21">
        <v>1496.17</v>
      </c>
    </row>
    <row r="1509" spans="1:8" customFormat="1" x14ac:dyDescent="0.25">
      <c r="A1509" t="str">
        <f>"09443"</f>
        <v>09443</v>
      </c>
      <c r="B1509" t="s">
        <v>987</v>
      </c>
      <c r="C1509" t="s">
        <v>130</v>
      </c>
      <c r="D1509" s="21" t="s">
        <v>34</v>
      </c>
      <c r="E1509" s="21" t="s">
        <v>35</v>
      </c>
      <c r="F1509">
        <v>9760266</v>
      </c>
      <c r="G1509" t="s">
        <v>1891</v>
      </c>
      <c r="H1509" s="21">
        <v>1496.17</v>
      </c>
    </row>
    <row r="1510" spans="1:8" customFormat="1" x14ac:dyDescent="0.25">
      <c r="A1510" t="str">
        <f>"5915252"</f>
        <v>5915252</v>
      </c>
      <c r="B1510" t="s">
        <v>26259</v>
      </c>
      <c r="C1510" t="s">
        <v>631</v>
      </c>
      <c r="D1510" s="21" t="s">
        <v>34</v>
      </c>
      <c r="E1510" s="21" t="s">
        <v>35</v>
      </c>
      <c r="F1510">
        <v>7590057</v>
      </c>
      <c r="G1510" t="s">
        <v>7575</v>
      </c>
      <c r="H1510" s="21">
        <v>1496.17</v>
      </c>
    </row>
    <row r="1511" spans="1:8" customFormat="1" x14ac:dyDescent="0.25">
      <c r="A1511" t="str">
        <f>"3712560"</f>
        <v>3712560</v>
      </c>
      <c r="B1511" t="s">
        <v>1960</v>
      </c>
      <c r="C1511" t="s">
        <v>33</v>
      </c>
      <c r="D1511" s="21" t="s">
        <v>34</v>
      </c>
      <c r="E1511" s="21" t="s">
        <v>35</v>
      </c>
      <c r="F1511">
        <v>8920031</v>
      </c>
      <c r="G1511" t="s">
        <v>552</v>
      </c>
      <c r="H1511" s="21">
        <v>1496.17</v>
      </c>
    </row>
    <row r="1512" spans="1:8" customFormat="1" x14ac:dyDescent="0.25">
      <c r="A1512" t="str">
        <f>"449586"</f>
        <v>449586</v>
      </c>
      <c r="B1512" t="s">
        <v>2553</v>
      </c>
      <c r="C1512" t="s">
        <v>2554</v>
      </c>
      <c r="D1512" s="21" t="s">
        <v>34</v>
      </c>
      <c r="E1512" s="21" t="s">
        <v>35</v>
      </c>
      <c r="F1512">
        <v>12850057</v>
      </c>
      <c r="G1512" t="s">
        <v>1291</v>
      </c>
      <c r="H1512" s="21">
        <v>1496.17</v>
      </c>
    </row>
    <row r="1513" spans="1:8" customFormat="1" x14ac:dyDescent="0.25">
      <c r="A1513" t="str">
        <f>"625991"</f>
        <v>625991</v>
      </c>
      <c r="B1513" t="s">
        <v>2131</v>
      </c>
      <c r="C1513" t="s">
        <v>2132</v>
      </c>
      <c r="D1513" s="21" t="s">
        <v>34</v>
      </c>
      <c r="E1513" s="21" t="s">
        <v>35</v>
      </c>
      <c r="F1513">
        <v>7620007</v>
      </c>
      <c r="G1513" t="s">
        <v>2133</v>
      </c>
      <c r="H1513" s="21">
        <v>1496.17</v>
      </c>
    </row>
    <row r="1514" spans="1:8" customFormat="1" x14ac:dyDescent="0.25">
      <c r="A1514" t="str">
        <f>"418930"</f>
        <v>418930</v>
      </c>
      <c r="B1514" t="s">
        <v>1604</v>
      </c>
      <c r="C1514" t="s">
        <v>1325</v>
      </c>
      <c r="D1514" s="21" t="s">
        <v>34</v>
      </c>
      <c r="E1514" s="21" t="s">
        <v>35</v>
      </c>
      <c r="F1514">
        <v>4410083</v>
      </c>
      <c r="G1514" t="s">
        <v>2333</v>
      </c>
      <c r="H1514" s="21">
        <v>1496.05</v>
      </c>
    </row>
    <row r="1515" spans="1:8" customFormat="1" x14ac:dyDescent="0.25">
      <c r="A1515" t="str">
        <f>"443670"</f>
        <v>443670</v>
      </c>
      <c r="B1515" t="s">
        <v>2010</v>
      </c>
      <c r="C1515" t="s">
        <v>171</v>
      </c>
      <c r="D1515" s="21" t="s">
        <v>34</v>
      </c>
      <c r="E1515" s="21" t="s">
        <v>71</v>
      </c>
      <c r="F1515">
        <v>12440138</v>
      </c>
      <c r="G1515" t="s">
        <v>562</v>
      </c>
      <c r="H1515" s="21">
        <v>1495.92</v>
      </c>
    </row>
    <row r="1516" spans="1:8" customFormat="1" x14ac:dyDescent="0.25">
      <c r="A1516" t="str">
        <f>"574275"</f>
        <v>574275</v>
      </c>
      <c r="B1516" t="s">
        <v>1752</v>
      </c>
      <c r="C1516" t="s">
        <v>784</v>
      </c>
      <c r="D1516" s="21" t="s">
        <v>34</v>
      </c>
      <c r="E1516" s="21" t="s">
        <v>35</v>
      </c>
      <c r="F1516">
        <v>6570019</v>
      </c>
      <c r="G1516" t="s">
        <v>1510</v>
      </c>
      <c r="H1516" s="21">
        <v>1495.67</v>
      </c>
    </row>
    <row r="1517" spans="1:8" customFormat="1" x14ac:dyDescent="0.25">
      <c r="A1517" t="str">
        <f>"442515"</f>
        <v>442515</v>
      </c>
      <c r="B1517" t="s">
        <v>1967</v>
      </c>
      <c r="C1517" t="s">
        <v>239</v>
      </c>
      <c r="D1517" s="21" t="s">
        <v>34</v>
      </c>
      <c r="E1517" s="21" t="s">
        <v>71</v>
      </c>
      <c r="F1517">
        <v>12440084</v>
      </c>
      <c r="G1517" t="s">
        <v>1014</v>
      </c>
      <c r="H1517" s="21">
        <v>1495.67</v>
      </c>
    </row>
    <row r="1518" spans="1:8" customFormat="1" x14ac:dyDescent="0.25">
      <c r="A1518" t="str">
        <f>"277289"</f>
        <v>277289</v>
      </c>
      <c r="B1518" t="s">
        <v>1864</v>
      </c>
      <c r="C1518" t="s">
        <v>60</v>
      </c>
      <c r="D1518" s="21" t="s">
        <v>34</v>
      </c>
      <c r="E1518" s="21" t="s">
        <v>35</v>
      </c>
      <c r="F1518">
        <v>9270162</v>
      </c>
      <c r="G1518" t="s">
        <v>1865</v>
      </c>
      <c r="H1518" s="21">
        <v>1495.67</v>
      </c>
    </row>
    <row r="1519" spans="1:8" customFormat="1" x14ac:dyDescent="0.25">
      <c r="A1519" t="str">
        <f>"915011"</f>
        <v>915011</v>
      </c>
      <c r="B1519" t="s">
        <v>2025</v>
      </c>
      <c r="C1519" t="s">
        <v>428</v>
      </c>
      <c r="D1519" s="21" t="s">
        <v>34</v>
      </c>
      <c r="E1519" s="21" t="s">
        <v>35</v>
      </c>
      <c r="F1519">
        <v>8910434</v>
      </c>
      <c r="G1519" t="s">
        <v>681</v>
      </c>
      <c r="H1519" s="21">
        <v>1495.54</v>
      </c>
    </row>
    <row r="1520" spans="1:8" customFormat="1" x14ac:dyDescent="0.25">
      <c r="A1520" t="str">
        <f>"9119232"</f>
        <v>9119232</v>
      </c>
      <c r="B1520" t="s">
        <v>1268</v>
      </c>
      <c r="C1520" t="s">
        <v>608</v>
      </c>
      <c r="D1520" s="21" t="s">
        <v>34</v>
      </c>
      <c r="E1520" s="21" t="s">
        <v>35</v>
      </c>
      <c r="F1520">
        <v>8910077</v>
      </c>
      <c r="G1520" t="s">
        <v>1380</v>
      </c>
      <c r="H1520" s="21">
        <v>1495.05</v>
      </c>
    </row>
    <row r="1521" spans="1:8" customFormat="1" x14ac:dyDescent="0.25">
      <c r="A1521" t="str">
        <f>"3410273"</f>
        <v>3410273</v>
      </c>
      <c r="B1521" t="s">
        <v>14748</v>
      </c>
      <c r="C1521" t="s">
        <v>631</v>
      </c>
      <c r="D1521" s="21" t="s">
        <v>34</v>
      </c>
      <c r="E1521" s="21" t="s">
        <v>35</v>
      </c>
      <c r="F1521">
        <v>11340076</v>
      </c>
      <c r="G1521" t="s">
        <v>26665</v>
      </c>
      <c r="H1521" s="21">
        <v>1494.67</v>
      </c>
    </row>
    <row r="1522" spans="1:8" customFormat="1" x14ac:dyDescent="0.25">
      <c r="A1522" t="str">
        <f>"5713554"</f>
        <v>5713554</v>
      </c>
      <c r="B1522" t="s">
        <v>2237</v>
      </c>
      <c r="C1522" t="s">
        <v>209</v>
      </c>
      <c r="D1522" s="21" t="s">
        <v>34</v>
      </c>
      <c r="E1522" s="21" t="s">
        <v>35</v>
      </c>
      <c r="F1522">
        <v>6540040</v>
      </c>
      <c r="G1522" t="s">
        <v>256</v>
      </c>
      <c r="H1522" s="21">
        <v>1494.67</v>
      </c>
    </row>
    <row r="1523" spans="1:8" customFormat="1" x14ac:dyDescent="0.25">
      <c r="A1523" t="str">
        <f>"784016"</f>
        <v>784016</v>
      </c>
      <c r="B1523" t="s">
        <v>2171</v>
      </c>
      <c r="C1523" t="s">
        <v>462</v>
      </c>
      <c r="D1523" s="21" t="s">
        <v>34</v>
      </c>
      <c r="E1523" s="21" t="s">
        <v>35</v>
      </c>
      <c r="F1523">
        <v>8780674</v>
      </c>
      <c r="G1523" t="s">
        <v>26585</v>
      </c>
      <c r="H1523" s="21">
        <v>1494.17</v>
      </c>
    </row>
    <row r="1524" spans="1:8" customFormat="1" x14ac:dyDescent="0.25">
      <c r="A1524" t="str">
        <f>"5935251"</f>
        <v>5935251</v>
      </c>
      <c r="B1524" t="s">
        <v>2285</v>
      </c>
      <c r="C1524" t="s">
        <v>98</v>
      </c>
      <c r="D1524" s="21" t="s">
        <v>34</v>
      </c>
      <c r="E1524" s="21" t="s">
        <v>71</v>
      </c>
      <c r="F1524">
        <v>7590105</v>
      </c>
      <c r="G1524" t="s">
        <v>887</v>
      </c>
      <c r="H1524" s="21">
        <v>1494.17</v>
      </c>
    </row>
    <row r="1525" spans="1:8" customFormat="1" x14ac:dyDescent="0.25">
      <c r="A1525" t="str">
        <f>"427708"</f>
        <v>427708</v>
      </c>
      <c r="B1525" t="s">
        <v>16640</v>
      </c>
      <c r="C1525" t="s">
        <v>55</v>
      </c>
      <c r="D1525" s="21" t="s">
        <v>34</v>
      </c>
      <c r="E1525" s="21" t="s">
        <v>35</v>
      </c>
      <c r="F1525">
        <v>1420149</v>
      </c>
      <c r="G1525" t="s">
        <v>818</v>
      </c>
      <c r="H1525" s="21">
        <v>1494.17</v>
      </c>
    </row>
    <row r="1526" spans="1:8" customFormat="1" x14ac:dyDescent="0.25">
      <c r="A1526" t="str">
        <f>"596166"</f>
        <v>596166</v>
      </c>
      <c r="B1526" t="s">
        <v>1200</v>
      </c>
      <c r="C1526" t="s">
        <v>33</v>
      </c>
      <c r="D1526" s="21" t="s">
        <v>34</v>
      </c>
      <c r="E1526" s="21" t="s">
        <v>35</v>
      </c>
      <c r="F1526">
        <v>7590080</v>
      </c>
      <c r="G1526" t="s">
        <v>1715</v>
      </c>
      <c r="H1526" s="21">
        <v>1494.17</v>
      </c>
    </row>
    <row r="1527" spans="1:8" customFormat="1" x14ac:dyDescent="0.25">
      <c r="A1527" t="str">
        <f>"145207"</f>
        <v>145207</v>
      </c>
      <c r="B1527" t="s">
        <v>2624</v>
      </c>
      <c r="C1527" t="s">
        <v>130</v>
      </c>
      <c r="D1527" s="21" t="s">
        <v>34</v>
      </c>
      <c r="E1527" s="21" t="s">
        <v>35</v>
      </c>
      <c r="F1527">
        <v>9140235</v>
      </c>
      <c r="G1527" t="s">
        <v>165</v>
      </c>
      <c r="H1527" s="21">
        <v>1494.17</v>
      </c>
    </row>
    <row r="1528" spans="1:8" customFormat="1" x14ac:dyDescent="0.25">
      <c r="A1528" t="str">
        <f>"704467"</f>
        <v>704467</v>
      </c>
      <c r="B1528" t="s">
        <v>2155</v>
      </c>
      <c r="C1528" t="s">
        <v>209</v>
      </c>
      <c r="D1528" s="21" t="s">
        <v>34</v>
      </c>
      <c r="E1528" s="21" t="s">
        <v>71</v>
      </c>
      <c r="F1528">
        <v>2700009</v>
      </c>
      <c r="G1528" t="s">
        <v>2156</v>
      </c>
      <c r="H1528" s="21">
        <v>1493.67</v>
      </c>
    </row>
    <row r="1529" spans="1:8" customFormat="1" x14ac:dyDescent="0.25">
      <c r="A1529" t="str">
        <f>"641198"</f>
        <v>641198</v>
      </c>
      <c r="B1529" t="s">
        <v>2453</v>
      </c>
      <c r="C1529" t="s">
        <v>198</v>
      </c>
      <c r="D1529" s="21" t="s">
        <v>34</v>
      </c>
      <c r="E1529" s="21" t="s">
        <v>71</v>
      </c>
      <c r="F1529">
        <v>10640017</v>
      </c>
      <c r="G1529" t="s">
        <v>2454</v>
      </c>
      <c r="H1529" s="21">
        <v>1493.17</v>
      </c>
    </row>
    <row r="1530" spans="1:8" customFormat="1" x14ac:dyDescent="0.25">
      <c r="A1530" t="str">
        <f>"725501"</f>
        <v>725501</v>
      </c>
      <c r="B1530" t="s">
        <v>1711</v>
      </c>
      <c r="C1530" t="s">
        <v>198</v>
      </c>
      <c r="D1530" s="21" t="s">
        <v>34</v>
      </c>
      <c r="E1530" s="21" t="s">
        <v>71</v>
      </c>
      <c r="F1530">
        <v>12720004</v>
      </c>
      <c r="G1530" t="s">
        <v>2328</v>
      </c>
      <c r="H1530" s="21">
        <v>1493.17</v>
      </c>
    </row>
    <row r="1531" spans="1:8" customFormat="1" x14ac:dyDescent="0.25">
      <c r="A1531" t="str">
        <f>"665053"</f>
        <v>665053</v>
      </c>
      <c r="B1531" t="s">
        <v>2878</v>
      </c>
      <c r="C1531" t="s">
        <v>139</v>
      </c>
      <c r="D1531" s="21" t="s">
        <v>34</v>
      </c>
      <c r="E1531" s="21" t="s">
        <v>71</v>
      </c>
      <c r="F1531">
        <v>11660009</v>
      </c>
      <c r="G1531" t="s">
        <v>26624</v>
      </c>
      <c r="H1531" s="21">
        <v>1493.17</v>
      </c>
    </row>
    <row r="1532" spans="1:8" customFormat="1" x14ac:dyDescent="0.25">
      <c r="A1532" t="str">
        <f>"3813842"</f>
        <v>3813842</v>
      </c>
      <c r="B1532" t="s">
        <v>1713</v>
      </c>
      <c r="C1532" t="s">
        <v>812</v>
      </c>
      <c r="D1532" s="21" t="s">
        <v>34</v>
      </c>
      <c r="E1532" s="21" t="s">
        <v>35</v>
      </c>
      <c r="F1532">
        <v>2710008</v>
      </c>
      <c r="G1532" t="s">
        <v>10040</v>
      </c>
      <c r="H1532" s="21">
        <v>1492.79</v>
      </c>
    </row>
    <row r="1533" spans="1:8" customFormat="1" x14ac:dyDescent="0.25">
      <c r="A1533" t="str">
        <f>"5310197"</f>
        <v>5310197</v>
      </c>
      <c r="B1533" t="s">
        <v>2042</v>
      </c>
      <c r="C1533" t="s">
        <v>462</v>
      </c>
      <c r="D1533" s="21" t="s">
        <v>34</v>
      </c>
      <c r="E1533" s="21" t="s">
        <v>71</v>
      </c>
      <c r="F1533">
        <v>12530117</v>
      </c>
      <c r="G1533" t="s">
        <v>1209</v>
      </c>
      <c r="H1533" s="21">
        <v>1492.67</v>
      </c>
    </row>
    <row r="1534" spans="1:8" customFormat="1" x14ac:dyDescent="0.25">
      <c r="A1534" t="str">
        <f>"353759"</f>
        <v>353759</v>
      </c>
      <c r="B1534" t="s">
        <v>2302</v>
      </c>
      <c r="C1534" t="s">
        <v>611</v>
      </c>
      <c r="D1534" s="21" t="s">
        <v>34</v>
      </c>
      <c r="E1534" s="21" t="s">
        <v>35</v>
      </c>
      <c r="F1534">
        <v>3350048</v>
      </c>
      <c r="G1534" t="s">
        <v>2303</v>
      </c>
      <c r="H1534" s="21">
        <v>1492.67</v>
      </c>
    </row>
    <row r="1535" spans="1:8" customFormat="1" x14ac:dyDescent="0.25">
      <c r="A1535" t="str">
        <f>"54442"</f>
        <v>54442</v>
      </c>
      <c r="B1535" t="s">
        <v>2402</v>
      </c>
      <c r="C1535" t="s">
        <v>249</v>
      </c>
      <c r="D1535" s="21" t="s">
        <v>34</v>
      </c>
      <c r="E1535" s="21" t="s">
        <v>71</v>
      </c>
      <c r="F1535">
        <v>6540040</v>
      </c>
      <c r="G1535" t="s">
        <v>256</v>
      </c>
      <c r="H1535" s="21">
        <v>1492.55</v>
      </c>
    </row>
    <row r="1536" spans="1:8" customFormat="1" x14ac:dyDescent="0.25">
      <c r="A1536" t="str">
        <f>"593373"</f>
        <v>593373</v>
      </c>
      <c r="B1536" t="s">
        <v>2340</v>
      </c>
      <c r="C1536" t="s">
        <v>169</v>
      </c>
      <c r="D1536" s="21" t="s">
        <v>34</v>
      </c>
      <c r="E1536" s="21" t="s">
        <v>71</v>
      </c>
      <c r="F1536">
        <v>7590336</v>
      </c>
      <c r="G1536" t="s">
        <v>2341</v>
      </c>
      <c r="H1536" s="21">
        <v>1492.42</v>
      </c>
    </row>
    <row r="1537" spans="1:8" customFormat="1" x14ac:dyDescent="0.25">
      <c r="A1537" t="str">
        <f>"8514080"</f>
        <v>8514080</v>
      </c>
      <c r="B1537" t="s">
        <v>795</v>
      </c>
      <c r="C1537" t="s">
        <v>1853</v>
      </c>
      <c r="D1537" s="21" t="s">
        <v>34</v>
      </c>
      <c r="E1537" s="21" t="s">
        <v>71</v>
      </c>
      <c r="F1537">
        <v>12850016</v>
      </c>
      <c r="G1537" t="s">
        <v>26554</v>
      </c>
      <c r="H1537" s="21">
        <v>1492.17</v>
      </c>
    </row>
    <row r="1538" spans="1:8" customFormat="1" x14ac:dyDescent="0.25">
      <c r="A1538" t="str">
        <f>"67256"</f>
        <v>67256</v>
      </c>
      <c r="B1538" t="s">
        <v>2024</v>
      </c>
      <c r="C1538" t="s">
        <v>269</v>
      </c>
      <c r="D1538" s="21" t="s">
        <v>34</v>
      </c>
      <c r="E1538" s="21" t="s">
        <v>71</v>
      </c>
      <c r="F1538">
        <v>6670010</v>
      </c>
      <c r="G1538" t="s">
        <v>721</v>
      </c>
      <c r="H1538" s="21">
        <v>1492.17</v>
      </c>
    </row>
    <row r="1539" spans="1:8" customFormat="1" x14ac:dyDescent="0.25">
      <c r="A1539" t="str">
        <f>"2910941"</f>
        <v>2910941</v>
      </c>
      <c r="B1539" t="s">
        <v>431</v>
      </c>
      <c r="C1539" t="s">
        <v>867</v>
      </c>
      <c r="D1539" s="21" t="s">
        <v>34</v>
      </c>
      <c r="E1539" s="21" t="s">
        <v>35</v>
      </c>
      <c r="F1539">
        <v>3290244</v>
      </c>
      <c r="G1539" t="s">
        <v>573</v>
      </c>
      <c r="H1539" s="21">
        <v>1492.17</v>
      </c>
    </row>
    <row r="1540" spans="1:8" customFormat="1" x14ac:dyDescent="0.25">
      <c r="A1540" t="str">
        <f>"90757"</f>
        <v>90757</v>
      </c>
      <c r="B1540" t="s">
        <v>2468</v>
      </c>
      <c r="C1540" t="s">
        <v>33</v>
      </c>
      <c r="D1540" s="21" t="s">
        <v>34</v>
      </c>
      <c r="E1540" s="21" t="s">
        <v>35</v>
      </c>
      <c r="F1540">
        <v>2900028</v>
      </c>
      <c r="G1540" t="s">
        <v>1541</v>
      </c>
      <c r="H1540" s="21">
        <v>1492.05</v>
      </c>
    </row>
    <row r="1541" spans="1:8" customFormat="1" x14ac:dyDescent="0.25">
      <c r="A1541" t="str">
        <f>"7712459"</f>
        <v>7712459</v>
      </c>
      <c r="B1541" t="s">
        <v>2594</v>
      </c>
      <c r="C1541" t="s">
        <v>269</v>
      </c>
      <c r="D1541" s="21" t="s">
        <v>34</v>
      </c>
      <c r="E1541" s="21" t="s">
        <v>71</v>
      </c>
      <c r="F1541">
        <v>8770250</v>
      </c>
      <c r="G1541" t="s">
        <v>2595</v>
      </c>
      <c r="H1541" s="21">
        <v>1491.92</v>
      </c>
    </row>
    <row r="1542" spans="1:8" customFormat="1" x14ac:dyDescent="0.25">
      <c r="A1542" t="str">
        <f>"914291"</f>
        <v>914291</v>
      </c>
      <c r="B1542" t="s">
        <v>1542</v>
      </c>
      <c r="C1542" t="s">
        <v>269</v>
      </c>
      <c r="D1542" s="21" t="s">
        <v>34</v>
      </c>
      <c r="E1542" s="21" t="s">
        <v>35</v>
      </c>
      <c r="F1542">
        <v>8921256</v>
      </c>
      <c r="G1542" t="s">
        <v>1038</v>
      </c>
      <c r="H1542" s="21">
        <v>1491.42</v>
      </c>
    </row>
    <row r="1543" spans="1:8" customFormat="1" x14ac:dyDescent="0.25">
      <c r="A1543" t="str">
        <f>"893188"</f>
        <v>893188</v>
      </c>
      <c r="B1543" t="s">
        <v>2550</v>
      </c>
      <c r="C1543" t="s">
        <v>1675</v>
      </c>
      <c r="D1543" s="21" t="s">
        <v>34</v>
      </c>
      <c r="E1543" s="21" t="s">
        <v>35</v>
      </c>
      <c r="F1543">
        <v>6670058</v>
      </c>
      <c r="G1543" t="s">
        <v>2551</v>
      </c>
      <c r="H1543" s="21">
        <v>1491.17</v>
      </c>
    </row>
    <row r="1544" spans="1:8" customFormat="1" x14ac:dyDescent="0.25">
      <c r="A1544" t="str">
        <f>"3110258"</f>
        <v>3110258</v>
      </c>
      <c r="B1544" t="s">
        <v>2187</v>
      </c>
      <c r="C1544" t="s">
        <v>486</v>
      </c>
      <c r="D1544" s="21" t="s">
        <v>34</v>
      </c>
      <c r="E1544" s="21" t="s">
        <v>35</v>
      </c>
      <c r="F1544">
        <v>11310005</v>
      </c>
      <c r="G1544" t="s">
        <v>6980</v>
      </c>
      <c r="H1544" s="21">
        <v>1490.8</v>
      </c>
    </row>
    <row r="1545" spans="1:8" customFormat="1" x14ac:dyDescent="0.25">
      <c r="A1545" t="str">
        <f>"4510813"</f>
        <v>4510813</v>
      </c>
      <c r="B1545" t="s">
        <v>2283</v>
      </c>
      <c r="C1545" t="s">
        <v>187</v>
      </c>
      <c r="D1545" s="21" t="s">
        <v>34</v>
      </c>
      <c r="E1545" s="21" t="s">
        <v>35</v>
      </c>
      <c r="F1545">
        <v>4450417</v>
      </c>
      <c r="G1545" t="s">
        <v>2284</v>
      </c>
      <c r="H1545" s="21">
        <v>1490.67</v>
      </c>
    </row>
    <row r="1546" spans="1:8" customFormat="1" x14ac:dyDescent="0.25">
      <c r="A1546" t="str">
        <f>"252156"</f>
        <v>252156</v>
      </c>
      <c r="B1546" t="s">
        <v>2291</v>
      </c>
      <c r="C1546" t="s">
        <v>2292</v>
      </c>
      <c r="D1546" s="21" t="s">
        <v>34</v>
      </c>
      <c r="E1546" s="21" t="s">
        <v>35</v>
      </c>
      <c r="F1546">
        <v>2250213</v>
      </c>
      <c r="G1546" t="s">
        <v>1969</v>
      </c>
      <c r="H1546" s="21">
        <v>1490.67</v>
      </c>
    </row>
    <row r="1547" spans="1:8" customFormat="1" x14ac:dyDescent="0.25">
      <c r="A1547" t="str">
        <f>"7510051"</f>
        <v>7510051</v>
      </c>
      <c r="B1547" t="s">
        <v>1981</v>
      </c>
      <c r="C1547" t="s">
        <v>302</v>
      </c>
      <c r="D1547" s="21" t="s">
        <v>34</v>
      </c>
      <c r="E1547" s="21" t="s">
        <v>35</v>
      </c>
      <c r="F1547">
        <v>9270060</v>
      </c>
      <c r="G1547" t="s">
        <v>1982</v>
      </c>
      <c r="H1547" s="21">
        <v>1490.67</v>
      </c>
    </row>
    <row r="1548" spans="1:8" customFormat="1" x14ac:dyDescent="0.25">
      <c r="A1548" t="str">
        <f>"49792"</f>
        <v>49792</v>
      </c>
      <c r="B1548" t="s">
        <v>3272</v>
      </c>
      <c r="C1548" t="s">
        <v>124</v>
      </c>
      <c r="D1548" s="21" t="s">
        <v>34</v>
      </c>
      <c r="E1548" s="21" t="s">
        <v>254</v>
      </c>
      <c r="F1548">
        <v>12490132</v>
      </c>
      <c r="G1548" t="s">
        <v>1125</v>
      </c>
      <c r="H1548" s="21">
        <v>1490.43</v>
      </c>
    </row>
    <row r="1549" spans="1:8" customFormat="1" x14ac:dyDescent="0.25">
      <c r="A1549" t="str">
        <f>"752330"</f>
        <v>752330</v>
      </c>
      <c r="B1549" t="s">
        <v>26666</v>
      </c>
      <c r="C1549" t="s">
        <v>96</v>
      </c>
      <c r="D1549" s="21" t="s">
        <v>34</v>
      </c>
      <c r="E1549" s="21" t="s">
        <v>35</v>
      </c>
      <c r="F1549">
        <v>8930024</v>
      </c>
      <c r="G1549" t="s">
        <v>44</v>
      </c>
      <c r="H1549" s="21">
        <v>1490.17</v>
      </c>
    </row>
    <row r="1550" spans="1:8" customFormat="1" x14ac:dyDescent="0.25">
      <c r="A1550" t="str">
        <f>"69372"</f>
        <v>69372</v>
      </c>
      <c r="B1550" t="s">
        <v>2238</v>
      </c>
      <c r="C1550" t="s">
        <v>198</v>
      </c>
      <c r="D1550" s="21" t="s">
        <v>34</v>
      </c>
      <c r="E1550" s="21" t="s">
        <v>71</v>
      </c>
      <c r="F1550">
        <v>1690090</v>
      </c>
      <c r="G1550" t="s">
        <v>6286</v>
      </c>
      <c r="H1550" s="21">
        <v>1490.17</v>
      </c>
    </row>
    <row r="1551" spans="1:8" customFormat="1" x14ac:dyDescent="0.25">
      <c r="A1551" t="str">
        <f>"244459"</f>
        <v>244459</v>
      </c>
      <c r="B1551" t="s">
        <v>2495</v>
      </c>
      <c r="C1551" t="s">
        <v>33</v>
      </c>
      <c r="D1551" s="21" t="s">
        <v>34</v>
      </c>
      <c r="E1551" s="21" t="s">
        <v>35</v>
      </c>
      <c r="F1551">
        <v>10240005</v>
      </c>
      <c r="G1551" t="s">
        <v>2496</v>
      </c>
      <c r="H1551" s="21">
        <v>1490.17</v>
      </c>
    </row>
    <row r="1552" spans="1:8" customFormat="1" x14ac:dyDescent="0.25">
      <c r="A1552" t="str">
        <f>"93775"</f>
        <v>93775</v>
      </c>
      <c r="B1552" t="s">
        <v>2335</v>
      </c>
      <c r="C1552" t="s">
        <v>169</v>
      </c>
      <c r="D1552" s="21" t="s">
        <v>34</v>
      </c>
      <c r="E1552" s="21" t="s">
        <v>35</v>
      </c>
      <c r="F1552">
        <v>8780571</v>
      </c>
      <c r="G1552" t="s">
        <v>2336</v>
      </c>
      <c r="H1552" s="21">
        <v>1490.05</v>
      </c>
    </row>
    <row r="1553" spans="1:8" customFormat="1" x14ac:dyDescent="0.25">
      <c r="A1553" t="str">
        <f>"607371"</f>
        <v>607371</v>
      </c>
      <c r="B1553" t="s">
        <v>2353</v>
      </c>
      <c r="C1553" t="s">
        <v>267</v>
      </c>
      <c r="D1553" s="21" t="s">
        <v>34</v>
      </c>
      <c r="E1553" s="21" t="s">
        <v>71</v>
      </c>
      <c r="F1553">
        <v>4450108</v>
      </c>
      <c r="G1553" t="s">
        <v>2354</v>
      </c>
      <c r="H1553" s="21">
        <v>1489.67</v>
      </c>
    </row>
    <row r="1554" spans="1:8" customFormat="1" x14ac:dyDescent="0.25">
      <c r="A1554" t="str">
        <f>"691451"</f>
        <v>691451</v>
      </c>
      <c r="B1554" t="s">
        <v>2274</v>
      </c>
      <c r="C1554" t="s">
        <v>1597</v>
      </c>
      <c r="D1554" s="21" t="s">
        <v>34</v>
      </c>
      <c r="E1554" s="21" t="s">
        <v>71</v>
      </c>
      <c r="F1554">
        <v>1690052</v>
      </c>
      <c r="G1554" t="s">
        <v>273</v>
      </c>
      <c r="H1554" s="21">
        <v>1489.67</v>
      </c>
    </row>
    <row r="1555" spans="1:8" customFormat="1" x14ac:dyDescent="0.25">
      <c r="A1555" t="str">
        <f>"3323727"</f>
        <v>3323727</v>
      </c>
      <c r="B1555" t="s">
        <v>2165</v>
      </c>
      <c r="C1555" t="s">
        <v>598</v>
      </c>
      <c r="D1555" s="21" t="s">
        <v>34</v>
      </c>
      <c r="E1555" s="21" t="s">
        <v>71</v>
      </c>
      <c r="F1555">
        <v>9500030</v>
      </c>
      <c r="G1555" t="s">
        <v>2166</v>
      </c>
      <c r="H1555" s="21">
        <v>1489.17</v>
      </c>
    </row>
    <row r="1556" spans="1:8" customFormat="1" x14ac:dyDescent="0.25">
      <c r="A1556" t="str">
        <f>"04199"</f>
        <v>04199</v>
      </c>
      <c r="B1556" t="s">
        <v>64</v>
      </c>
      <c r="C1556" t="s">
        <v>33</v>
      </c>
      <c r="D1556" s="21" t="s">
        <v>34</v>
      </c>
      <c r="E1556" s="21" t="s">
        <v>71</v>
      </c>
      <c r="F1556">
        <v>13040023</v>
      </c>
      <c r="G1556" t="s">
        <v>2542</v>
      </c>
      <c r="H1556" s="21">
        <v>1489.17</v>
      </c>
    </row>
    <row r="1557" spans="1:8" customFormat="1" x14ac:dyDescent="0.25">
      <c r="A1557" t="str">
        <f>"2810379"</f>
        <v>2810379</v>
      </c>
      <c r="B1557" t="s">
        <v>890</v>
      </c>
      <c r="C1557" t="s">
        <v>2525</v>
      </c>
      <c r="D1557" s="21" t="s">
        <v>34</v>
      </c>
      <c r="E1557" s="21" t="s">
        <v>35</v>
      </c>
      <c r="F1557">
        <v>4280038</v>
      </c>
      <c r="G1557" t="s">
        <v>2526</v>
      </c>
      <c r="H1557" s="21">
        <v>1489.17</v>
      </c>
    </row>
    <row r="1558" spans="1:8" customFormat="1" x14ac:dyDescent="0.25">
      <c r="A1558" t="str">
        <f>"943958"</f>
        <v>943958</v>
      </c>
      <c r="B1558" t="s">
        <v>2151</v>
      </c>
      <c r="C1558" t="s">
        <v>109</v>
      </c>
      <c r="D1558" s="21" t="s">
        <v>34</v>
      </c>
      <c r="E1558" s="21" t="s">
        <v>35</v>
      </c>
      <c r="F1558">
        <v>8940459</v>
      </c>
      <c r="G1558" t="s">
        <v>743</v>
      </c>
      <c r="H1558" s="21">
        <v>1488.92</v>
      </c>
    </row>
    <row r="1559" spans="1:8" customFormat="1" x14ac:dyDescent="0.25">
      <c r="A1559" t="str">
        <f>"911444"</f>
        <v>911444</v>
      </c>
      <c r="B1559" t="s">
        <v>1921</v>
      </c>
      <c r="C1559" t="s">
        <v>187</v>
      </c>
      <c r="D1559" s="21" t="s">
        <v>34</v>
      </c>
      <c r="E1559" s="21" t="s">
        <v>71</v>
      </c>
      <c r="F1559">
        <v>8910077</v>
      </c>
      <c r="G1559" t="s">
        <v>1380</v>
      </c>
      <c r="H1559" s="21">
        <v>1488.67</v>
      </c>
    </row>
    <row r="1560" spans="1:8" customFormat="1" x14ac:dyDescent="0.25">
      <c r="A1560" t="str">
        <f>"94198"</f>
        <v>94198</v>
      </c>
      <c r="B1560" t="s">
        <v>2474</v>
      </c>
      <c r="C1560" t="s">
        <v>2475</v>
      </c>
      <c r="D1560" s="21" t="s">
        <v>34</v>
      </c>
      <c r="E1560" s="21" t="s">
        <v>71</v>
      </c>
      <c r="F1560">
        <v>8940052</v>
      </c>
      <c r="G1560" t="s">
        <v>190</v>
      </c>
      <c r="H1560" s="21">
        <v>1488.67</v>
      </c>
    </row>
    <row r="1561" spans="1:8" customFormat="1" x14ac:dyDescent="0.25">
      <c r="A1561" t="str">
        <f>"851649"</f>
        <v>851649</v>
      </c>
      <c r="B1561" t="s">
        <v>2717</v>
      </c>
      <c r="C1561" t="s">
        <v>82</v>
      </c>
      <c r="D1561" s="21" t="s">
        <v>34</v>
      </c>
      <c r="E1561" s="21" t="s">
        <v>35</v>
      </c>
      <c r="F1561">
        <v>12850057</v>
      </c>
      <c r="G1561" t="s">
        <v>1291</v>
      </c>
      <c r="H1561" s="21">
        <v>1488.67</v>
      </c>
    </row>
    <row r="1562" spans="1:8" customFormat="1" x14ac:dyDescent="0.25">
      <c r="A1562" t="str">
        <f>"40268"</f>
        <v>40268</v>
      </c>
      <c r="B1562" t="s">
        <v>2445</v>
      </c>
      <c r="C1562" t="s">
        <v>55</v>
      </c>
      <c r="D1562" s="21" t="s">
        <v>34</v>
      </c>
      <c r="E1562" s="21" t="s">
        <v>71</v>
      </c>
      <c r="F1562">
        <v>10400010</v>
      </c>
      <c r="G1562" t="s">
        <v>2446</v>
      </c>
      <c r="H1562" s="21">
        <v>1488.67</v>
      </c>
    </row>
    <row r="1563" spans="1:8" customFormat="1" x14ac:dyDescent="0.25">
      <c r="A1563" t="str">
        <f>"5748"</f>
        <v>5748</v>
      </c>
      <c r="B1563" t="s">
        <v>1907</v>
      </c>
      <c r="C1563" t="s">
        <v>109</v>
      </c>
      <c r="D1563" s="21" t="s">
        <v>34</v>
      </c>
      <c r="E1563" s="21" t="s">
        <v>35</v>
      </c>
      <c r="F1563">
        <v>6570005</v>
      </c>
      <c r="G1563" t="s">
        <v>351</v>
      </c>
      <c r="H1563" s="21">
        <v>1488.18</v>
      </c>
    </row>
    <row r="1564" spans="1:8" customFormat="1" x14ac:dyDescent="0.25">
      <c r="A1564" t="str">
        <f>"136441"</f>
        <v>136441</v>
      </c>
      <c r="B1564" t="s">
        <v>1295</v>
      </c>
      <c r="C1564" t="s">
        <v>130</v>
      </c>
      <c r="D1564" s="21" t="s">
        <v>34</v>
      </c>
      <c r="E1564" s="21" t="s">
        <v>35</v>
      </c>
      <c r="F1564">
        <v>11340007</v>
      </c>
      <c r="G1564" t="s">
        <v>2278</v>
      </c>
      <c r="H1564" s="21">
        <v>1488.17</v>
      </c>
    </row>
    <row r="1565" spans="1:8" customFormat="1" x14ac:dyDescent="0.25">
      <c r="A1565" t="str">
        <f>"377176"</f>
        <v>377176</v>
      </c>
      <c r="B1565" t="s">
        <v>26667</v>
      </c>
      <c r="C1565" t="s">
        <v>874</v>
      </c>
      <c r="D1565" s="21" t="s">
        <v>34</v>
      </c>
      <c r="E1565" s="21" t="s">
        <v>35</v>
      </c>
      <c r="F1565">
        <v>4450753</v>
      </c>
      <c r="G1565" t="s">
        <v>8786</v>
      </c>
      <c r="H1565" s="21">
        <v>1488.17</v>
      </c>
    </row>
    <row r="1566" spans="1:8" customFormat="1" x14ac:dyDescent="0.25">
      <c r="A1566" t="str">
        <f>"646812"</f>
        <v>646812</v>
      </c>
      <c r="B1566" t="s">
        <v>2418</v>
      </c>
      <c r="C1566" t="s">
        <v>275</v>
      </c>
      <c r="D1566" s="21" t="s">
        <v>34</v>
      </c>
      <c r="E1566" s="21" t="s">
        <v>71</v>
      </c>
      <c r="F1566">
        <v>10640001</v>
      </c>
      <c r="G1566" t="s">
        <v>2419</v>
      </c>
      <c r="H1566" s="21">
        <v>1488.05</v>
      </c>
    </row>
    <row r="1567" spans="1:8" customFormat="1" x14ac:dyDescent="0.25">
      <c r="A1567" t="str">
        <f>"7612178"</f>
        <v>7612178</v>
      </c>
      <c r="B1567" t="s">
        <v>2295</v>
      </c>
      <c r="C1567" t="s">
        <v>328</v>
      </c>
      <c r="D1567" s="21" t="s">
        <v>34</v>
      </c>
      <c r="E1567" s="21" t="s">
        <v>71</v>
      </c>
      <c r="F1567">
        <v>9760004</v>
      </c>
      <c r="G1567" t="s">
        <v>56</v>
      </c>
      <c r="H1567" s="21">
        <v>1487.67</v>
      </c>
    </row>
    <row r="1568" spans="1:8" customFormat="1" x14ac:dyDescent="0.25">
      <c r="A1568" t="str">
        <f>"676050"</f>
        <v>676050</v>
      </c>
      <c r="B1568" t="s">
        <v>2193</v>
      </c>
      <c r="C1568" t="s">
        <v>1605</v>
      </c>
      <c r="D1568" s="21" t="s">
        <v>34</v>
      </c>
      <c r="E1568" s="21" t="s">
        <v>35</v>
      </c>
      <c r="F1568">
        <v>6670216</v>
      </c>
      <c r="G1568" t="s">
        <v>2194</v>
      </c>
      <c r="H1568" s="21">
        <v>1487.17</v>
      </c>
    </row>
    <row r="1569" spans="1:8" customFormat="1" x14ac:dyDescent="0.25">
      <c r="A1569" t="str">
        <f>"7711560"</f>
        <v>7711560</v>
      </c>
      <c r="B1569" t="s">
        <v>2256</v>
      </c>
      <c r="C1569" t="s">
        <v>249</v>
      </c>
      <c r="D1569" s="21" t="s">
        <v>34</v>
      </c>
      <c r="E1569" s="21" t="s">
        <v>254</v>
      </c>
      <c r="F1569">
        <v>8771394</v>
      </c>
      <c r="G1569" t="s">
        <v>1933</v>
      </c>
      <c r="H1569" s="21">
        <v>1486.82</v>
      </c>
    </row>
    <row r="1570" spans="1:8" customFormat="1" x14ac:dyDescent="0.25">
      <c r="A1570" t="str">
        <f>"4430722"</f>
        <v>4430722</v>
      </c>
      <c r="B1570" t="s">
        <v>697</v>
      </c>
      <c r="C1570" t="s">
        <v>209</v>
      </c>
      <c r="D1570" s="21" t="s">
        <v>34</v>
      </c>
      <c r="E1570" s="21" t="s">
        <v>71</v>
      </c>
      <c r="F1570">
        <v>12440084</v>
      </c>
      <c r="G1570" t="s">
        <v>1014</v>
      </c>
      <c r="H1570" s="21">
        <v>1486.67</v>
      </c>
    </row>
    <row r="1571" spans="1:8" customFormat="1" x14ac:dyDescent="0.25">
      <c r="A1571" t="str">
        <f>"7836974"</f>
        <v>7836974</v>
      </c>
      <c r="B1571" t="s">
        <v>2280</v>
      </c>
      <c r="C1571" t="s">
        <v>198</v>
      </c>
      <c r="D1571" s="21" t="s">
        <v>34</v>
      </c>
      <c r="E1571" s="21" t="s">
        <v>71</v>
      </c>
      <c r="F1571">
        <v>8920076</v>
      </c>
      <c r="G1571" t="s">
        <v>2281</v>
      </c>
      <c r="H1571" s="21">
        <v>1486.67</v>
      </c>
    </row>
    <row r="1572" spans="1:8" customFormat="1" x14ac:dyDescent="0.25">
      <c r="A1572" t="str">
        <f>"942989"</f>
        <v>942989</v>
      </c>
      <c r="B1572" t="s">
        <v>2249</v>
      </c>
      <c r="C1572" t="s">
        <v>2250</v>
      </c>
      <c r="D1572" s="21" t="s">
        <v>34</v>
      </c>
      <c r="E1572" s="21" t="s">
        <v>35</v>
      </c>
      <c r="F1572">
        <v>8910916</v>
      </c>
      <c r="G1572" t="s">
        <v>2251</v>
      </c>
      <c r="H1572" s="21">
        <v>1486.3</v>
      </c>
    </row>
    <row r="1573" spans="1:8" customFormat="1" x14ac:dyDescent="0.25">
      <c r="A1573" t="str">
        <f>"3314855"</f>
        <v>3314855</v>
      </c>
      <c r="B1573" t="s">
        <v>2272</v>
      </c>
      <c r="C1573" t="s">
        <v>2273</v>
      </c>
      <c r="D1573" s="21" t="s">
        <v>34</v>
      </c>
      <c r="E1573" s="21" t="s">
        <v>71</v>
      </c>
      <c r="F1573">
        <v>10330031</v>
      </c>
      <c r="G1573" t="s">
        <v>2452</v>
      </c>
      <c r="H1573" s="21">
        <v>1486.3</v>
      </c>
    </row>
    <row r="1574" spans="1:8" customFormat="1" x14ac:dyDescent="0.25">
      <c r="A1574" t="str">
        <f>"625572"</f>
        <v>625572</v>
      </c>
      <c r="B1574" t="s">
        <v>2298</v>
      </c>
      <c r="C1574" t="s">
        <v>65</v>
      </c>
      <c r="D1574" s="21" t="s">
        <v>34</v>
      </c>
      <c r="E1574" s="21" t="s">
        <v>35</v>
      </c>
      <c r="F1574">
        <v>7600005</v>
      </c>
      <c r="G1574" t="s">
        <v>2299</v>
      </c>
      <c r="H1574" s="21">
        <v>1486.17</v>
      </c>
    </row>
    <row r="1575" spans="1:8" customFormat="1" x14ac:dyDescent="0.25">
      <c r="A1575" t="str">
        <f>"7827077"</f>
        <v>7827077</v>
      </c>
      <c r="B1575" t="s">
        <v>26668</v>
      </c>
      <c r="C1575" t="s">
        <v>275</v>
      </c>
      <c r="D1575" s="21" t="s">
        <v>34</v>
      </c>
      <c r="E1575" s="21" t="s">
        <v>35</v>
      </c>
      <c r="F1575">
        <v>8780016</v>
      </c>
      <c r="G1575" t="s">
        <v>3153</v>
      </c>
      <c r="H1575" s="21">
        <v>1485.68</v>
      </c>
    </row>
    <row r="1576" spans="1:8" customFormat="1" x14ac:dyDescent="0.25">
      <c r="A1576" t="str">
        <f>"9121865"</f>
        <v>9121865</v>
      </c>
      <c r="B1576" t="s">
        <v>3104</v>
      </c>
      <c r="C1576" t="s">
        <v>206</v>
      </c>
      <c r="D1576" s="21" t="s">
        <v>34</v>
      </c>
      <c r="E1576" s="21" t="s">
        <v>35</v>
      </c>
      <c r="F1576">
        <v>10870031</v>
      </c>
      <c r="G1576" t="s">
        <v>959</v>
      </c>
      <c r="H1576" s="21">
        <v>1485.67</v>
      </c>
    </row>
    <row r="1577" spans="1:8" customFormat="1" x14ac:dyDescent="0.25">
      <c r="A1577" t="str">
        <f>"5911017"</f>
        <v>5911017</v>
      </c>
      <c r="B1577" t="s">
        <v>2221</v>
      </c>
      <c r="C1577" t="s">
        <v>55</v>
      </c>
      <c r="D1577" s="21" t="s">
        <v>34</v>
      </c>
      <c r="E1577" s="21" t="s">
        <v>35</v>
      </c>
      <c r="F1577">
        <v>7590014</v>
      </c>
      <c r="G1577" t="s">
        <v>1326</v>
      </c>
      <c r="H1577" s="21">
        <v>1485.67</v>
      </c>
    </row>
    <row r="1578" spans="1:8" customFormat="1" x14ac:dyDescent="0.25">
      <c r="A1578" t="str">
        <f>"5017574"</f>
        <v>5017574</v>
      </c>
      <c r="B1578" t="s">
        <v>2658</v>
      </c>
      <c r="C1578" t="s">
        <v>305</v>
      </c>
      <c r="D1578" s="21" t="s">
        <v>34</v>
      </c>
      <c r="E1578" s="21" t="s">
        <v>35</v>
      </c>
      <c r="F1578">
        <v>9500112</v>
      </c>
      <c r="G1578" t="s">
        <v>1668</v>
      </c>
      <c r="H1578" s="21">
        <v>1485.67</v>
      </c>
    </row>
    <row r="1579" spans="1:8" customFormat="1" x14ac:dyDescent="0.25">
      <c r="A1579" t="str">
        <f>"7211"</f>
        <v>7211</v>
      </c>
      <c r="B1579" t="s">
        <v>2508</v>
      </c>
      <c r="C1579" t="s">
        <v>139</v>
      </c>
      <c r="D1579" s="21" t="s">
        <v>34</v>
      </c>
      <c r="E1579" s="21" t="s">
        <v>71</v>
      </c>
      <c r="F1579">
        <v>12720120</v>
      </c>
      <c r="G1579" t="s">
        <v>2509</v>
      </c>
      <c r="H1579" s="21">
        <v>1485.3</v>
      </c>
    </row>
    <row r="1580" spans="1:8" customFormat="1" x14ac:dyDescent="0.25">
      <c r="A1580" t="str">
        <f>"9112273"</f>
        <v>9112273</v>
      </c>
      <c r="B1580" t="s">
        <v>1845</v>
      </c>
      <c r="C1580" t="s">
        <v>275</v>
      </c>
      <c r="D1580" s="21" t="s">
        <v>34</v>
      </c>
      <c r="E1580" s="21" t="s">
        <v>35</v>
      </c>
      <c r="F1580">
        <v>8910402</v>
      </c>
      <c r="G1580" t="s">
        <v>1371</v>
      </c>
      <c r="H1580" s="21">
        <v>1485.17</v>
      </c>
    </row>
    <row r="1581" spans="1:8" customFormat="1" x14ac:dyDescent="0.25">
      <c r="A1581" t="str">
        <f>"69277"</f>
        <v>69277</v>
      </c>
      <c r="B1581" t="s">
        <v>1210</v>
      </c>
      <c r="C1581" t="s">
        <v>462</v>
      </c>
      <c r="D1581" s="21" t="s">
        <v>34</v>
      </c>
      <c r="E1581" s="21" t="s">
        <v>71</v>
      </c>
      <c r="F1581">
        <v>1690006</v>
      </c>
      <c r="G1581" t="s">
        <v>2543</v>
      </c>
      <c r="H1581" s="21">
        <v>1485.17</v>
      </c>
    </row>
    <row r="1582" spans="1:8" customFormat="1" x14ac:dyDescent="0.25">
      <c r="A1582" t="str">
        <f>"9228991"</f>
        <v>9228991</v>
      </c>
      <c r="B1582" t="s">
        <v>2467</v>
      </c>
      <c r="C1582" t="s">
        <v>1812</v>
      </c>
      <c r="D1582" s="21" t="s">
        <v>34</v>
      </c>
      <c r="E1582" s="21" t="s">
        <v>71</v>
      </c>
      <c r="F1582">
        <v>8920151</v>
      </c>
      <c r="G1582" t="s">
        <v>1434</v>
      </c>
      <c r="H1582" s="21">
        <v>1485.05</v>
      </c>
    </row>
    <row r="1583" spans="1:8" customFormat="1" x14ac:dyDescent="0.25">
      <c r="A1583" t="str">
        <f>"15391"</f>
        <v>15391</v>
      </c>
      <c r="B1583" t="s">
        <v>9469</v>
      </c>
      <c r="C1583" t="s">
        <v>40</v>
      </c>
      <c r="D1583" s="21" t="s">
        <v>34</v>
      </c>
      <c r="E1583" s="21" t="s">
        <v>35</v>
      </c>
      <c r="F1583">
        <v>1150159</v>
      </c>
      <c r="G1583" t="s">
        <v>7433</v>
      </c>
      <c r="H1583" s="21">
        <v>1484.93</v>
      </c>
    </row>
    <row r="1584" spans="1:8" customFormat="1" x14ac:dyDescent="0.25">
      <c r="A1584" t="str">
        <f>"506685"</f>
        <v>506685</v>
      </c>
      <c r="B1584" t="s">
        <v>2558</v>
      </c>
      <c r="C1584" t="s">
        <v>121</v>
      </c>
      <c r="D1584" s="21" t="s">
        <v>34</v>
      </c>
      <c r="E1584" s="21" t="s">
        <v>35</v>
      </c>
      <c r="F1584">
        <v>9500093</v>
      </c>
      <c r="G1584" t="s">
        <v>1808</v>
      </c>
      <c r="H1584" s="21">
        <v>1484.92</v>
      </c>
    </row>
    <row r="1585" spans="1:8" customFormat="1" x14ac:dyDescent="0.25">
      <c r="A1585" t="str">
        <f>"5713644"</f>
        <v>5713644</v>
      </c>
      <c r="B1585" t="s">
        <v>3536</v>
      </c>
      <c r="C1585" t="s">
        <v>379</v>
      </c>
      <c r="D1585" s="21" t="s">
        <v>34</v>
      </c>
      <c r="E1585" s="21" t="s">
        <v>71</v>
      </c>
      <c r="F1585">
        <v>6570027</v>
      </c>
      <c r="G1585" t="s">
        <v>395</v>
      </c>
      <c r="H1585" s="21">
        <v>1484.67</v>
      </c>
    </row>
    <row r="1586" spans="1:8" customFormat="1" x14ac:dyDescent="0.25">
      <c r="A1586" t="str">
        <f>"82754"</f>
        <v>82754</v>
      </c>
      <c r="B1586" t="s">
        <v>2578</v>
      </c>
      <c r="C1586" t="s">
        <v>2579</v>
      </c>
      <c r="D1586" s="21" t="s">
        <v>34</v>
      </c>
      <c r="E1586" s="21" t="s">
        <v>35</v>
      </c>
      <c r="F1586">
        <v>11820008</v>
      </c>
      <c r="G1586" t="s">
        <v>294</v>
      </c>
      <c r="H1586" s="21">
        <v>1484.67</v>
      </c>
    </row>
    <row r="1587" spans="1:8" customFormat="1" x14ac:dyDescent="0.25">
      <c r="A1587" t="str">
        <f>"723934"</f>
        <v>723934</v>
      </c>
      <c r="B1587" t="s">
        <v>2017</v>
      </c>
      <c r="C1587" t="s">
        <v>486</v>
      </c>
      <c r="D1587" s="21" t="s">
        <v>34</v>
      </c>
      <c r="E1587" s="21" t="s">
        <v>35</v>
      </c>
      <c r="F1587">
        <v>12720104</v>
      </c>
      <c r="G1587" t="s">
        <v>224</v>
      </c>
      <c r="H1587" s="21">
        <v>1484.67</v>
      </c>
    </row>
    <row r="1588" spans="1:8" customFormat="1" x14ac:dyDescent="0.25">
      <c r="A1588" t="str">
        <f>"503717"</f>
        <v>503717</v>
      </c>
      <c r="B1588" t="s">
        <v>1506</v>
      </c>
      <c r="C1588" t="s">
        <v>515</v>
      </c>
      <c r="D1588" s="21" t="s">
        <v>34</v>
      </c>
      <c r="E1588" s="21" t="s">
        <v>35</v>
      </c>
      <c r="F1588">
        <v>9500030</v>
      </c>
      <c r="G1588" t="s">
        <v>2166</v>
      </c>
      <c r="H1588" s="21">
        <v>1484.67</v>
      </c>
    </row>
    <row r="1589" spans="1:8" customFormat="1" x14ac:dyDescent="0.25">
      <c r="A1589" t="str">
        <f>"026581"</f>
        <v>026581</v>
      </c>
      <c r="B1589" t="s">
        <v>1462</v>
      </c>
      <c r="C1589" t="s">
        <v>87</v>
      </c>
      <c r="D1589" s="21" t="s">
        <v>34</v>
      </c>
      <c r="E1589" s="21" t="s">
        <v>71</v>
      </c>
      <c r="F1589">
        <v>4360454</v>
      </c>
      <c r="G1589" t="s">
        <v>637</v>
      </c>
      <c r="H1589" s="21">
        <v>1484.17</v>
      </c>
    </row>
    <row r="1590" spans="1:8" customFormat="1" x14ac:dyDescent="0.25">
      <c r="A1590" t="str">
        <f>"8526743"</f>
        <v>8526743</v>
      </c>
      <c r="B1590" t="s">
        <v>1954</v>
      </c>
      <c r="C1590" t="s">
        <v>249</v>
      </c>
      <c r="D1590" s="21" t="s">
        <v>34</v>
      </c>
      <c r="E1590" s="21" t="s">
        <v>71</v>
      </c>
      <c r="F1590">
        <v>12850020</v>
      </c>
      <c r="G1590" t="s">
        <v>725</v>
      </c>
      <c r="H1590" s="21">
        <v>1484.17</v>
      </c>
    </row>
    <row r="1591" spans="1:8" customFormat="1" x14ac:dyDescent="0.25">
      <c r="A1591" t="str">
        <f>"902123"</f>
        <v>902123</v>
      </c>
      <c r="B1591" t="s">
        <v>146</v>
      </c>
      <c r="C1591" t="s">
        <v>353</v>
      </c>
      <c r="D1591" s="21" t="s">
        <v>34</v>
      </c>
      <c r="E1591" s="21" t="s">
        <v>254</v>
      </c>
      <c r="F1591">
        <v>2900039</v>
      </c>
      <c r="G1591" t="s">
        <v>26615</v>
      </c>
      <c r="H1591" s="21">
        <v>1484.05</v>
      </c>
    </row>
    <row r="1592" spans="1:8" customFormat="1" x14ac:dyDescent="0.25">
      <c r="A1592" t="str">
        <f>"413903"</f>
        <v>413903</v>
      </c>
      <c r="B1592" t="s">
        <v>2332</v>
      </c>
      <c r="C1592" t="s">
        <v>171</v>
      </c>
      <c r="D1592" s="21" t="s">
        <v>34</v>
      </c>
      <c r="E1592" s="21" t="s">
        <v>35</v>
      </c>
      <c r="F1592">
        <v>4410083</v>
      </c>
      <c r="G1592" t="s">
        <v>2333</v>
      </c>
      <c r="H1592" s="21">
        <v>1483.8</v>
      </c>
    </row>
    <row r="1593" spans="1:8" customFormat="1" x14ac:dyDescent="0.25">
      <c r="A1593" t="str">
        <f>"4442191"</f>
        <v>4442191</v>
      </c>
      <c r="B1593" t="s">
        <v>1776</v>
      </c>
      <c r="C1593" t="s">
        <v>55</v>
      </c>
      <c r="D1593" s="21" t="s">
        <v>34</v>
      </c>
      <c r="E1593" s="21" t="s">
        <v>71</v>
      </c>
      <c r="F1593">
        <v>12440012</v>
      </c>
      <c r="G1593" t="s">
        <v>807</v>
      </c>
      <c r="H1593" s="21">
        <v>1483.67</v>
      </c>
    </row>
    <row r="1594" spans="1:8" customFormat="1" x14ac:dyDescent="0.25">
      <c r="A1594" t="str">
        <f>"417537"</f>
        <v>417537</v>
      </c>
      <c r="B1594" t="s">
        <v>13776</v>
      </c>
      <c r="C1594" t="s">
        <v>302</v>
      </c>
      <c r="D1594" s="21" t="s">
        <v>34</v>
      </c>
      <c r="E1594" s="21" t="s">
        <v>35</v>
      </c>
      <c r="F1594">
        <v>4410083</v>
      </c>
      <c r="G1594" t="s">
        <v>2333</v>
      </c>
      <c r="H1594" s="21">
        <v>1483.67</v>
      </c>
    </row>
    <row r="1595" spans="1:8" customFormat="1" x14ac:dyDescent="0.25">
      <c r="A1595" t="str">
        <f>"583795"</f>
        <v>583795</v>
      </c>
      <c r="B1595" t="s">
        <v>2216</v>
      </c>
      <c r="C1595" t="s">
        <v>328</v>
      </c>
      <c r="D1595" s="21" t="s">
        <v>34</v>
      </c>
      <c r="E1595" s="21" t="s">
        <v>35</v>
      </c>
      <c r="F1595">
        <v>2580010</v>
      </c>
      <c r="G1595" t="s">
        <v>1965</v>
      </c>
      <c r="H1595" s="21">
        <v>1483.31</v>
      </c>
    </row>
    <row r="1596" spans="1:8" customFormat="1" x14ac:dyDescent="0.25">
      <c r="A1596" t="str">
        <f>"765967"</f>
        <v>765967</v>
      </c>
      <c r="B1596" t="s">
        <v>7626</v>
      </c>
      <c r="C1596" t="s">
        <v>336</v>
      </c>
      <c r="D1596" s="21" t="s">
        <v>34</v>
      </c>
      <c r="E1596" s="21" t="s">
        <v>35</v>
      </c>
      <c r="F1596">
        <v>9760351</v>
      </c>
      <c r="G1596" t="s">
        <v>5898</v>
      </c>
      <c r="H1596" s="21">
        <v>1483.17</v>
      </c>
    </row>
    <row r="1597" spans="1:8" customFormat="1" x14ac:dyDescent="0.25">
      <c r="A1597" t="str">
        <f>"9418266"</f>
        <v>9418266</v>
      </c>
      <c r="B1597" t="s">
        <v>2242</v>
      </c>
      <c r="C1597" t="s">
        <v>879</v>
      </c>
      <c r="D1597" s="21" t="s">
        <v>34</v>
      </c>
      <c r="E1597" s="21" t="s">
        <v>71</v>
      </c>
      <c r="F1597">
        <v>13830044</v>
      </c>
      <c r="G1597" t="s">
        <v>945</v>
      </c>
      <c r="H1597" s="21">
        <v>1483.17</v>
      </c>
    </row>
    <row r="1598" spans="1:8" customFormat="1" x14ac:dyDescent="0.25">
      <c r="A1598" t="str">
        <f>"6930339"</f>
        <v>6930339</v>
      </c>
      <c r="B1598" t="s">
        <v>2071</v>
      </c>
      <c r="C1598" t="s">
        <v>2072</v>
      </c>
      <c r="D1598" s="21" t="s">
        <v>34</v>
      </c>
      <c r="E1598" s="21" t="s">
        <v>35</v>
      </c>
      <c r="F1598">
        <v>1690186</v>
      </c>
      <c r="G1598" t="s">
        <v>438</v>
      </c>
      <c r="H1598" s="21">
        <v>1483.17</v>
      </c>
    </row>
    <row r="1599" spans="1:8" customFormat="1" x14ac:dyDescent="0.25">
      <c r="A1599" t="str">
        <f>"33172"</f>
        <v>33172</v>
      </c>
      <c r="B1599" t="s">
        <v>2385</v>
      </c>
      <c r="C1599" t="s">
        <v>209</v>
      </c>
      <c r="D1599" s="21" t="s">
        <v>34</v>
      </c>
      <c r="E1599" s="21" t="s">
        <v>254</v>
      </c>
      <c r="F1599">
        <v>10330003</v>
      </c>
      <c r="G1599" t="s">
        <v>309</v>
      </c>
      <c r="H1599" s="21">
        <v>1482.67</v>
      </c>
    </row>
    <row r="1600" spans="1:8" customFormat="1" x14ac:dyDescent="0.25">
      <c r="A1600" t="str">
        <f>"667383"</f>
        <v>667383</v>
      </c>
      <c r="B1600" t="s">
        <v>2815</v>
      </c>
      <c r="C1600" t="s">
        <v>62</v>
      </c>
      <c r="D1600" s="21" t="s">
        <v>34</v>
      </c>
      <c r="E1600" s="21" t="s">
        <v>35</v>
      </c>
      <c r="F1600">
        <v>11110015</v>
      </c>
      <c r="G1600" t="s">
        <v>26669</v>
      </c>
      <c r="H1600" s="21">
        <v>1482.67</v>
      </c>
    </row>
    <row r="1601" spans="1:8" customFormat="1" x14ac:dyDescent="0.25">
      <c r="A1601" t="str">
        <f>"754465"</f>
        <v>754465</v>
      </c>
      <c r="B1601" t="s">
        <v>3085</v>
      </c>
      <c r="C1601" t="s">
        <v>3086</v>
      </c>
      <c r="D1601" s="21" t="s">
        <v>34</v>
      </c>
      <c r="E1601" s="21" t="s">
        <v>35</v>
      </c>
      <c r="F1601">
        <v>8751061</v>
      </c>
      <c r="G1601" t="s">
        <v>26628</v>
      </c>
      <c r="H1601" s="21">
        <v>1482.43</v>
      </c>
    </row>
    <row r="1602" spans="1:8" customFormat="1" x14ac:dyDescent="0.25">
      <c r="A1602" t="str">
        <f>"629839"</f>
        <v>629839</v>
      </c>
      <c r="B1602" t="s">
        <v>2429</v>
      </c>
      <c r="C1602" t="s">
        <v>2430</v>
      </c>
      <c r="D1602" s="21" t="s">
        <v>34</v>
      </c>
      <c r="E1602" s="21" t="s">
        <v>35</v>
      </c>
      <c r="F1602">
        <v>7590293</v>
      </c>
      <c r="G1602" t="s">
        <v>2431</v>
      </c>
      <c r="H1602" s="21">
        <v>1482.42</v>
      </c>
    </row>
    <row r="1603" spans="1:8" customFormat="1" x14ac:dyDescent="0.25">
      <c r="A1603" t="str">
        <f>"45626"</f>
        <v>45626</v>
      </c>
      <c r="B1603" t="s">
        <v>2646</v>
      </c>
      <c r="C1603" t="s">
        <v>611</v>
      </c>
      <c r="D1603" s="21" t="s">
        <v>34</v>
      </c>
      <c r="E1603" s="21" t="s">
        <v>35</v>
      </c>
      <c r="F1603">
        <v>4450751</v>
      </c>
      <c r="G1603" t="s">
        <v>442</v>
      </c>
      <c r="H1603" s="21">
        <v>1482.42</v>
      </c>
    </row>
    <row r="1604" spans="1:8" customFormat="1" x14ac:dyDescent="0.25">
      <c r="A1604" t="str">
        <f>"94665"</f>
        <v>94665</v>
      </c>
      <c r="B1604" t="s">
        <v>5988</v>
      </c>
      <c r="C1604" t="s">
        <v>119</v>
      </c>
      <c r="D1604" s="21" t="s">
        <v>34</v>
      </c>
      <c r="E1604" s="21" t="s">
        <v>35</v>
      </c>
      <c r="F1604">
        <v>8940866</v>
      </c>
      <c r="G1604" t="s">
        <v>519</v>
      </c>
      <c r="H1604" s="21">
        <v>1482.3</v>
      </c>
    </row>
    <row r="1605" spans="1:8" customFormat="1" x14ac:dyDescent="0.25">
      <c r="A1605" t="str">
        <f>"56638"</f>
        <v>56638</v>
      </c>
      <c r="B1605" t="s">
        <v>2219</v>
      </c>
      <c r="C1605" t="s">
        <v>55</v>
      </c>
      <c r="D1605" s="21" t="s">
        <v>34</v>
      </c>
      <c r="E1605" s="21" t="s">
        <v>35</v>
      </c>
      <c r="F1605">
        <v>3560034</v>
      </c>
      <c r="G1605" t="s">
        <v>2220</v>
      </c>
      <c r="H1605" s="21">
        <v>1482.17</v>
      </c>
    </row>
    <row r="1606" spans="1:8" customFormat="1" x14ac:dyDescent="0.25">
      <c r="A1606" t="str">
        <f>"9722475"</f>
        <v>9722475</v>
      </c>
      <c r="B1606" t="s">
        <v>2170</v>
      </c>
      <c r="C1606" t="s">
        <v>267</v>
      </c>
      <c r="D1606" s="21" t="s">
        <v>34</v>
      </c>
      <c r="E1606" s="21" t="s">
        <v>71</v>
      </c>
      <c r="F1606" t="s">
        <v>1477</v>
      </c>
      <c r="G1606" t="s">
        <v>1478</v>
      </c>
      <c r="H1606" s="21">
        <v>1481.8</v>
      </c>
    </row>
    <row r="1607" spans="1:8" customFormat="1" x14ac:dyDescent="0.25">
      <c r="A1607" t="str">
        <f>"415517"</f>
        <v>415517</v>
      </c>
      <c r="B1607" t="s">
        <v>2362</v>
      </c>
      <c r="C1607" t="s">
        <v>1142</v>
      </c>
      <c r="D1607" s="21" t="s">
        <v>34</v>
      </c>
      <c r="E1607" s="21" t="s">
        <v>71</v>
      </c>
      <c r="F1607">
        <v>4410017</v>
      </c>
      <c r="G1607" t="s">
        <v>2363</v>
      </c>
      <c r="H1607" s="21">
        <v>1481.67</v>
      </c>
    </row>
    <row r="1608" spans="1:8" customFormat="1" x14ac:dyDescent="0.25">
      <c r="A1608" t="str">
        <f>"884323"</f>
        <v>884323</v>
      </c>
      <c r="B1608" t="s">
        <v>26670</v>
      </c>
      <c r="C1608" t="s">
        <v>204</v>
      </c>
      <c r="D1608" s="21" t="s">
        <v>34</v>
      </c>
      <c r="E1608" s="21" t="s">
        <v>35</v>
      </c>
      <c r="F1608">
        <v>6880007</v>
      </c>
      <c r="G1608" t="s">
        <v>1039</v>
      </c>
      <c r="H1608" s="21">
        <v>1481.67</v>
      </c>
    </row>
    <row r="1609" spans="1:8" customFormat="1" x14ac:dyDescent="0.25">
      <c r="A1609" t="str">
        <f>"579768"</f>
        <v>579768</v>
      </c>
      <c r="B1609" t="s">
        <v>2304</v>
      </c>
      <c r="C1609" t="s">
        <v>2305</v>
      </c>
      <c r="D1609" s="21" t="s">
        <v>34</v>
      </c>
      <c r="E1609" s="21" t="s">
        <v>71</v>
      </c>
      <c r="F1609">
        <v>6570005</v>
      </c>
      <c r="G1609" t="s">
        <v>351</v>
      </c>
      <c r="H1609" s="21">
        <v>1481.67</v>
      </c>
    </row>
    <row r="1610" spans="1:8" customFormat="1" x14ac:dyDescent="0.25">
      <c r="A1610" t="str">
        <f>"5931187"</f>
        <v>5931187</v>
      </c>
      <c r="B1610" t="s">
        <v>3080</v>
      </c>
      <c r="C1610" t="s">
        <v>60</v>
      </c>
      <c r="D1610" s="21" t="s">
        <v>34</v>
      </c>
      <c r="E1610" s="21" t="s">
        <v>35</v>
      </c>
      <c r="F1610">
        <v>7620024</v>
      </c>
      <c r="G1610" t="s">
        <v>2975</v>
      </c>
      <c r="H1610" s="21">
        <v>1481.67</v>
      </c>
    </row>
    <row r="1611" spans="1:8" customFormat="1" x14ac:dyDescent="0.25">
      <c r="A1611" t="str">
        <f>"949036"</f>
        <v>949036</v>
      </c>
      <c r="B1611" t="s">
        <v>2437</v>
      </c>
      <c r="C1611" t="s">
        <v>1782</v>
      </c>
      <c r="D1611" s="21" t="s">
        <v>34</v>
      </c>
      <c r="E1611" s="21" t="s">
        <v>35</v>
      </c>
      <c r="F1611">
        <v>8940459</v>
      </c>
      <c r="G1611" t="s">
        <v>743</v>
      </c>
      <c r="H1611" s="21">
        <v>1481.55</v>
      </c>
    </row>
    <row r="1612" spans="1:8" customFormat="1" x14ac:dyDescent="0.25">
      <c r="A1612" t="str">
        <f>"928481"</f>
        <v>928481</v>
      </c>
      <c r="B1612" t="s">
        <v>2639</v>
      </c>
      <c r="C1612" t="s">
        <v>87</v>
      </c>
      <c r="D1612" s="21" t="s">
        <v>34</v>
      </c>
      <c r="E1612" s="21" t="s">
        <v>71</v>
      </c>
      <c r="F1612">
        <v>6080035</v>
      </c>
      <c r="G1612" t="s">
        <v>583</v>
      </c>
      <c r="H1612" s="21">
        <v>1481.42</v>
      </c>
    </row>
    <row r="1613" spans="1:8" customFormat="1" x14ac:dyDescent="0.25">
      <c r="A1613" t="str">
        <f>"4210859"</f>
        <v>4210859</v>
      </c>
      <c r="B1613" t="s">
        <v>2811</v>
      </c>
      <c r="C1613" t="s">
        <v>96</v>
      </c>
      <c r="D1613" s="21" t="s">
        <v>34</v>
      </c>
      <c r="E1613" s="21" t="s">
        <v>35</v>
      </c>
      <c r="F1613">
        <v>2250181</v>
      </c>
      <c r="G1613" t="s">
        <v>494</v>
      </c>
      <c r="H1613" s="21">
        <v>1481.42</v>
      </c>
    </row>
    <row r="1614" spans="1:8" customFormat="1" x14ac:dyDescent="0.25">
      <c r="A1614" t="str">
        <f>"6218314"</f>
        <v>6218314</v>
      </c>
      <c r="B1614" t="s">
        <v>108</v>
      </c>
      <c r="C1614" t="s">
        <v>269</v>
      </c>
      <c r="D1614" s="21" t="s">
        <v>34</v>
      </c>
      <c r="E1614" s="21" t="s">
        <v>71</v>
      </c>
      <c r="F1614">
        <v>7620057</v>
      </c>
      <c r="G1614" t="s">
        <v>184</v>
      </c>
      <c r="H1614" s="21">
        <v>1481.17</v>
      </c>
    </row>
    <row r="1615" spans="1:8" customFormat="1" x14ac:dyDescent="0.25">
      <c r="A1615" t="str">
        <f>"7630329"</f>
        <v>7630329</v>
      </c>
      <c r="B1615" t="s">
        <v>623</v>
      </c>
      <c r="C1615" t="s">
        <v>2338</v>
      </c>
      <c r="D1615" s="21" t="s">
        <v>34</v>
      </c>
      <c r="E1615" s="21" t="s">
        <v>35</v>
      </c>
      <c r="F1615">
        <v>9760034</v>
      </c>
      <c r="G1615" t="s">
        <v>1242</v>
      </c>
      <c r="H1615" s="21">
        <v>1481.17</v>
      </c>
    </row>
    <row r="1616" spans="1:8" customFormat="1" x14ac:dyDescent="0.25">
      <c r="A1616" t="str">
        <f>"686385"</f>
        <v>686385</v>
      </c>
      <c r="B1616" t="s">
        <v>1028</v>
      </c>
      <c r="C1616" t="s">
        <v>127</v>
      </c>
      <c r="D1616" s="21" t="s">
        <v>34</v>
      </c>
      <c r="E1616" s="21" t="s">
        <v>35</v>
      </c>
      <c r="F1616">
        <v>9270151</v>
      </c>
      <c r="G1616" t="s">
        <v>626</v>
      </c>
      <c r="H1616" s="21">
        <v>1480.93</v>
      </c>
    </row>
    <row r="1617" spans="1:8" customFormat="1" x14ac:dyDescent="0.25">
      <c r="A1617" t="str">
        <f>"9314370"</f>
        <v>9314370</v>
      </c>
      <c r="B1617" t="s">
        <v>3745</v>
      </c>
      <c r="C1617" t="s">
        <v>1605</v>
      </c>
      <c r="D1617" s="21" t="s">
        <v>34</v>
      </c>
      <c r="E1617" s="21" t="s">
        <v>35</v>
      </c>
      <c r="F1617">
        <v>8931320</v>
      </c>
      <c r="G1617" t="s">
        <v>1537</v>
      </c>
      <c r="H1617" s="21">
        <v>1480.81</v>
      </c>
    </row>
    <row r="1618" spans="1:8" customFormat="1" x14ac:dyDescent="0.25">
      <c r="A1618" t="str">
        <f>"27357"</f>
        <v>27357</v>
      </c>
      <c r="B1618" t="s">
        <v>26671</v>
      </c>
      <c r="C1618" t="s">
        <v>246</v>
      </c>
      <c r="D1618" s="21" t="s">
        <v>34</v>
      </c>
      <c r="E1618" s="21" t="s">
        <v>71</v>
      </c>
      <c r="F1618">
        <v>9270151</v>
      </c>
      <c r="G1618" t="s">
        <v>626</v>
      </c>
      <c r="H1618" s="21">
        <v>1480.8</v>
      </c>
    </row>
    <row r="1619" spans="1:8" customFormat="1" x14ac:dyDescent="0.25">
      <c r="A1619" t="str">
        <f>"929276"</f>
        <v>929276</v>
      </c>
      <c r="B1619" t="s">
        <v>20190</v>
      </c>
      <c r="C1619" t="s">
        <v>169</v>
      </c>
      <c r="D1619" s="21" t="s">
        <v>34</v>
      </c>
      <c r="E1619" s="21" t="s">
        <v>35</v>
      </c>
      <c r="F1619">
        <v>8920075</v>
      </c>
      <c r="G1619" t="s">
        <v>317</v>
      </c>
      <c r="H1619" s="21">
        <v>1480.67</v>
      </c>
    </row>
    <row r="1620" spans="1:8" customFormat="1" x14ac:dyDescent="0.25">
      <c r="A1620" t="str">
        <f>"764597"</f>
        <v>764597</v>
      </c>
      <c r="B1620" t="s">
        <v>3428</v>
      </c>
      <c r="C1620" t="s">
        <v>26672</v>
      </c>
      <c r="D1620" s="21" t="s">
        <v>34</v>
      </c>
      <c r="E1620" s="21" t="s">
        <v>35</v>
      </c>
      <c r="F1620">
        <v>3290229</v>
      </c>
      <c r="G1620" t="s">
        <v>408</v>
      </c>
      <c r="H1620" s="21">
        <v>1480.67</v>
      </c>
    </row>
    <row r="1621" spans="1:8" customFormat="1" x14ac:dyDescent="0.25">
      <c r="A1621" t="str">
        <f>"291845"</f>
        <v>291845</v>
      </c>
      <c r="B1621" t="s">
        <v>2308</v>
      </c>
      <c r="C1621" t="s">
        <v>209</v>
      </c>
      <c r="D1621" s="21" t="s">
        <v>34</v>
      </c>
      <c r="E1621" s="21" t="s">
        <v>71</v>
      </c>
      <c r="F1621">
        <v>3290087</v>
      </c>
      <c r="G1621" t="s">
        <v>364</v>
      </c>
      <c r="H1621" s="21">
        <v>1480.67</v>
      </c>
    </row>
    <row r="1622" spans="1:8" customFormat="1" x14ac:dyDescent="0.25">
      <c r="A1622" t="str">
        <f>"9D508"</f>
        <v>9D508</v>
      </c>
      <c r="B1622" t="s">
        <v>1476</v>
      </c>
      <c r="C1622" t="s">
        <v>60</v>
      </c>
      <c r="D1622" s="21" t="s">
        <v>34</v>
      </c>
      <c r="E1622" s="21" t="s">
        <v>35</v>
      </c>
      <c r="F1622" t="s">
        <v>1477</v>
      </c>
      <c r="G1622" t="s">
        <v>1478</v>
      </c>
      <c r="H1622" s="21">
        <v>1480.17</v>
      </c>
    </row>
    <row r="1623" spans="1:8" customFormat="1" x14ac:dyDescent="0.25">
      <c r="A1623" t="str">
        <f>"763128"</f>
        <v>763128</v>
      </c>
      <c r="B1623" t="s">
        <v>1890</v>
      </c>
      <c r="C1623" t="s">
        <v>211</v>
      </c>
      <c r="D1623" s="21" t="s">
        <v>34</v>
      </c>
      <c r="E1623" s="21" t="s">
        <v>35</v>
      </c>
      <c r="F1623">
        <v>9760266</v>
      </c>
      <c r="G1623" t="s">
        <v>1891</v>
      </c>
      <c r="H1623" s="21">
        <v>1479.67</v>
      </c>
    </row>
    <row r="1624" spans="1:8" customFormat="1" x14ac:dyDescent="0.25">
      <c r="A1624" t="str">
        <f>"496007"</f>
        <v>496007</v>
      </c>
      <c r="B1624" t="s">
        <v>1826</v>
      </c>
      <c r="C1624" t="s">
        <v>275</v>
      </c>
      <c r="D1624" s="21" t="s">
        <v>34</v>
      </c>
      <c r="E1624" s="21" t="s">
        <v>35</v>
      </c>
      <c r="F1624">
        <v>12490068</v>
      </c>
      <c r="G1624" t="s">
        <v>2070</v>
      </c>
      <c r="H1624" s="21">
        <v>1479.67</v>
      </c>
    </row>
    <row r="1625" spans="1:8" customFormat="1" x14ac:dyDescent="0.25">
      <c r="A1625" t="str">
        <f>"441305"</f>
        <v>441305</v>
      </c>
      <c r="B1625" t="s">
        <v>1938</v>
      </c>
      <c r="C1625" t="s">
        <v>209</v>
      </c>
      <c r="D1625" s="21" t="s">
        <v>34</v>
      </c>
      <c r="E1625" s="21" t="s">
        <v>71</v>
      </c>
      <c r="F1625">
        <v>12440087</v>
      </c>
      <c r="G1625" t="s">
        <v>1860</v>
      </c>
      <c r="H1625" s="21">
        <v>1479.17</v>
      </c>
    </row>
    <row r="1626" spans="1:8" customFormat="1" x14ac:dyDescent="0.25">
      <c r="A1626" t="str">
        <f>"381275"</f>
        <v>381275</v>
      </c>
      <c r="B1626" t="s">
        <v>2823</v>
      </c>
      <c r="C1626" t="s">
        <v>328</v>
      </c>
      <c r="D1626" s="21" t="s">
        <v>34</v>
      </c>
      <c r="E1626" s="21" t="s">
        <v>35</v>
      </c>
      <c r="F1626">
        <v>1380136</v>
      </c>
      <c r="G1626" t="s">
        <v>1047</v>
      </c>
      <c r="H1626" s="21">
        <v>1479.17</v>
      </c>
    </row>
    <row r="1627" spans="1:8" customFormat="1" x14ac:dyDescent="0.25">
      <c r="A1627" t="str">
        <f>"821507"</f>
        <v>821507</v>
      </c>
      <c r="B1627" t="s">
        <v>2470</v>
      </c>
      <c r="C1627" t="s">
        <v>302</v>
      </c>
      <c r="D1627" s="21" t="s">
        <v>34</v>
      </c>
      <c r="E1627" s="21" t="s">
        <v>35</v>
      </c>
      <c r="F1627">
        <v>11310098</v>
      </c>
      <c r="G1627" t="s">
        <v>371</v>
      </c>
      <c r="H1627" s="21">
        <v>1479.17</v>
      </c>
    </row>
    <row r="1628" spans="1:8" customFormat="1" x14ac:dyDescent="0.25">
      <c r="A1628" t="str">
        <f>"0210341"</f>
        <v>0210341</v>
      </c>
      <c r="B1628" t="s">
        <v>3580</v>
      </c>
      <c r="C1628" t="s">
        <v>269</v>
      </c>
      <c r="D1628" s="21" t="s">
        <v>34</v>
      </c>
      <c r="E1628" s="21" t="s">
        <v>35</v>
      </c>
      <c r="F1628">
        <v>7020031</v>
      </c>
      <c r="G1628" t="s">
        <v>828</v>
      </c>
      <c r="H1628" s="21">
        <v>1478.8</v>
      </c>
    </row>
    <row r="1629" spans="1:8" customFormat="1" x14ac:dyDescent="0.25">
      <c r="A1629" t="str">
        <f>"626920"</f>
        <v>626920</v>
      </c>
      <c r="B1629" t="s">
        <v>932</v>
      </c>
      <c r="C1629" t="s">
        <v>263</v>
      </c>
      <c r="D1629" s="21" t="s">
        <v>34</v>
      </c>
      <c r="E1629" s="21" t="s">
        <v>35</v>
      </c>
      <c r="F1629">
        <v>7620108</v>
      </c>
      <c r="G1629" t="s">
        <v>3035</v>
      </c>
      <c r="H1629" s="21">
        <v>1478.67</v>
      </c>
    </row>
    <row r="1630" spans="1:8" customFormat="1" x14ac:dyDescent="0.25">
      <c r="A1630" t="str">
        <f>"4917434"</f>
        <v>4917434</v>
      </c>
      <c r="B1630" t="s">
        <v>2054</v>
      </c>
      <c r="C1630" t="s">
        <v>1665</v>
      </c>
      <c r="D1630" s="21" t="s">
        <v>34</v>
      </c>
      <c r="E1630" s="21" t="s">
        <v>71</v>
      </c>
      <c r="F1630">
        <v>12490061</v>
      </c>
      <c r="G1630" t="s">
        <v>969</v>
      </c>
      <c r="H1630" s="21">
        <v>1478.67</v>
      </c>
    </row>
    <row r="1631" spans="1:8" customFormat="1" x14ac:dyDescent="0.25">
      <c r="A1631" t="str">
        <f>"3726096"</f>
        <v>3726096</v>
      </c>
      <c r="B1631" t="s">
        <v>13042</v>
      </c>
      <c r="C1631" t="s">
        <v>204</v>
      </c>
      <c r="D1631" s="21" t="s">
        <v>34</v>
      </c>
      <c r="E1631" s="21" t="s">
        <v>35</v>
      </c>
      <c r="F1631">
        <v>4370681</v>
      </c>
      <c r="G1631" t="s">
        <v>4508</v>
      </c>
      <c r="H1631" s="21">
        <v>1478.67</v>
      </c>
    </row>
    <row r="1632" spans="1:8" customFormat="1" x14ac:dyDescent="0.25">
      <c r="A1632" t="str">
        <f>"4437638"</f>
        <v>4437638</v>
      </c>
      <c r="B1632" t="s">
        <v>2180</v>
      </c>
      <c r="C1632" t="s">
        <v>62</v>
      </c>
      <c r="D1632" s="21" t="s">
        <v>34</v>
      </c>
      <c r="E1632" s="21" t="s">
        <v>35</v>
      </c>
      <c r="F1632">
        <v>12440116</v>
      </c>
      <c r="G1632" t="s">
        <v>26673</v>
      </c>
      <c r="H1632" s="21">
        <v>1478.67</v>
      </c>
    </row>
    <row r="1633" spans="1:8" customFormat="1" x14ac:dyDescent="0.25">
      <c r="A1633" t="str">
        <f>"6713270"</f>
        <v>6713270</v>
      </c>
      <c r="B1633" t="s">
        <v>2906</v>
      </c>
      <c r="C1633" t="s">
        <v>2907</v>
      </c>
      <c r="D1633" s="21" t="s">
        <v>34</v>
      </c>
      <c r="E1633" s="21" t="s">
        <v>71</v>
      </c>
      <c r="F1633">
        <v>6670216</v>
      </c>
      <c r="G1633" t="s">
        <v>2194</v>
      </c>
      <c r="H1633" s="21">
        <v>1478.67</v>
      </c>
    </row>
    <row r="1634" spans="1:8" customFormat="1" x14ac:dyDescent="0.25">
      <c r="A1634" t="str">
        <f>"082823"</f>
        <v>082823</v>
      </c>
      <c r="B1634" t="s">
        <v>2469</v>
      </c>
      <c r="C1634" t="s">
        <v>40</v>
      </c>
      <c r="D1634" s="21" t="s">
        <v>34</v>
      </c>
      <c r="E1634" s="21" t="s">
        <v>71</v>
      </c>
      <c r="F1634">
        <v>6080082</v>
      </c>
      <c r="G1634" t="s">
        <v>2401</v>
      </c>
      <c r="H1634" s="21">
        <v>1478.67</v>
      </c>
    </row>
    <row r="1635" spans="1:8" customFormat="1" x14ac:dyDescent="0.25">
      <c r="A1635" t="str">
        <f>"9518908"</f>
        <v>9518908</v>
      </c>
      <c r="B1635" t="s">
        <v>2650</v>
      </c>
      <c r="C1635" t="s">
        <v>2651</v>
      </c>
      <c r="D1635" s="21" t="s">
        <v>34</v>
      </c>
      <c r="E1635" s="21" t="s">
        <v>35</v>
      </c>
      <c r="F1635">
        <v>8950092</v>
      </c>
      <c r="G1635" t="s">
        <v>2039</v>
      </c>
      <c r="H1635" s="21">
        <v>1478.3</v>
      </c>
    </row>
    <row r="1636" spans="1:8" customFormat="1" x14ac:dyDescent="0.25">
      <c r="A1636" t="str">
        <f>"7712460"</f>
        <v>7712460</v>
      </c>
      <c r="B1636" t="s">
        <v>13647</v>
      </c>
      <c r="C1636" t="s">
        <v>1142</v>
      </c>
      <c r="D1636" s="21" t="s">
        <v>34</v>
      </c>
      <c r="E1636" s="21" t="s">
        <v>254</v>
      </c>
      <c r="F1636">
        <v>12850148</v>
      </c>
      <c r="G1636" t="s">
        <v>2380</v>
      </c>
      <c r="H1636" s="21">
        <v>1478.17</v>
      </c>
    </row>
    <row r="1637" spans="1:8" customFormat="1" x14ac:dyDescent="0.25">
      <c r="A1637" t="str">
        <f>"724833"</f>
        <v>724833</v>
      </c>
      <c r="B1637" t="s">
        <v>392</v>
      </c>
      <c r="C1637" t="s">
        <v>547</v>
      </c>
      <c r="D1637" s="21" t="s">
        <v>34</v>
      </c>
      <c r="E1637" s="21" t="s">
        <v>254</v>
      </c>
      <c r="F1637">
        <v>12720070</v>
      </c>
      <c r="G1637" t="s">
        <v>2348</v>
      </c>
      <c r="H1637" s="21">
        <v>1478.17</v>
      </c>
    </row>
    <row r="1638" spans="1:8" customFormat="1" x14ac:dyDescent="0.25">
      <c r="A1638" t="str">
        <f>"673736"</f>
        <v>673736</v>
      </c>
      <c r="B1638" t="s">
        <v>2444</v>
      </c>
      <c r="C1638" t="s">
        <v>156</v>
      </c>
      <c r="D1638" s="21" t="s">
        <v>34</v>
      </c>
      <c r="E1638" s="21" t="s">
        <v>71</v>
      </c>
      <c r="F1638">
        <v>6670014</v>
      </c>
      <c r="G1638" t="s">
        <v>4258</v>
      </c>
      <c r="H1638" s="21">
        <v>1478.17</v>
      </c>
    </row>
    <row r="1639" spans="1:8" customFormat="1" x14ac:dyDescent="0.25">
      <c r="A1639" t="str">
        <f>"3712313"</f>
        <v>3712313</v>
      </c>
      <c r="B1639" t="s">
        <v>2623</v>
      </c>
      <c r="C1639" t="s">
        <v>62</v>
      </c>
      <c r="D1639" s="21" t="s">
        <v>34</v>
      </c>
      <c r="E1639" s="21" t="s">
        <v>35</v>
      </c>
      <c r="F1639">
        <v>4370132</v>
      </c>
      <c r="G1639" t="s">
        <v>2262</v>
      </c>
      <c r="H1639" s="21">
        <v>1478.17</v>
      </c>
    </row>
    <row r="1640" spans="1:8" customFormat="1" x14ac:dyDescent="0.25">
      <c r="A1640" t="str">
        <f>"533778"</f>
        <v>533778</v>
      </c>
      <c r="B1640" t="s">
        <v>2565</v>
      </c>
      <c r="C1640" t="s">
        <v>2566</v>
      </c>
      <c r="D1640" s="21" t="s">
        <v>34</v>
      </c>
      <c r="E1640" s="21" t="s">
        <v>35</v>
      </c>
      <c r="F1640">
        <v>12530117</v>
      </c>
      <c r="G1640" t="s">
        <v>1209</v>
      </c>
      <c r="H1640" s="21">
        <v>1478.17</v>
      </c>
    </row>
    <row r="1641" spans="1:8" customFormat="1" x14ac:dyDescent="0.25">
      <c r="A1641" t="str">
        <f>"714946"</f>
        <v>714946</v>
      </c>
      <c r="B1641" t="s">
        <v>2224</v>
      </c>
      <c r="C1641" t="s">
        <v>82</v>
      </c>
      <c r="D1641" s="21" t="s">
        <v>34</v>
      </c>
      <c r="E1641" s="21" t="s">
        <v>35</v>
      </c>
      <c r="F1641">
        <v>2710048</v>
      </c>
      <c r="G1641" t="s">
        <v>2225</v>
      </c>
      <c r="H1641" s="21">
        <v>1478.05</v>
      </c>
    </row>
    <row r="1642" spans="1:8" customFormat="1" x14ac:dyDescent="0.25">
      <c r="A1642" t="str">
        <f>"612801"</f>
        <v>612801</v>
      </c>
      <c r="B1642" t="s">
        <v>3367</v>
      </c>
      <c r="C1642" t="s">
        <v>249</v>
      </c>
      <c r="D1642" s="21" t="s">
        <v>34</v>
      </c>
      <c r="E1642" s="21" t="s">
        <v>35</v>
      </c>
      <c r="F1642">
        <v>12850170</v>
      </c>
      <c r="G1642" t="s">
        <v>3349</v>
      </c>
      <c r="H1642" s="21">
        <v>1478</v>
      </c>
    </row>
    <row r="1643" spans="1:8" customFormat="1" x14ac:dyDescent="0.25">
      <c r="A1643" t="str">
        <f>"02589"</f>
        <v>02589</v>
      </c>
      <c r="B1643" t="s">
        <v>3156</v>
      </c>
      <c r="C1643" t="s">
        <v>55</v>
      </c>
      <c r="D1643" s="21" t="s">
        <v>34</v>
      </c>
      <c r="E1643" s="21" t="s">
        <v>71</v>
      </c>
      <c r="F1643">
        <v>4450751</v>
      </c>
      <c r="G1643" t="s">
        <v>442</v>
      </c>
      <c r="H1643" s="21">
        <v>1477.68</v>
      </c>
    </row>
    <row r="1644" spans="1:8" customFormat="1" x14ac:dyDescent="0.25">
      <c r="A1644" t="str">
        <f>"626827"</f>
        <v>626827</v>
      </c>
      <c r="B1644" t="s">
        <v>7286</v>
      </c>
      <c r="C1644" t="s">
        <v>867</v>
      </c>
      <c r="D1644" s="21" t="s">
        <v>34</v>
      </c>
      <c r="E1644" s="21" t="s">
        <v>35</v>
      </c>
      <c r="F1644">
        <v>7620018</v>
      </c>
      <c r="G1644" t="s">
        <v>6568</v>
      </c>
      <c r="H1644" s="21">
        <v>1477.67</v>
      </c>
    </row>
    <row r="1645" spans="1:8" customFormat="1" x14ac:dyDescent="0.25">
      <c r="A1645" t="str">
        <f>"919710"</f>
        <v>919710</v>
      </c>
      <c r="B1645" t="s">
        <v>3044</v>
      </c>
      <c r="C1645" t="s">
        <v>33</v>
      </c>
      <c r="D1645" s="21" t="s">
        <v>34</v>
      </c>
      <c r="E1645" s="21" t="s">
        <v>71</v>
      </c>
      <c r="F1645">
        <v>8910918</v>
      </c>
      <c r="G1645" t="s">
        <v>332</v>
      </c>
      <c r="H1645" s="21">
        <v>1477.42</v>
      </c>
    </row>
    <row r="1646" spans="1:8" customFormat="1" x14ac:dyDescent="0.25">
      <c r="A1646" t="str">
        <f>"9116084"</f>
        <v>9116084</v>
      </c>
      <c r="B1646" t="s">
        <v>2176</v>
      </c>
      <c r="C1646" t="s">
        <v>121</v>
      </c>
      <c r="D1646" s="21" t="s">
        <v>34</v>
      </c>
      <c r="E1646" s="21" t="s">
        <v>254</v>
      </c>
      <c r="F1646">
        <v>8911009</v>
      </c>
      <c r="G1646" t="s">
        <v>2177</v>
      </c>
      <c r="H1646" s="21">
        <v>1477.42</v>
      </c>
    </row>
    <row r="1647" spans="1:8" customFormat="1" x14ac:dyDescent="0.25">
      <c r="A1647" t="str">
        <f>"336189"</f>
        <v>336189</v>
      </c>
      <c r="B1647" t="s">
        <v>380</v>
      </c>
      <c r="C1647" t="s">
        <v>1104</v>
      </c>
      <c r="D1647" s="21" t="s">
        <v>34</v>
      </c>
      <c r="E1647" s="21" t="s">
        <v>35</v>
      </c>
      <c r="F1647">
        <v>10330011</v>
      </c>
      <c r="G1647" t="s">
        <v>1789</v>
      </c>
      <c r="H1647" s="21">
        <v>1477.42</v>
      </c>
    </row>
    <row r="1648" spans="1:8" customFormat="1" x14ac:dyDescent="0.25">
      <c r="A1648" t="str">
        <f>"8013427"</f>
        <v>8013427</v>
      </c>
      <c r="B1648" t="s">
        <v>2252</v>
      </c>
      <c r="C1648" t="s">
        <v>124</v>
      </c>
      <c r="D1648" s="21" t="s">
        <v>34</v>
      </c>
      <c r="E1648" s="21" t="s">
        <v>71</v>
      </c>
      <c r="F1648">
        <v>7800011</v>
      </c>
      <c r="G1648" t="s">
        <v>2253</v>
      </c>
      <c r="H1648" s="21">
        <v>1477.17</v>
      </c>
    </row>
    <row r="1649" spans="1:8" customFormat="1" x14ac:dyDescent="0.25">
      <c r="A1649" t="str">
        <f>"6913445"</f>
        <v>6913445</v>
      </c>
      <c r="B1649" t="s">
        <v>26674</v>
      </c>
      <c r="C1649" t="s">
        <v>87</v>
      </c>
      <c r="D1649" s="21" t="s">
        <v>34</v>
      </c>
      <c r="E1649" s="21" t="s">
        <v>35</v>
      </c>
      <c r="F1649">
        <v>1690104</v>
      </c>
      <c r="G1649" t="s">
        <v>3501</v>
      </c>
      <c r="H1649" s="21">
        <v>1477.17</v>
      </c>
    </row>
    <row r="1650" spans="1:8" customFormat="1" x14ac:dyDescent="0.25">
      <c r="A1650" t="str">
        <f>"595261"</f>
        <v>595261</v>
      </c>
      <c r="B1650" t="s">
        <v>2450</v>
      </c>
      <c r="C1650" t="s">
        <v>109</v>
      </c>
      <c r="D1650" s="21" t="s">
        <v>34</v>
      </c>
      <c r="E1650" s="21" t="s">
        <v>35</v>
      </c>
      <c r="F1650">
        <v>7590404</v>
      </c>
      <c r="G1650" t="s">
        <v>12173</v>
      </c>
      <c r="H1650" s="21">
        <v>1476.67</v>
      </c>
    </row>
    <row r="1651" spans="1:8" customFormat="1" x14ac:dyDescent="0.25">
      <c r="A1651" t="str">
        <f>"4431562"</f>
        <v>4431562</v>
      </c>
      <c r="B1651" t="s">
        <v>3270</v>
      </c>
      <c r="C1651" t="s">
        <v>302</v>
      </c>
      <c r="D1651" s="21" t="s">
        <v>34</v>
      </c>
      <c r="E1651" s="21" t="s">
        <v>35</v>
      </c>
      <c r="F1651">
        <v>12440136</v>
      </c>
      <c r="G1651" t="s">
        <v>3271</v>
      </c>
      <c r="H1651" s="21">
        <v>1476.17</v>
      </c>
    </row>
    <row r="1652" spans="1:8" customFormat="1" x14ac:dyDescent="0.25">
      <c r="A1652" t="str">
        <f>"561116"</f>
        <v>561116</v>
      </c>
      <c r="B1652" t="s">
        <v>3027</v>
      </c>
      <c r="C1652" t="s">
        <v>1620</v>
      </c>
      <c r="D1652" s="21" t="s">
        <v>34</v>
      </c>
      <c r="E1652" s="21" t="s">
        <v>35</v>
      </c>
      <c r="F1652">
        <v>1690109</v>
      </c>
      <c r="G1652" t="s">
        <v>3028</v>
      </c>
      <c r="H1652" s="21">
        <v>1476.17</v>
      </c>
    </row>
    <row r="1653" spans="1:8" customFormat="1" x14ac:dyDescent="0.25">
      <c r="A1653" t="str">
        <f>"595107"</f>
        <v>595107</v>
      </c>
      <c r="B1653" t="s">
        <v>2099</v>
      </c>
      <c r="C1653" t="s">
        <v>60</v>
      </c>
      <c r="D1653" s="21" t="s">
        <v>34</v>
      </c>
      <c r="E1653" s="21" t="s">
        <v>35</v>
      </c>
      <c r="F1653">
        <v>7590017</v>
      </c>
      <c r="G1653" t="s">
        <v>1316</v>
      </c>
      <c r="H1653" s="21">
        <v>1475.67</v>
      </c>
    </row>
    <row r="1654" spans="1:8" customFormat="1" x14ac:dyDescent="0.25">
      <c r="A1654" t="str">
        <f>"312653"</f>
        <v>312653</v>
      </c>
      <c r="B1654" t="s">
        <v>1295</v>
      </c>
      <c r="C1654" t="s">
        <v>2150</v>
      </c>
      <c r="D1654" s="21" t="s">
        <v>34</v>
      </c>
      <c r="E1654" s="21" t="s">
        <v>71</v>
      </c>
      <c r="F1654">
        <v>11310006</v>
      </c>
      <c r="G1654" t="s">
        <v>419</v>
      </c>
      <c r="H1654" s="21">
        <v>1475.67</v>
      </c>
    </row>
    <row r="1655" spans="1:8" customFormat="1" x14ac:dyDescent="0.25">
      <c r="A1655" t="str">
        <f>"336197"</f>
        <v>336197</v>
      </c>
      <c r="B1655" t="s">
        <v>2460</v>
      </c>
      <c r="C1655" t="s">
        <v>187</v>
      </c>
      <c r="D1655" s="21" t="s">
        <v>34</v>
      </c>
      <c r="E1655" s="21" t="s">
        <v>71</v>
      </c>
      <c r="F1655">
        <v>10330117</v>
      </c>
      <c r="G1655" t="s">
        <v>1942</v>
      </c>
      <c r="H1655" s="21">
        <v>1475.67</v>
      </c>
    </row>
    <row r="1656" spans="1:8" customFormat="1" x14ac:dyDescent="0.25">
      <c r="A1656" t="str">
        <f>"4429434"</f>
        <v>4429434</v>
      </c>
      <c r="B1656" t="s">
        <v>26675</v>
      </c>
      <c r="C1656" t="s">
        <v>43</v>
      </c>
      <c r="D1656" s="21" t="s">
        <v>34</v>
      </c>
      <c r="E1656" s="21" t="s">
        <v>35</v>
      </c>
      <c r="F1656">
        <v>12440166</v>
      </c>
      <c r="G1656" t="s">
        <v>4031</v>
      </c>
      <c r="H1656" s="21">
        <v>1475.67</v>
      </c>
    </row>
    <row r="1657" spans="1:8" customFormat="1" x14ac:dyDescent="0.25">
      <c r="A1657" t="str">
        <f>"82797"</f>
        <v>82797</v>
      </c>
      <c r="B1657" t="s">
        <v>2501</v>
      </c>
      <c r="C1657" t="s">
        <v>2502</v>
      </c>
      <c r="D1657" s="21" t="s">
        <v>34</v>
      </c>
      <c r="E1657" s="21" t="s">
        <v>35</v>
      </c>
      <c r="F1657">
        <v>11820018</v>
      </c>
      <c r="G1657" t="s">
        <v>2503</v>
      </c>
      <c r="H1657" s="21">
        <v>1475.29</v>
      </c>
    </row>
    <row r="1658" spans="1:8" customFormat="1" x14ac:dyDescent="0.25">
      <c r="A1658" t="str">
        <f>"856377"</f>
        <v>856377</v>
      </c>
      <c r="B1658" t="s">
        <v>2598</v>
      </c>
      <c r="C1658" t="s">
        <v>58</v>
      </c>
      <c r="D1658" s="21" t="s">
        <v>34</v>
      </c>
      <c r="E1658" s="21" t="s">
        <v>35</v>
      </c>
      <c r="F1658">
        <v>12851011</v>
      </c>
      <c r="G1658" t="s">
        <v>1445</v>
      </c>
      <c r="H1658" s="21">
        <v>1475.17</v>
      </c>
    </row>
    <row r="1659" spans="1:8" customFormat="1" x14ac:dyDescent="0.25">
      <c r="A1659" t="str">
        <f>"856143"</f>
        <v>856143</v>
      </c>
      <c r="B1659" t="s">
        <v>1349</v>
      </c>
      <c r="C1659" t="s">
        <v>37</v>
      </c>
      <c r="D1659" s="21" t="s">
        <v>34</v>
      </c>
      <c r="E1659" s="21" t="s">
        <v>35</v>
      </c>
      <c r="F1659">
        <v>12850060</v>
      </c>
      <c r="G1659" t="s">
        <v>2783</v>
      </c>
      <c r="H1659" s="21">
        <v>1475.17</v>
      </c>
    </row>
    <row r="1660" spans="1:8" customFormat="1" x14ac:dyDescent="0.25">
      <c r="A1660" t="str">
        <f>"259845"</f>
        <v>259845</v>
      </c>
      <c r="B1660" t="s">
        <v>2690</v>
      </c>
      <c r="C1660" t="s">
        <v>263</v>
      </c>
      <c r="D1660" s="21" t="s">
        <v>34</v>
      </c>
      <c r="E1660" s="21" t="s">
        <v>71</v>
      </c>
      <c r="F1660">
        <v>2700089</v>
      </c>
      <c r="G1660" t="s">
        <v>2570</v>
      </c>
      <c r="H1660" s="21">
        <v>1475.05</v>
      </c>
    </row>
    <row r="1661" spans="1:8" customFormat="1" x14ac:dyDescent="0.25">
      <c r="A1661" t="str">
        <f>"601417"</f>
        <v>601417</v>
      </c>
      <c r="B1661" t="s">
        <v>2398</v>
      </c>
      <c r="C1661" t="s">
        <v>598</v>
      </c>
      <c r="D1661" s="21" t="s">
        <v>34</v>
      </c>
      <c r="E1661" s="21" t="s">
        <v>71</v>
      </c>
      <c r="F1661">
        <v>7600086</v>
      </c>
      <c r="G1661" t="s">
        <v>2399</v>
      </c>
      <c r="H1661" s="21">
        <v>1474.67</v>
      </c>
    </row>
    <row r="1662" spans="1:8" customFormat="1" x14ac:dyDescent="0.25">
      <c r="A1662" t="str">
        <f>"856674"</f>
        <v>856674</v>
      </c>
      <c r="B1662" t="s">
        <v>2563</v>
      </c>
      <c r="C1662" t="s">
        <v>58</v>
      </c>
      <c r="D1662" s="21" t="s">
        <v>34</v>
      </c>
      <c r="E1662" s="21" t="s">
        <v>35</v>
      </c>
      <c r="F1662">
        <v>3350009</v>
      </c>
      <c r="G1662" t="s">
        <v>1823</v>
      </c>
      <c r="H1662" s="21">
        <v>1474.54</v>
      </c>
    </row>
    <row r="1663" spans="1:8" customFormat="1" x14ac:dyDescent="0.25">
      <c r="A1663" t="str">
        <f>"145409"</f>
        <v>145409</v>
      </c>
      <c r="B1663" t="s">
        <v>2640</v>
      </c>
      <c r="C1663" t="s">
        <v>139</v>
      </c>
      <c r="D1663" s="21" t="s">
        <v>34</v>
      </c>
      <c r="E1663" s="21" t="s">
        <v>35</v>
      </c>
      <c r="F1663">
        <v>9270151</v>
      </c>
      <c r="G1663" t="s">
        <v>626</v>
      </c>
      <c r="H1663" s="21">
        <v>1474.05</v>
      </c>
    </row>
    <row r="1664" spans="1:8" customFormat="1" x14ac:dyDescent="0.25">
      <c r="A1664" t="str">
        <f>"675309"</f>
        <v>675309</v>
      </c>
      <c r="B1664" t="s">
        <v>1081</v>
      </c>
      <c r="C1664" t="s">
        <v>1946</v>
      </c>
      <c r="D1664" s="21" t="s">
        <v>34</v>
      </c>
      <c r="E1664" s="21" t="s">
        <v>35</v>
      </c>
      <c r="F1664">
        <v>9140202</v>
      </c>
      <c r="G1664" t="s">
        <v>2011</v>
      </c>
      <c r="H1664" s="21">
        <v>1473.67</v>
      </c>
    </row>
    <row r="1665" spans="1:8" customFormat="1" x14ac:dyDescent="0.25">
      <c r="A1665" t="str">
        <f>"947030"</f>
        <v>947030</v>
      </c>
      <c r="B1665" t="s">
        <v>11838</v>
      </c>
      <c r="C1665" t="s">
        <v>33</v>
      </c>
      <c r="D1665" s="21" t="s">
        <v>34</v>
      </c>
      <c r="E1665" s="21" t="s">
        <v>35</v>
      </c>
      <c r="F1665">
        <v>3290223</v>
      </c>
      <c r="G1665" t="s">
        <v>2636</v>
      </c>
      <c r="H1665" s="21">
        <v>1473.67</v>
      </c>
    </row>
    <row r="1666" spans="1:8" customFormat="1" x14ac:dyDescent="0.25">
      <c r="A1666" t="str">
        <f>"375230"</f>
        <v>375230</v>
      </c>
      <c r="B1666" t="s">
        <v>2201</v>
      </c>
      <c r="C1666" t="s">
        <v>62</v>
      </c>
      <c r="D1666" s="21" t="s">
        <v>34</v>
      </c>
      <c r="E1666" s="21" t="s">
        <v>35</v>
      </c>
      <c r="F1666">
        <v>4370656</v>
      </c>
      <c r="G1666" t="s">
        <v>1127</v>
      </c>
      <c r="H1666" s="21">
        <v>1473.67</v>
      </c>
    </row>
    <row r="1667" spans="1:8" customFormat="1" x14ac:dyDescent="0.25">
      <c r="A1667" t="str">
        <f>"458662"</f>
        <v>458662</v>
      </c>
      <c r="B1667" t="s">
        <v>2613</v>
      </c>
      <c r="C1667" t="s">
        <v>124</v>
      </c>
      <c r="D1667" s="21" t="s">
        <v>34</v>
      </c>
      <c r="E1667" s="21" t="s">
        <v>71</v>
      </c>
      <c r="F1667">
        <v>9140012</v>
      </c>
      <c r="G1667" t="s">
        <v>26518</v>
      </c>
      <c r="H1667" s="21">
        <v>1473.67</v>
      </c>
    </row>
    <row r="1668" spans="1:8" customFormat="1" x14ac:dyDescent="0.25">
      <c r="A1668" t="str">
        <f>"37837"</f>
        <v>37837</v>
      </c>
      <c r="B1668" t="s">
        <v>1952</v>
      </c>
      <c r="C1668" t="s">
        <v>302</v>
      </c>
      <c r="D1668" s="21" t="s">
        <v>34</v>
      </c>
      <c r="E1668" s="21" t="s">
        <v>71</v>
      </c>
      <c r="F1668">
        <v>4370183</v>
      </c>
      <c r="G1668" t="s">
        <v>231</v>
      </c>
      <c r="H1668" s="21">
        <v>1472.92</v>
      </c>
    </row>
    <row r="1669" spans="1:8" customFormat="1" x14ac:dyDescent="0.25">
      <c r="A1669" t="str">
        <f>"593673"</f>
        <v>593673</v>
      </c>
      <c r="B1669" t="s">
        <v>938</v>
      </c>
      <c r="C1669" t="s">
        <v>109</v>
      </c>
      <c r="D1669" s="21" t="s">
        <v>34</v>
      </c>
      <c r="E1669" s="21" t="s">
        <v>35</v>
      </c>
      <c r="F1669">
        <v>7590127</v>
      </c>
      <c r="G1669" t="s">
        <v>214</v>
      </c>
      <c r="H1669" s="21">
        <v>1472.17</v>
      </c>
    </row>
    <row r="1670" spans="1:8" customFormat="1" x14ac:dyDescent="0.25">
      <c r="A1670" t="str">
        <f>"83356"</f>
        <v>83356</v>
      </c>
      <c r="B1670" t="s">
        <v>2212</v>
      </c>
      <c r="C1670" t="s">
        <v>124</v>
      </c>
      <c r="D1670" s="21" t="s">
        <v>34</v>
      </c>
      <c r="E1670" s="21" t="s">
        <v>71</v>
      </c>
      <c r="F1670">
        <v>13830085</v>
      </c>
      <c r="G1670" t="s">
        <v>478</v>
      </c>
      <c r="H1670" s="21">
        <v>1472.17</v>
      </c>
    </row>
    <row r="1671" spans="1:8" customFormat="1" x14ac:dyDescent="0.25">
      <c r="A1671" t="str">
        <f>"8810417"</f>
        <v>8810417</v>
      </c>
      <c r="B1671" t="s">
        <v>2392</v>
      </c>
      <c r="C1671" t="s">
        <v>2393</v>
      </c>
      <c r="D1671" s="21" t="s">
        <v>34</v>
      </c>
      <c r="E1671" s="21" t="s">
        <v>35</v>
      </c>
      <c r="F1671">
        <v>6880007</v>
      </c>
      <c r="G1671" t="s">
        <v>1039</v>
      </c>
      <c r="H1671" s="21">
        <v>1472.17</v>
      </c>
    </row>
    <row r="1672" spans="1:8" customFormat="1" x14ac:dyDescent="0.25">
      <c r="A1672" t="str">
        <f>"952833"</f>
        <v>952833</v>
      </c>
      <c r="B1672" t="s">
        <v>2627</v>
      </c>
      <c r="C1672" t="s">
        <v>33</v>
      </c>
      <c r="D1672" s="21" t="s">
        <v>34</v>
      </c>
      <c r="E1672" s="21" t="s">
        <v>71</v>
      </c>
      <c r="F1672">
        <v>8940535</v>
      </c>
      <c r="G1672" t="s">
        <v>2628</v>
      </c>
      <c r="H1672" s="21">
        <v>1471.68</v>
      </c>
    </row>
    <row r="1673" spans="1:8" customFormat="1" x14ac:dyDescent="0.25">
      <c r="A1673" t="str">
        <f>"148016"</f>
        <v>148016</v>
      </c>
      <c r="B1673" t="s">
        <v>2324</v>
      </c>
      <c r="C1673" t="s">
        <v>49</v>
      </c>
      <c r="D1673" s="21" t="s">
        <v>34</v>
      </c>
      <c r="E1673" s="21" t="s">
        <v>35</v>
      </c>
      <c r="F1673">
        <v>9140013</v>
      </c>
      <c r="G1673" t="s">
        <v>1837</v>
      </c>
      <c r="H1673" s="21">
        <v>1471.67</v>
      </c>
    </row>
    <row r="1674" spans="1:8" customFormat="1" x14ac:dyDescent="0.25">
      <c r="A1674" t="str">
        <f>"67375"</f>
        <v>67375</v>
      </c>
      <c r="B1674" t="s">
        <v>2614</v>
      </c>
      <c r="C1674" t="s">
        <v>62</v>
      </c>
      <c r="D1674" s="21" t="s">
        <v>34</v>
      </c>
      <c r="E1674" s="21" t="s">
        <v>35</v>
      </c>
      <c r="F1674">
        <v>6670014</v>
      </c>
      <c r="G1674" t="s">
        <v>4258</v>
      </c>
      <c r="H1674" s="21">
        <v>1471.67</v>
      </c>
    </row>
    <row r="1675" spans="1:8" customFormat="1" x14ac:dyDescent="0.25">
      <c r="A1675" t="str">
        <f>"7829307"</f>
        <v>7829307</v>
      </c>
      <c r="B1675" t="s">
        <v>1993</v>
      </c>
      <c r="C1675" t="s">
        <v>712</v>
      </c>
      <c r="D1675" s="21" t="s">
        <v>34</v>
      </c>
      <c r="E1675" s="21" t="s">
        <v>254</v>
      </c>
      <c r="F1675">
        <v>1690223</v>
      </c>
      <c r="G1675" t="s">
        <v>26579</v>
      </c>
      <c r="H1675" s="21">
        <v>1471.67</v>
      </c>
    </row>
    <row r="1676" spans="1:8" customFormat="1" x14ac:dyDescent="0.25">
      <c r="A1676" t="str">
        <f>"4913710"</f>
        <v>4913710</v>
      </c>
      <c r="B1676" t="s">
        <v>3555</v>
      </c>
      <c r="C1676" t="s">
        <v>566</v>
      </c>
      <c r="D1676" s="21" t="s">
        <v>34</v>
      </c>
      <c r="E1676" s="21" t="s">
        <v>35</v>
      </c>
      <c r="F1676">
        <v>12490027</v>
      </c>
      <c r="G1676" t="s">
        <v>766</v>
      </c>
      <c r="H1676" s="21">
        <v>1471.67</v>
      </c>
    </row>
    <row r="1677" spans="1:8" customFormat="1" x14ac:dyDescent="0.25">
      <c r="A1677" t="str">
        <f>"424048"</f>
        <v>424048</v>
      </c>
      <c r="B1677" t="s">
        <v>2573</v>
      </c>
      <c r="C1677" t="s">
        <v>1539</v>
      </c>
      <c r="D1677" s="21" t="s">
        <v>34</v>
      </c>
      <c r="E1677" s="21" t="s">
        <v>71</v>
      </c>
      <c r="F1677">
        <v>1420307</v>
      </c>
      <c r="G1677" t="s">
        <v>26676</v>
      </c>
      <c r="H1677" s="21">
        <v>1471.67</v>
      </c>
    </row>
    <row r="1678" spans="1:8" customFormat="1" x14ac:dyDescent="0.25">
      <c r="A1678" t="str">
        <f>"66876"</f>
        <v>66876</v>
      </c>
      <c r="B1678" t="s">
        <v>2153</v>
      </c>
      <c r="C1678" t="s">
        <v>211</v>
      </c>
      <c r="D1678" s="21" t="s">
        <v>34</v>
      </c>
      <c r="E1678" s="21" t="s">
        <v>35</v>
      </c>
      <c r="F1678">
        <v>5980003</v>
      </c>
      <c r="G1678" t="s">
        <v>1746</v>
      </c>
      <c r="H1678" s="21">
        <v>1471.56</v>
      </c>
    </row>
    <row r="1679" spans="1:8" customFormat="1" x14ac:dyDescent="0.25">
      <c r="A1679" t="str">
        <f>"955344"</f>
        <v>955344</v>
      </c>
      <c r="B1679" t="s">
        <v>2051</v>
      </c>
      <c r="C1679" t="s">
        <v>119</v>
      </c>
      <c r="D1679" s="21" t="s">
        <v>34</v>
      </c>
      <c r="E1679" s="21" t="s">
        <v>71</v>
      </c>
      <c r="F1679">
        <v>8950083</v>
      </c>
      <c r="G1679" t="s">
        <v>405</v>
      </c>
      <c r="H1679" s="21">
        <v>1471.54</v>
      </c>
    </row>
    <row r="1680" spans="1:8" customFormat="1" x14ac:dyDescent="0.25">
      <c r="A1680" t="str">
        <f>"57945"</f>
        <v>57945</v>
      </c>
      <c r="B1680" t="s">
        <v>2440</v>
      </c>
      <c r="C1680" t="s">
        <v>1299</v>
      </c>
      <c r="D1680" s="21" t="s">
        <v>34</v>
      </c>
      <c r="E1680" s="21" t="s">
        <v>35</v>
      </c>
      <c r="F1680">
        <v>6570030</v>
      </c>
      <c r="G1680" t="s">
        <v>851</v>
      </c>
      <c r="H1680" s="21">
        <v>1471.17</v>
      </c>
    </row>
    <row r="1681" spans="1:8" customFormat="1" x14ac:dyDescent="0.25">
      <c r="A1681" t="str">
        <f>"4435947"</f>
        <v>4435947</v>
      </c>
      <c r="B1681" t="s">
        <v>1929</v>
      </c>
      <c r="C1681" t="s">
        <v>263</v>
      </c>
      <c r="D1681" s="21" t="s">
        <v>34</v>
      </c>
      <c r="E1681" s="21" t="s">
        <v>35</v>
      </c>
      <c r="F1681">
        <v>12440151</v>
      </c>
      <c r="G1681" t="s">
        <v>1327</v>
      </c>
      <c r="H1681" s="21">
        <v>1471.17</v>
      </c>
    </row>
    <row r="1682" spans="1:8" customFormat="1" x14ac:dyDescent="0.25">
      <c r="A1682" t="str">
        <f>"4922515"</f>
        <v>4922515</v>
      </c>
      <c r="B1682" t="s">
        <v>2842</v>
      </c>
      <c r="C1682" t="s">
        <v>1841</v>
      </c>
      <c r="D1682" s="21" t="s">
        <v>34</v>
      </c>
      <c r="E1682" s="21" t="s">
        <v>254</v>
      </c>
      <c r="F1682">
        <v>12490022</v>
      </c>
      <c r="G1682" t="s">
        <v>1450</v>
      </c>
      <c r="H1682" s="21">
        <v>1471.05</v>
      </c>
    </row>
    <row r="1683" spans="1:8" customFormat="1" x14ac:dyDescent="0.25">
      <c r="A1683" t="str">
        <f>"836501"</f>
        <v>836501</v>
      </c>
      <c r="B1683" t="s">
        <v>2511</v>
      </c>
      <c r="C1683" t="s">
        <v>415</v>
      </c>
      <c r="D1683" s="21" t="s">
        <v>34</v>
      </c>
      <c r="E1683" s="21" t="s">
        <v>71</v>
      </c>
      <c r="F1683">
        <v>8910077</v>
      </c>
      <c r="G1683" t="s">
        <v>1380</v>
      </c>
      <c r="H1683" s="21">
        <v>1470.81</v>
      </c>
    </row>
    <row r="1684" spans="1:8" customFormat="1" x14ac:dyDescent="0.25">
      <c r="A1684" t="str">
        <f>"7520466"</f>
        <v>7520466</v>
      </c>
      <c r="B1684" t="s">
        <v>2500</v>
      </c>
      <c r="C1684" t="s">
        <v>60</v>
      </c>
      <c r="D1684" s="21" t="s">
        <v>34</v>
      </c>
      <c r="E1684" s="21" t="s">
        <v>35</v>
      </c>
      <c r="F1684">
        <v>12440002</v>
      </c>
      <c r="G1684" t="s">
        <v>47</v>
      </c>
      <c r="H1684" s="21">
        <v>1470.67</v>
      </c>
    </row>
    <row r="1685" spans="1:8" customFormat="1" x14ac:dyDescent="0.25">
      <c r="A1685" t="str">
        <f>"17485"</f>
        <v>17485</v>
      </c>
      <c r="B1685" t="s">
        <v>2528</v>
      </c>
      <c r="C1685" t="s">
        <v>2529</v>
      </c>
      <c r="D1685" s="21" t="s">
        <v>34</v>
      </c>
      <c r="E1685" s="21" t="s">
        <v>71</v>
      </c>
      <c r="F1685">
        <v>10170051</v>
      </c>
      <c r="G1685" t="s">
        <v>826</v>
      </c>
      <c r="H1685" s="21">
        <v>1470.67</v>
      </c>
    </row>
    <row r="1686" spans="1:8" customFormat="1" x14ac:dyDescent="0.25">
      <c r="A1686" t="str">
        <f>"704468"</f>
        <v>704468</v>
      </c>
      <c r="B1686" t="s">
        <v>2373</v>
      </c>
      <c r="C1686" t="s">
        <v>209</v>
      </c>
      <c r="D1686" s="21" t="s">
        <v>34</v>
      </c>
      <c r="E1686" s="21" t="s">
        <v>254</v>
      </c>
      <c r="F1686">
        <v>2700009</v>
      </c>
      <c r="G1686" t="s">
        <v>2156</v>
      </c>
      <c r="H1686" s="21">
        <v>1470.17</v>
      </c>
    </row>
    <row r="1687" spans="1:8" customFormat="1" x14ac:dyDescent="0.25">
      <c r="A1687" t="str">
        <f>"682651"</f>
        <v>682651</v>
      </c>
      <c r="B1687" t="s">
        <v>2442</v>
      </c>
      <c r="C1687" t="s">
        <v>33</v>
      </c>
      <c r="D1687" s="21" t="s">
        <v>34</v>
      </c>
      <c r="E1687" s="21" t="s">
        <v>71</v>
      </c>
      <c r="F1687">
        <v>6680105</v>
      </c>
      <c r="G1687" t="s">
        <v>403</v>
      </c>
      <c r="H1687" s="21">
        <v>1470.17</v>
      </c>
    </row>
    <row r="1688" spans="1:8" customFormat="1" x14ac:dyDescent="0.25">
      <c r="A1688" t="str">
        <f>"261425"</f>
        <v>261425</v>
      </c>
      <c r="B1688" t="s">
        <v>400</v>
      </c>
      <c r="C1688" t="s">
        <v>498</v>
      </c>
      <c r="D1688" s="21" t="s">
        <v>34</v>
      </c>
      <c r="E1688" s="21" t="s">
        <v>35</v>
      </c>
      <c r="F1688">
        <v>8750120</v>
      </c>
      <c r="G1688" t="s">
        <v>838</v>
      </c>
      <c r="H1688" s="21">
        <v>1470.06</v>
      </c>
    </row>
    <row r="1689" spans="1:8" customFormat="1" x14ac:dyDescent="0.25">
      <c r="A1689" t="str">
        <f>"954680"</f>
        <v>954680</v>
      </c>
      <c r="B1689" t="s">
        <v>26677</v>
      </c>
      <c r="C1689" t="s">
        <v>305</v>
      </c>
      <c r="D1689" s="21" t="s">
        <v>34</v>
      </c>
      <c r="E1689" s="21" t="s">
        <v>35</v>
      </c>
      <c r="F1689">
        <v>11340018</v>
      </c>
      <c r="G1689" t="s">
        <v>2421</v>
      </c>
      <c r="H1689" s="21">
        <v>1470</v>
      </c>
    </row>
    <row r="1690" spans="1:8" customFormat="1" x14ac:dyDescent="0.25">
      <c r="A1690" t="str">
        <f>"7830079"</f>
        <v>7830079</v>
      </c>
      <c r="B1690" t="s">
        <v>2397</v>
      </c>
      <c r="C1690" t="s">
        <v>269</v>
      </c>
      <c r="D1690" s="21" t="s">
        <v>34</v>
      </c>
      <c r="E1690" s="21" t="s">
        <v>35</v>
      </c>
      <c r="F1690">
        <v>8780571</v>
      </c>
      <c r="G1690" t="s">
        <v>2336</v>
      </c>
      <c r="H1690" s="21">
        <v>1469.94</v>
      </c>
    </row>
    <row r="1691" spans="1:8" customFormat="1" x14ac:dyDescent="0.25">
      <c r="A1691" t="str">
        <f>"34129"</f>
        <v>34129</v>
      </c>
      <c r="B1691" t="s">
        <v>2949</v>
      </c>
      <c r="C1691" t="s">
        <v>151</v>
      </c>
      <c r="D1691" s="21" t="s">
        <v>34</v>
      </c>
      <c r="E1691" s="21" t="s">
        <v>35</v>
      </c>
      <c r="F1691">
        <v>11340008</v>
      </c>
      <c r="G1691" t="s">
        <v>312</v>
      </c>
      <c r="H1691" s="21">
        <v>1469.92</v>
      </c>
    </row>
    <row r="1692" spans="1:8" customFormat="1" x14ac:dyDescent="0.25">
      <c r="A1692" t="str">
        <f>"59692"</f>
        <v>59692</v>
      </c>
      <c r="B1692" t="s">
        <v>1349</v>
      </c>
      <c r="C1692" t="s">
        <v>926</v>
      </c>
      <c r="D1692" s="21" t="s">
        <v>34</v>
      </c>
      <c r="E1692" s="21" t="s">
        <v>35</v>
      </c>
      <c r="F1692">
        <v>7590093</v>
      </c>
      <c r="G1692" t="s">
        <v>7957</v>
      </c>
      <c r="H1692" s="21">
        <v>1469.67</v>
      </c>
    </row>
    <row r="1693" spans="1:8" customFormat="1" x14ac:dyDescent="0.25">
      <c r="A1693" t="str">
        <f>"386565"</f>
        <v>386565</v>
      </c>
      <c r="B1693" t="s">
        <v>2702</v>
      </c>
      <c r="C1693" t="s">
        <v>1887</v>
      </c>
      <c r="D1693" s="21" t="s">
        <v>34</v>
      </c>
      <c r="E1693" s="21" t="s">
        <v>35</v>
      </c>
      <c r="F1693">
        <v>13060085</v>
      </c>
      <c r="G1693" t="s">
        <v>2703</v>
      </c>
      <c r="H1693" s="21">
        <v>1469.67</v>
      </c>
    </row>
    <row r="1694" spans="1:8" customFormat="1" x14ac:dyDescent="0.25">
      <c r="A1694" t="str">
        <f>"663131"</f>
        <v>663131</v>
      </c>
      <c r="B1694" t="s">
        <v>26623</v>
      </c>
      <c r="C1694" t="s">
        <v>169</v>
      </c>
      <c r="D1694" s="21" t="s">
        <v>34</v>
      </c>
      <c r="E1694" s="21" t="s">
        <v>35</v>
      </c>
      <c r="F1694">
        <v>10330003</v>
      </c>
      <c r="G1694" t="s">
        <v>309</v>
      </c>
      <c r="H1694" s="21">
        <v>1469.55</v>
      </c>
    </row>
    <row r="1695" spans="1:8" customFormat="1" x14ac:dyDescent="0.25">
      <c r="A1695" t="str">
        <f>"1610879"</f>
        <v>1610879</v>
      </c>
      <c r="B1695" t="s">
        <v>2277</v>
      </c>
      <c r="C1695" t="s">
        <v>926</v>
      </c>
      <c r="D1695" s="21" t="s">
        <v>34</v>
      </c>
      <c r="E1695" s="21" t="s">
        <v>71</v>
      </c>
      <c r="F1695">
        <v>10160024</v>
      </c>
      <c r="G1695" t="s">
        <v>511</v>
      </c>
      <c r="H1695" s="21">
        <v>1469.17</v>
      </c>
    </row>
    <row r="1696" spans="1:8" customFormat="1" x14ac:dyDescent="0.25">
      <c r="A1696" t="str">
        <f>"621202"</f>
        <v>621202</v>
      </c>
      <c r="B1696" t="s">
        <v>3993</v>
      </c>
      <c r="C1696" t="s">
        <v>33</v>
      </c>
      <c r="D1696" s="21" t="s">
        <v>34</v>
      </c>
      <c r="E1696" s="21" t="s">
        <v>35</v>
      </c>
      <c r="F1696">
        <v>7620061</v>
      </c>
      <c r="G1696" t="s">
        <v>4448</v>
      </c>
      <c r="H1696" s="21">
        <v>1469.17</v>
      </c>
    </row>
    <row r="1697" spans="1:8" customFormat="1" x14ac:dyDescent="0.25">
      <c r="A1697" t="str">
        <f>"62687"</f>
        <v>62687</v>
      </c>
      <c r="B1697" t="s">
        <v>1961</v>
      </c>
      <c r="C1697" t="s">
        <v>209</v>
      </c>
      <c r="D1697" s="21" t="s">
        <v>34</v>
      </c>
      <c r="E1697" s="21" t="s">
        <v>71</v>
      </c>
      <c r="F1697">
        <v>7620058</v>
      </c>
      <c r="G1697" t="s">
        <v>602</v>
      </c>
      <c r="H1697" s="21">
        <v>1469.17</v>
      </c>
    </row>
    <row r="1698" spans="1:8" customFormat="1" x14ac:dyDescent="0.25">
      <c r="A1698" t="str">
        <f>"934936"</f>
        <v>934936</v>
      </c>
      <c r="B1698" t="s">
        <v>2513</v>
      </c>
      <c r="C1698" t="s">
        <v>43</v>
      </c>
      <c r="D1698" s="21" t="s">
        <v>34</v>
      </c>
      <c r="E1698" s="21" t="s">
        <v>35</v>
      </c>
      <c r="F1698">
        <v>10170050</v>
      </c>
      <c r="G1698" t="s">
        <v>2514</v>
      </c>
      <c r="H1698" s="21">
        <v>1469.17</v>
      </c>
    </row>
    <row r="1699" spans="1:8" customFormat="1" x14ac:dyDescent="0.25">
      <c r="A1699" t="str">
        <f>"454387"</f>
        <v>454387</v>
      </c>
      <c r="B1699" t="s">
        <v>3827</v>
      </c>
      <c r="C1699" t="s">
        <v>3828</v>
      </c>
      <c r="D1699" s="21" t="s">
        <v>34</v>
      </c>
      <c r="E1699" s="21" t="s">
        <v>71</v>
      </c>
      <c r="F1699">
        <v>4450757</v>
      </c>
      <c r="G1699" t="s">
        <v>3829</v>
      </c>
      <c r="H1699" s="21">
        <v>1469.05</v>
      </c>
    </row>
    <row r="1700" spans="1:8" customFormat="1" x14ac:dyDescent="0.25">
      <c r="A1700" t="str">
        <f>"58702"</f>
        <v>58702</v>
      </c>
      <c r="B1700" t="s">
        <v>2432</v>
      </c>
      <c r="C1700" t="s">
        <v>55</v>
      </c>
      <c r="D1700" s="21" t="s">
        <v>34</v>
      </c>
      <c r="E1700" s="21" t="s">
        <v>71</v>
      </c>
      <c r="F1700">
        <v>2580012</v>
      </c>
      <c r="G1700" t="s">
        <v>1144</v>
      </c>
      <c r="H1700" s="21">
        <v>1468.67</v>
      </c>
    </row>
    <row r="1701" spans="1:8" customFormat="1" x14ac:dyDescent="0.25">
      <c r="A1701" t="str">
        <f>"491124"</f>
        <v>491124</v>
      </c>
      <c r="B1701" t="s">
        <v>2669</v>
      </c>
      <c r="C1701" t="s">
        <v>139</v>
      </c>
      <c r="D1701" s="21" t="s">
        <v>34</v>
      </c>
      <c r="E1701" s="21" t="s">
        <v>35</v>
      </c>
      <c r="F1701">
        <v>12490098</v>
      </c>
      <c r="G1701" t="s">
        <v>2670</v>
      </c>
      <c r="H1701" s="21">
        <v>1468.67</v>
      </c>
    </row>
    <row r="1702" spans="1:8" customFormat="1" x14ac:dyDescent="0.25">
      <c r="A1702" t="str">
        <f>"699714"</f>
        <v>699714</v>
      </c>
      <c r="B1702" t="s">
        <v>2173</v>
      </c>
      <c r="C1702" t="s">
        <v>43</v>
      </c>
      <c r="D1702" s="21" t="s">
        <v>34</v>
      </c>
      <c r="E1702" s="21" t="s">
        <v>35</v>
      </c>
      <c r="F1702">
        <v>1010023</v>
      </c>
      <c r="G1702" t="s">
        <v>2174</v>
      </c>
      <c r="H1702" s="21">
        <v>1468.67</v>
      </c>
    </row>
    <row r="1703" spans="1:8" customFormat="1" x14ac:dyDescent="0.25">
      <c r="A1703" t="str">
        <f>"2936270"</f>
        <v>2936270</v>
      </c>
      <c r="B1703" t="s">
        <v>4107</v>
      </c>
      <c r="C1703" t="s">
        <v>55</v>
      </c>
      <c r="D1703" s="21" t="s">
        <v>34</v>
      </c>
      <c r="E1703" s="21" t="s">
        <v>35</v>
      </c>
      <c r="F1703">
        <v>3290263</v>
      </c>
      <c r="G1703" t="s">
        <v>4108</v>
      </c>
      <c r="H1703" s="21">
        <v>1468.43</v>
      </c>
    </row>
    <row r="1704" spans="1:8" customFormat="1" x14ac:dyDescent="0.25">
      <c r="A1704" t="str">
        <f>"59155"</f>
        <v>59155</v>
      </c>
      <c r="B1704" t="s">
        <v>2098</v>
      </c>
      <c r="C1704" t="s">
        <v>926</v>
      </c>
      <c r="D1704" s="21" t="s">
        <v>34</v>
      </c>
      <c r="E1704" s="21" t="s">
        <v>71</v>
      </c>
      <c r="F1704">
        <v>7590182</v>
      </c>
      <c r="G1704" t="s">
        <v>172</v>
      </c>
      <c r="H1704" s="21">
        <v>1468.17</v>
      </c>
    </row>
    <row r="1705" spans="1:8" customFormat="1" x14ac:dyDescent="0.25">
      <c r="A1705" t="str">
        <f>"14433"</f>
        <v>14433</v>
      </c>
      <c r="B1705" t="s">
        <v>1462</v>
      </c>
      <c r="C1705" t="s">
        <v>124</v>
      </c>
      <c r="D1705" s="21" t="s">
        <v>34</v>
      </c>
      <c r="E1705" s="21" t="s">
        <v>71</v>
      </c>
      <c r="F1705">
        <v>9140055</v>
      </c>
      <c r="G1705" t="s">
        <v>344</v>
      </c>
      <c r="H1705" s="21">
        <v>1468.17</v>
      </c>
    </row>
    <row r="1706" spans="1:8" customFormat="1" x14ac:dyDescent="0.25">
      <c r="A1706" t="str">
        <f>"756123"</f>
        <v>756123</v>
      </c>
      <c r="B1706" t="s">
        <v>2115</v>
      </c>
      <c r="C1706" t="s">
        <v>90</v>
      </c>
      <c r="D1706" s="21" t="s">
        <v>34</v>
      </c>
      <c r="E1706" s="21" t="s">
        <v>71</v>
      </c>
      <c r="F1706">
        <v>8751163</v>
      </c>
      <c r="G1706" t="s">
        <v>80</v>
      </c>
      <c r="H1706" s="21">
        <v>1467.8</v>
      </c>
    </row>
    <row r="1707" spans="1:8" customFormat="1" x14ac:dyDescent="0.25">
      <c r="A1707" t="str">
        <f>"58140"</f>
        <v>58140</v>
      </c>
      <c r="B1707" t="s">
        <v>517</v>
      </c>
      <c r="C1707" t="s">
        <v>2479</v>
      </c>
      <c r="D1707" s="21" t="s">
        <v>34</v>
      </c>
      <c r="E1707" s="21" t="s">
        <v>254</v>
      </c>
      <c r="F1707">
        <v>2580042</v>
      </c>
      <c r="G1707" t="s">
        <v>1161</v>
      </c>
      <c r="H1707" s="21">
        <v>1467.67</v>
      </c>
    </row>
    <row r="1708" spans="1:8" customFormat="1" x14ac:dyDescent="0.25">
      <c r="A1708" t="str">
        <f>"638730"</f>
        <v>638730</v>
      </c>
      <c r="B1708" t="s">
        <v>1295</v>
      </c>
      <c r="C1708" t="s">
        <v>209</v>
      </c>
      <c r="D1708" s="21" t="s">
        <v>34</v>
      </c>
      <c r="E1708" s="21" t="s">
        <v>71</v>
      </c>
      <c r="F1708">
        <v>1630054</v>
      </c>
      <c r="G1708" t="s">
        <v>2512</v>
      </c>
      <c r="H1708" s="21">
        <v>1467.67</v>
      </c>
    </row>
    <row r="1709" spans="1:8" customFormat="1" x14ac:dyDescent="0.25">
      <c r="A1709" t="str">
        <f>"9422726"</f>
        <v>9422726</v>
      </c>
      <c r="B1709" t="s">
        <v>2096</v>
      </c>
      <c r="C1709" t="s">
        <v>171</v>
      </c>
      <c r="D1709" s="21" t="s">
        <v>34</v>
      </c>
      <c r="E1709" s="21" t="s">
        <v>35</v>
      </c>
      <c r="F1709">
        <v>1630015</v>
      </c>
      <c r="G1709" t="s">
        <v>2097</v>
      </c>
      <c r="H1709" s="21">
        <v>1467.67</v>
      </c>
    </row>
    <row r="1710" spans="1:8" customFormat="1" x14ac:dyDescent="0.25">
      <c r="A1710" t="str">
        <f>"954185"</f>
        <v>954185</v>
      </c>
      <c r="B1710" t="s">
        <v>3224</v>
      </c>
      <c r="C1710" t="s">
        <v>209</v>
      </c>
      <c r="D1710" s="21" t="s">
        <v>34</v>
      </c>
      <c r="E1710" s="21" t="s">
        <v>71</v>
      </c>
      <c r="F1710">
        <v>8951273</v>
      </c>
      <c r="G1710" t="s">
        <v>2382</v>
      </c>
      <c r="H1710" s="21">
        <v>1467.42</v>
      </c>
    </row>
    <row r="1711" spans="1:8" customFormat="1" x14ac:dyDescent="0.25">
      <c r="A1711" t="str">
        <f>"5939009"</f>
        <v>5939009</v>
      </c>
      <c r="B1711" t="s">
        <v>1716</v>
      </c>
      <c r="C1711" t="s">
        <v>65</v>
      </c>
      <c r="D1711" s="21" t="s">
        <v>34</v>
      </c>
      <c r="E1711" s="21" t="s">
        <v>35</v>
      </c>
      <c r="F1711">
        <v>7590123</v>
      </c>
      <c r="G1711" t="s">
        <v>85</v>
      </c>
      <c r="H1711" s="21">
        <v>1467.17</v>
      </c>
    </row>
    <row r="1712" spans="1:8" customFormat="1" x14ac:dyDescent="0.25">
      <c r="A1712" t="str">
        <f>"578942"</f>
        <v>578942</v>
      </c>
      <c r="B1712" t="s">
        <v>2568</v>
      </c>
      <c r="C1712" t="s">
        <v>149</v>
      </c>
      <c r="D1712" s="21" t="s">
        <v>34</v>
      </c>
      <c r="E1712" s="21" t="s">
        <v>35</v>
      </c>
      <c r="F1712">
        <v>6570158</v>
      </c>
      <c r="G1712" t="s">
        <v>2391</v>
      </c>
      <c r="H1712" s="21">
        <v>1467.17</v>
      </c>
    </row>
    <row r="1713" spans="1:8" customFormat="1" x14ac:dyDescent="0.25">
      <c r="A1713" t="str">
        <f>"929512"</f>
        <v>929512</v>
      </c>
      <c r="B1713" t="s">
        <v>3019</v>
      </c>
      <c r="C1713" t="s">
        <v>33</v>
      </c>
      <c r="D1713" s="21" t="s">
        <v>34</v>
      </c>
      <c r="E1713" s="21" t="s">
        <v>35</v>
      </c>
      <c r="F1713">
        <v>8920049</v>
      </c>
      <c r="G1713" t="s">
        <v>237</v>
      </c>
      <c r="H1713" s="21">
        <v>1466.93</v>
      </c>
    </row>
    <row r="1714" spans="1:8" customFormat="1" x14ac:dyDescent="0.25">
      <c r="A1714" t="str">
        <f>"772034"</f>
        <v>772034</v>
      </c>
      <c r="B1714" t="s">
        <v>1031</v>
      </c>
      <c r="C1714" t="s">
        <v>60</v>
      </c>
      <c r="D1714" s="21" t="s">
        <v>34</v>
      </c>
      <c r="E1714" s="21" t="s">
        <v>35</v>
      </c>
      <c r="F1714">
        <v>8770426</v>
      </c>
      <c r="G1714" t="s">
        <v>1847</v>
      </c>
      <c r="H1714" s="21">
        <v>1466.92</v>
      </c>
    </row>
    <row r="1715" spans="1:8" customFormat="1" x14ac:dyDescent="0.25">
      <c r="A1715" t="str">
        <f>"952548"</f>
        <v>952548</v>
      </c>
      <c r="B1715" t="s">
        <v>2782</v>
      </c>
      <c r="C1715" t="s">
        <v>127</v>
      </c>
      <c r="D1715" s="21" t="s">
        <v>34</v>
      </c>
      <c r="E1715" s="21" t="s">
        <v>35</v>
      </c>
      <c r="F1715">
        <v>8951273</v>
      </c>
      <c r="G1715" t="s">
        <v>2382</v>
      </c>
      <c r="H1715" s="21">
        <v>1466.67</v>
      </c>
    </row>
    <row r="1716" spans="1:8" customFormat="1" x14ac:dyDescent="0.25">
      <c r="A1716" t="str">
        <f>"84617"</f>
        <v>84617</v>
      </c>
      <c r="B1716" t="s">
        <v>2018</v>
      </c>
      <c r="C1716" t="s">
        <v>87</v>
      </c>
      <c r="D1716" s="21" t="s">
        <v>34</v>
      </c>
      <c r="E1716" s="21" t="s">
        <v>35</v>
      </c>
      <c r="F1716">
        <v>13840037</v>
      </c>
      <c r="G1716" t="s">
        <v>2019</v>
      </c>
      <c r="H1716" s="21">
        <v>1466.67</v>
      </c>
    </row>
    <row r="1717" spans="1:8" customFormat="1" x14ac:dyDescent="0.25">
      <c r="A1717" t="str">
        <f>"449834"</f>
        <v>449834</v>
      </c>
      <c r="B1717" t="s">
        <v>1079</v>
      </c>
      <c r="C1717" t="s">
        <v>305</v>
      </c>
      <c r="D1717" s="21" t="s">
        <v>34</v>
      </c>
      <c r="E1717" s="21" t="s">
        <v>35</v>
      </c>
      <c r="F1717">
        <v>12440259</v>
      </c>
      <c r="G1717" t="s">
        <v>833</v>
      </c>
      <c r="H1717" s="21">
        <v>1466.67</v>
      </c>
    </row>
    <row r="1718" spans="1:8" customFormat="1" x14ac:dyDescent="0.25">
      <c r="A1718" t="str">
        <f>"603313"</f>
        <v>603313</v>
      </c>
      <c r="B1718" t="s">
        <v>2603</v>
      </c>
      <c r="C1718" t="s">
        <v>249</v>
      </c>
      <c r="D1718" s="21" t="s">
        <v>34</v>
      </c>
      <c r="E1718" s="21" t="s">
        <v>71</v>
      </c>
      <c r="F1718">
        <v>7600070</v>
      </c>
      <c r="G1718" t="s">
        <v>542</v>
      </c>
      <c r="H1718" s="21">
        <v>1466.17</v>
      </c>
    </row>
    <row r="1719" spans="1:8" customFormat="1" x14ac:dyDescent="0.25">
      <c r="A1719" t="str">
        <f>"745284"</f>
        <v>745284</v>
      </c>
      <c r="B1719" t="s">
        <v>2079</v>
      </c>
      <c r="C1719" t="s">
        <v>209</v>
      </c>
      <c r="D1719" s="21" t="s">
        <v>34</v>
      </c>
      <c r="E1719" s="21" t="s">
        <v>71</v>
      </c>
      <c r="F1719">
        <v>1740057</v>
      </c>
      <c r="G1719" t="s">
        <v>1567</v>
      </c>
      <c r="H1719" s="21">
        <v>1465.95</v>
      </c>
    </row>
    <row r="1720" spans="1:8" customFormat="1" x14ac:dyDescent="0.25">
      <c r="A1720" t="str">
        <f>"79845"</f>
        <v>79845</v>
      </c>
      <c r="B1720" t="s">
        <v>1263</v>
      </c>
      <c r="C1720" t="s">
        <v>415</v>
      </c>
      <c r="D1720" s="21" t="s">
        <v>34</v>
      </c>
      <c r="E1720" s="21" t="s">
        <v>254</v>
      </c>
      <c r="F1720">
        <v>10170064</v>
      </c>
      <c r="G1720" t="s">
        <v>1900</v>
      </c>
      <c r="H1720" s="21">
        <v>1465.67</v>
      </c>
    </row>
    <row r="1721" spans="1:8" customFormat="1" x14ac:dyDescent="0.25">
      <c r="A1721" t="str">
        <f>"5015626"</f>
        <v>5015626</v>
      </c>
      <c r="B1721" t="s">
        <v>2229</v>
      </c>
      <c r="C1721" t="s">
        <v>269</v>
      </c>
      <c r="D1721" s="21" t="s">
        <v>34</v>
      </c>
      <c r="E1721" s="21" t="s">
        <v>35</v>
      </c>
      <c r="F1721">
        <v>9500009</v>
      </c>
      <c r="G1721" t="s">
        <v>2230</v>
      </c>
      <c r="H1721" s="21">
        <v>1465.67</v>
      </c>
    </row>
    <row r="1722" spans="1:8" customFormat="1" x14ac:dyDescent="0.25">
      <c r="A1722" t="str">
        <f>"5946291"</f>
        <v>5946291</v>
      </c>
      <c r="B1722" t="s">
        <v>146</v>
      </c>
      <c r="C1722" t="s">
        <v>269</v>
      </c>
      <c r="D1722" s="21" t="s">
        <v>34</v>
      </c>
      <c r="E1722" s="21" t="s">
        <v>71</v>
      </c>
      <c r="F1722">
        <v>7590409</v>
      </c>
      <c r="G1722" t="s">
        <v>2228</v>
      </c>
      <c r="H1722" s="21">
        <v>1465.17</v>
      </c>
    </row>
    <row r="1723" spans="1:8" customFormat="1" x14ac:dyDescent="0.25">
      <c r="A1723" t="str">
        <f>"50911"</f>
        <v>50911</v>
      </c>
      <c r="B1723" t="s">
        <v>2300</v>
      </c>
      <c r="C1723" t="s">
        <v>2301</v>
      </c>
      <c r="D1723" s="21" t="s">
        <v>34</v>
      </c>
      <c r="E1723" s="21" t="s">
        <v>71</v>
      </c>
      <c r="F1723">
        <v>9500093</v>
      </c>
      <c r="G1723" t="s">
        <v>1808</v>
      </c>
      <c r="H1723" s="21">
        <v>1464.92</v>
      </c>
    </row>
    <row r="1724" spans="1:8" customFormat="1" x14ac:dyDescent="0.25">
      <c r="A1724" t="str">
        <f>"2711052"</f>
        <v>2711052</v>
      </c>
      <c r="B1724" t="s">
        <v>2125</v>
      </c>
      <c r="C1724" t="s">
        <v>169</v>
      </c>
      <c r="D1724" s="21" t="s">
        <v>34</v>
      </c>
      <c r="E1724" s="21" t="s">
        <v>35</v>
      </c>
      <c r="F1724" t="s">
        <v>2126</v>
      </c>
      <c r="G1724" t="s">
        <v>2127</v>
      </c>
      <c r="H1724" s="21">
        <v>1464.67</v>
      </c>
    </row>
    <row r="1725" spans="1:8" customFormat="1" x14ac:dyDescent="0.25">
      <c r="A1725" t="str">
        <f>"6490"</f>
        <v>6490</v>
      </c>
      <c r="B1725" t="s">
        <v>2458</v>
      </c>
      <c r="C1725" t="s">
        <v>65</v>
      </c>
      <c r="D1725" s="21" t="s">
        <v>34</v>
      </c>
      <c r="E1725" s="21" t="s">
        <v>35</v>
      </c>
      <c r="F1725">
        <v>10640001</v>
      </c>
      <c r="G1725" t="s">
        <v>2419</v>
      </c>
      <c r="H1725" s="21">
        <v>1464.67</v>
      </c>
    </row>
    <row r="1726" spans="1:8" customFormat="1" x14ac:dyDescent="0.25">
      <c r="A1726" t="str">
        <f>"85128"</f>
        <v>85128</v>
      </c>
      <c r="B1726" t="s">
        <v>2505</v>
      </c>
      <c r="C1726" t="s">
        <v>1853</v>
      </c>
      <c r="D1726" s="21" t="s">
        <v>34</v>
      </c>
      <c r="E1726" s="21" t="s">
        <v>35</v>
      </c>
      <c r="F1726">
        <v>12851011</v>
      </c>
      <c r="G1726" t="s">
        <v>1445</v>
      </c>
      <c r="H1726" s="21">
        <v>1464.67</v>
      </c>
    </row>
    <row r="1727" spans="1:8" customFormat="1" x14ac:dyDescent="0.25">
      <c r="A1727" t="str">
        <f>"162492"</f>
        <v>162492</v>
      </c>
      <c r="B1727" t="s">
        <v>2245</v>
      </c>
      <c r="C1727" t="s">
        <v>249</v>
      </c>
      <c r="D1727" s="21" t="s">
        <v>34</v>
      </c>
      <c r="E1727" s="21" t="s">
        <v>35</v>
      </c>
      <c r="F1727">
        <v>10160023</v>
      </c>
      <c r="G1727" t="s">
        <v>2246</v>
      </c>
      <c r="H1727" s="21">
        <v>1464.67</v>
      </c>
    </row>
    <row r="1728" spans="1:8" customFormat="1" x14ac:dyDescent="0.25">
      <c r="A1728" t="str">
        <f>"949655"</f>
        <v>949655</v>
      </c>
      <c r="B1728" t="s">
        <v>23701</v>
      </c>
      <c r="C1728" t="s">
        <v>62</v>
      </c>
      <c r="D1728" s="21" t="s">
        <v>34</v>
      </c>
      <c r="E1728" s="21" t="s">
        <v>35</v>
      </c>
      <c r="F1728">
        <v>8940052</v>
      </c>
      <c r="G1728" t="s">
        <v>190</v>
      </c>
      <c r="H1728" s="21">
        <v>1464.67</v>
      </c>
    </row>
    <row r="1729" spans="1:8" customFormat="1" x14ac:dyDescent="0.25">
      <c r="A1729" t="str">
        <f>"9447816"</f>
        <v>9447816</v>
      </c>
      <c r="B1729" t="s">
        <v>2402</v>
      </c>
      <c r="C1729" t="s">
        <v>33</v>
      </c>
      <c r="D1729" s="21" t="s">
        <v>34</v>
      </c>
      <c r="E1729" s="21" t="s">
        <v>35</v>
      </c>
      <c r="F1729">
        <v>8940894</v>
      </c>
      <c r="G1729" t="s">
        <v>481</v>
      </c>
      <c r="H1729" s="21">
        <v>1464.67</v>
      </c>
    </row>
    <row r="1730" spans="1:8" customFormat="1" x14ac:dyDescent="0.25">
      <c r="A1730" t="str">
        <f>"2913110"</f>
        <v>2913110</v>
      </c>
      <c r="B1730" t="s">
        <v>7517</v>
      </c>
      <c r="C1730" t="s">
        <v>528</v>
      </c>
      <c r="D1730" s="21" t="s">
        <v>34</v>
      </c>
      <c r="E1730" s="21" t="s">
        <v>35</v>
      </c>
      <c r="F1730">
        <v>3220033</v>
      </c>
      <c r="G1730" t="s">
        <v>657</v>
      </c>
      <c r="H1730" s="21">
        <v>1464.67</v>
      </c>
    </row>
    <row r="1731" spans="1:8" customFormat="1" x14ac:dyDescent="0.25">
      <c r="A1731" t="str">
        <f>"15233"</f>
        <v>15233</v>
      </c>
      <c r="B1731" t="s">
        <v>2355</v>
      </c>
      <c r="C1731" t="s">
        <v>2356</v>
      </c>
      <c r="D1731" s="21" t="s">
        <v>34</v>
      </c>
      <c r="E1731" s="21" t="s">
        <v>35</v>
      </c>
      <c r="F1731">
        <v>1030165</v>
      </c>
      <c r="G1731" t="s">
        <v>2357</v>
      </c>
      <c r="H1731" s="21">
        <v>1464.67</v>
      </c>
    </row>
    <row r="1732" spans="1:8" customFormat="1" x14ac:dyDescent="0.25">
      <c r="A1732" t="str">
        <f>"62598"</f>
        <v>62598</v>
      </c>
      <c r="B1732" t="s">
        <v>2267</v>
      </c>
      <c r="C1732" t="s">
        <v>98</v>
      </c>
      <c r="D1732" s="21" t="s">
        <v>34</v>
      </c>
      <c r="E1732" s="21" t="s">
        <v>35</v>
      </c>
      <c r="F1732">
        <v>7620181</v>
      </c>
      <c r="G1732" t="s">
        <v>2268</v>
      </c>
      <c r="H1732" s="21">
        <v>1464.3</v>
      </c>
    </row>
    <row r="1733" spans="1:8" customFormat="1" x14ac:dyDescent="0.25">
      <c r="A1733" t="str">
        <f>"7613131"</f>
        <v>7613131</v>
      </c>
      <c r="B1733" t="s">
        <v>2736</v>
      </c>
      <c r="C1733" t="s">
        <v>65</v>
      </c>
      <c r="D1733" s="21" t="s">
        <v>34</v>
      </c>
      <c r="E1733" s="21" t="s">
        <v>35</v>
      </c>
      <c r="F1733">
        <v>9760382</v>
      </c>
      <c r="G1733" t="s">
        <v>2737</v>
      </c>
      <c r="H1733" s="21">
        <v>1464.17</v>
      </c>
    </row>
    <row r="1734" spans="1:8" customFormat="1" x14ac:dyDescent="0.25">
      <c r="A1734" t="str">
        <f>"5611667"</f>
        <v>5611667</v>
      </c>
      <c r="B1734" t="s">
        <v>2058</v>
      </c>
      <c r="C1734" t="s">
        <v>2546</v>
      </c>
      <c r="D1734" s="21" t="s">
        <v>34</v>
      </c>
      <c r="E1734" s="21" t="s">
        <v>35</v>
      </c>
      <c r="F1734">
        <v>3560022</v>
      </c>
      <c r="G1734" t="s">
        <v>2547</v>
      </c>
      <c r="H1734" s="21">
        <v>1464.17</v>
      </c>
    </row>
    <row r="1735" spans="1:8" customFormat="1" x14ac:dyDescent="0.25">
      <c r="A1735" t="str">
        <f>"8511927"</f>
        <v>8511927</v>
      </c>
      <c r="B1735" t="s">
        <v>2138</v>
      </c>
      <c r="C1735" t="s">
        <v>1025</v>
      </c>
      <c r="D1735" s="21" t="s">
        <v>34</v>
      </c>
      <c r="E1735" s="21" t="s">
        <v>35</v>
      </c>
      <c r="F1735">
        <v>12850024</v>
      </c>
      <c r="G1735" t="s">
        <v>140</v>
      </c>
      <c r="H1735" s="21">
        <v>1463.67</v>
      </c>
    </row>
    <row r="1736" spans="1:8" customFormat="1" x14ac:dyDescent="0.25">
      <c r="A1736" t="str">
        <f>"545824"</f>
        <v>545824</v>
      </c>
      <c r="B1736" t="s">
        <v>2210</v>
      </c>
      <c r="C1736" t="s">
        <v>611</v>
      </c>
      <c r="D1736" s="21" t="s">
        <v>34</v>
      </c>
      <c r="E1736" s="21" t="s">
        <v>35</v>
      </c>
      <c r="F1736">
        <v>6540034</v>
      </c>
      <c r="G1736" t="s">
        <v>2211</v>
      </c>
      <c r="H1736" s="21">
        <v>1463.67</v>
      </c>
    </row>
    <row r="1737" spans="1:8" customFormat="1" x14ac:dyDescent="0.25">
      <c r="A1737" t="str">
        <f>"7511035"</f>
        <v>7511035</v>
      </c>
      <c r="B1737" t="s">
        <v>26678</v>
      </c>
      <c r="C1737" t="s">
        <v>656</v>
      </c>
      <c r="D1737" s="21" t="s">
        <v>34</v>
      </c>
      <c r="E1737" s="21" t="s">
        <v>35</v>
      </c>
      <c r="F1737">
        <v>8940549</v>
      </c>
      <c r="G1737" t="s">
        <v>454</v>
      </c>
      <c r="H1737" s="21">
        <v>1463.67</v>
      </c>
    </row>
    <row r="1738" spans="1:8" customFormat="1" x14ac:dyDescent="0.25">
      <c r="A1738" t="str">
        <f>"7214321"</f>
        <v>7214321</v>
      </c>
      <c r="B1738" t="s">
        <v>2761</v>
      </c>
      <c r="C1738" t="s">
        <v>1803</v>
      </c>
      <c r="D1738" s="21" t="s">
        <v>34</v>
      </c>
      <c r="E1738" s="21" t="s">
        <v>35</v>
      </c>
      <c r="F1738">
        <v>12720120</v>
      </c>
      <c r="G1738" t="s">
        <v>2509</v>
      </c>
      <c r="H1738" s="21">
        <v>1463.67</v>
      </c>
    </row>
    <row r="1739" spans="1:8" customFormat="1" x14ac:dyDescent="0.25">
      <c r="A1739" t="str">
        <f>"4911321"</f>
        <v>4911321</v>
      </c>
      <c r="B1739" t="s">
        <v>2492</v>
      </c>
      <c r="C1739" t="s">
        <v>305</v>
      </c>
      <c r="D1739" s="21" t="s">
        <v>34</v>
      </c>
      <c r="E1739" s="21" t="s">
        <v>35</v>
      </c>
      <c r="F1739">
        <v>12490040</v>
      </c>
      <c r="G1739" t="s">
        <v>94</v>
      </c>
      <c r="H1739" s="21">
        <v>1463.42</v>
      </c>
    </row>
    <row r="1740" spans="1:8" customFormat="1" x14ac:dyDescent="0.25">
      <c r="A1740" t="str">
        <f>"7715866"</f>
        <v>7715866</v>
      </c>
      <c r="B1740" t="s">
        <v>3423</v>
      </c>
      <c r="C1740" t="s">
        <v>171</v>
      </c>
      <c r="D1740" s="21" t="s">
        <v>34</v>
      </c>
      <c r="E1740" s="21" t="s">
        <v>35</v>
      </c>
      <c r="F1740">
        <v>4450754</v>
      </c>
      <c r="G1740" t="s">
        <v>2695</v>
      </c>
      <c r="H1740" s="21">
        <v>1463.29</v>
      </c>
    </row>
    <row r="1741" spans="1:8" customFormat="1" x14ac:dyDescent="0.25">
      <c r="A1741" t="str">
        <f>"759494"</f>
        <v>759494</v>
      </c>
      <c r="B1741" t="s">
        <v>2800</v>
      </c>
      <c r="C1741" t="s">
        <v>62</v>
      </c>
      <c r="D1741" s="21" t="s">
        <v>34</v>
      </c>
      <c r="E1741" s="21" t="s">
        <v>35</v>
      </c>
      <c r="F1741">
        <v>8780660</v>
      </c>
      <c r="G1741" t="s">
        <v>2801</v>
      </c>
      <c r="H1741" s="21">
        <v>1463.18</v>
      </c>
    </row>
    <row r="1742" spans="1:8" customFormat="1" x14ac:dyDescent="0.25">
      <c r="A1742" t="str">
        <f>"3410200"</f>
        <v>3410200</v>
      </c>
      <c r="B1742" t="s">
        <v>26679</v>
      </c>
      <c r="C1742" t="s">
        <v>3393</v>
      </c>
      <c r="D1742" s="21" t="s">
        <v>34</v>
      </c>
      <c r="E1742" s="21" t="s">
        <v>35</v>
      </c>
      <c r="F1742">
        <v>11340008</v>
      </c>
      <c r="G1742" t="s">
        <v>312</v>
      </c>
      <c r="H1742" s="21">
        <v>1463.17</v>
      </c>
    </row>
    <row r="1743" spans="1:8" customFormat="1" x14ac:dyDescent="0.25">
      <c r="A1743" t="str">
        <f>"8510253"</f>
        <v>8510253</v>
      </c>
      <c r="B1743" t="s">
        <v>795</v>
      </c>
      <c r="C1743" t="s">
        <v>198</v>
      </c>
      <c r="D1743" s="21" t="s">
        <v>34</v>
      </c>
      <c r="E1743" s="21" t="s">
        <v>71</v>
      </c>
      <c r="F1743">
        <v>12850016</v>
      </c>
      <c r="G1743" t="s">
        <v>26554</v>
      </c>
      <c r="H1743" s="21">
        <v>1462.67</v>
      </c>
    </row>
    <row r="1744" spans="1:8" customFormat="1" x14ac:dyDescent="0.25">
      <c r="A1744" t="str">
        <f>"5015599"</f>
        <v>5015599</v>
      </c>
      <c r="B1744" t="s">
        <v>1506</v>
      </c>
      <c r="C1744" t="s">
        <v>62</v>
      </c>
      <c r="D1744" s="21" t="s">
        <v>34</v>
      </c>
      <c r="E1744" s="21" t="s">
        <v>71</v>
      </c>
      <c r="F1744">
        <v>9500030</v>
      </c>
      <c r="G1744" t="s">
        <v>2166</v>
      </c>
      <c r="H1744" s="21">
        <v>1462.67</v>
      </c>
    </row>
    <row r="1745" spans="1:8" customFormat="1" x14ac:dyDescent="0.25">
      <c r="A1745" t="str">
        <f>"703930"</f>
        <v>703930</v>
      </c>
      <c r="B1745" t="s">
        <v>2569</v>
      </c>
      <c r="C1745" t="s">
        <v>40</v>
      </c>
      <c r="D1745" s="21" t="s">
        <v>34</v>
      </c>
      <c r="E1745" s="21" t="s">
        <v>254</v>
      </c>
      <c r="F1745">
        <v>2700089</v>
      </c>
      <c r="G1745" t="s">
        <v>2570</v>
      </c>
      <c r="H1745" s="21">
        <v>1462.67</v>
      </c>
    </row>
    <row r="1746" spans="1:8" customFormat="1" x14ac:dyDescent="0.25">
      <c r="A1746" t="str">
        <f>"6210655"</f>
        <v>6210655</v>
      </c>
      <c r="B1746" t="s">
        <v>2389</v>
      </c>
      <c r="C1746" t="s">
        <v>33</v>
      </c>
      <c r="D1746" s="21" t="s">
        <v>34</v>
      </c>
      <c r="E1746" s="21" t="s">
        <v>71</v>
      </c>
      <c r="F1746">
        <v>7620104</v>
      </c>
      <c r="G1746" t="s">
        <v>635</v>
      </c>
      <c r="H1746" s="21">
        <v>1462.67</v>
      </c>
    </row>
    <row r="1747" spans="1:8" customFormat="1" x14ac:dyDescent="0.25">
      <c r="A1747" t="str">
        <f>"132546"</f>
        <v>132546</v>
      </c>
      <c r="B1747" t="s">
        <v>1650</v>
      </c>
      <c r="C1747" t="s">
        <v>109</v>
      </c>
      <c r="D1747" s="21" t="s">
        <v>34</v>
      </c>
      <c r="E1747" s="21" t="s">
        <v>35</v>
      </c>
      <c r="F1747">
        <v>13130159</v>
      </c>
      <c r="G1747" t="s">
        <v>199</v>
      </c>
      <c r="H1747" s="21">
        <v>1462.42</v>
      </c>
    </row>
    <row r="1748" spans="1:8" customFormat="1" x14ac:dyDescent="0.25">
      <c r="A1748" t="str">
        <f>"08455"</f>
        <v>08455</v>
      </c>
      <c r="B1748" t="s">
        <v>853</v>
      </c>
      <c r="C1748" t="s">
        <v>719</v>
      </c>
      <c r="D1748" s="21" t="s">
        <v>34</v>
      </c>
      <c r="E1748" s="21" t="s">
        <v>35</v>
      </c>
      <c r="F1748">
        <v>6510018</v>
      </c>
      <c r="G1748" t="s">
        <v>3055</v>
      </c>
      <c r="H1748" s="21">
        <v>1462.17</v>
      </c>
    </row>
    <row r="1749" spans="1:8" customFormat="1" x14ac:dyDescent="0.25">
      <c r="A1749" t="str">
        <f>"514245"</f>
        <v>514245</v>
      </c>
      <c r="B1749" t="s">
        <v>26680</v>
      </c>
      <c r="C1749" t="s">
        <v>453</v>
      </c>
      <c r="D1749" s="21" t="s">
        <v>34</v>
      </c>
      <c r="E1749" s="21" t="s">
        <v>35</v>
      </c>
      <c r="F1749">
        <v>6510020</v>
      </c>
      <c r="G1749" t="s">
        <v>3013</v>
      </c>
      <c r="H1749" s="21">
        <v>1462.17</v>
      </c>
    </row>
    <row r="1750" spans="1:8" customFormat="1" x14ac:dyDescent="0.25">
      <c r="A1750" t="str">
        <f>"5947733"</f>
        <v>5947733</v>
      </c>
      <c r="B1750" t="s">
        <v>2408</v>
      </c>
      <c r="C1750" t="s">
        <v>2027</v>
      </c>
      <c r="D1750" s="21" t="s">
        <v>34</v>
      </c>
      <c r="E1750" s="21" t="s">
        <v>35</v>
      </c>
      <c r="F1750">
        <v>7590105</v>
      </c>
      <c r="G1750" t="s">
        <v>887</v>
      </c>
      <c r="H1750" s="21">
        <v>1462.05</v>
      </c>
    </row>
    <row r="1751" spans="1:8" customFormat="1" x14ac:dyDescent="0.25">
      <c r="A1751" t="str">
        <f>"2810420"</f>
        <v>2810420</v>
      </c>
      <c r="B1751" t="s">
        <v>3052</v>
      </c>
      <c r="C1751" t="s">
        <v>169</v>
      </c>
      <c r="D1751" s="21" t="s">
        <v>34</v>
      </c>
      <c r="E1751" s="21" t="s">
        <v>35</v>
      </c>
      <c r="F1751">
        <v>4280048</v>
      </c>
      <c r="G1751" t="s">
        <v>3053</v>
      </c>
      <c r="H1751" s="21">
        <v>1462.05</v>
      </c>
    </row>
    <row r="1752" spans="1:8" customFormat="1" x14ac:dyDescent="0.25">
      <c r="A1752" t="str">
        <f>"01109"</f>
        <v>01109</v>
      </c>
      <c r="B1752" t="s">
        <v>2632</v>
      </c>
      <c r="C1752" t="s">
        <v>55</v>
      </c>
      <c r="D1752" s="21" t="s">
        <v>34</v>
      </c>
      <c r="E1752" s="21" t="s">
        <v>71</v>
      </c>
      <c r="F1752">
        <v>1010069</v>
      </c>
      <c r="G1752" t="s">
        <v>1707</v>
      </c>
      <c r="H1752" s="21">
        <v>1461.92</v>
      </c>
    </row>
    <row r="1753" spans="1:8" customFormat="1" x14ac:dyDescent="0.25">
      <c r="A1753" t="str">
        <f>"286212"</f>
        <v>286212</v>
      </c>
      <c r="B1753" t="s">
        <v>23310</v>
      </c>
      <c r="C1753" t="s">
        <v>269</v>
      </c>
      <c r="D1753" s="21" t="s">
        <v>34</v>
      </c>
      <c r="E1753" s="21" t="s">
        <v>35</v>
      </c>
      <c r="F1753">
        <v>4280121</v>
      </c>
      <c r="G1753" t="s">
        <v>4565</v>
      </c>
      <c r="H1753" s="21">
        <v>1461.67</v>
      </c>
    </row>
    <row r="1754" spans="1:8" customFormat="1" x14ac:dyDescent="0.25">
      <c r="A1754" t="str">
        <f>"575406"</f>
        <v>575406</v>
      </c>
      <c r="B1754" t="s">
        <v>2375</v>
      </c>
      <c r="C1754" t="s">
        <v>263</v>
      </c>
      <c r="D1754" s="21" t="s">
        <v>34</v>
      </c>
      <c r="E1754" s="21" t="s">
        <v>71</v>
      </c>
      <c r="F1754">
        <v>6570015</v>
      </c>
      <c r="G1754" t="s">
        <v>749</v>
      </c>
      <c r="H1754" s="21">
        <v>1461.67</v>
      </c>
    </row>
    <row r="1755" spans="1:8" customFormat="1" x14ac:dyDescent="0.25">
      <c r="A1755" t="str">
        <f>"62132"</f>
        <v>62132</v>
      </c>
      <c r="B1755" t="s">
        <v>1500</v>
      </c>
      <c r="C1755" t="s">
        <v>926</v>
      </c>
      <c r="D1755" s="21" t="s">
        <v>34</v>
      </c>
      <c r="E1755" s="21" t="s">
        <v>71</v>
      </c>
      <c r="F1755">
        <v>7620111</v>
      </c>
      <c r="G1755" t="s">
        <v>1372</v>
      </c>
      <c r="H1755" s="21">
        <v>1461.67</v>
      </c>
    </row>
    <row r="1756" spans="1:8" customFormat="1" x14ac:dyDescent="0.25">
      <c r="A1756" t="str">
        <f>"502515"</f>
        <v>502515</v>
      </c>
      <c r="B1756" t="s">
        <v>6262</v>
      </c>
      <c r="C1756" t="s">
        <v>209</v>
      </c>
      <c r="D1756" s="21" t="s">
        <v>34</v>
      </c>
      <c r="E1756" s="21" t="s">
        <v>71</v>
      </c>
      <c r="F1756">
        <v>9500161</v>
      </c>
      <c r="G1756" t="s">
        <v>11812</v>
      </c>
      <c r="H1756" s="21">
        <v>1461.29</v>
      </c>
    </row>
    <row r="1757" spans="1:8" customFormat="1" x14ac:dyDescent="0.25">
      <c r="A1757" t="str">
        <f>"953071"</f>
        <v>953071</v>
      </c>
      <c r="B1757" t="s">
        <v>2748</v>
      </c>
      <c r="C1757" t="s">
        <v>269</v>
      </c>
      <c r="D1757" s="21" t="s">
        <v>34</v>
      </c>
      <c r="E1757" s="21" t="s">
        <v>71</v>
      </c>
      <c r="F1757">
        <v>8950479</v>
      </c>
      <c r="G1757" t="s">
        <v>728</v>
      </c>
      <c r="H1757" s="21">
        <v>1461.18</v>
      </c>
    </row>
    <row r="1758" spans="1:8" customFormat="1" x14ac:dyDescent="0.25">
      <c r="A1758" t="str">
        <f>"2511697"</f>
        <v>2511697</v>
      </c>
      <c r="B1758" t="s">
        <v>2957</v>
      </c>
      <c r="C1758" t="s">
        <v>2958</v>
      </c>
      <c r="D1758" s="21" t="s">
        <v>34</v>
      </c>
      <c r="E1758" s="21" t="s">
        <v>71</v>
      </c>
      <c r="F1758">
        <v>2250193</v>
      </c>
      <c r="G1758" t="s">
        <v>2584</v>
      </c>
      <c r="H1758" s="21">
        <v>1461.17</v>
      </c>
    </row>
    <row r="1759" spans="1:8" customFormat="1" x14ac:dyDescent="0.25">
      <c r="A1759" t="str">
        <f>"856837"</f>
        <v>856837</v>
      </c>
      <c r="B1759" t="s">
        <v>3280</v>
      </c>
      <c r="C1759" t="s">
        <v>169</v>
      </c>
      <c r="D1759" s="21" t="s">
        <v>34</v>
      </c>
      <c r="E1759" s="21" t="s">
        <v>35</v>
      </c>
      <c r="F1759">
        <v>12851016</v>
      </c>
      <c r="G1759" t="s">
        <v>1862</v>
      </c>
      <c r="H1759" s="21">
        <v>1460.93</v>
      </c>
    </row>
    <row r="1760" spans="1:8" customFormat="1" x14ac:dyDescent="0.25">
      <c r="A1760" t="str">
        <f>"745317"</f>
        <v>745317</v>
      </c>
      <c r="B1760" t="s">
        <v>2626</v>
      </c>
      <c r="C1760" t="s">
        <v>1146</v>
      </c>
      <c r="D1760" s="21" t="s">
        <v>34</v>
      </c>
      <c r="E1760" s="21" t="s">
        <v>35</v>
      </c>
      <c r="F1760">
        <v>1740010</v>
      </c>
      <c r="G1760" t="s">
        <v>4986</v>
      </c>
      <c r="H1760" s="21">
        <v>1460.67</v>
      </c>
    </row>
    <row r="1761" spans="1:8" customFormat="1" x14ac:dyDescent="0.25">
      <c r="A1761" t="str">
        <f>"781315"</f>
        <v>781315</v>
      </c>
      <c r="B1761" t="s">
        <v>2869</v>
      </c>
      <c r="C1761" t="s">
        <v>209</v>
      </c>
      <c r="D1761" s="21" t="s">
        <v>34</v>
      </c>
      <c r="E1761" s="21" t="s">
        <v>35</v>
      </c>
      <c r="F1761">
        <v>12850142</v>
      </c>
      <c r="G1761" t="s">
        <v>2663</v>
      </c>
      <c r="H1761" s="21">
        <v>1460.67</v>
      </c>
    </row>
    <row r="1762" spans="1:8" customFormat="1" x14ac:dyDescent="0.25">
      <c r="A1762" t="str">
        <f>"616962"</f>
        <v>616962</v>
      </c>
      <c r="B1762" t="s">
        <v>3299</v>
      </c>
      <c r="C1762" t="s">
        <v>37</v>
      </c>
      <c r="D1762" s="21" t="s">
        <v>34</v>
      </c>
      <c r="E1762" s="21" t="s">
        <v>71</v>
      </c>
      <c r="F1762">
        <v>9140054</v>
      </c>
      <c r="G1762" t="s">
        <v>3300</v>
      </c>
      <c r="H1762" s="21">
        <v>1460.17</v>
      </c>
    </row>
    <row r="1763" spans="1:8" customFormat="1" x14ac:dyDescent="0.25">
      <c r="A1763" t="str">
        <f>"7812172"</f>
        <v>7812172</v>
      </c>
      <c r="B1763" t="s">
        <v>2377</v>
      </c>
      <c r="C1763" t="s">
        <v>151</v>
      </c>
      <c r="D1763" s="21" t="s">
        <v>34</v>
      </c>
      <c r="E1763" s="21" t="s">
        <v>71</v>
      </c>
      <c r="F1763">
        <v>9270006</v>
      </c>
      <c r="G1763" t="s">
        <v>780</v>
      </c>
      <c r="H1763" s="21">
        <v>1460.17</v>
      </c>
    </row>
    <row r="1764" spans="1:8" customFormat="1" x14ac:dyDescent="0.25">
      <c r="A1764" t="str">
        <f>"50245"</f>
        <v>50245</v>
      </c>
      <c r="B1764" t="s">
        <v>2883</v>
      </c>
      <c r="C1764" t="s">
        <v>156</v>
      </c>
      <c r="D1764" s="21" t="s">
        <v>34</v>
      </c>
      <c r="E1764" s="21" t="s">
        <v>71</v>
      </c>
      <c r="F1764">
        <v>9500143</v>
      </c>
      <c r="G1764" t="s">
        <v>2884</v>
      </c>
      <c r="H1764" s="21">
        <v>1460.17</v>
      </c>
    </row>
    <row r="1765" spans="1:8" customFormat="1" x14ac:dyDescent="0.25">
      <c r="A1765" t="str">
        <f>"94229"</f>
        <v>94229</v>
      </c>
      <c r="B1765" t="s">
        <v>2494</v>
      </c>
      <c r="C1765" t="s">
        <v>750</v>
      </c>
      <c r="D1765" s="21" t="s">
        <v>34</v>
      </c>
      <c r="E1765" s="21" t="s">
        <v>71</v>
      </c>
      <c r="F1765">
        <v>8910861</v>
      </c>
      <c r="G1765" t="s">
        <v>1120</v>
      </c>
      <c r="H1765" s="21">
        <v>1460.17</v>
      </c>
    </row>
    <row r="1766" spans="1:8" customFormat="1" x14ac:dyDescent="0.25">
      <c r="A1766" t="str">
        <f>"731607"</f>
        <v>731607</v>
      </c>
      <c r="B1766" t="s">
        <v>2481</v>
      </c>
      <c r="C1766" t="s">
        <v>601</v>
      </c>
      <c r="D1766" s="21" t="s">
        <v>34</v>
      </c>
      <c r="E1766" s="21" t="s">
        <v>71</v>
      </c>
      <c r="F1766">
        <v>1730076</v>
      </c>
      <c r="G1766" t="s">
        <v>936</v>
      </c>
      <c r="H1766" s="21">
        <v>1460.17</v>
      </c>
    </row>
    <row r="1767" spans="1:8" customFormat="1" x14ac:dyDescent="0.25">
      <c r="A1767" t="str">
        <f>"2510601"</f>
        <v>2510601</v>
      </c>
      <c r="B1767" t="s">
        <v>2504</v>
      </c>
      <c r="C1767" t="s">
        <v>209</v>
      </c>
      <c r="D1767" s="21" t="s">
        <v>34</v>
      </c>
      <c r="E1767" s="21" t="s">
        <v>35</v>
      </c>
      <c r="F1767">
        <v>2250213</v>
      </c>
      <c r="G1767" t="s">
        <v>1969</v>
      </c>
      <c r="H1767" s="21">
        <v>1459.92</v>
      </c>
    </row>
    <row r="1768" spans="1:8" customFormat="1" x14ac:dyDescent="0.25">
      <c r="A1768" t="str">
        <f>"3534225"</f>
        <v>3534225</v>
      </c>
      <c r="B1768" t="s">
        <v>3167</v>
      </c>
      <c r="C1768" t="s">
        <v>513</v>
      </c>
      <c r="D1768" s="21" t="s">
        <v>34</v>
      </c>
      <c r="E1768" s="21" t="s">
        <v>35</v>
      </c>
      <c r="F1768">
        <v>3350027</v>
      </c>
      <c r="G1768" t="s">
        <v>2760</v>
      </c>
      <c r="H1768" s="21">
        <v>1459.8</v>
      </c>
    </row>
    <row r="1769" spans="1:8" customFormat="1" x14ac:dyDescent="0.25">
      <c r="A1769" t="str">
        <f>"69116"</f>
        <v>69116</v>
      </c>
      <c r="B1769" t="s">
        <v>2080</v>
      </c>
      <c r="C1769" t="s">
        <v>169</v>
      </c>
      <c r="D1769" s="21" t="s">
        <v>34</v>
      </c>
      <c r="E1769" s="21" t="s">
        <v>35</v>
      </c>
      <c r="F1769">
        <v>1690102</v>
      </c>
      <c r="G1769" t="s">
        <v>2081</v>
      </c>
      <c r="H1769" s="21">
        <v>1459.67</v>
      </c>
    </row>
    <row r="1770" spans="1:8" customFormat="1" x14ac:dyDescent="0.25">
      <c r="A1770" t="str">
        <f>"83382"</f>
        <v>83382</v>
      </c>
      <c r="B1770" t="s">
        <v>2231</v>
      </c>
      <c r="C1770" t="s">
        <v>2232</v>
      </c>
      <c r="D1770" s="21" t="s">
        <v>34</v>
      </c>
      <c r="E1770" s="21" t="s">
        <v>254</v>
      </c>
      <c r="F1770">
        <v>13830029</v>
      </c>
      <c r="G1770" t="s">
        <v>315</v>
      </c>
      <c r="H1770" s="21">
        <v>1459.67</v>
      </c>
    </row>
    <row r="1771" spans="1:8" customFormat="1" x14ac:dyDescent="0.25">
      <c r="A1771" t="str">
        <f>"302847"</f>
        <v>302847</v>
      </c>
      <c r="B1771" t="s">
        <v>1744</v>
      </c>
      <c r="C1771" t="s">
        <v>33</v>
      </c>
      <c r="D1771" s="21" t="s">
        <v>34</v>
      </c>
      <c r="E1771" s="21" t="s">
        <v>71</v>
      </c>
      <c r="F1771">
        <v>11300016</v>
      </c>
      <c r="G1771" t="s">
        <v>157</v>
      </c>
      <c r="H1771" s="21">
        <v>1459.67</v>
      </c>
    </row>
    <row r="1772" spans="1:8" customFormat="1" x14ac:dyDescent="0.25">
      <c r="A1772" t="str">
        <f>"4918034"</f>
        <v>4918034</v>
      </c>
      <c r="B1772" t="s">
        <v>2350</v>
      </c>
      <c r="C1772" t="s">
        <v>144</v>
      </c>
      <c r="D1772" s="21" t="s">
        <v>34</v>
      </c>
      <c r="E1772" s="21" t="s">
        <v>35</v>
      </c>
      <c r="F1772">
        <v>12490120</v>
      </c>
      <c r="G1772" t="s">
        <v>2316</v>
      </c>
      <c r="H1772" s="21">
        <v>1459.17</v>
      </c>
    </row>
    <row r="1773" spans="1:8" customFormat="1" x14ac:dyDescent="0.25">
      <c r="A1773" t="str">
        <f>"6944819"</f>
        <v>6944819</v>
      </c>
      <c r="B1773" t="s">
        <v>2605</v>
      </c>
      <c r="C1773" t="s">
        <v>415</v>
      </c>
      <c r="D1773" s="21" t="s">
        <v>34</v>
      </c>
      <c r="E1773" s="21" t="s">
        <v>254</v>
      </c>
      <c r="F1773">
        <v>1690186</v>
      </c>
      <c r="G1773" t="s">
        <v>438</v>
      </c>
      <c r="H1773" s="21">
        <v>1459.17</v>
      </c>
    </row>
    <row r="1774" spans="1:8" customFormat="1" x14ac:dyDescent="0.25">
      <c r="A1774" t="str">
        <f>"299235"</f>
        <v>299235</v>
      </c>
      <c r="B1774" t="s">
        <v>2075</v>
      </c>
      <c r="C1774" t="s">
        <v>249</v>
      </c>
      <c r="D1774" s="21" t="s">
        <v>34</v>
      </c>
      <c r="E1774" s="21" t="s">
        <v>35</v>
      </c>
      <c r="F1774">
        <v>12530114</v>
      </c>
      <c r="G1774" t="s">
        <v>1342</v>
      </c>
      <c r="H1774" s="21">
        <v>1459.17</v>
      </c>
    </row>
    <row r="1775" spans="1:8" customFormat="1" x14ac:dyDescent="0.25">
      <c r="A1775" t="str">
        <f>"299569"</f>
        <v>299569</v>
      </c>
      <c r="B1775" t="s">
        <v>8648</v>
      </c>
      <c r="C1775" t="s">
        <v>302</v>
      </c>
      <c r="D1775" s="21" t="s">
        <v>34</v>
      </c>
      <c r="E1775" s="21" t="s">
        <v>35</v>
      </c>
      <c r="F1775">
        <v>9760168</v>
      </c>
      <c r="G1775" t="s">
        <v>179</v>
      </c>
      <c r="H1775" s="21">
        <v>1459.17</v>
      </c>
    </row>
    <row r="1776" spans="1:8" customFormat="1" x14ac:dyDescent="0.25">
      <c r="A1776" t="str">
        <f>"032912"</f>
        <v>032912</v>
      </c>
      <c r="B1776" t="s">
        <v>2342</v>
      </c>
      <c r="C1776" t="s">
        <v>33</v>
      </c>
      <c r="D1776" s="21" t="s">
        <v>34</v>
      </c>
      <c r="E1776" s="21" t="s">
        <v>35</v>
      </c>
      <c r="F1776">
        <v>1030035</v>
      </c>
      <c r="G1776" t="s">
        <v>2343</v>
      </c>
      <c r="H1776" s="21">
        <v>1459.17</v>
      </c>
    </row>
    <row r="1777" spans="1:8" customFormat="1" x14ac:dyDescent="0.25">
      <c r="A1777" t="str">
        <f>"3514955"</f>
        <v>3514955</v>
      </c>
      <c r="B1777" t="s">
        <v>740</v>
      </c>
      <c r="C1777" t="s">
        <v>934</v>
      </c>
      <c r="D1777" s="21" t="s">
        <v>34</v>
      </c>
      <c r="E1777" s="21" t="s">
        <v>35</v>
      </c>
      <c r="F1777">
        <v>3350009</v>
      </c>
      <c r="G1777" t="s">
        <v>1823</v>
      </c>
      <c r="H1777" s="21">
        <v>1459.17</v>
      </c>
    </row>
    <row r="1778" spans="1:8" customFormat="1" x14ac:dyDescent="0.25">
      <c r="A1778" t="str">
        <f>"593215"</f>
        <v>593215</v>
      </c>
      <c r="B1778" t="s">
        <v>2919</v>
      </c>
      <c r="C1778" t="s">
        <v>1132</v>
      </c>
      <c r="D1778" s="21" t="s">
        <v>34</v>
      </c>
      <c r="E1778" s="21" t="s">
        <v>35</v>
      </c>
      <c r="F1778">
        <v>7590263</v>
      </c>
      <c r="G1778" t="s">
        <v>895</v>
      </c>
      <c r="H1778" s="21">
        <v>1459.17</v>
      </c>
    </row>
    <row r="1779" spans="1:8" customFormat="1" x14ac:dyDescent="0.25">
      <c r="A1779" t="str">
        <f>"3320226"</f>
        <v>3320226</v>
      </c>
      <c r="B1779" t="s">
        <v>2293</v>
      </c>
      <c r="C1779" t="s">
        <v>55</v>
      </c>
      <c r="D1779" s="21" t="s">
        <v>34</v>
      </c>
      <c r="E1779" s="21" t="s">
        <v>71</v>
      </c>
      <c r="F1779">
        <v>10400008</v>
      </c>
      <c r="G1779" t="s">
        <v>2294</v>
      </c>
      <c r="H1779" s="21">
        <v>1459.17</v>
      </c>
    </row>
    <row r="1780" spans="1:8" customFormat="1" x14ac:dyDescent="0.25">
      <c r="A1780" t="str">
        <f>"637798"</f>
        <v>637798</v>
      </c>
      <c r="B1780" t="s">
        <v>2967</v>
      </c>
      <c r="C1780" t="s">
        <v>43</v>
      </c>
      <c r="D1780" s="21" t="s">
        <v>34</v>
      </c>
      <c r="E1780" s="21" t="s">
        <v>35</v>
      </c>
      <c r="F1780">
        <v>1630085</v>
      </c>
      <c r="G1780" t="s">
        <v>2968</v>
      </c>
      <c r="H1780" s="21">
        <v>1459.05</v>
      </c>
    </row>
    <row r="1781" spans="1:8" customFormat="1" x14ac:dyDescent="0.25">
      <c r="A1781" t="str">
        <f>"9136589"</f>
        <v>9136589</v>
      </c>
      <c r="B1781" t="s">
        <v>3218</v>
      </c>
      <c r="C1781" t="s">
        <v>3219</v>
      </c>
      <c r="D1781" s="21" t="s">
        <v>34</v>
      </c>
      <c r="E1781" s="21" t="s">
        <v>35</v>
      </c>
      <c r="F1781">
        <v>8910861</v>
      </c>
      <c r="G1781" t="s">
        <v>1120</v>
      </c>
      <c r="H1781" s="21">
        <v>1459.05</v>
      </c>
    </row>
    <row r="1782" spans="1:8" customFormat="1" x14ac:dyDescent="0.25">
      <c r="A1782" t="str">
        <f>"794749"</f>
        <v>794749</v>
      </c>
      <c r="B1782" t="s">
        <v>2014</v>
      </c>
      <c r="C1782" t="s">
        <v>169</v>
      </c>
      <c r="D1782" s="21" t="s">
        <v>34</v>
      </c>
      <c r="E1782" s="21" t="s">
        <v>71</v>
      </c>
      <c r="F1782">
        <v>10790163</v>
      </c>
      <c r="G1782" t="s">
        <v>2015</v>
      </c>
      <c r="H1782" s="21">
        <v>1458.67</v>
      </c>
    </row>
    <row r="1783" spans="1:8" customFormat="1" x14ac:dyDescent="0.25">
      <c r="A1783" t="str">
        <f>"563081"</f>
        <v>563081</v>
      </c>
      <c r="B1783" t="s">
        <v>26681</v>
      </c>
      <c r="C1783" t="s">
        <v>119</v>
      </c>
      <c r="D1783" s="21" t="s">
        <v>34</v>
      </c>
      <c r="E1783" s="21" t="s">
        <v>35</v>
      </c>
      <c r="F1783">
        <v>3560053</v>
      </c>
      <c r="G1783" t="s">
        <v>298</v>
      </c>
      <c r="H1783" s="21">
        <v>1458.04</v>
      </c>
    </row>
    <row r="1784" spans="1:8" customFormat="1" x14ac:dyDescent="0.25">
      <c r="A1784" t="str">
        <f>"673345"</f>
        <v>673345</v>
      </c>
      <c r="B1784" t="s">
        <v>2789</v>
      </c>
      <c r="C1784" t="s">
        <v>1605</v>
      </c>
      <c r="D1784" s="21" t="s">
        <v>34</v>
      </c>
      <c r="E1784" s="21" t="s">
        <v>71</v>
      </c>
      <c r="F1784">
        <v>6670187</v>
      </c>
      <c r="G1784" t="s">
        <v>240</v>
      </c>
      <c r="H1784" s="21">
        <v>1458</v>
      </c>
    </row>
    <row r="1785" spans="1:8" customFormat="1" x14ac:dyDescent="0.25">
      <c r="A1785" t="str">
        <f>"685318"</f>
        <v>685318</v>
      </c>
      <c r="B1785" t="s">
        <v>2449</v>
      </c>
      <c r="C1785" t="s">
        <v>33</v>
      </c>
      <c r="D1785" s="21" t="s">
        <v>34</v>
      </c>
      <c r="E1785" s="21" t="s">
        <v>35</v>
      </c>
      <c r="F1785">
        <v>6680011</v>
      </c>
      <c r="G1785" t="s">
        <v>1524</v>
      </c>
      <c r="H1785" s="21">
        <v>1457.67</v>
      </c>
    </row>
    <row r="1786" spans="1:8" customFormat="1" x14ac:dyDescent="0.25">
      <c r="A1786" t="str">
        <f>"67905"</f>
        <v>67905</v>
      </c>
      <c r="B1786" t="s">
        <v>2376</v>
      </c>
      <c r="C1786" t="s">
        <v>239</v>
      </c>
      <c r="D1786" s="21" t="s">
        <v>34</v>
      </c>
      <c r="E1786" s="21" t="s">
        <v>71</v>
      </c>
      <c r="F1786">
        <v>6670216</v>
      </c>
      <c r="G1786" t="s">
        <v>2194</v>
      </c>
      <c r="H1786" s="21">
        <v>1457.67</v>
      </c>
    </row>
    <row r="1787" spans="1:8" customFormat="1" x14ac:dyDescent="0.25">
      <c r="A1787" t="str">
        <f>"491317"</f>
        <v>491317</v>
      </c>
      <c r="B1787" t="s">
        <v>2705</v>
      </c>
      <c r="C1787" t="s">
        <v>262</v>
      </c>
      <c r="D1787" s="21" t="s">
        <v>34</v>
      </c>
      <c r="E1787" s="21" t="s">
        <v>35</v>
      </c>
      <c r="F1787">
        <v>12490061</v>
      </c>
      <c r="G1787" t="s">
        <v>969</v>
      </c>
      <c r="H1787" s="21">
        <v>1457.17</v>
      </c>
    </row>
    <row r="1788" spans="1:8" customFormat="1" x14ac:dyDescent="0.25">
      <c r="A1788" t="str">
        <f>"497176"</f>
        <v>497176</v>
      </c>
      <c r="B1788" t="s">
        <v>3505</v>
      </c>
      <c r="C1788" t="s">
        <v>288</v>
      </c>
      <c r="D1788" s="21" t="s">
        <v>34</v>
      </c>
      <c r="E1788" s="21" t="s">
        <v>35</v>
      </c>
      <c r="F1788">
        <v>10330038</v>
      </c>
      <c r="G1788" t="s">
        <v>4280</v>
      </c>
      <c r="H1788" s="21">
        <v>1457.17</v>
      </c>
    </row>
    <row r="1789" spans="1:8" customFormat="1" x14ac:dyDescent="0.25">
      <c r="A1789" t="str">
        <f>"855818"</f>
        <v>855818</v>
      </c>
      <c r="B1789" t="s">
        <v>2358</v>
      </c>
      <c r="C1789" t="s">
        <v>302</v>
      </c>
      <c r="D1789" s="21" t="s">
        <v>34</v>
      </c>
      <c r="E1789" s="21" t="s">
        <v>35</v>
      </c>
      <c r="F1789">
        <v>12850134</v>
      </c>
      <c r="G1789" t="s">
        <v>2359</v>
      </c>
      <c r="H1789" s="21">
        <v>1457.17</v>
      </c>
    </row>
    <row r="1790" spans="1:8" customFormat="1" x14ac:dyDescent="0.25">
      <c r="A1790" t="str">
        <f>"599853"</f>
        <v>599853</v>
      </c>
      <c r="B1790" t="s">
        <v>2601</v>
      </c>
      <c r="C1790" t="s">
        <v>187</v>
      </c>
      <c r="D1790" s="21" t="s">
        <v>34</v>
      </c>
      <c r="E1790" s="21" t="s">
        <v>35</v>
      </c>
      <c r="F1790">
        <v>7590071</v>
      </c>
      <c r="G1790" t="s">
        <v>2602</v>
      </c>
      <c r="H1790" s="21">
        <v>1457.17</v>
      </c>
    </row>
    <row r="1791" spans="1:8" customFormat="1" x14ac:dyDescent="0.25">
      <c r="A1791" t="str">
        <f>"062728"</f>
        <v>062728</v>
      </c>
      <c r="B1791" t="s">
        <v>2555</v>
      </c>
      <c r="C1791" t="s">
        <v>87</v>
      </c>
      <c r="D1791" s="21" t="s">
        <v>34</v>
      </c>
      <c r="E1791" s="21" t="s">
        <v>35</v>
      </c>
      <c r="F1791">
        <v>13060066</v>
      </c>
      <c r="G1791" t="s">
        <v>2556</v>
      </c>
      <c r="H1791" s="21">
        <v>1457.17</v>
      </c>
    </row>
    <row r="1792" spans="1:8" customFormat="1" x14ac:dyDescent="0.25">
      <c r="A1792" t="str">
        <f>"958345"</f>
        <v>958345</v>
      </c>
      <c r="B1792" t="s">
        <v>2032</v>
      </c>
      <c r="C1792" t="s">
        <v>285</v>
      </c>
      <c r="D1792" s="21" t="s">
        <v>34</v>
      </c>
      <c r="E1792" s="21" t="s">
        <v>35</v>
      </c>
      <c r="F1792">
        <v>3560059</v>
      </c>
      <c r="G1792" t="s">
        <v>2033</v>
      </c>
      <c r="H1792" s="21">
        <v>1456.67</v>
      </c>
    </row>
    <row r="1793" spans="1:8" customFormat="1" x14ac:dyDescent="0.25">
      <c r="A1793" t="str">
        <f>"604977"</f>
        <v>604977</v>
      </c>
      <c r="B1793" t="s">
        <v>2217</v>
      </c>
      <c r="C1793" t="s">
        <v>484</v>
      </c>
      <c r="D1793" s="21" t="s">
        <v>34</v>
      </c>
      <c r="E1793" s="21" t="s">
        <v>35</v>
      </c>
      <c r="F1793">
        <v>7600074</v>
      </c>
      <c r="G1793" t="s">
        <v>1912</v>
      </c>
      <c r="H1793" s="21">
        <v>1456.67</v>
      </c>
    </row>
    <row r="1794" spans="1:8" customFormat="1" x14ac:dyDescent="0.25">
      <c r="A1794" t="str">
        <f>"5929272"</f>
        <v>5929272</v>
      </c>
      <c r="B1794" t="s">
        <v>2457</v>
      </c>
      <c r="C1794" t="s">
        <v>263</v>
      </c>
      <c r="D1794" s="21" t="s">
        <v>34</v>
      </c>
      <c r="E1794" s="21" t="s">
        <v>35</v>
      </c>
      <c r="F1794">
        <v>7590228</v>
      </c>
      <c r="G1794" t="s">
        <v>1798</v>
      </c>
      <c r="H1794" s="21">
        <v>1456.67</v>
      </c>
    </row>
    <row r="1795" spans="1:8" customFormat="1" x14ac:dyDescent="0.25">
      <c r="A1795" t="str">
        <f>"83330"</f>
        <v>83330</v>
      </c>
      <c r="B1795" t="s">
        <v>2478</v>
      </c>
      <c r="C1795" t="s">
        <v>1196</v>
      </c>
      <c r="D1795" s="21" t="s">
        <v>34</v>
      </c>
      <c r="E1795" s="21" t="s">
        <v>35</v>
      </c>
      <c r="F1795">
        <v>13830025</v>
      </c>
      <c r="G1795" t="s">
        <v>106</v>
      </c>
      <c r="H1795" s="21">
        <v>1456.17</v>
      </c>
    </row>
    <row r="1796" spans="1:8" customFormat="1" x14ac:dyDescent="0.25">
      <c r="A1796" t="str">
        <f>"6217213"</f>
        <v>6217213</v>
      </c>
      <c r="B1796" t="s">
        <v>2417</v>
      </c>
      <c r="C1796" t="s">
        <v>249</v>
      </c>
      <c r="D1796" s="21" t="s">
        <v>34</v>
      </c>
      <c r="E1796" s="21" t="s">
        <v>71</v>
      </c>
      <c r="F1796">
        <v>7620027</v>
      </c>
      <c r="G1796" t="s">
        <v>980</v>
      </c>
      <c r="H1796" s="21">
        <v>1456.17</v>
      </c>
    </row>
    <row r="1797" spans="1:8" customFormat="1" x14ac:dyDescent="0.25">
      <c r="A1797" t="str">
        <f>"856365"</f>
        <v>856365</v>
      </c>
      <c r="B1797" t="s">
        <v>16807</v>
      </c>
      <c r="C1797" t="s">
        <v>87</v>
      </c>
      <c r="D1797" s="21" t="s">
        <v>34</v>
      </c>
      <c r="E1797" s="21" t="s">
        <v>35</v>
      </c>
      <c r="F1797">
        <v>12850026</v>
      </c>
      <c r="G1797" t="s">
        <v>1400</v>
      </c>
      <c r="H1797" s="21">
        <v>1456.05</v>
      </c>
    </row>
    <row r="1798" spans="1:8" customFormat="1" x14ac:dyDescent="0.25">
      <c r="A1798" t="str">
        <f>"593075"</f>
        <v>593075</v>
      </c>
      <c r="B1798" t="s">
        <v>3066</v>
      </c>
      <c r="C1798" t="s">
        <v>187</v>
      </c>
      <c r="D1798" s="21" t="s">
        <v>34</v>
      </c>
      <c r="E1798" s="21" t="s">
        <v>71</v>
      </c>
      <c r="F1798">
        <v>7590182</v>
      </c>
      <c r="G1798" t="s">
        <v>172</v>
      </c>
      <c r="H1798" s="21">
        <v>1455.67</v>
      </c>
    </row>
    <row r="1799" spans="1:8" customFormat="1" x14ac:dyDescent="0.25">
      <c r="A1799" t="str">
        <f>"067104"</f>
        <v>067104</v>
      </c>
      <c r="B1799" t="s">
        <v>4463</v>
      </c>
      <c r="C1799" t="s">
        <v>320</v>
      </c>
      <c r="D1799" s="21" t="s">
        <v>34</v>
      </c>
      <c r="E1799" s="21" t="s">
        <v>71</v>
      </c>
      <c r="F1799">
        <v>12440139</v>
      </c>
      <c r="G1799" t="s">
        <v>2655</v>
      </c>
      <c r="H1799" s="21">
        <v>1455.67</v>
      </c>
    </row>
    <row r="1800" spans="1:8" customFormat="1" x14ac:dyDescent="0.25">
      <c r="A1800" t="str">
        <f>"613546"</f>
        <v>613546</v>
      </c>
      <c r="B1800" t="s">
        <v>2660</v>
      </c>
      <c r="C1800" t="s">
        <v>263</v>
      </c>
      <c r="D1800" s="21" t="s">
        <v>34</v>
      </c>
      <c r="E1800" s="21" t="s">
        <v>71</v>
      </c>
      <c r="F1800">
        <v>9610087</v>
      </c>
      <c r="G1800" t="s">
        <v>2661</v>
      </c>
      <c r="H1800" s="21">
        <v>1455.67</v>
      </c>
    </row>
    <row r="1801" spans="1:8" customFormat="1" x14ac:dyDescent="0.25">
      <c r="A1801" t="str">
        <f>"388901"</f>
        <v>388901</v>
      </c>
      <c r="B1801" t="s">
        <v>2692</v>
      </c>
      <c r="C1801" t="s">
        <v>2693</v>
      </c>
      <c r="D1801" s="21" t="s">
        <v>34</v>
      </c>
      <c r="E1801" s="21" t="s">
        <v>35</v>
      </c>
      <c r="F1801">
        <v>1380233</v>
      </c>
      <c r="G1801" t="s">
        <v>2694</v>
      </c>
      <c r="H1801" s="21">
        <v>1455.67</v>
      </c>
    </row>
    <row r="1802" spans="1:8" customFormat="1" x14ac:dyDescent="0.25">
      <c r="A1802" t="str">
        <f>"852288"</f>
        <v>852288</v>
      </c>
      <c r="B1802" t="s">
        <v>2686</v>
      </c>
      <c r="C1802" t="s">
        <v>288</v>
      </c>
      <c r="D1802" s="21" t="s">
        <v>34</v>
      </c>
      <c r="E1802" s="21" t="s">
        <v>35</v>
      </c>
      <c r="F1802">
        <v>12850171</v>
      </c>
      <c r="G1802" t="s">
        <v>2687</v>
      </c>
      <c r="H1802" s="21">
        <v>1455.67</v>
      </c>
    </row>
    <row r="1803" spans="1:8" customFormat="1" x14ac:dyDescent="0.25">
      <c r="A1803" t="str">
        <f>"6942978"</f>
        <v>6942978</v>
      </c>
      <c r="B1803" t="s">
        <v>4016</v>
      </c>
      <c r="C1803" t="s">
        <v>209</v>
      </c>
      <c r="D1803" s="21" t="s">
        <v>34</v>
      </c>
      <c r="E1803" s="21" t="s">
        <v>35</v>
      </c>
      <c r="F1803">
        <v>1690023</v>
      </c>
      <c r="G1803" t="s">
        <v>647</v>
      </c>
      <c r="H1803" s="21">
        <v>1455.54</v>
      </c>
    </row>
    <row r="1804" spans="1:8" customFormat="1" x14ac:dyDescent="0.25">
      <c r="A1804" t="str">
        <f>"7714108"</f>
        <v>7714108</v>
      </c>
      <c r="B1804" t="s">
        <v>7548</v>
      </c>
      <c r="C1804" t="s">
        <v>328</v>
      </c>
      <c r="D1804" s="21" t="s">
        <v>34</v>
      </c>
      <c r="E1804" s="21" t="s">
        <v>35</v>
      </c>
      <c r="F1804">
        <v>6570015</v>
      </c>
      <c r="G1804" t="s">
        <v>749</v>
      </c>
      <c r="H1804" s="21">
        <v>1455.5</v>
      </c>
    </row>
    <row r="1805" spans="1:8" customFormat="1" x14ac:dyDescent="0.25">
      <c r="A1805" t="str">
        <f>"2926059"</f>
        <v>2926059</v>
      </c>
      <c r="B1805" t="s">
        <v>2197</v>
      </c>
      <c r="C1805" t="s">
        <v>428</v>
      </c>
      <c r="D1805" s="21" t="s">
        <v>34</v>
      </c>
      <c r="E1805" s="21" t="s">
        <v>35</v>
      </c>
      <c r="F1805" t="s">
        <v>590</v>
      </c>
      <c r="G1805" t="s">
        <v>591</v>
      </c>
      <c r="H1805" s="21">
        <v>1455.42</v>
      </c>
    </row>
    <row r="1806" spans="1:8" customFormat="1" x14ac:dyDescent="0.25">
      <c r="A1806" t="str">
        <f>"891914"</f>
        <v>891914</v>
      </c>
      <c r="B1806" t="s">
        <v>1435</v>
      </c>
      <c r="C1806" t="s">
        <v>462</v>
      </c>
      <c r="D1806" s="21" t="s">
        <v>34</v>
      </c>
      <c r="E1806" s="21" t="s">
        <v>71</v>
      </c>
      <c r="F1806">
        <v>10330031</v>
      </c>
      <c r="G1806" t="s">
        <v>2452</v>
      </c>
      <c r="H1806" s="21">
        <v>1455.3</v>
      </c>
    </row>
    <row r="1807" spans="1:8" customFormat="1" x14ac:dyDescent="0.25">
      <c r="A1807" t="str">
        <f>"4427985"</f>
        <v>4427985</v>
      </c>
      <c r="B1807" t="s">
        <v>2089</v>
      </c>
      <c r="C1807" t="s">
        <v>926</v>
      </c>
      <c r="D1807" s="21" t="s">
        <v>34</v>
      </c>
      <c r="E1807" s="21" t="s">
        <v>35</v>
      </c>
      <c r="F1807">
        <v>12440048</v>
      </c>
      <c r="G1807" t="s">
        <v>2090</v>
      </c>
      <c r="H1807" s="21">
        <v>1455.17</v>
      </c>
    </row>
    <row r="1808" spans="1:8" customFormat="1" x14ac:dyDescent="0.25">
      <c r="A1808" t="str">
        <f>"883042"</f>
        <v>883042</v>
      </c>
      <c r="B1808" t="s">
        <v>1276</v>
      </c>
      <c r="C1808" t="s">
        <v>119</v>
      </c>
      <c r="D1808" s="21" t="s">
        <v>34</v>
      </c>
      <c r="E1808" s="21" t="s">
        <v>35</v>
      </c>
      <c r="F1808">
        <v>6880119</v>
      </c>
      <c r="G1808" t="s">
        <v>3443</v>
      </c>
      <c r="H1808" s="21">
        <v>1455.17</v>
      </c>
    </row>
    <row r="1809" spans="1:8" customFormat="1" x14ac:dyDescent="0.25">
      <c r="A1809" t="str">
        <f>"7717966"</f>
        <v>7717966</v>
      </c>
      <c r="B1809" t="s">
        <v>2758</v>
      </c>
      <c r="C1809" t="s">
        <v>236</v>
      </c>
      <c r="D1809" s="21" t="s">
        <v>34</v>
      </c>
      <c r="E1809" s="21" t="s">
        <v>35</v>
      </c>
      <c r="F1809">
        <v>8771398</v>
      </c>
      <c r="G1809" t="s">
        <v>2759</v>
      </c>
      <c r="H1809" s="21">
        <v>1454.93</v>
      </c>
    </row>
    <row r="1810" spans="1:8" customFormat="1" x14ac:dyDescent="0.25">
      <c r="A1810" t="str">
        <f>"184277"</f>
        <v>184277</v>
      </c>
      <c r="B1810" t="s">
        <v>2289</v>
      </c>
      <c r="C1810" t="s">
        <v>263</v>
      </c>
      <c r="D1810" s="21" t="s">
        <v>34</v>
      </c>
      <c r="E1810" s="21" t="s">
        <v>71</v>
      </c>
      <c r="F1810">
        <v>4180613</v>
      </c>
      <c r="G1810" t="s">
        <v>422</v>
      </c>
      <c r="H1810" s="21">
        <v>1454.67</v>
      </c>
    </row>
    <row r="1811" spans="1:8" customFormat="1" x14ac:dyDescent="0.25">
      <c r="A1811" t="str">
        <f>"5931195"</f>
        <v>5931195</v>
      </c>
      <c r="B1811" t="s">
        <v>2460</v>
      </c>
      <c r="C1811" t="s">
        <v>169</v>
      </c>
      <c r="D1811" s="21" t="s">
        <v>34</v>
      </c>
      <c r="E1811" s="21" t="s">
        <v>71</v>
      </c>
      <c r="F1811">
        <v>1690052</v>
      </c>
      <c r="G1811" t="s">
        <v>273</v>
      </c>
      <c r="H1811" s="21">
        <v>1454.67</v>
      </c>
    </row>
    <row r="1812" spans="1:8" customFormat="1" x14ac:dyDescent="0.25">
      <c r="A1812" t="str">
        <f>"87956"</f>
        <v>87956</v>
      </c>
      <c r="B1812" t="s">
        <v>2688</v>
      </c>
      <c r="C1812" t="s">
        <v>822</v>
      </c>
      <c r="D1812" s="21" t="s">
        <v>34</v>
      </c>
      <c r="E1812" s="21" t="s">
        <v>71</v>
      </c>
      <c r="F1812">
        <v>10870028</v>
      </c>
      <c r="G1812" t="s">
        <v>2689</v>
      </c>
      <c r="H1812" s="21">
        <v>1454.17</v>
      </c>
    </row>
    <row r="1813" spans="1:8" customFormat="1" x14ac:dyDescent="0.25">
      <c r="A1813" t="str">
        <f>"374348"</f>
        <v>374348</v>
      </c>
      <c r="B1813" t="s">
        <v>3175</v>
      </c>
      <c r="C1813" t="s">
        <v>174</v>
      </c>
      <c r="D1813" s="21" t="s">
        <v>34</v>
      </c>
      <c r="E1813" s="21" t="s">
        <v>35</v>
      </c>
      <c r="F1813">
        <v>4370656</v>
      </c>
      <c r="G1813" t="s">
        <v>1127</v>
      </c>
      <c r="H1813" s="21">
        <v>1454.17</v>
      </c>
    </row>
    <row r="1814" spans="1:8" customFormat="1" x14ac:dyDescent="0.25">
      <c r="A1814" t="str">
        <f>"7514192"</f>
        <v>7514192</v>
      </c>
      <c r="B1814" t="s">
        <v>146</v>
      </c>
      <c r="C1814" t="s">
        <v>817</v>
      </c>
      <c r="D1814" s="21" t="s">
        <v>34</v>
      </c>
      <c r="E1814" s="21" t="s">
        <v>71</v>
      </c>
      <c r="F1814">
        <v>8751249</v>
      </c>
      <c r="G1814" t="s">
        <v>2803</v>
      </c>
      <c r="H1814" s="21">
        <v>1454.17</v>
      </c>
    </row>
    <row r="1815" spans="1:8" customFormat="1" x14ac:dyDescent="0.25">
      <c r="A1815" t="str">
        <f>"10158"</f>
        <v>10158</v>
      </c>
      <c r="B1815" t="s">
        <v>2189</v>
      </c>
      <c r="C1815" t="s">
        <v>926</v>
      </c>
      <c r="D1815" s="21" t="s">
        <v>34</v>
      </c>
      <c r="E1815" s="21" t="s">
        <v>254</v>
      </c>
      <c r="F1815">
        <v>6100005</v>
      </c>
      <c r="G1815" t="s">
        <v>855</v>
      </c>
      <c r="H1815" s="21">
        <v>1453.67</v>
      </c>
    </row>
    <row r="1816" spans="1:8" customFormat="1" x14ac:dyDescent="0.25">
      <c r="A1816" t="str">
        <f>"675157"</f>
        <v>675157</v>
      </c>
      <c r="B1816" t="s">
        <v>26682</v>
      </c>
      <c r="C1816" t="s">
        <v>144</v>
      </c>
      <c r="D1816" s="21" t="s">
        <v>34</v>
      </c>
      <c r="E1816" s="21" t="s">
        <v>35</v>
      </c>
      <c r="F1816">
        <v>6670216</v>
      </c>
      <c r="G1816" t="s">
        <v>2194</v>
      </c>
      <c r="H1816" s="21">
        <v>1453.67</v>
      </c>
    </row>
    <row r="1817" spans="1:8" customFormat="1" x14ac:dyDescent="0.25">
      <c r="A1817" t="str">
        <f>"886737"</f>
        <v>886737</v>
      </c>
      <c r="B1817" t="s">
        <v>2587</v>
      </c>
      <c r="C1817" t="s">
        <v>288</v>
      </c>
      <c r="D1817" s="21" t="s">
        <v>34</v>
      </c>
      <c r="E1817" s="21" t="s">
        <v>35</v>
      </c>
      <c r="F1817">
        <v>6880116</v>
      </c>
      <c r="G1817" t="s">
        <v>2465</v>
      </c>
      <c r="H1817" s="21">
        <v>1453.67</v>
      </c>
    </row>
    <row r="1818" spans="1:8" customFormat="1" x14ac:dyDescent="0.25">
      <c r="A1818" t="str">
        <f>"27356"</f>
        <v>27356</v>
      </c>
      <c r="B1818" t="s">
        <v>2766</v>
      </c>
      <c r="C1818" t="s">
        <v>1588</v>
      </c>
      <c r="D1818" s="21" t="s">
        <v>34</v>
      </c>
      <c r="E1818" s="21" t="s">
        <v>254</v>
      </c>
      <c r="F1818">
        <v>9270183</v>
      </c>
      <c r="G1818" t="s">
        <v>9801</v>
      </c>
      <c r="H1818" s="21">
        <v>1453.17</v>
      </c>
    </row>
    <row r="1819" spans="1:8" customFormat="1" x14ac:dyDescent="0.25">
      <c r="A1819" t="str">
        <f>"576931"</f>
        <v>576931</v>
      </c>
      <c r="B1819" t="s">
        <v>2593</v>
      </c>
      <c r="C1819" t="s">
        <v>130</v>
      </c>
      <c r="D1819" s="21" t="s">
        <v>34</v>
      </c>
      <c r="E1819" s="21" t="s">
        <v>35</v>
      </c>
      <c r="F1819">
        <v>6570070</v>
      </c>
      <c r="G1819" t="s">
        <v>1765</v>
      </c>
      <c r="H1819" s="21">
        <v>1453.17</v>
      </c>
    </row>
    <row r="1820" spans="1:8" customFormat="1" x14ac:dyDescent="0.25">
      <c r="A1820" t="str">
        <f>"622045"</f>
        <v>622045</v>
      </c>
      <c r="B1820" t="s">
        <v>2482</v>
      </c>
      <c r="C1820" t="s">
        <v>867</v>
      </c>
      <c r="D1820" s="21" t="s">
        <v>34</v>
      </c>
      <c r="E1820" s="21" t="s">
        <v>35</v>
      </c>
      <c r="F1820">
        <v>7620100</v>
      </c>
      <c r="G1820" t="s">
        <v>145</v>
      </c>
      <c r="H1820" s="21">
        <v>1452.67</v>
      </c>
    </row>
    <row r="1821" spans="1:8" customFormat="1" x14ac:dyDescent="0.25">
      <c r="A1821" t="str">
        <f>"44939"</f>
        <v>44939</v>
      </c>
      <c r="B1821" t="s">
        <v>2535</v>
      </c>
      <c r="C1821" t="s">
        <v>269</v>
      </c>
      <c r="D1821" s="21" t="s">
        <v>34</v>
      </c>
      <c r="E1821" s="21" t="s">
        <v>71</v>
      </c>
      <c r="F1821">
        <v>12850136</v>
      </c>
      <c r="G1821" t="s">
        <v>2536</v>
      </c>
      <c r="H1821" s="21">
        <v>1452.17</v>
      </c>
    </row>
    <row r="1822" spans="1:8" customFormat="1" x14ac:dyDescent="0.25">
      <c r="A1822" t="str">
        <f>"863814"</f>
        <v>863814</v>
      </c>
      <c r="B1822" t="s">
        <v>2472</v>
      </c>
      <c r="C1822" t="s">
        <v>285</v>
      </c>
      <c r="D1822" s="21" t="s">
        <v>34</v>
      </c>
      <c r="E1822" s="21" t="s">
        <v>35</v>
      </c>
      <c r="F1822">
        <v>10860225</v>
      </c>
      <c r="G1822" t="s">
        <v>2473</v>
      </c>
      <c r="H1822" s="21">
        <v>1452.17</v>
      </c>
    </row>
    <row r="1823" spans="1:8" customFormat="1" x14ac:dyDescent="0.25">
      <c r="A1823" t="str">
        <f>"032738"</f>
        <v>032738</v>
      </c>
      <c r="B1823" t="s">
        <v>2630</v>
      </c>
      <c r="C1823" t="s">
        <v>171</v>
      </c>
      <c r="D1823" s="21" t="s">
        <v>34</v>
      </c>
      <c r="E1823" s="21" t="s">
        <v>35</v>
      </c>
      <c r="F1823">
        <v>1030299</v>
      </c>
      <c r="G1823" t="s">
        <v>2631</v>
      </c>
      <c r="H1823" s="21">
        <v>1452.17</v>
      </c>
    </row>
    <row r="1824" spans="1:8" customFormat="1" x14ac:dyDescent="0.25">
      <c r="A1824" t="str">
        <f>"26212"</f>
        <v>26212</v>
      </c>
      <c r="B1824" t="s">
        <v>2658</v>
      </c>
      <c r="C1824" t="s">
        <v>2659</v>
      </c>
      <c r="D1824" s="21" t="s">
        <v>34</v>
      </c>
      <c r="E1824" s="21" t="s">
        <v>71</v>
      </c>
      <c r="F1824">
        <v>1260045</v>
      </c>
      <c r="G1824" t="s">
        <v>401</v>
      </c>
      <c r="H1824" s="21">
        <v>1452.17</v>
      </c>
    </row>
    <row r="1825" spans="1:8" customFormat="1" x14ac:dyDescent="0.25">
      <c r="A1825" t="str">
        <f>"774069"</f>
        <v>774069</v>
      </c>
      <c r="B1825" t="s">
        <v>2360</v>
      </c>
      <c r="C1825" t="s">
        <v>263</v>
      </c>
      <c r="D1825" s="21" t="s">
        <v>34</v>
      </c>
      <c r="E1825" s="21" t="s">
        <v>35</v>
      </c>
      <c r="F1825">
        <v>8910667</v>
      </c>
      <c r="G1825" t="s">
        <v>2361</v>
      </c>
      <c r="H1825" s="21">
        <v>1452.17</v>
      </c>
    </row>
    <row r="1826" spans="1:8" customFormat="1" x14ac:dyDescent="0.25">
      <c r="A1826" t="str">
        <f>"9512054"</f>
        <v>9512054</v>
      </c>
      <c r="B1826" t="s">
        <v>3682</v>
      </c>
      <c r="C1826" t="s">
        <v>98</v>
      </c>
      <c r="D1826" s="21" t="s">
        <v>34</v>
      </c>
      <c r="E1826" s="21" t="s">
        <v>35</v>
      </c>
      <c r="F1826">
        <v>8950092</v>
      </c>
      <c r="G1826" t="s">
        <v>2039</v>
      </c>
      <c r="H1826" s="21">
        <v>1451.68</v>
      </c>
    </row>
    <row r="1827" spans="1:8" customFormat="1" x14ac:dyDescent="0.25">
      <c r="A1827" t="str">
        <f>"7610984"</f>
        <v>7610984</v>
      </c>
      <c r="B1827" t="s">
        <v>2522</v>
      </c>
      <c r="C1827" t="s">
        <v>285</v>
      </c>
      <c r="D1827" s="21" t="s">
        <v>34</v>
      </c>
      <c r="E1827" s="21" t="s">
        <v>35</v>
      </c>
      <c r="F1827">
        <v>9760011</v>
      </c>
      <c r="G1827" t="s">
        <v>2562</v>
      </c>
      <c r="H1827" s="21">
        <v>1451.17</v>
      </c>
    </row>
    <row r="1828" spans="1:8" customFormat="1" x14ac:dyDescent="0.25">
      <c r="A1828" t="str">
        <f>"9519693"</f>
        <v>9519693</v>
      </c>
      <c r="B1828" t="s">
        <v>2164</v>
      </c>
      <c r="C1828" t="s">
        <v>253</v>
      </c>
      <c r="D1828" s="21" t="s">
        <v>34</v>
      </c>
      <c r="E1828" s="21" t="s">
        <v>254</v>
      </c>
      <c r="F1828">
        <v>11310006</v>
      </c>
      <c r="G1828" t="s">
        <v>419</v>
      </c>
      <c r="H1828" s="21">
        <v>1451.17</v>
      </c>
    </row>
    <row r="1829" spans="1:8" customFormat="1" x14ac:dyDescent="0.25">
      <c r="A1829" t="str">
        <f>"8613702"</f>
        <v>8613702</v>
      </c>
      <c r="B1829" t="s">
        <v>3209</v>
      </c>
      <c r="C1829" t="s">
        <v>428</v>
      </c>
      <c r="D1829" s="21" t="s">
        <v>34</v>
      </c>
      <c r="E1829" s="21" t="s">
        <v>35</v>
      </c>
      <c r="F1829">
        <v>10860035</v>
      </c>
      <c r="G1829" t="s">
        <v>4019</v>
      </c>
      <c r="H1829" s="21">
        <v>1451.17</v>
      </c>
    </row>
    <row r="1830" spans="1:8" customFormat="1" x14ac:dyDescent="0.25">
      <c r="A1830" t="str">
        <f>"4414898"</f>
        <v>4414898</v>
      </c>
      <c r="B1830" t="s">
        <v>2856</v>
      </c>
      <c r="C1830" t="s">
        <v>544</v>
      </c>
      <c r="D1830" s="21" t="s">
        <v>34</v>
      </c>
      <c r="E1830" s="21" t="s">
        <v>35</v>
      </c>
      <c r="F1830">
        <v>12440259</v>
      </c>
      <c r="G1830" t="s">
        <v>833</v>
      </c>
      <c r="H1830" s="21">
        <v>1451.17</v>
      </c>
    </row>
    <row r="1831" spans="1:8" customFormat="1" x14ac:dyDescent="0.25">
      <c r="A1831" t="str">
        <f>"3826052"</f>
        <v>3826052</v>
      </c>
      <c r="B1831" t="s">
        <v>3118</v>
      </c>
      <c r="C1831" t="s">
        <v>90</v>
      </c>
      <c r="D1831" s="21" t="s">
        <v>34</v>
      </c>
      <c r="E1831" s="21" t="s">
        <v>35</v>
      </c>
      <c r="F1831">
        <v>1380005</v>
      </c>
      <c r="G1831" t="s">
        <v>3119</v>
      </c>
      <c r="H1831" s="21">
        <v>1451.17</v>
      </c>
    </row>
    <row r="1832" spans="1:8" customFormat="1" x14ac:dyDescent="0.25">
      <c r="A1832" t="str">
        <f>"381493"</f>
        <v>381493</v>
      </c>
      <c r="B1832" t="s">
        <v>2727</v>
      </c>
      <c r="C1832" t="s">
        <v>130</v>
      </c>
      <c r="D1832" s="21" t="s">
        <v>34</v>
      </c>
      <c r="E1832" s="21" t="s">
        <v>71</v>
      </c>
      <c r="F1832">
        <v>1380164</v>
      </c>
      <c r="G1832" t="s">
        <v>2728</v>
      </c>
      <c r="H1832" s="21">
        <v>1451.17</v>
      </c>
    </row>
    <row r="1833" spans="1:8" customFormat="1" x14ac:dyDescent="0.25">
      <c r="A1833" t="str">
        <f>"9230121"</f>
        <v>9230121</v>
      </c>
      <c r="B1833" t="s">
        <v>1953</v>
      </c>
      <c r="C1833" t="s">
        <v>40</v>
      </c>
      <c r="D1833" s="21" t="s">
        <v>34</v>
      </c>
      <c r="E1833" s="21" t="s">
        <v>71</v>
      </c>
      <c r="F1833">
        <v>8920049</v>
      </c>
      <c r="G1833" t="s">
        <v>237</v>
      </c>
      <c r="H1833" s="21">
        <v>1451.04</v>
      </c>
    </row>
    <row r="1834" spans="1:8" customFormat="1" x14ac:dyDescent="0.25">
      <c r="A1834" t="str">
        <f>"331030"</f>
        <v>331030</v>
      </c>
      <c r="B1834" t="s">
        <v>2989</v>
      </c>
      <c r="C1834" t="s">
        <v>204</v>
      </c>
      <c r="D1834" s="21" t="s">
        <v>34</v>
      </c>
      <c r="E1834" s="21" t="s">
        <v>254</v>
      </c>
      <c r="F1834">
        <v>10330030</v>
      </c>
      <c r="G1834" t="s">
        <v>2990</v>
      </c>
      <c r="H1834" s="21">
        <v>1450.92</v>
      </c>
    </row>
    <row r="1835" spans="1:8" customFormat="1" x14ac:dyDescent="0.25">
      <c r="A1835" t="str">
        <f>"903593"</f>
        <v>903593</v>
      </c>
      <c r="B1835" t="s">
        <v>2814</v>
      </c>
      <c r="C1835" t="s">
        <v>33</v>
      </c>
      <c r="D1835" s="21" t="s">
        <v>34</v>
      </c>
      <c r="E1835" s="21" t="s">
        <v>71</v>
      </c>
      <c r="F1835">
        <v>2900039</v>
      </c>
      <c r="G1835" t="s">
        <v>26615</v>
      </c>
      <c r="H1835" s="21">
        <v>1450.92</v>
      </c>
    </row>
    <row r="1836" spans="1:8" customFormat="1" x14ac:dyDescent="0.25">
      <c r="A1836" t="str">
        <f>"686343"</f>
        <v>686343</v>
      </c>
      <c r="B1836" t="s">
        <v>26683</v>
      </c>
      <c r="C1836" t="s">
        <v>130</v>
      </c>
      <c r="D1836" s="21" t="s">
        <v>34</v>
      </c>
      <c r="E1836" s="21" t="s">
        <v>35</v>
      </c>
      <c r="F1836">
        <v>6680102</v>
      </c>
      <c r="G1836" t="s">
        <v>1232</v>
      </c>
      <c r="H1836" s="21">
        <v>1450.67</v>
      </c>
    </row>
    <row r="1837" spans="1:8" customFormat="1" x14ac:dyDescent="0.25">
      <c r="A1837" t="str">
        <f>"7914098"</f>
        <v>7914098</v>
      </c>
      <c r="B1837" t="s">
        <v>2633</v>
      </c>
      <c r="C1837" t="s">
        <v>462</v>
      </c>
      <c r="D1837" s="21" t="s">
        <v>34</v>
      </c>
      <c r="E1837" s="21" t="s">
        <v>35</v>
      </c>
      <c r="F1837">
        <v>8910028</v>
      </c>
      <c r="G1837" t="s">
        <v>2634</v>
      </c>
      <c r="H1837" s="21">
        <v>1450.67</v>
      </c>
    </row>
    <row r="1838" spans="1:8" customFormat="1" x14ac:dyDescent="0.25">
      <c r="A1838" t="str">
        <f>"293286"</f>
        <v>293286</v>
      </c>
      <c r="B1838" t="s">
        <v>2954</v>
      </c>
      <c r="C1838" t="s">
        <v>576</v>
      </c>
      <c r="D1838" s="21" t="s">
        <v>34</v>
      </c>
      <c r="E1838" s="21" t="s">
        <v>35</v>
      </c>
      <c r="F1838">
        <v>3290223</v>
      </c>
      <c r="G1838" t="s">
        <v>2636</v>
      </c>
      <c r="H1838" s="21">
        <v>1450.67</v>
      </c>
    </row>
    <row r="1839" spans="1:8" customFormat="1" x14ac:dyDescent="0.25">
      <c r="A1839" t="str">
        <f>"881650"</f>
        <v>881650</v>
      </c>
      <c r="B1839" t="s">
        <v>2172</v>
      </c>
      <c r="C1839" t="s">
        <v>204</v>
      </c>
      <c r="D1839" s="21" t="s">
        <v>34</v>
      </c>
      <c r="E1839" s="21" t="s">
        <v>71</v>
      </c>
      <c r="F1839">
        <v>6880022</v>
      </c>
      <c r="G1839" t="s">
        <v>339</v>
      </c>
      <c r="H1839" s="21">
        <v>1450.67</v>
      </c>
    </row>
    <row r="1840" spans="1:8" customFormat="1" x14ac:dyDescent="0.25">
      <c r="A1840" t="str">
        <f>"5933907"</f>
        <v>5933907</v>
      </c>
      <c r="B1840" t="s">
        <v>2829</v>
      </c>
      <c r="C1840" t="s">
        <v>119</v>
      </c>
      <c r="D1840" s="21" t="s">
        <v>34</v>
      </c>
      <c r="E1840" s="21" t="s">
        <v>35</v>
      </c>
      <c r="F1840">
        <v>7020015</v>
      </c>
      <c r="G1840" t="s">
        <v>1289</v>
      </c>
      <c r="H1840" s="21">
        <v>1450.17</v>
      </c>
    </row>
    <row r="1841" spans="1:8" customFormat="1" x14ac:dyDescent="0.25">
      <c r="A1841" t="str">
        <f>"6928844"</f>
        <v>6928844</v>
      </c>
      <c r="B1841" t="s">
        <v>2312</v>
      </c>
      <c r="C1841" t="s">
        <v>608</v>
      </c>
      <c r="D1841" s="21" t="s">
        <v>34</v>
      </c>
      <c r="E1841" s="21" t="s">
        <v>35</v>
      </c>
      <c r="F1841">
        <v>1690023</v>
      </c>
      <c r="G1841" t="s">
        <v>647</v>
      </c>
      <c r="H1841" s="21">
        <v>1450.17</v>
      </c>
    </row>
    <row r="1842" spans="1:8" customFormat="1" x14ac:dyDescent="0.25">
      <c r="A1842" t="str">
        <f>"957634"</f>
        <v>957634</v>
      </c>
      <c r="B1842" t="s">
        <v>1158</v>
      </c>
      <c r="C1842" t="s">
        <v>65</v>
      </c>
      <c r="D1842" s="21" t="s">
        <v>34</v>
      </c>
      <c r="E1842" s="21" t="s">
        <v>71</v>
      </c>
      <c r="F1842">
        <v>8950103</v>
      </c>
      <c r="G1842" t="s">
        <v>440</v>
      </c>
      <c r="H1842" s="21">
        <v>1449.68</v>
      </c>
    </row>
    <row r="1843" spans="1:8" customFormat="1" x14ac:dyDescent="0.25">
      <c r="A1843" t="str">
        <f>"446805"</f>
        <v>446805</v>
      </c>
      <c r="B1843" t="s">
        <v>2589</v>
      </c>
      <c r="C1843" t="s">
        <v>33</v>
      </c>
      <c r="D1843" s="21" t="s">
        <v>34</v>
      </c>
      <c r="E1843" s="21" t="s">
        <v>35</v>
      </c>
      <c r="F1843">
        <v>12850143</v>
      </c>
      <c r="G1843" t="s">
        <v>1625</v>
      </c>
      <c r="H1843" s="21">
        <v>1449.67</v>
      </c>
    </row>
    <row r="1844" spans="1:8" customFormat="1" x14ac:dyDescent="0.25">
      <c r="A1844" t="str">
        <f>"774166"</f>
        <v>774166</v>
      </c>
      <c r="B1844" t="s">
        <v>1918</v>
      </c>
      <c r="C1844" t="s">
        <v>169</v>
      </c>
      <c r="D1844" s="21" t="s">
        <v>34</v>
      </c>
      <c r="E1844" s="21" t="s">
        <v>35</v>
      </c>
      <c r="F1844">
        <v>8770169</v>
      </c>
      <c r="G1844" t="s">
        <v>1001</v>
      </c>
      <c r="H1844" s="21">
        <v>1449.55</v>
      </c>
    </row>
    <row r="1845" spans="1:8" customFormat="1" x14ac:dyDescent="0.25">
      <c r="A1845" t="str">
        <f>"09782"</f>
        <v>09782</v>
      </c>
      <c r="B1845" t="s">
        <v>2162</v>
      </c>
      <c r="C1845" t="s">
        <v>285</v>
      </c>
      <c r="D1845" s="21" t="s">
        <v>34</v>
      </c>
      <c r="E1845" s="21" t="s">
        <v>35</v>
      </c>
      <c r="F1845">
        <v>11090002</v>
      </c>
      <c r="G1845" t="s">
        <v>901</v>
      </c>
      <c r="H1845" s="21">
        <v>1449.42</v>
      </c>
    </row>
    <row r="1846" spans="1:8" customFormat="1" x14ac:dyDescent="0.25">
      <c r="A1846" t="str">
        <f>"139640"</f>
        <v>139640</v>
      </c>
      <c r="B1846" t="s">
        <v>2704</v>
      </c>
      <c r="C1846" t="s">
        <v>121</v>
      </c>
      <c r="D1846" s="21" t="s">
        <v>34</v>
      </c>
      <c r="E1846" s="21" t="s">
        <v>71</v>
      </c>
      <c r="F1846">
        <v>12440197</v>
      </c>
      <c r="G1846" t="s">
        <v>1101</v>
      </c>
      <c r="H1846" s="21">
        <v>1449.17</v>
      </c>
    </row>
    <row r="1847" spans="1:8" customFormat="1" x14ac:dyDescent="0.25">
      <c r="A1847" t="str">
        <f>"509518"</f>
        <v>509518</v>
      </c>
      <c r="B1847" t="s">
        <v>26684</v>
      </c>
      <c r="C1847" t="s">
        <v>1705</v>
      </c>
      <c r="D1847" s="21" t="s">
        <v>34</v>
      </c>
      <c r="E1847" s="21" t="s">
        <v>35</v>
      </c>
      <c r="F1847">
        <v>9500124</v>
      </c>
      <c r="G1847" t="s">
        <v>3726</v>
      </c>
      <c r="H1847" s="21">
        <v>1449.17</v>
      </c>
    </row>
    <row r="1848" spans="1:8" customFormat="1" x14ac:dyDescent="0.25">
      <c r="A1848" t="str">
        <f>"766526"</f>
        <v>766526</v>
      </c>
      <c r="B1848" t="s">
        <v>3014</v>
      </c>
      <c r="C1848" t="s">
        <v>119</v>
      </c>
      <c r="D1848" s="21" t="s">
        <v>34</v>
      </c>
      <c r="E1848" s="21" t="s">
        <v>35</v>
      </c>
      <c r="F1848">
        <v>9760311</v>
      </c>
      <c r="G1848" t="s">
        <v>3015</v>
      </c>
      <c r="H1848" s="21">
        <v>1449.17</v>
      </c>
    </row>
    <row r="1849" spans="1:8" customFormat="1" x14ac:dyDescent="0.25">
      <c r="A1849" t="str">
        <f>"375340"</f>
        <v>375340</v>
      </c>
      <c r="B1849" t="s">
        <v>18249</v>
      </c>
      <c r="C1849" t="s">
        <v>415</v>
      </c>
      <c r="D1849" s="21" t="s">
        <v>34</v>
      </c>
      <c r="E1849" s="21" t="s">
        <v>71</v>
      </c>
      <c r="F1849">
        <v>4370566</v>
      </c>
      <c r="G1849" t="s">
        <v>4710</v>
      </c>
      <c r="H1849" s="21">
        <v>1449.17</v>
      </c>
    </row>
    <row r="1850" spans="1:8" customFormat="1" x14ac:dyDescent="0.25">
      <c r="A1850" t="str">
        <f>"374928"</f>
        <v>374928</v>
      </c>
      <c r="B1850" t="s">
        <v>3840</v>
      </c>
      <c r="C1850" t="s">
        <v>109</v>
      </c>
      <c r="D1850" s="21" t="s">
        <v>34</v>
      </c>
      <c r="E1850" s="21" t="s">
        <v>35</v>
      </c>
      <c r="F1850">
        <v>4410065</v>
      </c>
      <c r="G1850" t="s">
        <v>3841</v>
      </c>
      <c r="H1850" s="21">
        <v>1448.8</v>
      </c>
    </row>
    <row r="1851" spans="1:8" customFormat="1" x14ac:dyDescent="0.25">
      <c r="A1851" t="str">
        <f>"868063"</f>
        <v>868063</v>
      </c>
      <c r="B1851" t="s">
        <v>3253</v>
      </c>
      <c r="C1851" t="s">
        <v>415</v>
      </c>
      <c r="D1851" s="21" t="s">
        <v>34</v>
      </c>
      <c r="E1851" s="21" t="s">
        <v>35</v>
      </c>
      <c r="F1851">
        <v>10860193</v>
      </c>
      <c r="G1851" t="s">
        <v>1603</v>
      </c>
      <c r="H1851" s="21">
        <v>1448.67</v>
      </c>
    </row>
    <row r="1852" spans="1:8" customFormat="1" x14ac:dyDescent="0.25">
      <c r="A1852" t="str">
        <f>"6910817"</f>
        <v>6910817</v>
      </c>
      <c r="B1852" t="s">
        <v>2809</v>
      </c>
      <c r="C1852" t="s">
        <v>130</v>
      </c>
      <c r="D1852" s="21" t="s">
        <v>34</v>
      </c>
      <c r="E1852" s="21" t="s">
        <v>71</v>
      </c>
      <c r="F1852">
        <v>1380296</v>
      </c>
      <c r="G1852" t="s">
        <v>2810</v>
      </c>
      <c r="H1852" s="21">
        <v>1448.67</v>
      </c>
    </row>
    <row r="1853" spans="1:8" customFormat="1" x14ac:dyDescent="0.25">
      <c r="A1853" t="str">
        <f>"7616462"</f>
        <v>7616462</v>
      </c>
      <c r="B1853" t="s">
        <v>2933</v>
      </c>
      <c r="C1853" t="s">
        <v>269</v>
      </c>
      <c r="D1853" s="21" t="s">
        <v>34</v>
      </c>
      <c r="E1853" s="21" t="s">
        <v>71</v>
      </c>
      <c r="F1853">
        <v>9760108</v>
      </c>
      <c r="G1853" t="s">
        <v>1636</v>
      </c>
      <c r="H1853" s="21">
        <v>1448.67</v>
      </c>
    </row>
    <row r="1854" spans="1:8" customFormat="1" x14ac:dyDescent="0.25">
      <c r="A1854" t="str">
        <f>"9F1062"</f>
        <v>9F1062</v>
      </c>
      <c r="B1854" t="s">
        <v>2590</v>
      </c>
      <c r="C1854" t="s">
        <v>381</v>
      </c>
      <c r="D1854" s="21" t="s">
        <v>34</v>
      </c>
      <c r="E1854" s="21" t="s">
        <v>71</v>
      </c>
      <c r="F1854" t="s">
        <v>2591</v>
      </c>
      <c r="G1854" t="s">
        <v>2592</v>
      </c>
      <c r="H1854" s="21">
        <v>1448.67</v>
      </c>
    </row>
    <row r="1855" spans="1:8" customFormat="1" x14ac:dyDescent="0.25">
      <c r="A1855" t="str">
        <f>"9212546"</f>
        <v>9212546</v>
      </c>
      <c r="B1855" t="s">
        <v>2733</v>
      </c>
      <c r="C1855" t="s">
        <v>2734</v>
      </c>
      <c r="D1855" s="21" t="s">
        <v>34</v>
      </c>
      <c r="E1855" s="21" t="s">
        <v>35</v>
      </c>
      <c r="F1855">
        <v>8920312</v>
      </c>
      <c r="G1855" t="s">
        <v>1026</v>
      </c>
      <c r="H1855" s="21">
        <v>1448.67</v>
      </c>
    </row>
    <row r="1856" spans="1:8" customFormat="1" x14ac:dyDescent="0.25">
      <c r="A1856" t="str">
        <f>"7827075"</f>
        <v>7827075</v>
      </c>
      <c r="B1856" t="s">
        <v>3581</v>
      </c>
      <c r="C1856" t="s">
        <v>121</v>
      </c>
      <c r="D1856" s="21" t="s">
        <v>34</v>
      </c>
      <c r="E1856" s="21" t="s">
        <v>71</v>
      </c>
      <c r="F1856">
        <v>8920049</v>
      </c>
      <c r="G1856" t="s">
        <v>237</v>
      </c>
      <c r="H1856" s="21">
        <v>1448.3</v>
      </c>
    </row>
    <row r="1857" spans="1:8" customFormat="1" x14ac:dyDescent="0.25">
      <c r="A1857" t="str">
        <f>"6923298"</f>
        <v>6923298</v>
      </c>
      <c r="B1857" t="s">
        <v>2214</v>
      </c>
      <c r="C1857" t="s">
        <v>2215</v>
      </c>
      <c r="D1857" s="21" t="s">
        <v>34</v>
      </c>
      <c r="E1857" s="21" t="s">
        <v>35</v>
      </c>
      <c r="F1857">
        <v>1690052</v>
      </c>
      <c r="G1857" t="s">
        <v>273</v>
      </c>
      <c r="H1857" s="21">
        <v>1448.17</v>
      </c>
    </row>
    <row r="1858" spans="1:8" customFormat="1" x14ac:dyDescent="0.25">
      <c r="A1858" t="str">
        <f>"5928757"</f>
        <v>5928757</v>
      </c>
      <c r="B1858" t="s">
        <v>1885</v>
      </c>
      <c r="C1858" t="s">
        <v>43</v>
      </c>
      <c r="D1858" s="21" t="s">
        <v>34</v>
      </c>
      <c r="E1858" s="21" t="s">
        <v>35</v>
      </c>
      <c r="F1858">
        <v>7620104</v>
      </c>
      <c r="G1858" t="s">
        <v>635</v>
      </c>
      <c r="H1858" s="21">
        <v>1448.05</v>
      </c>
    </row>
    <row r="1859" spans="1:8" customFormat="1" x14ac:dyDescent="0.25">
      <c r="A1859" t="str">
        <f>"843"</f>
        <v>843</v>
      </c>
      <c r="B1859" t="s">
        <v>2367</v>
      </c>
      <c r="C1859" t="s">
        <v>121</v>
      </c>
      <c r="D1859" s="21" t="s">
        <v>34</v>
      </c>
      <c r="E1859" s="21" t="s">
        <v>71</v>
      </c>
      <c r="F1859">
        <v>13840001</v>
      </c>
      <c r="G1859" t="s">
        <v>972</v>
      </c>
      <c r="H1859" s="21">
        <v>1448.05</v>
      </c>
    </row>
    <row r="1860" spans="1:8" customFormat="1" x14ac:dyDescent="0.25">
      <c r="A1860" t="str">
        <f>"139391"</f>
        <v>139391</v>
      </c>
      <c r="B1860" t="s">
        <v>3005</v>
      </c>
      <c r="C1860" t="s">
        <v>33</v>
      </c>
      <c r="D1860" s="21" t="s">
        <v>34</v>
      </c>
      <c r="E1860" s="21" t="s">
        <v>35</v>
      </c>
      <c r="F1860">
        <v>13830083</v>
      </c>
      <c r="G1860" t="s">
        <v>2159</v>
      </c>
      <c r="H1860" s="21">
        <v>1447.67</v>
      </c>
    </row>
    <row r="1861" spans="1:8" customFormat="1" x14ac:dyDescent="0.25">
      <c r="A1861" t="str">
        <f>"6218735"</f>
        <v>6218735</v>
      </c>
      <c r="B1861" t="s">
        <v>3016</v>
      </c>
      <c r="C1861" t="s">
        <v>33</v>
      </c>
      <c r="D1861" s="21" t="s">
        <v>34</v>
      </c>
      <c r="E1861" s="21" t="s">
        <v>35</v>
      </c>
      <c r="F1861">
        <v>7620139</v>
      </c>
      <c r="G1861" t="s">
        <v>2061</v>
      </c>
      <c r="H1861" s="21">
        <v>1447.67</v>
      </c>
    </row>
    <row r="1862" spans="1:8" customFormat="1" x14ac:dyDescent="0.25">
      <c r="A1862" t="str">
        <f>"763127"</f>
        <v>763127</v>
      </c>
      <c r="B1862" t="s">
        <v>1890</v>
      </c>
      <c r="C1862" t="s">
        <v>169</v>
      </c>
      <c r="D1862" s="21" t="s">
        <v>34</v>
      </c>
      <c r="E1862" s="21" t="s">
        <v>35</v>
      </c>
      <c r="F1862">
        <v>9760266</v>
      </c>
      <c r="G1862" t="s">
        <v>1891</v>
      </c>
      <c r="H1862" s="21">
        <v>1447.67</v>
      </c>
    </row>
    <row r="1863" spans="1:8" customFormat="1" x14ac:dyDescent="0.25">
      <c r="A1863" t="str">
        <f>"012545"</f>
        <v>012545</v>
      </c>
      <c r="B1863" t="s">
        <v>2160</v>
      </c>
      <c r="C1863" t="s">
        <v>415</v>
      </c>
      <c r="D1863" s="21" t="s">
        <v>34</v>
      </c>
      <c r="E1863" s="21" t="s">
        <v>35</v>
      </c>
      <c r="F1863">
        <v>1010001</v>
      </c>
      <c r="G1863" t="s">
        <v>2161</v>
      </c>
      <c r="H1863" s="21">
        <v>1447.67</v>
      </c>
    </row>
    <row r="1864" spans="1:8" customFormat="1" x14ac:dyDescent="0.25">
      <c r="A1864" t="str">
        <f>"49323"</f>
        <v>49323</v>
      </c>
      <c r="B1864" t="s">
        <v>2575</v>
      </c>
      <c r="C1864" t="s">
        <v>121</v>
      </c>
      <c r="D1864" s="21" t="s">
        <v>34</v>
      </c>
      <c r="E1864" s="21" t="s">
        <v>35</v>
      </c>
      <c r="F1864">
        <v>12490124</v>
      </c>
      <c r="G1864" t="s">
        <v>677</v>
      </c>
      <c r="H1864" s="21">
        <v>1447.67</v>
      </c>
    </row>
    <row r="1865" spans="1:8" customFormat="1" x14ac:dyDescent="0.25">
      <c r="A1865" t="str">
        <f>"3110736"</f>
        <v>3110736</v>
      </c>
      <c r="B1865" t="s">
        <v>2447</v>
      </c>
      <c r="C1865" t="s">
        <v>598</v>
      </c>
      <c r="D1865" s="21" t="s">
        <v>34</v>
      </c>
      <c r="E1865" s="21" t="s">
        <v>71</v>
      </c>
      <c r="F1865">
        <v>11310060</v>
      </c>
      <c r="G1865" t="s">
        <v>2448</v>
      </c>
      <c r="H1865" s="21">
        <v>1447.67</v>
      </c>
    </row>
    <row r="1866" spans="1:8" customFormat="1" x14ac:dyDescent="0.25">
      <c r="A1866" t="str">
        <f>"4415583"</f>
        <v>4415583</v>
      </c>
      <c r="B1866" t="s">
        <v>10794</v>
      </c>
      <c r="C1866" t="s">
        <v>1708</v>
      </c>
      <c r="D1866" s="21" t="s">
        <v>34</v>
      </c>
      <c r="E1866" s="21" t="s">
        <v>35</v>
      </c>
      <c r="F1866">
        <v>12440154</v>
      </c>
      <c r="G1866" t="s">
        <v>7124</v>
      </c>
      <c r="H1866" s="21">
        <v>1447.67</v>
      </c>
    </row>
    <row r="1867" spans="1:8" customFormat="1" x14ac:dyDescent="0.25">
      <c r="A1867" t="str">
        <f>"3510188"</f>
        <v>3510188</v>
      </c>
      <c r="B1867" t="s">
        <v>2731</v>
      </c>
      <c r="C1867" t="s">
        <v>60</v>
      </c>
      <c r="D1867" s="21" t="s">
        <v>34</v>
      </c>
      <c r="E1867" s="21" t="s">
        <v>35</v>
      </c>
      <c r="F1867">
        <v>12490052</v>
      </c>
      <c r="G1867" t="s">
        <v>2732</v>
      </c>
      <c r="H1867" s="21">
        <v>1447.56</v>
      </c>
    </row>
    <row r="1868" spans="1:8" customFormat="1" x14ac:dyDescent="0.25">
      <c r="A1868" t="str">
        <f>"758277"</f>
        <v>758277</v>
      </c>
      <c r="B1868" t="s">
        <v>2066</v>
      </c>
      <c r="C1868" t="s">
        <v>60</v>
      </c>
      <c r="D1868" s="21" t="s">
        <v>34</v>
      </c>
      <c r="E1868" s="21" t="s">
        <v>35</v>
      </c>
      <c r="F1868">
        <v>8750141</v>
      </c>
      <c r="G1868" t="s">
        <v>1514</v>
      </c>
      <c r="H1868" s="21">
        <v>1447.17</v>
      </c>
    </row>
    <row r="1869" spans="1:8" customFormat="1" x14ac:dyDescent="0.25">
      <c r="A1869" t="str">
        <f>"509621"</f>
        <v>509621</v>
      </c>
      <c r="B1869" t="s">
        <v>2749</v>
      </c>
      <c r="C1869" t="s">
        <v>130</v>
      </c>
      <c r="D1869" s="21" t="s">
        <v>34</v>
      </c>
      <c r="E1869" s="21" t="s">
        <v>35</v>
      </c>
      <c r="F1869">
        <v>9500163</v>
      </c>
      <c r="G1869" t="s">
        <v>2750</v>
      </c>
      <c r="H1869" s="21">
        <v>1447.17</v>
      </c>
    </row>
    <row r="1870" spans="1:8" customFormat="1" x14ac:dyDescent="0.25">
      <c r="A1870" t="str">
        <f>"612291"</f>
        <v>612291</v>
      </c>
      <c r="B1870" t="s">
        <v>2711</v>
      </c>
      <c r="C1870" t="s">
        <v>169</v>
      </c>
      <c r="D1870" s="21" t="s">
        <v>34</v>
      </c>
      <c r="E1870" s="21" t="s">
        <v>71</v>
      </c>
      <c r="F1870">
        <v>9610002</v>
      </c>
      <c r="G1870" t="s">
        <v>75</v>
      </c>
      <c r="H1870" s="21">
        <v>1447.17</v>
      </c>
    </row>
    <row r="1871" spans="1:8" customFormat="1" x14ac:dyDescent="0.25">
      <c r="A1871" t="str">
        <f>"759019"</f>
        <v>759019</v>
      </c>
      <c r="B1871" t="s">
        <v>2541</v>
      </c>
      <c r="C1871" t="s">
        <v>55</v>
      </c>
      <c r="D1871" s="21" t="s">
        <v>34</v>
      </c>
      <c r="E1871" s="21" t="s">
        <v>71</v>
      </c>
      <c r="F1871">
        <v>8950083</v>
      </c>
      <c r="G1871" t="s">
        <v>405</v>
      </c>
      <c r="H1871" s="21">
        <v>1446.68</v>
      </c>
    </row>
    <row r="1872" spans="1:8" customFormat="1" x14ac:dyDescent="0.25">
      <c r="A1872" t="str">
        <f>"5916375"</f>
        <v>5916375</v>
      </c>
      <c r="B1872" t="s">
        <v>26685</v>
      </c>
      <c r="C1872" t="s">
        <v>43</v>
      </c>
      <c r="D1872" s="21" t="s">
        <v>34</v>
      </c>
      <c r="E1872" s="21" t="s">
        <v>35</v>
      </c>
      <c r="F1872">
        <v>7590409</v>
      </c>
      <c r="G1872" t="s">
        <v>2228</v>
      </c>
      <c r="H1872" s="21">
        <v>1446.67</v>
      </c>
    </row>
    <row r="1873" spans="1:8" customFormat="1" x14ac:dyDescent="0.25">
      <c r="A1873" t="str">
        <f>"92309"</f>
        <v>92309</v>
      </c>
      <c r="B1873" t="s">
        <v>2123</v>
      </c>
      <c r="C1873" t="s">
        <v>130</v>
      </c>
      <c r="D1873" s="21" t="s">
        <v>34</v>
      </c>
      <c r="E1873" s="21" t="s">
        <v>254</v>
      </c>
      <c r="F1873">
        <v>8920063</v>
      </c>
      <c r="G1873" t="s">
        <v>219</v>
      </c>
      <c r="H1873" s="21">
        <v>1446.67</v>
      </c>
    </row>
    <row r="1874" spans="1:8" customFormat="1" x14ac:dyDescent="0.25">
      <c r="A1874" t="str">
        <f>"451128"</f>
        <v>451128</v>
      </c>
      <c r="B1874" t="s">
        <v>2668</v>
      </c>
      <c r="C1874" t="s">
        <v>204</v>
      </c>
      <c r="D1874" s="21" t="s">
        <v>34</v>
      </c>
      <c r="E1874" s="21" t="s">
        <v>71</v>
      </c>
      <c r="F1874">
        <v>4450663</v>
      </c>
      <c r="G1874" t="s">
        <v>2527</v>
      </c>
      <c r="H1874" s="21">
        <v>1446.17</v>
      </c>
    </row>
    <row r="1875" spans="1:8" customFormat="1" x14ac:dyDescent="0.25">
      <c r="A1875" t="str">
        <f>"143611"</f>
        <v>143611</v>
      </c>
      <c r="B1875" t="s">
        <v>2780</v>
      </c>
      <c r="C1875" t="s">
        <v>269</v>
      </c>
      <c r="D1875" s="21" t="s">
        <v>34</v>
      </c>
      <c r="E1875" s="21" t="s">
        <v>71</v>
      </c>
      <c r="F1875">
        <v>9140071</v>
      </c>
      <c r="G1875" t="s">
        <v>1775</v>
      </c>
      <c r="H1875" s="21">
        <v>1446.17</v>
      </c>
    </row>
    <row r="1876" spans="1:8" customFormat="1" x14ac:dyDescent="0.25">
      <c r="A1876" t="str">
        <f>"5914265"</f>
        <v>5914265</v>
      </c>
      <c r="B1876" t="s">
        <v>3062</v>
      </c>
      <c r="C1876" t="s">
        <v>43</v>
      </c>
      <c r="D1876" s="21" t="s">
        <v>34</v>
      </c>
      <c r="E1876" s="21" t="s">
        <v>35</v>
      </c>
      <c r="F1876">
        <v>7590137</v>
      </c>
      <c r="G1876" t="s">
        <v>4246</v>
      </c>
      <c r="H1876" s="21">
        <v>1445.93</v>
      </c>
    </row>
    <row r="1877" spans="1:8" customFormat="1" x14ac:dyDescent="0.25">
      <c r="A1877" t="str">
        <f>"4163"</f>
        <v>4163</v>
      </c>
      <c r="B1877" t="s">
        <v>2993</v>
      </c>
      <c r="C1877" t="s">
        <v>267</v>
      </c>
      <c r="D1877" s="21" t="s">
        <v>34</v>
      </c>
      <c r="E1877" s="21" t="s">
        <v>254</v>
      </c>
      <c r="F1877">
        <v>4410015</v>
      </c>
      <c r="G1877" t="s">
        <v>2223</v>
      </c>
      <c r="H1877" s="21">
        <v>1445.8</v>
      </c>
    </row>
    <row r="1878" spans="1:8" customFormat="1" x14ac:dyDescent="0.25">
      <c r="A1878" t="str">
        <f>"291354"</f>
        <v>291354</v>
      </c>
      <c r="B1878" t="s">
        <v>1320</v>
      </c>
      <c r="C1878" t="s">
        <v>55</v>
      </c>
      <c r="D1878" s="21" t="s">
        <v>34</v>
      </c>
      <c r="E1878" s="21" t="s">
        <v>71</v>
      </c>
      <c r="F1878">
        <v>3290052</v>
      </c>
      <c r="G1878" t="s">
        <v>270</v>
      </c>
      <c r="H1878" s="21">
        <v>1445.67</v>
      </c>
    </row>
    <row r="1879" spans="1:8" customFormat="1" x14ac:dyDescent="0.25">
      <c r="A1879" t="str">
        <f>"2924389"</f>
        <v>2924389</v>
      </c>
      <c r="B1879" t="s">
        <v>2995</v>
      </c>
      <c r="C1879" t="s">
        <v>2996</v>
      </c>
      <c r="D1879" s="21" t="s">
        <v>34</v>
      </c>
      <c r="E1879" s="21" t="s">
        <v>35</v>
      </c>
      <c r="F1879">
        <v>3290223</v>
      </c>
      <c r="G1879" t="s">
        <v>2636</v>
      </c>
      <c r="H1879" s="21">
        <v>1445.67</v>
      </c>
    </row>
    <row r="1880" spans="1:8" customFormat="1" x14ac:dyDescent="0.25">
      <c r="A1880" t="str">
        <f>"495061"</f>
        <v>495061</v>
      </c>
      <c r="B1880" t="s">
        <v>2317</v>
      </c>
      <c r="C1880" t="s">
        <v>174</v>
      </c>
      <c r="D1880" s="21" t="s">
        <v>34</v>
      </c>
      <c r="E1880" s="21" t="s">
        <v>35</v>
      </c>
      <c r="F1880">
        <v>12490038</v>
      </c>
      <c r="G1880" t="s">
        <v>467</v>
      </c>
      <c r="H1880" s="21">
        <v>1445.67</v>
      </c>
    </row>
    <row r="1881" spans="1:8" customFormat="1" x14ac:dyDescent="0.25">
      <c r="A1881" t="str">
        <f>"633172"</f>
        <v>633172</v>
      </c>
      <c r="B1881" t="s">
        <v>2617</v>
      </c>
      <c r="C1881" t="s">
        <v>428</v>
      </c>
      <c r="D1881" s="21" t="s">
        <v>34</v>
      </c>
      <c r="E1881" s="21" t="s">
        <v>35</v>
      </c>
      <c r="F1881">
        <v>1630261</v>
      </c>
      <c r="G1881" t="s">
        <v>1382</v>
      </c>
      <c r="H1881" s="21">
        <v>1445.67</v>
      </c>
    </row>
    <row r="1882" spans="1:8" customFormat="1" x14ac:dyDescent="0.25">
      <c r="A1882" t="str">
        <f>"793779"</f>
        <v>793779</v>
      </c>
      <c r="B1882" t="s">
        <v>2497</v>
      </c>
      <c r="C1882" t="s">
        <v>121</v>
      </c>
      <c r="D1882" s="21" t="s">
        <v>34</v>
      </c>
      <c r="E1882" s="21" t="s">
        <v>35</v>
      </c>
      <c r="F1882">
        <v>10790005</v>
      </c>
      <c r="G1882" t="s">
        <v>1948</v>
      </c>
      <c r="H1882" s="21">
        <v>1445.42</v>
      </c>
    </row>
    <row r="1883" spans="1:8" customFormat="1" x14ac:dyDescent="0.25">
      <c r="A1883" t="str">
        <f>"8217"</f>
        <v>8217</v>
      </c>
      <c r="B1883" t="s">
        <v>2334</v>
      </c>
      <c r="C1883" t="s">
        <v>156</v>
      </c>
      <c r="D1883" s="21" t="s">
        <v>34</v>
      </c>
      <c r="E1883" s="21" t="s">
        <v>71</v>
      </c>
      <c r="F1883">
        <v>11820007</v>
      </c>
      <c r="G1883" t="s">
        <v>532</v>
      </c>
      <c r="H1883" s="21">
        <v>1445.42</v>
      </c>
    </row>
    <row r="1884" spans="1:8" customFormat="1" x14ac:dyDescent="0.25">
      <c r="A1884" t="str">
        <f>"9116077"</f>
        <v>9116077</v>
      </c>
      <c r="B1884" t="s">
        <v>146</v>
      </c>
      <c r="C1884" t="s">
        <v>1142</v>
      </c>
      <c r="D1884" s="21" t="s">
        <v>34</v>
      </c>
      <c r="E1884" s="21" t="s">
        <v>71</v>
      </c>
      <c r="F1884">
        <v>12720120</v>
      </c>
      <c r="G1884" t="s">
        <v>2509</v>
      </c>
      <c r="H1884" s="21">
        <v>1445.42</v>
      </c>
    </row>
    <row r="1885" spans="1:8" customFormat="1" x14ac:dyDescent="0.25">
      <c r="A1885" t="str">
        <f>"711149"</f>
        <v>711149</v>
      </c>
      <c r="B1885" t="s">
        <v>2718</v>
      </c>
      <c r="C1885" t="s">
        <v>263</v>
      </c>
      <c r="D1885" s="21" t="s">
        <v>34</v>
      </c>
      <c r="E1885" s="21" t="s">
        <v>71</v>
      </c>
      <c r="F1885">
        <v>2710025</v>
      </c>
      <c r="G1885" t="s">
        <v>2719</v>
      </c>
      <c r="H1885" s="21">
        <v>1445.17</v>
      </c>
    </row>
    <row r="1886" spans="1:8" customFormat="1" x14ac:dyDescent="0.25">
      <c r="A1886" t="str">
        <f>"594354"</f>
        <v>594354</v>
      </c>
      <c r="B1886" t="s">
        <v>2028</v>
      </c>
      <c r="C1886" t="s">
        <v>576</v>
      </c>
      <c r="D1886" s="21" t="s">
        <v>34</v>
      </c>
      <c r="E1886" s="21" t="s">
        <v>35</v>
      </c>
      <c r="F1886">
        <v>7590044</v>
      </c>
      <c r="G1886" t="s">
        <v>2029</v>
      </c>
      <c r="H1886" s="21">
        <v>1445.17</v>
      </c>
    </row>
    <row r="1887" spans="1:8" customFormat="1" x14ac:dyDescent="0.25">
      <c r="A1887" t="str">
        <f>"595223"</f>
        <v>595223</v>
      </c>
      <c r="B1887" t="s">
        <v>2175</v>
      </c>
      <c r="C1887" t="s">
        <v>1132</v>
      </c>
      <c r="D1887" s="21" t="s">
        <v>34</v>
      </c>
      <c r="E1887" s="21" t="s">
        <v>35</v>
      </c>
      <c r="F1887">
        <v>7620005</v>
      </c>
      <c r="G1887" t="s">
        <v>200</v>
      </c>
      <c r="H1887" s="21">
        <v>1444.67</v>
      </c>
    </row>
    <row r="1888" spans="1:8" customFormat="1" x14ac:dyDescent="0.25">
      <c r="A1888" t="str">
        <f>"755352"</f>
        <v>755352</v>
      </c>
      <c r="B1888" t="s">
        <v>2597</v>
      </c>
      <c r="C1888" t="s">
        <v>621</v>
      </c>
      <c r="D1888" s="21" t="s">
        <v>34</v>
      </c>
      <c r="E1888" s="21" t="s">
        <v>71</v>
      </c>
      <c r="F1888">
        <v>12530060</v>
      </c>
      <c r="G1888" t="s">
        <v>1356</v>
      </c>
      <c r="H1888" s="21">
        <v>1444.67</v>
      </c>
    </row>
    <row r="1889" spans="1:8" customFormat="1" x14ac:dyDescent="0.25">
      <c r="A1889" t="str">
        <f>"2910729"</f>
        <v>2910729</v>
      </c>
      <c r="B1889" t="s">
        <v>2635</v>
      </c>
      <c r="C1889" t="s">
        <v>288</v>
      </c>
      <c r="D1889" s="21" t="s">
        <v>34</v>
      </c>
      <c r="E1889" s="21" t="s">
        <v>35</v>
      </c>
      <c r="F1889">
        <v>3290223</v>
      </c>
      <c r="G1889" t="s">
        <v>2636</v>
      </c>
      <c r="H1889" s="21">
        <v>1444.67</v>
      </c>
    </row>
    <row r="1890" spans="1:8" customFormat="1" x14ac:dyDescent="0.25">
      <c r="A1890" t="str">
        <f>"746801"</f>
        <v>746801</v>
      </c>
      <c r="B1890" t="s">
        <v>1951</v>
      </c>
      <c r="C1890" t="s">
        <v>204</v>
      </c>
      <c r="D1890" s="21" t="s">
        <v>34</v>
      </c>
      <c r="E1890" s="21" t="s">
        <v>35</v>
      </c>
      <c r="F1890">
        <v>1740090</v>
      </c>
      <c r="G1890" t="s">
        <v>1369</v>
      </c>
      <c r="H1890" s="21">
        <v>1444.55</v>
      </c>
    </row>
    <row r="1891" spans="1:8" customFormat="1" x14ac:dyDescent="0.25">
      <c r="A1891" t="str">
        <f>"023309"</f>
        <v>023309</v>
      </c>
      <c r="B1891" t="s">
        <v>2105</v>
      </c>
      <c r="C1891" t="s">
        <v>712</v>
      </c>
      <c r="D1891" s="21" t="s">
        <v>34</v>
      </c>
      <c r="E1891" s="21" t="s">
        <v>35</v>
      </c>
      <c r="F1891">
        <v>7800061</v>
      </c>
      <c r="G1891" t="s">
        <v>1330</v>
      </c>
      <c r="H1891" s="21">
        <v>1443.67</v>
      </c>
    </row>
    <row r="1892" spans="1:8" customFormat="1" x14ac:dyDescent="0.25">
      <c r="A1892" t="str">
        <f>"1461"</f>
        <v>1461</v>
      </c>
      <c r="B1892" t="s">
        <v>1200</v>
      </c>
      <c r="C1892" t="s">
        <v>209</v>
      </c>
      <c r="D1892" s="21" t="s">
        <v>34</v>
      </c>
      <c r="E1892" s="21" t="s">
        <v>254</v>
      </c>
      <c r="F1892">
        <v>9140156</v>
      </c>
      <c r="G1892" t="s">
        <v>645</v>
      </c>
      <c r="H1892" s="21">
        <v>1443.67</v>
      </c>
    </row>
    <row r="1893" spans="1:8" customFormat="1" x14ac:dyDescent="0.25">
      <c r="A1893" t="str">
        <f>"8515406"</f>
        <v>8515406</v>
      </c>
      <c r="B1893" t="s">
        <v>2816</v>
      </c>
      <c r="C1893" t="s">
        <v>114</v>
      </c>
      <c r="D1893" s="21" t="s">
        <v>34</v>
      </c>
      <c r="E1893" s="21" t="s">
        <v>254</v>
      </c>
      <c r="F1893">
        <v>10170162</v>
      </c>
      <c r="G1893" t="s">
        <v>2817</v>
      </c>
      <c r="H1893" s="21">
        <v>1443.67</v>
      </c>
    </row>
    <row r="1894" spans="1:8" customFormat="1" x14ac:dyDescent="0.25">
      <c r="A1894" t="str">
        <f>"5911542"</f>
        <v>5911542</v>
      </c>
      <c r="B1894" t="s">
        <v>2868</v>
      </c>
      <c r="C1894" t="s">
        <v>311</v>
      </c>
      <c r="D1894" s="21" t="s">
        <v>34</v>
      </c>
      <c r="E1894" s="21" t="s">
        <v>35</v>
      </c>
      <c r="F1894">
        <v>7590123</v>
      </c>
      <c r="G1894" t="s">
        <v>85</v>
      </c>
      <c r="H1894" s="21">
        <v>1443.17</v>
      </c>
    </row>
    <row r="1895" spans="1:8" customFormat="1" x14ac:dyDescent="0.25">
      <c r="A1895" t="str">
        <f>"5926379"</f>
        <v>5926379</v>
      </c>
      <c r="B1895" t="s">
        <v>2805</v>
      </c>
      <c r="C1895" t="s">
        <v>2806</v>
      </c>
      <c r="D1895" s="21" t="s">
        <v>34</v>
      </c>
      <c r="E1895" s="21" t="s">
        <v>35</v>
      </c>
      <c r="F1895">
        <v>7590018</v>
      </c>
      <c r="G1895" t="s">
        <v>2807</v>
      </c>
      <c r="H1895" s="21">
        <v>1443</v>
      </c>
    </row>
    <row r="1896" spans="1:8" customFormat="1" x14ac:dyDescent="0.25">
      <c r="A1896" t="str">
        <f>"7510100"</f>
        <v>7510100</v>
      </c>
      <c r="B1896" t="s">
        <v>2682</v>
      </c>
      <c r="C1896" t="s">
        <v>233</v>
      </c>
      <c r="D1896" s="21" t="s">
        <v>34</v>
      </c>
      <c r="E1896" s="21" t="s">
        <v>71</v>
      </c>
      <c r="F1896">
        <v>8751456</v>
      </c>
      <c r="G1896" t="s">
        <v>2683</v>
      </c>
      <c r="H1896" s="21">
        <v>1442.79</v>
      </c>
    </row>
    <row r="1897" spans="1:8" customFormat="1" x14ac:dyDescent="0.25">
      <c r="A1897" t="str">
        <f>"5013268"</f>
        <v>5013268</v>
      </c>
      <c r="B1897" t="s">
        <v>3725</v>
      </c>
      <c r="C1897" t="s">
        <v>33</v>
      </c>
      <c r="D1897" s="21" t="s">
        <v>34</v>
      </c>
      <c r="E1897" s="21" t="s">
        <v>35</v>
      </c>
      <c r="F1897">
        <v>9500124</v>
      </c>
      <c r="G1897" t="s">
        <v>3726</v>
      </c>
      <c r="H1897" s="21">
        <v>1442.67</v>
      </c>
    </row>
    <row r="1898" spans="1:8" customFormat="1" x14ac:dyDescent="0.25">
      <c r="A1898" t="str">
        <f>"549748"</f>
        <v>549748</v>
      </c>
      <c r="B1898" t="s">
        <v>2107</v>
      </c>
      <c r="C1898" t="s">
        <v>82</v>
      </c>
      <c r="D1898" s="21" t="s">
        <v>34</v>
      </c>
      <c r="E1898" s="21" t="s">
        <v>35</v>
      </c>
      <c r="F1898">
        <v>6540088</v>
      </c>
      <c r="G1898" t="s">
        <v>2108</v>
      </c>
      <c r="H1898" s="21">
        <v>1442.67</v>
      </c>
    </row>
    <row r="1899" spans="1:8" customFormat="1" x14ac:dyDescent="0.25">
      <c r="A1899" t="str">
        <f>"95463"</f>
        <v>95463</v>
      </c>
      <c r="B1899" t="s">
        <v>2664</v>
      </c>
      <c r="C1899" t="s">
        <v>169</v>
      </c>
      <c r="D1899" s="21" t="s">
        <v>34</v>
      </c>
      <c r="E1899" s="21" t="s">
        <v>71</v>
      </c>
      <c r="F1899">
        <v>8950083</v>
      </c>
      <c r="G1899" t="s">
        <v>405</v>
      </c>
      <c r="H1899" s="21">
        <v>1442.42</v>
      </c>
    </row>
    <row r="1900" spans="1:8" customFormat="1" x14ac:dyDescent="0.25">
      <c r="A1900" t="str">
        <f>"699917"</f>
        <v>699917</v>
      </c>
      <c r="B1900" t="s">
        <v>26686</v>
      </c>
      <c r="C1900" t="s">
        <v>16209</v>
      </c>
      <c r="D1900" s="21" t="s">
        <v>34</v>
      </c>
      <c r="E1900" s="21" t="s">
        <v>35</v>
      </c>
      <c r="F1900">
        <v>1690064</v>
      </c>
      <c r="G1900" t="s">
        <v>9490</v>
      </c>
      <c r="H1900" s="21">
        <v>1442.17</v>
      </c>
    </row>
    <row r="1901" spans="1:8" customFormat="1" x14ac:dyDescent="0.25">
      <c r="A1901" t="str">
        <f>"6229433"</f>
        <v>6229433</v>
      </c>
      <c r="B1901" t="s">
        <v>2740</v>
      </c>
      <c r="C1901" t="s">
        <v>87</v>
      </c>
      <c r="D1901" s="21" t="s">
        <v>34</v>
      </c>
      <c r="E1901" s="21" t="s">
        <v>35</v>
      </c>
      <c r="F1901">
        <v>7620051</v>
      </c>
      <c r="G1901" t="s">
        <v>2741</v>
      </c>
      <c r="H1901" s="21">
        <v>1442.17</v>
      </c>
    </row>
    <row r="1902" spans="1:8" customFormat="1" x14ac:dyDescent="0.25">
      <c r="A1902" t="str">
        <f>"503783"</f>
        <v>503783</v>
      </c>
      <c r="B1902" t="s">
        <v>2510</v>
      </c>
      <c r="C1902" t="s">
        <v>204</v>
      </c>
      <c r="D1902" s="21" t="s">
        <v>34</v>
      </c>
      <c r="E1902" s="21" t="s">
        <v>35</v>
      </c>
      <c r="F1902">
        <v>9500030</v>
      </c>
      <c r="G1902" t="s">
        <v>2166</v>
      </c>
      <c r="H1902" s="21">
        <v>1442.17</v>
      </c>
    </row>
    <row r="1903" spans="1:8" customFormat="1" x14ac:dyDescent="0.25">
      <c r="A1903" t="str">
        <f>"9514800"</f>
        <v>9514800</v>
      </c>
      <c r="B1903" t="s">
        <v>3182</v>
      </c>
      <c r="C1903" t="s">
        <v>119</v>
      </c>
      <c r="D1903" s="21" t="s">
        <v>34</v>
      </c>
      <c r="E1903" s="21" t="s">
        <v>71</v>
      </c>
      <c r="F1903">
        <v>8950262</v>
      </c>
      <c r="G1903" t="s">
        <v>1881</v>
      </c>
      <c r="H1903" s="21">
        <v>1441.8</v>
      </c>
    </row>
    <row r="1904" spans="1:8" customFormat="1" x14ac:dyDescent="0.25">
      <c r="A1904" t="str">
        <f>"5312552"</f>
        <v>5312552</v>
      </c>
      <c r="B1904" t="s">
        <v>3493</v>
      </c>
      <c r="C1904" t="s">
        <v>926</v>
      </c>
      <c r="D1904" s="21" t="s">
        <v>34</v>
      </c>
      <c r="E1904" s="21" t="s">
        <v>35</v>
      </c>
      <c r="F1904">
        <v>12530022</v>
      </c>
      <c r="G1904" t="s">
        <v>914</v>
      </c>
      <c r="H1904" s="21">
        <v>1441.42</v>
      </c>
    </row>
    <row r="1905" spans="1:8" customFormat="1" x14ac:dyDescent="0.25">
      <c r="A1905" t="str">
        <f>"5761"</f>
        <v>5761</v>
      </c>
      <c r="B1905" t="s">
        <v>4015</v>
      </c>
      <c r="C1905" t="s">
        <v>267</v>
      </c>
      <c r="D1905" s="21" t="s">
        <v>34</v>
      </c>
      <c r="E1905" s="21" t="s">
        <v>71</v>
      </c>
      <c r="F1905">
        <v>6570005</v>
      </c>
      <c r="G1905" t="s">
        <v>351</v>
      </c>
      <c r="H1905" s="21">
        <v>1441.17</v>
      </c>
    </row>
    <row r="1906" spans="1:8" customFormat="1" x14ac:dyDescent="0.25">
      <c r="A1906" t="str">
        <f>"259895"</f>
        <v>259895</v>
      </c>
      <c r="B1906" t="s">
        <v>2743</v>
      </c>
      <c r="C1906" t="s">
        <v>2744</v>
      </c>
      <c r="D1906" s="21" t="s">
        <v>34</v>
      </c>
      <c r="E1906" s="21" t="s">
        <v>71</v>
      </c>
      <c r="F1906">
        <v>2250021</v>
      </c>
      <c r="G1906" t="s">
        <v>2352</v>
      </c>
      <c r="H1906" s="21">
        <v>1441.17</v>
      </c>
    </row>
    <row r="1907" spans="1:8" customFormat="1" x14ac:dyDescent="0.25">
      <c r="A1907" t="str">
        <f>"7513047"</f>
        <v>7513047</v>
      </c>
      <c r="B1907" t="s">
        <v>2822</v>
      </c>
      <c r="C1907" t="s">
        <v>2475</v>
      </c>
      <c r="D1907" s="21" t="s">
        <v>34</v>
      </c>
      <c r="E1907" s="21" t="s">
        <v>35</v>
      </c>
      <c r="F1907">
        <v>8751061</v>
      </c>
      <c r="G1907" t="s">
        <v>26628</v>
      </c>
      <c r="H1907" s="21">
        <v>1441</v>
      </c>
    </row>
    <row r="1908" spans="1:8" customFormat="1" x14ac:dyDescent="0.25">
      <c r="A1908" t="str">
        <f>"2922546"</f>
        <v>2922546</v>
      </c>
      <c r="B1908" t="s">
        <v>2577</v>
      </c>
      <c r="C1908" t="s">
        <v>598</v>
      </c>
      <c r="D1908" s="21" t="s">
        <v>34</v>
      </c>
      <c r="E1908" s="21" t="s">
        <v>35</v>
      </c>
      <c r="F1908">
        <v>3560031</v>
      </c>
      <c r="G1908" t="s">
        <v>738</v>
      </c>
      <c r="H1908" s="21">
        <v>1440.67</v>
      </c>
    </row>
    <row r="1909" spans="1:8" customFormat="1" x14ac:dyDescent="0.25">
      <c r="A1909" t="str">
        <f>"242628"</f>
        <v>242628</v>
      </c>
      <c r="B1909" t="s">
        <v>2939</v>
      </c>
      <c r="C1909" t="s">
        <v>124</v>
      </c>
      <c r="D1909" s="21" t="s">
        <v>34</v>
      </c>
      <c r="E1909" s="21" t="s">
        <v>254</v>
      </c>
      <c r="F1909">
        <v>10240003</v>
      </c>
      <c r="G1909" t="s">
        <v>2940</v>
      </c>
      <c r="H1909" s="21">
        <v>1440.67</v>
      </c>
    </row>
    <row r="1910" spans="1:8" customFormat="1" x14ac:dyDescent="0.25">
      <c r="A1910" t="str">
        <f>"5910816"</f>
        <v>5910816</v>
      </c>
      <c r="B1910" t="s">
        <v>2788</v>
      </c>
      <c r="C1910" t="s">
        <v>822</v>
      </c>
      <c r="D1910" s="21" t="s">
        <v>34</v>
      </c>
      <c r="E1910" s="21" t="s">
        <v>254</v>
      </c>
      <c r="F1910">
        <v>7590061</v>
      </c>
      <c r="G1910" t="s">
        <v>1207</v>
      </c>
      <c r="H1910" s="21">
        <v>1440.67</v>
      </c>
    </row>
    <row r="1911" spans="1:8" customFormat="1" x14ac:dyDescent="0.25">
      <c r="A1911" t="str">
        <f>"8523058"</f>
        <v>8523058</v>
      </c>
      <c r="B1911" t="s">
        <v>5084</v>
      </c>
      <c r="C1911" t="s">
        <v>1294</v>
      </c>
      <c r="D1911" s="21" t="s">
        <v>34</v>
      </c>
      <c r="E1911" s="21" t="s">
        <v>35</v>
      </c>
      <c r="F1911">
        <v>12850046</v>
      </c>
      <c r="G1911" t="s">
        <v>3136</v>
      </c>
      <c r="H1911" s="21">
        <v>1440.67</v>
      </c>
    </row>
    <row r="1912" spans="1:8" customFormat="1" x14ac:dyDescent="0.25">
      <c r="A1912" t="str">
        <f>"4513486"</f>
        <v>4513486</v>
      </c>
      <c r="B1912" t="s">
        <v>2925</v>
      </c>
      <c r="C1912" t="s">
        <v>62</v>
      </c>
      <c r="D1912" s="21" t="s">
        <v>34</v>
      </c>
      <c r="E1912" s="21" t="s">
        <v>35</v>
      </c>
      <c r="F1912">
        <v>4450663</v>
      </c>
      <c r="G1912" t="s">
        <v>2527</v>
      </c>
      <c r="H1912" s="21">
        <v>1440.67</v>
      </c>
    </row>
    <row r="1913" spans="1:8" customFormat="1" x14ac:dyDescent="0.25">
      <c r="A1913" t="str">
        <f>"137263"</f>
        <v>137263</v>
      </c>
      <c r="B1913" t="s">
        <v>2665</v>
      </c>
      <c r="C1913" t="s">
        <v>119</v>
      </c>
      <c r="D1913" s="21" t="s">
        <v>34</v>
      </c>
      <c r="E1913" s="21" t="s">
        <v>71</v>
      </c>
      <c r="F1913">
        <v>13130022</v>
      </c>
      <c r="G1913" t="s">
        <v>2666</v>
      </c>
      <c r="H1913" s="21">
        <v>1440.42</v>
      </c>
    </row>
    <row r="1914" spans="1:8" customFormat="1" x14ac:dyDescent="0.25">
      <c r="A1914" t="str">
        <f>"166308"</f>
        <v>166308</v>
      </c>
      <c r="B1914" t="s">
        <v>2911</v>
      </c>
      <c r="C1914" t="s">
        <v>65</v>
      </c>
      <c r="D1914" s="21" t="s">
        <v>34</v>
      </c>
      <c r="E1914" s="21" t="s">
        <v>35</v>
      </c>
      <c r="F1914">
        <v>10160029</v>
      </c>
      <c r="G1914" t="s">
        <v>896</v>
      </c>
      <c r="H1914" s="21">
        <v>1440.17</v>
      </c>
    </row>
    <row r="1915" spans="1:8" customFormat="1" x14ac:dyDescent="0.25">
      <c r="A1915" t="str">
        <f>"394511"</f>
        <v>394511</v>
      </c>
      <c r="B1915" t="s">
        <v>2675</v>
      </c>
      <c r="C1915" t="s">
        <v>169</v>
      </c>
      <c r="D1915" s="21" t="s">
        <v>34</v>
      </c>
      <c r="E1915" s="21" t="s">
        <v>35</v>
      </c>
      <c r="F1915">
        <v>2390095</v>
      </c>
      <c r="G1915" t="s">
        <v>2676</v>
      </c>
      <c r="H1915" s="21">
        <v>1439.67</v>
      </c>
    </row>
    <row r="1916" spans="1:8" customFormat="1" x14ac:dyDescent="0.25">
      <c r="A1916" t="str">
        <f>"137097"</f>
        <v>137097</v>
      </c>
      <c r="B1916" t="s">
        <v>2891</v>
      </c>
      <c r="C1916" t="s">
        <v>2892</v>
      </c>
      <c r="D1916" s="21" t="s">
        <v>34</v>
      </c>
      <c r="E1916" s="21" t="s">
        <v>35</v>
      </c>
      <c r="F1916">
        <v>13130100</v>
      </c>
      <c r="G1916" t="s">
        <v>2893</v>
      </c>
      <c r="H1916" s="21">
        <v>1439.67</v>
      </c>
    </row>
    <row r="1917" spans="1:8" customFormat="1" x14ac:dyDescent="0.25">
      <c r="A1917" t="str">
        <f>"622520"</f>
        <v>622520</v>
      </c>
      <c r="B1917" t="s">
        <v>376</v>
      </c>
      <c r="C1917" t="s">
        <v>1803</v>
      </c>
      <c r="D1917" s="21" t="s">
        <v>34</v>
      </c>
      <c r="E1917" s="21" t="s">
        <v>35</v>
      </c>
      <c r="F1917">
        <v>7620015</v>
      </c>
      <c r="G1917" t="s">
        <v>377</v>
      </c>
      <c r="H1917" s="21">
        <v>1439.67</v>
      </c>
    </row>
    <row r="1918" spans="1:8" customFormat="1" x14ac:dyDescent="0.25">
      <c r="A1918" t="str">
        <f>"026494"</f>
        <v>026494</v>
      </c>
      <c r="B1918" t="s">
        <v>2671</v>
      </c>
      <c r="C1918" t="s">
        <v>2672</v>
      </c>
      <c r="D1918" s="21" t="s">
        <v>34</v>
      </c>
      <c r="E1918" s="21" t="s">
        <v>35</v>
      </c>
      <c r="F1918">
        <v>7020031</v>
      </c>
      <c r="G1918" t="s">
        <v>828</v>
      </c>
      <c r="H1918" s="21">
        <v>1439.17</v>
      </c>
    </row>
    <row r="1919" spans="1:8" customFormat="1" x14ac:dyDescent="0.25">
      <c r="A1919" t="str">
        <f>"78636"</f>
        <v>78636</v>
      </c>
      <c r="B1919" t="s">
        <v>2476</v>
      </c>
      <c r="C1919" t="s">
        <v>119</v>
      </c>
      <c r="D1919" s="21" t="s">
        <v>34</v>
      </c>
      <c r="E1919" s="21" t="s">
        <v>35</v>
      </c>
      <c r="F1919">
        <v>8780496</v>
      </c>
      <c r="G1919" t="s">
        <v>2477</v>
      </c>
      <c r="H1919" s="21">
        <v>1439.17</v>
      </c>
    </row>
    <row r="1920" spans="1:8" customFormat="1" x14ac:dyDescent="0.25">
      <c r="A1920" t="str">
        <f>"7610287"</f>
        <v>7610287</v>
      </c>
      <c r="B1920" t="s">
        <v>2941</v>
      </c>
      <c r="C1920" t="s">
        <v>462</v>
      </c>
      <c r="D1920" s="21" t="s">
        <v>34</v>
      </c>
      <c r="E1920" s="21" t="s">
        <v>35</v>
      </c>
      <c r="F1920">
        <v>9760018</v>
      </c>
      <c r="G1920" t="s">
        <v>117</v>
      </c>
      <c r="H1920" s="21">
        <v>1439.17</v>
      </c>
    </row>
    <row r="1921" spans="1:8" customFormat="1" x14ac:dyDescent="0.25">
      <c r="A1921" t="str">
        <f>"266558"</f>
        <v>266558</v>
      </c>
      <c r="B1921" t="s">
        <v>3081</v>
      </c>
      <c r="C1921" t="s">
        <v>1810</v>
      </c>
      <c r="D1921" s="21" t="s">
        <v>34</v>
      </c>
      <c r="E1921" s="21" t="s">
        <v>35</v>
      </c>
      <c r="F1921">
        <v>11300023</v>
      </c>
      <c r="G1921" t="s">
        <v>2679</v>
      </c>
      <c r="H1921" s="21">
        <v>1439.17</v>
      </c>
    </row>
    <row r="1922" spans="1:8" customFormat="1" x14ac:dyDescent="0.25">
      <c r="A1922" t="str">
        <f>"775360"</f>
        <v>775360</v>
      </c>
      <c r="B1922" t="s">
        <v>26687</v>
      </c>
      <c r="C1922" t="s">
        <v>985</v>
      </c>
      <c r="D1922" s="21" t="s">
        <v>34</v>
      </c>
      <c r="E1922" s="21" t="s">
        <v>35</v>
      </c>
      <c r="F1922">
        <v>8771170</v>
      </c>
      <c r="G1922" t="s">
        <v>50</v>
      </c>
      <c r="H1922" s="21">
        <v>1439.17</v>
      </c>
    </row>
    <row r="1923" spans="1:8" customFormat="1" x14ac:dyDescent="0.25">
      <c r="A1923" t="str">
        <f>"627128"</f>
        <v>627128</v>
      </c>
      <c r="B1923" t="s">
        <v>2390</v>
      </c>
      <c r="C1923" t="s">
        <v>60</v>
      </c>
      <c r="D1923" s="21" t="s">
        <v>34</v>
      </c>
      <c r="E1923" s="21" t="s">
        <v>35</v>
      </c>
      <c r="F1923">
        <v>7620027</v>
      </c>
      <c r="G1923" t="s">
        <v>980</v>
      </c>
      <c r="H1923" s="21">
        <v>1439.04</v>
      </c>
    </row>
    <row r="1924" spans="1:8" customFormat="1" x14ac:dyDescent="0.25">
      <c r="A1924" t="str">
        <f>"703024"</f>
        <v>703024</v>
      </c>
      <c r="B1924" t="s">
        <v>3154</v>
      </c>
      <c r="C1924" t="s">
        <v>40</v>
      </c>
      <c r="D1924" s="21" t="s">
        <v>34</v>
      </c>
      <c r="E1924" s="21" t="s">
        <v>71</v>
      </c>
      <c r="F1924">
        <v>2700002</v>
      </c>
      <c r="G1924" t="s">
        <v>953</v>
      </c>
      <c r="H1924" s="21">
        <v>1438.67</v>
      </c>
    </row>
    <row r="1925" spans="1:8" customFormat="1" x14ac:dyDescent="0.25">
      <c r="A1925" t="str">
        <f>"9130026"</f>
        <v>9130026</v>
      </c>
      <c r="B1925" t="s">
        <v>7664</v>
      </c>
      <c r="C1925" t="s">
        <v>206</v>
      </c>
      <c r="D1925" s="21" t="s">
        <v>34</v>
      </c>
      <c r="E1925" s="21" t="s">
        <v>35</v>
      </c>
      <c r="F1925">
        <v>8911285</v>
      </c>
      <c r="G1925" t="s">
        <v>2396</v>
      </c>
      <c r="H1925" s="21">
        <v>1438.54</v>
      </c>
    </row>
    <row r="1926" spans="1:8" customFormat="1" x14ac:dyDescent="0.25">
      <c r="A1926" t="str">
        <f>"8016171"</f>
        <v>8016171</v>
      </c>
      <c r="B1926" t="s">
        <v>3089</v>
      </c>
      <c r="C1926" t="s">
        <v>1705</v>
      </c>
      <c r="D1926" s="21" t="s">
        <v>34</v>
      </c>
      <c r="E1926" s="21" t="s">
        <v>71</v>
      </c>
      <c r="F1926">
        <v>7800001</v>
      </c>
      <c r="G1926" t="s">
        <v>176</v>
      </c>
      <c r="H1926" s="21">
        <v>1438.17</v>
      </c>
    </row>
    <row r="1927" spans="1:8" customFormat="1" x14ac:dyDescent="0.25">
      <c r="A1927" t="str">
        <f>"5936625"</f>
        <v>5936625</v>
      </c>
      <c r="B1927" t="s">
        <v>2235</v>
      </c>
      <c r="C1927" t="s">
        <v>269</v>
      </c>
      <c r="D1927" s="21" t="s">
        <v>34</v>
      </c>
      <c r="E1927" s="21" t="s">
        <v>71</v>
      </c>
      <c r="F1927">
        <v>7590204</v>
      </c>
      <c r="G1927" t="s">
        <v>696</v>
      </c>
      <c r="H1927" s="21">
        <v>1438.17</v>
      </c>
    </row>
    <row r="1928" spans="1:8" customFormat="1" x14ac:dyDescent="0.25">
      <c r="A1928" t="str">
        <f>"621531"</f>
        <v>621531</v>
      </c>
      <c r="B1928" t="s">
        <v>2521</v>
      </c>
      <c r="C1928" t="s">
        <v>2479</v>
      </c>
      <c r="D1928" s="21" t="s">
        <v>34</v>
      </c>
      <c r="E1928" s="21" t="s">
        <v>71</v>
      </c>
      <c r="F1928">
        <v>7620100</v>
      </c>
      <c r="G1928" t="s">
        <v>145</v>
      </c>
      <c r="H1928" s="21">
        <v>1438.17</v>
      </c>
    </row>
    <row r="1929" spans="1:8" customFormat="1" x14ac:dyDescent="0.25">
      <c r="A1929" t="str">
        <f>"5910973"</f>
        <v>5910973</v>
      </c>
      <c r="B1929" t="s">
        <v>2596</v>
      </c>
      <c r="C1929" t="s">
        <v>87</v>
      </c>
      <c r="D1929" s="21" t="s">
        <v>34</v>
      </c>
      <c r="E1929" s="21" t="s">
        <v>35</v>
      </c>
      <c r="F1929">
        <v>7590392</v>
      </c>
      <c r="G1929" t="s">
        <v>154</v>
      </c>
      <c r="H1929" s="21">
        <v>1438.17</v>
      </c>
    </row>
    <row r="1930" spans="1:8" customFormat="1" x14ac:dyDescent="0.25">
      <c r="A1930" t="str">
        <f>"608062"</f>
        <v>608062</v>
      </c>
      <c r="B1930" t="s">
        <v>2742</v>
      </c>
      <c r="C1930" t="s">
        <v>249</v>
      </c>
      <c r="D1930" s="21" t="s">
        <v>34</v>
      </c>
      <c r="E1930" s="21" t="s">
        <v>71</v>
      </c>
      <c r="F1930">
        <v>7600126</v>
      </c>
      <c r="G1930" t="s">
        <v>2516</v>
      </c>
      <c r="H1930" s="21">
        <v>1438.17</v>
      </c>
    </row>
    <row r="1931" spans="1:8" customFormat="1" x14ac:dyDescent="0.25">
      <c r="A1931" t="str">
        <f>"7859576"</f>
        <v>7859576</v>
      </c>
      <c r="B1931" t="s">
        <v>2428</v>
      </c>
      <c r="C1931" t="s">
        <v>486</v>
      </c>
      <c r="D1931" s="21" t="s">
        <v>34</v>
      </c>
      <c r="E1931" s="21" t="s">
        <v>71</v>
      </c>
      <c r="F1931">
        <v>8780571</v>
      </c>
      <c r="G1931" t="s">
        <v>2336</v>
      </c>
      <c r="H1931" s="21">
        <v>1437.67</v>
      </c>
    </row>
    <row r="1932" spans="1:8" customFormat="1" x14ac:dyDescent="0.25">
      <c r="A1932" t="str">
        <f>"89610"</f>
        <v>89610</v>
      </c>
      <c r="B1932" t="s">
        <v>2888</v>
      </c>
      <c r="C1932" t="s">
        <v>656</v>
      </c>
      <c r="D1932" s="21" t="s">
        <v>34</v>
      </c>
      <c r="E1932" s="21" t="s">
        <v>35</v>
      </c>
      <c r="F1932">
        <v>2890005</v>
      </c>
      <c r="G1932" t="s">
        <v>2889</v>
      </c>
      <c r="H1932" s="21">
        <v>1437.42</v>
      </c>
    </row>
    <row r="1933" spans="1:8" customFormat="1" x14ac:dyDescent="0.25">
      <c r="A1933" t="str">
        <f>"92857"</f>
        <v>92857</v>
      </c>
      <c r="B1933" t="s">
        <v>3250</v>
      </c>
      <c r="C1933" t="s">
        <v>412</v>
      </c>
      <c r="D1933" s="21" t="s">
        <v>34</v>
      </c>
      <c r="E1933" s="21" t="s">
        <v>71</v>
      </c>
      <c r="F1933">
        <v>8910861</v>
      </c>
      <c r="G1933" t="s">
        <v>1120</v>
      </c>
      <c r="H1933" s="21">
        <v>1437.17</v>
      </c>
    </row>
    <row r="1934" spans="1:8" customFormat="1" x14ac:dyDescent="0.25">
      <c r="A1934" t="str">
        <f>"9419220"</f>
        <v>9419220</v>
      </c>
      <c r="B1934" t="s">
        <v>26688</v>
      </c>
      <c r="C1934" t="s">
        <v>26689</v>
      </c>
      <c r="D1934" s="21" t="s">
        <v>34</v>
      </c>
      <c r="E1934" s="21" t="s">
        <v>35</v>
      </c>
      <c r="F1934">
        <v>8940894</v>
      </c>
      <c r="G1934" t="s">
        <v>481</v>
      </c>
      <c r="H1934" s="21">
        <v>1437.17</v>
      </c>
    </row>
    <row r="1935" spans="1:8" customFormat="1" x14ac:dyDescent="0.25">
      <c r="A1935" t="str">
        <f>"9127174"</f>
        <v>9127174</v>
      </c>
      <c r="B1935" t="s">
        <v>2548</v>
      </c>
      <c r="C1935" t="s">
        <v>33</v>
      </c>
      <c r="D1935" s="21" t="s">
        <v>34</v>
      </c>
      <c r="E1935" s="21" t="s">
        <v>35</v>
      </c>
      <c r="F1935">
        <v>7620054</v>
      </c>
      <c r="G1935" t="s">
        <v>1677</v>
      </c>
      <c r="H1935" s="21">
        <v>1436.67</v>
      </c>
    </row>
    <row r="1936" spans="1:8" customFormat="1" x14ac:dyDescent="0.25">
      <c r="A1936" t="str">
        <f>"082265"</f>
        <v>082265</v>
      </c>
      <c r="B1936" t="s">
        <v>8080</v>
      </c>
      <c r="C1936" t="s">
        <v>209</v>
      </c>
      <c r="D1936" s="21" t="s">
        <v>34</v>
      </c>
      <c r="E1936" s="21" t="s">
        <v>71</v>
      </c>
      <c r="F1936">
        <v>6080082</v>
      </c>
      <c r="G1936" t="s">
        <v>2401</v>
      </c>
      <c r="H1936" s="21">
        <v>1436.42</v>
      </c>
    </row>
    <row r="1937" spans="1:8" customFormat="1" x14ac:dyDescent="0.25">
      <c r="A1937" t="str">
        <f>"9318001"</f>
        <v>9318001</v>
      </c>
      <c r="B1937" t="s">
        <v>4390</v>
      </c>
      <c r="C1937" t="s">
        <v>598</v>
      </c>
      <c r="D1937" s="21" t="s">
        <v>34</v>
      </c>
      <c r="E1937" s="21" t="s">
        <v>71</v>
      </c>
      <c r="F1937">
        <v>8930452</v>
      </c>
      <c r="G1937" t="s">
        <v>83</v>
      </c>
      <c r="H1937" s="21">
        <v>1436.17</v>
      </c>
    </row>
    <row r="1938" spans="1:8" customFormat="1" x14ac:dyDescent="0.25">
      <c r="A1938" t="str">
        <f>"7636562"</f>
        <v>7636562</v>
      </c>
      <c r="B1938" t="s">
        <v>2619</v>
      </c>
      <c r="C1938" t="s">
        <v>98</v>
      </c>
      <c r="D1938" s="21" t="s">
        <v>34</v>
      </c>
      <c r="E1938" s="21" t="s">
        <v>35</v>
      </c>
      <c r="F1938">
        <v>9760025</v>
      </c>
      <c r="G1938" t="s">
        <v>2620</v>
      </c>
      <c r="H1938" s="21">
        <v>1436.17</v>
      </c>
    </row>
    <row r="1939" spans="1:8" customFormat="1" x14ac:dyDescent="0.25">
      <c r="A1939" t="str">
        <f>"5933346"</f>
        <v>5933346</v>
      </c>
      <c r="B1939" t="s">
        <v>1320</v>
      </c>
      <c r="C1939" t="s">
        <v>149</v>
      </c>
      <c r="D1939" s="21" t="s">
        <v>34</v>
      </c>
      <c r="E1939" s="21" t="s">
        <v>35</v>
      </c>
      <c r="F1939">
        <v>8770937</v>
      </c>
      <c r="G1939" t="s">
        <v>2119</v>
      </c>
      <c r="H1939" s="21">
        <v>1435.8</v>
      </c>
    </row>
    <row r="1940" spans="1:8" customFormat="1" x14ac:dyDescent="0.25">
      <c r="A1940" t="str">
        <f>"359460"</f>
        <v>359460</v>
      </c>
      <c r="B1940" t="s">
        <v>2772</v>
      </c>
      <c r="C1940" t="s">
        <v>253</v>
      </c>
      <c r="D1940" s="21" t="s">
        <v>34</v>
      </c>
      <c r="E1940" s="21" t="s">
        <v>35</v>
      </c>
      <c r="F1940">
        <v>3350136</v>
      </c>
      <c r="G1940" t="s">
        <v>2773</v>
      </c>
      <c r="H1940" s="21">
        <v>1435.67</v>
      </c>
    </row>
    <row r="1941" spans="1:8" customFormat="1" x14ac:dyDescent="0.25">
      <c r="A1941" t="str">
        <f>"757689"</f>
        <v>757689</v>
      </c>
      <c r="B1941" t="s">
        <v>392</v>
      </c>
      <c r="C1941" t="s">
        <v>2276</v>
      </c>
      <c r="D1941" s="21" t="s">
        <v>34</v>
      </c>
      <c r="E1941" s="21" t="s">
        <v>254</v>
      </c>
      <c r="F1941">
        <v>8920234</v>
      </c>
      <c r="G1941" t="s">
        <v>1184</v>
      </c>
      <c r="H1941" s="21">
        <v>1435.67</v>
      </c>
    </row>
    <row r="1942" spans="1:8" customFormat="1" x14ac:dyDescent="0.25">
      <c r="A1942" t="str">
        <f>"7815470"</f>
        <v>7815470</v>
      </c>
      <c r="B1942" t="s">
        <v>2139</v>
      </c>
      <c r="C1942" t="s">
        <v>144</v>
      </c>
      <c r="D1942" s="21" t="s">
        <v>34</v>
      </c>
      <c r="E1942" s="21" t="s">
        <v>71</v>
      </c>
      <c r="F1942">
        <v>2390046</v>
      </c>
      <c r="G1942" t="s">
        <v>2140</v>
      </c>
      <c r="H1942" s="21">
        <v>1435.55</v>
      </c>
    </row>
    <row r="1943" spans="1:8" customFormat="1" x14ac:dyDescent="0.25">
      <c r="A1943" t="str">
        <f>"5413992"</f>
        <v>5413992</v>
      </c>
      <c r="B1943" t="s">
        <v>2765</v>
      </c>
      <c r="C1943" t="s">
        <v>2475</v>
      </c>
      <c r="D1943" s="21" t="s">
        <v>34</v>
      </c>
      <c r="E1943" s="21" t="s">
        <v>71</v>
      </c>
      <c r="F1943">
        <v>6570158</v>
      </c>
      <c r="G1943" t="s">
        <v>2391</v>
      </c>
      <c r="H1943" s="21">
        <v>1435.3</v>
      </c>
    </row>
    <row r="1944" spans="1:8" customFormat="1" x14ac:dyDescent="0.25">
      <c r="A1944" t="str">
        <f>"7512146"</f>
        <v>7512146</v>
      </c>
      <c r="B1944" t="s">
        <v>2866</v>
      </c>
      <c r="C1944" t="s">
        <v>87</v>
      </c>
      <c r="D1944" s="21" t="s">
        <v>34</v>
      </c>
      <c r="E1944" s="21" t="s">
        <v>35</v>
      </c>
      <c r="F1944">
        <v>8780496</v>
      </c>
      <c r="G1944" t="s">
        <v>2477</v>
      </c>
      <c r="H1944" s="21">
        <v>1435.17</v>
      </c>
    </row>
    <row r="1945" spans="1:8" customFormat="1" x14ac:dyDescent="0.25">
      <c r="A1945" t="str">
        <f>"5319451"</f>
        <v>5319451</v>
      </c>
      <c r="B1945" t="s">
        <v>2517</v>
      </c>
      <c r="C1945" t="s">
        <v>486</v>
      </c>
      <c r="D1945" s="21" t="s">
        <v>34</v>
      </c>
      <c r="E1945" s="21" t="s">
        <v>71</v>
      </c>
      <c r="F1945">
        <v>12530117</v>
      </c>
      <c r="G1945" t="s">
        <v>1209</v>
      </c>
      <c r="H1945" s="21">
        <v>1435.17</v>
      </c>
    </row>
    <row r="1946" spans="1:8" customFormat="1" x14ac:dyDescent="0.25">
      <c r="A1946" t="str">
        <f>"811688"</f>
        <v>811688</v>
      </c>
      <c r="B1946" t="s">
        <v>2094</v>
      </c>
      <c r="C1946" t="s">
        <v>1110</v>
      </c>
      <c r="D1946" s="21" t="s">
        <v>34</v>
      </c>
      <c r="E1946" s="21" t="s">
        <v>71</v>
      </c>
      <c r="F1946">
        <v>11810024</v>
      </c>
      <c r="G1946" t="s">
        <v>2095</v>
      </c>
      <c r="H1946" s="21">
        <v>1435.05</v>
      </c>
    </row>
    <row r="1947" spans="1:8" customFormat="1" x14ac:dyDescent="0.25">
      <c r="A1947" t="str">
        <f>"447903"</f>
        <v>447903</v>
      </c>
      <c r="B1947" t="s">
        <v>2914</v>
      </c>
      <c r="C1947" t="s">
        <v>87</v>
      </c>
      <c r="D1947" s="21" t="s">
        <v>34</v>
      </c>
      <c r="E1947" s="21" t="s">
        <v>35</v>
      </c>
      <c r="F1947">
        <v>12440182</v>
      </c>
      <c r="G1947" t="s">
        <v>2915</v>
      </c>
      <c r="H1947" s="21">
        <v>1434.67</v>
      </c>
    </row>
    <row r="1948" spans="1:8" customFormat="1" x14ac:dyDescent="0.25">
      <c r="A1948" t="str">
        <f>"55706"</f>
        <v>55706</v>
      </c>
      <c r="B1948" t="s">
        <v>2537</v>
      </c>
      <c r="C1948" t="s">
        <v>90</v>
      </c>
      <c r="D1948" s="21" t="s">
        <v>34</v>
      </c>
      <c r="E1948" s="21" t="s">
        <v>35</v>
      </c>
      <c r="F1948">
        <v>6550007</v>
      </c>
      <c r="G1948" t="s">
        <v>1688</v>
      </c>
      <c r="H1948" s="21">
        <v>1434.67</v>
      </c>
    </row>
    <row r="1949" spans="1:8" customFormat="1" x14ac:dyDescent="0.25">
      <c r="A1949" t="str">
        <f>"51135"</f>
        <v>51135</v>
      </c>
      <c r="B1949" t="s">
        <v>2775</v>
      </c>
      <c r="C1949" t="s">
        <v>40</v>
      </c>
      <c r="D1949" s="21" t="s">
        <v>34</v>
      </c>
      <c r="E1949" s="21" t="s">
        <v>71</v>
      </c>
      <c r="F1949">
        <v>6510112</v>
      </c>
      <c r="G1949" t="s">
        <v>588</v>
      </c>
      <c r="H1949" s="21">
        <v>1434.67</v>
      </c>
    </row>
    <row r="1950" spans="1:8" customFormat="1" x14ac:dyDescent="0.25">
      <c r="A1950" t="str">
        <f>"567415"</f>
        <v>567415</v>
      </c>
      <c r="B1950" t="s">
        <v>2218</v>
      </c>
      <c r="C1950" t="s">
        <v>459</v>
      </c>
      <c r="D1950" s="21" t="s">
        <v>34</v>
      </c>
      <c r="E1950" s="21" t="s">
        <v>71</v>
      </c>
      <c r="F1950">
        <v>3560005</v>
      </c>
      <c r="G1950" t="s">
        <v>2101</v>
      </c>
      <c r="H1950" s="21">
        <v>1434.67</v>
      </c>
    </row>
    <row r="1951" spans="1:8" customFormat="1" x14ac:dyDescent="0.25">
      <c r="A1951" t="str">
        <f>"547022"</f>
        <v>547022</v>
      </c>
      <c r="B1951" t="s">
        <v>2774</v>
      </c>
      <c r="C1951" t="s">
        <v>415</v>
      </c>
      <c r="D1951" s="21" t="s">
        <v>34</v>
      </c>
      <c r="E1951" s="21" t="s">
        <v>71</v>
      </c>
      <c r="F1951">
        <v>6540040</v>
      </c>
      <c r="G1951" t="s">
        <v>256</v>
      </c>
      <c r="H1951" s="21">
        <v>1434.67</v>
      </c>
    </row>
    <row r="1952" spans="1:8" customFormat="1" x14ac:dyDescent="0.25">
      <c r="A1952" t="str">
        <f>"881832"</f>
        <v>881832</v>
      </c>
      <c r="B1952" t="s">
        <v>4208</v>
      </c>
      <c r="C1952" t="s">
        <v>2904</v>
      </c>
      <c r="D1952" s="21" t="s">
        <v>34</v>
      </c>
      <c r="E1952" s="21" t="s">
        <v>71</v>
      </c>
      <c r="F1952">
        <v>6880010</v>
      </c>
      <c r="G1952" t="s">
        <v>1029</v>
      </c>
      <c r="H1952" s="21">
        <v>1434.67</v>
      </c>
    </row>
    <row r="1953" spans="1:8" customFormat="1" x14ac:dyDescent="0.25">
      <c r="A1953" t="str">
        <f>"937418"</f>
        <v>937418</v>
      </c>
      <c r="B1953" t="s">
        <v>3107</v>
      </c>
      <c r="C1953" t="s">
        <v>114</v>
      </c>
      <c r="D1953" s="21" t="s">
        <v>34</v>
      </c>
      <c r="E1953" s="21" t="s">
        <v>71</v>
      </c>
      <c r="F1953">
        <v>8931057</v>
      </c>
      <c r="G1953" t="s">
        <v>1011</v>
      </c>
      <c r="H1953" s="21">
        <v>1434.42</v>
      </c>
    </row>
    <row r="1954" spans="1:8" customFormat="1" x14ac:dyDescent="0.25">
      <c r="A1954" t="str">
        <f>"291637"</f>
        <v>291637</v>
      </c>
      <c r="B1954" t="s">
        <v>431</v>
      </c>
      <c r="C1954" t="s">
        <v>926</v>
      </c>
      <c r="D1954" s="21" t="s">
        <v>34</v>
      </c>
      <c r="E1954" s="21" t="s">
        <v>71</v>
      </c>
      <c r="F1954">
        <v>3290087</v>
      </c>
      <c r="G1954" t="s">
        <v>364</v>
      </c>
      <c r="H1954" s="21">
        <v>1434.17</v>
      </c>
    </row>
    <row r="1955" spans="1:8" customFormat="1" x14ac:dyDescent="0.25">
      <c r="A1955" t="str">
        <f>"883228"</f>
        <v>883228</v>
      </c>
      <c r="B1955" t="s">
        <v>1056</v>
      </c>
      <c r="C1955" t="s">
        <v>65</v>
      </c>
      <c r="D1955" s="21" t="s">
        <v>34</v>
      </c>
      <c r="E1955" s="21" t="s">
        <v>71</v>
      </c>
      <c r="F1955">
        <v>6880145</v>
      </c>
      <c r="G1955" t="s">
        <v>1303</v>
      </c>
      <c r="H1955" s="21">
        <v>1434.17</v>
      </c>
    </row>
    <row r="1956" spans="1:8" customFormat="1" x14ac:dyDescent="0.25">
      <c r="A1956" t="str">
        <f>"621151"</f>
        <v>621151</v>
      </c>
      <c r="B1956" t="s">
        <v>650</v>
      </c>
      <c r="C1956" t="s">
        <v>119</v>
      </c>
      <c r="D1956" s="21" t="s">
        <v>34</v>
      </c>
      <c r="E1956" s="21" t="s">
        <v>71</v>
      </c>
      <c r="F1956">
        <v>7620111</v>
      </c>
      <c r="G1956" t="s">
        <v>1372</v>
      </c>
      <c r="H1956" s="21">
        <v>1433.67</v>
      </c>
    </row>
    <row r="1957" spans="1:8" customFormat="1" x14ac:dyDescent="0.25">
      <c r="A1957" t="str">
        <f>"5935874"</f>
        <v>5935874</v>
      </c>
      <c r="B1957" t="s">
        <v>2756</v>
      </c>
      <c r="C1957" t="s">
        <v>121</v>
      </c>
      <c r="D1957" s="21" t="s">
        <v>34</v>
      </c>
      <c r="E1957" s="21" t="s">
        <v>71</v>
      </c>
      <c r="F1957">
        <v>7590050</v>
      </c>
      <c r="G1957" t="s">
        <v>473</v>
      </c>
      <c r="H1957" s="21">
        <v>1433.67</v>
      </c>
    </row>
    <row r="1958" spans="1:8" customFormat="1" x14ac:dyDescent="0.25">
      <c r="A1958" t="str">
        <f>"281441"</f>
        <v>281441</v>
      </c>
      <c r="B1958" t="s">
        <v>2282</v>
      </c>
      <c r="C1958" t="s">
        <v>169</v>
      </c>
      <c r="D1958" s="21" t="s">
        <v>34</v>
      </c>
      <c r="E1958" s="21" t="s">
        <v>35</v>
      </c>
      <c r="F1958">
        <v>4280517</v>
      </c>
      <c r="G1958" t="s">
        <v>436</v>
      </c>
      <c r="H1958" s="21">
        <v>1433.67</v>
      </c>
    </row>
    <row r="1959" spans="1:8" customFormat="1" x14ac:dyDescent="0.25">
      <c r="A1959" t="str">
        <f>"7847050"</f>
        <v>7847050</v>
      </c>
      <c r="B1959" t="s">
        <v>2195</v>
      </c>
      <c r="C1959" t="s">
        <v>305</v>
      </c>
      <c r="D1959" s="21" t="s">
        <v>34</v>
      </c>
      <c r="E1959" s="21" t="s">
        <v>35</v>
      </c>
      <c r="F1959">
        <v>8780002</v>
      </c>
      <c r="G1959" t="s">
        <v>2196</v>
      </c>
      <c r="H1959" s="21">
        <v>1433.42</v>
      </c>
    </row>
    <row r="1960" spans="1:8" customFormat="1" x14ac:dyDescent="0.25">
      <c r="A1960" t="str">
        <f>"805498"</f>
        <v>805498</v>
      </c>
      <c r="B1960" t="s">
        <v>2793</v>
      </c>
      <c r="C1960" t="s">
        <v>119</v>
      </c>
      <c r="D1960" s="21" t="s">
        <v>34</v>
      </c>
      <c r="E1960" s="21" t="s">
        <v>35</v>
      </c>
      <c r="F1960">
        <v>7800106</v>
      </c>
      <c r="G1960" t="s">
        <v>2466</v>
      </c>
      <c r="H1960" s="21">
        <v>1433.17</v>
      </c>
    </row>
    <row r="1961" spans="1:8" customFormat="1" x14ac:dyDescent="0.25">
      <c r="A1961" t="str">
        <f>"5931188"</f>
        <v>5931188</v>
      </c>
      <c r="B1961" t="s">
        <v>2290</v>
      </c>
      <c r="C1961" t="s">
        <v>121</v>
      </c>
      <c r="D1961" s="21" t="s">
        <v>34</v>
      </c>
      <c r="E1961" s="21" t="s">
        <v>35</v>
      </c>
      <c r="F1961">
        <v>7590080</v>
      </c>
      <c r="G1961" t="s">
        <v>1715</v>
      </c>
      <c r="H1961" s="21">
        <v>1433.17</v>
      </c>
    </row>
    <row r="1962" spans="1:8" customFormat="1" x14ac:dyDescent="0.25">
      <c r="A1962" t="str">
        <f>"2917023"</f>
        <v>2917023</v>
      </c>
      <c r="B1962" t="s">
        <v>946</v>
      </c>
      <c r="C1962" t="s">
        <v>151</v>
      </c>
      <c r="D1962" s="21" t="s">
        <v>34</v>
      </c>
      <c r="E1962" s="21" t="s">
        <v>35</v>
      </c>
      <c r="F1962">
        <v>3290018</v>
      </c>
      <c r="G1962" t="s">
        <v>1706</v>
      </c>
      <c r="H1962" s="21">
        <v>1433.17</v>
      </c>
    </row>
    <row r="1963" spans="1:8" customFormat="1" x14ac:dyDescent="0.25">
      <c r="A1963" t="str">
        <f>"5415150"</f>
        <v>5415150</v>
      </c>
      <c r="B1963" t="s">
        <v>2946</v>
      </c>
      <c r="C1963" t="s">
        <v>62</v>
      </c>
      <c r="D1963" s="21" t="s">
        <v>34</v>
      </c>
      <c r="E1963" s="21" t="s">
        <v>35</v>
      </c>
      <c r="F1963">
        <v>6540076</v>
      </c>
      <c r="G1963" t="s">
        <v>2947</v>
      </c>
      <c r="H1963" s="21">
        <v>1433.17</v>
      </c>
    </row>
    <row r="1964" spans="1:8" customFormat="1" x14ac:dyDescent="0.25">
      <c r="A1964" t="str">
        <f>"215531"</f>
        <v>215531</v>
      </c>
      <c r="B1964" t="s">
        <v>2455</v>
      </c>
      <c r="C1964" t="s">
        <v>55</v>
      </c>
      <c r="D1964" s="21" t="s">
        <v>34</v>
      </c>
      <c r="E1964" s="21" t="s">
        <v>71</v>
      </c>
      <c r="F1964">
        <v>2210081</v>
      </c>
      <c r="G1964" t="s">
        <v>1365</v>
      </c>
      <c r="H1964" s="21">
        <v>1433.04</v>
      </c>
    </row>
    <row r="1965" spans="1:8" customFormat="1" x14ac:dyDescent="0.25">
      <c r="A1965" t="str">
        <f>"5612287"</f>
        <v>5612287</v>
      </c>
      <c r="B1965" t="s">
        <v>734</v>
      </c>
      <c r="C1965" t="s">
        <v>40</v>
      </c>
      <c r="D1965" s="21" t="s">
        <v>34</v>
      </c>
      <c r="E1965" s="21" t="s">
        <v>71</v>
      </c>
      <c r="F1965">
        <v>3560036</v>
      </c>
      <c r="G1965" t="s">
        <v>910</v>
      </c>
      <c r="H1965" s="21">
        <v>1433</v>
      </c>
    </row>
    <row r="1966" spans="1:8" customFormat="1" x14ac:dyDescent="0.25">
      <c r="A1966" t="str">
        <f>"752044"</f>
        <v>752044</v>
      </c>
      <c r="B1966" t="s">
        <v>2820</v>
      </c>
      <c r="C1966" t="s">
        <v>40</v>
      </c>
      <c r="D1966" s="21" t="s">
        <v>34</v>
      </c>
      <c r="E1966" s="21" t="s">
        <v>71</v>
      </c>
      <c r="F1966">
        <v>8751124</v>
      </c>
      <c r="G1966" t="s">
        <v>1481</v>
      </c>
      <c r="H1966" s="21">
        <v>1432.92</v>
      </c>
    </row>
    <row r="1967" spans="1:8" customFormat="1" x14ac:dyDescent="0.25">
      <c r="A1967" t="str">
        <f>"749271"</f>
        <v>749271</v>
      </c>
      <c r="B1967" t="s">
        <v>2637</v>
      </c>
      <c r="C1967" t="s">
        <v>60</v>
      </c>
      <c r="D1967" s="21" t="s">
        <v>34</v>
      </c>
      <c r="E1967" s="21" t="s">
        <v>71</v>
      </c>
      <c r="F1967">
        <v>1740011</v>
      </c>
      <c r="G1967" t="s">
        <v>2638</v>
      </c>
      <c r="H1967" s="21">
        <v>1432.67</v>
      </c>
    </row>
    <row r="1968" spans="1:8" customFormat="1" x14ac:dyDescent="0.25">
      <c r="A1968" t="str">
        <f>"621100"</f>
        <v>621100</v>
      </c>
      <c r="B1968" t="s">
        <v>2481</v>
      </c>
      <c r="C1968" t="s">
        <v>65</v>
      </c>
      <c r="D1968" s="21" t="s">
        <v>34</v>
      </c>
      <c r="E1968" s="21" t="s">
        <v>71</v>
      </c>
      <c r="F1968">
        <v>7620067</v>
      </c>
      <c r="G1968" t="s">
        <v>860</v>
      </c>
      <c r="H1968" s="21">
        <v>1432.67</v>
      </c>
    </row>
    <row r="1969" spans="1:8" customFormat="1" x14ac:dyDescent="0.25">
      <c r="A1969" t="str">
        <f>"902777"</f>
        <v>902777</v>
      </c>
      <c r="B1969" t="s">
        <v>2729</v>
      </c>
      <c r="C1969" t="s">
        <v>2730</v>
      </c>
      <c r="D1969" s="21" t="s">
        <v>34</v>
      </c>
      <c r="E1969" s="21" t="s">
        <v>71</v>
      </c>
      <c r="F1969">
        <v>2900003</v>
      </c>
      <c r="G1969" t="s">
        <v>1742</v>
      </c>
      <c r="H1969" s="21">
        <v>1432.43</v>
      </c>
    </row>
    <row r="1970" spans="1:8" customFormat="1" x14ac:dyDescent="0.25">
      <c r="A1970" t="str">
        <f>"925597"</f>
        <v>925597</v>
      </c>
      <c r="B1970" t="s">
        <v>2684</v>
      </c>
      <c r="C1970" t="s">
        <v>40</v>
      </c>
      <c r="D1970" s="21" t="s">
        <v>34</v>
      </c>
      <c r="E1970" s="21" t="s">
        <v>254</v>
      </c>
      <c r="F1970">
        <v>8921190</v>
      </c>
      <c r="G1970" t="s">
        <v>810</v>
      </c>
      <c r="H1970" s="21">
        <v>1432.17</v>
      </c>
    </row>
    <row r="1971" spans="1:8" customFormat="1" x14ac:dyDescent="0.25">
      <c r="A1971" t="str">
        <f>"3534293"</f>
        <v>3534293</v>
      </c>
      <c r="B1971" t="s">
        <v>697</v>
      </c>
      <c r="C1971" t="s">
        <v>239</v>
      </c>
      <c r="D1971" s="21" t="s">
        <v>34</v>
      </c>
      <c r="E1971" s="21" t="s">
        <v>71</v>
      </c>
      <c r="F1971">
        <v>3350122</v>
      </c>
      <c r="G1971" t="s">
        <v>3069</v>
      </c>
      <c r="H1971" s="21">
        <v>1432.17</v>
      </c>
    </row>
    <row r="1972" spans="1:8" customFormat="1" x14ac:dyDescent="0.25">
      <c r="A1972" t="str">
        <f>"066321"</f>
        <v>066321</v>
      </c>
      <c r="B1972" t="s">
        <v>2644</v>
      </c>
      <c r="C1972" t="s">
        <v>249</v>
      </c>
      <c r="D1972" s="21" t="s">
        <v>34</v>
      </c>
      <c r="E1972" s="21" t="s">
        <v>71</v>
      </c>
      <c r="F1972">
        <v>13060111</v>
      </c>
      <c r="G1972" t="s">
        <v>26647</v>
      </c>
      <c r="H1972" s="21">
        <v>1432.17</v>
      </c>
    </row>
    <row r="1973" spans="1:8" customFormat="1" x14ac:dyDescent="0.25">
      <c r="A1973" t="str">
        <f>"9417833"</f>
        <v>9417833</v>
      </c>
      <c r="B1973" t="s">
        <v>3613</v>
      </c>
      <c r="C1973" t="s">
        <v>486</v>
      </c>
      <c r="D1973" s="21" t="s">
        <v>34</v>
      </c>
      <c r="E1973" s="21" t="s">
        <v>35</v>
      </c>
      <c r="F1973">
        <v>12530114</v>
      </c>
      <c r="G1973" t="s">
        <v>1342</v>
      </c>
      <c r="H1973" s="21">
        <v>1432.17</v>
      </c>
    </row>
    <row r="1974" spans="1:8" customFormat="1" x14ac:dyDescent="0.25">
      <c r="A1974" t="str">
        <f>"422"</f>
        <v>422</v>
      </c>
      <c r="B1974" t="s">
        <v>2423</v>
      </c>
      <c r="C1974" t="s">
        <v>239</v>
      </c>
      <c r="D1974" s="21" t="s">
        <v>34</v>
      </c>
      <c r="E1974" s="21" t="s">
        <v>71</v>
      </c>
      <c r="F1974">
        <v>1420163</v>
      </c>
      <c r="G1974" t="s">
        <v>2424</v>
      </c>
      <c r="H1974" s="21">
        <v>1432.17</v>
      </c>
    </row>
    <row r="1975" spans="1:8" customFormat="1" x14ac:dyDescent="0.25">
      <c r="A1975" t="str">
        <f>"145297"</f>
        <v>145297</v>
      </c>
      <c r="B1975" t="s">
        <v>3191</v>
      </c>
      <c r="C1975" t="s">
        <v>65</v>
      </c>
      <c r="D1975" s="21" t="s">
        <v>34</v>
      </c>
      <c r="E1975" s="21" t="s">
        <v>35</v>
      </c>
      <c r="F1975">
        <v>9140052</v>
      </c>
      <c r="G1975" t="s">
        <v>26563</v>
      </c>
      <c r="H1975" s="21">
        <v>1432.17</v>
      </c>
    </row>
    <row r="1976" spans="1:8" customFormat="1" x14ac:dyDescent="0.25">
      <c r="A1976" t="str">
        <f>"9214875"</f>
        <v>9214875</v>
      </c>
      <c r="B1976" t="s">
        <v>2524</v>
      </c>
      <c r="C1976" t="s">
        <v>453</v>
      </c>
      <c r="D1976" s="21" t="s">
        <v>34</v>
      </c>
      <c r="E1976" s="21" t="s">
        <v>71</v>
      </c>
      <c r="F1976">
        <v>8751163</v>
      </c>
      <c r="G1976" t="s">
        <v>80</v>
      </c>
      <c r="H1976" s="21">
        <v>1431.92</v>
      </c>
    </row>
    <row r="1977" spans="1:8" customFormat="1" x14ac:dyDescent="0.25">
      <c r="A1977" t="str">
        <f>"534174"</f>
        <v>534174</v>
      </c>
      <c r="B1977" t="s">
        <v>3568</v>
      </c>
      <c r="C1977" t="s">
        <v>547</v>
      </c>
      <c r="D1977" s="21" t="s">
        <v>34</v>
      </c>
      <c r="E1977" s="21" t="s">
        <v>254</v>
      </c>
      <c r="F1977">
        <v>12530099</v>
      </c>
      <c r="G1977" t="s">
        <v>3569</v>
      </c>
      <c r="H1977" s="21">
        <v>1431.68</v>
      </c>
    </row>
    <row r="1978" spans="1:8" customFormat="1" x14ac:dyDescent="0.25">
      <c r="A1978" t="str">
        <f>"1315687"</f>
        <v>1315687</v>
      </c>
      <c r="B1978" t="s">
        <v>2826</v>
      </c>
      <c r="C1978" t="s">
        <v>388</v>
      </c>
      <c r="D1978" s="21" t="s">
        <v>34</v>
      </c>
      <c r="E1978" s="21" t="s">
        <v>35</v>
      </c>
      <c r="F1978">
        <v>13130165</v>
      </c>
      <c r="G1978" t="s">
        <v>2827</v>
      </c>
      <c r="H1978" s="21">
        <v>1431.67</v>
      </c>
    </row>
    <row r="1979" spans="1:8" customFormat="1" x14ac:dyDescent="0.25">
      <c r="A1979" t="str">
        <f>"5922869"</f>
        <v>5922869</v>
      </c>
      <c r="B1979" t="s">
        <v>2615</v>
      </c>
      <c r="C1979" t="s">
        <v>444</v>
      </c>
      <c r="D1979" s="21" t="s">
        <v>34</v>
      </c>
      <c r="E1979" s="21" t="s">
        <v>35</v>
      </c>
      <c r="F1979">
        <v>7620100</v>
      </c>
      <c r="G1979" t="s">
        <v>145</v>
      </c>
      <c r="H1979" s="21">
        <v>1431.67</v>
      </c>
    </row>
    <row r="1980" spans="1:8" customFormat="1" x14ac:dyDescent="0.25">
      <c r="A1980" t="str">
        <f>"9227450"</f>
        <v>9227450</v>
      </c>
      <c r="B1980" t="s">
        <v>3058</v>
      </c>
      <c r="C1980" t="s">
        <v>156</v>
      </c>
      <c r="D1980" s="21" t="s">
        <v>34</v>
      </c>
      <c r="E1980" s="21" t="s">
        <v>71</v>
      </c>
      <c r="F1980">
        <v>8920111</v>
      </c>
      <c r="G1980" t="s">
        <v>1064</v>
      </c>
      <c r="H1980" s="21">
        <v>1431.67</v>
      </c>
    </row>
    <row r="1981" spans="1:8" customFormat="1" x14ac:dyDescent="0.25">
      <c r="A1981" t="str">
        <f>"254154"</f>
        <v>254154</v>
      </c>
      <c r="B1981" t="s">
        <v>3009</v>
      </c>
      <c r="C1981" t="s">
        <v>3010</v>
      </c>
      <c r="D1981" s="21" t="s">
        <v>34</v>
      </c>
      <c r="E1981" s="21" t="s">
        <v>35</v>
      </c>
      <c r="F1981">
        <v>2250031</v>
      </c>
      <c r="G1981" t="s">
        <v>3011</v>
      </c>
      <c r="H1981" s="21">
        <v>1431.54</v>
      </c>
    </row>
    <row r="1982" spans="1:8" customFormat="1" x14ac:dyDescent="0.25">
      <c r="A1982" t="str">
        <f>"5619955"</f>
        <v>5619955</v>
      </c>
      <c r="B1982" t="s">
        <v>3597</v>
      </c>
      <c r="C1982" t="s">
        <v>576</v>
      </c>
      <c r="D1982" s="21" t="s">
        <v>34</v>
      </c>
      <c r="E1982" s="21" t="s">
        <v>35</v>
      </c>
      <c r="F1982">
        <v>3560038</v>
      </c>
      <c r="G1982" t="s">
        <v>3598</v>
      </c>
      <c r="H1982" s="21">
        <v>1431.42</v>
      </c>
    </row>
    <row r="1983" spans="1:8" customFormat="1" x14ac:dyDescent="0.25">
      <c r="A1983" t="str">
        <f>"103902"</f>
        <v>103902</v>
      </c>
      <c r="B1983" t="s">
        <v>2420</v>
      </c>
      <c r="C1983" t="s">
        <v>328</v>
      </c>
      <c r="D1983" s="21" t="s">
        <v>34</v>
      </c>
      <c r="E1983" s="21" t="s">
        <v>35</v>
      </c>
      <c r="F1983">
        <v>11340018</v>
      </c>
      <c r="G1983" t="s">
        <v>2421</v>
      </c>
      <c r="H1983" s="21">
        <v>1431.17</v>
      </c>
    </row>
    <row r="1984" spans="1:8" customFormat="1" x14ac:dyDescent="0.25">
      <c r="A1984" t="str">
        <f>"9141234"</f>
        <v>9141234</v>
      </c>
      <c r="B1984" t="s">
        <v>4140</v>
      </c>
      <c r="C1984" t="s">
        <v>4141</v>
      </c>
      <c r="D1984" s="21" t="s">
        <v>34</v>
      </c>
      <c r="E1984" s="21" t="s">
        <v>35</v>
      </c>
      <c r="F1984">
        <v>8911009</v>
      </c>
      <c r="G1984" t="s">
        <v>2177</v>
      </c>
      <c r="H1984" s="21">
        <v>1431.17</v>
      </c>
    </row>
    <row r="1985" spans="1:8" customFormat="1" x14ac:dyDescent="0.25">
      <c r="A1985" t="str">
        <f>"168805"</f>
        <v>168805</v>
      </c>
      <c r="B1985" t="s">
        <v>2657</v>
      </c>
      <c r="C1985" t="s">
        <v>149</v>
      </c>
      <c r="D1985" s="21" t="s">
        <v>34</v>
      </c>
      <c r="E1985" s="21" t="s">
        <v>35</v>
      </c>
      <c r="F1985">
        <v>10170028</v>
      </c>
      <c r="G1985" t="s">
        <v>649</v>
      </c>
      <c r="H1985" s="21">
        <v>1431.17</v>
      </c>
    </row>
    <row r="1986" spans="1:8" customFormat="1" x14ac:dyDescent="0.25">
      <c r="A1986" t="str">
        <f>"7720022"</f>
        <v>7720022</v>
      </c>
      <c r="B1986" t="s">
        <v>3088</v>
      </c>
      <c r="C1986" t="s">
        <v>1489</v>
      </c>
      <c r="D1986" s="21" t="s">
        <v>34</v>
      </c>
      <c r="E1986" s="21" t="s">
        <v>71</v>
      </c>
      <c r="F1986">
        <v>8770250</v>
      </c>
      <c r="G1986" t="s">
        <v>2595</v>
      </c>
      <c r="H1986" s="21">
        <v>1430.93</v>
      </c>
    </row>
    <row r="1987" spans="1:8" customFormat="1" x14ac:dyDescent="0.25">
      <c r="A1987" t="str">
        <f>"623738"</f>
        <v>623738</v>
      </c>
      <c r="B1987" t="s">
        <v>26690</v>
      </c>
      <c r="C1987" t="s">
        <v>576</v>
      </c>
      <c r="D1987" s="21" t="s">
        <v>34</v>
      </c>
      <c r="E1987" s="21" t="s">
        <v>35</v>
      </c>
      <c r="F1987">
        <v>7620038</v>
      </c>
      <c r="G1987" t="s">
        <v>5049</v>
      </c>
      <c r="H1987" s="21">
        <v>1430.67</v>
      </c>
    </row>
    <row r="1988" spans="1:8" customFormat="1" x14ac:dyDescent="0.25">
      <c r="A1988" t="str">
        <f>"374111"</f>
        <v>374111</v>
      </c>
      <c r="B1988" t="s">
        <v>2955</v>
      </c>
      <c r="C1988" t="s">
        <v>198</v>
      </c>
      <c r="D1988" s="21" t="s">
        <v>34</v>
      </c>
      <c r="E1988" s="21" t="s">
        <v>35</v>
      </c>
      <c r="F1988">
        <v>4370439</v>
      </c>
      <c r="G1988" t="s">
        <v>2956</v>
      </c>
      <c r="H1988" s="21">
        <v>1430.67</v>
      </c>
    </row>
    <row r="1989" spans="1:8" customFormat="1" x14ac:dyDescent="0.25">
      <c r="A1989" t="str">
        <f>"179481"</f>
        <v>179481</v>
      </c>
      <c r="B1989" t="s">
        <v>2963</v>
      </c>
      <c r="C1989" t="s">
        <v>124</v>
      </c>
      <c r="D1989" s="21" t="s">
        <v>34</v>
      </c>
      <c r="E1989" s="21" t="s">
        <v>35</v>
      </c>
      <c r="F1989">
        <v>9760107</v>
      </c>
      <c r="G1989" t="s">
        <v>122</v>
      </c>
      <c r="H1989" s="21">
        <v>1430.67</v>
      </c>
    </row>
    <row r="1990" spans="1:8" customFormat="1" x14ac:dyDescent="0.25">
      <c r="A1990" t="str">
        <f>"5316554"</f>
        <v>5316554</v>
      </c>
      <c r="B1990" t="s">
        <v>2616</v>
      </c>
      <c r="C1990" t="s">
        <v>428</v>
      </c>
      <c r="D1990" s="21" t="s">
        <v>34</v>
      </c>
      <c r="E1990" s="21" t="s">
        <v>71</v>
      </c>
      <c r="F1990">
        <v>12530016</v>
      </c>
      <c r="G1990" t="s">
        <v>2069</v>
      </c>
      <c r="H1990" s="21">
        <v>1430.67</v>
      </c>
    </row>
    <row r="1991" spans="1:8" customFormat="1" x14ac:dyDescent="0.25">
      <c r="A1991" t="str">
        <f>"623723"</f>
        <v>623723</v>
      </c>
      <c r="B1991" t="s">
        <v>2459</v>
      </c>
      <c r="C1991" t="s">
        <v>33</v>
      </c>
      <c r="D1991" s="21" t="s">
        <v>34</v>
      </c>
      <c r="E1991" s="21" t="s">
        <v>35</v>
      </c>
      <c r="F1991">
        <v>7620015</v>
      </c>
      <c r="G1991" t="s">
        <v>377</v>
      </c>
      <c r="H1991" s="21">
        <v>1430.55</v>
      </c>
    </row>
    <row r="1992" spans="1:8" customFormat="1" x14ac:dyDescent="0.25">
      <c r="A1992" t="str">
        <f>"93515"</f>
        <v>93515</v>
      </c>
      <c r="B1992" t="s">
        <v>18094</v>
      </c>
      <c r="C1992" t="s">
        <v>598</v>
      </c>
      <c r="D1992" s="21" t="s">
        <v>34</v>
      </c>
      <c r="E1992" s="21" t="s">
        <v>71</v>
      </c>
      <c r="F1992">
        <v>8941352</v>
      </c>
      <c r="G1992" t="s">
        <v>3778</v>
      </c>
      <c r="H1992" s="21">
        <v>1430.5</v>
      </c>
    </row>
    <row r="1993" spans="1:8" customFormat="1" x14ac:dyDescent="0.25">
      <c r="A1993" t="str">
        <f>"7218256"</f>
        <v>7218256</v>
      </c>
      <c r="B1993" t="s">
        <v>185</v>
      </c>
      <c r="C1993" t="s">
        <v>139</v>
      </c>
      <c r="D1993" s="21" t="s">
        <v>34</v>
      </c>
      <c r="E1993" s="21" t="s">
        <v>35</v>
      </c>
      <c r="F1993">
        <v>12720110</v>
      </c>
      <c r="G1993" t="s">
        <v>3464</v>
      </c>
      <c r="H1993" s="21">
        <v>1430.42</v>
      </c>
    </row>
    <row r="1994" spans="1:8" customFormat="1" x14ac:dyDescent="0.25">
      <c r="A1994" t="str">
        <f>"625476"</f>
        <v>625476</v>
      </c>
      <c r="B1994" t="s">
        <v>1081</v>
      </c>
      <c r="C1994" t="s">
        <v>60</v>
      </c>
      <c r="D1994" s="21" t="s">
        <v>34</v>
      </c>
      <c r="E1994" s="21" t="s">
        <v>35</v>
      </c>
      <c r="F1994">
        <v>7620038</v>
      </c>
      <c r="G1994" t="s">
        <v>5049</v>
      </c>
      <c r="H1994" s="21">
        <v>1430.17</v>
      </c>
    </row>
    <row r="1995" spans="1:8" customFormat="1" x14ac:dyDescent="0.25">
      <c r="A1995" t="str">
        <f>"5931335"</f>
        <v>5931335</v>
      </c>
      <c r="B1995" t="s">
        <v>2813</v>
      </c>
      <c r="C1995" t="s">
        <v>1647</v>
      </c>
      <c r="D1995" s="21" t="s">
        <v>34</v>
      </c>
      <c r="E1995" s="21" t="s">
        <v>35</v>
      </c>
      <c r="F1995">
        <v>11820011</v>
      </c>
      <c r="G1995" t="s">
        <v>2611</v>
      </c>
      <c r="H1995" s="21">
        <v>1430.17</v>
      </c>
    </row>
    <row r="1996" spans="1:8" customFormat="1" x14ac:dyDescent="0.25">
      <c r="A1996" t="str">
        <f>"1712414"</f>
        <v>1712414</v>
      </c>
      <c r="B1996" t="s">
        <v>2920</v>
      </c>
      <c r="C1996" t="s">
        <v>1545</v>
      </c>
      <c r="D1996" s="21" t="s">
        <v>34</v>
      </c>
      <c r="E1996" s="21" t="s">
        <v>35</v>
      </c>
      <c r="F1996">
        <v>10170031</v>
      </c>
      <c r="G1996" t="s">
        <v>2921</v>
      </c>
      <c r="H1996" s="21">
        <v>1430.17</v>
      </c>
    </row>
    <row r="1997" spans="1:8" customFormat="1" x14ac:dyDescent="0.25">
      <c r="A1997" t="str">
        <f>"6112556"</f>
        <v>6112556</v>
      </c>
      <c r="B1997" t="s">
        <v>1405</v>
      </c>
      <c r="C1997" t="s">
        <v>239</v>
      </c>
      <c r="D1997" s="21" t="s">
        <v>34</v>
      </c>
      <c r="E1997" s="21" t="s">
        <v>71</v>
      </c>
      <c r="F1997">
        <v>9610077</v>
      </c>
      <c r="G1997" t="s">
        <v>26691</v>
      </c>
      <c r="H1997" s="21">
        <v>1430.05</v>
      </c>
    </row>
    <row r="1998" spans="1:8" customFormat="1" x14ac:dyDescent="0.25">
      <c r="A1998" t="str">
        <f>"475032"</f>
        <v>475032</v>
      </c>
      <c r="B1998" t="s">
        <v>3047</v>
      </c>
      <c r="C1998" t="s">
        <v>3048</v>
      </c>
      <c r="D1998" s="21" t="s">
        <v>34</v>
      </c>
      <c r="E1998" s="21" t="s">
        <v>35</v>
      </c>
      <c r="F1998">
        <v>10470007</v>
      </c>
      <c r="G1998" t="s">
        <v>3049</v>
      </c>
      <c r="H1998" s="21">
        <v>1429.92</v>
      </c>
    </row>
    <row r="1999" spans="1:8" customFormat="1" x14ac:dyDescent="0.25">
      <c r="A1999" t="str">
        <f>"6218305"</f>
        <v>6218305</v>
      </c>
      <c r="B1999" t="s">
        <v>2667</v>
      </c>
      <c r="C1999" t="s">
        <v>576</v>
      </c>
      <c r="D1999" s="21" t="s">
        <v>34</v>
      </c>
      <c r="E1999" s="21" t="s">
        <v>35</v>
      </c>
      <c r="F1999">
        <v>7620058</v>
      </c>
      <c r="G1999" t="s">
        <v>602</v>
      </c>
      <c r="H1999" s="21">
        <v>1429.67</v>
      </c>
    </row>
    <row r="2000" spans="1:8" customFormat="1" x14ac:dyDescent="0.25">
      <c r="A2000" t="str">
        <f>"599910"</f>
        <v>599910</v>
      </c>
      <c r="B2000" t="s">
        <v>3064</v>
      </c>
      <c r="C2000" t="s">
        <v>109</v>
      </c>
      <c r="D2000" s="21" t="s">
        <v>34</v>
      </c>
      <c r="E2000" s="21" t="s">
        <v>35</v>
      </c>
      <c r="F2000">
        <v>7590400</v>
      </c>
      <c r="G2000" t="s">
        <v>26692</v>
      </c>
      <c r="H2000" s="21">
        <v>1429.67</v>
      </c>
    </row>
    <row r="2001" spans="1:8" customFormat="1" x14ac:dyDescent="0.25">
      <c r="A2001" t="str">
        <f>"161560"</f>
        <v>161560</v>
      </c>
      <c r="B2001" t="s">
        <v>3171</v>
      </c>
      <c r="C2001" t="s">
        <v>204</v>
      </c>
      <c r="D2001" s="21" t="s">
        <v>34</v>
      </c>
      <c r="E2001" s="21" t="s">
        <v>35</v>
      </c>
      <c r="F2001">
        <v>10160023</v>
      </c>
      <c r="G2001" t="s">
        <v>2246</v>
      </c>
      <c r="H2001" s="21">
        <v>1429.67</v>
      </c>
    </row>
    <row r="2002" spans="1:8" customFormat="1" x14ac:dyDescent="0.25">
      <c r="A2002" t="str">
        <f>"5316347"</f>
        <v>5316347</v>
      </c>
      <c r="B2002" t="s">
        <v>2307</v>
      </c>
      <c r="C2002" t="s">
        <v>204</v>
      </c>
      <c r="D2002" s="21" t="s">
        <v>34</v>
      </c>
      <c r="E2002" s="21" t="s">
        <v>35</v>
      </c>
      <c r="F2002">
        <v>12530054</v>
      </c>
      <c r="G2002" t="s">
        <v>354</v>
      </c>
      <c r="H2002" s="21">
        <v>1429.17</v>
      </c>
    </row>
    <row r="2003" spans="1:8" customFormat="1" x14ac:dyDescent="0.25">
      <c r="A2003" t="str">
        <f>"731654"</f>
        <v>731654</v>
      </c>
      <c r="B2003" t="s">
        <v>2429</v>
      </c>
      <c r="C2003" t="s">
        <v>453</v>
      </c>
      <c r="D2003" s="21" t="s">
        <v>34</v>
      </c>
      <c r="E2003" s="21" t="s">
        <v>254</v>
      </c>
      <c r="F2003">
        <v>1730068</v>
      </c>
      <c r="G2003" t="s">
        <v>3375</v>
      </c>
      <c r="H2003" s="21">
        <v>1429.17</v>
      </c>
    </row>
    <row r="2004" spans="1:8" customFormat="1" x14ac:dyDescent="0.25">
      <c r="A2004" t="str">
        <f>"346531"</f>
        <v>346531</v>
      </c>
      <c r="B2004" t="s">
        <v>2924</v>
      </c>
      <c r="C2004" t="s">
        <v>812</v>
      </c>
      <c r="D2004" s="21" t="s">
        <v>34</v>
      </c>
      <c r="E2004" s="21" t="s">
        <v>71</v>
      </c>
      <c r="F2004">
        <v>11340008</v>
      </c>
      <c r="G2004" t="s">
        <v>312</v>
      </c>
      <c r="H2004" s="21">
        <v>1429.17</v>
      </c>
    </row>
    <row r="2005" spans="1:8" customFormat="1" x14ac:dyDescent="0.25">
      <c r="A2005" t="str">
        <f>"82539"</f>
        <v>82539</v>
      </c>
      <c r="B2005" t="s">
        <v>2610</v>
      </c>
      <c r="C2005" t="s">
        <v>812</v>
      </c>
      <c r="D2005" s="21" t="s">
        <v>34</v>
      </c>
      <c r="E2005" s="21" t="s">
        <v>254</v>
      </c>
      <c r="F2005">
        <v>11820011</v>
      </c>
      <c r="G2005" t="s">
        <v>2611</v>
      </c>
      <c r="H2005" s="21">
        <v>1429.17</v>
      </c>
    </row>
    <row r="2006" spans="1:8" customFormat="1" x14ac:dyDescent="0.25">
      <c r="A2006" t="str">
        <f>"76473"</f>
        <v>76473</v>
      </c>
      <c r="B2006" t="s">
        <v>4085</v>
      </c>
      <c r="C2006" t="s">
        <v>209</v>
      </c>
      <c r="D2006" s="21" t="s">
        <v>34</v>
      </c>
      <c r="E2006" s="21" t="s">
        <v>71</v>
      </c>
      <c r="F2006">
        <v>9760168</v>
      </c>
      <c r="G2006" t="s">
        <v>179</v>
      </c>
      <c r="H2006" s="21">
        <v>1429.17</v>
      </c>
    </row>
    <row r="2007" spans="1:8" customFormat="1" x14ac:dyDescent="0.25">
      <c r="A2007" t="str">
        <f>"6910546"</f>
        <v>6910546</v>
      </c>
      <c r="B2007" t="s">
        <v>2715</v>
      </c>
      <c r="C2007" t="s">
        <v>285</v>
      </c>
      <c r="D2007" s="21" t="s">
        <v>34</v>
      </c>
      <c r="E2007" s="21" t="s">
        <v>35</v>
      </c>
      <c r="F2007">
        <v>1690031</v>
      </c>
      <c r="G2007" t="s">
        <v>2716</v>
      </c>
      <c r="H2007" s="21">
        <v>1429.17</v>
      </c>
    </row>
    <row r="2008" spans="1:8" customFormat="1" x14ac:dyDescent="0.25">
      <c r="A2008" t="str">
        <f>"5717588"</f>
        <v>5717588</v>
      </c>
      <c r="B2008" t="s">
        <v>17777</v>
      </c>
      <c r="C2008" t="s">
        <v>62</v>
      </c>
      <c r="D2008" s="21" t="s">
        <v>34</v>
      </c>
      <c r="E2008" s="21" t="s">
        <v>35</v>
      </c>
      <c r="F2008">
        <v>6570019</v>
      </c>
      <c r="G2008" t="s">
        <v>1510</v>
      </c>
      <c r="H2008" s="21">
        <v>1428.67</v>
      </c>
    </row>
    <row r="2009" spans="1:8" customFormat="1" x14ac:dyDescent="0.25">
      <c r="A2009" t="str">
        <f>"5759"</f>
        <v>5759</v>
      </c>
      <c r="B2009" t="s">
        <v>2763</v>
      </c>
      <c r="C2009" t="s">
        <v>547</v>
      </c>
      <c r="D2009" s="21" t="s">
        <v>34</v>
      </c>
      <c r="E2009" s="21" t="s">
        <v>71</v>
      </c>
      <c r="F2009">
        <v>6570005</v>
      </c>
      <c r="G2009" t="s">
        <v>351</v>
      </c>
      <c r="H2009" s="21">
        <v>1428.67</v>
      </c>
    </row>
    <row r="2010" spans="1:8" customFormat="1" x14ac:dyDescent="0.25">
      <c r="A2010" t="str">
        <f>"8514167"</f>
        <v>8514167</v>
      </c>
      <c r="B2010" t="s">
        <v>2978</v>
      </c>
      <c r="C2010" t="s">
        <v>121</v>
      </c>
      <c r="D2010" s="21" t="s">
        <v>34</v>
      </c>
      <c r="E2010" s="21" t="s">
        <v>35</v>
      </c>
      <c r="F2010">
        <v>12440055</v>
      </c>
      <c r="G2010" t="s">
        <v>2979</v>
      </c>
      <c r="H2010" s="21">
        <v>1428.67</v>
      </c>
    </row>
    <row r="2011" spans="1:8" customFormat="1" x14ac:dyDescent="0.25">
      <c r="A2011" t="str">
        <f>"3712290"</f>
        <v>3712290</v>
      </c>
      <c r="B2011" t="s">
        <v>2647</v>
      </c>
      <c r="C2011" t="s">
        <v>598</v>
      </c>
      <c r="D2011" s="21" t="s">
        <v>34</v>
      </c>
      <c r="E2011" s="21" t="s">
        <v>71</v>
      </c>
      <c r="F2011">
        <v>4370002</v>
      </c>
      <c r="G2011" t="s">
        <v>112</v>
      </c>
      <c r="H2011" s="21">
        <v>1428.55</v>
      </c>
    </row>
    <row r="2012" spans="1:8" customFormat="1" x14ac:dyDescent="0.25">
      <c r="A2012" t="str">
        <f>"241417"</f>
        <v>241417</v>
      </c>
      <c r="B2012" t="s">
        <v>3006</v>
      </c>
      <c r="C2012" t="s">
        <v>267</v>
      </c>
      <c r="D2012" s="21" t="s">
        <v>34</v>
      </c>
      <c r="E2012" s="21" t="s">
        <v>71</v>
      </c>
      <c r="F2012">
        <v>10240030</v>
      </c>
      <c r="G2012" t="s">
        <v>8997</v>
      </c>
      <c r="H2012" s="21">
        <v>1428.42</v>
      </c>
    </row>
    <row r="2013" spans="1:8" customFormat="1" x14ac:dyDescent="0.25">
      <c r="A2013" t="str">
        <f>"45391"</f>
        <v>45391</v>
      </c>
      <c r="B2013" t="s">
        <v>2518</v>
      </c>
      <c r="C2013" t="s">
        <v>462</v>
      </c>
      <c r="D2013" s="21" t="s">
        <v>34</v>
      </c>
      <c r="E2013" s="21" t="s">
        <v>71</v>
      </c>
      <c r="F2013">
        <v>12440033</v>
      </c>
      <c r="G2013" t="s">
        <v>1638</v>
      </c>
      <c r="H2013" s="21">
        <v>1428.17</v>
      </c>
    </row>
    <row r="2014" spans="1:8" customFormat="1" x14ac:dyDescent="0.25">
      <c r="A2014" t="str">
        <f>"7510035"</f>
        <v>7510035</v>
      </c>
      <c r="B2014" t="s">
        <v>2606</v>
      </c>
      <c r="C2014" t="s">
        <v>246</v>
      </c>
      <c r="D2014" s="21" t="s">
        <v>34</v>
      </c>
      <c r="E2014" s="21" t="s">
        <v>71</v>
      </c>
      <c r="F2014">
        <v>8920031</v>
      </c>
      <c r="G2014" t="s">
        <v>552</v>
      </c>
      <c r="H2014" s="21">
        <v>1428.17</v>
      </c>
    </row>
    <row r="2015" spans="1:8" customFormat="1" x14ac:dyDescent="0.25">
      <c r="A2015" t="str">
        <f>"9A631"</f>
        <v>9A631</v>
      </c>
      <c r="B2015" t="s">
        <v>2837</v>
      </c>
      <c r="C2015" t="s">
        <v>2838</v>
      </c>
      <c r="D2015" s="21" t="s">
        <v>34</v>
      </c>
      <c r="E2015" s="21" t="s">
        <v>71</v>
      </c>
      <c r="F2015" t="s">
        <v>2839</v>
      </c>
      <c r="G2015" t="s">
        <v>2840</v>
      </c>
      <c r="H2015" s="21">
        <v>1427.68</v>
      </c>
    </row>
    <row r="2016" spans="1:8" customFormat="1" x14ac:dyDescent="0.25">
      <c r="A2016" t="str">
        <f>"4514529"</f>
        <v>4514529</v>
      </c>
      <c r="B2016" t="s">
        <v>26693</v>
      </c>
      <c r="C2016" t="s">
        <v>60</v>
      </c>
      <c r="D2016" s="21" t="s">
        <v>34</v>
      </c>
      <c r="E2016" s="21" t="s">
        <v>35</v>
      </c>
      <c r="F2016">
        <v>4450759</v>
      </c>
      <c r="G2016" t="s">
        <v>6587</v>
      </c>
      <c r="H2016" s="21">
        <v>1427.67</v>
      </c>
    </row>
    <row r="2017" spans="1:8" customFormat="1" x14ac:dyDescent="0.25">
      <c r="A2017" t="str">
        <f>"854137"</f>
        <v>854137</v>
      </c>
      <c r="B2017" t="s">
        <v>882</v>
      </c>
      <c r="C2017" t="s">
        <v>1708</v>
      </c>
      <c r="D2017" s="21" t="s">
        <v>34</v>
      </c>
      <c r="E2017" s="21" t="s">
        <v>35</v>
      </c>
      <c r="F2017">
        <v>12850057</v>
      </c>
      <c r="G2017" t="s">
        <v>1291</v>
      </c>
      <c r="H2017" s="21">
        <v>1427.17</v>
      </c>
    </row>
    <row r="2018" spans="1:8" customFormat="1" x14ac:dyDescent="0.25">
      <c r="A2018" t="str">
        <f>"24383"</f>
        <v>24383</v>
      </c>
      <c r="B2018" t="s">
        <v>2934</v>
      </c>
      <c r="C2018" t="s">
        <v>55</v>
      </c>
      <c r="D2018" s="21" t="s">
        <v>34</v>
      </c>
      <c r="E2018" s="21" t="s">
        <v>254</v>
      </c>
      <c r="F2018">
        <v>10240002</v>
      </c>
      <c r="G2018" t="s">
        <v>2935</v>
      </c>
      <c r="H2018" s="21">
        <v>1427.17</v>
      </c>
    </row>
    <row r="2019" spans="1:8" customFormat="1" x14ac:dyDescent="0.25">
      <c r="A2019" t="str">
        <f>"88228"</f>
        <v>88228</v>
      </c>
      <c r="B2019" t="s">
        <v>1872</v>
      </c>
      <c r="C2019" t="s">
        <v>151</v>
      </c>
      <c r="D2019" s="21" t="s">
        <v>34</v>
      </c>
      <c r="E2019" s="21" t="s">
        <v>35</v>
      </c>
      <c r="F2019">
        <v>6880051</v>
      </c>
      <c r="G2019" t="s">
        <v>6116</v>
      </c>
      <c r="H2019" s="21">
        <v>1427.17</v>
      </c>
    </row>
    <row r="2020" spans="1:8" customFormat="1" x14ac:dyDescent="0.25">
      <c r="A2020" t="str">
        <f>"64292"</f>
        <v>64292</v>
      </c>
      <c r="B2020" t="s">
        <v>2833</v>
      </c>
      <c r="C2020" t="s">
        <v>2834</v>
      </c>
      <c r="D2020" s="21" t="s">
        <v>34</v>
      </c>
      <c r="E2020" s="21" t="s">
        <v>71</v>
      </c>
      <c r="F2020">
        <v>10640003</v>
      </c>
      <c r="G2020" t="s">
        <v>1594</v>
      </c>
      <c r="H2020" s="21">
        <v>1427.05</v>
      </c>
    </row>
    <row r="2021" spans="1:8" customFormat="1" x14ac:dyDescent="0.25">
      <c r="A2021" t="str">
        <f>"3817089"</f>
        <v>3817089</v>
      </c>
      <c r="B2021" t="s">
        <v>2643</v>
      </c>
      <c r="C2021" t="s">
        <v>1841</v>
      </c>
      <c r="D2021" s="21" t="s">
        <v>34</v>
      </c>
      <c r="E2021" s="21" t="s">
        <v>35</v>
      </c>
      <c r="F2021">
        <v>1380028</v>
      </c>
      <c r="G2021" t="s">
        <v>374</v>
      </c>
      <c r="H2021" s="21">
        <v>1426.67</v>
      </c>
    </row>
    <row r="2022" spans="1:8" customFormat="1" x14ac:dyDescent="0.25">
      <c r="A2022" t="str">
        <f>"182026"</f>
        <v>182026</v>
      </c>
      <c r="B2022" t="s">
        <v>1495</v>
      </c>
      <c r="C2022" t="s">
        <v>1708</v>
      </c>
      <c r="D2022" s="21" t="s">
        <v>34</v>
      </c>
      <c r="E2022" s="21" t="s">
        <v>35</v>
      </c>
      <c r="F2022">
        <v>4180696</v>
      </c>
      <c r="G2022" t="s">
        <v>3018</v>
      </c>
      <c r="H2022" s="21">
        <v>1426.67</v>
      </c>
    </row>
    <row r="2023" spans="1:8" customFormat="1" x14ac:dyDescent="0.25">
      <c r="A2023" t="str">
        <f>"60995"</f>
        <v>60995</v>
      </c>
      <c r="B2023" t="s">
        <v>2515</v>
      </c>
      <c r="C2023" t="s">
        <v>598</v>
      </c>
      <c r="D2023" s="21" t="s">
        <v>34</v>
      </c>
      <c r="E2023" s="21" t="s">
        <v>254</v>
      </c>
      <c r="F2023">
        <v>7600126</v>
      </c>
      <c r="G2023" t="s">
        <v>2516</v>
      </c>
      <c r="H2023" s="21">
        <v>1426.67</v>
      </c>
    </row>
    <row r="2024" spans="1:8" customFormat="1" x14ac:dyDescent="0.25">
      <c r="A2024" t="str">
        <f>"6911909"</f>
        <v>6911909</v>
      </c>
      <c r="B2024" t="s">
        <v>2124</v>
      </c>
      <c r="C2024" t="s">
        <v>127</v>
      </c>
      <c r="D2024" s="21" t="s">
        <v>34</v>
      </c>
      <c r="E2024" s="21" t="s">
        <v>35</v>
      </c>
      <c r="F2024">
        <v>1260005</v>
      </c>
      <c r="G2024" t="s">
        <v>10654</v>
      </c>
      <c r="H2024" s="21">
        <v>1426.5</v>
      </c>
    </row>
    <row r="2025" spans="1:8" customFormat="1" x14ac:dyDescent="0.25">
      <c r="A2025" t="str">
        <f>"424152"</f>
        <v>424152</v>
      </c>
      <c r="B2025" t="s">
        <v>691</v>
      </c>
      <c r="C2025" t="s">
        <v>926</v>
      </c>
      <c r="D2025" s="21" t="s">
        <v>34</v>
      </c>
      <c r="E2025" s="21" t="s">
        <v>35</v>
      </c>
      <c r="F2025">
        <v>1420307</v>
      </c>
      <c r="G2025" t="s">
        <v>26676</v>
      </c>
      <c r="H2025" s="21">
        <v>1426.17</v>
      </c>
    </row>
    <row r="2026" spans="1:8" customFormat="1" x14ac:dyDescent="0.25">
      <c r="A2026" t="str">
        <f>"501099"</f>
        <v>501099</v>
      </c>
      <c r="B2026" t="s">
        <v>2656</v>
      </c>
      <c r="C2026" t="s">
        <v>275</v>
      </c>
      <c r="D2026" s="21" t="s">
        <v>34</v>
      </c>
      <c r="E2026" s="21" t="s">
        <v>35</v>
      </c>
      <c r="F2026">
        <v>9500030</v>
      </c>
      <c r="G2026" t="s">
        <v>2166</v>
      </c>
      <c r="H2026" s="21">
        <v>1426.17</v>
      </c>
    </row>
    <row r="2027" spans="1:8" customFormat="1" x14ac:dyDescent="0.25">
      <c r="A2027" t="str">
        <f>"6914277"</f>
        <v>6914277</v>
      </c>
      <c r="B2027" t="s">
        <v>2691</v>
      </c>
      <c r="C2027" t="s">
        <v>62</v>
      </c>
      <c r="D2027" s="21" t="s">
        <v>34</v>
      </c>
      <c r="E2027" s="21" t="s">
        <v>35</v>
      </c>
      <c r="F2027">
        <v>1690166</v>
      </c>
      <c r="G2027" t="s">
        <v>3886</v>
      </c>
      <c r="H2027" s="21">
        <v>1426.17</v>
      </c>
    </row>
    <row r="2028" spans="1:8" customFormat="1" x14ac:dyDescent="0.25">
      <c r="A2028" t="str">
        <f>"8512006"</f>
        <v>8512006</v>
      </c>
      <c r="B2028" t="s">
        <v>3430</v>
      </c>
      <c r="C2028" t="s">
        <v>87</v>
      </c>
      <c r="D2028" s="21" t="s">
        <v>34</v>
      </c>
      <c r="E2028" s="21" t="s">
        <v>71</v>
      </c>
      <c r="F2028">
        <v>12440021</v>
      </c>
      <c r="G2028" t="s">
        <v>429</v>
      </c>
      <c r="H2028" s="21">
        <v>1426.17</v>
      </c>
    </row>
    <row r="2029" spans="1:8" customFormat="1" x14ac:dyDescent="0.25">
      <c r="A2029" t="str">
        <f>"897013"</f>
        <v>897013</v>
      </c>
      <c r="B2029" t="s">
        <v>3102</v>
      </c>
      <c r="C2029" t="s">
        <v>62</v>
      </c>
      <c r="D2029" s="21" t="s">
        <v>34</v>
      </c>
      <c r="E2029" s="21" t="s">
        <v>35</v>
      </c>
      <c r="F2029">
        <v>2890019</v>
      </c>
      <c r="G2029" t="s">
        <v>1857</v>
      </c>
      <c r="H2029" s="21">
        <v>1426.17</v>
      </c>
    </row>
    <row r="2030" spans="1:8" customFormat="1" x14ac:dyDescent="0.25">
      <c r="A2030" t="str">
        <f>"8014720"</f>
        <v>8014720</v>
      </c>
      <c r="B2030" t="s">
        <v>3322</v>
      </c>
      <c r="C2030" t="s">
        <v>3323</v>
      </c>
      <c r="D2030" s="21" t="s">
        <v>34</v>
      </c>
      <c r="E2030" s="21" t="s">
        <v>35</v>
      </c>
      <c r="F2030">
        <v>7800088</v>
      </c>
      <c r="G2030" t="s">
        <v>1899</v>
      </c>
      <c r="H2030" s="21">
        <v>1425.67</v>
      </c>
    </row>
    <row r="2031" spans="1:8" customFormat="1" x14ac:dyDescent="0.25">
      <c r="A2031" t="str">
        <f>"699932"</f>
        <v>699932</v>
      </c>
      <c r="B2031" t="s">
        <v>26694</v>
      </c>
      <c r="C2031" t="s">
        <v>1539</v>
      </c>
      <c r="D2031" s="21" t="s">
        <v>34</v>
      </c>
      <c r="E2031" s="21" t="s">
        <v>35</v>
      </c>
      <c r="F2031">
        <v>1690215</v>
      </c>
      <c r="G2031" t="s">
        <v>1080</v>
      </c>
      <c r="H2031" s="21">
        <v>1425.67</v>
      </c>
    </row>
    <row r="2032" spans="1:8" customFormat="1" x14ac:dyDescent="0.25">
      <c r="A2032" t="str">
        <f>"276435"</f>
        <v>276435</v>
      </c>
      <c r="B2032" t="s">
        <v>2951</v>
      </c>
      <c r="C2032" t="s">
        <v>119</v>
      </c>
      <c r="D2032" s="21" t="s">
        <v>34</v>
      </c>
      <c r="E2032" s="21" t="s">
        <v>71</v>
      </c>
      <c r="F2032">
        <v>9270181</v>
      </c>
      <c r="G2032" t="s">
        <v>2952</v>
      </c>
      <c r="H2032" s="21">
        <v>1425.17</v>
      </c>
    </row>
    <row r="2033" spans="1:8" customFormat="1" x14ac:dyDescent="0.25">
      <c r="A2033" t="str">
        <f>"459563"</f>
        <v>459563</v>
      </c>
      <c r="B2033" t="s">
        <v>2582</v>
      </c>
      <c r="C2033" t="s">
        <v>249</v>
      </c>
      <c r="D2033" s="21" t="s">
        <v>34</v>
      </c>
      <c r="E2033" s="21" t="s">
        <v>35</v>
      </c>
      <c r="F2033">
        <v>4450768</v>
      </c>
      <c r="G2033" t="s">
        <v>12739</v>
      </c>
      <c r="H2033" s="21">
        <v>1425.17</v>
      </c>
    </row>
    <row r="2034" spans="1:8" customFormat="1" x14ac:dyDescent="0.25">
      <c r="A2034" t="str">
        <f>"801203"</f>
        <v>801203</v>
      </c>
      <c r="B2034" t="s">
        <v>2846</v>
      </c>
      <c r="C2034" t="s">
        <v>33</v>
      </c>
      <c r="D2034" s="21" t="s">
        <v>34</v>
      </c>
      <c r="E2034" s="21" t="s">
        <v>254</v>
      </c>
      <c r="F2034">
        <v>7800061</v>
      </c>
      <c r="G2034" t="s">
        <v>1330</v>
      </c>
      <c r="H2034" s="21">
        <v>1425.17</v>
      </c>
    </row>
    <row r="2035" spans="1:8" customFormat="1" x14ac:dyDescent="0.25">
      <c r="A2035" t="str">
        <f>"8512564"</f>
        <v>8512564</v>
      </c>
      <c r="B2035" t="s">
        <v>795</v>
      </c>
      <c r="C2035" t="s">
        <v>2786</v>
      </c>
      <c r="D2035" s="21" t="s">
        <v>34</v>
      </c>
      <c r="E2035" s="21" t="s">
        <v>35</v>
      </c>
      <c r="F2035">
        <v>12850037</v>
      </c>
      <c r="G2035" t="s">
        <v>2787</v>
      </c>
      <c r="H2035" s="21">
        <v>1424.67</v>
      </c>
    </row>
    <row r="2036" spans="1:8" customFormat="1" x14ac:dyDescent="0.25">
      <c r="A2036" t="str">
        <f>"2912040"</f>
        <v>2912040</v>
      </c>
      <c r="B2036" t="s">
        <v>26695</v>
      </c>
      <c r="C2036" t="s">
        <v>608</v>
      </c>
      <c r="D2036" s="21" t="s">
        <v>34</v>
      </c>
      <c r="E2036" s="21" t="s">
        <v>35</v>
      </c>
      <c r="F2036">
        <v>3290200</v>
      </c>
      <c r="G2036" t="s">
        <v>3488</v>
      </c>
      <c r="H2036" s="21">
        <v>1424.67</v>
      </c>
    </row>
    <row r="2037" spans="1:8" customFormat="1" x14ac:dyDescent="0.25">
      <c r="A2037" t="str">
        <f>"733901"</f>
        <v>733901</v>
      </c>
      <c r="B2037" t="s">
        <v>26696</v>
      </c>
      <c r="C2037" t="s">
        <v>1359</v>
      </c>
      <c r="D2037" s="21" t="s">
        <v>34</v>
      </c>
      <c r="E2037" s="21" t="s">
        <v>35</v>
      </c>
      <c r="F2037">
        <v>1730076</v>
      </c>
      <c r="G2037" t="s">
        <v>936</v>
      </c>
      <c r="H2037" s="21">
        <v>1424.67</v>
      </c>
    </row>
    <row r="2038" spans="1:8" customFormat="1" x14ac:dyDescent="0.25">
      <c r="A2038" t="str">
        <f>"2810691"</f>
        <v>2810691</v>
      </c>
      <c r="B2038" t="s">
        <v>400</v>
      </c>
      <c r="C2038" t="s">
        <v>269</v>
      </c>
      <c r="D2038" s="21" t="s">
        <v>34</v>
      </c>
      <c r="E2038" s="21" t="s">
        <v>71</v>
      </c>
      <c r="F2038">
        <v>4280048</v>
      </c>
      <c r="G2038" t="s">
        <v>3053</v>
      </c>
      <c r="H2038" s="21">
        <v>1424.67</v>
      </c>
    </row>
    <row r="2039" spans="1:8" customFormat="1" x14ac:dyDescent="0.25">
      <c r="A2039" t="str">
        <f>"3411137"</f>
        <v>3411137</v>
      </c>
      <c r="B2039" t="s">
        <v>2746</v>
      </c>
      <c r="C2039" t="s">
        <v>233</v>
      </c>
      <c r="D2039" s="21" t="s">
        <v>34</v>
      </c>
      <c r="E2039" s="21" t="s">
        <v>254</v>
      </c>
      <c r="F2039">
        <v>11340008</v>
      </c>
      <c r="G2039" t="s">
        <v>312</v>
      </c>
      <c r="H2039" s="21">
        <v>1424.42</v>
      </c>
    </row>
    <row r="2040" spans="1:8" customFormat="1" x14ac:dyDescent="0.25">
      <c r="A2040" t="str">
        <f>"9513881"</f>
        <v>9513881</v>
      </c>
      <c r="B2040" t="s">
        <v>1099</v>
      </c>
      <c r="C2040" t="s">
        <v>119</v>
      </c>
      <c r="D2040" s="21" t="s">
        <v>34</v>
      </c>
      <c r="E2040" s="21" t="s">
        <v>35</v>
      </c>
      <c r="F2040">
        <v>8950623</v>
      </c>
      <c r="G2040" t="s">
        <v>684</v>
      </c>
      <c r="H2040" s="21">
        <v>1424.17</v>
      </c>
    </row>
    <row r="2041" spans="1:8" customFormat="1" x14ac:dyDescent="0.25">
      <c r="A2041" t="str">
        <f>"472281"</f>
        <v>472281</v>
      </c>
      <c r="B2041" t="s">
        <v>2674</v>
      </c>
      <c r="C2041" t="s">
        <v>285</v>
      </c>
      <c r="D2041" s="21" t="s">
        <v>34</v>
      </c>
      <c r="E2041" s="21" t="s">
        <v>35</v>
      </c>
      <c r="F2041">
        <v>11310060</v>
      </c>
      <c r="G2041" t="s">
        <v>2448</v>
      </c>
      <c r="H2041" s="21">
        <v>1424.17</v>
      </c>
    </row>
    <row r="2042" spans="1:8" customFormat="1" x14ac:dyDescent="0.25">
      <c r="A2042" t="str">
        <f>"1414263"</f>
        <v>1414263</v>
      </c>
      <c r="B2042" t="s">
        <v>3092</v>
      </c>
      <c r="C2042" t="s">
        <v>239</v>
      </c>
      <c r="D2042" s="21" t="s">
        <v>34</v>
      </c>
      <c r="E2042" s="21" t="s">
        <v>71</v>
      </c>
      <c r="F2042">
        <v>3350011</v>
      </c>
      <c r="G2042" t="s">
        <v>2404</v>
      </c>
      <c r="H2042" s="21">
        <v>1424.17</v>
      </c>
    </row>
    <row r="2043" spans="1:8" customFormat="1" x14ac:dyDescent="0.25">
      <c r="A2043" t="str">
        <f>"276438"</f>
        <v>276438</v>
      </c>
      <c r="B2043" t="s">
        <v>3713</v>
      </c>
      <c r="C2043" t="s">
        <v>198</v>
      </c>
      <c r="D2043" s="21" t="s">
        <v>34</v>
      </c>
      <c r="E2043" s="21" t="s">
        <v>35</v>
      </c>
      <c r="F2043">
        <v>9270137</v>
      </c>
      <c r="G2043" t="s">
        <v>3714</v>
      </c>
      <c r="H2043" s="21">
        <v>1423.92</v>
      </c>
    </row>
    <row r="2044" spans="1:8" customFormat="1" x14ac:dyDescent="0.25">
      <c r="A2044" t="str">
        <f>"73246"</f>
        <v>73246</v>
      </c>
      <c r="B2044" t="s">
        <v>2600</v>
      </c>
      <c r="C2044" t="s">
        <v>198</v>
      </c>
      <c r="D2044" s="21" t="s">
        <v>34</v>
      </c>
      <c r="E2044" s="21" t="s">
        <v>71</v>
      </c>
      <c r="F2044">
        <v>1730033</v>
      </c>
      <c r="G2044" t="s">
        <v>2407</v>
      </c>
      <c r="H2044" s="21">
        <v>1423.67</v>
      </c>
    </row>
    <row r="2045" spans="1:8" customFormat="1" x14ac:dyDescent="0.25">
      <c r="A2045" t="str">
        <f>"753208"</f>
        <v>753208</v>
      </c>
      <c r="B2045" t="s">
        <v>1885</v>
      </c>
      <c r="C2045" t="s">
        <v>239</v>
      </c>
      <c r="D2045" s="21" t="s">
        <v>34</v>
      </c>
      <c r="E2045" s="21" t="s">
        <v>71</v>
      </c>
      <c r="F2045">
        <v>8750074</v>
      </c>
      <c r="G2045" t="s">
        <v>698</v>
      </c>
      <c r="H2045" s="21">
        <v>1423.67</v>
      </c>
    </row>
    <row r="2046" spans="1:8" customFormat="1" x14ac:dyDescent="0.25">
      <c r="A2046" t="str">
        <f>"446735"</f>
        <v>446735</v>
      </c>
      <c r="B2046" t="s">
        <v>6716</v>
      </c>
      <c r="C2046" t="s">
        <v>3415</v>
      </c>
      <c r="D2046" s="21" t="s">
        <v>34</v>
      </c>
      <c r="E2046" s="21" t="s">
        <v>35</v>
      </c>
      <c r="F2046">
        <v>12440152</v>
      </c>
      <c r="G2046" t="s">
        <v>5481</v>
      </c>
      <c r="H2046" s="21">
        <v>1423.67</v>
      </c>
    </row>
    <row r="2047" spans="1:8" customFormat="1" x14ac:dyDescent="0.25">
      <c r="A2047" t="str">
        <f>"5415080"</f>
        <v>5415080</v>
      </c>
      <c r="B2047" t="s">
        <v>2707</v>
      </c>
      <c r="C2047" t="s">
        <v>1468</v>
      </c>
      <c r="D2047" s="21" t="s">
        <v>34</v>
      </c>
      <c r="E2047" s="21" t="s">
        <v>71</v>
      </c>
      <c r="F2047">
        <v>6540056</v>
      </c>
      <c r="G2047" t="s">
        <v>1136</v>
      </c>
      <c r="H2047" s="21">
        <v>1423.67</v>
      </c>
    </row>
    <row r="2048" spans="1:8" customFormat="1" x14ac:dyDescent="0.25">
      <c r="A2048" t="str">
        <f>"891085"</f>
        <v>891085</v>
      </c>
      <c r="B2048" t="s">
        <v>2609</v>
      </c>
      <c r="C2048" t="s">
        <v>328</v>
      </c>
      <c r="D2048" s="21" t="s">
        <v>34</v>
      </c>
      <c r="E2048" s="21" t="s">
        <v>71</v>
      </c>
      <c r="F2048">
        <v>2890006</v>
      </c>
      <c r="G2048" t="s">
        <v>2044</v>
      </c>
      <c r="H2048" s="21">
        <v>1423.3</v>
      </c>
    </row>
    <row r="2049" spans="1:8" customFormat="1" x14ac:dyDescent="0.25">
      <c r="A2049" t="str">
        <f>"873264"</f>
        <v>873264</v>
      </c>
      <c r="B2049" t="s">
        <v>3206</v>
      </c>
      <c r="C2049" t="s">
        <v>33</v>
      </c>
      <c r="D2049" s="21" t="s">
        <v>34</v>
      </c>
      <c r="E2049" s="21" t="s">
        <v>35</v>
      </c>
      <c r="F2049">
        <v>11460027</v>
      </c>
      <c r="G2049" t="s">
        <v>26580</v>
      </c>
      <c r="H2049" s="21">
        <v>1423.17</v>
      </c>
    </row>
    <row r="2050" spans="1:8" customFormat="1" x14ac:dyDescent="0.25">
      <c r="A2050" t="str">
        <f>"50960"</f>
        <v>50960</v>
      </c>
      <c r="B2050" t="s">
        <v>3176</v>
      </c>
      <c r="C2050" t="s">
        <v>288</v>
      </c>
      <c r="D2050" s="21" t="s">
        <v>34</v>
      </c>
      <c r="E2050" s="21" t="s">
        <v>35</v>
      </c>
      <c r="F2050">
        <v>9500009</v>
      </c>
      <c r="G2050" t="s">
        <v>2230</v>
      </c>
      <c r="H2050" s="21">
        <v>1422.67</v>
      </c>
    </row>
    <row r="2051" spans="1:8" customFormat="1" x14ac:dyDescent="0.25">
      <c r="A2051" t="str">
        <f>"5729959"</f>
        <v>5729959</v>
      </c>
      <c r="B2051" t="s">
        <v>3350</v>
      </c>
      <c r="C2051" t="s">
        <v>209</v>
      </c>
      <c r="D2051" s="21" t="s">
        <v>34</v>
      </c>
      <c r="E2051" s="21" t="s">
        <v>35</v>
      </c>
      <c r="F2051">
        <v>6570190</v>
      </c>
      <c r="G2051" t="s">
        <v>622</v>
      </c>
      <c r="H2051" s="21">
        <v>1422.67</v>
      </c>
    </row>
    <row r="2052" spans="1:8" customFormat="1" x14ac:dyDescent="0.25">
      <c r="A2052" t="str">
        <f>"684244"</f>
        <v>684244</v>
      </c>
      <c r="B2052" t="s">
        <v>1616</v>
      </c>
      <c r="C2052" t="s">
        <v>169</v>
      </c>
      <c r="D2052" s="21" t="s">
        <v>34</v>
      </c>
      <c r="E2052" s="21" t="s">
        <v>35</v>
      </c>
      <c r="F2052">
        <v>6680111</v>
      </c>
      <c r="G2052" t="s">
        <v>3422</v>
      </c>
      <c r="H2052" s="21">
        <v>1422.17</v>
      </c>
    </row>
    <row r="2053" spans="1:8" customFormat="1" x14ac:dyDescent="0.25">
      <c r="A2053" t="str">
        <f>"4428124"</f>
        <v>4428124</v>
      </c>
      <c r="B2053" t="s">
        <v>3517</v>
      </c>
      <c r="C2053" t="s">
        <v>127</v>
      </c>
      <c r="D2053" s="21" t="s">
        <v>34</v>
      </c>
      <c r="E2053" s="21" t="s">
        <v>35</v>
      </c>
      <c r="F2053">
        <v>12440049</v>
      </c>
      <c r="G2053" t="s">
        <v>3339</v>
      </c>
      <c r="H2053" s="21">
        <v>1422.17</v>
      </c>
    </row>
    <row r="2054" spans="1:8" customFormat="1" x14ac:dyDescent="0.25">
      <c r="A2054" t="str">
        <f>"7214233"</f>
        <v>7214233</v>
      </c>
      <c r="B2054" t="s">
        <v>2711</v>
      </c>
      <c r="C2054" t="s">
        <v>4060</v>
      </c>
      <c r="D2054" s="21" t="s">
        <v>34</v>
      </c>
      <c r="E2054" s="21" t="s">
        <v>35</v>
      </c>
      <c r="F2054">
        <v>12720120</v>
      </c>
      <c r="G2054" t="s">
        <v>2509</v>
      </c>
      <c r="H2054" s="21">
        <v>1422.17</v>
      </c>
    </row>
    <row r="2055" spans="1:8" customFormat="1" x14ac:dyDescent="0.25">
      <c r="A2055" t="str">
        <f>"928335"</f>
        <v>928335</v>
      </c>
      <c r="B2055" t="s">
        <v>3141</v>
      </c>
      <c r="C2055" t="s">
        <v>2907</v>
      </c>
      <c r="D2055" s="21" t="s">
        <v>34</v>
      </c>
      <c r="E2055" s="21" t="s">
        <v>35</v>
      </c>
      <c r="F2055">
        <v>2210059</v>
      </c>
      <c r="G2055" t="s">
        <v>3142</v>
      </c>
      <c r="H2055" s="21">
        <v>1422.17</v>
      </c>
    </row>
    <row r="2056" spans="1:8" customFormat="1" x14ac:dyDescent="0.25">
      <c r="A2056" t="str">
        <f>"952467"</f>
        <v>952467</v>
      </c>
      <c r="B2056" t="s">
        <v>2020</v>
      </c>
      <c r="C2056" t="s">
        <v>750</v>
      </c>
      <c r="D2056" s="21" t="s">
        <v>34</v>
      </c>
      <c r="E2056" s="21" t="s">
        <v>71</v>
      </c>
      <c r="F2056">
        <v>10170005</v>
      </c>
      <c r="G2056" t="s">
        <v>4290</v>
      </c>
      <c r="H2056" s="21">
        <v>1422</v>
      </c>
    </row>
    <row r="2057" spans="1:8" customFormat="1" x14ac:dyDescent="0.25">
      <c r="A2057" t="str">
        <f>"677218"</f>
        <v>677218</v>
      </c>
      <c r="B2057" t="s">
        <v>2768</v>
      </c>
      <c r="C2057" t="s">
        <v>267</v>
      </c>
      <c r="D2057" s="21" t="s">
        <v>34</v>
      </c>
      <c r="E2057" s="21" t="s">
        <v>35</v>
      </c>
      <c r="F2057">
        <v>6670212</v>
      </c>
      <c r="G2057" t="s">
        <v>2769</v>
      </c>
      <c r="H2057" s="21">
        <v>1421.67</v>
      </c>
    </row>
    <row r="2058" spans="1:8" customFormat="1" x14ac:dyDescent="0.25">
      <c r="A2058" t="str">
        <f>"27787"</f>
        <v>27787</v>
      </c>
      <c r="B2058" t="s">
        <v>17601</v>
      </c>
      <c r="C2058" t="s">
        <v>114</v>
      </c>
      <c r="D2058" s="21" t="s">
        <v>34</v>
      </c>
      <c r="E2058" s="21" t="s">
        <v>35</v>
      </c>
      <c r="F2058">
        <v>9270104</v>
      </c>
      <c r="G2058" t="s">
        <v>2456</v>
      </c>
      <c r="H2058" s="21">
        <v>1421.67</v>
      </c>
    </row>
    <row r="2059" spans="1:8" customFormat="1" x14ac:dyDescent="0.25">
      <c r="A2059" t="str">
        <f>"2932000"</f>
        <v>2932000</v>
      </c>
      <c r="B2059" t="s">
        <v>2971</v>
      </c>
      <c r="C2059" t="s">
        <v>1474</v>
      </c>
      <c r="D2059" s="21" t="s">
        <v>34</v>
      </c>
      <c r="E2059" s="21" t="s">
        <v>35</v>
      </c>
      <c r="F2059">
        <v>3290273</v>
      </c>
      <c r="G2059" t="s">
        <v>2972</v>
      </c>
      <c r="H2059" s="21">
        <v>1421.17</v>
      </c>
    </row>
    <row r="2060" spans="1:8" customFormat="1" x14ac:dyDescent="0.25">
      <c r="A2060" t="str">
        <f>"4921152"</f>
        <v>4921152</v>
      </c>
      <c r="B2060" t="s">
        <v>2835</v>
      </c>
      <c r="C2060" t="s">
        <v>1782</v>
      </c>
      <c r="D2060" s="21" t="s">
        <v>34</v>
      </c>
      <c r="E2060" s="21" t="s">
        <v>35</v>
      </c>
      <c r="F2060">
        <v>12490061</v>
      </c>
      <c r="G2060" t="s">
        <v>969</v>
      </c>
      <c r="H2060" s="21">
        <v>1421.17</v>
      </c>
    </row>
    <row r="2061" spans="1:8" customFormat="1" x14ac:dyDescent="0.25">
      <c r="A2061" t="str">
        <f>"508872"</f>
        <v>508872</v>
      </c>
      <c r="B2061" t="s">
        <v>2612</v>
      </c>
      <c r="C2061" t="s">
        <v>60</v>
      </c>
      <c r="D2061" s="21" t="s">
        <v>34</v>
      </c>
      <c r="E2061" s="21" t="s">
        <v>35</v>
      </c>
      <c r="F2061">
        <v>9500117</v>
      </c>
      <c r="G2061" t="s">
        <v>247</v>
      </c>
      <c r="H2061" s="21">
        <v>1421.17</v>
      </c>
    </row>
    <row r="2062" spans="1:8" customFormat="1" x14ac:dyDescent="0.25">
      <c r="A2062" t="str">
        <f>"4440179"</f>
        <v>4440179</v>
      </c>
      <c r="B2062" t="s">
        <v>3284</v>
      </c>
      <c r="C2062" t="s">
        <v>124</v>
      </c>
      <c r="D2062" s="21" t="s">
        <v>34</v>
      </c>
      <c r="E2062" s="21" t="s">
        <v>35</v>
      </c>
      <c r="F2062">
        <v>12440142</v>
      </c>
      <c r="G2062" t="s">
        <v>3285</v>
      </c>
      <c r="H2062" s="21">
        <v>1420.92</v>
      </c>
    </row>
    <row r="2063" spans="1:8" customFormat="1" x14ac:dyDescent="0.25">
      <c r="A2063" t="str">
        <f>"875905"</f>
        <v>875905</v>
      </c>
      <c r="B2063" t="s">
        <v>3318</v>
      </c>
      <c r="C2063" t="s">
        <v>124</v>
      </c>
      <c r="D2063" s="21" t="s">
        <v>34</v>
      </c>
      <c r="E2063" s="21" t="s">
        <v>35</v>
      </c>
      <c r="F2063">
        <v>10870031</v>
      </c>
      <c r="G2063" t="s">
        <v>959</v>
      </c>
      <c r="H2063" s="21">
        <v>1420.67</v>
      </c>
    </row>
    <row r="2064" spans="1:8" customFormat="1" x14ac:dyDescent="0.25">
      <c r="A2064" t="str">
        <f>"264377"</f>
        <v>264377</v>
      </c>
      <c r="B2064" t="s">
        <v>4711</v>
      </c>
      <c r="C2064" t="s">
        <v>3662</v>
      </c>
      <c r="D2064" s="21" t="s">
        <v>34</v>
      </c>
      <c r="E2064" s="21" t="s">
        <v>35</v>
      </c>
      <c r="F2064">
        <v>1260005</v>
      </c>
      <c r="G2064" t="s">
        <v>10654</v>
      </c>
      <c r="H2064" s="21">
        <v>1420.67</v>
      </c>
    </row>
    <row r="2065" spans="1:8" customFormat="1" x14ac:dyDescent="0.25">
      <c r="A2065" t="str">
        <f>"6210570"</f>
        <v>6210570</v>
      </c>
      <c r="B2065" t="s">
        <v>2060</v>
      </c>
      <c r="C2065" t="s">
        <v>119</v>
      </c>
      <c r="D2065" s="21" t="s">
        <v>34</v>
      </c>
      <c r="E2065" s="21" t="s">
        <v>35</v>
      </c>
      <c r="F2065">
        <v>7620044</v>
      </c>
      <c r="G2065" t="s">
        <v>2961</v>
      </c>
      <c r="H2065" s="21">
        <v>1420.67</v>
      </c>
    </row>
    <row r="2066" spans="1:8" customFormat="1" x14ac:dyDescent="0.25">
      <c r="A2066" t="str">
        <f>"6922382"</f>
        <v>6922382</v>
      </c>
      <c r="B2066" t="s">
        <v>3379</v>
      </c>
      <c r="C2066" t="s">
        <v>124</v>
      </c>
      <c r="D2066" s="21" t="s">
        <v>34</v>
      </c>
      <c r="E2066" s="21" t="s">
        <v>35</v>
      </c>
      <c r="F2066">
        <v>1690023</v>
      </c>
      <c r="G2066" t="s">
        <v>647</v>
      </c>
      <c r="H2066" s="21">
        <v>1420.67</v>
      </c>
    </row>
    <row r="2067" spans="1:8" customFormat="1" x14ac:dyDescent="0.25">
      <c r="A2067" t="str">
        <f>"317846"</f>
        <v>317846</v>
      </c>
      <c r="B2067" t="s">
        <v>2830</v>
      </c>
      <c r="C2067" t="s">
        <v>2520</v>
      </c>
      <c r="D2067" s="21" t="s">
        <v>34</v>
      </c>
      <c r="E2067" s="21" t="s">
        <v>71</v>
      </c>
      <c r="F2067">
        <v>10330010</v>
      </c>
      <c r="G2067" t="s">
        <v>2831</v>
      </c>
      <c r="H2067" s="21">
        <v>1420.54</v>
      </c>
    </row>
    <row r="2068" spans="1:8" customFormat="1" x14ac:dyDescent="0.25">
      <c r="A2068" t="str">
        <f>"5933918"</f>
        <v>5933918</v>
      </c>
      <c r="B2068" t="s">
        <v>1247</v>
      </c>
      <c r="C2068" t="s">
        <v>90</v>
      </c>
      <c r="D2068" s="21" t="s">
        <v>34</v>
      </c>
      <c r="E2068" s="21" t="s">
        <v>35</v>
      </c>
      <c r="F2068">
        <v>7590075</v>
      </c>
      <c r="G2068" t="s">
        <v>6459</v>
      </c>
      <c r="H2068" s="21">
        <v>1420.42</v>
      </c>
    </row>
    <row r="2069" spans="1:8" customFormat="1" x14ac:dyDescent="0.25">
      <c r="A2069" t="str">
        <f>"414834"</f>
        <v>414834</v>
      </c>
      <c r="B2069" t="s">
        <v>3140</v>
      </c>
      <c r="C2069" t="s">
        <v>174</v>
      </c>
      <c r="D2069" s="21" t="s">
        <v>34</v>
      </c>
      <c r="E2069" s="21" t="s">
        <v>35</v>
      </c>
      <c r="F2069">
        <v>4410466</v>
      </c>
      <c r="G2069" t="s">
        <v>678</v>
      </c>
      <c r="H2069" s="21">
        <v>1420.17</v>
      </c>
    </row>
    <row r="2070" spans="1:8" customFormat="1" x14ac:dyDescent="0.25">
      <c r="A2070" t="str">
        <f>"562095"</f>
        <v>562095</v>
      </c>
      <c r="B2070" t="s">
        <v>2900</v>
      </c>
      <c r="C2070" t="s">
        <v>1146</v>
      </c>
      <c r="D2070" s="21" t="s">
        <v>34</v>
      </c>
      <c r="E2070" s="21" t="s">
        <v>35</v>
      </c>
      <c r="F2070">
        <v>8910861</v>
      </c>
      <c r="G2070" t="s">
        <v>1120</v>
      </c>
      <c r="H2070" s="21">
        <v>1420.17</v>
      </c>
    </row>
    <row r="2071" spans="1:8" customFormat="1" x14ac:dyDescent="0.25">
      <c r="A2071" t="str">
        <f>"5313865"</f>
        <v>5313865</v>
      </c>
      <c r="B2071" t="s">
        <v>3106</v>
      </c>
      <c r="C2071" t="s">
        <v>263</v>
      </c>
      <c r="D2071" s="21" t="s">
        <v>34</v>
      </c>
      <c r="E2071" s="21" t="s">
        <v>35</v>
      </c>
      <c r="F2071">
        <v>12720020</v>
      </c>
      <c r="G2071" t="s">
        <v>8402</v>
      </c>
      <c r="H2071" s="21">
        <v>1420.17</v>
      </c>
    </row>
    <row r="2072" spans="1:8" customFormat="1" x14ac:dyDescent="0.25">
      <c r="A2072" t="str">
        <f>"1061"</f>
        <v>1061</v>
      </c>
      <c r="B2072" t="s">
        <v>3333</v>
      </c>
      <c r="C2072" t="s">
        <v>263</v>
      </c>
      <c r="D2072" s="21" t="s">
        <v>34</v>
      </c>
      <c r="E2072" s="21" t="s">
        <v>254</v>
      </c>
      <c r="F2072">
        <v>6100002</v>
      </c>
      <c r="G2072" t="s">
        <v>1602</v>
      </c>
      <c r="H2072" s="21">
        <v>1420.17</v>
      </c>
    </row>
    <row r="2073" spans="1:8" customFormat="1" x14ac:dyDescent="0.25">
      <c r="A2073" t="str">
        <f>"937183"</f>
        <v>937183</v>
      </c>
      <c r="B2073" t="s">
        <v>2532</v>
      </c>
      <c r="C2073" t="s">
        <v>2533</v>
      </c>
      <c r="D2073" s="21" t="s">
        <v>34</v>
      </c>
      <c r="E2073" s="21" t="s">
        <v>35</v>
      </c>
      <c r="F2073">
        <v>8930113</v>
      </c>
      <c r="G2073" t="s">
        <v>368</v>
      </c>
      <c r="H2073" s="21">
        <v>1420.05</v>
      </c>
    </row>
    <row r="2074" spans="1:8" customFormat="1" x14ac:dyDescent="0.25">
      <c r="A2074" t="str">
        <f>"543679"</f>
        <v>543679</v>
      </c>
      <c r="B2074" t="s">
        <v>3931</v>
      </c>
      <c r="C2074" t="s">
        <v>139</v>
      </c>
      <c r="D2074" s="21" t="s">
        <v>34</v>
      </c>
      <c r="E2074" s="21" t="s">
        <v>35</v>
      </c>
      <c r="F2074">
        <v>6540014</v>
      </c>
      <c r="G2074" t="s">
        <v>1483</v>
      </c>
      <c r="H2074" s="21">
        <v>1419.92</v>
      </c>
    </row>
    <row r="2075" spans="1:8" customFormat="1" x14ac:dyDescent="0.25">
      <c r="A2075" t="str">
        <f>"99392"</f>
        <v>99392</v>
      </c>
      <c r="B2075" t="s">
        <v>2709</v>
      </c>
      <c r="C2075" t="s">
        <v>275</v>
      </c>
      <c r="D2075" s="21" t="s">
        <v>34</v>
      </c>
      <c r="E2075" s="21" t="s">
        <v>35</v>
      </c>
      <c r="F2075">
        <v>5990010</v>
      </c>
      <c r="G2075" t="s">
        <v>2710</v>
      </c>
      <c r="H2075" s="21">
        <v>1419.81</v>
      </c>
    </row>
    <row r="2076" spans="1:8" customFormat="1" x14ac:dyDescent="0.25">
      <c r="A2076" t="str">
        <f>"685143"</f>
        <v>685143</v>
      </c>
      <c r="B2076" t="s">
        <v>3149</v>
      </c>
      <c r="C2076" t="s">
        <v>275</v>
      </c>
      <c r="D2076" s="21" t="s">
        <v>34</v>
      </c>
      <c r="E2076" s="21" t="s">
        <v>35</v>
      </c>
      <c r="F2076">
        <v>6680011</v>
      </c>
      <c r="G2076" t="s">
        <v>1524</v>
      </c>
      <c r="H2076" s="21">
        <v>1419.67</v>
      </c>
    </row>
    <row r="2077" spans="1:8" customFormat="1" x14ac:dyDescent="0.25">
      <c r="A2077" t="str">
        <f>"272506"</f>
        <v>272506</v>
      </c>
      <c r="B2077" t="s">
        <v>2953</v>
      </c>
      <c r="C2077" t="s">
        <v>65</v>
      </c>
      <c r="D2077" s="21" t="s">
        <v>34</v>
      </c>
      <c r="E2077" s="21" t="s">
        <v>71</v>
      </c>
      <c r="F2077">
        <v>9270089</v>
      </c>
      <c r="G2077" t="s">
        <v>1009</v>
      </c>
      <c r="H2077" s="21">
        <v>1419.67</v>
      </c>
    </row>
    <row r="2078" spans="1:8" customFormat="1" x14ac:dyDescent="0.25">
      <c r="A2078" t="str">
        <f>"2919507"</f>
        <v>2919507</v>
      </c>
      <c r="B2078" t="s">
        <v>2851</v>
      </c>
      <c r="C2078" t="s">
        <v>198</v>
      </c>
      <c r="D2078" s="21" t="s">
        <v>34</v>
      </c>
      <c r="E2078" s="21" t="s">
        <v>71</v>
      </c>
      <c r="F2078">
        <v>3290255</v>
      </c>
      <c r="G2078" t="s">
        <v>2852</v>
      </c>
      <c r="H2078" s="21">
        <v>1419.67</v>
      </c>
    </row>
    <row r="2079" spans="1:8" customFormat="1" x14ac:dyDescent="0.25">
      <c r="A2079" t="str">
        <f>"734149"</f>
        <v>734149</v>
      </c>
      <c r="B2079" t="s">
        <v>2406</v>
      </c>
      <c r="C2079" t="s">
        <v>817</v>
      </c>
      <c r="D2079" s="21" t="s">
        <v>34</v>
      </c>
      <c r="E2079" s="21" t="s">
        <v>35</v>
      </c>
      <c r="F2079">
        <v>1730033</v>
      </c>
      <c r="G2079" t="s">
        <v>2407</v>
      </c>
      <c r="H2079" s="21">
        <v>1419.67</v>
      </c>
    </row>
    <row r="2080" spans="1:8" customFormat="1" x14ac:dyDescent="0.25">
      <c r="A2080" t="str">
        <f>"442265"</f>
        <v>442265</v>
      </c>
      <c r="B2080" t="s">
        <v>1892</v>
      </c>
      <c r="C2080" t="s">
        <v>263</v>
      </c>
      <c r="D2080" s="21" t="s">
        <v>34</v>
      </c>
      <c r="E2080" s="21" t="s">
        <v>71</v>
      </c>
      <c r="F2080">
        <v>12440074</v>
      </c>
      <c r="G2080" t="s">
        <v>2436</v>
      </c>
      <c r="H2080" s="21">
        <v>1419.67</v>
      </c>
    </row>
    <row r="2081" spans="1:8" customFormat="1" x14ac:dyDescent="0.25">
      <c r="A2081" t="str">
        <f>"585512"</f>
        <v>585512</v>
      </c>
      <c r="B2081" t="s">
        <v>3805</v>
      </c>
      <c r="C2081" t="s">
        <v>1119</v>
      </c>
      <c r="D2081" s="21" t="s">
        <v>34</v>
      </c>
      <c r="E2081" s="21" t="s">
        <v>35</v>
      </c>
      <c r="F2081">
        <v>2580052</v>
      </c>
      <c r="G2081" t="s">
        <v>1813</v>
      </c>
      <c r="H2081" s="21">
        <v>1419.43</v>
      </c>
    </row>
    <row r="2082" spans="1:8" customFormat="1" x14ac:dyDescent="0.25">
      <c r="A2082" t="str">
        <f>"2715230"</f>
        <v>2715230</v>
      </c>
      <c r="B2082" t="s">
        <v>2669</v>
      </c>
      <c r="C2082" t="s">
        <v>249</v>
      </c>
      <c r="D2082" s="21" t="s">
        <v>34</v>
      </c>
      <c r="E2082" s="21" t="s">
        <v>71</v>
      </c>
      <c r="F2082">
        <v>9270152</v>
      </c>
      <c r="G2082" t="s">
        <v>1985</v>
      </c>
      <c r="H2082" s="21">
        <v>1419.17</v>
      </c>
    </row>
    <row r="2083" spans="1:8" customFormat="1" x14ac:dyDescent="0.25">
      <c r="A2083" t="str">
        <f>"687485"</f>
        <v>687485</v>
      </c>
      <c r="B2083" t="s">
        <v>2058</v>
      </c>
      <c r="C2083" t="s">
        <v>49</v>
      </c>
      <c r="D2083" s="21" t="s">
        <v>34</v>
      </c>
      <c r="E2083" s="21" t="s">
        <v>35</v>
      </c>
      <c r="F2083">
        <v>6680071</v>
      </c>
      <c r="G2083" t="s">
        <v>2899</v>
      </c>
      <c r="H2083" s="21">
        <v>1419.17</v>
      </c>
    </row>
    <row r="2084" spans="1:8" customFormat="1" x14ac:dyDescent="0.25">
      <c r="A2084" t="str">
        <f>"543607"</f>
        <v>543607</v>
      </c>
      <c r="B2084" t="s">
        <v>7241</v>
      </c>
      <c r="C2084" t="s">
        <v>43</v>
      </c>
      <c r="D2084" s="21" t="s">
        <v>34</v>
      </c>
      <c r="E2084" s="21" t="s">
        <v>35</v>
      </c>
      <c r="F2084">
        <v>6550003</v>
      </c>
      <c r="G2084" t="s">
        <v>7721</v>
      </c>
      <c r="H2084" s="21">
        <v>1419.17</v>
      </c>
    </row>
    <row r="2085" spans="1:8" customFormat="1" x14ac:dyDescent="0.25">
      <c r="A2085" t="str">
        <f>"589214"</f>
        <v>589214</v>
      </c>
      <c r="B2085" t="s">
        <v>2909</v>
      </c>
      <c r="C2085" t="s">
        <v>209</v>
      </c>
      <c r="D2085" s="21" t="s">
        <v>34</v>
      </c>
      <c r="E2085" s="21" t="s">
        <v>35</v>
      </c>
      <c r="F2085">
        <v>2580042</v>
      </c>
      <c r="G2085" t="s">
        <v>1161</v>
      </c>
      <c r="H2085" s="21">
        <v>1419.17</v>
      </c>
    </row>
    <row r="2086" spans="1:8" customFormat="1" x14ac:dyDescent="0.25">
      <c r="A2086" t="str">
        <f>"814173"</f>
        <v>814173</v>
      </c>
      <c r="B2086" t="s">
        <v>3851</v>
      </c>
      <c r="C2086" t="s">
        <v>1812</v>
      </c>
      <c r="D2086" s="21" t="s">
        <v>34</v>
      </c>
      <c r="E2086" s="21" t="s">
        <v>71</v>
      </c>
      <c r="F2086">
        <v>11810033</v>
      </c>
      <c r="G2086" t="s">
        <v>3852</v>
      </c>
      <c r="H2086" s="21">
        <v>1419.17</v>
      </c>
    </row>
    <row r="2087" spans="1:8" customFormat="1" x14ac:dyDescent="0.25">
      <c r="A2087" t="str">
        <f>"674207"</f>
        <v>674207</v>
      </c>
      <c r="B2087" t="s">
        <v>1737</v>
      </c>
      <c r="C2087" t="s">
        <v>249</v>
      </c>
      <c r="D2087" s="21" t="s">
        <v>34</v>
      </c>
      <c r="E2087" s="21" t="s">
        <v>35</v>
      </c>
      <c r="F2087">
        <v>6670115</v>
      </c>
      <c r="G2087" t="s">
        <v>3798</v>
      </c>
      <c r="H2087" s="21">
        <v>1419.17</v>
      </c>
    </row>
    <row r="2088" spans="1:8" customFormat="1" x14ac:dyDescent="0.25">
      <c r="A2088" t="str">
        <f>"9117166"</f>
        <v>9117166</v>
      </c>
      <c r="B2088" t="s">
        <v>2286</v>
      </c>
      <c r="C2088" t="s">
        <v>1132</v>
      </c>
      <c r="D2088" s="21" t="s">
        <v>34</v>
      </c>
      <c r="E2088" s="21" t="s">
        <v>71</v>
      </c>
      <c r="F2088">
        <v>4370349</v>
      </c>
      <c r="G2088" t="s">
        <v>2287</v>
      </c>
      <c r="H2088" s="21">
        <v>1419.17</v>
      </c>
    </row>
    <row r="2089" spans="1:8" customFormat="1" x14ac:dyDescent="0.25">
      <c r="A2089" t="str">
        <f>"6260"</f>
        <v>6260</v>
      </c>
      <c r="B2089" t="s">
        <v>3101</v>
      </c>
      <c r="C2089" t="s">
        <v>1841</v>
      </c>
      <c r="D2089" s="21" t="s">
        <v>34</v>
      </c>
      <c r="E2089" s="21" t="s">
        <v>1089</v>
      </c>
      <c r="F2089">
        <v>7590044</v>
      </c>
      <c r="G2089" t="s">
        <v>2029</v>
      </c>
      <c r="H2089" s="21">
        <v>1419.05</v>
      </c>
    </row>
    <row r="2090" spans="1:8" customFormat="1" x14ac:dyDescent="0.25">
      <c r="A2090" t="str">
        <f>"5714930"</f>
        <v>5714930</v>
      </c>
      <c r="B2090" t="s">
        <v>2585</v>
      </c>
      <c r="C2090" t="s">
        <v>455</v>
      </c>
      <c r="D2090" s="21" t="s">
        <v>34</v>
      </c>
      <c r="E2090" s="21" t="s">
        <v>35</v>
      </c>
      <c r="F2090">
        <v>6570177</v>
      </c>
      <c r="G2090" t="s">
        <v>2586</v>
      </c>
      <c r="H2090" s="21">
        <v>1418.67</v>
      </c>
    </row>
    <row r="2091" spans="1:8" customFormat="1" x14ac:dyDescent="0.25">
      <c r="A2091" t="str">
        <f>"1067"</f>
        <v>1067</v>
      </c>
      <c r="B2091" t="s">
        <v>3241</v>
      </c>
      <c r="C2091" t="s">
        <v>40</v>
      </c>
      <c r="D2091" s="21" t="s">
        <v>34</v>
      </c>
      <c r="E2091" s="21" t="s">
        <v>71</v>
      </c>
      <c r="F2091">
        <v>6100002</v>
      </c>
      <c r="G2091" t="s">
        <v>1602</v>
      </c>
      <c r="H2091" s="21">
        <v>1418.67</v>
      </c>
    </row>
    <row r="2092" spans="1:8" customFormat="1" x14ac:dyDescent="0.25">
      <c r="A2092" t="str">
        <f>"9310959"</f>
        <v>9310959</v>
      </c>
      <c r="B2092" t="s">
        <v>2441</v>
      </c>
      <c r="C2092" t="s">
        <v>43</v>
      </c>
      <c r="D2092" s="21" t="s">
        <v>34</v>
      </c>
      <c r="E2092" s="21" t="s">
        <v>35</v>
      </c>
      <c r="F2092">
        <v>13040030</v>
      </c>
      <c r="G2092" t="s">
        <v>1903</v>
      </c>
      <c r="H2092" s="21">
        <v>1418.67</v>
      </c>
    </row>
    <row r="2093" spans="1:8" customFormat="1" x14ac:dyDescent="0.25">
      <c r="A2093" t="str">
        <f>"042486"</f>
        <v>042486</v>
      </c>
      <c r="B2093" t="s">
        <v>1902</v>
      </c>
      <c r="C2093" t="s">
        <v>239</v>
      </c>
      <c r="D2093" s="21" t="s">
        <v>34</v>
      </c>
      <c r="E2093" s="21" t="s">
        <v>35</v>
      </c>
      <c r="F2093">
        <v>13130146</v>
      </c>
      <c r="G2093" t="s">
        <v>2471</v>
      </c>
      <c r="H2093" s="21">
        <v>1418.67</v>
      </c>
    </row>
    <row r="2094" spans="1:8" customFormat="1" x14ac:dyDescent="0.25">
      <c r="A2094" t="str">
        <f>"7835225"</f>
        <v>7835225</v>
      </c>
      <c r="B2094" t="s">
        <v>1990</v>
      </c>
      <c r="C2094" t="s">
        <v>926</v>
      </c>
      <c r="D2094" s="21" t="s">
        <v>34</v>
      </c>
      <c r="E2094" s="21" t="s">
        <v>71</v>
      </c>
      <c r="F2094">
        <v>8780935</v>
      </c>
      <c r="G2094" t="s">
        <v>1944</v>
      </c>
      <c r="H2094" s="21">
        <v>1418.56</v>
      </c>
    </row>
    <row r="2095" spans="1:8" customFormat="1" x14ac:dyDescent="0.25">
      <c r="A2095" t="str">
        <f>"084882"</f>
        <v>084882</v>
      </c>
      <c r="B2095" t="s">
        <v>3474</v>
      </c>
      <c r="C2095" t="s">
        <v>3475</v>
      </c>
      <c r="D2095" s="21" t="s">
        <v>34</v>
      </c>
      <c r="E2095" s="21" t="s">
        <v>71</v>
      </c>
      <c r="F2095">
        <v>6080035</v>
      </c>
      <c r="G2095" t="s">
        <v>583</v>
      </c>
      <c r="H2095" s="21">
        <v>1418.42</v>
      </c>
    </row>
    <row r="2096" spans="1:8" customFormat="1" x14ac:dyDescent="0.25">
      <c r="A2096" t="str">
        <f>"422398"</f>
        <v>422398</v>
      </c>
      <c r="B2096" t="s">
        <v>2254</v>
      </c>
      <c r="C2096" t="s">
        <v>2255</v>
      </c>
      <c r="D2096" s="21" t="s">
        <v>34</v>
      </c>
      <c r="E2096" s="21" t="s">
        <v>35</v>
      </c>
      <c r="F2096">
        <v>1420048</v>
      </c>
      <c r="G2096" t="s">
        <v>745</v>
      </c>
      <c r="H2096" s="21">
        <v>1418.29</v>
      </c>
    </row>
    <row r="2097" spans="1:8" customFormat="1" x14ac:dyDescent="0.25">
      <c r="A2097" t="str">
        <f>"7515574"</f>
        <v>7515574</v>
      </c>
      <c r="B2097" t="s">
        <v>2757</v>
      </c>
      <c r="C2097" t="s">
        <v>285</v>
      </c>
      <c r="D2097" s="21" t="s">
        <v>34</v>
      </c>
      <c r="E2097" s="21" t="s">
        <v>35</v>
      </c>
      <c r="F2097">
        <v>8910881</v>
      </c>
      <c r="G2097" t="s">
        <v>1300</v>
      </c>
      <c r="H2097" s="21">
        <v>1418.18</v>
      </c>
    </row>
    <row r="2098" spans="1:8" customFormat="1" x14ac:dyDescent="0.25">
      <c r="A2098" t="str">
        <f>"6916807"</f>
        <v>6916807</v>
      </c>
      <c r="B2098" t="s">
        <v>3222</v>
      </c>
      <c r="C2098" t="s">
        <v>124</v>
      </c>
      <c r="D2098" s="21" t="s">
        <v>34</v>
      </c>
      <c r="E2098" s="21" t="s">
        <v>35</v>
      </c>
      <c r="F2098">
        <v>1690109</v>
      </c>
      <c r="G2098" t="s">
        <v>3028</v>
      </c>
      <c r="H2098" s="21">
        <v>1418.17</v>
      </c>
    </row>
    <row r="2099" spans="1:8" customFormat="1" x14ac:dyDescent="0.25">
      <c r="A2099" t="str">
        <f>"193756"</f>
        <v>193756</v>
      </c>
      <c r="B2099" t="s">
        <v>2364</v>
      </c>
      <c r="C2099" t="s">
        <v>2365</v>
      </c>
      <c r="D2099" s="21" t="s">
        <v>34</v>
      </c>
      <c r="E2099" s="21" t="s">
        <v>71</v>
      </c>
      <c r="F2099">
        <v>10190073</v>
      </c>
      <c r="G2099" t="s">
        <v>2366</v>
      </c>
      <c r="H2099" s="21">
        <v>1417.92</v>
      </c>
    </row>
    <row r="2100" spans="1:8" customFormat="1" x14ac:dyDescent="0.25">
      <c r="A2100" t="str">
        <f>"393830"</f>
        <v>393830</v>
      </c>
      <c r="B2100" t="s">
        <v>26697</v>
      </c>
      <c r="C2100" t="s">
        <v>544</v>
      </c>
      <c r="D2100" s="21" t="s">
        <v>34</v>
      </c>
      <c r="E2100" s="21" t="s">
        <v>35</v>
      </c>
      <c r="F2100">
        <v>1740038</v>
      </c>
      <c r="G2100" t="s">
        <v>26517</v>
      </c>
      <c r="H2100" s="21">
        <v>1417.67</v>
      </c>
    </row>
    <row r="2101" spans="1:8" customFormat="1" x14ac:dyDescent="0.25">
      <c r="A2101" t="str">
        <f>"625051"</f>
        <v>625051</v>
      </c>
      <c r="B2101" t="s">
        <v>2890</v>
      </c>
      <c r="C2101" t="s">
        <v>109</v>
      </c>
      <c r="D2101" s="21" t="s">
        <v>34</v>
      </c>
      <c r="E2101" s="21" t="s">
        <v>35</v>
      </c>
      <c r="F2101">
        <v>7620005</v>
      </c>
      <c r="G2101" t="s">
        <v>200</v>
      </c>
      <c r="H2101" s="21">
        <v>1417.17</v>
      </c>
    </row>
    <row r="2102" spans="1:8" customFormat="1" x14ac:dyDescent="0.25">
      <c r="A2102" t="str">
        <f>"865449"</f>
        <v>865449</v>
      </c>
      <c r="B2102" t="s">
        <v>3209</v>
      </c>
      <c r="C2102" t="s">
        <v>249</v>
      </c>
      <c r="D2102" s="21" t="s">
        <v>34</v>
      </c>
      <c r="E2102" s="21" t="s">
        <v>35</v>
      </c>
      <c r="F2102">
        <v>12530060</v>
      </c>
      <c r="G2102" t="s">
        <v>1356</v>
      </c>
      <c r="H2102" s="21">
        <v>1416.92</v>
      </c>
    </row>
    <row r="2103" spans="1:8" customFormat="1" x14ac:dyDescent="0.25">
      <c r="A2103" t="str">
        <f>"795515"</f>
        <v>795515</v>
      </c>
      <c r="B2103" t="s">
        <v>3370</v>
      </c>
      <c r="C2103" t="s">
        <v>119</v>
      </c>
      <c r="D2103" s="21" t="s">
        <v>34</v>
      </c>
      <c r="E2103" s="21" t="s">
        <v>35</v>
      </c>
      <c r="F2103">
        <v>12850093</v>
      </c>
      <c r="G2103" t="s">
        <v>3371</v>
      </c>
      <c r="H2103" s="21">
        <v>1416.67</v>
      </c>
    </row>
    <row r="2104" spans="1:8" customFormat="1" x14ac:dyDescent="0.25">
      <c r="A2104" t="str">
        <f>"7719133"</f>
        <v>7719133</v>
      </c>
      <c r="B2104" t="s">
        <v>3061</v>
      </c>
      <c r="C2104" t="s">
        <v>381</v>
      </c>
      <c r="D2104" s="21" t="s">
        <v>34</v>
      </c>
      <c r="E2104" s="21" t="s">
        <v>35</v>
      </c>
      <c r="F2104">
        <v>8770489</v>
      </c>
      <c r="G2104" t="s">
        <v>1763</v>
      </c>
      <c r="H2104" s="21">
        <v>1416.67</v>
      </c>
    </row>
    <row r="2105" spans="1:8" customFormat="1" x14ac:dyDescent="0.25">
      <c r="A2105" t="str">
        <f>"023492"</f>
        <v>023492</v>
      </c>
      <c r="B2105" t="s">
        <v>2784</v>
      </c>
      <c r="C2105" t="s">
        <v>1025</v>
      </c>
      <c r="D2105" s="21" t="s">
        <v>34</v>
      </c>
      <c r="E2105" s="21" t="s">
        <v>35</v>
      </c>
      <c r="F2105">
        <v>7020040</v>
      </c>
      <c r="G2105" t="s">
        <v>1698</v>
      </c>
      <c r="H2105" s="21">
        <v>1416.5</v>
      </c>
    </row>
    <row r="2106" spans="1:8" customFormat="1" x14ac:dyDescent="0.25">
      <c r="A2106" t="str">
        <f>"753896"</f>
        <v>753896</v>
      </c>
      <c r="B2106" t="s">
        <v>2720</v>
      </c>
      <c r="C2106" t="s">
        <v>2721</v>
      </c>
      <c r="D2106" s="21" t="s">
        <v>34</v>
      </c>
      <c r="E2106" s="21" t="s">
        <v>35</v>
      </c>
      <c r="F2106">
        <v>8751061</v>
      </c>
      <c r="G2106" t="s">
        <v>26628</v>
      </c>
      <c r="H2106" s="21">
        <v>1416.3</v>
      </c>
    </row>
    <row r="2107" spans="1:8" customFormat="1" x14ac:dyDescent="0.25">
      <c r="A2107" t="str">
        <f>"2924151"</f>
        <v>2924151</v>
      </c>
      <c r="B2107" t="s">
        <v>3029</v>
      </c>
      <c r="C2107" t="s">
        <v>169</v>
      </c>
      <c r="D2107" s="21" t="s">
        <v>34</v>
      </c>
      <c r="E2107" s="21" t="s">
        <v>35</v>
      </c>
      <c r="F2107">
        <v>3290285</v>
      </c>
      <c r="G2107" t="s">
        <v>2234</v>
      </c>
      <c r="H2107" s="21">
        <v>1416.17</v>
      </c>
    </row>
    <row r="2108" spans="1:8" customFormat="1" x14ac:dyDescent="0.25">
      <c r="A2108" t="str">
        <f>"60873"</f>
        <v>60873</v>
      </c>
      <c r="B2108" t="s">
        <v>108</v>
      </c>
      <c r="C2108" t="s">
        <v>547</v>
      </c>
      <c r="D2108" s="21" t="s">
        <v>34</v>
      </c>
      <c r="E2108" s="21" t="s">
        <v>71</v>
      </c>
      <c r="F2108">
        <v>7600069</v>
      </c>
      <c r="G2108" t="s">
        <v>195</v>
      </c>
      <c r="H2108" s="21">
        <v>1416.05</v>
      </c>
    </row>
    <row r="2109" spans="1:8" customFormat="1" x14ac:dyDescent="0.25">
      <c r="A2109" t="str">
        <f>"2918893"</f>
        <v>2918893</v>
      </c>
      <c r="B2109" t="s">
        <v>3382</v>
      </c>
      <c r="C2109" t="s">
        <v>2322</v>
      </c>
      <c r="D2109" s="21" t="s">
        <v>34</v>
      </c>
      <c r="E2109" s="21" t="s">
        <v>35</v>
      </c>
      <c r="F2109">
        <v>11310126</v>
      </c>
      <c r="G2109" t="s">
        <v>3383</v>
      </c>
      <c r="H2109" s="21">
        <v>1415.67</v>
      </c>
    </row>
    <row r="2110" spans="1:8" customFormat="1" x14ac:dyDescent="0.25">
      <c r="A2110" t="str">
        <f>"777950"</f>
        <v>777950</v>
      </c>
      <c r="B2110" t="s">
        <v>2944</v>
      </c>
      <c r="C2110" t="s">
        <v>462</v>
      </c>
      <c r="D2110" s="21" t="s">
        <v>34</v>
      </c>
      <c r="E2110" s="21" t="s">
        <v>71</v>
      </c>
      <c r="F2110">
        <v>4280202</v>
      </c>
      <c r="G2110" t="s">
        <v>2945</v>
      </c>
      <c r="H2110" s="21">
        <v>1415.67</v>
      </c>
    </row>
    <row r="2111" spans="1:8" customFormat="1" x14ac:dyDescent="0.25">
      <c r="A2111" t="str">
        <f>"68837"</f>
        <v>68837</v>
      </c>
      <c r="B2111" t="s">
        <v>1790</v>
      </c>
      <c r="C2111" t="s">
        <v>328</v>
      </c>
      <c r="D2111" s="21" t="s">
        <v>34</v>
      </c>
      <c r="E2111" s="21" t="s">
        <v>254</v>
      </c>
      <c r="F2111">
        <v>6680082</v>
      </c>
      <c r="G2111" t="s">
        <v>289</v>
      </c>
      <c r="H2111" s="21">
        <v>1415.67</v>
      </c>
    </row>
    <row r="2112" spans="1:8" customFormat="1" x14ac:dyDescent="0.25">
      <c r="A2112" t="str">
        <f>"9533772"</f>
        <v>9533772</v>
      </c>
      <c r="B2112" t="s">
        <v>3157</v>
      </c>
      <c r="C2112" t="s">
        <v>114</v>
      </c>
      <c r="D2112" s="21" t="s">
        <v>34</v>
      </c>
      <c r="E2112" s="21" t="s">
        <v>254</v>
      </c>
      <c r="F2112">
        <v>8950978</v>
      </c>
      <c r="G2112" t="s">
        <v>1164</v>
      </c>
      <c r="H2112" s="21">
        <v>1415.67</v>
      </c>
    </row>
    <row r="2113" spans="1:8" customFormat="1" x14ac:dyDescent="0.25">
      <c r="A2113" t="str">
        <f>"74329"</f>
        <v>74329</v>
      </c>
      <c r="B2113" t="s">
        <v>2621</v>
      </c>
      <c r="C2113" t="s">
        <v>87</v>
      </c>
      <c r="D2113" s="21" t="s">
        <v>34</v>
      </c>
      <c r="E2113" s="21" t="s">
        <v>71</v>
      </c>
      <c r="F2113">
        <v>1740038</v>
      </c>
      <c r="G2113" t="s">
        <v>26517</v>
      </c>
      <c r="H2113" s="21">
        <v>1415.67</v>
      </c>
    </row>
    <row r="2114" spans="1:8" customFormat="1" x14ac:dyDescent="0.25">
      <c r="A2114" t="str">
        <f>"8513823"</f>
        <v>8513823</v>
      </c>
      <c r="B2114" t="s">
        <v>2764</v>
      </c>
      <c r="C2114" t="s">
        <v>244</v>
      </c>
      <c r="D2114" s="21" t="s">
        <v>34</v>
      </c>
      <c r="E2114" s="21" t="s">
        <v>71</v>
      </c>
      <c r="F2114">
        <v>12850069</v>
      </c>
      <c r="G2114" t="s">
        <v>2154</v>
      </c>
      <c r="H2114" s="21">
        <v>1415.3</v>
      </c>
    </row>
    <row r="2115" spans="1:8" customFormat="1" x14ac:dyDescent="0.25">
      <c r="A2115" t="str">
        <f>"597822"</f>
        <v>597822</v>
      </c>
      <c r="B2115" t="s">
        <v>26698</v>
      </c>
      <c r="C2115" t="s">
        <v>263</v>
      </c>
      <c r="D2115" s="21" t="s">
        <v>34</v>
      </c>
      <c r="E2115" s="21" t="s">
        <v>35</v>
      </c>
      <c r="F2115">
        <v>7590112</v>
      </c>
      <c r="G2115" t="s">
        <v>3534</v>
      </c>
      <c r="H2115" s="21">
        <v>1415.17</v>
      </c>
    </row>
    <row r="2116" spans="1:8" customFormat="1" x14ac:dyDescent="0.25">
      <c r="A2116" t="str">
        <f>"0210277"</f>
        <v>0210277</v>
      </c>
      <c r="B2116" t="s">
        <v>2738</v>
      </c>
      <c r="C2116" t="s">
        <v>119</v>
      </c>
      <c r="D2116" s="21" t="s">
        <v>34</v>
      </c>
      <c r="E2116" s="21" t="s">
        <v>35</v>
      </c>
      <c r="F2116">
        <v>7020062</v>
      </c>
      <c r="G2116" t="s">
        <v>1505</v>
      </c>
      <c r="H2116" s="21">
        <v>1415.17</v>
      </c>
    </row>
    <row r="2117" spans="1:8" customFormat="1" x14ac:dyDescent="0.25">
      <c r="A2117" t="str">
        <f>"593448"</f>
        <v>593448</v>
      </c>
      <c r="B2117" t="s">
        <v>1333</v>
      </c>
      <c r="C2117" t="s">
        <v>302</v>
      </c>
      <c r="D2117" s="21" t="s">
        <v>34</v>
      </c>
      <c r="E2117" s="21" t="s">
        <v>254</v>
      </c>
      <c r="F2117">
        <v>7590053</v>
      </c>
      <c r="G2117" t="s">
        <v>2825</v>
      </c>
      <c r="H2117" s="21">
        <v>1415.17</v>
      </c>
    </row>
    <row r="2118" spans="1:8" customFormat="1" x14ac:dyDescent="0.25">
      <c r="A2118" t="str">
        <f>"8010942"</f>
        <v>8010942</v>
      </c>
      <c r="B2118" t="s">
        <v>4044</v>
      </c>
      <c r="C2118" t="s">
        <v>1946</v>
      </c>
      <c r="D2118" s="21" t="s">
        <v>34</v>
      </c>
      <c r="E2118" s="21" t="s">
        <v>35</v>
      </c>
      <c r="F2118">
        <v>7620024</v>
      </c>
      <c r="G2118" t="s">
        <v>2975</v>
      </c>
      <c r="H2118" s="21">
        <v>1415.04</v>
      </c>
    </row>
    <row r="2119" spans="1:8" customFormat="1" x14ac:dyDescent="0.25">
      <c r="A2119" t="str">
        <f>"881877"</f>
        <v>881877</v>
      </c>
      <c r="B2119" t="s">
        <v>2936</v>
      </c>
      <c r="C2119" t="s">
        <v>879</v>
      </c>
      <c r="D2119" s="21" t="s">
        <v>34</v>
      </c>
      <c r="E2119" s="21" t="s">
        <v>71</v>
      </c>
      <c r="F2119">
        <v>6880060</v>
      </c>
      <c r="G2119" t="s">
        <v>2937</v>
      </c>
      <c r="H2119" s="21">
        <v>1414.92</v>
      </c>
    </row>
    <row r="2120" spans="1:8" customFormat="1" x14ac:dyDescent="0.25">
      <c r="A2120" t="str">
        <f>"7510917"</f>
        <v>7510917</v>
      </c>
      <c r="B2120" t="s">
        <v>3773</v>
      </c>
      <c r="C2120" t="s">
        <v>109</v>
      </c>
      <c r="D2120" s="21" t="s">
        <v>34</v>
      </c>
      <c r="E2120" s="21" t="s">
        <v>35</v>
      </c>
      <c r="F2120">
        <v>8940577</v>
      </c>
      <c r="G2120" t="s">
        <v>3774</v>
      </c>
      <c r="H2120" s="21">
        <v>1414.67</v>
      </c>
    </row>
    <row r="2121" spans="1:8" customFormat="1" x14ac:dyDescent="0.25">
      <c r="A2121" t="str">
        <f>"4920131"</f>
        <v>4920131</v>
      </c>
      <c r="B2121" t="s">
        <v>2425</v>
      </c>
      <c r="C2121" t="s">
        <v>55</v>
      </c>
      <c r="D2121" s="21" t="s">
        <v>34</v>
      </c>
      <c r="E2121" s="21" t="s">
        <v>35</v>
      </c>
      <c r="F2121">
        <v>12490038</v>
      </c>
      <c r="G2121" t="s">
        <v>467</v>
      </c>
      <c r="H2121" s="21">
        <v>1414.67</v>
      </c>
    </row>
    <row r="2122" spans="1:8" customFormat="1" x14ac:dyDescent="0.25">
      <c r="A2122" t="str">
        <f>"9418303"</f>
        <v>9418303</v>
      </c>
      <c r="B2122" t="s">
        <v>2905</v>
      </c>
      <c r="C2122" t="s">
        <v>209</v>
      </c>
      <c r="D2122" s="21" t="s">
        <v>34</v>
      </c>
      <c r="E2122" s="21" t="s">
        <v>35</v>
      </c>
      <c r="F2122">
        <v>4370002</v>
      </c>
      <c r="G2122" t="s">
        <v>112</v>
      </c>
      <c r="H2122" s="21">
        <v>1414.67</v>
      </c>
    </row>
    <row r="2123" spans="1:8" customFormat="1" x14ac:dyDescent="0.25">
      <c r="A2123" t="str">
        <f>"852461"</f>
        <v>852461</v>
      </c>
      <c r="B2123" t="s">
        <v>185</v>
      </c>
      <c r="C2123" t="s">
        <v>139</v>
      </c>
      <c r="D2123" s="21" t="s">
        <v>34</v>
      </c>
      <c r="E2123" s="21" t="s">
        <v>35</v>
      </c>
      <c r="F2123">
        <v>12440139</v>
      </c>
      <c r="G2123" t="s">
        <v>2655</v>
      </c>
      <c r="H2123" s="21">
        <v>1414.67</v>
      </c>
    </row>
    <row r="2124" spans="1:8" customFormat="1" x14ac:dyDescent="0.25">
      <c r="A2124" t="str">
        <f>"282123"</f>
        <v>282123</v>
      </c>
      <c r="B2124" t="s">
        <v>3068</v>
      </c>
      <c r="C2124" t="s">
        <v>598</v>
      </c>
      <c r="D2124" s="21" t="s">
        <v>34</v>
      </c>
      <c r="E2124" s="21" t="s">
        <v>71</v>
      </c>
      <c r="F2124">
        <v>4280681</v>
      </c>
      <c r="G2124" t="s">
        <v>1656</v>
      </c>
      <c r="H2124" s="21">
        <v>1414.55</v>
      </c>
    </row>
    <row r="2125" spans="1:8" customFormat="1" x14ac:dyDescent="0.25">
      <c r="A2125" t="str">
        <f>"9110989"</f>
        <v>9110989</v>
      </c>
      <c r="B2125" t="s">
        <v>2395</v>
      </c>
      <c r="C2125" t="s">
        <v>209</v>
      </c>
      <c r="D2125" s="21" t="s">
        <v>34</v>
      </c>
      <c r="E2125" s="21" t="s">
        <v>35</v>
      </c>
      <c r="F2125">
        <v>8911285</v>
      </c>
      <c r="G2125" t="s">
        <v>2396</v>
      </c>
      <c r="H2125" s="21">
        <v>1414.42</v>
      </c>
    </row>
    <row r="2126" spans="1:8" customFormat="1" x14ac:dyDescent="0.25">
      <c r="A2126" t="str">
        <f>"7512633"</f>
        <v>7512633</v>
      </c>
      <c r="B2126" t="s">
        <v>2855</v>
      </c>
      <c r="C2126" t="s">
        <v>233</v>
      </c>
      <c r="D2126" s="21" t="s">
        <v>34</v>
      </c>
      <c r="E2126" s="21" t="s">
        <v>71</v>
      </c>
      <c r="F2126">
        <v>8940549</v>
      </c>
      <c r="G2126" t="s">
        <v>454</v>
      </c>
      <c r="H2126" s="21">
        <v>1414.17</v>
      </c>
    </row>
    <row r="2127" spans="1:8" customFormat="1" x14ac:dyDescent="0.25">
      <c r="A2127" t="str">
        <f>"067355"</f>
        <v>067355</v>
      </c>
      <c r="B2127" t="s">
        <v>3096</v>
      </c>
      <c r="C2127" t="s">
        <v>462</v>
      </c>
      <c r="D2127" s="21" t="s">
        <v>34</v>
      </c>
      <c r="E2127" s="21" t="s">
        <v>71</v>
      </c>
      <c r="F2127">
        <v>6550007</v>
      </c>
      <c r="G2127" t="s">
        <v>1688</v>
      </c>
      <c r="H2127" s="21">
        <v>1413.67</v>
      </c>
    </row>
    <row r="2128" spans="1:8" customFormat="1" x14ac:dyDescent="0.25">
      <c r="A2128" t="str">
        <f>"183512"</f>
        <v>183512</v>
      </c>
      <c r="B2128" t="s">
        <v>697</v>
      </c>
      <c r="C2128" t="s">
        <v>656</v>
      </c>
      <c r="D2128" s="21" t="s">
        <v>34</v>
      </c>
      <c r="E2128" s="21" t="s">
        <v>35</v>
      </c>
      <c r="F2128">
        <v>4180530</v>
      </c>
      <c r="G2128" t="s">
        <v>3622</v>
      </c>
      <c r="H2128" s="21">
        <v>1413.67</v>
      </c>
    </row>
    <row r="2129" spans="1:8" customFormat="1" x14ac:dyDescent="0.25">
      <c r="A2129" t="str">
        <f>"066168"</f>
        <v>066168</v>
      </c>
      <c r="B2129" t="s">
        <v>3143</v>
      </c>
      <c r="C2129" t="s">
        <v>109</v>
      </c>
      <c r="D2129" s="21" t="s">
        <v>34</v>
      </c>
      <c r="E2129" s="21" t="s">
        <v>71</v>
      </c>
      <c r="F2129">
        <v>13060090</v>
      </c>
      <c r="G2129" t="s">
        <v>1363</v>
      </c>
      <c r="H2129" s="21">
        <v>1413.55</v>
      </c>
    </row>
    <row r="2130" spans="1:8" customFormat="1" x14ac:dyDescent="0.25">
      <c r="A2130" t="str">
        <f>"482935"</f>
        <v>482935</v>
      </c>
      <c r="B2130" t="s">
        <v>3316</v>
      </c>
      <c r="C2130" t="s">
        <v>139</v>
      </c>
      <c r="D2130" s="21" t="s">
        <v>34</v>
      </c>
      <c r="E2130" s="21" t="s">
        <v>71</v>
      </c>
      <c r="F2130">
        <v>11480006</v>
      </c>
      <c r="G2130" t="s">
        <v>3317</v>
      </c>
      <c r="H2130" s="21">
        <v>1413.42</v>
      </c>
    </row>
    <row r="2131" spans="1:8" customFormat="1" x14ac:dyDescent="0.25">
      <c r="A2131" t="str">
        <f>"6919712"</f>
        <v>6919712</v>
      </c>
      <c r="B2131" t="s">
        <v>3646</v>
      </c>
      <c r="C2131" t="s">
        <v>124</v>
      </c>
      <c r="D2131" s="21" t="s">
        <v>34</v>
      </c>
      <c r="E2131" s="21" t="s">
        <v>35</v>
      </c>
      <c r="F2131">
        <v>1690186</v>
      </c>
      <c r="G2131" t="s">
        <v>438</v>
      </c>
      <c r="H2131" s="21">
        <v>1413.17</v>
      </c>
    </row>
    <row r="2132" spans="1:8" customFormat="1" x14ac:dyDescent="0.25">
      <c r="A2132" t="str">
        <f>"766225"</f>
        <v>766225</v>
      </c>
      <c r="B2132" t="s">
        <v>24386</v>
      </c>
      <c r="C2132" t="s">
        <v>328</v>
      </c>
      <c r="D2132" s="21" t="s">
        <v>34</v>
      </c>
      <c r="E2132" s="21" t="s">
        <v>35</v>
      </c>
      <c r="F2132">
        <v>9760414</v>
      </c>
      <c r="G2132" t="s">
        <v>142</v>
      </c>
      <c r="H2132" s="21">
        <v>1413.17</v>
      </c>
    </row>
    <row r="2133" spans="1:8" customFormat="1" x14ac:dyDescent="0.25">
      <c r="A2133" t="str">
        <f>"9125142"</f>
        <v>9125142</v>
      </c>
      <c r="B2133" t="s">
        <v>2499</v>
      </c>
      <c r="C2133" t="s">
        <v>1946</v>
      </c>
      <c r="D2133" s="21" t="s">
        <v>34</v>
      </c>
      <c r="E2133" s="21" t="s">
        <v>71</v>
      </c>
      <c r="F2133">
        <v>8910434</v>
      </c>
      <c r="G2133" t="s">
        <v>681</v>
      </c>
      <c r="H2133" s="21">
        <v>1413.17</v>
      </c>
    </row>
    <row r="2134" spans="1:8" customFormat="1" x14ac:dyDescent="0.25">
      <c r="A2134" t="str">
        <f>"255309"</f>
        <v>255309</v>
      </c>
      <c r="B2134" t="s">
        <v>3054</v>
      </c>
      <c r="C2134" t="s">
        <v>119</v>
      </c>
      <c r="D2134" s="21" t="s">
        <v>34</v>
      </c>
      <c r="E2134" s="21" t="s">
        <v>71</v>
      </c>
      <c r="F2134">
        <v>2250007</v>
      </c>
      <c r="G2134" t="s">
        <v>1137</v>
      </c>
      <c r="H2134" s="21">
        <v>1413.17</v>
      </c>
    </row>
    <row r="2135" spans="1:8" customFormat="1" x14ac:dyDescent="0.25">
      <c r="A2135" t="str">
        <f>"888464"</f>
        <v>888464</v>
      </c>
      <c r="B2135" t="s">
        <v>26699</v>
      </c>
      <c r="C2135" t="s">
        <v>169</v>
      </c>
      <c r="D2135" s="21" t="s">
        <v>34</v>
      </c>
      <c r="E2135" s="21" t="s">
        <v>35</v>
      </c>
      <c r="F2135">
        <v>6880113</v>
      </c>
      <c r="G2135" t="s">
        <v>11089</v>
      </c>
      <c r="H2135" s="21">
        <v>1413.17</v>
      </c>
    </row>
    <row r="2136" spans="1:8" customFormat="1" x14ac:dyDescent="0.25">
      <c r="A2136" t="str">
        <f>"384997"</f>
        <v>384997</v>
      </c>
      <c r="B2136" t="s">
        <v>3075</v>
      </c>
      <c r="C2136" t="s">
        <v>169</v>
      </c>
      <c r="D2136" s="21" t="s">
        <v>34</v>
      </c>
      <c r="E2136" s="21" t="s">
        <v>35</v>
      </c>
      <c r="F2136">
        <v>1380057</v>
      </c>
      <c r="G2136" t="s">
        <v>26700</v>
      </c>
      <c r="H2136" s="21">
        <v>1413.17</v>
      </c>
    </row>
    <row r="2137" spans="1:8" customFormat="1" x14ac:dyDescent="0.25">
      <c r="A2137" t="str">
        <f>"7615943"</f>
        <v>7615943</v>
      </c>
      <c r="B2137" t="s">
        <v>1593</v>
      </c>
      <c r="C2137" t="s">
        <v>43</v>
      </c>
      <c r="D2137" s="21" t="s">
        <v>34</v>
      </c>
      <c r="E2137" s="21" t="s">
        <v>35</v>
      </c>
      <c r="F2137">
        <v>9760382</v>
      </c>
      <c r="G2137" t="s">
        <v>2737</v>
      </c>
      <c r="H2137" s="21">
        <v>1413.17</v>
      </c>
    </row>
    <row r="2138" spans="1:8" customFormat="1" x14ac:dyDescent="0.25">
      <c r="A2138" t="str">
        <f>"725923"</f>
        <v>725923</v>
      </c>
      <c r="B2138" t="s">
        <v>2854</v>
      </c>
      <c r="C2138" t="s">
        <v>2276</v>
      </c>
      <c r="D2138" s="21" t="s">
        <v>34</v>
      </c>
      <c r="E2138" s="21" t="s">
        <v>71</v>
      </c>
      <c r="F2138">
        <v>12720111</v>
      </c>
      <c r="G2138" t="s">
        <v>3418</v>
      </c>
      <c r="H2138" s="21">
        <v>1413.17</v>
      </c>
    </row>
    <row r="2139" spans="1:8" customFormat="1" x14ac:dyDescent="0.25">
      <c r="A2139" t="str">
        <f>"643076"</f>
        <v>643076</v>
      </c>
      <c r="B2139" t="s">
        <v>2887</v>
      </c>
      <c r="C2139" t="s">
        <v>285</v>
      </c>
      <c r="D2139" s="21" t="s">
        <v>34</v>
      </c>
      <c r="E2139" s="21" t="s">
        <v>35</v>
      </c>
      <c r="F2139">
        <v>1630015</v>
      </c>
      <c r="G2139" t="s">
        <v>2097</v>
      </c>
      <c r="H2139" s="21">
        <v>1412.67</v>
      </c>
    </row>
    <row r="2140" spans="1:8" customFormat="1" x14ac:dyDescent="0.25">
      <c r="A2140" t="str">
        <f>"4427801"</f>
        <v>4427801</v>
      </c>
      <c r="B2140" t="s">
        <v>26701</v>
      </c>
      <c r="C2140" t="s">
        <v>169</v>
      </c>
      <c r="D2140" s="21" t="s">
        <v>34</v>
      </c>
      <c r="E2140" s="21" t="s">
        <v>35</v>
      </c>
      <c r="F2140">
        <v>12440074</v>
      </c>
      <c r="G2140" t="s">
        <v>2436</v>
      </c>
      <c r="H2140" s="21">
        <v>1412.67</v>
      </c>
    </row>
    <row r="2141" spans="1:8" customFormat="1" x14ac:dyDescent="0.25">
      <c r="A2141" t="str">
        <f>"687433"</f>
        <v>687433</v>
      </c>
      <c r="B2141" t="s">
        <v>2898</v>
      </c>
      <c r="C2141" t="s">
        <v>275</v>
      </c>
      <c r="D2141" s="21" t="s">
        <v>34</v>
      </c>
      <c r="E2141" s="21" t="s">
        <v>35</v>
      </c>
      <c r="F2141">
        <v>6680011</v>
      </c>
      <c r="G2141" t="s">
        <v>1524</v>
      </c>
      <c r="H2141" s="21">
        <v>1412.67</v>
      </c>
    </row>
    <row r="2142" spans="1:8" customFormat="1" x14ac:dyDescent="0.25">
      <c r="A2142" t="str">
        <f>"255298"</f>
        <v>255298</v>
      </c>
      <c r="B2142" t="s">
        <v>2351</v>
      </c>
      <c r="C2142" t="s">
        <v>55</v>
      </c>
      <c r="D2142" s="21" t="s">
        <v>34</v>
      </c>
      <c r="E2142" s="21" t="s">
        <v>71</v>
      </c>
      <c r="F2142">
        <v>2250021</v>
      </c>
      <c r="G2142" t="s">
        <v>2352</v>
      </c>
      <c r="H2142" s="21">
        <v>1412.67</v>
      </c>
    </row>
    <row r="2143" spans="1:8" customFormat="1" x14ac:dyDescent="0.25">
      <c r="A2143" t="str">
        <f>"9125187"</f>
        <v>9125187</v>
      </c>
      <c r="B2143" t="s">
        <v>2799</v>
      </c>
      <c r="C2143" t="s">
        <v>328</v>
      </c>
      <c r="D2143" s="21" t="s">
        <v>34</v>
      </c>
      <c r="E2143" s="21" t="s">
        <v>35</v>
      </c>
      <c r="F2143">
        <v>8920312</v>
      </c>
      <c r="G2143" t="s">
        <v>1026</v>
      </c>
      <c r="H2143" s="21">
        <v>1412.3</v>
      </c>
    </row>
    <row r="2144" spans="1:8" customFormat="1" x14ac:dyDescent="0.25">
      <c r="A2144" t="str">
        <f>"75140"</f>
        <v>75140</v>
      </c>
      <c r="B2144" t="s">
        <v>3211</v>
      </c>
      <c r="C2144" t="s">
        <v>87</v>
      </c>
      <c r="D2144" s="21" t="s">
        <v>34</v>
      </c>
      <c r="E2144" s="21" t="s">
        <v>71</v>
      </c>
      <c r="F2144">
        <v>8750007</v>
      </c>
      <c r="G2144" t="s">
        <v>775</v>
      </c>
      <c r="H2144" s="21">
        <v>1412.17</v>
      </c>
    </row>
    <row r="2145" spans="1:8" customFormat="1" x14ac:dyDescent="0.25">
      <c r="A2145" t="str">
        <f>"067276"</f>
        <v>067276</v>
      </c>
      <c r="B2145" t="s">
        <v>2916</v>
      </c>
      <c r="C2145" t="s">
        <v>2917</v>
      </c>
      <c r="D2145" s="21" t="s">
        <v>34</v>
      </c>
      <c r="E2145" s="21" t="s">
        <v>35</v>
      </c>
      <c r="F2145">
        <v>13060102</v>
      </c>
      <c r="G2145" t="s">
        <v>2918</v>
      </c>
      <c r="H2145" s="21">
        <v>1412.17</v>
      </c>
    </row>
    <row r="2146" spans="1:8" customFormat="1" x14ac:dyDescent="0.25">
      <c r="A2146" t="str">
        <f>"63374"</f>
        <v>63374</v>
      </c>
      <c r="B2146" t="s">
        <v>2485</v>
      </c>
      <c r="C2146" t="s">
        <v>462</v>
      </c>
      <c r="D2146" s="21" t="s">
        <v>34</v>
      </c>
      <c r="E2146" s="21" t="s">
        <v>35</v>
      </c>
      <c r="F2146">
        <v>1630059</v>
      </c>
      <c r="G2146" t="s">
        <v>2486</v>
      </c>
      <c r="H2146" s="21">
        <v>1412.17</v>
      </c>
    </row>
    <row r="2147" spans="1:8" customFormat="1" x14ac:dyDescent="0.25">
      <c r="A2147" t="str">
        <f>"721677"</f>
        <v>721677</v>
      </c>
      <c r="B2147" t="s">
        <v>2405</v>
      </c>
      <c r="C2147" t="s">
        <v>244</v>
      </c>
      <c r="D2147" s="21" t="s">
        <v>34</v>
      </c>
      <c r="E2147" s="21" t="s">
        <v>35</v>
      </c>
      <c r="F2147">
        <v>12720104</v>
      </c>
      <c r="G2147" t="s">
        <v>224</v>
      </c>
      <c r="H2147" s="21">
        <v>1411.92</v>
      </c>
    </row>
    <row r="2148" spans="1:8" customFormat="1" x14ac:dyDescent="0.25">
      <c r="A2148" t="str">
        <f>"7616579"</f>
        <v>7616579</v>
      </c>
      <c r="B2148" t="s">
        <v>3424</v>
      </c>
      <c r="C2148" t="s">
        <v>60</v>
      </c>
      <c r="D2148" s="21" t="s">
        <v>34</v>
      </c>
      <c r="E2148" s="21" t="s">
        <v>35</v>
      </c>
      <c r="F2148">
        <v>9760382</v>
      </c>
      <c r="G2148" t="s">
        <v>2737</v>
      </c>
      <c r="H2148" s="21">
        <v>1411.67</v>
      </c>
    </row>
    <row r="2149" spans="1:8" customFormat="1" x14ac:dyDescent="0.25">
      <c r="A2149" t="str">
        <f>"929333"</f>
        <v>929333</v>
      </c>
      <c r="B2149" t="s">
        <v>2574</v>
      </c>
      <c r="C2149" t="s">
        <v>1605</v>
      </c>
      <c r="D2149" s="21" t="s">
        <v>34</v>
      </c>
      <c r="E2149" s="21" t="s">
        <v>71</v>
      </c>
      <c r="F2149">
        <v>8780571</v>
      </c>
      <c r="G2149" t="s">
        <v>2336</v>
      </c>
      <c r="H2149" s="21">
        <v>1411.67</v>
      </c>
    </row>
    <row r="2150" spans="1:8" customFormat="1" x14ac:dyDescent="0.25">
      <c r="A2150" t="str">
        <f>"933357"</f>
        <v>933357</v>
      </c>
      <c r="B2150" t="s">
        <v>2938</v>
      </c>
      <c r="C2150" t="s">
        <v>49</v>
      </c>
      <c r="D2150" s="21" t="s">
        <v>34</v>
      </c>
      <c r="E2150" s="21" t="s">
        <v>35</v>
      </c>
      <c r="F2150">
        <v>8930452</v>
      </c>
      <c r="G2150" t="s">
        <v>83</v>
      </c>
      <c r="H2150" s="21">
        <v>1411.67</v>
      </c>
    </row>
    <row r="2151" spans="1:8" customFormat="1" x14ac:dyDescent="0.25">
      <c r="A2151" t="str">
        <f>"5110778"</f>
        <v>5110778</v>
      </c>
      <c r="B2151" t="s">
        <v>2901</v>
      </c>
      <c r="C2151" t="s">
        <v>269</v>
      </c>
      <c r="D2151" s="21" t="s">
        <v>34</v>
      </c>
      <c r="E2151" s="21" t="s">
        <v>35</v>
      </c>
      <c r="F2151">
        <v>6510036</v>
      </c>
      <c r="G2151" t="s">
        <v>2902</v>
      </c>
      <c r="H2151" s="21">
        <v>1411.67</v>
      </c>
    </row>
    <row r="2152" spans="1:8" customFormat="1" x14ac:dyDescent="0.25">
      <c r="A2152" t="str">
        <f>"597662"</f>
        <v>597662</v>
      </c>
      <c r="B2152" t="s">
        <v>197</v>
      </c>
      <c r="C2152" t="s">
        <v>269</v>
      </c>
      <c r="D2152" s="21" t="s">
        <v>34</v>
      </c>
      <c r="E2152" s="21" t="s">
        <v>35</v>
      </c>
      <c r="F2152">
        <v>2390082</v>
      </c>
      <c r="G2152" t="s">
        <v>3343</v>
      </c>
      <c r="H2152" s="21">
        <v>1411.67</v>
      </c>
    </row>
    <row r="2153" spans="1:8" customFormat="1" x14ac:dyDescent="0.25">
      <c r="A2153" t="str">
        <f>"746246"</f>
        <v>746246</v>
      </c>
      <c r="B2153" t="s">
        <v>2723</v>
      </c>
      <c r="C2153" t="s">
        <v>926</v>
      </c>
      <c r="D2153" s="21" t="s">
        <v>34</v>
      </c>
      <c r="E2153" s="21" t="s">
        <v>254</v>
      </c>
      <c r="F2153" t="s">
        <v>1477</v>
      </c>
      <c r="G2153" t="s">
        <v>1478</v>
      </c>
      <c r="H2153" s="21">
        <v>1411.67</v>
      </c>
    </row>
    <row r="2154" spans="1:8" customFormat="1" x14ac:dyDescent="0.25">
      <c r="A2154" t="str">
        <f>"4419619"</f>
        <v>4419619</v>
      </c>
      <c r="B2154" t="s">
        <v>2897</v>
      </c>
      <c r="C2154" t="s">
        <v>484</v>
      </c>
      <c r="D2154" s="21" t="s">
        <v>34</v>
      </c>
      <c r="E2154" s="21" t="s">
        <v>35</v>
      </c>
      <c r="F2154">
        <v>12440259</v>
      </c>
      <c r="G2154" t="s">
        <v>833</v>
      </c>
      <c r="H2154" s="21">
        <v>1411.42</v>
      </c>
    </row>
    <row r="2155" spans="1:8" customFormat="1" x14ac:dyDescent="0.25">
      <c r="A2155" t="str">
        <f>"1412122"</f>
        <v>1412122</v>
      </c>
      <c r="B2155" t="s">
        <v>2797</v>
      </c>
      <c r="C2155" t="s">
        <v>469</v>
      </c>
      <c r="D2155" s="21" t="s">
        <v>34</v>
      </c>
      <c r="E2155" s="21" t="s">
        <v>35</v>
      </c>
      <c r="F2155">
        <v>9140128</v>
      </c>
      <c r="G2155" t="s">
        <v>2798</v>
      </c>
      <c r="H2155" s="21">
        <v>1410.67</v>
      </c>
    </row>
    <row r="2156" spans="1:8" customFormat="1" x14ac:dyDescent="0.25">
      <c r="A2156" t="str">
        <f>"5932082"</f>
        <v>5932082</v>
      </c>
      <c r="B2156" t="s">
        <v>3759</v>
      </c>
      <c r="C2156" t="s">
        <v>204</v>
      </c>
      <c r="D2156" s="21" t="s">
        <v>34</v>
      </c>
      <c r="E2156" s="21" t="s">
        <v>71</v>
      </c>
      <c r="F2156">
        <v>7620063</v>
      </c>
      <c r="G2156" t="s">
        <v>1889</v>
      </c>
      <c r="H2156" s="21">
        <v>1410.67</v>
      </c>
    </row>
    <row r="2157" spans="1:8" customFormat="1" x14ac:dyDescent="0.25">
      <c r="A2157" t="str">
        <f>"8515197"</f>
        <v>8515197</v>
      </c>
      <c r="B2157" t="s">
        <v>2994</v>
      </c>
      <c r="C2157" t="s">
        <v>926</v>
      </c>
      <c r="D2157" s="21" t="s">
        <v>34</v>
      </c>
      <c r="E2157" s="21" t="s">
        <v>71</v>
      </c>
      <c r="F2157">
        <v>12850033</v>
      </c>
      <c r="G2157" t="s">
        <v>703</v>
      </c>
      <c r="H2157" s="21">
        <v>1410.67</v>
      </c>
    </row>
    <row r="2158" spans="1:8" customFormat="1" x14ac:dyDescent="0.25">
      <c r="A2158" t="str">
        <f>"621534"</f>
        <v>621534</v>
      </c>
      <c r="B2158" t="s">
        <v>3740</v>
      </c>
      <c r="C2158" t="s">
        <v>249</v>
      </c>
      <c r="D2158" s="21" t="s">
        <v>34</v>
      </c>
      <c r="E2158" s="21" t="s">
        <v>71</v>
      </c>
      <c r="F2158">
        <v>7620100</v>
      </c>
      <c r="G2158" t="s">
        <v>145</v>
      </c>
      <c r="H2158" s="21">
        <v>1410.67</v>
      </c>
    </row>
    <row r="2159" spans="1:8" customFormat="1" x14ac:dyDescent="0.25">
      <c r="A2159" t="str">
        <f>"638509"</f>
        <v>638509</v>
      </c>
      <c r="B2159" t="s">
        <v>3213</v>
      </c>
      <c r="C2159" t="s">
        <v>60</v>
      </c>
      <c r="D2159" s="21" t="s">
        <v>34</v>
      </c>
      <c r="E2159" s="21" t="s">
        <v>35</v>
      </c>
      <c r="F2159">
        <v>1630184</v>
      </c>
      <c r="G2159" t="s">
        <v>26702</v>
      </c>
      <c r="H2159" s="21">
        <v>1410.17</v>
      </c>
    </row>
    <row r="2160" spans="1:8" customFormat="1" x14ac:dyDescent="0.25">
      <c r="A2160" t="str">
        <f>"917865"</f>
        <v>917865</v>
      </c>
      <c r="B2160" t="s">
        <v>2722</v>
      </c>
      <c r="C2160" t="s">
        <v>269</v>
      </c>
      <c r="D2160" s="21" t="s">
        <v>34</v>
      </c>
      <c r="E2160" s="21" t="s">
        <v>71</v>
      </c>
      <c r="F2160">
        <v>8910667</v>
      </c>
      <c r="G2160" t="s">
        <v>2361</v>
      </c>
      <c r="H2160" s="21">
        <v>1410.17</v>
      </c>
    </row>
    <row r="2161" spans="1:8" customFormat="1" x14ac:dyDescent="0.25">
      <c r="A2161" t="str">
        <f>"65100"</f>
        <v>65100</v>
      </c>
      <c r="B2161" t="s">
        <v>3630</v>
      </c>
      <c r="C2161" t="s">
        <v>55</v>
      </c>
      <c r="D2161" s="21" t="s">
        <v>34</v>
      </c>
      <c r="E2161" s="21" t="s">
        <v>71</v>
      </c>
      <c r="F2161">
        <v>11650004</v>
      </c>
      <c r="G2161" t="s">
        <v>382</v>
      </c>
      <c r="H2161" s="21">
        <v>1410.17</v>
      </c>
    </row>
    <row r="2162" spans="1:8" customFormat="1" x14ac:dyDescent="0.25">
      <c r="A2162" t="str">
        <f>"623971"</f>
        <v>623971</v>
      </c>
      <c r="B2162" t="s">
        <v>26703</v>
      </c>
      <c r="C2162" t="s">
        <v>90</v>
      </c>
      <c r="D2162" s="21" t="s">
        <v>34</v>
      </c>
      <c r="E2162" s="21" t="s">
        <v>35</v>
      </c>
      <c r="F2162">
        <v>8951312</v>
      </c>
      <c r="G2162" t="s">
        <v>1007</v>
      </c>
      <c r="H2162" s="21">
        <v>1410.17</v>
      </c>
    </row>
    <row r="2163" spans="1:8" customFormat="1" x14ac:dyDescent="0.25">
      <c r="A2163" t="str">
        <f>"7510459"</f>
        <v>7510459</v>
      </c>
      <c r="B2163" t="s">
        <v>3212</v>
      </c>
      <c r="C2163" t="s">
        <v>246</v>
      </c>
      <c r="D2163" s="21" t="s">
        <v>34</v>
      </c>
      <c r="E2163" s="21" t="s">
        <v>71</v>
      </c>
      <c r="F2163">
        <v>8940030</v>
      </c>
      <c r="G2163" t="s">
        <v>7068</v>
      </c>
      <c r="H2163" s="21">
        <v>1410.17</v>
      </c>
    </row>
    <row r="2164" spans="1:8" customFormat="1" x14ac:dyDescent="0.25">
      <c r="A2164" t="str">
        <f>"755328"</f>
        <v>755328</v>
      </c>
      <c r="B2164" t="s">
        <v>2690</v>
      </c>
      <c r="C2164" t="s">
        <v>249</v>
      </c>
      <c r="D2164" s="21" t="s">
        <v>34</v>
      </c>
      <c r="E2164" s="21" t="s">
        <v>254</v>
      </c>
      <c r="F2164">
        <v>8781266</v>
      </c>
      <c r="G2164" t="s">
        <v>26704</v>
      </c>
      <c r="H2164" s="21">
        <v>1410.17</v>
      </c>
    </row>
    <row r="2165" spans="1:8" customFormat="1" x14ac:dyDescent="0.25">
      <c r="A2165" t="str">
        <f>"79237"</f>
        <v>79237</v>
      </c>
      <c r="B2165" t="s">
        <v>2443</v>
      </c>
      <c r="C2165" t="s">
        <v>55</v>
      </c>
      <c r="D2165" s="21" t="s">
        <v>34</v>
      </c>
      <c r="E2165" s="21" t="s">
        <v>71</v>
      </c>
      <c r="F2165">
        <v>10790011</v>
      </c>
      <c r="G2165" t="s">
        <v>1654</v>
      </c>
      <c r="H2165" s="21">
        <v>1410.17</v>
      </c>
    </row>
    <row r="2166" spans="1:8" customFormat="1" x14ac:dyDescent="0.25">
      <c r="A2166" t="str">
        <f>"359772"</f>
        <v>359772</v>
      </c>
      <c r="B2166" t="s">
        <v>3454</v>
      </c>
      <c r="C2166" t="s">
        <v>187</v>
      </c>
      <c r="D2166" s="21" t="s">
        <v>34</v>
      </c>
      <c r="E2166" s="21" t="s">
        <v>35</v>
      </c>
      <c r="F2166">
        <v>7590403</v>
      </c>
      <c r="G2166" t="s">
        <v>2545</v>
      </c>
      <c r="H2166" s="21">
        <v>1410.17</v>
      </c>
    </row>
    <row r="2167" spans="1:8" customFormat="1" x14ac:dyDescent="0.25">
      <c r="A2167" t="str">
        <f>"9119914"</f>
        <v>9119914</v>
      </c>
      <c r="B2167" t="s">
        <v>26705</v>
      </c>
      <c r="C2167" t="s">
        <v>109</v>
      </c>
      <c r="D2167" s="21" t="s">
        <v>34</v>
      </c>
      <c r="E2167" s="21" t="s">
        <v>35</v>
      </c>
      <c r="F2167">
        <v>10790069</v>
      </c>
      <c r="G2167" t="s">
        <v>689</v>
      </c>
      <c r="H2167" s="21">
        <v>1410</v>
      </c>
    </row>
    <row r="2168" spans="1:8" customFormat="1" x14ac:dyDescent="0.25">
      <c r="A2168" t="str">
        <f>"6920686"</f>
        <v>6920686</v>
      </c>
      <c r="B2168" t="s">
        <v>3186</v>
      </c>
      <c r="C2168" t="s">
        <v>812</v>
      </c>
      <c r="D2168" s="21" t="s">
        <v>34</v>
      </c>
      <c r="E2168" s="21" t="s">
        <v>35</v>
      </c>
      <c r="F2168">
        <v>1010009</v>
      </c>
      <c r="G2168" t="s">
        <v>1385</v>
      </c>
      <c r="H2168" s="21">
        <v>1409.92</v>
      </c>
    </row>
    <row r="2169" spans="1:8" customFormat="1" x14ac:dyDescent="0.25">
      <c r="A2169" t="str">
        <f>"5912511"</f>
        <v>5912511</v>
      </c>
      <c r="B2169" t="s">
        <v>2778</v>
      </c>
      <c r="C2169" t="s">
        <v>2779</v>
      </c>
      <c r="D2169" s="21" t="s">
        <v>34</v>
      </c>
      <c r="E2169" s="21" t="s">
        <v>35</v>
      </c>
      <c r="F2169" t="s">
        <v>1477</v>
      </c>
      <c r="G2169" t="s">
        <v>1478</v>
      </c>
      <c r="H2169" s="21">
        <v>1409.67</v>
      </c>
    </row>
    <row r="2170" spans="1:8" customFormat="1" x14ac:dyDescent="0.25">
      <c r="A2170" t="str">
        <f>"9416903"</f>
        <v>9416903</v>
      </c>
      <c r="B2170" t="s">
        <v>2557</v>
      </c>
      <c r="C2170" t="s">
        <v>1812</v>
      </c>
      <c r="D2170" s="21" t="s">
        <v>34</v>
      </c>
      <c r="E2170" s="21" t="s">
        <v>254</v>
      </c>
      <c r="F2170">
        <v>8940326</v>
      </c>
      <c r="G2170" t="s">
        <v>659</v>
      </c>
      <c r="H2170" s="21">
        <v>1409.55</v>
      </c>
    </row>
    <row r="2171" spans="1:8" customFormat="1" x14ac:dyDescent="0.25">
      <c r="A2171" t="str">
        <f>"33755"</f>
        <v>33755</v>
      </c>
      <c r="B2171" t="s">
        <v>3074</v>
      </c>
      <c r="C2171" t="s">
        <v>249</v>
      </c>
      <c r="D2171" s="21" t="s">
        <v>34</v>
      </c>
      <c r="E2171" s="21" t="s">
        <v>71</v>
      </c>
      <c r="F2171">
        <v>10330086</v>
      </c>
      <c r="G2171" t="s">
        <v>785</v>
      </c>
      <c r="H2171" s="21">
        <v>1409.55</v>
      </c>
    </row>
    <row r="2172" spans="1:8" customFormat="1" x14ac:dyDescent="0.25">
      <c r="A2172" t="str">
        <f>"5712074"</f>
        <v>5712074</v>
      </c>
      <c r="B2172" t="s">
        <v>2777</v>
      </c>
      <c r="C2172" t="s">
        <v>822</v>
      </c>
      <c r="D2172" s="21" t="s">
        <v>34</v>
      </c>
      <c r="E2172" s="21" t="s">
        <v>254</v>
      </c>
      <c r="F2172">
        <v>6570111</v>
      </c>
      <c r="G2172" t="s">
        <v>99</v>
      </c>
      <c r="H2172" s="21">
        <v>1409.17</v>
      </c>
    </row>
    <row r="2173" spans="1:8" customFormat="1" x14ac:dyDescent="0.25">
      <c r="A2173" t="str">
        <f>"763808"</f>
        <v>763808</v>
      </c>
      <c r="B2173" t="s">
        <v>465</v>
      </c>
      <c r="C2173" t="s">
        <v>462</v>
      </c>
      <c r="D2173" s="21" t="s">
        <v>34</v>
      </c>
      <c r="E2173" s="21" t="s">
        <v>71</v>
      </c>
      <c r="F2173">
        <v>9760221</v>
      </c>
      <c r="G2173" t="s">
        <v>1306</v>
      </c>
      <c r="H2173" s="21">
        <v>1409.17</v>
      </c>
    </row>
    <row r="2174" spans="1:8" customFormat="1" x14ac:dyDescent="0.25">
      <c r="A2174" t="str">
        <f>"939260"</f>
        <v>939260</v>
      </c>
      <c r="B2174" t="s">
        <v>3240</v>
      </c>
      <c r="C2174" t="s">
        <v>119</v>
      </c>
      <c r="D2174" s="21" t="s">
        <v>34</v>
      </c>
      <c r="E2174" s="21" t="s">
        <v>71</v>
      </c>
      <c r="F2174">
        <v>8930430</v>
      </c>
      <c r="G2174" t="s">
        <v>995</v>
      </c>
      <c r="H2174" s="21">
        <v>1408.8</v>
      </c>
    </row>
    <row r="2175" spans="1:8" customFormat="1" x14ac:dyDescent="0.25">
      <c r="A2175" t="str">
        <f>"594259"</f>
        <v>594259</v>
      </c>
      <c r="B2175" t="s">
        <v>3042</v>
      </c>
      <c r="C2175" t="s">
        <v>109</v>
      </c>
      <c r="D2175" s="21" t="s">
        <v>34</v>
      </c>
      <c r="E2175" s="21" t="s">
        <v>35</v>
      </c>
      <c r="F2175">
        <v>7590260</v>
      </c>
      <c r="G2175" t="s">
        <v>3043</v>
      </c>
      <c r="H2175" s="21">
        <v>1408.67</v>
      </c>
    </row>
    <row r="2176" spans="1:8" customFormat="1" x14ac:dyDescent="0.25">
      <c r="A2176" t="str">
        <f>"24315"</f>
        <v>24315</v>
      </c>
      <c r="B2176" t="s">
        <v>526</v>
      </c>
      <c r="C2176" t="s">
        <v>453</v>
      </c>
      <c r="D2176" s="21" t="s">
        <v>34</v>
      </c>
      <c r="E2176" s="21" t="s">
        <v>71</v>
      </c>
      <c r="F2176">
        <v>10330028</v>
      </c>
      <c r="G2176" t="s">
        <v>4553</v>
      </c>
      <c r="H2176" s="21">
        <v>1408.17</v>
      </c>
    </row>
    <row r="2177" spans="1:8" customFormat="1" x14ac:dyDescent="0.25">
      <c r="A2177" t="str">
        <f>"5715868"</f>
        <v>5715868</v>
      </c>
      <c r="B2177" t="s">
        <v>3460</v>
      </c>
      <c r="C2177" t="s">
        <v>249</v>
      </c>
      <c r="D2177" s="21" t="s">
        <v>34</v>
      </c>
      <c r="E2177" s="21" t="s">
        <v>35</v>
      </c>
      <c r="F2177">
        <v>6570088</v>
      </c>
      <c r="G2177" t="s">
        <v>3461</v>
      </c>
      <c r="H2177" s="21">
        <v>1408.17</v>
      </c>
    </row>
    <row r="2178" spans="1:8" customFormat="1" x14ac:dyDescent="0.25">
      <c r="A2178" t="str">
        <f>"942186"</f>
        <v>942186</v>
      </c>
      <c r="B2178" t="s">
        <v>2198</v>
      </c>
      <c r="C2178" t="s">
        <v>187</v>
      </c>
      <c r="D2178" s="21" t="s">
        <v>34</v>
      </c>
      <c r="E2178" s="21" t="s">
        <v>35</v>
      </c>
      <c r="F2178">
        <v>8940894</v>
      </c>
      <c r="G2178" t="s">
        <v>481</v>
      </c>
      <c r="H2178" s="21">
        <v>1408.17</v>
      </c>
    </row>
    <row r="2179" spans="1:8" customFormat="1" x14ac:dyDescent="0.25">
      <c r="A2179" t="str">
        <f>"757914"</f>
        <v>757914</v>
      </c>
      <c r="B2179" t="s">
        <v>26706</v>
      </c>
      <c r="C2179" t="s">
        <v>87</v>
      </c>
      <c r="D2179" s="21" t="s">
        <v>34</v>
      </c>
      <c r="E2179" s="21" t="s">
        <v>35</v>
      </c>
      <c r="F2179">
        <v>8750120</v>
      </c>
      <c r="G2179" t="s">
        <v>838</v>
      </c>
      <c r="H2179" s="21">
        <v>1407.93</v>
      </c>
    </row>
    <row r="2180" spans="1:8" customFormat="1" x14ac:dyDescent="0.25">
      <c r="A2180" t="str">
        <f>"805779"</f>
        <v>805779</v>
      </c>
      <c r="B2180" t="s">
        <v>3146</v>
      </c>
      <c r="C2180" t="s">
        <v>33</v>
      </c>
      <c r="D2180" s="21" t="s">
        <v>34</v>
      </c>
      <c r="E2180" s="21" t="s">
        <v>71</v>
      </c>
      <c r="F2180">
        <v>7800128</v>
      </c>
      <c r="G2180" t="s">
        <v>3147</v>
      </c>
      <c r="H2180" s="21">
        <v>1407.67</v>
      </c>
    </row>
    <row r="2181" spans="1:8" customFormat="1" x14ac:dyDescent="0.25">
      <c r="A2181" t="str">
        <f>"131501"</f>
        <v>131501</v>
      </c>
      <c r="B2181" t="s">
        <v>2997</v>
      </c>
      <c r="C2181" t="s">
        <v>204</v>
      </c>
      <c r="D2181" s="21" t="s">
        <v>34</v>
      </c>
      <c r="E2181" s="21" t="s">
        <v>35</v>
      </c>
      <c r="F2181">
        <v>13130067</v>
      </c>
      <c r="G2181" t="s">
        <v>1420</v>
      </c>
      <c r="H2181" s="21">
        <v>1407.67</v>
      </c>
    </row>
    <row r="2182" spans="1:8" customFormat="1" x14ac:dyDescent="0.25">
      <c r="A2182" t="str">
        <f>"9A343"</f>
        <v>9A343</v>
      </c>
      <c r="B2182" t="s">
        <v>3203</v>
      </c>
      <c r="C2182" t="s">
        <v>1812</v>
      </c>
      <c r="D2182" s="21" t="s">
        <v>34</v>
      </c>
      <c r="E2182" s="21" t="s">
        <v>71</v>
      </c>
      <c r="F2182" t="s">
        <v>2849</v>
      </c>
      <c r="G2182" t="s">
        <v>2850</v>
      </c>
      <c r="H2182" s="21">
        <v>1407.3</v>
      </c>
    </row>
    <row r="2183" spans="1:8" customFormat="1" x14ac:dyDescent="0.25">
      <c r="A2183" t="str">
        <f>"851635"</f>
        <v>851635</v>
      </c>
      <c r="B2183" t="s">
        <v>3344</v>
      </c>
      <c r="C2183" t="s">
        <v>249</v>
      </c>
      <c r="D2183" s="21" t="s">
        <v>34</v>
      </c>
      <c r="E2183" s="21" t="s">
        <v>71</v>
      </c>
      <c r="F2183">
        <v>12850057</v>
      </c>
      <c r="G2183" t="s">
        <v>1291</v>
      </c>
      <c r="H2183" s="21">
        <v>1407.17</v>
      </c>
    </row>
    <row r="2184" spans="1:8" customFormat="1" x14ac:dyDescent="0.25">
      <c r="A2184" t="str">
        <f>"103943"</f>
        <v>103943</v>
      </c>
      <c r="B2184" t="s">
        <v>3255</v>
      </c>
      <c r="C2184" t="s">
        <v>3256</v>
      </c>
      <c r="D2184" s="21" t="s">
        <v>34</v>
      </c>
      <c r="E2184" s="21" t="s">
        <v>35</v>
      </c>
      <c r="F2184">
        <v>6100002</v>
      </c>
      <c r="G2184" t="s">
        <v>1602</v>
      </c>
      <c r="H2184" s="21">
        <v>1406.8</v>
      </c>
    </row>
    <row r="2185" spans="1:8" customFormat="1" x14ac:dyDescent="0.25">
      <c r="A2185" t="str">
        <f>"4427950"</f>
        <v>4427950</v>
      </c>
      <c r="B2185" t="s">
        <v>3093</v>
      </c>
      <c r="C2185" t="s">
        <v>204</v>
      </c>
      <c r="D2185" s="21" t="s">
        <v>34</v>
      </c>
      <c r="E2185" s="21" t="s">
        <v>35</v>
      </c>
      <c r="F2185">
        <v>12440225</v>
      </c>
      <c r="G2185" t="s">
        <v>3094</v>
      </c>
      <c r="H2185" s="21">
        <v>1406.67</v>
      </c>
    </row>
    <row r="2186" spans="1:8" customFormat="1" x14ac:dyDescent="0.25">
      <c r="A2186" t="str">
        <f>"3725129"</f>
        <v>3725129</v>
      </c>
      <c r="B2186" t="s">
        <v>2505</v>
      </c>
      <c r="C2186" t="s">
        <v>2752</v>
      </c>
      <c r="D2186" s="21" t="s">
        <v>34</v>
      </c>
      <c r="E2186" s="21" t="s">
        <v>71</v>
      </c>
      <c r="F2186">
        <v>4370002</v>
      </c>
      <c r="G2186" t="s">
        <v>112</v>
      </c>
      <c r="H2186" s="21">
        <v>1406.67</v>
      </c>
    </row>
    <row r="2187" spans="1:8" customFormat="1" x14ac:dyDescent="0.25">
      <c r="A2187" t="str">
        <f>"8522551"</f>
        <v>8522551</v>
      </c>
      <c r="B2187" t="s">
        <v>3610</v>
      </c>
      <c r="C2187" t="s">
        <v>169</v>
      </c>
      <c r="D2187" s="21" t="s">
        <v>34</v>
      </c>
      <c r="E2187" s="21" t="s">
        <v>71</v>
      </c>
      <c r="F2187">
        <v>12850028</v>
      </c>
      <c r="G2187" t="s">
        <v>1700</v>
      </c>
      <c r="H2187" s="21">
        <v>1406.67</v>
      </c>
    </row>
    <row r="2188" spans="1:8" customFormat="1" x14ac:dyDescent="0.25">
      <c r="A2188" t="str">
        <f>"792073"</f>
        <v>792073</v>
      </c>
      <c r="B2188" t="s">
        <v>1497</v>
      </c>
      <c r="C2188" t="s">
        <v>233</v>
      </c>
      <c r="D2188" s="21" t="s">
        <v>34</v>
      </c>
      <c r="E2188" s="21" t="s">
        <v>35</v>
      </c>
      <c r="F2188">
        <v>10790045</v>
      </c>
      <c r="G2188" t="s">
        <v>1498</v>
      </c>
      <c r="H2188" s="21">
        <v>1406.55</v>
      </c>
    </row>
    <row r="2189" spans="1:8" customFormat="1" x14ac:dyDescent="0.25">
      <c r="A2189" t="str">
        <f>"446045"</f>
        <v>446045</v>
      </c>
      <c r="B2189" t="s">
        <v>2306</v>
      </c>
      <c r="C2189" t="s">
        <v>926</v>
      </c>
      <c r="D2189" s="21" t="s">
        <v>34</v>
      </c>
      <c r="E2189" s="21" t="s">
        <v>35</v>
      </c>
      <c r="F2189">
        <v>12440012</v>
      </c>
      <c r="G2189" t="s">
        <v>807</v>
      </c>
      <c r="H2189" s="21">
        <v>1406.42</v>
      </c>
    </row>
    <row r="2190" spans="1:8" customFormat="1" x14ac:dyDescent="0.25">
      <c r="A2190" t="str">
        <f>"16800"</f>
        <v>16800</v>
      </c>
      <c r="B2190" t="s">
        <v>2549</v>
      </c>
      <c r="C2190" t="s">
        <v>1914</v>
      </c>
      <c r="D2190" s="21" t="s">
        <v>34</v>
      </c>
      <c r="E2190" s="21" t="s">
        <v>254</v>
      </c>
      <c r="F2190">
        <v>10160024</v>
      </c>
      <c r="G2190" t="s">
        <v>511</v>
      </c>
      <c r="H2190" s="21">
        <v>1406.17</v>
      </c>
    </row>
    <row r="2191" spans="1:8" customFormat="1" x14ac:dyDescent="0.25">
      <c r="A2191" t="str">
        <f>"788911"</f>
        <v>788911</v>
      </c>
      <c r="B2191" t="s">
        <v>2118</v>
      </c>
      <c r="C2191" t="s">
        <v>60</v>
      </c>
      <c r="D2191" s="21" t="s">
        <v>34</v>
      </c>
      <c r="E2191" s="21" t="s">
        <v>35</v>
      </c>
      <c r="F2191">
        <v>4280045</v>
      </c>
      <c r="G2191" t="s">
        <v>787</v>
      </c>
      <c r="H2191" s="21">
        <v>1406.17</v>
      </c>
    </row>
    <row r="2192" spans="1:8" customFormat="1" x14ac:dyDescent="0.25">
      <c r="A2192" t="str">
        <f>"7713653"</f>
        <v>7713653</v>
      </c>
      <c r="B2192" t="s">
        <v>2964</v>
      </c>
      <c r="C2192" t="s">
        <v>2965</v>
      </c>
      <c r="D2192" s="21" t="s">
        <v>34</v>
      </c>
      <c r="E2192" s="21" t="s">
        <v>254</v>
      </c>
      <c r="F2192">
        <v>12530007</v>
      </c>
      <c r="G2192" t="s">
        <v>2966</v>
      </c>
      <c r="H2192" s="21">
        <v>1405.92</v>
      </c>
    </row>
    <row r="2193" spans="1:8" customFormat="1" x14ac:dyDescent="0.25">
      <c r="A2193" t="str">
        <f>"5427781"</f>
        <v>5427781</v>
      </c>
      <c r="B2193" t="s">
        <v>213</v>
      </c>
      <c r="C2193" t="s">
        <v>204</v>
      </c>
      <c r="D2193" s="21" t="s">
        <v>34</v>
      </c>
      <c r="E2193" s="21" t="s">
        <v>71</v>
      </c>
      <c r="F2193">
        <v>6540088</v>
      </c>
      <c r="G2193" t="s">
        <v>2108</v>
      </c>
      <c r="H2193" s="21">
        <v>1405.68</v>
      </c>
    </row>
    <row r="2194" spans="1:8" customFormat="1" x14ac:dyDescent="0.25">
      <c r="A2194" t="str">
        <f>"7910719"</f>
        <v>7910719</v>
      </c>
      <c r="B2194" t="s">
        <v>1087</v>
      </c>
      <c r="C2194" t="s">
        <v>249</v>
      </c>
      <c r="D2194" s="21" t="s">
        <v>34</v>
      </c>
      <c r="E2194" s="21" t="s">
        <v>35</v>
      </c>
      <c r="F2194">
        <v>10790043</v>
      </c>
      <c r="G2194" t="s">
        <v>2828</v>
      </c>
      <c r="H2194" s="21">
        <v>1405.67</v>
      </c>
    </row>
    <row r="2195" spans="1:8" customFormat="1" x14ac:dyDescent="0.25">
      <c r="A2195" t="str">
        <f>"7510793"</f>
        <v>7510793</v>
      </c>
      <c r="B2195" t="s">
        <v>3692</v>
      </c>
      <c r="C2195" t="s">
        <v>459</v>
      </c>
      <c r="D2195" s="21" t="s">
        <v>34</v>
      </c>
      <c r="E2195" s="21" t="s">
        <v>35</v>
      </c>
      <c r="F2195">
        <v>8780935</v>
      </c>
      <c r="G2195" t="s">
        <v>1944</v>
      </c>
      <c r="H2195" s="21">
        <v>1405.18</v>
      </c>
    </row>
    <row r="2196" spans="1:8" customFormat="1" x14ac:dyDescent="0.25">
      <c r="A2196" t="str">
        <f>"866122"</f>
        <v>866122</v>
      </c>
      <c r="B2196" t="s">
        <v>3288</v>
      </c>
      <c r="C2196" t="s">
        <v>462</v>
      </c>
      <c r="D2196" s="21" t="s">
        <v>34</v>
      </c>
      <c r="E2196" s="21" t="s">
        <v>35</v>
      </c>
      <c r="F2196">
        <v>10860016</v>
      </c>
      <c r="G2196" t="s">
        <v>3289</v>
      </c>
      <c r="H2196" s="21">
        <v>1405.17</v>
      </c>
    </row>
    <row r="2197" spans="1:8" customFormat="1" x14ac:dyDescent="0.25">
      <c r="A2197" t="str">
        <f>"3110586"</f>
        <v>3110586</v>
      </c>
      <c r="B2197" t="s">
        <v>11259</v>
      </c>
      <c r="C2197" t="s">
        <v>127</v>
      </c>
      <c r="D2197" s="21" t="s">
        <v>34</v>
      </c>
      <c r="E2197" s="21" t="s">
        <v>35</v>
      </c>
      <c r="F2197">
        <v>11310117</v>
      </c>
      <c r="G2197" t="s">
        <v>10279</v>
      </c>
      <c r="H2197" s="21">
        <v>1405</v>
      </c>
    </row>
    <row r="2198" spans="1:8" customFormat="1" x14ac:dyDescent="0.25">
      <c r="A2198" t="str">
        <f>"4929497"</f>
        <v>4929497</v>
      </c>
      <c r="B2198" t="s">
        <v>2700</v>
      </c>
      <c r="C2198" t="s">
        <v>2701</v>
      </c>
      <c r="D2198" s="21" t="s">
        <v>34</v>
      </c>
      <c r="E2198" s="21" t="s">
        <v>35</v>
      </c>
      <c r="F2198">
        <v>12490038</v>
      </c>
      <c r="G2198" t="s">
        <v>467</v>
      </c>
      <c r="H2198" s="21">
        <v>1404.92</v>
      </c>
    </row>
    <row r="2199" spans="1:8" customFormat="1" x14ac:dyDescent="0.25">
      <c r="A2199" t="str">
        <f>"432197"</f>
        <v>432197</v>
      </c>
      <c r="B2199" t="s">
        <v>3160</v>
      </c>
      <c r="C2199" t="s">
        <v>55</v>
      </c>
      <c r="D2199" s="21" t="s">
        <v>34</v>
      </c>
      <c r="E2199" s="21" t="s">
        <v>35</v>
      </c>
      <c r="F2199">
        <v>8780886</v>
      </c>
      <c r="G2199" t="s">
        <v>3161</v>
      </c>
      <c r="H2199" s="21">
        <v>1404.8</v>
      </c>
    </row>
    <row r="2200" spans="1:8" customFormat="1" x14ac:dyDescent="0.25">
      <c r="A2200" t="str">
        <f>"5715333"</f>
        <v>5715333</v>
      </c>
      <c r="B2200" t="s">
        <v>2976</v>
      </c>
      <c r="C2200" t="s">
        <v>33</v>
      </c>
      <c r="D2200" s="21" t="s">
        <v>34</v>
      </c>
      <c r="E2200" s="21" t="s">
        <v>35</v>
      </c>
      <c r="F2200">
        <v>6570029</v>
      </c>
      <c r="G2200" t="s">
        <v>2977</v>
      </c>
      <c r="H2200" s="21">
        <v>1404.67</v>
      </c>
    </row>
    <row r="2201" spans="1:8" customFormat="1" x14ac:dyDescent="0.25">
      <c r="A2201" t="str">
        <f>"106178"</f>
        <v>106178</v>
      </c>
      <c r="B2201" t="s">
        <v>3155</v>
      </c>
      <c r="C2201" t="s">
        <v>1665</v>
      </c>
      <c r="D2201" s="21" t="s">
        <v>34</v>
      </c>
      <c r="E2201" s="21" t="s">
        <v>35</v>
      </c>
      <c r="F2201">
        <v>6100005</v>
      </c>
      <c r="G2201" t="s">
        <v>855</v>
      </c>
      <c r="H2201" s="21">
        <v>1404.67</v>
      </c>
    </row>
    <row r="2202" spans="1:8" customFormat="1" x14ac:dyDescent="0.25">
      <c r="A2202" t="str">
        <f>"025325"</f>
        <v>025325</v>
      </c>
      <c r="B2202" t="s">
        <v>2386</v>
      </c>
      <c r="C2202" t="s">
        <v>187</v>
      </c>
      <c r="D2202" s="21" t="s">
        <v>34</v>
      </c>
      <c r="E2202" s="21" t="s">
        <v>35</v>
      </c>
      <c r="F2202">
        <v>7020031</v>
      </c>
      <c r="G2202" t="s">
        <v>828</v>
      </c>
      <c r="H2202" s="21">
        <v>1404.67</v>
      </c>
    </row>
    <row r="2203" spans="1:8" customFormat="1" x14ac:dyDescent="0.25">
      <c r="A2203" t="str">
        <f>"861476"</f>
        <v>861476</v>
      </c>
      <c r="B2203" t="s">
        <v>3003</v>
      </c>
      <c r="C2203" t="s">
        <v>719</v>
      </c>
      <c r="D2203" s="21" t="s">
        <v>34</v>
      </c>
      <c r="E2203" s="21" t="s">
        <v>35</v>
      </c>
      <c r="F2203">
        <v>10860006</v>
      </c>
      <c r="G2203" t="s">
        <v>3004</v>
      </c>
      <c r="H2203" s="21">
        <v>1404.67</v>
      </c>
    </row>
    <row r="2204" spans="1:8" customFormat="1" x14ac:dyDescent="0.25">
      <c r="A2204" t="str">
        <f>"261721"</f>
        <v>261721</v>
      </c>
      <c r="B2204" t="s">
        <v>3265</v>
      </c>
      <c r="C2204" t="s">
        <v>3266</v>
      </c>
      <c r="D2204" s="21" t="s">
        <v>34</v>
      </c>
      <c r="E2204" s="21" t="s">
        <v>71</v>
      </c>
      <c r="F2204">
        <v>1260026</v>
      </c>
      <c r="G2204" t="s">
        <v>516</v>
      </c>
      <c r="H2204" s="21">
        <v>1404.67</v>
      </c>
    </row>
    <row r="2205" spans="1:8" customFormat="1" x14ac:dyDescent="0.25">
      <c r="A2205" t="str">
        <f>"5312183"</f>
        <v>5312183</v>
      </c>
      <c r="B2205" t="s">
        <v>2863</v>
      </c>
      <c r="C2205" t="s">
        <v>169</v>
      </c>
      <c r="D2205" s="21" t="s">
        <v>34</v>
      </c>
      <c r="E2205" s="21" t="s">
        <v>71</v>
      </c>
      <c r="F2205">
        <v>12530017</v>
      </c>
      <c r="G2205" t="s">
        <v>307</v>
      </c>
      <c r="H2205" s="21">
        <v>1404.55</v>
      </c>
    </row>
    <row r="2206" spans="1:8" customFormat="1" x14ac:dyDescent="0.25">
      <c r="A2206" t="str">
        <f>"9518239"</f>
        <v>9518239</v>
      </c>
      <c r="B2206" t="s">
        <v>3319</v>
      </c>
      <c r="C2206" t="s">
        <v>825</v>
      </c>
      <c r="D2206" s="21" t="s">
        <v>34</v>
      </c>
      <c r="E2206" s="21" t="s">
        <v>71</v>
      </c>
      <c r="F2206">
        <v>8950022</v>
      </c>
      <c r="G2206" t="s">
        <v>2785</v>
      </c>
      <c r="H2206" s="21">
        <v>1404.43</v>
      </c>
    </row>
    <row r="2207" spans="1:8" customFormat="1" x14ac:dyDescent="0.25">
      <c r="A2207" t="str">
        <f>"072753"</f>
        <v>072753</v>
      </c>
      <c r="B2207" t="s">
        <v>3463</v>
      </c>
      <c r="C2207" t="s">
        <v>656</v>
      </c>
      <c r="D2207" s="21" t="s">
        <v>34</v>
      </c>
      <c r="E2207" s="21" t="s">
        <v>35</v>
      </c>
      <c r="F2207">
        <v>12720110</v>
      </c>
      <c r="G2207" t="s">
        <v>3464</v>
      </c>
      <c r="H2207" s="21">
        <v>1404.17</v>
      </c>
    </row>
    <row r="2208" spans="1:8" customFormat="1" x14ac:dyDescent="0.25">
      <c r="A2208" t="str">
        <f>"4921338"</f>
        <v>4921338</v>
      </c>
      <c r="B2208" t="s">
        <v>3207</v>
      </c>
      <c r="C2208" t="s">
        <v>2384</v>
      </c>
      <c r="D2208" s="21" t="s">
        <v>34</v>
      </c>
      <c r="E2208" s="21" t="s">
        <v>35</v>
      </c>
      <c r="F2208">
        <v>12490032</v>
      </c>
      <c r="G2208" t="s">
        <v>6233</v>
      </c>
      <c r="H2208" s="21">
        <v>1404.17</v>
      </c>
    </row>
    <row r="2209" spans="1:8" customFormat="1" x14ac:dyDescent="0.25">
      <c r="A2209" t="str">
        <f>"917707"</f>
        <v>917707</v>
      </c>
      <c r="B2209" t="s">
        <v>3945</v>
      </c>
      <c r="C2209" t="s">
        <v>204</v>
      </c>
      <c r="D2209" s="21" t="s">
        <v>34</v>
      </c>
      <c r="E2209" s="21" t="s">
        <v>35</v>
      </c>
      <c r="F2209">
        <v>8910359</v>
      </c>
      <c r="G2209" t="s">
        <v>1204</v>
      </c>
      <c r="H2209" s="21">
        <v>1403.68</v>
      </c>
    </row>
    <row r="2210" spans="1:8" customFormat="1" x14ac:dyDescent="0.25">
      <c r="A2210" t="str">
        <f>"924043"</f>
        <v>924043</v>
      </c>
      <c r="B2210" t="s">
        <v>650</v>
      </c>
      <c r="C2210" t="s">
        <v>269</v>
      </c>
      <c r="D2210" s="21" t="s">
        <v>34</v>
      </c>
      <c r="E2210" s="21" t="s">
        <v>35</v>
      </c>
      <c r="F2210">
        <v>8921244</v>
      </c>
      <c r="G2210" t="s">
        <v>2908</v>
      </c>
      <c r="H2210" s="21">
        <v>1403.67</v>
      </c>
    </row>
    <row r="2211" spans="1:8" customFormat="1" x14ac:dyDescent="0.25">
      <c r="A2211" t="str">
        <f>"5416821"</f>
        <v>5416821</v>
      </c>
      <c r="B2211" t="s">
        <v>2986</v>
      </c>
      <c r="C2211" t="s">
        <v>33</v>
      </c>
      <c r="D2211" s="21" t="s">
        <v>34</v>
      </c>
      <c r="E2211" s="21" t="s">
        <v>35</v>
      </c>
      <c r="F2211">
        <v>2900003</v>
      </c>
      <c r="G2211" t="s">
        <v>1742</v>
      </c>
      <c r="H2211" s="21">
        <v>1403.67</v>
      </c>
    </row>
    <row r="2212" spans="1:8" customFormat="1" x14ac:dyDescent="0.25">
      <c r="A2212" t="str">
        <f>"072351"</f>
        <v>072351</v>
      </c>
      <c r="B2212" t="s">
        <v>3402</v>
      </c>
      <c r="C2212" t="s">
        <v>455</v>
      </c>
      <c r="D2212" s="21" t="s">
        <v>34</v>
      </c>
      <c r="E2212" s="21" t="s">
        <v>35</v>
      </c>
      <c r="F2212">
        <v>1260060</v>
      </c>
      <c r="G2212" t="s">
        <v>3403</v>
      </c>
      <c r="H2212" s="21">
        <v>1403.55</v>
      </c>
    </row>
    <row r="2213" spans="1:8" customFormat="1" x14ac:dyDescent="0.25">
      <c r="A2213" t="str">
        <f>"801199"</f>
        <v>801199</v>
      </c>
      <c r="B2213" t="s">
        <v>2552</v>
      </c>
      <c r="C2213" t="s">
        <v>55</v>
      </c>
      <c r="D2213" s="21" t="s">
        <v>34</v>
      </c>
      <c r="E2213" s="21" t="s">
        <v>71</v>
      </c>
      <c r="F2213">
        <v>7800061</v>
      </c>
      <c r="G2213" t="s">
        <v>1330</v>
      </c>
      <c r="H2213" s="21">
        <v>1403.42</v>
      </c>
    </row>
    <row r="2214" spans="1:8" customFormat="1" x14ac:dyDescent="0.25">
      <c r="A2214" t="str">
        <f>"3115964"</f>
        <v>3115964</v>
      </c>
      <c r="B2214" t="s">
        <v>3696</v>
      </c>
      <c r="C2214" t="s">
        <v>3697</v>
      </c>
      <c r="D2214" s="21" t="s">
        <v>34</v>
      </c>
      <c r="E2214" s="21" t="s">
        <v>35</v>
      </c>
      <c r="F2214">
        <v>11310064</v>
      </c>
      <c r="G2214" t="s">
        <v>931</v>
      </c>
      <c r="H2214" s="21">
        <v>1403.42</v>
      </c>
    </row>
    <row r="2215" spans="1:8" customFormat="1" x14ac:dyDescent="0.25">
      <c r="A2215" t="str">
        <f>"781729"</f>
        <v>781729</v>
      </c>
      <c r="B2215" t="s">
        <v>3404</v>
      </c>
      <c r="C2215" t="s">
        <v>239</v>
      </c>
      <c r="D2215" s="21" t="s">
        <v>34</v>
      </c>
      <c r="E2215" s="21" t="s">
        <v>71</v>
      </c>
      <c r="F2215">
        <v>8780871</v>
      </c>
      <c r="G2215" t="s">
        <v>3405</v>
      </c>
      <c r="H2215" s="21">
        <v>1403.17</v>
      </c>
    </row>
    <row r="2216" spans="1:8" customFormat="1" x14ac:dyDescent="0.25">
      <c r="A2216" t="str">
        <f>"3323914"</f>
        <v>3323914</v>
      </c>
      <c r="B2216" t="s">
        <v>3124</v>
      </c>
      <c r="C2216" t="s">
        <v>528</v>
      </c>
      <c r="D2216" s="21" t="s">
        <v>34</v>
      </c>
      <c r="E2216" s="21" t="s">
        <v>71</v>
      </c>
      <c r="F2216">
        <v>10330034</v>
      </c>
      <c r="G2216" t="s">
        <v>6011</v>
      </c>
      <c r="H2216" s="21">
        <v>1403.17</v>
      </c>
    </row>
    <row r="2217" spans="1:8" customFormat="1" x14ac:dyDescent="0.25">
      <c r="A2217" t="str">
        <f>"064882"</f>
        <v>064882</v>
      </c>
      <c r="B2217" t="s">
        <v>2878</v>
      </c>
      <c r="C2217" t="s">
        <v>171</v>
      </c>
      <c r="D2217" s="21" t="s">
        <v>34</v>
      </c>
      <c r="E2217" s="21" t="s">
        <v>35</v>
      </c>
      <c r="F2217">
        <v>13060085</v>
      </c>
      <c r="G2217" t="s">
        <v>2703</v>
      </c>
      <c r="H2217" s="21">
        <v>1403.17</v>
      </c>
    </row>
    <row r="2218" spans="1:8" customFormat="1" x14ac:dyDescent="0.25">
      <c r="A2218" t="str">
        <f>"5920695"</f>
        <v>5920695</v>
      </c>
      <c r="B2218" t="s">
        <v>3070</v>
      </c>
      <c r="C2218" t="s">
        <v>90</v>
      </c>
      <c r="D2218" s="21" t="s">
        <v>34</v>
      </c>
      <c r="E2218" s="21" t="s">
        <v>35</v>
      </c>
      <c r="F2218">
        <v>7590361</v>
      </c>
      <c r="G2218" t="s">
        <v>3071</v>
      </c>
      <c r="H2218" s="21">
        <v>1403.17</v>
      </c>
    </row>
    <row r="2219" spans="1:8" customFormat="1" x14ac:dyDescent="0.25">
      <c r="A2219" t="str">
        <f>"261108"</f>
        <v>261108</v>
      </c>
      <c r="B2219" t="s">
        <v>3573</v>
      </c>
      <c r="C2219" t="s">
        <v>60</v>
      </c>
      <c r="D2219" s="21" t="s">
        <v>34</v>
      </c>
      <c r="E2219" s="21" t="s">
        <v>35</v>
      </c>
      <c r="F2219">
        <v>1260071</v>
      </c>
      <c r="G2219" t="s">
        <v>798</v>
      </c>
      <c r="H2219" s="21">
        <v>1403.17</v>
      </c>
    </row>
    <row r="2220" spans="1:8" customFormat="1" x14ac:dyDescent="0.25">
      <c r="A2220" t="str">
        <f>"7841555"</f>
        <v>7841555</v>
      </c>
      <c r="B2220" t="s">
        <v>3729</v>
      </c>
      <c r="C2220" t="s">
        <v>114</v>
      </c>
      <c r="D2220" s="21" t="s">
        <v>34</v>
      </c>
      <c r="E2220" s="21" t="s">
        <v>35</v>
      </c>
      <c r="F2220">
        <v>8781176</v>
      </c>
      <c r="G2220" t="s">
        <v>3659</v>
      </c>
      <c r="H2220" s="21">
        <v>1402.79</v>
      </c>
    </row>
    <row r="2221" spans="1:8" customFormat="1" x14ac:dyDescent="0.25">
      <c r="A2221" t="str">
        <f>"548045"</f>
        <v>548045</v>
      </c>
      <c r="B2221" t="s">
        <v>26707</v>
      </c>
      <c r="C2221" t="s">
        <v>656</v>
      </c>
      <c r="D2221" s="21" t="s">
        <v>34</v>
      </c>
      <c r="E2221" s="21" t="s">
        <v>35</v>
      </c>
      <c r="F2221">
        <v>6540128</v>
      </c>
      <c r="G2221" t="s">
        <v>1249</v>
      </c>
      <c r="H2221" s="21">
        <v>1402.67</v>
      </c>
    </row>
    <row r="2222" spans="1:8" customFormat="1" x14ac:dyDescent="0.25">
      <c r="A2222" t="str">
        <f>"381307"</f>
        <v>381307</v>
      </c>
      <c r="B2222" t="s">
        <v>2854</v>
      </c>
      <c r="C2222" t="s">
        <v>1914</v>
      </c>
      <c r="D2222" s="21" t="s">
        <v>34</v>
      </c>
      <c r="E2222" s="21" t="s">
        <v>71</v>
      </c>
      <c r="F2222">
        <v>1380136</v>
      </c>
      <c r="G2222" t="s">
        <v>1047</v>
      </c>
      <c r="H2222" s="21">
        <v>1402.67</v>
      </c>
    </row>
    <row r="2223" spans="1:8" customFormat="1" x14ac:dyDescent="0.25">
      <c r="A2223" t="str">
        <f>"534759"</f>
        <v>534759</v>
      </c>
      <c r="B2223" t="s">
        <v>67</v>
      </c>
      <c r="C2223" t="s">
        <v>239</v>
      </c>
      <c r="D2223" s="21" t="s">
        <v>34</v>
      </c>
      <c r="E2223" s="21" t="s">
        <v>254</v>
      </c>
      <c r="F2223">
        <v>12530058</v>
      </c>
      <c r="G2223" t="s">
        <v>3128</v>
      </c>
      <c r="H2223" s="21">
        <v>1402.67</v>
      </c>
    </row>
    <row r="2224" spans="1:8" customFormat="1" x14ac:dyDescent="0.25">
      <c r="A2224" t="str">
        <f>"023258"</f>
        <v>023258</v>
      </c>
      <c r="B2224" t="s">
        <v>1500</v>
      </c>
      <c r="C2224" t="s">
        <v>2168</v>
      </c>
      <c r="D2224" s="21" t="s">
        <v>34</v>
      </c>
      <c r="E2224" s="21" t="s">
        <v>35</v>
      </c>
      <c r="F2224">
        <v>7020030</v>
      </c>
      <c r="G2224" t="s">
        <v>1796</v>
      </c>
      <c r="H2224" s="21">
        <v>1402.67</v>
      </c>
    </row>
    <row r="2225" spans="1:8" customFormat="1" x14ac:dyDescent="0.25">
      <c r="A2225" t="str">
        <f>"6012687"</f>
        <v>6012687</v>
      </c>
      <c r="B2225" t="s">
        <v>3591</v>
      </c>
      <c r="C2225" t="s">
        <v>55</v>
      </c>
      <c r="D2225" s="21" t="s">
        <v>34</v>
      </c>
      <c r="E2225" s="21" t="s">
        <v>71</v>
      </c>
      <c r="F2225">
        <v>9270112</v>
      </c>
      <c r="G2225" t="s">
        <v>5124</v>
      </c>
      <c r="H2225" s="21">
        <v>1402.17</v>
      </c>
    </row>
    <row r="2226" spans="1:8" customFormat="1" x14ac:dyDescent="0.25">
      <c r="A2226" t="str">
        <f>"682475"</f>
        <v>682475</v>
      </c>
      <c r="B2226" t="s">
        <v>2243</v>
      </c>
      <c r="C2226" t="s">
        <v>269</v>
      </c>
      <c r="D2226" s="21" t="s">
        <v>34</v>
      </c>
      <c r="E2226" s="21" t="s">
        <v>71</v>
      </c>
      <c r="F2226">
        <v>6680090</v>
      </c>
      <c r="G2226" t="s">
        <v>3129</v>
      </c>
      <c r="H2226" s="21">
        <v>1402.17</v>
      </c>
    </row>
    <row r="2227" spans="1:8" customFormat="1" x14ac:dyDescent="0.25">
      <c r="A2227" t="str">
        <f>"836043"</f>
        <v>836043</v>
      </c>
      <c r="B2227" t="s">
        <v>3247</v>
      </c>
      <c r="C2227" t="s">
        <v>124</v>
      </c>
      <c r="D2227" s="21" t="s">
        <v>34</v>
      </c>
      <c r="E2227" s="21" t="s">
        <v>35</v>
      </c>
      <c r="F2227">
        <v>13830083</v>
      </c>
      <c r="G2227" t="s">
        <v>2159</v>
      </c>
      <c r="H2227" s="21">
        <v>1402.17</v>
      </c>
    </row>
    <row r="2228" spans="1:8" customFormat="1" x14ac:dyDescent="0.25">
      <c r="A2228" t="str">
        <f>"4927480"</f>
        <v>4927480</v>
      </c>
      <c r="B2228" t="s">
        <v>5517</v>
      </c>
      <c r="C2228" t="s">
        <v>55</v>
      </c>
      <c r="D2228" s="21" t="s">
        <v>34</v>
      </c>
      <c r="E2228" s="21" t="s">
        <v>35</v>
      </c>
      <c r="F2228">
        <v>12490080</v>
      </c>
      <c r="G2228" t="s">
        <v>5692</v>
      </c>
      <c r="H2228" s="21">
        <v>1402.17</v>
      </c>
    </row>
    <row r="2229" spans="1:8" customFormat="1" x14ac:dyDescent="0.25">
      <c r="A2229" t="str">
        <f>"677381"</f>
        <v>677381</v>
      </c>
      <c r="B2229" t="s">
        <v>3494</v>
      </c>
      <c r="C2229" t="s">
        <v>3495</v>
      </c>
      <c r="D2229" s="21" t="s">
        <v>34</v>
      </c>
      <c r="E2229" s="21" t="s">
        <v>35</v>
      </c>
      <c r="F2229">
        <v>6670058</v>
      </c>
      <c r="G2229" t="s">
        <v>2551</v>
      </c>
      <c r="H2229" s="21">
        <v>1402.17</v>
      </c>
    </row>
    <row r="2230" spans="1:8" customFormat="1" x14ac:dyDescent="0.25">
      <c r="A2230" t="str">
        <f>"3518166"</f>
        <v>3518166</v>
      </c>
      <c r="B2230" t="s">
        <v>11630</v>
      </c>
      <c r="C2230" t="s">
        <v>302</v>
      </c>
      <c r="D2230" s="21" t="s">
        <v>34</v>
      </c>
      <c r="E2230" s="21" t="s">
        <v>35</v>
      </c>
      <c r="F2230">
        <v>12850057</v>
      </c>
      <c r="G2230" t="s">
        <v>1291</v>
      </c>
      <c r="H2230" s="21">
        <v>1402.17</v>
      </c>
    </row>
    <row r="2231" spans="1:8" customFormat="1" x14ac:dyDescent="0.25">
      <c r="A2231" t="str">
        <f>"591654"</f>
        <v>591654</v>
      </c>
      <c r="B2231" t="s">
        <v>2762</v>
      </c>
      <c r="C2231" t="s">
        <v>1914</v>
      </c>
      <c r="D2231" s="21" t="s">
        <v>34</v>
      </c>
      <c r="E2231" s="21" t="s">
        <v>71</v>
      </c>
      <c r="F2231">
        <v>7590027</v>
      </c>
      <c r="G2231" t="s">
        <v>629</v>
      </c>
      <c r="H2231" s="21">
        <v>1402.17</v>
      </c>
    </row>
    <row r="2232" spans="1:8" customFormat="1" x14ac:dyDescent="0.25">
      <c r="A2232" t="str">
        <f>"9752399"</f>
        <v>9752399</v>
      </c>
      <c r="B2232" t="s">
        <v>3560</v>
      </c>
      <c r="C2232" t="s">
        <v>1853</v>
      </c>
      <c r="D2232" s="21" t="s">
        <v>34</v>
      </c>
      <c r="E2232" s="21" t="s">
        <v>71</v>
      </c>
      <c r="F2232" t="s">
        <v>1403</v>
      </c>
      <c r="G2232" t="s">
        <v>1404</v>
      </c>
      <c r="H2232" s="21">
        <v>1401.68</v>
      </c>
    </row>
    <row r="2233" spans="1:8" customFormat="1" x14ac:dyDescent="0.25">
      <c r="A2233" t="str">
        <f>"6011199"</f>
        <v>6011199</v>
      </c>
      <c r="B2233" t="s">
        <v>2998</v>
      </c>
      <c r="C2233" t="s">
        <v>1446</v>
      </c>
      <c r="D2233" s="21" t="s">
        <v>34</v>
      </c>
      <c r="E2233" s="21" t="s">
        <v>71</v>
      </c>
      <c r="F2233">
        <v>7600027</v>
      </c>
      <c r="G2233" t="s">
        <v>2137</v>
      </c>
      <c r="H2233" s="21">
        <v>1401.67</v>
      </c>
    </row>
    <row r="2234" spans="1:8" customFormat="1" x14ac:dyDescent="0.25">
      <c r="A2234" t="str">
        <f>"822057"</f>
        <v>822057</v>
      </c>
      <c r="B2234" t="s">
        <v>4462</v>
      </c>
      <c r="C2234" t="s">
        <v>62</v>
      </c>
      <c r="D2234" s="21" t="s">
        <v>34</v>
      </c>
      <c r="E2234" s="21" t="s">
        <v>35</v>
      </c>
      <c r="F2234">
        <v>11310029</v>
      </c>
      <c r="G2234" t="s">
        <v>3717</v>
      </c>
      <c r="H2234" s="21">
        <v>1401.67</v>
      </c>
    </row>
    <row r="2235" spans="1:8" customFormat="1" x14ac:dyDescent="0.25">
      <c r="A2235" t="str">
        <f>"33397"</f>
        <v>33397</v>
      </c>
      <c r="B2235" t="s">
        <v>2374</v>
      </c>
      <c r="C2235" t="s">
        <v>109</v>
      </c>
      <c r="D2235" s="21" t="s">
        <v>34</v>
      </c>
      <c r="E2235" s="21" t="s">
        <v>71</v>
      </c>
      <c r="F2235">
        <v>10330117</v>
      </c>
      <c r="G2235" t="s">
        <v>1942</v>
      </c>
      <c r="H2235" s="21">
        <v>1401.67</v>
      </c>
    </row>
    <row r="2236" spans="1:8" customFormat="1" x14ac:dyDescent="0.25">
      <c r="A2236" t="str">
        <f>"163087"</f>
        <v>163087</v>
      </c>
      <c r="B2236" t="s">
        <v>2564</v>
      </c>
      <c r="C2236" t="s">
        <v>33</v>
      </c>
      <c r="D2236" s="21" t="s">
        <v>34</v>
      </c>
      <c r="E2236" s="21" t="s">
        <v>35</v>
      </c>
      <c r="F2236">
        <v>10160185</v>
      </c>
      <c r="G2236" t="s">
        <v>2035</v>
      </c>
      <c r="H2236" s="21">
        <v>1401.67</v>
      </c>
    </row>
    <row r="2237" spans="1:8" customFormat="1" x14ac:dyDescent="0.25">
      <c r="A2237" t="str">
        <f>"418451"</f>
        <v>418451</v>
      </c>
      <c r="B2237" t="s">
        <v>3181</v>
      </c>
      <c r="C2237" t="s">
        <v>130</v>
      </c>
      <c r="D2237" s="21" t="s">
        <v>34</v>
      </c>
      <c r="E2237" s="21" t="s">
        <v>71</v>
      </c>
      <c r="F2237">
        <v>4410080</v>
      </c>
      <c r="G2237" t="s">
        <v>135</v>
      </c>
      <c r="H2237" s="21">
        <v>1401.67</v>
      </c>
    </row>
    <row r="2238" spans="1:8" customFormat="1" x14ac:dyDescent="0.25">
      <c r="A2238" t="str">
        <f>"3717177"</f>
        <v>3717177</v>
      </c>
      <c r="B2238" t="s">
        <v>3041</v>
      </c>
      <c r="C2238" t="s">
        <v>40</v>
      </c>
      <c r="D2238" s="21" t="s">
        <v>34</v>
      </c>
      <c r="E2238" s="21" t="s">
        <v>254</v>
      </c>
      <c r="F2238">
        <v>4370002</v>
      </c>
      <c r="G2238" t="s">
        <v>112</v>
      </c>
      <c r="H2238" s="21">
        <v>1401.67</v>
      </c>
    </row>
    <row r="2239" spans="1:8" customFormat="1" x14ac:dyDescent="0.25">
      <c r="A2239" t="str">
        <f>"88854"</f>
        <v>88854</v>
      </c>
      <c r="B2239" t="s">
        <v>3278</v>
      </c>
      <c r="C2239" t="s">
        <v>209</v>
      </c>
      <c r="D2239" s="21" t="s">
        <v>34</v>
      </c>
      <c r="E2239" s="21" t="s">
        <v>71</v>
      </c>
      <c r="F2239">
        <v>6880002</v>
      </c>
      <c r="G2239" t="s">
        <v>501</v>
      </c>
      <c r="H2239" s="21">
        <v>1401.17</v>
      </c>
    </row>
    <row r="2240" spans="1:8" customFormat="1" x14ac:dyDescent="0.25">
      <c r="A2240" t="str">
        <f>"43186"</f>
        <v>43186</v>
      </c>
      <c r="B2240" t="s">
        <v>3112</v>
      </c>
      <c r="C2240" t="s">
        <v>209</v>
      </c>
      <c r="D2240" s="21" t="s">
        <v>34</v>
      </c>
      <c r="E2240" s="21" t="s">
        <v>71</v>
      </c>
      <c r="F2240">
        <v>1420009</v>
      </c>
      <c r="G2240" t="s">
        <v>3113</v>
      </c>
      <c r="H2240" s="21">
        <v>1401.17</v>
      </c>
    </row>
    <row r="2241" spans="1:8" customFormat="1" x14ac:dyDescent="0.25">
      <c r="A2241" t="str">
        <f>"6012513"</f>
        <v>6012513</v>
      </c>
      <c r="B2241" t="s">
        <v>3833</v>
      </c>
      <c r="C2241" t="s">
        <v>269</v>
      </c>
      <c r="D2241" s="21" t="s">
        <v>34</v>
      </c>
      <c r="E2241" s="21" t="s">
        <v>254</v>
      </c>
      <c r="F2241">
        <v>7600003</v>
      </c>
      <c r="G2241" t="s">
        <v>3515</v>
      </c>
      <c r="H2241" s="21">
        <v>1401.17</v>
      </c>
    </row>
    <row r="2242" spans="1:8" customFormat="1" x14ac:dyDescent="0.25">
      <c r="A2242" t="str">
        <f>"954493"</f>
        <v>954493</v>
      </c>
      <c r="B2242" t="s">
        <v>2658</v>
      </c>
      <c r="C2242" t="s">
        <v>3648</v>
      </c>
      <c r="D2242" s="21" t="s">
        <v>34</v>
      </c>
      <c r="E2242" s="21" t="s">
        <v>35</v>
      </c>
      <c r="F2242">
        <v>8950022</v>
      </c>
      <c r="G2242" t="s">
        <v>2785</v>
      </c>
      <c r="H2242" s="21">
        <v>1401.17</v>
      </c>
    </row>
    <row r="2243" spans="1:8" customFormat="1" x14ac:dyDescent="0.25">
      <c r="A2243" t="str">
        <f>"6715356"</f>
        <v>6715356</v>
      </c>
      <c r="B2243" t="s">
        <v>3803</v>
      </c>
      <c r="C2243" t="s">
        <v>1132</v>
      </c>
      <c r="D2243" s="21" t="s">
        <v>34</v>
      </c>
      <c r="E2243" s="21" t="s">
        <v>35</v>
      </c>
      <c r="F2243">
        <v>6670257</v>
      </c>
      <c r="G2243" t="s">
        <v>26708</v>
      </c>
      <c r="H2243" s="21">
        <v>1401.17</v>
      </c>
    </row>
    <row r="2244" spans="1:8" customFormat="1" x14ac:dyDescent="0.25">
      <c r="A2244" t="str">
        <f>"08154"</f>
        <v>08154</v>
      </c>
      <c r="B2244" t="s">
        <v>3366</v>
      </c>
      <c r="C2244" t="s">
        <v>211</v>
      </c>
      <c r="D2244" s="21" t="s">
        <v>34</v>
      </c>
      <c r="E2244" s="21" t="s">
        <v>254</v>
      </c>
      <c r="F2244">
        <v>6080035</v>
      </c>
      <c r="G2244" t="s">
        <v>583</v>
      </c>
      <c r="H2244" s="21">
        <v>1401.17</v>
      </c>
    </row>
    <row r="2245" spans="1:8" customFormat="1" x14ac:dyDescent="0.25">
      <c r="A2245" t="str">
        <f>"9419844"</f>
        <v>9419844</v>
      </c>
      <c r="B2245" t="s">
        <v>3770</v>
      </c>
      <c r="C2245" t="s">
        <v>462</v>
      </c>
      <c r="D2245" s="21" t="s">
        <v>34</v>
      </c>
      <c r="E2245" s="21" t="s">
        <v>71</v>
      </c>
      <c r="F2245">
        <v>8940326</v>
      </c>
      <c r="G2245" t="s">
        <v>659</v>
      </c>
      <c r="H2245" s="21">
        <v>1400.92</v>
      </c>
    </row>
    <row r="2246" spans="1:8" customFormat="1" x14ac:dyDescent="0.25">
      <c r="A2246" t="str">
        <f>"387087"</f>
        <v>387087</v>
      </c>
      <c r="B2246" t="s">
        <v>3686</v>
      </c>
      <c r="C2246" t="s">
        <v>664</v>
      </c>
      <c r="D2246" s="21" t="s">
        <v>34</v>
      </c>
      <c r="E2246" s="21" t="s">
        <v>254</v>
      </c>
      <c r="F2246">
        <v>3220048</v>
      </c>
      <c r="G2246" t="s">
        <v>26532</v>
      </c>
      <c r="H2246" s="21">
        <v>1400.92</v>
      </c>
    </row>
    <row r="2247" spans="1:8" customFormat="1" x14ac:dyDescent="0.25">
      <c r="A2247" t="str">
        <f>"428813"</f>
        <v>428813</v>
      </c>
      <c r="B2247" t="s">
        <v>3168</v>
      </c>
      <c r="C2247" t="s">
        <v>90</v>
      </c>
      <c r="D2247" s="21" t="s">
        <v>34</v>
      </c>
      <c r="E2247" s="21" t="s">
        <v>35</v>
      </c>
      <c r="F2247">
        <v>10870117</v>
      </c>
      <c r="G2247" t="s">
        <v>3139</v>
      </c>
      <c r="H2247" s="21">
        <v>1400.8</v>
      </c>
    </row>
    <row r="2248" spans="1:8" customFormat="1" x14ac:dyDescent="0.25">
      <c r="A2248" t="str">
        <f>"919117"</f>
        <v>919117</v>
      </c>
      <c r="B2248" t="s">
        <v>3727</v>
      </c>
      <c r="C2248" t="s">
        <v>171</v>
      </c>
      <c r="D2248" s="21" t="s">
        <v>34</v>
      </c>
      <c r="E2248" s="21" t="s">
        <v>35</v>
      </c>
      <c r="F2248">
        <v>8910918</v>
      </c>
      <c r="G2248" t="s">
        <v>332</v>
      </c>
      <c r="H2248" s="21">
        <v>1400.17</v>
      </c>
    </row>
    <row r="2249" spans="1:8" customFormat="1" x14ac:dyDescent="0.25">
      <c r="A2249" t="str">
        <f>"3512238"</f>
        <v>3512238</v>
      </c>
      <c r="B2249" t="s">
        <v>3813</v>
      </c>
      <c r="C2249" t="s">
        <v>1132</v>
      </c>
      <c r="D2249" s="21" t="s">
        <v>34</v>
      </c>
      <c r="E2249" s="21" t="s">
        <v>35</v>
      </c>
      <c r="F2249">
        <v>12530055</v>
      </c>
      <c r="G2249" t="s">
        <v>3814</v>
      </c>
      <c r="H2249" s="21">
        <v>1400.17</v>
      </c>
    </row>
    <row r="2250" spans="1:8" customFormat="1" x14ac:dyDescent="0.25">
      <c r="A2250" t="str">
        <f>"341897"</f>
        <v>341897</v>
      </c>
      <c r="B2250" t="s">
        <v>958</v>
      </c>
      <c r="C2250" t="s">
        <v>328</v>
      </c>
      <c r="D2250" s="21" t="s">
        <v>34</v>
      </c>
      <c r="E2250" s="21" t="s">
        <v>71</v>
      </c>
      <c r="F2250">
        <v>11340007</v>
      </c>
      <c r="G2250" t="s">
        <v>2278</v>
      </c>
      <c r="H2250" s="21">
        <v>1400.17</v>
      </c>
    </row>
    <row r="2251" spans="1:8" customFormat="1" x14ac:dyDescent="0.25">
      <c r="A2251" t="str">
        <f>"9765236"</f>
        <v>9765236</v>
      </c>
      <c r="B2251" t="s">
        <v>4050</v>
      </c>
      <c r="C2251" t="s">
        <v>121</v>
      </c>
      <c r="D2251" s="21" t="s">
        <v>34</v>
      </c>
      <c r="E2251" s="21" t="s">
        <v>35</v>
      </c>
      <c r="F2251">
        <v>2890023</v>
      </c>
      <c r="G2251" t="s">
        <v>1995</v>
      </c>
      <c r="H2251" s="21">
        <v>1400.17</v>
      </c>
    </row>
    <row r="2252" spans="1:8" customFormat="1" x14ac:dyDescent="0.25">
      <c r="A2252" t="str">
        <f>"627759"</f>
        <v>627759</v>
      </c>
      <c r="B2252" t="s">
        <v>3034</v>
      </c>
      <c r="C2252" t="s">
        <v>60</v>
      </c>
      <c r="D2252" s="21" t="s">
        <v>34</v>
      </c>
      <c r="E2252" s="21" t="s">
        <v>35</v>
      </c>
      <c r="F2252">
        <v>7620108</v>
      </c>
      <c r="G2252" t="s">
        <v>3035</v>
      </c>
      <c r="H2252" s="21">
        <v>1400.17</v>
      </c>
    </row>
    <row r="2253" spans="1:8" customFormat="1" x14ac:dyDescent="0.25">
      <c r="A2253" t="str">
        <f>"745387"</f>
        <v>745387</v>
      </c>
      <c r="B2253" t="s">
        <v>3050</v>
      </c>
      <c r="C2253" t="s">
        <v>62</v>
      </c>
      <c r="D2253" s="21" t="s">
        <v>34</v>
      </c>
      <c r="E2253" s="21" t="s">
        <v>35</v>
      </c>
      <c r="F2253">
        <v>9760319</v>
      </c>
      <c r="G2253" t="s">
        <v>3051</v>
      </c>
      <c r="H2253" s="21">
        <v>1400.17</v>
      </c>
    </row>
    <row r="2254" spans="1:8" customFormat="1" x14ac:dyDescent="0.25">
      <c r="A2254" t="str">
        <f>"671079"</f>
        <v>671079</v>
      </c>
      <c r="B2254" t="s">
        <v>690</v>
      </c>
      <c r="C2254" t="s">
        <v>1605</v>
      </c>
      <c r="D2254" s="21" t="s">
        <v>34</v>
      </c>
      <c r="E2254" s="21" t="s">
        <v>71</v>
      </c>
      <c r="F2254">
        <v>6670114</v>
      </c>
      <c r="G2254" t="s">
        <v>3084</v>
      </c>
      <c r="H2254" s="21">
        <v>1400.17</v>
      </c>
    </row>
    <row r="2255" spans="1:8" customFormat="1" x14ac:dyDescent="0.25">
      <c r="A2255" t="str">
        <f>"4218578"</f>
        <v>4218578</v>
      </c>
      <c r="B2255" t="s">
        <v>3815</v>
      </c>
      <c r="C2255" t="s">
        <v>96</v>
      </c>
      <c r="D2255" s="21" t="s">
        <v>34</v>
      </c>
      <c r="E2255" s="21" t="s">
        <v>35</v>
      </c>
      <c r="F2255">
        <v>1420117</v>
      </c>
      <c r="G2255" t="s">
        <v>2649</v>
      </c>
      <c r="H2255" s="21">
        <v>1399.67</v>
      </c>
    </row>
    <row r="2256" spans="1:8" customFormat="1" x14ac:dyDescent="0.25">
      <c r="A2256" t="str">
        <f>"7511395"</f>
        <v>7511395</v>
      </c>
      <c r="B2256" t="s">
        <v>2841</v>
      </c>
      <c r="C2256" t="s">
        <v>60</v>
      </c>
      <c r="D2256" s="21" t="s">
        <v>34</v>
      </c>
      <c r="E2256" s="21" t="s">
        <v>71</v>
      </c>
      <c r="F2256">
        <v>8751061</v>
      </c>
      <c r="G2256" t="s">
        <v>26628</v>
      </c>
      <c r="H2256" s="21">
        <v>1399.67</v>
      </c>
    </row>
    <row r="2257" spans="1:8" customFormat="1" x14ac:dyDescent="0.25">
      <c r="A2257" t="str">
        <f>"448094"</f>
        <v>448094</v>
      </c>
      <c r="B2257" t="s">
        <v>3248</v>
      </c>
      <c r="C2257" t="s">
        <v>302</v>
      </c>
      <c r="D2257" s="21" t="s">
        <v>34</v>
      </c>
      <c r="E2257" s="21" t="s">
        <v>35</v>
      </c>
      <c r="F2257">
        <v>12440081</v>
      </c>
      <c r="G2257" t="s">
        <v>617</v>
      </c>
      <c r="H2257" s="21">
        <v>1399.67</v>
      </c>
    </row>
    <row r="2258" spans="1:8" customFormat="1" x14ac:dyDescent="0.25">
      <c r="A2258" t="str">
        <f>"511232"</f>
        <v>511232</v>
      </c>
      <c r="B2258" t="s">
        <v>2796</v>
      </c>
      <c r="C2258" t="s">
        <v>33</v>
      </c>
      <c r="D2258" s="21" t="s">
        <v>34</v>
      </c>
      <c r="E2258" s="21" t="s">
        <v>71</v>
      </c>
      <c r="F2258">
        <v>6510107</v>
      </c>
      <c r="G2258" t="s">
        <v>1392</v>
      </c>
      <c r="H2258" s="21">
        <v>1399.67</v>
      </c>
    </row>
    <row r="2259" spans="1:8" customFormat="1" x14ac:dyDescent="0.25">
      <c r="A2259" t="str">
        <f>"7622059"</f>
        <v>7622059</v>
      </c>
      <c r="B2259" t="s">
        <v>2567</v>
      </c>
      <c r="C2259" t="s">
        <v>60</v>
      </c>
      <c r="D2259" s="21" t="s">
        <v>34</v>
      </c>
      <c r="E2259" s="21" t="s">
        <v>71</v>
      </c>
      <c r="F2259">
        <v>9760382</v>
      </c>
      <c r="G2259" t="s">
        <v>2737</v>
      </c>
      <c r="H2259" s="21">
        <v>1399.67</v>
      </c>
    </row>
    <row r="2260" spans="1:8" customFormat="1" x14ac:dyDescent="0.25">
      <c r="A2260" t="str">
        <f>"033200"</f>
        <v>033200</v>
      </c>
      <c r="B2260" t="s">
        <v>3478</v>
      </c>
      <c r="C2260" t="s">
        <v>328</v>
      </c>
      <c r="D2260" s="21" t="s">
        <v>34</v>
      </c>
      <c r="E2260" s="21" t="s">
        <v>35</v>
      </c>
      <c r="F2260">
        <v>1030212</v>
      </c>
      <c r="G2260" t="s">
        <v>3479</v>
      </c>
      <c r="H2260" s="21">
        <v>1399.67</v>
      </c>
    </row>
    <row r="2261" spans="1:8" customFormat="1" x14ac:dyDescent="0.25">
      <c r="A2261" t="str">
        <f>"6211264"</f>
        <v>6211264</v>
      </c>
      <c r="B2261" t="s">
        <v>3358</v>
      </c>
      <c r="C2261" t="s">
        <v>879</v>
      </c>
      <c r="D2261" s="21" t="s">
        <v>34</v>
      </c>
      <c r="E2261" s="21" t="s">
        <v>71</v>
      </c>
      <c r="F2261">
        <v>7620088</v>
      </c>
      <c r="G2261" t="s">
        <v>3342</v>
      </c>
      <c r="H2261" s="21">
        <v>1399.67</v>
      </c>
    </row>
    <row r="2262" spans="1:8" customFormat="1" x14ac:dyDescent="0.25">
      <c r="A2262" t="str">
        <f>"6310378"</f>
        <v>6310378</v>
      </c>
      <c r="B2262" t="s">
        <v>26709</v>
      </c>
      <c r="C2262" t="s">
        <v>156</v>
      </c>
      <c r="D2262" s="21" t="s">
        <v>34</v>
      </c>
      <c r="E2262" s="21" t="s">
        <v>71</v>
      </c>
      <c r="F2262">
        <v>1630078</v>
      </c>
      <c r="G2262" t="s">
        <v>326</v>
      </c>
      <c r="H2262" s="21">
        <v>1399.67</v>
      </c>
    </row>
    <row r="2263" spans="1:8" customFormat="1" x14ac:dyDescent="0.25">
      <c r="A2263" t="str">
        <f>"2912284"</f>
        <v>2912284</v>
      </c>
      <c r="B2263" t="s">
        <v>16992</v>
      </c>
      <c r="C2263" t="s">
        <v>631</v>
      </c>
      <c r="D2263" s="21" t="s">
        <v>34</v>
      </c>
      <c r="E2263" s="21" t="s">
        <v>35</v>
      </c>
      <c r="F2263">
        <v>3290276</v>
      </c>
      <c r="G2263" t="s">
        <v>26710</v>
      </c>
      <c r="H2263" s="21">
        <v>1399.67</v>
      </c>
    </row>
    <row r="2264" spans="1:8" customFormat="1" x14ac:dyDescent="0.25">
      <c r="A2264" t="str">
        <f>"4411533"</f>
        <v>4411533</v>
      </c>
      <c r="B2264" t="s">
        <v>3116</v>
      </c>
      <c r="C2264" t="s">
        <v>65</v>
      </c>
      <c r="D2264" s="21" t="s">
        <v>34</v>
      </c>
      <c r="E2264" s="21" t="s">
        <v>71</v>
      </c>
      <c r="F2264">
        <v>12440195</v>
      </c>
      <c r="G2264" t="s">
        <v>3117</v>
      </c>
      <c r="H2264" s="21">
        <v>1399.67</v>
      </c>
    </row>
    <row r="2265" spans="1:8" customFormat="1" x14ac:dyDescent="0.25">
      <c r="A2265" t="str">
        <f>"75735"</f>
        <v>75735</v>
      </c>
      <c r="B2265" t="s">
        <v>2999</v>
      </c>
      <c r="C2265" t="s">
        <v>187</v>
      </c>
      <c r="D2265" s="21" t="s">
        <v>34</v>
      </c>
      <c r="E2265" s="21" t="s">
        <v>71</v>
      </c>
      <c r="F2265">
        <v>8750141</v>
      </c>
      <c r="G2265" t="s">
        <v>1514</v>
      </c>
      <c r="H2265" s="21">
        <v>1399.54</v>
      </c>
    </row>
    <row r="2266" spans="1:8" customFormat="1" x14ac:dyDescent="0.25">
      <c r="A2266" t="str">
        <f>"321345"</f>
        <v>321345</v>
      </c>
      <c r="B2266" t="s">
        <v>26711</v>
      </c>
      <c r="C2266" t="s">
        <v>428</v>
      </c>
      <c r="D2266" s="21" t="s">
        <v>34</v>
      </c>
      <c r="E2266" s="21" t="s">
        <v>35</v>
      </c>
      <c r="F2266">
        <v>11320032</v>
      </c>
      <c r="G2266" t="s">
        <v>5722</v>
      </c>
      <c r="H2266" s="21">
        <v>1399.17</v>
      </c>
    </row>
    <row r="2267" spans="1:8" customFormat="1" x14ac:dyDescent="0.25">
      <c r="A2267" t="str">
        <f>"74126"</f>
        <v>74126</v>
      </c>
      <c r="B2267" t="s">
        <v>2607</v>
      </c>
      <c r="C2267" t="s">
        <v>62</v>
      </c>
      <c r="D2267" s="21" t="s">
        <v>34</v>
      </c>
      <c r="E2267" s="21" t="s">
        <v>35</v>
      </c>
      <c r="F2267">
        <v>11320005</v>
      </c>
      <c r="G2267" t="s">
        <v>120</v>
      </c>
      <c r="H2267" s="21">
        <v>1399.17</v>
      </c>
    </row>
    <row r="2268" spans="1:8" customFormat="1" x14ac:dyDescent="0.25">
      <c r="A2268" t="str">
        <f>"883576"</f>
        <v>883576</v>
      </c>
      <c r="B2268" t="s">
        <v>26712</v>
      </c>
      <c r="C2268" t="s">
        <v>169</v>
      </c>
      <c r="D2268" s="21" t="s">
        <v>34</v>
      </c>
      <c r="E2268" s="21" t="s">
        <v>35</v>
      </c>
      <c r="F2268">
        <v>6880007</v>
      </c>
      <c r="G2268" t="s">
        <v>1039</v>
      </c>
      <c r="H2268" s="21">
        <v>1399.17</v>
      </c>
    </row>
    <row r="2269" spans="1:8" customFormat="1" x14ac:dyDescent="0.25">
      <c r="A2269" t="str">
        <f>"578122"</f>
        <v>578122</v>
      </c>
      <c r="B2269" t="s">
        <v>2426</v>
      </c>
      <c r="C2269" t="s">
        <v>151</v>
      </c>
      <c r="D2269" s="21" t="s">
        <v>34</v>
      </c>
      <c r="E2269" s="21" t="s">
        <v>71</v>
      </c>
      <c r="F2269">
        <v>6570014</v>
      </c>
      <c r="G2269" t="s">
        <v>72</v>
      </c>
      <c r="H2269" s="21">
        <v>1398.92</v>
      </c>
    </row>
    <row r="2270" spans="1:8" customFormat="1" x14ac:dyDescent="0.25">
      <c r="A2270" t="str">
        <f>"938583"</f>
        <v>938583</v>
      </c>
      <c r="B2270" t="s">
        <v>3290</v>
      </c>
      <c r="C2270" t="s">
        <v>40</v>
      </c>
      <c r="D2270" s="21" t="s">
        <v>34</v>
      </c>
      <c r="E2270" s="21" t="s">
        <v>254</v>
      </c>
      <c r="F2270">
        <v>10330003</v>
      </c>
      <c r="G2270" t="s">
        <v>309</v>
      </c>
      <c r="H2270" s="21">
        <v>1398.67</v>
      </c>
    </row>
    <row r="2271" spans="1:8" customFormat="1" x14ac:dyDescent="0.25">
      <c r="A2271" t="str">
        <f>"64170"</f>
        <v>64170</v>
      </c>
      <c r="B2271" t="s">
        <v>2673</v>
      </c>
      <c r="C2271" t="s">
        <v>263</v>
      </c>
      <c r="D2271" s="21" t="s">
        <v>34</v>
      </c>
      <c r="E2271" s="21" t="s">
        <v>71</v>
      </c>
      <c r="F2271">
        <v>10640003</v>
      </c>
      <c r="G2271" t="s">
        <v>1594</v>
      </c>
      <c r="H2271" s="21">
        <v>1398.67</v>
      </c>
    </row>
    <row r="2272" spans="1:8" customFormat="1" x14ac:dyDescent="0.25">
      <c r="A2272" t="str">
        <f>"381782"</f>
        <v>381782</v>
      </c>
      <c r="B2272" t="s">
        <v>3067</v>
      </c>
      <c r="C2272" t="s">
        <v>169</v>
      </c>
      <c r="D2272" s="21" t="s">
        <v>34</v>
      </c>
      <c r="E2272" s="21" t="s">
        <v>71</v>
      </c>
      <c r="F2272">
        <v>1380056</v>
      </c>
      <c r="G2272" t="s">
        <v>846</v>
      </c>
      <c r="H2272" s="21">
        <v>1398.67</v>
      </c>
    </row>
    <row r="2273" spans="1:8" customFormat="1" x14ac:dyDescent="0.25">
      <c r="A2273" t="str">
        <f>"9418265"</f>
        <v>9418265</v>
      </c>
      <c r="B2273" t="s">
        <v>3065</v>
      </c>
      <c r="C2273" t="s">
        <v>139</v>
      </c>
      <c r="D2273" s="21" t="s">
        <v>34</v>
      </c>
      <c r="E2273" s="21" t="s">
        <v>71</v>
      </c>
      <c r="F2273">
        <v>8940012</v>
      </c>
      <c r="G2273" t="s">
        <v>1648</v>
      </c>
      <c r="H2273" s="21">
        <v>1398.67</v>
      </c>
    </row>
    <row r="2274" spans="1:8" customFormat="1" x14ac:dyDescent="0.25">
      <c r="A2274" t="str">
        <f>"9522618"</f>
        <v>9522618</v>
      </c>
      <c r="B2274" t="s">
        <v>3706</v>
      </c>
      <c r="C2274" t="s">
        <v>121</v>
      </c>
      <c r="D2274" s="21" t="s">
        <v>34</v>
      </c>
      <c r="E2274" s="21" t="s">
        <v>71</v>
      </c>
      <c r="F2274">
        <v>8950553</v>
      </c>
      <c r="G2274" t="s">
        <v>1058</v>
      </c>
      <c r="H2274" s="21">
        <v>1398.55</v>
      </c>
    </row>
    <row r="2275" spans="1:8" customFormat="1" x14ac:dyDescent="0.25">
      <c r="A2275" t="str">
        <f>"5910865"</f>
        <v>5910865</v>
      </c>
      <c r="B2275" t="s">
        <v>3335</v>
      </c>
      <c r="C2275" t="s">
        <v>428</v>
      </c>
      <c r="D2275" s="21" t="s">
        <v>34</v>
      </c>
      <c r="E2275" s="21" t="s">
        <v>35</v>
      </c>
      <c r="F2275">
        <v>7590040</v>
      </c>
      <c r="G2275" t="s">
        <v>104</v>
      </c>
      <c r="H2275" s="21">
        <v>1398.17</v>
      </c>
    </row>
    <row r="2276" spans="1:8" customFormat="1" x14ac:dyDescent="0.25">
      <c r="A2276" t="str">
        <f>"886795"</f>
        <v>886795</v>
      </c>
      <c r="B2276" t="s">
        <v>3611</v>
      </c>
      <c r="C2276" t="s">
        <v>253</v>
      </c>
      <c r="D2276" s="21" t="s">
        <v>34</v>
      </c>
      <c r="E2276" s="21" t="s">
        <v>35</v>
      </c>
      <c r="F2276">
        <v>6540036</v>
      </c>
      <c r="G2276" t="s">
        <v>3612</v>
      </c>
      <c r="H2276" s="21">
        <v>1398.17</v>
      </c>
    </row>
    <row r="2277" spans="1:8" customFormat="1" x14ac:dyDescent="0.25">
      <c r="A2277" t="str">
        <f>"62932"</f>
        <v>62932</v>
      </c>
      <c r="B2277" t="s">
        <v>2519</v>
      </c>
      <c r="C2277" t="s">
        <v>2520</v>
      </c>
      <c r="D2277" s="21" t="s">
        <v>34</v>
      </c>
      <c r="E2277" s="21" t="s">
        <v>71</v>
      </c>
      <c r="F2277">
        <v>7620027</v>
      </c>
      <c r="G2277" t="s">
        <v>980</v>
      </c>
      <c r="H2277" s="21">
        <v>1397.92</v>
      </c>
    </row>
    <row r="2278" spans="1:8" customFormat="1" x14ac:dyDescent="0.25">
      <c r="A2278" t="str">
        <f>"9518213"</f>
        <v>9518213</v>
      </c>
      <c r="B2278" t="s">
        <v>1840</v>
      </c>
      <c r="C2278" t="s">
        <v>2641</v>
      </c>
      <c r="D2278" s="21" t="s">
        <v>34</v>
      </c>
      <c r="E2278" s="21" t="s">
        <v>71</v>
      </c>
      <c r="F2278">
        <v>8950978</v>
      </c>
      <c r="G2278" t="s">
        <v>1164</v>
      </c>
      <c r="H2278" s="21">
        <v>1397.67</v>
      </c>
    </row>
    <row r="2279" spans="1:8" customFormat="1" x14ac:dyDescent="0.25">
      <c r="A2279" t="str">
        <f>"9134702"</f>
        <v>9134702</v>
      </c>
      <c r="B2279" t="s">
        <v>1856</v>
      </c>
      <c r="C2279" t="s">
        <v>3037</v>
      </c>
      <c r="D2279" s="21" t="s">
        <v>34</v>
      </c>
      <c r="E2279" s="21" t="s">
        <v>35</v>
      </c>
      <c r="F2279">
        <v>8910028</v>
      </c>
      <c r="G2279" t="s">
        <v>2634</v>
      </c>
      <c r="H2279" s="21">
        <v>1397.67</v>
      </c>
    </row>
    <row r="2280" spans="1:8" customFormat="1" x14ac:dyDescent="0.25">
      <c r="A2280" t="str">
        <f>"505585"</f>
        <v>505585</v>
      </c>
      <c r="B2280" t="s">
        <v>26713</v>
      </c>
      <c r="C2280" t="s">
        <v>1708</v>
      </c>
      <c r="D2280" s="21" t="s">
        <v>34</v>
      </c>
      <c r="E2280" s="21" t="s">
        <v>35</v>
      </c>
      <c r="F2280">
        <v>9500059</v>
      </c>
      <c r="G2280" t="s">
        <v>26714</v>
      </c>
      <c r="H2280" s="21">
        <v>1397.67</v>
      </c>
    </row>
    <row r="2281" spans="1:8" customFormat="1" x14ac:dyDescent="0.25">
      <c r="A2281" t="str">
        <f>"782230"</f>
        <v>782230</v>
      </c>
      <c r="B2281" t="s">
        <v>1610</v>
      </c>
      <c r="C2281" t="s">
        <v>33</v>
      </c>
      <c r="D2281" s="21" t="s">
        <v>34</v>
      </c>
      <c r="E2281" s="21" t="s">
        <v>35</v>
      </c>
      <c r="F2281">
        <v>8780002</v>
      </c>
      <c r="G2281" t="s">
        <v>2196</v>
      </c>
      <c r="H2281" s="21">
        <v>1397.42</v>
      </c>
    </row>
    <row r="2282" spans="1:8" customFormat="1" x14ac:dyDescent="0.25">
      <c r="A2282" t="str">
        <f>"9226232"</f>
        <v>9226232</v>
      </c>
      <c r="B2282" t="s">
        <v>3674</v>
      </c>
      <c r="C2282" t="s">
        <v>82</v>
      </c>
      <c r="D2282" s="21" t="s">
        <v>34</v>
      </c>
      <c r="E2282" s="21" t="s">
        <v>35</v>
      </c>
      <c r="F2282">
        <v>8930148</v>
      </c>
      <c r="G2282" t="s">
        <v>1915</v>
      </c>
      <c r="H2282" s="21">
        <v>1397.3</v>
      </c>
    </row>
    <row r="2283" spans="1:8" customFormat="1" x14ac:dyDescent="0.25">
      <c r="A2283" t="str">
        <f>"1350"</f>
        <v>1350</v>
      </c>
      <c r="B2283" t="s">
        <v>3214</v>
      </c>
      <c r="C2283" t="s">
        <v>55</v>
      </c>
      <c r="D2283" s="21" t="s">
        <v>34</v>
      </c>
      <c r="E2283" s="21" t="s">
        <v>71</v>
      </c>
      <c r="F2283">
        <v>13130158</v>
      </c>
      <c r="G2283" t="s">
        <v>3215</v>
      </c>
      <c r="H2283" s="21">
        <v>1397.17</v>
      </c>
    </row>
    <row r="2284" spans="1:8" customFormat="1" x14ac:dyDescent="0.25">
      <c r="A2284" t="str">
        <f>"9111300"</f>
        <v>9111300</v>
      </c>
      <c r="B2284" t="s">
        <v>3301</v>
      </c>
      <c r="C2284" t="s">
        <v>55</v>
      </c>
      <c r="D2284" s="21" t="s">
        <v>34</v>
      </c>
      <c r="E2284" s="21" t="s">
        <v>71</v>
      </c>
      <c r="F2284">
        <v>8910914</v>
      </c>
      <c r="G2284" t="s">
        <v>3302</v>
      </c>
      <c r="H2284" s="21">
        <v>1397.17</v>
      </c>
    </row>
    <row r="2285" spans="1:8" customFormat="1" x14ac:dyDescent="0.25">
      <c r="A2285" t="str">
        <f>"703645"</f>
        <v>703645</v>
      </c>
      <c r="B2285" t="s">
        <v>3722</v>
      </c>
      <c r="C2285" t="s">
        <v>87</v>
      </c>
      <c r="D2285" s="21" t="s">
        <v>34</v>
      </c>
      <c r="E2285" s="21" t="s">
        <v>35</v>
      </c>
      <c r="F2285">
        <v>2700018</v>
      </c>
      <c r="G2285" t="s">
        <v>3723</v>
      </c>
      <c r="H2285" s="21">
        <v>1397.17</v>
      </c>
    </row>
    <row r="2286" spans="1:8" customFormat="1" x14ac:dyDescent="0.25">
      <c r="A2286" t="str">
        <f>"6716739"</f>
        <v>6716739</v>
      </c>
      <c r="B2286" t="s">
        <v>3502</v>
      </c>
      <c r="C2286" t="s">
        <v>239</v>
      </c>
      <c r="D2286" s="21" t="s">
        <v>34</v>
      </c>
      <c r="E2286" s="21" t="s">
        <v>254</v>
      </c>
      <c r="F2286">
        <v>6670027</v>
      </c>
      <c r="G2286" t="s">
        <v>2791</v>
      </c>
      <c r="H2286" s="21">
        <v>1397.17</v>
      </c>
    </row>
    <row r="2287" spans="1:8" customFormat="1" x14ac:dyDescent="0.25">
      <c r="A2287" t="str">
        <f>"011992"</f>
        <v>011992</v>
      </c>
      <c r="B2287" t="s">
        <v>2160</v>
      </c>
      <c r="C2287" t="s">
        <v>114</v>
      </c>
      <c r="D2287" s="21" t="s">
        <v>34</v>
      </c>
      <c r="E2287" s="21" t="s">
        <v>35</v>
      </c>
      <c r="F2287">
        <v>1010001</v>
      </c>
      <c r="G2287" t="s">
        <v>2161</v>
      </c>
      <c r="H2287" s="21">
        <v>1397.17</v>
      </c>
    </row>
    <row r="2288" spans="1:8" customFormat="1" x14ac:dyDescent="0.25">
      <c r="A2288" t="str">
        <f>"8013095"</f>
        <v>8013095</v>
      </c>
      <c r="B2288" t="s">
        <v>146</v>
      </c>
      <c r="C2288" t="s">
        <v>60</v>
      </c>
      <c r="D2288" s="21" t="s">
        <v>34</v>
      </c>
      <c r="E2288" s="21" t="s">
        <v>35</v>
      </c>
      <c r="F2288">
        <v>7800126</v>
      </c>
      <c r="G2288" t="s">
        <v>1105</v>
      </c>
      <c r="H2288" s="21">
        <v>1397</v>
      </c>
    </row>
    <row r="2289" spans="1:8" customFormat="1" x14ac:dyDescent="0.25">
      <c r="A2289" t="str">
        <f>"883821"</f>
        <v>883821</v>
      </c>
      <c r="B2289" t="s">
        <v>3100</v>
      </c>
      <c r="C2289" t="s">
        <v>139</v>
      </c>
      <c r="D2289" s="21" t="s">
        <v>34</v>
      </c>
      <c r="E2289" s="21" t="s">
        <v>35</v>
      </c>
      <c r="F2289">
        <v>6880010</v>
      </c>
      <c r="G2289" t="s">
        <v>1029</v>
      </c>
      <c r="H2289" s="21">
        <v>1396.92</v>
      </c>
    </row>
    <row r="2290" spans="1:8" customFormat="1" x14ac:dyDescent="0.25">
      <c r="A2290" t="str">
        <f>"913702"</f>
        <v>913702</v>
      </c>
      <c r="B2290" t="s">
        <v>2992</v>
      </c>
      <c r="C2290" t="s">
        <v>934</v>
      </c>
      <c r="D2290" s="21" t="s">
        <v>34</v>
      </c>
      <c r="E2290" s="21" t="s">
        <v>35</v>
      </c>
      <c r="F2290">
        <v>8921256</v>
      </c>
      <c r="G2290" t="s">
        <v>1038</v>
      </c>
      <c r="H2290" s="21">
        <v>1396.67</v>
      </c>
    </row>
    <row r="2291" spans="1:8" customFormat="1" x14ac:dyDescent="0.25">
      <c r="A2291" t="str">
        <f>"331927"</f>
        <v>331927</v>
      </c>
      <c r="B2291" t="s">
        <v>2781</v>
      </c>
      <c r="C2291" t="s">
        <v>415</v>
      </c>
      <c r="D2291" s="21" t="s">
        <v>34</v>
      </c>
      <c r="E2291" s="21" t="s">
        <v>71</v>
      </c>
      <c r="F2291">
        <v>10330117</v>
      </c>
      <c r="G2291" t="s">
        <v>1942</v>
      </c>
      <c r="H2291" s="21">
        <v>1396.67</v>
      </c>
    </row>
    <row r="2292" spans="1:8" customFormat="1" x14ac:dyDescent="0.25">
      <c r="A2292" t="str">
        <f>"49389"</f>
        <v>49389</v>
      </c>
      <c r="B2292" t="s">
        <v>2932</v>
      </c>
      <c r="C2292" t="s">
        <v>119</v>
      </c>
      <c r="D2292" s="21" t="s">
        <v>34</v>
      </c>
      <c r="E2292" s="21" t="s">
        <v>71</v>
      </c>
      <c r="F2292">
        <v>12490063</v>
      </c>
      <c r="G2292" t="s">
        <v>329</v>
      </c>
      <c r="H2292" s="21">
        <v>1396.67</v>
      </c>
    </row>
    <row r="2293" spans="1:8" customFormat="1" x14ac:dyDescent="0.25">
      <c r="A2293" t="str">
        <f>"7819458"</f>
        <v>7819458</v>
      </c>
      <c r="B2293" t="s">
        <v>4012</v>
      </c>
      <c r="C2293" t="s">
        <v>459</v>
      </c>
      <c r="D2293" s="21" t="s">
        <v>34</v>
      </c>
      <c r="E2293" s="21" t="s">
        <v>35</v>
      </c>
      <c r="F2293">
        <v>8780935</v>
      </c>
      <c r="G2293" t="s">
        <v>1944</v>
      </c>
      <c r="H2293" s="21">
        <v>1396.56</v>
      </c>
    </row>
    <row r="2294" spans="1:8" customFormat="1" x14ac:dyDescent="0.25">
      <c r="A2294" t="str">
        <f>"9248902"</f>
        <v>9248902</v>
      </c>
      <c r="B2294" t="s">
        <v>4175</v>
      </c>
      <c r="C2294" t="s">
        <v>55</v>
      </c>
      <c r="D2294" s="21" t="s">
        <v>34</v>
      </c>
      <c r="E2294" s="21" t="s">
        <v>35</v>
      </c>
      <c r="F2294">
        <v>8920151</v>
      </c>
      <c r="G2294" t="s">
        <v>1434</v>
      </c>
      <c r="H2294" s="21">
        <v>1396.55</v>
      </c>
    </row>
    <row r="2295" spans="1:8" customFormat="1" x14ac:dyDescent="0.25">
      <c r="A2295" t="str">
        <f>"38831"</f>
        <v>38831</v>
      </c>
      <c r="B2295" t="s">
        <v>2875</v>
      </c>
      <c r="C2295" t="s">
        <v>246</v>
      </c>
      <c r="D2295" s="21" t="s">
        <v>34</v>
      </c>
      <c r="E2295" s="21" t="s">
        <v>71</v>
      </c>
      <c r="F2295">
        <v>1380236</v>
      </c>
      <c r="G2295" t="s">
        <v>2876</v>
      </c>
      <c r="H2295" s="21">
        <v>1396.42</v>
      </c>
    </row>
    <row r="2296" spans="1:8" customFormat="1" x14ac:dyDescent="0.25">
      <c r="A2296" t="str">
        <f>"429517"</f>
        <v>429517</v>
      </c>
      <c r="B2296" t="s">
        <v>1936</v>
      </c>
      <c r="C2296" t="s">
        <v>879</v>
      </c>
      <c r="D2296" s="21" t="s">
        <v>34</v>
      </c>
      <c r="E2296" s="21" t="s">
        <v>71</v>
      </c>
      <c r="F2296">
        <v>1420110</v>
      </c>
      <c r="G2296" t="s">
        <v>3928</v>
      </c>
      <c r="H2296" s="21">
        <v>1396.29</v>
      </c>
    </row>
    <row r="2297" spans="1:8" customFormat="1" x14ac:dyDescent="0.25">
      <c r="A2297" t="str">
        <f>"26629"</f>
        <v>26629</v>
      </c>
      <c r="B2297" t="s">
        <v>3024</v>
      </c>
      <c r="C2297" t="s">
        <v>62</v>
      </c>
      <c r="D2297" s="21" t="s">
        <v>34</v>
      </c>
      <c r="E2297" s="21" t="s">
        <v>71</v>
      </c>
      <c r="F2297">
        <v>1260026</v>
      </c>
      <c r="G2297" t="s">
        <v>516</v>
      </c>
      <c r="H2297" s="21">
        <v>1396.17</v>
      </c>
    </row>
    <row r="2298" spans="1:8" customFormat="1" x14ac:dyDescent="0.25">
      <c r="A2298" t="str">
        <f>"895589"</f>
        <v>895589</v>
      </c>
      <c r="B2298" t="s">
        <v>2706</v>
      </c>
      <c r="C2298" t="s">
        <v>1782</v>
      </c>
      <c r="D2298" s="21" t="s">
        <v>34</v>
      </c>
      <c r="E2298" s="21" t="s">
        <v>35</v>
      </c>
      <c r="F2298">
        <v>2890006</v>
      </c>
      <c r="G2298" t="s">
        <v>2044</v>
      </c>
      <c r="H2298" s="21">
        <v>1396.17</v>
      </c>
    </row>
    <row r="2299" spans="1:8" customFormat="1" x14ac:dyDescent="0.25">
      <c r="A2299" t="str">
        <f>"2711001"</f>
        <v>2711001</v>
      </c>
      <c r="B2299" t="s">
        <v>3593</v>
      </c>
      <c r="C2299" t="s">
        <v>60</v>
      </c>
      <c r="D2299" s="21" t="s">
        <v>34</v>
      </c>
      <c r="E2299" s="21" t="s">
        <v>71</v>
      </c>
      <c r="F2299">
        <v>9760266</v>
      </c>
      <c r="G2299" t="s">
        <v>1891</v>
      </c>
      <c r="H2299" s="21">
        <v>1395.81</v>
      </c>
    </row>
    <row r="2300" spans="1:8" customFormat="1" x14ac:dyDescent="0.25">
      <c r="A2300" t="str">
        <f>"4912668"</f>
        <v>4912668</v>
      </c>
      <c r="B2300" t="s">
        <v>3452</v>
      </c>
      <c r="C2300" t="s">
        <v>33</v>
      </c>
      <c r="D2300" s="21" t="s">
        <v>34</v>
      </c>
      <c r="E2300" s="21" t="s">
        <v>35</v>
      </c>
      <c r="F2300">
        <v>12490039</v>
      </c>
      <c r="G2300" t="s">
        <v>3453</v>
      </c>
      <c r="H2300" s="21">
        <v>1395.8</v>
      </c>
    </row>
    <row r="2301" spans="1:8" customFormat="1" x14ac:dyDescent="0.25">
      <c r="A2301" t="str">
        <f>"888499"</f>
        <v>888499</v>
      </c>
      <c r="B2301" t="s">
        <v>3192</v>
      </c>
      <c r="C2301" t="s">
        <v>812</v>
      </c>
      <c r="D2301" s="21" t="s">
        <v>34</v>
      </c>
      <c r="E2301" s="21" t="s">
        <v>71</v>
      </c>
      <c r="F2301">
        <v>6880010</v>
      </c>
      <c r="G2301" t="s">
        <v>1029</v>
      </c>
      <c r="H2301" s="21">
        <v>1395.67</v>
      </c>
    </row>
    <row r="2302" spans="1:8" customFormat="1" x14ac:dyDescent="0.25">
      <c r="A2302" t="str">
        <f>"442256"</f>
        <v>442256</v>
      </c>
      <c r="B2302" t="s">
        <v>2434</v>
      </c>
      <c r="C2302" t="s">
        <v>2435</v>
      </c>
      <c r="D2302" s="21" t="s">
        <v>34</v>
      </c>
      <c r="E2302" s="21" t="s">
        <v>71</v>
      </c>
      <c r="F2302">
        <v>12440074</v>
      </c>
      <c r="G2302" t="s">
        <v>2436</v>
      </c>
      <c r="H2302" s="21">
        <v>1395.67</v>
      </c>
    </row>
    <row r="2303" spans="1:8" customFormat="1" x14ac:dyDescent="0.25">
      <c r="A2303" t="str">
        <f>"5610649"</f>
        <v>5610649</v>
      </c>
      <c r="B2303" t="s">
        <v>2109</v>
      </c>
      <c r="C2303" t="s">
        <v>1819</v>
      </c>
      <c r="D2303" s="21" t="s">
        <v>34</v>
      </c>
      <c r="E2303" s="21" t="s">
        <v>35</v>
      </c>
      <c r="F2303">
        <v>12850069</v>
      </c>
      <c r="G2303" t="s">
        <v>2154</v>
      </c>
      <c r="H2303" s="21">
        <v>1395.67</v>
      </c>
    </row>
    <row r="2304" spans="1:8" customFormat="1" x14ac:dyDescent="0.25">
      <c r="A2304" t="str">
        <f>"4426612"</f>
        <v>4426612</v>
      </c>
      <c r="B2304" t="s">
        <v>3167</v>
      </c>
      <c r="C2304" t="s">
        <v>171</v>
      </c>
      <c r="D2304" s="21" t="s">
        <v>34</v>
      </c>
      <c r="E2304" s="21" t="s">
        <v>71</v>
      </c>
      <c r="F2304">
        <v>12440197</v>
      </c>
      <c r="G2304" t="s">
        <v>1101</v>
      </c>
      <c r="H2304" s="21">
        <v>1395.67</v>
      </c>
    </row>
    <row r="2305" spans="1:8" customFormat="1" x14ac:dyDescent="0.25">
      <c r="A2305" t="str">
        <f>"271003"</f>
        <v>271003</v>
      </c>
      <c r="B2305" t="s">
        <v>3087</v>
      </c>
      <c r="C2305" t="s">
        <v>87</v>
      </c>
      <c r="D2305" s="21" t="s">
        <v>34</v>
      </c>
      <c r="E2305" s="21" t="s">
        <v>35</v>
      </c>
      <c r="F2305">
        <v>9270060</v>
      </c>
      <c r="G2305" t="s">
        <v>1982</v>
      </c>
      <c r="H2305" s="21">
        <v>1395.54</v>
      </c>
    </row>
    <row r="2306" spans="1:8" customFormat="1" x14ac:dyDescent="0.25">
      <c r="A2306" t="str">
        <f>"9221668"</f>
        <v>9221668</v>
      </c>
      <c r="B2306" t="s">
        <v>3844</v>
      </c>
      <c r="C2306" t="s">
        <v>40</v>
      </c>
      <c r="D2306" s="21" t="s">
        <v>34</v>
      </c>
      <c r="E2306" s="21" t="s">
        <v>71</v>
      </c>
      <c r="F2306">
        <v>8920312</v>
      </c>
      <c r="G2306" t="s">
        <v>1026</v>
      </c>
      <c r="H2306" s="21">
        <v>1395.31</v>
      </c>
    </row>
    <row r="2307" spans="1:8" customFormat="1" x14ac:dyDescent="0.25">
      <c r="A2307" t="str">
        <f>"4474"</f>
        <v>4474</v>
      </c>
      <c r="B2307" t="s">
        <v>1247</v>
      </c>
      <c r="C2307" t="s">
        <v>109</v>
      </c>
      <c r="D2307" s="21" t="s">
        <v>34</v>
      </c>
      <c r="E2307" s="21" t="s">
        <v>71</v>
      </c>
      <c r="F2307">
        <v>12440024</v>
      </c>
      <c r="G2307" t="s">
        <v>2205</v>
      </c>
      <c r="H2307" s="21">
        <v>1395.17</v>
      </c>
    </row>
    <row r="2308" spans="1:8" customFormat="1" x14ac:dyDescent="0.25">
      <c r="A2308" t="str">
        <f>"725086"</f>
        <v>725086</v>
      </c>
      <c r="B2308" t="s">
        <v>641</v>
      </c>
      <c r="C2308" t="s">
        <v>267</v>
      </c>
      <c r="D2308" s="21" t="s">
        <v>34</v>
      </c>
      <c r="E2308" s="21" t="s">
        <v>35</v>
      </c>
      <c r="F2308">
        <v>12720104</v>
      </c>
      <c r="G2308" t="s">
        <v>224</v>
      </c>
      <c r="H2308" s="21">
        <v>1395.17</v>
      </c>
    </row>
    <row r="2309" spans="1:8" customFormat="1" x14ac:dyDescent="0.25">
      <c r="A2309" t="str">
        <f>"6720740"</f>
        <v>6720740</v>
      </c>
      <c r="B2309" t="s">
        <v>3741</v>
      </c>
      <c r="C2309" t="s">
        <v>1605</v>
      </c>
      <c r="D2309" s="21" t="s">
        <v>34</v>
      </c>
      <c r="E2309" s="21" t="s">
        <v>71</v>
      </c>
      <c r="F2309">
        <v>6670221</v>
      </c>
      <c r="G2309" t="s">
        <v>3742</v>
      </c>
      <c r="H2309" s="21">
        <v>1395.17</v>
      </c>
    </row>
    <row r="2310" spans="1:8" customFormat="1" x14ac:dyDescent="0.25">
      <c r="A2310" t="str">
        <f>"9727348"</f>
        <v>9727348</v>
      </c>
      <c r="B2310" t="s">
        <v>2912</v>
      </c>
      <c r="C2310" t="s">
        <v>2913</v>
      </c>
      <c r="D2310" s="21" t="s">
        <v>34</v>
      </c>
      <c r="E2310" s="21" t="s">
        <v>71</v>
      </c>
      <c r="F2310" t="s">
        <v>1923</v>
      </c>
      <c r="G2310" t="s">
        <v>1924</v>
      </c>
      <c r="H2310" s="21">
        <v>1395.17</v>
      </c>
    </row>
    <row r="2311" spans="1:8" customFormat="1" x14ac:dyDescent="0.25">
      <c r="A2311" t="str">
        <f>"855401"</f>
        <v>855401</v>
      </c>
      <c r="B2311" t="s">
        <v>2662</v>
      </c>
      <c r="C2311" t="s">
        <v>109</v>
      </c>
      <c r="D2311" s="21" t="s">
        <v>34</v>
      </c>
      <c r="E2311" s="21" t="s">
        <v>35</v>
      </c>
      <c r="F2311">
        <v>12850142</v>
      </c>
      <c r="G2311" t="s">
        <v>2663</v>
      </c>
      <c r="H2311" s="21">
        <v>1395.17</v>
      </c>
    </row>
    <row r="2312" spans="1:8" customFormat="1" x14ac:dyDescent="0.25">
      <c r="A2312" t="str">
        <f>"621567"</f>
        <v>621567</v>
      </c>
      <c r="B2312" t="s">
        <v>3320</v>
      </c>
      <c r="C2312" t="s">
        <v>3321</v>
      </c>
      <c r="D2312" s="21" t="s">
        <v>34</v>
      </c>
      <c r="E2312" s="21" t="s">
        <v>35</v>
      </c>
      <c r="F2312">
        <v>7620031</v>
      </c>
      <c r="G2312" t="s">
        <v>2182</v>
      </c>
      <c r="H2312" s="21">
        <v>1395.17</v>
      </c>
    </row>
    <row r="2313" spans="1:8" customFormat="1" x14ac:dyDescent="0.25">
      <c r="A2313" t="str">
        <f>"9111983"</f>
        <v>9111983</v>
      </c>
      <c r="B2313" t="s">
        <v>26715</v>
      </c>
      <c r="C2313" t="s">
        <v>124</v>
      </c>
      <c r="D2313" s="21" t="s">
        <v>34</v>
      </c>
      <c r="E2313" s="21" t="s">
        <v>35</v>
      </c>
      <c r="F2313">
        <v>8910881</v>
      </c>
      <c r="G2313" t="s">
        <v>1300</v>
      </c>
      <c r="H2313" s="21">
        <v>1395.05</v>
      </c>
    </row>
    <row r="2314" spans="1:8" customFormat="1" x14ac:dyDescent="0.25">
      <c r="A2314" t="str">
        <f>"9110443"</f>
        <v>9110443</v>
      </c>
      <c r="B2314" t="s">
        <v>3223</v>
      </c>
      <c r="C2314" t="s">
        <v>288</v>
      </c>
      <c r="D2314" s="21" t="s">
        <v>34</v>
      </c>
      <c r="E2314" s="21" t="s">
        <v>35</v>
      </c>
      <c r="F2314">
        <v>4450192</v>
      </c>
      <c r="G2314" t="s">
        <v>2411</v>
      </c>
      <c r="H2314" s="21">
        <v>1394.92</v>
      </c>
    </row>
    <row r="2315" spans="1:8" customFormat="1" x14ac:dyDescent="0.25">
      <c r="A2315" t="str">
        <f>"3644"</f>
        <v>3644</v>
      </c>
      <c r="B2315" t="s">
        <v>3231</v>
      </c>
      <c r="C2315" t="s">
        <v>269</v>
      </c>
      <c r="D2315" s="21" t="s">
        <v>34</v>
      </c>
      <c r="E2315" s="21" t="s">
        <v>71</v>
      </c>
      <c r="F2315">
        <v>11660032</v>
      </c>
      <c r="G2315" t="s">
        <v>3232</v>
      </c>
      <c r="H2315" s="21">
        <v>1394.67</v>
      </c>
    </row>
    <row r="2316" spans="1:8" customFormat="1" x14ac:dyDescent="0.25">
      <c r="A2316" t="str">
        <f>"23280"</f>
        <v>23280</v>
      </c>
      <c r="B2316" t="s">
        <v>3252</v>
      </c>
      <c r="C2316" t="s">
        <v>60</v>
      </c>
      <c r="D2316" s="21" t="s">
        <v>34</v>
      </c>
      <c r="E2316" s="21" t="s">
        <v>35</v>
      </c>
      <c r="F2316">
        <v>10230067</v>
      </c>
      <c r="G2316" t="s">
        <v>912</v>
      </c>
      <c r="H2316" s="21">
        <v>1394.67</v>
      </c>
    </row>
    <row r="2317" spans="1:8" customFormat="1" x14ac:dyDescent="0.25">
      <c r="A2317" t="str">
        <f>"724316"</f>
        <v>724316</v>
      </c>
      <c r="B2317" t="s">
        <v>1491</v>
      </c>
      <c r="C2317" t="s">
        <v>204</v>
      </c>
      <c r="D2317" s="21" t="s">
        <v>34</v>
      </c>
      <c r="E2317" s="21" t="s">
        <v>35</v>
      </c>
      <c r="F2317">
        <v>12720066</v>
      </c>
      <c r="G2317" t="s">
        <v>3571</v>
      </c>
      <c r="H2317" s="21">
        <v>1394.67</v>
      </c>
    </row>
    <row r="2318" spans="1:8" customFormat="1" x14ac:dyDescent="0.25">
      <c r="A2318" t="str">
        <f>"5319586"</f>
        <v>5319586</v>
      </c>
      <c r="B2318" t="s">
        <v>26716</v>
      </c>
      <c r="C2318" t="s">
        <v>631</v>
      </c>
      <c r="D2318" s="21" t="s">
        <v>34</v>
      </c>
      <c r="E2318" s="21" t="s">
        <v>35</v>
      </c>
      <c r="F2318">
        <v>12530054</v>
      </c>
      <c r="G2318" t="s">
        <v>354</v>
      </c>
      <c r="H2318" s="21">
        <v>1394.42</v>
      </c>
    </row>
    <row r="2319" spans="1:8" customFormat="1" x14ac:dyDescent="0.25">
      <c r="A2319" t="str">
        <f>"9213430"</f>
        <v>9213430</v>
      </c>
      <c r="B2319" t="s">
        <v>3150</v>
      </c>
      <c r="C2319" t="s">
        <v>244</v>
      </c>
      <c r="D2319" s="21" t="s">
        <v>34</v>
      </c>
      <c r="E2319" s="21" t="s">
        <v>35</v>
      </c>
      <c r="F2319">
        <v>7600039</v>
      </c>
      <c r="G2319" t="s">
        <v>3151</v>
      </c>
      <c r="H2319" s="21">
        <v>1394.17</v>
      </c>
    </row>
    <row r="2320" spans="1:8" customFormat="1" x14ac:dyDescent="0.25">
      <c r="A2320" t="str">
        <f>"5934670"</f>
        <v>5934670</v>
      </c>
      <c r="B2320" t="s">
        <v>802</v>
      </c>
      <c r="C2320" t="s">
        <v>328</v>
      </c>
      <c r="D2320" s="21" t="s">
        <v>34</v>
      </c>
      <c r="E2320" s="21" t="s">
        <v>35</v>
      </c>
      <c r="F2320">
        <v>7590345</v>
      </c>
      <c r="G2320" t="s">
        <v>3297</v>
      </c>
      <c r="H2320" s="21">
        <v>1394.17</v>
      </c>
    </row>
    <row r="2321" spans="1:8" customFormat="1" x14ac:dyDescent="0.25">
      <c r="A2321" t="str">
        <f>"759498"</f>
        <v>759498</v>
      </c>
      <c r="B2321" t="s">
        <v>3795</v>
      </c>
      <c r="C2321" t="s">
        <v>3796</v>
      </c>
      <c r="D2321" s="21" t="s">
        <v>34</v>
      </c>
      <c r="E2321" s="21" t="s">
        <v>71</v>
      </c>
      <c r="F2321">
        <v>8940976</v>
      </c>
      <c r="G2321" t="s">
        <v>615</v>
      </c>
      <c r="H2321" s="21">
        <v>1394.17</v>
      </c>
    </row>
    <row r="2322" spans="1:8" customFormat="1" x14ac:dyDescent="0.25">
      <c r="A2322" t="str">
        <f>"3513032"</f>
        <v>3513032</v>
      </c>
      <c r="B2322" t="s">
        <v>26044</v>
      </c>
      <c r="C2322" t="s">
        <v>601</v>
      </c>
      <c r="D2322" s="21" t="s">
        <v>34</v>
      </c>
      <c r="E2322" s="21" t="s">
        <v>35</v>
      </c>
      <c r="F2322">
        <v>3350150</v>
      </c>
      <c r="G2322" t="s">
        <v>6419</v>
      </c>
      <c r="H2322" s="21">
        <v>1394</v>
      </c>
    </row>
    <row r="2323" spans="1:8" customFormat="1" x14ac:dyDescent="0.25">
      <c r="A2323" t="str">
        <f>"401529"</f>
        <v>401529</v>
      </c>
      <c r="B2323" t="s">
        <v>2239</v>
      </c>
      <c r="C2323" t="s">
        <v>169</v>
      </c>
      <c r="D2323" s="21" t="s">
        <v>34</v>
      </c>
      <c r="E2323" s="21" t="s">
        <v>35</v>
      </c>
      <c r="F2323">
        <v>10400001</v>
      </c>
      <c r="G2323" t="s">
        <v>609</v>
      </c>
      <c r="H2323" s="21">
        <v>1393.67</v>
      </c>
    </row>
    <row r="2324" spans="1:8" customFormat="1" x14ac:dyDescent="0.25">
      <c r="A2324" t="str">
        <f>"675701"</f>
        <v>675701</v>
      </c>
      <c r="B2324" t="s">
        <v>9156</v>
      </c>
      <c r="C2324" t="s">
        <v>2393</v>
      </c>
      <c r="D2324" s="21" t="s">
        <v>34</v>
      </c>
      <c r="E2324" s="21" t="s">
        <v>35</v>
      </c>
      <c r="F2324">
        <v>6670216</v>
      </c>
      <c r="G2324" t="s">
        <v>2194</v>
      </c>
      <c r="H2324" s="21">
        <v>1393.67</v>
      </c>
    </row>
    <row r="2325" spans="1:8" customFormat="1" x14ac:dyDescent="0.25">
      <c r="A2325" t="str">
        <f>"5111563"</f>
        <v>5111563</v>
      </c>
      <c r="B2325" t="s">
        <v>2980</v>
      </c>
      <c r="C2325" t="s">
        <v>169</v>
      </c>
      <c r="D2325" s="21" t="s">
        <v>34</v>
      </c>
      <c r="E2325" s="21" t="s">
        <v>71</v>
      </c>
      <c r="F2325">
        <v>6510112</v>
      </c>
      <c r="G2325" t="s">
        <v>588</v>
      </c>
      <c r="H2325" s="21">
        <v>1393.67</v>
      </c>
    </row>
    <row r="2326" spans="1:8" customFormat="1" x14ac:dyDescent="0.25">
      <c r="A2326" t="str">
        <f>"3317986"</f>
        <v>3317986</v>
      </c>
      <c r="B2326" t="s">
        <v>1048</v>
      </c>
      <c r="C2326" t="s">
        <v>656</v>
      </c>
      <c r="D2326" s="21" t="s">
        <v>34</v>
      </c>
      <c r="E2326" s="21" t="s">
        <v>35</v>
      </c>
      <c r="F2326">
        <v>10330089</v>
      </c>
      <c r="G2326" t="s">
        <v>3705</v>
      </c>
      <c r="H2326" s="21">
        <v>1393.67</v>
      </c>
    </row>
    <row r="2327" spans="1:8" customFormat="1" x14ac:dyDescent="0.25">
      <c r="A2327" t="str">
        <f>"9754527"</f>
        <v>9754527</v>
      </c>
      <c r="B2327" t="s">
        <v>2859</v>
      </c>
      <c r="C2327" t="s">
        <v>2860</v>
      </c>
      <c r="D2327" s="21" t="s">
        <v>34</v>
      </c>
      <c r="E2327" s="21" t="s">
        <v>254</v>
      </c>
      <c r="F2327" t="s">
        <v>2861</v>
      </c>
      <c r="G2327" t="s">
        <v>2862</v>
      </c>
      <c r="H2327" s="21">
        <v>1393.55</v>
      </c>
    </row>
    <row r="2328" spans="1:8" customFormat="1" x14ac:dyDescent="0.25">
      <c r="A2328" t="str">
        <f>"2214506"</f>
        <v>2214506</v>
      </c>
      <c r="B2328" t="s">
        <v>26717</v>
      </c>
      <c r="C2328" t="s">
        <v>611</v>
      </c>
      <c r="D2328" s="21" t="s">
        <v>34</v>
      </c>
      <c r="E2328" s="21" t="s">
        <v>35</v>
      </c>
      <c r="F2328">
        <v>3220005</v>
      </c>
      <c r="G2328" t="s">
        <v>26718</v>
      </c>
      <c r="H2328" s="21">
        <v>1393.42</v>
      </c>
    </row>
    <row r="2329" spans="1:8" customFormat="1" x14ac:dyDescent="0.25">
      <c r="A2329" t="str">
        <f>"786079"</f>
        <v>786079</v>
      </c>
      <c r="B2329" t="s">
        <v>4834</v>
      </c>
      <c r="C2329" t="s">
        <v>33</v>
      </c>
      <c r="D2329" s="21" t="s">
        <v>34</v>
      </c>
      <c r="E2329" s="21" t="s">
        <v>71</v>
      </c>
      <c r="F2329">
        <v>8780023</v>
      </c>
      <c r="G2329" t="s">
        <v>1496</v>
      </c>
      <c r="H2329" s="21">
        <v>1393.17</v>
      </c>
    </row>
    <row r="2330" spans="1:8" customFormat="1" x14ac:dyDescent="0.25">
      <c r="A2330" t="str">
        <f>"6915068"</f>
        <v>6915068</v>
      </c>
      <c r="B2330" t="s">
        <v>465</v>
      </c>
      <c r="C2330" t="s">
        <v>4271</v>
      </c>
      <c r="D2330" s="21" t="s">
        <v>34</v>
      </c>
      <c r="E2330" s="21" t="s">
        <v>35</v>
      </c>
      <c r="F2330">
        <v>1690023</v>
      </c>
      <c r="G2330" t="s">
        <v>647</v>
      </c>
      <c r="H2330" s="21">
        <v>1393.05</v>
      </c>
    </row>
    <row r="2331" spans="1:8" customFormat="1" x14ac:dyDescent="0.25">
      <c r="A2331" t="str">
        <f>"952819"</f>
        <v>952819</v>
      </c>
      <c r="B2331" t="s">
        <v>3225</v>
      </c>
      <c r="C2331" t="s">
        <v>412</v>
      </c>
      <c r="D2331" s="21" t="s">
        <v>34</v>
      </c>
      <c r="E2331" s="21" t="s">
        <v>71</v>
      </c>
      <c r="F2331">
        <v>8950570</v>
      </c>
      <c r="G2331" t="s">
        <v>3226</v>
      </c>
      <c r="H2331" s="21">
        <v>1392.93</v>
      </c>
    </row>
    <row r="2332" spans="1:8" customFormat="1" x14ac:dyDescent="0.25">
      <c r="A2332" t="str">
        <f>"4431809"</f>
        <v>4431809</v>
      </c>
      <c r="B2332" t="s">
        <v>3338</v>
      </c>
      <c r="C2332" t="s">
        <v>65</v>
      </c>
      <c r="D2332" s="21" t="s">
        <v>34</v>
      </c>
      <c r="E2332" s="21" t="s">
        <v>35</v>
      </c>
      <c r="F2332">
        <v>12440049</v>
      </c>
      <c r="G2332" t="s">
        <v>3339</v>
      </c>
      <c r="H2332" s="21">
        <v>1392.92</v>
      </c>
    </row>
    <row r="2333" spans="1:8" customFormat="1" x14ac:dyDescent="0.25">
      <c r="A2333" t="str">
        <f>"9519288"</f>
        <v>9519288</v>
      </c>
      <c r="B2333" t="s">
        <v>3001</v>
      </c>
      <c r="C2333" t="s">
        <v>139</v>
      </c>
      <c r="D2333" s="21" t="s">
        <v>34</v>
      </c>
      <c r="E2333" s="21" t="s">
        <v>35</v>
      </c>
      <c r="F2333">
        <v>8930610</v>
      </c>
      <c r="G2333" t="s">
        <v>3002</v>
      </c>
      <c r="H2333" s="21">
        <v>1392.68</v>
      </c>
    </row>
    <row r="2334" spans="1:8" customFormat="1" x14ac:dyDescent="0.25">
      <c r="A2334" t="str">
        <f>"886093"</f>
        <v>886093</v>
      </c>
      <c r="B2334" t="s">
        <v>3244</v>
      </c>
      <c r="C2334" t="s">
        <v>139</v>
      </c>
      <c r="D2334" s="21" t="s">
        <v>34</v>
      </c>
      <c r="E2334" s="21" t="s">
        <v>35</v>
      </c>
      <c r="F2334">
        <v>6880086</v>
      </c>
      <c r="G2334" t="s">
        <v>3245</v>
      </c>
      <c r="H2334" s="21">
        <v>1392.67</v>
      </c>
    </row>
    <row r="2335" spans="1:8" customFormat="1" x14ac:dyDescent="0.25">
      <c r="A2335" t="str">
        <f>"5958204"</f>
        <v>5958204</v>
      </c>
      <c r="B2335" t="s">
        <v>3196</v>
      </c>
      <c r="C2335" t="s">
        <v>1786</v>
      </c>
      <c r="D2335" s="21" t="s">
        <v>34</v>
      </c>
      <c r="E2335" s="21" t="s">
        <v>35</v>
      </c>
      <c r="F2335">
        <v>7590087</v>
      </c>
      <c r="G2335" t="s">
        <v>2112</v>
      </c>
      <c r="H2335" s="21">
        <v>1392.67</v>
      </c>
    </row>
    <row r="2336" spans="1:8" customFormat="1" x14ac:dyDescent="0.25">
      <c r="A2336" t="str">
        <f>"2511546"</f>
        <v>2511546</v>
      </c>
      <c r="B2336" t="s">
        <v>3542</v>
      </c>
      <c r="C2336" t="s">
        <v>3109</v>
      </c>
      <c r="D2336" s="21" t="s">
        <v>34</v>
      </c>
      <c r="E2336" s="21" t="s">
        <v>71</v>
      </c>
      <c r="F2336">
        <v>2250024</v>
      </c>
      <c r="G2336" t="s">
        <v>751</v>
      </c>
      <c r="H2336" s="21">
        <v>1392.43</v>
      </c>
    </row>
    <row r="2337" spans="1:8" customFormat="1" x14ac:dyDescent="0.25">
      <c r="A2337" t="str">
        <f>"7913172"</f>
        <v>7913172</v>
      </c>
      <c r="B2337" t="s">
        <v>2717</v>
      </c>
      <c r="C2337" t="s">
        <v>109</v>
      </c>
      <c r="D2337" s="21" t="s">
        <v>34</v>
      </c>
      <c r="E2337" s="21" t="s">
        <v>71</v>
      </c>
      <c r="F2337">
        <v>10790163</v>
      </c>
      <c r="G2337" t="s">
        <v>2015</v>
      </c>
      <c r="H2337" s="21">
        <v>1392.42</v>
      </c>
    </row>
    <row r="2338" spans="1:8" customFormat="1" x14ac:dyDescent="0.25">
      <c r="A2338" t="str">
        <f>"4428366"</f>
        <v>4428366</v>
      </c>
      <c r="B2338" t="s">
        <v>3766</v>
      </c>
      <c r="C2338" t="s">
        <v>1786</v>
      </c>
      <c r="D2338" s="21" t="s">
        <v>34</v>
      </c>
      <c r="E2338" s="21" t="s">
        <v>35</v>
      </c>
      <c r="F2338">
        <v>12440094</v>
      </c>
      <c r="G2338" t="s">
        <v>892</v>
      </c>
      <c r="H2338" s="21">
        <v>1392.17</v>
      </c>
    </row>
    <row r="2339" spans="1:8" customFormat="1" x14ac:dyDescent="0.25">
      <c r="A2339" t="str">
        <f>"714600"</f>
        <v>714600</v>
      </c>
      <c r="B2339" t="s">
        <v>2988</v>
      </c>
      <c r="C2339" t="s">
        <v>87</v>
      </c>
      <c r="D2339" s="21" t="s">
        <v>34</v>
      </c>
      <c r="E2339" s="21" t="s">
        <v>35</v>
      </c>
      <c r="F2339">
        <v>2710042</v>
      </c>
      <c r="G2339" t="s">
        <v>1997</v>
      </c>
      <c r="H2339" s="21">
        <v>1392.17</v>
      </c>
    </row>
    <row r="2340" spans="1:8" customFormat="1" x14ac:dyDescent="0.25">
      <c r="A2340" t="str">
        <f>"617021"</f>
        <v>617021</v>
      </c>
      <c r="B2340" t="s">
        <v>2880</v>
      </c>
      <c r="C2340" t="s">
        <v>119</v>
      </c>
      <c r="D2340" s="21" t="s">
        <v>34</v>
      </c>
      <c r="E2340" s="21" t="s">
        <v>71</v>
      </c>
      <c r="F2340">
        <v>12720120</v>
      </c>
      <c r="G2340" t="s">
        <v>2509</v>
      </c>
      <c r="H2340" s="21">
        <v>1392.17</v>
      </c>
    </row>
    <row r="2341" spans="1:8" customFormat="1" x14ac:dyDescent="0.25">
      <c r="A2341" t="str">
        <f>"2918257"</f>
        <v>2918257</v>
      </c>
      <c r="B2341" t="s">
        <v>1258</v>
      </c>
      <c r="C2341" t="s">
        <v>169</v>
      </c>
      <c r="D2341" s="21" t="s">
        <v>34</v>
      </c>
      <c r="E2341" s="21" t="s">
        <v>71</v>
      </c>
      <c r="F2341">
        <v>3290003</v>
      </c>
      <c r="G2341" t="s">
        <v>3764</v>
      </c>
      <c r="H2341" s="21">
        <v>1392.17</v>
      </c>
    </row>
    <row r="2342" spans="1:8" customFormat="1" x14ac:dyDescent="0.25">
      <c r="A2342" t="str">
        <f>"5933920"</f>
        <v>5933920</v>
      </c>
      <c r="B2342" t="s">
        <v>3642</v>
      </c>
      <c r="C2342" t="s">
        <v>60</v>
      </c>
      <c r="D2342" s="21" t="s">
        <v>34</v>
      </c>
      <c r="E2342" s="21" t="s">
        <v>35</v>
      </c>
      <c r="F2342">
        <v>7590017</v>
      </c>
      <c r="G2342" t="s">
        <v>1316</v>
      </c>
      <c r="H2342" s="21">
        <v>1392.17</v>
      </c>
    </row>
    <row r="2343" spans="1:8" customFormat="1" x14ac:dyDescent="0.25">
      <c r="A2343" t="str">
        <f>"404149"</f>
        <v>404149</v>
      </c>
      <c r="B2343" t="s">
        <v>3159</v>
      </c>
      <c r="C2343" t="s">
        <v>37</v>
      </c>
      <c r="D2343" s="21" t="s">
        <v>34</v>
      </c>
      <c r="E2343" s="21" t="s">
        <v>35</v>
      </c>
      <c r="F2343">
        <v>11650004</v>
      </c>
      <c r="G2343" t="s">
        <v>382</v>
      </c>
      <c r="H2343" s="21">
        <v>1392.17</v>
      </c>
    </row>
    <row r="2344" spans="1:8" customFormat="1" x14ac:dyDescent="0.25">
      <c r="A2344" t="str">
        <f>"8519850"</f>
        <v>8519850</v>
      </c>
      <c r="B2344" t="s">
        <v>3032</v>
      </c>
      <c r="C2344" t="s">
        <v>62</v>
      </c>
      <c r="D2344" s="21" t="s">
        <v>34</v>
      </c>
      <c r="E2344" s="21" t="s">
        <v>35</v>
      </c>
      <c r="F2344">
        <v>12850001</v>
      </c>
      <c r="G2344" t="s">
        <v>1197</v>
      </c>
      <c r="H2344" s="21">
        <v>1392.17</v>
      </c>
    </row>
    <row r="2345" spans="1:8" customFormat="1" x14ac:dyDescent="0.25">
      <c r="A2345" t="str">
        <f>"728754"</f>
        <v>728754</v>
      </c>
      <c r="B2345" t="s">
        <v>2483</v>
      </c>
      <c r="C2345" t="s">
        <v>40</v>
      </c>
      <c r="D2345" s="21" t="s">
        <v>34</v>
      </c>
      <c r="E2345" s="21" t="s">
        <v>254</v>
      </c>
      <c r="F2345">
        <v>12720045</v>
      </c>
      <c r="G2345" t="s">
        <v>2484</v>
      </c>
      <c r="H2345" s="21">
        <v>1392.17</v>
      </c>
    </row>
    <row r="2346" spans="1:8" customFormat="1" x14ac:dyDescent="0.25">
      <c r="A2346" t="str">
        <f>"957038"</f>
        <v>957038</v>
      </c>
      <c r="B2346" t="s">
        <v>3235</v>
      </c>
      <c r="C2346" t="s">
        <v>3236</v>
      </c>
      <c r="D2346" s="21" t="s">
        <v>34</v>
      </c>
      <c r="E2346" s="21" t="s">
        <v>254</v>
      </c>
      <c r="F2346">
        <v>8950083</v>
      </c>
      <c r="G2346" t="s">
        <v>405</v>
      </c>
      <c r="H2346" s="21">
        <v>1392.05</v>
      </c>
    </row>
    <row r="2347" spans="1:8" customFormat="1" x14ac:dyDescent="0.25">
      <c r="A2347" t="str">
        <f>"946241"</f>
        <v>946241</v>
      </c>
      <c r="B2347" t="s">
        <v>3387</v>
      </c>
      <c r="C2347" t="s">
        <v>87</v>
      </c>
      <c r="D2347" s="21" t="s">
        <v>34</v>
      </c>
      <c r="E2347" s="21" t="s">
        <v>71</v>
      </c>
      <c r="F2347">
        <v>8780571</v>
      </c>
      <c r="G2347" t="s">
        <v>2336</v>
      </c>
      <c r="H2347" s="21">
        <v>1391.81</v>
      </c>
    </row>
    <row r="2348" spans="1:8" customFormat="1" x14ac:dyDescent="0.25">
      <c r="A2348" t="str">
        <f>"011779"</f>
        <v>011779</v>
      </c>
      <c r="B2348" t="s">
        <v>8335</v>
      </c>
      <c r="C2348" t="s">
        <v>233</v>
      </c>
      <c r="D2348" s="21" t="s">
        <v>34</v>
      </c>
      <c r="E2348" s="21" t="s">
        <v>35</v>
      </c>
      <c r="F2348">
        <v>1010009</v>
      </c>
      <c r="G2348" t="s">
        <v>1385</v>
      </c>
      <c r="H2348" s="21">
        <v>1391.8</v>
      </c>
    </row>
    <row r="2349" spans="1:8" customFormat="1" x14ac:dyDescent="0.25">
      <c r="A2349" t="str">
        <f>"591546"</f>
        <v>591546</v>
      </c>
      <c r="B2349" t="s">
        <v>3197</v>
      </c>
      <c r="C2349" t="s">
        <v>2520</v>
      </c>
      <c r="D2349" s="21" t="s">
        <v>34</v>
      </c>
      <c r="E2349" s="21" t="s">
        <v>254</v>
      </c>
      <c r="F2349">
        <v>7590050</v>
      </c>
      <c r="G2349" t="s">
        <v>473</v>
      </c>
      <c r="H2349" s="21">
        <v>1391.67</v>
      </c>
    </row>
    <row r="2350" spans="1:8" customFormat="1" x14ac:dyDescent="0.25">
      <c r="A2350" t="str">
        <f>"305853"</f>
        <v>305853</v>
      </c>
      <c r="B2350" t="s">
        <v>3169</v>
      </c>
      <c r="C2350" t="s">
        <v>204</v>
      </c>
      <c r="D2350" s="21" t="s">
        <v>34</v>
      </c>
      <c r="E2350" s="21" t="s">
        <v>35</v>
      </c>
      <c r="F2350">
        <v>11300014</v>
      </c>
      <c r="G2350" t="s">
        <v>2345</v>
      </c>
      <c r="H2350" s="21">
        <v>1391.67</v>
      </c>
    </row>
    <row r="2351" spans="1:8" customFormat="1" x14ac:dyDescent="0.25">
      <c r="A2351" t="str">
        <f>"3832396"</f>
        <v>3832396</v>
      </c>
      <c r="B2351" t="s">
        <v>5867</v>
      </c>
      <c r="C2351" t="s">
        <v>55</v>
      </c>
      <c r="D2351" s="21" t="s">
        <v>34</v>
      </c>
      <c r="E2351" s="21" t="s">
        <v>71</v>
      </c>
      <c r="F2351">
        <v>1380298</v>
      </c>
      <c r="G2351" t="s">
        <v>5868</v>
      </c>
      <c r="H2351" s="21">
        <v>1391.67</v>
      </c>
    </row>
    <row r="2352" spans="1:8" customFormat="1" x14ac:dyDescent="0.25">
      <c r="A2352" t="str">
        <f>"67429"</f>
        <v>67429</v>
      </c>
      <c r="B2352" t="s">
        <v>2790</v>
      </c>
      <c r="C2352" t="s">
        <v>328</v>
      </c>
      <c r="D2352" s="21" t="s">
        <v>34</v>
      </c>
      <c r="E2352" s="21" t="s">
        <v>254</v>
      </c>
      <c r="F2352">
        <v>6670027</v>
      </c>
      <c r="G2352" t="s">
        <v>2791</v>
      </c>
      <c r="H2352" s="21">
        <v>1391.17</v>
      </c>
    </row>
    <row r="2353" spans="1:8" customFormat="1" x14ac:dyDescent="0.25">
      <c r="A2353" t="str">
        <f>"39253"</f>
        <v>39253</v>
      </c>
      <c r="B2353" t="s">
        <v>3304</v>
      </c>
      <c r="C2353" t="s">
        <v>130</v>
      </c>
      <c r="D2353" s="21" t="s">
        <v>34</v>
      </c>
      <c r="E2353" s="21" t="s">
        <v>71</v>
      </c>
      <c r="F2353">
        <v>8931313</v>
      </c>
      <c r="G2353" t="s">
        <v>3305</v>
      </c>
      <c r="H2353" s="21">
        <v>1391.07</v>
      </c>
    </row>
    <row r="2354" spans="1:8" customFormat="1" x14ac:dyDescent="0.25">
      <c r="A2354" t="str">
        <f>"37525"</f>
        <v>37525</v>
      </c>
      <c r="B2354" t="s">
        <v>3513</v>
      </c>
      <c r="C2354" t="s">
        <v>2520</v>
      </c>
      <c r="D2354" s="21" t="s">
        <v>34</v>
      </c>
      <c r="E2354" s="21" t="s">
        <v>254</v>
      </c>
      <c r="F2354">
        <v>4370656</v>
      </c>
      <c r="G2354" t="s">
        <v>1127</v>
      </c>
      <c r="H2354" s="21">
        <v>1390.92</v>
      </c>
    </row>
    <row r="2355" spans="1:8" customFormat="1" x14ac:dyDescent="0.25">
      <c r="A2355" t="str">
        <f>"9513549"</f>
        <v>9513549</v>
      </c>
      <c r="B2355" t="s">
        <v>4351</v>
      </c>
      <c r="C2355" t="s">
        <v>65</v>
      </c>
      <c r="D2355" s="21" t="s">
        <v>34</v>
      </c>
      <c r="E2355" s="21" t="s">
        <v>35</v>
      </c>
      <c r="F2355">
        <v>2890005</v>
      </c>
      <c r="G2355" t="s">
        <v>2889</v>
      </c>
      <c r="H2355" s="21">
        <v>1390.8</v>
      </c>
    </row>
    <row r="2356" spans="1:8" customFormat="1" x14ac:dyDescent="0.25">
      <c r="A2356" t="str">
        <f>"161553"</f>
        <v>161553</v>
      </c>
      <c r="B2356" t="s">
        <v>3057</v>
      </c>
      <c r="C2356" t="s">
        <v>547</v>
      </c>
      <c r="D2356" s="21" t="s">
        <v>34</v>
      </c>
      <c r="E2356" s="21" t="s">
        <v>254</v>
      </c>
      <c r="F2356">
        <v>10160024</v>
      </c>
      <c r="G2356" t="s">
        <v>511</v>
      </c>
      <c r="H2356" s="21">
        <v>1390.67</v>
      </c>
    </row>
    <row r="2357" spans="1:8" customFormat="1" x14ac:dyDescent="0.25">
      <c r="A2357" t="str">
        <f>"60464"</f>
        <v>60464</v>
      </c>
      <c r="B2357" t="s">
        <v>97</v>
      </c>
      <c r="C2357" t="s">
        <v>151</v>
      </c>
      <c r="D2357" s="21" t="s">
        <v>34</v>
      </c>
      <c r="E2357" s="21" t="s">
        <v>71</v>
      </c>
      <c r="F2357">
        <v>7600039</v>
      </c>
      <c r="G2357" t="s">
        <v>3151</v>
      </c>
      <c r="H2357" s="21">
        <v>1390.67</v>
      </c>
    </row>
    <row r="2358" spans="1:8" customFormat="1" x14ac:dyDescent="0.25">
      <c r="A2358" t="str">
        <f>"023789"</f>
        <v>023789</v>
      </c>
      <c r="B2358" t="s">
        <v>3212</v>
      </c>
      <c r="C2358" t="s">
        <v>169</v>
      </c>
      <c r="D2358" s="21" t="s">
        <v>34</v>
      </c>
      <c r="E2358" s="21" t="s">
        <v>71</v>
      </c>
      <c r="F2358">
        <v>7020031</v>
      </c>
      <c r="G2358" t="s">
        <v>828</v>
      </c>
      <c r="H2358" s="21">
        <v>1390.67</v>
      </c>
    </row>
    <row r="2359" spans="1:8" customFormat="1" x14ac:dyDescent="0.25">
      <c r="A2359" t="str">
        <f>"394708"</f>
        <v>394708</v>
      </c>
      <c r="B2359" t="s">
        <v>4125</v>
      </c>
      <c r="C2359" t="s">
        <v>169</v>
      </c>
      <c r="D2359" s="21" t="s">
        <v>34</v>
      </c>
      <c r="E2359" s="21" t="s">
        <v>71</v>
      </c>
      <c r="F2359">
        <v>2390007</v>
      </c>
      <c r="G2359" t="s">
        <v>3365</v>
      </c>
      <c r="H2359" s="21">
        <v>1390.67</v>
      </c>
    </row>
    <row r="2360" spans="1:8" customFormat="1" x14ac:dyDescent="0.25">
      <c r="A2360" t="str">
        <f>"7513819"</f>
        <v>7513819</v>
      </c>
      <c r="B2360" t="s">
        <v>1833</v>
      </c>
      <c r="C2360" t="s">
        <v>415</v>
      </c>
      <c r="D2360" s="21" t="s">
        <v>34</v>
      </c>
      <c r="E2360" s="21" t="s">
        <v>71</v>
      </c>
      <c r="F2360">
        <v>9760442</v>
      </c>
      <c r="G2360" t="s">
        <v>5753</v>
      </c>
      <c r="H2360" s="21">
        <v>1390.42</v>
      </c>
    </row>
    <row r="2361" spans="1:8" customFormat="1" x14ac:dyDescent="0.25">
      <c r="A2361" t="str">
        <f>"9447683"</f>
        <v>9447683</v>
      </c>
      <c r="B2361" t="s">
        <v>3077</v>
      </c>
      <c r="C2361" t="s">
        <v>3078</v>
      </c>
      <c r="D2361" s="21" t="s">
        <v>34</v>
      </c>
      <c r="E2361" s="21" t="s">
        <v>35</v>
      </c>
      <c r="F2361">
        <v>8940459</v>
      </c>
      <c r="G2361" t="s">
        <v>743</v>
      </c>
      <c r="H2361" s="21">
        <v>1390.42</v>
      </c>
    </row>
    <row r="2362" spans="1:8" customFormat="1" x14ac:dyDescent="0.25">
      <c r="A2362" t="str">
        <f>"2914289"</f>
        <v>2914289</v>
      </c>
      <c r="B2362" t="s">
        <v>3882</v>
      </c>
      <c r="C2362" t="s">
        <v>305</v>
      </c>
      <c r="D2362" s="21" t="s">
        <v>34</v>
      </c>
      <c r="E2362" s="21" t="s">
        <v>35</v>
      </c>
      <c r="F2362">
        <v>3290023</v>
      </c>
      <c r="G2362" t="s">
        <v>3883</v>
      </c>
      <c r="H2362" s="21">
        <v>1390.17</v>
      </c>
    </row>
    <row r="2363" spans="1:8" customFormat="1" x14ac:dyDescent="0.25">
      <c r="A2363" t="str">
        <f>"4445756"</f>
        <v>4445756</v>
      </c>
      <c r="B2363" t="s">
        <v>3233</v>
      </c>
      <c r="C2363" t="s">
        <v>967</v>
      </c>
      <c r="D2363" s="21" t="s">
        <v>34</v>
      </c>
      <c r="E2363" s="21" t="s">
        <v>71</v>
      </c>
      <c r="F2363">
        <v>12440266</v>
      </c>
      <c r="G2363" t="s">
        <v>924</v>
      </c>
      <c r="H2363" s="21">
        <v>1390.17</v>
      </c>
    </row>
    <row r="2364" spans="1:8" customFormat="1" x14ac:dyDescent="0.25">
      <c r="A2364" t="str">
        <f>"7811457"</f>
        <v>7811457</v>
      </c>
      <c r="B2364" t="s">
        <v>3660</v>
      </c>
      <c r="C2364" t="s">
        <v>114</v>
      </c>
      <c r="D2364" s="21" t="s">
        <v>34</v>
      </c>
      <c r="E2364" s="21" t="s">
        <v>71</v>
      </c>
      <c r="F2364">
        <v>10330084</v>
      </c>
      <c r="G2364" t="s">
        <v>1124</v>
      </c>
      <c r="H2364" s="21">
        <v>1390.17</v>
      </c>
    </row>
    <row r="2365" spans="1:8" customFormat="1" x14ac:dyDescent="0.25">
      <c r="A2365" t="str">
        <f>"34309"</f>
        <v>34309</v>
      </c>
      <c r="B2365" t="s">
        <v>2894</v>
      </c>
      <c r="C2365" t="s">
        <v>1714</v>
      </c>
      <c r="D2365" s="21" t="s">
        <v>34</v>
      </c>
      <c r="E2365" s="21" t="s">
        <v>71</v>
      </c>
      <c r="F2365">
        <v>11340067</v>
      </c>
      <c r="G2365" t="s">
        <v>2895</v>
      </c>
      <c r="H2365" s="21">
        <v>1390.17</v>
      </c>
    </row>
    <row r="2366" spans="1:8" customFormat="1" x14ac:dyDescent="0.25">
      <c r="A2366" t="str">
        <f>"3343794"</f>
        <v>3343794</v>
      </c>
      <c r="B2366" t="s">
        <v>4124</v>
      </c>
      <c r="C2366" t="s">
        <v>4238</v>
      </c>
      <c r="D2366" s="21" t="s">
        <v>34</v>
      </c>
      <c r="E2366" s="21" t="s">
        <v>35</v>
      </c>
      <c r="F2366">
        <v>10330010</v>
      </c>
      <c r="G2366" t="s">
        <v>2831</v>
      </c>
      <c r="H2366" s="21">
        <v>1390.17</v>
      </c>
    </row>
    <row r="2367" spans="1:8" customFormat="1" x14ac:dyDescent="0.25">
      <c r="A2367" t="str">
        <f>"373880"</f>
        <v>373880</v>
      </c>
      <c r="B2367" t="s">
        <v>17133</v>
      </c>
      <c r="C2367" t="s">
        <v>127</v>
      </c>
      <c r="D2367" s="21" t="s">
        <v>34</v>
      </c>
      <c r="E2367" s="21" t="s">
        <v>35</v>
      </c>
      <c r="F2367">
        <v>4370349</v>
      </c>
      <c r="G2367" t="s">
        <v>2287</v>
      </c>
      <c r="H2367" s="21">
        <v>1390.17</v>
      </c>
    </row>
    <row r="2368" spans="1:8" customFormat="1" x14ac:dyDescent="0.25">
      <c r="A2368" t="str">
        <f>"148926"</f>
        <v>148926</v>
      </c>
      <c r="B2368" t="s">
        <v>4082</v>
      </c>
      <c r="C2368" t="s">
        <v>302</v>
      </c>
      <c r="D2368" s="21" t="s">
        <v>34</v>
      </c>
      <c r="E2368" s="21" t="s">
        <v>71</v>
      </c>
      <c r="F2368">
        <v>9140055</v>
      </c>
      <c r="G2368" t="s">
        <v>344</v>
      </c>
      <c r="H2368" s="21">
        <v>1389.93</v>
      </c>
    </row>
    <row r="2369" spans="1:8" customFormat="1" x14ac:dyDescent="0.25">
      <c r="A2369" t="str">
        <f>"4910099"</f>
        <v>4910099</v>
      </c>
      <c r="B2369" t="s">
        <v>582</v>
      </c>
      <c r="C2369" t="s">
        <v>169</v>
      </c>
      <c r="D2369" s="21" t="s">
        <v>34</v>
      </c>
      <c r="E2369" s="21" t="s">
        <v>35</v>
      </c>
      <c r="F2369">
        <v>12490018</v>
      </c>
      <c r="G2369" t="s">
        <v>2269</v>
      </c>
      <c r="H2369" s="21">
        <v>1389.93</v>
      </c>
    </row>
    <row r="2370" spans="1:8" customFormat="1" x14ac:dyDescent="0.25">
      <c r="A2370" t="str">
        <f>"7656"</f>
        <v>7656</v>
      </c>
      <c r="B2370" t="s">
        <v>107</v>
      </c>
      <c r="C2370" t="s">
        <v>1914</v>
      </c>
      <c r="D2370" s="21" t="s">
        <v>34</v>
      </c>
      <c r="E2370" s="21" t="s">
        <v>1089</v>
      </c>
      <c r="F2370">
        <v>9760004</v>
      </c>
      <c r="G2370" t="s">
        <v>56</v>
      </c>
      <c r="H2370" s="21">
        <v>1389.67</v>
      </c>
    </row>
    <row r="2371" spans="1:8" customFormat="1" x14ac:dyDescent="0.25">
      <c r="A2371" t="str">
        <f>"3411893"</f>
        <v>3411893</v>
      </c>
      <c r="B2371" t="s">
        <v>5280</v>
      </c>
      <c r="C2371" t="s">
        <v>598</v>
      </c>
      <c r="D2371" s="21" t="s">
        <v>34</v>
      </c>
      <c r="E2371" s="21" t="s">
        <v>71</v>
      </c>
      <c r="F2371">
        <v>11340008</v>
      </c>
      <c r="G2371" t="s">
        <v>312</v>
      </c>
      <c r="H2371" s="21">
        <v>1389.67</v>
      </c>
    </row>
    <row r="2372" spans="1:8" customFormat="1" x14ac:dyDescent="0.25">
      <c r="A2372" t="str">
        <f>"681657"</f>
        <v>681657</v>
      </c>
      <c r="B2372" t="s">
        <v>2923</v>
      </c>
      <c r="C2372" t="s">
        <v>169</v>
      </c>
      <c r="D2372" s="21" t="s">
        <v>34</v>
      </c>
      <c r="E2372" s="21" t="s">
        <v>35</v>
      </c>
      <c r="F2372">
        <v>2900039</v>
      </c>
      <c r="G2372" t="s">
        <v>26615</v>
      </c>
      <c r="H2372" s="21">
        <v>1389.67</v>
      </c>
    </row>
    <row r="2373" spans="1:8" customFormat="1" x14ac:dyDescent="0.25">
      <c r="A2373" t="str">
        <f>"7856002"</f>
        <v>7856002</v>
      </c>
      <c r="B2373" t="s">
        <v>3658</v>
      </c>
      <c r="C2373" t="s">
        <v>415</v>
      </c>
      <c r="D2373" s="21" t="s">
        <v>34</v>
      </c>
      <c r="E2373" s="21" t="s">
        <v>71</v>
      </c>
      <c r="F2373">
        <v>8781176</v>
      </c>
      <c r="G2373" t="s">
        <v>3659</v>
      </c>
      <c r="H2373" s="21">
        <v>1389.3</v>
      </c>
    </row>
    <row r="2374" spans="1:8" customFormat="1" x14ac:dyDescent="0.25">
      <c r="A2374" t="str">
        <f>"803911"</f>
        <v>803911</v>
      </c>
      <c r="B2374" t="s">
        <v>2608</v>
      </c>
      <c r="C2374" t="s">
        <v>103</v>
      </c>
      <c r="D2374" s="21" t="s">
        <v>34</v>
      </c>
      <c r="E2374" s="21" t="s">
        <v>35</v>
      </c>
      <c r="F2374">
        <v>7600074</v>
      </c>
      <c r="G2374" t="s">
        <v>1912</v>
      </c>
      <c r="H2374" s="21">
        <v>1389.18</v>
      </c>
    </row>
    <row r="2375" spans="1:8" customFormat="1" x14ac:dyDescent="0.25">
      <c r="A2375" t="str">
        <f>"851157"</f>
        <v>851157</v>
      </c>
      <c r="B2375" t="s">
        <v>3559</v>
      </c>
      <c r="C2375" t="s">
        <v>462</v>
      </c>
      <c r="D2375" s="21" t="s">
        <v>34</v>
      </c>
      <c r="E2375" s="21" t="s">
        <v>71</v>
      </c>
      <c r="F2375">
        <v>12850033</v>
      </c>
      <c r="G2375" t="s">
        <v>703</v>
      </c>
      <c r="H2375" s="21">
        <v>1389.17</v>
      </c>
    </row>
    <row r="2376" spans="1:8" customFormat="1" x14ac:dyDescent="0.25">
      <c r="A2376" t="str">
        <f>"212403"</f>
        <v>212403</v>
      </c>
      <c r="B2376" t="s">
        <v>1730</v>
      </c>
      <c r="C2376" t="s">
        <v>263</v>
      </c>
      <c r="D2376" s="21" t="s">
        <v>34</v>
      </c>
      <c r="E2376" s="21" t="s">
        <v>71</v>
      </c>
      <c r="F2376">
        <v>2210081</v>
      </c>
      <c r="G2376" t="s">
        <v>1365</v>
      </c>
      <c r="H2376" s="21">
        <v>1389.17</v>
      </c>
    </row>
    <row r="2377" spans="1:8" customFormat="1" x14ac:dyDescent="0.25">
      <c r="A2377" t="str">
        <f>"2920560"</f>
        <v>2920560</v>
      </c>
      <c r="B2377" t="s">
        <v>3039</v>
      </c>
      <c r="C2377" t="s">
        <v>415</v>
      </c>
      <c r="D2377" s="21" t="s">
        <v>34</v>
      </c>
      <c r="E2377" s="21" t="s">
        <v>254</v>
      </c>
      <c r="F2377">
        <v>3290015</v>
      </c>
      <c r="G2377" t="s">
        <v>3040</v>
      </c>
      <c r="H2377" s="21">
        <v>1389.17</v>
      </c>
    </row>
    <row r="2378" spans="1:8" customFormat="1" x14ac:dyDescent="0.25">
      <c r="A2378" t="str">
        <f>"424399"</f>
        <v>424399</v>
      </c>
      <c r="B2378" t="s">
        <v>3420</v>
      </c>
      <c r="C2378" t="s">
        <v>3421</v>
      </c>
      <c r="D2378" s="21" t="s">
        <v>34</v>
      </c>
      <c r="E2378" s="21" t="s">
        <v>35</v>
      </c>
      <c r="F2378">
        <v>1420149</v>
      </c>
      <c r="G2378" t="s">
        <v>818</v>
      </c>
      <c r="H2378" s="21">
        <v>1389.17</v>
      </c>
    </row>
    <row r="2379" spans="1:8" customFormat="1" x14ac:dyDescent="0.25">
      <c r="A2379" t="str">
        <f>"424068"</f>
        <v>424068</v>
      </c>
      <c r="B2379" t="s">
        <v>4286</v>
      </c>
      <c r="C2379" t="s">
        <v>147</v>
      </c>
      <c r="D2379" s="21" t="s">
        <v>34</v>
      </c>
      <c r="E2379" s="21" t="s">
        <v>35</v>
      </c>
      <c r="F2379">
        <v>1420078</v>
      </c>
      <c r="G2379" t="s">
        <v>4287</v>
      </c>
      <c r="H2379" s="21">
        <v>1388.92</v>
      </c>
    </row>
    <row r="2380" spans="1:8" customFormat="1" x14ac:dyDescent="0.25">
      <c r="A2380" t="str">
        <f>"9421589"</f>
        <v>9421589</v>
      </c>
      <c r="B2380" t="s">
        <v>4245</v>
      </c>
      <c r="C2380" t="s">
        <v>198</v>
      </c>
      <c r="D2380" s="21" t="s">
        <v>34</v>
      </c>
      <c r="E2380" s="21" t="s">
        <v>71</v>
      </c>
      <c r="F2380">
        <v>7590137</v>
      </c>
      <c r="G2380" t="s">
        <v>4246</v>
      </c>
      <c r="H2380" s="21">
        <v>1388.67</v>
      </c>
    </row>
    <row r="2381" spans="1:8" customFormat="1" x14ac:dyDescent="0.25">
      <c r="A2381" t="str">
        <f>"671718"</f>
        <v>671718</v>
      </c>
      <c r="B2381" t="s">
        <v>3518</v>
      </c>
      <c r="C2381" t="s">
        <v>415</v>
      </c>
      <c r="D2381" s="21" t="s">
        <v>34</v>
      </c>
      <c r="E2381" s="21" t="s">
        <v>71</v>
      </c>
      <c r="F2381">
        <v>6670122</v>
      </c>
      <c r="G2381" t="s">
        <v>3126</v>
      </c>
      <c r="H2381" s="21">
        <v>1388.67</v>
      </c>
    </row>
    <row r="2382" spans="1:8" customFormat="1" x14ac:dyDescent="0.25">
      <c r="A2382" t="str">
        <f>"254951"</f>
        <v>254951</v>
      </c>
      <c r="B2382" t="s">
        <v>3454</v>
      </c>
      <c r="C2382" t="s">
        <v>263</v>
      </c>
      <c r="D2382" s="21" t="s">
        <v>34</v>
      </c>
      <c r="E2382" s="21" t="s">
        <v>71</v>
      </c>
      <c r="F2382">
        <v>2250007</v>
      </c>
      <c r="G2382" t="s">
        <v>1137</v>
      </c>
      <c r="H2382" s="21">
        <v>1388.67</v>
      </c>
    </row>
    <row r="2383" spans="1:8" customFormat="1" x14ac:dyDescent="0.25">
      <c r="A2383" t="str">
        <f>"4918651"</f>
        <v>4918651</v>
      </c>
      <c r="B2383" t="s">
        <v>3295</v>
      </c>
      <c r="C2383" t="s">
        <v>239</v>
      </c>
      <c r="D2383" s="21" t="s">
        <v>34</v>
      </c>
      <c r="E2383" s="21" t="s">
        <v>35</v>
      </c>
      <c r="F2383">
        <v>6570201</v>
      </c>
      <c r="G2383" t="s">
        <v>3296</v>
      </c>
      <c r="H2383" s="21">
        <v>1388.55</v>
      </c>
    </row>
    <row r="2384" spans="1:8" customFormat="1" x14ac:dyDescent="0.25">
      <c r="A2384" t="str">
        <f>"451018"</f>
        <v>451018</v>
      </c>
      <c r="B2384" t="s">
        <v>3545</v>
      </c>
      <c r="C2384" t="s">
        <v>263</v>
      </c>
      <c r="D2384" s="21" t="s">
        <v>34</v>
      </c>
      <c r="E2384" s="21" t="s">
        <v>71</v>
      </c>
      <c r="F2384">
        <v>4450754</v>
      </c>
      <c r="G2384" t="s">
        <v>2695</v>
      </c>
      <c r="H2384" s="21">
        <v>1388.42</v>
      </c>
    </row>
    <row r="2385" spans="1:8" customFormat="1" x14ac:dyDescent="0.25">
      <c r="A2385" t="str">
        <f>"594531"</f>
        <v>594531</v>
      </c>
      <c r="B2385" t="s">
        <v>4017</v>
      </c>
      <c r="C2385" t="s">
        <v>37</v>
      </c>
      <c r="D2385" s="21" t="s">
        <v>34</v>
      </c>
      <c r="E2385" s="21" t="s">
        <v>35</v>
      </c>
      <c r="F2385">
        <v>7590112</v>
      </c>
      <c r="G2385" t="s">
        <v>3534</v>
      </c>
      <c r="H2385" s="21">
        <v>1388.42</v>
      </c>
    </row>
    <row r="2386" spans="1:8" customFormat="1" x14ac:dyDescent="0.25">
      <c r="A2386" t="str">
        <f>"539444"</f>
        <v>539444</v>
      </c>
      <c r="B2386" t="s">
        <v>67</v>
      </c>
      <c r="C2386" t="s">
        <v>139</v>
      </c>
      <c r="D2386" s="21" t="s">
        <v>34</v>
      </c>
      <c r="E2386" s="21" t="s">
        <v>35</v>
      </c>
      <c r="F2386">
        <v>12530079</v>
      </c>
      <c r="G2386" t="s">
        <v>3090</v>
      </c>
      <c r="H2386" s="21">
        <v>1388.42</v>
      </c>
    </row>
    <row r="2387" spans="1:8" customFormat="1" x14ac:dyDescent="0.25">
      <c r="A2387" t="str">
        <f>"959678"</f>
        <v>959678</v>
      </c>
      <c r="B2387" t="s">
        <v>2381</v>
      </c>
      <c r="C2387" t="s">
        <v>926</v>
      </c>
      <c r="D2387" s="21" t="s">
        <v>34</v>
      </c>
      <c r="E2387" s="21" t="s">
        <v>71</v>
      </c>
      <c r="F2387">
        <v>8951273</v>
      </c>
      <c r="G2387" t="s">
        <v>2382</v>
      </c>
      <c r="H2387" s="21">
        <v>1388.42</v>
      </c>
    </row>
    <row r="2388" spans="1:8" customFormat="1" x14ac:dyDescent="0.25">
      <c r="A2388" t="str">
        <f>"024446"</f>
        <v>024446</v>
      </c>
      <c r="B2388" t="s">
        <v>2928</v>
      </c>
      <c r="C2388" t="s">
        <v>486</v>
      </c>
      <c r="D2388" s="21" t="s">
        <v>34</v>
      </c>
      <c r="E2388" s="21" t="s">
        <v>35</v>
      </c>
      <c r="F2388">
        <v>7020031</v>
      </c>
      <c r="G2388" t="s">
        <v>828</v>
      </c>
      <c r="H2388" s="21">
        <v>1388.17</v>
      </c>
    </row>
    <row r="2389" spans="1:8" customFormat="1" x14ac:dyDescent="0.25">
      <c r="A2389" t="str">
        <f>"8512732"</f>
        <v>8512732</v>
      </c>
      <c r="B2389" t="s">
        <v>3179</v>
      </c>
      <c r="C2389" t="s">
        <v>33</v>
      </c>
      <c r="D2389" s="21" t="s">
        <v>34</v>
      </c>
      <c r="E2389" s="21" t="s">
        <v>71</v>
      </c>
      <c r="F2389">
        <v>12850031</v>
      </c>
      <c r="G2389" t="s">
        <v>3180</v>
      </c>
      <c r="H2389" s="21">
        <v>1388.17</v>
      </c>
    </row>
    <row r="2390" spans="1:8" customFormat="1" x14ac:dyDescent="0.25">
      <c r="A2390" t="str">
        <f>"317000"</f>
        <v>317000</v>
      </c>
      <c r="B2390" t="s">
        <v>2383</v>
      </c>
      <c r="C2390" t="s">
        <v>2384</v>
      </c>
      <c r="D2390" s="21" t="s">
        <v>34</v>
      </c>
      <c r="E2390" s="21" t="s">
        <v>71</v>
      </c>
      <c r="F2390">
        <v>11310115</v>
      </c>
      <c r="G2390" t="s">
        <v>10519</v>
      </c>
      <c r="H2390" s="21">
        <v>1388.17</v>
      </c>
    </row>
    <row r="2391" spans="1:8" customFormat="1" x14ac:dyDescent="0.25">
      <c r="A2391" t="str">
        <f>"951617"</f>
        <v>951617</v>
      </c>
      <c r="B2391" t="s">
        <v>655</v>
      </c>
      <c r="C2391" t="s">
        <v>415</v>
      </c>
      <c r="D2391" s="21" t="s">
        <v>34</v>
      </c>
      <c r="E2391" s="21" t="s">
        <v>1089</v>
      </c>
      <c r="F2391">
        <v>3220033</v>
      </c>
      <c r="G2391" t="s">
        <v>657</v>
      </c>
      <c r="H2391" s="21">
        <v>1388.17</v>
      </c>
    </row>
    <row r="2392" spans="1:8" customFormat="1" x14ac:dyDescent="0.25">
      <c r="A2392" t="str">
        <f>"273462"</f>
        <v>273462</v>
      </c>
      <c r="B2392" t="s">
        <v>3137</v>
      </c>
      <c r="C2392" t="s">
        <v>169</v>
      </c>
      <c r="D2392" s="21" t="s">
        <v>34</v>
      </c>
      <c r="E2392" s="21" t="s">
        <v>35</v>
      </c>
      <c r="F2392">
        <v>9760011</v>
      </c>
      <c r="G2392" t="s">
        <v>2562</v>
      </c>
      <c r="H2392" s="21">
        <v>1387.67</v>
      </c>
    </row>
    <row r="2393" spans="1:8" customFormat="1" x14ac:dyDescent="0.25">
      <c r="A2393" t="str">
        <f>"177242"</f>
        <v>177242</v>
      </c>
      <c r="B2393" t="s">
        <v>3130</v>
      </c>
      <c r="C2393" t="s">
        <v>43</v>
      </c>
      <c r="D2393" s="21" t="s">
        <v>34</v>
      </c>
      <c r="E2393" s="21" t="s">
        <v>35</v>
      </c>
      <c r="F2393">
        <v>10170158</v>
      </c>
      <c r="G2393" t="s">
        <v>1262</v>
      </c>
      <c r="H2393" s="21">
        <v>1387.67</v>
      </c>
    </row>
    <row r="2394" spans="1:8" customFormat="1" x14ac:dyDescent="0.25">
      <c r="A2394" t="str">
        <f>"9214084"</f>
        <v>9214084</v>
      </c>
      <c r="B2394" t="s">
        <v>3739</v>
      </c>
      <c r="C2394" t="s">
        <v>1714</v>
      </c>
      <c r="D2394" s="21" t="s">
        <v>34</v>
      </c>
      <c r="E2394" s="21" t="s">
        <v>35</v>
      </c>
      <c r="F2394">
        <v>8940459</v>
      </c>
      <c r="G2394" t="s">
        <v>743</v>
      </c>
      <c r="H2394" s="21">
        <v>1387.67</v>
      </c>
    </row>
    <row r="2395" spans="1:8" customFormat="1" x14ac:dyDescent="0.25">
      <c r="A2395" t="str">
        <f>"7830078"</f>
        <v>7830078</v>
      </c>
      <c r="B2395" t="s">
        <v>3036</v>
      </c>
      <c r="C2395" t="s">
        <v>40</v>
      </c>
      <c r="D2395" s="21" t="s">
        <v>34</v>
      </c>
      <c r="E2395" s="21" t="s">
        <v>71</v>
      </c>
      <c r="F2395">
        <v>12440176</v>
      </c>
      <c r="G2395" t="s">
        <v>1020</v>
      </c>
      <c r="H2395" s="21">
        <v>1387.17</v>
      </c>
    </row>
    <row r="2396" spans="1:8" customFormat="1" x14ac:dyDescent="0.25">
      <c r="A2396" t="str">
        <f>"782099"</f>
        <v>782099</v>
      </c>
      <c r="B2396" t="s">
        <v>2580</v>
      </c>
      <c r="C2396" t="s">
        <v>249</v>
      </c>
      <c r="D2396" s="21" t="s">
        <v>34</v>
      </c>
      <c r="E2396" s="21" t="s">
        <v>71</v>
      </c>
      <c r="F2396">
        <v>8781017</v>
      </c>
      <c r="G2396" t="s">
        <v>2581</v>
      </c>
      <c r="H2396" s="21">
        <v>1387.05</v>
      </c>
    </row>
    <row r="2397" spans="1:8" customFormat="1" x14ac:dyDescent="0.25">
      <c r="A2397" t="str">
        <f>"381549"</f>
        <v>381549</v>
      </c>
      <c r="B2397" t="s">
        <v>3178</v>
      </c>
      <c r="C2397" t="s">
        <v>60</v>
      </c>
      <c r="D2397" s="21" t="s">
        <v>34</v>
      </c>
      <c r="E2397" s="21" t="s">
        <v>35</v>
      </c>
      <c r="F2397">
        <v>1380290</v>
      </c>
      <c r="G2397" t="s">
        <v>619</v>
      </c>
      <c r="H2397" s="21">
        <v>1386.67</v>
      </c>
    </row>
    <row r="2398" spans="1:8" customFormat="1" x14ac:dyDescent="0.25">
      <c r="A2398" t="str">
        <f>"254490"</f>
        <v>254490</v>
      </c>
      <c r="B2398" t="s">
        <v>3260</v>
      </c>
      <c r="C2398" t="s">
        <v>209</v>
      </c>
      <c r="D2398" s="21" t="s">
        <v>34</v>
      </c>
      <c r="E2398" s="21" t="s">
        <v>71</v>
      </c>
      <c r="F2398">
        <v>2900028</v>
      </c>
      <c r="G2398" t="s">
        <v>1541</v>
      </c>
      <c r="H2398" s="21">
        <v>1386.67</v>
      </c>
    </row>
    <row r="2399" spans="1:8" customFormat="1" x14ac:dyDescent="0.25">
      <c r="A2399" t="str">
        <f>"5726628"</f>
        <v>5726628</v>
      </c>
      <c r="B2399" t="s">
        <v>2372</v>
      </c>
      <c r="C2399" t="s">
        <v>528</v>
      </c>
      <c r="D2399" s="21" t="s">
        <v>34</v>
      </c>
      <c r="E2399" s="21" t="s">
        <v>71</v>
      </c>
      <c r="F2399">
        <v>6570190</v>
      </c>
      <c r="G2399" t="s">
        <v>622</v>
      </c>
      <c r="H2399" s="21">
        <v>1386.17</v>
      </c>
    </row>
    <row r="2400" spans="1:8" customFormat="1" x14ac:dyDescent="0.25">
      <c r="A2400" t="str">
        <f>"8011378"</f>
        <v>8011378</v>
      </c>
      <c r="B2400" t="s">
        <v>26719</v>
      </c>
      <c r="C2400" t="s">
        <v>1708</v>
      </c>
      <c r="D2400" s="21" t="s">
        <v>34</v>
      </c>
      <c r="E2400" s="21" t="s">
        <v>35</v>
      </c>
      <c r="F2400">
        <v>7800040</v>
      </c>
      <c r="G2400" t="s">
        <v>1448</v>
      </c>
      <c r="H2400" s="21">
        <v>1386.17</v>
      </c>
    </row>
    <row r="2401" spans="1:8" customFormat="1" x14ac:dyDescent="0.25">
      <c r="A2401" t="str">
        <f>"166686"</f>
        <v>166686</v>
      </c>
      <c r="B2401" t="s">
        <v>3565</v>
      </c>
      <c r="C2401" t="s">
        <v>631</v>
      </c>
      <c r="D2401" s="21" t="s">
        <v>34</v>
      </c>
      <c r="E2401" s="21" t="s">
        <v>35</v>
      </c>
      <c r="F2401">
        <v>12850142</v>
      </c>
      <c r="G2401" t="s">
        <v>2663</v>
      </c>
      <c r="H2401" s="21">
        <v>1386.17</v>
      </c>
    </row>
    <row r="2402" spans="1:8" customFormat="1" x14ac:dyDescent="0.25">
      <c r="A2402" t="str">
        <f>"2712331"</f>
        <v>2712331</v>
      </c>
      <c r="B2402" t="s">
        <v>3227</v>
      </c>
      <c r="C2402" t="s">
        <v>119</v>
      </c>
      <c r="D2402" s="21" t="s">
        <v>34</v>
      </c>
      <c r="E2402" s="21" t="s">
        <v>71</v>
      </c>
      <c r="F2402">
        <v>9270077</v>
      </c>
      <c r="G2402" t="s">
        <v>3228</v>
      </c>
      <c r="H2402" s="21">
        <v>1386.17</v>
      </c>
    </row>
    <row r="2403" spans="1:8" customFormat="1" x14ac:dyDescent="0.25">
      <c r="A2403" t="str">
        <f>"76378"</f>
        <v>76378</v>
      </c>
      <c r="B2403" t="s">
        <v>2561</v>
      </c>
      <c r="C2403" t="s">
        <v>209</v>
      </c>
      <c r="D2403" s="21" t="s">
        <v>34</v>
      </c>
      <c r="E2403" s="21" t="s">
        <v>254</v>
      </c>
      <c r="F2403">
        <v>9760011</v>
      </c>
      <c r="G2403" t="s">
        <v>2562</v>
      </c>
      <c r="H2403" s="21">
        <v>1385.8</v>
      </c>
    </row>
    <row r="2404" spans="1:8" customFormat="1" x14ac:dyDescent="0.25">
      <c r="A2404" t="str">
        <f>"3318086"</f>
        <v>3318086</v>
      </c>
      <c r="B2404" t="s">
        <v>3131</v>
      </c>
      <c r="C2404" t="s">
        <v>288</v>
      </c>
      <c r="D2404" s="21" t="s">
        <v>34</v>
      </c>
      <c r="E2404" s="21" t="s">
        <v>35</v>
      </c>
      <c r="F2404">
        <v>10330011</v>
      </c>
      <c r="G2404" t="s">
        <v>1789</v>
      </c>
      <c r="H2404" s="21">
        <v>1385.79</v>
      </c>
    </row>
    <row r="2405" spans="1:8" customFormat="1" x14ac:dyDescent="0.25">
      <c r="A2405" t="str">
        <f>"725815"</f>
        <v>725815</v>
      </c>
      <c r="B2405" t="s">
        <v>2307</v>
      </c>
      <c r="C2405" t="s">
        <v>486</v>
      </c>
      <c r="D2405" s="21" t="s">
        <v>34</v>
      </c>
      <c r="E2405" s="21" t="s">
        <v>35</v>
      </c>
      <c r="F2405">
        <v>12530023</v>
      </c>
      <c r="G2405" t="s">
        <v>5879</v>
      </c>
      <c r="H2405" s="21">
        <v>1385.68</v>
      </c>
    </row>
    <row r="2406" spans="1:8" customFormat="1" x14ac:dyDescent="0.25">
      <c r="A2406" t="str">
        <f>"7511855"</f>
        <v>7511855</v>
      </c>
      <c r="B2406" t="s">
        <v>3045</v>
      </c>
      <c r="C2406" t="s">
        <v>267</v>
      </c>
      <c r="D2406" s="21" t="s">
        <v>34</v>
      </c>
      <c r="E2406" s="21" t="s">
        <v>71</v>
      </c>
      <c r="F2406">
        <v>4180174</v>
      </c>
      <c r="G2406" t="s">
        <v>3046</v>
      </c>
      <c r="H2406" s="21">
        <v>1385.67</v>
      </c>
    </row>
    <row r="2407" spans="1:8" customFormat="1" x14ac:dyDescent="0.25">
      <c r="A2407" t="str">
        <f>"278955"</f>
        <v>278955</v>
      </c>
      <c r="B2407" t="s">
        <v>3546</v>
      </c>
      <c r="C2407" t="s">
        <v>130</v>
      </c>
      <c r="D2407" s="21" t="s">
        <v>34</v>
      </c>
      <c r="E2407" s="21" t="s">
        <v>71</v>
      </c>
      <c r="F2407">
        <v>9270063</v>
      </c>
      <c r="G2407" t="s">
        <v>808</v>
      </c>
      <c r="H2407" s="21">
        <v>1385.17</v>
      </c>
    </row>
    <row r="2408" spans="1:8" customFormat="1" x14ac:dyDescent="0.25">
      <c r="A2408" t="str">
        <f>"9127671"</f>
        <v>9127671</v>
      </c>
      <c r="B2408" t="s">
        <v>3671</v>
      </c>
      <c r="C2408" t="s">
        <v>96</v>
      </c>
      <c r="D2408" s="21" t="s">
        <v>34</v>
      </c>
      <c r="E2408" s="21" t="s">
        <v>35</v>
      </c>
      <c r="F2408">
        <v>4370011</v>
      </c>
      <c r="G2408" t="s">
        <v>3672</v>
      </c>
      <c r="H2408" s="21">
        <v>1385.17</v>
      </c>
    </row>
    <row r="2409" spans="1:8" customFormat="1" x14ac:dyDescent="0.25">
      <c r="A2409" t="str">
        <f>"2920343"</f>
        <v>2920343</v>
      </c>
      <c r="B2409" t="s">
        <v>14409</v>
      </c>
      <c r="C2409" t="s">
        <v>263</v>
      </c>
      <c r="D2409" s="21" t="s">
        <v>34</v>
      </c>
      <c r="E2409" s="21" t="s">
        <v>35</v>
      </c>
      <c r="F2409">
        <v>12490127</v>
      </c>
      <c r="G2409" t="s">
        <v>4034</v>
      </c>
      <c r="H2409" s="21">
        <v>1384.92</v>
      </c>
    </row>
    <row r="2410" spans="1:8" customFormat="1" x14ac:dyDescent="0.25">
      <c r="A2410" t="str">
        <f>"562893"</f>
        <v>562893</v>
      </c>
      <c r="B2410" t="s">
        <v>2544</v>
      </c>
      <c r="C2410" t="s">
        <v>598</v>
      </c>
      <c r="D2410" s="21" t="s">
        <v>34</v>
      </c>
      <c r="E2410" s="21" t="s">
        <v>254</v>
      </c>
      <c r="F2410">
        <v>3560020</v>
      </c>
      <c r="G2410" t="s">
        <v>426</v>
      </c>
      <c r="H2410" s="21">
        <v>1384.79</v>
      </c>
    </row>
    <row r="2411" spans="1:8" customFormat="1" x14ac:dyDescent="0.25">
      <c r="A2411" t="str">
        <f>"298454"</f>
        <v>298454</v>
      </c>
      <c r="B2411" t="s">
        <v>2873</v>
      </c>
      <c r="C2411" t="s">
        <v>328</v>
      </c>
      <c r="D2411" s="21" t="s">
        <v>34</v>
      </c>
      <c r="E2411" s="21" t="s">
        <v>35</v>
      </c>
      <c r="F2411">
        <v>3290019</v>
      </c>
      <c r="G2411" t="s">
        <v>4452</v>
      </c>
      <c r="H2411" s="21">
        <v>1384.67</v>
      </c>
    </row>
    <row r="2412" spans="1:8" customFormat="1" x14ac:dyDescent="0.25">
      <c r="A2412" t="str">
        <f>"242163"</f>
        <v>242163</v>
      </c>
      <c r="B2412" t="s">
        <v>3190</v>
      </c>
      <c r="C2412" t="s">
        <v>2752</v>
      </c>
      <c r="D2412" s="21" t="s">
        <v>34</v>
      </c>
      <c r="E2412" s="21" t="s">
        <v>71</v>
      </c>
      <c r="F2412">
        <v>10240003</v>
      </c>
      <c r="G2412" t="s">
        <v>2940</v>
      </c>
      <c r="H2412" s="21">
        <v>1384.67</v>
      </c>
    </row>
    <row r="2413" spans="1:8" customFormat="1" x14ac:dyDescent="0.25">
      <c r="A2413" t="str">
        <f>"3319080"</f>
        <v>3319080</v>
      </c>
      <c r="B2413" t="s">
        <v>3105</v>
      </c>
      <c r="C2413" t="s">
        <v>33</v>
      </c>
      <c r="D2413" s="21" t="s">
        <v>34</v>
      </c>
      <c r="E2413" s="21" t="s">
        <v>35</v>
      </c>
      <c r="F2413">
        <v>10170042</v>
      </c>
      <c r="G2413" t="s">
        <v>5014</v>
      </c>
      <c r="H2413" s="21">
        <v>1384.5</v>
      </c>
    </row>
    <row r="2414" spans="1:8" customFormat="1" x14ac:dyDescent="0.25">
      <c r="A2414" t="str">
        <f>"83345"</f>
        <v>83345</v>
      </c>
      <c r="B2414" t="s">
        <v>3747</v>
      </c>
      <c r="C2414" t="s">
        <v>209</v>
      </c>
      <c r="D2414" s="21" t="s">
        <v>34</v>
      </c>
      <c r="E2414" s="21" t="s">
        <v>254</v>
      </c>
      <c r="F2414">
        <v>13830025</v>
      </c>
      <c r="G2414" t="s">
        <v>106</v>
      </c>
      <c r="H2414" s="21">
        <v>1384.17</v>
      </c>
    </row>
    <row r="2415" spans="1:8" customFormat="1" x14ac:dyDescent="0.25">
      <c r="A2415" t="str">
        <f>"491462"</f>
        <v>491462</v>
      </c>
      <c r="B2415" t="s">
        <v>25378</v>
      </c>
      <c r="C2415" t="s">
        <v>249</v>
      </c>
      <c r="D2415" s="21" t="s">
        <v>34</v>
      </c>
      <c r="E2415" s="21" t="s">
        <v>35</v>
      </c>
      <c r="F2415">
        <v>12490064</v>
      </c>
      <c r="G2415" t="s">
        <v>8425</v>
      </c>
      <c r="H2415" s="21">
        <v>1384.17</v>
      </c>
    </row>
    <row r="2416" spans="1:8" customFormat="1" x14ac:dyDescent="0.25">
      <c r="A2416" t="str">
        <f>"3310788"</f>
        <v>3310788</v>
      </c>
      <c r="B2416" t="s">
        <v>2106</v>
      </c>
      <c r="C2416" t="s">
        <v>453</v>
      </c>
      <c r="D2416" s="21" t="s">
        <v>34</v>
      </c>
      <c r="E2416" s="21" t="s">
        <v>254</v>
      </c>
      <c r="F2416">
        <v>10330031</v>
      </c>
      <c r="G2416" t="s">
        <v>2452</v>
      </c>
      <c r="H2416" s="21">
        <v>1384.17</v>
      </c>
    </row>
    <row r="2417" spans="1:8" customFormat="1" x14ac:dyDescent="0.25">
      <c r="A2417" t="str">
        <f>"364480"</f>
        <v>364480</v>
      </c>
      <c r="B2417" t="s">
        <v>26720</v>
      </c>
      <c r="C2417" t="s">
        <v>62</v>
      </c>
      <c r="D2417" s="21" t="s">
        <v>34</v>
      </c>
      <c r="E2417" s="21" t="s">
        <v>35</v>
      </c>
      <c r="F2417">
        <v>4360341</v>
      </c>
      <c r="G2417" t="s">
        <v>4912</v>
      </c>
      <c r="H2417" s="21">
        <v>1383.93</v>
      </c>
    </row>
    <row r="2418" spans="1:8" customFormat="1" x14ac:dyDescent="0.25">
      <c r="A2418" t="str">
        <f>"4931982"</f>
        <v>4931982</v>
      </c>
      <c r="B2418" t="s">
        <v>3484</v>
      </c>
      <c r="C2418" t="s">
        <v>598</v>
      </c>
      <c r="D2418" s="21" t="s">
        <v>34</v>
      </c>
      <c r="E2418" s="21" t="s">
        <v>71</v>
      </c>
      <c r="F2418">
        <v>12490029</v>
      </c>
      <c r="G2418" t="s">
        <v>3485</v>
      </c>
      <c r="H2418" s="21">
        <v>1383.92</v>
      </c>
    </row>
    <row r="2419" spans="1:8" customFormat="1" x14ac:dyDescent="0.25">
      <c r="A2419" t="str">
        <f>"788561"</f>
        <v>788561</v>
      </c>
      <c r="B2419" t="s">
        <v>2926</v>
      </c>
      <c r="C2419" t="s">
        <v>109</v>
      </c>
      <c r="D2419" s="21" t="s">
        <v>34</v>
      </c>
      <c r="E2419" s="21" t="s">
        <v>35</v>
      </c>
      <c r="F2419">
        <v>8770865</v>
      </c>
      <c r="G2419" t="s">
        <v>1426</v>
      </c>
      <c r="H2419" s="21">
        <v>1383.92</v>
      </c>
    </row>
    <row r="2420" spans="1:8" customFormat="1" x14ac:dyDescent="0.25">
      <c r="A2420" t="str">
        <f>"61927"</f>
        <v>61927</v>
      </c>
      <c r="B2420" t="s">
        <v>2625</v>
      </c>
      <c r="C2420" t="s">
        <v>288</v>
      </c>
      <c r="D2420" s="21" t="s">
        <v>34</v>
      </c>
      <c r="E2420" s="21" t="s">
        <v>71</v>
      </c>
      <c r="F2420">
        <v>9610101</v>
      </c>
      <c r="G2420" t="s">
        <v>3969</v>
      </c>
      <c r="H2420" s="21">
        <v>1383.92</v>
      </c>
    </row>
    <row r="2421" spans="1:8" customFormat="1" x14ac:dyDescent="0.25">
      <c r="A2421" t="str">
        <f>"061438"</f>
        <v>061438</v>
      </c>
      <c r="B2421" t="s">
        <v>3589</v>
      </c>
      <c r="C2421" t="s">
        <v>3590</v>
      </c>
      <c r="D2421" s="21" t="s">
        <v>34</v>
      </c>
      <c r="E2421" s="21" t="s">
        <v>35</v>
      </c>
      <c r="F2421">
        <v>13060110</v>
      </c>
      <c r="G2421" t="s">
        <v>3268</v>
      </c>
      <c r="H2421" s="21">
        <v>1383.67</v>
      </c>
    </row>
    <row r="2422" spans="1:8" customFormat="1" x14ac:dyDescent="0.25">
      <c r="A2422" t="str">
        <f>"3710877"</f>
        <v>3710877</v>
      </c>
      <c r="B2422" t="s">
        <v>3470</v>
      </c>
      <c r="C2422" t="s">
        <v>547</v>
      </c>
      <c r="D2422" s="21" t="s">
        <v>34</v>
      </c>
      <c r="E2422" s="21" t="s">
        <v>254</v>
      </c>
      <c r="F2422">
        <v>4370002</v>
      </c>
      <c r="G2422" t="s">
        <v>112</v>
      </c>
      <c r="H2422" s="21">
        <v>1383.67</v>
      </c>
    </row>
    <row r="2423" spans="1:8" customFormat="1" x14ac:dyDescent="0.25">
      <c r="A2423" t="str">
        <f>"7634956"</f>
        <v>7634956</v>
      </c>
      <c r="B2423" t="s">
        <v>3399</v>
      </c>
      <c r="C2423" t="s">
        <v>33</v>
      </c>
      <c r="D2423" s="21" t="s">
        <v>34</v>
      </c>
      <c r="E2423" s="21" t="s">
        <v>35</v>
      </c>
      <c r="F2423">
        <v>9760014</v>
      </c>
      <c r="G2423" t="s">
        <v>1017</v>
      </c>
      <c r="H2423" s="21">
        <v>1383.67</v>
      </c>
    </row>
    <row r="2424" spans="1:8" customFormat="1" x14ac:dyDescent="0.25">
      <c r="A2424" t="str">
        <f>"706554"</f>
        <v>706554</v>
      </c>
      <c r="B2424" t="s">
        <v>2288</v>
      </c>
      <c r="C2424" t="s">
        <v>33</v>
      </c>
      <c r="D2424" s="21" t="s">
        <v>34</v>
      </c>
      <c r="E2424" s="21" t="s">
        <v>71</v>
      </c>
      <c r="F2424">
        <v>6880145</v>
      </c>
      <c r="G2424" t="s">
        <v>1303</v>
      </c>
      <c r="H2424" s="21">
        <v>1383.42</v>
      </c>
    </row>
    <row r="2425" spans="1:8" customFormat="1" x14ac:dyDescent="0.25">
      <c r="A2425" t="str">
        <f>"91571"</f>
        <v>91571</v>
      </c>
      <c r="B2425" t="s">
        <v>3968</v>
      </c>
      <c r="C2425" t="s">
        <v>33</v>
      </c>
      <c r="D2425" s="21" t="s">
        <v>34</v>
      </c>
      <c r="E2425" s="21" t="s">
        <v>71</v>
      </c>
      <c r="F2425">
        <v>8910881</v>
      </c>
      <c r="G2425" t="s">
        <v>1300</v>
      </c>
      <c r="H2425" s="21">
        <v>1383.3</v>
      </c>
    </row>
    <row r="2426" spans="1:8" customFormat="1" x14ac:dyDescent="0.25">
      <c r="A2426" t="str">
        <f>"912124"</f>
        <v>912124</v>
      </c>
      <c r="B2426" t="s">
        <v>3586</v>
      </c>
      <c r="C2426" t="s">
        <v>130</v>
      </c>
      <c r="D2426" s="21" t="s">
        <v>34</v>
      </c>
      <c r="E2426" s="21" t="s">
        <v>35</v>
      </c>
      <c r="F2426">
        <v>8910402</v>
      </c>
      <c r="G2426" t="s">
        <v>1371</v>
      </c>
      <c r="H2426" s="21">
        <v>1383.17</v>
      </c>
    </row>
    <row r="2427" spans="1:8" customFormat="1" x14ac:dyDescent="0.25">
      <c r="A2427" t="str">
        <f>"874502"</f>
        <v>874502</v>
      </c>
      <c r="B2427" t="s">
        <v>2461</v>
      </c>
      <c r="C2427" t="s">
        <v>60</v>
      </c>
      <c r="D2427" s="21" t="s">
        <v>34</v>
      </c>
      <c r="E2427" s="21" t="s">
        <v>71</v>
      </c>
      <c r="F2427">
        <v>10190080</v>
      </c>
      <c r="G2427" t="s">
        <v>1726</v>
      </c>
      <c r="H2427" s="21">
        <v>1382.92</v>
      </c>
    </row>
    <row r="2428" spans="1:8" customFormat="1" x14ac:dyDescent="0.25">
      <c r="A2428" t="str">
        <f>"5931701"</f>
        <v>5931701</v>
      </c>
      <c r="B2428" t="s">
        <v>2613</v>
      </c>
      <c r="C2428" t="s">
        <v>656</v>
      </c>
      <c r="D2428" s="21" t="s">
        <v>34</v>
      </c>
      <c r="E2428" s="21" t="s">
        <v>35</v>
      </c>
      <c r="F2428">
        <v>7590050</v>
      </c>
      <c r="G2428" t="s">
        <v>473</v>
      </c>
      <c r="H2428" s="21">
        <v>1382.67</v>
      </c>
    </row>
    <row r="2429" spans="1:8" customFormat="1" x14ac:dyDescent="0.25">
      <c r="A2429" t="str">
        <f>"5947306"</f>
        <v>5947306</v>
      </c>
      <c r="B2429" t="s">
        <v>3103</v>
      </c>
      <c r="C2429" t="s">
        <v>1110</v>
      </c>
      <c r="D2429" s="21" t="s">
        <v>34</v>
      </c>
      <c r="E2429" s="21" t="s">
        <v>71</v>
      </c>
      <c r="F2429">
        <v>7590392</v>
      </c>
      <c r="G2429" t="s">
        <v>154</v>
      </c>
      <c r="H2429" s="21">
        <v>1382.55</v>
      </c>
    </row>
    <row r="2430" spans="1:8" customFormat="1" x14ac:dyDescent="0.25">
      <c r="A2430" t="str">
        <f>"348357"</f>
        <v>348357</v>
      </c>
      <c r="B2430" t="s">
        <v>3989</v>
      </c>
      <c r="C2430" t="s">
        <v>1142</v>
      </c>
      <c r="D2430" s="21" t="s">
        <v>34</v>
      </c>
      <c r="E2430" s="21" t="s">
        <v>71</v>
      </c>
      <c r="F2430">
        <v>11340060</v>
      </c>
      <c r="G2430" t="s">
        <v>1275</v>
      </c>
      <c r="H2430" s="21">
        <v>1382.3</v>
      </c>
    </row>
    <row r="2431" spans="1:8" customFormat="1" x14ac:dyDescent="0.25">
      <c r="A2431" t="str">
        <f>"792386"</f>
        <v>792386</v>
      </c>
      <c r="B2431" t="s">
        <v>26721</v>
      </c>
      <c r="C2431" t="s">
        <v>2150</v>
      </c>
      <c r="D2431" s="21" t="s">
        <v>34</v>
      </c>
      <c r="E2431" s="21" t="s">
        <v>35</v>
      </c>
      <c r="F2431">
        <v>10790009</v>
      </c>
      <c r="G2431" t="s">
        <v>1155</v>
      </c>
      <c r="H2431" s="21">
        <v>1382.17</v>
      </c>
    </row>
    <row r="2432" spans="1:8" customFormat="1" x14ac:dyDescent="0.25">
      <c r="A2432" t="str">
        <f>"1314955"</f>
        <v>1314955</v>
      </c>
      <c r="B2432" t="s">
        <v>3229</v>
      </c>
      <c r="C2432" t="s">
        <v>139</v>
      </c>
      <c r="D2432" s="21" t="s">
        <v>34</v>
      </c>
      <c r="E2432" s="21" t="s">
        <v>71</v>
      </c>
      <c r="F2432">
        <v>13130100</v>
      </c>
      <c r="G2432" t="s">
        <v>2893</v>
      </c>
      <c r="H2432" s="21">
        <v>1382.17</v>
      </c>
    </row>
    <row r="2433" spans="1:8" customFormat="1" x14ac:dyDescent="0.25">
      <c r="A2433" t="str">
        <f>"12243"</f>
        <v>12243</v>
      </c>
      <c r="B2433" t="s">
        <v>3368</v>
      </c>
      <c r="C2433" t="s">
        <v>169</v>
      </c>
      <c r="D2433" s="21" t="s">
        <v>34</v>
      </c>
      <c r="E2433" s="21" t="s">
        <v>35</v>
      </c>
      <c r="F2433">
        <v>11120009</v>
      </c>
      <c r="G2433" t="s">
        <v>3369</v>
      </c>
      <c r="H2433" s="21">
        <v>1382.17</v>
      </c>
    </row>
    <row r="2434" spans="1:8" customFormat="1" x14ac:dyDescent="0.25">
      <c r="A2434" t="str">
        <f>"491530"</f>
        <v>491530</v>
      </c>
      <c r="B2434" t="s">
        <v>26722</v>
      </c>
      <c r="C2434" t="s">
        <v>598</v>
      </c>
      <c r="D2434" s="21" t="s">
        <v>34</v>
      </c>
      <c r="E2434" s="21" t="s">
        <v>1089</v>
      </c>
      <c r="F2434">
        <v>12850148</v>
      </c>
      <c r="G2434" t="s">
        <v>2380</v>
      </c>
      <c r="H2434" s="21">
        <v>1382.17</v>
      </c>
    </row>
    <row r="2435" spans="1:8" customFormat="1" x14ac:dyDescent="0.25">
      <c r="A2435" t="str">
        <f>"7511448"</f>
        <v>7511448</v>
      </c>
      <c r="B2435" t="s">
        <v>3315</v>
      </c>
      <c r="C2435" t="s">
        <v>484</v>
      </c>
      <c r="D2435" s="21" t="s">
        <v>34</v>
      </c>
      <c r="E2435" s="21" t="s">
        <v>35</v>
      </c>
      <c r="F2435">
        <v>10790235</v>
      </c>
      <c r="G2435" t="s">
        <v>413</v>
      </c>
      <c r="H2435" s="21">
        <v>1382.17</v>
      </c>
    </row>
    <row r="2436" spans="1:8" customFormat="1" x14ac:dyDescent="0.25">
      <c r="A2436" t="str">
        <f>"6216964"</f>
        <v>6216964</v>
      </c>
      <c r="B2436" t="s">
        <v>2974</v>
      </c>
      <c r="C2436" t="s">
        <v>65</v>
      </c>
      <c r="D2436" s="21" t="s">
        <v>34</v>
      </c>
      <c r="E2436" s="21" t="s">
        <v>35</v>
      </c>
      <c r="F2436">
        <v>7620024</v>
      </c>
      <c r="G2436" t="s">
        <v>2975</v>
      </c>
      <c r="H2436" s="21">
        <v>1381.67</v>
      </c>
    </row>
    <row r="2437" spans="1:8" customFormat="1" x14ac:dyDescent="0.25">
      <c r="A2437" t="str">
        <f>"5611262"</f>
        <v>5611262</v>
      </c>
      <c r="B2437" t="s">
        <v>1614</v>
      </c>
      <c r="C2437" t="s">
        <v>233</v>
      </c>
      <c r="D2437" s="21" t="s">
        <v>34</v>
      </c>
      <c r="E2437" s="21" t="s">
        <v>71</v>
      </c>
      <c r="F2437">
        <v>3560005</v>
      </c>
      <c r="G2437" t="s">
        <v>2101</v>
      </c>
      <c r="H2437" s="21">
        <v>1381.67</v>
      </c>
    </row>
    <row r="2438" spans="1:8" customFormat="1" x14ac:dyDescent="0.25">
      <c r="A2438" t="str">
        <f>"09150"</f>
        <v>09150</v>
      </c>
      <c r="B2438" t="s">
        <v>3467</v>
      </c>
      <c r="C2438" t="s">
        <v>3098</v>
      </c>
      <c r="D2438" s="21" t="s">
        <v>34</v>
      </c>
      <c r="E2438" s="21" t="s">
        <v>35</v>
      </c>
      <c r="F2438">
        <v>11090002</v>
      </c>
      <c r="G2438" t="s">
        <v>901</v>
      </c>
      <c r="H2438" s="21">
        <v>1381.67</v>
      </c>
    </row>
    <row r="2439" spans="1:8" customFormat="1" x14ac:dyDescent="0.25">
      <c r="A2439" t="str">
        <f>"066248"</f>
        <v>066248</v>
      </c>
      <c r="B2439" t="s">
        <v>3237</v>
      </c>
      <c r="C2439" t="s">
        <v>33</v>
      </c>
      <c r="D2439" s="21" t="s">
        <v>34</v>
      </c>
      <c r="E2439" s="21" t="s">
        <v>35</v>
      </c>
      <c r="F2439">
        <v>13060085</v>
      </c>
      <c r="G2439" t="s">
        <v>2703</v>
      </c>
      <c r="H2439" s="21">
        <v>1381.67</v>
      </c>
    </row>
    <row r="2440" spans="1:8" customFormat="1" x14ac:dyDescent="0.25">
      <c r="A2440" t="str">
        <f>"786907"</f>
        <v>786907</v>
      </c>
      <c r="B2440" t="s">
        <v>3719</v>
      </c>
      <c r="C2440" t="s">
        <v>926</v>
      </c>
      <c r="D2440" s="21" t="s">
        <v>34</v>
      </c>
      <c r="E2440" s="21" t="s">
        <v>71</v>
      </c>
      <c r="F2440">
        <v>8781290</v>
      </c>
      <c r="G2440" t="s">
        <v>2927</v>
      </c>
      <c r="H2440" s="21">
        <v>1381.43</v>
      </c>
    </row>
    <row r="2441" spans="1:8" customFormat="1" x14ac:dyDescent="0.25">
      <c r="A2441" t="str">
        <f>"5957592"</f>
        <v>5957592</v>
      </c>
      <c r="B2441" t="s">
        <v>3357</v>
      </c>
      <c r="C2441" t="s">
        <v>719</v>
      </c>
      <c r="D2441" s="21" t="s">
        <v>34</v>
      </c>
      <c r="E2441" s="21" t="s">
        <v>35</v>
      </c>
      <c r="F2441">
        <v>7590080</v>
      </c>
      <c r="G2441" t="s">
        <v>1715</v>
      </c>
      <c r="H2441" s="21">
        <v>1381.17</v>
      </c>
    </row>
    <row r="2442" spans="1:8" customFormat="1" x14ac:dyDescent="0.25">
      <c r="A2442" t="str">
        <f>"9744957"</f>
        <v>9744957</v>
      </c>
      <c r="B2442" t="s">
        <v>3025</v>
      </c>
      <c r="C2442" t="s">
        <v>3026</v>
      </c>
      <c r="D2442" s="21" t="s">
        <v>34</v>
      </c>
      <c r="E2442" s="21" t="s">
        <v>35</v>
      </c>
      <c r="F2442" t="s">
        <v>2839</v>
      </c>
      <c r="G2442" t="s">
        <v>2840</v>
      </c>
      <c r="H2442" s="21">
        <v>1381.17</v>
      </c>
    </row>
    <row r="2443" spans="1:8" customFormat="1" x14ac:dyDescent="0.25">
      <c r="A2443" t="str">
        <f>"14391"</f>
        <v>14391</v>
      </c>
      <c r="B2443" t="s">
        <v>3205</v>
      </c>
      <c r="C2443" t="s">
        <v>412</v>
      </c>
      <c r="D2443" s="21" t="s">
        <v>34</v>
      </c>
      <c r="E2443" s="21" t="s">
        <v>1089</v>
      </c>
      <c r="F2443">
        <v>9140013</v>
      </c>
      <c r="G2443" t="s">
        <v>1837</v>
      </c>
      <c r="H2443" s="21">
        <v>1381.17</v>
      </c>
    </row>
    <row r="2444" spans="1:8" customFormat="1" x14ac:dyDescent="0.25">
      <c r="A2444" t="str">
        <f>"914731"</f>
        <v>914731</v>
      </c>
      <c r="B2444" t="s">
        <v>26723</v>
      </c>
      <c r="C2444" t="s">
        <v>275</v>
      </c>
      <c r="D2444" s="21" t="s">
        <v>34</v>
      </c>
      <c r="E2444" s="21" t="s">
        <v>35</v>
      </c>
      <c r="F2444">
        <v>8780568</v>
      </c>
      <c r="G2444" t="s">
        <v>5279</v>
      </c>
      <c r="H2444" s="21">
        <v>1381.17</v>
      </c>
    </row>
    <row r="2445" spans="1:8" customFormat="1" x14ac:dyDescent="0.25">
      <c r="A2445" t="str">
        <f>"645"</f>
        <v>645</v>
      </c>
      <c r="B2445" t="s">
        <v>2982</v>
      </c>
      <c r="C2445" t="s">
        <v>2305</v>
      </c>
      <c r="D2445" s="21" t="s">
        <v>34</v>
      </c>
      <c r="E2445" s="21" t="s">
        <v>254</v>
      </c>
      <c r="F2445">
        <v>10640001</v>
      </c>
      <c r="G2445" t="s">
        <v>2419</v>
      </c>
      <c r="H2445" s="21">
        <v>1381.17</v>
      </c>
    </row>
    <row r="2446" spans="1:8" customFormat="1" x14ac:dyDescent="0.25">
      <c r="A2446" t="str">
        <f>"5915704"</f>
        <v>5915704</v>
      </c>
      <c r="B2446" t="s">
        <v>3737</v>
      </c>
      <c r="C2446" t="s">
        <v>98</v>
      </c>
      <c r="D2446" s="21" t="s">
        <v>34</v>
      </c>
      <c r="E2446" s="21" t="s">
        <v>35</v>
      </c>
      <c r="F2446">
        <v>7590027</v>
      </c>
      <c r="G2446" t="s">
        <v>629</v>
      </c>
      <c r="H2446" s="21">
        <v>1381.17</v>
      </c>
    </row>
    <row r="2447" spans="1:8" customFormat="1" x14ac:dyDescent="0.25">
      <c r="A2447" t="str">
        <f>"031793"</f>
        <v>031793</v>
      </c>
      <c r="B2447" t="s">
        <v>3148</v>
      </c>
      <c r="C2447" t="s">
        <v>43</v>
      </c>
      <c r="D2447" s="21" t="s">
        <v>34</v>
      </c>
      <c r="E2447" s="21" t="s">
        <v>35</v>
      </c>
      <c r="F2447">
        <v>1030108</v>
      </c>
      <c r="G2447" t="s">
        <v>26724</v>
      </c>
      <c r="H2447" s="21">
        <v>1380.67</v>
      </c>
    </row>
    <row r="2448" spans="1:8" customFormat="1" x14ac:dyDescent="0.25">
      <c r="A2448" t="str">
        <f>"764746"</f>
        <v>764746</v>
      </c>
      <c r="B2448" t="s">
        <v>2767</v>
      </c>
      <c r="C2448" t="s">
        <v>169</v>
      </c>
      <c r="D2448" s="21" t="s">
        <v>34</v>
      </c>
      <c r="E2448" s="21" t="s">
        <v>35</v>
      </c>
      <c r="F2448">
        <v>9760463</v>
      </c>
      <c r="G2448" t="s">
        <v>1188</v>
      </c>
      <c r="H2448" s="21">
        <v>1380.67</v>
      </c>
    </row>
    <row r="2449" spans="1:8" customFormat="1" x14ac:dyDescent="0.25">
      <c r="A2449" t="str">
        <f>"742232"</f>
        <v>742232</v>
      </c>
      <c r="B2449" t="s">
        <v>4098</v>
      </c>
      <c r="C2449" t="s">
        <v>60</v>
      </c>
      <c r="D2449" s="21" t="s">
        <v>34</v>
      </c>
      <c r="E2449" s="21" t="s">
        <v>35</v>
      </c>
      <c r="F2449">
        <v>1740038</v>
      </c>
      <c r="G2449" t="s">
        <v>26517</v>
      </c>
      <c r="H2449" s="21">
        <v>1380.67</v>
      </c>
    </row>
    <row r="2450" spans="1:8" customFormat="1" x14ac:dyDescent="0.25">
      <c r="A2450" t="str">
        <f>"888196"</f>
        <v>888196</v>
      </c>
      <c r="B2450" t="s">
        <v>5131</v>
      </c>
      <c r="C2450" t="s">
        <v>934</v>
      </c>
      <c r="D2450" s="21" t="s">
        <v>34</v>
      </c>
      <c r="E2450" s="21" t="s">
        <v>35</v>
      </c>
      <c r="F2450">
        <v>6880010</v>
      </c>
      <c r="G2450" t="s">
        <v>1029</v>
      </c>
      <c r="H2450" s="21">
        <v>1380.67</v>
      </c>
    </row>
    <row r="2451" spans="1:8" customFormat="1" x14ac:dyDescent="0.25">
      <c r="A2451" t="str">
        <f>"671406"</f>
        <v>671406</v>
      </c>
      <c r="B2451" t="s">
        <v>3331</v>
      </c>
      <c r="C2451" t="s">
        <v>33</v>
      </c>
      <c r="D2451" s="21" t="s">
        <v>34</v>
      </c>
      <c r="E2451" s="21" t="s">
        <v>35</v>
      </c>
      <c r="F2451">
        <v>6670272</v>
      </c>
      <c r="G2451" t="s">
        <v>26568</v>
      </c>
      <c r="H2451" s="21">
        <v>1380.67</v>
      </c>
    </row>
    <row r="2452" spans="1:8" customFormat="1" x14ac:dyDescent="0.25">
      <c r="A2452" t="str">
        <f>"591600"</f>
        <v>591600</v>
      </c>
      <c r="B2452" t="s">
        <v>3556</v>
      </c>
      <c r="C2452" t="s">
        <v>204</v>
      </c>
      <c r="D2452" s="21" t="s">
        <v>34</v>
      </c>
      <c r="E2452" s="21" t="s">
        <v>35</v>
      </c>
      <c r="F2452">
        <v>7590086</v>
      </c>
      <c r="G2452" t="s">
        <v>3557</v>
      </c>
      <c r="H2452" s="21">
        <v>1380.67</v>
      </c>
    </row>
    <row r="2453" spans="1:8" customFormat="1" x14ac:dyDescent="0.25">
      <c r="A2453" t="str">
        <f>"259288"</f>
        <v>259288</v>
      </c>
      <c r="B2453" t="s">
        <v>3627</v>
      </c>
      <c r="C2453" t="s">
        <v>239</v>
      </c>
      <c r="D2453" s="21" t="s">
        <v>34</v>
      </c>
      <c r="E2453" s="21" t="s">
        <v>71</v>
      </c>
      <c r="F2453">
        <v>2250181</v>
      </c>
      <c r="G2453" t="s">
        <v>494</v>
      </c>
      <c r="H2453" s="21">
        <v>1380.17</v>
      </c>
    </row>
    <row r="2454" spans="1:8" customFormat="1" x14ac:dyDescent="0.25">
      <c r="A2454" t="str">
        <f>"5917088"</f>
        <v>5917088</v>
      </c>
      <c r="B2454" t="s">
        <v>2405</v>
      </c>
      <c r="C2454" t="s">
        <v>2907</v>
      </c>
      <c r="D2454" s="21" t="s">
        <v>34</v>
      </c>
      <c r="E2454" s="21" t="s">
        <v>35</v>
      </c>
      <c r="F2454">
        <v>12490092</v>
      </c>
      <c r="G2454" t="s">
        <v>1854</v>
      </c>
      <c r="H2454" s="21">
        <v>1380.17</v>
      </c>
    </row>
    <row r="2455" spans="1:8" customFormat="1" x14ac:dyDescent="0.25">
      <c r="A2455" t="str">
        <f>"5921355"</f>
        <v>5921355</v>
      </c>
      <c r="B2455" t="s">
        <v>8105</v>
      </c>
      <c r="C2455" t="s">
        <v>127</v>
      </c>
      <c r="D2455" s="21" t="s">
        <v>34</v>
      </c>
      <c r="E2455" s="21" t="s">
        <v>35</v>
      </c>
      <c r="F2455">
        <v>7590281</v>
      </c>
      <c r="G2455" t="s">
        <v>7165</v>
      </c>
      <c r="H2455" s="21">
        <v>1380.17</v>
      </c>
    </row>
    <row r="2456" spans="1:8" customFormat="1" x14ac:dyDescent="0.25">
      <c r="A2456" t="str">
        <f>"6471"</f>
        <v>6471</v>
      </c>
      <c r="B2456" t="s">
        <v>3122</v>
      </c>
      <c r="C2456" t="s">
        <v>249</v>
      </c>
      <c r="D2456" s="21" t="s">
        <v>34</v>
      </c>
      <c r="E2456" s="21" t="s">
        <v>35</v>
      </c>
      <c r="F2456">
        <v>10640019</v>
      </c>
      <c r="G2456" t="s">
        <v>3123</v>
      </c>
      <c r="H2456" s="21">
        <v>1380.17</v>
      </c>
    </row>
    <row r="2457" spans="1:8" customFormat="1" x14ac:dyDescent="0.25">
      <c r="A2457" t="str">
        <f>"901330"</f>
        <v>901330</v>
      </c>
      <c r="B2457" t="s">
        <v>3787</v>
      </c>
      <c r="C2457" t="s">
        <v>209</v>
      </c>
      <c r="D2457" s="21" t="s">
        <v>34</v>
      </c>
      <c r="E2457" s="21" t="s">
        <v>71</v>
      </c>
      <c r="F2457">
        <v>2900003</v>
      </c>
      <c r="G2457" t="s">
        <v>1742</v>
      </c>
      <c r="H2457" s="21">
        <v>1380.05</v>
      </c>
    </row>
    <row r="2458" spans="1:8" customFormat="1" x14ac:dyDescent="0.25">
      <c r="A2458" t="str">
        <f>"5313087"</f>
        <v>5313087</v>
      </c>
      <c r="B2458" t="s">
        <v>3476</v>
      </c>
      <c r="C2458" t="s">
        <v>302</v>
      </c>
      <c r="D2458" s="21" t="s">
        <v>34</v>
      </c>
      <c r="E2458" s="21" t="s">
        <v>71</v>
      </c>
      <c r="F2458">
        <v>12530060</v>
      </c>
      <c r="G2458" t="s">
        <v>1356</v>
      </c>
      <c r="H2458" s="21">
        <v>1379.8</v>
      </c>
    </row>
    <row r="2459" spans="1:8" customFormat="1" x14ac:dyDescent="0.25">
      <c r="A2459" t="str">
        <f>"9143475"</f>
        <v>9143475</v>
      </c>
      <c r="B2459" t="s">
        <v>4489</v>
      </c>
      <c r="C2459" t="s">
        <v>1132</v>
      </c>
      <c r="D2459" s="21" t="s">
        <v>34</v>
      </c>
      <c r="E2459" s="21" t="s">
        <v>35</v>
      </c>
      <c r="F2459">
        <v>8910042</v>
      </c>
      <c r="G2459" t="s">
        <v>4009</v>
      </c>
      <c r="H2459" s="21">
        <v>1379.67</v>
      </c>
    </row>
    <row r="2460" spans="1:8" customFormat="1" x14ac:dyDescent="0.25">
      <c r="A2460" t="str">
        <f>"122967"</f>
        <v>122967</v>
      </c>
      <c r="B2460" t="s">
        <v>3472</v>
      </c>
      <c r="C2460" t="s">
        <v>2678</v>
      </c>
      <c r="D2460" s="21" t="s">
        <v>34</v>
      </c>
      <c r="E2460" s="21" t="s">
        <v>35</v>
      </c>
      <c r="F2460">
        <v>11120004</v>
      </c>
      <c r="G2460" t="s">
        <v>2311</v>
      </c>
      <c r="H2460" s="21">
        <v>1379.67</v>
      </c>
    </row>
    <row r="2461" spans="1:8" customFormat="1" x14ac:dyDescent="0.25">
      <c r="A2461" t="str">
        <f>"82964"</f>
        <v>82964</v>
      </c>
      <c r="B2461" t="s">
        <v>697</v>
      </c>
      <c r="C2461" t="s">
        <v>249</v>
      </c>
      <c r="D2461" s="21" t="s">
        <v>34</v>
      </c>
      <c r="E2461" s="21" t="s">
        <v>35</v>
      </c>
      <c r="F2461">
        <v>11820018</v>
      </c>
      <c r="G2461" t="s">
        <v>2503</v>
      </c>
      <c r="H2461" s="21">
        <v>1379.67</v>
      </c>
    </row>
    <row r="2462" spans="1:8" customFormat="1" x14ac:dyDescent="0.25">
      <c r="A2462" t="str">
        <f>"217154"</f>
        <v>217154</v>
      </c>
      <c r="B2462" t="s">
        <v>3242</v>
      </c>
      <c r="C2462" t="s">
        <v>269</v>
      </c>
      <c r="D2462" s="21" t="s">
        <v>34</v>
      </c>
      <c r="E2462" s="21" t="s">
        <v>71</v>
      </c>
      <c r="F2462">
        <v>9140012</v>
      </c>
      <c r="G2462" t="s">
        <v>26518</v>
      </c>
      <c r="H2462" s="21">
        <v>1379.67</v>
      </c>
    </row>
    <row r="2463" spans="1:8" customFormat="1" x14ac:dyDescent="0.25">
      <c r="A2463" t="str">
        <f>"089955"</f>
        <v>089955</v>
      </c>
      <c r="B2463" t="s">
        <v>3291</v>
      </c>
      <c r="C2463" t="s">
        <v>2208</v>
      </c>
      <c r="D2463" s="21" t="s">
        <v>34</v>
      </c>
      <c r="E2463" s="21" t="s">
        <v>35</v>
      </c>
      <c r="F2463">
        <v>6080082</v>
      </c>
      <c r="G2463" t="s">
        <v>2401</v>
      </c>
      <c r="H2463" s="21">
        <v>1379.67</v>
      </c>
    </row>
    <row r="2464" spans="1:8" customFormat="1" x14ac:dyDescent="0.25">
      <c r="A2464" t="str">
        <f>"928184"</f>
        <v>928184</v>
      </c>
      <c r="B2464" t="s">
        <v>4320</v>
      </c>
      <c r="C2464" t="s">
        <v>453</v>
      </c>
      <c r="D2464" s="21" t="s">
        <v>34</v>
      </c>
      <c r="E2464" s="21" t="s">
        <v>71</v>
      </c>
      <c r="F2464">
        <v>8920646</v>
      </c>
      <c r="G2464" t="s">
        <v>2864</v>
      </c>
      <c r="H2464" s="21">
        <v>1379.42</v>
      </c>
    </row>
    <row r="2465" spans="1:8" customFormat="1" x14ac:dyDescent="0.25">
      <c r="A2465" t="str">
        <f>"4211415"</f>
        <v>4211415</v>
      </c>
      <c r="B2465" t="s">
        <v>3172</v>
      </c>
      <c r="C2465" t="s">
        <v>124</v>
      </c>
      <c r="D2465" s="21" t="s">
        <v>34</v>
      </c>
      <c r="E2465" s="21" t="s">
        <v>71</v>
      </c>
      <c r="F2465">
        <v>1730048</v>
      </c>
      <c r="G2465" t="s">
        <v>3173</v>
      </c>
      <c r="H2465" s="21">
        <v>1379.17</v>
      </c>
    </row>
    <row r="2466" spans="1:8" customFormat="1" x14ac:dyDescent="0.25">
      <c r="A2466" t="str">
        <f>"7618261"</f>
        <v>7618261</v>
      </c>
      <c r="B2466" t="s">
        <v>697</v>
      </c>
      <c r="C2466" t="s">
        <v>109</v>
      </c>
      <c r="D2466" s="21" t="s">
        <v>34</v>
      </c>
      <c r="E2466" s="21" t="s">
        <v>35</v>
      </c>
      <c r="F2466">
        <v>9760168</v>
      </c>
      <c r="G2466" t="s">
        <v>179</v>
      </c>
      <c r="H2466" s="21">
        <v>1379.17</v>
      </c>
    </row>
    <row r="2467" spans="1:8" customFormat="1" x14ac:dyDescent="0.25">
      <c r="A2467" t="str">
        <f>"625101"</f>
        <v>625101</v>
      </c>
      <c r="B2467" t="s">
        <v>2183</v>
      </c>
      <c r="C2467" t="s">
        <v>2184</v>
      </c>
      <c r="D2467" s="21" t="s">
        <v>34</v>
      </c>
      <c r="E2467" s="21" t="s">
        <v>71</v>
      </c>
      <c r="F2467">
        <v>7620072</v>
      </c>
      <c r="G2467" t="s">
        <v>2185</v>
      </c>
      <c r="H2467" s="21">
        <v>1379.17</v>
      </c>
    </row>
    <row r="2468" spans="1:8" customFormat="1" x14ac:dyDescent="0.25">
      <c r="A2468" t="str">
        <f>"59415"</f>
        <v>59415</v>
      </c>
      <c r="B2468" t="s">
        <v>2794</v>
      </c>
      <c r="C2468" t="s">
        <v>415</v>
      </c>
      <c r="D2468" s="21" t="s">
        <v>34</v>
      </c>
      <c r="E2468" s="21" t="s">
        <v>254</v>
      </c>
      <c r="F2468">
        <v>7590014</v>
      </c>
      <c r="G2468" t="s">
        <v>1326</v>
      </c>
      <c r="H2468" s="21">
        <v>1379.17</v>
      </c>
    </row>
    <row r="2469" spans="1:8" customFormat="1" x14ac:dyDescent="0.25">
      <c r="A2469" t="str">
        <f>"3823583"</f>
        <v>3823583</v>
      </c>
      <c r="B2469" t="s">
        <v>2818</v>
      </c>
      <c r="C2469" t="s">
        <v>198</v>
      </c>
      <c r="D2469" s="21" t="s">
        <v>34</v>
      </c>
      <c r="E2469" s="21" t="s">
        <v>71</v>
      </c>
      <c r="F2469">
        <v>1380241</v>
      </c>
      <c r="G2469" t="s">
        <v>2819</v>
      </c>
      <c r="H2469" s="21">
        <v>1378.67</v>
      </c>
    </row>
    <row r="2470" spans="1:8" customFormat="1" x14ac:dyDescent="0.25">
      <c r="A2470" t="str">
        <f>"149076"</f>
        <v>149076</v>
      </c>
      <c r="B2470" t="s">
        <v>3529</v>
      </c>
      <c r="C2470" t="s">
        <v>139</v>
      </c>
      <c r="D2470" s="21" t="s">
        <v>34</v>
      </c>
      <c r="E2470" s="21" t="s">
        <v>35</v>
      </c>
      <c r="F2470">
        <v>9140012</v>
      </c>
      <c r="G2470" t="s">
        <v>26518</v>
      </c>
      <c r="H2470" s="21">
        <v>1378.67</v>
      </c>
    </row>
    <row r="2471" spans="1:8" customFormat="1" x14ac:dyDescent="0.25">
      <c r="A2471" t="str">
        <f>"742234"</f>
        <v>742234</v>
      </c>
      <c r="B2471" t="s">
        <v>3809</v>
      </c>
      <c r="C2471" t="s">
        <v>209</v>
      </c>
      <c r="D2471" s="21" t="s">
        <v>34</v>
      </c>
      <c r="E2471" s="21" t="s">
        <v>35</v>
      </c>
      <c r="F2471">
        <v>1740038</v>
      </c>
      <c r="G2471" t="s">
        <v>26517</v>
      </c>
      <c r="H2471" s="21">
        <v>1378.55</v>
      </c>
    </row>
    <row r="2472" spans="1:8" customFormat="1" x14ac:dyDescent="0.25">
      <c r="A2472" t="str">
        <f>"943277"</f>
        <v>943277</v>
      </c>
      <c r="B2472" t="s">
        <v>2885</v>
      </c>
      <c r="C2472" t="s">
        <v>33</v>
      </c>
      <c r="D2472" s="21" t="s">
        <v>34</v>
      </c>
      <c r="E2472" s="21" t="s">
        <v>35</v>
      </c>
      <c r="F2472">
        <v>8940448</v>
      </c>
      <c r="G2472" t="s">
        <v>1691</v>
      </c>
      <c r="H2472" s="21">
        <v>1378.42</v>
      </c>
    </row>
    <row r="2473" spans="1:8" customFormat="1" x14ac:dyDescent="0.25">
      <c r="A2473" t="str">
        <f>"5424452"</f>
        <v>5424452</v>
      </c>
      <c r="B2473" t="s">
        <v>2832</v>
      </c>
      <c r="C2473" t="s">
        <v>124</v>
      </c>
      <c r="D2473" s="21" t="s">
        <v>34</v>
      </c>
      <c r="E2473" s="21" t="s">
        <v>254</v>
      </c>
      <c r="F2473">
        <v>6540040</v>
      </c>
      <c r="G2473" t="s">
        <v>256</v>
      </c>
      <c r="H2473" s="21">
        <v>1378.3</v>
      </c>
    </row>
    <row r="2474" spans="1:8" customFormat="1" x14ac:dyDescent="0.25">
      <c r="A2474" t="str">
        <f>"5933353"</f>
        <v>5933353</v>
      </c>
      <c r="B2474" t="s">
        <v>971</v>
      </c>
      <c r="C2474" t="s">
        <v>60</v>
      </c>
      <c r="D2474" s="21" t="s">
        <v>34</v>
      </c>
      <c r="E2474" s="21" t="s">
        <v>35</v>
      </c>
      <c r="F2474">
        <v>7590132</v>
      </c>
      <c r="G2474" t="s">
        <v>3204</v>
      </c>
      <c r="H2474" s="21">
        <v>1378.17</v>
      </c>
    </row>
    <row r="2475" spans="1:8" customFormat="1" x14ac:dyDescent="0.25">
      <c r="A2475" t="str">
        <f>"632630"</f>
        <v>632630</v>
      </c>
      <c r="B2475" t="s">
        <v>3108</v>
      </c>
      <c r="C2475" t="s">
        <v>3109</v>
      </c>
      <c r="D2475" s="21" t="s">
        <v>34</v>
      </c>
      <c r="E2475" s="21" t="s">
        <v>35</v>
      </c>
      <c r="F2475">
        <v>1630123</v>
      </c>
      <c r="G2475" t="s">
        <v>1036</v>
      </c>
      <c r="H2475" s="21">
        <v>1378.17</v>
      </c>
    </row>
    <row r="2476" spans="1:8" customFormat="1" x14ac:dyDescent="0.25">
      <c r="A2476" t="str">
        <f>"416722"</f>
        <v>416722</v>
      </c>
      <c r="B2476" t="s">
        <v>2489</v>
      </c>
      <c r="C2476" t="s">
        <v>879</v>
      </c>
      <c r="D2476" s="21" t="s">
        <v>34</v>
      </c>
      <c r="E2476" s="21" t="s">
        <v>254</v>
      </c>
      <c r="F2476">
        <v>4410697</v>
      </c>
      <c r="G2476" t="s">
        <v>2490</v>
      </c>
      <c r="H2476" s="21">
        <v>1377.92</v>
      </c>
    </row>
    <row r="2477" spans="1:8" customFormat="1" x14ac:dyDescent="0.25">
      <c r="A2477" t="str">
        <f>"919725"</f>
        <v>919725</v>
      </c>
      <c r="B2477" t="s">
        <v>3628</v>
      </c>
      <c r="C2477" t="s">
        <v>2651</v>
      </c>
      <c r="D2477" s="21" t="s">
        <v>34</v>
      </c>
      <c r="E2477" s="21" t="s">
        <v>71</v>
      </c>
      <c r="F2477">
        <v>8910303</v>
      </c>
      <c r="G2477" t="s">
        <v>1244</v>
      </c>
      <c r="H2477" s="21">
        <v>1377.67</v>
      </c>
    </row>
    <row r="2478" spans="1:8" customFormat="1" x14ac:dyDescent="0.25">
      <c r="A2478" t="str">
        <f>"415814"</f>
        <v>415814</v>
      </c>
      <c r="B2478" t="s">
        <v>3711</v>
      </c>
      <c r="C2478" t="s">
        <v>3712</v>
      </c>
      <c r="D2478" s="21" t="s">
        <v>34</v>
      </c>
      <c r="E2478" s="21" t="s">
        <v>35</v>
      </c>
      <c r="F2478">
        <v>4410697</v>
      </c>
      <c r="G2478" t="s">
        <v>2490</v>
      </c>
      <c r="H2478" s="21">
        <v>1377.67</v>
      </c>
    </row>
    <row r="2479" spans="1:8" customFormat="1" x14ac:dyDescent="0.25">
      <c r="A2479" t="str">
        <f>"4921367"</f>
        <v>4921367</v>
      </c>
      <c r="B2479" t="s">
        <v>6463</v>
      </c>
      <c r="C2479" t="s">
        <v>498</v>
      </c>
      <c r="D2479" s="21" t="s">
        <v>34</v>
      </c>
      <c r="E2479" s="21" t="s">
        <v>35</v>
      </c>
      <c r="F2479">
        <v>12490017</v>
      </c>
      <c r="G2479" t="s">
        <v>9393</v>
      </c>
      <c r="H2479" s="21">
        <v>1377.67</v>
      </c>
    </row>
    <row r="2480" spans="1:8" customFormat="1" x14ac:dyDescent="0.25">
      <c r="A2480" t="str">
        <f>"5911297"</f>
        <v>5911297</v>
      </c>
      <c r="B2480" t="s">
        <v>2735</v>
      </c>
      <c r="C2480" t="s">
        <v>147</v>
      </c>
      <c r="D2480" s="21" t="s">
        <v>34</v>
      </c>
      <c r="E2480" s="21" t="s">
        <v>35</v>
      </c>
      <c r="F2480">
        <v>7590102</v>
      </c>
      <c r="G2480" t="s">
        <v>1091</v>
      </c>
      <c r="H2480" s="21">
        <v>1377.42</v>
      </c>
    </row>
    <row r="2481" spans="1:8" customFormat="1" x14ac:dyDescent="0.25">
      <c r="A2481" t="str">
        <f>"5714945"</f>
        <v>5714945</v>
      </c>
      <c r="B2481" t="s">
        <v>1308</v>
      </c>
      <c r="C2481" t="s">
        <v>598</v>
      </c>
      <c r="D2481" s="21" t="s">
        <v>34</v>
      </c>
      <c r="E2481" s="21" t="s">
        <v>35</v>
      </c>
      <c r="F2481">
        <v>6570005</v>
      </c>
      <c r="G2481" t="s">
        <v>351</v>
      </c>
      <c r="H2481" s="21">
        <v>1377.3</v>
      </c>
    </row>
    <row r="2482" spans="1:8" customFormat="1" x14ac:dyDescent="0.25">
      <c r="A2482" t="str">
        <f>"629418"</f>
        <v>629418</v>
      </c>
      <c r="B2482" t="s">
        <v>3994</v>
      </c>
      <c r="C2482" t="s">
        <v>576</v>
      </c>
      <c r="D2482" s="21" t="s">
        <v>34</v>
      </c>
      <c r="E2482" s="21" t="s">
        <v>254</v>
      </c>
      <c r="F2482">
        <v>7620145</v>
      </c>
      <c r="G2482" t="s">
        <v>2068</v>
      </c>
      <c r="H2482" s="21">
        <v>1377.17</v>
      </c>
    </row>
    <row r="2483" spans="1:8" customFormat="1" x14ac:dyDescent="0.25">
      <c r="A2483" t="str">
        <f>"5422038"</f>
        <v>5422038</v>
      </c>
      <c r="B2483" t="s">
        <v>1133</v>
      </c>
      <c r="C2483" t="s">
        <v>33</v>
      </c>
      <c r="D2483" s="21" t="s">
        <v>34</v>
      </c>
      <c r="E2483" s="21" t="s">
        <v>35</v>
      </c>
      <c r="F2483">
        <v>1010023</v>
      </c>
      <c r="G2483" t="s">
        <v>2174</v>
      </c>
      <c r="H2483" s="21">
        <v>1377.17</v>
      </c>
    </row>
    <row r="2484" spans="1:8" customFormat="1" x14ac:dyDescent="0.25">
      <c r="A2484" t="str">
        <f>"94244"</f>
        <v>94244</v>
      </c>
      <c r="B2484" t="s">
        <v>8455</v>
      </c>
      <c r="C2484" t="s">
        <v>26725</v>
      </c>
      <c r="D2484" s="21" t="s">
        <v>34</v>
      </c>
      <c r="E2484" s="21" t="s">
        <v>71</v>
      </c>
      <c r="F2484">
        <v>8940459</v>
      </c>
      <c r="G2484" t="s">
        <v>743</v>
      </c>
      <c r="H2484" s="21">
        <v>1376.67</v>
      </c>
    </row>
    <row r="2485" spans="1:8" customFormat="1" x14ac:dyDescent="0.25">
      <c r="A2485" t="str">
        <f>"5910972"</f>
        <v>5910972</v>
      </c>
      <c r="B2485" t="s">
        <v>3409</v>
      </c>
      <c r="C2485" t="s">
        <v>60</v>
      </c>
      <c r="D2485" s="21" t="s">
        <v>34</v>
      </c>
      <c r="E2485" s="21" t="s">
        <v>35</v>
      </c>
      <c r="F2485">
        <v>7590260</v>
      </c>
      <c r="G2485" t="s">
        <v>3043</v>
      </c>
      <c r="H2485" s="21">
        <v>1376.67</v>
      </c>
    </row>
    <row r="2486" spans="1:8" customFormat="1" x14ac:dyDescent="0.25">
      <c r="A2486" t="str">
        <f>"711642"</f>
        <v>711642</v>
      </c>
      <c r="B2486" t="s">
        <v>3548</v>
      </c>
      <c r="C2486" t="s">
        <v>211</v>
      </c>
      <c r="D2486" s="21" t="s">
        <v>34</v>
      </c>
      <c r="E2486" s="21" t="s">
        <v>71</v>
      </c>
      <c r="F2486">
        <v>2710023</v>
      </c>
      <c r="G2486" t="s">
        <v>3549</v>
      </c>
      <c r="H2486" s="21">
        <v>1376.67</v>
      </c>
    </row>
    <row r="2487" spans="1:8" customFormat="1" x14ac:dyDescent="0.25">
      <c r="A2487" t="str">
        <f>"515708"</f>
        <v>515708</v>
      </c>
      <c r="B2487" t="s">
        <v>3407</v>
      </c>
      <c r="C2487" t="s">
        <v>60</v>
      </c>
      <c r="D2487" s="21" t="s">
        <v>34</v>
      </c>
      <c r="E2487" s="21" t="s">
        <v>35</v>
      </c>
      <c r="F2487">
        <v>11340008</v>
      </c>
      <c r="G2487" t="s">
        <v>312</v>
      </c>
      <c r="H2487" s="21">
        <v>1376.67</v>
      </c>
    </row>
    <row r="2488" spans="1:8" customFormat="1" x14ac:dyDescent="0.25">
      <c r="A2488" t="str">
        <f>"768547"</f>
        <v>768547</v>
      </c>
      <c r="B2488" t="s">
        <v>2802</v>
      </c>
      <c r="C2488" t="s">
        <v>144</v>
      </c>
      <c r="D2488" s="21" t="s">
        <v>34</v>
      </c>
      <c r="E2488" s="21" t="s">
        <v>254</v>
      </c>
      <c r="F2488">
        <v>3290010</v>
      </c>
      <c r="G2488" t="s">
        <v>1453</v>
      </c>
      <c r="H2488" s="21">
        <v>1376.67</v>
      </c>
    </row>
    <row r="2489" spans="1:8" customFormat="1" x14ac:dyDescent="0.25">
      <c r="A2489" t="str">
        <f>"9754518"</f>
        <v>9754518</v>
      </c>
      <c r="B2489" t="s">
        <v>3925</v>
      </c>
      <c r="C2489" t="s">
        <v>1697</v>
      </c>
      <c r="D2489" s="21" t="s">
        <v>34</v>
      </c>
      <c r="E2489" s="21" t="s">
        <v>35</v>
      </c>
      <c r="F2489" t="s">
        <v>1403</v>
      </c>
      <c r="G2489" t="s">
        <v>1404</v>
      </c>
      <c r="H2489" s="21">
        <v>1376.55</v>
      </c>
    </row>
    <row r="2490" spans="1:8" customFormat="1" x14ac:dyDescent="0.25">
      <c r="A2490" t="str">
        <f>"5942072"</f>
        <v>5942072</v>
      </c>
      <c r="B2490" t="s">
        <v>26726</v>
      </c>
      <c r="C2490" t="s">
        <v>598</v>
      </c>
      <c r="D2490" s="21" t="s">
        <v>34</v>
      </c>
      <c r="E2490" s="21" t="s">
        <v>35</v>
      </c>
      <c r="F2490">
        <v>7590074</v>
      </c>
      <c r="G2490" t="s">
        <v>1992</v>
      </c>
      <c r="H2490" s="21">
        <v>1376.54</v>
      </c>
    </row>
    <row r="2491" spans="1:8" customFormat="1" x14ac:dyDescent="0.25">
      <c r="A2491" t="str">
        <f>"2215614"</f>
        <v>2215614</v>
      </c>
      <c r="B2491" t="s">
        <v>197</v>
      </c>
      <c r="C2491" t="s">
        <v>817</v>
      </c>
      <c r="D2491" s="21" t="s">
        <v>34</v>
      </c>
      <c r="E2491" s="21" t="s">
        <v>35</v>
      </c>
      <c r="F2491">
        <v>3220002</v>
      </c>
      <c r="G2491" t="s">
        <v>26727</v>
      </c>
      <c r="H2491" s="21">
        <v>1376.42</v>
      </c>
    </row>
    <row r="2492" spans="1:8" customFormat="1" x14ac:dyDescent="0.25">
      <c r="A2492" t="str">
        <f>"1424537"</f>
        <v>1424537</v>
      </c>
      <c r="B2492" t="s">
        <v>4077</v>
      </c>
      <c r="C2492" t="s">
        <v>55</v>
      </c>
      <c r="D2492" s="21" t="s">
        <v>34</v>
      </c>
      <c r="E2492" s="21" t="s">
        <v>71</v>
      </c>
      <c r="F2492">
        <v>9140128</v>
      </c>
      <c r="G2492" t="s">
        <v>2798</v>
      </c>
      <c r="H2492" s="21">
        <v>1376.17</v>
      </c>
    </row>
    <row r="2493" spans="1:8" customFormat="1" x14ac:dyDescent="0.25">
      <c r="A2493" t="str">
        <f>"5931084"</f>
        <v>5931084</v>
      </c>
      <c r="B2493" t="s">
        <v>3512</v>
      </c>
      <c r="C2493" t="s">
        <v>60</v>
      </c>
      <c r="D2493" s="21" t="s">
        <v>34</v>
      </c>
      <c r="E2493" s="21" t="s">
        <v>35</v>
      </c>
      <c r="F2493">
        <v>7620100</v>
      </c>
      <c r="G2493" t="s">
        <v>145</v>
      </c>
      <c r="H2493" s="21">
        <v>1376.17</v>
      </c>
    </row>
    <row r="2494" spans="1:8" customFormat="1" x14ac:dyDescent="0.25">
      <c r="A2494" t="str">
        <f>"035965"</f>
        <v>035965</v>
      </c>
      <c r="B2494" t="s">
        <v>2540</v>
      </c>
      <c r="C2494" t="s">
        <v>469</v>
      </c>
      <c r="D2494" s="21" t="s">
        <v>34</v>
      </c>
      <c r="E2494" s="21" t="s">
        <v>71</v>
      </c>
      <c r="F2494">
        <v>1630015</v>
      </c>
      <c r="G2494" t="s">
        <v>2097</v>
      </c>
      <c r="H2494" s="21">
        <v>1375.67</v>
      </c>
    </row>
    <row r="2495" spans="1:8" customFormat="1" x14ac:dyDescent="0.25">
      <c r="A2495" t="str">
        <f>"4431346"</f>
        <v>4431346</v>
      </c>
      <c r="B2495" t="s">
        <v>641</v>
      </c>
      <c r="C2495" t="s">
        <v>87</v>
      </c>
      <c r="D2495" s="21" t="s">
        <v>34</v>
      </c>
      <c r="E2495" s="21" t="s">
        <v>35</v>
      </c>
      <c r="F2495">
        <v>1420149</v>
      </c>
      <c r="G2495" t="s">
        <v>818</v>
      </c>
      <c r="H2495" s="21">
        <v>1375.67</v>
      </c>
    </row>
    <row r="2496" spans="1:8" customFormat="1" x14ac:dyDescent="0.25">
      <c r="A2496" t="str">
        <f>"792081"</f>
        <v>792081</v>
      </c>
      <c r="B2496" t="s">
        <v>2973</v>
      </c>
      <c r="C2496" t="s">
        <v>1605</v>
      </c>
      <c r="D2496" s="21" t="s">
        <v>34</v>
      </c>
      <c r="E2496" s="21" t="s">
        <v>71</v>
      </c>
      <c r="F2496">
        <v>10790045</v>
      </c>
      <c r="G2496" t="s">
        <v>1498</v>
      </c>
      <c r="H2496" s="21">
        <v>1375.67</v>
      </c>
    </row>
    <row r="2497" spans="1:8" customFormat="1" x14ac:dyDescent="0.25">
      <c r="A2497" t="str">
        <f>"7820647"</f>
        <v>7820647</v>
      </c>
      <c r="B2497" t="s">
        <v>3767</v>
      </c>
      <c r="C2497" t="s">
        <v>124</v>
      </c>
      <c r="D2497" s="21" t="s">
        <v>34</v>
      </c>
      <c r="E2497" s="21" t="s">
        <v>35</v>
      </c>
      <c r="F2497">
        <v>8920049</v>
      </c>
      <c r="G2497" t="s">
        <v>237</v>
      </c>
      <c r="H2497" s="21">
        <v>1375.67</v>
      </c>
    </row>
    <row r="2498" spans="1:8" customFormat="1" x14ac:dyDescent="0.25">
      <c r="A2498" t="str">
        <f>"027722"</f>
        <v>027722</v>
      </c>
      <c r="B2498" t="s">
        <v>3853</v>
      </c>
      <c r="C2498" t="s">
        <v>82</v>
      </c>
      <c r="D2498" s="21" t="s">
        <v>34</v>
      </c>
      <c r="E2498" s="21" t="s">
        <v>35</v>
      </c>
      <c r="F2498">
        <v>7020001</v>
      </c>
      <c r="G2498" t="s">
        <v>3854</v>
      </c>
      <c r="H2498" s="21">
        <v>1375.67</v>
      </c>
    </row>
    <row r="2499" spans="1:8" customFormat="1" x14ac:dyDescent="0.25">
      <c r="A2499" t="str">
        <f>"942701"</f>
        <v>942701</v>
      </c>
      <c r="B2499" t="s">
        <v>3777</v>
      </c>
      <c r="C2499" t="s">
        <v>812</v>
      </c>
      <c r="D2499" s="21" t="s">
        <v>34</v>
      </c>
      <c r="E2499" s="21" t="s">
        <v>71</v>
      </c>
      <c r="F2499">
        <v>8941352</v>
      </c>
      <c r="G2499" t="s">
        <v>3778</v>
      </c>
      <c r="H2499" s="21">
        <v>1375.67</v>
      </c>
    </row>
    <row r="2500" spans="1:8" customFormat="1" x14ac:dyDescent="0.25">
      <c r="A2500" t="str">
        <f>"4425241"</f>
        <v>4425241</v>
      </c>
      <c r="B2500" t="s">
        <v>3246</v>
      </c>
      <c r="C2500" t="s">
        <v>121</v>
      </c>
      <c r="D2500" s="21" t="s">
        <v>34</v>
      </c>
      <c r="E2500" s="21" t="s">
        <v>35</v>
      </c>
      <c r="F2500">
        <v>12440033</v>
      </c>
      <c r="G2500" t="s">
        <v>1638</v>
      </c>
      <c r="H2500" s="21">
        <v>1375.17</v>
      </c>
    </row>
    <row r="2501" spans="1:8" customFormat="1" x14ac:dyDescent="0.25">
      <c r="A2501" t="str">
        <f>"272275"</f>
        <v>272275</v>
      </c>
      <c r="B2501" t="s">
        <v>3588</v>
      </c>
      <c r="C2501" t="s">
        <v>109</v>
      </c>
      <c r="D2501" s="21" t="s">
        <v>34</v>
      </c>
      <c r="E2501" s="21" t="s">
        <v>35</v>
      </c>
      <c r="F2501">
        <v>8910077</v>
      </c>
      <c r="G2501" t="s">
        <v>1380</v>
      </c>
      <c r="H2501" s="21">
        <v>1375.17</v>
      </c>
    </row>
    <row r="2502" spans="1:8" customFormat="1" x14ac:dyDescent="0.25">
      <c r="A2502" t="str">
        <f>"27846"</f>
        <v>27846</v>
      </c>
      <c r="B2502" t="s">
        <v>946</v>
      </c>
      <c r="C2502" t="s">
        <v>269</v>
      </c>
      <c r="D2502" s="21" t="s">
        <v>34</v>
      </c>
      <c r="E2502" s="21" t="s">
        <v>71</v>
      </c>
      <c r="F2502">
        <v>9270063</v>
      </c>
      <c r="G2502" t="s">
        <v>808</v>
      </c>
      <c r="H2502" s="21">
        <v>1375.17</v>
      </c>
    </row>
    <row r="2503" spans="1:8" customFormat="1" x14ac:dyDescent="0.25">
      <c r="A2503" t="str">
        <f>"4427624"</f>
        <v>4427624</v>
      </c>
      <c r="B2503" t="s">
        <v>2711</v>
      </c>
      <c r="C2503" t="s">
        <v>171</v>
      </c>
      <c r="D2503" s="21" t="s">
        <v>34</v>
      </c>
      <c r="E2503" s="21" t="s">
        <v>71</v>
      </c>
      <c r="F2503">
        <v>12440002</v>
      </c>
      <c r="G2503" t="s">
        <v>47</v>
      </c>
      <c r="H2503" s="21">
        <v>1375.17</v>
      </c>
    </row>
    <row r="2504" spans="1:8" customFormat="1" x14ac:dyDescent="0.25">
      <c r="A2504" t="str">
        <f>"3412367"</f>
        <v>3412367</v>
      </c>
      <c r="B2504" t="s">
        <v>3202</v>
      </c>
      <c r="C2504" t="s">
        <v>269</v>
      </c>
      <c r="D2504" s="21" t="s">
        <v>34</v>
      </c>
      <c r="E2504" s="21" t="s">
        <v>71</v>
      </c>
      <c r="F2504">
        <v>11340007</v>
      </c>
      <c r="G2504" t="s">
        <v>2278</v>
      </c>
      <c r="H2504" s="21">
        <v>1375</v>
      </c>
    </row>
    <row r="2505" spans="1:8" customFormat="1" x14ac:dyDescent="0.25">
      <c r="A2505" t="str">
        <f>"1413586"</f>
        <v>1413586</v>
      </c>
      <c r="B2505" t="s">
        <v>3455</v>
      </c>
      <c r="C2505" t="s">
        <v>82</v>
      </c>
      <c r="D2505" s="21" t="s">
        <v>34</v>
      </c>
      <c r="E2505" s="21" t="s">
        <v>35</v>
      </c>
      <c r="F2505">
        <v>9140115</v>
      </c>
      <c r="G2505" t="s">
        <v>26590</v>
      </c>
      <c r="H2505" s="21">
        <v>1374.67</v>
      </c>
    </row>
    <row r="2506" spans="1:8" customFormat="1" x14ac:dyDescent="0.25">
      <c r="A2506" t="str">
        <f>"34925"</f>
        <v>34925</v>
      </c>
      <c r="B2506" t="s">
        <v>3325</v>
      </c>
      <c r="C2506" t="s">
        <v>462</v>
      </c>
      <c r="D2506" s="21" t="s">
        <v>34</v>
      </c>
      <c r="E2506" s="21" t="s">
        <v>35</v>
      </c>
      <c r="F2506">
        <v>11340003</v>
      </c>
      <c r="G2506" t="s">
        <v>3326</v>
      </c>
      <c r="H2506" s="21">
        <v>1374.67</v>
      </c>
    </row>
    <row r="2507" spans="1:8" customFormat="1" x14ac:dyDescent="0.25">
      <c r="A2507" t="str">
        <f>"7624120"</f>
        <v>7624120</v>
      </c>
      <c r="B2507" t="s">
        <v>2218</v>
      </c>
      <c r="C2507" t="s">
        <v>574</v>
      </c>
      <c r="D2507" s="21" t="s">
        <v>34</v>
      </c>
      <c r="E2507" s="21" t="s">
        <v>35</v>
      </c>
      <c r="F2507">
        <v>9760157</v>
      </c>
      <c r="G2507" t="s">
        <v>3412</v>
      </c>
      <c r="H2507" s="21">
        <v>1374.67</v>
      </c>
    </row>
    <row r="2508" spans="1:8" customFormat="1" x14ac:dyDescent="0.25">
      <c r="A2508" t="str">
        <f>"67751"</f>
        <v>67751</v>
      </c>
      <c r="B2508" t="s">
        <v>3269</v>
      </c>
      <c r="C2508" t="s">
        <v>879</v>
      </c>
      <c r="D2508" s="21" t="s">
        <v>34</v>
      </c>
      <c r="E2508" s="21" t="s">
        <v>71</v>
      </c>
      <c r="F2508">
        <v>6670216</v>
      </c>
      <c r="G2508" t="s">
        <v>2194</v>
      </c>
      <c r="H2508" s="21">
        <v>1374.67</v>
      </c>
    </row>
    <row r="2509" spans="1:8" customFormat="1" x14ac:dyDescent="0.25">
      <c r="A2509" t="str">
        <f>"502586"</f>
        <v>502586</v>
      </c>
      <c r="B2509" t="s">
        <v>3303</v>
      </c>
      <c r="C2509" t="s">
        <v>139</v>
      </c>
      <c r="D2509" s="21" t="s">
        <v>34</v>
      </c>
      <c r="E2509" s="21" t="s">
        <v>35</v>
      </c>
      <c r="F2509">
        <v>9500048</v>
      </c>
      <c r="G2509" t="s">
        <v>1804</v>
      </c>
      <c r="H2509" s="21">
        <v>1374.67</v>
      </c>
    </row>
    <row r="2510" spans="1:8" customFormat="1" x14ac:dyDescent="0.25">
      <c r="A2510" t="str">
        <f>"833250"</f>
        <v>833250</v>
      </c>
      <c r="B2510" t="s">
        <v>3373</v>
      </c>
      <c r="C2510" t="s">
        <v>2529</v>
      </c>
      <c r="D2510" s="21" t="s">
        <v>34</v>
      </c>
      <c r="E2510" s="21" t="s">
        <v>35</v>
      </c>
      <c r="F2510">
        <v>13830013</v>
      </c>
      <c r="G2510" t="s">
        <v>3374</v>
      </c>
      <c r="H2510" s="21">
        <v>1374.67</v>
      </c>
    </row>
    <row r="2511" spans="1:8" customFormat="1" x14ac:dyDescent="0.25">
      <c r="A2511" t="str">
        <f>"5013363"</f>
        <v>5013363</v>
      </c>
      <c r="B2511" t="s">
        <v>890</v>
      </c>
      <c r="C2511" t="s">
        <v>139</v>
      </c>
      <c r="D2511" s="21" t="s">
        <v>34</v>
      </c>
      <c r="E2511" s="21" t="s">
        <v>71</v>
      </c>
      <c r="F2511">
        <v>9500117</v>
      </c>
      <c r="G2511" t="s">
        <v>247</v>
      </c>
      <c r="H2511" s="21">
        <v>1374.67</v>
      </c>
    </row>
    <row r="2512" spans="1:8" customFormat="1" x14ac:dyDescent="0.25">
      <c r="A2512" t="str">
        <f>"8523976"</f>
        <v>8523976</v>
      </c>
      <c r="B2512" t="s">
        <v>4356</v>
      </c>
      <c r="C2512" t="s">
        <v>37</v>
      </c>
      <c r="D2512" s="21" t="s">
        <v>34</v>
      </c>
      <c r="E2512" s="21" t="s">
        <v>35</v>
      </c>
      <c r="F2512">
        <v>12850097</v>
      </c>
      <c r="G2512" t="s">
        <v>4111</v>
      </c>
      <c r="H2512" s="21">
        <v>1374.42</v>
      </c>
    </row>
    <row r="2513" spans="1:8" customFormat="1" x14ac:dyDescent="0.25">
      <c r="A2513" t="str">
        <f>"9312457"</f>
        <v>9312457</v>
      </c>
      <c r="B2513" t="s">
        <v>4217</v>
      </c>
      <c r="C2513" t="s">
        <v>202</v>
      </c>
      <c r="D2513" s="21" t="s">
        <v>34</v>
      </c>
      <c r="E2513" s="21" t="s">
        <v>35</v>
      </c>
      <c r="F2513">
        <v>8930598</v>
      </c>
      <c r="G2513" t="s">
        <v>445</v>
      </c>
      <c r="H2513" s="21">
        <v>1374.42</v>
      </c>
    </row>
    <row r="2514" spans="1:8" customFormat="1" x14ac:dyDescent="0.25">
      <c r="A2514" t="str">
        <f>"692908"</f>
        <v>692908</v>
      </c>
      <c r="B2514" t="s">
        <v>26728</v>
      </c>
      <c r="C2514" t="s">
        <v>1675</v>
      </c>
      <c r="D2514" s="21" t="s">
        <v>34</v>
      </c>
      <c r="E2514" s="21" t="s">
        <v>35</v>
      </c>
      <c r="F2514">
        <v>1690207</v>
      </c>
      <c r="G2514" t="s">
        <v>4232</v>
      </c>
      <c r="H2514" s="21">
        <v>1374.17</v>
      </c>
    </row>
    <row r="2515" spans="1:8" customFormat="1" x14ac:dyDescent="0.25">
      <c r="A2515" t="str">
        <f>"624003"</f>
        <v>624003</v>
      </c>
      <c r="B2515" t="s">
        <v>2960</v>
      </c>
      <c r="C2515" t="s">
        <v>156</v>
      </c>
      <c r="D2515" s="21" t="s">
        <v>34</v>
      </c>
      <c r="E2515" s="21" t="s">
        <v>35</v>
      </c>
      <c r="F2515">
        <v>7620100</v>
      </c>
      <c r="G2515" t="s">
        <v>145</v>
      </c>
      <c r="H2515" s="21">
        <v>1374.17</v>
      </c>
    </row>
    <row r="2516" spans="1:8" customFormat="1" x14ac:dyDescent="0.25">
      <c r="A2516" t="str">
        <f>"3524703"</f>
        <v>3524703</v>
      </c>
      <c r="B2516" t="s">
        <v>2959</v>
      </c>
      <c r="C2516" t="s">
        <v>302</v>
      </c>
      <c r="D2516" s="21" t="s">
        <v>34</v>
      </c>
      <c r="E2516" s="21" t="s">
        <v>71</v>
      </c>
      <c r="F2516">
        <v>3350049</v>
      </c>
      <c r="G2516" t="s">
        <v>1475</v>
      </c>
      <c r="H2516" s="21">
        <v>1374.17</v>
      </c>
    </row>
    <row r="2517" spans="1:8" customFormat="1" x14ac:dyDescent="0.25">
      <c r="A2517" t="str">
        <f>"1410490"</f>
        <v>1410490</v>
      </c>
      <c r="B2517" t="s">
        <v>1609</v>
      </c>
      <c r="C2517" t="s">
        <v>98</v>
      </c>
      <c r="D2517" s="21" t="s">
        <v>34</v>
      </c>
      <c r="E2517" s="21" t="s">
        <v>35</v>
      </c>
      <c r="F2517">
        <v>9140128</v>
      </c>
      <c r="G2517" t="s">
        <v>2798</v>
      </c>
      <c r="H2517" s="21">
        <v>1374.05</v>
      </c>
    </row>
    <row r="2518" spans="1:8" customFormat="1" x14ac:dyDescent="0.25">
      <c r="A2518" t="str">
        <f>"595037"</f>
        <v>595037</v>
      </c>
      <c r="B2518" t="s">
        <v>3688</v>
      </c>
      <c r="C2518" t="s">
        <v>719</v>
      </c>
      <c r="D2518" s="21" t="s">
        <v>34</v>
      </c>
      <c r="E2518" s="21" t="s">
        <v>35</v>
      </c>
      <c r="F2518">
        <v>7590017</v>
      </c>
      <c r="G2518" t="s">
        <v>1316</v>
      </c>
      <c r="H2518" s="21">
        <v>1373.92</v>
      </c>
    </row>
    <row r="2519" spans="1:8" customFormat="1" x14ac:dyDescent="0.25">
      <c r="A2519" t="str">
        <f>"501608"</f>
        <v>501608</v>
      </c>
      <c r="B2519" t="s">
        <v>3388</v>
      </c>
      <c r="C2519" t="s">
        <v>139</v>
      </c>
      <c r="D2519" s="21" t="s">
        <v>34</v>
      </c>
      <c r="E2519" s="21" t="s">
        <v>71</v>
      </c>
      <c r="F2519">
        <v>9500015</v>
      </c>
      <c r="G2519" t="s">
        <v>3389</v>
      </c>
      <c r="H2519" s="21">
        <v>1373.8</v>
      </c>
    </row>
    <row r="2520" spans="1:8" customFormat="1" x14ac:dyDescent="0.25">
      <c r="A2520" t="str">
        <f>"542365"</f>
        <v>542365</v>
      </c>
      <c r="B2520" t="s">
        <v>4339</v>
      </c>
      <c r="C2520" t="s">
        <v>750</v>
      </c>
      <c r="D2520" s="21" t="s">
        <v>34</v>
      </c>
      <c r="E2520" s="21" t="s">
        <v>35</v>
      </c>
      <c r="F2520">
        <v>6540108</v>
      </c>
      <c r="G2520" t="s">
        <v>4340</v>
      </c>
      <c r="H2520" s="21">
        <v>1373.67</v>
      </c>
    </row>
    <row r="2521" spans="1:8" customFormat="1" x14ac:dyDescent="0.25">
      <c r="A2521" t="str">
        <f>"67126"</f>
        <v>67126</v>
      </c>
      <c r="B2521" t="s">
        <v>3286</v>
      </c>
      <c r="C2521" t="s">
        <v>253</v>
      </c>
      <c r="D2521" s="21" t="s">
        <v>34</v>
      </c>
      <c r="E2521" s="21" t="s">
        <v>71</v>
      </c>
      <c r="F2521">
        <v>6670027</v>
      </c>
      <c r="G2521" t="s">
        <v>2791</v>
      </c>
      <c r="H2521" s="21">
        <v>1373.67</v>
      </c>
    </row>
    <row r="2522" spans="1:8" customFormat="1" x14ac:dyDescent="0.25">
      <c r="A2522" t="str">
        <f>"7840344"</f>
        <v>7840344</v>
      </c>
      <c r="B2522" t="s">
        <v>3114</v>
      </c>
      <c r="C2522" t="s">
        <v>3115</v>
      </c>
      <c r="D2522" s="21" t="s">
        <v>34</v>
      </c>
      <c r="E2522" s="21" t="s">
        <v>35</v>
      </c>
      <c r="F2522">
        <v>3290229</v>
      </c>
      <c r="G2522" t="s">
        <v>408</v>
      </c>
      <c r="H2522" s="21">
        <v>1373.67</v>
      </c>
    </row>
    <row r="2523" spans="1:8" customFormat="1" x14ac:dyDescent="0.25">
      <c r="A2523" t="str">
        <f>"4431902"</f>
        <v>4431902</v>
      </c>
      <c r="B2523" t="s">
        <v>4024</v>
      </c>
      <c r="C2523" t="s">
        <v>484</v>
      </c>
      <c r="D2523" s="21" t="s">
        <v>34</v>
      </c>
      <c r="E2523" s="21" t="s">
        <v>35</v>
      </c>
      <c r="F2523">
        <v>12440073</v>
      </c>
      <c r="G2523" t="s">
        <v>3492</v>
      </c>
      <c r="H2523" s="21">
        <v>1373.67</v>
      </c>
    </row>
    <row r="2524" spans="1:8" customFormat="1" x14ac:dyDescent="0.25">
      <c r="A2524" t="str">
        <f>"3516768"</f>
        <v>3516768</v>
      </c>
      <c r="B2524" t="s">
        <v>3277</v>
      </c>
      <c r="C2524" t="s">
        <v>130</v>
      </c>
      <c r="D2524" s="21" t="s">
        <v>34</v>
      </c>
      <c r="E2524" s="21" t="s">
        <v>71</v>
      </c>
      <c r="F2524">
        <v>3350022</v>
      </c>
      <c r="G2524" t="s">
        <v>1287</v>
      </c>
      <c r="H2524" s="21">
        <v>1373.67</v>
      </c>
    </row>
    <row r="2525" spans="1:8" customFormat="1" x14ac:dyDescent="0.25">
      <c r="A2525" t="str">
        <f>"542499"</f>
        <v>542499</v>
      </c>
      <c r="B2525" t="s">
        <v>2599</v>
      </c>
      <c r="C2525" t="s">
        <v>60</v>
      </c>
      <c r="D2525" s="21" t="s">
        <v>34</v>
      </c>
      <c r="E2525" s="21" t="s">
        <v>35</v>
      </c>
      <c r="F2525">
        <v>6540040</v>
      </c>
      <c r="G2525" t="s">
        <v>256</v>
      </c>
      <c r="H2525" s="21">
        <v>1373.67</v>
      </c>
    </row>
    <row r="2526" spans="1:8" customFormat="1" x14ac:dyDescent="0.25">
      <c r="A2526" t="str">
        <f>"619335"</f>
        <v>619335</v>
      </c>
      <c r="B2526" t="s">
        <v>3689</v>
      </c>
      <c r="C2526" t="s">
        <v>601</v>
      </c>
      <c r="D2526" s="21" t="s">
        <v>34</v>
      </c>
      <c r="E2526" s="21" t="s">
        <v>35</v>
      </c>
      <c r="F2526">
        <v>9610015</v>
      </c>
      <c r="G2526" t="s">
        <v>3690</v>
      </c>
      <c r="H2526" s="21">
        <v>1373.67</v>
      </c>
    </row>
    <row r="2527" spans="1:8" customFormat="1" x14ac:dyDescent="0.25">
      <c r="A2527" t="str">
        <f>"724319"</f>
        <v>724319</v>
      </c>
      <c r="B2527" t="s">
        <v>3328</v>
      </c>
      <c r="C2527" t="s">
        <v>576</v>
      </c>
      <c r="D2527" s="21" t="s">
        <v>34</v>
      </c>
      <c r="E2527" s="21" t="s">
        <v>35</v>
      </c>
      <c r="F2527">
        <v>12720021</v>
      </c>
      <c r="G2527" t="s">
        <v>3329</v>
      </c>
      <c r="H2527" s="21">
        <v>1373.67</v>
      </c>
    </row>
    <row r="2528" spans="1:8" customFormat="1" x14ac:dyDescent="0.25">
      <c r="A2528" t="str">
        <f>"9754585"</f>
        <v>9754585</v>
      </c>
      <c r="B2528" t="s">
        <v>26729</v>
      </c>
      <c r="C2528" t="s">
        <v>2121</v>
      </c>
      <c r="D2528" s="21" t="s">
        <v>34</v>
      </c>
      <c r="E2528" s="21" t="s">
        <v>35</v>
      </c>
      <c r="F2528" t="s">
        <v>1403</v>
      </c>
      <c r="G2528" t="s">
        <v>1404</v>
      </c>
      <c r="H2528" s="21">
        <v>1373.43</v>
      </c>
    </row>
    <row r="2529" spans="1:8" customFormat="1" x14ac:dyDescent="0.25">
      <c r="A2529" t="str">
        <f>"7517920"</f>
        <v>7517920</v>
      </c>
      <c r="B2529" t="s">
        <v>630</v>
      </c>
      <c r="C2529" t="s">
        <v>1119</v>
      </c>
      <c r="D2529" s="21" t="s">
        <v>34</v>
      </c>
      <c r="E2529" s="21" t="s">
        <v>71</v>
      </c>
      <c r="F2529">
        <v>3290285</v>
      </c>
      <c r="G2529" t="s">
        <v>2234</v>
      </c>
      <c r="H2529" s="21">
        <v>1373.42</v>
      </c>
    </row>
    <row r="2530" spans="1:8" customFormat="1" x14ac:dyDescent="0.25">
      <c r="A2530" t="str">
        <f>"729633"</f>
        <v>729633</v>
      </c>
      <c r="B2530" t="s">
        <v>3782</v>
      </c>
      <c r="C2530" t="s">
        <v>139</v>
      </c>
      <c r="D2530" s="21" t="s">
        <v>34</v>
      </c>
      <c r="E2530" s="21" t="s">
        <v>35</v>
      </c>
      <c r="F2530">
        <v>12720070</v>
      </c>
      <c r="G2530" t="s">
        <v>2348</v>
      </c>
      <c r="H2530" s="21">
        <v>1373.17</v>
      </c>
    </row>
    <row r="2531" spans="1:8" customFormat="1" x14ac:dyDescent="0.25">
      <c r="A2531" t="str">
        <f>"523788"</f>
        <v>523788</v>
      </c>
      <c r="B2531" t="s">
        <v>2858</v>
      </c>
      <c r="C2531" t="s">
        <v>139</v>
      </c>
      <c r="D2531" s="21" t="s">
        <v>34</v>
      </c>
      <c r="E2531" s="21" t="s">
        <v>35</v>
      </c>
      <c r="F2531">
        <v>6550007</v>
      </c>
      <c r="G2531" t="s">
        <v>1688</v>
      </c>
      <c r="H2531" s="21">
        <v>1373.17</v>
      </c>
    </row>
    <row r="2532" spans="1:8" customFormat="1" x14ac:dyDescent="0.25">
      <c r="A2532" t="str">
        <f>"69752"</f>
        <v>69752</v>
      </c>
      <c r="B2532" t="s">
        <v>1098</v>
      </c>
      <c r="C2532" t="s">
        <v>825</v>
      </c>
      <c r="D2532" s="21" t="s">
        <v>34</v>
      </c>
      <c r="E2532" s="21" t="s">
        <v>71</v>
      </c>
      <c r="F2532">
        <v>1690221</v>
      </c>
      <c r="G2532" t="s">
        <v>303</v>
      </c>
      <c r="H2532" s="21">
        <v>1373.17</v>
      </c>
    </row>
    <row r="2533" spans="1:8" customFormat="1" x14ac:dyDescent="0.25">
      <c r="A2533" t="str">
        <f>"365431"</f>
        <v>365431</v>
      </c>
      <c r="B2533" t="s">
        <v>26730</v>
      </c>
      <c r="C2533" t="s">
        <v>60</v>
      </c>
      <c r="D2533" s="21" t="s">
        <v>34</v>
      </c>
      <c r="E2533" s="21" t="s">
        <v>35</v>
      </c>
      <c r="F2533">
        <v>4360454</v>
      </c>
      <c r="G2533" t="s">
        <v>637</v>
      </c>
      <c r="H2533" s="21">
        <v>1373.17</v>
      </c>
    </row>
    <row r="2534" spans="1:8" customFormat="1" x14ac:dyDescent="0.25">
      <c r="A2534" t="str">
        <f>"6010525"</f>
        <v>6010525</v>
      </c>
      <c r="B2534" t="s">
        <v>3626</v>
      </c>
      <c r="C2534" t="s">
        <v>204</v>
      </c>
      <c r="D2534" s="21" t="s">
        <v>34</v>
      </c>
      <c r="E2534" s="21" t="s">
        <v>35</v>
      </c>
      <c r="F2534">
        <v>9760156</v>
      </c>
      <c r="G2534" t="s">
        <v>26731</v>
      </c>
      <c r="H2534" s="21">
        <v>1373.17</v>
      </c>
    </row>
    <row r="2535" spans="1:8" customFormat="1" x14ac:dyDescent="0.25">
      <c r="A2535" t="str">
        <f>"3716104"</f>
        <v>3716104</v>
      </c>
      <c r="B2535" t="s">
        <v>3940</v>
      </c>
      <c r="C2535" t="s">
        <v>96</v>
      </c>
      <c r="D2535" s="21" t="s">
        <v>34</v>
      </c>
      <c r="E2535" s="21" t="s">
        <v>35</v>
      </c>
      <c r="F2535">
        <v>4370637</v>
      </c>
      <c r="G2535" t="s">
        <v>3941</v>
      </c>
      <c r="H2535" s="21">
        <v>1372.67</v>
      </c>
    </row>
    <row r="2536" spans="1:8" customFormat="1" x14ac:dyDescent="0.25">
      <c r="A2536" t="str">
        <f>"721654"</f>
        <v>721654</v>
      </c>
      <c r="B2536" t="s">
        <v>3312</v>
      </c>
      <c r="C2536" t="s">
        <v>65</v>
      </c>
      <c r="D2536" s="21" t="s">
        <v>34</v>
      </c>
      <c r="E2536" s="21" t="s">
        <v>71</v>
      </c>
      <c r="F2536">
        <v>12720104</v>
      </c>
      <c r="G2536" t="s">
        <v>224</v>
      </c>
      <c r="H2536" s="21">
        <v>1372.67</v>
      </c>
    </row>
    <row r="2537" spans="1:8" customFormat="1" x14ac:dyDescent="0.25">
      <c r="A2537" t="str">
        <f>"835848"</f>
        <v>835848</v>
      </c>
      <c r="B2537" t="s">
        <v>3942</v>
      </c>
      <c r="C2537" t="s">
        <v>2305</v>
      </c>
      <c r="D2537" s="21" t="s">
        <v>34</v>
      </c>
      <c r="E2537" s="21" t="s">
        <v>254</v>
      </c>
      <c r="F2537">
        <v>13830044</v>
      </c>
      <c r="G2537" t="s">
        <v>945</v>
      </c>
      <c r="H2537" s="21">
        <v>1372.67</v>
      </c>
    </row>
    <row r="2538" spans="1:8" customFormat="1" x14ac:dyDescent="0.25">
      <c r="A2538" t="str">
        <f>"5937849"</f>
        <v>5937849</v>
      </c>
      <c r="B2538" t="s">
        <v>3062</v>
      </c>
      <c r="C2538" t="s">
        <v>576</v>
      </c>
      <c r="D2538" s="21" t="s">
        <v>34</v>
      </c>
      <c r="E2538" s="21" t="s">
        <v>35</v>
      </c>
      <c r="F2538">
        <v>7590175</v>
      </c>
      <c r="G2538" t="s">
        <v>3063</v>
      </c>
      <c r="H2538" s="21">
        <v>1372.42</v>
      </c>
    </row>
    <row r="2539" spans="1:8" customFormat="1" x14ac:dyDescent="0.25">
      <c r="A2539" t="str">
        <f>"4442325"</f>
        <v>4442325</v>
      </c>
      <c r="B2539" t="s">
        <v>3281</v>
      </c>
      <c r="C2539" t="s">
        <v>719</v>
      </c>
      <c r="D2539" s="21" t="s">
        <v>34</v>
      </c>
      <c r="E2539" s="21" t="s">
        <v>35</v>
      </c>
      <c r="F2539">
        <v>12440067</v>
      </c>
      <c r="G2539" t="s">
        <v>1723</v>
      </c>
      <c r="H2539" s="21">
        <v>1372.17</v>
      </c>
    </row>
    <row r="2540" spans="1:8" customFormat="1" x14ac:dyDescent="0.25">
      <c r="A2540" t="str">
        <f>"7821321"</f>
        <v>7821321</v>
      </c>
      <c r="B2540" t="s">
        <v>3183</v>
      </c>
      <c r="C2540" t="s">
        <v>269</v>
      </c>
      <c r="D2540" s="21" t="s">
        <v>34</v>
      </c>
      <c r="E2540" s="21" t="s">
        <v>71</v>
      </c>
      <c r="F2540">
        <v>8910165</v>
      </c>
      <c r="G2540" t="s">
        <v>3184</v>
      </c>
      <c r="H2540" s="21">
        <v>1372.17</v>
      </c>
    </row>
    <row r="2541" spans="1:8" customFormat="1" x14ac:dyDescent="0.25">
      <c r="A2541" t="str">
        <f>"3712624"</f>
        <v>3712624</v>
      </c>
      <c r="B2541" t="s">
        <v>3386</v>
      </c>
      <c r="C2541" t="s">
        <v>239</v>
      </c>
      <c r="D2541" s="21" t="s">
        <v>34</v>
      </c>
      <c r="E2541" s="21" t="s">
        <v>71</v>
      </c>
      <c r="F2541">
        <v>12440033</v>
      </c>
      <c r="G2541" t="s">
        <v>1638</v>
      </c>
      <c r="H2541" s="21">
        <v>1372.17</v>
      </c>
    </row>
    <row r="2542" spans="1:8" customFormat="1" x14ac:dyDescent="0.25">
      <c r="A2542" t="str">
        <f>"086601"</f>
        <v>086601</v>
      </c>
      <c r="B2542" t="s">
        <v>4294</v>
      </c>
      <c r="C2542" t="s">
        <v>98</v>
      </c>
      <c r="D2542" s="21" t="s">
        <v>34</v>
      </c>
      <c r="E2542" s="21" t="s">
        <v>35</v>
      </c>
      <c r="F2542">
        <v>6080006</v>
      </c>
      <c r="G2542" t="s">
        <v>4295</v>
      </c>
      <c r="H2542" s="21">
        <v>1372.05</v>
      </c>
    </row>
    <row r="2543" spans="1:8" customFormat="1" x14ac:dyDescent="0.25">
      <c r="A2543" t="str">
        <f>"7512512"</f>
        <v>7512512</v>
      </c>
      <c r="B2543" t="s">
        <v>3743</v>
      </c>
      <c r="C2543" t="s">
        <v>62</v>
      </c>
      <c r="D2543" s="21" t="s">
        <v>34</v>
      </c>
      <c r="E2543" s="21" t="s">
        <v>35</v>
      </c>
      <c r="F2543">
        <v>8750120</v>
      </c>
      <c r="G2543" t="s">
        <v>838</v>
      </c>
      <c r="H2543" s="21">
        <v>1371.8</v>
      </c>
    </row>
    <row r="2544" spans="1:8" customFormat="1" x14ac:dyDescent="0.25">
      <c r="A2544" t="str">
        <f>"7716084"</f>
        <v>7716084</v>
      </c>
      <c r="B2544" t="s">
        <v>3952</v>
      </c>
      <c r="C2544" t="s">
        <v>2529</v>
      </c>
      <c r="D2544" s="21" t="s">
        <v>34</v>
      </c>
      <c r="E2544" s="21" t="s">
        <v>254</v>
      </c>
      <c r="F2544">
        <v>8911439</v>
      </c>
      <c r="G2544" t="s">
        <v>3953</v>
      </c>
      <c r="H2544" s="21">
        <v>1371.8</v>
      </c>
    </row>
    <row r="2545" spans="1:8" customFormat="1" x14ac:dyDescent="0.25">
      <c r="A2545" t="str">
        <f>"577238"</f>
        <v>577238</v>
      </c>
      <c r="B2545" t="s">
        <v>3873</v>
      </c>
      <c r="C2545" t="s">
        <v>60</v>
      </c>
      <c r="D2545" s="21" t="s">
        <v>34</v>
      </c>
      <c r="E2545" s="21" t="s">
        <v>35</v>
      </c>
      <c r="F2545">
        <v>11310098</v>
      </c>
      <c r="G2545" t="s">
        <v>371</v>
      </c>
      <c r="H2545" s="21">
        <v>1371.8</v>
      </c>
    </row>
    <row r="2546" spans="1:8" customFormat="1" x14ac:dyDescent="0.25">
      <c r="A2546" t="str">
        <f>"609390"</f>
        <v>609390</v>
      </c>
      <c r="B2546" t="s">
        <v>108</v>
      </c>
      <c r="C2546" t="s">
        <v>55</v>
      </c>
      <c r="D2546" s="21" t="s">
        <v>34</v>
      </c>
      <c r="E2546" s="21" t="s">
        <v>71</v>
      </c>
      <c r="F2546">
        <v>7600043</v>
      </c>
      <c r="G2546" t="s">
        <v>1928</v>
      </c>
      <c r="H2546" s="21">
        <v>1371.67</v>
      </c>
    </row>
    <row r="2547" spans="1:8" customFormat="1" x14ac:dyDescent="0.25">
      <c r="A2547" t="str">
        <f>"1412452"</f>
        <v>1412452</v>
      </c>
      <c r="B2547" t="s">
        <v>2403</v>
      </c>
      <c r="C2547" t="s">
        <v>87</v>
      </c>
      <c r="D2547" s="21" t="s">
        <v>34</v>
      </c>
      <c r="E2547" s="21" t="s">
        <v>71</v>
      </c>
      <c r="F2547">
        <v>13060008</v>
      </c>
      <c r="G2547" t="s">
        <v>36</v>
      </c>
      <c r="H2547" s="21">
        <v>1371.67</v>
      </c>
    </row>
    <row r="2548" spans="1:8" customFormat="1" x14ac:dyDescent="0.25">
      <c r="A2548" t="str">
        <f>"6211821"</f>
        <v>6211821</v>
      </c>
      <c r="B2548" t="s">
        <v>3341</v>
      </c>
      <c r="C2548" t="s">
        <v>3309</v>
      </c>
      <c r="D2548" s="21" t="s">
        <v>34</v>
      </c>
      <c r="E2548" s="21" t="s">
        <v>35</v>
      </c>
      <c r="F2548">
        <v>7620088</v>
      </c>
      <c r="G2548" t="s">
        <v>3342</v>
      </c>
      <c r="H2548" s="21">
        <v>1371.67</v>
      </c>
    </row>
    <row r="2549" spans="1:8" customFormat="1" x14ac:dyDescent="0.25">
      <c r="A2549" t="str">
        <f>"615224"</f>
        <v>615224</v>
      </c>
      <c r="B2549" t="s">
        <v>3664</v>
      </c>
      <c r="C2549" t="s">
        <v>576</v>
      </c>
      <c r="D2549" s="21" t="s">
        <v>34</v>
      </c>
      <c r="E2549" s="21" t="s">
        <v>35</v>
      </c>
      <c r="F2549">
        <v>9610009</v>
      </c>
      <c r="G2549" t="s">
        <v>282</v>
      </c>
      <c r="H2549" s="21">
        <v>1371.17</v>
      </c>
    </row>
    <row r="2550" spans="1:8" customFormat="1" x14ac:dyDescent="0.25">
      <c r="A2550" t="str">
        <f>"455779"</f>
        <v>455779</v>
      </c>
      <c r="B2550" t="s">
        <v>1361</v>
      </c>
      <c r="C2550" t="s">
        <v>96</v>
      </c>
      <c r="D2550" s="21" t="s">
        <v>34</v>
      </c>
      <c r="E2550" s="21" t="s">
        <v>35</v>
      </c>
      <c r="F2550">
        <v>4450616</v>
      </c>
      <c r="G2550" t="s">
        <v>3254</v>
      </c>
      <c r="H2550" s="21">
        <v>1370.92</v>
      </c>
    </row>
    <row r="2551" spans="1:8" customFormat="1" x14ac:dyDescent="0.25">
      <c r="A2551" t="str">
        <f>"59133"</f>
        <v>59133</v>
      </c>
      <c r="B2551" t="s">
        <v>6890</v>
      </c>
      <c r="C2551" t="s">
        <v>3683</v>
      </c>
      <c r="D2551" s="21" t="s">
        <v>34</v>
      </c>
      <c r="E2551" s="21" t="s">
        <v>35</v>
      </c>
      <c r="F2551">
        <v>7590175</v>
      </c>
      <c r="G2551" t="s">
        <v>3063</v>
      </c>
      <c r="H2551" s="21">
        <v>1370.79</v>
      </c>
    </row>
    <row r="2552" spans="1:8" customFormat="1" x14ac:dyDescent="0.25">
      <c r="A2552" t="str">
        <f>"4437335"</f>
        <v>4437335</v>
      </c>
      <c r="B2552" t="s">
        <v>3491</v>
      </c>
      <c r="C2552" t="s">
        <v>156</v>
      </c>
      <c r="D2552" s="21" t="s">
        <v>34</v>
      </c>
      <c r="E2552" s="21" t="s">
        <v>35</v>
      </c>
      <c r="F2552">
        <v>12440073</v>
      </c>
      <c r="G2552" t="s">
        <v>3492</v>
      </c>
      <c r="H2552" s="21">
        <v>1370.67</v>
      </c>
    </row>
    <row r="2553" spans="1:8" customFormat="1" x14ac:dyDescent="0.25">
      <c r="A2553" t="str">
        <f>"9123753"</f>
        <v>9123753</v>
      </c>
      <c r="B2553" t="s">
        <v>3550</v>
      </c>
      <c r="C2553" t="s">
        <v>3551</v>
      </c>
      <c r="D2553" s="21" t="s">
        <v>34</v>
      </c>
      <c r="E2553" s="21" t="s">
        <v>35</v>
      </c>
      <c r="F2553">
        <v>8910544</v>
      </c>
      <c r="G2553" t="s">
        <v>3552</v>
      </c>
      <c r="H2553" s="21">
        <v>1370.67</v>
      </c>
    </row>
    <row r="2554" spans="1:8" customFormat="1" x14ac:dyDescent="0.25">
      <c r="A2554" t="str">
        <f>"534535"</f>
        <v>534535</v>
      </c>
      <c r="B2554" t="s">
        <v>3842</v>
      </c>
      <c r="C2554" t="s">
        <v>3843</v>
      </c>
      <c r="D2554" s="21" t="s">
        <v>34</v>
      </c>
      <c r="E2554" s="21" t="s">
        <v>71</v>
      </c>
      <c r="F2554">
        <v>12530017</v>
      </c>
      <c r="G2554" t="s">
        <v>307</v>
      </c>
      <c r="H2554" s="21">
        <v>1370.55</v>
      </c>
    </row>
    <row r="2555" spans="1:8" customFormat="1" x14ac:dyDescent="0.25">
      <c r="A2555" t="str">
        <f>"793158"</f>
        <v>793158</v>
      </c>
      <c r="B2555" t="s">
        <v>3771</v>
      </c>
      <c r="C2555" t="s">
        <v>127</v>
      </c>
      <c r="D2555" s="21" t="s">
        <v>34</v>
      </c>
      <c r="E2555" s="21" t="s">
        <v>35</v>
      </c>
      <c r="F2555">
        <v>10790163</v>
      </c>
      <c r="G2555" t="s">
        <v>2015</v>
      </c>
      <c r="H2555" s="21">
        <v>1370.42</v>
      </c>
    </row>
    <row r="2556" spans="1:8" customFormat="1" x14ac:dyDescent="0.25">
      <c r="A2556" t="str">
        <f>"518354"</f>
        <v>518354</v>
      </c>
      <c r="B2556" t="s">
        <v>3012</v>
      </c>
      <c r="C2556" t="s">
        <v>2904</v>
      </c>
      <c r="D2556" s="21" t="s">
        <v>34</v>
      </c>
      <c r="E2556" s="21" t="s">
        <v>71</v>
      </c>
      <c r="F2556">
        <v>6510077</v>
      </c>
      <c r="G2556" t="s">
        <v>756</v>
      </c>
      <c r="H2556" s="21">
        <v>1370.17</v>
      </c>
    </row>
    <row r="2557" spans="1:8" customFormat="1" x14ac:dyDescent="0.25">
      <c r="A2557" t="str">
        <f>"5914275"</f>
        <v>5914275</v>
      </c>
      <c r="B2557" t="s">
        <v>3617</v>
      </c>
      <c r="C2557" t="s">
        <v>3618</v>
      </c>
      <c r="D2557" s="21" t="s">
        <v>34</v>
      </c>
      <c r="E2557" s="21" t="s">
        <v>35</v>
      </c>
      <c r="F2557">
        <v>7590065</v>
      </c>
      <c r="G2557" t="s">
        <v>1598</v>
      </c>
      <c r="H2557" s="21">
        <v>1370.17</v>
      </c>
    </row>
    <row r="2558" spans="1:8" customFormat="1" x14ac:dyDescent="0.25">
      <c r="A2558" t="str">
        <f>"5922109"</f>
        <v>5922109</v>
      </c>
      <c r="B2558" t="s">
        <v>2930</v>
      </c>
      <c r="C2558" t="s">
        <v>2931</v>
      </c>
      <c r="D2558" s="21" t="s">
        <v>34</v>
      </c>
      <c r="E2558" s="21" t="s">
        <v>35</v>
      </c>
      <c r="F2558">
        <v>7590080</v>
      </c>
      <c r="G2558" t="s">
        <v>1715</v>
      </c>
      <c r="H2558" s="21">
        <v>1370.17</v>
      </c>
    </row>
    <row r="2559" spans="1:8" customFormat="1" x14ac:dyDescent="0.25">
      <c r="A2559" t="str">
        <f>"256155"</f>
        <v>256155</v>
      </c>
      <c r="B2559" t="s">
        <v>26732</v>
      </c>
      <c r="C2559" t="s">
        <v>2678</v>
      </c>
      <c r="D2559" s="21" t="s">
        <v>34</v>
      </c>
      <c r="E2559" s="21" t="s">
        <v>71</v>
      </c>
      <c r="F2559">
        <v>2250181</v>
      </c>
      <c r="G2559" t="s">
        <v>494</v>
      </c>
      <c r="H2559" s="21">
        <v>1370.17</v>
      </c>
    </row>
    <row r="2560" spans="1:8" customFormat="1" x14ac:dyDescent="0.25">
      <c r="A2560" t="str">
        <f>"674843"</f>
        <v>674843</v>
      </c>
      <c r="B2560" t="s">
        <v>3381</v>
      </c>
      <c r="C2560" t="s">
        <v>263</v>
      </c>
      <c r="D2560" s="21" t="s">
        <v>34</v>
      </c>
      <c r="E2560" s="21" t="s">
        <v>71</v>
      </c>
      <c r="F2560">
        <v>6670203</v>
      </c>
      <c r="G2560" t="s">
        <v>2371</v>
      </c>
      <c r="H2560" s="21">
        <v>1369.67</v>
      </c>
    </row>
    <row r="2561" spans="1:8" customFormat="1" x14ac:dyDescent="0.25">
      <c r="A2561" t="str">
        <f>"7713726"</f>
        <v>7713726</v>
      </c>
      <c r="B2561" t="s">
        <v>24555</v>
      </c>
      <c r="C2561" t="s">
        <v>144</v>
      </c>
      <c r="D2561" s="21" t="s">
        <v>34</v>
      </c>
      <c r="E2561" s="21" t="s">
        <v>35</v>
      </c>
      <c r="F2561">
        <v>8770166</v>
      </c>
      <c r="G2561" t="s">
        <v>653</v>
      </c>
      <c r="H2561" s="21">
        <v>1369.67</v>
      </c>
    </row>
    <row r="2562" spans="1:8" customFormat="1" x14ac:dyDescent="0.25">
      <c r="A2562" t="str">
        <f>"6349"</f>
        <v>6349</v>
      </c>
      <c r="B2562" t="s">
        <v>3651</v>
      </c>
      <c r="C2562" t="s">
        <v>127</v>
      </c>
      <c r="D2562" s="21" t="s">
        <v>34</v>
      </c>
      <c r="E2562" s="21" t="s">
        <v>35</v>
      </c>
      <c r="F2562">
        <v>1630281</v>
      </c>
      <c r="G2562" t="s">
        <v>1190</v>
      </c>
      <c r="H2562" s="21">
        <v>1369.67</v>
      </c>
    </row>
    <row r="2563" spans="1:8" customFormat="1" x14ac:dyDescent="0.25">
      <c r="A2563" t="str">
        <f>"6929816"</f>
        <v>6929816</v>
      </c>
      <c r="B2563" t="s">
        <v>3451</v>
      </c>
      <c r="C2563" t="s">
        <v>209</v>
      </c>
      <c r="D2563" s="21" t="s">
        <v>34</v>
      </c>
      <c r="E2563" s="21" t="s">
        <v>71</v>
      </c>
      <c r="F2563">
        <v>1690001</v>
      </c>
      <c r="G2563" t="s">
        <v>3275</v>
      </c>
      <c r="H2563" s="21">
        <v>1369.67</v>
      </c>
    </row>
    <row r="2564" spans="1:8" customFormat="1" x14ac:dyDescent="0.25">
      <c r="A2564" t="str">
        <f>"5016913"</f>
        <v>5016913</v>
      </c>
      <c r="B2564" t="s">
        <v>3848</v>
      </c>
      <c r="C2564" t="s">
        <v>302</v>
      </c>
      <c r="D2564" s="21" t="s">
        <v>34</v>
      </c>
      <c r="E2564" s="21" t="s">
        <v>35</v>
      </c>
      <c r="F2564">
        <v>9610004</v>
      </c>
      <c r="G2564" t="s">
        <v>1042</v>
      </c>
      <c r="H2564" s="21">
        <v>1369.43</v>
      </c>
    </row>
    <row r="2565" spans="1:8" customFormat="1" x14ac:dyDescent="0.25">
      <c r="A2565" t="str">
        <f>"9419850"</f>
        <v>9419850</v>
      </c>
      <c r="B2565" t="s">
        <v>3458</v>
      </c>
      <c r="C2565" t="s">
        <v>121</v>
      </c>
      <c r="D2565" s="21" t="s">
        <v>34</v>
      </c>
      <c r="E2565" s="21" t="s">
        <v>35</v>
      </c>
      <c r="F2565">
        <v>12440141</v>
      </c>
      <c r="G2565" t="s">
        <v>3234</v>
      </c>
      <c r="H2565" s="21">
        <v>1369.42</v>
      </c>
    </row>
    <row r="2566" spans="1:8" customFormat="1" x14ac:dyDescent="0.25">
      <c r="A2566" t="str">
        <f>"679605"</f>
        <v>679605</v>
      </c>
      <c r="B2566" t="s">
        <v>19215</v>
      </c>
      <c r="C2566" t="s">
        <v>169</v>
      </c>
      <c r="D2566" s="21" t="s">
        <v>34</v>
      </c>
      <c r="E2566" s="21" t="s">
        <v>35</v>
      </c>
      <c r="F2566">
        <v>6670272</v>
      </c>
      <c r="G2566" t="s">
        <v>26568</v>
      </c>
      <c r="H2566" s="21">
        <v>1369.42</v>
      </c>
    </row>
    <row r="2567" spans="1:8" customFormat="1" x14ac:dyDescent="0.25">
      <c r="A2567" t="str">
        <f>"577288"</f>
        <v>577288</v>
      </c>
      <c r="B2567" t="s">
        <v>5284</v>
      </c>
      <c r="C2567" t="s">
        <v>323</v>
      </c>
      <c r="D2567" s="21" t="s">
        <v>34</v>
      </c>
      <c r="E2567" s="21" t="s">
        <v>71</v>
      </c>
      <c r="F2567">
        <v>1690194</v>
      </c>
      <c r="G2567" t="s">
        <v>5285</v>
      </c>
      <c r="H2567" s="21">
        <v>1369.18</v>
      </c>
    </row>
    <row r="2568" spans="1:8" customFormat="1" x14ac:dyDescent="0.25">
      <c r="A2568" t="str">
        <f>"621216"</f>
        <v>621216</v>
      </c>
      <c r="B2568" t="s">
        <v>3531</v>
      </c>
      <c r="C2568" t="s">
        <v>462</v>
      </c>
      <c r="D2568" s="21" t="s">
        <v>34</v>
      </c>
      <c r="E2568" s="21" t="s">
        <v>71</v>
      </c>
      <c r="F2568">
        <v>7620103</v>
      </c>
      <c r="G2568" t="s">
        <v>1107</v>
      </c>
      <c r="H2568" s="21">
        <v>1369.17</v>
      </c>
    </row>
    <row r="2569" spans="1:8" customFormat="1" x14ac:dyDescent="0.25">
      <c r="A2569" t="str">
        <f>"4440205"</f>
        <v>4440205</v>
      </c>
      <c r="B2569" t="s">
        <v>1079</v>
      </c>
      <c r="C2569" t="s">
        <v>1489</v>
      </c>
      <c r="D2569" s="21" t="s">
        <v>34</v>
      </c>
      <c r="E2569" s="21" t="s">
        <v>35</v>
      </c>
      <c r="F2569">
        <v>12440084</v>
      </c>
      <c r="G2569" t="s">
        <v>1014</v>
      </c>
      <c r="H2569" s="21">
        <v>1369.17</v>
      </c>
    </row>
    <row r="2570" spans="1:8" customFormat="1" x14ac:dyDescent="0.25">
      <c r="A2570" t="str">
        <f>"798616"</f>
        <v>798616</v>
      </c>
      <c r="B2570" t="s">
        <v>136</v>
      </c>
      <c r="C2570" t="s">
        <v>2907</v>
      </c>
      <c r="D2570" s="21" t="s">
        <v>34</v>
      </c>
      <c r="E2570" s="21" t="s">
        <v>71</v>
      </c>
      <c r="F2570">
        <v>10790043</v>
      </c>
      <c r="G2570" t="s">
        <v>2828</v>
      </c>
      <c r="H2570" s="21">
        <v>1369.17</v>
      </c>
    </row>
    <row r="2571" spans="1:8" customFormat="1" x14ac:dyDescent="0.25">
      <c r="A2571" t="str">
        <f>"4521715"</f>
        <v>4521715</v>
      </c>
      <c r="B2571" t="s">
        <v>26733</v>
      </c>
      <c r="C2571" t="s">
        <v>149</v>
      </c>
      <c r="D2571" s="21" t="s">
        <v>34</v>
      </c>
      <c r="E2571" s="21" t="s">
        <v>35</v>
      </c>
      <c r="F2571">
        <v>4450757</v>
      </c>
      <c r="G2571" t="s">
        <v>3829</v>
      </c>
      <c r="H2571" s="21">
        <v>1369.17</v>
      </c>
    </row>
    <row r="2572" spans="1:8" customFormat="1" x14ac:dyDescent="0.25">
      <c r="A2572" t="str">
        <f>"593519"</f>
        <v>593519</v>
      </c>
      <c r="B2572" t="s">
        <v>2985</v>
      </c>
      <c r="C2572" t="s">
        <v>87</v>
      </c>
      <c r="D2572" s="21" t="s">
        <v>34</v>
      </c>
      <c r="E2572" s="21" t="s">
        <v>35</v>
      </c>
      <c r="F2572">
        <v>7590204</v>
      </c>
      <c r="G2572" t="s">
        <v>696</v>
      </c>
      <c r="H2572" s="21">
        <v>1369.17</v>
      </c>
    </row>
    <row r="2573" spans="1:8" customFormat="1" x14ac:dyDescent="0.25">
      <c r="A2573" t="str">
        <f>"9527872"</f>
        <v>9527872</v>
      </c>
      <c r="B2573" t="s">
        <v>213</v>
      </c>
      <c r="C2573" t="s">
        <v>209</v>
      </c>
      <c r="D2573" s="21" t="s">
        <v>34</v>
      </c>
      <c r="E2573" s="21" t="s">
        <v>71</v>
      </c>
      <c r="F2573">
        <v>8951366</v>
      </c>
      <c r="G2573" t="s">
        <v>3708</v>
      </c>
      <c r="H2573" s="21">
        <v>1368.93</v>
      </c>
    </row>
    <row r="2574" spans="1:8" customFormat="1" x14ac:dyDescent="0.25">
      <c r="A2574" t="str">
        <f>"683787"</f>
        <v>683787</v>
      </c>
      <c r="B2574" t="s">
        <v>4306</v>
      </c>
      <c r="C2574" t="s">
        <v>4307</v>
      </c>
      <c r="D2574" s="21" t="s">
        <v>34</v>
      </c>
      <c r="E2574" s="21" t="s">
        <v>35</v>
      </c>
      <c r="F2574">
        <v>6680111</v>
      </c>
      <c r="G2574" t="s">
        <v>3422</v>
      </c>
      <c r="H2574" s="21">
        <v>1368.92</v>
      </c>
    </row>
    <row r="2575" spans="1:8" customFormat="1" x14ac:dyDescent="0.25">
      <c r="A2575" t="str">
        <f>"623515"</f>
        <v>623515</v>
      </c>
      <c r="B2575" t="s">
        <v>3471</v>
      </c>
      <c r="C2575" t="s">
        <v>1132</v>
      </c>
      <c r="D2575" s="21" t="s">
        <v>34</v>
      </c>
      <c r="E2575" s="21" t="s">
        <v>35</v>
      </c>
      <c r="F2575">
        <v>7620015</v>
      </c>
      <c r="G2575" t="s">
        <v>377</v>
      </c>
      <c r="H2575" s="21">
        <v>1368.8</v>
      </c>
    </row>
    <row r="2576" spans="1:8" customFormat="1" x14ac:dyDescent="0.25">
      <c r="A2576" t="str">
        <f>"2510842"</f>
        <v>2510842</v>
      </c>
      <c r="B2576" t="s">
        <v>4119</v>
      </c>
      <c r="C2576" t="s">
        <v>209</v>
      </c>
      <c r="D2576" s="21" t="s">
        <v>34</v>
      </c>
      <c r="E2576" s="21" t="s">
        <v>71</v>
      </c>
      <c r="F2576">
        <v>2250024</v>
      </c>
      <c r="G2576" t="s">
        <v>751</v>
      </c>
      <c r="H2576" s="21">
        <v>1368.68</v>
      </c>
    </row>
    <row r="2577" spans="1:8" customFormat="1" x14ac:dyDescent="0.25">
      <c r="A2577" t="str">
        <f>"954054"</f>
        <v>954054</v>
      </c>
      <c r="B2577" t="s">
        <v>3262</v>
      </c>
      <c r="C2577" t="s">
        <v>453</v>
      </c>
      <c r="D2577" s="21" t="s">
        <v>34</v>
      </c>
      <c r="E2577" s="21" t="s">
        <v>254</v>
      </c>
      <c r="F2577">
        <v>8950083</v>
      </c>
      <c r="G2577" t="s">
        <v>405</v>
      </c>
      <c r="H2577" s="21">
        <v>1368.67</v>
      </c>
    </row>
    <row r="2578" spans="1:8" customFormat="1" x14ac:dyDescent="0.25">
      <c r="A2578" t="str">
        <f>"7617818"</f>
        <v>7617818</v>
      </c>
      <c r="B2578" t="s">
        <v>15982</v>
      </c>
      <c r="C2578" t="s">
        <v>65</v>
      </c>
      <c r="D2578" s="21" t="s">
        <v>34</v>
      </c>
      <c r="E2578" s="21" t="s">
        <v>35</v>
      </c>
      <c r="F2578">
        <v>9760291</v>
      </c>
      <c r="G2578" t="s">
        <v>26611</v>
      </c>
      <c r="H2578" s="21">
        <v>1368.67</v>
      </c>
    </row>
    <row r="2579" spans="1:8" customFormat="1" x14ac:dyDescent="0.25">
      <c r="A2579" t="str">
        <f>"2932688"</f>
        <v>2932688</v>
      </c>
      <c r="B2579" t="s">
        <v>3313</v>
      </c>
      <c r="C2579" t="s">
        <v>1812</v>
      </c>
      <c r="D2579" s="21" t="s">
        <v>34</v>
      </c>
      <c r="E2579" s="21" t="s">
        <v>35</v>
      </c>
      <c r="F2579">
        <v>3290202</v>
      </c>
      <c r="G2579" t="s">
        <v>3314</v>
      </c>
      <c r="H2579" s="21">
        <v>1368.67</v>
      </c>
    </row>
    <row r="2580" spans="1:8" customFormat="1" x14ac:dyDescent="0.25">
      <c r="A2580" t="str">
        <f>"9525202"</f>
        <v>9525202</v>
      </c>
      <c r="B2580" t="s">
        <v>3529</v>
      </c>
      <c r="C2580" t="s">
        <v>328</v>
      </c>
      <c r="D2580" s="21" t="s">
        <v>34</v>
      </c>
      <c r="E2580" s="21" t="s">
        <v>35</v>
      </c>
      <c r="F2580">
        <v>8950103</v>
      </c>
      <c r="G2580" t="s">
        <v>440</v>
      </c>
      <c r="H2580" s="21">
        <v>1368.67</v>
      </c>
    </row>
    <row r="2581" spans="1:8" customFormat="1" x14ac:dyDescent="0.25">
      <c r="A2581" t="str">
        <f>"7611919"</f>
        <v>7611919</v>
      </c>
      <c r="B2581" t="s">
        <v>3216</v>
      </c>
      <c r="C2581" t="s">
        <v>3217</v>
      </c>
      <c r="D2581" s="21" t="s">
        <v>34</v>
      </c>
      <c r="E2581" s="21" t="s">
        <v>35</v>
      </c>
      <c r="F2581">
        <v>9270005</v>
      </c>
      <c r="G2581" t="s">
        <v>1255</v>
      </c>
      <c r="H2581" s="21">
        <v>1368.67</v>
      </c>
    </row>
    <row r="2582" spans="1:8" customFormat="1" x14ac:dyDescent="0.25">
      <c r="A2582" t="str">
        <f>"4511773"</f>
        <v>4511773</v>
      </c>
      <c r="B2582" t="s">
        <v>3414</v>
      </c>
      <c r="C2582" t="s">
        <v>3415</v>
      </c>
      <c r="D2582" s="21" t="s">
        <v>34</v>
      </c>
      <c r="E2582" s="21" t="s">
        <v>35</v>
      </c>
      <c r="F2582">
        <v>4450192</v>
      </c>
      <c r="G2582" t="s">
        <v>2411</v>
      </c>
      <c r="H2582" s="21">
        <v>1368.42</v>
      </c>
    </row>
    <row r="2583" spans="1:8" customFormat="1" x14ac:dyDescent="0.25">
      <c r="A2583" t="str">
        <f>"01188"</f>
        <v>01188</v>
      </c>
      <c r="B2583" t="s">
        <v>1867</v>
      </c>
      <c r="C2583" t="s">
        <v>156</v>
      </c>
      <c r="D2583" s="21" t="s">
        <v>34</v>
      </c>
      <c r="E2583" s="21" t="s">
        <v>35</v>
      </c>
      <c r="F2583">
        <v>2390007</v>
      </c>
      <c r="G2583" t="s">
        <v>3365</v>
      </c>
      <c r="H2583" s="21">
        <v>1368.3</v>
      </c>
    </row>
    <row r="2584" spans="1:8" customFormat="1" x14ac:dyDescent="0.25">
      <c r="A2584" t="str">
        <f>"911398"</f>
        <v>911398</v>
      </c>
      <c r="B2584" t="s">
        <v>1945</v>
      </c>
      <c r="C2584" t="s">
        <v>598</v>
      </c>
      <c r="D2584" s="21" t="s">
        <v>34</v>
      </c>
      <c r="E2584" s="21" t="s">
        <v>71</v>
      </c>
      <c r="F2584">
        <v>8910303</v>
      </c>
      <c r="G2584" t="s">
        <v>1244</v>
      </c>
      <c r="H2584" s="21">
        <v>1368.3</v>
      </c>
    </row>
    <row r="2585" spans="1:8" customFormat="1" x14ac:dyDescent="0.25">
      <c r="A2585" t="str">
        <f>"604155"</f>
        <v>604155</v>
      </c>
      <c r="B2585" t="s">
        <v>3346</v>
      </c>
      <c r="C2585" t="s">
        <v>33</v>
      </c>
      <c r="D2585" s="21" t="s">
        <v>34</v>
      </c>
      <c r="E2585" s="21" t="s">
        <v>35</v>
      </c>
      <c r="F2585">
        <v>7600069</v>
      </c>
      <c r="G2585" t="s">
        <v>195</v>
      </c>
      <c r="H2585" s="21">
        <v>1368.17</v>
      </c>
    </row>
    <row r="2586" spans="1:8" customFormat="1" x14ac:dyDescent="0.25">
      <c r="A2586" t="str">
        <f>"601300"</f>
        <v>601300</v>
      </c>
      <c r="B2586" t="s">
        <v>3356</v>
      </c>
      <c r="C2586" t="s">
        <v>55</v>
      </c>
      <c r="D2586" s="21" t="s">
        <v>34</v>
      </c>
      <c r="E2586" s="21" t="s">
        <v>71</v>
      </c>
      <c r="F2586">
        <v>7600054</v>
      </c>
      <c r="G2586" t="s">
        <v>1352</v>
      </c>
      <c r="H2586" s="21">
        <v>1367.67</v>
      </c>
    </row>
    <row r="2587" spans="1:8" customFormat="1" x14ac:dyDescent="0.25">
      <c r="A2587" t="str">
        <f>"245252"</f>
        <v>245252</v>
      </c>
      <c r="B2587" t="s">
        <v>3230</v>
      </c>
      <c r="C2587" t="s">
        <v>1812</v>
      </c>
      <c r="D2587" s="21" t="s">
        <v>34</v>
      </c>
      <c r="E2587" s="21" t="s">
        <v>254</v>
      </c>
      <c r="F2587">
        <v>10240003</v>
      </c>
      <c r="G2587" t="s">
        <v>2940</v>
      </c>
      <c r="H2587" s="21">
        <v>1367.67</v>
      </c>
    </row>
    <row r="2588" spans="1:8" customFormat="1" x14ac:dyDescent="0.25">
      <c r="A2588" t="str">
        <f>"628008"</f>
        <v>628008</v>
      </c>
      <c r="B2588" t="s">
        <v>3783</v>
      </c>
      <c r="C2588" t="s">
        <v>3784</v>
      </c>
      <c r="D2588" s="21" t="s">
        <v>34</v>
      </c>
      <c r="E2588" s="21" t="s">
        <v>35</v>
      </c>
      <c r="F2588">
        <v>7590055</v>
      </c>
      <c r="G2588" t="s">
        <v>1573</v>
      </c>
      <c r="H2588" s="21">
        <v>1367.67</v>
      </c>
    </row>
    <row r="2589" spans="1:8" customFormat="1" x14ac:dyDescent="0.25">
      <c r="A2589" t="str">
        <f>"374157"</f>
        <v>374157</v>
      </c>
      <c r="B2589" t="s">
        <v>3146</v>
      </c>
      <c r="C2589" t="s">
        <v>109</v>
      </c>
      <c r="D2589" s="21" t="s">
        <v>34</v>
      </c>
      <c r="E2589" s="21" t="s">
        <v>35</v>
      </c>
      <c r="F2589">
        <v>4370656</v>
      </c>
      <c r="G2589" t="s">
        <v>1127</v>
      </c>
      <c r="H2589" s="21">
        <v>1367.67</v>
      </c>
    </row>
    <row r="2590" spans="1:8" customFormat="1" x14ac:dyDescent="0.25">
      <c r="A2590" t="str">
        <f>"867316"</f>
        <v>867316</v>
      </c>
      <c r="B2590" t="s">
        <v>3799</v>
      </c>
      <c r="C2590" t="s">
        <v>2232</v>
      </c>
      <c r="D2590" s="21" t="s">
        <v>34</v>
      </c>
      <c r="E2590" s="21" t="s">
        <v>71</v>
      </c>
      <c r="F2590">
        <v>10860122</v>
      </c>
      <c r="G2590" t="s">
        <v>3800</v>
      </c>
      <c r="H2590" s="21">
        <v>1367.17</v>
      </c>
    </row>
    <row r="2591" spans="1:8" customFormat="1" x14ac:dyDescent="0.25">
      <c r="A2591" t="str">
        <f>"441410"</f>
        <v>441410</v>
      </c>
      <c r="B2591" t="s">
        <v>3850</v>
      </c>
      <c r="C2591" t="s">
        <v>462</v>
      </c>
      <c r="D2591" s="21" t="s">
        <v>34</v>
      </c>
      <c r="E2591" s="21" t="s">
        <v>71</v>
      </c>
      <c r="F2591">
        <v>12440197</v>
      </c>
      <c r="G2591" t="s">
        <v>1101</v>
      </c>
      <c r="H2591" s="21">
        <v>1367.17</v>
      </c>
    </row>
    <row r="2592" spans="1:8" customFormat="1" x14ac:dyDescent="0.25">
      <c r="A2592" t="str">
        <f>"6926904"</f>
        <v>6926904</v>
      </c>
      <c r="B2592" t="s">
        <v>26734</v>
      </c>
      <c r="C2592" t="s">
        <v>2806</v>
      </c>
      <c r="D2592" s="21" t="s">
        <v>34</v>
      </c>
      <c r="E2592" s="21" t="s">
        <v>35</v>
      </c>
      <c r="F2592">
        <v>1690192</v>
      </c>
      <c r="G2592" t="s">
        <v>3578</v>
      </c>
      <c r="H2592" s="21">
        <v>1367.17</v>
      </c>
    </row>
    <row r="2593" spans="1:8" customFormat="1" x14ac:dyDescent="0.25">
      <c r="A2593" t="str">
        <f>"4916478"</f>
        <v>4916478</v>
      </c>
      <c r="B2593" t="s">
        <v>3273</v>
      </c>
      <c r="C2593" t="s">
        <v>249</v>
      </c>
      <c r="D2593" s="21" t="s">
        <v>34</v>
      </c>
      <c r="E2593" s="21" t="s">
        <v>35</v>
      </c>
      <c r="F2593">
        <v>12440105</v>
      </c>
      <c r="G2593" t="s">
        <v>594</v>
      </c>
      <c r="H2593" s="21">
        <v>1366.92</v>
      </c>
    </row>
    <row r="2594" spans="1:8" customFormat="1" x14ac:dyDescent="0.25">
      <c r="A2594" t="str">
        <f>"2511794"</f>
        <v>2511794</v>
      </c>
      <c r="B2594" t="s">
        <v>3238</v>
      </c>
      <c r="C2594" t="s">
        <v>462</v>
      </c>
      <c r="D2594" s="21" t="s">
        <v>34</v>
      </c>
      <c r="E2594" s="21" t="s">
        <v>35</v>
      </c>
      <c r="F2594">
        <v>6670216</v>
      </c>
      <c r="G2594" t="s">
        <v>2194</v>
      </c>
      <c r="H2594" s="21">
        <v>1366.67</v>
      </c>
    </row>
    <row r="2595" spans="1:8" customFormat="1" x14ac:dyDescent="0.25">
      <c r="A2595" t="str">
        <f>"272911"</f>
        <v>272911</v>
      </c>
      <c r="B2595" t="s">
        <v>3354</v>
      </c>
      <c r="C2595" t="s">
        <v>934</v>
      </c>
      <c r="D2595" s="21" t="s">
        <v>34</v>
      </c>
      <c r="E2595" s="21" t="s">
        <v>71</v>
      </c>
      <c r="F2595">
        <v>9270005</v>
      </c>
      <c r="G2595" t="s">
        <v>1255</v>
      </c>
      <c r="H2595" s="21">
        <v>1366.67</v>
      </c>
    </row>
    <row r="2596" spans="1:8" customFormat="1" x14ac:dyDescent="0.25">
      <c r="A2596" t="str">
        <f>"7846560"</f>
        <v>7846560</v>
      </c>
      <c r="B2596" t="s">
        <v>3936</v>
      </c>
      <c r="C2596" t="s">
        <v>139</v>
      </c>
      <c r="D2596" s="21" t="s">
        <v>34</v>
      </c>
      <c r="E2596" s="21" t="s">
        <v>35</v>
      </c>
      <c r="F2596">
        <v>8781290</v>
      </c>
      <c r="G2596" t="s">
        <v>2927</v>
      </c>
      <c r="H2596" s="21">
        <v>1366.3</v>
      </c>
    </row>
    <row r="2597" spans="1:8" customFormat="1" x14ac:dyDescent="0.25">
      <c r="A2597" t="str">
        <f>"573732"</f>
        <v>573732</v>
      </c>
      <c r="B2597" t="s">
        <v>3528</v>
      </c>
      <c r="C2597" t="s">
        <v>1110</v>
      </c>
      <c r="D2597" s="21" t="s">
        <v>34</v>
      </c>
      <c r="E2597" s="21" t="s">
        <v>254</v>
      </c>
      <c r="F2597">
        <v>6570019</v>
      </c>
      <c r="G2597" t="s">
        <v>1510</v>
      </c>
      <c r="H2597" s="21">
        <v>1366.17</v>
      </c>
    </row>
    <row r="2598" spans="1:8" customFormat="1" x14ac:dyDescent="0.25">
      <c r="A2598" t="str">
        <f>"169234"</f>
        <v>169234</v>
      </c>
      <c r="B2598" t="s">
        <v>1802</v>
      </c>
      <c r="C2598" t="s">
        <v>65</v>
      </c>
      <c r="D2598" s="21" t="s">
        <v>34</v>
      </c>
      <c r="E2598" s="21" t="s">
        <v>35</v>
      </c>
      <c r="F2598">
        <v>10160029</v>
      </c>
      <c r="G2598" t="s">
        <v>896</v>
      </c>
      <c r="H2598" s="21">
        <v>1366.17</v>
      </c>
    </row>
    <row r="2599" spans="1:8" customFormat="1" x14ac:dyDescent="0.25">
      <c r="A2599" t="str">
        <f>"7512250"</f>
        <v>7512250</v>
      </c>
      <c r="B2599" t="s">
        <v>1945</v>
      </c>
      <c r="C2599" t="s">
        <v>169</v>
      </c>
      <c r="D2599" s="21" t="s">
        <v>34</v>
      </c>
      <c r="E2599" s="21" t="s">
        <v>35</v>
      </c>
      <c r="F2599">
        <v>8920063</v>
      </c>
      <c r="G2599" t="s">
        <v>219</v>
      </c>
      <c r="H2599" s="21">
        <v>1366.17</v>
      </c>
    </row>
    <row r="2600" spans="1:8" customFormat="1" x14ac:dyDescent="0.25">
      <c r="A2600" t="str">
        <f>"06123"</f>
        <v>06123</v>
      </c>
      <c r="B2600" t="s">
        <v>3267</v>
      </c>
      <c r="C2600" t="s">
        <v>598</v>
      </c>
      <c r="D2600" s="21" t="s">
        <v>34</v>
      </c>
      <c r="E2600" s="21" t="s">
        <v>35</v>
      </c>
      <c r="F2600">
        <v>13060110</v>
      </c>
      <c r="G2600" t="s">
        <v>3268</v>
      </c>
      <c r="H2600" s="21">
        <v>1366.17</v>
      </c>
    </row>
    <row r="2601" spans="1:8" customFormat="1" x14ac:dyDescent="0.25">
      <c r="A2601" t="str">
        <f>"534378"</f>
        <v>534378</v>
      </c>
      <c r="B2601" t="s">
        <v>3380</v>
      </c>
      <c r="C2601" t="s">
        <v>267</v>
      </c>
      <c r="D2601" s="21" t="s">
        <v>34</v>
      </c>
      <c r="E2601" s="21" t="s">
        <v>71</v>
      </c>
      <c r="F2601">
        <v>12530058</v>
      </c>
      <c r="G2601" t="s">
        <v>3128</v>
      </c>
      <c r="H2601" s="21">
        <v>1366.17</v>
      </c>
    </row>
    <row r="2602" spans="1:8" customFormat="1" x14ac:dyDescent="0.25">
      <c r="A2602" t="str">
        <f>"139991"</f>
        <v>139991</v>
      </c>
      <c r="B2602" t="s">
        <v>3391</v>
      </c>
      <c r="C2602" t="s">
        <v>127</v>
      </c>
      <c r="D2602" s="21" t="s">
        <v>34</v>
      </c>
      <c r="E2602" s="21" t="s">
        <v>35</v>
      </c>
      <c r="F2602">
        <v>13130100</v>
      </c>
      <c r="G2602" t="s">
        <v>2893</v>
      </c>
      <c r="H2602" s="21">
        <v>1366.17</v>
      </c>
    </row>
    <row r="2603" spans="1:8" customFormat="1" x14ac:dyDescent="0.25">
      <c r="A2603" t="str">
        <f>"5911637"</f>
        <v>5911637</v>
      </c>
      <c r="B2603" t="s">
        <v>4747</v>
      </c>
      <c r="C2603" t="s">
        <v>87</v>
      </c>
      <c r="D2603" s="21" t="s">
        <v>34</v>
      </c>
      <c r="E2603" s="21" t="s">
        <v>35</v>
      </c>
      <c r="F2603">
        <v>10330013</v>
      </c>
      <c r="G2603" t="s">
        <v>613</v>
      </c>
      <c r="H2603" s="21">
        <v>1366.05</v>
      </c>
    </row>
    <row r="2604" spans="1:8" customFormat="1" x14ac:dyDescent="0.25">
      <c r="A2604" t="str">
        <f>"7511385"</f>
        <v>7511385</v>
      </c>
      <c r="B2604" t="s">
        <v>205</v>
      </c>
      <c r="C2604" t="s">
        <v>233</v>
      </c>
      <c r="D2604" s="21" t="s">
        <v>34</v>
      </c>
      <c r="E2604" s="21" t="s">
        <v>35</v>
      </c>
      <c r="F2604">
        <v>8750400</v>
      </c>
      <c r="G2604" t="s">
        <v>2804</v>
      </c>
      <c r="H2604" s="21">
        <v>1365.92</v>
      </c>
    </row>
    <row r="2605" spans="1:8" customFormat="1" x14ac:dyDescent="0.25">
      <c r="A2605" t="str">
        <f>"5911037"</f>
        <v>5911037</v>
      </c>
      <c r="B2605" t="s">
        <v>3449</v>
      </c>
      <c r="C2605" t="s">
        <v>204</v>
      </c>
      <c r="D2605" s="21" t="s">
        <v>34</v>
      </c>
      <c r="E2605" s="21" t="s">
        <v>35</v>
      </c>
      <c r="F2605">
        <v>7590011</v>
      </c>
      <c r="G2605" t="s">
        <v>2147</v>
      </c>
      <c r="H2605" s="21">
        <v>1365.67</v>
      </c>
    </row>
    <row r="2606" spans="1:8" customFormat="1" x14ac:dyDescent="0.25">
      <c r="A2606" t="str">
        <f>"212459"</f>
        <v>212459</v>
      </c>
      <c r="B2606" t="s">
        <v>97</v>
      </c>
      <c r="C2606" t="s">
        <v>33</v>
      </c>
      <c r="D2606" s="21" t="s">
        <v>34</v>
      </c>
      <c r="E2606" s="21" t="s">
        <v>35</v>
      </c>
      <c r="F2606">
        <v>2390046</v>
      </c>
      <c r="G2606" t="s">
        <v>2140</v>
      </c>
      <c r="H2606" s="21">
        <v>1365.67</v>
      </c>
    </row>
    <row r="2607" spans="1:8" customFormat="1" x14ac:dyDescent="0.25">
      <c r="A2607" t="str">
        <f>"6935101"</f>
        <v>6935101</v>
      </c>
      <c r="B2607" t="s">
        <v>3999</v>
      </c>
      <c r="C2607" t="s">
        <v>750</v>
      </c>
      <c r="D2607" s="21" t="s">
        <v>34</v>
      </c>
      <c r="E2607" s="21" t="s">
        <v>35</v>
      </c>
      <c r="F2607">
        <v>1690221</v>
      </c>
      <c r="G2607" t="s">
        <v>303</v>
      </c>
      <c r="H2607" s="21">
        <v>1365.67</v>
      </c>
    </row>
    <row r="2608" spans="1:8" customFormat="1" x14ac:dyDescent="0.25">
      <c r="A2608" t="str">
        <f>"4428047"</f>
        <v>4428047</v>
      </c>
      <c r="B2608" t="s">
        <v>3345</v>
      </c>
      <c r="C2608" t="s">
        <v>267</v>
      </c>
      <c r="D2608" s="21" t="s">
        <v>34</v>
      </c>
      <c r="E2608" s="21" t="s">
        <v>1089</v>
      </c>
      <c r="F2608">
        <v>12440038</v>
      </c>
      <c r="G2608" t="s">
        <v>2057</v>
      </c>
      <c r="H2608" s="21">
        <v>1365.67</v>
      </c>
    </row>
    <row r="2609" spans="1:8" customFormat="1" x14ac:dyDescent="0.25">
      <c r="A2609" t="str">
        <f>"914555"</f>
        <v>914555</v>
      </c>
      <c r="B2609" t="s">
        <v>4558</v>
      </c>
      <c r="C2609" t="s">
        <v>156</v>
      </c>
      <c r="D2609" s="21" t="s">
        <v>34</v>
      </c>
      <c r="E2609" s="21" t="s">
        <v>35</v>
      </c>
      <c r="F2609">
        <v>8911285</v>
      </c>
      <c r="G2609" t="s">
        <v>2396</v>
      </c>
      <c r="H2609" s="21">
        <v>1365.31</v>
      </c>
    </row>
    <row r="2610" spans="1:8" customFormat="1" x14ac:dyDescent="0.25">
      <c r="A2610" t="str">
        <f>"904529"</f>
        <v>904529</v>
      </c>
      <c r="B2610" t="s">
        <v>4100</v>
      </c>
      <c r="C2610" t="s">
        <v>87</v>
      </c>
      <c r="D2610" s="21" t="s">
        <v>34</v>
      </c>
      <c r="E2610" s="21" t="s">
        <v>35</v>
      </c>
      <c r="F2610">
        <v>2900046</v>
      </c>
      <c r="G2610" t="s">
        <v>4101</v>
      </c>
      <c r="H2610" s="21">
        <v>1365.17</v>
      </c>
    </row>
    <row r="2611" spans="1:8" customFormat="1" x14ac:dyDescent="0.25">
      <c r="A2611" t="str">
        <f>"0610227"</f>
        <v>0610227</v>
      </c>
      <c r="B2611" t="s">
        <v>4171</v>
      </c>
      <c r="C2611" t="s">
        <v>4172</v>
      </c>
      <c r="D2611" s="21" t="s">
        <v>34</v>
      </c>
      <c r="E2611" s="21" t="s">
        <v>35</v>
      </c>
      <c r="F2611">
        <v>13060064</v>
      </c>
      <c r="G2611" t="s">
        <v>976</v>
      </c>
      <c r="H2611" s="21">
        <v>1365.17</v>
      </c>
    </row>
    <row r="2612" spans="1:8" customFormat="1" x14ac:dyDescent="0.25">
      <c r="A2612" t="str">
        <f>"7711589"</f>
        <v>7711589</v>
      </c>
      <c r="B2612" t="s">
        <v>3709</v>
      </c>
      <c r="C2612" t="s">
        <v>119</v>
      </c>
      <c r="D2612" s="21" t="s">
        <v>34</v>
      </c>
      <c r="E2612" s="21" t="s">
        <v>35</v>
      </c>
      <c r="F2612">
        <v>8771426</v>
      </c>
      <c r="G2612" t="s">
        <v>844</v>
      </c>
      <c r="H2612" s="21">
        <v>1365.17</v>
      </c>
    </row>
    <row r="2613" spans="1:8" customFormat="1" x14ac:dyDescent="0.25">
      <c r="A2613" t="str">
        <f>"782075"</f>
        <v>782075</v>
      </c>
      <c r="B2613" t="s">
        <v>26735</v>
      </c>
      <c r="C2613" t="s">
        <v>26736</v>
      </c>
      <c r="D2613" s="21" t="s">
        <v>34</v>
      </c>
      <c r="E2613" s="21" t="s">
        <v>35</v>
      </c>
      <c r="F2613">
        <v>8781473</v>
      </c>
      <c r="G2613" t="s">
        <v>1097</v>
      </c>
      <c r="H2613" s="21">
        <v>1364.67</v>
      </c>
    </row>
    <row r="2614" spans="1:8" customFormat="1" x14ac:dyDescent="0.25">
      <c r="A2614" t="str">
        <f>"5937355"</f>
        <v>5937355</v>
      </c>
      <c r="B2614" t="s">
        <v>2106</v>
      </c>
      <c r="C2614" t="s">
        <v>65</v>
      </c>
      <c r="D2614" s="21" t="s">
        <v>34</v>
      </c>
      <c r="E2614" s="21" t="s">
        <v>35</v>
      </c>
      <c r="F2614">
        <v>7590204</v>
      </c>
      <c r="G2614" t="s">
        <v>696</v>
      </c>
      <c r="H2614" s="21">
        <v>1364.67</v>
      </c>
    </row>
    <row r="2615" spans="1:8" customFormat="1" x14ac:dyDescent="0.25">
      <c r="A2615" t="str">
        <f>"721261"</f>
        <v>721261</v>
      </c>
      <c r="B2615" t="s">
        <v>3561</v>
      </c>
      <c r="C2615" t="s">
        <v>62</v>
      </c>
      <c r="D2615" s="21" t="s">
        <v>34</v>
      </c>
      <c r="E2615" s="21" t="s">
        <v>71</v>
      </c>
      <c r="F2615">
        <v>12720027</v>
      </c>
      <c r="G2615" t="s">
        <v>3562</v>
      </c>
      <c r="H2615" s="21">
        <v>1364.67</v>
      </c>
    </row>
    <row r="2616" spans="1:8" customFormat="1" x14ac:dyDescent="0.25">
      <c r="A2616" t="str">
        <f>"573954"</f>
        <v>573954</v>
      </c>
      <c r="B2616" t="s">
        <v>3950</v>
      </c>
      <c r="C2616" t="s">
        <v>124</v>
      </c>
      <c r="D2616" s="21" t="s">
        <v>34</v>
      </c>
      <c r="E2616" s="21" t="s">
        <v>35</v>
      </c>
      <c r="F2616">
        <v>6570029</v>
      </c>
      <c r="G2616" t="s">
        <v>2977</v>
      </c>
      <c r="H2616" s="21">
        <v>1364.67</v>
      </c>
    </row>
    <row r="2617" spans="1:8" customFormat="1" x14ac:dyDescent="0.25">
      <c r="A2617" t="str">
        <f>"779926"</f>
        <v>779926</v>
      </c>
      <c r="B2617" t="s">
        <v>3818</v>
      </c>
      <c r="C2617" t="s">
        <v>486</v>
      </c>
      <c r="D2617" s="21" t="s">
        <v>34</v>
      </c>
      <c r="E2617" s="21" t="s">
        <v>35</v>
      </c>
      <c r="F2617">
        <v>8930598</v>
      </c>
      <c r="G2617" t="s">
        <v>445</v>
      </c>
      <c r="H2617" s="21">
        <v>1364.17</v>
      </c>
    </row>
    <row r="2618" spans="1:8" customFormat="1" x14ac:dyDescent="0.25">
      <c r="A2618" t="str">
        <f>"9248575"</f>
        <v>9248575</v>
      </c>
      <c r="B2618" t="s">
        <v>4067</v>
      </c>
      <c r="C2618" t="s">
        <v>4068</v>
      </c>
      <c r="D2618" s="21" t="s">
        <v>34</v>
      </c>
      <c r="E2618" s="21" t="s">
        <v>71</v>
      </c>
      <c r="F2618">
        <v>8920031</v>
      </c>
      <c r="G2618" t="s">
        <v>552</v>
      </c>
      <c r="H2618" s="21">
        <v>1364.17</v>
      </c>
    </row>
    <row r="2619" spans="1:8" customFormat="1" x14ac:dyDescent="0.25">
      <c r="A2619" t="str">
        <f>"4411911"</f>
        <v>4411911</v>
      </c>
      <c r="B2619" t="s">
        <v>1081</v>
      </c>
      <c r="C2619" t="s">
        <v>43</v>
      </c>
      <c r="D2619" s="21" t="s">
        <v>34</v>
      </c>
      <c r="E2619" s="21" t="s">
        <v>35</v>
      </c>
      <c r="F2619">
        <v>12440101</v>
      </c>
      <c r="G2619" t="s">
        <v>3482</v>
      </c>
      <c r="H2619" s="21">
        <v>1364.17</v>
      </c>
    </row>
    <row r="2620" spans="1:8" customFormat="1" x14ac:dyDescent="0.25">
      <c r="A2620" t="str">
        <f>"278288"</f>
        <v>278288</v>
      </c>
      <c r="B2620" t="s">
        <v>185</v>
      </c>
      <c r="C2620" t="s">
        <v>249</v>
      </c>
      <c r="D2620" s="21" t="s">
        <v>34</v>
      </c>
      <c r="E2620" s="21" t="s">
        <v>71</v>
      </c>
      <c r="F2620">
        <v>9270063</v>
      </c>
      <c r="G2620" t="s">
        <v>808</v>
      </c>
      <c r="H2620" s="21">
        <v>1364.17</v>
      </c>
    </row>
    <row r="2621" spans="1:8" customFormat="1" x14ac:dyDescent="0.25">
      <c r="A2621" t="str">
        <f>"99592"</f>
        <v>99592</v>
      </c>
      <c r="B2621" t="s">
        <v>3657</v>
      </c>
      <c r="C2621" t="s">
        <v>311</v>
      </c>
      <c r="D2621" s="21" t="s">
        <v>34</v>
      </c>
      <c r="E2621" s="21" t="s">
        <v>35</v>
      </c>
      <c r="F2621">
        <v>7800061</v>
      </c>
      <c r="G2621" t="s">
        <v>1330</v>
      </c>
      <c r="H2621" s="21">
        <v>1364</v>
      </c>
    </row>
    <row r="2622" spans="1:8" customFormat="1" x14ac:dyDescent="0.25">
      <c r="A2622" t="str">
        <f>"862099"</f>
        <v>862099</v>
      </c>
      <c r="B2622" t="s">
        <v>3765</v>
      </c>
      <c r="C2622" t="s">
        <v>65</v>
      </c>
      <c r="D2622" s="21" t="s">
        <v>34</v>
      </c>
      <c r="E2622" s="21" t="s">
        <v>35</v>
      </c>
      <c r="F2622">
        <v>13130161</v>
      </c>
      <c r="G2622" t="s">
        <v>1171</v>
      </c>
      <c r="H2622" s="21">
        <v>1364</v>
      </c>
    </row>
    <row r="2623" spans="1:8" customFormat="1" x14ac:dyDescent="0.25">
      <c r="A2623" t="str">
        <f>"5930434"</f>
        <v>5930434</v>
      </c>
      <c r="B2623" t="s">
        <v>2386</v>
      </c>
      <c r="C2623" t="s">
        <v>33</v>
      </c>
      <c r="D2623" s="21" t="s">
        <v>34</v>
      </c>
      <c r="E2623" s="21" t="s">
        <v>71</v>
      </c>
      <c r="F2623">
        <v>7590173</v>
      </c>
      <c r="G2623" t="s">
        <v>5675</v>
      </c>
      <c r="H2623" s="21">
        <v>1363.93</v>
      </c>
    </row>
    <row r="2624" spans="1:8" customFormat="1" x14ac:dyDescent="0.25">
      <c r="A2624" t="str">
        <f>"3310599"</f>
        <v>3310599</v>
      </c>
      <c r="B2624" t="s">
        <v>3655</v>
      </c>
      <c r="C2624" t="s">
        <v>611</v>
      </c>
      <c r="D2624" s="21" t="s">
        <v>34</v>
      </c>
      <c r="E2624" s="21" t="s">
        <v>35</v>
      </c>
      <c r="F2624">
        <v>10330040</v>
      </c>
      <c r="G2624" t="s">
        <v>1492</v>
      </c>
      <c r="H2624" s="21">
        <v>1363.68</v>
      </c>
    </row>
    <row r="2625" spans="1:8" customFormat="1" x14ac:dyDescent="0.25">
      <c r="A2625" t="str">
        <f>"447825"</f>
        <v>447825</v>
      </c>
      <c r="B2625" t="s">
        <v>2981</v>
      </c>
      <c r="C2625" t="s">
        <v>40</v>
      </c>
      <c r="D2625" s="21" t="s">
        <v>34</v>
      </c>
      <c r="E2625" s="21" t="s">
        <v>71</v>
      </c>
      <c r="F2625">
        <v>12440024</v>
      </c>
      <c r="G2625" t="s">
        <v>2205</v>
      </c>
      <c r="H2625" s="21">
        <v>1363.67</v>
      </c>
    </row>
    <row r="2626" spans="1:8" customFormat="1" x14ac:dyDescent="0.25">
      <c r="A2626" t="str">
        <f>"9513660"</f>
        <v>9513660</v>
      </c>
      <c r="B2626" t="s">
        <v>2309</v>
      </c>
      <c r="C2626" t="s">
        <v>33</v>
      </c>
      <c r="D2626" s="21" t="s">
        <v>34</v>
      </c>
      <c r="E2626" s="21" t="s">
        <v>35</v>
      </c>
      <c r="F2626">
        <v>8950083</v>
      </c>
      <c r="G2626" t="s">
        <v>405</v>
      </c>
      <c r="H2626" s="21">
        <v>1363.67</v>
      </c>
    </row>
    <row r="2627" spans="1:8" customFormat="1" x14ac:dyDescent="0.25">
      <c r="A2627" t="str">
        <f>"3341367"</f>
        <v>3341367</v>
      </c>
      <c r="B2627" t="s">
        <v>3558</v>
      </c>
      <c r="C2627" t="s">
        <v>87</v>
      </c>
      <c r="D2627" s="21" t="s">
        <v>34</v>
      </c>
      <c r="E2627" s="21" t="s">
        <v>254</v>
      </c>
      <c r="F2627">
        <v>10330031</v>
      </c>
      <c r="G2627" t="s">
        <v>2452</v>
      </c>
      <c r="H2627" s="21">
        <v>1363.3</v>
      </c>
    </row>
    <row r="2628" spans="1:8" customFormat="1" x14ac:dyDescent="0.25">
      <c r="A2628" t="str">
        <f>"229674"</f>
        <v>229674</v>
      </c>
      <c r="B2628" t="s">
        <v>4250</v>
      </c>
      <c r="C2628" t="s">
        <v>43</v>
      </c>
      <c r="D2628" s="21" t="s">
        <v>34</v>
      </c>
      <c r="E2628" s="21" t="s">
        <v>35</v>
      </c>
      <c r="F2628">
        <v>3350009</v>
      </c>
      <c r="G2628" t="s">
        <v>1823</v>
      </c>
      <c r="H2628" s="21">
        <v>1363.17</v>
      </c>
    </row>
    <row r="2629" spans="1:8" customFormat="1" x14ac:dyDescent="0.25">
      <c r="A2629" t="str">
        <f>"8218"</f>
        <v>8218</v>
      </c>
      <c r="B2629" t="s">
        <v>3595</v>
      </c>
      <c r="C2629" t="s">
        <v>285</v>
      </c>
      <c r="D2629" s="21" t="s">
        <v>34</v>
      </c>
      <c r="E2629" s="21" t="s">
        <v>35</v>
      </c>
      <c r="F2629">
        <v>11820007</v>
      </c>
      <c r="G2629" t="s">
        <v>532</v>
      </c>
      <c r="H2629" s="21">
        <v>1363.17</v>
      </c>
    </row>
    <row r="2630" spans="1:8" customFormat="1" x14ac:dyDescent="0.25">
      <c r="A2630" t="str">
        <f>"4924728"</f>
        <v>4924728</v>
      </c>
      <c r="B2630" t="s">
        <v>2910</v>
      </c>
      <c r="C2630" t="s">
        <v>1812</v>
      </c>
      <c r="D2630" s="21" t="s">
        <v>34</v>
      </c>
      <c r="E2630" s="21" t="s">
        <v>35</v>
      </c>
      <c r="F2630">
        <v>12490038</v>
      </c>
      <c r="G2630" t="s">
        <v>467</v>
      </c>
      <c r="H2630" s="21">
        <v>1363.17</v>
      </c>
    </row>
    <row r="2631" spans="1:8" customFormat="1" x14ac:dyDescent="0.25">
      <c r="A2631" t="str">
        <f>"513510"</f>
        <v>513510</v>
      </c>
      <c r="B2631" t="s">
        <v>3359</v>
      </c>
      <c r="C2631" t="s">
        <v>87</v>
      </c>
      <c r="D2631" s="21" t="s">
        <v>34</v>
      </c>
      <c r="E2631" s="21" t="s">
        <v>254</v>
      </c>
      <c r="F2631">
        <v>6510001</v>
      </c>
      <c r="G2631" t="s">
        <v>286</v>
      </c>
      <c r="H2631" s="21">
        <v>1362.92</v>
      </c>
    </row>
    <row r="2632" spans="1:8" customFormat="1" x14ac:dyDescent="0.25">
      <c r="A2632" t="str">
        <f>"2514671"</f>
        <v>2514671</v>
      </c>
      <c r="B2632" t="s">
        <v>4399</v>
      </c>
      <c r="C2632" t="s">
        <v>328</v>
      </c>
      <c r="D2632" s="21" t="s">
        <v>34</v>
      </c>
      <c r="E2632" s="21" t="s">
        <v>35</v>
      </c>
      <c r="F2632">
        <v>2250204</v>
      </c>
      <c r="G2632" t="s">
        <v>4400</v>
      </c>
      <c r="H2632" s="21">
        <v>1362.79</v>
      </c>
    </row>
    <row r="2633" spans="1:8" customFormat="1" x14ac:dyDescent="0.25">
      <c r="A2633" t="str">
        <f>"632225"</f>
        <v>632225</v>
      </c>
      <c r="B2633" t="s">
        <v>1533</v>
      </c>
      <c r="C2633" t="s">
        <v>3662</v>
      </c>
      <c r="D2633" s="21" t="s">
        <v>34</v>
      </c>
      <c r="E2633" s="21" t="s">
        <v>35</v>
      </c>
      <c r="F2633">
        <v>1630121</v>
      </c>
      <c r="G2633" t="s">
        <v>3663</v>
      </c>
      <c r="H2633" s="21">
        <v>1362.67</v>
      </c>
    </row>
    <row r="2634" spans="1:8" customFormat="1" x14ac:dyDescent="0.25">
      <c r="A2634" t="str">
        <f>"09727"</f>
        <v>09727</v>
      </c>
      <c r="B2634" t="s">
        <v>3360</v>
      </c>
      <c r="C2634" t="s">
        <v>65</v>
      </c>
      <c r="D2634" s="21" t="s">
        <v>34</v>
      </c>
      <c r="E2634" s="21" t="s">
        <v>35</v>
      </c>
      <c r="F2634">
        <v>11090002</v>
      </c>
      <c r="G2634" t="s">
        <v>901</v>
      </c>
      <c r="H2634" s="21">
        <v>1362.67</v>
      </c>
    </row>
    <row r="2635" spans="1:8" customFormat="1" x14ac:dyDescent="0.25">
      <c r="A2635" t="str">
        <f>"883185"</f>
        <v>883185</v>
      </c>
      <c r="B2635" t="s">
        <v>3519</v>
      </c>
      <c r="C2635" t="s">
        <v>206</v>
      </c>
      <c r="D2635" s="21" t="s">
        <v>34</v>
      </c>
      <c r="E2635" s="21" t="s">
        <v>35</v>
      </c>
      <c r="F2635">
        <v>6880146</v>
      </c>
      <c r="G2635" t="s">
        <v>3520</v>
      </c>
      <c r="H2635" s="21">
        <v>1362.67</v>
      </c>
    </row>
    <row r="2636" spans="1:8" customFormat="1" x14ac:dyDescent="0.25">
      <c r="A2636" t="str">
        <f>"3410820"</f>
        <v>3410820</v>
      </c>
      <c r="B2636" t="s">
        <v>3483</v>
      </c>
      <c r="C2636" t="s">
        <v>2907</v>
      </c>
      <c r="D2636" s="21" t="s">
        <v>34</v>
      </c>
      <c r="E2636" s="21" t="s">
        <v>71</v>
      </c>
      <c r="F2636">
        <v>11340007</v>
      </c>
      <c r="G2636" t="s">
        <v>2278</v>
      </c>
      <c r="H2636" s="21">
        <v>1362.67</v>
      </c>
    </row>
    <row r="2637" spans="1:8" customFormat="1" x14ac:dyDescent="0.25">
      <c r="A2637" t="str">
        <f>"9422939"</f>
        <v>9422939</v>
      </c>
      <c r="B2637" t="s">
        <v>26737</v>
      </c>
      <c r="C2637" t="s">
        <v>951</v>
      </c>
      <c r="D2637" s="21" t="s">
        <v>34</v>
      </c>
      <c r="E2637" s="21" t="s">
        <v>35</v>
      </c>
      <c r="F2637">
        <v>8910861</v>
      </c>
      <c r="G2637" t="s">
        <v>1120</v>
      </c>
      <c r="H2637" s="21">
        <v>1362.67</v>
      </c>
    </row>
    <row r="2638" spans="1:8" customFormat="1" x14ac:dyDescent="0.25">
      <c r="A2638" t="str">
        <f>"762194"</f>
        <v>762194</v>
      </c>
      <c r="B2638" t="s">
        <v>3095</v>
      </c>
      <c r="C2638" t="s">
        <v>33</v>
      </c>
      <c r="D2638" s="21" t="s">
        <v>34</v>
      </c>
      <c r="E2638" s="21" t="s">
        <v>71</v>
      </c>
      <c r="F2638">
        <v>9760168</v>
      </c>
      <c r="G2638" t="s">
        <v>179</v>
      </c>
      <c r="H2638" s="21">
        <v>1362.67</v>
      </c>
    </row>
    <row r="2639" spans="1:8" customFormat="1" x14ac:dyDescent="0.25">
      <c r="A2639" t="str">
        <f>"533832"</f>
        <v>533832</v>
      </c>
      <c r="B2639" t="s">
        <v>3585</v>
      </c>
      <c r="C2639" t="s">
        <v>428</v>
      </c>
      <c r="D2639" s="21" t="s">
        <v>34</v>
      </c>
      <c r="E2639" s="21" t="s">
        <v>71</v>
      </c>
      <c r="F2639">
        <v>12530058</v>
      </c>
      <c r="G2639" t="s">
        <v>3128</v>
      </c>
      <c r="H2639" s="21">
        <v>1362.67</v>
      </c>
    </row>
    <row r="2640" spans="1:8" customFormat="1" x14ac:dyDescent="0.25">
      <c r="A2640" t="str">
        <f>"3523874"</f>
        <v>3523874</v>
      </c>
      <c r="B2640" t="s">
        <v>4168</v>
      </c>
      <c r="C2640" t="s">
        <v>1294</v>
      </c>
      <c r="D2640" s="21" t="s">
        <v>34</v>
      </c>
      <c r="E2640" s="21" t="s">
        <v>35</v>
      </c>
      <c r="F2640">
        <v>3350016</v>
      </c>
      <c r="G2640" t="s">
        <v>133</v>
      </c>
      <c r="H2640" s="21">
        <v>1362.17</v>
      </c>
    </row>
    <row r="2641" spans="1:8" customFormat="1" x14ac:dyDescent="0.25">
      <c r="A2641" t="str">
        <f>"1412231"</f>
        <v>1412231</v>
      </c>
      <c r="B2641" t="s">
        <v>3187</v>
      </c>
      <c r="C2641" t="s">
        <v>187</v>
      </c>
      <c r="D2641" s="21" t="s">
        <v>34</v>
      </c>
      <c r="E2641" s="21" t="s">
        <v>71</v>
      </c>
      <c r="F2641">
        <v>9140174</v>
      </c>
      <c r="G2641" t="s">
        <v>26738</v>
      </c>
      <c r="H2641" s="21">
        <v>1362.17</v>
      </c>
    </row>
    <row r="2642" spans="1:8" customFormat="1" x14ac:dyDescent="0.25">
      <c r="A2642" t="str">
        <f>"5110351"</f>
        <v>5110351</v>
      </c>
      <c r="B2642" t="s">
        <v>4576</v>
      </c>
      <c r="C2642" t="s">
        <v>127</v>
      </c>
      <c r="D2642" s="21" t="s">
        <v>34</v>
      </c>
      <c r="E2642" s="21" t="s">
        <v>35</v>
      </c>
      <c r="F2642">
        <v>6510018</v>
      </c>
      <c r="G2642" t="s">
        <v>3055</v>
      </c>
      <c r="H2642" s="21">
        <v>1362.17</v>
      </c>
    </row>
    <row r="2643" spans="1:8" customFormat="1" x14ac:dyDescent="0.25">
      <c r="A2643" t="str">
        <f>"7818846"</f>
        <v>7818846</v>
      </c>
      <c r="B2643" t="s">
        <v>3900</v>
      </c>
      <c r="C2643" t="s">
        <v>60</v>
      </c>
      <c r="D2643" s="21" t="s">
        <v>34</v>
      </c>
      <c r="E2643" s="21" t="s">
        <v>35</v>
      </c>
      <c r="F2643">
        <v>8911206</v>
      </c>
      <c r="G2643" t="s">
        <v>17661</v>
      </c>
      <c r="H2643" s="21">
        <v>1362.17</v>
      </c>
    </row>
    <row r="2644" spans="1:8" customFormat="1" x14ac:dyDescent="0.25">
      <c r="A2644" t="str">
        <f>"5974656"</f>
        <v>5974656</v>
      </c>
      <c r="B2644" t="s">
        <v>3340</v>
      </c>
      <c r="C2644" t="s">
        <v>60</v>
      </c>
      <c r="D2644" s="21" t="s">
        <v>34</v>
      </c>
      <c r="E2644" s="21" t="s">
        <v>35</v>
      </c>
      <c r="F2644">
        <v>7590164</v>
      </c>
      <c r="G2644" t="s">
        <v>2451</v>
      </c>
      <c r="H2644" s="21">
        <v>1362.17</v>
      </c>
    </row>
    <row r="2645" spans="1:8" customFormat="1" x14ac:dyDescent="0.25">
      <c r="A2645" t="str">
        <f>"802551"</f>
        <v>802551</v>
      </c>
      <c r="B2645" t="s">
        <v>3645</v>
      </c>
      <c r="C2645" t="s">
        <v>121</v>
      </c>
      <c r="D2645" s="21" t="s">
        <v>34</v>
      </c>
      <c r="E2645" s="21" t="s">
        <v>35</v>
      </c>
      <c r="F2645">
        <v>7800040</v>
      </c>
      <c r="G2645" t="s">
        <v>1448</v>
      </c>
      <c r="H2645" s="21">
        <v>1362.17</v>
      </c>
    </row>
    <row r="2646" spans="1:8" customFormat="1" x14ac:dyDescent="0.25">
      <c r="A2646" t="str">
        <f>"177059"</f>
        <v>177059</v>
      </c>
      <c r="B2646" t="s">
        <v>4509</v>
      </c>
      <c r="C2646" t="s">
        <v>60</v>
      </c>
      <c r="D2646" s="21" t="s">
        <v>34</v>
      </c>
      <c r="E2646" s="21" t="s">
        <v>35</v>
      </c>
      <c r="F2646">
        <v>11660016</v>
      </c>
      <c r="G2646" t="s">
        <v>4510</v>
      </c>
      <c r="H2646" s="21">
        <v>1362.17</v>
      </c>
    </row>
    <row r="2647" spans="1:8" customFormat="1" x14ac:dyDescent="0.25">
      <c r="A2647" t="str">
        <f>"7885"</f>
        <v>7885</v>
      </c>
      <c r="B2647" t="s">
        <v>3152</v>
      </c>
      <c r="C2647" t="s">
        <v>209</v>
      </c>
      <c r="D2647" s="21" t="s">
        <v>34</v>
      </c>
      <c r="E2647" s="21" t="s">
        <v>35</v>
      </c>
      <c r="F2647">
        <v>8780016</v>
      </c>
      <c r="G2647" t="s">
        <v>3153</v>
      </c>
      <c r="H2647" s="21">
        <v>1362.17</v>
      </c>
    </row>
    <row r="2648" spans="1:8" customFormat="1" x14ac:dyDescent="0.25">
      <c r="A2648" t="str">
        <f>"5926372"</f>
        <v>5926372</v>
      </c>
      <c r="B2648" t="s">
        <v>3687</v>
      </c>
      <c r="C2648" t="s">
        <v>1665</v>
      </c>
      <c r="D2648" s="21" t="s">
        <v>34</v>
      </c>
      <c r="E2648" s="21" t="s">
        <v>254</v>
      </c>
      <c r="F2648">
        <v>7590044</v>
      </c>
      <c r="G2648" t="s">
        <v>2029</v>
      </c>
      <c r="H2648" s="21">
        <v>1362.05</v>
      </c>
    </row>
    <row r="2649" spans="1:8" customFormat="1" x14ac:dyDescent="0.25">
      <c r="A2649" t="str">
        <f>"86728"</f>
        <v>86728</v>
      </c>
      <c r="B2649" t="s">
        <v>3724</v>
      </c>
      <c r="C2649" t="s">
        <v>209</v>
      </c>
      <c r="D2649" s="21" t="s">
        <v>34</v>
      </c>
      <c r="E2649" s="21" t="s">
        <v>71</v>
      </c>
      <c r="F2649">
        <v>10860016</v>
      </c>
      <c r="G2649" t="s">
        <v>3289</v>
      </c>
      <c r="H2649" s="21">
        <v>1361.67</v>
      </c>
    </row>
    <row r="2650" spans="1:8" customFormat="1" x14ac:dyDescent="0.25">
      <c r="A2650" t="str">
        <f>"3317992"</f>
        <v>3317992</v>
      </c>
      <c r="B2650" t="s">
        <v>3616</v>
      </c>
      <c r="C2650" t="s">
        <v>598</v>
      </c>
      <c r="D2650" s="21" t="s">
        <v>34</v>
      </c>
      <c r="E2650" s="21" t="s">
        <v>35</v>
      </c>
      <c r="F2650">
        <v>10330010</v>
      </c>
      <c r="G2650" t="s">
        <v>2831</v>
      </c>
      <c r="H2650" s="21">
        <v>1361.67</v>
      </c>
    </row>
    <row r="2651" spans="1:8" customFormat="1" x14ac:dyDescent="0.25">
      <c r="A2651" t="str">
        <f>"1310864"</f>
        <v>1310864</v>
      </c>
      <c r="B2651" t="s">
        <v>3847</v>
      </c>
      <c r="C2651" t="s">
        <v>262</v>
      </c>
      <c r="D2651" s="21" t="s">
        <v>34</v>
      </c>
      <c r="E2651" s="21" t="s">
        <v>35</v>
      </c>
      <c r="F2651">
        <v>13130152</v>
      </c>
      <c r="G2651" t="s">
        <v>906</v>
      </c>
      <c r="H2651" s="21">
        <v>1361.67</v>
      </c>
    </row>
    <row r="2652" spans="1:8" customFormat="1" x14ac:dyDescent="0.25">
      <c r="A2652" t="str">
        <f>"568465"</f>
        <v>568465</v>
      </c>
      <c r="B2652" t="s">
        <v>2711</v>
      </c>
      <c r="C2652" t="s">
        <v>124</v>
      </c>
      <c r="D2652" s="21" t="s">
        <v>34</v>
      </c>
      <c r="E2652" s="21" t="s">
        <v>71</v>
      </c>
      <c r="F2652">
        <v>4410730</v>
      </c>
      <c r="G2652" t="s">
        <v>7260</v>
      </c>
      <c r="H2652" s="21">
        <v>1361.67</v>
      </c>
    </row>
    <row r="2653" spans="1:8" customFormat="1" x14ac:dyDescent="0.25">
      <c r="A2653" t="str">
        <f>"5316428"</f>
        <v>5316428</v>
      </c>
      <c r="B2653" t="s">
        <v>3757</v>
      </c>
      <c r="C2653" t="s">
        <v>244</v>
      </c>
      <c r="D2653" s="21" t="s">
        <v>34</v>
      </c>
      <c r="E2653" s="21" t="s">
        <v>71</v>
      </c>
      <c r="F2653">
        <v>12530017</v>
      </c>
      <c r="G2653" t="s">
        <v>307</v>
      </c>
      <c r="H2653" s="21">
        <v>1361.17</v>
      </c>
    </row>
    <row r="2654" spans="1:8" customFormat="1" x14ac:dyDescent="0.25">
      <c r="A2654" t="str">
        <f>"5915353"</f>
        <v>5915353</v>
      </c>
      <c r="B2654" t="s">
        <v>26739</v>
      </c>
      <c r="C2654" t="s">
        <v>328</v>
      </c>
      <c r="D2654" s="21" t="s">
        <v>34</v>
      </c>
      <c r="E2654" s="21" t="s">
        <v>35</v>
      </c>
      <c r="F2654">
        <v>7590120</v>
      </c>
      <c r="G2654" t="s">
        <v>5351</v>
      </c>
      <c r="H2654" s="21">
        <v>1361.17</v>
      </c>
    </row>
    <row r="2655" spans="1:8" customFormat="1" x14ac:dyDescent="0.25">
      <c r="A2655" t="str">
        <f>"4429758"</f>
        <v>4429758</v>
      </c>
      <c r="B2655" t="s">
        <v>1610</v>
      </c>
      <c r="C2655" t="s">
        <v>415</v>
      </c>
      <c r="D2655" s="21" t="s">
        <v>34</v>
      </c>
      <c r="E2655" s="21" t="s">
        <v>254</v>
      </c>
      <c r="F2655">
        <v>12440116</v>
      </c>
      <c r="G2655" t="s">
        <v>26673</v>
      </c>
      <c r="H2655" s="21">
        <v>1361.17</v>
      </c>
    </row>
    <row r="2656" spans="1:8" customFormat="1" x14ac:dyDescent="0.25">
      <c r="A2656" t="str">
        <f>"9226623"</f>
        <v>9226623</v>
      </c>
      <c r="B2656" t="s">
        <v>3960</v>
      </c>
      <c r="C2656" t="s">
        <v>55</v>
      </c>
      <c r="D2656" s="21" t="s">
        <v>34</v>
      </c>
      <c r="E2656" s="21" t="s">
        <v>35</v>
      </c>
      <c r="F2656">
        <v>8950083</v>
      </c>
      <c r="G2656" t="s">
        <v>405</v>
      </c>
      <c r="H2656" s="21">
        <v>1361.05</v>
      </c>
    </row>
    <row r="2657" spans="1:8" customFormat="1" x14ac:dyDescent="0.25">
      <c r="A2657" t="str">
        <f>"855898"</f>
        <v>855898</v>
      </c>
      <c r="B2657" t="s">
        <v>3758</v>
      </c>
      <c r="C2657" t="s">
        <v>275</v>
      </c>
      <c r="D2657" s="21" t="s">
        <v>34</v>
      </c>
      <c r="E2657" s="21" t="s">
        <v>35</v>
      </c>
      <c r="F2657">
        <v>12850028</v>
      </c>
      <c r="G2657" t="s">
        <v>1700</v>
      </c>
      <c r="H2657" s="21">
        <v>1360.67</v>
      </c>
    </row>
    <row r="2658" spans="1:8" customFormat="1" x14ac:dyDescent="0.25">
      <c r="A2658" t="str">
        <f>"391035"</f>
        <v>391035</v>
      </c>
      <c r="B2658" t="s">
        <v>3364</v>
      </c>
      <c r="C2658" t="s">
        <v>209</v>
      </c>
      <c r="D2658" s="21" t="s">
        <v>34</v>
      </c>
      <c r="E2658" s="21" t="s">
        <v>71</v>
      </c>
      <c r="F2658">
        <v>2390007</v>
      </c>
      <c r="G2658" t="s">
        <v>3365</v>
      </c>
      <c r="H2658" s="21">
        <v>1360.67</v>
      </c>
    </row>
    <row r="2659" spans="1:8" customFormat="1" x14ac:dyDescent="0.25">
      <c r="A2659" t="str">
        <f>"757520"</f>
        <v>757520</v>
      </c>
      <c r="B2659" t="s">
        <v>2045</v>
      </c>
      <c r="C2659" t="s">
        <v>1468</v>
      </c>
      <c r="D2659" s="21" t="s">
        <v>34</v>
      </c>
      <c r="E2659" s="21" t="s">
        <v>35</v>
      </c>
      <c r="F2659">
        <v>12440012</v>
      </c>
      <c r="G2659" t="s">
        <v>807</v>
      </c>
      <c r="H2659" s="21">
        <v>1360.67</v>
      </c>
    </row>
    <row r="2660" spans="1:8" customFormat="1" x14ac:dyDescent="0.25">
      <c r="A2660" t="str">
        <f>"796309"</f>
        <v>796309</v>
      </c>
      <c r="B2660" t="s">
        <v>2792</v>
      </c>
      <c r="C2660" t="s">
        <v>60</v>
      </c>
      <c r="D2660" s="21" t="s">
        <v>34</v>
      </c>
      <c r="E2660" s="21" t="s">
        <v>35</v>
      </c>
      <c r="F2660">
        <v>12490107</v>
      </c>
      <c r="G2660" t="s">
        <v>715</v>
      </c>
      <c r="H2660" s="21">
        <v>1360.67</v>
      </c>
    </row>
    <row r="2661" spans="1:8" customFormat="1" x14ac:dyDescent="0.25">
      <c r="A2661" t="str">
        <f>"843363"</f>
        <v>843363</v>
      </c>
      <c r="B2661" t="s">
        <v>1713</v>
      </c>
      <c r="C2661" t="s">
        <v>55</v>
      </c>
      <c r="D2661" s="21" t="s">
        <v>34</v>
      </c>
      <c r="E2661" s="21" t="s">
        <v>35</v>
      </c>
      <c r="F2661">
        <v>13840001</v>
      </c>
      <c r="G2661" t="s">
        <v>972</v>
      </c>
      <c r="H2661" s="21">
        <v>1360.56</v>
      </c>
    </row>
    <row r="2662" spans="1:8" customFormat="1" x14ac:dyDescent="0.25">
      <c r="A2662" t="str">
        <f>"3113526"</f>
        <v>3113526</v>
      </c>
      <c r="B2662" t="s">
        <v>3849</v>
      </c>
      <c r="C2662" t="s">
        <v>2984</v>
      </c>
      <c r="D2662" s="21" t="s">
        <v>34</v>
      </c>
      <c r="E2662" s="21" t="s">
        <v>35</v>
      </c>
      <c r="F2662">
        <v>11310075</v>
      </c>
      <c r="G2662" t="s">
        <v>2531</v>
      </c>
      <c r="H2662" s="21">
        <v>1360.18</v>
      </c>
    </row>
    <row r="2663" spans="1:8" customFormat="1" x14ac:dyDescent="0.25">
      <c r="A2663" t="str">
        <f>"9419843"</f>
        <v>9419843</v>
      </c>
      <c r="B2663" t="s">
        <v>3537</v>
      </c>
      <c r="C2663" t="s">
        <v>3538</v>
      </c>
      <c r="D2663" s="21" t="s">
        <v>34</v>
      </c>
      <c r="E2663" s="21" t="s">
        <v>35</v>
      </c>
      <c r="F2663">
        <v>8940549</v>
      </c>
      <c r="G2663" t="s">
        <v>454</v>
      </c>
      <c r="H2663" s="21">
        <v>1360.05</v>
      </c>
    </row>
    <row r="2664" spans="1:8" customFormat="1" x14ac:dyDescent="0.25">
      <c r="A2664" t="str">
        <f>"1313582"</f>
        <v>1313582</v>
      </c>
      <c r="B2664" t="s">
        <v>3541</v>
      </c>
      <c r="C2664" t="s">
        <v>547</v>
      </c>
      <c r="D2664" s="21" t="s">
        <v>34</v>
      </c>
      <c r="E2664" s="21" t="s">
        <v>71</v>
      </c>
      <c r="F2664">
        <v>13840005</v>
      </c>
      <c r="G2664" t="s">
        <v>2145</v>
      </c>
      <c r="H2664" s="21">
        <v>1359.8</v>
      </c>
    </row>
    <row r="2665" spans="1:8" customFormat="1" x14ac:dyDescent="0.25">
      <c r="A2665" t="str">
        <f>"5950655"</f>
        <v>5950655</v>
      </c>
      <c r="B2665" t="s">
        <v>3641</v>
      </c>
      <c r="C2665" t="s">
        <v>204</v>
      </c>
      <c r="D2665" s="21" t="s">
        <v>34</v>
      </c>
      <c r="E2665" s="21" t="s">
        <v>35</v>
      </c>
      <c r="F2665">
        <v>7590345</v>
      </c>
      <c r="G2665" t="s">
        <v>3297</v>
      </c>
      <c r="H2665" s="21">
        <v>1359.68</v>
      </c>
    </row>
    <row r="2666" spans="1:8" customFormat="1" x14ac:dyDescent="0.25">
      <c r="A2666" t="str">
        <f>"9420156"</f>
        <v>9420156</v>
      </c>
      <c r="B2666" t="s">
        <v>67</v>
      </c>
      <c r="C2666" t="s">
        <v>249</v>
      </c>
      <c r="D2666" s="21" t="s">
        <v>34</v>
      </c>
      <c r="E2666" s="21" t="s">
        <v>71</v>
      </c>
      <c r="F2666">
        <v>8940894</v>
      </c>
      <c r="G2666" t="s">
        <v>481</v>
      </c>
      <c r="H2666" s="21">
        <v>1359.67</v>
      </c>
    </row>
    <row r="2667" spans="1:8" customFormat="1" x14ac:dyDescent="0.25">
      <c r="A2667" t="str">
        <f>"723516"</f>
        <v>723516</v>
      </c>
      <c r="B2667" t="s">
        <v>3466</v>
      </c>
      <c r="C2667" t="s">
        <v>139</v>
      </c>
      <c r="D2667" s="21" t="s">
        <v>34</v>
      </c>
      <c r="E2667" s="21" t="s">
        <v>35</v>
      </c>
      <c r="F2667">
        <v>12720110</v>
      </c>
      <c r="G2667" t="s">
        <v>3464</v>
      </c>
      <c r="H2667" s="21">
        <v>1359.42</v>
      </c>
    </row>
    <row r="2668" spans="1:8" customFormat="1" x14ac:dyDescent="0.25">
      <c r="A2668" t="str">
        <f>"2921332"</f>
        <v>2921332</v>
      </c>
      <c r="B2668" t="s">
        <v>3817</v>
      </c>
      <c r="C2668" t="s">
        <v>62</v>
      </c>
      <c r="D2668" s="21" t="s">
        <v>34</v>
      </c>
      <c r="E2668" s="21" t="s">
        <v>35</v>
      </c>
      <c r="F2668">
        <v>3290200</v>
      </c>
      <c r="G2668" t="s">
        <v>3488</v>
      </c>
      <c r="H2668" s="21">
        <v>1359.29</v>
      </c>
    </row>
    <row r="2669" spans="1:8" customFormat="1" x14ac:dyDescent="0.25">
      <c r="A2669" t="str">
        <f>"316680"</f>
        <v>316680</v>
      </c>
      <c r="B2669" t="s">
        <v>3097</v>
      </c>
      <c r="C2669" t="s">
        <v>3098</v>
      </c>
      <c r="D2669" s="21" t="s">
        <v>34</v>
      </c>
      <c r="E2669" s="21" t="s">
        <v>71</v>
      </c>
      <c r="F2669">
        <v>11310029</v>
      </c>
      <c r="G2669" t="s">
        <v>3717</v>
      </c>
      <c r="H2669" s="21">
        <v>1359.17</v>
      </c>
    </row>
    <row r="2670" spans="1:8" customFormat="1" x14ac:dyDescent="0.25">
      <c r="A2670" t="str">
        <f>"9227653"</f>
        <v>9227653</v>
      </c>
      <c r="B2670" t="s">
        <v>2313</v>
      </c>
      <c r="C2670" t="s">
        <v>3120</v>
      </c>
      <c r="D2670" s="21" t="s">
        <v>34</v>
      </c>
      <c r="E2670" s="21" t="s">
        <v>35</v>
      </c>
      <c r="F2670">
        <v>12850023</v>
      </c>
      <c r="G2670" t="s">
        <v>3121</v>
      </c>
      <c r="H2670" s="21">
        <v>1358.8</v>
      </c>
    </row>
    <row r="2671" spans="1:8" customFormat="1" x14ac:dyDescent="0.25">
      <c r="A2671" t="str">
        <f>"662710"</f>
        <v>662710</v>
      </c>
      <c r="B2671" t="s">
        <v>5334</v>
      </c>
      <c r="C2671" t="s">
        <v>169</v>
      </c>
      <c r="D2671" s="21" t="s">
        <v>34</v>
      </c>
      <c r="E2671" s="21" t="s">
        <v>35</v>
      </c>
      <c r="F2671">
        <v>8940459</v>
      </c>
      <c r="G2671" t="s">
        <v>743</v>
      </c>
      <c r="H2671" s="21">
        <v>1358.67</v>
      </c>
    </row>
    <row r="2672" spans="1:8" customFormat="1" x14ac:dyDescent="0.25">
      <c r="A2672" t="str">
        <f>"7525088"</f>
        <v>7525088</v>
      </c>
      <c r="B2672" t="s">
        <v>12688</v>
      </c>
      <c r="C2672" t="s">
        <v>343</v>
      </c>
      <c r="D2672" s="21" t="s">
        <v>34</v>
      </c>
      <c r="E2672" s="21" t="s">
        <v>35</v>
      </c>
      <c r="F2672">
        <v>8750074</v>
      </c>
      <c r="G2672" t="s">
        <v>698</v>
      </c>
      <c r="H2672" s="21">
        <v>1358.67</v>
      </c>
    </row>
    <row r="2673" spans="1:8" customFormat="1" x14ac:dyDescent="0.25">
      <c r="A2673" t="str">
        <f>"29591"</f>
        <v>29591</v>
      </c>
      <c r="B2673" t="s">
        <v>3170</v>
      </c>
      <c r="C2673" t="s">
        <v>239</v>
      </c>
      <c r="D2673" s="21" t="s">
        <v>34</v>
      </c>
      <c r="E2673" s="21" t="s">
        <v>71</v>
      </c>
      <c r="F2673">
        <v>3290222</v>
      </c>
      <c r="G2673" t="s">
        <v>2259</v>
      </c>
      <c r="H2673" s="21">
        <v>1358.67</v>
      </c>
    </row>
    <row r="2674" spans="1:8" customFormat="1" x14ac:dyDescent="0.25">
      <c r="A2674" t="str">
        <f>"71187"</f>
        <v>71187</v>
      </c>
      <c r="B2674" t="s">
        <v>4105</v>
      </c>
      <c r="C2674" t="s">
        <v>3648</v>
      </c>
      <c r="D2674" s="21" t="s">
        <v>34</v>
      </c>
      <c r="E2674" s="21" t="s">
        <v>254</v>
      </c>
      <c r="F2674">
        <v>1260054</v>
      </c>
      <c r="G2674" t="s">
        <v>358</v>
      </c>
      <c r="H2674" s="21">
        <v>1358.67</v>
      </c>
    </row>
    <row r="2675" spans="1:8" customFormat="1" x14ac:dyDescent="0.25">
      <c r="A2675" t="str">
        <f>"24820"</f>
        <v>24820</v>
      </c>
      <c r="B2675" t="s">
        <v>3336</v>
      </c>
      <c r="C2675" t="s">
        <v>55</v>
      </c>
      <c r="D2675" s="21" t="s">
        <v>34</v>
      </c>
      <c r="E2675" s="21" t="s">
        <v>35</v>
      </c>
      <c r="F2675">
        <v>10240018</v>
      </c>
      <c r="G2675" t="s">
        <v>3007</v>
      </c>
      <c r="H2675" s="21">
        <v>1358.67</v>
      </c>
    </row>
    <row r="2676" spans="1:8" customFormat="1" x14ac:dyDescent="0.25">
      <c r="A2676" t="str">
        <f>"424064"</f>
        <v>424064</v>
      </c>
      <c r="B2676" t="s">
        <v>11527</v>
      </c>
      <c r="C2676" t="s">
        <v>5142</v>
      </c>
      <c r="D2676" s="21" t="s">
        <v>34</v>
      </c>
      <c r="E2676" s="21" t="s">
        <v>35</v>
      </c>
      <c r="F2676">
        <v>2580035</v>
      </c>
      <c r="G2676" t="s">
        <v>5991</v>
      </c>
      <c r="H2676" s="21">
        <v>1358.67</v>
      </c>
    </row>
    <row r="2677" spans="1:8" customFormat="1" x14ac:dyDescent="0.25">
      <c r="A2677" t="str">
        <f>"459319"</f>
        <v>459319</v>
      </c>
      <c r="B2677" t="s">
        <v>3779</v>
      </c>
      <c r="C2677" t="s">
        <v>3780</v>
      </c>
      <c r="D2677" s="21" t="s">
        <v>34</v>
      </c>
      <c r="E2677" s="21" t="s">
        <v>35</v>
      </c>
      <c r="F2677">
        <v>4280529</v>
      </c>
      <c r="G2677" t="s">
        <v>2970</v>
      </c>
      <c r="H2677" s="21">
        <v>1358.55</v>
      </c>
    </row>
    <row r="2678" spans="1:8" customFormat="1" x14ac:dyDescent="0.25">
      <c r="A2678" t="str">
        <f>"953994"</f>
        <v>953994</v>
      </c>
      <c r="B2678" t="s">
        <v>392</v>
      </c>
      <c r="C2678" t="s">
        <v>33</v>
      </c>
      <c r="D2678" s="21" t="s">
        <v>34</v>
      </c>
      <c r="E2678" s="21" t="s">
        <v>35</v>
      </c>
      <c r="F2678">
        <v>8951222</v>
      </c>
      <c r="G2678" t="s">
        <v>3746</v>
      </c>
      <c r="H2678" s="21">
        <v>1358.18</v>
      </c>
    </row>
    <row r="2679" spans="1:8" customFormat="1" x14ac:dyDescent="0.25">
      <c r="A2679" t="str">
        <f>"8611130"</f>
        <v>8611130</v>
      </c>
      <c r="B2679" t="s">
        <v>3679</v>
      </c>
      <c r="C2679" t="s">
        <v>288</v>
      </c>
      <c r="D2679" s="21" t="s">
        <v>34</v>
      </c>
      <c r="E2679" s="21" t="s">
        <v>35</v>
      </c>
      <c r="F2679">
        <v>10860015</v>
      </c>
      <c r="G2679" t="s">
        <v>3680</v>
      </c>
      <c r="H2679" s="21">
        <v>1358.17</v>
      </c>
    </row>
    <row r="2680" spans="1:8" customFormat="1" x14ac:dyDescent="0.25">
      <c r="A2680" t="str">
        <f>"59243"</f>
        <v>59243</v>
      </c>
      <c r="B2680" t="s">
        <v>3394</v>
      </c>
      <c r="C2680" t="s">
        <v>3395</v>
      </c>
      <c r="D2680" s="21" t="s">
        <v>34</v>
      </c>
      <c r="E2680" s="21" t="s">
        <v>71</v>
      </c>
      <c r="F2680">
        <v>7590009</v>
      </c>
      <c r="G2680" t="s">
        <v>535</v>
      </c>
      <c r="H2680" s="21">
        <v>1358.17</v>
      </c>
    </row>
    <row r="2681" spans="1:8" customFormat="1" x14ac:dyDescent="0.25">
      <c r="A2681" t="str">
        <f>"068845"</f>
        <v>068845</v>
      </c>
      <c r="B2681" t="s">
        <v>3720</v>
      </c>
      <c r="C2681" t="s">
        <v>209</v>
      </c>
      <c r="D2681" s="21" t="s">
        <v>34</v>
      </c>
      <c r="E2681" s="21" t="s">
        <v>71</v>
      </c>
      <c r="F2681">
        <v>12850026</v>
      </c>
      <c r="G2681" t="s">
        <v>1400</v>
      </c>
      <c r="H2681" s="21">
        <v>1358.05</v>
      </c>
    </row>
    <row r="2682" spans="1:8" customFormat="1" x14ac:dyDescent="0.25">
      <c r="A2682" t="str">
        <f>"336846"</f>
        <v>336846</v>
      </c>
      <c r="B2682" t="s">
        <v>2413</v>
      </c>
      <c r="C2682" t="s">
        <v>233</v>
      </c>
      <c r="D2682" s="21" t="s">
        <v>34</v>
      </c>
      <c r="E2682" s="21" t="s">
        <v>35</v>
      </c>
      <c r="F2682">
        <v>10330025</v>
      </c>
      <c r="G2682" t="s">
        <v>4450</v>
      </c>
      <c r="H2682" s="21">
        <v>1357.93</v>
      </c>
    </row>
    <row r="2683" spans="1:8" customFormat="1" x14ac:dyDescent="0.25">
      <c r="A2683" t="str">
        <f>"3321805"</f>
        <v>3321805</v>
      </c>
      <c r="B2683" t="s">
        <v>2981</v>
      </c>
      <c r="C2683" t="s">
        <v>98</v>
      </c>
      <c r="D2683" s="21" t="s">
        <v>34</v>
      </c>
      <c r="E2683" s="21" t="s">
        <v>35</v>
      </c>
      <c r="F2683">
        <v>10330076</v>
      </c>
      <c r="G2683" t="s">
        <v>3769</v>
      </c>
      <c r="H2683" s="21">
        <v>1357.67</v>
      </c>
    </row>
    <row r="2684" spans="1:8" customFormat="1" x14ac:dyDescent="0.25">
      <c r="A2684" t="str">
        <f>"8012221"</f>
        <v>8012221</v>
      </c>
      <c r="B2684" t="s">
        <v>3465</v>
      </c>
      <c r="C2684" t="s">
        <v>879</v>
      </c>
      <c r="D2684" s="21" t="s">
        <v>34</v>
      </c>
      <c r="E2684" s="21" t="s">
        <v>71</v>
      </c>
      <c r="F2684">
        <v>7800011</v>
      </c>
      <c r="G2684" t="s">
        <v>2253</v>
      </c>
      <c r="H2684" s="21">
        <v>1357.67</v>
      </c>
    </row>
    <row r="2685" spans="1:8" customFormat="1" x14ac:dyDescent="0.25">
      <c r="A2685" t="str">
        <f>"792017"</f>
        <v>792017</v>
      </c>
      <c r="B2685" t="s">
        <v>3510</v>
      </c>
      <c r="C2685" t="s">
        <v>269</v>
      </c>
      <c r="D2685" s="21" t="s">
        <v>34</v>
      </c>
      <c r="E2685" s="21" t="s">
        <v>71</v>
      </c>
      <c r="F2685">
        <v>10790185</v>
      </c>
      <c r="G2685" t="s">
        <v>3511</v>
      </c>
      <c r="H2685" s="21">
        <v>1357.67</v>
      </c>
    </row>
    <row r="2686" spans="1:8" customFormat="1" x14ac:dyDescent="0.25">
      <c r="A2686" t="str">
        <f>"5312264"</f>
        <v>5312264</v>
      </c>
      <c r="B2686" t="s">
        <v>3888</v>
      </c>
      <c r="C2686" t="s">
        <v>302</v>
      </c>
      <c r="D2686" s="21" t="s">
        <v>34</v>
      </c>
      <c r="E2686" s="21" t="s">
        <v>71</v>
      </c>
      <c r="F2686">
        <v>12530036</v>
      </c>
      <c r="G2686" t="s">
        <v>2200</v>
      </c>
      <c r="H2686" s="21">
        <v>1357.67</v>
      </c>
    </row>
    <row r="2687" spans="1:8" customFormat="1" x14ac:dyDescent="0.25">
      <c r="A2687" t="str">
        <f>"3510121"</f>
        <v>3510121</v>
      </c>
      <c r="B2687" t="s">
        <v>2711</v>
      </c>
      <c r="C2687" t="s">
        <v>3355</v>
      </c>
      <c r="D2687" s="21" t="s">
        <v>34</v>
      </c>
      <c r="E2687" s="21" t="s">
        <v>35</v>
      </c>
      <c r="F2687">
        <v>4370566</v>
      </c>
      <c r="G2687" t="s">
        <v>4710</v>
      </c>
      <c r="H2687" s="21">
        <v>1357.67</v>
      </c>
    </row>
    <row r="2688" spans="1:8" customFormat="1" x14ac:dyDescent="0.25">
      <c r="A2688" t="str">
        <f>"759177"</f>
        <v>759177</v>
      </c>
      <c r="B2688" t="s">
        <v>1840</v>
      </c>
      <c r="C2688" t="s">
        <v>269</v>
      </c>
      <c r="D2688" s="21" t="s">
        <v>34</v>
      </c>
      <c r="E2688" s="21" t="s">
        <v>35</v>
      </c>
      <c r="F2688">
        <v>8750120</v>
      </c>
      <c r="G2688" t="s">
        <v>838</v>
      </c>
      <c r="H2688" s="21">
        <v>1357.42</v>
      </c>
    </row>
    <row r="2689" spans="1:8" customFormat="1" x14ac:dyDescent="0.25">
      <c r="A2689" t="str">
        <f>"6212059"</f>
        <v>6212059</v>
      </c>
      <c r="B2689" t="s">
        <v>4539</v>
      </c>
      <c r="C2689" t="s">
        <v>528</v>
      </c>
      <c r="D2689" s="21" t="s">
        <v>34</v>
      </c>
      <c r="E2689" s="21" t="s">
        <v>71</v>
      </c>
      <c r="F2689">
        <v>7590061</v>
      </c>
      <c r="G2689" t="s">
        <v>1207</v>
      </c>
      <c r="H2689" s="21">
        <v>1357.17</v>
      </c>
    </row>
    <row r="2690" spans="1:8" customFormat="1" x14ac:dyDescent="0.25">
      <c r="A2690" t="str">
        <f>"9522003"</f>
        <v>9522003</v>
      </c>
      <c r="B2690" t="s">
        <v>1737</v>
      </c>
      <c r="C2690" t="s">
        <v>209</v>
      </c>
      <c r="D2690" s="21" t="s">
        <v>34</v>
      </c>
      <c r="E2690" s="21" t="s">
        <v>71</v>
      </c>
      <c r="F2690">
        <v>8950978</v>
      </c>
      <c r="G2690" t="s">
        <v>1164</v>
      </c>
      <c r="H2690" s="21">
        <v>1357.17</v>
      </c>
    </row>
    <row r="2691" spans="1:8" customFormat="1" x14ac:dyDescent="0.25">
      <c r="A2691" t="str">
        <f>"4428122"</f>
        <v>4428122</v>
      </c>
      <c r="B2691" t="s">
        <v>3506</v>
      </c>
      <c r="C2691" t="s">
        <v>812</v>
      </c>
      <c r="D2691" s="21" t="s">
        <v>34</v>
      </c>
      <c r="E2691" s="21" t="s">
        <v>35</v>
      </c>
      <c r="F2691">
        <v>12440023</v>
      </c>
      <c r="G2691" t="s">
        <v>3507</v>
      </c>
      <c r="H2691" s="21">
        <v>1357.17</v>
      </c>
    </row>
    <row r="2692" spans="1:8" customFormat="1" x14ac:dyDescent="0.25">
      <c r="A2692" t="str">
        <f>"5944989"</f>
        <v>5944989</v>
      </c>
      <c r="B2692" t="s">
        <v>4058</v>
      </c>
      <c r="C2692" t="s">
        <v>598</v>
      </c>
      <c r="D2692" s="21" t="s">
        <v>34</v>
      </c>
      <c r="E2692" s="21" t="s">
        <v>71</v>
      </c>
      <c r="F2692">
        <v>7590072</v>
      </c>
      <c r="G2692" t="s">
        <v>4059</v>
      </c>
      <c r="H2692" s="21">
        <v>1357.17</v>
      </c>
    </row>
    <row r="2693" spans="1:8" customFormat="1" x14ac:dyDescent="0.25">
      <c r="A2693" t="str">
        <f>"141"</f>
        <v>141</v>
      </c>
      <c r="B2693" t="s">
        <v>3072</v>
      </c>
      <c r="C2693" t="s">
        <v>3073</v>
      </c>
      <c r="D2693" s="21" t="s">
        <v>34</v>
      </c>
      <c r="E2693" s="21" t="s">
        <v>71</v>
      </c>
      <c r="F2693">
        <v>9140052</v>
      </c>
      <c r="G2693" t="s">
        <v>26563</v>
      </c>
      <c r="H2693" s="21">
        <v>1357.17</v>
      </c>
    </row>
    <row r="2694" spans="1:8" customFormat="1" x14ac:dyDescent="0.25">
      <c r="A2694" t="str">
        <f>"7610523"</f>
        <v>7610523</v>
      </c>
      <c r="B2694" t="s">
        <v>3728</v>
      </c>
      <c r="C2694" t="s">
        <v>2475</v>
      </c>
      <c r="D2694" s="21" t="s">
        <v>34</v>
      </c>
      <c r="E2694" s="21" t="s">
        <v>35</v>
      </c>
      <c r="F2694">
        <v>9760157</v>
      </c>
      <c r="G2694" t="s">
        <v>3412</v>
      </c>
      <c r="H2694" s="21">
        <v>1357.17</v>
      </c>
    </row>
    <row r="2695" spans="1:8" customFormat="1" x14ac:dyDescent="0.25">
      <c r="A2695" t="str">
        <f>"5111099"</f>
        <v>5111099</v>
      </c>
      <c r="B2695" t="s">
        <v>3496</v>
      </c>
      <c r="C2695" t="s">
        <v>3497</v>
      </c>
      <c r="D2695" s="21" t="s">
        <v>34</v>
      </c>
      <c r="E2695" s="21" t="s">
        <v>35</v>
      </c>
      <c r="F2695">
        <v>7590338</v>
      </c>
      <c r="G2695" t="s">
        <v>682</v>
      </c>
      <c r="H2695" s="21">
        <v>1357.17</v>
      </c>
    </row>
    <row r="2696" spans="1:8" customFormat="1" x14ac:dyDescent="0.25">
      <c r="A2696" t="str">
        <f>"7728699"</f>
        <v>7728699</v>
      </c>
      <c r="B2696" t="s">
        <v>2023</v>
      </c>
      <c r="C2696" t="s">
        <v>119</v>
      </c>
      <c r="D2696" s="21" t="s">
        <v>34</v>
      </c>
      <c r="E2696" s="21" t="s">
        <v>35</v>
      </c>
      <c r="F2696">
        <v>8771446</v>
      </c>
      <c r="G2696" t="s">
        <v>830</v>
      </c>
      <c r="H2696" s="21">
        <v>1356.92</v>
      </c>
    </row>
    <row r="2697" spans="1:8" customFormat="1" x14ac:dyDescent="0.25">
      <c r="A2697" t="str">
        <f>"459603"</f>
        <v>459603</v>
      </c>
      <c r="B2697" t="s">
        <v>3955</v>
      </c>
      <c r="C2697" t="s">
        <v>1025</v>
      </c>
      <c r="D2697" s="21" t="s">
        <v>34</v>
      </c>
      <c r="E2697" s="21" t="s">
        <v>35</v>
      </c>
      <c r="F2697">
        <v>4450184</v>
      </c>
      <c r="G2697" t="s">
        <v>3956</v>
      </c>
      <c r="H2697" s="21">
        <v>1356.92</v>
      </c>
    </row>
    <row r="2698" spans="1:8" customFormat="1" x14ac:dyDescent="0.25">
      <c r="A2698" t="str">
        <f>"6917989"</f>
        <v>6917989</v>
      </c>
      <c r="B2698" t="s">
        <v>4572</v>
      </c>
      <c r="C2698" t="s">
        <v>169</v>
      </c>
      <c r="D2698" s="21" t="s">
        <v>34</v>
      </c>
      <c r="E2698" s="21" t="s">
        <v>35</v>
      </c>
      <c r="F2698">
        <v>1690154</v>
      </c>
      <c r="G2698" t="s">
        <v>4573</v>
      </c>
      <c r="H2698" s="21">
        <v>1356.67</v>
      </c>
    </row>
    <row r="2699" spans="1:8" customFormat="1" x14ac:dyDescent="0.25">
      <c r="A2699" t="str">
        <f>"1711584"</f>
        <v>1711584</v>
      </c>
      <c r="B2699" t="s">
        <v>11601</v>
      </c>
      <c r="C2699" t="s">
        <v>462</v>
      </c>
      <c r="D2699" s="21" t="s">
        <v>34</v>
      </c>
      <c r="E2699" s="21" t="s">
        <v>71</v>
      </c>
      <c r="F2699">
        <v>10170031</v>
      </c>
      <c r="G2699" t="s">
        <v>2921</v>
      </c>
      <c r="H2699" s="21">
        <v>1356.67</v>
      </c>
    </row>
    <row r="2700" spans="1:8" customFormat="1" x14ac:dyDescent="0.25">
      <c r="A2700" t="str">
        <f>"62731"</f>
        <v>62731</v>
      </c>
      <c r="B2700" t="s">
        <v>3292</v>
      </c>
      <c r="C2700" t="s">
        <v>171</v>
      </c>
      <c r="D2700" s="21" t="s">
        <v>34</v>
      </c>
      <c r="E2700" s="21" t="s">
        <v>71</v>
      </c>
      <c r="F2700">
        <v>7620100</v>
      </c>
      <c r="G2700" t="s">
        <v>145</v>
      </c>
      <c r="H2700" s="21">
        <v>1356.67</v>
      </c>
    </row>
    <row r="2701" spans="1:8" customFormat="1" x14ac:dyDescent="0.25">
      <c r="A2701" t="str">
        <f>"366845"</f>
        <v>366845</v>
      </c>
      <c r="B2701" t="s">
        <v>4120</v>
      </c>
      <c r="C2701" t="s">
        <v>119</v>
      </c>
      <c r="D2701" s="21" t="s">
        <v>34</v>
      </c>
      <c r="E2701" s="21" t="s">
        <v>71</v>
      </c>
      <c r="F2701">
        <v>4360123</v>
      </c>
      <c r="G2701" t="s">
        <v>4121</v>
      </c>
      <c r="H2701" s="21">
        <v>1356.42</v>
      </c>
    </row>
    <row r="2702" spans="1:8" customFormat="1" x14ac:dyDescent="0.25">
      <c r="A2702" t="str">
        <f>"036665"</f>
        <v>036665</v>
      </c>
      <c r="B2702" t="s">
        <v>2903</v>
      </c>
      <c r="C2702" t="s">
        <v>2752</v>
      </c>
      <c r="D2702" s="21" t="s">
        <v>34</v>
      </c>
      <c r="E2702" s="21" t="s">
        <v>71</v>
      </c>
      <c r="F2702">
        <v>1030035</v>
      </c>
      <c r="G2702" t="s">
        <v>2343</v>
      </c>
      <c r="H2702" s="21">
        <v>1356.17</v>
      </c>
    </row>
    <row r="2703" spans="1:8" customFormat="1" x14ac:dyDescent="0.25">
      <c r="A2703" t="str">
        <f>"9225124"</f>
        <v>9225124</v>
      </c>
      <c r="B2703" t="s">
        <v>3274</v>
      </c>
      <c r="C2703" t="s">
        <v>206</v>
      </c>
      <c r="D2703" s="21" t="s">
        <v>34</v>
      </c>
      <c r="E2703" s="21" t="s">
        <v>35</v>
      </c>
      <c r="F2703">
        <v>1690001</v>
      </c>
      <c r="G2703" t="s">
        <v>3275</v>
      </c>
      <c r="H2703" s="21">
        <v>1355.92</v>
      </c>
    </row>
    <row r="2704" spans="1:8" customFormat="1" x14ac:dyDescent="0.25">
      <c r="A2704" t="str">
        <f>"165592"</f>
        <v>165592</v>
      </c>
      <c r="B2704" t="s">
        <v>3308</v>
      </c>
      <c r="C2704" t="s">
        <v>3309</v>
      </c>
      <c r="D2704" s="21" t="s">
        <v>34</v>
      </c>
      <c r="E2704" s="21" t="s">
        <v>35</v>
      </c>
      <c r="F2704">
        <v>10160023</v>
      </c>
      <c r="G2704" t="s">
        <v>2246</v>
      </c>
      <c r="H2704" s="21">
        <v>1355.67</v>
      </c>
    </row>
    <row r="2705" spans="1:8" customFormat="1" x14ac:dyDescent="0.25">
      <c r="A2705" t="str">
        <f>"7513286"</f>
        <v>7513286</v>
      </c>
      <c r="B2705" t="s">
        <v>1488</v>
      </c>
      <c r="C2705" t="s">
        <v>33</v>
      </c>
      <c r="D2705" s="21" t="s">
        <v>34</v>
      </c>
      <c r="E2705" s="21" t="s">
        <v>71</v>
      </c>
      <c r="F2705">
        <v>8771446</v>
      </c>
      <c r="G2705" t="s">
        <v>830</v>
      </c>
      <c r="H2705" s="21">
        <v>1355.3</v>
      </c>
    </row>
    <row r="2706" spans="1:8" customFormat="1" x14ac:dyDescent="0.25">
      <c r="A2706" t="str">
        <f>"623716"</f>
        <v>623716</v>
      </c>
      <c r="B2706" t="s">
        <v>2922</v>
      </c>
      <c r="C2706" t="s">
        <v>269</v>
      </c>
      <c r="D2706" s="21" t="s">
        <v>34</v>
      </c>
      <c r="E2706" s="21" t="s">
        <v>71</v>
      </c>
      <c r="F2706">
        <v>7620111</v>
      </c>
      <c r="G2706" t="s">
        <v>1372</v>
      </c>
      <c r="H2706" s="21">
        <v>1355.17</v>
      </c>
    </row>
    <row r="2707" spans="1:8" customFormat="1" x14ac:dyDescent="0.25">
      <c r="A2707" t="str">
        <f>"854679"</f>
        <v>854679</v>
      </c>
      <c r="B2707" t="s">
        <v>3135</v>
      </c>
      <c r="C2707" t="s">
        <v>206</v>
      </c>
      <c r="D2707" s="21" t="s">
        <v>34</v>
      </c>
      <c r="E2707" s="21" t="s">
        <v>35</v>
      </c>
      <c r="F2707">
        <v>12850046</v>
      </c>
      <c r="G2707" t="s">
        <v>3136</v>
      </c>
      <c r="H2707" s="21">
        <v>1355.17</v>
      </c>
    </row>
    <row r="2708" spans="1:8" customFormat="1" x14ac:dyDescent="0.25">
      <c r="A2708" t="str">
        <f>"6713588"</f>
        <v>6713588</v>
      </c>
      <c r="B2708" t="s">
        <v>3257</v>
      </c>
      <c r="C2708" t="s">
        <v>3258</v>
      </c>
      <c r="D2708" s="21" t="s">
        <v>34</v>
      </c>
      <c r="E2708" s="21" t="s">
        <v>35</v>
      </c>
      <c r="F2708">
        <v>6670045</v>
      </c>
      <c r="G2708" t="s">
        <v>707</v>
      </c>
      <c r="H2708" s="21">
        <v>1355.17</v>
      </c>
    </row>
    <row r="2709" spans="1:8" customFormat="1" x14ac:dyDescent="0.25">
      <c r="A2709" t="str">
        <f>"027530"</f>
        <v>027530</v>
      </c>
      <c r="B2709" t="s">
        <v>26740</v>
      </c>
      <c r="C2709" t="s">
        <v>7429</v>
      </c>
      <c r="D2709" s="21" t="s">
        <v>34</v>
      </c>
      <c r="E2709" s="21" t="s">
        <v>71</v>
      </c>
      <c r="F2709">
        <v>7020013</v>
      </c>
      <c r="G2709" t="s">
        <v>14136</v>
      </c>
      <c r="H2709" s="21">
        <v>1355.17</v>
      </c>
    </row>
    <row r="2710" spans="1:8" customFormat="1" x14ac:dyDescent="0.25">
      <c r="A2710" t="str">
        <f>"3719706"</f>
        <v>3719706</v>
      </c>
      <c r="B2710" t="s">
        <v>3535</v>
      </c>
      <c r="C2710" t="s">
        <v>269</v>
      </c>
      <c r="D2710" s="21" t="s">
        <v>34</v>
      </c>
      <c r="E2710" s="21" t="s">
        <v>71</v>
      </c>
      <c r="F2710">
        <v>4370002</v>
      </c>
      <c r="G2710" t="s">
        <v>112</v>
      </c>
      <c r="H2710" s="21">
        <v>1354.67</v>
      </c>
    </row>
    <row r="2711" spans="1:8" customFormat="1" x14ac:dyDescent="0.25">
      <c r="A2711" t="str">
        <f>"443360"</f>
        <v>443360</v>
      </c>
      <c r="B2711" t="s">
        <v>3249</v>
      </c>
      <c r="C2711" t="s">
        <v>209</v>
      </c>
      <c r="D2711" s="21" t="s">
        <v>34</v>
      </c>
      <c r="E2711" s="21" t="s">
        <v>71</v>
      </c>
      <c r="F2711">
        <v>12440141</v>
      </c>
      <c r="G2711" t="s">
        <v>3234</v>
      </c>
      <c r="H2711" s="21">
        <v>1354.67</v>
      </c>
    </row>
    <row r="2712" spans="1:8" customFormat="1" x14ac:dyDescent="0.25">
      <c r="A2712" t="str">
        <f>"579066"</f>
        <v>579066</v>
      </c>
      <c r="B2712" t="s">
        <v>3984</v>
      </c>
      <c r="C2712" t="s">
        <v>169</v>
      </c>
      <c r="D2712" s="21" t="s">
        <v>34</v>
      </c>
      <c r="E2712" s="21" t="s">
        <v>35</v>
      </c>
      <c r="F2712">
        <v>6570008</v>
      </c>
      <c r="G2712" t="s">
        <v>899</v>
      </c>
      <c r="H2712" s="21">
        <v>1354.67</v>
      </c>
    </row>
    <row r="2713" spans="1:8" customFormat="1" x14ac:dyDescent="0.25">
      <c r="A2713" t="str">
        <f>"592947"</f>
        <v>592947</v>
      </c>
      <c r="B2713" t="s">
        <v>3653</v>
      </c>
      <c r="C2713" t="s">
        <v>65</v>
      </c>
      <c r="D2713" s="21" t="s">
        <v>34</v>
      </c>
      <c r="E2713" s="21" t="s">
        <v>35</v>
      </c>
      <c r="F2713">
        <v>7590065</v>
      </c>
      <c r="G2713" t="s">
        <v>1598</v>
      </c>
      <c r="H2713" s="21">
        <v>1354.67</v>
      </c>
    </row>
    <row r="2714" spans="1:8" customFormat="1" x14ac:dyDescent="0.25">
      <c r="A2714" t="str">
        <f>"626863"</f>
        <v>626863</v>
      </c>
      <c r="B2714" t="s">
        <v>3832</v>
      </c>
      <c r="C2714" t="s">
        <v>209</v>
      </c>
      <c r="D2714" s="21" t="s">
        <v>34</v>
      </c>
      <c r="E2714" s="21" t="s">
        <v>71</v>
      </c>
      <c r="F2714">
        <v>7620019</v>
      </c>
      <c r="G2714" t="s">
        <v>723</v>
      </c>
      <c r="H2714" s="21">
        <v>1354.67</v>
      </c>
    </row>
    <row r="2715" spans="1:8" customFormat="1" x14ac:dyDescent="0.25">
      <c r="A2715" t="str">
        <f>"715183"</f>
        <v>715183</v>
      </c>
      <c r="B2715" t="s">
        <v>3947</v>
      </c>
      <c r="C2715" t="s">
        <v>40</v>
      </c>
      <c r="D2715" s="21" t="s">
        <v>34</v>
      </c>
      <c r="E2715" s="21" t="s">
        <v>71</v>
      </c>
      <c r="F2715">
        <v>2710041</v>
      </c>
      <c r="G2715" t="s">
        <v>389</v>
      </c>
      <c r="H2715" s="21">
        <v>1354.17</v>
      </c>
    </row>
    <row r="2716" spans="1:8" customFormat="1" x14ac:dyDescent="0.25">
      <c r="A2716" t="str">
        <f>"872360"</f>
        <v>872360</v>
      </c>
      <c r="B2716" t="s">
        <v>3138</v>
      </c>
      <c r="C2716" t="s">
        <v>169</v>
      </c>
      <c r="D2716" s="21" t="s">
        <v>34</v>
      </c>
      <c r="E2716" s="21" t="s">
        <v>35</v>
      </c>
      <c r="F2716">
        <v>10870117</v>
      </c>
      <c r="G2716" t="s">
        <v>3139</v>
      </c>
      <c r="H2716" s="21">
        <v>1354.17</v>
      </c>
    </row>
    <row r="2717" spans="1:8" customFormat="1" x14ac:dyDescent="0.25">
      <c r="A2717" t="str">
        <f>"9439729"</f>
        <v>9439729</v>
      </c>
      <c r="B2717" t="s">
        <v>26741</v>
      </c>
      <c r="C2717" t="s">
        <v>204</v>
      </c>
      <c r="D2717" s="21" t="s">
        <v>34</v>
      </c>
      <c r="E2717" s="21" t="s">
        <v>35</v>
      </c>
      <c r="F2717">
        <v>8941180</v>
      </c>
      <c r="G2717" t="s">
        <v>5544</v>
      </c>
      <c r="H2717" s="21">
        <v>1354.17</v>
      </c>
    </row>
    <row r="2718" spans="1:8" customFormat="1" x14ac:dyDescent="0.25">
      <c r="A2718" t="str">
        <f>"441796"</f>
        <v>441796</v>
      </c>
      <c r="B2718" t="s">
        <v>431</v>
      </c>
      <c r="C2718" t="s">
        <v>171</v>
      </c>
      <c r="D2718" s="21" t="s">
        <v>34</v>
      </c>
      <c r="E2718" s="21" t="s">
        <v>71</v>
      </c>
      <c r="F2718">
        <v>12440056</v>
      </c>
      <c r="G2718" t="s">
        <v>2037</v>
      </c>
      <c r="H2718" s="21">
        <v>1354.17</v>
      </c>
    </row>
    <row r="2719" spans="1:8" customFormat="1" x14ac:dyDescent="0.25">
      <c r="A2719" t="str">
        <f>"745755"</f>
        <v>745755</v>
      </c>
      <c r="B2719" t="s">
        <v>5528</v>
      </c>
      <c r="C2719" t="s">
        <v>124</v>
      </c>
      <c r="D2719" s="21" t="s">
        <v>34</v>
      </c>
      <c r="E2719" s="21" t="s">
        <v>35</v>
      </c>
      <c r="F2719">
        <v>1740090</v>
      </c>
      <c r="G2719" t="s">
        <v>1369</v>
      </c>
      <c r="H2719" s="21">
        <v>1353.68</v>
      </c>
    </row>
    <row r="2720" spans="1:8" customFormat="1" x14ac:dyDescent="0.25">
      <c r="A2720" t="str">
        <f>"692744"</f>
        <v>692744</v>
      </c>
      <c r="B2720" t="s">
        <v>3500</v>
      </c>
      <c r="C2720" t="s">
        <v>1119</v>
      </c>
      <c r="D2720" s="21" t="s">
        <v>34</v>
      </c>
      <c r="E2720" s="21" t="s">
        <v>35</v>
      </c>
      <c r="F2720">
        <v>1690104</v>
      </c>
      <c r="G2720" t="s">
        <v>3501</v>
      </c>
      <c r="H2720" s="21">
        <v>1353.67</v>
      </c>
    </row>
    <row r="2721" spans="1:8" customFormat="1" x14ac:dyDescent="0.25">
      <c r="A2721" t="str">
        <f>"3321808"</f>
        <v>3321808</v>
      </c>
      <c r="B2721" t="s">
        <v>3755</v>
      </c>
      <c r="C2721" t="s">
        <v>817</v>
      </c>
      <c r="D2721" s="21" t="s">
        <v>34</v>
      </c>
      <c r="E2721" s="21" t="s">
        <v>254</v>
      </c>
      <c r="F2721">
        <v>10170033</v>
      </c>
      <c r="G2721" t="s">
        <v>3756</v>
      </c>
      <c r="H2721" s="21">
        <v>1353.67</v>
      </c>
    </row>
    <row r="2722" spans="1:8" customFormat="1" x14ac:dyDescent="0.25">
      <c r="A2722" t="str">
        <f>"677263"</f>
        <v>677263</v>
      </c>
      <c r="B2722" t="s">
        <v>3125</v>
      </c>
      <c r="C2722" t="s">
        <v>169</v>
      </c>
      <c r="D2722" s="21" t="s">
        <v>34</v>
      </c>
      <c r="E2722" s="21" t="s">
        <v>35</v>
      </c>
      <c r="F2722">
        <v>6670122</v>
      </c>
      <c r="G2722" t="s">
        <v>3126</v>
      </c>
      <c r="H2722" s="21">
        <v>1353.67</v>
      </c>
    </row>
    <row r="2723" spans="1:8" customFormat="1" x14ac:dyDescent="0.25">
      <c r="A2723" t="str">
        <f>"62377"</f>
        <v>62377</v>
      </c>
      <c r="B2723" t="s">
        <v>1158</v>
      </c>
      <c r="C2723" t="s">
        <v>263</v>
      </c>
      <c r="D2723" s="21" t="s">
        <v>34</v>
      </c>
      <c r="E2723" s="21" t="s">
        <v>71</v>
      </c>
      <c r="F2723">
        <v>7620007</v>
      </c>
      <c r="G2723" t="s">
        <v>2133</v>
      </c>
      <c r="H2723" s="21">
        <v>1353.67</v>
      </c>
    </row>
    <row r="2724" spans="1:8" customFormat="1" x14ac:dyDescent="0.25">
      <c r="A2724" t="str">
        <f>"607579"</f>
        <v>607579</v>
      </c>
      <c r="B2724" t="s">
        <v>650</v>
      </c>
      <c r="C2724" t="s">
        <v>2250</v>
      </c>
      <c r="D2724" s="21" t="s">
        <v>34</v>
      </c>
      <c r="E2724" s="21" t="s">
        <v>35</v>
      </c>
      <c r="F2724">
        <v>7600046</v>
      </c>
      <c r="G2724" t="s">
        <v>2604</v>
      </c>
      <c r="H2724" s="21">
        <v>1353.67</v>
      </c>
    </row>
    <row r="2725" spans="1:8" customFormat="1" x14ac:dyDescent="0.25">
      <c r="A2725" t="str">
        <f>"9110985"</f>
        <v>9110985</v>
      </c>
      <c r="B2725" t="s">
        <v>3416</v>
      </c>
      <c r="C2725" t="s">
        <v>40</v>
      </c>
      <c r="D2725" s="21" t="s">
        <v>34</v>
      </c>
      <c r="E2725" s="21" t="s">
        <v>71</v>
      </c>
      <c r="F2725">
        <v>8911280</v>
      </c>
      <c r="G2725" t="s">
        <v>3417</v>
      </c>
      <c r="H2725" s="21">
        <v>1353.67</v>
      </c>
    </row>
    <row r="2726" spans="1:8" customFormat="1" x14ac:dyDescent="0.25">
      <c r="A2726" t="str">
        <f>"5716038"</f>
        <v>5716038</v>
      </c>
      <c r="B2726" t="s">
        <v>3489</v>
      </c>
      <c r="C2726" t="s">
        <v>239</v>
      </c>
      <c r="D2726" s="21" t="s">
        <v>34</v>
      </c>
      <c r="E2726" s="21" t="s">
        <v>35</v>
      </c>
      <c r="F2726">
        <v>6570030</v>
      </c>
      <c r="G2726" t="s">
        <v>851</v>
      </c>
      <c r="H2726" s="21">
        <v>1353.67</v>
      </c>
    </row>
    <row r="2727" spans="1:8" customFormat="1" x14ac:dyDescent="0.25">
      <c r="A2727" t="str">
        <f>"91555"</f>
        <v>91555</v>
      </c>
      <c r="B2727" t="s">
        <v>3704</v>
      </c>
      <c r="C2727" t="s">
        <v>40</v>
      </c>
      <c r="D2727" s="21" t="s">
        <v>34</v>
      </c>
      <c r="E2727" s="21" t="s">
        <v>254</v>
      </c>
      <c r="F2727">
        <v>8910434</v>
      </c>
      <c r="G2727" t="s">
        <v>681</v>
      </c>
      <c r="H2727" s="21">
        <v>1353.67</v>
      </c>
    </row>
    <row r="2728" spans="1:8" customFormat="1" x14ac:dyDescent="0.25">
      <c r="A2728" t="str">
        <f>"853033"</f>
        <v>853033</v>
      </c>
      <c r="B2728" t="s">
        <v>2023</v>
      </c>
      <c r="C2728" t="s">
        <v>2100</v>
      </c>
      <c r="D2728" s="21" t="s">
        <v>34</v>
      </c>
      <c r="E2728" s="21" t="s">
        <v>35</v>
      </c>
      <c r="F2728">
        <v>12850170</v>
      </c>
      <c r="G2728" t="s">
        <v>3349</v>
      </c>
      <c r="H2728" s="21">
        <v>1353.29</v>
      </c>
    </row>
    <row r="2729" spans="1:8" customFormat="1" x14ac:dyDescent="0.25">
      <c r="A2729" t="str">
        <f>"4028"</f>
        <v>4028</v>
      </c>
      <c r="B2729" t="s">
        <v>3514</v>
      </c>
      <c r="C2729" t="s">
        <v>121</v>
      </c>
      <c r="D2729" s="21" t="s">
        <v>34</v>
      </c>
      <c r="E2729" s="21" t="s">
        <v>35</v>
      </c>
      <c r="F2729">
        <v>10400001</v>
      </c>
      <c r="G2729" t="s">
        <v>609</v>
      </c>
      <c r="H2729" s="21">
        <v>1353.17</v>
      </c>
    </row>
    <row r="2730" spans="1:8" customFormat="1" x14ac:dyDescent="0.25">
      <c r="A2730" t="str">
        <f>"103978"</f>
        <v>103978</v>
      </c>
      <c r="B2730" t="s">
        <v>26742</v>
      </c>
      <c r="C2730" t="s">
        <v>285</v>
      </c>
      <c r="D2730" s="21" t="s">
        <v>34</v>
      </c>
      <c r="E2730" s="21" t="s">
        <v>35</v>
      </c>
      <c r="F2730">
        <v>6100015</v>
      </c>
      <c r="G2730" t="s">
        <v>6173</v>
      </c>
      <c r="H2730" s="21">
        <v>1353.17</v>
      </c>
    </row>
    <row r="2731" spans="1:8" customFormat="1" x14ac:dyDescent="0.25">
      <c r="A2731" t="str">
        <f>"732250"</f>
        <v>732250</v>
      </c>
      <c r="B2731" t="s">
        <v>3703</v>
      </c>
      <c r="C2731" t="s">
        <v>484</v>
      </c>
      <c r="D2731" s="21" t="s">
        <v>34</v>
      </c>
      <c r="E2731" s="21" t="s">
        <v>35</v>
      </c>
      <c r="F2731">
        <v>1730033</v>
      </c>
      <c r="G2731" t="s">
        <v>2407</v>
      </c>
      <c r="H2731" s="21">
        <v>1353.17</v>
      </c>
    </row>
    <row r="2732" spans="1:8" customFormat="1" x14ac:dyDescent="0.25">
      <c r="A2732" t="str">
        <f>"785986"</f>
        <v>785986</v>
      </c>
      <c r="B2732" t="s">
        <v>2549</v>
      </c>
      <c r="C2732" t="s">
        <v>198</v>
      </c>
      <c r="D2732" s="21" t="s">
        <v>34</v>
      </c>
      <c r="E2732" s="21" t="s">
        <v>35</v>
      </c>
      <c r="F2732">
        <v>8780338</v>
      </c>
      <c r="G2732" t="s">
        <v>4145</v>
      </c>
      <c r="H2732" s="21">
        <v>1352.92</v>
      </c>
    </row>
    <row r="2733" spans="1:8" customFormat="1" x14ac:dyDescent="0.25">
      <c r="A2733" t="str">
        <f>"33957"</f>
        <v>33957</v>
      </c>
      <c r="B2733" t="s">
        <v>2747</v>
      </c>
      <c r="C2733" t="s">
        <v>3456</v>
      </c>
      <c r="D2733" s="21" t="s">
        <v>34</v>
      </c>
      <c r="E2733" s="21" t="s">
        <v>35</v>
      </c>
      <c r="F2733">
        <v>10330035</v>
      </c>
      <c r="G2733" t="s">
        <v>3457</v>
      </c>
      <c r="H2733" s="21">
        <v>1352.69</v>
      </c>
    </row>
    <row r="2734" spans="1:8" customFormat="1" x14ac:dyDescent="0.25">
      <c r="A2734" t="str">
        <f>"851512"</f>
        <v>851512</v>
      </c>
      <c r="B2734" t="s">
        <v>3951</v>
      </c>
      <c r="C2734" t="s">
        <v>239</v>
      </c>
      <c r="D2734" s="21" t="s">
        <v>34</v>
      </c>
      <c r="E2734" s="21" t="s">
        <v>71</v>
      </c>
      <c r="F2734">
        <v>12850046</v>
      </c>
      <c r="G2734" t="s">
        <v>3136</v>
      </c>
      <c r="H2734" s="21">
        <v>1352.67</v>
      </c>
    </row>
    <row r="2735" spans="1:8" customFormat="1" x14ac:dyDescent="0.25">
      <c r="A2735" t="str">
        <f>"623378"</f>
        <v>623378</v>
      </c>
      <c r="B2735" t="s">
        <v>3861</v>
      </c>
      <c r="C2735" t="s">
        <v>244</v>
      </c>
      <c r="D2735" s="21" t="s">
        <v>34</v>
      </c>
      <c r="E2735" s="21" t="s">
        <v>35</v>
      </c>
      <c r="F2735">
        <v>7620015</v>
      </c>
      <c r="G2735" t="s">
        <v>377</v>
      </c>
      <c r="H2735" s="21">
        <v>1352.67</v>
      </c>
    </row>
    <row r="2736" spans="1:8" customFormat="1" x14ac:dyDescent="0.25">
      <c r="A2736" t="str">
        <f>"942803"</f>
        <v>942803</v>
      </c>
      <c r="B2736" t="s">
        <v>2857</v>
      </c>
      <c r="C2736" t="s">
        <v>198</v>
      </c>
      <c r="D2736" s="21" t="s">
        <v>34</v>
      </c>
      <c r="E2736" s="21" t="s">
        <v>71</v>
      </c>
      <c r="F2736">
        <v>8940326</v>
      </c>
      <c r="G2736" t="s">
        <v>659</v>
      </c>
      <c r="H2736" s="21">
        <v>1352.17</v>
      </c>
    </row>
    <row r="2737" spans="1:8" customFormat="1" x14ac:dyDescent="0.25">
      <c r="A2737" t="str">
        <f>"722295"</f>
        <v>722295</v>
      </c>
      <c r="B2737" t="s">
        <v>2711</v>
      </c>
      <c r="C2737" t="s">
        <v>121</v>
      </c>
      <c r="D2737" s="21" t="s">
        <v>34</v>
      </c>
      <c r="E2737" s="21" t="s">
        <v>35</v>
      </c>
      <c r="F2737">
        <v>12720049</v>
      </c>
      <c r="G2737" t="s">
        <v>1627</v>
      </c>
      <c r="H2737" s="21">
        <v>1352.17</v>
      </c>
    </row>
    <row r="2738" spans="1:8" customFormat="1" x14ac:dyDescent="0.25">
      <c r="A2738" t="str">
        <f>"494616"</f>
        <v>494616</v>
      </c>
      <c r="B2738" t="s">
        <v>3546</v>
      </c>
      <c r="C2738" t="s">
        <v>62</v>
      </c>
      <c r="D2738" s="21" t="s">
        <v>34</v>
      </c>
      <c r="E2738" s="21" t="s">
        <v>35</v>
      </c>
      <c r="F2738">
        <v>12490120</v>
      </c>
      <c r="G2738" t="s">
        <v>2316</v>
      </c>
      <c r="H2738" s="21">
        <v>1352.17</v>
      </c>
    </row>
    <row r="2739" spans="1:8" customFormat="1" x14ac:dyDescent="0.25">
      <c r="A2739" t="str">
        <f>"08412"</f>
        <v>08412</v>
      </c>
      <c r="B2739" t="s">
        <v>3794</v>
      </c>
      <c r="C2739" t="s">
        <v>209</v>
      </c>
      <c r="D2739" s="21" t="s">
        <v>34</v>
      </c>
      <c r="E2739" s="21" t="s">
        <v>71</v>
      </c>
      <c r="F2739">
        <v>6080076</v>
      </c>
      <c r="G2739" t="s">
        <v>1767</v>
      </c>
      <c r="H2739" s="21">
        <v>1352.17</v>
      </c>
    </row>
    <row r="2740" spans="1:8" customFormat="1" x14ac:dyDescent="0.25">
      <c r="A2740" t="str">
        <f>"6020098"</f>
        <v>6020098</v>
      </c>
      <c r="B2740" t="s">
        <v>3646</v>
      </c>
      <c r="C2740" t="s">
        <v>462</v>
      </c>
      <c r="D2740" s="21" t="s">
        <v>34</v>
      </c>
      <c r="E2740" s="21" t="s">
        <v>35</v>
      </c>
      <c r="F2740">
        <v>7600070</v>
      </c>
      <c r="G2740" t="s">
        <v>542</v>
      </c>
      <c r="H2740" s="21">
        <v>1352.17</v>
      </c>
    </row>
    <row r="2741" spans="1:8" customFormat="1" x14ac:dyDescent="0.25">
      <c r="A2741" t="str">
        <f>"721031"</f>
        <v>721031</v>
      </c>
      <c r="B2741" t="s">
        <v>3880</v>
      </c>
      <c r="C2741" t="s">
        <v>249</v>
      </c>
      <c r="D2741" s="21" t="s">
        <v>34</v>
      </c>
      <c r="E2741" s="21" t="s">
        <v>71</v>
      </c>
      <c r="F2741">
        <v>12720143</v>
      </c>
      <c r="G2741" t="s">
        <v>3881</v>
      </c>
      <c r="H2741" s="21">
        <v>1352.17</v>
      </c>
    </row>
    <row r="2742" spans="1:8" customFormat="1" x14ac:dyDescent="0.25">
      <c r="A2742" t="str">
        <f>"629821"</f>
        <v>629821</v>
      </c>
      <c r="B2742" t="s">
        <v>3533</v>
      </c>
      <c r="C2742" t="s">
        <v>236</v>
      </c>
      <c r="D2742" s="21" t="s">
        <v>34</v>
      </c>
      <c r="E2742" s="21" t="s">
        <v>35</v>
      </c>
      <c r="F2742">
        <v>7590112</v>
      </c>
      <c r="G2742" t="s">
        <v>3534</v>
      </c>
      <c r="H2742" s="21">
        <v>1351.67</v>
      </c>
    </row>
    <row r="2743" spans="1:8" customFormat="1" x14ac:dyDescent="0.25">
      <c r="A2743" t="str">
        <f>"7520140"</f>
        <v>7520140</v>
      </c>
      <c r="B2743" t="s">
        <v>3394</v>
      </c>
      <c r="C2743" t="s">
        <v>515</v>
      </c>
      <c r="D2743" s="21" t="s">
        <v>34</v>
      </c>
      <c r="E2743" s="21" t="s">
        <v>35</v>
      </c>
      <c r="F2743">
        <v>8751423</v>
      </c>
      <c r="G2743" t="s">
        <v>4556</v>
      </c>
      <c r="H2743" s="21">
        <v>1351.67</v>
      </c>
    </row>
    <row r="2744" spans="1:8" customFormat="1" x14ac:dyDescent="0.25">
      <c r="A2744" t="str">
        <f>"517818"</f>
        <v>517818</v>
      </c>
      <c r="B2744" t="s">
        <v>2386</v>
      </c>
      <c r="C2744" t="s">
        <v>204</v>
      </c>
      <c r="D2744" s="21" t="s">
        <v>34</v>
      </c>
      <c r="E2744" s="21" t="s">
        <v>35</v>
      </c>
      <c r="F2744">
        <v>6510020</v>
      </c>
      <c r="G2744" t="s">
        <v>3013</v>
      </c>
      <c r="H2744" s="21">
        <v>1351.67</v>
      </c>
    </row>
    <row r="2745" spans="1:8" customFormat="1" x14ac:dyDescent="0.25">
      <c r="A2745" t="str">
        <f>"601466"</f>
        <v>601466</v>
      </c>
      <c r="B2745" t="s">
        <v>2795</v>
      </c>
      <c r="C2745" t="s">
        <v>462</v>
      </c>
      <c r="D2745" s="21" t="s">
        <v>34</v>
      </c>
      <c r="E2745" s="21" t="s">
        <v>71</v>
      </c>
      <c r="F2745">
        <v>7600070</v>
      </c>
      <c r="G2745" t="s">
        <v>542</v>
      </c>
      <c r="H2745" s="21">
        <v>1351.67</v>
      </c>
    </row>
    <row r="2746" spans="1:8" customFormat="1" x14ac:dyDescent="0.25">
      <c r="A2746" t="str">
        <f>"4522815"</f>
        <v>4522815</v>
      </c>
      <c r="B2746" t="s">
        <v>3566</v>
      </c>
      <c r="C2746" t="s">
        <v>462</v>
      </c>
      <c r="D2746" s="21" t="s">
        <v>34</v>
      </c>
      <c r="E2746" s="21" t="s">
        <v>71</v>
      </c>
      <c r="F2746">
        <v>4450733</v>
      </c>
      <c r="G2746" t="s">
        <v>3567</v>
      </c>
      <c r="H2746" s="21">
        <v>1351.56</v>
      </c>
    </row>
    <row r="2747" spans="1:8" customFormat="1" x14ac:dyDescent="0.25">
      <c r="A2747" t="str">
        <f>"104469"</f>
        <v>104469</v>
      </c>
      <c r="B2747" t="s">
        <v>2983</v>
      </c>
      <c r="C2747" t="s">
        <v>4080</v>
      </c>
      <c r="D2747" s="21" t="s">
        <v>34</v>
      </c>
      <c r="E2747" s="21" t="s">
        <v>35</v>
      </c>
      <c r="F2747">
        <v>6100002</v>
      </c>
      <c r="G2747" t="s">
        <v>1602</v>
      </c>
      <c r="H2747" s="21">
        <v>1351.54</v>
      </c>
    </row>
    <row r="2748" spans="1:8" customFormat="1" x14ac:dyDescent="0.25">
      <c r="A2748" t="str">
        <f>"332481"</f>
        <v>332481</v>
      </c>
      <c r="B2748" t="s">
        <v>2848</v>
      </c>
      <c r="C2748" t="s">
        <v>144</v>
      </c>
      <c r="D2748" s="21" t="s">
        <v>34</v>
      </c>
      <c r="E2748" s="21" t="s">
        <v>71</v>
      </c>
      <c r="F2748" t="s">
        <v>2849</v>
      </c>
      <c r="G2748" t="s">
        <v>2850</v>
      </c>
      <c r="H2748" s="21">
        <v>1351.43</v>
      </c>
    </row>
    <row r="2749" spans="1:8" customFormat="1" x14ac:dyDescent="0.25">
      <c r="A2749" t="str">
        <f>"5310107"</f>
        <v>5310107</v>
      </c>
      <c r="B2749" t="s">
        <v>3781</v>
      </c>
      <c r="C2749" t="s">
        <v>239</v>
      </c>
      <c r="D2749" s="21" t="s">
        <v>34</v>
      </c>
      <c r="E2749" s="21" t="s">
        <v>254</v>
      </c>
      <c r="F2749">
        <v>12530060</v>
      </c>
      <c r="G2749" t="s">
        <v>1356</v>
      </c>
      <c r="H2749" s="21">
        <v>1351.42</v>
      </c>
    </row>
    <row r="2750" spans="1:8" customFormat="1" x14ac:dyDescent="0.25">
      <c r="A2750" t="str">
        <f>"138998"</f>
        <v>138998</v>
      </c>
      <c r="B2750" t="s">
        <v>3902</v>
      </c>
      <c r="C2750" t="s">
        <v>198</v>
      </c>
      <c r="D2750" s="21" t="s">
        <v>34</v>
      </c>
      <c r="E2750" s="21" t="s">
        <v>71</v>
      </c>
      <c r="F2750">
        <v>13130146</v>
      </c>
      <c r="G2750" t="s">
        <v>2471</v>
      </c>
      <c r="H2750" s="21">
        <v>1351.17</v>
      </c>
    </row>
    <row r="2751" spans="1:8" customFormat="1" x14ac:dyDescent="0.25">
      <c r="A2751" t="str">
        <f>"713268"</f>
        <v>713268</v>
      </c>
      <c r="B2751" t="s">
        <v>1582</v>
      </c>
      <c r="C2751" t="s">
        <v>60</v>
      </c>
      <c r="D2751" s="21" t="s">
        <v>34</v>
      </c>
      <c r="E2751" s="21" t="s">
        <v>35</v>
      </c>
      <c r="F2751">
        <v>2710041</v>
      </c>
      <c r="G2751" t="s">
        <v>389</v>
      </c>
      <c r="H2751" s="21">
        <v>1351.17</v>
      </c>
    </row>
    <row r="2752" spans="1:8" customFormat="1" x14ac:dyDescent="0.25">
      <c r="A2752" t="str">
        <f>"514634"</f>
        <v>514634</v>
      </c>
      <c r="B2752" t="s">
        <v>3030</v>
      </c>
      <c r="C2752" t="s">
        <v>285</v>
      </c>
      <c r="D2752" s="21" t="s">
        <v>34</v>
      </c>
      <c r="E2752" s="21" t="s">
        <v>35</v>
      </c>
      <c r="F2752">
        <v>6510071</v>
      </c>
      <c r="G2752" t="s">
        <v>3031</v>
      </c>
      <c r="H2752" s="21">
        <v>1350.8</v>
      </c>
    </row>
    <row r="2753" spans="1:8" customFormat="1" x14ac:dyDescent="0.25">
      <c r="A2753" t="str">
        <f>"291782"</f>
        <v>291782</v>
      </c>
      <c r="B2753" t="s">
        <v>4152</v>
      </c>
      <c r="C2753" t="s">
        <v>33</v>
      </c>
      <c r="D2753" s="21" t="s">
        <v>34</v>
      </c>
      <c r="E2753" s="21" t="s">
        <v>71</v>
      </c>
      <c r="F2753">
        <v>3290010</v>
      </c>
      <c r="G2753" t="s">
        <v>1453</v>
      </c>
      <c r="H2753" s="21">
        <v>1350.67</v>
      </c>
    </row>
    <row r="2754" spans="1:8" customFormat="1" x14ac:dyDescent="0.25">
      <c r="A2754" t="str">
        <f>"758219"</f>
        <v>758219</v>
      </c>
      <c r="B2754" t="s">
        <v>3400</v>
      </c>
      <c r="C2754" t="s">
        <v>3401</v>
      </c>
      <c r="D2754" s="21" t="s">
        <v>34</v>
      </c>
      <c r="E2754" s="21" t="s">
        <v>254</v>
      </c>
      <c r="F2754">
        <v>8751163</v>
      </c>
      <c r="G2754" t="s">
        <v>80</v>
      </c>
      <c r="H2754" s="21">
        <v>1350.67</v>
      </c>
    </row>
    <row r="2755" spans="1:8" customFormat="1" x14ac:dyDescent="0.25">
      <c r="A2755" t="str">
        <f>"452814"</f>
        <v>452814</v>
      </c>
      <c r="B2755" t="s">
        <v>3072</v>
      </c>
      <c r="C2755" t="s">
        <v>415</v>
      </c>
      <c r="D2755" s="21" t="s">
        <v>34</v>
      </c>
      <c r="E2755" s="21" t="s">
        <v>71</v>
      </c>
      <c r="F2755">
        <v>4450616</v>
      </c>
      <c r="G2755" t="s">
        <v>3254</v>
      </c>
      <c r="H2755" s="21">
        <v>1350.42</v>
      </c>
    </row>
    <row r="2756" spans="1:8" customFormat="1" x14ac:dyDescent="0.25">
      <c r="A2756" t="str">
        <f>"04649"</f>
        <v>04649</v>
      </c>
      <c r="B2756" t="s">
        <v>2134</v>
      </c>
      <c r="C2756" t="s">
        <v>328</v>
      </c>
      <c r="D2756" s="21" t="s">
        <v>34</v>
      </c>
      <c r="E2756" s="21" t="s">
        <v>35</v>
      </c>
      <c r="F2756">
        <v>13130158</v>
      </c>
      <c r="G2756" t="s">
        <v>3215</v>
      </c>
      <c r="H2756" s="21">
        <v>1350.17</v>
      </c>
    </row>
    <row r="2757" spans="1:8" customFormat="1" x14ac:dyDescent="0.25">
      <c r="A2757" t="str">
        <f>"9411975"</f>
        <v>9411975</v>
      </c>
      <c r="B2757" t="s">
        <v>3384</v>
      </c>
      <c r="C2757" t="s">
        <v>3385</v>
      </c>
      <c r="D2757" s="21" t="s">
        <v>34</v>
      </c>
      <c r="E2757" s="21" t="s">
        <v>35</v>
      </c>
      <c r="F2757">
        <v>8940052</v>
      </c>
      <c r="G2757" t="s">
        <v>190</v>
      </c>
      <c r="H2757" s="21">
        <v>1350.17</v>
      </c>
    </row>
    <row r="2758" spans="1:8" customFormat="1" x14ac:dyDescent="0.25">
      <c r="A2758" t="str">
        <f>"7910668"</f>
        <v>7910668</v>
      </c>
      <c r="B2758" t="s">
        <v>4004</v>
      </c>
      <c r="C2758" t="s">
        <v>4005</v>
      </c>
      <c r="D2758" s="21" t="s">
        <v>34</v>
      </c>
      <c r="E2758" s="21" t="s">
        <v>71</v>
      </c>
      <c r="F2758">
        <v>12440012</v>
      </c>
      <c r="G2758" t="s">
        <v>807</v>
      </c>
      <c r="H2758" s="21">
        <v>1350.17</v>
      </c>
    </row>
    <row r="2759" spans="1:8" customFormat="1" x14ac:dyDescent="0.25">
      <c r="A2759" t="str">
        <f>"2210585"</f>
        <v>2210585</v>
      </c>
      <c r="B2759" t="s">
        <v>3763</v>
      </c>
      <c r="C2759" t="s">
        <v>768</v>
      </c>
      <c r="D2759" s="21" t="s">
        <v>34</v>
      </c>
      <c r="E2759" s="21" t="s">
        <v>35</v>
      </c>
      <c r="F2759">
        <v>3220031</v>
      </c>
      <c r="G2759" t="s">
        <v>26743</v>
      </c>
      <c r="H2759" s="21">
        <v>1350.17</v>
      </c>
    </row>
    <row r="2760" spans="1:8" customFormat="1" x14ac:dyDescent="0.25">
      <c r="A2760" t="str">
        <f>"613837"</f>
        <v>613837</v>
      </c>
      <c r="B2760" t="s">
        <v>3082</v>
      </c>
      <c r="C2760" t="s">
        <v>87</v>
      </c>
      <c r="D2760" s="21" t="s">
        <v>34</v>
      </c>
      <c r="E2760" s="21" t="s">
        <v>71</v>
      </c>
      <c r="F2760">
        <v>9610031</v>
      </c>
      <c r="G2760" t="s">
        <v>1792</v>
      </c>
      <c r="H2760" s="21">
        <v>1350.17</v>
      </c>
    </row>
    <row r="2761" spans="1:8" customFormat="1" x14ac:dyDescent="0.25">
      <c r="A2761" t="str">
        <f>"277848"</f>
        <v>277848</v>
      </c>
      <c r="B2761" t="s">
        <v>9468</v>
      </c>
      <c r="C2761" t="s">
        <v>33</v>
      </c>
      <c r="D2761" s="21" t="s">
        <v>34</v>
      </c>
      <c r="E2761" s="21" t="s">
        <v>35</v>
      </c>
      <c r="F2761">
        <v>11320041</v>
      </c>
      <c r="G2761" t="s">
        <v>4802</v>
      </c>
      <c r="H2761" s="21">
        <v>1350.07</v>
      </c>
    </row>
    <row r="2762" spans="1:8" customFormat="1" x14ac:dyDescent="0.25">
      <c r="A2762" t="str">
        <f>"4431735"</f>
        <v>4431735</v>
      </c>
      <c r="B2762" t="s">
        <v>3602</v>
      </c>
      <c r="C2762" t="s">
        <v>209</v>
      </c>
      <c r="D2762" s="21" t="s">
        <v>34</v>
      </c>
      <c r="E2762" s="21" t="s">
        <v>35</v>
      </c>
      <c r="F2762">
        <v>12440031</v>
      </c>
      <c r="G2762" t="s">
        <v>3603</v>
      </c>
      <c r="H2762" s="21">
        <v>1350.05</v>
      </c>
    </row>
    <row r="2763" spans="1:8" customFormat="1" x14ac:dyDescent="0.25">
      <c r="A2763" t="str">
        <f>"9222206"</f>
        <v>9222206</v>
      </c>
      <c r="B2763" t="s">
        <v>2880</v>
      </c>
      <c r="C2763" t="s">
        <v>1914</v>
      </c>
      <c r="D2763" s="21" t="s">
        <v>34</v>
      </c>
      <c r="E2763" s="21" t="s">
        <v>35</v>
      </c>
      <c r="F2763" t="s">
        <v>590</v>
      </c>
      <c r="G2763" t="s">
        <v>591</v>
      </c>
      <c r="H2763" s="21">
        <v>1350.05</v>
      </c>
    </row>
    <row r="2764" spans="1:8" customFormat="1" x14ac:dyDescent="0.25">
      <c r="A2764" t="str">
        <f>"473384"</f>
        <v>473384</v>
      </c>
      <c r="B2764" t="s">
        <v>3310</v>
      </c>
      <c r="C2764" t="s">
        <v>3311</v>
      </c>
      <c r="D2764" s="21" t="s">
        <v>34</v>
      </c>
      <c r="E2764" s="21" t="s">
        <v>254</v>
      </c>
      <c r="F2764">
        <v>10470007</v>
      </c>
      <c r="G2764" t="s">
        <v>3049</v>
      </c>
      <c r="H2764" s="21">
        <v>1349.67</v>
      </c>
    </row>
    <row r="2765" spans="1:8" customFormat="1" x14ac:dyDescent="0.25">
      <c r="A2765" t="str">
        <f>"883187"</f>
        <v>883187</v>
      </c>
      <c r="B2765" t="s">
        <v>3279</v>
      </c>
      <c r="C2765" t="s">
        <v>187</v>
      </c>
      <c r="D2765" s="21" t="s">
        <v>34</v>
      </c>
      <c r="E2765" s="21" t="s">
        <v>35</v>
      </c>
      <c r="F2765">
        <v>6880022</v>
      </c>
      <c r="G2765" t="s">
        <v>339</v>
      </c>
      <c r="H2765" s="21">
        <v>1349.67</v>
      </c>
    </row>
    <row r="2766" spans="1:8" customFormat="1" x14ac:dyDescent="0.25">
      <c r="A2766" t="str">
        <f>"133750"</f>
        <v>133750</v>
      </c>
      <c r="B2766" t="s">
        <v>2824</v>
      </c>
      <c r="C2766" t="s">
        <v>305</v>
      </c>
      <c r="D2766" s="21" t="s">
        <v>34</v>
      </c>
      <c r="E2766" s="21" t="s">
        <v>35</v>
      </c>
      <c r="F2766">
        <v>13130146</v>
      </c>
      <c r="G2766" t="s">
        <v>2471</v>
      </c>
      <c r="H2766" s="21">
        <v>1349.67</v>
      </c>
    </row>
    <row r="2767" spans="1:8" customFormat="1" x14ac:dyDescent="0.25">
      <c r="A2767" t="str">
        <f>"588270"</f>
        <v>588270</v>
      </c>
      <c r="B2767" t="s">
        <v>4863</v>
      </c>
      <c r="C2767" t="s">
        <v>65</v>
      </c>
      <c r="D2767" s="21" t="s">
        <v>34</v>
      </c>
      <c r="E2767" s="21" t="s">
        <v>35</v>
      </c>
      <c r="F2767">
        <v>2580010</v>
      </c>
      <c r="G2767" t="s">
        <v>1965</v>
      </c>
      <c r="H2767" s="21">
        <v>1349.67</v>
      </c>
    </row>
    <row r="2768" spans="1:8" customFormat="1" x14ac:dyDescent="0.25">
      <c r="A2768" t="str">
        <f>"9431944"</f>
        <v>9431944</v>
      </c>
      <c r="B2768" t="s">
        <v>697</v>
      </c>
      <c r="C2768" t="s">
        <v>528</v>
      </c>
      <c r="D2768" s="21" t="s">
        <v>34</v>
      </c>
      <c r="E2768" s="21" t="s">
        <v>35</v>
      </c>
      <c r="F2768">
        <v>8940549</v>
      </c>
      <c r="G2768" t="s">
        <v>454</v>
      </c>
      <c r="H2768" s="21">
        <v>1349.17</v>
      </c>
    </row>
    <row r="2769" spans="1:8" customFormat="1" x14ac:dyDescent="0.25">
      <c r="A2769" t="str">
        <f>"575070"</f>
        <v>575070</v>
      </c>
      <c r="B2769" t="s">
        <v>3736</v>
      </c>
      <c r="C2769" t="s">
        <v>1605</v>
      </c>
      <c r="D2769" s="21" t="s">
        <v>34</v>
      </c>
      <c r="E2769" s="21" t="s">
        <v>71</v>
      </c>
      <c r="F2769">
        <v>6570030</v>
      </c>
      <c r="G2769" t="s">
        <v>851</v>
      </c>
      <c r="H2769" s="21">
        <v>1349.17</v>
      </c>
    </row>
    <row r="2770" spans="1:8" customFormat="1" x14ac:dyDescent="0.25">
      <c r="A2770" t="str">
        <f>"3315724"</f>
        <v>3315724</v>
      </c>
      <c r="B2770" t="s">
        <v>4279</v>
      </c>
      <c r="C2770" t="s">
        <v>381</v>
      </c>
      <c r="D2770" s="21" t="s">
        <v>34</v>
      </c>
      <c r="E2770" s="21" t="s">
        <v>35</v>
      </c>
      <c r="F2770">
        <v>10330038</v>
      </c>
      <c r="G2770" t="s">
        <v>4280</v>
      </c>
      <c r="H2770" s="21">
        <v>1349.17</v>
      </c>
    </row>
    <row r="2771" spans="1:8" customFormat="1" x14ac:dyDescent="0.25">
      <c r="A2771" t="str">
        <f>"7830084"</f>
        <v>7830084</v>
      </c>
      <c r="B2771" t="s">
        <v>208</v>
      </c>
      <c r="C2771" t="s">
        <v>1665</v>
      </c>
      <c r="D2771" s="21" t="s">
        <v>34</v>
      </c>
      <c r="E2771" s="21" t="s">
        <v>35</v>
      </c>
      <c r="F2771">
        <v>10170033</v>
      </c>
      <c r="G2771" t="s">
        <v>3756</v>
      </c>
      <c r="H2771" s="21">
        <v>1349.17</v>
      </c>
    </row>
    <row r="2772" spans="1:8" customFormat="1" x14ac:dyDescent="0.25">
      <c r="A2772" t="str">
        <f>"5936685"</f>
        <v>5936685</v>
      </c>
      <c r="B2772" t="s">
        <v>3330</v>
      </c>
      <c r="C2772" t="s">
        <v>40</v>
      </c>
      <c r="D2772" s="21" t="s">
        <v>34</v>
      </c>
      <c r="E2772" s="21" t="s">
        <v>35</v>
      </c>
      <c r="F2772">
        <v>7590231</v>
      </c>
      <c r="G2772" t="s">
        <v>207</v>
      </c>
      <c r="H2772" s="21">
        <v>1349.17</v>
      </c>
    </row>
    <row r="2773" spans="1:8" customFormat="1" x14ac:dyDescent="0.25">
      <c r="A2773" t="str">
        <f>"704491"</f>
        <v>704491</v>
      </c>
      <c r="B2773" t="s">
        <v>6656</v>
      </c>
      <c r="C2773" t="s">
        <v>656</v>
      </c>
      <c r="D2773" s="21" t="s">
        <v>34</v>
      </c>
      <c r="E2773" s="21" t="s">
        <v>35</v>
      </c>
      <c r="F2773">
        <v>2250024</v>
      </c>
      <c r="G2773" t="s">
        <v>751</v>
      </c>
      <c r="H2773" s="21">
        <v>1349.17</v>
      </c>
    </row>
    <row r="2774" spans="1:8" customFormat="1" x14ac:dyDescent="0.25">
      <c r="A2774" t="str">
        <f>"5413827"</f>
        <v>5413827</v>
      </c>
      <c r="B2774" t="s">
        <v>3396</v>
      </c>
      <c r="C2774" t="s">
        <v>3397</v>
      </c>
      <c r="D2774" s="21" t="s">
        <v>34</v>
      </c>
      <c r="E2774" s="21" t="s">
        <v>35</v>
      </c>
      <c r="F2774">
        <v>6540115</v>
      </c>
      <c r="G2774" t="s">
        <v>3398</v>
      </c>
      <c r="H2774" s="21">
        <v>1349.17</v>
      </c>
    </row>
    <row r="2775" spans="1:8" customFormat="1" x14ac:dyDescent="0.25">
      <c r="A2775" t="str">
        <f>"391944"</f>
        <v>391944</v>
      </c>
      <c r="B2775" t="s">
        <v>3678</v>
      </c>
      <c r="C2775" t="s">
        <v>547</v>
      </c>
      <c r="D2775" s="21" t="s">
        <v>34</v>
      </c>
      <c r="E2775" s="21" t="s">
        <v>71</v>
      </c>
      <c r="F2775">
        <v>2390007</v>
      </c>
      <c r="G2775" t="s">
        <v>3365</v>
      </c>
      <c r="H2775" s="21">
        <v>1349.17</v>
      </c>
    </row>
    <row r="2776" spans="1:8" customFormat="1" x14ac:dyDescent="0.25">
      <c r="A2776" t="str">
        <f>"196182"</f>
        <v>196182</v>
      </c>
      <c r="B2776" t="s">
        <v>4204</v>
      </c>
      <c r="C2776" t="s">
        <v>65</v>
      </c>
      <c r="D2776" s="21" t="s">
        <v>34</v>
      </c>
      <c r="E2776" s="21" t="s">
        <v>35</v>
      </c>
      <c r="F2776">
        <v>10190054</v>
      </c>
      <c r="G2776" t="s">
        <v>4189</v>
      </c>
      <c r="H2776" s="21">
        <v>1348.92</v>
      </c>
    </row>
    <row r="2777" spans="1:8" customFormat="1" x14ac:dyDescent="0.25">
      <c r="A2777" t="str">
        <f>"753148"</f>
        <v>753148</v>
      </c>
      <c r="B2777" t="s">
        <v>1031</v>
      </c>
      <c r="C2777" t="s">
        <v>3038</v>
      </c>
      <c r="D2777" s="21" t="s">
        <v>34</v>
      </c>
      <c r="E2777" s="21" t="s">
        <v>71</v>
      </c>
      <c r="F2777">
        <v>8751163</v>
      </c>
      <c r="G2777" t="s">
        <v>80</v>
      </c>
      <c r="H2777" s="21">
        <v>1348.79</v>
      </c>
    </row>
    <row r="2778" spans="1:8" customFormat="1" x14ac:dyDescent="0.25">
      <c r="A2778" t="str">
        <f>"4443006"</f>
        <v>4443006</v>
      </c>
      <c r="B2778" t="s">
        <v>1892</v>
      </c>
      <c r="C2778" t="s">
        <v>60</v>
      </c>
      <c r="D2778" s="21" t="s">
        <v>34</v>
      </c>
      <c r="E2778" s="21" t="s">
        <v>35</v>
      </c>
      <c r="F2778">
        <v>12440004</v>
      </c>
      <c r="G2778" t="s">
        <v>26530</v>
      </c>
      <c r="H2778" s="21">
        <v>1348.67</v>
      </c>
    </row>
    <row r="2779" spans="1:8" customFormat="1" x14ac:dyDescent="0.25">
      <c r="A2779" t="str">
        <f>"7830739"</f>
        <v>7830739</v>
      </c>
      <c r="B2779" t="s">
        <v>1462</v>
      </c>
      <c r="C2779" t="s">
        <v>209</v>
      </c>
      <c r="D2779" s="21" t="s">
        <v>34</v>
      </c>
      <c r="E2779" s="21" t="s">
        <v>35</v>
      </c>
      <c r="F2779">
        <v>8910861</v>
      </c>
      <c r="G2779" t="s">
        <v>1120</v>
      </c>
      <c r="H2779" s="21">
        <v>1348.67</v>
      </c>
    </row>
    <row r="2780" spans="1:8" customFormat="1" x14ac:dyDescent="0.25">
      <c r="A2780" t="str">
        <f>"692722"</f>
        <v>692722</v>
      </c>
      <c r="B2780" t="s">
        <v>3652</v>
      </c>
      <c r="C2780" t="s">
        <v>576</v>
      </c>
      <c r="D2780" s="21" t="s">
        <v>34</v>
      </c>
      <c r="E2780" s="21" t="s">
        <v>35</v>
      </c>
      <c r="F2780">
        <v>1420128</v>
      </c>
      <c r="G2780" t="s">
        <v>449</v>
      </c>
      <c r="H2780" s="21">
        <v>1348.67</v>
      </c>
    </row>
    <row r="2781" spans="1:8" customFormat="1" x14ac:dyDescent="0.25">
      <c r="A2781" t="str">
        <f>"5916311"</f>
        <v>5916311</v>
      </c>
      <c r="B2781" t="s">
        <v>3596</v>
      </c>
      <c r="C2781" t="s">
        <v>109</v>
      </c>
      <c r="D2781" s="21" t="s">
        <v>34</v>
      </c>
      <c r="E2781" s="21" t="s">
        <v>71</v>
      </c>
      <c r="F2781">
        <v>7590065</v>
      </c>
      <c r="G2781" t="s">
        <v>1598</v>
      </c>
      <c r="H2781" s="21">
        <v>1348.17</v>
      </c>
    </row>
    <row r="2782" spans="1:8" customFormat="1" x14ac:dyDescent="0.25">
      <c r="A2782" t="str">
        <f>"2921305"</f>
        <v>2921305</v>
      </c>
      <c r="B2782" t="s">
        <v>4124</v>
      </c>
      <c r="C2782" t="s">
        <v>415</v>
      </c>
      <c r="D2782" s="21" t="s">
        <v>34</v>
      </c>
      <c r="E2782" s="21" t="s">
        <v>35</v>
      </c>
      <c r="F2782">
        <v>8770166</v>
      </c>
      <c r="G2782" t="s">
        <v>653</v>
      </c>
      <c r="H2782" s="21">
        <v>1348.17</v>
      </c>
    </row>
    <row r="2783" spans="1:8" customFormat="1" x14ac:dyDescent="0.25">
      <c r="A2783" t="str">
        <f>"517877"</f>
        <v>517877</v>
      </c>
      <c r="B2783" t="s">
        <v>26744</v>
      </c>
      <c r="C2783" t="s">
        <v>269</v>
      </c>
      <c r="D2783" s="21" t="s">
        <v>34</v>
      </c>
      <c r="E2783" s="21" t="s">
        <v>71</v>
      </c>
      <c r="F2783">
        <v>6510107</v>
      </c>
      <c r="G2783" t="s">
        <v>1392</v>
      </c>
      <c r="H2783" s="21">
        <v>1348.17</v>
      </c>
    </row>
    <row r="2784" spans="1:8" customFormat="1" x14ac:dyDescent="0.25">
      <c r="A2784" t="str">
        <f>"11546"</f>
        <v>11546</v>
      </c>
      <c r="B2784" t="s">
        <v>1347</v>
      </c>
      <c r="C2784" t="s">
        <v>267</v>
      </c>
      <c r="D2784" s="21" t="s">
        <v>34</v>
      </c>
      <c r="E2784" s="21" t="s">
        <v>35</v>
      </c>
      <c r="F2784">
        <v>11110009</v>
      </c>
      <c r="G2784" t="s">
        <v>6231</v>
      </c>
      <c r="H2784" s="21">
        <v>1348.05</v>
      </c>
    </row>
    <row r="2785" spans="1:8" customFormat="1" x14ac:dyDescent="0.25">
      <c r="A2785" t="str">
        <f>"4392"</f>
        <v>4392</v>
      </c>
      <c r="B2785" t="s">
        <v>4254</v>
      </c>
      <c r="C2785" t="s">
        <v>598</v>
      </c>
      <c r="D2785" s="21" t="s">
        <v>34</v>
      </c>
      <c r="E2785" s="21" t="s">
        <v>254</v>
      </c>
      <c r="F2785">
        <v>1420009</v>
      </c>
      <c r="G2785" t="s">
        <v>3113</v>
      </c>
      <c r="H2785" s="21">
        <v>1347.68</v>
      </c>
    </row>
    <row r="2786" spans="1:8" customFormat="1" x14ac:dyDescent="0.25">
      <c r="A2786" t="str">
        <f>"5937443"</f>
        <v>5937443</v>
      </c>
      <c r="B2786" t="s">
        <v>2883</v>
      </c>
      <c r="C2786" t="s">
        <v>305</v>
      </c>
      <c r="D2786" s="21" t="s">
        <v>34</v>
      </c>
      <c r="E2786" s="21" t="s">
        <v>35</v>
      </c>
      <c r="F2786">
        <v>9140123</v>
      </c>
      <c r="G2786" t="s">
        <v>661</v>
      </c>
      <c r="H2786" s="21">
        <v>1347.67</v>
      </c>
    </row>
    <row r="2787" spans="1:8" customFormat="1" x14ac:dyDescent="0.25">
      <c r="A2787" t="str">
        <f>"6212793"</f>
        <v>6212793</v>
      </c>
      <c r="B2787" t="s">
        <v>3298</v>
      </c>
      <c r="C2787" t="s">
        <v>249</v>
      </c>
      <c r="D2787" s="21" t="s">
        <v>34</v>
      </c>
      <c r="E2787" s="21" t="s">
        <v>71</v>
      </c>
      <c r="F2787">
        <v>7590044</v>
      </c>
      <c r="G2787" t="s">
        <v>2029</v>
      </c>
      <c r="H2787" s="21">
        <v>1347.67</v>
      </c>
    </row>
    <row r="2788" spans="1:8" customFormat="1" x14ac:dyDescent="0.25">
      <c r="A2788" t="str">
        <f>"505118"</f>
        <v>505118</v>
      </c>
      <c r="B2788" t="s">
        <v>26745</v>
      </c>
      <c r="C2788" t="s">
        <v>3073</v>
      </c>
      <c r="D2788" s="21" t="s">
        <v>34</v>
      </c>
      <c r="E2788" s="21" t="s">
        <v>35</v>
      </c>
      <c r="F2788">
        <v>9500015</v>
      </c>
      <c r="G2788" t="s">
        <v>3389</v>
      </c>
      <c r="H2788" s="21">
        <v>1347.67</v>
      </c>
    </row>
    <row r="2789" spans="1:8" customFormat="1" x14ac:dyDescent="0.25">
      <c r="A2789" t="str">
        <f>"513718"</f>
        <v>513718</v>
      </c>
      <c r="B2789" t="s">
        <v>10563</v>
      </c>
      <c r="C2789" t="s">
        <v>263</v>
      </c>
      <c r="D2789" s="21" t="s">
        <v>34</v>
      </c>
      <c r="E2789" s="21" t="s">
        <v>35</v>
      </c>
      <c r="F2789">
        <v>6510071</v>
      </c>
      <c r="G2789" t="s">
        <v>3031</v>
      </c>
      <c r="H2789" s="21">
        <v>1347.67</v>
      </c>
    </row>
    <row r="2790" spans="1:8" customFormat="1" x14ac:dyDescent="0.25">
      <c r="A2790" t="str">
        <f>"7219130"</f>
        <v>7219130</v>
      </c>
      <c r="B2790" t="s">
        <v>3263</v>
      </c>
      <c r="C2790" t="s">
        <v>169</v>
      </c>
      <c r="D2790" s="21" t="s">
        <v>34</v>
      </c>
      <c r="E2790" s="21" t="s">
        <v>35</v>
      </c>
      <c r="F2790">
        <v>12720048</v>
      </c>
      <c r="G2790" t="s">
        <v>3264</v>
      </c>
      <c r="H2790" s="21">
        <v>1347.42</v>
      </c>
    </row>
    <row r="2791" spans="1:8" customFormat="1" x14ac:dyDescent="0.25">
      <c r="A2791" t="str">
        <f>"2922921"</f>
        <v>2922921</v>
      </c>
      <c r="B2791" t="s">
        <v>7517</v>
      </c>
      <c r="C2791" t="s">
        <v>169</v>
      </c>
      <c r="D2791" s="21" t="s">
        <v>34</v>
      </c>
      <c r="E2791" s="21" t="s">
        <v>35</v>
      </c>
      <c r="F2791">
        <v>3290222</v>
      </c>
      <c r="G2791" t="s">
        <v>2259</v>
      </c>
      <c r="H2791" s="21">
        <v>1347.17</v>
      </c>
    </row>
    <row r="2792" spans="1:8" customFormat="1" x14ac:dyDescent="0.25">
      <c r="A2792" t="str">
        <f>"6212299"</f>
        <v>6212299</v>
      </c>
      <c r="B2792" t="s">
        <v>3788</v>
      </c>
      <c r="C2792" t="s">
        <v>65</v>
      </c>
      <c r="D2792" s="21" t="s">
        <v>34</v>
      </c>
      <c r="E2792" s="21" t="s">
        <v>35</v>
      </c>
      <c r="F2792">
        <v>7620024</v>
      </c>
      <c r="G2792" t="s">
        <v>2975</v>
      </c>
      <c r="H2792" s="21">
        <v>1347.17</v>
      </c>
    </row>
    <row r="2793" spans="1:8" customFormat="1" x14ac:dyDescent="0.25">
      <c r="A2793" t="str">
        <f>"33798"</f>
        <v>33798</v>
      </c>
      <c r="B2793" t="s">
        <v>2699</v>
      </c>
      <c r="C2793" t="s">
        <v>267</v>
      </c>
      <c r="D2793" s="21" t="s">
        <v>34</v>
      </c>
      <c r="E2793" s="21" t="s">
        <v>71</v>
      </c>
      <c r="F2793">
        <v>10330019</v>
      </c>
      <c r="G2793" t="s">
        <v>1761</v>
      </c>
      <c r="H2793" s="21">
        <v>1347.06</v>
      </c>
    </row>
    <row r="2794" spans="1:8" customFormat="1" x14ac:dyDescent="0.25">
      <c r="A2794" t="str">
        <f>"50321"</f>
        <v>50321</v>
      </c>
      <c r="B2794" t="s">
        <v>1037</v>
      </c>
      <c r="C2794" t="s">
        <v>253</v>
      </c>
      <c r="D2794" s="21" t="s">
        <v>34</v>
      </c>
      <c r="E2794" s="21" t="s">
        <v>254</v>
      </c>
      <c r="F2794">
        <v>9500013</v>
      </c>
      <c r="G2794" t="s">
        <v>992</v>
      </c>
      <c r="H2794" s="21">
        <v>1346.92</v>
      </c>
    </row>
    <row r="2795" spans="1:8" customFormat="1" x14ac:dyDescent="0.25">
      <c r="A2795" t="str">
        <f>"4916062"</f>
        <v>4916062</v>
      </c>
      <c r="B2795" t="s">
        <v>3468</v>
      </c>
      <c r="C2795" t="s">
        <v>40</v>
      </c>
      <c r="D2795" s="21" t="s">
        <v>34</v>
      </c>
      <c r="E2795" s="21" t="s">
        <v>71</v>
      </c>
      <c r="F2795">
        <v>12490033</v>
      </c>
      <c r="G2795" t="s">
        <v>3469</v>
      </c>
      <c r="H2795" s="21">
        <v>1346.67</v>
      </c>
    </row>
    <row r="2796" spans="1:8" customFormat="1" x14ac:dyDescent="0.25">
      <c r="A2796" t="str">
        <f>"7847609"</f>
        <v>7847609</v>
      </c>
      <c r="B2796" t="s">
        <v>4205</v>
      </c>
      <c r="C2796" t="s">
        <v>2520</v>
      </c>
      <c r="D2796" s="21" t="s">
        <v>34</v>
      </c>
      <c r="E2796" s="21" t="s">
        <v>254</v>
      </c>
      <c r="F2796">
        <v>8780674</v>
      </c>
      <c r="G2796" t="s">
        <v>26585</v>
      </c>
      <c r="H2796" s="21">
        <v>1346.67</v>
      </c>
    </row>
    <row r="2797" spans="1:8" customFormat="1" x14ac:dyDescent="0.25">
      <c r="A2797" t="str">
        <f>"591259"</f>
        <v>591259</v>
      </c>
      <c r="B2797" t="s">
        <v>3738</v>
      </c>
      <c r="C2797" t="s">
        <v>109</v>
      </c>
      <c r="D2797" s="21" t="s">
        <v>34</v>
      </c>
      <c r="E2797" s="21" t="s">
        <v>35</v>
      </c>
      <c r="F2797">
        <v>7590009</v>
      </c>
      <c r="G2797" t="s">
        <v>535</v>
      </c>
      <c r="H2797" s="21">
        <v>1346.17</v>
      </c>
    </row>
    <row r="2798" spans="1:8" customFormat="1" x14ac:dyDescent="0.25">
      <c r="A2798" t="str">
        <f>"416488"</f>
        <v>416488</v>
      </c>
      <c r="B2798" t="s">
        <v>3498</v>
      </c>
      <c r="C2798" t="s">
        <v>37</v>
      </c>
      <c r="D2798" s="21" t="s">
        <v>34</v>
      </c>
      <c r="E2798" s="21" t="s">
        <v>35</v>
      </c>
      <c r="F2798">
        <v>4410279</v>
      </c>
      <c r="G2798" t="s">
        <v>3499</v>
      </c>
      <c r="H2798" s="21">
        <v>1346.17</v>
      </c>
    </row>
    <row r="2799" spans="1:8" customFormat="1" x14ac:dyDescent="0.25">
      <c r="A2799" t="str">
        <f>"5011512"</f>
        <v>5011512</v>
      </c>
      <c r="B2799" t="s">
        <v>3406</v>
      </c>
      <c r="C2799" t="s">
        <v>269</v>
      </c>
      <c r="D2799" s="21" t="s">
        <v>34</v>
      </c>
      <c r="E2799" s="21" t="s">
        <v>35</v>
      </c>
      <c r="F2799">
        <v>12440151</v>
      </c>
      <c r="G2799" t="s">
        <v>1327</v>
      </c>
      <c r="H2799" s="21">
        <v>1346.17</v>
      </c>
    </row>
    <row r="2800" spans="1:8" customFormat="1" x14ac:dyDescent="0.25">
      <c r="A2800" t="str">
        <f>"5712076"</f>
        <v>5712076</v>
      </c>
      <c r="B2800" t="s">
        <v>1777</v>
      </c>
      <c r="C2800" t="s">
        <v>1119</v>
      </c>
      <c r="D2800" s="21" t="s">
        <v>34</v>
      </c>
      <c r="E2800" s="21" t="s">
        <v>35</v>
      </c>
      <c r="F2800">
        <v>6570154</v>
      </c>
      <c r="G2800" t="s">
        <v>3935</v>
      </c>
      <c r="H2800" s="21">
        <v>1346.17</v>
      </c>
    </row>
    <row r="2801" spans="1:8" customFormat="1" x14ac:dyDescent="0.25">
      <c r="A2801" t="str">
        <f>"885840"</f>
        <v>885840</v>
      </c>
      <c r="B2801" t="s">
        <v>2836</v>
      </c>
      <c r="C2801" t="s">
        <v>412</v>
      </c>
      <c r="D2801" s="21" t="s">
        <v>34</v>
      </c>
      <c r="E2801" s="21" t="s">
        <v>71</v>
      </c>
      <c r="F2801">
        <v>6880145</v>
      </c>
      <c r="G2801" t="s">
        <v>1303</v>
      </c>
      <c r="H2801" s="21">
        <v>1346.17</v>
      </c>
    </row>
    <row r="2802" spans="1:8" customFormat="1" x14ac:dyDescent="0.25">
      <c r="A2802" t="str">
        <f>"7827207"</f>
        <v>7827207</v>
      </c>
      <c r="B2802" t="s">
        <v>482</v>
      </c>
      <c r="C2802" t="s">
        <v>49</v>
      </c>
      <c r="D2802" s="21" t="s">
        <v>34</v>
      </c>
      <c r="E2802" s="21" t="s">
        <v>35</v>
      </c>
      <c r="F2802">
        <v>8780128</v>
      </c>
      <c r="G2802" t="s">
        <v>4201</v>
      </c>
      <c r="H2802" s="21">
        <v>1346.05</v>
      </c>
    </row>
    <row r="2803" spans="1:8" customFormat="1" x14ac:dyDescent="0.25">
      <c r="A2803" t="str">
        <f>"014525"</f>
        <v>014525</v>
      </c>
      <c r="B2803" t="s">
        <v>3351</v>
      </c>
      <c r="C2803" t="s">
        <v>169</v>
      </c>
      <c r="D2803" s="21" t="s">
        <v>34</v>
      </c>
      <c r="E2803" s="21" t="s">
        <v>35</v>
      </c>
      <c r="F2803">
        <v>1010001</v>
      </c>
      <c r="G2803" t="s">
        <v>2161</v>
      </c>
      <c r="H2803" s="21">
        <v>1345.92</v>
      </c>
    </row>
    <row r="2804" spans="1:8" customFormat="1" x14ac:dyDescent="0.25">
      <c r="A2804" t="str">
        <f>"9424343"</f>
        <v>9424343</v>
      </c>
      <c r="B2804" t="s">
        <v>3865</v>
      </c>
      <c r="C2804" t="s">
        <v>3866</v>
      </c>
      <c r="D2804" s="21" t="s">
        <v>34</v>
      </c>
      <c r="E2804" s="21" t="s">
        <v>35</v>
      </c>
      <c r="F2804">
        <v>8910077</v>
      </c>
      <c r="G2804" t="s">
        <v>1380</v>
      </c>
      <c r="H2804" s="21">
        <v>1345.67</v>
      </c>
    </row>
    <row r="2805" spans="1:8" customFormat="1" x14ac:dyDescent="0.25">
      <c r="A2805" t="str">
        <f>"608060"</f>
        <v>608060</v>
      </c>
      <c r="B2805" t="s">
        <v>3710</v>
      </c>
      <c r="C2805" t="s">
        <v>486</v>
      </c>
      <c r="D2805" s="21" t="s">
        <v>34</v>
      </c>
      <c r="E2805" s="21" t="s">
        <v>35</v>
      </c>
      <c r="F2805">
        <v>7020040</v>
      </c>
      <c r="G2805" t="s">
        <v>1698</v>
      </c>
      <c r="H2805" s="21">
        <v>1345.67</v>
      </c>
    </row>
    <row r="2806" spans="1:8" customFormat="1" x14ac:dyDescent="0.25">
      <c r="A2806" t="str">
        <f>"7619299"</f>
        <v>7619299</v>
      </c>
      <c r="B2806" t="s">
        <v>3874</v>
      </c>
      <c r="C2806" t="s">
        <v>33</v>
      </c>
      <c r="D2806" s="21" t="s">
        <v>34</v>
      </c>
      <c r="E2806" s="21" t="s">
        <v>35</v>
      </c>
      <c r="F2806">
        <v>9760396</v>
      </c>
      <c r="G2806" t="s">
        <v>3875</v>
      </c>
      <c r="H2806" s="21">
        <v>1345.67</v>
      </c>
    </row>
    <row r="2807" spans="1:8" customFormat="1" x14ac:dyDescent="0.25">
      <c r="A2807" t="str">
        <f>"6710244"</f>
        <v>6710244</v>
      </c>
      <c r="B2807" t="s">
        <v>208</v>
      </c>
      <c r="C2807" t="s">
        <v>33</v>
      </c>
      <c r="D2807" s="21" t="s">
        <v>34</v>
      </c>
      <c r="E2807" s="21" t="s">
        <v>71</v>
      </c>
      <c r="F2807">
        <v>6670010</v>
      </c>
      <c r="G2807" t="s">
        <v>721</v>
      </c>
      <c r="H2807" s="21">
        <v>1345.67</v>
      </c>
    </row>
    <row r="2808" spans="1:8" customFormat="1" x14ac:dyDescent="0.25">
      <c r="A2808" t="str">
        <f>"833334"</f>
        <v>833334</v>
      </c>
      <c r="B2808" t="s">
        <v>3631</v>
      </c>
      <c r="C2808" t="s">
        <v>130</v>
      </c>
      <c r="D2808" s="21" t="s">
        <v>34</v>
      </c>
      <c r="E2808" s="21" t="s">
        <v>71</v>
      </c>
      <c r="F2808">
        <v>13830092</v>
      </c>
      <c r="G2808" t="s">
        <v>3632</v>
      </c>
      <c r="H2808" s="21">
        <v>1345.54</v>
      </c>
    </row>
    <row r="2809" spans="1:8" customFormat="1" x14ac:dyDescent="0.25">
      <c r="A2809" t="str">
        <f>"534151"</f>
        <v>534151</v>
      </c>
      <c r="B2809" t="s">
        <v>3189</v>
      </c>
      <c r="C2809" t="s">
        <v>253</v>
      </c>
      <c r="D2809" s="21" t="s">
        <v>34</v>
      </c>
      <c r="E2809" s="21" t="s">
        <v>1089</v>
      </c>
      <c r="F2809">
        <v>12530060</v>
      </c>
      <c r="G2809" t="s">
        <v>1356</v>
      </c>
      <c r="H2809" s="21">
        <v>1345.42</v>
      </c>
    </row>
    <row r="2810" spans="1:8" customFormat="1" x14ac:dyDescent="0.25">
      <c r="A2810" t="str">
        <f>"9418261"</f>
        <v>9418261</v>
      </c>
      <c r="B2810" t="s">
        <v>4006</v>
      </c>
      <c r="C2810" t="s">
        <v>1146</v>
      </c>
      <c r="D2810" s="21" t="s">
        <v>34</v>
      </c>
      <c r="E2810" s="21" t="s">
        <v>71</v>
      </c>
      <c r="F2810">
        <v>8940549</v>
      </c>
      <c r="G2810" t="s">
        <v>454</v>
      </c>
      <c r="H2810" s="21">
        <v>1345.3</v>
      </c>
    </row>
    <row r="2811" spans="1:8" customFormat="1" x14ac:dyDescent="0.25">
      <c r="A2811" t="str">
        <f>"08733"</f>
        <v>08733</v>
      </c>
      <c r="B2811" t="s">
        <v>1270</v>
      </c>
      <c r="C2811" t="s">
        <v>202</v>
      </c>
      <c r="D2811" s="21" t="s">
        <v>34</v>
      </c>
      <c r="E2811" s="21" t="s">
        <v>71</v>
      </c>
      <c r="F2811">
        <v>6080014</v>
      </c>
      <c r="G2811" t="s">
        <v>1272</v>
      </c>
      <c r="H2811" s="21">
        <v>1345.17</v>
      </c>
    </row>
    <row r="2812" spans="1:8" customFormat="1" x14ac:dyDescent="0.25">
      <c r="A2812" t="str">
        <f>"4433242"</f>
        <v>4433242</v>
      </c>
      <c r="B2812" t="s">
        <v>3748</v>
      </c>
      <c r="C2812" t="s">
        <v>249</v>
      </c>
      <c r="D2812" s="21" t="s">
        <v>34</v>
      </c>
      <c r="E2812" s="21" t="s">
        <v>35</v>
      </c>
      <c r="F2812">
        <v>12440138</v>
      </c>
      <c r="G2812" t="s">
        <v>562</v>
      </c>
      <c r="H2812" s="21">
        <v>1345.17</v>
      </c>
    </row>
    <row r="2813" spans="1:8" customFormat="1" x14ac:dyDescent="0.25">
      <c r="A2813" t="str">
        <f>"8311801"</f>
        <v>8311801</v>
      </c>
      <c r="B2813" t="s">
        <v>2711</v>
      </c>
      <c r="C2813" t="s">
        <v>249</v>
      </c>
      <c r="D2813" s="21" t="s">
        <v>34</v>
      </c>
      <c r="E2813" s="21" t="s">
        <v>71</v>
      </c>
      <c r="F2813">
        <v>13830015</v>
      </c>
      <c r="G2813" t="s">
        <v>4011</v>
      </c>
      <c r="H2813" s="21">
        <v>1345.17</v>
      </c>
    </row>
    <row r="2814" spans="1:8" customFormat="1" x14ac:dyDescent="0.25">
      <c r="A2814" t="str">
        <f>"284932"</f>
        <v>284932</v>
      </c>
      <c r="B2814" t="s">
        <v>1834</v>
      </c>
      <c r="C2814" t="s">
        <v>249</v>
      </c>
      <c r="D2814" s="21" t="s">
        <v>34</v>
      </c>
      <c r="E2814" s="21" t="s">
        <v>71</v>
      </c>
      <c r="F2814">
        <v>4280322</v>
      </c>
      <c r="G2814" t="s">
        <v>265</v>
      </c>
      <c r="H2814" s="21">
        <v>1345.17</v>
      </c>
    </row>
    <row r="2815" spans="1:8" customFormat="1" x14ac:dyDescent="0.25">
      <c r="A2815" t="str">
        <f>"5618927"</f>
        <v>5618927</v>
      </c>
      <c r="B2815" t="s">
        <v>3293</v>
      </c>
      <c r="C2815" t="s">
        <v>269</v>
      </c>
      <c r="D2815" s="21" t="s">
        <v>34</v>
      </c>
      <c r="E2815" s="21" t="s">
        <v>71</v>
      </c>
      <c r="F2815">
        <v>3560066</v>
      </c>
      <c r="G2815" t="s">
        <v>1156</v>
      </c>
      <c r="H2815" s="21">
        <v>1344.67</v>
      </c>
    </row>
    <row r="2816" spans="1:8" customFormat="1" x14ac:dyDescent="0.25">
      <c r="A2816" t="str">
        <f>"9416908"</f>
        <v>9416908</v>
      </c>
      <c r="B2816" t="s">
        <v>3947</v>
      </c>
      <c r="C2816" t="s">
        <v>139</v>
      </c>
      <c r="D2816" s="21" t="s">
        <v>34</v>
      </c>
      <c r="E2816" s="21" t="s">
        <v>35</v>
      </c>
      <c r="F2816">
        <v>8770562</v>
      </c>
      <c r="G2816" t="s">
        <v>4847</v>
      </c>
      <c r="H2816" s="21">
        <v>1344.67</v>
      </c>
    </row>
    <row r="2817" spans="1:8" customFormat="1" x14ac:dyDescent="0.25">
      <c r="A2817" t="str">
        <f>"1310436"</f>
        <v>1310436</v>
      </c>
      <c r="B2817" t="s">
        <v>3768</v>
      </c>
      <c r="C2817" t="s">
        <v>55</v>
      </c>
      <c r="D2817" s="21" t="s">
        <v>34</v>
      </c>
      <c r="E2817" s="21" t="s">
        <v>35</v>
      </c>
      <c r="F2817">
        <v>13130161</v>
      </c>
      <c r="G2817" t="s">
        <v>1171</v>
      </c>
      <c r="H2817" s="21">
        <v>1344.67</v>
      </c>
    </row>
    <row r="2818" spans="1:8" customFormat="1" x14ac:dyDescent="0.25">
      <c r="A2818" t="str">
        <f>"5714972"</f>
        <v>5714972</v>
      </c>
      <c r="B2818" t="s">
        <v>3749</v>
      </c>
      <c r="C2818" t="s">
        <v>267</v>
      </c>
      <c r="D2818" s="21" t="s">
        <v>34</v>
      </c>
      <c r="E2818" s="21" t="s">
        <v>254</v>
      </c>
      <c r="F2818">
        <v>6570132</v>
      </c>
      <c r="G2818" t="s">
        <v>26746</v>
      </c>
      <c r="H2818" s="21">
        <v>1344.67</v>
      </c>
    </row>
    <row r="2819" spans="1:8" customFormat="1" x14ac:dyDescent="0.25">
      <c r="A2819" t="str">
        <f>"1612177"</f>
        <v>1612177</v>
      </c>
      <c r="B2819" t="s">
        <v>17596</v>
      </c>
      <c r="C2819" t="s">
        <v>269</v>
      </c>
      <c r="D2819" s="21" t="s">
        <v>34</v>
      </c>
      <c r="E2819" s="21" t="s">
        <v>35</v>
      </c>
      <c r="F2819">
        <v>10160040</v>
      </c>
      <c r="G2819" t="s">
        <v>1131</v>
      </c>
      <c r="H2819" s="21">
        <v>1344.67</v>
      </c>
    </row>
    <row r="2820" spans="1:8" customFormat="1" x14ac:dyDescent="0.25">
      <c r="A2820" t="str">
        <f>"7830112"</f>
        <v>7830112</v>
      </c>
      <c r="B2820" t="s">
        <v>26747</v>
      </c>
      <c r="C2820" t="s">
        <v>156</v>
      </c>
      <c r="D2820" s="21" t="s">
        <v>34</v>
      </c>
      <c r="E2820" s="21" t="s">
        <v>254</v>
      </c>
      <c r="F2820">
        <v>8780128</v>
      </c>
      <c r="G2820" t="s">
        <v>4201</v>
      </c>
      <c r="H2820" s="21">
        <v>1344.67</v>
      </c>
    </row>
    <row r="2821" spans="1:8" customFormat="1" x14ac:dyDescent="0.25">
      <c r="A2821" t="str">
        <f>"375473"</f>
        <v>375473</v>
      </c>
      <c r="B2821" t="s">
        <v>3429</v>
      </c>
      <c r="C2821" t="s">
        <v>1100</v>
      </c>
      <c r="D2821" s="21" t="s">
        <v>34</v>
      </c>
      <c r="E2821" s="21" t="s">
        <v>35</v>
      </c>
      <c r="F2821">
        <v>4370183</v>
      </c>
      <c r="G2821" t="s">
        <v>231</v>
      </c>
      <c r="H2821" s="21">
        <v>1344.42</v>
      </c>
    </row>
    <row r="2822" spans="1:8" customFormat="1" x14ac:dyDescent="0.25">
      <c r="A2822" t="str">
        <f>"5310185"</f>
        <v>5310185</v>
      </c>
      <c r="B2822" t="s">
        <v>4061</v>
      </c>
      <c r="C2822" t="s">
        <v>263</v>
      </c>
      <c r="D2822" s="21" t="s">
        <v>34</v>
      </c>
      <c r="E2822" s="21" t="s">
        <v>35</v>
      </c>
      <c r="F2822">
        <v>12530059</v>
      </c>
      <c r="G2822" t="s">
        <v>4062</v>
      </c>
      <c r="H2822" s="21">
        <v>1344.42</v>
      </c>
    </row>
    <row r="2823" spans="1:8" customFormat="1" x14ac:dyDescent="0.25">
      <c r="A2823" t="str">
        <f>"6914279"</f>
        <v>6914279</v>
      </c>
      <c r="B2823" t="s">
        <v>2511</v>
      </c>
      <c r="C2823" t="s">
        <v>4222</v>
      </c>
      <c r="D2823" s="21" t="s">
        <v>34</v>
      </c>
      <c r="E2823" s="21" t="s">
        <v>71</v>
      </c>
      <c r="F2823">
        <v>1690047</v>
      </c>
      <c r="G2823" t="s">
        <v>4223</v>
      </c>
      <c r="H2823" s="21">
        <v>1344.3</v>
      </c>
    </row>
    <row r="2824" spans="1:8" customFormat="1" x14ac:dyDescent="0.25">
      <c r="A2824" t="str">
        <f>"5613633"</f>
        <v>5613633</v>
      </c>
      <c r="B2824" t="s">
        <v>4459</v>
      </c>
      <c r="C2824" t="s">
        <v>60</v>
      </c>
      <c r="D2824" s="21" t="s">
        <v>34</v>
      </c>
      <c r="E2824" s="21" t="s">
        <v>35</v>
      </c>
      <c r="F2824">
        <v>3560038</v>
      </c>
      <c r="G2824" t="s">
        <v>3598</v>
      </c>
      <c r="H2824" s="21">
        <v>1344.29</v>
      </c>
    </row>
    <row r="2825" spans="1:8" customFormat="1" x14ac:dyDescent="0.25">
      <c r="A2825" t="str">
        <f>"4452170"</f>
        <v>4452170</v>
      </c>
      <c r="B2825" t="s">
        <v>4181</v>
      </c>
      <c r="C2825" t="s">
        <v>926</v>
      </c>
      <c r="D2825" s="21" t="s">
        <v>34</v>
      </c>
      <c r="E2825" s="21" t="s">
        <v>71</v>
      </c>
      <c r="F2825">
        <v>12440094</v>
      </c>
      <c r="G2825" t="s">
        <v>892</v>
      </c>
      <c r="H2825" s="21">
        <v>1344.17</v>
      </c>
    </row>
    <row r="2826" spans="1:8" customFormat="1" x14ac:dyDescent="0.25">
      <c r="A2826" t="str">
        <f>"5010980"</f>
        <v>5010980</v>
      </c>
      <c r="B2826" t="s">
        <v>3760</v>
      </c>
      <c r="C2826" t="s">
        <v>288</v>
      </c>
      <c r="D2826" s="21" t="s">
        <v>34</v>
      </c>
      <c r="E2826" s="21" t="s">
        <v>35</v>
      </c>
      <c r="F2826">
        <v>9500112</v>
      </c>
      <c r="G2826" t="s">
        <v>1668</v>
      </c>
      <c r="H2826" s="21">
        <v>1344.17</v>
      </c>
    </row>
    <row r="2827" spans="1:8" customFormat="1" x14ac:dyDescent="0.25">
      <c r="A2827" t="str">
        <f>"083186"</f>
        <v>083186</v>
      </c>
      <c r="B2827" t="s">
        <v>3624</v>
      </c>
      <c r="C2827" t="s">
        <v>90</v>
      </c>
      <c r="D2827" s="21" t="s">
        <v>34</v>
      </c>
      <c r="E2827" s="21" t="s">
        <v>71</v>
      </c>
      <c r="F2827">
        <v>8771154</v>
      </c>
      <c r="G2827" t="s">
        <v>3625</v>
      </c>
      <c r="H2827" s="21">
        <v>1344.05</v>
      </c>
    </row>
    <row r="2828" spans="1:8" customFormat="1" x14ac:dyDescent="0.25">
      <c r="A2828" t="str">
        <f>"107446"</f>
        <v>107446</v>
      </c>
      <c r="B2828" t="s">
        <v>26748</v>
      </c>
      <c r="C2828" t="s">
        <v>236</v>
      </c>
      <c r="D2828" s="21" t="s">
        <v>34</v>
      </c>
      <c r="E2828" s="21" t="s">
        <v>71</v>
      </c>
      <c r="F2828">
        <v>6100002</v>
      </c>
      <c r="G2828" t="s">
        <v>1602</v>
      </c>
      <c r="H2828" s="21">
        <v>1343.92</v>
      </c>
    </row>
    <row r="2829" spans="1:8" customFormat="1" x14ac:dyDescent="0.25">
      <c r="A2829" t="str">
        <f>"831615"</f>
        <v>831615</v>
      </c>
      <c r="B2829" t="s">
        <v>3220</v>
      </c>
      <c r="C2829" t="s">
        <v>1914</v>
      </c>
      <c r="D2829" s="21" t="s">
        <v>34</v>
      </c>
      <c r="E2829" s="21" t="s">
        <v>35</v>
      </c>
      <c r="F2829">
        <v>13830071</v>
      </c>
      <c r="G2829" t="s">
        <v>3221</v>
      </c>
      <c r="H2829" s="21">
        <v>1343.67</v>
      </c>
    </row>
    <row r="2830" spans="1:8" customFormat="1" x14ac:dyDescent="0.25">
      <c r="A2830" t="str">
        <f>"403242"</f>
        <v>403242</v>
      </c>
      <c r="B2830" t="s">
        <v>392</v>
      </c>
      <c r="C2830" t="s">
        <v>249</v>
      </c>
      <c r="D2830" s="21" t="s">
        <v>34</v>
      </c>
      <c r="E2830" s="21" t="s">
        <v>71</v>
      </c>
      <c r="F2830">
        <v>10400001</v>
      </c>
      <c r="G2830" t="s">
        <v>609</v>
      </c>
      <c r="H2830" s="21">
        <v>1343.67</v>
      </c>
    </row>
    <row r="2831" spans="1:8" customFormat="1" x14ac:dyDescent="0.25">
      <c r="A2831" t="str">
        <f>"5719489"</f>
        <v>5719489</v>
      </c>
      <c r="B2831" t="s">
        <v>3337</v>
      </c>
      <c r="C2831" t="s">
        <v>204</v>
      </c>
      <c r="D2831" s="21" t="s">
        <v>34</v>
      </c>
      <c r="E2831" s="21" t="s">
        <v>71</v>
      </c>
      <c r="F2831">
        <v>6570111</v>
      </c>
      <c r="G2831" t="s">
        <v>99</v>
      </c>
      <c r="H2831" s="21">
        <v>1343.67</v>
      </c>
    </row>
    <row r="2832" spans="1:8" customFormat="1" x14ac:dyDescent="0.25">
      <c r="A2832" t="str">
        <f>"518264"</f>
        <v>518264</v>
      </c>
      <c r="B2832" t="s">
        <v>3734</v>
      </c>
      <c r="C2832" t="s">
        <v>415</v>
      </c>
      <c r="D2832" s="21" t="s">
        <v>34</v>
      </c>
      <c r="E2832" s="21" t="s">
        <v>35</v>
      </c>
      <c r="F2832">
        <v>6510018</v>
      </c>
      <c r="G2832" t="s">
        <v>3055</v>
      </c>
      <c r="H2832" s="21">
        <v>1343.67</v>
      </c>
    </row>
    <row r="2833" spans="1:8" customFormat="1" x14ac:dyDescent="0.25">
      <c r="A2833" t="str">
        <f>"5567"</f>
        <v>5567</v>
      </c>
      <c r="B2833" t="s">
        <v>3473</v>
      </c>
      <c r="C2833" t="s">
        <v>812</v>
      </c>
      <c r="D2833" s="21" t="s">
        <v>34</v>
      </c>
      <c r="E2833" s="21" t="s">
        <v>35</v>
      </c>
      <c r="F2833">
        <v>6550007</v>
      </c>
      <c r="G2833" t="s">
        <v>1688</v>
      </c>
      <c r="H2833" s="21">
        <v>1343.67</v>
      </c>
    </row>
    <row r="2834" spans="1:8" customFormat="1" x14ac:dyDescent="0.25">
      <c r="A2834" t="str">
        <f>"591439"</f>
        <v>591439</v>
      </c>
      <c r="B2834" t="s">
        <v>2642</v>
      </c>
      <c r="C2834" t="s">
        <v>169</v>
      </c>
      <c r="D2834" s="21" t="s">
        <v>34</v>
      </c>
      <c r="E2834" s="21" t="s">
        <v>71</v>
      </c>
      <c r="F2834">
        <v>7590372</v>
      </c>
      <c r="G2834" t="s">
        <v>3638</v>
      </c>
      <c r="H2834" s="21">
        <v>1343.67</v>
      </c>
    </row>
    <row r="2835" spans="1:8" customFormat="1" x14ac:dyDescent="0.25">
      <c r="A2835" t="str">
        <f>"777410"</f>
        <v>777410</v>
      </c>
      <c r="B2835" t="s">
        <v>582</v>
      </c>
      <c r="C2835" t="s">
        <v>87</v>
      </c>
      <c r="D2835" s="21" t="s">
        <v>34</v>
      </c>
      <c r="E2835" s="21" t="s">
        <v>35</v>
      </c>
      <c r="F2835">
        <v>8770489</v>
      </c>
      <c r="G2835" t="s">
        <v>1763</v>
      </c>
      <c r="H2835" s="21">
        <v>1343.67</v>
      </c>
    </row>
    <row r="2836" spans="1:8" customFormat="1" x14ac:dyDescent="0.25">
      <c r="A2836" t="str">
        <f>"87182"</f>
        <v>87182</v>
      </c>
      <c r="B2836" t="s">
        <v>3640</v>
      </c>
      <c r="C2836" t="s">
        <v>415</v>
      </c>
      <c r="D2836" s="21" t="s">
        <v>34</v>
      </c>
      <c r="E2836" s="21" t="s">
        <v>71</v>
      </c>
      <c r="F2836">
        <v>10870003</v>
      </c>
      <c r="G2836" t="s">
        <v>1187</v>
      </c>
      <c r="H2836" s="21">
        <v>1343.55</v>
      </c>
    </row>
    <row r="2837" spans="1:8" customFormat="1" x14ac:dyDescent="0.25">
      <c r="A2837" t="str">
        <f>"712158"</f>
        <v>712158</v>
      </c>
      <c r="B2837" t="s">
        <v>3975</v>
      </c>
      <c r="C2837" t="s">
        <v>65</v>
      </c>
      <c r="D2837" s="21" t="s">
        <v>34</v>
      </c>
      <c r="E2837" s="21" t="s">
        <v>35</v>
      </c>
      <c r="F2837">
        <v>2710025</v>
      </c>
      <c r="G2837" t="s">
        <v>2719</v>
      </c>
      <c r="H2837" s="21">
        <v>1343.17</v>
      </c>
    </row>
    <row r="2838" spans="1:8" customFormat="1" x14ac:dyDescent="0.25">
      <c r="A2838" t="str">
        <f>"1425027"</f>
        <v>1425027</v>
      </c>
      <c r="B2838" t="s">
        <v>4118</v>
      </c>
      <c r="C2838" t="s">
        <v>139</v>
      </c>
      <c r="D2838" s="21" t="s">
        <v>34</v>
      </c>
      <c r="E2838" s="21" t="s">
        <v>35</v>
      </c>
      <c r="F2838">
        <v>9140156</v>
      </c>
      <c r="G2838" t="s">
        <v>645</v>
      </c>
      <c r="H2838" s="21">
        <v>1343.17</v>
      </c>
    </row>
    <row r="2839" spans="1:8" customFormat="1" x14ac:dyDescent="0.25">
      <c r="A2839" t="str">
        <f>"381274"</f>
        <v>381274</v>
      </c>
      <c r="B2839" t="s">
        <v>2823</v>
      </c>
      <c r="C2839" t="s">
        <v>198</v>
      </c>
      <c r="D2839" s="21" t="s">
        <v>34</v>
      </c>
      <c r="E2839" s="21" t="s">
        <v>35</v>
      </c>
      <c r="F2839">
        <v>1380136</v>
      </c>
      <c r="G2839" t="s">
        <v>1047</v>
      </c>
      <c r="H2839" s="21">
        <v>1343.17</v>
      </c>
    </row>
    <row r="2840" spans="1:8" customFormat="1" x14ac:dyDescent="0.25">
      <c r="A2840" t="str">
        <f>"5413066"</f>
        <v>5413066</v>
      </c>
      <c r="B2840" t="s">
        <v>3604</v>
      </c>
      <c r="C2840" t="s">
        <v>486</v>
      </c>
      <c r="D2840" s="21" t="s">
        <v>34</v>
      </c>
      <c r="E2840" s="21" t="s">
        <v>35</v>
      </c>
      <c r="F2840">
        <v>2390027</v>
      </c>
      <c r="G2840" t="s">
        <v>3605</v>
      </c>
      <c r="H2840" s="21">
        <v>1343.17</v>
      </c>
    </row>
    <row r="2841" spans="1:8" customFormat="1" x14ac:dyDescent="0.25">
      <c r="A2841" t="str">
        <f>"7853183"</f>
        <v>7853183</v>
      </c>
      <c r="B2841" t="s">
        <v>3243</v>
      </c>
      <c r="C2841" t="s">
        <v>169</v>
      </c>
      <c r="D2841" s="21" t="s">
        <v>34</v>
      </c>
      <c r="E2841" s="21" t="s">
        <v>35</v>
      </c>
      <c r="F2841">
        <v>8780002</v>
      </c>
      <c r="G2841" t="s">
        <v>2196</v>
      </c>
      <c r="H2841" s="21">
        <v>1343.05</v>
      </c>
    </row>
    <row r="2842" spans="1:8" customFormat="1" x14ac:dyDescent="0.25">
      <c r="A2842" t="str">
        <f>"7834366"</f>
        <v>7834366</v>
      </c>
      <c r="B2842" t="s">
        <v>2138</v>
      </c>
      <c r="C2842" t="s">
        <v>3355</v>
      </c>
      <c r="D2842" s="21" t="s">
        <v>34</v>
      </c>
      <c r="E2842" s="21" t="s">
        <v>71</v>
      </c>
      <c r="F2842">
        <v>8920049</v>
      </c>
      <c r="G2842" t="s">
        <v>237</v>
      </c>
      <c r="H2842" s="21">
        <v>1342.82</v>
      </c>
    </row>
    <row r="2843" spans="1:8" customFormat="1" x14ac:dyDescent="0.25">
      <c r="A2843" t="str">
        <f>"9416250"</f>
        <v>9416250</v>
      </c>
      <c r="B2843" t="s">
        <v>4134</v>
      </c>
      <c r="C2843" t="s">
        <v>249</v>
      </c>
      <c r="D2843" s="21" t="s">
        <v>34</v>
      </c>
      <c r="E2843" s="21" t="s">
        <v>71</v>
      </c>
      <c r="F2843">
        <v>8940012</v>
      </c>
      <c r="G2843" t="s">
        <v>1648</v>
      </c>
      <c r="H2843" s="21">
        <v>1342.8</v>
      </c>
    </row>
    <row r="2844" spans="1:8" customFormat="1" x14ac:dyDescent="0.25">
      <c r="A2844" t="str">
        <f>"9131434"</f>
        <v>9131434</v>
      </c>
      <c r="B2844" t="s">
        <v>3521</v>
      </c>
      <c r="C2844" t="s">
        <v>3522</v>
      </c>
      <c r="D2844" s="21" t="s">
        <v>34</v>
      </c>
      <c r="E2844" s="21" t="s">
        <v>35</v>
      </c>
      <c r="F2844">
        <v>8911430</v>
      </c>
      <c r="G2844" t="s">
        <v>3523</v>
      </c>
      <c r="H2844" s="21">
        <v>1342.68</v>
      </c>
    </row>
    <row r="2845" spans="1:8" customFormat="1" x14ac:dyDescent="0.25">
      <c r="A2845" t="str">
        <f>"6812594"</f>
        <v>6812594</v>
      </c>
      <c r="B2845" t="s">
        <v>3448</v>
      </c>
      <c r="C2845" t="s">
        <v>55</v>
      </c>
      <c r="D2845" s="21" t="s">
        <v>34</v>
      </c>
      <c r="E2845" s="21" t="s">
        <v>71</v>
      </c>
      <c r="F2845">
        <v>6680102</v>
      </c>
      <c r="G2845" t="s">
        <v>1232</v>
      </c>
      <c r="H2845" s="21">
        <v>1342.67</v>
      </c>
    </row>
    <row r="2846" spans="1:8" customFormat="1" x14ac:dyDescent="0.25">
      <c r="A2846" t="str">
        <f>"2511355"</f>
        <v>2511355</v>
      </c>
      <c r="B2846" t="s">
        <v>3922</v>
      </c>
      <c r="C2846" t="s">
        <v>233</v>
      </c>
      <c r="D2846" s="21" t="s">
        <v>34</v>
      </c>
      <c r="E2846" s="21" t="s">
        <v>35</v>
      </c>
      <c r="F2846">
        <v>2250070</v>
      </c>
      <c r="G2846" t="s">
        <v>3923</v>
      </c>
      <c r="H2846" s="21">
        <v>1342.67</v>
      </c>
    </row>
    <row r="2847" spans="1:8" customFormat="1" x14ac:dyDescent="0.25">
      <c r="A2847" t="str">
        <f>"595645"</f>
        <v>595645</v>
      </c>
      <c r="B2847" t="s">
        <v>3425</v>
      </c>
      <c r="C2847" t="s">
        <v>209</v>
      </c>
      <c r="D2847" s="21" t="s">
        <v>34</v>
      </c>
      <c r="E2847" s="21" t="s">
        <v>71</v>
      </c>
      <c r="F2847">
        <v>7590063</v>
      </c>
      <c r="G2847" t="s">
        <v>3426</v>
      </c>
      <c r="H2847" s="21">
        <v>1342.67</v>
      </c>
    </row>
    <row r="2848" spans="1:8" customFormat="1" x14ac:dyDescent="0.25">
      <c r="A2848" t="str">
        <f>"281854"</f>
        <v>281854</v>
      </c>
      <c r="B2848" t="s">
        <v>3490</v>
      </c>
      <c r="C2848" t="s">
        <v>967</v>
      </c>
      <c r="D2848" s="21" t="s">
        <v>34</v>
      </c>
      <c r="E2848" s="21" t="s">
        <v>71</v>
      </c>
      <c r="F2848">
        <v>4280517</v>
      </c>
      <c r="G2848" t="s">
        <v>436</v>
      </c>
      <c r="H2848" s="21">
        <v>1342.67</v>
      </c>
    </row>
    <row r="2849" spans="1:8" customFormat="1" x14ac:dyDescent="0.25">
      <c r="A2849" t="str">
        <f>"061034"</f>
        <v>061034</v>
      </c>
      <c r="B2849" t="s">
        <v>3608</v>
      </c>
      <c r="C2849" t="s">
        <v>2276</v>
      </c>
      <c r="D2849" s="21" t="s">
        <v>34</v>
      </c>
      <c r="E2849" s="21" t="s">
        <v>254</v>
      </c>
      <c r="F2849">
        <v>13060005</v>
      </c>
      <c r="G2849" t="s">
        <v>3609</v>
      </c>
      <c r="H2849" s="21">
        <v>1342.67</v>
      </c>
    </row>
    <row r="2850" spans="1:8" customFormat="1" x14ac:dyDescent="0.25">
      <c r="A2850" t="str">
        <f>"393493"</f>
        <v>393493</v>
      </c>
      <c r="B2850" t="s">
        <v>970</v>
      </c>
      <c r="C2850" t="s">
        <v>267</v>
      </c>
      <c r="D2850" s="21" t="s">
        <v>34</v>
      </c>
      <c r="E2850" s="21" t="s">
        <v>71</v>
      </c>
      <c r="F2850">
        <v>2390027</v>
      </c>
      <c r="G2850" t="s">
        <v>3605</v>
      </c>
      <c r="H2850" s="21">
        <v>1342.67</v>
      </c>
    </row>
    <row r="2851" spans="1:8" customFormat="1" x14ac:dyDescent="0.25">
      <c r="A2851" t="str">
        <f>"23194"</f>
        <v>23194</v>
      </c>
      <c r="B2851" t="s">
        <v>1838</v>
      </c>
      <c r="C2851" t="s">
        <v>262</v>
      </c>
      <c r="D2851" s="21" t="s">
        <v>34</v>
      </c>
      <c r="E2851" s="21" t="s">
        <v>35</v>
      </c>
      <c r="F2851">
        <v>10230067</v>
      </c>
      <c r="G2851" t="s">
        <v>912</v>
      </c>
      <c r="H2851" s="21">
        <v>1342.67</v>
      </c>
    </row>
    <row r="2852" spans="1:8" customFormat="1" x14ac:dyDescent="0.25">
      <c r="A2852" t="str">
        <f>"594828"</f>
        <v>594828</v>
      </c>
      <c r="B2852" t="s">
        <v>3830</v>
      </c>
      <c r="C2852" t="s">
        <v>43</v>
      </c>
      <c r="D2852" s="21" t="s">
        <v>34</v>
      </c>
      <c r="E2852" s="21" t="s">
        <v>35</v>
      </c>
      <c r="F2852">
        <v>7590051</v>
      </c>
      <c r="G2852" t="s">
        <v>3831</v>
      </c>
      <c r="H2852" s="21">
        <v>1342.17</v>
      </c>
    </row>
    <row r="2853" spans="1:8" customFormat="1" x14ac:dyDescent="0.25">
      <c r="A2853" t="str">
        <f>"742649"</f>
        <v>742649</v>
      </c>
      <c r="B2853" t="s">
        <v>4717</v>
      </c>
      <c r="C2853" t="s">
        <v>43</v>
      </c>
      <c r="D2853" s="21" t="s">
        <v>34</v>
      </c>
      <c r="E2853" s="21" t="s">
        <v>35</v>
      </c>
      <c r="F2853">
        <v>1010069</v>
      </c>
      <c r="G2853" t="s">
        <v>1707</v>
      </c>
      <c r="H2853" s="21">
        <v>1341.93</v>
      </c>
    </row>
    <row r="2854" spans="1:8" customFormat="1" x14ac:dyDescent="0.25">
      <c r="A2854" t="str">
        <f>"704885"</f>
        <v>704885</v>
      </c>
      <c r="B2854" t="s">
        <v>5071</v>
      </c>
      <c r="C2854" t="s">
        <v>169</v>
      </c>
      <c r="D2854" s="21" t="s">
        <v>34</v>
      </c>
      <c r="E2854" s="21" t="s">
        <v>71</v>
      </c>
      <c r="F2854">
        <v>6520022</v>
      </c>
      <c r="G2854" t="s">
        <v>2041</v>
      </c>
      <c r="H2854" s="21">
        <v>1341.67</v>
      </c>
    </row>
    <row r="2855" spans="1:8" customFormat="1" x14ac:dyDescent="0.25">
      <c r="A2855" t="str">
        <f>"561365"</f>
        <v>561365</v>
      </c>
      <c r="B2855" t="s">
        <v>4007</v>
      </c>
      <c r="C2855" t="s">
        <v>40</v>
      </c>
      <c r="D2855" s="21" t="s">
        <v>34</v>
      </c>
      <c r="E2855" s="21" t="s">
        <v>71</v>
      </c>
      <c r="F2855">
        <v>3560039</v>
      </c>
      <c r="G2855" t="s">
        <v>167</v>
      </c>
      <c r="H2855" s="21">
        <v>1341.67</v>
      </c>
    </row>
    <row r="2856" spans="1:8" customFormat="1" x14ac:dyDescent="0.25">
      <c r="A2856" t="str">
        <f>"5942232"</f>
        <v>5942232</v>
      </c>
      <c r="B2856" t="s">
        <v>3735</v>
      </c>
      <c r="C2856" t="s">
        <v>65</v>
      </c>
      <c r="D2856" s="21" t="s">
        <v>34</v>
      </c>
      <c r="E2856" s="21" t="s">
        <v>35</v>
      </c>
      <c r="F2856">
        <v>7590170</v>
      </c>
      <c r="G2856" t="s">
        <v>868</v>
      </c>
      <c r="H2856" s="21">
        <v>1341.67</v>
      </c>
    </row>
    <row r="2857" spans="1:8" customFormat="1" x14ac:dyDescent="0.25">
      <c r="A2857" t="str">
        <f>"441762"</f>
        <v>441762</v>
      </c>
      <c r="B2857" t="s">
        <v>3435</v>
      </c>
      <c r="C2857" t="s">
        <v>169</v>
      </c>
      <c r="D2857" s="21" t="s">
        <v>34</v>
      </c>
      <c r="E2857" s="21" t="s">
        <v>71</v>
      </c>
      <c r="F2857">
        <v>12440055</v>
      </c>
      <c r="G2857" t="s">
        <v>2979</v>
      </c>
      <c r="H2857" s="21">
        <v>1341.67</v>
      </c>
    </row>
    <row r="2858" spans="1:8" customFormat="1" x14ac:dyDescent="0.25">
      <c r="A2858" t="str">
        <f>"1412131"</f>
        <v>1412131</v>
      </c>
      <c r="B2858" t="s">
        <v>4027</v>
      </c>
      <c r="C2858" t="s">
        <v>544</v>
      </c>
      <c r="D2858" s="21" t="s">
        <v>34</v>
      </c>
      <c r="E2858" s="21" t="s">
        <v>35</v>
      </c>
      <c r="F2858">
        <v>9610009</v>
      </c>
      <c r="G2858" t="s">
        <v>282</v>
      </c>
      <c r="H2858" s="21">
        <v>1341.55</v>
      </c>
    </row>
    <row r="2859" spans="1:8" customFormat="1" x14ac:dyDescent="0.25">
      <c r="A2859" t="str">
        <f>"9422724"</f>
        <v>9422724</v>
      </c>
      <c r="B2859" t="s">
        <v>3673</v>
      </c>
      <c r="C2859" t="s">
        <v>412</v>
      </c>
      <c r="D2859" s="21" t="s">
        <v>34</v>
      </c>
      <c r="E2859" s="21" t="s">
        <v>35</v>
      </c>
      <c r="F2859">
        <v>8771398</v>
      </c>
      <c r="G2859" t="s">
        <v>2759</v>
      </c>
      <c r="H2859" s="21">
        <v>1341.55</v>
      </c>
    </row>
    <row r="2860" spans="1:8" customFormat="1" x14ac:dyDescent="0.25">
      <c r="A2860" t="str">
        <f>"2511731"</f>
        <v>2511731</v>
      </c>
      <c r="B2860" t="s">
        <v>4275</v>
      </c>
      <c r="C2860" t="s">
        <v>817</v>
      </c>
      <c r="D2860" s="21" t="s">
        <v>34</v>
      </c>
      <c r="E2860" s="21" t="s">
        <v>71</v>
      </c>
      <c r="F2860">
        <v>2250154</v>
      </c>
      <c r="G2860" t="s">
        <v>1973</v>
      </c>
      <c r="H2860" s="21">
        <v>1341.3</v>
      </c>
    </row>
    <row r="2861" spans="1:8" customFormat="1" x14ac:dyDescent="0.25">
      <c r="A2861" t="str">
        <f>"903257"</f>
        <v>903257</v>
      </c>
      <c r="B2861" t="s">
        <v>4359</v>
      </c>
      <c r="C2861" t="s">
        <v>209</v>
      </c>
      <c r="D2861" s="21" t="s">
        <v>34</v>
      </c>
      <c r="E2861" s="21" t="s">
        <v>35</v>
      </c>
      <c r="F2861">
        <v>2900023</v>
      </c>
      <c r="G2861" t="s">
        <v>4360</v>
      </c>
      <c r="H2861" s="21">
        <v>1341.17</v>
      </c>
    </row>
    <row r="2862" spans="1:8" customFormat="1" x14ac:dyDescent="0.25">
      <c r="A2862" t="str">
        <f>"626645"</f>
        <v>626645</v>
      </c>
      <c r="B2862" t="s">
        <v>3133</v>
      </c>
      <c r="C2862" t="s">
        <v>1142</v>
      </c>
      <c r="D2862" s="21" t="s">
        <v>34</v>
      </c>
      <c r="E2862" s="21" t="s">
        <v>254</v>
      </c>
      <c r="F2862">
        <v>7620162</v>
      </c>
      <c r="G2862" t="s">
        <v>3134</v>
      </c>
      <c r="H2862" s="21">
        <v>1341.17</v>
      </c>
    </row>
    <row r="2863" spans="1:8" customFormat="1" x14ac:dyDescent="0.25">
      <c r="A2863" t="str">
        <f>"1311609"</f>
        <v>1311609</v>
      </c>
      <c r="B2863" t="s">
        <v>2557</v>
      </c>
      <c r="C2863" t="s">
        <v>209</v>
      </c>
      <c r="D2863" s="21" t="s">
        <v>34</v>
      </c>
      <c r="E2863" s="21" t="s">
        <v>35</v>
      </c>
      <c r="F2863">
        <v>13130146</v>
      </c>
      <c r="G2863" t="s">
        <v>2471</v>
      </c>
      <c r="H2863" s="21">
        <v>1341.17</v>
      </c>
    </row>
    <row r="2864" spans="1:8" customFormat="1" x14ac:dyDescent="0.25">
      <c r="A2864" t="str">
        <f>"6710241"</f>
        <v>6710241</v>
      </c>
      <c r="B2864" t="s">
        <v>4529</v>
      </c>
      <c r="C2864" t="s">
        <v>3010</v>
      </c>
      <c r="D2864" s="21" t="s">
        <v>34</v>
      </c>
      <c r="E2864" s="21" t="s">
        <v>254</v>
      </c>
      <c r="F2864">
        <v>6670027</v>
      </c>
      <c r="G2864" t="s">
        <v>2791</v>
      </c>
      <c r="H2864" s="21">
        <v>1341.17</v>
      </c>
    </row>
    <row r="2865" spans="1:8" customFormat="1" x14ac:dyDescent="0.25">
      <c r="A2865" t="str">
        <f>"603938"</f>
        <v>603938</v>
      </c>
      <c r="B2865" t="s">
        <v>3693</v>
      </c>
      <c r="C2865" t="s">
        <v>169</v>
      </c>
      <c r="D2865" s="21" t="s">
        <v>34</v>
      </c>
      <c r="E2865" s="21" t="s">
        <v>71</v>
      </c>
      <c r="F2865">
        <v>7600088</v>
      </c>
      <c r="G2865" t="s">
        <v>334</v>
      </c>
      <c r="H2865" s="21">
        <v>1341.17</v>
      </c>
    </row>
    <row r="2866" spans="1:8" customFormat="1" x14ac:dyDescent="0.25">
      <c r="A2866" t="str">
        <f>"889810"</f>
        <v>889810</v>
      </c>
      <c r="B2866" t="s">
        <v>4832</v>
      </c>
      <c r="C2866" t="s">
        <v>33</v>
      </c>
      <c r="D2866" s="21" t="s">
        <v>34</v>
      </c>
      <c r="E2866" s="21" t="s">
        <v>35</v>
      </c>
      <c r="F2866">
        <v>6880066</v>
      </c>
      <c r="G2866" t="s">
        <v>4833</v>
      </c>
      <c r="H2866" s="21">
        <v>1340.79</v>
      </c>
    </row>
    <row r="2867" spans="1:8" customFormat="1" x14ac:dyDescent="0.25">
      <c r="A2867" t="str">
        <f>"853266"</f>
        <v>853266</v>
      </c>
      <c r="B2867" t="s">
        <v>3655</v>
      </c>
      <c r="C2867" t="s">
        <v>1359</v>
      </c>
      <c r="D2867" s="21" t="s">
        <v>34</v>
      </c>
      <c r="E2867" s="21" t="s">
        <v>35</v>
      </c>
      <c r="F2867">
        <v>12850128</v>
      </c>
      <c r="G2867" t="s">
        <v>3656</v>
      </c>
      <c r="H2867" s="21">
        <v>1340.67</v>
      </c>
    </row>
    <row r="2868" spans="1:8" customFormat="1" x14ac:dyDescent="0.25">
      <c r="A2868" t="str">
        <f>"134604"</f>
        <v>134604</v>
      </c>
      <c r="B2868" t="s">
        <v>26749</v>
      </c>
      <c r="C2868" t="s">
        <v>121</v>
      </c>
      <c r="D2868" s="21" t="s">
        <v>34</v>
      </c>
      <c r="E2868" s="21" t="s">
        <v>35</v>
      </c>
      <c r="F2868">
        <v>13040030</v>
      </c>
      <c r="G2868" t="s">
        <v>1903</v>
      </c>
      <c r="H2868" s="21">
        <v>1340.67</v>
      </c>
    </row>
    <row r="2869" spans="1:8" customFormat="1" x14ac:dyDescent="0.25">
      <c r="A2869" t="str">
        <f>"312391"</f>
        <v>312391</v>
      </c>
      <c r="B2869" t="s">
        <v>4096</v>
      </c>
      <c r="C2869" t="s">
        <v>40</v>
      </c>
      <c r="D2869" s="21" t="s">
        <v>34</v>
      </c>
      <c r="E2869" s="21" t="s">
        <v>254</v>
      </c>
      <c r="F2869">
        <v>10640001</v>
      </c>
      <c r="G2869" t="s">
        <v>2419</v>
      </c>
      <c r="H2869" s="21">
        <v>1340.67</v>
      </c>
    </row>
    <row r="2870" spans="1:8" customFormat="1" x14ac:dyDescent="0.25">
      <c r="A2870" t="str">
        <f>"3714346"</f>
        <v>3714346</v>
      </c>
      <c r="B2870" t="s">
        <v>1892</v>
      </c>
      <c r="C2870" t="s">
        <v>149</v>
      </c>
      <c r="D2870" s="21" t="s">
        <v>34</v>
      </c>
      <c r="E2870" s="21" t="s">
        <v>35</v>
      </c>
      <c r="F2870">
        <v>4410612</v>
      </c>
      <c r="G2870" t="s">
        <v>815</v>
      </c>
      <c r="H2870" s="21">
        <v>1340.3</v>
      </c>
    </row>
    <row r="2871" spans="1:8" customFormat="1" x14ac:dyDescent="0.25">
      <c r="A2871" t="str">
        <f>"3516803"</f>
        <v>3516803</v>
      </c>
      <c r="B2871" t="s">
        <v>3775</v>
      </c>
      <c r="C2871" t="s">
        <v>3776</v>
      </c>
      <c r="D2871" s="21" t="s">
        <v>34</v>
      </c>
      <c r="E2871" s="21" t="s">
        <v>35</v>
      </c>
      <c r="F2871">
        <v>3290255</v>
      </c>
      <c r="G2871" t="s">
        <v>2852</v>
      </c>
      <c r="H2871" s="21">
        <v>1340.17</v>
      </c>
    </row>
    <row r="2872" spans="1:8" customFormat="1" x14ac:dyDescent="0.25">
      <c r="A2872" t="str">
        <f>"9510487"</f>
        <v>9510487</v>
      </c>
      <c r="B2872" t="s">
        <v>392</v>
      </c>
      <c r="C2872" t="s">
        <v>55</v>
      </c>
      <c r="D2872" s="21" t="s">
        <v>34</v>
      </c>
      <c r="E2872" s="21" t="s">
        <v>71</v>
      </c>
      <c r="F2872">
        <v>8950978</v>
      </c>
      <c r="G2872" t="s">
        <v>1164</v>
      </c>
      <c r="H2872" s="21">
        <v>1340.17</v>
      </c>
    </row>
    <row r="2873" spans="1:8" customFormat="1" x14ac:dyDescent="0.25">
      <c r="A2873" t="str">
        <f>"1613340"</f>
        <v>1613340</v>
      </c>
      <c r="B2873" t="s">
        <v>4525</v>
      </c>
      <c r="C2873" t="s">
        <v>171</v>
      </c>
      <c r="D2873" s="21" t="s">
        <v>34</v>
      </c>
      <c r="E2873" s="21" t="s">
        <v>35</v>
      </c>
      <c r="F2873">
        <v>10160029</v>
      </c>
      <c r="G2873" t="s">
        <v>896</v>
      </c>
      <c r="H2873" s="21">
        <v>1340.17</v>
      </c>
    </row>
    <row r="2874" spans="1:8" customFormat="1" x14ac:dyDescent="0.25">
      <c r="A2874" t="str">
        <f>"9310068"</f>
        <v>9310068</v>
      </c>
      <c r="B2874" t="s">
        <v>13006</v>
      </c>
      <c r="C2874" t="s">
        <v>26750</v>
      </c>
      <c r="D2874" s="21" t="s">
        <v>34</v>
      </c>
      <c r="E2874" s="21" t="s">
        <v>35</v>
      </c>
      <c r="F2874">
        <v>8941180</v>
      </c>
      <c r="G2874" t="s">
        <v>5544</v>
      </c>
      <c r="H2874" s="21">
        <v>1340</v>
      </c>
    </row>
    <row r="2875" spans="1:8" customFormat="1" x14ac:dyDescent="0.25">
      <c r="A2875" t="str">
        <f>"76981"</f>
        <v>76981</v>
      </c>
      <c r="B2875" t="s">
        <v>3287</v>
      </c>
      <c r="C2875" t="s">
        <v>263</v>
      </c>
      <c r="D2875" s="21" t="s">
        <v>34</v>
      </c>
      <c r="E2875" s="21" t="s">
        <v>71</v>
      </c>
      <c r="F2875">
        <v>9760004</v>
      </c>
      <c r="G2875" t="s">
        <v>56</v>
      </c>
      <c r="H2875" s="21">
        <v>1339.67</v>
      </c>
    </row>
    <row r="2876" spans="1:8" customFormat="1" x14ac:dyDescent="0.25">
      <c r="A2876" t="str">
        <f>"6722460"</f>
        <v>6722460</v>
      </c>
      <c r="B2876" t="s">
        <v>4473</v>
      </c>
      <c r="C2876" t="s">
        <v>598</v>
      </c>
      <c r="D2876" s="21" t="s">
        <v>34</v>
      </c>
      <c r="E2876" s="21" t="s">
        <v>71</v>
      </c>
      <c r="F2876">
        <v>6670027</v>
      </c>
      <c r="G2876" t="s">
        <v>2791</v>
      </c>
      <c r="H2876" s="21">
        <v>1339.67</v>
      </c>
    </row>
    <row r="2877" spans="1:8" customFormat="1" x14ac:dyDescent="0.25">
      <c r="A2877" t="str">
        <f>"883200"</f>
        <v>883200</v>
      </c>
      <c r="B2877" t="s">
        <v>3434</v>
      </c>
      <c r="C2877" t="s">
        <v>119</v>
      </c>
      <c r="D2877" s="21" t="s">
        <v>34</v>
      </c>
      <c r="E2877" s="21" t="s">
        <v>35</v>
      </c>
      <c r="F2877">
        <v>6880007</v>
      </c>
      <c r="G2877" t="s">
        <v>1039</v>
      </c>
      <c r="H2877" s="21">
        <v>1339.67</v>
      </c>
    </row>
    <row r="2878" spans="1:8" customFormat="1" x14ac:dyDescent="0.25">
      <c r="A2878" t="str">
        <f>"2515685"</f>
        <v>2515685</v>
      </c>
      <c r="B2878" t="s">
        <v>3806</v>
      </c>
      <c r="C2878" t="s">
        <v>3807</v>
      </c>
      <c r="D2878" s="21" t="s">
        <v>34</v>
      </c>
      <c r="E2878" s="21" t="s">
        <v>71</v>
      </c>
      <c r="F2878">
        <v>2250083</v>
      </c>
      <c r="G2878" t="s">
        <v>3808</v>
      </c>
      <c r="H2878" s="21">
        <v>1339.17</v>
      </c>
    </row>
    <row r="2879" spans="1:8" customFormat="1" x14ac:dyDescent="0.25">
      <c r="A2879" t="str">
        <f>"575462"</f>
        <v>575462</v>
      </c>
      <c r="B2879" t="s">
        <v>4484</v>
      </c>
      <c r="C2879" t="s">
        <v>233</v>
      </c>
      <c r="D2879" s="21" t="s">
        <v>34</v>
      </c>
      <c r="E2879" s="21" t="s">
        <v>71</v>
      </c>
      <c r="F2879">
        <v>6570111</v>
      </c>
      <c r="G2879" t="s">
        <v>99</v>
      </c>
      <c r="H2879" s="21">
        <v>1339.17</v>
      </c>
    </row>
    <row r="2880" spans="1:8" customFormat="1" x14ac:dyDescent="0.25">
      <c r="A2880" t="str">
        <f>"5931613"</f>
        <v>5931613</v>
      </c>
      <c r="B2880" t="s">
        <v>3363</v>
      </c>
      <c r="C2880" t="s">
        <v>209</v>
      </c>
      <c r="D2880" s="21" t="s">
        <v>34</v>
      </c>
      <c r="E2880" s="21" t="s">
        <v>35</v>
      </c>
      <c r="F2880">
        <v>7620057</v>
      </c>
      <c r="G2880" t="s">
        <v>184</v>
      </c>
      <c r="H2880" s="21">
        <v>1339.17</v>
      </c>
    </row>
    <row r="2881" spans="1:8" customFormat="1" x14ac:dyDescent="0.25">
      <c r="A2881" t="str">
        <f>"4446975"</f>
        <v>4446975</v>
      </c>
      <c r="B2881" t="s">
        <v>4417</v>
      </c>
      <c r="C2881" t="s">
        <v>510</v>
      </c>
      <c r="D2881" s="21" t="s">
        <v>34</v>
      </c>
      <c r="E2881" s="21" t="s">
        <v>71</v>
      </c>
      <c r="F2881">
        <v>12440182</v>
      </c>
      <c r="G2881" t="s">
        <v>2915</v>
      </c>
      <c r="H2881" s="21">
        <v>1339.17</v>
      </c>
    </row>
    <row r="2882" spans="1:8" customFormat="1" x14ac:dyDescent="0.25">
      <c r="A2882" t="str">
        <f>"7828800"</f>
        <v>7828800</v>
      </c>
      <c r="B2882" t="s">
        <v>3583</v>
      </c>
      <c r="C2882" t="s">
        <v>65</v>
      </c>
      <c r="D2882" s="21" t="s">
        <v>34</v>
      </c>
      <c r="E2882" s="21" t="s">
        <v>35</v>
      </c>
      <c r="F2882">
        <v>4370284</v>
      </c>
      <c r="G2882" t="s">
        <v>3584</v>
      </c>
      <c r="H2882" s="21">
        <v>1339.05</v>
      </c>
    </row>
    <row r="2883" spans="1:8" customFormat="1" x14ac:dyDescent="0.25">
      <c r="A2883" t="str">
        <f>"3416861"</f>
        <v>3416861</v>
      </c>
      <c r="B2883" t="s">
        <v>3376</v>
      </c>
      <c r="C2883" t="s">
        <v>3377</v>
      </c>
      <c r="D2883" s="21" t="s">
        <v>34</v>
      </c>
      <c r="E2883" s="21" t="s">
        <v>35</v>
      </c>
      <c r="F2883">
        <v>11110024</v>
      </c>
      <c r="G2883" t="s">
        <v>3378</v>
      </c>
      <c r="H2883" s="21">
        <v>1338.68</v>
      </c>
    </row>
    <row r="2884" spans="1:8" customFormat="1" x14ac:dyDescent="0.25">
      <c r="A2884" t="str">
        <f>"6715365"</f>
        <v>6715365</v>
      </c>
      <c r="B2884" t="s">
        <v>1872</v>
      </c>
      <c r="C2884" t="s">
        <v>1468</v>
      </c>
      <c r="D2884" s="21" t="s">
        <v>34</v>
      </c>
      <c r="E2884" s="21" t="s">
        <v>35</v>
      </c>
      <c r="F2884">
        <v>6670257</v>
      </c>
      <c r="G2884" t="s">
        <v>26708</v>
      </c>
      <c r="H2884" s="21">
        <v>1338.67</v>
      </c>
    </row>
    <row r="2885" spans="1:8" customFormat="1" x14ac:dyDescent="0.25">
      <c r="A2885" t="str">
        <f>"69373"</f>
        <v>69373</v>
      </c>
      <c r="B2885" t="s">
        <v>2238</v>
      </c>
      <c r="C2885" t="s">
        <v>3574</v>
      </c>
      <c r="D2885" s="21" t="s">
        <v>34</v>
      </c>
      <c r="E2885" s="21" t="s">
        <v>1089</v>
      </c>
      <c r="F2885">
        <v>1690186</v>
      </c>
      <c r="G2885" t="s">
        <v>438</v>
      </c>
      <c r="H2885" s="21">
        <v>1338.67</v>
      </c>
    </row>
    <row r="2886" spans="1:8" customFormat="1" x14ac:dyDescent="0.25">
      <c r="A2886" t="str">
        <f>"2923635"</f>
        <v>2923635</v>
      </c>
      <c r="B2886" t="s">
        <v>26751</v>
      </c>
      <c r="C2886" t="s">
        <v>2479</v>
      </c>
      <c r="D2886" s="21" t="s">
        <v>34</v>
      </c>
      <c r="E2886" s="21" t="s">
        <v>71</v>
      </c>
      <c r="F2886">
        <v>3290023</v>
      </c>
      <c r="G2886" t="s">
        <v>3883</v>
      </c>
      <c r="H2886" s="21">
        <v>1338.67</v>
      </c>
    </row>
    <row r="2887" spans="1:8" customFormat="1" x14ac:dyDescent="0.25">
      <c r="A2887" t="str">
        <f>"417115"</f>
        <v>417115</v>
      </c>
      <c r="B2887" t="s">
        <v>13885</v>
      </c>
      <c r="C2887" t="s">
        <v>169</v>
      </c>
      <c r="D2887" s="21" t="s">
        <v>34</v>
      </c>
      <c r="E2887" s="21" t="s">
        <v>71</v>
      </c>
      <c r="F2887">
        <v>4410080</v>
      </c>
      <c r="G2887" t="s">
        <v>135</v>
      </c>
      <c r="H2887" s="21">
        <v>1338.67</v>
      </c>
    </row>
    <row r="2888" spans="1:8" customFormat="1" x14ac:dyDescent="0.25">
      <c r="A2888" t="str">
        <f>"4935559"</f>
        <v>4935559</v>
      </c>
      <c r="B2888" t="s">
        <v>3929</v>
      </c>
      <c r="C2888" t="s">
        <v>156</v>
      </c>
      <c r="D2888" s="21" t="s">
        <v>34</v>
      </c>
      <c r="E2888" s="21" t="s">
        <v>35</v>
      </c>
      <c r="F2888">
        <v>12490122</v>
      </c>
      <c r="G2888" t="s">
        <v>26752</v>
      </c>
      <c r="H2888" s="21">
        <v>1338.54</v>
      </c>
    </row>
    <row r="2889" spans="1:8" customFormat="1" x14ac:dyDescent="0.25">
      <c r="A2889" t="str">
        <f>"1316871"</f>
        <v>1316871</v>
      </c>
      <c r="B2889" t="s">
        <v>2873</v>
      </c>
      <c r="C2889" t="s">
        <v>576</v>
      </c>
      <c r="D2889" s="21" t="s">
        <v>34</v>
      </c>
      <c r="E2889" s="21" t="s">
        <v>35</v>
      </c>
      <c r="F2889">
        <v>13130004</v>
      </c>
      <c r="G2889" t="s">
        <v>942</v>
      </c>
      <c r="H2889" s="21">
        <v>1338.17</v>
      </c>
    </row>
    <row r="2890" spans="1:8" customFormat="1" x14ac:dyDescent="0.25">
      <c r="A2890" t="str">
        <f>"756638"</f>
        <v>756638</v>
      </c>
      <c r="B2890" t="s">
        <v>26753</v>
      </c>
      <c r="C2890" t="s">
        <v>26754</v>
      </c>
      <c r="D2890" s="21" t="s">
        <v>34</v>
      </c>
      <c r="E2890" s="21" t="s">
        <v>35</v>
      </c>
      <c r="F2890">
        <v>8750487</v>
      </c>
      <c r="G2890" t="s">
        <v>6793</v>
      </c>
      <c r="H2890" s="21">
        <v>1338.17</v>
      </c>
    </row>
    <row r="2891" spans="1:8" customFormat="1" x14ac:dyDescent="0.25">
      <c r="A2891" t="str">
        <f>"6110669"</f>
        <v>6110669</v>
      </c>
      <c r="B2891" t="s">
        <v>3963</v>
      </c>
      <c r="C2891" t="s">
        <v>4317</v>
      </c>
      <c r="D2891" s="21" t="s">
        <v>34</v>
      </c>
      <c r="E2891" s="21" t="s">
        <v>35</v>
      </c>
      <c r="F2891">
        <v>9610004</v>
      </c>
      <c r="G2891" t="s">
        <v>1042</v>
      </c>
      <c r="H2891" s="21">
        <v>1338.17</v>
      </c>
    </row>
    <row r="2892" spans="1:8" customFormat="1" x14ac:dyDescent="0.25">
      <c r="A2892" t="str">
        <f>"573320"</f>
        <v>573320</v>
      </c>
      <c r="B2892" t="s">
        <v>2962</v>
      </c>
      <c r="C2892" t="s">
        <v>236</v>
      </c>
      <c r="D2892" s="21" t="s">
        <v>34</v>
      </c>
      <c r="E2892" s="21" t="s">
        <v>35</v>
      </c>
      <c r="F2892">
        <v>6570073</v>
      </c>
      <c r="G2892" t="s">
        <v>952</v>
      </c>
      <c r="H2892" s="21">
        <v>1338.17</v>
      </c>
    </row>
    <row r="2893" spans="1:8" customFormat="1" x14ac:dyDescent="0.25">
      <c r="A2893" t="str">
        <f>"761274"</f>
        <v>761274</v>
      </c>
      <c r="B2893" t="s">
        <v>2386</v>
      </c>
      <c r="C2893" t="s">
        <v>60</v>
      </c>
      <c r="D2893" s="21" t="s">
        <v>34</v>
      </c>
      <c r="E2893" s="21" t="s">
        <v>35</v>
      </c>
      <c r="F2893">
        <v>9760082</v>
      </c>
      <c r="G2893" t="s">
        <v>2387</v>
      </c>
      <c r="H2893" s="21">
        <v>1337.93</v>
      </c>
    </row>
    <row r="2894" spans="1:8" customFormat="1" x14ac:dyDescent="0.25">
      <c r="A2894" t="str">
        <f>"6012268"</f>
        <v>6012268</v>
      </c>
      <c r="B2894" t="s">
        <v>1094</v>
      </c>
      <c r="C2894" t="s">
        <v>151</v>
      </c>
      <c r="D2894" s="21" t="s">
        <v>34</v>
      </c>
      <c r="E2894" s="21" t="s">
        <v>254</v>
      </c>
      <c r="F2894">
        <v>7600003</v>
      </c>
      <c r="G2894" t="s">
        <v>3515</v>
      </c>
      <c r="H2894" s="21">
        <v>1337.92</v>
      </c>
    </row>
    <row r="2895" spans="1:8" customFormat="1" x14ac:dyDescent="0.25">
      <c r="A2895" t="str">
        <f>"3322004"</f>
        <v>3322004</v>
      </c>
      <c r="B2895" t="s">
        <v>2747</v>
      </c>
      <c r="C2895" t="s">
        <v>576</v>
      </c>
      <c r="D2895" s="21" t="s">
        <v>34</v>
      </c>
      <c r="E2895" s="21" t="s">
        <v>35</v>
      </c>
      <c r="F2895">
        <v>10330011</v>
      </c>
      <c r="G2895" t="s">
        <v>1789</v>
      </c>
      <c r="H2895" s="21">
        <v>1337.67</v>
      </c>
    </row>
    <row r="2896" spans="1:8" customFormat="1" x14ac:dyDescent="0.25">
      <c r="A2896" t="str">
        <f>"697647"</f>
        <v>697647</v>
      </c>
      <c r="B2896" t="s">
        <v>3577</v>
      </c>
      <c r="C2896" t="s">
        <v>1675</v>
      </c>
      <c r="D2896" s="21" t="s">
        <v>34</v>
      </c>
      <c r="E2896" s="21" t="s">
        <v>35</v>
      </c>
      <c r="F2896">
        <v>1690192</v>
      </c>
      <c r="G2896" t="s">
        <v>3578</v>
      </c>
      <c r="H2896" s="21">
        <v>1337.67</v>
      </c>
    </row>
    <row r="2897" spans="1:8" customFormat="1" x14ac:dyDescent="0.25">
      <c r="A2897" t="str">
        <f>"214504"</f>
        <v>214504</v>
      </c>
      <c r="B2897" t="s">
        <v>3060</v>
      </c>
      <c r="C2897" t="s">
        <v>211</v>
      </c>
      <c r="D2897" s="21" t="s">
        <v>34</v>
      </c>
      <c r="E2897" s="21" t="s">
        <v>35</v>
      </c>
      <c r="F2897">
        <v>2210081</v>
      </c>
      <c r="G2897" t="s">
        <v>1365</v>
      </c>
      <c r="H2897" s="21">
        <v>1337.67</v>
      </c>
    </row>
    <row r="2898" spans="1:8" customFormat="1" x14ac:dyDescent="0.25">
      <c r="A2898" t="str">
        <f>"278697"</f>
        <v>278697</v>
      </c>
      <c r="B2898" t="s">
        <v>185</v>
      </c>
      <c r="C2898" t="s">
        <v>171</v>
      </c>
      <c r="D2898" s="21" t="s">
        <v>34</v>
      </c>
      <c r="E2898" s="21" t="s">
        <v>71</v>
      </c>
      <c r="F2898">
        <v>9270152</v>
      </c>
      <c r="G2898" t="s">
        <v>1985</v>
      </c>
      <c r="H2898" s="21">
        <v>1337.67</v>
      </c>
    </row>
    <row r="2899" spans="1:8" customFormat="1" x14ac:dyDescent="0.25">
      <c r="A2899" t="str">
        <f>"3510422"</f>
        <v>3510422</v>
      </c>
      <c r="B2899" t="s">
        <v>3667</v>
      </c>
      <c r="C2899" t="s">
        <v>1705</v>
      </c>
      <c r="D2899" s="21" t="s">
        <v>34</v>
      </c>
      <c r="E2899" s="21" t="s">
        <v>71</v>
      </c>
      <c r="F2899">
        <v>3350207</v>
      </c>
      <c r="G2899" t="s">
        <v>3668</v>
      </c>
      <c r="H2899" s="21">
        <v>1337.43</v>
      </c>
    </row>
    <row r="2900" spans="1:8" customFormat="1" x14ac:dyDescent="0.25">
      <c r="A2900" t="str">
        <f>"4922252"</f>
        <v>4922252</v>
      </c>
      <c r="B2900" t="s">
        <v>2535</v>
      </c>
      <c r="C2900" t="s">
        <v>1853</v>
      </c>
      <c r="D2900" s="21" t="s">
        <v>34</v>
      </c>
      <c r="E2900" s="21" t="s">
        <v>71</v>
      </c>
      <c r="F2900">
        <v>12490066</v>
      </c>
      <c r="G2900" t="s">
        <v>1051</v>
      </c>
      <c r="H2900" s="21">
        <v>1337.17</v>
      </c>
    </row>
    <row r="2901" spans="1:8" customFormat="1" x14ac:dyDescent="0.25">
      <c r="A2901" t="str">
        <f>"452234"</f>
        <v>452234</v>
      </c>
      <c r="B2901" t="s">
        <v>168</v>
      </c>
      <c r="C2901" t="s">
        <v>1231</v>
      </c>
      <c r="D2901" s="21" t="s">
        <v>34</v>
      </c>
      <c r="E2901" s="21" t="s">
        <v>35</v>
      </c>
      <c r="F2901">
        <v>4450036</v>
      </c>
      <c r="G2901" t="s">
        <v>4179</v>
      </c>
      <c r="H2901" s="21">
        <v>1337.17</v>
      </c>
    </row>
    <row r="2902" spans="1:8" customFormat="1" x14ac:dyDescent="0.25">
      <c r="A2902" t="str">
        <f>"424195"</f>
        <v>424195</v>
      </c>
      <c r="B2902" t="s">
        <v>3898</v>
      </c>
      <c r="C2902" t="s">
        <v>60</v>
      </c>
      <c r="D2902" s="21" t="s">
        <v>34</v>
      </c>
      <c r="E2902" s="21" t="s">
        <v>35</v>
      </c>
      <c r="F2902">
        <v>1420013</v>
      </c>
      <c r="G2902" t="s">
        <v>2013</v>
      </c>
      <c r="H2902" s="21">
        <v>1337.17</v>
      </c>
    </row>
    <row r="2903" spans="1:8" customFormat="1" x14ac:dyDescent="0.25">
      <c r="A2903" t="str">
        <f>"5922850"</f>
        <v>5922850</v>
      </c>
      <c r="B2903" t="s">
        <v>3307</v>
      </c>
      <c r="C2903" t="s">
        <v>109</v>
      </c>
      <c r="D2903" s="21" t="s">
        <v>34</v>
      </c>
      <c r="E2903" s="21" t="s">
        <v>35</v>
      </c>
      <c r="F2903">
        <v>7590005</v>
      </c>
      <c r="G2903" t="s">
        <v>540</v>
      </c>
      <c r="H2903" s="21">
        <v>1337.17</v>
      </c>
    </row>
    <row r="2904" spans="1:8" customFormat="1" x14ac:dyDescent="0.25">
      <c r="A2904" t="str">
        <f>"9517444"</f>
        <v>9517444</v>
      </c>
      <c r="B2904" t="s">
        <v>3884</v>
      </c>
      <c r="C2904" t="s">
        <v>328</v>
      </c>
      <c r="D2904" s="21" t="s">
        <v>34</v>
      </c>
      <c r="E2904" s="21" t="s">
        <v>71</v>
      </c>
      <c r="F2904">
        <v>8950481</v>
      </c>
      <c r="G2904" t="s">
        <v>1472</v>
      </c>
      <c r="H2904" s="21">
        <v>1337.17</v>
      </c>
    </row>
    <row r="2905" spans="1:8" customFormat="1" x14ac:dyDescent="0.25">
      <c r="A2905" t="str">
        <f>"493792"</f>
        <v>493792</v>
      </c>
      <c r="B2905" t="s">
        <v>4750</v>
      </c>
      <c r="C2905" t="s">
        <v>750</v>
      </c>
      <c r="D2905" s="21" t="s">
        <v>34</v>
      </c>
      <c r="E2905" s="21" t="s">
        <v>35</v>
      </c>
      <c r="F2905">
        <v>12490038</v>
      </c>
      <c r="G2905" t="s">
        <v>467</v>
      </c>
      <c r="H2905" s="21">
        <v>1336.92</v>
      </c>
    </row>
    <row r="2906" spans="1:8" customFormat="1" x14ac:dyDescent="0.25">
      <c r="A2906" t="str">
        <f>"955780"</f>
        <v>955780</v>
      </c>
      <c r="B2906" t="s">
        <v>4362</v>
      </c>
      <c r="C2906" t="s">
        <v>285</v>
      </c>
      <c r="D2906" s="21" t="s">
        <v>34</v>
      </c>
      <c r="E2906" s="21" t="s">
        <v>35</v>
      </c>
      <c r="F2906">
        <v>8950083</v>
      </c>
      <c r="G2906" t="s">
        <v>405</v>
      </c>
      <c r="H2906" s="21">
        <v>1336.92</v>
      </c>
    </row>
    <row r="2907" spans="1:8" customFormat="1" x14ac:dyDescent="0.25">
      <c r="A2907" t="str">
        <f>"625931"</f>
        <v>625931</v>
      </c>
      <c r="B2907" t="s">
        <v>4435</v>
      </c>
      <c r="C2907" t="s">
        <v>462</v>
      </c>
      <c r="D2907" s="21" t="s">
        <v>34</v>
      </c>
      <c r="E2907" s="21" t="s">
        <v>254</v>
      </c>
      <c r="F2907">
        <v>7620184</v>
      </c>
      <c r="G2907" t="s">
        <v>4436</v>
      </c>
      <c r="H2907" s="21">
        <v>1336.8</v>
      </c>
    </row>
    <row r="2908" spans="1:8" customFormat="1" x14ac:dyDescent="0.25">
      <c r="A2908" t="str">
        <f>"138708"</f>
        <v>138708</v>
      </c>
      <c r="B2908" t="s">
        <v>5811</v>
      </c>
      <c r="C2908" t="s">
        <v>169</v>
      </c>
      <c r="D2908" s="21" t="s">
        <v>34</v>
      </c>
      <c r="E2908" s="21" t="s">
        <v>35</v>
      </c>
      <c r="F2908">
        <v>8911064</v>
      </c>
      <c r="G2908" t="s">
        <v>2209</v>
      </c>
      <c r="H2908" s="21">
        <v>1336.67</v>
      </c>
    </row>
    <row r="2909" spans="1:8" customFormat="1" x14ac:dyDescent="0.25">
      <c r="A2909" t="str">
        <f>"6925498"</f>
        <v>6925498</v>
      </c>
      <c r="B2909" t="s">
        <v>3352</v>
      </c>
      <c r="C2909" t="s">
        <v>3353</v>
      </c>
      <c r="D2909" s="21" t="s">
        <v>34</v>
      </c>
      <c r="E2909" s="21" t="s">
        <v>35</v>
      </c>
      <c r="F2909">
        <v>1380164</v>
      </c>
      <c r="G2909" t="s">
        <v>2728</v>
      </c>
      <c r="H2909" s="21">
        <v>1336.67</v>
      </c>
    </row>
    <row r="2910" spans="1:8" customFormat="1" x14ac:dyDescent="0.25">
      <c r="A2910" t="str">
        <f>"377402"</f>
        <v>377402</v>
      </c>
      <c r="B2910" t="s">
        <v>2317</v>
      </c>
      <c r="C2910" t="s">
        <v>58</v>
      </c>
      <c r="D2910" s="21" t="s">
        <v>34</v>
      </c>
      <c r="E2910" s="21" t="s">
        <v>35</v>
      </c>
      <c r="F2910">
        <v>4370033</v>
      </c>
      <c r="G2910" t="s">
        <v>7556</v>
      </c>
      <c r="H2910" s="21">
        <v>1336.67</v>
      </c>
    </row>
    <row r="2911" spans="1:8" customFormat="1" x14ac:dyDescent="0.25">
      <c r="A2911" t="str">
        <f>"33763"</f>
        <v>33763</v>
      </c>
      <c r="B2911" t="s">
        <v>4814</v>
      </c>
      <c r="C2911" t="s">
        <v>269</v>
      </c>
      <c r="D2911" s="21" t="s">
        <v>34</v>
      </c>
      <c r="E2911" s="21" t="s">
        <v>71</v>
      </c>
      <c r="F2911">
        <v>10330028</v>
      </c>
      <c r="G2911" t="s">
        <v>4553</v>
      </c>
      <c r="H2911" s="21">
        <v>1336.67</v>
      </c>
    </row>
    <row r="2912" spans="1:8" customFormat="1" x14ac:dyDescent="0.25">
      <c r="A2912" t="str">
        <f>"617702"</f>
        <v>617702</v>
      </c>
      <c r="B2912" t="s">
        <v>2755</v>
      </c>
      <c r="C2912" t="s">
        <v>249</v>
      </c>
      <c r="D2912" s="21" t="s">
        <v>34</v>
      </c>
      <c r="E2912" s="21" t="s">
        <v>71</v>
      </c>
      <c r="F2912">
        <v>12720056</v>
      </c>
      <c r="G2912" t="s">
        <v>9231</v>
      </c>
      <c r="H2912" s="21">
        <v>1336.67</v>
      </c>
    </row>
    <row r="2913" spans="1:8" customFormat="1" x14ac:dyDescent="0.25">
      <c r="A2913" t="str">
        <f>"948975"</f>
        <v>948975</v>
      </c>
      <c r="B2913" t="s">
        <v>26755</v>
      </c>
      <c r="C2913" t="s">
        <v>209</v>
      </c>
      <c r="D2913" s="21" t="s">
        <v>34</v>
      </c>
      <c r="E2913" s="21" t="s">
        <v>35</v>
      </c>
      <c r="F2913">
        <v>8940052</v>
      </c>
      <c r="G2913" t="s">
        <v>190</v>
      </c>
      <c r="H2913" s="21">
        <v>1336.67</v>
      </c>
    </row>
    <row r="2914" spans="1:8" customFormat="1" x14ac:dyDescent="0.25">
      <c r="A2914" t="str">
        <f>"8515214"</f>
        <v>8515214</v>
      </c>
      <c r="B2914" t="s">
        <v>3634</v>
      </c>
      <c r="C2914" t="s">
        <v>33</v>
      </c>
      <c r="D2914" s="21" t="s">
        <v>34</v>
      </c>
      <c r="E2914" s="21" t="s">
        <v>35</v>
      </c>
      <c r="F2914">
        <v>12850057</v>
      </c>
      <c r="G2914" t="s">
        <v>1291</v>
      </c>
      <c r="H2914" s="21">
        <v>1336.67</v>
      </c>
    </row>
    <row r="2915" spans="1:8" customFormat="1" x14ac:dyDescent="0.25">
      <c r="A2915" t="str">
        <f>"917301"</f>
        <v>917301</v>
      </c>
      <c r="B2915" t="s">
        <v>3633</v>
      </c>
      <c r="C2915" t="s">
        <v>187</v>
      </c>
      <c r="D2915" s="21" t="s">
        <v>34</v>
      </c>
      <c r="E2915" s="21" t="s">
        <v>35</v>
      </c>
      <c r="F2915">
        <v>8911285</v>
      </c>
      <c r="G2915" t="s">
        <v>2396</v>
      </c>
      <c r="H2915" s="21">
        <v>1336.42</v>
      </c>
    </row>
    <row r="2916" spans="1:8" customFormat="1" x14ac:dyDescent="0.25">
      <c r="A2916" t="str">
        <f>"3714634"</f>
        <v>3714634</v>
      </c>
      <c r="B2916" t="s">
        <v>4013</v>
      </c>
      <c r="C2916" t="s">
        <v>209</v>
      </c>
      <c r="D2916" s="21" t="s">
        <v>34</v>
      </c>
      <c r="E2916" s="21" t="s">
        <v>71</v>
      </c>
      <c r="F2916">
        <v>4370637</v>
      </c>
      <c r="G2916" t="s">
        <v>3941</v>
      </c>
      <c r="H2916" s="21">
        <v>1336.42</v>
      </c>
    </row>
    <row r="2917" spans="1:8" customFormat="1" x14ac:dyDescent="0.25">
      <c r="A2917" t="str">
        <f>"3339206"</f>
        <v>3339206</v>
      </c>
      <c r="B2917" t="s">
        <v>5335</v>
      </c>
      <c r="C2917" t="s">
        <v>209</v>
      </c>
      <c r="D2917" s="21" t="s">
        <v>34</v>
      </c>
      <c r="E2917" s="21" t="s">
        <v>35</v>
      </c>
      <c r="F2917">
        <v>10330025</v>
      </c>
      <c r="G2917" t="s">
        <v>4450</v>
      </c>
      <c r="H2917" s="21">
        <v>1336.18</v>
      </c>
    </row>
    <row r="2918" spans="1:8" customFormat="1" x14ac:dyDescent="0.25">
      <c r="A2918" t="str">
        <f>"5311025"</f>
        <v>5311025</v>
      </c>
      <c r="B2918" t="s">
        <v>3858</v>
      </c>
      <c r="C2918" t="s">
        <v>3859</v>
      </c>
      <c r="D2918" s="21" t="s">
        <v>34</v>
      </c>
      <c r="E2918" s="21" t="s">
        <v>35</v>
      </c>
      <c r="F2918">
        <v>12530087</v>
      </c>
      <c r="G2918" t="s">
        <v>3860</v>
      </c>
      <c r="H2918" s="21">
        <v>1336.17</v>
      </c>
    </row>
    <row r="2919" spans="1:8" customFormat="1" x14ac:dyDescent="0.25">
      <c r="A2919" t="str">
        <f>"091166"</f>
        <v>091166</v>
      </c>
      <c r="B2919" t="s">
        <v>3392</v>
      </c>
      <c r="C2919" t="s">
        <v>3393</v>
      </c>
      <c r="D2919" s="21" t="s">
        <v>34</v>
      </c>
      <c r="E2919" s="21" t="s">
        <v>71</v>
      </c>
      <c r="F2919">
        <v>11090002</v>
      </c>
      <c r="G2919" t="s">
        <v>901</v>
      </c>
      <c r="H2919" s="21">
        <v>1336.17</v>
      </c>
    </row>
    <row r="2920" spans="1:8" customFormat="1" x14ac:dyDescent="0.25">
      <c r="A2920" t="str">
        <f>"572748"</f>
        <v>572748</v>
      </c>
      <c r="B2920" t="s">
        <v>3754</v>
      </c>
      <c r="C2920" t="s">
        <v>269</v>
      </c>
      <c r="D2920" s="21" t="s">
        <v>34</v>
      </c>
      <c r="E2920" s="21" t="s">
        <v>71</v>
      </c>
      <c r="F2920">
        <v>6570027</v>
      </c>
      <c r="G2920" t="s">
        <v>395</v>
      </c>
      <c r="H2920" s="21">
        <v>1336.17</v>
      </c>
    </row>
    <row r="2921" spans="1:8" customFormat="1" x14ac:dyDescent="0.25">
      <c r="A2921" t="str">
        <f>"72158"</f>
        <v>72158</v>
      </c>
      <c r="B2921" t="s">
        <v>1590</v>
      </c>
      <c r="C2921" t="s">
        <v>249</v>
      </c>
      <c r="D2921" s="21" t="s">
        <v>34</v>
      </c>
      <c r="E2921" s="21" t="s">
        <v>254</v>
      </c>
      <c r="F2921">
        <v>12720004</v>
      </c>
      <c r="G2921" t="s">
        <v>2328</v>
      </c>
      <c r="H2921" s="21">
        <v>1335.92</v>
      </c>
    </row>
    <row r="2922" spans="1:8" customFormat="1" x14ac:dyDescent="0.25">
      <c r="A2922" t="str">
        <f>"5321258"</f>
        <v>5321258</v>
      </c>
      <c r="B2922" t="s">
        <v>2589</v>
      </c>
      <c r="C2922" t="s">
        <v>1708</v>
      </c>
      <c r="D2922" s="21" t="s">
        <v>34</v>
      </c>
      <c r="E2922" s="21" t="s">
        <v>35</v>
      </c>
      <c r="F2922">
        <v>12530042</v>
      </c>
      <c r="G2922" t="s">
        <v>4619</v>
      </c>
      <c r="H2922" s="21">
        <v>1335.8</v>
      </c>
    </row>
    <row r="2923" spans="1:8" customFormat="1" x14ac:dyDescent="0.25">
      <c r="A2923" t="str">
        <f>"4418280"</f>
        <v>4418280</v>
      </c>
      <c r="B2923" t="s">
        <v>3797</v>
      </c>
      <c r="C2923" t="s">
        <v>2132</v>
      </c>
      <c r="D2923" s="21" t="s">
        <v>34</v>
      </c>
      <c r="E2923" s="21" t="s">
        <v>35</v>
      </c>
      <c r="F2923">
        <v>12440094</v>
      </c>
      <c r="G2923" t="s">
        <v>892</v>
      </c>
      <c r="H2923" s="21">
        <v>1335.67</v>
      </c>
    </row>
    <row r="2924" spans="1:8" customFormat="1" x14ac:dyDescent="0.25">
      <c r="A2924" t="str">
        <f>"9112151"</f>
        <v>9112151</v>
      </c>
      <c r="B2924" t="s">
        <v>26756</v>
      </c>
      <c r="C2924" t="s">
        <v>5906</v>
      </c>
      <c r="D2924" s="21" t="s">
        <v>34</v>
      </c>
      <c r="E2924" s="21" t="s">
        <v>35</v>
      </c>
      <c r="F2924">
        <v>8921458</v>
      </c>
      <c r="G2924" t="s">
        <v>162</v>
      </c>
      <c r="H2924" s="21">
        <v>1335.67</v>
      </c>
    </row>
    <row r="2925" spans="1:8" customFormat="1" x14ac:dyDescent="0.25">
      <c r="A2925" t="str">
        <f>"2918848"</f>
        <v>2918848</v>
      </c>
      <c r="B2925" t="s">
        <v>3487</v>
      </c>
      <c r="C2925" t="s">
        <v>267</v>
      </c>
      <c r="D2925" s="21" t="s">
        <v>34</v>
      </c>
      <c r="E2925" s="21" t="s">
        <v>71</v>
      </c>
      <c r="F2925">
        <v>3290200</v>
      </c>
      <c r="G2925" t="s">
        <v>3488</v>
      </c>
      <c r="H2925" s="21">
        <v>1335.67</v>
      </c>
    </row>
    <row r="2926" spans="1:8" customFormat="1" x14ac:dyDescent="0.25">
      <c r="A2926" t="str">
        <f>"7830627"</f>
        <v>7830627</v>
      </c>
      <c r="B2926" t="s">
        <v>4008</v>
      </c>
      <c r="C2926" t="s">
        <v>87</v>
      </c>
      <c r="D2926" s="21" t="s">
        <v>34</v>
      </c>
      <c r="E2926" s="21" t="s">
        <v>35</v>
      </c>
      <c r="F2926">
        <v>8910042</v>
      </c>
      <c r="G2926" t="s">
        <v>4009</v>
      </c>
      <c r="H2926" s="21">
        <v>1335.67</v>
      </c>
    </row>
    <row r="2927" spans="1:8" customFormat="1" x14ac:dyDescent="0.25">
      <c r="A2927" t="str">
        <f>"6948650"</f>
        <v>6948650</v>
      </c>
      <c r="B2927" t="s">
        <v>3836</v>
      </c>
      <c r="C2927" t="s">
        <v>712</v>
      </c>
      <c r="D2927" s="21" t="s">
        <v>34</v>
      </c>
      <c r="E2927" s="21" t="s">
        <v>35</v>
      </c>
      <c r="F2927">
        <v>1690221</v>
      </c>
      <c r="G2927" t="s">
        <v>303</v>
      </c>
      <c r="H2927" s="21">
        <v>1335.67</v>
      </c>
    </row>
    <row r="2928" spans="1:8" customFormat="1" x14ac:dyDescent="0.25">
      <c r="A2928" t="str">
        <f>"885523"</f>
        <v>885523</v>
      </c>
      <c r="B2928" t="s">
        <v>3684</v>
      </c>
      <c r="C2928" t="s">
        <v>114</v>
      </c>
      <c r="D2928" s="21" t="s">
        <v>34</v>
      </c>
      <c r="E2928" s="21" t="s">
        <v>254</v>
      </c>
      <c r="F2928">
        <v>6880007</v>
      </c>
      <c r="G2928" t="s">
        <v>1039</v>
      </c>
      <c r="H2928" s="21">
        <v>1335.54</v>
      </c>
    </row>
    <row r="2929" spans="1:8" customFormat="1" x14ac:dyDescent="0.25">
      <c r="A2929" t="str">
        <f>"359940"</f>
        <v>359940</v>
      </c>
      <c r="B2929" t="s">
        <v>3900</v>
      </c>
      <c r="C2929" t="s">
        <v>3401</v>
      </c>
      <c r="D2929" s="21" t="s">
        <v>34</v>
      </c>
      <c r="E2929" s="21" t="s">
        <v>35</v>
      </c>
      <c r="F2929">
        <v>3350022</v>
      </c>
      <c r="G2929" t="s">
        <v>1287</v>
      </c>
      <c r="H2929" s="21">
        <v>1335.42</v>
      </c>
    </row>
    <row r="2930" spans="1:8" customFormat="1" x14ac:dyDescent="0.25">
      <c r="A2930" t="str">
        <f>"602052"</f>
        <v>602052</v>
      </c>
      <c r="B2930" t="s">
        <v>108</v>
      </c>
      <c r="C2930" t="s">
        <v>598</v>
      </c>
      <c r="D2930" s="21" t="s">
        <v>34</v>
      </c>
      <c r="E2930" s="21" t="s">
        <v>254</v>
      </c>
      <c r="F2930">
        <v>7600070</v>
      </c>
      <c r="G2930" t="s">
        <v>542</v>
      </c>
      <c r="H2930" s="21">
        <v>1335.17</v>
      </c>
    </row>
    <row r="2931" spans="1:8" customFormat="1" x14ac:dyDescent="0.25">
      <c r="A2931" t="str">
        <f>"6014922"</f>
        <v>6014922</v>
      </c>
      <c r="B2931" t="s">
        <v>1534</v>
      </c>
      <c r="C2931" t="s">
        <v>2566</v>
      </c>
      <c r="D2931" s="21" t="s">
        <v>34</v>
      </c>
      <c r="E2931" s="21" t="s">
        <v>35</v>
      </c>
      <c r="F2931">
        <v>7600043</v>
      </c>
      <c r="G2931" t="s">
        <v>1928</v>
      </c>
      <c r="H2931" s="21">
        <v>1335.17</v>
      </c>
    </row>
    <row r="2932" spans="1:8" customFormat="1" x14ac:dyDescent="0.25">
      <c r="A2932" t="str">
        <f>"8512888"</f>
        <v>8512888</v>
      </c>
      <c r="B2932" t="s">
        <v>4110</v>
      </c>
      <c r="C2932" t="s">
        <v>2365</v>
      </c>
      <c r="D2932" s="21" t="s">
        <v>34</v>
      </c>
      <c r="E2932" s="21" t="s">
        <v>71</v>
      </c>
      <c r="F2932">
        <v>12850097</v>
      </c>
      <c r="G2932" t="s">
        <v>4111</v>
      </c>
      <c r="H2932" s="21">
        <v>1335.17</v>
      </c>
    </row>
    <row r="2933" spans="1:8" customFormat="1" x14ac:dyDescent="0.25">
      <c r="A2933" t="str">
        <f>"2537"</f>
        <v>2537</v>
      </c>
      <c r="B2933" t="s">
        <v>4288</v>
      </c>
      <c r="C2933" t="s">
        <v>608</v>
      </c>
      <c r="D2933" s="21" t="s">
        <v>34</v>
      </c>
      <c r="E2933" s="21" t="s">
        <v>71</v>
      </c>
      <c r="F2933">
        <v>2250021</v>
      </c>
      <c r="G2933" t="s">
        <v>2352</v>
      </c>
      <c r="H2933" s="21">
        <v>1335.17</v>
      </c>
    </row>
    <row r="2934" spans="1:8" customFormat="1" x14ac:dyDescent="0.25">
      <c r="A2934" t="str">
        <f>"402006"</f>
        <v>402006</v>
      </c>
      <c r="B2934" t="s">
        <v>4112</v>
      </c>
      <c r="C2934" t="s">
        <v>269</v>
      </c>
      <c r="D2934" s="21" t="s">
        <v>34</v>
      </c>
      <c r="E2934" s="21" t="s">
        <v>35</v>
      </c>
      <c r="F2934">
        <v>10400001</v>
      </c>
      <c r="G2934" t="s">
        <v>609</v>
      </c>
      <c r="H2934" s="21">
        <v>1335.17</v>
      </c>
    </row>
    <row r="2935" spans="1:8" customFormat="1" x14ac:dyDescent="0.25">
      <c r="A2935" t="str">
        <f>"7511442"</f>
        <v>7511442</v>
      </c>
      <c r="B2935" t="s">
        <v>3431</v>
      </c>
      <c r="C2935" t="s">
        <v>428</v>
      </c>
      <c r="D2935" s="21" t="s">
        <v>34</v>
      </c>
      <c r="E2935" s="21" t="s">
        <v>254</v>
      </c>
      <c r="F2935">
        <v>8951273</v>
      </c>
      <c r="G2935" t="s">
        <v>2382</v>
      </c>
      <c r="H2935" s="21">
        <v>1335.05</v>
      </c>
    </row>
    <row r="2936" spans="1:8" customFormat="1" x14ac:dyDescent="0.25">
      <c r="A2936" t="str">
        <f>"272487"</f>
        <v>272487</v>
      </c>
      <c r="B2936" t="s">
        <v>4933</v>
      </c>
      <c r="C2936" t="s">
        <v>328</v>
      </c>
      <c r="D2936" s="21" t="s">
        <v>34</v>
      </c>
      <c r="E2936" s="21" t="s">
        <v>35</v>
      </c>
      <c r="F2936">
        <v>9270021</v>
      </c>
      <c r="G2936" t="s">
        <v>4934</v>
      </c>
      <c r="H2936" s="21">
        <v>1334.67</v>
      </c>
    </row>
    <row r="2937" spans="1:8" customFormat="1" x14ac:dyDescent="0.25">
      <c r="A2937" t="str">
        <f>"5961515"</f>
        <v>5961515</v>
      </c>
      <c r="B2937" t="s">
        <v>3332</v>
      </c>
      <c r="C2937" t="s">
        <v>33</v>
      </c>
      <c r="D2937" s="21" t="s">
        <v>34</v>
      </c>
      <c r="E2937" s="21" t="s">
        <v>35</v>
      </c>
      <c r="F2937">
        <v>6540014</v>
      </c>
      <c r="G2937" t="s">
        <v>1483</v>
      </c>
      <c r="H2937" s="21">
        <v>1334.67</v>
      </c>
    </row>
    <row r="2938" spans="1:8" customFormat="1" x14ac:dyDescent="0.25">
      <c r="A2938" t="str">
        <f>"42498"</f>
        <v>42498</v>
      </c>
      <c r="B2938" t="s">
        <v>3892</v>
      </c>
      <c r="C2938" t="s">
        <v>598</v>
      </c>
      <c r="D2938" s="21" t="s">
        <v>34</v>
      </c>
      <c r="E2938" s="21" t="s">
        <v>254</v>
      </c>
      <c r="F2938">
        <v>1420149</v>
      </c>
      <c r="G2938" t="s">
        <v>818</v>
      </c>
      <c r="H2938" s="21">
        <v>1334.42</v>
      </c>
    </row>
    <row r="2939" spans="1:8" customFormat="1" x14ac:dyDescent="0.25">
      <c r="A2939" t="str">
        <f>"801640"</f>
        <v>801640</v>
      </c>
      <c r="B2939" t="s">
        <v>3251</v>
      </c>
      <c r="C2939" t="s">
        <v>209</v>
      </c>
      <c r="D2939" s="21" t="s">
        <v>34</v>
      </c>
      <c r="E2939" s="21" t="s">
        <v>254</v>
      </c>
      <c r="F2939">
        <v>7800088</v>
      </c>
      <c r="G2939" t="s">
        <v>1899</v>
      </c>
      <c r="H2939" s="21">
        <v>1334.17</v>
      </c>
    </row>
    <row r="2940" spans="1:8" customFormat="1" x14ac:dyDescent="0.25">
      <c r="A2940" t="str">
        <f>"684385"</f>
        <v>684385</v>
      </c>
      <c r="B2940" t="s">
        <v>3730</v>
      </c>
      <c r="C2940" t="s">
        <v>55</v>
      </c>
      <c r="D2940" s="21" t="s">
        <v>34</v>
      </c>
      <c r="E2940" s="21" t="s">
        <v>71</v>
      </c>
      <c r="F2940">
        <v>6680102</v>
      </c>
      <c r="G2940" t="s">
        <v>1232</v>
      </c>
      <c r="H2940" s="21">
        <v>1334.17</v>
      </c>
    </row>
    <row r="2941" spans="1:8" customFormat="1" x14ac:dyDescent="0.25">
      <c r="A2941" t="str">
        <f>"663551"</f>
        <v>663551</v>
      </c>
      <c r="B2941" t="s">
        <v>3716</v>
      </c>
      <c r="C2941" t="s">
        <v>601</v>
      </c>
      <c r="D2941" s="21" t="s">
        <v>34</v>
      </c>
      <c r="E2941" s="21" t="s">
        <v>71</v>
      </c>
      <c r="F2941">
        <v>11310029</v>
      </c>
      <c r="G2941" t="s">
        <v>3717</v>
      </c>
      <c r="H2941" s="21">
        <v>1334.17</v>
      </c>
    </row>
    <row r="2942" spans="1:8" customFormat="1" x14ac:dyDescent="0.25">
      <c r="A2942" t="str">
        <f>"3313894"</f>
        <v>3313894</v>
      </c>
      <c r="B2942" t="s">
        <v>4505</v>
      </c>
      <c r="C2942" t="s">
        <v>817</v>
      </c>
      <c r="D2942" s="21" t="s">
        <v>34</v>
      </c>
      <c r="E2942" s="21" t="s">
        <v>71</v>
      </c>
      <c r="F2942">
        <v>10330045</v>
      </c>
      <c r="G2942" t="s">
        <v>4506</v>
      </c>
      <c r="H2942" s="21">
        <v>1334.06</v>
      </c>
    </row>
    <row r="2943" spans="1:8" customFormat="1" x14ac:dyDescent="0.25">
      <c r="A2943" t="str">
        <f>"724308"</f>
        <v>724308</v>
      </c>
      <c r="B2943" t="s">
        <v>3477</v>
      </c>
      <c r="C2943" t="s">
        <v>87</v>
      </c>
      <c r="D2943" s="21" t="s">
        <v>34</v>
      </c>
      <c r="E2943" s="21" t="s">
        <v>35</v>
      </c>
      <c r="F2943">
        <v>12720023</v>
      </c>
      <c r="G2943" t="s">
        <v>1898</v>
      </c>
      <c r="H2943" s="21">
        <v>1333.92</v>
      </c>
    </row>
    <row r="2944" spans="1:8" customFormat="1" x14ac:dyDescent="0.25">
      <c r="A2944" t="str">
        <f>"4430605"</f>
        <v>4430605</v>
      </c>
      <c r="B2944" t="s">
        <v>2854</v>
      </c>
      <c r="C2944" t="s">
        <v>1665</v>
      </c>
      <c r="D2944" s="21" t="s">
        <v>34</v>
      </c>
      <c r="E2944" s="21" t="s">
        <v>35</v>
      </c>
      <c r="F2944">
        <v>12440049</v>
      </c>
      <c r="G2944" t="s">
        <v>3339</v>
      </c>
      <c r="H2944" s="21">
        <v>1333.92</v>
      </c>
    </row>
    <row r="2945" spans="1:8" customFormat="1" x14ac:dyDescent="0.25">
      <c r="A2945" t="str">
        <f>"694674"</f>
        <v>694674</v>
      </c>
      <c r="B2945" t="s">
        <v>4225</v>
      </c>
      <c r="C2945" t="s">
        <v>209</v>
      </c>
      <c r="D2945" s="21" t="s">
        <v>34</v>
      </c>
      <c r="E2945" s="21" t="s">
        <v>71</v>
      </c>
      <c r="F2945">
        <v>1690052</v>
      </c>
      <c r="G2945" t="s">
        <v>273</v>
      </c>
      <c r="H2945" s="21">
        <v>1333.67</v>
      </c>
    </row>
    <row r="2946" spans="1:8" customFormat="1" x14ac:dyDescent="0.25">
      <c r="A2946" t="str">
        <f>"3725571"</f>
        <v>3725571</v>
      </c>
      <c r="B2946" t="s">
        <v>26757</v>
      </c>
      <c r="C2946" t="s">
        <v>33</v>
      </c>
      <c r="D2946" s="21" t="s">
        <v>34</v>
      </c>
      <c r="E2946" s="21" t="s">
        <v>35</v>
      </c>
      <c r="F2946">
        <v>4370002</v>
      </c>
      <c r="G2946" t="s">
        <v>112</v>
      </c>
      <c r="H2946" s="21">
        <v>1333.67</v>
      </c>
    </row>
    <row r="2947" spans="1:8" customFormat="1" x14ac:dyDescent="0.25">
      <c r="A2947" t="str">
        <f>"939866"</f>
        <v>939866</v>
      </c>
      <c r="B2947" t="s">
        <v>4405</v>
      </c>
      <c r="C2947" t="s">
        <v>576</v>
      </c>
      <c r="D2947" s="21" t="s">
        <v>34</v>
      </c>
      <c r="E2947" s="21" t="s">
        <v>35</v>
      </c>
      <c r="F2947">
        <v>6670041</v>
      </c>
      <c r="G2947" t="s">
        <v>1971</v>
      </c>
      <c r="H2947" s="21">
        <v>1333.67</v>
      </c>
    </row>
    <row r="2948" spans="1:8" customFormat="1" x14ac:dyDescent="0.25">
      <c r="A2948" t="str">
        <f>"387336"</f>
        <v>387336</v>
      </c>
      <c r="B2948" t="s">
        <v>3525</v>
      </c>
      <c r="C2948" t="s">
        <v>109</v>
      </c>
      <c r="D2948" s="21" t="s">
        <v>34</v>
      </c>
      <c r="E2948" s="21" t="s">
        <v>35</v>
      </c>
      <c r="F2948">
        <v>10330005</v>
      </c>
      <c r="G2948" t="s">
        <v>3526</v>
      </c>
      <c r="H2948" s="21">
        <v>1333.67</v>
      </c>
    </row>
    <row r="2949" spans="1:8" customFormat="1" x14ac:dyDescent="0.25">
      <c r="A2949" t="str">
        <f>"5913646"</f>
        <v>5913646</v>
      </c>
      <c r="B2949" t="s">
        <v>5043</v>
      </c>
      <c r="C2949" t="s">
        <v>631</v>
      </c>
      <c r="D2949" s="21" t="s">
        <v>34</v>
      </c>
      <c r="E2949" s="21" t="s">
        <v>35</v>
      </c>
      <c r="F2949">
        <v>7590058</v>
      </c>
      <c r="G2949" t="s">
        <v>5044</v>
      </c>
      <c r="H2949" s="21">
        <v>1333.67</v>
      </c>
    </row>
    <row r="2950" spans="1:8" customFormat="1" x14ac:dyDescent="0.25">
      <c r="A2950" t="str">
        <f>"628654"</f>
        <v>628654</v>
      </c>
      <c r="B2950" t="s">
        <v>4041</v>
      </c>
      <c r="C2950" t="s">
        <v>156</v>
      </c>
      <c r="D2950" s="21" t="s">
        <v>34</v>
      </c>
      <c r="E2950" s="21" t="s">
        <v>254</v>
      </c>
      <c r="F2950">
        <v>7620103</v>
      </c>
      <c r="G2950" t="s">
        <v>1107</v>
      </c>
      <c r="H2950" s="21">
        <v>1333.55</v>
      </c>
    </row>
    <row r="2951" spans="1:8" customFormat="1" x14ac:dyDescent="0.25">
      <c r="A2951" t="str">
        <f>"627845"</f>
        <v>627845</v>
      </c>
      <c r="B2951" t="s">
        <v>3428</v>
      </c>
      <c r="C2951" t="s">
        <v>171</v>
      </c>
      <c r="D2951" s="21" t="s">
        <v>34</v>
      </c>
      <c r="E2951" s="21" t="s">
        <v>71</v>
      </c>
      <c r="F2951">
        <v>7620060</v>
      </c>
      <c r="G2951" t="s">
        <v>2179</v>
      </c>
      <c r="H2951" s="21">
        <v>1333.17</v>
      </c>
    </row>
    <row r="2952" spans="1:8" customFormat="1" x14ac:dyDescent="0.25">
      <c r="A2952" t="str">
        <f>"627626"</f>
        <v>627626</v>
      </c>
      <c r="B2952" t="s">
        <v>1531</v>
      </c>
      <c r="C2952" t="s">
        <v>269</v>
      </c>
      <c r="D2952" s="21" t="s">
        <v>34</v>
      </c>
      <c r="E2952" s="21" t="s">
        <v>71</v>
      </c>
      <c r="F2952">
        <v>7620040</v>
      </c>
      <c r="G2952" t="s">
        <v>1319</v>
      </c>
      <c r="H2952" s="21">
        <v>1333.17</v>
      </c>
    </row>
    <row r="2953" spans="1:8" customFormat="1" x14ac:dyDescent="0.25">
      <c r="A2953" t="str">
        <f>"2934512"</f>
        <v>2934512</v>
      </c>
      <c r="B2953" t="s">
        <v>3744</v>
      </c>
      <c r="C2953" t="s">
        <v>879</v>
      </c>
      <c r="D2953" s="21" t="s">
        <v>34</v>
      </c>
      <c r="E2953" s="21" t="s">
        <v>71</v>
      </c>
      <c r="F2953">
        <v>3290285</v>
      </c>
      <c r="G2953" t="s">
        <v>2234</v>
      </c>
      <c r="H2953" s="21">
        <v>1333.17</v>
      </c>
    </row>
    <row r="2954" spans="1:8" customFormat="1" x14ac:dyDescent="0.25">
      <c r="A2954" t="str">
        <f>"495701"</f>
        <v>495701</v>
      </c>
      <c r="B2954" t="s">
        <v>3000</v>
      </c>
      <c r="C2954" t="s">
        <v>1874</v>
      </c>
      <c r="D2954" s="21" t="s">
        <v>34</v>
      </c>
      <c r="E2954" s="21" t="s">
        <v>71</v>
      </c>
      <c r="F2954">
        <v>12490027</v>
      </c>
      <c r="G2954" t="s">
        <v>766</v>
      </c>
      <c r="H2954" s="21">
        <v>1333.17</v>
      </c>
    </row>
    <row r="2955" spans="1:8" customFormat="1" x14ac:dyDescent="0.25">
      <c r="A2955" t="str">
        <f>"597149"</f>
        <v>597149</v>
      </c>
      <c r="B2955" t="s">
        <v>4173</v>
      </c>
      <c r="C2955" t="s">
        <v>209</v>
      </c>
      <c r="D2955" s="21" t="s">
        <v>34</v>
      </c>
      <c r="E2955" s="21" t="s">
        <v>254</v>
      </c>
      <c r="F2955">
        <v>7590009</v>
      </c>
      <c r="G2955" t="s">
        <v>535</v>
      </c>
      <c r="H2955" s="21">
        <v>1332.67</v>
      </c>
    </row>
    <row r="2956" spans="1:8" customFormat="1" x14ac:dyDescent="0.25">
      <c r="A2956" t="str">
        <f>"5923184"</f>
        <v>5923184</v>
      </c>
      <c r="B2956" t="s">
        <v>4155</v>
      </c>
      <c r="C2956" t="s">
        <v>719</v>
      </c>
      <c r="D2956" s="21" t="s">
        <v>34</v>
      </c>
      <c r="E2956" s="21" t="s">
        <v>35</v>
      </c>
      <c r="F2956">
        <v>7590256</v>
      </c>
      <c r="G2956" t="s">
        <v>4156</v>
      </c>
      <c r="H2956" s="21">
        <v>1332.67</v>
      </c>
    </row>
    <row r="2957" spans="1:8" customFormat="1" x14ac:dyDescent="0.25">
      <c r="A2957" t="str">
        <f>"59466"</f>
        <v>59466</v>
      </c>
      <c r="B2957" t="s">
        <v>3162</v>
      </c>
      <c r="C2957" t="s">
        <v>2027</v>
      </c>
      <c r="D2957" s="21" t="s">
        <v>34</v>
      </c>
      <c r="E2957" s="21" t="s">
        <v>71</v>
      </c>
      <c r="F2957">
        <v>7590271</v>
      </c>
      <c r="G2957" t="s">
        <v>3163</v>
      </c>
      <c r="H2957" s="21">
        <v>1332.67</v>
      </c>
    </row>
    <row r="2958" spans="1:8" customFormat="1" x14ac:dyDescent="0.25">
      <c r="A2958" t="str">
        <f>"9744958"</f>
        <v>9744958</v>
      </c>
      <c r="B2958" t="s">
        <v>4055</v>
      </c>
      <c r="C2958" t="s">
        <v>40</v>
      </c>
      <c r="D2958" s="21" t="s">
        <v>34</v>
      </c>
      <c r="E2958" s="21" t="s">
        <v>71</v>
      </c>
      <c r="F2958" t="s">
        <v>2849</v>
      </c>
      <c r="G2958" t="s">
        <v>2850</v>
      </c>
      <c r="H2958" s="21">
        <v>1332.67</v>
      </c>
    </row>
    <row r="2959" spans="1:8" customFormat="1" x14ac:dyDescent="0.25">
      <c r="A2959" t="str">
        <f>"3314223"</f>
        <v>3314223</v>
      </c>
      <c r="B2959" t="s">
        <v>3695</v>
      </c>
      <c r="C2959" t="s">
        <v>169</v>
      </c>
      <c r="D2959" s="21" t="s">
        <v>34</v>
      </c>
      <c r="E2959" s="21" t="s">
        <v>35</v>
      </c>
      <c r="F2959">
        <v>10330046</v>
      </c>
      <c r="G2959" t="s">
        <v>1787</v>
      </c>
      <c r="H2959" s="21">
        <v>1332.42</v>
      </c>
    </row>
    <row r="2960" spans="1:8" customFormat="1" x14ac:dyDescent="0.25">
      <c r="A2960" t="str">
        <f>"942630"</f>
        <v>942630</v>
      </c>
      <c r="B2960" t="s">
        <v>2559</v>
      </c>
      <c r="C2960" t="s">
        <v>209</v>
      </c>
      <c r="D2960" s="21" t="s">
        <v>34</v>
      </c>
      <c r="E2960" s="21" t="s">
        <v>35</v>
      </c>
      <c r="F2960">
        <v>8940482</v>
      </c>
      <c r="G2960" t="s">
        <v>2560</v>
      </c>
      <c r="H2960" s="21">
        <v>1332.3</v>
      </c>
    </row>
    <row r="2961" spans="1:8" customFormat="1" x14ac:dyDescent="0.25">
      <c r="A2961" t="str">
        <f>"547023"</f>
        <v>547023</v>
      </c>
      <c r="B2961" t="s">
        <v>2942</v>
      </c>
      <c r="C2961" t="s">
        <v>2943</v>
      </c>
      <c r="D2961" s="21" t="s">
        <v>34</v>
      </c>
      <c r="E2961" s="21" t="s">
        <v>71</v>
      </c>
      <c r="F2961">
        <v>6540040</v>
      </c>
      <c r="G2961" t="s">
        <v>256</v>
      </c>
      <c r="H2961" s="21">
        <v>1332.17</v>
      </c>
    </row>
    <row r="2962" spans="1:8" customFormat="1" x14ac:dyDescent="0.25">
      <c r="A2962" t="str">
        <f>"7615063"</f>
        <v>7615063</v>
      </c>
      <c r="B2962" t="s">
        <v>3654</v>
      </c>
      <c r="C2962" t="s">
        <v>812</v>
      </c>
      <c r="D2962" s="21" t="s">
        <v>34</v>
      </c>
      <c r="E2962" s="21" t="s">
        <v>35</v>
      </c>
      <c r="F2962" t="s">
        <v>2462</v>
      </c>
      <c r="G2962" t="s">
        <v>2463</v>
      </c>
      <c r="H2962" s="21">
        <v>1332.17</v>
      </c>
    </row>
    <row r="2963" spans="1:8" customFormat="1" x14ac:dyDescent="0.25">
      <c r="A2963" t="str">
        <f>"627664"</f>
        <v>627664</v>
      </c>
      <c r="B2963" t="s">
        <v>4130</v>
      </c>
      <c r="C2963" t="s">
        <v>43</v>
      </c>
      <c r="D2963" s="21" t="s">
        <v>34</v>
      </c>
      <c r="E2963" s="21" t="s">
        <v>35</v>
      </c>
      <c r="F2963">
        <v>7620077</v>
      </c>
      <c r="G2963" t="s">
        <v>4131</v>
      </c>
      <c r="H2963" s="21">
        <v>1332.17</v>
      </c>
    </row>
    <row r="2964" spans="1:8" customFormat="1" x14ac:dyDescent="0.25">
      <c r="A2964" t="str">
        <f>"043690"</f>
        <v>043690</v>
      </c>
      <c r="B2964" t="s">
        <v>5096</v>
      </c>
      <c r="C2964" t="s">
        <v>328</v>
      </c>
      <c r="D2964" s="21" t="s">
        <v>34</v>
      </c>
      <c r="E2964" s="21" t="s">
        <v>35</v>
      </c>
      <c r="F2964">
        <v>13040023</v>
      </c>
      <c r="G2964" t="s">
        <v>2542</v>
      </c>
      <c r="H2964" s="21">
        <v>1331.68</v>
      </c>
    </row>
    <row r="2965" spans="1:8" customFormat="1" x14ac:dyDescent="0.25">
      <c r="A2965" t="str">
        <f>"6919121"</f>
        <v>6919121</v>
      </c>
      <c r="B2965" t="s">
        <v>4364</v>
      </c>
      <c r="C2965" t="s">
        <v>119</v>
      </c>
      <c r="D2965" s="21" t="s">
        <v>34</v>
      </c>
      <c r="E2965" s="21" t="s">
        <v>35</v>
      </c>
      <c r="F2965">
        <v>11300025</v>
      </c>
      <c r="G2965" t="s">
        <v>1211</v>
      </c>
      <c r="H2965" s="21">
        <v>1331.67</v>
      </c>
    </row>
    <row r="2966" spans="1:8" customFormat="1" x14ac:dyDescent="0.25">
      <c r="A2966" t="str">
        <f>"865908"</f>
        <v>865908</v>
      </c>
      <c r="B2966" t="s">
        <v>26758</v>
      </c>
      <c r="C2966" t="s">
        <v>388</v>
      </c>
      <c r="D2966" s="21" t="s">
        <v>34</v>
      </c>
      <c r="E2966" s="21" t="s">
        <v>35</v>
      </c>
      <c r="F2966">
        <v>10860035</v>
      </c>
      <c r="G2966" t="s">
        <v>4019</v>
      </c>
      <c r="H2966" s="21">
        <v>1331.67</v>
      </c>
    </row>
    <row r="2967" spans="1:8" customFormat="1" x14ac:dyDescent="0.25">
      <c r="A2967" t="str">
        <f>"358853"</f>
        <v>358853</v>
      </c>
      <c r="B2967" t="s">
        <v>3570</v>
      </c>
      <c r="C2967" t="s">
        <v>87</v>
      </c>
      <c r="D2967" s="21" t="s">
        <v>34</v>
      </c>
      <c r="E2967" s="21" t="s">
        <v>35</v>
      </c>
      <c r="F2967">
        <v>3350011</v>
      </c>
      <c r="G2967" t="s">
        <v>2404</v>
      </c>
      <c r="H2967" s="21">
        <v>1331.67</v>
      </c>
    </row>
    <row r="2968" spans="1:8" customFormat="1" x14ac:dyDescent="0.25">
      <c r="A2968" t="str">
        <f>"3415648"</f>
        <v>3415648</v>
      </c>
      <c r="B2968" t="s">
        <v>4190</v>
      </c>
      <c r="C2968" t="s">
        <v>169</v>
      </c>
      <c r="D2968" s="21" t="s">
        <v>34</v>
      </c>
      <c r="E2968" s="21" t="s">
        <v>35</v>
      </c>
      <c r="F2968">
        <v>11340018</v>
      </c>
      <c r="G2968" t="s">
        <v>2421</v>
      </c>
      <c r="H2968" s="21">
        <v>1331.67</v>
      </c>
    </row>
    <row r="2969" spans="1:8" customFormat="1" x14ac:dyDescent="0.25">
      <c r="A2969" t="str">
        <f>"577273"</f>
        <v>577273</v>
      </c>
      <c r="B2969" t="s">
        <v>4325</v>
      </c>
      <c r="C2969" t="s">
        <v>484</v>
      </c>
      <c r="D2969" s="21" t="s">
        <v>34</v>
      </c>
      <c r="E2969" s="21" t="s">
        <v>35</v>
      </c>
      <c r="F2969">
        <v>6670187</v>
      </c>
      <c r="G2969" t="s">
        <v>240</v>
      </c>
      <c r="H2969" s="21">
        <v>1331.17</v>
      </c>
    </row>
    <row r="2970" spans="1:8" customFormat="1" x14ac:dyDescent="0.25">
      <c r="A2970" t="str">
        <f>"9414180"</f>
        <v>9414180</v>
      </c>
      <c r="B2970" t="s">
        <v>4407</v>
      </c>
      <c r="C2970" t="s">
        <v>87</v>
      </c>
      <c r="D2970" s="21" t="s">
        <v>34</v>
      </c>
      <c r="E2970" s="21" t="s">
        <v>35</v>
      </c>
      <c r="F2970">
        <v>10330032</v>
      </c>
      <c r="G2970" t="s">
        <v>4408</v>
      </c>
      <c r="H2970" s="21">
        <v>1331.17</v>
      </c>
    </row>
    <row r="2971" spans="1:8" customFormat="1" x14ac:dyDescent="0.25">
      <c r="A2971" t="str">
        <f>"8012711"</f>
        <v>8012711</v>
      </c>
      <c r="B2971" t="s">
        <v>482</v>
      </c>
      <c r="C2971" t="s">
        <v>55</v>
      </c>
      <c r="D2971" s="21" t="s">
        <v>34</v>
      </c>
      <c r="E2971" s="21" t="s">
        <v>35</v>
      </c>
      <c r="F2971">
        <v>7800128</v>
      </c>
      <c r="G2971" t="s">
        <v>3147</v>
      </c>
      <c r="H2971" s="21">
        <v>1331.17</v>
      </c>
    </row>
    <row r="2972" spans="1:8" customFormat="1" x14ac:dyDescent="0.25">
      <c r="A2972" t="str">
        <f>"5316502"</f>
        <v>5316502</v>
      </c>
      <c r="B2972" t="s">
        <v>5037</v>
      </c>
      <c r="C2972" t="s">
        <v>40</v>
      </c>
      <c r="D2972" s="21" t="s">
        <v>34</v>
      </c>
      <c r="E2972" s="21" t="s">
        <v>1089</v>
      </c>
      <c r="F2972">
        <v>12720002</v>
      </c>
      <c r="G2972" t="s">
        <v>1712</v>
      </c>
      <c r="H2972" s="21">
        <v>1331.17</v>
      </c>
    </row>
    <row r="2973" spans="1:8" customFormat="1" x14ac:dyDescent="0.25">
      <c r="A2973" t="str">
        <f>"6212341"</f>
        <v>6212341</v>
      </c>
      <c r="B2973" t="s">
        <v>840</v>
      </c>
      <c r="C2973" t="s">
        <v>65</v>
      </c>
      <c r="D2973" s="21" t="s">
        <v>34</v>
      </c>
      <c r="E2973" s="21" t="s">
        <v>35</v>
      </c>
      <c r="F2973">
        <v>7620110</v>
      </c>
      <c r="G2973" t="s">
        <v>2681</v>
      </c>
      <c r="H2973" s="21">
        <v>1331.17</v>
      </c>
    </row>
    <row r="2974" spans="1:8" customFormat="1" x14ac:dyDescent="0.25">
      <c r="A2974" t="str">
        <f>"4441400"</f>
        <v>4441400</v>
      </c>
      <c r="B2974" t="s">
        <v>4434</v>
      </c>
      <c r="C2974" t="s">
        <v>1675</v>
      </c>
      <c r="D2974" s="21" t="s">
        <v>34</v>
      </c>
      <c r="E2974" s="21" t="s">
        <v>35</v>
      </c>
      <c r="F2974">
        <v>12440260</v>
      </c>
      <c r="G2974" t="s">
        <v>26759</v>
      </c>
      <c r="H2974" s="21">
        <v>1331.17</v>
      </c>
    </row>
    <row r="2975" spans="1:8" customFormat="1" x14ac:dyDescent="0.25">
      <c r="A2975" t="str">
        <f>"741302"</f>
        <v>741302</v>
      </c>
      <c r="B2975" t="s">
        <v>4511</v>
      </c>
      <c r="C2975" t="s">
        <v>171</v>
      </c>
      <c r="D2975" s="21" t="s">
        <v>34</v>
      </c>
      <c r="E2975" s="21" t="s">
        <v>35</v>
      </c>
      <c r="F2975">
        <v>1740047</v>
      </c>
      <c r="G2975" t="s">
        <v>4512</v>
      </c>
      <c r="H2975" s="21">
        <v>1331.17</v>
      </c>
    </row>
    <row r="2976" spans="1:8" customFormat="1" x14ac:dyDescent="0.25">
      <c r="A2976" t="str">
        <f>"3521713"</f>
        <v>3521713</v>
      </c>
      <c r="B2976" t="s">
        <v>4485</v>
      </c>
      <c r="C2976" t="s">
        <v>2053</v>
      </c>
      <c r="D2976" s="21" t="s">
        <v>34</v>
      </c>
      <c r="E2976" s="21" t="s">
        <v>35</v>
      </c>
      <c r="F2976">
        <v>12850020</v>
      </c>
      <c r="G2976" t="s">
        <v>725</v>
      </c>
      <c r="H2976" s="21">
        <v>1331.17</v>
      </c>
    </row>
    <row r="2977" spans="1:8" customFormat="1" x14ac:dyDescent="0.25">
      <c r="A2977" t="str">
        <f>"54512"</f>
        <v>54512</v>
      </c>
      <c r="B2977" t="s">
        <v>4355</v>
      </c>
      <c r="C2977" t="s">
        <v>87</v>
      </c>
      <c r="D2977" s="21" t="s">
        <v>34</v>
      </c>
      <c r="E2977" s="21" t="s">
        <v>71</v>
      </c>
      <c r="F2977">
        <v>6540115</v>
      </c>
      <c r="G2977" t="s">
        <v>3398</v>
      </c>
      <c r="H2977" s="21">
        <v>1331.17</v>
      </c>
    </row>
    <row r="2978" spans="1:8" customFormat="1" x14ac:dyDescent="0.25">
      <c r="A2978" t="str">
        <f>"9123752"</f>
        <v>9123752</v>
      </c>
      <c r="B2978" t="s">
        <v>3208</v>
      </c>
      <c r="C2978" t="s">
        <v>2479</v>
      </c>
      <c r="D2978" s="21" t="s">
        <v>34</v>
      </c>
      <c r="E2978" s="21" t="s">
        <v>35</v>
      </c>
      <c r="F2978">
        <v>8911285</v>
      </c>
      <c r="G2978" t="s">
        <v>2396</v>
      </c>
      <c r="H2978" s="21">
        <v>1330.67</v>
      </c>
    </row>
    <row r="2979" spans="1:8" customFormat="1" x14ac:dyDescent="0.25">
      <c r="A2979" t="str">
        <f>"60890"</f>
        <v>60890</v>
      </c>
      <c r="B2979" t="s">
        <v>3907</v>
      </c>
      <c r="C2979" t="s">
        <v>2546</v>
      </c>
      <c r="D2979" s="21" t="s">
        <v>34</v>
      </c>
      <c r="E2979" s="21" t="s">
        <v>71</v>
      </c>
      <c r="F2979">
        <v>7600039</v>
      </c>
      <c r="G2979" t="s">
        <v>3151</v>
      </c>
      <c r="H2979" s="21">
        <v>1330.67</v>
      </c>
    </row>
    <row r="2980" spans="1:8" customFormat="1" x14ac:dyDescent="0.25">
      <c r="A2980" t="str">
        <f>"364671"</f>
        <v>364671</v>
      </c>
      <c r="B2980" t="s">
        <v>3439</v>
      </c>
      <c r="C2980" t="s">
        <v>55</v>
      </c>
      <c r="D2980" s="21" t="s">
        <v>34</v>
      </c>
      <c r="E2980" s="21" t="s">
        <v>71</v>
      </c>
      <c r="F2980">
        <v>4360454</v>
      </c>
      <c r="G2980" t="s">
        <v>637</v>
      </c>
      <c r="H2980" s="21">
        <v>1330.67</v>
      </c>
    </row>
    <row r="2981" spans="1:8" customFormat="1" x14ac:dyDescent="0.25">
      <c r="A2981" t="str">
        <f>"6812723"</f>
        <v>6812723</v>
      </c>
      <c r="B2981" t="s">
        <v>26760</v>
      </c>
      <c r="C2981" t="s">
        <v>114</v>
      </c>
      <c r="D2981" s="21" t="s">
        <v>34</v>
      </c>
      <c r="E2981" s="21" t="s">
        <v>35</v>
      </c>
      <c r="F2981">
        <v>6680102</v>
      </c>
      <c r="G2981" t="s">
        <v>1232</v>
      </c>
      <c r="H2981" s="21">
        <v>1330.67</v>
      </c>
    </row>
    <row r="2982" spans="1:8" customFormat="1" x14ac:dyDescent="0.25">
      <c r="A2982" t="str">
        <f>"742761"</f>
        <v>742761</v>
      </c>
      <c r="B2982" t="s">
        <v>4466</v>
      </c>
      <c r="C2982" t="s">
        <v>311</v>
      </c>
      <c r="D2982" s="21" t="s">
        <v>34</v>
      </c>
      <c r="E2982" s="21" t="s">
        <v>35</v>
      </c>
      <c r="F2982">
        <v>1740090</v>
      </c>
      <c r="G2982" t="s">
        <v>1369</v>
      </c>
      <c r="H2982" s="21">
        <v>1330.54</v>
      </c>
    </row>
    <row r="2983" spans="1:8" customFormat="1" x14ac:dyDescent="0.25">
      <c r="A2983" t="str">
        <f>"3520225"</f>
        <v>3520225</v>
      </c>
      <c r="B2983" t="s">
        <v>4499</v>
      </c>
      <c r="C2983" t="s">
        <v>147</v>
      </c>
      <c r="D2983" s="21" t="s">
        <v>34</v>
      </c>
      <c r="E2983" s="21" t="s">
        <v>35</v>
      </c>
      <c r="F2983">
        <v>3350014</v>
      </c>
      <c r="G2983" t="s">
        <v>1078</v>
      </c>
      <c r="H2983" s="21">
        <v>1330.42</v>
      </c>
    </row>
    <row r="2984" spans="1:8" customFormat="1" x14ac:dyDescent="0.25">
      <c r="A2984" t="str">
        <f>"4432783"</f>
        <v>4432783</v>
      </c>
      <c r="B2984" t="s">
        <v>3906</v>
      </c>
      <c r="C2984" t="s">
        <v>65</v>
      </c>
      <c r="D2984" s="21" t="s">
        <v>34</v>
      </c>
      <c r="E2984" s="21" t="s">
        <v>35</v>
      </c>
      <c r="F2984">
        <v>12440038</v>
      </c>
      <c r="G2984" t="s">
        <v>2057</v>
      </c>
      <c r="H2984" s="21">
        <v>1330.17</v>
      </c>
    </row>
    <row r="2985" spans="1:8" customFormat="1" x14ac:dyDescent="0.25">
      <c r="A2985" t="str">
        <f>"606379"</f>
        <v>606379</v>
      </c>
      <c r="B2985" t="s">
        <v>146</v>
      </c>
      <c r="C2985" t="s">
        <v>486</v>
      </c>
      <c r="D2985" s="21" t="s">
        <v>34</v>
      </c>
      <c r="E2985" s="21" t="s">
        <v>35</v>
      </c>
      <c r="F2985">
        <v>7600088</v>
      </c>
      <c r="G2985" t="s">
        <v>334</v>
      </c>
      <c r="H2985" s="21">
        <v>1329.67</v>
      </c>
    </row>
    <row r="2986" spans="1:8" customFormat="1" x14ac:dyDescent="0.25">
      <c r="A2986" t="str">
        <f>"066399"</f>
        <v>066399</v>
      </c>
      <c r="B2986" t="s">
        <v>4000</v>
      </c>
      <c r="C2986" t="s">
        <v>415</v>
      </c>
      <c r="D2986" s="21" t="s">
        <v>34</v>
      </c>
      <c r="E2986" s="21" t="s">
        <v>71</v>
      </c>
      <c r="F2986">
        <v>13060005</v>
      </c>
      <c r="G2986" t="s">
        <v>3609</v>
      </c>
      <c r="H2986" s="21">
        <v>1329.67</v>
      </c>
    </row>
    <row r="2987" spans="1:8" customFormat="1" x14ac:dyDescent="0.25">
      <c r="A2987" t="str">
        <f>"8526330"</f>
        <v>8526330</v>
      </c>
      <c r="B2987" t="s">
        <v>4013</v>
      </c>
      <c r="C2987" t="s">
        <v>1196</v>
      </c>
      <c r="D2987" s="21" t="s">
        <v>34</v>
      </c>
      <c r="E2987" s="21" t="s">
        <v>35</v>
      </c>
      <c r="F2987">
        <v>12850091</v>
      </c>
      <c r="G2987" t="s">
        <v>4233</v>
      </c>
      <c r="H2987" s="21">
        <v>1329.67</v>
      </c>
    </row>
    <row r="2988" spans="1:8" customFormat="1" x14ac:dyDescent="0.25">
      <c r="A2988" t="str">
        <f>"9227502"</f>
        <v>9227502</v>
      </c>
      <c r="B2988" t="s">
        <v>3822</v>
      </c>
      <c r="C2988" t="s">
        <v>260</v>
      </c>
      <c r="D2988" s="21" t="s">
        <v>34</v>
      </c>
      <c r="E2988" s="21" t="s">
        <v>35</v>
      </c>
      <c r="F2988">
        <v>8950917</v>
      </c>
      <c r="G2988" t="s">
        <v>3823</v>
      </c>
      <c r="H2988" s="21">
        <v>1329.67</v>
      </c>
    </row>
    <row r="2989" spans="1:8" customFormat="1" x14ac:dyDescent="0.25">
      <c r="A2989" t="str">
        <f>"3722867"</f>
        <v>3722867</v>
      </c>
      <c r="B2989" t="s">
        <v>4507</v>
      </c>
      <c r="C2989" t="s">
        <v>239</v>
      </c>
      <c r="D2989" s="21" t="s">
        <v>34</v>
      </c>
      <c r="E2989" s="21" t="s">
        <v>71</v>
      </c>
      <c r="F2989">
        <v>4370681</v>
      </c>
      <c r="G2989" t="s">
        <v>4508</v>
      </c>
      <c r="H2989" s="21">
        <v>1329.67</v>
      </c>
    </row>
    <row r="2990" spans="1:8" customFormat="1" x14ac:dyDescent="0.25">
      <c r="A2990" t="str">
        <f>"9212510"</f>
        <v>9212510</v>
      </c>
      <c r="B2990" t="s">
        <v>3977</v>
      </c>
      <c r="C2990" t="s">
        <v>926</v>
      </c>
      <c r="D2990" s="21" t="s">
        <v>34</v>
      </c>
      <c r="E2990" s="21" t="s">
        <v>254</v>
      </c>
      <c r="F2990">
        <v>12850001</v>
      </c>
      <c r="G2990" t="s">
        <v>1197</v>
      </c>
      <c r="H2990" s="21">
        <v>1329.17</v>
      </c>
    </row>
    <row r="2991" spans="1:8" customFormat="1" x14ac:dyDescent="0.25">
      <c r="A2991" t="str">
        <f>"087266"</f>
        <v>087266</v>
      </c>
      <c r="B2991" t="s">
        <v>4095</v>
      </c>
      <c r="C2991" t="s">
        <v>109</v>
      </c>
      <c r="D2991" s="21" t="s">
        <v>34</v>
      </c>
      <c r="E2991" s="21" t="s">
        <v>71</v>
      </c>
      <c r="F2991">
        <v>6080035</v>
      </c>
      <c r="G2991" t="s">
        <v>583</v>
      </c>
      <c r="H2991" s="21">
        <v>1329.17</v>
      </c>
    </row>
    <row r="2992" spans="1:8" customFormat="1" x14ac:dyDescent="0.25">
      <c r="A2992" t="str">
        <f>"6015369"</f>
        <v>6015369</v>
      </c>
      <c r="B2992" t="s">
        <v>3410</v>
      </c>
      <c r="C2992" t="s">
        <v>204</v>
      </c>
      <c r="D2992" s="21" t="s">
        <v>34</v>
      </c>
      <c r="E2992" s="21" t="s">
        <v>35</v>
      </c>
      <c r="F2992">
        <v>7600044</v>
      </c>
      <c r="G2992" t="s">
        <v>3411</v>
      </c>
      <c r="H2992" s="21">
        <v>1329.17</v>
      </c>
    </row>
    <row r="2993" spans="1:8" customFormat="1" x14ac:dyDescent="0.25">
      <c r="A2993" t="str">
        <f>"0812239"</f>
        <v>0812239</v>
      </c>
      <c r="B2993" t="s">
        <v>6598</v>
      </c>
      <c r="C2993" t="s">
        <v>204</v>
      </c>
      <c r="D2993" s="21" t="s">
        <v>34</v>
      </c>
      <c r="E2993" s="21" t="s">
        <v>71</v>
      </c>
      <c r="F2993">
        <v>6080035</v>
      </c>
      <c r="G2993" t="s">
        <v>583</v>
      </c>
      <c r="H2993" s="21">
        <v>1329.05</v>
      </c>
    </row>
    <row r="2994" spans="1:8" customFormat="1" x14ac:dyDescent="0.25">
      <c r="A2994" t="str">
        <f>"218034"</f>
        <v>218034</v>
      </c>
      <c r="B2994" t="s">
        <v>3306</v>
      </c>
      <c r="C2994" t="s">
        <v>249</v>
      </c>
      <c r="D2994" s="21" t="s">
        <v>34</v>
      </c>
      <c r="E2994" s="21" t="s">
        <v>71</v>
      </c>
      <c r="F2994">
        <v>2210052</v>
      </c>
      <c r="G2994" t="s">
        <v>1070</v>
      </c>
      <c r="H2994" s="21">
        <v>1328.92</v>
      </c>
    </row>
    <row r="2995" spans="1:8" customFormat="1" x14ac:dyDescent="0.25">
      <c r="A2995" t="str">
        <f>"5611986"</f>
        <v>5611986</v>
      </c>
      <c r="B2995" t="s">
        <v>3390</v>
      </c>
      <c r="C2995" t="s">
        <v>187</v>
      </c>
      <c r="D2995" s="21" t="s">
        <v>34</v>
      </c>
      <c r="E2995" s="21" t="s">
        <v>35</v>
      </c>
      <c r="F2995">
        <v>3560031</v>
      </c>
      <c r="G2995" t="s">
        <v>738</v>
      </c>
      <c r="H2995" s="21">
        <v>1328.92</v>
      </c>
    </row>
    <row r="2996" spans="1:8" customFormat="1" x14ac:dyDescent="0.25">
      <c r="A2996" t="str">
        <f>"9391"</f>
        <v>9391</v>
      </c>
      <c r="B2996" t="s">
        <v>3845</v>
      </c>
      <c r="C2996" t="s">
        <v>817</v>
      </c>
      <c r="D2996" s="21" t="s">
        <v>34</v>
      </c>
      <c r="E2996" s="21" t="s">
        <v>71</v>
      </c>
      <c r="F2996">
        <v>8930185</v>
      </c>
      <c r="G2996" t="s">
        <v>3846</v>
      </c>
      <c r="H2996" s="21">
        <v>1328.8</v>
      </c>
    </row>
    <row r="2997" spans="1:8" customFormat="1" x14ac:dyDescent="0.25">
      <c r="A2997" t="str">
        <f>"6011049"</f>
        <v>6011049</v>
      </c>
      <c r="B2997" t="s">
        <v>4327</v>
      </c>
      <c r="C2997" t="s">
        <v>82</v>
      </c>
      <c r="D2997" s="21" t="s">
        <v>34</v>
      </c>
      <c r="E2997" s="21" t="s">
        <v>71</v>
      </c>
      <c r="F2997">
        <v>7600046</v>
      </c>
      <c r="G2997" t="s">
        <v>2604</v>
      </c>
      <c r="H2997" s="21">
        <v>1328.67</v>
      </c>
    </row>
    <row r="2998" spans="1:8" customFormat="1" x14ac:dyDescent="0.25">
      <c r="A2998" t="str">
        <f>"721337"</f>
        <v>721337</v>
      </c>
      <c r="B2998" t="s">
        <v>4053</v>
      </c>
      <c r="C2998" t="s">
        <v>812</v>
      </c>
      <c r="D2998" s="21" t="s">
        <v>34</v>
      </c>
      <c r="E2998" s="21" t="s">
        <v>35</v>
      </c>
      <c r="F2998">
        <v>12720049</v>
      </c>
      <c r="G2998" t="s">
        <v>1627</v>
      </c>
      <c r="H2998" s="21">
        <v>1328.67</v>
      </c>
    </row>
    <row r="2999" spans="1:8" customFormat="1" x14ac:dyDescent="0.25">
      <c r="A2999" t="str">
        <f>"492146"</f>
        <v>492146</v>
      </c>
      <c r="B2999" t="s">
        <v>4211</v>
      </c>
      <c r="C2999" t="s">
        <v>576</v>
      </c>
      <c r="D2999" s="21" t="s">
        <v>34</v>
      </c>
      <c r="E2999" s="21" t="s">
        <v>35</v>
      </c>
      <c r="F2999">
        <v>12490092</v>
      </c>
      <c r="G2999" t="s">
        <v>1854</v>
      </c>
      <c r="H2999" s="21">
        <v>1328.67</v>
      </c>
    </row>
    <row r="3000" spans="1:8" customFormat="1" x14ac:dyDescent="0.25">
      <c r="A3000" t="str">
        <f>"85906"</f>
        <v>85906</v>
      </c>
      <c r="B3000" t="s">
        <v>3437</v>
      </c>
      <c r="C3000" t="s">
        <v>2907</v>
      </c>
      <c r="D3000" s="21" t="s">
        <v>34</v>
      </c>
      <c r="E3000" s="21" t="s">
        <v>254</v>
      </c>
      <c r="F3000">
        <v>12850026</v>
      </c>
      <c r="G3000" t="s">
        <v>1400</v>
      </c>
      <c r="H3000" s="21">
        <v>1328.67</v>
      </c>
    </row>
    <row r="3001" spans="1:8" customFormat="1" x14ac:dyDescent="0.25">
      <c r="A3001" t="str">
        <f>"602080"</f>
        <v>602080</v>
      </c>
      <c r="B3001" t="s">
        <v>3367</v>
      </c>
      <c r="C3001" t="s">
        <v>187</v>
      </c>
      <c r="D3001" s="21" t="s">
        <v>34</v>
      </c>
      <c r="E3001" s="21" t="s">
        <v>35</v>
      </c>
      <c r="F3001">
        <v>7600088</v>
      </c>
      <c r="G3001" t="s">
        <v>334</v>
      </c>
      <c r="H3001" s="21">
        <v>1328.42</v>
      </c>
    </row>
    <row r="3002" spans="1:8" customFormat="1" x14ac:dyDescent="0.25">
      <c r="A3002" t="str">
        <f>"795843"</f>
        <v>795843</v>
      </c>
      <c r="B3002" t="s">
        <v>4066</v>
      </c>
      <c r="C3002" t="s">
        <v>90</v>
      </c>
      <c r="D3002" s="21" t="s">
        <v>34</v>
      </c>
      <c r="E3002" s="21" t="s">
        <v>35</v>
      </c>
      <c r="F3002">
        <v>10790022</v>
      </c>
      <c r="G3002" t="s">
        <v>7916</v>
      </c>
      <c r="H3002" s="21">
        <v>1328.42</v>
      </c>
    </row>
    <row r="3003" spans="1:8" customFormat="1" x14ac:dyDescent="0.25">
      <c r="A3003" t="str">
        <f>"146809"</f>
        <v>146809</v>
      </c>
      <c r="B3003" t="s">
        <v>3380</v>
      </c>
      <c r="C3003" t="s">
        <v>40</v>
      </c>
      <c r="D3003" s="21" t="s">
        <v>34</v>
      </c>
      <c r="E3003" s="21" t="s">
        <v>35</v>
      </c>
      <c r="F3003">
        <v>9140019</v>
      </c>
      <c r="G3003" t="s">
        <v>3901</v>
      </c>
      <c r="H3003" s="21">
        <v>1328.17</v>
      </c>
    </row>
    <row r="3004" spans="1:8" customFormat="1" x14ac:dyDescent="0.25">
      <c r="A3004" t="str">
        <f>"9527287"</f>
        <v>9527287</v>
      </c>
      <c r="B3004" t="s">
        <v>4467</v>
      </c>
      <c r="C3004" t="s">
        <v>121</v>
      </c>
      <c r="D3004" s="21" t="s">
        <v>34</v>
      </c>
      <c r="E3004" s="21" t="s">
        <v>71</v>
      </c>
      <c r="F3004">
        <v>8951312</v>
      </c>
      <c r="G3004" t="s">
        <v>1007</v>
      </c>
      <c r="H3004" s="21">
        <v>1327.8</v>
      </c>
    </row>
    <row r="3005" spans="1:8" customFormat="1" x14ac:dyDescent="0.25">
      <c r="A3005" t="str">
        <f>"901530"</f>
        <v>901530</v>
      </c>
      <c r="B3005" t="s">
        <v>105</v>
      </c>
      <c r="C3005" t="s">
        <v>486</v>
      </c>
      <c r="D3005" s="21" t="s">
        <v>34</v>
      </c>
      <c r="E3005" s="21" t="s">
        <v>35</v>
      </c>
      <c r="F3005">
        <v>2900028</v>
      </c>
      <c r="G3005" t="s">
        <v>1541</v>
      </c>
      <c r="H3005" s="21">
        <v>1327.8</v>
      </c>
    </row>
    <row r="3006" spans="1:8" customFormat="1" x14ac:dyDescent="0.25">
      <c r="A3006" t="str">
        <f>"4214979"</f>
        <v>4214979</v>
      </c>
      <c r="B3006" t="s">
        <v>5189</v>
      </c>
      <c r="C3006" t="s">
        <v>65</v>
      </c>
      <c r="D3006" s="21" t="s">
        <v>34</v>
      </c>
      <c r="E3006" s="21" t="s">
        <v>35</v>
      </c>
      <c r="F3006">
        <v>1420141</v>
      </c>
      <c r="G3006" t="s">
        <v>5190</v>
      </c>
      <c r="H3006" s="21">
        <v>1327.68</v>
      </c>
    </row>
    <row r="3007" spans="1:8" customFormat="1" x14ac:dyDescent="0.25">
      <c r="A3007" t="str">
        <f>"623994"</f>
        <v>623994</v>
      </c>
      <c r="B3007" t="s">
        <v>3624</v>
      </c>
      <c r="C3007" t="s">
        <v>2520</v>
      </c>
      <c r="D3007" s="21" t="s">
        <v>34</v>
      </c>
      <c r="E3007" s="21" t="s">
        <v>71</v>
      </c>
      <c r="F3007">
        <v>7620131</v>
      </c>
      <c r="G3007" t="s">
        <v>9562</v>
      </c>
      <c r="H3007" s="21">
        <v>1327.67</v>
      </c>
    </row>
    <row r="3008" spans="1:8" customFormat="1" x14ac:dyDescent="0.25">
      <c r="A3008" t="str">
        <f>"4949"</f>
        <v>4949</v>
      </c>
      <c r="B3008" t="s">
        <v>4037</v>
      </c>
      <c r="C3008" t="s">
        <v>239</v>
      </c>
      <c r="D3008" s="21" t="s">
        <v>34</v>
      </c>
      <c r="E3008" s="21" t="s">
        <v>254</v>
      </c>
      <c r="F3008">
        <v>12490002</v>
      </c>
      <c r="G3008" t="s">
        <v>1875</v>
      </c>
      <c r="H3008" s="21">
        <v>1327.67</v>
      </c>
    </row>
    <row r="3009" spans="1:8" customFormat="1" x14ac:dyDescent="0.25">
      <c r="A3009" t="str">
        <f>"9726781"</f>
        <v>9726781</v>
      </c>
      <c r="B3009" t="s">
        <v>3910</v>
      </c>
      <c r="C3009" t="s">
        <v>2132</v>
      </c>
      <c r="D3009" s="21" t="s">
        <v>34</v>
      </c>
      <c r="E3009" s="21" t="s">
        <v>35</v>
      </c>
      <c r="F3009" t="s">
        <v>3911</v>
      </c>
      <c r="G3009" t="s">
        <v>3912</v>
      </c>
      <c r="H3009" s="21">
        <v>1327.67</v>
      </c>
    </row>
    <row r="3010" spans="1:8" customFormat="1" x14ac:dyDescent="0.25">
      <c r="A3010" t="str">
        <f>"548807"</f>
        <v>548807</v>
      </c>
      <c r="B3010" t="s">
        <v>3442</v>
      </c>
      <c r="C3010" t="s">
        <v>211</v>
      </c>
      <c r="D3010" s="21" t="s">
        <v>34</v>
      </c>
      <c r="E3010" s="21" t="s">
        <v>35</v>
      </c>
      <c r="F3010">
        <v>6880119</v>
      </c>
      <c r="G3010" t="s">
        <v>3443</v>
      </c>
      <c r="H3010" s="21">
        <v>1327.42</v>
      </c>
    </row>
    <row r="3011" spans="1:8" customFormat="1" x14ac:dyDescent="0.25">
      <c r="A3011" t="str">
        <f>"901928"</f>
        <v>901928</v>
      </c>
      <c r="B3011" t="s">
        <v>3372</v>
      </c>
      <c r="C3011" t="s">
        <v>209</v>
      </c>
      <c r="D3011" s="21" t="s">
        <v>34</v>
      </c>
      <c r="E3011" s="21" t="s">
        <v>71</v>
      </c>
      <c r="F3011">
        <v>6680004</v>
      </c>
      <c r="G3011" t="s">
        <v>644</v>
      </c>
      <c r="H3011" s="21">
        <v>1327.42</v>
      </c>
    </row>
    <row r="3012" spans="1:8" customFormat="1" x14ac:dyDescent="0.25">
      <c r="A3012" t="str">
        <f>"9422085"</f>
        <v>9422085</v>
      </c>
      <c r="B3012" t="s">
        <v>4078</v>
      </c>
      <c r="C3012" t="s">
        <v>109</v>
      </c>
      <c r="D3012" s="21" t="s">
        <v>34</v>
      </c>
      <c r="E3012" s="21" t="s">
        <v>71</v>
      </c>
      <c r="F3012">
        <v>8940866</v>
      </c>
      <c r="G3012" t="s">
        <v>519</v>
      </c>
      <c r="H3012" s="21">
        <v>1327.42</v>
      </c>
    </row>
    <row r="3013" spans="1:8" customFormat="1" x14ac:dyDescent="0.25">
      <c r="A3013" t="str">
        <f>"702033"</f>
        <v>702033</v>
      </c>
      <c r="B3013" t="s">
        <v>4247</v>
      </c>
      <c r="C3013" t="s">
        <v>33</v>
      </c>
      <c r="D3013" s="21" t="s">
        <v>34</v>
      </c>
      <c r="E3013" s="21" t="s">
        <v>35</v>
      </c>
      <c r="F3013">
        <v>2700089</v>
      </c>
      <c r="G3013" t="s">
        <v>2570</v>
      </c>
      <c r="H3013" s="21">
        <v>1327.17</v>
      </c>
    </row>
    <row r="3014" spans="1:8" customFormat="1" x14ac:dyDescent="0.25">
      <c r="A3014" t="str">
        <f>"7665"</f>
        <v>7665</v>
      </c>
      <c r="B3014" t="s">
        <v>1939</v>
      </c>
      <c r="C3014" t="s">
        <v>3683</v>
      </c>
      <c r="D3014" s="21" t="s">
        <v>34</v>
      </c>
      <c r="E3014" s="21" t="s">
        <v>71</v>
      </c>
      <c r="F3014">
        <v>9760108</v>
      </c>
      <c r="G3014" t="s">
        <v>1636</v>
      </c>
      <c r="H3014" s="21">
        <v>1327.17</v>
      </c>
    </row>
    <row r="3015" spans="1:8" customFormat="1" x14ac:dyDescent="0.25">
      <c r="A3015" t="str">
        <f>"1414587"</f>
        <v>1414587</v>
      </c>
      <c r="B3015" t="s">
        <v>3980</v>
      </c>
      <c r="C3015" t="s">
        <v>33</v>
      </c>
      <c r="D3015" s="21" t="s">
        <v>34</v>
      </c>
      <c r="E3015" s="21" t="s">
        <v>35</v>
      </c>
      <c r="F3015">
        <v>9140235</v>
      </c>
      <c r="G3015" t="s">
        <v>165</v>
      </c>
      <c r="H3015" s="21">
        <v>1327.17</v>
      </c>
    </row>
    <row r="3016" spans="1:8" customFormat="1" x14ac:dyDescent="0.25">
      <c r="A3016" t="str">
        <f>"9219167"</f>
        <v>9219167</v>
      </c>
      <c r="B3016" t="s">
        <v>3691</v>
      </c>
      <c r="C3016" t="s">
        <v>817</v>
      </c>
      <c r="D3016" s="21" t="s">
        <v>34</v>
      </c>
      <c r="E3016" s="21" t="s">
        <v>35</v>
      </c>
      <c r="F3016">
        <v>8911285</v>
      </c>
      <c r="G3016" t="s">
        <v>2396</v>
      </c>
      <c r="H3016" s="21">
        <v>1327.17</v>
      </c>
    </row>
    <row r="3017" spans="1:8" customFormat="1" x14ac:dyDescent="0.25">
      <c r="A3017" t="str">
        <f>"78402"</f>
        <v>78402</v>
      </c>
      <c r="B3017" t="s">
        <v>2835</v>
      </c>
      <c r="C3017" t="s">
        <v>2904</v>
      </c>
      <c r="D3017" s="21" t="s">
        <v>34</v>
      </c>
      <c r="E3017" s="21" t="s">
        <v>254</v>
      </c>
      <c r="F3017">
        <v>8780114</v>
      </c>
      <c r="G3017" t="s">
        <v>927</v>
      </c>
      <c r="H3017" s="21">
        <v>1326.8</v>
      </c>
    </row>
    <row r="3018" spans="1:8" customFormat="1" x14ac:dyDescent="0.25">
      <c r="A3018" t="str">
        <f>"5015624"</f>
        <v>5015624</v>
      </c>
      <c r="B3018" t="s">
        <v>4221</v>
      </c>
      <c r="C3018" t="s">
        <v>576</v>
      </c>
      <c r="D3018" s="21" t="s">
        <v>34</v>
      </c>
      <c r="E3018" s="21" t="s">
        <v>35</v>
      </c>
      <c r="F3018">
        <v>9500013</v>
      </c>
      <c r="G3018" t="s">
        <v>992</v>
      </c>
      <c r="H3018" s="21">
        <v>1326.8</v>
      </c>
    </row>
    <row r="3019" spans="1:8" customFormat="1" x14ac:dyDescent="0.25">
      <c r="A3019" t="str">
        <f>"804571"</f>
        <v>804571</v>
      </c>
      <c r="B3019" t="s">
        <v>4765</v>
      </c>
      <c r="C3019" t="s">
        <v>109</v>
      </c>
      <c r="D3019" s="21" t="s">
        <v>34</v>
      </c>
      <c r="E3019" s="21" t="s">
        <v>35</v>
      </c>
      <c r="F3019">
        <v>7800102</v>
      </c>
      <c r="G3019" t="s">
        <v>1148</v>
      </c>
      <c r="H3019" s="21">
        <v>1326.67</v>
      </c>
    </row>
    <row r="3020" spans="1:8" customFormat="1" x14ac:dyDescent="0.25">
      <c r="A3020" t="str">
        <f>"259545"</f>
        <v>259545</v>
      </c>
      <c r="B3020" t="s">
        <v>3739</v>
      </c>
      <c r="C3020" t="s">
        <v>985</v>
      </c>
      <c r="D3020" s="21" t="s">
        <v>34</v>
      </c>
      <c r="E3020" s="21" t="s">
        <v>35</v>
      </c>
      <c r="F3020">
        <v>2250213</v>
      </c>
      <c r="G3020" t="s">
        <v>1969</v>
      </c>
      <c r="H3020" s="21">
        <v>1326.67</v>
      </c>
    </row>
    <row r="3021" spans="1:8" customFormat="1" x14ac:dyDescent="0.25">
      <c r="A3021" t="str">
        <f>"413648"</f>
        <v>413648</v>
      </c>
      <c r="B3021" t="s">
        <v>6038</v>
      </c>
      <c r="C3021" t="s">
        <v>60</v>
      </c>
      <c r="D3021" s="21" t="s">
        <v>34</v>
      </c>
      <c r="E3021" s="21" t="s">
        <v>35</v>
      </c>
      <c r="F3021">
        <v>4410615</v>
      </c>
      <c r="G3021" t="s">
        <v>4897</v>
      </c>
      <c r="H3021" s="21">
        <v>1326.17</v>
      </c>
    </row>
    <row r="3022" spans="1:8" customFormat="1" x14ac:dyDescent="0.25">
      <c r="A3022" t="str">
        <f>"644054"</f>
        <v>644054</v>
      </c>
      <c r="B3022" t="s">
        <v>4624</v>
      </c>
      <c r="C3022" t="s">
        <v>25534</v>
      </c>
      <c r="D3022" s="21" t="s">
        <v>34</v>
      </c>
      <c r="E3022" s="21" t="s">
        <v>35</v>
      </c>
      <c r="F3022">
        <v>10640013</v>
      </c>
      <c r="G3022" t="s">
        <v>4626</v>
      </c>
      <c r="H3022" s="21">
        <v>1326.17</v>
      </c>
    </row>
    <row r="3023" spans="1:8" customFormat="1" x14ac:dyDescent="0.25">
      <c r="A3023" t="str">
        <f>"58678"</f>
        <v>58678</v>
      </c>
      <c r="B3023" t="s">
        <v>3665</v>
      </c>
      <c r="C3023" t="s">
        <v>187</v>
      </c>
      <c r="D3023" s="21" t="s">
        <v>34</v>
      </c>
      <c r="E3023" s="21" t="s">
        <v>35</v>
      </c>
      <c r="F3023">
        <v>2580076</v>
      </c>
      <c r="G3023" t="s">
        <v>3666</v>
      </c>
      <c r="H3023" s="21">
        <v>1326.17</v>
      </c>
    </row>
    <row r="3024" spans="1:8" customFormat="1" x14ac:dyDescent="0.25">
      <c r="A3024" t="str">
        <f>"365186"</f>
        <v>365186</v>
      </c>
      <c r="B3024" t="s">
        <v>26761</v>
      </c>
      <c r="C3024" t="s">
        <v>399</v>
      </c>
      <c r="D3024" s="21" t="s">
        <v>34</v>
      </c>
      <c r="E3024" s="21" t="s">
        <v>35</v>
      </c>
      <c r="F3024">
        <v>4360123</v>
      </c>
      <c r="G3024" t="s">
        <v>4121</v>
      </c>
      <c r="H3024" s="21">
        <v>1326.17</v>
      </c>
    </row>
    <row r="3025" spans="1:8" customFormat="1" x14ac:dyDescent="0.25">
      <c r="A3025" t="str">
        <f>"643801"</f>
        <v>643801</v>
      </c>
      <c r="B3025" t="s">
        <v>5925</v>
      </c>
      <c r="C3025" t="s">
        <v>285</v>
      </c>
      <c r="D3025" s="21" t="s">
        <v>34</v>
      </c>
      <c r="E3025" s="21" t="s">
        <v>35</v>
      </c>
      <c r="F3025">
        <v>10640004</v>
      </c>
      <c r="G3025" t="s">
        <v>26618</v>
      </c>
      <c r="H3025" s="21">
        <v>1325.92</v>
      </c>
    </row>
    <row r="3026" spans="1:8" customFormat="1" x14ac:dyDescent="0.25">
      <c r="A3026" t="str">
        <f>"581974"</f>
        <v>581974</v>
      </c>
      <c r="B3026" t="s">
        <v>3715</v>
      </c>
      <c r="C3026" t="s">
        <v>98</v>
      </c>
      <c r="D3026" s="21" t="s">
        <v>34</v>
      </c>
      <c r="E3026" s="21" t="s">
        <v>35</v>
      </c>
      <c r="F3026">
        <v>4450026</v>
      </c>
      <c r="G3026" t="s">
        <v>291</v>
      </c>
      <c r="H3026" s="21">
        <v>1325.92</v>
      </c>
    </row>
    <row r="3027" spans="1:8" customFormat="1" x14ac:dyDescent="0.25">
      <c r="A3027" t="str">
        <f>"4432031"</f>
        <v>4432031</v>
      </c>
      <c r="B3027" t="s">
        <v>3718</v>
      </c>
      <c r="C3027" t="s">
        <v>119</v>
      </c>
      <c r="D3027" s="21" t="s">
        <v>34</v>
      </c>
      <c r="E3027" s="21" t="s">
        <v>71</v>
      </c>
      <c r="F3027">
        <v>12490120</v>
      </c>
      <c r="G3027" t="s">
        <v>2316</v>
      </c>
      <c r="H3027" s="21">
        <v>1325.42</v>
      </c>
    </row>
    <row r="3028" spans="1:8" customFormat="1" x14ac:dyDescent="0.25">
      <c r="A3028" t="str">
        <f>"414389"</f>
        <v>414389</v>
      </c>
      <c r="B3028" t="s">
        <v>3445</v>
      </c>
      <c r="C3028" t="s">
        <v>40</v>
      </c>
      <c r="D3028" s="21" t="s">
        <v>34</v>
      </c>
      <c r="E3028" s="21" t="s">
        <v>254</v>
      </c>
      <c r="F3028">
        <v>4410697</v>
      </c>
      <c r="G3028" t="s">
        <v>2490</v>
      </c>
      <c r="H3028" s="21">
        <v>1325.3</v>
      </c>
    </row>
    <row r="3029" spans="1:8" customFormat="1" x14ac:dyDescent="0.25">
      <c r="A3029" t="str">
        <f>"62427"</f>
        <v>62427</v>
      </c>
      <c r="B3029" t="s">
        <v>4043</v>
      </c>
      <c r="C3029" t="s">
        <v>1597</v>
      </c>
      <c r="D3029" s="21" t="s">
        <v>34</v>
      </c>
      <c r="E3029" s="21" t="s">
        <v>71</v>
      </c>
      <c r="F3029">
        <v>7620054</v>
      </c>
      <c r="G3029" t="s">
        <v>1677</v>
      </c>
      <c r="H3029" s="21">
        <v>1325.17</v>
      </c>
    </row>
    <row r="3030" spans="1:8" customFormat="1" x14ac:dyDescent="0.25">
      <c r="A3030" t="str">
        <f>"5913852"</f>
        <v>5913852</v>
      </c>
      <c r="B3030" t="s">
        <v>4035</v>
      </c>
      <c r="C3030" t="s">
        <v>169</v>
      </c>
      <c r="D3030" s="21" t="s">
        <v>34</v>
      </c>
      <c r="E3030" s="21" t="s">
        <v>35</v>
      </c>
      <c r="F3030">
        <v>7590411</v>
      </c>
      <c r="G3030" t="s">
        <v>4036</v>
      </c>
      <c r="H3030" s="21">
        <v>1325.17</v>
      </c>
    </row>
    <row r="3031" spans="1:8" customFormat="1" x14ac:dyDescent="0.25">
      <c r="A3031" t="str">
        <f>"62998"</f>
        <v>62998</v>
      </c>
      <c r="B3031" t="s">
        <v>3993</v>
      </c>
      <c r="C3031" t="s">
        <v>169</v>
      </c>
      <c r="D3031" s="21" t="s">
        <v>34</v>
      </c>
      <c r="E3031" s="21" t="s">
        <v>71</v>
      </c>
      <c r="F3031">
        <v>7620019</v>
      </c>
      <c r="G3031" t="s">
        <v>723</v>
      </c>
      <c r="H3031" s="21">
        <v>1324.67</v>
      </c>
    </row>
    <row r="3032" spans="1:8" customFormat="1" x14ac:dyDescent="0.25">
      <c r="A3032" t="str">
        <f>"629751"</f>
        <v>629751</v>
      </c>
      <c r="B3032" t="s">
        <v>4338</v>
      </c>
      <c r="C3032" t="s">
        <v>1665</v>
      </c>
      <c r="D3032" s="21" t="s">
        <v>34</v>
      </c>
      <c r="E3032" s="21" t="s">
        <v>71</v>
      </c>
      <c r="F3032">
        <v>7620058</v>
      </c>
      <c r="G3032" t="s">
        <v>602</v>
      </c>
      <c r="H3032" s="21">
        <v>1324.67</v>
      </c>
    </row>
    <row r="3033" spans="1:8" customFormat="1" x14ac:dyDescent="0.25">
      <c r="A3033" t="str">
        <f>"8527521"</f>
        <v>8527521</v>
      </c>
      <c r="B3033" t="s">
        <v>3930</v>
      </c>
      <c r="C3033" t="s">
        <v>293</v>
      </c>
      <c r="D3033" s="21" t="s">
        <v>34</v>
      </c>
      <c r="E3033" s="21" t="s">
        <v>254</v>
      </c>
      <c r="F3033">
        <v>12850008</v>
      </c>
      <c r="G3033" t="s">
        <v>4248</v>
      </c>
      <c r="H3033" s="21">
        <v>1324.55</v>
      </c>
    </row>
    <row r="3034" spans="1:8" customFormat="1" x14ac:dyDescent="0.25">
      <c r="A3034" t="str">
        <f>"843871"</f>
        <v>843871</v>
      </c>
      <c r="B3034" t="s">
        <v>3606</v>
      </c>
      <c r="C3034" t="s">
        <v>249</v>
      </c>
      <c r="D3034" s="21" t="s">
        <v>34</v>
      </c>
      <c r="E3034" s="21" t="s">
        <v>71</v>
      </c>
      <c r="F3034">
        <v>13840005</v>
      </c>
      <c r="G3034" t="s">
        <v>2145</v>
      </c>
      <c r="H3034" s="21">
        <v>1324.55</v>
      </c>
    </row>
    <row r="3035" spans="1:8" customFormat="1" x14ac:dyDescent="0.25">
      <c r="A3035" t="str">
        <f>"4913189"</f>
        <v>4913189</v>
      </c>
      <c r="B3035" t="s">
        <v>4835</v>
      </c>
      <c r="C3035" t="s">
        <v>576</v>
      </c>
      <c r="D3035" s="21" t="s">
        <v>34</v>
      </c>
      <c r="E3035" s="21" t="s">
        <v>35</v>
      </c>
      <c r="F3035">
        <v>10790009</v>
      </c>
      <c r="G3035" t="s">
        <v>1155</v>
      </c>
      <c r="H3035" s="21">
        <v>1324.42</v>
      </c>
    </row>
    <row r="3036" spans="1:8" customFormat="1" x14ac:dyDescent="0.25">
      <c r="A3036" t="str">
        <f>"4519361"</f>
        <v>4519361</v>
      </c>
      <c r="B3036" t="s">
        <v>208</v>
      </c>
      <c r="C3036" t="s">
        <v>33</v>
      </c>
      <c r="D3036" s="21" t="s">
        <v>34</v>
      </c>
      <c r="E3036" s="21" t="s">
        <v>71</v>
      </c>
      <c r="F3036">
        <v>4450573</v>
      </c>
      <c r="G3036" t="s">
        <v>4106</v>
      </c>
      <c r="H3036" s="21">
        <v>1324.17</v>
      </c>
    </row>
    <row r="3037" spans="1:8" customFormat="1" x14ac:dyDescent="0.25">
      <c r="A3037" t="str">
        <f>"521259"</f>
        <v>521259</v>
      </c>
      <c r="B3037" t="s">
        <v>4575</v>
      </c>
      <c r="C3037" t="s">
        <v>1665</v>
      </c>
      <c r="D3037" s="21" t="s">
        <v>34</v>
      </c>
      <c r="E3037" s="21" t="s">
        <v>35</v>
      </c>
      <c r="F3037">
        <v>6520022</v>
      </c>
      <c r="G3037" t="s">
        <v>2041</v>
      </c>
      <c r="H3037" s="21">
        <v>1324.17</v>
      </c>
    </row>
    <row r="3038" spans="1:8" customFormat="1" x14ac:dyDescent="0.25">
      <c r="A3038" t="str">
        <f>"61825"</f>
        <v>61825</v>
      </c>
      <c r="B3038" t="s">
        <v>1103</v>
      </c>
      <c r="C3038" t="s">
        <v>87</v>
      </c>
      <c r="D3038" s="21" t="s">
        <v>34</v>
      </c>
      <c r="E3038" s="21" t="s">
        <v>71</v>
      </c>
      <c r="F3038">
        <v>9610087</v>
      </c>
      <c r="G3038" t="s">
        <v>2661</v>
      </c>
      <c r="H3038" s="21">
        <v>1324.17</v>
      </c>
    </row>
    <row r="3039" spans="1:8" customFormat="1" x14ac:dyDescent="0.25">
      <c r="A3039" t="str">
        <f>"9726801"</f>
        <v>9726801</v>
      </c>
      <c r="B3039" t="s">
        <v>4115</v>
      </c>
      <c r="C3039" t="s">
        <v>236</v>
      </c>
      <c r="D3039" s="21" t="s">
        <v>34</v>
      </c>
      <c r="E3039" s="21" t="s">
        <v>71</v>
      </c>
      <c r="F3039" t="s">
        <v>4116</v>
      </c>
      <c r="G3039" t="s">
        <v>4117</v>
      </c>
      <c r="H3039" s="21">
        <v>1324.17</v>
      </c>
    </row>
    <row r="3040" spans="1:8" customFormat="1" x14ac:dyDescent="0.25">
      <c r="A3040" t="str">
        <f>"5313490"</f>
        <v>5313490</v>
      </c>
      <c r="B3040" t="s">
        <v>26762</v>
      </c>
      <c r="C3040" t="s">
        <v>33</v>
      </c>
      <c r="D3040" s="21" t="s">
        <v>34</v>
      </c>
      <c r="E3040" s="21" t="s">
        <v>35</v>
      </c>
      <c r="F3040">
        <v>12530051</v>
      </c>
      <c r="G3040" t="s">
        <v>4995</v>
      </c>
      <c r="H3040" s="21">
        <v>1324.17</v>
      </c>
    </row>
    <row r="3041" spans="1:8" customFormat="1" x14ac:dyDescent="0.25">
      <c r="A3041" t="str">
        <f>"3326962"</f>
        <v>3326962</v>
      </c>
      <c r="B3041" t="s">
        <v>3894</v>
      </c>
      <c r="C3041" t="s">
        <v>60</v>
      </c>
      <c r="D3041" s="21" t="s">
        <v>34</v>
      </c>
      <c r="E3041" s="21" t="s">
        <v>71</v>
      </c>
      <c r="F3041">
        <v>10330046</v>
      </c>
      <c r="G3041" t="s">
        <v>1787</v>
      </c>
      <c r="H3041" s="21">
        <v>1323.92</v>
      </c>
    </row>
    <row r="3042" spans="1:8" customFormat="1" x14ac:dyDescent="0.25">
      <c r="A3042" t="str">
        <f>"678319"</f>
        <v>678319</v>
      </c>
      <c r="B3042" t="s">
        <v>3721</v>
      </c>
      <c r="C3042" t="s">
        <v>988</v>
      </c>
      <c r="D3042" s="21" t="s">
        <v>34</v>
      </c>
      <c r="E3042" s="21" t="s">
        <v>35</v>
      </c>
      <c r="F3042">
        <v>6670045</v>
      </c>
      <c r="G3042" t="s">
        <v>707</v>
      </c>
      <c r="H3042" s="21">
        <v>1323.92</v>
      </c>
    </row>
    <row r="3043" spans="1:8" customFormat="1" x14ac:dyDescent="0.25">
      <c r="A3043" t="str">
        <f>"5934737"</f>
        <v>5934737</v>
      </c>
      <c r="B3043" t="s">
        <v>4581</v>
      </c>
      <c r="C3043" t="s">
        <v>462</v>
      </c>
      <c r="D3043" s="21" t="s">
        <v>34</v>
      </c>
      <c r="E3043" s="21" t="s">
        <v>35</v>
      </c>
      <c r="F3043">
        <v>7590055</v>
      </c>
      <c r="G3043" t="s">
        <v>1573</v>
      </c>
      <c r="H3043" s="21">
        <v>1323.67</v>
      </c>
    </row>
    <row r="3044" spans="1:8" customFormat="1" x14ac:dyDescent="0.25">
      <c r="A3044" t="str">
        <f>"62146"</f>
        <v>62146</v>
      </c>
      <c r="B3044" t="s">
        <v>3620</v>
      </c>
      <c r="C3044" t="s">
        <v>253</v>
      </c>
      <c r="D3044" s="21" t="s">
        <v>34</v>
      </c>
      <c r="E3044" s="21" t="s">
        <v>254</v>
      </c>
      <c r="F3044">
        <v>7620110</v>
      </c>
      <c r="G3044" t="s">
        <v>2681</v>
      </c>
      <c r="H3044" s="21">
        <v>1323.67</v>
      </c>
    </row>
    <row r="3045" spans="1:8" customFormat="1" x14ac:dyDescent="0.25">
      <c r="A3045" t="str">
        <f>"644165"</f>
        <v>644165</v>
      </c>
      <c r="B3045" t="s">
        <v>4210</v>
      </c>
      <c r="C3045" t="s">
        <v>139</v>
      </c>
      <c r="D3045" s="21" t="s">
        <v>34</v>
      </c>
      <c r="E3045" s="21" t="s">
        <v>35</v>
      </c>
      <c r="F3045">
        <v>3560005</v>
      </c>
      <c r="G3045" t="s">
        <v>2101</v>
      </c>
      <c r="H3045" s="21">
        <v>1323.67</v>
      </c>
    </row>
    <row r="3046" spans="1:8" customFormat="1" x14ac:dyDescent="0.25">
      <c r="A3046" t="str">
        <f>"6720712"</f>
        <v>6720712</v>
      </c>
      <c r="B3046" t="s">
        <v>3816</v>
      </c>
      <c r="C3046" t="s">
        <v>305</v>
      </c>
      <c r="D3046" s="21" t="s">
        <v>34</v>
      </c>
      <c r="E3046" s="21" t="s">
        <v>35</v>
      </c>
      <c r="F3046">
        <v>12490048</v>
      </c>
      <c r="G3046" t="s">
        <v>4228</v>
      </c>
      <c r="H3046" s="21">
        <v>1323.67</v>
      </c>
    </row>
    <row r="3047" spans="1:8" customFormat="1" x14ac:dyDescent="0.25">
      <c r="A3047" t="str">
        <f>"505902"</f>
        <v>505902</v>
      </c>
      <c r="B3047" t="s">
        <v>755</v>
      </c>
      <c r="C3047" t="s">
        <v>412</v>
      </c>
      <c r="D3047" s="21" t="s">
        <v>34</v>
      </c>
      <c r="E3047" s="21" t="s">
        <v>71</v>
      </c>
      <c r="F3047">
        <v>9500030</v>
      </c>
      <c r="G3047" t="s">
        <v>2166</v>
      </c>
      <c r="H3047" s="21">
        <v>1323.67</v>
      </c>
    </row>
    <row r="3048" spans="1:8" customFormat="1" x14ac:dyDescent="0.25">
      <c r="A3048" t="str">
        <f>"4210387"</f>
        <v>4210387</v>
      </c>
      <c r="B3048" t="s">
        <v>3582</v>
      </c>
      <c r="C3048" t="s">
        <v>415</v>
      </c>
      <c r="D3048" s="21" t="s">
        <v>34</v>
      </c>
      <c r="E3048" s="21" t="s">
        <v>254</v>
      </c>
      <c r="F3048">
        <v>11340014</v>
      </c>
      <c r="G3048" t="s">
        <v>1455</v>
      </c>
      <c r="H3048" s="21">
        <v>1323.3</v>
      </c>
    </row>
    <row r="3049" spans="1:8" customFormat="1" x14ac:dyDescent="0.25">
      <c r="A3049" t="str">
        <f>"259296"</f>
        <v>259296</v>
      </c>
      <c r="B3049" t="s">
        <v>3261</v>
      </c>
      <c r="C3049" t="s">
        <v>124</v>
      </c>
      <c r="D3049" s="21" t="s">
        <v>34</v>
      </c>
      <c r="E3049" s="21" t="s">
        <v>71</v>
      </c>
      <c r="F3049">
        <v>2390095</v>
      </c>
      <c r="G3049" t="s">
        <v>2676</v>
      </c>
      <c r="H3049" s="21">
        <v>1323.17</v>
      </c>
    </row>
    <row r="3050" spans="1:8" customFormat="1" x14ac:dyDescent="0.25">
      <c r="A3050" t="str">
        <f>"505644"</f>
        <v>505644</v>
      </c>
      <c r="B3050" t="s">
        <v>1506</v>
      </c>
      <c r="C3050" t="s">
        <v>8546</v>
      </c>
      <c r="D3050" s="21" t="s">
        <v>34</v>
      </c>
      <c r="E3050" s="21" t="s">
        <v>35</v>
      </c>
      <c r="F3050">
        <v>9500030</v>
      </c>
      <c r="G3050" t="s">
        <v>2166</v>
      </c>
      <c r="H3050" s="21">
        <v>1323.17</v>
      </c>
    </row>
    <row r="3051" spans="1:8" customFormat="1" x14ac:dyDescent="0.25">
      <c r="A3051" t="str">
        <f>"7621919"</f>
        <v>7621919</v>
      </c>
      <c r="B3051" t="s">
        <v>4194</v>
      </c>
      <c r="C3051" t="s">
        <v>171</v>
      </c>
      <c r="D3051" s="21" t="s">
        <v>34</v>
      </c>
      <c r="E3051" s="21" t="s">
        <v>254</v>
      </c>
      <c r="F3051">
        <v>9760018</v>
      </c>
      <c r="G3051" t="s">
        <v>117</v>
      </c>
      <c r="H3051" s="21">
        <v>1323.17</v>
      </c>
    </row>
    <row r="3052" spans="1:8" customFormat="1" x14ac:dyDescent="0.25">
      <c r="A3052" t="str">
        <f>"4917432"</f>
        <v>4917432</v>
      </c>
      <c r="B3052" t="s">
        <v>4033</v>
      </c>
      <c r="C3052" t="s">
        <v>428</v>
      </c>
      <c r="D3052" s="21" t="s">
        <v>34</v>
      </c>
      <c r="E3052" s="21" t="s">
        <v>35</v>
      </c>
      <c r="F3052">
        <v>12490127</v>
      </c>
      <c r="G3052" t="s">
        <v>4034</v>
      </c>
      <c r="H3052" s="21">
        <v>1323.04</v>
      </c>
    </row>
    <row r="3053" spans="1:8" customFormat="1" x14ac:dyDescent="0.25">
      <c r="A3053" t="str">
        <f>"0811403"</f>
        <v>0811403</v>
      </c>
      <c r="B3053" t="s">
        <v>4314</v>
      </c>
      <c r="C3053" t="s">
        <v>151</v>
      </c>
      <c r="D3053" s="21" t="s">
        <v>34</v>
      </c>
      <c r="E3053" s="21" t="s">
        <v>71</v>
      </c>
      <c r="F3053">
        <v>6080035</v>
      </c>
      <c r="G3053" t="s">
        <v>583</v>
      </c>
      <c r="H3053" s="21">
        <v>1323.04</v>
      </c>
    </row>
    <row r="3054" spans="1:8" customFormat="1" x14ac:dyDescent="0.25">
      <c r="A3054" t="str">
        <f>"7830130"</f>
        <v>7830130</v>
      </c>
      <c r="B3054" t="s">
        <v>3020</v>
      </c>
      <c r="C3054" t="s">
        <v>109</v>
      </c>
      <c r="D3054" s="21" t="s">
        <v>34</v>
      </c>
      <c r="E3054" s="21" t="s">
        <v>35</v>
      </c>
      <c r="F3054">
        <v>8780892</v>
      </c>
      <c r="G3054" t="s">
        <v>3021</v>
      </c>
      <c r="H3054" s="21">
        <v>1322.8</v>
      </c>
    </row>
    <row r="3055" spans="1:8" customFormat="1" x14ac:dyDescent="0.25">
      <c r="A3055" t="str">
        <f>"9218689"</f>
        <v>9218689</v>
      </c>
      <c r="B3055" t="s">
        <v>2023</v>
      </c>
      <c r="C3055" t="s">
        <v>209</v>
      </c>
      <c r="D3055" s="21" t="s">
        <v>34</v>
      </c>
      <c r="E3055" s="21" t="s">
        <v>35</v>
      </c>
      <c r="F3055">
        <v>8920018</v>
      </c>
      <c r="G3055" t="s">
        <v>1281</v>
      </c>
      <c r="H3055" s="21">
        <v>1322.67</v>
      </c>
    </row>
    <row r="3056" spans="1:8" customFormat="1" x14ac:dyDescent="0.25">
      <c r="A3056" t="str">
        <f>"4512014"</f>
        <v>4512014</v>
      </c>
      <c r="B3056" t="s">
        <v>2713</v>
      </c>
      <c r="C3056" t="s">
        <v>87</v>
      </c>
      <c r="D3056" s="21" t="s">
        <v>34</v>
      </c>
      <c r="E3056" s="21" t="s">
        <v>35</v>
      </c>
      <c r="F3056">
        <v>12850109</v>
      </c>
      <c r="G3056" t="s">
        <v>2714</v>
      </c>
      <c r="H3056" s="21">
        <v>1322.67</v>
      </c>
    </row>
    <row r="3057" spans="1:8" customFormat="1" x14ac:dyDescent="0.25">
      <c r="A3057" t="str">
        <f>"9438270"</f>
        <v>9438270</v>
      </c>
      <c r="B3057" t="s">
        <v>5239</v>
      </c>
      <c r="C3057" t="s">
        <v>576</v>
      </c>
      <c r="D3057" s="21" t="s">
        <v>34</v>
      </c>
      <c r="E3057" s="21" t="s">
        <v>71</v>
      </c>
      <c r="F3057">
        <v>8940459</v>
      </c>
      <c r="G3057" t="s">
        <v>743</v>
      </c>
      <c r="H3057" s="21">
        <v>1322.67</v>
      </c>
    </row>
    <row r="3058" spans="1:8" customFormat="1" x14ac:dyDescent="0.25">
      <c r="A3058" t="str">
        <f>"7510700"</f>
        <v>7510700</v>
      </c>
      <c r="B3058" t="s">
        <v>3614</v>
      </c>
      <c r="C3058" t="s">
        <v>3456</v>
      </c>
      <c r="D3058" s="21" t="s">
        <v>34</v>
      </c>
      <c r="E3058" s="21" t="s">
        <v>71</v>
      </c>
      <c r="F3058">
        <v>8751412</v>
      </c>
      <c r="G3058" t="s">
        <v>3615</v>
      </c>
      <c r="H3058" s="21">
        <v>1322.67</v>
      </c>
    </row>
    <row r="3059" spans="1:8" customFormat="1" x14ac:dyDescent="0.25">
      <c r="A3059" t="str">
        <f>"777448"</f>
        <v>777448</v>
      </c>
      <c r="B3059" t="s">
        <v>8259</v>
      </c>
      <c r="C3059" t="s">
        <v>87</v>
      </c>
      <c r="D3059" s="21" t="s">
        <v>34</v>
      </c>
      <c r="E3059" s="21" t="s">
        <v>35</v>
      </c>
      <c r="F3059">
        <v>8771025</v>
      </c>
      <c r="G3059" t="s">
        <v>5469</v>
      </c>
      <c r="H3059" s="21">
        <v>1322.55</v>
      </c>
    </row>
    <row r="3060" spans="1:8" customFormat="1" x14ac:dyDescent="0.25">
      <c r="A3060" t="str">
        <f>"61220"</f>
        <v>61220</v>
      </c>
      <c r="B3060" t="s">
        <v>3276</v>
      </c>
      <c r="C3060" t="s">
        <v>323</v>
      </c>
      <c r="D3060" s="21" t="s">
        <v>34</v>
      </c>
      <c r="E3060" s="21" t="s">
        <v>35</v>
      </c>
      <c r="F3060">
        <v>4280322</v>
      </c>
      <c r="G3060" t="s">
        <v>265</v>
      </c>
      <c r="H3060" s="21">
        <v>1322.17</v>
      </c>
    </row>
    <row r="3061" spans="1:8" customFormat="1" x14ac:dyDescent="0.25">
      <c r="A3061" t="str">
        <f>"9754298"</f>
        <v>9754298</v>
      </c>
      <c r="B3061" t="s">
        <v>1863</v>
      </c>
      <c r="C3061" t="s">
        <v>1231</v>
      </c>
      <c r="D3061" s="21" t="s">
        <v>34</v>
      </c>
      <c r="E3061" s="21" t="s">
        <v>71</v>
      </c>
      <c r="F3061" t="s">
        <v>590</v>
      </c>
      <c r="G3061" t="s">
        <v>591</v>
      </c>
      <c r="H3061" s="21">
        <v>1321.93</v>
      </c>
    </row>
    <row r="3062" spans="1:8" customFormat="1" x14ac:dyDescent="0.25">
      <c r="A3062" t="str">
        <f>"339629"</f>
        <v>339629</v>
      </c>
      <c r="B3062" t="s">
        <v>26763</v>
      </c>
      <c r="C3062" t="s">
        <v>305</v>
      </c>
      <c r="D3062" s="21" t="s">
        <v>34</v>
      </c>
      <c r="E3062" s="21" t="s">
        <v>35</v>
      </c>
      <c r="F3062">
        <v>10330046</v>
      </c>
      <c r="G3062" t="s">
        <v>1787</v>
      </c>
      <c r="H3062" s="21">
        <v>1321.92</v>
      </c>
    </row>
    <row r="3063" spans="1:8" customFormat="1" x14ac:dyDescent="0.25">
      <c r="A3063" t="str">
        <f>"606954"</f>
        <v>606954</v>
      </c>
      <c r="B3063" t="s">
        <v>3282</v>
      </c>
      <c r="C3063" t="s">
        <v>204</v>
      </c>
      <c r="D3063" s="21" t="s">
        <v>34</v>
      </c>
      <c r="E3063" s="21" t="s">
        <v>254</v>
      </c>
      <c r="F3063">
        <v>7600031</v>
      </c>
      <c r="G3063" t="s">
        <v>3283</v>
      </c>
      <c r="H3063" s="21">
        <v>1321.67</v>
      </c>
    </row>
    <row r="3064" spans="1:8" customFormat="1" x14ac:dyDescent="0.25">
      <c r="A3064" t="str">
        <f>"85910"</f>
        <v>85910</v>
      </c>
      <c r="B3064" t="s">
        <v>3629</v>
      </c>
      <c r="C3064" t="s">
        <v>2276</v>
      </c>
      <c r="D3064" s="21" t="s">
        <v>34</v>
      </c>
      <c r="E3064" s="21" t="s">
        <v>254</v>
      </c>
      <c r="F3064">
        <v>12850026</v>
      </c>
      <c r="G3064" t="s">
        <v>1400</v>
      </c>
      <c r="H3064" s="21">
        <v>1321.67</v>
      </c>
    </row>
    <row r="3065" spans="1:8" customFormat="1" x14ac:dyDescent="0.25">
      <c r="A3065" t="str">
        <f>"247058"</f>
        <v>247058</v>
      </c>
      <c r="B3065" t="s">
        <v>26764</v>
      </c>
      <c r="C3065" t="s">
        <v>98</v>
      </c>
      <c r="D3065" s="21" t="s">
        <v>34</v>
      </c>
      <c r="E3065" s="21" t="s">
        <v>35</v>
      </c>
      <c r="F3065">
        <v>10240005</v>
      </c>
      <c r="G3065" t="s">
        <v>2496</v>
      </c>
      <c r="H3065" s="21">
        <v>1321.67</v>
      </c>
    </row>
    <row r="3066" spans="1:8" customFormat="1" x14ac:dyDescent="0.25">
      <c r="A3066" t="str">
        <f>"454721"</f>
        <v>454721</v>
      </c>
      <c r="B3066" t="s">
        <v>26765</v>
      </c>
      <c r="C3066" t="s">
        <v>26766</v>
      </c>
      <c r="D3066" s="21" t="s">
        <v>34</v>
      </c>
      <c r="E3066" s="21" t="s">
        <v>71</v>
      </c>
      <c r="F3066" t="s">
        <v>26767</v>
      </c>
      <c r="G3066" t="s">
        <v>26768</v>
      </c>
      <c r="H3066" s="21">
        <v>1321.67</v>
      </c>
    </row>
    <row r="3067" spans="1:8" customFormat="1" x14ac:dyDescent="0.25">
      <c r="A3067" t="str">
        <f>"287982"</f>
        <v>287982</v>
      </c>
      <c r="B3067" t="s">
        <v>4291</v>
      </c>
      <c r="C3067" t="s">
        <v>43</v>
      </c>
      <c r="D3067" s="21" t="s">
        <v>34</v>
      </c>
      <c r="E3067" s="21" t="s">
        <v>35</v>
      </c>
      <c r="F3067">
        <v>12720021</v>
      </c>
      <c r="G3067" t="s">
        <v>3329</v>
      </c>
      <c r="H3067" s="21">
        <v>1321.67</v>
      </c>
    </row>
    <row r="3068" spans="1:8" customFormat="1" x14ac:dyDescent="0.25">
      <c r="A3068" t="str">
        <f>"4512251"</f>
        <v>4512251</v>
      </c>
      <c r="B3068" t="s">
        <v>4609</v>
      </c>
      <c r="C3068" t="s">
        <v>198</v>
      </c>
      <c r="D3068" s="21" t="s">
        <v>34</v>
      </c>
      <c r="E3068" s="21" t="s">
        <v>71</v>
      </c>
      <c r="F3068">
        <v>4450571</v>
      </c>
      <c r="G3068" t="s">
        <v>188</v>
      </c>
      <c r="H3068" s="21">
        <v>1321.67</v>
      </c>
    </row>
    <row r="3069" spans="1:8" customFormat="1" x14ac:dyDescent="0.25">
      <c r="A3069" t="str">
        <f>"7725027"</f>
        <v>7725027</v>
      </c>
      <c r="B3069" t="s">
        <v>3937</v>
      </c>
      <c r="C3069" t="s">
        <v>632</v>
      </c>
      <c r="D3069" s="21" t="s">
        <v>34</v>
      </c>
      <c r="E3069" s="21" t="s">
        <v>71</v>
      </c>
      <c r="F3069">
        <v>8770169</v>
      </c>
      <c r="G3069" t="s">
        <v>1001</v>
      </c>
      <c r="H3069" s="21">
        <v>1321.42</v>
      </c>
    </row>
    <row r="3070" spans="1:8" customFormat="1" x14ac:dyDescent="0.25">
      <c r="A3070" t="str">
        <f>"4218357"</f>
        <v>4218357</v>
      </c>
      <c r="B3070" t="s">
        <v>3193</v>
      </c>
      <c r="C3070" t="s">
        <v>3194</v>
      </c>
      <c r="D3070" s="21" t="s">
        <v>34</v>
      </c>
      <c r="E3070" s="21" t="s">
        <v>35</v>
      </c>
      <c r="F3070">
        <v>1420017</v>
      </c>
      <c r="G3070" t="s">
        <v>1296</v>
      </c>
      <c r="H3070" s="21">
        <v>1321.3</v>
      </c>
    </row>
    <row r="3071" spans="1:8" customFormat="1" x14ac:dyDescent="0.25">
      <c r="A3071" t="str">
        <f>"697179"</f>
        <v>697179</v>
      </c>
      <c r="B3071" t="s">
        <v>8694</v>
      </c>
      <c r="C3071" t="s">
        <v>3109</v>
      </c>
      <c r="D3071" s="21" t="s">
        <v>34</v>
      </c>
      <c r="E3071" s="21" t="s">
        <v>35</v>
      </c>
      <c r="F3071">
        <v>1690052</v>
      </c>
      <c r="G3071" t="s">
        <v>273</v>
      </c>
      <c r="H3071" s="21">
        <v>1321.17</v>
      </c>
    </row>
    <row r="3072" spans="1:8" customFormat="1" x14ac:dyDescent="0.25">
      <c r="A3072" t="str">
        <f>"743990"</f>
        <v>743990</v>
      </c>
      <c r="B3072" t="s">
        <v>3624</v>
      </c>
      <c r="C3072" t="s">
        <v>43</v>
      </c>
      <c r="D3072" s="21" t="s">
        <v>34</v>
      </c>
      <c r="E3072" s="21" t="s">
        <v>35</v>
      </c>
      <c r="F3072">
        <v>1740038</v>
      </c>
      <c r="G3072" t="s">
        <v>26517</v>
      </c>
      <c r="H3072" s="21">
        <v>1321.17</v>
      </c>
    </row>
    <row r="3073" spans="1:8" customFormat="1" x14ac:dyDescent="0.25">
      <c r="A3073" t="str">
        <f>"3718854"</f>
        <v>3718854</v>
      </c>
      <c r="B3073" t="s">
        <v>4807</v>
      </c>
      <c r="C3073" t="s">
        <v>328</v>
      </c>
      <c r="D3073" s="21" t="s">
        <v>34</v>
      </c>
      <c r="E3073" s="21" t="s">
        <v>35</v>
      </c>
      <c r="F3073">
        <v>4370024</v>
      </c>
      <c r="G3073" t="s">
        <v>1718</v>
      </c>
      <c r="H3073" s="21">
        <v>1321.17</v>
      </c>
    </row>
    <row r="3074" spans="1:8" customFormat="1" x14ac:dyDescent="0.25">
      <c r="A3074" t="str">
        <f>"5018077"</f>
        <v>5018077</v>
      </c>
      <c r="B3074" t="s">
        <v>4585</v>
      </c>
      <c r="C3074" t="s">
        <v>90</v>
      </c>
      <c r="D3074" s="21" t="s">
        <v>34</v>
      </c>
      <c r="E3074" s="21" t="s">
        <v>35</v>
      </c>
      <c r="F3074">
        <v>9500117</v>
      </c>
      <c r="G3074" t="s">
        <v>247</v>
      </c>
      <c r="H3074" s="21">
        <v>1321.17</v>
      </c>
    </row>
    <row r="3075" spans="1:8" customFormat="1" x14ac:dyDescent="0.25">
      <c r="A3075" t="str">
        <f>"822191"</f>
        <v>822191</v>
      </c>
      <c r="B3075" t="s">
        <v>4801</v>
      </c>
      <c r="C3075" t="s">
        <v>244</v>
      </c>
      <c r="D3075" s="21" t="s">
        <v>34</v>
      </c>
      <c r="E3075" s="21" t="s">
        <v>35</v>
      </c>
      <c r="F3075">
        <v>11320041</v>
      </c>
      <c r="G3075" t="s">
        <v>4802</v>
      </c>
      <c r="H3075" s="21">
        <v>1321.17</v>
      </c>
    </row>
    <row r="3076" spans="1:8" customFormat="1" x14ac:dyDescent="0.25">
      <c r="A3076" t="str">
        <f>"5686"</f>
        <v>5686</v>
      </c>
      <c r="B3076" t="s">
        <v>3992</v>
      </c>
      <c r="C3076" t="s">
        <v>891</v>
      </c>
      <c r="D3076" s="21" t="s">
        <v>34</v>
      </c>
      <c r="E3076" s="21" t="s">
        <v>71</v>
      </c>
      <c r="F3076">
        <v>3560053</v>
      </c>
      <c r="G3076" t="s">
        <v>298</v>
      </c>
      <c r="H3076" s="21">
        <v>1321.17</v>
      </c>
    </row>
    <row r="3077" spans="1:8" customFormat="1" x14ac:dyDescent="0.25">
      <c r="A3077" t="str">
        <f>"4212454"</f>
        <v>4212454</v>
      </c>
      <c r="B3077" t="s">
        <v>3927</v>
      </c>
      <c r="C3077" t="s">
        <v>3098</v>
      </c>
      <c r="D3077" s="21" t="s">
        <v>34</v>
      </c>
      <c r="E3077" s="21" t="s">
        <v>71</v>
      </c>
      <c r="F3077">
        <v>1420110</v>
      </c>
      <c r="G3077" t="s">
        <v>3928</v>
      </c>
      <c r="H3077" s="21">
        <v>1320.92</v>
      </c>
    </row>
    <row r="3078" spans="1:8" customFormat="1" x14ac:dyDescent="0.25">
      <c r="A3078" t="str">
        <f>"24536"</f>
        <v>24536</v>
      </c>
      <c r="B3078" t="s">
        <v>4316</v>
      </c>
      <c r="C3078" t="s">
        <v>65</v>
      </c>
      <c r="D3078" s="21" t="s">
        <v>34</v>
      </c>
      <c r="E3078" s="21" t="s">
        <v>35</v>
      </c>
      <c r="F3078">
        <v>11310008</v>
      </c>
      <c r="G3078" t="s">
        <v>4269</v>
      </c>
      <c r="H3078" s="21">
        <v>1320.92</v>
      </c>
    </row>
    <row r="3079" spans="1:8" customFormat="1" x14ac:dyDescent="0.25">
      <c r="A3079" t="str">
        <f>"427599"</f>
        <v>427599</v>
      </c>
      <c r="B3079" t="s">
        <v>4601</v>
      </c>
      <c r="C3079" t="s">
        <v>209</v>
      </c>
      <c r="D3079" s="21" t="s">
        <v>34</v>
      </c>
      <c r="E3079" s="21" t="s">
        <v>71</v>
      </c>
      <c r="F3079">
        <v>1690102</v>
      </c>
      <c r="G3079" t="s">
        <v>2081</v>
      </c>
      <c r="H3079" s="21">
        <v>1320.8</v>
      </c>
    </row>
    <row r="3080" spans="1:8" customFormat="1" x14ac:dyDescent="0.25">
      <c r="A3080" t="str">
        <f>"088874"</f>
        <v>088874</v>
      </c>
      <c r="B3080" t="s">
        <v>5100</v>
      </c>
      <c r="C3080" t="s">
        <v>149</v>
      </c>
      <c r="D3080" s="21" t="s">
        <v>34</v>
      </c>
      <c r="E3080" s="21" t="s">
        <v>35</v>
      </c>
      <c r="F3080">
        <v>6080014</v>
      </c>
      <c r="G3080" t="s">
        <v>1272</v>
      </c>
      <c r="H3080" s="21">
        <v>1320.67</v>
      </c>
    </row>
    <row r="3081" spans="1:8" customFormat="1" x14ac:dyDescent="0.25">
      <c r="A3081" t="str">
        <f>"4449626"</f>
        <v>4449626</v>
      </c>
      <c r="B3081" t="s">
        <v>3924</v>
      </c>
      <c r="C3081" t="s">
        <v>209</v>
      </c>
      <c r="D3081" s="21" t="s">
        <v>34</v>
      </c>
      <c r="E3081" s="21" t="s">
        <v>71</v>
      </c>
      <c r="F3081">
        <v>12440031</v>
      </c>
      <c r="G3081" t="s">
        <v>3603</v>
      </c>
      <c r="H3081" s="21">
        <v>1320.67</v>
      </c>
    </row>
    <row r="3082" spans="1:8" customFormat="1" x14ac:dyDescent="0.25">
      <c r="A3082" t="str">
        <f>"8520202"</f>
        <v>8520202</v>
      </c>
      <c r="B3082" t="s">
        <v>890</v>
      </c>
      <c r="C3082" t="s">
        <v>486</v>
      </c>
      <c r="D3082" s="21" t="s">
        <v>34</v>
      </c>
      <c r="E3082" s="21" t="s">
        <v>71</v>
      </c>
      <c r="F3082">
        <v>12850016</v>
      </c>
      <c r="G3082" t="s">
        <v>26554</v>
      </c>
      <c r="H3082" s="21">
        <v>1320.67</v>
      </c>
    </row>
    <row r="3083" spans="1:8" customFormat="1" x14ac:dyDescent="0.25">
      <c r="A3083" t="str">
        <f>"2710305"</f>
        <v>2710305</v>
      </c>
      <c r="B3083" t="s">
        <v>4997</v>
      </c>
      <c r="C3083" t="s">
        <v>2752</v>
      </c>
      <c r="D3083" s="21" t="s">
        <v>34</v>
      </c>
      <c r="E3083" s="21" t="s">
        <v>71</v>
      </c>
      <c r="F3083">
        <v>9270151</v>
      </c>
      <c r="G3083" t="s">
        <v>626</v>
      </c>
      <c r="H3083" s="21">
        <v>1320.67</v>
      </c>
    </row>
    <row r="3084" spans="1:8" customFormat="1" x14ac:dyDescent="0.25">
      <c r="A3084" t="str">
        <f>"9126190"</f>
        <v>9126190</v>
      </c>
      <c r="B3084" t="s">
        <v>5406</v>
      </c>
      <c r="C3084" t="s">
        <v>1119</v>
      </c>
      <c r="D3084" s="21" t="s">
        <v>34</v>
      </c>
      <c r="E3084" s="21" t="s">
        <v>71</v>
      </c>
      <c r="F3084">
        <v>8911050</v>
      </c>
      <c r="G3084" t="s">
        <v>1606</v>
      </c>
      <c r="H3084" s="21">
        <v>1320.17</v>
      </c>
    </row>
    <row r="3085" spans="1:8" customFormat="1" x14ac:dyDescent="0.25">
      <c r="A3085" t="str">
        <f>"602537"</f>
        <v>602537</v>
      </c>
      <c r="B3085" t="s">
        <v>3346</v>
      </c>
      <c r="C3085" t="s">
        <v>87</v>
      </c>
      <c r="D3085" s="21" t="s">
        <v>34</v>
      </c>
      <c r="E3085" s="21" t="s">
        <v>35</v>
      </c>
      <c r="F3085">
        <v>7600069</v>
      </c>
      <c r="G3085" t="s">
        <v>195</v>
      </c>
      <c r="H3085" s="21">
        <v>1320.17</v>
      </c>
    </row>
    <row r="3086" spans="1:8" customFormat="1" x14ac:dyDescent="0.25">
      <c r="A3086" t="str">
        <f>"5719293"</f>
        <v>5719293</v>
      </c>
      <c r="B3086" t="s">
        <v>5024</v>
      </c>
      <c r="C3086" t="s">
        <v>169</v>
      </c>
      <c r="D3086" s="21" t="s">
        <v>34</v>
      </c>
      <c r="E3086" s="21" t="s">
        <v>71</v>
      </c>
      <c r="F3086">
        <v>6570022</v>
      </c>
      <c r="G3086" t="s">
        <v>3870</v>
      </c>
      <c r="H3086" s="21">
        <v>1320.17</v>
      </c>
    </row>
    <row r="3087" spans="1:8" customFormat="1" x14ac:dyDescent="0.25">
      <c r="A3087" t="str">
        <f>"7638994"</f>
        <v>7638994</v>
      </c>
      <c r="B3087" t="s">
        <v>4740</v>
      </c>
      <c r="C3087" t="s">
        <v>37</v>
      </c>
      <c r="D3087" s="21" t="s">
        <v>34</v>
      </c>
      <c r="E3087" s="21" t="s">
        <v>71</v>
      </c>
      <c r="F3087">
        <v>9760415</v>
      </c>
      <c r="G3087" t="s">
        <v>4541</v>
      </c>
      <c r="H3087" s="21">
        <v>1320.17</v>
      </c>
    </row>
    <row r="3088" spans="1:8" customFormat="1" x14ac:dyDescent="0.25">
      <c r="A3088" t="str">
        <f>"3180"</f>
        <v>3180</v>
      </c>
      <c r="B3088" t="s">
        <v>3440</v>
      </c>
      <c r="C3088" t="s">
        <v>3441</v>
      </c>
      <c r="D3088" s="21" t="s">
        <v>34</v>
      </c>
      <c r="E3088" s="21" t="s">
        <v>1089</v>
      </c>
      <c r="F3088">
        <v>11310006</v>
      </c>
      <c r="G3088" t="s">
        <v>419</v>
      </c>
      <c r="H3088" s="21">
        <v>1319.92</v>
      </c>
    </row>
    <row r="3089" spans="1:8" customFormat="1" x14ac:dyDescent="0.25">
      <c r="A3089" t="str">
        <f>"624523"</f>
        <v>624523</v>
      </c>
      <c r="B3089" t="s">
        <v>11132</v>
      </c>
      <c r="C3089" t="s">
        <v>139</v>
      </c>
      <c r="D3089" s="21" t="s">
        <v>34</v>
      </c>
      <c r="E3089" s="21" t="s">
        <v>35</v>
      </c>
      <c r="F3089">
        <v>7620027</v>
      </c>
      <c r="G3089" t="s">
        <v>980</v>
      </c>
      <c r="H3089" s="21">
        <v>1319.67</v>
      </c>
    </row>
    <row r="3090" spans="1:8" customFormat="1" x14ac:dyDescent="0.25">
      <c r="A3090" t="str">
        <f>"593671"</f>
        <v>593671</v>
      </c>
      <c r="B3090" t="s">
        <v>2625</v>
      </c>
      <c r="C3090" t="s">
        <v>2907</v>
      </c>
      <c r="D3090" s="21" t="s">
        <v>34</v>
      </c>
      <c r="E3090" s="21" t="s">
        <v>71</v>
      </c>
      <c r="F3090">
        <v>7590218</v>
      </c>
      <c r="G3090" t="s">
        <v>26769</v>
      </c>
      <c r="H3090" s="21">
        <v>1319.67</v>
      </c>
    </row>
    <row r="3091" spans="1:8" customFormat="1" x14ac:dyDescent="0.25">
      <c r="A3091" t="str">
        <f>"603480"</f>
        <v>603480</v>
      </c>
      <c r="B3091" t="s">
        <v>3693</v>
      </c>
      <c r="C3091" t="s">
        <v>65</v>
      </c>
      <c r="D3091" s="21" t="s">
        <v>34</v>
      </c>
      <c r="E3091" s="21" t="s">
        <v>35</v>
      </c>
      <c r="F3091">
        <v>7600088</v>
      </c>
      <c r="G3091" t="s">
        <v>334</v>
      </c>
      <c r="H3091" s="21">
        <v>1319.67</v>
      </c>
    </row>
    <row r="3092" spans="1:8" customFormat="1" x14ac:dyDescent="0.25">
      <c r="A3092" t="str">
        <f>"278402"</f>
        <v>278402</v>
      </c>
      <c r="B3092" t="s">
        <v>146</v>
      </c>
      <c r="C3092" t="s">
        <v>65</v>
      </c>
      <c r="D3092" s="21" t="s">
        <v>34</v>
      </c>
      <c r="E3092" s="21" t="s">
        <v>71</v>
      </c>
      <c r="F3092">
        <v>9270095</v>
      </c>
      <c r="G3092" t="s">
        <v>1681</v>
      </c>
      <c r="H3092" s="21">
        <v>1319.67</v>
      </c>
    </row>
    <row r="3093" spans="1:8" customFormat="1" x14ac:dyDescent="0.25">
      <c r="A3093" t="str">
        <f>"953483"</f>
        <v>953483</v>
      </c>
      <c r="B3093" t="s">
        <v>105</v>
      </c>
      <c r="C3093" t="s">
        <v>239</v>
      </c>
      <c r="D3093" s="21" t="s">
        <v>34</v>
      </c>
      <c r="E3093" s="21" t="s">
        <v>254</v>
      </c>
      <c r="F3093">
        <v>8950330</v>
      </c>
      <c r="G3093" t="s">
        <v>794</v>
      </c>
      <c r="H3093" s="21">
        <v>1319.67</v>
      </c>
    </row>
    <row r="3094" spans="1:8" customFormat="1" x14ac:dyDescent="0.25">
      <c r="A3094" t="str">
        <f>"7717860"</f>
        <v>7717860</v>
      </c>
      <c r="B3094" t="s">
        <v>4071</v>
      </c>
      <c r="C3094" t="s">
        <v>65</v>
      </c>
      <c r="D3094" s="21" t="s">
        <v>34</v>
      </c>
      <c r="E3094" s="21" t="s">
        <v>35</v>
      </c>
      <c r="F3094">
        <v>8771508</v>
      </c>
      <c r="G3094" t="s">
        <v>4072</v>
      </c>
      <c r="H3094" s="21">
        <v>1319.18</v>
      </c>
    </row>
    <row r="3095" spans="1:8" customFormat="1" x14ac:dyDescent="0.25">
      <c r="A3095" t="str">
        <f>"7511824"</f>
        <v>7511824</v>
      </c>
      <c r="B3095" t="s">
        <v>4649</v>
      </c>
      <c r="C3095" t="s">
        <v>1142</v>
      </c>
      <c r="D3095" s="21" t="s">
        <v>34</v>
      </c>
      <c r="E3095" s="21" t="s">
        <v>35</v>
      </c>
      <c r="F3095">
        <v>8751249</v>
      </c>
      <c r="G3095" t="s">
        <v>2803</v>
      </c>
      <c r="H3095" s="21">
        <v>1319.17</v>
      </c>
    </row>
    <row r="3096" spans="1:8" customFormat="1" x14ac:dyDescent="0.25">
      <c r="A3096" t="str">
        <f>"1412093"</f>
        <v>1412093</v>
      </c>
      <c r="B3096" t="s">
        <v>26770</v>
      </c>
      <c r="C3096" t="s">
        <v>147</v>
      </c>
      <c r="D3096" s="21" t="s">
        <v>34</v>
      </c>
      <c r="E3096" s="21" t="s">
        <v>35</v>
      </c>
      <c r="F3096">
        <v>4410080</v>
      </c>
      <c r="G3096" t="s">
        <v>135</v>
      </c>
      <c r="H3096" s="21">
        <v>1319.17</v>
      </c>
    </row>
    <row r="3097" spans="1:8" customFormat="1" x14ac:dyDescent="0.25">
      <c r="A3097" t="str">
        <f>"623255"</f>
        <v>623255</v>
      </c>
      <c r="B3097" t="s">
        <v>3862</v>
      </c>
      <c r="C3097" t="s">
        <v>119</v>
      </c>
      <c r="D3097" s="21" t="s">
        <v>34</v>
      </c>
      <c r="E3097" s="21" t="s">
        <v>35</v>
      </c>
      <c r="F3097">
        <v>7620100</v>
      </c>
      <c r="G3097" t="s">
        <v>145</v>
      </c>
      <c r="H3097" s="21">
        <v>1319.17</v>
      </c>
    </row>
    <row r="3098" spans="1:8" customFormat="1" x14ac:dyDescent="0.25">
      <c r="A3098" t="str">
        <f>"793153"</f>
        <v>793153</v>
      </c>
      <c r="B3098" t="s">
        <v>18166</v>
      </c>
      <c r="C3098" t="s">
        <v>174</v>
      </c>
      <c r="D3098" s="21" t="s">
        <v>34</v>
      </c>
      <c r="E3098" s="21" t="s">
        <v>35</v>
      </c>
      <c r="F3098">
        <v>10790020</v>
      </c>
      <c r="G3098" t="s">
        <v>10221</v>
      </c>
      <c r="H3098" s="21">
        <v>1319.17</v>
      </c>
    </row>
    <row r="3099" spans="1:8" customFormat="1" x14ac:dyDescent="0.25">
      <c r="A3099" t="str">
        <f>"5932595"</f>
        <v>5932595</v>
      </c>
      <c r="B3099" t="s">
        <v>3621</v>
      </c>
      <c r="C3099" t="s">
        <v>601</v>
      </c>
      <c r="D3099" s="21" t="s">
        <v>34</v>
      </c>
      <c r="E3099" s="21" t="s">
        <v>35</v>
      </c>
      <c r="F3099">
        <v>7590327</v>
      </c>
      <c r="G3099" t="s">
        <v>2330</v>
      </c>
      <c r="H3099" s="21">
        <v>1319.17</v>
      </c>
    </row>
    <row r="3100" spans="1:8" customFormat="1" x14ac:dyDescent="0.25">
      <c r="A3100" t="str">
        <f>"101176"</f>
        <v>101176</v>
      </c>
      <c r="B3100" t="s">
        <v>12112</v>
      </c>
      <c r="C3100" t="s">
        <v>58</v>
      </c>
      <c r="D3100" s="21" t="s">
        <v>34</v>
      </c>
      <c r="E3100" s="21" t="s">
        <v>35</v>
      </c>
      <c r="F3100">
        <v>8771154</v>
      </c>
      <c r="G3100" t="s">
        <v>3625</v>
      </c>
      <c r="H3100" s="21">
        <v>1319.05</v>
      </c>
    </row>
    <row r="3101" spans="1:8" customFormat="1" x14ac:dyDescent="0.25">
      <c r="A3101" t="str">
        <f>"581630"</f>
        <v>581630</v>
      </c>
      <c r="B3101" t="s">
        <v>5399</v>
      </c>
      <c r="C3101" t="s">
        <v>926</v>
      </c>
      <c r="D3101" s="21" t="s">
        <v>34</v>
      </c>
      <c r="E3101" s="21" t="s">
        <v>254</v>
      </c>
      <c r="F3101">
        <v>2580012</v>
      </c>
      <c r="G3101" t="s">
        <v>1144</v>
      </c>
      <c r="H3101" s="21">
        <v>1319.04</v>
      </c>
    </row>
    <row r="3102" spans="1:8" customFormat="1" x14ac:dyDescent="0.25">
      <c r="A3102" t="str">
        <f>"24521"</f>
        <v>24521</v>
      </c>
      <c r="B3102" t="s">
        <v>3895</v>
      </c>
      <c r="C3102" t="s">
        <v>33</v>
      </c>
      <c r="D3102" s="21" t="s">
        <v>34</v>
      </c>
      <c r="E3102" s="21" t="s">
        <v>35</v>
      </c>
      <c r="F3102">
        <v>10240002</v>
      </c>
      <c r="G3102" t="s">
        <v>2935</v>
      </c>
      <c r="H3102" s="21">
        <v>1318.67</v>
      </c>
    </row>
    <row r="3103" spans="1:8" customFormat="1" x14ac:dyDescent="0.25">
      <c r="A3103" t="str">
        <f>"2911885"</f>
        <v>2911885</v>
      </c>
      <c r="B3103" t="s">
        <v>7220</v>
      </c>
      <c r="C3103" t="s">
        <v>611</v>
      </c>
      <c r="D3103" s="21" t="s">
        <v>34</v>
      </c>
      <c r="E3103" s="21" t="s">
        <v>35</v>
      </c>
      <c r="F3103">
        <v>12530054</v>
      </c>
      <c r="G3103" t="s">
        <v>354</v>
      </c>
      <c r="H3103" s="21">
        <v>1318.67</v>
      </c>
    </row>
    <row r="3104" spans="1:8" customFormat="1" x14ac:dyDescent="0.25">
      <c r="A3104" t="str">
        <f>"774244"</f>
        <v>774244</v>
      </c>
      <c r="B3104" t="s">
        <v>4237</v>
      </c>
      <c r="C3104" t="s">
        <v>90</v>
      </c>
      <c r="D3104" s="21" t="s">
        <v>34</v>
      </c>
      <c r="E3104" s="21" t="s">
        <v>71</v>
      </c>
      <c r="F3104">
        <v>8770202</v>
      </c>
      <c r="G3104" t="s">
        <v>1999</v>
      </c>
      <c r="H3104" s="21">
        <v>1318.42</v>
      </c>
    </row>
    <row r="3105" spans="1:8" customFormat="1" x14ac:dyDescent="0.25">
      <c r="A3105" t="str">
        <f>"5411477"</f>
        <v>5411477</v>
      </c>
      <c r="B3105" t="s">
        <v>3428</v>
      </c>
      <c r="C3105" t="s">
        <v>1887</v>
      </c>
      <c r="D3105" s="21" t="s">
        <v>34</v>
      </c>
      <c r="E3105" s="21" t="s">
        <v>254</v>
      </c>
      <c r="F3105">
        <v>6540040</v>
      </c>
      <c r="G3105" t="s">
        <v>256</v>
      </c>
      <c r="H3105" s="21">
        <v>1318.42</v>
      </c>
    </row>
    <row r="3106" spans="1:8" customFormat="1" x14ac:dyDescent="0.25">
      <c r="A3106" t="str">
        <f>"3340326"</f>
        <v>3340326</v>
      </c>
      <c r="B3106" t="s">
        <v>5122</v>
      </c>
      <c r="C3106" t="s">
        <v>87</v>
      </c>
      <c r="D3106" s="21" t="s">
        <v>34</v>
      </c>
      <c r="E3106" s="21" t="s">
        <v>35</v>
      </c>
      <c r="F3106">
        <v>10330046</v>
      </c>
      <c r="G3106" t="s">
        <v>1787</v>
      </c>
      <c r="H3106" s="21">
        <v>1318.18</v>
      </c>
    </row>
    <row r="3107" spans="1:8" customFormat="1" x14ac:dyDescent="0.25">
      <c r="A3107" t="str">
        <f>"264367"</f>
        <v>264367</v>
      </c>
      <c r="B3107" t="s">
        <v>26771</v>
      </c>
      <c r="C3107" t="s">
        <v>507</v>
      </c>
      <c r="D3107" s="21" t="s">
        <v>34</v>
      </c>
      <c r="E3107" s="21" t="s">
        <v>35</v>
      </c>
      <c r="F3107">
        <v>1260026</v>
      </c>
      <c r="G3107" t="s">
        <v>516</v>
      </c>
      <c r="H3107" s="21">
        <v>1318.17</v>
      </c>
    </row>
    <row r="3108" spans="1:8" customFormat="1" x14ac:dyDescent="0.25">
      <c r="A3108" t="str">
        <f>"34365"</f>
        <v>34365</v>
      </c>
      <c r="B3108" t="s">
        <v>5216</v>
      </c>
      <c r="C3108" t="s">
        <v>462</v>
      </c>
      <c r="D3108" s="21" t="s">
        <v>34</v>
      </c>
      <c r="E3108" s="21" t="s">
        <v>71</v>
      </c>
      <c r="F3108">
        <v>11340047</v>
      </c>
      <c r="G3108" t="s">
        <v>4303</v>
      </c>
      <c r="H3108" s="21">
        <v>1318.17</v>
      </c>
    </row>
    <row r="3109" spans="1:8" customFormat="1" x14ac:dyDescent="0.25">
      <c r="A3109" t="str">
        <f>"2510831"</f>
        <v>2510831</v>
      </c>
      <c r="B3109" t="s">
        <v>4534</v>
      </c>
      <c r="C3109" t="s">
        <v>249</v>
      </c>
      <c r="D3109" s="21" t="s">
        <v>34</v>
      </c>
      <c r="E3109" s="21" t="s">
        <v>254</v>
      </c>
      <c r="F3109">
        <v>2250070</v>
      </c>
      <c r="G3109" t="s">
        <v>3923</v>
      </c>
      <c r="H3109" s="21">
        <v>1318.17</v>
      </c>
    </row>
    <row r="3110" spans="1:8" customFormat="1" x14ac:dyDescent="0.25">
      <c r="A3110" t="str">
        <f>"938986"</f>
        <v>938986</v>
      </c>
      <c r="B3110" t="s">
        <v>3239</v>
      </c>
      <c r="C3110" t="s">
        <v>139</v>
      </c>
      <c r="D3110" s="21" t="s">
        <v>34</v>
      </c>
      <c r="E3110" s="21" t="s">
        <v>35</v>
      </c>
      <c r="F3110">
        <v>8930113</v>
      </c>
      <c r="G3110" t="s">
        <v>368</v>
      </c>
      <c r="H3110" s="21">
        <v>1317.92</v>
      </c>
    </row>
    <row r="3111" spans="1:8" customFormat="1" x14ac:dyDescent="0.25">
      <c r="A3111" t="str">
        <f>"2916040"</f>
        <v>2916040</v>
      </c>
      <c r="B3111" t="s">
        <v>1349</v>
      </c>
      <c r="C3111" t="s">
        <v>204</v>
      </c>
      <c r="D3111" s="21" t="s">
        <v>34</v>
      </c>
      <c r="E3111" s="21" t="s">
        <v>71</v>
      </c>
      <c r="F3111">
        <v>3290285</v>
      </c>
      <c r="G3111" t="s">
        <v>2234</v>
      </c>
      <c r="H3111" s="21">
        <v>1317.8</v>
      </c>
    </row>
    <row r="3112" spans="1:8" customFormat="1" x14ac:dyDescent="0.25">
      <c r="A3112" t="str">
        <f>"4443276"</f>
        <v>4443276</v>
      </c>
      <c r="B3112" t="s">
        <v>5164</v>
      </c>
      <c r="C3112" t="s">
        <v>33</v>
      </c>
      <c r="D3112" s="21" t="s">
        <v>34</v>
      </c>
      <c r="E3112" s="21" t="s">
        <v>35</v>
      </c>
      <c r="F3112">
        <v>12440166</v>
      </c>
      <c r="G3112" t="s">
        <v>4031</v>
      </c>
      <c r="H3112" s="21">
        <v>1317.67</v>
      </c>
    </row>
    <row r="3113" spans="1:8" customFormat="1" x14ac:dyDescent="0.25">
      <c r="A3113" t="str">
        <f>"7837255"</f>
        <v>7837255</v>
      </c>
      <c r="B3113" t="s">
        <v>1908</v>
      </c>
      <c r="C3113" t="s">
        <v>3887</v>
      </c>
      <c r="D3113" s="21" t="s">
        <v>34</v>
      </c>
      <c r="E3113" s="21" t="s">
        <v>35</v>
      </c>
      <c r="F3113">
        <v>4280004</v>
      </c>
      <c r="G3113" t="s">
        <v>91</v>
      </c>
      <c r="H3113" s="21">
        <v>1317.67</v>
      </c>
    </row>
    <row r="3114" spans="1:8" customFormat="1" x14ac:dyDescent="0.25">
      <c r="A3114" t="str">
        <f>"597787"</f>
        <v>597787</v>
      </c>
      <c r="B3114" t="s">
        <v>3555</v>
      </c>
      <c r="C3114" t="s">
        <v>233</v>
      </c>
      <c r="D3114" s="21" t="s">
        <v>34</v>
      </c>
      <c r="E3114" s="21" t="s">
        <v>35</v>
      </c>
      <c r="F3114">
        <v>7590127</v>
      </c>
      <c r="G3114" t="s">
        <v>214</v>
      </c>
      <c r="H3114" s="21">
        <v>1317.67</v>
      </c>
    </row>
    <row r="3115" spans="1:8" customFormat="1" x14ac:dyDescent="0.25">
      <c r="A3115" t="str">
        <f>"722358"</f>
        <v>722358</v>
      </c>
      <c r="B3115" t="s">
        <v>4025</v>
      </c>
      <c r="C3115" t="s">
        <v>87</v>
      </c>
      <c r="D3115" s="21" t="s">
        <v>34</v>
      </c>
      <c r="E3115" s="21" t="s">
        <v>35</v>
      </c>
      <c r="F3115">
        <v>12720062</v>
      </c>
      <c r="G3115" t="s">
        <v>4026</v>
      </c>
      <c r="H3115" s="21">
        <v>1317.67</v>
      </c>
    </row>
    <row r="3116" spans="1:8" customFormat="1" x14ac:dyDescent="0.25">
      <c r="A3116" t="str">
        <f>"6222323"</f>
        <v>6222323</v>
      </c>
      <c r="B3116" t="s">
        <v>4213</v>
      </c>
      <c r="C3116" t="s">
        <v>269</v>
      </c>
      <c r="D3116" s="21" t="s">
        <v>34</v>
      </c>
      <c r="E3116" s="21" t="s">
        <v>35</v>
      </c>
      <c r="F3116">
        <v>7620010</v>
      </c>
      <c r="G3116" t="s">
        <v>504</v>
      </c>
      <c r="H3116" s="21">
        <v>1317.67</v>
      </c>
    </row>
    <row r="3117" spans="1:8" customFormat="1" x14ac:dyDescent="0.25">
      <c r="A3117" t="str">
        <f>"892838"</f>
        <v>892838</v>
      </c>
      <c r="B3117" t="s">
        <v>1724</v>
      </c>
      <c r="C3117" t="s">
        <v>269</v>
      </c>
      <c r="D3117" s="21" t="s">
        <v>34</v>
      </c>
      <c r="E3117" s="21" t="s">
        <v>35</v>
      </c>
      <c r="F3117">
        <v>2250154</v>
      </c>
      <c r="G3117" t="s">
        <v>1973</v>
      </c>
      <c r="H3117" s="21">
        <v>1317.67</v>
      </c>
    </row>
    <row r="3118" spans="1:8" customFormat="1" x14ac:dyDescent="0.25">
      <c r="A3118" t="str">
        <f>"679245"</f>
        <v>679245</v>
      </c>
      <c r="B3118" t="s">
        <v>4056</v>
      </c>
      <c r="C3118" t="s">
        <v>55</v>
      </c>
      <c r="D3118" s="21" t="s">
        <v>34</v>
      </c>
      <c r="E3118" s="21" t="s">
        <v>35</v>
      </c>
      <c r="F3118">
        <v>6570132</v>
      </c>
      <c r="G3118" t="s">
        <v>26746</v>
      </c>
      <c r="H3118" s="21">
        <v>1317.67</v>
      </c>
    </row>
    <row r="3119" spans="1:8" customFormat="1" x14ac:dyDescent="0.25">
      <c r="A3119" t="str">
        <f>"1423911"</f>
        <v>1423911</v>
      </c>
      <c r="B3119" t="s">
        <v>3926</v>
      </c>
      <c r="C3119" t="s">
        <v>985</v>
      </c>
      <c r="D3119" s="21" t="s">
        <v>34</v>
      </c>
      <c r="E3119" s="21" t="s">
        <v>35</v>
      </c>
      <c r="F3119">
        <v>9140032</v>
      </c>
      <c r="G3119" t="s">
        <v>2130</v>
      </c>
      <c r="H3119" s="21">
        <v>1317.67</v>
      </c>
    </row>
    <row r="3120" spans="1:8" customFormat="1" x14ac:dyDescent="0.25">
      <c r="A3120" t="str">
        <f>"293627"</f>
        <v>293627</v>
      </c>
      <c r="B3120" t="s">
        <v>3177</v>
      </c>
      <c r="C3120" t="s">
        <v>60</v>
      </c>
      <c r="D3120" s="21" t="s">
        <v>34</v>
      </c>
      <c r="E3120" s="21" t="s">
        <v>35</v>
      </c>
      <c r="F3120">
        <v>3290229</v>
      </c>
      <c r="G3120" t="s">
        <v>408</v>
      </c>
      <c r="H3120" s="21">
        <v>1317.42</v>
      </c>
    </row>
    <row r="3121" spans="1:8" customFormat="1" x14ac:dyDescent="0.25">
      <c r="A3121" t="str">
        <f>"50375"</f>
        <v>50375</v>
      </c>
      <c r="B3121" t="s">
        <v>3938</v>
      </c>
      <c r="C3121" t="s">
        <v>169</v>
      </c>
      <c r="D3121" s="21" t="s">
        <v>34</v>
      </c>
      <c r="E3121" s="21" t="s">
        <v>71</v>
      </c>
      <c r="F3121">
        <v>9500015</v>
      </c>
      <c r="G3121" t="s">
        <v>3389</v>
      </c>
      <c r="H3121" s="21">
        <v>1317.29</v>
      </c>
    </row>
    <row r="3122" spans="1:8" customFormat="1" x14ac:dyDescent="0.25">
      <c r="A3122" t="str">
        <f>"191480"</f>
        <v>191480</v>
      </c>
      <c r="B3122" t="s">
        <v>4132</v>
      </c>
      <c r="C3122" t="s">
        <v>415</v>
      </c>
      <c r="D3122" s="21" t="s">
        <v>34</v>
      </c>
      <c r="E3122" s="21" t="s">
        <v>35</v>
      </c>
      <c r="F3122">
        <v>10190073</v>
      </c>
      <c r="G3122" t="s">
        <v>2366</v>
      </c>
      <c r="H3122" s="21">
        <v>1317.17</v>
      </c>
    </row>
    <row r="3123" spans="1:8" customFormat="1" x14ac:dyDescent="0.25">
      <c r="A3123" t="str">
        <f>"627734"</f>
        <v>627734</v>
      </c>
      <c r="B3123" t="s">
        <v>4695</v>
      </c>
      <c r="C3123" t="s">
        <v>1819</v>
      </c>
      <c r="D3123" s="21" t="s">
        <v>34</v>
      </c>
      <c r="E3123" s="21" t="s">
        <v>35</v>
      </c>
      <c r="F3123">
        <v>7620100</v>
      </c>
      <c r="G3123" t="s">
        <v>145</v>
      </c>
      <c r="H3123" s="21">
        <v>1317.17</v>
      </c>
    </row>
    <row r="3124" spans="1:8" customFormat="1" x14ac:dyDescent="0.25">
      <c r="A3124" t="str">
        <f>"864344"</f>
        <v>864344</v>
      </c>
      <c r="B3124" t="s">
        <v>3978</v>
      </c>
      <c r="C3124" t="s">
        <v>415</v>
      </c>
      <c r="D3124" s="21" t="s">
        <v>34</v>
      </c>
      <c r="E3124" s="21" t="s">
        <v>254</v>
      </c>
      <c r="F3124">
        <v>10860035</v>
      </c>
      <c r="G3124" t="s">
        <v>4019</v>
      </c>
      <c r="H3124" s="21">
        <v>1317.17</v>
      </c>
    </row>
    <row r="3125" spans="1:8" customFormat="1" x14ac:dyDescent="0.25">
      <c r="A3125" t="str">
        <f>"4429759"</f>
        <v>4429759</v>
      </c>
      <c r="B3125" t="s">
        <v>1788</v>
      </c>
      <c r="C3125" t="s">
        <v>817</v>
      </c>
      <c r="D3125" s="21" t="s">
        <v>34</v>
      </c>
      <c r="E3125" s="21" t="s">
        <v>71</v>
      </c>
      <c r="F3125">
        <v>12440056</v>
      </c>
      <c r="G3125" t="s">
        <v>2037</v>
      </c>
      <c r="H3125" s="21">
        <v>1317.17</v>
      </c>
    </row>
    <row r="3126" spans="1:8" customFormat="1" x14ac:dyDescent="0.25">
      <c r="A3126" t="str">
        <f>"885830"</f>
        <v>885830</v>
      </c>
      <c r="B3126" t="s">
        <v>5256</v>
      </c>
      <c r="C3126" t="s">
        <v>249</v>
      </c>
      <c r="D3126" s="21" t="s">
        <v>34</v>
      </c>
      <c r="E3126" s="21" t="s">
        <v>71</v>
      </c>
      <c r="F3126">
        <v>6680130</v>
      </c>
      <c r="G3126" t="s">
        <v>26772</v>
      </c>
      <c r="H3126" s="21">
        <v>1317.17</v>
      </c>
    </row>
    <row r="3127" spans="1:8" customFormat="1" x14ac:dyDescent="0.25">
      <c r="A3127" t="str">
        <f>"806616"</f>
        <v>806616</v>
      </c>
      <c r="B3127" t="s">
        <v>3812</v>
      </c>
      <c r="C3127" t="s">
        <v>929</v>
      </c>
      <c r="D3127" s="21" t="s">
        <v>34</v>
      </c>
      <c r="E3127" s="21" t="s">
        <v>35</v>
      </c>
      <c r="F3127">
        <v>9270060</v>
      </c>
      <c r="G3127" t="s">
        <v>1982</v>
      </c>
      <c r="H3127" s="21">
        <v>1317.17</v>
      </c>
    </row>
    <row r="3128" spans="1:8" customFormat="1" x14ac:dyDescent="0.25">
      <c r="A3128" t="str">
        <f>"8814849"</f>
        <v>8814849</v>
      </c>
      <c r="B3128" t="s">
        <v>3428</v>
      </c>
      <c r="C3128" t="s">
        <v>60</v>
      </c>
      <c r="D3128" s="21" t="s">
        <v>34</v>
      </c>
      <c r="E3128" s="21" t="s">
        <v>35</v>
      </c>
      <c r="F3128">
        <v>6880071</v>
      </c>
      <c r="G3128" t="s">
        <v>4226</v>
      </c>
      <c r="H3128" s="21">
        <v>1316.81</v>
      </c>
    </row>
    <row r="3129" spans="1:8" customFormat="1" x14ac:dyDescent="0.25">
      <c r="A3129" t="str">
        <f>"443359"</f>
        <v>443359</v>
      </c>
      <c r="B3129" t="s">
        <v>3249</v>
      </c>
      <c r="C3129" t="s">
        <v>40</v>
      </c>
      <c r="D3129" s="21" t="s">
        <v>34</v>
      </c>
      <c r="E3129" s="21" t="s">
        <v>71</v>
      </c>
      <c r="F3129">
        <v>12440058</v>
      </c>
      <c r="G3129" t="s">
        <v>394</v>
      </c>
      <c r="H3129" s="21">
        <v>1316.67</v>
      </c>
    </row>
    <row r="3130" spans="1:8" customFormat="1" x14ac:dyDescent="0.25">
      <c r="A3130" t="str">
        <f>"7518632"</f>
        <v>7518632</v>
      </c>
      <c r="B3130" t="s">
        <v>3976</v>
      </c>
      <c r="C3130" t="s">
        <v>156</v>
      </c>
      <c r="D3130" s="21" t="s">
        <v>34</v>
      </c>
      <c r="E3130" s="21" t="s">
        <v>35</v>
      </c>
      <c r="F3130">
        <v>8751124</v>
      </c>
      <c r="G3130" t="s">
        <v>1481</v>
      </c>
      <c r="H3130" s="21">
        <v>1316.67</v>
      </c>
    </row>
    <row r="3131" spans="1:8" customFormat="1" x14ac:dyDescent="0.25">
      <c r="A3131" t="str">
        <f>"99371"</f>
        <v>99371</v>
      </c>
      <c r="B3131" t="s">
        <v>2709</v>
      </c>
      <c r="C3131" t="s">
        <v>719</v>
      </c>
      <c r="D3131" s="21" t="s">
        <v>34</v>
      </c>
      <c r="E3131" s="21" t="s">
        <v>35</v>
      </c>
      <c r="F3131">
        <v>5980004</v>
      </c>
      <c r="G3131" t="s">
        <v>3869</v>
      </c>
      <c r="H3131" s="21">
        <v>1316.67</v>
      </c>
    </row>
    <row r="3132" spans="1:8" customFormat="1" x14ac:dyDescent="0.25">
      <c r="A3132" t="str">
        <f>"0210182"</f>
        <v>0210182</v>
      </c>
      <c r="B3132" t="s">
        <v>2854</v>
      </c>
      <c r="C3132" t="s">
        <v>109</v>
      </c>
      <c r="D3132" s="21" t="s">
        <v>34</v>
      </c>
      <c r="E3132" s="21" t="s">
        <v>35</v>
      </c>
      <c r="F3132">
        <v>6080013</v>
      </c>
      <c r="G3132" t="s">
        <v>1532</v>
      </c>
      <c r="H3132" s="21">
        <v>1316.67</v>
      </c>
    </row>
    <row r="3133" spans="1:8" customFormat="1" x14ac:dyDescent="0.25">
      <c r="A3133" t="str">
        <f>"725966"</f>
        <v>725966</v>
      </c>
      <c r="B3133" t="s">
        <v>4239</v>
      </c>
      <c r="C3133" t="s">
        <v>82</v>
      </c>
      <c r="D3133" s="21" t="s">
        <v>34</v>
      </c>
      <c r="E3133" s="21" t="s">
        <v>35</v>
      </c>
      <c r="F3133">
        <v>12720041</v>
      </c>
      <c r="G3133" t="s">
        <v>4240</v>
      </c>
      <c r="H3133" s="21">
        <v>1316.67</v>
      </c>
    </row>
    <row r="3134" spans="1:8" customFormat="1" x14ac:dyDescent="0.25">
      <c r="A3134" t="str">
        <f>"089003"</f>
        <v>089003</v>
      </c>
      <c r="B3134" t="s">
        <v>4095</v>
      </c>
      <c r="C3134" t="s">
        <v>601</v>
      </c>
      <c r="D3134" s="21" t="s">
        <v>34</v>
      </c>
      <c r="E3134" s="21" t="s">
        <v>35</v>
      </c>
      <c r="F3134">
        <v>6080013</v>
      </c>
      <c r="G3134" t="s">
        <v>1532</v>
      </c>
      <c r="H3134" s="21">
        <v>1316.54</v>
      </c>
    </row>
    <row r="3135" spans="1:8" customFormat="1" x14ac:dyDescent="0.25">
      <c r="A3135" t="str">
        <f>"517597"</f>
        <v>517597</v>
      </c>
      <c r="B3135" t="s">
        <v>4057</v>
      </c>
      <c r="C3135" t="s">
        <v>187</v>
      </c>
      <c r="D3135" s="21" t="s">
        <v>34</v>
      </c>
      <c r="E3135" s="21" t="s">
        <v>35</v>
      </c>
      <c r="F3135">
        <v>6510001</v>
      </c>
      <c r="G3135" t="s">
        <v>286</v>
      </c>
      <c r="H3135" s="21">
        <v>1316.42</v>
      </c>
    </row>
    <row r="3136" spans="1:8" customFormat="1" x14ac:dyDescent="0.25">
      <c r="A3136" t="str">
        <f>"4512684"</f>
        <v>4512684</v>
      </c>
      <c r="B3136" t="s">
        <v>4081</v>
      </c>
      <c r="C3136" t="s">
        <v>87</v>
      </c>
      <c r="D3136" s="21" t="s">
        <v>34</v>
      </c>
      <c r="E3136" s="21" t="s">
        <v>35</v>
      </c>
      <c r="F3136">
        <v>4450571</v>
      </c>
      <c r="G3136" t="s">
        <v>188</v>
      </c>
      <c r="H3136" s="21">
        <v>1316.29</v>
      </c>
    </row>
    <row r="3137" spans="1:8" customFormat="1" x14ac:dyDescent="0.25">
      <c r="A3137" t="str">
        <f>"85958"</f>
        <v>85958</v>
      </c>
      <c r="B3137" t="s">
        <v>4137</v>
      </c>
      <c r="C3137" t="s">
        <v>209</v>
      </c>
      <c r="D3137" s="21" t="s">
        <v>34</v>
      </c>
      <c r="E3137" s="21" t="s">
        <v>254</v>
      </c>
      <c r="F3137">
        <v>12850028</v>
      </c>
      <c r="G3137" t="s">
        <v>1700</v>
      </c>
      <c r="H3137" s="21">
        <v>1316.17</v>
      </c>
    </row>
    <row r="3138" spans="1:8" customFormat="1" x14ac:dyDescent="0.25">
      <c r="A3138" t="str">
        <f>"3821190"</f>
        <v>3821190</v>
      </c>
      <c r="B3138" t="s">
        <v>3820</v>
      </c>
      <c r="C3138" t="s">
        <v>3821</v>
      </c>
      <c r="D3138" s="21" t="s">
        <v>34</v>
      </c>
      <c r="E3138" s="21" t="s">
        <v>71</v>
      </c>
      <c r="F3138">
        <v>1380284</v>
      </c>
      <c r="G3138" t="s">
        <v>300</v>
      </c>
      <c r="H3138" s="21">
        <v>1316.17</v>
      </c>
    </row>
    <row r="3139" spans="1:8" customFormat="1" x14ac:dyDescent="0.25">
      <c r="A3139" t="str">
        <f>"473702"</f>
        <v>473702</v>
      </c>
      <c r="B3139" t="s">
        <v>638</v>
      </c>
      <c r="C3139" t="s">
        <v>2546</v>
      </c>
      <c r="D3139" s="21" t="s">
        <v>34</v>
      </c>
      <c r="E3139" s="21" t="s">
        <v>35</v>
      </c>
      <c r="F3139">
        <v>10470005</v>
      </c>
      <c r="G3139" t="s">
        <v>4216</v>
      </c>
      <c r="H3139" s="21">
        <v>1316.17</v>
      </c>
    </row>
    <row r="3140" spans="1:8" customFormat="1" x14ac:dyDescent="0.25">
      <c r="A3140" t="str">
        <f>"6217152"</f>
        <v>6217152</v>
      </c>
      <c r="B3140" t="s">
        <v>4622</v>
      </c>
      <c r="C3140" t="s">
        <v>4623</v>
      </c>
      <c r="D3140" s="21" t="s">
        <v>34</v>
      </c>
      <c r="E3140" s="21" t="s">
        <v>71</v>
      </c>
      <c r="F3140">
        <v>7620162</v>
      </c>
      <c r="G3140" t="s">
        <v>3134</v>
      </c>
      <c r="H3140" s="21">
        <v>1316.17</v>
      </c>
    </row>
    <row r="3141" spans="1:8" customFormat="1" x14ac:dyDescent="0.25">
      <c r="A3141" t="str">
        <f>"7610765"</f>
        <v>7610765</v>
      </c>
      <c r="B3141" t="s">
        <v>16196</v>
      </c>
      <c r="C3141" t="s">
        <v>127</v>
      </c>
      <c r="D3141" s="21" t="s">
        <v>34</v>
      </c>
      <c r="E3141" s="21" t="s">
        <v>35</v>
      </c>
      <c r="F3141">
        <v>9760266</v>
      </c>
      <c r="G3141" t="s">
        <v>1891</v>
      </c>
      <c r="H3141" s="21">
        <v>1316.17</v>
      </c>
    </row>
    <row r="3142" spans="1:8" customFormat="1" x14ac:dyDescent="0.25">
      <c r="A3142" t="str">
        <f>"859468"</f>
        <v>859468</v>
      </c>
      <c r="B3142" t="s">
        <v>4133</v>
      </c>
      <c r="C3142" t="s">
        <v>1708</v>
      </c>
      <c r="D3142" s="21" t="s">
        <v>34</v>
      </c>
      <c r="E3142" s="21" t="s">
        <v>35</v>
      </c>
      <c r="F3142">
        <v>12850069</v>
      </c>
      <c r="G3142" t="s">
        <v>2154</v>
      </c>
      <c r="H3142" s="21">
        <v>1316.17</v>
      </c>
    </row>
    <row r="3143" spans="1:8" customFormat="1" x14ac:dyDescent="0.25">
      <c r="A3143" t="str">
        <f>"936468"</f>
        <v>936468</v>
      </c>
      <c r="B3143" t="s">
        <v>4374</v>
      </c>
      <c r="C3143" t="s">
        <v>4375</v>
      </c>
      <c r="D3143" s="21" t="s">
        <v>34</v>
      </c>
      <c r="E3143" s="21" t="s">
        <v>35</v>
      </c>
      <c r="F3143">
        <v>8930024</v>
      </c>
      <c r="G3143" t="s">
        <v>44</v>
      </c>
      <c r="H3143" s="21">
        <v>1316.17</v>
      </c>
    </row>
    <row r="3144" spans="1:8" customFormat="1" x14ac:dyDescent="0.25">
      <c r="A3144" t="str">
        <f>"607601"</f>
        <v>607601</v>
      </c>
      <c r="B3144" t="s">
        <v>4147</v>
      </c>
      <c r="C3144" t="s">
        <v>576</v>
      </c>
      <c r="D3144" s="21" t="s">
        <v>34</v>
      </c>
      <c r="E3144" s="21" t="s">
        <v>35</v>
      </c>
      <c r="F3144">
        <v>3350209</v>
      </c>
      <c r="G3144" t="s">
        <v>3023</v>
      </c>
      <c r="H3144" s="21">
        <v>1315.94</v>
      </c>
    </row>
    <row r="3145" spans="1:8" customFormat="1" x14ac:dyDescent="0.25">
      <c r="A3145" t="str">
        <f>"945974"</f>
        <v>945974</v>
      </c>
      <c r="B3145" t="s">
        <v>3287</v>
      </c>
      <c r="C3145" t="s">
        <v>608</v>
      </c>
      <c r="D3145" s="21" t="s">
        <v>34</v>
      </c>
      <c r="E3145" s="21" t="s">
        <v>71</v>
      </c>
      <c r="F3145">
        <v>8940326</v>
      </c>
      <c r="G3145" t="s">
        <v>659</v>
      </c>
      <c r="H3145" s="21">
        <v>1315.67</v>
      </c>
    </row>
    <row r="3146" spans="1:8" customFormat="1" x14ac:dyDescent="0.25">
      <c r="A3146" t="str">
        <f>"9522066"</f>
        <v>9522066</v>
      </c>
      <c r="B3146" t="s">
        <v>556</v>
      </c>
      <c r="C3146" t="s">
        <v>2907</v>
      </c>
      <c r="D3146" s="21" t="s">
        <v>34</v>
      </c>
      <c r="E3146" s="21" t="s">
        <v>35</v>
      </c>
      <c r="F3146">
        <v>12850033</v>
      </c>
      <c r="G3146" t="s">
        <v>703</v>
      </c>
      <c r="H3146" s="21">
        <v>1315.42</v>
      </c>
    </row>
    <row r="3147" spans="1:8" customFormat="1" x14ac:dyDescent="0.25">
      <c r="A3147" t="str">
        <f>"4430513"</f>
        <v>4430513</v>
      </c>
      <c r="B3147" t="s">
        <v>3486</v>
      </c>
      <c r="C3147" t="s">
        <v>822</v>
      </c>
      <c r="D3147" s="21" t="s">
        <v>34</v>
      </c>
      <c r="E3147" s="21" t="s">
        <v>1089</v>
      </c>
      <c r="F3147">
        <v>12440021</v>
      </c>
      <c r="G3147" t="s">
        <v>429</v>
      </c>
      <c r="H3147" s="21">
        <v>1315.42</v>
      </c>
    </row>
    <row r="3148" spans="1:8" customFormat="1" x14ac:dyDescent="0.25">
      <c r="A3148" t="str">
        <f>"7840823"</f>
        <v>7840823</v>
      </c>
      <c r="B3148" t="s">
        <v>5346</v>
      </c>
      <c r="C3148" t="s">
        <v>204</v>
      </c>
      <c r="D3148" s="21" t="s">
        <v>34</v>
      </c>
      <c r="E3148" s="21" t="s">
        <v>35</v>
      </c>
      <c r="F3148">
        <v>8910861</v>
      </c>
      <c r="G3148" t="s">
        <v>1120</v>
      </c>
      <c r="H3148" s="21">
        <v>1315.3</v>
      </c>
    </row>
    <row r="3149" spans="1:8" customFormat="1" x14ac:dyDescent="0.25">
      <c r="A3149" t="str">
        <f>"882235"</f>
        <v>882235</v>
      </c>
      <c r="B3149" t="s">
        <v>3575</v>
      </c>
      <c r="C3149" t="s">
        <v>576</v>
      </c>
      <c r="D3149" s="21" t="s">
        <v>34</v>
      </c>
      <c r="E3149" s="21" t="s">
        <v>35</v>
      </c>
      <c r="F3149">
        <v>6880086</v>
      </c>
      <c r="G3149" t="s">
        <v>3245</v>
      </c>
      <c r="H3149" s="21">
        <v>1315.17</v>
      </c>
    </row>
    <row r="3150" spans="1:8" customFormat="1" x14ac:dyDescent="0.25">
      <c r="A3150" t="str">
        <f>"678162"</f>
        <v>678162</v>
      </c>
      <c r="B3150" t="s">
        <v>2353</v>
      </c>
      <c r="C3150" t="s">
        <v>1271</v>
      </c>
      <c r="D3150" s="21" t="s">
        <v>34</v>
      </c>
      <c r="E3150" s="21" t="s">
        <v>71</v>
      </c>
      <c r="F3150">
        <v>6670216</v>
      </c>
      <c r="G3150" t="s">
        <v>2194</v>
      </c>
      <c r="H3150" s="21">
        <v>1315.17</v>
      </c>
    </row>
    <row r="3151" spans="1:8" customFormat="1" x14ac:dyDescent="0.25">
      <c r="A3151" t="str">
        <f>"9523057"</f>
        <v>9523057</v>
      </c>
      <c r="B3151" t="s">
        <v>5087</v>
      </c>
      <c r="C3151" t="s">
        <v>249</v>
      </c>
      <c r="D3151" s="21" t="s">
        <v>34</v>
      </c>
      <c r="E3151" s="21" t="s">
        <v>71</v>
      </c>
      <c r="F3151">
        <v>8951273</v>
      </c>
      <c r="G3151" t="s">
        <v>2382</v>
      </c>
      <c r="H3151" s="21">
        <v>1314.93</v>
      </c>
    </row>
    <row r="3152" spans="1:8" customFormat="1" x14ac:dyDescent="0.25">
      <c r="A3152" t="str">
        <f>"9125669"</f>
        <v>9125669</v>
      </c>
      <c r="B3152" t="s">
        <v>4419</v>
      </c>
      <c r="C3152" t="s">
        <v>82</v>
      </c>
      <c r="D3152" s="21" t="s">
        <v>34</v>
      </c>
      <c r="E3152" s="21" t="s">
        <v>35</v>
      </c>
      <c r="F3152">
        <v>8910359</v>
      </c>
      <c r="G3152" t="s">
        <v>1204</v>
      </c>
      <c r="H3152" s="21">
        <v>1314.8</v>
      </c>
    </row>
    <row r="3153" spans="1:8" customFormat="1" x14ac:dyDescent="0.25">
      <c r="A3153" t="str">
        <f>"4420286"</f>
        <v>4420286</v>
      </c>
      <c r="B3153" t="s">
        <v>4030</v>
      </c>
      <c r="C3153" t="s">
        <v>124</v>
      </c>
      <c r="D3153" s="21" t="s">
        <v>34</v>
      </c>
      <c r="E3153" s="21" t="s">
        <v>71</v>
      </c>
      <c r="F3153">
        <v>12440136</v>
      </c>
      <c r="G3153" t="s">
        <v>3271</v>
      </c>
      <c r="H3153" s="21">
        <v>1314.67</v>
      </c>
    </row>
    <row r="3154" spans="1:8" customFormat="1" x14ac:dyDescent="0.25">
      <c r="A3154" t="str">
        <f>"512275"</f>
        <v>512275</v>
      </c>
      <c r="B3154" t="s">
        <v>650</v>
      </c>
      <c r="C3154" t="s">
        <v>598</v>
      </c>
      <c r="D3154" s="21" t="s">
        <v>34</v>
      </c>
      <c r="E3154" s="21" t="s">
        <v>1089</v>
      </c>
      <c r="F3154">
        <v>6510077</v>
      </c>
      <c r="G3154" t="s">
        <v>756</v>
      </c>
      <c r="H3154" s="21">
        <v>1314.67</v>
      </c>
    </row>
    <row r="3155" spans="1:8" customFormat="1" x14ac:dyDescent="0.25">
      <c r="A3155" t="str">
        <f>"5410673"</f>
        <v>5410673</v>
      </c>
      <c r="B3155" t="s">
        <v>3890</v>
      </c>
      <c r="C3155" t="s">
        <v>236</v>
      </c>
      <c r="D3155" s="21" t="s">
        <v>34</v>
      </c>
      <c r="E3155" s="21" t="s">
        <v>254</v>
      </c>
      <c r="F3155">
        <v>6540008</v>
      </c>
      <c r="G3155" t="s">
        <v>3891</v>
      </c>
      <c r="H3155" s="21">
        <v>1314.67</v>
      </c>
    </row>
    <row r="3156" spans="1:8" customFormat="1" x14ac:dyDescent="0.25">
      <c r="A3156" t="str">
        <f>"764297"</f>
        <v>764297</v>
      </c>
      <c r="B3156" t="s">
        <v>213</v>
      </c>
      <c r="C3156" t="s">
        <v>55</v>
      </c>
      <c r="D3156" s="21" t="s">
        <v>34</v>
      </c>
      <c r="E3156" s="21" t="s">
        <v>254</v>
      </c>
      <c r="F3156">
        <v>9760082</v>
      </c>
      <c r="G3156" t="s">
        <v>2387</v>
      </c>
      <c r="H3156" s="21">
        <v>1314.67</v>
      </c>
    </row>
    <row r="3157" spans="1:8" customFormat="1" x14ac:dyDescent="0.25">
      <c r="A3157" t="str">
        <f>"661998"</f>
        <v>661998</v>
      </c>
      <c r="B3157" t="s">
        <v>4650</v>
      </c>
      <c r="C3157" t="s">
        <v>462</v>
      </c>
      <c r="D3157" s="21" t="s">
        <v>34</v>
      </c>
      <c r="E3157" s="21" t="s">
        <v>35</v>
      </c>
      <c r="F3157">
        <v>11660009</v>
      </c>
      <c r="G3157" t="s">
        <v>26624</v>
      </c>
      <c r="H3157" s="21">
        <v>1314.3</v>
      </c>
    </row>
    <row r="3158" spans="1:8" customFormat="1" x14ac:dyDescent="0.25">
      <c r="A3158" t="str">
        <f>"9418262"</f>
        <v>9418262</v>
      </c>
      <c r="B3158" t="s">
        <v>3675</v>
      </c>
      <c r="C3158" t="s">
        <v>40</v>
      </c>
      <c r="D3158" s="21" t="s">
        <v>34</v>
      </c>
      <c r="E3158" s="21" t="s">
        <v>254</v>
      </c>
      <c r="F3158">
        <v>8750007</v>
      </c>
      <c r="G3158" t="s">
        <v>775</v>
      </c>
      <c r="H3158" s="21">
        <v>1314.3</v>
      </c>
    </row>
    <row r="3159" spans="1:8" customFormat="1" x14ac:dyDescent="0.25">
      <c r="A3159" t="str">
        <f>"832225"</f>
        <v>832225</v>
      </c>
      <c r="B3159" t="s">
        <v>4127</v>
      </c>
      <c r="C3159" t="s">
        <v>249</v>
      </c>
      <c r="D3159" s="21" t="s">
        <v>34</v>
      </c>
      <c r="E3159" s="21" t="s">
        <v>71</v>
      </c>
      <c r="F3159">
        <v>13830092</v>
      </c>
      <c r="G3159" t="s">
        <v>3632</v>
      </c>
      <c r="H3159" s="21">
        <v>1314.29</v>
      </c>
    </row>
    <row r="3160" spans="1:8" customFormat="1" x14ac:dyDescent="0.25">
      <c r="A3160" t="str">
        <f>"265078"</f>
        <v>265078</v>
      </c>
      <c r="B3160" t="s">
        <v>1533</v>
      </c>
      <c r="C3160" t="s">
        <v>236</v>
      </c>
      <c r="D3160" s="21" t="s">
        <v>34</v>
      </c>
      <c r="E3160" s="21" t="s">
        <v>71</v>
      </c>
      <c r="F3160">
        <v>1260071</v>
      </c>
      <c r="G3160" t="s">
        <v>798</v>
      </c>
      <c r="H3160" s="21">
        <v>1314.17</v>
      </c>
    </row>
    <row r="3161" spans="1:8" customFormat="1" x14ac:dyDescent="0.25">
      <c r="A3161" t="str">
        <f>"6914740"</f>
        <v>6914740</v>
      </c>
      <c r="B3161" t="s">
        <v>3916</v>
      </c>
      <c r="C3161" t="s">
        <v>62</v>
      </c>
      <c r="D3161" s="21" t="s">
        <v>34</v>
      </c>
      <c r="E3161" s="21" t="s">
        <v>71</v>
      </c>
      <c r="F3161">
        <v>1690058</v>
      </c>
      <c r="G3161" t="s">
        <v>1644</v>
      </c>
      <c r="H3161" s="21">
        <v>1314.17</v>
      </c>
    </row>
    <row r="3162" spans="1:8" customFormat="1" x14ac:dyDescent="0.25">
      <c r="A3162" t="str">
        <f>"7812970"</f>
        <v>7812970</v>
      </c>
      <c r="B3162" t="s">
        <v>3587</v>
      </c>
      <c r="C3162" t="s">
        <v>462</v>
      </c>
      <c r="D3162" s="21" t="s">
        <v>34</v>
      </c>
      <c r="E3162" s="21" t="s">
        <v>35</v>
      </c>
      <c r="F3162">
        <v>12440056</v>
      </c>
      <c r="G3162" t="s">
        <v>2037</v>
      </c>
      <c r="H3162" s="21">
        <v>1313.93</v>
      </c>
    </row>
    <row r="3163" spans="1:8" customFormat="1" x14ac:dyDescent="0.25">
      <c r="A3163" t="str">
        <f>"694886"</f>
        <v>694886</v>
      </c>
      <c r="B3163" t="s">
        <v>4231</v>
      </c>
      <c r="C3163" t="s">
        <v>305</v>
      </c>
      <c r="D3163" s="21" t="s">
        <v>34</v>
      </c>
      <c r="E3163" s="21" t="s">
        <v>35</v>
      </c>
      <c r="F3163">
        <v>1690207</v>
      </c>
      <c r="G3163" t="s">
        <v>4232</v>
      </c>
      <c r="H3163" s="21">
        <v>1313.92</v>
      </c>
    </row>
    <row r="3164" spans="1:8" customFormat="1" x14ac:dyDescent="0.25">
      <c r="A3164" t="str">
        <f>"8512419"</f>
        <v>8512419</v>
      </c>
      <c r="B3164" t="s">
        <v>4075</v>
      </c>
      <c r="C3164" t="s">
        <v>3073</v>
      </c>
      <c r="D3164" s="21" t="s">
        <v>34</v>
      </c>
      <c r="E3164" s="21" t="s">
        <v>254</v>
      </c>
      <c r="F3164">
        <v>12850015</v>
      </c>
      <c r="G3164" t="s">
        <v>4076</v>
      </c>
      <c r="H3164" s="21">
        <v>1313.67</v>
      </c>
    </row>
    <row r="3165" spans="1:8" customFormat="1" x14ac:dyDescent="0.25">
      <c r="A3165" t="str">
        <f>"7830693"</f>
        <v>7830693</v>
      </c>
      <c r="B3165" t="s">
        <v>26773</v>
      </c>
      <c r="C3165" t="s">
        <v>3991</v>
      </c>
      <c r="D3165" s="21" t="s">
        <v>34</v>
      </c>
      <c r="E3165" s="21" t="s">
        <v>35</v>
      </c>
      <c r="F3165">
        <v>9140055</v>
      </c>
      <c r="G3165" t="s">
        <v>344</v>
      </c>
      <c r="H3165" s="21">
        <v>1313.17</v>
      </c>
    </row>
    <row r="3166" spans="1:8" customFormat="1" x14ac:dyDescent="0.25">
      <c r="A3166" t="str">
        <f>"5414505"</f>
        <v>5414505</v>
      </c>
      <c r="B3166" t="s">
        <v>2576</v>
      </c>
      <c r="C3166" t="s">
        <v>576</v>
      </c>
      <c r="D3166" s="21" t="s">
        <v>34</v>
      </c>
      <c r="E3166" s="21" t="s">
        <v>35</v>
      </c>
      <c r="F3166">
        <v>6540088</v>
      </c>
      <c r="G3166" t="s">
        <v>2108</v>
      </c>
      <c r="H3166" s="21">
        <v>1313.17</v>
      </c>
    </row>
    <row r="3167" spans="1:8" customFormat="1" x14ac:dyDescent="0.25">
      <c r="A3167" t="str">
        <f>"7713696"</f>
        <v>7713696</v>
      </c>
      <c r="B3167" t="s">
        <v>4964</v>
      </c>
      <c r="C3167" t="s">
        <v>285</v>
      </c>
      <c r="D3167" s="21" t="s">
        <v>34</v>
      </c>
      <c r="E3167" s="21" t="s">
        <v>35</v>
      </c>
      <c r="F3167">
        <v>11310064</v>
      </c>
      <c r="G3167" t="s">
        <v>931</v>
      </c>
      <c r="H3167" s="21">
        <v>1313.17</v>
      </c>
    </row>
    <row r="3168" spans="1:8" customFormat="1" x14ac:dyDescent="0.25">
      <c r="A3168" t="str">
        <f>"7712524"</f>
        <v>7712524</v>
      </c>
      <c r="B3168" t="s">
        <v>4039</v>
      </c>
      <c r="C3168" t="s">
        <v>4040</v>
      </c>
      <c r="D3168" s="21" t="s">
        <v>34</v>
      </c>
      <c r="E3168" s="21" t="s">
        <v>254</v>
      </c>
      <c r="F3168">
        <v>8770250</v>
      </c>
      <c r="G3168" t="s">
        <v>2595</v>
      </c>
      <c r="H3168" s="21">
        <v>1312.8</v>
      </c>
    </row>
    <row r="3169" spans="1:8" customFormat="1" x14ac:dyDescent="0.25">
      <c r="A3169" t="str">
        <f>"535303"</f>
        <v>535303</v>
      </c>
      <c r="B3169" t="s">
        <v>3676</v>
      </c>
      <c r="C3169" t="s">
        <v>2520</v>
      </c>
      <c r="D3169" s="21" t="s">
        <v>34</v>
      </c>
      <c r="E3169" s="21" t="s">
        <v>254</v>
      </c>
      <c r="F3169">
        <v>12530078</v>
      </c>
      <c r="G3169" t="s">
        <v>3677</v>
      </c>
      <c r="H3169" s="21">
        <v>1312.67</v>
      </c>
    </row>
    <row r="3170" spans="1:8" customFormat="1" x14ac:dyDescent="0.25">
      <c r="A3170" t="str">
        <f>"595334"</f>
        <v>595334</v>
      </c>
      <c r="B3170" t="s">
        <v>4018</v>
      </c>
      <c r="C3170" t="s">
        <v>119</v>
      </c>
      <c r="D3170" s="21" t="s">
        <v>34</v>
      </c>
      <c r="E3170" s="21" t="s">
        <v>35</v>
      </c>
      <c r="F3170">
        <v>7590127</v>
      </c>
      <c r="G3170" t="s">
        <v>214</v>
      </c>
      <c r="H3170" s="21">
        <v>1312.67</v>
      </c>
    </row>
    <row r="3171" spans="1:8" customFormat="1" x14ac:dyDescent="0.25">
      <c r="A3171" t="str">
        <f>"8810669"</f>
        <v>8810669</v>
      </c>
      <c r="B3171" t="s">
        <v>2052</v>
      </c>
      <c r="C3171" t="s">
        <v>1119</v>
      </c>
      <c r="D3171" s="21" t="s">
        <v>34</v>
      </c>
      <c r="E3171" s="21" t="s">
        <v>1089</v>
      </c>
      <c r="F3171">
        <v>6880071</v>
      </c>
      <c r="G3171" t="s">
        <v>4226</v>
      </c>
      <c r="H3171" s="21">
        <v>1312.67</v>
      </c>
    </row>
    <row r="3172" spans="1:8" customFormat="1" x14ac:dyDescent="0.25">
      <c r="A3172" t="str">
        <f>"62300"</f>
        <v>62300</v>
      </c>
      <c r="B3172" t="s">
        <v>3761</v>
      </c>
      <c r="C3172" t="s">
        <v>267</v>
      </c>
      <c r="D3172" s="21" t="s">
        <v>34</v>
      </c>
      <c r="E3172" s="21" t="s">
        <v>35</v>
      </c>
      <c r="F3172">
        <v>7620100</v>
      </c>
      <c r="G3172" t="s">
        <v>145</v>
      </c>
      <c r="H3172" s="21">
        <v>1312.67</v>
      </c>
    </row>
    <row r="3173" spans="1:8" customFormat="1" x14ac:dyDescent="0.25">
      <c r="A3173" t="str">
        <f>"513488"</f>
        <v>513488</v>
      </c>
      <c r="B3173" t="s">
        <v>3880</v>
      </c>
      <c r="C3173" t="s">
        <v>288</v>
      </c>
      <c r="D3173" s="21" t="s">
        <v>34</v>
      </c>
      <c r="E3173" s="21" t="s">
        <v>71</v>
      </c>
      <c r="F3173">
        <v>6510112</v>
      </c>
      <c r="G3173" t="s">
        <v>588</v>
      </c>
      <c r="H3173" s="21">
        <v>1312.67</v>
      </c>
    </row>
    <row r="3174" spans="1:8" customFormat="1" x14ac:dyDescent="0.25">
      <c r="A3174" t="str">
        <f>"3512684"</f>
        <v>3512684</v>
      </c>
      <c r="B3174" t="s">
        <v>3824</v>
      </c>
      <c r="C3174" t="s">
        <v>3825</v>
      </c>
      <c r="D3174" s="21" t="s">
        <v>34</v>
      </c>
      <c r="E3174" s="21" t="s">
        <v>71</v>
      </c>
      <c r="F3174">
        <v>3350224</v>
      </c>
      <c r="G3174" t="s">
        <v>3826</v>
      </c>
      <c r="H3174" s="21">
        <v>1312.55</v>
      </c>
    </row>
    <row r="3175" spans="1:8" customFormat="1" x14ac:dyDescent="0.25">
      <c r="A3175" t="str">
        <f>"258994"</f>
        <v>258994</v>
      </c>
      <c r="B3175" t="s">
        <v>1295</v>
      </c>
      <c r="C3175" t="s">
        <v>209</v>
      </c>
      <c r="D3175" s="21" t="s">
        <v>34</v>
      </c>
      <c r="E3175" s="21" t="s">
        <v>35</v>
      </c>
      <c r="F3175">
        <v>2250154</v>
      </c>
      <c r="G3175" t="s">
        <v>1973</v>
      </c>
      <c r="H3175" s="21">
        <v>1312.54</v>
      </c>
    </row>
    <row r="3176" spans="1:8" customFormat="1" x14ac:dyDescent="0.25">
      <c r="A3176" t="str">
        <f>"26474"</f>
        <v>26474</v>
      </c>
      <c r="B3176" t="s">
        <v>4063</v>
      </c>
      <c r="C3176" t="s">
        <v>169</v>
      </c>
      <c r="D3176" s="21" t="s">
        <v>34</v>
      </c>
      <c r="E3176" s="21" t="s">
        <v>35</v>
      </c>
      <c r="F3176">
        <v>1260026</v>
      </c>
      <c r="G3176" t="s">
        <v>516</v>
      </c>
      <c r="H3176" s="21">
        <v>1312.42</v>
      </c>
    </row>
    <row r="3177" spans="1:8" customFormat="1" x14ac:dyDescent="0.25">
      <c r="A3177" t="str">
        <f>"2510989"</f>
        <v>2510989</v>
      </c>
      <c r="B3177" t="s">
        <v>3848</v>
      </c>
      <c r="C3177" t="s">
        <v>121</v>
      </c>
      <c r="D3177" s="21" t="s">
        <v>34</v>
      </c>
      <c r="E3177" s="21" t="s">
        <v>35</v>
      </c>
      <c r="F3177">
        <v>2250213</v>
      </c>
      <c r="G3177" t="s">
        <v>1969</v>
      </c>
      <c r="H3177" s="21">
        <v>1312.42</v>
      </c>
    </row>
    <row r="3178" spans="1:8" customFormat="1" x14ac:dyDescent="0.25">
      <c r="A3178" t="str">
        <f>"9219156"</f>
        <v>9219156</v>
      </c>
      <c r="B3178" t="s">
        <v>4345</v>
      </c>
      <c r="C3178" t="s">
        <v>576</v>
      </c>
      <c r="D3178" s="21" t="s">
        <v>34</v>
      </c>
      <c r="E3178" s="21" t="s">
        <v>35</v>
      </c>
      <c r="F3178">
        <v>8750117</v>
      </c>
      <c r="G3178" t="s">
        <v>3516</v>
      </c>
      <c r="H3178" s="21">
        <v>1312.3</v>
      </c>
    </row>
    <row r="3179" spans="1:8" customFormat="1" x14ac:dyDescent="0.25">
      <c r="A3179" t="str">
        <f>"318549"</f>
        <v>318549</v>
      </c>
      <c r="B3179" t="s">
        <v>3914</v>
      </c>
      <c r="C3179" t="s">
        <v>209</v>
      </c>
      <c r="D3179" s="21" t="s">
        <v>34</v>
      </c>
      <c r="E3179" s="21" t="s">
        <v>35</v>
      </c>
      <c r="F3179">
        <v>11310123</v>
      </c>
      <c r="G3179" t="s">
        <v>3915</v>
      </c>
      <c r="H3179" s="21">
        <v>1312.17</v>
      </c>
    </row>
    <row r="3180" spans="1:8" customFormat="1" x14ac:dyDescent="0.25">
      <c r="A3180" t="str">
        <f>"6913216"</f>
        <v>6913216</v>
      </c>
      <c r="B3180" t="s">
        <v>4596</v>
      </c>
      <c r="C3180" t="s">
        <v>750</v>
      </c>
      <c r="D3180" s="21" t="s">
        <v>34</v>
      </c>
      <c r="E3180" s="21" t="s">
        <v>71</v>
      </c>
      <c r="F3180">
        <v>1690186</v>
      </c>
      <c r="G3180" t="s">
        <v>438</v>
      </c>
      <c r="H3180" s="21">
        <v>1312.17</v>
      </c>
    </row>
    <row r="3181" spans="1:8" customFormat="1" x14ac:dyDescent="0.25">
      <c r="A3181" t="str">
        <f>"599207"</f>
        <v>599207</v>
      </c>
      <c r="B3181" t="s">
        <v>3801</v>
      </c>
      <c r="C3181" t="s">
        <v>822</v>
      </c>
      <c r="D3181" s="21" t="s">
        <v>34</v>
      </c>
      <c r="E3181" s="21" t="s">
        <v>35</v>
      </c>
      <c r="F3181">
        <v>7590036</v>
      </c>
      <c r="G3181" t="s">
        <v>3802</v>
      </c>
      <c r="H3181" s="21">
        <v>1312.17</v>
      </c>
    </row>
    <row r="3182" spans="1:8" customFormat="1" x14ac:dyDescent="0.25">
      <c r="A3182" t="str">
        <f>"141029"</f>
        <v>141029</v>
      </c>
      <c r="B3182" t="s">
        <v>3855</v>
      </c>
      <c r="C3182" t="s">
        <v>1142</v>
      </c>
      <c r="D3182" s="21" t="s">
        <v>34</v>
      </c>
      <c r="E3182" s="21" t="s">
        <v>254</v>
      </c>
      <c r="F3182">
        <v>9140115</v>
      </c>
      <c r="G3182" t="s">
        <v>26590</v>
      </c>
      <c r="H3182" s="21">
        <v>1312.17</v>
      </c>
    </row>
    <row r="3183" spans="1:8" customFormat="1" x14ac:dyDescent="0.25">
      <c r="A3183" t="str">
        <f>"5713070"</f>
        <v>5713070</v>
      </c>
      <c r="B3183" t="s">
        <v>205</v>
      </c>
      <c r="C3183" t="s">
        <v>33</v>
      </c>
      <c r="D3183" s="21" t="s">
        <v>34</v>
      </c>
      <c r="E3183" s="21" t="s">
        <v>35</v>
      </c>
      <c r="F3183">
        <v>6570070</v>
      </c>
      <c r="G3183" t="s">
        <v>1765</v>
      </c>
      <c r="H3183" s="21">
        <v>1312.17</v>
      </c>
    </row>
    <row r="3184" spans="1:8" customFormat="1" x14ac:dyDescent="0.25">
      <c r="A3184" t="str">
        <f>"429733"</f>
        <v>429733</v>
      </c>
      <c r="B3184" t="s">
        <v>3863</v>
      </c>
      <c r="C3184" t="s">
        <v>169</v>
      </c>
      <c r="D3184" s="21" t="s">
        <v>34</v>
      </c>
      <c r="E3184" s="21" t="s">
        <v>35</v>
      </c>
      <c r="F3184">
        <v>1420014</v>
      </c>
      <c r="G3184" t="s">
        <v>3864</v>
      </c>
      <c r="H3184" s="21">
        <v>1312.17</v>
      </c>
    </row>
    <row r="3185" spans="1:8" customFormat="1" x14ac:dyDescent="0.25">
      <c r="A3185" t="str">
        <f>"7814968"</f>
        <v>7814968</v>
      </c>
      <c r="B3185" t="s">
        <v>3752</v>
      </c>
      <c r="C3185" t="s">
        <v>209</v>
      </c>
      <c r="D3185" s="21" t="s">
        <v>34</v>
      </c>
      <c r="E3185" s="21" t="s">
        <v>71</v>
      </c>
      <c r="F3185">
        <v>10330125</v>
      </c>
      <c r="G3185" t="s">
        <v>3753</v>
      </c>
      <c r="H3185" s="21">
        <v>1311.92</v>
      </c>
    </row>
    <row r="3186" spans="1:8" customFormat="1" x14ac:dyDescent="0.25">
      <c r="A3186" t="str">
        <f>"415952"</f>
        <v>415952</v>
      </c>
      <c r="B3186" t="s">
        <v>4673</v>
      </c>
      <c r="C3186" t="s">
        <v>4674</v>
      </c>
      <c r="D3186" s="21" t="s">
        <v>34</v>
      </c>
      <c r="E3186" s="21" t="s">
        <v>35</v>
      </c>
      <c r="F3186">
        <v>4410612</v>
      </c>
      <c r="G3186" t="s">
        <v>815</v>
      </c>
      <c r="H3186" s="21">
        <v>1311.67</v>
      </c>
    </row>
    <row r="3187" spans="1:8" customFormat="1" x14ac:dyDescent="0.25">
      <c r="A3187" t="str">
        <f>"837413"</f>
        <v>837413</v>
      </c>
      <c r="B3187" t="s">
        <v>5435</v>
      </c>
      <c r="C3187" t="s">
        <v>156</v>
      </c>
      <c r="D3187" s="21" t="s">
        <v>34</v>
      </c>
      <c r="E3187" s="21" t="s">
        <v>35</v>
      </c>
      <c r="F3187">
        <v>13830092</v>
      </c>
      <c r="G3187" t="s">
        <v>3632</v>
      </c>
      <c r="H3187" s="21">
        <v>1311.67</v>
      </c>
    </row>
    <row r="3188" spans="1:8" customFormat="1" x14ac:dyDescent="0.25">
      <c r="A3188" t="str">
        <f>"4511400"</f>
        <v>4511400</v>
      </c>
      <c r="B3188" t="s">
        <v>551</v>
      </c>
      <c r="C3188" t="s">
        <v>249</v>
      </c>
      <c r="D3188" s="21" t="s">
        <v>34</v>
      </c>
      <c r="E3188" s="21" t="s">
        <v>71</v>
      </c>
      <c r="F3188">
        <v>4280681</v>
      </c>
      <c r="G3188" t="s">
        <v>1656</v>
      </c>
      <c r="H3188" s="21">
        <v>1311.67</v>
      </c>
    </row>
    <row r="3189" spans="1:8" customFormat="1" x14ac:dyDescent="0.25">
      <c r="A3189" t="str">
        <f>"9422933"</f>
        <v>9422933</v>
      </c>
      <c r="B3189" t="s">
        <v>4352</v>
      </c>
      <c r="C3189" t="s">
        <v>288</v>
      </c>
      <c r="D3189" s="21" t="s">
        <v>34</v>
      </c>
      <c r="E3189" s="21" t="s">
        <v>35</v>
      </c>
      <c r="F3189">
        <v>8940458</v>
      </c>
      <c r="G3189" t="s">
        <v>26774</v>
      </c>
      <c r="H3189" s="21">
        <v>1311.56</v>
      </c>
    </row>
    <row r="3190" spans="1:8" customFormat="1" x14ac:dyDescent="0.25">
      <c r="A3190" t="str">
        <f>"04185"</f>
        <v>04185</v>
      </c>
      <c r="B3190" t="s">
        <v>2597</v>
      </c>
      <c r="C3190" t="s">
        <v>198</v>
      </c>
      <c r="D3190" s="21" t="s">
        <v>34</v>
      </c>
      <c r="E3190" s="21" t="s">
        <v>35</v>
      </c>
      <c r="F3190">
        <v>13040030</v>
      </c>
      <c r="G3190" t="s">
        <v>1903</v>
      </c>
      <c r="H3190" s="21">
        <v>1311.17</v>
      </c>
    </row>
    <row r="3191" spans="1:8" customFormat="1" x14ac:dyDescent="0.25">
      <c r="A3191" t="str">
        <f>"6710261"</f>
        <v>6710261</v>
      </c>
      <c r="B3191" t="s">
        <v>820</v>
      </c>
      <c r="C3191" t="s">
        <v>156</v>
      </c>
      <c r="D3191" s="21" t="s">
        <v>34</v>
      </c>
      <c r="E3191" s="21" t="s">
        <v>35</v>
      </c>
      <c r="F3191">
        <v>6670041</v>
      </c>
      <c r="G3191" t="s">
        <v>1971</v>
      </c>
      <c r="H3191" s="21">
        <v>1311.17</v>
      </c>
    </row>
    <row r="3192" spans="1:8" customFormat="1" x14ac:dyDescent="0.25">
      <c r="A3192" t="str">
        <f>"796237"</f>
        <v>796237</v>
      </c>
      <c r="B3192" t="s">
        <v>2189</v>
      </c>
      <c r="C3192" t="s">
        <v>669</v>
      </c>
      <c r="D3192" s="21" t="s">
        <v>34</v>
      </c>
      <c r="E3192" s="21" t="s">
        <v>35</v>
      </c>
      <c r="F3192">
        <v>10790009</v>
      </c>
      <c r="G3192" t="s">
        <v>1155</v>
      </c>
      <c r="H3192" s="21">
        <v>1311.17</v>
      </c>
    </row>
    <row r="3193" spans="1:8" customFormat="1" x14ac:dyDescent="0.25">
      <c r="A3193" t="str">
        <f>"76953"</f>
        <v>76953</v>
      </c>
      <c r="B3193" t="s">
        <v>4369</v>
      </c>
      <c r="C3193" t="s">
        <v>65</v>
      </c>
      <c r="D3193" s="21" t="s">
        <v>34</v>
      </c>
      <c r="E3193" s="21" t="s">
        <v>71</v>
      </c>
      <c r="F3193">
        <v>9760041</v>
      </c>
      <c r="G3193" t="s">
        <v>452</v>
      </c>
      <c r="H3193" s="21">
        <v>1311.17</v>
      </c>
    </row>
    <row r="3194" spans="1:8" customFormat="1" x14ac:dyDescent="0.25">
      <c r="A3194" t="str">
        <f>"9432764"</f>
        <v>9432764</v>
      </c>
      <c r="B3194" t="s">
        <v>4972</v>
      </c>
      <c r="C3194" t="s">
        <v>4973</v>
      </c>
      <c r="D3194" s="21" t="s">
        <v>34</v>
      </c>
      <c r="E3194" s="21" t="s">
        <v>35</v>
      </c>
      <c r="F3194">
        <v>8941100</v>
      </c>
      <c r="G3194" t="s">
        <v>4974</v>
      </c>
      <c r="H3194" s="21">
        <v>1311.17</v>
      </c>
    </row>
    <row r="3195" spans="1:8" customFormat="1" x14ac:dyDescent="0.25">
      <c r="A3195" t="str">
        <f>"6715818"</f>
        <v>6715818</v>
      </c>
      <c r="B3195" t="s">
        <v>5206</v>
      </c>
      <c r="C3195" t="s">
        <v>96</v>
      </c>
      <c r="D3195" s="21" t="s">
        <v>34</v>
      </c>
      <c r="E3195" s="21" t="s">
        <v>35</v>
      </c>
      <c r="F3195">
        <v>6540056</v>
      </c>
      <c r="G3195" t="s">
        <v>1136</v>
      </c>
      <c r="H3195" s="21">
        <v>1311.17</v>
      </c>
    </row>
    <row r="3196" spans="1:8" customFormat="1" x14ac:dyDescent="0.25">
      <c r="A3196" t="str">
        <f>"855185"</f>
        <v>855185</v>
      </c>
      <c r="B3196" t="s">
        <v>2589</v>
      </c>
      <c r="C3196" t="s">
        <v>1025</v>
      </c>
      <c r="D3196" s="21" t="s">
        <v>34</v>
      </c>
      <c r="E3196" s="21" t="s">
        <v>35</v>
      </c>
      <c r="F3196">
        <v>12490073</v>
      </c>
      <c r="G3196" t="s">
        <v>296</v>
      </c>
      <c r="H3196" s="21">
        <v>1311.17</v>
      </c>
    </row>
    <row r="3197" spans="1:8" customFormat="1" x14ac:dyDescent="0.25">
      <c r="A3197" t="str">
        <f>"132885"</f>
        <v>132885</v>
      </c>
      <c r="B3197" t="s">
        <v>4347</v>
      </c>
      <c r="C3197" t="s">
        <v>60</v>
      </c>
      <c r="D3197" s="21" t="s">
        <v>34</v>
      </c>
      <c r="E3197" s="21" t="s">
        <v>35</v>
      </c>
      <c r="F3197">
        <v>13130005</v>
      </c>
      <c r="G3197" t="s">
        <v>2008</v>
      </c>
      <c r="H3197" s="21">
        <v>1310.67</v>
      </c>
    </row>
    <row r="3198" spans="1:8" customFormat="1" x14ac:dyDescent="0.25">
      <c r="A3198" t="str">
        <f>"7631680"</f>
        <v>7631680</v>
      </c>
      <c r="B3198" t="s">
        <v>3966</v>
      </c>
      <c r="C3198" t="s">
        <v>3967</v>
      </c>
      <c r="D3198" s="21" t="s">
        <v>34</v>
      </c>
      <c r="E3198" s="21" t="s">
        <v>71</v>
      </c>
      <c r="F3198">
        <v>9760382</v>
      </c>
      <c r="G3198" t="s">
        <v>2737</v>
      </c>
      <c r="H3198" s="21">
        <v>1310.67</v>
      </c>
    </row>
    <row r="3199" spans="1:8" customFormat="1" x14ac:dyDescent="0.25">
      <c r="A3199" t="str">
        <f>"026522"</f>
        <v>026522</v>
      </c>
      <c r="B3199" t="s">
        <v>213</v>
      </c>
      <c r="C3199" t="s">
        <v>275</v>
      </c>
      <c r="D3199" s="21" t="s">
        <v>34</v>
      </c>
      <c r="E3199" s="21" t="s">
        <v>35</v>
      </c>
      <c r="F3199">
        <v>7021013</v>
      </c>
      <c r="G3199" t="s">
        <v>3527</v>
      </c>
      <c r="H3199" s="21">
        <v>1310.67</v>
      </c>
    </row>
    <row r="3200" spans="1:8" customFormat="1" x14ac:dyDescent="0.25">
      <c r="A3200" t="str">
        <f>"4110267"</f>
        <v>4110267</v>
      </c>
      <c r="B3200" t="s">
        <v>4895</v>
      </c>
      <c r="C3200" t="s">
        <v>4896</v>
      </c>
      <c r="D3200" s="21" t="s">
        <v>34</v>
      </c>
      <c r="E3200" s="21" t="s">
        <v>35</v>
      </c>
      <c r="F3200">
        <v>4410615</v>
      </c>
      <c r="G3200" t="s">
        <v>4897</v>
      </c>
      <c r="H3200" s="21">
        <v>1310.3</v>
      </c>
    </row>
    <row r="3201" spans="1:8" customFormat="1" x14ac:dyDescent="0.25">
      <c r="A3201" t="str">
        <f>"142489"</f>
        <v>142489</v>
      </c>
      <c r="B3201" t="s">
        <v>4199</v>
      </c>
      <c r="C3201" t="s">
        <v>209</v>
      </c>
      <c r="D3201" s="21" t="s">
        <v>34</v>
      </c>
      <c r="E3201" s="21" t="s">
        <v>254</v>
      </c>
      <c r="F3201">
        <v>9140189</v>
      </c>
      <c r="G3201" t="s">
        <v>4200</v>
      </c>
      <c r="H3201" s="21">
        <v>1310.17</v>
      </c>
    </row>
    <row r="3202" spans="1:8" customFormat="1" x14ac:dyDescent="0.25">
      <c r="A3202" t="str">
        <f>"9116078"</f>
        <v>9116078</v>
      </c>
      <c r="B3202" t="s">
        <v>3731</v>
      </c>
      <c r="C3202" t="s">
        <v>415</v>
      </c>
      <c r="D3202" s="21" t="s">
        <v>34</v>
      </c>
      <c r="E3202" s="21" t="s">
        <v>71</v>
      </c>
      <c r="F3202">
        <v>8910303</v>
      </c>
      <c r="G3202" t="s">
        <v>1244</v>
      </c>
      <c r="H3202" s="21">
        <v>1310.17</v>
      </c>
    </row>
    <row r="3203" spans="1:8" customFormat="1" x14ac:dyDescent="0.25">
      <c r="A3203" t="str">
        <f>"4416093"</f>
        <v>4416093</v>
      </c>
      <c r="B3203" t="s">
        <v>3210</v>
      </c>
      <c r="C3203" t="s">
        <v>598</v>
      </c>
      <c r="D3203" s="21" t="s">
        <v>34</v>
      </c>
      <c r="E3203" s="21" t="s">
        <v>35</v>
      </c>
      <c r="F3203">
        <v>12440074</v>
      </c>
      <c r="G3203" t="s">
        <v>2436</v>
      </c>
      <c r="H3203" s="21">
        <v>1310.17</v>
      </c>
    </row>
    <row r="3204" spans="1:8" customFormat="1" x14ac:dyDescent="0.25">
      <c r="A3204" t="str">
        <f>"299611"</f>
        <v>299611</v>
      </c>
      <c r="B3204" t="s">
        <v>3480</v>
      </c>
      <c r="C3204" t="s">
        <v>3481</v>
      </c>
      <c r="D3204" s="21" t="s">
        <v>34</v>
      </c>
      <c r="E3204" s="21" t="s">
        <v>35</v>
      </c>
      <c r="F3204">
        <v>3290052</v>
      </c>
      <c r="G3204" t="s">
        <v>270</v>
      </c>
      <c r="H3204" s="21">
        <v>1310.17</v>
      </c>
    </row>
    <row r="3205" spans="1:8" customFormat="1" x14ac:dyDescent="0.25">
      <c r="A3205" t="str">
        <f>"686725"</f>
        <v>686725</v>
      </c>
      <c r="B3205" t="s">
        <v>3524</v>
      </c>
      <c r="C3205" t="s">
        <v>62</v>
      </c>
      <c r="D3205" s="21" t="s">
        <v>34</v>
      </c>
      <c r="E3205" s="21" t="s">
        <v>35</v>
      </c>
      <c r="F3205">
        <v>8931358</v>
      </c>
      <c r="G3205" t="s">
        <v>560</v>
      </c>
      <c r="H3205" s="21">
        <v>1310.17</v>
      </c>
    </row>
    <row r="3206" spans="1:8" customFormat="1" x14ac:dyDescent="0.25">
      <c r="A3206" t="str">
        <f>"9516286"</f>
        <v>9516286</v>
      </c>
      <c r="B3206" t="s">
        <v>3158</v>
      </c>
      <c r="C3206" t="s">
        <v>55</v>
      </c>
      <c r="D3206" s="21" t="s">
        <v>34</v>
      </c>
      <c r="E3206" s="21" t="s">
        <v>35</v>
      </c>
      <c r="F3206">
        <v>4410083</v>
      </c>
      <c r="G3206" t="s">
        <v>2333</v>
      </c>
      <c r="H3206" s="21">
        <v>1310.05</v>
      </c>
    </row>
    <row r="3207" spans="1:8" customFormat="1" x14ac:dyDescent="0.25">
      <c r="A3207" t="str">
        <f>"6917038"</f>
        <v>6917038</v>
      </c>
      <c r="B3207" t="s">
        <v>4083</v>
      </c>
      <c r="C3207" t="s">
        <v>233</v>
      </c>
      <c r="D3207" s="21" t="s">
        <v>34</v>
      </c>
      <c r="E3207" s="21" t="s">
        <v>71</v>
      </c>
      <c r="F3207">
        <v>1690112</v>
      </c>
      <c r="G3207" t="s">
        <v>4084</v>
      </c>
      <c r="H3207" s="21">
        <v>1309.67</v>
      </c>
    </row>
    <row r="3208" spans="1:8" customFormat="1" x14ac:dyDescent="0.25">
      <c r="A3208" t="str">
        <f>"865498"</f>
        <v>865498</v>
      </c>
      <c r="B3208" t="s">
        <v>4284</v>
      </c>
      <c r="C3208" t="s">
        <v>90</v>
      </c>
      <c r="D3208" s="21" t="s">
        <v>34</v>
      </c>
      <c r="E3208" s="21" t="s">
        <v>35</v>
      </c>
      <c r="F3208">
        <v>10860193</v>
      </c>
      <c r="G3208" t="s">
        <v>1603</v>
      </c>
      <c r="H3208" s="21">
        <v>1309.67</v>
      </c>
    </row>
    <row r="3209" spans="1:8" customFormat="1" x14ac:dyDescent="0.25">
      <c r="A3209" t="str">
        <f>"791331"</f>
        <v>791331</v>
      </c>
      <c r="B3209" t="s">
        <v>4051</v>
      </c>
      <c r="C3209" t="s">
        <v>121</v>
      </c>
      <c r="D3209" s="21" t="s">
        <v>34</v>
      </c>
      <c r="E3209" s="21" t="s">
        <v>71</v>
      </c>
      <c r="F3209">
        <v>10790009</v>
      </c>
      <c r="G3209" t="s">
        <v>1155</v>
      </c>
      <c r="H3209" s="21">
        <v>1309.67</v>
      </c>
    </row>
    <row r="3210" spans="1:8" customFormat="1" x14ac:dyDescent="0.25">
      <c r="A3210" t="str">
        <f>"7825436"</f>
        <v>7825436</v>
      </c>
      <c r="B3210" t="s">
        <v>789</v>
      </c>
      <c r="C3210" t="s">
        <v>1199</v>
      </c>
      <c r="D3210" s="21" t="s">
        <v>34</v>
      </c>
      <c r="E3210" s="21" t="s">
        <v>71</v>
      </c>
      <c r="F3210">
        <v>10330125</v>
      </c>
      <c r="G3210" t="s">
        <v>3753</v>
      </c>
      <c r="H3210" s="21">
        <v>1309.67</v>
      </c>
    </row>
    <row r="3211" spans="1:8" customFormat="1" x14ac:dyDescent="0.25">
      <c r="A3211" t="str">
        <f>"3537339"</f>
        <v>3537339</v>
      </c>
      <c r="B3211" t="s">
        <v>4548</v>
      </c>
      <c r="C3211" t="s">
        <v>169</v>
      </c>
      <c r="D3211" s="21" t="s">
        <v>34</v>
      </c>
      <c r="E3211" s="21" t="s">
        <v>71</v>
      </c>
      <c r="F3211">
        <v>3350030</v>
      </c>
      <c r="G3211" t="s">
        <v>4549</v>
      </c>
      <c r="H3211" s="21">
        <v>1309.67</v>
      </c>
    </row>
    <row r="3212" spans="1:8" customFormat="1" x14ac:dyDescent="0.25">
      <c r="A3212" t="str">
        <f>"403863"</f>
        <v>403863</v>
      </c>
      <c r="B3212" t="s">
        <v>3587</v>
      </c>
      <c r="C3212" t="s">
        <v>412</v>
      </c>
      <c r="D3212" s="21" t="s">
        <v>34</v>
      </c>
      <c r="E3212" s="21" t="s">
        <v>1089</v>
      </c>
      <c r="F3212">
        <v>1380057</v>
      </c>
      <c r="G3212" t="s">
        <v>26700</v>
      </c>
      <c r="H3212" s="21">
        <v>1309.67</v>
      </c>
    </row>
    <row r="3213" spans="1:8" customFormat="1" x14ac:dyDescent="0.25">
      <c r="A3213" t="str">
        <f>"6942456"</f>
        <v>6942456</v>
      </c>
      <c r="B3213" t="s">
        <v>1422</v>
      </c>
      <c r="C3213" t="s">
        <v>96</v>
      </c>
      <c r="D3213" s="21" t="s">
        <v>34</v>
      </c>
      <c r="E3213" s="21" t="s">
        <v>35</v>
      </c>
      <c r="F3213">
        <v>1690186</v>
      </c>
      <c r="G3213" t="s">
        <v>438</v>
      </c>
      <c r="H3213" s="21">
        <v>1309.42</v>
      </c>
    </row>
    <row r="3214" spans="1:8" customFormat="1" x14ac:dyDescent="0.25">
      <c r="A3214" t="str">
        <f>"9418736"</f>
        <v>9418736</v>
      </c>
      <c r="B3214" t="s">
        <v>4184</v>
      </c>
      <c r="C3214" t="s">
        <v>209</v>
      </c>
      <c r="D3214" s="21" t="s">
        <v>34</v>
      </c>
      <c r="E3214" s="21" t="s">
        <v>71</v>
      </c>
      <c r="F3214">
        <v>8940482</v>
      </c>
      <c r="G3214" t="s">
        <v>2560</v>
      </c>
      <c r="H3214" s="21">
        <v>1309.3</v>
      </c>
    </row>
    <row r="3215" spans="1:8" customFormat="1" x14ac:dyDescent="0.25">
      <c r="A3215" t="str">
        <f>"424680"</f>
        <v>424680</v>
      </c>
      <c r="B3215" t="s">
        <v>146</v>
      </c>
      <c r="C3215" t="s">
        <v>263</v>
      </c>
      <c r="D3215" s="21" t="s">
        <v>34</v>
      </c>
      <c r="E3215" s="21" t="s">
        <v>71</v>
      </c>
      <c r="F3215">
        <v>1420110</v>
      </c>
      <c r="G3215" t="s">
        <v>3928</v>
      </c>
      <c r="H3215" s="21">
        <v>1309.17</v>
      </c>
    </row>
    <row r="3216" spans="1:8" customFormat="1" x14ac:dyDescent="0.25">
      <c r="A3216" t="str">
        <f>"1412462"</f>
        <v>1412462</v>
      </c>
      <c r="B3216" t="s">
        <v>3913</v>
      </c>
      <c r="C3216" t="s">
        <v>60</v>
      </c>
      <c r="D3216" s="21" t="s">
        <v>34</v>
      </c>
      <c r="E3216" s="21" t="s">
        <v>35</v>
      </c>
      <c r="F3216">
        <v>9140111</v>
      </c>
      <c r="G3216" t="s">
        <v>3601</v>
      </c>
      <c r="H3216" s="21">
        <v>1309.17</v>
      </c>
    </row>
    <row r="3217" spans="1:8" customFormat="1" x14ac:dyDescent="0.25">
      <c r="A3217" t="str">
        <f>"9134414"</f>
        <v>9134414</v>
      </c>
      <c r="B3217" t="s">
        <v>4169</v>
      </c>
      <c r="C3217" t="s">
        <v>412</v>
      </c>
      <c r="D3217" s="21" t="s">
        <v>34</v>
      </c>
      <c r="E3217" s="21" t="s">
        <v>35</v>
      </c>
      <c r="F3217">
        <v>8911334</v>
      </c>
      <c r="G3217" t="s">
        <v>4170</v>
      </c>
      <c r="H3217" s="21">
        <v>1309.17</v>
      </c>
    </row>
    <row r="3218" spans="1:8" customFormat="1" x14ac:dyDescent="0.25">
      <c r="A3218" t="str">
        <f>"9513557"</f>
        <v>9513557</v>
      </c>
      <c r="B3218" t="s">
        <v>3647</v>
      </c>
      <c r="C3218" t="s">
        <v>3648</v>
      </c>
      <c r="D3218" s="21" t="s">
        <v>34</v>
      </c>
      <c r="E3218" s="21" t="s">
        <v>71</v>
      </c>
      <c r="F3218">
        <v>3290036</v>
      </c>
      <c r="G3218" t="s">
        <v>3903</v>
      </c>
      <c r="H3218" s="21">
        <v>1309.17</v>
      </c>
    </row>
    <row r="3219" spans="1:8" customFormat="1" x14ac:dyDescent="0.25">
      <c r="A3219" t="str">
        <f>"7622629"</f>
        <v>7622629</v>
      </c>
      <c r="B3219" t="s">
        <v>5011</v>
      </c>
      <c r="C3219" t="s">
        <v>328</v>
      </c>
      <c r="D3219" s="21" t="s">
        <v>34</v>
      </c>
      <c r="E3219" s="21" t="s">
        <v>35</v>
      </c>
      <c r="F3219">
        <v>9760425</v>
      </c>
      <c r="G3219" t="s">
        <v>5012</v>
      </c>
      <c r="H3219" s="21">
        <v>1309.17</v>
      </c>
    </row>
    <row r="3220" spans="1:8" customFormat="1" x14ac:dyDescent="0.25">
      <c r="A3220" t="str">
        <f>"7813269"</f>
        <v>7813269</v>
      </c>
      <c r="B3220" t="s">
        <v>4542</v>
      </c>
      <c r="C3220" t="s">
        <v>98</v>
      </c>
      <c r="D3220" s="21" t="s">
        <v>34</v>
      </c>
      <c r="E3220" s="21" t="s">
        <v>71</v>
      </c>
      <c r="F3220">
        <v>1260071</v>
      </c>
      <c r="G3220" t="s">
        <v>798</v>
      </c>
      <c r="H3220" s="21">
        <v>1309.17</v>
      </c>
    </row>
    <row r="3221" spans="1:8" customFormat="1" x14ac:dyDescent="0.25">
      <c r="A3221" t="str">
        <f>"4430780"</f>
        <v>4430780</v>
      </c>
      <c r="B3221" t="s">
        <v>64</v>
      </c>
      <c r="C3221" t="s">
        <v>249</v>
      </c>
      <c r="D3221" s="21" t="s">
        <v>34</v>
      </c>
      <c r="E3221" s="21" t="s">
        <v>35</v>
      </c>
      <c r="F3221">
        <v>12440142</v>
      </c>
      <c r="G3221" t="s">
        <v>3285</v>
      </c>
      <c r="H3221" s="21">
        <v>1308.92</v>
      </c>
    </row>
    <row r="3222" spans="1:8" customFormat="1" x14ac:dyDescent="0.25">
      <c r="A3222" t="str">
        <f>"9116035"</f>
        <v>9116035</v>
      </c>
      <c r="B3222" t="s">
        <v>3432</v>
      </c>
      <c r="C3222" t="s">
        <v>3433</v>
      </c>
      <c r="D3222" s="21" t="s">
        <v>34</v>
      </c>
      <c r="E3222" s="21" t="s">
        <v>254</v>
      </c>
      <c r="F3222">
        <v>8911323</v>
      </c>
      <c r="G3222" t="s">
        <v>555</v>
      </c>
      <c r="H3222" s="21">
        <v>1308.67</v>
      </c>
    </row>
    <row r="3223" spans="1:8" customFormat="1" x14ac:dyDescent="0.25">
      <c r="A3223" t="str">
        <f>"1412424"</f>
        <v>1412424</v>
      </c>
      <c r="B3223" t="s">
        <v>4428</v>
      </c>
      <c r="C3223" t="s">
        <v>267</v>
      </c>
      <c r="D3223" s="21" t="s">
        <v>34</v>
      </c>
      <c r="E3223" s="21" t="s">
        <v>71</v>
      </c>
      <c r="F3223">
        <v>9140055</v>
      </c>
      <c r="G3223" t="s">
        <v>344</v>
      </c>
      <c r="H3223" s="21">
        <v>1308.67</v>
      </c>
    </row>
    <row r="3224" spans="1:8" customFormat="1" x14ac:dyDescent="0.25">
      <c r="A3224" t="str">
        <f>"3517028"</f>
        <v>3517028</v>
      </c>
      <c r="B3224" t="s">
        <v>3930</v>
      </c>
      <c r="C3224" t="s">
        <v>55</v>
      </c>
      <c r="D3224" s="21" t="s">
        <v>34</v>
      </c>
      <c r="E3224" s="21" t="s">
        <v>71</v>
      </c>
      <c r="F3224">
        <v>3350136</v>
      </c>
      <c r="G3224" t="s">
        <v>2773</v>
      </c>
      <c r="H3224" s="21">
        <v>1308.67</v>
      </c>
    </row>
    <row r="3225" spans="1:8" customFormat="1" x14ac:dyDescent="0.25">
      <c r="A3225" t="str">
        <f>"5941550"</f>
        <v>5941550</v>
      </c>
      <c r="B3225" t="s">
        <v>4639</v>
      </c>
      <c r="C3225" t="s">
        <v>169</v>
      </c>
      <c r="D3225" s="21" t="s">
        <v>34</v>
      </c>
      <c r="E3225" s="21" t="s">
        <v>35</v>
      </c>
      <c r="F3225">
        <v>7590403</v>
      </c>
      <c r="G3225" t="s">
        <v>2545</v>
      </c>
      <c r="H3225" s="21">
        <v>1308.67</v>
      </c>
    </row>
    <row r="3226" spans="1:8" customFormat="1" x14ac:dyDescent="0.25">
      <c r="A3226" t="str">
        <f>"8812164"</f>
        <v>8812164</v>
      </c>
      <c r="B3226" t="s">
        <v>4766</v>
      </c>
      <c r="C3226" t="s">
        <v>621</v>
      </c>
      <c r="D3226" s="21" t="s">
        <v>34</v>
      </c>
      <c r="E3226" s="21" t="s">
        <v>71</v>
      </c>
      <c r="F3226">
        <v>6880002</v>
      </c>
      <c r="G3226" t="s">
        <v>501</v>
      </c>
      <c r="H3226" s="21">
        <v>1308.42</v>
      </c>
    </row>
    <row r="3227" spans="1:8" customFormat="1" x14ac:dyDescent="0.25">
      <c r="A3227" t="str">
        <f>"3520266"</f>
        <v>3520266</v>
      </c>
      <c r="B3227" t="s">
        <v>4215</v>
      </c>
      <c r="C3227" t="s">
        <v>302</v>
      </c>
      <c r="D3227" s="21" t="s">
        <v>34</v>
      </c>
      <c r="E3227" s="21" t="s">
        <v>35</v>
      </c>
      <c r="F3227">
        <v>3220113</v>
      </c>
      <c r="G3227" t="s">
        <v>26775</v>
      </c>
      <c r="H3227" s="21">
        <v>1308.17</v>
      </c>
    </row>
    <row r="3228" spans="1:8" customFormat="1" x14ac:dyDescent="0.25">
      <c r="A3228" t="str">
        <f>"621032"</f>
        <v>621032</v>
      </c>
      <c r="B3228" t="s">
        <v>26776</v>
      </c>
      <c r="C3228" t="s">
        <v>601</v>
      </c>
      <c r="D3228" s="21" t="s">
        <v>34</v>
      </c>
      <c r="E3228" s="21" t="s">
        <v>35</v>
      </c>
      <c r="F3228">
        <v>7620103</v>
      </c>
      <c r="G3228" t="s">
        <v>1107</v>
      </c>
      <c r="H3228" s="21">
        <v>1308.17</v>
      </c>
    </row>
    <row r="3229" spans="1:8" customFormat="1" x14ac:dyDescent="0.25">
      <c r="A3229" t="str">
        <f>"451238"</f>
        <v>451238</v>
      </c>
      <c r="B3229" t="s">
        <v>582</v>
      </c>
      <c r="C3229" t="s">
        <v>209</v>
      </c>
      <c r="D3229" s="21" t="s">
        <v>34</v>
      </c>
      <c r="E3229" s="21" t="s">
        <v>71</v>
      </c>
      <c r="F3229">
        <v>4450617</v>
      </c>
      <c r="G3229" t="s">
        <v>4708</v>
      </c>
      <c r="H3229" s="21">
        <v>1308.17</v>
      </c>
    </row>
    <row r="3230" spans="1:8" customFormat="1" x14ac:dyDescent="0.25">
      <c r="A3230" t="str">
        <f>"949230"</f>
        <v>949230</v>
      </c>
      <c r="B3230" t="s">
        <v>4971</v>
      </c>
      <c r="C3230" t="s">
        <v>127</v>
      </c>
      <c r="D3230" s="21" t="s">
        <v>34</v>
      </c>
      <c r="E3230" s="21" t="s">
        <v>35</v>
      </c>
      <c r="F3230">
        <v>8781176</v>
      </c>
      <c r="G3230" t="s">
        <v>3659</v>
      </c>
      <c r="H3230" s="21">
        <v>1307.93</v>
      </c>
    </row>
    <row r="3231" spans="1:8" customFormat="1" x14ac:dyDescent="0.25">
      <c r="A3231" t="str">
        <f>"35859"</f>
        <v>35859</v>
      </c>
      <c r="B3231" t="s">
        <v>3868</v>
      </c>
      <c r="C3231" t="s">
        <v>60</v>
      </c>
      <c r="D3231" s="21" t="s">
        <v>34</v>
      </c>
      <c r="E3231" s="21" t="s">
        <v>35</v>
      </c>
      <c r="F3231">
        <v>3350009</v>
      </c>
      <c r="G3231" t="s">
        <v>1823</v>
      </c>
      <c r="H3231" s="21">
        <v>1307.92</v>
      </c>
    </row>
    <row r="3232" spans="1:8" customFormat="1" x14ac:dyDescent="0.25">
      <c r="A3232" t="str">
        <f>"4424628"</f>
        <v>4424628</v>
      </c>
      <c r="B3232" t="s">
        <v>431</v>
      </c>
      <c r="C3232" t="s">
        <v>169</v>
      </c>
      <c r="D3232" s="21" t="s">
        <v>34</v>
      </c>
      <c r="E3232" s="21" t="s">
        <v>35</v>
      </c>
      <c r="F3232">
        <v>12440074</v>
      </c>
      <c r="G3232" t="s">
        <v>2436</v>
      </c>
      <c r="H3232" s="21">
        <v>1307.92</v>
      </c>
    </row>
    <row r="3233" spans="1:8" customFormat="1" x14ac:dyDescent="0.25">
      <c r="A3233" t="str">
        <f>"4434979"</f>
        <v>4434979</v>
      </c>
      <c r="B3233" t="s">
        <v>2738</v>
      </c>
      <c r="C3233" t="s">
        <v>926</v>
      </c>
      <c r="D3233" s="21" t="s">
        <v>34</v>
      </c>
      <c r="E3233" s="21" t="s">
        <v>71</v>
      </c>
      <c r="F3233">
        <v>12440136</v>
      </c>
      <c r="G3233" t="s">
        <v>3271</v>
      </c>
      <c r="H3233" s="21">
        <v>1307.67</v>
      </c>
    </row>
    <row r="3234" spans="1:8" customFormat="1" x14ac:dyDescent="0.25">
      <c r="A3234" t="str">
        <f>"2922275"</f>
        <v>2922275</v>
      </c>
      <c r="B3234" t="s">
        <v>26777</v>
      </c>
      <c r="C3234" t="s">
        <v>204</v>
      </c>
      <c r="D3234" s="21" t="s">
        <v>34</v>
      </c>
      <c r="E3234" s="21" t="s">
        <v>35</v>
      </c>
      <c r="F3234">
        <v>3290281</v>
      </c>
      <c r="G3234" t="s">
        <v>11077</v>
      </c>
      <c r="H3234" s="21">
        <v>1307.67</v>
      </c>
    </row>
    <row r="3235" spans="1:8" customFormat="1" x14ac:dyDescent="0.25">
      <c r="A3235" t="str">
        <f>"76551"</f>
        <v>76551</v>
      </c>
      <c r="B3235" t="s">
        <v>4073</v>
      </c>
      <c r="C3235" t="s">
        <v>4074</v>
      </c>
      <c r="D3235" s="21" t="s">
        <v>34</v>
      </c>
      <c r="E3235" s="21" t="s">
        <v>71</v>
      </c>
      <c r="F3235">
        <v>9760018</v>
      </c>
      <c r="G3235" t="s">
        <v>117</v>
      </c>
      <c r="H3235" s="21">
        <v>1307.67</v>
      </c>
    </row>
    <row r="3236" spans="1:8" customFormat="1" x14ac:dyDescent="0.25">
      <c r="A3236" t="str">
        <f>"903605"</f>
        <v>903605</v>
      </c>
      <c r="B3236" t="s">
        <v>4093</v>
      </c>
      <c r="C3236" t="s">
        <v>171</v>
      </c>
      <c r="D3236" s="21" t="s">
        <v>34</v>
      </c>
      <c r="E3236" s="21" t="s">
        <v>71</v>
      </c>
      <c r="F3236">
        <v>2250138</v>
      </c>
      <c r="G3236" t="s">
        <v>4094</v>
      </c>
      <c r="H3236" s="21">
        <v>1307.67</v>
      </c>
    </row>
    <row r="3237" spans="1:8" customFormat="1" x14ac:dyDescent="0.25">
      <c r="A3237" t="str">
        <f>"775970"</f>
        <v>775970</v>
      </c>
      <c r="B3237" t="s">
        <v>3427</v>
      </c>
      <c r="C3237" t="s">
        <v>119</v>
      </c>
      <c r="D3237" s="21" t="s">
        <v>34</v>
      </c>
      <c r="E3237" s="21" t="s">
        <v>35</v>
      </c>
      <c r="F3237">
        <v>8770237</v>
      </c>
      <c r="G3237" t="s">
        <v>128</v>
      </c>
      <c r="H3237" s="21">
        <v>1307.67</v>
      </c>
    </row>
    <row r="3238" spans="1:8" customFormat="1" x14ac:dyDescent="0.25">
      <c r="A3238" t="str">
        <f>"5942685"</f>
        <v>5942685</v>
      </c>
      <c r="B3238" t="s">
        <v>5361</v>
      </c>
      <c r="C3238" t="s">
        <v>65</v>
      </c>
      <c r="D3238" s="21" t="s">
        <v>34</v>
      </c>
      <c r="E3238" s="21" t="s">
        <v>35</v>
      </c>
      <c r="F3238">
        <v>7590014</v>
      </c>
      <c r="G3238" t="s">
        <v>1326</v>
      </c>
      <c r="H3238" s="21">
        <v>1307.67</v>
      </c>
    </row>
    <row r="3239" spans="1:8" customFormat="1" x14ac:dyDescent="0.25">
      <c r="A3239" t="str">
        <f>"441304"</f>
        <v>441304</v>
      </c>
      <c r="B3239" t="s">
        <v>3785</v>
      </c>
      <c r="C3239" t="s">
        <v>263</v>
      </c>
      <c r="D3239" s="21" t="s">
        <v>34</v>
      </c>
      <c r="E3239" s="21" t="s">
        <v>254</v>
      </c>
      <c r="F3239">
        <v>12440193</v>
      </c>
      <c r="G3239" t="s">
        <v>3786</v>
      </c>
      <c r="H3239" s="21">
        <v>1307.42</v>
      </c>
    </row>
    <row r="3240" spans="1:8" customFormat="1" x14ac:dyDescent="0.25">
      <c r="A3240" t="str">
        <f>"6215877"</f>
        <v>6215877</v>
      </c>
      <c r="B3240" t="s">
        <v>4299</v>
      </c>
      <c r="C3240" t="s">
        <v>3662</v>
      </c>
      <c r="D3240" s="21" t="s">
        <v>34</v>
      </c>
      <c r="E3240" s="21" t="s">
        <v>35</v>
      </c>
      <c r="F3240">
        <v>7590011</v>
      </c>
      <c r="G3240" t="s">
        <v>2147</v>
      </c>
      <c r="H3240" s="21">
        <v>1307.17</v>
      </c>
    </row>
    <row r="3241" spans="1:8" customFormat="1" x14ac:dyDescent="0.25">
      <c r="A3241" t="str">
        <f>"4217705"</f>
        <v>4217705</v>
      </c>
      <c r="B3241" t="s">
        <v>1347</v>
      </c>
      <c r="C3241" t="s">
        <v>139</v>
      </c>
      <c r="D3241" s="21" t="s">
        <v>34</v>
      </c>
      <c r="E3241" s="21" t="s">
        <v>71</v>
      </c>
      <c r="F3241">
        <v>1420141</v>
      </c>
      <c r="G3241" t="s">
        <v>5190</v>
      </c>
      <c r="H3241" s="21">
        <v>1307.17</v>
      </c>
    </row>
    <row r="3242" spans="1:8" customFormat="1" x14ac:dyDescent="0.25">
      <c r="A3242" t="str">
        <f>"3723177"</f>
        <v>3723177</v>
      </c>
      <c r="B3242" t="s">
        <v>26778</v>
      </c>
      <c r="C3242" t="s">
        <v>103</v>
      </c>
      <c r="D3242" s="21" t="s">
        <v>34</v>
      </c>
      <c r="E3242" s="21" t="s">
        <v>71</v>
      </c>
      <c r="F3242">
        <v>1260034</v>
      </c>
      <c r="G3242" t="s">
        <v>1884</v>
      </c>
      <c r="H3242" s="21">
        <v>1307.17</v>
      </c>
    </row>
    <row r="3243" spans="1:8" customFormat="1" x14ac:dyDescent="0.25">
      <c r="A3243" t="str">
        <f>"352364"</f>
        <v>352364</v>
      </c>
      <c r="B3243" t="s">
        <v>5072</v>
      </c>
      <c r="C3243" t="s">
        <v>412</v>
      </c>
      <c r="D3243" s="21" t="s">
        <v>34</v>
      </c>
      <c r="E3243" s="21" t="s">
        <v>254</v>
      </c>
      <c r="F3243">
        <v>9500048</v>
      </c>
      <c r="G3243" t="s">
        <v>1804</v>
      </c>
      <c r="H3243" s="21">
        <v>1307.17</v>
      </c>
    </row>
    <row r="3244" spans="1:8" customFormat="1" x14ac:dyDescent="0.25">
      <c r="A3244" t="str">
        <f>"592701"</f>
        <v>592701</v>
      </c>
      <c r="B3244" t="s">
        <v>4283</v>
      </c>
      <c r="C3244" t="s">
        <v>90</v>
      </c>
      <c r="D3244" s="21" t="s">
        <v>34</v>
      </c>
      <c r="E3244" s="21" t="s">
        <v>71</v>
      </c>
      <c r="F3244">
        <v>7590194</v>
      </c>
      <c r="G3244" t="s">
        <v>460</v>
      </c>
      <c r="H3244" s="21">
        <v>1307.17</v>
      </c>
    </row>
    <row r="3245" spans="1:8" customFormat="1" x14ac:dyDescent="0.25">
      <c r="A3245" t="str">
        <f>"192997"</f>
        <v>192997</v>
      </c>
      <c r="B3245" t="s">
        <v>4298</v>
      </c>
      <c r="C3245" t="s">
        <v>169</v>
      </c>
      <c r="D3245" s="21" t="s">
        <v>34</v>
      </c>
      <c r="E3245" s="21" t="s">
        <v>35</v>
      </c>
      <c r="F3245">
        <v>10190054</v>
      </c>
      <c r="G3245" t="s">
        <v>4189</v>
      </c>
      <c r="H3245" s="21">
        <v>1307.05</v>
      </c>
    </row>
    <row r="3246" spans="1:8" customFormat="1" x14ac:dyDescent="0.25">
      <c r="A3246" t="str">
        <f>"814182"</f>
        <v>814182</v>
      </c>
      <c r="B3246" t="s">
        <v>5816</v>
      </c>
      <c r="C3246" t="s">
        <v>156</v>
      </c>
      <c r="D3246" s="21" t="s">
        <v>34</v>
      </c>
      <c r="E3246" s="21" t="s">
        <v>71</v>
      </c>
      <c r="F3246">
        <v>11810028</v>
      </c>
      <c r="G3246" t="s">
        <v>5817</v>
      </c>
      <c r="H3246" s="21">
        <v>1307.05</v>
      </c>
    </row>
    <row r="3247" spans="1:8" customFormat="1" x14ac:dyDescent="0.25">
      <c r="A3247" t="str">
        <f>"103092"</f>
        <v>103092</v>
      </c>
      <c r="B3247" t="s">
        <v>4089</v>
      </c>
      <c r="C3247" t="s">
        <v>598</v>
      </c>
      <c r="D3247" s="21" t="s">
        <v>34</v>
      </c>
      <c r="E3247" s="21" t="s">
        <v>71</v>
      </c>
      <c r="F3247">
        <v>6100002</v>
      </c>
      <c r="G3247" t="s">
        <v>1602</v>
      </c>
      <c r="H3247" s="21">
        <v>1306.67</v>
      </c>
    </row>
    <row r="3248" spans="1:8" customFormat="1" x14ac:dyDescent="0.25">
      <c r="A3248" t="str">
        <f>"512973"</f>
        <v>512973</v>
      </c>
      <c r="B3248" t="s">
        <v>2434</v>
      </c>
      <c r="C3248" t="s">
        <v>43</v>
      </c>
      <c r="D3248" s="21" t="s">
        <v>34</v>
      </c>
      <c r="E3248" s="21" t="s">
        <v>35</v>
      </c>
      <c r="F3248">
        <v>6510018</v>
      </c>
      <c r="G3248" t="s">
        <v>3055</v>
      </c>
      <c r="H3248" s="21">
        <v>1306.67</v>
      </c>
    </row>
    <row r="3249" spans="1:8" customFormat="1" x14ac:dyDescent="0.25">
      <c r="A3249" t="str">
        <f>"552001"</f>
        <v>552001</v>
      </c>
      <c r="B3249" t="s">
        <v>6299</v>
      </c>
      <c r="C3249" t="s">
        <v>1025</v>
      </c>
      <c r="D3249" s="21" t="s">
        <v>34</v>
      </c>
      <c r="E3249" s="21" t="s">
        <v>35</v>
      </c>
      <c r="F3249">
        <v>6550007</v>
      </c>
      <c r="G3249" t="s">
        <v>1688</v>
      </c>
      <c r="H3249" s="21">
        <v>1306.67</v>
      </c>
    </row>
    <row r="3250" spans="1:8" customFormat="1" x14ac:dyDescent="0.25">
      <c r="A3250" t="str">
        <f>"6719186"</f>
        <v>6719186</v>
      </c>
      <c r="B3250" t="s">
        <v>4440</v>
      </c>
      <c r="C3250" t="s">
        <v>124</v>
      </c>
      <c r="D3250" s="21" t="s">
        <v>34</v>
      </c>
      <c r="E3250" s="21" t="s">
        <v>71</v>
      </c>
      <c r="F3250">
        <v>6670115</v>
      </c>
      <c r="G3250" t="s">
        <v>3798</v>
      </c>
      <c r="H3250" s="21">
        <v>1306.67</v>
      </c>
    </row>
    <row r="3251" spans="1:8" customFormat="1" x14ac:dyDescent="0.25">
      <c r="A3251" t="str">
        <f>"9313779"</f>
        <v>9313779</v>
      </c>
      <c r="B3251" t="s">
        <v>6738</v>
      </c>
      <c r="C3251" t="s">
        <v>151</v>
      </c>
      <c r="D3251" s="21" t="s">
        <v>34</v>
      </c>
      <c r="E3251" s="21" t="s">
        <v>35</v>
      </c>
      <c r="F3251">
        <v>8770237</v>
      </c>
      <c r="G3251" t="s">
        <v>128</v>
      </c>
      <c r="H3251" s="21">
        <v>1306.67</v>
      </c>
    </row>
    <row r="3252" spans="1:8" customFormat="1" x14ac:dyDescent="0.25">
      <c r="A3252" t="str">
        <f>"631630"</f>
        <v>631630</v>
      </c>
      <c r="B3252" t="s">
        <v>3904</v>
      </c>
      <c r="C3252" t="s">
        <v>3905</v>
      </c>
      <c r="D3252" s="21" t="s">
        <v>34</v>
      </c>
      <c r="E3252" s="21" t="s">
        <v>254</v>
      </c>
      <c r="F3252">
        <v>1630015</v>
      </c>
      <c r="G3252" t="s">
        <v>2097</v>
      </c>
      <c r="H3252" s="21">
        <v>1306.67</v>
      </c>
    </row>
    <row r="3253" spans="1:8" customFormat="1" x14ac:dyDescent="0.25">
      <c r="A3253" t="str">
        <f>"7516335"</f>
        <v>7516335</v>
      </c>
      <c r="B3253" t="s">
        <v>5117</v>
      </c>
      <c r="C3253" t="s">
        <v>33</v>
      </c>
      <c r="D3253" s="21" t="s">
        <v>34</v>
      </c>
      <c r="E3253" s="21" t="s">
        <v>35</v>
      </c>
      <c r="F3253">
        <v>8920151</v>
      </c>
      <c r="G3253" t="s">
        <v>1434</v>
      </c>
      <c r="H3253" s="21">
        <v>1306.3</v>
      </c>
    </row>
    <row r="3254" spans="1:8" customFormat="1" x14ac:dyDescent="0.25">
      <c r="A3254" t="str">
        <f>"1321183"</f>
        <v>1321183</v>
      </c>
      <c r="B3254" t="s">
        <v>26779</v>
      </c>
      <c r="C3254" t="s">
        <v>305</v>
      </c>
      <c r="D3254" s="21" t="s">
        <v>34</v>
      </c>
      <c r="E3254" s="21" t="s">
        <v>35</v>
      </c>
      <c r="F3254">
        <v>13130165</v>
      </c>
      <c r="G3254" t="s">
        <v>2827</v>
      </c>
      <c r="H3254" s="21">
        <v>1306.29</v>
      </c>
    </row>
    <row r="3255" spans="1:8" customFormat="1" x14ac:dyDescent="0.25">
      <c r="A3255" t="str">
        <f>"5322188"</f>
        <v>5322188</v>
      </c>
      <c r="B3255" t="s">
        <v>3698</v>
      </c>
      <c r="C3255" t="s">
        <v>206</v>
      </c>
      <c r="D3255" s="21" t="s">
        <v>34</v>
      </c>
      <c r="E3255" s="21" t="s">
        <v>35</v>
      </c>
      <c r="F3255">
        <v>12530064</v>
      </c>
      <c r="G3255" t="s">
        <v>3699</v>
      </c>
      <c r="H3255" s="21">
        <v>1306.17</v>
      </c>
    </row>
    <row r="3256" spans="1:8" customFormat="1" x14ac:dyDescent="0.25">
      <c r="A3256" t="str">
        <f>"297626"</f>
        <v>297626</v>
      </c>
      <c r="B3256" t="s">
        <v>3639</v>
      </c>
      <c r="C3256" t="s">
        <v>1559</v>
      </c>
      <c r="D3256" s="21" t="s">
        <v>34</v>
      </c>
      <c r="E3256" s="21" t="s">
        <v>254</v>
      </c>
      <c r="F3256">
        <v>3290052</v>
      </c>
      <c r="G3256" t="s">
        <v>270</v>
      </c>
      <c r="H3256" s="21">
        <v>1306.17</v>
      </c>
    </row>
    <row r="3257" spans="1:8" customFormat="1" x14ac:dyDescent="0.25">
      <c r="A3257" t="str">
        <f>"6926411"</f>
        <v>6926411</v>
      </c>
      <c r="B3257" t="s">
        <v>17900</v>
      </c>
      <c r="C3257" t="s">
        <v>269</v>
      </c>
      <c r="D3257" s="21" t="s">
        <v>34</v>
      </c>
      <c r="E3257" s="21" t="s">
        <v>71</v>
      </c>
      <c r="F3257">
        <v>1690221</v>
      </c>
      <c r="G3257" t="s">
        <v>303</v>
      </c>
      <c r="H3257" s="21">
        <v>1306.17</v>
      </c>
    </row>
    <row r="3258" spans="1:8" customFormat="1" x14ac:dyDescent="0.25">
      <c r="A3258" t="str">
        <f>"3520267"</f>
        <v>3520267</v>
      </c>
      <c r="B3258" t="s">
        <v>3539</v>
      </c>
      <c r="C3258" t="s">
        <v>269</v>
      </c>
      <c r="D3258" s="21" t="s">
        <v>34</v>
      </c>
      <c r="E3258" s="21" t="s">
        <v>254</v>
      </c>
      <c r="F3258">
        <v>3220087</v>
      </c>
      <c r="G3258" t="s">
        <v>3540</v>
      </c>
      <c r="H3258" s="21">
        <v>1306.17</v>
      </c>
    </row>
    <row r="3259" spans="1:8" customFormat="1" x14ac:dyDescent="0.25">
      <c r="A3259" t="str">
        <f>"572750"</f>
        <v>572750</v>
      </c>
      <c r="B3259" t="s">
        <v>3198</v>
      </c>
      <c r="C3259" t="s">
        <v>40</v>
      </c>
      <c r="D3259" s="21" t="s">
        <v>34</v>
      </c>
      <c r="E3259" s="21" t="s">
        <v>71</v>
      </c>
      <c r="F3259">
        <v>6570190</v>
      </c>
      <c r="G3259" t="s">
        <v>622</v>
      </c>
      <c r="H3259" s="21">
        <v>1305.67</v>
      </c>
    </row>
    <row r="3260" spans="1:8" customFormat="1" x14ac:dyDescent="0.25">
      <c r="A3260" t="str">
        <f>"6222726"</f>
        <v>6222726</v>
      </c>
      <c r="B3260" t="s">
        <v>853</v>
      </c>
      <c r="C3260" t="s">
        <v>253</v>
      </c>
      <c r="D3260" s="21" t="s">
        <v>34</v>
      </c>
      <c r="E3260" s="21" t="s">
        <v>254</v>
      </c>
      <c r="F3260">
        <v>7620061</v>
      </c>
      <c r="G3260" t="s">
        <v>4448</v>
      </c>
      <c r="H3260" s="21">
        <v>1305.67</v>
      </c>
    </row>
    <row r="3261" spans="1:8" customFormat="1" x14ac:dyDescent="0.25">
      <c r="A3261" t="str">
        <f>"6011763"</f>
        <v>6011763</v>
      </c>
      <c r="B3261" t="s">
        <v>3981</v>
      </c>
      <c r="C3261" t="s">
        <v>60</v>
      </c>
      <c r="D3261" s="21" t="s">
        <v>34</v>
      </c>
      <c r="E3261" s="21" t="s">
        <v>35</v>
      </c>
      <c r="F3261">
        <v>9270006</v>
      </c>
      <c r="G3261" t="s">
        <v>780</v>
      </c>
      <c r="H3261" s="21">
        <v>1305.67</v>
      </c>
    </row>
    <row r="3262" spans="1:8" customFormat="1" x14ac:dyDescent="0.25">
      <c r="A3262" t="str">
        <f>"9120259"</f>
        <v>9120259</v>
      </c>
      <c r="B3262" t="s">
        <v>14437</v>
      </c>
      <c r="C3262" t="s">
        <v>7905</v>
      </c>
      <c r="D3262" s="21" t="s">
        <v>34</v>
      </c>
      <c r="E3262" s="21" t="s">
        <v>35</v>
      </c>
      <c r="F3262">
        <v>8911456</v>
      </c>
      <c r="G3262" t="s">
        <v>6481</v>
      </c>
      <c r="H3262" s="21">
        <v>1305.42</v>
      </c>
    </row>
    <row r="3263" spans="1:8" customFormat="1" x14ac:dyDescent="0.25">
      <c r="A3263" t="str">
        <f>"781374"</f>
        <v>781374</v>
      </c>
      <c r="B3263" t="s">
        <v>4713</v>
      </c>
      <c r="C3263" t="s">
        <v>926</v>
      </c>
      <c r="D3263" s="21" t="s">
        <v>34</v>
      </c>
      <c r="E3263" s="21" t="s">
        <v>254</v>
      </c>
      <c r="F3263">
        <v>8781144</v>
      </c>
      <c r="G3263" t="s">
        <v>4714</v>
      </c>
      <c r="H3263" s="21">
        <v>1305.3</v>
      </c>
    </row>
    <row r="3264" spans="1:8" customFormat="1" x14ac:dyDescent="0.25">
      <c r="A3264" t="str">
        <f>"744500"</f>
        <v>744500</v>
      </c>
      <c r="B3264" t="s">
        <v>3278</v>
      </c>
      <c r="C3264" t="s">
        <v>926</v>
      </c>
      <c r="D3264" s="21" t="s">
        <v>34</v>
      </c>
      <c r="E3264" s="21" t="s">
        <v>254</v>
      </c>
      <c r="F3264">
        <v>7600114</v>
      </c>
      <c r="G3264" t="s">
        <v>4584</v>
      </c>
      <c r="H3264" s="21">
        <v>1305.17</v>
      </c>
    </row>
    <row r="3265" spans="1:8" customFormat="1" x14ac:dyDescent="0.25">
      <c r="A3265" t="str">
        <f>"177144"</f>
        <v>177144</v>
      </c>
      <c r="B3265" t="s">
        <v>1406</v>
      </c>
      <c r="C3265" t="s">
        <v>4691</v>
      </c>
      <c r="D3265" s="21" t="s">
        <v>34</v>
      </c>
      <c r="E3265" s="21" t="s">
        <v>35</v>
      </c>
      <c r="F3265">
        <v>10160240</v>
      </c>
      <c r="G3265" t="s">
        <v>7095</v>
      </c>
      <c r="H3265" s="21">
        <v>1305.17</v>
      </c>
    </row>
    <row r="3266" spans="1:8" customFormat="1" x14ac:dyDescent="0.25">
      <c r="A3266" t="str">
        <f>"9135905"</f>
        <v>9135905</v>
      </c>
      <c r="B3266" t="s">
        <v>26780</v>
      </c>
      <c r="C3266" t="s">
        <v>484</v>
      </c>
      <c r="D3266" s="21" t="s">
        <v>34</v>
      </c>
      <c r="E3266" s="21" t="s">
        <v>35</v>
      </c>
      <c r="F3266">
        <v>8910434</v>
      </c>
      <c r="G3266" t="s">
        <v>681</v>
      </c>
      <c r="H3266" s="21">
        <v>1305.17</v>
      </c>
    </row>
    <row r="3267" spans="1:8" customFormat="1" x14ac:dyDescent="0.25">
      <c r="A3267" t="str">
        <f>"502264"</f>
        <v>502264</v>
      </c>
      <c r="B3267" t="s">
        <v>3694</v>
      </c>
      <c r="C3267" t="s">
        <v>121</v>
      </c>
      <c r="D3267" s="21" t="s">
        <v>34</v>
      </c>
      <c r="E3267" s="21" t="s">
        <v>71</v>
      </c>
      <c r="F3267">
        <v>9500009</v>
      </c>
      <c r="G3267" t="s">
        <v>2230</v>
      </c>
      <c r="H3267" s="21">
        <v>1305.17</v>
      </c>
    </row>
    <row r="3268" spans="1:8" customFormat="1" x14ac:dyDescent="0.25">
      <c r="A3268" t="str">
        <f>"593266"</f>
        <v>593266</v>
      </c>
      <c r="B3268" t="s">
        <v>17064</v>
      </c>
      <c r="C3268" t="s">
        <v>269</v>
      </c>
      <c r="D3268" s="21" t="s">
        <v>34</v>
      </c>
      <c r="E3268" s="21" t="s">
        <v>71</v>
      </c>
      <c r="F3268">
        <v>7590040</v>
      </c>
      <c r="G3268" t="s">
        <v>104</v>
      </c>
      <c r="H3268" s="21">
        <v>1305.17</v>
      </c>
    </row>
    <row r="3269" spans="1:8" customFormat="1" x14ac:dyDescent="0.25">
      <c r="A3269" t="str">
        <f>"5412590"</f>
        <v>5412590</v>
      </c>
      <c r="B3269" t="s">
        <v>1590</v>
      </c>
      <c r="C3269" t="s">
        <v>2384</v>
      </c>
      <c r="D3269" s="21" t="s">
        <v>34</v>
      </c>
      <c r="E3269" s="21" t="s">
        <v>71</v>
      </c>
      <c r="F3269">
        <v>6540192</v>
      </c>
      <c r="G3269" t="s">
        <v>3644</v>
      </c>
      <c r="H3269" s="21">
        <v>1305.17</v>
      </c>
    </row>
    <row r="3270" spans="1:8" customFormat="1" x14ac:dyDescent="0.25">
      <c r="A3270" t="str">
        <f>"85448"</f>
        <v>85448</v>
      </c>
      <c r="B3270" t="s">
        <v>2842</v>
      </c>
      <c r="C3270" t="s">
        <v>608</v>
      </c>
      <c r="D3270" s="21" t="s">
        <v>34</v>
      </c>
      <c r="E3270" s="21" t="s">
        <v>71</v>
      </c>
      <c r="F3270">
        <v>12850148</v>
      </c>
      <c r="G3270" t="s">
        <v>2380</v>
      </c>
      <c r="H3270" s="21">
        <v>1305.17</v>
      </c>
    </row>
    <row r="3271" spans="1:8" customFormat="1" x14ac:dyDescent="0.25">
      <c r="A3271" t="str">
        <f>"723510"</f>
        <v>723510</v>
      </c>
      <c r="B3271" t="s">
        <v>430</v>
      </c>
      <c r="C3271" t="s">
        <v>3393</v>
      </c>
      <c r="D3271" s="21" t="s">
        <v>34</v>
      </c>
      <c r="E3271" s="21" t="s">
        <v>35</v>
      </c>
      <c r="F3271">
        <v>12720005</v>
      </c>
      <c r="G3271" t="s">
        <v>999</v>
      </c>
      <c r="H3271" s="21">
        <v>1305.17</v>
      </c>
    </row>
    <row r="3272" spans="1:8" customFormat="1" x14ac:dyDescent="0.25">
      <c r="A3272" t="str">
        <f>"9228978"</f>
        <v>9228978</v>
      </c>
      <c r="B3272" t="s">
        <v>4262</v>
      </c>
      <c r="C3272" t="s">
        <v>4263</v>
      </c>
      <c r="D3272" s="21" t="s">
        <v>34</v>
      </c>
      <c r="E3272" s="21" t="s">
        <v>254</v>
      </c>
      <c r="F3272">
        <v>8920151</v>
      </c>
      <c r="G3272" t="s">
        <v>1434</v>
      </c>
      <c r="H3272" s="21">
        <v>1305.17</v>
      </c>
    </row>
    <row r="3273" spans="1:8" customFormat="1" x14ac:dyDescent="0.25">
      <c r="A3273" t="str">
        <f>"857756"</f>
        <v>857756</v>
      </c>
      <c r="B3273" t="s">
        <v>4253</v>
      </c>
      <c r="C3273" t="s">
        <v>1559</v>
      </c>
      <c r="D3273" s="21" t="s">
        <v>34</v>
      </c>
      <c r="E3273" s="21" t="s">
        <v>71</v>
      </c>
      <c r="F3273">
        <v>12850148</v>
      </c>
      <c r="G3273" t="s">
        <v>2380</v>
      </c>
      <c r="H3273" s="21">
        <v>1304.67</v>
      </c>
    </row>
    <row r="3274" spans="1:8" customFormat="1" x14ac:dyDescent="0.25">
      <c r="A3274" t="str">
        <f>"597991"</f>
        <v>597991</v>
      </c>
      <c r="B3274" t="s">
        <v>2023</v>
      </c>
      <c r="C3274" t="s">
        <v>37</v>
      </c>
      <c r="D3274" s="21" t="s">
        <v>34</v>
      </c>
      <c r="E3274" s="21" t="s">
        <v>35</v>
      </c>
      <c r="F3274">
        <v>7590170</v>
      </c>
      <c r="G3274" t="s">
        <v>868</v>
      </c>
      <c r="H3274" s="21">
        <v>1304.67</v>
      </c>
    </row>
    <row r="3275" spans="1:8" customFormat="1" x14ac:dyDescent="0.25">
      <c r="A3275" t="str">
        <f>"4510637"</f>
        <v>4510637</v>
      </c>
      <c r="B3275" t="s">
        <v>983</v>
      </c>
      <c r="C3275" t="s">
        <v>267</v>
      </c>
      <c r="D3275" s="21" t="s">
        <v>34</v>
      </c>
      <c r="E3275" s="21" t="s">
        <v>35</v>
      </c>
      <c r="F3275">
        <v>4450754</v>
      </c>
      <c r="G3275" t="s">
        <v>2695</v>
      </c>
      <c r="H3275" s="21">
        <v>1304.67</v>
      </c>
    </row>
    <row r="3276" spans="1:8" customFormat="1" x14ac:dyDescent="0.25">
      <c r="A3276" t="str">
        <f>"061757"</f>
        <v>061757</v>
      </c>
      <c r="B3276" t="s">
        <v>26781</v>
      </c>
      <c r="C3276" t="s">
        <v>967</v>
      </c>
      <c r="D3276" s="21" t="s">
        <v>34</v>
      </c>
      <c r="E3276" s="21" t="s">
        <v>35</v>
      </c>
      <c r="F3276">
        <v>13060066</v>
      </c>
      <c r="G3276" t="s">
        <v>2556</v>
      </c>
      <c r="H3276" s="21">
        <v>1304.67</v>
      </c>
    </row>
    <row r="3277" spans="1:8" customFormat="1" x14ac:dyDescent="0.25">
      <c r="A3277" t="str">
        <f>"2925327"</f>
        <v>2925327</v>
      </c>
      <c r="B3277" t="s">
        <v>646</v>
      </c>
      <c r="C3277" t="s">
        <v>1665</v>
      </c>
      <c r="D3277" s="21" t="s">
        <v>34</v>
      </c>
      <c r="E3277" s="21" t="s">
        <v>1089</v>
      </c>
      <c r="F3277">
        <v>3290223</v>
      </c>
      <c r="G3277" t="s">
        <v>2636</v>
      </c>
      <c r="H3277" s="21">
        <v>1304.67</v>
      </c>
    </row>
    <row r="3278" spans="1:8" customFormat="1" x14ac:dyDescent="0.25">
      <c r="A3278" t="str">
        <f>"294464"</f>
        <v>294464</v>
      </c>
      <c r="B3278" t="s">
        <v>4109</v>
      </c>
      <c r="C3278" t="s">
        <v>320</v>
      </c>
      <c r="D3278" s="21" t="s">
        <v>34</v>
      </c>
      <c r="E3278" s="21" t="s">
        <v>35</v>
      </c>
      <c r="F3278">
        <v>3290044</v>
      </c>
      <c r="G3278" t="s">
        <v>3897</v>
      </c>
      <c r="H3278" s="21">
        <v>1304.67</v>
      </c>
    </row>
    <row r="3279" spans="1:8" customFormat="1" x14ac:dyDescent="0.25">
      <c r="A3279" t="str">
        <f>"80217"</f>
        <v>80217</v>
      </c>
      <c r="B3279" t="s">
        <v>3312</v>
      </c>
      <c r="C3279" t="s">
        <v>209</v>
      </c>
      <c r="D3279" s="21" t="s">
        <v>34</v>
      </c>
      <c r="E3279" s="21" t="s">
        <v>71</v>
      </c>
      <c r="F3279">
        <v>7800054</v>
      </c>
      <c r="G3279" t="s">
        <v>3772</v>
      </c>
      <c r="H3279" s="21">
        <v>1304.67</v>
      </c>
    </row>
    <row r="3280" spans="1:8" customFormat="1" x14ac:dyDescent="0.25">
      <c r="A3280" t="str">
        <f>"45903"</f>
        <v>45903</v>
      </c>
      <c r="B3280" t="s">
        <v>9091</v>
      </c>
      <c r="C3280" t="s">
        <v>2907</v>
      </c>
      <c r="D3280" s="21" t="s">
        <v>34</v>
      </c>
      <c r="E3280" s="21" t="s">
        <v>71</v>
      </c>
      <c r="F3280">
        <v>4450757</v>
      </c>
      <c r="G3280" t="s">
        <v>3829</v>
      </c>
      <c r="H3280" s="21">
        <v>1304.67</v>
      </c>
    </row>
    <row r="3281" spans="1:8" customFormat="1" x14ac:dyDescent="0.25">
      <c r="A3281" t="str">
        <f>"275951"</f>
        <v>275951</v>
      </c>
      <c r="B3281" t="s">
        <v>2118</v>
      </c>
      <c r="C3281" t="s">
        <v>204</v>
      </c>
      <c r="D3281" s="21" t="s">
        <v>34</v>
      </c>
      <c r="E3281" s="21" t="s">
        <v>35</v>
      </c>
      <c r="F3281">
        <v>9270028</v>
      </c>
      <c r="G3281" t="s">
        <v>6091</v>
      </c>
      <c r="H3281" s="21">
        <v>1304.67</v>
      </c>
    </row>
    <row r="3282" spans="1:8" customFormat="1" x14ac:dyDescent="0.25">
      <c r="A3282" t="str">
        <f>"503495"</f>
        <v>503495</v>
      </c>
      <c r="B3282" t="s">
        <v>4143</v>
      </c>
      <c r="C3282" t="s">
        <v>1812</v>
      </c>
      <c r="D3282" s="21" t="s">
        <v>34</v>
      </c>
      <c r="E3282" s="21" t="s">
        <v>71</v>
      </c>
      <c r="F3282">
        <v>9500030</v>
      </c>
      <c r="G3282" t="s">
        <v>2166</v>
      </c>
      <c r="H3282" s="21">
        <v>1304.67</v>
      </c>
    </row>
    <row r="3283" spans="1:8" customFormat="1" x14ac:dyDescent="0.25">
      <c r="A3283" t="str">
        <f>"272069"</f>
        <v>272069</v>
      </c>
      <c r="B3283" t="s">
        <v>3508</v>
      </c>
      <c r="C3283" t="s">
        <v>40</v>
      </c>
      <c r="D3283" s="21" t="s">
        <v>34</v>
      </c>
      <c r="E3283" s="21" t="s">
        <v>254</v>
      </c>
      <c r="F3283">
        <v>9270069</v>
      </c>
      <c r="G3283" t="s">
        <v>3509</v>
      </c>
      <c r="H3283" s="21">
        <v>1304.55</v>
      </c>
    </row>
    <row r="3284" spans="1:8" customFormat="1" x14ac:dyDescent="0.25">
      <c r="A3284" t="str">
        <f>"9225348"</f>
        <v>9225348</v>
      </c>
      <c r="B3284" t="s">
        <v>4038</v>
      </c>
      <c r="C3284" t="s">
        <v>55</v>
      </c>
      <c r="D3284" s="21" t="s">
        <v>34</v>
      </c>
      <c r="E3284" s="21" t="s">
        <v>35</v>
      </c>
      <c r="F3284">
        <v>8930024</v>
      </c>
      <c r="G3284" t="s">
        <v>44</v>
      </c>
      <c r="H3284" s="21">
        <v>1304.3</v>
      </c>
    </row>
    <row r="3285" spans="1:8" customFormat="1" x14ac:dyDescent="0.25">
      <c r="A3285" t="str">
        <f>"507344"</f>
        <v>507344</v>
      </c>
      <c r="B3285" t="s">
        <v>15203</v>
      </c>
      <c r="C3285" t="s">
        <v>288</v>
      </c>
      <c r="D3285" s="21" t="s">
        <v>34</v>
      </c>
      <c r="E3285" s="21" t="s">
        <v>35</v>
      </c>
      <c r="F3285">
        <v>9500059</v>
      </c>
      <c r="G3285" t="s">
        <v>26714</v>
      </c>
      <c r="H3285" s="21">
        <v>1304.17</v>
      </c>
    </row>
    <row r="3286" spans="1:8" customFormat="1" x14ac:dyDescent="0.25">
      <c r="A3286" t="str">
        <f>"5714659"</f>
        <v>5714659</v>
      </c>
      <c r="B3286" t="s">
        <v>3867</v>
      </c>
      <c r="C3286" t="s">
        <v>3648</v>
      </c>
      <c r="D3286" s="21" t="s">
        <v>34</v>
      </c>
      <c r="E3286" s="21" t="s">
        <v>254</v>
      </c>
      <c r="F3286">
        <v>6570158</v>
      </c>
      <c r="G3286" t="s">
        <v>2391</v>
      </c>
      <c r="H3286" s="21">
        <v>1304.17</v>
      </c>
    </row>
    <row r="3287" spans="1:8" customFormat="1" x14ac:dyDescent="0.25">
      <c r="A3287" t="str">
        <f>"9420222"</f>
        <v>9420222</v>
      </c>
      <c r="B3287" t="s">
        <v>4032</v>
      </c>
      <c r="C3287" t="s">
        <v>484</v>
      </c>
      <c r="D3287" s="21" t="s">
        <v>34</v>
      </c>
      <c r="E3287" s="21" t="s">
        <v>35</v>
      </c>
      <c r="F3287">
        <v>8910303</v>
      </c>
      <c r="G3287" t="s">
        <v>1244</v>
      </c>
      <c r="H3287" s="21">
        <v>1304.17</v>
      </c>
    </row>
    <row r="3288" spans="1:8" customFormat="1" x14ac:dyDescent="0.25">
      <c r="A3288" t="str">
        <f>"704020"</f>
        <v>704020</v>
      </c>
      <c r="B3288" t="s">
        <v>4562</v>
      </c>
      <c r="C3288" t="s">
        <v>269</v>
      </c>
      <c r="D3288" s="21" t="s">
        <v>34</v>
      </c>
      <c r="E3288" s="21" t="s">
        <v>71</v>
      </c>
      <c r="F3288">
        <v>6540187</v>
      </c>
      <c r="G3288" t="s">
        <v>4563</v>
      </c>
      <c r="H3288" s="21">
        <v>1304.17</v>
      </c>
    </row>
    <row r="3289" spans="1:8" customFormat="1" x14ac:dyDescent="0.25">
      <c r="A3289" t="str">
        <f>"684593"</f>
        <v>684593</v>
      </c>
      <c r="B3289" t="s">
        <v>4538</v>
      </c>
      <c r="C3289" t="s">
        <v>498</v>
      </c>
      <c r="D3289" s="21" t="s">
        <v>34</v>
      </c>
      <c r="E3289" s="21" t="s">
        <v>71</v>
      </c>
      <c r="F3289">
        <v>6680118</v>
      </c>
      <c r="G3289" t="s">
        <v>4346</v>
      </c>
      <c r="H3289" s="21">
        <v>1304.17</v>
      </c>
    </row>
    <row r="3290" spans="1:8" customFormat="1" x14ac:dyDescent="0.25">
      <c r="A3290" t="str">
        <f>"5714820"</f>
        <v>5714820</v>
      </c>
      <c r="B3290" t="s">
        <v>4243</v>
      </c>
      <c r="C3290" t="s">
        <v>817</v>
      </c>
      <c r="D3290" s="21" t="s">
        <v>34</v>
      </c>
      <c r="E3290" s="21" t="s">
        <v>35</v>
      </c>
      <c r="F3290">
        <v>2250193</v>
      </c>
      <c r="G3290" t="s">
        <v>2584</v>
      </c>
      <c r="H3290" s="21">
        <v>1304.17</v>
      </c>
    </row>
    <row r="3291" spans="1:8" customFormat="1" x14ac:dyDescent="0.25">
      <c r="A3291" t="str">
        <f>"5430640"</f>
        <v>5430640</v>
      </c>
      <c r="B3291" t="s">
        <v>4122</v>
      </c>
      <c r="C3291" t="s">
        <v>202</v>
      </c>
      <c r="D3291" s="21" t="s">
        <v>34</v>
      </c>
      <c r="E3291" s="21" t="s">
        <v>71</v>
      </c>
      <c r="F3291">
        <v>6540040</v>
      </c>
      <c r="G3291" t="s">
        <v>256</v>
      </c>
      <c r="H3291" s="21">
        <v>1304.05</v>
      </c>
    </row>
    <row r="3292" spans="1:8" customFormat="1" x14ac:dyDescent="0.25">
      <c r="A3292" t="str">
        <f>"0113417"</f>
        <v>0113417</v>
      </c>
      <c r="B3292" t="s">
        <v>3413</v>
      </c>
      <c r="C3292" t="s">
        <v>119</v>
      </c>
      <c r="D3292" s="21" t="s">
        <v>34</v>
      </c>
      <c r="E3292" s="21" t="s">
        <v>71</v>
      </c>
      <c r="F3292">
        <v>1010023</v>
      </c>
      <c r="G3292" t="s">
        <v>2174</v>
      </c>
      <c r="H3292" s="21">
        <v>1303.92</v>
      </c>
    </row>
    <row r="3293" spans="1:8" customFormat="1" x14ac:dyDescent="0.25">
      <c r="A3293" t="str">
        <f>"7819051"</f>
        <v>7819051</v>
      </c>
      <c r="B3293" t="s">
        <v>4639</v>
      </c>
      <c r="C3293" t="s">
        <v>33</v>
      </c>
      <c r="D3293" s="21" t="s">
        <v>34</v>
      </c>
      <c r="E3293" s="21" t="s">
        <v>35</v>
      </c>
      <c r="F3293">
        <v>12720045</v>
      </c>
      <c r="G3293" t="s">
        <v>2484</v>
      </c>
      <c r="H3293" s="21">
        <v>1303.67</v>
      </c>
    </row>
    <row r="3294" spans="1:8" customFormat="1" x14ac:dyDescent="0.25">
      <c r="A3294" t="str">
        <f>"3416604"</f>
        <v>3416604</v>
      </c>
      <c r="B3294" t="s">
        <v>3899</v>
      </c>
      <c r="C3294" t="s">
        <v>119</v>
      </c>
      <c r="D3294" s="21" t="s">
        <v>34</v>
      </c>
      <c r="E3294" s="21" t="s">
        <v>35</v>
      </c>
      <c r="F3294">
        <v>9140007</v>
      </c>
      <c r="G3294" t="s">
        <v>434</v>
      </c>
      <c r="H3294" s="21">
        <v>1303.67</v>
      </c>
    </row>
    <row r="3295" spans="1:8" customFormat="1" x14ac:dyDescent="0.25">
      <c r="A3295" t="str">
        <f>"541895"</f>
        <v>541895</v>
      </c>
      <c r="B3295" t="s">
        <v>3643</v>
      </c>
      <c r="C3295" t="s">
        <v>43</v>
      </c>
      <c r="D3295" s="21" t="s">
        <v>34</v>
      </c>
      <c r="E3295" s="21" t="s">
        <v>35</v>
      </c>
      <c r="F3295">
        <v>6540192</v>
      </c>
      <c r="G3295" t="s">
        <v>3644</v>
      </c>
      <c r="H3295" s="21">
        <v>1303.67</v>
      </c>
    </row>
    <row r="3296" spans="1:8" customFormat="1" x14ac:dyDescent="0.25">
      <c r="A3296" t="str">
        <f>"517199"</f>
        <v>517199</v>
      </c>
      <c r="B3296" t="s">
        <v>3185</v>
      </c>
      <c r="C3296" t="s">
        <v>621</v>
      </c>
      <c r="D3296" s="21" t="s">
        <v>34</v>
      </c>
      <c r="E3296" s="21" t="s">
        <v>71</v>
      </c>
      <c r="F3296">
        <v>7600008</v>
      </c>
      <c r="G3296" t="s">
        <v>4646</v>
      </c>
      <c r="H3296" s="21">
        <v>1303.67</v>
      </c>
    </row>
    <row r="3297" spans="1:8" customFormat="1" x14ac:dyDescent="0.25">
      <c r="A3297" t="str">
        <f>"113070"</f>
        <v>113070</v>
      </c>
      <c r="B3297" t="s">
        <v>4551</v>
      </c>
      <c r="C3297" t="s">
        <v>43</v>
      </c>
      <c r="D3297" s="21" t="s">
        <v>34</v>
      </c>
      <c r="E3297" s="21" t="s">
        <v>35</v>
      </c>
      <c r="F3297">
        <v>11110027</v>
      </c>
      <c r="G3297" t="s">
        <v>713</v>
      </c>
      <c r="H3297" s="21">
        <v>1303.67</v>
      </c>
    </row>
    <row r="3298" spans="1:8" customFormat="1" x14ac:dyDescent="0.25">
      <c r="A3298" t="str">
        <f>"519555"</f>
        <v>519555</v>
      </c>
      <c r="B3298" t="s">
        <v>4891</v>
      </c>
      <c r="C3298" t="s">
        <v>109</v>
      </c>
      <c r="D3298" s="21" t="s">
        <v>34</v>
      </c>
      <c r="E3298" s="21" t="s">
        <v>71</v>
      </c>
      <c r="F3298">
        <v>6510112</v>
      </c>
      <c r="G3298" t="s">
        <v>588</v>
      </c>
      <c r="H3298" s="21">
        <v>1303.55</v>
      </c>
    </row>
    <row r="3299" spans="1:8" customFormat="1" x14ac:dyDescent="0.25">
      <c r="A3299" t="str">
        <f>"80397"</f>
        <v>80397</v>
      </c>
      <c r="B3299" t="s">
        <v>1833</v>
      </c>
      <c r="C3299" t="s">
        <v>169</v>
      </c>
      <c r="D3299" s="21" t="s">
        <v>34</v>
      </c>
      <c r="E3299" s="21" t="s">
        <v>71</v>
      </c>
      <c r="F3299">
        <v>7800008</v>
      </c>
      <c r="G3299" t="s">
        <v>842</v>
      </c>
      <c r="H3299" s="21">
        <v>1303.17</v>
      </c>
    </row>
    <row r="3300" spans="1:8" customFormat="1" x14ac:dyDescent="0.25">
      <c r="A3300" t="str">
        <f>"429504"</f>
        <v>429504</v>
      </c>
      <c r="B3300" t="s">
        <v>3579</v>
      </c>
      <c r="C3300" t="s">
        <v>462</v>
      </c>
      <c r="D3300" s="21" t="s">
        <v>34</v>
      </c>
      <c r="E3300" s="21" t="s">
        <v>71</v>
      </c>
      <c r="F3300">
        <v>1420149</v>
      </c>
      <c r="G3300" t="s">
        <v>818</v>
      </c>
      <c r="H3300" s="21">
        <v>1303.17</v>
      </c>
    </row>
    <row r="3301" spans="1:8" customFormat="1" x14ac:dyDescent="0.25">
      <c r="A3301" t="str">
        <f>"535287"</f>
        <v>535287</v>
      </c>
      <c r="B3301" t="s">
        <v>1094</v>
      </c>
      <c r="C3301" t="s">
        <v>156</v>
      </c>
      <c r="D3301" s="21" t="s">
        <v>34</v>
      </c>
      <c r="E3301" s="21" t="s">
        <v>1089</v>
      </c>
      <c r="F3301">
        <v>12530022</v>
      </c>
      <c r="G3301" t="s">
        <v>914</v>
      </c>
      <c r="H3301" s="21">
        <v>1303.17</v>
      </c>
    </row>
    <row r="3302" spans="1:8" customFormat="1" x14ac:dyDescent="0.25">
      <c r="A3302" t="str">
        <f>"7513684"</f>
        <v>7513684</v>
      </c>
      <c r="B3302" t="s">
        <v>4102</v>
      </c>
      <c r="C3302" t="s">
        <v>82</v>
      </c>
      <c r="D3302" s="21" t="s">
        <v>34</v>
      </c>
      <c r="E3302" s="21" t="s">
        <v>35</v>
      </c>
      <c r="F3302">
        <v>8751177</v>
      </c>
      <c r="G3302" t="s">
        <v>396</v>
      </c>
      <c r="H3302" s="21">
        <v>1303.05</v>
      </c>
    </row>
    <row r="3303" spans="1:8" customFormat="1" x14ac:dyDescent="0.25">
      <c r="A3303" t="str">
        <f>"675304"</f>
        <v>675304</v>
      </c>
      <c r="B3303" t="s">
        <v>146</v>
      </c>
      <c r="C3303" t="s">
        <v>469</v>
      </c>
      <c r="D3303" s="21" t="s">
        <v>34</v>
      </c>
      <c r="E3303" s="21" t="s">
        <v>35</v>
      </c>
      <c r="F3303">
        <v>6670045</v>
      </c>
      <c r="G3303" t="s">
        <v>707</v>
      </c>
      <c r="H3303" s="21">
        <v>1302.93</v>
      </c>
    </row>
    <row r="3304" spans="1:8" customFormat="1" x14ac:dyDescent="0.25">
      <c r="A3304" t="str">
        <f>"564186"</f>
        <v>564186</v>
      </c>
      <c r="B3304" t="s">
        <v>697</v>
      </c>
      <c r="C3304" t="s">
        <v>305</v>
      </c>
      <c r="D3304" s="21" t="s">
        <v>34</v>
      </c>
      <c r="E3304" s="21" t="s">
        <v>35</v>
      </c>
      <c r="F3304">
        <v>3560036</v>
      </c>
      <c r="G3304" t="s">
        <v>910</v>
      </c>
      <c r="H3304" s="21">
        <v>1302.8</v>
      </c>
    </row>
    <row r="3305" spans="1:8" customFormat="1" x14ac:dyDescent="0.25">
      <c r="A3305" t="str">
        <f>"605246"</f>
        <v>605246</v>
      </c>
      <c r="B3305" t="s">
        <v>26782</v>
      </c>
      <c r="C3305" t="s">
        <v>198</v>
      </c>
      <c r="D3305" s="21" t="s">
        <v>34</v>
      </c>
      <c r="E3305" s="21" t="s">
        <v>71</v>
      </c>
      <c r="F3305">
        <v>7600040</v>
      </c>
      <c r="G3305" t="s">
        <v>6757</v>
      </c>
      <c r="H3305" s="21">
        <v>1302.67</v>
      </c>
    </row>
    <row r="3306" spans="1:8" customFormat="1" x14ac:dyDescent="0.25">
      <c r="A3306" t="str">
        <f>"7840637"</f>
        <v>7840637</v>
      </c>
      <c r="B3306" t="s">
        <v>4778</v>
      </c>
      <c r="C3306" t="s">
        <v>249</v>
      </c>
      <c r="D3306" s="21" t="s">
        <v>34</v>
      </c>
      <c r="E3306" s="21" t="s">
        <v>71</v>
      </c>
      <c r="F3306">
        <v>8780905</v>
      </c>
      <c r="G3306" t="s">
        <v>1267</v>
      </c>
      <c r="H3306" s="21">
        <v>1302.67</v>
      </c>
    </row>
    <row r="3307" spans="1:8" customFormat="1" x14ac:dyDescent="0.25">
      <c r="A3307" t="str">
        <f>"5926120"</f>
        <v>5926120</v>
      </c>
      <c r="B3307" t="s">
        <v>1755</v>
      </c>
      <c r="C3307" t="s">
        <v>169</v>
      </c>
      <c r="D3307" s="21" t="s">
        <v>34</v>
      </c>
      <c r="E3307" s="21" t="s">
        <v>35</v>
      </c>
      <c r="F3307">
        <v>7590171</v>
      </c>
      <c r="G3307" t="s">
        <v>4159</v>
      </c>
      <c r="H3307" s="21">
        <v>1302.67</v>
      </c>
    </row>
    <row r="3308" spans="1:8" customFormat="1" x14ac:dyDescent="0.25">
      <c r="A3308" t="str">
        <f>"272246"</f>
        <v>272246</v>
      </c>
      <c r="B3308" t="s">
        <v>4357</v>
      </c>
      <c r="C3308" t="s">
        <v>462</v>
      </c>
      <c r="D3308" s="21" t="s">
        <v>34</v>
      </c>
      <c r="E3308" s="21" t="s">
        <v>71</v>
      </c>
      <c r="F3308">
        <v>9270151</v>
      </c>
      <c r="G3308" t="s">
        <v>626</v>
      </c>
      <c r="H3308" s="21">
        <v>1302.67</v>
      </c>
    </row>
    <row r="3309" spans="1:8" customFormat="1" x14ac:dyDescent="0.25">
      <c r="A3309" t="str">
        <f>"706432"</f>
        <v>706432</v>
      </c>
      <c r="B3309" t="s">
        <v>14311</v>
      </c>
      <c r="C3309" t="s">
        <v>130</v>
      </c>
      <c r="D3309" s="21" t="s">
        <v>34</v>
      </c>
      <c r="E3309" s="21" t="s">
        <v>71</v>
      </c>
      <c r="F3309">
        <v>2250070</v>
      </c>
      <c r="G3309" t="s">
        <v>3923</v>
      </c>
      <c r="H3309" s="21">
        <v>1302.17</v>
      </c>
    </row>
    <row r="3310" spans="1:8" customFormat="1" x14ac:dyDescent="0.25">
      <c r="A3310" t="str">
        <f>"56733"</f>
        <v>56733</v>
      </c>
      <c r="B3310" t="s">
        <v>26783</v>
      </c>
      <c r="C3310" t="s">
        <v>37</v>
      </c>
      <c r="D3310" s="21" t="s">
        <v>34</v>
      </c>
      <c r="E3310" s="21" t="s">
        <v>71</v>
      </c>
      <c r="F3310">
        <v>3290274</v>
      </c>
      <c r="G3310" t="s">
        <v>11751</v>
      </c>
      <c r="H3310" s="21">
        <v>1302.17</v>
      </c>
    </row>
    <row r="3311" spans="1:8" customFormat="1" x14ac:dyDescent="0.25">
      <c r="A3311" t="str">
        <f>"5613265"</f>
        <v>5613265</v>
      </c>
      <c r="B3311" t="s">
        <v>4330</v>
      </c>
      <c r="C3311" t="s">
        <v>781</v>
      </c>
      <c r="D3311" s="21" t="s">
        <v>34</v>
      </c>
      <c r="E3311" s="21" t="s">
        <v>35</v>
      </c>
      <c r="F3311">
        <v>3560005</v>
      </c>
      <c r="G3311" t="s">
        <v>2101</v>
      </c>
      <c r="H3311" s="21">
        <v>1302</v>
      </c>
    </row>
    <row r="3312" spans="1:8" customFormat="1" x14ac:dyDescent="0.25">
      <c r="A3312" t="str">
        <f>"7632650"</f>
        <v>7632650</v>
      </c>
      <c r="B3312" t="s">
        <v>4342</v>
      </c>
      <c r="C3312" t="s">
        <v>109</v>
      </c>
      <c r="D3312" s="21" t="s">
        <v>34</v>
      </c>
      <c r="E3312" s="21" t="s">
        <v>35</v>
      </c>
      <c r="F3312">
        <v>9760107</v>
      </c>
      <c r="G3312" t="s">
        <v>122</v>
      </c>
      <c r="H3312" s="21">
        <v>1302</v>
      </c>
    </row>
    <row r="3313" spans="1:8" customFormat="1" x14ac:dyDescent="0.25">
      <c r="A3313" t="str">
        <f>"564867"</f>
        <v>564867</v>
      </c>
      <c r="B3313" t="s">
        <v>4451</v>
      </c>
      <c r="C3313" t="s">
        <v>33</v>
      </c>
      <c r="D3313" s="21" t="s">
        <v>34</v>
      </c>
      <c r="E3313" s="21" t="s">
        <v>35</v>
      </c>
      <c r="F3313">
        <v>3290019</v>
      </c>
      <c r="G3313" t="s">
        <v>4452</v>
      </c>
      <c r="H3313" s="21">
        <v>1301.92</v>
      </c>
    </row>
    <row r="3314" spans="1:8" customFormat="1" x14ac:dyDescent="0.25">
      <c r="A3314" t="str">
        <f>"8527358"</f>
        <v>8527358</v>
      </c>
      <c r="B3314" t="s">
        <v>5638</v>
      </c>
      <c r="C3314" t="s">
        <v>90</v>
      </c>
      <c r="D3314" s="21" t="s">
        <v>34</v>
      </c>
      <c r="E3314" s="21" t="s">
        <v>35</v>
      </c>
      <c r="F3314">
        <v>12850078</v>
      </c>
      <c r="G3314" t="s">
        <v>5639</v>
      </c>
      <c r="H3314" s="21">
        <v>1301.8</v>
      </c>
    </row>
    <row r="3315" spans="1:8" customFormat="1" x14ac:dyDescent="0.25">
      <c r="A3315" t="str">
        <f>"952260"</f>
        <v>952260</v>
      </c>
      <c r="B3315" t="s">
        <v>3908</v>
      </c>
      <c r="C3315" t="s">
        <v>87</v>
      </c>
      <c r="D3315" s="21" t="s">
        <v>34</v>
      </c>
      <c r="E3315" s="21" t="s">
        <v>35</v>
      </c>
      <c r="F3315">
        <v>8951451</v>
      </c>
      <c r="G3315" t="s">
        <v>3909</v>
      </c>
      <c r="H3315" s="21">
        <v>1301.68</v>
      </c>
    </row>
    <row r="3316" spans="1:8" customFormat="1" x14ac:dyDescent="0.25">
      <c r="A3316" t="str">
        <f>"671472"</f>
        <v>671472</v>
      </c>
      <c r="B3316" t="s">
        <v>12830</v>
      </c>
      <c r="C3316" t="s">
        <v>121</v>
      </c>
      <c r="D3316" s="21" t="s">
        <v>34</v>
      </c>
      <c r="E3316" s="21" t="s">
        <v>35</v>
      </c>
      <c r="F3316">
        <v>6670092</v>
      </c>
      <c r="G3316" t="s">
        <v>10845</v>
      </c>
      <c r="H3316" s="21">
        <v>1301.67</v>
      </c>
    </row>
    <row r="3317" spans="1:8" customFormat="1" x14ac:dyDescent="0.25">
      <c r="A3317" t="str">
        <f>"2910332"</f>
        <v>2910332</v>
      </c>
      <c r="B3317" t="s">
        <v>3896</v>
      </c>
      <c r="C3317" t="s">
        <v>209</v>
      </c>
      <c r="D3317" s="21" t="s">
        <v>34</v>
      </c>
      <c r="E3317" s="21" t="s">
        <v>35</v>
      </c>
      <c r="F3317">
        <v>3290044</v>
      </c>
      <c r="G3317" t="s">
        <v>3897</v>
      </c>
      <c r="H3317" s="21">
        <v>1301.67</v>
      </c>
    </row>
    <row r="3318" spans="1:8" customFormat="1" x14ac:dyDescent="0.25">
      <c r="A3318" t="str">
        <f>"67956"</f>
        <v>67956</v>
      </c>
      <c r="B3318" t="s">
        <v>3973</v>
      </c>
      <c r="C3318" t="s">
        <v>33</v>
      </c>
      <c r="D3318" s="21" t="s">
        <v>34</v>
      </c>
      <c r="E3318" s="21" t="s">
        <v>71</v>
      </c>
      <c r="F3318">
        <v>6670195</v>
      </c>
      <c r="G3318" t="s">
        <v>3974</v>
      </c>
      <c r="H3318" s="21">
        <v>1301.67</v>
      </c>
    </row>
    <row r="3319" spans="1:8" customFormat="1" x14ac:dyDescent="0.25">
      <c r="A3319" t="str">
        <f>"49966"</f>
        <v>49966</v>
      </c>
      <c r="B3319" t="s">
        <v>1661</v>
      </c>
      <c r="C3319" t="s">
        <v>13475</v>
      </c>
      <c r="D3319" s="21" t="s">
        <v>34</v>
      </c>
      <c r="E3319" s="21" t="s">
        <v>254</v>
      </c>
      <c r="F3319">
        <v>12490070</v>
      </c>
      <c r="G3319" t="s">
        <v>5091</v>
      </c>
      <c r="H3319" s="21">
        <v>1301.67</v>
      </c>
    </row>
    <row r="3320" spans="1:8" customFormat="1" x14ac:dyDescent="0.25">
      <c r="A3320" t="str">
        <f>"638587"</f>
        <v>638587</v>
      </c>
      <c r="B3320" t="s">
        <v>26784</v>
      </c>
      <c r="C3320" t="s">
        <v>4751</v>
      </c>
      <c r="D3320" s="21" t="s">
        <v>34</v>
      </c>
      <c r="E3320" s="21" t="s">
        <v>71</v>
      </c>
      <c r="F3320">
        <v>1630054</v>
      </c>
      <c r="G3320" t="s">
        <v>2512</v>
      </c>
      <c r="H3320" s="21">
        <v>1301.67</v>
      </c>
    </row>
    <row r="3321" spans="1:8" customFormat="1" x14ac:dyDescent="0.25">
      <c r="A3321" t="str">
        <f>"723213"</f>
        <v>723213</v>
      </c>
      <c r="B3321" t="s">
        <v>3957</v>
      </c>
      <c r="C3321" t="s">
        <v>87</v>
      </c>
      <c r="D3321" s="21" t="s">
        <v>34</v>
      </c>
      <c r="E3321" s="21" t="s">
        <v>71</v>
      </c>
      <c r="F3321">
        <v>12720070</v>
      </c>
      <c r="G3321" t="s">
        <v>2348</v>
      </c>
      <c r="H3321" s="21">
        <v>1301.67</v>
      </c>
    </row>
    <row r="3322" spans="1:8" customFormat="1" x14ac:dyDescent="0.25">
      <c r="A3322" t="str">
        <f>"8518430"</f>
        <v>8518430</v>
      </c>
      <c r="B3322" t="s">
        <v>3958</v>
      </c>
      <c r="C3322" t="s">
        <v>147</v>
      </c>
      <c r="D3322" s="21" t="s">
        <v>34</v>
      </c>
      <c r="E3322" s="21" t="s">
        <v>35</v>
      </c>
      <c r="F3322">
        <v>12851016</v>
      </c>
      <c r="G3322" t="s">
        <v>1862</v>
      </c>
      <c r="H3322" s="21">
        <v>1301.67</v>
      </c>
    </row>
    <row r="3323" spans="1:8" customFormat="1" x14ac:dyDescent="0.25">
      <c r="A3323" t="str">
        <f>"873051"</f>
        <v>873051</v>
      </c>
      <c r="B3323" t="s">
        <v>3995</v>
      </c>
      <c r="C3323" t="s">
        <v>269</v>
      </c>
      <c r="D3323" s="21" t="s">
        <v>34</v>
      </c>
      <c r="E3323" s="21" t="s">
        <v>35</v>
      </c>
      <c r="F3323">
        <v>10870117</v>
      </c>
      <c r="G3323" t="s">
        <v>3139</v>
      </c>
      <c r="H3323" s="21">
        <v>1301.42</v>
      </c>
    </row>
    <row r="3324" spans="1:8" customFormat="1" x14ac:dyDescent="0.25">
      <c r="A3324" t="str">
        <f>"17142"</f>
        <v>17142</v>
      </c>
      <c r="B3324" t="s">
        <v>4305</v>
      </c>
      <c r="C3324" t="s">
        <v>40</v>
      </c>
      <c r="D3324" s="21" t="s">
        <v>34</v>
      </c>
      <c r="E3324" s="21" t="s">
        <v>71</v>
      </c>
      <c r="F3324">
        <v>10170009</v>
      </c>
      <c r="G3324" t="s">
        <v>3810</v>
      </c>
      <c r="H3324" s="21">
        <v>1301.42</v>
      </c>
    </row>
    <row r="3325" spans="1:8" customFormat="1" x14ac:dyDescent="0.25">
      <c r="A3325" t="str">
        <f>"7510829"</f>
        <v>7510829</v>
      </c>
      <c r="B3325" t="s">
        <v>5269</v>
      </c>
      <c r="C3325" t="s">
        <v>169</v>
      </c>
      <c r="D3325" s="21" t="s">
        <v>34</v>
      </c>
      <c r="E3325" s="21" t="s">
        <v>71</v>
      </c>
      <c r="F3325">
        <v>12440004</v>
      </c>
      <c r="G3325" t="s">
        <v>26530</v>
      </c>
      <c r="H3325" s="21">
        <v>1301.42</v>
      </c>
    </row>
    <row r="3326" spans="1:8" customFormat="1" x14ac:dyDescent="0.25">
      <c r="A3326" t="str">
        <f>"955469"</f>
        <v>955469</v>
      </c>
      <c r="B3326" t="s">
        <v>2557</v>
      </c>
      <c r="C3326" t="s">
        <v>198</v>
      </c>
      <c r="D3326" s="21" t="s">
        <v>34</v>
      </c>
      <c r="E3326" s="21" t="s">
        <v>71</v>
      </c>
      <c r="F3326">
        <v>8950553</v>
      </c>
      <c r="G3326" t="s">
        <v>1058</v>
      </c>
      <c r="H3326" s="21">
        <v>1301.42</v>
      </c>
    </row>
    <row r="3327" spans="1:8" customFormat="1" x14ac:dyDescent="0.25">
      <c r="A3327" t="str">
        <f>"638998"</f>
        <v>638998</v>
      </c>
      <c r="B3327" t="s">
        <v>4311</v>
      </c>
      <c r="C3327" t="s">
        <v>209</v>
      </c>
      <c r="D3327" s="21" t="s">
        <v>34</v>
      </c>
      <c r="E3327" s="21" t="s">
        <v>35</v>
      </c>
      <c r="F3327">
        <v>1630123</v>
      </c>
      <c r="G3327" t="s">
        <v>1036</v>
      </c>
      <c r="H3327" s="21">
        <v>1301.18</v>
      </c>
    </row>
    <row r="3328" spans="1:8" customFormat="1" x14ac:dyDescent="0.25">
      <c r="A3328" t="str">
        <f>"9249619"</f>
        <v>9249619</v>
      </c>
      <c r="B3328" t="s">
        <v>5579</v>
      </c>
      <c r="C3328" t="s">
        <v>147</v>
      </c>
      <c r="D3328" s="21" t="s">
        <v>34</v>
      </c>
      <c r="E3328" s="21" t="s">
        <v>35</v>
      </c>
      <c r="F3328">
        <v>8781462</v>
      </c>
      <c r="G3328" t="s">
        <v>5796</v>
      </c>
      <c r="H3328" s="21">
        <v>1301.17</v>
      </c>
    </row>
    <row r="3329" spans="1:8" customFormat="1" x14ac:dyDescent="0.25">
      <c r="A3329" t="str">
        <f>"08162"</f>
        <v>08162</v>
      </c>
      <c r="B3329" t="s">
        <v>4631</v>
      </c>
      <c r="C3329" t="s">
        <v>1605</v>
      </c>
      <c r="D3329" s="21" t="s">
        <v>34</v>
      </c>
      <c r="E3329" s="21" t="s">
        <v>254</v>
      </c>
      <c r="F3329">
        <v>6080047</v>
      </c>
      <c r="G3329" t="s">
        <v>4632</v>
      </c>
      <c r="H3329" s="21">
        <v>1301.17</v>
      </c>
    </row>
    <row r="3330" spans="1:8" customFormat="1" x14ac:dyDescent="0.25">
      <c r="A3330" t="str">
        <f>"608731"</f>
        <v>608731</v>
      </c>
      <c r="B3330" t="s">
        <v>2353</v>
      </c>
      <c r="C3330" t="s">
        <v>1812</v>
      </c>
      <c r="D3330" s="21" t="s">
        <v>34</v>
      </c>
      <c r="E3330" s="21" t="s">
        <v>35</v>
      </c>
      <c r="F3330">
        <v>7600171</v>
      </c>
      <c r="G3330" t="s">
        <v>4705</v>
      </c>
      <c r="H3330" s="21">
        <v>1301.17</v>
      </c>
    </row>
    <row r="3331" spans="1:8" customFormat="1" x14ac:dyDescent="0.25">
      <c r="A3331" t="str">
        <f>"76982"</f>
        <v>76982</v>
      </c>
      <c r="B3331" t="s">
        <v>3532</v>
      </c>
      <c r="C3331" t="s">
        <v>544</v>
      </c>
      <c r="D3331" s="21" t="s">
        <v>34</v>
      </c>
      <c r="E3331" s="21" t="s">
        <v>35</v>
      </c>
      <c r="F3331">
        <v>9760014</v>
      </c>
      <c r="G3331" t="s">
        <v>1017</v>
      </c>
      <c r="H3331" s="21">
        <v>1301.17</v>
      </c>
    </row>
    <row r="3332" spans="1:8" customFormat="1" x14ac:dyDescent="0.25">
      <c r="A3332" t="str">
        <f>"5941981"</f>
        <v>5941981</v>
      </c>
      <c r="B3332" t="s">
        <v>4379</v>
      </c>
      <c r="C3332" t="s">
        <v>169</v>
      </c>
      <c r="D3332" s="21" t="s">
        <v>34</v>
      </c>
      <c r="E3332" s="21" t="s">
        <v>35</v>
      </c>
      <c r="F3332">
        <v>7590231</v>
      </c>
      <c r="G3332" t="s">
        <v>207</v>
      </c>
      <c r="H3332" s="21">
        <v>1301.17</v>
      </c>
    </row>
    <row r="3333" spans="1:8" customFormat="1" x14ac:dyDescent="0.25">
      <c r="A3333" t="str">
        <f>"1411401"</f>
        <v>1411401</v>
      </c>
      <c r="B3333" t="s">
        <v>4097</v>
      </c>
      <c r="C3333" t="s">
        <v>174</v>
      </c>
      <c r="D3333" s="21" t="s">
        <v>34</v>
      </c>
      <c r="E3333" s="21" t="s">
        <v>35</v>
      </c>
      <c r="F3333">
        <v>3350009</v>
      </c>
      <c r="G3333" t="s">
        <v>1823</v>
      </c>
      <c r="H3333" s="21">
        <v>1301.17</v>
      </c>
    </row>
    <row r="3334" spans="1:8" customFormat="1" x14ac:dyDescent="0.25">
      <c r="A3334" t="str">
        <f>"733103"</f>
        <v>733103</v>
      </c>
      <c r="B3334" t="s">
        <v>26785</v>
      </c>
      <c r="C3334" t="s">
        <v>171</v>
      </c>
      <c r="D3334" s="21" t="s">
        <v>34</v>
      </c>
      <c r="E3334" s="21" t="s">
        <v>35</v>
      </c>
      <c r="F3334">
        <v>1730077</v>
      </c>
      <c r="G3334" t="s">
        <v>1517</v>
      </c>
      <c r="H3334" s="21">
        <v>1301.17</v>
      </c>
    </row>
    <row r="3335" spans="1:8" customFormat="1" x14ac:dyDescent="0.25">
      <c r="A3335" t="str">
        <f>"591518"</f>
        <v>591518</v>
      </c>
      <c r="B3335" t="s">
        <v>26786</v>
      </c>
      <c r="C3335" t="s">
        <v>9895</v>
      </c>
      <c r="D3335" s="21" t="s">
        <v>34</v>
      </c>
      <c r="E3335" s="21" t="s">
        <v>35</v>
      </c>
      <c r="F3335">
        <v>7590105</v>
      </c>
      <c r="G3335" t="s">
        <v>887</v>
      </c>
      <c r="H3335" s="21">
        <v>1301.05</v>
      </c>
    </row>
    <row r="3336" spans="1:8" customFormat="1" x14ac:dyDescent="0.25">
      <c r="A3336" t="str">
        <f>"5319974"</f>
        <v>5319974</v>
      </c>
      <c r="B3336" t="s">
        <v>4352</v>
      </c>
      <c r="C3336" t="s">
        <v>269</v>
      </c>
      <c r="D3336" s="21" t="s">
        <v>34</v>
      </c>
      <c r="E3336" s="21" t="s">
        <v>35</v>
      </c>
      <c r="F3336">
        <v>12530064</v>
      </c>
      <c r="G3336" t="s">
        <v>3699</v>
      </c>
      <c r="H3336" s="21">
        <v>1300.68</v>
      </c>
    </row>
    <row r="3337" spans="1:8" customFormat="1" x14ac:dyDescent="0.25">
      <c r="A3337" t="str">
        <f>"6912219"</f>
        <v>6912219</v>
      </c>
      <c r="B3337" t="s">
        <v>11687</v>
      </c>
      <c r="C3337" t="s">
        <v>26787</v>
      </c>
      <c r="D3337" s="21" t="s">
        <v>34</v>
      </c>
      <c r="E3337" s="21" t="s">
        <v>71</v>
      </c>
      <c r="F3337">
        <v>1690058</v>
      </c>
      <c r="G3337" t="s">
        <v>1644</v>
      </c>
      <c r="H3337" s="21">
        <v>1300.67</v>
      </c>
    </row>
    <row r="3338" spans="1:8" customFormat="1" x14ac:dyDescent="0.25">
      <c r="A3338" t="str">
        <f>"9219088"</f>
        <v>9219088</v>
      </c>
      <c r="B3338" t="s">
        <v>3962</v>
      </c>
      <c r="C3338" t="s">
        <v>239</v>
      </c>
      <c r="D3338" s="21" t="s">
        <v>34</v>
      </c>
      <c r="E3338" s="21" t="s">
        <v>35</v>
      </c>
      <c r="F3338">
        <v>12720104</v>
      </c>
      <c r="G3338" t="s">
        <v>224</v>
      </c>
      <c r="H3338" s="21">
        <v>1300.67</v>
      </c>
    </row>
    <row r="3339" spans="1:8" customFormat="1" x14ac:dyDescent="0.25">
      <c r="A3339" t="str">
        <f>"61905"</f>
        <v>61905</v>
      </c>
      <c r="B3339" t="s">
        <v>6478</v>
      </c>
      <c r="C3339" t="s">
        <v>169</v>
      </c>
      <c r="D3339" s="21" t="s">
        <v>34</v>
      </c>
      <c r="E3339" s="21" t="s">
        <v>35</v>
      </c>
      <c r="F3339">
        <v>9610087</v>
      </c>
      <c r="G3339" t="s">
        <v>2661</v>
      </c>
      <c r="H3339" s="21">
        <v>1300.67</v>
      </c>
    </row>
    <row r="3340" spans="1:8" customFormat="1" x14ac:dyDescent="0.25">
      <c r="A3340" t="str">
        <f>"675564"</f>
        <v>675564</v>
      </c>
      <c r="B3340" t="s">
        <v>4993</v>
      </c>
      <c r="C3340" t="s">
        <v>109</v>
      </c>
      <c r="D3340" s="21" t="s">
        <v>34</v>
      </c>
      <c r="E3340" s="21" t="s">
        <v>35</v>
      </c>
      <c r="F3340">
        <v>6670257</v>
      </c>
      <c r="G3340" t="s">
        <v>26708</v>
      </c>
      <c r="H3340" s="21">
        <v>1300.67</v>
      </c>
    </row>
    <row r="3341" spans="1:8" customFormat="1" x14ac:dyDescent="0.25">
      <c r="A3341" t="str">
        <f>"4416985"</f>
        <v>4416985</v>
      </c>
      <c r="B3341" t="s">
        <v>4187</v>
      </c>
      <c r="C3341" t="s">
        <v>453</v>
      </c>
      <c r="D3341" s="21" t="s">
        <v>34</v>
      </c>
      <c r="E3341" s="21" t="s">
        <v>254</v>
      </c>
      <c r="F3341">
        <v>12850170</v>
      </c>
      <c r="G3341" t="s">
        <v>3349</v>
      </c>
      <c r="H3341" s="21">
        <v>1300.67</v>
      </c>
    </row>
    <row r="3342" spans="1:8" customFormat="1" x14ac:dyDescent="0.25">
      <c r="A3342" t="str">
        <f>"868028"</f>
        <v>868028</v>
      </c>
      <c r="B3342" t="s">
        <v>4273</v>
      </c>
      <c r="C3342" t="s">
        <v>65</v>
      </c>
      <c r="D3342" s="21" t="s">
        <v>34</v>
      </c>
      <c r="E3342" s="21" t="s">
        <v>35</v>
      </c>
      <c r="F3342">
        <v>10330077</v>
      </c>
      <c r="G3342" t="s">
        <v>4274</v>
      </c>
      <c r="H3342" s="21">
        <v>1300.67</v>
      </c>
    </row>
    <row r="3343" spans="1:8" customFormat="1" x14ac:dyDescent="0.25">
      <c r="A3343" t="str">
        <f>"9410822"</f>
        <v>9410822</v>
      </c>
      <c r="B3343" t="s">
        <v>4064</v>
      </c>
      <c r="C3343" t="s">
        <v>3456</v>
      </c>
      <c r="D3343" s="21" t="s">
        <v>34</v>
      </c>
      <c r="E3343" s="21" t="s">
        <v>254</v>
      </c>
      <c r="F3343">
        <v>8940926</v>
      </c>
      <c r="G3343" t="s">
        <v>4065</v>
      </c>
      <c r="H3343" s="21">
        <v>1300.67</v>
      </c>
    </row>
    <row r="3344" spans="1:8" customFormat="1" x14ac:dyDescent="0.25">
      <c r="A3344" t="str">
        <f>"6010513"</f>
        <v>6010513</v>
      </c>
      <c r="B3344" t="s">
        <v>4380</v>
      </c>
      <c r="C3344" t="s">
        <v>82</v>
      </c>
      <c r="D3344" s="21" t="s">
        <v>34</v>
      </c>
      <c r="E3344" s="21" t="s">
        <v>35</v>
      </c>
      <c r="F3344">
        <v>7600044</v>
      </c>
      <c r="G3344" t="s">
        <v>3411</v>
      </c>
      <c r="H3344" s="21">
        <v>1300.67</v>
      </c>
    </row>
    <row r="3345" spans="1:8" customFormat="1" x14ac:dyDescent="0.25">
      <c r="A3345" t="str">
        <f>"9224805"</f>
        <v>9224805</v>
      </c>
      <c r="B3345" t="s">
        <v>26788</v>
      </c>
      <c r="C3345" t="s">
        <v>415</v>
      </c>
      <c r="D3345" s="21" t="s">
        <v>34</v>
      </c>
      <c r="E3345" s="21" t="s">
        <v>71</v>
      </c>
      <c r="F3345">
        <v>8920025</v>
      </c>
      <c r="G3345" t="s">
        <v>159</v>
      </c>
      <c r="H3345" s="21">
        <v>1300.67</v>
      </c>
    </row>
    <row r="3346" spans="1:8" customFormat="1" x14ac:dyDescent="0.25">
      <c r="A3346" t="str">
        <f>"5427777"</f>
        <v>5427777</v>
      </c>
      <c r="B3346" t="s">
        <v>6487</v>
      </c>
      <c r="C3346" t="s">
        <v>399</v>
      </c>
      <c r="D3346" s="21" t="s">
        <v>34</v>
      </c>
      <c r="E3346" s="21" t="s">
        <v>35</v>
      </c>
      <c r="F3346">
        <v>6540088</v>
      </c>
      <c r="G3346" t="s">
        <v>2108</v>
      </c>
      <c r="H3346" s="21">
        <v>1300.55</v>
      </c>
    </row>
    <row r="3347" spans="1:8" customFormat="1" x14ac:dyDescent="0.25">
      <c r="A3347" t="str">
        <f>"891007"</f>
        <v>891007</v>
      </c>
      <c r="B3347" t="s">
        <v>4212</v>
      </c>
      <c r="C3347" t="s">
        <v>2232</v>
      </c>
      <c r="D3347" s="21" t="s">
        <v>34</v>
      </c>
      <c r="E3347" s="21" t="s">
        <v>35</v>
      </c>
      <c r="F3347">
        <v>2890010</v>
      </c>
      <c r="G3347" t="s">
        <v>3790</v>
      </c>
      <c r="H3347" s="21">
        <v>1300.3</v>
      </c>
    </row>
    <row r="3348" spans="1:8" customFormat="1" x14ac:dyDescent="0.25">
      <c r="A3348" t="str">
        <f>"502844"</f>
        <v>502844</v>
      </c>
      <c r="B3348" t="s">
        <v>4020</v>
      </c>
      <c r="C3348" t="s">
        <v>249</v>
      </c>
      <c r="D3348" s="21" t="s">
        <v>34</v>
      </c>
      <c r="E3348" s="21" t="s">
        <v>71</v>
      </c>
      <c r="F3348">
        <v>9500013</v>
      </c>
      <c r="G3348" t="s">
        <v>992</v>
      </c>
      <c r="H3348" s="21">
        <v>1300.17</v>
      </c>
    </row>
    <row r="3349" spans="1:8" customFormat="1" x14ac:dyDescent="0.25">
      <c r="A3349" t="str">
        <f>"6213917"</f>
        <v>6213917</v>
      </c>
      <c r="B3349" t="s">
        <v>5025</v>
      </c>
      <c r="C3349" t="s">
        <v>90</v>
      </c>
      <c r="D3349" s="21" t="s">
        <v>34</v>
      </c>
      <c r="E3349" s="21" t="s">
        <v>35</v>
      </c>
      <c r="F3349">
        <v>7590171</v>
      </c>
      <c r="G3349" t="s">
        <v>4159</v>
      </c>
      <c r="H3349" s="21">
        <v>1300.17</v>
      </c>
    </row>
    <row r="3350" spans="1:8" customFormat="1" x14ac:dyDescent="0.25">
      <c r="A3350" t="str">
        <f>"7620669"</f>
        <v>7620669</v>
      </c>
      <c r="B3350" t="s">
        <v>1016</v>
      </c>
      <c r="C3350" t="s">
        <v>33</v>
      </c>
      <c r="D3350" s="21" t="s">
        <v>34</v>
      </c>
      <c r="E3350" s="21" t="s">
        <v>71</v>
      </c>
      <c r="F3350">
        <v>9760270</v>
      </c>
      <c r="G3350" t="s">
        <v>4167</v>
      </c>
      <c r="H3350" s="21">
        <v>1300.17</v>
      </c>
    </row>
    <row r="3351" spans="1:8" customFormat="1" x14ac:dyDescent="0.25">
      <c r="A3351" t="str">
        <f>"216321"</f>
        <v>216321</v>
      </c>
      <c r="B3351" t="s">
        <v>3943</v>
      </c>
      <c r="C3351" t="s">
        <v>87</v>
      </c>
      <c r="D3351" s="21" t="s">
        <v>34</v>
      </c>
      <c r="E3351" s="21" t="s">
        <v>35</v>
      </c>
      <c r="F3351">
        <v>1260010</v>
      </c>
      <c r="G3351" t="s">
        <v>3944</v>
      </c>
      <c r="H3351" s="21">
        <v>1300.17</v>
      </c>
    </row>
    <row r="3352" spans="1:8" customFormat="1" x14ac:dyDescent="0.25">
      <c r="A3352" t="str">
        <f>"613265"</f>
        <v>613265</v>
      </c>
      <c r="B3352" t="s">
        <v>3963</v>
      </c>
      <c r="C3352" t="s">
        <v>3964</v>
      </c>
      <c r="D3352" s="21" t="s">
        <v>34</v>
      </c>
      <c r="E3352" s="21" t="s">
        <v>35</v>
      </c>
      <c r="F3352">
        <v>9610039</v>
      </c>
      <c r="G3352" t="s">
        <v>3965</v>
      </c>
      <c r="H3352" s="21">
        <v>1300.17</v>
      </c>
    </row>
    <row r="3353" spans="1:8" customFormat="1" x14ac:dyDescent="0.25">
      <c r="A3353" t="str">
        <f>"8518259"</f>
        <v>8518259</v>
      </c>
      <c r="B3353" t="s">
        <v>4224</v>
      </c>
      <c r="C3353" t="s">
        <v>249</v>
      </c>
      <c r="D3353" s="21" t="s">
        <v>34</v>
      </c>
      <c r="E3353" s="21" t="s">
        <v>35</v>
      </c>
      <c r="F3353">
        <v>12850016</v>
      </c>
      <c r="G3353" t="s">
        <v>26554</v>
      </c>
      <c r="H3353" s="21">
        <v>1300.17</v>
      </c>
    </row>
    <row r="3354" spans="1:8" customFormat="1" x14ac:dyDescent="0.25">
      <c r="A3354" t="str">
        <f>"17558"</f>
        <v>17558</v>
      </c>
      <c r="B3354" t="s">
        <v>4426</v>
      </c>
      <c r="C3354" t="s">
        <v>202</v>
      </c>
      <c r="D3354" s="21" t="s">
        <v>34</v>
      </c>
      <c r="E3354" s="21" t="s">
        <v>254</v>
      </c>
      <c r="F3354">
        <v>10170028</v>
      </c>
      <c r="G3354" t="s">
        <v>649</v>
      </c>
      <c r="H3354" s="21">
        <v>1300.17</v>
      </c>
    </row>
    <row r="3355" spans="1:8" customFormat="1" x14ac:dyDescent="0.25">
      <c r="A3355" t="str">
        <f>"5925671"</f>
        <v>5925671</v>
      </c>
      <c r="B3355" t="s">
        <v>384</v>
      </c>
      <c r="C3355" t="s">
        <v>2520</v>
      </c>
      <c r="D3355" s="21" t="s">
        <v>34</v>
      </c>
      <c r="E3355" s="21" t="s">
        <v>1089</v>
      </c>
      <c r="F3355">
        <v>7590231</v>
      </c>
      <c r="G3355" t="s">
        <v>207</v>
      </c>
      <c r="H3355" s="21">
        <v>1300.17</v>
      </c>
    </row>
    <row r="3356" spans="1:8" customFormat="1" x14ac:dyDescent="0.25">
      <c r="A3356" t="str">
        <f>"9726802"</f>
        <v>9726802</v>
      </c>
      <c r="B3356" t="s">
        <v>3664</v>
      </c>
      <c r="C3356" t="s">
        <v>87</v>
      </c>
      <c r="D3356" s="21" t="s">
        <v>34</v>
      </c>
      <c r="E3356" s="21" t="s">
        <v>35</v>
      </c>
      <c r="F3356" t="s">
        <v>3911</v>
      </c>
      <c r="G3356" t="s">
        <v>3912</v>
      </c>
      <c r="H3356" s="21">
        <v>1300.17</v>
      </c>
    </row>
    <row r="3357" spans="1:8" customFormat="1" x14ac:dyDescent="0.25">
      <c r="A3357" t="str">
        <f>"7620776"</f>
        <v>7620776</v>
      </c>
      <c r="B3357" t="s">
        <v>4336</v>
      </c>
      <c r="C3357" t="s">
        <v>233</v>
      </c>
      <c r="D3357" s="21" t="s">
        <v>34</v>
      </c>
      <c r="E3357" s="21" t="s">
        <v>71</v>
      </c>
      <c r="F3357">
        <v>9760291</v>
      </c>
      <c r="G3357" t="s">
        <v>26611</v>
      </c>
      <c r="H3357" s="21">
        <v>1300</v>
      </c>
    </row>
    <row r="3358" spans="1:8" customFormat="1" x14ac:dyDescent="0.25">
      <c r="A3358" t="str">
        <f>"549328"</f>
        <v>549328</v>
      </c>
      <c r="B3358" t="s">
        <v>10638</v>
      </c>
      <c r="C3358" t="s">
        <v>3073</v>
      </c>
      <c r="D3358" s="21" t="s">
        <v>34</v>
      </c>
      <c r="E3358" s="21" t="s">
        <v>254</v>
      </c>
      <c r="F3358">
        <v>6540034</v>
      </c>
      <c r="G3358" t="s">
        <v>2211</v>
      </c>
      <c r="H3358" s="21">
        <v>1299.92</v>
      </c>
    </row>
    <row r="3359" spans="1:8" customFormat="1" x14ac:dyDescent="0.25">
      <c r="A3359" t="str">
        <f>"7821855"</f>
        <v>7821855</v>
      </c>
      <c r="B3359" t="s">
        <v>4657</v>
      </c>
      <c r="C3359" t="s">
        <v>33</v>
      </c>
      <c r="D3359" s="21" t="s">
        <v>34</v>
      </c>
      <c r="E3359" s="21" t="s">
        <v>35</v>
      </c>
      <c r="F3359">
        <v>8780632</v>
      </c>
      <c r="G3359" t="s">
        <v>1571</v>
      </c>
      <c r="H3359" s="21">
        <v>1299.67</v>
      </c>
    </row>
    <row r="3360" spans="1:8" customFormat="1" x14ac:dyDescent="0.25">
      <c r="A3360" t="str">
        <f>"512769"</f>
        <v>512769</v>
      </c>
      <c r="B3360" t="s">
        <v>1576</v>
      </c>
      <c r="C3360" t="s">
        <v>109</v>
      </c>
      <c r="D3360" s="21" t="s">
        <v>34</v>
      </c>
      <c r="E3360" s="21" t="s">
        <v>35</v>
      </c>
      <c r="F3360">
        <v>6510018</v>
      </c>
      <c r="G3360" t="s">
        <v>3055</v>
      </c>
      <c r="H3360" s="21">
        <v>1299.67</v>
      </c>
    </row>
    <row r="3361" spans="1:8" customFormat="1" x14ac:dyDescent="0.25">
      <c r="A3361" t="str">
        <f>"6934239"</f>
        <v>6934239</v>
      </c>
      <c r="B3361" t="s">
        <v>3636</v>
      </c>
      <c r="C3361" t="s">
        <v>288</v>
      </c>
      <c r="D3361" s="21" t="s">
        <v>34</v>
      </c>
      <c r="E3361" s="21" t="s">
        <v>71</v>
      </c>
      <c r="F3361">
        <v>1690218</v>
      </c>
      <c r="G3361" t="s">
        <v>3637</v>
      </c>
      <c r="H3361" s="21">
        <v>1299.67</v>
      </c>
    </row>
    <row r="3362" spans="1:8" customFormat="1" x14ac:dyDescent="0.25">
      <c r="A3362" t="str">
        <f>"63617"</f>
        <v>63617</v>
      </c>
      <c r="B3362" t="s">
        <v>4045</v>
      </c>
      <c r="C3362" t="s">
        <v>124</v>
      </c>
      <c r="D3362" s="21" t="s">
        <v>34</v>
      </c>
      <c r="E3362" s="21" t="s">
        <v>35</v>
      </c>
      <c r="F3362">
        <v>1630320</v>
      </c>
      <c r="G3362" t="s">
        <v>4046</v>
      </c>
      <c r="H3362" s="21">
        <v>1299.67</v>
      </c>
    </row>
    <row r="3363" spans="1:8" customFormat="1" x14ac:dyDescent="0.25">
      <c r="A3363" t="str">
        <f>"552175"</f>
        <v>552175</v>
      </c>
      <c r="B3363" t="s">
        <v>4218</v>
      </c>
      <c r="C3363" t="s">
        <v>621</v>
      </c>
      <c r="D3363" s="21" t="s">
        <v>34</v>
      </c>
      <c r="E3363" s="21" t="s">
        <v>35</v>
      </c>
      <c r="F3363">
        <v>6550007</v>
      </c>
      <c r="G3363" t="s">
        <v>1688</v>
      </c>
      <c r="H3363" s="21">
        <v>1299.67</v>
      </c>
    </row>
    <row r="3364" spans="1:8" customFormat="1" x14ac:dyDescent="0.25">
      <c r="A3364" t="str">
        <f>"5615332"</f>
        <v>5615332</v>
      </c>
      <c r="B3364" t="s">
        <v>3996</v>
      </c>
      <c r="C3364" t="s">
        <v>1025</v>
      </c>
      <c r="D3364" s="21" t="s">
        <v>34</v>
      </c>
      <c r="E3364" s="21" t="s">
        <v>71</v>
      </c>
      <c r="F3364">
        <v>3560039</v>
      </c>
      <c r="G3364" t="s">
        <v>167</v>
      </c>
      <c r="H3364" s="21">
        <v>1299.67</v>
      </c>
    </row>
    <row r="3365" spans="1:8" customFormat="1" x14ac:dyDescent="0.25">
      <c r="A3365" t="str">
        <f>"4430515"</f>
        <v>4430515</v>
      </c>
      <c r="B3365" t="s">
        <v>7465</v>
      </c>
      <c r="C3365" t="s">
        <v>58</v>
      </c>
      <c r="D3365" s="21" t="s">
        <v>34</v>
      </c>
      <c r="E3365" s="21" t="s">
        <v>35</v>
      </c>
      <c r="F3365">
        <v>3560031</v>
      </c>
      <c r="G3365" t="s">
        <v>738</v>
      </c>
      <c r="H3365" s="21">
        <v>1299.42</v>
      </c>
    </row>
    <row r="3366" spans="1:8" customFormat="1" x14ac:dyDescent="0.25">
      <c r="A3366" t="str">
        <f>"759485"</f>
        <v>759485</v>
      </c>
      <c r="B3366" t="s">
        <v>700</v>
      </c>
      <c r="C3366" t="s">
        <v>55</v>
      </c>
      <c r="D3366" s="21" t="s">
        <v>34</v>
      </c>
      <c r="E3366" s="21" t="s">
        <v>254</v>
      </c>
      <c r="F3366">
        <v>8750117</v>
      </c>
      <c r="G3366" t="s">
        <v>3516</v>
      </c>
      <c r="H3366" s="21">
        <v>1299.18</v>
      </c>
    </row>
    <row r="3367" spans="1:8" customFormat="1" x14ac:dyDescent="0.25">
      <c r="A3367" t="str">
        <f>"7510694"</f>
        <v>7510694</v>
      </c>
      <c r="B3367" t="s">
        <v>3916</v>
      </c>
      <c r="C3367" t="s">
        <v>249</v>
      </c>
      <c r="D3367" s="21" t="s">
        <v>34</v>
      </c>
      <c r="E3367" s="21" t="s">
        <v>35</v>
      </c>
      <c r="F3367">
        <v>8920018</v>
      </c>
      <c r="G3367" t="s">
        <v>1281</v>
      </c>
      <c r="H3367" s="21">
        <v>1299.18</v>
      </c>
    </row>
    <row r="3368" spans="1:8" customFormat="1" x14ac:dyDescent="0.25">
      <c r="A3368" t="str">
        <f>"305546"</f>
        <v>305546</v>
      </c>
      <c r="B3368" t="s">
        <v>4566</v>
      </c>
      <c r="C3368" t="s">
        <v>3712</v>
      </c>
      <c r="D3368" s="21" t="s">
        <v>34</v>
      </c>
      <c r="E3368" s="21" t="s">
        <v>71</v>
      </c>
      <c r="F3368">
        <v>11340065</v>
      </c>
      <c r="G3368" t="s">
        <v>2022</v>
      </c>
      <c r="H3368" s="21">
        <v>1299.17</v>
      </c>
    </row>
    <row r="3369" spans="1:8" customFormat="1" x14ac:dyDescent="0.25">
      <c r="A3369" t="str">
        <f>"544995"</f>
        <v>544995</v>
      </c>
      <c r="B3369" t="s">
        <v>3877</v>
      </c>
      <c r="C3369" t="s">
        <v>144</v>
      </c>
      <c r="D3369" s="21" t="s">
        <v>34</v>
      </c>
      <c r="E3369" s="21" t="s">
        <v>35</v>
      </c>
      <c r="F3369">
        <v>6540014</v>
      </c>
      <c r="G3369" t="s">
        <v>1483</v>
      </c>
      <c r="H3369" s="21">
        <v>1299.17</v>
      </c>
    </row>
    <row r="3370" spans="1:8" customFormat="1" x14ac:dyDescent="0.25">
      <c r="A3370" t="str">
        <f>"7410020"</f>
        <v>7410020</v>
      </c>
      <c r="B3370" t="s">
        <v>26789</v>
      </c>
      <c r="C3370" t="s">
        <v>26790</v>
      </c>
      <c r="D3370" s="21" t="s">
        <v>34</v>
      </c>
      <c r="E3370" s="21" t="s">
        <v>35</v>
      </c>
      <c r="F3370">
        <v>1740001</v>
      </c>
      <c r="G3370" t="s">
        <v>347</v>
      </c>
      <c r="H3370" s="21">
        <v>1299.17</v>
      </c>
    </row>
    <row r="3371" spans="1:8" customFormat="1" x14ac:dyDescent="0.25">
      <c r="A3371" t="str">
        <f>"4913663"</f>
        <v>4913663</v>
      </c>
      <c r="B3371" t="s">
        <v>4052</v>
      </c>
      <c r="C3371" t="s">
        <v>55</v>
      </c>
      <c r="D3371" s="21" t="s">
        <v>34</v>
      </c>
      <c r="E3371" s="21" t="s">
        <v>71</v>
      </c>
      <c r="F3371">
        <v>12490132</v>
      </c>
      <c r="G3371" t="s">
        <v>1125</v>
      </c>
      <c r="H3371" s="21">
        <v>1299.17</v>
      </c>
    </row>
    <row r="3372" spans="1:8" customFormat="1" x14ac:dyDescent="0.25">
      <c r="A3372" t="str">
        <f>"9727346"</f>
        <v>9727346</v>
      </c>
      <c r="B3372" t="s">
        <v>3811</v>
      </c>
      <c r="C3372" t="s">
        <v>486</v>
      </c>
      <c r="D3372" s="21" t="s">
        <v>34</v>
      </c>
      <c r="E3372" s="21" t="s">
        <v>35</v>
      </c>
      <c r="F3372" t="s">
        <v>1923</v>
      </c>
      <c r="G3372" t="s">
        <v>1924</v>
      </c>
      <c r="H3372" s="21">
        <v>1299.17</v>
      </c>
    </row>
    <row r="3373" spans="1:8" customFormat="1" x14ac:dyDescent="0.25">
      <c r="A3373" t="str">
        <f>"3324715"</f>
        <v>3324715</v>
      </c>
      <c r="B3373" t="s">
        <v>1522</v>
      </c>
      <c r="C3373" t="s">
        <v>1100</v>
      </c>
      <c r="D3373" s="21" t="s">
        <v>34</v>
      </c>
      <c r="E3373" s="21" t="s">
        <v>35</v>
      </c>
      <c r="F3373">
        <v>10330082</v>
      </c>
      <c r="G3373" t="s">
        <v>5564</v>
      </c>
      <c r="H3373" s="21">
        <v>1298.68</v>
      </c>
    </row>
    <row r="3374" spans="1:8" customFormat="1" x14ac:dyDescent="0.25">
      <c r="A3374" t="str">
        <f>"5319959"</f>
        <v>5319959</v>
      </c>
      <c r="B3374" t="s">
        <v>4868</v>
      </c>
      <c r="C3374" t="s">
        <v>1359</v>
      </c>
      <c r="D3374" s="21" t="s">
        <v>34</v>
      </c>
      <c r="E3374" s="21" t="s">
        <v>35</v>
      </c>
      <c r="F3374">
        <v>12530120</v>
      </c>
      <c r="G3374" t="s">
        <v>26791</v>
      </c>
      <c r="H3374" s="21">
        <v>1298.67</v>
      </c>
    </row>
    <row r="3375" spans="1:8" customFormat="1" x14ac:dyDescent="0.25">
      <c r="A3375" t="str">
        <f>"10195"</f>
        <v>10195</v>
      </c>
      <c r="B3375" t="s">
        <v>26792</v>
      </c>
      <c r="C3375" t="s">
        <v>2365</v>
      </c>
      <c r="D3375" s="21" t="s">
        <v>34</v>
      </c>
      <c r="E3375" s="21" t="s">
        <v>254</v>
      </c>
      <c r="F3375">
        <v>6100005</v>
      </c>
      <c r="G3375" t="s">
        <v>855</v>
      </c>
      <c r="H3375" s="21">
        <v>1298.67</v>
      </c>
    </row>
    <row r="3376" spans="1:8" customFormat="1" x14ac:dyDescent="0.25">
      <c r="A3376" t="str">
        <f>"259256"</f>
        <v>259256</v>
      </c>
      <c r="B3376" t="s">
        <v>4153</v>
      </c>
      <c r="C3376" t="s">
        <v>33</v>
      </c>
      <c r="D3376" s="21" t="s">
        <v>34</v>
      </c>
      <c r="E3376" s="21" t="s">
        <v>35</v>
      </c>
      <c r="F3376">
        <v>6670072</v>
      </c>
      <c r="G3376" t="s">
        <v>4154</v>
      </c>
      <c r="H3376" s="21">
        <v>1298.67</v>
      </c>
    </row>
    <row r="3377" spans="1:8" customFormat="1" x14ac:dyDescent="0.25">
      <c r="A3377" t="str">
        <f>"5939484"</f>
        <v>5939484</v>
      </c>
      <c r="B3377" t="s">
        <v>5159</v>
      </c>
      <c r="C3377" t="s">
        <v>1812</v>
      </c>
      <c r="D3377" s="21" t="s">
        <v>34</v>
      </c>
      <c r="E3377" s="21" t="s">
        <v>71</v>
      </c>
      <c r="F3377">
        <v>7590392</v>
      </c>
      <c r="G3377" t="s">
        <v>154</v>
      </c>
      <c r="H3377" s="21">
        <v>1298.67</v>
      </c>
    </row>
    <row r="3378" spans="1:8" customFormat="1" x14ac:dyDescent="0.25">
      <c r="A3378" t="str">
        <f>"4516775"</f>
        <v>4516775</v>
      </c>
      <c r="B3378" t="s">
        <v>21484</v>
      </c>
      <c r="C3378" t="s">
        <v>96</v>
      </c>
      <c r="D3378" s="21" t="s">
        <v>34</v>
      </c>
      <c r="E3378" s="21" t="s">
        <v>35</v>
      </c>
      <c r="F3378">
        <v>4450751</v>
      </c>
      <c r="G3378" t="s">
        <v>442</v>
      </c>
      <c r="H3378" s="21">
        <v>1298.67</v>
      </c>
    </row>
    <row r="3379" spans="1:8" customFormat="1" x14ac:dyDescent="0.25">
      <c r="A3379" t="str">
        <f>"7714737"</f>
        <v>7714737</v>
      </c>
      <c r="B3379" t="s">
        <v>3462</v>
      </c>
      <c r="C3379" t="s">
        <v>720</v>
      </c>
      <c r="D3379" s="21" t="s">
        <v>34</v>
      </c>
      <c r="E3379" s="21" t="s">
        <v>71</v>
      </c>
      <c r="F3379">
        <v>8750141</v>
      </c>
      <c r="G3379" t="s">
        <v>1514</v>
      </c>
      <c r="H3379" s="21">
        <v>1298.67</v>
      </c>
    </row>
    <row r="3380" spans="1:8" customFormat="1" x14ac:dyDescent="0.25">
      <c r="A3380" t="str">
        <f>"1710583"</f>
        <v>1710583</v>
      </c>
      <c r="B3380" t="s">
        <v>3979</v>
      </c>
      <c r="C3380" t="s">
        <v>462</v>
      </c>
      <c r="D3380" s="21" t="s">
        <v>34</v>
      </c>
      <c r="E3380" s="21" t="s">
        <v>71</v>
      </c>
      <c r="F3380">
        <v>10170162</v>
      </c>
      <c r="G3380" t="s">
        <v>2817</v>
      </c>
      <c r="H3380" s="21">
        <v>1298.67</v>
      </c>
    </row>
    <row r="3381" spans="1:8" customFormat="1" x14ac:dyDescent="0.25">
      <c r="A3381" t="str">
        <f>"93461"</f>
        <v>93461</v>
      </c>
      <c r="B3381" t="s">
        <v>4988</v>
      </c>
      <c r="C3381" t="s">
        <v>4989</v>
      </c>
      <c r="D3381" s="21" t="s">
        <v>34</v>
      </c>
      <c r="E3381" s="21" t="s">
        <v>71</v>
      </c>
      <c r="F3381">
        <v>8930148</v>
      </c>
      <c r="G3381" t="s">
        <v>1915</v>
      </c>
      <c r="H3381" s="21">
        <v>1298.42</v>
      </c>
    </row>
    <row r="3382" spans="1:8" customFormat="1" x14ac:dyDescent="0.25">
      <c r="A3382" t="str">
        <f>"4514746"</f>
        <v>4514746</v>
      </c>
      <c r="B3382" t="s">
        <v>3450</v>
      </c>
      <c r="C3382" t="s">
        <v>2520</v>
      </c>
      <c r="D3382" s="21" t="s">
        <v>34</v>
      </c>
      <c r="E3382" s="21" t="s">
        <v>71</v>
      </c>
      <c r="F3382">
        <v>4450754</v>
      </c>
      <c r="G3382" t="s">
        <v>2695</v>
      </c>
      <c r="H3382" s="21">
        <v>1298.42</v>
      </c>
    </row>
    <row r="3383" spans="1:8" customFormat="1" x14ac:dyDescent="0.25">
      <c r="A3383" t="str">
        <f>"72545"</f>
        <v>72545</v>
      </c>
      <c r="B3383" t="s">
        <v>3408</v>
      </c>
      <c r="C3383" t="s">
        <v>119</v>
      </c>
      <c r="D3383" s="21" t="s">
        <v>34</v>
      </c>
      <c r="E3383" s="21" t="s">
        <v>71</v>
      </c>
      <c r="F3383">
        <v>12720104</v>
      </c>
      <c r="G3383" t="s">
        <v>224</v>
      </c>
      <c r="H3383" s="21">
        <v>1298.3</v>
      </c>
    </row>
    <row r="3384" spans="1:8" customFormat="1" x14ac:dyDescent="0.25">
      <c r="A3384" t="str">
        <f>"4929635"</f>
        <v>4929635</v>
      </c>
      <c r="B3384" t="s">
        <v>509</v>
      </c>
      <c r="C3384" t="s">
        <v>598</v>
      </c>
      <c r="D3384" s="21" t="s">
        <v>34</v>
      </c>
      <c r="E3384" s="21" t="s">
        <v>71</v>
      </c>
      <c r="F3384">
        <v>12490022</v>
      </c>
      <c r="G3384" t="s">
        <v>1450</v>
      </c>
      <c r="H3384" s="21">
        <v>1298.17</v>
      </c>
    </row>
    <row r="3385" spans="1:8" customFormat="1" x14ac:dyDescent="0.25">
      <c r="A3385" t="str">
        <f>"5916969"</f>
        <v>5916969</v>
      </c>
      <c r="B3385" t="s">
        <v>3757</v>
      </c>
      <c r="C3385" t="s">
        <v>109</v>
      </c>
      <c r="D3385" s="21" t="s">
        <v>34</v>
      </c>
      <c r="E3385" s="21" t="s">
        <v>35</v>
      </c>
      <c r="F3385">
        <v>7590132</v>
      </c>
      <c r="G3385" t="s">
        <v>3204</v>
      </c>
      <c r="H3385" s="21">
        <v>1298.17</v>
      </c>
    </row>
    <row r="3386" spans="1:8" customFormat="1" x14ac:dyDescent="0.25">
      <c r="A3386" t="str">
        <f>"544381"</f>
        <v>544381</v>
      </c>
      <c r="B3386" t="s">
        <v>2766</v>
      </c>
      <c r="C3386" t="s">
        <v>33</v>
      </c>
      <c r="D3386" s="21" t="s">
        <v>34</v>
      </c>
      <c r="E3386" s="21" t="s">
        <v>35</v>
      </c>
      <c r="F3386">
        <v>6540088</v>
      </c>
      <c r="G3386" t="s">
        <v>2108</v>
      </c>
      <c r="H3386" s="21">
        <v>1298.17</v>
      </c>
    </row>
    <row r="3387" spans="1:8" customFormat="1" x14ac:dyDescent="0.25">
      <c r="A3387" t="str">
        <f>"50835"</f>
        <v>50835</v>
      </c>
      <c r="B3387" t="s">
        <v>4113</v>
      </c>
      <c r="C3387" t="s">
        <v>187</v>
      </c>
      <c r="D3387" s="21" t="s">
        <v>34</v>
      </c>
      <c r="E3387" s="21" t="s">
        <v>254</v>
      </c>
      <c r="F3387">
        <v>9500063</v>
      </c>
      <c r="G3387" t="s">
        <v>4114</v>
      </c>
      <c r="H3387" s="21">
        <v>1298.17</v>
      </c>
    </row>
    <row r="3388" spans="1:8" customFormat="1" x14ac:dyDescent="0.25">
      <c r="A3388" t="str">
        <f>"413657"</f>
        <v>413657</v>
      </c>
      <c r="B3388" t="s">
        <v>1081</v>
      </c>
      <c r="C3388" t="s">
        <v>1868</v>
      </c>
      <c r="D3388" s="21" t="s">
        <v>34</v>
      </c>
      <c r="E3388" s="21" t="s">
        <v>35</v>
      </c>
      <c r="F3388">
        <v>4410016</v>
      </c>
      <c r="G3388" t="s">
        <v>4365</v>
      </c>
      <c r="H3388" s="21">
        <v>1297.67</v>
      </c>
    </row>
    <row r="3389" spans="1:8" customFormat="1" x14ac:dyDescent="0.25">
      <c r="A3389" t="str">
        <f>"80909"</f>
        <v>80909</v>
      </c>
      <c r="B3389" t="s">
        <v>4144</v>
      </c>
      <c r="C3389" t="s">
        <v>3073</v>
      </c>
      <c r="D3389" s="21" t="s">
        <v>34</v>
      </c>
      <c r="E3389" s="21" t="s">
        <v>254</v>
      </c>
      <c r="F3389">
        <v>7800061</v>
      </c>
      <c r="G3389" t="s">
        <v>1330</v>
      </c>
      <c r="H3389" s="21">
        <v>1297.67</v>
      </c>
    </row>
    <row r="3390" spans="1:8" customFormat="1" x14ac:dyDescent="0.25">
      <c r="A3390" t="str">
        <f>"675388"</f>
        <v>675388</v>
      </c>
      <c r="B3390" t="s">
        <v>3933</v>
      </c>
      <c r="C3390" t="s">
        <v>3934</v>
      </c>
      <c r="D3390" s="21" t="s">
        <v>34</v>
      </c>
      <c r="E3390" s="21" t="s">
        <v>35</v>
      </c>
      <c r="F3390">
        <v>6670122</v>
      </c>
      <c r="G3390" t="s">
        <v>3126</v>
      </c>
      <c r="H3390" s="21">
        <v>1297.67</v>
      </c>
    </row>
    <row r="3391" spans="1:8" customFormat="1" x14ac:dyDescent="0.25">
      <c r="A3391" t="str">
        <f>"792697"</f>
        <v>792697</v>
      </c>
      <c r="B3391" t="s">
        <v>3961</v>
      </c>
      <c r="C3391" t="s">
        <v>2135</v>
      </c>
      <c r="D3391" s="21" t="s">
        <v>34</v>
      </c>
      <c r="E3391" s="21" t="s">
        <v>35</v>
      </c>
      <c r="F3391">
        <v>10790036</v>
      </c>
      <c r="G3391" t="s">
        <v>4946</v>
      </c>
      <c r="H3391" s="21">
        <v>1297.67</v>
      </c>
    </row>
    <row r="3392" spans="1:8" customFormat="1" x14ac:dyDescent="0.25">
      <c r="A3392" t="str">
        <f>"491532"</f>
        <v>491532</v>
      </c>
      <c r="B3392" t="s">
        <v>4192</v>
      </c>
      <c r="C3392" t="s">
        <v>55</v>
      </c>
      <c r="D3392" s="21" t="s">
        <v>34</v>
      </c>
      <c r="E3392" s="21" t="s">
        <v>71</v>
      </c>
      <c r="F3392">
        <v>12490073</v>
      </c>
      <c r="G3392" t="s">
        <v>296</v>
      </c>
      <c r="H3392" s="21">
        <v>1297.67</v>
      </c>
    </row>
    <row r="3393" spans="1:8" customFormat="1" x14ac:dyDescent="0.25">
      <c r="A3393" t="str">
        <f>"4918387"</f>
        <v>4918387</v>
      </c>
      <c r="B3393" t="s">
        <v>3816</v>
      </c>
      <c r="C3393" t="s">
        <v>198</v>
      </c>
      <c r="D3393" s="21" t="s">
        <v>34</v>
      </c>
      <c r="E3393" s="21" t="s">
        <v>71</v>
      </c>
      <c r="F3393">
        <v>12490098</v>
      </c>
      <c r="G3393" t="s">
        <v>2670</v>
      </c>
      <c r="H3393" s="21">
        <v>1297.67</v>
      </c>
    </row>
    <row r="3394" spans="1:8" customFormat="1" x14ac:dyDescent="0.25">
      <c r="A3394" t="str">
        <f>"92207"</f>
        <v>92207</v>
      </c>
      <c r="B3394" t="s">
        <v>86</v>
      </c>
      <c r="C3394" t="s">
        <v>2479</v>
      </c>
      <c r="D3394" s="21" t="s">
        <v>34</v>
      </c>
      <c r="E3394" s="21" t="s">
        <v>1089</v>
      </c>
      <c r="F3394">
        <v>8920049</v>
      </c>
      <c r="G3394" t="s">
        <v>237</v>
      </c>
      <c r="H3394" s="21">
        <v>1297.67</v>
      </c>
    </row>
    <row r="3395" spans="1:8" customFormat="1" x14ac:dyDescent="0.25">
      <c r="A3395" t="str">
        <f>"9119039"</f>
        <v>9119039</v>
      </c>
      <c r="B3395" t="s">
        <v>3982</v>
      </c>
      <c r="C3395" t="s">
        <v>62</v>
      </c>
      <c r="D3395" s="21" t="s">
        <v>34</v>
      </c>
      <c r="E3395" s="21" t="s">
        <v>71</v>
      </c>
      <c r="F3395">
        <v>8910303</v>
      </c>
      <c r="G3395" t="s">
        <v>1244</v>
      </c>
      <c r="H3395" s="21">
        <v>1297.67</v>
      </c>
    </row>
    <row r="3396" spans="1:8" customFormat="1" x14ac:dyDescent="0.25">
      <c r="A3396" t="str">
        <f>"751822"</f>
        <v>751822</v>
      </c>
      <c r="B3396" t="s">
        <v>4207</v>
      </c>
      <c r="C3396" t="s">
        <v>2027</v>
      </c>
      <c r="D3396" s="21" t="s">
        <v>34</v>
      </c>
      <c r="E3396" s="21" t="s">
        <v>71</v>
      </c>
      <c r="F3396">
        <v>8751061</v>
      </c>
      <c r="G3396" t="s">
        <v>26628</v>
      </c>
      <c r="H3396" s="21">
        <v>1297.67</v>
      </c>
    </row>
    <row r="3397" spans="1:8" customFormat="1" x14ac:dyDescent="0.25">
      <c r="A3397" t="str">
        <f>"215884"</f>
        <v>215884</v>
      </c>
      <c r="B3397" t="s">
        <v>1024</v>
      </c>
      <c r="C3397" t="s">
        <v>209</v>
      </c>
      <c r="D3397" s="21" t="s">
        <v>34</v>
      </c>
      <c r="E3397" s="21" t="s">
        <v>71</v>
      </c>
      <c r="F3397">
        <v>2210088</v>
      </c>
      <c r="G3397" t="s">
        <v>2896</v>
      </c>
      <c r="H3397" s="21">
        <v>1297.67</v>
      </c>
    </row>
    <row r="3398" spans="1:8" customFormat="1" x14ac:dyDescent="0.25">
      <c r="A3398" t="str">
        <f>"035933"</f>
        <v>035933</v>
      </c>
      <c r="B3398" t="s">
        <v>4285</v>
      </c>
      <c r="C3398" t="s">
        <v>43</v>
      </c>
      <c r="D3398" s="21" t="s">
        <v>34</v>
      </c>
      <c r="E3398" s="21" t="s">
        <v>35</v>
      </c>
      <c r="F3398">
        <v>1030308</v>
      </c>
      <c r="G3398" t="s">
        <v>1485</v>
      </c>
      <c r="H3398" s="21">
        <v>1297.67</v>
      </c>
    </row>
    <row r="3399" spans="1:8" customFormat="1" x14ac:dyDescent="0.25">
      <c r="A3399" t="str">
        <f>"682027"</f>
        <v>682027</v>
      </c>
      <c r="B3399" t="s">
        <v>4183</v>
      </c>
      <c r="C3399" t="s">
        <v>2546</v>
      </c>
      <c r="D3399" s="21" t="s">
        <v>34</v>
      </c>
      <c r="E3399" s="21" t="s">
        <v>71</v>
      </c>
      <c r="F3399">
        <v>6680105</v>
      </c>
      <c r="G3399" t="s">
        <v>403</v>
      </c>
      <c r="H3399" s="21">
        <v>1297.17</v>
      </c>
    </row>
    <row r="3400" spans="1:8" customFormat="1" x14ac:dyDescent="0.25">
      <c r="A3400" t="str">
        <f>"50203"</f>
        <v>50203</v>
      </c>
      <c r="B3400" t="s">
        <v>3089</v>
      </c>
      <c r="C3400" t="s">
        <v>114</v>
      </c>
      <c r="D3400" s="21" t="s">
        <v>34</v>
      </c>
      <c r="E3400" s="21" t="s">
        <v>71</v>
      </c>
      <c r="F3400">
        <v>9500009</v>
      </c>
      <c r="G3400" t="s">
        <v>2230</v>
      </c>
      <c r="H3400" s="21">
        <v>1297.17</v>
      </c>
    </row>
    <row r="3401" spans="1:8" customFormat="1" x14ac:dyDescent="0.25">
      <c r="A3401" t="str">
        <f>"624501"</f>
        <v>624501</v>
      </c>
      <c r="B3401" t="s">
        <v>3733</v>
      </c>
      <c r="C3401" t="s">
        <v>169</v>
      </c>
      <c r="D3401" s="21" t="s">
        <v>34</v>
      </c>
      <c r="E3401" s="21" t="s">
        <v>35</v>
      </c>
      <c r="F3401">
        <v>7620112</v>
      </c>
      <c r="G3401" t="s">
        <v>5663</v>
      </c>
      <c r="H3401" s="21">
        <v>1297.17</v>
      </c>
    </row>
    <row r="3402" spans="1:8" customFormat="1" x14ac:dyDescent="0.25">
      <c r="A3402" t="str">
        <f>"4516756"</f>
        <v>4516756</v>
      </c>
      <c r="B3402" t="s">
        <v>16461</v>
      </c>
      <c r="C3402" t="s">
        <v>127</v>
      </c>
      <c r="D3402" s="21" t="s">
        <v>34</v>
      </c>
      <c r="E3402" s="21" t="s">
        <v>35</v>
      </c>
      <c r="F3402">
        <v>4450760</v>
      </c>
      <c r="G3402" t="s">
        <v>5775</v>
      </c>
      <c r="H3402" s="21">
        <v>1297.17</v>
      </c>
    </row>
    <row r="3403" spans="1:8" customFormat="1" x14ac:dyDescent="0.25">
      <c r="A3403" t="str">
        <f>"6311070"</f>
        <v>6311070</v>
      </c>
      <c r="B3403" t="s">
        <v>3948</v>
      </c>
      <c r="C3403" t="s">
        <v>204</v>
      </c>
      <c r="D3403" s="21" t="s">
        <v>34</v>
      </c>
      <c r="E3403" s="21" t="s">
        <v>35</v>
      </c>
      <c r="F3403">
        <v>10190096</v>
      </c>
      <c r="G3403" t="s">
        <v>3949</v>
      </c>
      <c r="H3403" s="21">
        <v>1297.17</v>
      </c>
    </row>
    <row r="3404" spans="1:8" customFormat="1" x14ac:dyDescent="0.25">
      <c r="A3404" t="str">
        <f>"2921380"</f>
        <v>2921380</v>
      </c>
      <c r="B3404" t="s">
        <v>837</v>
      </c>
      <c r="C3404" t="s">
        <v>1705</v>
      </c>
      <c r="D3404" s="21" t="s">
        <v>34</v>
      </c>
      <c r="E3404" s="21" t="s">
        <v>71</v>
      </c>
      <c r="F3404">
        <v>3290275</v>
      </c>
      <c r="G3404" t="s">
        <v>4762</v>
      </c>
      <c r="H3404" s="21">
        <v>1297.17</v>
      </c>
    </row>
    <row r="3405" spans="1:8" customFormat="1" x14ac:dyDescent="0.25">
      <c r="A3405" t="str">
        <f>"4432683"</f>
        <v>4432683</v>
      </c>
      <c r="B3405" t="s">
        <v>5870</v>
      </c>
      <c r="C3405" t="s">
        <v>5871</v>
      </c>
      <c r="D3405" s="21" t="s">
        <v>34</v>
      </c>
      <c r="E3405" s="21" t="s">
        <v>35</v>
      </c>
      <c r="F3405">
        <v>12440104</v>
      </c>
      <c r="G3405" t="s">
        <v>5862</v>
      </c>
      <c r="H3405" s="21">
        <v>1296.67</v>
      </c>
    </row>
    <row r="3406" spans="1:8" customFormat="1" x14ac:dyDescent="0.25">
      <c r="A3406" t="str">
        <f>"861410"</f>
        <v>861410</v>
      </c>
      <c r="B3406" t="s">
        <v>4354</v>
      </c>
      <c r="C3406" t="s">
        <v>249</v>
      </c>
      <c r="D3406" s="21" t="s">
        <v>34</v>
      </c>
      <c r="E3406" s="21" t="s">
        <v>254</v>
      </c>
      <c r="F3406">
        <v>10860024</v>
      </c>
      <c r="G3406" t="s">
        <v>1770</v>
      </c>
      <c r="H3406" s="21">
        <v>1296.67</v>
      </c>
    </row>
    <row r="3407" spans="1:8" customFormat="1" x14ac:dyDescent="0.25">
      <c r="A3407" t="str">
        <f>"5946732"</f>
        <v>5946732</v>
      </c>
      <c r="B3407" t="s">
        <v>26793</v>
      </c>
      <c r="C3407" t="s">
        <v>147</v>
      </c>
      <c r="D3407" s="21" t="s">
        <v>34</v>
      </c>
      <c r="E3407" s="21" t="s">
        <v>35</v>
      </c>
      <c r="F3407">
        <v>10330117</v>
      </c>
      <c r="G3407" t="s">
        <v>1942</v>
      </c>
      <c r="H3407" s="21">
        <v>1296.67</v>
      </c>
    </row>
    <row r="3408" spans="1:8" customFormat="1" x14ac:dyDescent="0.25">
      <c r="A3408" t="str">
        <f>"372507"</f>
        <v>372507</v>
      </c>
      <c r="B3408" t="s">
        <v>5527</v>
      </c>
      <c r="C3408" t="s">
        <v>114</v>
      </c>
      <c r="D3408" s="21" t="s">
        <v>34</v>
      </c>
      <c r="E3408" s="21" t="s">
        <v>35</v>
      </c>
      <c r="F3408">
        <v>4370002</v>
      </c>
      <c r="G3408" t="s">
        <v>112</v>
      </c>
      <c r="H3408" s="21">
        <v>1296.67</v>
      </c>
    </row>
    <row r="3409" spans="1:8" customFormat="1" x14ac:dyDescent="0.25">
      <c r="A3409" t="str">
        <f>"596552"</f>
        <v>596552</v>
      </c>
      <c r="B3409" t="s">
        <v>3436</v>
      </c>
      <c r="C3409" t="s">
        <v>60</v>
      </c>
      <c r="D3409" s="21" t="s">
        <v>34</v>
      </c>
      <c r="E3409" s="21" t="s">
        <v>35</v>
      </c>
      <c r="F3409">
        <v>7590018</v>
      </c>
      <c r="G3409" t="s">
        <v>2807</v>
      </c>
      <c r="H3409" s="21">
        <v>1296.67</v>
      </c>
    </row>
    <row r="3410" spans="1:8" customFormat="1" x14ac:dyDescent="0.25">
      <c r="A3410" t="str">
        <f>"372867"</f>
        <v>372867</v>
      </c>
      <c r="B3410" t="s">
        <v>4886</v>
      </c>
      <c r="C3410" t="s">
        <v>576</v>
      </c>
      <c r="D3410" s="21" t="s">
        <v>34</v>
      </c>
      <c r="E3410" s="21" t="s">
        <v>35</v>
      </c>
      <c r="F3410">
        <v>4370002</v>
      </c>
      <c r="G3410" t="s">
        <v>112</v>
      </c>
      <c r="H3410" s="21">
        <v>1296.67</v>
      </c>
    </row>
    <row r="3411" spans="1:8" customFormat="1" x14ac:dyDescent="0.25">
      <c r="A3411" t="str">
        <f>"1414609"</f>
        <v>1414609</v>
      </c>
      <c r="B3411" t="s">
        <v>4443</v>
      </c>
      <c r="C3411" t="s">
        <v>43</v>
      </c>
      <c r="D3411" s="21" t="s">
        <v>34</v>
      </c>
      <c r="E3411" s="21" t="s">
        <v>35</v>
      </c>
      <c r="F3411">
        <v>9140123</v>
      </c>
      <c r="G3411" t="s">
        <v>661</v>
      </c>
      <c r="H3411" s="21">
        <v>1296.55</v>
      </c>
    </row>
    <row r="3412" spans="1:8" customFormat="1" x14ac:dyDescent="0.25">
      <c r="A3412" t="str">
        <f>"923714"</f>
        <v>923714</v>
      </c>
      <c r="B3412" t="s">
        <v>3959</v>
      </c>
      <c r="C3412" t="s">
        <v>209</v>
      </c>
      <c r="D3412" s="21" t="s">
        <v>34</v>
      </c>
      <c r="E3412" s="21" t="s">
        <v>35</v>
      </c>
      <c r="F3412">
        <v>8920389</v>
      </c>
      <c r="G3412" t="s">
        <v>1739</v>
      </c>
      <c r="H3412" s="21">
        <v>1296.43</v>
      </c>
    </row>
    <row r="3413" spans="1:8" customFormat="1" x14ac:dyDescent="0.25">
      <c r="A3413" t="str">
        <f>"5313244"</f>
        <v>5313244</v>
      </c>
      <c r="B3413" t="s">
        <v>2138</v>
      </c>
      <c r="C3413" t="s">
        <v>1559</v>
      </c>
      <c r="D3413" s="21" t="s">
        <v>34</v>
      </c>
      <c r="E3413" s="21" t="s">
        <v>35</v>
      </c>
      <c r="F3413">
        <v>12530051</v>
      </c>
      <c r="G3413" t="s">
        <v>4995</v>
      </c>
      <c r="H3413" s="21">
        <v>1296.42</v>
      </c>
    </row>
    <row r="3414" spans="1:8" customFormat="1" x14ac:dyDescent="0.25">
      <c r="A3414" t="str">
        <f>"34444"</f>
        <v>34444</v>
      </c>
      <c r="B3414" t="s">
        <v>4361</v>
      </c>
      <c r="C3414" t="s">
        <v>249</v>
      </c>
      <c r="D3414" s="21" t="s">
        <v>34</v>
      </c>
      <c r="E3414" s="21" t="s">
        <v>71</v>
      </c>
      <c r="F3414">
        <v>11340014</v>
      </c>
      <c r="G3414" t="s">
        <v>1455</v>
      </c>
      <c r="H3414" s="21">
        <v>1296.17</v>
      </c>
    </row>
    <row r="3415" spans="1:8" customFormat="1" x14ac:dyDescent="0.25">
      <c r="A3415" t="str">
        <f>"578100"</f>
        <v>578100</v>
      </c>
      <c r="B3415" t="s">
        <v>4703</v>
      </c>
      <c r="C3415" t="s">
        <v>1665</v>
      </c>
      <c r="D3415" s="21" t="s">
        <v>34</v>
      </c>
      <c r="E3415" s="21" t="s">
        <v>71</v>
      </c>
      <c r="F3415">
        <v>6570088</v>
      </c>
      <c r="G3415" t="s">
        <v>3461</v>
      </c>
      <c r="H3415" s="21">
        <v>1296.17</v>
      </c>
    </row>
    <row r="3416" spans="1:8" customFormat="1" x14ac:dyDescent="0.25">
      <c r="A3416" t="str">
        <f>"4913475"</f>
        <v>4913475</v>
      </c>
      <c r="B3416" t="s">
        <v>5062</v>
      </c>
      <c r="C3416" t="s">
        <v>302</v>
      </c>
      <c r="D3416" s="21" t="s">
        <v>34</v>
      </c>
      <c r="E3416" s="21" t="s">
        <v>35</v>
      </c>
      <c r="F3416">
        <v>12490059</v>
      </c>
      <c r="G3416" t="s">
        <v>5063</v>
      </c>
      <c r="H3416" s="21">
        <v>1296.17</v>
      </c>
    </row>
    <row r="3417" spans="1:8" customFormat="1" x14ac:dyDescent="0.25">
      <c r="A3417" t="str">
        <f>"7830474"</f>
        <v>7830474</v>
      </c>
      <c r="B3417" t="s">
        <v>4054</v>
      </c>
      <c r="C3417" t="s">
        <v>139</v>
      </c>
      <c r="D3417" s="21" t="s">
        <v>34</v>
      </c>
      <c r="E3417" s="21" t="s">
        <v>35</v>
      </c>
      <c r="F3417">
        <v>8781017</v>
      </c>
      <c r="G3417" t="s">
        <v>2581</v>
      </c>
      <c r="H3417" s="21">
        <v>1296.17</v>
      </c>
    </row>
    <row r="3418" spans="1:8" customFormat="1" x14ac:dyDescent="0.25">
      <c r="A3418" t="str">
        <f>"685409"</f>
        <v>685409</v>
      </c>
      <c r="B3418" t="s">
        <v>4595</v>
      </c>
      <c r="C3418" t="s">
        <v>40</v>
      </c>
      <c r="D3418" s="21" t="s">
        <v>34</v>
      </c>
      <c r="E3418" s="21" t="s">
        <v>35</v>
      </c>
      <c r="F3418">
        <v>6680091</v>
      </c>
      <c r="G3418" t="s">
        <v>693</v>
      </c>
      <c r="H3418" s="21">
        <v>1296.17</v>
      </c>
    </row>
    <row r="3419" spans="1:8" customFormat="1" x14ac:dyDescent="0.25">
      <c r="A3419" t="str">
        <f>"608379"</f>
        <v>608379</v>
      </c>
      <c r="B3419" t="s">
        <v>5150</v>
      </c>
      <c r="C3419" t="s">
        <v>169</v>
      </c>
      <c r="D3419" s="21" t="s">
        <v>34</v>
      </c>
      <c r="E3419" s="21" t="s">
        <v>71</v>
      </c>
      <c r="F3419">
        <v>7600035</v>
      </c>
      <c r="G3419" t="s">
        <v>4737</v>
      </c>
      <c r="H3419" s="21">
        <v>1296.17</v>
      </c>
    </row>
    <row r="3420" spans="1:8" customFormat="1" x14ac:dyDescent="0.25">
      <c r="A3420" t="str">
        <f>"37882"</f>
        <v>37882</v>
      </c>
      <c r="B3420" t="s">
        <v>4276</v>
      </c>
      <c r="C3420" t="s">
        <v>40</v>
      </c>
      <c r="D3420" s="21" t="s">
        <v>34</v>
      </c>
      <c r="E3420" s="21" t="s">
        <v>71</v>
      </c>
      <c r="F3420">
        <v>4370269</v>
      </c>
      <c r="G3420" t="s">
        <v>4277</v>
      </c>
      <c r="H3420" s="21">
        <v>1295.67</v>
      </c>
    </row>
    <row r="3421" spans="1:8" customFormat="1" x14ac:dyDescent="0.25">
      <c r="A3421" t="str">
        <f>"359251"</f>
        <v>359251</v>
      </c>
      <c r="B3421" t="s">
        <v>679</v>
      </c>
      <c r="C3421" t="s">
        <v>147</v>
      </c>
      <c r="D3421" s="21" t="s">
        <v>34</v>
      </c>
      <c r="E3421" s="21" t="s">
        <v>35</v>
      </c>
      <c r="F3421">
        <v>3350021</v>
      </c>
      <c r="G3421" t="s">
        <v>1758</v>
      </c>
      <c r="H3421" s="21">
        <v>1295.67</v>
      </c>
    </row>
    <row r="3422" spans="1:8" customFormat="1" x14ac:dyDescent="0.25">
      <c r="A3422" t="str">
        <f>"9516268"</f>
        <v>9516268</v>
      </c>
      <c r="B3422" t="s">
        <v>3576</v>
      </c>
      <c r="C3422" t="s">
        <v>305</v>
      </c>
      <c r="D3422" s="21" t="s">
        <v>34</v>
      </c>
      <c r="E3422" s="21" t="s">
        <v>35</v>
      </c>
      <c r="F3422">
        <v>11300047</v>
      </c>
      <c r="G3422" t="s">
        <v>9549</v>
      </c>
      <c r="H3422" s="21">
        <v>1295.67</v>
      </c>
    </row>
    <row r="3423" spans="1:8" customFormat="1" x14ac:dyDescent="0.25">
      <c r="A3423" t="str">
        <f>"606603"</f>
        <v>606603</v>
      </c>
      <c r="B3423" t="s">
        <v>4107</v>
      </c>
      <c r="C3423" t="s">
        <v>544</v>
      </c>
      <c r="D3423" s="21" t="s">
        <v>34</v>
      </c>
      <c r="E3423" s="21" t="s">
        <v>71</v>
      </c>
      <c r="F3423">
        <v>7800040</v>
      </c>
      <c r="G3423" t="s">
        <v>1448</v>
      </c>
      <c r="H3423" s="21">
        <v>1295.67</v>
      </c>
    </row>
    <row r="3424" spans="1:8" customFormat="1" x14ac:dyDescent="0.25">
      <c r="A3424" t="str">
        <f>"632075"</f>
        <v>632075</v>
      </c>
      <c r="B3424" t="s">
        <v>4091</v>
      </c>
      <c r="C3424" t="s">
        <v>4092</v>
      </c>
      <c r="D3424" s="21" t="s">
        <v>34</v>
      </c>
      <c r="E3424" s="21" t="s">
        <v>71</v>
      </c>
      <c r="F3424">
        <v>1630123</v>
      </c>
      <c r="G3424" t="s">
        <v>1036</v>
      </c>
      <c r="H3424" s="21">
        <v>1295.67</v>
      </c>
    </row>
    <row r="3425" spans="1:8" customFormat="1" x14ac:dyDescent="0.25">
      <c r="A3425" t="str">
        <f>"845725"</f>
        <v>845725</v>
      </c>
      <c r="B3425" t="s">
        <v>4138</v>
      </c>
      <c r="C3425" t="s">
        <v>267</v>
      </c>
      <c r="D3425" s="21" t="s">
        <v>34</v>
      </c>
      <c r="E3425" s="21" t="s">
        <v>71</v>
      </c>
      <c r="F3425">
        <v>13840028</v>
      </c>
      <c r="G3425" t="s">
        <v>4139</v>
      </c>
      <c r="H3425" s="21">
        <v>1295.56</v>
      </c>
    </row>
    <row r="3426" spans="1:8" customFormat="1" x14ac:dyDescent="0.25">
      <c r="A3426" t="str">
        <f>"4517555"</f>
        <v>4517555</v>
      </c>
      <c r="B3426" t="s">
        <v>4481</v>
      </c>
      <c r="C3426" t="s">
        <v>1647</v>
      </c>
      <c r="D3426" s="21" t="s">
        <v>34</v>
      </c>
      <c r="E3426" s="21" t="s">
        <v>71</v>
      </c>
      <c r="F3426">
        <v>4450706</v>
      </c>
      <c r="G3426" t="s">
        <v>4482</v>
      </c>
      <c r="H3426" s="21">
        <v>1295.55</v>
      </c>
    </row>
    <row r="3427" spans="1:8" customFormat="1" x14ac:dyDescent="0.25">
      <c r="A3427" t="str">
        <f>"2511835"</f>
        <v>2511835</v>
      </c>
      <c r="B3427" t="s">
        <v>4775</v>
      </c>
      <c r="C3427" t="s">
        <v>269</v>
      </c>
      <c r="D3427" s="21" t="s">
        <v>34</v>
      </c>
      <c r="E3427" s="21" t="s">
        <v>71</v>
      </c>
      <c r="F3427">
        <v>2250015</v>
      </c>
      <c r="G3427" t="s">
        <v>4776</v>
      </c>
      <c r="H3427" s="21">
        <v>1295.17</v>
      </c>
    </row>
    <row r="3428" spans="1:8" customFormat="1" x14ac:dyDescent="0.25">
      <c r="A3428" t="str">
        <f>"318780"</f>
        <v>318780</v>
      </c>
      <c r="B3428" t="s">
        <v>1396</v>
      </c>
      <c r="C3428" t="s">
        <v>812</v>
      </c>
      <c r="D3428" s="21" t="s">
        <v>34</v>
      </c>
      <c r="E3428" s="21" t="s">
        <v>35</v>
      </c>
      <c r="F3428">
        <v>11310011</v>
      </c>
      <c r="G3428" t="s">
        <v>26586</v>
      </c>
      <c r="H3428" s="21">
        <v>1295.17</v>
      </c>
    </row>
    <row r="3429" spans="1:8" customFormat="1" x14ac:dyDescent="0.25">
      <c r="A3429" t="str">
        <f>"72897"</f>
        <v>72897</v>
      </c>
      <c r="B3429" t="s">
        <v>5084</v>
      </c>
      <c r="C3429" t="s">
        <v>598</v>
      </c>
      <c r="D3429" s="21" t="s">
        <v>34</v>
      </c>
      <c r="E3429" s="21" t="s">
        <v>254</v>
      </c>
      <c r="F3429">
        <v>12720078</v>
      </c>
      <c r="G3429" t="s">
        <v>5085</v>
      </c>
      <c r="H3429" s="21">
        <v>1295.17</v>
      </c>
    </row>
    <row r="3430" spans="1:8" customFormat="1" x14ac:dyDescent="0.25">
      <c r="A3430" t="str">
        <f>"5972204"</f>
        <v>5972204</v>
      </c>
      <c r="B3430" t="s">
        <v>4335</v>
      </c>
      <c r="C3430" t="s">
        <v>656</v>
      </c>
      <c r="D3430" s="21" t="s">
        <v>34</v>
      </c>
      <c r="E3430" s="21" t="s">
        <v>35</v>
      </c>
      <c r="F3430">
        <v>7590014</v>
      </c>
      <c r="G3430" t="s">
        <v>1326</v>
      </c>
      <c r="H3430" s="21">
        <v>1295.17</v>
      </c>
    </row>
    <row r="3431" spans="1:8" customFormat="1" x14ac:dyDescent="0.25">
      <c r="A3431" t="str">
        <f>"402190"</f>
        <v>402190</v>
      </c>
      <c r="B3431" t="s">
        <v>4502</v>
      </c>
      <c r="C3431" t="s">
        <v>187</v>
      </c>
      <c r="D3431" s="21" t="s">
        <v>34</v>
      </c>
      <c r="E3431" s="21" t="s">
        <v>71</v>
      </c>
      <c r="F3431">
        <v>10160040</v>
      </c>
      <c r="G3431" t="s">
        <v>1131</v>
      </c>
      <c r="H3431" s="21">
        <v>1295.17</v>
      </c>
    </row>
    <row r="3432" spans="1:8" customFormat="1" x14ac:dyDescent="0.25">
      <c r="A3432" t="str">
        <f>"7813297"</f>
        <v>7813297</v>
      </c>
      <c r="B3432" t="s">
        <v>2757</v>
      </c>
      <c r="C3432" t="s">
        <v>87</v>
      </c>
      <c r="D3432" s="21" t="s">
        <v>34</v>
      </c>
      <c r="E3432" s="21" t="s">
        <v>71</v>
      </c>
      <c r="F3432">
        <v>8781017</v>
      </c>
      <c r="G3432" t="s">
        <v>2581</v>
      </c>
      <c r="H3432" s="21">
        <v>1295.17</v>
      </c>
    </row>
    <row r="3433" spans="1:8" customFormat="1" x14ac:dyDescent="0.25">
      <c r="A3433" t="str">
        <f>"9530145"</f>
        <v>9530145</v>
      </c>
      <c r="B3433" t="s">
        <v>4752</v>
      </c>
      <c r="C3433" t="s">
        <v>43</v>
      </c>
      <c r="D3433" s="21" t="s">
        <v>34</v>
      </c>
      <c r="E3433" s="21" t="s">
        <v>35</v>
      </c>
      <c r="F3433">
        <v>8950103</v>
      </c>
      <c r="G3433" t="s">
        <v>440</v>
      </c>
      <c r="H3433" s="21">
        <v>1295.17</v>
      </c>
    </row>
    <row r="3434" spans="1:8" customFormat="1" x14ac:dyDescent="0.25">
      <c r="A3434" t="str">
        <f>"497018"</f>
        <v>497018</v>
      </c>
      <c r="B3434" t="s">
        <v>4160</v>
      </c>
      <c r="C3434" t="s">
        <v>4161</v>
      </c>
      <c r="D3434" s="21" t="s">
        <v>34</v>
      </c>
      <c r="E3434" s="21" t="s">
        <v>35</v>
      </c>
      <c r="F3434">
        <v>12490061</v>
      </c>
      <c r="G3434" t="s">
        <v>969</v>
      </c>
      <c r="H3434" s="21">
        <v>1294.67</v>
      </c>
    </row>
    <row r="3435" spans="1:8" customFormat="1" x14ac:dyDescent="0.25">
      <c r="A3435" t="str">
        <f>"106003"</f>
        <v>106003</v>
      </c>
      <c r="B3435" t="s">
        <v>23035</v>
      </c>
      <c r="C3435" t="s">
        <v>130</v>
      </c>
      <c r="D3435" s="21" t="s">
        <v>34</v>
      </c>
      <c r="E3435" s="21" t="s">
        <v>35</v>
      </c>
      <c r="F3435">
        <v>6100005</v>
      </c>
      <c r="G3435" t="s">
        <v>855</v>
      </c>
      <c r="H3435" s="21">
        <v>1294.67</v>
      </c>
    </row>
    <row r="3436" spans="1:8" customFormat="1" x14ac:dyDescent="0.25">
      <c r="A3436" t="str">
        <f>"575590"</f>
        <v>575590</v>
      </c>
      <c r="B3436" t="s">
        <v>3983</v>
      </c>
      <c r="C3436" t="s">
        <v>462</v>
      </c>
      <c r="D3436" s="21" t="s">
        <v>34</v>
      </c>
      <c r="E3436" s="21" t="s">
        <v>35</v>
      </c>
      <c r="F3436">
        <v>6570146</v>
      </c>
      <c r="G3436" t="s">
        <v>1556</v>
      </c>
      <c r="H3436" s="21">
        <v>1294.67</v>
      </c>
    </row>
    <row r="3437" spans="1:8" customFormat="1" x14ac:dyDescent="0.25">
      <c r="A3437" t="str">
        <f>"1423500"</f>
        <v>1423500</v>
      </c>
      <c r="B3437" t="s">
        <v>2489</v>
      </c>
      <c r="C3437" t="s">
        <v>90</v>
      </c>
      <c r="D3437" s="21" t="s">
        <v>34</v>
      </c>
      <c r="E3437" s="21" t="s">
        <v>35</v>
      </c>
      <c r="F3437">
        <v>9140115</v>
      </c>
      <c r="G3437" t="s">
        <v>26590</v>
      </c>
      <c r="H3437" s="21">
        <v>1294.67</v>
      </c>
    </row>
    <row r="3438" spans="1:8" customFormat="1" x14ac:dyDescent="0.25">
      <c r="A3438" t="str">
        <f>"9436876"</f>
        <v>9436876</v>
      </c>
      <c r="B3438" t="s">
        <v>14752</v>
      </c>
      <c r="C3438" t="s">
        <v>305</v>
      </c>
      <c r="D3438" s="21" t="s">
        <v>34</v>
      </c>
      <c r="E3438" s="21" t="s">
        <v>35</v>
      </c>
      <c r="F3438">
        <v>10330084</v>
      </c>
      <c r="G3438" t="s">
        <v>1124</v>
      </c>
      <c r="H3438" s="21">
        <v>1294.45</v>
      </c>
    </row>
    <row r="3439" spans="1:8" customFormat="1" x14ac:dyDescent="0.25">
      <c r="A3439" t="str">
        <f>"382111"</f>
        <v>382111</v>
      </c>
      <c r="B3439" t="s">
        <v>4398</v>
      </c>
      <c r="C3439" t="s">
        <v>285</v>
      </c>
      <c r="D3439" s="21" t="s">
        <v>34</v>
      </c>
      <c r="E3439" s="21" t="s">
        <v>35</v>
      </c>
      <c r="F3439">
        <v>1380236</v>
      </c>
      <c r="G3439" t="s">
        <v>2876</v>
      </c>
      <c r="H3439" s="21">
        <v>1294.42</v>
      </c>
    </row>
    <row r="3440" spans="1:8" customFormat="1" x14ac:dyDescent="0.25">
      <c r="A3440" t="str">
        <f>"9126949"</f>
        <v>9126949</v>
      </c>
      <c r="B3440" t="s">
        <v>3189</v>
      </c>
      <c r="C3440" t="s">
        <v>926</v>
      </c>
      <c r="D3440" s="21" t="s">
        <v>34</v>
      </c>
      <c r="E3440" s="21" t="s">
        <v>35</v>
      </c>
      <c r="F3440">
        <v>3560050</v>
      </c>
      <c r="G3440" t="s">
        <v>5322</v>
      </c>
      <c r="H3440" s="21">
        <v>1294.42</v>
      </c>
    </row>
    <row r="3441" spans="1:8" customFormat="1" x14ac:dyDescent="0.25">
      <c r="A3441" t="str">
        <f>"3525619"</f>
        <v>3525619</v>
      </c>
      <c r="B3441" t="s">
        <v>3793</v>
      </c>
      <c r="C3441" t="s">
        <v>119</v>
      </c>
      <c r="D3441" s="21" t="s">
        <v>34</v>
      </c>
      <c r="E3441" s="21" t="s">
        <v>35</v>
      </c>
      <c r="F3441">
        <v>3560034</v>
      </c>
      <c r="G3441" t="s">
        <v>2220</v>
      </c>
      <c r="H3441" s="21">
        <v>1294.17</v>
      </c>
    </row>
    <row r="3442" spans="1:8" customFormat="1" x14ac:dyDescent="0.25">
      <c r="A3442" t="str">
        <f>"925884"</f>
        <v>925884</v>
      </c>
      <c r="B3442" t="s">
        <v>26794</v>
      </c>
      <c r="C3442" t="s">
        <v>462</v>
      </c>
      <c r="D3442" s="21" t="s">
        <v>34</v>
      </c>
      <c r="E3442" s="21" t="s">
        <v>35</v>
      </c>
      <c r="F3442">
        <v>11340008</v>
      </c>
      <c r="G3442" t="s">
        <v>312</v>
      </c>
      <c r="H3442" s="21">
        <v>1294.17</v>
      </c>
    </row>
    <row r="3443" spans="1:8" customFormat="1" x14ac:dyDescent="0.25">
      <c r="A3443" t="str">
        <f>"7610767"</f>
        <v>7610767</v>
      </c>
      <c r="B3443" t="s">
        <v>431</v>
      </c>
      <c r="C3443" t="s">
        <v>60</v>
      </c>
      <c r="D3443" s="21" t="s">
        <v>34</v>
      </c>
      <c r="E3443" s="21" t="s">
        <v>35</v>
      </c>
      <c r="F3443">
        <v>9760266</v>
      </c>
      <c r="G3443" t="s">
        <v>1891</v>
      </c>
      <c r="H3443" s="21">
        <v>1294.17</v>
      </c>
    </row>
    <row r="3444" spans="1:8" customFormat="1" x14ac:dyDescent="0.25">
      <c r="A3444" t="str">
        <f>"7623260"</f>
        <v>7623260</v>
      </c>
      <c r="B3444" t="s">
        <v>3689</v>
      </c>
      <c r="C3444" t="s">
        <v>269</v>
      </c>
      <c r="D3444" s="21" t="s">
        <v>34</v>
      </c>
      <c r="E3444" s="21" t="s">
        <v>71</v>
      </c>
      <c r="F3444">
        <v>9760270</v>
      </c>
      <c r="G3444" t="s">
        <v>4167</v>
      </c>
      <c r="H3444" s="21">
        <v>1294.17</v>
      </c>
    </row>
    <row r="3445" spans="1:8" customFormat="1" x14ac:dyDescent="0.25">
      <c r="A3445" t="str">
        <f>"442543"</f>
        <v>442543</v>
      </c>
      <c r="B3445" t="s">
        <v>5033</v>
      </c>
      <c r="C3445" t="s">
        <v>381</v>
      </c>
      <c r="D3445" s="21" t="s">
        <v>34</v>
      </c>
      <c r="E3445" s="21" t="s">
        <v>71</v>
      </c>
      <c r="F3445">
        <v>12440009</v>
      </c>
      <c r="G3445" t="s">
        <v>1983</v>
      </c>
      <c r="H3445" s="21">
        <v>1294.17</v>
      </c>
    </row>
    <row r="3446" spans="1:8" customFormat="1" x14ac:dyDescent="0.25">
      <c r="A3446" t="str">
        <f>"02288"</f>
        <v>02288</v>
      </c>
      <c r="B3446" t="s">
        <v>3970</v>
      </c>
      <c r="C3446" t="s">
        <v>55</v>
      </c>
      <c r="D3446" s="21" t="s">
        <v>34</v>
      </c>
      <c r="E3446" s="21" t="s">
        <v>35</v>
      </c>
      <c r="F3446">
        <v>7020015</v>
      </c>
      <c r="G3446" t="s">
        <v>1289</v>
      </c>
      <c r="H3446" s="21">
        <v>1294.17</v>
      </c>
    </row>
    <row r="3447" spans="1:8" customFormat="1" x14ac:dyDescent="0.25">
      <c r="A3447" t="str">
        <f>"6314039"</f>
        <v>6314039</v>
      </c>
      <c r="B3447" t="s">
        <v>4727</v>
      </c>
      <c r="C3447" t="s">
        <v>65</v>
      </c>
      <c r="D3447" s="21" t="s">
        <v>34</v>
      </c>
      <c r="E3447" s="21" t="s">
        <v>35</v>
      </c>
      <c r="F3447">
        <v>1630015</v>
      </c>
      <c r="G3447" t="s">
        <v>2097</v>
      </c>
      <c r="H3447" s="21">
        <v>1293.93</v>
      </c>
    </row>
    <row r="3448" spans="1:8" customFormat="1" x14ac:dyDescent="0.25">
      <c r="A3448" t="str">
        <f>"5913223"</f>
        <v>5913223</v>
      </c>
      <c r="B3448" t="s">
        <v>5112</v>
      </c>
      <c r="C3448" t="s">
        <v>121</v>
      </c>
      <c r="D3448" s="21" t="s">
        <v>34</v>
      </c>
      <c r="E3448" s="21" t="s">
        <v>35</v>
      </c>
      <c r="F3448">
        <v>7620103</v>
      </c>
      <c r="G3448" t="s">
        <v>1107</v>
      </c>
      <c r="H3448" s="21">
        <v>1293.92</v>
      </c>
    </row>
    <row r="3449" spans="1:8" customFormat="1" x14ac:dyDescent="0.25">
      <c r="A3449" t="str">
        <f>"919751"</f>
        <v>919751</v>
      </c>
      <c r="B3449" t="s">
        <v>4376</v>
      </c>
      <c r="C3449" t="s">
        <v>267</v>
      </c>
      <c r="D3449" s="21" t="s">
        <v>34</v>
      </c>
      <c r="E3449" s="21" t="s">
        <v>35</v>
      </c>
      <c r="F3449">
        <v>8910303</v>
      </c>
      <c r="G3449" t="s">
        <v>1244</v>
      </c>
      <c r="H3449" s="21">
        <v>1293.8</v>
      </c>
    </row>
    <row r="3450" spans="1:8" customFormat="1" x14ac:dyDescent="0.25">
      <c r="A3450" t="str">
        <f>"7615069"</f>
        <v>7615069</v>
      </c>
      <c r="B3450" t="s">
        <v>2613</v>
      </c>
      <c r="C3450" t="s">
        <v>55</v>
      </c>
      <c r="D3450" s="21" t="s">
        <v>34</v>
      </c>
      <c r="E3450" s="21" t="s">
        <v>71</v>
      </c>
      <c r="F3450">
        <v>9760104</v>
      </c>
      <c r="G3450" t="s">
        <v>26795</v>
      </c>
      <c r="H3450" s="21">
        <v>1293.8</v>
      </c>
    </row>
    <row r="3451" spans="1:8" customFormat="1" x14ac:dyDescent="0.25">
      <c r="A3451" t="str">
        <f>"6014977"</f>
        <v>6014977</v>
      </c>
      <c r="B3451" t="s">
        <v>3919</v>
      </c>
      <c r="C3451" t="s">
        <v>3920</v>
      </c>
      <c r="D3451" s="21" t="s">
        <v>34</v>
      </c>
      <c r="E3451" s="21" t="s">
        <v>35</v>
      </c>
      <c r="F3451">
        <v>7600088</v>
      </c>
      <c r="G3451" t="s">
        <v>334</v>
      </c>
      <c r="H3451" s="21">
        <v>1293.67</v>
      </c>
    </row>
    <row r="3452" spans="1:8" customFormat="1" x14ac:dyDescent="0.25">
      <c r="A3452" t="str">
        <f>"7213086"</f>
        <v>7213086</v>
      </c>
      <c r="B3452" t="s">
        <v>3961</v>
      </c>
      <c r="C3452" t="s">
        <v>96</v>
      </c>
      <c r="D3452" s="21" t="s">
        <v>34</v>
      </c>
      <c r="E3452" s="21" t="s">
        <v>35</v>
      </c>
      <c r="F3452">
        <v>12720120</v>
      </c>
      <c r="G3452" t="s">
        <v>2509</v>
      </c>
      <c r="H3452" s="21">
        <v>1293.67</v>
      </c>
    </row>
    <row r="3453" spans="1:8" customFormat="1" x14ac:dyDescent="0.25">
      <c r="A3453" t="str">
        <f>"9519944"</f>
        <v>9519944</v>
      </c>
      <c r="B3453" t="s">
        <v>4188</v>
      </c>
      <c r="C3453" t="s">
        <v>65</v>
      </c>
      <c r="D3453" s="21" t="s">
        <v>34</v>
      </c>
      <c r="E3453" s="21" t="s">
        <v>35</v>
      </c>
      <c r="F3453">
        <v>10190054</v>
      </c>
      <c r="G3453" t="s">
        <v>4189</v>
      </c>
      <c r="H3453" s="21">
        <v>1293.67</v>
      </c>
    </row>
    <row r="3454" spans="1:8" customFormat="1" x14ac:dyDescent="0.25">
      <c r="A3454" t="str">
        <f>"6936827"</f>
        <v>6936827</v>
      </c>
      <c r="B3454" t="s">
        <v>4128</v>
      </c>
      <c r="C3454" t="s">
        <v>249</v>
      </c>
      <c r="D3454" s="21" t="s">
        <v>34</v>
      </c>
      <c r="E3454" s="21" t="s">
        <v>71</v>
      </c>
      <c r="F3454">
        <v>1690166</v>
      </c>
      <c r="G3454" t="s">
        <v>3886</v>
      </c>
      <c r="H3454" s="21">
        <v>1293.67</v>
      </c>
    </row>
    <row r="3455" spans="1:8" customFormat="1" x14ac:dyDescent="0.25">
      <c r="A3455" t="str">
        <f>"6914738"</f>
        <v>6914738</v>
      </c>
      <c r="B3455" t="s">
        <v>1094</v>
      </c>
      <c r="C3455" t="s">
        <v>2678</v>
      </c>
      <c r="D3455" s="21" t="s">
        <v>34</v>
      </c>
      <c r="E3455" s="21" t="s">
        <v>35</v>
      </c>
      <c r="F3455">
        <v>6680102</v>
      </c>
      <c r="G3455" t="s">
        <v>1232</v>
      </c>
      <c r="H3455" s="21">
        <v>1293.67</v>
      </c>
    </row>
    <row r="3456" spans="1:8" customFormat="1" x14ac:dyDescent="0.25">
      <c r="A3456" t="str">
        <f>"505885"</f>
        <v>505885</v>
      </c>
      <c r="B3456" t="s">
        <v>4414</v>
      </c>
      <c r="C3456" t="s">
        <v>119</v>
      </c>
      <c r="D3456" s="21" t="s">
        <v>34</v>
      </c>
      <c r="E3456" s="21" t="s">
        <v>71</v>
      </c>
      <c r="F3456">
        <v>9500093</v>
      </c>
      <c r="G3456" t="s">
        <v>1808</v>
      </c>
      <c r="H3456" s="21">
        <v>1293.67</v>
      </c>
    </row>
    <row r="3457" spans="1:8" customFormat="1" x14ac:dyDescent="0.25">
      <c r="A3457" t="str">
        <f>"3528699"</f>
        <v>3528699</v>
      </c>
      <c r="B3457" t="s">
        <v>4438</v>
      </c>
      <c r="C3457" t="s">
        <v>598</v>
      </c>
      <c r="D3457" s="21" t="s">
        <v>34</v>
      </c>
      <c r="E3457" s="21" t="s">
        <v>71</v>
      </c>
      <c r="F3457">
        <v>3350016</v>
      </c>
      <c r="G3457" t="s">
        <v>133</v>
      </c>
      <c r="H3457" s="21">
        <v>1293.67</v>
      </c>
    </row>
    <row r="3458" spans="1:8" customFormat="1" x14ac:dyDescent="0.25">
      <c r="A3458" t="str">
        <f>"1821"</f>
        <v>1821</v>
      </c>
      <c r="B3458" t="s">
        <v>208</v>
      </c>
      <c r="C3458" t="s">
        <v>98</v>
      </c>
      <c r="D3458" s="21" t="s">
        <v>34</v>
      </c>
      <c r="E3458" s="21" t="s">
        <v>71</v>
      </c>
      <c r="F3458">
        <v>4180041</v>
      </c>
      <c r="G3458" t="s">
        <v>1740</v>
      </c>
      <c r="H3458" s="21">
        <v>1293.67</v>
      </c>
    </row>
    <row r="3459" spans="1:8" customFormat="1" x14ac:dyDescent="0.25">
      <c r="A3459" t="str">
        <f>"2912038"</f>
        <v>2912038</v>
      </c>
      <c r="B3459" t="s">
        <v>26796</v>
      </c>
      <c r="C3459" t="s">
        <v>244</v>
      </c>
      <c r="D3459" s="21" t="s">
        <v>34</v>
      </c>
      <c r="E3459" s="21" t="s">
        <v>35</v>
      </c>
      <c r="F3459">
        <v>3290273</v>
      </c>
      <c r="G3459" t="s">
        <v>2972</v>
      </c>
      <c r="H3459" s="21">
        <v>1293.54</v>
      </c>
    </row>
    <row r="3460" spans="1:8" customFormat="1" x14ac:dyDescent="0.25">
      <c r="A3460" t="str">
        <f>"533876"</f>
        <v>533876</v>
      </c>
      <c r="B3460" t="s">
        <v>3878</v>
      </c>
      <c r="C3460" t="s">
        <v>267</v>
      </c>
      <c r="D3460" s="21" t="s">
        <v>34</v>
      </c>
      <c r="E3460" s="21" t="s">
        <v>254</v>
      </c>
      <c r="F3460">
        <v>12530147</v>
      </c>
      <c r="G3460" t="s">
        <v>1851</v>
      </c>
      <c r="H3460" s="21">
        <v>1293.42</v>
      </c>
    </row>
    <row r="3461" spans="1:8" customFormat="1" x14ac:dyDescent="0.25">
      <c r="A3461" t="str">
        <f>"186080"</f>
        <v>186080</v>
      </c>
      <c r="B3461" t="s">
        <v>4387</v>
      </c>
      <c r="C3461" t="s">
        <v>2121</v>
      </c>
      <c r="D3461" s="21" t="s">
        <v>34</v>
      </c>
      <c r="E3461" s="21" t="s">
        <v>35</v>
      </c>
      <c r="F3461">
        <v>12720021</v>
      </c>
      <c r="G3461" t="s">
        <v>3329</v>
      </c>
      <c r="H3461" s="21">
        <v>1293.42</v>
      </c>
    </row>
    <row r="3462" spans="1:8" customFormat="1" x14ac:dyDescent="0.25">
      <c r="A3462" t="str">
        <f>"3321363"</f>
        <v>3321363</v>
      </c>
      <c r="B3462" t="s">
        <v>4249</v>
      </c>
      <c r="C3462" t="s">
        <v>198</v>
      </c>
      <c r="D3462" s="21" t="s">
        <v>34</v>
      </c>
      <c r="E3462" s="21" t="s">
        <v>71</v>
      </c>
      <c r="F3462">
        <v>10330003</v>
      </c>
      <c r="G3462" t="s">
        <v>309</v>
      </c>
      <c r="H3462" s="21">
        <v>1293.3</v>
      </c>
    </row>
    <row r="3463" spans="1:8" customFormat="1" x14ac:dyDescent="0.25">
      <c r="A3463" t="str">
        <f>"3527113"</f>
        <v>3527113</v>
      </c>
      <c r="B3463" t="s">
        <v>4711</v>
      </c>
      <c r="C3463" t="s">
        <v>169</v>
      </c>
      <c r="D3463" s="21" t="s">
        <v>34</v>
      </c>
      <c r="E3463" s="21" t="s">
        <v>71</v>
      </c>
      <c r="F3463">
        <v>3350011</v>
      </c>
      <c r="G3463" t="s">
        <v>2404</v>
      </c>
      <c r="H3463" s="21">
        <v>1293.17</v>
      </c>
    </row>
    <row r="3464" spans="1:8" customFormat="1" x14ac:dyDescent="0.25">
      <c r="A3464" t="str">
        <f>"219614"</f>
        <v>219614</v>
      </c>
      <c r="B3464" t="s">
        <v>5060</v>
      </c>
      <c r="C3464" t="s">
        <v>462</v>
      </c>
      <c r="D3464" s="21" t="s">
        <v>34</v>
      </c>
      <c r="E3464" s="21" t="s">
        <v>71</v>
      </c>
      <c r="F3464">
        <v>2210052</v>
      </c>
      <c r="G3464" t="s">
        <v>1070</v>
      </c>
      <c r="H3464" s="21">
        <v>1293.17</v>
      </c>
    </row>
    <row r="3465" spans="1:8" customFormat="1" x14ac:dyDescent="0.25">
      <c r="A3465" t="str">
        <f>"6714596"</f>
        <v>6714596</v>
      </c>
      <c r="B3465" t="s">
        <v>4257</v>
      </c>
      <c r="C3465" t="s">
        <v>55</v>
      </c>
      <c r="D3465" s="21" t="s">
        <v>34</v>
      </c>
      <c r="E3465" s="21" t="s">
        <v>71</v>
      </c>
      <c r="F3465">
        <v>6670014</v>
      </c>
      <c r="G3465" t="s">
        <v>4258</v>
      </c>
      <c r="H3465" s="21">
        <v>1293.17</v>
      </c>
    </row>
    <row r="3466" spans="1:8" customFormat="1" x14ac:dyDescent="0.25">
      <c r="A3466" t="str">
        <f>"892578"</f>
        <v>892578</v>
      </c>
      <c r="B3466" t="s">
        <v>26797</v>
      </c>
      <c r="C3466" t="s">
        <v>10760</v>
      </c>
      <c r="D3466" s="21" t="s">
        <v>34</v>
      </c>
      <c r="E3466" s="21" t="s">
        <v>35</v>
      </c>
      <c r="F3466">
        <v>11340014</v>
      </c>
      <c r="G3466" t="s">
        <v>1455</v>
      </c>
      <c r="H3466" s="21">
        <v>1292.92</v>
      </c>
    </row>
    <row r="3467" spans="1:8" customFormat="1" x14ac:dyDescent="0.25">
      <c r="A3467" t="str">
        <f>"3323741"</f>
        <v>3323741</v>
      </c>
      <c r="B3467" t="s">
        <v>4195</v>
      </c>
      <c r="C3467" t="s">
        <v>269</v>
      </c>
      <c r="D3467" s="21" t="s">
        <v>34</v>
      </c>
      <c r="E3467" s="21" t="s">
        <v>71</v>
      </c>
      <c r="F3467">
        <v>10330031</v>
      </c>
      <c r="G3467" t="s">
        <v>2452</v>
      </c>
      <c r="H3467" s="21">
        <v>1292.8</v>
      </c>
    </row>
    <row r="3468" spans="1:8" customFormat="1" x14ac:dyDescent="0.25">
      <c r="A3468" t="str">
        <f>"7811976"</f>
        <v>7811976</v>
      </c>
      <c r="B3468" t="s">
        <v>3661</v>
      </c>
      <c r="C3468" t="s">
        <v>305</v>
      </c>
      <c r="D3468" s="21" t="s">
        <v>34</v>
      </c>
      <c r="E3468" s="21" t="s">
        <v>35</v>
      </c>
      <c r="F3468">
        <v>8780114</v>
      </c>
      <c r="G3468" t="s">
        <v>927</v>
      </c>
      <c r="H3468" s="21">
        <v>1292.68</v>
      </c>
    </row>
    <row r="3469" spans="1:8" customFormat="1" x14ac:dyDescent="0.25">
      <c r="A3469" t="str">
        <f>"2923119"</f>
        <v>2923119</v>
      </c>
      <c r="B3469" t="s">
        <v>4308</v>
      </c>
      <c r="C3469" t="s">
        <v>263</v>
      </c>
      <c r="D3469" s="21" t="s">
        <v>34</v>
      </c>
      <c r="E3469" s="21" t="s">
        <v>35</v>
      </c>
      <c r="F3469">
        <v>3290018</v>
      </c>
      <c r="G3469" t="s">
        <v>1706</v>
      </c>
      <c r="H3469" s="21">
        <v>1292.67</v>
      </c>
    </row>
    <row r="3470" spans="1:8" customFormat="1" x14ac:dyDescent="0.25">
      <c r="A3470" t="str">
        <f>"5718140"</f>
        <v>5718140</v>
      </c>
      <c r="B3470" t="s">
        <v>4586</v>
      </c>
      <c r="C3470" t="s">
        <v>263</v>
      </c>
      <c r="D3470" s="21" t="s">
        <v>34</v>
      </c>
      <c r="E3470" s="21" t="s">
        <v>71</v>
      </c>
      <c r="F3470">
        <v>6570111</v>
      </c>
      <c r="G3470" t="s">
        <v>99</v>
      </c>
      <c r="H3470" s="21">
        <v>1292.67</v>
      </c>
    </row>
    <row r="3471" spans="1:8" customFormat="1" x14ac:dyDescent="0.25">
      <c r="A3471" t="str">
        <f>"5933901"</f>
        <v>5933901</v>
      </c>
      <c r="B3471" t="s">
        <v>2615</v>
      </c>
      <c r="C3471" t="s">
        <v>4235</v>
      </c>
      <c r="D3471" s="21" t="s">
        <v>34</v>
      </c>
      <c r="E3471" s="21" t="s">
        <v>71</v>
      </c>
      <c r="F3471">
        <v>7620100</v>
      </c>
      <c r="G3471" t="s">
        <v>145</v>
      </c>
      <c r="H3471" s="21">
        <v>1292.67</v>
      </c>
    </row>
    <row r="3472" spans="1:8" customFormat="1" x14ac:dyDescent="0.25">
      <c r="A3472" t="str">
        <f>"72421"</f>
        <v>72421</v>
      </c>
      <c r="B3472" t="s">
        <v>4148</v>
      </c>
      <c r="C3472" t="s">
        <v>209</v>
      </c>
      <c r="D3472" s="21" t="s">
        <v>34</v>
      </c>
      <c r="E3472" s="21" t="s">
        <v>71</v>
      </c>
      <c r="F3472">
        <v>12720120</v>
      </c>
      <c r="G3472" t="s">
        <v>2509</v>
      </c>
      <c r="H3472" s="21">
        <v>1292.17</v>
      </c>
    </row>
    <row r="3473" spans="1:8" customFormat="1" x14ac:dyDescent="0.25">
      <c r="A3473" t="str">
        <f>"672275"</f>
        <v>672275</v>
      </c>
      <c r="B3473" t="s">
        <v>4166</v>
      </c>
      <c r="C3473" t="s">
        <v>462</v>
      </c>
      <c r="D3473" s="21" t="s">
        <v>34</v>
      </c>
      <c r="E3473" s="21" t="s">
        <v>71</v>
      </c>
      <c r="F3473">
        <v>6670257</v>
      </c>
      <c r="G3473" t="s">
        <v>26708</v>
      </c>
      <c r="H3473" s="21">
        <v>1292.17</v>
      </c>
    </row>
    <row r="3474" spans="1:8" customFormat="1" x14ac:dyDescent="0.25">
      <c r="A3474" t="str">
        <f>"429694"</f>
        <v>429694</v>
      </c>
      <c r="B3474" t="s">
        <v>4462</v>
      </c>
      <c r="C3474" t="s">
        <v>209</v>
      </c>
      <c r="D3474" s="21" t="s">
        <v>34</v>
      </c>
      <c r="E3474" s="21" t="s">
        <v>71</v>
      </c>
      <c r="F3474">
        <v>8750007</v>
      </c>
      <c r="G3474" t="s">
        <v>775</v>
      </c>
      <c r="H3474" s="21">
        <v>1291.92</v>
      </c>
    </row>
    <row r="3475" spans="1:8" customFormat="1" x14ac:dyDescent="0.25">
      <c r="A3475" t="str">
        <f>"251306"</f>
        <v>251306</v>
      </c>
      <c r="B3475" t="s">
        <v>4768</v>
      </c>
      <c r="C3475" t="s">
        <v>90</v>
      </c>
      <c r="D3475" s="21" t="s">
        <v>34</v>
      </c>
      <c r="E3475" s="21" t="s">
        <v>35</v>
      </c>
      <c r="F3475">
        <v>2250154</v>
      </c>
      <c r="G3475" t="s">
        <v>1973</v>
      </c>
      <c r="H3475" s="21">
        <v>1291.67</v>
      </c>
    </row>
    <row r="3476" spans="1:8" customFormat="1" x14ac:dyDescent="0.25">
      <c r="A3476" t="str">
        <f>"511084"</f>
        <v>511084</v>
      </c>
      <c r="B3476" t="s">
        <v>4292</v>
      </c>
      <c r="C3476" t="s">
        <v>98</v>
      </c>
      <c r="D3476" s="21" t="s">
        <v>34</v>
      </c>
      <c r="E3476" s="21" t="s">
        <v>35</v>
      </c>
      <c r="F3476">
        <v>6510112</v>
      </c>
      <c r="G3476" t="s">
        <v>588</v>
      </c>
      <c r="H3476" s="21">
        <v>1291.67</v>
      </c>
    </row>
    <row r="3477" spans="1:8" customFormat="1" x14ac:dyDescent="0.25">
      <c r="A3477" t="str">
        <f>"5914780"</f>
        <v>5914780</v>
      </c>
      <c r="B3477" t="s">
        <v>4788</v>
      </c>
      <c r="C3477" t="s">
        <v>169</v>
      </c>
      <c r="D3477" s="21" t="s">
        <v>34</v>
      </c>
      <c r="E3477" s="21" t="s">
        <v>35</v>
      </c>
      <c r="F3477">
        <v>7590127</v>
      </c>
      <c r="G3477" t="s">
        <v>214</v>
      </c>
      <c r="H3477" s="21">
        <v>1291.67</v>
      </c>
    </row>
    <row r="3478" spans="1:8" customFormat="1" x14ac:dyDescent="0.25">
      <c r="A3478" t="str">
        <f>"722653"</f>
        <v>722653</v>
      </c>
      <c r="B3478" t="s">
        <v>1872</v>
      </c>
      <c r="C3478" t="s">
        <v>2907</v>
      </c>
      <c r="D3478" s="21" t="s">
        <v>34</v>
      </c>
      <c r="E3478" s="21" t="s">
        <v>35</v>
      </c>
      <c r="F3478">
        <v>12720041</v>
      </c>
      <c r="G3478" t="s">
        <v>4240</v>
      </c>
      <c r="H3478" s="21">
        <v>1291.67</v>
      </c>
    </row>
    <row r="3479" spans="1:8" customFormat="1" x14ac:dyDescent="0.25">
      <c r="A3479" t="str">
        <f>"4922400"</f>
        <v>4922400</v>
      </c>
      <c r="B3479" t="s">
        <v>3972</v>
      </c>
      <c r="C3479" t="s">
        <v>174</v>
      </c>
      <c r="D3479" s="21" t="s">
        <v>34</v>
      </c>
      <c r="E3479" s="21" t="s">
        <v>35</v>
      </c>
      <c r="F3479">
        <v>12490006</v>
      </c>
      <c r="G3479" t="s">
        <v>1480</v>
      </c>
      <c r="H3479" s="21">
        <v>1291.42</v>
      </c>
    </row>
    <row r="3480" spans="1:8" customFormat="1" x14ac:dyDescent="0.25">
      <c r="A3480" t="str">
        <f>"94150"</f>
        <v>94150</v>
      </c>
      <c r="B3480" t="s">
        <v>4326</v>
      </c>
      <c r="C3480" t="s">
        <v>2305</v>
      </c>
      <c r="D3480" s="21" t="s">
        <v>34</v>
      </c>
      <c r="E3480" s="21" t="s">
        <v>254</v>
      </c>
      <c r="F3480">
        <v>8940033</v>
      </c>
      <c r="G3480" t="s">
        <v>1376</v>
      </c>
      <c r="H3480" s="21">
        <v>1291.3</v>
      </c>
    </row>
    <row r="3481" spans="1:8" customFormat="1" x14ac:dyDescent="0.25">
      <c r="A3481" t="str">
        <f>"903451"</f>
        <v>903451</v>
      </c>
      <c r="B3481" t="s">
        <v>17740</v>
      </c>
      <c r="C3481" t="s">
        <v>60</v>
      </c>
      <c r="D3481" s="21" t="s">
        <v>34</v>
      </c>
      <c r="E3481" s="21" t="s">
        <v>35</v>
      </c>
      <c r="F3481">
        <v>2900003</v>
      </c>
      <c r="G3481" t="s">
        <v>1742</v>
      </c>
      <c r="H3481" s="21">
        <v>1291.3</v>
      </c>
    </row>
    <row r="3482" spans="1:8" customFormat="1" x14ac:dyDescent="0.25">
      <c r="A3482" t="str">
        <f>"2913218"</f>
        <v>2913218</v>
      </c>
      <c r="B3482" t="s">
        <v>1551</v>
      </c>
      <c r="C3482" t="s">
        <v>1803</v>
      </c>
      <c r="D3482" s="21" t="s">
        <v>34</v>
      </c>
      <c r="E3482" s="21" t="s">
        <v>35</v>
      </c>
      <c r="F3482">
        <v>3290036</v>
      </c>
      <c r="G3482" t="s">
        <v>3903</v>
      </c>
      <c r="H3482" s="21">
        <v>1291.17</v>
      </c>
    </row>
    <row r="3483" spans="1:8" customFormat="1" x14ac:dyDescent="0.25">
      <c r="A3483" t="str">
        <f>"643595"</f>
        <v>643595</v>
      </c>
      <c r="B3483" t="s">
        <v>4445</v>
      </c>
      <c r="C3483" t="s">
        <v>169</v>
      </c>
      <c r="D3483" s="21" t="s">
        <v>34</v>
      </c>
      <c r="E3483" s="21" t="s">
        <v>35</v>
      </c>
      <c r="F3483">
        <v>10640006</v>
      </c>
      <c r="G3483" t="s">
        <v>3872</v>
      </c>
      <c r="H3483" s="21">
        <v>1291.17</v>
      </c>
    </row>
    <row r="3484" spans="1:8" customFormat="1" x14ac:dyDescent="0.25">
      <c r="A3484" t="str">
        <f>"622560"</f>
        <v>622560</v>
      </c>
      <c r="B3484" t="s">
        <v>4321</v>
      </c>
      <c r="C3484" t="s">
        <v>109</v>
      </c>
      <c r="D3484" s="21" t="s">
        <v>34</v>
      </c>
      <c r="E3484" s="21" t="s">
        <v>35</v>
      </c>
      <c r="F3484">
        <v>7620103</v>
      </c>
      <c r="G3484" t="s">
        <v>1107</v>
      </c>
      <c r="H3484" s="21">
        <v>1290.67</v>
      </c>
    </row>
    <row r="3485" spans="1:8" customFormat="1" x14ac:dyDescent="0.25">
      <c r="A3485" t="str">
        <f>"676473"</f>
        <v>676473</v>
      </c>
      <c r="B3485" t="s">
        <v>4301</v>
      </c>
      <c r="C3485" t="s">
        <v>1104</v>
      </c>
      <c r="D3485" s="21" t="s">
        <v>34</v>
      </c>
      <c r="E3485" s="21" t="s">
        <v>71</v>
      </c>
      <c r="F3485">
        <v>6670115</v>
      </c>
      <c r="G3485" t="s">
        <v>3798</v>
      </c>
      <c r="H3485" s="21">
        <v>1290.67</v>
      </c>
    </row>
    <row r="3486" spans="1:8" customFormat="1" x14ac:dyDescent="0.25">
      <c r="A3486" t="str">
        <f>"9219853"</f>
        <v>9219853</v>
      </c>
      <c r="B3486" t="s">
        <v>457</v>
      </c>
      <c r="C3486" t="s">
        <v>305</v>
      </c>
      <c r="D3486" s="21" t="s">
        <v>34</v>
      </c>
      <c r="E3486" s="21" t="s">
        <v>35</v>
      </c>
      <c r="F3486">
        <v>10330117</v>
      </c>
      <c r="G3486" t="s">
        <v>1942</v>
      </c>
      <c r="H3486" s="21">
        <v>1290.67</v>
      </c>
    </row>
    <row r="3487" spans="1:8" customFormat="1" x14ac:dyDescent="0.25">
      <c r="A3487" t="str">
        <f>"263470"</f>
        <v>263470</v>
      </c>
      <c r="B3487" t="s">
        <v>5140</v>
      </c>
      <c r="C3487" t="s">
        <v>269</v>
      </c>
      <c r="D3487" s="21" t="s">
        <v>34</v>
      </c>
      <c r="E3487" s="21" t="s">
        <v>35</v>
      </c>
      <c r="F3487">
        <v>1260045</v>
      </c>
      <c r="G3487" t="s">
        <v>401</v>
      </c>
      <c r="H3487" s="21">
        <v>1290.67</v>
      </c>
    </row>
    <row r="3488" spans="1:8" customFormat="1" x14ac:dyDescent="0.25">
      <c r="A3488" t="str">
        <f>"4217130"</f>
        <v>4217130</v>
      </c>
      <c r="B3488" t="s">
        <v>5895</v>
      </c>
      <c r="C3488" t="s">
        <v>60</v>
      </c>
      <c r="D3488" s="21" t="s">
        <v>34</v>
      </c>
      <c r="E3488" s="21" t="s">
        <v>35</v>
      </c>
      <c r="F3488">
        <v>1420149</v>
      </c>
      <c r="G3488" t="s">
        <v>818</v>
      </c>
      <c r="H3488" s="21">
        <v>1290.18</v>
      </c>
    </row>
    <row r="3489" spans="1:8" customFormat="1" x14ac:dyDescent="0.25">
      <c r="A3489" t="str">
        <f>"904722"</f>
        <v>904722</v>
      </c>
      <c r="B3489" t="s">
        <v>5235</v>
      </c>
      <c r="C3489" t="s">
        <v>139</v>
      </c>
      <c r="D3489" s="21" t="s">
        <v>34</v>
      </c>
      <c r="E3489" s="21" t="s">
        <v>35</v>
      </c>
      <c r="F3489">
        <v>2900023</v>
      </c>
      <c r="G3489" t="s">
        <v>4360</v>
      </c>
      <c r="H3489" s="21">
        <v>1290.17</v>
      </c>
    </row>
    <row r="3490" spans="1:8" customFormat="1" x14ac:dyDescent="0.25">
      <c r="A3490" t="str">
        <f>"277770"</f>
        <v>277770</v>
      </c>
      <c r="B3490" t="s">
        <v>2052</v>
      </c>
      <c r="C3490" t="s">
        <v>415</v>
      </c>
      <c r="D3490" s="21" t="s">
        <v>34</v>
      </c>
      <c r="E3490" s="21" t="s">
        <v>254</v>
      </c>
      <c r="F3490">
        <v>9270005</v>
      </c>
      <c r="G3490" t="s">
        <v>1255</v>
      </c>
      <c r="H3490" s="21">
        <v>1290.17</v>
      </c>
    </row>
    <row r="3491" spans="1:8" customFormat="1" x14ac:dyDescent="0.25">
      <c r="A3491" t="str">
        <f>"7614009"</f>
        <v>7614009</v>
      </c>
      <c r="B3491" t="s">
        <v>1558</v>
      </c>
      <c r="C3491" t="s">
        <v>275</v>
      </c>
      <c r="D3491" s="21" t="s">
        <v>34</v>
      </c>
      <c r="E3491" s="21" t="s">
        <v>35</v>
      </c>
      <c r="F3491">
        <v>1690175</v>
      </c>
      <c r="G3491" t="s">
        <v>410</v>
      </c>
      <c r="H3491" s="21">
        <v>1290.17</v>
      </c>
    </row>
    <row r="3492" spans="1:8" customFormat="1" x14ac:dyDescent="0.25">
      <c r="A3492" t="str">
        <f>"43877"</f>
        <v>43877</v>
      </c>
      <c r="B3492" t="s">
        <v>4583</v>
      </c>
      <c r="C3492" t="s">
        <v>1708</v>
      </c>
      <c r="D3492" s="21" t="s">
        <v>34</v>
      </c>
      <c r="E3492" s="21" t="s">
        <v>35</v>
      </c>
      <c r="F3492">
        <v>1420309</v>
      </c>
      <c r="G3492" t="s">
        <v>26798</v>
      </c>
      <c r="H3492" s="21">
        <v>1290.17</v>
      </c>
    </row>
    <row r="3493" spans="1:8" customFormat="1" x14ac:dyDescent="0.25">
      <c r="A3493" t="str">
        <f>"3112406"</f>
        <v>3112406</v>
      </c>
      <c r="B3493" t="s">
        <v>5343</v>
      </c>
      <c r="C3493" t="s">
        <v>121</v>
      </c>
      <c r="D3493" s="21" t="s">
        <v>34</v>
      </c>
      <c r="E3493" s="21" t="s">
        <v>35</v>
      </c>
      <c r="F3493">
        <v>1420017</v>
      </c>
      <c r="G3493" t="s">
        <v>1296</v>
      </c>
      <c r="H3493" s="21">
        <v>1289.92</v>
      </c>
    </row>
    <row r="3494" spans="1:8" customFormat="1" x14ac:dyDescent="0.25">
      <c r="A3494" t="str">
        <f>"9519876"</f>
        <v>9519876</v>
      </c>
      <c r="B3494" t="s">
        <v>727</v>
      </c>
      <c r="C3494" t="s">
        <v>114</v>
      </c>
      <c r="D3494" s="21" t="s">
        <v>34</v>
      </c>
      <c r="E3494" s="21" t="s">
        <v>35</v>
      </c>
      <c r="F3494">
        <v>8950330</v>
      </c>
      <c r="G3494" t="s">
        <v>794</v>
      </c>
      <c r="H3494" s="21">
        <v>1289.68</v>
      </c>
    </row>
    <row r="3495" spans="1:8" customFormat="1" x14ac:dyDescent="0.25">
      <c r="A3495" t="str">
        <f>"865448"</f>
        <v>865448</v>
      </c>
      <c r="B3495" t="s">
        <v>4681</v>
      </c>
      <c r="C3495" t="s">
        <v>119</v>
      </c>
      <c r="D3495" s="21" t="s">
        <v>34</v>
      </c>
      <c r="E3495" s="21" t="s">
        <v>35</v>
      </c>
      <c r="F3495">
        <v>10860016</v>
      </c>
      <c r="G3495" t="s">
        <v>3289</v>
      </c>
      <c r="H3495" s="21">
        <v>1289.67</v>
      </c>
    </row>
    <row r="3496" spans="1:8" customFormat="1" x14ac:dyDescent="0.25">
      <c r="A3496" t="str">
        <f>"5312569"</f>
        <v>5312569</v>
      </c>
      <c r="B3496" t="s">
        <v>4146</v>
      </c>
      <c r="C3496" t="s">
        <v>269</v>
      </c>
      <c r="D3496" s="21" t="s">
        <v>34</v>
      </c>
      <c r="E3496" s="21" t="s">
        <v>71</v>
      </c>
      <c r="F3496">
        <v>12530058</v>
      </c>
      <c r="G3496" t="s">
        <v>3128</v>
      </c>
      <c r="H3496" s="21">
        <v>1289.67</v>
      </c>
    </row>
    <row r="3497" spans="1:8" customFormat="1" x14ac:dyDescent="0.25">
      <c r="A3497" t="str">
        <f>"5950248"</f>
        <v>5950248</v>
      </c>
      <c r="B3497" t="s">
        <v>3623</v>
      </c>
      <c r="C3497" t="s">
        <v>60</v>
      </c>
      <c r="D3497" s="21" t="s">
        <v>34</v>
      </c>
      <c r="E3497" s="21" t="s">
        <v>71</v>
      </c>
      <c r="F3497">
        <v>7590293</v>
      </c>
      <c r="G3497" t="s">
        <v>2431</v>
      </c>
      <c r="H3497" s="21">
        <v>1289.67</v>
      </c>
    </row>
    <row r="3498" spans="1:8" customFormat="1" x14ac:dyDescent="0.25">
      <c r="A3498" t="str">
        <f>"751447"</f>
        <v>751447</v>
      </c>
      <c r="B3498" t="s">
        <v>4987</v>
      </c>
      <c r="C3498" t="s">
        <v>249</v>
      </c>
      <c r="D3498" s="21" t="s">
        <v>34</v>
      </c>
      <c r="E3498" s="21" t="s">
        <v>35</v>
      </c>
      <c r="F3498">
        <v>8951312</v>
      </c>
      <c r="G3498" t="s">
        <v>1007</v>
      </c>
      <c r="H3498" s="21">
        <v>1289.67</v>
      </c>
    </row>
    <row r="3499" spans="1:8" customFormat="1" x14ac:dyDescent="0.25">
      <c r="A3499" t="str">
        <f>"9726756"</f>
        <v>9726756</v>
      </c>
      <c r="B3499" t="s">
        <v>4182</v>
      </c>
      <c r="C3499" t="s">
        <v>812</v>
      </c>
      <c r="D3499" s="21" t="s">
        <v>34</v>
      </c>
      <c r="E3499" s="21" t="s">
        <v>35</v>
      </c>
      <c r="F3499" t="s">
        <v>3911</v>
      </c>
      <c r="G3499" t="s">
        <v>3912</v>
      </c>
      <c r="H3499" s="21">
        <v>1289.67</v>
      </c>
    </row>
    <row r="3500" spans="1:8" customFormat="1" x14ac:dyDescent="0.25">
      <c r="A3500" t="str">
        <f>"889662"</f>
        <v>889662</v>
      </c>
      <c r="B3500" t="s">
        <v>463</v>
      </c>
      <c r="C3500" t="s">
        <v>768</v>
      </c>
      <c r="D3500" s="21" t="s">
        <v>34</v>
      </c>
      <c r="E3500" s="21" t="s">
        <v>35</v>
      </c>
      <c r="F3500">
        <v>9140013</v>
      </c>
      <c r="G3500" t="s">
        <v>1837</v>
      </c>
      <c r="H3500" s="21">
        <v>1289.67</v>
      </c>
    </row>
    <row r="3501" spans="1:8" customFormat="1" x14ac:dyDescent="0.25">
      <c r="A3501" t="str">
        <f>"7827516"</f>
        <v>7827516</v>
      </c>
      <c r="B3501" t="s">
        <v>5113</v>
      </c>
      <c r="C3501" t="s">
        <v>486</v>
      </c>
      <c r="D3501" s="21" t="s">
        <v>34</v>
      </c>
      <c r="E3501" s="21" t="s">
        <v>35</v>
      </c>
      <c r="F3501">
        <v>8780485</v>
      </c>
      <c r="G3501" t="s">
        <v>1279</v>
      </c>
      <c r="H3501" s="21">
        <v>1289.67</v>
      </c>
    </row>
    <row r="3502" spans="1:8" customFormat="1" x14ac:dyDescent="0.25">
      <c r="A3502" t="str">
        <f>"5948256"</f>
        <v>5948256</v>
      </c>
      <c r="B3502" t="s">
        <v>4219</v>
      </c>
      <c r="C3502" t="s">
        <v>269</v>
      </c>
      <c r="D3502" s="21" t="s">
        <v>34</v>
      </c>
      <c r="E3502" s="21" t="s">
        <v>35</v>
      </c>
      <c r="F3502">
        <v>7590105</v>
      </c>
      <c r="G3502" t="s">
        <v>887</v>
      </c>
      <c r="H3502" s="21">
        <v>1289.67</v>
      </c>
    </row>
    <row r="3503" spans="1:8" customFormat="1" x14ac:dyDescent="0.25">
      <c r="A3503" t="str">
        <f>"5957076"</f>
        <v>5957076</v>
      </c>
      <c r="B3503" t="s">
        <v>4909</v>
      </c>
      <c r="C3503" t="s">
        <v>269</v>
      </c>
      <c r="D3503" s="21" t="s">
        <v>34</v>
      </c>
      <c r="E3503" s="21" t="s">
        <v>35</v>
      </c>
      <c r="F3503">
        <v>7590021</v>
      </c>
      <c r="G3503" t="s">
        <v>4910</v>
      </c>
      <c r="H3503" s="21">
        <v>1289.42</v>
      </c>
    </row>
    <row r="3504" spans="1:8" customFormat="1" x14ac:dyDescent="0.25">
      <c r="A3504" t="str">
        <f>"5915174"</f>
        <v>5915174</v>
      </c>
      <c r="B3504" t="s">
        <v>4748</v>
      </c>
      <c r="C3504" t="s">
        <v>249</v>
      </c>
      <c r="D3504" s="21" t="s">
        <v>34</v>
      </c>
      <c r="E3504" s="21" t="s">
        <v>35</v>
      </c>
      <c r="F3504">
        <v>7590126</v>
      </c>
      <c r="G3504" t="s">
        <v>4749</v>
      </c>
      <c r="H3504" s="21">
        <v>1289.42</v>
      </c>
    </row>
    <row r="3505" spans="1:8" customFormat="1" x14ac:dyDescent="0.25">
      <c r="A3505" t="str">
        <f>"9419855"</f>
        <v>9419855</v>
      </c>
      <c r="B3505" t="s">
        <v>3700</v>
      </c>
      <c r="C3505" t="s">
        <v>3701</v>
      </c>
      <c r="D3505" s="21" t="s">
        <v>34</v>
      </c>
      <c r="E3505" s="21" t="s">
        <v>35</v>
      </c>
      <c r="F3505">
        <v>10790058</v>
      </c>
      <c r="G3505" t="s">
        <v>6512</v>
      </c>
      <c r="H3505" s="21">
        <v>1289.3</v>
      </c>
    </row>
    <row r="3506" spans="1:8" customFormat="1" x14ac:dyDescent="0.25">
      <c r="A3506" t="str">
        <f>"424189"</f>
        <v>424189</v>
      </c>
      <c r="B3506" t="s">
        <v>387</v>
      </c>
      <c r="C3506" t="s">
        <v>55</v>
      </c>
      <c r="D3506" s="21" t="s">
        <v>34</v>
      </c>
      <c r="E3506" s="21" t="s">
        <v>71</v>
      </c>
      <c r="F3506">
        <v>1420163</v>
      </c>
      <c r="G3506" t="s">
        <v>2424</v>
      </c>
      <c r="H3506" s="21">
        <v>1289.17</v>
      </c>
    </row>
    <row r="3507" spans="1:8" customFormat="1" x14ac:dyDescent="0.25">
      <c r="A3507" t="str">
        <f>"5010569"</f>
        <v>5010569</v>
      </c>
      <c r="B3507" t="s">
        <v>4793</v>
      </c>
      <c r="C3507" t="s">
        <v>244</v>
      </c>
      <c r="D3507" s="21" t="s">
        <v>34</v>
      </c>
      <c r="E3507" s="21" t="s">
        <v>35</v>
      </c>
      <c r="F3507">
        <v>9500058</v>
      </c>
      <c r="G3507" t="s">
        <v>1585</v>
      </c>
      <c r="H3507" s="21">
        <v>1289.17</v>
      </c>
    </row>
    <row r="3508" spans="1:8" customFormat="1" x14ac:dyDescent="0.25">
      <c r="A3508" t="str">
        <f>"517832"</f>
        <v>517832</v>
      </c>
      <c r="B3508" t="s">
        <v>4241</v>
      </c>
      <c r="C3508" t="s">
        <v>33</v>
      </c>
      <c r="D3508" s="21" t="s">
        <v>34</v>
      </c>
      <c r="E3508" s="21" t="s">
        <v>35</v>
      </c>
      <c r="F3508">
        <v>6080059</v>
      </c>
      <c r="G3508" t="s">
        <v>4242</v>
      </c>
      <c r="H3508" s="21">
        <v>1289.17</v>
      </c>
    </row>
    <row r="3509" spans="1:8" customFormat="1" x14ac:dyDescent="0.25">
      <c r="A3509" t="str">
        <f>"887447"</f>
        <v>887447</v>
      </c>
      <c r="B3509" t="s">
        <v>4494</v>
      </c>
      <c r="C3509" t="s">
        <v>2529</v>
      </c>
      <c r="D3509" s="21" t="s">
        <v>34</v>
      </c>
      <c r="E3509" s="21" t="s">
        <v>71</v>
      </c>
      <c r="F3509">
        <v>6880049</v>
      </c>
      <c r="G3509" t="s">
        <v>4514</v>
      </c>
      <c r="H3509" s="21">
        <v>1289.17</v>
      </c>
    </row>
    <row r="3510" spans="1:8" customFormat="1" x14ac:dyDescent="0.25">
      <c r="A3510" t="str">
        <f>"3810400"</f>
        <v>3810400</v>
      </c>
      <c r="B3510" t="s">
        <v>5617</v>
      </c>
      <c r="C3510" t="s">
        <v>288</v>
      </c>
      <c r="D3510" s="21" t="s">
        <v>34</v>
      </c>
      <c r="E3510" s="21" t="s">
        <v>35</v>
      </c>
      <c r="F3510">
        <v>1730068</v>
      </c>
      <c r="G3510" t="s">
        <v>3375</v>
      </c>
      <c r="H3510" s="21">
        <v>1289.17</v>
      </c>
    </row>
    <row r="3511" spans="1:8" customFormat="1" x14ac:dyDescent="0.25">
      <c r="A3511" t="str">
        <f>"892261"</f>
        <v>892261</v>
      </c>
      <c r="B3511" t="s">
        <v>4259</v>
      </c>
      <c r="C3511" t="s">
        <v>4092</v>
      </c>
      <c r="D3511" s="21" t="s">
        <v>34</v>
      </c>
      <c r="E3511" s="21" t="s">
        <v>254</v>
      </c>
      <c r="F3511">
        <v>2890023</v>
      </c>
      <c r="G3511" t="s">
        <v>1995</v>
      </c>
      <c r="H3511" s="21">
        <v>1289.17</v>
      </c>
    </row>
    <row r="3512" spans="1:8" customFormat="1" x14ac:dyDescent="0.25">
      <c r="A3512" t="str">
        <f>"7211114"</f>
        <v>7211114</v>
      </c>
      <c r="B3512" t="s">
        <v>1367</v>
      </c>
      <c r="C3512" t="s">
        <v>462</v>
      </c>
      <c r="D3512" s="21" t="s">
        <v>34</v>
      </c>
      <c r="E3512" s="21" t="s">
        <v>71</v>
      </c>
      <c r="F3512">
        <v>12720143</v>
      </c>
      <c r="G3512" t="s">
        <v>3881</v>
      </c>
      <c r="H3512" s="21">
        <v>1289.17</v>
      </c>
    </row>
    <row r="3513" spans="1:8" customFormat="1" x14ac:dyDescent="0.25">
      <c r="A3513" t="str">
        <f>"41595"</f>
        <v>41595</v>
      </c>
      <c r="B3513" t="s">
        <v>67</v>
      </c>
      <c r="C3513" t="s">
        <v>40</v>
      </c>
      <c r="D3513" s="21" t="s">
        <v>34</v>
      </c>
      <c r="E3513" s="21" t="s">
        <v>254</v>
      </c>
      <c r="F3513">
        <v>4360002</v>
      </c>
      <c r="G3513" t="s">
        <v>222</v>
      </c>
      <c r="H3513" s="21">
        <v>1289.05</v>
      </c>
    </row>
    <row r="3514" spans="1:8" customFormat="1" x14ac:dyDescent="0.25">
      <c r="A3514" t="str">
        <f>"45110"</f>
        <v>45110</v>
      </c>
      <c r="B3514" t="s">
        <v>4319</v>
      </c>
      <c r="C3514" t="s">
        <v>608</v>
      </c>
      <c r="D3514" s="21" t="s">
        <v>34</v>
      </c>
      <c r="E3514" s="21" t="s">
        <v>71</v>
      </c>
      <c r="F3514">
        <v>4450410</v>
      </c>
      <c r="G3514" t="s">
        <v>26525</v>
      </c>
      <c r="H3514" s="21">
        <v>1288.67</v>
      </c>
    </row>
    <row r="3515" spans="1:8" customFormat="1" x14ac:dyDescent="0.25">
      <c r="A3515" t="str">
        <f>"375658"</f>
        <v>375658</v>
      </c>
      <c r="B3515" t="s">
        <v>4104</v>
      </c>
      <c r="C3515" t="s">
        <v>262</v>
      </c>
      <c r="D3515" s="21" t="s">
        <v>34</v>
      </c>
      <c r="E3515" s="21" t="s">
        <v>35</v>
      </c>
      <c r="F3515">
        <v>4370002</v>
      </c>
      <c r="G3515" t="s">
        <v>112</v>
      </c>
      <c r="H3515" s="21">
        <v>1288.67</v>
      </c>
    </row>
    <row r="3516" spans="1:8" customFormat="1" x14ac:dyDescent="0.25">
      <c r="A3516" t="str">
        <f>"3323753"</f>
        <v>3323753</v>
      </c>
      <c r="B3516" t="s">
        <v>5272</v>
      </c>
      <c r="C3516" t="s">
        <v>124</v>
      </c>
      <c r="D3516" s="21" t="s">
        <v>34</v>
      </c>
      <c r="E3516" s="21" t="s">
        <v>71</v>
      </c>
      <c r="F3516">
        <v>10330067</v>
      </c>
      <c r="G3516" t="s">
        <v>125</v>
      </c>
      <c r="H3516" s="21">
        <v>1288.42</v>
      </c>
    </row>
    <row r="3517" spans="1:8" customFormat="1" x14ac:dyDescent="0.25">
      <c r="A3517" t="str">
        <f>"1412913"</f>
        <v>1412913</v>
      </c>
      <c r="B3517" t="s">
        <v>4962</v>
      </c>
      <c r="C3517" t="s">
        <v>4963</v>
      </c>
      <c r="D3517" s="21" t="s">
        <v>34</v>
      </c>
      <c r="E3517" s="21" t="s">
        <v>35</v>
      </c>
      <c r="F3517">
        <v>9140023</v>
      </c>
      <c r="G3517" t="s">
        <v>2318</v>
      </c>
      <c r="H3517" s="21">
        <v>1288.3</v>
      </c>
    </row>
    <row r="3518" spans="1:8" customFormat="1" x14ac:dyDescent="0.25">
      <c r="A3518" t="str">
        <f>"9519694"</f>
        <v>9519694</v>
      </c>
      <c r="B3518" t="s">
        <v>1611</v>
      </c>
      <c r="C3518" t="s">
        <v>156</v>
      </c>
      <c r="D3518" s="21" t="s">
        <v>34</v>
      </c>
      <c r="E3518" s="21" t="s">
        <v>71</v>
      </c>
      <c r="F3518">
        <v>13840021</v>
      </c>
      <c r="G3518" t="s">
        <v>3946</v>
      </c>
      <c r="H3518" s="21">
        <v>1288.17</v>
      </c>
    </row>
    <row r="3519" spans="1:8" customFormat="1" x14ac:dyDescent="0.25">
      <c r="A3519" t="str">
        <f>"4431452"</f>
        <v>4431452</v>
      </c>
      <c r="B3519" t="s">
        <v>5230</v>
      </c>
      <c r="C3519" t="s">
        <v>1132</v>
      </c>
      <c r="D3519" s="21" t="s">
        <v>34</v>
      </c>
      <c r="E3519" s="21" t="s">
        <v>35</v>
      </c>
      <c r="F3519">
        <v>12440009</v>
      </c>
      <c r="G3519" t="s">
        <v>1983</v>
      </c>
      <c r="H3519" s="21">
        <v>1288.17</v>
      </c>
    </row>
    <row r="3520" spans="1:8" customFormat="1" x14ac:dyDescent="0.25">
      <c r="A3520" t="str">
        <f>"456678"</f>
        <v>456678</v>
      </c>
      <c r="B3520" t="s">
        <v>1422</v>
      </c>
      <c r="C3520" t="s">
        <v>204</v>
      </c>
      <c r="D3520" s="21" t="s">
        <v>34</v>
      </c>
      <c r="E3520" s="21" t="s">
        <v>71</v>
      </c>
      <c r="F3520">
        <v>13840001</v>
      </c>
      <c r="G3520" t="s">
        <v>972</v>
      </c>
      <c r="H3520" s="21">
        <v>1287.67</v>
      </c>
    </row>
    <row r="3521" spans="1:8" customFormat="1" x14ac:dyDescent="0.25">
      <c r="A3521" t="str">
        <f>"768213"</f>
        <v>768213</v>
      </c>
      <c r="B3521" t="s">
        <v>3878</v>
      </c>
      <c r="C3521" t="s">
        <v>171</v>
      </c>
      <c r="D3521" s="21" t="s">
        <v>34</v>
      </c>
      <c r="E3521" s="21" t="s">
        <v>71</v>
      </c>
      <c r="F3521">
        <v>9760415</v>
      </c>
      <c r="G3521" t="s">
        <v>4541</v>
      </c>
      <c r="H3521" s="21">
        <v>1287.67</v>
      </c>
    </row>
    <row r="3522" spans="1:8" customFormat="1" x14ac:dyDescent="0.25">
      <c r="A3522" t="str">
        <f>"4920058"</f>
        <v>4920058</v>
      </c>
      <c r="B3522" t="s">
        <v>2438</v>
      </c>
      <c r="C3522" t="s">
        <v>1025</v>
      </c>
      <c r="D3522" s="21" t="s">
        <v>34</v>
      </c>
      <c r="E3522" s="21" t="s">
        <v>71</v>
      </c>
      <c r="F3522">
        <v>12490029</v>
      </c>
      <c r="G3522" t="s">
        <v>3485</v>
      </c>
      <c r="H3522" s="21">
        <v>1287.67</v>
      </c>
    </row>
    <row r="3523" spans="1:8" customFormat="1" x14ac:dyDescent="0.25">
      <c r="A3523" t="str">
        <f>"499420"</f>
        <v>499420</v>
      </c>
      <c r="B3523" t="s">
        <v>4312</v>
      </c>
      <c r="C3523" t="s">
        <v>288</v>
      </c>
      <c r="D3523" s="21" t="s">
        <v>34</v>
      </c>
      <c r="E3523" s="21" t="s">
        <v>35</v>
      </c>
      <c r="F3523">
        <v>12490040</v>
      </c>
      <c r="G3523" t="s">
        <v>94</v>
      </c>
      <c r="H3523" s="21">
        <v>1287.67</v>
      </c>
    </row>
    <row r="3524" spans="1:8" customFormat="1" x14ac:dyDescent="0.25">
      <c r="A3524" t="str">
        <f>"4441402"</f>
        <v>4441402</v>
      </c>
      <c r="B3524" t="s">
        <v>431</v>
      </c>
      <c r="C3524" t="s">
        <v>263</v>
      </c>
      <c r="D3524" s="21" t="s">
        <v>34</v>
      </c>
      <c r="E3524" s="21" t="s">
        <v>35</v>
      </c>
      <c r="F3524">
        <v>12440048</v>
      </c>
      <c r="G3524" t="s">
        <v>2090</v>
      </c>
      <c r="H3524" s="21">
        <v>1287.67</v>
      </c>
    </row>
    <row r="3525" spans="1:8" customFormat="1" x14ac:dyDescent="0.25">
      <c r="A3525" t="str">
        <f>"741647"</f>
        <v>741647</v>
      </c>
      <c r="B3525" t="s">
        <v>26799</v>
      </c>
      <c r="C3525" t="s">
        <v>12515</v>
      </c>
      <c r="D3525" s="21" t="s">
        <v>34</v>
      </c>
      <c r="E3525" s="21" t="s">
        <v>35</v>
      </c>
      <c r="F3525">
        <v>8771446</v>
      </c>
      <c r="G3525" t="s">
        <v>830</v>
      </c>
      <c r="H3525" s="21">
        <v>1287.17</v>
      </c>
    </row>
    <row r="3526" spans="1:8" customFormat="1" x14ac:dyDescent="0.25">
      <c r="A3526" t="str">
        <f>"597765"</f>
        <v>597765</v>
      </c>
      <c r="B3526" t="s">
        <v>4150</v>
      </c>
      <c r="C3526" t="s">
        <v>528</v>
      </c>
      <c r="D3526" s="21" t="s">
        <v>34</v>
      </c>
      <c r="E3526" s="21" t="s">
        <v>35</v>
      </c>
      <c r="F3526">
        <v>7590044</v>
      </c>
      <c r="G3526" t="s">
        <v>2029</v>
      </c>
      <c r="H3526" s="21">
        <v>1287.17</v>
      </c>
    </row>
    <row r="3527" spans="1:8" customFormat="1" x14ac:dyDescent="0.25">
      <c r="A3527" t="str">
        <f>"747303"</f>
        <v>747303</v>
      </c>
      <c r="B3527" t="s">
        <v>4602</v>
      </c>
      <c r="C3527" t="s">
        <v>285</v>
      </c>
      <c r="D3527" s="21" t="s">
        <v>34</v>
      </c>
      <c r="E3527" s="21" t="s">
        <v>35</v>
      </c>
      <c r="F3527">
        <v>1010044</v>
      </c>
      <c r="G3527" t="s">
        <v>4603</v>
      </c>
      <c r="H3527" s="21">
        <v>1287.17</v>
      </c>
    </row>
    <row r="3528" spans="1:8" customFormat="1" x14ac:dyDescent="0.25">
      <c r="A3528" t="str">
        <f>"44640"</f>
        <v>44640</v>
      </c>
      <c r="B3528" t="s">
        <v>4605</v>
      </c>
      <c r="C3528" t="s">
        <v>267</v>
      </c>
      <c r="D3528" s="21" t="s">
        <v>34</v>
      </c>
      <c r="E3528" s="21" t="s">
        <v>71</v>
      </c>
      <c r="F3528">
        <v>12440020</v>
      </c>
      <c r="G3528" t="s">
        <v>4606</v>
      </c>
      <c r="H3528" s="21">
        <v>1287.17</v>
      </c>
    </row>
    <row r="3529" spans="1:8" customFormat="1" x14ac:dyDescent="0.25">
      <c r="A3529" t="str">
        <f>"7622871"</f>
        <v>7622871</v>
      </c>
      <c r="B3529" t="s">
        <v>4296</v>
      </c>
      <c r="C3529" t="s">
        <v>825</v>
      </c>
      <c r="D3529" s="21" t="s">
        <v>34</v>
      </c>
      <c r="E3529" s="21" t="s">
        <v>71</v>
      </c>
      <c r="F3529">
        <v>8911225</v>
      </c>
      <c r="G3529" t="s">
        <v>4297</v>
      </c>
      <c r="H3529" s="21">
        <v>1287.17</v>
      </c>
    </row>
    <row r="3530" spans="1:8" customFormat="1" x14ac:dyDescent="0.25">
      <c r="A3530" t="str">
        <f>"602451"</f>
        <v>602451</v>
      </c>
      <c r="B3530" t="s">
        <v>4914</v>
      </c>
      <c r="C3530" t="s">
        <v>621</v>
      </c>
      <c r="D3530" s="21" t="s">
        <v>34</v>
      </c>
      <c r="E3530" s="21" t="s">
        <v>35</v>
      </c>
      <c r="F3530">
        <v>7600043</v>
      </c>
      <c r="G3530" t="s">
        <v>1928</v>
      </c>
      <c r="H3530" s="21">
        <v>1287.17</v>
      </c>
    </row>
    <row r="3531" spans="1:8" customFormat="1" x14ac:dyDescent="0.25">
      <c r="A3531" t="str">
        <f>"643424"</f>
        <v>643424</v>
      </c>
      <c r="B3531" t="s">
        <v>3921</v>
      </c>
      <c r="C3531" t="s">
        <v>124</v>
      </c>
      <c r="D3531" s="21" t="s">
        <v>34</v>
      </c>
      <c r="E3531" s="21" t="s">
        <v>71</v>
      </c>
      <c r="F3531">
        <v>11650004</v>
      </c>
      <c r="G3531" t="s">
        <v>382</v>
      </c>
      <c r="H3531" s="21">
        <v>1287.17</v>
      </c>
    </row>
    <row r="3532" spans="1:8" customFormat="1" x14ac:dyDescent="0.25">
      <c r="A3532" t="str">
        <f>"0615781"</f>
        <v>0615781</v>
      </c>
      <c r="B3532" t="s">
        <v>638</v>
      </c>
      <c r="C3532" t="s">
        <v>4769</v>
      </c>
      <c r="D3532" s="21" t="s">
        <v>34</v>
      </c>
      <c r="E3532" s="21" t="s">
        <v>71</v>
      </c>
      <c r="F3532">
        <v>13060063</v>
      </c>
      <c r="G3532" t="s">
        <v>2001</v>
      </c>
      <c r="H3532" s="21">
        <v>1287.17</v>
      </c>
    </row>
    <row r="3533" spans="1:8" customFormat="1" x14ac:dyDescent="0.25">
      <c r="A3533" t="str">
        <f>"276362"</f>
        <v>276362</v>
      </c>
      <c r="B3533" t="s">
        <v>4818</v>
      </c>
      <c r="C3533" t="s">
        <v>428</v>
      </c>
      <c r="D3533" s="21" t="s">
        <v>34</v>
      </c>
      <c r="E3533" s="21" t="s">
        <v>71</v>
      </c>
      <c r="F3533">
        <v>10160186</v>
      </c>
      <c r="G3533" t="s">
        <v>4819</v>
      </c>
      <c r="H3533" s="21">
        <v>1287.17</v>
      </c>
    </row>
    <row r="3534" spans="1:8" customFormat="1" x14ac:dyDescent="0.25">
      <c r="A3534" t="str">
        <f>"4424664"</f>
        <v>4424664</v>
      </c>
      <c r="B3534" t="s">
        <v>5338</v>
      </c>
      <c r="C3534" t="s">
        <v>302</v>
      </c>
      <c r="D3534" s="21" t="s">
        <v>34</v>
      </c>
      <c r="E3534" s="21" t="s">
        <v>35</v>
      </c>
      <c r="F3534">
        <v>12440024</v>
      </c>
      <c r="G3534" t="s">
        <v>2205</v>
      </c>
      <c r="H3534" s="21">
        <v>1286.92</v>
      </c>
    </row>
    <row r="3535" spans="1:8" customFormat="1" x14ac:dyDescent="0.25">
      <c r="A3535" t="str">
        <f>"3241"</f>
        <v>3241</v>
      </c>
      <c r="B3535" t="s">
        <v>4255</v>
      </c>
      <c r="C3535" t="s">
        <v>2806</v>
      </c>
      <c r="D3535" s="21" t="s">
        <v>34</v>
      </c>
      <c r="E3535" s="21" t="s">
        <v>71</v>
      </c>
      <c r="F3535">
        <v>11320005</v>
      </c>
      <c r="G3535" t="s">
        <v>120</v>
      </c>
      <c r="H3535" s="21">
        <v>1286.92</v>
      </c>
    </row>
    <row r="3536" spans="1:8" customFormat="1" x14ac:dyDescent="0.25">
      <c r="A3536" t="str">
        <f>"549002"</f>
        <v>549002</v>
      </c>
      <c r="B3536" t="s">
        <v>6400</v>
      </c>
      <c r="C3536" t="s">
        <v>121</v>
      </c>
      <c r="D3536" s="21" t="s">
        <v>34</v>
      </c>
      <c r="E3536" s="21" t="s">
        <v>35</v>
      </c>
      <c r="F3536">
        <v>6540011</v>
      </c>
      <c r="G3536" t="s">
        <v>6084</v>
      </c>
      <c r="H3536" s="21">
        <v>1286.92</v>
      </c>
    </row>
    <row r="3537" spans="1:8" customFormat="1" x14ac:dyDescent="0.25">
      <c r="A3537" t="str">
        <f>"4442207"</f>
        <v>4442207</v>
      </c>
      <c r="B3537" t="s">
        <v>9467</v>
      </c>
      <c r="C3537" t="s">
        <v>90</v>
      </c>
      <c r="D3537" s="21" t="s">
        <v>34</v>
      </c>
      <c r="E3537" s="21" t="s">
        <v>35</v>
      </c>
      <c r="F3537">
        <v>12490064</v>
      </c>
      <c r="G3537" t="s">
        <v>8425</v>
      </c>
      <c r="H3537" s="21">
        <v>1286.8</v>
      </c>
    </row>
    <row r="3538" spans="1:8" customFormat="1" x14ac:dyDescent="0.25">
      <c r="A3538" t="str">
        <f>"514087"</f>
        <v>514087</v>
      </c>
      <c r="B3538" t="s">
        <v>26800</v>
      </c>
      <c r="C3538" t="s">
        <v>233</v>
      </c>
      <c r="D3538" s="21" t="s">
        <v>34</v>
      </c>
      <c r="E3538" s="21" t="s">
        <v>35</v>
      </c>
      <c r="F3538" t="s">
        <v>2462</v>
      </c>
      <c r="G3538" t="s">
        <v>2463</v>
      </c>
      <c r="H3538" s="21">
        <v>1286.8</v>
      </c>
    </row>
    <row r="3539" spans="1:8" customFormat="1" x14ac:dyDescent="0.25">
      <c r="A3539" t="str">
        <f>"7838543"</f>
        <v>7838543</v>
      </c>
      <c r="B3539" t="s">
        <v>4185</v>
      </c>
      <c r="C3539" t="s">
        <v>130</v>
      </c>
      <c r="D3539" s="21" t="s">
        <v>34</v>
      </c>
      <c r="E3539" s="21" t="s">
        <v>35</v>
      </c>
      <c r="F3539">
        <v>8780107</v>
      </c>
      <c r="G3539" t="s">
        <v>4186</v>
      </c>
      <c r="H3539" s="21">
        <v>1286.67</v>
      </c>
    </row>
    <row r="3540" spans="1:8" customFormat="1" x14ac:dyDescent="0.25">
      <c r="A3540" t="str">
        <f>"5931614"</f>
        <v>5931614</v>
      </c>
      <c r="B3540" t="s">
        <v>6093</v>
      </c>
      <c r="C3540" t="s">
        <v>269</v>
      </c>
      <c r="D3540" s="21" t="s">
        <v>34</v>
      </c>
      <c r="E3540" s="21" t="s">
        <v>71</v>
      </c>
      <c r="F3540">
        <v>7590027</v>
      </c>
      <c r="G3540" t="s">
        <v>629</v>
      </c>
      <c r="H3540" s="21">
        <v>1286.67</v>
      </c>
    </row>
    <row r="3541" spans="1:8" customFormat="1" x14ac:dyDescent="0.25">
      <c r="A3541" t="str">
        <f>"72272"</f>
        <v>72272</v>
      </c>
      <c r="B3541" t="s">
        <v>4544</v>
      </c>
      <c r="C3541" t="s">
        <v>169</v>
      </c>
      <c r="D3541" s="21" t="s">
        <v>34</v>
      </c>
      <c r="E3541" s="21" t="s">
        <v>71</v>
      </c>
      <c r="F3541">
        <v>12720048</v>
      </c>
      <c r="G3541" t="s">
        <v>3264</v>
      </c>
      <c r="H3541" s="21">
        <v>1286.67</v>
      </c>
    </row>
    <row r="3542" spans="1:8" customFormat="1" x14ac:dyDescent="0.25">
      <c r="A3542" t="str">
        <f>"535568"</f>
        <v>535568</v>
      </c>
      <c r="B3542" t="s">
        <v>3260</v>
      </c>
      <c r="C3542" t="s">
        <v>608</v>
      </c>
      <c r="D3542" s="21" t="s">
        <v>34</v>
      </c>
      <c r="E3542" s="21" t="s">
        <v>254</v>
      </c>
      <c r="F3542">
        <v>12530117</v>
      </c>
      <c r="G3542" t="s">
        <v>1209</v>
      </c>
      <c r="H3542" s="21">
        <v>1286.67</v>
      </c>
    </row>
    <row r="3543" spans="1:8" customFormat="1" x14ac:dyDescent="0.25">
      <c r="A3543" t="str">
        <f>"9533761"</f>
        <v>9533761</v>
      </c>
      <c r="B3543" t="s">
        <v>26801</v>
      </c>
      <c r="C3543" t="s">
        <v>656</v>
      </c>
      <c r="D3543" s="21" t="s">
        <v>34</v>
      </c>
      <c r="E3543" s="21" t="s">
        <v>35</v>
      </c>
      <c r="F3543">
        <v>8950092</v>
      </c>
      <c r="G3543" t="s">
        <v>2039</v>
      </c>
      <c r="H3543" s="21">
        <v>1286.55</v>
      </c>
    </row>
    <row r="3544" spans="1:8" customFormat="1" x14ac:dyDescent="0.25">
      <c r="A3544" t="str">
        <f>"725246"</f>
        <v>725246</v>
      </c>
      <c r="B3544" t="s">
        <v>3733</v>
      </c>
      <c r="C3544" t="s">
        <v>156</v>
      </c>
      <c r="D3544" s="21" t="s">
        <v>34</v>
      </c>
      <c r="E3544" s="21" t="s">
        <v>254</v>
      </c>
      <c r="F3544">
        <v>12720028</v>
      </c>
      <c r="G3544" t="s">
        <v>4381</v>
      </c>
      <c r="H3544" s="21">
        <v>1286.43</v>
      </c>
    </row>
    <row r="3545" spans="1:8" customFormat="1" x14ac:dyDescent="0.25">
      <c r="A3545" t="str">
        <f>"77736"</f>
        <v>77736</v>
      </c>
      <c r="B3545" t="s">
        <v>4203</v>
      </c>
      <c r="C3545" t="s">
        <v>55</v>
      </c>
      <c r="D3545" s="21" t="s">
        <v>34</v>
      </c>
      <c r="E3545" s="21" t="s">
        <v>71</v>
      </c>
      <c r="F3545">
        <v>8750141</v>
      </c>
      <c r="G3545" t="s">
        <v>1514</v>
      </c>
      <c r="H3545" s="21">
        <v>1286.3</v>
      </c>
    </row>
    <row r="3546" spans="1:8" customFormat="1" x14ac:dyDescent="0.25">
      <c r="A3546" t="str">
        <f>"9519839"</f>
        <v>9519839</v>
      </c>
      <c r="B3546" t="s">
        <v>26802</v>
      </c>
      <c r="C3546" t="s">
        <v>43</v>
      </c>
      <c r="D3546" s="21" t="s">
        <v>34</v>
      </c>
      <c r="E3546" s="21" t="s">
        <v>35</v>
      </c>
      <c r="F3546">
        <v>11340008</v>
      </c>
      <c r="G3546" t="s">
        <v>312</v>
      </c>
      <c r="H3546" s="21">
        <v>1286.17</v>
      </c>
    </row>
    <row r="3547" spans="1:8" customFormat="1" x14ac:dyDescent="0.25">
      <c r="A3547" t="str">
        <f>"253140"</f>
        <v>253140</v>
      </c>
      <c r="B3547" t="s">
        <v>4244</v>
      </c>
      <c r="C3547" t="s">
        <v>40</v>
      </c>
      <c r="D3547" s="21" t="s">
        <v>34</v>
      </c>
      <c r="E3547" s="21" t="s">
        <v>254</v>
      </c>
      <c r="F3547">
        <v>2250024</v>
      </c>
      <c r="G3547" t="s">
        <v>751</v>
      </c>
      <c r="H3547" s="21">
        <v>1286.17</v>
      </c>
    </row>
    <row r="3548" spans="1:8" customFormat="1" x14ac:dyDescent="0.25">
      <c r="A3548" t="str">
        <f>"5916867"</f>
        <v>5916867</v>
      </c>
      <c r="B3548" t="s">
        <v>5577</v>
      </c>
      <c r="C3548" t="s">
        <v>5578</v>
      </c>
      <c r="D3548" s="21" t="s">
        <v>34</v>
      </c>
      <c r="E3548" s="21" t="s">
        <v>35</v>
      </c>
      <c r="F3548">
        <v>7590071</v>
      </c>
      <c r="G3548" t="s">
        <v>2602</v>
      </c>
      <c r="H3548" s="21">
        <v>1286.17</v>
      </c>
    </row>
    <row r="3549" spans="1:8" customFormat="1" x14ac:dyDescent="0.25">
      <c r="A3549" t="str">
        <f>"5714010"</f>
        <v>5714010</v>
      </c>
      <c r="B3549" t="s">
        <v>4956</v>
      </c>
      <c r="C3549" t="s">
        <v>58</v>
      </c>
      <c r="D3549" s="21" t="s">
        <v>34</v>
      </c>
      <c r="E3549" s="21" t="s">
        <v>35</v>
      </c>
      <c r="F3549">
        <v>6570201</v>
      </c>
      <c r="G3549" t="s">
        <v>3296</v>
      </c>
      <c r="H3549" s="21">
        <v>1286.17</v>
      </c>
    </row>
    <row r="3550" spans="1:8" customFormat="1" x14ac:dyDescent="0.25">
      <c r="A3550" t="str">
        <f>"7611814"</f>
        <v>7611814</v>
      </c>
      <c r="B3550" t="s">
        <v>3635</v>
      </c>
      <c r="C3550" t="s">
        <v>127</v>
      </c>
      <c r="D3550" s="21" t="s">
        <v>34</v>
      </c>
      <c r="E3550" s="21" t="s">
        <v>35</v>
      </c>
      <c r="F3550">
        <v>9760025</v>
      </c>
      <c r="G3550" t="s">
        <v>2620</v>
      </c>
      <c r="H3550" s="21">
        <v>1286.17</v>
      </c>
    </row>
    <row r="3551" spans="1:8" customFormat="1" x14ac:dyDescent="0.25">
      <c r="A3551" t="str">
        <f>"6243"</f>
        <v>6243</v>
      </c>
      <c r="B3551" t="s">
        <v>4593</v>
      </c>
      <c r="C3551" t="s">
        <v>209</v>
      </c>
      <c r="D3551" s="21" t="s">
        <v>34</v>
      </c>
      <c r="E3551" s="21" t="s">
        <v>71</v>
      </c>
      <c r="F3551">
        <v>11310126</v>
      </c>
      <c r="G3551" t="s">
        <v>3383</v>
      </c>
      <c r="H3551" s="21">
        <v>1286.17</v>
      </c>
    </row>
    <row r="3552" spans="1:8" customFormat="1" x14ac:dyDescent="0.25">
      <c r="A3552" t="str">
        <f>"5314866"</f>
        <v>5314866</v>
      </c>
      <c r="B3552" t="s">
        <v>4135</v>
      </c>
      <c r="C3552" t="s">
        <v>144</v>
      </c>
      <c r="D3552" s="21" t="s">
        <v>34</v>
      </c>
      <c r="E3552" s="21" t="s">
        <v>71</v>
      </c>
      <c r="F3552">
        <v>12530105</v>
      </c>
      <c r="G3552" t="s">
        <v>4136</v>
      </c>
      <c r="H3552" s="21">
        <v>1286.17</v>
      </c>
    </row>
    <row r="3553" spans="1:8" customFormat="1" x14ac:dyDescent="0.25">
      <c r="A3553" t="str">
        <f>"254412"</f>
        <v>254412</v>
      </c>
      <c r="B3553" t="s">
        <v>4773</v>
      </c>
      <c r="C3553" t="s">
        <v>1675</v>
      </c>
      <c r="D3553" s="21" t="s">
        <v>34</v>
      </c>
      <c r="E3553" s="21" t="s">
        <v>35</v>
      </c>
      <c r="F3553">
        <v>2250154</v>
      </c>
      <c r="G3553" t="s">
        <v>1973</v>
      </c>
      <c r="H3553" s="21">
        <v>1286.05</v>
      </c>
    </row>
    <row r="3554" spans="1:8" customFormat="1" x14ac:dyDescent="0.25">
      <c r="A3554" t="str">
        <f>"2213393"</f>
        <v>2213393</v>
      </c>
      <c r="B3554" t="s">
        <v>2020</v>
      </c>
      <c r="C3554" t="s">
        <v>33</v>
      </c>
      <c r="D3554" s="21" t="s">
        <v>34</v>
      </c>
      <c r="E3554" s="21" t="s">
        <v>71</v>
      </c>
      <c r="F3554">
        <v>3220033</v>
      </c>
      <c r="G3554" t="s">
        <v>657</v>
      </c>
      <c r="H3554" s="21">
        <v>1286.05</v>
      </c>
    </row>
    <row r="3555" spans="1:8" customFormat="1" x14ac:dyDescent="0.25">
      <c r="A3555" t="str">
        <f>"461405"</f>
        <v>461405</v>
      </c>
      <c r="B3555" t="s">
        <v>5242</v>
      </c>
      <c r="C3555" t="s">
        <v>528</v>
      </c>
      <c r="D3555" s="21" t="s">
        <v>34</v>
      </c>
      <c r="E3555" s="21" t="s">
        <v>35</v>
      </c>
      <c r="F3555">
        <v>11460023</v>
      </c>
      <c r="G3555" t="s">
        <v>5430</v>
      </c>
      <c r="H3555" s="21">
        <v>1285.8</v>
      </c>
    </row>
    <row r="3556" spans="1:8" customFormat="1" x14ac:dyDescent="0.25">
      <c r="A3556" t="str">
        <f>"652022"</f>
        <v>652022</v>
      </c>
      <c r="B3556" t="s">
        <v>4096</v>
      </c>
      <c r="C3556" t="s">
        <v>415</v>
      </c>
      <c r="D3556" s="21" t="s">
        <v>34</v>
      </c>
      <c r="E3556" s="21" t="s">
        <v>1089</v>
      </c>
      <c r="F3556">
        <v>10640019</v>
      </c>
      <c r="G3556" t="s">
        <v>3123</v>
      </c>
      <c r="H3556" s="21">
        <v>1285.67</v>
      </c>
    </row>
    <row r="3557" spans="1:8" customFormat="1" x14ac:dyDescent="0.25">
      <c r="A3557" t="str">
        <f>"696063"</f>
        <v>696063</v>
      </c>
      <c r="B3557" t="s">
        <v>1347</v>
      </c>
      <c r="C3557" t="s">
        <v>109</v>
      </c>
      <c r="D3557" s="21" t="s">
        <v>34</v>
      </c>
      <c r="E3557" s="21" t="s">
        <v>35</v>
      </c>
      <c r="F3557">
        <v>1690221</v>
      </c>
      <c r="G3557" t="s">
        <v>303</v>
      </c>
      <c r="H3557" s="21">
        <v>1285.67</v>
      </c>
    </row>
    <row r="3558" spans="1:8" customFormat="1" x14ac:dyDescent="0.25">
      <c r="A3558" t="str">
        <f>"219690"</f>
        <v>219690</v>
      </c>
      <c r="B3558" t="s">
        <v>3669</v>
      </c>
      <c r="C3558" t="s">
        <v>119</v>
      </c>
      <c r="D3558" s="21" t="s">
        <v>34</v>
      </c>
      <c r="E3558" s="21" t="s">
        <v>35</v>
      </c>
      <c r="F3558">
        <v>2210127</v>
      </c>
      <c r="G3558" t="s">
        <v>3447</v>
      </c>
      <c r="H3558" s="21">
        <v>1285.67</v>
      </c>
    </row>
    <row r="3559" spans="1:8" customFormat="1" x14ac:dyDescent="0.25">
      <c r="A3559" t="str">
        <f>"772074"</f>
        <v>772074</v>
      </c>
      <c r="B3559" t="s">
        <v>4981</v>
      </c>
      <c r="C3559" t="s">
        <v>209</v>
      </c>
      <c r="D3559" s="21" t="s">
        <v>34</v>
      </c>
      <c r="E3559" s="21" t="s">
        <v>35</v>
      </c>
      <c r="F3559">
        <v>8950330</v>
      </c>
      <c r="G3559" t="s">
        <v>794</v>
      </c>
      <c r="H3559" s="21">
        <v>1285.67</v>
      </c>
    </row>
    <row r="3560" spans="1:8" customFormat="1" x14ac:dyDescent="0.25">
      <c r="A3560" t="str">
        <f>"26271"</f>
        <v>26271</v>
      </c>
      <c r="B3560" t="s">
        <v>3681</v>
      </c>
      <c r="C3560" t="s">
        <v>267</v>
      </c>
      <c r="D3560" s="21" t="s">
        <v>34</v>
      </c>
      <c r="E3560" s="21" t="s">
        <v>71</v>
      </c>
      <c r="F3560">
        <v>1260071</v>
      </c>
      <c r="G3560" t="s">
        <v>798</v>
      </c>
      <c r="H3560" s="21">
        <v>1285.67</v>
      </c>
    </row>
    <row r="3561" spans="1:8" customFormat="1" x14ac:dyDescent="0.25">
      <c r="A3561" t="str">
        <f>"611917"</f>
        <v>611917</v>
      </c>
      <c r="B3561" t="s">
        <v>4513</v>
      </c>
      <c r="C3561" t="s">
        <v>114</v>
      </c>
      <c r="D3561" s="21" t="s">
        <v>34</v>
      </c>
      <c r="E3561" s="21" t="s">
        <v>71</v>
      </c>
      <c r="F3561">
        <v>9610002</v>
      </c>
      <c r="G3561" t="s">
        <v>75</v>
      </c>
      <c r="H3561" s="21">
        <v>1285.67</v>
      </c>
    </row>
    <row r="3562" spans="1:8" customFormat="1" x14ac:dyDescent="0.25">
      <c r="A3562" t="str">
        <f>"5942086"</f>
        <v>5942086</v>
      </c>
      <c r="B3562" t="s">
        <v>5177</v>
      </c>
      <c r="C3562" t="s">
        <v>60</v>
      </c>
      <c r="D3562" s="21" t="s">
        <v>34</v>
      </c>
      <c r="E3562" s="21" t="s">
        <v>35</v>
      </c>
      <c r="F3562">
        <v>7590218</v>
      </c>
      <c r="G3562" t="s">
        <v>26769</v>
      </c>
      <c r="H3562" s="21">
        <v>1285.67</v>
      </c>
    </row>
    <row r="3563" spans="1:8" customFormat="1" x14ac:dyDescent="0.25">
      <c r="A3563" t="str">
        <f>"7716816"</f>
        <v>7716816</v>
      </c>
      <c r="B3563" t="s">
        <v>4310</v>
      </c>
      <c r="C3563" t="s">
        <v>87</v>
      </c>
      <c r="D3563" s="21" t="s">
        <v>34</v>
      </c>
      <c r="E3563" s="21" t="s">
        <v>71</v>
      </c>
      <c r="F3563">
        <v>8771170</v>
      </c>
      <c r="G3563" t="s">
        <v>50</v>
      </c>
      <c r="H3563" s="21">
        <v>1285.67</v>
      </c>
    </row>
    <row r="3564" spans="1:8" customFormat="1" x14ac:dyDescent="0.25">
      <c r="A3564" t="str">
        <f>"2714986"</f>
        <v>2714986</v>
      </c>
      <c r="B3564" t="s">
        <v>3334</v>
      </c>
      <c r="C3564" t="s">
        <v>204</v>
      </c>
      <c r="D3564" s="21" t="s">
        <v>34</v>
      </c>
      <c r="E3564" s="21" t="s">
        <v>71</v>
      </c>
      <c r="F3564">
        <v>12850136</v>
      </c>
      <c r="G3564" t="s">
        <v>2536</v>
      </c>
      <c r="H3564" s="21">
        <v>1285.43</v>
      </c>
    </row>
    <row r="3565" spans="1:8" customFormat="1" x14ac:dyDescent="0.25">
      <c r="A3565" t="str">
        <f>"382863"</f>
        <v>382863</v>
      </c>
      <c r="B3565" t="s">
        <v>3885</v>
      </c>
      <c r="C3565" t="s">
        <v>263</v>
      </c>
      <c r="D3565" s="21" t="s">
        <v>34</v>
      </c>
      <c r="E3565" s="21" t="s">
        <v>35</v>
      </c>
      <c r="F3565">
        <v>1690166</v>
      </c>
      <c r="G3565" t="s">
        <v>3886</v>
      </c>
      <c r="H3565" s="21">
        <v>1285.17</v>
      </c>
    </row>
    <row r="3566" spans="1:8" customFormat="1" x14ac:dyDescent="0.25">
      <c r="A3566" t="str">
        <f>"725392"</f>
        <v>725392</v>
      </c>
      <c r="B3566" t="s">
        <v>4021</v>
      </c>
      <c r="C3566" t="s">
        <v>302</v>
      </c>
      <c r="D3566" s="21" t="s">
        <v>34</v>
      </c>
      <c r="E3566" s="21" t="s">
        <v>35</v>
      </c>
      <c r="F3566">
        <v>12720023</v>
      </c>
      <c r="G3566" t="s">
        <v>1898</v>
      </c>
      <c r="H3566" s="21">
        <v>1285.17</v>
      </c>
    </row>
    <row r="3567" spans="1:8" customFormat="1" x14ac:dyDescent="0.25">
      <c r="A3567" t="str">
        <f>"4419530"</f>
        <v>4419530</v>
      </c>
      <c r="B3567" t="s">
        <v>1081</v>
      </c>
      <c r="C3567" t="s">
        <v>43</v>
      </c>
      <c r="D3567" s="21" t="s">
        <v>34</v>
      </c>
      <c r="E3567" s="21" t="s">
        <v>35</v>
      </c>
      <c r="F3567">
        <v>12490061</v>
      </c>
      <c r="G3567" t="s">
        <v>969</v>
      </c>
      <c r="H3567" s="21">
        <v>1285.17</v>
      </c>
    </row>
    <row r="3568" spans="1:8" customFormat="1" x14ac:dyDescent="0.25">
      <c r="A3568" t="str">
        <f>"9534929"</f>
        <v>9534929</v>
      </c>
      <c r="B3568" t="s">
        <v>6267</v>
      </c>
      <c r="C3568" t="s">
        <v>6268</v>
      </c>
      <c r="D3568" s="21" t="s">
        <v>34</v>
      </c>
      <c r="E3568" s="21" t="s">
        <v>35</v>
      </c>
      <c r="F3568">
        <v>3220087</v>
      </c>
      <c r="G3568" t="s">
        <v>3540</v>
      </c>
      <c r="H3568" s="21">
        <v>1285.17</v>
      </c>
    </row>
    <row r="3569" spans="1:8" customFormat="1" x14ac:dyDescent="0.25">
      <c r="A3569" t="str">
        <f>"597411"</f>
        <v>597411</v>
      </c>
      <c r="B3569" t="s">
        <v>5785</v>
      </c>
      <c r="C3569" t="s">
        <v>60</v>
      </c>
      <c r="D3569" s="21" t="s">
        <v>34</v>
      </c>
      <c r="E3569" s="21" t="s">
        <v>35</v>
      </c>
      <c r="F3569">
        <v>7590354</v>
      </c>
      <c r="G3569" t="s">
        <v>5786</v>
      </c>
      <c r="H3569" s="21">
        <v>1285.17</v>
      </c>
    </row>
    <row r="3570" spans="1:8" customFormat="1" x14ac:dyDescent="0.25">
      <c r="A3570" t="str">
        <f>"9523113"</f>
        <v>9523113</v>
      </c>
      <c r="B3570" t="s">
        <v>616</v>
      </c>
      <c r="C3570" t="s">
        <v>3098</v>
      </c>
      <c r="D3570" s="21" t="s">
        <v>34</v>
      </c>
      <c r="E3570" s="21" t="s">
        <v>35</v>
      </c>
      <c r="F3570">
        <v>8951331</v>
      </c>
      <c r="G3570" t="s">
        <v>1134</v>
      </c>
      <c r="H3570" s="21">
        <v>1284.8</v>
      </c>
    </row>
    <row r="3571" spans="1:8" customFormat="1" x14ac:dyDescent="0.25">
      <c r="A3571" t="str">
        <f>"85992"</f>
        <v>85992</v>
      </c>
      <c r="B3571" t="s">
        <v>4520</v>
      </c>
      <c r="C3571" t="s">
        <v>547</v>
      </c>
      <c r="D3571" s="21" t="s">
        <v>34</v>
      </c>
      <c r="E3571" s="21" t="s">
        <v>254</v>
      </c>
      <c r="F3571">
        <v>12850028</v>
      </c>
      <c r="G3571" t="s">
        <v>1700</v>
      </c>
      <c r="H3571" s="21">
        <v>1284.67</v>
      </c>
    </row>
    <row r="3572" spans="1:8" customFormat="1" x14ac:dyDescent="0.25">
      <c r="A3572" t="str">
        <f>"627757"</f>
        <v>627757</v>
      </c>
      <c r="B3572" t="s">
        <v>5048</v>
      </c>
      <c r="C3572" t="s">
        <v>87</v>
      </c>
      <c r="D3572" s="21" t="s">
        <v>34</v>
      </c>
      <c r="E3572" s="21" t="s">
        <v>35</v>
      </c>
      <c r="F3572">
        <v>7620038</v>
      </c>
      <c r="G3572" t="s">
        <v>5049</v>
      </c>
      <c r="H3572" s="21">
        <v>1284.67</v>
      </c>
    </row>
    <row r="3573" spans="1:8" customFormat="1" x14ac:dyDescent="0.25">
      <c r="A3573" t="str">
        <f>"6872"</f>
        <v>6872</v>
      </c>
      <c r="B3573" t="s">
        <v>3971</v>
      </c>
      <c r="C3573" t="s">
        <v>209</v>
      </c>
      <c r="D3573" s="21" t="s">
        <v>34</v>
      </c>
      <c r="E3573" s="21" t="s">
        <v>35</v>
      </c>
      <c r="F3573">
        <v>6680090</v>
      </c>
      <c r="G3573" t="s">
        <v>3129</v>
      </c>
      <c r="H3573" s="21">
        <v>1284.67</v>
      </c>
    </row>
    <row r="3574" spans="1:8" customFormat="1" x14ac:dyDescent="0.25">
      <c r="A3574" t="str">
        <f>"575113"</f>
        <v>575113</v>
      </c>
      <c r="B3574" t="s">
        <v>26803</v>
      </c>
      <c r="C3574" t="s">
        <v>719</v>
      </c>
      <c r="D3574" s="21" t="s">
        <v>34</v>
      </c>
      <c r="E3574" s="21" t="s">
        <v>35</v>
      </c>
      <c r="F3574">
        <v>6570070</v>
      </c>
      <c r="G3574" t="s">
        <v>1765</v>
      </c>
      <c r="H3574" s="21">
        <v>1284.67</v>
      </c>
    </row>
    <row r="3575" spans="1:8" customFormat="1" x14ac:dyDescent="0.25">
      <c r="A3575" t="str">
        <f>"5923186"</f>
        <v>5923186</v>
      </c>
      <c r="B3575" t="s">
        <v>4164</v>
      </c>
      <c r="C3575" t="s">
        <v>2806</v>
      </c>
      <c r="D3575" s="21" t="s">
        <v>34</v>
      </c>
      <c r="E3575" s="21" t="s">
        <v>35</v>
      </c>
      <c r="F3575">
        <v>7590006</v>
      </c>
      <c r="G3575" t="s">
        <v>4165</v>
      </c>
      <c r="H3575" s="21">
        <v>1284.67</v>
      </c>
    </row>
    <row r="3576" spans="1:8" customFormat="1" x14ac:dyDescent="0.25">
      <c r="A3576" t="str">
        <f>"694427"</f>
        <v>694427</v>
      </c>
      <c r="B3576" t="s">
        <v>5371</v>
      </c>
      <c r="C3576" t="s">
        <v>3109</v>
      </c>
      <c r="D3576" s="21" t="s">
        <v>34</v>
      </c>
      <c r="E3576" s="21" t="s">
        <v>35</v>
      </c>
      <c r="F3576">
        <v>1690102</v>
      </c>
      <c r="G3576" t="s">
        <v>2081</v>
      </c>
      <c r="H3576" s="21">
        <v>1284.67</v>
      </c>
    </row>
    <row r="3577" spans="1:8" customFormat="1" x14ac:dyDescent="0.25">
      <c r="A3577" t="str">
        <f>"502373"</f>
        <v>502373</v>
      </c>
      <c r="B3577" t="s">
        <v>105</v>
      </c>
      <c r="C3577" t="s">
        <v>55</v>
      </c>
      <c r="D3577" s="21" t="s">
        <v>34</v>
      </c>
      <c r="E3577" s="21" t="s">
        <v>71</v>
      </c>
      <c r="F3577">
        <v>9500030</v>
      </c>
      <c r="G3577" t="s">
        <v>2166</v>
      </c>
      <c r="H3577" s="21">
        <v>1284.67</v>
      </c>
    </row>
    <row r="3578" spans="1:8" customFormat="1" x14ac:dyDescent="0.25">
      <c r="A3578" t="str">
        <f>"9744951"</f>
        <v>9744951</v>
      </c>
      <c r="B3578" t="s">
        <v>3419</v>
      </c>
      <c r="C3578" t="s">
        <v>236</v>
      </c>
      <c r="D3578" s="21" t="s">
        <v>34</v>
      </c>
      <c r="E3578" s="21" t="s">
        <v>71</v>
      </c>
      <c r="F3578" t="s">
        <v>2839</v>
      </c>
      <c r="G3578" t="s">
        <v>2840</v>
      </c>
      <c r="H3578" s="21">
        <v>1284.43</v>
      </c>
    </row>
    <row r="3579" spans="1:8" customFormat="1" x14ac:dyDescent="0.25">
      <c r="A3579" t="str">
        <f>"9225068"</f>
        <v>9225068</v>
      </c>
      <c r="B3579" t="s">
        <v>4772</v>
      </c>
      <c r="C3579" t="s">
        <v>121</v>
      </c>
      <c r="D3579" s="21" t="s">
        <v>34</v>
      </c>
      <c r="E3579" s="21" t="s">
        <v>35</v>
      </c>
      <c r="F3579">
        <v>10330046</v>
      </c>
      <c r="G3579" t="s">
        <v>1787</v>
      </c>
      <c r="H3579" s="21">
        <v>1284.17</v>
      </c>
    </row>
    <row r="3580" spans="1:8" customFormat="1" x14ac:dyDescent="0.25">
      <c r="A3580" t="str">
        <f>"18293"</f>
        <v>18293</v>
      </c>
      <c r="B3580" t="s">
        <v>4523</v>
      </c>
      <c r="C3580" t="s">
        <v>547</v>
      </c>
      <c r="D3580" s="21" t="s">
        <v>34</v>
      </c>
      <c r="E3580" s="21" t="s">
        <v>71</v>
      </c>
      <c r="F3580">
        <v>4180174</v>
      </c>
      <c r="G3580" t="s">
        <v>3046</v>
      </c>
      <c r="H3580" s="21">
        <v>1284.17</v>
      </c>
    </row>
    <row r="3581" spans="1:8" customFormat="1" x14ac:dyDescent="0.25">
      <c r="A3581" t="str">
        <f>"618909"</f>
        <v>618909</v>
      </c>
      <c r="B3581" t="s">
        <v>5053</v>
      </c>
      <c r="C3581" t="s">
        <v>288</v>
      </c>
      <c r="D3581" s="21" t="s">
        <v>34</v>
      </c>
      <c r="E3581" s="21" t="s">
        <v>35</v>
      </c>
      <c r="F3581">
        <v>9610002</v>
      </c>
      <c r="G3581" t="s">
        <v>75</v>
      </c>
      <c r="H3581" s="21">
        <v>1284.17</v>
      </c>
    </row>
    <row r="3582" spans="1:8" customFormat="1" x14ac:dyDescent="0.25">
      <c r="A3582" t="str">
        <f>"91351"</f>
        <v>91351</v>
      </c>
      <c r="B3582" t="s">
        <v>4869</v>
      </c>
      <c r="C3582" t="s">
        <v>209</v>
      </c>
      <c r="D3582" s="21" t="s">
        <v>34</v>
      </c>
      <c r="E3582" s="21" t="s">
        <v>71</v>
      </c>
      <c r="F3582">
        <v>8910918</v>
      </c>
      <c r="G3582" t="s">
        <v>332</v>
      </c>
      <c r="H3582" s="21">
        <v>1284.06</v>
      </c>
    </row>
    <row r="3583" spans="1:8" customFormat="1" x14ac:dyDescent="0.25">
      <c r="A3583" t="str">
        <f>"9124459"</f>
        <v>9124459</v>
      </c>
      <c r="B3583" t="s">
        <v>4266</v>
      </c>
      <c r="C3583" t="s">
        <v>4267</v>
      </c>
      <c r="D3583" s="21" t="s">
        <v>34</v>
      </c>
      <c r="E3583" s="21" t="s">
        <v>71</v>
      </c>
      <c r="F3583">
        <v>8911050</v>
      </c>
      <c r="G3583" t="s">
        <v>1606</v>
      </c>
      <c r="H3583" s="21">
        <v>1283.68</v>
      </c>
    </row>
    <row r="3584" spans="1:8" customFormat="1" x14ac:dyDescent="0.25">
      <c r="A3584" t="str">
        <f>"804999"</f>
        <v>804999</v>
      </c>
      <c r="B3584" t="s">
        <v>4783</v>
      </c>
      <c r="C3584" t="s">
        <v>60</v>
      </c>
      <c r="D3584" s="21" t="s">
        <v>34</v>
      </c>
      <c r="E3584" s="21" t="s">
        <v>35</v>
      </c>
      <c r="F3584">
        <v>7800061</v>
      </c>
      <c r="G3584" t="s">
        <v>1330</v>
      </c>
      <c r="H3584" s="21">
        <v>1283.67</v>
      </c>
    </row>
    <row r="3585" spans="1:8" customFormat="1" x14ac:dyDescent="0.25">
      <c r="A3585" t="str">
        <f>"6715249"</f>
        <v>6715249</v>
      </c>
      <c r="B3585" t="s">
        <v>4047</v>
      </c>
      <c r="C3585" t="s">
        <v>139</v>
      </c>
      <c r="D3585" s="21" t="s">
        <v>34</v>
      </c>
      <c r="E3585" s="21" t="s">
        <v>35</v>
      </c>
      <c r="F3585">
        <v>6670115</v>
      </c>
      <c r="G3585" t="s">
        <v>3798</v>
      </c>
      <c r="H3585" s="21">
        <v>1283.67</v>
      </c>
    </row>
    <row r="3586" spans="1:8" customFormat="1" x14ac:dyDescent="0.25">
      <c r="A3586" t="str">
        <f>"7514453"</f>
        <v>7514453</v>
      </c>
      <c r="B3586" t="s">
        <v>2296</v>
      </c>
      <c r="C3586" t="s">
        <v>40</v>
      </c>
      <c r="D3586" s="21" t="s">
        <v>34</v>
      </c>
      <c r="E3586" s="21" t="s">
        <v>35</v>
      </c>
      <c r="F3586">
        <v>8751271</v>
      </c>
      <c r="G3586" t="s">
        <v>1067</v>
      </c>
      <c r="H3586" s="21">
        <v>1283.67</v>
      </c>
    </row>
    <row r="3587" spans="1:8" customFormat="1" x14ac:dyDescent="0.25">
      <c r="A3587" t="str">
        <f>"8515724"</f>
        <v>8515724</v>
      </c>
      <c r="B3587" t="s">
        <v>882</v>
      </c>
      <c r="C3587" t="s">
        <v>55</v>
      </c>
      <c r="D3587" s="21" t="s">
        <v>34</v>
      </c>
      <c r="E3587" s="21" t="s">
        <v>71</v>
      </c>
      <c r="F3587">
        <v>4370349</v>
      </c>
      <c r="G3587" t="s">
        <v>2287</v>
      </c>
      <c r="H3587" s="21">
        <v>1283.67</v>
      </c>
    </row>
    <row r="3588" spans="1:8" customFormat="1" x14ac:dyDescent="0.25">
      <c r="A3588" t="str">
        <f>"9111501"</f>
        <v>9111501</v>
      </c>
      <c r="B3588" t="s">
        <v>4251</v>
      </c>
      <c r="C3588" t="s">
        <v>4252</v>
      </c>
      <c r="D3588" s="21" t="s">
        <v>34</v>
      </c>
      <c r="E3588" s="21" t="s">
        <v>71</v>
      </c>
      <c r="F3588">
        <v>8910077</v>
      </c>
      <c r="G3588" t="s">
        <v>1380</v>
      </c>
      <c r="H3588" s="21">
        <v>1283.67</v>
      </c>
    </row>
    <row r="3589" spans="1:8" customFormat="1" x14ac:dyDescent="0.25">
      <c r="A3589" t="str">
        <f>"133917"</f>
        <v>133917</v>
      </c>
      <c r="B3589" t="s">
        <v>3700</v>
      </c>
      <c r="C3589" t="s">
        <v>171</v>
      </c>
      <c r="D3589" s="21" t="s">
        <v>34</v>
      </c>
      <c r="E3589" s="21" t="s">
        <v>35</v>
      </c>
      <c r="F3589">
        <v>10790058</v>
      </c>
      <c r="G3589" t="s">
        <v>6512</v>
      </c>
      <c r="H3589" s="21">
        <v>1283.56</v>
      </c>
    </row>
    <row r="3590" spans="1:8" customFormat="1" x14ac:dyDescent="0.25">
      <c r="A3590" t="str">
        <f>"3314201"</f>
        <v>3314201</v>
      </c>
      <c r="B3590" t="s">
        <v>4293</v>
      </c>
      <c r="C3590" t="s">
        <v>2100</v>
      </c>
      <c r="D3590" s="21" t="s">
        <v>34</v>
      </c>
      <c r="E3590" s="21" t="s">
        <v>35</v>
      </c>
      <c r="F3590">
        <v>10330046</v>
      </c>
      <c r="G3590" t="s">
        <v>1787</v>
      </c>
      <c r="H3590" s="21">
        <v>1283.42</v>
      </c>
    </row>
    <row r="3591" spans="1:8" customFormat="1" x14ac:dyDescent="0.25">
      <c r="A3591" t="str">
        <f>"792161"</f>
        <v>792161</v>
      </c>
      <c r="B3591" t="s">
        <v>3188</v>
      </c>
      <c r="C3591" t="s">
        <v>65</v>
      </c>
      <c r="D3591" s="21" t="s">
        <v>34</v>
      </c>
      <c r="E3591" s="21" t="s">
        <v>35</v>
      </c>
      <c r="F3591">
        <v>10790163</v>
      </c>
      <c r="G3591" t="s">
        <v>2015</v>
      </c>
      <c r="H3591" s="21">
        <v>1283.42</v>
      </c>
    </row>
    <row r="3592" spans="1:8" customFormat="1" x14ac:dyDescent="0.25">
      <c r="A3592" t="str">
        <f>"629632"</f>
        <v>629632</v>
      </c>
      <c r="B3592" t="s">
        <v>623</v>
      </c>
      <c r="C3592" t="s">
        <v>249</v>
      </c>
      <c r="D3592" s="21" t="s">
        <v>34</v>
      </c>
      <c r="E3592" s="21" t="s">
        <v>35</v>
      </c>
      <c r="F3592">
        <v>7620112</v>
      </c>
      <c r="G3592" t="s">
        <v>5663</v>
      </c>
      <c r="H3592" s="21">
        <v>1283.42</v>
      </c>
    </row>
    <row r="3593" spans="1:8" customFormat="1" x14ac:dyDescent="0.25">
      <c r="A3593" t="str">
        <f>"4326"</f>
        <v>4326</v>
      </c>
      <c r="B3593" t="s">
        <v>5094</v>
      </c>
      <c r="C3593" t="s">
        <v>82</v>
      </c>
      <c r="D3593" s="21" t="s">
        <v>34</v>
      </c>
      <c r="E3593" s="21" t="s">
        <v>35</v>
      </c>
      <c r="F3593">
        <v>1420307</v>
      </c>
      <c r="G3593" t="s">
        <v>26676</v>
      </c>
      <c r="H3593" s="21">
        <v>1283.42</v>
      </c>
    </row>
    <row r="3594" spans="1:8" customFormat="1" x14ac:dyDescent="0.25">
      <c r="A3594" t="str">
        <f>"022692"</f>
        <v>022692</v>
      </c>
      <c r="B3594" t="s">
        <v>4388</v>
      </c>
      <c r="C3594" t="s">
        <v>1468</v>
      </c>
      <c r="D3594" s="21" t="s">
        <v>34</v>
      </c>
      <c r="E3594" s="21" t="s">
        <v>35</v>
      </c>
      <c r="F3594">
        <v>7020031</v>
      </c>
      <c r="G3594" t="s">
        <v>828</v>
      </c>
      <c r="H3594" s="21">
        <v>1283.17</v>
      </c>
    </row>
    <row r="3595" spans="1:8" customFormat="1" x14ac:dyDescent="0.25">
      <c r="A3595" t="str">
        <f>"3712844"</f>
        <v>3712844</v>
      </c>
      <c r="B3595" t="s">
        <v>2203</v>
      </c>
      <c r="C3595" t="s">
        <v>285</v>
      </c>
      <c r="D3595" s="21" t="s">
        <v>34</v>
      </c>
      <c r="E3595" s="21" t="s">
        <v>35</v>
      </c>
      <c r="F3595">
        <v>4370269</v>
      </c>
      <c r="G3595" t="s">
        <v>4277</v>
      </c>
      <c r="H3595" s="21">
        <v>1283.17</v>
      </c>
    </row>
    <row r="3596" spans="1:8" customFormat="1" x14ac:dyDescent="0.25">
      <c r="A3596" t="str">
        <f>"292045"</f>
        <v>292045</v>
      </c>
      <c r="B3596" t="s">
        <v>3986</v>
      </c>
      <c r="C3596" t="s">
        <v>3987</v>
      </c>
      <c r="D3596" s="21" t="s">
        <v>34</v>
      </c>
      <c r="E3596" s="21" t="s">
        <v>1089</v>
      </c>
      <c r="F3596">
        <v>3290039</v>
      </c>
      <c r="G3596" t="s">
        <v>3988</v>
      </c>
      <c r="H3596" s="21">
        <v>1283.17</v>
      </c>
    </row>
    <row r="3597" spans="1:8" customFormat="1" x14ac:dyDescent="0.25">
      <c r="A3597" t="str">
        <f>"675274"</f>
        <v>675274</v>
      </c>
      <c r="B3597" t="s">
        <v>2024</v>
      </c>
      <c r="C3597" t="s">
        <v>40</v>
      </c>
      <c r="D3597" s="21" t="s">
        <v>34</v>
      </c>
      <c r="E3597" s="21" t="s">
        <v>71</v>
      </c>
      <c r="F3597">
        <v>6670010</v>
      </c>
      <c r="G3597" t="s">
        <v>721</v>
      </c>
      <c r="H3597" s="21">
        <v>1283</v>
      </c>
    </row>
    <row r="3598" spans="1:8" customFormat="1" x14ac:dyDescent="0.25">
      <c r="A3598" t="str">
        <f>"5921138"</f>
        <v>5921138</v>
      </c>
      <c r="B3598" t="s">
        <v>3918</v>
      </c>
      <c r="C3598" t="s">
        <v>60</v>
      </c>
      <c r="D3598" s="21" t="s">
        <v>34</v>
      </c>
      <c r="E3598" s="21" t="s">
        <v>35</v>
      </c>
      <c r="F3598">
        <v>8750007</v>
      </c>
      <c r="G3598" t="s">
        <v>775</v>
      </c>
      <c r="H3598" s="21">
        <v>1282.92</v>
      </c>
    </row>
    <row r="3599" spans="1:8" customFormat="1" x14ac:dyDescent="0.25">
      <c r="A3599" t="str">
        <f>"5920809"</f>
        <v>5920809</v>
      </c>
      <c r="B3599" t="s">
        <v>4431</v>
      </c>
      <c r="C3599" t="s">
        <v>428</v>
      </c>
      <c r="D3599" s="21" t="s">
        <v>34</v>
      </c>
      <c r="E3599" s="21" t="s">
        <v>35</v>
      </c>
      <c r="F3599">
        <v>7590392</v>
      </c>
      <c r="G3599" t="s">
        <v>154</v>
      </c>
      <c r="H3599" s="21">
        <v>1282.67</v>
      </c>
    </row>
    <row r="3600" spans="1:8" customFormat="1" x14ac:dyDescent="0.25">
      <c r="A3600" t="str">
        <f>"80947"</f>
        <v>80947</v>
      </c>
      <c r="B3600" t="s">
        <v>1447</v>
      </c>
      <c r="C3600" t="s">
        <v>169</v>
      </c>
      <c r="D3600" s="21" t="s">
        <v>34</v>
      </c>
      <c r="E3600" s="21" t="s">
        <v>35</v>
      </c>
      <c r="F3600">
        <v>7620110</v>
      </c>
      <c r="G3600" t="s">
        <v>2681</v>
      </c>
      <c r="H3600" s="21">
        <v>1282.67</v>
      </c>
    </row>
    <row r="3601" spans="1:8" customFormat="1" x14ac:dyDescent="0.25">
      <c r="A3601" t="str">
        <f>"763028"</f>
        <v>763028</v>
      </c>
      <c r="B3601" t="s">
        <v>7688</v>
      </c>
      <c r="C3601" t="s">
        <v>40</v>
      </c>
      <c r="D3601" s="21" t="s">
        <v>34</v>
      </c>
      <c r="E3601" s="21" t="s">
        <v>71</v>
      </c>
      <c r="F3601">
        <v>9760442</v>
      </c>
      <c r="G3601" t="s">
        <v>5753</v>
      </c>
      <c r="H3601" s="21">
        <v>1282.67</v>
      </c>
    </row>
    <row r="3602" spans="1:8" customFormat="1" x14ac:dyDescent="0.25">
      <c r="A3602" t="str">
        <f>"283718"</f>
        <v>283718</v>
      </c>
      <c r="B3602" t="s">
        <v>4966</v>
      </c>
      <c r="C3602" t="s">
        <v>60</v>
      </c>
      <c r="D3602" s="21" t="s">
        <v>34</v>
      </c>
      <c r="E3602" s="21" t="s">
        <v>35</v>
      </c>
      <c r="F3602">
        <v>4280529</v>
      </c>
      <c r="G3602" t="s">
        <v>2970</v>
      </c>
      <c r="H3602" s="21">
        <v>1282.67</v>
      </c>
    </row>
    <row r="3603" spans="1:8" customFormat="1" x14ac:dyDescent="0.25">
      <c r="A3603" t="str">
        <f>"6914230"</f>
        <v>6914230</v>
      </c>
      <c r="B3603" t="s">
        <v>26804</v>
      </c>
      <c r="C3603" t="s">
        <v>87</v>
      </c>
      <c r="D3603" s="21" t="s">
        <v>34</v>
      </c>
      <c r="E3603" s="21" t="s">
        <v>35</v>
      </c>
      <c r="F3603">
        <v>10330009</v>
      </c>
      <c r="G3603" t="s">
        <v>2064</v>
      </c>
      <c r="H3603" s="21">
        <v>1282.42</v>
      </c>
    </row>
    <row r="3604" spans="1:8" customFormat="1" x14ac:dyDescent="0.25">
      <c r="A3604" t="str">
        <f>"723032"</f>
        <v>723032</v>
      </c>
      <c r="B3604" t="s">
        <v>146</v>
      </c>
      <c r="C3604" t="s">
        <v>209</v>
      </c>
      <c r="D3604" s="21" t="s">
        <v>34</v>
      </c>
      <c r="E3604" s="21" t="s">
        <v>71</v>
      </c>
      <c r="F3604">
        <v>12720004</v>
      </c>
      <c r="G3604" t="s">
        <v>2328</v>
      </c>
      <c r="H3604" s="21">
        <v>1282.17</v>
      </c>
    </row>
    <row r="3605" spans="1:8" customFormat="1" x14ac:dyDescent="0.25">
      <c r="A3605" t="str">
        <f>"5963541"</f>
        <v>5963541</v>
      </c>
      <c r="B3605" t="s">
        <v>4967</v>
      </c>
      <c r="C3605" t="s">
        <v>121</v>
      </c>
      <c r="D3605" s="21" t="s">
        <v>34</v>
      </c>
      <c r="E3605" s="21" t="s">
        <v>35</v>
      </c>
      <c r="F3605">
        <v>7590048</v>
      </c>
      <c r="G3605" t="s">
        <v>4608</v>
      </c>
      <c r="H3605" s="21">
        <v>1282.17</v>
      </c>
    </row>
    <row r="3606" spans="1:8" customFormat="1" x14ac:dyDescent="0.25">
      <c r="A3606" t="str">
        <f>"4511804"</f>
        <v>4511804</v>
      </c>
      <c r="B3606" t="s">
        <v>20146</v>
      </c>
      <c r="C3606" t="s">
        <v>209</v>
      </c>
      <c r="D3606" s="21" t="s">
        <v>34</v>
      </c>
      <c r="E3606" s="21" t="s">
        <v>71</v>
      </c>
      <c r="F3606">
        <v>4450661</v>
      </c>
      <c r="G3606" t="s">
        <v>12253</v>
      </c>
      <c r="H3606" s="21">
        <v>1282.17</v>
      </c>
    </row>
    <row r="3607" spans="1:8" customFormat="1" x14ac:dyDescent="0.25">
      <c r="A3607" t="str">
        <f>"592139"</f>
        <v>592139</v>
      </c>
      <c r="B3607" t="s">
        <v>4081</v>
      </c>
      <c r="C3607" t="s">
        <v>249</v>
      </c>
      <c r="D3607" s="21" t="s">
        <v>34</v>
      </c>
      <c r="E3607" s="21" t="s">
        <v>71</v>
      </c>
      <c r="F3607">
        <v>7590392</v>
      </c>
      <c r="G3607" t="s">
        <v>154</v>
      </c>
      <c r="H3607" s="21">
        <v>1282.17</v>
      </c>
    </row>
    <row r="3608" spans="1:8" customFormat="1" x14ac:dyDescent="0.25">
      <c r="A3608" t="str">
        <f>"224469"</f>
        <v>224469</v>
      </c>
      <c r="B3608" t="s">
        <v>4975</v>
      </c>
      <c r="C3608" t="s">
        <v>302</v>
      </c>
      <c r="D3608" s="21" t="s">
        <v>34</v>
      </c>
      <c r="E3608" s="21" t="s">
        <v>35</v>
      </c>
      <c r="F3608">
        <v>3290036</v>
      </c>
      <c r="G3608" t="s">
        <v>3903</v>
      </c>
      <c r="H3608" s="21">
        <v>1282.17</v>
      </c>
    </row>
    <row r="3609" spans="1:8" customFormat="1" x14ac:dyDescent="0.25">
      <c r="A3609" t="str">
        <f>"891316"</f>
        <v>891316</v>
      </c>
      <c r="B3609" t="s">
        <v>4458</v>
      </c>
      <c r="C3609" t="s">
        <v>198</v>
      </c>
      <c r="D3609" s="21" t="s">
        <v>34</v>
      </c>
      <c r="E3609" s="21" t="s">
        <v>71</v>
      </c>
      <c r="F3609">
        <v>2890010</v>
      </c>
      <c r="G3609" t="s">
        <v>3790</v>
      </c>
      <c r="H3609" s="21">
        <v>1282.05</v>
      </c>
    </row>
    <row r="3610" spans="1:8" customFormat="1" x14ac:dyDescent="0.25">
      <c r="A3610" t="str">
        <f>"4937075"</f>
        <v>4937075</v>
      </c>
      <c r="B3610" t="s">
        <v>185</v>
      </c>
      <c r="C3610" t="s">
        <v>5939</v>
      </c>
      <c r="D3610" s="21" t="s">
        <v>34</v>
      </c>
      <c r="E3610" s="21" t="s">
        <v>71</v>
      </c>
      <c r="F3610">
        <v>12490022</v>
      </c>
      <c r="G3610" t="s">
        <v>1450</v>
      </c>
      <c r="H3610" s="21">
        <v>1281.93</v>
      </c>
    </row>
    <row r="3611" spans="1:8" customFormat="1" x14ac:dyDescent="0.25">
      <c r="A3611" t="str">
        <f>"671543"</f>
        <v>671543</v>
      </c>
      <c r="B3611" t="s">
        <v>4403</v>
      </c>
      <c r="C3611" t="s">
        <v>267</v>
      </c>
      <c r="D3611" s="21" t="s">
        <v>34</v>
      </c>
      <c r="E3611" s="21" t="s">
        <v>71</v>
      </c>
      <c r="F3611">
        <v>6670149</v>
      </c>
      <c r="G3611" t="s">
        <v>4404</v>
      </c>
      <c r="H3611" s="21">
        <v>1281.67</v>
      </c>
    </row>
    <row r="3612" spans="1:8" customFormat="1" x14ac:dyDescent="0.25">
      <c r="A3612" t="str">
        <f>"7714480"</f>
        <v>7714480</v>
      </c>
      <c r="B3612" t="s">
        <v>4846</v>
      </c>
      <c r="C3612" t="s">
        <v>2529</v>
      </c>
      <c r="D3612" s="21" t="s">
        <v>34</v>
      </c>
      <c r="E3612" s="21" t="s">
        <v>35</v>
      </c>
      <c r="F3612">
        <v>8770562</v>
      </c>
      <c r="G3612" t="s">
        <v>4847</v>
      </c>
      <c r="H3612" s="21">
        <v>1281.67</v>
      </c>
    </row>
    <row r="3613" spans="1:8" customFormat="1" x14ac:dyDescent="0.25">
      <c r="A3613" t="str">
        <f>"9520945"</f>
        <v>9520945</v>
      </c>
      <c r="B3613" t="s">
        <v>3076</v>
      </c>
      <c r="C3613" t="s">
        <v>825</v>
      </c>
      <c r="D3613" s="21" t="s">
        <v>34</v>
      </c>
      <c r="E3613" s="21" t="s">
        <v>71</v>
      </c>
      <c r="F3613">
        <v>9270089</v>
      </c>
      <c r="G3613" t="s">
        <v>1009</v>
      </c>
      <c r="H3613" s="21">
        <v>1281.67</v>
      </c>
    </row>
    <row r="3614" spans="1:8" customFormat="1" x14ac:dyDescent="0.25">
      <c r="A3614" t="str">
        <f>"679256"</f>
        <v>679256</v>
      </c>
      <c r="B3614" t="s">
        <v>4234</v>
      </c>
      <c r="C3614" t="s">
        <v>2208</v>
      </c>
      <c r="D3614" s="21" t="s">
        <v>34</v>
      </c>
      <c r="E3614" s="21" t="s">
        <v>35</v>
      </c>
      <c r="F3614">
        <v>6670272</v>
      </c>
      <c r="G3614" t="s">
        <v>26568</v>
      </c>
      <c r="H3614" s="21">
        <v>1281.67</v>
      </c>
    </row>
    <row r="3615" spans="1:8" customFormat="1" x14ac:dyDescent="0.25">
      <c r="A3615" t="str">
        <f>"5311490"</f>
        <v>5311490</v>
      </c>
      <c r="B3615" t="s">
        <v>4454</v>
      </c>
      <c r="C3615" t="s">
        <v>151</v>
      </c>
      <c r="D3615" s="21" t="s">
        <v>34</v>
      </c>
      <c r="E3615" s="21" t="s">
        <v>71</v>
      </c>
      <c r="F3615">
        <v>12530036</v>
      </c>
      <c r="G3615" t="s">
        <v>2200</v>
      </c>
      <c r="H3615" s="21">
        <v>1281.17</v>
      </c>
    </row>
    <row r="3616" spans="1:8" customFormat="1" x14ac:dyDescent="0.25">
      <c r="A3616" t="str">
        <f>"5925057"</f>
        <v>5925057</v>
      </c>
      <c r="B3616" t="s">
        <v>4716</v>
      </c>
      <c r="C3616" t="s">
        <v>462</v>
      </c>
      <c r="D3616" s="21" t="s">
        <v>34</v>
      </c>
      <c r="E3616" s="21" t="s">
        <v>71</v>
      </c>
      <c r="F3616">
        <v>7590040</v>
      </c>
      <c r="G3616" t="s">
        <v>104</v>
      </c>
      <c r="H3616" s="21">
        <v>1281.17</v>
      </c>
    </row>
    <row r="3617" spans="1:8" customFormat="1" x14ac:dyDescent="0.25">
      <c r="A3617" t="str">
        <f>"44888"</f>
        <v>44888</v>
      </c>
      <c r="B3617" t="s">
        <v>1886</v>
      </c>
      <c r="C3617" t="s">
        <v>65</v>
      </c>
      <c r="D3617" s="21" t="s">
        <v>34</v>
      </c>
      <c r="E3617" s="21" t="s">
        <v>71</v>
      </c>
      <c r="F3617">
        <v>12440024</v>
      </c>
      <c r="G3617" t="s">
        <v>2205</v>
      </c>
      <c r="H3617" s="21">
        <v>1281.17</v>
      </c>
    </row>
    <row r="3618" spans="1:8" customFormat="1" x14ac:dyDescent="0.25">
      <c r="A3618" t="str">
        <f>"88108"</f>
        <v>88108</v>
      </c>
      <c r="B3618" t="s">
        <v>1462</v>
      </c>
      <c r="C3618" t="s">
        <v>263</v>
      </c>
      <c r="D3618" s="21" t="s">
        <v>34</v>
      </c>
      <c r="E3618" s="21" t="s">
        <v>71</v>
      </c>
      <c r="F3618">
        <v>6880007</v>
      </c>
      <c r="G3618" t="s">
        <v>1039</v>
      </c>
      <c r="H3618" s="21">
        <v>1281.17</v>
      </c>
    </row>
    <row r="3619" spans="1:8" customFormat="1" x14ac:dyDescent="0.25">
      <c r="A3619" t="str">
        <f>"767018"</f>
        <v>767018</v>
      </c>
      <c r="B3619" t="s">
        <v>4023</v>
      </c>
      <c r="C3619" t="s">
        <v>267</v>
      </c>
      <c r="D3619" s="21" t="s">
        <v>34</v>
      </c>
      <c r="E3619" s="21" t="s">
        <v>71</v>
      </c>
      <c r="F3619">
        <v>9760382</v>
      </c>
      <c r="G3619" t="s">
        <v>2737</v>
      </c>
      <c r="H3619" s="21">
        <v>1281.17</v>
      </c>
    </row>
    <row r="3620" spans="1:8" customFormat="1" x14ac:dyDescent="0.25">
      <c r="A3620" t="str">
        <f>"337187"</f>
        <v>337187</v>
      </c>
      <c r="B3620" t="s">
        <v>4209</v>
      </c>
      <c r="C3620" t="s">
        <v>233</v>
      </c>
      <c r="D3620" s="21" t="s">
        <v>34</v>
      </c>
      <c r="E3620" s="21" t="s">
        <v>71</v>
      </c>
      <c r="F3620">
        <v>10330030</v>
      </c>
      <c r="G3620" t="s">
        <v>2990</v>
      </c>
      <c r="H3620" s="21">
        <v>1281.17</v>
      </c>
    </row>
    <row r="3621" spans="1:8" customFormat="1" x14ac:dyDescent="0.25">
      <c r="A3621" t="str">
        <f>"7727440"</f>
        <v>7727440</v>
      </c>
      <c r="B3621" t="s">
        <v>5454</v>
      </c>
      <c r="C3621" t="s">
        <v>109</v>
      </c>
      <c r="D3621" s="21" t="s">
        <v>34</v>
      </c>
      <c r="E3621" s="21" t="s">
        <v>35</v>
      </c>
      <c r="F3621">
        <v>8771200</v>
      </c>
      <c r="G3621" t="s">
        <v>5455</v>
      </c>
      <c r="H3621" s="21">
        <v>1280.92</v>
      </c>
    </row>
    <row r="3622" spans="1:8" customFormat="1" x14ac:dyDescent="0.25">
      <c r="A3622" t="str">
        <f>"212288"</f>
        <v>212288</v>
      </c>
      <c r="B3622" t="s">
        <v>9975</v>
      </c>
      <c r="C3622" t="s">
        <v>233</v>
      </c>
      <c r="D3622" s="21" t="s">
        <v>34</v>
      </c>
      <c r="E3622" s="21" t="s">
        <v>35</v>
      </c>
      <c r="F3622">
        <v>2210101</v>
      </c>
      <c r="G3622" t="s">
        <v>1374</v>
      </c>
      <c r="H3622" s="21">
        <v>1280.92</v>
      </c>
    </row>
    <row r="3623" spans="1:8" customFormat="1" x14ac:dyDescent="0.25">
      <c r="A3623" t="str">
        <f>"2510181"</f>
        <v>2510181</v>
      </c>
      <c r="B3623" t="s">
        <v>4524</v>
      </c>
      <c r="C3623" t="s">
        <v>269</v>
      </c>
      <c r="D3623" s="21" t="s">
        <v>34</v>
      </c>
      <c r="E3623" s="21" t="s">
        <v>71</v>
      </c>
      <c r="F3623">
        <v>2250001</v>
      </c>
      <c r="G3623" t="s">
        <v>424</v>
      </c>
      <c r="H3623" s="21">
        <v>1280.67</v>
      </c>
    </row>
    <row r="3624" spans="1:8" customFormat="1" x14ac:dyDescent="0.25">
      <c r="A3624" t="str">
        <f>"493886"</f>
        <v>493886</v>
      </c>
      <c r="B3624" t="s">
        <v>1263</v>
      </c>
      <c r="C3624" t="s">
        <v>415</v>
      </c>
      <c r="D3624" s="21" t="s">
        <v>34</v>
      </c>
      <c r="E3624" s="21" t="s">
        <v>71</v>
      </c>
      <c r="F3624">
        <v>12490068</v>
      </c>
      <c r="G3624" t="s">
        <v>2070</v>
      </c>
      <c r="H3624" s="21">
        <v>1280.67</v>
      </c>
    </row>
    <row r="3625" spans="1:8" customFormat="1" x14ac:dyDescent="0.25">
      <c r="A3625" t="str">
        <f>"7611290"</f>
        <v>7611290</v>
      </c>
      <c r="B3625" t="s">
        <v>4382</v>
      </c>
      <c r="C3625" t="s">
        <v>33</v>
      </c>
      <c r="D3625" s="21" t="s">
        <v>34</v>
      </c>
      <c r="E3625" s="21" t="s">
        <v>35</v>
      </c>
      <c r="F3625">
        <v>9270095</v>
      </c>
      <c r="G3625" t="s">
        <v>1681</v>
      </c>
      <c r="H3625" s="21">
        <v>1280.67</v>
      </c>
    </row>
    <row r="3626" spans="1:8" customFormat="1" x14ac:dyDescent="0.25">
      <c r="A3626" t="str">
        <f>"672865"</f>
        <v>672865</v>
      </c>
      <c r="B3626" t="s">
        <v>4805</v>
      </c>
      <c r="C3626" t="s">
        <v>1705</v>
      </c>
      <c r="D3626" s="21" t="s">
        <v>34</v>
      </c>
      <c r="E3626" s="21" t="s">
        <v>71</v>
      </c>
      <c r="F3626">
        <v>6670202</v>
      </c>
      <c r="G3626" t="s">
        <v>605</v>
      </c>
      <c r="H3626" s="21">
        <v>1280.67</v>
      </c>
    </row>
    <row r="3627" spans="1:8" customFormat="1" x14ac:dyDescent="0.25">
      <c r="A3627" t="str">
        <f>"165753"</f>
        <v>165753</v>
      </c>
      <c r="B3627" t="s">
        <v>18212</v>
      </c>
      <c r="C3627" t="s">
        <v>55</v>
      </c>
      <c r="D3627" s="21" t="s">
        <v>34</v>
      </c>
      <c r="E3627" s="21" t="s">
        <v>71</v>
      </c>
      <c r="F3627">
        <v>10160029</v>
      </c>
      <c r="G3627" t="s">
        <v>896</v>
      </c>
      <c r="H3627" s="21">
        <v>1280.67</v>
      </c>
    </row>
    <row r="3628" spans="1:8" customFormat="1" x14ac:dyDescent="0.25">
      <c r="A3628" t="str">
        <f>"912900"</f>
        <v>912900</v>
      </c>
      <c r="B3628" t="s">
        <v>5150</v>
      </c>
      <c r="C3628" t="s">
        <v>33</v>
      </c>
      <c r="D3628" s="21" t="s">
        <v>34</v>
      </c>
      <c r="E3628" s="21" t="s">
        <v>35</v>
      </c>
      <c r="F3628">
        <v>8911285</v>
      </c>
      <c r="G3628" t="s">
        <v>2396</v>
      </c>
      <c r="H3628" s="21">
        <v>1280.55</v>
      </c>
    </row>
    <row r="3629" spans="1:8" customFormat="1" x14ac:dyDescent="0.25">
      <c r="A3629" t="str">
        <f>"7513609"</f>
        <v>7513609</v>
      </c>
      <c r="B3629" t="s">
        <v>4696</v>
      </c>
      <c r="C3629" t="s">
        <v>275</v>
      </c>
      <c r="D3629" s="21" t="s">
        <v>34</v>
      </c>
      <c r="E3629" s="21" t="s">
        <v>35</v>
      </c>
      <c r="F3629">
        <v>8750120</v>
      </c>
      <c r="G3629" t="s">
        <v>838</v>
      </c>
      <c r="H3629" s="21">
        <v>1280.17</v>
      </c>
    </row>
    <row r="3630" spans="1:8" customFormat="1" x14ac:dyDescent="0.25">
      <c r="A3630" t="str">
        <f>"8521520"</f>
        <v>8521520</v>
      </c>
      <c r="B3630" t="s">
        <v>3546</v>
      </c>
      <c r="C3630" t="s">
        <v>275</v>
      </c>
      <c r="D3630" s="21" t="s">
        <v>34</v>
      </c>
      <c r="E3630" s="21" t="s">
        <v>35</v>
      </c>
      <c r="F3630">
        <v>12850165</v>
      </c>
      <c r="G3630" t="s">
        <v>9632</v>
      </c>
      <c r="H3630" s="21">
        <v>1280.17</v>
      </c>
    </row>
    <row r="3631" spans="1:8" customFormat="1" x14ac:dyDescent="0.25">
      <c r="A3631" t="str">
        <f>"7912525"</f>
        <v>7912525</v>
      </c>
      <c r="B3631" t="s">
        <v>138</v>
      </c>
      <c r="C3631" t="s">
        <v>55</v>
      </c>
      <c r="D3631" s="21" t="s">
        <v>34</v>
      </c>
      <c r="E3631" s="21" t="s">
        <v>254</v>
      </c>
      <c r="F3631">
        <v>10790009</v>
      </c>
      <c r="G3631" t="s">
        <v>1155</v>
      </c>
      <c r="H3631" s="21">
        <v>1280.17</v>
      </c>
    </row>
    <row r="3632" spans="1:8" customFormat="1" x14ac:dyDescent="0.25">
      <c r="A3632" t="str">
        <f>"4920512"</f>
        <v>4920512</v>
      </c>
      <c r="B3632" t="s">
        <v>4759</v>
      </c>
      <c r="C3632" t="s">
        <v>415</v>
      </c>
      <c r="D3632" s="21" t="s">
        <v>34</v>
      </c>
      <c r="E3632" s="21" t="s">
        <v>71</v>
      </c>
      <c r="F3632">
        <v>12850021</v>
      </c>
      <c r="G3632" t="s">
        <v>4760</v>
      </c>
      <c r="H3632" s="21">
        <v>1280.17</v>
      </c>
    </row>
    <row r="3633" spans="1:8" customFormat="1" x14ac:dyDescent="0.25">
      <c r="A3633" t="str">
        <f>"4445113"</f>
        <v>4445113</v>
      </c>
      <c r="B3633" t="s">
        <v>4922</v>
      </c>
      <c r="C3633" t="s">
        <v>285</v>
      </c>
      <c r="D3633" s="21" t="s">
        <v>34</v>
      </c>
      <c r="E3633" s="21" t="s">
        <v>35</v>
      </c>
      <c r="F3633">
        <v>12440067</v>
      </c>
      <c r="G3633" t="s">
        <v>1723</v>
      </c>
      <c r="H3633" s="21">
        <v>1279.8</v>
      </c>
    </row>
    <row r="3634" spans="1:8" customFormat="1" x14ac:dyDescent="0.25">
      <c r="A3634" t="str">
        <f>"5421833"</f>
        <v>5421833</v>
      </c>
      <c r="B3634" t="s">
        <v>5438</v>
      </c>
      <c r="C3634" t="s">
        <v>236</v>
      </c>
      <c r="D3634" s="21" t="s">
        <v>34</v>
      </c>
      <c r="E3634" s="21" t="s">
        <v>35</v>
      </c>
      <c r="F3634">
        <v>6540184</v>
      </c>
      <c r="G3634" t="s">
        <v>4395</v>
      </c>
      <c r="H3634" s="21">
        <v>1279.8</v>
      </c>
    </row>
    <row r="3635" spans="1:8" customFormat="1" x14ac:dyDescent="0.25">
      <c r="A3635" t="str">
        <f>"695956"</f>
        <v>695956</v>
      </c>
      <c r="B3635" t="s">
        <v>4664</v>
      </c>
      <c r="C3635" t="s">
        <v>239</v>
      </c>
      <c r="D3635" s="21" t="s">
        <v>34</v>
      </c>
      <c r="E3635" s="21" t="s">
        <v>254</v>
      </c>
      <c r="F3635">
        <v>1690186</v>
      </c>
      <c r="G3635" t="s">
        <v>438</v>
      </c>
      <c r="H3635" s="21">
        <v>1279.75</v>
      </c>
    </row>
    <row r="3636" spans="1:8" customFormat="1" x14ac:dyDescent="0.25">
      <c r="A3636" t="str">
        <f>"788424"</f>
        <v>788424</v>
      </c>
      <c r="B3636" t="s">
        <v>3871</v>
      </c>
      <c r="C3636" t="s">
        <v>209</v>
      </c>
      <c r="D3636" s="21" t="s">
        <v>34</v>
      </c>
      <c r="E3636" s="21" t="s">
        <v>71</v>
      </c>
      <c r="F3636">
        <v>10640006</v>
      </c>
      <c r="G3636" t="s">
        <v>3872</v>
      </c>
      <c r="H3636" s="21">
        <v>1279.67</v>
      </c>
    </row>
    <row r="3637" spans="1:8" customFormat="1" x14ac:dyDescent="0.25">
      <c r="A3637" t="str">
        <f>"6016542"</f>
        <v>6016542</v>
      </c>
      <c r="B3637" t="s">
        <v>4378</v>
      </c>
      <c r="C3637" t="s">
        <v>60</v>
      </c>
      <c r="D3637" s="21" t="s">
        <v>34</v>
      </c>
      <c r="E3637" s="21" t="s">
        <v>35</v>
      </c>
      <c r="F3637">
        <v>7600063</v>
      </c>
      <c r="G3637" t="s">
        <v>2506</v>
      </c>
      <c r="H3637" s="21">
        <v>1279.67</v>
      </c>
    </row>
    <row r="3638" spans="1:8" customFormat="1" x14ac:dyDescent="0.25">
      <c r="A3638" t="str">
        <f>"859647"</f>
        <v>859647</v>
      </c>
      <c r="B3638" t="s">
        <v>4409</v>
      </c>
      <c r="C3638" t="s">
        <v>4410</v>
      </c>
      <c r="D3638" s="21" t="s">
        <v>34</v>
      </c>
      <c r="E3638" s="21" t="s">
        <v>254</v>
      </c>
      <c r="F3638">
        <v>12440033</v>
      </c>
      <c r="G3638" t="s">
        <v>1638</v>
      </c>
      <c r="H3638" s="21">
        <v>1279.67</v>
      </c>
    </row>
    <row r="3639" spans="1:8" customFormat="1" x14ac:dyDescent="0.25">
      <c r="A3639" t="str">
        <f>"578958"</f>
        <v>578958</v>
      </c>
      <c r="B3639" t="s">
        <v>4214</v>
      </c>
      <c r="C3639" t="s">
        <v>967</v>
      </c>
      <c r="D3639" s="21" t="s">
        <v>34</v>
      </c>
      <c r="E3639" s="21" t="s">
        <v>71</v>
      </c>
      <c r="F3639">
        <v>6570158</v>
      </c>
      <c r="G3639" t="s">
        <v>2391</v>
      </c>
      <c r="H3639" s="21">
        <v>1279.67</v>
      </c>
    </row>
    <row r="3640" spans="1:8" customFormat="1" x14ac:dyDescent="0.25">
      <c r="A3640" t="str">
        <f>"7622265"</f>
        <v>7622265</v>
      </c>
      <c r="B3640" t="s">
        <v>4370</v>
      </c>
      <c r="C3640" t="s">
        <v>109</v>
      </c>
      <c r="D3640" s="21" t="s">
        <v>34</v>
      </c>
      <c r="E3640" s="21" t="s">
        <v>35</v>
      </c>
      <c r="F3640">
        <v>9270063</v>
      </c>
      <c r="G3640" t="s">
        <v>808</v>
      </c>
      <c r="H3640" s="21">
        <v>1279.67</v>
      </c>
    </row>
    <row r="3641" spans="1:8" customFormat="1" x14ac:dyDescent="0.25">
      <c r="A3641" t="str">
        <f>"622427"</f>
        <v>622427</v>
      </c>
      <c r="B3641" t="s">
        <v>1737</v>
      </c>
      <c r="C3641" t="s">
        <v>719</v>
      </c>
      <c r="D3641" s="21" t="s">
        <v>34</v>
      </c>
      <c r="E3641" s="21" t="s">
        <v>35</v>
      </c>
      <c r="F3641">
        <v>7620063</v>
      </c>
      <c r="G3641" t="s">
        <v>1889</v>
      </c>
      <c r="H3641" s="21">
        <v>1279.67</v>
      </c>
    </row>
    <row r="3642" spans="1:8" customFormat="1" x14ac:dyDescent="0.25">
      <c r="A3642" t="str">
        <f>"9514966"</f>
        <v>9514966</v>
      </c>
      <c r="B3642" t="s">
        <v>5487</v>
      </c>
      <c r="C3642" t="s">
        <v>65</v>
      </c>
      <c r="D3642" s="21" t="s">
        <v>34</v>
      </c>
      <c r="E3642" s="21" t="s">
        <v>35</v>
      </c>
      <c r="F3642">
        <v>8950103</v>
      </c>
      <c r="G3642" t="s">
        <v>440</v>
      </c>
      <c r="H3642" s="21">
        <v>1279.55</v>
      </c>
    </row>
    <row r="3643" spans="1:8" customFormat="1" x14ac:dyDescent="0.25">
      <c r="A3643" t="str">
        <f>"7713654"</f>
        <v>7713654</v>
      </c>
      <c r="B3643" t="s">
        <v>4822</v>
      </c>
      <c r="C3643" t="s">
        <v>4823</v>
      </c>
      <c r="D3643" s="21" t="s">
        <v>34</v>
      </c>
      <c r="E3643" s="21" t="s">
        <v>35</v>
      </c>
      <c r="F3643">
        <v>8770911</v>
      </c>
      <c r="G3643" t="s">
        <v>4824</v>
      </c>
      <c r="H3643" s="21">
        <v>1279.42</v>
      </c>
    </row>
    <row r="3644" spans="1:8" customFormat="1" x14ac:dyDescent="0.25">
      <c r="A3644" t="str">
        <f>"2915736"</f>
        <v>2915736</v>
      </c>
      <c r="B3644" t="s">
        <v>208</v>
      </c>
      <c r="C3644" t="s">
        <v>576</v>
      </c>
      <c r="D3644" s="21" t="s">
        <v>34</v>
      </c>
      <c r="E3644" s="21" t="s">
        <v>35</v>
      </c>
      <c r="F3644">
        <v>3290081</v>
      </c>
      <c r="G3644" t="s">
        <v>3819</v>
      </c>
      <c r="H3644" s="21">
        <v>1279.42</v>
      </c>
    </row>
    <row r="3645" spans="1:8" customFormat="1" x14ac:dyDescent="0.25">
      <c r="A3645" t="str">
        <f>"564231"</f>
        <v>564231</v>
      </c>
      <c r="B3645" t="s">
        <v>4095</v>
      </c>
      <c r="C3645" t="s">
        <v>1914</v>
      </c>
      <c r="D3645" s="21" t="s">
        <v>34</v>
      </c>
      <c r="E3645" s="21" t="s">
        <v>71</v>
      </c>
      <c r="F3645">
        <v>3560005</v>
      </c>
      <c r="G3645" t="s">
        <v>2101</v>
      </c>
      <c r="H3645" s="21">
        <v>1279.17</v>
      </c>
    </row>
    <row r="3646" spans="1:8" customFormat="1" x14ac:dyDescent="0.25">
      <c r="A3646" t="str">
        <f>"599852"</f>
        <v>599852</v>
      </c>
      <c r="B3646" t="s">
        <v>2601</v>
      </c>
      <c r="C3646" t="s">
        <v>171</v>
      </c>
      <c r="D3646" s="21" t="s">
        <v>34</v>
      </c>
      <c r="E3646" s="21" t="s">
        <v>35</v>
      </c>
      <c r="F3646">
        <v>7590071</v>
      </c>
      <c r="G3646" t="s">
        <v>2602</v>
      </c>
      <c r="H3646" s="21">
        <v>1279.17</v>
      </c>
    </row>
    <row r="3647" spans="1:8" customFormat="1" x14ac:dyDescent="0.25">
      <c r="A3647" t="str">
        <f>"777327"</f>
        <v>777327</v>
      </c>
      <c r="B3647" t="s">
        <v>5500</v>
      </c>
      <c r="C3647" t="s">
        <v>124</v>
      </c>
      <c r="D3647" s="21" t="s">
        <v>34</v>
      </c>
      <c r="E3647" s="21" t="s">
        <v>71</v>
      </c>
      <c r="F3647">
        <v>7620063</v>
      </c>
      <c r="G3647" t="s">
        <v>1889</v>
      </c>
      <c r="H3647" s="21">
        <v>1278.92</v>
      </c>
    </row>
    <row r="3648" spans="1:8" customFormat="1" x14ac:dyDescent="0.25">
      <c r="A3648" t="str">
        <f>"3530512"</f>
        <v>3530512</v>
      </c>
      <c r="B3648" t="s">
        <v>727</v>
      </c>
      <c r="C3648" t="s">
        <v>486</v>
      </c>
      <c r="D3648" s="21" t="s">
        <v>34</v>
      </c>
      <c r="E3648" s="21" t="s">
        <v>35</v>
      </c>
      <c r="F3648">
        <v>3350022</v>
      </c>
      <c r="G3648" t="s">
        <v>1287</v>
      </c>
      <c r="H3648" s="21">
        <v>1278.8</v>
      </c>
    </row>
    <row r="3649" spans="1:8" customFormat="1" x14ac:dyDescent="0.25">
      <c r="A3649" t="str">
        <f>"314299"</f>
        <v>314299</v>
      </c>
      <c r="B3649" t="s">
        <v>26805</v>
      </c>
      <c r="C3649" t="s">
        <v>121</v>
      </c>
      <c r="D3649" s="21" t="s">
        <v>34</v>
      </c>
      <c r="E3649" s="21" t="s">
        <v>35</v>
      </c>
      <c r="F3649">
        <v>9500139</v>
      </c>
      <c r="G3649" t="s">
        <v>6892</v>
      </c>
      <c r="H3649" s="21">
        <v>1278.67</v>
      </c>
    </row>
    <row r="3650" spans="1:8" customFormat="1" x14ac:dyDescent="0.25">
      <c r="A3650" t="str">
        <f>"934885"</f>
        <v>934885</v>
      </c>
      <c r="B3650" t="s">
        <v>4677</v>
      </c>
      <c r="C3650" t="s">
        <v>139</v>
      </c>
      <c r="D3650" s="21" t="s">
        <v>34</v>
      </c>
      <c r="E3650" s="21" t="s">
        <v>35</v>
      </c>
      <c r="F3650">
        <v>8930928</v>
      </c>
      <c r="G3650" t="s">
        <v>606</v>
      </c>
      <c r="H3650" s="21">
        <v>1278.67</v>
      </c>
    </row>
    <row r="3651" spans="1:8" customFormat="1" x14ac:dyDescent="0.25">
      <c r="A3651" t="str">
        <f>"8512876"</f>
        <v>8512876</v>
      </c>
      <c r="B3651" t="s">
        <v>5434</v>
      </c>
      <c r="C3651" t="s">
        <v>49</v>
      </c>
      <c r="D3651" s="21" t="s">
        <v>34</v>
      </c>
      <c r="E3651" s="21" t="s">
        <v>35</v>
      </c>
      <c r="F3651">
        <v>12850026</v>
      </c>
      <c r="G3651" t="s">
        <v>1400</v>
      </c>
      <c r="H3651" s="21">
        <v>1278.67</v>
      </c>
    </row>
    <row r="3652" spans="1:8" customFormat="1" x14ac:dyDescent="0.25">
      <c r="A3652" t="str">
        <f>"5313864"</f>
        <v>5313864</v>
      </c>
      <c r="B3652" t="s">
        <v>4537</v>
      </c>
      <c r="C3652" t="s">
        <v>139</v>
      </c>
      <c r="D3652" s="21" t="s">
        <v>34</v>
      </c>
      <c r="E3652" s="21" t="s">
        <v>35</v>
      </c>
      <c r="F3652">
        <v>12530035</v>
      </c>
      <c r="G3652" t="s">
        <v>1663</v>
      </c>
      <c r="H3652" s="21">
        <v>1278.42</v>
      </c>
    </row>
    <row r="3653" spans="1:8" customFormat="1" x14ac:dyDescent="0.25">
      <c r="A3653" t="str">
        <f>"457228"</f>
        <v>457228</v>
      </c>
      <c r="B3653" t="s">
        <v>4738</v>
      </c>
      <c r="C3653" t="s">
        <v>90</v>
      </c>
      <c r="D3653" s="21" t="s">
        <v>34</v>
      </c>
      <c r="E3653" s="21" t="s">
        <v>35</v>
      </c>
      <c r="F3653">
        <v>4450706</v>
      </c>
      <c r="G3653" t="s">
        <v>4482</v>
      </c>
      <c r="H3653" s="21">
        <v>1278.18</v>
      </c>
    </row>
    <row r="3654" spans="1:8" customFormat="1" x14ac:dyDescent="0.25">
      <c r="A3654" t="str">
        <f>"803894"</f>
        <v>803894</v>
      </c>
      <c r="B3654" t="s">
        <v>4304</v>
      </c>
      <c r="C3654" t="s">
        <v>867</v>
      </c>
      <c r="D3654" s="21" t="s">
        <v>34</v>
      </c>
      <c r="E3654" s="21" t="s">
        <v>35</v>
      </c>
      <c r="F3654">
        <v>7600074</v>
      </c>
      <c r="G3654" t="s">
        <v>1912</v>
      </c>
      <c r="H3654" s="21">
        <v>1278.17</v>
      </c>
    </row>
    <row r="3655" spans="1:8" customFormat="1" x14ac:dyDescent="0.25">
      <c r="A3655" t="str">
        <f>"3411270"</f>
        <v>3411270</v>
      </c>
      <c r="B3655" t="s">
        <v>1347</v>
      </c>
      <c r="C3655" t="s">
        <v>151</v>
      </c>
      <c r="D3655" s="21" t="s">
        <v>34</v>
      </c>
      <c r="E3655" s="21" t="s">
        <v>71</v>
      </c>
      <c r="F3655">
        <v>11340003</v>
      </c>
      <c r="G3655" t="s">
        <v>3326</v>
      </c>
      <c r="H3655" s="21">
        <v>1278.17</v>
      </c>
    </row>
    <row r="3656" spans="1:8" customFormat="1" x14ac:dyDescent="0.25">
      <c r="A3656" t="str">
        <f>"593261"</f>
        <v>593261</v>
      </c>
      <c r="B3656" t="s">
        <v>4504</v>
      </c>
      <c r="C3656" t="s">
        <v>822</v>
      </c>
      <c r="D3656" s="21" t="s">
        <v>34</v>
      </c>
      <c r="E3656" s="21" t="s">
        <v>1089</v>
      </c>
      <c r="F3656">
        <v>7590011</v>
      </c>
      <c r="G3656" t="s">
        <v>2147</v>
      </c>
      <c r="H3656" s="21">
        <v>1278.17</v>
      </c>
    </row>
    <row r="3657" spans="1:8" customFormat="1" x14ac:dyDescent="0.25">
      <c r="A3657" t="str">
        <f>"9417993"</f>
        <v>9417993</v>
      </c>
      <c r="B3657" t="s">
        <v>5509</v>
      </c>
      <c r="C3657" t="s">
        <v>484</v>
      </c>
      <c r="D3657" s="21" t="s">
        <v>34</v>
      </c>
      <c r="E3657" s="21" t="s">
        <v>35</v>
      </c>
      <c r="F3657">
        <v>8940926</v>
      </c>
      <c r="G3657" t="s">
        <v>4065</v>
      </c>
      <c r="H3657" s="21">
        <v>1278.05</v>
      </c>
    </row>
    <row r="3658" spans="1:8" customFormat="1" x14ac:dyDescent="0.25">
      <c r="A3658" t="str">
        <f>"454303"</f>
        <v>454303</v>
      </c>
      <c r="B3658" t="s">
        <v>2983</v>
      </c>
      <c r="C3658" t="s">
        <v>169</v>
      </c>
      <c r="D3658" s="21" t="s">
        <v>34</v>
      </c>
      <c r="E3658" s="21" t="s">
        <v>35</v>
      </c>
      <c r="F3658">
        <v>4450059</v>
      </c>
      <c r="G3658" t="s">
        <v>16170</v>
      </c>
      <c r="H3658" s="21">
        <v>1277.68</v>
      </c>
    </row>
    <row r="3659" spans="1:8" customFormat="1" x14ac:dyDescent="0.25">
      <c r="A3659" t="str">
        <f>"423784"</f>
        <v>423784</v>
      </c>
      <c r="B3659" t="s">
        <v>4468</v>
      </c>
      <c r="C3659" t="s">
        <v>415</v>
      </c>
      <c r="D3659" s="21" t="s">
        <v>34</v>
      </c>
      <c r="E3659" s="21" t="s">
        <v>254</v>
      </c>
      <c r="F3659">
        <v>12720102</v>
      </c>
      <c r="G3659" t="s">
        <v>4469</v>
      </c>
      <c r="H3659" s="21">
        <v>1277.67</v>
      </c>
    </row>
    <row r="3660" spans="1:8" customFormat="1" x14ac:dyDescent="0.25">
      <c r="A3660" t="str">
        <f>"573730"</f>
        <v>573730</v>
      </c>
      <c r="B3660" t="s">
        <v>679</v>
      </c>
      <c r="C3660" t="s">
        <v>498</v>
      </c>
      <c r="D3660" s="21" t="s">
        <v>34</v>
      </c>
      <c r="E3660" s="21" t="s">
        <v>71</v>
      </c>
      <c r="F3660">
        <v>6570022</v>
      </c>
      <c r="G3660" t="s">
        <v>3870</v>
      </c>
      <c r="H3660" s="21">
        <v>1277.67</v>
      </c>
    </row>
    <row r="3661" spans="1:8" customFormat="1" x14ac:dyDescent="0.25">
      <c r="A3661" t="str">
        <f>"5710701"</f>
        <v>5710701</v>
      </c>
      <c r="B3661" t="s">
        <v>4396</v>
      </c>
      <c r="C3661" t="s">
        <v>3648</v>
      </c>
      <c r="D3661" s="21" t="s">
        <v>34</v>
      </c>
      <c r="E3661" s="21" t="s">
        <v>71</v>
      </c>
      <c r="F3661">
        <v>6570060</v>
      </c>
      <c r="G3661" t="s">
        <v>4397</v>
      </c>
      <c r="H3661" s="21">
        <v>1277.67</v>
      </c>
    </row>
    <row r="3662" spans="1:8" customFormat="1" x14ac:dyDescent="0.25">
      <c r="A3662" t="str">
        <f>"4416883"</f>
        <v>4416883</v>
      </c>
      <c r="B3662" t="s">
        <v>4589</v>
      </c>
      <c r="C3662" t="s">
        <v>130</v>
      </c>
      <c r="D3662" s="21" t="s">
        <v>34</v>
      </c>
      <c r="E3662" s="21" t="s">
        <v>35</v>
      </c>
      <c r="F3662">
        <v>12440262</v>
      </c>
      <c r="G3662" t="s">
        <v>4590</v>
      </c>
      <c r="H3662" s="21">
        <v>1277.67</v>
      </c>
    </row>
    <row r="3663" spans="1:8" customFormat="1" x14ac:dyDescent="0.25">
      <c r="A3663" t="str">
        <f>"681105"</f>
        <v>681105</v>
      </c>
      <c r="B3663" t="s">
        <v>4694</v>
      </c>
      <c r="C3663" t="s">
        <v>2520</v>
      </c>
      <c r="D3663" s="21" t="s">
        <v>34</v>
      </c>
      <c r="E3663" s="21" t="s">
        <v>71</v>
      </c>
      <c r="F3663">
        <v>6680090</v>
      </c>
      <c r="G3663" t="s">
        <v>3129</v>
      </c>
      <c r="H3663" s="21">
        <v>1277.67</v>
      </c>
    </row>
    <row r="3664" spans="1:8" customFormat="1" x14ac:dyDescent="0.25">
      <c r="A3664" t="str">
        <f>"673174"</f>
        <v>673174</v>
      </c>
      <c r="B3664" t="s">
        <v>663</v>
      </c>
      <c r="C3664" t="s">
        <v>415</v>
      </c>
      <c r="D3664" s="21" t="s">
        <v>34</v>
      </c>
      <c r="E3664" s="21" t="s">
        <v>35</v>
      </c>
      <c r="F3664">
        <v>6670149</v>
      </c>
      <c r="G3664" t="s">
        <v>4404</v>
      </c>
      <c r="H3664" s="21">
        <v>1277.67</v>
      </c>
    </row>
    <row r="3665" spans="1:8" customFormat="1" x14ac:dyDescent="0.25">
      <c r="A3665" t="str">
        <f>"754455"</f>
        <v>754455</v>
      </c>
      <c r="B3665" t="s">
        <v>4656</v>
      </c>
      <c r="C3665" t="s">
        <v>2806</v>
      </c>
      <c r="D3665" s="21" t="s">
        <v>34</v>
      </c>
      <c r="E3665" s="21" t="s">
        <v>35</v>
      </c>
      <c r="F3665">
        <v>8950330</v>
      </c>
      <c r="G3665" t="s">
        <v>794</v>
      </c>
      <c r="H3665" s="21">
        <v>1277.67</v>
      </c>
    </row>
    <row r="3666" spans="1:8" customFormat="1" x14ac:dyDescent="0.25">
      <c r="A3666" t="str">
        <f>"5937082"</f>
        <v>5937082</v>
      </c>
      <c r="B3666" t="s">
        <v>4517</v>
      </c>
      <c r="C3666" t="s">
        <v>169</v>
      </c>
      <c r="D3666" s="21" t="s">
        <v>34</v>
      </c>
      <c r="E3666" s="21" t="s">
        <v>35</v>
      </c>
      <c r="F3666">
        <v>7590409</v>
      </c>
      <c r="G3666" t="s">
        <v>2228</v>
      </c>
      <c r="H3666" s="21">
        <v>1277.67</v>
      </c>
    </row>
    <row r="3667" spans="1:8" customFormat="1" x14ac:dyDescent="0.25">
      <c r="A3667" t="str">
        <f>"534170"</f>
        <v>534170</v>
      </c>
      <c r="B3667" t="s">
        <v>1737</v>
      </c>
      <c r="C3667" t="s">
        <v>2520</v>
      </c>
      <c r="D3667" s="21" t="s">
        <v>34</v>
      </c>
      <c r="E3667" s="21" t="s">
        <v>254</v>
      </c>
      <c r="F3667">
        <v>12530058</v>
      </c>
      <c r="G3667" t="s">
        <v>3128</v>
      </c>
      <c r="H3667" s="21">
        <v>1277.67</v>
      </c>
    </row>
    <row r="3668" spans="1:8" customFormat="1" x14ac:dyDescent="0.25">
      <c r="A3668" t="str">
        <f>"777155"</f>
        <v>777155</v>
      </c>
      <c r="B3668" t="s">
        <v>4559</v>
      </c>
      <c r="C3668" t="s">
        <v>576</v>
      </c>
      <c r="D3668" s="21" t="s">
        <v>34</v>
      </c>
      <c r="E3668" s="21" t="s">
        <v>35</v>
      </c>
      <c r="F3668">
        <v>8770237</v>
      </c>
      <c r="G3668" t="s">
        <v>128</v>
      </c>
      <c r="H3668" s="21">
        <v>1277.43</v>
      </c>
    </row>
    <row r="3669" spans="1:8" customFormat="1" x14ac:dyDescent="0.25">
      <c r="A3669" t="str">
        <f>"4929324"</f>
        <v>4929324</v>
      </c>
      <c r="B3669" t="s">
        <v>4943</v>
      </c>
      <c r="C3669" t="s">
        <v>204</v>
      </c>
      <c r="D3669" s="21" t="s">
        <v>34</v>
      </c>
      <c r="E3669" s="21" t="s">
        <v>35</v>
      </c>
      <c r="F3669">
        <v>12490124</v>
      </c>
      <c r="G3669" t="s">
        <v>677</v>
      </c>
      <c r="H3669" s="21">
        <v>1277.42</v>
      </c>
    </row>
    <row r="3670" spans="1:8" customFormat="1" x14ac:dyDescent="0.25">
      <c r="A3670" t="str">
        <f>"902793"</f>
        <v>902793</v>
      </c>
      <c r="B3670" t="s">
        <v>4429</v>
      </c>
      <c r="C3670" t="s">
        <v>124</v>
      </c>
      <c r="D3670" s="21" t="s">
        <v>34</v>
      </c>
      <c r="E3670" s="21" t="s">
        <v>71</v>
      </c>
      <c r="F3670">
        <v>2900003</v>
      </c>
      <c r="G3670" t="s">
        <v>1742</v>
      </c>
      <c r="H3670" s="21">
        <v>1277.17</v>
      </c>
    </row>
    <row r="3671" spans="1:8" customFormat="1" x14ac:dyDescent="0.25">
      <c r="A3671" t="str">
        <f>"442458"</f>
        <v>442458</v>
      </c>
      <c r="B3671" t="s">
        <v>4129</v>
      </c>
      <c r="C3671" t="s">
        <v>249</v>
      </c>
      <c r="D3671" s="21" t="s">
        <v>34</v>
      </c>
      <c r="E3671" s="21" t="s">
        <v>35</v>
      </c>
      <c r="F3671">
        <v>12440081</v>
      </c>
      <c r="G3671" t="s">
        <v>617</v>
      </c>
      <c r="H3671" s="21">
        <v>1277.17</v>
      </c>
    </row>
    <row r="3672" spans="1:8" customFormat="1" x14ac:dyDescent="0.25">
      <c r="A3672" t="str">
        <f>"5911083"</f>
        <v>5911083</v>
      </c>
      <c r="B3672" t="s">
        <v>5114</v>
      </c>
      <c r="C3672" t="s">
        <v>812</v>
      </c>
      <c r="D3672" s="21" t="s">
        <v>34</v>
      </c>
      <c r="E3672" s="21" t="s">
        <v>35</v>
      </c>
      <c r="F3672">
        <v>7590411</v>
      </c>
      <c r="G3672" t="s">
        <v>4036</v>
      </c>
      <c r="H3672" s="21">
        <v>1277.17</v>
      </c>
    </row>
    <row r="3673" spans="1:8" customFormat="1" x14ac:dyDescent="0.25">
      <c r="A3673" t="str">
        <f>"876918"</f>
        <v>876918</v>
      </c>
      <c r="B3673" t="s">
        <v>8803</v>
      </c>
      <c r="C3673" t="s">
        <v>204</v>
      </c>
      <c r="D3673" s="21" t="s">
        <v>34</v>
      </c>
      <c r="E3673" s="21" t="s">
        <v>35</v>
      </c>
      <c r="F3673">
        <v>12490018</v>
      </c>
      <c r="G3673" t="s">
        <v>2269</v>
      </c>
      <c r="H3673" s="21">
        <v>1277.17</v>
      </c>
    </row>
    <row r="3674" spans="1:8" customFormat="1" x14ac:dyDescent="0.25">
      <c r="A3674" t="str">
        <f>"7626068"</f>
        <v>7626068</v>
      </c>
      <c r="B3674" t="s">
        <v>4151</v>
      </c>
      <c r="C3674" t="s">
        <v>33</v>
      </c>
      <c r="D3674" s="21" t="s">
        <v>34</v>
      </c>
      <c r="E3674" s="21" t="s">
        <v>71</v>
      </c>
      <c r="F3674">
        <v>9760157</v>
      </c>
      <c r="G3674" t="s">
        <v>3412</v>
      </c>
      <c r="H3674" s="21">
        <v>1276.67</v>
      </c>
    </row>
    <row r="3675" spans="1:8" customFormat="1" x14ac:dyDescent="0.25">
      <c r="A3675" t="str">
        <f>"753298"</f>
        <v>753298</v>
      </c>
      <c r="B3675" t="s">
        <v>5611</v>
      </c>
      <c r="C3675" t="s">
        <v>598</v>
      </c>
      <c r="D3675" s="21" t="s">
        <v>34</v>
      </c>
      <c r="E3675" s="21" t="s">
        <v>35</v>
      </c>
      <c r="F3675">
        <v>8940459</v>
      </c>
      <c r="G3675" t="s">
        <v>743</v>
      </c>
      <c r="H3675" s="21">
        <v>1276.67</v>
      </c>
    </row>
    <row r="3676" spans="1:8" customFormat="1" x14ac:dyDescent="0.25">
      <c r="A3676" t="str">
        <f>"76445"</f>
        <v>76445</v>
      </c>
      <c r="B3676" t="s">
        <v>4682</v>
      </c>
      <c r="C3676" t="s">
        <v>209</v>
      </c>
      <c r="D3676" s="21" t="s">
        <v>34</v>
      </c>
      <c r="E3676" s="21" t="s">
        <v>254</v>
      </c>
      <c r="F3676">
        <v>9760014</v>
      </c>
      <c r="G3676" t="s">
        <v>1017</v>
      </c>
      <c r="H3676" s="21">
        <v>1276.67</v>
      </c>
    </row>
    <row r="3677" spans="1:8" customFormat="1" x14ac:dyDescent="0.25">
      <c r="A3677" t="str">
        <f>"9244089"</f>
        <v>9244089</v>
      </c>
      <c r="B3677" t="s">
        <v>1508</v>
      </c>
      <c r="C3677" t="s">
        <v>60</v>
      </c>
      <c r="D3677" s="21" t="s">
        <v>34</v>
      </c>
      <c r="E3677" s="21" t="s">
        <v>71</v>
      </c>
      <c r="F3677">
        <v>8921244</v>
      </c>
      <c r="G3677" t="s">
        <v>2908</v>
      </c>
      <c r="H3677" s="21">
        <v>1276.67</v>
      </c>
    </row>
    <row r="3678" spans="1:8" customFormat="1" x14ac:dyDescent="0.25">
      <c r="A3678" t="str">
        <f>"337877"</f>
        <v>337877</v>
      </c>
      <c r="B3678" t="s">
        <v>4840</v>
      </c>
      <c r="C3678" t="s">
        <v>65</v>
      </c>
      <c r="D3678" s="21" t="s">
        <v>34</v>
      </c>
      <c r="E3678" s="21" t="s">
        <v>35</v>
      </c>
      <c r="F3678">
        <v>10330089</v>
      </c>
      <c r="G3678" t="s">
        <v>3705</v>
      </c>
      <c r="H3678" s="21">
        <v>1276.67</v>
      </c>
    </row>
    <row r="3679" spans="1:8" customFormat="1" x14ac:dyDescent="0.25">
      <c r="A3679" t="str">
        <f>"627251"</f>
        <v>627251</v>
      </c>
      <c r="B3679" t="s">
        <v>2010</v>
      </c>
      <c r="C3679" t="s">
        <v>169</v>
      </c>
      <c r="D3679" s="21" t="s">
        <v>34</v>
      </c>
      <c r="E3679" s="21" t="s">
        <v>35</v>
      </c>
      <c r="F3679">
        <v>8950330</v>
      </c>
      <c r="G3679" t="s">
        <v>794</v>
      </c>
      <c r="H3679" s="21">
        <v>1276.42</v>
      </c>
    </row>
    <row r="3680" spans="1:8" customFormat="1" x14ac:dyDescent="0.25">
      <c r="A3680" t="str">
        <f>"8517609"</f>
        <v>8517609</v>
      </c>
      <c r="B3680" t="s">
        <v>5032</v>
      </c>
      <c r="C3680" t="s">
        <v>98</v>
      </c>
      <c r="D3680" s="21" t="s">
        <v>34</v>
      </c>
      <c r="E3680" s="21" t="s">
        <v>35</v>
      </c>
      <c r="F3680">
        <v>12850021</v>
      </c>
      <c r="G3680" t="s">
        <v>4760</v>
      </c>
      <c r="H3680" s="21">
        <v>1276.42</v>
      </c>
    </row>
    <row r="3681" spans="1:8" customFormat="1" x14ac:dyDescent="0.25">
      <c r="A3681" t="str">
        <f>"089395"</f>
        <v>089395</v>
      </c>
      <c r="B3681" t="s">
        <v>946</v>
      </c>
      <c r="C3681" t="s">
        <v>33</v>
      </c>
      <c r="D3681" s="21" t="s">
        <v>34</v>
      </c>
      <c r="E3681" s="21" t="s">
        <v>71</v>
      </c>
      <c r="F3681">
        <v>7020009</v>
      </c>
      <c r="G3681" t="s">
        <v>3362</v>
      </c>
      <c r="H3681" s="21">
        <v>1276.17</v>
      </c>
    </row>
    <row r="3682" spans="1:8" customFormat="1" x14ac:dyDescent="0.25">
      <c r="A3682" t="str">
        <f>"2916894"</f>
        <v>2916894</v>
      </c>
      <c r="B3682" t="s">
        <v>4344</v>
      </c>
      <c r="C3682" t="s">
        <v>985</v>
      </c>
      <c r="D3682" s="21" t="s">
        <v>34</v>
      </c>
      <c r="E3682" s="21" t="s">
        <v>71</v>
      </c>
      <c r="F3682">
        <v>3290285</v>
      </c>
      <c r="G3682" t="s">
        <v>2234</v>
      </c>
      <c r="H3682" s="21">
        <v>1276.17</v>
      </c>
    </row>
    <row r="3683" spans="1:8" customFormat="1" x14ac:dyDescent="0.25">
      <c r="A3683" t="str">
        <f>"316420"</f>
        <v>316420</v>
      </c>
      <c r="B3683" t="s">
        <v>2746</v>
      </c>
      <c r="C3683" t="s">
        <v>109</v>
      </c>
      <c r="D3683" s="21" t="s">
        <v>34</v>
      </c>
      <c r="E3683" s="21" t="s">
        <v>71</v>
      </c>
      <c r="F3683">
        <v>11310121</v>
      </c>
      <c r="G3683" t="s">
        <v>578</v>
      </c>
      <c r="H3683" s="21">
        <v>1276.17</v>
      </c>
    </row>
    <row r="3684" spans="1:8" customFormat="1" x14ac:dyDescent="0.25">
      <c r="A3684" t="str">
        <f>"541243"</f>
        <v>541243</v>
      </c>
      <c r="B3684" t="s">
        <v>4178</v>
      </c>
      <c r="C3684" t="s">
        <v>598</v>
      </c>
      <c r="D3684" s="21" t="s">
        <v>34</v>
      </c>
      <c r="E3684" s="21" t="s">
        <v>254</v>
      </c>
      <c r="F3684">
        <v>6540014</v>
      </c>
      <c r="G3684" t="s">
        <v>1483</v>
      </c>
      <c r="H3684" s="21">
        <v>1276.17</v>
      </c>
    </row>
    <row r="3685" spans="1:8" customFormat="1" x14ac:dyDescent="0.25">
      <c r="A3685" t="str">
        <f>"725696"</f>
        <v>725696</v>
      </c>
      <c r="B3685" t="s">
        <v>4014</v>
      </c>
      <c r="C3685" t="s">
        <v>139</v>
      </c>
      <c r="D3685" s="21" t="s">
        <v>34</v>
      </c>
      <c r="E3685" s="21" t="s">
        <v>35</v>
      </c>
      <c r="F3685">
        <v>12720104</v>
      </c>
      <c r="G3685" t="s">
        <v>224</v>
      </c>
      <c r="H3685" s="21">
        <v>1276.17</v>
      </c>
    </row>
    <row r="3686" spans="1:8" customFormat="1" x14ac:dyDescent="0.25">
      <c r="A3686" t="str">
        <f>"6221111"</f>
        <v>6221111</v>
      </c>
      <c r="B3686" t="s">
        <v>4437</v>
      </c>
      <c r="C3686" t="s">
        <v>109</v>
      </c>
      <c r="D3686" s="21" t="s">
        <v>34</v>
      </c>
      <c r="E3686" s="21" t="s">
        <v>35</v>
      </c>
      <c r="F3686">
        <v>7620064</v>
      </c>
      <c r="G3686" t="s">
        <v>2266</v>
      </c>
      <c r="H3686" s="21">
        <v>1276.17</v>
      </c>
    </row>
    <row r="3687" spans="1:8" customFormat="1" x14ac:dyDescent="0.25">
      <c r="A3687" t="str">
        <f>"271872"</f>
        <v>271872</v>
      </c>
      <c r="B3687" t="s">
        <v>6396</v>
      </c>
      <c r="C3687" t="s">
        <v>65</v>
      </c>
      <c r="D3687" s="21" t="s">
        <v>34</v>
      </c>
      <c r="E3687" s="21" t="s">
        <v>35</v>
      </c>
      <c r="F3687">
        <v>9270151</v>
      </c>
      <c r="G3687" t="s">
        <v>626</v>
      </c>
      <c r="H3687" s="21">
        <v>1276.06</v>
      </c>
    </row>
    <row r="3688" spans="1:8" customFormat="1" x14ac:dyDescent="0.25">
      <c r="A3688" t="str">
        <f>"2719304"</f>
        <v>2719304</v>
      </c>
      <c r="B3688" t="s">
        <v>2650</v>
      </c>
      <c r="C3688" t="s">
        <v>2984</v>
      </c>
      <c r="D3688" s="21" t="s">
        <v>34</v>
      </c>
      <c r="E3688" s="21" t="s">
        <v>71</v>
      </c>
      <c r="F3688">
        <v>9270069</v>
      </c>
      <c r="G3688" t="s">
        <v>3509</v>
      </c>
      <c r="H3688" s="21">
        <v>1276.04</v>
      </c>
    </row>
    <row r="3689" spans="1:8" customFormat="1" x14ac:dyDescent="0.25">
      <c r="A3689" t="str">
        <f>"514760"</f>
        <v>514760</v>
      </c>
      <c r="B3689" t="s">
        <v>4678</v>
      </c>
      <c r="C3689" t="s">
        <v>305</v>
      </c>
      <c r="D3689" s="21" t="s">
        <v>34</v>
      </c>
      <c r="E3689" s="21" t="s">
        <v>35</v>
      </c>
      <c r="F3689">
        <v>6510018</v>
      </c>
      <c r="G3689" t="s">
        <v>3055</v>
      </c>
      <c r="H3689" s="21">
        <v>1275.92</v>
      </c>
    </row>
    <row r="3690" spans="1:8" customFormat="1" x14ac:dyDescent="0.25">
      <c r="A3690" t="str">
        <f>"7710292"</f>
        <v>7710292</v>
      </c>
      <c r="B3690" t="s">
        <v>5847</v>
      </c>
      <c r="C3690" t="s">
        <v>5848</v>
      </c>
      <c r="D3690" s="21" t="s">
        <v>34</v>
      </c>
      <c r="E3690" s="21" t="s">
        <v>71</v>
      </c>
      <c r="F3690">
        <v>8770937</v>
      </c>
      <c r="G3690" t="s">
        <v>2119</v>
      </c>
      <c r="H3690" s="21">
        <v>1275.8</v>
      </c>
    </row>
    <row r="3691" spans="1:8" customFormat="1" x14ac:dyDescent="0.25">
      <c r="A3691" t="str">
        <f>"167521"</f>
        <v>167521</v>
      </c>
      <c r="B3691" t="s">
        <v>4743</v>
      </c>
      <c r="C3691" t="s">
        <v>269</v>
      </c>
      <c r="D3691" s="21" t="s">
        <v>34</v>
      </c>
      <c r="E3691" s="21" t="s">
        <v>35</v>
      </c>
      <c r="F3691">
        <v>10330050</v>
      </c>
      <c r="G3691" t="s">
        <v>2488</v>
      </c>
      <c r="H3691" s="21">
        <v>1275.79</v>
      </c>
    </row>
    <row r="3692" spans="1:8" customFormat="1" x14ac:dyDescent="0.25">
      <c r="A3692" t="str">
        <f>"6210918"</f>
        <v>6210918</v>
      </c>
      <c r="B3692" t="s">
        <v>4087</v>
      </c>
      <c r="C3692" t="s">
        <v>204</v>
      </c>
      <c r="D3692" s="21" t="s">
        <v>34</v>
      </c>
      <c r="E3692" s="21" t="s">
        <v>71</v>
      </c>
      <c r="F3692">
        <v>4280705</v>
      </c>
      <c r="G3692" t="s">
        <v>4088</v>
      </c>
      <c r="H3692" s="21">
        <v>1275.67</v>
      </c>
    </row>
    <row r="3693" spans="1:8" customFormat="1" x14ac:dyDescent="0.25">
      <c r="A3693" t="str">
        <f>"573670"</f>
        <v>573670</v>
      </c>
      <c r="B3693" t="s">
        <v>4500</v>
      </c>
      <c r="C3693" t="s">
        <v>124</v>
      </c>
      <c r="D3693" s="21" t="s">
        <v>34</v>
      </c>
      <c r="E3693" s="21" t="s">
        <v>71</v>
      </c>
      <c r="F3693">
        <v>6570190</v>
      </c>
      <c r="G3693" t="s">
        <v>622</v>
      </c>
      <c r="H3693" s="21">
        <v>1275.67</v>
      </c>
    </row>
    <row r="3694" spans="1:8" customFormat="1" x14ac:dyDescent="0.25">
      <c r="A3694" t="str">
        <f>"57609"</f>
        <v>57609</v>
      </c>
      <c r="B3694" t="s">
        <v>3563</v>
      </c>
      <c r="C3694" t="s">
        <v>139</v>
      </c>
      <c r="D3694" s="21" t="s">
        <v>34</v>
      </c>
      <c r="E3694" s="21" t="s">
        <v>35</v>
      </c>
      <c r="F3694">
        <v>6570030</v>
      </c>
      <c r="G3694" t="s">
        <v>851</v>
      </c>
      <c r="H3694" s="21">
        <v>1275.67</v>
      </c>
    </row>
    <row r="3695" spans="1:8" customFormat="1" x14ac:dyDescent="0.25">
      <c r="A3695" t="str">
        <f>"9121286"</f>
        <v>9121286</v>
      </c>
      <c r="B3695" t="s">
        <v>4567</v>
      </c>
      <c r="C3695" t="s">
        <v>2984</v>
      </c>
      <c r="D3695" s="21" t="s">
        <v>34</v>
      </c>
      <c r="E3695" s="21" t="s">
        <v>71</v>
      </c>
      <c r="F3695">
        <v>8910102</v>
      </c>
      <c r="G3695" t="s">
        <v>3079</v>
      </c>
      <c r="H3695" s="21">
        <v>1275.67</v>
      </c>
    </row>
    <row r="3696" spans="1:8" customFormat="1" x14ac:dyDescent="0.25">
      <c r="A3696" t="str">
        <f>"5315330"</f>
        <v>5315330</v>
      </c>
      <c r="B3696" t="s">
        <v>1885</v>
      </c>
      <c r="C3696" t="s">
        <v>62</v>
      </c>
      <c r="D3696" s="21" t="s">
        <v>34</v>
      </c>
      <c r="E3696" s="21" t="s">
        <v>35</v>
      </c>
      <c r="F3696">
        <v>12530124</v>
      </c>
      <c r="G3696" t="s">
        <v>4935</v>
      </c>
      <c r="H3696" s="21">
        <v>1275.42</v>
      </c>
    </row>
    <row r="3697" spans="1:8" customFormat="1" x14ac:dyDescent="0.25">
      <c r="A3697" t="str">
        <f>"9726757"</f>
        <v>9726757</v>
      </c>
      <c r="B3697" t="s">
        <v>26806</v>
      </c>
      <c r="C3697" t="s">
        <v>6514</v>
      </c>
      <c r="D3697" s="21" t="s">
        <v>34</v>
      </c>
      <c r="E3697" s="21" t="s">
        <v>35</v>
      </c>
      <c r="F3697" t="s">
        <v>3911</v>
      </c>
      <c r="G3697" t="s">
        <v>3912</v>
      </c>
      <c r="H3697" s="21">
        <v>1275.3</v>
      </c>
    </row>
    <row r="3698" spans="1:8" customFormat="1" x14ac:dyDescent="0.25">
      <c r="A3698" t="str">
        <f>"4425102"</f>
        <v>4425102</v>
      </c>
      <c r="B3698" t="s">
        <v>4461</v>
      </c>
      <c r="C3698" t="s">
        <v>87</v>
      </c>
      <c r="D3698" s="21" t="s">
        <v>34</v>
      </c>
      <c r="E3698" s="21" t="s">
        <v>35</v>
      </c>
      <c r="F3698">
        <v>12850057</v>
      </c>
      <c r="G3698" t="s">
        <v>1291</v>
      </c>
      <c r="H3698" s="21">
        <v>1275.17</v>
      </c>
    </row>
    <row r="3699" spans="1:8" customFormat="1" x14ac:dyDescent="0.25">
      <c r="A3699" t="str">
        <f>"801869"</f>
        <v>801869</v>
      </c>
      <c r="B3699" t="s">
        <v>213</v>
      </c>
      <c r="C3699" t="s">
        <v>55</v>
      </c>
      <c r="D3699" s="21" t="s">
        <v>34</v>
      </c>
      <c r="E3699" s="21" t="s">
        <v>71</v>
      </c>
      <c r="F3699">
        <v>7800001</v>
      </c>
      <c r="G3699" t="s">
        <v>176</v>
      </c>
      <c r="H3699" s="21">
        <v>1275.17</v>
      </c>
    </row>
    <row r="3700" spans="1:8" customFormat="1" x14ac:dyDescent="0.25">
      <c r="A3700" t="str">
        <f>"4937"</f>
        <v>4937</v>
      </c>
      <c r="B3700" t="s">
        <v>17378</v>
      </c>
      <c r="C3700" t="s">
        <v>55</v>
      </c>
      <c r="D3700" s="21" t="s">
        <v>34</v>
      </c>
      <c r="E3700" s="21" t="s">
        <v>254</v>
      </c>
      <c r="F3700">
        <v>12440239</v>
      </c>
      <c r="G3700" t="s">
        <v>11158</v>
      </c>
      <c r="H3700" s="21">
        <v>1275.17</v>
      </c>
    </row>
    <row r="3701" spans="1:8" customFormat="1" x14ac:dyDescent="0.25">
      <c r="A3701" t="str">
        <f>"2915011"</f>
        <v>2915011</v>
      </c>
      <c r="B3701" t="s">
        <v>392</v>
      </c>
      <c r="C3701" t="s">
        <v>275</v>
      </c>
      <c r="D3701" s="21" t="s">
        <v>34</v>
      </c>
      <c r="E3701" s="21" t="s">
        <v>35</v>
      </c>
      <c r="F3701">
        <v>3290229</v>
      </c>
      <c r="G3701" t="s">
        <v>408</v>
      </c>
      <c r="H3701" s="21">
        <v>1275.17</v>
      </c>
    </row>
    <row r="3702" spans="1:8" customFormat="1" x14ac:dyDescent="0.25">
      <c r="A3702" t="str">
        <f>"686938"</f>
        <v>686938</v>
      </c>
      <c r="B3702" t="s">
        <v>4806</v>
      </c>
      <c r="C3702" t="s">
        <v>49</v>
      </c>
      <c r="D3702" s="21" t="s">
        <v>34</v>
      </c>
      <c r="E3702" s="21" t="s">
        <v>35</v>
      </c>
      <c r="F3702">
        <v>6680004</v>
      </c>
      <c r="G3702" t="s">
        <v>644</v>
      </c>
      <c r="H3702" s="21">
        <v>1275.17</v>
      </c>
    </row>
    <row r="3703" spans="1:8" customFormat="1" x14ac:dyDescent="0.25">
      <c r="A3703" t="str">
        <f>"3818059"</f>
        <v>3818059</v>
      </c>
      <c r="B3703" t="s">
        <v>4720</v>
      </c>
      <c r="C3703" t="s">
        <v>428</v>
      </c>
      <c r="D3703" s="21" t="s">
        <v>34</v>
      </c>
      <c r="E3703" s="21" t="s">
        <v>71</v>
      </c>
      <c r="F3703">
        <v>1730048</v>
      </c>
      <c r="G3703" t="s">
        <v>3173</v>
      </c>
      <c r="H3703" s="21">
        <v>1275.17</v>
      </c>
    </row>
    <row r="3704" spans="1:8" customFormat="1" x14ac:dyDescent="0.25">
      <c r="A3704" t="str">
        <f>"403836"</f>
        <v>403836</v>
      </c>
      <c r="B3704" t="s">
        <v>5244</v>
      </c>
      <c r="C3704" t="s">
        <v>249</v>
      </c>
      <c r="D3704" s="21" t="s">
        <v>34</v>
      </c>
      <c r="E3704" s="21" t="s">
        <v>71</v>
      </c>
      <c r="F3704">
        <v>10400002</v>
      </c>
      <c r="G3704" t="s">
        <v>1975</v>
      </c>
      <c r="H3704" s="21">
        <v>1275.05</v>
      </c>
    </row>
    <row r="3705" spans="1:8" customFormat="1" x14ac:dyDescent="0.25">
      <c r="A3705" t="str">
        <f>"371700"</f>
        <v>371700</v>
      </c>
      <c r="B3705" t="s">
        <v>3661</v>
      </c>
      <c r="C3705" t="s">
        <v>65</v>
      </c>
      <c r="D3705" s="21" t="s">
        <v>34</v>
      </c>
      <c r="E3705" s="21" t="s">
        <v>35</v>
      </c>
      <c r="F3705">
        <v>4370183</v>
      </c>
      <c r="G3705" t="s">
        <v>231</v>
      </c>
      <c r="H3705" s="21">
        <v>1274.92</v>
      </c>
    </row>
    <row r="3706" spans="1:8" customFormat="1" x14ac:dyDescent="0.25">
      <c r="A3706" t="str">
        <f>"4431115"</f>
        <v>4431115</v>
      </c>
      <c r="B3706" t="s">
        <v>4965</v>
      </c>
      <c r="C3706" t="s">
        <v>43</v>
      </c>
      <c r="D3706" s="21" t="s">
        <v>34</v>
      </c>
      <c r="E3706" s="21" t="s">
        <v>35</v>
      </c>
      <c r="F3706">
        <v>12440142</v>
      </c>
      <c r="G3706" t="s">
        <v>3285</v>
      </c>
      <c r="H3706" s="21">
        <v>1274.92</v>
      </c>
    </row>
    <row r="3707" spans="1:8" customFormat="1" x14ac:dyDescent="0.25">
      <c r="A3707" t="str">
        <f>"7715129"</f>
        <v>7715129</v>
      </c>
      <c r="B3707" t="s">
        <v>4706</v>
      </c>
      <c r="C3707" t="s">
        <v>302</v>
      </c>
      <c r="D3707" s="21" t="s">
        <v>34</v>
      </c>
      <c r="E3707" s="21" t="s">
        <v>35</v>
      </c>
      <c r="F3707">
        <v>8770169</v>
      </c>
      <c r="G3707" t="s">
        <v>1001</v>
      </c>
      <c r="H3707" s="21">
        <v>1274.8</v>
      </c>
    </row>
    <row r="3708" spans="1:8" customFormat="1" x14ac:dyDescent="0.25">
      <c r="A3708" t="str">
        <f>"503605"</f>
        <v>503605</v>
      </c>
      <c r="B3708" t="s">
        <v>5027</v>
      </c>
      <c r="C3708" t="s">
        <v>469</v>
      </c>
      <c r="D3708" s="21" t="s">
        <v>34</v>
      </c>
      <c r="E3708" s="21" t="s">
        <v>35</v>
      </c>
      <c r="F3708">
        <v>12850097</v>
      </c>
      <c r="G3708" t="s">
        <v>4111</v>
      </c>
      <c r="H3708" s="21">
        <v>1274.67</v>
      </c>
    </row>
    <row r="3709" spans="1:8" customFormat="1" x14ac:dyDescent="0.25">
      <c r="A3709" t="str">
        <f>"5934079"</f>
        <v>5934079</v>
      </c>
      <c r="B3709" t="s">
        <v>3133</v>
      </c>
      <c r="C3709" t="s">
        <v>459</v>
      </c>
      <c r="D3709" s="21" t="s">
        <v>34</v>
      </c>
      <c r="E3709" s="21" t="s">
        <v>71</v>
      </c>
      <c r="F3709">
        <v>7590014</v>
      </c>
      <c r="G3709" t="s">
        <v>1326</v>
      </c>
      <c r="H3709" s="21">
        <v>1274.67</v>
      </c>
    </row>
    <row r="3710" spans="1:8" customFormat="1" x14ac:dyDescent="0.25">
      <c r="A3710" t="str">
        <f>"089626"</f>
        <v>089626</v>
      </c>
      <c r="B3710" t="s">
        <v>4651</v>
      </c>
      <c r="C3710" t="s">
        <v>169</v>
      </c>
      <c r="D3710" s="21" t="s">
        <v>34</v>
      </c>
      <c r="E3710" s="21" t="s">
        <v>71</v>
      </c>
      <c r="F3710">
        <v>6080035</v>
      </c>
      <c r="G3710" t="s">
        <v>583</v>
      </c>
      <c r="H3710" s="21">
        <v>1274.67</v>
      </c>
    </row>
    <row r="3711" spans="1:8" customFormat="1" x14ac:dyDescent="0.25">
      <c r="A3711" t="str">
        <f>"774711"</f>
        <v>774711</v>
      </c>
      <c r="B3711" t="s">
        <v>5184</v>
      </c>
      <c r="C3711" t="s">
        <v>169</v>
      </c>
      <c r="D3711" s="21" t="s">
        <v>34</v>
      </c>
      <c r="E3711" s="21" t="s">
        <v>35</v>
      </c>
      <c r="F3711">
        <v>8771446</v>
      </c>
      <c r="G3711" t="s">
        <v>830</v>
      </c>
      <c r="H3711" s="21">
        <v>1274.67</v>
      </c>
    </row>
    <row r="3712" spans="1:8" customFormat="1" x14ac:dyDescent="0.25">
      <c r="A3712" t="str">
        <f>"9754690"</f>
        <v>9754690</v>
      </c>
      <c r="B3712" t="s">
        <v>3444</v>
      </c>
      <c r="C3712" t="s">
        <v>187</v>
      </c>
      <c r="D3712" s="21" t="s">
        <v>34</v>
      </c>
      <c r="E3712" s="21" t="s">
        <v>35</v>
      </c>
      <c r="F3712">
        <v>1630059</v>
      </c>
      <c r="G3712" t="s">
        <v>2486</v>
      </c>
      <c r="H3712" s="21">
        <v>1274.67</v>
      </c>
    </row>
    <row r="3713" spans="1:8" customFormat="1" x14ac:dyDescent="0.25">
      <c r="A3713" t="str">
        <f>"778563"</f>
        <v>778563</v>
      </c>
      <c r="B3713" t="s">
        <v>4659</v>
      </c>
      <c r="C3713" t="s">
        <v>4660</v>
      </c>
      <c r="D3713" s="21" t="s">
        <v>34</v>
      </c>
      <c r="E3713" s="21" t="s">
        <v>35</v>
      </c>
      <c r="F3713">
        <v>8771337</v>
      </c>
      <c r="G3713" t="s">
        <v>4661</v>
      </c>
      <c r="H3713" s="21">
        <v>1274.67</v>
      </c>
    </row>
    <row r="3714" spans="1:8" customFormat="1" x14ac:dyDescent="0.25">
      <c r="A3714" t="str">
        <f>"809619"</f>
        <v>809619</v>
      </c>
      <c r="B3714" t="s">
        <v>5298</v>
      </c>
      <c r="C3714" t="s">
        <v>415</v>
      </c>
      <c r="D3714" s="21" t="s">
        <v>34</v>
      </c>
      <c r="E3714" s="21" t="s">
        <v>254</v>
      </c>
      <c r="F3714">
        <v>7800003</v>
      </c>
      <c r="G3714" t="s">
        <v>276</v>
      </c>
      <c r="H3714" s="21">
        <v>1274.55</v>
      </c>
    </row>
    <row r="3715" spans="1:8" customFormat="1" x14ac:dyDescent="0.25">
      <c r="A3715" t="str">
        <f>"082329"</f>
        <v>082329</v>
      </c>
      <c r="B3715" t="s">
        <v>5022</v>
      </c>
      <c r="C3715" t="s">
        <v>65</v>
      </c>
      <c r="D3715" s="21" t="s">
        <v>34</v>
      </c>
      <c r="E3715" s="21" t="s">
        <v>35</v>
      </c>
      <c r="F3715">
        <v>6080017</v>
      </c>
      <c r="G3715" t="s">
        <v>5023</v>
      </c>
      <c r="H3715" s="21">
        <v>1274.17</v>
      </c>
    </row>
    <row r="3716" spans="1:8" customFormat="1" x14ac:dyDescent="0.25">
      <c r="A3716" t="str">
        <f>"263349"</f>
        <v>263349</v>
      </c>
      <c r="B3716" t="s">
        <v>4337</v>
      </c>
      <c r="C3716" t="s">
        <v>249</v>
      </c>
      <c r="D3716" s="21" t="s">
        <v>34</v>
      </c>
      <c r="E3716" s="21" t="s">
        <v>71</v>
      </c>
      <c r="F3716">
        <v>1260054</v>
      </c>
      <c r="G3716" t="s">
        <v>358</v>
      </c>
      <c r="H3716" s="21">
        <v>1274.17</v>
      </c>
    </row>
    <row r="3717" spans="1:8" customFormat="1" x14ac:dyDescent="0.25">
      <c r="A3717" t="str">
        <f>"6793"</f>
        <v>6793</v>
      </c>
      <c r="B3717" t="s">
        <v>4707</v>
      </c>
      <c r="C3717" t="s">
        <v>249</v>
      </c>
      <c r="D3717" s="21" t="s">
        <v>34</v>
      </c>
      <c r="E3717" s="21" t="s">
        <v>71</v>
      </c>
      <c r="F3717">
        <v>6670160</v>
      </c>
      <c r="G3717" t="s">
        <v>908</v>
      </c>
      <c r="H3717" s="21">
        <v>1274.17</v>
      </c>
    </row>
    <row r="3718" spans="1:8" customFormat="1" x14ac:dyDescent="0.25">
      <c r="A3718" t="str">
        <f>"6220313"</f>
        <v>6220313</v>
      </c>
      <c r="B3718" t="s">
        <v>3650</v>
      </c>
      <c r="C3718" t="s">
        <v>121</v>
      </c>
      <c r="D3718" s="21" t="s">
        <v>34</v>
      </c>
      <c r="E3718" s="21" t="s">
        <v>71</v>
      </c>
      <c r="F3718">
        <v>7620007</v>
      </c>
      <c r="G3718" t="s">
        <v>2133</v>
      </c>
      <c r="H3718" s="21">
        <v>1274.17</v>
      </c>
    </row>
    <row r="3719" spans="1:8" customFormat="1" x14ac:dyDescent="0.25">
      <c r="A3719" t="str">
        <f>"922145"</f>
        <v>922145</v>
      </c>
      <c r="B3719" t="s">
        <v>4270</v>
      </c>
      <c r="C3719" t="s">
        <v>1841</v>
      </c>
      <c r="D3719" s="21" t="s">
        <v>34</v>
      </c>
      <c r="E3719" s="21" t="s">
        <v>254</v>
      </c>
      <c r="F3719">
        <v>8920140</v>
      </c>
      <c r="G3719" t="s">
        <v>3762</v>
      </c>
      <c r="H3719" s="21">
        <v>1274.05</v>
      </c>
    </row>
    <row r="3720" spans="1:8" customFormat="1" x14ac:dyDescent="0.25">
      <c r="A3720" t="str">
        <f>"5016310"</f>
        <v>5016310</v>
      </c>
      <c r="B3720" t="s">
        <v>4430</v>
      </c>
      <c r="C3720" t="s">
        <v>209</v>
      </c>
      <c r="D3720" s="21" t="s">
        <v>34</v>
      </c>
      <c r="E3720" s="21" t="s">
        <v>254</v>
      </c>
      <c r="F3720">
        <v>9500063</v>
      </c>
      <c r="G3720" t="s">
        <v>4114</v>
      </c>
      <c r="H3720" s="21">
        <v>1273.92</v>
      </c>
    </row>
    <row r="3721" spans="1:8" customFormat="1" x14ac:dyDescent="0.25">
      <c r="A3721" t="str">
        <f>"4928178"</f>
        <v>4928178</v>
      </c>
      <c r="B3721" t="s">
        <v>4978</v>
      </c>
      <c r="C3721" t="s">
        <v>269</v>
      </c>
      <c r="D3721" s="21" t="s">
        <v>34</v>
      </c>
      <c r="E3721" s="21" t="s">
        <v>71</v>
      </c>
      <c r="F3721">
        <v>12490023</v>
      </c>
      <c r="G3721" t="s">
        <v>4979</v>
      </c>
      <c r="H3721" s="21">
        <v>1273.8</v>
      </c>
    </row>
    <row r="3722" spans="1:8" customFormat="1" x14ac:dyDescent="0.25">
      <c r="A3722" t="str">
        <f>"727095"</f>
        <v>727095</v>
      </c>
      <c r="B3722" t="s">
        <v>2405</v>
      </c>
      <c r="C3722" t="s">
        <v>1142</v>
      </c>
      <c r="D3722" s="21" t="s">
        <v>34</v>
      </c>
      <c r="E3722" s="21" t="s">
        <v>35</v>
      </c>
      <c r="F3722">
        <v>12720034</v>
      </c>
      <c r="G3722" t="s">
        <v>4561</v>
      </c>
      <c r="H3722" s="21">
        <v>1273.67</v>
      </c>
    </row>
    <row r="3723" spans="1:8" customFormat="1" x14ac:dyDescent="0.25">
      <c r="A3723" t="str">
        <f>"3715391"</f>
        <v>3715391</v>
      </c>
      <c r="B3723" t="s">
        <v>5512</v>
      </c>
      <c r="C3723" t="s">
        <v>82</v>
      </c>
      <c r="D3723" s="21" t="s">
        <v>34</v>
      </c>
      <c r="E3723" s="21" t="s">
        <v>71</v>
      </c>
      <c r="F3723">
        <v>4370549</v>
      </c>
      <c r="G3723" t="s">
        <v>5513</v>
      </c>
      <c r="H3723" s="21">
        <v>1273.67</v>
      </c>
    </row>
    <row r="3724" spans="1:8" customFormat="1" x14ac:dyDescent="0.25">
      <c r="A3724" t="str">
        <f>"544877"</f>
        <v>544877</v>
      </c>
      <c r="B3724" t="s">
        <v>4394</v>
      </c>
      <c r="C3724" t="s">
        <v>62</v>
      </c>
      <c r="D3724" s="21" t="s">
        <v>34</v>
      </c>
      <c r="E3724" s="21" t="s">
        <v>35</v>
      </c>
      <c r="F3724">
        <v>6540184</v>
      </c>
      <c r="G3724" t="s">
        <v>4395</v>
      </c>
      <c r="H3724" s="21">
        <v>1273.67</v>
      </c>
    </row>
    <row r="3725" spans="1:8" customFormat="1" x14ac:dyDescent="0.25">
      <c r="A3725" t="str">
        <f>"5711246"</f>
        <v>5711246</v>
      </c>
      <c r="B3725" t="s">
        <v>2032</v>
      </c>
      <c r="C3725" t="s">
        <v>139</v>
      </c>
      <c r="D3725" s="21" t="s">
        <v>34</v>
      </c>
      <c r="E3725" s="21" t="s">
        <v>35</v>
      </c>
      <c r="F3725">
        <v>6570027</v>
      </c>
      <c r="G3725" t="s">
        <v>395</v>
      </c>
      <c r="H3725" s="21">
        <v>1273.67</v>
      </c>
    </row>
    <row r="3726" spans="1:8" customFormat="1" x14ac:dyDescent="0.25">
      <c r="A3726" t="str">
        <f>"871945"</f>
        <v>871945</v>
      </c>
      <c r="B3726" t="s">
        <v>4643</v>
      </c>
      <c r="C3726" t="s">
        <v>1887</v>
      </c>
      <c r="D3726" s="21" t="s">
        <v>34</v>
      </c>
      <c r="E3726" s="21" t="s">
        <v>254</v>
      </c>
      <c r="F3726">
        <v>10870003</v>
      </c>
      <c r="G3726" t="s">
        <v>1187</v>
      </c>
      <c r="H3726" s="21">
        <v>1273.67</v>
      </c>
    </row>
    <row r="3727" spans="1:8" customFormat="1" x14ac:dyDescent="0.25">
      <c r="A3727" t="str">
        <f>"69594"</f>
        <v>69594</v>
      </c>
      <c r="B3727" t="s">
        <v>4494</v>
      </c>
      <c r="C3727" t="s">
        <v>119</v>
      </c>
      <c r="D3727" s="21" t="s">
        <v>34</v>
      </c>
      <c r="E3727" s="21" t="s">
        <v>71</v>
      </c>
      <c r="F3727">
        <v>1690023</v>
      </c>
      <c r="G3727" t="s">
        <v>647</v>
      </c>
      <c r="H3727" s="21">
        <v>1273.42</v>
      </c>
    </row>
    <row r="3728" spans="1:8" customFormat="1" x14ac:dyDescent="0.25">
      <c r="A3728" t="str">
        <f>"6010398"</f>
        <v>6010398</v>
      </c>
      <c r="B3728" t="s">
        <v>1661</v>
      </c>
      <c r="C3728" t="s">
        <v>169</v>
      </c>
      <c r="D3728" s="21" t="s">
        <v>34</v>
      </c>
      <c r="E3728" s="21" t="s">
        <v>71</v>
      </c>
      <c r="F3728">
        <v>7600043</v>
      </c>
      <c r="G3728" t="s">
        <v>1928</v>
      </c>
      <c r="H3728" s="21">
        <v>1273.3</v>
      </c>
    </row>
    <row r="3729" spans="1:8" customFormat="1" x14ac:dyDescent="0.25">
      <c r="A3729" t="str">
        <f>"606578"</f>
        <v>606578</v>
      </c>
      <c r="B3729" t="s">
        <v>4736</v>
      </c>
      <c r="C3729" t="s">
        <v>926</v>
      </c>
      <c r="D3729" s="21" t="s">
        <v>34</v>
      </c>
      <c r="E3729" s="21" t="s">
        <v>71</v>
      </c>
      <c r="F3729">
        <v>7600004</v>
      </c>
      <c r="G3729" t="s">
        <v>848</v>
      </c>
      <c r="H3729" s="21">
        <v>1273.17</v>
      </c>
    </row>
    <row r="3730" spans="1:8" customFormat="1" x14ac:dyDescent="0.25">
      <c r="A3730" t="str">
        <f>"101110"</f>
        <v>101110</v>
      </c>
      <c r="B3730" t="s">
        <v>4176</v>
      </c>
      <c r="C3730" t="s">
        <v>4177</v>
      </c>
      <c r="D3730" s="21" t="s">
        <v>34</v>
      </c>
      <c r="E3730" s="21" t="s">
        <v>35</v>
      </c>
      <c r="F3730">
        <v>6100035</v>
      </c>
      <c r="G3730" t="s">
        <v>26807</v>
      </c>
      <c r="H3730" s="21">
        <v>1273.17</v>
      </c>
    </row>
    <row r="3731" spans="1:8" customFormat="1" x14ac:dyDescent="0.25">
      <c r="A3731" t="str">
        <f>"50853"</f>
        <v>50853</v>
      </c>
      <c r="B3731" t="s">
        <v>482</v>
      </c>
      <c r="C3731" t="s">
        <v>1605</v>
      </c>
      <c r="D3731" s="21" t="s">
        <v>34</v>
      </c>
      <c r="E3731" s="21" t="s">
        <v>254</v>
      </c>
      <c r="F3731">
        <v>9500063</v>
      </c>
      <c r="G3731" t="s">
        <v>4114</v>
      </c>
      <c r="H3731" s="21">
        <v>1273.17</v>
      </c>
    </row>
    <row r="3732" spans="1:8" customFormat="1" x14ac:dyDescent="0.25">
      <c r="A3732" t="str">
        <f>"595279"</f>
        <v>595279</v>
      </c>
      <c r="B3732" t="s">
        <v>3839</v>
      </c>
      <c r="C3732" t="s">
        <v>1142</v>
      </c>
      <c r="D3732" s="21" t="s">
        <v>34</v>
      </c>
      <c r="E3732" s="21" t="s">
        <v>254</v>
      </c>
      <c r="F3732">
        <v>7590080</v>
      </c>
      <c r="G3732" t="s">
        <v>1715</v>
      </c>
      <c r="H3732" s="21">
        <v>1273.17</v>
      </c>
    </row>
    <row r="3733" spans="1:8" customFormat="1" x14ac:dyDescent="0.25">
      <c r="A3733" t="str">
        <f>"57259"</f>
        <v>57259</v>
      </c>
      <c r="B3733" t="s">
        <v>4545</v>
      </c>
      <c r="C3733" t="s">
        <v>750</v>
      </c>
      <c r="D3733" s="21" t="s">
        <v>34</v>
      </c>
      <c r="E3733" s="21" t="s">
        <v>71</v>
      </c>
      <c r="F3733">
        <v>6570018</v>
      </c>
      <c r="G3733" t="s">
        <v>4546</v>
      </c>
      <c r="H3733" s="21">
        <v>1273.17</v>
      </c>
    </row>
    <row r="3734" spans="1:8" customFormat="1" x14ac:dyDescent="0.25">
      <c r="A3734" t="str">
        <f>"4437581"</f>
        <v>4437581</v>
      </c>
      <c r="B3734" t="s">
        <v>5480</v>
      </c>
      <c r="C3734" t="s">
        <v>239</v>
      </c>
      <c r="D3734" s="21" t="s">
        <v>34</v>
      </c>
      <c r="E3734" s="21" t="s">
        <v>35</v>
      </c>
      <c r="F3734">
        <v>12440152</v>
      </c>
      <c r="G3734" t="s">
        <v>5481</v>
      </c>
      <c r="H3734" s="21">
        <v>1273.05</v>
      </c>
    </row>
    <row r="3735" spans="1:8" customFormat="1" x14ac:dyDescent="0.25">
      <c r="A3735" t="str">
        <f>"722744"</f>
        <v>722744</v>
      </c>
      <c r="B3735" t="s">
        <v>4461</v>
      </c>
      <c r="C3735" t="s">
        <v>1199</v>
      </c>
      <c r="D3735" s="21" t="s">
        <v>34</v>
      </c>
      <c r="E3735" s="21" t="s">
        <v>71</v>
      </c>
      <c r="F3735">
        <v>12720023</v>
      </c>
      <c r="G3735" t="s">
        <v>1898</v>
      </c>
      <c r="H3735" s="21">
        <v>1272.67</v>
      </c>
    </row>
    <row r="3736" spans="1:8" customFormat="1" x14ac:dyDescent="0.25">
      <c r="A3736" t="str">
        <f>"4920267"</f>
        <v>4920267</v>
      </c>
      <c r="B3736" t="s">
        <v>26808</v>
      </c>
      <c r="C3736" t="s">
        <v>119</v>
      </c>
      <c r="D3736" s="21" t="s">
        <v>34</v>
      </c>
      <c r="E3736" s="21" t="s">
        <v>35</v>
      </c>
      <c r="F3736">
        <v>12490063</v>
      </c>
      <c r="G3736" t="s">
        <v>329</v>
      </c>
      <c r="H3736" s="21">
        <v>1272.67</v>
      </c>
    </row>
    <row r="3737" spans="1:8" customFormat="1" x14ac:dyDescent="0.25">
      <c r="A3737" t="str">
        <f>"572089"</f>
        <v>572089</v>
      </c>
      <c r="B3737" t="s">
        <v>4771</v>
      </c>
      <c r="C3737" t="s">
        <v>33</v>
      </c>
      <c r="D3737" s="21" t="s">
        <v>34</v>
      </c>
      <c r="E3737" s="21" t="s">
        <v>35</v>
      </c>
      <c r="F3737">
        <v>6570014</v>
      </c>
      <c r="G3737" t="s">
        <v>72</v>
      </c>
      <c r="H3737" s="21">
        <v>1272.67</v>
      </c>
    </row>
    <row r="3738" spans="1:8" customFormat="1" x14ac:dyDescent="0.25">
      <c r="A3738" t="str">
        <f>"641634"</f>
        <v>641634</v>
      </c>
      <c r="B3738" t="s">
        <v>3834</v>
      </c>
      <c r="C3738" t="s">
        <v>288</v>
      </c>
      <c r="D3738" s="21" t="s">
        <v>34</v>
      </c>
      <c r="E3738" s="21" t="s">
        <v>71</v>
      </c>
      <c r="F3738">
        <v>12440142</v>
      </c>
      <c r="G3738" t="s">
        <v>3285</v>
      </c>
      <c r="H3738" s="21">
        <v>1272.67</v>
      </c>
    </row>
    <row r="3739" spans="1:8" customFormat="1" x14ac:dyDescent="0.25">
      <c r="A3739" t="str">
        <f>"873466"</f>
        <v>873466</v>
      </c>
      <c r="B3739" t="s">
        <v>4676</v>
      </c>
      <c r="C3739" t="s">
        <v>453</v>
      </c>
      <c r="D3739" s="21" t="s">
        <v>34</v>
      </c>
      <c r="E3739" s="21" t="s">
        <v>254</v>
      </c>
      <c r="F3739">
        <v>10870117</v>
      </c>
      <c r="G3739" t="s">
        <v>3139</v>
      </c>
      <c r="H3739" s="21">
        <v>1272.17</v>
      </c>
    </row>
    <row r="3740" spans="1:8" customFormat="1" x14ac:dyDescent="0.25">
      <c r="A3740" t="str">
        <f>"025886"</f>
        <v>025886</v>
      </c>
      <c r="B3740" t="s">
        <v>4688</v>
      </c>
      <c r="C3740" t="s">
        <v>4689</v>
      </c>
      <c r="D3740" s="21" t="s">
        <v>34</v>
      </c>
      <c r="E3740" s="21" t="s">
        <v>71</v>
      </c>
      <c r="F3740">
        <v>7020044</v>
      </c>
      <c r="G3740" t="s">
        <v>4690</v>
      </c>
      <c r="H3740" s="21">
        <v>1272.17</v>
      </c>
    </row>
    <row r="3741" spans="1:8" customFormat="1" x14ac:dyDescent="0.25">
      <c r="A3741" t="str">
        <f>"572169"</f>
        <v>572169</v>
      </c>
      <c r="B3741" t="s">
        <v>4477</v>
      </c>
      <c r="C3741" t="s">
        <v>204</v>
      </c>
      <c r="D3741" s="21" t="s">
        <v>34</v>
      </c>
      <c r="E3741" s="21" t="s">
        <v>35</v>
      </c>
      <c r="F3741">
        <v>6570073</v>
      </c>
      <c r="G3741" t="s">
        <v>952</v>
      </c>
      <c r="H3741" s="21">
        <v>1272.17</v>
      </c>
    </row>
    <row r="3742" spans="1:8" customFormat="1" x14ac:dyDescent="0.25">
      <c r="A3742" t="str">
        <f>"2923480"</f>
        <v>2923480</v>
      </c>
      <c r="B3742" t="s">
        <v>572</v>
      </c>
      <c r="C3742" t="s">
        <v>462</v>
      </c>
      <c r="D3742" s="21" t="s">
        <v>34</v>
      </c>
      <c r="E3742" s="21" t="s">
        <v>35</v>
      </c>
      <c r="F3742">
        <v>3290200</v>
      </c>
      <c r="G3742" t="s">
        <v>3488</v>
      </c>
      <c r="H3742" s="21">
        <v>1271.79</v>
      </c>
    </row>
    <row r="3743" spans="1:8" customFormat="1" x14ac:dyDescent="0.25">
      <c r="A3743" t="str">
        <f>"698251"</f>
        <v>698251</v>
      </c>
      <c r="B3743" t="s">
        <v>3001</v>
      </c>
      <c r="C3743" t="s">
        <v>285</v>
      </c>
      <c r="D3743" s="21" t="s">
        <v>34</v>
      </c>
      <c r="E3743" s="21" t="s">
        <v>35</v>
      </c>
      <c r="F3743">
        <v>12490047</v>
      </c>
      <c r="G3743" t="s">
        <v>23185</v>
      </c>
      <c r="H3743" s="21">
        <v>1271.67</v>
      </c>
    </row>
    <row r="3744" spans="1:8" customFormat="1" x14ac:dyDescent="0.25">
      <c r="A3744" t="str">
        <f>"6224654"</f>
        <v>6224654</v>
      </c>
      <c r="B3744" t="s">
        <v>1362</v>
      </c>
      <c r="C3744" t="s">
        <v>484</v>
      </c>
      <c r="D3744" s="21" t="s">
        <v>34</v>
      </c>
      <c r="E3744" s="21" t="s">
        <v>71</v>
      </c>
      <c r="F3744">
        <v>7620181</v>
      </c>
      <c r="G3744" t="s">
        <v>2268</v>
      </c>
      <c r="H3744" s="21">
        <v>1271.67</v>
      </c>
    </row>
    <row r="3745" spans="1:8" customFormat="1" x14ac:dyDescent="0.25">
      <c r="A3745" t="str">
        <f>"621655"</f>
        <v>621655</v>
      </c>
      <c r="B3745" t="s">
        <v>4834</v>
      </c>
      <c r="C3745" t="s">
        <v>462</v>
      </c>
      <c r="D3745" s="21" t="s">
        <v>34</v>
      </c>
      <c r="E3745" s="21" t="s">
        <v>71</v>
      </c>
      <c r="F3745">
        <v>7590413</v>
      </c>
      <c r="G3745" t="s">
        <v>6848</v>
      </c>
      <c r="H3745" s="21">
        <v>1271.67</v>
      </c>
    </row>
    <row r="3746" spans="1:8" customFormat="1" x14ac:dyDescent="0.25">
      <c r="A3746" t="str">
        <f>"3814574"</f>
        <v>3814574</v>
      </c>
      <c r="B3746" t="s">
        <v>5098</v>
      </c>
      <c r="C3746" t="s">
        <v>1675</v>
      </c>
      <c r="D3746" s="21" t="s">
        <v>34</v>
      </c>
      <c r="E3746" s="21" t="s">
        <v>35</v>
      </c>
      <c r="F3746">
        <v>1380262</v>
      </c>
      <c r="G3746" t="s">
        <v>1216</v>
      </c>
      <c r="H3746" s="21">
        <v>1271.67</v>
      </c>
    </row>
    <row r="3747" spans="1:8" customFormat="1" x14ac:dyDescent="0.25">
      <c r="A3747" t="str">
        <f>"33980"</f>
        <v>33980</v>
      </c>
      <c r="B3747" t="s">
        <v>1976</v>
      </c>
      <c r="C3747" t="s">
        <v>169</v>
      </c>
      <c r="D3747" s="21" t="s">
        <v>34</v>
      </c>
      <c r="E3747" s="21" t="s">
        <v>35</v>
      </c>
      <c r="F3747">
        <v>10330035</v>
      </c>
      <c r="G3747" t="s">
        <v>3457</v>
      </c>
      <c r="H3747" s="21">
        <v>1271.3</v>
      </c>
    </row>
    <row r="3748" spans="1:8" customFormat="1" x14ac:dyDescent="0.25">
      <c r="A3748" t="str">
        <f>"25713"</f>
        <v>25713</v>
      </c>
      <c r="B3748" t="s">
        <v>4950</v>
      </c>
      <c r="C3748" t="s">
        <v>62</v>
      </c>
      <c r="D3748" s="21" t="s">
        <v>34</v>
      </c>
      <c r="E3748" s="21" t="s">
        <v>71</v>
      </c>
      <c r="F3748">
        <v>2250033</v>
      </c>
      <c r="G3748" t="s">
        <v>4951</v>
      </c>
      <c r="H3748" s="21">
        <v>1271.17</v>
      </c>
    </row>
    <row r="3749" spans="1:8" customFormat="1" x14ac:dyDescent="0.25">
      <c r="A3749" t="str">
        <f>"5012924"</f>
        <v>5012924</v>
      </c>
      <c r="B3749" t="s">
        <v>543</v>
      </c>
      <c r="C3749" t="s">
        <v>87</v>
      </c>
      <c r="D3749" s="21" t="s">
        <v>34</v>
      </c>
      <c r="E3749" s="21" t="s">
        <v>71</v>
      </c>
      <c r="F3749">
        <v>9500058</v>
      </c>
      <c r="G3749" t="s">
        <v>1585</v>
      </c>
      <c r="H3749" s="21">
        <v>1271.17</v>
      </c>
    </row>
    <row r="3750" spans="1:8" customFormat="1" x14ac:dyDescent="0.25">
      <c r="A3750" t="str">
        <f>"61836"</f>
        <v>61836</v>
      </c>
      <c r="B3750" t="s">
        <v>4547</v>
      </c>
      <c r="C3750" t="s">
        <v>412</v>
      </c>
      <c r="D3750" s="21" t="s">
        <v>34</v>
      </c>
      <c r="E3750" s="21" t="s">
        <v>71</v>
      </c>
      <c r="F3750">
        <v>9610087</v>
      </c>
      <c r="G3750" t="s">
        <v>2661</v>
      </c>
      <c r="H3750" s="21">
        <v>1271.17</v>
      </c>
    </row>
    <row r="3751" spans="1:8" customFormat="1" x14ac:dyDescent="0.25">
      <c r="A3751" t="str">
        <f>"758778"</f>
        <v>758778</v>
      </c>
      <c r="B3751" t="s">
        <v>4715</v>
      </c>
      <c r="C3751" t="s">
        <v>124</v>
      </c>
      <c r="D3751" s="21" t="s">
        <v>34</v>
      </c>
      <c r="E3751" s="21" t="s">
        <v>254</v>
      </c>
      <c r="F3751">
        <v>8750007</v>
      </c>
      <c r="G3751" t="s">
        <v>775</v>
      </c>
      <c r="H3751" s="21">
        <v>1271.06</v>
      </c>
    </row>
    <row r="3752" spans="1:8" customFormat="1" x14ac:dyDescent="0.25">
      <c r="A3752" t="str">
        <f>"2512945"</f>
        <v>2512945</v>
      </c>
      <c r="B3752" t="s">
        <v>5076</v>
      </c>
      <c r="C3752" t="s">
        <v>87</v>
      </c>
      <c r="D3752" s="21" t="s">
        <v>34</v>
      </c>
      <c r="E3752" s="21" t="s">
        <v>35</v>
      </c>
      <c r="F3752">
        <v>2250137</v>
      </c>
      <c r="G3752" t="s">
        <v>182</v>
      </c>
      <c r="H3752" s="21">
        <v>1271.05</v>
      </c>
    </row>
    <row r="3753" spans="1:8" customFormat="1" x14ac:dyDescent="0.25">
      <c r="A3753" t="str">
        <f>"042606"</f>
        <v>042606</v>
      </c>
      <c r="B3753" t="s">
        <v>4272</v>
      </c>
      <c r="C3753" t="s">
        <v>269</v>
      </c>
      <c r="D3753" s="21" t="s">
        <v>34</v>
      </c>
      <c r="E3753" s="21" t="s">
        <v>71</v>
      </c>
      <c r="F3753">
        <v>13040030</v>
      </c>
      <c r="G3753" t="s">
        <v>1903</v>
      </c>
      <c r="H3753" s="21">
        <v>1271</v>
      </c>
    </row>
    <row r="3754" spans="1:8" customFormat="1" x14ac:dyDescent="0.25">
      <c r="A3754" t="str">
        <f>"7849315"</f>
        <v>7849315</v>
      </c>
      <c r="B3754" t="s">
        <v>623</v>
      </c>
      <c r="C3754" t="s">
        <v>269</v>
      </c>
      <c r="D3754" s="21" t="s">
        <v>34</v>
      </c>
      <c r="E3754" s="21" t="s">
        <v>71</v>
      </c>
      <c r="F3754">
        <v>8780571</v>
      </c>
      <c r="G3754" t="s">
        <v>2336</v>
      </c>
      <c r="H3754" s="21">
        <v>1270.92</v>
      </c>
    </row>
    <row r="3755" spans="1:8" customFormat="1" x14ac:dyDescent="0.25">
      <c r="A3755" t="str">
        <f>"3112254"</f>
        <v>3112254</v>
      </c>
      <c r="B3755" t="s">
        <v>3917</v>
      </c>
      <c r="C3755" t="s">
        <v>209</v>
      </c>
      <c r="D3755" s="21" t="s">
        <v>34</v>
      </c>
      <c r="E3755" s="21" t="s">
        <v>71</v>
      </c>
      <c r="F3755">
        <v>11310047</v>
      </c>
      <c r="G3755" t="s">
        <v>2188</v>
      </c>
      <c r="H3755" s="21">
        <v>1270.68</v>
      </c>
    </row>
    <row r="3756" spans="1:8" customFormat="1" x14ac:dyDescent="0.25">
      <c r="A3756" t="str">
        <f>"026593"</f>
        <v>026593</v>
      </c>
      <c r="B3756" t="s">
        <v>6220</v>
      </c>
      <c r="C3756" t="s">
        <v>768</v>
      </c>
      <c r="D3756" s="21" t="s">
        <v>34</v>
      </c>
      <c r="E3756" s="21" t="s">
        <v>35</v>
      </c>
      <c r="F3756">
        <v>7020009</v>
      </c>
      <c r="G3756" t="s">
        <v>3362</v>
      </c>
      <c r="H3756" s="21">
        <v>1270.67</v>
      </c>
    </row>
    <row r="3757" spans="1:8" customFormat="1" x14ac:dyDescent="0.25">
      <c r="A3757" t="str">
        <f>"252920"</f>
        <v>252920</v>
      </c>
      <c r="B3757" t="s">
        <v>4931</v>
      </c>
      <c r="C3757" t="s">
        <v>1146</v>
      </c>
      <c r="D3757" s="21" t="s">
        <v>34</v>
      </c>
      <c r="E3757" s="21" t="s">
        <v>71</v>
      </c>
      <c r="F3757">
        <v>2250154</v>
      </c>
      <c r="G3757" t="s">
        <v>1973</v>
      </c>
      <c r="H3757" s="21">
        <v>1270.67</v>
      </c>
    </row>
    <row r="3758" spans="1:8" customFormat="1" x14ac:dyDescent="0.25">
      <c r="A3758" t="str">
        <f>"7611508"</f>
        <v>7611508</v>
      </c>
      <c r="B3758" t="s">
        <v>4099</v>
      </c>
      <c r="C3758" t="s">
        <v>109</v>
      </c>
      <c r="D3758" s="21" t="s">
        <v>34</v>
      </c>
      <c r="E3758" s="21" t="s">
        <v>35</v>
      </c>
      <c r="F3758">
        <v>9760382</v>
      </c>
      <c r="G3758" t="s">
        <v>2737</v>
      </c>
      <c r="H3758" s="21">
        <v>1270.67</v>
      </c>
    </row>
    <row r="3759" spans="1:8" customFormat="1" x14ac:dyDescent="0.25">
      <c r="A3759" t="str">
        <f>"3413986"</f>
        <v>3413986</v>
      </c>
      <c r="B3759" t="s">
        <v>26809</v>
      </c>
      <c r="C3759" t="s">
        <v>49</v>
      </c>
      <c r="D3759" s="21" t="s">
        <v>34</v>
      </c>
      <c r="E3759" s="21" t="s">
        <v>35</v>
      </c>
      <c r="F3759">
        <v>11340003</v>
      </c>
      <c r="G3759" t="s">
        <v>3326</v>
      </c>
      <c r="H3759" s="21">
        <v>1270.67</v>
      </c>
    </row>
    <row r="3760" spans="1:8" customFormat="1" x14ac:dyDescent="0.25">
      <c r="A3760" t="str">
        <f>"3532117"</f>
        <v>3532117</v>
      </c>
      <c r="B3760" t="s">
        <v>4332</v>
      </c>
      <c r="C3760" t="s">
        <v>96</v>
      </c>
      <c r="D3760" s="21" t="s">
        <v>34</v>
      </c>
      <c r="E3760" s="21" t="s">
        <v>35</v>
      </c>
      <c r="F3760">
        <v>3350014</v>
      </c>
      <c r="G3760" t="s">
        <v>1078</v>
      </c>
      <c r="H3760" s="21">
        <v>1270.67</v>
      </c>
    </row>
    <row r="3761" spans="1:8" customFormat="1" x14ac:dyDescent="0.25">
      <c r="A3761" t="str">
        <f>"883847"</f>
        <v>883847</v>
      </c>
      <c r="B3761" t="s">
        <v>2652</v>
      </c>
      <c r="C3761" t="s">
        <v>305</v>
      </c>
      <c r="D3761" s="21" t="s">
        <v>34</v>
      </c>
      <c r="E3761" s="21" t="s">
        <v>35</v>
      </c>
      <c r="F3761" t="s">
        <v>2653</v>
      </c>
      <c r="G3761" t="s">
        <v>2654</v>
      </c>
      <c r="H3761" s="21">
        <v>1270.55</v>
      </c>
    </row>
    <row r="3762" spans="1:8" customFormat="1" x14ac:dyDescent="0.25">
      <c r="A3762" t="str">
        <f>"4412950"</f>
        <v>4412950</v>
      </c>
      <c r="B3762" t="s">
        <v>824</v>
      </c>
      <c r="C3762" t="s">
        <v>249</v>
      </c>
      <c r="D3762" s="21" t="s">
        <v>34</v>
      </c>
      <c r="E3762" s="21" t="s">
        <v>71</v>
      </c>
      <c r="F3762">
        <v>12440056</v>
      </c>
      <c r="G3762" t="s">
        <v>2037</v>
      </c>
      <c r="H3762" s="21">
        <v>1270.42</v>
      </c>
    </row>
    <row r="3763" spans="1:8" customFormat="1" x14ac:dyDescent="0.25">
      <c r="A3763" t="str">
        <f>"703922"</f>
        <v>703922</v>
      </c>
      <c r="B3763" t="s">
        <v>5301</v>
      </c>
      <c r="C3763" t="s">
        <v>43</v>
      </c>
      <c r="D3763" s="21" t="s">
        <v>34</v>
      </c>
      <c r="E3763" s="21" t="s">
        <v>35</v>
      </c>
      <c r="F3763">
        <v>2700093</v>
      </c>
      <c r="G3763" t="s">
        <v>5302</v>
      </c>
      <c r="H3763" s="21">
        <v>1270.42</v>
      </c>
    </row>
    <row r="3764" spans="1:8" customFormat="1" x14ac:dyDescent="0.25">
      <c r="A3764" t="str">
        <f>"5192"</f>
        <v>5192</v>
      </c>
      <c r="B3764" t="s">
        <v>4244</v>
      </c>
      <c r="C3764" t="s">
        <v>547</v>
      </c>
      <c r="D3764" s="21" t="s">
        <v>34</v>
      </c>
      <c r="E3764" s="21" t="s">
        <v>254</v>
      </c>
      <c r="F3764">
        <v>7590194</v>
      </c>
      <c r="G3764" t="s">
        <v>460</v>
      </c>
      <c r="H3764" s="21">
        <v>1270.17</v>
      </c>
    </row>
    <row r="3765" spans="1:8" customFormat="1" x14ac:dyDescent="0.25">
      <c r="A3765" t="str">
        <f>"692541"</f>
        <v>692541</v>
      </c>
      <c r="B3765" t="s">
        <v>5704</v>
      </c>
      <c r="C3765" t="s">
        <v>169</v>
      </c>
      <c r="D3765" s="21" t="s">
        <v>34</v>
      </c>
      <c r="E3765" s="21" t="s">
        <v>35</v>
      </c>
      <c r="F3765">
        <v>8750141</v>
      </c>
      <c r="G3765" t="s">
        <v>1514</v>
      </c>
      <c r="H3765" s="21">
        <v>1270.17</v>
      </c>
    </row>
    <row r="3766" spans="1:8" customFormat="1" x14ac:dyDescent="0.25">
      <c r="A3766" t="str">
        <f>"856959"</f>
        <v>856959</v>
      </c>
      <c r="B3766" t="s">
        <v>22007</v>
      </c>
      <c r="C3766" t="s">
        <v>139</v>
      </c>
      <c r="D3766" s="21" t="s">
        <v>34</v>
      </c>
      <c r="E3766" s="21" t="s">
        <v>35</v>
      </c>
      <c r="F3766">
        <v>12850148</v>
      </c>
      <c r="G3766" t="s">
        <v>2380</v>
      </c>
      <c r="H3766" s="21">
        <v>1270.17</v>
      </c>
    </row>
    <row r="3767" spans="1:8" customFormat="1" x14ac:dyDescent="0.25">
      <c r="A3767" t="str">
        <f>"5913780"</f>
        <v>5913780</v>
      </c>
      <c r="B3767" t="s">
        <v>4372</v>
      </c>
      <c r="C3767" t="s">
        <v>109</v>
      </c>
      <c r="D3767" s="21" t="s">
        <v>34</v>
      </c>
      <c r="E3767" s="21" t="s">
        <v>35</v>
      </c>
      <c r="F3767">
        <v>7590040</v>
      </c>
      <c r="G3767" t="s">
        <v>104</v>
      </c>
      <c r="H3767" s="21">
        <v>1270.17</v>
      </c>
    </row>
    <row r="3768" spans="1:8" customFormat="1" x14ac:dyDescent="0.25">
      <c r="A3768" t="str">
        <f>"8812726"</f>
        <v>8812726</v>
      </c>
      <c r="B3768" t="s">
        <v>4647</v>
      </c>
      <c r="C3768" t="s">
        <v>2529</v>
      </c>
      <c r="D3768" s="21" t="s">
        <v>34</v>
      </c>
      <c r="E3768" s="21" t="s">
        <v>254</v>
      </c>
      <c r="F3768">
        <v>6880123</v>
      </c>
      <c r="G3768" t="s">
        <v>527</v>
      </c>
      <c r="H3768" s="21">
        <v>1270.17</v>
      </c>
    </row>
    <row r="3769" spans="1:8" customFormat="1" x14ac:dyDescent="0.25">
      <c r="A3769" t="str">
        <f>"9214678"</f>
        <v>9214678</v>
      </c>
      <c r="B3769" t="s">
        <v>4665</v>
      </c>
      <c r="C3769" t="s">
        <v>127</v>
      </c>
      <c r="D3769" s="21" t="s">
        <v>34</v>
      </c>
      <c r="E3769" s="21" t="s">
        <v>35</v>
      </c>
      <c r="F3769">
        <v>4410083</v>
      </c>
      <c r="G3769" t="s">
        <v>2333</v>
      </c>
      <c r="H3769" s="21">
        <v>1270.05</v>
      </c>
    </row>
    <row r="3770" spans="1:8" customFormat="1" x14ac:dyDescent="0.25">
      <c r="A3770" t="str">
        <f>"6924410"</f>
        <v>6924410</v>
      </c>
      <c r="B3770" t="s">
        <v>3424</v>
      </c>
      <c r="C3770" t="s">
        <v>33</v>
      </c>
      <c r="D3770" s="21" t="s">
        <v>34</v>
      </c>
      <c r="E3770" s="21" t="s">
        <v>71</v>
      </c>
      <c r="F3770">
        <v>1690166</v>
      </c>
      <c r="G3770" t="s">
        <v>3886</v>
      </c>
      <c r="H3770" s="21">
        <v>1269.67</v>
      </c>
    </row>
    <row r="3771" spans="1:8" customFormat="1" x14ac:dyDescent="0.25">
      <c r="A3771" t="str">
        <f>"701942"</f>
        <v>701942</v>
      </c>
      <c r="B3771" t="s">
        <v>26810</v>
      </c>
      <c r="C3771" t="s">
        <v>60</v>
      </c>
      <c r="D3771" s="21" t="s">
        <v>34</v>
      </c>
      <c r="E3771" s="21" t="s">
        <v>35</v>
      </c>
      <c r="F3771">
        <v>2700036</v>
      </c>
      <c r="G3771" t="s">
        <v>1896</v>
      </c>
      <c r="H3771" s="21">
        <v>1269.67</v>
      </c>
    </row>
    <row r="3772" spans="1:8" customFormat="1" x14ac:dyDescent="0.25">
      <c r="A3772" t="str">
        <f>"507212"</f>
        <v>507212</v>
      </c>
      <c r="B3772" t="s">
        <v>1892</v>
      </c>
      <c r="C3772" t="s">
        <v>2479</v>
      </c>
      <c r="D3772" s="21" t="s">
        <v>34</v>
      </c>
      <c r="E3772" s="21" t="s">
        <v>71</v>
      </c>
      <c r="F3772">
        <v>9500058</v>
      </c>
      <c r="G3772" t="s">
        <v>1585</v>
      </c>
      <c r="H3772" s="21">
        <v>1269.67</v>
      </c>
    </row>
    <row r="3773" spans="1:8" customFormat="1" x14ac:dyDescent="0.25">
      <c r="A3773" t="str">
        <f>"4921856"</f>
        <v>4921856</v>
      </c>
      <c r="B3773" t="s">
        <v>4777</v>
      </c>
      <c r="C3773" t="s">
        <v>2276</v>
      </c>
      <c r="D3773" s="21" t="s">
        <v>34</v>
      </c>
      <c r="E3773" s="21" t="s">
        <v>254</v>
      </c>
      <c r="F3773">
        <v>12490076</v>
      </c>
      <c r="G3773" t="s">
        <v>2086</v>
      </c>
      <c r="H3773" s="21">
        <v>1269.67</v>
      </c>
    </row>
    <row r="3774" spans="1:8" customFormat="1" x14ac:dyDescent="0.25">
      <c r="A3774" t="str">
        <f>"6713416"</f>
        <v>6713416</v>
      </c>
      <c r="B3774" t="s">
        <v>1814</v>
      </c>
      <c r="C3774" t="s">
        <v>187</v>
      </c>
      <c r="D3774" s="21" t="s">
        <v>34</v>
      </c>
      <c r="E3774" s="21" t="s">
        <v>35</v>
      </c>
      <c r="F3774">
        <v>6670122</v>
      </c>
      <c r="G3774" t="s">
        <v>3126</v>
      </c>
      <c r="H3774" s="21">
        <v>1269.67</v>
      </c>
    </row>
    <row r="3775" spans="1:8" customFormat="1" x14ac:dyDescent="0.25">
      <c r="A3775" t="str">
        <f>"43428"</f>
        <v>43428</v>
      </c>
      <c r="B3775" t="s">
        <v>4333</v>
      </c>
      <c r="C3775" t="s">
        <v>121</v>
      </c>
      <c r="D3775" s="21" t="s">
        <v>34</v>
      </c>
      <c r="E3775" s="21" t="s">
        <v>35</v>
      </c>
      <c r="F3775">
        <v>1420307</v>
      </c>
      <c r="G3775" t="s">
        <v>26676</v>
      </c>
      <c r="H3775" s="21">
        <v>1269.67</v>
      </c>
    </row>
    <row r="3776" spans="1:8" customFormat="1" x14ac:dyDescent="0.25">
      <c r="A3776" t="str">
        <f>"26845"</f>
        <v>26845</v>
      </c>
      <c r="B3776" t="s">
        <v>4479</v>
      </c>
      <c r="C3776" t="s">
        <v>288</v>
      </c>
      <c r="D3776" s="21" t="s">
        <v>34</v>
      </c>
      <c r="E3776" s="21" t="s">
        <v>35</v>
      </c>
      <c r="F3776">
        <v>1260045</v>
      </c>
      <c r="G3776" t="s">
        <v>401</v>
      </c>
      <c r="H3776" s="21">
        <v>1269.67</v>
      </c>
    </row>
    <row r="3777" spans="1:8" customFormat="1" x14ac:dyDescent="0.25">
      <c r="A3777" t="str">
        <f>"4451685"</f>
        <v>4451685</v>
      </c>
      <c r="B3777" t="s">
        <v>1735</v>
      </c>
      <c r="C3777" t="s">
        <v>33</v>
      </c>
      <c r="D3777" s="21" t="s">
        <v>34</v>
      </c>
      <c r="E3777" s="21" t="s">
        <v>35</v>
      </c>
      <c r="F3777">
        <v>12440002</v>
      </c>
      <c r="G3777" t="s">
        <v>47</v>
      </c>
      <c r="H3777" s="21">
        <v>1269.67</v>
      </c>
    </row>
    <row r="3778" spans="1:8" customFormat="1" x14ac:dyDescent="0.25">
      <c r="A3778" t="str">
        <f>"6017077"</f>
        <v>6017077</v>
      </c>
      <c r="B3778" t="s">
        <v>5470</v>
      </c>
      <c r="C3778" t="s">
        <v>469</v>
      </c>
      <c r="D3778" s="21" t="s">
        <v>34</v>
      </c>
      <c r="E3778" s="21" t="s">
        <v>35</v>
      </c>
      <c r="F3778">
        <v>7600088</v>
      </c>
      <c r="G3778" t="s">
        <v>334</v>
      </c>
      <c r="H3778" s="21">
        <v>1269.42</v>
      </c>
    </row>
    <row r="3779" spans="1:8" customFormat="1" x14ac:dyDescent="0.25">
      <c r="A3779" t="str">
        <f>"3826860"</f>
        <v>3826860</v>
      </c>
      <c r="B3779" t="s">
        <v>6503</v>
      </c>
      <c r="C3779" t="s">
        <v>6504</v>
      </c>
      <c r="D3779" s="21" t="s">
        <v>34</v>
      </c>
      <c r="E3779" s="21" t="s">
        <v>35</v>
      </c>
      <c r="F3779">
        <v>1380296</v>
      </c>
      <c r="G3779" t="s">
        <v>2810</v>
      </c>
      <c r="H3779" s="21">
        <v>1269.17</v>
      </c>
    </row>
    <row r="3780" spans="1:8" customFormat="1" x14ac:dyDescent="0.25">
      <c r="A3780" t="str">
        <f>"9524543"</f>
        <v>9524543</v>
      </c>
      <c r="B3780" t="s">
        <v>4411</v>
      </c>
      <c r="C3780" t="s">
        <v>302</v>
      </c>
      <c r="D3780" s="21" t="s">
        <v>34</v>
      </c>
      <c r="E3780" s="21" t="s">
        <v>35</v>
      </c>
      <c r="F3780">
        <v>8950978</v>
      </c>
      <c r="G3780" t="s">
        <v>1164</v>
      </c>
      <c r="H3780" s="21">
        <v>1269.17</v>
      </c>
    </row>
    <row r="3781" spans="1:8" customFormat="1" x14ac:dyDescent="0.25">
      <c r="A3781" t="str">
        <f>"309316"</f>
        <v>309316</v>
      </c>
      <c r="B3781" t="s">
        <v>4416</v>
      </c>
      <c r="C3781" t="s">
        <v>2479</v>
      </c>
      <c r="D3781" s="21" t="s">
        <v>34</v>
      </c>
      <c r="E3781" s="21" t="s">
        <v>254</v>
      </c>
      <c r="F3781">
        <v>11300016</v>
      </c>
      <c r="G3781" t="s">
        <v>157</v>
      </c>
      <c r="H3781" s="21">
        <v>1269.17</v>
      </c>
    </row>
    <row r="3782" spans="1:8" customFormat="1" x14ac:dyDescent="0.25">
      <c r="A3782" t="str">
        <f>"275273"</f>
        <v>275273</v>
      </c>
      <c r="B3782" t="s">
        <v>2118</v>
      </c>
      <c r="C3782" t="s">
        <v>171</v>
      </c>
      <c r="D3782" s="21" t="s">
        <v>34</v>
      </c>
      <c r="E3782" s="21" t="s">
        <v>35</v>
      </c>
      <c r="F3782">
        <v>9270005</v>
      </c>
      <c r="G3782" t="s">
        <v>1255</v>
      </c>
      <c r="H3782" s="21">
        <v>1269.17</v>
      </c>
    </row>
    <row r="3783" spans="1:8" customFormat="1" x14ac:dyDescent="0.25">
      <c r="A3783" t="str">
        <f>"7518792"</f>
        <v>7518792</v>
      </c>
      <c r="B3783" t="s">
        <v>5402</v>
      </c>
      <c r="C3783" t="s">
        <v>1025</v>
      </c>
      <c r="D3783" s="21" t="s">
        <v>34</v>
      </c>
      <c r="E3783" s="21" t="s">
        <v>254</v>
      </c>
      <c r="F3783">
        <v>8751412</v>
      </c>
      <c r="G3783" t="s">
        <v>3615</v>
      </c>
      <c r="H3783" s="21">
        <v>1269.17</v>
      </c>
    </row>
    <row r="3784" spans="1:8" customFormat="1" x14ac:dyDescent="0.25">
      <c r="A3784" t="str">
        <f>"594647"</f>
        <v>594647</v>
      </c>
      <c r="B3784" t="s">
        <v>5702</v>
      </c>
      <c r="C3784" t="s">
        <v>90</v>
      </c>
      <c r="D3784" s="21" t="s">
        <v>34</v>
      </c>
      <c r="E3784" s="21" t="s">
        <v>35</v>
      </c>
      <c r="F3784">
        <v>4450210</v>
      </c>
      <c r="G3784" t="s">
        <v>5249</v>
      </c>
      <c r="H3784" s="21">
        <v>1269.17</v>
      </c>
    </row>
    <row r="3785" spans="1:8" customFormat="1" x14ac:dyDescent="0.25">
      <c r="A3785" t="str">
        <f>"63149"</f>
        <v>63149</v>
      </c>
      <c r="B3785" t="s">
        <v>4196</v>
      </c>
      <c r="C3785" t="s">
        <v>926</v>
      </c>
      <c r="D3785" s="21" t="s">
        <v>34</v>
      </c>
      <c r="E3785" s="21" t="s">
        <v>71</v>
      </c>
      <c r="F3785">
        <v>1630054</v>
      </c>
      <c r="G3785" t="s">
        <v>2512</v>
      </c>
      <c r="H3785" s="21">
        <v>1269.17</v>
      </c>
    </row>
    <row r="3786" spans="1:8" customFormat="1" x14ac:dyDescent="0.25">
      <c r="A3786" t="str">
        <f>"5923185"</f>
        <v>5923185</v>
      </c>
      <c r="B3786" t="s">
        <v>4649</v>
      </c>
      <c r="C3786" t="s">
        <v>209</v>
      </c>
      <c r="D3786" s="21" t="s">
        <v>34</v>
      </c>
      <c r="E3786" s="21" t="s">
        <v>71</v>
      </c>
      <c r="F3786">
        <v>9760011</v>
      </c>
      <c r="G3786" t="s">
        <v>2562</v>
      </c>
      <c r="H3786" s="21">
        <v>1268.92</v>
      </c>
    </row>
    <row r="3787" spans="1:8" customFormat="1" x14ac:dyDescent="0.25">
      <c r="A3787" t="str">
        <f>"296796"</f>
        <v>296796</v>
      </c>
      <c r="B3787" t="s">
        <v>3543</v>
      </c>
      <c r="C3787" t="s">
        <v>49</v>
      </c>
      <c r="D3787" s="21" t="s">
        <v>34</v>
      </c>
      <c r="E3787" s="21" t="s">
        <v>35</v>
      </c>
      <c r="F3787">
        <v>3290221</v>
      </c>
      <c r="G3787" t="s">
        <v>3544</v>
      </c>
      <c r="H3787" s="21">
        <v>1268.67</v>
      </c>
    </row>
    <row r="3788" spans="1:8" customFormat="1" x14ac:dyDescent="0.25">
      <c r="A3788" t="str">
        <f>"177174"</f>
        <v>177174</v>
      </c>
      <c r="B3788" t="s">
        <v>4281</v>
      </c>
      <c r="C3788" t="s">
        <v>249</v>
      </c>
      <c r="D3788" s="21" t="s">
        <v>34</v>
      </c>
      <c r="E3788" s="21" t="s">
        <v>71</v>
      </c>
      <c r="F3788">
        <v>10170051</v>
      </c>
      <c r="G3788" t="s">
        <v>826</v>
      </c>
      <c r="H3788" s="21">
        <v>1268.67</v>
      </c>
    </row>
    <row r="3789" spans="1:8" customFormat="1" x14ac:dyDescent="0.25">
      <c r="A3789" t="str">
        <f>"8517898"</f>
        <v>8517898</v>
      </c>
      <c r="B3789" t="s">
        <v>10725</v>
      </c>
      <c r="C3789" t="s">
        <v>3522</v>
      </c>
      <c r="D3789" s="21" t="s">
        <v>34</v>
      </c>
      <c r="E3789" s="21" t="s">
        <v>35</v>
      </c>
      <c r="F3789">
        <v>12850142</v>
      </c>
      <c r="G3789" t="s">
        <v>2663</v>
      </c>
      <c r="H3789" s="21">
        <v>1268.67</v>
      </c>
    </row>
    <row r="3790" spans="1:8" customFormat="1" x14ac:dyDescent="0.25">
      <c r="A3790" t="str">
        <f>"625817"</f>
        <v>625817</v>
      </c>
      <c r="B3790" t="s">
        <v>6248</v>
      </c>
      <c r="C3790" t="s">
        <v>87</v>
      </c>
      <c r="D3790" s="21" t="s">
        <v>34</v>
      </c>
      <c r="E3790" s="21" t="s">
        <v>35</v>
      </c>
      <c r="F3790">
        <v>7620153</v>
      </c>
      <c r="G3790" t="s">
        <v>5104</v>
      </c>
      <c r="H3790" s="21">
        <v>1268.67</v>
      </c>
    </row>
    <row r="3791" spans="1:8" customFormat="1" x14ac:dyDescent="0.25">
      <c r="A3791" t="str">
        <f>"013554"</f>
        <v>013554</v>
      </c>
      <c r="B3791" t="s">
        <v>4754</v>
      </c>
      <c r="C3791" t="s">
        <v>130</v>
      </c>
      <c r="D3791" s="21" t="s">
        <v>34</v>
      </c>
      <c r="E3791" s="21" t="s">
        <v>254</v>
      </c>
      <c r="F3791">
        <v>1010068</v>
      </c>
      <c r="G3791" t="s">
        <v>4755</v>
      </c>
      <c r="H3791" s="21">
        <v>1268.67</v>
      </c>
    </row>
    <row r="3792" spans="1:8" customFormat="1" x14ac:dyDescent="0.25">
      <c r="A3792" t="str">
        <f>"2922269"</f>
        <v>2922269</v>
      </c>
      <c r="B3792" t="s">
        <v>5968</v>
      </c>
      <c r="C3792" t="s">
        <v>60</v>
      </c>
      <c r="D3792" s="21" t="s">
        <v>34</v>
      </c>
      <c r="E3792" s="21" t="s">
        <v>35</v>
      </c>
      <c r="F3792">
        <v>9140012</v>
      </c>
      <c r="G3792" t="s">
        <v>26518</v>
      </c>
      <c r="H3792" s="21">
        <v>1268.67</v>
      </c>
    </row>
    <row r="3793" spans="1:8" customFormat="1" x14ac:dyDescent="0.25">
      <c r="A3793" t="str">
        <f>"59532"</f>
        <v>59532</v>
      </c>
      <c r="B3793" t="s">
        <v>6262</v>
      </c>
      <c r="C3793" t="s">
        <v>6263</v>
      </c>
      <c r="D3793" s="21" t="s">
        <v>34</v>
      </c>
      <c r="E3793" s="21" t="s">
        <v>71</v>
      </c>
      <c r="F3793">
        <v>7590020</v>
      </c>
      <c r="G3793" t="s">
        <v>5181</v>
      </c>
      <c r="H3793" s="21">
        <v>1268.67</v>
      </c>
    </row>
    <row r="3794" spans="1:8" customFormat="1" x14ac:dyDescent="0.25">
      <c r="A3794" t="str">
        <f>"696189"</f>
        <v>696189</v>
      </c>
      <c r="B3794" t="s">
        <v>3146</v>
      </c>
      <c r="C3794" t="s">
        <v>60</v>
      </c>
      <c r="D3794" s="21" t="s">
        <v>34</v>
      </c>
      <c r="E3794" s="21" t="s">
        <v>35</v>
      </c>
      <c r="F3794">
        <v>1380256</v>
      </c>
      <c r="G3794" t="s">
        <v>6946</v>
      </c>
      <c r="H3794" s="21">
        <v>1268.67</v>
      </c>
    </row>
    <row r="3795" spans="1:8" customFormat="1" x14ac:dyDescent="0.25">
      <c r="A3795" t="str">
        <f>"903598"</f>
        <v>903598</v>
      </c>
      <c r="B3795" t="s">
        <v>4634</v>
      </c>
      <c r="C3795" t="s">
        <v>267</v>
      </c>
      <c r="D3795" s="21" t="s">
        <v>34</v>
      </c>
      <c r="E3795" s="21" t="s">
        <v>71</v>
      </c>
      <c r="F3795">
        <v>2900041</v>
      </c>
      <c r="G3795" t="s">
        <v>4635</v>
      </c>
      <c r="H3795" s="21">
        <v>1268.67</v>
      </c>
    </row>
    <row r="3796" spans="1:8" customFormat="1" x14ac:dyDescent="0.25">
      <c r="A3796" t="str">
        <f>"857551"</f>
        <v>857551</v>
      </c>
      <c r="B3796" t="s">
        <v>26811</v>
      </c>
      <c r="C3796" t="s">
        <v>275</v>
      </c>
      <c r="D3796" s="21" t="s">
        <v>34</v>
      </c>
      <c r="E3796" s="21" t="s">
        <v>35</v>
      </c>
      <c r="F3796">
        <v>12850016</v>
      </c>
      <c r="G3796" t="s">
        <v>26554</v>
      </c>
      <c r="H3796" s="21">
        <v>1268.67</v>
      </c>
    </row>
    <row r="3797" spans="1:8" customFormat="1" x14ac:dyDescent="0.25">
      <c r="A3797" t="str">
        <f>"417676"</f>
        <v>417676</v>
      </c>
      <c r="B3797" t="s">
        <v>4597</v>
      </c>
      <c r="C3797" t="s">
        <v>825</v>
      </c>
      <c r="D3797" s="21" t="s">
        <v>34</v>
      </c>
      <c r="E3797" s="21" t="s">
        <v>254</v>
      </c>
      <c r="F3797">
        <v>4410080</v>
      </c>
      <c r="G3797" t="s">
        <v>135</v>
      </c>
      <c r="H3797" s="21">
        <v>1268.42</v>
      </c>
    </row>
    <row r="3798" spans="1:8" customFormat="1" x14ac:dyDescent="0.25">
      <c r="A3798" t="str">
        <f>"7621884"</f>
        <v>7621884</v>
      </c>
      <c r="B3798" t="s">
        <v>4103</v>
      </c>
      <c r="C3798" t="s">
        <v>60</v>
      </c>
      <c r="D3798" s="21" t="s">
        <v>34</v>
      </c>
      <c r="E3798" s="21" t="s">
        <v>71</v>
      </c>
      <c r="F3798">
        <v>9760034</v>
      </c>
      <c r="G3798" t="s">
        <v>1242</v>
      </c>
      <c r="H3798" s="21">
        <v>1268.17</v>
      </c>
    </row>
    <row r="3799" spans="1:8" customFormat="1" x14ac:dyDescent="0.25">
      <c r="A3799" t="str">
        <f>"5713012"</f>
        <v>5713012</v>
      </c>
      <c r="B3799" t="s">
        <v>4220</v>
      </c>
      <c r="C3799" t="s">
        <v>65</v>
      </c>
      <c r="D3799" s="21" t="s">
        <v>34</v>
      </c>
      <c r="E3799" s="21" t="s">
        <v>35</v>
      </c>
      <c r="F3799">
        <v>6570070</v>
      </c>
      <c r="G3799" t="s">
        <v>1765</v>
      </c>
      <c r="H3799" s="21">
        <v>1268.17</v>
      </c>
    </row>
    <row r="3800" spans="1:8" customFormat="1" x14ac:dyDescent="0.25">
      <c r="A3800" t="str">
        <f>"442294"</f>
        <v>442294</v>
      </c>
      <c r="B3800" t="s">
        <v>4786</v>
      </c>
      <c r="C3800" t="s">
        <v>3415</v>
      </c>
      <c r="D3800" s="21" t="s">
        <v>34</v>
      </c>
      <c r="E3800" s="21" t="s">
        <v>254</v>
      </c>
      <c r="F3800">
        <v>12440075</v>
      </c>
      <c r="G3800" t="s">
        <v>1437</v>
      </c>
      <c r="H3800" s="21">
        <v>1268.17</v>
      </c>
    </row>
    <row r="3801" spans="1:8" customFormat="1" x14ac:dyDescent="0.25">
      <c r="A3801" t="str">
        <f>"03471"</f>
        <v>03471</v>
      </c>
      <c r="B3801" t="s">
        <v>4363</v>
      </c>
      <c r="C3801" t="s">
        <v>187</v>
      </c>
      <c r="D3801" s="21" t="s">
        <v>34</v>
      </c>
      <c r="E3801" s="21" t="s">
        <v>35</v>
      </c>
      <c r="F3801">
        <v>1630059</v>
      </c>
      <c r="G3801" t="s">
        <v>2486</v>
      </c>
      <c r="H3801" s="21">
        <v>1268.17</v>
      </c>
    </row>
    <row r="3802" spans="1:8" customFormat="1" x14ac:dyDescent="0.25">
      <c r="A3802" t="str">
        <f>"4922768"</f>
        <v>4922768</v>
      </c>
      <c r="B3802" t="s">
        <v>26812</v>
      </c>
      <c r="C3802" t="s">
        <v>169</v>
      </c>
      <c r="D3802" s="21" t="s">
        <v>34</v>
      </c>
      <c r="E3802" s="21" t="s">
        <v>35</v>
      </c>
      <c r="F3802">
        <v>12490059</v>
      </c>
      <c r="G3802" t="s">
        <v>5063</v>
      </c>
      <c r="H3802" s="21">
        <v>1267.92</v>
      </c>
    </row>
    <row r="3803" spans="1:8" customFormat="1" x14ac:dyDescent="0.25">
      <c r="A3803" t="str">
        <f>"547546"</f>
        <v>547546</v>
      </c>
      <c r="B3803" t="s">
        <v>5207</v>
      </c>
      <c r="C3803" t="s">
        <v>49</v>
      </c>
      <c r="D3803" s="21" t="s">
        <v>34</v>
      </c>
      <c r="E3803" s="21" t="s">
        <v>35</v>
      </c>
      <c r="F3803">
        <v>6540088</v>
      </c>
      <c r="G3803" t="s">
        <v>2108</v>
      </c>
      <c r="H3803" s="21">
        <v>1267.92</v>
      </c>
    </row>
    <row r="3804" spans="1:8" customFormat="1" x14ac:dyDescent="0.25">
      <c r="A3804" t="str">
        <f>"3110319"</f>
        <v>3110319</v>
      </c>
      <c r="B3804" t="s">
        <v>5070</v>
      </c>
      <c r="C3804" t="s">
        <v>151</v>
      </c>
      <c r="D3804" s="21" t="s">
        <v>34</v>
      </c>
      <c r="E3804" s="21" t="s">
        <v>71</v>
      </c>
      <c r="F3804">
        <v>11310123</v>
      </c>
      <c r="G3804" t="s">
        <v>3915</v>
      </c>
      <c r="H3804" s="21">
        <v>1267.81</v>
      </c>
    </row>
    <row r="3805" spans="1:8" customFormat="1" x14ac:dyDescent="0.25">
      <c r="A3805" t="str">
        <f>"94870"</f>
        <v>94870</v>
      </c>
      <c r="B3805" t="s">
        <v>3685</v>
      </c>
      <c r="C3805" t="s">
        <v>462</v>
      </c>
      <c r="D3805" s="21" t="s">
        <v>34</v>
      </c>
      <c r="E3805" s="21" t="s">
        <v>35</v>
      </c>
      <c r="F3805">
        <v>8940482</v>
      </c>
      <c r="G3805" t="s">
        <v>2560</v>
      </c>
      <c r="H3805" s="21">
        <v>1267.8</v>
      </c>
    </row>
    <row r="3806" spans="1:8" customFormat="1" x14ac:dyDescent="0.25">
      <c r="A3806" t="str">
        <f>"5952833"</f>
        <v>5952833</v>
      </c>
      <c r="B3806" t="s">
        <v>4309</v>
      </c>
      <c r="C3806" t="s">
        <v>206</v>
      </c>
      <c r="D3806" s="21" t="s">
        <v>34</v>
      </c>
      <c r="E3806" s="21" t="s">
        <v>35</v>
      </c>
      <c r="F3806">
        <v>7590014</v>
      </c>
      <c r="G3806" t="s">
        <v>1326</v>
      </c>
      <c r="H3806" s="21">
        <v>1267.8</v>
      </c>
    </row>
    <row r="3807" spans="1:8" customFormat="1" x14ac:dyDescent="0.25">
      <c r="A3807" t="str">
        <f>"5411475"</f>
        <v>5411475</v>
      </c>
      <c r="B3807" t="s">
        <v>3200</v>
      </c>
      <c r="C3807" t="s">
        <v>119</v>
      </c>
      <c r="D3807" s="21" t="s">
        <v>34</v>
      </c>
      <c r="E3807" s="21" t="s">
        <v>71</v>
      </c>
      <c r="F3807">
        <v>6540028</v>
      </c>
      <c r="G3807" t="s">
        <v>3201</v>
      </c>
      <c r="H3807" s="21">
        <v>1267.68</v>
      </c>
    </row>
    <row r="3808" spans="1:8" customFormat="1" x14ac:dyDescent="0.25">
      <c r="A3808" t="str">
        <f>"9413018"</f>
        <v>9413018</v>
      </c>
      <c r="B3808" t="s">
        <v>4191</v>
      </c>
      <c r="C3808" t="s">
        <v>3309</v>
      </c>
      <c r="D3808" s="21" t="s">
        <v>34</v>
      </c>
      <c r="E3808" s="21" t="s">
        <v>35</v>
      </c>
      <c r="F3808">
        <v>9270089</v>
      </c>
      <c r="G3808" t="s">
        <v>1009</v>
      </c>
      <c r="H3808" s="21">
        <v>1267.67</v>
      </c>
    </row>
    <row r="3809" spans="1:8" customFormat="1" x14ac:dyDescent="0.25">
      <c r="A3809" t="str">
        <f>"3522747"</f>
        <v>3522747</v>
      </c>
      <c r="B3809" t="s">
        <v>5708</v>
      </c>
      <c r="C3809" t="s">
        <v>33</v>
      </c>
      <c r="D3809" s="21" t="s">
        <v>34</v>
      </c>
      <c r="E3809" s="21" t="s">
        <v>35</v>
      </c>
      <c r="F3809">
        <v>3350048</v>
      </c>
      <c r="G3809" t="s">
        <v>2303</v>
      </c>
      <c r="H3809" s="21">
        <v>1267.67</v>
      </c>
    </row>
    <row r="3810" spans="1:8" customFormat="1" x14ac:dyDescent="0.25">
      <c r="A3810" t="str">
        <f>"795962"</f>
        <v>795962</v>
      </c>
      <c r="B3810" t="s">
        <v>4180</v>
      </c>
      <c r="C3810" t="s">
        <v>305</v>
      </c>
      <c r="D3810" s="21" t="s">
        <v>34</v>
      </c>
      <c r="E3810" s="21" t="s">
        <v>35</v>
      </c>
      <c r="F3810">
        <v>10790042</v>
      </c>
      <c r="G3810" t="s">
        <v>2092</v>
      </c>
      <c r="H3810" s="21">
        <v>1267.67</v>
      </c>
    </row>
    <row r="3811" spans="1:8" customFormat="1" x14ac:dyDescent="0.25">
      <c r="A3811" t="str">
        <f>"54249"</f>
        <v>54249</v>
      </c>
      <c r="B3811" t="s">
        <v>5137</v>
      </c>
      <c r="C3811" t="s">
        <v>598</v>
      </c>
      <c r="D3811" s="21" t="s">
        <v>34</v>
      </c>
      <c r="E3811" s="21" t="s">
        <v>1089</v>
      </c>
      <c r="F3811">
        <v>6540014</v>
      </c>
      <c r="G3811" t="s">
        <v>1483</v>
      </c>
      <c r="H3811" s="21">
        <v>1267.67</v>
      </c>
    </row>
    <row r="3812" spans="1:8" customFormat="1" x14ac:dyDescent="0.25">
      <c r="A3812" t="str">
        <f>"607706"</f>
        <v>607706</v>
      </c>
      <c r="B3812" t="s">
        <v>4667</v>
      </c>
      <c r="C3812" t="s">
        <v>40</v>
      </c>
      <c r="D3812" s="21" t="s">
        <v>34</v>
      </c>
      <c r="E3812" s="21" t="s">
        <v>71</v>
      </c>
      <c r="F3812">
        <v>7600126</v>
      </c>
      <c r="G3812" t="s">
        <v>2516</v>
      </c>
      <c r="H3812" s="21">
        <v>1267.67</v>
      </c>
    </row>
    <row r="3813" spans="1:8" customFormat="1" x14ac:dyDescent="0.25">
      <c r="A3813" t="str">
        <f>"452174"</f>
        <v>452174</v>
      </c>
      <c r="B3813" t="s">
        <v>4733</v>
      </c>
      <c r="C3813" t="s">
        <v>204</v>
      </c>
      <c r="D3813" s="21" t="s">
        <v>34</v>
      </c>
      <c r="E3813" s="21" t="s">
        <v>71</v>
      </c>
      <c r="F3813">
        <v>4450663</v>
      </c>
      <c r="G3813" t="s">
        <v>2527</v>
      </c>
      <c r="H3813" s="21">
        <v>1267.67</v>
      </c>
    </row>
    <row r="3814" spans="1:8" customFormat="1" x14ac:dyDescent="0.25">
      <c r="A3814" t="str">
        <f>"3331024"</f>
        <v>3331024</v>
      </c>
      <c r="B3814" t="s">
        <v>5017</v>
      </c>
      <c r="C3814" t="s">
        <v>455</v>
      </c>
      <c r="D3814" s="21" t="s">
        <v>34</v>
      </c>
      <c r="E3814" s="21" t="s">
        <v>71</v>
      </c>
      <c r="F3814">
        <v>10330010</v>
      </c>
      <c r="G3814" t="s">
        <v>2831</v>
      </c>
      <c r="H3814" s="21">
        <v>1267.56</v>
      </c>
    </row>
    <row r="3815" spans="1:8" customFormat="1" x14ac:dyDescent="0.25">
      <c r="A3815" t="str">
        <f>"7512372"</f>
        <v>7512372</v>
      </c>
      <c r="B3815" t="s">
        <v>4925</v>
      </c>
      <c r="C3815" t="s">
        <v>33</v>
      </c>
      <c r="D3815" s="21" t="s">
        <v>34</v>
      </c>
      <c r="E3815" s="21" t="s">
        <v>35</v>
      </c>
      <c r="F3815">
        <v>8751124</v>
      </c>
      <c r="G3815" t="s">
        <v>1481</v>
      </c>
      <c r="H3815" s="21">
        <v>1267.43</v>
      </c>
    </row>
    <row r="3816" spans="1:8" customFormat="1" x14ac:dyDescent="0.25">
      <c r="A3816" t="str">
        <f>"4922957"</f>
        <v>4922957</v>
      </c>
      <c r="B3816" t="s">
        <v>3367</v>
      </c>
      <c r="C3816" t="s">
        <v>1803</v>
      </c>
      <c r="D3816" s="21" t="s">
        <v>34</v>
      </c>
      <c r="E3816" s="21" t="s">
        <v>35</v>
      </c>
      <c r="F3816">
        <v>12490021</v>
      </c>
      <c r="G3816" t="s">
        <v>4592</v>
      </c>
      <c r="H3816" s="21">
        <v>1267.42</v>
      </c>
    </row>
    <row r="3817" spans="1:8" customFormat="1" x14ac:dyDescent="0.25">
      <c r="A3817" t="str">
        <f>"343075"</f>
        <v>343075</v>
      </c>
      <c r="B3817" t="s">
        <v>4784</v>
      </c>
      <c r="C3817" t="s">
        <v>33</v>
      </c>
      <c r="D3817" s="21" t="s">
        <v>34</v>
      </c>
      <c r="E3817" s="21" t="s">
        <v>35</v>
      </c>
      <c r="F3817">
        <v>11340072</v>
      </c>
      <c r="G3817" t="s">
        <v>4785</v>
      </c>
      <c r="H3817" s="21">
        <v>1267.42</v>
      </c>
    </row>
    <row r="3818" spans="1:8" customFormat="1" x14ac:dyDescent="0.25">
      <c r="A3818" t="str">
        <f>"217561"</f>
        <v>217561</v>
      </c>
      <c r="B3818" t="s">
        <v>3446</v>
      </c>
      <c r="C3818" t="s">
        <v>236</v>
      </c>
      <c r="D3818" s="21" t="s">
        <v>34</v>
      </c>
      <c r="E3818" s="21" t="s">
        <v>71</v>
      </c>
      <c r="F3818">
        <v>2210127</v>
      </c>
      <c r="G3818" t="s">
        <v>3447</v>
      </c>
      <c r="H3818" s="21">
        <v>1267.18</v>
      </c>
    </row>
    <row r="3819" spans="1:8" customFormat="1" x14ac:dyDescent="0.25">
      <c r="A3819" t="str">
        <f>"031027"</f>
        <v>031027</v>
      </c>
      <c r="B3819" t="s">
        <v>4980</v>
      </c>
      <c r="C3819" t="s">
        <v>156</v>
      </c>
      <c r="D3819" s="21" t="s">
        <v>34</v>
      </c>
      <c r="E3819" s="21" t="s">
        <v>254</v>
      </c>
      <c r="F3819">
        <v>1030308</v>
      </c>
      <c r="G3819" t="s">
        <v>1485</v>
      </c>
      <c r="H3819" s="21">
        <v>1267.17</v>
      </c>
    </row>
    <row r="3820" spans="1:8" customFormat="1" x14ac:dyDescent="0.25">
      <c r="A3820" t="str">
        <f>"696958"</f>
        <v>696958</v>
      </c>
      <c r="B3820" t="s">
        <v>5688</v>
      </c>
      <c r="C3820" t="s">
        <v>43</v>
      </c>
      <c r="D3820" s="21" t="s">
        <v>34</v>
      </c>
      <c r="E3820" s="21" t="s">
        <v>35</v>
      </c>
      <c r="F3820">
        <v>1690123</v>
      </c>
      <c r="G3820" t="s">
        <v>5156</v>
      </c>
      <c r="H3820" s="21">
        <v>1267.17</v>
      </c>
    </row>
    <row r="3821" spans="1:8" customFormat="1" x14ac:dyDescent="0.25">
      <c r="A3821" t="str">
        <f>"5923930"</f>
        <v>5923930</v>
      </c>
      <c r="B3821" t="s">
        <v>4560</v>
      </c>
      <c r="C3821" t="s">
        <v>2752</v>
      </c>
      <c r="D3821" s="21" t="s">
        <v>34</v>
      </c>
      <c r="E3821" s="21" t="s">
        <v>71</v>
      </c>
      <c r="F3821">
        <v>7590040</v>
      </c>
      <c r="G3821" t="s">
        <v>104</v>
      </c>
      <c r="H3821" s="21">
        <v>1267</v>
      </c>
    </row>
    <row r="3822" spans="1:8" customFormat="1" x14ac:dyDescent="0.25">
      <c r="A3822" t="str">
        <f>"9116720"</f>
        <v>9116720</v>
      </c>
      <c r="B3822" t="s">
        <v>4197</v>
      </c>
      <c r="C3822" t="s">
        <v>43</v>
      </c>
      <c r="D3822" s="21" t="s">
        <v>34</v>
      </c>
      <c r="E3822" s="21" t="s">
        <v>35</v>
      </c>
      <c r="F3822">
        <v>8911021</v>
      </c>
      <c r="G3822" t="s">
        <v>4198</v>
      </c>
      <c r="H3822" s="21">
        <v>1266.92</v>
      </c>
    </row>
    <row r="3823" spans="1:8" customFormat="1" x14ac:dyDescent="0.25">
      <c r="A3823" t="str">
        <f>"517346"</f>
        <v>517346</v>
      </c>
      <c r="B3823" t="s">
        <v>4944</v>
      </c>
      <c r="C3823" t="s">
        <v>4945</v>
      </c>
      <c r="D3823" s="21" t="s">
        <v>34</v>
      </c>
      <c r="E3823" s="21" t="s">
        <v>35</v>
      </c>
      <c r="F3823">
        <v>6510036</v>
      </c>
      <c r="G3823" t="s">
        <v>2902</v>
      </c>
      <c r="H3823" s="21">
        <v>1266.92</v>
      </c>
    </row>
    <row r="3824" spans="1:8" customFormat="1" x14ac:dyDescent="0.25">
      <c r="A3824" t="str">
        <f>"6932270"</f>
        <v>6932270</v>
      </c>
      <c r="B3824" t="s">
        <v>6293</v>
      </c>
      <c r="C3824" t="s">
        <v>233</v>
      </c>
      <c r="D3824" s="21" t="s">
        <v>34</v>
      </c>
      <c r="E3824" s="21" t="s">
        <v>35</v>
      </c>
      <c r="F3824">
        <v>1690030</v>
      </c>
      <c r="G3824" t="s">
        <v>432</v>
      </c>
      <c r="H3824" s="21">
        <v>1266.67</v>
      </c>
    </row>
    <row r="3825" spans="1:8" customFormat="1" x14ac:dyDescent="0.25">
      <c r="A3825" t="str">
        <f>"5970686"</f>
        <v>5970686</v>
      </c>
      <c r="B3825" t="s">
        <v>26813</v>
      </c>
      <c r="C3825" t="s">
        <v>1782</v>
      </c>
      <c r="D3825" s="21" t="s">
        <v>34</v>
      </c>
      <c r="E3825" s="21" t="s">
        <v>35</v>
      </c>
      <c r="F3825">
        <v>7590040</v>
      </c>
      <c r="G3825" t="s">
        <v>104</v>
      </c>
      <c r="H3825" s="21">
        <v>1266.67</v>
      </c>
    </row>
    <row r="3826" spans="1:8" customFormat="1" x14ac:dyDescent="0.25">
      <c r="A3826" t="str">
        <f>"25153"</f>
        <v>25153</v>
      </c>
      <c r="B3826" t="s">
        <v>4478</v>
      </c>
      <c r="C3826" t="s">
        <v>198</v>
      </c>
      <c r="D3826" s="21" t="s">
        <v>34</v>
      </c>
      <c r="E3826" s="21" t="s">
        <v>254</v>
      </c>
      <c r="F3826">
        <v>2250007</v>
      </c>
      <c r="G3826" t="s">
        <v>1137</v>
      </c>
      <c r="H3826" s="21">
        <v>1266.67</v>
      </c>
    </row>
    <row r="3827" spans="1:8" customFormat="1" x14ac:dyDescent="0.25">
      <c r="A3827" t="str">
        <f>"5954166"</f>
        <v>5954166</v>
      </c>
      <c r="B3827" t="s">
        <v>4550</v>
      </c>
      <c r="C3827" t="s">
        <v>2520</v>
      </c>
      <c r="D3827" s="21" t="s">
        <v>34</v>
      </c>
      <c r="E3827" s="21" t="s">
        <v>254</v>
      </c>
      <c r="F3827">
        <v>7590080</v>
      </c>
      <c r="G3827" t="s">
        <v>1715</v>
      </c>
      <c r="H3827" s="21">
        <v>1266.67</v>
      </c>
    </row>
    <row r="3828" spans="1:8" customFormat="1" x14ac:dyDescent="0.25">
      <c r="A3828" t="str">
        <f>"5611660"</f>
        <v>5611660</v>
      </c>
      <c r="B3828" t="s">
        <v>5972</v>
      </c>
      <c r="C3828" t="s">
        <v>156</v>
      </c>
      <c r="D3828" s="21" t="s">
        <v>34</v>
      </c>
      <c r="E3828" s="21" t="s">
        <v>71</v>
      </c>
      <c r="F3828">
        <v>3560053</v>
      </c>
      <c r="G3828" t="s">
        <v>298</v>
      </c>
      <c r="H3828" s="21">
        <v>1266.67</v>
      </c>
    </row>
    <row r="3829" spans="1:8" customFormat="1" x14ac:dyDescent="0.25">
      <c r="A3829" t="str">
        <f>"771883"</f>
        <v>771883</v>
      </c>
      <c r="B3829" t="s">
        <v>4446</v>
      </c>
      <c r="C3829" t="s">
        <v>1119</v>
      </c>
      <c r="D3829" s="21" t="s">
        <v>34</v>
      </c>
      <c r="E3829" s="21" t="s">
        <v>35</v>
      </c>
      <c r="F3829">
        <v>8771029</v>
      </c>
      <c r="G3829" t="s">
        <v>4447</v>
      </c>
      <c r="H3829" s="21">
        <v>1266.67</v>
      </c>
    </row>
    <row r="3830" spans="1:8" customFormat="1" x14ac:dyDescent="0.25">
      <c r="A3830" t="str">
        <f>"2211073"</f>
        <v>2211073</v>
      </c>
      <c r="B3830" t="s">
        <v>21243</v>
      </c>
      <c r="C3830" t="s">
        <v>269</v>
      </c>
      <c r="D3830" s="21" t="s">
        <v>34</v>
      </c>
      <c r="E3830" s="21" t="s">
        <v>35</v>
      </c>
      <c r="F3830">
        <v>3220002</v>
      </c>
      <c r="G3830" t="s">
        <v>26727</v>
      </c>
      <c r="H3830" s="21">
        <v>1266.67</v>
      </c>
    </row>
    <row r="3831" spans="1:8" customFormat="1" x14ac:dyDescent="0.25">
      <c r="A3831" t="str">
        <f>"216891"</f>
        <v>216891</v>
      </c>
      <c r="B3831" t="s">
        <v>4367</v>
      </c>
      <c r="C3831" t="s">
        <v>127</v>
      </c>
      <c r="D3831" s="21" t="s">
        <v>34</v>
      </c>
      <c r="E3831" s="21" t="s">
        <v>35</v>
      </c>
      <c r="F3831">
        <v>4370656</v>
      </c>
      <c r="G3831" t="s">
        <v>1127</v>
      </c>
      <c r="H3831" s="21">
        <v>1266.67</v>
      </c>
    </row>
    <row r="3832" spans="1:8" customFormat="1" x14ac:dyDescent="0.25">
      <c r="A3832" t="str">
        <f>"081488"</f>
        <v>081488</v>
      </c>
      <c r="B3832" t="s">
        <v>4704</v>
      </c>
      <c r="C3832" t="s">
        <v>1914</v>
      </c>
      <c r="D3832" s="21" t="s">
        <v>34</v>
      </c>
      <c r="E3832" s="21" t="s">
        <v>254</v>
      </c>
      <c r="F3832">
        <v>6080035</v>
      </c>
      <c r="G3832" t="s">
        <v>583</v>
      </c>
      <c r="H3832" s="21">
        <v>1266.67</v>
      </c>
    </row>
    <row r="3833" spans="1:8" customFormat="1" x14ac:dyDescent="0.25">
      <c r="A3833" t="str">
        <f>"3411135"</f>
        <v>3411135</v>
      </c>
      <c r="B3833" t="s">
        <v>5685</v>
      </c>
      <c r="C3833" t="s">
        <v>2479</v>
      </c>
      <c r="D3833" s="21" t="s">
        <v>34</v>
      </c>
      <c r="E3833" s="21" t="s">
        <v>254</v>
      </c>
      <c r="F3833">
        <v>11340014</v>
      </c>
      <c r="G3833" t="s">
        <v>1455</v>
      </c>
      <c r="H3833" s="21">
        <v>1266.67</v>
      </c>
    </row>
    <row r="3834" spans="1:8" customFormat="1" x14ac:dyDescent="0.25">
      <c r="A3834" t="str">
        <f>"49652"</f>
        <v>49652</v>
      </c>
      <c r="B3834" t="s">
        <v>4433</v>
      </c>
      <c r="C3834" t="s">
        <v>82</v>
      </c>
      <c r="D3834" s="21" t="s">
        <v>34</v>
      </c>
      <c r="E3834" s="21" t="s">
        <v>35</v>
      </c>
      <c r="F3834">
        <v>12490029</v>
      </c>
      <c r="G3834" t="s">
        <v>3485</v>
      </c>
      <c r="H3834" s="21">
        <v>1266.67</v>
      </c>
    </row>
    <row r="3835" spans="1:8" customFormat="1" x14ac:dyDescent="0.25">
      <c r="A3835" t="str">
        <f>"5929558"</f>
        <v>5929558</v>
      </c>
      <c r="B3835" t="s">
        <v>4798</v>
      </c>
      <c r="C3835" t="s">
        <v>288</v>
      </c>
      <c r="D3835" s="21" t="s">
        <v>34</v>
      </c>
      <c r="E3835" s="21" t="s">
        <v>71</v>
      </c>
      <c r="F3835">
        <v>13840037</v>
      </c>
      <c r="G3835" t="s">
        <v>2019</v>
      </c>
      <c r="H3835" s="21">
        <v>1266.67</v>
      </c>
    </row>
    <row r="3836" spans="1:8" customFormat="1" x14ac:dyDescent="0.25">
      <c r="A3836" t="str">
        <f>"807237"</f>
        <v>807237</v>
      </c>
      <c r="B3836" t="s">
        <v>4495</v>
      </c>
      <c r="C3836" t="s">
        <v>169</v>
      </c>
      <c r="D3836" s="21" t="s">
        <v>34</v>
      </c>
      <c r="E3836" s="21" t="s">
        <v>35</v>
      </c>
      <c r="F3836">
        <v>7800064</v>
      </c>
      <c r="G3836" t="s">
        <v>4496</v>
      </c>
      <c r="H3836" s="21">
        <v>1266.67</v>
      </c>
    </row>
    <row r="3837" spans="1:8" customFormat="1" x14ac:dyDescent="0.25">
      <c r="A3837" t="str">
        <f>"545106"</f>
        <v>545106</v>
      </c>
      <c r="B3837" t="s">
        <v>4791</v>
      </c>
      <c r="C3837" t="s">
        <v>1946</v>
      </c>
      <c r="D3837" s="21" t="s">
        <v>34</v>
      </c>
      <c r="E3837" s="21" t="s">
        <v>35</v>
      </c>
      <c r="F3837">
        <v>6540014</v>
      </c>
      <c r="G3837" t="s">
        <v>1483</v>
      </c>
      <c r="H3837" s="21">
        <v>1266.67</v>
      </c>
    </row>
    <row r="3838" spans="1:8" customFormat="1" x14ac:dyDescent="0.25">
      <c r="A3838" t="str">
        <f>"6215886"</f>
        <v>6215886</v>
      </c>
      <c r="B3838" t="s">
        <v>26814</v>
      </c>
      <c r="C3838" t="s">
        <v>3522</v>
      </c>
      <c r="D3838" s="21" t="s">
        <v>34</v>
      </c>
      <c r="E3838" s="21" t="s">
        <v>71</v>
      </c>
      <c r="F3838">
        <v>7620181</v>
      </c>
      <c r="G3838" t="s">
        <v>2268</v>
      </c>
      <c r="H3838" s="21">
        <v>1266.67</v>
      </c>
    </row>
    <row r="3839" spans="1:8" customFormat="1" x14ac:dyDescent="0.25">
      <c r="A3839" t="str">
        <f>"596830"</f>
        <v>596830</v>
      </c>
      <c r="B3839" t="s">
        <v>4071</v>
      </c>
      <c r="C3839" t="s">
        <v>40</v>
      </c>
      <c r="D3839" s="21" t="s">
        <v>34</v>
      </c>
      <c r="E3839" s="21" t="s">
        <v>71</v>
      </c>
      <c r="F3839">
        <v>7590127</v>
      </c>
      <c r="G3839" t="s">
        <v>214</v>
      </c>
      <c r="H3839" s="21">
        <v>1266.56</v>
      </c>
    </row>
    <row r="3840" spans="1:8" customFormat="1" x14ac:dyDescent="0.25">
      <c r="A3840" t="str">
        <f>"186208"</f>
        <v>186208</v>
      </c>
      <c r="B3840" t="s">
        <v>7381</v>
      </c>
      <c r="C3840" t="s">
        <v>87</v>
      </c>
      <c r="D3840" s="21" t="s">
        <v>34</v>
      </c>
      <c r="E3840" s="21" t="s">
        <v>71</v>
      </c>
      <c r="F3840">
        <v>4360454</v>
      </c>
      <c r="G3840" t="s">
        <v>637</v>
      </c>
      <c r="H3840" s="21">
        <v>1266.18</v>
      </c>
    </row>
    <row r="3841" spans="1:8" customFormat="1" x14ac:dyDescent="0.25">
      <c r="A3841" t="str">
        <f>"257050"</f>
        <v>257050</v>
      </c>
      <c r="B3841" t="s">
        <v>1349</v>
      </c>
      <c r="C3841" t="s">
        <v>130</v>
      </c>
      <c r="D3841" s="21" t="s">
        <v>34</v>
      </c>
      <c r="E3841" s="21" t="s">
        <v>71</v>
      </c>
      <c r="F3841">
        <v>2250052</v>
      </c>
      <c r="G3841" t="s">
        <v>5443</v>
      </c>
      <c r="H3841" s="21">
        <v>1266.17</v>
      </c>
    </row>
    <row r="3842" spans="1:8" customFormat="1" x14ac:dyDescent="0.25">
      <c r="A3842" t="str">
        <f>"393567"</f>
        <v>393567</v>
      </c>
      <c r="B3842" t="s">
        <v>3997</v>
      </c>
      <c r="C3842" t="s">
        <v>817</v>
      </c>
      <c r="D3842" s="21" t="s">
        <v>34</v>
      </c>
      <c r="E3842" s="21" t="s">
        <v>35</v>
      </c>
      <c r="F3842">
        <v>2390095</v>
      </c>
      <c r="G3842" t="s">
        <v>2676</v>
      </c>
      <c r="H3842" s="21">
        <v>1266.17</v>
      </c>
    </row>
    <row r="3843" spans="1:8" customFormat="1" x14ac:dyDescent="0.25">
      <c r="A3843" t="str">
        <f>"632572"</f>
        <v>632572</v>
      </c>
      <c r="B3843" t="s">
        <v>4518</v>
      </c>
      <c r="C3843" t="s">
        <v>1829</v>
      </c>
      <c r="D3843" s="21" t="s">
        <v>34</v>
      </c>
      <c r="E3843" s="21" t="s">
        <v>71</v>
      </c>
      <c r="F3843">
        <v>1630241</v>
      </c>
      <c r="G3843" t="s">
        <v>4519</v>
      </c>
      <c r="H3843" s="21">
        <v>1266.17</v>
      </c>
    </row>
    <row r="3844" spans="1:8" customFormat="1" x14ac:dyDescent="0.25">
      <c r="A3844" t="str">
        <f>"761547"</f>
        <v>761547</v>
      </c>
      <c r="B3844" t="s">
        <v>4227</v>
      </c>
      <c r="C3844" t="s">
        <v>233</v>
      </c>
      <c r="D3844" s="21" t="s">
        <v>34</v>
      </c>
      <c r="E3844" s="21" t="s">
        <v>71</v>
      </c>
      <c r="F3844">
        <v>9760107</v>
      </c>
      <c r="G3844" t="s">
        <v>122</v>
      </c>
      <c r="H3844" s="21">
        <v>1266.17</v>
      </c>
    </row>
    <row r="3845" spans="1:8" customFormat="1" x14ac:dyDescent="0.25">
      <c r="A3845" t="str">
        <f>"11447"</f>
        <v>11447</v>
      </c>
      <c r="B3845" t="s">
        <v>4753</v>
      </c>
      <c r="C3845" t="s">
        <v>1146</v>
      </c>
      <c r="D3845" s="21" t="s">
        <v>34</v>
      </c>
      <c r="E3845" s="21" t="s">
        <v>71</v>
      </c>
      <c r="F3845">
        <v>11110013</v>
      </c>
      <c r="G3845" t="s">
        <v>640</v>
      </c>
      <c r="H3845" s="21">
        <v>1265.67</v>
      </c>
    </row>
    <row r="3846" spans="1:8" customFormat="1" x14ac:dyDescent="0.25">
      <c r="A3846" t="str">
        <f>"3530865"</f>
        <v>3530865</v>
      </c>
      <c r="B3846" t="s">
        <v>5665</v>
      </c>
      <c r="C3846" t="s">
        <v>500</v>
      </c>
      <c r="D3846" s="21" t="s">
        <v>34</v>
      </c>
      <c r="E3846" s="21" t="s">
        <v>35</v>
      </c>
      <c r="F3846">
        <v>3350060</v>
      </c>
      <c r="G3846" t="s">
        <v>38</v>
      </c>
      <c r="H3846" s="21">
        <v>1265.67</v>
      </c>
    </row>
    <row r="3847" spans="1:8" customFormat="1" x14ac:dyDescent="0.25">
      <c r="A3847" t="str">
        <f>"447906"</f>
        <v>447906</v>
      </c>
      <c r="B3847" t="s">
        <v>921</v>
      </c>
      <c r="C3847" t="s">
        <v>415</v>
      </c>
      <c r="D3847" s="21" t="s">
        <v>34</v>
      </c>
      <c r="E3847" s="21" t="s">
        <v>35</v>
      </c>
      <c r="F3847">
        <v>12440182</v>
      </c>
      <c r="G3847" t="s">
        <v>2915</v>
      </c>
      <c r="H3847" s="21">
        <v>1265.67</v>
      </c>
    </row>
    <row r="3848" spans="1:8" customFormat="1" x14ac:dyDescent="0.25">
      <c r="A3848" t="str">
        <f>"712093"</f>
        <v>712093</v>
      </c>
      <c r="B3848" t="s">
        <v>14630</v>
      </c>
      <c r="C3848" t="s">
        <v>55</v>
      </c>
      <c r="D3848" s="21" t="s">
        <v>34</v>
      </c>
      <c r="E3848" s="21" t="s">
        <v>35</v>
      </c>
      <c r="F3848">
        <v>13130170</v>
      </c>
      <c r="G3848" t="s">
        <v>10164</v>
      </c>
      <c r="H3848" s="21">
        <v>1265.67</v>
      </c>
    </row>
    <row r="3849" spans="1:8" customFormat="1" x14ac:dyDescent="0.25">
      <c r="A3849" t="str">
        <f>"509613"</f>
        <v>509613</v>
      </c>
      <c r="B3849" t="s">
        <v>5539</v>
      </c>
      <c r="C3849" t="s">
        <v>2072</v>
      </c>
      <c r="D3849" s="21" t="s">
        <v>34</v>
      </c>
      <c r="E3849" s="21" t="s">
        <v>35</v>
      </c>
      <c r="F3849">
        <v>9500030</v>
      </c>
      <c r="G3849" t="s">
        <v>2166</v>
      </c>
      <c r="H3849" s="21">
        <v>1265.67</v>
      </c>
    </row>
    <row r="3850" spans="1:8" customFormat="1" x14ac:dyDescent="0.25">
      <c r="A3850" t="str">
        <f>"5413740"</f>
        <v>5413740</v>
      </c>
      <c r="B3850" t="s">
        <v>5561</v>
      </c>
      <c r="C3850" t="s">
        <v>498</v>
      </c>
      <c r="D3850" s="21" t="s">
        <v>34</v>
      </c>
      <c r="E3850" s="21" t="s">
        <v>35</v>
      </c>
      <c r="F3850">
        <v>6670010</v>
      </c>
      <c r="G3850" t="s">
        <v>721</v>
      </c>
      <c r="H3850" s="21">
        <v>1265.17</v>
      </c>
    </row>
    <row r="3851" spans="1:8" customFormat="1" x14ac:dyDescent="0.25">
      <c r="A3851" t="str">
        <f>"4111556"</f>
        <v>4111556</v>
      </c>
      <c r="B3851" t="s">
        <v>4528</v>
      </c>
      <c r="C3851" t="s">
        <v>58</v>
      </c>
      <c r="D3851" s="21" t="s">
        <v>34</v>
      </c>
      <c r="E3851" s="21" t="s">
        <v>35</v>
      </c>
      <c r="F3851">
        <v>4410279</v>
      </c>
      <c r="G3851" t="s">
        <v>3499</v>
      </c>
      <c r="H3851" s="21">
        <v>1265.17</v>
      </c>
    </row>
    <row r="3852" spans="1:8" customFormat="1" x14ac:dyDescent="0.25">
      <c r="A3852" t="str">
        <f>"09820"</f>
        <v>09820</v>
      </c>
      <c r="B3852" t="s">
        <v>4828</v>
      </c>
      <c r="C3852" t="s">
        <v>2907</v>
      </c>
      <c r="D3852" s="21" t="s">
        <v>34</v>
      </c>
      <c r="E3852" s="21" t="s">
        <v>71</v>
      </c>
      <c r="F3852">
        <v>11090001</v>
      </c>
      <c r="G3852" t="s">
        <v>4829</v>
      </c>
      <c r="H3852" s="21">
        <v>1265.17</v>
      </c>
    </row>
    <row r="3853" spans="1:8" customFormat="1" x14ac:dyDescent="0.25">
      <c r="A3853" t="str">
        <f>"902838"</f>
        <v>902838</v>
      </c>
      <c r="B3853" t="s">
        <v>5507</v>
      </c>
      <c r="C3853" t="s">
        <v>462</v>
      </c>
      <c r="D3853" s="21" t="s">
        <v>34</v>
      </c>
      <c r="E3853" s="21" t="s">
        <v>35</v>
      </c>
      <c r="F3853">
        <v>10870109</v>
      </c>
      <c r="G3853" t="s">
        <v>5199</v>
      </c>
      <c r="H3853" s="21">
        <v>1265.17</v>
      </c>
    </row>
    <row r="3854" spans="1:8" customFormat="1" x14ac:dyDescent="0.25">
      <c r="A3854" t="str">
        <f>"5937324"</f>
        <v>5937324</v>
      </c>
      <c r="B3854" t="s">
        <v>392</v>
      </c>
      <c r="C3854" t="s">
        <v>98</v>
      </c>
      <c r="D3854" s="21" t="s">
        <v>34</v>
      </c>
      <c r="E3854" s="21" t="s">
        <v>35</v>
      </c>
      <c r="F3854">
        <v>7590347</v>
      </c>
      <c r="G3854" t="s">
        <v>6041</v>
      </c>
      <c r="H3854" s="21">
        <v>1265.17</v>
      </c>
    </row>
    <row r="3855" spans="1:8" customFormat="1" x14ac:dyDescent="0.25">
      <c r="A3855" t="str">
        <f>"535068"</f>
        <v>535068</v>
      </c>
      <c r="B3855" t="s">
        <v>4516</v>
      </c>
      <c r="C3855" t="s">
        <v>40</v>
      </c>
      <c r="D3855" s="21" t="s">
        <v>34</v>
      </c>
      <c r="E3855" s="21" t="s">
        <v>71</v>
      </c>
      <c r="F3855">
        <v>12530064</v>
      </c>
      <c r="G3855" t="s">
        <v>3699</v>
      </c>
      <c r="H3855" s="21">
        <v>1265.04</v>
      </c>
    </row>
    <row r="3856" spans="1:8" customFormat="1" x14ac:dyDescent="0.25">
      <c r="A3856" t="str">
        <f>"0113524"</f>
        <v>0113524</v>
      </c>
      <c r="B3856" t="s">
        <v>6950</v>
      </c>
      <c r="C3856" t="s">
        <v>249</v>
      </c>
      <c r="D3856" s="21" t="s">
        <v>34</v>
      </c>
      <c r="E3856" s="21" t="s">
        <v>35</v>
      </c>
      <c r="F3856">
        <v>1010023</v>
      </c>
      <c r="G3856" t="s">
        <v>2174</v>
      </c>
      <c r="H3856" s="21">
        <v>1264.92</v>
      </c>
    </row>
    <row r="3857" spans="1:8" customFormat="1" x14ac:dyDescent="0.25">
      <c r="A3857" t="str">
        <f>"6219943"</f>
        <v>6219943</v>
      </c>
      <c r="B3857" t="s">
        <v>5683</v>
      </c>
      <c r="C3857" t="s">
        <v>209</v>
      </c>
      <c r="D3857" s="21" t="s">
        <v>34</v>
      </c>
      <c r="E3857" s="21" t="s">
        <v>71</v>
      </c>
      <c r="F3857">
        <v>7620153</v>
      </c>
      <c r="G3857" t="s">
        <v>5104</v>
      </c>
      <c r="H3857" s="21">
        <v>1264.67</v>
      </c>
    </row>
    <row r="3858" spans="1:8" customFormat="1" x14ac:dyDescent="0.25">
      <c r="A3858" t="str">
        <f>"314922"</f>
        <v>314922</v>
      </c>
      <c r="B3858" t="s">
        <v>4465</v>
      </c>
      <c r="C3858" t="s">
        <v>260</v>
      </c>
      <c r="D3858" s="21" t="s">
        <v>34</v>
      </c>
      <c r="E3858" s="21" t="s">
        <v>35</v>
      </c>
      <c r="F3858">
        <v>11310011</v>
      </c>
      <c r="G3858" t="s">
        <v>26586</v>
      </c>
      <c r="H3858" s="21">
        <v>1264.67</v>
      </c>
    </row>
    <row r="3859" spans="1:8" customFormat="1" x14ac:dyDescent="0.25">
      <c r="A3859" t="str">
        <f>"567790"</f>
        <v>567790</v>
      </c>
      <c r="B3859" t="s">
        <v>5102</v>
      </c>
      <c r="C3859" t="s">
        <v>204</v>
      </c>
      <c r="D3859" s="21" t="s">
        <v>34</v>
      </c>
      <c r="E3859" s="21" t="s">
        <v>71</v>
      </c>
      <c r="F3859">
        <v>3560053</v>
      </c>
      <c r="G3859" t="s">
        <v>298</v>
      </c>
      <c r="H3859" s="21">
        <v>1264.67</v>
      </c>
    </row>
    <row r="3860" spans="1:8" customFormat="1" x14ac:dyDescent="0.25">
      <c r="A3860" t="str">
        <f>"9529378"</f>
        <v>9529378</v>
      </c>
      <c r="B3860" t="s">
        <v>205</v>
      </c>
      <c r="C3860" t="s">
        <v>320</v>
      </c>
      <c r="D3860" s="21" t="s">
        <v>34</v>
      </c>
      <c r="E3860" s="21" t="s">
        <v>35</v>
      </c>
      <c r="F3860">
        <v>8950103</v>
      </c>
      <c r="G3860" t="s">
        <v>440</v>
      </c>
      <c r="H3860" s="21">
        <v>1264.67</v>
      </c>
    </row>
    <row r="3861" spans="1:8" customFormat="1" x14ac:dyDescent="0.25">
      <c r="A3861" t="str">
        <f>"393512"</f>
        <v>393512</v>
      </c>
      <c r="B3861" t="s">
        <v>5950</v>
      </c>
      <c r="C3861" t="s">
        <v>462</v>
      </c>
      <c r="D3861" s="21" t="s">
        <v>34</v>
      </c>
      <c r="E3861" s="21" t="s">
        <v>71</v>
      </c>
      <c r="F3861">
        <v>2390082</v>
      </c>
      <c r="G3861" t="s">
        <v>3343</v>
      </c>
      <c r="H3861" s="21">
        <v>1264.17</v>
      </c>
    </row>
    <row r="3862" spans="1:8" customFormat="1" x14ac:dyDescent="0.25">
      <c r="A3862" t="str">
        <f>"91648"</f>
        <v>91648</v>
      </c>
      <c r="B3862" t="s">
        <v>4877</v>
      </c>
      <c r="C3862" t="s">
        <v>169</v>
      </c>
      <c r="D3862" s="21" t="s">
        <v>34</v>
      </c>
      <c r="E3862" s="21" t="s">
        <v>71</v>
      </c>
      <c r="F3862">
        <v>8910359</v>
      </c>
      <c r="G3862" t="s">
        <v>1204</v>
      </c>
      <c r="H3862" s="21">
        <v>1264.17</v>
      </c>
    </row>
    <row r="3863" spans="1:8" customFormat="1" x14ac:dyDescent="0.25">
      <c r="A3863" t="str">
        <f>"7631434"</f>
        <v>7631434</v>
      </c>
      <c r="B3863" t="s">
        <v>5168</v>
      </c>
      <c r="C3863" t="s">
        <v>934</v>
      </c>
      <c r="D3863" s="21" t="s">
        <v>34</v>
      </c>
      <c r="E3863" s="21" t="s">
        <v>35</v>
      </c>
      <c r="F3863">
        <v>9760382</v>
      </c>
      <c r="G3863" t="s">
        <v>2737</v>
      </c>
      <c r="H3863" s="21">
        <v>1264.17</v>
      </c>
    </row>
    <row r="3864" spans="1:8" customFormat="1" x14ac:dyDescent="0.25">
      <c r="A3864" t="str">
        <f>"2711691"</f>
        <v>2711691</v>
      </c>
      <c r="B3864" t="s">
        <v>3879</v>
      </c>
      <c r="C3864" t="s">
        <v>60</v>
      </c>
      <c r="D3864" s="21" t="s">
        <v>34</v>
      </c>
      <c r="E3864" s="21" t="s">
        <v>35</v>
      </c>
      <c r="F3864">
        <v>9270152</v>
      </c>
      <c r="G3864" t="s">
        <v>1985</v>
      </c>
      <c r="H3864" s="21">
        <v>1263.79</v>
      </c>
    </row>
    <row r="3865" spans="1:8" customFormat="1" x14ac:dyDescent="0.25">
      <c r="A3865" t="str">
        <f>"721863"</f>
        <v>721863</v>
      </c>
      <c r="B3865" t="s">
        <v>4554</v>
      </c>
      <c r="C3865" t="s">
        <v>87</v>
      </c>
      <c r="D3865" s="21" t="s">
        <v>34</v>
      </c>
      <c r="E3865" s="21" t="s">
        <v>35</v>
      </c>
      <c r="F3865">
        <v>12490106</v>
      </c>
      <c r="G3865" t="s">
        <v>4555</v>
      </c>
      <c r="H3865" s="21">
        <v>1263.67</v>
      </c>
    </row>
    <row r="3866" spans="1:8" customFormat="1" x14ac:dyDescent="0.25">
      <c r="A3866" t="str">
        <f>"28480"</f>
        <v>28480</v>
      </c>
      <c r="B3866" t="s">
        <v>4564</v>
      </c>
      <c r="C3866" t="s">
        <v>263</v>
      </c>
      <c r="D3866" s="21" t="s">
        <v>34</v>
      </c>
      <c r="E3866" s="21" t="s">
        <v>71</v>
      </c>
      <c r="F3866">
        <v>4280121</v>
      </c>
      <c r="G3866" t="s">
        <v>4565</v>
      </c>
      <c r="H3866" s="21">
        <v>1263.67</v>
      </c>
    </row>
    <row r="3867" spans="1:8" customFormat="1" x14ac:dyDescent="0.25">
      <c r="A3867" t="str">
        <f>"186857"</f>
        <v>186857</v>
      </c>
      <c r="B3867" t="s">
        <v>5625</v>
      </c>
      <c r="C3867" t="s">
        <v>528</v>
      </c>
      <c r="D3867" s="21" t="s">
        <v>34</v>
      </c>
      <c r="E3867" s="21" t="s">
        <v>71</v>
      </c>
      <c r="F3867">
        <v>4180682</v>
      </c>
      <c r="G3867" t="s">
        <v>5261</v>
      </c>
      <c r="H3867" s="21">
        <v>1263.43</v>
      </c>
    </row>
    <row r="3868" spans="1:8" customFormat="1" x14ac:dyDescent="0.25">
      <c r="A3868" t="str">
        <f>"699331"</f>
        <v>699331</v>
      </c>
      <c r="B3868" t="s">
        <v>4414</v>
      </c>
      <c r="C3868" t="s">
        <v>285</v>
      </c>
      <c r="D3868" s="21" t="s">
        <v>34</v>
      </c>
      <c r="E3868" s="21" t="s">
        <v>35</v>
      </c>
      <c r="F3868">
        <v>1690008</v>
      </c>
      <c r="G3868" t="s">
        <v>6276</v>
      </c>
      <c r="H3868" s="21">
        <v>1263.17</v>
      </c>
    </row>
    <row r="3869" spans="1:8" customFormat="1" x14ac:dyDescent="0.25">
      <c r="A3869" t="str">
        <f>"456160"</f>
        <v>456160</v>
      </c>
      <c r="B3869" t="s">
        <v>4591</v>
      </c>
      <c r="C3869" t="s">
        <v>109</v>
      </c>
      <c r="D3869" s="21" t="s">
        <v>34</v>
      </c>
      <c r="E3869" s="21" t="s">
        <v>35</v>
      </c>
      <c r="F3869">
        <v>4450751</v>
      </c>
      <c r="G3869" t="s">
        <v>442</v>
      </c>
      <c r="H3869" s="21">
        <v>1263.05</v>
      </c>
    </row>
    <row r="3870" spans="1:8" customFormat="1" x14ac:dyDescent="0.25">
      <c r="A3870" t="str">
        <f>"087911"</f>
        <v>087911</v>
      </c>
      <c r="B3870" t="s">
        <v>3166</v>
      </c>
      <c r="C3870" t="s">
        <v>652</v>
      </c>
      <c r="D3870" s="21" t="s">
        <v>34</v>
      </c>
      <c r="E3870" s="21" t="s">
        <v>35</v>
      </c>
      <c r="F3870">
        <v>8950083</v>
      </c>
      <c r="G3870" t="s">
        <v>405</v>
      </c>
      <c r="H3870" s="21">
        <v>1262.92</v>
      </c>
    </row>
    <row r="3871" spans="1:8" customFormat="1" x14ac:dyDescent="0.25">
      <c r="A3871" t="str">
        <f>"4433158"</f>
        <v>4433158</v>
      </c>
      <c r="B3871" t="s">
        <v>4493</v>
      </c>
      <c r="C3871" t="s">
        <v>249</v>
      </c>
      <c r="D3871" s="21" t="s">
        <v>34</v>
      </c>
      <c r="E3871" s="21" t="s">
        <v>71</v>
      </c>
      <c r="F3871">
        <v>12440136</v>
      </c>
      <c r="G3871" t="s">
        <v>3271</v>
      </c>
      <c r="H3871" s="21">
        <v>1262.92</v>
      </c>
    </row>
    <row r="3872" spans="1:8" customFormat="1" x14ac:dyDescent="0.25">
      <c r="A3872" t="str">
        <f>"4924426"</f>
        <v>4924426</v>
      </c>
      <c r="B3872" t="s">
        <v>4883</v>
      </c>
      <c r="C3872" t="s">
        <v>124</v>
      </c>
      <c r="D3872" s="21" t="s">
        <v>34</v>
      </c>
      <c r="E3872" s="21" t="s">
        <v>71</v>
      </c>
      <c r="F3872">
        <v>12490063</v>
      </c>
      <c r="G3872" t="s">
        <v>329</v>
      </c>
      <c r="H3872" s="21">
        <v>1262.8</v>
      </c>
    </row>
    <row r="3873" spans="1:8" customFormat="1" x14ac:dyDescent="0.25">
      <c r="A3873" t="str">
        <f>"7620379"</f>
        <v>7620379</v>
      </c>
      <c r="B3873" t="s">
        <v>890</v>
      </c>
      <c r="C3873" t="s">
        <v>1812</v>
      </c>
      <c r="D3873" s="21" t="s">
        <v>34</v>
      </c>
      <c r="E3873" s="21" t="s">
        <v>71</v>
      </c>
      <c r="F3873">
        <v>9760342</v>
      </c>
      <c r="G3873" t="s">
        <v>3619</v>
      </c>
      <c r="H3873" s="21">
        <v>1262.67</v>
      </c>
    </row>
    <row r="3874" spans="1:8" customFormat="1" x14ac:dyDescent="0.25">
      <c r="A3874" t="str">
        <f>"6910705"</f>
        <v>6910705</v>
      </c>
      <c r="B3874" t="s">
        <v>4162</v>
      </c>
      <c r="C3874" t="s">
        <v>33</v>
      </c>
      <c r="D3874" s="21" t="s">
        <v>34</v>
      </c>
      <c r="E3874" s="21" t="s">
        <v>71</v>
      </c>
      <c r="F3874">
        <v>1690107</v>
      </c>
      <c r="G3874" t="s">
        <v>4163</v>
      </c>
      <c r="H3874" s="21">
        <v>1262.67</v>
      </c>
    </row>
    <row r="3875" spans="1:8" customFormat="1" x14ac:dyDescent="0.25">
      <c r="A3875" t="str">
        <f>"22588"</f>
        <v>22588</v>
      </c>
      <c r="B3875" t="s">
        <v>650</v>
      </c>
      <c r="C3875" t="s">
        <v>1110</v>
      </c>
      <c r="D3875" s="21" t="s">
        <v>34</v>
      </c>
      <c r="E3875" s="21" t="s">
        <v>1089</v>
      </c>
      <c r="F3875">
        <v>3220033</v>
      </c>
      <c r="G3875" t="s">
        <v>657</v>
      </c>
      <c r="H3875" s="21">
        <v>1262.67</v>
      </c>
    </row>
    <row r="3876" spans="1:8" customFormat="1" x14ac:dyDescent="0.25">
      <c r="A3876" t="str">
        <f>"506000"</f>
        <v>506000</v>
      </c>
      <c r="B3876" t="s">
        <v>4126</v>
      </c>
      <c r="C3876" t="s">
        <v>269</v>
      </c>
      <c r="D3876" s="21" t="s">
        <v>34</v>
      </c>
      <c r="E3876" s="21" t="s">
        <v>71</v>
      </c>
      <c r="F3876">
        <v>9500059</v>
      </c>
      <c r="G3876" t="s">
        <v>26714</v>
      </c>
      <c r="H3876" s="21">
        <v>1262.67</v>
      </c>
    </row>
    <row r="3877" spans="1:8" customFormat="1" x14ac:dyDescent="0.25">
      <c r="A3877" t="str">
        <f>"9519686"</f>
        <v>9519686</v>
      </c>
      <c r="B3877" t="s">
        <v>4669</v>
      </c>
      <c r="C3877" t="s">
        <v>415</v>
      </c>
      <c r="D3877" s="21" t="s">
        <v>34</v>
      </c>
      <c r="E3877" s="21" t="s">
        <v>71</v>
      </c>
      <c r="F3877">
        <v>8950481</v>
      </c>
      <c r="G3877" t="s">
        <v>1472</v>
      </c>
      <c r="H3877" s="21">
        <v>1262.67</v>
      </c>
    </row>
    <row r="3878" spans="1:8" customFormat="1" x14ac:dyDescent="0.25">
      <c r="A3878" t="str">
        <f>"2711888"</f>
        <v>2711888</v>
      </c>
      <c r="B3878" t="s">
        <v>970</v>
      </c>
      <c r="C3878" t="s">
        <v>58</v>
      </c>
      <c r="D3878" s="21" t="s">
        <v>34</v>
      </c>
      <c r="E3878" s="21" t="s">
        <v>35</v>
      </c>
      <c r="F3878">
        <v>1690105</v>
      </c>
      <c r="G3878" t="s">
        <v>9580</v>
      </c>
      <c r="H3878" s="21">
        <v>1262.67</v>
      </c>
    </row>
    <row r="3879" spans="1:8" customFormat="1" x14ac:dyDescent="0.25">
      <c r="A3879" t="str">
        <f>"672239"</f>
        <v>672239</v>
      </c>
      <c r="B3879" t="s">
        <v>4675</v>
      </c>
      <c r="C3879" t="s">
        <v>2958</v>
      </c>
      <c r="D3879" s="21" t="s">
        <v>34</v>
      </c>
      <c r="E3879" s="21" t="s">
        <v>71</v>
      </c>
      <c r="F3879">
        <v>6670160</v>
      </c>
      <c r="G3879" t="s">
        <v>908</v>
      </c>
      <c r="H3879" s="21">
        <v>1262.67</v>
      </c>
    </row>
    <row r="3880" spans="1:8" customFormat="1" x14ac:dyDescent="0.25">
      <c r="A3880" t="str">
        <f>"081254"</f>
        <v>081254</v>
      </c>
      <c r="B3880" t="s">
        <v>5038</v>
      </c>
      <c r="C3880" t="s">
        <v>4623</v>
      </c>
      <c r="D3880" s="21" t="s">
        <v>34</v>
      </c>
      <c r="E3880" s="21" t="s">
        <v>254</v>
      </c>
      <c r="F3880">
        <v>6080035</v>
      </c>
      <c r="G3880" t="s">
        <v>583</v>
      </c>
      <c r="H3880" s="21">
        <v>1262.67</v>
      </c>
    </row>
    <row r="3881" spans="1:8" customFormat="1" x14ac:dyDescent="0.25">
      <c r="A3881" t="str">
        <f>"4429765"</f>
        <v>4429765</v>
      </c>
      <c r="B3881" t="s">
        <v>136</v>
      </c>
      <c r="C3881" t="s">
        <v>2072</v>
      </c>
      <c r="D3881" s="21" t="s">
        <v>34</v>
      </c>
      <c r="E3881" s="21" t="s">
        <v>35</v>
      </c>
      <c r="F3881">
        <v>12440025</v>
      </c>
      <c r="G3881" t="s">
        <v>6675</v>
      </c>
      <c r="H3881" s="21">
        <v>1262.67</v>
      </c>
    </row>
    <row r="3882" spans="1:8" customFormat="1" x14ac:dyDescent="0.25">
      <c r="A3882" t="str">
        <f>"144074"</f>
        <v>144074</v>
      </c>
      <c r="B3882" t="s">
        <v>4183</v>
      </c>
      <c r="C3882" t="s">
        <v>124</v>
      </c>
      <c r="D3882" s="21" t="s">
        <v>34</v>
      </c>
      <c r="E3882" s="21" t="s">
        <v>254</v>
      </c>
      <c r="F3882">
        <v>9140071</v>
      </c>
      <c r="G3882" t="s">
        <v>1775</v>
      </c>
      <c r="H3882" s="21">
        <v>1262.67</v>
      </c>
    </row>
    <row r="3883" spans="1:8" customFormat="1" x14ac:dyDescent="0.25">
      <c r="A3883" t="str">
        <f>"428549"</f>
        <v>428549</v>
      </c>
      <c r="B3883" t="s">
        <v>5645</v>
      </c>
      <c r="C3883" t="s">
        <v>119</v>
      </c>
      <c r="D3883" s="21" t="s">
        <v>34</v>
      </c>
      <c r="E3883" s="21" t="s">
        <v>71</v>
      </c>
      <c r="F3883">
        <v>1420117</v>
      </c>
      <c r="G3883" t="s">
        <v>2649</v>
      </c>
      <c r="H3883" s="21">
        <v>1262.17</v>
      </c>
    </row>
    <row r="3884" spans="1:8" customFormat="1" x14ac:dyDescent="0.25">
      <c r="A3884" t="str">
        <f>"58910"</f>
        <v>58910</v>
      </c>
      <c r="B3884" t="s">
        <v>4812</v>
      </c>
      <c r="C3884" t="s">
        <v>459</v>
      </c>
      <c r="D3884" s="21" t="s">
        <v>34</v>
      </c>
      <c r="E3884" s="21" t="s">
        <v>71</v>
      </c>
      <c r="F3884">
        <v>2580006</v>
      </c>
      <c r="G3884" t="s">
        <v>4813</v>
      </c>
      <c r="H3884" s="21">
        <v>1262.17</v>
      </c>
    </row>
    <row r="3885" spans="1:8" customFormat="1" x14ac:dyDescent="0.25">
      <c r="A3885" t="str">
        <f>"954769"</f>
        <v>954769</v>
      </c>
      <c r="B3885" t="s">
        <v>5489</v>
      </c>
      <c r="C3885" t="s">
        <v>114</v>
      </c>
      <c r="D3885" s="21" t="s">
        <v>34</v>
      </c>
      <c r="E3885" s="21" t="s">
        <v>1089</v>
      </c>
      <c r="F3885">
        <v>8930430</v>
      </c>
      <c r="G3885" t="s">
        <v>995</v>
      </c>
      <c r="H3885" s="21">
        <v>1262.05</v>
      </c>
    </row>
    <row r="3886" spans="1:8" customFormat="1" x14ac:dyDescent="0.25">
      <c r="A3886" t="str">
        <f>"286784"</f>
        <v>286784</v>
      </c>
      <c r="B3886" t="s">
        <v>5155</v>
      </c>
      <c r="C3886" t="s">
        <v>498</v>
      </c>
      <c r="D3886" s="21" t="s">
        <v>34</v>
      </c>
      <c r="E3886" s="21" t="s">
        <v>35</v>
      </c>
      <c r="F3886">
        <v>4450763</v>
      </c>
      <c r="G3886" t="s">
        <v>19058</v>
      </c>
      <c r="H3886" s="21">
        <v>1262.01</v>
      </c>
    </row>
    <row r="3887" spans="1:8" customFormat="1" x14ac:dyDescent="0.25">
      <c r="A3887" t="str">
        <f>"1891"</f>
        <v>1891</v>
      </c>
      <c r="B3887" t="s">
        <v>4383</v>
      </c>
      <c r="C3887" t="s">
        <v>198</v>
      </c>
      <c r="D3887" s="21" t="s">
        <v>34</v>
      </c>
      <c r="E3887" s="21" t="s">
        <v>71</v>
      </c>
      <c r="F3887">
        <v>4180530</v>
      </c>
      <c r="G3887" t="s">
        <v>3622</v>
      </c>
      <c r="H3887" s="21">
        <v>1261.92</v>
      </c>
    </row>
    <row r="3888" spans="1:8" customFormat="1" x14ac:dyDescent="0.25">
      <c r="A3888" t="str">
        <f>"772854"</f>
        <v>772854</v>
      </c>
      <c r="B3888" t="s">
        <v>4001</v>
      </c>
      <c r="C3888" t="s">
        <v>462</v>
      </c>
      <c r="D3888" s="21" t="s">
        <v>34</v>
      </c>
      <c r="E3888" s="21" t="s">
        <v>35</v>
      </c>
      <c r="F3888">
        <v>8771085</v>
      </c>
      <c r="G3888" t="s">
        <v>11894</v>
      </c>
      <c r="H3888" s="21">
        <v>1261.8</v>
      </c>
    </row>
    <row r="3889" spans="1:8" customFormat="1" x14ac:dyDescent="0.25">
      <c r="A3889" t="str">
        <f>"1412144"</f>
        <v>1412144</v>
      </c>
      <c r="B3889" t="s">
        <v>1852</v>
      </c>
      <c r="C3889" t="s">
        <v>139</v>
      </c>
      <c r="D3889" s="21" t="s">
        <v>34</v>
      </c>
      <c r="E3889" s="21" t="s">
        <v>71</v>
      </c>
      <c r="F3889">
        <v>9140063</v>
      </c>
      <c r="G3889" t="s">
        <v>4764</v>
      </c>
      <c r="H3889" s="21">
        <v>1261.8</v>
      </c>
    </row>
    <row r="3890" spans="1:8" customFormat="1" x14ac:dyDescent="0.25">
      <c r="A3890" t="str">
        <f>"904477"</f>
        <v>904477</v>
      </c>
      <c r="B3890" t="s">
        <v>3576</v>
      </c>
      <c r="C3890" t="s">
        <v>121</v>
      </c>
      <c r="D3890" s="21" t="s">
        <v>34</v>
      </c>
      <c r="E3890" s="21" t="s">
        <v>35</v>
      </c>
      <c r="F3890">
        <v>2900003</v>
      </c>
      <c r="G3890" t="s">
        <v>1742</v>
      </c>
      <c r="H3890" s="21">
        <v>1261.67</v>
      </c>
    </row>
    <row r="3891" spans="1:8" customFormat="1" x14ac:dyDescent="0.25">
      <c r="A3891" t="str">
        <f>"6718167"</f>
        <v>6718167</v>
      </c>
      <c r="B3891" t="s">
        <v>6357</v>
      </c>
      <c r="C3891" t="s">
        <v>415</v>
      </c>
      <c r="D3891" s="21" t="s">
        <v>34</v>
      </c>
      <c r="E3891" s="21" t="s">
        <v>71</v>
      </c>
      <c r="F3891">
        <v>6670002</v>
      </c>
      <c r="G3891" t="s">
        <v>5740</v>
      </c>
      <c r="H3891" s="21">
        <v>1261.67</v>
      </c>
    </row>
    <row r="3892" spans="1:8" customFormat="1" x14ac:dyDescent="0.25">
      <c r="A3892" t="str">
        <f>"5953109"</f>
        <v>5953109</v>
      </c>
      <c r="B3892" t="s">
        <v>6043</v>
      </c>
      <c r="C3892" t="s">
        <v>127</v>
      </c>
      <c r="D3892" s="21" t="s">
        <v>34</v>
      </c>
      <c r="E3892" s="21" t="s">
        <v>35</v>
      </c>
      <c r="F3892">
        <v>7590017</v>
      </c>
      <c r="G3892" t="s">
        <v>1316</v>
      </c>
      <c r="H3892" s="21">
        <v>1261.42</v>
      </c>
    </row>
    <row r="3893" spans="1:8" customFormat="1" x14ac:dyDescent="0.25">
      <c r="A3893" t="str">
        <f>"2911952"</f>
        <v>2911952</v>
      </c>
      <c r="B3893" t="s">
        <v>4532</v>
      </c>
      <c r="C3893" t="s">
        <v>1199</v>
      </c>
      <c r="D3893" s="21" t="s">
        <v>34</v>
      </c>
      <c r="E3893" s="21" t="s">
        <v>71</v>
      </c>
      <c r="F3893">
        <v>3290087</v>
      </c>
      <c r="G3893" t="s">
        <v>364</v>
      </c>
      <c r="H3893" s="21">
        <v>1261.17</v>
      </c>
    </row>
    <row r="3894" spans="1:8" customFormat="1" x14ac:dyDescent="0.25">
      <c r="A3894" t="str">
        <f>"50379"</f>
        <v>50379</v>
      </c>
      <c r="B3894" t="s">
        <v>4697</v>
      </c>
      <c r="C3894" t="s">
        <v>198</v>
      </c>
      <c r="D3894" s="21" t="s">
        <v>34</v>
      </c>
      <c r="E3894" s="21" t="s">
        <v>254</v>
      </c>
      <c r="F3894">
        <v>9500015</v>
      </c>
      <c r="G3894" t="s">
        <v>3389</v>
      </c>
      <c r="H3894" s="21">
        <v>1261.17</v>
      </c>
    </row>
    <row r="3895" spans="1:8" customFormat="1" x14ac:dyDescent="0.25">
      <c r="A3895" t="str">
        <f>"8522175"</f>
        <v>8522175</v>
      </c>
      <c r="B3895" t="s">
        <v>4425</v>
      </c>
      <c r="C3895" t="s">
        <v>428</v>
      </c>
      <c r="D3895" s="21" t="s">
        <v>34</v>
      </c>
      <c r="E3895" s="21" t="s">
        <v>35</v>
      </c>
      <c r="F3895">
        <v>12850171</v>
      </c>
      <c r="G3895" t="s">
        <v>2687</v>
      </c>
      <c r="H3895" s="21">
        <v>1261.17</v>
      </c>
    </row>
    <row r="3896" spans="1:8" customFormat="1" x14ac:dyDescent="0.25">
      <c r="A3896" t="str">
        <f>"4415146"</f>
        <v>4415146</v>
      </c>
      <c r="B3896" t="s">
        <v>4142</v>
      </c>
      <c r="C3896" t="s">
        <v>127</v>
      </c>
      <c r="D3896" s="21" t="s">
        <v>34</v>
      </c>
      <c r="E3896" s="21" t="s">
        <v>35</v>
      </c>
      <c r="F3896">
        <v>12440195</v>
      </c>
      <c r="G3896" t="s">
        <v>3117</v>
      </c>
      <c r="H3896" s="21">
        <v>1261.17</v>
      </c>
    </row>
    <row r="3897" spans="1:8" customFormat="1" x14ac:dyDescent="0.25">
      <c r="A3897" t="str">
        <f>"187478"</f>
        <v>187478</v>
      </c>
      <c r="B3897" t="s">
        <v>4892</v>
      </c>
      <c r="C3897" t="s">
        <v>40</v>
      </c>
      <c r="D3897" s="21" t="s">
        <v>34</v>
      </c>
      <c r="E3897" s="21" t="s">
        <v>35</v>
      </c>
      <c r="F3897">
        <v>4180696</v>
      </c>
      <c r="G3897" t="s">
        <v>3018</v>
      </c>
      <c r="H3897" s="21">
        <v>1261.17</v>
      </c>
    </row>
    <row r="3898" spans="1:8" customFormat="1" x14ac:dyDescent="0.25">
      <c r="A3898" t="str">
        <f>"6919569"</f>
        <v>6919569</v>
      </c>
      <c r="B3898" t="s">
        <v>5136</v>
      </c>
      <c r="C3898" t="s">
        <v>109</v>
      </c>
      <c r="D3898" s="21" t="s">
        <v>34</v>
      </c>
      <c r="E3898" s="21" t="s">
        <v>35</v>
      </c>
      <c r="F3898">
        <v>1690031</v>
      </c>
      <c r="G3898" t="s">
        <v>2716</v>
      </c>
      <c r="H3898" s="21">
        <v>1261.17</v>
      </c>
    </row>
    <row r="3899" spans="1:8" customFormat="1" x14ac:dyDescent="0.25">
      <c r="A3899" t="str">
        <f>"7517146"</f>
        <v>7517146</v>
      </c>
      <c r="B3899" t="s">
        <v>7369</v>
      </c>
      <c r="C3899" t="s">
        <v>96</v>
      </c>
      <c r="D3899" s="21" t="s">
        <v>34</v>
      </c>
      <c r="E3899" s="21" t="s">
        <v>71</v>
      </c>
      <c r="F3899">
        <v>8940033</v>
      </c>
      <c r="G3899" t="s">
        <v>1376</v>
      </c>
      <c r="H3899" s="21">
        <v>1261.17</v>
      </c>
    </row>
    <row r="3900" spans="1:8" customFormat="1" x14ac:dyDescent="0.25">
      <c r="A3900" t="str">
        <f>"146766"</f>
        <v>146766</v>
      </c>
      <c r="B3900" t="s">
        <v>2613</v>
      </c>
      <c r="C3900" t="s">
        <v>3967</v>
      </c>
      <c r="D3900" s="21" t="s">
        <v>34</v>
      </c>
      <c r="E3900" s="21" t="s">
        <v>35</v>
      </c>
      <c r="F3900">
        <v>9140012</v>
      </c>
      <c r="G3900" t="s">
        <v>26518</v>
      </c>
      <c r="H3900" s="21">
        <v>1261.17</v>
      </c>
    </row>
    <row r="3901" spans="1:8" customFormat="1" x14ac:dyDescent="0.25">
      <c r="A3901" t="str">
        <f>"7712961"</f>
        <v>7712961</v>
      </c>
      <c r="B3901" t="s">
        <v>5648</v>
      </c>
      <c r="C3901" t="s">
        <v>33</v>
      </c>
      <c r="D3901" s="21" t="s">
        <v>34</v>
      </c>
      <c r="E3901" s="21" t="s">
        <v>71</v>
      </c>
      <c r="F3901">
        <v>8771229</v>
      </c>
      <c r="G3901" t="s">
        <v>26815</v>
      </c>
      <c r="H3901" s="21">
        <v>1260.92</v>
      </c>
    </row>
    <row r="3902" spans="1:8" customFormat="1" x14ac:dyDescent="0.25">
      <c r="A3902" t="str">
        <f>"9125586"</f>
        <v>9125586</v>
      </c>
      <c r="B3902" t="s">
        <v>4371</v>
      </c>
      <c r="C3902" t="s">
        <v>139</v>
      </c>
      <c r="D3902" s="21" t="s">
        <v>34</v>
      </c>
      <c r="E3902" s="21" t="s">
        <v>35</v>
      </c>
      <c r="F3902">
        <v>8910861</v>
      </c>
      <c r="G3902" t="s">
        <v>1120</v>
      </c>
      <c r="H3902" s="21">
        <v>1260.79</v>
      </c>
    </row>
    <row r="3903" spans="1:8" customFormat="1" x14ac:dyDescent="0.25">
      <c r="A3903" t="str">
        <f>"286781"</f>
        <v>286781</v>
      </c>
      <c r="B3903" t="s">
        <v>26816</v>
      </c>
      <c r="C3903" t="s">
        <v>305</v>
      </c>
      <c r="D3903" s="21" t="s">
        <v>34</v>
      </c>
      <c r="E3903" s="21" t="s">
        <v>35</v>
      </c>
      <c r="F3903">
        <v>6570015</v>
      </c>
      <c r="G3903" t="s">
        <v>749</v>
      </c>
      <c r="H3903" s="21">
        <v>1260.67</v>
      </c>
    </row>
    <row r="3904" spans="1:8" customFormat="1" x14ac:dyDescent="0.25">
      <c r="A3904" t="str">
        <f>"591417"</f>
        <v>591417</v>
      </c>
      <c r="B3904" t="s">
        <v>623</v>
      </c>
      <c r="C3904" t="s">
        <v>462</v>
      </c>
      <c r="D3904" s="21" t="s">
        <v>34</v>
      </c>
      <c r="E3904" s="21" t="s">
        <v>71</v>
      </c>
      <c r="F3904">
        <v>7590065</v>
      </c>
      <c r="G3904" t="s">
        <v>1598</v>
      </c>
      <c r="H3904" s="21">
        <v>1260.67</v>
      </c>
    </row>
    <row r="3905" spans="1:8" customFormat="1" x14ac:dyDescent="0.25">
      <c r="A3905" t="str">
        <f>"592828"</f>
        <v>592828</v>
      </c>
      <c r="B3905" t="s">
        <v>4042</v>
      </c>
      <c r="C3905" t="s">
        <v>109</v>
      </c>
      <c r="D3905" s="21" t="s">
        <v>34</v>
      </c>
      <c r="E3905" s="21" t="s">
        <v>71</v>
      </c>
      <c r="F3905">
        <v>7590014</v>
      </c>
      <c r="G3905" t="s">
        <v>1326</v>
      </c>
      <c r="H3905" s="21">
        <v>1260.67</v>
      </c>
    </row>
    <row r="3906" spans="1:8" customFormat="1" x14ac:dyDescent="0.25">
      <c r="A3906" t="str">
        <f>"832933"</f>
        <v>832933</v>
      </c>
      <c r="B3906" t="s">
        <v>4739</v>
      </c>
      <c r="C3906" t="s">
        <v>462</v>
      </c>
      <c r="D3906" s="21" t="s">
        <v>34</v>
      </c>
      <c r="E3906" s="21" t="s">
        <v>71</v>
      </c>
      <c r="F3906">
        <v>1420299</v>
      </c>
      <c r="G3906" t="s">
        <v>8013</v>
      </c>
      <c r="H3906" s="21">
        <v>1260.67</v>
      </c>
    </row>
    <row r="3907" spans="1:8" customFormat="1" x14ac:dyDescent="0.25">
      <c r="A3907" t="str">
        <f>"5935752"</f>
        <v>5935752</v>
      </c>
      <c r="B3907" t="s">
        <v>3990</v>
      </c>
      <c r="C3907" t="s">
        <v>3991</v>
      </c>
      <c r="D3907" s="21" t="s">
        <v>34</v>
      </c>
      <c r="E3907" s="21" t="s">
        <v>35</v>
      </c>
      <c r="F3907">
        <v>7590170</v>
      </c>
      <c r="G3907" t="s">
        <v>868</v>
      </c>
      <c r="H3907" s="21">
        <v>1260.67</v>
      </c>
    </row>
    <row r="3908" spans="1:8" customFormat="1" x14ac:dyDescent="0.25">
      <c r="A3908" t="str">
        <f>"6910596"</f>
        <v>6910596</v>
      </c>
      <c r="B3908" t="s">
        <v>4770</v>
      </c>
      <c r="C3908" t="s">
        <v>119</v>
      </c>
      <c r="D3908" s="21" t="s">
        <v>34</v>
      </c>
      <c r="E3908" s="21" t="s">
        <v>71</v>
      </c>
      <c r="F3908">
        <v>1690107</v>
      </c>
      <c r="G3908" t="s">
        <v>4163</v>
      </c>
      <c r="H3908" s="21">
        <v>1260.67</v>
      </c>
    </row>
    <row r="3909" spans="1:8" customFormat="1" x14ac:dyDescent="0.25">
      <c r="A3909" t="str">
        <f>"716668"</f>
        <v>716668</v>
      </c>
      <c r="B3909" t="s">
        <v>10360</v>
      </c>
      <c r="C3909" t="s">
        <v>486</v>
      </c>
      <c r="D3909" s="21" t="s">
        <v>34</v>
      </c>
      <c r="E3909" s="21" t="s">
        <v>35</v>
      </c>
      <c r="F3909">
        <v>1690023</v>
      </c>
      <c r="G3909" t="s">
        <v>647</v>
      </c>
      <c r="H3909" s="21">
        <v>1260.17</v>
      </c>
    </row>
    <row r="3910" spans="1:8" customFormat="1" x14ac:dyDescent="0.25">
      <c r="A3910" t="str">
        <f>"296667"</f>
        <v>296667</v>
      </c>
      <c r="B3910" t="s">
        <v>4928</v>
      </c>
      <c r="C3910" t="s">
        <v>854</v>
      </c>
      <c r="D3910" s="21" t="s">
        <v>34</v>
      </c>
      <c r="E3910" s="21" t="s">
        <v>35</v>
      </c>
      <c r="F3910">
        <v>3290003</v>
      </c>
      <c r="G3910" t="s">
        <v>3764</v>
      </c>
      <c r="H3910" s="21">
        <v>1260.17</v>
      </c>
    </row>
    <row r="3911" spans="1:8" customFormat="1" x14ac:dyDescent="0.25">
      <c r="A3911" t="str">
        <f>"4426906"</f>
        <v>4426906</v>
      </c>
      <c r="B3911" t="s">
        <v>5831</v>
      </c>
      <c r="C3911" t="s">
        <v>60</v>
      </c>
      <c r="D3911" s="21" t="s">
        <v>34</v>
      </c>
      <c r="E3911" s="21" t="s">
        <v>35</v>
      </c>
      <c r="F3911">
        <v>12440004</v>
      </c>
      <c r="G3911" t="s">
        <v>26530</v>
      </c>
      <c r="H3911" s="21">
        <v>1260.17</v>
      </c>
    </row>
    <row r="3912" spans="1:8" customFormat="1" x14ac:dyDescent="0.25">
      <c r="A3912" t="str">
        <f>"9250276"</f>
        <v>9250276</v>
      </c>
      <c r="B3912" t="s">
        <v>7810</v>
      </c>
      <c r="C3912" t="s">
        <v>381</v>
      </c>
      <c r="D3912" s="21" t="s">
        <v>34</v>
      </c>
      <c r="E3912" s="21" t="s">
        <v>254</v>
      </c>
      <c r="F3912">
        <v>8920075</v>
      </c>
      <c r="G3912" t="s">
        <v>317</v>
      </c>
      <c r="H3912" s="21">
        <v>1260.06</v>
      </c>
    </row>
    <row r="3913" spans="1:8" customFormat="1" x14ac:dyDescent="0.25">
      <c r="A3913" t="str">
        <f>"7512145"</f>
        <v>7512145</v>
      </c>
      <c r="B3913" t="s">
        <v>4800</v>
      </c>
      <c r="C3913" t="s">
        <v>209</v>
      </c>
      <c r="D3913" s="21" t="s">
        <v>34</v>
      </c>
      <c r="E3913" s="21" t="s">
        <v>71</v>
      </c>
      <c r="F3913">
        <v>4280121</v>
      </c>
      <c r="G3913" t="s">
        <v>4565</v>
      </c>
      <c r="H3913" s="21">
        <v>1259.67</v>
      </c>
    </row>
    <row r="3914" spans="1:8" customFormat="1" x14ac:dyDescent="0.25">
      <c r="A3914" t="str">
        <f>"263543"</f>
        <v>263543</v>
      </c>
      <c r="B3914" t="s">
        <v>4711</v>
      </c>
      <c r="C3914" t="s">
        <v>204</v>
      </c>
      <c r="D3914" s="21" t="s">
        <v>34</v>
      </c>
      <c r="E3914" s="21" t="s">
        <v>35</v>
      </c>
      <c r="F3914">
        <v>1260015</v>
      </c>
      <c r="G3914" t="s">
        <v>4712</v>
      </c>
      <c r="H3914" s="21">
        <v>1259.67</v>
      </c>
    </row>
    <row r="3915" spans="1:8" customFormat="1" x14ac:dyDescent="0.25">
      <c r="A3915" t="str">
        <f>"5169"</f>
        <v>5169</v>
      </c>
      <c r="B3915" t="s">
        <v>4587</v>
      </c>
      <c r="C3915" t="s">
        <v>415</v>
      </c>
      <c r="D3915" s="21" t="s">
        <v>34</v>
      </c>
      <c r="E3915" s="21" t="s">
        <v>71</v>
      </c>
      <c r="F3915">
        <v>6510002</v>
      </c>
      <c r="G3915" t="s">
        <v>4588</v>
      </c>
      <c r="H3915" s="21">
        <v>1259.67</v>
      </c>
    </row>
    <row r="3916" spans="1:8" customFormat="1" x14ac:dyDescent="0.25">
      <c r="A3916" t="str">
        <f>"19484"</f>
        <v>19484</v>
      </c>
      <c r="B3916" t="s">
        <v>4615</v>
      </c>
      <c r="C3916" t="s">
        <v>462</v>
      </c>
      <c r="D3916" s="21" t="s">
        <v>34</v>
      </c>
      <c r="E3916" s="21" t="s">
        <v>71</v>
      </c>
      <c r="F3916">
        <v>10190120</v>
      </c>
      <c r="G3916" t="s">
        <v>4616</v>
      </c>
      <c r="H3916" s="21">
        <v>1259.67</v>
      </c>
    </row>
    <row r="3917" spans="1:8" customFormat="1" x14ac:dyDescent="0.25">
      <c r="A3917" t="str">
        <f>"4450694"</f>
        <v>4450694</v>
      </c>
      <c r="B3917" t="s">
        <v>24557</v>
      </c>
      <c r="C3917" t="s">
        <v>209</v>
      </c>
      <c r="D3917" s="21" t="s">
        <v>34</v>
      </c>
      <c r="E3917" s="21" t="s">
        <v>35</v>
      </c>
      <c r="F3917">
        <v>1690030</v>
      </c>
      <c r="G3917" t="s">
        <v>432</v>
      </c>
      <c r="H3917" s="21">
        <v>1259.67</v>
      </c>
    </row>
    <row r="3918" spans="1:8" customFormat="1" x14ac:dyDescent="0.25">
      <c r="A3918" t="str">
        <f>"7631811"</f>
        <v>7631811</v>
      </c>
      <c r="B3918" t="s">
        <v>4488</v>
      </c>
      <c r="C3918" t="s">
        <v>263</v>
      </c>
      <c r="D3918" s="21" t="s">
        <v>34</v>
      </c>
      <c r="E3918" s="21" t="s">
        <v>35</v>
      </c>
      <c r="F3918">
        <v>7800004</v>
      </c>
      <c r="G3918" t="s">
        <v>748</v>
      </c>
      <c r="H3918" s="21">
        <v>1259.67</v>
      </c>
    </row>
    <row r="3919" spans="1:8" customFormat="1" x14ac:dyDescent="0.25">
      <c r="A3919" t="str">
        <f>"607531"</f>
        <v>607531</v>
      </c>
      <c r="B3919" t="s">
        <v>1419</v>
      </c>
      <c r="C3919" t="s">
        <v>114</v>
      </c>
      <c r="D3919" s="21" t="s">
        <v>34</v>
      </c>
      <c r="E3919" s="21" t="s">
        <v>71</v>
      </c>
      <c r="F3919">
        <v>7600063</v>
      </c>
      <c r="G3919" t="s">
        <v>2506</v>
      </c>
      <c r="H3919" s="21">
        <v>1259.67</v>
      </c>
    </row>
    <row r="3920" spans="1:8" customFormat="1" x14ac:dyDescent="0.25">
      <c r="A3920" t="str">
        <f>"762539"</f>
        <v>762539</v>
      </c>
      <c r="B3920" t="s">
        <v>4936</v>
      </c>
      <c r="C3920" t="s">
        <v>204</v>
      </c>
      <c r="D3920" s="21" t="s">
        <v>34</v>
      </c>
      <c r="E3920" s="21" t="s">
        <v>35</v>
      </c>
      <c r="F3920">
        <v>9760168</v>
      </c>
      <c r="G3920" t="s">
        <v>179</v>
      </c>
      <c r="H3920" s="21">
        <v>1259.67</v>
      </c>
    </row>
    <row r="3921" spans="1:8" customFormat="1" x14ac:dyDescent="0.25">
      <c r="A3921" t="str">
        <f>"796492"</f>
        <v>796492</v>
      </c>
      <c r="B3921" t="s">
        <v>4709</v>
      </c>
      <c r="C3921" t="s">
        <v>547</v>
      </c>
      <c r="D3921" s="21" t="s">
        <v>34</v>
      </c>
      <c r="E3921" s="21" t="s">
        <v>35</v>
      </c>
      <c r="F3921">
        <v>4370566</v>
      </c>
      <c r="G3921" t="s">
        <v>4710</v>
      </c>
      <c r="H3921" s="21">
        <v>1259.67</v>
      </c>
    </row>
    <row r="3922" spans="1:8" customFormat="1" x14ac:dyDescent="0.25">
      <c r="A3922" t="str">
        <f>"185554"</f>
        <v>185554</v>
      </c>
      <c r="B3922" t="s">
        <v>4723</v>
      </c>
      <c r="C3922" t="s">
        <v>4724</v>
      </c>
      <c r="D3922" s="21" t="s">
        <v>34</v>
      </c>
      <c r="E3922" s="21" t="s">
        <v>35</v>
      </c>
      <c r="F3922">
        <v>3560012</v>
      </c>
      <c r="G3922" t="s">
        <v>3857</v>
      </c>
      <c r="H3922" s="21">
        <v>1259.42</v>
      </c>
    </row>
    <row r="3923" spans="1:8" customFormat="1" x14ac:dyDescent="0.25">
      <c r="A3923" t="str">
        <f>"855517"</f>
        <v>855517</v>
      </c>
      <c r="B3923" t="s">
        <v>5444</v>
      </c>
      <c r="C3923" t="s">
        <v>3522</v>
      </c>
      <c r="D3923" s="21" t="s">
        <v>34</v>
      </c>
      <c r="E3923" s="21" t="s">
        <v>35</v>
      </c>
      <c r="F3923">
        <v>10240014</v>
      </c>
      <c r="G3923" t="s">
        <v>5445</v>
      </c>
      <c r="H3923" s="21">
        <v>1259.42</v>
      </c>
    </row>
    <row r="3924" spans="1:8" customFormat="1" x14ac:dyDescent="0.25">
      <c r="A3924" t="str">
        <f>"884493"</f>
        <v>884493</v>
      </c>
      <c r="B3924" t="s">
        <v>3998</v>
      </c>
      <c r="C3924" t="s">
        <v>2529</v>
      </c>
      <c r="D3924" s="21" t="s">
        <v>34</v>
      </c>
      <c r="E3924" s="21" t="s">
        <v>71</v>
      </c>
      <c r="F3924">
        <v>6880116</v>
      </c>
      <c r="G3924" t="s">
        <v>2465</v>
      </c>
      <c r="H3924" s="21">
        <v>1259.42</v>
      </c>
    </row>
    <row r="3925" spans="1:8" customFormat="1" x14ac:dyDescent="0.25">
      <c r="A3925" t="str">
        <f>"7813998"</f>
        <v>7813998</v>
      </c>
      <c r="B3925" t="s">
        <v>3480</v>
      </c>
      <c r="C3925" t="s">
        <v>379</v>
      </c>
      <c r="D3925" s="21" t="s">
        <v>34</v>
      </c>
      <c r="E3925" s="21" t="s">
        <v>71</v>
      </c>
      <c r="F3925">
        <v>8781467</v>
      </c>
      <c r="G3925" t="s">
        <v>3838</v>
      </c>
      <c r="H3925" s="21">
        <v>1259.18</v>
      </c>
    </row>
    <row r="3926" spans="1:8" customFormat="1" x14ac:dyDescent="0.25">
      <c r="A3926" t="str">
        <f>"0613807"</f>
        <v>0613807</v>
      </c>
      <c r="B3926" t="s">
        <v>6367</v>
      </c>
      <c r="C3926" t="s">
        <v>239</v>
      </c>
      <c r="D3926" s="21" t="s">
        <v>34</v>
      </c>
      <c r="E3926" s="21" t="s">
        <v>35</v>
      </c>
      <c r="F3926">
        <v>13060110</v>
      </c>
      <c r="G3926" t="s">
        <v>3268</v>
      </c>
      <c r="H3926" s="21">
        <v>1259.17</v>
      </c>
    </row>
    <row r="3927" spans="1:8" customFormat="1" x14ac:dyDescent="0.25">
      <c r="A3927" t="str">
        <f>"621548"</f>
        <v>621548</v>
      </c>
      <c r="B3927" t="s">
        <v>5349</v>
      </c>
      <c r="C3927" t="s">
        <v>1468</v>
      </c>
      <c r="D3927" s="21" t="s">
        <v>34</v>
      </c>
      <c r="E3927" s="21" t="s">
        <v>35</v>
      </c>
      <c r="F3927">
        <v>7620038</v>
      </c>
      <c r="G3927" t="s">
        <v>5049</v>
      </c>
      <c r="H3927" s="21">
        <v>1259.17</v>
      </c>
    </row>
    <row r="3928" spans="1:8" customFormat="1" x14ac:dyDescent="0.25">
      <c r="A3928" t="str">
        <f>"6211706"</f>
        <v>6211706</v>
      </c>
      <c r="B3928" t="s">
        <v>108</v>
      </c>
      <c r="C3928" t="s">
        <v>415</v>
      </c>
      <c r="D3928" s="21" t="s">
        <v>34</v>
      </c>
      <c r="E3928" s="21" t="s">
        <v>35</v>
      </c>
      <c r="F3928">
        <v>7620031</v>
      </c>
      <c r="G3928" t="s">
        <v>2182</v>
      </c>
      <c r="H3928" s="21">
        <v>1259.17</v>
      </c>
    </row>
    <row r="3929" spans="1:8" customFormat="1" x14ac:dyDescent="0.25">
      <c r="A3929" t="str">
        <f>"507372"</f>
        <v>507372</v>
      </c>
      <c r="B3929" t="s">
        <v>4323</v>
      </c>
      <c r="C3929" t="s">
        <v>198</v>
      </c>
      <c r="D3929" s="21" t="s">
        <v>34</v>
      </c>
      <c r="E3929" s="21" t="s">
        <v>71</v>
      </c>
      <c r="F3929">
        <v>9500022</v>
      </c>
      <c r="G3929" t="s">
        <v>4324</v>
      </c>
      <c r="H3929" s="21">
        <v>1259.17</v>
      </c>
    </row>
    <row r="3930" spans="1:8" customFormat="1" x14ac:dyDescent="0.25">
      <c r="A3930" t="str">
        <f>"641635"</f>
        <v>641635</v>
      </c>
      <c r="B3930" t="s">
        <v>3834</v>
      </c>
      <c r="C3930" t="s">
        <v>598</v>
      </c>
      <c r="D3930" s="21" t="s">
        <v>34</v>
      </c>
      <c r="E3930" s="21" t="s">
        <v>71</v>
      </c>
      <c r="F3930">
        <v>10640014</v>
      </c>
      <c r="G3930" t="s">
        <v>3327</v>
      </c>
      <c r="H3930" s="21">
        <v>1259.17</v>
      </c>
    </row>
    <row r="3931" spans="1:8" customFormat="1" x14ac:dyDescent="0.25">
      <c r="A3931" t="str">
        <f>"4421696"</f>
        <v>4421696</v>
      </c>
      <c r="B3931" t="s">
        <v>5706</v>
      </c>
      <c r="C3931" t="s">
        <v>169</v>
      </c>
      <c r="D3931" s="21" t="s">
        <v>34</v>
      </c>
      <c r="E3931" s="21" t="s">
        <v>71</v>
      </c>
      <c r="F3931">
        <v>12440197</v>
      </c>
      <c r="G3931" t="s">
        <v>1101</v>
      </c>
      <c r="H3931" s="21">
        <v>1259.17</v>
      </c>
    </row>
    <row r="3932" spans="1:8" customFormat="1" x14ac:dyDescent="0.25">
      <c r="A3932" t="str">
        <f>"9521706"</f>
        <v>9521706</v>
      </c>
      <c r="B3932" t="s">
        <v>889</v>
      </c>
      <c r="C3932" t="s">
        <v>33</v>
      </c>
      <c r="D3932" s="21" t="s">
        <v>34</v>
      </c>
      <c r="E3932" s="21" t="s">
        <v>35</v>
      </c>
      <c r="F3932">
        <v>8950083</v>
      </c>
      <c r="G3932" t="s">
        <v>405</v>
      </c>
      <c r="H3932" s="21">
        <v>1259.05</v>
      </c>
    </row>
    <row r="3933" spans="1:8" customFormat="1" x14ac:dyDescent="0.25">
      <c r="A3933" t="str">
        <f>"386437"</f>
        <v>386437</v>
      </c>
      <c r="B3933" t="s">
        <v>4864</v>
      </c>
      <c r="C3933" t="s">
        <v>204</v>
      </c>
      <c r="D3933" s="21" t="s">
        <v>34</v>
      </c>
      <c r="E3933" s="21" t="s">
        <v>35</v>
      </c>
      <c r="F3933">
        <v>1380267</v>
      </c>
      <c r="G3933" t="s">
        <v>1002</v>
      </c>
      <c r="H3933" s="21">
        <v>1258.92</v>
      </c>
    </row>
    <row r="3934" spans="1:8" customFormat="1" x14ac:dyDescent="0.25">
      <c r="A3934" t="str">
        <f>"4522827"</f>
        <v>4522827</v>
      </c>
      <c r="B3934" t="s">
        <v>3639</v>
      </c>
      <c r="C3934" t="s">
        <v>1271</v>
      </c>
      <c r="D3934" s="21" t="s">
        <v>34</v>
      </c>
      <c r="E3934" s="21" t="s">
        <v>35</v>
      </c>
      <c r="F3934">
        <v>3350030</v>
      </c>
      <c r="G3934" t="s">
        <v>4549</v>
      </c>
      <c r="H3934" s="21">
        <v>1258.8</v>
      </c>
    </row>
    <row r="3935" spans="1:8" customFormat="1" x14ac:dyDescent="0.25">
      <c r="A3935" t="str">
        <f>"7617479"</f>
        <v>7617479</v>
      </c>
      <c r="B3935" t="s">
        <v>4797</v>
      </c>
      <c r="C3935" t="s">
        <v>124</v>
      </c>
      <c r="D3935" s="21" t="s">
        <v>34</v>
      </c>
      <c r="E3935" s="21" t="s">
        <v>71</v>
      </c>
      <c r="F3935">
        <v>9760382</v>
      </c>
      <c r="G3935" t="s">
        <v>2737</v>
      </c>
      <c r="H3935" s="21">
        <v>1258.67</v>
      </c>
    </row>
    <row r="3936" spans="1:8" customFormat="1" x14ac:dyDescent="0.25">
      <c r="A3936" t="str">
        <f>"7827074"</f>
        <v>7827074</v>
      </c>
      <c r="B3936" t="s">
        <v>4029</v>
      </c>
      <c r="C3936" t="s">
        <v>87</v>
      </c>
      <c r="D3936" s="21" t="s">
        <v>34</v>
      </c>
      <c r="E3936" s="21" t="s">
        <v>35</v>
      </c>
      <c r="F3936">
        <v>1260006</v>
      </c>
      <c r="G3936" t="s">
        <v>790</v>
      </c>
      <c r="H3936" s="21">
        <v>1258.67</v>
      </c>
    </row>
    <row r="3937" spans="1:8" customFormat="1" x14ac:dyDescent="0.25">
      <c r="A3937" t="str">
        <f>"759453"</f>
        <v>759453</v>
      </c>
      <c r="B3937" t="s">
        <v>4069</v>
      </c>
      <c r="C3937" t="s">
        <v>4070</v>
      </c>
      <c r="D3937" s="21" t="s">
        <v>34</v>
      </c>
      <c r="E3937" s="21" t="s">
        <v>35</v>
      </c>
      <c r="F3937">
        <v>8751412</v>
      </c>
      <c r="G3937" t="s">
        <v>3615</v>
      </c>
      <c r="H3937" s="21">
        <v>1258.44</v>
      </c>
    </row>
    <row r="3938" spans="1:8" customFormat="1" x14ac:dyDescent="0.25">
      <c r="A3938" t="str">
        <f>"302263"</f>
        <v>302263</v>
      </c>
      <c r="B3938" t="s">
        <v>2747</v>
      </c>
      <c r="C3938" t="s">
        <v>87</v>
      </c>
      <c r="D3938" s="21" t="s">
        <v>34</v>
      </c>
      <c r="E3938" s="21" t="s">
        <v>35</v>
      </c>
      <c r="F3938">
        <v>13130100</v>
      </c>
      <c r="G3938" t="s">
        <v>2893</v>
      </c>
      <c r="H3938" s="21">
        <v>1258.17</v>
      </c>
    </row>
    <row r="3939" spans="1:8" customFormat="1" x14ac:dyDescent="0.25">
      <c r="A3939" t="str">
        <f>"9415472"</f>
        <v>9415472</v>
      </c>
      <c r="B3939" t="s">
        <v>26817</v>
      </c>
      <c r="C3939" t="s">
        <v>269</v>
      </c>
      <c r="D3939" s="21" t="s">
        <v>34</v>
      </c>
      <c r="E3939" s="21" t="s">
        <v>35</v>
      </c>
      <c r="F3939">
        <v>8940458</v>
      </c>
      <c r="G3939" t="s">
        <v>26774</v>
      </c>
      <c r="H3939" s="21">
        <v>1258.17</v>
      </c>
    </row>
    <row r="3940" spans="1:8" customFormat="1" x14ac:dyDescent="0.25">
      <c r="A3940" t="str">
        <f>"677283"</f>
        <v>677283</v>
      </c>
      <c r="B3940" t="s">
        <v>5418</v>
      </c>
      <c r="C3940" t="s">
        <v>269</v>
      </c>
      <c r="D3940" s="21" t="s">
        <v>34</v>
      </c>
      <c r="E3940" s="21" t="s">
        <v>35</v>
      </c>
      <c r="F3940">
        <v>6670203</v>
      </c>
      <c r="G3940" t="s">
        <v>2371</v>
      </c>
      <c r="H3940" s="21">
        <v>1258.17</v>
      </c>
    </row>
    <row r="3941" spans="1:8" customFormat="1" x14ac:dyDescent="0.25">
      <c r="A3941" t="str">
        <f>"902844"</f>
        <v>902844</v>
      </c>
      <c r="B3941" t="s">
        <v>1422</v>
      </c>
      <c r="C3941" t="s">
        <v>65</v>
      </c>
      <c r="D3941" s="21" t="s">
        <v>34</v>
      </c>
      <c r="E3941" s="21" t="s">
        <v>35</v>
      </c>
      <c r="F3941">
        <v>2250021</v>
      </c>
      <c r="G3941" t="s">
        <v>2352</v>
      </c>
      <c r="H3941" s="21">
        <v>1258.17</v>
      </c>
    </row>
    <row r="3942" spans="1:8" customFormat="1" x14ac:dyDescent="0.25">
      <c r="A3942" t="str">
        <f>"36187"</f>
        <v>36187</v>
      </c>
      <c r="B3942" t="s">
        <v>6258</v>
      </c>
      <c r="C3942" t="s">
        <v>1446</v>
      </c>
      <c r="D3942" s="21" t="s">
        <v>34</v>
      </c>
      <c r="E3942" s="21" t="s">
        <v>35</v>
      </c>
      <c r="F3942">
        <v>4360009</v>
      </c>
      <c r="G3942" t="s">
        <v>6259</v>
      </c>
      <c r="H3942" s="21">
        <v>1257.93</v>
      </c>
    </row>
    <row r="3943" spans="1:8" customFormat="1" x14ac:dyDescent="0.25">
      <c r="A3943" t="str">
        <f>"6012839"</f>
        <v>6012839</v>
      </c>
      <c r="B3943" t="s">
        <v>5241</v>
      </c>
      <c r="C3943" t="s">
        <v>462</v>
      </c>
      <c r="D3943" s="21" t="s">
        <v>34</v>
      </c>
      <c r="E3943" s="21" t="s">
        <v>71</v>
      </c>
      <c r="F3943">
        <v>7600031</v>
      </c>
      <c r="G3943" t="s">
        <v>3283</v>
      </c>
      <c r="H3943" s="21">
        <v>1257.92</v>
      </c>
    </row>
    <row r="3944" spans="1:8" customFormat="1" x14ac:dyDescent="0.25">
      <c r="A3944" t="str">
        <f>"3822946"</f>
        <v>3822946</v>
      </c>
      <c r="B3944" t="s">
        <v>4318</v>
      </c>
      <c r="C3944" t="s">
        <v>1146</v>
      </c>
      <c r="D3944" s="21" t="s">
        <v>34</v>
      </c>
      <c r="E3944" s="21" t="s">
        <v>35</v>
      </c>
      <c r="F3944">
        <v>1380045</v>
      </c>
      <c r="G3944" t="s">
        <v>2114</v>
      </c>
      <c r="H3944" s="21">
        <v>1257.92</v>
      </c>
    </row>
    <row r="3945" spans="1:8" customFormat="1" x14ac:dyDescent="0.25">
      <c r="A3945" t="str">
        <f>"256291"</f>
        <v>256291</v>
      </c>
      <c r="B3945" t="s">
        <v>623</v>
      </c>
      <c r="C3945" t="s">
        <v>121</v>
      </c>
      <c r="D3945" s="21" t="s">
        <v>34</v>
      </c>
      <c r="E3945" s="21" t="s">
        <v>35</v>
      </c>
      <c r="F3945">
        <v>2250193</v>
      </c>
      <c r="G3945" t="s">
        <v>2584</v>
      </c>
      <c r="H3945" s="21">
        <v>1257.67</v>
      </c>
    </row>
    <row r="3946" spans="1:8" customFormat="1" x14ac:dyDescent="0.25">
      <c r="A3946" t="str">
        <f>"593329"</f>
        <v>593329</v>
      </c>
      <c r="B3946" t="s">
        <v>4731</v>
      </c>
      <c r="C3946" t="s">
        <v>124</v>
      </c>
      <c r="D3946" s="21" t="s">
        <v>34</v>
      </c>
      <c r="E3946" s="21" t="s">
        <v>71</v>
      </c>
      <c r="F3946">
        <v>7590194</v>
      </c>
      <c r="G3946" t="s">
        <v>460</v>
      </c>
      <c r="H3946" s="21">
        <v>1257.67</v>
      </c>
    </row>
    <row r="3947" spans="1:8" customFormat="1" x14ac:dyDescent="0.25">
      <c r="A3947" t="str">
        <f>"641677"</f>
        <v>641677</v>
      </c>
      <c r="B3947" t="s">
        <v>26818</v>
      </c>
      <c r="C3947" t="s">
        <v>204</v>
      </c>
      <c r="D3947" s="21" t="s">
        <v>34</v>
      </c>
      <c r="E3947" s="21" t="s">
        <v>35</v>
      </c>
      <c r="F3947">
        <v>10640003</v>
      </c>
      <c r="G3947" t="s">
        <v>1594</v>
      </c>
      <c r="H3947" s="21">
        <v>1257.67</v>
      </c>
    </row>
    <row r="3948" spans="1:8" customFormat="1" x14ac:dyDescent="0.25">
      <c r="A3948" t="str">
        <f>"721121"</f>
        <v>721121</v>
      </c>
      <c r="B3948" t="s">
        <v>5066</v>
      </c>
      <c r="C3948" t="s">
        <v>249</v>
      </c>
      <c r="D3948" s="21" t="s">
        <v>34</v>
      </c>
      <c r="E3948" s="21" t="s">
        <v>71</v>
      </c>
      <c r="F3948">
        <v>12720070</v>
      </c>
      <c r="G3948" t="s">
        <v>2348</v>
      </c>
      <c r="H3948" s="21">
        <v>1257.17</v>
      </c>
    </row>
    <row r="3949" spans="1:8" customFormat="1" x14ac:dyDescent="0.25">
      <c r="A3949" t="str">
        <f>"6812067"</f>
        <v>6812067</v>
      </c>
      <c r="B3949" t="s">
        <v>26819</v>
      </c>
      <c r="C3949" t="s">
        <v>336</v>
      </c>
      <c r="D3949" s="21" t="s">
        <v>34</v>
      </c>
      <c r="E3949" s="21" t="s">
        <v>35</v>
      </c>
      <c r="F3949">
        <v>6680105</v>
      </c>
      <c r="G3949" t="s">
        <v>403</v>
      </c>
      <c r="H3949" s="21">
        <v>1257.17</v>
      </c>
    </row>
    <row r="3950" spans="1:8" customFormat="1" x14ac:dyDescent="0.25">
      <c r="A3950" t="str">
        <f>"60618"</f>
        <v>60618</v>
      </c>
      <c r="B3950" t="s">
        <v>392</v>
      </c>
      <c r="C3950" t="s">
        <v>209</v>
      </c>
      <c r="D3950" s="21" t="s">
        <v>34</v>
      </c>
      <c r="E3950" s="21" t="s">
        <v>71</v>
      </c>
      <c r="F3950">
        <v>7600024</v>
      </c>
      <c r="G3950" t="s">
        <v>1234</v>
      </c>
      <c r="H3950" s="21">
        <v>1257.17</v>
      </c>
    </row>
    <row r="3951" spans="1:8" customFormat="1" x14ac:dyDescent="0.25">
      <c r="A3951" t="str">
        <f>"743027"</f>
        <v>743027</v>
      </c>
      <c r="B3951" t="s">
        <v>2082</v>
      </c>
      <c r="C3951" t="s">
        <v>2533</v>
      </c>
      <c r="D3951" s="21" t="s">
        <v>34</v>
      </c>
      <c r="E3951" s="21" t="s">
        <v>71</v>
      </c>
      <c r="F3951">
        <v>1740020</v>
      </c>
      <c r="G3951" t="s">
        <v>881</v>
      </c>
      <c r="H3951" s="21">
        <v>1257.17</v>
      </c>
    </row>
    <row r="3952" spans="1:8" customFormat="1" x14ac:dyDescent="0.25">
      <c r="A3952" t="str">
        <f>"6217339"</f>
        <v>6217339</v>
      </c>
      <c r="B3952" t="s">
        <v>5309</v>
      </c>
      <c r="C3952" t="s">
        <v>812</v>
      </c>
      <c r="D3952" s="21" t="s">
        <v>34</v>
      </c>
      <c r="E3952" s="21" t="s">
        <v>71</v>
      </c>
      <c r="F3952">
        <v>7620103</v>
      </c>
      <c r="G3952" t="s">
        <v>1107</v>
      </c>
      <c r="H3952" s="21">
        <v>1257.17</v>
      </c>
    </row>
    <row r="3953" spans="1:8" customFormat="1" x14ac:dyDescent="0.25">
      <c r="A3953" t="str">
        <f>"161992"</f>
        <v>161992</v>
      </c>
      <c r="B3953" t="s">
        <v>4470</v>
      </c>
      <c r="C3953" t="s">
        <v>4471</v>
      </c>
      <c r="D3953" s="21" t="s">
        <v>34</v>
      </c>
      <c r="E3953" s="21" t="s">
        <v>71</v>
      </c>
      <c r="F3953">
        <v>10160197</v>
      </c>
      <c r="G3953" t="s">
        <v>4472</v>
      </c>
      <c r="H3953" s="21">
        <v>1257.17</v>
      </c>
    </row>
    <row r="3954" spans="1:8" customFormat="1" x14ac:dyDescent="0.25">
      <c r="A3954" t="str">
        <f>"864574"</f>
        <v>864574</v>
      </c>
      <c r="B3954" t="s">
        <v>5172</v>
      </c>
      <c r="C3954" t="s">
        <v>4074</v>
      </c>
      <c r="D3954" s="21" t="s">
        <v>34</v>
      </c>
      <c r="E3954" s="21" t="s">
        <v>71</v>
      </c>
      <c r="F3954">
        <v>10860021</v>
      </c>
      <c r="G3954" t="s">
        <v>26820</v>
      </c>
      <c r="H3954" s="21">
        <v>1257.17</v>
      </c>
    </row>
    <row r="3955" spans="1:8" customFormat="1" x14ac:dyDescent="0.25">
      <c r="A3955" t="str">
        <f>"734436"</f>
        <v>734436</v>
      </c>
      <c r="B3955" t="s">
        <v>4412</v>
      </c>
      <c r="C3955" t="s">
        <v>825</v>
      </c>
      <c r="D3955" s="21" t="s">
        <v>34</v>
      </c>
      <c r="E3955" s="21" t="s">
        <v>71</v>
      </c>
      <c r="F3955">
        <v>1730076</v>
      </c>
      <c r="G3955" t="s">
        <v>936</v>
      </c>
      <c r="H3955" s="21">
        <v>1257.17</v>
      </c>
    </row>
    <row r="3956" spans="1:8" customFormat="1" x14ac:dyDescent="0.25">
      <c r="A3956" t="str">
        <f>"025231"</f>
        <v>025231</v>
      </c>
      <c r="B3956" t="s">
        <v>5095</v>
      </c>
      <c r="C3956" t="s">
        <v>37</v>
      </c>
      <c r="D3956" s="21" t="s">
        <v>34</v>
      </c>
      <c r="E3956" s="21" t="s">
        <v>35</v>
      </c>
      <c r="F3956">
        <v>7020044</v>
      </c>
      <c r="G3956" t="s">
        <v>4690</v>
      </c>
      <c r="H3956" s="21">
        <v>1256.92</v>
      </c>
    </row>
    <row r="3957" spans="1:8" customFormat="1" x14ac:dyDescent="0.25">
      <c r="A3957" t="str">
        <f>"5316704"</f>
        <v>5316704</v>
      </c>
      <c r="B3957" t="s">
        <v>1885</v>
      </c>
      <c r="C3957" t="s">
        <v>4901</v>
      </c>
      <c r="D3957" s="21" t="s">
        <v>34</v>
      </c>
      <c r="E3957" s="21" t="s">
        <v>35</v>
      </c>
      <c r="F3957">
        <v>12530016</v>
      </c>
      <c r="G3957" t="s">
        <v>2069</v>
      </c>
      <c r="H3957" s="21">
        <v>1256.92</v>
      </c>
    </row>
    <row r="3958" spans="1:8" customFormat="1" x14ac:dyDescent="0.25">
      <c r="A3958" t="str">
        <f>"361573"</f>
        <v>361573</v>
      </c>
      <c r="B3958" t="s">
        <v>5228</v>
      </c>
      <c r="C3958" t="s">
        <v>43</v>
      </c>
      <c r="D3958" s="21" t="s">
        <v>34</v>
      </c>
      <c r="E3958" s="21" t="s">
        <v>35</v>
      </c>
      <c r="F3958">
        <v>4360124</v>
      </c>
      <c r="G3958" t="s">
        <v>5229</v>
      </c>
      <c r="H3958" s="21">
        <v>1256.67</v>
      </c>
    </row>
    <row r="3959" spans="1:8" customFormat="1" x14ac:dyDescent="0.25">
      <c r="A3959" t="str">
        <f>"629911"</f>
        <v>629911</v>
      </c>
      <c r="B3959" t="s">
        <v>4911</v>
      </c>
      <c r="C3959" t="s">
        <v>60</v>
      </c>
      <c r="D3959" s="21" t="s">
        <v>34</v>
      </c>
      <c r="E3959" s="21" t="s">
        <v>35</v>
      </c>
      <c r="F3959">
        <v>4360341</v>
      </c>
      <c r="G3959" t="s">
        <v>4912</v>
      </c>
      <c r="H3959" s="21">
        <v>1256.67</v>
      </c>
    </row>
    <row r="3960" spans="1:8" customFormat="1" x14ac:dyDescent="0.25">
      <c r="A3960" t="str">
        <f>"812646"</f>
        <v>812646</v>
      </c>
      <c r="B3960" t="s">
        <v>5210</v>
      </c>
      <c r="C3960" t="s">
        <v>249</v>
      </c>
      <c r="D3960" s="21" t="s">
        <v>34</v>
      </c>
      <c r="E3960" s="21" t="s">
        <v>71</v>
      </c>
      <c r="F3960">
        <v>11810024</v>
      </c>
      <c r="G3960" t="s">
        <v>2095</v>
      </c>
      <c r="H3960" s="21">
        <v>1256.67</v>
      </c>
    </row>
    <row r="3961" spans="1:8" customFormat="1" x14ac:dyDescent="0.25">
      <c r="A3961" t="str">
        <f>"50662"</f>
        <v>50662</v>
      </c>
      <c r="B3961" t="s">
        <v>4763</v>
      </c>
      <c r="C3961" t="s">
        <v>55</v>
      </c>
      <c r="D3961" s="21" t="s">
        <v>34</v>
      </c>
      <c r="E3961" s="21" t="s">
        <v>254</v>
      </c>
      <c r="F3961">
        <v>9140063</v>
      </c>
      <c r="G3961" t="s">
        <v>4764</v>
      </c>
      <c r="H3961" s="21">
        <v>1256.42</v>
      </c>
    </row>
    <row r="3962" spans="1:8" customFormat="1" x14ac:dyDescent="0.25">
      <c r="A3962" t="str">
        <f>"7719417"</f>
        <v>7719417</v>
      </c>
      <c r="B3962" t="s">
        <v>5006</v>
      </c>
      <c r="C3962" t="s">
        <v>233</v>
      </c>
      <c r="D3962" s="21" t="s">
        <v>34</v>
      </c>
      <c r="E3962" s="21" t="s">
        <v>35</v>
      </c>
      <c r="F3962">
        <v>8771229</v>
      </c>
      <c r="G3962" t="s">
        <v>26815</v>
      </c>
      <c r="H3962" s="21">
        <v>1256.3</v>
      </c>
    </row>
    <row r="3963" spans="1:8" customFormat="1" x14ac:dyDescent="0.25">
      <c r="A3963" t="str">
        <f>"9526967"</f>
        <v>9526967</v>
      </c>
      <c r="B3963" t="s">
        <v>4594</v>
      </c>
      <c r="C3963" t="s">
        <v>144</v>
      </c>
      <c r="D3963" s="21" t="s">
        <v>34</v>
      </c>
      <c r="E3963" s="21" t="s">
        <v>35</v>
      </c>
      <c r="F3963">
        <v>8950978</v>
      </c>
      <c r="G3963" t="s">
        <v>1164</v>
      </c>
      <c r="H3963" s="21">
        <v>1256.17</v>
      </c>
    </row>
    <row r="3964" spans="1:8" customFormat="1" x14ac:dyDescent="0.25">
      <c r="A3964" t="str">
        <f>"185407"</f>
        <v>185407</v>
      </c>
      <c r="B3964" t="s">
        <v>10853</v>
      </c>
      <c r="C3964" t="s">
        <v>109</v>
      </c>
      <c r="D3964" s="21" t="s">
        <v>34</v>
      </c>
      <c r="E3964" s="21" t="s">
        <v>35</v>
      </c>
      <c r="F3964">
        <v>4180530</v>
      </c>
      <c r="G3964" t="s">
        <v>3622</v>
      </c>
      <c r="H3964" s="21">
        <v>1256.17</v>
      </c>
    </row>
    <row r="3965" spans="1:8" customFormat="1" x14ac:dyDescent="0.25">
      <c r="A3965" t="str">
        <f>"225880"</f>
        <v>225880</v>
      </c>
      <c r="B3965" t="s">
        <v>5099</v>
      </c>
      <c r="C3965" t="s">
        <v>43</v>
      </c>
      <c r="D3965" s="21" t="s">
        <v>34</v>
      </c>
      <c r="E3965" s="21" t="s">
        <v>35</v>
      </c>
      <c r="F3965">
        <v>3220030</v>
      </c>
      <c r="G3965" t="s">
        <v>26821</v>
      </c>
      <c r="H3965" s="21">
        <v>1255.92</v>
      </c>
    </row>
    <row r="3966" spans="1:8" customFormat="1" x14ac:dyDescent="0.25">
      <c r="A3966" t="str">
        <f>"596377"</f>
        <v>596377</v>
      </c>
      <c r="B3966" t="s">
        <v>26822</v>
      </c>
      <c r="C3966" t="s">
        <v>65</v>
      </c>
      <c r="D3966" s="21" t="s">
        <v>34</v>
      </c>
      <c r="E3966" s="21" t="s">
        <v>35</v>
      </c>
      <c r="F3966">
        <v>7590162</v>
      </c>
      <c r="G3966" t="s">
        <v>7211</v>
      </c>
      <c r="H3966" s="21">
        <v>1255.67</v>
      </c>
    </row>
    <row r="3967" spans="1:8" customFormat="1" x14ac:dyDescent="0.25">
      <c r="A3967" t="str">
        <f>"592050"</f>
        <v>592050</v>
      </c>
      <c r="B3967" t="s">
        <v>457</v>
      </c>
      <c r="C3967" t="s">
        <v>87</v>
      </c>
      <c r="D3967" s="21" t="s">
        <v>34</v>
      </c>
      <c r="E3967" s="21" t="s">
        <v>71</v>
      </c>
      <c r="F3967">
        <v>7590003</v>
      </c>
      <c r="G3967" t="s">
        <v>1166</v>
      </c>
      <c r="H3967" s="21">
        <v>1255.67</v>
      </c>
    </row>
    <row r="3968" spans="1:8" customFormat="1" x14ac:dyDescent="0.25">
      <c r="A3968" t="str">
        <f>"5322986"</f>
        <v>5322986</v>
      </c>
      <c r="B3968" t="s">
        <v>3733</v>
      </c>
      <c r="C3968" t="s">
        <v>1474</v>
      </c>
      <c r="D3968" s="21" t="s">
        <v>34</v>
      </c>
      <c r="E3968" s="21" t="s">
        <v>35</v>
      </c>
      <c r="F3968">
        <v>12530063</v>
      </c>
      <c r="G3968" t="s">
        <v>4313</v>
      </c>
      <c r="H3968" s="21">
        <v>1255.67</v>
      </c>
    </row>
    <row r="3969" spans="1:8" customFormat="1" x14ac:dyDescent="0.25">
      <c r="A3969" t="str">
        <f>"06784"</f>
        <v>06784</v>
      </c>
      <c r="B3969" t="s">
        <v>26823</v>
      </c>
      <c r="C3969" t="s">
        <v>103</v>
      </c>
      <c r="D3969" s="21" t="s">
        <v>34</v>
      </c>
      <c r="E3969" s="21" t="s">
        <v>71</v>
      </c>
      <c r="F3969">
        <v>13060031</v>
      </c>
      <c r="G3969" t="s">
        <v>9379</v>
      </c>
      <c r="H3969" s="21">
        <v>1255.67</v>
      </c>
    </row>
    <row r="3970" spans="1:8" customFormat="1" x14ac:dyDescent="0.25">
      <c r="A3970" t="str">
        <f>"872962"</f>
        <v>872962</v>
      </c>
      <c r="B3970" t="s">
        <v>3505</v>
      </c>
      <c r="C3970" t="s">
        <v>269</v>
      </c>
      <c r="D3970" s="21" t="s">
        <v>34</v>
      </c>
      <c r="E3970" s="21" t="s">
        <v>71</v>
      </c>
      <c r="F3970">
        <v>10870031</v>
      </c>
      <c r="G3970" t="s">
        <v>959</v>
      </c>
      <c r="H3970" s="21">
        <v>1255.67</v>
      </c>
    </row>
    <row r="3971" spans="1:8" customFormat="1" x14ac:dyDescent="0.25">
      <c r="A3971" t="str">
        <f>"219253"</f>
        <v>219253</v>
      </c>
      <c r="B3971" t="s">
        <v>1252</v>
      </c>
      <c r="C3971" t="s">
        <v>7001</v>
      </c>
      <c r="D3971" s="21" t="s">
        <v>34</v>
      </c>
      <c r="E3971" s="21" t="s">
        <v>35</v>
      </c>
      <c r="F3971">
        <v>2710008</v>
      </c>
      <c r="G3971" t="s">
        <v>10040</v>
      </c>
      <c r="H3971" s="21">
        <v>1255.67</v>
      </c>
    </row>
    <row r="3972" spans="1:8" customFormat="1" x14ac:dyDescent="0.25">
      <c r="A3972" t="str">
        <f>"566889"</f>
        <v>566889</v>
      </c>
      <c r="B3972" t="s">
        <v>4206</v>
      </c>
      <c r="C3972" t="s">
        <v>598</v>
      </c>
      <c r="D3972" s="21" t="s">
        <v>34</v>
      </c>
      <c r="E3972" s="21" t="s">
        <v>71</v>
      </c>
      <c r="F3972">
        <v>3560022</v>
      </c>
      <c r="G3972" t="s">
        <v>2547</v>
      </c>
      <c r="H3972" s="21">
        <v>1255.67</v>
      </c>
    </row>
    <row r="3973" spans="1:8" customFormat="1" x14ac:dyDescent="0.25">
      <c r="A3973" t="str">
        <f>"5613082"</f>
        <v>5613082</v>
      </c>
      <c r="B3973" t="s">
        <v>5431</v>
      </c>
      <c r="C3973" t="s">
        <v>40</v>
      </c>
      <c r="D3973" s="21" t="s">
        <v>34</v>
      </c>
      <c r="E3973" s="21" t="s">
        <v>71</v>
      </c>
      <c r="F3973">
        <v>3350074</v>
      </c>
      <c r="G3973" t="s">
        <v>5432</v>
      </c>
      <c r="H3973" s="21">
        <v>1255.67</v>
      </c>
    </row>
    <row r="3974" spans="1:8" customFormat="1" x14ac:dyDescent="0.25">
      <c r="A3974" t="str">
        <f>"67717"</f>
        <v>67717</v>
      </c>
      <c r="B3974" t="s">
        <v>3528</v>
      </c>
      <c r="C3974" t="s">
        <v>1142</v>
      </c>
      <c r="D3974" s="21" t="s">
        <v>34</v>
      </c>
      <c r="E3974" s="21" t="s">
        <v>254</v>
      </c>
      <c r="F3974">
        <v>6670202</v>
      </c>
      <c r="G3974" t="s">
        <v>605</v>
      </c>
      <c r="H3974" s="21">
        <v>1255.67</v>
      </c>
    </row>
    <row r="3975" spans="1:8" customFormat="1" x14ac:dyDescent="0.25">
      <c r="A3975" t="str">
        <f>"5933986"</f>
        <v>5933986</v>
      </c>
      <c r="B3975" t="s">
        <v>25285</v>
      </c>
      <c r="C3975" t="s">
        <v>576</v>
      </c>
      <c r="D3975" s="21" t="s">
        <v>34</v>
      </c>
      <c r="E3975" s="21" t="s">
        <v>35</v>
      </c>
      <c r="F3975">
        <v>7590017</v>
      </c>
      <c r="G3975" t="s">
        <v>1316</v>
      </c>
      <c r="H3975" s="21">
        <v>1255.67</v>
      </c>
    </row>
    <row r="3976" spans="1:8" customFormat="1" x14ac:dyDescent="0.25">
      <c r="A3976" t="str">
        <f>"608158"</f>
        <v>608158</v>
      </c>
      <c r="B3976" t="s">
        <v>19230</v>
      </c>
      <c r="C3976" t="s">
        <v>169</v>
      </c>
      <c r="D3976" s="21" t="s">
        <v>34</v>
      </c>
      <c r="E3976" s="21" t="s">
        <v>71</v>
      </c>
      <c r="F3976">
        <v>7600063</v>
      </c>
      <c r="G3976" t="s">
        <v>2506</v>
      </c>
      <c r="H3976" s="21">
        <v>1255.55</v>
      </c>
    </row>
    <row r="3977" spans="1:8" customFormat="1" x14ac:dyDescent="0.25">
      <c r="A3977" t="str">
        <f>"7850"</f>
        <v>7850</v>
      </c>
      <c r="B3977" t="s">
        <v>4926</v>
      </c>
      <c r="C3977" t="s">
        <v>169</v>
      </c>
      <c r="D3977" s="21" t="s">
        <v>34</v>
      </c>
      <c r="E3977" s="21" t="s">
        <v>35</v>
      </c>
      <c r="F3977">
        <v>8780002</v>
      </c>
      <c r="G3977" t="s">
        <v>2196</v>
      </c>
      <c r="H3977" s="21">
        <v>1255.18</v>
      </c>
    </row>
    <row r="3978" spans="1:8" customFormat="1" x14ac:dyDescent="0.25">
      <c r="A3978" t="str">
        <f>"571232"</f>
        <v>571232</v>
      </c>
      <c r="B3978" t="s">
        <v>4725</v>
      </c>
      <c r="C3978" t="s">
        <v>40</v>
      </c>
      <c r="D3978" s="21" t="s">
        <v>34</v>
      </c>
      <c r="E3978" s="21" t="s">
        <v>71</v>
      </c>
      <c r="F3978">
        <v>6570088</v>
      </c>
      <c r="G3978" t="s">
        <v>3461</v>
      </c>
      <c r="H3978" s="21">
        <v>1255.17</v>
      </c>
    </row>
    <row r="3979" spans="1:8" customFormat="1" x14ac:dyDescent="0.25">
      <c r="A3979" t="str">
        <f>"724331"</f>
        <v>724331</v>
      </c>
      <c r="B3979" t="s">
        <v>4423</v>
      </c>
      <c r="C3979" t="s">
        <v>139</v>
      </c>
      <c r="D3979" s="21" t="s">
        <v>34</v>
      </c>
      <c r="E3979" s="21" t="s">
        <v>35</v>
      </c>
      <c r="F3979">
        <v>12720110</v>
      </c>
      <c r="G3979" t="s">
        <v>3464</v>
      </c>
      <c r="H3979" s="21">
        <v>1255.17</v>
      </c>
    </row>
    <row r="3980" spans="1:8" customFormat="1" x14ac:dyDescent="0.25">
      <c r="A3980" t="str">
        <f>"703962"</f>
        <v>703962</v>
      </c>
      <c r="B3980" t="s">
        <v>4953</v>
      </c>
      <c r="C3980" t="s">
        <v>874</v>
      </c>
      <c r="D3980" s="21" t="s">
        <v>34</v>
      </c>
      <c r="E3980" s="21" t="s">
        <v>35</v>
      </c>
      <c r="F3980">
        <v>2700089</v>
      </c>
      <c r="G3980" t="s">
        <v>2570</v>
      </c>
      <c r="H3980" s="21">
        <v>1255.17</v>
      </c>
    </row>
    <row r="3981" spans="1:8" customFormat="1" x14ac:dyDescent="0.25">
      <c r="A3981" t="str">
        <f>"301283"</f>
        <v>301283</v>
      </c>
      <c r="B3981" t="s">
        <v>4421</v>
      </c>
      <c r="C3981" t="s">
        <v>462</v>
      </c>
      <c r="D3981" s="21" t="s">
        <v>34</v>
      </c>
      <c r="E3981" s="21" t="s">
        <v>35</v>
      </c>
      <c r="F3981">
        <v>11300023</v>
      </c>
      <c r="G3981" t="s">
        <v>2679</v>
      </c>
      <c r="H3981" s="21">
        <v>1255.17</v>
      </c>
    </row>
    <row r="3982" spans="1:8" customFormat="1" x14ac:dyDescent="0.25">
      <c r="A3982" t="str">
        <f>"6710711"</f>
        <v>6710711</v>
      </c>
      <c r="B3982" t="s">
        <v>690</v>
      </c>
      <c r="C3982" t="s">
        <v>2100</v>
      </c>
      <c r="D3982" s="21" t="s">
        <v>34</v>
      </c>
      <c r="E3982" s="21" t="s">
        <v>35</v>
      </c>
      <c r="F3982">
        <v>6680116</v>
      </c>
      <c r="G3982" t="s">
        <v>5205</v>
      </c>
      <c r="H3982" s="21">
        <v>1255.17</v>
      </c>
    </row>
    <row r="3983" spans="1:8" customFormat="1" x14ac:dyDescent="0.25">
      <c r="A3983" t="str">
        <f>"355052"</f>
        <v>355052</v>
      </c>
      <c r="B3983" t="s">
        <v>5518</v>
      </c>
      <c r="C3983" t="s">
        <v>926</v>
      </c>
      <c r="D3983" s="21" t="s">
        <v>34</v>
      </c>
      <c r="E3983" s="21" t="s">
        <v>35</v>
      </c>
      <c r="F3983">
        <v>3350122</v>
      </c>
      <c r="G3983" t="s">
        <v>3069</v>
      </c>
      <c r="H3983" s="21">
        <v>1255.04</v>
      </c>
    </row>
    <row r="3984" spans="1:8" customFormat="1" x14ac:dyDescent="0.25">
      <c r="A3984" t="str">
        <f>"1319266"</f>
        <v>1319266</v>
      </c>
      <c r="B3984" t="s">
        <v>5408</v>
      </c>
      <c r="C3984" t="s">
        <v>60</v>
      </c>
      <c r="D3984" s="21" t="s">
        <v>34</v>
      </c>
      <c r="E3984" s="21" t="s">
        <v>35</v>
      </c>
      <c r="F3984">
        <v>13130138</v>
      </c>
      <c r="G3984" t="s">
        <v>5409</v>
      </c>
      <c r="H3984" s="21">
        <v>1254.92</v>
      </c>
    </row>
    <row r="3985" spans="1:8" customFormat="1" x14ac:dyDescent="0.25">
      <c r="A3985" t="str">
        <f>"6919700"</f>
        <v>6919700</v>
      </c>
      <c r="B3985" t="s">
        <v>26824</v>
      </c>
      <c r="C3985" t="s">
        <v>174</v>
      </c>
      <c r="D3985" s="21" t="s">
        <v>34</v>
      </c>
      <c r="E3985" s="21" t="s">
        <v>35</v>
      </c>
      <c r="F3985">
        <v>1690192</v>
      </c>
      <c r="G3985" t="s">
        <v>3578</v>
      </c>
      <c r="H3985" s="21">
        <v>1254.67</v>
      </c>
    </row>
    <row r="3986" spans="1:8" customFormat="1" x14ac:dyDescent="0.25">
      <c r="A3986" t="str">
        <f>"7614081"</f>
        <v>7614081</v>
      </c>
      <c r="B3986" t="s">
        <v>4540</v>
      </c>
      <c r="C3986" t="s">
        <v>130</v>
      </c>
      <c r="D3986" s="21" t="s">
        <v>34</v>
      </c>
      <c r="E3986" s="21" t="s">
        <v>71</v>
      </c>
      <c r="F3986">
        <v>9760415</v>
      </c>
      <c r="G3986" t="s">
        <v>4541</v>
      </c>
      <c r="H3986" s="21">
        <v>1254.67</v>
      </c>
    </row>
    <row r="3987" spans="1:8" customFormat="1" x14ac:dyDescent="0.25">
      <c r="A3987" t="str">
        <f>"9120171"</f>
        <v>9120171</v>
      </c>
      <c r="B3987" t="s">
        <v>2686</v>
      </c>
      <c r="C3987" t="s">
        <v>114</v>
      </c>
      <c r="D3987" s="21" t="s">
        <v>34</v>
      </c>
      <c r="E3987" s="21" t="s">
        <v>71</v>
      </c>
      <c r="F3987">
        <v>8940458</v>
      </c>
      <c r="G3987" t="s">
        <v>26774</v>
      </c>
      <c r="H3987" s="21">
        <v>1254.67</v>
      </c>
    </row>
    <row r="3988" spans="1:8" customFormat="1" x14ac:dyDescent="0.25">
      <c r="A3988" t="str">
        <f>"9213852"</f>
        <v>9213852</v>
      </c>
      <c r="B3988" t="s">
        <v>5571</v>
      </c>
      <c r="C3988" t="s">
        <v>55</v>
      </c>
      <c r="D3988" s="21" t="s">
        <v>34</v>
      </c>
      <c r="E3988" s="21" t="s">
        <v>71</v>
      </c>
      <c r="F3988">
        <v>8920151</v>
      </c>
      <c r="G3988" t="s">
        <v>1434</v>
      </c>
      <c r="H3988" s="21">
        <v>1254.67</v>
      </c>
    </row>
    <row r="3989" spans="1:8" customFormat="1" x14ac:dyDescent="0.25">
      <c r="A3989" t="str">
        <f>"936445"</f>
        <v>936445</v>
      </c>
      <c r="B3989" t="s">
        <v>3837</v>
      </c>
      <c r="C3989" t="s">
        <v>60</v>
      </c>
      <c r="D3989" s="21" t="s">
        <v>34</v>
      </c>
      <c r="E3989" s="21" t="s">
        <v>35</v>
      </c>
      <c r="F3989">
        <v>8920312</v>
      </c>
      <c r="G3989" t="s">
        <v>1026</v>
      </c>
      <c r="H3989" s="21">
        <v>1254.29</v>
      </c>
    </row>
    <row r="3990" spans="1:8" customFormat="1" x14ac:dyDescent="0.25">
      <c r="A3990" t="str">
        <f>"9418398"</f>
        <v>9418398</v>
      </c>
      <c r="B3990" t="s">
        <v>5837</v>
      </c>
      <c r="C3990" t="s">
        <v>239</v>
      </c>
      <c r="D3990" s="21" t="s">
        <v>34</v>
      </c>
      <c r="E3990" s="21" t="s">
        <v>35</v>
      </c>
      <c r="F3990">
        <v>8940448</v>
      </c>
      <c r="G3990" t="s">
        <v>1691</v>
      </c>
      <c r="H3990" s="21">
        <v>1254.25</v>
      </c>
    </row>
    <row r="3991" spans="1:8" customFormat="1" x14ac:dyDescent="0.25">
      <c r="A3991" t="str">
        <f>"916753"</f>
        <v>916753</v>
      </c>
      <c r="B3991" t="s">
        <v>4906</v>
      </c>
      <c r="C3991" t="s">
        <v>169</v>
      </c>
      <c r="D3991" s="21" t="s">
        <v>34</v>
      </c>
      <c r="E3991" s="21" t="s">
        <v>71</v>
      </c>
      <c r="F3991">
        <v>1740060</v>
      </c>
      <c r="G3991" t="s">
        <v>4907</v>
      </c>
      <c r="H3991" s="21">
        <v>1254.17</v>
      </c>
    </row>
    <row r="3992" spans="1:8" customFormat="1" x14ac:dyDescent="0.25">
      <c r="A3992" t="str">
        <f>"594412"</f>
        <v>594412</v>
      </c>
      <c r="B3992" t="s">
        <v>5108</v>
      </c>
      <c r="C3992" t="s">
        <v>598</v>
      </c>
      <c r="D3992" s="21" t="s">
        <v>34</v>
      </c>
      <c r="E3992" s="21" t="s">
        <v>71</v>
      </c>
      <c r="F3992">
        <v>7590271</v>
      </c>
      <c r="G3992" t="s">
        <v>3163</v>
      </c>
      <c r="H3992" s="21">
        <v>1254.17</v>
      </c>
    </row>
    <row r="3993" spans="1:8" customFormat="1" x14ac:dyDescent="0.25">
      <c r="A3993" t="str">
        <f>"594588"</f>
        <v>594588</v>
      </c>
      <c r="B3993" t="s">
        <v>4607</v>
      </c>
      <c r="C3993" t="s">
        <v>147</v>
      </c>
      <c r="D3993" s="21" t="s">
        <v>34</v>
      </c>
      <c r="E3993" s="21" t="s">
        <v>35</v>
      </c>
      <c r="F3993">
        <v>7590048</v>
      </c>
      <c r="G3993" t="s">
        <v>4608</v>
      </c>
      <c r="H3993" s="21">
        <v>1254.17</v>
      </c>
    </row>
    <row r="3994" spans="1:8" customFormat="1" x14ac:dyDescent="0.25">
      <c r="A3994" t="str">
        <f>"76139"</f>
        <v>76139</v>
      </c>
      <c r="B3994" t="s">
        <v>4183</v>
      </c>
      <c r="C3994" t="s">
        <v>2520</v>
      </c>
      <c r="D3994" s="21" t="s">
        <v>34</v>
      </c>
      <c r="E3994" s="21" t="s">
        <v>254</v>
      </c>
      <c r="F3994">
        <v>9760463</v>
      </c>
      <c r="G3994" t="s">
        <v>1188</v>
      </c>
      <c r="H3994" s="21">
        <v>1254.17</v>
      </c>
    </row>
    <row r="3995" spans="1:8" customFormat="1" x14ac:dyDescent="0.25">
      <c r="A3995" t="str">
        <f>"953157"</f>
        <v>953157</v>
      </c>
      <c r="B3995" t="s">
        <v>9821</v>
      </c>
      <c r="C3995" t="s">
        <v>114</v>
      </c>
      <c r="D3995" s="21" t="s">
        <v>34</v>
      </c>
      <c r="E3995" s="21" t="s">
        <v>35</v>
      </c>
      <c r="F3995">
        <v>8951447</v>
      </c>
      <c r="G3995" t="s">
        <v>12175</v>
      </c>
      <c r="H3995" s="21">
        <v>1254.17</v>
      </c>
    </row>
    <row r="3996" spans="1:8" customFormat="1" x14ac:dyDescent="0.25">
      <c r="A3996" t="str">
        <f>"441370"</f>
        <v>441370</v>
      </c>
      <c r="B3996" t="s">
        <v>13659</v>
      </c>
      <c r="C3996" t="s">
        <v>169</v>
      </c>
      <c r="D3996" s="21" t="s">
        <v>34</v>
      </c>
      <c r="E3996" s="21" t="s">
        <v>71</v>
      </c>
      <c r="F3996">
        <v>12440266</v>
      </c>
      <c r="G3996" t="s">
        <v>924</v>
      </c>
      <c r="H3996" s="21">
        <v>1254.17</v>
      </c>
    </row>
    <row r="3997" spans="1:8" customFormat="1" x14ac:dyDescent="0.25">
      <c r="A3997" t="str">
        <f>"623304"</f>
        <v>623304</v>
      </c>
      <c r="B3997" t="s">
        <v>5018</v>
      </c>
      <c r="C3997" t="s">
        <v>209</v>
      </c>
      <c r="D3997" s="21" t="s">
        <v>34</v>
      </c>
      <c r="E3997" s="21" t="s">
        <v>35</v>
      </c>
      <c r="F3997">
        <v>7620024</v>
      </c>
      <c r="G3997" t="s">
        <v>2975</v>
      </c>
      <c r="H3997" s="21">
        <v>1254.17</v>
      </c>
    </row>
    <row r="3998" spans="1:8" customFormat="1" x14ac:dyDescent="0.25">
      <c r="A3998" t="str">
        <f>"631598"</f>
        <v>631598</v>
      </c>
      <c r="B3998" t="s">
        <v>6313</v>
      </c>
      <c r="C3998" t="s">
        <v>3010</v>
      </c>
      <c r="D3998" s="21" t="s">
        <v>34</v>
      </c>
      <c r="E3998" s="21" t="s">
        <v>254</v>
      </c>
      <c r="F3998">
        <v>1630310</v>
      </c>
      <c r="G3998" t="s">
        <v>6314</v>
      </c>
      <c r="H3998" s="21">
        <v>1254.17</v>
      </c>
    </row>
    <row r="3999" spans="1:8" customFormat="1" x14ac:dyDescent="0.25">
      <c r="A3999" t="str">
        <f>"68351"</f>
        <v>68351</v>
      </c>
      <c r="B3999" t="s">
        <v>3985</v>
      </c>
      <c r="C3999" t="s">
        <v>817</v>
      </c>
      <c r="D3999" s="21" t="s">
        <v>34</v>
      </c>
      <c r="E3999" s="21" t="s">
        <v>35</v>
      </c>
      <c r="F3999">
        <v>6680011</v>
      </c>
      <c r="G3999" t="s">
        <v>1524</v>
      </c>
      <c r="H3999" s="21">
        <v>1254.17</v>
      </c>
    </row>
    <row r="4000" spans="1:8" customFormat="1" x14ac:dyDescent="0.25">
      <c r="A4000" t="str">
        <f>"2513245"</f>
        <v>2513245</v>
      </c>
      <c r="B4000" t="s">
        <v>5003</v>
      </c>
      <c r="C4000" t="s">
        <v>55</v>
      </c>
      <c r="D4000" s="21" t="s">
        <v>34</v>
      </c>
      <c r="E4000" s="21" t="s">
        <v>71</v>
      </c>
      <c r="F4000">
        <v>2250229</v>
      </c>
      <c r="G4000" t="s">
        <v>5004</v>
      </c>
      <c r="H4000" s="21">
        <v>1254.17</v>
      </c>
    </row>
    <row r="4001" spans="1:8" customFormat="1" x14ac:dyDescent="0.25">
      <c r="A4001" t="str">
        <f>"561235"</f>
        <v>561235</v>
      </c>
      <c r="B4001" t="s">
        <v>4968</v>
      </c>
      <c r="C4001" t="s">
        <v>55</v>
      </c>
      <c r="D4001" s="21" t="s">
        <v>34</v>
      </c>
      <c r="E4001" s="21" t="s">
        <v>71</v>
      </c>
      <c r="F4001">
        <v>3560045</v>
      </c>
      <c r="G4001" t="s">
        <v>4969</v>
      </c>
      <c r="H4001" s="21">
        <v>1253.67</v>
      </c>
    </row>
    <row r="4002" spans="1:8" customFormat="1" x14ac:dyDescent="0.25">
      <c r="A4002" t="str">
        <f>"682932"</f>
        <v>682932</v>
      </c>
      <c r="B4002" t="s">
        <v>6542</v>
      </c>
      <c r="C4002" t="s">
        <v>669</v>
      </c>
      <c r="D4002" s="21" t="s">
        <v>34</v>
      </c>
      <c r="E4002" s="21" t="s">
        <v>35</v>
      </c>
      <c r="F4002">
        <v>6680125</v>
      </c>
      <c r="G4002" t="s">
        <v>6543</v>
      </c>
      <c r="H4002" s="21">
        <v>1253.67</v>
      </c>
    </row>
    <row r="4003" spans="1:8" customFormat="1" x14ac:dyDescent="0.25">
      <c r="A4003" t="str">
        <f>"574259"</f>
        <v>574259</v>
      </c>
      <c r="B4003" t="s">
        <v>3547</v>
      </c>
      <c r="C4003" t="s">
        <v>65</v>
      </c>
      <c r="D4003" s="21" t="s">
        <v>34</v>
      </c>
      <c r="E4003" s="21" t="s">
        <v>35</v>
      </c>
      <c r="F4003">
        <v>6570111</v>
      </c>
      <c r="G4003" t="s">
        <v>99</v>
      </c>
      <c r="H4003" s="21">
        <v>1253.67</v>
      </c>
    </row>
    <row r="4004" spans="1:8" customFormat="1" x14ac:dyDescent="0.25">
      <c r="A4004" t="str">
        <f>"594398"</f>
        <v>594398</v>
      </c>
      <c r="B4004" t="s">
        <v>2065</v>
      </c>
      <c r="C4004" t="s">
        <v>90</v>
      </c>
      <c r="D4004" s="21" t="s">
        <v>34</v>
      </c>
      <c r="E4004" s="21" t="s">
        <v>35</v>
      </c>
      <c r="F4004">
        <v>7590013</v>
      </c>
      <c r="G4004" t="s">
        <v>4839</v>
      </c>
      <c r="H4004" s="21">
        <v>1253.42</v>
      </c>
    </row>
    <row r="4005" spans="1:8" customFormat="1" x14ac:dyDescent="0.25">
      <c r="A4005" t="str">
        <f>"395788"</f>
        <v>395788</v>
      </c>
      <c r="B4005" t="s">
        <v>7867</v>
      </c>
      <c r="C4005" t="s">
        <v>1025</v>
      </c>
      <c r="D4005" s="21" t="s">
        <v>34</v>
      </c>
      <c r="E4005" s="21" t="s">
        <v>71</v>
      </c>
      <c r="F4005">
        <v>2390027</v>
      </c>
      <c r="G4005" t="s">
        <v>3605</v>
      </c>
      <c r="H4005" s="21">
        <v>1253.29</v>
      </c>
    </row>
    <row r="4006" spans="1:8" customFormat="1" x14ac:dyDescent="0.25">
      <c r="A4006" t="str">
        <f>"6012661"</f>
        <v>6012661</v>
      </c>
      <c r="B4006" t="s">
        <v>4149</v>
      </c>
      <c r="C4006" t="s">
        <v>328</v>
      </c>
      <c r="D4006" s="21" t="s">
        <v>34</v>
      </c>
      <c r="E4006" s="21" t="s">
        <v>35</v>
      </c>
      <c r="F4006">
        <v>7800003</v>
      </c>
      <c r="G4006" t="s">
        <v>276</v>
      </c>
      <c r="H4006" s="21">
        <v>1253.17</v>
      </c>
    </row>
    <row r="4007" spans="1:8" customFormat="1" x14ac:dyDescent="0.25">
      <c r="A4007" t="str">
        <f>"7868849"</f>
        <v>7868849</v>
      </c>
      <c r="B4007" t="s">
        <v>4628</v>
      </c>
      <c r="C4007" t="s">
        <v>4629</v>
      </c>
      <c r="D4007" s="21" t="s">
        <v>34</v>
      </c>
      <c r="E4007" s="21" t="s">
        <v>35</v>
      </c>
      <c r="F4007">
        <v>8780585</v>
      </c>
      <c r="G4007" t="s">
        <v>4630</v>
      </c>
      <c r="H4007" s="21">
        <v>1253.17</v>
      </c>
    </row>
    <row r="4008" spans="1:8" customFormat="1" x14ac:dyDescent="0.25">
      <c r="A4008" t="str">
        <f>"5411476"</f>
        <v>5411476</v>
      </c>
      <c r="B4008" t="s">
        <v>3576</v>
      </c>
      <c r="C4008" t="s">
        <v>269</v>
      </c>
      <c r="D4008" s="21" t="s">
        <v>34</v>
      </c>
      <c r="E4008" s="21" t="s">
        <v>71</v>
      </c>
      <c r="F4008">
        <v>6540034</v>
      </c>
      <c r="G4008" t="s">
        <v>2211</v>
      </c>
      <c r="H4008" s="21">
        <v>1253.17</v>
      </c>
    </row>
    <row r="4009" spans="1:8" customFormat="1" x14ac:dyDescent="0.25">
      <c r="A4009" t="str">
        <f>"726143"</f>
        <v>726143</v>
      </c>
      <c r="B4009" t="s">
        <v>2738</v>
      </c>
      <c r="C4009" t="s">
        <v>121</v>
      </c>
      <c r="D4009" s="21" t="s">
        <v>34</v>
      </c>
      <c r="E4009" s="21" t="s">
        <v>35</v>
      </c>
      <c r="F4009">
        <v>7590105</v>
      </c>
      <c r="G4009" t="s">
        <v>887</v>
      </c>
      <c r="H4009" s="21">
        <v>1253.17</v>
      </c>
    </row>
    <row r="4010" spans="1:8" customFormat="1" x14ac:dyDescent="0.25">
      <c r="A4010" t="str">
        <f>"02693"</f>
        <v>02693</v>
      </c>
      <c r="B4010" t="s">
        <v>4700</v>
      </c>
      <c r="C4010" t="s">
        <v>2520</v>
      </c>
      <c r="D4010" s="21" t="s">
        <v>34</v>
      </c>
      <c r="E4010" s="21" t="s">
        <v>254</v>
      </c>
      <c r="F4010">
        <v>7020037</v>
      </c>
      <c r="G4010" t="s">
        <v>4701</v>
      </c>
      <c r="H4010" s="21">
        <v>1253.17</v>
      </c>
    </row>
    <row r="4011" spans="1:8" customFormat="1" x14ac:dyDescent="0.25">
      <c r="A4011" t="str">
        <f>"2711526"</f>
        <v>2711526</v>
      </c>
      <c r="B4011" t="s">
        <v>26825</v>
      </c>
      <c r="C4011" t="s">
        <v>98</v>
      </c>
      <c r="D4011" s="21" t="s">
        <v>34</v>
      </c>
      <c r="E4011" s="21" t="s">
        <v>35</v>
      </c>
      <c r="F4011">
        <v>9270169</v>
      </c>
      <c r="G4011" t="s">
        <v>6217</v>
      </c>
      <c r="H4011" s="21">
        <v>1253.17</v>
      </c>
    </row>
    <row r="4012" spans="1:8" customFormat="1" x14ac:dyDescent="0.25">
      <c r="A4012" t="str">
        <f>"5317447"</f>
        <v>5317447</v>
      </c>
      <c r="B4012" t="s">
        <v>6306</v>
      </c>
      <c r="C4012" t="s">
        <v>576</v>
      </c>
      <c r="D4012" s="21" t="s">
        <v>34</v>
      </c>
      <c r="E4012" s="21" t="s">
        <v>35</v>
      </c>
      <c r="F4012">
        <v>12530035</v>
      </c>
      <c r="G4012" t="s">
        <v>1663</v>
      </c>
      <c r="H4012" s="21">
        <v>1253.17</v>
      </c>
    </row>
    <row r="4013" spans="1:8" customFormat="1" x14ac:dyDescent="0.25">
      <c r="A4013" t="str">
        <f>"5950410"</f>
        <v>5950410</v>
      </c>
      <c r="B4013" t="s">
        <v>5570</v>
      </c>
      <c r="C4013" t="s">
        <v>453</v>
      </c>
      <c r="D4013" s="21" t="s">
        <v>34</v>
      </c>
      <c r="E4013" s="21" t="s">
        <v>254</v>
      </c>
      <c r="F4013">
        <v>7590105</v>
      </c>
      <c r="G4013" t="s">
        <v>887</v>
      </c>
      <c r="H4013" s="21">
        <v>1253.17</v>
      </c>
    </row>
    <row r="4014" spans="1:8" customFormat="1" x14ac:dyDescent="0.25">
      <c r="A4014" t="str">
        <f>"34105"</f>
        <v>34105</v>
      </c>
      <c r="B4014" t="s">
        <v>4948</v>
      </c>
      <c r="C4014" t="s">
        <v>2520</v>
      </c>
      <c r="D4014" s="21" t="s">
        <v>34</v>
      </c>
      <c r="E4014" s="21" t="s">
        <v>254</v>
      </c>
      <c r="F4014">
        <v>11340008</v>
      </c>
      <c r="G4014" t="s">
        <v>312</v>
      </c>
      <c r="H4014" s="21">
        <v>1253.17</v>
      </c>
    </row>
    <row r="4015" spans="1:8" customFormat="1" x14ac:dyDescent="0.25">
      <c r="A4015" t="str">
        <f>"7835443"</f>
        <v>7835443</v>
      </c>
      <c r="B4015" t="s">
        <v>4401</v>
      </c>
      <c r="C4015" t="s">
        <v>4402</v>
      </c>
      <c r="D4015" s="21" t="s">
        <v>34</v>
      </c>
      <c r="E4015" s="21" t="s">
        <v>35</v>
      </c>
      <c r="F4015">
        <v>8780886</v>
      </c>
      <c r="G4015" t="s">
        <v>3161</v>
      </c>
      <c r="H4015" s="21">
        <v>1253.05</v>
      </c>
    </row>
    <row r="4016" spans="1:8" customFormat="1" x14ac:dyDescent="0.25">
      <c r="A4016" t="str">
        <f>"14549"</f>
        <v>14549</v>
      </c>
      <c r="B4016" t="s">
        <v>1736</v>
      </c>
      <c r="C4016" t="s">
        <v>236</v>
      </c>
      <c r="D4016" s="21" t="s">
        <v>34</v>
      </c>
      <c r="E4016" s="21" t="s">
        <v>254</v>
      </c>
      <c r="F4016">
        <v>9140115</v>
      </c>
      <c r="G4016" t="s">
        <v>26590</v>
      </c>
      <c r="H4016" s="21">
        <v>1252.93</v>
      </c>
    </row>
    <row r="4017" spans="1:8" customFormat="1" x14ac:dyDescent="0.25">
      <c r="A4017" t="str">
        <f>"7622717"</f>
        <v>7622717</v>
      </c>
      <c r="B4017" t="s">
        <v>4564</v>
      </c>
      <c r="C4017" t="s">
        <v>62</v>
      </c>
      <c r="D4017" s="21" t="s">
        <v>34</v>
      </c>
      <c r="E4017" s="21" t="s">
        <v>71</v>
      </c>
      <c r="F4017">
        <v>9760331</v>
      </c>
      <c r="G4017" t="s">
        <v>5134</v>
      </c>
      <c r="H4017" s="21">
        <v>1252.92</v>
      </c>
    </row>
    <row r="4018" spans="1:8" customFormat="1" x14ac:dyDescent="0.25">
      <c r="A4018" t="str">
        <f>"4427572"</f>
        <v>4427572</v>
      </c>
      <c r="B4018" t="s">
        <v>4894</v>
      </c>
      <c r="C4018" t="s">
        <v>40</v>
      </c>
      <c r="D4018" s="21" t="s">
        <v>34</v>
      </c>
      <c r="E4018" s="21" t="s">
        <v>254</v>
      </c>
      <c r="F4018">
        <v>12440138</v>
      </c>
      <c r="G4018" t="s">
        <v>562</v>
      </c>
      <c r="H4018" s="21">
        <v>1252.67</v>
      </c>
    </row>
    <row r="4019" spans="1:8" customFormat="1" x14ac:dyDescent="0.25">
      <c r="A4019" t="str">
        <f>"926622"</f>
        <v>926622</v>
      </c>
      <c r="B4019" t="s">
        <v>4157</v>
      </c>
      <c r="C4019" t="s">
        <v>4158</v>
      </c>
      <c r="D4019" s="21" t="s">
        <v>34</v>
      </c>
      <c r="E4019" s="21" t="s">
        <v>35</v>
      </c>
      <c r="F4019">
        <v>8920049</v>
      </c>
      <c r="G4019" t="s">
        <v>237</v>
      </c>
      <c r="H4019" s="21">
        <v>1252.67</v>
      </c>
    </row>
    <row r="4020" spans="1:8" customFormat="1" x14ac:dyDescent="0.25">
      <c r="A4020" t="str">
        <f>"7726700"</f>
        <v>7726700</v>
      </c>
      <c r="B4020" t="s">
        <v>5015</v>
      </c>
      <c r="C4020" t="s">
        <v>5016</v>
      </c>
      <c r="D4020" s="21" t="s">
        <v>34</v>
      </c>
      <c r="E4020" s="21" t="s">
        <v>35</v>
      </c>
      <c r="F4020">
        <v>8771398</v>
      </c>
      <c r="G4020" t="s">
        <v>2759</v>
      </c>
      <c r="H4020" s="21">
        <v>1252.67</v>
      </c>
    </row>
    <row r="4021" spans="1:8" customFormat="1" x14ac:dyDescent="0.25">
      <c r="A4021" t="str">
        <f>"622940"</f>
        <v>622940</v>
      </c>
      <c r="B4021" t="s">
        <v>392</v>
      </c>
      <c r="C4021" t="s">
        <v>285</v>
      </c>
      <c r="D4021" s="21" t="s">
        <v>34</v>
      </c>
      <c r="E4021" s="21" t="s">
        <v>35</v>
      </c>
      <c r="F4021">
        <v>1260065</v>
      </c>
      <c r="G4021" t="s">
        <v>1958</v>
      </c>
      <c r="H4021" s="21">
        <v>1252.67</v>
      </c>
    </row>
    <row r="4022" spans="1:8" customFormat="1" x14ac:dyDescent="0.25">
      <c r="A4022" t="str">
        <f>"7912613"</f>
        <v>7912613</v>
      </c>
      <c r="B4022" t="s">
        <v>4685</v>
      </c>
      <c r="C4022" t="s">
        <v>288</v>
      </c>
      <c r="D4022" s="21" t="s">
        <v>34</v>
      </c>
      <c r="E4022" s="21" t="s">
        <v>71</v>
      </c>
      <c r="F4022">
        <v>10790043</v>
      </c>
      <c r="G4022" t="s">
        <v>2828</v>
      </c>
      <c r="H4022" s="21">
        <v>1252.67</v>
      </c>
    </row>
    <row r="4023" spans="1:8" customFormat="1" x14ac:dyDescent="0.25">
      <c r="A4023" t="str">
        <f>"482060"</f>
        <v>482060</v>
      </c>
      <c r="B4023" t="s">
        <v>5220</v>
      </c>
      <c r="C4023" t="s">
        <v>486</v>
      </c>
      <c r="D4023" s="21" t="s">
        <v>34</v>
      </c>
      <c r="E4023" s="21" t="s">
        <v>71</v>
      </c>
      <c r="F4023">
        <v>11480020</v>
      </c>
      <c r="G4023" t="s">
        <v>5221</v>
      </c>
      <c r="H4023" s="21">
        <v>1252.55</v>
      </c>
    </row>
    <row r="4024" spans="1:8" customFormat="1" x14ac:dyDescent="0.25">
      <c r="A4024" t="str">
        <f>"331135"</f>
        <v>331135</v>
      </c>
      <c r="B4024" t="s">
        <v>4230</v>
      </c>
      <c r="C4024" t="s">
        <v>879</v>
      </c>
      <c r="D4024" s="21" t="s">
        <v>34</v>
      </c>
      <c r="E4024" s="21" t="s">
        <v>254</v>
      </c>
      <c r="F4024">
        <v>10330043</v>
      </c>
      <c r="G4024" t="s">
        <v>1703</v>
      </c>
      <c r="H4024" s="21">
        <v>1252.42</v>
      </c>
    </row>
    <row r="4025" spans="1:8" customFormat="1" x14ac:dyDescent="0.25">
      <c r="A4025" t="str">
        <f>"9128445"</f>
        <v>9128445</v>
      </c>
      <c r="B4025" t="s">
        <v>6142</v>
      </c>
      <c r="C4025" t="s">
        <v>62</v>
      </c>
      <c r="D4025" s="21" t="s">
        <v>34</v>
      </c>
      <c r="E4025" s="21" t="s">
        <v>35</v>
      </c>
      <c r="F4025">
        <v>13130146</v>
      </c>
      <c r="G4025" t="s">
        <v>2471</v>
      </c>
      <c r="H4025" s="21">
        <v>1252.17</v>
      </c>
    </row>
    <row r="4026" spans="1:8" customFormat="1" x14ac:dyDescent="0.25">
      <c r="A4026" t="str">
        <f>"621736"</f>
        <v>621736</v>
      </c>
      <c r="B4026" t="s">
        <v>6294</v>
      </c>
      <c r="C4026" t="s">
        <v>926</v>
      </c>
      <c r="D4026" s="21" t="s">
        <v>34</v>
      </c>
      <c r="E4026" s="21" t="s">
        <v>35</v>
      </c>
      <c r="F4026">
        <v>7620058</v>
      </c>
      <c r="G4026" t="s">
        <v>602</v>
      </c>
      <c r="H4026" s="21">
        <v>1252.17</v>
      </c>
    </row>
    <row r="4027" spans="1:8" customFormat="1" x14ac:dyDescent="0.25">
      <c r="A4027" t="str">
        <f>"259297"</f>
        <v>259297</v>
      </c>
      <c r="B4027" t="s">
        <v>1807</v>
      </c>
      <c r="C4027" t="s">
        <v>109</v>
      </c>
      <c r="D4027" s="21" t="s">
        <v>34</v>
      </c>
      <c r="E4027" s="21" t="s">
        <v>35</v>
      </c>
      <c r="F4027">
        <v>2250138</v>
      </c>
      <c r="G4027" t="s">
        <v>4094</v>
      </c>
      <c r="H4027" s="21">
        <v>1252.17</v>
      </c>
    </row>
    <row r="4028" spans="1:8" customFormat="1" x14ac:dyDescent="0.25">
      <c r="A4028" t="str">
        <f>"604847"</f>
        <v>604847</v>
      </c>
      <c r="B4028" t="s">
        <v>5026</v>
      </c>
      <c r="C4028" t="s">
        <v>33</v>
      </c>
      <c r="D4028" s="21" t="s">
        <v>34</v>
      </c>
      <c r="E4028" s="21" t="s">
        <v>71</v>
      </c>
      <c r="F4028">
        <v>7600039</v>
      </c>
      <c r="G4028" t="s">
        <v>3151</v>
      </c>
      <c r="H4028" s="21">
        <v>1252.17</v>
      </c>
    </row>
    <row r="4029" spans="1:8" customFormat="1" x14ac:dyDescent="0.25">
      <c r="A4029" t="str">
        <f>"4520738"</f>
        <v>4520738</v>
      </c>
      <c r="B4029" t="s">
        <v>6571</v>
      </c>
      <c r="C4029" t="s">
        <v>33</v>
      </c>
      <c r="D4029" s="21" t="s">
        <v>34</v>
      </c>
      <c r="E4029" s="21" t="s">
        <v>71</v>
      </c>
      <c r="F4029">
        <v>4450750</v>
      </c>
      <c r="G4029" t="s">
        <v>6572</v>
      </c>
      <c r="H4029" s="21">
        <v>1252.17</v>
      </c>
    </row>
    <row r="4030" spans="1:8" customFormat="1" x14ac:dyDescent="0.25">
      <c r="A4030" t="str">
        <f>"4413160"</f>
        <v>4413160</v>
      </c>
      <c r="B4030" t="s">
        <v>1435</v>
      </c>
      <c r="C4030" t="s">
        <v>239</v>
      </c>
      <c r="D4030" s="21" t="s">
        <v>34</v>
      </c>
      <c r="E4030" s="21" t="s">
        <v>71</v>
      </c>
      <c r="F4030">
        <v>12440262</v>
      </c>
      <c r="G4030" t="s">
        <v>4590</v>
      </c>
      <c r="H4030" s="21">
        <v>1252.17</v>
      </c>
    </row>
    <row r="4031" spans="1:8" customFormat="1" x14ac:dyDescent="0.25">
      <c r="A4031" t="str">
        <f>"76995"</f>
        <v>76995</v>
      </c>
      <c r="B4031" t="s">
        <v>4527</v>
      </c>
      <c r="C4031" t="s">
        <v>269</v>
      </c>
      <c r="D4031" s="21" t="s">
        <v>34</v>
      </c>
      <c r="E4031" s="21" t="s">
        <v>71</v>
      </c>
      <c r="F4031">
        <v>9760168</v>
      </c>
      <c r="G4031" t="s">
        <v>179</v>
      </c>
      <c r="H4031" s="21">
        <v>1252.05</v>
      </c>
    </row>
    <row r="4032" spans="1:8" customFormat="1" x14ac:dyDescent="0.25">
      <c r="A4032" t="str">
        <f>"9519938"</f>
        <v>9519938</v>
      </c>
      <c r="B4032" t="s">
        <v>6656</v>
      </c>
      <c r="C4032" t="s">
        <v>171</v>
      </c>
      <c r="D4032" s="21" t="s">
        <v>34</v>
      </c>
      <c r="E4032" s="21" t="s">
        <v>71</v>
      </c>
      <c r="F4032">
        <v>8951092</v>
      </c>
      <c r="G4032" t="s">
        <v>5801</v>
      </c>
      <c r="H4032" s="21">
        <v>1252.05</v>
      </c>
    </row>
    <row r="4033" spans="1:8" customFormat="1" x14ac:dyDescent="0.25">
      <c r="A4033" t="str">
        <f>"7852886"</f>
        <v>7852886</v>
      </c>
      <c r="B4033" t="s">
        <v>4444</v>
      </c>
      <c r="C4033" t="s">
        <v>60</v>
      </c>
      <c r="D4033" s="21" t="s">
        <v>34</v>
      </c>
      <c r="E4033" s="21" t="s">
        <v>35</v>
      </c>
      <c r="F4033">
        <v>8780338</v>
      </c>
      <c r="G4033" t="s">
        <v>4145</v>
      </c>
      <c r="H4033" s="21">
        <v>1252.04</v>
      </c>
    </row>
    <row r="4034" spans="1:8" customFormat="1" x14ac:dyDescent="0.25">
      <c r="A4034" t="str">
        <f>"76553"</f>
        <v>76553</v>
      </c>
      <c r="B4034" t="s">
        <v>4073</v>
      </c>
      <c r="C4034" t="s">
        <v>415</v>
      </c>
      <c r="D4034" s="21" t="s">
        <v>34</v>
      </c>
      <c r="E4034" s="21" t="s">
        <v>254</v>
      </c>
      <c r="F4034">
        <v>9760018</v>
      </c>
      <c r="G4034" t="s">
        <v>117</v>
      </c>
      <c r="H4034" s="21">
        <v>1251.67</v>
      </c>
    </row>
    <row r="4035" spans="1:8" customFormat="1" x14ac:dyDescent="0.25">
      <c r="A4035" t="str">
        <f>"4415387"</f>
        <v>4415387</v>
      </c>
      <c r="B4035" t="s">
        <v>2321</v>
      </c>
      <c r="C4035" t="s">
        <v>608</v>
      </c>
      <c r="D4035" s="21" t="s">
        <v>34</v>
      </c>
      <c r="E4035" s="21" t="s">
        <v>254</v>
      </c>
      <c r="F4035">
        <v>12440020</v>
      </c>
      <c r="G4035" t="s">
        <v>4606</v>
      </c>
      <c r="H4035" s="21">
        <v>1251.67</v>
      </c>
    </row>
    <row r="4036" spans="1:8" customFormat="1" x14ac:dyDescent="0.25">
      <c r="A4036" t="str">
        <f>"851427"</f>
        <v>851427</v>
      </c>
      <c r="B4036" t="s">
        <v>4872</v>
      </c>
      <c r="C4036" t="s">
        <v>269</v>
      </c>
      <c r="D4036" s="21" t="s">
        <v>34</v>
      </c>
      <c r="E4036" s="21" t="s">
        <v>71</v>
      </c>
      <c r="F4036">
        <v>12850043</v>
      </c>
      <c r="G4036" t="s">
        <v>4873</v>
      </c>
      <c r="H4036" s="21">
        <v>1251.67</v>
      </c>
    </row>
    <row r="4037" spans="1:8" customFormat="1" x14ac:dyDescent="0.25">
      <c r="A4037" t="str">
        <f>"459633"</f>
        <v>459633</v>
      </c>
      <c r="B4037" t="s">
        <v>4476</v>
      </c>
      <c r="C4037" t="s">
        <v>3859</v>
      </c>
      <c r="D4037" s="21" t="s">
        <v>34</v>
      </c>
      <c r="E4037" s="21" t="s">
        <v>35</v>
      </c>
      <c r="F4037">
        <v>4450663</v>
      </c>
      <c r="G4037" t="s">
        <v>2527</v>
      </c>
      <c r="H4037" s="21">
        <v>1251.67</v>
      </c>
    </row>
    <row r="4038" spans="1:8" customFormat="1" x14ac:dyDescent="0.25">
      <c r="A4038" t="str">
        <f>"853280"</f>
        <v>853280</v>
      </c>
      <c r="B4038" t="s">
        <v>4282</v>
      </c>
      <c r="C4038" t="s">
        <v>1597</v>
      </c>
      <c r="D4038" s="21" t="s">
        <v>34</v>
      </c>
      <c r="E4038" s="21" t="s">
        <v>71</v>
      </c>
      <c r="F4038">
        <v>12850142</v>
      </c>
      <c r="G4038" t="s">
        <v>2663</v>
      </c>
      <c r="H4038" s="21">
        <v>1251.67</v>
      </c>
    </row>
    <row r="4039" spans="1:8" customFormat="1" x14ac:dyDescent="0.25">
      <c r="A4039" t="str">
        <f>"153097"</f>
        <v>153097</v>
      </c>
      <c r="B4039" t="s">
        <v>20109</v>
      </c>
      <c r="C4039" t="s">
        <v>712</v>
      </c>
      <c r="D4039" s="21" t="s">
        <v>34</v>
      </c>
      <c r="E4039" s="21" t="s">
        <v>35</v>
      </c>
      <c r="F4039">
        <v>1150307</v>
      </c>
      <c r="G4039" t="s">
        <v>26826</v>
      </c>
      <c r="H4039" s="21">
        <v>1251.56</v>
      </c>
    </row>
    <row r="4040" spans="1:8" customFormat="1" x14ac:dyDescent="0.25">
      <c r="A4040" t="str">
        <f>"596296"</f>
        <v>596296</v>
      </c>
      <c r="B4040" t="s">
        <v>4932</v>
      </c>
      <c r="C4040" t="s">
        <v>109</v>
      </c>
      <c r="D4040" s="21" t="s">
        <v>34</v>
      </c>
      <c r="E4040" s="21" t="s">
        <v>35</v>
      </c>
      <c r="F4040">
        <v>7590182</v>
      </c>
      <c r="G4040" t="s">
        <v>172</v>
      </c>
      <c r="H4040" s="21">
        <v>1251.42</v>
      </c>
    </row>
    <row r="4041" spans="1:8" customFormat="1" x14ac:dyDescent="0.25">
      <c r="A4041" t="str">
        <f>"7710174"</f>
        <v>7710174</v>
      </c>
      <c r="B4041" t="s">
        <v>5586</v>
      </c>
      <c r="C4041" t="s">
        <v>33</v>
      </c>
      <c r="D4041" s="21" t="s">
        <v>34</v>
      </c>
      <c r="E4041" s="21" t="s">
        <v>35</v>
      </c>
      <c r="F4041">
        <v>11660009</v>
      </c>
      <c r="G4041" t="s">
        <v>26624</v>
      </c>
      <c r="H4041" s="21">
        <v>1251.42</v>
      </c>
    </row>
    <row r="4042" spans="1:8" customFormat="1" x14ac:dyDescent="0.25">
      <c r="A4042" t="str">
        <f>"671177"</f>
        <v>671177</v>
      </c>
      <c r="B4042" t="s">
        <v>4976</v>
      </c>
      <c r="C4042" t="s">
        <v>40</v>
      </c>
      <c r="D4042" s="21" t="s">
        <v>34</v>
      </c>
      <c r="E4042" s="21" t="s">
        <v>254</v>
      </c>
      <c r="F4042">
        <v>6670041</v>
      </c>
      <c r="G4042" t="s">
        <v>1971</v>
      </c>
      <c r="H4042" s="21">
        <v>1251.17</v>
      </c>
    </row>
    <row r="4043" spans="1:8" customFormat="1" x14ac:dyDescent="0.25">
      <c r="A4043" t="str">
        <f>"9410883"</f>
        <v>9410883</v>
      </c>
      <c r="B4043" t="s">
        <v>4908</v>
      </c>
      <c r="C4043" t="s">
        <v>62</v>
      </c>
      <c r="D4043" s="21" t="s">
        <v>34</v>
      </c>
      <c r="E4043" s="21" t="s">
        <v>71</v>
      </c>
      <c r="F4043">
        <v>10170028</v>
      </c>
      <c r="G4043" t="s">
        <v>649</v>
      </c>
      <c r="H4043" s="21">
        <v>1251.17</v>
      </c>
    </row>
    <row r="4044" spans="1:8" customFormat="1" x14ac:dyDescent="0.25">
      <c r="A4044" t="str">
        <f>"534049"</f>
        <v>534049</v>
      </c>
      <c r="B4044" t="s">
        <v>4558</v>
      </c>
      <c r="C4044" t="s">
        <v>611</v>
      </c>
      <c r="D4044" s="21" t="s">
        <v>34</v>
      </c>
      <c r="E4044" s="21" t="s">
        <v>35</v>
      </c>
      <c r="F4044">
        <v>12530124</v>
      </c>
      <c r="G4044" t="s">
        <v>4935</v>
      </c>
      <c r="H4044" s="21">
        <v>1251.17</v>
      </c>
    </row>
    <row r="4045" spans="1:8" customFormat="1" x14ac:dyDescent="0.25">
      <c r="A4045" t="str">
        <f>"503157"</f>
        <v>503157</v>
      </c>
      <c r="B4045" t="s">
        <v>4126</v>
      </c>
      <c r="C4045" t="s">
        <v>130</v>
      </c>
      <c r="D4045" s="21" t="s">
        <v>34</v>
      </c>
      <c r="E4045" s="21" t="s">
        <v>71</v>
      </c>
      <c r="F4045">
        <v>9500059</v>
      </c>
      <c r="G4045" t="s">
        <v>26714</v>
      </c>
      <c r="H4045" s="21">
        <v>1251.17</v>
      </c>
    </row>
    <row r="4046" spans="1:8" customFormat="1" x14ac:dyDescent="0.25">
      <c r="A4046" t="str">
        <f>"301244"</f>
        <v>301244</v>
      </c>
      <c r="B4046" t="s">
        <v>482</v>
      </c>
      <c r="C4046" t="s">
        <v>428</v>
      </c>
      <c r="D4046" s="21" t="s">
        <v>34</v>
      </c>
      <c r="E4046" s="21" t="s">
        <v>71</v>
      </c>
      <c r="F4046">
        <v>11300025</v>
      </c>
      <c r="G4046" t="s">
        <v>1211</v>
      </c>
      <c r="H4046" s="21">
        <v>1251.17</v>
      </c>
    </row>
    <row r="4047" spans="1:8" customFormat="1" x14ac:dyDescent="0.25">
      <c r="A4047" t="str">
        <f>"6313990"</f>
        <v>6313990</v>
      </c>
      <c r="B4047" t="s">
        <v>357</v>
      </c>
      <c r="C4047" t="s">
        <v>926</v>
      </c>
      <c r="D4047" s="21" t="s">
        <v>34</v>
      </c>
      <c r="E4047" s="21" t="s">
        <v>35</v>
      </c>
      <c r="F4047">
        <v>1630078</v>
      </c>
      <c r="G4047" t="s">
        <v>326</v>
      </c>
      <c r="H4047" s="21">
        <v>1251.17</v>
      </c>
    </row>
    <row r="4048" spans="1:8" customFormat="1" x14ac:dyDescent="0.25">
      <c r="A4048" t="str">
        <f>"3310902"</f>
        <v>3310902</v>
      </c>
      <c r="B4048" t="s">
        <v>650</v>
      </c>
      <c r="C4048" t="s">
        <v>109</v>
      </c>
      <c r="D4048" s="21" t="s">
        <v>34</v>
      </c>
      <c r="E4048" s="21" t="s">
        <v>35</v>
      </c>
      <c r="F4048">
        <v>10170016</v>
      </c>
      <c r="G4048" t="s">
        <v>88</v>
      </c>
      <c r="H4048" s="21">
        <v>1250.67</v>
      </c>
    </row>
    <row r="4049" spans="1:8" customFormat="1" x14ac:dyDescent="0.25">
      <c r="A4049" t="str">
        <f>"3819926"</f>
        <v>3819926</v>
      </c>
      <c r="B4049" t="s">
        <v>1611</v>
      </c>
      <c r="C4049" t="s">
        <v>124</v>
      </c>
      <c r="D4049" s="21" t="s">
        <v>34</v>
      </c>
      <c r="E4049" s="21" t="s">
        <v>71</v>
      </c>
      <c r="F4049">
        <v>1380028</v>
      </c>
      <c r="G4049" t="s">
        <v>374</v>
      </c>
      <c r="H4049" s="21">
        <v>1250.67</v>
      </c>
    </row>
    <row r="4050" spans="1:8" customFormat="1" x14ac:dyDescent="0.25">
      <c r="A4050" t="str">
        <f>"9410295"</f>
        <v>9410295</v>
      </c>
      <c r="B4050" t="s">
        <v>4261</v>
      </c>
      <c r="C4050" t="s">
        <v>2301</v>
      </c>
      <c r="D4050" s="21" t="s">
        <v>34</v>
      </c>
      <c r="E4050" s="21" t="s">
        <v>35</v>
      </c>
      <c r="F4050">
        <v>7620019</v>
      </c>
      <c r="G4050" t="s">
        <v>723</v>
      </c>
      <c r="H4050" s="21">
        <v>1250.67</v>
      </c>
    </row>
    <row r="4051" spans="1:8" customFormat="1" x14ac:dyDescent="0.25">
      <c r="A4051" t="str">
        <f>"228873"</f>
        <v>228873</v>
      </c>
      <c r="B4051" t="s">
        <v>5323</v>
      </c>
      <c r="C4051" t="s">
        <v>2907</v>
      </c>
      <c r="D4051" s="21" t="s">
        <v>34</v>
      </c>
      <c r="E4051" s="21" t="s">
        <v>254</v>
      </c>
      <c r="F4051">
        <v>3220005</v>
      </c>
      <c r="G4051" t="s">
        <v>26718</v>
      </c>
      <c r="H4051" s="21">
        <v>1250.67</v>
      </c>
    </row>
    <row r="4052" spans="1:8" customFormat="1" x14ac:dyDescent="0.25">
      <c r="A4052" t="str">
        <f>"595855"</f>
        <v>595855</v>
      </c>
      <c r="B4052" t="s">
        <v>4949</v>
      </c>
      <c r="C4052" t="s">
        <v>288</v>
      </c>
      <c r="D4052" s="21" t="s">
        <v>34</v>
      </c>
      <c r="E4052" s="21" t="s">
        <v>35</v>
      </c>
      <c r="F4052">
        <v>7590004</v>
      </c>
      <c r="G4052" t="s">
        <v>4816</v>
      </c>
      <c r="H4052" s="21">
        <v>1250.67</v>
      </c>
    </row>
    <row r="4053" spans="1:8" customFormat="1" x14ac:dyDescent="0.25">
      <c r="A4053" t="str">
        <f>"576255"</f>
        <v>576255</v>
      </c>
      <c r="B4053" t="s">
        <v>26827</v>
      </c>
      <c r="C4053" t="s">
        <v>239</v>
      </c>
      <c r="D4053" s="21" t="s">
        <v>34</v>
      </c>
      <c r="E4053" s="21" t="s">
        <v>35</v>
      </c>
      <c r="F4053">
        <v>11340066</v>
      </c>
      <c r="G4053" t="s">
        <v>8390</v>
      </c>
      <c r="H4053" s="21">
        <v>1250.67</v>
      </c>
    </row>
    <row r="4054" spans="1:8" customFormat="1" x14ac:dyDescent="0.25">
      <c r="A4054" t="str">
        <f>"6315314"</f>
        <v>6315314</v>
      </c>
      <c r="B4054" t="s">
        <v>6959</v>
      </c>
      <c r="C4054" t="s">
        <v>33</v>
      </c>
      <c r="D4054" s="21" t="s">
        <v>34</v>
      </c>
      <c r="E4054" s="21" t="s">
        <v>35</v>
      </c>
      <c r="F4054">
        <v>1030082</v>
      </c>
      <c r="G4054" t="s">
        <v>26828</v>
      </c>
      <c r="H4054" s="21">
        <v>1250.43</v>
      </c>
    </row>
    <row r="4055" spans="1:8" customFormat="1" x14ac:dyDescent="0.25">
      <c r="A4055" t="str">
        <f>"533842"</f>
        <v>533842</v>
      </c>
      <c r="B4055" t="s">
        <v>5083</v>
      </c>
      <c r="C4055" t="s">
        <v>124</v>
      </c>
      <c r="D4055" s="21" t="s">
        <v>34</v>
      </c>
      <c r="E4055" s="21" t="s">
        <v>71</v>
      </c>
      <c r="F4055">
        <v>12530087</v>
      </c>
      <c r="G4055" t="s">
        <v>3860</v>
      </c>
      <c r="H4055" s="21">
        <v>1250.17</v>
      </c>
    </row>
    <row r="4056" spans="1:8" customFormat="1" x14ac:dyDescent="0.25">
      <c r="A4056" t="str">
        <f>"7412622"</f>
        <v>7412622</v>
      </c>
      <c r="B4056" t="s">
        <v>4670</v>
      </c>
      <c r="C4056" t="s">
        <v>209</v>
      </c>
      <c r="D4056" s="21" t="s">
        <v>34</v>
      </c>
      <c r="E4056" s="21" t="s">
        <v>35</v>
      </c>
      <c r="F4056">
        <v>1740003</v>
      </c>
      <c r="G4056" t="s">
        <v>982</v>
      </c>
      <c r="H4056" s="21">
        <v>1250.17</v>
      </c>
    </row>
    <row r="4057" spans="1:8" customFormat="1" x14ac:dyDescent="0.25">
      <c r="A4057" t="str">
        <f>"3725184"</f>
        <v>3725184</v>
      </c>
      <c r="B4057" t="s">
        <v>5386</v>
      </c>
      <c r="C4057" t="s">
        <v>87</v>
      </c>
      <c r="D4057" s="21" t="s">
        <v>34</v>
      </c>
      <c r="E4057" s="21" t="s">
        <v>71</v>
      </c>
      <c r="F4057">
        <v>4370001</v>
      </c>
      <c r="G4057" t="s">
        <v>957</v>
      </c>
      <c r="H4057" s="21">
        <v>1250.17</v>
      </c>
    </row>
    <row r="4058" spans="1:8" customFormat="1" x14ac:dyDescent="0.25">
      <c r="A4058" t="str">
        <f>"449649"</f>
        <v>449649</v>
      </c>
      <c r="B4058" t="s">
        <v>5821</v>
      </c>
      <c r="C4058" t="s">
        <v>2384</v>
      </c>
      <c r="D4058" s="21" t="s">
        <v>34</v>
      </c>
      <c r="E4058" s="21" t="s">
        <v>35</v>
      </c>
      <c r="F4058">
        <v>12440191</v>
      </c>
      <c r="G4058" t="s">
        <v>5822</v>
      </c>
      <c r="H4058" s="21">
        <v>1250.17</v>
      </c>
    </row>
    <row r="4059" spans="1:8" customFormat="1" x14ac:dyDescent="0.25">
      <c r="A4059" t="str">
        <f>"578169"</f>
        <v>578169</v>
      </c>
      <c r="B4059" t="s">
        <v>5173</v>
      </c>
      <c r="C4059" t="s">
        <v>121</v>
      </c>
      <c r="D4059" s="21" t="s">
        <v>34</v>
      </c>
      <c r="E4059" s="21" t="s">
        <v>71</v>
      </c>
      <c r="F4059">
        <v>6570168</v>
      </c>
      <c r="G4059" t="s">
        <v>152</v>
      </c>
      <c r="H4059" s="21">
        <v>1250.17</v>
      </c>
    </row>
    <row r="4060" spans="1:8" customFormat="1" x14ac:dyDescent="0.25">
      <c r="A4060" t="str">
        <f>"317561"</f>
        <v>317561</v>
      </c>
      <c r="B4060" t="s">
        <v>1840</v>
      </c>
      <c r="C4060" t="s">
        <v>415</v>
      </c>
      <c r="D4060" s="21" t="s">
        <v>34</v>
      </c>
      <c r="E4060" s="21" t="s">
        <v>71</v>
      </c>
      <c r="F4060">
        <v>11310098</v>
      </c>
      <c r="G4060" t="s">
        <v>371</v>
      </c>
      <c r="H4060" s="21">
        <v>1250.17</v>
      </c>
    </row>
    <row r="4061" spans="1:8" customFormat="1" x14ac:dyDescent="0.25">
      <c r="A4061" t="str">
        <f>"893428"</f>
        <v>893428</v>
      </c>
      <c r="B4061" t="s">
        <v>6843</v>
      </c>
      <c r="C4061" t="s">
        <v>428</v>
      </c>
      <c r="D4061" s="21" t="s">
        <v>34</v>
      </c>
      <c r="E4061" s="21" t="s">
        <v>35</v>
      </c>
      <c r="F4061">
        <v>2890059</v>
      </c>
      <c r="G4061" t="s">
        <v>26651</v>
      </c>
      <c r="H4061" s="21">
        <v>1249.92</v>
      </c>
    </row>
    <row r="4062" spans="1:8" customFormat="1" x14ac:dyDescent="0.25">
      <c r="A4062" t="str">
        <f>"6724109"</f>
        <v>6724109</v>
      </c>
      <c r="B4062" t="s">
        <v>1454</v>
      </c>
      <c r="C4062" t="s">
        <v>55</v>
      </c>
      <c r="D4062" s="21" t="s">
        <v>34</v>
      </c>
      <c r="E4062" s="21" t="s">
        <v>71</v>
      </c>
      <c r="F4062">
        <v>6670043</v>
      </c>
      <c r="G4062" t="s">
        <v>5658</v>
      </c>
      <c r="H4062" s="21">
        <v>1249.67</v>
      </c>
    </row>
    <row r="4063" spans="1:8" customFormat="1" x14ac:dyDescent="0.25">
      <c r="A4063" t="str">
        <f>"5935123"</f>
        <v>5935123</v>
      </c>
      <c r="B4063" t="s">
        <v>4756</v>
      </c>
      <c r="C4063" t="s">
        <v>513</v>
      </c>
      <c r="D4063" s="21" t="s">
        <v>34</v>
      </c>
      <c r="E4063" s="21" t="s">
        <v>35</v>
      </c>
      <c r="F4063">
        <v>7590050</v>
      </c>
      <c r="G4063" t="s">
        <v>473</v>
      </c>
      <c r="H4063" s="21">
        <v>1249.67</v>
      </c>
    </row>
    <row r="4064" spans="1:8" customFormat="1" x14ac:dyDescent="0.25">
      <c r="A4064" t="str">
        <f>"5967584"</f>
        <v>5967584</v>
      </c>
      <c r="B4064" t="s">
        <v>4726</v>
      </c>
      <c r="C4064" t="s">
        <v>1132</v>
      </c>
      <c r="D4064" s="21" t="s">
        <v>34</v>
      </c>
      <c r="E4064" s="21" t="s">
        <v>71</v>
      </c>
      <c r="F4064">
        <v>7590055</v>
      </c>
      <c r="G4064" t="s">
        <v>1573</v>
      </c>
      <c r="H4064" s="21">
        <v>1249.67</v>
      </c>
    </row>
    <row r="4065" spans="1:8" customFormat="1" x14ac:dyDescent="0.25">
      <c r="A4065" t="str">
        <f>"23406"</f>
        <v>23406</v>
      </c>
      <c r="B4065" t="s">
        <v>11142</v>
      </c>
      <c r="C4065" t="s">
        <v>484</v>
      </c>
      <c r="D4065" s="21" t="s">
        <v>34</v>
      </c>
      <c r="E4065" s="21" t="s">
        <v>35</v>
      </c>
      <c r="F4065">
        <v>10230111</v>
      </c>
      <c r="G4065" t="s">
        <v>1980</v>
      </c>
      <c r="H4065" s="21">
        <v>1249.67</v>
      </c>
    </row>
    <row r="4066" spans="1:8" customFormat="1" x14ac:dyDescent="0.25">
      <c r="A4066" t="str">
        <f>"7722364"</f>
        <v>7722364</v>
      </c>
      <c r="B4066" t="s">
        <v>26829</v>
      </c>
      <c r="C4066" t="s">
        <v>147</v>
      </c>
      <c r="D4066" s="21" t="s">
        <v>34</v>
      </c>
      <c r="E4066" s="21" t="s">
        <v>35</v>
      </c>
      <c r="F4066">
        <v>8770135</v>
      </c>
      <c r="G4066" t="s">
        <v>26830</v>
      </c>
      <c r="H4066" s="21">
        <v>1249.67</v>
      </c>
    </row>
    <row r="4067" spans="1:8" customFormat="1" x14ac:dyDescent="0.25">
      <c r="A4067" t="str">
        <f>"2511696"</f>
        <v>2511696</v>
      </c>
      <c r="B4067" t="s">
        <v>4977</v>
      </c>
      <c r="C4067" t="s">
        <v>412</v>
      </c>
      <c r="D4067" s="21" t="s">
        <v>34</v>
      </c>
      <c r="E4067" s="21" t="s">
        <v>71</v>
      </c>
      <c r="F4067">
        <v>2250137</v>
      </c>
      <c r="G4067" t="s">
        <v>182</v>
      </c>
      <c r="H4067" s="21">
        <v>1249.67</v>
      </c>
    </row>
    <row r="4068" spans="1:8" customFormat="1" x14ac:dyDescent="0.25">
      <c r="A4068" t="str">
        <f>"2511376"</f>
        <v>2511376</v>
      </c>
      <c r="B4068" t="s">
        <v>4867</v>
      </c>
      <c r="C4068" t="s">
        <v>87</v>
      </c>
      <c r="D4068" s="21" t="s">
        <v>34</v>
      </c>
      <c r="E4068" s="21" t="s">
        <v>35</v>
      </c>
      <c r="F4068">
        <v>8750120</v>
      </c>
      <c r="G4068" t="s">
        <v>838</v>
      </c>
      <c r="H4068" s="21">
        <v>1249.17</v>
      </c>
    </row>
    <row r="4069" spans="1:8" customFormat="1" x14ac:dyDescent="0.25">
      <c r="A4069" t="str">
        <f>"3341388"</f>
        <v>3341388</v>
      </c>
      <c r="B4069" t="s">
        <v>697</v>
      </c>
      <c r="C4069" t="s">
        <v>926</v>
      </c>
      <c r="D4069" s="21" t="s">
        <v>34</v>
      </c>
      <c r="E4069" s="21" t="s">
        <v>35</v>
      </c>
      <c r="F4069">
        <v>10330046</v>
      </c>
      <c r="G4069" t="s">
        <v>1787</v>
      </c>
      <c r="H4069" s="21">
        <v>1249.17</v>
      </c>
    </row>
    <row r="4070" spans="1:8" customFormat="1" x14ac:dyDescent="0.25">
      <c r="A4070" t="str">
        <f>"9427479"</f>
        <v>9427479</v>
      </c>
      <c r="B4070" t="s">
        <v>5225</v>
      </c>
      <c r="C4070" t="s">
        <v>209</v>
      </c>
      <c r="D4070" s="21" t="s">
        <v>34</v>
      </c>
      <c r="E4070" s="21" t="s">
        <v>71</v>
      </c>
      <c r="F4070">
        <v>8940894</v>
      </c>
      <c r="G4070" t="s">
        <v>481</v>
      </c>
      <c r="H4070" s="21">
        <v>1249.17</v>
      </c>
    </row>
    <row r="4071" spans="1:8" customFormat="1" x14ac:dyDescent="0.25">
      <c r="A4071" t="str">
        <f>"5713856"</f>
        <v>5713856</v>
      </c>
      <c r="B4071" t="s">
        <v>650</v>
      </c>
      <c r="C4071" t="s">
        <v>239</v>
      </c>
      <c r="D4071" s="21" t="s">
        <v>34</v>
      </c>
      <c r="E4071" s="21" t="s">
        <v>254</v>
      </c>
      <c r="F4071">
        <v>6570111</v>
      </c>
      <c r="G4071" t="s">
        <v>99</v>
      </c>
      <c r="H4071" s="21">
        <v>1249.17</v>
      </c>
    </row>
    <row r="4072" spans="1:8" customFormat="1" x14ac:dyDescent="0.25">
      <c r="A4072" t="str">
        <f>"675181"</f>
        <v>675181</v>
      </c>
      <c r="B4072" t="s">
        <v>4841</v>
      </c>
      <c r="C4072" t="s">
        <v>4842</v>
      </c>
      <c r="D4072" s="21" t="s">
        <v>34</v>
      </c>
      <c r="E4072" s="21" t="s">
        <v>35</v>
      </c>
      <c r="F4072">
        <v>6670171</v>
      </c>
      <c r="G4072" t="s">
        <v>4843</v>
      </c>
      <c r="H4072" s="21">
        <v>1249.17</v>
      </c>
    </row>
    <row r="4073" spans="1:8" customFormat="1" x14ac:dyDescent="0.25">
      <c r="A4073" t="str">
        <f>"7511585"</f>
        <v>7511585</v>
      </c>
      <c r="B4073" t="s">
        <v>4598</v>
      </c>
      <c r="C4073" t="s">
        <v>1271</v>
      </c>
      <c r="D4073" s="21" t="s">
        <v>34</v>
      </c>
      <c r="E4073" s="21" t="s">
        <v>35</v>
      </c>
      <c r="F4073">
        <v>1690160</v>
      </c>
      <c r="G4073" t="s">
        <v>4599</v>
      </c>
      <c r="H4073" s="21">
        <v>1249.17</v>
      </c>
    </row>
    <row r="4074" spans="1:8" customFormat="1" x14ac:dyDescent="0.25">
      <c r="A4074" t="str">
        <f>"446884"</f>
        <v>446884</v>
      </c>
      <c r="B4074" t="s">
        <v>26831</v>
      </c>
      <c r="C4074" t="s">
        <v>58</v>
      </c>
      <c r="D4074" s="21" t="s">
        <v>34</v>
      </c>
      <c r="E4074" s="21" t="s">
        <v>35</v>
      </c>
      <c r="F4074">
        <v>12440104</v>
      </c>
      <c r="G4074" t="s">
        <v>5862</v>
      </c>
      <c r="H4074" s="21">
        <v>1248.67</v>
      </c>
    </row>
    <row r="4075" spans="1:8" customFormat="1" x14ac:dyDescent="0.25">
      <c r="A4075" t="str">
        <f>"3823474"</f>
        <v>3823474</v>
      </c>
      <c r="B4075" t="s">
        <v>2313</v>
      </c>
      <c r="C4075" t="s">
        <v>6102</v>
      </c>
      <c r="D4075" s="21" t="s">
        <v>34</v>
      </c>
      <c r="E4075" s="21" t="s">
        <v>35</v>
      </c>
      <c r="F4075">
        <v>1380108</v>
      </c>
      <c r="G4075" t="s">
        <v>6103</v>
      </c>
      <c r="H4075" s="21">
        <v>1248.67</v>
      </c>
    </row>
    <row r="4076" spans="1:8" customFormat="1" x14ac:dyDescent="0.25">
      <c r="A4076" t="str">
        <f>"1419857"</f>
        <v>1419857</v>
      </c>
      <c r="B4076" t="s">
        <v>2656</v>
      </c>
      <c r="C4076" t="s">
        <v>124</v>
      </c>
      <c r="D4076" s="21" t="s">
        <v>34</v>
      </c>
      <c r="E4076" s="21" t="s">
        <v>35</v>
      </c>
      <c r="F4076">
        <v>9140211</v>
      </c>
      <c r="G4076" t="s">
        <v>5784</v>
      </c>
      <c r="H4076" s="21">
        <v>1248.67</v>
      </c>
    </row>
    <row r="4077" spans="1:8" customFormat="1" x14ac:dyDescent="0.25">
      <c r="A4077" t="str">
        <f>"41333"</f>
        <v>41333</v>
      </c>
      <c r="B4077" t="s">
        <v>3732</v>
      </c>
      <c r="C4077" t="s">
        <v>60</v>
      </c>
      <c r="D4077" s="21" t="s">
        <v>34</v>
      </c>
      <c r="E4077" s="21" t="s">
        <v>35</v>
      </c>
      <c r="F4077">
        <v>4410080</v>
      </c>
      <c r="G4077" t="s">
        <v>135</v>
      </c>
      <c r="H4077" s="21">
        <v>1248.67</v>
      </c>
    </row>
    <row r="4078" spans="1:8" customFormat="1" x14ac:dyDescent="0.25">
      <c r="A4078" t="str">
        <f>"4923482"</f>
        <v>4923482</v>
      </c>
      <c r="B4078" t="s">
        <v>4568</v>
      </c>
      <c r="C4078" t="s">
        <v>124</v>
      </c>
      <c r="D4078" s="21" t="s">
        <v>34</v>
      </c>
      <c r="E4078" s="21" t="s">
        <v>71</v>
      </c>
      <c r="F4078">
        <v>12490040</v>
      </c>
      <c r="G4078" t="s">
        <v>94</v>
      </c>
      <c r="H4078" s="21">
        <v>1248.55</v>
      </c>
    </row>
    <row r="4079" spans="1:8" customFormat="1" x14ac:dyDescent="0.25">
      <c r="A4079" t="str">
        <f>"539212"</f>
        <v>539212</v>
      </c>
      <c r="B4079" t="s">
        <v>4460</v>
      </c>
      <c r="C4079" t="s">
        <v>576</v>
      </c>
      <c r="D4079" s="21" t="s">
        <v>34</v>
      </c>
      <c r="E4079" s="21" t="s">
        <v>35</v>
      </c>
      <c r="F4079">
        <v>12530035</v>
      </c>
      <c r="G4079" t="s">
        <v>1663</v>
      </c>
      <c r="H4079" s="21">
        <v>1248.42</v>
      </c>
    </row>
    <row r="4080" spans="1:8" customFormat="1" x14ac:dyDescent="0.25">
      <c r="A4080" t="str">
        <f>"33808"</f>
        <v>33808</v>
      </c>
      <c r="B4080" t="s">
        <v>5169</v>
      </c>
      <c r="C4080" t="s">
        <v>5170</v>
      </c>
      <c r="D4080" s="21" t="s">
        <v>34</v>
      </c>
      <c r="E4080" s="21" t="s">
        <v>71</v>
      </c>
      <c r="F4080">
        <v>10330009</v>
      </c>
      <c r="G4080" t="s">
        <v>2064</v>
      </c>
      <c r="H4080" s="21">
        <v>1248.42</v>
      </c>
    </row>
    <row r="4081" spans="1:8" customFormat="1" x14ac:dyDescent="0.25">
      <c r="A4081" t="str">
        <f>"9416227"</f>
        <v>9416227</v>
      </c>
      <c r="B4081" t="s">
        <v>4686</v>
      </c>
      <c r="C4081" t="s">
        <v>65</v>
      </c>
      <c r="D4081" s="21" t="s">
        <v>34</v>
      </c>
      <c r="E4081" s="21" t="s">
        <v>35</v>
      </c>
      <c r="F4081">
        <v>8940448</v>
      </c>
      <c r="G4081" t="s">
        <v>1691</v>
      </c>
      <c r="H4081" s="21">
        <v>1248.42</v>
      </c>
    </row>
    <row r="4082" spans="1:8" customFormat="1" x14ac:dyDescent="0.25">
      <c r="A4082" t="str">
        <f>"1313682"</f>
        <v>1313682</v>
      </c>
      <c r="B4082" t="s">
        <v>1111</v>
      </c>
      <c r="C4082" t="s">
        <v>486</v>
      </c>
      <c r="D4082" s="21" t="s">
        <v>34</v>
      </c>
      <c r="E4082" s="21" t="s">
        <v>35</v>
      </c>
      <c r="F4082">
        <v>13130100</v>
      </c>
      <c r="G4082" t="s">
        <v>2893</v>
      </c>
      <c r="H4082" s="21">
        <v>1248.3</v>
      </c>
    </row>
    <row r="4083" spans="1:8" customFormat="1" x14ac:dyDescent="0.25">
      <c r="A4083" t="str">
        <f>"933602"</f>
        <v>933602</v>
      </c>
      <c r="B4083" t="s">
        <v>7012</v>
      </c>
      <c r="C4083" t="s">
        <v>156</v>
      </c>
      <c r="D4083" s="21" t="s">
        <v>34</v>
      </c>
      <c r="E4083" s="21" t="s">
        <v>35</v>
      </c>
      <c r="F4083">
        <v>8930113</v>
      </c>
      <c r="G4083" t="s">
        <v>368</v>
      </c>
      <c r="H4083" s="21">
        <v>1248.17</v>
      </c>
    </row>
    <row r="4084" spans="1:8" customFormat="1" x14ac:dyDescent="0.25">
      <c r="A4084" t="str">
        <f>"538222"</f>
        <v>538222</v>
      </c>
      <c r="B4084" t="s">
        <v>26832</v>
      </c>
      <c r="C4084" t="s">
        <v>528</v>
      </c>
      <c r="D4084" s="21" t="s">
        <v>34</v>
      </c>
      <c r="E4084" s="21" t="s">
        <v>35</v>
      </c>
      <c r="F4084">
        <v>12530112</v>
      </c>
      <c r="G4084" t="s">
        <v>4617</v>
      </c>
      <c r="H4084" s="21">
        <v>1248.17</v>
      </c>
    </row>
    <row r="4085" spans="1:8" customFormat="1" x14ac:dyDescent="0.25">
      <c r="A4085" t="str">
        <f>"5718100"</f>
        <v>5718100</v>
      </c>
      <c r="B4085" t="s">
        <v>26833</v>
      </c>
      <c r="C4085" t="s">
        <v>1786</v>
      </c>
      <c r="D4085" s="21" t="s">
        <v>34</v>
      </c>
      <c r="E4085" s="21" t="s">
        <v>35</v>
      </c>
      <c r="F4085">
        <v>6570005</v>
      </c>
      <c r="G4085" t="s">
        <v>351</v>
      </c>
      <c r="H4085" s="21">
        <v>1248.17</v>
      </c>
    </row>
    <row r="4086" spans="1:8" customFormat="1" x14ac:dyDescent="0.25">
      <c r="A4086" t="str">
        <f>"09684"</f>
        <v>09684</v>
      </c>
      <c r="B4086" t="s">
        <v>5551</v>
      </c>
      <c r="C4086" t="s">
        <v>55</v>
      </c>
      <c r="D4086" s="21" t="s">
        <v>34</v>
      </c>
      <c r="E4086" s="21" t="s">
        <v>71</v>
      </c>
      <c r="F4086">
        <v>11090001</v>
      </c>
      <c r="G4086" t="s">
        <v>4829</v>
      </c>
      <c r="H4086" s="21">
        <v>1248.17</v>
      </c>
    </row>
    <row r="4087" spans="1:8" customFormat="1" x14ac:dyDescent="0.25">
      <c r="A4087" t="str">
        <f>"274674"</f>
        <v>274674</v>
      </c>
      <c r="B4087" t="s">
        <v>4368</v>
      </c>
      <c r="C4087" t="s">
        <v>233</v>
      </c>
      <c r="D4087" s="21" t="s">
        <v>34</v>
      </c>
      <c r="E4087" s="21" t="s">
        <v>254</v>
      </c>
      <c r="F4087">
        <v>9760168</v>
      </c>
      <c r="G4087" t="s">
        <v>179</v>
      </c>
      <c r="H4087" s="21">
        <v>1248.17</v>
      </c>
    </row>
    <row r="4088" spans="1:8" customFormat="1" x14ac:dyDescent="0.25">
      <c r="A4088" t="str">
        <f>"359745"</f>
        <v>359745</v>
      </c>
      <c r="B4088" t="s">
        <v>4858</v>
      </c>
      <c r="C4088" t="s">
        <v>2479</v>
      </c>
      <c r="D4088" s="21" t="s">
        <v>34</v>
      </c>
      <c r="E4088" s="21" t="s">
        <v>71</v>
      </c>
      <c r="F4088">
        <v>3350022</v>
      </c>
      <c r="G4088" t="s">
        <v>1287</v>
      </c>
      <c r="H4088" s="21">
        <v>1248.17</v>
      </c>
    </row>
    <row r="4089" spans="1:8" customFormat="1" x14ac:dyDescent="0.25">
      <c r="A4089" t="str">
        <f>"087606"</f>
        <v>087606</v>
      </c>
      <c r="B4089" t="s">
        <v>4893</v>
      </c>
      <c r="C4089" t="s">
        <v>249</v>
      </c>
      <c r="D4089" s="21" t="s">
        <v>34</v>
      </c>
      <c r="E4089" s="21" t="s">
        <v>71</v>
      </c>
      <c r="F4089">
        <v>6080082</v>
      </c>
      <c r="G4089" t="s">
        <v>2401</v>
      </c>
      <c r="H4089" s="21">
        <v>1247.67</v>
      </c>
    </row>
    <row r="4090" spans="1:8" customFormat="1" x14ac:dyDescent="0.25">
      <c r="A4090" t="str">
        <f>"72324"</f>
        <v>72324</v>
      </c>
      <c r="B4090" t="s">
        <v>5007</v>
      </c>
      <c r="C4090" t="s">
        <v>206</v>
      </c>
      <c r="D4090" s="21" t="s">
        <v>34</v>
      </c>
      <c r="E4090" s="21" t="s">
        <v>35</v>
      </c>
      <c r="F4090">
        <v>12440012</v>
      </c>
      <c r="G4090" t="s">
        <v>807</v>
      </c>
      <c r="H4090" s="21">
        <v>1247.67</v>
      </c>
    </row>
    <row r="4091" spans="1:8" customFormat="1" x14ac:dyDescent="0.25">
      <c r="A4091" t="str">
        <f>"0111065"</f>
        <v>0111065</v>
      </c>
      <c r="B4091" t="s">
        <v>5214</v>
      </c>
      <c r="C4091" t="s">
        <v>65</v>
      </c>
      <c r="D4091" s="21" t="s">
        <v>34</v>
      </c>
      <c r="E4091" s="21" t="s">
        <v>35</v>
      </c>
      <c r="F4091">
        <v>1010063</v>
      </c>
      <c r="G4091" t="s">
        <v>5215</v>
      </c>
      <c r="H4091" s="21">
        <v>1247.67</v>
      </c>
    </row>
    <row r="4092" spans="1:8" customFormat="1" x14ac:dyDescent="0.25">
      <c r="A4092" t="str">
        <f>"7629484"</f>
        <v>7629484</v>
      </c>
      <c r="B4092" t="s">
        <v>4370</v>
      </c>
      <c r="C4092" t="s">
        <v>33</v>
      </c>
      <c r="D4092" s="21" t="s">
        <v>34</v>
      </c>
      <c r="E4092" s="21" t="s">
        <v>35</v>
      </c>
      <c r="F4092">
        <v>9760014</v>
      </c>
      <c r="G4092" t="s">
        <v>1017</v>
      </c>
      <c r="H4092" s="21">
        <v>1247.67</v>
      </c>
    </row>
    <row r="4093" spans="1:8" customFormat="1" x14ac:dyDescent="0.25">
      <c r="A4093" t="str">
        <f>"345084"</f>
        <v>345084</v>
      </c>
      <c r="B4093" t="s">
        <v>5059</v>
      </c>
      <c r="C4093" t="s">
        <v>323</v>
      </c>
      <c r="D4093" s="21" t="s">
        <v>34</v>
      </c>
      <c r="E4093" s="21" t="s">
        <v>35</v>
      </c>
      <c r="F4093">
        <v>11340072</v>
      </c>
      <c r="G4093" t="s">
        <v>4785</v>
      </c>
      <c r="H4093" s="21">
        <v>1247.42</v>
      </c>
    </row>
    <row r="4094" spans="1:8" customFormat="1" x14ac:dyDescent="0.25">
      <c r="A4094" t="str">
        <f>"4413875"</f>
        <v>4413875</v>
      </c>
      <c r="B4094" t="s">
        <v>5580</v>
      </c>
      <c r="C4094" t="s">
        <v>5581</v>
      </c>
      <c r="D4094" s="21" t="s">
        <v>34</v>
      </c>
      <c r="E4094" s="21" t="s">
        <v>71</v>
      </c>
      <c r="F4094">
        <v>12440012</v>
      </c>
      <c r="G4094" t="s">
        <v>807</v>
      </c>
      <c r="H4094" s="21">
        <v>1247.42</v>
      </c>
    </row>
    <row r="4095" spans="1:8" customFormat="1" x14ac:dyDescent="0.25">
      <c r="A4095" t="str">
        <f>"3341272"</f>
        <v>3341272</v>
      </c>
      <c r="B4095" t="s">
        <v>6131</v>
      </c>
      <c r="C4095" t="s">
        <v>40</v>
      </c>
      <c r="D4095" s="21" t="s">
        <v>34</v>
      </c>
      <c r="E4095" s="21" t="s">
        <v>35</v>
      </c>
      <c r="F4095">
        <v>10330025</v>
      </c>
      <c r="G4095" t="s">
        <v>4450</v>
      </c>
      <c r="H4095" s="21">
        <v>1247.3</v>
      </c>
    </row>
    <row r="4096" spans="1:8" customFormat="1" x14ac:dyDescent="0.25">
      <c r="A4096" t="str">
        <f>"885535"</f>
        <v>885535</v>
      </c>
      <c r="B4096" t="s">
        <v>765</v>
      </c>
      <c r="C4096" t="s">
        <v>55</v>
      </c>
      <c r="D4096" s="21" t="s">
        <v>34</v>
      </c>
      <c r="E4096" s="21" t="s">
        <v>71</v>
      </c>
      <c r="F4096">
        <v>6880145</v>
      </c>
      <c r="G4096" t="s">
        <v>1303</v>
      </c>
      <c r="H4096" s="21">
        <v>1247.17</v>
      </c>
    </row>
    <row r="4097" spans="1:8" customFormat="1" x14ac:dyDescent="0.25">
      <c r="A4097" t="str">
        <f>"2921322"</f>
        <v>2921322</v>
      </c>
      <c r="B4097" t="s">
        <v>2954</v>
      </c>
      <c r="C4097" t="s">
        <v>6358</v>
      </c>
      <c r="D4097" s="21" t="s">
        <v>34</v>
      </c>
      <c r="E4097" s="21" t="s">
        <v>35</v>
      </c>
      <c r="F4097">
        <v>3290087</v>
      </c>
      <c r="G4097" t="s">
        <v>364</v>
      </c>
      <c r="H4097" s="21">
        <v>1246.92</v>
      </c>
    </row>
    <row r="4098" spans="1:8" customFormat="1" x14ac:dyDescent="0.25">
      <c r="A4098" t="str">
        <f>"3323005"</f>
        <v>3323005</v>
      </c>
      <c r="B4098" t="s">
        <v>4792</v>
      </c>
      <c r="C4098" t="s">
        <v>169</v>
      </c>
      <c r="D4098" s="21" t="s">
        <v>34</v>
      </c>
      <c r="E4098" s="21" t="s">
        <v>71</v>
      </c>
      <c r="F4098">
        <v>10330086</v>
      </c>
      <c r="G4098" t="s">
        <v>785</v>
      </c>
      <c r="H4098" s="21">
        <v>1246.67</v>
      </c>
    </row>
    <row r="4099" spans="1:8" customFormat="1" x14ac:dyDescent="0.25">
      <c r="A4099" t="str">
        <f>"692069"</f>
        <v>692069</v>
      </c>
      <c r="B4099" t="s">
        <v>5849</v>
      </c>
      <c r="C4099" t="s">
        <v>239</v>
      </c>
      <c r="D4099" s="21" t="s">
        <v>34</v>
      </c>
      <c r="E4099" s="21" t="s">
        <v>254</v>
      </c>
      <c r="F4099">
        <v>1690102</v>
      </c>
      <c r="G4099" t="s">
        <v>2081</v>
      </c>
      <c r="H4099" s="21">
        <v>1246.67</v>
      </c>
    </row>
    <row r="4100" spans="1:8" customFormat="1" x14ac:dyDescent="0.25">
      <c r="A4100" t="str">
        <f>"701978"</f>
        <v>701978</v>
      </c>
      <c r="B4100" t="s">
        <v>5735</v>
      </c>
      <c r="C4100" t="s">
        <v>121</v>
      </c>
      <c r="D4100" s="21" t="s">
        <v>34</v>
      </c>
      <c r="E4100" s="21" t="s">
        <v>35</v>
      </c>
      <c r="F4100">
        <v>2700002</v>
      </c>
      <c r="G4100" t="s">
        <v>953</v>
      </c>
      <c r="H4100" s="21">
        <v>1246.67</v>
      </c>
    </row>
    <row r="4101" spans="1:8" customFormat="1" x14ac:dyDescent="0.25">
      <c r="A4101" t="str">
        <f>"9216867"</f>
        <v>9216867</v>
      </c>
      <c r="B4101" t="s">
        <v>5119</v>
      </c>
      <c r="C4101" t="s">
        <v>60</v>
      </c>
      <c r="D4101" s="21" t="s">
        <v>34</v>
      </c>
      <c r="E4101" s="21" t="s">
        <v>35</v>
      </c>
      <c r="F4101">
        <v>8920075</v>
      </c>
      <c r="G4101" t="s">
        <v>317</v>
      </c>
      <c r="H4101" s="21">
        <v>1246.67</v>
      </c>
    </row>
    <row r="4102" spans="1:8" customFormat="1" x14ac:dyDescent="0.25">
      <c r="A4102" t="str">
        <f>"905243"</f>
        <v>905243</v>
      </c>
      <c r="B4102" t="s">
        <v>6338</v>
      </c>
      <c r="C4102" t="s">
        <v>544</v>
      </c>
      <c r="D4102" s="21" t="s">
        <v>34</v>
      </c>
      <c r="E4102" s="21" t="s">
        <v>35</v>
      </c>
      <c r="F4102">
        <v>2900003</v>
      </c>
      <c r="G4102" t="s">
        <v>1742</v>
      </c>
      <c r="H4102" s="21">
        <v>1246.67</v>
      </c>
    </row>
    <row r="4103" spans="1:8" customFormat="1" x14ac:dyDescent="0.25">
      <c r="A4103" t="str">
        <f>"5954199"</f>
        <v>5954199</v>
      </c>
      <c r="B4103" t="s">
        <v>26834</v>
      </c>
      <c r="C4103" t="s">
        <v>955</v>
      </c>
      <c r="D4103" s="21" t="s">
        <v>34</v>
      </c>
      <c r="E4103" s="21" t="s">
        <v>35</v>
      </c>
      <c r="F4103">
        <v>7590014</v>
      </c>
      <c r="G4103" t="s">
        <v>1326</v>
      </c>
      <c r="H4103" s="21">
        <v>1246.67</v>
      </c>
    </row>
    <row r="4104" spans="1:8" customFormat="1" x14ac:dyDescent="0.25">
      <c r="A4104" t="str">
        <f>"937404"</f>
        <v>937404</v>
      </c>
      <c r="B4104" t="s">
        <v>461</v>
      </c>
      <c r="C4104" t="s">
        <v>233</v>
      </c>
      <c r="D4104" s="21" t="s">
        <v>34</v>
      </c>
      <c r="E4104" s="21" t="s">
        <v>71</v>
      </c>
      <c r="F4104">
        <v>9140012</v>
      </c>
      <c r="G4104" t="s">
        <v>26518</v>
      </c>
      <c r="H4104" s="21">
        <v>1246.67</v>
      </c>
    </row>
    <row r="4105" spans="1:8" customFormat="1" x14ac:dyDescent="0.25">
      <c r="A4105" t="str">
        <f>"595816"</f>
        <v>595816</v>
      </c>
      <c r="B4105" t="s">
        <v>623</v>
      </c>
      <c r="C4105" t="s">
        <v>60</v>
      </c>
      <c r="D4105" s="21" t="s">
        <v>34</v>
      </c>
      <c r="E4105" s="21" t="s">
        <v>35</v>
      </c>
      <c r="F4105">
        <v>7590313</v>
      </c>
      <c r="G4105" t="s">
        <v>5529</v>
      </c>
      <c r="H4105" s="21">
        <v>1246.67</v>
      </c>
    </row>
    <row r="4106" spans="1:8" customFormat="1" x14ac:dyDescent="0.25">
      <c r="A4106" t="str">
        <f>"08459"</f>
        <v>08459</v>
      </c>
      <c r="B4106" t="s">
        <v>946</v>
      </c>
      <c r="C4106" t="s">
        <v>156</v>
      </c>
      <c r="D4106" s="21" t="s">
        <v>34</v>
      </c>
      <c r="E4106" s="21" t="s">
        <v>71</v>
      </c>
      <c r="F4106">
        <v>6080035</v>
      </c>
      <c r="G4106" t="s">
        <v>583</v>
      </c>
      <c r="H4106" s="21">
        <v>1246.42</v>
      </c>
    </row>
    <row r="4107" spans="1:8" customFormat="1" x14ac:dyDescent="0.25">
      <c r="A4107" t="str">
        <f>"259413"</f>
        <v>259413</v>
      </c>
      <c r="B4107" t="s">
        <v>5587</v>
      </c>
      <c r="C4107" t="s">
        <v>169</v>
      </c>
      <c r="D4107" s="21" t="s">
        <v>34</v>
      </c>
      <c r="E4107" s="21" t="s">
        <v>35</v>
      </c>
      <c r="F4107">
        <v>2250015</v>
      </c>
      <c r="G4107" t="s">
        <v>4776</v>
      </c>
      <c r="H4107" s="21">
        <v>1246.42</v>
      </c>
    </row>
    <row r="4108" spans="1:8" customFormat="1" x14ac:dyDescent="0.25">
      <c r="A4108" t="str">
        <f>"5715030"</f>
        <v>5715030</v>
      </c>
      <c r="B4108" t="s">
        <v>14492</v>
      </c>
      <c r="C4108" t="s">
        <v>124</v>
      </c>
      <c r="D4108" s="21" t="s">
        <v>34</v>
      </c>
      <c r="E4108" s="21" t="s">
        <v>71</v>
      </c>
      <c r="F4108">
        <v>6570018</v>
      </c>
      <c r="G4108" t="s">
        <v>4546</v>
      </c>
      <c r="H4108" s="21">
        <v>1246.17</v>
      </c>
    </row>
    <row r="4109" spans="1:8" customFormat="1" x14ac:dyDescent="0.25">
      <c r="A4109" t="str">
        <f>"1410731"</f>
        <v>1410731</v>
      </c>
      <c r="B4109" t="s">
        <v>5572</v>
      </c>
      <c r="C4109" t="s">
        <v>269</v>
      </c>
      <c r="D4109" s="21" t="s">
        <v>34</v>
      </c>
      <c r="E4109" s="21" t="s">
        <v>71</v>
      </c>
      <c r="F4109">
        <v>9140072</v>
      </c>
      <c r="G4109" t="s">
        <v>4810</v>
      </c>
      <c r="H4109" s="21">
        <v>1246.17</v>
      </c>
    </row>
    <row r="4110" spans="1:8" customFormat="1" x14ac:dyDescent="0.25">
      <c r="A4110" t="str">
        <f>"5411183"</f>
        <v>5411183</v>
      </c>
      <c r="B4110" t="s">
        <v>26835</v>
      </c>
      <c r="C4110" t="s">
        <v>139</v>
      </c>
      <c r="D4110" s="21" t="s">
        <v>34</v>
      </c>
      <c r="E4110" s="21" t="s">
        <v>71</v>
      </c>
      <c r="F4110">
        <v>8780678</v>
      </c>
      <c r="G4110" t="s">
        <v>8556</v>
      </c>
      <c r="H4110" s="21">
        <v>1246.17</v>
      </c>
    </row>
    <row r="4111" spans="1:8" customFormat="1" x14ac:dyDescent="0.25">
      <c r="A4111" t="str">
        <f>"912356"</f>
        <v>912356</v>
      </c>
      <c r="B4111" t="s">
        <v>4853</v>
      </c>
      <c r="C4111" t="s">
        <v>817</v>
      </c>
      <c r="D4111" s="21" t="s">
        <v>34</v>
      </c>
      <c r="E4111" s="21" t="s">
        <v>35</v>
      </c>
      <c r="F4111">
        <v>8910916</v>
      </c>
      <c r="G4111" t="s">
        <v>2251</v>
      </c>
      <c r="H4111" s="21">
        <v>1246.17</v>
      </c>
    </row>
    <row r="4112" spans="1:8" customFormat="1" x14ac:dyDescent="0.25">
      <c r="A4112" t="str">
        <f>"769901"</f>
        <v>769901</v>
      </c>
      <c r="B4112" t="s">
        <v>5050</v>
      </c>
      <c r="C4112" t="s">
        <v>825</v>
      </c>
      <c r="D4112" s="21" t="s">
        <v>34</v>
      </c>
      <c r="E4112" s="21" t="s">
        <v>35</v>
      </c>
      <c r="F4112">
        <v>9760342</v>
      </c>
      <c r="G4112" t="s">
        <v>3619</v>
      </c>
      <c r="H4112" s="21">
        <v>1246.17</v>
      </c>
    </row>
    <row r="4113" spans="1:8" customFormat="1" x14ac:dyDescent="0.25">
      <c r="A4113" t="str">
        <f>"5610992"</f>
        <v>5610992</v>
      </c>
      <c r="B4113" t="s">
        <v>4533</v>
      </c>
      <c r="C4113" t="s">
        <v>149</v>
      </c>
      <c r="D4113" s="21" t="s">
        <v>34</v>
      </c>
      <c r="E4113" s="21" t="s">
        <v>35</v>
      </c>
      <c r="F4113">
        <v>12440012</v>
      </c>
      <c r="G4113" t="s">
        <v>807</v>
      </c>
      <c r="H4113" s="21">
        <v>1245.92</v>
      </c>
    </row>
    <row r="4114" spans="1:8" customFormat="1" x14ac:dyDescent="0.25">
      <c r="A4114" t="str">
        <f>"7828715"</f>
        <v>7828715</v>
      </c>
      <c r="B4114" t="s">
        <v>5273</v>
      </c>
      <c r="C4114" t="s">
        <v>147</v>
      </c>
      <c r="D4114" s="21" t="s">
        <v>34</v>
      </c>
      <c r="E4114" s="21" t="s">
        <v>35</v>
      </c>
      <c r="F4114">
        <v>8781017</v>
      </c>
      <c r="G4114" t="s">
        <v>2581</v>
      </c>
      <c r="H4114" s="21">
        <v>1245.92</v>
      </c>
    </row>
    <row r="4115" spans="1:8" customFormat="1" x14ac:dyDescent="0.25">
      <c r="A4115" t="str">
        <f>"915641"</f>
        <v>915641</v>
      </c>
      <c r="B4115" t="s">
        <v>5865</v>
      </c>
      <c r="C4115" t="s">
        <v>249</v>
      </c>
      <c r="D4115" s="21" t="s">
        <v>34</v>
      </c>
      <c r="E4115" s="21" t="s">
        <v>71</v>
      </c>
      <c r="F4115">
        <v>8911285</v>
      </c>
      <c r="G4115" t="s">
        <v>2396</v>
      </c>
      <c r="H4115" s="21">
        <v>1245.8</v>
      </c>
    </row>
    <row r="4116" spans="1:8" customFormat="1" x14ac:dyDescent="0.25">
      <c r="A4116" t="str">
        <f>"794128"</f>
        <v>794128</v>
      </c>
      <c r="B4116" t="s">
        <v>3553</v>
      </c>
      <c r="C4116" t="s">
        <v>428</v>
      </c>
      <c r="D4116" s="21" t="s">
        <v>34</v>
      </c>
      <c r="E4116" s="21" t="s">
        <v>35</v>
      </c>
      <c r="F4116">
        <v>10870031</v>
      </c>
      <c r="G4116" t="s">
        <v>959</v>
      </c>
      <c r="H4116" s="21">
        <v>1245.8</v>
      </c>
    </row>
    <row r="4117" spans="1:8" customFormat="1" x14ac:dyDescent="0.25">
      <c r="A4117" t="str">
        <f>"50499"</f>
        <v>50499</v>
      </c>
      <c r="B4117" t="s">
        <v>4878</v>
      </c>
      <c r="C4117" t="s">
        <v>415</v>
      </c>
      <c r="D4117" s="21" t="s">
        <v>34</v>
      </c>
      <c r="E4117" s="21" t="s">
        <v>71</v>
      </c>
      <c r="F4117">
        <v>9500025</v>
      </c>
      <c r="G4117" t="s">
        <v>665</v>
      </c>
      <c r="H4117" s="21">
        <v>1245.67</v>
      </c>
    </row>
    <row r="4118" spans="1:8" customFormat="1" x14ac:dyDescent="0.25">
      <c r="A4118" t="str">
        <f>"5934035"</f>
        <v>5934035</v>
      </c>
      <c r="B4118" t="s">
        <v>4881</v>
      </c>
      <c r="C4118" t="s">
        <v>415</v>
      </c>
      <c r="D4118" s="21" t="s">
        <v>34</v>
      </c>
      <c r="E4118" s="21" t="s">
        <v>71</v>
      </c>
      <c r="F4118">
        <v>7590331</v>
      </c>
      <c r="G4118" t="s">
        <v>4882</v>
      </c>
      <c r="H4118" s="21">
        <v>1245.67</v>
      </c>
    </row>
    <row r="4119" spans="1:8" customFormat="1" x14ac:dyDescent="0.25">
      <c r="A4119" t="str">
        <f>"5012902"</f>
        <v>5012902</v>
      </c>
      <c r="B4119" t="s">
        <v>3387</v>
      </c>
      <c r="C4119" t="s">
        <v>209</v>
      </c>
      <c r="D4119" s="21" t="s">
        <v>34</v>
      </c>
      <c r="E4119" s="21" t="s">
        <v>254</v>
      </c>
      <c r="F4119">
        <v>9500030</v>
      </c>
      <c r="G4119" t="s">
        <v>2166</v>
      </c>
      <c r="H4119" s="21">
        <v>1245.67</v>
      </c>
    </row>
    <row r="4120" spans="1:8" customFormat="1" x14ac:dyDescent="0.25">
      <c r="A4120" t="str">
        <f>"8510973"</f>
        <v>8510973</v>
      </c>
      <c r="B4120" t="s">
        <v>5200</v>
      </c>
      <c r="C4120" t="s">
        <v>544</v>
      </c>
      <c r="D4120" s="21" t="s">
        <v>34</v>
      </c>
      <c r="E4120" s="21" t="s">
        <v>35</v>
      </c>
      <c r="F4120">
        <v>12850135</v>
      </c>
      <c r="G4120" t="s">
        <v>5201</v>
      </c>
      <c r="H4120" s="21">
        <v>1245.67</v>
      </c>
    </row>
    <row r="4121" spans="1:8" customFormat="1" x14ac:dyDescent="0.25">
      <c r="A4121" t="str">
        <f>"7837553"</f>
        <v>7837553</v>
      </c>
      <c r="B4121" t="s">
        <v>2824</v>
      </c>
      <c r="C4121" t="s">
        <v>206</v>
      </c>
      <c r="D4121" s="21" t="s">
        <v>34</v>
      </c>
      <c r="E4121" s="21" t="s">
        <v>35</v>
      </c>
      <c r="F4121">
        <v>8780002</v>
      </c>
      <c r="G4121" t="s">
        <v>2196</v>
      </c>
      <c r="H4121" s="21">
        <v>1245.43</v>
      </c>
    </row>
    <row r="4122" spans="1:8" customFormat="1" x14ac:dyDescent="0.25">
      <c r="A4122" t="str">
        <f>"7633861"</f>
        <v>7633861</v>
      </c>
      <c r="B4122" t="s">
        <v>4515</v>
      </c>
      <c r="C4122" t="s">
        <v>2208</v>
      </c>
      <c r="D4122" s="21" t="s">
        <v>34</v>
      </c>
      <c r="E4122" s="21" t="s">
        <v>35</v>
      </c>
      <c r="F4122">
        <v>9760025</v>
      </c>
      <c r="G4122" t="s">
        <v>2620</v>
      </c>
      <c r="H4122" s="21">
        <v>1245.42</v>
      </c>
    </row>
    <row r="4123" spans="1:8" customFormat="1" x14ac:dyDescent="0.25">
      <c r="A4123" t="str">
        <f>"7617187"</f>
        <v>7617187</v>
      </c>
      <c r="B4123" t="s">
        <v>5283</v>
      </c>
      <c r="C4123" t="s">
        <v>269</v>
      </c>
      <c r="D4123" s="21" t="s">
        <v>34</v>
      </c>
      <c r="E4123" s="21" t="s">
        <v>71</v>
      </c>
      <c r="F4123">
        <v>9760218</v>
      </c>
      <c r="G4123" t="s">
        <v>26836</v>
      </c>
      <c r="H4123" s="21">
        <v>1245.42</v>
      </c>
    </row>
    <row r="4124" spans="1:8" customFormat="1" x14ac:dyDescent="0.25">
      <c r="A4124" t="str">
        <f>"5912262"</f>
        <v>5912262</v>
      </c>
      <c r="B4124" t="s">
        <v>4817</v>
      </c>
      <c r="C4124" t="s">
        <v>1819</v>
      </c>
      <c r="D4124" s="21" t="s">
        <v>34</v>
      </c>
      <c r="E4124" s="21" t="s">
        <v>35</v>
      </c>
      <c r="F4124">
        <v>7590003</v>
      </c>
      <c r="G4124" t="s">
        <v>1166</v>
      </c>
      <c r="H4124" s="21">
        <v>1245.42</v>
      </c>
    </row>
    <row r="4125" spans="1:8" customFormat="1" x14ac:dyDescent="0.25">
      <c r="A4125" t="str">
        <f>"50622"</f>
        <v>50622</v>
      </c>
      <c r="B4125" t="s">
        <v>5325</v>
      </c>
      <c r="C4125" t="s">
        <v>144</v>
      </c>
      <c r="D4125" s="21" t="s">
        <v>34</v>
      </c>
      <c r="E4125" s="21" t="s">
        <v>71</v>
      </c>
      <c r="F4125">
        <v>9500130</v>
      </c>
      <c r="G4125" t="s">
        <v>5326</v>
      </c>
      <c r="H4125" s="21">
        <v>1245.17</v>
      </c>
    </row>
    <row r="4126" spans="1:8" customFormat="1" x14ac:dyDescent="0.25">
      <c r="A4126" t="str">
        <f>"621634"</f>
        <v>621634</v>
      </c>
      <c r="B4126" t="s">
        <v>2323</v>
      </c>
      <c r="C4126" t="s">
        <v>4741</v>
      </c>
      <c r="D4126" s="21" t="s">
        <v>34</v>
      </c>
      <c r="E4126" s="21" t="s">
        <v>71</v>
      </c>
      <c r="F4126">
        <v>7620162</v>
      </c>
      <c r="G4126" t="s">
        <v>3134</v>
      </c>
      <c r="H4126" s="21">
        <v>1245.17</v>
      </c>
    </row>
    <row r="4127" spans="1:8" customFormat="1" x14ac:dyDescent="0.25">
      <c r="A4127" t="str">
        <f>"626140"</f>
        <v>626140</v>
      </c>
      <c r="B4127" t="s">
        <v>2178</v>
      </c>
      <c r="C4127" t="s">
        <v>269</v>
      </c>
      <c r="D4127" s="21" t="s">
        <v>34</v>
      </c>
      <c r="E4127" s="21" t="s">
        <v>254</v>
      </c>
      <c r="F4127">
        <v>7620100</v>
      </c>
      <c r="G4127" t="s">
        <v>145</v>
      </c>
      <c r="H4127" s="21">
        <v>1244.68</v>
      </c>
    </row>
    <row r="4128" spans="1:8" customFormat="1" x14ac:dyDescent="0.25">
      <c r="A4128" t="str">
        <f>"7716120"</f>
        <v>7716120</v>
      </c>
      <c r="B4128" t="s">
        <v>26837</v>
      </c>
      <c r="C4128" t="s">
        <v>1104</v>
      </c>
      <c r="D4128" s="21" t="s">
        <v>34</v>
      </c>
      <c r="E4128" s="21" t="s">
        <v>35</v>
      </c>
      <c r="F4128">
        <v>8770489</v>
      </c>
      <c r="G4128" t="s">
        <v>1763</v>
      </c>
      <c r="H4128" s="21">
        <v>1244.67</v>
      </c>
    </row>
    <row r="4129" spans="1:8" customFormat="1" x14ac:dyDescent="0.25">
      <c r="A4129" t="str">
        <f>"373909"</f>
        <v>373909</v>
      </c>
      <c r="B4129" t="s">
        <v>4924</v>
      </c>
      <c r="C4129" t="s">
        <v>43</v>
      </c>
      <c r="D4129" s="21" t="s">
        <v>34</v>
      </c>
      <c r="E4129" s="21" t="s">
        <v>35</v>
      </c>
      <c r="F4129">
        <v>4370183</v>
      </c>
      <c r="G4129" t="s">
        <v>231</v>
      </c>
      <c r="H4129" s="21">
        <v>1244.67</v>
      </c>
    </row>
    <row r="4130" spans="1:8" customFormat="1" x14ac:dyDescent="0.25">
      <c r="A4130" t="str">
        <f>"591415"</f>
        <v>591415</v>
      </c>
      <c r="B4130" t="s">
        <v>4789</v>
      </c>
      <c r="C4130" t="s">
        <v>169</v>
      </c>
      <c r="D4130" s="21" t="s">
        <v>34</v>
      </c>
      <c r="E4130" s="21" t="s">
        <v>35</v>
      </c>
      <c r="F4130">
        <v>7590106</v>
      </c>
      <c r="G4130" t="s">
        <v>4790</v>
      </c>
      <c r="H4130" s="21">
        <v>1244.42</v>
      </c>
    </row>
    <row r="4131" spans="1:8" customFormat="1" x14ac:dyDescent="0.25">
      <c r="A4131" t="str">
        <f>"6224638"</f>
        <v>6224638</v>
      </c>
      <c r="B4131" t="s">
        <v>6688</v>
      </c>
      <c r="C4131" t="s">
        <v>169</v>
      </c>
      <c r="D4131" s="21" t="s">
        <v>34</v>
      </c>
      <c r="E4131" s="21" t="s">
        <v>35</v>
      </c>
      <c r="F4131">
        <v>7620088</v>
      </c>
      <c r="G4131" t="s">
        <v>3342</v>
      </c>
      <c r="H4131" s="21">
        <v>1244.42</v>
      </c>
    </row>
    <row r="4132" spans="1:8" customFormat="1" x14ac:dyDescent="0.25">
      <c r="A4132" t="str">
        <f>"3412651"</f>
        <v>3412651</v>
      </c>
      <c r="B4132" t="s">
        <v>5312</v>
      </c>
      <c r="C4132" t="s">
        <v>260</v>
      </c>
      <c r="D4132" s="21" t="s">
        <v>34</v>
      </c>
      <c r="E4132" s="21" t="s">
        <v>35</v>
      </c>
      <c r="F4132">
        <v>6100040</v>
      </c>
      <c r="G4132" t="s">
        <v>5313</v>
      </c>
      <c r="H4132" s="21">
        <v>1244.17</v>
      </c>
    </row>
    <row r="4133" spans="1:8" customFormat="1" x14ac:dyDescent="0.25">
      <c r="A4133" t="str">
        <f>"592381"</f>
        <v>592381</v>
      </c>
      <c r="B4133" t="s">
        <v>6063</v>
      </c>
      <c r="C4133" t="s">
        <v>2520</v>
      </c>
      <c r="D4133" s="21" t="s">
        <v>34</v>
      </c>
      <c r="E4133" s="21" t="s">
        <v>254</v>
      </c>
      <c r="F4133">
        <v>7590071</v>
      </c>
      <c r="G4133" t="s">
        <v>2602</v>
      </c>
      <c r="H4133" s="21">
        <v>1244.17</v>
      </c>
    </row>
    <row r="4134" spans="1:8" customFormat="1" x14ac:dyDescent="0.25">
      <c r="A4134" t="str">
        <f>"6312269"</f>
        <v>6312269</v>
      </c>
      <c r="B4134" t="s">
        <v>7635</v>
      </c>
      <c r="C4134" t="s">
        <v>598</v>
      </c>
      <c r="D4134" s="21" t="s">
        <v>34</v>
      </c>
      <c r="E4134" s="21" t="s">
        <v>71</v>
      </c>
      <c r="F4134">
        <v>12440141</v>
      </c>
      <c r="G4134" t="s">
        <v>3234</v>
      </c>
      <c r="H4134" s="21">
        <v>1244.17</v>
      </c>
    </row>
    <row r="4135" spans="1:8" customFormat="1" x14ac:dyDescent="0.25">
      <c r="A4135" t="str">
        <f>"2713095"</f>
        <v>2713095</v>
      </c>
      <c r="B4135" t="s">
        <v>4384</v>
      </c>
      <c r="C4135" t="s">
        <v>109</v>
      </c>
      <c r="D4135" s="21" t="s">
        <v>34</v>
      </c>
      <c r="E4135" s="21" t="s">
        <v>71</v>
      </c>
      <c r="F4135">
        <v>9270077</v>
      </c>
      <c r="G4135" t="s">
        <v>3228</v>
      </c>
      <c r="H4135" s="21">
        <v>1244.17</v>
      </c>
    </row>
    <row r="4136" spans="1:8" customFormat="1" x14ac:dyDescent="0.25">
      <c r="A4136" t="str">
        <f>"1414669"</f>
        <v>1414669</v>
      </c>
      <c r="B4136" t="s">
        <v>4377</v>
      </c>
      <c r="C4136" t="s">
        <v>462</v>
      </c>
      <c r="D4136" s="21" t="s">
        <v>34</v>
      </c>
      <c r="E4136" s="21" t="s">
        <v>35</v>
      </c>
      <c r="F4136">
        <v>1690058</v>
      </c>
      <c r="G4136" t="s">
        <v>1644</v>
      </c>
      <c r="H4136" s="21">
        <v>1244.17</v>
      </c>
    </row>
    <row r="4137" spans="1:8" customFormat="1" x14ac:dyDescent="0.25">
      <c r="A4137" t="str">
        <f>"217919"</f>
        <v>217919</v>
      </c>
      <c r="B4137" t="s">
        <v>26838</v>
      </c>
      <c r="C4137" t="s">
        <v>109</v>
      </c>
      <c r="D4137" s="21" t="s">
        <v>34</v>
      </c>
      <c r="E4137" s="21" t="s">
        <v>35</v>
      </c>
      <c r="F4137">
        <v>2210059</v>
      </c>
      <c r="G4137" t="s">
        <v>3142</v>
      </c>
      <c r="H4137" s="21">
        <v>1244.17</v>
      </c>
    </row>
    <row r="4138" spans="1:8" customFormat="1" x14ac:dyDescent="0.25">
      <c r="A4138" t="str">
        <f>"757190"</f>
        <v>757190</v>
      </c>
      <c r="B4138" t="s">
        <v>3893</v>
      </c>
      <c r="C4138" t="s">
        <v>926</v>
      </c>
      <c r="D4138" s="21" t="s">
        <v>34</v>
      </c>
      <c r="E4138" s="21" t="s">
        <v>71</v>
      </c>
      <c r="F4138">
        <v>8750007</v>
      </c>
      <c r="G4138" t="s">
        <v>775</v>
      </c>
      <c r="H4138" s="21">
        <v>1244.05</v>
      </c>
    </row>
    <row r="4139" spans="1:8" customFormat="1" x14ac:dyDescent="0.25">
      <c r="A4139" t="str">
        <f>"5920843"</f>
        <v>5920843</v>
      </c>
      <c r="B4139" t="s">
        <v>5186</v>
      </c>
      <c r="C4139" t="s">
        <v>498</v>
      </c>
      <c r="D4139" s="21" t="s">
        <v>34</v>
      </c>
      <c r="E4139" s="21" t="s">
        <v>35</v>
      </c>
      <c r="F4139">
        <v>7590106</v>
      </c>
      <c r="G4139" t="s">
        <v>4790</v>
      </c>
      <c r="H4139" s="21">
        <v>1244</v>
      </c>
    </row>
    <row r="4140" spans="1:8" customFormat="1" x14ac:dyDescent="0.25">
      <c r="A4140" t="str">
        <f>"4916063"</f>
        <v>4916063</v>
      </c>
      <c r="B4140" t="s">
        <v>3725</v>
      </c>
      <c r="C4140" t="s">
        <v>130</v>
      </c>
      <c r="D4140" s="21" t="s">
        <v>34</v>
      </c>
      <c r="E4140" s="21" t="s">
        <v>71</v>
      </c>
      <c r="F4140">
        <v>12490024</v>
      </c>
      <c r="G4140" t="s">
        <v>9869</v>
      </c>
      <c r="H4140" s="21">
        <v>1244</v>
      </c>
    </row>
    <row r="4141" spans="1:8" customFormat="1" x14ac:dyDescent="0.25">
      <c r="A4141" t="str">
        <f>"5929680"</f>
        <v>5929680</v>
      </c>
      <c r="B4141" t="s">
        <v>4834</v>
      </c>
      <c r="C4141" t="s">
        <v>269</v>
      </c>
      <c r="D4141" s="21" t="s">
        <v>34</v>
      </c>
      <c r="E4141" s="21" t="s">
        <v>35</v>
      </c>
      <c r="F4141">
        <v>7590263</v>
      </c>
      <c r="G4141" t="s">
        <v>895</v>
      </c>
      <c r="H4141" s="21">
        <v>1243.92</v>
      </c>
    </row>
    <row r="4142" spans="1:8" customFormat="1" x14ac:dyDescent="0.25">
      <c r="A4142" t="str">
        <f>"9225061"</f>
        <v>9225061</v>
      </c>
      <c r="B4142" t="s">
        <v>6110</v>
      </c>
      <c r="C4142" t="s">
        <v>65</v>
      </c>
      <c r="D4142" s="21" t="s">
        <v>34</v>
      </c>
      <c r="E4142" s="21" t="s">
        <v>35</v>
      </c>
      <c r="F4142">
        <v>8750117</v>
      </c>
      <c r="G4142" t="s">
        <v>3516</v>
      </c>
      <c r="H4142" s="21">
        <v>1243.81</v>
      </c>
    </row>
    <row r="4143" spans="1:8" customFormat="1" x14ac:dyDescent="0.25">
      <c r="A4143" t="str">
        <f>"777222"</f>
        <v>777222</v>
      </c>
      <c r="B4143" t="s">
        <v>4503</v>
      </c>
      <c r="C4143" t="s">
        <v>124</v>
      </c>
      <c r="D4143" s="21" t="s">
        <v>34</v>
      </c>
      <c r="E4143" s="21" t="s">
        <v>71</v>
      </c>
      <c r="F4143">
        <v>8771170</v>
      </c>
      <c r="G4143" t="s">
        <v>50</v>
      </c>
      <c r="H4143" s="21">
        <v>1243.8</v>
      </c>
    </row>
    <row r="4144" spans="1:8" customFormat="1" x14ac:dyDescent="0.25">
      <c r="A4144" t="str">
        <f>"6923275"</f>
        <v>6923275</v>
      </c>
      <c r="B4144" t="s">
        <v>5403</v>
      </c>
      <c r="C4144" t="s">
        <v>239</v>
      </c>
      <c r="D4144" s="21" t="s">
        <v>34</v>
      </c>
      <c r="E4144" s="21" t="s">
        <v>35</v>
      </c>
      <c r="F4144">
        <v>13130170</v>
      </c>
      <c r="G4144" t="s">
        <v>10164</v>
      </c>
      <c r="H4144" s="21">
        <v>1243.67</v>
      </c>
    </row>
    <row r="4145" spans="1:8" customFormat="1" x14ac:dyDescent="0.25">
      <c r="A4145" t="str">
        <f>"4416279"</f>
        <v>4416279</v>
      </c>
      <c r="B4145" t="s">
        <v>6495</v>
      </c>
      <c r="C4145" t="s">
        <v>114</v>
      </c>
      <c r="D4145" s="21" t="s">
        <v>34</v>
      </c>
      <c r="E4145" s="21" t="s">
        <v>71</v>
      </c>
      <c r="F4145">
        <v>12440182</v>
      </c>
      <c r="G4145" t="s">
        <v>2915</v>
      </c>
      <c r="H4145" s="21">
        <v>1243.67</v>
      </c>
    </row>
    <row r="4146" spans="1:8" customFormat="1" x14ac:dyDescent="0.25">
      <c r="A4146" t="str">
        <f>"6013370"</f>
        <v>6013370</v>
      </c>
      <c r="B4146" t="s">
        <v>4618</v>
      </c>
      <c r="C4146" t="s">
        <v>119</v>
      </c>
      <c r="D4146" s="21" t="s">
        <v>34</v>
      </c>
      <c r="E4146" s="21" t="s">
        <v>35</v>
      </c>
      <c r="F4146">
        <v>7600039</v>
      </c>
      <c r="G4146" t="s">
        <v>3151</v>
      </c>
      <c r="H4146" s="21">
        <v>1243.67</v>
      </c>
    </row>
    <row r="4147" spans="1:8" customFormat="1" x14ac:dyDescent="0.25">
      <c r="A4147" t="str">
        <f>"319787"</f>
        <v>319787</v>
      </c>
      <c r="B4147" t="s">
        <v>5363</v>
      </c>
      <c r="C4147" t="s">
        <v>60</v>
      </c>
      <c r="D4147" s="21" t="s">
        <v>34</v>
      </c>
      <c r="E4147" s="21" t="s">
        <v>35</v>
      </c>
      <c r="F4147">
        <v>11310077</v>
      </c>
      <c r="G4147" t="s">
        <v>5364</v>
      </c>
      <c r="H4147" s="21">
        <v>1243.67</v>
      </c>
    </row>
    <row r="4148" spans="1:8" customFormat="1" x14ac:dyDescent="0.25">
      <c r="A4148" t="str">
        <f>"02604"</f>
        <v>02604</v>
      </c>
      <c r="B4148" t="s">
        <v>2757</v>
      </c>
      <c r="C4148" t="s">
        <v>269</v>
      </c>
      <c r="D4148" s="21" t="s">
        <v>34</v>
      </c>
      <c r="E4148" s="21" t="s">
        <v>71</v>
      </c>
      <c r="F4148">
        <v>7020031</v>
      </c>
      <c r="G4148" t="s">
        <v>828</v>
      </c>
      <c r="H4148" s="21">
        <v>1243.67</v>
      </c>
    </row>
    <row r="4149" spans="1:8" customFormat="1" x14ac:dyDescent="0.25">
      <c r="A4149" t="str">
        <f>"7216418"</f>
        <v>7216418</v>
      </c>
      <c r="B4149" t="s">
        <v>10692</v>
      </c>
      <c r="C4149" t="s">
        <v>459</v>
      </c>
      <c r="D4149" s="21" t="s">
        <v>34</v>
      </c>
      <c r="E4149" s="21" t="s">
        <v>35</v>
      </c>
      <c r="F4149">
        <v>12440026</v>
      </c>
      <c r="G4149" t="s">
        <v>2987</v>
      </c>
      <c r="H4149" s="21">
        <v>1243.67</v>
      </c>
    </row>
    <row r="4150" spans="1:8" customFormat="1" x14ac:dyDescent="0.25">
      <c r="A4150" t="str">
        <f>"632054"</f>
        <v>632054</v>
      </c>
      <c r="B4150" t="s">
        <v>4571</v>
      </c>
      <c r="C4150" t="s">
        <v>415</v>
      </c>
      <c r="D4150" s="21" t="s">
        <v>34</v>
      </c>
      <c r="E4150" s="21" t="s">
        <v>35</v>
      </c>
      <c r="F4150">
        <v>1630249</v>
      </c>
      <c r="G4150" t="s">
        <v>1237</v>
      </c>
      <c r="H4150" s="21">
        <v>1243.67</v>
      </c>
    </row>
    <row r="4151" spans="1:8" customFormat="1" x14ac:dyDescent="0.25">
      <c r="A4151" t="str">
        <f>"591663"</f>
        <v>591663</v>
      </c>
      <c r="B4151" t="s">
        <v>5725</v>
      </c>
      <c r="C4151" t="s">
        <v>119</v>
      </c>
      <c r="D4151" s="21" t="s">
        <v>34</v>
      </c>
      <c r="E4151" s="21" t="s">
        <v>71</v>
      </c>
      <c r="F4151">
        <v>7590194</v>
      </c>
      <c r="G4151" t="s">
        <v>460</v>
      </c>
      <c r="H4151" s="21">
        <v>1243.67</v>
      </c>
    </row>
    <row r="4152" spans="1:8" customFormat="1" x14ac:dyDescent="0.25">
      <c r="A4152" t="str">
        <f>"163029"</f>
        <v>163029</v>
      </c>
      <c r="B4152" t="s">
        <v>4937</v>
      </c>
      <c r="C4152" t="s">
        <v>119</v>
      </c>
      <c r="D4152" s="21" t="s">
        <v>34</v>
      </c>
      <c r="E4152" s="21" t="s">
        <v>35</v>
      </c>
      <c r="F4152">
        <v>10160029</v>
      </c>
      <c r="G4152" t="s">
        <v>896</v>
      </c>
      <c r="H4152" s="21">
        <v>1243.5</v>
      </c>
    </row>
    <row r="4153" spans="1:8" customFormat="1" x14ac:dyDescent="0.25">
      <c r="A4153" t="str">
        <f>"741322"</f>
        <v>741322</v>
      </c>
      <c r="B4153" t="s">
        <v>4406</v>
      </c>
      <c r="C4153" t="s">
        <v>1705</v>
      </c>
      <c r="D4153" s="21" t="s">
        <v>34</v>
      </c>
      <c r="E4153" s="21" t="s">
        <v>254</v>
      </c>
      <c r="F4153">
        <v>1740011</v>
      </c>
      <c r="G4153" t="s">
        <v>2638</v>
      </c>
      <c r="H4153" s="21">
        <v>1243.17</v>
      </c>
    </row>
    <row r="4154" spans="1:8" customFormat="1" x14ac:dyDescent="0.25">
      <c r="A4154" t="str">
        <f>"279889"</f>
        <v>279889</v>
      </c>
      <c r="B4154" t="s">
        <v>4456</v>
      </c>
      <c r="C4154" t="s">
        <v>239</v>
      </c>
      <c r="D4154" s="21" t="s">
        <v>34</v>
      </c>
      <c r="E4154" s="21" t="s">
        <v>71</v>
      </c>
      <c r="F4154">
        <v>9270175</v>
      </c>
      <c r="G4154" t="s">
        <v>1909</v>
      </c>
      <c r="H4154" s="21">
        <v>1243.17</v>
      </c>
    </row>
    <row r="4155" spans="1:8" customFormat="1" x14ac:dyDescent="0.25">
      <c r="A4155" t="str">
        <f>"6010959"</f>
        <v>6010959</v>
      </c>
      <c r="B4155" t="s">
        <v>5844</v>
      </c>
      <c r="C4155" t="s">
        <v>544</v>
      </c>
      <c r="D4155" s="21" t="s">
        <v>34</v>
      </c>
      <c r="E4155" s="21" t="s">
        <v>35</v>
      </c>
      <c r="F4155">
        <v>7600081</v>
      </c>
      <c r="G4155" t="s">
        <v>5845</v>
      </c>
      <c r="H4155" s="21">
        <v>1243.17</v>
      </c>
    </row>
    <row r="4156" spans="1:8" customFormat="1" x14ac:dyDescent="0.25">
      <c r="A4156" t="str">
        <f>"4047"</f>
        <v>4047</v>
      </c>
      <c r="B4156" t="s">
        <v>4947</v>
      </c>
      <c r="C4156" t="s">
        <v>65</v>
      </c>
      <c r="D4156" s="21" t="s">
        <v>34</v>
      </c>
      <c r="E4156" s="21" t="s">
        <v>71</v>
      </c>
      <c r="F4156">
        <v>10400001</v>
      </c>
      <c r="G4156" t="s">
        <v>609</v>
      </c>
      <c r="H4156" s="21">
        <v>1243.17</v>
      </c>
    </row>
    <row r="4157" spans="1:8" customFormat="1" x14ac:dyDescent="0.25">
      <c r="A4157" t="str">
        <f>"2342"</f>
        <v>2342</v>
      </c>
      <c r="B4157" t="s">
        <v>1886</v>
      </c>
      <c r="C4157" t="s">
        <v>1559</v>
      </c>
      <c r="D4157" s="21" t="s">
        <v>34</v>
      </c>
      <c r="E4157" s="21" t="s">
        <v>35</v>
      </c>
      <c r="F4157">
        <v>10230067</v>
      </c>
      <c r="G4157" t="s">
        <v>912</v>
      </c>
      <c r="H4157" s="21">
        <v>1243.17</v>
      </c>
    </row>
    <row r="4158" spans="1:8" customFormat="1" x14ac:dyDescent="0.25">
      <c r="A4158" t="str">
        <f>"7823838"</f>
        <v>7823838</v>
      </c>
      <c r="B4158" t="s">
        <v>5162</v>
      </c>
      <c r="C4158" t="s">
        <v>3648</v>
      </c>
      <c r="D4158" s="21" t="s">
        <v>34</v>
      </c>
      <c r="E4158" s="21" t="s">
        <v>254</v>
      </c>
      <c r="F4158">
        <v>8780935</v>
      </c>
      <c r="G4158" t="s">
        <v>1944</v>
      </c>
      <c r="H4158" s="21">
        <v>1243.06</v>
      </c>
    </row>
    <row r="4159" spans="1:8" customFormat="1" x14ac:dyDescent="0.25">
      <c r="A4159" t="str">
        <f>"8010044"</f>
        <v>8010044</v>
      </c>
      <c r="B4159" t="s">
        <v>4300</v>
      </c>
      <c r="C4159" t="s">
        <v>2693</v>
      </c>
      <c r="D4159" s="21" t="s">
        <v>34</v>
      </c>
      <c r="E4159" s="21" t="s">
        <v>71</v>
      </c>
      <c r="F4159">
        <v>7800126</v>
      </c>
      <c r="G4159" t="s">
        <v>1105</v>
      </c>
      <c r="H4159" s="21">
        <v>1243.05</v>
      </c>
    </row>
    <row r="4160" spans="1:8" customFormat="1" x14ac:dyDescent="0.25">
      <c r="A4160" t="str">
        <f>"7216327"</f>
        <v>7216327</v>
      </c>
      <c r="B4160" t="s">
        <v>6743</v>
      </c>
      <c r="C4160" t="s">
        <v>249</v>
      </c>
      <c r="D4160" s="21" t="s">
        <v>34</v>
      </c>
      <c r="E4160" s="21" t="s">
        <v>35</v>
      </c>
      <c r="F4160">
        <v>12720042</v>
      </c>
      <c r="G4160" t="s">
        <v>922</v>
      </c>
      <c r="H4160" s="21">
        <v>1242.92</v>
      </c>
    </row>
    <row r="4161" spans="1:8" customFormat="1" x14ac:dyDescent="0.25">
      <c r="A4161" t="str">
        <f>"3517208"</f>
        <v>3517208</v>
      </c>
      <c r="B4161" t="s">
        <v>5602</v>
      </c>
      <c r="C4161" t="s">
        <v>209</v>
      </c>
      <c r="D4161" s="21" t="s">
        <v>34</v>
      </c>
      <c r="E4161" s="21" t="s">
        <v>35</v>
      </c>
      <c r="F4161">
        <v>3350199</v>
      </c>
      <c r="G4161" t="s">
        <v>5603</v>
      </c>
      <c r="H4161" s="21">
        <v>1242.8</v>
      </c>
    </row>
    <row r="4162" spans="1:8" customFormat="1" x14ac:dyDescent="0.25">
      <c r="A4162" t="str">
        <f>"9130580"</f>
        <v>9130580</v>
      </c>
      <c r="B4162" t="s">
        <v>5054</v>
      </c>
      <c r="C4162" t="s">
        <v>2529</v>
      </c>
      <c r="D4162" s="21" t="s">
        <v>34</v>
      </c>
      <c r="E4162" s="21" t="s">
        <v>71</v>
      </c>
      <c r="F4162">
        <v>8910303</v>
      </c>
      <c r="G4162" t="s">
        <v>1244</v>
      </c>
      <c r="H4162" s="21">
        <v>1242.67</v>
      </c>
    </row>
    <row r="4163" spans="1:8" customFormat="1" x14ac:dyDescent="0.25">
      <c r="A4163" t="str">
        <f>"5912897"</f>
        <v>5912897</v>
      </c>
      <c r="B4163" t="s">
        <v>5869</v>
      </c>
      <c r="C4163" t="s">
        <v>5232</v>
      </c>
      <c r="D4163" s="21" t="s">
        <v>34</v>
      </c>
      <c r="E4163" s="21" t="s">
        <v>71</v>
      </c>
      <c r="F4163">
        <v>7590228</v>
      </c>
      <c r="G4163" t="s">
        <v>1798</v>
      </c>
      <c r="H4163" s="21">
        <v>1242.67</v>
      </c>
    </row>
    <row r="4164" spans="1:8" customFormat="1" x14ac:dyDescent="0.25">
      <c r="A4164" t="str">
        <f>"661717"</f>
        <v>661717</v>
      </c>
      <c r="B4164" t="s">
        <v>5187</v>
      </c>
      <c r="C4164" t="s">
        <v>62</v>
      </c>
      <c r="D4164" s="21" t="s">
        <v>34</v>
      </c>
      <c r="E4164" s="21" t="s">
        <v>35</v>
      </c>
      <c r="F4164">
        <v>11660003</v>
      </c>
      <c r="G4164" t="s">
        <v>5188</v>
      </c>
      <c r="H4164" s="21">
        <v>1242.67</v>
      </c>
    </row>
    <row r="4165" spans="1:8" customFormat="1" x14ac:dyDescent="0.25">
      <c r="A4165" t="str">
        <f>"9125732"</f>
        <v>9125732</v>
      </c>
      <c r="B4165" t="s">
        <v>26839</v>
      </c>
      <c r="C4165" t="s">
        <v>96</v>
      </c>
      <c r="D4165" s="21" t="s">
        <v>34</v>
      </c>
      <c r="E4165" s="21" t="s">
        <v>35</v>
      </c>
      <c r="F4165">
        <v>13130146</v>
      </c>
      <c r="G4165" t="s">
        <v>2471</v>
      </c>
      <c r="H4165" s="21">
        <v>1242.67</v>
      </c>
    </row>
    <row r="4166" spans="1:8" customFormat="1" x14ac:dyDescent="0.25">
      <c r="A4166" t="str">
        <f>"721277"</f>
        <v>721277</v>
      </c>
      <c r="B4166" t="s">
        <v>4837</v>
      </c>
      <c r="C4166" t="s">
        <v>302</v>
      </c>
      <c r="D4166" s="21" t="s">
        <v>34</v>
      </c>
      <c r="E4166" s="21" t="s">
        <v>35</v>
      </c>
      <c r="F4166">
        <v>12720004</v>
      </c>
      <c r="G4166" t="s">
        <v>2328</v>
      </c>
      <c r="H4166" s="21">
        <v>1242.55</v>
      </c>
    </row>
    <row r="4167" spans="1:8" customFormat="1" x14ac:dyDescent="0.25">
      <c r="A4167" t="str">
        <f>"835213"</f>
        <v>835213</v>
      </c>
      <c r="B4167" t="s">
        <v>5756</v>
      </c>
      <c r="C4167" t="s">
        <v>825</v>
      </c>
      <c r="D4167" s="21" t="s">
        <v>34</v>
      </c>
      <c r="E4167" s="21" t="s">
        <v>71</v>
      </c>
      <c r="F4167">
        <v>13830014</v>
      </c>
      <c r="G4167" t="s">
        <v>5757</v>
      </c>
      <c r="H4167" s="21">
        <v>1242.42</v>
      </c>
    </row>
    <row r="4168" spans="1:8" customFormat="1" x14ac:dyDescent="0.25">
      <c r="A4168" t="str">
        <f>"088180"</f>
        <v>088180</v>
      </c>
      <c r="B4168" t="s">
        <v>25000</v>
      </c>
      <c r="C4168" t="s">
        <v>621</v>
      </c>
      <c r="D4168" s="21" t="s">
        <v>34</v>
      </c>
      <c r="E4168" s="21" t="s">
        <v>35</v>
      </c>
      <c r="F4168">
        <v>6080087</v>
      </c>
      <c r="G4168" t="s">
        <v>7405</v>
      </c>
      <c r="H4168" s="21">
        <v>1242.17</v>
      </c>
    </row>
    <row r="4169" spans="1:8" customFormat="1" x14ac:dyDescent="0.25">
      <c r="A4169" t="str">
        <f>"6914224"</f>
        <v>6914224</v>
      </c>
      <c r="B4169" t="s">
        <v>4048</v>
      </c>
      <c r="C4169" t="s">
        <v>302</v>
      </c>
      <c r="D4169" s="21" t="s">
        <v>34</v>
      </c>
      <c r="E4169" s="21" t="s">
        <v>35</v>
      </c>
      <c r="F4169">
        <v>1690076</v>
      </c>
      <c r="G4169" t="s">
        <v>4049</v>
      </c>
      <c r="H4169" s="21">
        <v>1242.17</v>
      </c>
    </row>
    <row r="4170" spans="1:8" customFormat="1" x14ac:dyDescent="0.25">
      <c r="A4170" t="str">
        <f>"941157"</f>
        <v>941157</v>
      </c>
      <c r="B4170" t="s">
        <v>4413</v>
      </c>
      <c r="C4170" t="s">
        <v>547</v>
      </c>
      <c r="D4170" s="21" t="s">
        <v>34</v>
      </c>
      <c r="E4170" s="21" t="s">
        <v>254</v>
      </c>
      <c r="F4170">
        <v>10170033</v>
      </c>
      <c r="G4170" t="s">
        <v>3756</v>
      </c>
      <c r="H4170" s="21">
        <v>1242.17</v>
      </c>
    </row>
    <row r="4171" spans="1:8" customFormat="1" x14ac:dyDescent="0.25">
      <c r="A4171" t="str">
        <f>"639117"</f>
        <v>639117</v>
      </c>
      <c r="B4171" t="s">
        <v>26840</v>
      </c>
      <c r="C4171" t="s">
        <v>484</v>
      </c>
      <c r="D4171" s="21" t="s">
        <v>34</v>
      </c>
      <c r="E4171" s="21" t="s">
        <v>35</v>
      </c>
      <c r="F4171">
        <v>1380045</v>
      </c>
      <c r="G4171" t="s">
        <v>2114</v>
      </c>
      <c r="H4171" s="21">
        <v>1242.17</v>
      </c>
    </row>
    <row r="4172" spans="1:8" customFormat="1" x14ac:dyDescent="0.25">
      <c r="A4172" t="str">
        <f>"4428334"</f>
        <v>4428334</v>
      </c>
      <c r="B4172" t="s">
        <v>1349</v>
      </c>
      <c r="C4172" t="s">
        <v>428</v>
      </c>
      <c r="D4172" s="21" t="s">
        <v>34</v>
      </c>
      <c r="E4172" s="21" t="s">
        <v>71</v>
      </c>
      <c r="F4172">
        <v>12440238</v>
      </c>
      <c r="G4172" t="s">
        <v>5258</v>
      </c>
      <c r="H4172" s="21">
        <v>1242.17</v>
      </c>
    </row>
    <row r="4173" spans="1:8" customFormat="1" x14ac:dyDescent="0.25">
      <c r="A4173" t="str">
        <f>"859951"</f>
        <v>859951</v>
      </c>
      <c r="B4173" t="s">
        <v>4415</v>
      </c>
      <c r="C4173" t="s">
        <v>65</v>
      </c>
      <c r="D4173" s="21" t="s">
        <v>34</v>
      </c>
      <c r="E4173" s="21" t="s">
        <v>71</v>
      </c>
      <c r="F4173">
        <v>12850128</v>
      </c>
      <c r="G4173" t="s">
        <v>3656</v>
      </c>
      <c r="H4173" s="21">
        <v>1242.17</v>
      </c>
    </row>
    <row r="4174" spans="1:8" customFormat="1" x14ac:dyDescent="0.25">
      <c r="A4174" t="str">
        <f>"4917667"</f>
        <v>4917667</v>
      </c>
      <c r="B4174" t="s">
        <v>6463</v>
      </c>
      <c r="C4174" t="s">
        <v>239</v>
      </c>
      <c r="D4174" s="21" t="s">
        <v>34</v>
      </c>
      <c r="E4174" s="21" t="s">
        <v>254</v>
      </c>
      <c r="F4174">
        <v>12490008</v>
      </c>
      <c r="G4174" t="s">
        <v>15452</v>
      </c>
      <c r="H4174" s="21">
        <v>1242.17</v>
      </c>
    </row>
    <row r="4175" spans="1:8" customFormat="1" x14ac:dyDescent="0.25">
      <c r="A4175" t="str">
        <f>"138899"</f>
        <v>138899</v>
      </c>
      <c r="B4175" t="s">
        <v>5899</v>
      </c>
      <c r="C4175" t="s">
        <v>109</v>
      </c>
      <c r="D4175" s="21" t="s">
        <v>34</v>
      </c>
      <c r="E4175" s="21" t="s">
        <v>35</v>
      </c>
      <c r="F4175">
        <v>13040024</v>
      </c>
      <c r="G4175" t="s">
        <v>5900</v>
      </c>
      <c r="H4175" s="21">
        <v>1242.05</v>
      </c>
    </row>
    <row r="4176" spans="1:8" customFormat="1" x14ac:dyDescent="0.25">
      <c r="A4176" t="str">
        <f>"026602"</f>
        <v>026602</v>
      </c>
      <c r="B4176" t="s">
        <v>4781</v>
      </c>
      <c r="C4176" t="s">
        <v>712</v>
      </c>
      <c r="D4176" s="21" t="s">
        <v>34</v>
      </c>
      <c r="E4176" s="21" t="s">
        <v>71</v>
      </c>
      <c r="F4176">
        <v>10240002</v>
      </c>
      <c r="G4176" t="s">
        <v>2935</v>
      </c>
      <c r="H4176" s="21">
        <v>1241.92</v>
      </c>
    </row>
    <row r="4177" spans="1:8" customFormat="1" x14ac:dyDescent="0.25">
      <c r="A4177" t="str">
        <f>"411606"</f>
        <v>411606</v>
      </c>
      <c r="B4177" t="s">
        <v>5962</v>
      </c>
      <c r="C4177" t="s">
        <v>305</v>
      </c>
      <c r="D4177" s="21" t="s">
        <v>34</v>
      </c>
      <c r="E4177" s="21" t="s">
        <v>35</v>
      </c>
      <c r="F4177">
        <v>4410718</v>
      </c>
      <c r="G4177" t="s">
        <v>5963</v>
      </c>
      <c r="H4177" s="21">
        <v>1241.8</v>
      </c>
    </row>
    <row r="4178" spans="1:8" customFormat="1" x14ac:dyDescent="0.25">
      <c r="A4178" t="str">
        <f>"639623"</f>
        <v>639623</v>
      </c>
      <c r="B4178" t="s">
        <v>5672</v>
      </c>
      <c r="C4178" t="s">
        <v>2305</v>
      </c>
      <c r="D4178" s="21" t="s">
        <v>34</v>
      </c>
      <c r="E4178" s="21" t="s">
        <v>254</v>
      </c>
      <c r="F4178">
        <v>1630182</v>
      </c>
      <c r="G4178" t="s">
        <v>20702</v>
      </c>
      <c r="H4178" s="21">
        <v>1241.67</v>
      </c>
    </row>
    <row r="4179" spans="1:8" customFormat="1" x14ac:dyDescent="0.25">
      <c r="A4179" t="str">
        <f>"769428"</f>
        <v>769428</v>
      </c>
      <c r="B4179" t="s">
        <v>2656</v>
      </c>
      <c r="C4179" t="s">
        <v>130</v>
      </c>
      <c r="D4179" s="21" t="s">
        <v>34</v>
      </c>
      <c r="E4179" s="21" t="s">
        <v>35</v>
      </c>
      <c r="F4179">
        <v>9760014</v>
      </c>
      <c r="G4179" t="s">
        <v>1017</v>
      </c>
      <c r="H4179" s="21">
        <v>1241.67</v>
      </c>
    </row>
    <row r="4180" spans="1:8" customFormat="1" x14ac:dyDescent="0.25">
      <c r="A4180" t="str">
        <f>"5612564"</f>
        <v>5612564</v>
      </c>
      <c r="B4180" t="s">
        <v>4574</v>
      </c>
      <c r="C4180" t="s">
        <v>65</v>
      </c>
      <c r="D4180" s="21" t="s">
        <v>34</v>
      </c>
      <c r="E4180" s="21" t="s">
        <v>35</v>
      </c>
      <c r="F4180">
        <v>3560012</v>
      </c>
      <c r="G4180" t="s">
        <v>3857</v>
      </c>
      <c r="H4180" s="21">
        <v>1241.67</v>
      </c>
    </row>
    <row r="4181" spans="1:8" customFormat="1" x14ac:dyDescent="0.25">
      <c r="A4181" t="str">
        <f>"161004"</f>
        <v>161004</v>
      </c>
      <c r="B4181" t="s">
        <v>1048</v>
      </c>
      <c r="C4181" t="s">
        <v>55</v>
      </c>
      <c r="D4181" s="21" t="s">
        <v>34</v>
      </c>
      <c r="E4181" s="21" t="s">
        <v>254</v>
      </c>
      <c r="F4181">
        <v>10160029</v>
      </c>
      <c r="G4181" t="s">
        <v>896</v>
      </c>
      <c r="H4181" s="21">
        <v>1241.67</v>
      </c>
    </row>
    <row r="4182" spans="1:8" customFormat="1" x14ac:dyDescent="0.25">
      <c r="A4182" t="str">
        <f>"4430186"</f>
        <v>4430186</v>
      </c>
      <c r="B4182" t="s">
        <v>5257</v>
      </c>
      <c r="C4182" t="s">
        <v>3456</v>
      </c>
      <c r="D4182" s="21" t="s">
        <v>34</v>
      </c>
      <c r="E4182" s="21" t="s">
        <v>71</v>
      </c>
      <c r="F4182">
        <v>12440238</v>
      </c>
      <c r="G4182" t="s">
        <v>5258</v>
      </c>
      <c r="H4182" s="21">
        <v>1241.67</v>
      </c>
    </row>
    <row r="4183" spans="1:8" customFormat="1" x14ac:dyDescent="0.25">
      <c r="A4183" t="str">
        <f>"1419524"</f>
        <v>1419524</v>
      </c>
      <c r="B4183" t="s">
        <v>5086</v>
      </c>
      <c r="C4183" t="s">
        <v>174</v>
      </c>
      <c r="D4183" s="21" t="s">
        <v>34</v>
      </c>
      <c r="E4183" s="21" t="s">
        <v>35</v>
      </c>
      <c r="F4183">
        <v>9140078</v>
      </c>
      <c r="G4183" t="s">
        <v>1920</v>
      </c>
      <c r="H4183" s="21">
        <v>1241.67</v>
      </c>
    </row>
    <row r="4184" spans="1:8" customFormat="1" x14ac:dyDescent="0.25">
      <c r="A4184" t="str">
        <f>"4910291"</f>
        <v>4910291</v>
      </c>
      <c r="B4184" t="s">
        <v>23545</v>
      </c>
      <c r="C4184" t="s">
        <v>3217</v>
      </c>
      <c r="D4184" s="21" t="s">
        <v>34</v>
      </c>
      <c r="E4184" s="21" t="s">
        <v>35</v>
      </c>
      <c r="F4184">
        <v>4370011</v>
      </c>
      <c r="G4184" t="s">
        <v>3672</v>
      </c>
      <c r="H4184" s="21">
        <v>1241.67</v>
      </c>
    </row>
    <row r="4185" spans="1:8" customFormat="1" x14ac:dyDescent="0.25">
      <c r="A4185" t="str">
        <f>"886321"</f>
        <v>886321</v>
      </c>
      <c r="B4185" t="s">
        <v>18125</v>
      </c>
      <c r="C4185" t="s">
        <v>3048</v>
      </c>
      <c r="D4185" s="21" t="s">
        <v>34</v>
      </c>
      <c r="E4185" s="21" t="s">
        <v>35</v>
      </c>
      <c r="F4185">
        <v>6670027</v>
      </c>
      <c r="G4185" t="s">
        <v>2791</v>
      </c>
      <c r="H4185" s="21">
        <v>1241.67</v>
      </c>
    </row>
    <row r="4186" spans="1:8" customFormat="1" x14ac:dyDescent="0.25">
      <c r="A4186" t="str">
        <f>"54803"</f>
        <v>54803</v>
      </c>
      <c r="B4186" t="s">
        <v>3932</v>
      </c>
      <c r="C4186" t="s">
        <v>249</v>
      </c>
      <c r="D4186" s="21" t="s">
        <v>34</v>
      </c>
      <c r="E4186" s="21" t="s">
        <v>254</v>
      </c>
      <c r="F4186">
        <v>6540040</v>
      </c>
      <c r="G4186" t="s">
        <v>256</v>
      </c>
      <c r="H4186" s="21">
        <v>1241.55</v>
      </c>
    </row>
    <row r="4187" spans="1:8" customFormat="1" x14ac:dyDescent="0.25">
      <c r="A4187" t="str">
        <f>"5322381"</f>
        <v>5322381</v>
      </c>
      <c r="B4187" t="s">
        <v>5546</v>
      </c>
      <c r="C4187" t="s">
        <v>209</v>
      </c>
      <c r="D4187" s="21" t="s">
        <v>34</v>
      </c>
      <c r="E4187" s="21" t="s">
        <v>71</v>
      </c>
      <c r="F4187">
        <v>12530035</v>
      </c>
      <c r="G4187" t="s">
        <v>1663</v>
      </c>
      <c r="H4187" s="21">
        <v>1241.42</v>
      </c>
    </row>
    <row r="4188" spans="1:8" customFormat="1" x14ac:dyDescent="0.25">
      <c r="A4188" t="str">
        <f>"598574"</f>
        <v>598574</v>
      </c>
      <c r="B4188" t="s">
        <v>4373</v>
      </c>
      <c r="C4188" t="s">
        <v>147</v>
      </c>
      <c r="D4188" s="21" t="s">
        <v>34</v>
      </c>
      <c r="E4188" s="21" t="s">
        <v>35</v>
      </c>
      <c r="F4188">
        <v>7620145</v>
      </c>
      <c r="G4188" t="s">
        <v>2068</v>
      </c>
      <c r="H4188" s="21">
        <v>1241.17</v>
      </c>
    </row>
    <row r="4189" spans="1:8" customFormat="1" x14ac:dyDescent="0.25">
      <c r="A4189" t="str">
        <f>"9418520"</f>
        <v>9418520</v>
      </c>
      <c r="B4189" t="s">
        <v>23308</v>
      </c>
      <c r="C4189" t="s">
        <v>867</v>
      </c>
      <c r="D4189" s="21" t="s">
        <v>34</v>
      </c>
      <c r="E4189" s="21" t="s">
        <v>35</v>
      </c>
      <c r="F4189">
        <v>8910042</v>
      </c>
      <c r="G4189" t="s">
        <v>4009</v>
      </c>
      <c r="H4189" s="21">
        <v>1241.17</v>
      </c>
    </row>
    <row r="4190" spans="1:8" customFormat="1" x14ac:dyDescent="0.25">
      <c r="A4190" t="str">
        <f>"603698"</f>
        <v>603698</v>
      </c>
      <c r="B4190" t="s">
        <v>4740</v>
      </c>
      <c r="C4190" t="s">
        <v>119</v>
      </c>
      <c r="D4190" s="21" t="s">
        <v>34</v>
      </c>
      <c r="E4190" s="21" t="s">
        <v>35</v>
      </c>
      <c r="F4190">
        <v>7600043</v>
      </c>
      <c r="G4190" t="s">
        <v>1928</v>
      </c>
      <c r="H4190" s="21">
        <v>1241.17</v>
      </c>
    </row>
    <row r="4191" spans="1:8" customFormat="1" x14ac:dyDescent="0.25">
      <c r="A4191" t="str">
        <f>"595847"</f>
        <v>595847</v>
      </c>
      <c r="B4191" t="s">
        <v>4815</v>
      </c>
      <c r="C4191" t="s">
        <v>412</v>
      </c>
      <c r="D4191" s="21" t="s">
        <v>34</v>
      </c>
      <c r="E4191" s="21" t="s">
        <v>71</v>
      </c>
      <c r="F4191">
        <v>7590004</v>
      </c>
      <c r="G4191" t="s">
        <v>4816</v>
      </c>
      <c r="H4191" s="21">
        <v>1241.17</v>
      </c>
    </row>
    <row r="4192" spans="1:8" customFormat="1" x14ac:dyDescent="0.25">
      <c r="A4192" t="str">
        <f>"7219074"</f>
        <v>7219074</v>
      </c>
      <c r="B4192" t="s">
        <v>923</v>
      </c>
      <c r="C4192" t="s">
        <v>55</v>
      </c>
      <c r="D4192" s="21" t="s">
        <v>34</v>
      </c>
      <c r="E4192" s="21" t="s">
        <v>71</v>
      </c>
      <c r="F4192">
        <v>12720104</v>
      </c>
      <c r="G4192" t="s">
        <v>224</v>
      </c>
      <c r="H4192" s="21">
        <v>1241.05</v>
      </c>
    </row>
    <row r="4193" spans="1:8" customFormat="1" x14ac:dyDescent="0.25">
      <c r="A4193" t="str">
        <f>"2910429"</f>
        <v>2910429</v>
      </c>
      <c r="B4193" t="s">
        <v>4499</v>
      </c>
      <c r="C4193" t="s">
        <v>547</v>
      </c>
      <c r="D4193" s="21" t="s">
        <v>34</v>
      </c>
      <c r="E4193" s="21" t="s">
        <v>71</v>
      </c>
      <c r="F4193">
        <v>3290081</v>
      </c>
      <c r="G4193" t="s">
        <v>3819</v>
      </c>
      <c r="H4193" s="21">
        <v>1240.81</v>
      </c>
    </row>
    <row r="4194" spans="1:8" customFormat="1" x14ac:dyDescent="0.25">
      <c r="A4194" t="str">
        <f>"7512834"</f>
        <v>7512834</v>
      </c>
      <c r="B4194" t="s">
        <v>4668</v>
      </c>
      <c r="C4194" t="s">
        <v>712</v>
      </c>
      <c r="D4194" s="21" t="s">
        <v>34</v>
      </c>
      <c r="E4194" s="21" t="s">
        <v>71</v>
      </c>
      <c r="F4194">
        <v>8750117</v>
      </c>
      <c r="G4194" t="s">
        <v>3516</v>
      </c>
      <c r="H4194" s="21">
        <v>1240.68</v>
      </c>
    </row>
    <row r="4195" spans="1:8" customFormat="1" x14ac:dyDescent="0.25">
      <c r="A4195" t="str">
        <f>"843007"</f>
        <v>843007</v>
      </c>
      <c r="B4195" t="s">
        <v>26841</v>
      </c>
      <c r="C4195" t="s">
        <v>33</v>
      </c>
      <c r="D4195" s="21" t="s">
        <v>34</v>
      </c>
      <c r="E4195" s="21" t="s">
        <v>71</v>
      </c>
      <c r="F4195">
        <v>13840037</v>
      </c>
      <c r="G4195" t="s">
        <v>2019</v>
      </c>
      <c r="H4195" s="21">
        <v>1240.67</v>
      </c>
    </row>
    <row r="4196" spans="1:8" customFormat="1" x14ac:dyDescent="0.25">
      <c r="A4196" t="str">
        <f>"59383"</f>
        <v>59383</v>
      </c>
      <c r="B4196" t="s">
        <v>5501</v>
      </c>
      <c r="C4196" t="s">
        <v>288</v>
      </c>
      <c r="D4196" s="21" t="s">
        <v>34</v>
      </c>
      <c r="E4196" s="21" t="s">
        <v>71</v>
      </c>
      <c r="F4196">
        <v>7590011</v>
      </c>
      <c r="G4196" t="s">
        <v>2147</v>
      </c>
      <c r="H4196" s="21">
        <v>1240.67</v>
      </c>
    </row>
    <row r="4197" spans="1:8" customFormat="1" x14ac:dyDescent="0.25">
      <c r="A4197" t="str">
        <f>"7850391"</f>
        <v>7850391</v>
      </c>
      <c r="B4197" t="s">
        <v>1840</v>
      </c>
      <c r="C4197" t="s">
        <v>598</v>
      </c>
      <c r="D4197" s="21" t="s">
        <v>34</v>
      </c>
      <c r="E4197" s="21" t="s">
        <v>71</v>
      </c>
      <c r="F4197">
        <v>8780496</v>
      </c>
      <c r="G4197" t="s">
        <v>2477</v>
      </c>
      <c r="H4197" s="21">
        <v>1240.67</v>
      </c>
    </row>
    <row r="4198" spans="1:8" customFormat="1" x14ac:dyDescent="0.25">
      <c r="A4198" t="str">
        <f>"781053"</f>
        <v>781053</v>
      </c>
      <c r="B4198" t="s">
        <v>5212</v>
      </c>
      <c r="C4198" t="s">
        <v>656</v>
      </c>
      <c r="D4198" s="21" t="s">
        <v>34</v>
      </c>
      <c r="E4198" s="21" t="s">
        <v>71</v>
      </c>
      <c r="F4198">
        <v>8780485</v>
      </c>
      <c r="G4198" t="s">
        <v>1279</v>
      </c>
      <c r="H4198" s="21">
        <v>1240.55</v>
      </c>
    </row>
    <row r="4199" spans="1:8" customFormat="1" x14ac:dyDescent="0.25">
      <c r="A4199" t="str">
        <f>"8474"</f>
        <v>8474</v>
      </c>
      <c r="B4199" t="s">
        <v>5141</v>
      </c>
      <c r="C4199" t="s">
        <v>5142</v>
      </c>
      <c r="D4199" s="21" t="s">
        <v>34</v>
      </c>
      <c r="E4199" s="21" t="s">
        <v>1089</v>
      </c>
      <c r="F4199">
        <v>13840012</v>
      </c>
      <c r="G4199" t="s">
        <v>5143</v>
      </c>
      <c r="H4199" s="21">
        <v>1240.55</v>
      </c>
    </row>
    <row r="4200" spans="1:8" customFormat="1" x14ac:dyDescent="0.25">
      <c r="A4200" t="str">
        <f>"597104"</f>
        <v>597104</v>
      </c>
      <c r="B4200" t="s">
        <v>4229</v>
      </c>
      <c r="C4200" t="s">
        <v>484</v>
      </c>
      <c r="D4200" s="21" t="s">
        <v>34</v>
      </c>
      <c r="E4200" s="21" t="s">
        <v>35</v>
      </c>
      <c r="F4200">
        <v>7590400</v>
      </c>
      <c r="G4200" t="s">
        <v>26692</v>
      </c>
      <c r="H4200" s="21">
        <v>1240.42</v>
      </c>
    </row>
    <row r="4201" spans="1:8" customFormat="1" x14ac:dyDescent="0.25">
      <c r="A4201" t="str">
        <f>"551706"</f>
        <v>551706</v>
      </c>
      <c r="B4201" t="s">
        <v>26842</v>
      </c>
      <c r="C4201" t="s">
        <v>1025</v>
      </c>
      <c r="D4201" s="21" t="s">
        <v>34</v>
      </c>
      <c r="E4201" s="21" t="s">
        <v>71</v>
      </c>
      <c r="F4201">
        <v>6550007</v>
      </c>
      <c r="G4201" t="s">
        <v>1688</v>
      </c>
      <c r="H4201" s="21">
        <v>1240.17</v>
      </c>
    </row>
    <row r="4202" spans="1:8" customFormat="1" x14ac:dyDescent="0.25">
      <c r="A4202" t="str">
        <f>"62106"</f>
        <v>62106</v>
      </c>
      <c r="B4202" t="s">
        <v>4960</v>
      </c>
      <c r="C4202" t="s">
        <v>33</v>
      </c>
      <c r="D4202" s="21" t="s">
        <v>34</v>
      </c>
      <c r="E4202" s="21" t="s">
        <v>71</v>
      </c>
      <c r="F4202">
        <v>7620108</v>
      </c>
      <c r="G4202" t="s">
        <v>3035</v>
      </c>
      <c r="H4202" s="21">
        <v>1240.17</v>
      </c>
    </row>
    <row r="4203" spans="1:8" customFormat="1" x14ac:dyDescent="0.25">
      <c r="A4203" t="str">
        <f>"643008"</f>
        <v>643008</v>
      </c>
      <c r="B4203" t="s">
        <v>2854</v>
      </c>
      <c r="C4203" t="s">
        <v>302</v>
      </c>
      <c r="D4203" s="21" t="s">
        <v>34</v>
      </c>
      <c r="E4203" s="21" t="s">
        <v>35</v>
      </c>
      <c r="F4203">
        <v>10640015</v>
      </c>
      <c r="G4203" t="s">
        <v>10196</v>
      </c>
      <c r="H4203" s="21">
        <v>1240.17</v>
      </c>
    </row>
    <row r="4204" spans="1:8" customFormat="1" x14ac:dyDescent="0.25">
      <c r="A4204" t="str">
        <f>"7830080"</f>
        <v>7830080</v>
      </c>
      <c r="B4204" t="s">
        <v>3781</v>
      </c>
      <c r="C4204" t="s">
        <v>33</v>
      </c>
      <c r="D4204" s="21" t="s">
        <v>34</v>
      </c>
      <c r="E4204" s="21" t="s">
        <v>35</v>
      </c>
      <c r="F4204">
        <v>6680090</v>
      </c>
      <c r="G4204" t="s">
        <v>3129</v>
      </c>
      <c r="H4204" s="21">
        <v>1240.17</v>
      </c>
    </row>
    <row r="4205" spans="1:8" customFormat="1" x14ac:dyDescent="0.25">
      <c r="A4205" t="str">
        <f>"2918308"</f>
        <v>2918308</v>
      </c>
      <c r="B4205" t="s">
        <v>26843</v>
      </c>
      <c r="C4205" t="s">
        <v>40</v>
      </c>
      <c r="D4205" s="21" t="s">
        <v>34</v>
      </c>
      <c r="E4205" s="21" t="s">
        <v>71</v>
      </c>
      <c r="F4205">
        <v>3290029</v>
      </c>
      <c r="G4205" t="s">
        <v>11486</v>
      </c>
      <c r="H4205" s="21">
        <v>1240.17</v>
      </c>
    </row>
    <row r="4206" spans="1:8" customFormat="1" x14ac:dyDescent="0.25">
      <c r="A4206" t="str">
        <f>"3318532"</f>
        <v>3318532</v>
      </c>
      <c r="B4206" t="s">
        <v>5144</v>
      </c>
      <c r="C4206" t="s">
        <v>40</v>
      </c>
      <c r="D4206" s="21" t="s">
        <v>34</v>
      </c>
      <c r="E4206" s="21" t="s">
        <v>71</v>
      </c>
      <c r="F4206">
        <v>10330121</v>
      </c>
      <c r="G4206" t="s">
        <v>5145</v>
      </c>
      <c r="H4206" s="21">
        <v>1240.17</v>
      </c>
    </row>
    <row r="4207" spans="1:8" customFormat="1" x14ac:dyDescent="0.25">
      <c r="A4207" t="str">
        <f>"50445"</f>
        <v>50445</v>
      </c>
      <c r="B4207" t="s">
        <v>2883</v>
      </c>
      <c r="C4207" t="s">
        <v>1359</v>
      </c>
      <c r="D4207" s="21" t="s">
        <v>34</v>
      </c>
      <c r="E4207" s="21" t="s">
        <v>35</v>
      </c>
      <c r="F4207">
        <v>9140007</v>
      </c>
      <c r="G4207" t="s">
        <v>434</v>
      </c>
      <c r="H4207" s="21">
        <v>1240.17</v>
      </c>
    </row>
    <row r="4208" spans="1:8" customFormat="1" x14ac:dyDescent="0.25">
      <c r="A4208" t="str">
        <f>"2923391"</f>
        <v>2923391</v>
      </c>
      <c r="B4208" t="s">
        <v>10731</v>
      </c>
      <c r="C4208" t="s">
        <v>124</v>
      </c>
      <c r="D4208" s="21" t="s">
        <v>34</v>
      </c>
      <c r="E4208" s="21" t="s">
        <v>35</v>
      </c>
      <c r="F4208">
        <v>3290014</v>
      </c>
      <c r="G4208" t="s">
        <v>10174</v>
      </c>
      <c r="H4208" s="21">
        <v>1240.17</v>
      </c>
    </row>
    <row r="4209" spans="1:8" customFormat="1" x14ac:dyDescent="0.25">
      <c r="A4209" t="str">
        <f>"9744961"</f>
        <v>9744961</v>
      </c>
      <c r="B4209" t="s">
        <v>4957</v>
      </c>
      <c r="C4209" t="s">
        <v>4958</v>
      </c>
      <c r="D4209" s="21" t="s">
        <v>34</v>
      </c>
      <c r="E4209" s="21" t="s">
        <v>35</v>
      </c>
      <c r="F4209" t="s">
        <v>2849</v>
      </c>
      <c r="G4209" t="s">
        <v>2850</v>
      </c>
      <c r="H4209" s="21">
        <v>1240.17</v>
      </c>
    </row>
    <row r="4210" spans="1:8" customFormat="1" x14ac:dyDescent="0.25">
      <c r="A4210" t="str">
        <f>"686507"</f>
        <v>686507</v>
      </c>
      <c r="B4210" t="s">
        <v>5793</v>
      </c>
      <c r="C4210" t="s">
        <v>33</v>
      </c>
      <c r="D4210" s="21" t="s">
        <v>34</v>
      </c>
      <c r="E4210" s="21" t="s">
        <v>35</v>
      </c>
      <c r="F4210">
        <v>6880010</v>
      </c>
      <c r="G4210" t="s">
        <v>1029</v>
      </c>
      <c r="H4210" s="21">
        <v>1240.04</v>
      </c>
    </row>
    <row r="4211" spans="1:8" customFormat="1" x14ac:dyDescent="0.25">
      <c r="A4211" t="str">
        <f>"2814069"</f>
        <v>2814069</v>
      </c>
      <c r="B4211" t="s">
        <v>5084</v>
      </c>
      <c r="C4211" t="s">
        <v>121</v>
      </c>
      <c r="D4211" s="21" t="s">
        <v>34</v>
      </c>
      <c r="E4211" s="21" t="s">
        <v>35</v>
      </c>
      <c r="F4211">
        <v>4280322</v>
      </c>
      <c r="G4211" t="s">
        <v>265</v>
      </c>
      <c r="H4211" s="21">
        <v>1239.8</v>
      </c>
    </row>
    <row r="4212" spans="1:8" customFormat="1" x14ac:dyDescent="0.25">
      <c r="A4212" t="str">
        <f>"683221"</f>
        <v>683221</v>
      </c>
      <c r="B4212" t="s">
        <v>23252</v>
      </c>
      <c r="C4212" t="s">
        <v>26844</v>
      </c>
      <c r="D4212" s="21" t="s">
        <v>34</v>
      </c>
      <c r="E4212" s="21" t="s">
        <v>35</v>
      </c>
      <c r="F4212">
        <v>6680080</v>
      </c>
      <c r="G4212" t="s">
        <v>7771</v>
      </c>
      <c r="H4212" s="21">
        <v>1239.67</v>
      </c>
    </row>
    <row r="4213" spans="1:8" customFormat="1" x14ac:dyDescent="0.25">
      <c r="A4213" t="str">
        <f>"411579"</f>
        <v>411579</v>
      </c>
      <c r="B4213" t="s">
        <v>3498</v>
      </c>
      <c r="C4213" t="s">
        <v>169</v>
      </c>
      <c r="D4213" s="21" t="s">
        <v>34</v>
      </c>
      <c r="E4213" s="21" t="s">
        <v>35</v>
      </c>
      <c r="F4213">
        <v>4410729</v>
      </c>
      <c r="G4213" t="s">
        <v>4427</v>
      </c>
      <c r="H4213" s="21">
        <v>1239.67</v>
      </c>
    </row>
    <row r="4214" spans="1:8" customFormat="1" x14ac:dyDescent="0.25">
      <c r="A4214" t="str">
        <f>"4429939"</f>
        <v>4429939</v>
      </c>
      <c r="B4214" t="s">
        <v>26845</v>
      </c>
      <c r="C4214" t="s">
        <v>43</v>
      </c>
      <c r="D4214" s="21" t="s">
        <v>34</v>
      </c>
      <c r="E4214" s="21" t="s">
        <v>35</v>
      </c>
      <c r="F4214">
        <v>12440032</v>
      </c>
      <c r="G4214" t="s">
        <v>9296</v>
      </c>
      <c r="H4214" s="21">
        <v>1239.67</v>
      </c>
    </row>
    <row r="4215" spans="1:8" customFormat="1" x14ac:dyDescent="0.25">
      <c r="A4215" t="str">
        <f>"516807"</f>
        <v>516807</v>
      </c>
      <c r="B4215" t="s">
        <v>8695</v>
      </c>
      <c r="C4215" t="s">
        <v>233</v>
      </c>
      <c r="D4215" s="21" t="s">
        <v>34</v>
      </c>
      <c r="E4215" s="21" t="s">
        <v>35</v>
      </c>
      <c r="F4215">
        <v>1420299</v>
      </c>
      <c r="G4215" t="s">
        <v>8013</v>
      </c>
      <c r="H4215" s="21">
        <v>1239.67</v>
      </c>
    </row>
    <row r="4216" spans="1:8" customFormat="1" x14ac:dyDescent="0.25">
      <c r="A4216" t="str">
        <f>"9226825"</f>
        <v>9226825</v>
      </c>
      <c r="B4216" t="s">
        <v>4985</v>
      </c>
      <c r="C4216" t="s">
        <v>267</v>
      </c>
      <c r="D4216" s="21" t="s">
        <v>34</v>
      </c>
      <c r="E4216" s="21" t="s">
        <v>71</v>
      </c>
      <c r="F4216">
        <v>8921256</v>
      </c>
      <c r="G4216" t="s">
        <v>1038</v>
      </c>
      <c r="H4216" s="21">
        <v>1239.67</v>
      </c>
    </row>
    <row r="4217" spans="1:8" customFormat="1" x14ac:dyDescent="0.25">
      <c r="A4217" t="str">
        <f>"723372"</f>
        <v>723372</v>
      </c>
      <c r="B4217" t="s">
        <v>4193</v>
      </c>
      <c r="C4217" t="s">
        <v>33</v>
      </c>
      <c r="D4217" s="21" t="s">
        <v>34</v>
      </c>
      <c r="E4217" s="21" t="s">
        <v>71</v>
      </c>
      <c r="F4217">
        <v>12720104</v>
      </c>
      <c r="G4217" t="s">
        <v>224</v>
      </c>
      <c r="H4217" s="21">
        <v>1239.67</v>
      </c>
    </row>
    <row r="4218" spans="1:8" customFormat="1" x14ac:dyDescent="0.25">
      <c r="A4218" t="str">
        <f>"179216"</f>
        <v>179216</v>
      </c>
      <c r="B4218" t="s">
        <v>146</v>
      </c>
      <c r="C4218" t="s">
        <v>1588</v>
      </c>
      <c r="D4218" s="21" t="s">
        <v>34</v>
      </c>
      <c r="E4218" s="21" t="s">
        <v>254</v>
      </c>
      <c r="F4218">
        <v>10170064</v>
      </c>
      <c r="G4218" t="s">
        <v>1900</v>
      </c>
      <c r="H4218" s="21">
        <v>1239.42</v>
      </c>
    </row>
    <row r="4219" spans="1:8" customFormat="1" x14ac:dyDescent="0.25">
      <c r="A4219" t="str">
        <f>"7623482"</f>
        <v>7623482</v>
      </c>
      <c r="B4219" t="s">
        <v>4856</v>
      </c>
      <c r="C4219" t="s">
        <v>1588</v>
      </c>
      <c r="D4219" s="21" t="s">
        <v>34</v>
      </c>
      <c r="E4219" s="21" t="s">
        <v>71</v>
      </c>
      <c r="F4219">
        <v>9760463</v>
      </c>
      <c r="G4219" t="s">
        <v>1188</v>
      </c>
      <c r="H4219" s="21">
        <v>1239.42</v>
      </c>
    </row>
    <row r="4220" spans="1:8" customFormat="1" x14ac:dyDescent="0.25">
      <c r="A4220" t="str">
        <f>"581474"</f>
        <v>581474</v>
      </c>
      <c r="B4220" t="s">
        <v>5286</v>
      </c>
      <c r="C4220" t="s">
        <v>109</v>
      </c>
      <c r="D4220" s="21" t="s">
        <v>34</v>
      </c>
      <c r="E4220" s="21" t="s">
        <v>35</v>
      </c>
      <c r="F4220">
        <v>2580010</v>
      </c>
      <c r="G4220" t="s">
        <v>1965</v>
      </c>
      <c r="H4220" s="21">
        <v>1239.18</v>
      </c>
    </row>
    <row r="4221" spans="1:8" customFormat="1" x14ac:dyDescent="0.25">
      <c r="A4221" t="str">
        <f>"30290"</f>
        <v>30290</v>
      </c>
      <c r="B4221" t="s">
        <v>5133</v>
      </c>
      <c r="C4221" t="s">
        <v>204</v>
      </c>
      <c r="D4221" s="21" t="s">
        <v>34</v>
      </c>
      <c r="E4221" s="21" t="s">
        <v>71</v>
      </c>
      <c r="F4221">
        <v>11300016</v>
      </c>
      <c r="G4221" t="s">
        <v>157</v>
      </c>
      <c r="H4221" s="21">
        <v>1239.17</v>
      </c>
    </row>
    <row r="4222" spans="1:8" customFormat="1" x14ac:dyDescent="0.25">
      <c r="A4222" t="str">
        <f>"4435644"</f>
        <v>4435644</v>
      </c>
      <c r="B4222" t="s">
        <v>5471</v>
      </c>
      <c r="C4222" t="s">
        <v>244</v>
      </c>
      <c r="D4222" s="21" t="s">
        <v>34</v>
      </c>
      <c r="E4222" s="21" t="s">
        <v>35</v>
      </c>
      <c r="F4222">
        <v>12440147</v>
      </c>
      <c r="G4222" t="s">
        <v>5472</v>
      </c>
      <c r="H4222" s="21">
        <v>1239.17</v>
      </c>
    </row>
    <row r="4223" spans="1:8" customFormat="1" x14ac:dyDescent="0.25">
      <c r="A4223" t="str">
        <f>"5415022"</f>
        <v>5415022</v>
      </c>
      <c r="B4223" t="s">
        <v>4642</v>
      </c>
      <c r="C4223" t="s">
        <v>87</v>
      </c>
      <c r="D4223" s="21" t="s">
        <v>34</v>
      </c>
      <c r="E4223" s="21" t="s">
        <v>35</v>
      </c>
      <c r="F4223">
        <v>6540032</v>
      </c>
      <c r="G4223" t="s">
        <v>63</v>
      </c>
      <c r="H4223" s="21">
        <v>1239.17</v>
      </c>
    </row>
    <row r="4224" spans="1:8" customFormat="1" x14ac:dyDescent="0.25">
      <c r="A4224" t="str">
        <f>"034553"</f>
        <v>034553</v>
      </c>
      <c r="B4224" t="s">
        <v>5317</v>
      </c>
      <c r="C4224" t="s">
        <v>311</v>
      </c>
      <c r="D4224" s="21" t="s">
        <v>34</v>
      </c>
      <c r="E4224" s="21" t="s">
        <v>35</v>
      </c>
      <c r="F4224">
        <v>1030035</v>
      </c>
      <c r="G4224" t="s">
        <v>2343</v>
      </c>
      <c r="H4224" s="21">
        <v>1239.17</v>
      </c>
    </row>
    <row r="4225" spans="1:8" customFormat="1" x14ac:dyDescent="0.25">
      <c r="A4225" t="str">
        <f>"3316636"</f>
        <v>3316636</v>
      </c>
      <c r="B4225" t="s">
        <v>3876</v>
      </c>
      <c r="C4225" t="s">
        <v>206</v>
      </c>
      <c r="D4225" s="21" t="s">
        <v>34</v>
      </c>
      <c r="E4225" s="21" t="s">
        <v>35</v>
      </c>
      <c r="F4225" t="s">
        <v>1465</v>
      </c>
      <c r="G4225" t="s">
        <v>1466</v>
      </c>
      <c r="H4225" s="21">
        <v>1238.81</v>
      </c>
    </row>
    <row r="4226" spans="1:8" customFormat="1" x14ac:dyDescent="0.25">
      <c r="A4226" t="str">
        <f>"9532097"</f>
        <v>9532097</v>
      </c>
      <c r="B4226" t="s">
        <v>6517</v>
      </c>
      <c r="C4226" t="s">
        <v>1714</v>
      </c>
      <c r="D4226" s="21" t="s">
        <v>34</v>
      </c>
      <c r="E4226" s="21" t="s">
        <v>71</v>
      </c>
      <c r="F4226">
        <v>8950435</v>
      </c>
      <c r="G4226" t="s">
        <v>6404</v>
      </c>
      <c r="H4226" s="21">
        <v>1238.8</v>
      </c>
    </row>
    <row r="4227" spans="1:8" customFormat="1" x14ac:dyDescent="0.25">
      <c r="A4227" t="str">
        <f>"603329"</f>
        <v>603329</v>
      </c>
      <c r="B4227" t="s">
        <v>5431</v>
      </c>
      <c r="C4227" t="s">
        <v>33</v>
      </c>
      <c r="D4227" s="21" t="s">
        <v>34</v>
      </c>
      <c r="E4227" s="21" t="s">
        <v>35</v>
      </c>
      <c r="F4227">
        <v>11340010</v>
      </c>
      <c r="G4227" t="s">
        <v>66</v>
      </c>
      <c r="H4227" s="21">
        <v>1238.67</v>
      </c>
    </row>
    <row r="4228" spans="1:8" customFormat="1" x14ac:dyDescent="0.25">
      <c r="A4228" t="str">
        <f>"164127"</f>
        <v>164127</v>
      </c>
      <c r="B4228" t="s">
        <v>13796</v>
      </c>
      <c r="C4228" t="s">
        <v>169</v>
      </c>
      <c r="D4228" s="21" t="s">
        <v>34</v>
      </c>
      <c r="E4228" s="21" t="s">
        <v>35</v>
      </c>
      <c r="F4228">
        <v>10870003</v>
      </c>
      <c r="G4228" t="s">
        <v>1187</v>
      </c>
      <c r="H4228" s="21">
        <v>1238.67</v>
      </c>
    </row>
    <row r="4229" spans="1:8" customFormat="1" x14ac:dyDescent="0.25">
      <c r="A4229" t="str">
        <f>"539162"</f>
        <v>539162</v>
      </c>
      <c r="B4229" t="s">
        <v>5397</v>
      </c>
      <c r="C4229" t="s">
        <v>87</v>
      </c>
      <c r="D4229" s="21" t="s">
        <v>34</v>
      </c>
      <c r="E4229" s="21" t="s">
        <v>71</v>
      </c>
      <c r="F4229">
        <v>12530078</v>
      </c>
      <c r="G4229" t="s">
        <v>3677</v>
      </c>
      <c r="H4229" s="21">
        <v>1238.67</v>
      </c>
    </row>
    <row r="4230" spans="1:8" customFormat="1" x14ac:dyDescent="0.25">
      <c r="A4230" t="str">
        <f>"5937163"</f>
        <v>5937163</v>
      </c>
      <c r="B4230" t="s">
        <v>2084</v>
      </c>
      <c r="C4230" t="s">
        <v>2907</v>
      </c>
      <c r="D4230" s="21" t="s">
        <v>34</v>
      </c>
      <c r="E4230" s="21" t="s">
        <v>71</v>
      </c>
      <c r="F4230">
        <v>7590016</v>
      </c>
      <c r="G4230" t="s">
        <v>5653</v>
      </c>
      <c r="H4230" s="21">
        <v>1238.67</v>
      </c>
    </row>
    <row r="4231" spans="1:8" customFormat="1" x14ac:dyDescent="0.25">
      <c r="A4231" t="str">
        <f>"704320"</f>
        <v>704320</v>
      </c>
      <c r="B4231" t="s">
        <v>146</v>
      </c>
      <c r="C4231" t="s">
        <v>4464</v>
      </c>
      <c r="D4231" s="21" t="s">
        <v>34</v>
      </c>
      <c r="E4231" s="21" t="s">
        <v>35</v>
      </c>
      <c r="F4231">
        <v>11310011</v>
      </c>
      <c r="G4231" t="s">
        <v>26586</v>
      </c>
      <c r="H4231" s="21">
        <v>1238.67</v>
      </c>
    </row>
    <row r="4232" spans="1:8" customFormat="1" x14ac:dyDescent="0.25">
      <c r="A4232" t="str">
        <f>"54151"</f>
        <v>54151</v>
      </c>
      <c r="B4232" t="s">
        <v>3140</v>
      </c>
      <c r="C4232" t="s">
        <v>87</v>
      </c>
      <c r="D4232" s="21" t="s">
        <v>34</v>
      </c>
      <c r="E4232" s="21" t="s">
        <v>35</v>
      </c>
      <c r="F4232">
        <v>6540007</v>
      </c>
      <c r="G4232" t="s">
        <v>10264</v>
      </c>
      <c r="H4232" s="21">
        <v>1238.67</v>
      </c>
    </row>
    <row r="4233" spans="1:8" customFormat="1" x14ac:dyDescent="0.25">
      <c r="A4233" t="str">
        <f>"748511"</f>
        <v>748511</v>
      </c>
      <c r="B4233" t="s">
        <v>5067</v>
      </c>
      <c r="C4233" t="s">
        <v>119</v>
      </c>
      <c r="D4233" s="21" t="s">
        <v>34</v>
      </c>
      <c r="E4233" s="21" t="s">
        <v>35</v>
      </c>
      <c r="F4233">
        <v>1740001</v>
      </c>
      <c r="G4233" t="s">
        <v>347</v>
      </c>
      <c r="H4233" s="21">
        <v>1238.67</v>
      </c>
    </row>
    <row r="4234" spans="1:8" customFormat="1" x14ac:dyDescent="0.25">
      <c r="A4234" t="str">
        <f>"569419"</f>
        <v>569419</v>
      </c>
      <c r="B4234" t="s">
        <v>1048</v>
      </c>
      <c r="C4234" t="s">
        <v>817</v>
      </c>
      <c r="D4234" s="21" t="s">
        <v>34</v>
      </c>
      <c r="E4234" s="21" t="s">
        <v>35</v>
      </c>
      <c r="F4234">
        <v>3560053</v>
      </c>
      <c r="G4234" t="s">
        <v>298</v>
      </c>
      <c r="H4234" s="21">
        <v>1238.67</v>
      </c>
    </row>
    <row r="4235" spans="1:8" customFormat="1" x14ac:dyDescent="0.25">
      <c r="A4235" t="str">
        <f>"3118328"</f>
        <v>3118328</v>
      </c>
      <c r="B4235" t="s">
        <v>1048</v>
      </c>
      <c r="C4235" t="s">
        <v>581</v>
      </c>
      <c r="D4235" s="21" t="s">
        <v>34</v>
      </c>
      <c r="E4235" s="21" t="s">
        <v>35</v>
      </c>
      <c r="F4235">
        <v>11310005</v>
      </c>
      <c r="G4235" t="s">
        <v>6980</v>
      </c>
      <c r="H4235" s="21">
        <v>1238.67</v>
      </c>
    </row>
    <row r="4236" spans="1:8" customFormat="1" x14ac:dyDescent="0.25">
      <c r="A4236" t="str">
        <f>"5713638"</f>
        <v>5713638</v>
      </c>
      <c r="B4236" t="s">
        <v>788</v>
      </c>
      <c r="C4236" t="s">
        <v>1597</v>
      </c>
      <c r="D4236" s="21" t="s">
        <v>34</v>
      </c>
      <c r="E4236" s="21" t="s">
        <v>71</v>
      </c>
      <c r="F4236">
        <v>6570027</v>
      </c>
      <c r="G4236" t="s">
        <v>395</v>
      </c>
      <c r="H4236" s="21">
        <v>1238.67</v>
      </c>
    </row>
    <row r="4237" spans="1:8" customFormat="1" x14ac:dyDescent="0.25">
      <c r="A4237" t="str">
        <f>"9234489"</f>
        <v>9234489</v>
      </c>
      <c r="B4237" t="s">
        <v>6491</v>
      </c>
      <c r="C4237" t="s">
        <v>65</v>
      </c>
      <c r="D4237" s="21" t="s">
        <v>34</v>
      </c>
      <c r="E4237" s="21" t="s">
        <v>35</v>
      </c>
      <c r="F4237">
        <v>8920049</v>
      </c>
      <c r="G4237" t="s">
        <v>237</v>
      </c>
      <c r="H4237" s="21">
        <v>1238.43</v>
      </c>
    </row>
    <row r="4238" spans="1:8" customFormat="1" x14ac:dyDescent="0.25">
      <c r="A4238" t="str">
        <f>"8811162"</f>
        <v>8811162</v>
      </c>
      <c r="B4238" t="s">
        <v>4826</v>
      </c>
      <c r="C4238" t="s">
        <v>988</v>
      </c>
      <c r="D4238" s="21" t="s">
        <v>34</v>
      </c>
      <c r="E4238" s="21" t="s">
        <v>35</v>
      </c>
      <c r="F4238">
        <v>6880140</v>
      </c>
      <c r="G4238" t="s">
        <v>4827</v>
      </c>
      <c r="H4238" s="21">
        <v>1238.17</v>
      </c>
    </row>
    <row r="4239" spans="1:8" customFormat="1" x14ac:dyDescent="0.25">
      <c r="A4239" t="str">
        <f>"9420358"</f>
        <v>9420358</v>
      </c>
      <c r="B4239" t="s">
        <v>5246</v>
      </c>
      <c r="C4239" t="s">
        <v>119</v>
      </c>
      <c r="D4239" s="21" t="s">
        <v>34</v>
      </c>
      <c r="E4239" s="21" t="s">
        <v>35</v>
      </c>
      <c r="F4239">
        <v>7600040</v>
      </c>
      <c r="G4239" t="s">
        <v>6757</v>
      </c>
      <c r="H4239" s="21">
        <v>1238.17</v>
      </c>
    </row>
    <row r="4240" spans="1:8" customFormat="1" x14ac:dyDescent="0.25">
      <c r="A4240" t="str">
        <f>"7510033"</f>
        <v>7510033</v>
      </c>
      <c r="B4240" t="s">
        <v>4389</v>
      </c>
      <c r="C4240" t="s">
        <v>239</v>
      </c>
      <c r="D4240" s="21" t="s">
        <v>34</v>
      </c>
      <c r="E4240" s="21" t="s">
        <v>254</v>
      </c>
      <c r="F4240">
        <v>8910285</v>
      </c>
      <c r="G4240" t="s">
        <v>26604</v>
      </c>
      <c r="H4240" s="21">
        <v>1238.17</v>
      </c>
    </row>
    <row r="4241" spans="1:8" customFormat="1" x14ac:dyDescent="0.25">
      <c r="A4241" t="str">
        <f>"761824"</f>
        <v>761824</v>
      </c>
      <c r="B4241" t="s">
        <v>4787</v>
      </c>
      <c r="C4241" t="s">
        <v>55</v>
      </c>
      <c r="D4241" s="21" t="s">
        <v>34</v>
      </c>
      <c r="E4241" s="21" t="s">
        <v>71</v>
      </c>
      <c r="F4241">
        <v>9760266</v>
      </c>
      <c r="G4241" t="s">
        <v>1891</v>
      </c>
      <c r="H4241" s="21">
        <v>1238.17</v>
      </c>
    </row>
    <row r="4242" spans="1:8" customFormat="1" x14ac:dyDescent="0.25">
      <c r="A4242" t="str">
        <f>"545066"</f>
        <v>545066</v>
      </c>
      <c r="B4242" t="s">
        <v>3660</v>
      </c>
      <c r="C4242" t="s">
        <v>33</v>
      </c>
      <c r="D4242" s="21" t="s">
        <v>34</v>
      </c>
      <c r="E4242" s="21" t="s">
        <v>35</v>
      </c>
      <c r="F4242">
        <v>6540088</v>
      </c>
      <c r="G4242" t="s">
        <v>2108</v>
      </c>
      <c r="H4242" s="21">
        <v>1238.06</v>
      </c>
    </row>
    <row r="4243" spans="1:8" customFormat="1" x14ac:dyDescent="0.25">
      <c r="A4243" t="str">
        <f>"8018926"</f>
        <v>8018926</v>
      </c>
      <c r="B4243" t="s">
        <v>6693</v>
      </c>
      <c r="C4243" t="s">
        <v>528</v>
      </c>
      <c r="D4243" s="21" t="s">
        <v>34</v>
      </c>
      <c r="E4243" s="21" t="s">
        <v>254</v>
      </c>
      <c r="F4243">
        <v>7800139</v>
      </c>
      <c r="G4243" t="s">
        <v>6694</v>
      </c>
      <c r="H4243" s="21">
        <v>1237.92</v>
      </c>
    </row>
    <row r="4244" spans="1:8" customFormat="1" x14ac:dyDescent="0.25">
      <c r="A4244" t="str">
        <f>"9314667"</f>
        <v>9314667</v>
      </c>
      <c r="B4244" t="s">
        <v>5662</v>
      </c>
      <c r="C4244" t="s">
        <v>60</v>
      </c>
      <c r="D4244" s="21" t="s">
        <v>34</v>
      </c>
      <c r="E4244" s="21" t="s">
        <v>35</v>
      </c>
      <c r="F4244">
        <v>11660016</v>
      </c>
      <c r="G4244" t="s">
        <v>4510</v>
      </c>
      <c r="H4244" s="21">
        <v>1237.92</v>
      </c>
    </row>
    <row r="4245" spans="1:8" customFormat="1" x14ac:dyDescent="0.25">
      <c r="A4245" t="str">
        <f>"7631485"</f>
        <v>7631485</v>
      </c>
      <c r="B4245" t="s">
        <v>4613</v>
      </c>
      <c r="C4245" t="s">
        <v>1812</v>
      </c>
      <c r="D4245" s="21" t="s">
        <v>34</v>
      </c>
      <c r="E4245" s="21" t="s">
        <v>71</v>
      </c>
      <c r="F4245">
        <v>9760416</v>
      </c>
      <c r="G4245" t="s">
        <v>4614</v>
      </c>
      <c r="H4245" s="21">
        <v>1237.92</v>
      </c>
    </row>
    <row r="4246" spans="1:8" customFormat="1" x14ac:dyDescent="0.25">
      <c r="A4246" t="str">
        <f>"935888"</f>
        <v>935888</v>
      </c>
      <c r="B4246" t="s">
        <v>2355</v>
      </c>
      <c r="C4246" t="s">
        <v>817</v>
      </c>
      <c r="D4246" s="21" t="s">
        <v>34</v>
      </c>
      <c r="E4246" s="21" t="s">
        <v>35</v>
      </c>
      <c r="F4246">
        <v>8930113</v>
      </c>
      <c r="G4246" t="s">
        <v>368</v>
      </c>
      <c r="H4246" s="21">
        <v>1237.68</v>
      </c>
    </row>
    <row r="4247" spans="1:8" customFormat="1" x14ac:dyDescent="0.25">
      <c r="A4247" t="str">
        <f>"5717736"</f>
        <v>5717736</v>
      </c>
      <c r="B4247" t="s">
        <v>6117</v>
      </c>
      <c r="C4247" t="s">
        <v>249</v>
      </c>
      <c r="D4247" s="21" t="s">
        <v>34</v>
      </c>
      <c r="E4247" s="21" t="s">
        <v>35</v>
      </c>
      <c r="F4247">
        <v>6570093</v>
      </c>
      <c r="G4247" t="s">
        <v>6118</v>
      </c>
      <c r="H4247" s="21">
        <v>1237.67</v>
      </c>
    </row>
    <row r="4248" spans="1:8" customFormat="1" x14ac:dyDescent="0.25">
      <c r="A4248" t="str">
        <f>"7616950"</f>
        <v>7616950</v>
      </c>
      <c r="B4248" t="s">
        <v>5969</v>
      </c>
      <c r="C4248" t="s">
        <v>171</v>
      </c>
      <c r="D4248" s="21" t="s">
        <v>34</v>
      </c>
      <c r="E4248" s="21" t="s">
        <v>71</v>
      </c>
      <c r="F4248">
        <v>9760034</v>
      </c>
      <c r="G4248" t="s">
        <v>1242</v>
      </c>
      <c r="H4248" s="21">
        <v>1237.67</v>
      </c>
    </row>
    <row r="4249" spans="1:8" customFormat="1" x14ac:dyDescent="0.25">
      <c r="A4249" t="str">
        <f>"2913120"</f>
        <v>2913120</v>
      </c>
      <c r="B4249" t="s">
        <v>4921</v>
      </c>
      <c r="C4249" t="s">
        <v>151</v>
      </c>
      <c r="D4249" s="21" t="s">
        <v>34</v>
      </c>
      <c r="E4249" s="21" t="s">
        <v>71</v>
      </c>
      <c r="F4249">
        <v>3290223</v>
      </c>
      <c r="G4249" t="s">
        <v>2636</v>
      </c>
      <c r="H4249" s="21">
        <v>1237.67</v>
      </c>
    </row>
    <row r="4250" spans="1:8" customFormat="1" x14ac:dyDescent="0.25">
      <c r="A4250" t="str">
        <f>"334050"</f>
        <v>334050</v>
      </c>
      <c r="B4250" t="s">
        <v>4552</v>
      </c>
      <c r="C4250" t="s">
        <v>65</v>
      </c>
      <c r="D4250" s="21" t="s">
        <v>34</v>
      </c>
      <c r="E4250" s="21" t="s">
        <v>71</v>
      </c>
      <c r="F4250">
        <v>10330028</v>
      </c>
      <c r="G4250" t="s">
        <v>4553</v>
      </c>
      <c r="H4250" s="21">
        <v>1237.67</v>
      </c>
    </row>
    <row r="4251" spans="1:8" customFormat="1" x14ac:dyDescent="0.25">
      <c r="A4251" t="str">
        <f>"6710432"</f>
        <v>6710432</v>
      </c>
      <c r="B4251" t="s">
        <v>5483</v>
      </c>
      <c r="C4251" t="s">
        <v>293</v>
      </c>
      <c r="D4251" s="21" t="s">
        <v>34</v>
      </c>
      <c r="E4251" s="21" t="s">
        <v>71</v>
      </c>
      <c r="F4251">
        <v>6670160</v>
      </c>
      <c r="G4251" t="s">
        <v>908</v>
      </c>
      <c r="H4251" s="21">
        <v>1237.67</v>
      </c>
    </row>
    <row r="4252" spans="1:8" customFormat="1" x14ac:dyDescent="0.25">
      <c r="A4252" t="str">
        <f>"835615"</f>
        <v>835615</v>
      </c>
      <c r="B4252" t="s">
        <v>20213</v>
      </c>
      <c r="C4252" t="s">
        <v>302</v>
      </c>
      <c r="D4252" s="21" t="s">
        <v>34</v>
      </c>
      <c r="E4252" s="21" t="s">
        <v>35</v>
      </c>
      <c r="F4252">
        <v>13830025</v>
      </c>
      <c r="G4252" t="s">
        <v>106</v>
      </c>
      <c r="H4252" s="21">
        <v>1237.55</v>
      </c>
    </row>
    <row r="4253" spans="1:8" customFormat="1" x14ac:dyDescent="0.25">
      <c r="A4253" t="str">
        <f>"2515019"</f>
        <v>2515019</v>
      </c>
      <c r="B4253" t="s">
        <v>6026</v>
      </c>
      <c r="C4253" t="s">
        <v>1489</v>
      </c>
      <c r="D4253" s="21" t="s">
        <v>34</v>
      </c>
      <c r="E4253" s="21" t="s">
        <v>35</v>
      </c>
      <c r="F4253">
        <v>2250070</v>
      </c>
      <c r="G4253" t="s">
        <v>3923</v>
      </c>
      <c r="H4253" s="21">
        <v>1237.54</v>
      </c>
    </row>
    <row r="4254" spans="1:8" customFormat="1" x14ac:dyDescent="0.25">
      <c r="A4254" t="str">
        <f>"852001"</f>
        <v>852001</v>
      </c>
      <c r="B4254" t="s">
        <v>5079</v>
      </c>
      <c r="C4254" t="s">
        <v>267</v>
      </c>
      <c r="D4254" s="21" t="s">
        <v>34</v>
      </c>
      <c r="E4254" s="21" t="s">
        <v>254</v>
      </c>
      <c r="F4254">
        <v>12850093</v>
      </c>
      <c r="G4254" t="s">
        <v>3371</v>
      </c>
      <c r="H4254" s="21">
        <v>1237.17</v>
      </c>
    </row>
    <row r="4255" spans="1:8" customFormat="1" x14ac:dyDescent="0.25">
      <c r="A4255" t="str">
        <f>"502558"</f>
        <v>502558</v>
      </c>
      <c r="B4255" t="s">
        <v>4693</v>
      </c>
      <c r="C4255" t="s">
        <v>4623</v>
      </c>
      <c r="D4255" s="21" t="s">
        <v>34</v>
      </c>
      <c r="E4255" s="21" t="s">
        <v>35</v>
      </c>
      <c r="F4255">
        <v>9500025</v>
      </c>
      <c r="G4255" t="s">
        <v>665</v>
      </c>
      <c r="H4255" s="21">
        <v>1237.17</v>
      </c>
    </row>
    <row r="4256" spans="1:8" customFormat="1" x14ac:dyDescent="0.25">
      <c r="A4256" t="str">
        <f>"9516666"</f>
        <v>9516666</v>
      </c>
      <c r="B4256" t="s">
        <v>4474</v>
      </c>
      <c r="C4256" t="s">
        <v>498</v>
      </c>
      <c r="D4256" s="21" t="s">
        <v>34</v>
      </c>
      <c r="E4256" s="21" t="s">
        <v>35</v>
      </c>
      <c r="F4256">
        <v>8951449</v>
      </c>
      <c r="G4256" t="s">
        <v>4475</v>
      </c>
      <c r="H4256" s="21">
        <v>1237.05</v>
      </c>
    </row>
    <row r="4257" spans="1:8" customFormat="1" x14ac:dyDescent="0.25">
      <c r="A4257" t="str">
        <f>"9714862"</f>
        <v>9714862</v>
      </c>
      <c r="B4257" t="s">
        <v>26846</v>
      </c>
      <c r="C4257" t="s">
        <v>415</v>
      </c>
      <c r="D4257" s="21" t="s">
        <v>34</v>
      </c>
      <c r="E4257" s="21" t="s">
        <v>35</v>
      </c>
      <c r="F4257" t="s">
        <v>2871</v>
      </c>
      <c r="G4257" t="s">
        <v>2872</v>
      </c>
      <c r="H4257" s="21">
        <v>1237.05</v>
      </c>
    </row>
    <row r="4258" spans="1:8" customFormat="1" x14ac:dyDescent="0.25">
      <c r="A4258" t="str">
        <f>"536178"</f>
        <v>536178</v>
      </c>
      <c r="B4258" t="s">
        <v>2406</v>
      </c>
      <c r="C4258" t="s">
        <v>33</v>
      </c>
      <c r="D4258" s="21" t="s">
        <v>34</v>
      </c>
      <c r="E4258" s="21" t="s">
        <v>35</v>
      </c>
      <c r="F4258">
        <v>12530068</v>
      </c>
      <c r="G4258" t="s">
        <v>5165</v>
      </c>
      <c r="H4258" s="21">
        <v>1236.8</v>
      </c>
    </row>
    <row r="4259" spans="1:8" customFormat="1" x14ac:dyDescent="0.25">
      <c r="A4259" t="str">
        <f>"9239180"</f>
        <v>9239180</v>
      </c>
      <c r="B4259" t="s">
        <v>431</v>
      </c>
      <c r="C4259" t="s">
        <v>33</v>
      </c>
      <c r="D4259" s="21" t="s">
        <v>34</v>
      </c>
      <c r="E4259" s="21" t="s">
        <v>71</v>
      </c>
      <c r="F4259">
        <v>8920126</v>
      </c>
      <c r="G4259" t="s">
        <v>1168</v>
      </c>
      <c r="H4259" s="21">
        <v>1236.67</v>
      </c>
    </row>
    <row r="4260" spans="1:8" customFormat="1" x14ac:dyDescent="0.25">
      <c r="A4260" t="str">
        <f>"6220153"</f>
        <v>6220153</v>
      </c>
      <c r="B4260" t="s">
        <v>5659</v>
      </c>
      <c r="C4260" t="s">
        <v>2479</v>
      </c>
      <c r="D4260" s="21" t="s">
        <v>34</v>
      </c>
      <c r="E4260" s="21" t="s">
        <v>71</v>
      </c>
      <c r="F4260">
        <v>7620007</v>
      </c>
      <c r="G4260" t="s">
        <v>2133</v>
      </c>
      <c r="H4260" s="21">
        <v>1236.67</v>
      </c>
    </row>
    <row r="4261" spans="1:8" customFormat="1" x14ac:dyDescent="0.25">
      <c r="A4261" t="str">
        <f>"028311"</f>
        <v>028311</v>
      </c>
      <c r="B4261" t="s">
        <v>5599</v>
      </c>
      <c r="C4261" t="s">
        <v>33</v>
      </c>
      <c r="D4261" s="21" t="s">
        <v>34</v>
      </c>
      <c r="E4261" s="21" t="s">
        <v>35</v>
      </c>
      <c r="F4261">
        <v>7020080</v>
      </c>
      <c r="G4261" t="s">
        <v>5600</v>
      </c>
      <c r="H4261" s="21">
        <v>1236.67</v>
      </c>
    </row>
    <row r="4262" spans="1:8" customFormat="1" x14ac:dyDescent="0.25">
      <c r="A4262" t="str">
        <f>"2930446"</f>
        <v>2930446</v>
      </c>
      <c r="B4262" t="s">
        <v>4854</v>
      </c>
      <c r="C4262" t="s">
        <v>156</v>
      </c>
      <c r="D4262" s="21" t="s">
        <v>34</v>
      </c>
      <c r="E4262" s="21" t="s">
        <v>35</v>
      </c>
      <c r="F4262">
        <v>3290282</v>
      </c>
      <c r="G4262" t="s">
        <v>4855</v>
      </c>
      <c r="H4262" s="21">
        <v>1236.67</v>
      </c>
    </row>
    <row r="4263" spans="1:8" customFormat="1" x14ac:dyDescent="0.25">
      <c r="A4263" t="str">
        <f>"9140382"</f>
        <v>9140382</v>
      </c>
      <c r="B4263" t="s">
        <v>6207</v>
      </c>
      <c r="C4263" t="s">
        <v>121</v>
      </c>
      <c r="D4263" s="21" t="s">
        <v>34</v>
      </c>
      <c r="E4263" s="21" t="s">
        <v>35</v>
      </c>
      <c r="F4263">
        <v>8910861</v>
      </c>
      <c r="G4263" t="s">
        <v>1120</v>
      </c>
      <c r="H4263" s="21">
        <v>1236.54</v>
      </c>
    </row>
    <row r="4264" spans="1:8" customFormat="1" x14ac:dyDescent="0.25">
      <c r="A4264" t="str">
        <f>"306081"</f>
        <v>306081</v>
      </c>
      <c r="B4264" t="s">
        <v>4825</v>
      </c>
      <c r="C4264" t="s">
        <v>96</v>
      </c>
      <c r="D4264" s="21" t="s">
        <v>34</v>
      </c>
      <c r="E4264" s="21" t="s">
        <v>35</v>
      </c>
      <c r="F4264">
        <v>13840001</v>
      </c>
      <c r="G4264" t="s">
        <v>972</v>
      </c>
      <c r="H4264" s="21">
        <v>1236.3</v>
      </c>
    </row>
    <row r="4265" spans="1:8" customFormat="1" x14ac:dyDescent="0.25">
      <c r="A4265" t="str">
        <f>"297611"</f>
        <v>297611</v>
      </c>
      <c r="B4265" t="s">
        <v>5903</v>
      </c>
      <c r="C4265" t="s">
        <v>3010</v>
      </c>
      <c r="D4265" s="21" t="s">
        <v>34</v>
      </c>
      <c r="E4265" s="21" t="s">
        <v>254</v>
      </c>
      <c r="F4265">
        <v>3290023</v>
      </c>
      <c r="G4265" t="s">
        <v>3883</v>
      </c>
      <c r="H4265" s="21">
        <v>1236.17</v>
      </c>
    </row>
    <row r="4266" spans="1:8" customFormat="1" x14ac:dyDescent="0.25">
      <c r="A4266" t="str">
        <f>"673667"</f>
        <v>673667</v>
      </c>
      <c r="B4266" t="s">
        <v>5192</v>
      </c>
      <c r="C4266" t="s">
        <v>239</v>
      </c>
      <c r="D4266" s="21" t="s">
        <v>34</v>
      </c>
      <c r="E4266" s="21" t="s">
        <v>71</v>
      </c>
      <c r="F4266">
        <v>6670271</v>
      </c>
      <c r="G4266" t="s">
        <v>5193</v>
      </c>
      <c r="H4266" s="21">
        <v>1236.17</v>
      </c>
    </row>
    <row r="4267" spans="1:8" customFormat="1" x14ac:dyDescent="0.25">
      <c r="A4267" t="str">
        <f>"2919952"</f>
        <v>2919952</v>
      </c>
      <c r="B4267" t="s">
        <v>5209</v>
      </c>
      <c r="C4267" t="s">
        <v>209</v>
      </c>
      <c r="D4267" s="21" t="s">
        <v>34</v>
      </c>
      <c r="E4267" s="21" t="s">
        <v>71</v>
      </c>
      <c r="F4267">
        <v>3290266</v>
      </c>
      <c r="G4267" t="s">
        <v>1783</v>
      </c>
      <c r="H4267" s="21">
        <v>1236.17</v>
      </c>
    </row>
    <row r="4268" spans="1:8" customFormat="1" x14ac:dyDescent="0.25">
      <c r="A4268" t="str">
        <f>"791075"</f>
        <v>791075</v>
      </c>
      <c r="B4268" t="s">
        <v>5805</v>
      </c>
      <c r="C4268" t="s">
        <v>62</v>
      </c>
      <c r="D4268" s="21" t="s">
        <v>34</v>
      </c>
      <c r="E4268" s="21" t="s">
        <v>35</v>
      </c>
      <c r="F4268">
        <v>10790071</v>
      </c>
      <c r="G4268" t="s">
        <v>5806</v>
      </c>
      <c r="H4268" s="21">
        <v>1236.17</v>
      </c>
    </row>
    <row r="4269" spans="1:8" customFormat="1" x14ac:dyDescent="0.25">
      <c r="A4269" t="str">
        <f>"138126"</f>
        <v>138126</v>
      </c>
      <c r="B4269" t="s">
        <v>26847</v>
      </c>
      <c r="C4269" t="s">
        <v>43</v>
      </c>
      <c r="D4269" s="21" t="s">
        <v>34</v>
      </c>
      <c r="E4269" s="21" t="s">
        <v>35</v>
      </c>
      <c r="F4269">
        <v>13130158</v>
      </c>
      <c r="G4269" t="s">
        <v>3215</v>
      </c>
      <c r="H4269" s="21">
        <v>1236.17</v>
      </c>
    </row>
    <row r="4270" spans="1:8" customFormat="1" x14ac:dyDescent="0.25">
      <c r="A4270" t="str">
        <f>"8510734"</f>
        <v>8510734</v>
      </c>
      <c r="B4270" t="s">
        <v>5514</v>
      </c>
      <c r="C4270" t="s">
        <v>608</v>
      </c>
      <c r="D4270" s="21" t="s">
        <v>34</v>
      </c>
      <c r="E4270" s="21" t="s">
        <v>254</v>
      </c>
      <c r="F4270">
        <v>12850148</v>
      </c>
      <c r="G4270" t="s">
        <v>2380</v>
      </c>
      <c r="H4270" s="21">
        <v>1236.17</v>
      </c>
    </row>
    <row r="4271" spans="1:8" customFormat="1" x14ac:dyDescent="0.25">
      <c r="A4271" t="str">
        <f>"958035"</f>
        <v>958035</v>
      </c>
      <c r="B4271" t="s">
        <v>6677</v>
      </c>
      <c r="C4271" t="s">
        <v>40</v>
      </c>
      <c r="D4271" s="21" t="s">
        <v>34</v>
      </c>
      <c r="E4271" s="21" t="s">
        <v>254</v>
      </c>
      <c r="F4271">
        <v>8951092</v>
      </c>
      <c r="G4271" t="s">
        <v>5801</v>
      </c>
      <c r="H4271" s="21">
        <v>1236.17</v>
      </c>
    </row>
    <row r="4272" spans="1:8" customFormat="1" x14ac:dyDescent="0.25">
      <c r="A4272" t="str">
        <f>"625818"</f>
        <v>625818</v>
      </c>
      <c r="B4272" t="s">
        <v>1103</v>
      </c>
      <c r="C4272" t="s">
        <v>3784</v>
      </c>
      <c r="D4272" s="21" t="s">
        <v>34</v>
      </c>
      <c r="E4272" s="21" t="s">
        <v>254</v>
      </c>
      <c r="F4272">
        <v>7620100</v>
      </c>
      <c r="G4272" t="s">
        <v>145</v>
      </c>
      <c r="H4272" s="21">
        <v>1236.05</v>
      </c>
    </row>
    <row r="4273" spans="1:8" customFormat="1" x14ac:dyDescent="0.25">
      <c r="A4273" t="str">
        <f>"9319625"</f>
        <v>9319625</v>
      </c>
      <c r="B4273" t="s">
        <v>1263</v>
      </c>
      <c r="C4273" t="s">
        <v>486</v>
      </c>
      <c r="D4273" s="21" t="s">
        <v>34</v>
      </c>
      <c r="E4273" s="21" t="s">
        <v>71</v>
      </c>
      <c r="F4273">
        <v>8751124</v>
      </c>
      <c r="G4273" t="s">
        <v>1481</v>
      </c>
      <c r="H4273" s="21">
        <v>1236.05</v>
      </c>
    </row>
    <row r="4274" spans="1:8" customFormat="1" x14ac:dyDescent="0.25">
      <c r="A4274" t="str">
        <f>"636005"</f>
        <v>636005</v>
      </c>
      <c r="B4274" t="s">
        <v>5204</v>
      </c>
      <c r="C4274" t="s">
        <v>1132</v>
      </c>
      <c r="D4274" s="21" t="s">
        <v>34</v>
      </c>
      <c r="E4274" s="21" t="s">
        <v>71</v>
      </c>
      <c r="F4274">
        <v>1630078</v>
      </c>
      <c r="G4274" t="s">
        <v>326</v>
      </c>
      <c r="H4274" s="21">
        <v>1236</v>
      </c>
    </row>
    <row r="4275" spans="1:8" customFormat="1" x14ac:dyDescent="0.25">
      <c r="A4275" t="str">
        <f>"913447"</f>
        <v>913447</v>
      </c>
      <c r="B4275" t="s">
        <v>4335</v>
      </c>
      <c r="C4275" t="s">
        <v>2100</v>
      </c>
      <c r="D4275" s="21" t="s">
        <v>34</v>
      </c>
      <c r="E4275" s="21" t="s">
        <v>254</v>
      </c>
      <c r="F4275">
        <v>8910214</v>
      </c>
      <c r="G4275" t="s">
        <v>986</v>
      </c>
      <c r="H4275" s="21">
        <v>1235.92</v>
      </c>
    </row>
    <row r="4276" spans="1:8" customFormat="1" x14ac:dyDescent="0.25">
      <c r="A4276" t="str">
        <f>"336741"</f>
        <v>336741</v>
      </c>
      <c r="B4276" t="s">
        <v>853</v>
      </c>
      <c r="C4276" t="s">
        <v>33</v>
      </c>
      <c r="D4276" s="21" t="s">
        <v>34</v>
      </c>
      <c r="E4276" s="21" t="s">
        <v>71</v>
      </c>
      <c r="F4276">
        <v>10330089</v>
      </c>
      <c r="G4276" t="s">
        <v>3705</v>
      </c>
      <c r="H4276" s="21">
        <v>1235.8</v>
      </c>
    </row>
    <row r="4277" spans="1:8" customFormat="1" x14ac:dyDescent="0.25">
      <c r="A4277" t="str">
        <f>"776012"</f>
        <v>776012</v>
      </c>
      <c r="B4277" t="s">
        <v>4027</v>
      </c>
      <c r="C4277" t="s">
        <v>109</v>
      </c>
      <c r="D4277" s="21" t="s">
        <v>34</v>
      </c>
      <c r="E4277" s="21" t="s">
        <v>71</v>
      </c>
      <c r="F4277">
        <v>8770135</v>
      </c>
      <c r="G4277" t="s">
        <v>26830</v>
      </c>
      <c r="H4277" s="21">
        <v>1235.67</v>
      </c>
    </row>
    <row r="4278" spans="1:8" customFormat="1" x14ac:dyDescent="0.25">
      <c r="A4278" t="str">
        <f>"089256"</f>
        <v>089256</v>
      </c>
      <c r="B4278" t="s">
        <v>6434</v>
      </c>
      <c r="C4278" t="s">
        <v>817</v>
      </c>
      <c r="D4278" s="21" t="s">
        <v>34</v>
      </c>
      <c r="E4278" s="21" t="s">
        <v>71</v>
      </c>
      <c r="F4278">
        <v>6080013</v>
      </c>
      <c r="G4278" t="s">
        <v>1532</v>
      </c>
      <c r="H4278" s="21">
        <v>1235.67</v>
      </c>
    </row>
    <row r="4279" spans="1:8" customFormat="1" x14ac:dyDescent="0.25">
      <c r="A4279" t="str">
        <f>"217932"</f>
        <v>217932</v>
      </c>
      <c r="B4279" t="s">
        <v>6875</v>
      </c>
      <c r="C4279" t="s">
        <v>6876</v>
      </c>
      <c r="D4279" s="21" t="s">
        <v>34</v>
      </c>
      <c r="E4279" s="21" t="s">
        <v>35</v>
      </c>
      <c r="F4279">
        <v>2210007</v>
      </c>
      <c r="G4279" t="s">
        <v>26848</v>
      </c>
      <c r="H4279" s="21">
        <v>1235.67</v>
      </c>
    </row>
    <row r="4280" spans="1:8" customFormat="1" x14ac:dyDescent="0.25">
      <c r="A4280" t="str">
        <f>"3410532"</f>
        <v>3410532</v>
      </c>
      <c r="B4280" t="s">
        <v>4662</v>
      </c>
      <c r="C4280" t="s">
        <v>4271</v>
      </c>
      <c r="D4280" s="21" t="s">
        <v>34</v>
      </c>
      <c r="E4280" s="21" t="s">
        <v>71</v>
      </c>
      <c r="F4280">
        <v>11340022</v>
      </c>
      <c r="G4280" t="s">
        <v>4663</v>
      </c>
      <c r="H4280" s="21">
        <v>1235.67</v>
      </c>
    </row>
    <row r="4281" spans="1:8" customFormat="1" x14ac:dyDescent="0.25">
      <c r="A4281" t="str">
        <f>"743332"</f>
        <v>743332</v>
      </c>
      <c r="B4281" t="s">
        <v>2662</v>
      </c>
      <c r="C4281" t="s">
        <v>109</v>
      </c>
      <c r="D4281" s="21" t="s">
        <v>34</v>
      </c>
      <c r="E4281" s="21" t="s">
        <v>71</v>
      </c>
      <c r="F4281">
        <v>2390089</v>
      </c>
      <c r="G4281" t="s">
        <v>5194</v>
      </c>
      <c r="H4281" s="21">
        <v>1235.67</v>
      </c>
    </row>
    <row r="4282" spans="1:8" customFormat="1" x14ac:dyDescent="0.25">
      <c r="A4282" t="str">
        <f>"4438773"</f>
        <v>4438773</v>
      </c>
      <c r="B4282" t="s">
        <v>2868</v>
      </c>
      <c r="C4282" t="s">
        <v>302</v>
      </c>
      <c r="D4282" s="21" t="s">
        <v>34</v>
      </c>
      <c r="E4282" s="21" t="s">
        <v>35</v>
      </c>
      <c r="F4282">
        <v>12720071</v>
      </c>
      <c r="G4282" t="s">
        <v>783</v>
      </c>
      <c r="H4282" s="21">
        <v>1235.67</v>
      </c>
    </row>
    <row r="4283" spans="1:8" customFormat="1" x14ac:dyDescent="0.25">
      <c r="A4283" t="str">
        <f>"149510"</f>
        <v>149510</v>
      </c>
      <c r="B4283" t="s">
        <v>4265</v>
      </c>
      <c r="C4283" t="s">
        <v>781</v>
      </c>
      <c r="D4283" s="21" t="s">
        <v>34</v>
      </c>
      <c r="E4283" s="21" t="s">
        <v>71</v>
      </c>
      <c r="F4283">
        <v>9140078</v>
      </c>
      <c r="G4283" t="s">
        <v>1920</v>
      </c>
      <c r="H4283" s="21">
        <v>1235.42</v>
      </c>
    </row>
    <row r="4284" spans="1:8" customFormat="1" x14ac:dyDescent="0.25">
      <c r="A4284" t="str">
        <f>"9450488"</f>
        <v>9450488</v>
      </c>
      <c r="B4284" t="s">
        <v>5841</v>
      </c>
      <c r="C4284" t="s">
        <v>3010</v>
      </c>
      <c r="D4284" s="21" t="s">
        <v>34</v>
      </c>
      <c r="E4284" s="21" t="s">
        <v>35</v>
      </c>
      <c r="F4284">
        <v>8940459</v>
      </c>
      <c r="G4284" t="s">
        <v>743</v>
      </c>
      <c r="H4284" s="21">
        <v>1235.42</v>
      </c>
    </row>
    <row r="4285" spans="1:8" customFormat="1" x14ac:dyDescent="0.25">
      <c r="A4285" t="str">
        <f>"6211006"</f>
        <v>6211006</v>
      </c>
      <c r="B4285" t="s">
        <v>5231</v>
      </c>
      <c r="C4285" t="s">
        <v>5232</v>
      </c>
      <c r="D4285" s="21" t="s">
        <v>34</v>
      </c>
      <c r="E4285" s="21" t="s">
        <v>35</v>
      </c>
      <c r="F4285">
        <v>7620119</v>
      </c>
      <c r="G4285" t="s">
        <v>5233</v>
      </c>
      <c r="H4285" s="21">
        <v>1235.29</v>
      </c>
    </row>
    <row r="4286" spans="1:8" customFormat="1" x14ac:dyDescent="0.25">
      <c r="A4286" t="str">
        <f>"08687"</f>
        <v>08687</v>
      </c>
      <c r="B4286" t="s">
        <v>5631</v>
      </c>
      <c r="C4286" t="s">
        <v>109</v>
      </c>
      <c r="D4286" s="21" t="s">
        <v>34</v>
      </c>
      <c r="E4286" s="21" t="s">
        <v>35</v>
      </c>
      <c r="F4286">
        <v>6080045</v>
      </c>
      <c r="G4286" t="s">
        <v>5632</v>
      </c>
      <c r="H4286" s="21">
        <v>1235.17</v>
      </c>
    </row>
    <row r="4287" spans="1:8" customFormat="1" x14ac:dyDescent="0.25">
      <c r="A4287" t="str">
        <f>"3522637"</f>
        <v>3522637</v>
      </c>
      <c r="B4287" t="s">
        <v>3671</v>
      </c>
      <c r="C4287" t="s">
        <v>598</v>
      </c>
      <c r="D4287" s="21" t="s">
        <v>34</v>
      </c>
      <c r="E4287" s="21" t="s">
        <v>35</v>
      </c>
      <c r="F4287">
        <v>3350212</v>
      </c>
      <c r="G4287" t="s">
        <v>5154</v>
      </c>
      <c r="H4287" s="21">
        <v>1235.17</v>
      </c>
    </row>
    <row r="4288" spans="1:8" customFormat="1" x14ac:dyDescent="0.25">
      <c r="A4288" t="str">
        <f>"2918420"</f>
        <v>2918420</v>
      </c>
      <c r="B4288" t="s">
        <v>4636</v>
      </c>
      <c r="C4288" t="s">
        <v>2322</v>
      </c>
      <c r="D4288" s="21" t="s">
        <v>34</v>
      </c>
      <c r="E4288" s="21" t="s">
        <v>71</v>
      </c>
      <c r="F4288">
        <v>3290226</v>
      </c>
      <c r="G4288" t="s">
        <v>4637</v>
      </c>
      <c r="H4288" s="21">
        <v>1235.17</v>
      </c>
    </row>
    <row r="4289" spans="1:8" customFormat="1" x14ac:dyDescent="0.25">
      <c r="A4289" t="str">
        <f>"7830127"</f>
        <v>7830127</v>
      </c>
      <c r="B4289" t="s">
        <v>5666</v>
      </c>
      <c r="C4289" t="s">
        <v>5667</v>
      </c>
      <c r="D4289" s="21" t="s">
        <v>34</v>
      </c>
      <c r="E4289" s="21" t="s">
        <v>71</v>
      </c>
      <c r="F4289">
        <v>8780108</v>
      </c>
      <c r="G4289" t="s">
        <v>4329</v>
      </c>
      <c r="H4289" s="21">
        <v>1235.17</v>
      </c>
    </row>
    <row r="4290" spans="1:8" customFormat="1" x14ac:dyDescent="0.25">
      <c r="A4290" t="str">
        <f>"5932570"</f>
        <v>5932570</v>
      </c>
      <c r="B4290" t="s">
        <v>5365</v>
      </c>
      <c r="C4290" t="s">
        <v>5366</v>
      </c>
      <c r="D4290" s="21" t="s">
        <v>34</v>
      </c>
      <c r="E4290" s="21" t="s">
        <v>35</v>
      </c>
      <c r="F4290">
        <v>7590392</v>
      </c>
      <c r="G4290" t="s">
        <v>154</v>
      </c>
      <c r="H4290" s="21">
        <v>1235.05</v>
      </c>
    </row>
    <row r="4291" spans="1:8" customFormat="1" x14ac:dyDescent="0.25">
      <c r="A4291" t="str">
        <f>"9182"</f>
        <v>9182</v>
      </c>
      <c r="B4291" t="s">
        <v>5448</v>
      </c>
      <c r="C4291" t="s">
        <v>2520</v>
      </c>
      <c r="D4291" s="21" t="s">
        <v>34</v>
      </c>
      <c r="E4291" s="21" t="s">
        <v>71</v>
      </c>
      <c r="F4291">
        <v>8780356</v>
      </c>
      <c r="G4291" t="s">
        <v>5449</v>
      </c>
      <c r="H4291" s="21">
        <v>1234.92</v>
      </c>
    </row>
    <row r="4292" spans="1:8" customFormat="1" x14ac:dyDescent="0.25">
      <c r="A4292" t="str">
        <f>"9531281"</f>
        <v>9531281</v>
      </c>
      <c r="B4292" t="s">
        <v>5234</v>
      </c>
      <c r="C4292" t="s">
        <v>285</v>
      </c>
      <c r="D4292" s="21" t="s">
        <v>34</v>
      </c>
      <c r="E4292" s="21" t="s">
        <v>35</v>
      </c>
      <c r="F4292">
        <v>8950481</v>
      </c>
      <c r="G4292" t="s">
        <v>1472</v>
      </c>
      <c r="H4292" s="21">
        <v>1234.8</v>
      </c>
    </row>
    <row r="4293" spans="1:8" customFormat="1" x14ac:dyDescent="0.25">
      <c r="A4293" t="str">
        <f>"413527"</f>
        <v>413527</v>
      </c>
      <c r="B4293" t="s">
        <v>5000</v>
      </c>
      <c r="C4293" t="s">
        <v>528</v>
      </c>
      <c r="D4293" s="21" t="s">
        <v>34</v>
      </c>
      <c r="E4293" s="21" t="s">
        <v>71</v>
      </c>
      <c r="F4293">
        <v>4410546</v>
      </c>
      <c r="G4293" t="s">
        <v>5001</v>
      </c>
      <c r="H4293" s="21">
        <v>1234.67</v>
      </c>
    </row>
    <row r="4294" spans="1:8" customFormat="1" x14ac:dyDescent="0.25">
      <c r="A4294" t="str">
        <f>"88110"</f>
        <v>88110</v>
      </c>
      <c r="B4294" t="s">
        <v>3856</v>
      </c>
      <c r="C4294" t="s">
        <v>486</v>
      </c>
      <c r="D4294" s="21" t="s">
        <v>34</v>
      </c>
      <c r="E4294" s="21" t="s">
        <v>254</v>
      </c>
      <c r="F4294">
        <v>6880007</v>
      </c>
      <c r="G4294" t="s">
        <v>1039</v>
      </c>
      <c r="H4294" s="21">
        <v>1234.67</v>
      </c>
    </row>
    <row r="4295" spans="1:8" customFormat="1" x14ac:dyDescent="0.25">
      <c r="A4295" t="str">
        <f>"6223379"</f>
        <v>6223379</v>
      </c>
      <c r="B4295" t="s">
        <v>5103</v>
      </c>
      <c r="C4295" t="s">
        <v>1597</v>
      </c>
      <c r="D4295" s="21" t="s">
        <v>34</v>
      </c>
      <c r="E4295" s="21" t="s">
        <v>71</v>
      </c>
      <c r="F4295">
        <v>7620153</v>
      </c>
      <c r="G4295" t="s">
        <v>5104</v>
      </c>
      <c r="H4295" s="21">
        <v>1234.67</v>
      </c>
    </row>
    <row r="4296" spans="1:8" customFormat="1" x14ac:dyDescent="0.25">
      <c r="A4296" t="str">
        <f>"567408"</f>
        <v>567408</v>
      </c>
      <c r="B4296" t="s">
        <v>26184</v>
      </c>
      <c r="C4296" t="s">
        <v>249</v>
      </c>
      <c r="D4296" s="21" t="s">
        <v>34</v>
      </c>
      <c r="E4296" s="21" t="s">
        <v>71</v>
      </c>
      <c r="F4296">
        <v>12440021</v>
      </c>
      <c r="G4296" t="s">
        <v>429</v>
      </c>
      <c r="H4296" s="21">
        <v>1234.67</v>
      </c>
    </row>
    <row r="4297" spans="1:8" customFormat="1" x14ac:dyDescent="0.25">
      <c r="A4297" t="str">
        <f>"4418279"</f>
        <v>4418279</v>
      </c>
      <c r="B4297" t="s">
        <v>5846</v>
      </c>
      <c r="C4297" t="s">
        <v>249</v>
      </c>
      <c r="D4297" s="21" t="s">
        <v>34</v>
      </c>
      <c r="E4297" s="21" t="s">
        <v>71</v>
      </c>
      <c r="F4297">
        <v>12440031</v>
      </c>
      <c r="G4297" t="s">
        <v>3603</v>
      </c>
      <c r="H4297" s="21">
        <v>1234.67</v>
      </c>
    </row>
    <row r="4298" spans="1:8" customFormat="1" x14ac:dyDescent="0.25">
      <c r="A4298" t="str">
        <f>"8520844"</f>
        <v>8520844</v>
      </c>
      <c r="B4298" t="s">
        <v>5147</v>
      </c>
      <c r="C4298" t="s">
        <v>55</v>
      </c>
      <c r="D4298" s="21" t="s">
        <v>34</v>
      </c>
      <c r="E4298" s="21" t="s">
        <v>71</v>
      </c>
      <c r="F4298">
        <v>12850107</v>
      </c>
      <c r="G4298" t="s">
        <v>12181</v>
      </c>
      <c r="H4298" s="21">
        <v>1234.67</v>
      </c>
    </row>
    <row r="4299" spans="1:8" customFormat="1" x14ac:dyDescent="0.25">
      <c r="A4299" t="str">
        <f>"49451"</f>
        <v>49451</v>
      </c>
      <c r="B4299" t="s">
        <v>4872</v>
      </c>
      <c r="C4299" t="s">
        <v>139</v>
      </c>
      <c r="D4299" s="21" t="s">
        <v>34</v>
      </c>
      <c r="E4299" s="21" t="s">
        <v>35</v>
      </c>
      <c r="F4299">
        <v>12490040</v>
      </c>
      <c r="G4299" t="s">
        <v>94</v>
      </c>
      <c r="H4299" s="21">
        <v>1234.43</v>
      </c>
    </row>
    <row r="4300" spans="1:8" customFormat="1" x14ac:dyDescent="0.25">
      <c r="A4300" t="str">
        <f>"492754"</f>
        <v>492754</v>
      </c>
      <c r="B4300" t="s">
        <v>5275</v>
      </c>
      <c r="C4300" t="s">
        <v>87</v>
      </c>
      <c r="D4300" s="21" t="s">
        <v>34</v>
      </c>
      <c r="E4300" s="21" t="s">
        <v>35</v>
      </c>
      <c r="F4300">
        <v>12490033</v>
      </c>
      <c r="G4300" t="s">
        <v>3469</v>
      </c>
      <c r="H4300" s="21">
        <v>1234.42</v>
      </c>
    </row>
    <row r="4301" spans="1:8" customFormat="1" x14ac:dyDescent="0.25">
      <c r="A4301" t="str">
        <f>"632851"</f>
        <v>632851</v>
      </c>
      <c r="B4301" t="s">
        <v>5676</v>
      </c>
      <c r="C4301" t="s">
        <v>415</v>
      </c>
      <c r="D4301" s="21" t="s">
        <v>34</v>
      </c>
      <c r="E4301" s="21" t="s">
        <v>71</v>
      </c>
      <c r="F4301">
        <v>1630123</v>
      </c>
      <c r="G4301" t="s">
        <v>1036</v>
      </c>
      <c r="H4301" s="21">
        <v>1234.3</v>
      </c>
    </row>
    <row r="4302" spans="1:8" customFormat="1" x14ac:dyDescent="0.25">
      <c r="A4302" t="str">
        <f>"585624"</f>
        <v>585624</v>
      </c>
      <c r="B4302" t="s">
        <v>6887</v>
      </c>
      <c r="C4302" t="s">
        <v>1597</v>
      </c>
      <c r="D4302" s="21" t="s">
        <v>34</v>
      </c>
      <c r="E4302" s="21" t="s">
        <v>35</v>
      </c>
      <c r="F4302">
        <v>4360315</v>
      </c>
      <c r="G4302" t="s">
        <v>6888</v>
      </c>
      <c r="H4302" s="21">
        <v>1234.29</v>
      </c>
    </row>
    <row r="4303" spans="1:8" customFormat="1" x14ac:dyDescent="0.25">
      <c r="A4303" t="str">
        <f>"74164"</f>
        <v>74164</v>
      </c>
      <c r="B4303" t="s">
        <v>5458</v>
      </c>
      <c r="C4303" t="s">
        <v>249</v>
      </c>
      <c r="D4303" s="21" t="s">
        <v>34</v>
      </c>
      <c r="E4303" s="21" t="s">
        <v>71</v>
      </c>
      <c r="F4303">
        <v>1740010</v>
      </c>
      <c r="G4303" t="s">
        <v>4986</v>
      </c>
      <c r="H4303" s="21">
        <v>1234.17</v>
      </c>
    </row>
    <row r="4304" spans="1:8" customFormat="1" x14ac:dyDescent="0.25">
      <c r="A4304" t="str">
        <f>"1316914"</f>
        <v>1316914</v>
      </c>
      <c r="B4304" t="s">
        <v>5502</v>
      </c>
      <c r="C4304" t="s">
        <v>33</v>
      </c>
      <c r="D4304" s="21" t="s">
        <v>34</v>
      </c>
      <c r="E4304" s="21" t="s">
        <v>35</v>
      </c>
      <c r="F4304">
        <v>13130154</v>
      </c>
      <c r="G4304" t="s">
        <v>5503</v>
      </c>
      <c r="H4304" s="21">
        <v>1234.17</v>
      </c>
    </row>
    <row r="4305" spans="1:8" customFormat="1" x14ac:dyDescent="0.25">
      <c r="A4305" t="str">
        <f>"144150"</f>
        <v>144150</v>
      </c>
      <c r="B4305" t="s">
        <v>5567</v>
      </c>
      <c r="C4305" t="s">
        <v>415</v>
      </c>
      <c r="D4305" s="21" t="s">
        <v>34</v>
      </c>
      <c r="E4305" s="21" t="s">
        <v>71</v>
      </c>
      <c r="F4305">
        <v>9140123</v>
      </c>
      <c r="G4305" t="s">
        <v>661</v>
      </c>
      <c r="H4305" s="21">
        <v>1234.17</v>
      </c>
    </row>
    <row r="4306" spans="1:8" customFormat="1" x14ac:dyDescent="0.25">
      <c r="A4306" t="str">
        <f>"32769"</f>
        <v>32769</v>
      </c>
      <c r="B4306" t="s">
        <v>5236</v>
      </c>
      <c r="C4306" t="s">
        <v>40</v>
      </c>
      <c r="D4306" s="21" t="s">
        <v>34</v>
      </c>
      <c r="E4306" s="21" t="s">
        <v>35</v>
      </c>
      <c r="F4306">
        <v>11320031</v>
      </c>
      <c r="G4306" t="s">
        <v>5237</v>
      </c>
      <c r="H4306" s="21">
        <v>1234.17</v>
      </c>
    </row>
    <row r="4307" spans="1:8" customFormat="1" x14ac:dyDescent="0.25">
      <c r="A4307" t="str">
        <f>"3520047"</f>
        <v>3520047</v>
      </c>
      <c r="B4307" t="s">
        <v>11416</v>
      </c>
      <c r="C4307" t="s">
        <v>867</v>
      </c>
      <c r="D4307" s="21" t="s">
        <v>34</v>
      </c>
      <c r="E4307" s="21" t="s">
        <v>35</v>
      </c>
      <c r="F4307">
        <v>8751124</v>
      </c>
      <c r="G4307" t="s">
        <v>1481</v>
      </c>
      <c r="H4307" s="21">
        <v>1234.17</v>
      </c>
    </row>
    <row r="4308" spans="1:8" customFormat="1" x14ac:dyDescent="0.25">
      <c r="A4308" t="str">
        <f>"8516153"</f>
        <v>8516153</v>
      </c>
      <c r="B4308" t="s">
        <v>5296</v>
      </c>
      <c r="C4308" t="s">
        <v>33</v>
      </c>
      <c r="D4308" s="21" t="s">
        <v>34</v>
      </c>
      <c r="E4308" s="21" t="s">
        <v>71</v>
      </c>
      <c r="F4308">
        <v>12850024</v>
      </c>
      <c r="G4308" t="s">
        <v>140</v>
      </c>
      <c r="H4308" s="21">
        <v>1234.17</v>
      </c>
    </row>
    <row r="4309" spans="1:8" customFormat="1" x14ac:dyDescent="0.25">
      <c r="A4309" t="str">
        <f>"6916745"</f>
        <v>6916745</v>
      </c>
      <c r="B4309" t="s">
        <v>16852</v>
      </c>
      <c r="C4309" t="s">
        <v>239</v>
      </c>
      <c r="D4309" s="21" t="s">
        <v>34</v>
      </c>
      <c r="E4309" s="21" t="s">
        <v>71</v>
      </c>
      <c r="F4309">
        <v>1690006</v>
      </c>
      <c r="G4309" t="s">
        <v>2543</v>
      </c>
      <c r="H4309" s="21">
        <v>1234.17</v>
      </c>
    </row>
    <row r="4310" spans="1:8" customFormat="1" x14ac:dyDescent="0.25">
      <c r="A4310" t="str">
        <f>"4450270"</f>
        <v>4450270</v>
      </c>
      <c r="B4310" t="s">
        <v>5985</v>
      </c>
      <c r="C4310" t="s">
        <v>55</v>
      </c>
      <c r="D4310" s="21" t="s">
        <v>34</v>
      </c>
      <c r="E4310" s="21" t="s">
        <v>35</v>
      </c>
      <c r="F4310">
        <v>12440076</v>
      </c>
      <c r="G4310" t="s">
        <v>1750</v>
      </c>
      <c r="H4310" s="21">
        <v>1234.17</v>
      </c>
    </row>
    <row r="4311" spans="1:8" customFormat="1" x14ac:dyDescent="0.25">
      <c r="A4311" t="str">
        <f>"0810344"</f>
        <v>0810344</v>
      </c>
      <c r="B4311" t="s">
        <v>503</v>
      </c>
      <c r="C4311" t="s">
        <v>576</v>
      </c>
      <c r="D4311" s="21" t="s">
        <v>34</v>
      </c>
      <c r="E4311" s="21" t="s">
        <v>71</v>
      </c>
      <c r="F4311">
        <v>6080082</v>
      </c>
      <c r="G4311" t="s">
        <v>2401</v>
      </c>
      <c r="H4311" s="21">
        <v>1234.05</v>
      </c>
    </row>
    <row r="4312" spans="1:8" customFormat="1" x14ac:dyDescent="0.25">
      <c r="A4312" t="str">
        <f>"5426522"</f>
        <v>5426522</v>
      </c>
      <c r="B4312" t="s">
        <v>3474</v>
      </c>
      <c r="C4312" t="s">
        <v>144</v>
      </c>
      <c r="D4312" s="21" t="s">
        <v>34</v>
      </c>
      <c r="E4312" s="21" t="s">
        <v>71</v>
      </c>
      <c r="F4312">
        <v>6540008</v>
      </c>
      <c r="G4312" t="s">
        <v>3891</v>
      </c>
      <c r="H4312" s="21">
        <v>1233.68</v>
      </c>
    </row>
    <row r="4313" spans="1:8" customFormat="1" x14ac:dyDescent="0.25">
      <c r="A4313" t="str">
        <f>"955610"</f>
        <v>955610</v>
      </c>
      <c r="B4313" t="s">
        <v>6022</v>
      </c>
      <c r="C4313" t="s">
        <v>127</v>
      </c>
      <c r="D4313" s="21" t="s">
        <v>34</v>
      </c>
      <c r="E4313" s="21" t="s">
        <v>35</v>
      </c>
      <c r="F4313">
        <v>7600161</v>
      </c>
      <c r="G4313" t="s">
        <v>6023</v>
      </c>
      <c r="H4313" s="21">
        <v>1233.67</v>
      </c>
    </row>
    <row r="4314" spans="1:8" customFormat="1" x14ac:dyDescent="0.25">
      <c r="A4314" t="str">
        <f>"4914735"</f>
        <v>4914735</v>
      </c>
      <c r="B4314" t="s">
        <v>4930</v>
      </c>
      <c r="C4314" t="s">
        <v>1803</v>
      </c>
      <c r="D4314" s="21" t="s">
        <v>34</v>
      </c>
      <c r="E4314" s="21" t="s">
        <v>35</v>
      </c>
      <c r="F4314">
        <v>12490068</v>
      </c>
      <c r="G4314" t="s">
        <v>2070</v>
      </c>
      <c r="H4314" s="21">
        <v>1233.67</v>
      </c>
    </row>
    <row r="4315" spans="1:8" customFormat="1" x14ac:dyDescent="0.25">
      <c r="A4315" t="str">
        <f>"808618"</f>
        <v>808618</v>
      </c>
      <c r="B4315" t="s">
        <v>3930</v>
      </c>
      <c r="C4315" t="s">
        <v>206</v>
      </c>
      <c r="D4315" s="21" t="s">
        <v>34</v>
      </c>
      <c r="E4315" s="21" t="s">
        <v>35</v>
      </c>
      <c r="F4315">
        <v>7800130</v>
      </c>
      <c r="G4315" t="s">
        <v>4998</v>
      </c>
      <c r="H4315" s="21">
        <v>1233.67</v>
      </c>
    </row>
    <row r="4316" spans="1:8" customFormat="1" x14ac:dyDescent="0.25">
      <c r="A4316" t="str">
        <f>"857000"</f>
        <v>857000</v>
      </c>
      <c r="B4316" t="s">
        <v>4391</v>
      </c>
      <c r="C4316" t="s">
        <v>124</v>
      </c>
      <c r="D4316" s="21" t="s">
        <v>34</v>
      </c>
      <c r="E4316" s="21" t="s">
        <v>254</v>
      </c>
      <c r="F4316">
        <v>12850131</v>
      </c>
      <c r="G4316" t="s">
        <v>4392</v>
      </c>
      <c r="H4316" s="21">
        <v>1233.67</v>
      </c>
    </row>
    <row r="4317" spans="1:8" customFormat="1" x14ac:dyDescent="0.25">
      <c r="A4317" t="str">
        <f>"79123"</f>
        <v>79123</v>
      </c>
      <c r="B4317" t="s">
        <v>5696</v>
      </c>
      <c r="C4317" t="s">
        <v>415</v>
      </c>
      <c r="D4317" s="21" t="s">
        <v>34</v>
      </c>
      <c r="E4317" s="21" t="s">
        <v>71</v>
      </c>
      <c r="F4317">
        <v>10790005</v>
      </c>
      <c r="G4317" t="s">
        <v>1948</v>
      </c>
      <c r="H4317" s="21">
        <v>1233.67</v>
      </c>
    </row>
    <row r="4318" spans="1:8" customFormat="1" x14ac:dyDescent="0.25">
      <c r="A4318" t="str">
        <f>"147958"</f>
        <v>147958</v>
      </c>
      <c r="B4318" t="s">
        <v>5115</v>
      </c>
      <c r="C4318" t="s">
        <v>33</v>
      </c>
      <c r="D4318" s="21" t="s">
        <v>34</v>
      </c>
      <c r="E4318" s="21" t="s">
        <v>71</v>
      </c>
      <c r="F4318">
        <v>9140167</v>
      </c>
      <c r="G4318" t="s">
        <v>5116</v>
      </c>
      <c r="H4318" s="21">
        <v>1233.67</v>
      </c>
    </row>
    <row r="4319" spans="1:8" customFormat="1" x14ac:dyDescent="0.25">
      <c r="A4319" t="str">
        <f>"023791"</f>
        <v>023791</v>
      </c>
      <c r="B4319" t="s">
        <v>3707</v>
      </c>
      <c r="C4319" t="s">
        <v>236</v>
      </c>
      <c r="D4319" s="21" t="s">
        <v>34</v>
      </c>
      <c r="E4319" s="21" t="s">
        <v>71</v>
      </c>
      <c r="F4319">
        <v>7020031</v>
      </c>
      <c r="G4319" t="s">
        <v>828</v>
      </c>
      <c r="H4319" s="21">
        <v>1233.67</v>
      </c>
    </row>
    <row r="4320" spans="1:8" customFormat="1" x14ac:dyDescent="0.25">
      <c r="A4320" t="str">
        <f>"74146"</f>
        <v>74146</v>
      </c>
      <c r="B4320" t="s">
        <v>400</v>
      </c>
      <c r="C4320" t="s">
        <v>156</v>
      </c>
      <c r="D4320" s="21" t="s">
        <v>34</v>
      </c>
      <c r="E4320" s="21" t="s">
        <v>254</v>
      </c>
      <c r="F4320">
        <v>1740065</v>
      </c>
      <c r="G4320" t="s">
        <v>5226</v>
      </c>
      <c r="H4320" s="21">
        <v>1233.67</v>
      </c>
    </row>
    <row r="4321" spans="1:8" customFormat="1" x14ac:dyDescent="0.25">
      <c r="A4321" t="str">
        <f>"7914165"</f>
        <v>7914165</v>
      </c>
      <c r="B4321" t="s">
        <v>1278</v>
      </c>
      <c r="C4321" t="s">
        <v>750</v>
      </c>
      <c r="D4321" s="21" t="s">
        <v>34</v>
      </c>
      <c r="E4321" s="21" t="s">
        <v>71</v>
      </c>
      <c r="F4321">
        <v>10790235</v>
      </c>
      <c r="G4321" t="s">
        <v>413</v>
      </c>
      <c r="H4321" s="21">
        <v>1233.67</v>
      </c>
    </row>
    <row r="4322" spans="1:8" customFormat="1" x14ac:dyDescent="0.25">
      <c r="A4322" t="str">
        <f>"551031"</f>
        <v>551031</v>
      </c>
      <c r="B4322" t="s">
        <v>7024</v>
      </c>
      <c r="C4322" t="s">
        <v>209</v>
      </c>
      <c r="D4322" s="21" t="s">
        <v>34</v>
      </c>
      <c r="E4322" s="21" t="s">
        <v>35</v>
      </c>
      <c r="F4322">
        <v>11660003</v>
      </c>
      <c r="G4322" t="s">
        <v>5188</v>
      </c>
      <c r="H4322" s="21">
        <v>1233.67</v>
      </c>
    </row>
    <row r="4323" spans="1:8" customFormat="1" x14ac:dyDescent="0.25">
      <c r="A4323" t="str">
        <f>"608553"</f>
        <v>608553</v>
      </c>
      <c r="B4323" t="s">
        <v>1593</v>
      </c>
      <c r="C4323" t="s">
        <v>249</v>
      </c>
      <c r="D4323" s="21" t="s">
        <v>34</v>
      </c>
      <c r="E4323" s="21" t="s">
        <v>71</v>
      </c>
      <c r="F4323">
        <v>7600008</v>
      </c>
      <c r="G4323" t="s">
        <v>4646</v>
      </c>
      <c r="H4323" s="21">
        <v>1233.67</v>
      </c>
    </row>
    <row r="4324" spans="1:8" customFormat="1" x14ac:dyDescent="0.25">
      <c r="A4324" t="str">
        <f>"2924354"</f>
        <v>2924354</v>
      </c>
      <c r="B4324" t="s">
        <v>5686</v>
      </c>
      <c r="C4324" t="s">
        <v>87</v>
      </c>
      <c r="D4324" s="21" t="s">
        <v>34</v>
      </c>
      <c r="E4324" s="21" t="s">
        <v>35</v>
      </c>
      <c r="F4324">
        <v>3290221</v>
      </c>
      <c r="G4324" t="s">
        <v>3544</v>
      </c>
      <c r="H4324" s="21">
        <v>1233.67</v>
      </c>
    </row>
    <row r="4325" spans="1:8" customFormat="1" x14ac:dyDescent="0.25">
      <c r="A4325" t="str">
        <f>"5928242"</f>
        <v>5928242</v>
      </c>
      <c r="B4325" t="s">
        <v>4888</v>
      </c>
      <c r="C4325" t="s">
        <v>498</v>
      </c>
      <c r="D4325" s="21" t="s">
        <v>34</v>
      </c>
      <c r="E4325" s="21" t="s">
        <v>35</v>
      </c>
      <c r="F4325">
        <v>1690221</v>
      </c>
      <c r="G4325" t="s">
        <v>303</v>
      </c>
      <c r="H4325" s="21">
        <v>1233.67</v>
      </c>
    </row>
    <row r="4326" spans="1:8" customFormat="1" x14ac:dyDescent="0.25">
      <c r="A4326" t="str">
        <f>"6921406"</f>
        <v>6921406</v>
      </c>
      <c r="B4326" t="s">
        <v>5101</v>
      </c>
      <c r="C4326" t="s">
        <v>87</v>
      </c>
      <c r="D4326" s="21" t="s">
        <v>34</v>
      </c>
      <c r="E4326" s="21" t="s">
        <v>35</v>
      </c>
      <c r="F4326">
        <v>1690215</v>
      </c>
      <c r="G4326" t="s">
        <v>1080</v>
      </c>
      <c r="H4326" s="21">
        <v>1233.67</v>
      </c>
    </row>
    <row r="4327" spans="1:8" customFormat="1" x14ac:dyDescent="0.25">
      <c r="A4327" t="str">
        <f>"8518566"</f>
        <v>8518566</v>
      </c>
      <c r="B4327" t="s">
        <v>5656</v>
      </c>
      <c r="C4327" t="s">
        <v>269</v>
      </c>
      <c r="D4327" s="21" t="s">
        <v>34</v>
      </c>
      <c r="E4327" s="21" t="s">
        <v>71</v>
      </c>
      <c r="F4327">
        <v>12850028</v>
      </c>
      <c r="G4327" t="s">
        <v>1700</v>
      </c>
      <c r="H4327" s="21">
        <v>1233.55</v>
      </c>
    </row>
    <row r="4328" spans="1:8" customFormat="1" x14ac:dyDescent="0.25">
      <c r="A4328" t="str">
        <f>"2919946"</f>
        <v>2919946</v>
      </c>
      <c r="B4328" t="s">
        <v>6236</v>
      </c>
      <c r="C4328" t="s">
        <v>275</v>
      </c>
      <c r="D4328" s="21" t="s">
        <v>34</v>
      </c>
      <c r="E4328" s="21" t="s">
        <v>35</v>
      </c>
      <c r="F4328">
        <v>1690197</v>
      </c>
      <c r="G4328" t="s">
        <v>26849</v>
      </c>
      <c r="H4328" s="21">
        <v>1233.54</v>
      </c>
    </row>
    <row r="4329" spans="1:8" customFormat="1" x14ac:dyDescent="0.25">
      <c r="A4329" t="str">
        <f>"911502"</f>
        <v>911502</v>
      </c>
      <c r="B4329" t="s">
        <v>5771</v>
      </c>
      <c r="C4329" t="s">
        <v>40</v>
      </c>
      <c r="D4329" s="21" t="s">
        <v>34</v>
      </c>
      <c r="E4329" s="21" t="s">
        <v>71</v>
      </c>
      <c r="F4329">
        <v>8910359</v>
      </c>
      <c r="G4329" t="s">
        <v>1204</v>
      </c>
      <c r="H4329" s="21">
        <v>1233.42</v>
      </c>
    </row>
    <row r="4330" spans="1:8" customFormat="1" x14ac:dyDescent="0.25">
      <c r="A4330" t="str">
        <f>"344286"</f>
        <v>344286</v>
      </c>
      <c r="B4330" t="s">
        <v>26850</v>
      </c>
      <c r="C4330" t="s">
        <v>130</v>
      </c>
      <c r="D4330" s="21" t="s">
        <v>34</v>
      </c>
      <c r="E4330" s="21" t="s">
        <v>35</v>
      </c>
      <c r="F4330">
        <v>11340067</v>
      </c>
      <c r="G4330" t="s">
        <v>2895</v>
      </c>
      <c r="H4330" s="21">
        <v>1233.42</v>
      </c>
    </row>
    <row r="4331" spans="1:8" customFormat="1" x14ac:dyDescent="0.25">
      <c r="A4331" t="str">
        <f>"4516671"</f>
        <v>4516671</v>
      </c>
      <c r="B4331" t="s">
        <v>5866</v>
      </c>
      <c r="C4331" t="s">
        <v>601</v>
      </c>
      <c r="D4331" s="21" t="s">
        <v>34</v>
      </c>
      <c r="E4331" s="21" t="s">
        <v>35</v>
      </c>
      <c r="F4331">
        <v>4450616</v>
      </c>
      <c r="G4331" t="s">
        <v>3254</v>
      </c>
      <c r="H4331" s="21">
        <v>1233.42</v>
      </c>
    </row>
    <row r="4332" spans="1:8" customFormat="1" x14ac:dyDescent="0.25">
      <c r="A4332" t="str">
        <f>"9226500"</f>
        <v>9226500</v>
      </c>
      <c r="B4332" t="s">
        <v>5267</v>
      </c>
      <c r="C4332" t="s">
        <v>130</v>
      </c>
      <c r="D4332" s="21" t="s">
        <v>34</v>
      </c>
      <c r="E4332" s="21" t="s">
        <v>71</v>
      </c>
      <c r="F4332">
        <v>8920312</v>
      </c>
      <c r="G4332" t="s">
        <v>1026</v>
      </c>
      <c r="H4332" s="21">
        <v>1233.17</v>
      </c>
    </row>
    <row r="4333" spans="1:8" customFormat="1" x14ac:dyDescent="0.25">
      <c r="A4333" t="str">
        <f>"792018"</f>
        <v>792018</v>
      </c>
      <c r="B4333" t="s">
        <v>4577</v>
      </c>
      <c r="C4333" t="s">
        <v>4578</v>
      </c>
      <c r="D4333" s="21" t="s">
        <v>34</v>
      </c>
      <c r="E4333" s="21" t="s">
        <v>71</v>
      </c>
      <c r="F4333">
        <v>10790069</v>
      </c>
      <c r="G4333" t="s">
        <v>689</v>
      </c>
      <c r="H4333" s="21">
        <v>1233.17</v>
      </c>
    </row>
    <row r="4334" spans="1:8" customFormat="1" x14ac:dyDescent="0.25">
      <c r="A4334" t="str">
        <f>"853078"</f>
        <v>853078</v>
      </c>
      <c r="B4334" t="s">
        <v>4282</v>
      </c>
      <c r="C4334" t="s">
        <v>124</v>
      </c>
      <c r="D4334" s="21" t="s">
        <v>34</v>
      </c>
      <c r="E4334" s="21" t="s">
        <v>71</v>
      </c>
      <c r="F4334">
        <v>12851012</v>
      </c>
      <c r="G4334" t="s">
        <v>1963</v>
      </c>
      <c r="H4334" s="21">
        <v>1233.17</v>
      </c>
    </row>
    <row r="4335" spans="1:8" customFormat="1" x14ac:dyDescent="0.25">
      <c r="A4335" t="str">
        <f>"9122203"</f>
        <v>9122203</v>
      </c>
      <c r="B4335" t="s">
        <v>939</v>
      </c>
      <c r="C4335" t="s">
        <v>249</v>
      </c>
      <c r="D4335" s="21" t="s">
        <v>34</v>
      </c>
      <c r="E4335" s="21" t="s">
        <v>71</v>
      </c>
      <c r="F4335">
        <v>4370637</v>
      </c>
      <c r="G4335" t="s">
        <v>3941</v>
      </c>
      <c r="H4335" s="21">
        <v>1233.17</v>
      </c>
    </row>
    <row r="4336" spans="1:8" customFormat="1" x14ac:dyDescent="0.25">
      <c r="A4336" t="str">
        <f>"509221"</f>
        <v>509221</v>
      </c>
      <c r="B4336" t="s">
        <v>4638</v>
      </c>
      <c r="C4336" t="s">
        <v>510</v>
      </c>
      <c r="D4336" s="21" t="s">
        <v>34</v>
      </c>
      <c r="E4336" s="21" t="s">
        <v>71</v>
      </c>
      <c r="F4336">
        <v>9500025</v>
      </c>
      <c r="G4336" t="s">
        <v>665</v>
      </c>
      <c r="H4336" s="21">
        <v>1233.17</v>
      </c>
    </row>
    <row r="4337" spans="1:8" customFormat="1" x14ac:dyDescent="0.25">
      <c r="A4337" t="str">
        <f>"3317994"</f>
        <v>3317994</v>
      </c>
      <c r="B4337" t="s">
        <v>26851</v>
      </c>
      <c r="C4337" t="s">
        <v>60</v>
      </c>
      <c r="D4337" s="21" t="s">
        <v>34</v>
      </c>
      <c r="E4337" s="21" t="s">
        <v>35</v>
      </c>
      <c r="F4337">
        <v>10470003</v>
      </c>
      <c r="G4337" t="s">
        <v>2148</v>
      </c>
      <c r="H4337" s="21">
        <v>1233.17</v>
      </c>
    </row>
    <row r="4338" spans="1:8" customFormat="1" x14ac:dyDescent="0.25">
      <c r="A4338" t="str">
        <f>"579128"</f>
        <v>579128</v>
      </c>
      <c r="B4338" t="s">
        <v>6346</v>
      </c>
      <c r="C4338" t="s">
        <v>547</v>
      </c>
      <c r="D4338" s="21" t="s">
        <v>34</v>
      </c>
      <c r="E4338" s="21" t="s">
        <v>71</v>
      </c>
      <c r="F4338">
        <v>6570190</v>
      </c>
      <c r="G4338" t="s">
        <v>622</v>
      </c>
      <c r="H4338" s="21">
        <v>1233.17</v>
      </c>
    </row>
    <row r="4339" spans="1:8" customFormat="1" x14ac:dyDescent="0.25">
      <c r="A4339" t="str">
        <f>"2515726"</f>
        <v>2515726</v>
      </c>
      <c r="B4339" t="s">
        <v>7896</v>
      </c>
      <c r="C4339" t="s">
        <v>62</v>
      </c>
      <c r="D4339" s="21" t="s">
        <v>34</v>
      </c>
      <c r="E4339" s="21" t="s">
        <v>35</v>
      </c>
      <c r="F4339">
        <v>2250181</v>
      </c>
      <c r="G4339" t="s">
        <v>494</v>
      </c>
      <c r="H4339" s="21">
        <v>1232.8</v>
      </c>
    </row>
    <row r="4340" spans="1:8" customFormat="1" x14ac:dyDescent="0.25">
      <c r="A4340" t="str">
        <f>"7512170"</f>
        <v>7512170</v>
      </c>
      <c r="B4340" t="s">
        <v>5986</v>
      </c>
      <c r="C4340" t="s">
        <v>5987</v>
      </c>
      <c r="D4340" s="21" t="s">
        <v>34</v>
      </c>
      <c r="E4340" s="21" t="s">
        <v>71</v>
      </c>
      <c r="F4340">
        <v>8920063</v>
      </c>
      <c r="G4340" t="s">
        <v>219</v>
      </c>
      <c r="H4340" s="21">
        <v>1232.8</v>
      </c>
    </row>
    <row r="4341" spans="1:8" customFormat="1" x14ac:dyDescent="0.25">
      <c r="A4341" t="str">
        <f>"64987"</f>
        <v>64987</v>
      </c>
      <c r="B4341" t="s">
        <v>4679</v>
      </c>
      <c r="C4341" t="s">
        <v>60</v>
      </c>
      <c r="D4341" s="21" t="s">
        <v>34</v>
      </c>
      <c r="E4341" s="21" t="s">
        <v>35</v>
      </c>
      <c r="F4341">
        <v>11650018</v>
      </c>
      <c r="G4341" t="s">
        <v>6247</v>
      </c>
      <c r="H4341" s="21">
        <v>1232.8</v>
      </c>
    </row>
    <row r="4342" spans="1:8" customFormat="1" x14ac:dyDescent="0.25">
      <c r="A4342" t="str">
        <f>"7918762"</f>
        <v>7918762</v>
      </c>
      <c r="B4342" t="s">
        <v>5749</v>
      </c>
      <c r="C4342" t="s">
        <v>269</v>
      </c>
      <c r="D4342" s="21" t="s">
        <v>34</v>
      </c>
      <c r="E4342" s="21" t="s">
        <v>71</v>
      </c>
      <c r="F4342">
        <v>10160223</v>
      </c>
      <c r="G4342" t="s">
        <v>5750</v>
      </c>
      <c r="H4342" s="21">
        <v>1232.67</v>
      </c>
    </row>
    <row r="4343" spans="1:8" customFormat="1" x14ac:dyDescent="0.25">
      <c r="A4343" t="str">
        <f>"541005"</f>
        <v>541005</v>
      </c>
      <c r="B4343" t="s">
        <v>5422</v>
      </c>
      <c r="C4343" t="s">
        <v>198</v>
      </c>
      <c r="D4343" s="21" t="s">
        <v>34</v>
      </c>
      <c r="E4343" s="21" t="s">
        <v>71</v>
      </c>
      <c r="F4343">
        <v>6540047</v>
      </c>
      <c r="G4343" t="s">
        <v>5423</v>
      </c>
      <c r="H4343" s="21">
        <v>1232.67</v>
      </c>
    </row>
    <row r="4344" spans="1:8" customFormat="1" x14ac:dyDescent="0.25">
      <c r="A4344" t="str">
        <f>"748835"</f>
        <v>748835</v>
      </c>
      <c r="B4344" t="s">
        <v>5369</v>
      </c>
      <c r="C4344" t="s">
        <v>43</v>
      </c>
      <c r="D4344" s="21" t="s">
        <v>34</v>
      </c>
      <c r="E4344" s="21" t="s">
        <v>35</v>
      </c>
      <c r="F4344">
        <v>12490020</v>
      </c>
      <c r="G4344" t="s">
        <v>5370</v>
      </c>
      <c r="H4344" s="21">
        <v>1232.67</v>
      </c>
    </row>
    <row r="4345" spans="1:8" customFormat="1" x14ac:dyDescent="0.25">
      <c r="A4345" t="str">
        <f>"4440424"</f>
        <v>4440424</v>
      </c>
      <c r="B4345" t="s">
        <v>197</v>
      </c>
      <c r="C4345" t="s">
        <v>62</v>
      </c>
      <c r="D4345" s="21" t="s">
        <v>34</v>
      </c>
      <c r="E4345" s="21" t="s">
        <v>35</v>
      </c>
      <c r="F4345">
        <v>12440141</v>
      </c>
      <c r="G4345" t="s">
        <v>3234</v>
      </c>
      <c r="H4345" s="21">
        <v>1232.67</v>
      </c>
    </row>
    <row r="4346" spans="1:8" customFormat="1" x14ac:dyDescent="0.25">
      <c r="A4346" t="str">
        <f>"8528100"</f>
        <v>8528100</v>
      </c>
      <c r="B4346" t="s">
        <v>5769</v>
      </c>
      <c r="C4346" t="s">
        <v>1803</v>
      </c>
      <c r="D4346" s="21" t="s">
        <v>34</v>
      </c>
      <c r="E4346" s="21" t="s">
        <v>35</v>
      </c>
      <c r="F4346">
        <v>12850093</v>
      </c>
      <c r="G4346" t="s">
        <v>3371</v>
      </c>
      <c r="H4346" s="21">
        <v>1232.67</v>
      </c>
    </row>
    <row r="4347" spans="1:8" customFormat="1" x14ac:dyDescent="0.25">
      <c r="A4347" t="str">
        <f>"168088"</f>
        <v>168088</v>
      </c>
      <c r="B4347" t="s">
        <v>4940</v>
      </c>
      <c r="C4347" t="s">
        <v>209</v>
      </c>
      <c r="D4347" s="21" t="s">
        <v>34</v>
      </c>
      <c r="E4347" s="21" t="s">
        <v>71</v>
      </c>
      <c r="F4347">
        <v>10160044</v>
      </c>
      <c r="G4347" t="s">
        <v>4941</v>
      </c>
      <c r="H4347" s="21">
        <v>1232.67</v>
      </c>
    </row>
    <row r="4348" spans="1:8" customFormat="1" x14ac:dyDescent="0.25">
      <c r="A4348" t="str">
        <f>"2923937"</f>
        <v>2923937</v>
      </c>
      <c r="B4348" t="s">
        <v>4902</v>
      </c>
      <c r="C4348" t="s">
        <v>239</v>
      </c>
      <c r="D4348" s="21" t="s">
        <v>34</v>
      </c>
      <c r="E4348" s="21" t="s">
        <v>71</v>
      </c>
      <c r="F4348">
        <v>3290009</v>
      </c>
      <c r="G4348" t="s">
        <v>4358</v>
      </c>
      <c r="H4348" s="21">
        <v>1232.67</v>
      </c>
    </row>
    <row r="4349" spans="1:8" customFormat="1" x14ac:dyDescent="0.25">
      <c r="A4349" t="str">
        <f>"336770"</f>
        <v>336770</v>
      </c>
      <c r="B4349" t="s">
        <v>1751</v>
      </c>
      <c r="C4349" t="s">
        <v>1841</v>
      </c>
      <c r="D4349" s="21" t="s">
        <v>34</v>
      </c>
      <c r="E4349" s="21" t="s">
        <v>254</v>
      </c>
      <c r="F4349">
        <v>10330043</v>
      </c>
      <c r="G4349" t="s">
        <v>1703</v>
      </c>
      <c r="H4349" s="21">
        <v>1232.67</v>
      </c>
    </row>
    <row r="4350" spans="1:8" customFormat="1" x14ac:dyDescent="0.25">
      <c r="A4350" t="str">
        <f>"8516207"</f>
        <v>8516207</v>
      </c>
      <c r="B4350" t="s">
        <v>4918</v>
      </c>
      <c r="C4350" t="s">
        <v>60</v>
      </c>
      <c r="D4350" s="21" t="s">
        <v>34</v>
      </c>
      <c r="E4350" s="21" t="s">
        <v>35</v>
      </c>
      <c r="F4350">
        <v>12850172</v>
      </c>
      <c r="G4350" t="s">
        <v>4919</v>
      </c>
      <c r="H4350" s="21">
        <v>1232.55</v>
      </c>
    </row>
    <row r="4351" spans="1:8" customFormat="1" x14ac:dyDescent="0.25">
      <c r="A4351" t="str">
        <f>"953625"</f>
        <v>953625</v>
      </c>
      <c r="B4351" t="s">
        <v>400</v>
      </c>
      <c r="C4351" t="s">
        <v>198</v>
      </c>
      <c r="D4351" s="21" t="s">
        <v>34</v>
      </c>
      <c r="E4351" s="21" t="s">
        <v>71</v>
      </c>
      <c r="F4351">
        <v>8950330</v>
      </c>
      <c r="G4351" t="s">
        <v>794</v>
      </c>
      <c r="H4351" s="21">
        <v>1232.42</v>
      </c>
    </row>
    <row r="4352" spans="1:8" customFormat="1" x14ac:dyDescent="0.25">
      <c r="A4352" t="str">
        <f>"5920770"</f>
        <v>5920770</v>
      </c>
      <c r="B4352" t="s">
        <v>4757</v>
      </c>
      <c r="C4352" t="s">
        <v>476</v>
      </c>
      <c r="D4352" s="21" t="s">
        <v>34</v>
      </c>
      <c r="E4352" s="21" t="s">
        <v>35</v>
      </c>
      <c r="F4352">
        <v>7620147</v>
      </c>
      <c r="G4352" t="s">
        <v>4455</v>
      </c>
      <c r="H4352" s="21">
        <v>1232.17</v>
      </c>
    </row>
    <row r="4353" spans="1:8" customFormat="1" x14ac:dyDescent="0.25">
      <c r="A4353" t="str">
        <f>"9512675"</f>
        <v>9512675</v>
      </c>
      <c r="B4353" t="s">
        <v>5254</v>
      </c>
      <c r="C4353" t="s">
        <v>40</v>
      </c>
      <c r="D4353" s="21" t="s">
        <v>34</v>
      </c>
      <c r="E4353" s="21" t="s">
        <v>35</v>
      </c>
      <c r="F4353">
        <v>8950570</v>
      </c>
      <c r="G4353" t="s">
        <v>3226</v>
      </c>
      <c r="H4353" s="21">
        <v>1232.17</v>
      </c>
    </row>
    <row r="4354" spans="1:8" customFormat="1" x14ac:dyDescent="0.25">
      <c r="A4354" t="str">
        <f>"7910158"</f>
        <v>7910158</v>
      </c>
      <c r="B4354" t="s">
        <v>3029</v>
      </c>
      <c r="C4354" t="s">
        <v>415</v>
      </c>
      <c r="D4354" s="21" t="s">
        <v>34</v>
      </c>
      <c r="E4354" s="21" t="s">
        <v>71</v>
      </c>
      <c r="F4354">
        <v>10790043</v>
      </c>
      <c r="G4354" t="s">
        <v>2828</v>
      </c>
      <c r="H4354" s="21">
        <v>1232.17</v>
      </c>
    </row>
    <row r="4355" spans="1:8" customFormat="1" x14ac:dyDescent="0.25">
      <c r="A4355" t="str">
        <f>"704170"</f>
        <v>704170</v>
      </c>
      <c r="B4355" t="s">
        <v>5289</v>
      </c>
      <c r="C4355" t="s">
        <v>262</v>
      </c>
      <c r="D4355" s="21" t="s">
        <v>34</v>
      </c>
      <c r="E4355" s="21" t="s">
        <v>35</v>
      </c>
      <c r="F4355">
        <v>2700005</v>
      </c>
      <c r="G4355" t="s">
        <v>5290</v>
      </c>
      <c r="H4355" s="21">
        <v>1232.17</v>
      </c>
    </row>
    <row r="4356" spans="1:8" customFormat="1" x14ac:dyDescent="0.25">
      <c r="A4356" t="str">
        <f>"1712710"</f>
        <v>1712710</v>
      </c>
      <c r="B4356" t="s">
        <v>4530</v>
      </c>
      <c r="C4356" t="s">
        <v>33</v>
      </c>
      <c r="D4356" s="21" t="s">
        <v>34</v>
      </c>
      <c r="E4356" s="21" t="s">
        <v>35</v>
      </c>
      <c r="F4356">
        <v>10170150</v>
      </c>
      <c r="G4356" t="s">
        <v>4531</v>
      </c>
      <c r="H4356" s="21">
        <v>1232.17</v>
      </c>
    </row>
    <row r="4357" spans="1:8" customFormat="1" x14ac:dyDescent="0.25">
      <c r="A4357" t="str">
        <f>"679533"</f>
        <v>679533</v>
      </c>
      <c r="B4357" t="s">
        <v>4803</v>
      </c>
      <c r="C4357" t="s">
        <v>267</v>
      </c>
      <c r="D4357" s="21" t="s">
        <v>34</v>
      </c>
      <c r="E4357" s="21" t="s">
        <v>71</v>
      </c>
      <c r="F4357">
        <v>6680090</v>
      </c>
      <c r="G4357" t="s">
        <v>3129</v>
      </c>
      <c r="H4357" s="21">
        <v>1232.17</v>
      </c>
    </row>
    <row r="4358" spans="1:8" customFormat="1" x14ac:dyDescent="0.25">
      <c r="A4358" t="str">
        <f>"725721"</f>
        <v>725721</v>
      </c>
      <c r="B4358" t="s">
        <v>8091</v>
      </c>
      <c r="C4358" t="s">
        <v>14778</v>
      </c>
      <c r="D4358" s="21" t="s">
        <v>34</v>
      </c>
      <c r="E4358" s="21" t="s">
        <v>35</v>
      </c>
      <c r="F4358">
        <v>9500124</v>
      </c>
      <c r="G4358" t="s">
        <v>3726</v>
      </c>
      <c r="H4358" s="21">
        <v>1232.17</v>
      </c>
    </row>
    <row r="4359" spans="1:8" customFormat="1" x14ac:dyDescent="0.25">
      <c r="A4359" t="str">
        <f>"62492"</f>
        <v>62492</v>
      </c>
      <c r="B4359" t="s">
        <v>5460</v>
      </c>
      <c r="C4359" t="s">
        <v>55</v>
      </c>
      <c r="D4359" s="21" t="s">
        <v>34</v>
      </c>
      <c r="E4359" s="21" t="s">
        <v>254</v>
      </c>
      <c r="F4359">
        <v>7620067</v>
      </c>
      <c r="G4359" t="s">
        <v>860</v>
      </c>
      <c r="H4359" s="21">
        <v>1232.17</v>
      </c>
    </row>
    <row r="4360" spans="1:8" customFormat="1" x14ac:dyDescent="0.25">
      <c r="A4360" t="str">
        <f>"8012853"</f>
        <v>8012853</v>
      </c>
      <c r="B4360" t="s">
        <v>26852</v>
      </c>
      <c r="C4360" t="s">
        <v>428</v>
      </c>
      <c r="D4360" s="21" t="s">
        <v>34</v>
      </c>
      <c r="E4360" s="21" t="s">
        <v>35</v>
      </c>
      <c r="F4360">
        <v>9760041</v>
      </c>
      <c r="G4360" t="s">
        <v>452</v>
      </c>
      <c r="H4360" s="21">
        <v>1232</v>
      </c>
    </row>
    <row r="4361" spans="1:8" customFormat="1" x14ac:dyDescent="0.25">
      <c r="A4361" t="str">
        <f>"9525967"</f>
        <v>9525967</v>
      </c>
      <c r="B4361" t="s">
        <v>1871</v>
      </c>
      <c r="C4361" t="s">
        <v>6752</v>
      </c>
      <c r="D4361" s="21" t="s">
        <v>34</v>
      </c>
      <c r="E4361" s="21" t="s">
        <v>35</v>
      </c>
      <c r="F4361">
        <v>8950623</v>
      </c>
      <c r="G4361" t="s">
        <v>684</v>
      </c>
      <c r="H4361" s="21">
        <v>1231.8</v>
      </c>
    </row>
    <row r="4362" spans="1:8" customFormat="1" x14ac:dyDescent="0.25">
      <c r="A4362" t="str">
        <f>"448171"</f>
        <v>448171</v>
      </c>
      <c r="B4362" t="s">
        <v>4569</v>
      </c>
      <c r="C4362" t="s">
        <v>598</v>
      </c>
      <c r="D4362" s="21" t="s">
        <v>34</v>
      </c>
      <c r="E4362" s="21" t="s">
        <v>71</v>
      </c>
      <c r="F4362">
        <v>12440008</v>
      </c>
      <c r="G4362" t="s">
        <v>4570</v>
      </c>
      <c r="H4362" s="21">
        <v>1231.67</v>
      </c>
    </row>
    <row r="4363" spans="1:8" customFormat="1" x14ac:dyDescent="0.25">
      <c r="A4363" t="str">
        <f>"30891"</f>
        <v>30891</v>
      </c>
      <c r="B4363" t="s">
        <v>5596</v>
      </c>
      <c r="C4363" t="s">
        <v>127</v>
      </c>
      <c r="D4363" s="21" t="s">
        <v>34</v>
      </c>
      <c r="E4363" s="21" t="s">
        <v>35</v>
      </c>
      <c r="F4363">
        <v>11300016</v>
      </c>
      <c r="G4363" t="s">
        <v>157</v>
      </c>
      <c r="H4363" s="21">
        <v>1231.67</v>
      </c>
    </row>
    <row r="4364" spans="1:8" customFormat="1" x14ac:dyDescent="0.25">
      <c r="A4364" t="str">
        <f>"777691"</f>
        <v>777691</v>
      </c>
      <c r="B4364" t="s">
        <v>26853</v>
      </c>
      <c r="C4364" t="s">
        <v>2678</v>
      </c>
      <c r="D4364" s="21" t="s">
        <v>34</v>
      </c>
      <c r="E4364" s="21" t="s">
        <v>35</v>
      </c>
      <c r="F4364">
        <v>8771029</v>
      </c>
      <c r="G4364" t="s">
        <v>4447</v>
      </c>
      <c r="H4364" s="21">
        <v>1231.67</v>
      </c>
    </row>
    <row r="4365" spans="1:8" customFormat="1" x14ac:dyDescent="0.25">
      <c r="A4365" t="str">
        <f>"065842"</f>
        <v>065842</v>
      </c>
      <c r="B4365" t="s">
        <v>4174</v>
      </c>
      <c r="C4365" t="s">
        <v>171</v>
      </c>
      <c r="D4365" s="21" t="s">
        <v>34</v>
      </c>
      <c r="E4365" s="21" t="s">
        <v>35</v>
      </c>
      <c r="F4365">
        <v>13060064</v>
      </c>
      <c r="G4365" t="s">
        <v>976</v>
      </c>
      <c r="H4365" s="21">
        <v>1231.55</v>
      </c>
    </row>
    <row r="4366" spans="1:8" customFormat="1" x14ac:dyDescent="0.25">
      <c r="A4366" t="str">
        <f>"3411647"</f>
        <v>3411647</v>
      </c>
      <c r="B4366" t="s">
        <v>5912</v>
      </c>
      <c r="C4366" t="s">
        <v>249</v>
      </c>
      <c r="D4366" s="21" t="s">
        <v>34</v>
      </c>
      <c r="E4366" s="21" t="s">
        <v>254</v>
      </c>
      <c r="F4366">
        <v>13830025</v>
      </c>
      <c r="G4366" t="s">
        <v>106</v>
      </c>
      <c r="H4366" s="21">
        <v>1231.54</v>
      </c>
    </row>
    <row r="4367" spans="1:8" customFormat="1" x14ac:dyDescent="0.25">
      <c r="A4367" t="str">
        <f>"866772"</f>
        <v>866772</v>
      </c>
      <c r="B4367" t="s">
        <v>26854</v>
      </c>
      <c r="C4367" t="s">
        <v>198</v>
      </c>
      <c r="D4367" s="21" t="s">
        <v>34</v>
      </c>
      <c r="E4367" s="21" t="s">
        <v>35</v>
      </c>
      <c r="F4367">
        <v>10860006</v>
      </c>
      <c r="G4367" t="s">
        <v>3004</v>
      </c>
      <c r="H4367" s="21">
        <v>1231.42</v>
      </c>
    </row>
    <row r="4368" spans="1:8" customFormat="1" x14ac:dyDescent="0.25">
      <c r="A4368" t="str">
        <f>"5316596"</f>
        <v>5316596</v>
      </c>
      <c r="B4368" t="s">
        <v>5328</v>
      </c>
      <c r="C4368" t="s">
        <v>3355</v>
      </c>
      <c r="D4368" s="21" t="s">
        <v>34</v>
      </c>
      <c r="E4368" s="21" t="s">
        <v>35</v>
      </c>
      <c r="F4368">
        <v>12530114</v>
      </c>
      <c r="G4368" t="s">
        <v>1342</v>
      </c>
      <c r="H4368" s="21">
        <v>1231.17</v>
      </c>
    </row>
    <row r="4369" spans="1:8" customFormat="1" x14ac:dyDescent="0.25">
      <c r="A4369" t="str">
        <f>"45412"</f>
        <v>45412</v>
      </c>
      <c r="B4369" t="s">
        <v>5388</v>
      </c>
      <c r="C4369" t="s">
        <v>202</v>
      </c>
      <c r="D4369" s="21" t="s">
        <v>34</v>
      </c>
      <c r="E4369" s="21" t="s">
        <v>254</v>
      </c>
      <c r="F4369">
        <v>4450706</v>
      </c>
      <c r="G4369" t="s">
        <v>4482</v>
      </c>
      <c r="H4369" s="21">
        <v>1231.17</v>
      </c>
    </row>
    <row r="4370" spans="1:8" customFormat="1" x14ac:dyDescent="0.25">
      <c r="A4370" t="str">
        <f>"1716747"</f>
        <v>1716747</v>
      </c>
      <c r="B4370" t="s">
        <v>26855</v>
      </c>
      <c r="C4370" t="s">
        <v>8618</v>
      </c>
      <c r="D4370" s="21" t="s">
        <v>34</v>
      </c>
      <c r="E4370" s="21" t="s">
        <v>35</v>
      </c>
      <c r="F4370">
        <v>10170009</v>
      </c>
      <c r="G4370" t="s">
        <v>3810</v>
      </c>
      <c r="H4370" s="21">
        <v>1231.17</v>
      </c>
    </row>
    <row r="4371" spans="1:8" customFormat="1" x14ac:dyDescent="0.25">
      <c r="A4371" t="str">
        <f>"4448573"</f>
        <v>4448573</v>
      </c>
      <c r="B4371" t="s">
        <v>5223</v>
      </c>
      <c r="C4371" t="s">
        <v>60</v>
      </c>
      <c r="D4371" s="21" t="s">
        <v>34</v>
      </c>
      <c r="E4371" s="21" t="s">
        <v>35</v>
      </c>
      <c r="F4371">
        <v>12440070</v>
      </c>
      <c r="G4371" t="s">
        <v>5224</v>
      </c>
      <c r="H4371" s="21">
        <v>1231.17</v>
      </c>
    </row>
    <row r="4372" spans="1:8" customFormat="1" x14ac:dyDescent="0.25">
      <c r="A4372" t="str">
        <f>"52562"</f>
        <v>52562</v>
      </c>
      <c r="B4372" t="s">
        <v>5151</v>
      </c>
      <c r="C4372" t="s">
        <v>60</v>
      </c>
      <c r="D4372" s="21" t="s">
        <v>34</v>
      </c>
      <c r="E4372" s="21" t="s">
        <v>35</v>
      </c>
      <c r="F4372">
        <v>6520004</v>
      </c>
      <c r="G4372" t="s">
        <v>5152</v>
      </c>
      <c r="H4372" s="21">
        <v>1231.05</v>
      </c>
    </row>
    <row r="4373" spans="1:8" customFormat="1" x14ac:dyDescent="0.25">
      <c r="A4373" t="str">
        <f>"776888"</f>
        <v>776888</v>
      </c>
      <c r="B4373" t="s">
        <v>5150</v>
      </c>
      <c r="C4373" t="s">
        <v>60</v>
      </c>
      <c r="D4373" s="21" t="s">
        <v>34</v>
      </c>
      <c r="E4373" s="21" t="s">
        <v>35</v>
      </c>
      <c r="F4373">
        <v>8771446</v>
      </c>
      <c r="G4373" t="s">
        <v>830</v>
      </c>
      <c r="H4373" s="21">
        <v>1230.92</v>
      </c>
    </row>
    <row r="4374" spans="1:8" customFormat="1" x14ac:dyDescent="0.25">
      <c r="A4374" t="str">
        <f>"4425138"</f>
        <v>4425138</v>
      </c>
      <c r="B4374" t="s">
        <v>6098</v>
      </c>
      <c r="C4374" t="s">
        <v>253</v>
      </c>
      <c r="D4374" s="21" t="s">
        <v>34</v>
      </c>
      <c r="E4374" s="21" t="s">
        <v>254</v>
      </c>
      <c r="F4374">
        <v>12440012</v>
      </c>
      <c r="G4374" t="s">
        <v>807</v>
      </c>
      <c r="H4374" s="21">
        <v>1230.92</v>
      </c>
    </row>
    <row r="4375" spans="1:8" customFormat="1" x14ac:dyDescent="0.25">
      <c r="A4375" t="str">
        <f>"8810689"</f>
        <v>8810689</v>
      </c>
      <c r="B4375" t="s">
        <v>5807</v>
      </c>
      <c r="C4375" t="s">
        <v>204</v>
      </c>
      <c r="D4375" s="21" t="s">
        <v>34</v>
      </c>
      <c r="E4375" s="21" t="s">
        <v>71</v>
      </c>
      <c r="F4375">
        <v>6880145</v>
      </c>
      <c r="G4375" t="s">
        <v>1303</v>
      </c>
      <c r="H4375" s="21">
        <v>1230.67</v>
      </c>
    </row>
    <row r="4376" spans="1:8" customFormat="1" x14ac:dyDescent="0.25">
      <c r="A4376" t="str">
        <f>"251143"</f>
        <v>251143</v>
      </c>
      <c r="B4376" t="s">
        <v>5320</v>
      </c>
      <c r="C4376" t="s">
        <v>1110</v>
      </c>
      <c r="D4376" s="21" t="s">
        <v>34</v>
      </c>
      <c r="E4376" s="21" t="s">
        <v>1089</v>
      </c>
      <c r="F4376">
        <v>2250066</v>
      </c>
      <c r="G4376" t="s">
        <v>5321</v>
      </c>
      <c r="H4376" s="21">
        <v>1230.67</v>
      </c>
    </row>
    <row r="4377" spans="1:8" customFormat="1" x14ac:dyDescent="0.25">
      <c r="A4377" t="str">
        <f>"1611227"</f>
        <v>1611227</v>
      </c>
      <c r="B4377" t="s">
        <v>2656</v>
      </c>
      <c r="C4377" t="s">
        <v>87</v>
      </c>
      <c r="D4377" s="21" t="s">
        <v>34</v>
      </c>
      <c r="E4377" s="21" t="s">
        <v>35</v>
      </c>
      <c r="F4377">
        <v>10160029</v>
      </c>
      <c r="G4377" t="s">
        <v>896</v>
      </c>
      <c r="H4377" s="21">
        <v>1230.67</v>
      </c>
    </row>
    <row r="4378" spans="1:8" customFormat="1" x14ac:dyDescent="0.25">
      <c r="A4378" t="str">
        <f>"85884"</f>
        <v>85884</v>
      </c>
      <c r="B4378" t="s">
        <v>5344</v>
      </c>
      <c r="C4378" t="s">
        <v>415</v>
      </c>
      <c r="D4378" s="21" t="s">
        <v>34</v>
      </c>
      <c r="E4378" s="21" t="s">
        <v>71</v>
      </c>
      <c r="F4378">
        <v>12850024</v>
      </c>
      <c r="G4378" t="s">
        <v>140</v>
      </c>
      <c r="H4378" s="21">
        <v>1230.67</v>
      </c>
    </row>
    <row r="4379" spans="1:8" customFormat="1" x14ac:dyDescent="0.25">
      <c r="A4379" t="str">
        <f>"784742"</f>
        <v>784742</v>
      </c>
      <c r="B4379" t="s">
        <v>4322</v>
      </c>
      <c r="C4379" t="s">
        <v>1946</v>
      </c>
      <c r="D4379" s="21" t="s">
        <v>34</v>
      </c>
      <c r="E4379" s="21" t="s">
        <v>35</v>
      </c>
      <c r="F4379">
        <v>8781017</v>
      </c>
      <c r="G4379" t="s">
        <v>2581</v>
      </c>
      <c r="H4379" s="21">
        <v>1230.67</v>
      </c>
    </row>
    <row r="4380" spans="1:8" customFormat="1" x14ac:dyDescent="0.25">
      <c r="A4380" t="str">
        <f>"5956882"</f>
        <v>5956882</v>
      </c>
      <c r="B4380" t="s">
        <v>5051</v>
      </c>
      <c r="C4380" t="s">
        <v>121</v>
      </c>
      <c r="D4380" s="21" t="s">
        <v>34</v>
      </c>
      <c r="E4380" s="21" t="s">
        <v>35</v>
      </c>
      <c r="F4380">
        <v>7590100</v>
      </c>
      <c r="G4380" t="s">
        <v>1660</v>
      </c>
      <c r="H4380" s="21">
        <v>1230.67</v>
      </c>
    </row>
    <row r="4381" spans="1:8" customFormat="1" x14ac:dyDescent="0.25">
      <c r="A4381" t="str">
        <f>"6010299"</f>
        <v>6010299</v>
      </c>
      <c r="B4381" t="s">
        <v>4644</v>
      </c>
      <c r="C4381" t="s">
        <v>4645</v>
      </c>
      <c r="D4381" s="21" t="s">
        <v>34</v>
      </c>
      <c r="E4381" s="21" t="s">
        <v>71</v>
      </c>
      <c r="F4381">
        <v>7600008</v>
      </c>
      <c r="G4381" t="s">
        <v>4646</v>
      </c>
      <c r="H4381" s="21">
        <v>1230.67</v>
      </c>
    </row>
    <row r="4382" spans="1:8" customFormat="1" x14ac:dyDescent="0.25">
      <c r="A4382" t="str">
        <f>"417747"</f>
        <v>417747</v>
      </c>
      <c r="B4382" t="s">
        <v>4983</v>
      </c>
      <c r="C4382" t="s">
        <v>169</v>
      </c>
      <c r="D4382" s="21" t="s">
        <v>34</v>
      </c>
      <c r="E4382" s="21" t="s">
        <v>35</v>
      </c>
      <c r="F4382">
        <v>10860044</v>
      </c>
      <c r="G4382" t="s">
        <v>4984</v>
      </c>
      <c r="H4382" s="21">
        <v>1230.67</v>
      </c>
    </row>
    <row r="4383" spans="1:8" customFormat="1" x14ac:dyDescent="0.25">
      <c r="A4383" t="str">
        <f>"676906"</f>
        <v>676906</v>
      </c>
      <c r="B4383" t="s">
        <v>5171</v>
      </c>
      <c r="C4383" t="s">
        <v>269</v>
      </c>
      <c r="D4383" s="21" t="s">
        <v>34</v>
      </c>
      <c r="E4383" s="21" t="s">
        <v>71</v>
      </c>
      <c r="F4383">
        <v>6670187</v>
      </c>
      <c r="G4383" t="s">
        <v>240</v>
      </c>
      <c r="H4383" s="21">
        <v>1230.67</v>
      </c>
    </row>
    <row r="4384" spans="1:8" customFormat="1" x14ac:dyDescent="0.25">
      <c r="A4384" t="str">
        <f>"3511204"</f>
        <v>3511204</v>
      </c>
      <c r="B4384" t="s">
        <v>5139</v>
      </c>
      <c r="C4384" t="s">
        <v>60</v>
      </c>
      <c r="D4384" s="21" t="s">
        <v>34</v>
      </c>
      <c r="E4384" s="21" t="s">
        <v>35</v>
      </c>
      <c r="F4384">
        <v>3350009</v>
      </c>
      <c r="G4384" t="s">
        <v>1823</v>
      </c>
      <c r="H4384" s="21">
        <v>1230.55</v>
      </c>
    </row>
    <row r="4385" spans="1:8" customFormat="1" x14ac:dyDescent="0.25">
      <c r="A4385" t="str">
        <f>"736288"</f>
        <v>736288</v>
      </c>
      <c r="B4385" t="s">
        <v>4671</v>
      </c>
      <c r="C4385" t="s">
        <v>55</v>
      </c>
      <c r="D4385" s="21" t="s">
        <v>34</v>
      </c>
      <c r="E4385" s="21" t="s">
        <v>35</v>
      </c>
      <c r="F4385">
        <v>1730076</v>
      </c>
      <c r="G4385" t="s">
        <v>936</v>
      </c>
      <c r="H4385" s="21">
        <v>1230.42</v>
      </c>
    </row>
    <row r="4386" spans="1:8" customFormat="1" x14ac:dyDescent="0.25">
      <c r="A4386" t="str">
        <f>"7827088"</f>
        <v>7827088</v>
      </c>
      <c r="B4386" t="s">
        <v>889</v>
      </c>
      <c r="C4386" t="s">
        <v>169</v>
      </c>
      <c r="D4386" s="21" t="s">
        <v>34</v>
      </c>
      <c r="E4386" s="21" t="s">
        <v>71</v>
      </c>
      <c r="F4386">
        <v>8940482</v>
      </c>
      <c r="G4386" t="s">
        <v>2560</v>
      </c>
      <c r="H4386" s="21">
        <v>1230.29</v>
      </c>
    </row>
    <row r="4387" spans="1:8" customFormat="1" x14ac:dyDescent="0.25">
      <c r="A4387" t="str">
        <f>"593110"</f>
        <v>593110</v>
      </c>
      <c r="B4387" t="s">
        <v>16156</v>
      </c>
      <c r="C4387" t="s">
        <v>109</v>
      </c>
      <c r="D4387" s="21" t="s">
        <v>34</v>
      </c>
      <c r="E4387" s="21" t="s">
        <v>35</v>
      </c>
      <c r="F4387">
        <v>7590271</v>
      </c>
      <c r="G4387" t="s">
        <v>3163</v>
      </c>
      <c r="H4387" s="21">
        <v>1230.17</v>
      </c>
    </row>
    <row r="4388" spans="1:8" customFormat="1" x14ac:dyDescent="0.25">
      <c r="A4388" t="str">
        <f>"186741"</f>
        <v>186741</v>
      </c>
      <c r="B4388" t="s">
        <v>1027</v>
      </c>
      <c r="C4388" t="s">
        <v>90</v>
      </c>
      <c r="D4388" s="21" t="s">
        <v>34</v>
      </c>
      <c r="E4388" s="21" t="s">
        <v>35</v>
      </c>
      <c r="F4388">
        <v>4180737</v>
      </c>
      <c r="G4388" t="s">
        <v>26856</v>
      </c>
      <c r="H4388" s="21">
        <v>1230.17</v>
      </c>
    </row>
    <row r="4389" spans="1:8" customFormat="1" x14ac:dyDescent="0.25">
      <c r="A4389" t="str">
        <f>"37302"</f>
        <v>37302</v>
      </c>
      <c r="B4389" t="s">
        <v>6087</v>
      </c>
      <c r="C4389" t="s">
        <v>2520</v>
      </c>
      <c r="D4389" s="21" t="s">
        <v>34</v>
      </c>
      <c r="E4389" s="21" t="s">
        <v>254</v>
      </c>
      <c r="F4389">
        <v>4370566</v>
      </c>
      <c r="G4389" t="s">
        <v>4710</v>
      </c>
      <c r="H4389" s="21">
        <v>1230.17</v>
      </c>
    </row>
    <row r="4390" spans="1:8" customFormat="1" x14ac:dyDescent="0.25">
      <c r="A4390" t="str">
        <f>"446942"</f>
        <v>446942</v>
      </c>
      <c r="B4390" t="s">
        <v>5414</v>
      </c>
      <c r="C4390" t="s">
        <v>246</v>
      </c>
      <c r="D4390" s="21" t="s">
        <v>34</v>
      </c>
      <c r="E4390" s="21" t="s">
        <v>35</v>
      </c>
      <c r="F4390">
        <v>12440138</v>
      </c>
      <c r="G4390" t="s">
        <v>562</v>
      </c>
      <c r="H4390" s="21">
        <v>1230.17</v>
      </c>
    </row>
    <row r="4391" spans="1:8" customFormat="1" x14ac:dyDescent="0.25">
      <c r="A4391" t="str">
        <f>"9213865"</f>
        <v>9213865</v>
      </c>
      <c r="B4391" t="s">
        <v>6119</v>
      </c>
      <c r="C4391" t="s">
        <v>169</v>
      </c>
      <c r="D4391" s="21" t="s">
        <v>34</v>
      </c>
      <c r="E4391" s="21" t="s">
        <v>35</v>
      </c>
      <c r="F4391">
        <v>11340007</v>
      </c>
      <c r="G4391" t="s">
        <v>2278</v>
      </c>
      <c r="H4391" s="21">
        <v>1230.17</v>
      </c>
    </row>
    <row r="4392" spans="1:8" customFormat="1" x14ac:dyDescent="0.25">
      <c r="A4392" t="str">
        <f>"0135"</f>
        <v>0135</v>
      </c>
      <c r="B4392" t="s">
        <v>5118</v>
      </c>
      <c r="C4392" t="s">
        <v>114</v>
      </c>
      <c r="D4392" s="21" t="s">
        <v>34</v>
      </c>
      <c r="E4392" s="21" t="s">
        <v>71</v>
      </c>
      <c r="F4392">
        <v>1010001</v>
      </c>
      <c r="G4392" t="s">
        <v>2161</v>
      </c>
      <c r="H4392" s="21">
        <v>1230.17</v>
      </c>
    </row>
    <row r="4393" spans="1:8" customFormat="1" x14ac:dyDescent="0.25">
      <c r="A4393" t="str">
        <f>"418530"</f>
        <v>418530</v>
      </c>
      <c r="B4393" t="s">
        <v>4183</v>
      </c>
      <c r="C4393" t="s">
        <v>119</v>
      </c>
      <c r="D4393" s="21" t="s">
        <v>34</v>
      </c>
      <c r="E4393" s="21" t="s">
        <v>71</v>
      </c>
      <c r="F4393">
        <v>4410083</v>
      </c>
      <c r="G4393" t="s">
        <v>2333</v>
      </c>
      <c r="H4393" s="21">
        <v>1230.17</v>
      </c>
    </row>
    <row r="4394" spans="1:8" customFormat="1" x14ac:dyDescent="0.25">
      <c r="A4394" t="str">
        <f>"135100"</f>
        <v>135100</v>
      </c>
      <c r="B4394" t="s">
        <v>3012</v>
      </c>
      <c r="C4394" t="s">
        <v>65</v>
      </c>
      <c r="D4394" s="21" t="s">
        <v>34</v>
      </c>
      <c r="E4394" s="21" t="s">
        <v>35</v>
      </c>
      <c r="F4394">
        <v>13130026</v>
      </c>
      <c r="G4394" t="s">
        <v>3792</v>
      </c>
      <c r="H4394" s="21">
        <v>1230.17</v>
      </c>
    </row>
    <row r="4395" spans="1:8" customFormat="1" x14ac:dyDescent="0.25">
      <c r="A4395" t="str">
        <f>"7623145"</f>
        <v>7623145</v>
      </c>
      <c r="B4395" t="s">
        <v>5670</v>
      </c>
      <c r="C4395" t="s">
        <v>462</v>
      </c>
      <c r="D4395" s="21" t="s">
        <v>34</v>
      </c>
      <c r="E4395" s="21" t="s">
        <v>71</v>
      </c>
      <c r="F4395">
        <v>9760218</v>
      </c>
      <c r="G4395" t="s">
        <v>26836</v>
      </c>
      <c r="H4395" s="21">
        <v>1230.17</v>
      </c>
    </row>
    <row r="4396" spans="1:8" customFormat="1" x14ac:dyDescent="0.25">
      <c r="A4396" t="str">
        <f>"7630179"</f>
        <v>7630179</v>
      </c>
      <c r="B4396" t="s">
        <v>5712</v>
      </c>
      <c r="C4396" t="s">
        <v>169</v>
      </c>
      <c r="D4396" s="21" t="s">
        <v>34</v>
      </c>
      <c r="E4396" s="21" t="s">
        <v>35</v>
      </c>
      <c r="F4396">
        <v>9760025</v>
      </c>
      <c r="G4396" t="s">
        <v>2620</v>
      </c>
      <c r="H4396" s="21">
        <v>1230.17</v>
      </c>
    </row>
    <row r="4397" spans="1:8" customFormat="1" x14ac:dyDescent="0.25">
      <c r="A4397" t="str">
        <f>"5920605"</f>
        <v>5920605</v>
      </c>
      <c r="B4397" t="s">
        <v>2028</v>
      </c>
      <c r="C4397" t="s">
        <v>2393</v>
      </c>
      <c r="D4397" s="21" t="s">
        <v>34</v>
      </c>
      <c r="E4397" s="21" t="s">
        <v>35</v>
      </c>
      <c r="F4397">
        <v>7620104</v>
      </c>
      <c r="G4397" t="s">
        <v>635</v>
      </c>
      <c r="H4397" s="21">
        <v>1230.05</v>
      </c>
    </row>
    <row r="4398" spans="1:8" customFormat="1" x14ac:dyDescent="0.25">
      <c r="A4398" t="str">
        <f>"5911179"</f>
        <v>5911179</v>
      </c>
      <c r="B4398" t="s">
        <v>4774</v>
      </c>
      <c r="C4398" t="s">
        <v>87</v>
      </c>
      <c r="D4398" s="21" t="s">
        <v>34</v>
      </c>
      <c r="E4398" s="21" t="s">
        <v>71</v>
      </c>
      <c r="F4398">
        <v>7590345</v>
      </c>
      <c r="G4398" t="s">
        <v>3297</v>
      </c>
      <c r="H4398" s="21">
        <v>1230</v>
      </c>
    </row>
    <row r="4399" spans="1:8" customFormat="1" x14ac:dyDescent="0.25">
      <c r="A4399" t="str">
        <f>"9518010"</f>
        <v>9518010</v>
      </c>
      <c r="B4399" t="s">
        <v>3191</v>
      </c>
      <c r="C4399" t="s">
        <v>4842</v>
      </c>
      <c r="D4399" s="21" t="s">
        <v>34</v>
      </c>
      <c r="E4399" s="21" t="s">
        <v>254</v>
      </c>
      <c r="F4399">
        <v>4450573</v>
      </c>
      <c r="G4399" t="s">
        <v>4106</v>
      </c>
      <c r="H4399" s="21">
        <v>1230</v>
      </c>
    </row>
    <row r="4400" spans="1:8" customFormat="1" x14ac:dyDescent="0.25">
      <c r="A4400" t="str">
        <f>"413704"</f>
        <v>413704</v>
      </c>
      <c r="B4400" t="s">
        <v>19473</v>
      </c>
      <c r="C4400" t="s">
        <v>576</v>
      </c>
      <c r="D4400" s="21" t="s">
        <v>34</v>
      </c>
      <c r="E4400" s="21" t="s">
        <v>35</v>
      </c>
      <c r="F4400">
        <v>4410612</v>
      </c>
      <c r="G4400" t="s">
        <v>815</v>
      </c>
      <c r="H4400" s="21">
        <v>1229.8</v>
      </c>
    </row>
    <row r="4401" spans="1:8" customFormat="1" x14ac:dyDescent="0.25">
      <c r="A4401" t="str">
        <f>"9A197"</f>
        <v>9A197</v>
      </c>
      <c r="B4401" t="s">
        <v>6317</v>
      </c>
      <c r="C4401" t="s">
        <v>60</v>
      </c>
      <c r="D4401" s="21" t="s">
        <v>34</v>
      </c>
      <c r="E4401" s="21" t="s">
        <v>35</v>
      </c>
      <c r="F4401" t="s">
        <v>1465</v>
      </c>
      <c r="G4401" t="s">
        <v>1466</v>
      </c>
      <c r="H4401" s="21">
        <v>1229.8</v>
      </c>
    </row>
    <row r="4402" spans="1:8" customFormat="1" x14ac:dyDescent="0.25">
      <c r="A4402" t="str">
        <f>"9131056"</f>
        <v>9131056</v>
      </c>
      <c r="B4402" t="s">
        <v>5105</v>
      </c>
      <c r="C4402" t="s">
        <v>1110</v>
      </c>
      <c r="D4402" s="21" t="s">
        <v>34</v>
      </c>
      <c r="E4402" s="21" t="s">
        <v>35</v>
      </c>
      <c r="F4402">
        <v>8911050</v>
      </c>
      <c r="G4402" t="s">
        <v>1606</v>
      </c>
      <c r="H4402" s="21">
        <v>1229.8</v>
      </c>
    </row>
    <row r="4403" spans="1:8" customFormat="1" x14ac:dyDescent="0.25">
      <c r="A4403" t="str">
        <f>"06449"</f>
        <v>06449</v>
      </c>
      <c r="B4403" t="s">
        <v>387</v>
      </c>
      <c r="C4403" t="s">
        <v>87</v>
      </c>
      <c r="D4403" s="21" t="s">
        <v>34</v>
      </c>
      <c r="E4403" s="21" t="s">
        <v>71</v>
      </c>
      <c r="F4403">
        <v>13060085</v>
      </c>
      <c r="G4403" t="s">
        <v>2703</v>
      </c>
      <c r="H4403" s="21">
        <v>1229.67</v>
      </c>
    </row>
    <row r="4404" spans="1:8" customFormat="1" x14ac:dyDescent="0.25">
      <c r="A4404" t="str">
        <f>"6021669"</f>
        <v>6021669</v>
      </c>
      <c r="B4404" t="s">
        <v>582</v>
      </c>
      <c r="C4404" t="s">
        <v>5093</v>
      </c>
      <c r="D4404" s="21" t="s">
        <v>34</v>
      </c>
      <c r="E4404" s="21" t="s">
        <v>35</v>
      </c>
      <c r="F4404">
        <v>7600008</v>
      </c>
      <c r="G4404" t="s">
        <v>4646</v>
      </c>
      <c r="H4404" s="21">
        <v>1229.67</v>
      </c>
    </row>
    <row r="4405" spans="1:8" customFormat="1" x14ac:dyDescent="0.25">
      <c r="A4405" t="str">
        <f>"599514"</f>
        <v>599514</v>
      </c>
      <c r="B4405" t="s">
        <v>4424</v>
      </c>
      <c r="C4405" t="s">
        <v>109</v>
      </c>
      <c r="D4405" s="21" t="s">
        <v>34</v>
      </c>
      <c r="E4405" s="21" t="s">
        <v>71</v>
      </c>
      <c r="F4405">
        <v>7590087</v>
      </c>
      <c r="G4405" t="s">
        <v>2112</v>
      </c>
      <c r="H4405" s="21">
        <v>1229.67</v>
      </c>
    </row>
    <row r="4406" spans="1:8" customFormat="1" x14ac:dyDescent="0.25">
      <c r="A4406" t="str">
        <f>"86385"</f>
        <v>86385</v>
      </c>
      <c r="B4406" t="s">
        <v>4278</v>
      </c>
      <c r="C4406" t="s">
        <v>288</v>
      </c>
      <c r="D4406" s="21" t="s">
        <v>34</v>
      </c>
      <c r="E4406" s="21" t="s">
        <v>71</v>
      </c>
      <c r="F4406">
        <v>10860021</v>
      </c>
      <c r="G4406" t="s">
        <v>26820</v>
      </c>
      <c r="H4406" s="21">
        <v>1229.67</v>
      </c>
    </row>
    <row r="4407" spans="1:8" customFormat="1" x14ac:dyDescent="0.25">
      <c r="A4407" t="str">
        <f>"45684"</f>
        <v>45684</v>
      </c>
      <c r="B4407" t="s">
        <v>5582</v>
      </c>
      <c r="C4407" t="s">
        <v>528</v>
      </c>
      <c r="D4407" s="21" t="s">
        <v>34</v>
      </c>
      <c r="E4407" s="21" t="s">
        <v>71</v>
      </c>
      <c r="F4407">
        <v>4450184</v>
      </c>
      <c r="G4407" t="s">
        <v>3956</v>
      </c>
      <c r="H4407" s="21">
        <v>1229.67</v>
      </c>
    </row>
    <row r="4408" spans="1:8" customFormat="1" x14ac:dyDescent="0.25">
      <c r="A4408" t="str">
        <f>"9237078"</f>
        <v>9237078</v>
      </c>
      <c r="B4408" t="s">
        <v>4702</v>
      </c>
      <c r="C4408" t="s">
        <v>3010</v>
      </c>
      <c r="D4408" s="21" t="s">
        <v>34</v>
      </c>
      <c r="E4408" s="21" t="s">
        <v>35</v>
      </c>
      <c r="F4408">
        <v>8920075</v>
      </c>
      <c r="G4408" t="s">
        <v>317</v>
      </c>
      <c r="H4408" s="21">
        <v>1229.67</v>
      </c>
    </row>
    <row r="4409" spans="1:8" customFormat="1" x14ac:dyDescent="0.25">
      <c r="A4409" t="str">
        <f>"7612880"</f>
        <v>7612880</v>
      </c>
      <c r="B4409" t="s">
        <v>6237</v>
      </c>
      <c r="C4409" t="s">
        <v>598</v>
      </c>
      <c r="D4409" s="21" t="s">
        <v>34</v>
      </c>
      <c r="E4409" s="21" t="s">
        <v>1089</v>
      </c>
      <c r="F4409">
        <v>10400013</v>
      </c>
      <c r="G4409" t="s">
        <v>6238</v>
      </c>
      <c r="H4409" s="21">
        <v>1229.42</v>
      </c>
    </row>
    <row r="4410" spans="1:8" customFormat="1" x14ac:dyDescent="0.25">
      <c r="A4410" t="str">
        <f>"7515743"</f>
        <v>7515743</v>
      </c>
      <c r="B4410" t="s">
        <v>1795</v>
      </c>
      <c r="C4410" t="s">
        <v>500</v>
      </c>
      <c r="D4410" s="21" t="s">
        <v>34</v>
      </c>
      <c r="E4410" s="21" t="s">
        <v>35</v>
      </c>
      <c r="F4410">
        <v>7020030</v>
      </c>
      <c r="G4410" t="s">
        <v>1796</v>
      </c>
      <c r="H4410" s="21">
        <v>1229.3800000000001</v>
      </c>
    </row>
    <row r="4411" spans="1:8" customFormat="1" x14ac:dyDescent="0.25">
      <c r="A4411" t="str">
        <f>"54888"</f>
        <v>54888</v>
      </c>
      <c r="B4411" t="s">
        <v>5433</v>
      </c>
      <c r="C4411" t="s">
        <v>40</v>
      </c>
      <c r="D4411" s="21" t="s">
        <v>34</v>
      </c>
      <c r="E4411" s="21" t="s">
        <v>71</v>
      </c>
      <c r="F4411">
        <v>6540040</v>
      </c>
      <c r="G4411" t="s">
        <v>256</v>
      </c>
      <c r="H4411" s="21">
        <v>1229.29</v>
      </c>
    </row>
    <row r="4412" spans="1:8" customFormat="1" x14ac:dyDescent="0.25">
      <c r="A4412" t="str">
        <f>"144423"</f>
        <v>144423</v>
      </c>
      <c r="B4412" t="s">
        <v>6594</v>
      </c>
      <c r="C4412" t="s">
        <v>260</v>
      </c>
      <c r="D4412" s="21" t="s">
        <v>34</v>
      </c>
      <c r="E4412" s="21" t="s">
        <v>35</v>
      </c>
      <c r="F4412">
        <v>9610031</v>
      </c>
      <c r="G4412" t="s">
        <v>1792</v>
      </c>
      <c r="H4412" s="21">
        <v>1229.17</v>
      </c>
    </row>
    <row r="4413" spans="1:8" customFormat="1" x14ac:dyDescent="0.25">
      <c r="A4413" t="str">
        <f>"298647"</f>
        <v>298647</v>
      </c>
      <c r="B4413" t="s">
        <v>5021</v>
      </c>
      <c r="C4413" t="s">
        <v>3355</v>
      </c>
      <c r="D4413" s="21" t="s">
        <v>34</v>
      </c>
      <c r="E4413" s="21" t="s">
        <v>35</v>
      </c>
      <c r="F4413">
        <v>3290226</v>
      </c>
      <c r="G4413" t="s">
        <v>4637</v>
      </c>
      <c r="H4413" s="21">
        <v>1229.17</v>
      </c>
    </row>
    <row r="4414" spans="1:8" customFormat="1" x14ac:dyDescent="0.25">
      <c r="A4414" t="str">
        <f>"283653"</f>
        <v>283653</v>
      </c>
      <c r="B4414" t="s">
        <v>2544</v>
      </c>
      <c r="C4414" t="s">
        <v>130</v>
      </c>
      <c r="D4414" s="21" t="s">
        <v>34</v>
      </c>
      <c r="E4414" s="21" t="s">
        <v>1089</v>
      </c>
      <c r="F4414">
        <v>4280004</v>
      </c>
      <c r="G4414" t="s">
        <v>91</v>
      </c>
      <c r="H4414" s="21">
        <v>1229.17</v>
      </c>
    </row>
    <row r="4415" spans="1:8" customFormat="1" x14ac:dyDescent="0.25">
      <c r="A4415" t="str">
        <f>"7843574"</f>
        <v>7843574</v>
      </c>
      <c r="B4415" t="s">
        <v>4929</v>
      </c>
      <c r="C4415" t="s">
        <v>1819</v>
      </c>
      <c r="D4415" s="21" t="s">
        <v>34</v>
      </c>
      <c r="E4415" s="21" t="s">
        <v>71</v>
      </c>
      <c r="F4415">
        <v>8780871</v>
      </c>
      <c r="G4415" t="s">
        <v>3405</v>
      </c>
      <c r="H4415" s="21">
        <v>1229.17</v>
      </c>
    </row>
    <row r="4416" spans="1:8" customFormat="1" x14ac:dyDescent="0.25">
      <c r="A4416" t="str">
        <f>"576440"</f>
        <v>576440</v>
      </c>
      <c r="B4416" t="s">
        <v>6893</v>
      </c>
      <c r="C4416" t="s">
        <v>209</v>
      </c>
      <c r="D4416" s="21" t="s">
        <v>34</v>
      </c>
      <c r="E4416" s="21" t="s">
        <v>35</v>
      </c>
      <c r="F4416">
        <v>6570022</v>
      </c>
      <c r="G4416" t="s">
        <v>3870</v>
      </c>
      <c r="H4416" s="21">
        <v>1229.17</v>
      </c>
    </row>
    <row r="4417" spans="1:8" customFormat="1" x14ac:dyDescent="0.25">
      <c r="A4417" t="str">
        <f>"4922102"</f>
        <v>4922102</v>
      </c>
      <c r="B4417" t="s">
        <v>5222</v>
      </c>
      <c r="C4417" t="s">
        <v>4769</v>
      </c>
      <c r="D4417" s="21" t="s">
        <v>34</v>
      </c>
      <c r="E4417" s="21" t="s">
        <v>35</v>
      </c>
      <c r="F4417">
        <v>12440084</v>
      </c>
      <c r="G4417" t="s">
        <v>1014</v>
      </c>
      <c r="H4417" s="21">
        <v>1229.17</v>
      </c>
    </row>
    <row r="4418" spans="1:8" customFormat="1" x14ac:dyDescent="0.25">
      <c r="A4418" t="str">
        <f>"4438040"</f>
        <v>4438040</v>
      </c>
      <c r="B4418" t="s">
        <v>4980</v>
      </c>
      <c r="C4418" t="s">
        <v>209</v>
      </c>
      <c r="D4418" s="21" t="s">
        <v>34</v>
      </c>
      <c r="E4418" s="21" t="s">
        <v>71</v>
      </c>
      <c r="F4418">
        <v>12440011</v>
      </c>
      <c r="G4418" t="s">
        <v>5650</v>
      </c>
      <c r="H4418" s="21">
        <v>1228.92</v>
      </c>
    </row>
    <row r="4419" spans="1:8" customFormat="1" x14ac:dyDescent="0.25">
      <c r="A4419" t="str">
        <f>"596551"</f>
        <v>596551</v>
      </c>
      <c r="B4419" t="s">
        <v>4938</v>
      </c>
      <c r="C4419" t="s">
        <v>269</v>
      </c>
      <c r="D4419" s="21" t="s">
        <v>34</v>
      </c>
      <c r="E4419" s="21" t="s">
        <v>71</v>
      </c>
      <c r="F4419">
        <v>7620082</v>
      </c>
      <c r="G4419" t="s">
        <v>4939</v>
      </c>
      <c r="H4419" s="21">
        <v>1228.79</v>
      </c>
    </row>
    <row r="4420" spans="1:8" customFormat="1" x14ac:dyDescent="0.25">
      <c r="A4420" t="str">
        <f>"123060"</f>
        <v>123060</v>
      </c>
      <c r="B4420" t="s">
        <v>7827</v>
      </c>
      <c r="C4420" t="s">
        <v>2479</v>
      </c>
      <c r="D4420" s="21" t="s">
        <v>34</v>
      </c>
      <c r="E4420" s="21" t="s">
        <v>35</v>
      </c>
      <c r="F4420">
        <v>11120009</v>
      </c>
      <c r="G4420" t="s">
        <v>3369</v>
      </c>
      <c r="H4420" s="21">
        <v>1228.67</v>
      </c>
    </row>
    <row r="4421" spans="1:8" customFormat="1" x14ac:dyDescent="0.25">
      <c r="A4421" t="str">
        <f>"458063"</f>
        <v>458063</v>
      </c>
      <c r="B4421" t="s">
        <v>146</v>
      </c>
      <c r="C4421" t="s">
        <v>608</v>
      </c>
      <c r="D4421" s="21" t="s">
        <v>34</v>
      </c>
      <c r="E4421" s="21" t="s">
        <v>35</v>
      </c>
      <c r="F4421">
        <v>4450576</v>
      </c>
      <c r="G4421" t="s">
        <v>26857</v>
      </c>
      <c r="H4421" s="21">
        <v>1228.67</v>
      </c>
    </row>
    <row r="4422" spans="1:8" customFormat="1" x14ac:dyDescent="0.25">
      <c r="A4422" t="str">
        <f>"767045"</f>
        <v>767045</v>
      </c>
      <c r="B4422" t="s">
        <v>108</v>
      </c>
      <c r="C4422" t="s">
        <v>239</v>
      </c>
      <c r="D4422" s="21" t="s">
        <v>34</v>
      </c>
      <c r="E4422" s="21" t="s">
        <v>35</v>
      </c>
      <c r="F4422">
        <v>9270047</v>
      </c>
      <c r="G4422" t="s">
        <v>4420</v>
      </c>
      <c r="H4422" s="21">
        <v>1228.67</v>
      </c>
    </row>
    <row r="4423" spans="1:8" customFormat="1" x14ac:dyDescent="0.25">
      <c r="A4423" t="str">
        <f>"5914615"</f>
        <v>5914615</v>
      </c>
      <c r="B4423" t="s">
        <v>5891</v>
      </c>
      <c r="C4423" t="s">
        <v>198</v>
      </c>
      <c r="D4423" s="21" t="s">
        <v>34</v>
      </c>
      <c r="E4423" s="21" t="s">
        <v>35</v>
      </c>
      <c r="F4423">
        <v>7590044</v>
      </c>
      <c r="G4423" t="s">
        <v>2029</v>
      </c>
      <c r="H4423" s="21">
        <v>1228.67</v>
      </c>
    </row>
    <row r="4424" spans="1:8" customFormat="1" x14ac:dyDescent="0.25">
      <c r="A4424" t="str">
        <f>"011116"</f>
        <v>011116</v>
      </c>
      <c r="B4424" t="s">
        <v>5127</v>
      </c>
      <c r="C4424" t="s">
        <v>1812</v>
      </c>
      <c r="D4424" s="21" t="s">
        <v>34</v>
      </c>
      <c r="E4424" s="21" t="s">
        <v>71</v>
      </c>
      <c r="F4424">
        <v>1010060</v>
      </c>
      <c r="G4424" t="s">
        <v>5128</v>
      </c>
      <c r="H4424" s="21">
        <v>1228.67</v>
      </c>
    </row>
    <row r="4425" spans="1:8" customFormat="1" x14ac:dyDescent="0.25">
      <c r="A4425" t="str">
        <f>"136047"</f>
        <v>136047</v>
      </c>
      <c r="B4425" t="s">
        <v>5259</v>
      </c>
      <c r="C4425" t="s">
        <v>109</v>
      </c>
      <c r="D4425" s="21" t="s">
        <v>34</v>
      </c>
      <c r="E4425" s="21" t="s">
        <v>35</v>
      </c>
      <c r="F4425">
        <v>13130152</v>
      </c>
      <c r="G4425" t="s">
        <v>906</v>
      </c>
      <c r="H4425" s="21">
        <v>1228.67</v>
      </c>
    </row>
    <row r="4426" spans="1:8" customFormat="1" x14ac:dyDescent="0.25">
      <c r="A4426" t="str">
        <f>"451917"</f>
        <v>451917</v>
      </c>
      <c r="B4426" t="s">
        <v>5934</v>
      </c>
      <c r="C4426" t="s">
        <v>320</v>
      </c>
      <c r="D4426" s="21" t="s">
        <v>34</v>
      </c>
      <c r="E4426" s="21" t="s">
        <v>35</v>
      </c>
      <c r="F4426">
        <v>4450026</v>
      </c>
      <c r="G4426" t="s">
        <v>291</v>
      </c>
      <c r="H4426" s="21">
        <v>1228.67</v>
      </c>
    </row>
    <row r="4427" spans="1:8" customFormat="1" x14ac:dyDescent="0.25">
      <c r="A4427" t="str">
        <f>"25117"</f>
        <v>25117</v>
      </c>
      <c r="B4427" t="s">
        <v>4845</v>
      </c>
      <c r="C4427" t="s">
        <v>249</v>
      </c>
      <c r="D4427" s="21" t="s">
        <v>34</v>
      </c>
      <c r="E4427" s="21" t="s">
        <v>71</v>
      </c>
      <c r="F4427">
        <v>2250193</v>
      </c>
      <c r="G4427" t="s">
        <v>2584</v>
      </c>
      <c r="H4427" s="21">
        <v>1228.42</v>
      </c>
    </row>
    <row r="4428" spans="1:8" customFormat="1" x14ac:dyDescent="0.25">
      <c r="A4428" t="str">
        <f>"5314841"</f>
        <v>5314841</v>
      </c>
      <c r="B4428" t="s">
        <v>5195</v>
      </c>
      <c r="C4428" t="s">
        <v>40</v>
      </c>
      <c r="D4428" s="21" t="s">
        <v>34</v>
      </c>
      <c r="E4428" s="21" t="s">
        <v>71</v>
      </c>
      <c r="F4428">
        <v>12530050</v>
      </c>
      <c r="G4428" t="s">
        <v>5196</v>
      </c>
      <c r="H4428" s="21">
        <v>1228.17</v>
      </c>
    </row>
    <row r="4429" spans="1:8" customFormat="1" x14ac:dyDescent="0.25">
      <c r="A4429" t="str">
        <f>"637513"</f>
        <v>637513</v>
      </c>
      <c r="B4429" t="s">
        <v>509</v>
      </c>
      <c r="C4429" t="s">
        <v>33</v>
      </c>
      <c r="D4429" s="21" t="s">
        <v>34</v>
      </c>
      <c r="E4429" s="21" t="s">
        <v>35</v>
      </c>
      <c r="F4429">
        <v>1630249</v>
      </c>
      <c r="G4429" t="s">
        <v>1237</v>
      </c>
      <c r="H4429" s="21">
        <v>1228.17</v>
      </c>
    </row>
    <row r="4430" spans="1:8" customFormat="1" x14ac:dyDescent="0.25">
      <c r="A4430" t="str">
        <f>"507649"</f>
        <v>507649</v>
      </c>
      <c r="B4430" t="s">
        <v>5563</v>
      </c>
      <c r="C4430" t="s">
        <v>263</v>
      </c>
      <c r="D4430" s="21" t="s">
        <v>34</v>
      </c>
      <c r="E4430" s="21" t="s">
        <v>35</v>
      </c>
      <c r="F4430">
        <v>9500013</v>
      </c>
      <c r="G4430" t="s">
        <v>992</v>
      </c>
      <c r="H4430" s="21">
        <v>1228.17</v>
      </c>
    </row>
    <row r="4431" spans="1:8" customFormat="1" x14ac:dyDescent="0.25">
      <c r="A4431" t="str">
        <f>"5712294"</f>
        <v>5712294</v>
      </c>
      <c r="B4431" t="s">
        <v>146</v>
      </c>
      <c r="C4431" t="s">
        <v>1786</v>
      </c>
      <c r="D4431" s="21" t="s">
        <v>34</v>
      </c>
      <c r="E4431" s="21" t="s">
        <v>35</v>
      </c>
      <c r="F4431">
        <v>6570111</v>
      </c>
      <c r="G4431" t="s">
        <v>99</v>
      </c>
      <c r="H4431" s="21">
        <v>1228.17</v>
      </c>
    </row>
    <row r="4432" spans="1:8" customFormat="1" x14ac:dyDescent="0.25">
      <c r="A4432" t="str">
        <f>"605748"</f>
        <v>605748</v>
      </c>
      <c r="B4432" t="s">
        <v>3804</v>
      </c>
      <c r="C4432" t="s">
        <v>98</v>
      </c>
      <c r="D4432" s="21" t="s">
        <v>34</v>
      </c>
      <c r="E4432" s="21" t="s">
        <v>35</v>
      </c>
      <c r="F4432">
        <v>7600043</v>
      </c>
      <c r="G4432" t="s">
        <v>1928</v>
      </c>
      <c r="H4432" s="21">
        <v>1228.17</v>
      </c>
    </row>
    <row r="4433" spans="1:8" customFormat="1" x14ac:dyDescent="0.25">
      <c r="A4433" t="str">
        <f>"855714"</f>
        <v>855714</v>
      </c>
      <c r="B4433" t="s">
        <v>537</v>
      </c>
      <c r="C4433" t="s">
        <v>486</v>
      </c>
      <c r="D4433" s="21" t="s">
        <v>34</v>
      </c>
      <c r="E4433" s="21" t="s">
        <v>71</v>
      </c>
      <c r="F4433">
        <v>12850148</v>
      </c>
      <c r="G4433" t="s">
        <v>2380</v>
      </c>
      <c r="H4433" s="21">
        <v>1227.67</v>
      </c>
    </row>
    <row r="4434" spans="1:8" customFormat="1" x14ac:dyDescent="0.25">
      <c r="A4434" t="str">
        <f>"1418539"</f>
        <v>1418539</v>
      </c>
      <c r="B4434" t="s">
        <v>5547</v>
      </c>
      <c r="C4434" t="s">
        <v>3784</v>
      </c>
      <c r="D4434" s="21" t="s">
        <v>34</v>
      </c>
      <c r="E4434" s="21" t="s">
        <v>254</v>
      </c>
      <c r="F4434">
        <v>9140234</v>
      </c>
      <c r="G4434" t="s">
        <v>5548</v>
      </c>
      <c r="H4434" s="21">
        <v>1227.67</v>
      </c>
    </row>
    <row r="4435" spans="1:8" customFormat="1" x14ac:dyDescent="0.25">
      <c r="A4435" t="str">
        <f>"4922100"</f>
        <v>4922100</v>
      </c>
      <c r="B4435" t="s">
        <v>5037</v>
      </c>
      <c r="C4435" t="s">
        <v>608</v>
      </c>
      <c r="D4435" s="21" t="s">
        <v>34</v>
      </c>
      <c r="E4435" s="21" t="s">
        <v>35</v>
      </c>
      <c r="F4435">
        <v>12850043</v>
      </c>
      <c r="G4435" t="s">
        <v>4873</v>
      </c>
      <c r="H4435" s="21">
        <v>1227.67</v>
      </c>
    </row>
    <row r="4436" spans="1:8" customFormat="1" x14ac:dyDescent="0.25">
      <c r="A4436" t="str">
        <f>"4429882"</f>
        <v>4429882</v>
      </c>
      <c r="B4436" t="s">
        <v>5148</v>
      </c>
      <c r="C4436" t="s">
        <v>462</v>
      </c>
      <c r="D4436" s="21" t="s">
        <v>34</v>
      </c>
      <c r="E4436" s="21" t="s">
        <v>35</v>
      </c>
      <c r="F4436">
        <v>12440058</v>
      </c>
      <c r="G4436" t="s">
        <v>394</v>
      </c>
      <c r="H4436" s="21">
        <v>1227.67</v>
      </c>
    </row>
    <row r="4437" spans="1:8" customFormat="1" x14ac:dyDescent="0.25">
      <c r="A4437" t="str">
        <f>"7823991"</f>
        <v>7823991</v>
      </c>
      <c r="B4437" t="s">
        <v>630</v>
      </c>
      <c r="C4437" t="s">
        <v>576</v>
      </c>
      <c r="D4437" s="21" t="s">
        <v>34</v>
      </c>
      <c r="E4437" s="21" t="s">
        <v>35</v>
      </c>
      <c r="F4437">
        <v>10330004</v>
      </c>
      <c r="G4437" t="s">
        <v>525</v>
      </c>
      <c r="H4437" s="21">
        <v>1227.67</v>
      </c>
    </row>
    <row r="4438" spans="1:8" customFormat="1" x14ac:dyDescent="0.25">
      <c r="A4438" t="str">
        <f>"5010802"</f>
        <v>5010802</v>
      </c>
      <c r="B4438" t="s">
        <v>1264</v>
      </c>
      <c r="C4438" t="s">
        <v>4350</v>
      </c>
      <c r="D4438" s="21" t="s">
        <v>34</v>
      </c>
      <c r="E4438" s="21" t="s">
        <v>71</v>
      </c>
      <c r="F4438">
        <v>9500117</v>
      </c>
      <c r="G4438" t="s">
        <v>247</v>
      </c>
      <c r="H4438" s="21">
        <v>1227.67</v>
      </c>
    </row>
    <row r="4439" spans="1:8" customFormat="1" x14ac:dyDescent="0.25">
      <c r="A4439" t="str">
        <f>"621147"</f>
        <v>621147</v>
      </c>
      <c r="B4439" t="s">
        <v>4334</v>
      </c>
      <c r="C4439" t="s">
        <v>2479</v>
      </c>
      <c r="D4439" s="21" t="s">
        <v>34</v>
      </c>
      <c r="E4439" s="21" t="s">
        <v>254</v>
      </c>
      <c r="F4439">
        <v>7620110</v>
      </c>
      <c r="G4439" t="s">
        <v>2681</v>
      </c>
      <c r="H4439" s="21">
        <v>1227.67</v>
      </c>
    </row>
    <row r="4440" spans="1:8" customFormat="1" x14ac:dyDescent="0.25">
      <c r="A4440" t="str">
        <f>"508241"</f>
        <v>508241</v>
      </c>
      <c r="B4440" t="s">
        <v>5034</v>
      </c>
      <c r="C4440" t="s">
        <v>926</v>
      </c>
      <c r="D4440" s="21" t="s">
        <v>34</v>
      </c>
      <c r="E4440" s="21" t="s">
        <v>71</v>
      </c>
      <c r="F4440">
        <v>9500030</v>
      </c>
      <c r="G4440" t="s">
        <v>2166</v>
      </c>
      <c r="H4440" s="21">
        <v>1227.67</v>
      </c>
    </row>
    <row r="4441" spans="1:8" customFormat="1" x14ac:dyDescent="0.25">
      <c r="A4441" t="str">
        <f>"3712631"</f>
        <v>3712631</v>
      </c>
      <c r="B4441" t="s">
        <v>3273</v>
      </c>
      <c r="C4441" t="s">
        <v>719</v>
      </c>
      <c r="D4441" s="21" t="s">
        <v>34</v>
      </c>
      <c r="E4441" s="21" t="s">
        <v>35</v>
      </c>
      <c r="F4441">
        <v>4370478</v>
      </c>
      <c r="G4441" t="s">
        <v>4735</v>
      </c>
      <c r="H4441" s="21">
        <v>1227.54</v>
      </c>
    </row>
    <row r="4442" spans="1:8" customFormat="1" x14ac:dyDescent="0.25">
      <c r="A4442" t="str">
        <f>"859396"</f>
        <v>859396</v>
      </c>
      <c r="B4442" t="s">
        <v>2231</v>
      </c>
      <c r="C4442" t="s">
        <v>926</v>
      </c>
      <c r="D4442" s="21" t="s">
        <v>34</v>
      </c>
      <c r="E4442" s="21" t="s">
        <v>71</v>
      </c>
      <c r="F4442">
        <v>12851025</v>
      </c>
      <c r="G4442" t="s">
        <v>26858</v>
      </c>
      <c r="H4442" s="21">
        <v>1227.43</v>
      </c>
    </row>
    <row r="4443" spans="1:8" customFormat="1" x14ac:dyDescent="0.25">
      <c r="A4443" t="str">
        <f>"7218842"</f>
        <v>7218842</v>
      </c>
      <c r="B4443" t="s">
        <v>5219</v>
      </c>
      <c r="C4443" t="s">
        <v>260</v>
      </c>
      <c r="D4443" s="21" t="s">
        <v>34</v>
      </c>
      <c r="E4443" s="21" t="s">
        <v>71</v>
      </c>
      <c r="F4443">
        <v>12720104</v>
      </c>
      <c r="G4443" t="s">
        <v>224</v>
      </c>
      <c r="H4443" s="21">
        <v>1227.3</v>
      </c>
    </row>
    <row r="4444" spans="1:8" customFormat="1" x14ac:dyDescent="0.25">
      <c r="A4444" t="str">
        <f>"2710445"</f>
        <v>2710445</v>
      </c>
      <c r="B4444" t="s">
        <v>5125</v>
      </c>
      <c r="C4444" t="s">
        <v>55</v>
      </c>
      <c r="D4444" s="21" t="s">
        <v>34</v>
      </c>
      <c r="E4444" s="21" t="s">
        <v>35</v>
      </c>
      <c r="F4444">
        <v>9270168</v>
      </c>
      <c r="G4444" t="s">
        <v>5126</v>
      </c>
      <c r="H4444" s="21">
        <v>1227.17</v>
      </c>
    </row>
    <row r="4445" spans="1:8" customFormat="1" x14ac:dyDescent="0.25">
      <c r="A4445" t="str">
        <f>"277624"</f>
        <v>277624</v>
      </c>
      <c r="B4445" t="s">
        <v>651</v>
      </c>
      <c r="C4445" t="s">
        <v>209</v>
      </c>
      <c r="D4445" s="21" t="s">
        <v>34</v>
      </c>
      <c r="E4445" s="21" t="s">
        <v>71</v>
      </c>
      <c r="F4445">
        <v>9270104</v>
      </c>
      <c r="G4445" t="s">
        <v>2456</v>
      </c>
      <c r="H4445" s="21">
        <v>1227.17</v>
      </c>
    </row>
    <row r="4446" spans="1:8" customFormat="1" x14ac:dyDescent="0.25">
      <c r="A4446" t="str">
        <f>"664569"</f>
        <v>664569</v>
      </c>
      <c r="B4446" t="s">
        <v>5839</v>
      </c>
      <c r="C4446" t="s">
        <v>65</v>
      </c>
      <c r="D4446" s="21" t="s">
        <v>34</v>
      </c>
      <c r="E4446" s="21" t="s">
        <v>35</v>
      </c>
      <c r="F4446">
        <v>11660007</v>
      </c>
      <c r="G4446" t="s">
        <v>5840</v>
      </c>
      <c r="H4446" s="21">
        <v>1227.17</v>
      </c>
    </row>
    <row r="4447" spans="1:8" customFormat="1" x14ac:dyDescent="0.25">
      <c r="A4447" t="str">
        <f>"76148"</f>
        <v>76148</v>
      </c>
      <c r="B4447" t="s">
        <v>2564</v>
      </c>
      <c r="C4447" t="s">
        <v>2529</v>
      </c>
      <c r="D4447" s="21" t="s">
        <v>34</v>
      </c>
      <c r="E4447" s="21" t="s">
        <v>254</v>
      </c>
      <c r="F4447">
        <v>9760004</v>
      </c>
      <c r="G4447" t="s">
        <v>56</v>
      </c>
      <c r="H4447" s="21">
        <v>1227.17</v>
      </c>
    </row>
    <row r="4448" spans="1:8" customFormat="1" x14ac:dyDescent="0.25">
      <c r="A4448" t="str">
        <f>"179866"</f>
        <v>179866</v>
      </c>
      <c r="B4448" t="s">
        <v>2082</v>
      </c>
      <c r="C4448" t="s">
        <v>40</v>
      </c>
      <c r="D4448" s="21" t="s">
        <v>34</v>
      </c>
      <c r="E4448" s="21" t="s">
        <v>71</v>
      </c>
      <c r="F4448">
        <v>10170005</v>
      </c>
      <c r="G4448" t="s">
        <v>4290</v>
      </c>
      <c r="H4448" s="21">
        <v>1227.17</v>
      </c>
    </row>
    <row r="4449" spans="1:8" customFormat="1" x14ac:dyDescent="0.25">
      <c r="A4449" t="str">
        <f>"854349"</f>
        <v>854349</v>
      </c>
      <c r="B4449" t="s">
        <v>5954</v>
      </c>
      <c r="C4449" t="s">
        <v>2475</v>
      </c>
      <c r="D4449" s="21" t="s">
        <v>34</v>
      </c>
      <c r="E4449" s="21" t="s">
        <v>35</v>
      </c>
      <c r="F4449">
        <v>12850148</v>
      </c>
      <c r="G4449" t="s">
        <v>2380</v>
      </c>
      <c r="H4449" s="21">
        <v>1227.17</v>
      </c>
    </row>
    <row r="4450" spans="1:8" customFormat="1" x14ac:dyDescent="0.25">
      <c r="A4450" t="str">
        <f>"51159"</f>
        <v>51159</v>
      </c>
      <c r="B4450" t="s">
        <v>5461</v>
      </c>
      <c r="C4450" t="s">
        <v>249</v>
      </c>
      <c r="D4450" s="21" t="s">
        <v>34</v>
      </c>
      <c r="E4450" s="21" t="s">
        <v>71</v>
      </c>
      <c r="F4450">
        <v>6510015</v>
      </c>
      <c r="G4450" t="s">
        <v>5462</v>
      </c>
      <c r="H4450" s="21">
        <v>1227.17</v>
      </c>
    </row>
    <row r="4451" spans="1:8" customFormat="1" x14ac:dyDescent="0.25">
      <c r="A4451" t="str">
        <f>"80265"</f>
        <v>80265</v>
      </c>
      <c r="B4451" t="s">
        <v>747</v>
      </c>
      <c r="C4451" t="s">
        <v>60</v>
      </c>
      <c r="D4451" s="21" t="s">
        <v>34</v>
      </c>
      <c r="E4451" s="21" t="s">
        <v>71</v>
      </c>
      <c r="F4451">
        <v>7800004</v>
      </c>
      <c r="G4451" t="s">
        <v>748</v>
      </c>
      <c r="H4451" s="21">
        <v>1227.17</v>
      </c>
    </row>
    <row r="4452" spans="1:8" customFormat="1" x14ac:dyDescent="0.25">
      <c r="A4452" t="str">
        <f>"5430287"</f>
        <v>5430287</v>
      </c>
      <c r="B4452" t="s">
        <v>7170</v>
      </c>
      <c r="C4452" t="s">
        <v>4896</v>
      </c>
      <c r="D4452" s="21" t="s">
        <v>34</v>
      </c>
      <c r="E4452" s="21" t="s">
        <v>35</v>
      </c>
      <c r="F4452">
        <v>6540194</v>
      </c>
      <c r="G4452" t="s">
        <v>7171</v>
      </c>
      <c r="H4452" s="21">
        <v>1226.67</v>
      </c>
    </row>
    <row r="4453" spans="1:8" customFormat="1" x14ac:dyDescent="0.25">
      <c r="A4453" t="str">
        <f>"563122"</f>
        <v>563122</v>
      </c>
      <c r="B4453" t="s">
        <v>67</v>
      </c>
      <c r="C4453" t="s">
        <v>62</v>
      </c>
      <c r="D4453" s="21" t="s">
        <v>34</v>
      </c>
      <c r="E4453" s="21" t="s">
        <v>35</v>
      </c>
      <c r="F4453">
        <v>3560053</v>
      </c>
      <c r="G4453" t="s">
        <v>298</v>
      </c>
      <c r="H4453" s="21">
        <v>1226.67</v>
      </c>
    </row>
    <row r="4454" spans="1:8" customFormat="1" x14ac:dyDescent="0.25">
      <c r="A4454" t="str">
        <f>"871973"</f>
        <v>871973</v>
      </c>
      <c r="B4454" t="s">
        <v>5343</v>
      </c>
      <c r="C4454" t="s">
        <v>211</v>
      </c>
      <c r="D4454" s="21" t="s">
        <v>34</v>
      </c>
      <c r="E4454" s="21" t="s">
        <v>35</v>
      </c>
      <c r="F4454">
        <v>10870117</v>
      </c>
      <c r="G4454" t="s">
        <v>3139</v>
      </c>
      <c r="H4454" s="21">
        <v>1226.67</v>
      </c>
    </row>
    <row r="4455" spans="1:8" customFormat="1" x14ac:dyDescent="0.25">
      <c r="A4455" t="str">
        <f>"6715278"</f>
        <v>6715278</v>
      </c>
      <c r="B4455" t="s">
        <v>5930</v>
      </c>
      <c r="C4455" t="s">
        <v>139</v>
      </c>
      <c r="D4455" s="21" t="s">
        <v>34</v>
      </c>
      <c r="E4455" s="21" t="s">
        <v>71</v>
      </c>
      <c r="F4455">
        <v>6670014</v>
      </c>
      <c r="G4455" t="s">
        <v>4258</v>
      </c>
      <c r="H4455" s="21">
        <v>1226.67</v>
      </c>
    </row>
    <row r="4456" spans="1:8" customFormat="1" x14ac:dyDescent="0.25">
      <c r="A4456" t="str">
        <f>"5938126"</f>
        <v>5938126</v>
      </c>
      <c r="B4456" t="s">
        <v>26859</v>
      </c>
      <c r="C4456" t="s">
        <v>98</v>
      </c>
      <c r="D4456" s="21" t="s">
        <v>34</v>
      </c>
      <c r="E4456" s="21" t="s">
        <v>35</v>
      </c>
      <c r="F4456">
        <v>7590403</v>
      </c>
      <c r="G4456" t="s">
        <v>2545</v>
      </c>
      <c r="H4456" s="21">
        <v>1226.67</v>
      </c>
    </row>
    <row r="4457" spans="1:8" customFormat="1" x14ac:dyDescent="0.25">
      <c r="A4457" t="str">
        <f>"4913806"</f>
        <v>4913806</v>
      </c>
      <c r="B4457" t="s">
        <v>6232</v>
      </c>
      <c r="C4457" t="s">
        <v>249</v>
      </c>
      <c r="D4457" s="21" t="s">
        <v>34</v>
      </c>
      <c r="E4457" s="21" t="s">
        <v>35</v>
      </c>
      <c r="F4457">
        <v>12490032</v>
      </c>
      <c r="G4457" t="s">
        <v>6233</v>
      </c>
      <c r="H4457" s="21">
        <v>1226.42</v>
      </c>
    </row>
    <row r="4458" spans="1:8" customFormat="1" x14ac:dyDescent="0.25">
      <c r="A4458" t="str">
        <f>"5928964"</f>
        <v>5928964</v>
      </c>
      <c r="B4458" t="s">
        <v>5120</v>
      </c>
      <c r="C4458" t="s">
        <v>119</v>
      </c>
      <c r="D4458" s="21" t="s">
        <v>34</v>
      </c>
      <c r="E4458" s="21" t="s">
        <v>71</v>
      </c>
      <c r="F4458">
        <v>7590235</v>
      </c>
      <c r="G4458" t="s">
        <v>5121</v>
      </c>
      <c r="H4458" s="21">
        <v>1226.17</v>
      </c>
    </row>
    <row r="4459" spans="1:8" customFormat="1" x14ac:dyDescent="0.25">
      <c r="A4459" t="str">
        <f>"5927506"</f>
        <v>5927506</v>
      </c>
      <c r="B4459" t="s">
        <v>979</v>
      </c>
      <c r="C4459" t="s">
        <v>169</v>
      </c>
      <c r="D4459" s="21" t="s">
        <v>34</v>
      </c>
      <c r="E4459" s="21" t="s">
        <v>35</v>
      </c>
      <c r="F4459">
        <v>7620147</v>
      </c>
      <c r="G4459" t="s">
        <v>4455</v>
      </c>
      <c r="H4459" s="21">
        <v>1226.17</v>
      </c>
    </row>
    <row r="4460" spans="1:8" customFormat="1" x14ac:dyDescent="0.25">
      <c r="A4460" t="str">
        <f>"3519154"</f>
        <v>3519154</v>
      </c>
      <c r="B4460" t="s">
        <v>5656</v>
      </c>
      <c r="C4460" t="s">
        <v>55</v>
      </c>
      <c r="D4460" s="21" t="s">
        <v>34</v>
      </c>
      <c r="E4460" s="21" t="s">
        <v>71</v>
      </c>
      <c r="F4460">
        <v>3350022</v>
      </c>
      <c r="G4460" t="s">
        <v>1287</v>
      </c>
      <c r="H4460" s="21">
        <v>1226.17</v>
      </c>
    </row>
    <row r="4461" spans="1:8" customFormat="1" x14ac:dyDescent="0.25">
      <c r="A4461" t="str">
        <f>"4914961"</f>
        <v>4914961</v>
      </c>
      <c r="B4461" t="s">
        <v>2549</v>
      </c>
      <c r="C4461" t="s">
        <v>621</v>
      </c>
      <c r="D4461" s="21" t="s">
        <v>34</v>
      </c>
      <c r="E4461" s="21" t="s">
        <v>35</v>
      </c>
      <c r="F4461">
        <v>12490092</v>
      </c>
      <c r="G4461" t="s">
        <v>1854</v>
      </c>
      <c r="H4461" s="21">
        <v>1226.17</v>
      </c>
    </row>
    <row r="4462" spans="1:8" customFormat="1" x14ac:dyDescent="0.25">
      <c r="A4462" t="str">
        <f>"7713880"</f>
        <v>7713880</v>
      </c>
      <c r="B4462" t="s">
        <v>5330</v>
      </c>
      <c r="C4462" t="s">
        <v>547</v>
      </c>
      <c r="D4462" s="21" t="s">
        <v>34</v>
      </c>
      <c r="E4462" s="21" t="s">
        <v>35</v>
      </c>
      <c r="F4462">
        <v>3290087</v>
      </c>
      <c r="G4462" t="s">
        <v>364</v>
      </c>
      <c r="H4462" s="21">
        <v>1226.17</v>
      </c>
    </row>
    <row r="4463" spans="1:8" customFormat="1" x14ac:dyDescent="0.25">
      <c r="A4463" t="str">
        <f>"704504"</f>
        <v>704504</v>
      </c>
      <c r="B4463" t="s">
        <v>1777</v>
      </c>
      <c r="C4463" t="s">
        <v>288</v>
      </c>
      <c r="D4463" s="21" t="s">
        <v>34</v>
      </c>
      <c r="E4463" s="21" t="s">
        <v>35</v>
      </c>
      <c r="F4463">
        <v>2700093</v>
      </c>
      <c r="G4463" t="s">
        <v>5302</v>
      </c>
      <c r="H4463" s="21">
        <v>1226.17</v>
      </c>
    </row>
    <row r="4464" spans="1:8" customFormat="1" x14ac:dyDescent="0.25">
      <c r="A4464" t="str">
        <f>"623275"</f>
        <v>623275</v>
      </c>
      <c r="B4464" t="s">
        <v>5731</v>
      </c>
      <c r="C4464" t="s">
        <v>130</v>
      </c>
      <c r="D4464" s="21" t="s">
        <v>34</v>
      </c>
      <c r="E4464" s="21" t="s">
        <v>35</v>
      </c>
      <c r="F4464">
        <v>7620064</v>
      </c>
      <c r="G4464" t="s">
        <v>2266</v>
      </c>
      <c r="H4464" s="21">
        <v>1226.17</v>
      </c>
    </row>
    <row r="4465" spans="1:8" customFormat="1" x14ac:dyDescent="0.25">
      <c r="A4465" t="str">
        <f>"5612489"</f>
        <v>5612489</v>
      </c>
      <c r="B4465" t="s">
        <v>6289</v>
      </c>
      <c r="C4465" t="s">
        <v>139</v>
      </c>
      <c r="D4465" s="21" t="s">
        <v>34</v>
      </c>
      <c r="E4465" s="21" t="s">
        <v>35</v>
      </c>
      <c r="F4465">
        <v>3560053</v>
      </c>
      <c r="G4465" t="s">
        <v>298</v>
      </c>
      <c r="H4465" s="21">
        <v>1226.17</v>
      </c>
    </row>
    <row r="4466" spans="1:8" customFormat="1" x14ac:dyDescent="0.25">
      <c r="A4466" t="str">
        <f>"631117"</f>
        <v>631117</v>
      </c>
      <c r="B4466" t="s">
        <v>2485</v>
      </c>
      <c r="C4466" t="s">
        <v>285</v>
      </c>
      <c r="D4466" s="21" t="s">
        <v>34</v>
      </c>
      <c r="E4466" s="21" t="s">
        <v>35</v>
      </c>
      <c r="F4466">
        <v>1630059</v>
      </c>
      <c r="G4466" t="s">
        <v>2486</v>
      </c>
      <c r="H4466" s="21">
        <v>1226.17</v>
      </c>
    </row>
    <row r="4467" spans="1:8" customFormat="1" x14ac:dyDescent="0.25">
      <c r="A4467" t="str">
        <f>"903594"</f>
        <v>903594</v>
      </c>
      <c r="B4467" t="s">
        <v>6807</v>
      </c>
      <c r="C4467" t="s">
        <v>209</v>
      </c>
      <c r="D4467" s="21" t="s">
        <v>34</v>
      </c>
      <c r="E4467" s="21" t="s">
        <v>35</v>
      </c>
      <c r="F4467">
        <v>2900039</v>
      </c>
      <c r="G4467" t="s">
        <v>26615</v>
      </c>
      <c r="H4467" s="21">
        <v>1226.05</v>
      </c>
    </row>
    <row r="4468" spans="1:8" customFormat="1" x14ac:dyDescent="0.25">
      <c r="A4468" t="str">
        <f>"315979"</f>
        <v>315979</v>
      </c>
      <c r="B4468" t="s">
        <v>4268</v>
      </c>
      <c r="C4468" t="s">
        <v>415</v>
      </c>
      <c r="D4468" s="21" t="s">
        <v>34</v>
      </c>
      <c r="E4468" s="21" t="s">
        <v>71</v>
      </c>
      <c r="F4468">
        <v>11310008</v>
      </c>
      <c r="G4468" t="s">
        <v>4269</v>
      </c>
      <c r="H4468" s="21">
        <v>1225.93</v>
      </c>
    </row>
    <row r="4469" spans="1:8" customFormat="1" x14ac:dyDescent="0.25">
      <c r="A4469" t="str">
        <f>"853285"</f>
        <v>853285</v>
      </c>
      <c r="B4469" t="s">
        <v>5496</v>
      </c>
      <c r="C4469" t="s">
        <v>124</v>
      </c>
      <c r="D4469" s="21" t="s">
        <v>34</v>
      </c>
      <c r="E4469" s="21" t="s">
        <v>254</v>
      </c>
      <c r="F4469">
        <v>12850037</v>
      </c>
      <c r="G4469" t="s">
        <v>2787</v>
      </c>
      <c r="H4469" s="21">
        <v>1225.92</v>
      </c>
    </row>
    <row r="4470" spans="1:8" customFormat="1" x14ac:dyDescent="0.25">
      <c r="A4470" t="str">
        <f>"6210893"</f>
        <v>6210893</v>
      </c>
      <c r="B4470" t="s">
        <v>26860</v>
      </c>
      <c r="C4470" t="s">
        <v>55</v>
      </c>
      <c r="D4470" s="21" t="s">
        <v>34</v>
      </c>
      <c r="E4470" s="21" t="s">
        <v>71</v>
      </c>
      <c r="F4470">
        <v>7620029</v>
      </c>
      <c r="G4470" t="s">
        <v>7730</v>
      </c>
      <c r="H4470" s="21">
        <v>1225.67</v>
      </c>
    </row>
    <row r="4471" spans="1:8" customFormat="1" x14ac:dyDescent="0.25">
      <c r="A4471" t="str">
        <f>"5313497"</f>
        <v>5313497</v>
      </c>
      <c r="B4471" t="s">
        <v>7403</v>
      </c>
      <c r="C4471" t="s">
        <v>82</v>
      </c>
      <c r="D4471" s="21" t="s">
        <v>34</v>
      </c>
      <c r="E4471" s="21" t="s">
        <v>35</v>
      </c>
      <c r="F4471">
        <v>12530059</v>
      </c>
      <c r="G4471" t="s">
        <v>4062</v>
      </c>
      <c r="H4471" s="21">
        <v>1225.67</v>
      </c>
    </row>
    <row r="4472" spans="1:8" customFormat="1" x14ac:dyDescent="0.25">
      <c r="A4472" t="str">
        <f>"842859"</f>
        <v>842859</v>
      </c>
      <c r="B4472" t="s">
        <v>5451</v>
      </c>
      <c r="C4472" t="s">
        <v>124</v>
      </c>
      <c r="D4472" s="21" t="s">
        <v>34</v>
      </c>
      <c r="E4472" s="21" t="s">
        <v>254</v>
      </c>
      <c r="F4472">
        <v>13840037</v>
      </c>
      <c r="G4472" t="s">
        <v>2019</v>
      </c>
      <c r="H4472" s="21">
        <v>1225.67</v>
      </c>
    </row>
    <row r="4473" spans="1:8" customFormat="1" x14ac:dyDescent="0.25">
      <c r="A4473" t="str">
        <f>"935346"</f>
        <v>935346</v>
      </c>
      <c r="B4473" t="s">
        <v>1867</v>
      </c>
      <c r="C4473" t="s">
        <v>147</v>
      </c>
      <c r="D4473" s="21" t="s">
        <v>34</v>
      </c>
      <c r="E4473" s="21" t="s">
        <v>35</v>
      </c>
      <c r="F4473">
        <v>3220048</v>
      </c>
      <c r="G4473" t="s">
        <v>26532</v>
      </c>
      <c r="H4473" s="21">
        <v>1225.67</v>
      </c>
    </row>
    <row r="4474" spans="1:8" customFormat="1" x14ac:dyDescent="0.25">
      <c r="A4474" t="str">
        <f>"931430"</f>
        <v>931430</v>
      </c>
      <c r="B4474" t="s">
        <v>650</v>
      </c>
      <c r="C4474" t="s">
        <v>236</v>
      </c>
      <c r="D4474" s="21" t="s">
        <v>34</v>
      </c>
      <c r="E4474" s="21" t="s">
        <v>71</v>
      </c>
      <c r="F4474">
        <v>8940096</v>
      </c>
      <c r="G4474" t="s">
        <v>5453</v>
      </c>
      <c r="H4474" s="21">
        <v>1225.67</v>
      </c>
    </row>
    <row r="4475" spans="1:8" customFormat="1" x14ac:dyDescent="0.25">
      <c r="A4475" t="str">
        <f>"8514372"</f>
        <v>8514372</v>
      </c>
      <c r="B4475" t="s">
        <v>12779</v>
      </c>
      <c r="C4475" t="s">
        <v>462</v>
      </c>
      <c r="D4475" s="21" t="s">
        <v>34</v>
      </c>
      <c r="E4475" s="21" t="s">
        <v>71</v>
      </c>
      <c r="F4475">
        <v>12850069</v>
      </c>
      <c r="G4475" t="s">
        <v>2154</v>
      </c>
      <c r="H4475" s="21">
        <v>1225.67</v>
      </c>
    </row>
    <row r="4476" spans="1:8" customFormat="1" x14ac:dyDescent="0.25">
      <c r="A4476" t="str">
        <f>"5314081"</f>
        <v>5314081</v>
      </c>
      <c r="B4476" t="s">
        <v>5961</v>
      </c>
      <c r="C4476" t="s">
        <v>139</v>
      </c>
      <c r="D4476" s="21" t="s">
        <v>34</v>
      </c>
      <c r="E4476" s="21" t="s">
        <v>71</v>
      </c>
      <c r="F4476">
        <v>12530068</v>
      </c>
      <c r="G4476" t="s">
        <v>5165</v>
      </c>
      <c r="H4476" s="21">
        <v>1225.67</v>
      </c>
    </row>
    <row r="4477" spans="1:8" customFormat="1" x14ac:dyDescent="0.25">
      <c r="A4477" t="str">
        <f>"69449"</f>
        <v>69449</v>
      </c>
      <c r="B4477" t="s">
        <v>5410</v>
      </c>
      <c r="C4477" t="s">
        <v>263</v>
      </c>
      <c r="D4477" s="21" t="s">
        <v>34</v>
      </c>
      <c r="E4477" s="21" t="s">
        <v>1089</v>
      </c>
      <c r="F4477">
        <v>1690103</v>
      </c>
      <c r="G4477" t="s">
        <v>5411</v>
      </c>
      <c r="H4477" s="21">
        <v>1225.67</v>
      </c>
    </row>
    <row r="4478" spans="1:8" customFormat="1" x14ac:dyDescent="0.25">
      <c r="A4478" t="str">
        <f>"02303"</f>
        <v>02303</v>
      </c>
      <c r="B4478" t="s">
        <v>5327</v>
      </c>
      <c r="C4478" t="s">
        <v>149</v>
      </c>
      <c r="D4478" s="21" t="s">
        <v>34</v>
      </c>
      <c r="E4478" s="21" t="s">
        <v>35</v>
      </c>
      <c r="F4478">
        <v>7020015</v>
      </c>
      <c r="G4478" t="s">
        <v>1289</v>
      </c>
      <c r="H4478" s="21">
        <v>1225.67</v>
      </c>
    </row>
    <row r="4479" spans="1:8" customFormat="1" x14ac:dyDescent="0.25">
      <c r="A4479" t="str">
        <f>"7711709"</f>
        <v>7711709</v>
      </c>
      <c r="B4479" t="s">
        <v>4442</v>
      </c>
      <c r="C4479" t="s">
        <v>412</v>
      </c>
      <c r="D4479" s="21" t="s">
        <v>34</v>
      </c>
      <c r="E4479" s="21" t="s">
        <v>71</v>
      </c>
      <c r="F4479">
        <v>8771184</v>
      </c>
      <c r="G4479" t="s">
        <v>137</v>
      </c>
      <c r="H4479" s="21">
        <v>1225.67</v>
      </c>
    </row>
    <row r="4480" spans="1:8" customFormat="1" x14ac:dyDescent="0.25">
      <c r="A4480" t="str">
        <f>"593921"</f>
        <v>593921</v>
      </c>
      <c r="B4480" t="s">
        <v>5288</v>
      </c>
      <c r="C4480" t="s">
        <v>209</v>
      </c>
      <c r="D4480" s="21" t="s">
        <v>34</v>
      </c>
      <c r="E4480" s="21" t="s">
        <v>71</v>
      </c>
      <c r="F4480">
        <v>7590050</v>
      </c>
      <c r="G4480" t="s">
        <v>473</v>
      </c>
      <c r="H4480" s="21">
        <v>1225.67</v>
      </c>
    </row>
    <row r="4481" spans="1:8" customFormat="1" x14ac:dyDescent="0.25">
      <c r="A4481" t="str">
        <f>"492081"</f>
        <v>492081</v>
      </c>
      <c r="B4481" t="s">
        <v>5539</v>
      </c>
      <c r="C4481" t="s">
        <v>62</v>
      </c>
      <c r="D4481" s="21" t="s">
        <v>34</v>
      </c>
      <c r="E4481" s="21" t="s">
        <v>71</v>
      </c>
      <c r="F4481">
        <v>12490092</v>
      </c>
      <c r="G4481" t="s">
        <v>1854</v>
      </c>
      <c r="H4481" s="21">
        <v>1225.67</v>
      </c>
    </row>
    <row r="4482" spans="1:8" customFormat="1" x14ac:dyDescent="0.25">
      <c r="A4482" t="str">
        <f>"759491"</f>
        <v>759491</v>
      </c>
      <c r="B4482" t="s">
        <v>5823</v>
      </c>
      <c r="C4482" t="s">
        <v>1119</v>
      </c>
      <c r="D4482" s="21" t="s">
        <v>34</v>
      </c>
      <c r="E4482" s="21" t="s">
        <v>71</v>
      </c>
      <c r="F4482">
        <v>8930610</v>
      </c>
      <c r="G4482" t="s">
        <v>3002</v>
      </c>
      <c r="H4482" s="21">
        <v>1225.55</v>
      </c>
    </row>
    <row r="4483" spans="1:8" customFormat="1" x14ac:dyDescent="0.25">
      <c r="A4483" t="str">
        <f>"3519479"</f>
        <v>3519479</v>
      </c>
      <c r="B4483" t="s">
        <v>5880</v>
      </c>
      <c r="C4483" t="s">
        <v>169</v>
      </c>
      <c r="D4483" s="21" t="s">
        <v>34</v>
      </c>
      <c r="E4483" s="21" t="s">
        <v>35</v>
      </c>
      <c r="F4483" t="s">
        <v>5881</v>
      </c>
      <c r="G4483" t="s">
        <v>5882</v>
      </c>
      <c r="H4483" s="21">
        <v>1225.43</v>
      </c>
    </row>
    <row r="4484" spans="1:8" customFormat="1" x14ac:dyDescent="0.25">
      <c r="A4484" t="str">
        <f>"6911828"</f>
        <v>6911828</v>
      </c>
      <c r="B4484" t="s">
        <v>5584</v>
      </c>
      <c r="C4484" t="s">
        <v>130</v>
      </c>
      <c r="D4484" s="21" t="s">
        <v>34</v>
      </c>
      <c r="E4484" s="21" t="s">
        <v>254</v>
      </c>
      <c r="F4484">
        <v>1420149</v>
      </c>
      <c r="G4484" t="s">
        <v>818</v>
      </c>
      <c r="H4484" s="21">
        <v>1225.42</v>
      </c>
    </row>
    <row r="4485" spans="1:8" customFormat="1" x14ac:dyDescent="0.25">
      <c r="A4485" t="str">
        <f>"5579"</f>
        <v>5579</v>
      </c>
      <c r="B4485" t="s">
        <v>4874</v>
      </c>
      <c r="C4485" t="s">
        <v>608</v>
      </c>
      <c r="D4485" s="21" t="s">
        <v>34</v>
      </c>
      <c r="E4485" s="21" t="s">
        <v>71</v>
      </c>
      <c r="F4485">
        <v>6550007</v>
      </c>
      <c r="G4485" t="s">
        <v>1688</v>
      </c>
      <c r="H4485" s="21">
        <v>1225.17</v>
      </c>
    </row>
    <row r="4486" spans="1:8" customFormat="1" x14ac:dyDescent="0.25">
      <c r="A4486" t="str">
        <f>"12815"</f>
        <v>12815</v>
      </c>
      <c r="B4486" t="s">
        <v>1807</v>
      </c>
      <c r="C4486" t="s">
        <v>2276</v>
      </c>
      <c r="D4486" s="21" t="s">
        <v>34</v>
      </c>
      <c r="E4486" s="21" t="s">
        <v>71</v>
      </c>
      <c r="F4486">
        <v>12720034</v>
      </c>
      <c r="G4486" t="s">
        <v>4561</v>
      </c>
      <c r="H4486" s="21">
        <v>1225.17</v>
      </c>
    </row>
    <row r="4487" spans="1:8" customFormat="1" x14ac:dyDescent="0.25">
      <c r="A4487" t="str">
        <f>"179839"</f>
        <v>179839</v>
      </c>
      <c r="B4487" t="s">
        <v>4289</v>
      </c>
      <c r="C4487" t="s">
        <v>62</v>
      </c>
      <c r="D4487" s="21" t="s">
        <v>34</v>
      </c>
      <c r="E4487" s="21" t="s">
        <v>35</v>
      </c>
      <c r="F4487">
        <v>10170005</v>
      </c>
      <c r="G4487" t="s">
        <v>4290</v>
      </c>
      <c r="H4487" s="21">
        <v>1225.17</v>
      </c>
    </row>
    <row r="4488" spans="1:8" customFormat="1" x14ac:dyDescent="0.25">
      <c r="A4488" t="str">
        <f>"199052"</f>
        <v>199052</v>
      </c>
      <c r="B4488" t="s">
        <v>2854</v>
      </c>
      <c r="C4488" t="s">
        <v>275</v>
      </c>
      <c r="D4488" s="21" t="s">
        <v>34</v>
      </c>
      <c r="E4488" s="21" t="s">
        <v>35</v>
      </c>
      <c r="F4488">
        <v>10190080</v>
      </c>
      <c r="G4488" t="s">
        <v>1726</v>
      </c>
      <c r="H4488" s="21">
        <v>1225.17</v>
      </c>
    </row>
    <row r="4489" spans="1:8" customFormat="1" x14ac:dyDescent="0.25">
      <c r="A4489" t="str">
        <f>"591279"</f>
        <v>591279</v>
      </c>
      <c r="B4489" t="s">
        <v>5097</v>
      </c>
      <c r="C4489" t="s">
        <v>269</v>
      </c>
      <c r="D4489" s="21" t="s">
        <v>34</v>
      </c>
      <c r="E4489" s="21" t="s">
        <v>254</v>
      </c>
      <c r="F4489">
        <v>7590112</v>
      </c>
      <c r="G4489" t="s">
        <v>3534</v>
      </c>
      <c r="H4489" s="21">
        <v>1225.17</v>
      </c>
    </row>
    <row r="4490" spans="1:8" customFormat="1" x14ac:dyDescent="0.25">
      <c r="A4490" t="str">
        <f>"7625980"</f>
        <v>7625980</v>
      </c>
      <c r="B4490" t="s">
        <v>6216</v>
      </c>
      <c r="C4490" t="s">
        <v>55</v>
      </c>
      <c r="D4490" s="21" t="s">
        <v>34</v>
      </c>
      <c r="E4490" s="21" t="s">
        <v>35</v>
      </c>
      <c r="F4490">
        <v>9270169</v>
      </c>
      <c r="G4490" t="s">
        <v>6217</v>
      </c>
      <c r="H4490" s="21">
        <v>1225.17</v>
      </c>
    </row>
    <row r="4491" spans="1:8" customFormat="1" x14ac:dyDescent="0.25">
      <c r="A4491" t="str">
        <f>"9112031"</f>
        <v>9112031</v>
      </c>
      <c r="B4491" t="s">
        <v>1959</v>
      </c>
      <c r="C4491" t="s">
        <v>169</v>
      </c>
      <c r="D4491" s="21" t="s">
        <v>34</v>
      </c>
      <c r="E4491" s="21" t="s">
        <v>71</v>
      </c>
      <c r="F4491">
        <v>8910667</v>
      </c>
      <c r="G4491" t="s">
        <v>2361</v>
      </c>
      <c r="H4491" s="21">
        <v>1225.17</v>
      </c>
    </row>
    <row r="4492" spans="1:8" customFormat="1" x14ac:dyDescent="0.25">
      <c r="A4492" t="str">
        <f>"7636666"</f>
        <v>7636666</v>
      </c>
      <c r="B4492" t="s">
        <v>7003</v>
      </c>
      <c r="C4492" t="s">
        <v>269</v>
      </c>
      <c r="D4492" s="21" t="s">
        <v>34</v>
      </c>
      <c r="E4492" s="21" t="s">
        <v>71</v>
      </c>
      <c r="F4492">
        <v>9760331</v>
      </c>
      <c r="G4492" t="s">
        <v>5134</v>
      </c>
      <c r="H4492" s="21">
        <v>1225.17</v>
      </c>
    </row>
    <row r="4493" spans="1:8" customFormat="1" x14ac:dyDescent="0.25">
      <c r="A4493" t="str">
        <f>"491833"</f>
        <v>491833</v>
      </c>
      <c r="B4493" t="s">
        <v>509</v>
      </c>
      <c r="C4493" t="s">
        <v>2520</v>
      </c>
      <c r="D4493" s="21" t="s">
        <v>34</v>
      </c>
      <c r="E4493" s="21" t="s">
        <v>254</v>
      </c>
      <c r="F4493">
        <v>12490022</v>
      </c>
      <c r="G4493" t="s">
        <v>1450</v>
      </c>
      <c r="H4493" s="21">
        <v>1224.67</v>
      </c>
    </row>
    <row r="4494" spans="1:8" customFormat="1" x14ac:dyDescent="0.25">
      <c r="A4494" t="str">
        <f>"6886"</f>
        <v>6886</v>
      </c>
      <c r="B4494" t="s">
        <v>5538</v>
      </c>
      <c r="C4494" t="s">
        <v>156</v>
      </c>
      <c r="D4494" s="21" t="s">
        <v>34</v>
      </c>
      <c r="E4494" s="21" t="s">
        <v>254</v>
      </c>
      <c r="F4494">
        <v>6680090</v>
      </c>
      <c r="G4494" t="s">
        <v>3129</v>
      </c>
      <c r="H4494" s="21">
        <v>1224.67</v>
      </c>
    </row>
    <row r="4495" spans="1:8" customFormat="1" x14ac:dyDescent="0.25">
      <c r="A4495" t="str">
        <f>"138832"</f>
        <v>138832</v>
      </c>
      <c r="B4495" t="s">
        <v>3528</v>
      </c>
      <c r="C4495" t="s">
        <v>493</v>
      </c>
      <c r="D4495" s="21" t="s">
        <v>34</v>
      </c>
      <c r="E4495" s="21" t="s">
        <v>35</v>
      </c>
      <c r="F4495">
        <v>13130067</v>
      </c>
      <c r="G4495" t="s">
        <v>1420</v>
      </c>
      <c r="H4495" s="21">
        <v>1224.67</v>
      </c>
    </row>
    <row r="4496" spans="1:8" customFormat="1" x14ac:dyDescent="0.25">
      <c r="A4496" t="str">
        <f>"6011899"</f>
        <v>6011899</v>
      </c>
      <c r="B4496" t="s">
        <v>213</v>
      </c>
      <c r="C4496" t="s">
        <v>249</v>
      </c>
      <c r="D4496" s="21" t="s">
        <v>34</v>
      </c>
      <c r="E4496" s="21" t="s">
        <v>71</v>
      </c>
      <c r="F4496">
        <v>7600024</v>
      </c>
      <c r="G4496" t="s">
        <v>1234</v>
      </c>
      <c r="H4496" s="21">
        <v>1224.67</v>
      </c>
    </row>
    <row r="4497" spans="1:8" customFormat="1" x14ac:dyDescent="0.25">
      <c r="A4497" t="str">
        <f>"30635"</f>
        <v>30635</v>
      </c>
      <c r="B4497" t="s">
        <v>2613</v>
      </c>
      <c r="C4497" t="s">
        <v>40</v>
      </c>
      <c r="D4497" s="21" t="s">
        <v>34</v>
      </c>
      <c r="E4497" s="21" t="s">
        <v>35</v>
      </c>
      <c r="F4497">
        <v>11300023</v>
      </c>
      <c r="G4497" t="s">
        <v>2679</v>
      </c>
      <c r="H4497" s="21">
        <v>1224.67</v>
      </c>
    </row>
    <row r="4498" spans="1:8" customFormat="1" x14ac:dyDescent="0.25">
      <c r="A4498" t="str">
        <f>"79122"</f>
        <v>79122</v>
      </c>
      <c r="B4498" t="s">
        <v>5175</v>
      </c>
      <c r="C4498" t="s">
        <v>253</v>
      </c>
      <c r="D4498" s="21" t="s">
        <v>34</v>
      </c>
      <c r="E4498" s="21" t="s">
        <v>254</v>
      </c>
      <c r="F4498">
        <v>10790005</v>
      </c>
      <c r="G4498" t="s">
        <v>1948</v>
      </c>
      <c r="H4498" s="21">
        <v>1224.17</v>
      </c>
    </row>
    <row r="4499" spans="1:8" customFormat="1" x14ac:dyDescent="0.25">
      <c r="A4499" t="str">
        <f>"449295"</f>
        <v>449295</v>
      </c>
      <c r="B4499" t="s">
        <v>21213</v>
      </c>
      <c r="C4499" t="s">
        <v>147</v>
      </c>
      <c r="D4499" s="21" t="s">
        <v>34</v>
      </c>
      <c r="E4499" s="21" t="s">
        <v>35</v>
      </c>
      <c r="F4499">
        <v>12440101</v>
      </c>
      <c r="G4499" t="s">
        <v>3482</v>
      </c>
      <c r="H4499" s="21">
        <v>1224.17</v>
      </c>
    </row>
    <row r="4500" spans="1:8" customFormat="1" x14ac:dyDescent="0.25">
      <c r="A4500" t="str">
        <f>"5931660"</f>
        <v>5931660</v>
      </c>
      <c r="B4500" t="s">
        <v>5709</v>
      </c>
      <c r="C4500" t="s">
        <v>96</v>
      </c>
      <c r="D4500" s="21" t="s">
        <v>34</v>
      </c>
      <c r="E4500" s="21" t="s">
        <v>35</v>
      </c>
      <c r="F4500">
        <v>7590006</v>
      </c>
      <c r="G4500" t="s">
        <v>4165</v>
      </c>
      <c r="H4500" s="21">
        <v>1224.17</v>
      </c>
    </row>
    <row r="4501" spans="1:8" customFormat="1" x14ac:dyDescent="0.25">
      <c r="A4501" t="str">
        <f>"851785"</f>
        <v>851785</v>
      </c>
      <c r="B4501" t="s">
        <v>5340</v>
      </c>
      <c r="C4501" t="s">
        <v>87</v>
      </c>
      <c r="D4501" s="21" t="s">
        <v>34</v>
      </c>
      <c r="E4501" s="21" t="s">
        <v>71</v>
      </c>
      <c r="F4501">
        <v>12850069</v>
      </c>
      <c r="G4501" t="s">
        <v>2154</v>
      </c>
      <c r="H4501" s="21">
        <v>1224.17</v>
      </c>
    </row>
    <row r="4502" spans="1:8" customFormat="1" x14ac:dyDescent="0.25">
      <c r="A4502" t="str">
        <f>"703989"</f>
        <v>703989</v>
      </c>
      <c r="B4502" t="s">
        <v>5089</v>
      </c>
      <c r="C4502" t="s">
        <v>156</v>
      </c>
      <c r="D4502" s="21" t="s">
        <v>34</v>
      </c>
      <c r="E4502" s="21" t="s">
        <v>1089</v>
      </c>
      <c r="F4502">
        <v>13830025</v>
      </c>
      <c r="G4502" t="s">
        <v>106</v>
      </c>
      <c r="H4502" s="21">
        <v>1224.17</v>
      </c>
    </row>
    <row r="4503" spans="1:8" customFormat="1" x14ac:dyDescent="0.25">
      <c r="A4503" t="str">
        <f>"8013378"</f>
        <v>8013378</v>
      </c>
      <c r="B4503" t="s">
        <v>4745</v>
      </c>
      <c r="C4503" t="s">
        <v>1853</v>
      </c>
      <c r="D4503" s="21" t="s">
        <v>34</v>
      </c>
      <c r="E4503" s="21" t="s">
        <v>35</v>
      </c>
      <c r="F4503">
        <v>7800128</v>
      </c>
      <c r="G4503" t="s">
        <v>3147</v>
      </c>
      <c r="H4503" s="21">
        <v>1224.17</v>
      </c>
    </row>
    <row r="4504" spans="1:8" customFormat="1" x14ac:dyDescent="0.25">
      <c r="A4504" t="str">
        <f>"4429801"</f>
        <v>4429801</v>
      </c>
      <c r="B4504" t="s">
        <v>1096</v>
      </c>
      <c r="C4504" t="s">
        <v>87</v>
      </c>
      <c r="D4504" s="21" t="s">
        <v>34</v>
      </c>
      <c r="E4504" s="21" t="s">
        <v>35</v>
      </c>
      <c r="F4504">
        <v>12440144</v>
      </c>
      <c r="G4504" t="s">
        <v>3702</v>
      </c>
      <c r="H4504" s="21">
        <v>1224.05</v>
      </c>
    </row>
    <row r="4505" spans="1:8" customFormat="1" x14ac:dyDescent="0.25">
      <c r="A4505" t="str">
        <f>"703988"</f>
        <v>703988</v>
      </c>
      <c r="B4505" t="s">
        <v>4610</v>
      </c>
      <c r="C4505" t="s">
        <v>598</v>
      </c>
      <c r="D4505" s="21" t="s">
        <v>34</v>
      </c>
      <c r="E4505" s="21" t="s">
        <v>254</v>
      </c>
      <c r="F4505">
        <v>2700089</v>
      </c>
      <c r="G4505" t="s">
        <v>2570</v>
      </c>
      <c r="H4505" s="21">
        <v>1224.05</v>
      </c>
    </row>
    <row r="4506" spans="1:8" customFormat="1" x14ac:dyDescent="0.25">
      <c r="A4506" t="str">
        <f>"13411"</f>
        <v>13411</v>
      </c>
      <c r="B4506" t="s">
        <v>4719</v>
      </c>
      <c r="C4506" t="s">
        <v>130</v>
      </c>
      <c r="D4506" s="21" t="s">
        <v>34</v>
      </c>
      <c r="E4506" s="21" t="s">
        <v>71</v>
      </c>
      <c r="F4506">
        <v>13130004</v>
      </c>
      <c r="G4506" t="s">
        <v>942</v>
      </c>
      <c r="H4506" s="21">
        <v>1224.04</v>
      </c>
    </row>
    <row r="4507" spans="1:8" customFormat="1" x14ac:dyDescent="0.25">
      <c r="A4507" t="str">
        <f>"458541"</f>
        <v>458541</v>
      </c>
      <c r="B4507" t="s">
        <v>5774</v>
      </c>
      <c r="C4507" t="s">
        <v>114</v>
      </c>
      <c r="D4507" s="21" t="s">
        <v>34</v>
      </c>
      <c r="E4507" s="21" t="s">
        <v>71</v>
      </c>
      <c r="F4507">
        <v>4450760</v>
      </c>
      <c r="G4507" t="s">
        <v>5775</v>
      </c>
      <c r="H4507" s="21">
        <v>1223.92</v>
      </c>
    </row>
    <row r="4508" spans="1:8" customFormat="1" x14ac:dyDescent="0.25">
      <c r="A4508" t="str">
        <f>"4918742"</f>
        <v>4918742</v>
      </c>
      <c r="B4508" t="s">
        <v>4487</v>
      </c>
      <c r="C4508" t="s">
        <v>926</v>
      </c>
      <c r="D4508" s="21" t="s">
        <v>34</v>
      </c>
      <c r="E4508" s="21" t="s">
        <v>71</v>
      </c>
      <c r="F4508">
        <v>12490029</v>
      </c>
      <c r="G4508" t="s">
        <v>3485</v>
      </c>
      <c r="H4508" s="21">
        <v>1223.92</v>
      </c>
    </row>
    <row r="4509" spans="1:8" customFormat="1" x14ac:dyDescent="0.25">
      <c r="A4509" t="str">
        <f>"8527414"</f>
        <v>8527414</v>
      </c>
      <c r="B4509" t="s">
        <v>5814</v>
      </c>
      <c r="C4509" t="s">
        <v>87</v>
      </c>
      <c r="D4509" s="21" t="s">
        <v>34</v>
      </c>
      <c r="E4509" s="21" t="s">
        <v>35</v>
      </c>
      <c r="F4509">
        <v>12850109</v>
      </c>
      <c r="G4509" t="s">
        <v>2714</v>
      </c>
      <c r="H4509" s="21">
        <v>1223.8</v>
      </c>
    </row>
    <row r="4510" spans="1:8" customFormat="1" x14ac:dyDescent="0.25">
      <c r="A4510" t="str">
        <f>"7828037"</f>
        <v>7828037</v>
      </c>
      <c r="B4510" t="s">
        <v>4328</v>
      </c>
      <c r="C4510" t="s">
        <v>121</v>
      </c>
      <c r="D4510" s="21" t="s">
        <v>34</v>
      </c>
      <c r="E4510" s="21" t="s">
        <v>35</v>
      </c>
      <c r="F4510">
        <v>8780108</v>
      </c>
      <c r="G4510" t="s">
        <v>4329</v>
      </c>
      <c r="H4510" s="21">
        <v>1223.8</v>
      </c>
    </row>
    <row r="4511" spans="1:8" customFormat="1" x14ac:dyDescent="0.25">
      <c r="A4511" t="str">
        <f>"639145"</f>
        <v>639145</v>
      </c>
      <c r="B4511" t="s">
        <v>1886</v>
      </c>
      <c r="C4511" t="s">
        <v>43</v>
      </c>
      <c r="D4511" s="21" t="s">
        <v>34</v>
      </c>
      <c r="E4511" s="21" t="s">
        <v>35</v>
      </c>
      <c r="F4511">
        <v>1630054</v>
      </c>
      <c r="G4511" t="s">
        <v>2512</v>
      </c>
      <c r="H4511" s="21">
        <v>1223.67</v>
      </c>
    </row>
    <row r="4512" spans="1:8" customFormat="1" x14ac:dyDescent="0.25">
      <c r="A4512" t="str">
        <f>"331137"</f>
        <v>331137</v>
      </c>
      <c r="B4512" t="s">
        <v>26861</v>
      </c>
      <c r="C4512" t="s">
        <v>598</v>
      </c>
      <c r="D4512" s="21" t="s">
        <v>34</v>
      </c>
      <c r="E4512" s="21" t="s">
        <v>254</v>
      </c>
      <c r="F4512">
        <v>10330043</v>
      </c>
      <c r="G4512" t="s">
        <v>1703</v>
      </c>
      <c r="H4512" s="21">
        <v>1223.67</v>
      </c>
    </row>
    <row r="4513" spans="1:8" customFormat="1" x14ac:dyDescent="0.25">
      <c r="A4513" t="str">
        <f>"5317439"</f>
        <v>5317439</v>
      </c>
      <c r="B4513" t="s">
        <v>146</v>
      </c>
      <c r="C4513" t="s">
        <v>249</v>
      </c>
      <c r="D4513" s="21" t="s">
        <v>34</v>
      </c>
      <c r="E4513" s="21" t="s">
        <v>71</v>
      </c>
      <c r="F4513">
        <v>12530060</v>
      </c>
      <c r="G4513" t="s">
        <v>1356</v>
      </c>
      <c r="H4513" s="21">
        <v>1223.67</v>
      </c>
    </row>
    <row r="4514" spans="1:8" customFormat="1" x14ac:dyDescent="0.25">
      <c r="A4514" t="str">
        <f>"768345"</f>
        <v>768345</v>
      </c>
      <c r="B4514" t="s">
        <v>5479</v>
      </c>
      <c r="C4514" t="s">
        <v>65</v>
      </c>
      <c r="D4514" s="21" t="s">
        <v>34</v>
      </c>
      <c r="E4514" s="21" t="s">
        <v>35</v>
      </c>
      <c r="F4514">
        <v>9760168</v>
      </c>
      <c r="G4514" t="s">
        <v>179</v>
      </c>
      <c r="H4514" s="21">
        <v>1223.42</v>
      </c>
    </row>
    <row r="4515" spans="1:8" customFormat="1" x14ac:dyDescent="0.25">
      <c r="A4515" t="str">
        <f>"3825987"</f>
        <v>3825987</v>
      </c>
      <c r="B4515" t="s">
        <v>3900</v>
      </c>
      <c r="C4515" t="s">
        <v>209</v>
      </c>
      <c r="D4515" s="21" t="s">
        <v>34</v>
      </c>
      <c r="E4515" s="21" t="s">
        <v>35</v>
      </c>
      <c r="F4515">
        <v>10860017</v>
      </c>
      <c r="G4515" t="s">
        <v>2439</v>
      </c>
      <c r="H4515" s="21">
        <v>1223.17</v>
      </c>
    </row>
    <row r="4516" spans="1:8" customFormat="1" x14ac:dyDescent="0.25">
      <c r="A4516" t="str">
        <f>"302531"</f>
        <v>302531</v>
      </c>
      <c r="B4516" t="s">
        <v>5157</v>
      </c>
      <c r="C4516" t="s">
        <v>169</v>
      </c>
      <c r="D4516" s="21" t="s">
        <v>34</v>
      </c>
      <c r="E4516" s="21" t="s">
        <v>35</v>
      </c>
      <c r="F4516">
        <v>11300018</v>
      </c>
      <c r="G4516" t="s">
        <v>5158</v>
      </c>
      <c r="H4516" s="21">
        <v>1223.17</v>
      </c>
    </row>
    <row r="4517" spans="1:8" customFormat="1" x14ac:dyDescent="0.25">
      <c r="A4517" t="str">
        <f>"5711329"</f>
        <v>5711329</v>
      </c>
      <c r="B4517" t="s">
        <v>6689</v>
      </c>
      <c r="C4517" t="s">
        <v>1110</v>
      </c>
      <c r="D4517" s="21" t="s">
        <v>34</v>
      </c>
      <c r="E4517" s="21" t="s">
        <v>1089</v>
      </c>
      <c r="F4517">
        <v>6570107</v>
      </c>
      <c r="G4517" t="s">
        <v>5598</v>
      </c>
      <c r="H4517" s="21">
        <v>1223.17</v>
      </c>
    </row>
    <row r="4518" spans="1:8" customFormat="1" x14ac:dyDescent="0.25">
      <c r="A4518" t="str">
        <f>"5942528"</f>
        <v>5942528</v>
      </c>
      <c r="B4518" t="s">
        <v>3737</v>
      </c>
      <c r="C4518" t="s">
        <v>87</v>
      </c>
      <c r="D4518" s="21" t="s">
        <v>34</v>
      </c>
      <c r="E4518" s="21" t="s">
        <v>35</v>
      </c>
      <c r="F4518">
        <v>7800040</v>
      </c>
      <c r="G4518" t="s">
        <v>1448</v>
      </c>
      <c r="H4518" s="21">
        <v>1223.17</v>
      </c>
    </row>
    <row r="4519" spans="1:8" customFormat="1" x14ac:dyDescent="0.25">
      <c r="A4519" t="str">
        <f>"57300"</f>
        <v>57300</v>
      </c>
      <c r="B4519" t="s">
        <v>2023</v>
      </c>
      <c r="C4519" t="s">
        <v>253</v>
      </c>
      <c r="D4519" s="21" t="s">
        <v>34</v>
      </c>
      <c r="E4519" s="21" t="s">
        <v>254</v>
      </c>
      <c r="F4519">
        <v>6570019</v>
      </c>
      <c r="G4519" t="s">
        <v>1510</v>
      </c>
      <c r="H4519" s="21">
        <v>1223.17</v>
      </c>
    </row>
    <row r="4520" spans="1:8" customFormat="1" x14ac:dyDescent="0.25">
      <c r="A4520" t="str">
        <f>"721286"</f>
        <v>721286</v>
      </c>
      <c r="B4520" t="s">
        <v>4353</v>
      </c>
      <c r="C4520" t="s">
        <v>249</v>
      </c>
      <c r="D4520" s="21" t="s">
        <v>34</v>
      </c>
      <c r="E4520" s="21" t="s">
        <v>71</v>
      </c>
      <c r="F4520">
        <v>12720120</v>
      </c>
      <c r="G4520" t="s">
        <v>2509</v>
      </c>
      <c r="H4520" s="21">
        <v>1223.05</v>
      </c>
    </row>
    <row r="4521" spans="1:8" customFormat="1" x14ac:dyDescent="0.25">
      <c r="A4521" t="str">
        <f>"7610387"</f>
        <v>7610387</v>
      </c>
      <c r="B4521" t="s">
        <v>3904</v>
      </c>
      <c r="C4521" t="s">
        <v>206</v>
      </c>
      <c r="D4521" s="21" t="s">
        <v>34</v>
      </c>
      <c r="E4521" s="21" t="s">
        <v>35</v>
      </c>
      <c r="F4521">
        <v>9760107</v>
      </c>
      <c r="G4521" t="s">
        <v>122</v>
      </c>
      <c r="H4521" s="21">
        <v>1223.04</v>
      </c>
    </row>
    <row r="4522" spans="1:8" customFormat="1" x14ac:dyDescent="0.25">
      <c r="A4522" t="str">
        <f>"504523"</f>
        <v>504523</v>
      </c>
      <c r="B4522" t="s">
        <v>4875</v>
      </c>
      <c r="C4522" t="s">
        <v>239</v>
      </c>
      <c r="D4522" s="21" t="s">
        <v>34</v>
      </c>
      <c r="E4522" s="21" t="s">
        <v>254</v>
      </c>
      <c r="F4522">
        <v>9500023</v>
      </c>
      <c r="G4522" t="s">
        <v>4876</v>
      </c>
      <c r="H4522" s="21">
        <v>1222.67</v>
      </c>
    </row>
    <row r="4523" spans="1:8" customFormat="1" x14ac:dyDescent="0.25">
      <c r="A4523" t="str">
        <f>"2922723"</f>
        <v>2922723</v>
      </c>
      <c r="B4523" t="s">
        <v>4449</v>
      </c>
      <c r="C4523" t="s">
        <v>87</v>
      </c>
      <c r="D4523" s="21" t="s">
        <v>34</v>
      </c>
      <c r="E4523" s="21" t="s">
        <v>35</v>
      </c>
      <c r="F4523">
        <v>3350014</v>
      </c>
      <c r="G4523" t="s">
        <v>1078</v>
      </c>
      <c r="H4523" s="21">
        <v>1222.67</v>
      </c>
    </row>
    <row r="4524" spans="1:8" customFormat="1" x14ac:dyDescent="0.25">
      <c r="A4524" t="str">
        <f>"7829304"</f>
        <v>7829304</v>
      </c>
      <c r="B4524" t="s">
        <v>755</v>
      </c>
      <c r="C4524" t="s">
        <v>428</v>
      </c>
      <c r="D4524" s="21" t="s">
        <v>34</v>
      </c>
      <c r="E4524" s="21" t="s">
        <v>35</v>
      </c>
      <c r="F4524">
        <v>8781006</v>
      </c>
      <c r="G4524" t="s">
        <v>5376</v>
      </c>
      <c r="H4524" s="21">
        <v>1222.67</v>
      </c>
    </row>
    <row r="4525" spans="1:8" customFormat="1" x14ac:dyDescent="0.25">
      <c r="A4525" t="str">
        <f>"862342"</f>
        <v>862342</v>
      </c>
      <c r="B4525" t="s">
        <v>12152</v>
      </c>
      <c r="C4525" t="s">
        <v>328</v>
      </c>
      <c r="D4525" s="21" t="s">
        <v>34</v>
      </c>
      <c r="E4525" s="21" t="s">
        <v>35</v>
      </c>
      <c r="F4525">
        <v>10860021</v>
      </c>
      <c r="G4525" t="s">
        <v>26820</v>
      </c>
      <c r="H4525" s="21">
        <v>1222.67</v>
      </c>
    </row>
    <row r="4526" spans="1:8" customFormat="1" x14ac:dyDescent="0.25">
      <c r="A4526" t="str">
        <f>"14518"</f>
        <v>14518</v>
      </c>
      <c r="B4526" t="s">
        <v>5055</v>
      </c>
      <c r="C4526" t="s">
        <v>33</v>
      </c>
      <c r="D4526" s="21" t="s">
        <v>34</v>
      </c>
      <c r="E4526" s="21" t="s">
        <v>71</v>
      </c>
      <c r="F4526">
        <v>9140055</v>
      </c>
      <c r="G4526" t="s">
        <v>344</v>
      </c>
      <c r="H4526" s="21">
        <v>1222.67</v>
      </c>
    </row>
    <row r="4527" spans="1:8" customFormat="1" x14ac:dyDescent="0.25">
      <c r="A4527" t="str">
        <f>"7719985"</f>
        <v>7719985</v>
      </c>
      <c r="B4527" t="s">
        <v>5337</v>
      </c>
      <c r="C4527" t="s">
        <v>171</v>
      </c>
      <c r="D4527" s="21" t="s">
        <v>34</v>
      </c>
      <c r="E4527" s="21" t="s">
        <v>35</v>
      </c>
      <c r="F4527">
        <v>8770499</v>
      </c>
      <c r="G4527" t="s">
        <v>447</v>
      </c>
      <c r="H4527" s="21">
        <v>1222.67</v>
      </c>
    </row>
    <row r="4528" spans="1:8" customFormat="1" x14ac:dyDescent="0.25">
      <c r="A4528" t="str">
        <f>"5711174"</f>
        <v>5711174</v>
      </c>
      <c r="B4528" t="s">
        <v>5161</v>
      </c>
      <c r="C4528" t="s">
        <v>305</v>
      </c>
      <c r="D4528" s="21" t="s">
        <v>34</v>
      </c>
      <c r="E4528" s="21" t="s">
        <v>35</v>
      </c>
      <c r="F4528">
        <v>6570140</v>
      </c>
      <c r="G4528" t="s">
        <v>813</v>
      </c>
      <c r="H4528" s="21">
        <v>1222.67</v>
      </c>
    </row>
    <row r="4529" spans="1:8" customFormat="1" x14ac:dyDescent="0.25">
      <c r="A4529" t="str">
        <f>"9415544"</f>
        <v>9415544</v>
      </c>
      <c r="B4529" t="s">
        <v>6313</v>
      </c>
      <c r="C4529" t="s">
        <v>1705</v>
      </c>
      <c r="D4529" s="21" t="s">
        <v>34</v>
      </c>
      <c r="E4529" s="21" t="s">
        <v>254</v>
      </c>
      <c r="F4529">
        <v>8940070</v>
      </c>
      <c r="G4529" t="s">
        <v>2320</v>
      </c>
      <c r="H4529" s="21">
        <v>1222.55</v>
      </c>
    </row>
    <row r="4530" spans="1:8" customFormat="1" x14ac:dyDescent="0.25">
      <c r="A4530" t="str">
        <f>"10125"</f>
        <v>10125</v>
      </c>
      <c r="B4530" t="s">
        <v>5263</v>
      </c>
      <c r="C4530" t="s">
        <v>233</v>
      </c>
      <c r="D4530" s="21" t="s">
        <v>34</v>
      </c>
      <c r="E4530" s="21" t="s">
        <v>254</v>
      </c>
      <c r="F4530">
        <v>6100004</v>
      </c>
      <c r="G4530" t="s">
        <v>496</v>
      </c>
      <c r="H4530" s="21">
        <v>1222.3</v>
      </c>
    </row>
    <row r="4531" spans="1:8" customFormat="1" x14ac:dyDescent="0.25">
      <c r="A4531" t="str">
        <f>"5017582"</f>
        <v>5017582</v>
      </c>
      <c r="B4531" t="s">
        <v>5045</v>
      </c>
      <c r="C4531" t="s">
        <v>5046</v>
      </c>
      <c r="D4531" s="21" t="s">
        <v>34</v>
      </c>
      <c r="E4531" s="21" t="s">
        <v>35</v>
      </c>
      <c r="F4531">
        <v>9500013</v>
      </c>
      <c r="G4531" t="s">
        <v>992</v>
      </c>
      <c r="H4531" s="21">
        <v>1222.17</v>
      </c>
    </row>
    <row r="4532" spans="1:8" customFormat="1" x14ac:dyDescent="0.25">
      <c r="A4532" t="str">
        <f>"1416952"</f>
        <v>1416952</v>
      </c>
      <c r="B4532" t="s">
        <v>6393</v>
      </c>
      <c r="C4532" t="s">
        <v>37</v>
      </c>
      <c r="D4532" s="21" t="s">
        <v>34</v>
      </c>
      <c r="E4532" s="21" t="s">
        <v>35</v>
      </c>
      <c r="F4532">
        <v>9140003</v>
      </c>
      <c r="G4532" t="s">
        <v>6152</v>
      </c>
      <c r="H4532" s="21">
        <v>1222.17</v>
      </c>
    </row>
    <row r="4533" spans="1:8" customFormat="1" x14ac:dyDescent="0.25">
      <c r="A4533" t="str">
        <f>"181503"</f>
        <v>181503</v>
      </c>
      <c r="B4533" t="s">
        <v>5260</v>
      </c>
      <c r="C4533" t="s">
        <v>233</v>
      </c>
      <c r="D4533" s="21" t="s">
        <v>34</v>
      </c>
      <c r="E4533" s="21" t="s">
        <v>71</v>
      </c>
      <c r="F4533">
        <v>4180682</v>
      </c>
      <c r="G4533" t="s">
        <v>5261</v>
      </c>
      <c r="H4533" s="21">
        <v>1222.17</v>
      </c>
    </row>
    <row r="4534" spans="1:8" customFormat="1" x14ac:dyDescent="0.25">
      <c r="A4534" t="str">
        <f>"7619089"</f>
        <v>7619089</v>
      </c>
      <c r="B4534" t="s">
        <v>5148</v>
      </c>
      <c r="C4534" t="s">
        <v>87</v>
      </c>
      <c r="D4534" s="21" t="s">
        <v>34</v>
      </c>
      <c r="E4534" s="21" t="s">
        <v>71</v>
      </c>
      <c r="F4534">
        <v>9760272</v>
      </c>
      <c r="G4534" t="s">
        <v>5526</v>
      </c>
      <c r="H4534" s="21">
        <v>1222.17</v>
      </c>
    </row>
    <row r="4535" spans="1:8" customFormat="1" x14ac:dyDescent="0.25">
      <c r="A4535" t="str">
        <f>"5942136"</f>
        <v>5942136</v>
      </c>
      <c r="B4535" t="s">
        <v>946</v>
      </c>
      <c r="C4535" t="s">
        <v>302</v>
      </c>
      <c r="D4535" s="21" t="s">
        <v>34</v>
      </c>
      <c r="E4535" s="21" t="s">
        <v>35</v>
      </c>
      <c r="F4535">
        <v>3290087</v>
      </c>
      <c r="G4535" t="s">
        <v>364</v>
      </c>
      <c r="H4535" s="21">
        <v>1222.17</v>
      </c>
    </row>
    <row r="4536" spans="1:8" customFormat="1" x14ac:dyDescent="0.25">
      <c r="A4536" t="str">
        <f>"595423"</f>
        <v>595423</v>
      </c>
      <c r="B4536" t="s">
        <v>5166</v>
      </c>
      <c r="C4536" t="s">
        <v>3010</v>
      </c>
      <c r="D4536" s="21" t="s">
        <v>34</v>
      </c>
      <c r="E4536" s="21" t="s">
        <v>254</v>
      </c>
      <c r="F4536">
        <v>7590027</v>
      </c>
      <c r="G4536" t="s">
        <v>629</v>
      </c>
      <c r="H4536" s="21">
        <v>1222.17</v>
      </c>
    </row>
    <row r="4537" spans="1:8" customFormat="1" x14ac:dyDescent="0.25">
      <c r="A4537" t="str">
        <f>"7510738"</f>
        <v>7510738</v>
      </c>
      <c r="B4537" t="s">
        <v>4830</v>
      </c>
      <c r="C4537" t="s">
        <v>4831</v>
      </c>
      <c r="D4537" s="21" t="s">
        <v>34</v>
      </c>
      <c r="E4537" s="21" t="s">
        <v>71</v>
      </c>
      <c r="F4537">
        <v>8751423</v>
      </c>
      <c r="G4537" t="s">
        <v>4556</v>
      </c>
      <c r="H4537" s="21">
        <v>1222.17</v>
      </c>
    </row>
    <row r="4538" spans="1:8" customFormat="1" x14ac:dyDescent="0.25">
      <c r="A4538" t="str">
        <f>"35758"</f>
        <v>35758</v>
      </c>
      <c r="B4538" t="s">
        <v>5374</v>
      </c>
      <c r="C4538" t="s">
        <v>209</v>
      </c>
      <c r="D4538" s="21" t="s">
        <v>34</v>
      </c>
      <c r="E4538" s="21" t="s">
        <v>254</v>
      </c>
      <c r="F4538">
        <v>3350014</v>
      </c>
      <c r="G4538" t="s">
        <v>1078</v>
      </c>
      <c r="H4538" s="21">
        <v>1221.92</v>
      </c>
    </row>
    <row r="4539" spans="1:8" customFormat="1" x14ac:dyDescent="0.25">
      <c r="A4539" t="str">
        <f>"9526128"</f>
        <v>9526128</v>
      </c>
      <c r="B4539" t="s">
        <v>2010</v>
      </c>
      <c r="C4539" t="s">
        <v>33</v>
      </c>
      <c r="D4539" s="21" t="s">
        <v>34</v>
      </c>
      <c r="E4539" s="21" t="s">
        <v>35</v>
      </c>
      <c r="F4539">
        <v>8950553</v>
      </c>
      <c r="G4539" t="s">
        <v>1058</v>
      </c>
      <c r="H4539" s="21">
        <v>1221.92</v>
      </c>
    </row>
    <row r="4540" spans="1:8" customFormat="1" x14ac:dyDescent="0.25">
      <c r="A4540" t="str">
        <f>"6915292"</f>
        <v>6915292</v>
      </c>
      <c r="B4540" t="s">
        <v>4742</v>
      </c>
      <c r="C4540" t="s">
        <v>772</v>
      </c>
      <c r="D4540" s="21" t="s">
        <v>34</v>
      </c>
      <c r="E4540" s="21" t="s">
        <v>71</v>
      </c>
      <c r="F4540">
        <v>1690186</v>
      </c>
      <c r="G4540" t="s">
        <v>438</v>
      </c>
      <c r="H4540" s="21">
        <v>1221.92</v>
      </c>
    </row>
    <row r="4541" spans="1:8" customFormat="1" x14ac:dyDescent="0.25">
      <c r="A4541" t="str">
        <f>"4432494"</f>
        <v>4432494</v>
      </c>
      <c r="B4541" t="s">
        <v>1240</v>
      </c>
      <c r="C4541" t="s">
        <v>90</v>
      </c>
      <c r="D4541" s="21" t="s">
        <v>34</v>
      </c>
      <c r="E4541" s="21" t="s">
        <v>71</v>
      </c>
      <c r="F4541">
        <v>12440054</v>
      </c>
      <c r="G4541" t="s">
        <v>5474</v>
      </c>
      <c r="H4541" s="21">
        <v>1221.92</v>
      </c>
    </row>
    <row r="4542" spans="1:8" customFormat="1" x14ac:dyDescent="0.25">
      <c r="A4542" t="str">
        <f>"5612543"</f>
        <v>5612543</v>
      </c>
      <c r="B4542" t="s">
        <v>4889</v>
      </c>
      <c r="C4542" t="s">
        <v>171</v>
      </c>
      <c r="D4542" s="21" t="s">
        <v>34</v>
      </c>
      <c r="E4542" s="21" t="s">
        <v>254</v>
      </c>
      <c r="F4542">
        <v>3560044</v>
      </c>
      <c r="G4542" t="s">
        <v>4890</v>
      </c>
      <c r="H4542" s="21">
        <v>1221.92</v>
      </c>
    </row>
    <row r="4543" spans="1:8" customFormat="1" x14ac:dyDescent="0.25">
      <c r="A4543" t="str">
        <f>"703361"</f>
        <v>703361</v>
      </c>
      <c r="B4543" t="s">
        <v>7655</v>
      </c>
      <c r="C4543" t="s">
        <v>285</v>
      </c>
      <c r="D4543" s="21" t="s">
        <v>34</v>
      </c>
      <c r="E4543" s="21" t="s">
        <v>35</v>
      </c>
      <c r="F4543">
        <v>6520004</v>
      </c>
      <c r="G4543" t="s">
        <v>5152</v>
      </c>
      <c r="H4543" s="21">
        <v>1221.79</v>
      </c>
    </row>
    <row r="4544" spans="1:8" customFormat="1" x14ac:dyDescent="0.25">
      <c r="A4544" t="str">
        <f>"5723502"</f>
        <v>5723502</v>
      </c>
      <c r="B4544" t="s">
        <v>26862</v>
      </c>
      <c r="C4544" t="s">
        <v>209</v>
      </c>
      <c r="D4544" s="21" t="s">
        <v>34</v>
      </c>
      <c r="E4544" s="21" t="s">
        <v>35</v>
      </c>
      <c r="F4544">
        <v>6570027</v>
      </c>
      <c r="G4544" t="s">
        <v>395</v>
      </c>
      <c r="H4544" s="21">
        <v>1221.67</v>
      </c>
    </row>
    <row r="4545" spans="1:8" customFormat="1" x14ac:dyDescent="0.25">
      <c r="A4545" t="str">
        <f>"881262"</f>
        <v>881262</v>
      </c>
      <c r="B4545" t="s">
        <v>5131</v>
      </c>
      <c r="C4545" t="s">
        <v>934</v>
      </c>
      <c r="D4545" s="21" t="s">
        <v>34</v>
      </c>
      <c r="E4545" s="21" t="s">
        <v>35</v>
      </c>
      <c r="F4545">
        <v>6880002</v>
      </c>
      <c r="G4545" t="s">
        <v>501</v>
      </c>
      <c r="H4545" s="21">
        <v>1221.67</v>
      </c>
    </row>
    <row r="4546" spans="1:8" customFormat="1" x14ac:dyDescent="0.25">
      <c r="A4546" t="str">
        <f>"711601"</f>
        <v>711601</v>
      </c>
      <c r="B4546" t="s">
        <v>4699</v>
      </c>
      <c r="C4546" t="s">
        <v>55</v>
      </c>
      <c r="D4546" s="21" t="s">
        <v>34</v>
      </c>
      <c r="E4546" s="21" t="s">
        <v>35</v>
      </c>
      <c r="F4546">
        <v>2710067</v>
      </c>
      <c r="G4546" t="s">
        <v>284</v>
      </c>
      <c r="H4546" s="21">
        <v>1221.67</v>
      </c>
    </row>
    <row r="4547" spans="1:8" customFormat="1" x14ac:dyDescent="0.25">
      <c r="A4547" t="str">
        <f>"131901"</f>
        <v>131901</v>
      </c>
      <c r="B4547" t="s">
        <v>5247</v>
      </c>
      <c r="C4547" t="s">
        <v>33</v>
      </c>
      <c r="D4547" s="21" t="s">
        <v>34</v>
      </c>
      <c r="E4547" s="21" t="s">
        <v>35</v>
      </c>
      <c r="F4547">
        <v>13050005</v>
      </c>
      <c r="G4547" t="s">
        <v>5248</v>
      </c>
      <c r="H4547" s="21">
        <v>1221.67</v>
      </c>
    </row>
    <row r="4548" spans="1:8" customFormat="1" x14ac:dyDescent="0.25">
      <c r="A4548" t="str">
        <f>"873313"</f>
        <v>873313</v>
      </c>
      <c r="B4548" t="s">
        <v>5002</v>
      </c>
      <c r="C4548" t="s">
        <v>87</v>
      </c>
      <c r="D4548" s="21" t="s">
        <v>34</v>
      </c>
      <c r="E4548" s="21" t="s">
        <v>254</v>
      </c>
      <c r="F4548">
        <v>10870116</v>
      </c>
      <c r="G4548" t="s">
        <v>1806</v>
      </c>
      <c r="H4548" s="21">
        <v>1221.67</v>
      </c>
    </row>
    <row r="4549" spans="1:8" customFormat="1" x14ac:dyDescent="0.25">
      <c r="A4549" t="str">
        <f>"4445080"</f>
        <v>4445080</v>
      </c>
      <c r="B4549" t="s">
        <v>26029</v>
      </c>
      <c r="C4549" t="s">
        <v>1359</v>
      </c>
      <c r="D4549" s="21" t="s">
        <v>34</v>
      </c>
      <c r="E4549" s="21" t="s">
        <v>35</v>
      </c>
      <c r="F4549">
        <v>12440048</v>
      </c>
      <c r="G4549" t="s">
        <v>2090</v>
      </c>
      <c r="H4549" s="21">
        <v>1221.67</v>
      </c>
    </row>
    <row r="4550" spans="1:8" customFormat="1" x14ac:dyDescent="0.25">
      <c r="A4550" t="str">
        <f>"9517985"</f>
        <v>9517985</v>
      </c>
      <c r="B4550" t="s">
        <v>3978</v>
      </c>
      <c r="C4550" t="s">
        <v>462</v>
      </c>
      <c r="D4550" s="21" t="s">
        <v>34</v>
      </c>
      <c r="E4550" s="21" t="s">
        <v>35</v>
      </c>
      <c r="F4550">
        <v>8950083</v>
      </c>
      <c r="G4550" t="s">
        <v>405</v>
      </c>
      <c r="H4550" s="21">
        <v>1221.67</v>
      </c>
    </row>
    <row r="4551" spans="1:8" customFormat="1" x14ac:dyDescent="0.25">
      <c r="A4551" t="str">
        <f>"508335"</f>
        <v>508335</v>
      </c>
      <c r="B4551" t="s">
        <v>5649</v>
      </c>
      <c r="C4551" t="s">
        <v>598</v>
      </c>
      <c r="D4551" s="21" t="s">
        <v>34</v>
      </c>
      <c r="E4551" s="21" t="s">
        <v>71</v>
      </c>
      <c r="F4551">
        <v>9500131</v>
      </c>
      <c r="G4551" t="s">
        <v>1073</v>
      </c>
      <c r="H4551" s="21">
        <v>1221.67</v>
      </c>
    </row>
    <row r="4552" spans="1:8" customFormat="1" x14ac:dyDescent="0.25">
      <c r="A4552" t="str">
        <f>"894380"</f>
        <v>894380</v>
      </c>
      <c r="B4552" t="s">
        <v>5135</v>
      </c>
      <c r="C4552" t="s">
        <v>486</v>
      </c>
      <c r="D4552" s="21" t="s">
        <v>34</v>
      </c>
      <c r="E4552" s="21" t="s">
        <v>71</v>
      </c>
      <c r="F4552">
        <v>2890006</v>
      </c>
      <c r="G4552" t="s">
        <v>2044</v>
      </c>
      <c r="H4552" s="21">
        <v>1221.67</v>
      </c>
    </row>
    <row r="4553" spans="1:8" customFormat="1" x14ac:dyDescent="0.25">
      <c r="A4553" t="str">
        <f>"5912323"</f>
        <v>5912323</v>
      </c>
      <c r="B4553" t="s">
        <v>26863</v>
      </c>
      <c r="C4553" t="s">
        <v>169</v>
      </c>
      <c r="D4553" s="21" t="s">
        <v>34</v>
      </c>
      <c r="E4553" s="21" t="s">
        <v>35</v>
      </c>
      <c r="F4553">
        <v>7590137</v>
      </c>
      <c r="G4553" t="s">
        <v>4246</v>
      </c>
      <c r="H4553" s="21">
        <v>1221.67</v>
      </c>
    </row>
    <row r="4554" spans="1:8" customFormat="1" x14ac:dyDescent="0.25">
      <c r="A4554" t="str">
        <f>"2510621"</f>
        <v>2510621</v>
      </c>
      <c r="B4554" t="s">
        <v>5583</v>
      </c>
      <c r="C4554" t="s">
        <v>33</v>
      </c>
      <c r="D4554" s="21" t="s">
        <v>34</v>
      </c>
      <c r="E4554" s="21" t="s">
        <v>35</v>
      </c>
      <c r="F4554">
        <v>2250154</v>
      </c>
      <c r="G4554" t="s">
        <v>1973</v>
      </c>
      <c r="H4554" s="21">
        <v>1221.42</v>
      </c>
    </row>
    <row r="4555" spans="1:8" customFormat="1" x14ac:dyDescent="0.25">
      <c r="A4555" t="str">
        <f>"7613919"</f>
        <v>7613919</v>
      </c>
      <c r="B4555" t="s">
        <v>5324</v>
      </c>
      <c r="C4555" t="s">
        <v>169</v>
      </c>
      <c r="D4555" s="21" t="s">
        <v>34</v>
      </c>
      <c r="E4555" s="21" t="s">
        <v>35</v>
      </c>
      <c r="F4555">
        <v>9760221</v>
      </c>
      <c r="G4555" t="s">
        <v>1306</v>
      </c>
      <c r="H4555" s="21">
        <v>1221.42</v>
      </c>
    </row>
    <row r="4556" spans="1:8" customFormat="1" x14ac:dyDescent="0.25">
      <c r="A4556" t="str">
        <f>"186529"</f>
        <v>186529</v>
      </c>
      <c r="B4556" t="s">
        <v>5294</v>
      </c>
      <c r="C4556" t="s">
        <v>90</v>
      </c>
      <c r="D4556" s="21" t="s">
        <v>34</v>
      </c>
      <c r="E4556" s="21" t="s">
        <v>35</v>
      </c>
      <c r="F4556">
        <v>4180486</v>
      </c>
      <c r="G4556" t="s">
        <v>5295</v>
      </c>
      <c r="H4556" s="21">
        <v>1221.17</v>
      </c>
    </row>
    <row r="4557" spans="1:8" customFormat="1" x14ac:dyDescent="0.25">
      <c r="A4557" t="str">
        <f>"282842"</f>
        <v>282842</v>
      </c>
      <c r="B4557" t="s">
        <v>577</v>
      </c>
      <c r="C4557" t="s">
        <v>2301</v>
      </c>
      <c r="D4557" s="21" t="s">
        <v>34</v>
      </c>
      <c r="E4557" s="21" t="s">
        <v>254</v>
      </c>
      <c r="F4557">
        <v>4280322</v>
      </c>
      <c r="G4557" t="s">
        <v>265</v>
      </c>
      <c r="H4557" s="21">
        <v>1221.17</v>
      </c>
    </row>
    <row r="4558" spans="1:8" customFormat="1" x14ac:dyDescent="0.25">
      <c r="A4558" t="str">
        <f>"625384"</f>
        <v>625384</v>
      </c>
      <c r="B4558" t="s">
        <v>4658</v>
      </c>
      <c r="C4558" t="s">
        <v>1199</v>
      </c>
      <c r="D4558" s="21" t="s">
        <v>34</v>
      </c>
      <c r="E4558" s="21" t="s">
        <v>71</v>
      </c>
      <c r="F4558">
        <v>7620058</v>
      </c>
      <c r="G4558" t="s">
        <v>602</v>
      </c>
      <c r="H4558" s="21">
        <v>1221.17</v>
      </c>
    </row>
    <row r="4559" spans="1:8" customFormat="1" x14ac:dyDescent="0.25">
      <c r="A4559" t="str">
        <f>"72501"</f>
        <v>72501</v>
      </c>
      <c r="B4559" t="s">
        <v>4522</v>
      </c>
      <c r="C4559" t="s">
        <v>187</v>
      </c>
      <c r="D4559" s="21" t="s">
        <v>34</v>
      </c>
      <c r="E4559" s="21" t="s">
        <v>71</v>
      </c>
      <c r="F4559">
        <v>12720004</v>
      </c>
      <c r="G4559" t="s">
        <v>2328</v>
      </c>
      <c r="H4559" s="21">
        <v>1221.17</v>
      </c>
    </row>
    <row r="4560" spans="1:8" customFormat="1" x14ac:dyDescent="0.25">
      <c r="A4560" t="str">
        <f>"7832227"</f>
        <v>7832227</v>
      </c>
      <c r="B4560" t="s">
        <v>4543</v>
      </c>
      <c r="C4560" t="s">
        <v>33</v>
      </c>
      <c r="D4560" s="21" t="s">
        <v>34</v>
      </c>
      <c r="E4560" s="21" t="s">
        <v>71</v>
      </c>
      <c r="F4560">
        <v>9270060</v>
      </c>
      <c r="G4560" t="s">
        <v>1982</v>
      </c>
      <c r="H4560" s="21">
        <v>1221.17</v>
      </c>
    </row>
    <row r="4561" spans="1:8" customFormat="1" x14ac:dyDescent="0.25">
      <c r="A4561" t="str">
        <f>"7511670"</f>
        <v>7511670</v>
      </c>
      <c r="B4561" t="s">
        <v>5629</v>
      </c>
      <c r="C4561" t="s">
        <v>109</v>
      </c>
      <c r="D4561" s="21" t="s">
        <v>34</v>
      </c>
      <c r="E4561" s="21" t="s">
        <v>35</v>
      </c>
      <c r="F4561">
        <v>10330013</v>
      </c>
      <c r="G4561" t="s">
        <v>613</v>
      </c>
      <c r="H4561" s="21">
        <v>1221.17</v>
      </c>
    </row>
    <row r="4562" spans="1:8" customFormat="1" x14ac:dyDescent="0.25">
      <c r="A4562" t="str">
        <f>"082154"</f>
        <v>082154</v>
      </c>
      <c r="B4562" t="s">
        <v>5824</v>
      </c>
      <c r="C4562" t="s">
        <v>249</v>
      </c>
      <c r="D4562" s="21" t="s">
        <v>34</v>
      </c>
      <c r="E4562" s="21" t="s">
        <v>71</v>
      </c>
      <c r="F4562">
        <v>6080064</v>
      </c>
      <c r="G4562" t="s">
        <v>5825</v>
      </c>
      <c r="H4562" s="21">
        <v>1221.17</v>
      </c>
    </row>
    <row r="4563" spans="1:8" customFormat="1" x14ac:dyDescent="0.25">
      <c r="A4563" t="str">
        <f>"2924224"</f>
        <v>2924224</v>
      </c>
      <c r="B4563" t="s">
        <v>2036</v>
      </c>
      <c r="C4563" t="s">
        <v>187</v>
      </c>
      <c r="D4563" s="21" t="s">
        <v>34</v>
      </c>
      <c r="E4563" s="21" t="s">
        <v>71</v>
      </c>
      <c r="F4563">
        <v>3290285</v>
      </c>
      <c r="G4563" t="s">
        <v>2234</v>
      </c>
      <c r="H4563" s="21">
        <v>1221.04</v>
      </c>
    </row>
    <row r="4564" spans="1:8" customFormat="1" x14ac:dyDescent="0.25">
      <c r="A4564" t="str">
        <f>"278289"</f>
        <v>278289</v>
      </c>
      <c r="B4564" t="s">
        <v>2962</v>
      </c>
      <c r="C4564" t="s">
        <v>169</v>
      </c>
      <c r="D4564" s="21" t="s">
        <v>34</v>
      </c>
      <c r="E4564" s="21" t="s">
        <v>71</v>
      </c>
      <c r="F4564">
        <v>9270137</v>
      </c>
      <c r="G4564" t="s">
        <v>3714</v>
      </c>
      <c r="H4564" s="21">
        <v>1221.04</v>
      </c>
    </row>
    <row r="4565" spans="1:8" customFormat="1" x14ac:dyDescent="0.25">
      <c r="A4565" t="str">
        <f>"7626989"</f>
        <v>7626989</v>
      </c>
      <c r="B4565" t="s">
        <v>5373</v>
      </c>
      <c r="C4565" t="s">
        <v>825</v>
      </c>
      <c r="D4565" s="21" t="s">
        <v>34</v>
      </c>
      <c r="E4565" s="21" t="s">
        <v>254</v>
      </c>
      <c r="F4565">
        <v>9760168</v>
      </c>
      <c r="G4565" t="s">
        <v>179</v>
      </c>
      <c r="H4565" s="21">
        <v>1220.8</v>
      </c>
    </row>
    <row r="4566" spans="1:8" customFormat="1" x14ac:dyDescent="0.25">
      <c r="A4566" t="str">
        <f>"28262"</f>
        <v>28262</v>
      </c>
      <c r="B4566" t="s">
        <v>5945</v>
      </c>
      <c r="C4566" t="s">
        <v>33</v>
      </c>
      <c r="D4566" s="21" t="s">
        <v>34</v>
      </c>
      <c r="E4566" s="21" t="s">
        <v>71</v>
      </c>
      <c r="F4566">
        <v>4280038</v>
      </c>
      <c r="G4566" t="s">
        <v>2526</v>
      </c>
      <c r="H4566" s="21">
        <v>1220.8</v>
      </c>
    </row>
    <row r="4567" spans="1:8" customFormat="1" x14ac:dyDescent="0.25">
      <c r="A4567" t="str">
        <f>"916618"</f>
        <v>916618</v>
      </c>
      <c r="B4567" t="s">
        <v>4521</v>
      </c>
      <c r="C4567" t="s">
        <v>1142</v>
      </c>
      <c r="D4567" s="21" t="s">
        <v>34</v>
      </c>
      <c r="E4567" s="21" t="s">
        <v>254</v>
      </c>
      <c r="F4567">
        <v>8910434</v>
      </c>
      <c r="G4567" t="s">
        <v>681</v>
      </c>
      <c r="H4567" s="21">
        <v>1220.67</v>
      </c>
    </row>
    <row r="4568" spans="1:8" customFormat="1" x14ac:dyDescent="0.25">
      <c r="A4568" t="str">
        <f>"7610911"</f>
        <v>7610911</v>
      </c>
      <c r="B4568" t="s">
        <v>3689</v>
      </c>
      <c r="C4568" t="s">
        <v>874</v>
      </c>
      <c r="D4568" s="21" t="s">
        <v>34</v>
      </c>
      <c r="E4568" s="21" t="s">
        <v>35</v>
      </c>
      <c r="F4568">
        <v>9760351</v>
      </c>
      <c r="G4568" t="s">
        <v>5898</v>
      </c>
      <c r="H4568" s="21">
        <v>1220.67</v>
      </c>
    </row>
    <row r="4569" spans="1:8" customFormat="1" x14ac:dyDescent="0.25">
      <c r="A4569" t="str">
        <f>"56903"</f>
        <v>56903</v>
      </c>
      <c r="B4569" t="s">
        <v>5057</v>
      </c>
      <c r="C4569" t="s">
        <v>1597</v>
      </c>
      <c r="D4569" s="21" t="s">
        <v>34</v>
      </c>
      <c r="E4569" s="21" t="s">
        <v>1089</v>
      </c>
      <c r="F4569">
        <v>3290215</v>
      </c>
      <c r="G4569" t="s">
        <v>5058</v>
      </c>
      <c r="H4569" s="21">
        <v>1220.67</v>
      </c>
    </row>
    <row r="4570" spans="1:8" customFormat="1" x14ac:dyDescent="0.25">
      <c r="A4570" t="str">
        <f>"9245571"</f>
        <v>9245571</v>
      </c>
      <c r="B4570" t="s">
        <v>6081</v>
      </c>
      <c r="C4570" t="s">
        <v>269</v>
      </c>
      <c r="D4570" s="21" t="s">
        <v>34</v>
      </c>
      <c r="E4570" s="21" t="s">
        <v>71</v>
      </c>
      <c r="F4570">
        <v>8920137</v>
      </c>
      <c r="G4570" t="s">
        <v>6082</v>
      </c>
      <c r="H4570" s="21">
        <v>1220.42</v>
      </c>
    </row>
    <row r="4571" spans="1:8" customFormat="1" x14ac:dyDescent="0.25">
      <c r="A4571" t="str">
        <f>"7715711"</f>
        <v>7715711</v>
      </c>
      <c r="B4571" t="s">
        <v>4627</v>
      </c>
      <c r="C4571" t="s">
        <v>269</v>
      </c>
      <c r="D4571" s="21" t="s">
        <v>34</v>
      </c>
      <c r="E4571" s="21" t="s">
        <v>71</v>
      </c>
      <c r="F4571">
        <v>8770489</v>
      </c>
      <c r="G4571" t="s">
        <v>1763</v>
      </c>
      <c r="H4571" s="21">
        <v>1220.42</v>
      </c>
    </row>
    <row r="4572" spans="1:8" customFormat="1" x14ac:dyDescent="0.25">
      <c r="A4572" t="str">
        <f>"9725091"</f>
        <v>9725091</v>
      </c>
      <c r="B4572" t="s">
        <v>2405</v>
      </c>
      <c r="C4572" t="s">
        <v>2520</v>
      </c>
      <c r="D4572" s="21" t="s">
        <v>34</v>
      </c>
      <c r="E4572" s="21" t="s">
        <v>35</v>
      </c>
      <c r="F4572" t="s">
        <v>2462</v>
      </c>
      <c r="G4572" t="s">
        <v>2463</v>
      </c>
      <c r="H4572" s="21">
        <v>1220.42</v>
      </c>
    </row>
    <row r="4573" spans="1:8" customFormat="1" x14ac:dyDescent="0.25">
      <c r="A4573" t="str">
        <f>"9414131"</f>
        <v>9414131</v>
      </c>
      <c r="B4573" t="s">
        <v>5005</v>
      </c>
      <c r="C4573" t="s">
        <v>55</v>
      </c>
      <c r="D4573" s="21" t="s">
        <v>34</v>
      </c>
      <c r="E4573" s="21" t="s">
        <v>71</v>
      </c>
      <c r="F4573">
        <v>8940549</v>
      </c>
      <c r="G4573" t="s">
        <v>454</v>
      </c>
      <c r="H4573" s="21">
        <v>1220.3</v>
      </c>
    </row>
    <row r="4574" spans="1:8" customFormat="1" x14ac:dyDescent="0.25">
      <c r="A4574" t="str">
        <f>"508936"</f>
        <v>508936</v>
      </c>
      <c r="B4574" t="s">
        <v>4799</v>
      </c>
      <c r="C4574" t="s">
        <v>269</v>
      </c>
      <c r="D4574" s="21" t="s">
        <v>34</v>
      </c>
      <c r="E4574" s="21" t="s">
        <v>71</v>
      </c>
      <c r="F4574">
        <v>9500117</v>
      </c>
      <c r="G4574" t="s">
        <v>247</v>
      </c>
      <c r="H4574" s="21">
        <v>1220.29</v>
      </c>
    </row>
    <row r="4575" spans="1:8" customFormat="1" x14ac:dyDescent="0.25">
      <c r="A4575" t="str">
        <f>"806653"</f>
        <v>806653</v>
      </c>
      <c r="B4575" t="s">
        <v>5377</v>
      </c>
      <c r="C4575" t="s">
        <v>55</v>
      </c>
      <c r="D4575" s="21" t="s">
        <v>34</v>
      </c>
      <c r="E4575" s="21" t="s">
        <v>71</v>
      </c>
      <c r="F4575">
        <v>10400009</v>
      </c>
      <c r="G4575" t="s">
        <v>5378</v>
      </c>
      <c r="H4575" s="21">
        <v>1220.17</v>
      </c>
    </row>
    <row r="4576" spans="1:8" customFormat="1" x14ac:dyDescent="0.25">
      <c r="A4576" t="str">
        <f>"801152"</f>
        <v>801152</v>
      </c>
      <c r="B4576" t="s">
        <v>26864</v>
      </c>
      <c r="C4576" t="s">
        <v>204</v>
      </c>
      <c r="D4576" s="21" t="s">
        <v>34</v>
      </c>
      <c r="E4576" s="21" t="s">
        <v>71</v>
      </c>
      <c r="F4576">
        <v>7020030</v>
      </c>
      <c r="G4576" t="s">
        <v>1796</v>
      </c>
      <c r="H4576" s="21">
        <v>1220.17</v>
      </c>
    </row>
    <row r="4577" spans="1:8" customFormat="1" x14ac:dyDescent="0.25">
      <c r="A4577" t="str">
        <f>"4455813"</f>
        <v>4455813</v>
      </c>
      <c r="B4577" t="s">
        <v>7345</v>
      </c>
      <c r="C4577" t="s">
        <v>598</v>
      </c>
      <c r="D4577" s="21" t="s">
        <v>34</v>
      </c>
      <c r="E4577" s="21" t="s">
        <v>35</v>
      </c>
      <c r="F4577">
        <v>12440021</v>
      </c>
      <c r="G4577" t="s">
        <v>429</v>
      </c>
      <c r="H4577" s="21">
        <v>1220.17</v>
      </c>
    </row>
    <row r="4578" spans="1:8" customFormat="1" x14ac:dyDescent="0.25">
      <c r="A4578" t="str">
        <f>"5914631"</f>
        <v>5914631</v>
      </c>
      <c r="B4578" t="s">
        <v>5620</v>
      </c>
      <c r="C4578" t="s">
        <v>65</v>
      </c>
      <c r="D4578" s="21" t="s">
        <v>34</v>
      </c>
      <c r="E4578" s="21" t="s">
        <v>35</v>
      </c>
      <c r="F4578">
        <v>7590071</v>
      </c>
      <c r="G4578" t="s">
        <v>2602</v>
      </c>
      <c r="H4578" s="21">
        <v>1220.17</v>
      </c>
    </row>
    <row r="4579" spans="1:8" customFormat="1" x14ac:dyDescent="0.25">
      <c r="A4579" t="str">
        <f>"772766"</f>
        <v>772766</v>
      </c>
      <c r="B4579" t="s">
        <v>3146</v>
      </c>
      <c r="C4579" t="s">
        <v>269</v>
      </c>
      <c r="D4579" s="21" t="s">
        <v>34</v>
      </c>
      <c r="E4579" s="21" t="s">
        <v>71</v>
      </c>
      <c r="F4579">
        <v>8770135</v>
      </c>
      <c r="G4579" t="s">
        <v>26830</v>
      </c>
      <c r="H4579" s="21">
        <v>1220.17</v>
      </c>
    </row>
    <row r="4580" spans="1:8" customFormat="1" x14ac:dyDescent="0.25">
      <c r="A4580" t="str">
        <f>"2917547"</f>
        <v>2917547</v>
      </c>
      <c r="B4580" t="s">
        <v>17852</v>
      </c>
      <c r="C4580" t="s">
        <v>854</v>
      </c>
      <c r="D4580" s="21" t="s">
        <v>34</v>
      </c>
      <c r="E4580" s="21" t="s">
        <v>35</v>
      </c>
      <c r="F4580">
        <v>3290223</v>
      </c>
      <c r="G4580" t="s">
        <v>2636</v>
      </c>
      <c r="H4580" s="21">
        <v>1220.17</v>
      </c>
    </row>
    <row r="4581" spans="1:8" customFormat="1" x14ac:dyDescent="0.25">
      <c r="A4581" t="str">
        <f>"837036"</f>
        <v>837036</v>
      </c>
      <c r="B4581" t="s">
        <v>4902</v>
      </c>
      <c r="C4581" t="s">
        <v>249</v>
      </c>
      <c r="D4581" s="21" t="s">
        <v>34</v>
      </c>
      <c r="E4581" s="21" t="s">
        <v>71</v>
      </c>
      <c r="F4581">
        <v>13830083</v>
      </c>
      <c r="G4581" t="s">
        <v>2159</v>
      </c>
      <c r="H4581" s="21">
        <v>1220.05</v>
      </c>
    </row>
    <row r="4582" spans="1:8" customFormat="1" x14ac:dyDescent="0.25">
      <c r="A4582" t="str">
        <f>"742010"</f>
        <v>742010</v>
      </c>
      <c r="B4582" t="s">
        <v>5339</v>
      </c>
      <c r="C4582" t="s">
        <v>484</v>
      </c>
      <c r="D4582" s="21" t="s">
        <v>34</v>
      </c>
      <c r="E4582" s="21" t="s">
        <v>35</v>
      </c>
      <c r="F4582">
        <v>1740047</v>
      </c>
      <c r="G4582" t="s">
        <v>4512</v>
      </c>
      <c r="H4582" s="21">
        <v>1220</v>
      </c>
    </row>
    <row r="4583" spans="1:8" customFormat="1" x14ac:dyDescent="0.25">
      <c r="A4583" t="str">
        <f>"6935169"</f>
        <v>6935169</v>
      </c>
      <c r="B4583" t="s">
        <v>3978</v>
      </c>
      <c r="C4583" t="s">
        <v>40</v>
      </c>
      <c r="D4583" s="21" t="s">
        <v>34</v>
      </c>
      <c r="E4583" s="21" t="s">
        <v>35</v>
      </c>
      <c r="F4583">
        <v>1690221</v>
      </c>
      <c r="G4583" t="s">
        <v>303</v>
      </c>
      <c r="H4583" s="21">
        <v>1219.92</v>
      </c>
    </row>
    <row r="4584" spans="1:8" customFormat="1" x14ac:dyDescent="0.25">
      <c r="A4584" t="str">
        <f>"9447942"</f>
        <v>9447942</v>
      </c>
      <c r="B4584" t="s">
        <v>3058</v>
      </c>
      <c r="C4584" t="s">
        <v>121</v>
      </c>
      <c r="D4584" s="21" t="s">
        <v>34</v>
      </c>
      <c r="E4584" s="21" t="s">
        <v>35</v>
      </c>
      <c r="F4584">
        <v>8940976</v>
      </c>
      <c r="G4584" t="s">
        <v>615</v>
      </c>
      <c r="H4584" s="21">
        <v>1219.67</v>
      </c>
    </row>
    <row r="4585" spans="1:8" customFormat="1" x14ac:dyDescent="0.25">
      <c r="A4585" t="str">
        <f>"86214"</f>
        <v>86214</v>
      </c>
      <c r="B4585" t="s">
        <v>3209</v>
      </c>
      <c r="C4585" t="s">
        <v>1142</v>
      </c>
      <c r="D4585" s="21" t="s">
        <v>34</v>
      </c>
      <c r="E4585" s="21" t="s">
        <v>71</v>
      </c>
      <c r="F4585">
        <v>10860035</v>
      </c>
      <c r="G4585" t="s">
        <v>4019</v>
      </c>
      <c r="H4585" s="21">
        <v>1219.67</v>
      </c>
    </row>
    <row r="4586" spans="1:8" customFormat="1" x14ac:dyDescent="0.25">
      <c r="A4586" t="str">
        <f>"1420162"</f>
        <v>1420162</v>
      </c>
      <c r="B4586" t="s">
        <v>5660</v>
      </c>
      <c r="C4586" t="s">
        <v>302</v>
      </c>
      <c r="D4586" s="21" t="s">
        <v>34</v>
      </c>
      <c r="E4586" s="21" t="s">
        <v>35</v>
      </c>
      <c r="F4586">
        <v>9140115</v>
      </c>
      <c r="G4586" t="s">
        <v>26590</v>
      </c>
      <c r="H4586" s="21">
        <v>1219.67</v>
      </c>
    </row>
    <row r="4587" spans="1:8" customFormat="1" x14ac:dyDescent="0.25">
      <c r="A4587" t="str">
        <f>"593500"</f>
        <v>593500</v>
      </c>
      <c r="B4587" t="s">
        <v>2794</v>
      </c>
      <c r="C4587" t="s">
        <v>263</v>
      </c>
      <c r="D4587" s="21" t="s">
        <v>34</v>
      </c>
      <c r="E4587" s="21" t="s">
        <v>35</v>
      </c>
      <c r="F4587">
        <v>7590014</v>
      </c>
      <c r="G4587" t="s">
        <v>1326</v>
      </c>
      <c r="H4587" s="21">
        <v>1219.67</v>
      </c>
    </row>
    <row r="4588" spans="1:8" customFormat="1" x14ac:dyDescent="0.25">
      <c r="A4588" t="str">
        <f>"733367"</f>
        <v>733367</v>
      </c>
      <c r="B4588" t="s">
        <v>4600</v>
      </c>
      <c r="C4588" t="s">
        <v>33</v>
      </c>
      <c r="D4588" s="21" t="s">
        <v>34</v>
      </c>
      <c r="E4588" s="21" t="s">
        <v>35</v>
      </c>
      <c r="F4588">
        <v>1730068</v>
      </c>
      <c r="G4588" t="s">
        <v>3375</v>
      </c>
      <c r="H4588" s="21">
        <v>1219.17</v>
      </c>
    </row>
    <row r="4589" spans="1:8" customFormat="1" x14ac:dyDescent="0.25">
      <c r="A4589" t="str">
        <f>"381367"</f>
        <v>381367</v>
      </c>
      <c r="B4589" t="s">
        <v>5306</v>
      </c>
      <c r="C4589" t="s">
        <v>415</v>
      </c>
      <c r="D4589" s="21" t="s">
        <v>34</v>
      </c>
      <c r="E4589" s="21" t="s">
        <v>35</v>
      </c>
      <c r="F4589">
        <v>1380057</v>
      </c>
      <c r="G4589" t="s">
        <v>26700</v>
      </c>
      <c r="H4589" s="21">
        <v>1219.17</v>
      </c>
    </row>
    <row r="4590" spans="1:8" customFormat="1" x14ac:dyDescent="0.25">
      <c r="A4590" t="str">
        <f>"608194"</f>
        <v>608194</v>
      </c>
      <c r="B4590" t="s">
        <v>5268</v>
      </c>
      <c r="C4590" t="s">
        <v>415</v>
      </c>
      <c r="D4590" s="21" t="s">
        <v>34</v>
      </c>
      <c r="E4590" s="21" t="s">
        <v>71</v>
      </c>
      <c r="F4590">
        <v>7600086</v>
      </c>
      <c r="G4590" t="s">
        <v>2399</v>
      </c>
      <c r="H4590" s="21">
        <v>1219.17</v>
      </c>
    </row>
    <row r="4591" spans="1:8" customFormat="1" x14ac:dyDescent="0.25">
      <c r="A4591" t="str">
        <f>"213691"</f>
        <v>213691</v>
      </c>
      <c r="B4591" t="s">
        <v>4331</v>
      </c>
      <c r="C4591" t="s">
        <v>121</v>
      </c>
      <c r="D4591" s="21" t="s">
        <v>34</v>
      </c>
      <c r="E4591" s="21" t="s">
        <v>35</v>
      </c>
      <c r="F4591">
        <v>2210100</v>
      </c>
      <c r="G4591" t="s">
        <v>1608</v>
      </c>
      <c r="H4591" s="21">
        <v>1219.17</v>
      </c>
    </row>
    <row r="4592" spans="1:8" customFormat="1" x14ac:dyDescent="0.25">
      <c r="A4592" t="str">
        <f>"594584"</f>
        <v>594584</v>
      </c>
      <c r="B4592" t="s">
        <v>5217</v>
      </c>
      <c r="C4592" t="s">
        <v>462</v>
      </c>
      <c r="D4592" s="21" t="s">
        <v>34</v>
      </c>
      <c r="E4592" s="21" t="s">
        <v>35</v>
      </c>
      <c r="F4592">
        <v>7590223</v>
      </c>
      <c r="G4592" t="s">
        <v>5218</v>
      </c>
      <c r="H4592" s="21">
        <v>1219.17</v>
      </c>
    </row>
    <row r="4593" spans="1:8" customFormat="1" x14ac:dyDescent="0.25">
      <c r="A4593" t="str">
        <f>"59577"</f>
        <v>59577</v>
      </c>
      <c r="B4593" t="s">
        <v>4871</v>
      </c>
      <c r="C4593" t="s">
        <v>62</v>
      </c>
      <c r="D4593" s="21" t="s">
        <v>34</v>
      </c>
      <c r="E4593" s="21" t="s">
        <v>35</v>
      </c>
      <c r="F4593">
        <v>7590044</v>
      </c>
      <c r="G4593" t="s">
        <v>2029</v>
      </c>
      <c r="H4593" s="21">
        <v>1219.17</v>
      </c>
    </row>
    <row r="4594" spans="1:8" customFormat="1" x14ac:dyDescent="0.25">
      <c r="A4594" t="str">
        <f>"803328"</f>
        <v>803328</v>
      </c>
      <c r="B4594" t="s">
        <v>6053</v>
      </c>
      <c r="C4594" t="s">
        <v>275</v>
      </c>
      <c r="D4594" s="21" t="s">
        <v>34</v>
      </c>
      <c r="E4594" s="21" t="s">
        <v>35</v>
      </c>
      <c r="F4594">
        <v>7800074</v>
      </c>
      <c r="G4594" t="s">
        <v>7104</v>
      </c>
      <c r="H4594" s="21">
        <v>1219.17</v>
      </c>
    </row>
    <row r="4595" spans="1:8" customFormat="1" x14ac:dyDescent="0.25">
      <c r="A4595" t="str">
        <f>"537152"</f>
        <v>537152</v>
      </c>
      <c r="B4595" t="s">
        <v>4904</v>
      </c>
      <c r="C4595" t="s">
        <v>2907</v>
      </c>
      <c r="D4595" s="21" t="s">
        <v>34</v>
      </c>
      <c r="E4595" s="21" t="s">
        <v>35</v>
      </c>
      <c r="F4595">
        <v>12530070</v>
      </c>
      <c r="G4595" t="s">
        <v>4905</v>
      </c>
      <c r="H4595" s="21">
        <v>1219.17</v>
      </c>
    </row>
    <row r="4596" spans="1:8" customFormat="1" x14ac:dyDescent="0.25">
      <c r="A4596" t="str">
        <f>"2711615"</f>
        <v>2711615</v>
      </c>
      <c r="B4596" t="s">
        <v>5106</v>
      </c>
      <c r="C4596" t="s">
        <v>926</v>
      </c>
      <c r="D4596" s="21" t="s">
        <v>34</v>
      </c>
      <c r="E4596" s="21" t="s">
        <v>254</v>
      </c>
      <c r="F4596">
        <v>9270060</v>
      </c>
      <c r="G4596" t="s">
        <v>1982</v>
      </c>
      <c r="H4596" s="21">
        <v>1219.17</v>
      </c>
    </row>
    <row r="4597" spans="1:8" customFormat="1" x14ac:dyDescent="0.25">
      <c r="A4597" t="str">
        <f>"9125944"</f>
        <v>9125944</v>
      </c>
      <c r="B4597" t="s">
        <v>26865</v>
      </c>
      <c r="C4597" t="s">
        <v>269</v>
      </c>
      <c r="D4597" s="21" t="s">
        <v>34</v>
      </c>
      <c r="E4597" s="21" t="s">
        <v>35</v>
      </c>
      <c r="F4597">
        <v>4280529</v>
      </c>
      <c r="G4597" t="s">
        <v>2970</v>
      </c>
      <c r="H4597" s="21">
        <v>1219.05</v>
      </c>
    </row>
    <row r="4598" spans="1:8" customFormat="1" x14ac:dyDescent="0.25">
      <c r="A4598" t="str">
        <f>"7710061"</f>
        <v>7710061</v>
      </c>
      <c r="B4598" t="s">
        <v>4794</v>
      </c>
      <c r="C4598" t="s">
        <v>415</v>
      </c>
      <c r="D4598" s="21" t="s">
        <v>34</v>
      </c>
      <c r="E4598" s="21" t="s">
        <v>71</v>
      </c>
      <c r="F4598">
        <v>8770895</v>
      </c>
      <c r="G4598" t="s">
        <v>4795</v>
      </c>
      <c r="H4598" s="21">
        <v>1218.93</v>
      </c>
    </row>
    <row r="4599" spans="1:8" customFormat="1" x14ac:dyDescent="0.25">
      <c r="A4599" t="str">
        <f>"79231"</f>
        <v>79231</v>
      </c>
      <c r="B4599" t="s">
        <v>5362</v>
      </c>
      <c r="C4599" t="s">
        <v>3010</v>
      </c>
      <c r="D4599" s="21" t="s">
        <v>34</v>
      </c>
      <c r="E4599" s="21" t="s">
        <v>71</v>
      </c>
      <c r="F4599">
        <v>10790011</v>
      </c>
      <c r="G4599" t="s">
        <v>1654</v>
      </c>
      <c r="H4599" s="21">
        <v>1218.67</v>
      </c>
    </row>
    <row r="4600" spans="1:8" customFormat="1" x14ac:dyDescent="0.25">
      <c r="A4600" t="str">
        <f>"7818897"</f>
        <v>7818897</v>
      </c>
      <c r="B4600" t="s">
        <v>4090</v>
      </c>
      <c r="C4600" t="s">
        <v>43</v>
      </c>
      <c r="D4600" s="21" t="s">
        <v>34</v>
      </c>
      <c r="E4600" s="21" t="s">
        <v>35</v>
      </c>
      <c r="F4600">
        <v>8781471</v>
      </c>
      <c r="G4600" t="s">
        <v>9616</v>
      </c>
      <c r="H4600" s="21">
        <v>1218.67</v>
      </c>
    </row>
    <row r="4601" spans="1:8" customFormat="1" x14ac:dyDescent="0.25">
      <c r="A4601" t="str">
        <f>"9420241"</f>
        <v>9420241</v>
      </c>
      <c r="B4601" t="s">
        <v>3777</v>
      </c>
      <c r="C4601" t="s">
        <v>269</v>
      </c>
      <c r="D4601" s="21" t="s">
        <v>34</v>
      </c>
      <c r="E4601" s="21" t="s">
        <v>71</v>
      </c>
      <c r="F4601">
        <v>8941352</v>
      </c>
      <c r="G4601" t="s">
        <v>3778</v>
      </c>
      <c r="H4601" s="21">
        <v>1218.67</v>
      </c>
    </row>
    <row r="4602" spans="1:8" customFormat="1" x14ac:dyDescent="0.25">
      <c r="A4602" t="str">
        <f>"141657"</f>
        <v>141657</v>
      </c>
      <c r="B4602" t="s">
        <v>5815</v>
      </c>
      <c r="C4602" t="s">
        <v>3010</v>
      </c>
      <c r="D4602" s="21" t="s">
        <v>34</v>
      </c>
      <c r="E4602" s="21" t="s">
        <v>71</v>
      </c>
      <c r="F4602">
        <v>9140055</v>
      </c>
      <c r="G4602" t="s">
        <v>344</v>
      </c>
      <c r="H4602" s="21">
        <v>1218.67</v>
      </c>
    </row>
    <row r="4603" spans="1:8" customFormat="1" x14ac:dyDescent="0.25">
      <c r="A4603" t="str">
        <f>"402"</f>
        <v>402</v>
      </c>
      <c r="B4603" t="s">
        <v>4197</v>
      </c>
      <c r="C4603" t="s">
        <v>171</v>
      </c>
      <c r="D4603" s="21" t="s">
        <v>34</v>
      </c>
      <c r="E4603" s="21" t="s">
        <v>71</v>
      </c>
      <c r="F4603">
        <v>10400001</v>
      </c>
      <c r="G4603" t="s">
        <v>609</v>
      </c>
      <c r="H4603" s="21">
        <v>1218.42</v>
      </c>
    </row>
    <row r="4604" spans="1:8" customFormat="1" x14ac:dyDescent="0.25">
      <c r="A4604" t="str">
        <f>"949054"</f>
        <v>949054</v>
      </c>
      <c r="B4604" t="s">
        <v>26866</v>
      </c>
      <c r="C4604" t="s">
        <v>576</v>
      </c>
      <c r="D4604" s="21" t="s">
        <v>34</v>
      </c>
      <c r="E4604" s="21" t="s">
        <v>35</v>
      </c>
      <c r="F4604">
        <v>8941403</v>
      </c>
      <c r="G4604" t="s">
        <v>978</v>
      </c>
      <c r="H4604" s="21">
        <v>1218.3</v>
      </c>
    </row>
    <row r="4605" spans="1:8" customFormat="1" x14ac:dyDescent="0.25">
      <c r="A4605" t="str">
        <f>"9211150"</f>
        <v>9211150</v>
      </c>
      <c r="B4605" t="s">
        <v>5814</v>
      </c>
      <c r="C4605" t="s">
        <v>2072</v>
      </c>
      <c r="D4605" s="21" t="s">
        <v>34</v>
      </c>
      <c r="E4605" s="21" t="s">
        <v>35</v>
      </c>
      <c r="F4605">
        <v>8920140</v>
      </c>
      <c r="G4605" t="s">
        <v>3762</v>
      </c>
      <c r="H4605" s="21">
        <v>1218.17</v>
      </c>
    </row>
    <row r="4606" spans="1:8" customFormat="1" x14ac:dyDescent="0.25">
      <c r="A4606" t="str">
        <f>"5940223"</f>
        <v>5940223</v>
      </c>
      <c r="B4606" t="s">
        <v>6397</v>
      </c>
      <c r="C4606" t="s">
        <v>169</v>
      </c>
      <c r="D4606" s="21" t="s">
        <v>34</v>
      </c>
      <c r="E4606" s="21" t="s">
        <v>35</v>
      </c>
      <c r="F4606">
        <v>7590071</v>
      </c>
      <c r="G4606" t="s">
        <v>2602</v>
      </c>
      <c r="H4606" s="21">
        <v>1218.17</v>
      </c>
    </row>
    <row r="4607" spans="1:8" customFormat="1" x14ac:dyDescent="0.25">
      <c r="A4607" t="str">
        <f>"336748"</f>
        <v>336748</v>
      </c>
      <c r="B4607" t="s">
        <v>26867</v>
      </c>
      <c r="C4607" t="s">
        <v>33</v>
      </c>
      <c r="D4607" s="21" t="s">
        <v>34</v>
      </c>
      <c r="E4607" s="21" t="s">
        <v>35</v>
      </c>
      <c r="F4607">
        <v>10330089</v>
      </c>
      <c r="G4607" t="s">
        <v>3705</v>
      </c>
      <c r="H4607" s="21">
        <v>1218.17</v>
      </c>
    </row>
    <row r="4608" spans="1:8" customFormat="1" x14ac:dyDescent="0.25">
      <c r="A4608" t="str">
        <f>"9110864"</f>
        <v>9110864</v>
      </c>
      <c r="B4608" t="s">
        <v>17389</v>
      </c>
      <c r="C4608" t="s">
        <v>328</v>
      </c>
      <c r="D4608" s="21" t="s">
        <v>34</v>
      </c>
      <c r="E4608" s="21" t="s">
        <v>35</v>
      </c>
      <c r="F4608">
        <v>8910303</v>
      </c>
      <c r="G4608" t="s">
        <v>1244</v>
      </c>
      <c r="H4608" s="21">
        <v>1218.17</v>
      </c>
    </row>
    <row r="4609" spans="1:8" customFormat="1" x14ac:dyDescent="0.25">
      <c r="A4609" t="str">
        <f>"175773"</f>
        <v>175773</v>
      </c>
      <c r="B4609" t="s">
        <v>4879</v>
      </c>
      <c r="C4609" t="s">
        <v>209</v>
      </c>
      <c r="D4609" s="21" t="s">
        <v>34</v>
      </c>
      <c r="E4609" s="21" t="s">
        <v>71</v>
      </c>
      <c r="F4609">
        <v>10170028</v>
      </c>
      <c r="G4609" t="s">
        <v>649</v>
      </c>
      <c r="H4609" s="21">
        <v>1218.17</v>
      </c>
    </row>
    <row r="4610" spans="1:8" customFormat="1" x14ac:dyDescent="0.25">
      <c r="A4610" t="str">
        <f>"212446"</f>
        <v>212446</v>
      </c>
      <c r="B4610" t="s">
        <v>5019</v>
      </c>
      <c r="C4610" t="s">
        <v>288</v>
      </c>
      <c r="D4610" s="21" t="s">
        <v>34</v>
      </c>
      <c r="E4610" s="21" t="s">
        <v>71</v>
      </c>
      <c r="F4610">
        <v>2210005</v>
      </c>
      <c r="G4610" t="s">
        <v>5020</v>
      </c>
      <c r="H4610" s="21">
        <v>1218.17</v>
      </c>
    </row>
    <row r="4611" spans="1:8" customFormat="1" x14ac:dyDescent="0.25">
      <c r="A4611" t="str">
        <f>"592249"</f>
        <v>592249</v>
      </c>
      <c r="B4611" t="s">
        <v>5585</v>
      </c>
      <c r="C4611" t="s">
        <v>263</v>
      </c>
      <c r="D4611" s="21" t="s">
        <v>34</v>
      </c>
      <c r="E4611" s="21" t="s">
        <v>254</v>
      </c>
      <c r="F4611">
        <v>7590050</v>
      </c>
      <c r="G4611" t="s">
        <v>473</v>
      </c>
      <c r="H4611" s="21">
        <v>1218</v>
      </c>
    </row>
    <row r="4612" spans="1:8" customFormat="1" x14ac:dyDescent="0.25">
      <c r="A4612" t="str">
        <f>"9518456"</f>
        <v>9518456</v>
      </c>
      <c r="B4612" t="s">
        <v>5800</v>
      </c>
      <c r="C4612" t="s">
        <v>171</v>
      </c>
      <c r="D4612" s="21" t="s">
        <v>34</v>
      </c>
      <c r="E4612" s="21" t="s">
        <v>71</v>
      </c>
      <c r="F4612">
        <v>8951092</v>
      </c>
      <c r="G4612" t="s">
        <v>5801</v>
      </c>
      <c r="H4612" s="21">
        <v>1217.92</v>
      </c>
    </row>
    <row r="4613" spans="1:8" customFormat="1" x14ac:dyDescent="0.25">
      <c r="A4613" t="str">
        <f>"904039"</f>
        <v>904039</v>
      </c>
      <c r="B4613" t="s">
        <v>5389</v>
      </c>
      <c r="C4613" t="s">
        <v>598</v>
      </c>
      <c r="D4613" s="21" t="s">
        <v>34</v>
      </c>
      <c r="E4613" s="21" t="s">
        <v>35</v>
      </c>
      <c r="F4613">
        <v>2900013</v>
      </c>
      <c r="G4613" t="s">
        <v>5390</v>
      </c>
      <c r="H4613" s="21">
        <v>1217.67</v>
      </c>
    </row>
    <row r="4614" spans="1:8" customFormat="1" x14ac:dyDescent="0.25">
      <c r="A4614" t="str">
        <f>"809225"</f>
        <v>809225</v>
      </c>
      <c r="B4614" t="s">
        <v>23346</v>
      </c>
      <c r="C4614" t="s">
        <v>3073</v>
      </c>
      <c r="D4614" s="21" t="s">
        <v>34</v>
      </c>
      <c r="E4614" s="21" t="s">
        <v>71</v>
      </c>
      <c r="F4614">
        <v>7800125</v>
      </c>
      <c r="G4614" t="s">
        <v>11339</v>
      </c>
      <c r="H4614" s="21">
        <v>1217.67</v>
      </c>
    </row>
    <row r="4615" spans="1:8" customFormat="1" x14ac:dyDescent="0.25">
      <c r="A4615" t="str">
        <f>"2915316"</f>
        <v>2915316</v>
      </c>
      <c r="B4615" t="s">
        <v>5984</v>
      </c>
      <c r="C4615" t="s">
        <v>269</v>
      </c>
      <c r="D4615" s="21" t="s">
        <v>34</v>
      </c>
      <c r="E4615" s="21" t="s">
        <v>71</v>
      </c>
      <c r="F4615">
        <v>3290255</v>
      </c>
      <c r="G4615" t="s">
        <v>2852</v>
      </c>
      <c r="H4615" s="21">
        <v>1217.67</v>
      </c>
    </row>
    <row r="4616" spans="1:8" customFormat="1" x14ac:dyDescent="0.25">
      <c r="A4616" t="str">
        <f>"5019492"</f>
        <v>5019492</v>
      </c>
      <c r="B4616" t="s">
        <v>5073</v>
      </c>
      <c r="C4616" t="s">
        <v>249</v>
      </c>
      <c r="D4616" s="21" t="s">
        <v>34</v>
      </c>
      <c r="E4616" s="21" t="s">
        <v>71</v>
      </c>
      <c r="F4616">
        <v>9500157</v>
      </c>
      <c r="G4616" t="s">
        <v>5074</v>
      </c>
      <c r="H4616" s="21">
        <v>1217.67</v>
      </c>
    </row>
    <row r="4617" spans="1:8" customFormat="1" x14ac:dyDescent="0.25">
      <c r="A4617" t="str">
        <f>"572316"</f>
        <v>572316</v>
      </c>
      <c r="B4617" t="s">
        <v>2962</v>
      </c>
      <c r="C4617" t="s">
        <v>204</v>
      </c>
      <c r="D4617" s="21" t="s">
        <v>34</v>
      </c>
      <c r="E4617" s="21" t="s">
        <v>35</v>
      </c>
      <c r="F4617">
        <v>6570073</v>
      </c>
      <c r="G4617" t="s">
        <v>952</v>
      </c>
      <c r="H4617" s="21">
        <v>1217.67</v>
      </c>
    </row>
    <row r="4618" spans="1:8" customFormat="1" x14ac:dyDescent="0.25">
      <c r="A4618" t="str">
        <f>"417206"</f>
        <v>417206</v>
      </c>
      <c r="B4618" t="s">
        <v>5274</v>
      </c>
      <c r="C4618" t="s">
        <v>576</v>
      </c>
      <c r="D4618" s="21" t="s">
        <v>34</v>
      </c>
      <c r="E4618" s="21" t="s">
        <v>35</v>
      </c>
      <c r="F4618">
        <v>4410537</v>
      </c>
      <c r="G4618" t="s">
        <v>6515</v>
      </c>
      <c r="H4618" s="21">
        <v>1217.67</v>
      </c>
    </row>
    <row r="4619" spans="1:8" customFormat="1" x14ac:dyDescent="0.25">
      <c r="A4619" t="str">
        <f>"789163"</f>
        <v>789163</v>
      </c>
      <c r="B4619" t="s">
        <v>108</v>
      </c>
      <c r="C4619" t="s">
        <v>62</v>
      </c>
      <c r="D4619" s="21" t="s">
        <v>34</v>
      </c>
      <c r="E4619" s="21" t="s">
        <v>35</v>
      </c>
      <c r="F4619">
        <v>1690175</v>
      </c>
      <c r="G4619" t="s">
        <v>410</v>
      </c>
      <c r="H4619" s="21">
        <v>1217.67</v>
      </c>
    </row>
    <row r="4620" spans="1:8" customFormat="1" x14ac:dyDescent="0.25">
      <c r="A4620" t="str">
        <f>"768497"</f>
        <v>768497</v>
      </c>
      <c r="B4620" t="s">
        <v>4898</v>
      </c>
      <c r="C4620" t="s">
        <v>33</v>
      </c>
      <c r="D4620" s="21" t="s">
        <v>34</v>
      </c>
      <c r="E4620" s="21" t="s">
        <v>35</v>
      </c>
      <c r="F4620">
        <v>9760036</v>
      </c>
      <c r="G4620" t="s">
        <v>279</v>
      </c>
      <c r="H4620" s="21">
        <v>1217.67</v>
      </c>
    </row>
    <row r="4621" spans="1:8" customFormat="1" x14ac:dyDescent="0.25">
      <c r="A4621" t="str">
        <f>"3325087"</f>
        <v>3325087</v>
      </c>
      <c r="B4621" t="s">
        <v>5556</v>
      </c>
      <c r="C4621" t="s">
        <v>5557</v>
      </c>
      <c r="D4621" s="21" t="s">
        <v>34</v>
      </c>
      <c r="E4621" s="21" t="s">
        <v>35</v>
      </c>
      <c r="F4621">
        <v>10470006</v>
      </c>
      <c r="G4621" t="s">
        <v>1225</v>
      </c>
      <c r="H4621" s="21">
        <v>1217.5</v>
      </c>
    </row>
    <row r="4622" spans="1:8" customFormat="1" x14ac:dyDescent="0.25">
      <c r="A4622" t="str">
        <f>"5315944"</f>
        <v>5315944</v>
      </c>
      <c r="B4622" t="s">
        <v>5271</v>
      </c>
      <c r="C4622" t="s">
        <v>171</v>
      </c>
      <c r="D4622" s="21" t="s">
        <v>34</v>
      </c>
      <c r="E4622" s="21" t="s">
        <v>35</v>
      </c>
      <c r="F4622">
        <v>12440266</v>
      </c>
      <c r="G4622" t="s">
        <v>924</v>
      </c>
      <c r="H4622" s="21">
        <v>1217.42</v>
      </c>
    </row>
    <row r="4623" spans="1:8" customFormat="1" x14ac:dyDescent="0.25">
      <c r="A4623" t="str">
        <f>"763460"</f>
        <v>763460</v>
      </c>
      <c r="B4623" t="s">
        <v>5174</v>
      </c>
      <c r="C4623" t="s">
        <v>209</v>
      </c>
      <c r="D4623" s="21" t="s">
        <v>34</v>
      </c>
      <c r="E4623" s="21" t="s">
        <v>254</v>
      </c>
      <c r="F4623">
        <v>9760414</v>
      </c>
      <c r="G4623" t="s">
        <v>142</v>
      </c>
      <c r="H4623" s="21">
        <v>1217.17</v>
      </c>
    </row>
    <row r="4624" spans="1:8" customFormat="1" x14ac:dyDescent="0.25">
      <c r="A4624" t="str">
        <f>"6214942"</f>
        <v>6214942</v>
      </c>
      <c r="B4624" t="s">
        <v>4385</v>
      </c>
      <c r="C4624" t="s">
        <v>65</v>
      </c>
      <c r="D4624" s="21" t="s">
        <v>34</v>
      </c>
      <c r="E4624" s="21" t="s">
        <v>35</v>
      </c>
      <c r="F4624">
        <v>7620130</v>
      </c>
      <c r="G4624" t="s">
        <v>4386</v>
      </c>
      <c r="H4624" s="21">
        <v>1217.17</v>
      </c>
    </row>
    <row r="4625" spans="1:8" customFormat="1" x14ac:dyDescent="0.25">
      <c r="A4625" t="str">
        <f>"62695"</f>
        <v>62695</v>
      </c>
      <c r="B4625" t="s">
        <v>4744</v>
      </c>
      <c r="C4625" t="s">
        <v>267</v>
      </c>
      <c r="D4625" s="21" t="s">
        <v>34</v>
      </c>
      <c r="E4625" s="21" t="s">
        <v>254</v>
      </c>
      <c r="F4625">
        <v>7620058</v>
      </c>
      <c r="G4625" t="s">
        <v>602</v>
      </c>
      <c r="H4625" s="21">
        <v>1217.17</v>
      </c>
    </row>
    <row r="4626" spans="1:8" customFormat="1" x14ac:dyDescent="0.25">
      <c r="A4626" t="str">
        <f>"339769"</f>
        <v>339769</v>
      </c>
      <c r="B4626" t="s">
        <v>5978</v>
      </c>
      <c r="C4626" t="s">
        <v>5979</v>
      </c>
      <c r="D4626" s="21" t="s">
        <v>34</v>
      </c>
      <c r="E4626" s="21" t="s">
        <v>35</v>
      </c>
      <c r="F4626">
        <v>10330013</v>
      </c>
      <c r="G4626" t="s">
        <v>613</v>
      </c>
      <c r="H4626" s="21">
        <v>1216.67</v>
      </c>
    </row>
    <row r="4627" spans="1:8" customFormat="1" x14ac:dyDescent="0.25">
      <c r="A4627" t="str">
        <f>"2922322"</f>
        <v>2922322</v>
      </c>
      <c r="B4627" t="s">
        <v>5719</v>
      </c>
      <c r="C4627" t="s">
        <v>2907</v>
      </c>
      <c r="D4627" s="21" t="s">
        <v>34</v>
      </c>
      <c r="E4627" s="21" t="s">
        <v>71</v>
      </c>
      <c r="F4627">
        <v>3290010</v>
      </c>
      <c r="G4627" t="s">
        <v>1453</v>
      </c>
      <c r="H4627" s="21">
        <v>1216.67</v>
      </c>
    </row>
    <row r="4628" spans="1:8" customFormat="1" x14ac:dyDescent="0.25">
      <c r="A4628" t="str">
        <f>"6715277"</f>
        <v>6715277</v>
      </c>
      <c r="B4628" t="s">
        <v>788</v>
      </c>
      <c r="C4628" t="s">
        <v>249</v>
      </c>
      <c r="D4628" s="21" t="s">
        <v>34</v>
      </c>
      <c r="E4628" s="21" t="s">
        <v>71</v>
      </c>
      <c r="F4628">
        <v>6670014</v>
      </c>
      <c r="G4628" t="s">
        <v>4258</v>
      </c>
      <c r="H4628" s="21">
        <v>1216.67</v>
      </c>
    </row>
    <row r="4629" spans="1:8" customFormat="1" x14ac:dyDescent="0.25">
      <c r="A4629" t="str">
        <f>"4934194"</f>
        <v>4934194</v>
      </c>
      <c r="B4629" t="s">
        <v>7257</v>
      </c>
      <c r="C4629" t="s">
        <v>96</v>
      </c>
      <c r="D4629" s="21" t="s">
        <v>34</v>
      </c>
      <c r="E4629" s="21" t="s">
        <v>35</v>
      </c>
      <c r="F4629">
        <v>12490022</v>
      </c>
      <c r="G4629" t="s">
        <v>1450</v>
      </c>
      <c r="H4629" s="21">
        <v>1216.56</v>
      </c>
    </row>
    <row r="4630" spans="1:8" customFormat="1" x14ac:dyDescent="0.25">
      <c r="A4630" t="str">
        <f>"62344"</f>
        <v>62344</v>
      </c>
      <c r="B4630" t="s">
        <v>2919</v>
      </c>
      <c r="C4630" t="s">
        <v>867</v>
      </c>
      <c r="D4630" s="21" t="s">
        <v>34</v>
      </c>
      <c r="E4630" s="21" t="s">
        <v>35</v>
      </c>
      <c r="F4630">
        <v>7620049</v>
      </c>
      <c r="G4630" t="s">
        <v>1176</v>
      </c>
      <c r="H4630" s="21">
        <v>1216.55</v>
      </c>
    </row>
    <row r="4631" spans="1:8" customFormat="1" x14ac:dyDescent="0.25">
      <c r="A4631" t="str">
        <f>"1411016"</f>
        <v>1411016</v>
      </c>
      <c r="B4631" t="s">
        <v>5772</v>
      </c>
      <c r="C4631" t="s">
        <v>812</v>
      </c>
      <c r="D4631" s="21" t="s">
        <v>34</v>
      </c>
      <c r="E4631" s="21" t="s">
        <v>254</v>
      </c>
      <c r="F4631">
        <v>9140060</v>
      </c>
      <c r="G4631" t="s">
        <v>5773</v>
      </c>
      <c r="H4631" s="21">
        <v>1216.54</v>
      </c>
    </row>
    <row r="4632" spans="1:8" customFormat="1" x14ac:dyDescent="0.25">
      <c r="A4632" t="str">
        <f>"843918"</f>
        <v>843918</v>
      </c>
      <c r="B4632" t="s">
        <v>6025</v>
      </c>
      <c r="C4632" t="s">
        <v>87</v>
      </c>
      <c r="D4632" s="21" t="s">
        <v>34</v>
      </c>
      <c r="E4632" s="21" t="s">
        <v>35</v>
      </c>
      <c r="F4632">
        <v>13840001</v>
      </c>
      <c r="G4632" t="s">
        <v>972</v>
      </c>
      <c r="H4632" s="21">
        <v>1216.5</v>
      </c>
    </row>
    <row r="4633" spans="1:8" customFormat="1" x14ac:dyDescent="0.25">
      <c r="A4633" t="str">
        <f>"178610"</f>
        <v>178610</v>
      </c>
      <c r="B4633" t="s">
        <v>4849</v>
      </c>
      <c r="C4633" t="s">
        <v>98</v>
      </c>
      <c r="D4633" s="21" t="s">
        <v>34</v>
      </c>
      <c r="E4633" s="21" t="s">
        <v>35</v>
      </c>
      <c r="F4633">
        <v>10170026</v>
      </c>
      <c r="G4633" t="s">
        <v>4850</v>
      </c>
      <c r="H4633" s="21">
        <v>1216.42</v>
      </c>
    </row>
    <row r="4634" spans="1:8" customFormat="1" x14ac:dyDescent="0.25">
      <c r="A4634" t="str">
        <f>"5930421"</f>
        <v>5930421</v>
      </c>
      <c r="B4634" t="s">
        <v>5331</v>
      </c>
      <c r="C4634" t="s">
        <v>608</v>
      </c>
      <c r="D4634" s="21" t="s">
        <v>34</v>
      </c>
      <c r="E4634" s="21" t="s">
        <v>35</v>
      </c>
      <c r="F4634">
        <v>7590195</v>
      </c>
      <c r="G4634" t="s">
        <v>5332</v>
      </c>
      <c r="H4634" s="21">
        <v>1216.42</v>
      </c>
    </row>
    <row r="4635" spans="1:8" customFormat="1" x14ac:dyDescent="0.25">
      <c r="A4635" t="str">
        <f>"6218348"</f>
        <v>6218348</v>
      </c>
      <c r="B4635" t="s">
        <v>2955</v>
      </c>
      <c r="C4635" t="s">
        <v>269</v>
      </c>
      <c r="D4635" s="21" t="s">
        <v>34</v>
      </c>
      <c r="E4635" s="21" t="s">
        <v>71</v>
      </c>
      <c r="F4635">
        <v>7620082</v>
      </c>
      <c r="G4635" t="s">
        <v>4939</v>
      </c>
      <c r="H4635" s="21">
        <v>1216.17</v>
      </c>
    </row>
    <row r="4636" spans="1:8" customFormat="1" x14ac:dyDescent="0.25">
      <c r="A4636" t="str">
        <f>"574821"</f>
        <v>574821</v>
      </c>
      <c r="B4636" t="s">
        <v>6055</v>
      </c>
      <c r="C4636" t="s">
        <v>236</v>
      </c>
      <c r="D4636" s="21" t="s">
        <v>34</v>
      </c>
      <c r="E4636" s="21" t="s">
        <v>35</v>
      </c>
      <c r="F4636">
        <v>6670260</v>
      </c>
      <c r="G4636" t="s">
        <v>1202</v>
      </c>
      <c r="H4636" s="21">
        <v>1216.17</v>
      </c>
    </row>
    <row r="4637" spans="1:8" customFormat="1" x14ac:dyDescent="0.25">
      <c r="A4637" t="str">
        <f>"685644"</f>
        <v>685644</v>
      </c>
      <c r="B4637" t="s">
        <v>5955</v>
      </c>
      <c r="C4637" t="s">
        <v>65</v>
      </c>
      <c r="D4637" s="21" t="s">
        <v>34</v>
      </c>
      <c r="E4637" s="21" t="s">
        <v>35</v>
      </c>
      <c r="F4637">
        <v>6680128</v>
      </c>
      <c r="G4637" t="s">
        <v>341</v>
      </c>
      <c r="H4637" s="21">
        <v>1216.17</v>
      </c>
    </row>
    <row r="4638" spans="1:8" customFormat="1" x14ac:dyDescent="0.25">
      <c r="A4638" t="str">
        <f>"671764"</f>
        <v>671764</v>
      </c>
      <c r="B4638" t="s">
        <v>5291</v>
      </c>
      <c r="C4638" t="s">
        <v>598</v>
      </c>
      <c r="D4638" s="21" t="s">
        <v>34</v>
      </c>
      <c r="E4638" s="21" t="s">
        <v>35</v>
      </c>
      <c r="F4638">
        <v>6670058</v>
      </c>
      <c r="G4638" t="s">
        <v>2551</v>
      </c>
      <c r="H4638" s="21">
        <v>1216.17</v>
      </c>
    </row>
    <row r="4639" spans="1:8" customFormat="1" x14ac:dyDescent="0.25">
      <c r="A4639" t="str">
        <f>"9127913"</f>
        <v>9127913</v>
      </c>
      <c r="B4639" t="s">
        <v>2481</v>
      </c>
      <c r="C4639" t="s">
        <v>33</v>
      </c>
      <c r="D4639" s="21" t="s">
        <v>34</v>
      </c>
      <c r="E4639" s="21" t="s">
        <v>35</v>
      </c>
      <c r="F4639">
        <v>8910442</v>
      </c>
      <c r="G4639" t="s">
        <v>1336</v>
      </c>
      <c r="H4639" s="21">
        <v>1216.05</v>
      </c>
    </row>
    <row r="4640" spans="1:8" customFormat="1" x14ac:dyDescent="0.25">
      <c r="A4640" t="str">
        <f>"4431687"</f>
        <v>4431687</v>
      </c>
      <c r="B4640" t="s">
        <v>5762</v>
      </c>
      <c r="C4640" t="s">
        <v>130</v>
      </c>
      <c r="D4640" s="21" t="s">
        <v>34</v>
      </c>
      <c r="E4640" s="21" t="s">
        <v>35</v>
      </c>
      <c r="F4640">
        <v>12440074</v>
      </c>
      <c r="G4640" t="s">
        <v>2436</v>
      </c>
      <c r="H4640" s="21">
        <v>1215.92</v>
      </c>
    </row>
    <row r="4641" spans="1:8" customFormat="1" x14ac:dyDescent="0.25">
      <c r="A4641" t="str">
        <f>"317848"</f>
        <v>317848</v>
      </c>
      <c r="B4641" t="s">
        <v>4497</v>
      </c>
      <c r="C4641" t="s">
        <v>187</v>
      </c>
      <c r="D4641" s="21" t="s">
        <v>34</v>
      </c>
      <c r="E4641" s="21" t="s">
        <v>35</v>
      </c>
      <c r="F4641">
        <v>13060008</v>
      </c>
      <c r="G4641" t="s">
        <v>36</v>
      </c>
      <c r="H4641" s="21">
        <v>1215.79</v>
      </c>
    </row>
    <row r="4642" spans="1:8" customFormat="1" x14ac:dyDescent="0.25">
      <c r="A4642" t="str">
        <f>"456107"</f>
        <v>456107</v>
      </c>
      <c r="B4642" t="s">
        <v>4366</v>
      </c>
      <c r="C4642" t="s">
        <v>822</v>
      </c>
      <c r="D4642" s="21" t="s">
        <v>34</v>
      </c>
      <c r="E4642" s="21" t="s">
        <v>1089</v>
      </c>
      <c r="F4642">
        <v>4450184</v>
      </c>
      <c r="G4642" t="s">
        <v>3956</v>
      </c>
      <c r="H4642" s="21">
        <v>1215.67</v>
      </c>
    </row>
    <row r="4643" spans="1:8" customFormat="1" x14ac:dyDescent="0.25">
      <c r="A4643" t="str">
        <f>"067210"</f>
        <v>067210</v>
      </c>
      <c r="B4643" t="s">
        <v>205</v>
      </c>
      <c r="C4643" t="s">
        <v>5877</v>
      </c>
      <c r="D4643" s="21" t="s">
        <v>34</v>
      </c>
      <c r="E4643" s="21" t="s">
        <v>35</v>
      </c>
      <c r="F4643">
        <v>13060111</v>
      </c>
      <c r="G4643" t="s">
        <v>26647</v>
      </c>
      <c r="H4643" s="21">
        <v>1215.67</v>
      </c>
    </row>
    <row r="4644" spans="1:8" customFormat="1" x14ac:dyDescent="0.25">
      <c r="A4644" t="str">
        <f>"62636"</f>
        <v>62636</v>
      </c>
      <c r="B4644" t="s">
        <v>5359</v>
      </c>
      <c r="C4644" t="s">
        <v>109</v>
      </c>
      <c r="D4644" s="21" t="s">
        <v>34</v>
      </c>
      <c r="E4644" s="21" t="s">
        <v>35</v>
      </c>
      <c r="F4644">
        <v>7620100</v>
      </c>
      <c r="G4644" t="s">
        <v>145</v>
      </c>
      <c r="H4644" s="21">
        <v>1215.67</v>
      </c>
    </row>
    <row r="4645" spans="1:8" customFormat="1" x14ac:dyDescent="0.25">
      <c r="A4645" t="str">
        <f>"7819090"</f>
        <v>7819090</v>
      </c>
      <c r="B4645" t="s">
        <v>5088</v>
      </c>
      <c r="C4645" t="s">
        <v>109</v>
      </c>
      <c r="D4645" s="21" t="s">
        <v>34</v>
      </c>
      <c r="E4645" s="21" t="s">
        <v>35</v>
      </c>
      <c r="F4645">
        <v>8780080</v>
      </c>
      <c r="G4645" t="s">
        <v>865</v>
      </c>
      <c r="H4645" s="21">
        <v>1215.57</v>
      </c>
    </row>
    <row r="4646" spans="1:8" customFormat="1" x14ac:dyDescent="0.25">
      <c r="A4646" t="str">
        <f>"508546"</f>
        <v>508546</v>
      </c>
      <c r="B4646" t="s">
        <v>6342</v>
      </c>
      <c r="C4646" t="s">
        <v>90</v>
      </c>
      <c r="D4646" s="21" t="s">
        <v>34</v>
      </c>
      <c r="E4646" s="21" t="s">
        <v>71</v>
      </c>
      <c r="F4646">
        <v>9500027</v>
      </c>
      <c r="G4646" t="s">
        <v>6343</v>
      </c>
      <c r="H4646" s="21">
        <v>1215.55</v>
      </c>
    </row>
    <row r="4647" spans="1:8" customFormat="1" x14ac:dyDescent="0.25">
      <c r="A4647" t="str">
        <f>"385155"</f>
        <v>385155</v>
      </c>
      <c r="B4647" t="s">
        <v>6977</v>
      </c>
      <c r="C4647" t="s">
        <v>55</v>
      </c>
      <c r="D4647" s="21" t="s">
        <v>34</v>
      </c>
      <c r="E4647" s="21" t="s">
        <v>71</v>
      </c>
      <c r="F4647">
        <v>1380236</v>
      </c>
      <c r="G4647" t="s">
        <v>2876</v>
      </c>
      <c r="H4647" s="21">
        <v>1215.55</v>
      </c>
    </row>
    <row r="4648" spans="1:8" customFormat="1" x14ac:dyDescent="0.25">
      <c r="A4648" t="str">
        <f>"3320220"</f>
        <v>3320220</v>
      </c>
      <c r="B4648" t="s">
        <v>6057</v>
      </c>
      <c r="C4648" t="s">
        <v>1119</v>
      </c>
      <c r="D4648" s="21" t="s">
        <v>34</v>
      </c>
      <c r="E4648" s="21" t="s">
        <v>254</v>
      </c>
      <c r="F4648">
        <v>10330011</v>
      </c>
      <c r="G4648" t="s">
        <v>1789</v>
      </c>
      <c r="H4648" s="21">
        <v>1215.42</v>
      </c>
    </row>
    <row r="4649" spans="1:8" customFormat="1" x14ac:dyDescent="0.25">
      <c r="A4649" t="str">
        <f>"5923383"</f>
        <v>5923383</v>
      </c>
      <c r="B4649" t="s">
        <v>15247</v>
      </c>
      <c r="C4649" t="s">
        <v>90</v>
      </c>
      <c r="D4649" s="21" t="s">
        <v>34</v>
      </c>
      <c r="E4649" s="21" t="s">
        <v>35</v>
      </c>
      <c r="F4649">
        <v>7590263</v>
      </c>
      <c r="G4649" t="s">
        <v>895</v>
      </c>
      <c r="H4649" s="21">
        <v>1215.3</v>
      </c>
    </row>
    <row r="4650" spans="1:8" customFormat="1" x14ac:dyDescent="0.25">
      <c r="A4650" t="str">
        <f>"458235"</f>
        <v>458235</v>
      </c>
      <c r="B4650" t="s">
        <v>6092</v>
      </c>
      <c r="C4650" t="s">
        <v>65</v>
      </c>
      <c r="D4650" s="21" t="s">
        <v>34</v>
      </c>
      <c r="E4650" s="21" t="s">
        <v>71</v>
      </c>
      <c r="F4650">
        <v>8770169</v>
      </c>
      <c r="G4650" t="s">
        <v>1001</v>
      </c>
      <c r="H4650" s="21">
        <v>1215.18</v>
      </c>
    </row>
    <row r="4651" spans="1:8" customFormat="1" x14ac:dyDescent="0.25">
      <c r="A4651" t="str">
        <f>"4110349"</f>
        <v>4110349</v>
      </c>
      <c r="B4651" t="s">
        <v>2006</v>
      </c>
      <c r="C4651" t="s">
        <v>5640</v>
      </c>
      <c r="D4651" s="21" t="s">
        <v>34</v>
      </c>
      <c r="E4651" s="21" t="s">
        <v>35</v>
      </c>
      <c r="F4651">
        <v>4410017</v>
      </c>
      <c r="G4651" t="s">
        <v>2363</v>
      </c>
      <c r="H4651" s="21">
        <v>1215.17</v>
      </c>
    </row>
    <row r="4652" spans="1:8" customFormat="1" x14ac:dyDescent="0.25">
      <c r="A4652" t="str">
        <f>"7629193"</f>
        <v>7629193</v>
      </c>
      <c r="B4652" t="s">
        <v>5998</v>
      </c>
      <c r="C4652" t="s">
        <v>233</v>
      </c>
      <c r="D4652" s="21" t="s">
        <v>34</v>
      </c>
      <c r="E4652" s="21" t="s">
        <v>35</v>
      </c>
      <c r="F4652">
        <v>9760382</v>
      </c>
      <c r="G4652" t="s">
        <v>2737</v>
      </c>
      <c r="H4652" s="21">
        <v>1215.17</v>
      </c>
    </row>
    <row r="4653" spans="1:8" customFormat="1" x14ac:dyDescent="0.25">
      <c r="A4653" t="str">
        <f>"852057"</f>
        <v>852057</v>
      </c>
      <c r="B4653" t="s">
        <v>5545</v>
      </c>
      <c r="C4653" t="s">
        <v>926</v>
      </c>
      <c r="D4653" s="21" t="s">
        <v>34</v>
      </c>
      <c r="E4653" s="21" t="s">
        <v>35</v>
      </c>
      <c r="F4653">
        <v>12850001</v>
      </c>
      <c r="G4653" t="s">
        <v>1197</v>
      </c>
      <c r="H4653" s="21">
        <v>1215.17</v>
      </c>
    </row>
    <row r="4654" spans="1:8" customFormat="1" x14ac:dyDescent="0.25">
      <c r="A4654" t="str">
        <f>"7632559"</f>
        <v>7632559</v>
      </c>
      <c r="B4654" t="s">
        <v>5354</v>
      </c>
      <c r="C4654" t="s">
        <v>5355</v>
      </c>
      <c r="D4654" s="21" t="s">
        <v>34</v>
      </c>
      <c r="E4654" s="21" t="s">
        <v>35</v>
      </c>
      <c r="F4654">
        <v>9760382</v>
      </c>
      <c r="G4654" t="s">
        <v>2737</v>
      </c>
      <c r="H4654" s="21">
        <v>1215.17</v>
      </c>
    </row>
    <row r="4655" spans="1:8" customFormat="1" x14ac:dyDescent="0.25">
      <c r="A4655" t="str">
        <f>"686691"</f>
        <v>686691</v>
      </c>
      <c r="B4655" t="s">
        <v>5265</v>
      </c>
      <c r="C4655" t="s">
        <v>249</v>
      </c>
      <c r="D4655" s="21" t="s">
        <v>34</v>
      </c>
      <c r="E4655" s="21" t="s">
        <v>254</v>
      </c>
      <c r="F4655">
        <v>6680105</v>
      </c>
      <c r="G4655" t="s">
        <v>403</v>
      </c>
      <c r="H4655" s="21">
        <v>1215.17</v>
      </c>
    </row>
    <row r="4656" spans="1:8" customFormat="1" x14ac:dyDescent="0.25">
      <c r="A4656" t="str">
        <f>"537447"</f>
        <v>537447</v>
      </c>
      <c r="B4656" t="s">
        <v>4834</v>
      </c>
      <c r="C4656" t="s">
        <v>239</v>
      </c>
      <c r="D4656" s="21" t="s">
        <v>34</v>
      </c>
      <c r="E4656" s="21" t="s">
        <v>71</v>
      </c>
      <c r="F4656">
        <v>12530058</v>
      </c>
      <c r="G4656" t="s">
        <v>3128</v>
      </c>
      <c r="H4656" s="21">
        <v>1215.17</v>
      </c>
    </row>
    <row r="4657" spans="1:8" customFormat="1" x14ac:dyDescent="0.25">
      <c r="A4657" t="str">
        <f>"882266"</f>
        <v>882266</v>
      </c>
      <c r="B4657" t="s">
        <v>4368</v>
      </c>
      <c r="C4657" t="s">
        <v>2520</v>
      </c>
      <c r="D4657" s="21" t="s">
        <v>34</v>
      </c>
      <c r="E4657" s="21" t="s">
        <v>71</v>
      </c>
      <c r="F4657">
        <v>6880110</v>
      </c>
      <c r="G4657" t="s">
        <v>4990</v>
      </c>
      <c r="H4657" s="21">
        <v>1215.17</v>
      </c>
    </row>
    <row r="4658" spans="1:8" customFormat="1" x14ac:dyDescent="0.25">
      <c r="A4658" t="str">
        <f>"412004"</f>
        <v>412004</v>
      </c>
      <c r="B4658" t="s">
        <v>5724</v>
      </c>
      <c r="C4658" t="s">
        <v>209</v>
      </c>
      <c r="D4658" s="21" t="s">
        <v>34</v>
      </c>
      <c r="E4658" s="21" t="s">
        <v>35</v>
      </c>
      <c r="F4658">
        <v>4410612</v>
      </c>
      <c r="G4658" t="s">
        <v>815</v>
      </c>
      <c r="H4658" s="21">
        <v>1214.92</v>
      </c>
    </row>
    <row r="4659" spans="1:8" customFormat="1" x14ac:dyDescent="0.25">
      <c r="A4659" t="str">
        <f>"067317"</f>
        <v>067317</v>
      </c>
      <c r="B4659" t="s">
        <v>5119</v>
      </c>
      <c r="C4659" t="s">
        <v>147</v>
      </c>
      <c r="D4659" s="21" t="s">
        <v>34</v>
      </c>
      <c r="E4659" s="21" t="s">
        <v>35</v>
      </c>
      <c r="F4659">
        <v>13830060</v>
      </c>
      <c r="G4659" t="s">
        <v>5856</v>
      </c>
      <c r="H4659" s="21">
        <v>1214.92</v>
      </c>
    </row>
    <row r="4660" spans="1:8" customFormat="1" x14ac:dyDescent="0.25">
      <c r="A4660" t="str">
        <f>"63424"</f>
        <v>63424</v>
      </c>
      <c r="B4660" t="s">
        <v>4834</v>
      </c>
      <c r="C4660" t="s">
        <v>119</v>
      </c>
      <c r="D4660" s="21" t="s">
        <v>34</v>
      </c>
      <c r="E4660" s="21" t="s">
        <v>71</v>
      </c>
      <c r="F4660">
        <v>1630078</v>
      </c>
      <c r="G4660" t="s">
        <v>326</v>
      </c>
      <c r="H4660" s="21">
        <v>1214.67</v>
      </c>
    </row>
    <row r="4661" spans="1:8" customFormat="1" x14ac:dyDescent="0.25">
      <c r="A4661" t="str">
        <f>"7831155"</f>
        <v>7831155</v>
      </c>
      <c r="B4661" t="s">
        <v>5436</v>
      </c>
      <c r="C4661" t="s">
        <v>87</v>
      </c>
      <c r="D4661" s="21" t="s">
        <v>34</v>
      </c>
      <c r="E4661" s="21" t="s">
        <v>35</v>
      </c>
      <c r="F4661">
        <v>8780571</v>
      </c>
      <c r="G4661" t="s">
        <v>2336</v>
      </c>
      <c r="H4661" s="21">
        <v>1214.67</v>
      </c>
    </row>
    <row r="4662" spans="1:8" customFormat="1" x14ac:dyDescent="0.25">
      <c r="A4662" t="str">
        <f>"9726776"</f>
        <v>9726776</v>
      </c>
      <c r="B4662" t="s">
        <v>5478</v>
      </c>
      <c r="C4662" t="s">
        <v>2301</v>
      </c>
      <c r="D4662" s="21" t="s">
        <v>34</v>
      </c>
      <c r="E4662" s="21" t="s">
        <v>71</v>
      </c>
      <c r="F4662" t="s">
        <v>3911</v>
      </c>
      <c r="G4662" t="s">
        <v>3912</v>
      </c>
      <c r="H4662" s="21">
        <v>1214.67</v>
      </c>
    </row>
    <row r="4663" spans="1:8" customFormat="1" x14ac:dyDescent="0.25">
      <c r="A4663" t="str">
        <f>"786020"</f>
        <v>786020</v>
      </c>
      <c r="B4663" t="s">
        <v>5450</v>
      </c>
      <c r="C4663" t="s">
        <v>951</v>
      </c>
      <c r="D4663" s="21" t="s">
        <v>34</v>
      </c>
      <c r="E4663" s="21" t="s">
        <v>35</v>
      </c>
      <c r="F4663">
        <v>8780002</v>
      </c>
      <c r="G4663" t="s">
        <v>2196</v>
      </c>
      <c r="H4663" s="21">
        <v>1214.67</v>
      </c>
    </row>
    <row r="4664" spans="1:8" customFormat="1" x14ac:dyDescent="0.25">
      <c r="A4664" t="str">
        <f>"44315"</f>
        <v>44315</v>
      </c>
      <c r="B4664" t="s">
        <v>5036</v>
      </c>
      <c r="C4664" t="s">
        <v>87</v>
      </c>
      <c r="D4664" s="21" t="s">
        <v>34</v>
      </c>
      <c r="E4664" s="21" t="s">
        <v>35</v>
      </c>
      <c r="F4664">
        <v>12490018</v>
      </c>
      <c r="G4664" t="s">
        <v>2269</v>
      </c>
      <c r="H4664" s="21">
        <v>1214.67</v>
      </c>
    </row>
    <row r="4665" spans="1:8" customFormat="1" x14ac:dyDescent="0.25">
      <c r="A4665" t="str">
        <f>"023883"</f>
        <v>023883</v>
      </c>
      <c r="B4665" t="s">
        <v>4859</v>
      </c>
      <c r="C4665" t="s">
        <v>121</v>
      </c>
      <c r="D4665" s="21" t="s">
        <v>34</v>
      </c>
      <c r="E4665" s="21" t="s">
        <v>35</v>
      </c>
      <c r="F4665">
        <v>7020024</v>
      </c>
      <c r="G4665" t="s">
        <v>4860</v>
      </c>
      <c r="H4665" s="21">
        <v>1214.67</v>
      </c>
    </row>
    <row r="4666" spans="1:8" customFormat="1" x14ac:dyDescent="0.25">
      <c r="A4666" t="str">
        <f>"841497"</f>
        <v>841497</v>
      </c>
      <c r="B4666" t="s">
        <v>6227</v>
      </c>
      <c r="C4666" t="s">
        <v>598</v>
      </c>
      <c r="D4666" s="21" t="s">
        <v>34</v>
      </c>
      <c r="E4666" s="21" t="s">
        <v>71</v>
      </c>
      <c r="F4666">
        <v>13840028</v>
      </c>
      <c r="G4666" t="s">
        <v>4139</v>
      </c>
      <c r="H4666" s="21">
        <v>1214.67</v>
      </c>
    </row>
    <row r="4667" spans="1:8" customFormat="1" x14ac:dyDescent="0.25">
      <c r="A4667" t="str">
        <f>"6919489"</f>
        <v>6919489</v>
      </c>
      <c r="B4667" t="s">
        <v>531</v>
      </c>
      <c r="C4667" t="s">
        <v>65</v>
      </c>
      <c r="D4667" s="21" t="s">
        <v>34</v>
      </c>
      <c r="E4667" s="21" t="s">
        <v>71</v>
      </c>
      <c r="F4667">
        <v>1010068</v>
      </c>
      <c r="G4667" t="s">
        <v>4755</v>
      </c>
      <c r="H4667" s="21">
        <v>1214.5</v>
      </c>
    </row>
    <row r="4668" spans="1:8" customFormat="1" x14ac:dyDescent="0.25">
      <c r="A4668" t="str">
        <f>"729982"</f>
        <v>729982</v>
      </c>
      <c r="B4668" t="s">
        <v>5734</v>
      </c>
      <c r="C4668" t="s">
        <v>3073</v>
      </c>
      <c r="D4668" s="21" t="s">
        <v>34</v>
      </c>
      <c r="E4668" s="21" t="s">
        <v>254</v>
      </c>
      <c r="F4668">
        <v>12720104</v>
      </c>
      <c r="G4668" t="s">
        <v>224</v>
      </c>
      <c r="H4668" s="21">
        <v>1214.31</v>
      </c>
    </row>
    <row r="4669" spans="1:8" customFormat="1" x14ac:dyDescent="0.25">
      <c r="A4669" t="str">
        <f>"5617659"</f>
        <v>5617659</v>
      </c>
      <c r="B4669" t="s">
        <v>3146</v>
      </c>
      <c r="C4669" t="s">
        <v>854</v>
      </c>
      <c r="D4669" s="21" t="s">
        <v>34</v>
      </c>
      <c r="E4669" s="21" t="s">
        <v>254</v>
      </c>
      <c r="F4669">
        <v>8920025</v>
      </c>
      <c r="G4669" t="s">
        <v>159</v>
      </c>
      <c r="H4669" s="21">
        <v>1214.3</v>
      </c>
    </row>
    <row r="4670" spans="1:8" customFormat="1" x14ac:dyDescent="0.25">
      <c r="A4670" t="str">
        <f>"2913809"</f>
        <v>2913809</v>
      </c>
      <c r="B4670" t="s">
        <v>4902</v>
      </c>
      <c r="C4670" t="s">
        <v>262</v>
      </c>
      <c r="D4670" s="21" t="s">
        <v>34</v>
      </c>
      <c r="E4670" s="21" t="s">
        <v>35</v>
      </c>
      <c r="F4670">
        <v>3290280</v>
      </c>
      <c r="G4670" t="s">
        <v>4913</v>
      </c>
      <c r="H4670" s="21">
        <v>1214.17</v>
      </c>
    </row>
    <row r="4671" spans="1:8" customFormat="1" x14ac:dyDescent="0.25">
      <c r="A4671" t="str">
        <f>"598206"</f>
        <v>598206</v>
      </c>
      <c r="B4671" t="s">
        <v>2403</v>
      </c>
      <c r="C4671" t="s">
        <v>55</v>
      </c>
      <c r="D4671" s="21" t="s">
        <v>34</v>
      </c>
      <c r="E4671" s="21" t="s">
        <v>71</v>
      </c>
      <c r="F4671">
        <v>7590363</v>
      </c>
      <c r="G4671" t="s">
        <v>5167</v>
      </c>
      <c r="H4671" s="21">
        <v>1214.17</v>
      </c>
    </row>
    <row r="4672" spans="1:8" customFormat="1" x14ac:dyDescent="0.25">
      <c r="A4672" t="str">
        <f>"5291"</f>
        <v>5291</v>
      </c>
      <c r="B4672" t="s">
        <v>5832</v>
      </c>
      <c r="C4672" t="s">
        <v>825</v>
      </c>
      <c r="D4672" s="21" t="s">
        <v>34</v>
      </c>
      <c r="E4672" s="21" t="s">
        <v>71</v>
      </c>
      <c r="F4672">
        <v>6520022</v>
      </c>
      <c r="G4672" t="s">
        <v>2041</v>
      </c>
      <c r="H4672" s="21">
        <v>1214.17</v>
      </c>
    </row>
    <row r="4673" spans="1:8" customFormat="1" x14ac:dyDescent="0.25">
      <c r="A4673" t="str">
        <f>"937435"</f>
        <v>937435</v>
      </c>
      <c r="B4673" t="s">
        <v>5530</v>
      </c>
      <c r="C4673" t="s">
        <v>87</v>
      </c>
      <c r="D4673" s="21" t="s">
        <v>34</v>
      </c>
      <c r="E4673" s="21" t="s">
        <v>35</v>
      </c>
      <c r="F4673">
        <v>1690207</v>
      </c>
      <c r="G4673" t="s">
        <v>4232</v>
      </c>
      <c r="H4673" s="21">
        <v>1214.17</v>
      </c>
    </row>
    <row r="4674" spans="1:8" customFormat="1" x14ac:dyDescent="0.25">
      <c r="A4674" t="str">
        <f>"7852349"</f>
        <v>7852349</v>
      </c>
      <c r="B4674" t="s">
        <v>136</v>
      </c>
      <c r="C4674" t="s">
        <v>263</v>
      </c>
      <c r="D4674" s="21" t="s">
        <v>34</v>
      </c>
      <c r="E4674" s="21" t="s">
        <v>254</v>
      </c>
      <c r="F4674">
        <v>8780356</v>
      </c>
      <c r="G4674" t="s">
        <v>5449</v>
      </c>
      <c r="H4674" s="21">
        <v>1213.92</v>
      </c>
    </row>
    <row r="4675" spans="1:8" customFormat="1" x14ac:dyDescent="0.25">
      <c r="A4675" t="str">
        <f>"9221871"</f>
        <v>9221871</v>
      </c>
      <c r="B4675" t="s">
        <v>1293</v>
      </c>
      <c r="C4675" t="s">
        <v>1914</v>
      </c>
      <c r="D4675" s="21" t="s">
        <v>34</v>
      </c>
      <c r="E4675" s="21" t="s">
        <v>1089</v>
      </c>
      <c r="F4675">
        <v>12720104</v>
      </c>
      <c r="G4675" t="s">
        <v>224</v>
      </c>
      <c r="H4675" s="21">
        <v>1213.67</v>
      </c>
    </row>
    <row r="4676" spans="1:8" customFormat="1" x14ac:dyDescent="0.25">
      <c r="A4676" t="str">
        <f>"5011792"</f>
        <v>5011792</v>
      </c>
      <c r="B4676" t="s">
        <v>5777</v>
      </c>
      <c r="C4676" t="s">
        <v>5778</v>
      </c>
      <c r="D4676" s="21" t="s">
        <v>34</v>
      </c>
      <c r="E4676" s="21" t="s">
        <v>254</v>
      </c>
      <c r="F4676">
        <v>9500153</v>
      </c>
      <c r="G4676" t="s">
        <v>5779</v>
      </c>
      <c r="H4676" s="21">
        <v>1213.67</v>
      </c>
    </row>
    <row r="4677" spans="1:8" customFormat="1" x14ac:dyDescent="0.25">
      <c r="A4677" t="str">
        <f>"7623828"</f>
        <v>7623828</v>
      </c>
      <c r="B4677" t="s">
        <v>5396</v>
      </c>
      <c r="C4677" t="s">
        <v>498</v>
      </c>
      <c r="D4677" s="21" t="s">
        <v>34</v>
      </c>
      <c r="E4677" s="21" t="s">
        <v>71</v>
      </c>
      <c r="F4677">
        <v>9760218</v>
      </c>
      <c r="G4677" t="s">
        <v>26836</v>
      </c>
      <c r="H4677" s="21">
        <v>1213.67</v>
      </c>
    </row>
    <row r="4678" spans="1:8" customFormat="1" x14ac:dyDescent="0.25">
      <c r="A4678" t="str">
        <f>"3711287"</f>
        <v>3711287</v>
      </c>
      <c r="B4678" t="s">
        <v>5818</v>
      </c>
      <c r="C4678" t="s">
        <v>269</v>
      </c>
      <c r="D4678" s="21" t="s">
        <v>34</v>
      </c>
      <c r="E4678" s="21" t="s">
        <v>35</v>
      </c>
      <c r="F4678">
        <v>11320031</v>
      </c>
      <c r="G4678" t="s">
        <v>5237</v>
      </c>
      <c r="H4678" s="21">
        <v>1213.67</v>
      </c>
    </row>
    <row r="4679" spans="1:8" customFormat="1" x14ac:dyDescent="0.25">
      <c r="A4679" t="str">
        <f>"501076"</f>
        <v>501076</v>
      </c>
      <c r="B4679" t="s">
        <v>213</v>
      </c>
      <c r="C4679" t="s">
        <v>328</v>
      </c>
      <c r="D4679" s="21" t="s">
        <v>34</v>
      </c>
      <c r="E4679" s="21" t="s">
        <v>35</v>
      </c>
      <c r="F4679">
        <v>9610031</v>
      </c>
      <c r="G4679" t="s">
        <v>1792</v>
      </c>
      <c r="H4679" s="21">
        <v>1213.67</v>
      </c>
    </row>
    <row r="4680" spans="1:8" customFormat="1" x14ac:dyDescent="0.25">
      <c r="A4680" t="str">
        <f>"5016909"</f>
        <v>5016909</v>
      </c>
      <c r="B4680" t="s">
        <v>6508</v>
      </c>
      <c r="C4680" t="s">
        <v>206</v>
      </c>
      <c r="D4680" s="21" t="s">
        <v>34</v>
      </c>
      <c r="E4680" s="21" t="s">
        <v>35</v>
      </c>
      <c r="F4680">
        <v>9500023</v>
      </c>
      <c r="G4680" t="s">
        <v>4876</v>
      </c>
      <c r="H4680" s="21">
        <v>1213.55</v>
      </c>
    </row>
    <row r="4681" spans="1:8" customFormat="1" x14ac:dyDescent="0.25">
      <c r="A4681" t="str">
        <f>"9137220"</f>
        <v>9137220</v>
      </c>
      <c r="B4681" t="s">
        <v>2218</v>
      </c>
      <c r="C4681" t="s">
        <v>124</v>
      </c>
      <c r="D4681" s="21" t="s">
        <v>34</v>
      </c>
      <c r="E4681" s="21" t="s">
        <v>71</v>
      </c>
      <c r="F4681">
        <v>8911439</v>
      </c>
      <c r="G4681" t="s">
        <v>3953</v>
      </c>
      <c r="H4681" s="21">
        <v>1213.42</v>
      </c>
    </row>
    <row r="4682" spans="1:8" customFormat="1" x14ac:dyDescent="0.25">
      <c r="A4682" t="str">
        <f>"533235"</f>
        <v>533235</v>
      </c>
      <c r="B4682" t="s">
        <v>7888</v>
      </c>
      <c r="C4682" t="s">
        <v>130</v>
      </c>
      <c r="D4682" s="21" t="s">
        <v>34</v>
      </c>
      <c r="E4682" s="21" t="s">
        <v>254</v>
      </c>
      <c r="F4682">
        <v>12530007</v>
      </c>
      <c r="G4682" t="s">
        <v>2966</v>
      </c>
      <c r="H4682" s="21">
        <v>1213.17</v>
      </c>
    </row>
    <row r="4683" spans="1:8" customFormat="1" x14ac:dyDescent="0.25">
      <c r="A4683" t="str">
        <f>"7880077"</f>
        <v>7880077</v>
      </c>
      <c r="B4683" t="s">
        <v>3835</v>
      </c>
      <c r="C4683" t="s">
        <v>528</v>
      </c>
      <c r="D4683" s="21" t="s">
        <v>34</v>
      </c>
      <c r="E4683" s="21" t="s">
        <v>71</v>
      </c>
      <c r="F4683">
        <v>8780568</v>
      </c>
      <c r="G4683" t="s">
        <v>5279</v>
      </c>
      <c r="H4683" s="21">
        <v>1213.17</v>
      </c>
    </row>
    <row r="4684" spans="1:8" customFormat="1" x14ac:dyDescent="0.25">
      <c r="A4684" t="str">
        <f>"5931775"</f>
        <v>5931775</v>
      </c>
      <c r="B4684" t="s">
        <v>16870</v>
      </c>
      <c r="C4684" t="s">
        <v>26868</v>
      </c>
      <c r="D4684" s="21" t="s">
        <v>34</v>
      </c>
      <c r="E4684" s="21" t="s">
        <v>35</v>
      </c>
      <c r="F4684">
        <v>7590017</v>
      </c>
      <c r="G4684" t="s">
        <v>1316</v>
      </c>
      <c r="H4684" s="21">
        <v>1213.17</v>
      </c>
    </row>
    <row r="4685" spans="1:8" customFormat="1" x14ac:dyDescent="0.25">
      <c r="A4685" t="str">
        <f>"6020985"</f>
        <v>6020985</v>
      </c>
      <c r="B4685" t="s">
        <v>4944</v>
      </c>
      <c r="C4685" t="s">
        <v>65</v>
      </c>
      <c r="D4685" s="21" t="s">
        <v>34</v>
      </c>
      <c r="E4685" s="21" t="s">
        <v>35</v>
      </c>
      <c r="F4685">
        <v>7600024</v>
      </c>
      <c r="G4685" t="s">
        <v>1234</v>
      </c>
      <c r="H4685" s="21">
        <v>1213.17</v>
      </c>
    </row>
    <row r="4686" spans="1:8" customFormat="1" x14ac:dyDescent="0.25">
      <c r="A4686" t="str">
        <f>"79881"</f>
        <v>79881</v>
      </c>
      <c r="B4686" t="s">
        <v>3209</v>
      </c>
      <c r="C4686" t="s">
        <v>1119</v>
      </c>
      <c r="D4686" s="21" t="s">
        <v>34</v>
      </c>
      <c r="E4686" s="21" t="s">
        <v>1089</v>
      </c>
      <c r="F4686">
        <v>10790235</v>
      </c>
      <c r="G4686" t="s">
        <v>413</v>
      </c>
      <c r="H4686" s="21">
        <v>1213.17</v>
      </c>
    </row>
    <row r="4687" spans="1:8" customFormat="1" x14ac:dyDescent="0.25">
      <c r="A4687" t="str">
        <f>"594073"</f>
        <v>594073</v>
      </c>
      <c r="B4687" t="s">
        <v>5767</v>
      </c>
      <c r="C4687" t="s">
        <v>3522</v>
      </c>
      <c r="D4687" s="21" t="s">
        <v>34</v>
      </c>
      <c r="E4687" s="21" t="s">
        <v>35</v>
      </c>
      <c r="F4687">
        <v>7590244</v>
      </c>
      <c r="G4687" t="s">
        <v>5768</v>
      </c>
      <c r="H4687" s="21">
        <v>1213.17</v>
      </c>
    </row>
    <row r="4688" spans="1:8" customFormat="1" x14ac:dyDescent="0.25">
      <c r="A4688" t="str">
        <f>"60597"</f>
        <v>60597</v>
      </c>
      <c r="B4688" t="s">
        <v>5517</v>
      </c>
      <c r="C4688" t="s">
        <v>576</v>
      </c>
      <c r="D4688" s="21" t="s">
        <v>34</v>
      </c>
      <c r="E4688" s="21" t="s">
        <v>71</v>
      </c>
      <c r="F4688">
        <v>7600024</v>
      </c>
      <c r="G4688" t="s">
        <v>1234</v>
      </c>
      <c r="H4688" s="21">
        <v>1213.17</v>
      </c>
    </row>
    <row r="4689" spans="1:8" customFormat="1" x14ac:dyDescent="0.25">
      <c r="A4689" t="str">
        <f>"8810044"</f>
        <v>8810044</v>
      </c>
      <c r="B4689" t="s">
        <v>1687</v>
      </c>
      <c r="C4689" t="s">
        <v>139</v>
      </c>
      <c r="D4689" s="21" t="s">
        <v>34</v>
      </c>
      <c r="E4689" s="21" t="s">
        <v>35</v>
      </c>
      <c r="F4689">
        <v>13060043</v>
      </c>
      <c r="G4689" t="s">
        <v>4761</v>
      </c>
      <c r="H4689" s="21">
        <v>1213.17</v>
      </c>
    </row>
    <row r="4690" spans="1:8" customFormat="1" x14ac:dyDescent="0.25">
      <c r="A4690" t="str">
        <f>"45617"</f>
        <v>45617</v>
      </c>
      <c r="B4690" t="s">
        <v>4582</v>
      </c>
      <c r="C4690" t="s">
        <v>249</v>
      </c>
      <c r="D4690" s="21" t="s">
        <v>34</v>
      </c>
      <c r="E4690" s="21" t="s">
        <v>71</v>
      </c>
      <c r="F4690">
        <v>4450751</v>
      </c>
      <c r="G4690" t="s">
        <v>442</v>
      </c>
      <c r="H4690" s="21">
        <v>1213.17</v>
      </c>
    </row>
    <row r="4691" spans="1:8" customFormat="1" x14ac:dyDescent="0.25">
      <c r="A4691" t="str">
        <f>"45359"</f>
        <v>45359</v>
      </c>
      <c r="B4691" t="s">
        <v>5494</v>
      </c>
      <c r="C4691" t="s">
        <v>507</v>
      </c>
      <c r="D4691" s="21" t="s">
        <v>34</v>
      </c>
      <c r="E4691" s="21" t="s">
        <v>254</v>
      </c>
      <c r="F4691">
        <v>4450036</v>
      </c>
      <c r="G4691" t="s">
        <v>4179</v>
      </c>
      <c r="H4691" s="21">
        <v>1213.17</v>
      </c>
    </row>
    <row r="4692" spans="1:8" customFormat="1" x14ac:dyDescent="0.25">
      <c r="A4692" t="str">
        <f>"089307"</f>
        <v>089307</v>
      </c>
      <c r="B4692" t="s">
        <v>5716</v>
      </c>
      <c r="C4692" t="s">
        <v>65</v>
      </c>
      <c r="D4692" s="21" t="s">
        <v>34</v>
      </c>
      <c r="E4692" s="21" t="s">
        <v>35</v>
      </c>
      <c r="F4692">
        <v>6080059</v>
      </c>
      <c r="G4692" t="s">
        <v>4242</v>
      </c>
      <c r="H4692" s="21">
        <v>1213.17</v>
      </c>
    </row>
    <row r="4693" spans="1:8" customFormat="1" x14ac:dyDescent="0.25">
      <c r="A4693" t="str">
        <f>"274597"</f>
        <v>274597</v>
      </c>
      <c r="B4693" t="s">
        <v>3338</v>
      </c>
      <c r="C4693" t="s">
        <v>2533</v>
      </c>
      <c r="D4693" s="21" t="s">
        <v>34</v>
      </c>
      <c r="E4693" s="21" t="s">
        <v>71</v>
      </c>
      <c r="F4693">
        <v>9270030</v>
      </c>
      <c r="G4693" t="s">
        <v>5853</v>
      </c>
      <c r="H4693" s="21">
        <v>1213.06</v>
      </c>
    </row>
    <row r="4694" spans="1:8" customFormat="1" x14ac:dyDescent="0.25">
      <c r="A4694" t="str">
        <f>"11712"</f>
        <v>11712</v>
      </c>
      <c r="B4694" t="s">
        <v>6127</v>
      </c>
      <c r="C4694" t="s">
        <v>1812</v>
      </c>
      <c r="D4694" s="21" t="s">
        <v>34</v>
      </c>
      <c r="E4694" s="21" t="s">
        <v>71</v>
      </c>
      <c r="F4694">
        <v>11110015</v>
      </c>
      <c r="G4694" t="s">
        <v>26669</v>
      </c>
      <c r="H4694" s="21">
        <v>1212.92</v>
      </c>
    </row>
    <row r="4695" spans="1:8" customFormat="1" x14ac:dyDescent="0.25">
      <c r="A4695" t="str">
        <f>"493477"</f>
        <v>493477</v>
      </c>
      <c r="B4695" t="s">
        <v>5770</v>
      </c>
      <c r="C4695" t="s">
        <v>601</v>
      </c>
      <c r="D4695" s="21" t="s">
        <v>34</v>
      </c>
      <c r="E4695" s="21" t="s">
        <v>71</v>
      </c>
      <c r="F4695">
        <v>12490029</v>
      </c>
      <c r="G4695" t="s">
        <v>3485</v>
      </c>
      <c r="H4695" s="21">
        <v>1212.8</v>
      </c>
    </row>
    <row r="4696" spans="1:8" customFormat="1" x14ac:dyDescent="0.25">
      <c r="A4696" t="str">
        <f>"865507"</f>
        <v>865507</v>
      </c>
      <c r="B4696" t="s">
        <v>17215</v>
      </c>
      <c r="C4696" t="s">
        <v>87</v>
      </c>
      <c r="D4696" s="21" t="s">
        <v>34</v>
      </c>
      <c r="E4696" s="21" t="s">
        <v>71</v>
      </c>
      <c r="F4696">
        <v>10860024</v>
      </c>
      <c r="G4696" t="s">
        <v>1770</v>
      </c>
      <c r="H4696" s="21">
        <v>1212.67</v>
      </c>
    </row>
    <row r="4697" spans="1:8" customFormat="1" x14ac:dyDescent="0.25">
      <c r="A4697" t="str">
        <f>"2615733"</f>
        <v>2615733</v>
      </c>
      <c r="B4697" t="s">
        <v>1180</v>
      </c>
      <c r="C4697" t="s">
        <v>415</v>
      </c>
      <c r="D4697" s="21" t="s">
        <v>34</v>
      </c>
      <c r="E4697" s="21" t="s">
        <v>71</v>
      </c>
      <c r="F4697">
        <v>1260054</v>
      </c>
      <c r="G4697" t="s">
        <v>358</v>
      </c>
      <c r="H4697" s="21">
        <v>1212.17</v>
      </c>
    </row>
    <row r="4698" spans="1:8" customFormat="1" x14ac:dyDescent="0.25">
      <c r="A4698" t="str">
        <f>"256510"</f>
        <v>256510</v>
      </c>
      <c r="B4698" t="s">
        <v>4341</v>
      </c>
      <c r="C4698" t="s">
        <v>60</v>
      </c>
      <c r="D4698" s="21" t="s">
        <v>34</v>
      </c>
      <c r="E4698" s="21" t="s">
        <v>35</v>
      </c>
      <c r="F4698">
        <v>2250017</v>
      </c>
      <c r="G4698" t="s">
        <v>521</v>
      </c>
      <c r="H4698" s="21">
        <v>1212.17</v>
      </c>
    </row>
    <row r="4699" spans="1:8" customFormat="1" x14ac:dyDescent="0.25">
      <c r="A4699" t="str">
        <f>"3813426"</f>
        <v>3813426</v>
      </c>
      <c r="B4699" t="s">
        <v>6200</v>
      </c>
      <c r="C4699" t="s">
        <v>6201</v>
      </c>
      <c r="D4699" s="21" t="s">
        <v>34</v>
      </c>
      <c r="E4699" s="21" t="s">
        <v>71</v>
      </c>
      <c r="F4699">
        <v>1730048</v>
      </c>
      <c r="G4699" t="s">
        <v>3173</v>
      </c>
      <c r="H4699" s="21">
        <v>1212.17</v>
      </c>
    </row>
    <row r="4700" spans="1:8" customFormat="1" x14ac:dyDescent="0.25">
      <c r="A4700" t="str">
        <f>"626925"</f>
        <v>626925</v>
      </c>
      <c r="B4700" t="s">
        <v>5253</v>
      </c>
      <c r="C4700" t="s">
        <v>2520</v>
      </c>
      <c r="D4700" s="21" t="s">
        <v>34</v>
      </c>
      <c r="E4700" s="21" t="s">
        <v>254</v>
      </c>
      <c r="F4700">
        <v>7620058</v>
      </c>
      <c r="G4700" t="s">
        <v>602</v>
      </c>
      <c r="H4700" s="21">
        <v>1212.17</v>
      </c>
    </row>
    <row r="4701" spans="1:8" customFormat="1" x14ac:dyDescent="0.25">
      <c r="A4701" t="str">
        <f>"538714"</f>
        <v>538714</v>
      </c>
      <c r="B4701" t="s">
        <v>3072</v>
      </c>
      <c r="C4701" t="s">
        <v>151</v>
      </c>
      <c r="D4701" s="21" t="s">
        <v>34</v>
      </c>
      <c r="E4701" s="21" t="s">
        <v>71</v>
      </c>
      <c r="F4701">
        <v>12530147</v>
      </c>
      <c r="G4701" t="s">
        <v>1851</v>
      </c>
      <c r="H4701" s="21">
        <v>1212.17</v>
      </c>
    </row>
    <row r="4702" spans="1:8" customFormat="1" x14ac:dyDescent="0.25">
      <c r="A4702" t="str">
        <f>"7920711"</f>
        <v>7920711</v>
      </c>
      <c r="B4702" t="s">
        <v>5875</v>
      </c>
      <c r="C4702" t="s">
        <v>5876</v>
      </c>
      <c r="D4702" s="21" t="s">
        <v>34</v>
      </c>
      <c r="E4702" s="21" t="s">
        <v>35</v>
      </c>
      <c r="F4702">
        <v>10790069</v>
      </c>
      <c r="G4702" t="s">
        <v>689</v>
      </c>
      <c r="H4702" s="21">
        <v>1212.17</v>
      </c>
    </row>
    <row r="4703" spans="1:8" customFormat="1" x14ac:dyDescent="0.25">
      <c r="A4703" t="str">
        <f>"775003"</f>
        <v>775003</v>
      </c>
      <c r="B4703" t="s">
        <v>5641</v>
      </c>
      <c r="C4703" t="s">
        <v>65</v>
      </c>
      <c r="D4703" s="21" t="s">
        <v>34</v>
      </c>
      <c r="E4703" s="21" t="s">
        <v>35</v>
      </c>
      <c r="F4703">
        <v>8771394</v>
      </c>
      <c r="G4703" t="s">
        <v>1933</v>
      </c>
      <c r="H4703" s="21">
        <v>1212.17</v>
      </c>
    </row>
    <row r="4704" spans="1:8" customFormat="1" x14ac:dyDescent="0.25">
      <c r="A4704" t="str">
        <f>"7916425"</f>
        <v>7916425</v>
      </c>
      <c r="B4704" t="s">
        <v>19358</v>
      </c>
      <c r="C4704" t="s">
        <v>7441</v>
      </c>
      <c r="D4704" s="21" t="s">
        <v>34</v>
      </c>
      <c r="E4704" s="21" t="s">
        <v>35</v>
      </c>
      <c r="F4704">
        <v>10790002</v>
      </c>
      <c r="G4704" t="s">
        <v>6612</v>
      </c>
      <c r="H4704" s="21">
        <v>1212.17</v>
      </c>
    </row>
    <row r="4705" spans="1:8" customFormat="1" x14ac:dyDescent="0.25">
      <c r="A4705" t="str">
        <f>"01124"</f>
        <v>01124</v>
      </c>
      <c r="B4705" t="s">
        <v>4730</v>
      </c>
      <c r="C4705" t="s">
        <v>453</v>
      </c>
      <c r="D4705" s="21" t="s">
        <v>34</v>
      </c>
      <c r="E4705" s="21" t="s">
        <v>1089</v>
      </c>
      <c r="F4705">
        <v>1010069</v>
      </c>
      <c r="G4705" t="s">
        <v>1707</v>
      </c>
      <c r="H4705" s="21">
        <v>1211.92</v>
      </c>
    </row>
    <row r="4706" spans="1:8" customFormat="1" x14ac:dyDescent="0.25">
      <c r="A4706" t="str">
        <f>"9A931"</f>
        <v>9A931</v>
      </c>
      <c r="B4706" t="s">
        <v>6109</v>
      </c>
      <c r="C4706" t="s">
        <v>60</v>
      </c>
      <c r="D4706" s="21" t="s">
        <v>34</v>
      </c>
      <c r="E4706" s="21" t="s">
        <v>35</v>
      </c>
      <c r="F4706" t="s">
        <v>1465</v>
      </c>
      <c r="G4706" t="s">
        <v>1466</v>
      </c>
      <c r="H4706" s="21">
        <v>1211.8</v>
      </c>
    </row>
    <row r="4707" spans="1:8" customFormat="1" x14ac:dyDescent="0.25">
      <c r="A4707" t="str">
        <f>"915384"</f>
        <v>915384</v>
      </c>
      <c r="B4707" t="s">
        <v>5733</v>
      </c>
      <c r="C4707" t="s">
        <v>267</v>
      </c>
      <c r="D4707" s="21" t="s">
        <v>34</v>
      </c>
      <c r="E4707" s="21" t="s">
        <v>254</v>
      </c>
      <c r="F4707">
        <v>8911285</v>
      </c>
      <c r="G4707" t="s">
        <v>2396</v>
      </c>
      <c r="H4707" s="21">
        <v>1211.8</v>
      </c>
    </row>
    <row r="4708" spans="1:8" customFormat="1" x14ac:dyDescent="0.25">
      <c r="A4708" t="str">
        <f>"302421"</f>
        <v>302421</v>
      </c>
      <c r="B4708" t="s">
        <v>5090</v>
      </c>
      <c r="C4708" t="s">
        <v>87</v>
      </c>
      <c r="D4708" s="21" t="s">
        <v>34</v>
      </c>
      <c r="E4708" s="21" t="s">
        <v>71</v>
      </c>
      <c r="F4708">
        <v>11300023</v>
      </c>
      <c r="G4708" t="s">
        <v>2679</v>
      </c>
      <c r="H4708" s="21">
        <v>1211.67</v>
      </c>
    </row>
    <row r="4709" spans="1:8" customFormat="1" x14ac:dyDescent="0.25">
      <c r="A4709" t="str">
        <f>"5960115"</f>
        <v>5960115</v>
      </c>
      <c r="B4709" t="s">
        <v>1263</v>
      </c>
      <c r="C4709" t="s">
        <v>209</v>
      </c>
      <c r="D4709" s="21" t="s">
        <v>34</v>
      </c>
      <c r="E4709" s="21" t="s">
        <v>35</v>
      </c>
      <c r="F4709">
        <v>7590071</v>
      </c>
      <c r="G4709" t="s">
        <v>2602</v>
      </c>
      <c r="H4709" s="21">
        <v>1211.67</v>
      </c>
    </row>
    <row r="4710" spans="1:8" customFormat="1" x14ac:dyDescent="0.25">
      <c r="A4710" t="str">
        <f>"2213557"</f>
        <v>2213557</v>
      </c>
      <c r="B4710" t="s">
        <v>5310</v>
      </c>
      <c r="C4710" t="s">
        <v>55</v>
      </c>
      <c r="D4710" s="21" t="s">
        <v>34</v>
      </c>
      <c r="E4710" s="21" t="s">
        <v>35</v>
      </c>
      <c r="F4710">
        <v>13130124</v>
      </c>
      <c r="G4710" t="s">
        <v>5311</v>
      </c>
      <c r="H4710" s="21">
        <v>1211.67</v>
      </c>
    </row>
    <row r="4711" spans="1:8" customFormat="1" x14ac:dyDescent="0.25">
      <c r="A4711" t="str">
        <f>"0110740"</f>
        <v>0110740</v>
      </c>
      <c r="B4711" t="s">
        <v>5394</v>
      </c>
      <c r="C4711" t="s">
        <v>269</v>
      </c>
      <c r="D4711" s="21" t="s">
        <v>34</v>
      </c>
      <c r="E4711" s="21" t="s">
        <v>35</v>
      </c>
      <c r="F4711">
        <v>1730089</v>
      </c>
      <c r="G4711" t="s">
        <v>5395</v>
      </c>
      <c r="H4711" s="21">
        <v>1211.67</v>
      </c>
    </row>
    <row r="4712" spans="1:8" customFormat="1" x14ac:dyDescent="0.25">
      <c r="A4712" t="str">
        <f>"746375"</f>
        <v>746375</v>
      </c>
      <c r="B4712" t="s">
        <v>5360</v>
      </c>
      <c r="C4712" t="s">
        <v>169</v>
      </c>
      <c r="D4712" s="21" t="s">
        <v>34</v>
      </c>
      <c r="E4712" s="21" t="s">
        <v>71</v>
      </c>
      <c r="F4712">
        <v>1740003</v>
      </c>
      <c r="G4712" t="s">
        <v>982</v>
      </c>
      <c r="H4712" s="21">
        <v>1211.67</v>
      </c>
    </row>
    <row r="4713" spans="1:8" customFormat="1" x14ac:dyDescent="0.25">
      <c r="A4713" t="str">
        <f>"599170"</f>
        <v>599170</v>
      </c>
      <c r="B4713" t="s">
        <v>7224</v>
      </c>
      <c r="C4713" t="s">
        <v>55</v>
      </c>
      <c r="D4713" s="21" t="s">
        <v>34</v>
      </c>
      <c r="E4713" s="21" t="s">
        <v>71</v>
      </c>
      <c r="F4713">
        <v>7590069</v>
      </c>
      <c r="G4713" t="s">
        <v>7225</v>
      </c>
      <c r="H4713" s="21">
        <v>1211.67</v>
      </c>
    </row>
    <row r="4714" spans="1:8" customFormat="1" x14ac:dyDescent="0.25">
      <c r="A4714" t="str">
        <f>"5324255"</f>
        <v>5324255</v>
      </c>
      <c r="B4714" t="s">
        <v>6483</v>
      </c>
      <c r="C4714" t="s">
        <v>139</v>
      </c>
      <c r="D4714" s="21" t="s">
        <v>34</v>
      </c>
      <c r="E4714" s="21" t="s">
        <v>35</v>
      </c>
      <c r="F4714">
        <v>12530087</v>
      </c>
      <c r="G4714" t="s">
        <v>3860</v>
      </c>
      <c r="H4714" s="21">
        <v>1211.67</v>
      </c>
    </row>
    <row r="4715" spans="1:8" customFormat="1" x14ac:dyDescent="0.25">
      <c r="A4715" t="str">
        <f>"578469"</f>
        <v>578469</v>
      </c>
      <c r="B4715" t="s">
        <v>5606</v>
      </c>
      <c r="C4715" t="s">
        <v>33</v>
      </c>
      <c r="D4715" s="21" t="s">
        <v>34</v>
      </c>
      <c r="E4715" s="21" t="s">
        <v>35</v>
      </c>
      <c r="F4715">
        <v>6570014</v>
      </c>
      <c r="G4715" t="s">
        <v>72</v>
      </c>
      <c r="H4715" s="21">
        <v>1211.42</v>
      </c>
    </row>
    <row r="4716" spans="1:8" customFormat="1" x14ac:dyDescent="0.25">
      <c r="A4716" t="str">
        <f>"44679"</f>
        <v>44679</v>
      </c>
      <c r="B4716" t="s">
        <v>5427</v>
      </c>
      <c r="C4716" t="s">
        <v>1887</v>
      </c>
      <c r="D4716" s="21" t="s">
        <v>34</v>
      </c>
      <c r="E4716" s="21" t="s">
        <v>254</v>
      </c>
      <c r="F4716">
        <v>12440021</v>
      </c>
      <c r="G4716" t="s">
        <v>429</v>
      </c>
      <c r="H4716" s="21">
        <v>1211.42</v>
      </c>
    </row>
    <row r="4717" spans="1:8" customFormat="1" x14ac:dyDescent="0.25">
      <c r="A4717" t="str">
        <f>"106769"</f>
        <v>106769</v>
      </c>
      <c r="B4717" t="s">
        <v>6241</v>
      </c>
      <c r="C4717" t="s">
        <v>6242</v>
      </c>
      <c r="D4717" s="21" t="s">
        <v>34</v>
      </c>
      <c r="E4717" s="21" t="s">
        <v>35</v>
      </c>
      <c r="F4717">
        <v>6100002</v>
      </c>
      <c r="G4717" t="s">
        <v>1602</v>
      </c>
      <c r="H4717" s="21">
        <v>1211.42</v>
      </c>
    </row>
    <row r="4718" spans="1:8" customFormat="1" x14ac:dyDescent="0.25">
      <c r="A4718" t="str">
        <f>"3110009"</f>
        <v>3110009</v>
      </c>
      <c r="B4718" t="s">
        <v>6979</v>
      </c>
      <c r="C4718" t="s">
        <v>40</v>
      </c>
      <c r="D4718" s="21" t="s">
        <v>34</v>
      </c>
      <c r="E4718" s="21" t="s">
        <v>35</v>
      </c>
      <c r="F4718">
        <v>11310005</v>
      </c>
      <c r="G4718" t="s">
        <v>6980</v>
      </c>
      <c r="H4718" s="21">
        <v>1211.18</v>
      </c>
    </row>
    <row r="4719" spans="1:8" customFormat="1" x14ac:dyDescent="0.25">
      <c r="A4719" t="str">
        <f>"6315830"</f>
        <v>6315830</v>
      </c>
      <c r="B4719" t="s">
        <v>26869</v>
      </c>
      <c r="C4719" t="s">
        <v>26870</v>
      </c>
      <c r="D4719" s="21" t="s">
        <v>34</v>
      </c>
      <c r="E4719" s="21" t="s">
        <v>35</v>
      </c>
      <c r="F4719">
        <v>1630317</v>
      </c>
      <c r="G4719" t="s">
        <v>7523</v>
      </c>
      <c r="H4719" s="21">
        <v>1211.17</v>
      </c>
    </row>
    <row r="4720" spans="1:8" customFormat="1" x14ac:dyDescent="0.25">
      <c r="A4720" t="str">
        <f>"929327"</f>
        <v>929327</v>
      </c>
      <c r="B4720" t="s">
        <v>4579</v>
      </c>
      <c r="C4720" t="s">
        <v>4580</v>
      </c>
      <c r="D4720" s="21" t="s">
        <v>34</v>
      </c>
      <c r="E4720" s="21" t="s">
        <v>71</v>
      </c>
      <c r="F4720">
        <v>8920111</v>
      </c>
      <c r="G4720" t="s">
        <v>1064</v>
      </c>
      <c r="H4720" s="21">
        <v>1211.17</v>
      </c>
    </row>
    <row r="4721" spans="1:8" customFormat="1" x14ac:dyDescent="0.25">
      <c r="A4721" t="str">
        <f>"7710840"</f>
        <v>7710840</v>
      </c>
      <c r="B4721" t="s">
        <v>5618</v>
      </c>
      <c r="C4721" t="s">
        <v>320</v>
      </c>
      <c r="D4721" s="21" t="s">
        <v>34</v>
      </c>
      <c r="E4721" s="21" t="s">
        <v>35</v>
      </c>
      <c r="F4721">
        <v>10860016</v>
      </c>
      <c r="G4721" t="s">
        <v>3289</v>
      </c>
      <c r="H4721" s="21">
        <v>1211.17</v>
      </c>
    </row>
    <row r="4722" spans="1:8" customFormat="1" x14ac:dyDescent="0.25">
      <c r="A4722" t="str">
        <f>"2918087"</f>
        <v>2918087</v>
      </c>
      <c r="B4722" t="s">
        <v>5915</v>
      </c>
      <c r="C4722" t="s">
        <v>144</v>
      </c>
      <c r="D4722" s="21" t="s">
        <v>34</v>
      </c>
      <c r="E4722" s="21" t="s">
        <v>35</v>
      </c>
      <c r="F4722">
        <v>3560028</v>
      </c>
      <c r="G4722" t="s">
        <v>5916</v>
      </c>
      <c r="H4722" s="21">
        <v>1211.17</v>
      </c>
    </row>
    <row r="4723" spans="1:8" customFormat="1" x14ac:dyDescent="0.25">
      <c r="A4723" t="str">
        <f>"931397"</f>
        <v>931397</v>
      </c>
      <c r="B4723" t="s">
        <v>5068</v>
      </c>
      <c r="C4723" t="s">
        <v>33</v>
      </c>
      <c r="D4723" s="21" t="s">
        <v>34</v>
      </c>
      <c r="E4723" s="21" t="s">
        <v>71</v>
      </c>
      <c r="F4723">
        <v>3350014</v>
      </c>
      <c r="G4723" t="s">
        <v>1078</v>
      </c>
      <c r="H4723" s="21">
        <v>1211.17</v>
      </c>
    </row>
    <row r="4724" spans="1:8" customFormat="1" x14ac:dyDescent="0.25">
      <c r="A4724" t="str">
        <f>"443051"</f>
        <v>443051</v>
      </c>
      <c r="B4724" t="s">
        <v>7138</v>
      </c>
      <c r="C4724" t="s">
        <v>5009</v>
      </c>
      <c r="D4724" s="21" t="s">
        <v>34</v>
      </c>
      <c r="E4724" s="21" t="s">
        <v>35</v>
      </c>
      <c r="F4724">
        <v>12440101</v>
      </c>
      <c r="G4724" t="s">
        <v>3482</v>
      </c>
      <c r="H4724" s="21">
        <v>1211.17</v>
      </c>
    </row>
    <row r="4725" spans="1:8" customFormat="1" x14ac:dyDescent="0.25">
      <c r="A4725" t="str">
        <f>"146643"</f>
        <v>146643</v>
      </c>
      <c r="B4725" t="s">
        <v>1185</v>
      </c>
      <c r="C4725" t="s">
        <v>462</v>
      </c>
      <c r="D4725" s="21" t="s">
        <v>34</v>
      </c>
      <c r="E4725" s="21" t="s">
        <v>35</v>
      </c>
      <c r="F4725">
        <v>9140023</v>
      </c>
      <c r="G4725" t="s">
        <v>2318</v>
      </c>
      <c r="H4725" s="21">
        <v>1210.67</v>
      </c>
    </row>
    <row r="4726" spans="1:8" customFormat="1" x14ac:dyDescent="0.25">
      <c r="A4726" t="str">
        <f>"4920121"</f>
        <v>4920121</v>
      </c>
      <c r="B4726" t="s">
        <v>6196</v>
      </c>
      <c r="C4726" t="s">
        <v>33</v>
      </c>
      <c r="D4726" s="21" t="s">
        <v>34</v>
      </c>
      <c r="E4726" s="21" t="s">
        <v>35</v>
      </c>
      <c r="F4726">
        <v>12851011</v>
      </c>
      <c r="G4726" t="s">
        <v>1445</v>
      </c>
      <c r="H4726" s="21">
        <v>1210.67</v>
      </c>
    </row>
    <row r="4727" spans="1:8" customFormat="1" x14ac:dyDescent="0.25">
      <c r="A4727" t="str">
        <f>"9429472"</f>
        <v>9429472</v>
      </c>
      <c r="B4727" t="s">
        <v>5092</v>
      </c>
      <c r="C4727" t="s">
        <v>55</v>
      </c>
      <c r="D4727" s="21" t="s">
        <v>34</v>
      </c>
      <c r="E4727" s="21" t="s">
        <v>35</v>
      </c>
      <c r="F4727">
        <v>8941352</v>
      </c>
      <c r="G4727" t="s">
        <v>3778</v>
      </c>
      <c r="H4727" s="21">
        <v>1210.67</v>
      </c>
    </row>
    <row r="4728" spans="1:8" customFormat="1" x14ac:dyDescent="0.25">
      <c r="A4728" t="str">
        <f>"148616"</f>
        <v>148616</v>
      </c>
      <c r="B4728" t="s">
        <v>26871</v>
      </c>
      <c r="C4728" t="s">
        <v>55</v>
      </c>
      <c r="D4728" s="21" t="s">
        <v>34</v>
      </c>
      <c r="E4728" s="21" t="s">
        <v>71</v>
      </c>
      <c r="F4728" t="s">
        <v>1923</v>
      </c>
      <c r="G4728" t="s">
        <v>1924</v>
      </c>
      <c r="H4728" s="21">
        <v>1210.67</v>
      </c>
    </row>
    <row r="4729" spans="1:8" customFormat="1" x14ac:dyDescent="0.25">
      <c r="A4729" t="str">
        <f>"5934190"</f>
        <v>5934190</v>
      </c>
      <c r="B4729" t="s">
        <v>5482</v>
      </c>
      <c r="C4729" t="s">
        <v>65</v>
      </c>
      <c r="D4729" s="21" t="s">
        <v>34</v>
      </c>
      <c r="E4729" s="21" t="s">
        <v>35</v>
      </c>
      <c r="F4729">
        <v>7590170</v>
      </c>
      <c r="G4729" t="s">
        <v>868</v>
      </c>
      <c r="H4729" s="21">
        <v>1210.67</v>
      </c>
    </row>
    <row r="4730" spans="1:8" customFormat="1" x14ac:dyDescent="0.25">
      <c r="A4730" t="str">
        <f>"536240"</f>
        <v>536240</v>
      </c>
      <c r="B4730" t="s">
        <v>4419</v>
      </c>
      <c r="C4730" t="s">
        <v>151</v>
      </c>
      <c r="D4730" s="21" t="s">
        <v>34</v>
      </c>
      <c r="E4730" s="21" t="s">
        <v>35</v>
      </c>
      <c r="F4730">
        <v>12530017</v>
      </c>
      <c r="G4730" t="s">
        <v>307</v>
      </c>
      <c r="H4730" s="21">
        <v>1210.67</v>
      </c>
    </row>
    <row r="4731" spans="1:8" customFormat="1" x14ac:dyDescent="0.25">
      <c r="A4731" t="str">
        <f>"312766"</f>
        <v>312766</v>
      </c>
      <c r="B4731" t="s">
        <v>5923</v>
      </c>
      <c r="C4731" t="s">
        <v>263</v>
      </c>
      <c r="D4731" s="21" t="s">
        <v>34</v>
      </c>
      <c r="E4731" s="21" t="s">
        <v>71</v>
      </c>
      <c r="F4731">
        <v>11310075</v>
      </c>
      <c r="G4731" t="s">
        <v>2531</v>
      </c>
      <c r="H4731" s="21">
        <v>1210.67</v>
      </c>
    </row>
    <row r="4732" spans="1:8" customFormat="1" x14ac:dyDescent="0.25">
      <c r="A4732" t="str">
        <f>"3534295"</f>
        <v>3534295</v>
      </c>
      <c r="B4732" t="s">
        <v>8054</v>
      </c>
      <c r="C4732" t="s">
        <v>621</v>
      </c>
      <c r="D4732" s="21" t="s">
        <v>34</v>
      </c>
      <c r="E4732" s="21" t="s">
        <v>35</v>
      </c>
      <c r="F4732">
        <v>3350022</v>
      </c>
      <c r="G4732" t="s">
        <v>1287</v>
      </c>
      <c r="H4732" s="21">
        <v>1210.44</v>
      </c>
    </row>
    <row r="4733" spans="1:8" customFormat="1" x14ac:dyDescent="0.25">
      <c r="A4733" t="str">
        <f>"277727"</f>
        <v>277727</v>
      </c>
      <c r="B4733" t="s">
        <v>6111</v>
      </c>
      <c r="C4733" t="s">
        <v>58</v>
      </c>
      <c r="D4733" s="21" t="s">
        <v>34</v>
      </c>
      <c r="E4733" s="21" t="s">
        <v>35</v>
      </c>
      <c r="F4733">
        <v>9270138</v>
      </c>
      <c r="G4733" t="s">
        <v>6112</v>
      </c>
      <c r="H4733" s="21">
        <v>1210.42</v>
      </c>
    </row>
    <row r="4734" spans="1:8" customFormat="1" x14ac:dyDescent="0.25">
      <c r="A4734" t="str">
        <f>"5428545"</f>
        <v>5428545</v>
      </c>
      <c r="B4734" t="s">
        <v>7512</v>
      </c>
      <c r="C4734" t="s">
        <v>2384</v>
      </c>
      <c r="D4734" s="21" t="s">
        <v>34</v>
      </c>
      <c r="E4734" s="21" t="s">
        <v>35</v>
      </c>
      <c r="F4734">
        <v>6540184</v>
      </c>
      <c r="G4734" t="s">
        <v>4395</v>
      </c>
      <c r="H4734" s="21">
        <v>1210.17</v>
      </c>
    </row>
    <row r="4735" spans="1:8" customFormat="1" x14ac:dyDescent="0.25">
      <c r="A4735" t="str">
        <f>"5911120"</f>
        <v>5911120</v>
      </c>
      <c r="B4735" t="s">
        <v>4480</v>
      </c>
      <c r="C4735" t="s">
        <v>1489</v>
      </c>
      <c r="D4735" s="21" t="s">
        <v>34</v>
      </c>
      <c r="E4735" s="21" t="s">
        <v>35</v>
      </c>
      <c r="F4735">
        <v>7590175</v>
      </c>
      <c r="G4735" t="s">
        <v>3063</v>
      </c>
      <c r="H4735" s="21">
        <v>1210.17</v>
      </c>
    </row>
    <row r="4736" spans="1:8" customFormat="1" x14ac:dyDescent="0.25">
      <c r="A4736" t="str">
        <f>"612534"</f>
        <v>612534</v>
      </c>
      <c r="B4736" t="s">
        <v>6134</v>
      </c>
      <c r="C4736" t="s">
        <v>6135</v>
      </c>
      <c r="D4736" s="21" t="s">
        <v>34</v>
      </c>
      <c r="E4736" s="21" t="s">
        <v>35</v>
      </c>
      <c r="F4736">
        <v>9610122</v>
      </c>
      <c r="G4736" t="s">
        <v>4349</v>
      </c>
      <c r="H4736" s="21">
        <v>1210.17</v>
      </c>
    </row>
    <row r="4737" spans="1:8" customFormat="1" x14ac:dyDescent="0.25">
      <c r="A4737" t="str">
        <f>"8515460"</f>
        <v>8515460</v>
      </c>
      <c r="B4737" t="s">
        <v>4063</v>
      </c>
      <c r="C4737" t="s">
        <v>621</v>
      </c>
      <c r="D4737" s="21" t="s">
        <v>34</v>
      </c>
      <c r="E4737" s="21" t="s">
        <v>35</v>
      </c>
      <c r="F4737">
        <v>12850171</v>
      </c>
      <c r="G4737" t="s">
        <v>2687</v>
      </c>
      <c r="H4737" s="21">
        <v>1210.17</v>
      </c>
    </row>
    <row r="4738" spans="1:8" customFormat="1" x14ac:dyDescent="0.25">
      <c r="A4738" t="str">
        <f>"165792"</f>
        <v>165792</v>
      </c>
      <c r="B4738" t="s">
        <v>5673</v>
      </c>
      <c r="C4738" t="s">
        <v>114</v>
      </c>
      <c r="D4738" s="21" t="s">
        <v>34</v>
      </c>
      <c r="E4738" s="21" t="s">
        <v>71</v>
      </c>
      <c r="F4738">
        <v>10160029</v>
      </c>
      <c r="G4738" t="s">
        <v>896</v>
      </c>
      <c r="H4738" s="21">
        <v>1210.17</v>
      </c>
    </row>
    <row r="4739" spans="1:8" customFormat="1" x14ac:dyDescent="0.25">
      <c r="A4739" t="str">
        <f>"5319272"</f>
        <v>5319272</v>
      </c>
      <c r="B4739" t="s">
        <v>5066</v>
      </c>
      <c r="C4739" t="s">
        <v>139</v>
      </c>
      <c r="D4739" s="21" t="s">
        <v>34</v>
      </c>
      <c r="E4739" s="21" t="s">
        <v>35</v>
      </c>
      <c r="F4739">
        <v>12530147</v>
      </c>
      <c r="G4739" t="s">
        <v>1851</v>
      </c>
      <c r="H4739" s="21">
        <v>1210.17</v>
      </c>
    </row>
    <row r="4740" spans="1:8" customFormat="1" x14ac:dyDescent="0.25">
      <c r="A4740" t="str">
        <f>"9125004"</f>
        <v>9125004</v>
      </c>
      <c r="B4740" t="s">
        <v>5724</v>
      </c>
      <c r="C4740" t="s">
        <v>328</v>
      </c>
      <c r="D4740" s="21" t="s">
        <v>34</v>
      </c>
      <c r="E4740" s="21" t="s">
        <v>35</v>
      </c>
      <c r="F4740">
        <v>8910434</v>
      </c>
      <c r="G4740" t="s">
        <v>681</v>
      </c>
      <c r="H4740" s="21">
        <v>1210.17</v>
      </c>
    </row>
    <row r="4741" spans="1:8" customFormat="1" x14ac:dyDescent="0.25">
      <c r="A4741" t="str">
        <f>"5938575"</f>
        <v>5938575</v>
      </c>
      <c r="B4741" t="s">
        <v>5664</v>
      </c>
      <c r="C4741" t="s">
        <v>60</v>
      </c>
      <c r="D4741" s="21" t="s">
        <v>34</v>
      </c>
      <c r="E4741" s="21" t="s">
        <v>35</v>
      </c>
      <c r="F4741">
        <v>7590427</v>
      </c>
      <c r="G4741" t="s">
        <v>4746</v>
      </c>
      <c r="H4741" s="21">
        <v>1210.05</v>
      </c>
    </row>
    <row r="4742" spans="1:8" customFormat="1" x14ac:dyDescent="0.25">
      <c r="A4742" t="str">
        <f>"5918702"</f>
        <v>5918702</v>
      </c>
      <c r="B4742" t="s">
        <v>6230</v>
      </c>
      <c r="C4742" t="s">
        <v>98</v>
      </c>
      <c r="D4742" s="21" t="s">
        <v>34</v>
      </c>
      <c r="E4742" s="21" t="s">
        <v>71</v>
      </c>
      <c r="F4742">
        <v>11110009</v>
      </c>
      <c r="G4742" t="s">
        <v>6231</v>
      </c>
      <c r="H4742" s="21">
        <v>1210</v>
      </c>
    </row>
    <row r="4743" spans="1:8" customFormat="1" x14ac:dyDescent="0.25">
      <c r="A4743" t="str">
        <f>"9516330"</f>
        <v>9516330</v>
      </c>
      <c r="B4743" t="s">
        <v>24515</v>
      </c>
      <c r="C4743" t="s">
        <v>60</v>
      </c>
      <c r="D4743" s="21" t="s">
        <v>34</v>
      </c>
      <c r="E4743" s="21" t="s">
        <v>35</v>
      </c>
      <c r="F4743">
        <v>1740010</v>
      </c>
      <c r="G4743" t="s">
        <v>4986</v>
      </c>
      <c r="H4743" s="21">
        <v>1209.92</v>
      </c>
    </row>
    <row r="4744" spans="1:8" customFormat="1" x14ac:dyDescent="0.25">
      <c r="A4744" t="str">
        <f>"5961"</f>
        <v>5961</v>
      </c>
      <c r="B4744" t="s">
        <v>1094</v>
      </c>
      <c r="C4744" t="s">
        <v>267</v>
      </c>
      <c r="D4744" s="21" t="s">
        <v>34</v>
      </c>
      <c r="E4744" s="21" t="s">
        <v>254</v>
      </c>
      <c r="F4744">
        <v>7620103</v>
      </c>
      <c r="G4744" t="s">
        <v>1107</v>
      </c>
      <c r="H4744" s="21">
        <v>1209.8</v>
      </c>
    </row>
    <row r="4745" spans="1:8" customFormat="1" x14ac:dyDescent="0.25">
      <c r="A4745" t="str">
        <f>"9421695"</f>
        <v>9421695</v>
      </c>
      <c r="B4745" t="s">
        <v>5873</v>
      </c>
      <c r="C4745" t="s">
        <v>249</v>
      </c>
      <c r="D4745" s="21" t="s">
        <v>34</v>
      </c>
      <c r="E4745" s="21" t="s">
        <v>71</v>
      </c>
      <c r="F4745">
        <v>8940448</v>
      </c>
      <c r="G4745" t="s">
        <v>1691</v>
      </c>
      <c r="H4745" s="21">
        <v>1209.8</v>
      </c>
    </row>
    <row r="4746" spans="1:8" customFormat="1" x14ac:dyDescent="0.25">
      <c r="A4746" t="str">
        <f>"9535385"</f>
        <v>9535385</v>
      </c>
      <c r="B4746" t="s">
        <v>8486</v>
      </c>
      <c r="C4746" t="s">
        <v>462</v>
      </c>
      <c r="D4746" s="21" t="s">
        <v>34</v>
      </c>
      <c r="E4746" s="21" t="s">
        <v>35</v>
      </c>
      <c r="F4746">
        <v>8951399</v>
      </c>
      <c r="G4746" t="s">
        <v>6745</v>
      </c>
      <c r="H4746" s="21">
        <v>1209.8</v>
      </c>
    </row>
    <row r="4747" spans="1:8" customFormat="1" x14ac:dyDescent="0.25">
      <c r="A4747" t="str">
        <f>"91570"</f>
        <v>91570</v>
      </c>
      <c r="B4747" t="s">
        <v>3968</v>
      </c>
      <c r="C4747" t="s">
        <v>209</v>
      </c>
      <c r="D4747" s="21" t="s">
        <v>34</v>
      </c>
      <c r="E4747" s="21" t="s">
        <v>71</v>
      </c>
      <c r="F4747">
        <v>8910881</v>
      </c>
      <c r="G4747" t="s">
        <v>1300</v>
      </c>
      <c r="H4747" s="21">
        <v>1209.8</v>
      </c>
    </row>
    <row r="4748" spans="1:8" customFormat="1" x14ac:dyDescent="0.25">
      <c r="A4748" t="str">
        <f>"8527915"</f>
        <v>8527915</v>
      </c>
      <c r="B4748" t="s">
        <v>9810</v>
      </c>
      <c r="C4748" t="s">
        <v>598</v>
      </c>
      <c r="D4748" s="21" t="s">
        <v>34</v>
      </c>
      <c r="E4748" s="21" t="s">
        <v>35</v>
      </c>
      <c r="F4748">
        <v>12850163</v>
      </c>
      <c r="G4748" t="s">
        <v>9811</v>
      </c>
      <c r="H4748" s="21">
        <v>1209.67</v>
      </c>
    </row>
    <row r="4749" spans="1:8" customFormat="1" x14ac:dyDescent="0.25">
      <c r="A4749" t="str">
        <f>"1612461"</f>
        <v>1612461</v>
      </c>
      <c r="B4749" t="s">
        <v>6814</v>
      </c>
      <c r="C4749" t="s">
        <v>305</v>
      </c>
      <c r="D4749" s="21" t="s">
        <v>34</v>
      </c>
      <c r="E4749" s="21" t="s">
        <v>35</v>
      </c>
      <c r="F4749">
        <v>10160024</v>
      </c>
      <c r="G4749" t="s">
        <v>511</v>
      </c>
      <c r="H4749" s="21">
        <v>1209.67</v>
      </c>
    </row>
    <row r="4750" spans="1:8" customFormat="1" x14ac:dyDescent="0.25">
      <c r="A4750" t="str">
        <f>"14422"</f>
        <v>14422</v>
      </c>
      <c r="B4750" t="s">
        <v>6974</v>
      </c>
      <c r="C4750" t="s">
        <v>239</v>
      </c>
      <c r="D4750" s="21" t="s">
        <v>34</v>
      </c>
      <c r="E4750" s="21" t="s">
        <v>254</v>
      </c>
      <c r="F4750">
        <v>9140055</v>
      </c>
      <c r="G4750" t="s">
        <v>344</v>
      </c>
      <c r="H4750" s="21">
        <v>1209.67</v>
      </c>
    </row>
    <row r="4751" spans="1:8" customFormat="1" x14ac:dyDescent="0.25">
      <c r="A4751" t="str">
        <f>"4917212"</f>
        <v>4917212</v>
      </c>
      <c r="B4751" t="s">
        <v>2020</v>
      </c>
      <c r="C4751" t="s">
        <v>305</v>
      </c>
      <c r="D4751" s="21" t="s">
        <v>34</v>
      </c>
      <c r="E4751" s="21" t="s">
        <v>35</v>
      </c>
      <c r="F4751">
        <v>12490070</v>
      </c>
      <c r="G4751" t="s">
        <v>5091</v>
      </c>
      <c r="H4751" s="21">
        <v>1209.67</v>
      </c>
    </row>
    <row r="4752" spans="1:8" customFormat="1" x14ac:dyDescent="0.25">
      <c r="A4752" t="str">
        <f>"4922378"</f>
        <v>4922378</v>
      </c>
      <c r="B4752" t="s">
        <v>1576</v>
      </c>
      <c r="C4752" t="s">
        <v>1196</v>
      </c>
      <c r="D4752" s="21" t="s">
        <v>34</v>
      </c>
      <c r="E4752" s="21" t="s">
        <v>35</v>
      </c>
      <c r="F4752">
        <v>12490043</v>
      </c>
      <c r="G4752" t="s">
        <v>6008</v>
      </c>
      <c r="H4752" s="21">
        <v>1209.67</v>
      </c>
    </row>
    <row r="4753" spans="1:8" customFormat="1" x14ac:dyDescent="0.25">
      <c r="A4753" t="str">
        <f>"563201"</f>
        <v>563201</v>
      </c>
      <c r="B4753" t="s">
        <v>6682</v>
      </c>
      <c r="C4753" t="s">
        <v>65</v>
      </c>
      <c r="D4753" s="21" t="s">
        <v>34</v>
      </c>
      <c r="E4753" s="21" t="s">
        <v>35</v>
      </c>
      <c r="F4753">
        <v>9500093</v>
      </c>
      <c r="G4753" t="s">
        <v>1808</v>
      </c>
      <c r="H4753" s="21">
        <v>1209.67</v>
      </c>
    </row>
    <row r="4754" spans="1:8" customFormat="1" x14ac:dyDescent="0.25">
      <c r="A4754" t="str">
        <f>"5711950"</f>
        <v>5711950</v>
      </c>
      <c r="B4754" t="s">
        <v>650</v>
      </c>
      <c r="C4754" t="s">
        <v>4857</v>
      </c>
      <c r="D4754" s="21" t="s">
        <v>34</v>
      </c>
      <c r="E4754" s="21" t="s">
        <v>254</v>
      </c>
      <c r="F4754">
        <v>6570111</v>
      </c>
      <c r="G4754" t="s">
        <v>99</v>
      </c>
      <c r="H4754" s="21">
        <v>1209.67</v>
      </c>
    </row>
    <row r="4755" spans="1:8" customFormat="1" x14ac:dyDescent="0.25">
      <c r="A4755" t="str">
        <f>"86134"</f>
        <v>86134</v>
      </c>
      <c r="B4755" t="s">
        <v>5726</v>
      </c>
      <c r="C4755" t="s">
        <v>750</v>
      </c>
      <c r="D4755" s="21" t="s">
        <v>34</v>
      </c>
      <c r="E4755" s="21" t="s">
        <v>254</v>
      </c>
      <c r="F4755">
        <v>10860006</v>
      </c>
      <c r="G4755" t="s">
        <v>3004</v>
      </c>
      <c r="H4755" s="21">
        <v>1209.67</v>
      </c>
    </row>
    <row r="4756" spans="1:8" customFormat="1" x14ac:dyDescent="0.25">
      <c r="A4756" t="str">
        <f>"393609"</f>
        <v>393609</v>
      </c>
      <c r="B4756" t="s">
        <v>5703</v>
      </c>
      <c r="C4756" t="s">
        <v>275</v>
      </c>
      <c r="D4756" s="21" t="s">
        <v>34</v>
      </c>
      <c r="E4756" s="21" t="s">
        <v>35</v>
      </c>
      <c r="F4756">
        <v>2390082</v>
      </c>
      <c r="G4756" t="s">
        <v>3343</v>
      </c>
      <c r="H4756" s="21">
        <v>1209.42</v>
      </c>
    </row>
    <row r="4757" spans="1:8" customFormat="1" x14ac:dyDescent="0.25">
      <c r="A4757" t="str">
        <f>"152012"</f>
        <v>152012</v>
      </c>
      <c r="B4757" t="s">
        <v>5808</v>
      </c>
      <c r="C4757" t="s">
        <v>33</v>
      </c>
      <c r="D4757" s="21" t="s">
        <v>34</v>
      </c>
      <c r="E4757" s="21" t="s">
        <v>35</v>
      </c>
      <c r="F4757">
        <v>1150303</v>
      </c>
      <c r="G4757" t="s">
        <v>5809</v>
      </c>
      <c r="H4757" s="21">
        <v>1209.42</v>
      </c>
    </row>
    <row r="4758" spans="1:8" customFormat="1" x14ac:dyDescent="0.25">
      <c r="A4758" t="str">
        <f>"4430105"</f>
        <v>4430105</v>
      </c>
      <c r="B4758" t="s">
        <v>5624</v>
      </c>
      <c r="C4758" t="s">
        <v>328</v>
      </c>
      <c r="D4758" s="21" t="s">
        <v>34</v>
      </c>
      <c r="E4758" s="21" t="s">
        <v>35</v>
      </c>
      <c r="F4758">
        <v>12440116</v>
      </c>
      <c r="G4758" t="s">
        <v>26673</v>
      </c>
      <c r="H4758" s="21">
        <v>1209.18</v>
      </c>
    </row>
    <row r="4759" spans="1:8" customFormat="1" x14ac:dyDescent="0.25">
      <c r="A4759" t="str">
        <f>"704011"</f>
        <v>704011</v>
      </c>
      <c r="B4759" t="s">
        <v>7443</v>
      </c>
      <c r="C4759" t="s">
        <v>124</v>
      </c>
      <c r="D4759" s="21" t="s">
        <v>34</v>
      </c>
      <c r="E4759" s="21" t="s">
        <v>71</v>
      </c>
      <c r="F4759">
        <v>2700089</v>
      </c>
      <c r="G4759" t="s">
        <v>2570</v>
      </c>
      <c r="H4759" s="21">
        <v>1209.17</v>
      </c>
    </row>
    <row r="4760" spans="1:8" customFormat="1" x14ac:dyDescent="0.25">
      <c r="A4760" t="str">
        <f>"5931773"</f>
        <v>5931773</v>
      </c>
      <c r="B4760" t="s">
        <v>5791</v>
      </c>
      <c r="C4760" t="s">
        <v>209</v>
      </c>
      <c r="D4760" s="21" t="s">
        <v>34</v>
      </c>
      <c r="E4760" s="21" t="s">
        <v>71</v>
      </c>
      <c r="F4760">
        <v>7590099</v>
      </c>
      <c r="G4760" t="s">
        <v>5792</v>
      </c>
      <c r="H4760" s="21">
        <v>1209.17</v>
      </c>
    </row>
    <row r="4761" spans="1:8" customFormat="1" x14ac:dyDescent="0.25">
      <c r="A4761" t="str">
        <f>"417890"</f>
        <v>417890</v>
      </c>
      <c r="B4761" t="s">
        <v>26872</v>
      </c>
      <c r="C4761" t="s">
        <v>62</v>
      </c>
      <c r="D4761" s="21" t="s">
        <v>34</v>
      </c>
      <c r="E4761" s="21" t="s">
        <v>35</v>
      </c>
      <c r="F4761">
        <v>4410612</v>
      </c>
      <c r="G4761" t="s">
        <v>815</v>
      </c>
      <c r="H4761" s="21">
        <v>1209.17</v>
      </c>
    </row>
    <row r="4762" spans="1:8" customFormat="1" x14ac:dyDescent="0.25">
      <c r="A4762" t="str">
        <f>"5919325"</f>
        <v>5919325</v>
      </c>
      <c r="B4762" t="s">
        <v>847</v>
      </c>
      <c r="C4762" t="s">
        <v>139</v>
      </c>
      <c r="D4762" s="21" t="s">
        <v>34</v>
      </c>
      <c r="E4762" s="21" t="s">
        <v>35</v>
      </c>
      <c r="F4762">
        <v>7590162</v>
      </c>
      <c r="G4762" t="s">
        <v>7211</v>
      </c>
      <c r="H4762" s="21">
        <v>1209.17</v>
      </c>
    </row>
    <row r="4763" spans="1:8" customFormat="1" x14ac:dyDescent="0.25">
      <c r="A4763" t="str">
        <f>"3332042"</f>
        <v>3332042</v>
      </c>
      <c r="B4763" t="s">
        <v>2203</v>
      </c>
      <c r="C4763" t="s">
        <v>428</v>
      </c>
      <c r="D4763" s="21" t="s">
        <v>34</v>
      </c>
      <c r="E4763" s="21" t="s">
        <v>254</v>
      </c>
      <c r="F4763">
        <v>10330043</v>
      </c>
      <c r="G4763" t="s">
        <v>1703</v>
      </c>
      <c r="H4763" s="21">
        <v>1209.17</v>
      </c>
    </row>
    <row r="4764" spans="1:8" customFormat="1" x14ac:dyDescent="0.25">
      <c r="A4764" t="str">
        <f>"2924475"</f>
        <v>2924475</v>
      </c>
      <c r="B4764" t="s">
        <v>17111</v>
      </c>
      <c r="C4764" t="s">
        <v>608</v>
      </c>
      <c r="D4764" s="21" t="s">
        <v>34</v>
      </c>
      <c r="E4764" s="21" t="s">
        <v>35</v>
      </c>
      <c r="F4764">
        <v>3560033</v>
      </c>
      <c r="G4764" t="s">
        <v>4927</v>
      </c>
      <c r="H4764" s="21">
        <v>1208.92</v>
      </c>
    </row>
    <row r="4765" spans="1:8" customFormat="1" x14ac:dyDescent="0.25">
      <c r="A4765" t="str">
        <f>"6941"</f>
        <v>6941</v>
      </c>
      <c r="B4765" t="s">
        <v>5558</v>
      </c>
      <c r="C4765" t="s">
        <v>209</v>
      </c>
      <c r="D4765" s="21" t="s">
        <v>34</v>
      </c>
      <c r="E4765" s="21" t="s">
        <v>1089</v>
      </c>
      <c r="F4765">
        <v>1690001</v>
      </c>
      <c r="G4765" t="s">
        <v>3275</v>
      </c>
      <c r="H4765" s="21">
        <v>1208.92</v>
      </c>
    </row>
    <row r="4766" spans="1:8" customFormat="1" x14ac:dyDescent="0.25">
      <c r="A4766" t="str">
        <f>"834892"</f>
        <v>834892</v>
      </c>
      <c r="B4766" t="s">
        <v>5797</v>
      </c>
      <c r="C4766" t="s">
        <v>40</v>
      </c>
      <c r="D4766" s="21" t="s">
        <v>34</v>
      </c>
      <c r="E4766" s="21" t="s">
        <v>71</v>
      </c>
      <c r="F4766">
        <v>13830071</v>
      </c>
      <c r="G4766" t="s">
        <v>3221</v>
      </c>
      <c r="H4766" s="21">
        <v>1208.81</v>
      </c>
    </row>
    <row r="4767" spans="1:8" customFormat="1" x14ac:dyDescent="0.25">
      <c r="A4767" t="str">
        <f>"2110888"</f>
        <v>2110888</v>
      </c>
      <c r="B4767" t="s">
        <v>5648</v>
      </c>
      <c r="C4767" t="s">
        <v>60</v>
      </c>
      <c r="D4767" s="21" t="s">
        <v>34</v>
      </c>
      <c r="E4767" s="21" t="s">
        <v>35</v>
      </c>
      <c r="F4767">
        <v>2210101</v>
      </c>
      <c r="G4767" t="s">
        <v>1374</v>
      </c>
      <c r="H4767" s="21">
        <v>1208.8</v>
      </c>
    </row>
    <row r="4768" spans="1:8" customFormat="1" x14ac:dyDescent="0.25">
      <c r="A4768" t="str">
        <f>"7915757"</f>
        <v>7915757</v>
      </c>
      <c r="B4768" t="s">
        <v>1820</v>
      </c>
      <c r="C4768" t="s">
        <v>43</v>
      </c>
      <c r="D4768" s="21" t="s">
        <v>34</v>
      </c>
      <c r="E4768" s="21" t="s">
        <v>35</v>
      </c>
      <c r="F4768">
        <v>10790038</v>
      </c>
      <c r="G4768" t="s">
        <v>5857</v>
      </c>
      <c r="H4768" s="21">
        <v>1208.8</v>
      </c>
    </row>
    <row r="4769" spans="1:8" customFormat="1" x14ac:dyDescent="0.25">
      <c r="A4769" t="str">
        <f>"5316687"</f>
        <v>5316687</v>
      </c>
      <c r="B4769" t="s">
        <v>5588</v>
      </c>
      <c r="C4769" t="s">
        <v>1708</v>
      </c>
      <c r="D4769" s="21" t="s">
        <v>34</v>
      </c>
      <c r="E4769" s="21" t="s">
        <v>35</v>
      </c>
      <c r="F4769">
        <v>12530025</v>
      </c>
      <c r="G4769" t="s">
        <v>5589</v>
      </c>
      <c r="H4769" s="21">
        <v>1208.67</v>
      </c>
    </row>
    <row r="4770" spans="1:8" customFormat="1" x14ac:dyDescent="0.25">
      <c r="A4770" t="str">
        <f>"02234"</f>
        <v>02234</v>
      </c>
      <c r="B4770" t="s">
        <v>5300</v>
      </c>
      <c r="C4770" t="s">
        <v>236</v>
      </c>
      <c r="D4770" s="21" t="s">
        <v>34</v>
      </c>
      <c r="E4770" s="21" t="s">
        <v>254</v>
      </c>
      <c r="F4770">
        <v>7800011</v>
      </c>
      <c r="G4770" t="s">
        <v>2253</v>
      </c>
      <c r="H4770" s="21">
        <v>1208.67</v>
      </c>
    </row>
    <row r="4771" spans="1:8" customFormat="1" x14ac:dyDescent="0.25">
      <c r="A4771" t="str">
        <f>"7612213"</f>
        <v>7612213</v>
      </c>
      <c r="B4771" t="s">
        <v>6803</v>
      </c>
      <c r="C4771" t="s">
        <v>3309</v>
      </c>
      <c r="D4771" s="21" t="s">
        <v>34</v>
      </c>
      <c r="E4771" s="21" t="s">
        <v>35</v>
      </c>
      <c r="F4771">
        <v>9760461</v>
      </c>
      <c r="G4771" t="s">
        <v>6804</v>
      </c>
      <c r="H4771" s="21">
        <v>1208.67</v>
      </c>
    </row>
    <row r="4772" spans="1:8" customFormat="1" x14ac:dyDescent="0.25">
      <c r="A4772" t="str">
        <f>"4215033"</f>
        <v>4215033</v>
      </c>
      <c r="B4772" t="s">
        <v>67</v>
      </c>
      <c r="C4772" t="s">
        <v>204</v>
      </c>
      <c r="D4772" s="21" t="s">
        <v>34</v>
      </c>
      <c r="E4772" s="21" t="s">
        <v>35</v>
      </c>
      <c r="F4772">
        <v>1420166</v>
      </c>
      <c r="G4772" t="s">
        <v>26873</v>
      </c>
      <c r="H4772" s="21">
        <v>1208.5</v>
      </c>
    </row>
    <row r="4773" spans="1:8" customFormat="1" x14ac:dyDescent="0.25">
      <c r="A4773" t="str">
        <f>"59522"</f>
        <v>59522</v>
      </c>
      <c r="B4773" t="s">
        <v>5383</v>
      </c>
      <c r="C4773" t="s">
        <v>5384</v>
      </c>
      <c r="D4773" s="21" t="s">
        <v>34</v>
      </c>
      <c r="E4773" s="21" t="s">
        <v>71</v>
      </c>
      <c r="F4773">
        <v>7590112</v>
      </c>
      <c r="G4773" t="s">
        <v>3534</v>
      </c>
      <c r="H4773" s="21">
        <v>1208.17</v>
      </c>
    </row>
    <row r="4774" spans="1:8" customFormat="1" x14ac:dyDescent="0.25">
      <c r="A4774" t="str">
        <f>"2458"</f>
        <v>2458</v>
      </c>
      <c r="B4774" t="s">
        <v>1099</v>
      </c>
      <c r="C4774" t="s">
        <v>253</v>
      </c>
      <c r="D4774" s="21" t="s">
        <v>34</v>
      </c>
      <c r="E4774" s="21" t="s">
        <v>71</v>
      </c>
      <c r="F4774">
        <v>10240002</v>
      </c>
      <c r="G4774" t="s">
        <v>2935</v>
      </c>
      <c r="H4774" s="21">
        <v>1208.17</v>
      </c>
    </row>
    <row r="4775" spans="1:8" customFormat="1" x14ac:dyDescent="0.25">
      <c r="A4775" t="str">
        <f>"425428"</f>
        <v>425428</v>
      </c>
      <c r="B4775" t="s">
        <v>4071</v>
      </c>
      <c r="C4775" t="s">
        <v>2529</v>
      </c>
      <c r="D4775" s="21" t="s">
        <v>34</v>
      </c>
      <c r="E4775" s="21" t="s">
        <v>35</v>
      </c>
      <c r="F4775">
        <v>1420112</v>
      </c>
      <c r="G4775" t="s">
        <v>5465</v>
      </c>
      <c r="H4775" s="21">
        <v>1208.17</v>
      </c>
    </row>
    <row r="4776" spans="1:8" customFormat="1" x14ac:dyDescent="0.25">
      <c r="A4776" t="str">
        <f>"278979"</f>
        <v>278979</v>
      </c>
      <c r="B4776" t="s">
        <v>461</v>
      </c>
      <c r="C4776" t="s">
        <v>109</v>
      </c>
      <c r="D4776" s="21" t="s">
        <v>34</v>
      </c>
      <c r="E4776" s="21" t="s">
        <v>35</v>
      </c>
      <c r="F4776">
        <v>9760270</v>
      </c>
      <c r="G4776" t="s">
        <v>4167</v>
      </c>
      <c r="H4776" s="21">
        <v>1208.17</v>
      </c>
    </row>
    <row r="4777" spans="1:8" customFormat="1" x14ac:dyDescent="0.25">
      <c r="A4777" t="str">
        <f>"713826"</f>
        <v>713826</v>
      </c>
      <c r="B4777" t="s">
        <v>5401</v>
      </c>
      <c r="C4777" t="s">
        <v>40</v>
      </c>
      <c r="D4777" s="21" t="s">
        <v>34</v>
      </c>
      <c r="E4777" s="21" t="s">
        <v>71</v>
      </c>
      <c r="F4777">
        <v>2710025</v>
      </c>
      <c r="G4777" t="s">
        <v>2719</v>
      </c>
      <c r="H4777" s="21">
        <v>1208.17</v>
      </c>
    </row>
    <row r="4778" spans="1:8" customFormat="1" x14ac:dyDescent="0.25">
      <c r="A4778" t="str">
        <f>"7630333"</f>
        <v>7630333</v>
      </c>
      <c r="B4778" t="s">
        <v>6713</v>
      </c>
      <c r="C4778" t="s">
        <v>209</v>
      </c>
      <c r="D4778" s="21" t="s">
        <v>34</v>
      </c>
      <c r="E4778" s="21" t="s">
        <v>71</v>
      </c>
      <c r="F4778">
        <v>9760331</v>
      </c>
      <c r="G4778" t="s">
        <v>5134</v>
      </c>
      <c r="H4778" s="21">
        <v>1207.92</v>
      </c>
    </row>
    <row r="4779" spans="1:8" customFormat="1" x14ac:dyDescent="0.25">
      <c r="A4779" t="str">
        <f>"9122023"</f>
        <v>9122023</v>
      </c>
      <c r="B4779" t="s">
        <v>4633</v>
      </c>
      <c r="C4779" t="s">
        <v>320</v>
      </c>
      <c r="D4779" s="21" t="s">
        <v>34</v>
      </c>
      <c r="E4779" s="21" t="s">
        <v>71</v>
      </c>
      <c r="F4779">
        <v>8910881</v>
      </c>
      <c r="G4779" t="s">
        <v>1300</v>
      </c>
      <c r="H4779" s="21">
        <v>1207.68</v>
      </c>
    </row>
    <row r="4780" spans="1:8" customFormat="1" x14ac:dyDescent="0.25">
      <c r="A4780" t="str">
        <f>"693235"</f>
        <v>693235</v>
      </c>
      <c r="B4780" t="s">
        <v>5008</v>
      </c>
      <c r="C4780" t="s">
        <v>5009</v>
      </c>
      <c r="D4780" s="21" t="s">
        <v>34</v>
      </c>
      <c r="E4780" s="21" t="s">
        <v>35</v>
      </c>
      <c r="F4780">
        <v>1690006</v>
      </c>
      <c r="G4780" t="s">
        <v>2543</v>
      </c>
      <c r="H4780" s="21">
        <v>1207.67</v>
      </c>
    </row>
    <row r="4781" spans="1:8" customFormat="1" x14ac:dyDescent="0.25">
      <c r="A4781" t="str">
        <f>"4425008"</f>
        <v>4425008</v>
      </c>
      <c r="B4781" t="s">
        <v>5138</v>
      </c>
      <c r="C4781" t="s">
        <v>253</v>
      </c>
      <c r="D4781" s="21" t="s">
        <v>34</v>
      </c>
      <c r="E4781" s="21" t="s">
        <v>71</v>
      </c>
      <c r="F4781">
        <v>12440021</v>
      </c>
      <c r="G4781" t="s">
        <v>429</v>
      </c>
      <c r="H4781" s="21">
        <v>1207.67</v>
      </c>
    </row>
    <row r="4782" spans="1:8" customFormat="1" x14ac:dyDescent="0.25">
      <c r="A4782" t="str">
        <f>"291313"</f>
        <v>291313</v>
      </c>
      <c r="B4782" t="s">
        <v>5850</v>
      </c>
      <c r="C4782" t="s">
        <v>2520</v>
      </c>
      <c r="D4782" s="21" t="s">
        <v>34</v>
      </c>
      <c r="E4782" s="21" t="s">
        <v>71</v>
      </c>
      <c r="F4782">
        <v>3290200</v>
      </c>
      <c r="G4782" t="s">
        <v>3488</v>
      </c>
      <c r="H4782" s="21">
        <v>1207.67</v>
      </c>
    </row>
    <row r="4783" spans="1:8" customFormat="1" x14ac:dyDescent="0.25">
      <c r="A4783" t="str">
        <f>"5011816"</f>
        <v>5011816</v>
      </c>
      <c r="B4783" t="s">
        <v>6089</v>
      </c>
      <c r="C4783" t="s">
        <v>288</v>
      </c>
      <c r="D4783" s="21" t="s">
        <v>34</v>
      </c>
      <c r="E4783" s="21" t="s">
        <v>71</v>
      </c>
      <c r="F4783">
        <v>9500117</v>
      </c>
      <c r="G4783" t="s">
        <v>247</v>
      </c>
      <c r="H4783" s="21">
        <v>1207.67</v>
      </c>
    </row>
    <row r="4784" spans="1:8" customFormat="1" x14ac:dyDescent="0.25">
      <c r="A4784" t="str">
        <f>"791821"</f>
        <v>791821</v>
      </c>
      <c r="B4784" t="s">
        <v>3582</v>
      </c>
      <c r="C4784" t="s">
        <v>576</v>
      </c>
      <c r="D4784" s="21" t="s">
        <v>34</v>
      </c>
      <c r="E4784" s="21" t="s">
        <v>35</v>
      </c>
      <c r="F4784">
        <v>10790235</v>
      </c>
      <c r="G4784" t="s">
        <v>413</v>
      </c>
      <c r="H4784" s="21">
        <v>1207.67</v>
      </c>
    </row>
    <row r="4785" spans="1:8" customFormat="1" x14ac:dyDescent="0.25">
      <c r="A4785" t="str">
        <f>"625979"</f>
        <v>625979</v>
      </c>
      <c r="B4785" t="s">
        <v>3794</v>
      </c>
      <c r="C4785" t="s">
        <v>328</v>
      </c>
      <c r="D4785" s="21" t="s">
        <v>34</v>
      </c>
      <c r="E4785" s="21" t="s">
        <v>71</v>
      </c>
      <c r="F4785">
        <v>7620110</v>
      </c>
      <c r="G4785" t="s">
        <v>2681</v>
      </c>
      <c r="H4785" s="21">
        <v>1207.67</v>
      </c>
    </row>
    <row r="4786" spans="1:8" customFormat="1" x14ac:dyDescent="0.25">
      <c r="A4786" t="str">
        <f>"7635282"</f>
        <v>7635282</v>
      </c>
      <c r="B4786" t="s">
        <v>5080</v>
      </c>
      <c r="C4786" t="s">
        <v>2393</v>
      </c>
      <c r="D4786" s="21" t="s">
        <v>34</v>
      </c>
      <c r="E4786" s="21" t="s">
        <v>35</v>
      </c>
      <c r="F4786">
        <v>9760428</v>
      </c>
      <c r="G4786" t="s">
        <v>5081</v>
      </c>
      <c r="H4786" s="21">
        <v>1207.67</v>
      </c>
    </row>
    <row r="4787" spans="1:8" customFormat="1" x14ac:dyDescent="0.25">
      <c r="A4787" t="str">
        <f>"012623"</f>
        <v>012623</v>
      </c>
      <c r="B4787" t="s">
        <v>146</v>
      </c>
      <c r="C4787" t="s">
        <v>934</v>
      </c>
      <c r="D4787" s="21" t="s">
        <v>34</v>
      </c>
      <c r="E4787" s="21" t="s">
        <v>35</v>
      </c>
      <c r="F4787">
        <v>1010069</v>
      </c>
      <c r="G4787" t="s">
        <v>1707</v>
      </c>
      <c r="H4787" s="21">
        <v>1207.43</v>
      </c>
    </row>
    <row r="4788" spans="1:8" customFormat="1" x14ac:dyDescent="0.25">
      <c r="A4788" t="str">
        <f>"8013548"</f>
        <v>8013548</v>
      </c>
      <c r="B4788" t="s">
        <v>5723</v>
      </c>
      <c r="C4788" t="s">
        <v>209</v>
      </c>
      <c r="D4788" s="21" t="s">
        <v>34</v>
      </c>
      <c r="E4788" s="21" t="s">
        <v>71</v>
      </c>
      <c r="F4788">
        <v>7800001</v>
      </c>
      <c r="G4788" t="s">
        <v>176</v>
      </c>
      <c r="H4788" s="21">
        <v>1207.42</v>
      </c>
    </row>
    <row r="4789" spans="1:8" customFormat="1" x14ac:dyDescent="0.25">
      <c r="A4789" t="str">
        <f>"6012890"</f>
        <v>6012890</v>
      </c>
      <c r="B4789" t="s">
        <v>4611</v>
      </c>
      <c r="C4789" t="s">
        <v>4612</v>
      </c>
      <c r="D4789" s="21" t="s">
        <v>34</v>
      </c>
      <c r="E4789" s="21" t="s">
        <v>71</v>
      </c>
      <c r="F4789">
        <v>8930113</v>
      </c>
      <c r="G4789" t="s">
        <v>368</v>
      </c>
      <c r="H4789" s="21">
        <v>1207.3</v>
      </c>
    </row>
    <row r="4790" spans="1:8" customFormat="1" x14ac:dyDescent="0.25">
      <c r="A4790" t="str">
        <f>"08156"</f>
        <v>08156</v>
      </c>
      <c r="B4790" t="s">
        <v>3366</v>
      </c>
      <c r="C4790" t="s">
        <v>198</v>
      </c>
      <c r="D4790" s="21" t="s">
        <v>34</v>
      </c>
      <c r="E4790" s="21" t="s">
        <v>254</v>
      </c>
      <c r="F4790">
        <v>6080035</v>
      </c>
      <c r="G4790" t="s">
        <v>583</v>
      </c>
      <c r="H4790" s="21">
        <v>1207.18</v>
      </c>
    </row>
    <row r="4791" spans="1:8" customFormat="1" x14ac:dyDescent="0.25">
      <c r="A4791" t="str">
        <f>"3323816"</f>
        <v>3323816</v>
      </c>
      <c r="B4791" t="s">
        <v>4970</v>
      </c>
      <c r="C4791" t="s">
        <v>127</v>
      </c>
      <c r="D4791" s="21" t="s">
        <v>34</v>
      </c>
      <c r="E4791" s="21" t="s">
        <v>35</v>
      </c>
      <c r="F4791">
        <v>10330076</v>
      </c>
      <c r="G4791" t="s">
        <v>3769</v>
      </c>
      <c r="H4791" s="21">
        <v>1207.17</v>
      </c>
    </row>
    <row r="4792" spans="1:8" customFormat="1" x14ac:dyDescent="0.25">
      <c r="A4792" t="str">
        <f>"7112201"</f>
        <v>7112201</v>
      </c>
      <c r="B4792" t="s">
        <v>26874</v>
      </c>
      <c r="C4792" t="s">
        <v>62</v>
      </c>
      <c r="D4792" s="21" t="s">
        <v>34</v>
      </c>
      <c r="E4792" s="21" t="s">
        <v>35</v>
      </c>
      <c r="F4792">
        <v>2710002</v>
      </c>
      <c r="G4792" t="s">
        <v>6838</v>
      </c>
      <c r="H4792" s="21">
        <v>1207.17</v>
      </c>
    </row>
    <row r="4793" spans="1:8" customFormat="1" x14ac:dyDescent="0.25">
      <c r="A4793" t="str">
        <f>"3337061"</f>
        <v>3337061</v>
      </c>
      <c r="B4793" t="s">
        <v>5720</v>
      </c>
      <c r="C4793" t="s">
        <v>121</v>
      </c>
      <c r="D4793" s="21" t="s">
        <v>34</v>
      </c>
      <c r="E4793" s="21" t="s">
        <v>35</v>
      </c>
      <c r="F4793">
        <v>10330002</v>
      </c>
      <c r="G4793" t="s">
        <v>53</v>
      </c>
      <c r="H4793" s="21">
        <v>1207.17</v>
      </c>
    </row>
    <row r="4794" spans="1:8" customFormat="1" x14ac:dyDescent="0.25">
      <c r="A4794" t="str">
        <f>"92212"</f>
        <v>92212</v>
      </c>
      <c r="B4794" t="s">
        <v>5859</v>
      </c>
      <c r="C4794" t="s">
        <v>40</v>
      </c>
      <c r="D4794" s="21" t="s">
        <v>34</v>
      </c>
      <c r="E4794" s="21" t="s">
        <v>254</v>
      </c>
      <c r="F4794">
        <v>8920049</v>
      </c>
      <c r="G4794" t="s">
        <v>237</v>
      </c>
      <c r="H4794" s="21">
        <v>1207.17</v>
      </c>
    </row>
    <row r="4795" spans="1:8" customFormat="1" x14ac:dyDescent="0.25">
      <c r="A4795" t="str">
        <f>"87816"</f>
        <v>87816</v>
      </c>
      <c r="B4795" t="s">
        <v>5621</v>
      </c>
      <c r="C4795" t="s">
        <v>202</v>
      </c>
      <c r="D4795" s="21" t="s">
        <v>34</v>
      </c>
      <c r="E4795" s="21" t="s">
        <v>254</v>
      </c>
      <c r="F4795">
        <v>10870017</v>
      </c>
      <c r="G4795" t="s">
        <v>26875</v>
      </c>
      <c r="H4795" s="21">
        <v>1207.17</v>
      </c>
    </row>
    <row r="4796" spans="1:8" customFormat="1" x14ac:dyDescent="0.25">
      <c r="A4796" t="str">
        <f>"78403"</f>
        <v>78403</v>
      </c>
      <c r="B4796" t="s">
        <v>1951</v>
      </c>
      <c r="C4796" t="s">
        <v>62</v>
      </c>
      <c r="D4796" s="21" t="s">
        <v>34</v>
      </c>
      <c r="E4796" s="21" t="s">
        <v>71</v>
      </c>
      <c r="F4796">
        <v>8781462</v>
      </c>
      <c r="G4796" t="s">
        <v>5796</v>
      </c>
      <c r="H4796" s="21">
        <v>1206.93</v>
      </c>
    </row>
    <row r="4797" spans="1:8" customFormat="1" x14ac:dyDescent="0.25">
      <c r="A4797" t="str">
        <f>"7919867"</f>
        <v>7919867</v>
      </c>
      <c r="B4797" t="s">
        <v>5473</v>
      </c>
      <c r="C4797" t="s">
        <v>33</v>
      </c>
      <c r="D4797" s="21" t="s">
        <v>34</v>
      </c>
      <c r="E4797" s="21" t="s">
        <v>71</v>
      </c>
      <c r="F4797">
        <v>10790042</v>
      </c>
      <c r="G4797" t="s">
        <v>2092</v>
      </c>
      <c r="H4797" s="21">
        <v>1206.92</v>
      </c>
    </row>
    <row r="4798" spans="1:8" customFormat="1" x14ac:dyDescent="0.25">
      <c r="A4798" t="str">
        <f>"5945083"</f>
        <v>5945083</v>
      </c>
      <c r="B4798" t="s">
        <v>6013</v>
      </c>
      <c r="C4798" t="s">
        <v>119</v>
      </c>
      <c r="D4798" s="21" t="s">
        <v>34</v>
      </c>
      <c r="E4798" s="21" t="s">
        <v>35</v>
      </c>
      <c r="F4798">
        <v>7590170</v>
      </c>
      <c r="G4798" t="s">
        <v>868</v>
      </c>
      <c r="H4798" s="21">
        <v>1206.92</v>
      </c>
    </row>
    <row r="4799" spans="1:8" customFormat="1" x14ac:dyDescent="0.25">
      <c r="A4799" t="str">
        <f>"83940"</f>
        <v>83940</v>
      </c>
      <c r="B4799" t="s">
        <v>461</v>
      </c>
      <c r="C4799" t="s">
        <v>1812</v>
      </c>
      <c r="D4799" s="21" t="s">
        <v>34</v>
      </c>
      <c r="E4799" s="21" t="s">
        <v>71</v>
      </c>
      <c r="F4799">
        <v>13830090</v>
      </c>
      <c r="G4799" t="s">
        <v>1535</v>
      </c>
      <c r="H4799" s="21">
        <v>1206.92</v>
      </c>
    </row>
    <row r="4800" spans="1:8" customFormat="1" x14ac:dyDescent="0.25">
      <c r="A4800" t="str">
        <f>"59825"</f>
        <v>59825</v>
      </c>
      <c r="B4800" t="s">
        <v>6202</v>
      </c>
      <c r="C4800" t="s">
        <v>209</v>
      </c>
      <c r="D4800" s="21" t="s">
        <v>34</v>
      </c>
      <c r="E4800" s="21" t="s">
        <v>254</v>
      </c>
      <c r="F4800">
        <v>7590040</v>
      </c>
      <c r="G4800" t="s">
        <v>104</v>
      </c>
      <c r="H4800" s="21">
        <v>1206.67</v>
      </c>
    </row>
    <row r="4801" spans="1:8" customFormat="1" x14ac:dyDescent="0.25">
      <c r="A4801" t="str">
        <f>"591292"</f>
        <v>591292</v>
      </c>
      <c r="B4801" t="s">
        <v>26876</v>
      </c>
      <c r="C4801" t="s">
        <v>121</v>
      </c>
      <c r="D4801" s="21" t="s">
        <v>34</v>
      </c>
      <c r="E4801" s="21" t="s">
        <v>254</v>
      </c>
      <c r="F4801">
        <v>7590231</v>
      </c>
      <c r="G4801" t="s">
        <v>207</v>
      </c>
      <c r="H4801" s="21">
        <v>1206.67</v>
      </c>
    </row>
    <row r="4802" spans="1:8" customFormat="1" x14ac:dyDescent="0.25">
      <c r="A4802" t="str">
        <f>"6711967"</f>
        <v>6711967</v>
      </c>
      <c r="B4802" t="s">
        <v>5418</v>
      </c>
      <c r="C4802" t="s">
        <v>269</v>
      </c>
      <c r="D4802" s="21" t="s">
        <v>34</v>
      </c>
      <c r="E4802" s="21" t="s">
        <v>71</v>
      </c>
      <c r="F4802">
        <v>6670207</v>
      </c>
      <c r="G4802" t="s">
        <v>5419</v>
      </c>
      <c r="H4802" s="21">
        <v>1206.67</v>
      </c>
    </row>
    <row r="4803" spans="1:8" customFormat="1" x14ac:dyDescent="0.25">
      <c r="A4803" t="str">
        <f>"5316594"</f>
        <v>5316594</v>
      </c>
      <c r="B4803" t="s">
        <v>26877</v>
      </c>
      <c r="C4803" t="s">
        <v>486</v>
      </c>
      <c r="D4803" s="21" t="s">
        <v>34</v>
      </c>
      <c r="E4803" s="21" t="s">
        <v>35</v>
      </c>
      <c r="F4803">
        <v>8750007</v>
      </c>
      <c r="G4803" t="s">
        <v>775</v>
      </c>
      <c r="H4803" s="21">
        <v>1206.31</v>
      </c>
    </row>
    <row r="4804" spans="1:8" customFormat="1" x14ac:dyDescent="0.25">
      <c r="A4804" t="str">
        <f>"145690"</f>
        <v>145690</v>
      </c>
      <c r="B4804" t="s">
        <v>5456</v>
      </c>
      <c r="C4804" t="s">
        <v>87</v>
      </c>
      <c r="D4804" s="21" t="s">
        <v>34</v>
      </c>
      <c r="E4804" s="21" t="s">
        <v>35</v>
      </c>
      <c r="F4804">
        <v>9140007</v>
      </c>
      <c r="G4804" t="s">
        <v>434</v>
      </c>
      <c r="H4804" s="21">
        <v>1206.17</v>
      </c>
    </row>
    <row r="4805" spans="1:8" customFormat="1" x14ac:dyDescent="0.25">
      <c r="A4805" t="str">
        <f>"096"</f>
        <v>096</v>
      </c>
      <c r="B4805" t="s">
        <v>3360</v>
      </c>
      <c r="C4805" t="s">
        <v>156</v>
      </c>
      <c r="D4805" s="21" t="s">
        <v>34</v>
      </c>
      <c r="E4805" s="21" t="s">
        <v>254</v>
      </c>
      <c r="F4805">
        <v>11090019</v>
      </c>
      <c r="G4805" t="s">
        <v>5591</v>
      </c>
      <c r="H4805" s="21">
        <v>1206.17</v>
      </c>
    </row>
    <row r="4806" spans="1:8" customFormat="1" x14ac:dyDescent="0.25">
      <c r="A4806" t="str">
        <f>"304594"</f>
        <v>304594</v>
      </c>
      <c r="B4806" t="s">
        <v>5957</v>
      </c>
      <c r="C4806" t="s">
        <v>151</v>
      </c>
      <c r="D4806" s="21" t="s">
        <v>34</v>
      </c>
      <c r="E4806" s="21" t="s">
        <v>71</v>
      </c>
      <c r="F4806">
        <v>11300012</v>
      </c>
      <c r="G4806" t="s">
        <v>5958</v>
      </c>
      <c r="H4806" s="21">
        <v>1206.17</v>
      </c>
    </row>
    <row r="4807" spans="1:8" customFormat="1" x14ac:dyDescent="0.25">
      <c r="A4807" t="str">
        <f>"851634"</f>
        <v>851634</v>
      </c>
      <c r="B4807" t="s">
        <v>3344</v>
      </c>
      <c r="C4807" t="s">
        <v>33</v>
      </c>
      <c r="D4807" s="21" t="s">
        <v>34</v>
      </c>
      <c r="E4807" s="21" t="s">
        <v>71</v>
      </c>
      <c r="F4807">
        <v>12440058</v>
      </c>
      <c r="G4807" t="s">
        <v>394</v>
      </c>
      <c r="H4807" s="21">
        <v>1206.17</v>
      </c>
    </row>
    <row r="4808" spans="1:8" customFormat="1" x14ac:dyDescent="0.25">
      <c r="A4808" t="str">
        <f>"4918706"</f>
        <v>4918706</v>
      </c>
      <c r="B4808" t="s">
        <v>22608</v>
      </c>
      <c r="C4808" t="s">
        <v>1819</v>
      </c>
      <c r="D4808" s="21" t="s">
        <v>34</v>
      </c>
      <c r="E4808" s="21" t="s">
        <v>35</v>
      </c>
      <c r="F4808">
        <v>12850007</v>
      </c>
      <c r="G4808" t="s">
        <v>7649</v>
      </c>
      <c r="H4808" s="21">
        <v>1206.17</v>
      </c>
    </row>
    <row r="4809" spans="1:8" customFormat="1" x14ac:dyDescent="0.25">
      <c r="A4809" t="str">
        <f>"806712"</f>
        <v>806712</v>
      </c>
      <c r="B4809" t="s">
        <v>1729</v>
      </c>
      <c r="C4809" t="s">
        <v>206</v>
      </c>
      <c r="D4809" s="21" t="s">
        <v>34</v>
      </c>
      <c r="E4809" s="21" t="s">
        <v>35</v>
      </c>
      <c r="F4809">
        <v>7800071</v>
      </c>
      <c r="G4809" t="s">
        <v>9109</v>
      </c>
      <c r="H4809" s="21">
        <v>1206.17</v>
      </c>
    </row>
    <row r="4810" spans="1:8" customFormat="1" x14ac:dyDescent="0.25">
      <c r="A4810" t="str">
        <f>"5314862"</f>
        <v>5314862</v>
      </c>
      <c r="B4810" t="s">
        <v>4572</v>
      </c>
      <c r="C4810" t="s">
        <v>114</v>
      </c>
      <c r="D4810" s="21" t="s">
        <v>34</v>
      </c>
      <c r="E4810" s="21" t="s">
        <v>35</v>
      </c>
      <c r="F4810">
        <v>3350009</v>
      </c>
      <c r="G4810" t="s">
        <v>1823</v>
      </c>
      <c r="H4810" s="21">
        <v>1206.17</v>
      </c>
    </row>
    <row r="4811" spans="1:8" customFormat="1" x14ac:dyDescent="0.25">
      <c r="A4811" t="str">
        <f>"605484"</f>
        <v>605484</v>
      </c>
      <c r="B4811" t="s">
        <v>6188</v>
      </c>
      <c r="C4811" t="s">
        <v>121</v>
      </c>
      <c r="D4811" s="21" t="s">
        <v>34</v>
      </c>
      <c r="E4811" s="21" t="s">
        <v>35</v>
      </c>
      <c r="F4811">
        <v>7600008</v>
      </c>
      <c r="G4811" t="s">
        <v>4646</v>
      </c>
      <c r="H4811" s="21">
        <v>1206.17</v>
      </c>
    </row>
    <row r="4812" spans="1:8" customFormat="1" x14ac:dyDescent="0.25">
      <c r="A4812" t="str">
        <f>"546688"</f>
        <v>546688</v>
      </c>
      <c r="B4812" t="s">
        <v>1628</v>
      </c>
      <c r="C4812" t="s">
        <v>127</v>
      </c>
      <c r="D4812" s="21" t="s">
        <v>34</v>
      </c>
      <c r="E4812" s="21" t="s">
        <v>35</v>
      </c>
      <c r="F4812">
        <v>6540108</v>
      </c>
      <c r="G4812" t="s">
        <v>4340</v>
      </c>
      <c r="H4812" s="21">
        <v>1206.17</v>
      </c>
    </row>
    <row r="4813" spans="1:8" customFormat="1" x14ac:dyDescent="0.25">
      <c r="A4813" t="str">
        <f>"3713157"</f>
        <v>3713157</v>
      </c>
      <c r="B4813" t="s">
        <v>6904</v>
      </c>
      <c r="C4813" t="s">
        <v>2301</v>
      </c>
      <c r="D4813" s="21" t="s">
        <v>34</v>
      </c>
      <c r="E4813" s="21" t="s">
        <v>71</v>
      </c>
      <c r="F4813">
        <v>12720021</v>
      </c>
      <c r="G4813" t="s">
        <v>3329</v>
      </c>
      <c r="H4813" s="21">
        <v>1205.92</v>
      </c>
    </row>
    <row r="4814" spans="1:8" customFormat="1" x14ac:dyDescent="0.25">
      <c r="A4814" t="str">
        <f>"8516977"</f>
        <v>8516977</v>
      </c>
      <c r="B4814" t="s">
        <v>25561</v>
      </c>
      <c r="C4814" t="s">
        <v>269</v>
      </c>
      <c r="D4814" s="21" t="s">
        <v>34</v>
      </c>
      <c r="E4814" s="21" t="s">
        <v>35</v>
      </c>
      <c r="F4814">
        <v>12850069</v>
      </c>
      <c r="G4814" t="s">
        <v>2154</v>
      </c>
      <c r="H4814" s="21">
        <v>1205.67</v>
      </c>
    </row>
    <row r="4815" spans="1:8" customFormat="1" x14ac:dyDescent="0.25">
      <c r="A4815" t="str">
        <f>"9530269"</f>
        <v>9530269</v>
      </c>
      <c r="B4815" t="s">
        <v>5863</v>
      </c>
      <c r="C4815" t="s">
        <v>712</v>
      </c>
      <c r="D4815" s="21" t="s">
        <v>34</v>
      </c>
      <c r="E4815" s="21" t="s">
        <v>35</v>
      </c>
      <c r="F4815">
        <v>8950553</v>
      </c>
      <c r="G4815" t="s">
        <v>1058</v>
      </c>
      <c r="H4815" s="21">
        <v>1205.67</v>
      </c>
    </row>
    <row r="4816" spans="1:8" customFormat="1" x14ac:dyDescent="0.25">
      <c r="A4816" t="str">
        <f>"873508"</f>
        <v>873508</v>
      </c>
      <c r="B4816" t="s">
        <v>6466</v>
      </c>
      <c r="C4816" t="s">
        <v>2907</v>
      </c>
      <c r="D4816" s="21" t="s">
        <v>34</v>
      </c>
      <c r="E4816" s="21" t="s">
        <v>71</v>
      </c>
      <c r="F4816">
        <v>10870003</v>
      </c>
      <c r="G4816" t="s">
        <v>1187</v>
      </c>
      <c r="H4816" s="21">
        <v>1205.67</v>
      </c>
    </row>
    <row r="4817" spans="1:8" customFormat="1" x14ac:dyDescent="0.25">
      <c r="A4817" t="str">
        <f>"5911115"</f>
        <v>5911115</v>
      </c>
      <c r="B4817" t="s">
        <v>6316</v>
      </c>
      <c r="C4817" t="s">
        <v>5384</v>
      </c>
      <c r="D4817" s="21" t="s">
        <v>34</v>
      </c>
      <c r="E4817" s="21" t="s">
        <v>35</v>
      </c>
      <c r="F4817">
        <v>7590027</v>
      </c>
      <c r="G4817" t="s">
        <v>629</v>
      </c>
      <c r="H4817" s="21">
        <v>1205.67</v>
      </c>
    </row>
    <row r="4818" spans="1:8" customFormat="1" x14ac:dyDescent="0.25">
      <c r="A4818" t="str">
        <f>"581040"</f>
        <v>581040</v>
      </c>
      <c r="B4818" t="s">
        <v>5497</v>
      </c>
      <c r="C4818" t="s">
        <v>211</v>
      </c>
      <c r="D4818" s="21" t="s">
        <v>34</v>
      </c>
      <c r="E4818" s="21" t="s">
        <v>71</v>
      </c>
      <c r="F4818">
        <v>2580078</v>
      </c>
      <c r="G4818" t="s">
        <v>4432</v>
      </c>
      <c r="H4818" s="21">
        <v>1205.67</v>
      </c>
    </row>
    <row r="4819" spans="1:8" customFormat="1" x14ac:dyDescent="0.25">
      <c r="A4819" t="str">
        <f>"7727260"</f>
        <v>7727260</v>
      </c>
      <c r="B4819" t="s">
        <v>5240</v>
      </c>
      <c r="C4819" t="s">
        <v>139</v>
      </c>
      <c r="D4819" s="21" t="s">
        <v>34</v>
      </c>
      <c r="E4819" s="21" t="s">
        <v>71</v>
      </c>
      <c r="F4819">
        <v>8771426</v>
      </c>
      <c r="G4819" t="s">
        <v>844</v>
      </c>
      <c r="H4819" s="21">
        <v>1205.67</v>
      </c>
    </row>
    <row r="4820" spans="1:8" customFormat="1" x14ac:dyDescent="0.25">
      <c r="A4820" t="str">
        <f>"571719"</f>
        <v>571719</v>
      </c>
      <c r="B4820" t="s">
        <v>5357</v>
      </c>
      <c r="C4820" t="s">
        <v>156</v>
      </c>
      <c r="D4820" s="21" t="s">
        <v>34</v>
      </c>
      <c r="E4820" s="21" t="s">
        <v>35</v>
      </c>
      <c r="F4820">
        <v>6570088</v>
      </c>
      <c r="G4820" t="s">
        <v>3461</v>
      </c>
      <c r="H4820" s="21">
        <v>1205.17</v>
      </c>
    </row>
    <row r="4821" spans="1:8" customFormat="1" x14ac:dyDescent="0.25">
      <c r="A4821" t="str">
        <f>"162257"</f>
        <v>162257</v>
      </c>
      <c r="B4821" t="s">
        <v>6883</v>
      </c>
      <c r="C4821" t="s">
        <v>206</v>
      </c>
      <c r="D4821" s="21" t="s">
        <v>34</v>
      </c>
      <c r="E4821" s="21" t="s">
        <v>35</v>
      </c>
      <c r="F4821">
        <v>10160197</v>
      </c>
      <c r="G4821" t="s">
        <v>4472</v>
      </c>
      <c r="H4821" s="21">
        <v>1205.17</v>
      </c>
    </row>
    <row r="4822" spans="1:8" customFormat="1" x14ac:dyDescent="0.25">
      <c r="A4822" t="str">
        <f>"9213113"</f>
        <v>9213113</v>
      </c>
      <c r="B4822" t="s">
        <v>6837</v>
      </c>
      <c r="C4822" t="s">
        <v>269</v>
      </c>
      <c r="D4822" s="21" t="s">
        <v>34</v>
      </c>
      <c r="E4822" s="21" t="s">
        <v>71</v>
      </c>
      <c r="F4822">
        <v>2710002</v>
      </c>
      <c r="G4822" t="s">
        <v>6838</v>
      </c>
      <c r="H4822" s="21">
        <v>1205.17</v>
      </c>
    </row>
    <row r="4823" spans="1:8" customFormat="1" x14ac:dyDescent="0.25">
      <c r="A4823" t="str">
        <f>"3316461"</f>
        <v>3316461</v>
      </c>
      <c r="B4823" t="s">
        <v>6371</v>
      </c>
      <c r="C4823" t="s">
        <v>33</v>
      </c>
      <c r="D4823" s="21" t="s">
        <v>34</v>
      </c>
      <c r="E4823" s="21" t="s">
        <v>71</v>
      </c>
      <c r="F4823">
        <v>10330036</v>
      </c>
      <c r="G4823" t="s">
        <v>6209</v>
      </c>
      <c r="H4823" s="21">
        <v>1204.8</v>
      </c>
    </row>
    <row r="4824" spans="1:8" customFormat="1" x14ac:dyDescent="0.25">
      <c r="A4824" t="str">
        <f>"5112330"</f>
        <v>5112330</v>
      </c>
      <c r="B4824" t="s">
        <v>1692</v>
      </c>
      <c r="C4824" t="s">
        <v>5595</v>
      </c>
      <c r="D4824" s="21" t="s">
        <v>34</v>
      </c>
      <c r="E4824" s="21" t="s">
        <v>71</v>
      </c>
      <c r="F4824">
        <v>6510112</v>
      </c>
      <c r="G4824" t="s">
        <v>588</v>
      </c>
      <c r="H4824" s="21">
        <v>1204.67</v>
      </c>
    </row>
    <row r="4825" spans="1:8" customFormat="1" x14ac:dyDescent="0.25">
      <c r="A4825" t="str">
        <f>"879303"</f>
        <v>879303</v>
      </c>
      <c r="B4825" t="s">
        <v>26878</v>
      </c>
      <c r="C4825" t="s">
        <v>455</v>
      </c>
      <c r="D4825" s="21" t="s">
        <v>34</v>
      </c>
      <c r="E4825" s="21" t="s">
        <v>35</v>
      </c>
      <c r="F4825">
        <v>10870109</v>
      </c>
      <c r="G4825" t="s">
        <v>5199</v>
      </c>
      <c r="H4825" s="21">
        <v>1204.67</v>
      </c>
    </row>
    <row r="4826" spans="1:8" customFormat="1" x14ac:dyDescent="0.25">
      <c r="A4826" t="str">
        <f>"9131201"</f>
        <v>9131201</v>
      </c>
      <c r="B4826" t="s">
        <v>3888</v>
      </c>
      <c r="C4826" t="s">
        <v>285</v>
      </c>
      <c r="D4826" s="21" t="s">
        <v>34</v>
      </c>
      <c r="E4826" s="21" t="s">
        <v>35</v>
      </c>
      <c r="F4826">
        <v>8910578</v>
      </c>
      <c r="G4826" t="s">
        <v>5776</v>
      </c>
      <c r="H4826" s="21">
        <v>1204.67</v>
      </c>
    </row>
    <row r="4827" spans="1:8" customFormat="1" x14ac:dyDescent="0.25">
      <c r="A4827" t="str">
        <f>"2812649"</f>
        <v>2812649</v>
      </c>
      <c r="B4827" t="s">
        <v>5759</v>
      </c>
      <c r="C4827" t="s">
        <v>1132</v>
      </c>
      <c r="D4827" s="21" t="s">
        <v>34</v>
      </c>
      <c r="E4827" s="21" t="s">
        <v>35</v>
      </c>
      <c r="F4827">
        <v>4280005</v>
      </c>
      <c r="G4827" t="s">
        <v>5760</v>
      </c>
      <c r="H4827" s="21">
        <v>1204.67</v>
      </c>
    </row>
    <row r="4828" spans="1:8" customFormat="1" x14ac:dyDescent="0.25">
      <c r="A4828" t="str">
        <f>"5916570"</f>
        <v>5916570</v>
      </c>
      <c r="B4828" t="s">
        <v>6680</v>
      </c>
      <c r="C4828" t="s">
        <v>37</v>
      </c>
      <c r="D4828" s="21" t="s">
        <v>34</v>
      </c>
      <c r="E4828" s="21" t="s">
        <v>35</v>
      </c>
      <c r="F4828">
        <v>7590354</v>
      </c>
      <c r="G4828" t="s">
        <v>5786</v>
      </c>
      <c r="H4828" s="21">
        <v>1204.67</v>
      </c>
    </row>
    <row r="4829" spans="1:8" customFormat="1" x14ac:dyDescent="0.25">
      <c r="A4829" t="str">
        <f>"6313513"</f>
        <v>6313513</v>
      </c>
      <c r="B4829" t="s">
        <v>5761</v>
      </c>
      <c r="C4829" t="s">
        <v>412</v>
      </c>
      <c r="D4829" s="21" t="s">
        <v>34</v>
      </c>
      <c r="E4829" s="21" t="s">
        <v>35</v>
      </c>
      <c r="F4829">
        <v>1630015</v>
      </c>
      <c r="G4829" t="s">
        <v>2097</v>
      </c>
      <c r="H4829" s="21">
        <v>1204.67</v>
      </c>
    </row>
    <row r="4830" spans="1:8" customFormat="1" x14ac:dyDescent="0.25">
      <c r="A4830" t="str">
        <f>"9225525"</f>
        <v>9225525</v>
      </c>
      <c r="B4830" t="s">
        <v>5927</v>
      </c>
      <c r="C4830" t="s">
        <v>33</v>
      </c>
      <c r="D4830" s="21" t="s">
        <v>34</v>
      </c>
      <c r="E4830" s="21" t="s">
        <v>71</v>
      </c>
      <c r="F4830">
        <v>8920309</v>
      </c>
      <c r="G4830" t="s">
        <v>1894</v>
      </c>
      <c r="H4830" s="21">
        <v>1204.55</v>
      </c>
    </row>
    <row r="4831" spans="1:8" customFormat="1" x14ac:dyDescent="0.25">
      <c r="A4831" t="str">
        <f>"35333"</f>
        <v>35333</v>
      </c>
      <c r="B4831" t="s">
        <v>5495</v>
      </c>
      <c r="C4831" t="s">
        <v>2232</v>
      </c>
      <c r="D4831" s="21" t="s">
        <v>34</v>
      </c>
      <c r="E4831" s="21" t="s">
        <v>1089</v>
      </c>
      <c r="F4831">
        <v>3350014</v>
      </c>
      <c r="G4831" t="s">
        <v>1078</v>
      </c>
      <c r="H4831" s="21">
        <v>1204.42</v>
      </c>
    </row>
    <row r="4832" spans="1:8" customFormat="1" x14ac:dyDescent="0.25">
      <c r="A4832" t="str">
        <f>"859436"</f>
        <v>859436</v>
      </c>
      <c r="B4832" t="s">
        <v>5341</v>
      </c>
      <c r="C4832" t="s">
        <v>87</v>
      </c>
      <c r="D4832" s="21" t="s">
        <v>34</v>
      </c>
      <c r="E4832" s="21" t="s">
        <v>35</v>
      </c>
      <c r="F4832">
        <v>12850042</v>
      </c>
      <c r="G4832" t="s">
        <v>5342</v>
      </c>
      <c r="H4832" s="21">
        <v>1204.17</v>
      </c>
    </row>
    <row r="4833" spans="1:8" customFormat="1" x14ac:dyDescent="0.25">
      <c r="A4833" t="str">
        <f>"319509"</f>
        <v>319509</v>
      </c>
      <c r="B4833" t="s">
        <v>557</v>
      </c>
      <c r="C4833" t="s">
        <v>1559</v>
      </c>
      <c r="D4833" s="21" t="s">
        <v>34</v>
      </c>
      <c r="E4833" s="21" t="s">
        <v>71</v>
      </c>
      <c r="F4833">
        <v>11310075</v>
      </c>
      <c r="G4833" t="s">
        <v>2531</v>
      </c>
      <c r="H4833" s="21">
        <v>1204.17</v>
      </c>
    </row>
    <row r="4834" spans="1:8" customFormat="1" x14ac:dyDescent="0.25">
      <c r="A4834" t="str">
        <f>"1414835"</f>
        <v>1414835</v>
      </c>
      <c r="B4834" t="s">
        <v>24386</v>
      </c>
      <c r="C4834" t="s">
        <v>198</v>
      </c>
      <c r="D4834" s="21" t="s">
        <v>34</v>
      </c>
      <c r="E4834" s="21" t="s">
        <v>35</v>
      </c>
      <c r="F4834">
        <v>9270089</v>
      </c>
      <c r="G4834" t="s">
        <v>1009</v>
      </c>
      <c r="H4834" s="21">
        <v>1204.17</v>
      </c>
    </row>
    <row r="4835" spans="1:8" customFormat="1" x14ac:dyDescent="0.25">
      <c r="A4835" t="str">
        <f>"575729"</f>
        <v>575729</v>
      </c>
      <c r="B4835" t="s">
        <v>4808</v>
      </c>
      <c r="C4835" t="s">
        <v>4809</v>
      </c>
      <c r="D4835" s="21" t="s">
        <v>34</v>
      </c>
      <c r="E4835" s="21" t="s">
        <v>254</v>
      </c>
      <c r="F4835">
        <v>6570005</v>
      </c>
      <c r="G4835" t="s">
        <v>351</v>
      </c>
      <c r="H4835" s="21">
        <v>1204.17</v>
      </c>
    </row>
    <row r="4836" spans="1:8" customFormat="1" x14ac:dyDescent="0.25">
      <c r="A4836" t="str">
        <f>"33753"</f>
        <v>33753</v>
      </c>
      <c r="B4836" t="s">
        <v>5633</v>
      </c>
      <c r="C4836" t="s">
        <v>263</v>
      </c>
      <c r="D4836" s="21" t="s">
        <v>34</v>
      </c>
      <c r="E4836" s="21" t="s">
        <v>254</v>
      </c>
      <c r="F4836">
        <v>10330080</v>
      </c>
      <c r="G4836" t="s">
        <v>5634</v>
      </c>
      <c r="H4836" s="21">
        <v>1204.17</v>
      </c>
    </row>
    <row r="4837" spans="1:8" customFormat="1" x14ac:dyDescent="0.25">
      <c r="A4837" t="str">
        <f>"2923399"</f>
        <v>2923399</v>
      </c>
      <c r="B4837" t="s">
        <v>6060</v>
      </c>
      <c r="C4837" t="s">
        <v>98</v>
      </c>
      <c r="D4837" s="21" t="s">
        <v>34</v>
      </c>
      <c r="E4837" s="21" t="s">
        <v>35</v>
      </c>
      <c r="F4837">
        <v>3290255</v>
      </c>
      <c r="G4837" t="s">
        <v>2852</v>
      </c>
      <c r="H4837" s="21">
        <v>1204.17</v>
      </c>
    </row>
    <row r="4838" spans="1:8" customFormat="1" x14ac:dyDescent="0.25">
      <c r="A4838" t="str">
        <f>"7720077"</f>
        <v>7720077</v>
      </c>
      <c r="B4838" t="s">
        <v>5155</v>
      </c>
      <c r="C4838" t="s">
        <v>156</v>
      </c>
      <c r="D4838" s="21" t="s">
        <v>34</v>
      </c>
      <c r="E4838" s="21" t="s">
        <v>71</v>
      </c>
      <c r="F4838">
        <v>8770166</v>
      </c>
      <c r="G4838" t="s">
        <v>653</v>
      </c>
      <c r="H4838" s="21">
        <v>1204.17</v>
      </c>
    </row>
    <row r="4839" spans="1:8" customFormat="1" x14ac:dyDescent="0.25">
      <c r="A4839" t="str">
        <f>"181327"</f>
        <v>181327</v>
      </c>
      <c r="B4839" t="s">
        <v>431</v>
      </c>
      <c r="C4839" t="s">
        <v>263</v>
      </c>
      <c r="D4839" s="21" t="s">
        <v>34</v>
      </c>
      <c r="E4839" s="21" t="s">
        <v>35</v>
      </c>
      <c r="F4839">
        <v>4180530</v>
      </c>
      <c r="G4839" t="s">
        <v>3622</v>
      </c>
      <c r="H4839" s="21">
        <v>1204.17</v>
      </c>
    </row>
    <row r="4840" spans="1:8" customFormat="1" x14ac:dyDescent="0.25">
      <c r="A4840" t="str">
        <f>"165251"</f>
        <v>165251</v>
      </c>
      <c r="B4840" t="s">
        <v>400</v>
      </c>
      <c r="C4840" t="s">
        <v>305</v>
      </c>
      <c r="D4840" s="21" t="s">
        <v>34</v>
      </c>
      <c r="E4840" s="21" t="s">
        <v>35</v>
      </c>
      <c r="F4840">
        <v>10160069</v>
      </c>
      <c r="G4840" t="s">
        <v>5379</v>
      </c>
      <c r="H4840" s="21">
        <v>1204.17</v>
      </c>
    </row>
    <row r="4841" spans="1:8" customFormat="1" x14ac:dyDescent="0.25">
      <c r="A4841" t="str">
        <f>"67137"</f>
        <v>67137</v>
      </c>
      <c r="B4841" t="s">
        <v>4440</v>
      </c>
      <c r="C4841" t="s">
        <v>1025</v>
      </c>
      <c r="D4841" s="21" t="s">
        <v>34</v>
      </c>
      <c r="E4841" s="21" t="s">
        <v>71</v>
      </c>
      <c r="F4841">
        <v>6670115</v>
      </c>
      <c r="G4841" t="s">
        <v>3798</v>
      </c>
      <c r="H4841" s="21">
        <v>1204.17</v>
      </c>
    </row>
    <row r="4842" spans="1:8" customFormat="1" x14ac:dyDescent="0.25">
      <c r="A4842" t="str">
        <f>"4424021"</f>
        <v>4424021</v>
      </c>
      <c r="B4842" t="s">
        <v>6047</v>
      </c>
      <c r="C4842" t="s">
        <v>109</v>
      </c>
      <c r="D4842" s="21" t="s">
        <v>34</v>
      </c>
      <c r="E4842" s="21" t="s">
        <v>35</v>
      </c>
      <c r="F4842">
        <v>12440024</v>
      </c>
      <c r="G4842" t="s">
        <v>2205</v>
      </c>
      <c r="H4842" s="21">
        <v>1204.17</v>
      </c>
    </row>
    <row r="4843" spans="1:8" customFormat="1" x14ac:dyDescent="0.25">
      <c r="A4843" t="str">
        <f>"621010"</f>
        <v>621010</v>
      </c>
      <c r="B4843" t="s">
        <v>5264</v>
      </c>
      <c r="C4843" t="s">
        <v>171</v>
      </c>
      <c r="D4843" s="21" t="s">
        <v>34</v>
      </c>
      <c r="E4843" s="21" t="s">
        <v>71</v>
      </c>
      <c r="F4843">
        <v>7620103</v>
      </c>
      <c r="G4843" t="s">
        <v>1107</v>
      </c>
      <c r="H4843" s="21">
        <v>1204.17</v>
      </c>
    </row>
    <row r="4844" spans="1:8" customFormat="1" x14ac:dyDescent="0.25">
      <c r="A4844" t="str">
        <f>"293177"</f>
        <v>293177</v>
      </c>
      <c r="B4844" t="s">
        <v>5107</v>
      </c>
      <c r="C4844" t="s">
        <v>119</v>
      </c>
      <c r="D4844" s="21" t="s">
        <v>34</v>
      </c>
      <c r="E4844" s="21" t="s">
        <v>35</v>
      </c>
      <c r="F4844">
        <v>3290262</v>
      </c>
      <c r="G4844" t="s">
        <v>1139</v>
      </c>
      <c r="H4844" s="21">
        <v>1204.17</v>
      </c>
    </row>
    <row r="4845" spans="1:8" customFormat="1" x14ac:dyDescent="0.25">
      <c r="A4845" t="str">
        <f>"788754"</f>
        <v>788754</v>
      </c>
      <c r="B4845" t="s">
        <v>5944</v>
      </c>
      <c r="C4845" t="s">
        <v>37</v>
      </c>
      <c r="D4845" s="21" t="s">
        <v>34</v>
      </c>
      <c r="E4845" s="21" t="s">
        <v>35</v>
      </c>
      <c r="F4845">
        <v>8781266</v>
      </c>
      <c r="G4845" t="s">
        <v>26704</v>
      </c>
      <c r="H4845" s="21">
        <v>1204.05</v>
      </c>
    </row>
    <row r="4846" spans="1:8" customFormat="1" x14ac:dyDescent="0.25">
      <c r="A4846" t="str">
        <f>"533718"</f>
        <v>533718</v>
      </c>
      <c r="B4846" t="s">
        <v>5765</v>
      </c>
      <c r="C4846" t="s">
        <v>82</v>
      </c>
      <c r="D4846" s="21" t="s">
        <v>34</v>
      </c>
      <c r="E4846" s="21" t="s">
        <v>35</v>
      </c>
      <c r="F4846">
        <v>12530084</v>
      </c>
      <c r="G4846" t="s">
        <v>5766</v>
      </c>
      <c r="H4846" s="21">
        <v>1203.92</v>
      </c>
    </row>
    <row r="4847" spans="1:8" customFormat="1" x14ac:dyDescent="0.25">
      <c r="A4847" t="str">
        <f>"402929"</f>
        <v>402929</v>
      </c>
      <c r="B4847" t="s">
        <v>5109</v>
      </c>
      <c r="C4847" t="s">
        <v>33</v>
      </c>
      <c r="D4847" s="21" t="s">
        <v>34</v>
      </c>
      <c r="E4847" s="21" t="s">
        <v>71</v>
      </c>
      <c r="F4847">
        <v>10400003</v>
      </c>
      <c r="G4847" t="s">
        <v>5110</v>
      </c>
      <c r="H4847" s="21">
        <v>1203.67</v>
      </c>
    </row>
    <row r="4848" spans="1:8" customFormat="1" x14ac:dyDescent="0.25">
      <c r="A4848" t="str">
        <f>"6220775"</f>
        <v>6220775</v>
      </c>
      <c r="B4848" t="s">
        <v>6826</v>
      </c>
      <c r="C4848" t="s">
        <v>169</v>
      </c>
      <c r="D4848" s="21" t="s">
        <v>34</v>
      </c>
      <c r="E4848" s="21" t="s">
        <v>35</v>
      </c>
      <c r="F4848">
        <v>7620064</v>
      </c>
      <c r="G4848" t="s">
        <v>2266</v>
      </c>
      <c r="H4848" s="21">
        <v>1203.67</v>
      </c>
    </row>
    <row r="4849" spans="1:8" customFormat="1" x14ac:dyDescent="0.25">
      <c r="A4849" t="str">
        <f>"083181"</f>
        <v>083181</v>
      </c>
      <c r="B4849" t="s">
        <v>5498</v>
      </c>
      <c r="C4849" t="s">
        <v>96</v>
      </c>
      <c r="D4849" s="21" t="s">
        <v>34</v>
      </c>
      <c r="E4849" s="21" t="s">
        <v>35</v>
      </c>
      <c r="F4849">
        <v>6080043</v>
      </c>
      <c r="G4849" t="s">
        <v>961</v>
      </c>
      <c r="H4849" s="21">
        <v>1203.67</v>
      </c>
    </row>
    <row r="4850" spans="1:8" customFormat="1" x14ac:dyDescent="0.25">
      <c r="A4850" t="str">
        <f>"874631"</f>
        <v>874631</v>
      </c>
      <c r="B4850" t="s">
        <v>26879</v>
      </c>
      <c r="C4850" t="s">
        <v>55</v>
      </c>
      <c r="D4850" s="21" t="s">
        <v>34</v>
      </c>
      <c r="E4850" s="21" t="s">
        <v>71</v>
      </c>
      <c r="F4850">
        <v>10870109</v>
      </c>
      <c r="G4850" t="s">
        <v>5199</v>
      </c>
      <c r="H4850" s="21">
        <v>1203.67</v>
      </c>
    </row>
    <row r="4851" spans="1:8" customFormat="1" x14ac:dyDescent="0.25">
      <c r="A4851" t="str">
        <f>"7812823"</f>
        <v>7812823</v>
      </c>
      <c r="B4851" t="s">
        <v>6257</v>
      </c>
      <c r="C4851" t="s">
        <v>462</v>
      </c>
      <c r="D4851" s="21" t="s">
        <v>34</v>
      </c>
      <c r="E4851" s="21" t="s">
        <v>35</v>
      </c>
      <c r="F4851">
        <v>4280005</v>
      </c>
      <c r="G4851" t="s">
        <v>5760</v>
      </c>
      <c r="H4851" s="21">
        <v>1203.67</v>
      </c>
    </row>
    <row r="4852" spans="1:8" customFormat="1" x14ac:dyDescent="0.25">
      <c r="A4852" t="str">
        <f>"677520"</f>
        <v>677520</v>
      </c>
      <c r="B4852" t="s">
        <v>5010</v>
      </c>
      <c r="C4852" t="s">
        <v>3522</v>
      </c>
      <c r="D4852" s="21" t="s">
        <v>34</v>
      </c>
      <c r="E4852" s="21" t="s">
        <v>35</v>
      </c>
      <c r="F4852">
        <v>6670261</v>
      </c>
      <c r="G4852" t="s">
        <v>4621</v>
      </c>
      <c r="H4852" s="21">
        <v>1203.67</v>
      </c>
    </row>
    <row r="4853" spans="1:8" customFormat="1" x14ac:dyDescent="0.25">
      <c r="A4853" t="str">
        <f>"9124141"</f>
        <v>9124141</v>
      </c>
      <c r="B4853" t="s">
        <v>6453</v>
      </c>
      <c r="C4853" t="s">
        <v>40</v>
      </c>
      <c r="D4853" s="21" t="s">
        <v>34</v>
      </c>
      <c r="E4853" s="21" t="s">
        <v>35</v>
      </c>
      <c r="F4853">
        <v>11310064</v>
      </c>
      <c r="G4853" t="s">
        <v>931</v>
      </c>
      <c r="H4853" s="21">
        <v>1203.67</v>
      </c>
    </row>
    <row r="4854" spans="1:8" customFormat="1" x14ac:dyDescent="0.25">
      <c r="A4854" t="str">
        <f>"507327"</f>
        <v>507327</v>
      </c>
      <c r="B4854" t="s">
        <v>767</v>
      </c>
      <c r="C4854" t="s">
        <v>817</v>
      </c>
      <c r="D4854" s="21" t="s">
        <v>34</v>
      </c>
      <c r="E4854" s="21" t="s">
        <v>35</v>
      </c>
      <c r="F4854">
        <v>9500111</v>
      </c>
      <c r="G4854" t="s">
        <v>6591</v>
      </c>
      <c r="H4854" s="21">
        <v>1203.67</v>
      </c>
    </row>
    <row r="4855" spans="1:8" customFormat="1" x14ac:dyDescent="0.25">
      <c r="A4855" t="str">
        <f>"59426"</f>
        <v>59426</v>
      </c>
      <c r="B4855" t="s">
        <v>5345</v>
      </c>
      <c r="C4855" t="s">
        <v>608</v>
      </c>
      <c r="D4855" s="21" t="s">
        <v>34</v>
      </c>
      <c r="E4855" s="21" t="s">
        <v>71</v>
      </c>
      <c r="F4855">
        <v>7590137</v>
      </c>
      <c r="G4855" t="s">
        <v>4246</v>
      </c>
      <c r="H4855" s="21">
        <v>1203.67</v>
      </c>
    </row>
    <row r="4856" spans="1:8" customFormat="1" x14ac:dyDescent="0.25">
      <c r="A4856" t="str">
        <f>"874538"</f>
        <v>874538</v>
      </c>
      <c r="B4856" t="s">
        <v>6956</v>
      </c>
      <c r="C4856" t="s">
        <v>33</v>
      </c>
      <c r="D4856" s="21" t="s">
        <v>34</v>
      </c>
      <c r="E4856" s="21" t="s">
        <v>35</v>
      </c>
      <c r="F4856">
        <v>7600003</v>
      </c>
      <c r="G4856" t="s">
        <v>3515</v>
      </c>
      <c r="H4856" s="21">
        <v>1203.67</v>
      </c>
    </row>
    <row r="4857" spans="1:8" customFormat="1" x14ac:dyDescent="0.25">
      <c r="A4857" t="str">
        <f>"8517316"</f>
        <v>8517316</v>
      </c>
      <c r="B4857" t="s">
        <v>6065</v>
      </c>
      <c r="C4857" t="s">
        <v>598</v>
      </c>
      <c r="D4857" s="21" t="s">
        <v>34</v>
      </c>
      <c r="E4857" s="21" t="s">
        <v>254</v>
      </c>
      <c r="F4857">
        <v>12850057</v>
      </c>
      <c r="G4857" t="s">
        <v>1291</v>
      </c>
      <c r="H4857" s="21">
        <v>1203.67</v>
      </c>
    </row>
    <row r="4858" spans="1:8" customFormat="1" x14ac:dyDescent="0.25">
      <c r="A4858" t="str">
        <f>"416936"</f>
        <v>416936</v>
      </c>
      <c r="B4858" t="s">
        <v>6211</v>
      </c>
      <c r="C4858" t="s">
        <v>576</v>
      </c>
      <c r="D4858" s="21" t="s">
        <v>34</v>
      </c>
      <c r="E4858" s="21" t="s">
        <v>35</v>
      </c>
      <c r="F4858">
        <v>4410016</v>
      </c>
      <c r="G4858" t="s">
        <v>4365</v>
      </c>
      <c r="H4858" s="21">
        <v>1203.42</v>
      </c>
    </row>
    <row r="4859" spans="1:8" customFormat="1" x14ac:dyDescent="0.25">
      <c r="A4859" t="str">
        <f>"8515190"</f>
        <v>8515190</v>
      </c>
      <c r="B4859" t="s">
        <v>1103</v>
      </c>
      <c r="C4859" t="s">
        <v>2276</v>
      </c>
      <c r="D4859" s="21" t="s">
        <v>34</v>
      </c>
      <c r="E4859" s="21" t="s">
        <v>254</v>
      </c>
      <c r="F4859">
        <v>12850008</v>
      </c>
      <c r="G4859" t="s">
        <v>4248</v>
      </c>
      <c r="H4859" s="21">
        <v>1203.42</v>
      </c>
    </row>
    <row r="4860" spans="1:8" customFormat="1" x14ac:dyDescent="0.25">
      <c r="A4860" t="str">
        <f>"934950"</f>
        <v>934950</v>
      </c>
      <c r="B4860" t="s">
        <v>5042</v>
      </c>
      <c r="C4860" t="s">
        <v>33</v>
      </c>
      <c r="D4860" s="21" t="s">
        <v>34</v>
      </c>
      <c r="E4860" s="21" t="s">
        <v>71</v>
      </c>
      <c r="F4860">
        <v>8930430</v>
      </c>
      <c r="G4860" t="s">
        <v>995</v>
      </c>
      <c r="H4860" s="21">
        <v>1203.17</v>
      </c>
    </row>
    <row r="4861" spans="1:8" customFormat="1" x14ac:dyDescent="0.25">
      <c r="A4861" t="str">
        <f>"5939561"</f>
        <v>5939561</v>
      </c>
      <c r="B4861" t="s">
        <v>6069</v>
      </c>
      <c r="C4861" t="s">
        <v>58</v>
      </c>
      <c r="D4861" s="21" t="s">
        <v>34</v>
      </c>
      <c r="E4861" s="21" t="s">
        <v>35</v>
      </c>
      <c r="F4861">
        <v>7590014</v>
      </c>
      <c r="G4861" t="s">
        <v>1326</v>
      </c>
      <c r="H4861" s="21">
        <v>1203.17</v>
      </c>
    </row>
    <row r="4862" spans="1:8" customFormat="1" x14ac:dyDescent="0.25">
      <c r="A4862" t="str">
        <f>"474403"</f>
        <v>474403</v>
      </c>
      <c r="B4862" t="s">
        <v>2747</v>
      </c>
      <c r="C4862" t="s">
        <v>33</v>
      </c>
      <c r="D4862" s="21" t="s">
        <v>34</v>
      </c>
      <c r="E4862" s="21" t="s">
        <v>35</v>
      </c>
      <c r="F4862">
        <v>10470004</v>
      </c>
      <c r="G4862" t="s">
        <v>15474</v>
      </c>
      <c r="H4862" s="21">
        <v>1203.17</v>
      </c>
    </row>
    <row r="4863" spans="1:8" customFormat="1" x14ac:dyDescent="0.25">
      <c r="A4863" t="str">
        <f>"6716727"</f>
        <v>6716727</v>
      </c>
      <c r="B4863" t="s">
        <v>5477</v>
      </c>
      <c r="C4863" t="s">
        <v>249</v>
      </c>
      <c r="D4863" s="21" t="s">
        <v>34</v>
      </c>
      <c r="E4863" s="21" t="s">
        <v>71</v>
      </c>
      <c r="F4863">
        <v>6670160</v>
      </c>
      <c r="G4863" t="s">
        <v>908</v>
      </c>
      <c r="H4863" s="21">
        <v>1203.17</v>
      </c>
    </row>
    <row r="4864" spans="1:8" customFormat="1" x14ac:dyDescent="0.25">
      <c r="A4864" t="str">
        <f>"27233"</f>
        <v>27233</v>
      </c>
      <c r="B4864" t="s">
        <v>4666</v>
      </c>
      <c r="C4864" t="s">
        <v>204</v>
      </c>
      <c r="D4864" s="21" t="s">
        <v>34</v>
      </c>
      <c r="E4864" s="21" t="s">
        <v>35</v>
      </c>
      <c r="F4864">
        <v>9270151</v>
      </c>
      <c r="G4864" t="s">
        <v>626</v>
      </c>
      <c r="H4864" s="21">
        <v>1203.17</v>
      </c>
    </row>
    <row r="4865" spans="1:8" customFormat="1" x14ac:dyDescent="0.25">
      <c r="A4865" t="str">
        <f>"067016"</f>
        <v>067016</v>
      </c>
      <c r="B4865" t="s">
        <v>4804</v>
      </c>
      <c r="C4865" t="s">
        <v>55</v>
      </c>
      <c r="D4865" s="21" t="s">
        <v>34</v>
      </c>
      <c r="E4865" s="21" t="s">
        <v>71</v>
      </c>
      <c r="F4865">
        <v>13060102</v>
      </c>
      <c r="G4865" t="s">
        <v>2918</v>
      </c>
      <c r="H4865" s="21">
        <v>1203.17</v>
      </c>
    </row>
    <row r="4866" spans="1:8" customFormat="1" x14ac:dyDescent="0.25">
      <c r="A4866" t="str">
        <f>"60867"</f>
        <v>60867</v>
      </c>
      <c r="B4866" t="s">
        <v>2564</v>
      </c>
      <c r="C4866" t="s">
        <v>3010</v>
      </c>
      <c r="D4866" s="21" t="s">
        <v>34</v>
      </c>
      <c r="E4866" s="21" t="s">
        <v>254</v>
      </c>
      <c r="F4866">
        <v>7600043</v>
      </c>
      <c r="G4866" t="s">
        <v>1928</v>
      </c>
      <c r="H4866" s="21">
        <v>1203.17</v>
      </c>
    </row>
    <row r="4867" spans="1:8" customFormat="1" x14ac:dyDescent="0.25">
      <c r="A4867" t="str">
        <f>"379821"</f>
        <v>379821</v>
      </c>
      <c r="B4867" t="s">
        <v>5475</v>
      </c>
      <c r="C4867" t="s">
        <v>87</v>
      </c>
      <c r="D4867" s="21" t="s">
        <v>34</v>
      </c>
      <c r="E4867" s="21" t="s">
        <v>71</v>
      </c>
      <c r="F4867">
        <v>4370132</v>
      </c>
      <c r="G4867" t="s">
        <v>2262</v>
      </c>
      <c r="H4867" s="21">
        <v>1203.17</v>
      </c>
    </row>
    <row r="4868" spans="1:8" customFormat="1" x14ac:dyDescent="0.25">
      <c r="A4868" t="str">
        <f>"6210855"</f>
        <v>6210855</v>
      </c>
      <c r="B4868" t="s">
        <v>1198</v>
      </c>
      <c r="C4868" t="s">
        <v>239</v>
      </c>
      <c r="D4868" s="21" t="s">
        <v>34</v>
      </c>
      <c r="E4868" s="21" t="s">
        <v>254</v>
      </c>
      <c r="F4868">
        <v>1730048</v>
      </c>
      <c r="G4868" t="s">
        <v>3173</v>
      </c>
      <c r="H4868" s="21">
        <v>1203.17</v>
      </c>
    </row>
    <row r="4869" spans="1:8" customFormat="1" x14ac:dyDescent="0.25">
      <c r="A4869" t="str">
        <f>"7716282"</f>
        <v>7716282</v>
      </c>
      <c r="B4869" t="s">
        <v>6186</v>
      </c>
      <c r="C4869" t="s">
        <v>121</v>
      </c>
      <c r="D4869" s="21" t="s">
        <v>34</v>
      </c>
      <c r="E4869" s="21" t="s">
        <v>35</v>
      </c>
      <c r="F4869">
        <v>8770499</v>
      </c>
      <c r="G4869" t="s">
        <v>447</v>
      </c>
      <c r="H4869" s="21">
        <v>1203.05</v>
      </c>
    </row>
    <row r="4870" spans="1:8" customFormat="1" x14ac:dyDescent="0.25">
      <c r="A4870" t="str">
        <f>"3715362"</f>
        <v>3715362</v>
      </c>
      <c r="B4870" t="s">
        <v>5083</v>
      </c>
      <c r="C4870" t="s">
        <v>867</v>
      </c>
      <c r="D4870" s="21" t="s">
        <v>34</v>
      </c>
      <c r="E4870" s="21" t="s">
        <v>35</v>
      </c>
      <c r="F4870">
        <v>10170051</v>
      </c>
      <c r="G4870" t="s">
        <v>826</v>
      </c>
      <c r="H4870" s="21">
        <v>1202.92</v>
      </c>
    </row>
    <row r="4871" spans="1:8" customFormat="1" x14ac:dyDescent="0.25">
      <c r="A4871" t="str">
        <f>"9237050"</f>
        <v>9237050</v>
      </c>
      <c r="B4871" t="s">
        <v>6265</v>
      </c>
      <c r="C4871" t="s">
        <v>65</v>
      </c>
      <c r="D4871" s="21" t="s">
        <v>34</v>
      </c>
      <c r="E4871" s="21" t="s">
        <v>35</v>
      </c>
      <c r="F4871">
        <v>8920111</v>
      </c>
      <c r="G4871" t="s">
        <v>1064</v>
      </c>
      <c r="H4871" s="21">
        <v>1202.92</v>
      </c>
    </row>
    <row r="4872" spans="1:8" customFormat="1" x14ac:dyDescent="0.25">
      <c r="A4872" t="str">
        <f>"405160"</f>
        <v>405160</v>
      </c>
      <c r="B4872" t="s">
        <v>5447</v>
      </c>
      <c r="C4872" t="s">
        <v>60</v>
      </c>
      <c r="D4872" s="21" t="s">
        <v>34</v>
      </c>
      <c r="E4872" s="21" t="s">
        <v>35</v>
      </c>
      <c r="F4872">
        <v>10400002</v>
      </c>
      <c r="G4872" t="s">
        <v>1975</v>
      </c>
      <c r="H4872" s="21">
        <v>1202.79</v>
      </c>
    </row>
    <row r="4873" spans="1:8" customFormat="1" x14ac:dyDescent="0.25">
      <c r="A4873" t="str">
        <f>"6310379"</f>
        <v>6310379</v>
      </c>
      <c r="B4873" t="s">
        <v>3273</v>
      </c>
      <c r="C4873" t="s">
        <v>124</v>
      </c>
      <c r="D4873" s="21" t="s">
        <v>34</v>
      </c>
      <c r="E4873" s="21" t="s">
        <v>254</v>
      </c>
      <c r="F4873">
        <v>1730051</v>
      </c>
      <c r="G4873" t="s">
        <v>5293</v>
      </c>
      <c r="H4873" s="21">
        <v>1202.67</v>
      </c>
    </row>
    <row r="4874" spans="1:8" customFormat="1" x14ac:dyDescent="0.25">
      <c r="A4874" t="str">
        <f>"425421"</f>
        <v>425421</v>
      </c>
      <c r="B4874" t="s">
        <v>5902</v>
      </c>
      <c r="C4874" t="s">
        <v>65</v>
      </c>
      <c r="D4874" s="21" t="s">
        <v>34</v>
      </c>
      <c r="E4874" s="21" t="s">
        <v>35</v>
      </c>
      <c r="F4874">
        <v>1420160</v>
      </c>
      <c r="G4874" t="s">
        <v>5488</v>
      </c>
      <c r="H4874" s="21">
        <v>1202.67</v>
      </c>
    </row>
    <row r="4875" spans="1:8" customFormat="1" x14ac:dyDescent="0.25">
      <c r="A4875" t="str">
        <f>"392959"</f>
        <v>392959</v>
      </c>
      <c r="B4875" t="s">
        <v>5065</v>
      </c>
      <c r="C4875" t="s">
        <v>169</v>
      </c>
      <c r="D4875" s="21" t="s">
        <v>34</v>
      </c>
      <c r="E4875" s="21" t="s">
        <v>35</v>
      </c>
      <c r="F4875">
        <v>2390082</v>
      </c>
      <c r="G4875" t="s">
        <v>3343</v>
      </c>
      <c r="H4875" s="21">
        <v>1202.67</v>
      </c>
    </row>
    <row r="4876" spans="1:8" customFormat="1" x14ac:dyDescent="0.25">
      <c r="A4876" t="str">
        <f>"303363"</f>
        <v>303363</v>
      </c>
      <c r="B4876" t="s">
        <v>26880</v>
      </c>
      <c r="C4876" t="s">
        <v>249</v>
      </c>
      <c r="D4876" s="21" t="s">
        <v>34</v>
      </c>
      <c r="E4876" s="21" t="s">
        <v>35</v>
      </c>
      <c r="F4876">
        <v>1420078</v>
      </c>
      <c r="G4876" t="s">
        <v>4287</v>
      </c>
      <c r="H4876" s="21">
        <v>1202.67</v>
      </c>
    </row>
    <row r="4877" spans="1:8" customFormat="1" x14ac:dyDescent="0.25">
      <c r="A4877" t="str">
        <f>"9127631"</f>
        <v>9127631</v>
      </c>
      <c r="B4877" t="s">
        <v>5540</v>
      </c>
      <c r="C4877" t="s">
        <v>825</v>
      </c>
      <c r="D4877" s="21" t="s">
        <v>34</v>
      </c>
      <c r="E4877" s="21" t="s">
        <v>35</v>
      </c>
      <c r="F4877">
        <v>8750209</v>
      </c>
      <c r="G4877" t="s">
        <v>5541</v>
      </c>
      <c r="H4877" s="21">
        <v>1202.55</v>
      </c>
    </row>
    <row r="4878" spans="1:8" customFormat="1" x14ac:dyDescent="0.25">
      <c r="A4878" t="str">
        <f>"3313761"</f>
        <v>3313761</v>
      </c>
      <c r="B4878" t="s">
        <v>4959</v>
      </c>
      <c r="C4878" t="s">
        <v>121</v>
      </c>
      <c r="D4878" s="21" t="s">
        <v>34</v>
      </c>
      <c r="E4878" s="21" t="s">
        <v>71</v>
      </c>
      <c r="F4878">
        <v>10330037</v>
      </c>
      <c r="G4878" t="s">
        <v>5960</v>
      </c>
      <c r="H4878" s="21">
        <v>1202.3</v>
      </c>
    </row>
    <row r="4879" spans="1:8" customFormat="1" x14ac:dyDescent="0.25">
      <c r="A4879" t="str">
        <f>"7729571"</f>
        <v>7729571</v>
      </c>
      <c r="B4879" t="s">
        <v>10501</v>
      </c>
      <c r="C4879" t="s">
        <v>233</v>
      </c>
      <c r="D4879" s="21" t="s">
        <v>34</v>
      </c>
      <c r="E4879" s="21" t="s">
        <v>35</v>
      </c>
      <c r="F4879">
        <v>8770237</v>
      </c>
      <c r="G4879" t="s">
        <v>128</v>
      </c>
      <c r="H4879" s="21">
        <v>1202.18</v>
      </c>
    </row>
    <row r="4880" spans="1:8" customFormat="1" x14ac:dyDescent="0.25">
      <c r="A4880" t="str">
        <f>"9752431"</f>
        <v>9752431</v>
      </c>
      <c r="B4880" t="s">
        <v>5519</v>
      </c>
      <c r="C4880" t="s">
        <v>55</v>
      </c>
      <c r="D4880" s="21" t="s">
        <v>34</v>
      </c>
      <c r="E4880" s="21" t="s">
        <v>71</v>
      </c>
      <c r="F4880" t="s">
        <v>5520</v>
      </c>
      <c r="G4880" t="s">
        <v>5521</v>
      </c>
      <c r="H4880" s="21">
        <v>1202.17</v>
      </c>
    </row>
    <row r="4881" spans="1:8" customFormat="1" x14ac:dyDescent="0.25">
      <c r="A4881" t="str">
        <f>"3530999"</f>
        <v>3530999</v>
      </c>
      <c r="B4881" t="s">
        <v>5554</v>
      </c>
      <c r="C4881" t="s">
        <v>198</v>
      </c>
      <c r="D4881" s="21" t="s">
        <v>34</v>
      </c>
      <c r="E4881" s="21" t="s">
        <v>35</v>
      </c>
      <c r="F4881">
        <v>3350092</v>
      </c>
      <c r="G4881" t="s">
        <v>26881</v>
      </c>
      <c r="H4881" s="21">
        <v>1202.17</v>
      </c>
    </row>
    <row r="4882" spans="1:8" customFormat="1" x14ac:dyDescent="0.25">
      <c r="A4882" t="str">
        <f>"5315663"</f>
        <v>5315663</v>
      </c>
      <c r="B4882" t="s">
        <v>5727</v>
      </c>
      <c r="C4882" t="s">
        <v>867</v>
      </c>
      <c r="D4882" s="21" t="s">
        <v>34</v>
      </c>
      <c r="E4882" s="21" t="s">
        <v>35</v>
      </c>
      <c r="F4882">
        <v>12530105</v>
      </c>
      <c r="G4882" t="s">
        <v>4136</v>
      </c>
      <c r="H4882" s="21">
        <v>1202.17</v>
      </c>
    </row>
    <row r="4883" spans="1:8" customFormat="1" x14ac:dyDescent="0.25">
      <c r="A4883" t="str">
        <f>"9421424"</f>
        <v>9421424</v>
      </c>
      <c r="B4883" t="s">
        <v>7398</v>
      </c>
      <c r="C4883" t="s">
        <v>328</v>
      </c>
      <c r="D4883" s="21" t="s">
        <v>34</v>
      </c>
      <c r="E4883" s="21" t="s">
        <v>71</v>
      </c>
      <c r="F4883">
        <v>8940549</v>
      </c>
      <c r="G4883" t="s">
        <v>454</v>
      </c>
      <c r="H4883" s="21">
        <v>1202.17</v>
      </c>
    </row>
    <row r="4884" spans="1:8" customFormat="1" x14ac:dyDescent="0.25">
      <c r="A4884" t="str">
        <f>"568712"</f>
        <v>568712</v>
      </c>
      <c r="B4884" t="s">
        <v>5781</v>
      </c>
      <c r="C4884" t="s">
        <v>124</v>
      </c>
      <c r="D4884" s="21" t="s">
        <v>34</v>
      </c>
      <c r="E4884" s="21" t="s">
        <v>71</v>
      </c>
      <c r="F4884">
        <v>3560034</v>
      </c>
      <c r="G4884" t="s">
        <v>2220</v>
      </c>
      <c r="H4884" s="21">
        <v>1202.17</v>
      </c>
    </row>
    <row r="4885" spans="1:8" customFormat="1" x14ac:dyDescent="0.25">
      <c r="A4885" t="str">
        <f>"2616100"</f>
        <v>2616100</v>
      </c>
      <c r="B4885" t="s">
        <v>1048</v>
      </c>
      <c r="C4885" t="s">
        <v>209</v>
      </c>
      <c r="D4885" s="21" t="s">
        <v>34</v>
      </c>
      <c r="E4885" s="21" t="s">
        <v>35</v>
      </c>
      <c r="F4885">
        <v>1260061</v>
      </c>
      <c r="G4885" t="s">
        <v>6363</v>
      </c>
      <c r="H4885" s="21">
        <v>1202.17</v>
      </c>
    </row>
    <row r="4886" spans="1:8" customFormat="1" x14ac:dyDescent="0.25">
      <c r="A4886" t="str">
        <f>"9127652"</f>
        <v>9127652</v>
      </c>
      <c r="B4886" t="s">
        <v>5718</v>
      </c>
      <c r="C4886" t="s">
        <v>695</v>
      </c>
      <c r="D4886" s="21" t="s">
        <v>34</v>
      </c>
      <c r="E4886" s="21" t="s">
        <v>71</v>
      </c>
      <c r="F4886">
        <v>1380262</v>
      </c>
      <c r="G4886" t="s">
        <v>1216</v>
      </c>
      <c r="H4886" s="21">
        <v>1202.17</v>
      </c>
    </row>
    <row r="4887" spans="1:8" customFormat="1" x14ac:dyDescent="0.25">
      <c r="A4887" t="str">
        <f>"9143459"</f>
        <v>9143459</v>
      </c>
      <c r="B4887" t="s">
        <v>6480</v>
      </c>
      <c r="C4887" t="s">
        <v>130</v>
      </c>
      <c r="D4887" s="21" t="s">
        <v>34</v>
      </c>
      <c r="E4887" s="21" t="s">
        <v>71</v>
      </c>
      <c r="F4887">
        <v>8911456</v>
      </c>
      <c r="G4887" t="s">
        <v>6481</v>
      </c>
      <c r="H4887" s="21">
        <v>1202.05</v>
      </c>
    </row>
    <row r="4888" spans="1:8" customFormat="1" x14ac:dyDescent="0.25">
      <c r="A4888" t="str">
        <f>"426892"</f>
        <v>426892</v>
      </c>
      <c r="B4888" t="s">
        <v>6590</v>
      </c>
      <c r="C4888" t="s">
        <v>239</v>
      </c>
      <c r="D4888" s="21" t="s">
        <v>34</v>
      </c>
      <c r="E4888" s="21" t="s">
        <v>35</v>
      </c>
      <c r="F4888">
        <v>1420163</v>
      </c>
      <c r="G4888" t="s">
        <v>2424</v>
      </c>
      <c r="H4888" s="21">
        <v>1201.92</v>
      </c>
    </row>
    <row r="4889" spans="1:8" customFormat="1" x14ac:dyDescent="0.25">
      <c r="A4889" t="str">
        <f>"7838570"</f>
        <v>7838570</v>
      </c>
      <c r="B4889" t="s">
        <v>6634</v>
      </c>
      <c r="C4889" t="s">
        <v>55</v>
      </c>
      <c r="D4889" s="21" t="s">
        <v>34</v>
      </c>
      <c r="E4889" s="21" t="s">
        <v>71</v>
      </c>
      <c r="F4889">
        <v>8780107</v>
      </c>
      <c r="G4889" t="s">
        <v>4186</v>
      </c>
      <c r="H4889" s="21">
        <v>1201.8</v>
      </c>
    </row>
    <row r="4890" spans="1:8" customFormat="1" x14ac:dyDescent="0.25">
      <c r="A4890" t="str">
        <f>"5410295"</f>
        <v>5410295</v>
      </c>
      <c r="B4890" t="s">
        <v>5715</v>
      </c>
      <c r="C4890" t="s">
        <v>1025</v>
      </c>
      <c r="D4890" s="21" t="s">
        <v>34</v>
      </c>
      <c r="E4890" s="21" t="s">
        <v>35</v>
      </c>
      <c r="F4890">
        <v>6540040</v>
      </c>
      <c r="G4890" t="s">
        <v>256</v>
      </c>
      <c r="H4890" s="21">
        <v>1201.67</v>
      </c>
    </row>
    <row r="4891" spans="1:8" customFormat="1" x14ac:dyDescent="0.25">
      <c r="A4891" t="str">
        <f>"9423267"</f>
        <v>9423267</v>
      </c>
      <c r="B4891" t="s">
        <v>2402</v>
      </c>
      <c r="C4891" t="s">
        <v>60</v>
      </c>
      <c r="D4891" s="21" t="s">
        <v>34</v>
      </c>
      <c r="E4891" s="21" t="s">
        <v>35</v>
      </c>
      <c r="F4891">
        <v>8940894</v>
      </c>
      <c r="G4891" t="s">
        <v>481</v>
      </c>
      <c r="H4891" s="21">
        <v>1201.67</v>
      </c>
    </row>
    <row r="4892" spans="1:8" customFormat="1" x14ac:dyDescent="0.25">
      <c r="A4892" t="str">
        <f>"7611569"</f>
        <v>7611569</v>
      </c>
      <c r="B4892" t="s">
        <v>522</v>
      </c>
      <c r="C4892" t="s">
        <v>149</v>
      </c>
      <c r="D4892" s="21" t="s">
        <v>34</v>
      </c>
      <c r="E4892" s="21" t="s">
        <v>35</v>
      </c>
      <c r="F4892">
        <v>1690002</v>
      </c>
      <c r="G4892" t="s">
        <v>5604</v>
      </c>
      <c r="H4892" s="21">
        <v>1201.67</v>
      </c>
    </row>
    <row r="4893" spans="1:8" customFormat="1" x14ac:dyDescent="0.25">
      <c r="A4893" t="str">
        <f>"6710245"</f>
        <v>6710245</v>
      </c>
      <c r="B4893" t="s">
        <v>5698</v>
      </c>
      <c r="C4893" t="s">
        <v>90</v>
      </c>
      <c r="D4893" s="21" t="s">
        <v>34</v>
      </c>
      <c r="E4893" s="21" t="s">
        <v>35</v>
      </c>
      <c r="F4893">
        <v>4280045</v>
      </c>
      <c r="G4893" t="s">
        <v>787</v>
      </c>
      <c r="H4893" s="21">
        <v>1201.67</v>
      </c>
    </row>
    <row r="4894" spans="1:8" customFormat="1" x14ac:dyDescent="0.25">
      <c r="A4894" t="str">
        <f>"627674"</f>
        <v>627674</v>
      </c>
      <c r="B4894" t="s">
        <v>5642</v>
      </c>
      <c r="C4894" t="s">
        <v>60</v>
      </c>
      <c r="D4894" s="21" t="s">
        <v>34</v>
      </c>
      <c r="E4894" s="21" t="s">
        <v>35</v>
      </c>
      <c r="F4894">
        <v>7590271</v>
      </c>
      <c r="G4894" t="s">
        <v>3163</v>
      </c>
      <c r="H4894" s="21">
        <v>1201.5</v>
      </c>
    </row>
    <row r="4895" spans="1:8" customFormat="1" x14ac:dyDescent="0.25">
      <c r="A4895" t="str">
        <f>"3419373"</f>
        <v>3419373</v>
      </c>
      <c r="B4895" t="s">
        <v>5404</v>
      </c>
      <c r="C4895" t="s">
        <v>5405</v>
      </c>
      <c r="D4895" s="21" t="s">
        <v>34</v>
      </c>
      <c r="E4895" s="21" t="s">
        <v>71</v>
      </c>
      <c r="F4895">
        <v>11110024</v>
      </c>
      <c r="G4895" t="s">
        <v>3378</v>
      </c>
      <c r="H4895" s="21">
        <v>1201.42</v>
      </c>
    </row>
    <row r="4896" spans="1:8" customFormat="1" x14ac:dyDescent="0.25">
      <c r="A4896" t="str">
        <f>"5947702"</f>
        <v>5947702</v>
      </c>
      <c r="B4896" t="s">
        <v>6325</v>
      </c>
      <c r="C4896" t="s">
        <v>33</v>
      </c>
      <c r="D4896" s="21" t="s">
        <v>34</v>
      </c>
      <c r="E4896" s="21" t="s">
        <v>35</v>
      </c>
      <c r="F4896">
        <v>7590392</v>
      </c>
      <c r="G4896" t="s">
        <v>154</v>
      </c>
      <c r="H4896" s="21">
        <v>1201.42</v>
      </c>
    </row>
    <row r="4897" spans="1:8" customFormat="1" x14ac:dyDescent="0.25">
      <c r="A4897" t="str">
        <f>"106965"</f>
        <v>106965</v>
      </c>
      <c r="B4897" t="s">
        <v>9944</v>
      </c>
      <c r="C4897" t="s">
        <v>9945</v>
      </c>
      <c r="D4897" s="21" t="s">
        <v>34</v>
      </c>
      <c r="E4897" s="21" t="s">
        <v>35</v>
      </c>
      <c r="F4897">
        <v>6100002</v>
      </c>
      <c r="G4897" t="s">
        <v>1602</v>
      </c>
      <c r="H4897" s="21">
        <v>1201.18</v>
      </c>
    </row>
    <row r="4898" spans="1:8" customFormat="1" x14ac:dyDescent="0.25">
      <c r="A4898" t="str">
        <f>"9451274"</f>
        <v>9451274</v>
      </c>
      <c r="B4898" t="s">
        <v>5573</v>
      </c>
      <c r="C4898" t="s">
        <v>5574</v>
      </c>
      <c r="D4898" s="21" t="s">
        <v>34</v>
      </c>
      <c r="E4898" s="21" t="s">
        <v>35</v>
      </c>
      <c r="F4898">
        <v>8940459</v>
      </c>
      <c r="G4898" t="s">
        <v>743</v>
      </c>
      <c r="H4898" s="21">
        <v>1201.18</v>
      </c>
    </row>
    <row r="4899" spans="1:8" customFormat="1" x14ac:dyDescent="0.25">
      <c r="A4899" t="str">
        <f>"18192"</f>
        <v>18192</v>
      </c>
      <c r="B4899" t="s">
        <v>2049</v>
      </c>
      <c r="C4899" t="s">
        <v>33</v>
      </c>
      <c r="D4899" s="21" t="s">
        <v>34</v>
      </c>
      <c r="E4899" s="21" t="s">
        <v>71</v>
      </c>
      <c r="F4899">
        <v>4180696</v>
      </c>
      <c r="G4899" t="s">
        <v>3018</v>
      </c>
      <c r="H4899" s="21">
        <v>1201.17</v>
      </c>
    </row>
    <row r="4900" spans="1:8" customFormat="1" x14ac:dyDescent="0.25">
      <c r="A4900" t="str">
        <f>"638502"</f>
        <v>638502</v>
      </c>
      <c r="B4900" t="s">
        <v>5191</v>
      </c>
      <c r="C4900" t="s">
        <v>239</v>
      </c>
      <c r="D4900" s="21" t="s">
        <v>34</v>
      </c>
      <c r="E4900" s="21" t="s">
        <v>35</v>
      </c>
      <c r="F4900">
        <v>1630241</v>
      </c>
      <c r="G4900" t="s">
        <v>4519</v>
      </c>
      <c r="H4900" s="21">
        <v>1201.17</v>
      </c>
    </row>
    <row r="4901" spans="1:8" customFormat="1" x14ac:dyDescent="0.25">
      <c r="A4901" t="str">
        <f>"441698"</f>
        <v>441698</v>
      </c>
      <c r="B4901" t="s">
        <v>1028</v>
      </c>
      <c r="C4901" t="s">
        <v>55</v>
      </c>
      <c r="D4901" s="21" t="s">
        <v>34</v>
      </c>
      <c r="E4901" s="21" t="s">
        <v>71</v>
      </c>
      <c r="F4901">
        <v>12440051</v>
      </c>
      <c r="G4901" t="s">
        <v>2191</v>
      </c>
      <c r="H4901" s="21">
        <v>1201.17</v>
      </c>
    </row>
    <row r="4902" spans="1:8" customFormat="1" x14ac:dyDescent="0.25">
      <c r="A4902" t="str">
        <f>"8512221"</f>
        <v>8512221</v>
      </c>
      <c r="B4902" t="s">
        <v>5616</v>
      </c>
      <c r="C4902" t="s">
        <v>33</v>
      </c>
      <c r="D4902" s="21" t="s">
        <v>34</v>
      </c>
      <c r="E4902" s="21" t="s">
        <v>35</v>
      </c>
      <c r="F4902">
        <v>12440197</v>
      </c>
      <c r="G4902" t="s">
        <v>1101</v>
      </c>
      <c r="H4902" s="21">
        <v>1201.17</v>
      </c>
    </row>
    <row r="4903" spans="1:8" customFormat="1" x14ac:dyDescent="0.25">
      <c r="A4903" t="str">
        <f>"387437"</f>
        <v>387437</v>
      </c>
      <c r="B4903" t="s">
        <v>6945</v>
      </c>
      <c r="C4903" t="s">
        <v>65</v>
      </c>
      <c r="D4903" s="21" t="s">
        <v>34</v>
      </c>
      <c r="E4903" s="21" t="s">
        <v>35</v>
      </c>
      <c r="F4903">
        <v>1380256</v>
      </c>
      <c r="G4903" t="s">
        <v>6946</v>
      </c>
      <c r="H4903" s="21">
        <v>1200.92</v>
      </c>
    </row>
    <row r="4904" spans="1:8" customFormat="1" x14ac:dyDescent="0.25">
      <c r="A4904" t="str">
        <f>"5931849"</f>
        <v>5931849</v>
      </c>
      <c r="B4904" t="s">
        <v>6741</v>
      </c>
      <c r="C4904" t="s">
        <v>285</v>
      </c>
      <c r="D4904" s="21" t="s">
        <v>34</v>
      </c>
      <c r="E4904" s="21" t="s">
        <v>35</v>
      </c>
      <c r="F4904">
        <v>7590106</v>
      </c>
      <c r="G4904" t="s">
        <v>4790</v>
      </c>
      <c r="H4904" s="21">
        <v>1200.92</v>
      </c>
    </row>
    <row r="4905" spans="1:8" customFormat="1" x14ac:dyDescent="0.25">
      <c r="A4905" t="str">
        <f>"214874"</f>
        <v>214874</v>
      </c>
      <c r="B4905" t="s">
        <v>4884</v>
      </c>
      <c r="C4905" t="s">
        <v>209</v>
      </c>
      <c r="D4905" s="21" t="s">
        <v>34</v>
      </c>
      <c r="E4905" s="21" t="s">
        <v>35</v>
      </c>
      <c r="F4905">
        <v>2210007</v>
      </c>
      <c r="G4905" t="s">
        <v>26848</v>
      </c>
      <c r="H4905" s="21">
        <v>1200.8</v>
      </c>
    </row>
    <row r="4906" spans="1:8" customFormat="1" x14ac:dyDescent="0.25">
      <c r="A4906" t="str">
        <f>"771611"</f>
        <v>771611</v>
      </c>
      <c r="B4906" t="s">
        <v>5468</v>
      </c>
      <c r="C4906" t="s">
        <v>934</v>
      </c>
      <c r="D4906" s="21" t="s">
        <v>34</v>
      </c>
      <c r="E4906" s="21" t="s">
        <v>254</v>
      </c>
      <c r="F4906">
        <v>8771025</v>
      </c>
      <c r="G4906" t="s">
        <v>5469</v>
      </c>
      <c r="H4906" s="21">
        <v>1200.8</v>
      </c>
    </row>
    <row r="4907" spans="1:8" customFormat="1" x14ac:dyDescent="0.25">
      <c r="A4907" t="str">
        <f>"9527650"</f>
        <v>9527650</v>
      </c>
      <c r="B4907" t="s">
        <v>6744</v>
      </c>
      <c r="C4907" t="s">
        <v>1914</v>
      </c>
      <c r="D4907" s="21" t="s">
        <v>34</v>
      </c>
      <c r="E4907" s="21" t="s">
        <v>35</v>
      </c>
      <c r="F4907">
        <v>8950092</v>
      </c>
      <c r="G4907" t="s">
        <v>2039</v>
      </c>
      <c r="H4907" s="21">
        <v>1200.68</v>
      </c>
    </row>
    <row r="4908" spans="1:8" customFormat="1" x14ac:dyDescent="0.25">
      <c r="A4908" t="str">
        <f>"5949032"</f>
        <v>5949032</v>
      </c>
      <c r="B4908" t="s">
        <v>5120</v>
      </c>
      <c r="C4908" t="s">
        <v>209</v>
      </c>
      <c r="D4908" s="21" t="s">
        <v>34</v>
      </c>
      <c r="E4908" s="21" t="s">
        <v>71</v>
      </c>
      <c r="F4908">
        <v>7590235</v>
      </c>
      <c r="G4908" t="s">
        <v>5121</v>
      </c>
      <c r="H4908" s="21">
        <v>1200.67</v>
      </c>
    </row>
    <row r="4909" spans="1:8" customFormat="1" x14ac:dyDescent="0.25">
      <c r="A4909" t="str">
        <f>"7621894"</f>
        <v>7621894</v>
      </c>
      <c r="B4909" t="s">
        <v>7000</v>
      </c>
      <c r="C4909" t="s">
        <v>7001</v>
      </c>
      <c r="D4909" s="21" t="s">
        <v>34</v>
      </c>
      <c r="E4909" s="21" t="s">
        <v>35</v>
      </c>
      <c r="F4909">
        <v>1690112</v>
      </c>
      <c r="G4909" t="s">
        <v>4084</v>
      </c>
      <c r="H4909" s="21">
        <v>1200.67</v>
      </c>
    </row>
    <row r="4910" spans="1:8" customFormat="1" x14ac:dyDescent="0.25">
      <c r="A4910" t="str">
        <f>"102673"</f>
        <v>102673</v>
      </c>
      <c r="B4910" t="s">
        <v>5612</v>
      </c>
      <c r="C4910" t="s">
        <v>169</v>
      </c>
      <c r="D4910" s="21" t="s">
        <v>34</v>
      </c>
      <c r="E4910" s="21" t="s">
        <v>71</v>
      </c>
      <c r="F4910">
        <v>6100002</v>
      </c>
      <c r="G4910" t="s">
        <v>1602</v>
      </c>
      <c r="H4910" s="21">
        <v>1200.67</v>
      </c>
    </row>
    <row r="4911" spans="1:8" customFormat="1" x14ac:dyDescent="0.25">
      <c r="A4911" t="str">
        <f>"8525844"</f>
        <v>8525844</v>
      </c>
      <c r="B4911" t="s">
        <v>6773</v>
      </c>
      <c r="C4911" t="s">
        <v>6774</v>
      </c>
      <c r="D4911" s="21" t="s">
        <v>34</v>
      </c>
      <c r="E4911" s="21" t="s">
        <v>35</v>
      </c>
      <c r="F4911">
        <v>12850097</v>
      </c>
      <c r="G4911" t="s">
        <v>4111</v>
      </c>
      <c r="H4911" s="21">
        <v>1200.67</v>
      </c>
    </row>
    <row r="4912" spans="1:8" customFormat="1" x14ac:dyDescent="0.25">
      <c r="A4912" t="str">
        <f>"805772"</f>
        <v>805772</v>
      </c>
      <c r="B4912" t="s">
        <v>6625</v>
      </c>
      <c r="C4912" t="s">
        <v>6626</v>
      </c>
      <c r="D4912" s="21" t="s">
        <v>34</v>
      </c>
      <c r="E4912" s="21" t="s">
        <v>35</v>
      </c>
      <c r="F4912">
        <v>9760291</v>
      </c>
      <c r="G4912" t="s">
        <v>26611</v>
      </c>
      <c r="H4912" s="21">
        <v>1200.17</v>
      </c>
    </row>
    <row r="4913" spans="1:8" customFormat="1" x14ac:dyDescent="0.25">
      <c r="A4913" t="str">
        <f>"296046"</f>
        <v>296046</v>
      </c>
      <c r="B4913" t="s">
        <v>6045</v>
      </c>
      <c r="C4913" t="s">
        <v>3355</v>
      </c>
      <c r="D4913" s="21" t="s">
        <v>34</v>
      </c>
      <c r="E4913" s="21" t="s">
        <v>35</v>
      </c>
      <c r="F4913">
        <v>3290212</v>
      </c>
      <c r="G4913" t="s">
        <v>6046</v>
      </c>
      <c r="H4913" s="21">
        <v>1200.17</v>
      </c>
    </row>
    <row r="4914" spans="1:8" customFormat="1" x14ac:dyDescent="0.25">
      <c r="A4914" t="str">
        <f>"872310"</f>
        <v>872310</v>
      </c>
      <c r="B4914" t="s">
        <v>6015</v>
      </c>
      <c r="C4914" t="s">
        <v>486</v>
      </c>
      <c r="D4914" s="21" t="s">
        <v>34</v>
      </c>
      <c r="E4914" s="21" t="s">
        <v>254</v>
      </c>
      <c r="F4914">
        <v>10870017</v>
      </c>
      <c r="G4914" t="s">
        <v>26875</v>
      </c>
      <c r="H4914" s="21">
        <v>1200.17</v>
      </c>
    </row>
    <row r="4915" spans="1:8" customFormat="1" x14ac:dyDescent="0.25">
      <c r="A4915" t="str">
        <f>"378095"</f>
        <v>378095</v>
      </c>
      <c r="B4915" t="s">
        <v>208</v>
      </c>
      <c r="C4915" t="s">
        <v>926</v>
      </c>
      <c r="D4915" s="21" t="s">
        <v>34</v>
      </c>
      <c r="E4915" s="21" t="s">
        <v>35</v>
      </c>
      <c r="F4915">
        <v>4370637</v>
      </c>
      <c r="G4915" t="s">
        <v>3941</v>
      </c>
      <c r="H4915" s="21">
        <v>1200.17</v>
      </c>
    </row>
    <row r="4916" spans="1:8" customFormat="1" x14ac:dyDescent="0.25">
      <c r="A4916" t="str">
        <f>"8516618"</f>
        <v>8516618</v>
      </c>
      <c r="B4916" t="s">
        <v>5956</v>
      </c>
      <c r="C4916" t="s">
        <v>1231</v>
      </c>
      <c r="D4916" s="21" t="s">
        <v>34</v>
      </c>
      <c r="E4916" s="21" t="s">
        <v>35</v>
      </c>
      <c r="F4916">
        <v>12850046</v>
      </c>
      <c r="G4916" t="s">
        <v>3136</v>
      </c>
      <c r="H4916" s="21">
        <v>1200.17</v>
      </c>
    </row>
    <row r="4917" spans="1:8" customFormat="1" x14ac:dyDescent="0.25">
      <c r="A4917" t="str">
        <f>"681992"</f>
        <v>681992</v>
      </c>
      <c r="B4917" t="s">
        <v>97</v>
      </c>
      <c r="C4917" t="s">
        <v>2479</v>
      </c>
      <c r="D4917" s="21" t="s">
        <v>34</v>
      </c>
      <c r="E4917" s="21" t="s">
        <v>254</v>
      </c>
      <c r="F4917">
        <v>6680091</v>
      </c>
      <c r="G4917" t="s">
        <v>693</v>
      </c>
      <c r="H4917" s="21">
        <v>1200.17</v>
      </c>
    </row>
    <row r="4918" spans="1:8" customFormat="1" x14ac:dyDescent="0.25">
      <c r="A4918" t="str">
        <f>"3716067"</f>
        <v>3716067</v>
      </c>
      <c r="B4918" t="s">
        <v>5391</v>
      </c>
      <c r="C4918" t="s">
        <v>55</v>
      </c>
      <c r="D4918" s="21" t="s">
        <v>34</v>
      </c>
      <c r="E4918" s="21" t="s">
        <v>71</v>
      </c>
      <c r="F4918">
        <v>4370656</v>
      </c>
      <c r="G4918" t="s">
        <v>1127</v>
      </c>
      <c r="H4918" s="21">
        <v>1200.17</v>
      </c>
    </row>
    <row r="4919" spans="1:8" customFormat="1" x14ac:dyDescent="0.25">
      <c r="A4919" t="str">
        <f>"2924060"</f>
        <v>2924060</v>
      </c>
      <c r="B4919" t="s">
        <v>3039</v>
      </c>
      <c r="C4919" t="s">
        <v>576</v>
      </c>
      <c r="D4919" s="21" t="s">
        <v>34</v>
      </c>
      <c r="E4919" s="21" t="s">
        <v>35</v>
      </c>
      <c r="F4919">
        <v>3290212</v>
      </c>
      <c r="G4919" t="s">
        <v>6046</v>
      </c>
      <c r="H4919" s="21">
        <v>1200.17</v>
      </c>
    </row>
    <row r="4920" spans="1:8" customFormat="1" x14ac:dyDescent="0.25">
      <c r="A4920" t="str">
        <f>"12514"</f>
        <v>12514</v>
      </c>
      <c r="B4920" t="s">
        <v>5064</v>
      </c>
      <c r="C4920" t="s">
        <v>121</v>
      </c>
      <c r="D4920" s="21" t="s">
        <v>34</v>
      </c>
      <c r="E4920" s="21" t="s">
        <v>35</v>
      </c>
      <c r="F4920">
        <v>11120009</v>
      </c>
      <c r="G4920" t="s">
        <v>3369</v>
      </c>
      <c r="H4920" s="21">
        <v>1200.17</v>
      </c>
    </row>
    <row r="4921" spans="1:8" customFormat="1" x14ac:dyDescent="0.25">
      <c r="A4921" t="str">
        <f>"7111639"</f>
        <v>7111639</v>
      </c>
      <c r="B4921" t="s">
        <v>5238</v>
      </c>
      <c r="C4921" t="s">
        <v>267</v>
      </c>
      <c r="D4921" s="21" t="s">
        <v>34</v>
      </c>
      <c r="E4921" s="21" t="s">
        <v>254</v>
      </c>
      <c r="F4921">
        <v>2710023</v>
      </c>
      <c r="G4921" t="s">
        <v>3549</v>
      </c>
      <c r="H4921" s="21">
        <v>1200.17</v>
      </c>
    </row>
    <row r="4922" spans="1:8" customFormat="1" x14ac:dyDescent="0.25">
      <c r="A4922" t="str">
        <f>"9429268"</f>
        <v>9429268</v>
      </c>
      <c r="B4922" t="s">
        <v>3390</v>
      </c>
      <c r="C4922" t="s">
        <v>428</v>
      </c>
      <c r="D4922" s="21" t="s">
        <v>34</v>
      </c>
      <c r="E4922" s="21" t="s">
        <v>35</v>
      </c>
      <c r="F4922">
        <v>3290205</v>
      </c>
      <c r="G4922" t="s">
        <v>26882</v>
      </c>
      <c r="H4922" s="21">
        <v>1200.17</v>
      </c>
    </row>
    <row r="4923" spans="1:8" customFormat="1" x14ac:dyDescent="0.25">
      <c r="A4923" t="str">
        <f>"865236"</f>
        <v>865236</v>
      </c>
      <c r="B4923" t="s">
        <v>7293</v>
      </c>
      <c r="C4923" t="s">
        <v>822</v>
      </c>
      <c r="D4923" s="21" t="s">
        <v>34</v>
      </c>
      <c r="E4923" s="21" t="s">
        <v>71</v>
      </c>
      <c r="F4923">
        <v>10860231</v>
      </c>
      <c r="G4923" t="s">
        <v>7294</v>
      </c>
      <c r="H4923" s="21">
        <v>1200.17</v>
      </c>
    </row>
    <row r="4924" spans="1:8" customFormat="1" x14ac:dyDescent="0.25">
      <c r="A4924" t="str">
        <f>"2111762"</f>
        <v>2111762</v>
      </c>
      <c r="B4924" t="s">
        <v>6207</v>
      </c>
      <c r="C4924" t="s">
        <v>33</v>
      </c>
      <c r="D4924" s="21" t="s">
        <v>34</v>
      </c>
      <c r="E4924" s="21" t="s">
        <v>35</v>
      </c>
      <c r="F4924">
        <v>2210106</v>
      </c>
      <c r="G4924" t="s">
        <v>8845</v>
      </c>
      <c r="H4924" s="21">
        <v>1199.93</v>
      </c>
    </row>
    <row r="4925" spans="1:8" customFormat="1" x14ac:dyDescent="0.25">
      <c r="A4925" t="str">
        <f>"396044"</f>
        <v>396044</v>
      </c>
      <c r="B4925" t="s">
        <v>6813</v>
      </c>
      <c r="C4925" t="s">
        <v>43</v>
      </c>
      <c r="D4925" s="21" t="s">
        <v>34</v>
      </c>
      <c r="E4925" s="21" t="s">
        <v>35</v>
      </c>
      <c r="F4925">
        <v>2390027</v>
      </c>
      <c r="G4925" t="s">
        <v>3605</v>
      </c>
      <c r="H4925" s="21">
        <v>1199.67</v>
      </c>
    </row>
    <row r="4926" spans="1:8" customFormat="1" x14ac:dyDescent="0.25">
      <c r="A4926" t="str">
        <f>"5910230"</f>
        <v>5910230</v>
      </c>
      <c r="B4926" t="s">
        <v>4304</v>
      </c>
      <c r="C4926" t="s">
        <v>55</v>
      </c>
      <c r="D4926" s="21" t="s">
        <v>34</v>
      </c>
      <c r="E4926" s="21" t="s">
        <v>35</v>
      </c>
      <c r="F4926">
        <v>7590228</v>
      </c>
      <c r="G4926" t="s">
        <v>1798</v>
      </c>
      <c r="H4926" s="21">
        <v>1199.67</v>
      </c>
    </row>
    <row r="4927" spans="1:8" customFormat="1" x14ac:dyDescent="0.25">
      <c r="A4927" t="str">
        <f>"5944669"</f>
        <v>5944669</v>
      </c>
      <c r="B4927" t="s">
        <v>5894</v>
      </c>
      <c r="C4927" t="s">
        <v>233</v>
      </c>
      <c r="D4927" s="21" t="s">
        <v>34</v>
      </c>
      <c r="E4927" s="21" t="s">
        <v>35</v>
      </c>
      <c r="F4927">
        <v>7590331</v>
      </c>
      <c r="G4927" t="s">
        <v>4882</v>
      </c>
      <c r="H4927" s="21">
        <v>1199.67</v>
      </c>
    </row>
    <row r="4928" spans="1:8" customFormat="1" x14ac:dyDescent="0.25">
      <c r="A4928" t="str">
        <f>"4216595"</f>
        <v>4216595</v>
      </c>
      <c r="B4928" t="s">
        <v>4944</v>
      </c>
      <c r="C4928" t="s">
        <v>2907</v>
      </c>
      <c r="D4928" s="21" t="s">
        <v>34</v>
      </c>
      <c r="E4928" s="21" t="s">
        <v>71</v>
      </c>
      <c r="F4928">
        <v>1420160</v>
      </c>
      <c r="G4928" t="s">
        <v>5488</v>
      </c>
      <c r="H4928" s="21">
        <v>1199.67</v>
      </c>
    </row>
    <row r="4929" spans="1:8" customFormat="1" x14ac:dyDescent="0.25">
      <c r="A4929" t="str">
        <f>"958614"</f>
        <v>958614</v>
      </c>
      <c r="B4929" t="s">
        <v>6335</v>
      </c>
      <c r="C4929" t="s">
        <v>40</v>
      </c>
      <c r="D4929" s="21" t="s">
        <v>34</v>
      </c>
      <c r="E4929" s="21" t="s">
        <v>71</v>
      </c>
      <c r="F4929">
        <v>8951411</v>
      </c>
      <c r="G4929" t="s">
        <v>416</v>
      </c>
      <c r="H4929" s="21">
        <v>1199.67</v>
      </c>
    </row>
    <row r="4930" spans="1:8" customFormat="1" x14ac:dyDescent="0.25">
      <c r="A4930" t="str">
        <f>"923044"</f>
        <v>923044</v>
      </c>
      <c r="B4930" t="s">
        <v>5202</v>
      </c>
      <c r="C4930" t="s">
        <v>2479</v>
      </c>
      <c r="D4930" s="21" t="s">
        <v>34</v>
      </c>
      <c r="E4930" s="21" t="s">
        <v>71</v>
      </c>
      <c r="F4930">
        <v>8921164</v>
      </c>
      <c r="G4930" t="s">
        <v>5203</v>
      </c>
      <c r="H4930" s="21">
        <v>1199.67</v>
      </c>
    </row>
    <row r="4931" spans="1:8" customFormat="1" x14ac:dyDescent="0.25">
      <c r="A4931" t="str">
        <f>"8019"</f>
        <v>8019</v>
      </c>
      <c r="B4931" t="s">
        <v>5636</v>
      </c>
      <c r="C4931" t="s">
        <v>187</v>
      </c>
      <c r="D4931" s="21" t="s">
        <v>34</v>
      </c>
      <c r="E4931" s="21" t="s">
        <v>71</v>
      </c>
      <c r="F4931">
        <v>7800001</v>
      </c>
      <c r="G4931" t="s">
        <v>176</v>
      </c>
      <c r="H4931" s="21">
        <v>1199.67</v>
      </c>
    </row>
    <row r="4932" spans="1:8" customFormat="1" x14ac:dyDescent="0.25">
      <c r="A4932" t="str">
        <f>"7611773"</f>
        <v>7611773</v>
      </c>
      <c r="B4932" t="s">
        <v>6024</v>
      </c>
      <c r="C4932" t="s">
        <v>249</v>
      </c>
      <c r="D4932" s="21" t="s">
        <v>34</v>
      </c>
      <c r="E4932" s="21" t="s">
        <v>71</v>
      </c>
      <c r="F4932">
        <v>9760414</v>
      </c>
      <c r="G4932" t="s">
        <v>142</v>
      </c>
      <c r="H4932" s="21">
        <v>1199.42</v>
      </c>
    </row>
    <row r="4933" spans="1:8" customFormat="1" x14ac:dyDescent="0.25">
      <c r="A4933" t="str">
        <f>"259577"</f>
        <v>259577</v>
      </c>
      <c r="B4933" t="s">
        <v>5810</v>
      </c>
      <c r="C4933" t="s">
        <v>415</v>
      </c>
      <c r="D4933" s="21" t="s">
        <v>34</v>
      </c>
      <c r="E4933" s="21" t="s">
        <v>254</v>
      </c>
      <c r="F4933">
        <v>2250137</v>
      </c>
      <c r="G4933" t="s">
        <v>182</v>
      </c>
      <c r="H4933" s="21">
        <v>1199.42</v>
      </c>
    </row>
    <row r="4934" spans="1:8" customFormat="1" x14ac:dyDescent="0.25">
      <c r="A4934" t="str">
        <f>"851140"</f>
        <v>851140</v>
      </c>
      <c r="B4934" t="s">
        <v>6588</v>
      </c>
      <c r="C4934" t="s">
        <v>2479</v>
      </c>
      <c r="D4934" s="21" t="s">
        <v>34</v>
      </c>
      <c r="E4934" s="21" t="s">
        <v>254</v>
      </c>
      <c r="F4934">
        <v>12850032</v>
      </c>
      <c r="G4934" t="s">
        <v>6589</v>
      </c>
      <c r="H4934" s="21">
        <v>1199.42</v>
      </c>
    </row>
    <row r="4935" spans="1:8" customFormat="1" x14ac:dyDescent="0.25">
      <c r="A4935" t="str">
        <f>"2517284"</f>
        <v>2517284</v>
      </c>
      <c r="B4935" t="s">
        <v>7941</v>
      </c>
      <c r="C4935" t="s">
        <v>1782</v>
      </c>
      <c r="D4935" s="21" t="s">
        <v>34</v>
      </c>
      <c r="E4935" s="21" t="s">
        <v>71</v>
      </c>
      <c r="F4935">
        <v>2250070</v>
      </c>
      <c r="G4935" t="s">
        <v>3923</v>
      </c>
      <c r="H4935" s="21">
        <v>1199.17</v>
      </c>
    </row>
    <row r="4936" spans="1:8" customFormat="1" x14ac:dyDescent="0.25">
      <c r="A4936" t="str">
        <f>"50209"</f>
        <v>50209</v>
      </c>
      <c r="B4936" t="s">
        <v>26883</v>
      </c>
      <c r="C4936" t="s">
        <v>60</v>
      </c>
      <c r="D4936" s="21" t="s">
        <v>34</v>
      </c>
      <c r="E4936" s="21" t="s">
        <v>71</v>
      </c>
      <c r="F4936">
        <v>9500164</v>
      </c>
      <c r="G4936" t="s">
        <v>9818</v>
      </c>
      <c r="H4936" s="21">
        <v>1199.17</v>
      </c>
    </row>
    <row r="4937" spans="1:8" customFormat="1" x14ac:dyDescent="0.25">
      <c r="A4937" t="str">
        <f>"835144"</f>
        <v>835144</v>
      </c>
      <c r="B4937" t="s">
        <v>5211</v>
      </c>
      <c r="C4937" t="s">
        <v>608</v>
      </c>
      <c r="D4937" s="21" t="s">
        <v>34</v>
      </c>
      <c r="E4937" s="21" t="s">
        <v>35</v>
      </c>
      <c r="F4937">
        <v>7590071</v>
      </c>
      <c r="G4937" t="s">
        <v>2602</v>
      </c>
      <c r="H4937" s="21">
        <v>1199.17</v>
      </c>
    </row>
    <row r="4938" spans="1:8" customFormat="1" x14ac:dyDescent="0.25">
      <c r="A4938" t="str">
        <f>"3511225"</f>
        <v>3511225</v>
      </c>
      <c r="B4938" t="s">
        <v>2010</v>
      </c>
      <c r="C4938" t="s">
        <v>43</v>
      </c>
      <c r="D4938" s="21" t="s">
        <v>34</v>
      </c>
      <c r="E4938" s="21" t="s">
        <v>35</v>
      </c>
      <c r="F4938">
        <v>3350009</v>
      </c>
      <c r="G4938" t="s">
        <v>1823</v>
      </c>
      <c r="H4938" s="21">
        <v>1199.17</v>
      </c>
    </row>
    <row r="4939" spans="1:8" customFormat="1" x14ac:dyDescent="0.25">
      <c r="A4939" t="str">
        <f>"178207"</f>
        <v>178207</v>
      </c>
      <c r="B4939" t="s">
        <v>5013</v>
      </c>
      <c r="C4939" t="s">
        <v>60</v>
      </c>
      <c r="D4939" s="21" t="s">
        <v>34</v>
      </c>
      <c r="E4939" s="21" t="s">
        <v>35</v>
      </c>
      <c r="F4939">
        <v>10170042</v>
      </c>
      <c r="G4939" t="s">
        <v>5014</v>
      </c>
      <c r="H4939" s="21">
        <v>1199.17</v>
      </c>
    </row>
    <row r="4940" spans="1:8" customFormat="1" x14ac:dyDescent="0.25">
      <c r="A4940" t="str">
        <f>"885790"</f>
        <v>885790</v>
      </c>
      <c r="B4940" t="s">
        <v>7680</v>
      </c>
      <c r="C4940" t="s">
        <v>121</v>
      </c>
      <c r="D4940" s="21" t="s">
        <v>34</v>
      </c>
      <c r="E4940" s="21" t="s">
        <v>35</v>
      </c>
      <c r="F4940">
        <v>6880066</v>
      </c>
      <c r="G4940" t="s">
        <v>4833</v>
      </c>
      <c r="H4940" s="21">
        <v>1199.04</v>
      </c>
    </row>
    <row r="4941" spans="1:8" customFormat="1" x14ac:dyDescent="0.25">
      <c r="A4941" t="str">
        <f>"9D253"</f>
        <v>9D253</v>
      </c>
      <c r="B4941" t="s">
        <v>6910</v>
      </c>
      <c r="C4941" t="s">
        <v>2907</v>
      </c>
      <c r="D4941" s="21" t="s">
        <v>34</v>
      </c>
      <c r="E4941" s="21" t="s">
        <v>35</v>
      </c>
      <c r="F4941">
        <v>1630123</v>
      </c>
      <c r="G4941" t="s">
        <v>1036</v>
      </c>
      <c r="H4941" s="21">
        <v>1198.92</v>
      </c>
    </row>
    <row r="4942" spans="1:8" customFormat="1" x14ac:dyDescent="0.25">
      <c r="A4942" t="str">
        <f>"9312184"</f>
        <v>9312184</v>
      </c>
      <c r="B4942" t="s">
        <v>5908</v>
      </c>
      <c r="C4942" t="s">
        <v>139</v>
      </c>
      <c r="D4942" s="21" t="s">
        <v>34</v>
      </c>
      <c r="E4942" s="21" t="s">
        <v>35</v>
      </c>
      <c r="F4942">
        <v>4410696</v>
      </c>
      <c r="G4942" t="s">
        <v>5909</v>
      </c>
      <c r="H4942" s="21">
        <v>1198.92</v>
      </c>
    </row>
    <row r="4943" spans="1:8" customFormat="1" x14ac:dyDescent="0.25">
      <c r="A4943" t="str">
        <f>"7221150"</f>
        <v>7221150</v>
      </c>
      <c r="B4943" t="s">
        <v>7786</v>
      </c>
      <c r="C4943" t="s">
        <v>7787</v>
      </c>
      <c r="D4943" s="21" t="s">
        <v>34</v>
      </c>
      <c r="E4943" s="21" t="s">
        <v>254</v>
      </c>
      <c r="F4943">
        <v>12720117</v>
      </c>
      <c r="G4943" t="s">
        <v>7788</v>
      </c>
      <c r="H4943" s="21">
        <v>1198.92</v>
      </c>
    </row>
    <row r="4944" spans="1:8" customFormat="1" x14ac:dyDescent="0.25">
      <c r="A4944" t="str">
        <f>"4917202"</f>
        <v>4917202</v>
      </c>
      <c r="B4944" t="s">
        <v>2835</v>
      </c>
      <c r="C4944" t="s">
        <v>817</v>
      </c>
      <c r="D4944" s="21" t="s">
        <v>34</v>
      </c>
      <c r="E4944" s="21" t="s">
        <v>71</v>
      </c>
      <c r="F4944">
        <v>12490057</v>
      </c>
      <c r="G4944" t="s">
        <v>5946</v>
      </c>
      <c r="H4944" s="21">
        <v>1198.92</v>
      </c>
    </row>
    <row r="4945" spans="1:8" customFormat="1" x14ac:dyDescent="0.25">
      <c r="A4945" t="str">
        <f>"627294"</f>
        <v>627294</v>
      </c>
      <c r="B4945" t="s">
        <v>6279</v>
      </c>
      <c r="C4945" t="s">
        <v>127</v>
      </c>
      <c r="D4945" s="21" t="s">
        <v>34</v>
      </c>
      <c r="E4945" s="21" t="s">
        <v>35</v>
      </c>
      <c r="F4945">
        <v>7620044</v>
      </c>
      <c r="G4945" t="s">
        <v>2961</v>
      </c>
      <c r="H4945" s="21">
        <v>1198.67</v>
      </c>
    </row>
    <row r="4946" spans="1:8" customFormat="1" x14ac:dyDescent="0.25">
      <c r="A4946" t="str">
        <f>"271715"</f>
        <v>271715</v>
      </c>
      <c r="B4946" t="s">
        <v>6384</v>
      </c>
      <c r="C4946" t="s">
        <v>547</v>
      </c>
      <c r="D4946" s="21" t="s">
        <v>34</v>
      </c>
      <c r="E4946" s="21" t="s">
        <v>254</v>
      </c>
      <c r="F4946">
        <v>9270060</v>
      </c>
      <c r="G4946" t="s">
        <v>1982</v>
      </c>
      <c r="H4946" s="21">
        <v>1198.67</v>
      </c>
    </row>
    <row r="4947" spans="1:8" customFormat="1" x14ac:dyDescent="0.25">
      <c r="A4947" t="str">
        <f>"7522689"</f>
        <v>7522689</v>
      </c>
      <c r="B4947" t="s">
        <v>5657</v>
      </c>
      <c r="C4947" t="s">
        <v>169</v>
      </c>
      <c r="D4947" s="21" t="s">
        <v>34</v>
      </c>
      <c r="E4947" s="21" t="s">
        <v>35</v>
      </c>
      <c r="F4947">
        <v>8750209</v>
      </c>
      <c r="G4947" t="s">
        <v>5541</v>
      </c>
      <c r="H4947" s="21">
        <v>1198.67</v>
      </c>
    </row>
    <row r="4948" spans="1:8" customFormat="1" x14ac:dyDescent="0.25">
      <c r="A4948" t="str">
        <f>"518249"</f>
        <v>518249</v>
      </c>
      <c r="B4948" t="s">
        <v>765</v>
      </c>
      <c r="C4948" t="s">
        <v>2806</v>
      </c>
      <c r="D4948" s="21" t="s">
        <v>34</v>
      </c>
      <c r="E4948" s="21" t="s">
        <v>35</v>
      </c>
      <c r="F4948">
        <v>6510040</v>
      </c>
      <c r="G4948" t="s">
        <v>9113</v>
      </c>
      <c r="H4948" s="21">
        <v>1198.67</v>
      </c>
    </row>
    <row r="4949" spans="1:8" customFormat="1" x14ac:dyDescent="0.25">
      <c r="A4949" t="str">
        <f>"3339115"</f>
        <v>3339115</v>
      </c>
      <c r="B4949" t="s">
        <v>7320</v>
      </c>
      <c r="C4949" t="s">
        <v>209</v>
      </c>
      <c r="D4949" s="21" t="s">
        <v>34</v>
      </c>
      <c r="E4949" s="21" t="s">
        <v>35</v>
      </c>
      <c r="F4949">
        <v>10330031</v>
      </c>
      <c r="G4949" t="s">
        <v>2452</v>
      </c>
      <c r="H4949" s="21">
        <v>1198.43</v>
      </c>
    </row>
    <row r="4950" spans="1:8" customFormat="1" x14ac:dyDescent="0.25">
      <c r="A4950" t="str">
        <f>"8412"</f>
        <v>8412</v>
      </c>
      <c r="B4950" t="s">
        <v>5684</v>
      </c>
      <c r="C4950" t="s">
        <v>822</v>
      </c>
      <c r="D4950" s="21" t="s">
        <v>34</v>
      </c>
      <c r="E4950" s="21" t="s">
        <v>254</v>
      </c>
      <c r="F4950">
        <v>13840001</v>
      </c>
      <c r="G4950" t="s">
        <v>972</v>
      </c>
      <c r="H4950" s="21">
        <v>1198.17</v>
      </c>
    </row>
    <row r="4951" spans="1:8" customFormat="1" x14ac:dyDescent="0.25">
      <c r="A4951" t="str">
        <f>"5915627"</f>
        <v>5915627</v>
      </c>
      <c r="B4951" t="s">
        <v>5350</v>
      </c>
      <c r="C4951" t="s">
        <v>60</v>
      </c>
      <c r="D4951" s="21" t="s">
        <v>34</v>
      </c>
      <c r="E4951" s="21" t="s">
        <v>35</v>
      </c>
      <c r="F4951">
        <v>7590120</v>
      </c>
      <c r="G4951" t="s">
        <v>5351</v>
      </c>
      <c r="H4951" s="21">
        <v>1198.17</v>
      </c>
    </row>
    <row r="4952" spans="1:8" customFormat="1" x14ac:dyDescent="0.25">
      <c r="A4952" t="str">
        <f>"142137"</f>
        <v>142137</v>
      </c>
      <c r="B4952" t="s">
        <v>3454</v>
      </c>
      <c r="C4952" t="s">
        <v>1110</v>
      </c>
      <c r="D4952" s="21" t="s">
        <v>34</v>
      </c>
      <c r="E4952" s="21" t="s">
        <v>1089</v>
      </c>
      <c r="F4952">
        <v>9140111</v>
      </c>
      <c r="G4952" t="s">
        <v>3601</v>
      </c>
      <c r="H4952" s="21">
        <v>1198.17</v>
      </c>
    </row>
    <row r="4953" spans="1:8" customFormat="1" x14ac:dyDescent="0.25">
      <c r="A4953" t="str">
        <f>"499713"</f>
        <v>499713</v>
      </c>
      <c r="B4953" t="s">
        <v>1802</v>
      </c>
      <c r="C4953" t="s">
        <v>1708</v>
      </c>
      <c r="D4953" s="21" t="s">
        <v>34</v>
      </c>
      <c r="E4953" s="21" t="s">
        <v>35</v>
      </c>
      <c r="F4953">
        <v>12490032</v>
      </c>
      <c r="G4953" t="s">
        <v>6233</v>
      </c>
      <c r="H4953" s="21">
        <v>1198.17</v>
      </c>
    </row>
    <row r="4954" spans="1:8" customFormat="1" x14ac:dyDescent="0.25">
      <c r="A4954" t="str">
        <f>"3535097"</f>
        <v>3535097</v>
      </c>
      <c r="B4954" t="s">
        <v>6126</v>
      </c>
      <c r="C4954" t="s">
        <v>187</v>
      </c>
      <c r="D4954" s="21" t="s">
        <v>34</v>
      </c>
      <c r="E4954" s="21" t="s">
        <v>254</v>
      </c>
      <c r="F4954">
        <v>3350060</v>
      </c>
      <c r="G4954" t="s">
        <v>38</v>
      </c>
      <c r="H4954" s="21">
        <v>1198.17</v>
      </c>
    </row>
    <row r="4955" spans="1:8" customFormat="1" x14ac:dyDescent="0.25">
      <c r="A4955" t="str">
        <f>"428982"</f>
        <v>428982</v>
      </c>
      <c r="B4955" t="s">
        <v>4782</v>
      </c>
      <c r="C4955" t="s">
        <v>156</v>
      </c>
      <c r="D4955" s="21" t="s">
        <v>34</v>
      </c>
      <c r="E4955" s="21" t="s">
        <v>35</v>
      </c>
      <c r="F4955">
        <v>1420128</v>
      </c>
      <c r="G4955" t="s">
        <v>449</v>
      </c>
      <c r="H4955" s="21">
        <v>1198.17</v>
      </c>
    </row>
    <row r="4956" spans="1:8" customFormat="1" x14ac:dyDescent="0.25">
      <c r="A4956" t="str">
        <f>"594553"</f>
        <v>594553</v>
      </c>
      <c r="B4956" t="s">
        <v>6333</v>
      </c>
      <c r="C4956" t="s">
        <v>65</v>
      </c>
      <c r="D4956" s="21" t="s">
        <v>34</v>
      </c>
      <c r="E4956" s="21" t="s">
        <v>35</v>
      </c>
      <c r="F4956">
        <v>8770988</v>
      </c>
      <c r="G4956" t="s">
        <v>6334</v>
      </c>
      <c r="H4956" s="21">
        <v>1198.05</v>
      </c>
    </row>
    <row r="4957" spans="1:8" customFormat="1" x14ac:dyDescent="0.25">
      <c r="A4957" t="str">
        <f>"7518646"</f>
        <v>7518646</v>
      </c>
      <c r="B4957" t="s">
        <v>5387</v>
      </c>
      <c r="C4957" t="s">
        <v>139</v>
      </c>
      <c r="D4957" s="21" t="s">
        <v>34</v>
      </c>
      <c r="E4957" s="21" t="s">
        <v>35</v>
      </c>
      <c r="F4957">
        <v>8750141</v>
      </c>
      <c r="G4957" t="s">
        <v>1514</v>
      </c>
      <c r="H4957" s="21">
        <v>1198.05</v>
      </c>
    </row>
    <row r="4958" spans="1:8" customFormat="1" x14ac:dyDescent="0.25">
      <c r="A4958" t="str">
        <f>"574488"</f>
        <v>574488</v>
      </c>
      <c r="B4958" t="s">
        <v>5251</v>
      </c>
      <c r="C4958" t="s">
        <v>33</v>
      </c>
      <c r="D4958" s="21" t="s">
        <v>34</v>
      </c>
      <c r="E4958" s="21" t="s">
        <v>35</v>
      </c>
      <c r="F4958">
        <v>6570073</v>
      </c>
      <c r="G4958" t="s">
        <v>952</v>
      </c>
      <c r="H4958" s="21">
        <v>1197.92</v>
      </c>
    </row>
    <row r="4959" spans="1:8" customFormat="1" x14ac:dyDescent="0.25">
      <c r="A4959" t="str">
        <f>"4519294"</f>
        <v>4519294</v>
      </c>
      <c r="B4959" t="s">
        <v>4236</v>
      </c>
      <c r="C4959" t="s">
        <v>544</v>
      </c>
      <c r="D4959" s="21" t="s">
        <v>34</v>
      </c>
      <c r="E4959" s="21" t="s">
        <v>71</v>
      </c>
      <c r="F4959">
        <v>4450192</v>
      </c>
      <c r="G4959" t="s">
        <v>2411</v>
      </c>
      <c r="H4959" s="21">
        <v>1197.79</v>
      </c>
    </row>
    <row r="4960" spans="1:8" customFormat="1" x14ac:dyDescent="0.25">
      <c r="A4960" t="str">
        <f>"723939"</f>
        <v>723939</v>
      </c>
      <c r="B4960" t="s">
        <v>5398</v>
      </c>
      <c r="C4960" t="s">
        <v>198</v>
      </c>
      <c r="D4960" s="21" t="s">
        <v>34</v>
      </c>
      <c r="E4960" s="21" t="s">
        <v>71</v>
      </c>
      <c r="F4960">
        <v>12720042</v>
      </c>
      <c r="G4960" t="s">
        <v>922</v>
      </c>
      <c r="H4960" s="21">
        <v>1197.67</v>
      </c>
    </row>
    <row r="4961" spans="1:8" customFormat="1" x14ac:dyDescent="0.25">
      <c r="A4961" t="str">
        <f>"5973437"</f>
        <v>5973437</v>
      </c>
      <c r="B4961" t="s">
        <v>2139</v>
      </c>
      <c r="C4961" t="s">
        <v>1132</v>
      </c>
      <c r="D4961" s="21" t="s">
        <v>34</v>
      </c>
      <c r="E4961" s="21" t="s">
        <v>71</v>
      </c>
      <c r="F4961">
        <v>7590074</v>
      </c>
      <c r="G4961" t="s">
        <v>1992</v>
      </c>
      <c r="H4961" s="21">
        <v>1197.67</v>
      </c>
    </row>
    <row r="4962" spans="1:8" customFormat="1" x14ac:dyDescent="0.25">
      <c r="A4962" t="str">
        <f>"853122"</f>
        <v>853122</v>
      </c>
      <c r="B4962" t="s">
        <v>1349</v>
      </c>
      <c r="C4962" t="s">
        <v>121</v>
      </c>
      <c r="D4962" s="21" t="s">
        <v>34</v>
      </c>
      <c r="E4962" s="21" t="s">
        <v>35</v>
      </c>
      <c r="F4962">
        <v>12850057</v>
      </c>
      <c r="G4962" t="s">
        <v>1291</v>
      </c>
      <c r="H4962" s="21">
        <v>1197.67</v>
      </c>
    </row>
    <row r="4963" spans="1:8" customFormat="1" x14ac:dyDescent="0.25">
      <c r="A4963" t="str">
        <f>"2929526"</f>
        <v>2929526</v>
      </c>
      <c r="B4963" t="s">
        <v>6812</v>
      </c>
      <c r="C4963" t="s">
        <v>55</v>
      </c>
      <c r="D4963" s="21" t="s">
        <v>34</v>
      </c>
      <c r="E4963" s="21" t="s">
        <v>35</v>
      </c>
      <c r="F4963">
        <v>3290019</v>
      </c>
      <c r="G4963" t="s">
        <v>4452</v>
      </c>
      <c r="H4963" s="21">
        <v>1197.67</v>
      </c>
    </row>
    <row r="4964" spans="1:8" customFormat="1" x14ac:dyDescent="0.25">
      <c r="A4964" t="str">
        <f>"934140"</f>
        <v>934140</v>
      </c>
      <c r="B4964" t="s">
        <v>9524</v>
      </c>
      <c r="C4964" t="s">
        <v>328</v>
      </c>
      <c r="D4964" s="21" t="s">
        <v>34</v>
      </c>
      <c r="E4964" s="21" t="s">
        <v>35</v>
      </c>
      <c r="F4964">
        <v>8940577</v>
      </c>
      <c r="G4964" t="s">
        <v>3774</v>
      </c>
      <c r="H4964" s="21">
        <v>1197.67</v>
      </c>
    </row>
    <row r="4965" spans="1:8" customFormat="1" x14ac:dyDescent="0.25">
      <c r="A4965" t="str">
        <f>"3338907"</f>
        <v>3338907</v>
      </c>
      <c r="B4965" t="s">
        <v>3132</v>
      </c>
      <c r="C4965" t="s">
        <v>139</v>
      </c>
      <c r="D4965" s="21" t="s">
        <v>34</v>
      </c>
      <c r="E4965" s="21" t="s">
        <v>35</v>
      </c>
      <c r="F4965">
        <v>10330011</v>
      </c>
      <c r="G4965" t="s">
        <v>1789</v>
      </c>
      <c r="H4965" s="21">
        <v>1197.5</v>
      </c>
    </row>
    <row r="4966" spans="1:8" customFormat="1" x14ac:dyDescent="0.25">
      <c r="A4966" t="str">
        <f>"774665"</f>
        <v>774665</v>
      </c>
      <c r="B4966" t="s">
        <v>5938</v>
      </c>
      <c r="C4966" t="s">
        <v>169</v>
      </c>
      <c r="D4966" s="21" t="s">
        <v>34</v>
      </c>
      <c r="E4966" s="21" t="s">
        <v>35</v>
      </c>
      <c r="F4966">
        <v>8770937</v>
      </c>
      <c r="G4966" t="s">
        <v>2119</v>
      </c>
      <c r="H4966" s="21">
        <v>1197.3</v>
      </c>
    </row>
    <row r="4967" spans="1:8" customFormat="1" x14ac:dyDescent="0.25">
      <c r="A4967" t="str">
        <f>"147349"</f>
        <v>147349</v>
      </c>
      <c r="B4967" t="s">
        <v>4732</v>
      </c>
      <c r="C4967" t="s">
        <v>65</v>
      </c>
      <c r="D4967" s="21" t="s">
        <v>34</v>
      </c>
      <c r="E4967" s="21" t="s">
        <v>71</v>
      </c>
      <c r="F4967">
        <v>9140128</v>
      </c>
      <c r="G4967" t="s">
        <v>2798</v>
      </c>
      <c r="H4967" s="21">
        <v>1197.29</v>
      </c>
    </row>
    <row r="4968" spans="1:8" customFormat="1" x14ac:dyDescent="0.25">
      <c r="A4968" t="str">
        <f>"853295"</f>
        <v>853295</v>
      </c>
      <c r="B4968" t="s">
        <v>2350</v>
      </c>
      <c r="C4968" t="s">
        <v>415</v>
      </c>
      <c r="D4968" s="21" t="s">
        <v>34</v>
      </c>
      <c r="E4968" s="21" t="s">
        <v>71</v>
      </c>
      <c r="F4968">
        <v>12850051</v>
      </c>
      <c r="G4968" t="s">
        <v>5185</v>
      </c>
      <c r="H4968" s="21">
        <v>1197.17</v>
      </c>
    </row>
    <row r="4969" spans="1:8" customFormat="1" x14ac:dyDescent="0.25">
      <c r="A4969" t="str">
        <f>"2919667"</f>
        <v>2919667</v>
      </c>
      <c r="B4969" t="s">
        <v>5918</v>
      </c>
      <c r="C4969" t="s">
        <v>121</v>
      </c>
      <c r="D4969" s="21" t="s">
        <v>34</v>
      </c>
      <c r="E4969" s="21" t="s">
        <v>71</v>
      </c>
      <c r="F4969">
        <v>3290003</v>
      </c>
      <c r="G4969" t="s">
        <v>3764</v>
      </c>
      <c r="H4969" s="21">
        <v>1197.17</v>
      </c>
    </row>
    <row r="4970" spans="1:8" customFormat="1" x14ac:dyDescent="0.25">
      <c r="A4970" t="str">
        <f>"5926511"</f>
        <v>5926511</v>
      </c>
      <c r="B4970" t="s">
        <v>5536</v>
      </c>
      <c r="C4970" t="s">
        <v>2752</v>
      </c>
      <c r="D4970" s="21" t="s">
        <v>34</v>
      </c>
      <c r="E4970" s="21" t="s">
        <v>71</v>
      </c>
      <c r="F4970">
        <v>7590271</v>
      </c>
      <c r="G4970" t="s">
        <v>3163</v>
      </c>
      <c r="H4970" s="21">
        <v>1197.17</v>
      </c>
    </row>
    <row r="4971" spans="1:8" customFormat="1" x14ac:dyDescent="0.25">
      <c r="A4971" t="str">
        <f>"363960"</f>
        <v>363960</v>
      </c>
      <c r="B4971" t="s">
        <v>5037</v>
      </c>
      <c r="C4971" t="s">
        <v>233</v>
      </c>
      <c r="D4971" s="21" t="s">
        <v>34</v>
      </c>
      <c r="E4971" s="21" t="s">
        <v>71</v>
      </c>
      <c r="F4971">
        <v>4360343</v>
      </c>
      <c r="G4971" t="s">
        <v>6348</v>
      </c>
      <c r="H4971" s="21">
        <v>1197.17</v>
      </c>
    </row>
    <row r="4972" spans="1:8" customFormat="1" x14ac:dyDescent="0.25">
      <c r="A4972" t="str">
        <f>"065231"</f>
        <v>065231</v>
      </c>
      <c r="B4972" t="s">
        <v>5744</v>
      </c>
      <c r="C4972" t="s">
        <v>4842</v>
      </c>
      <c r="D4972" s="21" t="s">
        <v>34</v>
      </c>
      <c r="E4972" s="21" t="s">
        <v>254</v>
      </c>
      <c r="F4972">
        <v>1740057</v>
      </c>
      <c r="G4972" t="s">
        <v>1567</v>
      </c>
      <c r="H4972" s="21">
        <v>1197.17</v>
      </c>
    </row>
    <row r="4973" spans="1:8" customFormat="1" x14ac:dyDescent="0.25">
      <c r="A4973" t="str">
        <f>"176438"</f>
        <v>176438</v>
      </c>
      <c r="B4973" t="s">
        <v>7332</v>
      </c>
      <c r="C4973" t="s">
        <v>1803</v>
      </c>
      <c r="D4973" s="21" t="s">
        <v>34</v>
      </c>
      <c r="E4973" s="21" t="s">
        <v>35</v>
      </c>
      <c r="F4973">
        <v>10170042</v>
      </c>
      <c r="G4973" t="s">
        <v>5014</v>
      </c>
      <c r="H4973" s="21">
        <v>1197.17</v>
      </c>
    </row>
    <row r="4974" spans="1:8" customFormat="1" x14ac:dyDescent="0.25">
      <c r="A4974" t="str">
        <f>"872041"</f>
        <v>872041</v>
      </c>
      <c r="B4974" t="s">
        <v>4982</v>
      </c>
      <c r="C4974" t="s">
        <v>124</v>
      </c>
      <c r="D4974" s="21" t="s">
        <v>34</v>
      </c>
      <c r="E4974" s="21" t="s">
        <v>254</v>
      </c>
      <c r="F4974">
        <v>10870003</v>
      </c>
      <c r="G4974" t="s">
        <v>1187</v>
      </c>
      <c r="H4974" s="21">
        <v>1197.17</v>
      </c>
    </row>
    <row r="4975" spans="1:8" customFormat="1" x14ac:dyDescent="0.25">
      <c r="A4975" t="str">
        <f>"948701"</f>
        <v>948701</v>
      </c>
      <c r="B4975" t="s">
        <v>4640</v>
      </c>
      <c r="C4975" t="s">
        <v>124</v>
      </c>
      <c r="D4975" s="21" t="s">
        <v>34</v>
      </c>
      <c r="E4975" s="21" t="s">
        <v>71</v>
      </c>
      <c r="F4975">
        <v>8910918</v>
      </c>
      <c r="G4975" t="s">
        <v>332</v>
      </c>
      <c r="H4975" s="21">
        <v>1197.17</v>
      </c>
    </row>
    <row r="4976" spans="1:8" customFormat="1" x14ac:dyDescent="0.25">
      <c r="A4976" t="str">
        <f>"7850274"</f>
        <v>7850274</v>
      </c>
      <c r="B4976" t="s">
        <v>6497</v>
      </c>
      <c r="C4976" t="s">
        <v>2365</v>
      </c>
      <c r="D4976" s="21" t="s">
        <v>34</v>
      </c>
      <c r="E4976" s="21" t="s">
        <v>71</v>
      </c>
      <c r="F4976">
        <v>8920049</v>
      </c>
      <c r="G4976" t="s">
        <v>237</v>
      </c>
      <c r="H4976" s="21">
        <v>1197.07</v>
      </c>
    </row>
    <row r="4977" spans="1:8" customFormat="1" x14ac:dyDescent="0.25">
      <c r="A4977" t="str">
        <f>"5960119"</f>
        <v>5960119</v>
      </c>
      <c r="B4977" t="s">
        <v>8252</v>
      </c>
      <c r="C4977" t="s">
        <v>7356</v>
      </c>
      <c r="D4977" s="21" t="s">
        <v>34</v>
      </c>
      <c r="E4977" s="21" t="s">
        <v>71</v>
      </c>
      <c r="F4977">
        <v>7590021</v>
      </c>
      <c r="G4977" t="s">
        <v>4910</v>
      </c>
      <c r="H4977" s="21">
        <v>1196.93</v>
      </c>
    </row>
    <row r="4978" spans="1:8" customFormat="1" x14ac:dyDescent="0.25">
      <c r="A4978" t="str">
        <f>"821246"</f>
        <v>821246</v>
      </c>
      <c r="B4978" t="s">
        <v>5550</v>
      </c>
      <c r="C4978" t="s">
        <v>127</v>
      </c>
      <c r="D4978" s="21" t="s">
        <v>34</v>
      </c>
      <c r="E4978" s="21" t="s">
        <v>35</v>
      </c>
      <c r="F4978">
        <v>11820007</v>
      </c>
      <c r="G4978" t="s">
        <v>532</v>
      </c>
      <c r="H4978" s="21">
        <v>1196.92</v>
      </c>
    </row>
    <row r="4979" spans="1:8" customFormat="1" x14ac:dyDescent="0.25">
      <c r="A4979" t="str">
        <f>"409"</f>
        <v>409</v>
      </c>
      <c r="B4979" t="s">
        <v>6865</v>
      </c>
      <c r="C4979" t="s">
        <v>121</v>
      </c>
      <c r="D4979" s="21" t="s">
        <v>34</v>
      </c>
      <c r="E4979" s="21" t="s">
        <v>71</v>
      </c>
      <c r="F4979">
        <v>10400001</v>
      </c>
      <c r="G4979" t="s">
        <v>609</v>
      </c>
      <c r="H4979" s="21">
        <v>1196.8</v>
      </c>
    </row>
    <row r="4980" spans="1:8" customFormat="1" x14ac:dyDescent="0.25">
      <c r="A4980" t="str">
        <f>"744829"</f>
        <v>744829</v>
      </c>
      <c r="B4980" t="s">
        <v>5500</v>
      </c>
      <c r="C4980" t="s">
        <v>462</v>
      </c>
      <c r="D4980" s="21" t="s">
        <v>34</v>
      </c>
      <c r="E4980" s="21" t="s">
        <v>71</v>
      </c>
      <c r="F4980">
        <v>1740003</v>
      </c>
      <c r="G4980" t="s">
        <v>982</v>
      </c>
      <c r="H4980" s="21">
        <v>1196.67</v>
      </c>
    </row>
    <row r="4981" spans="1:8" customFormat="1" x14ac:dyDescent="0.25">
      <c r="A4981" t="str">
        <f>"542324"</f>
        <v>542324</v>
      </c>
      <c r="B4981" t="s">
        <v>26884</v>
      </c>
      <c r="C4981" t="s">
        <v>1146</v>
      </c>
      <c r="D4981" s="21" t="s">
        <v>34</v>
      </c>
      <c r="E4981" s="21" t="s">
        <v>254</v>
      </c>
      <c r="F4981">
        <v>6540032</v>
      </c>
      <c r="G4981" t="s">
        <v>63</v>
      </c>
      <c r="H4981" s="21">
        <v>1196.67</v>
      </c>
    </row>
    <row r="4982" spans="1:8" customFormat="1" x14ac:dyDescent="0.25">
      <c r="A4982" t="str">
        <f>"373324"</f>
        <v>373324</v>
      </c>
      <c r="B4982" t="s">
        <v>5347</v>
      </c>
      <c r="C4982" t="s">
        <v>65</v>
      </c>
      <c r="D4982" s="21" t="s">
        <v>34</v>
      </c>
      <c r="E4982" s="21" t="s">
        <v>35</v>
      </c>
      <c r="F4982">
        <v>4370464</v>
      </c>
      <c r="G4982" t="s">
        <v>5348</v>
      </c>
      <c r="H4982" s="21">
        <v>1196.67</v>
      </c>
    </row>
    <row r="4983" spans="1:8" customFormat="1" x14ac:dyDescent="0.25">
      <c r="A4983" t="str">
        <f>"62736"</f>
        <v>62736</v>
      </c>
      <c r="B4983" t="s">
        <v>5382</v>
      </c>
      <c r="C4983" t="s">
        <v>576</v>
      </c>
      <c r="D4983" s="21" t="s">
        <v>34</v>
      </c>
      <c r="E4983" s="21" t="s">
        <v>35</v>
      </c>
      <c r="F4983">
        <v>7620046</v>
      </c>
      <c r="G4983" t="s">
        <v>242</v>
      </c>
      <c r="H4983" s="21">
        <v>1196.67</v>
      </c>
    </row>
    <row r="4984" spans="1:8" customFormat="1" x14ac:dyDescent="0.25">
      <c r="A4984" t="str">
        <f>"2922756"</f>
        <v>2922756</v>
      </c>
      <c r="B4984" t="s">
        <v>5965</v>
      </c>
      <c r="C4984" t="s">
        <v>139</v>
      </c>
      <c r="D4984" s="21" t="s">
        <v>34</v>
      </c>
      <c r="E4984" s="21" t="s">
        <v>35</v>
      </c>
      <c r="F4984">
        <v>3290208</v>
      </c>
      <c r="G4984" t="s">
        <v>1553</v>
      </c>
      <c r="H4984" s="21">
        <v>1196.67</v>
      </c>
    </row>
    <row r="4985" spans="1:8" customFormat="1" x14ac:dyDescent="0.25">
      <c r="A4985" t="str">
        <f>"4913665"</f>
        <v>4913665</v>
      </c>
      <c r="B4985" t="s">
        <v>6871</v>
      </c>
      <c r="C4985" t="s">
        <v>37</v>
      </c>
      <c r="D4985" s="21" t="s">
        <v>34</v>
      </c>
      <c r="E4985" s="21" t="s">
        <v>71</v>
      </c>
      <c r="F4985">
        <v>12490018</v>
      </c>
      <c r="G4985" t="s">
        <v>2269</v>
      </c>
      <c r="H4985" s="21">
        <v>1196.67</v>
      </c>
    </row>
    <row r="4986" spans="1:8" customFormat="1" x14ac:dyDescent="0.25">
      <c r="A4986" t="str">
        <f>"0382"</f>
        <v>0382</v>
      </c>
      <c r="B4986" t="s">
        <v>5270</v>
      </c>
      <c r="C4986" t="s">
        <v>187</v>
      </c>
      <c r="D4986" s="21" t="s">
        <v>34</v>
      </c>
      <c r="E4986" s="21" t="s">
        <v>71</v>
      </c>
      <c r="F4986">
        <v>1030035</v>
      </c>
      <c r="G4986" t="s">
        <v>2343</v>
      </c>
      <c r="H4986" s="21">
        <v>1196.67</v>
      </c>
    </row>
    <row r="4987" spans="1:8" customFormat="1" x14ac:dyDescent="0.25">
      <c r="A4987" t="str">
        <f>"9111963"</f>
        <v>9111963</v>
      </c>
      <c r="B4987" t="s">
        <v>5654</v>
      </c>
      <c r="C4987" t="s">
        <v>169</v>
      </c>
      <c r="D4987" s="21" t="s">
        <v>34</v>
      </c>
      <c r="E4987" s="21" t="s">
        <v>71</v>
      </c>
      <c r="F4987">
        <v>10400025</v>
      </c>
      <c r="G4987" t="s">
        <v>5655</v>
      </c>
      <c r="H4987" s="21">
        <v>1196.67</v>
      </c>
    </row>
    <row r="4988" spans="1:8" customFormat="1" x14ac:dyDescent="0.25">
      <c r="A4988" t="str">
        <f>"77135"</f>
        <v>77135</v>
      </c>
      <c r="B4988" t="s">
        <v>2686</v>
      </c>
      <c r="C4988" t="s">
        <v>601</v>
      </c>
      <c r="D4988" s="21" t="s">
        <v>34</v>
      </c>
      <c r="E4988" s="21" t="s">
        <v>35</v>
      </c>
      <c r="F4988">
        <v>8770169</v>
      </c>
      <c r="G4988" t="s">
        <v>1001</v>
      </c>
      <c r="H4988" s="21">
        <v>1196.67</v>
      </c>
    </row>
    <row r="4989" spans="1:8" customFormat="1" x14ac:dyDescent="0.25">
      <c r="A4989" t="str">
        <f>"6015318"</f>
        <v>6015318</v>
      </c>
      <c r="B4989" t="s">
        <v>577</v>
      </c>
      <c r="C4989" t="s">
        <v>198</v>
      </c>
      <c r="D4989" s="21" t="s">
        <v>34</v>
      </c>
      <c r="E4989" s="21" t="s">
        <v>71</v>
      </c>
      <c r="F4989">
        <v>7600063</v>
      </c>
      <c r="G4989" t="s">
        <v>2506</v>
      </c>
      <c r="H4989" s="21">
        <v>1196.67</v>
      </c>
    </row>
    <row r="4990" spans="1:8" customFormat="1" x14ac:dyDescent="0.25">
      <c r="A4990" t="str">
        <f>"9423585"</f>
        <v>9423585</v>
      </c>
      <c r="B4990" t="s">
        <v>5699</v>
      </c>
      <c r="C4990" t="s">
        <v>879</v>
      </c>
      <c r="D4990" s="21" t="s">
        <v>34</v>
      </c>
      <c r="E4990" s="21" t="s">
        <v>35</v>
      </c>
      <c r="F4990">
        <v>8941352</v>
      </c>
      <c r="G4990" t="s">
        <v>3778</v>
      </c>
      <c r="H4990" s="21">
        <v>1196.55</v>
      </c>
    </row>
    <row r="4991" spans="1:8" customFormat="1" x14ac:dyDescent="0.25">
      <c r="A4991" t="str">
        <f>"94279"</f>
        <v>94279</v>
      </c>
      <c r="B4991" t="s">
        <v>5707</v>
      </c>
      <c r="C4991" t="s">
        <v>412</v>
      </c>
      <c r="D4991" s="21" t="s">
        <v>34</v>
      </c>
      <c r="E4991" s="21" t="s">
        <v>254</v>
      </c>
      <c r="F4991">
        <v>8940073</v>
      </c>
      <c r="G4991" t="s">
        <v>1085</v>
      </c>
      <c r="H4991" s="21">
        <v>1196.55</v>
      </c>
    </row>
    <row r="4992" spans="1:8" customFormat="1" x14ac:dyDescent="0.25">
      <c r="A4992" t="str">
        <f>"626978"</f>
        <v>626978</v>
      </c>
      <c r="B4992" t="s">
        <v>4107</v>
      </c>
      <c r="C4992" t="s">
        <v>576</v>
      </c>
      <c r="D4992" s="21" t="s">
        <v>34</v>
      </c>
      <c r="E4992" s="21" t="s">
        <v>35</v>
      </c>
      <c r="F4992">
        <v>7620108</v>
      </c>
      <c r="G4992" t="s">
        <v>3035</v>
      </c>
      <c r="H4992" s="21">
        <v>1196.5</v>
      </c>
    </row>
    <row r="4993" spans="1:8" customFormat="1" x14ac:dyDescent="0.25">
      <c r="A4993" t="str">
        <f>"1713067"</f>
        <v>1713067</v>
      </c>
      <c r="B4993" t="s">
        <v>5282</v>
      </c>
      <c r="C4993" t="s">
        <v>302</v>
      </c>
      <c r="D4993" s="21" t="s">
        <v>34</v>
      </c>
      <c r="E4993" s="21" t="s">
        <v>35</v>
      </c>
      <c r="F4993">
        <v>10170042</v>
      </c>
      <c r="G4993" t="s">
        <v>5014</v>
      </c>
      <c r="H4993" s="21">
        <v>1196.42</v>
      </c>
    </row>
    <row r="4994" spans="1:8" customFormat="1" x14ac:dyDescent="0.25">
      <c r="A4994" t="str">
        <f>"12630"</f>
        <v>12630</v>
      </c>
      <c r="B4994" t="s">
        <v>7670</v>
      </c>
      <c r="C4994" t="s">
        <v>598</v>
      </c>
      <c r="D4994" s="21" t="s">
        <v>34</v>
      </c>
      <c r="E4994" s="21" t="s">
        <v>35</v>
      </c>
      <c r="F4994">
        <v>11340049</v>
      </c>
      <c r="G4994" t="s">
        <v>13479</v>
      </c>
      <c r="H4994" s="21">
        <v>1196.17</v>
      </c>
    </row>
    <row r="4995" spans="1:8" customFormat="1" x14ac:dyDescent="0.25">
      <c r="A4995" t="str">
        <f>"23250"</f>
        <v>23250</v>
      </c>
      <c r="B4995" t="s">
        <v>890</v>
      </c>
      <c r="C4995" t="s">
        <v>1299</v>
      </c>
      <c r="D4995" s="21" t="s">
        <v>34</v>
      </c>
      <c r="E4995" s="21" t="s">
        <v>35</v>
      </c>
      <c r="F4995">
        <v>10230067</v>
      </c>
      <c r="G4995" t="s">
        <v>912</v>
      </c>
      <c r="H4995" s="21">
        <v>1196.17</v>
      </c>
    </row>
    <row r="4996" spans="1:8" customFormat="1" x14ac:dyDescent="0.25">
      <c r="A4996" t="str">
        <f>"6218422"</f>
        <v>6218422</v>
      </c>
      <c r="B4996" t="s">
        <v>6549</v>
      </c>
      <c r="C4996" t="s">
        <v>1132</v>
      </c>
      <c r="D4996" s="21" t="s">
        <v>34</v>
      </c>
      <c r="E4996" s="21" t="s">
        <v>35</v>
      </c>
      <c r="F4996">
        <v>7620065</v>
      </c>
      <c r="G4996" t="s">
        <v>6550</v>
      </c>
      <c r="H4996" s="21">
        <v>1196.17</v>
      </c>
    </row>
    <row r="4997" spans="1:8" customFormat="1" x14ac:dyDescent="0.25">
      <c r="A4997" t="str">
        <f>"9D2071"</f>
        <v>9D2071</v>
      </c>
      <c r="B4997" t="s">
        <v>6168</v>
      </c>
      <c r="C4997" t="s">
        <v>249</v>
      </c>
      <c r="D4997" s="21" t="s">
        <v>34</v>
      </c>
      <c r="E4997" s="21" t="s">
        <v>71</v>
      </c>
      <c r="F4997" t="s">
        <v>6169</v>
      </c>
      <c r="G4997" t="s">
        <v>6170</v>
      </c>
      <c r="H4997" s="21">
        <v>1196.05</v>
      </c>
    </row>
    <row r="4998" spans="1:8" customFormat="1" x14ac:dyDescent="0.25">
      <c r="A4998" t="str">
        <f>"0612347"</f>
        <v>0612347</v>
      </c>
      <c r="B4998" t="s">
        <v>7377</v>
      </c>
      <c r="C4998" t="s">
        <v>2232</v>
      </c>
      <c r="D4998" s="21" t="s">
        <v>34</v>
      </c>
      <c r="E4998" s="21" t="s">
        <v>71</v>
      </c>
      <c r="F4998">
        <v>13060063</v>
      </c>
      <c r="G4998" t="s">
        <v>2001</v>
      </c>
      <c r="H4998" s="21">
        <v>1196.05</v>
      </c>
    </row>
    <row r="4999" spans="1:8" customFormat="1" x14ac:dyDescent="0.25">
      <c r="A4999" t="str">
        <f>"754386"</f>
        <v>754386</v>
      </c>
      <c r="B4999" t="s">
        <v>5385</v>
      </c>
      <c r="C4999" t="s">
        <v>269</v>
      </c>
      <c r="D4999" s="21" t="s">
        <v>34</v>
      </c>
      <c r="E4999" s="21" t="s">
        <v>71</v>
      </c>
      <c r="F4999">
        <v>8750117</v>
      </c>
      <c r="G4999" t="s">
        <v>3516</v>
      </c>
      <c r="H4999" s="21">
        <v>1195.93</v>
      </c>
    </row>
    <row r="5000" spans="1:8" customFormat="1" x14ac:dyDescent="0.25">
      <c r="A5000" t="str">
        <f>"348130"</f>
        <v>348130</v>
      </c>
      <c r="B5000" t="s">
        <v>5694</v>
      </c>
      <c r="C5000" t="s">
        <v>43</v>
      </c>
      <c r="D5000" s="21" t="s">
        <v>34</v>
      </c>
      <c r="E5000" s="21" t="s">
        <v>35</v>
      </c>
      <c r="F5000">
        <v>11340040</v>
      </c>
      <c r="G5000" t="s">
        <v>5695</v>
      </c>
      <c r="H5000" s="21">
        <v>1195.92</v>
      </c>
    </row>
    <row r="5001" spans="1:8" customFormat="1" x14ac:dyDescent="0.25">
      <c r="A5001" t="str">
        <f>"78680"</f>
        <v>78680</v>
      </c>
      <c r="B5001" t="s">
        <v>5252</v>
      </c>
      <c r="C5001" t="s">
        <v>2806</v>
      </c>
      <c r="D5001" s="21" t="s">
        <v>34</v>
      </c>
      <c r="E5001" s="21" t="s">
        <v>254</v>
      </c>
      <c r="F5001">
        <v>8780080</v>
      </c>
      <c r="G5001" t="s">
        <v>865</v>
      </c>
      <c r="H5001" s="21">
        <v>1195.8</v>
      </c>
    </row>
    <row r="5002" spans="1:8" customFormat="1" x14ac:dyDescent="0.25">
      <c r="A5002" t="str">
        <f>"931144"</f>
        <v>931144</v>
      </c>
      <c r="B5002" t="s">
        <v>1276</v>
      </c>
      <c r="C5002" t="s">
        <v>169</v>
      </c>
      <c r="D5002" s="21" t="s">
        <v>34</v>
      </c>
      <c r="E5002" s="21" t="s">
        <v>35</v>
      </c>
      <c r="F5002">
        <v>8930928</v>
      </c>
      <c r="G5002" t="s">
        <v>606</v>
      </c>
      <c r="H5002" s="21">
        <v>1195.8</v>
      </c>
    </row>
    <row r="5003" spans="1:8" customFormat="1" x14ac:dyDescent="0.25">
      <c r="A5003" t="str">
        <f>"766083"</f>
        <v>766083</v>
      </c>
      <c r="B5003" t="s">
        <v>5931</v>
      </c>
      <c r="C5003" t="s">
        <v>156</v>
      </c>
      <c r="D5003" s="21" t="s">
        <v>34</v>
      </c>
      <c r="E5003" s="21" t="s">
        <v>71</v>
      </c>
      <c r="F5003">
        <v>9760414</v>
      </c>
      <c r="G5003" t="s">
        <v>142</v>
      </c>
      <c r="H5003" s="21">
        <v>1195.67</v>
      </c>
    </row>
    <row r="5004" spans="1:8" customFormat="1" x14ac:dyDescent="0.25">
      <c r="A5004" t="str">
        <f>"493976"</f>
        <v>493976</v>
      </c>
      <c r="B5004" t="s">
        <v>2726</v>
      </c>
      <c r="C5004" t="s">
        <v>6197</v>
      </c>
      <c r="D5004" s="21" t="s">
        <v>34</v>
      </c>
      <c r="E5004" s="21" t="s">
        <v>35</v>
      </c>
      <c r="F5004">
        <v>12490004</v>
      </c>
      <c r="G5004" t="s">
        <v>6198</v>
      </c>
      <c r="H5004" s="21">
        <v>1195.67</v>
      </c>
    </row>
    <row r="5005" spans="1:8" customFormat="1" x14ac:dyDescent="0.25">
      <c r="A5005" t="str">
        <f>"5969932"</f>
        <v>5969932</v>
      </c>
      <c r="B5005" t="s">
        <v>6328</v>
      </c>
      <c r="C5005" t="s">
        <v>1812</v>
      </c>
      <c r="D5005" s="21" t="s">
        <v>34</v>
      </c>
      <c r="E5005" s="21" t="s">
        <v>71</v>
      </c>
      <c r="F5005">
        <v>7590033</v>
      </c>
      <c r="G5005" t="s">
        <v>6329</v>
      </c>
      <c r="H5005" s="21">
        <v>1195.67</v>
      </c>
    </row>
    <row r="5006" spans="1:8" customFormat="1" x14ac:dyDescent="0.25">
      <c r="A5006" t="str">
        <f>"7510004"</f>
        <v>7510004</v>
      </c>
      <c r="B5006" t="s">
        <v>2313</v>
      </c>
      <c r="C5006" t="s">
        <v>6820</v>
      </c>
      <c r="D5006" s="21" t="s">
        <v>34</v>
      </c>
      <c r="E5006" s="21" t="s">
        <v>35</v>
      </c>
      <c r="F5006">
        <v>8940482</v>
      </c>
      <c r="G5006" t="s">
        <v>2560</v>
      </c>
      <c r="H5006" s="21">
        <v>1195.67</v>
      </c>
    </row>
    <row r="5007" spans="1:8" customFormat="1" x14ac:dyDescent="0.25">
      <c r="A5007" t="str">
        <f>"534726"</f>
        <v>534726</v>
      </c>
      <c r="B5007" t="s">
        <v>5429</v>
      </c>
      <c r="C5007" t="s">
        <v>249</v>
      </c>
      <c r="D5007" s="21" t="s">
        <v>34</v>
      </c>
      <c r="E5007" s="21" t="s">
        <v>35</v>
      </c>
      <c r="F5007">
        <v>12530036</v>
      </c>
      <c r="G5007" t="s">
        <v>2200</v>
      </c>
      <c r="H5007" s="21">
        <v>1195.67</v>
      </c>
    </row>
    <row r="5008" spans="1:8" customFormat="1" x14ac:dyDescent="0.25">
      <c r="A5008" t="str">
        <f>"864448"</f>
        <v>864448</v>
      </c>
      <c r="B5008" t="s">
        <v>5738</v>
      </c>
      <c r="C5008" t="s">
        <v>171</v>
      </c>
      <c r="D5008" s="21" t="s">
        <v>34</v>
      </c>
      <c r="E5008" s="21" t="s">
        <v>35</v>
      </c>
      <c r="F5008">
        <v>10860024</v>
      </c>
      <c r="G5008" t="s">
        <v>1770</v>
      </c>
      <c r="H5008" s="21">
        <v>1195.67</v>
      </c>
    </row>
    <row r="5009" spans="1:8" customFormat="1" x14ac:dyDescent="0.25">
      <c r="A5009" t="str">
        <f>"761028"</f>
        <v>761028</v>
      </c>
      <c r="B5009" t="s">
        <v>5245</v>
      </c>
      <c r="C5009" t="s">
        <v>3905</v>
      </c>
      <c r="D5009" s="21" t="s">
        <v>34</v>
      </c>
      <c r="E5009" s="21" t="s">
        <v>71</v>
      </c>
      <c r="F5009">
        <v>9760025</v>
      </c>
      <c r="G5009" t="s">
        <v>2620</v>
      </c>
      <c r="H5009" s="21">
        <v>1195.67</v>
      </c>
    </row>
    <row r="5010" spans="1:8" customFormat="1" x14ac:dyDescent="0.25">
      <c r="A5010" t="str">
        <f>"7411404"</f>
        <v>7411404</v>
      </c>
      <c r="B5010" t="s">
        <v>6246</v>
      </c>
      <c r="C5010" t="s">
        <v>119</v>
      </c>
      <c r="D5010" s="21" t="s">
        <v>34</v>
      </c>
      <c r="E5010" s="21" t="s">
        <v>71</v>
      </c>
      <c r="F5010">
        <v>1740020</v>
      </c>
      <c r="G5010" t="s">
        <v>881</v>
      </c>
      <c r="H5010" s="21">
        <v>1195.55</v>
      </c>
    </row>
    <row r="5011" spans="1:8" customFormat="1" x14ac:dyDescent="0.25">
      <c r="A5011" t="str">
        <f>"0613697"</f>
        <v>0613697</v>
      </c>
      <c r="B5011" t="s">
        <v>4822</v>
      </c>
      <c r="C5011" t="s">
        <v>209</v>
      </c>
      <c r="D5011" s="21" t="s">
        <v>34</v>
      </c>
      <c r="E5011" s="21" t="s">
        <v>71</v>
      </c>
      <c r="F5011">
        <v>13060066</v>
      </c>
      <c r="G5011" t="s">
        <v>2556</v>
      </c>
      <c r="H5011" s="21">
        <v>1195.3</v>
      </c>
    </row>
    <row r="5012" spans="1:8" customFormat="1" x14ac:dyDescent="0.25">
      <c r="A5012" t="str">
        <f>"635390"</f>
        <v>635390</v>
      </c>
      <c r="B5012" t="s">
        <v>11238</v>
      </c>
      <c r="C5012" t="s">
        <v>62</v>
      </c>
      <c r="D5012" s="21" t="s">
        <v>34</v>
      </c>
      <c r="E5012" s="21" t="s">
        <v>35</v>
      </c>
      <c r="F5012">
        <v>1630287</v>
      </c>
      <c r="G5012" t="s">
        <v>9906</v>
      </c>
      <c r="H5012" s="21">
        <v>1195.17</v>
      </c>
    </row>
    <row r="5013" spans="1:8" customFormat="1" x14ac:dyDescent="0.25">
      <c r="A5013" t="str">
        <f>"6013613"</f>
        <v>6013613</v>
      </c>
      <c r="B5013" t="s">
        <v>5532</v>
      </c>
      <c r="C5013" t="s">
        <v>114</v>
      </c>
      <c r="D5013" s="21" t="s">
        <v>34</v>
      </c>
      <c r="E5013" s="21" t="s">
        <v>35</v>
      </c>
      <c r="F5013">
        <v>10170214</v>
      </c>
      <c r="G5013" t="s">
        <v>5533</v>
      </c>
      <c r="H5013" s="21">
        <v>1195.17</v>
      </c>
    </row>
    <row r="5014" spans="1:8" customFormat="1" x14ac:dyDescent="0.25">
      <c r="A5014" t="str">
        <f>"80937"</f>
        <v>80937</v>
      </c>
      <c r="B5014" t="s">
        <v>5398</v>
      </c>
      <c r="C5014" t="s">
        <v>40</v>
      </c>
      <c r="D5014" s="21" t="s">
        <v>34</v>
      </c>
      <c r="E5014" s="21" t="s">
        <v>254</v>
      </c>
      <c r="F5014">
        <v>7800003</v>
      </c>
      <c r="G5014" t="s">
        <v>276</v>
      </c>
      <c r="H5014" s="21">
        <v>1195.17</v>
      </c>
    </row>
    <row r="5015" spans="1:8" customFormat="1" x14ac:dyDescent="0.25">
      <c r="A5015" t="str">
        <f>"5931448"</f>
        <v>5931448</v>
      </c>
      <c r="B5015" t="s">
        <v>5976</v>
      </c>
      <c r="C5015" t="s">
        <v>462</v>
      </c>
      <c r="D5015" s="21" t="s">
        <v>34</v>
      </c>
      <c r="E5015" s="21" t="s">
        <v>35</v>
      </c>
      <c r="F5015">
        <v>7590071</v>
      </c>
      <c r="G5015" t="s">
        <v>2602</v>
      </c>
      <c r="H5015" s="21">
        <v>1195.17</v>
      </c>
    </row>
    <row r="5016" spans="1:8" customFormat="1" x14ac:dyDescent="0.25">
      <c r="A5016" t="str">
        <f>"9131376"</f>
        <v>9131376</v>
      </c>
      <c r="B5016" t="s">
        <v>3001</v>
      </c>
      <c r="C5016" t="s">
        <v>388</v>
      </c>
      <c r="D5016" s="21" t="s">
        <v>34</v>
      </c>
      <c r="E5016" s="21" t="s">
        <v>71</v>
      </c>
      <c r="F5016">
        <v>8910285</v>
      </c>
      <c r="G5016" t="s">
        <v>26604</v>
      </c>
      <c r="H5016" s="21">
        <v>1195.17</v>
      </c>
    </row>
    <row r="5017" spans="1:8" customFormat="1" x14ac:dyDescent="0.25">
      <c r="A5017" t="str">
        <f>"5014127"</f>
        <v>5014127</v>
      </c>
      <c r="B5017" t="s">
        <v>4796</v>
      </c>
      <c r="C5017" t="s">
        <v>302</v>
      </c>
      <c r="D5017" s="21" t="s">
        <v>34</v>
      </c>
      <c r="E5017" s="21" t="s">
        <v>35</v>
      </c>
      <c r="F5017">
        <v>9500063</v>
      </c>
      <c r="G5017" t="s">
        <v>4114</v>
      </c>
      <c r="H5017" s="21">
        <v>1195.17</v>
      </c>
    </row>
    <row r="5018" spans="1:8" customFormat="1" x14ac:dyDescent="0.25">
      <c r="A5018" t="str">
        <f>"674796"</f>
        <v>674796</v>
      </c>
      <c r="B5018" t="s">
        <v>6055</v>
      </c>
      <c r="C5018" t="s">
        <v>2365</v>
      </c>
      <c r="D5018" s="21" t="s">
        <v>34</v>
      </c>
      <c r="E5018" s="21" t="s">
        <v>254</v>
      </c>
      <c r="F5018">
        <v>6670187</v>
      </c>
      <c r="G5018" t="s">
        <v>240</v>
      </c>
      <c r="H5018" s="21">
        <v>1195.17</v>
      </c>
    </row>
    <row r="5019" spans="1:8" customFormat="1" x14ac:dyDescent="0.25">
      <c r="A5019" t="str">
        <f>"5610671"</f>
        <v>5610671</v>
      </c>
      <c r="B5019" t="s">
        <v>1610</v>
      </c>
      <c r="C5019" t="s">
        <v>169</v>
      </c>
      <c r="D5019" s="21" t="s">
        <v>34</v>
      </c>
      <c r="E5019" s="21" t="s">
        <v>35</v>
      </c>
      <c r="F5019">
        <v>3560017</v>
      </c>
      <c r="G5019" t="s">
        <v>5745</v>
      </c>
      <c r="H5019" s="21">
        <v>1195.17</v>
      </c>
    </row>
    <row r="5020" spans="1:8" customFormat="1" x14ac:dyDescent="0.25">
      <c r="A5020" t="str">
        <f>"664531"</f>
        <v>664531</v>
      </c>
      <c r="B5020" t="s">
        <v>1023</v>
      </c>
      <c r="C5020" t="s">
        <v>119</v>
      </c>
      <c r="D5020" s="21" t="s">
        <v>34</v>
      </c>
      <c r="E5020" s="21" t="s">
        <v>35</v>
      </c>
      <c r="F5020">
        <v>11660009</v>
      </c>
      <c r="G5020" t="s">
        <v>26624</v>
      </c>
      <c r="H5020" s="21">
        <v>1195.17</v>
      </c>
    </row>
    <row r="5021" spans="1:8" customFormat="1" x14ac:dyDescent="0.25">
      <c r="A5021" t="str">
        <f>"74158"</f>
        <v>74158</v>
      </c>
      <c r="B5021" t="s">
        <v>5076</v>
      </c>
      <c r="C5021" t="s">
        <v>6130</v>
      </c>
      <c r="D5021" s="21" t="s">
        <v>34</v>
      </c>
      <c r="E5021" s="21" t="s">
        <v>254</v>
      </c>
      <c r="F5021">
        <v>1740060</v>
      </c>
      <c r="G5021" t="s">
        <v>4907</v>
      </c>
      <c r="H5021" s="21">
        <v>1195.17</v>
      </c>
    </row>
    <row r="5022" spans="1:8" customFormat="1" x14ac:dyDescent="0.25">
      <c r="A5022" t="str">
        <f>"59473"</f>
        <v>59473</v>
      </c>
      <c r="B5022" t="s">
        <v>4888</v>
      </c>
      <c r="C5022" t="s">
        <v>415</v>
      </c>
      <c r="D5022" s="21" t="s">
        <v>34</v>
      </c>
      <c r="E5022" s="21" t="s">
        <v>71</v>
      </c>
      <c r="F5022">
        <v>7590231</v>
      </c>
      <c r="G5022" t="s">
        <v>207</v>
      </c>
      <c r="H5022" s="21">
        <v>1195.17</v>
      </c>
    </row>
    <row r="5023" spans="1:8" customFormat="1" x14ac:dyDescent="0.25">
      <c r="A5023" t="str">
        <f>"9514968"</f>
        <v>9514968</v>
      </c>
      <c r="B5023" t="s">
        <v>6526</v>
      </c>
      <c r="C5023" t="s">
        <v>60</v>
      </c>
      <c r="D5023" s="21" t="s">
        <v>34</v>
      </c>
      <c r="E5023" s="21" t="s">
        <v>35</v>
      </c>
      <c r="F5023">
        <v>13060063</v>
      </c>
      <c r="G5023" t="s">
        <v>2001</v>
      </c>
      <c r="H5023" s="21">
        <v>1195.17</v>
      </c>
    </row>
    <row r="5024" spans="1:8" customFormat="1" x14ac:dyDescent="0.25">
      <c r="A5024" t="str">
        <f>"5312978"</f>
        <v>5312978</v>
      </c>
      <c r="B5024" t="s">
        <v>6452</v>
      </c>
      <c r="C5024" t="s">
        <v>415</v>
      </c>
      <c r="D5024" s="21" t="s">
        <v>34</v>
      </c>
      <c r="E5024" s="21" t="s">
        <v>35</v>
      </c>
      <c r="F5024">
        <v>12530059</v>
      </c>
      <c r="G5024" t="s">
        <v>4062</v>
      </c>
      <c r="H5024" s="21">
        <v>1194.92</v>
      </c>
    </row>
    <row r="5025" spans="1:8" customFormat="1" x14ac:dyDescent="0.25">
      <c r="A5025" t="str">
        <f>"877374"</f>
        <v>877374</v>
      </c>
      <c r="B5025" t="s">
        <v>3072</v>
      </c>
      <c r="C5025" t="s">
        <v>328</v>
      </c>
      <c r="D5025" s="21" t="s">
        <v>34</v>
      </c>
      <c r="E5025" s="21" t="s">
        <v>35</v>
      </c>
      <c r="F5025">
        <v>10870081</v>
      </c>
      <c r="G5025" t="s">
        <v>6698</v>
      </c>
      <c r="H5025" s="21">
        <v>1194.8</v>
      </c>
    </row>
    <row r="5026" spans="1:8" customFormat="1" x14ac:dyDescent="0.25">
      <c r="A5026" t="str">
        <f>"3717154"</f>
        <v>3717154</v>
      </c>
      <c r="B5026" t="s">
        <v>2056</v>
      </c>
      <c r="C5026" t="s">
        <v>285</v>
      </c>
      <c r="D5026" s="21" t="s">
        <v>34</v>
      </c>
      <c r="E5026" s="21" t="s">
        <v>71</v>
      </c>
      <c r="F5026">
        <v>4370024</v>
      </c>
      <c r="G5026" t="s">
        <v>1718</v>
      </c>
      <c r="H5026" s="21">
        <v>1194.67</v>
      </c>
    </row>
    <row r="5027" spans="1:8" customFormat="1" x14ac:dyDescent="0.25">
      <c r="A5027" t="str">
        <f>"54172"</f>
        <v>54172</v>
      </c>
      <c r="B5027" t="s">
        <v>4758</v>
      </c>
      <c r="C5027" t="s">
        <v>253</v>
      </c>
      <c r="D5027" s="21" t="s">
        <v>34</v>
      </c>
      <c r="E5027" s="21" t="s">
        <v>254</v>
      </c>
      <c r="F5027">
        <v>6570140</v>
      </c>
      <c r="G5027" t="s">
        <v>813</v>
      </c>
      <c r="H5027" s="21">
        <v>1194.67</v>
      </c>
    </row>
    <row r="5028" spans="1:8" customFormat="1" x14ac:dyDescent="0.25">
      <c r="A5028" t="str">
        <f>"757606"</f>
        <v>757606</v>
      </c>
      <c r="B5028" t="s">
        <v>6005</v>
      </c>
      <c r="C5028" t="s">
        <v>156</v>
      </c>
      <c r="D5028" s="21" t="s">
        <v>34</v>
      </c>
      <c r="E5028" s="21" t="s">
        <v>71</v>
      </c>
      <c r="F5028">
        <v>8750141</v>
      </c>
      <c r="G5028" t="s">
        <v>1514</v>
      </c>
      <c r="H5028" s="21">
        <v>1194.67</v>
      </c>
    </row>
    <row r="5029" spans="1:8" customFormat="1" x14ac:dyDescent="0.25">
      <c r="A5029" t="str">
        <f>"443101"</f>
        <v>443101</v>
      </c>
      <c r="B5029" t="s">
        <v>5146</v>
      </c>
      <c r="C5029" t="s">
        <v>263</v>
      </c>
      <c r="D5029" s="21" t="s">
        <v>34</v>
      </c>
      <c r="E5029" s="21" t="s">
        <v>35</v>
      </c>
      <c r="F5029">
        <v>12440138</v>
      </c>
      <c r="G5029" t="s">
        <v>562</v>
      </c>
      <c r="H5029" s="21">
        <v>1194.67</v>
      </c>
    </row>
    <row r="5030" spans="1:8" customFormat="1" x14ac:dyDescent="0.25">
      <c r="A5030" t="str">
        <f>"4439545"</f>
        <v>4439545</v>
      </c>
      <c r="B5030" t="s">
        <v>5499</v>
      </c>
      <c r="C5030" t="s">
        <v>209</v>
      </c>
      <c r="D5030" s="21" t="s">
        <v>34</v>
      </c>
      <c r="E5030" s="21" t="s">
        <v>71</v>
      </c>
      <c r="F5030">
        <v>12440199</v>
      </c>
      <c r="G5030" t="s">
        <v>4653</v>
      </c>
      <c r="H5030" s="21">
        <v>1194.67</v>
      </c>
    </row>
    <row r="5031" spans="1:8" customFormat="1" x14ac:dyDescent="0.25">
      <c r="A5031" t="str">
        <f>"364590"</f>
        <v>364590</v>
      </c>
      <c r="B5031" t="s">
        <v>26885</v>
      </c>
      <c r="C5031" t="s">
        <v>33</v>
      </c>
      <c r="D5031" s="21" t="s">
        <v>34</v>
      </c>
      <c r="E5031" s="21" t="s">
        <v>35</v>
      </c>
      <c r="F5031">
        <v>4360481</v>
      </c>
      <c r="G5031" t="s">
        <v>12957</v>
      </c>
      <c r="H5031" s="21">
        <v>1194.55</v>
      </c>
    </row>
    <row r="5032" spans="1:8" customFormat="1" x14ac:dyDescent="0.25">
      <c r="A5032" t="str">
        <f>"5931375"</f>
        <v>5931375</v>
      </c>
      <c r="B5032" t="s">
        <v>6009</v>
      </c>
      <c r="C5032" t="s">
        <v>428</v>
      </c>
      <c r="D5032" s="21" t="s">
        <v>34</v>
      </c>
      <c r="E5032" s="21" t="s">
        <v>35</v>
      </c>
      <c r="F5032">
        <v>8950570</v>
      </c>
      <c r="G5032" t="s">
        <v>3226</v>
      </c>
      <c r="H5032" s="21">
        <v>1194.43</v>
      </c>
    </row>
    <row r="5033" spans="1:8" customFormat="1" x14ac:dyDescent="0.25">
      <c r="A5033" t="str">
        <f>"9125640"</f>
        <v>9125640</v>
      </c>
      <c r="B5033" t="s">
        <v>3930</v>
      </c>
      <c r="C5033" t="s">
        <v>55</v>
      </c>
      <c r="D5033" s="21" t="s">
        <v>34</v>
      </c>
      <c r="E5033" s="21" t="s">
        <v>71</v>
      </c>
      <c r="F5033">
        <v>8910165</v>
      </c>
      <c r="G5033" t="s">
        <v>3184</v>
      </c>
      <c r="H5033" s="21">
        <v>1194.17</v>
      </c>
    </row>
    <row r="5034" spans="1:8" customFormat="1" x14ac:dyDescent="0.25">
      <c r="A5034" t="str">
        <f>"5315158"</f>
        <v>5315158</v>
      </c>
      <c r="B5034" t="s">
        <v>17389</v>
      </c>
      <c r="C5034" t="s">
        <v>49</v>
      </c>
      <c r="D5034" s="21" t="s">
        <v>34</v>
      </c>
      <c r="E5034" s="21" t="s">
        <v>35</v>
      </c>
      <c r="F5034">
        <v>12530078</v>
      </c>
      <c r="G5034" t="s">
        <v>3677</v>
      </c>
      <c r="H5034" s="21">
        <v>1194.17</v>
      </c>
    </row>
    <row r="5035" spans="1:8" customFormat="1" x14ac:dyDescent="0.25">
      <c r="A5035" t="str">
        <f>"7711472"</f>
        <v>7711472</v>
      </c>
      <c r="B5035" t="s">
        <v>6079</v>
      </c>
      <c r="C5035" t="s">
        <v>462</v>
      </c>
      <c r="D5035" s="21" t="s">
        <v>34</v>
      </c>
      <c r="E5035" s="21" t="s">
        <v>71</v>
      </c>
      <c r="F5035">
        <v>2890032</v>
      </c>
      <c r="G5035" t="s">
        <v>6080</v>
      </c>
      <c r="H5035" s="21">
        <v>1194.17</v>
      </c>
    </row>
    <row r="5036" spans="1:8" customFormat="1" x14ac:dyDescent="0.25">
      <c r="A5036" t="str">
        <f>"955781"</f>
        <v>955781</v>
      </c>
      <c r="B5036" t="s">
        <v>4362</v>
      </c>
      <c r="C5036" t="s">
        <v>462</v>
      </c>
      <c r="D5036" s="21" t="s">
        <v>34</v>
      </c>
      <c r="E5036" s="21" t="s">
        <v>35</v>
      </c>
      <c r="F5036">
        <v>10330084</v>
      </c>
      <c r="G5036" t="s">
        <v>1124</v>
      </c>
      <c r="H5036" s="21">
        <v>1194.17</v>
      </c>
    </row>
    <row r="5037" spans="1:8" customFormat="1" x14ac:dyDescent="0.25">
      <c r="A5037" t="str">
        <f>"8015897"</f>
        <v>8015897</v>
      </c>
      <c r="B5037" t="s">
        <v>6271</v>
      </c>
      <c r="C5037" t="s">
        <v>462</v>
      </c>
      <c r="D5037" s="21" t="s">
        <v>34</v>
      </c>
      <c r="E5037" s="21" t="s">
        <v>71</v>
      </c>
      <c r="F5037">
        <v>7800003</v>
      </c>
      <c r="G5037" t="s">
        <v>276</v>
      </c>
      <c r="H5037" s="21">
        <v>1194.17</v>
      </c>
    </row>
    <row r="5038" spans="1:8" customFormat="1" x14ac:dyDescent="0.25">
      <c r="A5038" t="str">
        <f>"4421712"</f>
        <v>4421712</v>
      </c>
      <c r="B5038" t="s">
        <v>6696</v>
      </c>
      <c r="C5038" t="s">
        <v>285</v>
      </c>
      <c r="D5038" s="21" t="s">
        <v>34</v>
      </c>
      <c r="E5038" s="21" t="s">
        <v>35</v>
      </c>
      <c r="F5038">
        <v>12440059</v>
      </c>
      <c r="G5038" t="s">
        <v>6697</v>
      </c>
      <c r="H5038" s="21">
        <v>1194.17</v>
      </c>
    </row>
    <row r="5039" spans="1:8" customFormat="1" x14ac:dyDescent="0.25">
      <c r="A5039" t="str">
        <f>"4512659"</f>
        <v>4512659</v>
      </c>
      <c r="B5039" t="s">
        <v>5924</v>
      </c>
      <c r="C5039" t="s">
        <v>2208</v>
      </c>
      <c r="D5039" s="21" t="s">
        <v>34</v>
      </c>
      <c r="E5039" s="21" t="s">
        <v>254</v>
      </c>
      <c r="F5039">
        <v>4450706</v>
      </c>
      <c r="G5039" t="s">
        <v>4482</v>
      </c>
      <c r="H5039" s="21">
        <v>1194.17</v>
      </c>
    </row>
    <row r="5040" spans="1:8" customFormat="1" x14ac:dyDescent="0.25">
      <c r="A5040" t="str">
        <f>"2933722"</f>
        <v>2933722</v>
      </c>
      <c r="B5040" t="s">
        <v>7576</v>
      </c>
      <c r="C5040" t="s">
        <v>547</v>
      </c>
      <c r="D5040" s="21" t="s">
        <v>34</v>
      </c>
      <c r="E5040" s="21" t="s">
        <v>71</v>
      </c>
      <c r="F5040">
        <v>3290005</v>
      </c>
      <c r="G5040" t="s">
        <v>1253</v>
      </c>
      <c r="H5040" s="21">
        <v>1194.04</v>
      </c>
    </row>
    <row r="5041" spans="1:8" customFormat="1" x14ac:dyDescent="0.25">
      <c r="A5041" t="str">
        <f>"4434141"</f>
        <v>4434141</v>
      </c>
      <c r="B5041" t="s">
        <v>6471</v>
      </c>
      <c r="C5041" t="s">
        <v>926</v>
      </c>
      <c r="D5041" s="21" t="s">
        <v>34</v>
      </c>
      <c r="E5041" s="21" t="s">
        <v>71</v>
      </c>
      <c r="F5041">
        <v>12440021</v>
      </c>
      <c r="G5041" t="s">
        <v>429</v>
      </c>
      <c r="H5041" s="21">
        <v>1193.92</v>
      </c>
    </row>
    <row r="5042" spans="1:8" customFormat="1" x14ac:dyDescent="0.25">
      <c r="A5042" t="str">
        <f>"9110971"</f>
        <v>9110971</v>
      </c>
      <c r="B5042" t="s">
        <v>4183</v>
      </c>
      <c r="C5042" t="s">
        <v>124</v>
      </c>
      <c r="D5042" s="21" t="s">
        <v>34</v>
      </c>
      <c r="E5042" s="21" t="s">
        <v>71</v>
      </c>
      <c r="F5042">
        <v>8910438</v>
      </c>
      <c r="G5042" t="s">
        <v>761</v>
      </c>
      <c r="H5042" s="21">
        <v>1193.8</v>
      </c>
    </row>
    <row r="5043" spans="1:8" customFormat="1" x14ac:dyDescent="0.25">
      <c r="A5043" t="str">
        <f>"565518"</f>
        <v>565518</v>
      </c>
      <c r="B5043" t="s">
        <v>6451</v>
      </c>
      <c r="C5043" t="s">
        <v>109</v>
      </c>
      <c r="D5043" s="21" t="s">
        <v>34</v>
      </c>
      <c r="E5043" s="21" t="s">
        <v>35</v>
      </c>
      <c r="F5043">
        <v>3560036</v>
      </c>
      <c r="G5043" t="s">
        <v>910</v>
      </c>
      <c r="H5043" s="21">
        <v>1193.67</v>
      </c>
    </row>
    <row r="5044" spans="1:8" customFormat="1" x14ac:dyDescent="0.25">
      <c r="A5044" t="str">
        <f>"3326991"</f>
        <v>3326991</v>
      </c>
      <c r="B5044" t="s">
        <v>8637</v>
      </c>
      <c r="C5044" t="s">
        <v>156</v>
      </c>
      <c r="D5044" s="21" t="s">
        <v>34</v>
      </c>
      <c r="E5044" s="21" t="s">
        <v>35</v>
      </c>
      <c r="F5044">
        <v>10330067</v>
      </c>
      <c r="G5044" t="s">
        <v>125</v>
      </c>
      <c r="H5044" s="21">
        <v>1193.67</v>
      </c>
    </row>
    <row r="5045" spans="1:8" customFormat="1" x14ac:dyDescent="0.25">
      <c r="A5045" t="str">
        <f>"717727"</f>
        <v>717727</v>
      </c>
      <c r="B5045" t="s">
        <v>5052</v>
      </c>
      <c r="C5045" t="s">
        <v>328</v>
      </c>
      <c r="D5045" s="21" t="s">
        <v>34</v>
      </c>
      <c r="E5045" s="21" t="s">
        <v>35</v>
      </c>
      <c r="F5045">
        <v>2710042</v>
      </c>
      <c r="G5045" t="s">
        <v>1997</v>
      </c>
      <c r="H5045" s="21">
        <v>1193.67</v>
      </c>
    </row>
    <row r="5046" spans="1:8" customFormat="1" x14ac:dyDescent="0.25">
      <c r="A5046" t="str">
        <f>"9128915"</f>
        <v>9128915</v>
      </c>
      <c r="B5046" t="s">
        <v>6532</v>
      </c>
      <c r="C5046" t="s">
        <v>469</v>
      </c>
      <c r="D5046" s="21" t="s">
        <v>34</v>
      </c>
      <c r="E5046" s="21" t="s">
        <v>71</v>
      </c>
      <c r="F5046">
        <v>8910652</v>
      </c>
      <c r="G5046" t="s">
        <v>6533</v>
      </c>
      <c r="H5046" s="21">
        <v>1193.67</v>
      </c>
    </row>
    <row r="5047" spans="1:8" customFormat="1" x14ac:dyDescent="0.25">
      <c r="A5047" t="str">
        <f>"6226210"</f>
        <v>6226210</v>
      </c>
      <c r="B5047" t="s">
        <v>7490</v>
      </c>
      <c r="C5047" t="s">
        <v>328</v>
      </c>
      <c r="D5047" s="21" t="s">
        <v>34</v>
      </c>
      <c r="E5047" s="21" t="s">
        <v>35</v>
      </c>
      <c r="F5047">
        <v>7620018</v>
      </c>
      <c r="G5047" t="s">
        <v>6568</v>
      </c>
      <c r="H5047" s="21">
        <v>1193.67</v>
      </c>
    </row>
    <row r="5048" spans="1:8" customFormat="1" x14ac:dyDescent="0.25">
      <c r="A5048" t="str">
        <f>"7212422"</f>
        <v>7212422</v>
      </c>
      <c r="B5048" t="s">
        <v>6569</v>
      </c>
      <c r="C5048" t="s">
        <v>33</v>
      </c>
      <c r="D5048" s="21" t="s">
        <v>34</v>
      </c>
      <c r="E5048" s="21" t="s">
        <v>71</v>
      </c>
      <c r="F5048">
        <v>12720028</v>
      </c>
      <c r="G5048" t="s">
        <v>4381</v>
      </c>
      <c r="H5048" s="21">
        <v>1193.67</v>
      </c>
    </row>
    <row r="5049" spans="1:8" customFormat="1" x14ac:dyDescent="0.25">
      <c r="A5049" t="str">
        <f>"169803"</f>
        <v>169803</v>
      </c>
      <c r="B5049" t="s">
        <v>6899</v>
      </c>
      <c r="C5049" t="s">
        <v>109</v>
      </c>
      <c r="D5049" s="21" t="s">
        <v>34</v>
      </c>
      <c r="E5049" s="21" t="s">
        <v>35</v>
      </c>
      <c r="F5049">
        <v>10160018</v>
      </c>
      <c r="G5049" t="s">
        <v>6900</v>
      </c>
      <c r="H5049" s="21">
        <v>1193.17</v>
      </c>
    </row>
    <row r="5050" spans="1:8" customFormat="1" x14ac:dyDescent="0.25">
      <c r="A5050" t="str">
        <f>"85920"</f>
        <v>85920</v>
      </c>
      <c r="B5050" t="s">
        <v>5333</v>
      </c>
      <c r="C5050" t="s">
        <v>528</v>
      </c>
      <c r="D5050" s="21" t="s">
        <v>34</v>
      </c>
      <c r="E5050" s="21" t="s">
        <v>254</v>
      </c>
      <c r="F5050">
        <v>12850026</v>
      </c>
      <c r="G5050" t="s">
        <v>1400</v>
      </c>
      <c r="H5050" s="21">
        <v>1193.17</v>
      </c>
    </row>
    <row r="5051" spans="1:8" customFormat="1" x14ac:dyDescent="0.25">
      <c r="A5051" t="str">
        <f>"809189"</f>
        <v>809189</v>
      </c>
      <c r="B5051" t="s">
        <v>4335</v>
      </c>
      <c r="C5051" t="s">
        <v>5861</v>
      </c>
      <c r="D5051" s="21" t="s">
        <v>34</v>
      </c>
      <c r="E5051" s="21" t="s">
        <v>35</v>
      </c>
      <c r="F5051">
        <v>9760015</v>
      </c>
      <c r="G5051" t="s">
        <v>5277</v>
      </c>
      <c r="H5051" s="21">
        <v>1193.17</v>
      </c>
    </row>
    <row r="5052" spans="1:8" customFormat="1" x14ac:dyDescent="0.25">
      <c r="A5052" t="str">
        <f>"757094"</f>
        <v>757094</v>
      </c>
      <c r="B5052" t="s">
        <v>5119</v>
      </c>
      <c r="C5052" t="s">
        <v>43</v>
      </c>
      <c r="D5052" s="21" t="s">
        <v>34</v>
      </c>
      <c r="E5052" s="21" t="s">
        <v>35</v>
      </c>
      <c r="F5052">
        <v>11340014</v>
      </c>
      <c r="G5052" t="s">
        <v>1455</v>
      </c>
      <c r="H5052" s="21">
        <v>1193.17</v>
      </c>
    </row>
    <row r="5053" spans="1:8" customFormat="1" x14ac:dyDescent="0.25">
      <c r="A5053" t="str">
        <f>"5912632"</f>
        <v>5912632</v>
      </c>
      <c r="B5053" t="s">
        <v>6192</v>
      </c>
      <c r="C5053" t="s">
        <v>209</v>
      </c>
      <c r="D5053" s="21" t="s">
        <v>34</v>
      </c>
      <c r="E5053" s="21" t="s">
        <v>35</v>
      </c>
      <c r="F5053">
        <v>7590004</v>
      </c>
      <c r="G5053" t="s">
        <v>4816</v>
      </c>
      <c r="H5053" s="21">
        <v>1193.17</v>
      </c>
    </row>
    <row r="5054" spans="1:8" customFormat="1" x14ac:dyDescent="0.25">
      <c r="A5054" t="str">
        <f>"49785"</f>
        <v>49785</v>
      </c>
      <c r="B5054" t="s">
        <v>4572</v>
      </c>
      <c r="C5054" t="s">
        <v>269</v>
      </c>
      <c r="D5054" s="21" t="s">
        <v>34</v>
      </c>
      <c r="E5054" s="21" t="s">
        <v>71</v>
      </c>
      <c r="F5054">
        <v>12490132</v>
      </c>
      <c r="G5054" t="s">
        <v>1125</v>
      </c>
      <c r="H5054" s="21">
        <v>1193.17</v>
      </c>
    </row>
    <row r="5055" spans="1:8" customFormat="1" x14ac:dyDescent="0.25">
      <c r="A5055" t="str">
        <f>"01229"</f>
        <v>01229</v>
      </c>
      <c r="B5055" t="s">
        <v>6317</v>
      </c>
      <c r="C5055" t="s">
        <v>1665</v>
      </c>
      <c r="D5055" s="21" t="s">
        <v>34</v>
      </c>
      <c r="E5055" s="21" t="s">
        <v>254</v>
      </c>
      <c r="F5055">
        <v>1010027</v>
      </c>
      <c r="G5055" t="s">
        <v>6318</v>
      </c>
      <c r="H5055" s="21">
        <v>1193.17</v>
      </c>
    </row>
    <row r="5056" spans="1:8" customFormat="1" x14ac:dyDescent="0.25">
      <c r="A5056" t="str">
        <f>"6921122"</f>
        <v>6921122</v>
      </c>
      <c r="B5056" t="s">
        <v>387</v>
      </c>
      <c r="C5056" t="s">
        <v>1665</v>
      </c>
      <c r="D5056" s="21" t="s">
        <v>34</v>
      </c>
      <c r="E5056" s="21" t="s">
        <v>35</v>
      </c>
      <c r="F5056">
        <v>1690160</v>
      </c>
      <c r="G5056" t="s">
        <v>4599</v>
      </c>
      <c r="H5056" s="21">
        <v>1192.67</v>
      </c>
    </row>
    <row r="5057" spans="1:8" customFormat="1" x14ac:dyDescent="0.25">
      <c r="A5057" t="str">
        <f>"2911405"</f>
        <v>2911405</v>
      </c>
      <c r="B5057" t="s">
        <v>6678</v>
      </c>
      <c r="C5057" t="s">
        <v>96</v>
      </c>
      <c r="D5057" s="21" t="s">
        <v>34</v>
      </c>
      <c r="E5057" s="21" t="s">
        <v>35</v>
      </c>
      <c r="F5057">
        <v>3290208</v>
      </c>
      <c r="G5057" t="s">
        <v>1553</v>
      </c>
      <c r="H5057" s="21">
        <v>1192.67</v>
      </c>
    </row>
    <row r="5058" spans="1:8" customFormat="1" x14ac:dyDescent="0.25">
      <c r="A5058" t="str">
        <f>"6217149"</f>
        <v>6217149</v>
      </c>
      <c r="B5058" t="s">
        <v>5413</v>
      </c>
      <c r="C5058" t="s">
        <v>926</v>
      </c>
      <c r="D5058" s="21" t="s">
        <v>34</v>
      </c>
      <c r="E5058" s="21" t="s">
        <v>71</v>
      </c>
      <c r="F5058">
        <v>7620162</v>
      </c>
      <c r="G5058" t="s">
        <v>3134</v>
      </c>
      <c r="H5058" s="21">
        <v>1192.67</v>
      </c>
    </row>
    <row r="5059" spans="1:8" customFormat="1" x14ac:dyDescent="0.25">
      <c r="A5059" t="str">
        <f>"27235"</f>
        <v>27235</v>
      </c>
      <c r="B5059" t="s">
        <v>4997</v>
      </c>
      <c r="C5059" t="s">
        <v>288</v>
      </c>
      <c r="D5059" s="21" t="s">
        <v>34</v>
      </c>
      <c r="E5059" s="21" t="s">
        <v>71</v>
      </c>
      <c r="F5059">
        <v>9270151</v>
      </c>
      <c r="G5059" t="s">
        <v>626</v>
      </c>
      <c r="H5059" s="21">
        <v>1192.67</v>
      </c>
    </row>
    <row r="5060" spans="1:8" customFormat="1" x14ac:dyDescent="0.25">
      <c r="A5060" t="str">
        <f>"2918215"</f>
        <v>2918215</v>
      </c>
      <c r="B5060" t="s">
        <v>5948</v>
      </c>
      <c r="C5060" t="s">
        <v>2730</v>
      </c>
      <c r="D5060" s="21" t="s">
        <v>34</v>
      </c>
      <c r="E5060" s="21" t="s">
        <v>71</v>
      </c>
      <c r="F5060">
        <v>3290010</v>
      </c>
      <c r="G5060" t="s">
        <v>1453</v>
      </c>
      <c r="H5060" s="21">
        <v>1192.67</v>
      </c>
    </row>
    <row r="5061" spans="1:8" customFormat="1" x14ac:dyDescent="0.25">
      <c r="A5061" t="str">
        <f>"294319"</f>
        <v>294319</v>
      </c>
      <c r="B5061" t="s">
        <v>6734</v>
      </c>
      <c r="C5061" t="s">
        <v>598</v>
      </c>
      <c r="D5061" s="21" t="s">
        <v>34</v>
      </c>
      <c r="E5061" s="21" t="s">
        <v>35</v>
      </c>
      <c r="F5061">
        <v>3290005</v>
      </c>
      <c r="G5061" t="s">
        <v>1253</v>
      </c>
      <c r="H5061" s="21">
        <v>1192.54</v>
      </c>
    </row>
    <row r="5062" spans="1:8" customFormat="1" x14ac:dyDescent="0.25">
      <c r="A5062" t="str">
        <f>"7910748"</f>
        <v>7910748</v>
      </c>
      <c r="B5062" t="s">
        <v>6810</v>
      </c>
      <c r="C5062" t="s">
        <v>428</v>
      </c>
      <c r="D5062" s="21" t="s">
        <v>34</v>
      </c>
      <c r="E5062" s="21" t="s">
        <v>35</v>
      </c>
      <c r="F5062">
        <v>12850118</v>
      </c>
      <c r="G5062" t="s">
        <v>6811</v>
      </c>
      <c r="H5062" s="21">
        <v>1192.44</v>
      </c>
    </row>
    <row r="5063" spans="1:8" customFormat="1" x14ac:dyDescent="0.25">
      <c r="A5063" t="str">
        <f>"9144725"</f>
        <v>9144725</v>
      </c>
      <c r="B5063" t="s">
        <v>8015</v>
      </c>
      <c r="C5063" t="s">
        <v>156</v>
      </c>
      <c r="D5063" s="21" t="s">
        <v>34</v>
      </c>
      <c r="E5063" s="21" t="s">
        <v>71</v>
      </c>
      <c r="F5063">
        <v>8911454</v>
      </c>
      <c r="G5063" t="s">
        <v>8016</v>
      </c>
      <c r="H5063" s="21">
        <v>1192.43</v>
      </c>
    </row>
    <row r="5064" spans="1:8" customFormat="1" x14ac:dyDescent="0.25">
      <c r="A5064" t="str">
        <f>"09780"</f>
        <v>09780</v>
      </c>
      <c r="B5064" t="s">
        <v>2398</v>
      </c>
      <c r="C5064" t="s">
        <v>415</v>
      </c>
      <c r="D5064" s="21" t="s">
        <v>34</v>
      </c>
      <c r="E5064" s="21" t="s">
        <v>71</v>
      </c>
      <c r="F5064">
        <v>11090002</v>
      </c>
      <c r="G5064" t="s">
        <v>901</v>
      </c>
      <c r="H5064" s="21">
        <v>1192.3</v>
      </c>
    </row>
    <row r="5065" spans="1:8" customFormat="1" x14ac:dyDescent="0.25">
      <c r="A5065" t="str">
        <f>"5936838"</f>
        <v>5936838</v>
      </c>
      <c r="B5065" t="s">
        <v>457</v>
      </c>
      <c r="C5065" t="s">
        <v>198</v>
      </c>
      <c r="D5065" s="21" t="s">
        <v>34</v>
      </c>
      <c r="E5065" s="21" t="s">
        <v>35</v>
      </c>
      <c r="F5065">
        <v>6550034</v>
      </c>
      <c r="G5065" t="s">
        <v>6218</v>
      </c>
      <c r="H5065" s="21">
        <v>1192.17</v>
      </c>
    </row>
    <row r="5066" spans="1:8" customFormat="1" x14ac:dyDescent="0.25">
      <c r="A5066" t="str">
        <f>"05673"</f>
        <v>05673</v>
      </c>
      <c r="B5066" t="s">
        <v>6665</v>
      </c>
      <c r="C5066" t="s">
        <v>62</v>
      </c>
      <c r="D5066" s="21" t="s">
        <v>34</v>
      </c>
      <c r="E5066" s="21" t="s">
        <v>35</v>
      </c>
      <c r="F5066">
        <v>13050013</v>
      </c>
      <c r="G5066" t="s">
        <v>6666</v>
      </c>
      <c r="H5066" s="21">
        <v>1192.17</v>
      </c>
    </row>
    <row r="5067" spans="1:8" customFormat="1" x14ac:dyDescent="0.25">
      <c r="A5067" t="str">
        <f>"63132"</f>
        <v>63132</v>
      </c>
      <c r="B5067" t="s">
        <v>5163</v>
      </c>
      <c r="C5067" t="s">
        <v>4721</v>
      </c>
      <c r="D5067" s="21" t="s">
        <v>34</v>
      </c>
      <c r="E5067" s="21" t="s">
        <v>254</v>
      </c>
      <c r="F5067">
        <v>1630249</v>
      </c>
      <c r="G5067" t="s">
        <v>1237</v>
      </c>
      <c r="H5067" s="21">
        <v>1192.17</v>
      </c>
    </row>
    <row r="5068" spans="1:8" customFormat="1" x14ac:dyDescent="0.25">
      <c r="A5068" t="str">
        <f>"841258"</f>
        <v>841258</v>
      </c>
      <c r="B5068" t="s">
        <v>7243</v>
      </c>
      <c r="C5068" t="s">
        <v>598</v>
      </c>
      <c r="D5068" s="21" t="s">
        <v>34</v>
      </c>
      <c r="E5068" s="21" t="s">
        <v>254</v>
      </c>
      <c r="F5068">
        <v>13840001</v>
      </c>
      <c r="G5068" t="s">
        <v>972</v>
      </c>
      <c r="H5068" s="21">
        <v>1192.17</v>
      </c>
    </row>
    <row r="5069" spans="1:8" customFormat="1" x14ac:dyDescent="0.25">
      <c r="A5069" t="str">
        <f>"513148"</f>
        <v>513148</v>
      </c>
      <c r="B5069" t="s">
        <v>4849</v>
      </c>
      <c r="C5069" t="s">
        <v>33</v>
      </c>
      <c r="D5069" s="21" t="s">
        <v>34</v>
      </c>
      <c r="E5069" s="21" t="s">
        <v>35</v>
      </c>
      <c r="F5069">
        <v>6510029</v>
      </c>
      <c r="G5069" t="s">
        <v>1879</v>
      </c>
      <c r="H5069" s="21">
        <v>1192.17</v>
      </c>
    </row>
    <row r="5070" spans="1:8" customFormat="1" x14ac:dyDescent="0.25">
      <c r="A5070" t="str">
        <f>"764307"</f>
        <v>764307</v>
      </c>
      <c r="B5070" t="s">
        <v>5569</v>
      </c>
      <c r="C5070" t="s">
        <v>462</v>
      </c>
      <c r="D5070" s="21" t="s">
        <v>34</v>
      </c>
      <c r="E5070" s="21" t="s">
        <v>35</v>
      </c>
      <c r="F5070">
        <v>9760082</v>
      </c>
      <c r="G5070" t="s">
        <v>2387</v>
      </c>
      <c r="H5070" s="21">
        <v>1192.17</v>
      </c>
    </row>
    <row r="5071" spans="1:8" customFormat="1" x14ac:dyDescent="0.25">
      <c r="A5071" t="str">
        <f>"5417994"</f>
        <v>5417994</v>
      </c>
      <c r="B5071" t="s">
        <v>6249</v>
      </c>
      <c r="C5071" t="s">
        <v>209</v>
      </c>
      <c r="D5071" s="21" t="s">
        <v>34</v>
      </c>
      <c r="E5071" s="21" t="s">
        <v>35</v>
      </c>
      <c r="F5071">
        <v>6540104</v>
      </c>
      <c r="G5071" t="s">
        <v>10448</v>
      </c>
      <c r="H5071" s="21">
        <v>1192.04</v>
      </c>
    </row>
    <row r="5072" spans="1:8" customFormat="1" x14ac:dyDescent="0.25">
      <c r="A5072" t="str">
        <f>"741615"</f>
        <v>741615</v>
      </c>
      <c r="B5072" t="s">
        <v>6525</v>
      </c>
      <c r="C5072" t="s">
        <v>211</v>
      </c>
      <c r="D5072" s="21" t="s">
        <v>34</v>
      </c>
      <c r="E5072" s="21" t="s">
        <v>71</v>
      </c>
      <c r="F5072">
        <v>1740003</v>
      </c>
      <c r="G5072" t="s">
        <v>982</v>
      </c>
      <c r="H5072" s="21">
        <v>1191.92</v>
      </c>
    </row>
    <row r="5073" spans="1:8" customFormat="1" x14ac:dyDescent="0.25">
      <c r="A5073" t="str">
        <f>"7511449"</f>
        <v>7511449</v>
      </c>
      <c r="B5073" t="s">
        <v>6558</v>
      </c>
      <c r="C5073" t="s">
        <v>462</v>
      </c>
      <c r="D5073" s="21" t="s">
        <v>34</v>
      </c>
      <c r="E5073" s="21" t="s">
        <v>71</v>
      </c>
      <c r="F5073">
        <v>8920312</v>
      </c>
      <c r="G5073" t="s">
        <v>1026</v>
      </c>
      <c r="H5073" s="21">
        <v>1191.67</v>
      </c>
    </row>
    <row r="5074" spans="1:8" customFormat="1" x14ac:dyDescent="0.25">
      <c r="A5074" t="str">
        <f>"67635"</f>
        <v>67635</v>
      </c>
      <c r="B5074" t="s">
        <v>1814</v>
      </c>
      <c r="C5074" t="s">
        <v>33</v>
      </c>
      <c r="D5074" s="21" t="s">
        <v>34</v>
      </c>
      <c r="E5074" s="21" t="s">
        <v>254</v>
      </c>
      <c r="F5074">
        <v>6670058</v>
      </c>
      <c r="G5074" t="s">
        <v>2551</v>
      </c>
      <c r="H5074" s="21">
        <v>1191.67</v>
      </c>
    </row>
    <row r="5075" spans="1:8" customFormat="1" x14ac:dyDescent="0.25">
      <c r="A5075" t="str">
        <f>"4432709"</f>
        <v>4432709</v>
      </c>
      <c r="B5075" t="s">
        <v>650</v>
      </c>
      <c r="C5075" t="s">
        <v>109</v>
      </c>
      <c r="D5075" s="21" t="s">
        <v>34</v>
      </c>
      <c r="E5075" s="21" t="s">
        <v>35</v>
      </c>
      <c r="F5075">
        <v>12440054</v>
      </c>
      <c r="G5075" t="s">
        <v>5474</v>
      </c>
      <c r="H5075" s="21">
        <v>1191.67</v>
      </c>
    </row>
    <row r="5076" spans="1:8" customFormat="1" x14ac:dyDescent="0.25">
      <c r="A5076" t="str">
        <f>"54781"</f>
        <v>54781</v>
      </c>
      <c r="B5076" t="s">
        <v>5605</v>
      </c>
      <c r="C5076" t="s">
        <v>547</v>
      </c>
      <c r="D5076" s="21" t="s">
        <v>34</v>
      </c>
      <c r="E5076" s="21" t="s">
        <v>254</v>
      </c>
      <c r="F5076">
        <v>6540036</v>
      </c>
      <c r="G5076" t="s">
        <v>3612</v>
      </c>
      <c r="H5076" s="21">
        <v>1191.67</v>
      </c>
    </row>
    <row r="5077" spans="1:8" customFormat="1" x14ac:dyDescent="0.25">
      <c r="A5077" t="str">
        <f>"807288"</f>
        <v>807288</v>
      </c>
      <c r="B5077" t="s">
        <v>5652</v>
      </c>
      <c r="C5077" t="s">
        <v>249</v>
      </c>
      <c r="D5077" s="21" t="s">
        <v>34</v>
      </c>
      <c r="E5077" s="21" t="s">
        <v>71</v>
      </c>
      <c r="F5077">
        <v>7800128</v>
      </c>
      <c r="G5077" t="s">
        <v>3147</v>
      </c>
      <c r="H5077" s="21">
        <v>1191.67</v>
      </c>
    </row>
    <row r="5078" spans="1:8" customFormat="1" x14ac:dyDescent="0.25">
      <c r="A5078" t="str">
        <f>"3711865"</f>
        <v>3711865</v>
      </c>
      <c r="B5078" t="s">
        <v>4734</v>
      </c>
      <c r="C5078" t="s">
        <v>249</v>
      </c>
      <c r="D5078" s="21" t="s">
        <v>34</v>
      </c>
      <c r="E5078" s="21" t="s">
        <v>71</v>
      </c>
      <c r="F5078">
        <v>4370478</v>
      </c>
      <c r="G5078" t="s">
        <v>4735</v>
      </c>
      <c r="H5078" s="21">
        <v>1191.67</v>
      </c>
    </row>
    <row r="5079" spans="1:8" customFormat="1" x14ac:dyDescent="0.25">
      <c r="A5079" t="str">
        <f>"716044"</f>
        <v>716044</v>
      </c>
      <c r="B5079" t="s">
        <v>3582</v>
      </c>
      <c r="C5079" t="s">
        <v>169</v>
      </c>
      <c r="D5079" s="21" t="s">
        <v>34</v>
      </c>
      <c r="E5079" s="21" t="s">
        <v>35</v>
      </c>
      <c r="F5079">
        <v>2710051</v>
      </c>
      <c r="G5079" t="s">
        <v>4811</v>
      </c>
      <c r="H5079" s="21">
        <v>1191.42</v>
      </c>
    </row>
    <row r="5080" spans="1:8" customFormat="1" x14ac:dyDescent="0.25">
      <c r="A5080" t="str">
        <f>"5318147"</f>
        <v>5318147</v>
      </c>
      <c r="B5080" t="s">
        <v>5400</v>
      </c>
      <c r="C5080" t="s">
        <v>249</v>
      </c>
      <c r="D5080" s="21" t="s">
        <v>34</v>
      </c>
      <c r="E5080" s="21" t="s">
        <v>71</v>
      </c>
      <c r="F5080">
        <v>12530017</v>
      </c>
      <c r="G5080" t="s">
        <v>307</v>
      </c>
      <c r="H5080" s="21">
        <v>1191.17</v>
      </c>
    </row>
    <row r="5081" spans="1:8" customFormat="1" x14ac:dyDescent="0.25">
      <c r="A5081" t="str">
        <f>"28469"</f>
        <v>28469</v>
      </c>
      <c r="B5081" t="s">
        <v>1601</v>
      </c>
      <c r="C5081" t="s">
        <v>817</v>
      </c>
      <c r="D5081" s="21" t="s">
        <v>34</v>
      </c>
      <c r="E5081" s="21" t="s">
        <v>71</v>
      </c>
      <c r="F5081">
        <v>4370001</v>
      </c>
      <c r="G5081" t="s">
        <v>957</v>
      </c>
      <c r="H5081" s="21">
        <v>1191.17</v>
      </c>
    </row>
    <row r="5082" spans="1:8" customFormat="1" x14ac:dyDescent="0.25">
      <c r="A5082" t="str">
        <f>"185431"</f>
        <v>185431</v>
      </c>
      <c r="B5082" t="s">
        <v>650</v>
      </c>
      <c r="C5082" t="s">
        <v>198</v>
      </c>
      <c r="D5082" s="21" t="s">
        <v>34</v>
      </c>
      <c r="E5082" s="21" t="s">
        <v>71</v>
      </c>
      <c r="F5082">
        <v>8930610</v>
      </c>
      <c r="G5082" t="s">
        <v>3002</v>
      </c>
      <c r="H5082" s="21">
        <v>1191.17</v>
      </c>
    </row>
    <row r="5083" spans="1:8" customFormat="1" x14ac:dyDescent="0.25">
      <c r="A5083" t="str">
        <f>"622352"</f>
        <v>622352</v>
      </c>
      <c r="B5083" t="s">
        <v>5982</v>
      </c>
      <c r="C5083" t="s">
        <v>65</v>
      </c>
      <c r="D5083" s="21" t="s">
        <v>34</v>
      </c>
      <c r="E5083" s="21" t="s">
        <v>71</v>
      </c>
      <c r="F5083">
        <v>7620016</v>
      </c>
      <c r="G5083" t="s">
        <v>6850</v>
      </c>
      <c r="H5083" s="21">
        <v>1191.17</v>
      </c>
    </row>
    <row r="5084" spans="1:8" customFormat="1" x14ac:dyDescent="0.25">
      <c r="A5084" t="str">
        <f>"8011721"</f>
        <v>8011721</v>
      </c>
      <c r="B5084" t="s">
        <v>6552</v>
      </c>
      <c r="C5084" t="s">
        <v>486</v>
      </c>
      <c r="D5084" s="21" t="s">
        <v>34</v>
      </c>
      <c r="E5084" s="21" t="s">
        <v>35</v>
      </c>
      <c r="F5084">
        <v>7800005</v>
      </c>
      <c r="G5084" t="s">
        <v>6547</v>
      </c>
      <c r="H5084" s="21">
        <v>1191.17</v>
      </c>
    </row>
    <row r="5085" spans="1:8" customFormat="1" x14ac:dyDescent="0.25">
      <c r="A5085" t="str">
        <f>"3718142"</f>
        <v>3718142</v>
      </c>
      <c r="B5085" t="s">
        <v>5713</v>
      </c>
      <c r="C5085" t="s">
        <v>288</v>
      </c>
      <c r="D5085" s="21" t="s">
        <v>34</v>
      </c>
      <c r="E5085" s="21" t="s">
        <v>35</v>
      </c>
      <c r="F5085">
        <v>4370183</v>
      </c>
      <c r="G5085" t="s">
        <v>231</v>
      </c>
      <c r="H5085" s="21">
        <v>1191.17</v>
      </c>
    </row>
    <row r="5086" spans="1:8" customFormat="1" x14ac:dyDescent="0.25">
      <c r="A5086" t="str">
        <f>"757980"</f>
        <v>757980</v>
      </c>
      <c r="B5086" t="s">
        <v>4069</v>
      </c>
      <c r="C5086" t="s">
        <v>58</v>
      </c>
      <c r="D5086" s="21" t="s">
        <v>34</v>
      </c>
      <c r="E5086" s="21" t="s">
        <v>71</v>
      </c>
      <c r="F5086">
        <v>8751177</v>
      </c>
      <c r="G5086" t="s">
        <v>396</v>
      </c>
      <c r="H5086" s="21">
        <v>1190.8</v>
      </c>
    </row>
    <row r="5087" spans="1:8" customFormat="1" x14ac:dyDescent="0.25">
      <c r="A5087" t="str">
        <f>"83229"</f>
        <v>83229</v>
      </c>
      <c r="B5087" t="s">
        <v>5553</v>
      </c>
      <c r="C5087" t="s">
        <v>209</v>
      </c>
      <c r="D5087" s="21" t="s">
        <v>34</v>
      </c>
      <c r="E5087" s="21" t="s">
        <v>71</v>
      </c>
      <c r="F5087">
        <v>13830013</v>
      </c>
      <c r="G5087" t="s">
        <v>3374</v>
      </c>
      <c r="H5087" s="21">
        <v>1190.67</v>
      </c>
    </row>
    <row r="5088" spans="1:8" customFormat="1" x14ac:dyDescent="0.25">
      <c r="A5088" t="str">
        <f>"277412"</f>
        <v>277412</v>
      </c>
      <c r="B5088" t="s">
        <v>4027</v>
      </c>
      <c r="C5088" t="s">
        <v>233</v>
      </c>
      <c r="D5088" s="21" t="s">
        <v>34</v>
      </c>
      <c r="E5088" s="21" t="s">
        <v>71</v>
      </c>
      <c r="F5088">
        <v>9270136</v>
      </c>
      <c r="G5088" t="s">
        <v>5896</v>
      </c>
      <c r="H5088" s="21">
        <v>1190.67</v>
      </c>
    </row>
    <row r="5089" spans="1:8" customFormat="1" x14ac:dyDescent="0.25">
      <c r="A5089" t="str">
        <f>"6670"</f>
        <v>6670</v>
      </c>
      <c r="B5089" t="s">
        <v>6479</v>
      </c>
      <c r="C5089" t="s">
        <v>3784</v>
      </c>
      <c r="D5089" s="21" t="s">
        <v>34</v>
      </c>
      <c r="E5089" s="21" t="s">
        <v>71</v>
      </c>
      <c r="F5089">
        <v>11660016</v>
      </c>
      <c r="G5089" t="s">
        <v>4510</v>
      </c>
      <c r="H5089" s="21">
        <v>1190.67</v>
      </c>
    </row>
    <row r="5090" spans="1:8" customFormat="1" x14ac:dyDescent="0.25">
      <c r="A5090" t="str">
        <f>"50908"</f>
        <v>50908</v>
      </c>
      <c r="B5090" t="s">
        <v>5358</v>
      </c>
      <c r="C5090" t="s">
        <v>209</v>
      </c>
      <c r="D5090" s="21" t="s">
        <v>34</v>
      </c>
      <c r="E5090" s="21" t="s">
        <v>71</v>
      </c>
      <c r="F5090">
        <v>9500093</v>
      </c>
      <c r="G5090" t="s">
        <v>1808</v>
      </c>
      <c r="H5090" s="21">
        <v>1190.67</v>
      </c>
    </row>
    <row r="5091" spans="1:8" customFormat="1" x14ac:dyDescent="0.25">
      <c r="A5091" t="str">
        <f>"734431"</f>
        <v>734431</v>
      </c>
      <c r="B5091" t="s">
        <v>26886</v>
      </c>
      <c r="C5091" t="s">
        <v>9895</v>
      </c>
      <c r="D5091" s="21" t="s">
        <v>34</v>
      </c>
      <c r="E5091" s="21" t="s">
        <v>35</v>
      </c>
      <c r="F5091">
        <v>1730048</v>
      </c>
      <c r="G5091" t="s">
        <v>3173</v>
      </c>
      <c r="H5091" s="21">
        <v>1190.67</v>
      </c>
    </row>
    <row r="5092" spans="1:8" customFormat="1" x14ac:dyDescent="0.25">
      <c r="A5092" t="str">
        <f>"72731"</f>
        <v>72731</v>
      </c>
      <c r="B5092" t="s">
        <v>1185</v>
      </c>
      <c r="C5092" t="s">
        <v>621</v>
      </c>
      <c r="D5092" s="21" t="s">
        <v>34</v>
      </c>
      <c r="E5092" s="21" t="s">
        <v>71</v>
      </c>
      <c r="F5092">
        <v>12720144</v>
      </c>
      <c r="G5092" t="s">
        <v>15102</v>
      </c>
      <c r="H5092" s="21">
        <v>1190.67</v>
      </c>
    </row>
    <row r="5093" spans="1:8" customFormat="1" x14ac:dyDescent="0.25">
      <c r="A5093" t="str">
        <f>"025544"</f>
        <v>025544</v>
      </c>
      <c r="B5093" t="s">
        <v>4851</v>
      </c>
      <c r="C5093" t="s">
        <v>486</v>
      </c>
      <c r="D5093" s="21" t="s">
        <v>34</v>
      </c>
      <c r="E5093" s="21" t="s">
        <v>35</v>
      </c>
      <c r="F5093">
        <v>7020065</v>
      </c>
      <c r="G5093" t="s">
        <v>4852</v>
      </c>
      <c r="H5093" s="21">
        <v>1190.67</v>
      </c>
    </row>
    <row r="5094" spans="1:8" customFormat="1" x14ac:dyDescent="0.25">
      <c r="A5094" t="str">
        <f>"496906"</f>
        <v>496906</v>
      </c>
      <c r="B5094" t="s">
        <v>1071</v>
      </c>
      <c r="C5094" t="s">
        <v>1359</v>
      </c>
      <c r="D5094" s="21" t="s">
        <v>34</v>
      </c>
      <c r="E5094" s="21" t="s">
        <v>35</v>
      </c>
      <c r="F5094">
        <v>12851023</v>
      </c>
      <c r="G5094" t="s">
        <v>1075</v>
      </c>
      <c r="H5094" s="21">
        <v>1190.67</v>
      </c>
    </row>
    <row r="5095" spans="1:8" customFormat="1" x14ac:dyDescent="0.25">
      <c r="A5095" t="str">
        <f>"714132"</f>
        <v>714132</v>
      </c>
      <c r="B5095" t="s">
        <v>3438</v>
      </c>
      <c r="C5095" t="s">
        <v>263</v>
      </c>
      <c r="D5095" s="21" t="s">
        <v>34</v>
      </c>
      <c r="E5095" s="21" t="s">
        <v>71</v>
      </c>
      <c r="F5095">
        <v>2710048</v>
      </c>
      <c r="G5095" t="s">
        <v>2225</v>
      </c>
      <c r="H5095" s="21">
        <v>1190.42</v>
      </c>
    </row>
    <row r="5096" spans="1:8" customFormat="1" x14ac:dyDescent="0.25">
      <c r="A5096" t="str">
        <f>"6715310"</f>
        <v>6715310</v>
      </c>
      <c r="B5096" t="s">
        <v>5609</v>
      </c>
      <c r="C5096" t="s">
        <v>1539</v>
      </c>
      <c r="D5096" s="21" t="s">
        <v>34</v>
      </c>
      <c r="E5096" s="21" t="s">
        <v>71</v>
      </c>
      <c r="F5096">
        <v>6670107</v>
      </c>
      <c r="G5096" t="s">
        <v>5610</v>
      </c>
      <c r="H5096" s="21">
        <v>1190.42</v>
      </c>
    </row>
    <row r="5097" spans="1:8" customFormat="1" x14ac:dyDescent="0.25">
      <c r="A5097" t="str">
        <f>"534609"</f>
        <v>534609</v>
      </c>
      <c r="B5097" t="s">
        <v>4865</v>
      </c>
      <c r="C5097" t="s">
        <v>926</v>
      </c>
      <c r="D5097" s="21" t="s">
        <v>34</v>
      </c>
      <c r="E5097" s="21" t="s">
        <v>254</v>
      </c>
      <c r="F5097">
        <v>12530136</v>
      </c>
      <c r="G5097" t="s">
        <v>4866</v>
      </c>
      <c r="H5097" s="21">
        <v>1190.17</v>
      </c>
    </row>
    <row r="5098" spans="1:8" customFormat="1" x14ac:dyDescent="0.25">
      <c r="A5098" t="str">
        <f>"601559"</f>
        <v>601559</v>
      </c>
      <c r="B5098" t="s">
        <v>5208</v>
      </c>
      <c r="C5098" t="s">
        <v>169</v>
      </c>
      <c r="D5098" s="21" t="s">
        <v>34</v>
      </c>
      <c r="E5098" s="21" t="s">
        <v>35</v>
      </c>
      <c r="F5098">
        <v>7600074</v>
      </c>
      <c r="G5098" t="s">
        <v>1912</v>
      </c>
      <c r="H5098" s="21">
        <v>1190.17</v>
      </c>
    </row>
    <row r="5099" spans="1:8" customFormat="1" x14ac:dyDescent="0.25">
      <c r="A5099" t="str">
        <f>"373027"</f>
        <v>373027</v>
      </c>
      <c r="B5099" t="s">
        <v>466</v>
      </c>
      <c r="C5099" t="s">
        <v>130</v>
      </c>
      <c r="D5099" s="21" t="s">
        <v>34</v>
      </c>
      <c r="E5099" s="21" t="s">
        <v>254</v>
      </c>
      <c r="F5099">
        <v>4370656</v>
      </c>
      <c r="G5099" t="s">
        <v>1127</v>
      </c>
      <c r="H5099" s="21">
        <v>1190.17</v>
      </c>
    </row>
    <row r="5100" spans="1:8" customFormat="1" x14ac:dyDescent="0.25">
      <c r="A5100" t="str">
        <f>"17484"</f>
        <v>17484</v>
      </c>
      <c r="B5100" t="s">
        <v>5661</v>
      </c>
      <c r="C5100" t="s">
        <v>267</v>
      </c>
      <c r="D5100" s="21" t="s">
        <v>34</v>
      </c>
      <c r="E5100" s="21" t="s">
        <v>254</v>
      </c>
      <c r="F5100">
        <v>10170051</v>
      </c>
      <c r="G5100" t="s">
        <v>826</v>
      </c>
      <c r="H5100" s="21">
        <v>1190.17</v>
      </c>
    </row>
    <row r="5101" spans="1:8" customFormat="1" x14ac:dyDescent="0.25">
      <c r="A5101" t="str">
        <f>"7834122"</f>
        <v>7834122</v>
      </c>
      <c r="B5101" t="s">
        <v>5729</v>
      </c>
      <c r="C5101" t="s">
        <v>5730</v>
      </c>
      <c r="D5101" s="21" t="s">
        <v>34</v>
      </c>
      <c r="E5101" s="21" t="s">
        <v>35</v>
      </c>
      <c r="F5101">
        <v>8780496</v>
      </c>
      <c r="G5101" t="s">
        <v>2477</v>
      </c>
      <c r="H5101" s="21">
        <v>1190.17</v>
      </c>
    </row>
    <row r="5102" spans="1:8" customFormat="1" x14ac:dyDescent="0.25">
      <c r="A5102" t="str">
        <f>"5912828"</f>
        <v>5912828</v>
      </c>
      <c r="B5102" t="s">
        <v>5417</v>
      </c>
      <c r="C5102" t="s">
        <v>4721</v>
      </c>
      <c r="D5102" s="21" t="s">
        <v>34</v>
      </c>
      <c r="E5102" s="21" t="s">
        <v>35</v>
      </c>
      <c r="F5102">
        <v>7590071</v>
      </c>
      <c r="G5102" t="s">
        <v>2602</v>
      </c>
      <c r="H5102" s="21">
        <v>1190.17</v>
      </c>
    </row>
    <row r="5103" spans="1:8" customFormat="1" x14ac:dyDescent="0.25">
      <c r="A5103" t="str">
        <f>"1610073"</f>
        <v>1610073</v>
      </c>
      <c r="B5103" t="s">
        <v>6790</v>
      </c>
      <c r="C5103" t="s">
        <v>33</v>
      </c>
      <c r="D5103" s="21" t="s">
        <v>34</v>
      </c>
      <c r="E5103" s="21" t="s">
        <v>35</v>
      </c>
      <c r="F5103">
        <v>10160059</v>
      </c>
      <c r="G5103" t="s">
        <v>6791</v>
      </c>
      <c r="H5103" s="21">
        <v>1189.92</v>
      </c>
    </row>
    <row r="5104" spans="1:8" customFormat="1" x14ac:dyDescent="0.25">
      <c r="A5104" t="str">
        <f>"457226"</f>
        <v>457226</v>
      </c>
      <c r="B5104" t="s">
        <v>5504</v>
      </c>
      <c r="C5104" t="s">
        <v>33</v>
      </c>
      <c r="D5104" s="21" t="s">
        <v>34</v>
      </c>
      <c r="E5104" s="21" t="s">
        <v>35</v>
      </c>
      <c r="F5104">
        <v>4450026</v>
      </c>
      <c r="G5104" t="s">
        <v>291</v>
      </c>
      <c r="H5104" s="21">
        <v>1189.92</v>
      </c>
    </row>
    <row r="5105" spans="1:8" customFormat="1" x14ac:dyDescent="0.25">
      <c r="A5105" t="str">
        <f>"945475"</f>
        <v>945475</v>
      </c>
      <c r="B5105" t="s">
        <v>697</v>
      </c>
      <c r="C5105" t="s">
        <v>621</v>
      </c>
      <c r="D5105" s="21" t="s">
        <v>34</v>
      </c>
      <c r="E5105" s="21" t="s">
        <v>35</v>
      </c>
      <c r="F5105">
        <v>8940012</v>
      </c>
      <c r="G5105" t="s">
        <v>1648</v>
      </c>
      <c r="H5105" s="21">
        <v>1189.8</v>
      </c>
    </row>
    <row r="5106" spans="1:8" customFormat="1" x14ac:dyDescent="0.25">
      <c r="A5106" t="str">
        <f>"4921068"</f>
        <v>4921068</v>
      </c>
      <c r="B5106" t="s">
        <v>5552</v>
      </c>
      <c r="C5106" t="s">
        <v>40</v>
      </c>
      <c r="D5106" s="21" t="s">
        <v>34</v>
      </c>
      <c r="E5106" s="21" t="s">
        <v>71</v>
      </c>
      <c r="F5106">
        <v>12490027</v>
      </c>
      <c r="G5106" t="s">
        <v>766</v>
      </c>
      <c r="H5106" s="21">
        <v>1189.67</v>
      </c>
    </row>
    <row r="5107" spans="1:8" customFormat="1" x14ac:dyDescent="0.25">
      <c r="A5107" t="str">
        <f>"5962853"</f>
        <v>5962853</v>
      </c>
      <c r="B5107" t="s">
        <v>6004</v>
      </c>
      <c r="C5107" t="s">
        <v>169</v>
      </c>
      <c r="D5107" s="21" t="s">
        <v>34</v>
      </c>
      <c r="E5107" s="21" t="s">
        <v>35</v>
      </c>
      <c r="F5107">
        <v>7590008</v>
      </c>
      <c r="G5107" t="s">
        <v>110</v>
      </c>
      <c r="H5107" s="21">
        <v>1189.67</v>
      </c>
    </row>
    <row r="5108" spans="1:8" customFormat="1" x14ac:dyDescent="0.25">
      <c r="A5108" t="str">
        <f>"49744"</f>
        <v>49744</v>
      </c>
      <c r="B5108" t="s">
        <v>185</v>
      </c>
      <c r="C5108" t="s">
        <v>239</v>
      </c>
      <c r="D5108" s="21" t="s">
        <v>34</v>
      </c>
      <c r="E5108" s="21" t="s">
        <v>71</v>
      </c>
      <c r="F5108">
        <v>12490027</v>
      </c>
      <c r="G5108" t="s">
        <v>766</v>
      </c>
      <c r="H5108" s="21">
        <v>1189.67</v>
      </c>
    </row>
    <row r="5109" spans="1:8" customFormat="1" x14ac:dyDescent="0.25">
      <c r="A5109" t="str">
        <f>"5010572"</f>
        <v>5010572</v>
      </c>
      <c r="B5109" t="s">
        <v>3913</v>
      </c>
      <c r="C5109" t="s">
        <v>55</v>
      </c>
      <c r="D5109" s="21" t="s">
        <v>34</v>
      </c>
      <c r="E5109" s="21" t="s">
        <v>71</v>
      </c>
      <c r="F5109">
        <v>9500011</v>
      </c>
      <c r="G5109" t="s">
        <v>4903</v>
      </c>
      <c r="H5109" s="21">
        <v>1189.67</v>
      </c>
    </row>
    <row r="5110" spans="1:8" customFormat="1" x14ac:dyDescent="0.25">
      <c r="A5110" t="str">
        <f>"7635735"</f>
        <v>7635735</v>
      </c>
      <c r="B5110" t="s">
        <v>6446</v>
      </c>
      <c r="C5110" t="s">
        <v>121</v>
      </c>
      <c r="D5110" s="21" t="s">
        <v>34</v>
      </c>
      <c r="E5110" s="21" t="s">
        <v>35</v>
      </c>
      <c r="F5110">
        <v>9760082</v>
      </c>
      <c r="G5110" t="s">
        <v>2387</v>
      </c>
      <c r="H5110" s="21">
        <v>1189.67</v>
      </c>
    </row>
    <row r="5111" spans="1:8" customFormat="1" x14ac:dyDescent="0.25">
      <c r="A5111" t="str">
        <f>"7624811"</f>
        <v>7624811</v>
      </c>
      <c r="B5111" t="s">
        <v>5276</v>
      </c>
      <c r="C5111" t="s">
        <v>87</v>
      </c>
      <c r="D5111" s="21" t="s">
        <v>34</v>
      </c>
      <c r="E5111" s="21" t="s">
        <v>71</v>
      </c>
      <c r="F5111">
        <v>9760015</v>
      </c>
      <c r="G5111" t="s">
        <v>5277</v>
      </c>
      <c r="H5111" s="21">
        <v>1189.67</v>
      </c>
    </row>
    <row r="5112" spans="1:8" customFormat="1" x14ac:dyDescent="0.25">
      <c r="A5112" t="str">
        <f>"40254"</f>
        <v>40254</v>
      </c>
      <c r="B5112" t="s">
        <v>5568</v>
      </c>
      <c r="C5112" t="s">
        <v>33</v>
      </c>
      <c r="D5112" s="21" t="s">
        <v>34</v>
      </c>
      <c r="E5112" s="21" t="s">
        <v>71</v>
      </c>
      <c r="F5112">
        <v>10400010</v>
      </c>
      <c r="G5112" t="s">
        <v>2446</v>
      </c>
      <c r="H5112" s="21">
        <v>1189.67</v>
      </c>
    </row>
    <row r="5113" spans="1:8" customFormat="1" x14ac:dyDescent="0.25">
      <c r="A5113" t="str">
        <f>"718532"</f>
        <v>718532</v>
      </c>
      <c r="B5113" t="s">
        <v>940</v>
      </c>
      <c r="C5113" t="s">
        <v>484</v>
      </c>
      <c r="D5113" s="21" t="s">
        <v>34</v>
      </c>
      <c r="E5113" s="21" t="s">
        <v>71</v>
      </c>
      <c r="F5113">
        <v>2710042</v>
      </c>
      <c r="G5113" t="s">
        <v>1997</v>
      </c>
      <c r="H5113" s="21">
        <v>1189.67</v>
      </c>
    </row>
    <row r="5114" spans="1:8" customFormat="1" x14ac:dyDescent="0.25">
      <c r="A5114" t="str">
        <f>"613392"</f>
        <v>613392</v>
      </c>
      <c r="B5114" t="s">
        <v>5315</v>
      </c>
      <c r="C5114" t="s">
        <v>263</v>
      </c>
      <c r="D5114" s="21" t="s">
        <v>34</v>
      </c>
      <c r="E5114" s="21" t="s">
        <v>71</v>
      </c>
      <c r="F5114">
        <v>9610012</v>
      </c>
      <c r="G5114" t="s">
        <v>5316</v>
      </c>
      <c r="H5114" s="21">
        <v>1189.67</v>
      </c>
    </row>
    <row r="5115" spans="1:8" customFormat="1" x14ac:dyDescent="0.25">
      <c r="A5115" t="str">
        <f>"3324109"</f>
        <v>3324109</v>
      </c>
      <c r="B5115" t="s">
        <v>7199</v>
      </c>
      <c r="C5115" t="s">
        <v>528</v>
      </c>
      <c r="D5115" s="21" t="s">
        <v>34</v>
      </c>
      <c r="E5115" s="21" t="s">
        <v>35</v>
      </c>
      <c r="F5115">
        <v>10330050</v>
      </c>
      <c r="G5115" t="s">
        <v>2488</v>
      </c>
      <c r="H5115" s="21">
        <v>1189.3</v>
      </c>
    </row>
    <row r="5116" spans="1:8" customFormat="1" x14ac:dyDescent="0.25">
      <c r="A5116" t="str">
        <f>"9523487"</f>
        <v>9523487</v>
      </c>
      <c r="B5116" t="s">
        <v>23604</v>
      </c>
      <c r="C5116" t="s">
        <v>87</v>
      </c>
      <c r="D5116" s="21" t="s">
        <v>34</v>
      </c>
      <c r="E5116" s="21" t="s">
        <v>35</v>
      </c>
      <c r="F5116">
        <v>8951312</v>
      </c>
      <c r="G5116" t="s">
        <v>1007</v>
      </c>
      <c r="H5116" s="21">
        <v>1189.29</v>
      </c>
    </row>
    <row r="5117" spans="1:8" customFormat="1" x14ac:dyDescent="0.25">
      <c r="A5117" t="str">
        <f>"6244"</f>
        <v>6244</v>
      </c>
      <c r="B5117" t="s">
        <v>5255</v>
      </c>
      <c r="C5117" t="s">
        <v>269</v>
      </c>
      <c r="D5117" s="21" t="s">
        <v>34</v>
      </c>
      <c r="E5117" s="21" t="s">
        <v>71</v>
      </c>
      <c r="F5117">
        <v>7620005</v>
      </c>
      <c r="G5117" t="s">
        <v>200</v>
      </c>
      <c r="H5117" s="21">
        <v>1189.17</v>
      </c>
    </row>
    <row r="5118" spans="1:8" customFormat="1" x14ac:dyDescent="0.25">
      <c r="A5118" t="str">
        <f>"355317"</f>
        <v>355317</v>
      </c>
      <c r="B5118" t="s">
        <v>2930</v>
      </c>
      <c r="C5118" t="s">
        <v>198</v>
      </c>
      <c r="D5118" s="21" t="s">
        <v>34</v>
      </c>
      <c r="E5118" s="21" t="s">
        <v>35</v>
      </c>
      <c r="F5118">
        <v>3350212</v>
      </c>
      <c r="G5118" t="s">
        <v>5154</v>
      </c>
      <c r="H5118" s="21">
        <v>1189.17</v>
      </c>
    </row>
    <row r="5119" spans="1:8" customFormat="1" x14ac:dyDescent="0.25">
      <c r="A5119" t="str">
        <f>"901148"</f>
        <v>901148</v>
      </c>
      <c r="B5119" t="s">
        <v>6190</v>
      </c>
      <c r="C5119" t="s">
        <v>1025</v>
      </c>
      <c r="D5119" s="21" t="s">
        <v>34</v>
      </c>
      <c r="E5119" s="21" t="s">
        <v>35</v>
      </c>
      <c r="F5119">
        <v>2900003</v>
      </c>
      <c r="G5119" t="s">
        <v>1742</v>
      </c>
      <c r="H5119" s="21">
        <v>1189.17</v>
      </c>
    </row>
    <row r="5120" spans="1:8" customFormat="1" x14ac:dyDescent="0.25">
      <c r="A5120" t="str">
        <f>"2934436"</f>
        <v>2934436</v>
      </c>
      <c r="B5120" t="s">
        <v>6681</v>
      </c>
      <c r="C5120" t="s">
        <v>139</v>
      </c>
      <c r="D5120" s="21" t="s">
        <v>34</v>
      </c>
      <c r="E5120" s="21" t="s">
        <v>35</v>
      </c>
      <c r="F5120">
        <v>3290275</v>
      </c>
      <c r="G5120" t="s">
        <v>4762</v>
      </c>
      <c r="H5120" s="21">
        <v>1189.17</v>
      </c>
    </row>
    <row r="5121" spans="1:8" customFormat="1" x14ac:dyDescent="0.25">
      <c r="A5121" t="str">
        <f>"6311494"</f>
        <v>6311494</v>
      </c>
      <c r="B5121" t="s">
        <v>6020</v>
      </c>
      <c r="C5121" t="s">
        <v>198</v>
      </c>
      <c r="D5121" s="21" t="s">
        <v>34</v>
      </c>
      <c r="E5121" s="21" t="s">
        <v>35</v>
      </c>
      <c r="F5121">
        <v>1630009</v>
      </c>
      <c r="G5121" t="s">
        <v>6021</v>
      </c>
      <c r="H5121" s="21">
        <v>1189.17</v>
      </c>
    </row>
    <row r="5122" spans="1:8" customFormat="1" x14ac:dyDescent="0.25">
      <c r="A5122" t="str">
        <f>"547457"</f>
        <v>547457</v>
      </c>
      <c r="B5122" t="s">
        <v>7281</v>
      </c>
      <c r="C5122" t="s">
        <v>7282</v>
      </c>
      <c r="D5122" s="21" t="s">
        <v>34</v>
      </c>
      <c r="E5122" s="21" t="s">
        <v>35</v>
      </c>
      <c r="F5122">
        <v>6540108</v>
      </c>
      <c r="G5122" t="s">
        <v>4340</v>
      </c>
      <c r="H5122" s="21">
        <v>1189.17</v>
      </c>
    </row>
    <row r="5123" spans="1:8" customFormat="1" x14ac:dyDescent="0.25">
      <c r="A5123" t="str">
        <f>"4431490"</f>
        <v>4431490</v>
      </c>
      <c r="B5123" t="s">
        <v>6001</v>
      </c>
      <c r="C5123" t="s">
        <v>285</v>
      </c>
      <c r="D5123" s="21" t="s">
        <v>34</v>
      </c>
      <c r="E5123" s="21" t="s">
        <v>71</v>
      </c>
      <c r="F5123">
        <v>12440030</v>
      </c>
      <c r="G5123" t="s">
        <v>5524</v>
      </c>
      <c r="H5123" s="21">
        <v>1188.92</v>
      </c>
    </row>
    <row r="5124" spans="1:8" customFormat="1" x14ac:dyDescent="0.25">
      <c r="A5124" t="str">
        <f>"319468"</f>
        <v>319468</v>
      </c>
      <c r="B5124" t="s">
        <v>7069</v>
      </c>
      <c r="C5124" t="s">
        <v>33</v>
      </c>
      <c r="D5124" s="21" t="s">
        <v>34</v>
      </c>
      <c r="E5124" s="21" t="s">
        <v>35</v>
      </c>
      <c r="F5124">
        <v>8771315</v>
      </c>
      <c r="G5124" t="s">
        <v>7070</v>
      </c>
      <c r="H5124" s="21">
        <v>1188.8</v>
      </c>
    </row>
    <row r="5125" spans="1:8" customFormat="1" x14ac:dyDescent="0.25">
      <c r="A5125" t="str">
        <f>"884610"</f>
        <v>884610</v>
      </c>
      <c r="B5125" t="s">
        <v>1102</v>
      </c>
      <c r="C5125" t="s">
        <v>144</v>
      </c>
      <c r="D5125" s="21" t="s">
        <v>34</v>
      </c>
      <c r="E5125" s="21" t="s">
        <v>35</v>
      </c>
      <c r="F5125">
        <v>6680130</v>
      </c>
      <c r="G5125" t="s">
        <v>26772</v>
      </c>
      <c r="H5125" s="21">
        <v>1188.67</v>
      </c>
    </row>
    <row r="5126" spans="1:8" customFormat="1" x14ac:dyDescent="0.25">
      <c r="A5126" t="str">
        <f>"7511457"</f>
        <v>7511457</v>
      </c>
      <c r="B5126" t="s">
        <v>5353</v>
      </c>
      <c r="C5126" t="s">
        <v>121</v>
      </c>
      <c r="D5126" s="21" t="s">
        <v>34</v>
      </c>
      <c r="E5126" s="21" t="s">
        <v>35</v>
      </c>
      <c r="F5126">
        <v>8750120</v>
      </c>
      <c r="G5126" t="s">
        <v>838</v>
      </c>
      <c r="H5126" s="21">
        <v>1188.67</v>
      </c>
    </row>
    <row r="5127" spans="1:8" customFormat="1" x14ac:dyDescent="0.25">
      <c r="A5127" t="str">
        <f>"363923"</f>
        <v>363923</v>
      </c>
      <c r="B5127" t="s">
        <v>7507</v>
      </c>
      <c r="C5127" t="s">
        <v>285</v>
      </c>
      <c r="D5127" s="21" t="s">
        <v>34</v>
      </c>
      <c r="E5127" s="21" t="s">
        <v>35</v>
      </c>
      <c r="F5127">
        <v>4360341</v>
      </c>
      <c r="G5127" t="s">
        <v>4912</v>
      </c>
      <c r="H5127" s="21">
        <v>1188.67</v>
      </c>
    </row>
    <row r="5128" spans="1:8" customFormat="1" x14ac:dyDescent="0.25">
      <c r="A5128" t="str">
        <f>"7852224"</f>
        <v>7852224</v>
      </c>
      <c r="B5128" t="s">
        <v>3958</v>
      </c>
      <c r="C5128" t="s">
        <v>40</v>
      </c>
      <c r="D5128" s="21" t="s">
        <v>34</v>
      </c>
      <c r="E5128" s="21" t="s">
        <v>71</v>
      </c>
      <c r="F5128">
        <v>8780107</v>
      </c>
      <c r="G5128" t="s">
        <v>4186</v>
      </c>
      <c r="H5128" s="21">
        <v>1188.67</v>
      </c>
    </row>
    <row r="5129" spans="1:8" customFormat="1" x14ac:dyDescent="0.25">
      <c r="A5129" t="str">
        <f>"4428503"</f>
        <v>4428503</v>
      </c>
      <c r="B5129" t="s">
        <v>5615</v>
      </c>
      <c r="C5129" t="s">
        <v>169</v>
      </c>
      <c r="D5129" s="21" t="s">
        <v>34</v>
      </c>
      <c r="E5129" s="21" t="s">
        <v>71</v>
      </c>
      <c r="F5129">
        <v>12490122</v>
      </c>
      <c r="G5129" t="s">
        <v>26752</v>
      </c>
      <c r="H5129" s="21">
        <v>1188.67</v>
      </c>
    </row>
    <row r="5130" spans="1:8" customFormat="1" x14ac:dyDescent="0.25">
      <c r="A5130" t="str">
        <f>"9114003"</f>
        <v>9114003</v>
      </c>
      <c r="B5130" t="s">
        <v>6751</v>
      </c>
      <c r="C5130" t="s">
        <v>2479</v>
      </c>
      <c r="D5130" s="21" t="s">
        <v>34</v>
      </c>
      <c r="E5130" s="21" t="s">
        <v>35</v>
      </c>
      <c r="F5130">
        <v>8911225</v>
      </c>
      <c r="G5130" t="s">
        <v>4297</v>
      </c>
      <c r="H5130" s="21">
        <v>1188.67</v>
      </c>
    </row>
    <row r="5131" spans="1:8" customFormat="1" x14ac:dyDescent="0.25">
      <c r="A5131" t="str">
        <f>"5936628"</f>
        <v>5936628</v>
      </c>
      <c r="B5131" t="s">
        <v>2873</v>
      </c>
      <c r="C5131" t="s">
        <v>87</v>
      </c>
      <c r="D5131" s="21" t="s">
        <v>34</v>
      </c>
      <c r="E5131" s="21" t="s">
        <v>35</v>
      </c>
      <c r="F5131">
        <v>7620027</v>
      </c>
      <c r="G5131" t="s">
        <v>980</v>
      </c>
      <c r="H5131" s="21">
        <v>1188.67</v>
      </c>
    </row>
    <row r="5132" spans="1:8" customFormat="1" x14ac:dyDescent="0.25">
      <c r="A5132" t="str">
        <f>"5970634"</f>
        <v>5970634</v>
      </c>
      <c r="B5132" t="s">
        <v>6717</v>
      </c>
      <c r="C5132" t="s">
        <v>119</v>
      </c>
      <c r="D5132" s="21" t="s">
        <v>34</v>
      </c>
      <c r="E5132" s="21" t="s">
        <v>35</v>
      </c>
      <c r="F5132">
        <v>7590075</v>
      </c>
      <c r="G5132" t="s">
        <v>6459</v>
      </c>
      <c r="H5132" s="21">
        <v>1188.67</v>
      </c>
    </row>
    <row r="5133" spans="1:8" customFormat="1" x14ac:dyDescent="0.25">
      <c r="A5133" t="str">
        <f>"919747"</f>
        <v>919747</v>
      </c>
      <c r="B5133" t="s">
        <v>1729</v>
      </c>
      <c r="C5133" t="s">
        <v>285</v>
      </c>
      <c r="D5133" s="21" t="s">
        <v>34</v>
      </c>
      <c r="E5133" s="21" t="s">
        <v>35</v>
      </c>
      <c r="F5133">
        <v>8911280</v>
      </c>
      <c r="G5133" t="s">
        <v>3417</v>
      </c>
      <c r="H5133" s="21">
        <v>1188.55</v>
      </c>
    </row>
    <row r="5134" spans="1:8" customFormat="1" x14ac:dyDescent="0.25">
      <c r="A5134" t="str">
        <f>"427499"</f>
        <v>427499</v>
      </c>
      <c r="B5134" t="s">
        <v>5420</v>
      </c>
      <c r="C5134" t="s">
        <v>87</v>
      </c>
      <c r="D5134" s="21" t="s">
        <v>34</v>
      </c>
      <c r="E5134" s="21" t="s">
        <v>35</v>
      </c>
      <c r="F5134">
        <v>1420055</v>
      </c>
      <c r="G5134" t="s">
        <v>5421</v>
      </c>
      <c r="H5134" s="21">
        <v>1188.17</v>
      </c>
    </row>
    <row r="5135" spans="1:8" customFormat="1" x14ac:dyDescent="0.25">
      <c r="A5135" t="str">
        <f>"5931837"</f>
        <v>5931837</v>
      </c>
      <c r="B5135" t="s">
        <v>6536</v>
      </c>
      <c r="C5135" t="s">
        <v>6537</v>
      </c>
      <c r="D5135" s="21" t="s">
        <v>34</v>
      </c>
      <c r="E5135" s="21" t="s">
        <v>35</v>
      </c>
      <c r="F5135">
        <v>7590055</v>
      </c>
      <c r="G5135" t="s">
        <v>1573</v>
      </c>
      <c r="H5135" s="21">
        <v>1188.17</v>
      </c>
    </row>
    <row r="5136" spans="1:8" customFormat="1" x14ac:dyDescent="0.25">
      <c r="A5136" t="str">
        <f>"166137"</f>
        <v>166137</v>
      </c>
      <c r="B5136" t="s">
        <v>208</v>
      </c>
      <c r="C5136" t="s">
        <v>598</v>
      </c>
      <c r="D5136" s="21" t="s">
        <v>34</v>
      </c>
      <c r="E5136" s="21" t="s">
        <v>71</v>
      </c>
      <c r="F5136">
        <v>10160023</v>
      </c>
      <c r="G5136" t="s">
        <v>2246</v>
      </c>
      <c r="H5136" s="21">
        <v>1188.17</v>
      </c>
    </row>
    <row r="5137" spans="1:8" customFormat="1" x14ac:dyDescent="0.25">
      <c r="A5137" t="str">
        <f>"501991"</f>
        <v>501991</v>
      </c>
      <c r="B5137" t="s">
        <v>5802</v>
      </c>
      <c r="C5137" t="s">
        <v>2546</v>
      </c>
      <c r="D5137" s="21" t="s">
        <v>34</v>
      </c>
      <c r="E5137" s="21" t="s">
        <v>254</v>
      </c>
      <c r="F5137">
        <v>9500030</v>
      </c>
      <c r="G5137" t="s">
        <v>2166</v>
      </c>
      <c r="H5137" s="21">
        <v>1188.17</v>
      </c>
    </row>
    <row r="5138" spans="1:8" customFormat="1" x14ac:dyDescent="0.25">
      <c r="A5138" t="str">
        <f>"01178"</f>
        <v>01178</v>
      </c>
      <c r="B5138" t="s">
        <v>911</v>
      </c>
      <c r="C5138" t="s">
        <v>58</v>
      </c>
      <c r="D5138" s="21" t="s">
        <v>34</v>
      </c>
      <c r="E5138" s="21" t="s">
        <v>35</v>
      </c>
      <c r="F5138">
        <v>1010020</v>
      </c>
      <c r="G5138" t="s">
        <v>6121</v>
      </c>
      <c r="H5138" s="21">
        <v>1188.17</v>
      </c>
    </row>
    <row r="5139" spans="1:8" customFormat="1" x14ac:dyDescent="0.25">
      <c r="A5139" t="str">
        <f>"5934328"</f>
        <v>5934328</v>
      </c>
      <c r="B5139" t="s">
        <v>5607</v>
      </c>
      <c r="C5139" t="s">
        <v>187</v>
      </c>
      <c r="D5139" s="21" t="s">
        <v>34</v>
      </c>
      <c r="E5139" s="21" t="s">
        <v>35</v>
      </c>
      <c r="F5139">
        <v>7590122</v>
      </c>
      <c r="G5139" t="s">
        <v>5608</v>
      </c>
      <c r="H5139" s="21">
        <v>1188.17</v>
      </c>
    </row>
    <row r="5140" spans="1:8" customFormat="1" x14ac:dyDescent="0.25">
      <c r="A5140" t="str">
        <f>"641370"</f>
        <v>641370</v>
      </c>
      <c r="B5140" t="s">
        <v>7547</v>
      </c>
      <c r="C5140" t="s">
        <v>198</v>
      </c>
      <c r="D5140" s="21" t="s">
        <v>34</v>
      </c>
      <c r="E5140" s="21" t="s">
        <v>35</v>
      </c>
      <c r="F5140">
        <v>10640019</v>
      </c>
      <c r="G5140" t="s">
        <v>3123</v>
      </c>
      <c r="H5140" s="21">
        <v>1188.17</v>
      </c>
    </row>
    <row r="5141" spans="1:8" customFormat="1" x14ac:dyDescent="0.25">
      <c r="A5141" t="str">
        <f>"103100"</f>
        <v>103100</v>
      </c>
      <c r="B5141" t="s">
        <v>6172</v>
      </c>
      <c r="C5141" t="s">
        <v>62</v>
      </c>
      <c r="D5141" s="21" t="s">
        <v>34</v>
      </c>
      <c r="E5141" s="21" t="s">
        <v>35</v>
      </c>
      <c r="F5141">
        <v>6100015</v>
      </c>
      <c r="G5141" t="s">
        <v>6173</v>
      </c>
      <c r="H5141" s="21">
        <v>1188.17</v>
      </c>
    </row>
    <row r="5142" spans="1:8" customFormat="1" x14ac:dyDescent="0.25">
      <c r="A5142" t="str">
        <f>"69695"</f>
        <v>69695</v>
      </c>
      <c r="B5142" t="s">
        <v>4959</v>
      </c>
      <c r="C5142" t="s">
        <v>109</v>
      </c>
      <c r="D5142" s="21" t="s">
        <v>34</v>
      </c>
      <c r="E5142" s="21" t="s">
        <v>71</v>
      </c>
      <c r="F5142">
        <v>1690030</v>
      </c>
      <c r="G5142" t="s">
        <v>432</v>
      </c>
      <c r="H5142" s="21">
        <v>1188.17</v>
      </c>
    </row>
    <row r="5143" spans="1:8" customFormat="1" x14ac:dyDescent="0.25">
      <c r="A5143" t="str">
        <f>"782059"</f>
        <v>782059</v>
      </c>
      <c r="B5143" t="s">
        <v>5375</v>
      </c>
      <c r="C5143" t="s">
        <v>2904</v>
      </c>
      <c r="D5143" s="21" t="s">
        <v>34</v>
      </c>
      <c r="E5143" s="21" t="s">
        <v>71</v>
      </c>
      <c r="F5143">
        <v>8781006</v>
      </c>
      <c r="G5143" t="s">
        <v>5376</v>
      </c>
      <c r="H5143" s="21">
        <v>1188.17</v>
      </c>
    </row>
    <row r="5144" spans="1:8" customFormat="1" x14ac:dyDescent="0.25">
      <c r="A5144" t="str">
        <f>"2711860"</f>
        <v>2711860</v>
      </c>
      <c r="B5144" t="s">
        <v>6509</v>
      </c>
      <c r="C5144" t="s">
        <v>2072</v>
      </c>
      <c r="D5144" s="21" t="s">
        <v>34</v>
      </c>
      <c r="E5144" s="21" t="s">
        <v>35</v>
      </c>
      <c r="F5144">
        <v>9270005</v>
      </c>
      <c r="G5144" t="s">
        <v>1255</v>
      </c>
      <c r="H5144" s="21">
        <v>1187.67</v>
      </c>
    </row>
    <row r="5145" spans="1:8" customFormat="1" x14ac:dyDescent="0.25">
      <c r="A5145" t="str">
        <f>"6941734"</f>
        <v>6941734</v>
      </c>
      <c r="B5145" t="s">
        <v>1883</v>
      </c>
      <c r="C5145" t="s">
        <v>169</v>
      </c>
      <c r="D5145" s="21" t="s">
        <v>34</v>
      </c>
      <c r="E5145" s="21" t="s">
        <v>71</v>
      </c>
      <c r="F5145">
        <v>1690058</v>
      </c>
      <c r="G5145" t="s">
        <v>1644</v>
      </c>
      <c r="H5145" s="21">
        <v>1187.67</v>
      </c>
    </row>
    <row r="5146" spans="1:8" customFormat="1" x14ac:dyDescent="0.25">
      <c r="A5146" t="str">
        <f>"317981"</f>
        <v>317981</v>
      </c>
      <c r="B5146" t="s">
        <v>6243</v>
      </c>
      <c r="C5146" t="s">
        <v>90</v>
      </c>
      <c r="D5146" s="21" t="s">
        <v>34</v>
      </c>
      <c r="E5146" s="21" t="s">
        <v>35</v>
      </c>
      <c r="F5146">
        <v>11810028</v>
      </c>
      <c r="G5146" t="s">
        <v>5817</v>
      </c>
      <c r="H5146" s="21">
        <v>1187.67</v>
      </c>
    </row>
    <row r="5147" spans="1:8" customFormat="1" x14ac:dyDescent="0.25">
      <c r="A5147" t="str">
        <f>"7211866"</f>
        <v>7211866</v>
      </c>
      <c r="B5147" t="s">
        <v>6510</v>
      </c>
      <c r="C5147" t="s">
        <v>87</v>
      </c>
      <c r="D5147" s="21" t="s">
        <v>34</v>
      </c>
      <c r="E5147" s="21" t="s">
        <v>35</v>
      </c>
      <c r="F5147">
        <v>12440067</v>
      </c>
      <c r="G5147" t="s">
        <v>1723</v>
      </c>
      <c r="H5147" s="21">
        <v>1187.67</v>
      </c>
    </row>
    <row r="5148" spans="1:8" customFormat="1" x14ac:dyDescent="0.25">
      <c r="A5148" t="str">
        <f>"5636"</f>
        <v>5636</v>
      </c>
      <c r="B5148" t="s">
        <v>1986</v>
      </c>
      <c r="C5148" t="s">
        <v>1605</v>
      </c>
      <c r="D5148" s="21" t="s">
        <v>34</v>
      </c>
      <c r="E5148" s="21" t="s">
        <v>254</v>
      </c>
      <c r="F5148">
        <v>3560002</v>
      </c>
      <c r="G5148" t="s">
        <v>5437</v>
      </c>
      <c r="H5148" s="21">
        <v>1187.67</v>
      </c>
    </row>
    <row r="5149" spans="1:8" customFormat="1" x14ac:dyDescent="0.25">
      <c r="A5149" t="str">
        <f>"943352"</f>
        <v>943352</v>
      </c>
      <c r="B5149" t="s">
        <v>5804</v>
      </c>
      <c r="C5149" t="s">
        <v>926</v>
      </c>
      <c r="D5149" s="21" t="s">
        <v>34</v>
      </c>
      <c r="E5149" s="21" t="s">
        <v>254</v>
      </c>
      <c r="F5149">
        <v>8940033</v>
      </c>
      <c r="G5149" t="s">
        <v>1376</v>
      </c>
      <c r="H5149" s="21">
        <v>1187.67</v>
      </c>
    </row>
    <row r="5150" spans="1:8" customFormat="1" x14ac:dyDescent="0.25">
      <c r="A5150" t="str">
        <f>"634264"</f>
        <v>634264</v>
      </c>
      <c r="B5150" t="s">
        <v>8407</v>
      </c>
      <c r="C5150" t="s">
        <v>275</v>
      </c>
      <c r="D5150" s="21" t="s">
        <v>34</v>
      </c>
      <c r="E5150" s="21" t="s">
        <v>35</v>
      </c>
      <c r="F5150">
        <v>1630281</v>
      </c>
      <c r="G5150" t="s">
        <v>1190</v>
      </c>
      <c r="H5150" s="21">
        <v>1187.67</v>
      </c>
    </row>
    <row r="5151" spans="1:8" customFormat="1" x14ac:dyDescent="0.25">
      <c r="A5151" t="str">
        <f>"165752"</f>
        <v>165752</v>
      </c>
      <c r="B5151" t="s">
        <v>1094</v>
      </c>
      <c r="C5151" t="s">
        <v>109</v>
      </c>
      <c r="D5151" s="21" t="s">
        <v>34</v>
      </c>
      <c r="E5151" s="21" t="s">
        <v>35</v>
      </c>
      <c r="F5151">
        <v>10160029</v>
      </c>
      <c r="G5151" t="s">
        <v>896</v>
      </c>
      <c r="H5151" s="21">
        <v>1187.67</v>
      </c>
    </row>
    <row r="5152" spans="1:8" customFormat="1" x14ac:dyDescent="0.25">
      <c r="A5152" t="str">
        <f>"9228967"</f>
        <v>9228967</v>
      </c>
      <c r="B5152" t="s">
        <v>5997</v>
      </c>
      <c r="C5152" t="s">
        <v>305</v>
      </c>
      <c r="D5152" s="21" t="s">
        <v>34</v>
      </c>
      <c r="E5152" s="21" t="s">
        <v>35</v>
      </c>
      <c r="F5152">
        <v>11340008</v>
      </c>
      <c r="G5152" t="s">
        <v>312</v>
      </c>
      <c r="H5152" s="21">
        <v>1187.67</v>
      </c>
    </row>
    <row r="5153" spans="1:8" customFormat="1" x14ac:dyDescent="0.25">
      <c r="A5153" t="str">
        <f>"673082"</f>
        <v>673082</v>
      </c>
      <c r="B5153" t="s">
        <v>1516</v>
      </c>
      <c r="C5153" t="s">
        <v>114</v>
      </c>
      <c r="D5153" s="21" t="s">
        <v>34</v>
      </c>
      <c r="E5153" s="21" t="s">
        <v>71</v>
      </c>
      <c r="F5153">
        <v>6670183</v>
      </c>
      <c r="G5153" t="s">
        <v>670</v>
      </c>
      <c r="H5153" s="21">
        <v>1187.67</v>
      </c>
    </row>
    <row r="5154" spans="1:8" customFormat="1" x14ac:dyDescent="0.25">
      <c r="A5154" t="str">
        <f>"7725870"</f>
        <v>7725870</v>
      </c>
      <c r="B5154" t="s">
        <v>2822</v>
      </c>
      <c r="C5154" t="s">
        <v>55</v>
      </c>
      <c r="D5154" s="21" t="s">
        <v>34</v>
      </c>
      <c r="E5154" s="21" t="s">
        <v>35</v>
      </c>
      <c r="F5154">
        <v>8771236</v>
      </c>
      <c r="G5154" t="s">
        <v>386</v>
      </c>
      <c r="H5154" s="21">
        <v>1187.67</v>
      </c>
    </row>
    <row r="5155" spans="1:8" customFormat="1" x14ac:dyDescent="0.25">
      <c r="A5155" t="str">
        <f>"74148"</f>
        <v>74148</v>
      </c>
      <c r="B5155" t="s">
        <v>400</v>
      </c>
      <c r="C5155" t="s">
        <v>415</v>
      </c>
      <c r="D5155" s="21" t="s">
        <v>34</v>
      </c>
      <c r="E5155" s="21" t="s">
        <v>254</v>
      </c>
      <c r="F5155">
        <v>1740090</v>
      </c>
      <c r="G5155" t="s">
        <v>1369</v>
      </c>
      <c r="H5155" s="21">
        <v>1187.43</v>
      </c>
    </row>
    <row r="5156" spans="1:8" customFormat="1" x14ac:dyDescent="0.25">
      <c r="A5156" t="str">
        <f>"2916623"</f>
        <v>2916623</v>
      </c>
      <c r="B5156" t="s">
        <v>26887</v>
      </c>
      <c r="C5156" t="s">
        <v>87</v>
      </c>
      <c r="D5156" s="21" t="s">
        <v>34</v>
      </c>
      <c r="E5156" s="21" t="s">
        <v>35</v>
      </c>
      <c r="F5156">
        <v>3290203</v>
      </c>
      <c r="G5156" t="s">
        <v>9395</v>
      </c>
      <c r="H5156" s="21">
        <v>1187.17</v>
      </c>
    </row>
    <row r="5157" spans="1:8" customFormat="1" x14ac:dyDescent="0.25">
      <c r="A5157" t="str">
        <f>"8013093"</f>
        <v>8013093</v>
      </c>
      <c r="B5157" t="s">
        <v>5693</v>
      </c>
      <c r="C5157" t="s">
        <v>151</v>
      </c>
      <c r="D5157" s="21" t="s">
        <v>34</v>
      </c>
      <c r="E5157" s="21" t="s">
        <v>35</v>
      </c>
      <c r="F5157">
        <v>7800064</v>
      </c>
      <c r="G5157" t="s">
        <v>4496</v>
      </c>
      <c r="H5157" s="21">
        <v>1187.17</v>
      </c>
    </row>
    <row r="5158" spans="1:8" customFormat="1" x14ac:dyDescent="0.25">
      <c r="A5158" t="str">
        <f>"6941402"</f>
        <v>6941402</v>
      </c>
      <c r="B5158" t="s">
        <v>5403</v>
      </c>
      <c r="C5158" t="s">
        <v>130</v>
      </c>
      <c r="D5158" s="21" t="s">
        <v>34</v>
      </c>
      <c r="E5158" s="21" t="s">
        <v>35</v>
      </c>
      <c r="F5158">
        <v>1690160</v>
      </c>
      <c r="G5158" t="s">
        <v>4599</v>
      </c>
      <c r="H5158" s="21">
        <v>1187.17</v>
      </c>
    </row>
    <row r="5159" spans="1:8" customFormat="1" x14ac:dyDescent="0.25">
      <c r="A5159" t="str">
        <f>"5412574"</f>
        <v>5412574</v>
      </c>
      <c r="B5159" t="s">
        <v>765</v>
      </c>
      <c r="C5159" t="s">
        <v>415</v>
      </c>
      <c r="D5159" s="21" t="s">
        <v>34</v>
      </c>
      <c r="E5159" s="21" t="s">
        <v>71</v>
      </c>
      <c r="F5159">
        <v>10330011</v>
      </c>
      <c r="G5159" t="s">
        <v>1789</v>
      </c>
      <c r="H5159" s="21">
        <v>1187.17</v>
      </c>
    </row>
    <row r="5160" spans="1:8" customFormat="1" x14ac:dyDescent="0.25">
      <c r="A5160" t="str">
        <f>"153688"</f>
        <v>153688</v>
      </c>
      <c r="B5160" t="s">
        <v>5646</v>
      </c>
      <c r="C5160" t="s">
        <v>1025</v>
      </c>
      <c r="D5160" s="21" t="s">
        <v>34</v>
      </c>
      <c r="E5160" s="21" t="s">
        <v>35</v>
      </c>
      <c r="F5160">
        <v>1150304</v>
      </c>
      <c r="G5160" t="s">
        <v>5647</v>
      </c>
      <c r="H5160" s="21">
        <v>1187.17</v>
      </c>
    </row>
    <row r="5161" spans="1:8" customFormat="1" x14ac:dyDescent="0.25">
      <c r="A5161" t="str">
        <f>"5921580"</f>
        <v>5921580</v>
      </c>
      <c r="B5161" t="s">
        <v>6422</v>
      </c>
      <c r="C5161" t="s">
        <v>2100</v>
      </c>
      <c r="D5161" s="21" t="s">
        <v>34</v>
      </c>
      <c r="E5161" s="21" t="s">
        <v>71</v>
      </c>
      <c r="F5161">
        <v>7590021</v>
      </c>
      <c r="G5161" t="s">
        <v>4910</v>
      </c>
      <c r="H5161" s="21">
        <v>1187</v>
      </c>
    </row>
    <row r="5162" spans="1:8" customFormat="1" x14ac:dyDescent="0.25">
      <c r="A5162" t="str">
        <f>"4416392"</f>
        <v>4416392</v>
      </c>
      <c r="B5162" t="s">
        <v>4887</v>
      </c>
      <c r="C5162" t="s">
        <v>127</v>
      </c>
      <c r="D5162" s="21" t="s">
        <v>34</v>
      </c>
      <c r="E5162" s="21" t="s">
        <v>35</v>
      </c>
      <c r="F5162">
        <v>12490048</v>
      </c>
      <c r="G5162" t="s">
        <v>4228</v>
      </c>
      <c r="H5162" s="21">
        <v>1186.92</v>
      </c>
    </row>
    <row r="5163" spans="1:8" customFormat="1" x14ac:dyDescent="0.25">
      <c r="A5163" t="str">
        <f>"533841"</f>
        <v>533841</v>
      </c>
      <c r="B5163" t="s">
        <v>3472</v>
      </c>
      <c r="C5163" t="s">
        <v>1615</v>
      </c>
      <c r="D5163" s="21" t="s">
        <v>34</v>
      </c>
      <c r="E5163" s="21" t="s">
        <v>71</v>
      </c>
      <c r="F5163">
        <v>12530087</v>
      </c>
      <c r="G5163" t="s">
        <v>3860</v>
      </c>
      <c r="H5163" s="21">
        <v>1186.92</v>
      </c>
    </row>
    <row r="5164" spans="1:8" customFormat="1" x14ac:dyDescent="0.25">
      <c r="A5164" t="str">
        <f>"9512337"</f>
        <v>9512337</v>
      </c>
      <c r="B5164" t="s">
        <v>4315</v>
      </c>
      <c r="C5164" t="s">
        <v>62</v>
      </c>
      <c r="D5164" s="21" t="s">
        <v>34</v>
      </c>
      <c r="E5164" s="21" t="s">
        <v>71</v>
      </c>
      <c r="F5164">
        <v>8950978</v>
      </c>
      <c r="G5164" t="s">
        <v>1164</v>
      </c>
      <c r="H5164" s="21">
        <v>1186.8</v>
      </c>
    </row>
    <row r="5165" spans="1:8" customFormat="1" x14ac:dyDescent="0.25">
      <c r="A5165" t="str">
        <f>"9416909"</f>
        <v>9416909</v>
      </c>
      <c r="B5165" t="s">
        <v>6379</v>
      </c>
      <c r="C5165" t="s">
        <v>87</v>
      </c>
      <c r="D5165" s="21" t="s">
        <v>34</v>
      </c>
      <c r="E5165" s="21" t="s">
        <v>71</v>
      </c>
      <c r="F5165">
        <v>8940549</v>
      </c>
      <c r="G5165" t="s">
        <v>454</v>
      </c>
      <c r="H5165" s="21">
        <v>1186.68</v>
      </c>
    </row>
    <row r="5166" spans="1:8" customFormat="1" x14ac:dyDescent="0.25">
      <c r="A5166" t="str">
        <f>"522152"</f>
        <v>522152</v>
      </c>
      <c r="B5166" t="s">
        <v>6032</v>
      </c>
      <c r="C5166" t="s">
        <v>6033</v>
      </c>
      <c r="D5166" s="21" t="s">
        <v>34</v>
      </c>
      <c r="E5166" s="21" t="s">
        <v>35</v>
      </c>
      <c r="F5166">
        <v>6520003</v>
      </c>
      <c r="G5166" t="s">
        <v>571</v>
      </c>
      <c r="H5166" s="21">
        <v>1186.67</v>
      </c>
    </row>
    <row r="5167" spans="1:8" customFormat="1" x14ac:dyDescent="0.25">
      <c r="A5167" t="str">
        <f>"2910267"</f>
        <v>2910267</v>
      </c>
      <c r="B5167" t="s">
        <v>6624</v>
      </c>
      <c r="C5167" t="s">
        <v>139</v>
      </c>
      <c r="D5167" s="21" t="s">
        <v>34</v>
      </c>
      <c r="E5167" s="21" t="s">
        <v>71</v>
      </c>
      <c r="F5167">
        <v>3290221</v>
      </c>
      <c r="G5167" t="s">
        <v>3544</v>
      </c>
      <c r="H5167" s="21">
        <v>1186.67</v>
      </c>
    </row>
    <row r="5168" spans="1:8" customFormat="1" x14ac:dyDescent="0.25">
      <c r="A5168" t="str">
        <f>"50983"</f>
        <v>50983</v>
      </c>
      <c r="B5168" t="s">
        <v>5643</v>
      </c>
      <c r="C5168" t="s">
        <v>263</v>
      </c>
      <c r="D5168" s="21" t="s">
        <v>34</v>
      </c>
      <c r="E5168" s="21" t="s">
        <v>254</v>
      </c>
      <c r="F5168">
        <v>9500048</v>
      </c>
      <c r="G5168" t="s">
        <v>1804</v>
      </c>
      <c r="H5168" s="21">
        <v>1186.67</v>
      </c>
    </row>
    <row r="5169" spans="1:8" customFormat="1" x14ac:dyDescent="0.25">
      <c r="A5169" t="str">
        <f>"759643"</f>
        <v>759643</v>
      </c>
      <c r="B5169" t="s">
        <v>1885</v>
      </c>
      <c r="C5169" t="s">
        <v>124</v>
      </c>
      <c r="D5169" s="21" t="s">
        <v>34</v>
      </c>
      <c r="E5169" s="21" t="s">
        <v>71</v>
      </c>
      <c r="F5169">
        <v>8920063</v>
      </c>
      <c r="G5169" t="s">
        <v>219</v>
      </c>
      <c r="H5169" s="21">
        <v>1186.67</v>
      </c>
    </row>
    <row r="5170" spans="1:8" customFormat="1" x14ac:dyDescent="0.25">
      <c r="A5170" t="str">
        <f>"275334"</f>
        <v>275334</v>
      </c>
      <c r="B5170" t="s">
        <v>6153</v>
      </c>
      <c r="C5170" t="s">
        <v>119</v>
      </c>
      <c r="D5170" s="21" t="s">
        <v>34</v>
      </c>
      <c r="E5170" s="21" t="s">
        <v>35</v>
      </c>
      <c r="F5170">
        <v>9270137</v>
      </c>
      <c r="G5170" t="s">
        <v>3714</v>
      </c>
      <c r="H5170" s="21">
        <v>1186.67</v>
      </c>
    </row>
    <row r="5171" spans="1:8" customFormat="1" x14ac:dyDescent="0.25">
      <c r="A5171" t="str">
        <f>"883503"</f>
        <v>883503</v>
      </c>
      <c r="B5171" t="s">
        <v>6496</v>
      </c>
      <c r="C5171" t="s">
        <v>1146</v>
      </c>
      <c r="D5171" s="21" t="s">
        <v>34</v>
      </c>
      <c r="E5171" s="21" t="s">
        <v>35</v>
      </c>
      <c r="F5171">
        <v>6880002</v>
      </c>
      <c r="G5171" t="s">
        <v>501</v>
      </c>
      <c r="H5171" s="21">
        <v>1186.5</v>
      </c>
    </row>
    <row r="5172" spans="1:8" customFormat="1" x14ac:dyDescent="0.25">
      <c r="A5172" t="str">
        <f>"51706"</f>
        <v>51706</v>
      </c>
      <c r="B5172" t="s">
        <v>2980</v>
      </c>
      <c r="C5172" t="s">
        <v>87</v>
      </c>
      <c r="D5172" s="21" t="s">
        <v>34</v>
      </c>
      <c r="E5172" s="21" t="s">
        <v>71</v>
      </c>
      <c r="F5172">
        <v>6510112</v>
      </c>
      <c r="G5172" t="s">
        <v>588</v>
      </c>
      <c r="H5172" s="21">
        <v>1186.5</v>
      </c>
    </row>
    <row r="5173" spans="1:8" customFormat="1" x14ac:dyDescent="0.25">
      <c r="A5173" t="str">
        <f>"9316334"</f>
        <v>9316334</v>
      </c>
      <c r="B5173" t="s">
        <v>6544</v>
      </c>
      <c r="C5173" t="s">
        <v>6545</v>
      </c>
      <c r="D5173" s="21" t="s">
        <v>34</v>
      </c>
      <c r="E5173" s="21" t="s">
        <v>35</v>
      </c>
      <c r="F5173">
        <v>8930113</v>
      </c>
      <c r="G5173" t="s">
        <v>368</v>
      </c>
      <c r="H5173" s="21">
        <v>1186.3</v>
      </c>
    </row>
    <row r="5174" spans="1:8" customFormat="1" x14ac:dyDescent="0.25">
      <c r="A5174" t="str">
        <f>"4918697"</f>
        <v>4918697</v>
      </c>
      <c r="B5174" t="s">
        <v>2060</v>
      </c>
      <c r="C5174" t="s">
        <v>121</v>
      </c>
      <c r="D5174" s="21" t="s">
        <v>34</v>
      </c>
      <c r="E5174" s="21" t="s">
        <v>35</v>
      </c>
      <c r="F5174">
        <v>12850093</v>
      </c>
      <c r="G5174" t="s">
        <v>3371</v>
      </c>
      <c r="H5174" s="21">
        <v>1186.17</v>
      </c>
    </row>
    <row r="5175" spans="1:8" customFormat="1" x14ac:dyDescent="0.25">
      <c r="A5175" t="str">
        <f>"626648"</f>
        <v>626648</v>
      </c>
      <c r="B5175" t="s">
        <v>2340</v>
      </c>
      <c r="C5175" t="s">
        <v>3712</v>
      </c>
      <c r="D5175" s="21" t="s">
        <v>34</v>
      </c>
      <c r="E5175" s="21" t="s">
        <v>35</v>
      </c>
      <c r="F5175">
        <v>7620182</v>
      </c>
      <c r="G5175" t="s">
        <v>11480</v>
      </c>
      <c r="H5175" s="21">
        <v>1186.17</v>
      </c>
    </row>
    <row r="5176" spans="1:8" customFormat="1" x14ac:dyDescent="0.25">
      <c r="A5176" t="str">
        <f>"2812069"</f>
        <v>2812069</v>
      </c>
      <c r="B5176" t="s">
        <v>14438</v>
      </c>
      <c r="C5176" t="s">
        <v>33</v>
      </c>
      <c r="D5176" s="21" t="s">
        <v>34</v>
      </c>
      <c r="E5176" s="21" t="s">
        <v>35</v>
      </c>
      <c r="F5176">
        <v>4280612</v>
      </c>
      <c r="G5176" t="s">
        <v>6809</v>
      </c>
      <c r="H5176" s="21">
        <v>1186.05</v>
      </c>
    </row>
    <row r="5177" spans="1:8" customFormat="1" x14ac:dyDescent="0.25">
      <c r="A5177" t="str">
        <f>"8388"</f>
        <v>8388</v>
      </c>
      <c r="B5177" t="s">
        <v>6162</v>
      </c>
      <c r="C5177" t="s">
        <v>2904</v>
      </c>
      <c r="D5177" s="21" t="s">
        <v>34</v>
      </c>
      <c r="E5177" s="21" t="s">
        <v>254</v>
      </c>
      <c r="F5177">
        <v>13830083</v>
      </c>
      <c r="G5177" t="s">
        <v>2159</v>
      </c>
      <c r="H5177" s="21">
        <v>1186.05</v>
      </c>
    </row>
    <row r="5178" spans="1:8" customFormat="1" x14ac:dyDescent="0.25">
      <c r="A5178" t="str">
        <f>"441223"</f>
        <v>441223</v>
      </c>
      <c r="B5178" t="s">
        <v>5542</v>
      </c>
      <c r="C5178" t="s">
        <v>547</v>
      </c>
      <c r="D5178" s="21" t="s">
        <v>34</v>
      </c>
      <c r="E5178" s="21" t="s">
        <v>1089</v>
      </c>
      <c r="F5178">
        <v>12440033</v>
      </c>
      <c r="G5178" t="s">
        <v>1638</v>
      </c>
      <c r="H5178" s="21">
        <v>1185.92</v>
      </c>
    </row>
    <row r="5179" spans="1:8" customFormat="1" x14ac:dyDescent="0.25">
      <c r="A5179" t="str">
        <f>"9140585"</f>
        <v>9140585</v>
      </c>
      <c r="B5179" t="s">
        <v>22481</v>
      </c>
      <c r="C5179" t="s">
        <v>1119</v>
      </c>
      <c r="D5179" s="21" t="s">
        <v>34</v>
      </c>
      <c r="E5179" s="21" t="s">
        <v>35</v>
      </c>
      <c r="F5179">
        <v>8911285</v>
      </c>
      <c r="G5179" t="s">
        <v>2396</v>
      </c>
      <c r="H5179" s="21">
        <v>1185.8</v>
      </c>
    </row>
    <row r="5180" spans="1:8" customFormat="1" x14ac:dyDescent="0.25">
      <c r="A5180" t="str">
        <f>"7713884"</f>
        <v>7713884</v>
      </c>
      <c r="B5180" t="s">
        <v>7444</v>
      </c>
      <c r="C5180" t="s">
        <v>977</v>
      </c>
      <c r="D5180" s="21" t="s">
        <v>34</v>
      </c>
      <c r="E5180" s="21" t="s">
        <v>71</v>
      </c>
      <c r="F5180">
        <v>8771200</v>
      </c>
      <c r="G5180" t="s">
        <v>5455</v>
      </c>
      <c r="H5180" s="21">
        <v>1185.67</v>
      </c>
    </row>
    <row r="5181" spans="1:8" customFormat="1" x14ac:dyDescent="0.25">
      <c r="A5181" t="str">
        <f>"2921442"</f>
        <v>2921442</v>
      </c>
      <c r="B5181" t="s">
        <v>6366</v>
      </c>
      <c r="C5181" t="s">
        <v>169</v>
      </c>
      <c r="D5181" s="21" t="s">
        <v>34</v>
      </c>
      <c r="E5181" s="21" t="s">
        <v>35</v>
      </c>
      <c r="F5181">
        <v>3290003</v>
      </c>
      <c r="G5181" t="s">
        <v>3764</v>
      </c>
      <c r="H5181" s="21">
        <v>1185.67</v>
      </c>
    </row>
    <row r="5182" spans="1:8" customFormat="1" x14ac:dyDescent="0.25">
      <c r="A5182" t="str">
        <f>"423348"</f>
        <v>423348</v>
      </c>
      <c r="B5182" t="s">
        <v>1263</v>
      </c>
      <c r="C5182" t="s">
        <v>187</v>
      </c>
      <c r="D5182" s="21" t="s">
        <v>34</v>
      </c>
      <c r="E5182" s="21" t="s">
        <v>35</v>
      </c>
      <c r="F5182">
        <v>1420117</v>
      </c>
      <c r="G5182" t="s">
        <v>2649</v>
      </c>
      <c r="H5182" s="21">
        <v>1185.67</v>
      </c>
    </row>
    <row r="5183" spans="1:8" customFormat="1" x14ac:dyDescent="0.25">
      <c r="A5183" t="str">
        <f>"72337"</f>
        <v>72337</v>
      </c>
      <c r="B5183" t="s">
        <v>430</v>
      </c>
      <c r="C5183" t="s">
        <v>415</v>
      </c>
      <c r="D5183" s="21" t="s">
        <v>34</v>
      </c>
      <c r="E5183" s="21" t="s">
        <v>254</v>
      </c>
      <c r="F5183">
        <v>12720002</v>
      </c>
      <c r="G5183" t="s">
        <v>1712</v>
      </c>
      <c r="H5183" s="21">
        <v>1185.67</v>
      </c>
    </row>
    <row r="5184" spans="1:8" customFormat="1" x14ac:dyDescent="0.25">
      <c r="A5184" t="str">
        <f>"7837081"</f>
        <v>7837081</v>
      </c>
      <c r="B5184" t="s">
        <v>4492</v>
      </c>
      <c r="C5184" t="s">
        <v>33</v>
      </c>
      <c r="D5184" s="21" t="s">
        <v>34</v>
      </c>
      <c r="E5184" s="21" t="s">
        <v>71</v>
      </c>
      <c r="F5184">
        <v>8780080</v>
      </c>
      <c r="G5184" t="s">
        <v>865</v>
      </c>
      <c r="H5184" s="21">
        <v>1185.67</v>
      </c>
    </row>
    <row r="5185" spans="1:8" customFormat="1" x14ac:dyDescent="0.25">
      <c r="A5185" t="str">
        <f>"6014983"</f>
        <v>6014983</v>
      </c>
      <c r="B5185" t="s">
        <v>6505</v>
      </c>
      <c r="C5185" t="s">
        <v>879</v>
      </c>
      <c r="D5185" s="21" t="s">
        <v>34</v>
      </c>
      <c r="E5185" s="21" t="s">
        <v>71</v>
      </c>
      <c r="F5185">
        <v>7600008</v>
      </c>
      <c r="G5185" t="s">
        <v>4646</v>
      </c>
      <c r="H5185" s="21">
        <v>1185.67</v>
      </c>
    </row>
    <row r="5186" spans="1:8" customFormat="1" x14ac:dyDescent="0.25">
      <c r="A5186" t="str">
        <f>"5921213"</f>
        <v>5921213</v>
      </c>
      <c r="B5186" t="s">
        <v>5758</v>
      </c>
      <c r="C5186" t="s">
        <v>2100</v>
      </c>
      <c r="D5186" s="21" t="s">
        <v>34</v>
      </c>
      <c r="E5186" s="21" t="s">
        <v>254</v>
      </c>
      <c r="F5186">
        <v>7590058</v>
      </c>
      <c r="G5186" t="s">
        <v>5044</v>
      </c>
      <c r="H5186" s="21">
        <v>1185.5</v>
      </c>
    </row>
    <row r="5187" spans="1:8" customFormat="1" x14ac:dyDescent="0.25">
      <c r="A5187" t="str">
        <f>"167728"</f>
        <v>167728</v>
      </c>
      <c r="B5187" t="s">
        <v>26888</v>
      </c>
      <c r="C5187" t="s">
        <v>302</v>
      </c>
      <c r="D5187" s="21" t="s">
        <v>34</v>
      </c>
      <c r="E5187" s="21" t="s">
        <v>35</v>
      </c>
      <c r="F5187">
        <v>12440008</v>
      </c>
      <c r="G5187" t="s">
        <v>4570</v>
      </c>
      <c r="H5187" s="21">
        <v>1185.5</v>
      </c>
    </row>
    <row r="5188" spans="1:8" customFormat="1" x14ac:dyDescent="0.25">
      <c r="A5188" t="str">
        <f>"9424743"</f>
        <v>9424743</v>
      </c>
      <c r="B5188" t="s">
        <v>1341</v>
      </c>
      <c r="C5188" t="s">
        <v>3098</v>
      </c>
      <c r="D5188" s="21" t="s">
        <v>34</v>
      </c>
      <c r="E5188" s="21" t="s">
        <v>71</v>
      </c>
      <c r="F5188">
        <v>8940549</v>
      </c>
      <c r="G5188" t="s">
        <v>454</v>
      </c>
      <c r="H5188" s="21">
        <v>1185.42</v>
      </c>
    </row>
    <row r="5189" spans="1:8" customFormat="1" x14ac:dyDescent="0.25">
      <c r="A5189" t="str">
        <f>"734244"</f>
        <v>734244</v>
      </c>
      <c r="B5189" t="s">
        <v>6203</v>
      </c>
      <c r="C5189" t="s">
        <v>267</v>
      </c>
      <c r="D5189" s="21" t="s">
        <v>34</v>
      </c>
      <c r="E5189" s="21" t="s">
        <v>71</v>
      </c>
      <c r="F5189">
        <v>1730076</v>
      </c>
      <c r="G5189" t="s">
        <v>936</v>
      </c>
      <c r="H5189" s="21">
        <v>1185.42</v>
      </c>
    </row>
    <row r="5190" spans="1:8" customFormat="1" x14ac:dyDescent="0.25">
      <c r="A5190" t="str">
        <f>"043118"</f>
        <v>043118</v>
      </c>
      <c r="B5190" t="s">
        <v>6707</v>
      </c>
      <c r="C5190" t="s">
        <v>320</v>
      </c>
      <c r="D5190" s="21" t="s">
        <v>34</v>
      </c>
      <c r="E5190" s="21" t="s">
        <v>35</v>
      </c>
      <c r="F5190">
        <v>13040023</v>
      </c>
      <c r="G5190" t="s">
        <v>2542</v>
      </c>
      <c r="H5190" s="21">
        <v>1185.17</v>
      </c>
    </row>
    <row r="5191" spans="1:8" customFormat="1" x14ac:dyDescent="0.25">
      <c r="A5191" t="str">
        <f>"4419640"</f>
        <v>4419640</v>
      </c>
      <c r="B5191" t="s">
        <v>5426</v>
      </c>
      <c r="C5191" t="s">
        <v>781</v>
      </c>
      <c r="D5191" s="21" t="s">
        <v>34</v>
      </c>
      <c r="E5191" s="21" t="s">
        <v>71</v>
      </c>
      <c r="F5191">
        <v>12440166</v>
      </c>
      <c r="G5191" t="s">
        <v>4031</v>
      </c>
      <c r="H5191" s="21">
        <v>1185.17</v>
      </c>
    </row>
    <row r="5192" spans="1:8" customFormat="1" x14ac:dyDescent="0.25">
      <c r="A5192" t="str">
        <f>"271396"</f>
        <v>271396</v>
      </c>
      <c r="B5192" t="s">
        <v>6298</v>
      </c>
      <c r="C5192" t="s">
        <v>33</v>
      </c>
      <c r="D5192" s="21" t="s">
        <v>34</v>
      </c>
      <c r="E5192" s="21" t="s">
        <v>35</v>
      </c>
      <c r="F5192">
        <v>9270176</v>
      </c>
      <c r="G5192" t="s">
        <v>5799</v>
      </c>
      <c r="H5192" s="21">
        <v>1185.17</v>
      </c>
    </row>
    <row r="5193" spans="1:8" customFormat="1" x14ac:dyDescent="0.25">
      <c r="A5193" t="str">
        <f>"7621988"</f>
        <v>7621988</v>
      </c>
      <c r="B5193" t="s">
        <v>5415</v>
      </c>
      <c r="C5193" t="s">
        <v>55</v>
      </c>
      <c r="D5193" s="21" t="s">
        <v>34</v>
      </c>
      <c r="E5193" s="21" t="s">
        <v>35</v>
      </c>
      <c r="F5193">
        <v>9500003</v>
      </c>
      <c r="G5193" t="s">
        <v>545</v>
      </c>
      <c r="H5193" s="21">
        <v>1185.17</v>
      </c>
    </row>
    <row r="5194" spans="1:8" customFormat="1" x14ac:dyDescent="0.25">
      <c r="A5194" t="str">
        <f>"7828761"</f>
        <v>7828761</v>
      </c>
      <c r="B5194" t="s">
        <v>5182</v>
      </c>
      <c r="C5194" t="s">
        <v>5183</v>
      </c>
      <c r="D5194" s="21" t="s">
        <v>34</v>
      </c>
      <c r="E5194" s="21" t="s">
        <v>35</v>
      </c>
      <c r="F5194">
        <v>8780023</v>
      </c>
      <c r="G5194" t="s">
        <v>1496</v>
      </c>
      <c r="H5194" s="21">
        <v>1185.17</v>
      </c>
    </row>
    <row r="5195" spans="1:8" customFormat="1" x14ac:dyDescent="0.25">
      <c r="A5195" t="str">
        <f>"568381"</f>
        <v>568381</v>
      </c>
      <c r="B5195" t="s">
        <v>5780</v>
      </c>
      <c r="C5195" t="s">
        <v>109</v>
      </c>
      <c r="D5195" s="21" t="s">
        <v>34</v>
      </c>
      <c r="E5195" s="21" t="s">
        <v>35</v>
      </c>
      <c r="F5195">
        <v>3560096</v>
      </c>
      <c r="G5195" t="s">
        <v>2771</v>
      </c>
      <c r="H5195" s="21">
        <v>1185.17</v>
      </c>
    </row>
    <row r="5196" spans="1:8" customFormat="1" x14ac:dyDescent="0.25">
      <c r="A5196" t="str">
        <f>"98540"</f>
        <v>98540</v>
      </c>
      <c r="B5196" t="s">
        <v>7644</v>
      </c>
      <c r="C5196" t="s">
        <v>302</v>
      </c>
      <c r="D5196" s="21" t="s">
        <v>34</v>
      </c>
      <c r="E5196" s="21" t="s">
        <v>35</v>
      </c>
      <c r="F5196">
        <v>5980003</v>
      </c>
      <c r="G5196" t="s">
        <v>1746</v>
      </c>
      <c r="H5196" s="21">
        <v>1184.68</v>
      </c>
    </row>
    <row r="5197" spans="1:8" customFormat="1" x14ac:dyDescent="0.25">
      <c r="A5197" t="str">
        <f>"742093"</f>
        <v>742093</v>
      </c>
      <c r="B5197" t="s">
        <v>5262</v>
      </c>
      <c r="C5197" t="s">
        <v>169</v>
      </c>
      <c r="D5197" s="21" t="s">
        <v>34</v>
      </c>
      <c r="E5197" s="21" t="s">
        <v>35</v>
      </c>
      <c r="F5197">
        <v>1740047</v>
      </c>
      <c r="G5197" t="s">
        <v>4512</v>
      </c>
      <c r="H5197" s="21">
        <v>1184.68</v>
      </c>
    </row>
    <row r="5198" spans="1:8" customFormat="1" x14ac:dyDescent="0.25">
      <c r="A5198" t="str">
        <f>"304969"</f>
        <v>304969</v>
      </c>
      <c r="B5198" t="s">
        <v>4352</v>
      </c>
      <c r="C5198" t="s">
        <v>428</v>
      </c>
      <c r="D5198" s="21" t="s">
        <v>34</v>
      </c>
      <c r="E5198" s="21" t="s">
        <v>71</v>
      </c>
      <c r="F5198">
        <v>11300008</v>
      </c>
      <c r="G5198" t="s">
        <v>3165</v>
      </c>
      <c r="H5198" s="21">
        <v>1184.67</v>
      </c>
    </row>
    <row r="5199" spans="1:8" customFormat="1" x14ac:dyDescent="0.25">
      <c r="A5199" t="str">
        <f>"7866404"</f>
        <v>7866404</v>
      </c>
      <c r="B5199" t="s">
        <v>3561</v>
      </c>
      <c r="C5199" t="s">
        <v>55</v>
      </c>
      <c r="D5199" s="21" t="s">
        <v>34</v>
      </c>
      <c r="E5199" s="21" t="s">
        <v>35</v>
      </c>
      <c r="F5199">
        <v>8780568</v>
      </c>
      <c r="G5199" t="s">
        <v>5279</v>
      </c>
      <c r="H5199" s="21">
        <v>1184.67</v>
      </c>
    </row>
    <row r="5200" spans="1:8" customFormat="1" x14ac:dyDescent="0.25">
      <c r="A5200" t="str">
        <f>"692321"</f>
        <v>692321</v>
      </c>
      <c r="B5200" t="s">
        <v>5213</v>
      </c>
      <c r="C5200" t="s">
        <v>109</v>
      </c>
      <c r="D5200" s="21" t="s">
        <v>34</v>
      </c>
      <c r="E5200" s="21" t="s">
        <v>71</v>
      </c>
      <c r="F5200">
        <v>1690221</v>
      </c>
      <c r="G5200" t="s">
        <v>303</v>
      </c>
      <c r="H5200" s="21">
        <v>1184.67</v>
      </c>
    </row>
    <row r="5201" spans="1:8" customFormat="1" x14ac:dyDescent="0.25">
      <c r="A5201" t="str">
        <f>"3524885"</f>
        <v>3524885</v>
      </c>
      <c r="B5201" t="s">
        <v>6014</v>
      </c>
      <c r="C5201" t="s">
        <v>124</v>
      </c>
      <c r="D5201" s="21" t="s">
        <v>34</v>
      </c>
      <c r="E5201" s="21" t="s">
        <v>71</v>
      </c>
      <c r="F5201">
        <v>3350016</v>
      </c>
      <c r="G5201" t="s">
        <v>133</v>
      </c>
      <c r="H5201" s="21">
        <v>1184.67</v>
      </c>
    </row>
    <row r="5202" spans="1:8" customFormat="1" x14ac:dyDescent="0.25">
      <c r="A5202" t="str">
        <f>"0811072"</f>
        <v>0811072</v>
      </c>
      <c r="B5202" t="s">
        <v>3292</v>
      </c>
      <c r="C5202" t="s">
        <v>1025</v>
      </c>
      <c r="D5202" s="21" t="s">
        <v>34</v>
      </c>
      <c r="E5202" s="21" t="s">
        <v>35</v>
      </c>
      <c r="F5202">
        <v>6080045</v>
      </c>
      <c r="G5202" t="s">
        <v>5632</v>
      </c>
      <c r="H5202" s="21">
        <v>1184.67</v>
      </c>
    </row>
    <row r="5203" spans="1:8" customFormat="1" x14ac:dyDescent="0.25">
      <c r="A5203" t="str">
        <f>"52407"</f>
        <v>52407</v>
      </c>
      <c r="B5203" t="s">
        <v>6264</v>
      </c>
      <c r="C5203" t="s">
        <v>60</v>
      </c>
      <c r="D5203" s="21" t="s">
        <v>34</v>
      </c>
      <c r="E5203" s="21" t="s">
        <v>35</v>
      </c>
      <c r="F5203">
        <v>6520022</v>
      </c>
      <c r="G5203" t="s">
        <v>2041</v>
      </c>
      <c r="H5203" s="21">
        <v>1184.67</v>
      </c>
    </row>
    <row r="5204" spans="1:8" customFormat="1" x14ac:dyDescent="0.25">
      <c r="A5204" t="str">
        <f>"2924542"</f>
        <v>2924542</v>
      </c>
      <c r="B5204" t="s">
        <v>6133</v>
      </c>
      <c r="C5204" t="s">
        <v>40</v>
      </c>
      <c r="D5204" s="21" t="s">
        <v>34</v>
      </c>
      <c r="E5204" s="21" t="s">
        <v>35</v>
      </c>
      <c r="F5204">
        <v>3290036</v>
      </c>
      <c r="G5204" t="s">
        <v>3903</v>
      </c>
      <c r="H5204" s="21">
        <v>1184.67</v>
      </c>
    </row>
    <row r="5205" spans="1:8" customFormat="1" x14ac:dyDescent="0.25">
      <c r="A5205" t="str">
        <f>"3110411"</f>
        <v>3110411</v>
      </c>
      <c r="B5205" t="s">
        <v>7590</v>
      </c>
      <c r="C5205" t="s">
        <v>3323</v>
      </c>
      <c r="D5205" s="21" t="s">
        <v>34</v>
      </c>
      <c r="E5205" s="21" t="s">
        <v>35</v>
      </c>
      <c r="F5205">
        <v>11310047</v>
      </c>
      <c r="G5205" t="s">
        <v>2188</v>
      </c>
      <c r="H5205" s="21">
        <v>1184.67</v>
      </c>
    </row>
    <row r="5206" spans="1:8" customFormat="1" x14ac:dyDescent="0.25">
      <c r="A5206" t="str">
        <f>"5314209"</f>
        <v>5314209</v>
      </c>
      <c r="B5206" t="s">
        <v>5388</v>
      </c>
      <c r="C5206" t="s">
        <v>263</v>
      </c>
      <c r="D5206" s="21" t="s">
        <v>34</v>
      </c>
      <c r="E5206" s="21" t="s">
        <v>71</v>
      </c>
      <c r="F5206">
        <v>12530087</v>
      </c>
      <c r="G5206" t="s">
        <v>3860</v>
      </c>
      <c r="H5206" s="21">
        <v>1184.42</v>
      </c>
    </row>
    <row r="5207" spans="1:8" customFormat="1" x14ac:dyDescent="0.25">
      <c r="A5207" t="str">
        <f>"394254"</f>
        <v>394254</v>
      </c>
      <c r="B5207" t="s">
        <v>7092</v>
      </c>
      <c r="C5207" t="s">
        <v>269</v>
      </c>
      <c r="D5207" s="21" t="s">
        <v>34</v>
      </c>
      <c r="E5207" s="21" t="s">
        <v>71</v>
      </c>
      <c r="F5207">
        <v>2390091</v>
      </c>
      <c r="G5207" t="s">
        <v>7093</v>
      </c>
      <c r="H5207" s="21">
        <v>1184.42</v>
      </c>
    </row>
    <row r="5208" spans="1:8" customFormat="1" x14ac:dyDescent="0.25">
      <c r="A5208" t="str">
        <f>"303207"</f>
        <v>303207</v>
      </c>
      <c r="B5208" t="s">
        <v>2362</v>
      </c>
      <c r="C5208" t="s">
        <v>204</v>
      </c>
      <c r="D5208" s="21" t="s">
        <v>34</v>
      </c>
      <c r="E5208" s="21" t="s">
        <v>35</v>
      </c>
      <c r="F5208">
        <v>11300023</v>
      </c>
      <c r="G5208" t="s">
        <v>2679</v>
      </c>
      <c r="H5208" s="21">
        <v>1184.17</v>
      </c>
    </row>
    <row r="5209" spans="1:8" customFormat="1" x14ac:dyDescent="0.25">
      <c r="A5209" t="str">
        <f>"722399"</f>
        <v>722399</v>
      </c>
      <c r="B5209" t="s">
        <v>26889</v>
      </c>
      <c r="C5209" t="s">
        <v>206</v>
      </c>
      <c r="D5209" s="21" t="s">
        <v>34</v>
      </c>
      <c r="E5209" s="21" t="s">
        <v>35</v>
      </c>
      <c r="F5209">
        <v>12720023</v>
      </c>
      <c r="G5209" t="s">
        <v>1898</v>
      </c>
      <c r="H5209" s="21">
        <v>1184.17</v>
      </c>
    </row>
    <row r="5210" spans="1:8" customFormat="1" x14ac:dyDescent="0.25">
      <c r="A5210" t="str">
        <f>"6929811"</f>
        <v>6929811</v>
      </c>
      <c r="B5210" t="s">
        <v>4711</v>
      </c>
      <c r="C5210" t="s">
        <v>65</v>
      </c>
      <c r="D5210" s="21" t="s">
        <v>34</v>
      </c>
      <c r="E5210" s="21" t="s">
        <v>35</v>
      </c>
      <c r="F5210">
        <v>1690160</v>
      </c>
      <c r="G5210" t="s">
        <v>4599</v>
      </c>
      <c r="H5210" s="21">
        <v>1184.17</v>
      </c>
    </row>
    <row r="5211" spans="1:8" customFormat="1" x14ac:dyDescent="0.25">
      <c r="A5211" t="str">
        <f>"7918697"</f>
        <v>7918697</v>
      </c>
      <c r="B5211" t="s">
        <v>3972</v>
      </c>
      <c r="C5211" t="s">
        <v>209</v>
      </c>
      <c r="D5211" s="21" t="s">
        <v>34</v>
      </c>
      <c r="E5211" s="21" t="s">
        <v>71</v>
      </c>
      <c r="F5211">
        <v>10790150</v>
      </c>
      <c r="G5211" t="s">
        <v>6205</v>
      </c>
      <c r="H5211" s="21">
        <v>1184.17</v>
      </c>
    </row>
    <row r="5212" spans="1:8" customFormat="1" x14ac:dyDescent="0.25">
      <c r="A5212" t="str">
        <f>"7640280"</f>
        <v>7640280</v>
      </c>
      <c r="B5212" t="s">
        <v>1016</v>
      </c>
      <c r="C5212" t="s">
        <v>730</v>
      </c>
      <c r="D5212" s="21" t="s">
        <v>34</v>
      </c>
      <c r="E5212" s="21" t="s">
        <v>71</v>
      </c>
      <c r="F5212">
        <v>9760416</v>
      </c>
      <c r="G5212" t="s">
        <v>4614</v>
      </c>
      <c r="H5212" s="21">
        <v>1184.17</v>
      </c>
    </row>
    <row r="5213" spans="1:8" customFormat="1" x14ac:dyDescent="0.25">
      <c r="A5213" t="str">
        <f>"8511864"</f>
        <v>8511864</v>
      </c>
      <c r="B5213" t="s">
        <v>6555</v>
      </c>
      <c r="C5213" t="s">
        <v>730</v>
      </c>
      <c r="D5213" s="21" t="s">
        <v>34</v>
      </c>
      <c r="E5213" s="21" t="s">
        <v>35</v>
      </c>
      <c r="F5213">
        <v>12850104</v>
      </c>
      <c r="G5213" t="s">
        <v>6556</v>
      </c>
      <c r="H5213" s="21">
        <v>1184.17</v>
      </c>
    </row>
    <row r="5214" spans="1:8" customFormat="1" x14ac:dyDescent="0.25">
      <c r="A5214" t="str">
        <f>"6923875"</f>
        <v>6923875</v>
      </c>
      <c r="B5214" t="s">
        <v>6115</v>
      </c>
      <c r="C5214" t="s">
        <v>169</v>
      </c>
      <c r="D5214" s="21" t="s">
        <v>34</v>
      </c>
      <c r="E5214" s="21" t="s">
        <v>35</v>
      </c>
      <c r="F5214">
        <v>6880051</v>
      </c>
      <c r="G5214" t="s">
        <v>6116</v>
      </c>
      <c r="H5214" s="21">
        <v>1184.17</v>
      </c>
    </row>
    <row r="5215" spans="1:8" customFormat="1" x14ac:dyDescent="0.25">
      <c r="A5215" t="str">
        <f>"605375"</f>
        <v>605375</v>
      </c>
      <c r="B5215" t="s">
        <v>5700</v>
      </c>
      <c r="C5215" t="s">
        <v>5701</v>
      </c>
      <c r="D5215" s="21" t="s">
        <v>34</v>
      </c>
      <c r="E5215" s="21" t="s">
        <v>254</v>
      </c>
      <c r="F5215">
        <v>7600070</v>
      </c>
      <c r="G5215" t="s">
        <v>542</v>
      </c>
      <c r="H5215" s="21">
        <v>1184.17</v>
      </c>
    </row>
    <row r="5216" spans="1:8" customFormat="1" x14ac:dyDescent="0.25">
      <c r="A5216" t="str">
        <f>"612115"</f>
        <v>612115</v>
      </c>
      <c r="B5216" t="s">
        <v>6027</v>
      </c>
      <c r="C5216" t="s">
        <v>55</v>
      </c>
      <c r="D5216" s="21" t="s">
        <v>34</v>
      </c>
      <c r="E5216" s="21" t="s">
        <v>71</v>
      </c>
      <c r="F5216">
        <v>9610087</v>
      </c>
      <c r="G5216" t="s">
        <v>2661</v>
      </c>
      <c r="H5216" s="21">
        <v>1184.17</v>
      </c>
    </row>
    <row r="5217" spans="1:8" customFormat="1" x14ac:dyDescent="0.25">
      <c r="A5217" t="str">
        <f>"9125546"</f>
        <v>9125546</v>
      </c>
      <c r="B5217" t="s">
        <v>6709</v>
      </c>
      <c r="C5217" t="s">
        <v>156</v>
      </c>
      <c r="D5217" s="21" t="s">
        <v>34</v>
      </c>
      <c r="E5217" s="21" t="s">
        <v>71</v>
      </c>
      <c r="F5217">
        <v>8910077</v>
      </c>
      <c r="G5217" t="s">
        <v>1380</v>
      </c>
      <c r="H5217" s="21">
        <v>1184.06</v>
      </c>
    </row>
    <row r="5218" spans="1:8" customFormat="1" x14ac:dyDescent="0.25">
      <c r="A5218" t="str">
        <f>"1416229"</f>
        <v>1416229</v>
      </c>
      <c r="B5218" t="s">
        <v>5129</v>
      </c>
      <c r="C5218" t="s">
        <v>1231</v>
      </c>
      <c r="D5218" s="21" t="s">
        <v>34</v>
      </c>
      <c r="E5218" s="21" t="s">
        <v>254</v>
      </c>
      <c r="F5218">
        <v>9140227</v>
      </c>
      <c r="G5218" t="s">
        <v>5130</v>
      </c>
      <c r="H5218" s="21">
        <v>1183.92</v>
      </c>
    </row>
    <row r="5219" spans="1:8" customFormat="1" x14ac:dyDescent="0.25">
      <c r="A5219" t="str">
        <f>"089612"</f>
        <v>089612</v>
      </c>
      <c r="B5219" t="s">
        <v>6380</v>
      </c>
      <c r="C5219" t="s">
        <v>246</v>
      </c>
      <c r="D5219" s="21" t="s">
        <v>34</v>
      </c>
      <c r="E5219" s="21" t="s">
        <v>35</v>
      </c>
      <c r="F5219">
        <v>6080082</v>
      </c>
      <c r="G5219" t="s">
        <v>2401</v>
      </c>
      <c r="H5219" s="21">
        <v>1183.8</v>
      </c>
    </row>
    <row r="5220" spans="1:8" customFormat="1" x14ac:dyDescent="0.25">
      <c r="A5220" t="str">
        <f>"5926292"</f>
        <v>5926292</v>
      </c>
      <c r="B5220" t="s">
        <v>5500</v>
      </c>
      <c r="C5220" t="s">
        <v>784</v>
      </c>
      <c r="D5220" s="21" t="s">
        <v>34</v>
      </c>
      <c r="E5220" s="21" t="s">
        <v>71</v>
      </c>
      <c r="F5220">
        <v>7590009</v>
      </c>
      <c r="G5220" t="s">
        <v>535</v>
      </c>
      <c r="H5220" s="21">
        <v>1183.8</v>
      </c>
    </row>
    <row r="5221" spans="1:8" customFormat="1" x14ac:dyDescent="0.25">
      <c r="A5221" t="str">
        <f>"767024"</f>
        <v>767024</v>
      </c>
      <c r="B5221" t="s">
        <v>6402</v>
      </c>
      <c r="C5221" t="s">
        <v>174</v>
      </c>
      <c r="D5221" s="21" t="s">
        <v>34</v>
      </c>
      <c r="E5221" s="21" t="s">
        <v>71</v>
      </c>
      <c r="F5221">
        <v>9760415</v>
      </c>
      <c r="G5221" t="s">
        <v>4541</v>
      </c>
      <c r="H5221" s="21">
        <v>1183.67</v>
      </c>
    </row>
    <row r="5222" spans="1:8" customFormat="1" x14ac:dyDescent="0.25">
      <c r="A5222" t="str">
        <f>"5315824"</f>
        <v>5315824</v>
      </c>
      <c r="B5222" t="s">
        <v>6044</v>
      </c>
      <c r="C5222" t="s">
        <v>244</v>
      </c>
      <c r="D5222" s="21" t="s">
        <v>34</v>
      </c>
      <c r="E5222" s="21" t="s">
        <v>71</v>
      </c>
      <c r="F5222">
        <v>12530084</v>
      </c>
      <c r="G5222" t="s">
        <v>5766</v>
      </c>
      <c r="H5222" s="21">
        <v>1183.67</v>
      </c>
    </row>
    <row r="5223" spans="1:8" customFormat="1" x14ac:dyDescent="0.25">
      <c r="A5223" t="str">
        <f>"57951"</f>
        <v>57951</v>
      </c>
      <c r="B5223" t="s">
        <v>5515</v>
      </c>
      <c r="C5223" t="s">
        <v>249</v>
      </c>
      <c r="D5223" s="21" t="s">
        <v>34</v>
      </c>
      <c r="E5223" s="21" t="s">
        <v>35</v>
      </c>
      <c r="F5223">
        <v>6570088</v>
      </c>
      <c r="G5223" t="s">
        <v>3461</v>
      </c>
      <c r="H5223" s="21">
        <v>1183.67</v>
      </c>
    </row>
    <row r="5224" spans="1:8" customFormat="1" x14ac:dyDescent="0.25">
      <c r="A5224" t="str">
        <f>"493008"</f>
        <v>493008</v>
      </c>
      <c r="B5224" t="s">
        <v>1506</v>
      </c>
      <c r="C5224" t="s">
        <v>82</v>
      </c>
      <c r="D5224" s="21" t="s">
        <v>34</v>
      </c>
      <c r="E5224" s="21" t="s">
        <v>35</v>
      </c>
      <c r="F5224">
        <v>12530090</v>
      </c>
      <c r="G5224" t="s">
        <v>6132</v>
      </c>
      <c r="H5224" s="21">
        <v>1183.67</v>
      </c>
    </row>
    <row r="5225" spans="1:8" customFormat="1" x14ac:dyDescent="0.25">
      <c r="A5225" t="str">
        <f>"27353"</f>
        <v>27353</v>
      </c>
      <c r="B5225" t="s">
        <v>4609</v>
      </c>
      <c r="C5225" t="s">
        <v>246</v>
      </c>
      <c r="D5225" s="21" t="s">
        <v>34</v>
      </c>
      <c r="E5225" s="21" t="s">
        <v>254</v>
      </c>
      <c r="F5225">
        <v>9270104</v>
      </c>
      <c r="G5225" t="s">
        <v>2456</v>
      </c>
      <c r="H5225" s="21">
        <v>1183.67</v>
      </c>
    </row>
    <row r="5226" spans="1:8" customFormat="1" x14ac:dyDescent="0.25">
      <c r="A5226" t="str">
        <f>"773529"</f>
        <v>773529</v>
      </c>
      <c r="B5226" t="s">
        <v>1349</v>
      </c>
      <c r="C5226" t="s">
        <v>5525</v>
      </c>
      <c r="D5226" s="21" t="s">
        <v>34</v>
      </c>
      <c r="E5226" s="21" t="s">
        <v>35</v>
      </c>
      <c r="F5226">
        <v>8771029</v>
      </c>
      <c r="G5226" t="s">
        <v>4447</v>
      </c>
      <c r="H5226" s="21">
        <v>1183.5</v>
      </c>
    </row>
    <row r="5227" spans="1:8" customFormat="1" x14ac:dyDescent="0.25">
      <c r="A5227" t="str">
        <f>"7624741"</f>
        <v>7624741</v>
      </c>
      <c r="B5227" t="s">
        <v>6873</v>
      </c>
      <c r="C5227" t="s">
        <v>381</v>
      </c>
      <c r="D5227" s="21" t="s">
        <v>34</v>
      </c>
      <c r="E5227" s="21" t="s">
        <v>254</v>
      </c>
      <c r="F5227">
        <v>9760331</v>
      </c>
      <c r="G5227" t="s">
        <v>5134</v>
      </c>
      <c r="H5227" s="21">
        <v>1183.42</v>
      </c>
    </row>
    <row r="5228" spans="1:8" customFormat="1" x14ac:dyDescent="0.25">
      <c r="A5228" t="str">
        <f>"4440812"</f>
        <v>4440812</v>
      </c>
      <c r="B5228" t="s">
        <v>2476</v>
      </c>
      <c r="C5228" t="s">
        <v>43</v>
      </c>
      <c r="D5228" s="21" t="s">
        <v>34</v>
      </c>
      <c r="E5228" s="21" t="s">
        <v>35</v>
      </c>
      <c r="F5228">
        <v>12440139</v>
      </c>
      <c r="G5228" t="s">
        <v>2655</v>
      </c>
      <c r="H5228" s="21">
        <v>1183.42</v>
      </c>
    </row>
    <row r="5229" spans="1:8" customFormat="1" x14ac:dyDescent="0.25">
      <c r="A5229" t="str">
        <f>"794322"</f>
        <v>794322</v>
      </c>
      <c r="B5229" t="s">
        <v>1027</v>
      </c>
      <c r="C5229" t="s">
        <v>269</v>
      </c>
      <c r="D5229" s="21" t="s">
        <v>34</v>
      </c>
      <c r="E5229" s="21" t="s">
        <v>71</v>
      </c>
      <c r="F5229">
        <v>10790058</v>
      </c>
      <c r="G5229" t="s">
        <v>6512</v>
      </c>
      <c r="H5229" s="21">
        <v>1183.17</v>
      </c>
    </row>
    <row r="5230" spans="1:8" customFormat="1" x14ac:dyDescent="0.25">
      <c r="A5230" t="str">
        <f>"3813470"</f>
        <v>3813470</v>
      </c>
      <c r="B5230" t="s">
        <v>5989</v>
      </c>
      <c r="C5230" t="s">
        <v>459</v>
      </c>
      <c r="D5230" s="21" t="s">
        <v>34</v>
      </c>
      <c r="E5230" s="21" t="s">
        <v>71</v>
      </c>
      <c r="F5230">
        <v>1380296</v>
      </c>
      <c r="G5230" t="s">
        <v>2810</v>
      </c>
      <c r="H5230" s="21">
        <v>1183.17</v>
      </c>
    </row>
    <row r="5231" spans="1:8" customFormat="1" x14ac:dyDescent="0.25">
      <c r="A5231" t="str">
        <f>"3817639"</f>
        <v>3817639</v>
      </c>
      <c r="B5231" t="s">
        <v>3347</v>
      </c>
      <c r="C5231" t="s">
        <v>6061</v>
      </c>
      <c r="D5231" s="21" t="s">
        <v>34</v>
      </c>
      <c r="E5231" s="21" t="s">
        <v>71</v>
      </c>
      <c r="F5231">
        <v>1380117</v>
      </c>
      <c r="G5231" t="s">
        <v>6062</v>
      </c>
      <c r="H5231" s="21">
        <v>1183.17</v>
      </c>
    </row>
    <row r="5232" spans="1:8" customFormat="1" x14ac:dyDescent="0.25">
      <c r="A5232" t="str">
        <f>"5974744"</f>
        <v>5974744</v>
      </c>
      <c r="B5232" t="s">
        <v>8293</v>
      </c>
      <c r="C5232" t="s">
        <v>2365</v>
      </c>
      <c r="D5232" s="21" t="s">
        <v>34</v>
      </c>
      <c r="E5232" s="21" t="s">
        <v>71</v>
      </c>
      <c r="F5232">
        <v>7590027</v>
      </c>
      <c r="G5232" t="s">
        <v>629</v>
      </c>
      <c r="H5232" s="21">
        <v>1183.17</v>
      </c>
    </row>
    <row r="5233" spans="1:8" customFormat="1" x14ac:dyDescent="0.25">
      <c r="A5233" t="str">
        <f>"87750"</f>
        <v>87750</v>
      </c>
      <c r="B5233" t="s">
        <v>5508</v>
      </c>
      <c r="C5233" t="s">
        <v>415</v>
      </c>
      <c r="D5233" s="21" t="s">
        <v>34</v>
      </c>
      <c r="E5233" s="21" t="s">
        <v>254</v>
      </c>
      <c r="F5233">
        <v>10870117</v>
      </c>
      <c r="G5233" t="s">
        <v>3139</v>
      </c>
      <c r="H5233" s="21">
        <v>1182.92</v>
      </c>
    </row>
    <row r="5234" spans="1:8" customFormat="1" x14ac:dyDescent="0.25">
      <c r="A5234" t="str">
        <f>"447476"</f>
        <v>447476</v>
      </c>
      <c r="B5234" t="s">
        <v>890</v>
      </c>
      <c r="C5234" t="s">
        <v>187</v>
      </c>
      <c r="D5234" s="21" t="s">
        <v>34</v>
      </c>
      <c r="E5234" s="21" t="s">
        <v>35</v>
      </c>
      <c r="F5234">
        <v>12440191</v>
      </c>
      <c r="G5234" t="s">
        <v>5822</v>
      </c>
      <c r="H5234" s="21">
        <v>1182.67</v>
      </c>
    </row>
    <row r="5235" spans="1:8" customFormat="1" x14ac:dyDescent="0.25">
      <c r="A5235" t="str">
        <f>"908"</f>
        <v>908</v>
      </c>
      <c r="B5235" t="s">
        <v>6818</v>
      </c>
      <c r="C5235" t="s">
        <v>1119</v>
      </c>
      <c r="D5235" s="21" t="s">
        <v>34</v>
      </c>
      <c r="E5235" s="21" t="s">
        <v>71</v>
      </c>
      <c r="F5235">
        <v>2900047</v>
      </c>
      <c r="G5235" t="s">
        <v>6819</v>
      </c>
      <c r="H5235" s="21">
        <v>1182.67</v>
      </c>
    </row>
    <row r="5236" spans="1:8" customFormat="1" x14ac:dyDescent="0.25">
      <c r="A5236" t="str">
        <f>"8014878"</f>
        <v>8014878</v>
      </c>
      <c r="B5236" t="s">
        <v>7313</v>
      </c>
      <c r="C5236" t="s">
        <v>1803</v>
      </c>
      <c r="D5236" s="21" t="s">
        <v>34</v>
      </c>
      <c r="E5236" s="21" t="s">
        <v>35</v>
      </c>
      <c r="F5236">
        <v>7800064</v>
      </c>
      <c r="G5236" t="s">
        <v>4496</v>
      </c>
      <c r="H5236" s="21">
        <v>1182.67</v>
      </c>
    </row>
    <row r="5237" spans="1:8" customFormat="1" x14ac:dyDescent="0.25">
      <c r="A5237" t="str">
        <f>"7360"</f>
        <v>7360</v>
      </c>
      <c r="B5237" t="s">
        <v>6171</v>
      </c>
      <c r="C5237" t="s">
        <v>198</v>
      </c>
      <c r="D5237" s="21" t="s">
        <v>34</v>
      </c>
      <c r="E5237" s="21" t="s">
        <v>71</v>
      </c>
      <c r="F5237">
        <v>1740038</v>
      </c>
      <c r="G5237" t="s">
        <v>26517</v>
      </c>
      <c r="H5237" s="21">
        <v>1182.67</v>
      </c>
    </row>
    <row r="5238" spans="1:8" customFormat="1" x14ac:dyDescent="0.25">
      <c r="A5238" t="str">
        <f>"522924"</f>
        <v>522924</v>
      </c>
      <c r="B5238" t="s">
        <v>5710</v>
      </c>
      <c r="C5238" t="s">
        <v>328</v>
      </c>
      <c r="D5238" s="21" t="s">
        <v>34</v>
      </c>
      <c r="E5238" s="21" t="s">
        <v>254</v>
      </c>
      <c r="F5238">
        <v>6570199</v>
      </c>
      <c r="G5238" t="s">
        <v>5711</v>
      </c>
      <c r="H5238" s="21">
        <v>1182.67</v>
      </c>
    </row>
    <row r="5239" spans="1:8" customFormat="1" x14ac:dyDescent="0.25">
      <c r="A5239" t="str">
        <f>"6210346"</f>
        <v>6210346</v>
      </c>
      <c r="B5239" t="s">
        <v>16710</v>
      </c>
      <c r="C5239" t="s">
        <v>9507</v>
      </c>
      <c r="D5239" s="21" t="s">
        <v>34</v>
      </c>
      <c r="E5239" s="21" t="s">
        <v>35</v>
      </c>
      <c r="F5239">
        <v>7620040</v>
      </c>
      <c r="G5239" t="s">
        <v>1319</v>
      </c>
      <c r="H5239" s="21">
        <v>1182.67</v>
      </c>
    </row>
    <row r="5240" spans="1:8" customFormat="1" x14ac:dyDescent="0.25">
      <c r="A5240" t="str">
        <f>"06171"</f>
        <v>06171</v>
      </c>
      <c r="B5240" t="s">
        <v>5356</v>
      </c>
      <c r="C5240" t="s">
        <v>2520</v>
      </c>
      <c r="D5240" s="21" t="s">
        <v>34</v>
      </c>
      <c r="E5240" s="21" t="s">
        <v>254</v>
      </c>
      <c r="F5240">
        <v>13060008</v>
      </c>
      <c r="G5240" t="s">
        <v>36</v>
      </c>
      <c r="H5240" s="21">
        <v>1182.67</v>
      </c>
    </row>
    <row r="5241" spans="1:8" customFormat="1" x14ac:dyDescent="0.25">
      <c r="A5241" t="str">
        <f>"60114"</f>
        <v>60114</v>
      </c>
      <c r="B5241" t="s">
        <v>64</v>
      </c>
      <c r="C5241" t="s">
        <v>33</v>
      </c>
      <c r="D5241" s="21" t="s">
        <v>34</v>
      </c>
      <c r="E5241" s="21" t="s">
        <v>35</v>
      </c>
      <c r="F5241">
        <v>7590044</v>
      </c>
      <c r="G5241" t="s">
        <v>2029</v>
      </c>
      <c r="H5241" s="21">
        <v>1182.67</v>
      </c>
    </row>
    <row r="5242" spans="1:8" customFormat="1" x14ac:dyDescent="0.25">
      <c r="A5242" t="str">
        <f>"264514"</f>
        <v>264514</v>
      </c>
      <c r="B5242" t="s">
        <v>26890</v>
      </c>
      <c r="C5242" t="s">
        <v>462</v>
      </c>
      <c r="D5242" s="21" t="s">
        <v>34</v>
      </c>
      <c r="E5242" s="21" t="s">
        <v>35</v>
      </c>
      <c r="F5242">
        <v>1260026</v>
      </c>
      <c r="G5242" t="s">
        <v>516</v>
      </c>
      <c r="H5242" s="21">
        <v>1182.67</v>
      </c>
    </row>
    <row r="5243" spans="1:8" customFormat="1" x14ac:dyDescent="0.25">
      <c r="A5243" t="str">
        <f>"7710326"</f>
        <v>7710326</v>
      </c>
      <c r="B5243" t="s">
        <v>5278</v>
      </c>
      <c r="C5243" t="s">
        <v>62</v>
      </c>
      <c r="D5243" s="21" t="s">
        <v>34</v>
      </c>
      <c r="E5243" s="21" t="s">
        <v>35</v>
      </c>
      <c r="F5243">
        <v>8780568</v>
      </c>
      <c r="G5243" t="s">
        <v>5279</v>
      </c>
      <c r="H5243" s="21">
        <v>1182.67</v>
      </c>
    </row>
    <row r="5244" spans="1:8" customFormat="1" x14ac:dyDescent="0.25">
      <c r="A5244" t="str">
        <f>"8011722"</f>
        <v>8011722</v>
      </c>
      <c r="B5244" t="s">
        <v>3380</v>
      </c>
      <c r="C5244" t="s">
        <v>486</v>
      </c>
      <c r="D5244" s="21" t="s">
        <v>34</v>
      </c>
      <c r="E5244" s="21" t="s">
        <v>35</v>
      </c>
      <c r="F5244">
        <v>7800004</v>
      </c>
      <c r="G5244" t="s">
        <v>748</v>
      </c>
      <c r="H5244" s="21">
        <v>1182.55</v>
      </c>
    </row>
    <row r="5245" spans="1:8" customFormat="1" x14ac:dyDescent="0.25">
      <c r="A5245" t="str">
        <f>"9213090"</f>
        <v>9213090</v>
      </c>
      <c r="B5245" t="s">
        <v>6426</v>
      </c>
      <c r="C5245" t="s">
        <v>130</v>
      </c>
      <c r="D5245" s="21" t="s">
        <v>34</v>
      </c>
      <c r="E5245" s="21" t="s">
        <v>254</v>
      </c>
      <c r="F5245">
        <v>2580012</v>
      </c>
      <c r="G5245" t="s">
        <v>1144</v>
      </c>
      <c r="H5245" s="21">
        <v>1182.42</v>
      </c>
    </row>
    <row r="5246" spans="1:8" customFormat="1" x14ac:dyDescent="0.25">
      <c r="A5246" t="str">
        <f>"792854"</f>
        <v>792854</v>
      </c>
      <c r="B5246" t="s">
        <v>4370</v>
      </c>
      <c r="C5246" t="s">
        <v>121</v>
      </c>
      <c r="D5246" s="21" t="s">
        <v>34</v>
      </c>
      <c r="E5246" s="21" t="s">
        <v>35</v>
      </c>
      <c r="F5246">
        <v>10790045</v>
      </c>
      <c r="G5246" t="s">
        <v>1498</v>
      </c>
      <c r="H5246" s="21">
        <v>1182.42</v>
      </c>
    </row>
    <row r="5247" spans="1:8" customFormat="1" x14ac:dyDescent="0.25">
      <c r="A5247" t="str">
        <f>"9116139"</f>
        <v>9116139</v>
      </c>
      <c r="B5247" t="s">
        <v>5467</v>
      </c>
      <c r="C5247" t="s">
        <v>328</v>
      </c>
      <c r="D5247" s="21" t="s">
        <v>34</v>
      </c>
      <c r="E5247" s="21" t="s">
        <v>35</v>
      </c>
      <c r="F5247">
        <v>8910914</v>
      </c>
      <c r="G5247" t="s">
        <v>3302</v>
      </c>
      <c r="H5247" s="21">
        <v>1182.17</v>
      </c>
    </row>
    <row r="5248" spans="1:8" customFormat="1" x14ac:dyDescent="0.25">
      <c r="A5248" t="str">
        <f>"273451"</f>
        <v>273451</v>
      </c>
      <c r="B5248" t="s">
        <v>5941</v>
      </c>
      <c r="C5248" t="s">
        <v>269</v>
      </c>
      <c r="D5248" s="21" t="s">
        <v>34</v>
      </c>
      <c r="E5248" s="21" t="s">
        <v>71</v>
      </c>
      <c r="F5248">
        <v>9760447</v>
      </c>
      <c r="G5248" t="s">
        <v>5942</v>
      </c>
      <c r="H5248" s="21">
        <v>1182.17</v>
      </c>
    </row>
    <row r="5249" spans="1:8" customFormat="1" x14ac:dyDescent="0.25">
      <c r="A5249" t="str">
        <f>"4931357"</f>
        <v>4931357</v>
      </c>
      <c r="B5249" t="s">
        <v>5943</v>
      </c>
      <c r="C5249" t="s">
        <v>269</v>
      </c>
      <c r="D5249" s="21" t="s">
        <v>34</v>
      </c>
      <c r="E5249" s="21" t="s">
        <v>35</v>
      </c>
      <c r="F5249">
        <v>12490010</v>
      </c>
      <c r="G5249" t="s">
        <v>4838</v>
      </c>
      <c r="H5249" s="21">
        <v>1182.17</v>
      </c>
    </row>
    <row r="5250" spans="1:8" customFormat="1" x14ac:dyDescent="0.25">
      <c r="A5250" t="str">
        <f>"5931191"</f>
        <v>5931191</v>
      </c>
      <c r="B5250" t="s">
        <v>5830</v>
      </c>
      <c r="C5250" t="s">
        <v>60</v>
      </c>
      <c r="D5250" s="21" t="s">
        <v>34</v>
      </c>
      <c r="E5250" s="21" t="s">
        <v>35</v>
      </c>
      <c r="F5250">
        <v>7590175</v>
      </c>
      <c r="G5250" t="s">
        <v>3063</v>
      </c>
      <c r="H5250" s="21">
        <v>1182.17</v>
      </c>
    </row>
    <row r="5251" spans="1:8" customFormat="1" x14ac:dyDescent="0.25">
      <c r="A5251" t="str">
        <f>"167210"</f>
        <v>167210</v>
      </c>
      <c r="B5251" t="s">
        <v>5490</v>
      </c>
      <c r="C5251" t="s">
        <v>198</v>
      </c>
      <c r="D5251" s="21" t="s">
        <v>34</v>
      </c>
      <c r="E5251" s="21" t="s">
        <v>254</v>
      </c>
      <c r="F5251">
        <v>10160010</v>
      </c>
      <c r="G5251" t="s">
        <v>5491</v>
      </c>
      <c r="H5251" s="21">
        <v>1182.17</v>
      </c>
    </row>
    <row r="5252" spans="1:8" customFormat="1" x14ac:dyDescent="0.25">
      <c r="A5252" t="str">
        <f>"911331"</f>
        <v>911331</v>
      </c>
      <c r="B5252" t="s">
        <v>5764</v>
      </c>
      <c r="C5252" t="s">
        <v>124</v>
      </c>
      <c r="D5252" s="21" t="s">
        <v>34</v>
      </c>
      <c r="E5252" s="21" t="s">
        <v>71</v>
      </c>
      <c r="F5252">
        <v>8910918</v>
      </c>
      <c r="G5252" t="s">
        <v>332</v>
      </c>
      <c r="H5252" s="21">
        <v>1182.17</v>
      </c>
    </row>
    <row r="5253" spans="1:8" customFormat="1" x14ac:dyDescent="0.25">
      <c r="A5253" t="str">
        <f>"5922859"</f>
        <v>5922859</v>
      </c>
      <c r="B5253" t="s">
        <v>2658</v>
      </c>
      <c r="C5253" t="s">
        <v>55</v>
      </c>
      <c r="D5253" s="21" t="s">
        <v>34</v>
      </c>
      <c r="E5253" s="21" t="s">
        <v>254</v>
      </c>
      <c r="F5253">
        <v>7590120</v>
      </c>
      <c r="G5253" t="s">
        <v>5351</v>
      </c>
      <c r="H5253" s="21">
        <v>1182.17</v>
      </c>
    </row>
    <row r="5254" spans="1:8" customFormat="1" x14ac:dyDescent="0.25">
      <c r="A5254" t="str">
        <f>"413027"</f>
        <v>413027</v>
      </c>
      <c r="B5254" t="s">
        <v>8057</v>
      </c>
      <c r="C5254" t="s">
        <v>43</v>
      </c>
      <c r="D5254" s="21" t="s">
        <v>34</v>
      </c>
      <c r="E5254" s="21" t="s">
        <v>35</v>
      </c>
      <c r="F5254">
        <v>4410697</v>
      </c>
      <c r="G5254" t="s">
        <v>2490</v>
      </c>
      <c r="H5254" s="21">
        <v>1182.17</v>
      </c>
    </row>
    <row r="5255" spans="1:8" customFormat="1" x14ac:dyDescent="0.25">
      <c r="A5255" t="str">
        <f>"536245"</f>
        <v>536245</v>
      </c>
      <c r="B5255" t="s">
        <v>2082</v>
      </c>
      <c r="C5255" t="s">
        <v>62</v>
      </c>
      <c r="D5255" s="21" t="s">
        <v>34</v>
      </c>
      <c r="E5255" s="21" t="s">
        <v>71</v>
      </c>
      <c r="F5255">
        <v>12530058</v>
      </c>
      <c r="G5255" t="s">
        <v>3128</v>
      </c>
      <c r="H5255" s="21">
        <v>1181.92</v>
      </c>
    </row>
    <row r="5256" spans="1:8" customFormat="1" x14ac:dyDescent="0.25">
      <c r="A5256" t="str">
        <f>"0810737"</f>
        <v>0810737</v>
      </c>
      <c r="B5256" t="s">
        <v>946</v>
      </c>
      <c r="C5256" t="s">
        <v>631</v>
      </c>
      <c r="D5256" s="21" t="s">
        <v>34</v>
      </c>
      <c r="E5256" s="21" t="s">
        <v>35</v>
      </c>
      <c r="F5256">
        <v>6080004</v>
      </c>
      <c r="G5256" t="s">
        <v>2059</v>
      </c>
      <c r="H5256" s="21">
        <v>1181.8</v>
      </c>
    </row>
    <row r="5257" spans="1:8" customFormat="1" x14ac:dyDescent="0.25">
      <c r="A5257" t="str">
        <f>"3714857"</f>
        <v>3714857</v>
      </c>
      <c r="B5257" t="s">
        <v>577</v>
      </c>
      <c r="C5257" t="s">
        <v>26891</v>
      </c>
      <c r="D5257" s="21" t="s">
        <v>34</v>
      </c>
      <c r="E5257" s="21" t="s">
        <v>35</v>
      </c>
      <c r="F5257">
        <v>4370730</v>
      </c>
      <c r="G5257" t="s">
        <v>18791</v>
      </c>
      <c r="H5257" s="21">
        <v>1181.67</v>
      </c>
    </row>
    <row r="5258" spans="1:8" customFormat="1" x14ac:dyDescent="0.25">
      <c r="A5258" t="str">
        <f>"0210184"</f>
        <v>0210184</v>
      </c>
      <c r="B5258" t="s">
        <v>5836</v>
      </c>
      <c r="C5258" t="s">
        <v>96</v>
      </c>
      <c r="D5258" s="21" t="s">
        <v>34</v>
      </c>
      <c r="E5258" s="21" t="s">
        <v>35</v>
      </c>
      <c r="F5258">
        <v>6080013</v>
      </c>
      <c r="G5258" t="s">
        <v>1532</v>
      </c>
      <c r="H5258" s="21">
        <v>1181.67</v>
      </c>
    </row>
    <row r="5259" spans="1:8" customFormat="1" x14ac:dyDescent="0.25">
      <c r="A5259" t="str">
        <f>"61157"</f>
        <v>61157</v>
      </c>
      <c r="B5259" t="s">
        <v>6869</v>
      </c>
      <c r="C5259" t="s">
        <v>269</v>
      </c>
      <c r="D5259" s="21" t="s">
        <v>34</v>
      </c>
      <c r="E5259" s="21" t="s">
        <v>254</v>
      </c>
      <c r="F5259">
        <v>9610004</v>
      </c>
      <c r="G5259" t="s">
        <v>1042</v>
      </c>
      <c r="H5259" s="21">
        <v>1181.67</v>
      </c>
    </row>
    <row r="5260" spans="1:8" customFormat="1" x14ac:dyDescent="0.25">
      <c r="A5260" t="str">
        <f>"1313675"</f>
        <v>1313675</v>
      </c>
      <c r="B5260" t="s">
        <v>6114</v>
      </c>
      <c r="C5260" t="s">
        <v>124</v>
      </c>
      <c r="D5260" s="21" t="s">
        <v>34</v>
      </c>
      <c r="E5260" s="21" t="s">
        <v>35</v>
      </c>
      <c r="F5260">
        <v>13130124</v>
      </c>
      <c r="G5260" t="s">
        <v>5311</v>
      </c>
      <c r="H5260" s="21">
        <v>1181.67</v>
      </c>
    </row>
    <row r="5261" spans="1:8" customFormat="1" x14ac:dyDescent="0.25">
      <c r="A5261" t="str">
        <f>"629709"</f>
        <v>629709</v>
      </c>
      <c r="B5261" t="s">
        <v>21941</v>
      </c>
      <c r="C5261" t="s">
        <v>65</v>
      </c>
      <c r="D5261" s="21" t="s">
        <v>34</v>
      </c>
      <c r="E5261" s="21" t="s">
        <v>35</v>
      </c>
      <c r="F5261">
        <v>8780905</v>
      </c>
      <c r="G5261" t="s">
        <v>1267</v>
      </c>
      <c r="H5261" s="21">
        <v>1181.67</v>
      </c>
    </row>
    <row r="5262" spans="1:8" customFormat="1" x14ac:dyDescent="0.25">
      <c r="A5262" t="str">
        <f>"2110863"</f>
        <v>2110863</v>
      </c>
      <c r="B5262" t="s">
        <v>889</v>
      </c>
      <c r="C5262" t="s">
        <v>462</v>
      </c>
      <c r="D5262" s="21" t="s">
        <v>34</v>
      </c>
      <c r="E5262" s="21" t="s">
        <v>35</v>
      </c>
      <c r="F5262">
        <v>2210096</v>
      </c>
      <c r="G5262" t="s">
        <v>5803</v>
      </c>
      <c r="H5262" s="21">
        <v>1181.67</v>
      </c>
    </row>
    <row r="5263" spans="1:8" customFormat="1" x14ac:dyDescent="0.25">
      <c r="A5263" t="str">
        <f>"4440174"</f>
        <v>4440174</v>
      </c>
      <c r="B5263" t="s">
        <v>6295</v>
      </c>
      <c r="C5263" t="s">
        <v>55</v>
      </c>
      <c r="D5263" s="21" t="s">
        <v>34</v>
      </c>
      <c r="E5263" s="21" t="s">
        <v>71</v>
      </c>
      <c r="F5263">
        <v>12440116</v>
      </c>
      <c r="G5263" t="s">
        <v>26673</v>
      </c>
      <c r="H5263" s="21">
        <v>1181.67</v>
      </c>
    </row>
    <row r="5264" spans="1:8" customFormat="1" x14ac:dyDescent="0.25">
      <c r="A5264" t="str">
        <f>"831093"</f>
        <v>831093</v>
      </c>
      <c r="B5264" t="s">
        <v>4123</v>
      </c>
      <c r="C5264" t="s">
        <v>598</v>
      </c>
      <c r="D5264" s="21" t="s">
        <v>34</v>
      </c>
      <c r="E5264" s="21" t="s">
        <v>35</v>
      </c>
      <c r="F5264">
        <v>13830025</v>
      </c>
      <c r="G5264" t="s">
        <v>106</v>
      </c>
      <c r="H5264" s="21">
        <v>1181.43</v>
      </c>
    </row>
    <row r="5265" spans="1:8" customFormat="1" x14ac:dyDescent="0.25">
      <c r="A5265" t="str">
        <f>"7833858"</f>
        <v>7833858</v>
      </c>
      <c r="B5265" t="s">
        <v>7577</v>
      </c>
      <c r="C5265" t="s">
        <v>236</v>
      </c>
      <c r="D5265" s="21" t="s">
        <v>34</v>
      </c>
      <c r="E5265" s="21" t="s">
        <v>71</v>
      </c>
      <c r="F5265">
        <v>8780627</v>
      </c>
      <c r="G5265" t="s">
        <v>6097</v>
      </c>
      <c r="H5265" s="21">
        <v>1181.42</v>
      </c>
    </row>
    <row r="5266" spans="1:8" customFormat="1" x14ac:dyDescent="0.25">
      <c r="A5266" t="str">
        <f>"5417981"</f>
        <v>5417981</v>
      </c>
      <c r="B5266" t="s">
        <v>5299</v>
      </c>
      <c r="C5266" t="s">
        <v>60</v>
      </c>
      <c r="D5266" s="21" t="s">
        <v>34</v>
      </c>
      <c r="E5266" s="21" t="s">
        <v>35</v>
      </c>
      <c r="F5266">
        <v>6540032</v>
      </c>
      <c r="G5266" t="s">
        <v>63</v>
      </c>
      <c r="H5266" s="21">
        <v>1181.3</v>
      </c>
    </row>
    <row r="5267" spans="1:8" customFormat="1" x14ac:dyDescent="0.25">
      <c r="A5267" t="str">
        <f>"9H762"</f>
        <v>9H762</v>
      </c>
      <c r="B5267" t="s">
        <v>6245</v>
      </c>
      <c r="C5267" t="s">
        <v>598</v>
      </c>
      <c r="D5267" s="21" t="s">
        <v>34</v>
      </c>
      <c r="E5267" s="21" t="s">
        <v>71</v>
      </c>
      <c r="F5267">
        <v>8770426</v>
      </c>
      <c r="G5267" t="s">
        <v>1847</v>
      </c>
      <c r="H5267" s="21">
        <v>1181.17</v>
      </c>
    </row>
    <row r="5268" spans="1:8" customFormat="1" x14ac:dyDescent="0.25">
      <c r="A5268" t="str">
        <f>"581213"</f>
        <v>581213</v>
      </c>
      <c r="B5268" t="s">
        <v>6050</v>
      </c>
      <c r="C5268" t="s">
        <v>269</v>
      </c>
      <c r="D5268" s="21" t="s">
        <v>34</v>
      </c>
      <c r="E5268" s="21" t="s">
        <v>71</v>
      </c>
      <c r="F5268">
        <v>2580042</v>
      </c>
      <c r="G5268" t="s">
        <v>1161</v>
      </c>
      <c r="H5268" s="21">
        <v>1181.17</v>
      </c>
    </row>
    <row r="5269" spans="1:8" customFormat="1" x14ac:dyDescent="0.25">
      <c r="A5269" t="str">
        <f>"412846"</f>
        <v>412846</v>
      </c>
      <c r="B5269" t="s">
        <v>5951</v>
      </c>
      <c r="C5269" t="s">
        <v>2356</v>
      </c>
      <c r="D5269" s="21" t="s">
        <v>34</v>
      </c>
      <c r="E5269" s="21" t="s">
        <v>35</v>
      </c>
      <c r="F5269">
        <v>4410729</v>
      </c>
      <c r="G5269" t="s">
        <v>4427</v>
      </c>
      <c r="H5269" s="21">
        <v>1181.17</v>
      </c>
    </row>
    <row r="5270" spans="1:8" customFormat="1" x14ac:dyDescent="0.25">
      <c r="A5270" t="str">
        <f>"9H317"</f>
        <v>9H317</v>
      </c>
      <c r="B5270" t="s">
        <v>4844</v>
      </c>
      <c r="C5270" t="s">
        <v>49</v>
      </c>
      <c r="D5270" s="21" t="s">
        <v>34</v>
      </c>
      <c r="E5270" s="21" t="s">
        <v>35</v>
      </c>
      <c r="F5270">
        <v>3560053</v>
      </c>
      <c r="G5270" t="s">
        <v>298</v>
      </c>
      <c r="H5270" s="21">
        <v>1181.17</v>
      </c>
    </row>
    <row r="5271" spans="1:8" customFormat="1" x14ac:dyDescent="0.25">
      <c r="A5271" t="str">
        <f>"025033"</f>
        <v>025033</v>
      </c>
      <c r="B5271" t="s">
        <v>26892</v>
      </c>
      <c r="C5271" t="s">
        <v>455</v>
      </c>
      <c r="D5271" s="21" t="s">
        <v>34</v>
      </c>
      <c r="E5271" s="21" t="s">
        <v>35</v>
      </c>
      <c r="F5271">
        <v>7020062</v>
      </c>
      <c r="G5271" t="s">
        <v>1505</v>
      </c>
      <c r="H5271" s="21">
        <v>1181.17</v>
      </c>
    </row>
    <row r="5272" spans="1:8" customFormat="1" x14ac:dyDescent="0.25">
      <c r="A5272" t="str">
        <f>"5972245"</f>
        <v>5972245</v>
      </c>
      <c r="B5272" t="s">
        <v>6583</v>
      </c>
      <c r="C5272" t="s">
        <v>60</v>
      </c>
      <c r="D5272" s="21" t="s">
        <v>34</v>
      </c>
      <c r="E5272" s="21" t="s">
        <v>35</v>
      </c>
      <c r="F5272">
        <v>7590053</v>
      </c>
      <c r="G5272" t="s">
        <v>2825</v>
      </c>
      <c r="H5272" s="21">
        <v>1181.17</v>
      </c>
    </row>
    <row r="5273" spans="1:8" customFormat="1" x14ac:dyDescent="0.25">
      <c r="A5273" t="str">
        <f>"775813"</f>
        <v>775813</v>
      </c>
      <c r="B5273" t="s">
        <v>4820</v>
      </c>
      <c r="C5273" t="s">
        <v>4821</v>
      </c>
      <c r="D5273" s="21" t="s">
        <v>34</v>
      </c>
      <c r="E5273" s="21" t="s">
        <v>254</v>
      </c>
      <c r="F5273">
        <v>8940549</v>
      </c>
      <c r="G5273" t="s">
        <v>454</v>
      </c>
      <c r="H5273" s="21">
        <v>1181.05</v>
      </c>
    </row>
    <row r="5274" spans="1:8" customFormat="1" x14ac:dyDescent="0.25">
      <c r="A5274" t="str">
        <f>"9221725"</f>
        <v>9221725</v>
      </c>
      <c r="B5274" t="s">
        <v>6753</v>
      </c>
      <c r="C5274" t="s">
        <v>204</v>
      </c>
      <c r="D5274" s="21" t="s">
        <v>34</v>
      </c>
      <c r="E5274" s="21" t="s">
        <v>35</v>
      </c>
      <c r="F5274">
        <v>9500011</v>
      </c>
      <c r="G5274" t="s">
        <v>4903</v>
      </c>
      <c r="H5274" s="21">
        <v>1180.92</v>
      </c>
    </row>
    <row r="5275" spans="1:8" customFormat="1" x14ac:dyDescent="0.25">
      <c r="A5275" t="str">
        <f>"573154"</f>
        <v>573154</v>
      </c>
      <c r="B5275" t="s">
        <v>411</v>
      </c>
      <c r="C5275" t="s">
        <v>55</v>
      </c>
      <c r="D5275" s="21" t="s">
        <v>34</v>
      </c>
      <c r="E5275" s="21" t="s">
        <v>35</v>
      </c>
      <c r="F5275">
        <v>1260054</v>
      </c>
      <c r="G5275" t="s">
        <v>358</v>
      </c>
      <c r="H5275" s="21">
        <v>1180.67</v>
      </c>
    </row>
    <row r="5276" spans="1:8" customFormat="1" x14ac:dyDescent="0.25">
      <c r="A5276" t="str">
        <f>"5916924"</f>
        <v>5916924</v>
      </c>
      <c r="B5276" t="s">
        <v>6789</v>
      </c>
      <c r="C5276" t="s">
        <v>288</v>
      </c>
      <c r="D5276" s="21" t="s">
        <v>34</v>
      </c>
      <c r="E5276" s="21" t="s">
        <v>35</v>
      </c>
      <c r="F5276">
        <v>7620103</v>
      </c>
      <c r="G5276" t="s">
        <v>1107</v>
      </c>
      <c r="H5276" s="21">
        <v>1180.67</v>
      </c>
    </row>
    <row r="5277" spans="1:8" customFormat="1" x14ac:dyDescent="0.25">
      <c r="A5277" t="str">
        <f>"5725255"</f>
        <v>5725255</v>
      </c>
      <c r="B5277" t="s">
        <v>5597</v>
      </c>
      <c r="C5277" t="s">
        <v>58</v>
      </c>
      <c r="D5277" s="21" t="s">
        <v>34</v>
      </c>
      <c r="E5277" s="21" t="s">
        <v>35</v>
      </c>
      <c r="F5277">
        <v>6570107</v>
      </c>
      <c r="G5277" t="s">
        <v>5598</v>
      </c>
      <c r="H5277" s="21">
        <v>1180.67</v>
      </c>
    </row>
    <row r="5278" spans="1:8" customFormat="1" x14ac:dyDescent="0.25">
      <c r="A5278" t="str">
        <f>"74859"</f>
        <v>74859</v>
      </c>
      <c r="B5278" t="s">
        <v>679</v>
      </c>
      <c r="C5278" t="s">
        <v>40</v>
      </c>
      <c r="D5278" s="21" t="s">
        <v>34</v>
      </c>
      <c r="E5278" s="21" t="s">
        <v>254</v>
      </c>
      <c r="F5278">
        <v>1740060</v>
      </c>
      <c r="G5278" t="s">
        <v>4907</v>
      </c>
      <c r="H5278" s="21">
        <v>1180.55</v>
      </c>
    </row>
    <row r="5279" spans="1:8" customFormat="1" x14ac:dyDescent="0.25">
      <c r="A5279" t="str">
        <f>"471467"</f>
        <v>471467</v>
      </c>
      <c r="B5279" t="s">
        <v>26893</v>
      </c>
      <c r="C5279" t="s">
        <v>469</v>
      </c>
      <c r="D5279" s="21" t="s">
        <v>34</v>
      </c>
      <c r="E5279" s="21" t="s">
        <v>35</v>
      </c>
      <c r="F5279">
        <v>10470002</v>
      </c>
      <c r="G5279" t="s">
        <v>13066</v>
      </c>
      <c r="H5279" s="21">
        <v>1180.42</v>
      </c>
    </row>
    <row r="5280" spans="1:8" customFormat="1" x14ac:dyDescent="0.25">
      <c r="A5280" t="str">
        <f>"9231009"</f>
        <v>9231009</v>
      </c>
      <c r="B5280" t="s">
        <v>8374</v>
      </c>
      <c r="C5280" t="s">
        <v>8375</v>
      </c>
      <c r="D5280" s="21" t="s">
        <v>34</v>
      </c>
      <c r="E5280" s="21" t="s">
        <v>71</v>
      </c>
      <c r="F5280">
        <v>8920063</v>
      </c>
      <c r="G5280" t="s">
        <v>219</v>
      </c>
      <c r="H5280" s="21">
        <v>1180.17</v>
      </c>
    </row>
    <row r="5281" spans="1:8" customFormat="1" x14ac:dyDescent="0.25">
      <c r="A5281" t="str">
        <f>"1710847"</f>
        <v>1710847</v>
      </c>
      <c r="B5281" t="s">
        <v>1737</v>
      </c>
      <c r="C5281" t="s">
        <v>60</v>
      </c>
      <c r="D5281" s="21" t="s">
        <v>34</v>
      </c>
      <c r="E5281" s="21" t="s">
        <v>71</v>
      </c>
      <c r="F5281">
        <v>10170158</v>
      </c>
      <c r="G5281" t="s">
        <v>1262</v>
      </c>
      <c r="H5281" s="21">
        <v>1180.17</v>
      </c>
    </row>
    <row r="5282" spans="1:8" customFormat="1" x14ac:dyDescent="0.25">
      <c r="A5282" t="str">
        <f>"4441626"</f>
        <v>4441626</v>
      </c>
      <c r="B5282" t="s">
        <v>4920</v>
      </c>
      <c r="C5282" t="s">
        <v>87</v>
      </c>
      <c r="D5282" s="21" t="s">
        <v>34</v>
      </c>
      <c r="E5282" s="21" t="s">
        <v>35</v>
      </c>
      <c r="F5282">
        <v>12440259</v>
      </c>
      <c r="G5282" t="s">
        <v>833</v>
      </c>
      <c r="H5282" s="21">
        <v>1180.17</v>
      </c>
    </row>
    <row r="5283" spans="1:8" customFormat="1" x14ac:dyDescent="0.25">
      <c r="A5283" t="str">
        <f>"751963"</f>
        <v>751963</v>
      </c>
      <c r="B5283" t="s">
        <v>5227</v>
      </c>
      <c r="C5283" t="s">
        <v>249</v>
      </c>
      <c r="D5283" s="21" t="s">
        <v>34</v>
      </c>
      <c r="E5283" s="21" t="s">
        <v>71</v>
      </c>
      <c r="F5283">
        <v>8940549</v>
      </c>
      <c r="G5283" t="s">
        <v>454</v>
      </c>
      <c r="H5283" s="21">
        <v>1180.17</v>
      </c>
    </row>
    <row r="5284" spans="1:8" customFormat="1" x14ac:dyDescent="0.25">
      <c r="A5284" t="str">
        <f>"51822"</f>
        <v>51822</v>
      </c>
      <c r="B5284" t="s">
        <v>26894</v>
      </c>
      <c r="C5284" t="s">
        <v>33</v>
      </c>
      <c r="D5284" s="21" t="s">
        <v>34</v>
      </c>
      <c r="E5284" s="21" t="s">
        <v>35</v>
      </c>
      <c r="F5284">
        <v>6510020</v>
      </c>
      <c r="G5284" t="s">
        <v>3013</v>
      </c>
      <c r="H5284" s="21">
        <v>1180.17</v>
      </c>
    </row>
    <row r="5285" spans="1:8" customFormat="1" x14ac:dyDescent="0.25">
      <c r="A5285" t="str">
        <f>"6226160"</f>
        <v>6226160</v>
      </c>
      <c r="B5285" t="s">
        <v>2067</v>
      </c>
      <c r="C5285" t="s">
        <v>244</v>
      </c>
      <c r="D5285" s="21" t="s">
        <v>34</v>
      </c>
      <c r="E5285" s="21" t="s">
        <v>35</v>
      </c>
      <c r="F5285">
        <v>7620088</v>
      </c>
      <c r="G5285" t="s">
        <v>3342</v>
      </c>
      <c r="H5285" s="21">
        <v>1180.17</v>
      </c>
    </row>
    <row r="5286" spans="1:8" customFormat="1" x14ac:dyDescent="0.25">
      <c r="A5286" t="str">
        <f>"7717847"</f>
        <v>7717847</v>
      </c>
      <c r="B5286" t="s">
        <v>2747</v>
      </c>
      <c r="C5286" t="s">
        <v>415</v>
      </c>
      <c r="D5286" s="21" t="s">
        <v>34</v>
      </c>
      <c r="E5286" s="21" t="s">
        <v>71</v>
      </c>
      <c r="F5286">
        <v>8770202</v>
      </c>
      <c r="G5286" t="s">
        <v>1999</v>
      </c>
      <c r="H5286" s="21">
        <v>1180.05</v>
      </c>
    </row>
    <row r="5287" spans="1:8" customFormat="1" x14ac:dyDescent="0.25">
      <c r="A5287" t="str">
        <f>"495020"</f>
        <v>495020</v>
      </c>
      <c r="B5287" t="s">
        <v>4718</v>
      </c>
      <c r="C5287" t="s">
        <v>119</v>
      </c>
      <c r="D5287" s="21" t="s">
        <v>34</v>
      </c>
      <c r="E5287" s="21" t="s">
        <v>71</v>
      </c>
      <c r="F5287">
        <v>12490033</v>
      </c>
      <c r="G5287" t="s">
        <v>3469</v>
      </c>
      <c r="H5287" s="21">
        <v>1179.79</v>
      </c>
    </row>
    <row r="5288" spans="1:8" customFormat="1" x14ac:dyDescent="0.25">
      <c r="A5288" t="str">
        <f>"499257"</f>
        <v>499257</v>
      </c>
      <c r="B5288" t="s">
        <v>5287</v>
      </c>
      <c r="C5288" t="s">
        <v>156</v>
      </c>
      <c r="D5288" s="21" t="s">
        <v>34</v>
      </c>
      <c r="E5288" s="21" t="s">
        <v>35</v>
      </c>
      <c r="F5288">
        <v>3220033</v>
      </c>
      <c r="G5288" t="s">
        <v>657</v>
      </c>
      <c r="H5288" s="21">
        <v>1179.79</v>
      </c>
    </row>
    <row r="5289" spans="1:8" customFormat="1" x14ac:dyDescent="0.25">
      <c r="A5289" t="str">
        <f>"572105"</f>
        <v>572105</v>
      </c>
      <c r="B5289" t="s">
        <v>6054</v>
      </c>
      <c r="C5289" t="s">
        <v>608</v>
      </c>
      <c r="D5289" s="21" t="s">
        <v>34</v>
      </c>
      <c r="E5289" s="21" t="s">
        <v>254</v>
      </c>
      <c r="F5289">
        <v>6570190</v>
      </c>
      <c r="G5289" t="s">
        <v>622</v>
      </c>
      <c r="H5289" s="21">
        <v>1179.67</v>
      </c>
    </row>
    <row r="5290" spans="1:8" customFormat="1" x14ac:dyDescent="0.25">
      <c r="A5290" t="str">
        <f>"3320599"</f>
        <v>3320599</v>
      </c>
      <c r="B5290" t="s">
        <v>6157</v>
      </c>
      <c r="C5290" t="s">
        <v>498</v>
      </c>
      <c r="D5290" s="21" t="s">
        <v>34</v>
      </c>
      <c r="E5290" s="21" t="s">
        <v>35</v>
      </c>
      <c r="F5290">
        <v>9140007</v>
      </c>
      <c r="G5290" t="s">
        <v>434</v>
      </c>
      <c r="H5290" s="21">
        <v>1179.67</v>
      </c>
    </row>
    <row r="5291" spans="1:8" customFormat="1" x14ac:dyDescent="0.25">
      <c r="A5291" t="str">
        <f>"5012470"</f>
        <v>5012470</v>
      </c>
      <c r="B5291" t="s">
        <v>747</v>
      </c>
      <c r="C5291" t="s">
        <v>204</v>
      </c>
      <c r="D5291" s="21" t="s">
        <v>34</v>
      </c>
      <c r="E5291" s="21" t="s">
        <v>71</v>
      </c>
      <c r="F5291">
        <v>9760374</v>
      </c>
      <c r="G5291" t="s">
        <v>6867</v>
      </c>
      <c r="H5291" s="21">
        <v>1179.67</v>
      </c>
    </row>
    <row r="5292" spans="1:8" customFormat="1" x14ac:dyDescent="0.25">
      <c r="A5292" t="str">
        <f>"90113"</f>
        <v>90113</v>
      </c>
      <c r="B5292" t="s">
        <v>5921</v>
      </c>
      <c r="C5292" t="s">
        <v>209</v>
      </c>
      <c r="D5292" s="21" t="s">
        <v>34</v>
      </c>
      <c r="E5292" s="21" t="s">
        <v>71</v>
      </c>
      <c r="F5292">
        <v>2900004</v>
      </c>
      <c r="G5292" t="s">
        <v>5922</v>
      </c>
      <c r="H5292" s="21">
        <v>1179.67</v>
      </c>
    </row>
    <row r="5293" spans="1:8" customFormat="1" x14ac:dyDescent="0.25">
      <c r="A5293" t="str">
        <f>"1414466"</f>
        <v>1414466</v>
      </c>
      <c r="B5293" t="s">
        <v>1405</v>
      </c>
      <c r="C5293" t="s">
        <v>60</v>
      </c>
      <c r="D5293" s="21" t="s">
        <v>34</v>
      </c>
      <c r="E5293" s="21" t="s">
        <v>35</v>
      </c>
      <c r="F5293">
        <v>9140072</v>
      </c>
      <c r="G5293" t="s">
        <v>4810</v>
      </c>
      <c r="H5293" s="21">
        <v>1179.67</v>
      </c>
    </row>
    <row r="5294" spans="1:8" customFormat="1" x14ac:dyDescent="0.25">
      <c r="A5294" t="str">
        <f>"5959984"</f>
        <v>5959984</v>
      </c>
      <c r="B5294" t="s">
        <v>5307</v>
      </c>
      <c r="C5294" t="s">
        <v>249</v>
      </c>
      <c r="D5294" s="21" t="s">
        <v>34</v>
      </c>
      <c r="E5294" s="21" t="s">
        <v>71</v>
      </c>
      <c r="F5294">
        <v>7590065</v>
      </c>
      <c r="G5294" t="s">
        <v>1598</v>
      </c>
      <c r="H5294" s="21">
        <v>1179.67</v>
      </c>
    </row>
    <row r="5295" spans="1:8" customFormat="1" x14ac:dyDescent="0.25">
      <c r="A5295" t="str">
        <f>"3721657"</f>
        <v>3721657</v>
      </c>
      <c r="B5295" t="s">
        <v>8149</v>
      </c>
      <c r="C5295" t="s">
        <v>171</v>
      </c>
      <c r="D5295" s="21" t="s">
        <v>34</v>
      </c>
      <c r="E5295" s="21" t="s">
        <v>35</v>
      </c>
      <c r="F5295">
        <v>4370615</v>
      </c>
      <c r="G5295" t="s">
        <v>7437</v>
      </c>
      <c r="H5295" s="21">
        <v>1179.67</v>
      </c>
    </row>
    <row r="5296" spans="1:8" customFormat="1" x14ac:dyDescent="0.25">
      <c r="A5296" t="str">
        <f>"5015840"</f>
        <v>5015840</v>
      </c>
      <c r="B5296" t="s">
        <v>6633</v>
      </c>
      <c r="C5296" t="s">
        <v>209</v>
      </c>
      <c r="D5296" s="21" t="s">
        <v>34</v>
      </c>
      <c r="E5296" s="21" t="s">
        <v>35</v>
      </c>
      <c r="F5296">
        <v>9500073</v>
      </c>
      <c r="G5296" t="s">
        <v>5393</v>
      </c>
      <c r="H5296" s="21">
        <v>1179.67</v>
      </c>
    </row>
    <row r="5297" spans="1:8" customFormat="1" x14ac:dyDescent="0.25">
      <c r="A5297" t="str">
        <f>"6230510"</f>
        <v>6230510</v>
      </c>
      <c r="B5297" t="s">
        <v>8705</v>
      </c>
      <c r="C5297" t="s">
        <v>2806</v>
      </c>
      <c r="D5297" s="21" t="s">
        <v>34</v>
      </c>
      <c r="E5297" s="21" t="s">
        <v>35</v>
      </c>
      <c r="F5297">
        <v>7620027</v>
      </c>
      <c r="G5297" t="s">
        <v>980</v>
      </c>
      <c r="H5297" s="21">
        <v>1179.67</v>
      </c>
    </row>
    <row r="5298" spans="1:8" customFormat="1" x14ac:dyDescent="0.25">
      <c r="A5298" t="str">
        <f>"743628"</f>
        <v>743628</v>
      </c>
      <c r="B5298" t="s">
        <v>5742</v>
      </c>
      <c r="C5298" t="s">
        <v>121</v>
      </c>
      <c r="D5298" s="21" t="s">
        <v>34</v>
      </c>
      <c r="E5298" s="21" t="s">
        <v>71</v>
      </c>
      <c r="F5298">
        <v>1740010</v>
      </c>
      <c r="G5298" t="s">
        <v>4986</v>
      </c>
      <c r="H5298" s="21">
        <v>1179.67</v>
      </c>
    </row>
    <row r="5299" spans="1:8" customFormat="1" x14ac:dyDescent="0.25">
      <c r="A5299" t="str">
        <f>"5012387"</f>
        <v>5012387</v>
      </c>
      <c r="B5299" t="s">
        <v>2549</v>
      </c>
      <c r="C5299" t="s">
        <v>119</v>
      </c>
      <c r="D5299" s="21" t="s">
        <v>34</v>
      </c>
      <c r="E5299" s="21" t="s">
        <v>71</v>
      </c>
      <c r="F5299">
        <v>9500010</v>
      </c>
      <c r="G5299" t="s">
        <v>5975</v>
      </c>
      <c r="H5299" s="21">
        <v>1179.55</v>
      </c>
    </row>
    <row r="5300" spans="1:8" customFormat="1" x14ac:dyDescent="0.25">
      <c r="A5300" t="str">
        <f>"221181"</f>
        <v>221181</v>
      </c>
      <c r="B5300" t="s">
        <v>10392</v>
      </c>
      <c r="C5300" t="s">
        <v>33</v>
      </c>
      <c r="D5300" s="21" t="s">
        <v>34</v>
      </c>
      <c r="E5300" s="21" t="s">
        <v>35</v>
      </c>
      <c r="F5300">
        <v>3220127</v>
      </c>
      <c r="G5300" t="s">
        <v>26652</v>
      </c>
      <c r="H5300" s="21">
        <v>1179.54</v>
      </c>
    </row>
    <row r="5301" spans="1:8" customFormat="1" x14ac:dyDescent="0.25">
      <c r="A5301" t="str">
        <f>"181862"</f>
        <v>181862</v>
      </c>
      <c r="B5301" t="s">
        <v>5926</v>
      </c>
      <c r="C5301" t="s">
        <v>37</v>
      </c>
      <c r="D5301" s="21" t="s">
        <v>34</v>
      </c>
      <c r="E5301" s="21" t="s">
        <v>35</v>
      </c>
      <c r="F5301">
        <v>4180486</v>
      </c>
      <c r="G5301" t="s">
        <v>5295</v>
      </c>
      <c r="H5301" s="21">
        <v>1179.43</v>
      </c>
    </row>
    <row r="5302" spans="1:8" customFormat="1" x14ac:dyDescent="0.25">
      <c r="A5302" t="str">
        <f>"6918805"</f>
        <v>6918805</v>
      </c>
      <c r="B5302" t="s">
        <v>5446</v>
      </c>
      <c r="C5302" t="s">
        <v>60</v>
      </c>
      <c r="D5302" s="21" t="s">
        <v>34</v>
      </c>
      <c r="E5302" s="21" t="s">
        <v>35</v>
      </c>
      <c r="F5302">
        <v>1690058</v>
      </c>
      <c r="G5302" t="s">
        <v>1644</v>
      </c>
      <c r="H5302" s="21">
        <v>1179.42</v>
      </c>
    </row>
    <row r="5303" spans="1:8" customFormat="1" x14ac:dyDescent="0.25">
      <c r="A5303" t="str">
        <f>"33600"</f>
        <v>33600</v>
      </c>
      <c r="B5303" t="s">
        <v>7241</v>
      </c>
      <c r="C5303" t="s">
        <v>9999</v>
      </c>
      <c r="D5303" s="21" t="s">
        <v>34</v>
      </c>
      <c r="E5303" s="21" t="s">
        <v>35</v>
      </c>
      <c r="F5303">
        <v>10330004</v>
      </c>
      <c r="G5303" t="s">
        <v>525</v>
      </c>
      <c r="H5303" s="21">
        <v>1179.17</v>
      </c>
    </row>
    <row r="5304" spans="1:8" customFormat="1" x14ac:dyDescent="0.25">
      <c r="A5304" t="str">
        <f>"85712"</f>
        <v>85712</v>
      </c>
      <c r="B5304" t="s">
        <v>4885</v>
      </c>
      <c r="C5304" t="s">
        <v>639</v>
      </c>
      <c r="D5304" s="21" t="s">
        <v>34</v>
      </c>
      <c r="E5304" s="21" t="s">
        <v>1089</v>
      </c>
      <c r="F5304">
        <v>12850023</v>
      </c>
      <c r="G5304" t="s">
        <v>3121</v>
      </c>
      <c r="H5304" s="21">
        <v>1179.17</v>
      </c>
    </row>
    <row r="5305" spans="1:8" customFormat="1" x14ac:dyDescent="0.25">
      <c r="A5305" t="str">
        <f>"416790"</f>
        <v>416790</v>
      </c>
      <c r="B5305" t="s">
        <v>5835</v>
      </c>
      <c r="C5305" t="s">
        <v>198</v>
      </c>
      <c r="D5305" s="21" t="s">
        <v>34</v>
      </c>
      <c r="E5305" s="21" t="s">
        <v>71</v>
      </c>
      <c r="F5305">
        <v>4410546</v>
      </c>
      <c r="G5305" t="s">
        <v>5001</v>
      </c>
      <c r="H5305" s="21">
        <v>1179.17</v>
      </c>
    </row>
    <row r="5306" spans="1:8" customFormat="1" x14ac:dyDescent="0.25">
      <c r="A5306" t="str">
        <f>"5926477"</f>
        <v>5926477</v>
      </c>
      <c r="B5306" t="s">
        <v>13879</v>
      </c>
      <c r="C5306" t="s">
        <v>515</v>
      </c>
      <c r="D5306" s="21" t="s">
        <v>34</v>
      </c>
      <c r="E5306" s="21" t="s">
        <v>35</v>
      </c>
      <c r="F5306">
        <v>7590048</v>
      </c>
      <c r="G5306" t="s">
        <v>4608</v>
      </c>
      <c r="H5306" s="21">
        <v>1179.17</v>
      </c>
    </row>
    <row r="5307" spans="1:8" customFormat="1" x14ac:dyDescent="0.25">
      <c r="A5307" t="str">
        <f>"7624714"</f>
        <v>7624714</v>
      </c>
      <c r="B5307" t="s">
        <v>853</v>
      </c>
      <c r="C5307" t="s">
        <v>43</v>
      </c>
      <c r="D5307" s="21" t="s">
        <v>34</v>
      </c>
      <c r="E5307" s="21" t="s">
        <v>35</v>
      </c>
      <c r="F5307">
        <v>9760218</v>
      </c>
      <c r="G5307" t="s">
        <v>26836</v>
      </c>
      <c r="H5307" s="21">
        <v>1179.17</v>
      </c>
    </row>
    <row r="5308" spans="1:8" customFormat="1" x14ac:dyDescent="0.25">
      <c r="A5308" t="str">
        <f>"592194"</f>
        <v>592194</v>
      </c>
      <c r="B5308" t="s">
        <v>6877</v>
      </c>
      <c r="C5308" t="s">
        <v>267</v>
      </c>
      <c r="D5308" s="21" t="s">
        <v>34</v>
      </c>
      <c r="E5308" s="21" t="s">
        <v>71</v>
      </c>
      <c r="F5308">
        <v>7620119</v>
      </c>
      <c r="G5308" t="s">
        <v>5233</v>
      </c>
      <c r="H5308" s="21">
        <v>1179.17</v>
      </c>
    </row>
    <row r="5309" spans="1:8" customFormat="1" x14ac:dyDescent="0.25">
      <c r="A5309" t="str">
        <f>"2911598"</f>
        <v>2911598</v>
      </c>
      <c r="B5309" t="s">
        <v>482</v>
      </c>
      <c r="C5309" t="s">
        <v>4060</v>
      </c>
      <c r="D5309" s="21" t="s">
        <v>34</v>
      </c>
      <c r="E5309" s="21" t="s">
        <v>35</v>
      </c>
      <c r="F5309">
        <v>3290087</v>
      </c>
      <c r="G5309" t="s">
        <v>364</v>
      </c>
      <c r="H5309" s="21">
        <v>1179.17</v>
      </c>
    </row>
    <row r="5310" spans="1:8" customFormat="1" x14ac:dyDescent="0.25">
      <c r="A5310" t="str">
        <f>"2712044"</f>
        <v>2712044</v>
      </c>
      <c r="B5310" t="s">
        <v>556</v>
      </c>
      <c r="C5310" t="s">
        <v>544</v>
      </c>
      <c r="D5310" s="21" t="s">
        <v>34</v>
      </c>
      <c r="E5310" s="21" t="s">
        <v>35</v>
      </c>
      <c r="F5310">
        <v>9270005</v>
      </c>
      <c r="G5310" t="s">
        <v>1255</v>
      </c>
      <c r="H5310" s="21">
        <v>1179.17</v>
      </c>
    </row>
    <row r="5311" spans="1:8" customFormat="1" x14ac:dyDescent="0.25">
      <c r="A5311" t="str">
        <f>"3816673"</f>
        <v>3816673</v>
      </c>
      <c r="B5311" t="s">
        <v>2210</v>
      </c>
      <c r="C5311" t="s">
        <v>87</v>
      </c>
      <c r="D5311" s="21" t="s">
        <v>34</v>
      </c>
      <c r="E5311" s="21" t="s">
        <v>35</v>
      </c>
      <c r="F5311">
        <v>1380298</v>
      </c>
      <c r="G5311" t="s">
        <v>5868</v>
      </c>
      <c r="H5311" s="21">
        <v>1179.17</v>
      </c>
    </row>
    <row r="5312" spans="1:8" customFormat="1" x14ac:dyDescent="0.25">
      <c r="A5312" t="str">
        <f>"5940938"</f>
        <v>5940938</v>
      </c>
      <c r="B5312" t="s">
        <v>5153</v>
      </c>
      <c r="C5312" t="s">
        <v>40</v>
      </c>
      <c r="D5312" s="21" t="s">
        <v>34</v>
      </c>
      <c r="E5312" s="21" t="s">
        <v>71</v>
      </c>
      <c r="F5312">
        <v>7590345</v>
      </c>
      <c r="G5312" t="s">
        <v>3297</v>
      </c>
      <c r="H5312" s="21">
        <v>1179.17</v>
      </c>
    </row>
    <row r="5313" spans="1:8" customFormat="1" x14ac:dyDescent="0.25">
      <c r="A5313" t="str">
        <f>"3419992"</f>
        <v>3419992</v>
      </c>
      <c r="B5313" t="s">
        <v>5132</v>
      </c>
      <c r="C5313" t="s">
        <v>1803</v>
      </c>
      <c r="D5313" s="21" t="s">
        <v>34</v>
      </c>
      <c r="E5313" s="21" t="s">
        <v>35</v>
      </c>
      <c r="F5313">
        <v>11340067</v>
      </c>
      <c r="G5313" t="s">
        <v>2895</v>
      </c>
      <c r="H5313" s="21">
        <v>1179.17</v>
      </c>
    </row>
    <row r="5314" spans="1:8" customFormat="1" x14ac:dyDescent="0.25">
      <c r="A5314" t="str">
        <f>"084690"</f>
        <v>084690</v>
      </c>
      <c r="B5314" t="s">
        <v>5510</v>
      </c>
      <c r="C5314" t="s">
        <v>528</v>
      </c>
      <c r="D5314" s="21" t="s">
        <v>34</v>
      </c>
      <c r="E5314" s="21" t="s">
        <v>254</v>
      </c>
      <c r="F5314">
        <v>6080024</v>
      </c>
      <c r="G5314" t="s">
        <v>5511</v>
      </c>
      <c r="H5314" s="21">
        <v>1179.17</v>
      </c>
    </row>
    <row r="5315" spans="1:8" customFormat="1" x14ac:dyDescent="0.25">
      <c r="A5315" t="str">
        <f>"07198"</f>
        <v>07198</v>
      </c>
      <c r="B5315" t="s">
        <v>5741</v>
      </c>
      <c r="C5315" t="s">
        <v>198</v>
      </c>
      <c r="D5315" s="21" t="s">
        <v>34</v>
      </c>
      <c r="E5315" s="21" t="s">
        <v>254</v>
      </c>
      <c r="F5315">
        <v>1260024</v>
      </c>
      <c r="G5315" t="s">
        <v>2685</v>
      </c>
      <c r="H5315" s="21">
        <v>1179</v>
      </c>
    </row>
    <row r="5316" spans="1:8" customFormat="1" x14ac:dyDescent="0.25">
      <c r="A5316" t="str">
        <f>"4215351"</f>
        <v>4215351</v>
      </c>
      <c r="B5316" t="s">
        <v>7803</v>
      </c>
      <c r="C5316" t="s">
        <v>249</v>
      </c>
      <c r="D5316" s="21" t="s">
        <v>34</v>
      </c>
      <c r="E5316" s="21" t="s">
        <v>35</v>
      </c>
      <c r="F5316">
        <v>1420110</v>
      </c>
      <c r="G5316" t="s">
        <v>3928</v>
      </c>
      <c r="H5316" s="21">
        <v>1178.93</v>
      </c>
    </row>
    <row r="5317" spans="1:8" customFormat="1" x14ac:dyDescent="0.25">
      <c r="A5317" t="str">
        <f>"502221"</f>
        <v>502221</v>
      </c>
      <c r="B5317" t="s">
        <v>5028</v>
      </c>
      <c r="C5317" t="s">
        <v>267</v>
      </c>
      <c r="D5317" s="21" t="s">
        <v>34</v>
      </c>
      <c r="E5317" s="21" t="s">
        <v>254</v>
      </c>
      <c r="F5317">
        <v>9500022</v>
      </c>
      <c r="G5317" t="s">
        <v>4324</v>
      </c>
      <c r="H5317" s="21">
        <v>1178.92</v>
      </c>
    </row>
    <row r="5318" spans="1:8" customFormat="1" x14ac:dyDescent="0.25">
      <c r="A5318" t="str">
        <f>"6221062"</f>
        <v>6221062</v>
      </c>
      <c r="B5318" t="s">
        <v>5732</v>
      </c>
      <c r="C5318" t="s">
        <v>204</v>
      </c>
      <c r="D5318" s="21" t="s">
        <v>34</v>
      </c>
      <c r="E5318" s="21" t="s">
        <v>35</v>
      </c>
      <c r="F5318">
        <v>7620184</v>
      </c>
      <c r="G5318" t="s">
        <v>4436</v>
      </c>
      <c r="H5318" s="21">
        <v>1178.92</v>
      </c>
    </row>
    <row r="5319" spans="1:8" customFormat="1" x14ac:dyDescent="0.25">
      <c r="A5319" t="str">
        <f>"764486"</f>
        <v>764486</v>
      </c>
      <c r="B5319" t="s">
        <v>7438</v>
      </c>
      <c r="C5319" t="s">
        <v>109</v>
      </c>
      <c r="D5319" s="21" t="s">
        <v>34</v>
      </c>
      <c r="E5319" s="21" t="s">
        <v>35</v>
      </c>
      <c r="F5319">
        <v>9760425</v>
      </c>
      <c r="G5319" t="s">
        <v>5012</v>
      </c>
      <c r="H5319" s="21">
        <v>1178.67</v>
      </c>
    </row>
    <row r="5320" spans="1:8" customFormat="1" x14ac:dyDescent="0.25">
      <c r="A5320" t="str">
        <f>"4426386"</f>
        <v>4426386</v>
      </c>
      <c r="B5320" t="s">
        <v>2868</v>
      </c>
      <c r="C5320" t="s">
        <v>253</v>
      </c>
      <c r="D5320" s="21" t="s">
        <v>34</v>
      </c>
      <c r="E5320" s="21" t="s">
        <v>1089</v>
      </c>
      <c r="F5320">
        <v>12850008</v>
      </c>
      <c r="G5320" t="s">
        <v>4248</v>
      </c>
      <c r="H5320" s="21">
        <v>1178.67</v>
      </c>
    </row>
    <row r="5321" spans="1:8" customFormat="1" x14ac:dyDescent="0.25">
      <c r="A5321" t="str">
        <f>"7510295"</f>
        <v>7510295</v>
      </c>
      <c r="B5321" t="s">
        <v>2313</v>
      </c>
      <c r="C5321" t="s">
        <v>6078</v>
      </c>
      <c r="D5321" s="21" t="s">
        <v>34</v>
      </c>
      <c r="E5321" s="21" t="s">
        <v>35</v>
      </c>
      <c r="F5321">
        <v>8751456</v>
      </c>
      <c r="G5321" t="s">
        <v>2683</v>
      </c>
      <c r="H5321" s="21">
        <v>1178.67</v>
      </c>
    </row>
    <row r="5322" spans="1:8" customFormat="1" x14ac:dyDescent="0.25">
      <c r="A5322" t="str">
        <f>"5429346"</f>
        <v>5429346</v>
      </c>
      <c r="B5322" t="s">
        <v>6199</v>
      </c>
      <c r="C5322" t="s">
        <v>114</v>
      </c>
      <c r="D5322" s="21" t="s">
        <v>34</v>
      </c>
      <c r="E5322" s="21" t="s">
        <v>71</v>
      </c>
      <c r="F5322">
        <v>6540187</v>
      </c>
      <c r="G5322" t="s">
        <v>4563</v>
      </c>
      <c r="H5322" s="21">
        <v>1178.67</v>
      </c>
    </row>
    <row r="5323" spans="1:8" customFormat="1" x14ac:dyDescent="0.25">
      <c r="A5323" t="str">
        <f>"1713791"</f>
        <v>1713791</v>
      </c>
      <c r="B5323" t="s">
        <v>1737</v>
      </c>
      <c r="C5323" t="s">
        <v>462</v>
      </c>
      <c r="D5323" s="21" t="s">
        <v>34</v>
      </c>
      <c r="E5323" s="21" t="s">
        <v>71</v>
      </c>
      <c r="F5323">
        <v>10170051</v>
      </c>
      <c r="G5323" t="s">
        <v>826</v>
      </c>
      <c r="H5323" s="21">
        <v>1178.67</v>
      </c>
    </row>
    <row r="5324" spans="1:8" customFormat="1" x14ac:dyDescent="0.25">
      <c r="A5324" t="str">
        <f>"7510722"</f>
        <v>7510722</v>
      </c>
      <c r="B5324" t="s">
        <v>6206</v>
      </c>
      <c r="C5324" t="s">
        <v>139</v>
      </c>
      <c r="D5324" s="21" t="s">
        <v>34</v>
      </c>
      <c r="E5324" s="21" t="s">
        <v>35</v>
      </c>
      <c r="F5324">
        <v>8750120</v>
      </c>
      <c r="G5324" t="s">
        <v>838</v>
      </c>
      <c r="H5324" s="21">
        <v>1178.67</v>
      </c>
    </row>
    <row r="5325" spans="1:8" customFormat="1" x14ac:dyDescent="0.25">
      <c r="A5325" t="str">
        <f>"4919784"</f>
        <v>4919784</v>
      </c>
      <c r="B5325" t="s">
        <v>5697</v>
      </c>
      <c r="C5325" t="s">
        <v>174</v>
      </c>
      <c r="D5325" s="21" t="s">
        <v>34</v>
      </c>
      <c r="E5325" s="21" t="s">
        <v>35</v>
      </c>
      <c r="F5325">
        <v>12490134</v>
      </c>
      <c r="G5325" t="s">
        <v>4880</v>
      </c>
      <c r="H5325" s="21">
        <v>1178.67</v>
      </c>
    </row>
    <row r="5326" spans="1:8" customFormat="1" x14ac:dyDescent="0.25">
      <c r="A5326" t="str">
        <f>"631187"</f>
        <v>631187</v>
      </c>
      <c r="B5326" t="s">
        <v>7422</v>
      </c>
      <c r="C5326" t="s">
        <v>43</v>
      </c>
      <c r="D5326" s="21" t="s">
        <v>34</v>
      </c>
      <c r="E5326" s="21" t="s">
        <v>35</v>
      </c>
      <c r="F5326">
        <v>1690197</v>
      </c>
      <c r="G5326" t="s">
        <v>26849</v>
      </c>
      <c r="H5326" s="21">
        <v>1178.67</v>
      </c>
    </row>
    <row r="5327" spans="1:8" customFormat="1" x14ac:dyDescent="0.25">
      <c r="A5327" t="str">
        <f>"7918742"</f>
        <v>7918742</v>
      </c>
      <c r="B5327" t="s">
        <v>5680</v>
      </c>
      <c r="C5327" t="s">
        <v>462</v>
      </c>
      <c r="D5327" s="21" t="s">
        <v>34</v>
      </c>
      <c r="E5327" s="21" t="s">
        <v>71</v>
      </c>
      <c r="F5327">
        <v>10790204</v>
      </c>
      <c r="G5327" t="s">
        <v>5681</v>
      </c>
      <c r="H5327" s="21">
        <v>1178.67</v>
      </c>
    </row>
    <row r="5328" spans="1:8" customFormat="1" x14ac:dyDescent="0.25">
      <c r="A5328" t="str">
        <f>"50836"</f>
        <v>50836</v>
      </c>
      <c r="B5328" t="s">
        <v>7608</v>
      </c>
      <c r="C5328" t="s">
        <v>239</v>
      </c>
      <c r="D5328" s="21" t="s">
        <v>34</v>
      </c>
      <c r="E5328" s="21" t="s">
        <v>254</v>
      </c>
      <c r="F5328">
        <v>9500131</v>
      </c>
      <c r="G5328" t="s">
        <v>1073</v>
      </c>
      <c r="H5328" s="21">
        <v>1178.67</v>
      </c>
    </row>
    <row r="5329" spans="1:8" customFormat="1" x14ac:dyDescent="0.25">
      <c r="A5329" t="str">
        <f>"9522486"</f>
        <v>9522486</v>
      </c>
      <c r="B5329" t="s">
        <v>904</v>
      </c>
      <c r="C5329" t="s">
        <v>5920</v>
      </c>
      <c r="D5329" s="21" t="s">
        <v>34</v>
      </c>
      <c r="E5329" s="21" t="s">
        <v>35</v>
      </c>
      <c r="F5329">
        <v>8950103</v>
      </c>
      <c r="G5329" t="s">
        <v>440</v>
      </c>
      <c r="H5329" s="21">
        <v>1178.42</v>
      </c>
    </row>
    <row r="5330" spans="1:8" customFormat="1" x14ac:dyDescent="0.25">
      <c r="A5330" t="str">
        <f>"027337"</f>
        <v>027337</v>
      </c>
      <c r="B5330" t="s">
        <v>6154</v>
      </c>
      <c r="C5330" t="s">
        <v>109</v>
      </c>
      <c r="D5330" s="21" t="s">
        <v>34</v>
      </c>
      <c r="E5330" s="21" t="s">
        <v>71</v>
      </c>
      <c r="F5330">
        <v>6510107</v>
      </c>
      <c r="G5330" t="s">
        <v>1392</v>
      </c>
      <c r="H5330" s="21">
        <v>1178.29</v>
      </c>
    </row>
    <row r="5331" spans="1:8" customFormat="1" x14ac:dyDescent="0.25">
      <c r="A5331" t="str">
        <f>"1312050"</f>
        <v>1312050</v>
      </c>
      <c r="B5331" t="s">
        <v>26895</v>
      </c>
      <c r="C5331" t="s">
        <v>608</v>
      </c>
      <c r="D5331" s="21" t="s">
        <v>34</v>
      </c>
      <c r="E5331" s="21" t="s">
        <v>35</v>
      </c>
      <c r="F5331">
        <v>13130138</v>
      </c>
      <c r="G5331" t="s">
        <v>5409</v>
      </c>
      <c r="H5331" s="21">
        <v>1178.17</v>
      </c>
    </row>
    <row r="5332" spans="1:8" customFormat="1" x14ac:dyDescent="0.25">
      <c r="A5332" t="str">
        <f>"671737"</f>
        <v>671737</v>
      </c>
      <c r="B5332" t="s">
        <v>5617</v>
      </c>
      <c r="C5332" t="s">
        <v>174</v>
      </c>
      <c r="D5332" s="21" t="s">
        <v>34</v>
      </c>
      <c r="E5332" s="21" t="s">
        <v>71</v>
      </c>
      <c r="F5332">
        <v>6670045</v>
      </c>
      <c r="G5332" t="s">
        <v>707</v>
      </c>
      <c r="H5332" s="21">
        <v>1178.17</v>
      </c>
    </row>
    <row r="5333" spans="1:8" customFormat="1" x14ac:dyDescent="0.25">
      <c r="A5333" t="str">
        <f>"62506"</f>
        <v>62506</v>
      </c>
      <c r="B5333" t="s">
        <v>1203</v>
      </c>
      <c r="C5333" t="s">
        <v>209</v>
      </c>
      <c r="D5333" s="21" t="s">
        <v>34</v>
      </c>
      <c r="E5333" s="21" t="s">
        <v>71</v>
      </c>
      <c r="F5333">
        <v>7620046</v>
      </c>
      <c r="G5333" t="s">
        <v>242</v>
      </c>
      <c r="H5333" s="21">
        <v>1178.17</v>
      </c>
    </row>
    <row r="5334" spans="1:8" customFormat="1" x14ac:dyDescent="0.25">
      <c r="A5334" t="str">
        <f>"413790"</f>
        <v>413790</v>
      </c>
      <c r="B5334" t="s">
        <v>6513</v>
      </c>
      <c r="C5334" t="s">
        <v>6514</v>
      </c>
      <c r="D5334" s="21" t="s">
        <v>34</v>
      </c>
      <c r="E5334" s="21" t="s">
        <v>35</v>
      </c>
      <c r="F5334">
        <v>4410537</v>
      </c>
      <c r="G5334" t="s">
        <v>6515</v>
      </c>
      <c r="H5334" s="21">
        <v>1178.17</v>
      </c>
    </row>
    <row r="5335" spans="1:8" customFormat="1" x14ac:dyDescent="0.25">
      <c r="A5335" t="str">
        <f>"629625"</f>
        <v>629625</v>
      </c>
      <c r="B5335" t="s">
        <v>5459</v>
      </c>
      <c r="C5335" t="s">
        <v>260</v>
      </c>
      <c r="D5335" s="21" t="s">
        <v>34</v>
      </c>
      <c r="E5335" s="21" t="s">
        <v>35</v>
      </c>
      <c r="F5335">
        <v>7590402</v>
      </c>
      <c r="G5335" t="s">
        <v>1623</v>
      </c>
      <c r="H5335" s="21">
        <v>1178.17</v>
      </c>
    </row>
    <row r="5336" spans="1:8" customFormat="1" x14ac:dyDescent="0.25">
      <c r="A5336" t="str">
        <f>"35789"</f>
        <v>35789</v>
      </c>
      <c r="B5336" t="s">
        <v>1027</v>
      </c>
      <c r="C5336" t="s">
        <v>379</v>
      </c>
      <c r="D5336" s="21" t="s">
        <v>34</v>
      </c>
      <c r="E5336" s="21" t="s">
        <v>1089</v>
      </c>
      <c r="F5336">
        <v>3350014</v>
      </c>
      <c r="G5336" t="s">
        <v>1078</v>
      </c>
      <c r="H5336" s="21">
        <v>1178.17</v>
      </c>
    </row>
    <row r="5337" spans="1:8" customFormat="1" x14ac:dyDescent="0.25">
      <c r="A5337" t="str">
        <f>"5018112"</f>
        <v>5018112</v>
      </c>
      <c r="B5337" t="s">
        <v>4148</v>
      </c>
      <c r="C5337" t="s">
        <v>109</v>
      </c>
      <c r="D5337" s="21" t="s">
        <v>34</v>
      </c>
      <c r="E5337" s="21" t="s">
        <v>35</v>
      </c>
      <c r="F5337">
        <v>9500139</v>
      </c>
      <c r="G5337" t="s">
        <v>6892</v>
      </c>
      <c r="H5337" s="21">
        <v>1178.17</v>
      </c>
    </row>
    <row r="5338" spans="1:8" customFormat="1" x14ac:dyDescent="0.25">
      <c r="A5338" t="str">
        <f>"5320637"</f>
        <v>5320637</v>
      </c>
      <c r="B5338" t="s">
        <v>4282</v>
      </c>
      <c r="C5338" t="s">
        <v>275</v>
      </c>
      <c r="D5338" s="21" t="s">
        <v>34</v>
      </c>
      <c r="E5338" s="21" t="s">
        <v>35</v>
      </c>
      <c r="F5338">
        <v>12538903</v>
      </c>
      <c r="G5338" t="s">
        <v>6439</v>
      </c>
      <c r="H5338" s="21">
        <v>1178.17</v>
      </c>
    </row>
    <row r="5339" spans="1:8" customFormat="1" x14ac:dyDescent="0.25">
      <c r="A5339" t="str">
        <f>"2810034"</f>
        <v>2810034</v>
      </c>
      <c r="B5339" t="s">
        <v>5527</v>
      </c>
      <c r="C5339" t="s">
        <v>997</v>
      </c>
      <c r="D5339" s="21" t="s">
        <v>34</v>
      </c>
      <c r="E5339" s="21" t="s">
        <v>71</v>
      </c>
      <c r="F5339">
        <v>4280517</v>
      </c>
      <c r="G5339" t="s">
        <v>436</v>
      </c>
      <c r="H5339" s="21">
        <v>1178.17</v>
      </c>
    </row>
    <row r="5340" spans="1:8" customFormat="1" x14ac:dyDescent="0.25">
      <c r="A5340" t="str">
        <f>"624311"</f>
        <v>624311</v>
      </c>
      <c r="B5340" t="s">
        <v>6437</v>
      </c>
      <c r="C5340" t="s">
        <v>33</v>
      </c>
      <c r="D5340" s="21" t="s">
        <v>34</v>
      </c>
      <c r="E5340" s="21" t="s">
        <v>35</v>
      </c>
      <c r="F5340">
        <v>7620027</v>
      </c>
      <c r="G5340" t="s">
        <v>980</v>
      </c>
      <c r="H5340" s="21">
        <v>1178.17</v>
      </c>
    </row>
    <row r="5341" spans="1:8" customFormat="1" x14ac:dyDescent="0.25">
      <c r="A5341" t="str">
        <f>"6725576"</f>
        <v>6725576</v>
      </c>
      <c r="B5341" t="s">
        <v>7566</v>
      </c>
      <c r="C5341" t="s">
        <v>169</v>
      </c>
      <c r="D5341" s="21" t="s">
        <v>34</v>
      </c>
      <c r="E5341" s="21" t="s">
        <v>35</v>
      </c>
      <c r="F5341">
        <v>6670203</v>
      </c>
      <c r="G5341" t="s">
        <v>2371</v>
      </c>
      <c r="H5341" s="21">
        <v>1178.17</v>
      </c>
    </row>
    <row r="5342" spans="1:8" customFormat="1" x14ac:dyDescent="0.25">
      <c r="A5342" t="str">
        <f>"771152"</f>
        <v>771152</v>
      </c>
      <c r="B5342" t="s">
        <v>6086</v>
      </c>
      <c r="C5342" t="s">
        <v>812</v>
      </c>
      <c r="D5342" s="21" t="s">
        <v>34</v>
      </c>
      <c r="E5342" s="21" t="s">
        <v>35</v>
      </c>
      <c r="F5342">
        <v>8770489</v>
      </c>
      <c r="G5342" t="s">
        <v>1763</v>
      </c>
      <c r="H5342" s="21">
        <v>1178.17</v>
      </c>
    </row>
    <row r="5343" spans="1:8" customFormat="1" x14ac:dyDescent="0.25">
      <c r="A5343" t="str">
        <f>"2511180"</f>
        <v>2511180</v>
      </c>
      <c r="B5343" t="s">
        <v>6429</v>
      </c>
      <c r="C5343" t="s">
        <v>3648</v>
      </c>
      <c r="D5343" s="21" t="s">
        <v>34</v>
      </c>
      <c r="E5343" s="21" t="s">
        <v>71</v>
      </c>
      <c r="F5343">
        <v>2250138</v>
      </c>
      <c r="G5343" t="s">
        <v>4094</v>
      </c>
      <c r="H5343" s="21">
        <v>1178.17</v>
      </c>
    </row>
    <row r="5344" spans="1:8" customFormat="1" x14ac:dyDescent="0.25">
      <c r="A5344" t="str">
        <f>"539171"</f>
        <v>539171</v>
      </c>
      <c r="B5344" t="s">
        <v>5466</v>
      </c>
      <c r="C5344" t="s">
        <v>40</v>
      </c>
      <c r="D5344" s="21" t="s">
        <v>34</v>
      </c>
      <c r="E5344" s="21" t="s">
        <v>71</v>
      </c>
      <c r="F5344">
        <v>12530054</v>
      </c>
      <c r="G5344" t="s">
        <v>354</v>
      </c>
      <c r="H5344" s="21">
        <v>1177.92</v>
      </c>
    </row>
    <row r="5345" spans="1:8" customFormat="1" x14ac:dyDescent="0.25">
      <c r="A5345" t="str">
        <f>"4913627"</f>
        <v>4913627</v>
      </c>
      <c r="B5345" t="s">
        <v>136</v>
      </c>
      <c r="C5345" t="s">
        <v>139</v>
      </c>
      <c r="D5345" s="21" t="s">
        <v>34</v>
      </c>
      <c r="E5345" s="21" t="s">
        <v>71</v>
      </c>
      <c r="F5345">
        <v>12490076</v>
      </c>
      <c r="G5345" t="s">
        <v>2086</v>
      </c>
      <c r="H5345" s="21">
        <v>1177.92</v>
      </c>
    </row>
    <row r="5346" spans="1:8" customFormat="1" x14ac:dyDescent="0.25">
      <c r="A5346" t="str">
        <f>"029572"</f>
        <v>029572</v>
      </c>
      <c r="B5346" t="s">
        <v>146</v>
      </c>
      <c r="C5346" t="s">
        <v>244</v>
      </c>
      <c r="D5346" s="21" t="s">
        <v>34</v>
      </c>
      <c r="E5346" s="21" t="s">
        <v>35</v>
      </c>
      <c r="F5346">
        <v>7020009</v>
      </c>
      <c r="G5346" t="s">
        <v>3362</v>
      </c>
      <c r="H5346" s="21">
        <v>1177.67</v>
      </c>
    </row>
    <row r="5347" spans="1:8" customFormat="1" x14ac:dyDescent="0.25">
      <c r="A5347" t="str">
        <f>"30181"</f>
        <v>30181</v>
      </c>
      <c r="B5347" t="s">
        <v>6140</v>
      </c>
      <c r="C5347" t="s">
        <v>198</v>
      </c>
      <c r="D5347" s="21" t="s">
        <v>34</v>
      </c>
      <c r="E5347" s="21" t="s">
        <v>254</v>
      </c>
      <c r="F5347">
        <v>11300012</v>
      </c>
      <c r="G5347" t="s">
        <v>5958</v>
      </c>
      <c r="H5347" s="21">
        <v>1177.67</v>
      </c>
    </row>
    <row r="5348" spans="1:8" customFormat="1" x14ac:dyDescent="0.25">
      <c r="A5348" t="str">
        <f>"278828"</f>
        <v>278828</v>
      </c>
      <c r="B5348" t="s">
        <v>7603</v>
      </c>
      <c r="C5348" t="s">
        <v>269</v>
      </c>
      <c r="D5348" s="21" t="s">
        <v>34</v>
      </c>
      <c r="E5348" s="21" t="s">
        <v>71</v>
      </c>
      <c r="F5348">
        <v>9270028</v>
      </c>
      <c r="G5348" t="s">
        <v>6091</v>
      </c>
      <c r="H5348" s="21">
        <v>1177.67</v>
      </c>
    </row>
    <row r="5349" spans="1:8" customFormat="1" x14ac:dyDescent="0.25">
      <c r="A5349" t="str">
        <f>"2510823"</f>
        <v>2510823</v>
      </c>
      <c r="B5349" t="s">
        <v>6399</v>
      </c>
      <c r="C5349" t="s">
        <v>119</v>
      </c>
      <c r="D5349" s="21" t="s">
        <v>34</v>
      </c>
      <c r="E5349" s="21" t="s">
        <v>35</v>
      </c>
      <c r="F5349">
        <v>2250083</v>
      </c>
      <c r="G5349" t="s">
        <v>3808</v>
      </c>
      <c r="H5349" s="21">
        <v>1177.67</v>
      </c>
    </row>
    <row r="5350" spans="1:8" customFormat="1" x14ac:dyDescent="0.25">
      <c r="A5350" t="str">
        <f>"7719586"</f>
        <v>7719586</v>
      </c>
      <c r="B5350" t="s">
        <v>1863</v>
      </c>
      <c r="C5350" t="s">
        <v>4861</v>
      </c>
      <c r="D5350" s="21" t="s">
        <v>34</v>
      </c>
      <c r="E5350" s="21" t="s">
        <v>35</v>
      </c>
      <c r="F5350">
        <v>8770377</v>
      </c>
      <c r="G5350" t="s">
        <v>4862</v>
      </c>
      <c r="H5350" s="21">
        <v>1177.5</v>
      </c>
    </row>
    <row r="5351" spans="1:8" customFormat="1" x14ac:dyDescent="0.25">
      <c r="A5351" t="str">
        <f>"41324"</f>
        <v>41324</v>
      </c>
      <c r="B5351" t="s">
        <v>7278</v>
      </c>
      <c r="C5351" t="s">
        <v>750</v>
      </c>
      <c r="D5351" s="21" t="s">
        <v>34</v>
      </c>
      <c r="E5351" s="21" t="s">
        <v>254</v>
      </c>
      <c r="F5351">
        <v>4410080</v>
      </c>
      <c r="G5351" t="s">
        <v>135</v>
      </c>
      <c r="H5351" s="21">
        <v>1177.42</v>
      </c>
    </row>
    <row r="5352" spans="1:8" customFormat="1" x14ac:dyDescent="0.25">
      <c r="A5352" t="str">
        <f>"7632916"</f>
        <v>7632916</v>
      </c>
      <c r="B5352" t="s">
        <v>7043</v>
      </c>
      <c r="C5352" t="s">
        <v>124</v>
      </c>
      <c r="D5352" s="21" t="s">
        <v>34</v>
      </c>
      <c r="E5352" s="21" t="s">
        <v>35</v>
      </c>
      <c r="F5352">
        <v>2580017</v>
      </c>
      <c r="G5352" t="s">
        <v>7044</v>
      </c>
      <c r="H5352" s="21">
        <v>1177.17</v>
      </c>
    </row>
    <row r="5353" spans="1:8" customFormat="1" x14ac:dyDescent="0.25">
      <c r="A5353" t="str">
        <f>"5315166"</f>
        <v>5315166</v>
      </c>
      <c r="B5353" t="s">
        <v>7283</v>
      </c>
      <c r="C5353" t="s">
        <v>1803</v>
      </c>
      <c r="D5353" s="21" t="s">
        <v>34</v>
      </c>
      <c r="E5353" s="21" t="s">
        <v>35</v>
      </c>
      <c r="F5353">
        <v>12530035</v>
      </c>
      <c r="G5353" t="s">
        <v>1663</v>
      </c>
      <c r="H5353" s="21">
        <v>1177.17</v>
      </c>
    </row>
    <row r="5354" spans="1:8" customFormat="1" x14ac:dyDescent="0.25">
      <c r="A5354" t="str">
        <f>"2811176"</f>
        <v>2811176</v>
      </c>
      <c r="B5354" t="s">
        <v>5697</v>
      </c>
      <c r="C5354" t="s">
        <v>1675</v>
      </c>
      <c r="D5354" s="21" t="s">
        <v>34</v>
      </c>
      <c r="E5354" s="21" t="s">
        <v>35</v>
      </c>
      <c r="F5354">
        <v>4280322</v>
      </c>
      <c r="G5354" t="s">
        <v>265</v>
      </c>
      <c r="H5354" s="21">
        <v>1177.17</v>
      </c>
    </row>
    <row r="5355" spans="1:8" customFormat="1" x14ac:dyDescent="0.25">
      <c r="A5355" t="str">
        <f>"022718"</f>
        <v>022718</v>
      </c>
      <c r="B5355" t="s">
        <v>6301</v>
      </c>
      <c r="C5355" t="s">
        <v>87</v>
      </c>
      <c r="D5355" s="21" t="s">
        <v>34</v>
      </c>
      <c r="E5355" s="21" t="s">
        <v>71</v>
      </c>
      <c r="F5355">
        <v>7020065</v>
      </c>
      <c r="G5355" t="s">
        <v>4852</v>
      </c>
      <c r="H5355" s="21">
        <v>1177.17</v>
      </c>
    </row>
    <row r="5356" spans="1:8" customFormat="1" x14ac:dyDescent="0.25">
      <c r="A5356" t="str">
        <f>"5416861"</f>
        <v>5416861</v>
      </c>
      <c r="B5356" t="s">
        <v>6398</v>
      </c>
      <c r="C5356" t="s">
        <v>415</v>
      </c>
      <c r="D5356" s="21" t="s">
        <v>34</v>
      </c>
      <c r="E5356" s="21" t="s">
        <v>35</v>
      </c>
      <c r="F5356">
        <v>10330125</v>
      </c>
      <c r="G5356" t="s">
        <v>3753</v>
      </c>
      <c r="H5356" s="21">
        <v>1177.17</v>
      </c>
    </row>
    <row r="5357" spans="1:8" customFormat="1" x14ac:dyDescent="0.25">
      <c r="A5357" t="str">
        <f>"214941"</f>
        <v>214941</v>
      </c>
      <c r="B5357" t="s">
        <v>4516</v>
      </c>
      <c r="C5357" t="s">
        <v>156</v>
      </c>
      <c r="D5357" s="21" t="s">
        <v>34</v>
      </c>
      <c r="E5357" s="21" t="s">
        <v>35</v>
      </c>
      <c r="F5357">
        <v>2210059</v>
      </c>
      <c r="G5357" t="s">
        <v>3142</v>
      </c>
      <c r="H5357" s="21">
        <v>1177.17</v>
      </c>
    </row>
    <row r="5358" spans="1:8" customFormat="1" x14ac:dyDescent="0.25">
      <c r="A5358" t="str">
        <f>"4214261"</f>
        <v>4214261</v>
      </c>
      <c r="B5358" t="s">
        <v>6708</v>
      </c>
      <c r="C5358" t="s">
        <v>926</v>
      </c>
      <c r="D5358" s="21" t="s">
        <v>34</v>
      </c>
      <c r="E5358" s="21" t="s">
        <v>35</v>
      </c>
      <c r="F5358">
        <v>1420160</v>
      </c>
      <c r="G5358" t="s">
        <v>5488</v>
      </c>
      <c r="H5358" s="21">
        <v>1177.17</v>
      </c>
    </row>
    <row r="5359" spans="1:8" customFormat="1" x14ac:dyDescent="0.25">
      <c r="A5359" t="str">
        <f>"7640305"</f>
        <v>7640305</v>
      </c>
      <c r="B5359" t="s">
        <v>5415</v>
      </c>
      <c r="C5359" t="s">
        <v>87</v>
      </c>
      <c r="D5359" s="21" t="s">
        <v>34</v>
      </c>
      <c r="E5359" s="21" t="s">
        <v>35</v>
      </c>
      <c r="F5359">
        <v>9760168</v>
      </c>
      <c r="G5359" t="s">
        <v>179</v>
      </c>
      <c r="H5359" s="21">
        <v>1177.17</v>
      </c>
    </row>
    <row r="5360" spans="1:8" customFormat="1" x14ac:dyDescent="0.25">
      <c r="A5360" t="str">
        <f>"8019290"</f>
        <v>8019290</v>
      </c>
      <c r="B5360" t="s">
        <v>10032</v>
      </c>
      <c r="C5360" t="s">
        <v>60</v>
      </c>
      <c r="D5360" s="21" t="s">
        <v>34</v>
      </c>
      <c r="E5360" s="21" t="s">
        <v>35</v>
      </c>
      <c r="F5360">
        <v>13060066</v>
      </c>
      <c r="G5360" t="s">
        <v>2556</v>
      </c>
      <c r="H5360" s="21">
        <v>1177.17</v>
      </c>
    </row>
    <row r="5361" spans="1:8" customFormat="1" x14ac:dyDescent="0.25">
      <c r="A5361" t="str">
        <f>"4425263"</f>
        <v>4425263</v>
      </c>
      <c r="B5361" t="s">
        <v>5485</v>
      </c>
      <c r="C5361" t="s">
        <v>119</v>
      </c>
      <c r="D5361" s="21" t="s">
        <v>34</v>
      </c>
      <c r="E5361" s="21" t="s">
        <v>35</v>
      </c>
      <c r="F5361">
        <v>12440199</v>
      </c>
      <c r="G5361" t="s">
        <v>4653</v>
      </c>
      <c r="H5361" s="21">
        <v>1177.17</v>
      </c>
    </row>
    <row r="5362" spans="1:8" customFormat="1" x14ac:dyDescent="0.25">
      <c r="A5362" t="str">
        <f>"6014739"</f>
        <v>6014739</v>
      </c>
      <c r="B5362" t="s">
        <v>3759</v>
      </c>
      <c r="C5362" t="s">
        <v>2546</v>
      </c>
      <c r="D5362" s="21" t="s">
        <v>34</v>
      </c>
      <c r="E5362" s="21" t="s">
        <v>71</v>
      </c>
      <c r="F5362">
        <v>7600031</v>
      </c>
      <c r="G5362" t="s">
        <v>3283</v>
      </c>
      <c r="H5362" s="21">
        <v>1177.05</v>
      </c>
    </row>
    <row r="5363" spans="1:8" customFormat="1" x14ac:dyDescent="0.25">
      <c r="A5363" t="str">
        <f>"9C463"</f>
        <v>9C463</v>
      </c>
      <c r="B5363" t="s">
        <v>2020</v>
      </c>
      <c r="C5363" t="s">
        <v>169</v>
      </c>
      <c r="D5363" s="21" t="s">
        <v>34</v>
      </c>
      <c r="E5363" s="21" t="s">
        <v>71</v>
      </c>
      <c r="F5363">
        <v>10170005</v>
      </c>
      <c r="G5363" t="s">
        <v>4290</v>
      </c>
      <c r="H5363" s="21">
        <v>1176.92</v>
      </c>
    </row>
    <row r="5364" spans="1:8" customFormat="1" x14ac:dyDescent="0.25">
      <c r="A5364" t="str">
        <f>"7814496"</f>
        <v>7814496</v>
      </c>
      <c r="B5364" t="s">
        <v>4767</v>
      </c>
      <c r="C5364" t="s">
        <v>412</v>
      </c>
      <c r="D5364" s="21" t="s">
        <v>34</v>
      </c>
      <c r="E5364" s="21" t="s">
        <v>254</v>
      </c>
      <c r="F5364">
        <v>8780080</v>
      </c>
      <c r="G5364" t="s">
        <v>865</v>
      </c>
      <c r="H5364" s="21">
        <v>1176.82</v>
      </c>
    </row>
    <row r="5365" spans="1:8" customFormat="1" x14ac:dyDescent="0.25">
      <c r="A5365" t="str">
        <f>"315336"</f>
        <v>315336</v>
      </c>
      <c r="B5365" t="s">
        <v>5149</v>
      </c>
      <c r="C5365" t="s">
        <v>60</v>
      </c>
      <c r="D5365" s="21" t="s">
        <v>34</v>
      </c>
      <c r="E5365" s="21" t="s">
        <v>35</v>
      </c>
      <c r="F5365">
        <v>11310006</v>
      </c>
      <c r="G5365" t="s">
        <v>419</v>
      </c>
      <c r="H5365" s="21">
        <v>1176.67</v>
      </c>
    </row>
    <row r="5366" spans="1:8" customFormat="1" x14ac:dyDescent="0.25">
      <c r="A5366" t="str">
        <f>"5316708"</f>
        <v>5316708</v>
      </c>
      <c r="B5366" t="s">
        <v>6766</v>
      </c>
      <c r="C5366" t="s">
        <v>87</v>
      </c>
      <c r="D5366" s="21" t="s">
        <v>34</v>
      </c>
      <c r="E5366" s="21" t="s">
        <v>35</v>
      </c>
      <c r="F5366">
        <v>12530001</v>
      </c>
      <c r="G5366" t="s">
        <v>6349</v>
      </c>
      <c r="H5366" s="21">
        <v>1176.67</v>
      </c>
    </row>
    <row r="5367" spans="1:8" customFormat="1" x14ac:dyDescent="0.25">
      <c r="A5367" t="str">
        <f>"312406"</f>
        <v>312406</v>
      </c>
      <c r="B5367" t="s">
        <v>641</v>
      </c>
      <c r="C5367" t="s">
        <v>233</v>
      </c>
      <c r="D5367" s="21" t="s">
        <v>34</v>
      </c>
      <c r="E5367" s="21" t="s">
        <v>35</v>
      </c>
      <c r="F5367">
        <v>11310060</v>
      </c>
      <c r="G5367" t="s">
        <v>2448</v>
      </c>
      <c r="H5367" s="21">
        <v>1176.67</v>
      </c>
    </row>
    <row r="5368" spans="1:8" customFormat="1" x14ac:dyDescent="0.25">
      <c r="A5368" t="str">
        <f>"358973"</f>
        <v>358973</v>
      </c>
      <c r="B5368" t="s">
        <v>6695</v>
      </c>
      <c r="C5368" t="s">
        <v>288</v>
      </c>
      <c r="D5368" s="21" t="s">
        <v>34</v>
      </c>
      <c r="E5368" s="21" t="s">
        <v>35</v>
      </c>
      <c r="F5368">
        <v>4370681</v>
      </c>
      <c r="G5368" t="s">
        <v>4508</v>
      </c>
      <c r="H5368" s="21">
        <v>1176.67</v>
      </c>
    </row>
    <row r="5369" spans="1:8" customFormat="1" x14ac:dyDescent="0.25">
      <c r="A5369" t="str">
        <f>"2713246"</f>
        <v>2713246</v>
      </c>
      <c r="B5369" t="s">
        <v>2854</v>
      </c>
      <c r="C5369" t="s">
        <v>198</v>
      </c>
      <c r="D5369" s="21" t="s">
        <v>34</v>
      </c>
      <c r="E5369" s="21" t="s">
        <v>35</v>
      </c>
      <c r="F5369">
        <v>9270162</v>
      </c>
      <c r="G5369" t="s">
        <v>1865</v>
      </c>
      <c r="H5369" s="21">
        <v>1176.67</v>
      </c>
    </row>
    <row r="5370" spans="1:8" customFormat="1" x14ac:dyDescent="0.25">
      <c r="A5370" t="str">
        <f>"418755"</f>
        <v>418755</v>
      </c>
      <c r="B5370" t="s">
        <v>6652</v>
      </c>
      <c r="C5370" t="s">
        <v>206</v>
      </c>
      <c r="D5370" s="21" t="s">
        <v>34</v>
      </c>
      <c r="E5370" s="21" t="s">
        <v>35</v>
      </c>
      <c r="F5370">
        <v>4410016</v>
      </c>
      <c r="G5370" t="s">
        <v>4365</v>
      </c>
      <c r="H5370" s="21">
        <v>1176.67</v>
      </c>
    </row>
    <row r="5371" spans="1:8" customFormat="1" x14ac:dyDescent="0.25">
      <c r="A5371" t="str">
        <f>"4911794"</f>
        <v>4911794</v>
      </c>
      <c r="B5371" t="s">
        <v>6760</v>
      </c>
      <c r="C5371" t="s">
        <v>6761</v>
      </c>
      <c r="D5371" s="21" t="s">
        <v>34</v>
      </c>
      <c r="E5371" s="21" t="s">
        <v>71</v>
      </c>
      <c r="F5371">
        <v>12490127</v>
      </c>
      <c r="G5371" t="s">
        <v>4034</v>
      </c>
      <c r="H5371" s="21">
        <v>1176.67</v>
      </c>
    </row>
    <row r="5372" spans="1:8" customFormat="1" x14ac:dyDescent="0.25">
      <c r="A5372" t="str">
        <f>"288022"</f>
        <v>288022</v>
      </c>
      <c r="B5372" t="s">
        <v>4344</v>
      </c>
      <c r="C5372" t="s">
        <v>60</v>
      </c>
      <c r="D5372" s="21" t="s">
        <v>34</v>
      </c>
      <c r="E5372" s="21" t="s">
        <v>35</v>
      </c>
      <c r="F5372">
        <v>4280517</v>
      </c>
      <c r="G5372" t="s">
        <v>436</v>
      </c>
      <c r="H5372" s="21">
        <v>1176.67</v>
      </c>
    </row>
    <row r="5373" spans="1:8" customFormat="1" x14ac:dyDescent="0.25">
      <c r="A5373" t="str">
        <f>"5314553"</f>
        <v>5314553</v>
      </c>
      <c r="B5373" t="s">
        <v>7017</v>
      </c>
      <c r="C5373" t="s">
        <v>130</v>
      </c>
      <c r="D5373" s="21" t="s">
        <v>34</v>
      </c>
      <c r="E5373" s="21" t="s">
        <v>71</v>
      </c>
      <c r="F5373">
        <v>12530054</v>
      </c>
      <c r="G5373" t="s">
        <v>354</v>
      </c>
      <c r="H5373" s="21">
        <v>1176.67</v>
      </c>
    </row>
    <row r="5374" spans="1:8" customFormat="1" x14ac:dyDescent="0.25">
      <c r="A5374" t="str">
        <f>"3320225"</f>
        <v>3320225</v>
      </c>
      <c r="B5374" t="s">
        <v>5622</v>
      </c>
      <c r="C5374" t="s">
        <v>1812</v>
      </c>
      <c r="D5374" s="21" t="s">
        <v>34</v>
      </c>
      <c r="E5374" s="21" t="s">
        <v>35</v>
      </c>
      <c r="F5374">
        <v>10330046</v>
      </c>
      <c r="G5374" t="s">
        <v>1787</v>
      </c>
      <c r="H5374" s="21">
        <v>1176.67</v>
      </c>
    </row>
    <row r="5375" spans="1:8" customFormat="1" x14ac:dyDescent="0.25">
      <c r="A5375" t="str">
        <f>"8512902"</f>
        <v>8512902</v>
      </c>
      <c r="B5375" t="s">
        <v>9416</v>
      </c>
      <c r="C5375" t="s">
        <v>302</v>
      </c>
      <c r="D5375" s="21" t="s">
        <v>34</v>
      </c>
      <c r="E5375" s="21" t="s">
        <v>71</v>
      </c>
      <c r="F5375">
        <v>12850109</v>
      </c>
      <c r="G5375" t="s">
        <v>2714</v>
      </c>
      <c r="H5375" s="21">
        <v>1176.55</v>
      </c>
    </row>
    <row r="5376" spans="1:8" customFormat="1" x14ac:dyDescent="0.25">
      <c r="A5376" t="str">
        <f>"751667"</f>
        <v>751667</v>
      </c>
      <c r="B5376" t="s">
        <v>5305</v>
      </c>
      <c r="C5376" t="s">
        <v>415</v>
      </c>
      <c r="D5376" s="21" t="s">
        <v>34</v>
      </c>
      <c r="E5376" s="21" t="s">
        <v>254</v>
      </c>
      <c r="F5376">
        <v>8751163</v>
      </c>
      <c r="G5376" t="s">
        <v>80</v>
      </c>
      <c r="H5376" s="21">
        <v>1176.43</v>
      </c>
    </row>
    <row r="5377" spans="1:8" customFormat="1" x14ac:dyDescent="0.25">
      <c r="A5377" t="str">
        <f>"724436"</f>
        <v>724436</v>
      </c>
      <c r="B5377" t="s">
        <v>6252</v>
      </c>
      <c r="C5377" t="s">
        <v>328</v>
      </c>
      <c r="D5377" s="21" t="s">
        <v>34</v>
      </c>
      <c r="E5377" s="21" t="s">
        <v>35</v>
      </c>
      <c r="F5377">
        <v>12720008</v>
      </c>
      <c r="G5377" t="s">
        <v>753</v>
      </c>
      <c r="H5377" s="21">
        <v>1176.42</v>
      </c>
    </row>
    <row r="5378" spans="1:8" customFormat="1" x14ac:dyDescent="0.25">
      <c r="A5378" t="str">
        <f>"581986"</f>
        <v>581986</v>
      </c>
      <c r="B5378" t="s">
        <v>208</v>
      </c>
      <c r="C5378" t="s">
        <v>114</v>
      </c>
      <c r="D5378" s="21" t="s">
        <v>34</v>
      </c>
      <c r="E5378" s="21" t="s">
        <v>71</v>
      </c>
      <c r="F5378">
        <v>2580035</v>
      </c>
      <c r="G5378" t="s">
        <v>5991</v>
      </c>
      <c r="H5378" s="21">
        <v>1176.42</v>
      </c>
    </row>
    <row r="5379" spans="1:8" customFormat="1" x14ac:dyDescent="0.25">
      <c r="A5379" t="str">
        <f>"777247"</f>
        <v>777247</v>
      </c>
      <c r="B5379" t="s">
        <v>765</v>
      </c>
      <c r="C5379" t="s">
        <v>2379</v>
      </c>
      <c r="D5379" s="21" t="s">
        <v>34</v>
      </c>
      <c r="E5379" s="21" t="s">
        <v>35</v>
      </c>
      <c r="F5379">
        <v>8770169</v>
      </c>
      <c r="G5379" t="s">
        <v>1001</v>
      </c>
      <c r="H5379" s="21">
        <v>1176.3</v>
      </c>
    </row>
    <row r="5380" spans="1:8" customFormat="1" x14ac:dyDescent="0.25">
      <c r="A5380" t="str">
        <f>"2110784"</f>
        <v>2110784</v>
      </c>
      <c r="B5380" t="s">
        <v>7373</v>
      </c>
      <c r="C5380" t="s">
        <v>926</v>
      </c>
      <c r="D5380" s="21" t="s">
        <v>34</v>
      </c>
      <c r="E5380" s="21" t="s">
        <v>71</v>
      </c>
      <c r="F5380">
        <v>2210029</v>
      </c>
      <c r="G5380" t="s">
        <v>6983</v>
      </c>
      <c r="H5380" s="21">
        <v>1176.17</v>
      </c>
    </row>
    <row r="5381" spans="1:8" customFormat="1" x14ac:dyDescent="0.25">
      <c r="A5381" t="str">
        <f>"935669"</f>
        <v>935669</v>
      </c>
      <c r="B5381" t="s">
        <v>556</v>
      </c>
      <c r="C5381" t="s">
        <v>82</v>
      </c>
      <c r="D5381" s="21" t="s">
        <v>34</v>
      </c>
      <c r="E5381" s="21" t="s">
        <v>35</v>
      </c>
      <c r="F5381">
        <v>8930113</v>
      </c>
      <c r="G5381" t="s">
        <v>368</v>
      </c>
      <c r="H5381" s="21">
        <v>1176.17</v>
      </c>
    </row>
    <row r="5382" spans="1:8" customFormat="1" x14ac:dyDescent="0.25">
      <c r="A5382" t="str">
        <f>"1423245"</f>
        <v>1423245</v>
      </c>
      <c r="B5382" t="s">
        <v>6151</v>
      </c>
      <c r="C5382" t="s">
        <v>285</v>
      </c>
      <c r="D5382" s="21" t="s">
        <v>34</v>
      </c>
      <c r="E5382" s="21" t="s">
        <v>35</v>
      </c>
      <c r="F5382">
        <v>9140003</v>
      </c>
      <c r="G5382" t="s">
        <v>6152</v>
      </c>
      <c r="H5382" s="21">
        <v>1176.17</v>
      </c>
    </row>
    <row r="5383" spans="1:8" customFormat="1" x14ac:dyDescent="0.25">
      <c r="A5383" t="str">
        <f>"411109"</f>
        <v>411109</v>
      </c>
      <c r="B5383" t="s">
        <v>6372</v>
      </c>
      <c r="C5383" t="s">
        <v>285</v>
      </c>
      <c r="D5383" s="21" t="s">
        <v>34</v>
      </c>
      <c r="E5383" s="21" t="s">
        <v>35</v>
      </c>
      <c r="F5383">
        <v>4410080</v>
      </c>
      <c r="G5383" t="s">
        <v>135</v>
      </c>
      <c r="H5383" s="21">
        <v>1176.17</v>
      </c>
    </row>
    <row r="5384" spans="1:8" customFormat="1" x14ac:dyDescent="0.25">
      <c r="A5384" t="str">
        <f>"2712413"</f>
        <v>2712413</v>
      </c>
      <c r="B5384" t="s">
        <v>5674</v>
      </c>
      <c r="C5384" t="s">
        <v>33</v>
      </c>
      <c r="D5384" s="21" t="s">
        <v>34</v>
      </c>
      <c r="E5384" s="21" t="s">
        <v>35</v>
      </c>
      <c r="F5384">
        <v>9270151</v>
      </c>
      <c r="G5384" t="s">
        <v>626</v>
      </c>
      <c r="H5384" s="21">
        <v>1176.17</v>
      </c>
    </row>
    <row r="5385" spans="1:8" customFormat="1" x14ac:dyDescent="0.25">
      <c r="A5385" t="str">
        <f>"5012740"</f>
        <v>5012740</v>
      </c>
      <c r="B5385" t="s">
        <v>5705</v>
      </c>
      <c r="C5385" t="s">
        <v>269</v>
      </c>
      <c r="D5385" s="21" t="s">
        <v>34</v>
      </c>
      <c r="E5385" s="21" t="s">
        <v>71</v>
      </c>
      <c r="F5385">
        <v>9500131</v>
      </c>
      <c r="G5385" t="s">
        <v>1073</v>
      </c>
      <c r="H5385" s="21">
        <v>1176.17</v>
      </c>
    </row>
    <row r="5386" spans="1:8" customFormat="1" x14ac:dyDescent="0.25">
      <c r="A5386" t="str">
        <f>"5965820"</f>
        <v>5965820</v>
      </c>
      <c r="B5386" t="s">
        <v>5601</v>
      </c>
      <c r="C5386" t="s">
        <v>209</v>
      </c>
      <c r="D5386" s="21" t="s">
        <v>34</v>
      </c>
      <c r="E5386" s="21" t="s">
        <v>254</v>
      </c>
      <c r="F5386">
        <v>7590127</v>
      </c>
      <c r="G5386" t="s">
        <v>214</v>
      </c>
      <c r="H5386" s="21">
        <v>1176.17</v>
      </c>
    </row>
    <row r="5387" spans="1:8" customFormat="1" x14ac:dyDescent="0.25">
      <c r="A5387" t="str">
        <f>"4412187"</f>
        <v>4412187</v>
      </c>
      <c r="B5387" t="s">
        <v>6208</v>
      </c>
      <c r="C5387" t="s">
        <v>169</v>
      </c>
      <c r="D5387" s="21" t="s">
        <v>34</v>
      </c>
      <c r="E5387" s="21" t="s">
        <v>35</v>
      </c>
      <c r="F5387">
        <v>8940524</v>
      </c>
      <c r="G5387" t="s">
        <v>6176</v>
      </c>
      <c r="H5387" s="21">
        <v>1176.05</v>
      </c>
    </row>
    <row r="5388" spans="1:8" customFormat="1" x14ac:dyDescent="0.25">
      <c r="A5388" t="str">
        <f>"548594"</f>
        <v>548594</v>
      </c>
      <c r="B5388" t="s">
        <v>6083</v>
      </c>
      <c r="C5388" t="s">
        <v>33</v>
      </c>
      <c r="D5388" s="21" t="s">
        <v>34</v>
      </c>
      <c r="E5388" s="21" t="s">
        <v>71</v>
      </c>
      <c r="F5388">
        <v>6540011</v>
      </c>
      <c r="G5388" t="s">
        <v>6084</v>
      </c>
      <c r="H5388" s="21">
        <v>1175.92</v>
      </c>
    </row>
    <row r="5389" spans="1:8" customFormat="1" x14ac:dyDescent="0.25">
      <c r="A5389" t="str">
        <f>"7516499"</f>
        <v>7516499</v>
      </c>
      <c r="B5389" t="s">
        <v>6436</v>
      </c>
      <c r="C5389" t="s">
        <v>598</v>
      </c>
      <c r="D5389" s="21" t="s">
        <v>34</v>
      </c>
      <c r="E5389" s="21" t="s">
        <v>71</v>
      </c>
      <c r="F5389">
        <v>8751177</v>
      </c>
      <c r="G5389" t="s">
        <v>396</v>
      </c>
      <c r="H5389" s="21">
        <v>1175.8</v>
      </c>
    </row>
    <row r="5390" spans="1:8" customFormat="1" x14ac:dyDescent="0.25">
      <c r="A5390" t="str">
        <f>"027859"</f>
        <v>027859</v>
      </c>
      <c r="B5390" t="s">
        <v>21378</v>
      </c>
      <c r="C5390" t="s">
        <v>484</v>
      </c>
      <c r="D5390" s="21" t="s">
        <v>34</v>
      </c>
      <c r="E5390" s="21" t="s">
        <v>35</v>
      </c>
      <c r="F5390">
        <v>7020036</v>
      </c>
      <c r="G5390" t="s">
        <v>8431</v>
      </c>
      <c r="H5390" s="21">
        <v>1175.67</v>
      </c>
    </row>
    <row r="5391" spans="1:8" customFormat="1" x14ac:dyDescent="0.25">
      <c r="A5391" t="str">
        <f>"134860"</f>
        <v>134860</v>
      </c>
      <c r="B5391" t="s">
        <v>5476</v>
      </c>
      <c r="C5391" t="s">
        <v>33</v>
      </c>
      <c r="D5391" s="21" t="s">
        <v>34</v>
      </c>
      <c r="E5391" s="21" t="s">
        <v>71</v>
      </c>
      <c r="F5391">
        <v>13130159</v>
      </c>
      <c r="G5391" t="s">
        <v>199</v>
      </c>
      <c r="H5391" s="21">
        <v>1175.67</v>
      </c>
    </row>
    <row r="5392" spans="1:8" customFormat="1" x14ac:dyDescent="0.25">
      <c r="A5392" t="str">
        <f>"851643"</f>
        <v>851643</v>
      </c>
      <c r="B5392" t="s">
        <v>4836</v>
      </c>
      <c r="C5392" t="s">
        <v>82</v>
      </c>
      <c r="D5392" s="21" t="s">
        <v>34</v>
      </c>
      <c r="E5392" s="21" t="s">
        <v>35</v>
      </c>
      <c r="F5392">
        <v>12440139</v>
      </c>
      <c r="G5392" t="s">
        <v>2655</v>
      </c>
      <c r="H5392" s="21">
        <v>1175.67</v>
      </c>
    </row>
    <row r="5393" spans="1:8" customFormat="1" x14ac:dyDescent="0.25">
      <c r="A5393" t="str">
        <f>"598669"</f>
        <v>598669</v>
      </c>
      <c r="B5393" t="s">
        <v>6712</v>
      </c>
      <c r="C5393" t="s">
        <v>5464</v>
      </c>
      <c r="D5393" s="21" t="s">
        <v>34</v>
      </c>
      <c r="E5393" s="21" t="s">
        <v>71</v>
      </c>
      <c r="F5393">
        <v>7590228</v>
      </c>
      <c r="G5393" t="s">
        <v>1798</v>
      </c>
      <c r="H5393" s="21">
        <v>1175.67</v>
      </c>
    </row>
    <row r="5394" spans="1:8" customFormat="1" x14ac:dyDescent="0.25">
      <c r="A5394" t="str">
        <f>"913759"</f>
        <v>913759</v>
      </c>
      <c r="B5394" t="s">
        <v>5041</v>
      </c>
      <c r="C5394" t="s">
        <v>55</v>
      </c>
      <c r="D5394" s="21" t="s">
        <v>34</v>
      </c>
      <c r="E5394" s="21" t="s">
        <v>35</v>
      </c>
      <c r="F5394">
        <v>8910918</v>
      </c>
      <c r="G5394" t="s">
        <v>332</v>
      </c>
      <c r="H5394" s="21">
        <v>1175.67</v>
      </c>
    </row>
    <row r="5395" spans="1:8" customFormat="1" x14ac:dyDescent="0.25">
      <c r="A5395" t="str">
        <f>"627600"</f>
        <v>627600</v>
      </c>
      <c r="B5395" t="s">
        <v>5438</v>
      </c>
      <c r="C5395" t="s">
        <v>2520</v>
      </c>
      <c r="D5395" s="21" t="s">
        <v>34</v>
      </c>
      <c r="E5395" s="21" t="s">
        <v>71</v>
      </c>
      <c r="F5395">
        <v>7620080</v>
      </c>
      <c r="G5395" t="s">
        <v>6056</v>
      </c>
      <c r="H5395" s="21">
        <v>1175.67</v>
      </c>
    </row>
    <row r="5396" spans="1:8" customFormat="1" x14ac:dyDescent="0.25">
      <c r="A5396" t="str">
        <f>"7511497"</f>
        <v>7511497</v>
      </c>
      <c r="B5396" t="s">
        <v>12148</v>
      </c>
      <c r="C5396" t="s">
        <v>121</v>
      </c>
      <c r="D5396" s="21" t="s">
        <v>34</v>
      </c>
      <c r="E5396" s="21" t="s">
        <v>35</v>
      </c>
      <c r="F5396">
        <v>11340010</v>
      </c>
      <c r="G5396" t="s">
        <v>66</v>
      </c>
      <c r="H5396" s="21">
        <v>1175.67</v>
      </c>
    </row>
    <row r="5397" spans="1:8" customFormat="1" x14ac:dyDescent="0.25">
      <c r="A5397" t="str">
        <f>"762049"</f>
        <v>762049</v>
      </c>
      <c r="B5397" t="s">
        <v>1143</v>
      </c>
      <c r="C5397" t="s">
        <v>169</v>
      </c>
      <c r="D5397" s="21" t="s">
        <v>34</v>
      </c>
      <c r="E5397" s="21" t="s">
        <v>71</v>
      </c>
      <c r="F5397">
        <v>9760311</v>
      </c>
      <c r="G5397" t="s">
        <v>3015</v>
      </c>
      <c r="H5397" s="21">
        <v>1175.67</v>
      </c>
    </row>
    <row r="5398" spans="1:8" customFormat="1" x14ac:dyDescent="0.25">
      <c r="A5398" t="str">
        <f>"534857"</f>
        <v>534857</v>
      </c>
      <c r="B5398" t="s">
        <v>5380</v>
      </c>
      <c r="C5398" t="s">
        <v>1812</v>
      </c>
      <c r="D5398" s="21" t="s">
        <v>34</v>
      </c>
      <c r="E5398" s="21" t="s">
        <v>71</v>
      </c>
      <c r="F5398">
        <v>12530095</v>
      </c>
      <c r="G5398" t="s">
        <v>5381</v>
      </c>
      <c r="H5398" s="21">
        <v>1175.42</v>
      </c>
    </row>
    <row r="5399" spans="1:8" customFormat="1" x14ac:dyDescent="0.25">
      <c r="A5399" t="str">
        <f>"491797"</f>
        <v>491797</v>
      </c>
      <c r="B5399" t="s">
        <v>6507</v>
      </c>
      <c r="C5399" t="s">
        <v>621</v>
      </c>
      <c r="D5399" s="21" t="s">
        <v>34</v>
      </c>
      <c r="E5399" s="21" t="s">
        <v>71</v>
      </c>
      <c r="F5399">
        <v>12490127</v>
      </c>
      <c r="G5399" t="s">
        <v>4034</v>
      </c>
      <c r="H5399" s="21">
        <v>1175.42</v>
      </c>
    </row>
    <row r="5400" spans="1:8" customFormat="1" x14ac:dyDescent="0.25">
      <c r="A5400" t="str">
        <f>"837885"</f>
        <v>837885</v>
      </c>
      <c r="B5400" t="s">
        <v>6739</v>
      </c>
      <c r="C5400" t="s">
        <v>6740</v>
      </c>
      <c r="D5400" s="21" t="s">
        <v>34</v>
      </c>
      <c r="E5400" s="21" t="s">
        <v>71</v>
      </c>
      <c r="F5400">
        <v>13830085</v>
      </c>
      <c r="G5400" t="s">
        <v>478</v>
      </c>
      <c r="H5400" s="21">
        <v>1175.17</v>
      </c>
    </row>
    <row r="5401" spans="1:8" customFormat="1" x14ac:dyDescent="0.25">
      <c r="A5401" t="str">
        <f>"9314433"</f>
        <v>9314433</v>
      </c>
      <c r="B5401" t="s">
        <v>26896</v>
      </c>
      <c r="C5401" t="s">
        <v>204</v>
      </c>
      <c r="D5401" s="21" t="s">
        <v>34</v>
      </c>
      <c r="E5401" s="21" t="s">
        <v>35</v>
      </c>
      <c r="F5401">
        <v>8930598</v>
      </c>
      <c r="G5401" t="s">
        <v>445</v>
      </c>
      <c r="H5401" s="21">
        <v>1175.17</v>
      </c>
    </row>
    <row r="5402" spans="1:8" customFormat="1" x14ac:dyDescent="0.25">
      <c r="A5402" t="str">
        <f>"423559"</f>
        <v>423559</v>
      </c>
      <c r="B5402" t="s">
        <v>877</v>
      </c>
      <c r="C5402" t="s">
        <v>263</v>
      </c>
      <c r="D5402" s="21" t="s">
        <v>34</v>
      </c>
      <c r="E5402" s="21" t="s">
        <v>35</v>
      </c>
      <c r="F5402">
        <v>1420128</v>
      </c>
      <c r="G5402" t="s">
        <v>449</v>
      </c>
      <c r="H5402" s="21">
        <v>1175.17</v>
      </c>
    </row>
    <row r="5403" spans="1:8" customFormat="1" x14ac:dyDescent="0.25">
      <c r="A5403" t="str">
        <f>"103463"</f>
        <v>103463</v>
      </c>
      <c r="B5403" t="s">
        <v>1960</v>
      </c>
      <c r="C5403" t="s">
        <v>209</v>
      </c>
      <c r="D5403" s="21" t="s">
        <v>34</v>
      </c>
      <c r="E5403" s="21" t="s">
        <v>35</v>
      </c>
      <c r="F5403">
        <v>7590131</v>
      </c>
      <c r="G5403" t="s">
        <v>6300</v>
      </c>
      <c r="H5403" s="21">
        <v>1175.17</v>
      </c>
    </row>
    <row r="5404" spans="1:8" customFormat="1" x14ac:dyDescent="0.25">
      <c r="A5404" t="str">
        <f>"5313968"</f>
        <v>5313968</v>
      </c>
      <c r="B5404" t="s">
        <v>6991</v>
      </c>
      <c r="C5404" t="s">
        <v>428</v>
      </c>
      <c r="D5404" s="21" t="s">
        <v>34</v>
      </c>
      <c r="E5404" s="21" t="s">
        <v>71</v>
      </c>
      <c r="F5404">
        <v>9610087</v>
      </c>
      <c r="G5404" t="s">
        <v>2661</v>
      </c>
      <c r="H5404" s="21">
        <v>1175.17</v>
      </c>
    </row>
    <row r="5405" spans="1:8" customFormat="1" x14ac:dyDescent="0.25">
      <c r="A5405" t="str">
        <f>"901270"</f>
        <v>901270</v>
      </c>
      <c r="B5405" t="s">
        <v>6277</v>
      </c>
      <c r="C5405" t="s">
        <v>169</v>
      </c>
      <c r="D5405" s="21" t="s">
        <v>34</v>
      </c>
      <c r="E5405" s="21" t="s">
        <v>71</v>
      </c>
      <c r="F5405">
        <v>2900003</v>
      </c>
      <c r="G5405" t="s">
        <v>1742</v>
      </c>
      <c r="H5405" s="21">
        <v>1175.17</v>
      </c>
    </row>
    <row r="5406" spans="1:8" customFormat="1" x14ac:dyDescent="0.25">
      <c r="A5406" t="str">
        <f>"426973"</f>
        <v>426973</v>
      </c>
      <c r="B5406" t="s">
        <v>7394</v>
      </c>
      <c r="C5406" t="s">
        <v>206</v>
      </c>
      <c r="D5406" s="21" t="s">
        <v>34</v>
      </c>
      <c r="E5406" s="21" t="s">
        <v>35</v>
      </c>
      <c r="F5406">
        <v>1420141</v>
      </c>
      <c r="G5406" t="s">
        <v>5190</v>
      </c>
      <c r="H5406" s="21">
        <v>1174.92</v>
      </c>
    </row>
    <row r="5407" spans="1:8" customFormat="1" x14ac:dyDescent="0.25">
      <c r="A5407" t="str">
        <f>"4512746"</f>
        <v>4512746</v>
      </c>
      <c r="B5407" t="s">
        <v>3624</v>
      </c>
      <c r="C5407" t="s">
        <v>204</v>
      </c>
      <c r="D5407" s="21" t="s">
        <v>34</v>
      </c>
      <c r="E5407" s="21" t="s">
        <v>71</v>
      </c>
      <c r="F5407">
        <v>4450210</v>
      </c>
      <c r="G5407" t="s">
        <v>5249</v>
      </c>
      <c r="H5407" s="21">
        <v>1174.92</v>
      </c>
    </row>
    <row r="5408" spans="1:8" customFormat="1" x14ac:dyDescent="0.25">
      <c r="A5408" t="str">
        <f>"2924717"</f>
        <v>2924717</v>
      </c>
      <c r="B5408" t="s">
        <v>6378</v>
      </c>
      <c r="C5408" t="s">
        <v>249</v>
      </c>
      <c r="D5408" s="21" t="s">
        <v>34</v>
      </c>
      <c r="E5408" s="21" t="s">
        <v>71</v>
      </c>
      <c r="F5408">
        <v>3290047</v>
      </c>
      <c r="G5408" t="s">
        <v>2874</v>
      </c>
      <c r="H5408" s="21">
        <v>1174.92</v>
      </c>
    </row>
    <row r="5409" spans="1:8" customFormat="1" x14ac:dyDescent="0.25">
      <c r="A5409" t="str">
        <f>"36491"</f>
        <v>36491</v>
      </c>
      <c r="B5409" t="s">
        <v>6584</v>
      </c>
      <c r="C5409" t="s">
        <v>462</v>
      </c>
      <c r="D5409" s="21" t="s">
        <v>34</v>
      </c>
      <c r="E5409" s="21" t="s">
        <v>35</v>
      </c>
      <c r="F5409">
        <v>4360341</v>
      </c>
      <c r="G5409" t="s">
        <v>4912</v>
      </c>
      <c r="H5409" s="21">
        <v>1174.67</v>
      </c>
    </row>
    <row r="5410" spans="1:8" customFormat="1" x14ac:dyDescent="0.25">
      <c r="A5410" t="str">
        <f>"271901"</f>
        <v>271901</v>
      </c>
      <c r="B5410" t="s">
        <v>6090</v>
      </c>
      <c r="C5410" t="s">
        <v>209</v>
      </c>
      <c r="D5410" s="21" t="s">
        <v>34</v>
      </c>
      <c r="E5410" s="21" t="s">
        <v>71</v>
      </c>
      <c r="F5410">
        <v>9270028</v>
      </c>
      <c r="G5410" t="s">
        <v>6091</v>
      </c>
      <c r="H5410" s="21">
        <v>1174.67</v>
      </c>
    </row>
    <row r="5411" spans="1:8" customFormat="1" x14ac:dyDescent="0.25">
      <c r="A5411" t="str">
        <f>"724354"</f>
        <v>724354</v>
      </c>
      <c r="B5411" t="s">
        <v>1538</v>
      </c>
      <c r="C5411" t="s">
        <v>275</v>
      </c>
      <c r="D5411" s="21" t="s">
        <v>34</v>
      </c>
      <c r="E5411" s="21" t="s">
        <v>35</v>
      </c>
      <c r="F5411">
        <v>12720041</v>
      </c>
      <c r="G5411" t="s">
        <v>4240</v>
      </c>
      <c r="H5411" s="21">
        <v>1174.67</v>
      </c>
    </row>
    <row r="5412" spans="1:8" customFormat="1" x14ac:dyDescent="0.25">
      <c r="A5412" t="str">
        <f>"605451"</f>
        <v>605451</v>
      </c>
      <c r="B5412" t="s">
        <v>6756</v>
      </c>
      <c r="C5412" t="s">
        <v>415</v>
      </c>
      <c r="D5412" s="21" t="s">
        <v>34</v>
      </c>
      <c r="E5412" s="21" t="s">
        <v>71</v>
      </c>
      <c r="F5412">
        <v>7600040</v>
      </c>
      <c r="G5412" t="s">
        <v>6757</v>
      </c>
      <c r="H5412" s="21">
        <v>1174.67</v>
      </c>
    </row>
    <row r="5413" spans="1:8" customFormat="1" x14ac:dyDescent="0.25">
      <c r="A5413" t="str">
        <f>"578712"</f>
        <v>578712</v>
      </c>
      <c r="B5413" t="s">
        <v>690</v>
      </c>
      <c r="C5413" t="s">
        <v>598</v>
      </c>
      <c r="D5413" s="21" t="s">
        <v>34</v>
      </c>
      <c r="E5413" s="21" t="s">
        <v>254</v>
      </c>
      <c r="F5413">
        <v>6570024</v>
      </c>
      <c r="G5413" t="s">
        <v>464</v>
      </c>
      <c r="H5413" s="21">
        <v>1174.67</v>
      </c>
    </row>
    <row r="5414" spans="1:8" customFormat="1" x14ac:dyDescent="0.25">
      <c r="A5414" t="str">
        <f>"723876"</f>
        <v>723876</v>
      </c>
      <c r="B5414" t="s">
        <v>6066</v>
      </c>
      <c r="C5414" t="s">
        <v>1803</v>
      </c>
      <c r="D5414" s="21" t="s">
        <v>34</v>
      </c>
      <c r="E5414" s="21" t="s">
        <v>71</v>
      </c>
      <c r="F5414">
        <v>12720023</v>
      </c>
      <c r="G5414" t="s">
        <v>1898</v>
      </c>
      <c r="H5414" s="21">
        <v>1174.42</v>
      </c>
    </row>
    <row r="5415" spans="1:8" customFormat="1" x14ac:dyDescent="0.25">
      <c r="A5415" t="str">
        <f>"5934205"</f>
        <v>5934205</v>
      </c>
      <c r="B5415" t="s">
        <v>6822</v>
      </c>
      <c r="C5415" t="s">
        <v>33</v>
      </c>
      <c r="D5415" s="21" t="s">
        <v>34</v>
      </c>
      <c r="E5415" s="21" t="s">
        <v>71</v>
      </c>
      <c r="F5415">
        <v>7620119</v>
      </c>
      <c r="G5415" t="s">
        <v>5233</v>
      </c>
      <c r="H5415" s="21">
        <v>1174.17</v>
      </c>
    </row>
    <row r="5416" spans="1:8" customFormat="1" x14ac:dyDescent="0.25">
      <c r="A5416" t="str">
        <f>"9213489"</f>
        <v>9213489</v>
      </c>
      <c r="B5416" t="s">
        <v>7303</v>
      </c>
      <c r="C5416" t="s">
        <v>121</v>
      </c>
      <c r="D5416" s="21" t="s">
        <v>34</v>
      </c>
      <c r="E5416" s="21" t="s">
        <v>35</v>
      </c>
      <c r="F5416">
        <v>4180238</v>
      </c>
      <c r="G5416" t="s">
        <v>7304</v>
      </c>
      <c r="H5416" s="21">
        <v>1174.17</v>
      </c>
    </row>
    <row r="5417" spans="1:8" customFormat="1" x14ac:dyDescent="0.25">
      <c r="A5417" t="str">
        <f>"693574"</f>
        <v>693574</v>
      </c>
      <c r="B5417" t="s">
        <v>7891</v>
      </c>
      <c r="C5417" t="s">
        <v>33</v>
      </c>
      <c r="D5417" s="21" t="s">
        <v>34</v>
      </c>
      <c r="E5417" s="21" t="s">
        <v>71</v>
      </c>
      <c r="F5417">
        <v>1690041</v>
      </c>
      <c r="G5417" t="s">
        <v>7892</v>
      </c>
      <c r="H5417" s="21">
        <v>1174.17</v>
      </c>
    </row>
    <row r="5418" spans="1:8" customFormat="1" x14ac:dyDescent="0.25">
      <c r="A5418" t="str">
        <f>"8011151"</f>
        <v>8011151</v>
      </c>
      <c r="B5418" t="s">
        <v>1930</v>
      </c>
      <c r="C5418" t="s">
        <v>275</v>
      </c>
      <c r="D5418" s="21" t="s">
        <v>34</v>
      </c>
      <c r="E5418" s="21" t="s">
        <v>35</v>
      </c>
      <c r="F5418">
        <v>7800061</v>
      </c>
      <c r="G5418" t="s">
        <v>1330</v>
      </c>
      <c r="H5418" s="21">
        <v>1174.17</v>
      </c>
    </row>
    <row r="5419" spans="1:8" customFormat="1" x14ac:dyDescent="0.25">
      <c r="A5419" t="str">
        <f>"2516979"</f>
        <v>2516979</v>
      </c>
      <c r="B5419" t="s">
        <v>9489</v>
      </c>
      <c r="C5419" t="s">
        <v>7001</v>
      </c>
      <c r="D5419" s="21" t="s">
        <v>34</v>
      </c>
      <c r="E5419" s="21" t="s">
        <v>35</v>
      </c>
      <c r="F5419">
        <v>2250083</v>
      </c>
      <c r="G5419" t="s">
        <v>3808</v>
      </c>
      <c r="H5419" s="21">
        <v>1174.17</v>
      </c>
    </row>
    <row r="5420" spans="1:8" customFormat="1" x14ac:dyDescent="0.25">
      <c r="A5420" t="str">
        <f>"7852482"</f>
        <v>7852482</v>
      </c>
      <c r="B5420" t="s">
        <v>4959</v>
      </c>
      <c r="C5420" t="s">
        <v>60</v>
      </c>
      <c r="D5420" s="21" t="s">
        <v>34</v>
      </c>
      <c r="E5420" s="21" t="s">
        <v>35</v>
      </c>
      <c r="F5420">
        <v>8780496</v>
      </c>
      <c r="G5420" t="s">
        <v>2477</v>
      </c>
      <c r="H5420" s="21">
        <v>1174.17</v>
      </c>
    </row>
    <row r="5421" spans="1:8" customFormat="1" x14ac:dyDescent="0.25">
      <c r="A5421" t="str">
        <f>"944356"</f>
        <v>944356</v>
      </c>
      <c r="B5421" t="s">
        <v>6287</v>
      </c>
      <c r="C5421" t="s">
        <v>198</v>
      </c>
      <c r="D5421" s="21" t="s">
        <v>34</v>
      </c>
      <c r="E5421" s="21" t="s">
        <v>35</v>
      </c>
      <c r="F5421">
        <v>8940052</v>
      </c>
      <c r="G5421" t="s">
        <v>190</v>
      </c>
      <c r="H5421" s="21">
        <v>1174.17</v>
      </c>
    </row>
    <row r="5422" spans="1:8" customFormat="1" x14ac:dyDescent="0.25">
      <c r="A5422" t="str">
        <f>"673338"</f>
        <v>673338</v>
      </c>
      <c r="B5422" t="s">
        <v>5743</v>
      </c>
      <c r="C5422" t="s">
        <v>33</v>
      </c>
      <c r="D5422" s="21" t="s">
        <v>34</v>
      </c>
      <c r="E5422" s="21" t="s">
        <v>35</v>
      </c>
      <c r="F5422">
        <v>6670187</v>
      </c>
      <c r="G5422" t="s">
        <v>240</v>
      </c>
      <c r="H5422" s="21">
        <v>1174.17</v>
      </c>
    </row>
    <row r="5423" spans="1:8" customFormat="1" x14ac:dyDescent="0.25">
      <c r="A5423" t="str">
        <f>"7516261"</f>
        <v>7516261</v>
      </c>
      <c r="B5423" t="s">
        <v>1604</v>
      </c>
      <c r="C5423" t="s">
        <v>288</v>
      </c>
      <c r="D5423" s="21" t="s">
        <v>34</v>
      </c>
      <c r="E5423" s="21" t="s">
        <v>35</v>
      </c>
      <c r="F5423">
        <v>12490038</v>
      </c>
      <c r="G5423" t="s">
        <v>467</v>
      </c>
      <c r="H5423" s="21">
        <v>1174.17</v>
      </c>
    </row>
    <row r="5424" spans="1:8" customFormat="1" x14ac:dyDescent="0.25">
      <c r="A5424" t="str">
        <f>"7721630"</f>
        <v>7721630</v>
      </c>
      <c r="B5424" t="s">
        <v>1098</v>
      </c>
      <c r="C5424" t="s">
        <v>65</v>
      </c>
      <c r="D5424" s="21" t="s">
        <v>34</v>
      </c>
      <c r="E5424" s="21" t="s">
        <v>35</v>
      </c>
      <c r="F5424">
        <v>8770895</v>
      </c>
      <c r="G5424" t="s">
        <v>4795</v>
      </c>
      <c r="H5424" s="21">
        <v>1173.81</v>
      </c>
    </row>
    <row r="5425" spans="1:8" customFormat="1" x14ac:dyDescent="0.25">
      <c r="A5425" t="str">
        <f>"8512685"</f>
        <v>8512685</v>
      </c>
      <c r="B5425" t="s">
        <v>1986</v>
      </c>
      <c r="C5425" t="s">
        <v>608</v>
      </c>
      <c r="D5425" s="21" t="s">
        <v>34</v>
      </c>
      <c r="E5425" s="21" t="s">
        <v>35</v>
      </c>
      <c r="F5425">
        <v>12850138</v>
      </c>
      <c r="G5425" t="s">
        <v>6879</v>
      </c>
      <c r="H5425" s="21">
        <v>1173.67</v>
      </c>
    </row>
    <row r="5426" spans="1:8" customFormat="1" x14ac:dyDescent="0.25">
      <c r="A5426" t="str">
        <f>"3715973"</f>
        <v>3715973</v>
      </c>
      <c r="B5426" t="s">
        <v>4278</v>
      </c>
      <c r="C5426" t="s">
        <v>121</v>
      </c>
      <c r="D5426" s="21" t="s">
        <v>34</v>
      </c>
      <c r="E5426" s="21" t="s">
        <v>35</v>
      </c>
      <c r="F5426">
        <v>4370183</v>
      </c>
      <c r="G5426" t="s">
        <v>231</v>
      </c>
      <c r="H5426" s="21">
        <v>1173.67</v>
      </c>
    </row>
    <row r="5427" spans="1:8" customFormat="1" x14ac:dyDescent="0.25">
      <c r="A5427" t="str">
        <f>"5719888"</f>
        <v>5719888</v>
      </c>
      <c r="B5427" t="s">
        <v>6737</v>
      </c>
      <c r="C5427" t="s">
        <v>486</v>
      </c>
      <c r="D5427" s="21" t="s">
        <v>34</v>
      </c>
      <c r="E5427" s="21" t="s">
        <v>35</v>
      </c>
      <c r="F5427">
        <v>6570190</v>
      </c>
      <c r="G5427" t="s">
        <v>622</v>
      </c>
      <c r="H5427" s="21">
        <v>1173.67</v>
      </c>
    </row>
    <row r="5428" spans="1:8" customFormat="1" x14ac:dyDescent="0.25">
      <c r="A5428" t="str">
        <f>"3530788"</f>
        <v>3530788</v>
      </c>
      <c r="B5428" t="s">
        <v>6796</v>
      </c>
      <c r="C5428" t="s">
        <v>33</v>
      </c>
      <c r="D5428" s="21" t="s">
        <v>34</v>
      </c>
      <c r="E5428" s="21" t="s">
        <v>35</v>
      </c>
      <c r="F5428">
        <v>3350217</v>
      </c>
      <c r="G5428" t="s">
        <v>6797</v>
      </c>
      <c r="H5428" s="21">
        <v>1173.67</v>
      </c>
    </row>
    <row r="5429" spans="1:8" customFormat="1" x14ac:dyDescent="0.25">
      <c r="A5429" t="str">
        <f>"642438"</f>
        <v>642438</v>
      </c>
      <c r="B5429" t="s">
        <v>6421</v>
      </c>
      <c r="C5429" t="s">
        <v>233</v>
      </c>
      <c r="D5429" s="21" t="s">
        <v>34</v>
      </c>
      <c r="E5429" s="21" t="s">
        <v>71</v>
      </c>
      <c r="F5429">
        <v>4370132</v>
      </c>
      <c r="G5429" t="s">
        <v>2262</v>
      </c>
      <c r="H5429" s="21">
        <v>1173.67</v>
      </c>
    </row>
    <row r="5430" spans="1:8" customFormat="1" x14ac:dyDescent="0.25">
      <c r="A5430" t="str">
        <f>"3313747"</f>
        <v>3313747</v>
      </c>
      <c r="B5430" t="s">
        <v>5315</v>
      </c>
      <c r="C5430" t="s">
        <v>2117</v>
      </c>
      <c r="D5430" s="21" t="s">
        <v>34</v>
      </c>
      <c r="E5430" s="21" t="s">
        <v>35</v>
      </c>
      <c r="F5430">
        <v>10330076</v>
      </c>
      <c r="G5430" t="s">
        <v>3769</v>
      </c>
      <c r="H5430" s="21">
        <v>1173.67</v>
      </c>
    </row>
    <row r="5431" spans="1:8" customFormat="1" x14ac:dyDescent="0.25">
      <c r="A5431" t="str">
        <f>"213366"</f>
        <v>213366</v>
      </c>
      <c r="B5431" t="s">
        <v>610</v>
      </c>
      <c r="C5431" t="s">
        <v>415</v>
      </c>
      <c r="D5431" s="21" t="s">
        <v>34</v>
      </c>
      <c r="E5431" s="21" t="s">
        <v>71</v>
      </c>
      <c r="F5431">
        <v>2210059</v>
      </c>
      <c r="G5431" t="s">
        <v>3142</v>
      </c>
      <c r="H5431" s="21">
        <v>1173.67</v>
      </c>
    </row>
    <row r="5432" spans="1:8" customFormat="1" x14ac:dyDescent="0.25">
      <c r="A5432" t="str">
        <f>"31295"</f>
        <v>31295</v>
      </c>
      <c r="B5432" t="s">
        <v>5484</v>
      </c>
      <c r="C5432" t="s">
        <v>1110</v>
      </c>
      <c r="D5432" s="21" t="s">
        <v>34</v>
      </c>
      <c r="E5432" s="21" t="s">
        <v>254</v>
      </c>
      <c r="F5432">
        <v>11310047</v>
      </c>
      <c r="G5432" t="s">
        <v>2188</v>
      </c>
      <c r="H5432" s="21">
        <v>1173.55</v>
      </c>
    </row>
    <row r="5433" spans="1:8" customFormat="1" x14ac:dyDescent="0.25">
      <c r="A5433" t="str">
        <f>"7512929"</f>
        <v>7512929</v>
      </c>
      <c r="B5433" t="s">
        <v>6307</v>
      </c>
      <c r="C5433" t="s">
        <v>288</v>
      </c>
      <c r="D5433" s="21" t="s">
        <v>34</v>
      </c>
      <c r="E5433" s="21" t="s">
        <v>35</v>
      </c>
      <c r="F5433">
        <v>8920646</v>
      </c>
      <c r="G5433" t="s">
        <v>2864</v>
      </c>
      <c r="H5433" s="21">
        <v>1173.42</v>
      </c>
    </row>
    <row r="5434" spans="1:8" customFormat="1" x14ac:dyDescent="0.25">
      <c r="A5434" t="str">
        <f>"4431465"</f>
        <v>4431465</v>
      </c>
      <c r="B5434" t="s">
        <v>6957</v>
      </c>
      <c r="C5434" t="s">
        <v>114</v>
      </c>
      <c r="D5434" s="21" t="s">
        <v>34</v>
      </c>
      <c r="E5434" s="21" t="s">
        <v>35</v>
      </c>
      <c r="F5434">
        <v>12440094</v>
      </c>
      <c r="G5434" t="s">
        <v>892</v>
      </c>
      <c r="H5434" s="21">
        <v>1173.42</v>
      </c>
    </row>
    <row r="5435" spans="1:8" customFormat="1" x14ac:dyDescent="0.25">
      <c r="A5435" t="str">
        <f>"721385"</f>
        <v>721385</v>
      </c>
      <c r="B5435" t="s">
        <v>4648</v>
      </c>
      <c r="C5435" t="s">
        <v>156</v>
      </c>
      <c r="D5435" s="21" t="s">
        <v>34</v>
      </c>
      <c r="E5435" s="21" t="s">
        <v>71</v>
      </c>
      <c r="F5435">
        <v>12720049</v>
      </c>
      <c r="G5435" t="s">
        <v>1627</v>
      </c>
      <c r="H5435" s="21">
        <v>1173.42</v>
      </c>
    </row>
    <row r="5436" spans="1:8" customFormat="1" x14ac:dyDescent="0.25">
      <c r="A5436" t="str">
        <f>"3412527"</f>
        <v>3412527</v>
      </c>
      <c r="B5436" t="s">
        <v>6762</v>
      </c>
      <c r="C5436" t="s">
        <v>169</v>
      </c>
      <c r="D5436" s="21" t="s">
        <v>34</v>
      </c>
      <c r="E5436" s="21" t="s">
        <v>35</v>
      </c>
      <c r="F5436">
        <v>11340061</v>
      </c>
      <c r="G5436" t="s">
        <v>6763</v>
      </c>
      <c r="H5436" s="21">
        <v>1173.42</v>
      </c>
    </row>
    <row r="5437" spans="1:8" customFormat="1" x14ac:dyDescent="0.25">
      <c r="A5437" t="str">
        <f>"3825971"</f>
        <v>3825971</v>
      </c>
      <c r="B5437" t="s">
        <v>7143</v>
      </c>
      <c r="C5437" t="s">
        <v>209</v>
      </c>
      <c r="D5437" s="21" t="s">
        <v>34</v>
      </c>
      <c r="E5437" s="21" t="s">
        <v>71</v>
      </c>
      <c r="F5437">
        <v>1690186</v>
      </c>
      <c r="G5437" t="s">
        <v>438</v>
      </c>
      <c r="H5437" s="21">
        <v>1173.3</v>
      </c>
    </row>
    <row r="5438" spans="1:8" customFormat="1" x14ac:dyDescent="0.25">
      <c r="A5438" t="str">
        <f>"3514671"</f>
        <v>3514671</v>
      </c>
      <c r="B5438" t="s">
        <v>6006</v>
      </c>
      <c r="C5438" t="s">
        <v>6007</v>
      </c>
      <c r="D5438" s="21" t="s">
        <v>34</v>
      </c>
      <c r="E5438" s="21" t="s">
        <v>35</v>
      </c>
      <c r="F5438">
        <v>3350161</v>
      </c>
      <c r="G5438" t="s">
        <v>1507</v>
      </c>
      <c r="H5438" s="21">
        <v>1173.17</v>
      </c>
    </row>
    <row r="5439" spans="1:8" customFormat="1" x14ac:dyDescent="0.25">
      <c r="A5439" t="str">
        <f>"7819036"</f>
        <v>7819036</v>
      </c>
      <c r="B5439" t="s">
        <v>5537</v>
      </c>
      <c r="C5439" t="s">
        <v>209</v>
      </c>
      <c r="D5439" s="21" t="s">
        <v>34</v>
      </c>
      <c r="E5439" s="21" t="s">
        <v>71</v>
      </c>
      <c r="F5439">
        <v>8780080</v>
      </c>
      <c r="G5439" t="s">
        <v>865</v>
      </c>
      <c r="H5439" s="21">
        <v>1173.17</v>
      </c>
    </row>
    <row r="5440" spans="1:8" customFormat="1" x14ac:dyDescent="0.25">
      <c r="A5440" t="str">
        <f>"5960683"</f>
        <v>5960683</v>
      </c>
      <c r="B5440" t="s">
        <v>465</v>
      </c>
      <c r="C5440" t="s">
        <v>65</v>
      </c>
      <c r="D5440" s="21" t="s">
        <v>34</v>
      </c>
      <c r="E5440" s="21" t="s">
        <v>35</v>
      </c>
      <c r="F5440">
        <v>7590011</v>
      </c>
      <c r="G5440" t="s">
        <v>2147</v>
      </c>
      <c r="H5440" s="21">
        <v>1173.17</v>
      </c>
    </row>
    <row r="5441" spans="1:8" customFormat="1" x14ac:dyDescent="0.25">
      <c r="A5441" t="str">
        <f>"4436316"</f>
        <v>4436316</v>
      </c>
      <c r="B5441" t="s">
        <v>765</v>
      </c>
      <c r="C5441" t="s">
        <v>119</v>
      </c>
      <c r="D5441" s="21" t="s">
        <v>34</v>
      </c>
      <c r="E5441" s="21" t="s">
        <v>35</v>
      </c>
      <c r="F5441">
        <v>12440081</v>
      </c>
      <c r="G5441" t="s">
        <v>617</v>
      </c>
      <c r="H5441" s="21">
        <v>1173.17</v>
      </c>
    </row>
    <row r="5442" spans="1:8" customFormat="1" x14ac:dyDescent="0.25">
      <c r="A5442" t="str">
        <f>"2110692"</f>
        <v>2110692</v>
      </c>
      <c r="B5442" t="s">
        <v>6161</v>
      </c>
      <c r="C5442" t="s">
        <v>124</v>
      </c>
      <c r="D5442" s="21" t="s">
        <v>34</v>
      </c>
      <c r="E5442" s="21" t="s">
        <v>71</v>
      </c>
      <c r="F5442">
        <v>6670002</v>
      </c>
      <c r="G5442" t="s">
        <v>5740</v>
      </c>
      <c r="H5442" s="21">
        <v>1173.17</v>
      </c>
    </row>
    <row r="5443" spans="1:8" customFormat="1" x14ac:dyDescent="0.25">
      <c r="A5443" t="str">
        <f>"953227"</f>
        <v>953227</v>
      </c>
      <c r="B5443" t="s">
        <v>5428</v>
      </c>
      <c r="C5443" t="s">
        <v>124</v>
      </c>
      <c r="D5443" s="21" t="s">
        <v>34</v>
      </c>
      <c r="E5443" s="21" t="s">
        <v>254</v>
      </c>
      <c r="F5443">
        <v>8950623</v>
      </c>
      <c r="G5443" t="s">
        <v>684</v>
      </c>
      <c r="H5443" s="21">
        <v>1173.17</v>
      </c>
    </row>
    <row r="5444" spans="1:8" customFormat="1" x14ac:dyDescent="0.25">
      <c r="A5444" t="str">
        <f>"806861"</f>
        <v>806861</v>
      </c>
      <c r="B5444" t="s">
        <v>6364</v>
      </c>
      <c r="C5444" t="s">
        <v>249</v>
      </c>
      <c r="D5444" s="21" t="s">
        <v>34</v>
      </c>
      <c r="E5444" s="21" t="s">
        <v>71</v>
      </c>
      <c r="F5444">
        <v>7800006</v>
      </c>
      <c r="G5444" t="s">
        <v>6365</v>
      </c>
      <c r="H5444" s="21">
        <v>1173.17</v>
      </c>
    </row>
    <row r="5445" spans="1:8" customFormat="1" x14ac:dyDescent="0.25">
      <c r="A5445" t="str">
        <f>"872638"</f>
        <v>872638</v>
      </c>
      <c r="B5445" t="s">
        <v>5887</v>
      </c>
      <c r="C5445" t="s">
        <v>169</v>
      </c>
      <c r="D5445" s="21" t="s">
        <v>34</v>
      </c>
      <c r="E5445" s="21" t="s">
        <v>71</v>
      </c>
      <c r="F5445">
        <v>10870110</v>
      </c>
      <c r="G5445" t="s">
        <v>5888</v>
      </c>
      <c r="H5445" s="21">
        <v>1173.17</v>
      </c>
    </row>
    <row r="5446" spans="1:8" customFormat="1" x14ac:dyDescent="0.25">
      <c r="A5446" t="str">
        <f>"831873"</f>
        <v>831873</v>
      </c>
      <c r="B5446" t="s">
        <v>5439</v>
      </c>
      <c r="C5446" t="s">
        <v>1110</v>
      </c>
      <c r="D5446" s="21" t="s">
        <v>34</v>
      </c>
      <c r="E5446" s="21" t="s">
        <v>254</v>
      </c>
      <c r="F5446">
        <v>13830059</v>
      </c>
      <c r="G5446" t="s">
        <v>5440</v>
      </c>
      <c r="H5446" s="21">
        <v>1172.68</v>
      </c>
    </row>
    <row r="5447" spans="1:8" customFormat="1" x14ac:dyDescent="0.25">
      <c r="A5447" t="str">
        <f>"7710824"</f>
        <v>7710824</v>
      </c>
      <c r="B5447" t="s">
        <v>5627</v>
      </c>
      <c r="C5447" t="s">
        <v>5628</v>
      </c>
      <c r="D5447" s="21" t="s">
        <v>34</v>
      </c>
      <c r="E5447" s="21" t="s">
        <v>254</v>
      </c>
      <c r="F5447">
        <v>8770426</v>
      </c>
      <c r="G5447" t="s">
        <v>1847</v>
      </c>
      <c r="H5447" s="21">
        <v>1172.67</v>
      </c>
    </row>
    <row r="5448" spans="1:8" customFormat="1" x14ac:dyDescent="0.25">
      <c r="A5448" t="str">
        <f>"7615333"</f>
        <v>7615333</v>
      </c>
      <c r="B5448" t="s">
        <v>5874</v>
      </c>
      <c r="C5448" t="s">
        <v>33</v>
      </c>
      <c r="D5448" s="21" t="s">
        <v>34</v>
      </c>
      <c r="E5448" s="21" t="s">
        <v>71</v>
      </c>
      <c r="F5448">
        <v>9760425</v>
      </c>
      <c r="G5448" t="s">
        <v>5012</v>
      </c>
      <c r="H5448" s="21">
        <v>1172.67</v>
      </c>
    </row>
    <row r="5449" spans="1:8" customFormat="1" x14ac:dyDescent="0.25">
      <c r="A5449" t="str">
        <f>"278152"</f>
        <v>278152</v>
      </c>
      <c r="B5449" t="s">
        <v>6204</v>
      </c>
      <c r="C5449" t="s">
        <v>269</v>
      </c>
      <c r="D5449" s="21" t="s">
        <v>34</v>
      </c>
      <c r="E5449" s="21" t="s">
        <v>35</v>
      </c>
      <c r="F5449">
        <v>9270030</v>
      </c>
      <c r="G5449" t="s">
        <v>5853</v>
      </c>
      <c r="H5449" s="21">
        <v>1172.67</v>
      </c>
    </row>
    <row r="5450" spans="1:8" customFormat="1" x14ac:dyDescent="0.25">
      <c r="A5450" t="str">
        <f>"774247"</f>
        <v>774247</v>
      </c>
      <c r="B5450" t="s">
        <v>5594</v>
      </c>
      <c r="C5450" t="s">
        <v>87</v>
      </c>
      <c r="D5450" s="21" t="s">
        <v>34</v>
      </c>
      <c r="E5450" s="21" t="s">
        <v>35</v>
      </c>
      <c r="F5450">
        <v>8770408</v>
      </c>
      <c r="G5450" t="s">
        <v>212</v>
      </c>
      <c r="H5450" s="21">
        <v>1172.67</v>
      </c>
    </row>
    <row r="5451" spans="1:8" customFormat="1" x14ac:dyDescent="0.25">
      <c r="A5451" t="str">
        <f>"298841"</f>
        <v>298841</v>
      </c>
      <c r="B5451" t="s">
        <v>5860</v>
      </c>
      <c r="C5451" t="s">
        <v>198</v>
      </c>
      <c r="D5451" s="21" t="s">
        <v>34</v>
      </c>
      <c r="E5451" s="21" t="s">
        <v>71</v>
      </c>
      <c r="F5451">
        <v>3290036</v>
      </c>
      <c r="G5451" t="s">
        <v>3903</v>
      </c>
      <c r="H5451" s="21">
        <v>1172.67</v>
      </c>
    </row>
    <row r="5452" spans="1:8" customFormat="1" x14ac:dyDescent="0.25">
      <c r="A5452" t="str">
        <f>"7826295"</f>
        <v>7826295</v>
      </c>
      <c r="B5452" t="s">
        <v>6048</v>
      </c>
      <c r="C5452" t="s">
        <v>209</v>
      </c>
      <c r="D5452" s="21" t="s">
        <v>34</v>
      </c>
      <c r="E5452" s="21" t="s">
        <v>71</v>
      </c>
      <c r="F5452">
        <v>4370004</v>
      </c>
      <c r="G5452" t="s">
        <v>6049</v>
      </c>
      <c r="H5452" s="21">
        <v>1172.67</v>
      </c>
    </row>
    <row r="5453" spans="1:8" customFormat="1" x14ac:dyDescent="0.25">
      <c r="A5453" t="str">
        <f>"7216067"</f>
        <v>7216067</v>
      </c>
      <c r="B5453" t="s">
        <v>697</v>
      </c>
      <c r="C5453" t="s">
        <v>249</v>
      </c>
      <c r="D5453" s="21" t="s">
        <v>34</v>
      </c>
      <c r="E5453" s="21" t="s">
        <v>35</v>
      </c>
      <c r="F5453">
        <v>12720081</v>
      </c>
      <c r="G5453" t="s">
        <v>6360</v>
      </c>
      <c r="H5453" s="21">
        <v>1172.67</v>
      </c>
    </row>
    <row r="5454" spans="1:8" customFormat="1" x14ac:dyDescent="0.25">
      <c r="A5454" t="str">
        <f>"3710642"</f>
        <v>3710642</v>
      </c>
      <c r="B5454" t="s">
        <v>5303</v>
      </c>
      <c r="C5454" t="s">
        <v>415</v>
      </c>
      <c r="D5454" s="21" t="s">
        <v>34</v>
      </c>
      <c r="E5454" s="21" t="s">
        <v>254</v>
      </c>
      <c r="F5454">
        <v>4370151</v>
      </c>
      <c r="G5454" t="s">
        <v>5304</v>
      </c>
      <c r="H5454" s="21">
        <v>1172.67</v>
      </c>
    </row>
    <row r="5455" spans="1:8" customFormat="1" x14ac:dyDescent="0.25">
      <c r="A5455" t="str">
        <f>"085543"</f>
        <v>085543</v>
      </c>
      <c r="B5455" t="s">
        <v>6389</v>
      </c>
      <c r="C5455" t="s">
        <v>2305</v>
      </c>
      <c r="D5455" s="21" t="s">
        <v>34</v>
      </c>
      <c r="E5455" s="21" t="s">
        <v>71</v>
      </c>
      <c r="F5455">
        <v>8780902</v>
      </c>
      <c r="G5455" t="s">
        <v>6390</v>
      </c>
      <c r="H5455" s="21">
        <v>1172.67</v>
      </c>
    </row>
    <row r="5456" spans="1:8" customFormat="1" x14ac:dyDescent="0.25">
      <c r="A5456" t="str">
        <f>"774121"</f>
        <v>774121</v>
      </c>
      <c r="B5456" t="s">
        <v>6663</v>
      </c>
      <c r="C5456" t="s">
        <v>305</v>
      </c>
      <c r="D5456" s="21" t="s">
        <v>34</v>
      </c>
      <c r="E5456" s="21" t="s">
        <v>35</v>
      </c>
      <c r="F5456">
        <v>10330009</v>
      </c>
      <c r="G5456" t="s">
        <v>2064</v>
      </c>
      <c r="H5456" s="21">
        <v>1172.55</v>
      </c>
    </row>
    <row r="5457" spans="1:8" customFormat="1" x14ac:dyDescent="0.25">
      <c r="A5457" t="str">
        <f>"083713"</f>
        <v>083713</v>
      </c>
      <c r="B5457" t="s">
        <v>1276</v>
      </c>
      <c r="C5457" t="s">
        <v>879</v>
      </c>
      <c r="D5457" s="21" t="s">
        <v>34</v>
      </c>
      <c r="E5457" s="21" t="s">
        <v>35</v>
      </c>
      <c r="F5457">
        <v>6080082</v>
      </c>
      <c r="G5457" t="s">
        <v>2401</v>
      </c>
      <c r="H5457" s="21">
        <v>1172.42</v>
      </c>
    </row>
    <row r="5458" spans="1:8" customFormat="1" x14ac:dyDescent="0.25">
      <c r="A5458" t="str">
        <f>"3515510"</f>
        <v>3515510</v>
      </c>
      <c r="B5458" t="s">
        <v>5911</v>
      </c>
      <c r="C5458" t="s">
        <v>249</v>
      </c>
      <c r="D5458" s="21" t="s">
        <v>34</v>
      </c>
      <c r="E5458" s="21" t="s">
        <v>35</v>
      </c>
      <c r="F5458">
        <v>3350016</v>
      </c>
      <c r="G5458" t="s">
        <v>133</v>
      </c>
      <c r="H5458" s="21">
        <v>1172.3</v>
      </c>
    </row>
    <row r="5459" spans="1:8" customFormat="1" x14ac:dyDescent="0.25">
      <c r="A5459" t="str">
        <f>"941099"</f>
        <v>941099</v>
      </c>
      <c r="B5459" t="s">
        <v>153</v>
      </c>
      <c r="C5459" t="s">
        <v>1146</v>
      </c>
      <c r="D5459" s="21" t="s">
        <v>34</v>
      </c>
      <c r="E5459" s="21" t="s">
        <v>254</v>
      </c>
      <c r="F5459">
        <v>8940549</v>
      </c>
      <c r="G5459" t="s">
        <v>454</v>
      </c>
      <c r="H5459" s="21">
        <v>1172.3</v>
      </c>
    </row>
    <row r="5460" spans="1:8" customFormat="1" x14ac:dyDescent="0.25">
      <c r="A5460" t="str">
        <f>"2921687"</f>
        <v>2921687</v>
      </c>
      <c r="B5460" t="s">
        <v>6100</v>
      </c>
      <c r="C5460" t="s">
        <v>428</v>
      </c>
      <c r="D5460" s="21" t="s">
        <v>34</v>
      </c>
      <c r="E5460" s="21" t="s">
        <v>35</v>
      </c>
      <c r="F5460">
        <v>3290222</v>
      </c>
      <c r="G5460" t="s">
        <v>2259</v>
      </c>
      <c r="H5460" s="21">
        <v>1172.17</v>
      </c>
    </row>
    <row r="5461" spans="1:8" customFormat="1" x14ac:dyDescent="0.25">
      <c r="A5461" t="str">
        <f>"3812216"</f>
        <v>3812216</v>
      </c>
      <c r="B5461" t="s">
        <v>8593</v>
      </c>
      <c r="C5461" t="s">
        <v>8594</v>
      </c>
      <c r="D5461" s="21" t="s">
        <v>34</v>
      </c>
      <c r="E5461" s="21" t="s">
        <v>71</v>
      </c>
      <c r="F5461">
        <v>12530096</v>
      </c>
      <c r="G5461" t="s">
        <v>8595</v>
      </c>
      <c r="H5461" s="21">
        <v>1172.17</v>
      </c>
    </row>
    <row r="5462" spans="1:8" customFormat="1" x14ac:dyDescent="0.25">
      <c r="A5462" t="str">
        <f>"621149"</f>
        <v>621149</v>
      </c>
      <c r="B5462" t="s">
        <v>2218</v>
      </c>
      <c r="C5462" t="s">
        <v>109</v>
      </c>
      <c r="D5462" s="21" t="s">
        <v>34</v>
      </c>
      <c r="E5462" s="21" t="s">
        <v>71</v>
      </c>
      <c r="F5462">
        <v>7590050</v>
      </c>
      <c r="G5462" t="s">
        <v>473</v>
      </c>
      <c r="H5462" s="21">
        <v>1172.17</v>
      </c>
    </row>
    <row r="5463" spans="1:8" customFormat="1" x14ac:dyDescent="0.25">
      <c r="A5463" t="str">
        <f>"7824066"</f>
        <v>7824066</v>
      </c>
      <c r="B5463" t="s">
        <v>2658</v>
      </c>
      <c r="C5463" t="s">
        <v>275</v>
      </c>
      <c r="D5463" s="21" t="s">
        <v>34</v>
      </c>
      <c r="E5463" s="21" t="s">
        <v>71</v>
      </c>
      <c r="F5463">
        <v>10330019</v>
      </c>
      <c r="G5463" t="s">
        <v>1761</v>
      </c>
      <c r="H5463" s="21">
        <v>1172.17</v>
      </c>
    </row>
    <row r="5464" spans="1:8" customFormat="1" x14ac:dyDescent="0.25">
      <c r="A5464" t="str">
        <f>"9110988"</f>
        <v>9110988</v>
      </c>
      <c r="B5464" t="s">
        <v>5889</v>
      </c>
      <c r="C5464" t="s">
        <v>151</v>
      </c>
      <c r="D5464" s="21" t="s">
        <v>34</v>
      </c>
      <c r="E5464" s="21" t="s">
        <v>35</v>
      </c>
      <c r="F5464">
        <v>8910914</v>
      </c>
      <c r="G5464" t="s">
        <v>3302</v>
      </c>
      <c r="H5464" s="21">
        <v>1172.17</v>
      </c>
    </row>
    <row r="5465" spans="1:8" customFormat="1" x14ac:dyDescent="0.25">
      <c r="A5465" t="str">
        <f>"803799"</f>
        <v>803799</v>
      </c>
      <c r="B5465" t="s">
        <v>6798</v>
      </c>
      <c r="C5465" t="s">
        <v>49</v>
      </c>
      <c r="D5465" s="21" t="s">
        <v>34</v>
      </c>
      <c r="E5465" s="21" t="s">
        <v>35</v>
      </c>
      <c r="F5465">
        <v>7800088</v>
      </c>
      <c r="G5465" t="s">
        <v>1899</v>
      </c>
      <c r="H5465" s="21">
        <v>1172.17</v>
      </c>
    </row>
    <row r="5466" spans="1:8" customFormat="1" x14ac:dyDescent="0.25">
      <c r="A5466" t="str">
        <f>"8517631"</f>
        <v>8517631</v>
      </c>
      <c r="B5466" t="s">
        <v>4807</v>
      </c>
      <c r="C5466" t="s">
        <v>2168</v>
      </c>
      <c r="D5466" s="21" t="s">
        <v>34</v>
      </c>
      <c r="E5466" s="21" t="s">
        <v>35</v>
      </c>
      <c r="F5466">
        <v>12850153</v>
      </c>
      <c r="G5466" t="s">
        <v>5794</v>
      </c>
      <c r="H5466" s="21">
        <v>1172.17</v>
      </c>
    </row>
    <row r="5467" spans="1:8" customFormat="1" x14ac:dyDescent="0.25">
      <c r="A5467" t="str">
        <f>"885670"</f>
        <v>885670</v>
      </c>
      <c r="B5467" t="s">
        <v>6647</v>
      </c>
      <c r="C5467" t="s">
        <v>209</v>
      </c>
      <c r="D5467" s="21" t="s">
        <v>34</v>
      </c>
      <c r="E5467" s="21" t="s">
        <v>71</v>
      </c>
      <c r="F5467">
        <v>6880073</v>
      </c>
      <c r="G5467" t="s">
        <v>6648</v>
      </c>
      <c r="H5467" s="21">
        <v>1172.17</v>
      </c>
    </row>
    <row r="5468" spans="1:8" customFormat="1" x14ac:dyDescent="0.25">
      <c r="A5468" t="str">
        <f>"7513426"</f>
        <v>7513426</v>
      </c>
      <c r="B5468" t="s">
        <v>1094</v>
      </c>
      <c r="C5468" t="s">
        <v>62</v>
      </c>
      <c r="D5468" s="21" t="s">
        <v>34</v>
      </c>
      <c r="E5468" s="21" t="s">
        <v>71</v>
      </c>
      <c r="F5468">
        <v>8751163</v>
      </c>
      <c r="G5468" t="s">
        <v>80</v>
      </c>
      <c r="H5468" s="21">
        <v>1171.93</v>
      </c>
    </row>
    <row r="5469" spans="1:8" customFormat="1" x14ac:dyDescent="0.25">
      <c r="A5469" t="str">
        <f>"728108"</f>
        <v>728108</v>
      </c>
      <c r="B5469" t="s">
        <v>5919</v>
      </c>
      <c r="C5469" t="s">
        <v>169</v>
      </c>
      <c r="D5469" s="21" t="s">
        <v>34</v>
      </c>
      <c r="E5469" s="21" t="s">
        <v>35</v>
      </c>
      <c r="F5469">
        <v>3350022</v>
      </c>
      <c r="G5469" t="s">
        <v>1287</v>
      </c>
      <c r="H5469" s="21">
        <v>1171.8800000000001</v>
      </c>
    </row>
    <row r="5470" spans="1:8" customFormat="1" x14ac:dyDescent="0.25">
      <c r="A5470" t="str">
        <f>"0616899"</f>
        <v>0616899</v>
      </c>
      <c r="B5470" t="s">
        <v>5077</v>
      </c>
      <c r="C5470" t="s">
        <v>934</v>
      </c>
      <c r="D5470" s="21" t="s">
        <v>34</v>
      </c>
      <c r="E5470" s="21" t="s">
        <v>35</v>
      </c>
      <c r="F5470">
        <v>13060037</v>
      </c>
      <c r="G5470" t="s">
        <v>9521</v>
      </c>
      <c r="H5470" s="21">
        <v>1171.8</v>
      </c>
    </row>
    <row r="5471" spans="1:8" customFormat="1" x14ac:dyDescent="0.25">
      <c r="A5471" t="str">
        <f>"019386"</f>
        <v>019386</v>
      </c>
      <c r="B5471" t="s">
        <v>7219</v>
      </c>
      <c r="C5471" t="s">
        <v>1812</v>
      </c>
      <c r="D5471" s="21" t="s">
        <v>34</v>
      </c>
      <c r="E5471" s="21" t="s">
        <v>254</v>
      </c>
      <c r="F5471">
        <v>2580006</v>
      </c>
      <c r="G5471" t="s">
        <v>4813</v>
      </c>
      <c r="H5471" s="21">
        <v>1171.67</v>
      </c>
    </row>
    <row r="5472" spans="1:8" customFormat="1" x14ac:dyDescent="0.25">
      <c r="A5472" t="str">
        <f>"551321"</f>
        <v>551321</v>
      </c>
      <c r="B5472" t="s">
        <v>6036</v>
      </c>
      <c r="C5472" t="s">
        <v>656</v>
      </c>
      <c r="D5472" s="21" t="s">
        <v>34</v>
      </c>
      <c r="E5472" s="21" t="s">
        <v>35</v>
      </c>
      <c r="F5472">
        <v>6550007</v>
      </c>
      <c r="G5472" t="s">
        <v>1688</v>
      </c>
      <c r="H5472" s="21">
        <v>1171.67</v>
      </c>
    </row>
    <row r="5473" spans="1:8" customFormat="1" x14ac:dyDescent="0.25">
      <c r="A5473" t="str">
        <f>"821013"</f>
        <v>821013</v>
      </c>
      <c r="B5473" t="s">
        <v>26897</v>
      </c>
      <c r="C5473" t="s">
        <v>60</v>
      </c>
      <c r="D5473" s="21" t="s">
        <v>34</v>
      </c>
      <c r="E5473" s="21" t="s">
        <v>35</v>
      </c>
      <c r="F5473">
        <v>11820007</v>
      </c>
      <c r="G5473" t="s">
        <v>532</v>
      </c>
      <c r="H5473" s="21">
        <v>1171.67</v>
      </c>
    </row>
    <row r="5474" spans="1:8" customFormat="1" x14ac:dyDescent="0.25">
      <c r="A5474" t="str">
        <f>"697032"</f>
        <v>697032</v>
      </c>
      <c r="B5474" t="s">
        <v>6064</v>
      </c>
      <c r="C5474" t="s">
        <v>462</v>
      </c>
      <c r="D5474" s="21" t="s">
        <v>34</v>
      </c>
      <c r="E5474" s="21" t="s">
        <v>254</v>
      </c>
      <c r="F5474">
        <v>1690109</v>
      </c>
      <c r="G5474" t="s">
        <v>3028</v>
      </c>
      <c r="H5474" s="21">
        <v>1171.67</v>
      </c>
    </row>
    <row r="5475" spans="1:8" customFormat="1" x14ac:dyDescent="0.25">
      <c r="A5475" t="str">
        <f>"3329911"</f>
        <v>3329911</v>
      </c>
      <c r="B5475" t="s">
        <v>5999</v>
      </c>
      <c r="C5475" t="s">
        <v>6000</v>
      </c>
      <c r="D5475" s="21" t="s">
        <v>34</v>
      </c>
      <c r="E5475" s="21" t="s">
        <v>71</v>
      </c>
      <c r="F5475">
        <v>10330002</v>
      </c>
      <c r="G5475" t="s">
        <v>53</v>
      </c>
      <c r="H5475" s="21">
        <v>1171.67</v>
      </c>
    </row>
    <row r="5476" spans="1:8" customFormat="1" x14ac:dyDescent="0.25">
      <c r="A5476" t="str">
        <f>"922174"</f>
        <v>922174</v>
      </c>
      <c r="B5476" t="s">
        <v>6059</v>
      </c>
      <c r="C5476" t="s">
        <v>269</v>
      </c>
      <c r="D5476" s="21" t="s">
        <v>34</v>
      </c>
      <c r="E5476" s="21" t="s">
        <v>71</v>
      </c>
      <c r="F5476">
        <v>8920025</v>
      </c>
      <c r="G5476" t="s">
        <v>159</v>
      </c>
      <c r="H5476" s="21">
        <v>1171.67</v>
      </c>
    </row>
    <row r="5477" spans="1:8" customFormat="1" x14ac:dyDescent="0.25">
      <c r="A5477" t="str">
        <f>"066551"</f>
        <v>066551</v>
      </c>
      <c r="B5477" t="s">
        <v>5789</v>
      </c>
      <c r="C5477" t="s">
        <v>328</v>
      </c>
      <c r="D5477" s="21" t="s">
        <v>34</v>
      </c>
      <c r="E5477" s="21" t="s">
        <v>35</v>
      </c>
      <c r="F5477">
        <v>13060029</v>
      </c>
      <c r="G5477" t="s">
        <v>1345</v>
      </c>
      <c r="H5477" s="21">
        <v>1171.67</v>
      </c>
    </row>
    <row r="5478" spans="1:8" customFormat="1" x14ac:dyDescent="0.25">
      <c r="A5478" t="str">
        <f>"676915"</f>
        <v>676915</v>
      </c>
      <c r="B5478" t="s">
        <v>5739</v>
      </c>
      <c r="C5478" t="s">
        <v>2651</v>
      </c>
      <c r="D5478" s="21" t="s">
        <v>34</v>
      </c>
      <c r="E5478" s="21" t="s">
        <v>35</v>
      </c>
      <c r="F5478">
        <v>6670002</v>
      </c>
      <c r="G5478" t="s">
        <v>5740</v>
      </c>
      <c r="H5478" s="21">
        <v>1171.67</v>
      </c>
    </row>
    <row r="5479" spans="1:8" customFormat="1" x14ac:dyDescent="0.25">
      <c r="A5479" t="str">
        <f>"33653"</f>
        <v>33653</v>
      </c>
      <c r="B5479" t="s">
        <v>5336</v>
      </c>
      <c r="C5479" t="s">
        <v>263</v>
      </c>
      <c r="D5479" s="21" t="s">
        <v>34</v>
      </c>
      <c r="E5479" s="21" t="s">
        <v>71</v>
      </c>
      <c r="F5479">
        <v>10330022</v>
      </c>
      <c r="G5479" t="s">
        <v>1830</v>
      </c>
      <c r="H5479" s="21">
        <v>1171.55</v>
      </c>
    </row>
    <row r="5480" spans="1:8" customFormat="1" x14ac:dyDescent="0.25">
      <c r="A5480" t="str">
        <f>"6921395"</f>
        <v>6921395</v>
      </c>
      <c r="B5480" t="s">
        <v>5098</v>
      </c>
      <c r="C5480" t="s">
        <v>2520</v>
      </c>
      <c r="D5480" s="21" t="s">
        <v>34</v>
      </c>
      <c r="E5480" s="21" t="s">
        <v>254</v>
      </c>
      <c r="F5480">
        <v>1690123</v>
      </c>
      <c r="G5480" t="s">
        <v>5156</v>
      </c>
      <c r="H5480" s="21">
        <v>1171.55</v>
      </c>
    </row>
    <row r="5481" spans="1:8" customFormat="1" x14ac:dyDescent="0.25">
      <c r="A5481" t="str">
        <f>"4932850"</f>
        <v>4932850</v>
      </c>
      <c r="B5481" t="s">
        <v>6454</v>
      </c>
      <c r="C5481" t="s">
        <v>90</v>
      </c>
      <c r="D5481" s="21" t="s">
        <v>34</v>
      </c>
      <c r="E5481" s="21" t="s">
        <v>35</v>
      </c>
      <c r="F5481">
        <v>12490006</v>
      </c>
      <c r="G5481" t="s">
        <v>1480</v>
      </c>
      <c r="H5481" s="21">
        <v>1171.43</v>
      </c>
    </row>
    <row r="5482" spans="1:8" customFormat="1" x14ac:dyDescent="0.25">
      <c r="A5482" t="str">
        <f>"3337498"</f>
        <v>3337498</v>
      </c>
      <c r="B5482" t="s">
        <v>6010</v>
      </c>
      <c r="C5482" t="s">
        <v>817</v>
      </c>
      <c r="D5482" s="21" t="s">
        <v>34</v>
      </c>
      <c r="E5482" s="21" t="s">
        <v>35</v>
      </c>
      <c r="F5482">
        <v>10330034</v>
      </c>
      <c r="G5482" t="s">
        <v>6011</v>
      </c>
      <c r="H5482" s="21">
        <v>1171.43</v>
      </c>
    </row>
    <row r="5483" spans="1:8" customFormat="1" x14ac:dyDescent="0.25">
      <c r="A5483" t="str">
        <f>"534744"</f>
        <v>534744</v>
      </c>
      <c r="B5483" t="s">
        <v>6030</v>
      </c>
      <c r="C5483" t="s">
        <v>87</v>
      </c>
      <c r="D5483" s="21" t="s">
        <v>34</v>
      </c>
      <c r="E5483" s="21" t="s">
        <v>71</v>
      </c>
      <c r="F5483">
        <v>12530035</v>
      </c>
      <c r="G5483" t="s">
        <v>1663</v>
      </c>
      <c r="H5483" s="21">
        <v>1171.17</v>
      </c>
    </row>
    <row r="5484" spans="1:8" customFormat="1" x14ac:dyDescent="0.25">
      <c r="A5484" t="str">
        <f>"363706"</f>
        <v>363706</v>
      </c>
      <c r="B5484" t="s">
        <v>26898</v>
      </c>
      <c r="C5484" t="s">
        <v>206</v>
      </c>
      <c r="D5484" s="21" t="s">
        <v>34</v>
      </c>
      <c r="E5484" s="21" t="s">
        <v>35</v>
      </c>
      <c r="F5484">
        <v>4360124</v>
      </c>
      <c r="G5484" t="s">
        <v>5229</v>
      </c>
      <c r="H5484" s="21">
        <v>1171.17</v>
      </c>
    </row>
    <row r="5485" spans="1:8" customFormat="1" x14ac:dyDescent="0.25">
      <c r="A5485" t="str">
        <f>"7623531"</f>
        <v>7623531</v>
      </c>
      <c r="B5485" t="s">
        <v>472</v>
      </c>
      <c r="C5485" t="s">
        <v>65</v>
      </c>
      <c r="D5485" s="21" t="s">
        <v>34</v>
      </c>
      <c r="E5485" s="21" t="s">
        <v>35</v>
      </c>
      <c r="F5485">
        <v>9270063</v>
      </c>
      <c r="G5485" t="s">
        <v>808</v>
      </c>
      <c r="H5485" s="21">
        <v>1171.17</v>
      </c>
    </row>
    <row r="5486" spans="1:8" customFormat="1" x14ac:dyDescent="0.25">
      <c r="A5486" t="str">
        <f>"3513933"</f>
        <v>3513933</v>
      </c>
      <c r="B5486" t="s">
        <v>5812</v>
      </c>
      <c r="C5486" t="s">
        <v>269</v>
      </c>
      <c r="D5486" s="21" t="s">
        <v>34</v>
      </c>
      <c r="E5486" s="21" t="s">
        <v>71</v>
      </c>
      <c r="F5486">
        <v>3350095</v>
      </c>
      <c r="G5486" t="s">
        <v>5813</v>
      </c>
      <c r="H5486" s="21">
        <v>1171.17</v>
      </c>
    </row>
    <row r="5487" spans="1:8" customFormat="1" x14ac:dyDescent="0.25">
      <c r="A5487" t="str">
        <f>"9236188"</f>
        <v>9236188</v>
      </c>
      <c r="B5487" t="s">
        <v>5011</v>
      </c>
      <c r="C5487" t="s">
        <v>147</v>
      </c>
      <c r="D5487" s="21" t="s">
        <v>34</v>
      </c>
      <c r="E5487" s="21" t="s">
        <v>35</v>
      </c>
      <c r="F5487">
        <v>8781462</v>
      </c>
      <c r="G5487" t="s">
        <v>5796</v>
      </c>
      <c r="H5487" s="21">
        <v>1171.06</v>
      </c>
    </row>
    <row r="5488" spans="1:8" customFormat="1" x14ac:dyDescent="0.25">
      <c r="A5488" t="str">
        <f>"456513"</f>
        <v>456513</v>
      </c>
      <c r="B5488" t="s">
        <v>5953</v>
      </c>
      <c r="C5488" t="s">
        <v>415</v>
      </c>
      <c r="D5488" s="21" t="s">
        <v>34</v>
      </c>
      <c r="E5488" s="21" t="s">
        <v>35</v>
      </c>
      <c r="F5488">
        <v>4450702</v>
      </c>
      <c r="G5488" t="s">
        <v>1772</v>
      </c>
      <c r="H5488" s="21">
        <v>1170.92</v>
      </c>
    </row>
    <row r="5489" spans="1:8" customFormat="1" x14ac:dyDescent="0.25">
      <c r="A5489" t="str">
        <f>"441136"</f>
        <v>441136</v>
      </c>
      <c r="B5489" t="s">
        <v>1479</v>
      </c>
      <c r="C5489" t="s">
        <v>263</v>
      </c>
      <c r="D5489" s="21" t="s">
        <v>34</v>
      </c>
      <c r="E5489" s="21" t="s">
        <v>71</v>
      </c>
      <c r="F5489">
        <v>12440238</v>
      </c>
      <c r="G5489" t="s">
        <v>5258</v>
      </c>
      <c r="H5489" s="21">
        <v>1170.67</v>
      </c>
    </row>
    <row r="5490" spans="1:8" customFormat="1" x14ac:dyDescent="0.25">
      <c r="A5490" t="str">
        <f>"537871"</f>
        <v>537871</v>
      </c>
      <c r="B5490" t="s">
        <v>19214</v>
      </c>
      <c r="C5490" t="s">
        <v>486</v>
      </c>
      <c r="D5490" s="21" t="s">
        <v>34</v>
      </c>
      <c r="E5490" s="21" t="s">
        <v>35</v>
      </c>
      <c r="F5490">
        <v>12530095</v>
      </c>
      <c r="G5490" t="s">
        <v>5381</v>
      </c>
      <c r="H5490" s="21">
        <v>1170.67</v>
      </c>
    </row>
    <row r="5491" spans="1:8" customFormat="1" x14ac:dyDescent="0.25">
      <c r="A5491" t="str">
        <f>"279914"</f>
        <v>279914</v>
      </c>
      <c r="B5491" t="s">
        <v>5123</v>
      </c>
      <c r="C5491" t="s">
        <v>263</v>
      </c>
      <c r="D5491" s="21" t="s">
        <v>34</v>
      </c>
      <c r="E5491" s="21" t="s">
        <v>71</v>
      </c>
      <c r="F5491">
        <v>9270112</v>
      </c>
      <c r="G5491" t="s">
        <v>5124</v>
      </c>
      <c r="H5491" s="21">
        <v>1170.67</v>
      </c>
    </row>
    <row r="5492" spans="1:8" customFormat="1" x14ac:dyDescent="0.25">
      <c r="A5492" t="str">
        <f>"5932080"</f>
        <v>5932080</v>
      </c>
      <c r="B5492" t="s">
        <v>1737</v>
      </c>
      <c r="C5492" t="s">
        <v>381</v>
      </c>
      <c r="D5492" s="21" t="s">
        <v>34</v>
      </c>
      <c r="E5492" s="21" t="s">
        <v>71</v>
      </c>
      <c r="F5492">
        <v>13830025</v>
      </c>
      <c r="G5492" t="s">
        <v>106</v>
      </c>
      <c r="H5492" s="21">
        <v>1170.67</v>
      </c>
    </row>
    <row r="5493" spans="1:8" customFormat="1" x14ac:dyDescent="0.25">
      <c r="A5493" t="str">
        <f>"3529914"</f>
        <v>3529914</v>
      </c>
      <c r="B5493" t="s">
        <v>3894</v>
      </c>
      <c r="C5493" t="s">
        <v>719</v>
      </c>
      <c r="D5493" s="21" t="s">
        <v>34</v>
      </c>
      <c r="E5493" s="21" t="s">
        <v>71</v>
      </c>
      <c r="F5493">
        <v>3350137</v>
      </c>
      <c r="G5493" t="s">
        <v>1323</v>
      </c>
      <c r="H5493" s="21">
        <v>1170.67</v>
      </c>
    </row>
    <row r="5494" spans="1:8" customFormat="1" x14ac:dyDescent="0.25">
      <c r="A5494" t="str">
        <f>"9140804"</f>
        <v>9140804</v>
      </c>
      <c r="B5494" t="s">
        <v>6255</v>
      </c>
      <c r="C5494" t="s">
        <v>6256</v>
      </c>
      <c r="D5494" s="21" t="s">
        <v>34</v>
      </c>
      <c r="E5494" s="21" t="s">
        <v>35</v>
      </c>
      <c r="F5494">
        <v>8911323</v>
      </c>
      <c r="G5494" t="s">
        <v>555</v>
      </c>
      <c r="H5494" s="21">
        <v>1170.67</v>
      </c>
    </row>
    <row r="5495" spans="1:8" customFormat="1" x14ac:dyDescent="0.25">
      <c r="A5495" t="str">
        <f>"141463"</f>
        <v>141463</v>
      </c>
      <c r="B5495" t="s">
        <v>6210</v>
      </c>
      <c r="C5495" t="s">
        <v>169</v>
      </c>
      <c r="D5495" s="21" t="s">
        <v>34</v>
      </c>
      <c r="E5495" s="21" t="s">
        <v>71</v>
      </c>
      <c r="F5495">
        <v>9140235</v>
      </c>
      <c r="G5495" t="s">
        <v>165</v>
      </c>
      <c r="H5495" s="21">
        <v>1170.42</v>
      </c>
    </row>
    <row r="5496" spans="1:8" customFormat="1" x14ac:dyDescent="0.25">
      <c r="A5496" t="str">
        <f>"2921474"</f>
        <v>2921474</v>
      </c>
      <c r="B5496" t="s">
        <v>3294</v>
      </c>
      <c r="C5496" t="s">
        <v>486</v>
      </c>
      <c r="D5496" s="21" t="s">
        <v>34</v>
      </c>
      <c r="E5496" s="21" t="s">
        <v>35</v>
      </c>
      <c r="F5496">
        <v>3560056</v>
      </c>
      <c r="G5496" t="s">
        <v>3145</v>
      </c>
      <c r="H5496" s="21">
        <v>1170.17</v>
      </c>
    </row>
    <row r="5497" spans="1:8" customFormat="1" x14ac:dyDescent="0.25">
      <c r="A5497" t="str">
        <f>"3712282"</f>
        <v>3712282</v>
      </c>
      <c r="B5497" t="s">
        <v>7096</v>
      </c>
      <c r="C5497" t="s">
        <v>249</v>
      </c>
      <c r="D5497" s="21" t="s">
        <v>34</v>
      </c>
      <c r="E5497" s="21" t="s">
        <v>71</v>
      </c>
      <c r="F5497">
        <v>4370013</v>
      </c>
      <c r="G5497" t="s">
        <v>7097</v>
      </c>
      <c r="H5497" s="21">
        <v>1170.17</v>
      </c>
    </row>
    <row r="5498" spans="1:8" customFormat="1" x14ac:dyDescent="0.25">
      <c r="A5498" t="str">
        <f>"9125175"</f>
        <v>9125175</v>
      </c>
      <c r="B5498" t="s">
        <v>5623</v>
      </c>
      <c r="C5498" t="s">
        <v>5826</v>
      </c>
      <c r="D5498" s="21" t="s">
        <v>34</v>
      </c>
      <c r="E5498" s="21" t="s">
        <v>71</v>
      </c>
      <c r="F5498">
        <v>4280038</v>
      </c>
      <c r="G5498" t="s">
        <v>2526</v>
      </c>
      <c r="H5498" s="21">
        <v>1170.17</v>
      </c>
    </row>
    <row r="5499" spans="1:8" customFormat="1" x14ac:dyDescent="0.25">
      <c r="A5499" t="str">
        <f>"6715360"</f>
        <v>6715360</v>
      </c>
      <c r="B5499" t="s">
        <v>5917</v>
      </c>
      <c r="C5499" t="s">
        <v>598</v>
      </c>
      <c r="D5499" s="21" t="s">
        <v>34</v>
      </c>
      <c r="E5499" s="21" t="s">
        <v>35</v>
      </c>
      <c r="F5499">
        <v>6670257</v>
      </c>
      <c r="G5499" t="s">
        <v>26708</v>
      </c>
      <c r="H5499" s="21">
        <v>1170.17</v>
      </c>
    </row>
    <row r="5500" spans="1:8" customFormat="1" x14ac:dyDescent="0.25">
      <c r="A5500" t="str">
        <f>"25617"</f>
        <v>25617</v>
      </c>
      <c r="B5500" t="s">
        <v>5531</v>
      </c>
      <c r="C5500" t="s">
        <v>246</v>
      </c>
      <c r="D5500" s="21" t="s">
        <v>34</v>
      </c>
      <c r="E5500" s="21" t="s">
        <v>254</v>
      </c>
      <c r="F5500">
        <v>2250024</v>
      </c>
      <c r="G5500" t="s">
        <v>751</v>
      </c>
      <c r="H5500" s="21">
        <v>1170.17</v>
      </c>
    </row>
    <row r="5501" spans="1:8" customFormat="1" x14ac:dyDescent="0.25">
      <c r="A5501" t="str">
        <f>"6015568"</f>
        <v>6015568</v>
      </c>
      <c r="B5501" t="s">
        <v>7020</v>
      </c>
      <c r="C5501" t="s">
        <v>87</v>
      </c>
      <c r="D5501" s="21" t="s">
        <v>34</v>
      </c>
      <c r="E5501" s="21" t="s">
        <v>35</v>
      </c>
      <c r="F5501">
        <v>7600004</v>
      </c>
      <c r="G5501" t="s">
        <v>848</v>
      </c>
      <c r="H5501" s="21">
        <v>1170.17</v>
      </c>
    </row>
    <row r="5502" spans="1:8" customFormat="1" x14ac:dyDescent="0.25">
      <c r="A5502" t="str">
        <f>"534363"</f>
        <v>534363</v>
      </c>
      <c r="B5502" t="s">
        <v>4335</v>
      </c>
      <c r="C5502" t="s">
        <v>239</v>
      </c>
      <c r="D5502" s="21" t="s">
        <v>34</v>
      </c>
      <c r="E5502" s="21" t="s">
        <v>71</v>
      </c>
      <c r="F5502">
        <v>12530068</v>
      </c>
      <c r="G5502" t="s">
        <v>5165</v>
      </c>
      <c r="H5502" s="21">
        <v>1170.17</v>
      </c>
    </row>
    <row r="5503" spans="1:8" customFormat="1" x14ac:dyDescent="0.25">
      <c r="A5503" t="str">
        <f>"277943"</f>
        <v>277943</v>
      </c>
      <c r="B5503" t="s">
        <v>6700</v>
      </c>
      <c r="C5503" t="s">
        <v>263</v>
      </c>
      <c r="D5503" s="21" t="s">
        <v>34</v>
      </c>
      <c r="E5503" s="21" t="s">
        <v>71</v>
      </c>
      <c r="F5503">
        <v>9270112</v>
      </c>
      <c r="G5503" t="s">
        <v>5124</v>
      </c>
      <c r="H5503" s="21">
        <v>1170.05</v>
      </c>
    </row>
    <row r="5504" spans="1:8" customFormat="1" x14ac:dyDescent="0.25">
      <c r="A5504" t="str">
        <f>"539991"</f>
        <v>539991</v>
      </c>
      <c r="B5504" t="s">
        <v>7331</v>
      </c>
      <c r="C5504" t="s">
        <v>40</v>
      </c>
      <c r="D5504" s="21" t="s">
        <v>34</v>
      </c>
      <c r="E5504" s="21" t="s">
        <v>35</v>
      </c>
      <c r="F5504">
        <v>12530035</v>
      </c>
      <c r="G5504" t="s">
        <v>1663</v>
      </c>
      <c r="H5504" s="21">
        <v>1169.92</v>
      </c>
    </row>
    <row r="5505" spans="1:8" customFormat="1" x14ac:dyDescent="0.25">
      <c r="A5505" t="str">
        <f>"4917702"</f>
        <v>4917702</v>
      </c>
      <c r="B5505" t="s">
        <v>3958</v>
      </c>
      <c r="C5505" t="s">
        <v>484</v>
      </c>
      <c r="D5505" s="21" t="s">
        <v>34</v>
      </c>
      <c r="E5505" s="21" t="s">
        <v>35</v>
      </c>
      <c r="F5505">
        <v>12490048</v>
      </c>
      <c r="G5505" t="s">
        <v>4228</v>
      </c>
      <c r="H5505" s="21">
        <v>1169.79</v>
      </c>
    </row>
    <row r="5506" spans="1:8" customFormat="1" x14ac:dyDescent="0.25">
      <c r="A5506" t="str">
        <f>"3112850"</f>
        <v>3112850</v>
      </c>
      <c r="B5506" t="s">
        <v>6961</v>
      </c>
      <c r="C5506" t="s">
        <v>6962</v>
      </c>
      <c r="D5506" s="21" t="s">
        <v>34</v>
      </c>
      <c r="E5506" s="21" t="s">
        <v>35</v>
      </c>
      <c r="F5506">
        <v>11310047</v>
      </c>
      <c r="G5506" t="s">
        <v>2188</v>
      </c>
      <c r="H5506" s="21">
        <v>1169.67</v>
      </c>
    </row>
    <row r="5507" spans="1:8" customFormat="1" x14ac:dyDescent="0.25">
      <c r="A5507" t="str">
        <f>"851640"</f>
        <v>851640</v>
      </c>
      <c r="B5507" t="s">
        <v>427</v>
      </c>
      <c r="C5507" t="s">
        <v>652</v>
      </c>
      <c r="D5507" s="21" t="s">
        <v>34</v>
      </c>
      <c r="E5507" s="21" t="s">
        <v>254</v>
      </c>
      <c r="F5507">
        <v>12850057</v>
      </c>
      <c r="G5507" t="s">
        <v>1291</v>
      </c>
      <c r="H5507" s="21">
        <v>1169.67</v>
      </c>
    </row>
    <row r="5508" spans="1:8" customFormat="1" x14ac:dyDescent="0.25">
      <c r="A5508" t="str">
        <f>"9527687"</f>
        <v>9527687</v>
      </c>
      <c r="B5508" t="s">
        <v>1006</v>
      </c>
      <c r="C5508" t="s">
        <v>1294</v>
      </c>
      <c r="D5508" s="21" t="s">
        <v>34</v>
      </c>
      <c r="E5508" s="21" t="s">
        <v>35</v>
      </c>
      <c r="F5508">
        <v>8950570</v>
      </c>
      <c r="G5508" t="s">
        <v>3226</v>
      </c>
      <c r="H5508" s="21">
        <v>1169.67</v>
      </c>
    </row>
    <row r="5509" spans="1:8" customFormat="1" x14ac:dyDescent="0.25">
      <c r="A5509" t="str">
        <f>"9H759"</f>
        <v>9H759</v>
      </c>
      <c r="B5509" t="s">
        <v>4244</v>
      </c>
      <c r="C5509" t="s">
        <v>263</v>
      </c>
      <c r="D5509" s="21" t="s">
        <v>34</v>
      </c>
      <c r="E5509" s="21" t="s">
        <v>254</v>
      </c>
      <c r="F5509">
        <v>13830085</v>
      </c>
      <c r="G5509" t="s">
        <v>478</v>
      </c>
      <c r="H5509" s="21">
        <v>1169.67</v>
      </c>
    </row>
    <row r="5510" spans="1:8" customFormat="1" x14ac:dyDescent="0.25">
      <c r="A5510" t="str">
        <f>"493669"</f>
        <v>493669</v>
      </c>
      <c r="B5510" t="s">
        <v>5555</v>
      </c>
      <c r="C5510" t="s">
        <v>187</v>
      </c>
      <c r="D5510" s="21" t="s">
        <v>34</v>
      </c>
      <c r="E5510" s="21" t="s">
        <v>35</v>
      </c>
      <c r="F5510">
        <v>12440259</v>
      </c>
      <c r="G5510" t="s">
        <v>833</v>
      </c>
      <c r="H5510" s="21">
        <v>1169.67</v>
      </c>
    </row>
    <row r="5511" spans="1:8" customFormat="1" x14ac:dyDescent="0.25">
      <c r="A5511" t="str">
        <f>"633377"</f>
        <v>633377</v>
      </c>
      <c r="B5511" t="s">
        <v>3351</v>
      </c>
      <c r="C5511" t="s">
        <v>967</v>
      </c>
      <c r="D5511" s="21" t="s">
        <v>34</v>
      </c>
      <c r="E5511" s="21" t="s">
        <v>35</v>
      </c>
      <c r="F5511">
        <v>1630054</v>
      </c>
      <c r="G5511" t="s">
        <v>2512</v>
      </c>
      <c r="H5511" s="21">
        <v>1169.67</v>
      </c>
    </row>
    <row r="5512" spans="1:8" customFormat="1" x14ac:dyDescent="0.25">
      <c r="A5512" t="str">
        <f>"621641"</f>
        <v>621641</v>
      </c>
      <c r="B5512" t="s">
        <v>4923</v>
      </c>
      <c r="C5512" t="s">
        <v>3393</v>
      </c>
      <c r="D5512" s="21" t="s">
        <v>34</v>
      </c>
      <c r="E5512" s="21" t="s">
        <v>35</v>
      </c>
      <c r="F5512">
        <v>7620046</v>
      </c>
      <c r="G5512" t="s">
        <v>242</v>
      </c>
      <c r="H5512" s="21">
        <v>1169.67</v>
      </c>
    </row>
    <row r="5513" spans="1:8" customFormat="1" x14ac:dyDescent="0.25">
      <c r="A5513" t="str">
        <f>"251532"</f>
        <v>251532</v>
      </c>
      <c r="B5513" t="s">
        <v>2903</v>
      </c>
      <c r="C5513" t="s">
        <v>1588</v>
      </c>
      <c r="D5513" s="21" t="s">
        <v>34</v>
      </c>
      <c r="E5513" s="21" t="s">
        <v>71</v>
      </c>
      <c r="F5513">
        <v>2250095</v>
      </c>
      <c r="G5513" t="s">
        <v>6394</v>
      </c>
      <c r="H5513" s="21">
        <v>1169.67</v>
      </c>
    </row>
    <row r="5514" spans="1:8" customFormat="1" x14ac:dyDescent="0.25">
      <c r="A5514" t="str">
        <f>"087880"</f>
        <v>087880</v>
      </c>
      <c r="B5514" t="s">
        <v>6269</v>
      </c>
      <c r="C5514" t="s">
        <v>1146</v>
      </c>
      <c r="D5514" s="21" t="s">
        <v>34</v>
      </c>
      <c r="E5514" s="21" t="s">
        <v>254</v>
      </c>
      <c r="F5514">
        <v>6080035</v>
      </c>
      <c r="G5514" t="s">
        <v>583</v>
      </c>
      <c r="H5514" s="21">
        <v>1169.42</v>
      </c>
    </row>
    <row r="5515" spans="1:8" customFormat="1" x14ac:dyDescent="0.25">
      <c r="A5515" t="str">
        <f>"454021"</f>
        <v>454021</v>
      </c>
      <c r="B5515" t="s">
        <v>5827</v>
      </c>
      <c r="C5515" t="s">
        <v>547</v>
      </c>
      <c r="D5515" s="21" t="s">
        <v>34</v>
      </c>
      <c r="E5515" s="21" t="s">
        <v>254</v>
      </c>
      <c r="F5515">
        <v>4450757</v>
      </c>
      <c r="G5515" t="s">
        <v>3829</v>
      </c>
      <c r="H5515" s="21">
        <v>1169.3</v>
      </c>
    </row>
    <row r="5516" spans="1:8" customFormat="1" x14ac:dyDescent="0.25">
      <c r="A5516" t="str">
        <f>"2716118"</f>
        <v>2716118</v>
      </c>
      <c r="B5516" t="s">
        <v>5614</v>
      </c>
      <c r="C5516" t="s">
        <v>1474</v>
      </c>
      <c r="D5516" s="21" t="s">
        <v>34</v>
      </c>
      <c r="E5516" s="21" t="s">
        <v>35</v>
      </c>
      <c r="F5516">
        <v>9270185</v>
      </c>
      <c r="G5516" t="s">
        <v>9160</v>
      </c>
      <c r="H5516" s="21">
        <v>1169.17</v>
      </c>
    </row>
    <row r="5517" spans="1:8" customFormat="1" x14ac:dyDescent="0.25">
      <c r="A5517" t="str">
        <f>"6010186"</f>
        <v>6010186</v>
      </c>
      <c r="B5517" t="s">
        <v>6177</v>
      </c>
      <c r="C5517" t="s">
        <v>121</v>
      </c>
      <c r="D5517" s="21" t="s">
        <v>34</v>
      </c>
      <c r="E5517" s="21" t="s">
        <v>71</v>
      </c>
      <c r="F5517">
        <v>7600069</v>
      </c>
      <c r="G5517" t="s">
        <v>195</v>
      </c>
      <c r="H5517" s="21">
        <v>1169.17</v>
      </c>
    </row>
    <row r="5518" spans="1:8" customFormat="1" x14ac:dyDescent="0.25">
      <c r="A5518" t="str">
        <f>"453474"</f>
        <v>453474</v>
      </c>
      <c r="B5518" t="s">
        <v>6725</v>
      </c>
      <c r="C5518" t="s">
        <v>415</v>
      </c>
      <c r="D5518" s="21" t="s">
        <v>34</v>
      </c>
      <c r="E5518" s="21" t="s">
        <v>71</v>
      </c>
      <c r="F5518">
        <v>4450184</v>
      </c>
      <c r="G5518" t="s">
        <v>3956</v>
      </c>
      <c r="H5518" s="21">
        <v>1169.17</v>
      </c>
    </row>
    <row r="5519" spans="1:8" customFormat="1" x14ac:dyDescent="0.25">
      <c r="A5519" t="str">
        <f>"5929649"</f>
        <v>5929649</v>
      </c>
      <c r="B5519" t="s">
        <v>2521</v>
      </c>
      <c r="C5519" t="s">
        <v>253</v>
      </c>
      <c r="D5519" s="21" t="s">
        <v>34</v>
      </c>
      <c r="E5519" s="21" t="s">
        <v>71</v>
      </c>
      <c r="F5519">
        <v>7590023</v>
      </c>
      <c r="G5519" t="s">
        <v>7058</v>
      </c>
      <c r="H5519" s="21">
        <v>1169.17</v>
      </c>
    </row>
    <row r="5520" spans="1:8" customFormat="1" x14ac:dyDescent="0.25">
      <c r="A5520" t="str">
        <f>"7628144"</f>
        <v>7628144</v>
      </c>
      <c r="B5520" t="s">
        <v>5247</v>
      </c>
      <c r="C5520" t="s">
        <v>130</v>
      </c>
      <c r="D5520" s="21" t="s">
        <v>34</v>
      </c>
      <c r="E5520" s="21" t="s">
        <v>71</v>
      </c>
      <c r="F5520">
        <v>9760382</v>
      </c>
      <c r="G5520" t="s">
        <v>2737</v>
      </c>
      <c r="H5520" s="21">
        <v>1169.17</v>
      </c>
    </row>
    <row r="5521" spans="1:8" customFormat="1" x14ac:dyDescent="0.25">
      <c r="A5521" t="str">
        <f>"38414"</f>
        <v>38414</v>
      </c>
      <c r="B5521" t="s">
        <v>5747</v>
      </c>
      <c r="C5521" t="s">
        <v>109</v>
      </c>
      <c r="D5521" s="21" t="s">
        <v>34</v>
      </c>
      <c r="E5521" s="21" t="s">
        <v>35</v>
      </c>
      <c r="F5521">
        <v>1260015</v>
      </c>
      <c r="G5521" t="s">
        <v>4712</v>
      </c>
      <c r="H5521" s="21">
        <v>1169.17</v>
      </c>
    </row>
    <row r="5522" spans="1:8" customFormat="1" x14ac:dyDescent="0.25">
      <c r="A5522" t="str">
        <f>"322403"</f>
        <v>322403</v>
      </c>
      <c r="B5522" t="s">
        <v>5721</v>
      </c>
      <c r="C5522" t="s">
        <v>285</v>
      </c>
      <c r="D5522" s="21" t="s">
        <v>34</v>
      </c>
      <c r="E5522" s="21" t="s">
        <v>35</v>
      </c>
      <c r="F5522">
        <v>11320032</v>
      </c>
      <c r="G5522" t="s">
        <v>5722</v>
      </c>
      <c r="H5522" s="21">
        <v>1169.17</v>
      </c>
    </row>
    <row r="5523" spans="1:8" customFormat="1" x14ac:dyDescent="0.25">
      <c r="A5523" t="str">
        <f>"545763"</f>
        <v>545763</v>
      </c>
      <c r="B5523" t="s">
        <v>6411</v>
      </c>
      <c r="C5523" t="s">
        <v>6412</v>
      </c>
      <c r="D5523" s="21" t="s">
        <v>34</v>
      </c>
      <c r="E5523" s="21" t="s">
        <v>71</v>
      </c>
      <c r="F5523">
        <v>6540019</v>
      </c>
      <c r="G5523" t="s">
        <v>6413</v>
      </c>
      <c r="H5523" s="21">
        <v>1169.17</v>
      </c>
    </row>
    <row r="5524" spans="1:8" customFormat="1" x14ac:dyDescent="0.25">
      <c r="A5524" t="str">
        <f>"6222635"</f>
        <v>6222635</v>
      </c>
      <c r="B5524" t="s">
        <v>6958</v>
      </c>
      <c r="C5524" t="s">
        <v>98</v>
      </c>
      <c r="D5524" s="21" t="s">
        <v>34</v>
      </c>
      <c r="E5524" s="21" t="s">
        <v>35</v>
      </c>
      <c r="F5524">
        <v>7620147</v>
      </c>
      <c r="G5524" t="s">
        <v>4455</v>
      </c>
      <c r="H5524" s="21">
        <v>1169.17</v>
      </c>
    </row>
    <row r="5525" spans="1:8" customFormat="1" x14ac:dyDescent="0.25">
      <c r="A5525" t="str">
        <f>"3816410"</f>
        <v>3816410</v>
      </c>
      <c r="B5525" t="s">
        <v>6141</v>
      </c>
      <c r="C5525" t="s">
        <v>156</v>
      </c>
      <c r="D5525" s="21" t="s">
        <v>34</v>
      </c>
      <c r="E5525" s="21" t="s">
        <v>71</v>
      </c>
      <c r="F5525">
        <v>11340067</v>
      </c>
      <c r="G5525" t="s">
        <v>2895</v>
      </c>
      <c r="H5525" s="21">
        <v>1169.17</v>
      </c>
    </row>
    <row r="5526" spans="1:8" customFormat="1" x14ac:dyDescent="0.25">
      <c r="A5526" t="str">
        <f>"458147"</f>
        <v>458147</v>
      </c>
      <c r="B5526" t="s">
        <v>5952</v>
      </c>
      <c r="C5526" t="s">
        <v>415</v>
      </c>
      <c r="D5526" s="21" t="s">
        <v>34</v>
      </c>
      <c r="E5526" s="21" t="s">
        <v>71</v>
      </c>
      <c r="F5526">
        <v>4450026</v>
      </c>
      <c r="G5526" t="s">
        <v>291</v>
      </c>
      <c r="H5526" s="21">
        <v>1168.92</v>
      </c>
    </row>
    <row r="5527" spans="1:8" customFormat="1" x14ac:dyDescent="0.25">
      <c r="A5527" t="str">
        <f>"324078"</f>
        <v>324078</v>
      </c>
      <c r="B5527" t="s">
        <v>26899</v>
      </c>
      <c r="C5527" t="s">
        <v>127</v>
      </c>
      <c r="D5527" s="21" t="s">
        <v>34</v>
      </c>
      <c r="E5527" s="21" t="s">
        <v>35</v>
      </c>
      <c r="F5527">
        <v>11320039</v>
      </c>
      <c r="G5527" t="s">
        <v>14674</v>
      </c>
      <c r="H5527" s="21">
        <v>1168.8</v>
      </c>
    </row>
    <row r="5528" spans="1:8" customFormat="1" x14ac:dyDescent="0.25">
      <c r="A5528" t="str">
        <f>"7846534"</f>
        <v>7846534</v>
      </c>
      <c r="B5528" t="s">
        <v>1892</v>
      </c>
      <c r="C5528" t="s">
        <v>33</v>
      </c>
      <c r="D5528" s="21" t="s">
        <v>34</v>
      </c>
      <c r="E5528" s="21" t="s">
        <v>35</v>
      </c>
      <c r="F5528">
        <v>8781462</v>
      </c>
      <c r="G5528" t="s">
        <v>5796</v>
      </c>
      <c r="H5528" s="21">
        <v>1168.69</v>
      </c>
    </row>
    <row r="5529" spans="1:8" customFormat="1" x14ac:dyDescent="0.25">
      <c r="A5529" t="str">
        <f>"414612"</f>
        <v>414612</v>
      </c>
      <c r="B5529" t="s">
        <v>3894</v>
      </c>
      <c r="C5529" t="s">
        <v>40</v>
      </c>
      <c r="D5529" s="21" t="s">
        <v>34</v>
      </c>
      <c r="E5529" s="21" t="s">
        <v>71</v>
      </c>
      <c r="F5529">
        <v>4410080</v>
      </c>
      <c r="G5529" t="s">
        <v>135</v>
      </c>
      <c r="H5529" s="21">
        <v>1168.67</v>
      </c>
    </row>
    <row r="5530" spans="1:8" customFormat="1" x14ac:dyDescent="0.25">
      <c r="A5530" t="str">
        <f>"9125602"</f>
        <v>9125602</v>
      </c>
      <c r="B5530" t="s">
        <v>1098</v>
      </c>
      <c r="C5530" t="s">
        <v>988</v>
      </c>
      <c r="D5530" s="21" t="s">
        <v>34</v>
      </c>
      <c r="E5530" s="21" t="s">
        <v>35</v>
      </c>
      <c r="F5530">
        <v>8911161</v>
      </c>
      <c r="G5530" t="s">
        <v>599</v>
      </c>
      <c r="H5530" s="21">
        <v>1168.67</v>
      </c>
    </row>
    <row r="5531" spans="1:8" customFormat="1" x14ac:dyDescent="0.25">
      <c r="A5531" t="str">
        <f>"5611879"</f>
        <v>5611879</v>
      </c>
      <c r="B5531" t="s">
        <v>5575</v>
      </c>
      <c r="C5531" t="s">
        <v>3355</v>
      </c>
      <c r="D5531" s="21" t="s">
        <v>34</v>
      </c>
      <c r="E5531" s="21" t="s">
        <v>71</v>
      </c>
      <c r="F5531">
        <v>3350016</v>
      </c>
      <c r="G5531" t="s">
        <v>133</v>
      </c>
      <c r="H5531" s="21">
        <v>1168.67</v>
      </c>
    </row>
    <row r="5532" spans="1:8" customFormat="1" x14ac:dyDescent="0.25">
      <c r="A5532" t="str">
        <f>"757805"</f>
        <v>757805</v>
      </c>
      <c r="B5532" t="s">
        <v>7967</v>
      </c>
      <c r="C5532" t="s">
        <v>576</v>
      </c>
      <c r="D5532" s="21" t="s">
        <v>34</v>
      </c>
      <c r="E5532" s="21" t="s">
        <v>35</v>
      </c>
      <c r="F5532">
        <v>8940482</v>
      </c>
      <c r="G5532" t="s">
        <v>2560</v>
      </c>
      <c r="H5532" s="21">
        <v>1168.67</v>
      </c>
    </row>
    <row r="5533" spans="1:8" customFormat="1" x14ac:dyDescent="0.25">
      <c r="A5533" t="str">
        <f>"5015856"</f>
        <v>5015856</v>
      </c>
      <c r="B5533" t="s">
        <v>4652</v>
      </c>
      <c r="C5533" t="s">
        <v>139</v>
      </c>
      <c r="D5533" s="21" t="s">
        <v>34</v>
      </c>
      <c r="E5533" s="21" t="s">
        <v>35</v>
      </c>
      <c r="F5533">
        <v>9500122</v>
      </c>
      <c r="G5533" t="s">
        <v>6164</v>
      </c>
      <c r="H5533" s="21">
        <v>1168.67</v>
      </c>
    </row>
    <row r="5534" spans="1:8" customFormat="1" x14ac:dyDescent="0.25">
      <c r="A5534" t="str">
        <f>"2930216"</f>
        <v>2930216</v>
      </c>
      <c r="B5534" t="s">
        <v>5562</v>
      </c>
      <c r="C5534" t="s">
        <v>608</v>
      </c>
      <c r="D5534" s="21" t="s">
        <v>34</v>
      </c>
      <c r="E5534" s="21" t="s">
        <v>35</v>
      </c>
      <c r="F5534">
        <v>3290285</v>
      </c>
      <c r="G5534" t="s">
        <v>2234</v>
      </c>
      <c r="H5534" s="21">
        <v>1168.67</v>
      </c>
    </row>
    <row r="5535" spans="1:8" customFormat="1" x14ac:dyDescent="0.25">
      <c r="A5535" t="str">
        <f>"7616321"</f>
        <v>7616321</v>
      </c>
      <c r="B5535" t="s">
        <v>5082</v>
      </c>
      <c r="C5535" t="s">
        <v>263</v>
      </c>
      <c r="D5535" s="21" t="s">
        <v>34</v>
      </c>
      <c r="E5535" s="21" t="s">
        <v>254</v>
      </c>
      <c r="F5535">
        <v>9760382</v>
      </c>
      <c r="G5535" t="s">
        <v>2737</v>
      </c>
      <c r="H5535" s="21">
        <v>1168.67</v>
      </c>
    </row>
    <row r="5536" spans="1:8" customFormat="1" x14ac:dyDescent="0.25">
      <c r="A5536" t="str">
        <f>"3516126"</f>
        <v>3516126</v>
      </c>
      <c r="B5536" t="s">
        <v>6120</v>
      </c>
      <c r="C5536" t="s">
        <v>1665</v>
      </c>
      <c r="D5536" s="21" t="s">
        <v>34</v>
      </c>
      <c r="E5536" s="21" t="s">
        <v>71</v>
      </c>
      <c r="F5536">
        <v>12720104</v>
      </c>
      <c r="G5536" t="s">
        <v>224</v>
      </c>
      <c r="H5536" s="21">
        <v>1168.67</v>
      </c>
    </row>
    <row r="5537" spans="1:8" customFormat="1" x14ac:dyDescent="0.25">
      <c r="A5537" t="str">
        <f>"513125"</f>
        <v>513125</v>
      </c>
      <c r="B5537" t="s">
        <v>431</v>
      </c>
      <c r="C5537" t="s">
        <v>2904</v>
      </c>
      <c r="D5537" s="21" t="s">
        <v>34</v>
      </c>
      <c r="E5537" s="21" t="s">
        <v>254</v>
      </c>
      <c r="F5537">
        <v>6510107</v>
      </c>
      <c r="G5537" t="s">
        <v>1392</v>
      </c>
      <c r="H5537" s="21">
        <v>1168.67</v>
      </c>
    </row>
    <row r="5538" spans="1:8" customFormat="1" x14ac:dyDescent="0.25">
      <c r="A5538" t="str">
        <f>"615640"</f>
        <v>615640</v>
      </c>
      <c r="B5538" t="s">
        <v>5416</v>
      </c>
      <c r="C5538" t="s">
        <v>415</v>
      </c>
      <c r="D5538" s="21" t="s">
        <v>34</v>
      </c>
      <c r="E5538" s="21" t="s">
        <v>71</v>
      </c>
      <c r="F5538">
        <v>9610127</v>
      </c>
      <c r="G5538" t="s">
        <v>6830</v>
      </c>
      <c r="H5538" s="21">
        <v>1168.67</v>
      </c>
    </row>
    <row r="5539" spans="1:8" customFormat="1" x14ac:dyDescent="0.25">
      <c r="A5539" t="str">
        <f>"5613227"</f>
        <v>5613227</v>
      </c>
      <c r="B5539" t="s">
        <v>6651</v>
      </c>
      <c r="C5539" t="s">
        <v>1559</v>
      </c>
      <c r="D5539" s="21" t="s">
        <v>34</v>
      </c>
      <c r="E5539" s="21" t="s">
        <v>35</v>
      </c>
      <c r="F5539">
        <v>3560096</v>
      </c>
      <c r="G5539" t="s">
        <v>2771</v>
      </c>
      <c r="H5539" s="21">
        <v>1168.67</v>
      </c>
    </row>
    <row r="5540" spans="1:8" customFormat="1" x14ac:dyDescent="0.25">
      <c r="A5540" t="str">
        <f>"364083"</f>
        <v>364083</v>
      </c>
      <c r="B5540" t="s">
        <v>5435</v>
      </c>
      <c r="C5540" t="s">
        <v>40</v>
      </c>
      <c r="D5540" s="21" t="s">
        <v>34</v>
      </c>
      <c r="E5540" s="21" t="s">
        <v>71</v>
      </c>
      <c r="F5540">
        <v>4360123</v>
      </c>
      <c r="G5540" t="s">
        <v>4121</v>
      </c>
      <c r="H5540" s="21">
        <v>1168.55</v>
      </c>
    </row>
    <row r="5541" spans="1:8" customFormat="1" x14ac:dyDescent="0.25">
      <c r="A5541" t="str">
        <f>"6715238"</f>
        <v>6715238</v>
      </c>
      <c r="B5541" t="s">
        <v>638</v>
      </c>
      <c r="C5541" t="s">
        <v>60</v>
      </c>
      <c r="D5541" s="21" t="s">
        <v>34</v>
      </c>
      <c r="E5541" s="21" t="s">
        <v>35</v>
      </c>
      <c r="F5541">
        <v>4410017</v>
      </c>
      <c r="G5541" t="s">
        <v>2363</v>
      </c>
      <c r="H5541" s="21">
        <v>1168.5</v>
      </c>
    </row>
    <row r="5542" spans="1:8" customFormat="1" x14ac:dyDescent="0.25">
      <c r="A5542" t="str">
        <f>"279837"</f>
        <v>279837</v>
      </c>
      <c r="B5542" t="s">
        <v>6548</v>
      </c>
      <c r="C5542" t="s">
        <v>109</v>
      </c>
      <c r="D5542" s="21" t="s">
        <v>34</v>
      </c>
      <c r="E5542" s="21" t="s">
        <v>35</v>
      </c>
      <c r="F5542">
        <v>4370656</v>
      </c>
      <c r="G5542" t="s">
        <v>1127</v>
      </c>
      <c r="H5542" s="21">
        <v>1168.17</v>
      </c>
    </row>
    <row r="5543" spans="1:8" customFormat="1" x14ac:dyDescent="0.25">
      <c r="A5543" t="str">
        <f>"5722792"</f>
        <v>5722792</v>
      </c>
      <c r="B5543" t="s">
        <v>6827</v>
      </c>
      <c r="C5543" t="s">
        <v>486</v>
      </c>
      <c r="D5543" s="21" t="s">
        <v>34</v>
      </c>
      <c r="E5543" s="21" t="s">
        <v>35</v>
      </c>
      <c r="F5543">
        <v>6570019</v>
      </c>
      <c r="G5543" t="s">
        <v>1510</v>
      </c>
      <c r="H5543" s="21">
        <v>1168.17</v>
      </c>
    </row>
    <row r="5544" spans="1:8" customFormat="1" x14ac:dyDescent="0.25">
      <c r="A5544" t="str">
        <f>"861473"</f>
        <v>861473</v>
      </c>
      <c r="B5544" t="s">
        <v>6222</v>
      </c>
      <c r="C5544" t="s">
        <v>484</v>
      </c>
      <c r="D5544" s="21" t="s">
        <v>34</v>
      </c>
      <c r="E5544" s="21" t="s">
        <v>35</v>
      </c>
      <c r="F5544">
        <v>10860006</v>
      </c>
      <c r="G5544" t="s">
        <v>3004</v>
      </c>
      <c r="H5544" s="21">
        <v>1168.17</v>
      </c>
    </row>
    <row r="5545" spans="1:8" customFormat="1" x14ac:dyDescent="0.25">
      <c r="A5545" t="str">
        <f>"288862"</f>
        <v>288862</v>
      </c>
      <c r="B5545" t="s">
        <v>6687</v>
      </c>
      <c r="C5545" t="s">
        <v>1914</v>
      </c>
      <c r="D5545" s="21" t="s">
        <v>34</v>
      </c>
      <c r="E5545" s="21" t="s">
        <v>71</v>
      </c>
      <c r="F5545">
        <v>4280121</v>
      </c>
      <c r="G5545" t="s">
        <v>4565</v>
      </c>
      <c r="H5545" s="21">
        <v>1168.05</v>
      </c>
    </row>
    <row r="5546" spans="1:8" customFormat="1" x14ac:dyDescent="0.25">
      <c r="A5546" t="str">
        <f>"37818"</f>
        <v>37818</v>
      </c>
      <c r="B5546" t="s">
        <v>6139</v>
      </c>
      <c r="C5546" t="s">
        <v>415</v>
      </c>
      <c r="D5546" s="21" t="s">
        <v>34</v>
      </c>
      <c r="E5546" s="21" t="s">
        <v>254</v>
      </c>
      <c r="F5546">
        <v>4370183</v>
      </c>
      <c r="G5546" t="s">
        <v>231</v>
      </c>
      <c r="H5546" s="21">
        <v>1167.92</v>
      </c>
    </row>
    <row r="5547" spans="1:8" customFormat="1" x14ac:dyDescent="0.25">
      <c r="A5547" t="str">
        <f>"7624474"</f>
        <v>7624474</v>
      </c>
      <c r="B5547" t="s">
        <v>392</v>
      </c>
      <c r="C5547" t="s">
        <v>305</v>
      </c>
      <c r="D5547" s="21" t="s">
        <v>34</v>
      </c>
      <c r="E5547" s="21" t="s">
        <v>35</v>
      </c>
      <c r="F5547">
        <v>1690013</v>
      </c>
      <c r="G5547" t="s">
        <v>26900</v>
      </c>
      <c r="H5547" s="21">
        <v>1167.67</v>
      </c>
    </row>
    <row r="5548" spans="1:8" customFormat="1" x14ac:dyDescent="0.25">
      <c r="A5548" t="str">
        <f>"787307"</f>
        <v>787307</v>
      </c>
      <c r="B5548" t="s">
        <v>5736</v>
      </c>
      <c r="C5548" t="s">
        <v>453</v>
      </c>
      <c r="D5548" s="21" t="s">
        <v>34</v>
      </c>
      <c r="E5548" s="21" t="s">
        <v>254</v>
      </c>
      <c r="F5548">
        <v>8780568</v>
      </c>
      <c r="G5548" t="s">
        <v>5279</v>
      </c>
      <c r="H5548" s="21">
        <v>1167.67</v>
      </c>
    </row>
    <row r="5549" spans="1:8" customFormat="1" x14ac:dyDescent="0.25">
      <c r="A5549" t="str">
        <f>"4438961"</f>
        <v>4438961</v>
      </c>
      <c r="B5549" t="s">
        <v>6445</v>
      </c>
      <c r="C5549" t="s">
        <v>147</v>
      </c>
      <c r="D5549" s="21" t="s">
        <v>34</v>
      </c>
      <c r="E5549" s="21" t="s">
        <v>35</v>
      </c>
      <c r="F5549">
        <v>12440259</v>
      </c>
      <c r="G5549" t="s">
        <v>833</v>
      </c>
      <c r="H5549" s="21">
        <v>1167.67</v>
      </c>
    </row>
    <row r="5550" spans="1:8" customFormat="1" x14ac:dyDescent="0.25">
      <c r="A5550" t="str">
        <f>"9515679"</f>
        <v>9515679</v>
      </c>
      <c r="B5550" t="s">
        <v>7895</v>
      </c>
      <c r="C5550" t="s">
        <v>60</v>
      </c>
      <c r="D5550" s="21" t="s">
        <v>34</v>
      </c>
      <c r="E5550" s="21" t="s">
        <v>35</v>
      </c>
      <c r="F5550">
        <v>12720027</v>
      </c>
      <c r="G5550" t="s">
        <v>3562</v>
      </c>
      <c r="H5550" s="21">
        <v>1167.67</v>
      </c>
    </row>
    <row r="5551" spans="1:8" customFormat="1" x14ac:dyDescent="0.25">
      <c r="A5551" t="str">
        <f>"4427739"</f>
        <v>4427739</v>
      </c>
      <c r="B5551" t="s">
        <v>5501</v>
      </c>
      <c r="C5551" t="s">
        <v>169</v>
      </c>
      <c r="D5551" s="21" t="s">
        <v>34</v>
      </c>
      <c r="E5551" s="21" t="s">
        <v>35</v>
      </c>
      <c r="F5551">
        <v>12440048</v>
      </c>
      <c r="G5551" t="s">
        <v>2090</v>
      </c>
      <c r="H5551" s="21">
        <v>1167.67</v>
      </c>
    </row>
    <row r="5552" spans="1:8" customFormat="1" x14ac:dyDescent="0.25">
      <c r="A5552" t="str">
        <f>"7220425"</f>
        <v>7220425</v>
      </c>
      <c r="B5552" t="s">
        <v>8946</v>
      </c>
      <c r="C5552" t="s">
        <v>119</v>
      </c>
      <c r="D5552" s="21" t="s">
        <v>34</v>
      </c>
      <c r="E5552" s="21" t="s">
        <v>35</v>
      </c>
      <c r="F5552">
        <v>12720045</v>
      </c>
      <c r="G5552" t="s">
        <v>2484</v>
      </c>
      <c r="H5552" s="21">
        <v>1167.67</v>
      </c>
    </row>
    <row r="5553" spans="1:8" customFormat="1" x14ac:dyDescent="0.25">
      <c r="A5553" t="str">
        <f>"573733"</f>
        <v>573733</v>
      </c>
      <c r="B5553" t="s">
        <v>6851</v>
      </c>
      <c r="C5553" t="s">
        <v>498</v>
      </c>
      <c r="D5553" s="21" t="s">
        <v>34</v>
      </c>
      <c r="E5553" s="21" t="s">
        <v>71</v>
      </c>
      <c r="F5553">
        <v>6570078</v>
      </c>
      <c r="G5553" t="s">
        <v>6852</v>
      </c>
      <c r="H5553" s="21">
        <v>1167.67</v>
      </c>
    </row>
    <row r="5554" spans="1:8" customFormat="1" x14ac:dyDescent="0.25">
      <c r="A5554" t="str">
        <f>"2710453"</f>
        <v>2710453</v>
      </c>
      <c r="B5554" t="s">
        <v>5682</v>
      </c>
      <c r="C5554" t="s">
        <v>43</v>
      </c>
      <c r="D5554" s="21" t="s">
        <v>34</v>
      </c>
      <c r="E5554" s="21" t="s">
        <v>35</v>
      </c>
      <c r="F5554">
        <v>9270162</v>
      </c>
      <c r="G5554" t="s">
        <v>1865</v>
      </c>
      <c r="H5554" s="21">
        <v>1167.55</v>
      </c>
    </row>
    <row r="5555" spans="1:8" customFormat="1" x14ac:dyDescent="0.25">
      <c r="A5555" t="str">
        <f>"592276"</f>
        <v>592276</v>
      </c>
      <c r="B5555" t="s">
        <v>6623</v>
      </c>
      <c r="C5555" t="s">
        <v>412</v>
      </c>
      <c r="D5555" s="21" t="s">
        <v>34</v>
      </c>
      <c r="E5555" s="21" t="s">
        <v>254</v>
      </c>
      <c r="F5555">
        <v>7590112</v>
      </c>
      <c r="G5555" t="s">
        <v>3534</v>
      </c>
      <c r="H5555" s="21">
        <v>1167.42</v>
      </c>
    </row>
    <row r="5556" spans="1:8" customFormat="1" x14ac:dyDescent="0.25">
      <c r="A5556" t="str">
        <f>"7716896"</f>
        <v>7716896</v>
      </c>
      <c r="B5556" t="s">
        <v>5769</v>
      </c>
      <c r="C5556" t="s">
        <v>43</v>
      </c>
      <c r="D5556" s="21" t="s">
        <v>34</v>
      </c>
      <c r="E5556" s="21" t="s">
        <v>35</v>
      </c>
      <c r="F5556">
        <v>8770169</v>
      </c>
      <c r="G5556" t="s">
        <v>1001</v>
      </c>
      <c r="H5556" s="21">
        <v>1167.42</v>
      </c>
    </row>
    <row r="5557" spans="1:8" customFormat="1" x14ac:dyDescent="0.25">
      <c r="A5557" t="str">
        <f>"07895"</f>
        <v>07895</v>
      </c>
      <c r="B5557" t="s">
        <v>6155</v>
      </c>
      <c r="C5557" t="s">
        <v>114</v>
      </c>
      <c r="D5557" s="21" t="s">
        <v>34</v>
      </c>
      <c r="E5557" s="21" t="s">
        <v>35</v>
      </c>
      <c r="F5557">
        <v>1260062</v>
      </c>
      <c r="G5557" t="s">
        <v>6156</v>
      </c>
      <c r="H5557" s="21">
        <v>1167.17</v>
      </c>
    </row>
    <row r="5558" spans="1:8" customFormat="1" x14ac:dyDescent="0.25">
      <c r="A5558" t="str">
        <f>"524398"</f>
        <v>524398</v>
      </c>
      <c r="B5558" t="s">
        <v>7317</v>
      </c>
      <c r="C5558" t="s">
        <v>65</v>
      </c>
      <c r="D5558" s="21" t="s">
        <v>34</v>
      </c>
      <c r="E5558" s="21" t="s">
        <v>35</v>
      </c>
      <c r="F5558">
        <v>6520001</v>
      </c>
      <c r="G5558" t="s">
        <v>7318</v>
      </c>
      <c r="H5558" s="21">
        <v>1167.17</v>
      </c>
    </row>
    <row r="5559" spans="1:8" customFormat="1" x14ac:dyDescent="0.25">
      <c r="A5559" t="str">
        <f>"7710566"</f>
        <v>7710566</v>
      </c>
      <c r="B5559" t="s">
        <v>7374</v>
      </c>
      <c r="C5559" t="s">
        <v>263</v>
      </c>
      <c r="D5559" s="21" t="s">
        <v>34</v>
      </c>
      <c r="E5559" s="21" t="s">
        <v>254</v>
      </c>
      <c r="F5559">
        <v>8771154</v>
      </c>
      <c r="G5559" t="s">
        <v>3625</v>
      </c>
      <c r="H5559" s="21">
        <v>1167.17</v>
      </c>
    </row>
    <row r="5560" spans="1:8" customFormat="1" x14ac:dyDescent="0.25">
      <c r="A5560" t="str">
        <f>"498719"</f>
        <v>498719</v>
      </c>
      <c r="B5560" t="s">
        <v>6746</v>
      </c>
      <c r="C5560" t="s">
        <v>87</v>
      </c>
      <c r="D5560" s="21" t="s">
        <v>34</v>
      </c>
      <c r="E5560" s="21" t="s">
        <v>71</v>
      </c>
      <c r="F5560">
        <v>12490127</v>
      </c>
      <c r="G5560" t="s">
        <v>4034</v>
      </c>
      <c r="H5560" s="21">
        <v>1167.17</v>
      </c>
    </row>
    <row r="5561" spans="1:8" customFormat="1" x14ac:dyDescent="0.25">
      <c r="A5561" t="str">
        <f>"5415160"</f>
        <v>5415160</v>
      </c>
      <c r="B5561" t="s">
        <v>6416</v>
      </c>
      <c r="C5561" t="s">
        <v>139</v>
      </c>
      <c r="D5561" s="21" t="s">
        <v>34</v>
      </c>
      <c r="E5561" s="21" t="s">
        <v>35</v>
      </c>
      <c r="F5561">
        <v>13830015</v>
      </c>
      <c r="G5561" t="s">
        <v>4011</v>
      </c>
      <c r="H5561" s="21">
        <v>1167.05</v>
      </c>
    </row>
    <row r="5562" spans="1:8" customFormat="1" x14ac:dyDescent="0.25">
      <c r="A5562" t="str">
        <f>"5013347"</f>
        <v>5013347</v>
      </c>
      <c r="B5562" t="s">
        <v>6668</v>
      </c>
      <c r="C5562" t="s">
        <v>209</v>
      </c>
      <c r="D5562" s="21" t="s">
        <v>34</v>
      </c>
      <c r="E5562" s="21" t="s">
        <v>71</v>
      </c>
      <c r="F5562">
        <v>9500063</v>
      </c>
      <c r="G5562" t="s">
        <v>4114</v>
      </c>
      <c r="H5562" s="21">
        <v>1167.05</v>
      </c>
    </row>
    <row r="5563" spans="1:8" customFormat="1" x14ac:dyDescent="0.25">
      <c r="A5563" t="str">
        <f>"3341079"</f>
        <v>3341079</v>
      </c>
      <c r="B5563" t="s">
        <v>5477</v>
      </c>
      <c r="C5563" t="s">
        <v>124</v>
      </c>
      <c r="D5563" s="21" t="s">
        <v>34</v>
      </c>
      <c r="E5563" s="21" t="s">
        <v>71</v>
      </c>
      <c r="F5563">
        <v>10330002</v>
      </c>
      <c r="G5563" t="s">
        <v>53</v>
      </c>
      <c r="H5563" s="21">
        <v>1166.93</v>
      </c>
    </row>
    <row r="5564" spans="1:8" customFormat="1" x14ac:dyDescent="0.25">
      <c r="A5564" t="str">
        <f>"7211454"</f>
        <v>7211454</v>
      </c>
      <c r="B5564" t="s">
        <v>6701</v>
      </c>
      <c r="C5564" t="s">
        <v>33</v>
      </c>
      <c r="D5564" s="21" t="s">
        <v>34</v>
      </c>
      <c r="E5564" s="21" t="s">
        <v>35</v>
      </c>
      <c r="F5564">
        <v>12720078</v>
      </c>
      <c r="G5564" t="s">
        <v>5085</v>
      </c>
      <c r="H5564" s="21">
        <v>1166.92</v>
      </c>
    </row>
    <row r="5565" spans="1:8" customFormat="1" x14ac:dyDescent="0.25">
      <c r="A5565" t="str">
        <f>"06165"</f>
        <v>06165</v>
      </c>
      <c r="B5565" t="s">
        <v>26901</v>
      </c>
      <c r="C5565" t="s">
        <v>269</v>
      </c>
      <c r="D5565" s="21" t="s">
        <v>34</v>
      </c>
      <c r="E5565" s="21" t="s">
        <v>1089</v>
      </c>
      <c r="F5565">
        <v>13060008</v>
      </c>
      <c r="G5565" t="s">
        <v>36</v>
      </c>
      <c r="H5565" s="21">
        <v>1166.67</v>
      </c>
    </row>
    <row r="5566" spans="1:8" customFormat="1" x14ac:dyDescent="0.25">
      <c r="A5566" t="str">
        <f>"336434"</f>
        <v>336434</v>
      </c>
      <c r="B5566" t="s">
        <v>7230</v>
      </c>
      <c r="C5566" t="s">
        <v>3456</v>
      </c>
      <c r="D5566" s="21" t="s">
        <v>34</v>
      </c>
      <c r="E5566" s="21" t="s">
        <v>35</v>
      </c>
      <c r="F5566">
        <v>10330031</v>
      </c>
      <c r="G5566" t="s">
        <v>2452</v>
      </c>
      <c r="H5566" s="21">
        <v>1166.67</v>
      </c>
    </row>
    <row r="5567" spans="1:8" customFormat="1" x14ac:dyDescent="0.25">
      <c r="A5567" t="str">
        <f>"507400"</f>
        <v>507400</v>
      </c>
      <c r="B5567" t="s">
        <v>6485</v>
      </c>
      <c r="C5567" t="s">
        <v>6486</v>
      </c>
      <c r="D5567" s="21" t="s">
        <v>34</v>
      </c>
      <c r="E5567" s="21" t="s">
        <v>71</v>
      </c>
      <c r="F5567">
        <v>9500112</v>
      </c>
      <c r="G5567" t="s">
        <v>1668</v>
      </c>
      <c r="H5567" s="21">
        <v>1166.67</v>
      </c>
    </row>
    <row r="5568" spans="1:8" customFormat="1" x14ac:dyDescent="0.25">
      <c r="A5568" t="str">
        <f>"635768"</f>
        <v>635768</v>
      </c>
      <c r="B5568" t="s">
        <v>26902</v>
      </c>
      <c r="C5568" t="s">
        <v>249</v>
      </c>
      <c r="D5568" s="21" t="s">
        <v>34</v>
      </c>
      <c r="E5568" s="21" t="s">
        <v>71</v>
      </c>
      <c r="F5568">
        <v>1630078</v>
      </c>
      <c r="G5568" t="s">
        <v>326</v>
      </c>
      <c r="H5568" s="21">
        <v>1166.67</v>
      </c>
    </row>
    <row r="5569" spans="1:8" customFormat="1" x14ac:dyDescent="0.25">
      <c r="A5569" t="str">
        <f>"558307"</f>
        <v>558307</v>
      </c>
      <c r="B5569" t="s">
        <v>7209</v>
      </c>
      <c r="C5569" t="s">
        <v>169</v>
      </c>
      <c r="D5569" s="21" t="s">
        <v>34</v>
      </c>
      <c r="E5569" s="21" t="s">
        <v>35</v>
      </c>
      <c r="F5569">
        <v>6540184</v>
      </c>
      <c r="G5569" t="s">
        <v>4395</v>
      </c>
      <c r="H5569" s="21">
        <v>1166.42</v>
      </c>
    </row>
    <row r="5570" spans="1:8" customFormat="1" x14ac:dyDescent="0.25">
      <c r="A5570" t="str">
        <f>"393621"</f>
        <v>393621</v>
      </c>
      <c r="B5570" t="s">
        <v>6326</v>
      </c>
      <c r="C5570" t="s">
        <v>209</v>
      </c>
      <c r="D5570" s="21" t="s">
        <v>34</v>
      </c>
      <c r="E5570" s="21" t="s">
        <v>71</v>
      </c>
      <c r="F5570">
        <v>2390089</v>
      </c>
      <c r="G5570" t="s">
        <v>5194</v>
      </c>
      <c r="H5570" s="21">
        <v>1166.3</v>
      </c>
    </row>
    <row r="5571" spans="1:8" customFormat="1" x14ac:dyDescent="0.25">
      <c r="A5571" t="str">
        <f>"50975"</f>
        <v>50975</v>
      </c>
      <c r="B5571" t="s">
        <v>623</v>
      </c>
      <c r="C5571" t="s">
        <v>379</v>
      </c>
      <c r="D5571" s="21" t="s">
        <v>34</v>
      </c>
      <c r="E5571" s="21" t="s">
        <v>71</v>
      </c>
      <c r="F5571">
        <v>9500048</v>
      </c>
      <c r="G5571" t="s">
        <v>1804</v>
      </c>
      <c r="H5571" s="21">
        <v>1166.17</v>
      </c>
    </row>
    <row r="5572" spans="1:8" customFormat="1" x14ac:dyDescent="0.25">
      <c r="A5572" t="str">
        <f>"4917941"</f>
        <v>4917941</v>
      </c>
      <c r="B5572" t="s">
        <v>6417</v>
      </c>
      <c r="C5572" t="s">
        <v>428</v>
      </c>
      <c r="D5572" s="21" t="s">
        <v>34</v>
      </c>
      <c r="E5572" s="21" t="s">
        <v>35</v>
      </c>
      <c r="F5572">
        <v>12490120</v>
      </c>
      <c r="G5572" t="s">
        <v>2316</v>
      </c>
      <c r="H5572" s="21">
        <v>1166.17</v>
      </c>
    </row>
    <row r="5573" spans="1:8" customFormat="1" x14ac:dyDescent="0.25">
      <c r="A5573" t="str">
        <f>"843216"</f>
        <v>843216</v>
      </c>
      <c r="B5573" t="s">
        <v>6807</v>
      </c>
      <c r="C5573" t="s">
        <v>1812</v>
      </c>
      <c r="D5573" s="21" t="s">
        <v>34</v>
      </c>
      <c r="E5573" s="21" t="s">
        <v>71</v>
      </c>
      <c r="F5573">
        <v>13840012</v>
      </c>
      <c r="G5573" t="s">
        <v>5143</v>
      </c>
      <c r="H5573" s="21">
        <v>1165.92</v>
      </c>
    </row>
    <row r="5574" spans="1:8" customFormat="1" x14ac:dyDescent="0.25">
      <c r="A5574" t="str">
        <f>"9428651"</f>
        <v>9428651</v>
      </c>
      <c r="B5574" t="s">
        <v>6609</v>
      </c>
      <c r="C5574" t="s">
        <v>486</v>
      </c>
      <c r="D5574" s="21" t="s">
        <v>34</v>
      </c>
      <c r="E5574" s="21" t="s">
        <v>35</v>
      </c>
      <c r="F5574">
        <v>8940894</v>
      </c>
      <c r="G5574" t="s">
        <v>481</v>
      </c>
      <c r="H5574" s="21">
        <v>1165.81</v>
      </c>
    </row>
    <row r="5575" spans="1:8" customFormat="1" x14ac:dyDescent="0.25">
      <c r="A5575" t="str">
        <f>"514244"</f>
        <v>514244</v>
      </c>
      <c r="B5575" t="s">
        <v>4999</v>
      </c>
      <c r="C5575" t="s">
        <v>124</v>
      </c>
      <c r="D5575" s="21" t="s">
        <v>34</v>
      </c>
      <c r="E5575" s="21" t="s">
        <v>254</v>
      </c>
      <c r="F5575">
        <v>1740038</v>
      </c>
      <c r="G5575" t="s">
        <v>26517</v>
      </c>
      <c r="H5575" s="21">
        <v>1165.8</v>
      </c>
    </row>
    <row r="5576" spans="1:8" customFormat="1" x14ac:dyDescent="0.25">
      <c r="A5576" t="str">
        <f>"022434"</f>
        <v>022434</v>
      </c>
      <c r="B5576" t="s">
        <v>6540</v>
      </c>
      <c r="C5576" t="s">
        <v>90</v>
      </c>
      <c r="D5576" s="21" t="s">
        <v>34</v>
      </c>
      <c r="E5576" s="21" t="s">
        <v>35</v>
      </c>
      <c r="F5576">
        <v>7800088</v>
      </c>
      <c r="G5576" t="s">
        <v>1899</v>
      </c>
      <c r="H5576" s="21">
        <v>1165.67</v>
      </c>
    </row>
    <row r="5577" spans="1:8" customFormat="1" x14ac:dyDescent="0.25">
      <c r="A5577" t="str">
        <f>"5919484"</f>
        <v>5919484</v>
      </c>
      <c r="B5577" t="s">
        <v>6223</v>
      </c>
      <c r="C5577" t="s">
        <v>55</v>
      </c>
      <c r="D5577" s="21" t="s">
        <v>34</v>
      </c>
      <c r="E5577" s="21" t="s">
        <v>71</v>
      </c>
      <c r="F5577">
        <v>7590156</v>
      </c>
      <c r="G5577" t="s">
        <v>6224</v>
      </c>
      <c r="H5577" s="21">
        <v>1165.67</v>
      </c>
    </row>
    <row r="5578" spans="1:8" customFormat="1" x14ac:dyDescent="0.25">
      <c r="A5578" t="str">
        <f>"422343"</f>
        <v>422343</v>
      </c>
      <c r="B5578" t="s">
        <v>13184</v>
      </c>
      <c r="C5578" t="s">
        <v>209</v>
      </c>
      <c r="D5578" s="21" t="s">
        <v>34</v>
      </c>
      <c r="E5578" s="21" t="s">
        <v>71</v>
      </c>
      <c r="F5578">
        <v>1420152</v>
      </c>
      <c r="G5578" t="s">
        <v>2948</v>
      </c>
      <c r="H5578" s="21">
        <v>1165.67</v>
      </c>
    </row>
    <row r="5579" spans="1:8" customFormat="1" x14ac:dyDescent="0.25">
      <c r="A5579" t="str">
        <f>"67318"</f>
        <v>67318</v>
      </c>
      <c r="B5579" t="s">
        <v>5492</v>
      </c>
      <c r="C5579" t="s">
        <v>415</v>
      </c>
      <c r="D5579" s="21" t="s">
        <v>34</v>
      </c>
      <c r="E5579" s="21" t="s">
        <v>71</v>
      </c>
      <c r="F5579">
        <v>6670011</v>
      </c>
      <c r="G5579" t="s">
        <v>5493</v>
      </c>
      <c r="H5579" s="21">
        <v>1165.67</v>
      </c>
    </row>
    <row r="5580" spans="1:8" customFormat="1" x14ac:dyDescent="0.25">
      <c r="A5580" t="str">
        <f>"1420792"</f>
        <v>1420792</v>
      </c>
      <c r="B5580" t="s">
        <v>6649</v>
      </c>
      <c r="C5580" t="s">
        <v>412</v>
      </c>
      <c r="D5580" s="21" t="s">
        <v>34</v>
      </c>
      <c r="E5580" s="21" t="s">
        <v>1089</v>
      </c>
      <c r="F5580">
        <v>9610002</v>
      </c>
      <c r="G5580" t="s">
        <v>75</v>
      </c>
      <c r="H5580" s="21">
        <v>1165.67</v>
      </c>
    </row>
    <row r="5581" spans="1:8" customFormat="1" x14ac:dyDescent="0.25">
      <c r="A5581" t="str">
        <f>"7514255"</f>
        <v>7514255</v>
      </c>
      <c r="B5581" t="s">
        <v>6099</v>
      </c>
      <c r="C5581" t="s">
        <v>55</v>
      </c>
      <c r="D5581" s="21" t="s">
        <v>34</v>
      </c>
      <c r="E5581" s="21" t="s">
        <v>71</v>
      </c>
      <c r="F5581">
        <v>8750074</v>
      </c>
      <c r="G5581" t="s">
        <v>698</v>
      </c>
      <c r="H5581" s="21">
        <v>1165.67</v>
      </c>
    </row>
    <row r="5582" spans="1:8" customFormat="1" x14ac:dyDescent="0.25">
      <c r="A5582" t="str">
        <f>"33239"</f>
        <v>33239</v>
      </c>
      <c r="B5582" t="s">
        <v>6561</v>
      </c>
      <c r="C5582" t="s">
        <v>1588</v>
      </c>
      <c r="D5582" s="21" t="s">
        <v>34</v>
      </c>
      <c r="E5582" s="21" t="s">
        <v>71</v>
      </c>
      <c r="F5582">
        <v>10330004</v>
      </c>
      <c r="G5582" t="s">
        <v>525</v>
      </c>
      <c r="H5582" s="21">
        <v>1165.67</v>
      </c>
    </row>
    <row r="5583" spans="1:8" customFormat="1" x14ac:dyDescent="0.25">
      <c r="A5583" t="str">
        <f>"3111438"</f>
        <v>3111438</v>
      </c>
      <c r="B5583" t="s">
        <v>6405</v>
      </c>
      <c r="C5583" t="s">
        <v>171</v>
      </c>
      <c r="D5583" s="21" t="s">
        <v>34</v>
      </c>
      <c r="E5583" s="21" t="s">
        <v>35</v>
      </c>
      <c r="F5583">
        <v>11310121</v>
      </c>
      <c r="G5583" t="s">
        <v>578</v>
      </c>
      <c r="H5583" s="21">
        <v>1165.67</v>
      </c>
    </row>
    <row r="5584" spans="1:8" customFormat="1" x14ac:dyDescent="0.25">
      <c r="A5584" t="str">
        <f>"5936381"</f>
        <v>5936381</v>
      </c>
      <c r="B5584" t="s">
        <v>6772</v>
      </c>
      <c r="C5584" t="s">
        <v>60</v>
      </c>
      <c r="D5584" s="21" t="s">
        <v>34</v>
      </c>
      <c r="E5584" s="21" t="s">
        <v>71</v>
      </c>
      <c r="F5584">
        <v>7620185</v>
      </c>
      <c r="G5584" t="s">
        <v>1561</v>
      </c>
      <c r="H5584" s="21">
        <v>1165.67</v>
      </c>
    </row>
    <row r="5585" spans="1:8" customFormat="1" x14ac:dyDescent="0.25">
      <c r="A5585" t="str">
        <f>"4426053"</f>
        <v>4426053</v>
      </c>
      <c r="B5585" t="s">
        <v>5800</v>
      </c>
      <c r="C5585" t="s">
        <v>1220</v>
      </c>
      <c r="D5585" s="21" t="s">
        <v>34</v>
      </c>
      <c r="E5585" s="21" t="s">
        <v>71</v>
      </c>
      <c r="F5585">
        <v>12440002</v>
      </c>
      <c r="G5585" t="s">
        <v>47</v>
      </c>
      <c r="H5585" s="21">
        <v>1165.67</v>
      </c>
    </row>
    <row r="5586" spans="1:8" customFormat="1" x14ac:dyDescent="0.25">
      <c r="A5586" t="str">
        <f>"535409"</f>
        <v>535409</v>
      </c>
      <c r="B5586" t="s">
        <v>5878</v>
      </c>
      <c r="C5586" t="s">
        <v>33</v>
      </c>
      <c r="D5586" s="21" t="s">
        <v>34</v>
      </c>
      <c r="E5586" s="21" t="s">
        <v>35</v>
      </c>
      <c r="F5586">
        <v>12530023</v>
      </c>
      <c r="G5586" t="s">
        <v>5879</v>
      </c>
      <c r="H5586" s="21">
        <v>1165.67</v>
      </c>
    </row>
    <row r="5587" spans="1:8" customFormat="1" x14ac:dyDescent="0.25">
      <c r="A5587" t="str">
        <f>"697663"</f>
        <v>697663</v>
      </c>
      <c r="B5587" t="s">
        <v>2082</v>
      </c>
      <c r="C5587" t="s">
        <v>6553</v>
      </c>
      <c r="D5587" s="21" t="s">
        <v>34</v>
      </c>
      <c r="E5587" s="21" t="s">
        <v>35</v>
      </c>
      <c r="F5587">
        <v>1690029</v>
      </c>
      <c r="G5587" t="s">
        <v>6554</v>
      </c>
      <c r="H5587" s="21">
        <v>1165.17</v>
      </c>
    </row>
    <row r="5588" spans="1:8" customFormat="1" x14ac:dyDescent="0.25">
      <c r="A5588" t="str">
        <f>"4430810"</f>
        <v>4430810</v>
      </c>
      <c r="B5588" t="s">
        <v>2738</v>
      </c>
      <c r="C5588" t="s">
        <v>462</v>
      </c>
      <c r="D5588" s="21" t="s">
        <v>34</v>
      </c>
      <c r="E5588" s="21" t="s">
        <v>71</v>
      </c>
      <c r="F5588">
        <v>12440136</v>
      </c>
      <c r="G5588" t="s">
        <v>3271</v>
      </c>
      <c r="H5588" s="21">
        <v>1165.17</v>
      </c>
    </row>
    <row r="5589" spans="1:8" customFormat="1" x14ac:dyDescent="0.25">
      <c r="A5589" t="str">
        <f>"843127"</f>
        <v>843127</v>
      </c>
      <c r="B5589" t="s">
        <v>5892</v>
      </c>
      <c r="C5589" t="s">
        <v>926</v>
      </c>
      <c r="D5589" s="21" t="s">
        <v>34</v>
      </c>
      <c r="E5589" s="21" t="s">
        <v>71</v>
      </c>
      <c r="F5589">
        <v>13840028</v>
      </c>
      <c r="G5589" t="s">
        <v>4139</v>
      </c>
      <c r="H5589" s="21">
        <v>1165.17</v>
      </c>
    </row>
    <row r="5590" spans="1:8" customFormat="1" x14ac:dyDescent="0.25">
      <c r="A5590" t="str">
        <f>"9412773"</f>
        <v>9412773</v>
      </c>
      <c r="B5590" t="s">
        <v>6068</v>
      </c>
      <c r="C5590" t="s">
        <v>65</v>
      </c>
      <c r="D5590" s="21" t="s">
        <v>34</v>
      </c>
      <c r="E5590" s="21" t="s">
        <v>35</v>
      </c>
      <c r="F5590">
        <v>8941282</v>
      </c>
      <c r="G5590" t="s">
        <v>5040</v>
      </c>
      <c r="H5590" s="21">
        <v>1165.17</v>
      </c>
    </row>
    <row r="5591" spans="1:8" customFormat="1" x14ac:dyDescent="0.25">
      <c r="A5591" t="str">
        <f>"4843"</f>
        <v>4843</v>
      </c>
      <c r="B5591" t="s">
        <v>6580</v>
      </c>
      <c r="C5591" t="s">
        <v>40</v>
      </c>
      <c r="D5591" s="21" t="s">
        <v>34</v>
      </c>
      <c r="E5591" s="21" t="s">
        <v>35</v>
      </c>
      <c r="F5591">
        <v>11480027</v>
      </c>
      <c r="G5591" t="s">
        <v>2950</v>
      </c>
      <c r="H5591" s="21">
        <v>1165.17</v>
      </c>
    </row>
    <row r="5592" spans="1:8" customFormat="1" x14ac:dyDescent="0.25">
      <c r="A5592" t="str">
        <f>"5946635"</f>
        <v>5946635</v>
      </c>
      <c r="B5592" t="s">
        <v>7847</v>
      </c>
      <c r="C5592" t="s">
        <v>302</v>
      </c>
      <c r="D5592" s="21" t="s">
        <v>34</v>
      </c>
      <c r="E5592" s="21" t="s">
        <v>35</v>
      </c>
      <c r="F5592">
        <v>7590040</v>
      </c>
      <c r="G5592" t="s">
        <v>104</v>
      </c>
      <c r="H5592" s="21">
        <v>1165.17</v>
      </c>
    </row>
    <row r="5593" spans="1:8" customFormat="1" x14ac:dyDescent="0.25">
      <c r="A5593" t="str">
        <f>"258102"</f>
        <v>258102</v>
      </c>
      <c r="B5593" t="s">
        <v>3664</v>
      </c>
      <c r="C5593" t="s">
        <v>2305</v>
      </c>
      <c r="D5593" s="21" t="s">
        <v>34</v>
      </c>
      <c r="E5593" s="21" t="s">
        <v>35</v>
      </c>
      <c r="F5593">
        <v>2700005</v>
      </c>
      <c r="G5593" t="s">
        <v>5290</v>
      </c>
      <c r="H5593" s="21">
        <v>1165.17</v>
      </c>
    </row>
    <row r="5594" spans="1:8" customFormat="1" x14ac:dyDescent="0.25">
      <c r="A5594" t="str">
        <f>"2212637"</f>
        <v>2212637</v>
      </c>
      <c r="B5594" t="s">
        <v>8145</v>
      </c>
      <c r="C5594" t="s">
        <v>812</v>
      </c>
      <c r="D5594" s="21" t="s">
        <v>34</v>
      </c>
      <c r="E5594" s="21" t="s">
        <v>35</v>
      </c>
      <c r="F5594">
        <v>3220047</v>
      </c>
      <c r="G5594" t="s">
        <v>131</v>
      </c>
      <c r="H5594" s="21">
        <v>1165.17</v>
      </c>
    </row>
    <row r="5595" spans="1:8" customFormat="1" x14ac:dyDescent="0.25">
      <c r="A5595" t="str">
        <f>"7731648"</f>
        <v>7731648</v>
      </c>
      <c r="B5595" t="s">
        <v>446</v>
      </c>
      <c r="C5595" t="s">
        <v>171</v>
      </c>
      <c r="D5595" s="21" t="s">
        <v>34</v>
      </c>
      <c r="E5595" s="21" t="s">
        <v>35</v>
      </c>
      <c r="F5595">
        <v>8770499</v>
      </c>
      <c r="G5595" t="s">
        <v>447</v>
      </c>
      <c r="H5595" s="21">
        <v>1165.17</v>
      </c>
    </row>
    <row r="5596" spans="1:8" customFormat="1" x14ac:dyDescent="0.25">
      <c r="A5596" t="str">
        <f>"7911775"</f>
        <v>7911775</v>
      </c>
      <c r="B5596" t="s">
        <v>5352</v>
      </c>
      <c r="C5596" t="s">
        <v>169</v>
      </c>
      <c r="D5596" s="21" t="s">
        <v>34</v>
      </c>
      <c r="E5596" s="21" t="s">
        <v>71</v>
      </c>
      <c r="F5596">
        <v>10790043</v>
      </c>
      <c r="G5596" t="s">
        <v>2828</v>
      </c>
      <c r="H5596" s="21">
        <v>1165.17</v>
      </c>
    </row>
    <row r="5597" spans="1:8" customFormat="1" x14ac:dyDescent="0.25">
      <c r="A5597" t="str">
        <f>"5967424"</f>
        <v>5967424</v>
      </c>
      <c r="B5597" t="s">
        <v>7413</v>
      </c>
      <c r="C5597" t="s">
        <v>33</v>
      </c>
      <c r="D5597" s="21" t="s">
        <v>34</v>
      </c>
      <c r="E5597" s="21" t="s">
        <v>35</v>
      </c>
      <c r="F5597">
        <v>7590014</v>
      </c>
      <c r="G5597" t="s">
        <v>1326</v>
      </c>
      <c r="H5597" s="21">
        <v>1165.04</v>
      </c>
    </row>
    <row r="5598" spans="1:8" customFormat="1" x14ac:dyDescent="0.25">
      <c r="A5598" t="str">
        <f>"75148"</f>
        <v>75148</v>
      </c>
      <c r="B5598" t="s">
        <v>8259</v>
      </c>
      <c r="C5598" t="s">
        <v>209</v>
      </c>
      <c r="D5598" s="21" t="s">
        <v>34</v>
      </c>
      <c r="E5598" s="21" t="s">
        <v>254</v>
      </c>
      <c r="F5598">
        <v>8750007</v>
      </c>
      <c r="G5598" t="s">
        <v>775</v>
      </c>
      <c r="H5598" s="21">
        <v>1164.93</v>
      </c>
    </row>
    <row r="5599" spans="1:8" customFormat="1" x14ac:dyDescent="0.25">
      <c r="A5599" t="str">
        <f>"1714575"</f>
        <v>1714575</v>
      </c>
      <c r="B5599" t="s">
        <v>7056</v>
      </c>
      <c r="C5599" t="s">
        <v>3456</v>
      </c>
      <c r="D5599" s="21" t="s">
        <v>34</v>
      </c>
      <c r="E5599" s="21" t="s">
        <v>35</v>
      </c>
      <c r="F5599">
        <v>10170223</v>
      </c>
      <c r="G5599" t="s">
        <v>7057</v>
      </c>
      <c r="H5599" s="21">
        <v>1164.92</v>
      </c>
    </row>
    <row r="5600" spans="1:8" customFormat="1" x14ac:dyDescent="0.25">
      <c r="A5600" t="str">
        <f>"2510930"</f>
        <v>2510930</v>
      </c>
      <c r="B5600" t="s">
        <v>7472</v>
      </c>
      <c r="C5600" t="s">
        <v>60</v>
      </c>
      <c r="D5600" s="21" t="s">
        <v>34</v>
      </c>
      <c r="E5600" s="21" t="s">
        <v>35</v>
      </c>
      <c r="F5600">
        <v>2250138</v>
      </c>
      <c r="G5600" t="s">
        <v>4094</v>
      </c>
      <c r="H5600" s="21">
        <v>1164.67</v>
      </c>
    </row>
    <row r="5601" spans="1:8" customFormat="1" x14ac:dyDescent="0.25">
      <c r="A5601" t="str">
        <f>"4415620"</f>
        <v>4415620</v>
      </c>
      <c r="B5601" t="s">
        <v>6998</v>
      </c>
      <c r="C5601" t="s">
        <v>253</v>
      </c>
      <c r="D5601" s="21" t="s">
        <v>34</v>
      </c>
      <c r="E5601" s="21" t="s">
        <v>71</v>
      </c>
      <c r="F5601">
        <v>12440262</v>
      </c>
      <c r="G5601" t="s">
        <v>4590</v>
      </c>
      <c r="H5601" s="21">
        <v>1164.67</v>
      </c>
    </row>
    <row r="5602" spans="1:8" customFormat="1" x14ac:dyDescent="0.25">
      <c r="A5602" t="str">
        <f>"4526406"</f>
        <v>4526406</v>
      </c>
      <c r="B5602" t="s">
        <v>7046</v>
      </c>
      <c r="C5602" t="s">
        <v>40</v>
      </c>
      <c r="D5602" s="21" t="s">
        <v>34</v>
      </c>
      <c r="E5602" s="21" t="s">
        <v>71</v>
      </c>
      <c r="F5602">
        <v>4450750</v>
      </c>
      <c r="G5602" t="s">
        <v>6572</v>
      </c>
      <c r="H5602" s="21">
        <v>1164.67</v>
      </c>
    </row>
    <row r="5603" spans="1:8" customFormat="1" x14ac:dyDescent="0.25">
      <c r="A5603" t="str">
        <f>"332532"</f>
        <v>332532</v>
      </c>
      <c r="B5603" t="s">
        <v>6935</v>
      </c>
      <c r="C5603" t="s">
        <v>60</v>
      </c>
      <c r="D5603" s="21" t="s">
        <v>34</v>
      </c>
      <c r="E5603" s="21" t="s">
        <v>35</v>
      </c>
      <c r="F5603">
        <v>10330031</v>
      </c>
      <c r="G5603" t="s">
        <v>2452</v>
      </c>
      <c r="H5603" s="21">
        <v>1164.67</v>
      </c>
    </row>
    <row r="5604" spans="1:8" customFormat="1" x14ac:dyDescent="0.25">
      <c r="A5604" t="str">
        <f>"3332122"</f>
        <v>3332122</v>
      </c>
      <c r="B5604" t="s">
        <v>5618</v>
      </c>
      <c r="C5604" t="s">
        <v>2529</v>
      </c>
      <c r="D5604" s="21" t="s">
        <v>34</v>
      </c>
      <c r="E5604" s="21" t="s">
        <v>35</v>
      </c>
      <c r="F5604">
        <v>10330040</v>
      </c>
      <c r="G5604" t="s">
        <v>1492</v>
      </c>
      <c r="H5604" s="21">
        <v>1164.67</v>
      </c>
    </row>
    <row r="5605" spans="1:8" customFormat="1" x14ac:dyDescent="0.25">
      <c r="A5605" t="str">
        <f>"852633"</f>
        <v>852633</v>
      </c>
      <c r="B5605" t="s">
        <v>6106</v>
      </c>
      <c r="C5605" t="s">
        <v>139</v>
      </c>
      <c r="D5605" s="21" t="s">
        <v>34</v>
      </c>
      <c r="E5605" s="21" t="s">
        <v>71</v>
      </c>
      <c r="F5605">
        <v>12851011</v>
      </c>
      <c r="G5605" t="s">
        <v>1445</v>
      </c>
      <c r="H5605" s="21">
        <v>1164.67</v>
      </c>
    </row>
    <row r="5606" spans="1:8" customFormat="1" x14ac:dyDescent="0.25">
      <c r="A5606" t="str">
        <f>"9313171"</f>
        <v>9313171</v>
      </c>
      <c r="B5606" t="s">
        <v>6105</v>
      </c>
      <c r="C5606" t="s">
        <v>139</v>
      </c>
      <c r="D5606" s="21" t="s">
        <v>34</v>
      </c>
      <c r="E5606" s="21" t="s">
        <v>35</v>
      </c>
      <c r="F5606">
        <v>8930113</v>
      </c>
      <c r="G5606" t="s">
        <v>368</v>
      </c>
      <c r="H5606" s="21">
        <v>1164.67</v>
      </c>
    </row>
    <row r="5607" spans="1:8" customFormat="1" x14ac:dyDescent="0.25">
      <c r="A5607" t="str">
        <f>"5016939"</f>
        <v>5016939</v>
      </c>
      <c r="B5607" t="s">
        <v>6874</v>
      </c>
      <c r="C5607" t="s">
        <v>576</v>
      </c>
      <c r="D5607" s="21" t="s">
        <v>34</v>
      </c>
      <c r="E5607" s="21" t="s">
        <v>35</v>
      </c>
      <c r="F5607">
        <v>9500015</v>
      </c>
      <c r="G5607" t="s">
        <v>3389</v>
      </c>
      <c r="H5607" s="21">
        <v>1164.55</v>
      </c>
    </row>
    <row r="5608" spans="1:8" customFormat="1" x14ac:dyDescent="0.25">
      <c r="A5608" t="str">
        <f>"2511884"</f>
        <v>2511884</v>
      </c>
      <c r="B5608" t="s">
        <v>6281</v>
      </c>
      <c r="C5608" t="s">
        <v>60</v>
      </c>
      <c r="D5608" s="21" t="s">
        <v>34</v>
      </c>
      <c r="E5608" s="21" t="s">
        <v>35</v>
      </c>
      <c r="F5608">
        <v>11300010</v>
      </c>
      <c r="G5608" t="s">
        <v>6282</v>
      </c>
      <c r="H5608" s="21">
        <v>1164.42</v>
      </c>
    </row>
    <row r="5609" spans="1:8" customFormat="1" x14ac:dyDescent="0.25">
      <c r="A5609" t="str">
        <f>"775401"</f>
        <v>775401</v>
      </c>
      <c r="B5609" t="s">
        <v>6125</v>
      </c>
      <c r="C5609" t="s">
        <v>60</v>
      </c>
      <c r="D5609" s="21" t="s">
        <v>34</v>
      </c>
      <c r="E5609" s="21" t="s">
        <v>35</v>
      </c>
      <c r="F5609">
        <v>11340067</v>
      </c>
      <c r="G5609" t="s">
        <v>2895</v>
      </c>
      <c r="H5609" s="21">
        <v>1164.17</v>
      </c>
    </row>
    <row r="5610" spans="1:8" customFormat="1" x14ac:dyDescent="0.25">
      <c r="A5610" t="str">
        <f>"5911432"</f>
        <v>5911432</v>
      </c>
      <c r="B5610" t="s">
        <v>6040</v>
      </c>
      <c r="C5610" t="s">
        <v>109</v>
      </c>
      <c r="D5610" s="21" t="s">
        <v>34</v>
      </c>
      <c r="E5610" s="21" t="s">
        <v>35</v>
      </c>
      <c r="F5610">
        <v>7590347</v>
      </c>
      <c r="G5610" t="s">
        <v>6041</v>
      </c>
      <c r="H5610" s="21">
        <v>1164.17</v>
      </c>
    </row>
    <row r="5611" spans="1:8" customFormat="1" x14ac:dyDescent="0.25">
      <c r="A5611" t="str">
        <f>"3340658"</f>
        <v>3340658</v>
      </c>
      <c r="B5611" t="s">
        <v>7480</v>
      </c>
      <c r="C5611" t="s">
        <v>311</v>
      </c>
      <c r="D5611" s="21" t="s">
        <v>34</v>
      </c>
      <c r="E5611" s="21" t="s">
        <v>35</v>
      </c>
      <c r="F5611">
        <v>10330020</v>
      </c>
      <c r="G5611" t="s">
        <v>7481</v>
      </c>
      <c r="H5611" s="21">
        <v>1164.17</v>
      </c>
    </row>
    <row r="5612" spans="1:8" customFormat="1" x14ac:dyDescent="0.25">
      <c r="A5612" t="str">
        <f>"149167"</f>
        <v>149167</v>
      </c>
      <c r="B5612" t="s">
        <v>7169</v>
      </c>
      <c r="C5612" t="s">
        <v>209</v>
      </c>
      <c r="D5612" s="21" t="s">
        <v>34</v>
      </c>
      <c r="E5612" s="21" t="s">
        <v>71</v>
      </c>
      <c r="F5612">
        <v>9140189</v>
      </c>
      <c r="G5612" t="s">
        <v>4200</v>
      </c>
      <c r="H5612" s="21">
        <v>1164.17</v>
      </c>
    </row>
    <row r="5613" spans="1:8" customFormat="1" x14ac:dyDescent="0.25">
      <c r="A5613" t="str">
        <f>"7515864"</f>
        <v>7515864</v>
      </c>
      <c r="B5613" t="s">
        <v>7198</v>
      </c>
      <c r="C5613" t="s">
        <v>209</v>
      </c>
      <c r="D5613" s="21" t="s">
        <v>34</v>
      </c>
      <c r="E5613" s="21" t="s">
        <v>71</v>
      </c>
      <c r="F5613">
        <v>8750141</v>
      </c>
      <c r="G5613" t="s">
        <v>1514</v>
      </c>
      <c r="H5613" s="21">
        <v>1164.06</v>
      </c>
    </row>
    <row r="5614" spans="1:8" customFormat="1" x14ac:dyDescent="0.25">
      <c r="A5614" t="str">
        <f>"661273"</f>
        <v>661273</v>
      </c>
      <c r="B5614" t="s">
        <v>5407</v>
      </c>
      <c r="C5614" t="s">
        <v>96</v>
      </c>
      <c r="D5614" s="21" t="s">
        <v>34</v>
      </c>
      <c r="E5614" s="21" t="s">
        <v>35</v>
      </c>
      <c r="F5614">
        <v>5980003</v>
      </c>
      <c r="G5614" t="s">
        <v>1746</v>
      </c>
      <c r="H5614" s="21">
        <v>1164.05</v>
      </c>
    </row>
    <row r="5615" spans="1:8" customFormat="1" x14ac:dyDescent="0.25">
      <c r="A5615" t="str">
        <f>"7921173"</f>
        <v>7921173</v>
      </c>
      <c r="B5615" t="s">
        <v>697</v>
      </c>
      <c r="C5615" t="s">
        <v>934</v>
      </c>
      <c r="D5615" s="21" t="s">
        <v>34</v>
      </c>
      <c r="E5615" s="21" t="s">
        <v>35</v>
      </c>
      <c r="F5615">
        <v>10790042</v>
      </c>
      <c r="G5615" t="s">
        <v>2092</v>
      </c>
      <c r="H5615" s="21">
        <v>1164.05</v>
      </c>
    </row>
    <row r="5616" spans="1:8" customFormat="1" x14ac:dyDescent="0.25">
      <c r="A5616" t="str">
        <f>"5612977"</f>
        <v>5612977</v>
      </c>
      <c r="B5616" t="s">
        <v>6341</v>
      </c>
      <c r="C5616" t="s">
        <v>2907</v>
      </c>
      <c r="D5616" s="21" t="s">
        <v>34</v>
      </c>
      <c r="E5616" s="21" t="s">
        <v>254</v>
      </c>
      <c r="F5616">
        <v>3560002</v>
      </c>
      <c r="G5616" t="s">
        <v>5437</v>
      </c>
      <c r="H5616" s="21">
        <v>1163.92</v>
      </c>
    </row>
    <row r="5617" spans="1:8" customFormat="1" x14ac:dyDescent="0.25">
      <c r="A5617" t="str">
        <f>"606851"</f>
        <v>606851</v>
      </c>
      <c r="B5617" t="s">
        <v>6214</v>
      </c>
      <c r="C5617" t="s">
        <v>62</v>
      </c>
      <c r="D5617" s="21" t="s">
        <v>34</v>
      </c>
      <c r="E5617" s="21" t="s">
        <v>35</v>
      </c>
      <c r="F5617">
        <v>7600016</v>
      </c>
      <c r="G5617" t="s">
        <v>6215</v>
      </c>
      <c r="H5617" s="21">
        <v>1163.67</v>
      </c>
    </row>
    <row r="5618" spans="1:8" customFormat="1" x14ac:dyDescent="0.25">
      <c r="A5618" t="str">
        <f>"1310435"</f>
        <v>1310435</v>
      </c>
      <c r="B5618" t="s">
        <v>6058</v>
      </c>
      <c r="C5618" t="s">
        <v>87</v>
      </c>
      <c r="D5618" s="21" t="s">
        <v>34</v>
      </c>
      <c r="E5618" s="21" t="s">
        <v>71</v>
      </c>
      <c r="F5618">
        <v>1630261</v>
      </c>
      <c r="G5618" t="s">
        <v>1382</v>
      </c>
      <c r="H5618" s="21">
        <v>1163.67</v>
      </c>
    </row>
    <row r="5619" spans="1:8" customFormat="1" x14ac:dyDescent="0.25">
      <c r="A5619" t="str">
        <f>"4522577"</f>
        <v>4522577</v>
      </c>
      <c r="B5619" t="s">
        <v>2082</v>
      </c>
      <c r="C5619" t="s">
        <v>169</v>
      </c>
      <c r="D5619" s="21" t="s">
        <v>34</v>
      </c>
      <c r="E5619" s="21" t="s">
        <v>35</v>
      </c>
      <c r="F5619">
        <v>4450773</v>
      </c>
      <c r="G5619" t="s">
        <v>26903</v>
      </c>
      <c r="H5619" s="21">
        <v>1163.67</v>
      </c>
    </row>
    <row r="5620" spans="1:8" customFormat="1" x14ac:dyDescent="0.25">
      <c r="A5620" t="str">
        <f>"403037"</f>
        <v>403037</v>
      </c>
      <c r="B5620" t="s">
        <v>4711</v>
      </c>
      <c r="C5620" t="s">
        <v>55</v>
      </c>
      <c r="D5620" s="21" t="s">
        <v>34</v>
      </c>
      <c r="E5620" s="21" t="s">
        <v>35</v>
      </c>
      <c r="F5620">
        <v>10400010</v>
      </c>
      <c r="G5620" t="s">
        <v>2446</v>
      </c>
      <c r="H5620" s="21">
        <v>1163.67</v>
      </c>
    </row>
    <row r="5621" spans="1:8" customFormat="1" x14ac:dyDescent="0.25">
      <c r="A5621" t="str">
        <f>"761290"</f>
        <v>761290</v>
      </c>
      <c r="B5621" t="s">
        <v>6738</v>
      </c>
      <c r="C5621" t="s">
        <v>598</v>
      </c>
      <c r="D5621" s="21" t="s">
        <v>34</v>
      </c>
      <c r="E5621" s="21" t="s">
        <v>254</v>
      </c>
      <c r="F5621">
        <v>9760414</v>
      </c>
      <c r="G5621" t="s">
        <v>142</v>
      </c>
      <c r="H5621" s="21">
        <v>1163.67</v>
      </c>
    </row>
    <row r="5622" spans="1:8" customFormat="1" x14ac:dyDescent="0.25">
      <c r="A5622" t="str">
        <f>"1711730"</f>
        <v>1711730</v>
      </c>
      <c r="B5622" t="s">
        <v>213</v>
      </c>
      <c r="C5622" t="s">
        <v>209</v>
      </c>
      <c r="D5622" s="21" t="s">
        <v>34</v>
      </c>
      <c r="E5622" s="21" t="s">
        <v>71</v>
      </c>
      <c r="F5622">
        <v>10170050</v>
      </c>
      <c r="G5622" t="s">
        <v>2514</v>
      </c>
      <c r="H5622" s="21">
        <v>1163.67</v>
      </c>
    </row>
    <row r="5623" spans="1:8" customFormat="1" x14ac:dyDescent="0.25">
      <c r="A5623" t="str">
        <f>"871730"</f>
        <v>871730</v>
      </c>
      <c r="B5623" t="s">
        <v>5198</v>
      </c>
      <c r="C5623" t="s">
        <v>202</v>
      </c>
      <c r="D5623" s="21" t="s">
        <v>34</v>
      </c>
      <c r="E5623" s="21" t="s">
        <v>71</v>
      </c>
      <c r="F5623">
        <v>10870109</v>
      </c>
      <c r="G5623" t="s">
        <v>5199</v>
      </c>
      <c r="H5623" s="21">
        <v>1163.55</v>
      </c>
    </row>
    <row r="5624" spans="1:8" customFormat="1" x14ac:dyDescent="0.25">
      <c r="A5624" t="str">
        <f>"4431706"</f>
        <v>4431706</v>
      </c>
      <c r="B5624" t="s">
        <v>4024</v>
      </c>
      <c r="C5624" t="s">
        <v>7441</v>
      </c>
      <c r="D5624" s="21" t="s">
        <v>34</v>
      </c>
      <c r="E5624" s="21" t="s">
        <v>35</v>
      </c>
      <c r="F5624">
        <v>12440067</v>
      </c>
      <c r="G5624" t="s">
        <v>1723</v>
      </c>
      <c r="H5624" s="21">
        <v>1163.42</v>
      </c>
    </row>
    <row r="5625" spans="1:8" customFormat="1" x14ac:dyDescent="0.25">
      <c r="A5625" t="str">
        <f>"534128"</f>
        <v>534128</v>
      </c>
      <c r="B5625" t="s">
        <v>1962</v>
      </c>
      <c r="C5625" t="s">
        <v>1812</v>
      </c>
      <c r="D5625" s="21" t="s">
        <v>34</v>
      </c>
      <c r="E5625" s="21" t="s">
        <v>254</v>
      </c>
      <c r="F5625">
        <v>12530064</v>
      </c>
      <c r="G5625" t="s">
        <v>3699</v>
      </c>
      <c r="H5625" s="21">
        <v>1163.29</v>
      </c>
    </row>
    <row r="5626" spans="1:8" customFormat="1" x14ac:dyDescent="0.25">
      <c r="A5626" t="str">
        <f>"502994"</f>
        <v>502994</v>
      </c>
      <c r="B5626" t="s">
        <v>5746</v>
      </c>
      <c r="C5626" t="s">
        <v>781</v>
      </c>
      <c r="D5626" s="21" t="s">
        <v>34</v>
      </c>
      <c r="E5626" s="21" t="s">
        <v>71</v>
      </c>
      <c r="F5626">
        <v>9500093</v>
      </c>
      <c r="G5626" t="s">
        <v>1808</v>
      </c>
      <c r="H5626" s="21">
        <v>1163.17</v>
      </c>
    </row>
    <row r="5627" spans="1:8" customFormat="1" x14ac:dyDescent="0.25">
      <c r="A5627" t="str">
        <f>"592352"</f>
        <v>592352</v>
      </c>
      <c r="B5627" t="s">
        <v>6482</v>
      </c>
      <c r="C5627" t="s">
        <v>149</v>
      </c>
      <c r="D5627" s="21" t="s">
        <v>34</v>
      </c>
      <c r="E5627" s="21" t="s">
        <v>35</v>
      </c>
      <c r="F5627">
        <v>7620104</v>
      </c>
      <c r="G5627" t="s">
        <v>635</v>
      </c>
      <c r="H5627" s="21">
        <v>1163.17</v>
      </c>
    </row>
    <row r="5628" spans="1:8" customFormat="1" x14ac:dyDescent="0.25">
      <c r="A5628" t="str">
        <f>"01341"</f>
        <v>01341</v>
      </c>
      <c r="B5628" t="s">
        <v>6174</v>
      </c>
      <c r="C5628" t="s">
        <v>608</v>
      </c>
      <c r="D5628" s="21" t="s">
        <v>34</v>
      </c>
      <c r="E5628" s="21" t="s">
        <v>35</v>
      </c>
      <c r="F5628">
        <v>2710051</v>
      </c>
      <c r="G5628" t="s">
        <v>4811</v>
      </c>
      <c r="H5628" s="21">
        <v>1163.17</v>
      </c>
    </row>
    <row r="5629" spans="1:8" customFormat="1" x14ac:dyDescent="0.25">
      <c r="A5629" t="str">
        <f>"727433"</f>
        <v>727433</v>
      </c>
      <c r="B5629" t="s">
        <v>6035</v>
      </c>
      <c r="C5629" t="s">
        <v>379</v>
      </c>
      <c r="D5629" s="21" t="s">
        <v>34</v>
      </c>
      <c r="E5629" s="21" t="s">
        <v>35</v>
      </c>
      <c r="F5629">
        <v>12720023</v>
      </c>
      <c r="G5629" t="s">
        <v>1898</v>
      </c>
      <c r="H5629" s="21">
        <v>1163.17</v>
      </c>
    </row>
    <row r="5630" spans="1:8" customFormat="1" x14ac:dyDescent="0.25">
      <c r="A5630" t="str">
        <f>"3714023"</f>
        <v>3714023</v>
      </c>
      <c r="B5630" t="s">
        <v>8127</v>
      </c>
      <c r="C5630" t="s">
        <v>239</v>
      </c>
      <c r="D5630" s="21" t="s">
        <v>34</v>
      </c>
      <c r="E5630" s="21" t="s">
        <v>71</v>
      </c>
      <c r="F5630">
        <v>4370690</v>
      </c>
      <c r="G5630" t="s">
        <v>8128</v>
      </c>
      <c r="H5630" s="21">
        <v>1163.05</v>
      </c>
    </row>
    <row r="5631" spans="1:8" customFormat="1" x14ac:dyDescent="0.25">
      <c r="A5631" t="str">
        <f>"5910836"</f>
        <v>5910836</v>
      </c>
      <c r="B5631" t="s">
        <v>3146</v>
      </c>
      <c r="C5631" t="s">
        <v>87</v>
      </c>
      <c r="D5631" s="21" t="s">
        <v>34</v>
      </c>
      <c r="E5631" s="21" t="s">
        <v>35</v>
      </c>
      <c r="F5631">
        <v>7590014</v>
      </c>
      <c r="G5631" t="s">
        <v>1326</v>
      </c>
      <c r="H5631" s="21">
        <v>1162.8</v>
      </c>
    </row>
    <row r="5632" spans="1:8" customFormat="1" x14ac:dyDescent="0.25">
      <c r="A5632" t="str">
        <f>"755180"</f>
        <v>755180</v>
      </c>
      <c r="B5632" t="s">
        <v>706</v>
      </c>
      <c r="C5632" t="s">
        <v>547</v>
      </c>
      <c r="D5632" s="21" t="s">
        <v>34</v>
      </c>
      <c r="E5632" s="21" t="s">
        <v>254</v>
      </c>
      <c r="F5632">
        <v>8750074</v>
      </c>
      <c r="G5632" t="s">
        <v>698</v>
      </c>
      <c r="H5632" s="21">
        <v>1162.68</v>
      </c>
    </row>
    <row r="5633" spans="1:8" customFormat="1" x14ac:dyDescent="0.25">
      <c r="A5633" t="str">
        <f>"54607"</f>
        <v>54607</v>
      </c>
      <c r="B5633" t="s">
        <v>5668</v>
      </c>
      <c r="C5633" t="s">
        <v>5669</v>
      </c>
      <c r="D5633" s="21" t="s">
        <v>34</v>
      </c>
      <c r="E5633" s="21" t="s">
        <v>254</v>
      </c>
      <c r="F5633">
        <v>6540014</v>
      </c>
      <c r="G5633" t="s">
        <v>1483</v>
      </c>
      <c r="H5633" s="21">
        <v>1162.67</v>
      </c>
    </row>
    <row r="5634" spans="1:8" customFormat="1" x14ac:dyDescent="0.25">
      <c r="A5634" t="str">
        <f>"601079"</f>
        <v>601079</v>
      </c>
      <c r="B5634" t="s">
        <v>5763</v>
      </c>
      <c r="C5634" t="s">
        <v>2479</v>
      </c>
      <c r="D5634" s="21" t="s">
        <v>34</v>
      </c>
      <c r="E5634" s="21" t="s">
        <v>71</v>
      </c>
      <c r="F5634">
        <v>7600024</v>
      </c>
      <c r="G5634" t="s">
        <v>1234</v>
      </c>
      <c r="H5634" s="21">
        <v>1162.67</v>
      </c>
    </row>
    <row r="5635" spans="1:8" customFormat="1" x14ac:dyDescent="0.25">
      <c r="A5635" t="str">
        <f>"419623"</f>
        <v>419623</v>
      </c>
      <c r="B5635" t="s">
        <v>6361</v>
      </c>
      <c r="C5635" t="s">
        <v>87</v>
      </c>
      <c r="D5635" s="21" t="s">
        <v>34</v>
      </c>
      <c r="E5635" s="21" t="s">
        <v>35</v>
      </c>
      <c r="F5635">
        <v>4410467</v>
      </c>
      <c r="G5635" t="s">
        <v>6362</v>
      </c>
      <c r="H5635" s="21">
        <v>1162.67</v>
      </c>
    </row>
    <row r="5636" spans="1:8" customFormat="1" x14ac:dyDescent="0.25">
      <c r="A5636" t="str">
        <f>"948685"</f>
        <v>948685</v>
      </c>
      <c r="B5636" t="s">
        <v>2313</v>
      </c>
      <c r="C5636" t="s">
        <v>4683</v>
      </c>
      <c r="D5636" s="21" t="s">
        <v>34</v>
      </c>
      <c r="E5636" s="21" t="s">
        <v>1089</v>
      </c>
      <c r="F5636">
        <v>8780632</v>
      </c>
      <c r="G5636" t="s">
        <v>1571</v>
      </c>
      <c r="H5636" s="21">
        <v>1162.67</v>
      </c>
    </row>
    <row r="5637" spans="1:8" customFormat="1" x14ac:dyDescent="0.25">
      <c r="A5637" t="str">
        <f>"143733"</f>
        <v>143733</v>
      </c>
      <c r="B5637" t="s">
        <v>26904</v>
      </c>
      <c r="C5637" t="s">
        <v>293</v>
      </c>
      <c r="D5637" s="21" t="s">
        <v>34</v>
      </c>
      <c r="E5637" s="21" t="s">
        <v>35</v>
      </c>
      <c r="F5637">
        <v>9140235</v>
      </c>
      <c r="G5637" t="s">
        <v>165</v>
      </c>
      <c r="H5637" s="21">
        <v>1162.67</v>
      </c>
    </row>
    <row r="5638" spans="1:8" customFormat="1" x14ac:dyDescent="0.25">
      <c r="A5638" t="str">
        <f>"619045"</f>
        <v>619045</v>
      </c>
      <c r="B5638" t="s">
        <v>7196</v>
      </c>
      <c r="C5638" t="s">
        <v>1100</v>
      </c>
      <c r="D5638" s="21" t="s">
        <v>34</v>
      </c>
      <c r="E5638" s="21" t="s">
        <v>35</v>
      </c>
      <c r="F5638">
        <v>9610104</v>
      </c>
      <c r="G5638" t="s">
        <v>7197</v>
      </c>
      <c r="H5638" s="21">
        <v>1162.67</v>
      </c>
    </row>
    <row r="5639" spans="1:8" customFormat="1" x14ac:dyDescent="0.25">
      <c r="A5639" t="str">
        <f>"422578"</f>
        <v>422578</v>
      </c>
      <c r="B5639" t="s">
        <v>208</v>
      </c>
      <c r="C5639" t="s">
        <v>2520</v>
      </c>
      <c r="D5639" s="21" t="s">
        <v>34</v>
      </c>
      <c r="E5639" s="21" t="s">
        <v>254</v>
      </c>
      <c r="F5639">
        <v>1420106</v>
      </c>
      <c r="G5639" t="s">
        <v>6244</v>
      </c>
      <c r="H5639" s="21">
        <v>1162.67</v>
      </c>
    </row>
    <row r="5640" spans="1:8" customFormat="1" x14ac:dyDescent="0.25">
      <c r="A5640" t="str">
        <f>"507965"</f>
        <v>507965</v>
      </c>
      <c r="B5640" t="s">
        <v>4944</v>
      </c>
      <c r="C5640" t="s">
        <v>817</v>
      </c>
      <c r="D5640" s="21" t="s">
        <v>34</v>
      </c>
      <c r="E5640" s="21" t="s">
        <v>71</v>
      </c>
      <c r="F5640">
        <v>9500009</v>
      </c>
      <c r="G5640" t="s">
        <v>2230</v>
      </c>
      <c r="H5640" s="21">
        <v>1162.67</v>
      </c>
    </row>
    <row r="5641" spans="1:8" customFormat="1" x14ac:dyDescent="0.25">
      <c r="A5641" t="str">
        <f>"083988"</f>
        <v>083988</v>
      </c>
      <c r="B5641" t="s">
        <v>7512</v>
      </c>
      <c r="C5641" t="s">
        <v>3522</v>
      </c>
      <c r="D5641" s="21" t="s">
        <v>34</v>
      </c>
      <c r="E5641" s="21" t="s">
        <v>35</v>
      </c>
      <c r="F5641">
        <v>6080072</v>
      </c>
      <c r="G5641" t="s">
        <v>6765</v>
      </c>
      <c r="H5641" s="21">
        <v>1162.67</v>
      </c>
    </row>
    <row r="5642" spans="1:8" customFormat="1" x14ac:dyDescent="0.25">
      <c r="A5642" t="str">
        <f>"09105"</f>
        <v>09105</v>
      </c>
      <c r="B5642" t="s">
        <v>5590</v>
      </c>
      <c r="C5642" t="s">
        <v>285</v>
      </c>
      <c r="D5642" s="21" t="s">
        <v>34</v>
      </c>
      <c r="E5642" s="21" t="s">
        <v>35</v>
      </c>
      <c r="F5642">
        <v>11090019</v>
      </c>
      <c r="G5642" t="s">
        <v>5591</v>
      </c>
      <c r="H5642" s="21">
        <v>1162.67</v>
      </c>
    </row>
    <row r="5643" spans="1:8" customFormat="1" x14ac:dyDescent="0.25">
      <c r="A5643" t="str">
        <f>"6922511"</f>
        <v>6922511</v>
      </c>
      <c r="B5643" t="s">
        <v>7447</v>
      </c>
      <c r="C5643" t="s">
        <v>3256</v>
      </c>
      <c r="D5643" s="21" t="s">
        <v>34</v>
      </c>
      <c r="E5643" s="21" t="s">
        <v>71</v>
      </c>
      <c r="F5643">
        <v>1690141</v>
      </c>
      <c r="G5643" t="s">
        <v>7448</v>
      </c>
      <c r="H5643" s="21">
        <v>1162.67</v>
      </c>
    </row>
    <row r="5644" spans="1:8" customFormat="1" x14ac:dyDescent="0.25">
      <c r="A5644" t="str">
        <f>"764859"</f>
        <v>764859</v>
      </c>
      <c r="B5644" t="s">
        <v>6433</v>
      </c>
      <c r="C5644" t="s">
        <v>3905</v>
      </c>
      <c r="D5644" s="21" t="s">
        <v>34</v>
      </c>
      <c r="E5644" s="21" t="s">
        <v>71</v>
      </c>
      <c r="F5644">
        <v>9760221</v>
      </c>
      <c r="G5644" t="s">
        <v>1306</v>
      </c>
      <c r="H5644" s="21">
        <v>1162.42</v>
      </c>
    </row>
    <row r="5645" spans="1:8" customFormat="1" x14ac:dyDescent="0.25">
      <c r="A5645" t="str">
        <f>"614707"</f>
        <v>614707</v>
      </c>
      <c r="B5645" t="s">
        <v>2711</v>
      </c>
      <c r="C5645" t="s">
        <v>611</v>
      </c>
      <c r="D5645" s="21" t="s">
        <v>34</v>
      </c>
      <c r="E5645" s="21" t="s">
        <v>35</v>
      </c>
      <c r="F5645">
        <v>12720028</v>
      </c>
      <c r="G5645" t="s">
        <v>4381</v>
      </c>
      <c r="H5645" s="21">
        <v>1162.42</v>
      </c>
    </row>
    <row r="5646" spans="1:8" customFormat="1" x14ac:dyDescent="0.25">
      <c r="A5646" t="str">
        <f>"772866"</f>
        <v>772866</v>
      </c>
      <c r="B5646" t="s">
        <v>5029</v>
      </c>
      <c r="C5646" t="s">
        <v>547</v>
      </c>
      <c r="D5646" s="21" t="s">
        <v>34</v>
      </c>
      <c r="E5646" s="21" t="s">
        <v>71</v>
      </c>
      <c r="F5646">
        <v>8770937</v>
      </c>
      <c r="G5646" t="s">
        <v>2119</v>
      </c>
      <c r="H5646" s="21">
        <v>1162.3</v>
      </c>
    </row>
    <row r="5647" spans="1:8" customFormat="1" x14ac:dyDescent="0.25">
      <c r="A5647" t="str">
        <f>"071808"</f>
        <v>071808</v>
      </c>
      <c r="B5647" t="s">
        <v>6530</v>
      </c>
      <c r="C5647" t="s">
        <v>43</v>
      </c>
      <c r="D5647" s="21" t="s">
        <v>34</v>
      </c>
      <c r="E5647" s="21" t="s">
        <v>35</v>
      </c>
      <c r="F5647">
        <v>1260068</v>
      </c>
      <c r="G5647" t="s">
        <v>6531</v>
      </c>
      <c r="H5647" s="21">
        <v>1162.18</v>
      </c>
    </row>
    <row r="5648" spans="1:8" customFormat="1" x14ac:dyDescent="0.25">
      <c r="A5648" t="str">
        <f>"542839"</f>
        <v>542839</v>
      </c>
      <c r="B5648" t="s">
        <v>7442</v>
      </c>
      <c r="C5648" t="s">
        <v>55</v>
      </c>
      <c r="D5648" s="21" t="s">
        <v>34</v>
      </c>
      <c r="E5648" s="21" t="s">
        <v>35</v>
      </c>
      <c r="F5648">
        <v>6540021</v>
      </c>
      <c r="G5648" t="s">
        <v>1815</v>
      </c>
      <c r="H5648" s="21">
        <v>1162.17</v>
      </c>
    </row>
    <row r="5649" spans="1:8" customFormat="1" x14ac:dyDescent="0.25">
      <c r="A5649" t="str">
        <f>"574316"</f>
        <v>574316</v>
      </c>
      <c r="B5649" t="s">
        <v>6494</v>
      </c>
      <c r="C5649" t="s">
        <v>428</v>
      </c>
      <c r="D5649" s="21" t="s">
        <v>34</v>
      </c>
      <c r="E5649" s="21" t="s">
        <v>71</v>
      </c>
      <c r="F5649">
        <v>6570158</v>
      </c>
      <c r="G5649" t="s">
        <v>2391</v>
      </c>
      <c r="H5649" s="21">
        <v>1162.17</v>
      </c>
    </row>
    <row r="5650" spans="1:8" customFormat="1" x14ac:dyDescent="0.25">
      <c r="A5650" t="str">
        <f>"9519811"</f>
        <v>9519811</v>
      </c>
      <c r="B5650" t="s">
        <v>7059</v>
      </c>
      <c r="C5650" t="s">
        <v>1914</v>
      </c>
      <c r="D5650" s="21" t="s">
        <v>34</v>
      </c>
      <c r="E5650" s="21" t="s">
        <v>35</v>
      </c>
      <c r="F5650">
        <v>8951451</v>
      </c>
      <c r="G5650" t="s">
        <v>3909</v>
      </c>
      <c r="H5650" s="21">
        <v>1162.17</v>
      </c>
    </row>
    <row r="5651" spans="1:8" customFormat="1" x14ac:dyDescent="0.25">
      <c r="A5651" t="str">
        <f>"2710679"</f>
        <v>2710679</v>
      </c>
      <c r="B5651" t="s">
        <v>7013</v>
      </c>
      <c r="C5651" t="s">
        <v>951</v>
      </c>
      <c r="D5651" s="21" t="s">
        <v>34</v>
      </c>
      <c r="E5651" s="21" t="s">
        <v>35</v>
      </c>
      <c r="F5651">
        <v>9270087</v>
      </c>
      <c r="G5651" t="s">
        <v>7014</v>
      </c>
      <c r="H5651" s="21">
        <v>1162.17</v>
      </c>
    </row>
    <row r="5652" spans="1:8" customFormat="1" x14ac:dyDescent="0.25">
      <c r="A5652" t="str">
        <f>"3530156"</f>
        <v>3530156</v>
      </c>
      <c r="B5652" t="s">
        <v>7822</v>
      </c>
      <c r="C5652" t="s">
        <v>169</v>
      </c>
      <c r="D5652" s="21" t="s">
        <v>34</v>
      </c>
      <c r="E5652" s="21" t="s">
        <v>71</v>
      </c>
      <c r="F5652">
        <v>3350016</v>
      </c>
      <c r="G5652" t="s">
        <v>133</v>
      </c>
      <c r="H5652" s="21">
        <v>1162.17</v>
      </c>
    </row>
    <row r="5653" spans="1:8" customFormat="1" x14ac:dyDescent="0.25">
      <c r="A5653" t="str">
        <f>"5912524"</f>
        <v>5912524</v>
      </c>
      <c r="B5653" t="s">
        <v>7807</v>
      </c>
      <c r="C5653" t="s">
        <v>156</v>
      </c>
      <c r="D5653" s="21" t="s">
        <v>34</v>
      </c>
      <c r="E5653" s="21" t="s">
        <v>71</v>
      </c>
      <c r="F5653">
        <v>7590113</v>
      </c>
      <c r="G5653" t="s">
        <v>7808</v>
      </c>
      <c r="H5653" s="21">
        <v>1162.17</v>
      </c>
    </row>
    <row r="5654" spans="1:8" customFormat="1" x14ac:dyDescent="0.25">
      <c r="A5654" t="str">
        <f>"7616463"</f>
        <v>7616463</v>
      </c>
      <c r="B5654" t="s">
        <v>3585</v>
      </c>
      <c r="C5654" t="s">
        <v>8546</v>
      </c>
      <c r="D5654" s="21" t="s">
        <v>34</v>
      </c>
      <c r="E5654" s="21" t="s">
        <v>35</v>
      </c>
      <c r="F5654">
        <v>9760461</v>
      </c>
      <c r="G5654" t="s">
        <v>6804</v>
      </c>
      <c r="H5654" s="21">
        <v>1162.17</v>
      </c>
    </row>
    <row r="5655" spans="1:8" customFormat="1" x14ac:dyDescent="0.25">
      <c r="A5655" t="str">
        <f>"4912285"</f>
        <v>4912285</v>
      </c>
      <c r="B5655" t="s">
        <v>5565</v>
      </c>
      <c r="C5655" t="s">
        <v>1468</v>
      </c>
      <c r="D5655" s="21" t="s">
        <v>34</v>
      </c>
      <c r="E5655" s="21" t="s">
        <v>35</v>
      </c>
      <c r="F5655">
        <v>12490069</v>
      </c>
      <c r="G5655" t="s">
        <v>5566</v>
      </c>
      <c r="H5655" s="21">
        <v>1162.17</v>
      </c>
    </row>
    <row r="5656" spans="1:8" customFormat="1" x14ac:dyDescent="0.25">
      <c r="A5656" t="str">
        <f>"768339"</f>
        <v>768339</v>
      </c>
      <c r="B5656" t="s">
        <v>7173</v>
      </c>
      <c r="C5656" t="s">
        <v>269</v>
      </c>
      <c r="D5656" s="21" t="s">
        <v>34</v>
      </c>
      <c r="E5656" s="21" t="s">
        <v>71</v>
      </c>
      <c r="F5656">
        <v>9760157</v>
      </c>
      <c r="G5656" t="s">
        <v>3412</v>
      </c>
      <c r="H5656" s="21">
        <v>1162.05</v>
      </c>
    </row>
    <row r="5657" spans="1:8" customFormat="1" x14ac:dyDescent="0.25">
      <c r="A5657" t="str">
        <f>"025136"</f>
        <v>025136</v>
      </c>
      <c r="B5657" t="s">
        <v>623</v>
      </c>
      <c r="C5657" t="s">
        <v>288</v>
      </c>
      <c r="D5657" s="21" t="s">
        <v>34</v>
      </c>
      <c r="E5657" s="21" t="s">
        <v>35</v>
      </c>
      <c r="F5657">
        <v>7020009</v>
      </c>
      <c r="G5657" t="s">
        <v>3362</v>
      </c>
      <c r="H5657" s="21">
        <v>1162.05</v>
      </c>
    </row>
    <row r="5658" spans="1:8" customFormat="1" x14ac:dyDescent="0.25">
      <c r="A5658" t="str">
        <f>"2916733"</f>
        <v>2916733</v>
      </c>
      <c r="B5658" t="s">
        <v>5689</v>
      </c>
      <c r="C5658" t="s">
        <v>55</v>
      </c>
      <c r="D5658" s="21" t="s">
        <v>34</v>
      </c>
      <c r="E5658" s="21" t="s">
        <v>71</v>
      </c>
      <c r="F5658">
        <v>3290024</v>
      </c>
      <c r="G5658" t="s">
        <v>5690</v>
      </c>
      <c r="H5658" s="21">
        <v>1161.67</v>
      </c>
    </row>
    <row r="5659" spans="1:8" customFormat="1" x14ac:dyDescent="0.25">
      <c r="A5659" t="str">
        <f>"318384"</f>
        <v>318384</v>
      </c>
      <c r="B5659" t="s">
        <v>6408</v>
      </c>
      <c r="C5659" t="s">
        <v>2546</v>
      </c>
      <c r="D5659" s="21" t="s">
        <v>34</v>
      </c>
      <c r="E5659" s="21" t="s">
        <v>35</v>
      </c>
      <c r="F5659">
        <v>11310047</v>
      </c>
      <c r="G5659" t="s">
        <v>2188</v>
      </c>
      <c r="H5659" s="21">
        <v>1161.67</v>
      </c>
    </row>
    <row r="5660" spans="1:8" customFormat="1" x14ac:dyDescent="0.25">
      <c r="A5660" t="str">
        <f>"9520454"</f>
        <v>9520454</v>
      </c>
      <c r="B5660" t="s">
        <v>2317</v>
      </c>
      <c r="C5660" t="s">
        <v>209</v>
      </c>
      <c r="D5660" s="21" t="s">
        <v>34</v>
      </c>
      <c r="E5660" s="21" t="s">
        <v>71</v>
      </c>
      <c r="F5660">
        <v>8951261</v>
      </c>
      <c r="G5660" t="s">
        <v>920</v>
      </c>
      <c r="H5660" s="21">
        <v>1161.67</v>
      </c>
    </row>
    <row r="5661" spans="1:8" customFormat="1" x14ac:dyDescent="0.25">
      <c r="A5661" t="str">
        <f>"776733"</f>
        <v>776733</v>
      </c>
      <c r="B5661" t="s">
        <v>2265</v>
      </c>
      <c r="C5661" t="s">
        <v>719</v>
      </c>
      <c r="D5661" s="21" t="s">
        <v>34</v>
      </c>
      <c r="E5661" s="21" t="s">
        <v>35</v>
      </c>
      <c r="F5661">
        <v>10190146</v>
      </c>
      <c r="G5661" t="s">
        <v>6303</v>
      </c>
      <c r="H5661" s="21">
        <v>1161.67</v>
      </c>
    </row>
    <row r="5662" spans="1:8" customFormat="1" x14ac:dyDescent="0.25">
      <c r="A5662" t="str">
        <f>"212636"</f>
        <v>212636</v>
      </c>
      <c r="B5662" t="s">
        <v>26905</v>
      </c>
      <c r="C5662" t="s">
        <v>598</v>
      </c>
      <c r="D5662" s="21" t="s">
        <v>34</v>
      </c>
      <c r="E5662" s="21" t="s">
        <v>71</v>
      </c>
      <c r="F5662">
        <v>2210059</v>
      </c>
      <c r="G5662" t="s">
        <v>3142</v>
      </c>
      <c r="H5662" s="21">
        <v>1161.67</v>
      </c>
    </row>
    <row r="5663" spans="1:8" customFormat="1" x14ac:dyDescent="0.25">
      <c r="A5663" t="str">
        <f>"4933476"</f>
        <v>4933476</v>
      </c>
      <c r="B5663" t="s">
        <v>9122</v>
      </c>
      <c r="C5663" t="s">
        <v>285</v>
      </c>
      <c r="D5663" s="21" t="s">
        <v>34</v>
      </c>
      <c r="E5663" s="21" t="s">
        <v>35</v>
      </c>
      <c r="F5663">
        <v>12490052</v>
      </c>
      <c r="G5663" t="s">
        <v>2732</v>
      </c>
      <c r="H5663" s="21">
        <v>1161.3</v>
      </c>
    </row>
    <row r="5664" spans="1:8" customFormat="1" x14ac:dyDescent="0.25">
      <c r="A5664" t="str">
        <f>"4430116"</f>
        <v>4430116</v>
      </c>
      <c r="B5664" t="s">
        <v>2138</v>
      </c>
      <c r="C5664" t="s">
        <v>891</v>
      </c>
      <c r="D5664" s="21" t="s">
        <v>34</v>
      </c>
      <c r="E5664" s="21" t="s">
        <v>35</v>
      </c>
      <c r="F5664">
        <v>12440020</v>
      </c>
      <c r="G5664" t="s">
        <v>4606</v>
      </c>
      <c r="H5664" s="21">
        <v>1161.17</v>
      </c>
    </row>
    <row r="5665" spans="1:8" customFormat="1" x14ac:dyDescent="0.25">
      <c r="A5665" t="str">
        <f>"637285"</f>
        <v>637285</v>
      </c>
      <c r="B5665" t="s">
        <v>6315</v>
      </c>
      <c r="C5665" t="s">
        <v>209</v>
      </c>
      <c r="D5665" s="21" t="s">
        <v>34</v>
      </c>
      <c r="E5665" s="21" t="s">
        <v>35</v>
      </c>
      <c r="F5665">
        <v>1630249</v>
      </c>
      <c r="G5665" t="s">
        <v>1237</v>
      </c>
      <c r="H5665" s="21">
        <v>1161.17</v>
      </c>
    </row>
    <row r="5666" spans="1:8" customFormat="1" x14ac:dyDescent="0.25">
      <c r="A5666" t="str">
        <f>"5910358"</f>
        <v>5910358</v>
      </c>
      <c r="B5666" t="s">
        <v>12252</v>
      </c>
      <c r="C5666" t="s">
        <v>33</v>
      </c>
      <c r="D5666" s="21" t="s">
        <v>34</v>
      </c>
      <c r="E5666" s="21" t="s">
        <v>71</v>
      </c>
      <c r="F5666">
        <v>7590087</v>
      </c>
      <c r="G5666" t="s">
        <v>2112</v>
      </c>
      <c r="H5666" s="21">
        <v>1161.17</v>
      </c>
    </row>
    <row r="5667" spans="1:8" customFormat="1" x14ac:dyDescent="0.25">
      <c r="A5667" t="str">
        <f>"0770"</f>
        <v>0770</v>
      </c>
      <c r="B5667" t="s">
        <v>2362</v>
      </c>
      <c r="C5667" t="s">
        <v>4842</v>
      </c>
      <c r="D5667" s="21" t="s">
        <v>34</v>
      </c>
      <c r="E5667" s="21" t="s">
        <v>254</v>
      </c>
      <c r="F5667">
        <v>1260065</v>
      </c>
      <c r="G5667" t="s">
        <v>1958</v>
      </c>
      <c r="H5667" s="21">
        <v>1161.17</v>
      </c>
    </row>
    <row r="5668" spans="1:8" customFormat="1" x14ac:dyDescent="0.25">
      <c r="A5668" t="str">
        <f>"7518026"</f>
        <v>7518026</v>
      </c>
      <c r="B5668" t="s">
        <v>5994</v>
      </c>
      <c r="C5668" t="s">
        <v>82</v>
      </c>
      <c r="D5668" s="21" t="s">
        <v>34</v>
      </c>
      <c r="E5668" s="21" t="s">
        <v>254</v>
      </c>
      <c r="F5668">
        <v>8751163</v>
      </c>
      <c r="G5668" t="s">
        <v>80</v>
      </c>
      <c r="H5668" s="21">
        <v>1161.17</v>
      </c>
    </row>
    <row r="5669" spans="1:8" customFormat="1" x14ac:dyDescent="0.25">
      <c r="A5669" t="str">
        <f>"5928127"</f>
        <v>5928127</v>
      </c>
      <c r="B5669" t="s">
        <v>6622</v>
      </c>
      <c r="C5669" t="s">
        <v>263</v>
      </c>
      <c r="D5669" s="21" t="s">
        <v>34</v>
      </c>
      <c r="E5669" s="21" t="s">
        <v>254</v>
      </c>
      <c r="F5669">
        <v>13830085</v>
      </c>
      <c r="G5669" t="s">
        <v>478</v>
      </c>
      <c r="H5669" s="21">
        <v>1161.17</v>
      </c>
    </row>
    <row r="5670" spans="1:8" customFormat="1" x14ac:dyDescent="0.25">
      <c r="A5670" t="str">
        <f>"843353"</f>
        <v>843353</v>
      </c>
      <c r="B5670" t="s">
        <v>6443</v>
      </c>
      <c r="C5670" t="s">
        <v>484</v>
      </c>
      <c r="D5670" s="21" t="s">
        <v>34</v>
      </c>
      <c r="E5670" s="21" t="s">
        <v>35</v>
      </c>
      <c r="F5670">
        <v>11300012</v>
      </c>
      <c r="G5670" t="s">
        <v>5958</v>
      </c>
      <c r="H5670" s="21">
        <v>1161.17</v>
      </c>
    </row>
    <row r="5671" spans="1:8" customFormat="1" x14ac:dyDescent="0.25">
      <c r="A5671" t="str">
        <f>"628097"</f>
        <v>628097</v>
      </c>
      <c r="B5671" t="s">
        <v>9076</v>
      </c>
      <c r="C5671" t="s">
        <v>62</v>
      </c>
      <c r="D5671" s="21" t="s">
        <v>34</v>
      </c>
      <c r="E5671" s="21" t="s">
        <v>35</v>
      </c>
      <c r="F5671">
        <v>7620028</v>
      </c>
      <c r="G5671" t="s">
        <v>7217</v>
      </c>
      <c r="H5671" s="21">
        <v>1161.17</v>
      </c>
    </row>
    <row r="5672" spans="1:8" customFormat="1" x14ac:dyDescent="0.25">
      <c r="A5672" t="str">
        <f>"7811072"</f>
        <v>7811072</v>
      </c>
      <c r="B5672" t="s">
        <v>5935</v>
      </c>
      <c r="C5672" t="s">
        <v>3648</v>
      </c>
      <c r="D5672" s="21" t="s">
        <v>34</v>
      </c>
      <c r="E5672" s="21" t="s">
        <v>1089</v>
      </c>
      <c r="F5672">
        <v>8780674</v>
      </c>
      <c r="G5672" t="s">
        <v>26585</v>
      </c>
      <c r="H5672" s="21">
        <v>1161.17</v>
      </c>
    </row>
    <row r="5673" spans="1:8" customFormat="1" x14ac:dyDescent="0.25">
      <c r="A5673" t="str">
        <f>"93812"</f>
        <v>93812</v>
      </c>
      <c r="B5673" t="s">
        <v>26906</v>
      </c>
      <c r="C5673" t="s">
        <v>198</v>
      </c>
      <c r="D5673" s="21" t="s">
        <v>34</v>
      </c>
      <c r="E5673" s="21" t="s">
        <v>35</v>
      </c>
      <c r="F5673">
        <v>8910861</v>
      </c>
      <c r="G5673" t="s">
        <v>1120</v>
      </c>
      <c r="H5673" s="21">
        <v>1161.17</v>
      </c>
    </row>
    <row r="5674" spans="1:8" customFormat="1" x14ac:dyDescent="0.25">
      <c r="A5674" t="str">
        <f>"258397"</f>
        <v>258397</v>
      </c>
      <c r="B5674" t="s">
        <v>12583</v>
      </c>
      <c r="C5674" t="s">
        <v>169</v>
      </c>
      <c r="D5674" s="21" t="s">
        <v>34</v>
      </c>
      <c r="E5674" s="21" t="s">
        <v>35</v>
      </c>
      <c r="F5674">
        <v>2250204</v>
      </c>
      <c r="G5674" t="s">
        <v>4400</v>
      </c>
      <c r="H5674" s="21">
        <v>1161.17</v>
      </c>
    </row>
    <row r="5675" spans="1:8" customFormat="1" x14ac:dyDescent="0.25">
      <c r="A5675" t="str">
        <f>"617358"</f>
        <v>617358</v>
      </c>
      <c r="B5675" t="s">
        <v>7025</v>
      </c>
      <c r="C5675" t="s">
        <v>547</v>
      </c>
      <c r="D5675" s="21" t="s">
        <v>34</v>
      </c>
      <c r="E5675" s="21" t="s">
        <v>71</v>
      </c>
      <c r="F5675">
        <v>9500058</v>
      </c>
      <c r="G5675" t="s">
        <v>1585</v>
      </c>
      <c r="H5675" s="21">
        <v>1161.17</v>
      </c>
    </row>
    <row r="5676" spans="1:8" customFormat="1" x14ac:dyDescent="0.25">
      <c r="A5676" t="str">
        <f>"318717"</f>
        <v>318717</v>
      </c>
      <c r="B5676" t="s">
        <v>4054</v>
      </c>
      <c r="C5676" t="s">
        <v>65</v>
      </c>
      <c r="D5676" s="21" t="s">
        <v>34</v>
      </c>
      <c r="E5676" s="21" t="s">
        <v>35</v>
      </c>
      <c r="F5676">
        <v>11650034</v>
      </c>
      <c r="G5676" t="s">
        <v>1989</v>
      </c>
      <c r="H5676" s="21">
        <v>1161.17</v>
      </c>
    </row>
    <row r="5677" spans="1:8" customFormat="1" x14ac:dyDescent="0.25">
      <c r="A5677" t="str">
        <f>"258492"</f>
        <v>258492</v>
      </c>
      <c r="B5677" t="s">
        <v>8446</v>
      </c>
      <c r="C5677" t="s">
        <v>33</v>
      </c>
      <c r="D5677" s="21" t="s">
        <v>34</v>
      </c>
      <c r="E5677" s="21" t="s">
        <v>35</v>
      </c>
      <c r="F5677">
        <v>2250204</v>
      </c>
      <c r="G5677" t="s">
        <v>4400</v>
      </c>
      <c r="H5677" s="21">
        <v>1160.92</v>
      </c>
    </row>
    <row r="5678" spans="1:8" customFormat="1" x14ac:dyDescent="0.25">
      <c r="A5678" t="str">
        <f>"7711319"</f>
        <v>7711319</v>
      </c>
      <c r="B5678" t="s">
        <v>5785</v>
      </c>
      <c r="C5678" t="s">
        <v>249</v>
      </c>
      <c r="D5678" s="21" t="s">
        <v>34</v>
      </c>
      <c r="E5678" s="21" t="s">
        <v>71</v>
      </c>
      <c r="F5678">
        <v>8780627</v>
      </c>
      <c r="G5678" t="s">
        <v>6097</v>
      </c>
      <c r="H5678" s="21">
        <v>1160.67</v>
      </c>
    </row>
    <row r="5679" spans="1:8" customFormat="1" x14ac:dyDescent="0.25">
      <c r="A5679" t="str">
        <f>"574975"</f>
        <v>574975</v>
      </c>
      <c r="B5679" t="s">
        <v>8780</v>
      </c>
      <c r="C5679" t="s">
        <v>121</v>
      </c>
      <c r="D5679" s="21" t="s">
        <v>34</v>
      </c>
      <c r="E5679" s="21" t="s">
        <v>71</v>
      </c>
      <c r="F5679">
        <v>6570014</v>
      </c>
      <c r="G5679" t="s">
        <v>72</v>
      </c>
      <c r="H5679" s="21">
        <v>1160.67</v>
      </c>
    </row>
    <row r="5680" spans="1:8" customFormat="1" x14ac:dyDescent="0.25">
      <c r="A5680" t="str">
        <f>"9227459"</f>
        <v>9227459</v>
      </c>
      <c r="B5680" t="s">
        <v>5671</v>
      </c>
      <c r="C5680" t="s">
        <v>239</v>
      </c>
      <c r="D5680" s="21" t="s">
        <v>34</v>
      </c>
      <c r="E5680" s="21" t="s">
        <v>35</v>
      </c>
      <c r="F5680">
        <v>12720028</v>
      </c>
      <c r="G5680" t="s">
        <v>4381</v>
      </c>
      <c r="H5680" s="21">
        <v>1160.67</v>
      </c>
    </row>
    <row r="5681" spans="1:8" customFormat="1" x14ac:dyDescent="0.25">
      <c r="A5681" t="str">
        <f>"394139"</f>
        <v>394139</v>
      </c>
      <c r="B5681" t="s">
        <v>5755</v>
      </c>
      <c r="C5681" t="s">
        <v>1299</v>
      </c>
      <c r="D5681" s="21" t="s">
        <v>34</v>
      </c>
      <c r="E5681" s="21" t="s">
        <v>35</v>
      </c>
      <c r="F5681">
        <v>2900003</v>
      </c>
      <c r="G5681" t="s">
        <v>1742</v>
      </c>
      <c r="H5681" s="21">
        <v>1160.67</v>
      </c>
    </row>
    <row r="5682" spans="1:8" customFormat="1" x14ac:dyDescent="0.25">
      <c r="A5682" t="str">
        <f>"444709"</f>
        <v>444709</v>
      </c>
      <c r="B5682" t="s">
        <v>6240</v>
      </c>
      <c r="C5682" t="s">
        <v>204</v>
      </c>
      <c r="D5682" s="21" t="s">
        <v>34</v>
      </c>
      <c r="E5682" s="21" t="s">
        <v>35</v>
      </c>
      <c r="F5682">
        <v>12440056</v>
      </c>
      <c r="G5682" t="s">
        <v>2037</v>
      </c>
      <c r="H5682" s="21">
        <v>1160.67</v>
      </c>
    </row>
    <row r="5683" spans="1:8" customFormat="1" x14ac:dyDescent="0.25">
      <c r="A5683" t="str">
        <f>"022844"</f>
        <v>022844</v>
      </c>
      <c r="B5683" t="s">
        <v>6702</v>
      </c>
      <c r="C5683" t="s">
        <v>462</v>
      </c>
      <c r="D5683" s="21" t="s">
        <v>34</v>
      </c>
      <c r="E5683" s="21" t="s">
        <v>71</v>
      </c>
      <c r="F5683">
        <v>7020001</v>
      </c>
      <c r="G5683" t="s">
        <v>3854</v>
      </c>
      <c r="H5683" s="21">
        <v>1160.67</v>
      </c>
    </row>
    <row r="5684" spans="1:8" customFormat="1" x14ac:dyDescent="0.25">
      <c r="A5684" t="str">
        <f>"7510652"</f>
        <v>7510652</v>
      </c>
      <c r="B5684" t="s">
        <v>7168</v>
      </c>
      <c r="C5684" t="s">
        <v>87</v>
      </c>
      <c r="D5684" s="21" t="s">
        <v>34</v>
      </c>
      <c r="E5684" s="21" t="s">
        <v>35</v>
      </c>
      <c r="F5684">
        <v>9140174</v>
      </c>
      <c r="G5684" t="s">
        <v>26738</v>
      </c>
      <c r="H5684" s="21">
        <v>1160.67</v>
      </c>
    </row>
    <row r="5685" spans="1:8" customFormat="1" x14ac:dyDescent="0.25">
      <c r="A5685" t="str">
        <f>"9217315"</f>
        <v>9217315</v>
      </c>
      <c r="B5685" t="s">
        <v>6468</v>
      </c>
      <c r="C5685" t="s">
        <v>2365</v>
      </c>
      <c r="D5685" s="21" t="s">
        <v>34</v>
      </c>
      <c r="E5685" s="21" t="s">
        <v>71</v>
      </c>
      <c r="F5685">
        <v>8910914</v>
      </c>
      <c r="G5685" t="s">
        <v>3302</v>
      </c>
      <c r="H5685" s="21">
        <v>1160.54</v>
      </c>
    </row>
    <row r="5686" spans="1:8" customFormat="1" x14ac:dyDescent="0.25">
      <c r="A5686" t="str">
        <f>"322358"</f>
        <v>322358</v>
      </c>
      <c r="B5686" t="s">
        <v>8132</v>
      </c>
      <c r="C5686" t="s">
        <v>1914</v>
      </c>
      <c r="D5686" s="21" t="s">
        <v>34</v>
      </c>
      <c r="E5686" s="21" t="s">
        <v>71</v>
      </c>
      <c r="F5686">
        <v>11320033</v>
      </c>
      <c r="G5686" t="s">
        <v>8133</v>
      </c>
      <c r="H5686" s="21">
        <v>1160.42</v>
      </c>
    </row>
    <row r="5687" spans="1:8" customFormat="1" x14ac:dyDescent="0.25">
      <c r="A5687" t="str">
        <f>"857689"</f>
        <v>857689</v>
      </c>
      <c r="B5687" t="s">
        <v>23315</v>
      </c>
      <c r="C5687" t="s">
        <v>570</v>
      </c>
      <c r="D5687" s="21" t="s">
        <v>34</v>
      </c>
      <c r="E5687" s="21" t="s">
        <v>35</v>
      </c>
      <c r="F5687">
        <v>12440094</v>
      </c>
      <c r="G5687" t="s">
        <v>892</v>
      </c>
      <c r="H5687" s="21">
        <v>1160.42</v>
      </c>
    </row>
    <row r="5688" spans="1:8" customFormat="1" x14ac:dyDescent="0.25">
      <c r="A5688" t="str">
        <f>"217204"</f>
        <v>217204</v>
      </c>
      <c r="B5688" t="s">
        <v>1959</v>
      </c>
      <c r="C5688" t="s">
        <v>891</v>
      </c>
      <c r="D5688" s="21" t="s">
        <v>34</v>
      </c>
      <c r="E5688" s="21" t="s">
        <v>35</v>
      </c>
      <c r="F5688">
        <v>1420088</v>
      </c>
      <c r="G5688" t="s">
        <v>7613</v>
      </c>
      <c r="H5688" s="21">
        <v>1160.3</v>
      </c>
    </row>
    <row r="5689" spans="1:8" customFormat="1" x14ac:dyDescent="0.25">
      <c r="A5689" t="str">
        <f>"45692"</f>
        <v>45692</v>
      </c>
      <c r="B5689" t="s">
        <v>6639</v>
      </c>
      <c r="C5689" t="s">
        <v>40</v>
      </c>
      <c r="D5689" s="21" t="s">
        <v>34</v>
      </c>
      <c r="E5689" s="21" t="s">
        <v>254</v>
      </c>
      <c r="F5689">
        <v>4450706</v>
      </c>
      <c r="G5689" t="s">
        <v>4482</v>
      </c>
      <c r="H5689" s="21">
        <v>1160.3</v>
      </c>
    </row>
    <row r="5690" spans="1:8" customFormat="1" x14ac:dyDescent="0.25">
      <c r="A5690" t="str">
        <f>"2918720"</f>
        <v>2918720</v>
      </c>
      <c r="B5690" t="s">
        <v>6070</v>
      </c>
      <c r="C5690" t="s">
        <v>55</v>
      </c>
      <c r="D5690" s="21" t="s">
        <v>34</v>
      </c>
      <c r="E5690" s="21" t="s">
        <v>71</v>
      </c>
      <c r="F5690">
        <v>3290081</v>
      </c>
      <c r="G5690" t="s">
        <v>3819</v>
      </c>
      <c r="H5690" s="21">
        <v>1160.17</v>
      </c>
    </row>
    <row r="5691" spans="1:8" customFormat="1" x14ac:dyDescent="0.25">
      <c r="A5691" t="str">
        <f>"2713668"</f>
        <v>2713668</v>
      </c>
      <c r="B5691" t="s">
        <v>8177</v>
      </c>
      <c r="C5691" t="s">
        <v>60</v>
      </c>
      <c r="D5691" s="21" t="s">
        <v>34</v>
      </c>
      <c r="E5691" s="21" t="s">
        <v>71</v>
      </c>
      <c r="F5691">
        <v>9270063</v>
      </c>
      <c r="G5691" t="s">
        <v>808</v>
      </c>
      <c r="H5691" s="21">
        <v>1160.17</v>
      </c>
    </row>
    <row r="5692" spans="1:8" customFormat="1" x14ac:dyDescent="0.25">
      <c r="A5692" t="str">
        <f>"592759"</f>
        <v>592759</v>
      </c>
      <c r="B5692" t="s">
        <v>7125</v>
      </c>
      <c r="C5692" t="s">
        <v>269</v>
      </c>
      <c r="D5692" s="21" t="s">
        <v>34</v>
      </c>
      <c r="E5692" s="21" t="s">
        <v>71</v>
      </c>
      <c r="F5692">
        <v>7590409</v>
      </c>
      <c r="G5692" t="s">
        <v>2228</v>
      </c>
      <c r="H5692" s="21">
        <v>1160.17</v>
      </c>
    </row>
    <row r="5693" spans="1:8" customFormat="1" x14ac:dyDescent="0.25">
      <c r="A5693" t="str">
        <f>"167467"</f>
        <v>167467</v>
      </c>
      <c r="B5693" t="s">
        <v>6794</v>
      </c>
      <c r="C5693" t="s">
        <v>1812</v>
      </c>
      <c r="D5693" s="21" t="s">
        <v>34</v>
      </c>
      <c r="E5693" s="21" t="s">
        <v>71</v>
      </c>
      <c r="F5693">
        <v>10160040</v>
      </c>
      <c r="G5693" t="s">
        <v>1131</v>
      </c>
      <c r="H5693" s="21">
        <v>1160.17</v>
      </c>
    </row>
    <row r="5694" spans="1:8" customFormat="1" x14ac:dyDescent="0.25">
      <c r="A5694" t="str">
        <f>"878470"</f>
        <v>878470</v>
      </c>
      <c r="B5694" t="s">
        <v>6073</v>
      </c>
      <c r="C5694" t="s">
        <v>415</v>
      </c>
      <c r="D5694" s="21" t="s">
        <v>34</v>
      </c>
      <c r="E5694" s="21" t="s">
        <v>71</v>
      </c>
      <c r="F5694">
        <v>10870109</v>
      </c>
      <c r="G5694" t="s">
        <v>5199</v>
      </c>
      <c r="H5694" s="21">
        <v>1160.17</v>
      </c>
    </row>
    <row r="5695" spans="1:8" customFormat="1" x14ac:dyDescent="0.25">
      <c r="A5695" t="str">
        <f>"028927"</f>
        <v>028927</v>
      </c>
      <c r="B5695" t="s">
        <v>5995</v>
      </c>
      <c r="C5695" t="s">
        <v>1665</v>
      </c>
      <c r="D5695" s="21" t="s">
        <v>34</v>
      </c>
      <c r="E5695" s="21" t="s">
        <v>71</v>
      </c>
      <c r="F5695">
        <v>6510018</v>
      </c>
      <c r="G5695" t="s">
        <v>3055</v>
      </c>
      <c r="H5695" s="21">
        <v>1160.17</v>
      </c>
    </row>
    <row r="5696" spans="1:8" customFormat="1" x14ac:dyDescent="0.25">
      <c r="A5696" t="str">
        <f>"1613844"</f>
        <v>1613844</v>
      </c>
      <c r="B5696" t="s">
        <v>11069</v>
      </c>
      <c r="C5696" t="s">
        <v>249</v>
      </c>
      <c r="D5696" s="21" t="s">
        <v>34</v>
      </c>
      <c r="E5696" s="21" t="s">
        <v>71</v>
      </c>
      <c r="F5696">
        <v>10160040</v>
      </c>
      <c r="G5696" t="s">
        <v>1131</v>
      </c>
      <c r="H5696" s="21">
        <v>1159.92</v>
      </c>
    </row>
    <row r="5697" spans="1:8" customFormat="1" x14ac:dyDescent="0.25">
      <c r="A5697" t="str">
        <f>"863156"</f>
        <v>863156</v>
      </c>
      <c r="B5697" t="s">
        <v>5833</v>
      </c>
      <c r="C5697" t="s">
        <v>1132</v>
      </c>
      <c r="D5697" s="21" t="s">
        <v>34</v>
      </c>
      <c r="E5697" s="21" t="s">
        <v>254</v>
      </c>
      <c r="F5697">
        <v>10860031</v>
      </c>
      <c r="G5697" t="s">
        <v>5834</v>
      </c>
      <c r="H5697" s="21">
        <v>1159.67</v>
      </c>
    </row>
    <row r="5698" spans="1:8" customFormat="1" x14ac:dyDescent="0.25">
      <c r="A5698" t="str">
        <f>"025955"</f>
        <v>025955</v>
      </c>
      <c r="B5698" t="s">
        <v>26907</v>
      </c>
      <c r="C5698" t="s">
        <v>328</v>
      </c>
      <c r="D5698" s="21" t="s">
        <v>34</v>
      </c>
      <c r="E5698" s="21" t="s">
        <v>35</v>
      </c>
      <c r="F5698">
        <v>7020065</v>
      </c>
      <c r="G5698" t="s">
        <v>4852</v>
      </c>
      <c r="H5698" s="21">
        <v>1159.67</v>
      </c>
    </row>
    <row r="5699" spans="1:8" customFormat="1" x14ac:dyDescent="0.25">
      <c r="A5699" t="str">
        <f>"063713"</f>
        <v>063713</v>
      </c>
      <c r="B5699" t="s">
        <v>4807</v>
      </c>
      <c r="C5699" t="s">
        <v>65</v>
      </c>
      <c r="D5699" s="21" t="s">
        <v>34</v>
      </c>
      <c r="E5699" s="21" t="s">
        <v>35</v>
      </c>
      <c r="F5699">
        <v>13060064</v>
      </c>
      <c r="G5699" t="s">
        <v>976</v>
      </c>
      <c r="H5699" s="21">
        <v>1159.67</v>
      </c>
    </row>
    <row r="5700" spans="1:8" customFormat="1" x14ac:dyDescent="0.25">
      <c r="A5700" t="str">
        <f>"5311468"</f>
        <v>5311468</v>
      </c>
      <c r="B5700" t="s">
        <v>4460</v>
      </c>
      <c r="C5700" t="s">
        <v>3859</v>
      </c>
      <c r="D5700" s="21" t="s">
        <v>34</v>
      </c>
      <c r="E5700" s="21" t="s">
        <v>71</v>
      </c>
      <c r="F5700">
        <v>12530001</v>
      </c>
      <c r="G5700" t="s">
        <v>6349</v>
      </c>
      <c r="H5700" s="21">
        <v>1159.67</v>
      </c>
    </row>
    <row r="5701" spans="1:8" customFormat="1" x14ac:dyDescent="0.25">
      <c r="A5701" t="str">
        <f>"038862"</f>
        <v>038862</v>
      </c>
      <c r="B5701" t="s">
        <v>8979</v>
      </c>
      <c r="C5701" t="s">
        <v>124</v>
      </c>
      <c r="D5701" s="21" t="s">
        <v>34</v>
      </c>
      <c r="E5701" s="21" t="s">
        <v>35</v>
      </c>
      <c r="F5701">
        <v>1030042</v>
      </c>
      <c r="G5701" t="s">
        <v>7798</v>
      </c>
      <c r="H5701" s="21">
        <v>1159.67</v>
      </c>
    </row>
    <row r="5702" spans="1:8" customFormat="1" x14ac:dyDescent="0.25">
      <c r="A5702" t="str">
        <f>"937409"</f>
        <v>937409</v>
      </c>
      <c r="B5702" t="s">
        <v>4486</v>
      </c>
      <c r="C5702" t="s">
        <v>55</v>
      </c>
      <c r="D5702" s="21" t="s">
        <v>34</v>
      </c>
      <c r="E5702" s="21" t="s">
        <v>71</v>
      </c>
      <c r="F5702">
        <v>8931057</v>
      </c>
      <c r="G5702" t="s">
        <v>1011</v>
      </c>
      <c r="H5702" s="21">
        <v>1159.55</v>
      </c>
    </row>
    <row r="5703" spans="1:8" customFormat="1" x14ac:dyDescent="0.25">
      <c r="A5703" t="str">
        <f>"6918607"</f>
        <v>6918607</v>
      </c>
      <c r="B5703" t="s">
        <v>8635</v>
      </c>
      <c r="C5703" t="s">
        <v>96</v>
      </c>
      <c r="D5703" s="21" t="s">
        <v>34</v>
      </c>
      <c r="E5703" s="21" t="s">
        <v>35</v>
      </c>
      <c r="F5703">
        <v>1630012</v>
      </c>
      <c r="G5703" t="s">
        <v>8636</v>
      </c>
      <c r="H5703" s="21">
        <v>1159.54</v>
      </c>
    </row>
    <row r="5704" spans="1:8" customFormat="1" x14ac:dyDescent="0.25">
      <c r="A5704" t="str">
        <f>"745810"</f>
        <v>745810</v>
      </c>
      <c r="B5704" t="s">
        <v>23754</v>
      </c>
      <c r="C5704" t="s">
        <v>87</v>
      </c>
      <c r="D5704" s="21" t="s">
        <v>34</v>
      </c>
      <c r="E5704" s="21" t="s">
        <v>35</v>
      </c>
      <c r="F5704">
        <v>1740069</v>
      </c>
      <c r="G5704" t="s">
        <v>8151</v>
      </c>
      <c r="H5704" s="21">
        <v>1159.42</v>
      </c>
    </row>
    <row r="5705" spans="1:8" customFormat="1" x14ac:dyDescent="0.25">
      <c r="A5705" t="str">
        <f>"452281"</f>
        <v>452281</v>
      </c>
      <c r="B5705" t="s">
        <v>186</v>
      </c>
      <c r="C5705" t="s">
        <v>98</v>
      </c>
      <c r="D5705" s="21" t="s">
        <v>34</v>
      </c>
      <c r="E5705" s="21" t="s">
        <v>35</v>
      </c>
      <c r="F5705">
        <v>4450706</v>
      </c>
      <c r="G5705" t="s">
        <v>4482</v>
      </c>
      <c r="H5705" s="21">
        <v>1159.42</v>
      </c>
    </row>
    <row r="5706" spans="1:8" customFormat="1" x14ac:dyDescent="0.25">
      <c r="A5706" t="str">
        <f>"6216307"</f>
        <v>6216307</v>
      </c>
      <c r="B5706" t="s">
        <v>6034</v>
      </c>
      <c r="C5706" t="s">
        <v>156</v>
      </c>
      <c r="D5706" s="21" t="s">
        <v>34</v>
      </c>
      <c r="E5706" s="21" t="s">
        <v>35</v>
      </c>
      <c r="F5706">
        <v>7620145</v>
      </c>
      <c r="G5706" t="s">
        <v>2068</v>
      </c>
      <c r="H5706" s="21">
        <v>1159.17</v>
      </c>
    </row>
    <row r="5707" spans="1:8" customFormat="1" x14ac:dyDescent="0.25">
      <c r="A5707" t="str">
        <f>"297612"</f>
        <v>297612</v>
      </c>
      <c r="B5707" t="s">
        <v>5222</v>
      </c>
      <c r="C5707" t="s">
        <v>249</v>
      </c>
      <c r="D5707" s="21" t="s">
        <v>34</v>
      </c>
      <c r="E5707" s="21" t="s">
        <v>254</v>
      </c>
      <c r="F5707">
        <v>3290090</v>
      </c>
      <c r="G5707" t="s">
        <v>1390</v>
      </c>
      <c r="H5707" s="21">
        <v>1159.17</v>
      </c>
    </row>
    <row r="5708" spans="1:8" customFormat="1" x14ac:dyDescent="0.25">
      <c r="A5708" t="str">
        <f>"95303"</f>
        <v>95303</v>
      </c>
      <c r="B5708" t="s">
        <v>6184</v>
      </c>
      <c r="C5708" t="s">
        <v>1597</v>
      </c>
      <c r="D5708" s="21" t="s">
        <v>34</v>
      </c>
      <c r="E5708" s="21" t="s">
        <v>6185</v>
      </c>
      <c r="F5708">
        <v>8920049</v>
      </c>
      <c r="G5708" t="s">
        <v>237</v>
      </c>
      <c r="H5708" s="21">
        <v>1159.17</v>
      </c>
    </row>
    <row r="5709" spans="1:8" customFormat="1" x14ac:dyDescent="0.25">
      <c r="A5709" t="str">
        <f>"694817"</f>
        <v>694817</v>
      </c>
      <c r="B5709" t="s">
        <v>650</v>
      </c>
      <c r="C5709" t="s">
        <v>263</v>
      </c>
      <c r="D5709" s="21" t="s">
        <v>34</v>
      </c>
      <c r="E5709" s="21" t="s">
        <v>71</v>
      </c>
      <c r="F5709">
        <v>1420106</v>
      </c>
      <c r="G5709" t="s">
        <v>6244</v>
      </c>
      <c r="H5709" s="21">
        <v>1159.17</v>
      </c>
    </row>
    <row r="5710" spans="1:8" customFormat="1" x14ac:dyDescent="0.25">
      <c r="A5710" t="str">
        <f>"1611192"</f>
        <v>1611192</v>
      </c>
      <c r="B5710" t="s">
        <v>6029</v>
      </c>
      <c r="C5710" t="s">
        <v>412</v>
      </c>
      <c r="D5710" s="21" t="s">
        <v>34</v>
      </c>
      <c r="E5710" s="21" t="s">
        <v>71</v>
      </c>
      <c r="F5710">
        <v>10160003</v>
      </c>
      <c r="G5710" t="s">
        <v>4692</v>
      </c>
      <c r="H5710" s="21">
        <v>1159.17</v>
      </c>
    </row>
    <row r="5711" spans="1:8" customFormat="1" x14ac:dyDescent="0.25">
      <c r="A5711" t="str">
        <f>"928439"</f>
        <v>928439</v>
      </c>
      <c r="B5711" t="s">
        <v>3446</v>
      </c>
      <c r="C5711" t="s">
        <v>415</v>
      </c>
      <c r="D5711" s="21" t="s">
        <v>34</v>
      </c>
      <c r="E5711" s="21" t="s">
        <v>254</v>
      </c>
      <c r="F5711">
        <v>8781006</v>
      </c>
      <c r="G5711" t="s">
        <v>5376</v>
      </c>
      <c r="H5711" s="21">
        <v>1159.17</v>
      </c>
    </row>
    <row r="5712" spans="1:8" customFormat="1" x14ac:dyDescent="0.25">
      <c r="A5712" t="str">
        <f>"784177"</f>
        <v>784177</v>
      </c>
      <c r="B5712" t="s">
        <v>497</v>
      </c>
      <c r="C5712" t="s">
        <v>253</v>
      </c>
      <c r="D5712" s="21" t="s">
        <v>34</v>
      </c>
      <c r="E5712" s="21" t="s">
        <v>35</v>
      </c>
      <c r="F5712">
        <v>8780935</v>
      </c>
      <c r="G5712" t="s">
        <v>1944</v>
      </c>
      <c r="H5712" s="21">
        <v>1159.17</v>
      </c>
    </row>
    <row r="5713" spans="1:8" customFormat="1" x14ac:dyDescent="0.25">
      <c r="A5713" t="str">
        <f>"951097"</f>
        <v>951097</v>
      </c>
      <c r="B5713" t="s">
        <v>6403</v>
      </c>
      <c r="C5713" t="s">
        <v>547</v>
      </c>
      <c r="D5713" s="21" t="s">
        <v>34</v>
      </c>
      <c r="E5713" s="21" t="s">
        <v>254</v>
      </c>
      <c r="F5713">
        <v>8950435</v>
      </c>
      <c r="G5713" t="s">
        <v>6404</v>
      </c>
      <c r="H5713" s="21">
        <v>1159.17</v>
      </c>
    </row>
    <row r="5714" spans="1:8" customFormat="1" x14ac:dyDescent="0.25">
      <c r="A5714" t="str">
        <f>"8523962"</f>
        <v>8523962</v>
      </c>
      <c r="B5714" t="s">
        <v>2549</v>
      </c>
      <c r="C5714" t="s">
        <v>144</v>
      </c>
      <c r="D5714" s="21" t="s">
        <v>34</v>
      </c>
      <c r="E5714" s="21" t="s">
        <v>35</v>
      </c>
      <c r="F5714">
        <v>12851016</v>
      </c>
      <c r="G5714" t="s">
        <v>1862</v>
      </c>
      <c r="H5714" s="21">
        <v>1159.17</v>
      </c>
    </row>
    <row r="5715" spans="1:8" customFormat="1" x14ac:dyDescent="0.25">
      <c r="A5715" t="str">
        <f>"3321816"</f>
        <v>3321816</v>
      </c>
      <c r="B5715" t="s">
        <v>6428</v>
      </c>
      <c r="C5715" t="s">
        <v>253</v>
      </c>
      <c r="D5715" s="21" t="s">
        <v>34</v>
      </c>
      <c r="E5715" s="21" t="s">
        <v>1089</v>
      </c>
      <c r="F5715">
        <v>10330032</v>
      </c>
      <c r="G5715" t="s">
        <v>4408</v>
      </c>
      <c r="H5715" s="21">
        <v>1159.17</v>
      </c>
    </row>
    <row r="5716" spans="1:8" customFormat="1" x14ac:dyDescent="0.25">
      <c r="A5716" t="str">
        <f>"3713252"</f>
        <v>3713252</v>
      </c>
      <c r="B5716" t="s">
        <v>1531</v>
      </c>
      <c r="C5716" t="s">
        <v>269</v>
      </c>
      <c r="D5716" s="21" t="s">
        <v>34</v>
      </c>
      <c r="E5716" s="21" t="s">
        <v>71</v>
      </c>
      <c r="F5716">
        <v>4370656</v>
      </c>
      <c r="G5716" t="s">
        <v>1127</v>
      </c>
      <c r="H5716" s="21">
        <v>1159.17</v>
      </c>
    </row>
    <row r="5717" spans="1:8" customFormat="1" x14ac:dyDescent="0.25">
      <c r="A5717" t="str">
        <f>"319529"</f>
        <v>319529</v>
      </c>
      <c r="B5717" t="s">
        <v>8880</v>
      </c>
      <c r="C5717" t="s">
        <v>2072</v>
      </c>
      <c r="D5717" s="21" t="s">
        <v>34</v>
      </c>
      <c r="E5717" s="21" t="s">
        <v>35</v>
      </c>
      <c r="F5717">
        <v>11310099</v>
      </c>
      <c r="G5717" t="s">
        <v>8881</v>
      </c>
      <c r="H5717" s="21">
        <v>1159.17</v>
      </c>
    </row>
    <row r="5718" spans="1:8" customFormat="1" x14ac:dyDescent="0.25">
      <c r="A5718" t="str">
        <f>"428816"</f>
        <v>428816</v>
      </c>
      <c r="B5718" t="s">
        <v>2125</v>
      </c>
      <c r="C5718" t="s">
        <v>263</v>
      </c>
      <c r="D5718" s="21" t="s">
        <v>34</v>
      </c>
      <c r="E5718" s="21" t="s">
        <v>254</v>
      </c>
      <c r="F5718">
        <v>1420163</v>
      </c>
      <c r="G5718" t="s">
        <v>2424</v>
      </c>
      <c r="H5718" s="21">
        <v>1159.05</v>
      </c>
    </row>
    <row r="5719" spans="1:8" customFormat="1" x14ac:dyDescent="0.25">
      <c r="A5719" t="str">
        <f>"807253"</f>
        <v>807253</v>
      </c>
      <c r="B5719" t="s">
        <v>3146</v>
      </c>
      <c r="C5719" t="s">
        <v>275</v>
      </c>
      <c r="D5719" s="21" t="s">
        <v>34</v>
      </c>
      <c r="E5719" s="21" t="s">
        <v>35</v>
      </c>
      <c r="F5719">
        <v>7800102</v>
      </c>
      <c r="G5719" t="s">
        <v>1148</v>
      </c>
      <c r="H5719" s="21">
        <v>1158.93</v>
      </c>
    </row>
    <row r="5720" spans="1:8" customFormat="1" x14ac:dyDescent="0.25">
      <c r="A5720" t="str">
        <f>"606280"</f>
        <v>606280</v>
      </c>
      <c r="B5720" t="s">
        <v>4669</v>
      </c>
      <c r="C5720" t="s">
        <v>1946</v>
      </c>
      <c r="D5720" s="21" t="s">
        <v>34</v>
      </c>
      <c r="E5720" s="21" t="s">
        <v>71</v>
      </c>
      <c r="F5720">
        <v>7600035</v>
      </c>
      <c r="G5720" t="s">
        <v>4737</v>
      </c>
      <c r="H5720" s="21">
        <v>1158.92</v>
      </c>
    </row>
    <row r="5721" spans="1:8" customFormat="1" x14ac:dyDescent="0.25">
      <c r="A5721" t="str">
        <f>"4429761"</f>
        <v>4429761</v>
      </c>
      <c r="B5721" t="s">
        <v>9475</v>
      </c>
      <c r="C5721" t="s">
        <v>209</v>
      </c>
      <c r="D5721" s="21" t="s">
        <v>34</v>
      </c>
      <c r="E5721" s="21" t="s">
        <v>35</v>
      </c>
      <c r="F5721">
        <v>12720051</v>
      </c>
      <c r="G5721" t="s">
        <v>9476</v>
      </c>
      <c r="H5721" s="21">
        <v>1158.92</v>
      </c>
    </row>
    <row r="5722" spans="1:8" customFormat="1" x14ac:dyDescent="0.25">
      <c r="A5722" t="str">
        <f>"6312685"</f>
        <v>6312685</v>
      </c>
      <c r="B5722" t="s">
        <v>7567</v>
      </c>
      <c r="C5722" t="s">
        <v>3078</v>
      </c>
      <c r="D5722" s="21" t="s">
        <v>34</v>
      </c>
      <c r="E5722" s="21" t="s">
        <v>254</v>
      </c>
      <c r="F5722">
        <v>1630261</v>
      </c>
      <c r="G5722" t="s">
        <v>1382</v>
      </c>
      <c r="H5722" s="21">
        <v>1158.67</v>
      </c>
    </row>
    <row r="5723" spans="1:8" customFormat="1" x14ac:dyDescent="0.25">
      <c r="A5723" t="str">
        <f>"04283"</f>
        <v>04283</v>
      </c>
      <c r="B5723" t="s">
        <v>7150</v>
      </c>
      <c r="C5723" t="s">
        <v>267</v>
      </c>
      <c r="D5723" s="21" t="s">
        <v>34</v>
      </c>
      <c r="E5723" s="21" t="s">
        <v>71</v>
      </c>
      <c r="F5723">
        <v>13040015</v>
      </c>
      <c r="G5723" t="s">
        <v>7151</v>
      </c>
      <c r="H5723" s="21">
        <v>1158.67</v>
      </c>
    </row>
    <row r="5724" spans="1:8" customFormat="1" x14ac:dyDescent="0.25">
      <c r="A5724" t="str">
        <f>"041942"</f>
        <v>041942</v>
      </c>
      <c r="B5724" t="s">
        <v>6714</v>
      </c>
      <c r="C5724" t="s">
        <v>4842</v>
      </c>
      <c r="D5724" s="21" t="s">
        <v>34</v>
      </c>
      <c r="E5724" s="21" t="s">
        <v>254</v>
      </c>
      <c r="F5724">
        <v>13040025</v>
      </c>
      <c r="G5724" t="s">
        <v>6715</v>
      </c>
      <c r="H5724" s="21">
        <v>1158.67</v>
      </c>
    </row>
    <row r="5725" spans="1:8" customFormat="1" x14ac:dyDescent="0.25">
      <c r="A5725" t="str">
        <f>"7514254"</f>
        <v>7514254</v>
      </c>
      <c r="B5725" t="s">
        <v>5435</v>
      </c>
      <c r="C5725" t="s">
        <v>288</v>
      </c>
      <c r="D5725" s="21" t="s">
        <v>34</v>
      </c>
      <c r="E5725" s="21" t="s">
        <v>71</v>
      </c>
      <c r="F5725">
        <v>8750074</v>
      </c>
      <c r="G5725" t="s">
        <v>698</v>
      </c>
      <c r="H5725" s="21">
        <v>1158.67</v>
      </c>
    </row>
    <row r="5726" spans="1:8" customFormat="1" x14ac:dyDescent="0.25">
      <c r="A5726" t="str">
        <f>"217012"</f>
        <v>217012</v>
      </c>
      <c r="B5726" t="s">
        <v>6143</v>
      </c>
      <c r="C5726" t="s">
        <v>267</v>
      </c>
      <c r="D5726" s="21" t="s">
        <v>34</v>
      </c>
      <c r="E5726" s="21" t="s">
        <v>35</v>
      </c>
      <c r="F5726">
        <v>2210089</v>
      </c>
      <c r="G5726" t="s">
        <v>6144</v>
      </c>
      <c r="H5726" s="21">
        <v>1158.67</v>
      </c>
    </row>
    <row r="5727" spans="1:8" customFormat="1" x14ac:dyDescent="0.25">
      <c r="A5727" t="str">
        <f>"601031"</f>
        <v>601031</v>
      </c>
      <c r="B5727" t="s">
        <v>6987</v>
      </c>
      <c r="C5727" t="s">
        <v>2907</v>
      </c>
      <c r="D5727" s="21" t="s">
        <v>34</v>
      </c>
      <c r="E5727" s="21" t="s">
        <v>71</v>
      </c>
      <c r="F5727">
        <v>7600044</v>
      </c>
      <c r="G5727" t="s">
        <v>3411</v>
      </c>
      <c r="H5727" s="21">
        <v>1158.67</v>
      </c>
    </row>
    <row r="5728" spans="1:8" customFormat="1" x14ac:dyDescent="0.25">
      <c r="A5728" t="str">
        <f>"6231626"</f>
        <v>6231626</v>
      </c>
      <c r="B5728" t="s">
        <v>7187</v>
      </c>
      <c r="C5728" t="s">
        <v>60</v>
      </c>
      <c r="D5728" s="21" t="s">
        <v>34</v>
      </c>
      <c r="E5728" s="21" t="s">
        <v>35</v>
      </c>
      <c r="F5728">
        <v>7620180</v>
      </c>
      <c r="G5728" t="s">
        <v>7188</v>
      </c>
      <c r="H5728" s="21">
        <v>1158.67</v>
      </c>
    </row>
    <row r="5729" spans="1:8" customFormat="1" x14ac:dyDescent="0.25">
      <c r="A5729" t="str">
        <f>"55430"</f>
        <v>55430</v>
      </c>
      <c r="B5729" t="s">
        <v>1696</v>
      </c>
      <c r="C5729" t="s">
        <v>1559</v>
      </c>
      <c r="D5729" s="21" t="s">
        <v>34</v>
      </c>
      <c r="E5729" s="21" t="s">
        <v>71</v>
      </c>
      <c r="F5729">
        <v>6550007</v>
      </c>
      <c r="G5729" t="s">
        <v>1688</v>
      </c>
      <c r="H5729" s="21">
        <v>1158.67</v>
      </c>
    </row>
    <row r="5730" spans="1:8" customFormat="1" x14ac:dyDescent="0.25">
      <c r="A5730" t="str">
        <f>"7515242"</f>
        <v>7515242</v>
      </c>
      <c r="B5730" t="s">
        <v>7228</v>
      </c>
      <c r="C5730" t="s">
        <v>37</v>
      </c>
      <c r="D5730" s="21" t="s">
        <v>34</v>
      </c>
      <c r="E5730" s="21" t="s">
        <v>71</v>
      </c>
      <c r="F5730">
        <v>8940030</v>
      </c>
      <c r="G5730" t="s">
        <v>7068</v>
      </c>
      <c r="H5730" s="21">
        <v>1158.55</v>
      </c>
    </row>
    <row r="5731" spans="1:8" customFormat="1" x14ac:dyDescent="0.25">
      <c r="A5731" t="str">
        <f>"3331061"</f>
        <v>3331061</v>
      </c>
      <c r="B5731" t="s">
        <v>1828</v>
      </c>
      <c r="C5731" t="s">
        <v>3905</v>
      </c>
      <c r="D5731" s="21" t="s">
        <v>34</v>
      </c>
      <c r="E5731" s="21" t="s">
        <v>71</v>
      </c>
      <c r="F5731">
        <v>10330002</v>
      </c>
      <c r="G5731" t="s">
        <v>53</v>
      </c>
      <c r="H5731" s="21">
        <v>1158.55</v>
      </c>
    </row>
    <row r="5732" spans="1:8" customFormat="1" x14ac:dyDescent="0.25">
      <c r="A5732" t="str">
        <f>"852105"</f>
        <v>852105</v>
      </c>
      <c r="B5732" t="s">
        <v>6387</v>
      </c>
      <c r="C5732" t="s">
        <v>1110</v>
      </c>
      <c r="D5732" s="21" t="s">
        <v>34</v>
      </c>
      <c r="E5732" s="21" t="s">
        <v>254</v>
      </c>
      <c r="F5732">
        <v>12850097</v>
      </c>
      <c r="G5732" t="s">
        <v>4111</v>
      </c>
      <c r="H5732" s="21">
        <v>1158.17</v>
      </c>
    </row>
    <row r="5733" spans="1:8" customFormat="1" x14ac:dyDescent="0.25">
      <c r="A5733" t="str">
        <f>"5410736"</f>
        <v>5410736</v>
      </c>
      <c r="B5733" t="s">
        <v>6833</v>
      </c>
      <c r="C5733" t="s">
        <v>6834</v>
      </c>
      <c r="D5733" s="21" t="s">
        <v>34</v>
      </c>
      <c r="E5733" s="21" t="s">
        <v>35</v>
      </c>
      <c r="F5733">
        <v>6570177</v>
      </c>
      <c r="G5733" t="s">
        <v>2586</v>
      </c>
      <c r="H5733" s="21">
        <v>1158.17</v>
      </c>
    </row>
    <row r="5734" spans="1:8" customFormat="1" x14ac:dyDescent="0.25">
      <c r="A5734" t="str">
        <f>"542096"</f>
        <v>542096</v>
      </c>
      <c r="B5734" t="s">
        <v>2816</v>
      </c>
      <c r="C5734" t="s">
        <v>3393</v>
      </c>
      <c r="D5734" s="21" t="s">
        <v>34</v>
      </c>
      <c r="E5734" s="21" t="s">
        <v>35</v>
      </c>
      <c r="F5734">
        <v>6540019</v>
      </c>
      <c r="G5734" t="s">
        <v>6413</v>
      </c>
      <c r="H5734" s="21">
        <v>1158.17</v>
      </c>
    </row>
    <row r="5735" spans="1:8" customFormat="1" x14ac:dyDescent="0.25">
      <c r="A5735" t="str">
        <f>"212624"</f>
        <v>212624</v>
      </c>
      <c r="B5735" t="s">
        <v>6982</v>
      </c>
      <c r="C5735" t="s">
        <v>55</v>
      </c>
      <c r="D5735" s="21" t="s">
        <v>34</v>
      </c>
      <c r="E5735" s="21" t="s">
        <v>35</v>
      </c>
      <c r="F5735">
        <v>2210029</v>
      </c>
      <c r="G5735" t="s">
        <v>6983</v>
      </c>
      <c r="H5735" s="21">
        <v>1158.17</v>
      </c>
    </row>
    <row r="5736" spans="1:8" customFormat="1" x14ac:dyDescent="0.25">
      <c r="A5736" t="str">
        <f>"253501"</f>
        <v>253501</v>
      </c>
      <c r="B5736" t="s">
        <v>7387</v>
      </c>
      <c r="C5736" t="s">
        <v>169</v>
      </c>
      <c r="D5736" s="21" t="s">
        <v>34</v>
      </c>
      <c r="E5736" s="21" t="s">
        <v>35</v>
      </c>
      <c r="F5736">
        <v>2250162</v>
      </c>
      <c r="G5736" t="s">
        <v>7388</v>
      </c>
      <c r="H5736" s="21">
        <v>1158.17</v>
      </c>
    </row>
    <row r="5737" spans="1:8" customFormat="1" x14ac:dyDescent="0.25">
      <c r="A5737" t="str">
        <f>"1417104"</f>
        <v>1417104</v>
      </c>
      <c r="B5737" t="s">
        <v>6846</v>
      </c>
      <c r="C5737" t="s">
        <v>269</v>
      </c>
      <c r="D5737" s="21" t="s">
        <v>34</v>
      </c>
      <c r="E5737" s="21" t="s">
        <v>35</v>
      </c>
      <c r="F5737">
        <v>9140013</v>
      </c>
      <c r="G5737" t="s">
        <v>1837</v>
      </c>
      <c r="H5737" s="21">
        <v>1158.17</v>
      </c>
    </row>
    <row r="5738" spans="1:8" customFormat="1" x14ac:dyDescent="0.25">
      <c r="A5738" t="str">
        <f>"5933904"</f>
        <v>5933904</v>
      </c>
      <c r="B5738" t="s">
        <v>6043</v>
      </c>
      <c r="C5738" t="s">
        <v>198</v>
      </c>
      <c r="D5738" s="21" t="s">
        <v>34</v>
      </c>
      <c r="E5738" s="21" t="s">
        <v>254</v>
      </c>
      <c r="F5738">
        <v>7620010</v>
      </c>
      <c r="G5738" t="s">
        <v>504</v>
      </c>
      <c r="H5738" s="21">
        <v>1158.17</v>
      </c>
    </row>
    <row r="5739" spans="1:8" customFormat="1" x14ac:dyDescent="0.25">
      <c r="A5739" t="str">
        <f>"2913"</f>
        <v>2913</v>
      </c>
      <c r="B5739" t="s">
        <v>991</v>
      </c>
      <c r="C5739" t="s">
        <v>3073</v>
      </c>
      <c r="D5739" s="21" t="s">
        <v>34</v>
      </c>
      <c r="E5739" s="21" t="s">
        <v>254</v>
      </c>
      <c r="F5739">
        <v>3290200</v>
      </c>
      <c r="G5739" t="s">
        <v>3488</v>
      </c>
      <c r="H5739" s="21">
        <v>1158.17</v>
      </c>
    </row>
    <row r="5740" spans="1:8" customFormat="1" x14ac:dyDescent="0.25">
      <c r="A5740" t="str">
        <f>"7814528"</f>
        <v>7814528</v>
      </c>
      <c r="B5740" t="s">
        <v>2157</v>
      </c>
      <c r="C5740" t="s">
        <v>33</v>
      </c>
      <c r="D5740" s="21" t="s">
        <v>34</v>
      </c>
      <c r="E5740" s="21" t="s">
        <v>35</v>
      </c>
      <c r="F5740">
        <v>1730074</v>
      </c>
      <c r="G5740" t="s">
        <v>7704</v>
      </c>
      <c r="H5740" s="21">
        <v>1158.17</v>
      </c>
    </row>
    <row r="5741" spans="1:8" customFormat="1" x14ac:dyDescent="0.25">
      <c r="A5741" t="str">
        <f>"3115979"</f>
        <v>3115979</v>
      </c>
      <c r="B5741" t="s">
        <v>679</v>
      </c>
      <c r="C5741" t="s">
        <v>486</v>
      </c>
      <c r="D5741" s="21" t="s">
        <v>34</v>
      </c>
      <c r="E5741" s="21" t="s">
        <v>71</v>
      </c>
      <c r="F5741">
        <v>4280121</v>
      </c>
      <c r="G5741" t="s">
        <v>4565</v>
      </c>
      <c r="H5741" s="21">
        <v>1158.05</v>
      </c>
    </row>
    <row r="5742" spans="1:8" customFormat="1" x14ac:dyDescent="0.25">
      <c r="A5742" t="str">
        <f>"333264"</f>
        <v>333264</v>
      </c>
      <c r="B5742" t="s">
        <v>6167</v>
      </c>
      <c r="C5742" t="s">
        <v>55</v>
      </c>
      <c r="D5742" s="21" t="s">
        <v>34</v>
      </c>
      <c r="E5742" s="21" t="s">
        <v>71</v>
      </c>
      <c r="F5742">
        <v>10330031</v>
      </c>
      <c r="G5742" t="s">
        <v>2452</v>
      </c>
      <c r="H5742" s="21">
        <v>1157.92</v>
      </c>
    </row>
    <row r="5743" spans="1:8" customFormat="1" x14ac:dyDescent="0.25">
      <c r="A5743" t="str">
        <f>"512460"</f>
        <v>512460</v>
      </c>
      <c r="B5743" t="s">
        <v>7425</v>
      </c>
      <c r="C5743" t="s">
        <v>576</v>
      </c>
      <c r="D5743" s="21" t="s">
        <v>34</v>
      </c>
      <c r="E5743" s="21" t="s">
        <v>35</v>
      </c>
      <c r="F5743">
        <v>6510061</v>
      </c>
      <c r="G5743" t="s">
        <v>7426</v>
      </c>
      <c r="H5743" s="21">
        <v>1157.92</v>
      </c>
    </row>
    <row r="5744" spans="1:8" customFormat="1" x14ac:dyDescent="0.25">
      <c r="A5744" t="str">
        <f>"881869"</f>
        <v>881869</v>
      </c>
      <c r="B5744" t="s">
        <v>5737</v>
      </c>
      <c r="C5744" t="s">
        <v>2904</v>
      </c>
      <c r="D5744" s="21" t="s">
        <v>34</v>
      </c>
      <c r="E5744" s="21" t="s">
        <v>254</v>
      </c>
      <c r="F5744">
        <v>6880110</v>
      </c>
      <c r="G5744" t="s">
        <v>4990</v>
      </c>
      <c r="H5744" s="21">
        <v>1157.92</v>
      </c>
    </row>
    <row r="5745" spans="1:8" customFormat="1" x14ac:dyDescent="0.25">
      <c r="A5745" t="str">
        <f>"5920855"</f>
        <v>5920855</v>
      </c>
      <c r="B5745" t="s">
        <v>318</v>
      </c>
      <c r="C5745" t="s">
        <v>269</v>
      </c>
      <c r="D5745" s="21" t="s">
        <v>34</v>
      </c>
      <c r="E5745" s="21" t="s">
        <v>35</v>
      </c>
      <c r="F5745">
        <v>7590332</v>
      </c>
      <c r="G5745" t="s">
        <v>6094</v>
      </c>
      <c r="H5745" s="21">
        <v>1157.92</v>
      </c>
    </row>
    <row r="5746" spans="1:8" customFormat="1" x14ac:dyDescent="0.25">
      <c r="A5746" t="str">
        <f>"845711"</f>
        <v>845711</v>
      </c>
      <c r="B5746" t="s">
        <v>509</v>
      </c>
      <c r="C5746" t="s">
        <v>209</v>
      </c>
      <c r="D5746" s="21" t="s">
        <v>34</v>
      </c>
      <c r="E5746" s="21" t="s">
        <v>71</v>
      </c>
      <c r="F5746">
        <v>13840058</v>
      </c>
      <c r="G5746" t="s">
        <v>7032</v>
      </c>
      <c r="H5746" s="21">
        <v>1157.92</v>
      </c>
    </row>
    <row r="5747" spans="1:8" customFormat="1" x14ac:dyDescent="0.25">
      <c r="A5747" t="str">
        <f>"9228899"</f>
        <v>9228899</v>
      </c>
      <c r="B5747" t="s">
        <v>6585</v>
      </c>
      <c r="C5747" t="s">
        <v>55</v>
      </c>
      <c r="D5747" s="21" t="s">
        <v>34</v>
      </c>
      <c r="E5747" s="21" t="s">
        <v>35</v>
      </c>
      <c r="F5747">
        <v>8920066</v>
      </c>
      <c r="G5747" t="s">
        <v>4899</v>
      </c>
      <c r="H5747" s="21">
        <v>1157.92</v>
      </c>
    </row>
    <row r="5748" spans="1:8" customFormat="1" x14ac:dyDescent="0.25">
      <c r="A5748" t="str">
        <f>"5915803"</f>
        <v>5915803</v>
      </c>
      <c r="B5748" t="s">
        <v>6406</v>
      </c>
      <c r="C5748" t="s">
        <v>285</v>
      </c>
      <c r="D5748" s="21" t="s">
        <v>34</v>
      </c>
      <c r="E5748" s="21" t="s">
        <v>35</v>
      </c>
      <c r="F5748">
        <v>7590271</v>
      </c>
      <c r="G5748" t="s">
        <v>3163</v>
      </c>
      <c r="H5748" s="21">
        <v>1157.67</v>
      </c>
    </row>
    <row r="5749" spans="1:8" customFormat="1" x14ac:dyDescent="0.25">
      <c r="A5749" t="str">
        <f>"9423048"</f>
        <v>9423048</v>
      </c>
      <c r="B5749" t="s">
        <v>1840</v>
      </c>
      <c r="C5749" t="s">
        <v>6606</v>
      </c>
      <c r="D5749" s="21" t="s">
        <v>34</v>
      </c>
      <c r="E5749" s="21" t="s">
        <v>71</v>
      </c>
      <c r="F5749">
        <v>8940448</v>
      </c>
      <c r="G5749" t="s">
        <v>1691</v>
      </c>
      <c r="H5749" s="21">
        <v>1157.67</v>
      </c>
    </row>
    <row r="5750" spans="1:8" customFormat="1" x14ac:dyDescent="0.25">
      <c r="A5750" t="str">
        <f>"689455"</f>
        <v>689455</v>
      </c>
      <c r="B5750" t="s">
        <v>26753</v>
      </c>
      <c r="C5750" t="s">
        <v>2479</v>
      </c>
      <c r="D5750" s="21" t="s">
        <v>34</v>
      </c>
      <c r="E5750" s="21" t="s">
        <v>71</v>
      </c>
      <c r="F5750">
        <v>6680125</v>
      </c>
      <c r="G5750" t="s">
        <v>6543</v>
      </c>
      <c r="H5750" s="21">
        <v>1157.67</v>
      </c>
    </row>
    <row r="5751" spans="1:8" customFormat="1" x14ac:dyDescent="0.25">
      <c r="A5751" t="str">
        <f>"428345"</f>
        <v>428345</v>
      </c>
      <c r="B5751" t="s">
        <v>6801</v>
      </c>
      <c r="C5751" t="s">
        <v>60</v>
      </c>
      <c r="D5751" s="21" t="s">
        <v>34</v>
      </c>
      <c r="E5751" s="21" t="s">
        <v>35</v>
      </c>
      <c r="F5751">
        <v>1420151</v>
      </c>
      <c r="G5751" t="s">
        <v>6802</v>
      </c>
      <c r="H5751" s="21">
        <v>1157.67</v>
      </c>
    </row>
    <row r="5752" spans="1:8" customFormat="1" x14ac:dyDescent="0.25">
      <c r="A5752" t="str">
        <f>"4428935"</f>
        <v>4428935</v>
      </c>
      <c r="B5752" t="s">
        <v>6534</v>
      </c>
      <c r="C5752" t="s">
        <v>302</v>
      </c>
      <c r="D5752" s="21" t="s">
        <v>34</v>
      </c>
      <c r="E5752" s="21" t="s">
        <v>35</v>
      </c>
      <c r="F5752">
        <v>12440067</v>
      </c>
      <c r="G5752" t="s">
        <v>1723</v>
      </c>
      <c r="H5752" s="21">
        <v>1157.67</v>
      </c>
    </row>
    <row r="5753" spans="1:8" customFormat="1" x14ac:dyDescent="0.25">
      <c r="A5753" t="str">
        <f>"513464"</f>
        <v>513464</v>
      </c>
      <c r="B5753" t="s">
        <v>6182</v>
      </c>
      <c r="C5753" t="s">
        <v>428</v>
      </c>
      <c r="D5753" s="21" t="s">
        <v>34</v>
      </c>
      <c r="E5753" s="21" t="s">
        <v>71</v>
      </c>
      <c r="F5753">
        <v>6510064</v>
      </c>
      <c r="G5753" t="s">
        <v>6183</v>
      </c>
      <c r="H5753" s="21">
        <v>1157.67</v>
      </c>
    </row>
    <row r="5754" spans="1:8" customFormat="1" x14ac:dyDescent="0.25">
      <c r="A5754" t="str">
        <f>"791330"</f>
        <v>791330</v>
      </c>
      <c r="B5754" t="s">
        <v>4051</v>
      </c>
      <c r="C5754" t="s">
        <v>60</v>
      </c>
      <c r="D5754" s="21" t="s">
        <v>34</v>
      </c>
      <c r="E5754" s="21" t="s">
        <v>71</v>
      </c>
      <c r="F5754">
        <v>10790009</v>
      </c>
      <c r="G5754" t="s">
        <v>1155</v>
      </c>
      <c r="H5754" s="21">
        <v>1157.67</v>
      </c>
    </row>
    <row r="5755" spans="1:8" customFormat="1" x14ac:dyDescent="0.25">
      <c r="A5755" t="str">
        <f>"625994"</f>
        <v>625994</v>
      </c>
      <c r="B5755" t="s">
        <v>6129</v>
      </c>
      <c r="C5755" t="s">
        <v>2520</v>
      </c>
      <c r="D5755" s="21" t="s">
        <v>34</v>
      </c>
      <c r="E5755" s="21" t="s">
        <v>35</v>
      </c>
      <c r="F5755">
        <v>7620007</v>
      </c>
      <c r="G5755" t="s">
        <v>2133</v>
      </c>
      <c r="H5755" s="21">
        <v>1157.67</v>
      </c>
    </row>
    <row r="5756" spans="1:8" customFormat="1" x14ac:dyDescent="0.25">
      <c r="A5756" t="str">
        <f>"613413"</f>
        <v>613413</v>
      </c>
      <c r="B5756" t="s">
        <v>6037</v>
      </c>
      <c r="C5756" t="s">
        <v>415</v>
      </c>
      <c r="D5756" s="21" t="s">
        <v>34</v>
      </c>
      <c r="E5756" s="21" t="s">
        <v>71</v>
      </c>
      <c r="F5756">
        <v>9610009</v>
      </c>
      <c r="G5756" t="s">
        <v>282</v>
      </c>
      <c r="H5756" s="21">
        <v>1157.67</v>
      </c>
    </row>
    <row r="5757" spans="1:8" customFormat="1" x14ac:dyDescent="0.25">
      <c r="A5757" t="str">
        <f>"7210231"</f>
        <v>7210231</v>
      </c>
      <c r="B5757" t="s">
        <v>1198</v>
      </c>
      <c r="C5757" t="s">
        <v>139</v>
      </c>
      <c r="D5757" s="21" t="s">
        <v>34</v>
      </c>
      <c r="E5757" s="21" t="s">
        <v>35</v>
      </c>
      <c r="F5757">
        <v>12720008</v>
      </c>
      <c r="G5757" t="s">
        <v>753</v>
      </c>
      <c r="H5757" s="21">
        <v>1157.67</v>
      </c>
    </row>
    <row r="5758" spans="1:8" customFormat="1" x14ac:dyDescent="0.25">
      <c r="A5758" t="str">
        <f>"24779"</f>
        <v>24779</v>
      </c>
      <c r="B5758" t="s">
        <v>6566</v>
      </c>
      <c r="C5758" t="s">
        <v>822</v>
      </c>
      <c r="D5758" s="21" t="s">
        <v>34</v>
      </c>
      <c r="E5758" s="21" t="s">
        <v>254</v>
      </c>
      <c r="F5758">
        <v>10240003</v>
      </c>
      <c r="G5758" t="s">
        <v>2940</v>
      </c>
      <c r="H5758" s="21">
        <v>1157.67</v>
      </c>
    </row>
    <row r="5759" spans="1:8" customFormat="1" x14ac:dyDescent="0.25">
      <c r="A5759" t="str">
        <f>"365055"</f>
        <v>365055</v>
      </c>
      <c r="B5759" t="s">
        <v>6002</v>
      </c>
      <c r="C5759" t="s">
        <v>253</v>
      </c>
      <c r="D5759" s="21" t="s">
        <v>34</v>
      </c>
      <c r="E5759" s="21" t="s">
        <v>71</v>
      </c>
      <c r="F5759">
        <v>4360605</v>
      </c>
      <c r="G5759" t="s">
        <v>6003</v>
      </c>
      <c r="H5759" s="21">
        <v>1157.5</v>
      </c>
    </row>
    <row r="5760" spans="1:8" customFormat="1" x14ac:dyDescent="0.25">
      <c r="A5760" t="str">
        <f>"9419481"</f>
        <v>9419481</v>
      </c>
      <c r="B5760" t="s">
        <v>5593</v>
      </c>
      <c r="C5760" t="s">
        <v>1832</v>
      </c>
      <c r="D5760" s="21" t="s">
        <v>34</v>
      </c>
      <c r="E5760" s="21" t="s">
        <v>71</v>
      </c>
      <c r="F5760">
        <v>8940894</v>
      </c>
      <c r="G5760" t="s">
        <v>481</v>
      </c>
      <c r="H5760" s="21">
        <v>1157.42</v>
      </c>
    </row>
    <row r="5761" spans="1:8" customFormat="1" x14ac:dyDescent="0.25">
      <c r="A5761" t="str">
        <f>"364660"</f>
        <v>364660</v>
      </c>
      <c r="B5761" t="s">
        <v>5505</v>
      </c>
      <c r="C5761" t="s">
        <v>288</v>
      </c>
      <c r="D5761" s="21" t="s">
        <v>34</v>
      </c>
      <c r="E5761" s="21" t="s">
        <v>35</v>
      </c>
      <c r="F5761">
        <v>4360726</v>
      </c>
      <c r="G5761" t="s">
        <v>5506</v>
      </c>
      <c r="H5761" s="21">
        <v>1157.18</v>
      </c>
    </row>
    <row r="5762" spans="1:8" customFormat="1" x14ac:dyDescent="0.25">
      <c r="A5762" t="str">
        <f>"3712877"</f>
        <v>3712877</v>
      </c>
      <c r="B5762" t="s">
        <v>26908</v>
      </c>
      <c r="C5762" t="s">
        <v>484</v>
      </c>
      <c r="D5762" s="21" t="s">
        <v>34</v>
      </c>
      <c r="E5762" s="21" t="s">
        <v>35</v>
      </c>
      <c r="F5762">
        <v>4370608</v>
      </c>
      <c r="G5762" t="s">
        <v>11068</v>
      </c>
      <c r="H5762" s="21">
        <v>1157.17</v>
      </c>
    </row>
    <row r="5763" spans="1:8" customFormat="1" x14ac:dyDescent="0.25">
      <c r="A5763" t="str">
        <f>"6910277"</f>
        <v>6910277</v>
      </c>
      <c r="B5763" t="s">
        <v>5416</v>
      </c>
      <c r="C5763" t="s">
        <v>209</v>
      </c>
      <c r="D5763" s="21" t="s">
        <v>34</v>
      </c>
      <c r="E5763" s="21" t="s">
        <v>35</v>
      </c>
      <c r="F5763">
        <v>2210123</v>
      </c>
      <c r="G5763" t="s">
        <v>11231</v>
      </c>
      <c r="H5763" s="21">
        <v>1157.17</v>
      </c>
    </row>
    <row r="5764" spans="1:8" customFormat="1" x14ac:dyDescent="0.25">
      <c r="A5764" t="str">
        <f>"414667"</f>
        <v>414667</v>
      </c>
      <c r="B5764" t="s">
        <v>7259</v>
      </c>
      <c r="C5764" t="s">
        <v>2907</v>
      </c>
      <c r="D5764" s="21" t="s">
        <v>34</v>
      </c>
      <c r="E5764" s="21" t="s">
        <v>71</v>
      </c>
      <c r="F5764">
        <v>4410730</v>
      </c>
      <c r="G5764" t="s">
        <v>7260</v>
      </c>
      <c r="H5764" s="21">
        <v>1157.17</v>
      </c>
    </row>
    <row r="5765" spans="1:8" customFormat="1" x14ac:dyDescent="0.25">
      <c r="A5765" t="str">
        <f>"2921294"</f>
        <v>2921294</v>
      </c>
      <c r="B5765" t="s">
        <v>5964</v>
      </c>
      <c r="C5765" t="s">
        <v>3648</v>
      </c>
      <c r="D5765" s="21" t="s">
        <v>34</v>
      </c>
      <c r="E5765" s="21" t="s">
        <v>1089</v>
      </c>
      <c r="F5765">
        <v>3350041</v>
      </c>
      <c r="G5765" t="s">
        <v>1589</v>
      </c>
      <c r="H5765" s="21">
        <v>1157.17</v>
      </c>
    </row>
    <row r="5766" spans="1:8" customFormat="1" x14ac:dyDescent="0.25">
      <c r="A5766" t="str">
        <f>"37129"</f>
        <v>37129</v>
      </c>
      <c r="B5766" t="s">
        <v>7186</v>
      </c>
      <c r="C5766" t="s">
        <v>239</v>
      </c>
      <c r="D5766" s="21" t="s">
        <v>34</v>
      </c>
      <c r="E5766" s="21" t="s">
        <v>1089</v>
      </c>
      <c r="F5766">
        <v>4370002</v>
      </c>
      <c r="G5766" t="s">
        <v>112</v>
      </c>
      <c r="H5766" s="21">
        <v>1157.17</v>
      </c>
    </row>
    <row r="5767" spans="1:8" customFormat="1" x14ac:dyDescent="0.25">
      <c r="A5767" t="str">
        <f>"307105"</f>
        <v>307105</v>
      </c>
      <c r="B5767" t="s">
        <v>6911</v>
      </c>
      <c r="C5767" t="s">
        <v>486</v>
      </c>
      <c r="D5767" s="21" t="s">
        <v>34</v>
      </c>
      <c r="E5767" s="21" t="s">
        <v>35</v>
      </c>
      <c r="F5767">
        <v>11300016</v>
      </c>
      <c r="G5767" t="s">
        <v>157</v>
      </c>
      <c r="H5767" s="21">
        <v>1157.17</v>
      </c>
    </row>
    <row r="5768" spans="1:8" customFormat="1" x14ac:dyDescent="0.25">
      <c r="A5768" t="str">
        <f>"9519864"</f>
        <v>9519864</v>
      </c>
      <c r="B5768" t="s">
        <v>4505</v>
      </c>
      <c r="C5768" t="s">
        <v>484</v>
      </c>
      <c r="D5768" s="21" t="s">
        <v>34</v>
      </c>
      <c r="E5768" s="21" t="s">
        <v>35</v>
      </c>
      <c r="F5768">
        <v>8781144</v>
      </c>
      <c r="G5768" t="s">
        <v>4714</v>
      </c>
      <c r="H5768" s="21">
        <v>1157.05</v>
      </c>
    </row>
    <row r="5769" spans="1:8" customFormat="1" x14ac:dyDescent="0.25">
      <c r="A5769" t="str">
        <f>"3816802"</f>
        <v>3816802</v>
      </c>
      <c r="B5769" t="s">
        <v>8456</v>
      </c>
      <c r="C5769" t="s">
        <v>8457</v>
      </c>
      <c r="D5769" s="21" t="s">
        <v>34</v>
      </c>
      <c r="E5769" s="21" t="s">
        <v>71</v>
      </c>
      <c r="F5769">
        <v>1380056</v>
      </c>
      <c r="G5769" t="s">
        <v>846</v>
      </c>
      <c r="H5769" s="21">
        <v>1156.93</v>
      </c>
    </row>
    <row r="5770" spans="1:8" customFormat="1" x14ac:dyDescent="0.25">
      <c r="A5770" t="str">
        <f>"5015374"</f>
        <v>5015374</v>
      </c>
      <c r="B5770" t="s">
        <v>1506</v>
      </c>
      <c r="C5770" t="s">
        <v>124</v>
      </c>
      <c r="D5770" s="21" t="s">
        <v>34</v>
      </c>
      <c r="E5770" s="21" t="s">
        <v>254</v>
      </c>
      <c r="F5770">
        <v>9500030</v>
      </c>
      <c r="G5770" t="s">
        <v>2166</v>
      </c>
      <c r="H5770" s="21">
        <v>1156.92</v>
      </c>
    </row>
    <row r="5771" spans="1:8" customFormat="1" x14ac:dyDescent="0.25">
      <c r="A5771" t="str">
        <f>"578336"</f>
        <v>578336</v>
      </c>
      <c r="B5771" t="s">
        <v>5412</v>
      </c>
      <c r="C5771" t="s">
        <v>169</v>
      </c>
      <c r="D5771" s="21" t="s">
        <v>34</v>
      </c>
      <c r="E5771" s="21" t="s">
        <v>71</v>
      </c>
      <c r="F5771">
        <v>6570190</v>
      </c>
      <c r="G5771" t="s">
        <v>622</v>
      </c>
      <c r="H5771" s="21">
        <v>1156.92</v>
      </c>
    </row>
    <row r="5772" spans="1:8" customFormat="1" x14ac:dyDescent="0.25">
      <c r="A5772" t="str">
        <f>"5424959"</f>
        <v>5424959</v>
      </c>
      <c r="B5772" t="s">
        <v>5456</v>
      </c>
      <c r="C5772" t="s">
        <v>55</v>
      </c>
      <c r="D5772" s="21" t="s">
        <v>34</v>
      </c>
      <c r="E5772" s="21" t="s">
        <v>71</v>
      </c>
      <c r="F5772">
        <v>6540040</v>
      </c>
      <c r="G5772" t="s">
        <v>256</v>
      </c>
      <c r="H5772" s="21">
        <v>1156.67</v>
      </c>
    </row>
    <row r="5773" spans="1:8" customFormat="1" x14ac:dyDescent="0.25">
      <c r="A5773" t="str">
        <f>"2923508"</f>
        <v>2923508</v>
      </c>
      <c r="B5773" t="s">
        <v>3313</v>
      </c>
      <c r="C5773" t="s">
        <v>121</v>
      </c>
      <c r="D5773" s="21" t="s">
        <v>34</v>
      </c>
      <c r="E5773" s="21" t="s">
        <v>35</v>
      </c>
      <c r="F5773">
        <v>3290081</v>
      </c>
      <c r="G5773" t="s">
        <v>3819</v>
      </c>
      <c r="H5773" s="21">
        <v>1156.67</v>
      </c>
    </row>
    <row r="5774" spans="1:8" customFormat="1" x14ac:dyDescent="0.25">
      <c r="A5774" t="str">
        <f>"73244"</f>
        <v>73244</v>
      </c>
      <c r="B5774" t="s">
        <v>4377</v>
      </c>
      <c r="C5774" t="s">
        <v>967</v>
      </c>
      <c r="D5774" s="21" t="s">
        <v>34</v>
      </c>
      <c r="E5774" s="21" t="s">
        <v>35</v>
      </c>
      <c r="F5774">
        <v>1730033</v>
      </c>
      <c r="G5774" t="s">
        <v>2407</v>
      </c>
      <c r="H5774" s="21">
        <v>1156.67</v>
      </c>
    </row>
    <row r="5775" spans="1:8" customFormat="1" x14ac:dyDescent="0.25">
      <c r="A5775" t="str">
        <f>"384850"</f>
        <v>384850</v>
      </c>
      <c r="B5775" t="s">
        <v>6345</v>
      </c>
      <c r="C5775" t="s">
        <v>246</v>
      </c>
      <c r="D5775" s="21" t="s">
        <v>34</v>
      </c>
      <c r="E5775" s="21" t="s">
        <v>71</v>
      </c>
      <c r="F5775">
        <v>1380284</v>
      </c>
      <c r="G5775" t="s">
        <v>300</v>
      </c>
      <c r="H5775" s="21">
        <v>1156.67</v>
      </c>
    </row>
    <row r="5776" spans="1:8" customFormat="1" x14ac:dyDescent="0.25">
      <c r="A5776" t="str">
        <f>"2910940"</f>
        <v>2910940</v>
      </c>
      <c r="B5776" t="s">
        <v>2747</v>
      </c>
      <c r="C5776" t="s">
        <v>428</v>
      </c>
      <c r="D5776" s="21" t="s">
        <v>34</v>
      </c>
      <c r="E5776" s="21" t="s">
        <v>35</v>
      </c>
      <c r="F5776">
        <v>3290266</v>
      </c>
      <c r="G5776" t="s">
        <v>1783</v>
      </c>
      <c r="H5776" s="21">
        <v>1156.67</v>
      </c>
    </row>
    <row r="5777" spans="1:8" customFormat="1" x14ac:dyDescent="0.25">
      <c r="A5777" t="str">
        <f>"2922268"</f>
        <v>2922268</v>
      </c>
      <c r="B5777" t="s">
        <v>6576</v>
      </c>
      <c r="C5777" t="s">
        <v>209</v>
      </c>
      <c r="D5777" s="21" t="s">
        <v>34</v>
      </c>
      <c r="E5777" s="21" t="s">
        <v>35</v>
      </c>
      <c r="F5777">
        <v>3350183</v>
      </c>
      <c r="G5777" t="s">
        <v>2572</v>
      </c>
      <c r="H5777" s="21">
        <v>1156.29</v>
      </c>
    </row>
    <row r="5778" spans="1:8" customFormat="1" x14ac:dyDescent="0.25">
      <c r="A5778" t="str">
        <f>"7911948"</f>
        <v>7911948</v>
      </c>
      <c r="B5778" t="s">
        <v>7915</v>
      </c>
      <c r="C5778" t="s">
        <v>124</v>
      </c>
      <c r="D5778" s="21" t="s">
        <v>34</v>
      </c>
      <c r="E5778" s="21" t="s">
        <v>35</v>
      </c>
      <c r="F5778">
        <v>10790022</v>
      </c>
      <c r="G5778" t="s">
        <v>7916</v>
      </c>
      <c r="H5778" s="21">
        <v>1156.17</v>
      </c>
    </row>
    <row r="5779" spans="1:8" customFormat="1" x14ac:dyDescent="0.25">
      <c r="A5779" t="str">
        <f>"691679"</f>
        <v>691679</v>
      </c>
      <c r="B5779" t="s">
        <v>7128</v>
      </c>
      <c r="C5779" t="s">
        <v>249</v>
      </c>
      <c r="D5779" s="21" t="s">
        <v>34</v>
      </c>
      <c r="E5779" s="21" t="s">
        <v>254</v>
      </c>
      <c r="F5779">
        <v>1010068</v>
      </c>
      <c r="G5779" t="s">
        <v>4755</v>
      </c>
      <c r="H5779" s="21">
        <v>1156.17</v>
      </c>
    </row>
    <row r="5780" spans="1:8" customFormat="1" x14ac:dyDescent="0.25">
      <c r="A5780" t="str">
        <f>"081236"</f>
        <v>081236</v>
      </c>
      <c r="B5780" t="s">
        <v>6074</v>
      </c>
      <c r="C5780" t="s">
        <v>211</v>
      </c>
      <c r="D5780" s="21" t="s">
        <v>34</v>
      </c>
      <c r="E5780" s="21" t="s">
        <v>254</v>
      </c>
      <c r="F5780">
        <v>11300023</v>
      </c>
      <c r="G5780" t="s">
        <v>2679</v>
      </c>
      <c r="H5780" s="21">
        <v>1156.17</v>
      </c>
    </row>
    <row r="5781" spans="1:8" customFormat="1" x14ac:dyDescent="0.25">
      <c r="A5781" t="str">
        <f>"066217"</f>
        <v>066217</v>
      </c>
      <c r="B5781" t="s">
        <v>6684</v>
      </c>
      <c r="C5781" t="s">
        <v>608</v>
      </c>
      <c r="D5781" s="21" t="s">
        <v>34</v>
      </c>
      <c r="E5781" s="21" t="s">
        <v>71</v>
      </c>
      <c r="F5781">
        <v>13060072</v>
      </c>
      <c r="G5781" t="s">
        <v>6685</v>
      </c>
      <c r="H5781" s="21">
        <v>1156.17</v>
      </c>
    </row>
    <row r="5782" spans="1:8" customFormat="1" x14ac:dyDescent="0.25">
      <c r="A5782" t="str">
        <f>"316362"</f>
        <v>316362</v>
      </c>
      <c r="B5782" t="s">
        <v>1341</v>
      </c>
      <c r="C5782" t="s">
        <v>302</v>
      </c>
      <c r="D5782" s="21" t="s">
        <v>34</v>
      </c>
      <c r="E5782" s="21" t="s">
        <v>35</v>
      </c>
      <c r="F5782">
        <v>11460023</v>
      </c>
      <c r="G5782" t="s">
        <v>5430</v>
      </c>
      <c r="H5782" s="21">
        <v>1156.17</v>
      </c>
    </row>
    <row r="5783" spans="1:8" customFormat="1" x14ac:dyDescent="0.25">
      <c r="A5783" t="str">
        <f>"5620822"</f>
        <v>5620822</v>
      </c>
      <c r="B5783" t="s">
        <v>8330</v>
      </c>
      <c r="C5783" t="s">
        <v>598</v>
      </c>
      <c r="D5783" s="21" t="s">
        <v>34</v>
      </c>
      <c r="E5783" s="21" t="s">
        <v>71</v>
      </c>
      <c r="F5783">
        <v>3560002</v>
      </c>
      <c r="G5783" t="s">
        <v>5437</v>
      </c>
      <c r="H5783" s="21">
        <v>1156.17</v>
      </c>
    </row>
    <row r="5784" spans="1:8" customFormat="1" x14ac:dyDescent="0.25">
      <c r="A5784" t="str">
        <f>"028676"</f>
        <v>028676</v>
      </c>
      <c r="B5784" t="s">
        <v>3146</v>
      </c>
      <c r="C5784" t="s">
        <v>486</v>
      </c>
      <c r="D5784" s="21" t="s">
        <v>34</v>
      </c>
      <c r="E5784" s="21" t="s">
        <v>35</v>
      </c>
      <c r="F5784">
        <v>7020040</v>
      </c>
      <c r="G5784" t="s">
        <v>1698</v>
      </c>
      <c r="H5784" s="21">
        <v>1156.17</v>
      </c>
    </row>
    <row r="5785" spans="1:8" customFormat="1" x14ac:dyDescent="0.25">
      <c r="A5785" t="str">
        <f>"452199"</f>
        <v>452199</v>
      </c>
      <c r="B5785" t="s">
        <v>5560</v>
      </c>
      <c r="C5785" t="s">
        <v>209</v>
      </c>
      <c r="D5785" s="21" t="s">
        <v>34</v>
      </c>
      <c r="E5785" s="21" t="s">
        <v>71</v>
      </c>
      <c r="F5785">
        <v>4410080</v>
      </c>
      <c r="G5785" t="s">
        <v>135</v>
      </c>
      <c r="H5785" s="21">
        <v>1156.17</v>
      </c>
    </row>
    <row r="5786" spans="1:8" customFormat="1" x14ac:dyDescent="0.25">
      <c r="A5786" t="str">
        <f>"3718621"</f>
        <v>3718621</v>
      </c>
      <c r="B5786" t="s">
        <v>7306</v>
      </c>
      <c r="C5786" t="s">
        <v>55</v>
      </c>
      <c r="D5786" s="21" t="s">
        <v>34</v>
      </c>
      <c r="E5786" s="21" t="s">
        <v>35</v>
      </c>
      <c r="F5786">
        <v>4370478</v>
      </c>
      <c r="G5786" t="s">
        <v>4735</v>
      </c>
      <c r="H5786" s="21">
        <v>1155.92</v>
      </c>
    </row>
    <row r="5787" spans="1:8" customFormat="1" x14ac:dyDescent="0.25">
      <c r="A5787" t="str">
        <f>"7820581"</f>
        <v>7820581</v>
      </c>
      <c r="B5787" t="s">
        <v>7215</v>
      </c>
      <c r="C5787" t="s">
        <v>328</v>
      </c>
      <c r="D5787" s="21" t="s">
        <v>34</v>
      </c>
      <c r="E5787" s="21" t="s">
        <v>35</v>
      </c>
      <c r="F5787">
        <v>8780660</v>
      </c>
      <c r="G5787" t="s">
        <v>2801</v>
      </c>
      <c r="H5787" s="21">
        <v>1155.67</v>
      </c>
    </row>
    <row r="5788" spans="1:8" customFormat="1" x14ac:dyDescent="0.25">
      <c r="A5788" t="str">
        <f>"945923"</f>
        <v>945923</v>
      </c>
      <c r="B5788" t="s">
        <v>5626</v>
      </c>
      <c r="C5788" t="s">
        <v>109</v>
      </c>
      <c r="D5788" s="21" t="s">
        <v>34</v>
      </c>
      <c r="E5788" s="21" t="s">
        <v>71</v>
      </c>
      <c r="F5788">
        <v>8940096</v>
      </c>
      <c r="G5788" t="s">
        <v>5453</v>
      </c>
      <c r="H5788" s="21">
        <v>1155.67</v>
      </c>
    </row>
    <row r="5789" spans="1:8" customFormat="1" x14ac:dyDescent="0.25">
      <c r="A5789" t="str">
        <f>"93799"</f>
        <v>93799</v>
      </c>
      <c r="B5789" t="s">
        <v>6546</v>
      </c>
      <c r="C5789" t="s">
        <v>720</v>
      </c>
      <c r="D5789" s="21" t="s">
        <v>34</v>
      </c>
      <c r="E5789" s="21" t="s">
        <v>254</v>
      </c>
      <c r="F5789">
        <v>8930430</v>
      </c>
      <c r="G5789" t="s">
        <v>995</v>
      </c>
      <c r="H5789" s="21">
        <v>1155.67</v>
      </c>
    </row>
    <row r="5790" spans="1:8" customFormat="1" x14ac:dyDescent="0.25">
      <c r="A5790" t="str">
        <f>"601039"</f>
        <v>601039</v>
      </c>
      <c r="B5790" t="s">
        <v>6470</v>
      </c>
      <c r="C5790" t="s">
        <v>263</v>
      </c>
      <c r="D5790" s="21" t="s">
        <v>34</v>
      </c>
      <c r="E5790" s="21" t="s">
        <v>71</v>
      </c>
      <c r="F5790">
        <v>7600044</v>
      </c>
      <c r="G5790" t="s">
        <v>3411</v>
      </c>
      <c r="H5790" s="21">
        <v>1155.67</v>
      </c>
    </row>
    <row r="5791" spans="1:8" customFormat="1" x14ac:dyDescent="0.25">
      <c r="A5791" t="str">
        <f>"2714907"</f>
        <v>2714907</v>
      </c>
      <c r="B5791" t="s">
        <v>2082</v>
      </c>
      <c r="C5791" t="s">
        <v>209</v>
      </c>
      <c r="D5791" s="21" t="s">
        <v>34</v>
      </c>
      <c r="E5791" s="21" t="s">
        <v>71</v>
      </c>
      <c r="F5791">
        <v>9270151</v>
      </c>
      <c r="G5791" t="s">
        <v>626</v>
      </c>
      <c r="H5791" s="21">
        <v>1155.67</v>
      </c>
    </row>
    <row r="5792" spans="1:8" customFormat="1" x14ac:dyDescent="0.25">
      <c r="A5792" t="str">
        <f>"9221724"</f>
        <v>9221724</v>
      </c>
      <c r="B5792" t="s">
        <v>6628</v>
      </c>
      <c r="C5792" t="s">
        <v>415</v>
      </c>
      <c r="D5792" s="21" t="s">
        <v>34</v>
      </c>
      <c r="E5792" s="21" t="s">
        <v>71</v>
      </c>
      <c r="F5792">
        <v>8780440</v>
      </c>
      <c r="G5792" t="s">
        <v>6629</v>
      </c>
      <c r="H5792" s="21">
        <v>1155.67</v>
      </c>
    </row>
    <row r="5793" spans="1:8" customFormat="1" x14ac:dyDescent="0.25">
      <c r="A5793" t="str">
        <f>"536445"</f>
        <v>536445</v>
      </c>
      <c r="B5793" t="s">
        <v>7102</v>
      </c>
      <c r="C5793" t="s">
        <v>269</v>
      </c>
      <c r="D5793" s="21" t="s">
        <v>34</v>
      </c>
      <c r="E5793" s="21" t="s">
        <v>35</v>
      </c>
      <c r="F5793">
        <v>12530048</v>
      </c>
      <c r="G5793" t="s">
        <v>7103</v>
      </c>
      <c r="H5793" s="21">
        <v>1155.42</v>
      </c>
    </row>
    <row r="5794" spans="1:8" customFormat="1" x14ac:dyDescent="0.25">
      <c r="A5794" t="str">
        <f>"5933890"</f>
        <v>5933890</v>
      </c>
      <c r="B5794" t="s">
        <v>6158</v>
      </c>
      <c r="C5794" t="s">
        <v>2027</v>
      </c>
      <c r="D5794" s="21" t="s">
        <v>34</v>
      </c>
      <c r="E5794" s="21" t="s">
        <v>71</v>
      </c>
      <c r="F5794">
        <v>1420009</v>
      </c>
      <c r="G5794" t="s">
        <v>3113</v>
      </c>
      <c r="H5794" s="21">
        <v>1155.42</v>
      </c>
    </row>
    <row r="5795" spans="1:8" customFormat="1" x14ac:dyDescent="0.25">
      <c r="A5795" t="str">
        <f>"5422994"</f>
        <v>5422994</v>
      </c>
      <c r="B5795" t="s">
        <v>7050</v>
      </c>
      <c r="C5795" t="s">
        <v>114</v>
      </c>
      <c r="D5795" s="21" t="s">
        <v>34</v>
      </c>
      <c r="E5795" s="21" t="s">
        <v>71</v>
      </c>
      <c r="F5795">
        <v>6540008</v>
      </c>
      <c r="G5795" t="s">
        <v>3891</v>
      </c>
      <c r="H5795" s="21">
        <v>1155.3</v>
      </c>
    </row>
    <row r="5796" spans="1:8" customFormat="1" x14ac:dyDescent="0.25">
      <c r="A5796" t="str">
        <f>"3719406"</f>
        <v>3719406</v>
      </c>
      <c r="B5796" t="s">
        <v>4124</v>
      </c>
      <c r="C5796" t="s">
        <v>302</v>
      </c>
      <c r="D5796" s="21" t="s">
        <v>34</v>
      </c>
      <c r="E5796" s="21" t="s">
        <v>35</v>
      </c>
      <c r="F5796">
        <v>4450759</v>
      </c>
      <c r="G5796" t="s">
        <v>6587</v>
      </c>
      <c r="H5796" s="21">
        <v>1155.17</v>
      </c>
    </row>
    <row r="5797" spans="1:8" customFormat="1" x14ac:dyDescent="0.25">
      <c r="A5797" t="str">
        <f>"8015227"</f>
        <v>8015227</v>
      </c>
      <c r="B5797" t="s">
        <v>7535</v>
      </c>
      <c r="C5797" t="s">
        <v>169</v>
      </c>
      <c r="D5797" s="21" t="s">
        <v>34</v>
      </c>
      <c r="E5797" s="21" t="s">
        <v>35</v>
      </c>
      <c r="F5797">
        <v>7800011</v>
      </c>
      <c r="G5797" t="s">
        <v>2253</v>
      </c>
      <c r="H5797" s="21">
        <v>1155.17</v>
      </c>
    </row>
    <row r="5798" spans="1:8" customFormat="1" x14ac:dyDescent="0.25">
      <c r="A5798" t="str">
        <f>"865432"</f>
        <v>865432</v>
      </c>
      <c r="B5798" t="s">
        <v>4014</v>
      </c>
      <c r="C5798" t="s">
        <v>1605</v>
      </c>
      <c r="D5798" s="21" t="s">
        <v>34</v>
      </c>
      <c r="E5798" s="21" t="s">
        <v>254</v>
      </c>
      <c r="F5798">
        <v>12850138</v>
      </c>
      <c r="G5798" t="s">
        <v>6879</v>
      </c>
      <c r="H5798" s="21">
        <v>1155.17</v>
      </c>
    </row>
    <row r="5799" spans="1:8" customFormat="1" x14ac:dyDescent="0.25">
      <c r="A5799" t="str">
        <f>"3520182"</f>
        <v>3520182</v>
      </c>
      <c r="B5799" t="s">
        <v>3313</v>
      </c>
      <c r="C5799" t="s">
        <v>249</v>
      </c>
      <c r="D5799" s="21" t="s">
        <v>34</v>
      </c>
      <c r="E5799" s="21" t="s">
        <v>71</v>
      </c>
      <c r="F5799">
        <v>3350092</v>
      </c>
      <c r="G5799" t="s">
        <v>26881</v>
      </c>
      <c r="H5799" s="21">
        <v>1155.17</v>
      </c>
    </row>
    <row r="5800" spans="1:8" customFormat="1" x14ac:dyDescent="0.25">
      <c r="A5800" t="str">
        <f>"9533524"</f>
        <v>9533524</v>
      </c>
      <c r="B5800" t="s">
        <v>4454</v>
      </c>
      <c r="C5800" t="s">
        <v>263</v>
      </c>
      <c r="D5800" s="21" t="s">
        <v>34</v>
      </c>
      <c r="E5800" s="21" t="s">
        <v>35</v>
      </c>
      <c r="F5800">
        <v>8950545</v>
      </c>
      <c r="G5800" t="s">
        <v>14503</v>
      </c>
      <c r="H5800" s="21">
        <v>1155.17</v>
      </c>
    </row>
    <row r="5801" spans="1:8" customFormat="1" x14ac:dyDescent="0.25">
      <c r="A5801" t="str">
        <f>"185205"</f>
        <v>185205</v>
      </c>
      <c r="B5801" t="s">
        <v>7601</v>
      </c>
      <c r="C5801" t="s">
        <v>269</v>
      </c>
      <c r="D5801" s="21" t="s">
        <v>34</v>
      </c>
      <c r="E5801" s="21" t="s">
        <v>71</v>
      </c>
      <c r="F5801">
        <v>4180486</v>
      </c>
      <c r="G5801" t="s">
        <v>5295</v>
      </c>
      <c r="H5801" s="21">
        <v>1155.17</v>
      </c>
    </row>
    <row r="5802" spans="1:8" customFormat="1" x14ac:dyDescent="0.25">
      <c r="A5802" t="str">
        <f>"6213374"</f>
        <v>6213374</v>
      </c>
      <c r="B5802" t="s">
        <v>582</v>
      </c>
      <c r="C5802" t="s">
        <v>209</v>
      </c>
      <c r="D5802" s="21" t="s">
        <v>34</v>
      </c>
      <c r="E5802" s="21" t="s">
        <v>71</v>
      </c>
      <c r="F5802">
        <v>7620078</v>
      </c>
      <c r="G5802" t="s">
        <v>7192</v>
      </c>
      <c r="H5802" s="21">
        <v>1155.17</v>
      </c>
    </row>
    <row r="5803" spans="1:8" customFormat="1" x14ac:dyDescent="0.25">
      <c r="A5803" t="str">
        <f>"5934389"</f>
        <v>5934389</v>
      </c>
      <c r="B5803" t="s">
        <v>6291</v>
      </c>
      <c r="C5803" t="s">
        <v>486</v>
      </c>
      <c r="D5803" s="21" t="s">
        <v>34</v>
      </c>
      <c r="E5803" s="21" t="s">
        <v>35</v>
      </c>
      <c r="F5803">
        <v>7620077</v>
      </c>
      <c r="G5803" t="s">
        <v>4131</v>
      </c>
      <c r="H5803" s="21">
        <v>1155.17</v>
      </c>
    </row>
    <row r="5804" spans="1:8" customFormat="1" x14ac:dyDescent="0.25">
      <c r="A5804" t="str">
        <f>"6710260"</f>
        <v>6710260</v>
      </c>
      <c r="B5804" t="s">
        <v>7512</v>
      </c>
      <c r="C5804" t="s">
        <v>114</v>
      </c>
      <c r="D5804" s="21" t="s">
        <v>34</v>
      </c>
      <c r="E5804" s="21" t="s">
        <v>35</v>
      </c>
      <c r="F5804">
        <v>6670045</v>
      </c>
      <c r="G5804" t="s">
        <v>707</v>
      </c>
      <c r="H5804" s="21">
        <v>1155.17</v>
      </c>
    </row>
    <row r="5805" spans="1:8" customFormat="1" x14ac:dyDescent="0.25">
      <c r="A5805" t="str">
        <f>"372022"</f>
        <v>372022</v>
      </c>
      <c r="B5805" t="s">
        <v>5535</v>
      </c>
      <c r="C5805" t="s">
        <v>415</v>
      </c>
      <c r="D5805" s="21" t="s">
        <v>34</v>
      </c>
      <c r="E5805" s="21" t="s">
        <v>35</v>
      </c>
      <c r="F5805">
        <v>4370001</v>
      </c>
      <c r="G5805" t="s">
        <v>957</v>
      </c>
      <c r="H5805" s="21">
        <v>1155.17</v>
      </c>
    </row>
    <row r="5806" spans="1:8" customFormat="1" x14ac:dyDescent="0.25">
      <c r="A5806" t="str">
        <f>"4922642"</f>
        <v>4922642</v>
      </c>
      <c r="B5806" t="s">
        <v>3273</v>
      </c>
      <c r="C5806" t="s">
        <v>5966</v>
      </c>
      <c r="D5806" s="21" t="s">
        <v>34</v>
      </c>
      <c r="E5806" s="21" t="s">
        <v>71</v>
      </c>
      <c r="F5806">
        <v>4360454</v>
      </c>
      <c r="G5806" t="s">
        <v>637</v>
      </c>
      <c r="H5806" s="21">
        <v>1154.93</v>
      </c>
    </row>
    <row r="5807" spans="1:8" customFormat="1" x14ac:dyDescent="0.25">
      <c r="A5807" t="str">
        <f>"152047"</f>
        <v>152047</v>
      </c>
      <c r="B5807" t="s">
        <v>1737</v>
      </c>
      <c r="C5807" t="s">
        <v>40</v>
      </c>
      <c r="D5807" s="21" t="s">
        <v>34</v>
      </c>
      <c r="E5807" s="21" t="s">
        <v>35</v>
      </c>
      <c r="F5807">
        <v>1150303</v>
      </c>
      <c r="G5807" t="s">
        <v>5809</v>
      </c>
      <c r="H5807" s="21">
        <v>1154.92</v>
      </c>
    </row>
    <row r="5808" spans="1:8" customFormat="1" x14ac:dyDescent="0.25">
      <c r="A5808" t="str">
        <f>"375875"</f>
        <v>375875</v>
      </c>
      <c r="B5808" t="s">
        <v>6095</v>
      </c>
      <c r="C5808" t="s">
        <v>547</v>
      </c>
      <c r="D5808" s="21" t="s">
        <v>34</v>
      </c>
      <c r="E5808" s="21" t="s">
        <v>254</v>
      </c>
      <c r="F5808">
        <v>4370004</v>
      </c>
      <c r="G5808" t="s">
        <v>6049</v>
      </c>
      <c r="H5808" s="21">
        <v>1154.92</v>
      </c>
    </row>
    <row r="5809" spans="1:8" customFormat="1" x14ac:dyDescent="0.25">
      <c r="A5809" t="str">
        <f>"9427195"</f>
        <v>9427195</v>
      </c>
      <c r="B5809" t="s">
        <v>2351</v>
      </c>
      <c r="C5809" t="s">
        <v>1841</v>
      </c>
      <c r="D5809" s="21" t="s">
        <v>34</v>
      </c>
      <c r="E5809" s="21" t="s">
        <v>71</v>
      </c>
      <c r="F5809">
        <v>8940073</v>
      </c>
      <c r="G5809" t="s">
        <v>1085</v>
      </c>
      <c r="H5809" s="21">
        <v>1154.92</v>
      </c>
    </row>
    <row r="5810" spans="1:8" customFormat="1" x14ac:dyDescent="0.25">
      <c r="A5810" t="str">
        <f>"0114951"</f>
        <v>0114951</v>
      </c>
      <c r="B5810" t="s">
        <v>26909</v>
      </c>
      <c r="C5810" t="s">
        <v>275</v>
      </c>
      <c r="D5810" s="21" t="s">
        <v>34</v>
      </c>
      <c r="E5810" s="21" t="s">
        <v>35</v>
      </c>
      <c r="F5810">
        <v>1010061</v>
      </c>
      <c r="G5810" t="s">
        <v>9290</v>
      </c>
      <c r="H5810" s="21">
        <v>1154.79</v>
      </c>
    </row>
    <row r="5811" spans="1:8" customFormat="1" x14ac:dyDescent="0.25">
      <c r="A5811" t="str">
        <f>"7913427"</f>
        <v>7913427</v>
      </c>
      <c r="B5811" t="s">
        <v>6691</v>
      </c>
      <c r="C5811" t="s">
        <v>288</v>
      </c>
      <c r="D5811" s="21" t="s">
        <v>34</v>
      </c>
      <c r="E5811" s="21" t="s">
        <v>71</v>
      </c>
      <c r="F5811">
        <v>10790228</v>
      </c>
      <c r="G5811" t="s">
        <v>6692</v>
      </c>
      <c r="H5811" s="21">
        <v>1154.67</v>
      </c>
    </row>
    <row r="5812" spans="1:8" customFormat="1" x14ac:dyDescent="0.25">
      <c r="A5812" t="str">
        <f>"7824504"</f>
        <v>7824504</v>
      </c>
      <c r="B5812" t="s">
        <v>6067</v>
      </c>
      <c r="C5812" t="s">
        <v>260</v>
      </c>
      <c r="D5812" s="21" t="s">
        <v>34</v>
      </c>
      <c r="E5812" s="21" t="s">
        <v>71</v>
      </c>
      <c r="F5812">
        <v>8780002</v>
      </c>
      <c r="G5812" t="s">
        <v>2196</v>
      </c>
      <c r="H5812" s="21">
        <v>1154.67</v>
      </c>
    </row>
    <row r="5813" spans="1:8" customFormat="1" x14ac:dyDescent="0.25">
      <c r="A5813" t="str">
        <f>"808458"</f>
        <v>808458</v>
      </c>
      <c r="B5813" t="s">
        <v>6383</v>
      </c>
      <c r="C5813" t="s">
        <v>2752</v>
      </c>
      <c r="D5813" s="21" t="s">
        <v>34</v>
      </c>
      <c r="E5813" s="21" t="s">
        <v>71</v>
      </c>
      <c r="F5813">
        <v>7800088</v>
      </c>
      <c r="G5813" t="s">
        <v>1899</v>
      </c>
      <c r="H5813" s="21">
        <v>1154.67</v>
      </c>
    </row>
    <row r="5814" spans="1:8" customFormat="1" x14ac:dyDescent="0.25">
      <c r="A5814" t="str">
        <f>"8529157"</f>
        <v>8529157</v>
      </c>
      <c r="B5814" t="s">
        <v>26910</v>
      </c>
      <c r="C5814" t="s">
        <v>415</v>
      </c>
      <c r="D5814" s="21" t="s">
        <v>34</v>
      </c>
      <c r="E5814" s="21" t="s">
        <v>71</v>
      </c>
      <c r="F5814">
        <v>12850020</v>
      </c>
      <c r="G5814" t="s">
        <v>725</v>
      </c>
      <c r="H5814" s="21">
        <v>1154.67</v>
      </c>
    </row>
    <row r="5815" spans="1:8" customFormat="1" x14ac:dyDescent="0.25">
      <c r="A5815" t="str">
        <f>"46350"</f>
        <v>46350</v>
      </c>
      <c r="B5815" t="s">
        <v>6386</v>
      </c>
      <c r="C5815" t="s">
        <v>1468</v>
      </c>
      <c r="D5815" s="21" t="s">
        <v>34</v>
      </c>
      <c r="E5815" s="21" t="s">
        <v>71</v>
      </c>
      <c r="F5815">
        <v>11460010</v>
      </c>
      <c r="G5815" t="s">
        <v>654</v>
      </c>
      <c r="H5815" s="21">
        <v>1154.67</v>
      </c>
    </row>
    <row r="5816" spans="1:8" customFormat="1" x14ac:dyDescent="0.25">
      <c r="A5816" t="str">
        <f>"7512836"</f>
        <v>7512836</v>
      </c>
      <c r="B5816" t="s">
        <v>5751</v>
      </c>
      <c r="C5816" t="s">
        <v>82</v>
      </c>
      <c r="D5816" s="21" t="s">
        <v>34</v>
      </c>
      <c r="E5816" s="21" t="s">
        <v>35</v>
      </c>
      <c r="F5816">
        <v>13130133</v>
      </c>
      <c r="G5816" t="s">
        <v>12333</v>
      </c>
      <c r="H5816" s="21">
        <v>1154.67</v>
      </c>
    </row>
    <row r="5817" spans="1:8" customFormat="1" x14ac:dyDescent="0.25">
      <c r="A5817" t="str">
        <f>"95714"</f>
        <v>95714</v>
      </c>
      <c r="B5817" t="s">
        <v>6562</v>
      </c>
      <c r="C5817" t="s">
        <v>2529</v>
      </c>
      <c r="D5817" s="21" t="s">
        <v>34</v>
      </c>
      <c r="E5817" s="21" t="s">
        <v>71</v>
      </c>
      <c r="F5817">
        <v>8951312</v>
      </c>
      <c r="G5817" t="s">
        <v>1007</v>
      </c>
      <c r="H5817" s="21">
        <v>1154.67</v>
      </c>
    </row>
    <row r="5818" spans="1:8" customFormat="1" x14ac:dyDescent="0.25">
      <c r="A5818" t="str">
        <f>"0610516"</f>
        <v>0610516</v>
      </c>
      <c r="B5818" t="s">
        <v>6595</v>
      </c>
      <c r="C5818" t="s">
        <v>784</v>
      </c>
      <c r="D5818" s="21" t="s">
        <v>34</v>
      </c>
      <c r="E5818" s="21" t="s">
        <v>71</v>
      </c>
      <c r="F5818">
        <v>13060066</v>
      </c>
      <c r="G5818" t="s">
        <v>2556</v>
      </c>
      <c r="H5818" s="21">
        <v>1154.67</v>
      </c>
    </row>
    <row r="5819" spans="1:8" customFormat="1" x14ac:dyDescent="0.25">
      <c r="A5819" t="str">
        <f>"2212968"</f>
        <v>2212968</v>
      </c>
      <c r="B5819" t="s">
        <v>7970</v>
      </c>
      <c r="C5819" t="s">
        <v>269</v>
      </c>
      <c r="D5819" s="21" t="s">
        <v>34</v>
      </c>
      <c r="E5819" s="21" t="s">
        <v>71</v>
      </c>
      <c r="F5819">
        <v>3220048</v>
      </c>
      <c r="G5819" t="s">
        <v>26532</v>
      </c>
      <c r="H5819" s="21">
        <v>1154.67</v>
      </c>
    </row>
    <row r="5820" spans="1:8" customFormat="1" x14ac:dyDescent="0.25">
      <c r="A5820" t="str">
        <f>"7615145"</f>
        <v>7615145</v>
      </c>
      <c r="B5820" t="s">
        <v>6965</v>
      </c>
      <c r="C5820" t="s">
        <v>121</v>
      </c>
      <c r="D5820" s="21" t="s">
        <v>34</v>
      </c>
      <c r="E5820" s="21" t="s">
        <v>35</v>
      </c>
      <c r="F5820">
        <v>9760382</v>
      </c>
      <c r="G5820" t="s">
        <v>2737</v>
      </c>
      <c r="H5820" s="21">
        <v>1154.67</v>
      </c>
    </row>
    <row r="5821" spans="1:8" customFormat="1" x14ac:dyDescent="0.25">
      <c r="A5821" t="str">
        <f>"9513832"</f>
        <v>9513832</v>
      </c>
      <c r="B5821" t="s">
        <v>1347</v>
      </c>
      <c r="C5821" t="s">
        <v>147</v>
      </c>
      <c r="D5821" s="21" t="s">
        <v>34</v>
      </c>
      <c r="E5821" s="21" t="s">
        <v>71</v>
      </c>
      <c r="F5821">
        <v>8951312</v>
      </c>
      <c r="G5821" t="s">
        <v>1007</v>
      </c>
      <c r="H5821" s="21">
        <v>1154.55</v>
      </c>
    </row>
    <row r="5822" spans="1:8" customFormat="1" x14ac:dyDescent="0.25">
      <c r="A5822" t="str">
        <f>"024288"</f>
        <v>024288</v>
      </c>
      <c r="B5822" t="s">
        <v>7100</v>
      </c>
      <c r="C5822" t="s">
        <v>1132</v>
      </c>
      <c r="D5822" s="21" t="s">
        <v>34</v>
      </c>
      <c r="E5822" s="21" t="s">
        <v>71</v>
      </c>
      <c r="F5822">
        <v>7020040</v>
      </c>
      <c r="G5822" t="s">
        <v>1698</v>
      </c>
      <c r="H5822" s="21">
        <v>1154.43</v>
      </c>
    </row>
    <row r="5823" spans="1:8" customFormat="1" x14ac:dyDescent="0.25">
      <c r="A5823" t="str">
        <f>"918858"</f>
        <v>918858</v>
      </c>
      <c r="B5823" t="s">
        <v>5576</v>
      </c>
      <c r="C5823" t="s">
        <v>1271</v>
      </c>
      <c r="D5823" s="21" t="s">
        <v>34</v>
      </c>
      <c r="E5823" s="21" t="s">
        <v>71</v>
      </c>
      <c r="F5823">
        <v>8940052</v>
      </c>
      <c r="G5823" t="s">
        <v>190</v>
      </c>
      <c r="H5823" s="21">
        <v>1154.42</v>
      </c>
    </row>
    <row r="5824" spans="1:8" customFormat="1" x14ac:dyDescent="0.25">
      <c r="A5824" t="str">
        <f>"6942880"</f>
        <v>6942880</v>
      </c>
      <c r="B5824" t="s">
        <v>5102</v>
      </c>
      <c r="C5824" t="s">
        <v>3415</v>
      </c>
      <c r="D5824" s="21" t="s">
        <v>34</v>
      </c>
      <c r="E5824" s="21" t="s">
        <v>71</v>
      </c>
      <c r="F5824">
        <v>1690186</v>
      </c>
      <c r="G5824" t="s">
        <v>438</v>
      </c>
      <c r="H5824" s="21">
        <v>1154.17</v>
      </c>
    </row>
    <row r="5825" spans="1:8" customFormat="1" x14ac:dyDescent="0.25">
      <c r="A5825" t="str">
        <f>"7615509"</f>
        <v>7615509</v>
      </c>
      <c r="B5825" t="s">
        <v>7084</v>
      </c>
      <c r="C5825" t="s">
        <v>812</v>
      </c>
      <c r="D5825" s="21" t="s">
        <v>34</v>
      </c>
      <c r="E5825" s="21" t="s">
        <v>35</v>
      </c>
      <c r="F5825">
        <v>9270063</v>
      </c>
      <c r="G5825" t="s">
        <v>808</v>
      </c>
      <c r="H5825" s="21">
        <v>1154.17</v>
      </c>
    </row>
    <row r="5826" spans="1:8" customFormat="1" x14ac:dyDescent="0.25">
      <c r="A5826" t="str">
        <f>"6222071"</f>
        <v>6222071</v>
      </c>
      <c r="B5826" t="s">
        <v>208</v>
      </c>
      <c r="C5826" t="s">
        <v>2305</v>
      </c>
      <c r="D5826" s="21" t="s">
        <v>34</v>
      </c>
      <c r="E5826" s="21" t="s">
        <v>254</v>
      </c>
      <c r="F5826">
        <v>7620130</v>
      </c>
      <c r="G5826" t="s">
        <v>4386</v>
      </c>
      <c r="H5826" s="21">
        <v>1154.17</v>
      </c>
    </row>
    <row r="5827" spans="1:8" customFormat="1" x14ac:dyDescent="0.25">
      <c r="A5827" t="str">
        <f>"9215331"</f>
        <v>9215331</v>
      </c>
      <c r="B5827" t="s">
        <v>5613</v>
      </c>
      <c r="C5827" t="s">
        <v>33</v>
      </c>
      <c r="D5827" s="21" t="s">
        <v>34</v>
      </c>
      <c r="E5827" s="21" t="s">
        <v>35</v>
      </c>
      <c r="F5827">
        <v>8920049</v>
      </c>
      <c r="G5827" t="s">
        <v>237</v>
      </c>
      <c r="H5827" s="21">
        <v>1154.17</v>
      </c>
    </row>
    <row r="5828" spans="1:8" customFormat="1" x14ac:dyDescent="0.25">
      <c r="A5828" t="str">
        <f>"6019708"</f>
        <v>6019708</v>
      </c>
      <c r="B5828" t="s">
        <v>7235</v>
      </c>
      <c r="C5828" t="s">
        <v>33</v>
      </c>
      <c r="D5828" s="21" t="s">
        <v>34</v>
      </c>
      <c r="E5828" s="21" t="s">
        <v>71</v>
      </c>
      <c r="F5828">
        <v>7600003</v>
      </c>
      <c r="G5828" t="s">
        <v>3515</v>
      </c>
      <c r="H5828" s="21">
        <v>1154.17</v>
      </c>
    </row>
    <row r="5829" spans="1:8" customFormat="1" x14ac:dyDescent="0.25">
      <c r="A5829" t="str">
        <f>"692089"</f>
        <v>692089</v>
      </c>
      <c r="B5829" t="s">
        <v>5187</v>
      </c>
      <c r="C5829" t="s">
        <v>156</v>
      </c>
      <c r="D5829" s="21" t="s">
        <v>34</v>
      </c>
      <c r="E5829" s="21" t="s">
        <v>254</v>
      </c>
      <c r="F5829">
        <v>1690102</v>
      </c>
      <c r="G5829" t="s">
        <v>2081</v>
      </c>
      <c r="H5829" s="21">
        <v>1154.17</v>
      </c>
    </row>
    <row r="5830" spans="1:8" customFormat="1" x14ac:dyDescent="0.25">
      <c r="A5830" t="str">
        <f>"5958040"</f>
        <v>5958040</v>
      </c>
      <c r="B5830" t="s">
        <v>7353</v>
      </c>
      <c r="C5830" t="s">
        <v>109</v>
      </c>
      <c r="D5830" s="21" t="s">
        <v>34</v>
      </c>
      <c r="E5830" s="21" t="s">
        <v>35</v>
      </c>
      <c r="F5830">
        <v>7590006</v>
      </c>
      <c r="G5830" t="s">
        <v>4165</v>
      </c>
      <c r="H5830" s="21">
        <v>1154.17</v>
      </c>
    </row>
    <row r="5831" spans="1:8" customFormat="1" x14ac:dyDescent="0.25">
      <c r="A5831" t="str">
        <f>"9513831"</f>
        <v>9513831</v>
      </c>
      <c r="B5831" t="s">
        <v>579</v>
      </c>
      <c r="C5831" t="s">
        <v>119</v>
      </c>
      <c r="D5831" s="21" t="s">
        <v>34</v>
      </c>
      <c r="E5831" s="21" t="s">
        <v>71</v>
      </c>
      <c r="F5831">
        <v>8951312</v>
      </c>
      <c r="G5831" t="s">
        <v>1007</v>
      </c>
      <c r="H5831" s="21">
        <v>1154.17</v>
      </c>
    </row>
    <row r="5832" spans="1:8" customFormat="1" x14ac:dyDescent="0.25">
      <c r="A5832" t="str">
        <f>"5113414"</f>
        <v>5113414</v>
      </c>
      <c r="B5832" t="s">
        <v>2625</v>
      </c>
      <c r="C5832" t="s">
        <v>169</v>
      </c>
      <c r="D5832" s="21" t="s">
        <v>34</v>
      </c>
      <c r="E5832" s="21" t="s">
        <v>71</v>
      </c>
      <c r="F5832">
        <v>6510077</v>
      </c>
      <c r="G5832" t="s">
        <v>756</v>
      </c>
      <c r="H5832" s="21">
        <v>1154.17</v>
      </c>
    </row>
    <row r="5833" spans="1:8" customFormat="1" x14ac:dyDescent="0.25">
      <c r="A5833" t="str">
        <f>"2515231"</f>
        <v>2515231</v>
      </c>
      <c r="B5833" t="s">
        <v>6469</v>
      </c>
      <c r="C5833" t="s">
        <v>608</v>
      </c>
      <c r="D5833" s="21" t="s">
        <v>34</v>
      </c>
      <c r="E5833" s="21" t="s">
        <v>35</v>
      </c>
      <c r="F5833">
        <v>2250193</v>
      </c>
      <c r="G5833" t="s">
        <v>2584</v>
      </c>
      <c r="H5833" s="21">
        <v>1154.17</v>
      </c>
    </row>
    <row r="5834" spans="1:8" customFormat="1" x14ac:dyDescent="0.25">
      <c r="A5834" t="str">
        <f>"4449768"</f>
        <v>4449768</v>
      </c>
      <c r="B5834" t="s">
        <v>871</v>
      </c>
      <c r="C5834" t="s">
        <v>204</v>
      </c>
      <c r="D5834" s="21" t="s">
        <v>34</v>
      </c>
      <c r="E5834" s="21" t="s">
        <v>35</v>
      </c>
      <c r="F5834">
        <v>12440067</v>
      </c>
      <c r="G5834" t="s">
        <v>1723</v>
      </c>
      <c r="H5834" s="21">
        <v>1154.17</v>
      </c>
    </row>
    <row r="5835" spans="1:8" customFormat="1" x14ac:dyDescent="0.25">
      <c r="A5835" t="str">
        <f>"642236"</f>
        <v>642236</v>
      </c>
      <c r="B5835" t="s">
        <v>5974</v>
      </c>
      <c r="C5835" t="s">
        <v>249</v>
      </c>
      <c r="D5835" s="21" t="s">
        <v>34</v>
      </c>
      <c r="E5835" s="21" t="s">
        <v>254</v>
      </c>
      <c r="F5835">
        <v>10640008</v>
      </c>
      <c r="G5835" t="s">
        <v>1694</v>
      </c>
      <c r="H5835" s="21">
        <v>1154.17</v>
      </c>
    </row>
    <row r="5836" spans="1:8" customFormat="1" x14ac:dyDescent="0.25">
      <c r="A5836" t="str">
        <f>"9236487"</f>
        <v>9236487</v>
      </c>
      <c r="B5836" t="s">
        <v>7153</v>
      </c>
      <c r="C5836" t="s">
        <v>1812</v>
      </c>
      <c r="D5836" s="21" t="s">
        <v>34</v>
      </c>
      <c r="E5836" s="21" t="s">
        <v>35</v>
      </c>
      <c r="F5836">
        <v>8921190</v>
      </c>
      <c r="G5836" t="s">
        <v>810</v>
      </c>
      <c r="H5836" s="21">
        <v>1153.8</v>
      </c>
    </row>
    <row r="5837" spans="1:8" customFormat="1" x14ac:dyDescent="0.25">
      <c r="A5837" t="str">
        <f>"3520026"</f>
        <v>3520026</v>
      </c>
      <c r="B5837" t="s">
        <v>623</v>
      </c>
      <c r="C5837" t="s">
        <v>139</v>
      </c>
      <c r="D5837" s="21" t="s">
        <v>34</v>
      </c>
      <c r="E5837" s="21" t="s">
        <v>35</v>
      </c>
      <c r="F5837">
        <v>9500048</v>
      </c>
      <c r="G5837" t="s">
        <v>1804</v>
      </c>
      <c r="H5837" s="21">
        <v>1153.67</v>
      </c>
    </row>
    <row r="5838" spans="1:8" customFormat="1" x14ac:dyDescent="0.25">
      <c r="A5838" t="str">
        <f>"891904"</f>
        <v>891904</v>
      </c>
      <c r="B5838" t="s">
        <v>11753</v>
      </c>
      <c r="C5838" t="s">
        <v>55</v>
      </c>
      <c r="D5838" s="21" t="s">
        <v>34</v>
      </c>
      <c r="E5838" s="21" t="s">
        <v>71</v>
      </c>
      <c r="F5838">
        <v>2890023</v>
      </c>
      <c r="G5838" t="s">
        <v>1995</v>
      </c>
      <c r="H5838" s="21">
        <v>1153.67</v>
      </c>
    </row>
    <row r="5839" spans="1:8" customFormat="1" x14ac:dyDescent="0.25">
      <c r="A5839" t="str">
        <f>"5957982"</f>
        <v>5957982</v>
      </c>
      <c r="B5839" t="s">
        <v>3599</v>
      </c>
      <c r="C5839" t="s">
        <v>302</v>
      </c>
      <c r="D5839" s="21" t="s">
        <v>34</v>
      </c>
      <c r="E5839" s="21" t="s">
        <v>35</v>
      </c>
      <c r="F5839">
        <v>7590130</v>
      </c>
      <c r="G5839" t="s">
        <v>1311</v>
      </c>
      <c r="H5839" s="21">
        <v>1153.67</v>
      </c>
    </row>
    <row r="5840" spans="1:8" customFormat="1" x14ac:dyDescent="0.25">
      <c r="A5840" t="str">
        <f>"13630"</f>
        <v>13630</v>
      </c>
      <c r="B5840" t="s">
        <v>5250</v>
      </c>
      <c r="C5840" t="s">
        <v>236</v>
      </c>
      <c r="D5840" s="21" t="s">
        <v>34</v>
      </c>
      <c r="E5840" s="21" t="s">
        <v>71</v>
      </c>
      <c r="F5840">
        <v>13130022</v>
      </c>
      <c r="G5840" t="s">
        <v>2666</v>
      </c>
      <c r="H5840" s="21">
        <v>1153.67</v>
      </c>
    </row>
    <row r="5841" spans="1:8" customFormat="1" x14ac:dyDescent="0.25">
      <c r="A5841" t="str">
        <f>"2515865"</f>
        <v>2515865</v>
      </c>
      <c r="B5841" t="s">
        <v>19194</v>
      </c>
      <c r="C5841" t="s">
        <v>60</v>
      </c>
      <c r="D5841" s="21" t="s">
        <v>34</v>
      </c>
      <c r="E5841" s="21" t="s">
        <v>35</v>
      </c>
      <c r="F5841">
        <v>2250125</v>
      </c>
      <c r="G5841" t="s">
        <v>26911</v>
      </c>
      <c r="H5841" s="21">
        <v>1153.67</v>
      </c>
    </row>
    <row r="5842" spans="1:8" customFormat="1" x14ac:dyDescent="0.25">
      <c r="A5842" t="str">
        <f>"1422462"</f>
        <v>1422462</v>
      </c>
      <c r="B5842" t="s">
        <v>6228</v>
      </c>
      <c r="C5842" t="s">
        <v>1359</v>
      </c>
      <c r="D5842" s="21" t="s">
        <v>34</v>
      </c>
      <c r="E5842" s="21" t="s">
        <v>35</v>
      </c>
      <c r="F5842">
        <v>9140013</v>
      </c>
      <c r="G5842" t="s">
        <v>1837</v>
      </c>
      <c r="H5842" s="21">
        <v>1153.67</v>
      </c>
    </row>
    <row r="5843" spans="1:8" customFormat="1" x14ac:dyDescent="0.25">
      <c r="A5843" t="str">
        <f>"5324701"</f>
        <v>5324701</v>
      </c>
      <c r="B5843" t="s">
        <v>7226</v>
      </c>
      <c r="C5843" t="s">
        <v>1803</v>
      </c>
      <c r="D5843" s="21" t="s">
        <v>34</v>
      </c>
      <c r="E5843" s="21" t="s">
        <v>35</v>
      </c>
      <c r="F5843">
        <v>12530120</v>
      </c>
      <c r="G5843" t="s">
        <v>26791</v>
      </c>
      <c r="H5843" s="21">
        <v>1153.67</v>
      </c>
    </row>
    <row r="5844" spans="1:8" customFormat="1" x14ac:dyDescent="0.25">
      <c r="A5844" t="str">
        <f>"863943"</f>
        <v>863943</v>
      </c>
      <c r="B5844" t="s">
        <v>7206</v>
      </c>
      <c r="C5844" t="s">
        <v>109</v>
      </c>
      <c r="D5844" s="21" t="s">
        <v>34</v>
      </c>
      <c r="E5844" s="21" t="s">
        <v>71</v>
      </c>
      <c r="F5844">
        <v>10160185</v>
      </c>
      <c r="G5844" t="s">
        <v>2035</v>
      </c>
      <c r="H5844" s="21">
        <v>1153.67</v>
      </c>
    </row>
    <row r="5845" spans="1:8" customFormat="1" x14ac:dyDescent="0.25">
      <c r="A5845" t="str">
        <f>"944473"</f>
        <v>944473</v>
      </c>
      <c r="B5845" t="s">
        <v>7439</v>
      </c>
      <c r="C5845" t="s">
        <v>40</v>
      </c>
      <c r="D5845" s="21" t="s">
        <v>34</v>
      </c>
      <c r="E5845" s="21" t="s">
        <v>35</v>
      </c>
      <c r="F5845">
        <v>8940482</v>
      </c>
      <c r="G5845" t="s">
        <v>2560</v>
      </c>
      <c r="H5845" s="21">
        <v>1153.55</v>
      </c>
    </row>
    <row r="5846" spans="1:8" customFormat="1" x14ac:dyDescent="0.25">
      <c r="A5846" t="str">
        <f>"544300"</f>
        <v>544300</v>
      </c>
      <c r="B5846" t="s">
        <v>6194</v>
      </c>
      <c r="C5846" t="s">
        <v>547</v>
      </c>
      <c r="D5846" s="21" t="s">
        <v>34</v>
      </c>
      <c r="E5846" s="21" t="s">
        <v>35</v>
      </c>
      <c r="F5846">
        <v>6540036</v>
      </c>
      <c r="G5846" t="s">
        <v>3612</v>
      </c>
      <c r="H5846" s="21">
        <v>1153.17</v>
      </c>
    </row>
    <row r="5847" spans="1:8" customFormat="1" x14ac:dyDescent="0.25">
      <c r="A5847" t="str">
        <f>"626684"</f>
        <v>626684</v>
      </c>
      <c r="B5847" t="s">
        <v>2082</v>
      </c>
      <c r="C5847" t="s">
        <v>109</v>
      </c>
      <c r="D5847" s="21" t="s">
        <v>34</v>
      </c>
      <c r="E5847" s="21" t="s">
        <v>35</v>
      </c>
      <c r="F5847">
        <v>7620031</v>
      </c>
      <c r="G5847" t="s">
        <v>2182</v>
      </c>
      <c r="H5847" s="21">
        <v>1153.17</v>
      </c>
    </row>
    <row r="5848" spans="1:8" customFormat="1" x14ac:dyDescent="0.25">
      <c r="A5848" t="str">
        <f>"388732"</f>
        <v>388732</v>
      </c>
      <c r="B5848" t="s">
        <v>6529</v>
      </c>
      <c r="C5848" t="s">
        <v>825</v>
      </c>
      <c r="D5848" s="21" t="s">
        <v>34</v>
      </c>
      <c r="E5848" s="21" t="s">
        <v>35</v>
      </c>
      <c r="F5848">
        <v>3220048</v>
      </c>
      <c r="G5848" t="s">
        <v>26532</v>
      </c>
      <c r="H5848" s="21">
        <v>1153.17</v>
      </c>
    </row>
    <row r="5849" spans="1:8" customFormat="1" x14ac:dyDescent="0.25">
      <c r="A5849" t="str">
        <f>"726151"</f>
        <v>726151</v>
      </c>
      <c r="B5849" t="s">
        <v>7398</v>
      </c>
      <c r="C5849" t="s">
        <v>415</v>
      </c>
      <c r="D5849" s="21" t="s">
        <v>34</v>
      </c>
      <c r="E5849" s="21" t="s">
        <v>71</v>
      </c>
      <c r="F5849">
        <v>12720071</v>
      </c>
      <c r="G5849" t="s">
        <v>783</v>
      </c>
      <c r="H5849" s="21">
        <v>1153.17</v>
      </c>
    </row>
    <row r="5850" spans="1:8" customFormat="1" x14ac:dyDescent="0.25">
      <c r="A5850" t="str">
        <f>"6228675"</f>
        <v>6228675</v>
      </c>
      <c r="B5850" t="s">
        <v>6351</v>
      </c>
      <c r="C5850" t="s">
        <v>209</v>
      </c>
      <c r="D5850" s="21" t="s">
        <v>34</v>
      </c>
      <c r="E5850" s="21" t="s">
        <v>35</v>
      </c>
      <c r="F5850">
        <v>7620067</v>
      </c>
      <c r="G5850" t="s">
        <v>860</v>
      </c>
      <c r="H5850" s="21">
        <v>1153.17</v>
      </c>
    </row>
    <row r="5851" spans="1:8" customFormat="1" x14ac:dyDescent="0.25">
      <c r="A5851" t="str">
        <f>"617393"</f>
        <v>617393</v>
      </c>
      <c r="B5851" t="s">
        <v>6030</v>
      </c>
      <c r="C5851" t="s">
        <v>187</v>
      </c>
      <c r="D5851" s="21" t="s">
        <v>34</v>
      </c>
      <c r="E5851" s="21" t="s">
        <v>71</v>
      </c>
      <c r="F5851">
        <v>9610011</v>
      </c>
      <c r="G5851" t="s">
        <v>6031</v>
      </c>
      <c r="H5851" s="21">
        <v>1153.17</v>
      </c>
    </row>
    <row r="5852" spans="1:8" customFormat="1" x14ac:dyDescent="0.25">
      <c r="A5852" t="str">
        <f>"5318822"</f>
        <v>5318822</v>
      </c>
      <c r="B5852" t="s">
        <v>923</v>
      </c>
      <c r="C5852" t="s">
        <v>151</v>
      </c>
      <c r="D5852" s="21" t="s">
        <v>34</v>
      </c>
      <c r="E5852" s="21" t="s">
        <v>35</v>
      </c>
      <c r="F5852">
        <v>12530005</v>
      </c>
      <c r="G5852" t="s">
        <v>6076</v>
      </c>
      <c r="H5852" s="21">
        <v>1153.17</v>
      </c>
    </row>
    <row r="5853" spans="1:8" customFormat="1" x14ac:dyDescent="0.25">
      <c r="A5853" t="str">
        <f>"7410196"</f>
        <v>7410196</v>
      </c>
      <c r="B5853" t="s">
        <v>4652</v>
      </c>
      <c r="C5853" t="s">
        <v>169</v>
      </c>
      <c r="D5853" s="21" t="s">
        <v>34</v>
      </c>
      <c r="E5853" s="21" t="s">
        <v>71</v>
      </c>
      <c r="F5853">
        <v>1740001</v>
      </c>
      <c r="G5853" t="s">
        <v>347</v>
      </c>
      <c r="H5853" s="21">
        <v>1153</v>
      </c>
    </row>
    <row r="5854" spans="1:8" customFormat="1" x14ac:dyDescent="0.25">
      <c r="A5854" t="str">
        <f>"2612806"</f>
        <v>2612806</v>
      </c>
      <c r="B5854" t="s">
        <v>6518</v>
      </c>
      <c r="C5854" t="s">
        <v>249</v>
      </c>
      <c r="D5854" s="21" t="s">
        <v>34</v>
      </c>
      <c r="E5854" s="21" t="s">
        <v>71</v>
      </c>
      <c r="F5854">
        <v>1260056</v>
      </c>
      <c r="G5854" t="s">
        <v>6519</v>
      </c>
      <c r="H5854" s="21">
        <v>1152.92</v>
      </c>
    </row>
    <row r="5855" spans="1:8" customFormat="1" x14ac:dyDescent="0.25">
      <c r="A5855" t="str">
        <f>"553165"</f>
        <v>553165</v>
      </c>
      <c r="B5855" t="s">
        <v>8254</v>
      </c>
      <c r="C5855" t="s">
        <v>87</v>
      </c>
      <c r="D5855" s="21" t="s">
        <v>34</v>
      </c>
      <c r="E5855" s="21" t="s">
        <v>35</v>
      </c>
      <c r="F5855">
        <v>13130138</v>
      </c>
      <c r="G5855" t="s">
        <v>5409</v>
      </c>
      <c r="H5855" s="21">
        <v>1152.8</v>
      </c>
    </row>
    <row r="5856" spans="1:8" customFormat="1" x14ac:dyDescent="0.25">
      <c r="A5856" t="str">
        <f>"3335500"</f>
        <v>3335500</v>
      </c>
      <c r="B5856" t="s">
        <v>1885</v>
      </c>
      <c r="C5856" t="s">
        <v>169</v>
      </c>
      <c r="D5856" s="21" t="s">
        <v>34</v>
      </c>
      <c r="E5856" s="21" t="s">
        <v>35</v>
      </c>
      <c r="F5856">
        <v>10330002</v>
      </c>
      <c r="G5856" t="s">
        <v>53</v>
      </c>
      <c r="H5856" s="21">
        <v>1152.67</v>
      </c>
    </row>
    <row r="5857" spans="1:8" customFormat="1" x14ac:dyDescent="0.25">
      <c r="A5857" t="str">
        <f>"7827361"</f>
        <v>7827361</v>
      </c>
      <c r="B5857" t="s">
        <v>6535</v>
      </c>
      <c r="C5857" t="s">
        <v>198</v>
      </c>
      <c r="D5857" s="21" t="s">
        <v>34</v>
      </c>
      <c r="E5857" s="21" t="s">
        <v>35</v>
      </c>
      <c r="F5857">
        <v>8780886</v>
      </c>
      <c r="G5857" t="s">
        <v>3161</v>
      </c>
      <c r="H5857" s="21">
        <v>1152.67</v>
      </c>
    </row>
    <row r="5858" spans="1:8" customFormat="1" x14ac:dyDescent="0.25">
      <c r="A5858" t="str">
        <f>"534583"</f>
        <v>534583</v>
      </c>
      <c r="B5858" t="s">
        <v>6212</v>
      </c>
      <c r="C5858" t="s">
        <v>2520</v>
      </c>
      <c r="D5858" s="21" t="s">
        <v>34</v>
      </c>
      <c r="E5858" s="21" t="s">
        <v>254</v>
      </c>
      <c r="F5858">
        <v>12530035</v>
      </c>
      <c r="G5858" t="s">
        <v>1663</v>
      </c>
      <c r="H5858" s="21">
        <v>1152.67</v>
      </c>
    </row>
    <row r="5859" spans="1:8" customFormat="1" x14ac:dyDescent="0.25">
      <c r="A5859" t="str">
        <f>"6565"</f>
        <v>6565</v>
      </c>
      <c r="B5859" t="s">
        <v>6821</v>
      </c>
      <c r="C5859" t="s">
        <v>209</v>
      </c>
      <c r="D5859" s="21" t="s">
        <v>34</v>
      </c>
      <c r="E5859" s="21" t="s">
        <v>254</v>
      </c>
      <c r="F5859">
        <v>11650004</v>
      </c>
      <c r="G5859" t="s">
        <v>382</v>
      </c>
      <c r="H5859" s="21">
        <v>1152.67</v>
      </c>
    </row>
    <row r="5860" spans="1:8" customFormat="1" x14ac:dyDescent="0.25">
      <c r="A5860" t="str">
        <f>"035663"</f>
        <v>035663</v>
      </c>
      <c r="B5860" t="s">
        <v>8026</v>
      </c>
      <c r="C5860" t="s">
        <v>209</v>
      </c>
      <c r="D5860" s="21" t="s">
        <v>34</v>
      </c>
      <c r="E5860" s="21" t="s">
        <v>35</v>
      </c>
      <c r="F5860">
        <v>1030035</v>
      </c>
      <c r="G5860" t="s">
        <v>2343</v>
      </c>
      <c r="H5860" s="21">
        <v>1152.42</v>
      </c>
    </row>
    <row r="5861" spans="1:8" customFormat="1" x14ac:dyDescent="0.25">
      <c r="A5861" t="str">
        <f>"0472"</f>
        <v>0472</v>
      </c>
      <c r="B5861" t="s">
        <v>7114</v>
      </c>
      <c r="C5861" t="s">
        <v>119</v>
      </c>
      <c r="D5861" s="21" t="s">
        <v>34</v>
      </c>
      <c r="E5861" s="21" t="s">
        <v>35</v>
      </c>
      <c r="F5861">
        <v>13040005</v>
      </c>
      <c r="G5861" t="s">
        <v>7115</v>
      </c>
      <c r="H5861" s="21">
        <v>1152.17</v>
      </c>
    </row>
    <row r="5862" spans="1:8" customFormat="1" x14ac:dyDescent="0.25">
      <c r="A5862" t="str">
        <f>"417449"</f>
        <v>417449</v>
      </c>
      <c r="B5862" t="s">
        <v>7489</v>
      </c>
      <c r="C5862" t="s">
        <v>33</v>
      </c>
      <c r="D5862" s="21" t="s">
        <v>34</v>
      </c>
      <c r="E5862" s="21" t="s">
        <v>71</v>
      </c>
      <c r="F5862">
        <v>4410615</v>
      </c>
      <c r="G5862" t="s">
        <v>4897</v>
      </c>
      <c r="H5862" s="21">
        <v>1152.17</v>
      </c>
    </row>
    <row r="5863" spans="1:8" customFormat="1" x14ac:dyDescent="0.25">
      <c r="A5863" t="str">
        <f>"081608"</f>
        <v>081608</v>
      </c>
      <c r="B5863" t="s">
        <v>7108</v>
      </c>
      <c r="C5863" t="s">
        <v>598</v>
      </c>
      <c r="D5863" s="21" t="s">
        <v>34</v>
      </c>
      <c r="E5863" s="21" t="s">
        <v>254</v>
      </c>
      <c r="F5863">
        <v>6080014</v>
      </c>
      <c r="G5863" t="s">
        <v>1272</v>
      </c>
      <c r="H5863" s="21">
        <v>1152.17</v>
      </c>
    </row>
    <row r="5864" spans="1:8" customFormat="1" x14ac:dyDescent="0.25">
      <c r="A5864" t="str">
        <f>"788217"</f>
        <v>788217</v>
      </c>
      <c r="B5864" t="s">
        <v>671</v>
      </c>
      <c r="C5864" t="s">
        <v>96</v>
      </c>
      <c r="D5864" s="21" t="s">
        <v>34</v>
      </c>
      <c r="E5864" s="21" t="s">
        <v>35</v>
      </c>
      <c r="F5864">
        <v>8781017</v>
      </c>
      <c r="G5864" t="s">
        <v>2581</v>
      </c>
      <c r="H5864" s="21">
        <v>1152.17</v>
      </c>
    </row>
    <row r="5865" spans="1:8" customFormat="1" x14ac:dyDescent="0.25">
      <c r="A5865" t="str">
        <f>"6218346"</f>
        <v>6218346</v>
      </c>
      <c r="B5865" t="s">
        <v>6219</v>
      </c>
      <c r="C5865" t="s">
        <v>2479</v>
      </c>
      <c r="D5865" s="21" t="s">
        <v>34</v>
      </c>
      <c r="E5865" s="21" t="s">
        <v>71</v>
      </c>
      <c r="F5865">
        <v>12850026</v>
      </c>
      <c r="G5865" t="s">
        <v>1400</v>
      </c>
      <c r="H5865" s="21">
        <v>1152.17</v>
      </c>
    </row>
    <row r="5866" spans="1:8" customFormat="1" x14ac:dyDescent="0.25">
      <c r="A5866" t="str">
        <f>"601443"</f>
        <v>601443</v>
      </c>
      <c r="B5866" t="s">
        <v>6616</v>
      </c>
      <c r="C5866" t="s">
        <v>40</v>
      </c>
      <c r="D5866" s="21" t="s">
        <v>34</v>
      </c>
      <c r="E5866" s="21" t="s">
        <v>254</v>
      </c>
      <c r="F5866">
        <v>7600069</v>
      </c>
      <c r="G5866" t="s">
        <v>195</v>
      </c>
      <c r="H5866" s="21">
        <v>1152.17</v>
      </c>
    </row>
    <row r="5867" spans="1:8" customFormat="1" x14ac:dyDescent="0.25">
      <c r="A5867" t="str">
        <f>"4437458"</f>
        <v>4437458</v>
      </c>
      <c r="B5867" t="s">
        <v>6388</v>
      </c>
      <c r="C5867" t="s">
        <v>415</v>
      </c>
      <c r="D5867" s="21" t="s">
        <v>34</v>
      </c>
      <c r="E5867" s="21" t="s">
        <v>71</v>
      </c>
      <c r="F5867">
        <v>12440048</v>
      </c>
      <c r="G5867" t="s">
        <v>2090</v>
      </c>
      <c r="H5867" s="21">
        <v>1152.17</v>
      </c>
    </row>
    <row r="5868" spans="1:8" customFormat="1" x14ac:dyDescent="0.25">
      <c r="A5868" t="str">
        <f>"4443485"</f>
        <v>4443485</v>
      </c>
      <c r="B5868" t="s">
        <v>7158</v>
      </c>
      <c r="C5868" t="s">
        <v>7159</v>
      </c>
      <c r="D5868" s="21" t="s">
        <v>34</v>
      </c>
      <c r="E5868" s="21" t="s">
        <v>35</v>
      </c>
      <c r="F5868">
        <v>12440160</v>
      </c>
      <c r="G5868" t="s">
        <v>6939</v>
      </c>
      <c r="H5868" s="21">
        <v>1152.17</v>
      </c>
    </row>
    <row r="5869" spans="1:8" customFormat="1" x14ac:dyDescent="0.25">
      <c r="A5869" t="str">
        <f>"7618436"</f>
        <v>7618436</v>
      </c>
      <c r="B5869" t="s">
        <v>6749</v>
      </c>
      <c r="C5869" t="s">
        <v>6750</v>
      </c>
      <c r="D5869" s="21" t="s">
        <v>34</v>
      </c>
      <c r="E5869" s="21" t="s">
        <v>71</v>
      </c>
      <c r="F5869">
        <v>9760331</v>
      </c>
      <c r="G5869" t="s">
        <v>5134</v>
      </c>
      <c r="H5869" s="21">
        <v>1152.17</v>
      </c>
    </row>
    <row r="5870" spans="1:8" customFormat="1" x14ac:dyDescent="0.25">
      <c r="A5870" t="str">
        <f>"80238"</f>
        <v>80238</v>
      </c>
      <c r="B5870" t="s">
        <v>274</v>
      </c>
      <c r="C5870" t="s">
        <v>2907</v>
      </c>
      <c r="D5870" s="21" t="s">
        <v>34</v>
      </c>
      <c r="E5870" s="21" t="s">
        <v>254</v>
      </c>
      <c r="F5870">
        <v>7800003</v>
      </c>
      <c r="G5870" t="s">
        <v>276</v>
      </c>
      <c r="H5870" s="21">
        <v>1152.17</v>
      </c>
    </row>
    <row r="5871" spans="1:8" customFormat="1" x14ac:dyDescent="0.25">
      <c r="A5871" t="str">
        <f>"3518810"</f>
        <v>3518810</v>
      </c>
      <c r="B5871" t="s">
        <v>8583</v>
      </c>
      <c r="C5871" t="s">
        <v>608</v>
      </c>
      <c r="D5871" s="21" t="s">
        <v>34</v>
      </c>
      <c r="E5871" s="21" t="s">
        <v>71</v>
      </c>
      <c r="F5871">
        <v>3350136</v>
      </c>
      <c r="G5871" t="s">
        <v>2773</v>
      </c>
      <c r="H5871" s="21">
        <v>1152.06</v>
      </c>
    </row>
    <row r="5872" spans="1:8" customFormat="1" x14ac:dyDescent="0.25">
      <c r="A5872" t="str">
        <f>"278113"</f>
        <v>278113</v>
      </c>
      <c r="B5872" t="s">
        <v>6251</v>
      </c>
      <c r="C5872" t="s">
        <v>269</v>
      </c>
      <c r="D5872" s="21" t="s">
        <v>34</v>
      </c>
      <c r="E5872" s="21" t="s">
        <v>35</v>
      </c>
      <c r="F5872">
        <v>9270151</v>
      </c>
      <c r="G5872" t="s">
        <v>626</v>
      </c>
      <c r="H5872" s="21">
        <v>1151.92</v>
      </c>
    </row>
    <row r="5873" spans="1:8" customFormat="1" x14ac:dyDescent="0.25">
      <c r="A5873" t="str">
        <f>"517892"</f>
        <v>517892</v>
      </c>
      <c r="B5873" t="s">
        <v>2386</v>
      </c>
      <c r="C5873" t="s">
        <v>87</v>
      </c>
      <c r="D5873" s="21" t="s">
        <v>34</v>
      </c>
      <c r="E5873" s="21" t="s">
        <v>35</v>
      </c>
      <c r="F5873">
        <v>6510071</v>
      </c>
      <c r="G5873" t="s">
        <v>3031</v>
      </c>
      <c r="H5873" s="21">
        <v>1151.92</v>
      </c>
    </row>
    <row r="5874" spans="1:8" customFormat="1" x14ac:dyDescent="0.25">
      <c r="A5874" t="str">
        <f>"3515619"</f>
        <v>3515619</v>
      </c>
      <c r="B5874" t="s">
        <v>6418</v>
      </c>
      <c r="C5874" t="s">
        <v>781</v>
      </c>
      <c r="D5874" s="21" t="s">
        <v>34</v>
      </c>
      <c r="E5874" s="21" t="s">
        <v>35</v>
      </c>
      <c r="F5874">
        <v>3350150</v>
      </c>
      <c r="G5874" t="s">
        <v>6419</v>
      </c>
      <c r="H5874" s="21">
        <v>1151.92</v>
      </c>
    </row>
    <row r="5875" spans="1:8" customFormat="1" x14ac:dyDescent="0.25">
      <c r="A5875" t="str">
        <f>"2214906"</f>
        <v>2214906</v>
      </c>
      <c r="B5875" t="s">
        <v>7388</v>
      </c>
      <c r="C5875" t="s">
        <v>415</v>
      </c>
      <c r="D5875" s="21" t="s">
        <v>34</v>
      </c>
      <c r="E5875" s="21" t="s">
        <v>71</v>
      </c>
      <c r="F5875">
        <v>3220048</v>
      </c>
      <c r="G5875" t="s">
        <v>26532</v>
      </c>
      <c r="H5875" s="21">
        <v>1151.8</v>
      </c>
    </row>
    <row r="5876" spans="1:8" customFormat="1" x14ac:dyDescent="0.25">
      <c r="A5876" t="str">
        <f>"6218484"</f>
        <v>6218484</v>
      </c>
      <c r="B5876" t="s">
        <v>7292</v>
      </c>
      <c r="C5876" t="s">
        <v>285</v>
      </c>
      <c r="D5876" s="21" t="s">
        <v>34</v>
      </c>
      <c r="E5876" s="21" t="s">
        <v>35</v>
      </c>
      <c r="F5876">
        <v>7620064</v>
      </c>
      <c r="G5876" t="s">
        <v>2266</v>
      </c>
      <c r="H5876" s="21">
        <v>1151.67</v>
      </c>
    </row>
    <row r="5877" spans="1:8" customFormat="1" x14ac:dyDescent="0.25">
      <c r="A5877" t="str">
        <f>"106594"</f>
        <v>106594</v>
      </c>
      <c r="B5877" t="s">
        <v>6370</v>
      </c>
      <c r="C5877" t="s">
        <v>486</v>
      </c>
      <c r="D5877" s="21" t="s">
        <v>34</v>
      </c>
      <c r="E5877" s="21" t="s">
        <v>35</v>
      </c>
      <c r="F5877">
        <v>6100005</v>
      </c>
      <c r="G5877" t="s">
        <v>855</v>
      </c>
      <c r="H5877" s="21">
        <v>1151.67</v>
      </c>
    </row>
    <row r="5878" spans="1:8" customFormat="1" x14ac:dyDescent="0.25">
      <c r="A5878" t="str">
        <f>"675327"</f>
        <v>675327</v>
      </c>
      <c r="B5878" t="s">
        <v>5952</v>
      </c>
      <c r="C5878" t="s">
        <v>7034</v>
      </c>
      <c r="D5878" s="21" t="s">
        <v>34</v>
      </c>
      <c r="E5878" s="21" t="s">
        <v>71</v>
      </c>
      <c r="F5878">
        <v>6670171</v>
      </c>
      <c r="G5878" t="s">
        <v>4843</v>
      </c>
      <c r="H5878" s="21">
        <v>1151.67</v>
      </c>
    </row>
    <row r="5879" spans="1:8" customFormat="1" x14ac:dyDescent="0.25">
      <c r="A5879" t="str">
        <f>"5320946"</f>
        <v>5320946</v>
      </c>
      <c r="B5879" t="s">
        <v>26912</v>
      </c>
      <c r="C5879" t="s">
        <v>139</v>
      </c>
      <c r="D5879" s="21" t="s">
        <v>34</v>
      </c>
      <c r="E5879" s="21" t="s">
        <v>35</v>
      </c>
      <c r="F5879">
        <v>12530007</v>
      </c>
      <c r="G5879" t="s">
        <v>2966</v>
      </c>
      <c r="H5879" s="21">
        <v>1151.67</v>
      </c>
    </row>
    <row r="5880" spans="1:8" customFormat="1" x14ac:dyDescent="0.25">
      <c r="A5880" t="str">
        <f>"9239511"</f>
        <v>9239511</v>
      </c>
      <c r="B5880" t="s">
        <v>26913</v>
      </c>
      <c r="C5880" t="s">
        <v>16913</v>
      </c>
      <c r="D5880" s="21" t="s">
        <v>34</v>
      </c>
      <c r="E5880" s="21" t="s">
        <v>71</v>
      </c>
      <c r="F5880">
        <v>8770426</v>
      </c>
      <c r="G5880" t="s">
        <v>1847</v>
      </c>
      <c r="H5880" s="21">
        <v>1151.67</v>
      </c>
    </row>
    <row r="5881" spans="1:8" customFormat="1" x14ac:dyDescent="0.25">
      <c r="A5881" t="str">
        <f>"455340"</f>
        <v>455340</v>
      </c>
      <c r="B5881" t="s">
        <v>14631</v>
      </c>
      <c r="C5881" t="s">
        <v>60</v>
      </c>
      <c r="D5881" s="21" t="s">
        <v>34</v>
      </c>
      <c r="E5881" s="21" t="s">
        <v>35</v>
      </c>
      <c r="F5881">
        <v>4450024</v>
      </c>
      <c r="G5881" t="s">
        <v>9786</v>
      </c>
      <c r="H5881" s="21">
        <v>1151.55</v>
      </c>
    </row>
    <row r="5882" spans="1:8" customFormat="1" x14ac:dyDescent="0.25">
      <c r="A5882" t="str">
        <f>"626690"</f>
        <v>626690</v>
      </c>
      <c r="B5882" t="s">
        <v>7493</v>
      </c>
      <c r="C5882" t="s">
        <v>55</v>
      </c>
      <c r="D5882" s="21" t="s">
        <v>34</v>
      </c>
      <c r="E5882" s="21" t="s">
        <v>35</v>
      </c>
      <c r="F5882">
        <v>7620181</v>
      </c>
      <c r="G5882" t="s">
        <v>2268</v>
      </c>
      <c r="H5882" s="21">
        <v>1151.55</v>
      </c>
    </row>
    <row r="5883" spans="1:8" customFormat="1" x14ac:dyDescent="0.25">
      <c r="A5883" t="str">
        <f>"027993"</f>
        <v>027993</v>
      </c>
      <c r="B5883" t="s">
        <v>6119</v>
      </c>
      <c r="C5883" t="s">
        <v>2276</v>
      </c>
      <c r="D5883" s="21" t="s">
        <v>34</v>
      </c>
      <c r="E5883" s="21" t="s">
        <v>71</v>
      </c>
      <c r="F5883">
        <v>8771401</v>
      </c>
      <c r="G5883" t="s">
        <v>6636</v>
      </c>
      <c r="H5883" s="21">
        <v>1151.42</v>
      </c>
    </row>
    <row r="5884" spans="1:8" customFormat="1" x14ac:dyDescent="0.25">
      <c r="A5884" t="str">
        <f>"2924543"</f>
        <v>2924543</v>
      </c>
      <c r="B5884" t="s">
        <v>1349</v>
      </c>
      <c r="C5884" t="s">
        <v>275</v>
      </c>
      <c r="D5884" s="21" t="s">
        <v>34</v>
      </c>
      <c r="E5884" s="21" t="s">
        <v>35</v>
      </c>
      <c r="F5884">
        <v>3290263</v>
      </c>
      <c r="G5884" t="s">
        <v>4108</v>
      </c>
      <c r="H5884" s="21">
        <v>1151.42</v>
      </c>
    </row>
    <row r="5885" spans="1:8" customFormat="1" x14ac:dyDescent="0.25">
      <c r="A5885" t="str">
        <f>"4426206"</f>
        <v>4426206</v>
      </c>
      <c r="B5885" t="s">
        <v>7910</v>
      </c>
      <c r="C5885" t="s">
        <v>33</v>
      </c>
      <c r="D5885" s="21" t="s">
        <v>34</v>
      </c>
      <c r="E5885" s="21" t="s">
        <v>35</v>
      </c>
      <c r="F5885">
        <v>12440073</v>
      </c>
      <c r="G5885" t="s">
        <v>3492</v>
      </c>
      <c r="H5885" s="21">
        <v>1151.42</v>
      </c>
    </row>
    <row r="5886" spans="1:8" customFormat="1" x14ac:dyDescent="0.25">
      <c r="A5886" t="str">
        <f>"9129685"</f>
        <v>9129685</v>
      </c>
      <c r="B5886" t="s">
        <v>5543</v>
      </c>
      <c r="C5886" t="s">
        <v>144</v>
      </c>
      <c r="D5886" s="21" t="s">
        <v>34</v>
      </c>
      <c r="E5886" s="21" t="s">
        <v>71</v>
      </c>
      <c r="F5886">
        <v>8941180</v>
      </c>
      <c r="G5886" t="s">
        <v>5544</v>
      </c>
      <c r="H5886" s="21">
        <v>1151.3</v>
      </c>
    </row>
    <row r="5887" spans="1:8" customFormat="1" x14ac:dyDescent="0.25">
      <c r="A5887" t="str">
        <f>"152242"</f>
        <v>152242</v>
      </c>
      <c r="B5887" t="s">
        <v>6856</v>
      </c>
      <c r="C5887" t="s">
        <v>926</v>
      </c>
      <c r="D5887" s="21" t="s">
        <v>34</v>
      </c>
      <c r="E5887" s="21" t="s">
        <v>35</v>
      </c>
      <c r="F5887">
        <v>1150145</v>
      </c>
      <c r="G5887" t="s">
        <v>6857</v>
      </c>
      <c r="H5887" s="21">
        <v>1151.18</v>
      </c>
    </row>
    <row r="5888" spans="1:8" customFormat="1" x14ac:dyDescent="0.25">
      <c r="A5888" t="str">
        <f>"4411736"</f>
        <v>4411736</v>
      </c>
      <c r="B5888" t="s">
        <v>2036</v>
      </c>
      <c r="C5888" t="s">
        <v>1803</v>
      </c>
      <c r="D5888" s="21" t="s">
        <v>34</v>
      </c>
      <c r="E5888" s="21" t="s">
        <v>35</v>
      </c>
      <c r="F5888">
        <v>3290276</v>
      </c>
      <c r="G5888" t="s">
        <v>26710</v>
      </c>
      <c r="H5888" s="21">
        <v>1151.17</v>
      </c>
    </row>
    <row r="5889" spans="1:8" customFormat="1" x14ac:dyDescent="0.25">
      <c r="A5889" t="str">
        <f>"318301"</f>
        <v>318301</v>
      </c>
      <c r="B5889" t="s">
        <v>2847</v>
      </c>
      <c r="C5889" t="s">
        <v>328</v>
      </c>
      <c r="D5889" s="21" t="s">
        <v>34</v>
      </c>
      <c r="E5889" s="21" t="s">
        <v>35</v>
      </c>
      <c r="F5889">
        <v>11650018</v>
      </c>
      <c r="G5889" t="s">
        <v>6247</v>
      </c>
      <c r="H5889" s="21">
        <v>1151.17</v>
      </c>
    </row>
    <row r="5890" spans="1:8" customFormat="1" x14ac:dyDescent="0.25">
      <c r="A5890" t="str">
        <f>"5015001"</f>
        <v>5015001</v>
      </c>
      <c r="B5890" t="s">
        <v>6516</v>
      </c>
      <c r="C5890" t="s">
        <v>204</v>
      </c>
      <c r="D5890" s="21" t="s">
        <v>34</v>
      </c>
      <c r="E5890" s="21" t="s">
        <v>71</v>
      </c>
      <c r="F5890">
        <v>9500003</v>
      </c>
      <c r="G5890" t="s">
        <v>545</v>
      </c>
      <c r="H5890" s="21">
        <v>1151.17</v>
      </c>
    </row>
    <row r="5891" spans="1:8" customFormat="1" x14ac:dyDescent="0.25">
      <c r="A5891" t="str">
        <f>"5916556"</f>
        <v>5916556</v>
      </c>
      <c r="B5891" t="s">
        <v>8419</v>
      </c>
      <c r="C5891" t="s">
        <v>65</v>
      </c>
      <c r="D5891" s="21" t="s">
        <v>34</v>
      </c>
      <c r="E5891" s="21" t="s">
        <v>35</v>
      </c>
      <c r="F5891">
        <v>7590018</v>
      </c>
      <c r="G5891" t="s">
        <v>2807</v>
      </c>
      <c r="H5891" s="21">
        <v>1151.17</v>
      </c>
    </row>
    <row r="5892" spans="1:8" customFormat="1" x14ac:dyDescent="0.25">
      <c r="A5892" t="str">
        <f>"4518428"</f>
        <v>4518428</v>
      </c>
      <c r="B5892" t="s">
        <v>8432</v>
      </c>
      <c r="C5892" t="s">
        <v>119</v>
      </c>
      <c r="D5892" s="21" t="s">
        <v>34</v>
      </c>
      <c r="E5892" s="21" t="s">
        <v>35</v>
      </c>
      <c r="F5892">
        <v>4450757</v>
      </c>
      <c r="G5892" t="s">
        <v>3829</v>
      </c>
      <c r="H5892" s="21">
        <v>1151.17</v>
      </c>
    </row>
    <row r="5893" spans="1:8" customFormat="1" x14ac:dyDescent="0.25">
      <c r="A5893" t="str">
        <f>"859499"</f>
        <v>859499</v>
      </c>
      <c r="B5893" t="s">
        <v>26914</v>
      </c>
      <c r="C5893" t="s">
        <v>2520</v>
      </c>
      <c r="D5893" s="21" t="s">
        <v>34</v>
      </c>
      <c r="E5893" s="21" t="s">
        <v>254</v>
      </c>
      <c r="F5893">
        <v>12490059</v>
      </c>
      <c r="G5893" t="s">
        <v>5063</v>
      </c>
      <c r="H5893" s="21">
        <v>1151.17</v>
      </c>
    </row>
    <row r="5894" spans="1:8" customFormat="1" x14ac:dyDescent="0.25">
      <c r="A5894" t="str">
        <f>"417438"</f>
        <v>417438</v>
      </c>
      <c r="B5894" t="s">
        <v>5992</v>
      </c>
      <c r="C5894" t="s">
        <v>269</v>
      </c>
      <c r="D5894" s="21" t="s">
        <v>34</v>
      </c>
      <c r="E5894" s="21" t="s">
        <v>71</v>
      </c>
      <c r="F5894">
        <v>10640008</v>
      </c>
      <c r="G5894" t="s">
        <v>1694</v>
      </c>
      <c r="H5894" s="21">
        <v>1151.17</v>
      </c>
    </row>
    <row r="5895" spans="1:8" customFormat="1" x14ac:dyDescent="0.25">
      <c r="A5895" t="str">
        <f>"272760"</f>
        <v>272760</v>
      </c>
      <c r="B5895" t="s">
        <v>7218</v>
      </c>
      <c r="C5895" t="s">
        <v>598</v>
      </c>
      <c r="D5895" s="21" t="s">
        <v>34</v>
      </c>
      <c r="E5895" s="21" t="s">
        <v>254</v>
      </c>
      <c r="F5895">
        <v>9270159</v>
      </c>
      <c r="G5895" t="s">
        <v>5425</v>
      </c>
      <c r="H5895" s="21">
        <v>1151.17</v>
      </c>
    </row>
    <row r="5896" spans="1:8" customFormat="1" x14ac:dyDescent="0.25">
      <c r="A5896" t="str">
        <f>"505280"</f>
        <v>505280</v>
      </c>
      <c r="B5896" t="s">
        <v>5343</v>
      </c>
      <c r="C5896" t="s">
        <v>926</v>
      </c>
      <c r="D5896" s="21" t="s">
        <v>34</v>
      </c>
      <c r="E5896" s="21" t="s">
        <v>35</v>
      </c>
      <c r="F5896">
        <v>9500030</v>
      </c>
      <c r="G5896" t="s">
        <v>2166</v>
      </c>
      <c r="H5896" s="21">
        <v>1151.17</v>
      </c>
    </row>
    <row r="5897" spans="1:8" customFormat="1" x14ac:dyDescent="0.25">
      <c r="A5897" t="str">
        <f>"9310658"</f>
        <v>9310658</v>
      </c>
      <c r="B5897" t="s">
        <v>623</v>
      </c>
      <c r="C5897" t="s">
        <v>246</v>
      </c>
      <c r="D5897" s="21" t="s">
        <v>34</v>
      </c>
      <c r="E5897" s="21" t="s">
        <v>71</v>
      </c>
      <c r="F5897">
        <v>8930430</v>
      </c>
      <c r="G5897" t="s">
        <v>995</v>
      </c>
      <c r="H5897" s="21">
        <v>1150.8</v>
      </c>
    </row>
    <row r="5898" spans="1:8" customFormat="1" x14ac:dyDescent="0.25">
      <c r="A5898" t="str">
        <f>"9210942"</f>
        <v>9210942</v>
      </c>
      <c r="B5898" t="s">
        <v>6951</v>
      </c>
      <c r="C5898" t="s">
        <v>6952</v>
      </c>
      <c r="D5898" s="21" t="s">
        <v>34</v>
      </c>
      <c r="E5898" s="21" t="s">
        <v>35</v>
      </c>
      <c r="F5898">
        <v>8920126</v>
      </c>
      <c r="G5898" t="s">
        <v>1168</v>
      </c>
      <c r="H5898" s="21">
        <v>1150.8</v>
      </c>
    </row>
    <row r="5899" spans="1:8" customFormat="1" x14ac:dyDescent="0.25">
      <c r="A5899" t="str">
        <f>"605600"</f>
        <v>605600</v>
      </c>
      <c r="B5899" t="s">
        <v>7634</v>
      </c>
      <c r="C5899" t="s">
        <v>263</v>
      </c>
      <c r="D5899" s="21" t="s">
        <v>34</v>
      </c>
      <c r="E5899" s="21" t="s">
        <v>35</v>
      </c>
      <c r="F5899">
        <v>11340007</v>
      </c>
      <c r="G5899" t="s">
        <v>2278</v>
      </c>
      <c r="H5899" s="21">
        <v>1150.8</v>
      </c>
    </row>
    <row r="5900" spans="1:8" customFormat="1" x14ac:dyDescent="0.25">
      <c r="A5900" t="str">
        <f>"5323740"</f>
        <v>5323740</v>
      </c>
      <c r="B5900" t="s">
        <v>8219</v>
      </c>
      <c r="C5900" t="s">
        <v>1803</v>
      </c>
      <c r="D5900" s="21" t="s">
        <v>34</v>
      </c>
      <c r="E5900" s="21" t="s">
        <v>35</v>
      </c>
      <c r="F5900">
        <v>12530059</v>
      </c>
      <c r="G5900" t="s">
        <v>4062</v>
      </c>
      <c r="H5900" s="21">
        <v>1150.8</v>
      </c>
    </row>
    <row r="5901" spans="1:8" customFormat="1" x14ac:dyDescent="0.25">
      <c r="A5901" t="str">
        <f>"9526964"</f>
        <v>9526964</v>
      </c>
      <c r="B5901" t="s">
        <v>5623</v>
      </c>
      <c r="C5901" t="s">
        <v>934</v>
      </c>
      <c r="D5901" s="21" t="s">
        <v>34</v>
      </c>
      <c r="E5901" s="21" t="s">
        <v>35</v>
      </c>
      <c r="F5901">
        <v>8950092</v>
      </c>
      <c r="G5901" t="s">
        <v>2039</v>
      </c>
      <c r="H5901" s="21">
        <v>1150.68</v>
      </c>
    </row>
    <row r="5902" spans="1:8" customFormat="1" x14ac:dyDescent="0.25">
      <c r="A5902" t="str">
        <f>"2512909"</f>
        <v>2512909</v>
      </c>
      <c r="B5902" t="s">
        <v>6077</v>
      </c>
      <c r="C5902" t="s">
        <v>37</v>
      </c>
      <c r="D5902" s="21" t="s">
        <v>34</v>
      </c>
      <c r="E5902" s="21" t="s">
        <v>71</v>
      </c>
      <c r="F5902">
        <v>2250002</v>
      </c>
      <c r="G5902" t="s">
        <v>2745</v>
      </c>
      <c r="H5902" s="21">
        <v>1150.67</v>
      </c>
    </row>
    <row r="5903" spans="1:8" customFormat="1" x14ac:dyDescent="0.25">
      <c r="A5903" t="str">
        <f>"6720898"</f>
        <v>6720898</v>
      </c>
      <c r="B5903" t="s">
        <v>7037</v>
      </c>
      <c r="C5903" t="s">
        <v>156</v>
      </c>
      <c r="D5903" s="21" t="s">
        <v>34</v>
      </c>
      <c r="E5903" s="21" t="s">
        <v>71</v>
      </c>
      <c r="F5903">
        <v>6670260</v>
      </c>
      <c r="G5903" t="s">
        <v>1202</v>
      </c>
      <c r="H5903" s="21">
        <v>1150.67</v>
      </c>
    </row>
    <row r="5904" spans="1:8" customFormat="1" x14ac:dyDescent="0.25">
      <c r="A5904" t="str">
        <f>"5964919"</f>
        <v>5964919</v>
      </c>
      <c r="B5904" t="s">
        <v>6138</v>
      </c>
      <c r="C5904" t="s">
        <v>211</v>
      </c>
      <c r="D5904" s="21" t="s">
        <v>34</v>
      </c>
      <c r="E5904" s="21" t="s">
        <v>71</v>
      </c>
      <c r="F5904">
        <v>7590003</v>
      </c>
      <c r="G5904" t="s">
        <v>1166</v>
      </c>
      <c r="H5904" s="21">
        <v>1150.67</v>
      </c>
    </row>
    <row r="5905" spans="1:8" customFormat="1" x14ac:dyDescent="0.25">
      <c r="A5905" t="str">
        <f>"6711987"</f>
        <v>6711987</v>
      </c>
      <c r="B5905" t="s">
        <v>7742</v>
      </c>
      <c r="C5905" t="s">
        <v>114</v>
      </c>
      <c r="D5905" s="21" t="s">
        <v>34</v>
      </c>
      <c r="E5905" s="21" t="s">
        <v>71</v>
      </c>
      <c r="F5905">
        <v>6670247</v>
      </c>
      <c r="G5905" t="s">
        <v>7594</v>
      </c>
      <c r="H5905" s="21">
        <v>1150.67</v>
      </c>
    </row>
    <row r="5906" spans="1:8" customFormat="1" x14ac:dyDescent="0.25">
      <c r="A5906" t="str">
        <f>"9420010"</f>
        <v>9420010</v>
      </c>
      <c r="B5906" t="s">
        <v>6283</v>
      </c>
      <c r="C5906" t="s">
        <v>462</v>
      </c>
      <c r="D5906" s="21" t="s">
        <v>34</v>
      </c>
      <c r="E5906" s="21" t="s">
        <v>35</v>
      </c>
      <c r="F5906">
        <v>8921458</v>
      </c>
      <c r="G5906" t="s">
        <v>162</v>
      </c>
      <c r="H5906" s="21">
        <v>1150.67</v>
      </c>
    </row>
    <row r="5907" spans="1:8" customFormat="1" x14ac:dyDescent="0.25">
      <c r="A5907" t="str">
        <f>"6226956"</f>
        <v>6226956</v>
      </c>
      <c r="B5907" t="s">
        <v>2582</v>
      </c>
      <c r="C5907" t="s">
        <v>209</v>
      </c>
      <c r="D5907" s="21" t="s">
        <v>34</v>
      </c>
      <c r="E5907" s="21" t="s">
        <v>35</v>
      </c>
      <c r="F5907">
        <v>7620017</v>
      </c>
      <c r="G5907" t="s">
        <v>6559</v>
      </c>
      <c r="H5907" s="21">
        <v>1150.67</v>
      </c>
    </row>
    <row r="5908" spans="1:8" customFormat="1" x14ac:dyDescent="0.25">
      <c r="A5908" t="str">
        <f>"628710"</f>
        <v>628710</v>
      </c>
      <c r="B5908" t="s">
        <v>6861</v>
      </c>
      <c r="C5908" t="s">
        <v>263</v>
      </c>
      <c r="D5908" s="21" t="s">
        <v>34</v>
      </c>
      <c r="E5908" s="21" t="s">
        <v>71</v>
      </c>
      <c r="F5908">
        <v>7590058</v>
      </c>
      <c r="G5908" t="s">
        <v>5044</v>
      </c>
      <c r="H5908" s="21">
        <v>1150.67</v>
      </c>
    </row>
    <row r="5909" spans="1:8" customFormat="1" x14ac:dyDescent="0.25">
      <c r="A5909" t="str">
        <f>"5618286"</f>
        <v>5618286</v>
      </c>
      <c r="B5909" t="s">
        <v>5858</v>
      </c>
      <c r="C5909" t="s">
        <v>87</v>
      </c>
      <c r="D5909" s="21" t="s">
        <v>34</v>
      </c>
      <c r="E5909" s="21" t="s">
        <v>35</v>
      </c>
      <c r="F5909">
        <v>3560020</v>
      </c>
      <c r="G5909" t="s">
        <v>426</v>
      </c>
      <c r="H5909" s="21">
        <v>1150.67</v>
      </c>
    </row>
    <row r="5910" spans="1:8" customFormat="1" x14ac:dyDescent="0.25">
      <c r="A5910" t="str">
        <f>"131481"</f>
        <v>131481</v>
      </c>
      <c r="B5910" t="s">
        <v>6353</v>
      </c>
      <c r="C5910" t="s">
        <v>109</v>
      </c>
      <c r="D5910" s="21" t="s">
        <v>34</v>
      </c>
      <c r="E5910" s="21" t="s">
        <v>35</v>
      </c>
      <c r="F5910">
        <v>13130122</v>
      </c>
      <c r="G5910" t="s">
        <v>6354</v>
      </c>
      <c r="H5910" s="21">
        <v>1150.67</v>
      </c>
    </row>
    <row r="5911" spans="1:8" customFormat="1" x14ac:dyDescent="0.25">
      <c r="A5911" t="str">
        <f>"459125"</f>
        <v>459125</v>
      </c>
      <c r="B5911" t="s">
        <v>5983</v>
      </c>
      <c r="C5911" t="s">
        <v>109</v>
      </c>
      <c r="D5911" s="21" t="s">
        <v>34</v>
      </c>
      <c r="E5911" s="21" t="s">
        <v>71</v>
      </c>
      <c r="F5911">
        <v>4450571</v>
      </c>
      <c r="G5911" t="s">
        <v>188</v>
      </c>
      <c r="H5911" s="21">
        <v>1150.67</v>
      </c>
    </row>
    <row r="5912" spans="1:8" customFormat="1" x14ac:dyDescent="0.25">
      <c r="A5912" t="str">
        <f>"197441"</f>
        <v>197441</v>
      </c>
      <c r="B5912" t="s">
        <v>7343</v>
      </c>
      <c r="C5912" t="s">
        <v>269</v>
      </c>
      <c r="D5912" s="21" t="s">
        <v>34</v>
      </c>
      <c r="E5912" s="21" t="s">
        <v>71</v>
      </c>
      <c r="F5912">
        <v>10190108</v>
      </c>
      <c r="G5912" t="s">
        <v>7344</v>
      </c>
      <c r="H5912" s="21">
        <v>1150.67</v>
      </c>
    </row>
    <row r="5913" spans="1:8" customFormat="1" x14ac:dyDescent="0.25">
      <c r="A5913" t="str">
        <f>"5942597"</f>
        <v>5942597</v>
      </c>
      <c r="B5913" t="s">
        <v>5951</v>
      </c>
      <c r="C5913" t="s">
        <v>867</v>
      </c>
      <c r="D5913" s="21" t="s">
        <v>34</v>
      </c>
      <c r="E5913" s="21" t="s">
        <v>35</v>
      </c>
      <c r="F5913">
        <v>10160044</v>
      </c>
      <c r="G5913" t="s">
        <v>4941</v>
      </c>
      <c r="H5913" s="21">
        <v>1150.67</v>
      </c>
    </row>
    <row r="5914" spans="1:8" customFormat="1" x14ac:dyDescent="0.25">
      <c r="A5914" t="str">
        <f>"50256"</f>
        <v>50256</v>
      </c>
      <c r="B5914" t="s">
        <v>946</v>
      </c>
      <c r="C5914" t="s">
        <v>263</v>
      </c>
      <c r="D5914" s="21" t="s">
        <v>34</v>
      </c>
      <c r="E5914" s="21" t="s">
        <v>71</v>
      </c>
      <c r="F5914">
        <v>9500011</v>
      </c>
      <c r="G5914" t="s">
        <v>4903</v>
      </c>
      <c r="H5914" s="21">
        <v>1150.67</v>
      </c>
    </row>
    <row r="5915" spans="1:8" customFormat="1" x14ac:dyDescent="0.25">
      <c r="A5915" t="str">
        <f>"2811696"</f>
        <v>2811696</v>
      </c>
      <c r="B5915" t="s">
        <v>2398</v>
      </c>
      <c r="C5915" t="s">
        <v>127</v>
      </c>
      <c r="D5915" s="21" t="s">
        <v>34</v>
      </c>
      <c r="E5915" s="21" t="s">
        <v>35</v>
      </c>
      <c r="F5915">
        <v>4280529</v>
      </c>
      <c r="G5915" t="s">
        <v>2970</v>
      </c>
      <c r="H5915" s="21">
        <v>1150.56</v>
      </c>
    </row>
    <row r="5916" spans="1:8" customFormat="1" x14ac:dyDescent="0.25">
      <c r="A5916" t="str">
        <f>"617935"</f>
        <v>617935</v>
      </c>
      <c r="B5916" t="s">
        <v>1791</v>
      </c>
      <c r="C5916" t="s">
        <v>139</v>
      </c>
      <c r="D5916" s="21" t="s">
        <v>34</v>
      </c>
      <c r="E5916" s="21" t="s">
        <v>71</v>
      </c>
      <c r="F5916">
        <v>9610087</v>
      </c>
      <c r="G5916" t="s">
        <v>2661</v>
      </c>
      <c r="H5916" s="21">
        <v>1150.17</v>
      </c>
    </row>
    <row r="5917" spans="1:8" customFormat="1" x14ac:dyDescent="0.25">
      <c r="A5917" t="str">
        <f>"9519483"</f>
        <v>9519483</v>
      </c>
      <c r="B5917" t="s">
        <v>5913</v>
      </c>
      <c r="C5917" t="s">
        <v>209</v>
      </c>
      <c r="D5917" s="21" t="s">
        <v>34</v>
      </c>
      <c r="E5917" s="21" t="s">
        <v>35</v>
      </c>
      <c r="F5917">
        <v>8910916</v>
      </c>
      <c r="G5917" t="s">
        <v>2251</v>
      </c>
      <c r="H5917" s="21">
        <v>1150.17</v>
      </c>
    </row>
    <row r="5918" spans="1:8" customFormat="1" x14ac:dyDescent="0.25">
      <c r="A5918" t="str">
        <f>"673235"</f>
        <v>673235</v>
      </c>
      <c r="B5918" t="s">
        <v>6336</v>
      </c>
      <c r="C5918" t="s">
        <v>1714</v>
      </c>
      <c r="D5918" s="21" t="s">
        <v>34</v>
      </c>
      <c r="E5918" s="21" t="s">
        <v>254</v>
      </c>
      <c r="F5918">
        <v>6670058</v>
      </c>
      <c r="G5918" t="s">
        <v>2551</v>
      </c>
      <c r="H5918" s="21">
        <v>1150.17</v>
      </c>
    </row>
    <row r="5919" spans="1:8" customFormat="1" x14ac:dyDescent="0.25">
      <c r="A5919" t="str">
        <f>"51222"</f>
        <v>51222</v>
      </c>
      <c r="B5919" t="s">
        <v>5638</v>
      </c>
      <c r="C5919" t="s">
        <v>1146</v>
      </c>
      <c r="D5919" s="21" t="s">
        <v>34</v>
      </c>
      <c r="E5919" s="21" t="s">
        <v>71</v>
      </c>
      <c r="F5919">
        <v>6510008</v>
      </c>
      <c r="G5919" t="s">
        <v>26622</v>
      </c>
      <c r="H5919" s="21">
        <v>1150.17</v>
      </c>
    </row>
    <row r="5920" spans="1:8" customFormat="1" x14ac:dyDescent="0.25">
      <c r="A5920" t="str">
        <f>"7219295"</f>
        <v>7219295</v>
      </c>
      <c r="B5920" t="s">
        <v>6775</v>
      </c>
      <c r="C5920" t="s">
        <v>98</v>
      </c>
      <c r="D5920" s="21" t="s">
        <v>34</v>
      </c>
      <c r="E5920" s="21" t="s">
        <v>35</v>
      </c>
      <c r="F5920">
        <v>12720110</v>
      </c>
      <c r="G5920" t="s">
        <v>3464</v>
      </c>
      <c r="H5920" s="21">
        <v>1150.17</v>
      </c>
    </row>
    <row r="5921" spans="1:8" customFormat="1" x14ac:dyDescent="0.25">
      <c r="A5921" t="str">
        <f>"4433901"</f>
        <v>4433901</v>
      </c>
      <c r="B5921" t="s">
        <v>6853</v>
      </c>
      <c r="C5921" t="s">
        <v>98</v>
      </c>
      <c r="D5921" s="21" t="s">
        <v>34</v>
      </c>
      <c r="E5921" s="21" t="s">
        <v>35</v>
      </c>
      <c r="F5921">
        <v>12440116</v>
      </c>
      <c r="G5921" t="s">
        <v>26673</v>
      </c>
      <c r="H5921" s="21">
        <v>1150.17</v>
      </c>
    </row>
    <row r="5922" spans="1:8" customFormat="1" x14ac:dyDescent="0.25">
      <c r="A5922" t="str">
        <f>"3531985"</f>
        <v>3531985</v>
      </c>
      <c r="B5922" t="s">
        <v>7496</v>
      </c>
      <c r="C5922" t="s">
        <v>87</v>
      </c>
      <c r="D5922" s="21" t="s">
        <v>34</v>
      </c>
      <c r="E5922" s="21" t="s">
        <v>35</v>
      </c>
      <c r="F5922">
        <v>3350148</v>
      </c>
      <c r="G5922" t="s">
        <v>7497</v>
      </c>
      <c r="H5922" s="21">
        <v>1150.17</v>
      </c>
    </row>
    <row r="5923" spans="1:8" customFormat="1" x14ac:dyDescent="0.25">
      <c r="A5923" t="str">
        <f>"281737"</f>
        <v>281737</v>
      </c>
      <c r="B5923" t="s">
        <v>6657</v>
      </c>
      <c r="C5923" t="s">
        <v>43</v>
      </c>
      <c r="D5923" s="21" t="s">
        <v>34</v>
      </c>
      <c r="E5923" s="21" t="s">
        <v>35</v>
      </c>
      <c r="F5923">
        <v>4280517</v>
      </c>
      <c r="G5923" t="s">
        <v>436</v>
      </c>
      <c r="H5923" s="21">
        <v>1150.17</v>
      </c>
    </row>
    <row r="5924" spans="1:8" customFormat="1" x14ac:dyDescent="0.25">
      <c r="A5924" t="str">
        <f>"5913135"</f>
        <v>5913135</v>
      </c>
      <c r="B5924" t="s">
        <v>5179</v>
      </c>
      <c r="C5924" t="s">
        <v>5180</v>
      </c>
      <c r="D5924" s="21" t="s">
        <v>34</v>
      </c>
      <c r="E5924" s="21" t="s">
        <v>35</v>
      </c>
      <c r="F5924">
        <v>7590020</v>
      </c>
      <c r="G5924" t="s">
        <v>5181</v>
      </c>
      <c r="H5924" s="21">
        <v>1150.17</v>
      </c>
    </row>
    <row r="5925" spans="1:8" customFormat="1" x14ac:dyDescent="0.25">
      <c r="A5925" t="str">
        <f>"584840"</f>
        <v>584840</v>
      </c>
      <c r="B5925" t="s">
        <v>7339</v>
      </c>
      <c r="C5925" t="s">
        <v>144</v>
      </c>
      <c r="D5925" s="21" t="s">
        <v>34</v>
      </c>
      <c r="E5925" s="21" t="s">
        <v>71</v>
      </c>
      <c r="F5925">
        <v>2580012</v>
      </c>
      <c r="G5925" t="s">
        <v>1144</v>
      </c>
      <c r="H5925" s="21">
        <v>1150.04</v>
      </c>
    </row>
    <row r="5926" spans="1:8" customFormat="1" x14ac:dyDescent="0.25">
      <c r="A5926" t="str">
        <f>"2210093"</f>
        <v>2210093</v>
      </c>
      <c r="B5926" t="s">
        <v>6844</v>
      </c>
      <c r="C5926" t="s">
        <v>285</v>
      </c>
      <c r="D5926" s="21" t="s">
        <v>34</v>
      </c>
      <c r="E5926" s="21" t="s">
        <v>35</v>
      </c>
      <c r="F5926">
        <v>3220008</v>
      </c>
      <c r="G5926" t="s">
        <v>6845</v>
      </c>
      <c r="H5926" s="21">
        <v>1149.92</v>
      </c>
    </row>
    <row r="5927" spans="1:8" customFormat="1" x14ac:dyDescent="0.25">
      <c r="A5927" t="str">
        <f>"276120"</f>
        <v>276120</v>
      </c>
      <c r="B5927" t="s">
        <v>5798</v>
      </c>
      <c r="C5927" t="s">
        <v>879</v>
      </c>
      <c r="D5927" s="21" t="s">
        <v>34</v>
      </c>
      <c r="E5927" s="21" t="s">
        <v>35</v>
      </c>
      <c r="F5927">
        <v>9270176</v>
      </c>
      <c r="G5927" t="s">
        <v>5799</v>
      </c>
      <c r="H5927" s="21">
        <v>1149.92</v>
      </c>
    </row>
    <row r="5928" spans="1:8" customFormat="1" x14ac:dyDescent="0.25">
      <c r="A5928" t="str">
        <f>"4513078"</f>
        <v>4513078</v>
      </c>
      <c r="B5928" t="s">
        <v>26915</v>
      </c>
      <c r="C5928" t="s">
        <v>576</v>
      </c>
      <c r="D5928" s="21" t="s">
        <v>34</v>
      </c>
      <c r="E5928" s="21" t="s">
        <v>35</v>
      </c>
      <c r="F5928">
        <v>7590293</v>
      </c>
      <c r="G5928" t="s">
        <v>2431</v>
      </c>
      <c r="H5928" s="21">
        <v>1149.67</v>
      </c>
    </row>
    <row r="5929" spans="1:8" customFormat="1" x14ac:dyDescent="0.25">
      <c r="A5929" t="str">
        <f>"609649"</f>
        <v>609649</v>
      </c>
      <c r="B5929" t="s">
        <v>6250</v>
      </c>
      <c r="C5929" t="s">
        <v>121</v>
      </c>
      <c r="D5929" s="21" t="s">
        <v>34</v>
      </c>
      <c r="E5929" s="21" t="s">
        <v>71</v>
      </c>
      <c r="F5929">
        <v>6570024</v>
      </c>
      <c r="G5929" t="s">
        <v>464</v>
      </c>
      <c r="H5929" s="21">
        <v>1149.67</v>
      </c>
    </row>
    <row r="5930" spans="1:8" customFormat="1" x14ac:dyDescent="0.25">
      <c r="A5930" t="str">
        <f>"835314"</f>
        <v>835314</v>
      </c>
      <c r="B5930" t="s">
        <v>7703</v>
      </c>
      <c r="C5930" t="s">
        <v>62</v>
      </c>
      <c r="D5930" s="21" t="s">
        <v>34</v>
      </c>
      <c r="E5930" s="21" t="s">
        <v>71</v>
      </c>
      <c r="F5930">
        <v>13830015</v>
      </c>
      <c r="G5930" t="s">
        <v>4011</v>
      </c>
      <c r="H5930" s="21">
        <v>1149.67</v>
      </c>
    </row>
    <row r="5931" spans="1:8" customFormat="1" x14ac:dyDescent="0.25">
      <c r="A5931" t="str">
        <f>"9411721"</f>
        <v>9411721</v>
      </c>
      <c r="B5931" t="s">
        <v>2413</v>
      </c>
      <c r="C5931" t="s">
        <v>121</v>
      </c>
      <c r="D5931" s="21" t="s">
        <v>34</v>
      </c>
      <c r="E5931" s="21" t="s">
        <v>35</v>
      </c>
      <c r="F5931">
        <v>12720027</v>
      </c>
      <c r="G5931" t="s">
        <v>3562</v>
      </c>
      <c r="H5931" s="21">
        <v>1149.67</v>
      </c>
    </row>
    <row r="5932" spans="1:8" customFormat="1" x14ac:dyDescent="0.25">
      <c r="A5932" t="str">
        <f>"2713998"</f>
        <v>2713998</v>
      </c>
      <c r="B5932" t="s">
        <v>9008</v>
      </c>
      <c r="C5932" t="s">
        <v>33</v>
      </c>
      <c r="D5932" s="21" t="s">
        <v>34</v>
      </c>
      <c r="E5932" s="21" t="s">
        <v>35</v>
      </c>
      <c r="F5932">
        <v>9760168</v>
      </c>
      <c r="G5932" t="s">
        <v>179</v>
      </c>
      <c r="H5932" s="21">
        <v>1149.67</v>
      </c>
    </row>
    <row r="5933" spans="1:8" customFormat="1" x14ac:dyDescent="0.25">
      <c r="A5933" t="str">
        <f>"405982"</f>
        <v>405982</v>
      </c>
      <c r="B5933" t="s">
        <v>5687</v>
      </c>
      <c r="C5933" t="s">
        <v>124</v>
      </c>
      <c r="D5933" s="21" t="s">
        <v>34</v>
      </c>
      <c r="E5933" s="21" t="s">
        <v>35</v>
      </c>
      <c r="F5933">
        <v>10400024</v>
      </c>
      <c r="G5933" t="s">
        <v>4680</v>
      </c>
      <c r="H5933" s="21">
        <v>1149.67</v>
      </c>
    </row>
    <row r="5934" spans="1:8" customFormat="1" x14ac:dyDescent="0.25">
      <c r="A5934" t="str">
        <f>"7211569"</f>
        <v>7211569</v>
      </c>
      <c r="B5934" t="s">
        <v>2644</v>
      </c>
      <c r="C5934" t="s">
        <v>768</v>
      </c>
      <c r="D5934" s="21" t="s">
        <v>34</v>
      </c>
      <c r="E5934" s="21" t="s">
        <v>35</v>
      </c>
      <c r="F5934">
        <v>12850037</v>
      </c>
      <c r="G5934" t="s">
        <v>2787</v>
      </c>
      <c r="H5934" s="21">
        <v>1149.31</v>
      </c>
    </row>
    <row r="5935" spans="1:8" customFormat="1" x14ac:dyDescent="0.25">
      <c r="A5935" t="str">
        <f>"5010323"</f>
        <v>5010323</v>
      </c>
      <c r="B5935" t="s">
        <v>6195</v>
      </c>
      <c r="C5935" t="s">
        <v>547</v>
      </c>
      <c r="D5935" s="21" t="s">
        <v>34</v>
      </c>
      <c r="E5935" s="21" t="s">
        <v>71</v>
      </c>
      <c r="F5935">
        <v>9140054</v>
      </c>
      <c r="G5935" t="s">
        <v>3300</v>
      </c>
      <c r="H5935" s="21">
        <v>1149.17</v>
      </c>
    </row>
    <row r="5936" spans="1:8" customFormat="1" x14ac:dyDescent="0.25">
      <c r="A5936" t="str">
        <f>"3514203"</f>
        <v>3514203</v>
      </c>
      <c r="B5936" t="s">
        <v>6627</v>
      </c>
      <c r="C5936" t="s">
        <v>1665</v>
      </c>
      <c r="D5936" s="21" t="s">
        <v>34</v>
      </c>
      <c r="E5936" s="21" t="s">
        <v>254</v>
      </c>
      <c r="F5936">
        <v>3350041</v>
      </c>
      <c r="G5936" t="s">
        <v>1589</v>
      </c>
      <c r="H5936" s="21">
        <v>1149.17</v>
      </c>
    </row>
    <row r="5937" spans="1:8" customFormat="1" x14ac:dyDescent="0.25">
      <c r="A5937" t="str">
        <f>"7623343"</f>
        <v>7623343</v>
      </c>
      <c r="B5937" t="s">
        <v>26916</v>
      </c>
      <c r="C5937" t="s">
        <v>96</v>
      </c>
      <c r="D5937" s="21" t="s">
        <v>34</v>
      </c>
      <c r="E5937" s="21" t="s">
        <v>35</v>
      </c>
      <c r="F5937">
        <v>9760425</v>
      </c>
      <c r="G5937" t="s">
        <v>5012</v>
      </c>
      <c r="H5937" s="21">
        <v>1149.17</v>
      </c>
    </row>
    <row r="5938" spans="1:8" customFormat="1" x14ac:dyDescent="0.25">
      <c r="A5938" t="str">
        <f>"289252"</f>
        <v>289252</v>
      </c>
      <c r="B5938" t="s">
        <v>5077</v>
      </c>
      <c r="C5938" t="s">
        <v>3309</v>
      </c>
      <c r="D5938" s="21" t="s">
        <v>34</v>
      </c>
      <c r="E5938" s="21" t="s">
        <v>71</v>
      </c>
      <c r="F5938">
        <v>12850030</v>
      </c>
      <c r="G5938" t="s">
        <v>5078</v>
      </c>
      <c r="H5938" s="21">
        <v>1149.17</v>
      </c>
    </row>
    <row r="5939" spans="1:8" customFormat="1" x14ac:dyDescent="0.25">
      <c r="A5939" t="str">
        <f>"364742"</f>
        <v>364742</v>
      </c>
      <c r="B5939" t="s">
        <v>6620</v>
      </c>
      <c r="C5939" t="s">
        <v>87</v>
      </c>
      <c r="D5939" s="21" t="s">
        <v>34</v>
      </c>
      <c r="E5939" s="21" t="s">
        <v>35</v>
      </c>
      <c r="F5939">
        <v>4360707</v>
      </c>
      <c r="G5939" t="s">
        <v>6621</v>
      </c>
      <c r="H5939" s="21">
        <v>1149.17</v>
      </c>
    </row>
    <row r="5940" spans="1:8" customFormat="1" x14ac:dyDescent="0.25">
      <c r="A5940" t="str">
        <f>"063998"</f>
        <v>063998</v>
      </c>
      <c r="B5940" t="s">
        <v>6410</v>
      </c>
      <c r="C5940" t="s">
        <v>65</v>
      </c>
      <c r="D5940" s="21" t="s">
        <v>34</v>
      </c>
      <c r="E5940" s="21" t="s">
        <v>35</v>
      </c>
      <c r="F5940">
        <v>13060043</v>
      </c>
      <c r="G5940" t="s">
        <v>4761</v>
      </c>
      <c r="H5940" s="21">
        <v>1149.17</v>
      </c>
    </row>
    <row r="5941" spans="1:8" customFormat="1" x14ac:dyDescent="0.25">
      <c r="A5941" t="str">
        <f>"885211"</f>
        <v>885211</v>
      </c>
      <c r="B5941" t="s">
        <v>13877</v>
      </c>
      <c r="C5941" t="s">
        <v>98</v>
      </c>
      <c r="D5941" s="21" t="s">
        <v>34</v>
      </c>
      <c r="E5941" s="21" t="s">
        <v>35</v>
      </c>
      <c r="F5941">
        <v>6880119</v>
      </c>
      <c r="G5941" t="s">
        <v>3443</v>
      </c>
      <c r="H5941" s="21">
        <v>1149.17</v>
      </c>
    </row>
    <row r="5942" spans="1:8" customFormat="1" x14ac:dyDescent="0.25">
      <c r="A5942" t="str">
        <f>"713050"</f>
        <v>713050</v>
      </c>
      <c r="B5942" t="s">
        <v>6817</v>
      </c>
      <c r="C5942" t="s">
        <v>415</v>
      </c>
      <c r="D5942" s="21" t="s">
        <v>34</v>
      </c>
      <c r="E5942" s="21" t="s">
        <v>71</v>
      </c>
      <c r="F5942">
        <v>2580078</v>
      </c>
      <c r="G5942" t="s">
        <v>4432</v>
      </c>
      <c r="H5942" s="21">
        <v>1149.17</v>
      </c>
    </row>
    <row r="5943" spans="1:8" customFormat="1" x14ac:dyDescent="0.25">
      <c r="A5943" t="str">
        <f>"14657"</f>
        <v>14657</v>
      </c>
      <c r="B5943" t="s">
        <v>5755</v>
      </c>
      <c r="C5943" t="s">
        <v>198</v>
      </c>
      <c r="D5943" s="21" t="s">
        <v>34</v>
      </c>
      <c r="E5943" s="21" t="s">
        <v>254</v>
      </c>
      <c r="F5943">
        <v>9140055</v>
      </c>
      <c r="G5943" t="s">
        <v>344</v>
      </c>
      <c r="H5943" s="21">
        <v>1149</v>
      </c>
    </row>
    <row r="5944" spans="1:8" customFormat="1" x14ac:dyDescent="0.25">
      <c r="A5944" t="str">
        <f>"77383"</f>
        <v>77383</v>
      </c>
      <c r="B5944" t="s">
        <v>5936</v>
      </c>
      <c r="C5944" t="s">
        <v>926</v>
      </c>
      <c r="D5944" s="21" t="s">
        <v>34</v>
      </c>
      <c r="E5944" s="21" t="s">
        <v>254</v>
      </c>
      <c r="F5944">
        <v>8770499</v>
      </c>
      <c r="G5944" t="s">
        <v>447</v>
      </c>
      <c r="H5944" s="21">
        <v>1148.8</v>
      </c>
    </row>
    <row r="5945" spans="1:8" customFormat="1" x14ac:dyDescent="0.25">
      <c r="A5945" t="str">
        <f>"93396"</f>
        <v>93396</v>
      </c>
      <c r="B5945" t="s">
        <v>6042</v>
      </c>
      <c r="C5945" t="s">
        <v>1665</v>
      </c>
      <c r="D5945" s="21" t="s">
        <v>34</v>
      </c>
      <c r="E5945" s="21" t="s">
        <v>71</v>
      </c>
      <c r="F5945">
        <v>8930113</v>
      </c>
      <c r="G5945" t="s">
        <v>368</v>
      </c>
      <c r="H5945" s="21">
        <v>1148.68</v>
      </c>
    </row>
    <row r="5946" spans="1:8" customFormat="1" x14ac:dyDescent="0.25">
      <c r="A5946" t="str">
        <f>"4431651"</f>
        <v>4431651</v>
      </c>
      <c r="B5946" t="s">
        <v>4010</v>
      </c>
      <c r="C5946" t="s">
        <v>40</v>
      </c>
      <c r="D5946" s="21" t="s">
        <v>34</v>
      </c>
      <c r="E5946" s="21" t="s">
        <v>35</v>
      </c>
      <c r="F5946">
        <v>12850148</v>
      </c>
      <c r="G5946" t="s">
        <v>2380</v>
      </c>
      <c r="H5946" s="21">
        <v>1148.68</v>
      </c>
    </row>
    <row r="5947" spans="1:8" customFormat="1" x14ac:dyDescent="0.25">
      <c r="A5947" t="str">
        <f>"4913359"</f>
        <v>4913359</v>
      </c>
      <c r="B5947" t="s">
        <v>1264</v>
      </c>
      <c r="C5947" t="s">
        <v>462</v>
      </c>
      <c r="D5947" s="21" t="s">
        <v>34</v>
      </c>
      <c r="E5947" s="21" t="s">
        <v>71</v>
      </c>
      <c r="F5947">
        <v>12490029</v>
      </c>
      <c r="G5947" t="s">
        <v>3485</v>
      </c>
      <c r="H5947" s="21">
        <v>1148.67</v>
      </c>
    </row>
    <row r="5948" spans="1:8" customFormat="1" x14ac:dyDescent="0.25">
      <c r="A5948" t="str">
        <f>"662368"</f>
        <v>662368</v>
      </c>
      <c r="B5948" t="s">
        <v>6450</v>
      </c>
      <c r="C5948" t="s">
        <v>33</v>
      </c>
      <c r="D5948" s="21" t="s">
        <v>34</v>
      </c>
      <c r="E5948" s="21" t="s">
        <v>71</v>
      </c>
      <c r="F5948">
        <v>11660009</v>
      </c>
      <c r="G5948" t="s">
        <v>26624</v>
      </c>
      <c r="H5948" s="21">
        <v>1148.67</v>
      </c>
    </row>
    <row r="5949" spans="1:8" customFormat="1" x14ac:dyDescent="0.25">
      <c r="A5949" t="str">
        <f>"9414178"</f>
        <v>9414178</v>
      </c>
      <c r="B5949" t="s">
        <v>7615</v>
      </c>
      <c r="C5949" t="s">
        <v>139</v>
      </c>
      <c r="D5949" s="21" t="s">
        <v>34</v>
      </c>
      <c r="E5949" s="21" t="s">
        <v>71</v>
      </c>
      <c r="F5949">
        <v>9760107</v>
      </c>
      <c r="G5949" t="s">
        <v>122</v>
      </c>
      <c r="H5949" s="21">
        <v>1148.67</v>
      </c>
    </row>
    <row r="5950" spans="1:8" customFormat="1" x14ac:dyDescent="0.25">
      <c r="A5950" t="str">
        <f>"6014709"</f>
        <v>6014709</v>
      </c>
      <c r="B5950" t="s">
        <v>26917</v>
      </c>
      <c r="C5950" t="s">
        <v>144</v>
      </c>
      <c r="D5950" s="21" t="s">
        <v>34</v>
      </c>
      <c r="E5950" s="21" t="s">
        <v>35</v>
      </c>
      <c r="F5950">
        <v>7600161</v>
      </c>
      <c r="G5950" t="s">
        <v>6023</v>
      </c>
      <c r="H5950" s="21">
        <v>1148.67</v>
      </c>
    </row>
    <row r="5951" spans="1:8" customFormat="1" x14ac:dyDescent="0.25">
      <c r="A5951" t="str">
        <f>"72658"</f>
        <v>72658</v>
      </c>
      <c r="B5951" t="s">
        <v>4522</v>
      </c>
      <c r="C5951" t="s">
        <v>967</v>
      </c>
      <c r="D5951" s="21" t="s">
        <v>34</v>
      </c>
      <c r="E5951" s="21" t="s">
        <v>71</v>
      </c>
      <c r="F5951">
        <v>12720004</v>
      </c>
      <c r="G5951" t="s">
        <v>2328</v>
      </c>
      <c r="H5951" s="21">
        <v>1148.67</v>
      </c>
    </row>
    <row r="5952" spans="1:8" customFormat="1" x14ac:dyDescent="0.25">
      <c r="A5952" t="str">
        <f>"542414"</f>
        <v>542414</v>
      </c>
      <c r="B5952" t="s">
        <v>5790</v>
      </c>
      <c r="C5952" t="s">
        <v>812</v>
      </c>
      <c r="D5952" s="21" t="s">
        <v>34</v>
      </c>
      <c r="E5952" s="21" t="s">
        <v>254</v>
      </c>
      <c r="F5952">
        <v>6540014</v>
      </c>
      <c r="G5952" t="s">
        <v>1483</v>
      </c>
      <c r="H5952" s="21">
        <v>1148.67</v>
      </c>
    </row>
    <row r="5953" spans="1:8" customFormat="1" x14ac:dyDescent="0.25">
      <c r="A5953" t="str">
        <f>"2927881"</f>
        <v>2927881</v>
      </c>
      <c r="B5953" t="s">
        <v>746</v>
      </c>
      <c r="C5953" t="s">
        <v>601</v>
      </c>
      <c r="D5953" s="21" t="s">
        <v>34</v>
      </c>
      <c r="E5953" s="21" t="s">
        <v>35</v>
      </c>
      <c r="F5953">
        <v>3290276</v>
      </c>
      <c r="G5953" t="s">
        <v>26710</v>
      </c>
      <c r="H5953" s="21">
        <v>1148.67</v>
      </c>
    </row>
    <row r="5954" spans="1:8" customFormat="1" x14ac:dyDescent="0.25">
      <c r="A5954" t="str">
        <f>"302829"</f>
        <v>302829</v>
      </c>
      <c r="B5954" t="s">
        <v>8034</v>
      </c>
      <c r="C5954" t="s">
        <v>55</v>
      </c>
      <c r="D5954" s="21" t="s">
        <v>34</v>
      </c>
      <c r="E5954" s="21" t="s">
        <v>71</v>
      </c>
      <c r="F5954">
        <v>11300003</v>
      </c>
      <c r="G5954" t="s">
        <v>7949</v>
      </c>
      <c r="H5954" s="21">
        <v>1148.56</v>
      </c>
    </row>
    <row r="5955" spans="1:8" customFormat="1" x14ac:dyDescent="0.25">
      <c r="A5955" t="str">
        <f>"09284"</f>
        <v>09284</v>
      </c>
      <c r="B5955" t="s">
        <v>26918</v>
      </c>
      <c r="C5955" t="s">
        <v>171</v>
      </c>
      <c r="D5955" s="21" t="s">
        <v>34</v>
      </c>
      <c r="E5955" s="21" t="s">
        <v>71</v>
      </c>
      <c r="F5955">
        <v>11090019</v>
      </c>
      <c r="G5955" t="s">
        <v>5591</v>
      </c>
      <c r="H5955" s="21">
        <v>1148.5</v>
      </c>
    </row>
    <row r="5956" spans="1:8" customFormat="1" x14ac:dyDescent="0.25">
      <c r="A5956" t="str">
        <f>"7521468"</f>
        <v>7521468</v>
      </c>
      <c r="B5956" t="s">
        <v>7901</v>
      </c>
      <c r="C5956" t="s">
        <v>7902</v>
      </c>
      <c r="D5956" s="21" t="s">
        <v>34</v>
      </c>
      <c r="E5956" s="21" t="s">
        <v>254</v>
      </c>
      <c r="F5956">
        <v>8751423</v>
      </c>
      <c r="G5956" t="s">
        <v>4556</v>
      </c>
      <c r="H5956" s="21">
        <v>1148.42</v>
      </c>
    </row>
    <row r="5957" spans="1:8" customFormat="1" x14ac:dyDescent="0.25">
      <c r="A5957" t="str">
        <f>"6216076"</f>
        <v>6216076</v>
      </c>
      <c r="B5957" t="s">
        <v>26919</v>
      </c>
      <c r="C5957" t="s">
        <v>10105</v>
      </c>
      <c r="D5957" s="21" t="s">
        <v>34</v>
      </c>
      <c r="E5957" s="21" t="s">
        <v>35</v>
      </c>
      <c r="F5957">
        <v>7590044</v>
      </c>
      <c r="G5957" t="s">
        <v>2029</v>
      </c>
      <c r="H5957" s="21">
        <v>1148.42</v>
      </c>
    </row>
    <row r="5958" spans="1:8" customFormat="1" x14ac:dyDescent="0.25">
      <c r="A5958" t="str">
        <f>"521923"</f>
        <v>521923</v>
      </c>
      <c r="B5958" t="s">
        <v>1611</v>
      </c>
      <c r="C5958" t="s">
        <v>109</v>
      </c>
      <c r="D5958" s="21" t="s">
        <v>34</v>
      </c>
      <c r="E5958" s="21" t="s">
        <v>71</v>
      </c>
      <c r="F5958">
        <v>10330036</v>
      </c>
      <c r="G5958" t="s">
        <v>6209</v>
      </c>
      <c r="H5958" s="21">
        <v>1148.17</v>
      </c>
    </row>
    <row r="5959" spans="1:8" customFormat="1" x14ac:dyDescent="0.25">
      <c r="A5959" t="str">
        <f>"677324"</f>
        <v>677324</v>
      </c>
      <c r="B5959" t="s">
        <v>7088</v>
      </c>
      <c r="C5959" t="s">
        <v>130</v>
      </c>
      <c r="D5959" s="21" t="s">
        <v>34</v>
      </c>
      <c r="E5959" s="21" t="s">
        <v>35</v>
      </c>
      <c r="F5959">
        <v>6670194</v>
      </c>
      <c r="G5959" t="s">
        <v>6521</v>
      </c>
      <c r="H5959" s="21">
        <v>1148.17</v>
      </c>
    </row>
    <row r="5960" spans="1:8" customFormat="1" x14ac:dyDescent="0.25">
      <c r="A5960" t="str">
        <f>"217275"</f>
        <v>217275</v>
      </c>
      <c r="B5960" t="s">
        <v>1098</v>
      </c>
      <c r="C5960" t="s">
        <v>124</v>
      </c>
      <c r="D5960" s="21" t="s">
        <v>34</v>
      </c>
      <c r="E5960" s="21" t="s">
        <v>35</v>
      </c>
      <c r="F5960">
        <v>2210096</v>
      </c>
      <c r="G5960" t="s">
        <v>5803</v>
      </c>
      <c r="H5960" s="21">
        <v>1148.17</v>
      </c>
    </row>
    <row r="5961" spans="1:8" customFormat="1" x14ac:dyDescent="0.25">
      <c r="A5961" t="str">
        <f>"534872"</f>
        <v>534872</v>
      </c>
      <c r="B5961" t="s">
        <v>3858</v>
      </c>
      <c r="C5961" t="s">
        <v>1615</v>
      </c>
      <c r="D5961" s="21" t="s">
        <v>34</v>
      </c>
      <c r="E5961" s="21" t="s">
        <v>71</v>
      </c>
      <c r="F5961">
        <v>12530087</v>
      </c>
      <c r="G5961" t="s">
        <v>3860</v>
      </c>
      <c r="H5961" s="21">
        <v>1148.17</v>
      </c>
    </row>
    <row r="5962" spans="1:8" customFormat="1" x14ac:dyDescent="0.25">
      <c r="A5962" t="str">
        <f>"911196"</f>
        <v>911196</v>
      </c>
      <c r="B5962" t="s">
        <v>2052</v>
      </c>
      <c r="C5962" t="s">
        <v>6617</v>
      </c>
      <c r="D5962" s="21" t="s">
        <v>34</v>
      </c>
      <c r="E5962" s="21" t="s">
        <v>71</v>
      </c>
      <c r="F5962">
        <v>8910667</v>
      </c>
      <c r="G5962" t="s">
        <v>2361</v>
      </c>
      <c r="H5962" s="21">
        <v>1148.17</v>
      </c>
    </row>
    <row r="5963" spans="1:8" customFormat="1" x14ac:dyDescent="0.25">
      <c r="A5963" t="str">
        <f>"6713839"</f>
        <v>6713839</v>
      </c>
      <c r="B5963" t="s">
        <v>9360</v>
      </c>
      <c r="C5963" t="s">
        <v>621</v>
      </c>
      <c r="D5963" s="21" t="s">
        <v>34</v>
      </c>
      <c r="E5963" s="21" t="s">
        <v>35</v>
      </c>
      <c r="F5963">
        <v>6670219</v>
      </c>
      <c r="G5963" t="s">
        <v>9361</v>
      </c>
      <c r="H5963" s="21">
        <v>1148.17</v>
      </c>
    </row>
    <row r="5964" spans="1:8" customFormat="1" x14ac:dyDescent="0.25">
      <c r="A5964" t="str">
        <f>"9233932"</f>
        <v>9233932</v>
      </c>
      <c r="B5964" t="s">
        <v>646</v>
      </c>
      <c r="C5964" t="s">
        <v>90</v>
      </c>
      <c r="D5964" s="21" t="s">
        <v>34</v>
      </c>
      <c r="E5964" s="21" t="s">
        <v>35</v>
      </c>
      <c r="F5964">
        <v>12440024</v>
      </c>
      <c r="G5964" t="s">
        <v>2205</v>
      </c>
      <c r="H5964" s="21">
        <v>1148.17</v>
      </c>
    </row>
    <row r="5965" spans="1:8" customFormat="1" x14ac:dyDescent="0.25">
      <c r="A5965" t="str">
        <f>"597387"</f>
        <v>597387</v>
      </c>
      <c r="B5965" t="s">
        <v>6660</v>
      </c>
      <c r="C5965" t="s">
        <v>6661</v>
      </c>
      <c r="D5965" s="21" t="s">
        <v>34</v>
      </c>
      <c r="E5965" s="21" t="s">
        <v>71</v>
      </c>
      <c r="F5965">
        <v>7590076</v>
      </c>
      <c r="G5965" t="s">
        <v>6662</v>
      </c>
      <c r="H5965" s="21">
        <v>1148.17</v>
      </c>
    </row>
    <row r="5966" spans="1:8" customFormat="1" x14ac:dyDescent="0.25">
      <c r="A5966" t="str">
        <f>"881639"</f>
        <v>881639</v>
      </c>
      <c r="B5966" t="s">
        <v>7113</v>
      </c>
      <c r="C5966" t="s">
        <v>275</v>
      </c>
      <c r="D5966" s="21" t="s">
        <v>34</v>
      </c>
      <c r="E5966" s="21" t="s">
        <v>35</v>
      </c>
      <c r="F5966">
        <v>6880101</v>
      </c>
      <c r="G5966" t="s">
        <v>6841</v>
      </c>
      <c r="H5966" s="21">
        <v>1148.17</v>
      </c>
    </row>
    <row r="5967" spans="1:8" customFormat="1" x14ac:dyDescent="0.25">
      <c r="A5967" t="str">
        <f>"804393"</f>
        <v>804393</v>
      </c>
      <c r="B5967" t="s">
        <v>4488</v>
      </c>
      <c r="C5967" t="s">
        <v>139</v>
      </c>
      <c r="D5967" s="21" t="s">
        <v>34</v>
      </c>
      <c r="E5967" s="21" t="s">
        <v>35</v>
      </c>
      <c r="F5967">
        <v>7800102</v>
      </c>
      <c r="G5967" t="s">
        <v>1148</v>
      </c>
      <c r="H5967" s="21">
        <v>1148.17</v>
      </c>
    </row>
    <row r="5968" spans="1:8" customFormat="1" x14ac:dyDescent="0.25">
      <c r="A5968" t="str">
        <f>"319195"</f>
        <v>319195</v>
      </c>
      <c r="B5968" t="s">
        <v>911</v>
      </c>
      <c r="C5968" t="s">
        <v>879</v>
      </c>
      <c r="D5968" s="21" t="s">
        <v>34</v>
      </c>
      <c r="E5968" s="21" t="s">
        <v>254</v>
      </c>
      <c r="F5968">
        <v>12440147</v>
      </c>
      <c r="G5968" t="s">
        <v>5472</v>
      </c>
      <c r="H5968" s="21">
        <v>1148.05</v>
      </c>
    </row>
    <row r="5969" spans="1:8" customFormat="1" x14ac:dyDescent="0.25">
      <c r="A5969" t="str">
        <f>"165199"</f>
        <v>165199</v>
      </c>
      <c r="B5969" t="s">
        <v>5833</v>
      </c>
      <c r="C5969" t="s">
        <v>462</v>
      </c>
      <c r="D5969" s="21" t="s">
        <v>34</v>
      </c>
      <c r="E5969" s="21" t="s">
        <v>35</v>
      </c>
      <c r="F5969">
        <v>10160042</v>
      </c>
      <c r="G5969" t="s">
        <v>7461</v>
      </c>
      <c r="H5969" s="21">
        <v>1147.8</v>
      </c>
    </row>
    <row r="5970" spans="1:8" customFormat="1" x14ac:dyDescent="0.25">
      <c r="A5970" t="str">
        <f>"4423074"</f>
        <v>4423074</v>
      </c>
      <c r="B5970" t="s">
        <v>7757</v>
      </c>
      <c r="C5970" t="s">
        <v>65</v>
      </c>
      <c r="D5970" s="21" t="s">
        <v>34</v>
      </c>
      <c r="E5970" s="21" t="s">
        <v>71</v>
      </c>
      <c r="F5970">
        <v>12440049</v>
      </c>
      <c r="G5970" t="s">
        <v>3339</v>
      </c>
      <c r="H5970" s="21">
        <v>1147.8</v>
      </c>
    </row>
    <row r="5971" spans="1:8" customFormat="1" x14ac:dyDescent="0.25">
      <c r="A5971" t="str">
        <f>"4360"</f>
        <v>4360</v>
      </c>
      <c r="B5971" t="s">
        <v>3006</v>
      </c>
      <c r="C5971" t="s">
        <v>2520</v>
      </c>
      <c r="D5971" s="21" t="s">
        <v>34</v>
      </c>
      <c r="E5971" s="21" t="s">
        <v>254</v>
      </c>
      <c r="F5971">
        <v>1420009</v>
      </c>
      <c r="G5971" t="s">
        <v>3113</v>
      </c>
      <c r="H5971" s="21">
        <v>1147.8</v>
      </c>
    </row>
    <row r="5972" spans="1:8" customFormat="1" x14ac:dyDescent="0.25">
      <c r="A5972" t="str">
        <f>"9517835"</f>
        <v>9517835</v>
      </c>
      <c r="B5972" t="s">
        <v>5787</v>
      </c>
      <c r="C5972" t="s">
        <v>65</v>
      </c>
      <c r="D5972" s="21" t="s">
        <v>34</v>
      </c>
      <c r="E5972" s="21" t="s">
        <v>35</v>
      </c>
      <c r="F5972">
        <v>7590047</v>
      </c>
      <c r="G5972" t="s">
        <v>5788</v>
      </c>
      <c r="H5972" s="21">
        <v>1147.67</v>
      </c>
    </row>
    <row r="5973" spans="1:8" customFormat="1" x14ac:dyDescent="0.25">
      <c r="A5973" t="str">
        <f>"642385"</f>
        <v>642385</v>
      </c>
      <c r="B5973" t="s">
        <v>6038</v>
      </c>
      <c r="C5973" t="s">
        <v>263</v>
      </c>
      <c r="D5973" s="21" t="s">
        <v>34</v>
      </c>
      <c r="E5973" s="21" t="s">
        <v>254</v>
      </c>
      <c r="F5973">
        <v>10790162</v>
      </c>
      <c r="G5973" t="s">
        <v>6039</v>
      </c>
      <c r="H5973" s="21">
        <v>1147.67</v>
      </c>
    </row>
    <row r="5974" spans="1:8" customFormat="1" x14ac:dyDescent="0.25">
      <c r="A5974" t="str">
        <f>"5310052"</f>
        <v>5310052</v>
      </c>
      <c r="B5974" t="s">
        <v>6012</v>
      </c>
      <c r="C5974" t="s">
        <v>87</v>
      </c>
      <c r="D5974" s="21" t="s">
        <v>34</v>
      </c>
      <c r="E5974" s="21" t="s">
        <v>71</v>
      </c>
      <c r="F5974">
        <v>12530136</v>
      </c>
      <c r="G5974" t="s">
        <v>4866</v>
      </c>
      <c r="H5974" s="21">
        <v>1147.67</v>
      </c>
    </row>
    <row r="5975" spans="1:8" customFormat="1" x14ac:dyDescent="0.25">
      <c r="A5975" t="str">
        <f>"5312144"</f>
        <v>5312144</v>
      </c>
      <c r="B5975" t="s">
        <v>1908</v>
      </c>
      <c r="C5975" t="s">
        <v>498</v>
      </c>
      <c r="D5975" s="21" t="s">
        <v>34</v>
      </c>
      <c r="E5975" s="21" t="s">
        <v>254</v>
      </c>
      <c r="F5975">
        <v>12530051</v>
      </c>
      <c r="G5975" t="s">
        <v>4995</v>
      </c>
      <c r="H5975" s="21">
        <v>1147.67</v>
      </c>
    </row>
    <row r="5976" spans="1:8" customFormat="1" x14ac:dyDescent="0.25">
      <c r="A5976" t="str">
        <f>"513888"</f>
        <v>513888</v>
      </c>
      <c r="B5976" t="s">
        <v>6229</v>
      </c>
      <c r="C5976" t="s">
        <v>171</v>
      </c>
      <c r="D5976" s="21" t="s">
        <v>34</v>
      </c>
      <c r="E5976" s="21" t="s">
        <v>254</v>
      </c>
      <c r="F5976">
        <v>6080013</v>
      </c>
      <c r="G5976" t="s">
        <v>1532</v>
      </c>
      <c r="H5976" s="21">
        <v>1147.67</v>
      </c>
    </row>
    <row r="5977" spans="1:8" customFormat="1" x14ac:dyDescent="0.25">
      <c r="A5977" t="str">
        <f>"112184"</f>
        <v>112184</v>
      </c>
      <c r="B5977" t="s">
        <v>875</v>
      </c>
      <c r="C5977" t="s">
        <v>6723</v>
      </c>
      <c r="D5977" s="21" t="s">
        <v>34</v>
      </c>
      <c r="E5977" s="21" t="s">
        <v>35</v>
      </c>
      <c r="F5977">
        <v>11110013</v>
      </c>
      <c r="G5977" t="s">
        <v>640</v>
      </c>
      <c r="H5977" s="21">
        <v>1147.67</v>
      </c>
    </row>
    <row r="5978" spans="1:8" customFormat="1" x14ac:dyDescent="0.25">
      <c r="A5978" t="str">
        <f>"678102"</f>
        <v>678102</v>
      </c>
      <c r="B5978" t="s">
        <v>6123</v>
      </c>
      <c r="C5978" t="s">
        <v>5180</v>
      </c>
      <c r="D5978" s="21" t="s">
        <v>34</v>
      </c>
      <c r="E5978" s="21" t="s">
        <v>71</v>
      </c>
      <c r="F5978">
        <v>6670149</v>
      </c>
      <c r="G5978" t="s">
        <v>4404</v>
      </c>
      <c r="H5978" s="21">
        <v>1147.67</v>
      </c>
    </row>
    <row r="5979" spans="1:8" customFormat="1" x14ac:dyDescent="0.25">
      <c r="A5979" t="str">
        <f>"6716931"</f>
        <v>6716931</v>
      </c>
      <c r="B5979" t="s">
        <v>7065</v>
      </c>
      <c r="C5979" t="s">
        <v>62</v>
      </c>
      <c r="D5979" s="21" t="s">
        <v>34</v>
      </c>
      <c r="E5979" s="21" t="s">
        <v>35</v>
      </c>
      <c r="F5979">
        <v>6670058</v>
      </c>
      <c r="G5979" t="s">
        <v>2551</v>
      </c>
      <c r="H5979" s="21">
        <v>1147.67</v>
      </c>
    </row>
    <row r="5980" spans="1:8" customFormat="1" x14ac:dyDescent="0.25">
      <c r="A5980" t="str">
        <f>"401326"</f>
        <v>401326</v>
      </c>
      <c r="B5980" t="s">
        <v>6498</v>
      </c>
      <c r="C5980" t="s">
        <v>1142</v>
      </c>
      <c r="D5980" s="21" t="s">
        <v>34</v>
      </c>
      <c r="E5980" s="21" t="s">
        <v>1089</v>
      </c>
      <c r="F5980">
        <v>10400001</v>
      </c>
      <c r="G5980" t="s">
        <v>609</v>
      </c>
      <c r="H5980" s="21">
        <v>1147.67</v>
      </c>
    </row>
    <row r="5981" spans="1:8" customFormat="1" x14ac:dyDescent="0.25">
      <c r="A5981" t="str">
        <f>"8815858"</f>
        <v>8815858</v>
      </c>
      <c r="B5981" t="s">
        <v>5559</v>
      </c>
      <c r="C5981" t="s">
        <v>285</v>
      </c>
      <c r="D5981" s="21" t="s">
        <v>34</v>
      </c>
      <c r="E5981" s="21" t="s">
        <v>35</v>
      </c>
      <c r="F5981">
        <v>6880123</v>
      </c>
      <c r="G5981" t="s">
        <v>527</v>
      </c>
      <c r="H5981" s="21">
        <v>1147.67</v>
      </c>
    </row>
    <row r="5982" spans="1:8" customFormat="1" x14ac:dyDescent="0.25">
      <c r="A5982" t="str">
        <f>"427404"</f>
        <v>427404</v>
      </c>
      <c r="B5982" t="s">
        <v>5990</v>
      </c>
      <c r="C5982" t="s">
        <v>4751</v>
      </c>
      <c r="D5982" s="21" t="s">
        <v>34</v>
      </c>
      <c r="E5982" s="21" t="s">
        <v>71</v>
      </c>
      <c r="F5982">
        <v>1420048</v>
      </c>
      <c r="G5982" t="s">
        <v>745</v>
      </c>
      <c r="H5982" s="21">
        <v>1147.67</v>
      </c>
    </row>
    <row r="5983" spans="1:8" customFormat="1" x14ac:dyDescent="0.25">
      <c r="A5983" t="str">
        <f>"4453072"</f>
        <v>4453072</v>
      </c>
      <c r="B5983" t="s">
        <v>7267</v>
      </c>
      <c r="C5983" t="s">
        <v>87</v>
      </c>
      <c r="D5983" s="21" t="s">
        <v>34</v>
      </c>
      <c r="E5983" s="21" t="s">
        <v>35</v>
      </c>
      <c r="F5983">
        <v>12440004</v>
      </c>
      <c r="G5983" t="s">
        <v>26530</v>
      </c>
      <c r="H5983" s="21">
        <v>1147.55</v>
      </c>
    </row>
    <row r="5984" spans="1:8" customFormat="1" x14ac:dyDescent="0.25">
      <c r="A5984" t="str">
        <f>"725147"</f>
        <v>725147</v>
      </c>
      <c r="B5984" t="s">
        <v>89</v>
      </c>
      <c r="C5984" t="s">
        <v>3789</v>
      </c>
      <c r="D5984" s="21" t="s">
        <v>34</v>
      </c>
      <c r="E5984" s="21" t="s">
        <v>71</v>
      </c>
      <c r="F5984">
        <v>12720020</v>
      </c>
      <c r="G5984" t="s">
        <v>8402</v>
      </c>
      <c r="H5984" s="21">
        <v>1147.42</v>
      </c>
    </row>
    <row r="5985" spans="1:8" customFormat="1" x14ac:dyDescent="0.25">
      <c r="A5985" t="str">
        <f>"113867"</f>
        <v>113867</v>
      </c>
      <c r="B5985" t="s">
        <v>7936</v>
      </c>
      <c r="C5985" t="s">
        <v>209</v>
      </c>
      <c r="D5985" s="21" t="s">
        <v>34</v>
      </c>
      <c r="E5985" s="21" t="s">
        <v>71</v>
      </c>
      <c r="F5985">
        <v>11110009</v>
      </c>
      <c r="G5985" t="s">
        <v>6231</v>
      </c>
      <c r="H5985" s="21">
        <v>1147.18</v>
      </c>
    </row>
    <row r="5986" spans="1:8" customFormat="1" x14ac:dyDescent="0.25">
      <c r="A5986" t="str">
        <f>"8511725"</f>
        <v>8511725</v>
      </c>
      <c r="B5986" t="s">
        <v>7077</v>
      </c>
      <c r="C5986" t="s">
        <v>169</v>
      </c>
      <c r="D5986" s="21" t="s">
        <v>34</v>
      </c>
      <c r="E5986" s="21" t="s">
        <v>35</v>
      </c>
      <c r="F5986">
        <v>12850154</v>
      </c>
      <c r="G5986" t="s">
        <v>7078</v>
      </c>
      <c r="H5986" s="21">
        <v>1147.17</v>
      </c>
    </row>
    <row r="5987" spans="1:8" customFormat="1" x14ac:dyDescent="0.25">
      <c r="A5987" t="str">
        <f>"6015171"</f>
        <v>6015171</v>
      </c>
      <c r="B5987" t="s">
        <v>7107</v>
      </c>
      <c r="C5987" t="s">
        <v>33</v>
      </c>
      <c r="D5987" s="21" t="s">
        <v>34</v>
      </c>
      <c r="E5987" s="21" t="s">
        <v>35</v>
      </c>
      <c r="F5987">
        <v>9140023</v>
      </c>
      <c r="G5987" t="s">
        <v>2318</v>
      </c>
      <c r="H5987" s="21">
        <v>1147.17</v>
      </c>
    </row>
    <row r="5988" spans="1:8" customFormat="1" x14ac:dyDescent="0.25">
      <c r="A5988" t="str">
        <f>"7825426"</f>
        <v>7825426</v>
      </c>
      <c r="B5988" t="s">
        <v>6001</v>
      </c>
      <c r="C5988" t="s">
        <v>147</v>
      </c>
      <c r="D5988" s="21" t="s">
        <v>34</v>
      </c>
      <c r="E5988" s="21" t="s">
        <v>35</v>
      </c>
      <c r="F5988">
        <v>1630249</v>
      </c>
      <c r="G5988" t="s">
        <v>1237</v>
      </c>
      <c r="H5988" s="21">
        <v>1147.17</v>
      </c>
    </row>
    <row r="5989" spans="1:8" customFormat="1" x14ac:dyDescent="0.25">
      <c r="A5989" t="str">
        <f>"284129"</f>
        <v>284129</v>
      </c>
      <c r="B5989" t="s">
        <v>1840</v>
      </c>
      <c r="C5989" t="s">
        <v>3497</v>
      </c>
      <c r="D5989" s="21" t="s">
        <v>34</v>
      </c>
      <c r="E5989" s="21" t="s">
        <v>71</v>
      </c>
      <c r="F5989">
        <v>4280716</v>
      </c>
      <c r="G5989" t="s">
        <v>5281</v>
      </c>
      <c r="H5989" s="21">
        <v>1147.17</v>
      </c>
    </row>
    <row r="5990" spans="1:8" customFormat="1" x14ac:dyDescent="0.25">
      <c r="A5990" t="str">
        <f>"631417"</f>
        <v>631417</v>
      </c>
      <c r="B5990" t="s">
        <v>7622</v>
      </c>
      <c r="C5990" t="s">
        <v>459</v>
      </c>
      <c r="D5990" s="21" t="s">
        <v>34</v>
      </c>
      <c r="E5990" s="21" t="s">
        <v>71</v>
      </c>
      <c r="F5990">
        <v>1740047</v>
      </c>
      <c r="G5990" t="s">
        <v>4512</v>
      </c>
      <c r="H5990" s="21">
        <v>1147.17</v>
      </c>
    </row>
    <row r="5991" spans="1:8" customFormat="1" x14ac:dyDescent="0.25">
      <c r="A5991" t="str">
        <f>"605373"</f>
        <v>605373</v>
      </c>
      <c r="B5991" t="s">
        <v>7796</v>
      </c>
      <c r="C5991" t="s">
        <v>3073</v>
      </c>
      <c r="D5991" s="21" t="s">
        <v>34</v>
      </c>
      <c r="E5991" s="21" t="s">
        <v>254</v>
      </c>
      <c r="F5991">
        <v>7600027</v>
      </c>
      <c r="G5991" t="s">
        <v>2137</v>
      </c>
      <c r="H5991" s="21">
        <v>1147.17</v>
      </c>
    </row>
    <row r="5992" spans="1:8" customFormat="1" x14ac:dyDescent="0.25">
      <c r="A5992" t="str">
        <f>"9522622"</f>
        <v>9522622</v>
      </c>
      <c r="B5992" t="s">
        <v>7237</v>
      </c>
      <c r="C5992" t="s">
        <v>547</v>
      </c>
      <c r="D5992" s="21" t="s">
        <v>34</v>
      </c>
      <c r="E5992" s="21" t="s">
        <v>71</v>
      </c>
      <c r="F5992">
        <v>8950103</v>
      </c>
      <c r="G5992" t="s">
        <v>440</v>
      </c>
      <c r="H5992" s="21">
        <v>1147.05</v>
      </c>
    </row>
    <row r="5993" spans="1:8" customFormat="1" x14ac:dyDescent="0.25">
      <c r="A5993" t="str">
        <f>"7637731"</f>
        <v>7637731</v>
      </c>
      <c r="B5993" t="s">
        <v>2824</v>
      </c>
      <c r="C5993" t="s">
        <v>60</v>
      </c>
      <c r="D5993" s="21" t="s">
        <v>34</v>
      </c>
      <c r="E5993" s="21" t="s">
        <v>35</v>
      </c>
      <c r="F5993">
        <v>9760352</v>
      </c>
      <c r="G5993" t="s">
        <v>7885</v>
      </c>
      <c r="H5993" s="21">
        <v>1147.05</v>
      </c>
    </row>
    <row r="5994" spans="1:8" customFormat="1" x14ac:dyDescent="0.25">
      <c r="A5994" t="str">
        <f>"59570"</f>
        <v>59570</v>
      </c>
      <c r="B5994" t="s">
        <v>8679</v>
      </c>
      <c r="C5994" t="s">
        <v>817</v>
      </c>
      <c r="D5994" s="21" t="s">
        <v>34</v>
      </c>
      <c r="E5994" s="21" t="s">
        <v>71</v>
      </c>
      <c r="F5994">
        <v>7590021</v>
      </c>
      <c r="G5994" t="s">
        <v>4910</v>
      </c>
      <c r="H5994" s="21">
        <v>1146.92</v>
      </c>
    </row>
    <row r="5995" spans="1:8" customFormat="1" x14ac:dyDescent="0.25">
      <c r="A5995" t="str">
        <f>"9312780"</f>
        <v>9312780</v>
      </c>
      <c r="B5995" t="s">
        <v>26920</v>
      </c>
      <c r="C5995" t="s">
        <v>60</v>
      </c>
      <c r="D5995" s="21" t="s">
        <v>34</v>
      </c>
      <c r="E5995" s="21" t="s">
        <v>35</v>
      </c>
      <c r="F5995">
        <v>8931358</v>
      </c>
      <c r="G5995" t="s">
        <v>560</v>
      </c>
      <c r="H5995" s="21">
        <v>1146.92</v>
      </c>
    </row>
    <row r="5996" spans="1:8" customFormat="1" x14ac:dyDescent="0.25">
      <c r="A5996" t="str">
        <f>"024023"</f>
        <v>024023</v>
      </c>
      <c r="B5996" t="s">
        <v>8115</v>
      </c>
      <c r="C5996" t="s">
        <v>119</v>
      </c>
      <c r="D5996" s="21" t="s">
        <v>34</v>
      </c>
      <c r="E5996" s="21" t="s">
        <v>35</v>
      </c>
      <c r="F5996">
        <v>9140060</v>
      </c>
      <c r="G5996" t="s">
        <v>5773</v>
      </c>
      <c r="H5996" s="21">
        <v>1146.92</v>
      </c>
    </row>
    <row r="5997" spans="1:8" customFormat="1" x14ac:dyDescent="0.25">
      <c r="A5997" t="str">
        <f>"761141"</f>
        <v>761141</v>
      </c>
      <c r="B5997" t="s">
        <v>1855</v>
      </c>
      <c r="C5997" t="s">
        <v>415</v>
      </c>
      <c r="D5997" s="21" t="s">
        <v>34</v>
      </c>
      <c r="E5997" s="21" t="s">
        <v>71</v>
      </c>
      <c r="F5997">
        <v>9760108</v>
      </c>
      <c r="G5997" t="s">
        <v>1636</v>
      </c>
      <c r="H5997" s="21">
        <v>1146.67</v>
      </c>
    </row>
    <row r="5998" spans="1:8" customFormat="1" x14ac:dyDescent="0.25">
      <c r="A5998" t="str">
        <f>"7911718"</f>
        <v>7911718</v>
      </c>
      <c r="B5998" t="s">
        <v>987</v>
      </c>
      <c r="C5998" t="s">
        <v>98</v>
      </c>
      <c r="D5998" s="21" t="s">
        <v>34</v>
      </c>
      <c r="E5998" s="21" t="s">
        <v>35</v>
      </c>
      <c r="F5998">
        <v>10790069</v>
      </c>
      <c r="G5998" t="s">
        <v>689</v>
      </c>
      <c r="H5998" s="21">
        <v>1146.67</v>
      </c>
    </row>
    <row r="5999" spans="1:8" customFormat="1" x14ac:dyDescent="0.25">
      <c r="A5999" t="str">
        <f>"6211525"</f>
        <v>6211525</v>
      </c>
      <c r="B5999" t="s">
        <v>2398</v>
      </c>
      <c r="C5999" t="s">
        <v>2958</v>
      </c>
      <c r="D5999" s="21" t="s">
        <v>34</v>
      </c>
      <c r="E5999" s="21" t="s">
        <v>35</v>
      </c>
      <c r="F5999">
        <v>11340067</v>
      </c>
      <c r="G5999" t="s">
        <v>2895</v>
      </c>
      <c r="H5999" s="21">
        <v>1146.67</v>
      </c>
    </row>
    <row r="6000" spans="1:8" customFormat="1" x14ac:dyDescent="0.25">
      <c r="A6000" t="str">
        <f>"9443696"</f>
        <v>9443696</v>
      </c>
      <c r="B6000" t="s">
        <v>1840</v>
      </c>
      <c r="C6000" t="s">
        <v>8043</v>
      </c>
      <c r="D6000" s="21" t="s">
        <v>34</v>
      </c>
      <c r="E6000" s="21" t="s">
        <v>71</v>
      </c>
      <c r="F6000">
        <v>8751412</v>
      </c>
      <c r="G6000" t="s">
        <v>3615</v>
      </c>
      <c r="H6000" s="21">
        <v>1146.67</v>
      </c>
    </row>
    <row r="6001" spans="1:8" customFormat="1" x14ac:dyDescent="0.25">
      <c r="A6001" t="str">
        <f>"216164"</f>
        <v>216164</v>
      </c>
      <c r="B6001" t="s">
        <v>7207</v>
      </c>
      <c r="C6001" t="s">
        <v>484</v>
      </c>
      <c r="D6001" s="21" t="s">
        <v>34</v>
      </c>
      <c r="E6001" s="21" t="s">
        <v>35</v>
      </c>
      <c r="F6001">
        <v>2210052</v>
      </c>
      <c r="G6001" t="s">
        <v>1070</v>
      </c>
      <c r="H6001" s="21">
        <v>1146.67</v>
      </c>
    </row>
    <row r="6002" spans="1:8" customFormat="1" x14ac:dyDescent="0.25">
      <c r="A6002" t="str">
        <f>"2926392"</f>
        <v>2926392</v>
      </c>
      <c r="B6002" t="s">
        <v>7420</v>
      </c>
      <c r="C6002" t="s">
        <v>3115</v>
      </c>
      <c r="D6002" s="21" t="s">
        <v>34</v>
      </c>
      <c r="E6002" s="21" t="s">
        <v>71</v>
      </c>
      <c r="F6002">
        <v>3290026</v>
      </c>
      <c r="G6002" t="s">
        <v>7421</v>
      </c>
      <c r="H6002" s="21">
        <v>1146.67</v>
      </c>
    </row>
    <row r="6003" spans="1:8" customFormat="1" x14ac:dyDescent="0.25">
      <c r="A6003" t="str">
        <f>"9214104"</f>
        <v>9214104</v>
      </c>
      <c r="B6003" t="s">
        <v>5897</v>
      </c>
      <c r="C6003" t="s">
        <v>130</v>
      </c>
      <c r="D6003" s="21" t="s">
        <v>34</v>
      </c>
      <c r="E6003" s="21" t="s">
        <v>71</v>
      </c>
      <c r="F6003">
        <v>8910914</v>
      </c>
      <c r="G6003" t="s">
        <v>3302</v>
      </c>
      <c r="H6003" s="21">
        <v>1146.67</v>
      </c>
    </row>
    <row r="6004" spans="1:8" customFormat="1" x14ac:dyDescent="0.25">
      <c r="A6004" t="str">
        <f>"3715521"</f>
        <v>3715521</v>
      </c>
      <c r="B6004" t="s">
        <v>7392</v>
      </c>
      <c r="C6004" t="s">
        <v>7393</v>
      </c>
      <c r="D6004" s="21" t="s">
        <v>34</v>
      </c>
      <c r="E6004" s="21" t="s">
        <v>35</v>
      </c>
      <c r="F6004">
        <v>4370001</v>
      </c>
      <c r="G6004" t="s">
        <v>957</v>
      </c>
      <c r="H6004" s="21">
        <v>1146.67</v>
      </c>
    </row>
    <row r="6005" spans="1:8" customFormat="1" x14ac:dyDescent="0.25">
      <c r="A6005" t="str">
        <f>"6217957"</f>
        <v>6217957</v>
      </c>
      <c r="B6005" t="s">
        <v>6253</v>
      </c>
      <c r="C6005" t="s">
        <v>169</v>
      </c>
      <c r="D6005" s="21" t="s">
        <v>34</v>
      </c>
      <c r="E6005" s="21" t="s">
        <v>35</v>
      </c>
      <c r="F6005">
        <v>7620165</v>
      </c>
      <c r="G6005" t="s">
        <v>6254</v>
      </c>
      <c r="H6005" s="21">
        <v>1146.67</v>
      </c>
    </row>
    <row r="6006" spans="1:8" customFormat="1" x14ac:dyDescent="0.25">
      <c r="A6006" t="str">
        <f>"5315230"</f>
        <v>5315230</v>
      </c>
      <c r="B6006" t="s">
        <v>5937</v>
      </c>
      <c r="C6006" t="s">
        <v>2546</v>
      </c>
      <c r="D6006" s="21" t="s">
        <v>34</v>
      </c>
      <c r="E6006" s="21" t="s">
        <v>35</v>
      </c>
      <c r="F6006">
        <v>12530068</v>
      </c>
      <c r="G6006" t="s">
        <v>5165</v>
      </c>
      <c r="H6006" s="21">
        <v>1146.67</v>
      </c>
    </row>
    <row r="6007" spans="1:8" customFormat="1" x14ac:dyDescent="0.25">
      <c r="A6007" t="str">
        <f>"2918378"</f>
        <v>2918378</v>
      </c>
      <c r="B6007" t="s">
        <v>26921</v>
      </c>
      <c r="C6007" t="s">
        <v>712</v>
      </c>
      <c r="D6007" s="21" t="s">
        <v>34</v>
      </c>
      <c r="E6007" s="21" t="s">
        <v>35</v>
      </c>
      <c r="F6007">
        <v>3290263</v>
      </c>
      <c r="G6007" t="s">
        <v>4108</v>
      </c>
      <c r="H6007" s="21">
        <v>1146.42</v>
      </c>
    </row>
    <row r="6008" spans="1:8" customFormat="1" x14ac:dyDescent="0.25">
      <c r="A6008" t="str">
        <f>"9218488"</f>
        <v>9218488</v>
      </c>
      <c r="B6008" t="s">
        <v>7121</v>
      </c>
      <c r="C6008" t="s">
        <v>1819</v>
      </c>
      <c r="D6008" s="21" t="s">
        <v>34</v>
      </c>
      <c r="E6008" s="21" t="s">
        <v>71</v>
      </c>
      <c r="F6008">
        <v>1740057</v>
      </c>
      <c r="G6008" t="s">
        <v>1567</v>
      </c>
      <c r="H6008" s="21">
        <v>1146.3</v>
      </c>
    </row>
    <row r="6009" spans="1:8" customFormat="1" x14ac:dyDescent="0.25">
      <c r="A6009" t="str">
        <f>"621652"</f>
        <v>621652</v>
      </c>
      <c r="B6009" t="s">
        <v>5828</v>
      </c>
      <c r="C6009" t="s">
        <v>33</v>
      </c>
      <c r="D6009" s="21" t="s">
        <v>34</v>
      </c>
      <c r="E6009" s="21" t="s">
        <v>35</v>
      </c>
      <c r="F6009">
        <v>7620096</v>
      </c>
      <c r="G6009" t="s">
        <v>5829</v>
      </c>
      <c r="H6009" s="21">
        <v>1146.17</v>
      </c>
    </row>
    <row r="6010" spans="1:8" customFormat="1" x14ac:dyDescent="0.25">
      <c r="A6010" t="str">
        <f>"3719521"</f>
        <v>3719521</v>
      </c>
      <c r="B6010" t="s">
        <v>2549</v>
      </c>
      <c r="C6010" t="s">
        <v>2305</v>
      </c>
      <c r="D6010" s="21" t="s">
        <v>34</v>
      </c>
      <c r="E6010" s="21" t="s">
        <v>254</v>
      </c>
      <c r="F6010">
        <v>4370465</v>
      </c>
      <c r="G6010" t="s">
        <v>26922</v>
      </c>
      <c r="H6010" s="21">
        <v>1146.17</v>
      </c>
    </row>
    <row r="6011" spans="1:8" customFormat="1" x14ac:dyDescent="0.25">
      <c r="A6011" t="str">
        <f>"5922998"</f>
        <v>5922998</v>
      </c>
      <c r="B6011" t="s">
        <v>6284</v>
      </c>
      <c r="C6011" t="s">
        <v>171</v>
      </c>
      <c r="D6011" s="21" t="s">
        <v>34</v>
      </c>
      <c r="E6011" s="21" t="s">
        <v>35</v>
      </c>
      <c r="F6011">
        <v>7590086</v>
      </c>
      <c r="G6011" t="s">
        <v>3557</v>
      </c>
      <c r="H6011" s="21">
        <v>1146.17</v>
      </c>
    </row>
    <row r="6012" spans="1:8" customFormat="1" x14ac:dyDescent="0.25">
      <c r="A6012" t="str">
        <f>"5610857"</f>
        <v>5610857</v>
      </c>
      <c r="B6012" t="s">
        <v>7476</v>
      </c>
      <c r="C6012" t="s">
        <v>119</v>
      </c>
      <c r="D6012" s="21" t="s">
        <v>34</v>
      </c>
      <c r="E6012" s="21" t="s">
        <v>35</v>
      </c>
      <c r="F6012">
        <v>3350055</v>
      </c>
      <c r="G6012" t="s">
        <v>6720</v>
      </c>
      <c r="H6012" s="21">
        <v>1146.17</v>
      </c>
    </row>
    <row r="6013" spans="1:8" customFormat="1" x14ac:dyDescent="0.25">
      <c r="A6013" t="str">
        <f>"5314800"</f>
        <v>5314800</v>
      </c>
      <c r="B6013" t="s">
        <v>6319</v>
      </c>
      <c r="C6013" t="s">
        <v>275</v>
      </c>
      <c r="D6013" s="21" t="s">
        <v>34</v>
      </c>
      <c r="E6013" s="21" t="s">
        <v>35</v>
      </c>
      <c r="F6013">
        <v>12720004</v>
      </c>
      <c r="G6013" t="s">
        <v>2328</v>
      </c>
      <c r="H6013" s="21">
        <v>1146.17</v>
      </c>
    </row>
    <row r="6014" spans="1:8" customFormat="1" x14ac:dyDescent="0.25">
      <c r="A6014" t="str">
        <f>"6718923"</f>
        <v>6718923</v>
      </c>
      <c r="B6014" t="s">
        <v>2243</v>
      </c>
      <c r="C6014" t="s">
        <v>6340</v>
      </c>
      <c r="D6014" s="21" t="s">
        <v>34</v>
      </c>
      <c r="E6014" s="21" t="s">
        <v>35</v>
      </c>
      <c r="F6014">
        <v>6670203</v>
      </c>
      <c r="G6014" t="s">
        <v>2371</v>
      </c>
      <c r="H6014" s="21">
        <v>1146.17</v>
      </c>
    </row>
    <row r="6015" spans="1:8" customFormat="1" x14ac:dyDescent="0.25">
      <c r="A6015" t="str">
        <f>"2923739"</f>
        <v>2923739</v>
      </c>
      <c r="B6015" t="s">
        <v>1738</v>
      </c>
      <c r="C6015" t="s">
        <v>305</v>
      </c>
      <c r="D6015" s="21" t="s">
        <v>34</v>
      </c>
      <c r="E6015" s="21" t="s">
        <v>35</v>
      </c>
      <c r="F6015">
        <v>3290087</v>
      </c>
      <c r="G6015" t="s">
        <v>364</v>
      </c>
      <c r="H6015" s="21">
        <v>1146.17</v>
      </c>
    </row>
    <row r="6016" spans="1:8" customFormat="1" x14ac:dyDescent="0.25">
      <c r="A6016" t="str">
        <f>"673098"</f>
        <v>673098</v>
      </c>
      <c r="B6016" t="s">
        <v>6520</v>
      </c>
      <c r="C6016" t="s">
        <v>90</v>
      </c>
      <c r="D6016" s="21" t="s">
        <v>34</v>
      </c>
      <c r="E6016" s="21" t="s">
        <v>35</v>
      </c>
      <c r="F6016">
        <v>6670194</v>
      </c>
      <c r="G6016" t="s">
        <v>6521</v>
      </c>
      <c r="H6016" s="21">
        <v>1146.17</v>
      </c>
    </row>
    <row r="6017" spans="1:8" customFormat="1" x14ac:dyDescent="0.25">
      <c r="A6017" t="str">
        <f>"083481"</f>
        <v>083481</v>
      </c>
      <c r="B6017" t="s">
        <v>6764</v>
      </c>
      <c r="C6017" t="s">
        <v>109</v>
      </c>
      <c r="D6017" s="21" t="s">
        <v>34</v>
      </c>
      <c r="E6017" s="21" t="s">
        <v>71</v>
      </c>
      <c r="F6017">
        <v>6080072</v>
      </c>
      <c r="G6017" t="s">
        <v>6765</v>
      </c>
      <c r="H6017" s="21">
        <v>1146.17</v>
      </c>
    </row>
    <row r="6018" spans="1:8" customFormat="1" x14ac:dyDescent="0.25">
      <c r="A6018" t="str">
        <f>"5952654"</f>
        <v>5952654</v>
      </c>
      <c r="B6018" t="s">
        <v>6592</v>
      </c>
      <c r="C6018" t="s">
        <v>124</v>
      </c>
      <c r="D6018" s="21" t="s">
        <v>34</v>
      </c>
      <c r="E6018" s="21" t="s">
        <v>35</v>
      </c>
      <c r="F6018">
        <v>7590105</v>
      </c>
      <c r="G6018" t="s">
        <v>887</v>
      </c>
      <c r="H6018" s="21">
        <v>1146</v>
      </c>
    </row>
    <row r="6019" spans="1:8" customFormat="1" x14ac:dyDescent="0.25">
      <c r="A6019" t="str">
        <f>"549715"</f>
        <v>549715</v>
      </c>
      <c r="B6019" t="s">
        <v>5431</v>
      </c>
      <c r="C6019" t="s">
        <v>33</v>
      </c>
      <c r="D6019" s="21" t="s">
        <v>34</v>
      </c>
      <c r="E6019" s="21" t="s">
        <v>35</v>
      </c>
      <c r="F6019">
        <v>6540008</v>
      </c>
      <c r="G6019" t="s">
        <v>3891</v>
      </c>
      <c r="H6019" s="21">
        <v>1145.92</v>
      </c>
    </row>
    <row r="6020" spans="1:8" customFormat="1" x14ac:dyDescent="0.25">
      <c r="A6020" t="str">
        <f>"82654"</f>
        <v>82654</v>
      </c>
      <c r="B6020" t="s">
        <v>5619</v>
      </c>
      <c r="C6020" t="s">
        <v>1110</v>
      </c>
      <c r="D6020" s="21" t="s">
        <v>34</v>
      </c>
      <c r="E6020" s="21" t="s">
        <v>254</v>
      </c>
      <c r="F6020">
        <v>12530042</v>
      </c>
      <c r="G6020" t="s">
        <v>4619</v>
      </c>
      <c r="H6020" s="21">
        <v>1145.92</v>
      </c>
    </row>
    <row r="6021" spans="1:8" customFormat="1" x14ac:dyDescent="0.25">
      <c r="A6021" t="str">
        <f>"766578"</f>
        <v>766578</v>
      </c>
      <c r="B6021" t="s">
        <v>6414</v>
      </c>
      <c r="C6021" t="s">
        <v>462</v>
      </c>
      <c r="D6021" s="21" t="s">
        <v>34</v>
      </c>
      <c r="E6021" s="21" t="s">
        <v>35</v>
      </c>
      <c r="F6021">
        <v>2900038</v>
      </c>
      <c r="G6021" t="s">
        <v>6415</v>
      </c>
      <c r="H6021" s="21">
        <v>1145.67</v>
      </c>
    </row>
    <row r="6022" spans="1:8" customFormat="1" x14ac:dyDescent="0.25">
      <c r="A6022" t="str">
        <f>"104657"</f>
        <v>104657</v>
      </c>
      <c r="B6022" t="s">
        <v>1547</v>
      </c>
      <c r="C6022" t="s">
        <v>269</v>
      </c>
      <c r="D6022" s="21" t="s">
        <v>34</v>
      </c>
      <c r="E6022" s="21" t="s">
        <v>71</v>
      </c>
      <c r="F6022">
        <v>6100035</v>
      </c>
      <c r="G6022" t="s">
        <v>26807</v>
      </c>
      <c r="H6022" s="21">
        <v>1145.67</v>
      </c>
    </row>
    <row r="6023" spans="1:8" customFormat="1" x14ac:dyDescent="0.25">
      <c r="A6023" t="str">
        <f>"4418360"</f>
        <v>4418360</v>
      </c>
      <c r="B6023" t="s">
        <v>2863</v>
      </c>
      <c r="C6023" t="s">
        <v>114</v>
      </c>
      <c r="D6023" s="21" t="s">
        <v>34</v>
      </c>
      <c r="E6023" s="21" t="s">
        <v>35</v>
      </c>
      <c r="F6023">
        <v>12440048</v>
      </c>
      <c r="G6023" t="s">
        <v>2090</v>
      </c>
      <c r="H6023" s="21">
        <v>1145.67</v>
      </c>
    </row>
    <row r="6024" spans="1:8" customFormat="1" x14ac:dyDescent="0.25">
      <c r="A6024" t="str">
        <f>"6919583"</f>
        <v>6919583</v>
      </c>
      <c r="B6024" t="s">
        <v>7514</v>
      </c>
      <c r="C6024" t="s">
        <v>7515</v>
      </c>
      <c r="D6024" s="21" t="s">
        <v>34</v>
      </c>
      <c r="E6024" s="21" t="s">
        <v>35</v>
      </c>
      <c r="F6024">
        <v>1690058</v>
      </c>
      <c r="G6024" t="s">
        <v>1644</v>
      </c>
      <c r="H6024" s="21">
        <v>1145.67</v>
      </c>
    </row>
    <row r="6025" spans="1:8" customFormat="1" x14ac:dyDescent="0.25">
      <c r="A6025" t="str">
        <f>"8515333"</f>
        <v>8515333</v>
      </c>
      <c r="B6025" t="s">
        <v>5734</v>
      </c>
      <c r="C6025" t="s">
        <v>2393</v>
      </c>
      <c r="D6025" s="21" t="s">
        <v>34</v>
      </c>
      <c r="E6025" s="21" t="s">
        <v>35</v>
      </c>
      <c r="F6025">
        <v>12850057</v>
      </c>
      <c r="G6025" t="s">
        <v>1291</v>
      </c>
      <c r="H6025" s="21">
        <v>1145.67</v>
      </c>
    </row>
    <row r="6026" spans="1:8" customFormat="1" x14ac:dyDescent="0.25">
      <c r="A6026" t="str">
        <f>"6018640"</f>
        <v>6018640</v>
      </c>
      <c r="B6026" t="s">
        <v>5785</v>
      </c>
      <c r="C6026" t="s">
        <v>267</v>
      </c>
      <c r="D6026" s="21" t="s">
        <v>34</v>
      </c>
      <c r="E6026" s="21" t="s">
        <v>1089</v>
      </c>
      <c r="F6026">
        <v>7600063</v>
      </c>
      <c r="G6026" t="s">
        <v>2506</v>
      </c>
      <c r="H6026" s="21">
        <v>1145.67</v>
      </c>
    </row>
    <row r="6027" spans="1:8" customFormat="1" x14ac:dyDescent="0.25">
      <c r="A6027" t="str">
        <f>"9225624"</f>
        <v>9225624</v>
      </c>
      <c r="B6027" t="s">
        <v>4818</v>
      </c>
      <c r="C6027" t="s">
        <v>33</v>
      </c>
      <c r="D6027" s="21" t="s">
        <v>34</v>
      </c>
      <c r="E6027" s="21" t="s">
        <v>35</v>
      </c>
      <c r="F6027">
        <v>10640012</v>
      </c>
      <c r="G6027" t="s">
        <v>6475</v>
      </c>
      <c r="H6027" s="21">
        <v>1145.67</v>
      </c>
    </row>
    <row r="6028" spans="1:8" customFormat="1" x14ac:dyDescent="0.25">
      <c r="A6028" t="str">
        <f>"066529"</f>
        <v>066529</v>
      </c>
      <c r="B6028" t="s">
        <v>6947</v>
      </c>
      <c r="C6028" t="s">
        <v>598</v>
      </c>
      <c r="D6028" s="21" t="s">
        <v>34</v>
      </c>
      <c r="E6028" s="21" t="s">
        <v>71</v>
      </c>
      <c r="F6028">
        <v>13060005</v>
      </c>
      <c r="G6028" t="s">
        <v>3609</v>
      </c>
      <c r="H6028" s="21">
        <v>1145.67</v>
      </c>
    </row>
    <row r="6029" spans="1:8" customFormat="1" x14ac:dyDescent="0.25">
      <c r="A6029" t="str">
        <f>"751434"</f>
        <v>751434</v>
      </c>
      <c r="B6029" t="s">
        <v>6792</v>
      </c>
      <c r="C6029" t="s">
        <v>55</v>
      </c>
      <c r="D6029" s="21" t="s">
        <v>34</v>
      </c>
      <c r="E6029" s="21" t="s">
        <v>71</v>
      </c>
      <c r="F6029">
        <v>8750487</v>
      </c>
      <c r="G6029" t="s">
        <v>6793</v>
      </c>
      <c r="H6029" s="21">
        <v>1145.67</v>
      </c>
    </row>
    <row r="6030" spans="1:8" customFormat="1" x14ac:dyDescent="0.25">
      <c r="A6030" t="str">
        <f>"285055"</f>
        <v>285055</v>
      </c>
      <c r="B6030" t="s">
        <v>26923</v>
      </c>
      <c r="C6030" t="s">
        <v>19837</v>
      </c>
      <c r="D6030" s="21" t="s">
        <v>34</v>
      </c>
      <c r="E6030" s="21" t="s">
        <v>35</v>
      </c>
      <c r="F6030">
        <v>4280121</v>
      </c>
      <c r="G6030" t="s">
        <v>4565</v>
      </c>
      <c r="H6030" s="21">
        <v>1145.42</v>
      </c>
    </row>
    <row r="6031" spans="1:8" customFormat="1" x14ac:dyDescent="0.25">
      <c r="A6031" t="str">
        <f>"59215"</f>
        <v>59215</v>
      </c>
      <c r="B6031" t="s">
        <v>6673</v>
      </c>
      <c r="C6031" t="s">
        <v>121</v>
      </c>
      <c r="D6031" s="21" t="s">
        <v>34</v>
      </c>
      <c r="E6031" s="21" t="s">
        <v>35</v>
      </c>
      <c r="F6031">
        <v>7590074</v>
      </c>
      <c r="G6031" t="s">
        <v>1992</v>
      </c>
      <c r="H6031" s="21">
        <v>1145.42</v>
      </c>
    </row>
    <row r="6032" spans="1:8" customFormat="1" x14ac:dyDescent="0.25">
      <c r="A6032" t="str">
        <f>"845682"</f>
        <v>845682</v>
      </c>
      <c r="B6032" t="s">
        <v>7322</v>
      </c>
      <c r="C6032" t="s">
        <v>144</v>
      </c>
      <c r="D6032" s="21" t="s">
        <v>34</v>
      </c>
      <c r="E6032" s="21" t="s">
        <v>71</v>
      </c>
      <c r="F6032">
        <v>13840013</v>
      </c>
      <c r="G6032" t="s">
        <v>7323</v>
      </c>
      <c r="H6032" s="21">
        <v>1145.3</v>
      </c>
    </row>
    <row r="6033" spans="1:8" customFormat="1" x14ac:dyDescent="0.25">
      <c r="A6033" t="str">
        <f>"491768"</f>
        <v>491768</v>
      </c>
      <c r="B6033" t="s">
        <v>6710</v>
      </c>
      <c r="C6033" t="s">
        <v>598</v>
      </c>
      <c r="D6033" s="21" t="s">
        <v>34</v>
      </c>
      <c r="E6033" s="21" t="s">
        <v>71</v>
      </c>
      <c r="F6033">
        <v>12490074</v>
      </c>
      <c r="G6033" t="s">
        <v>6711</v>
      </c>
      <c r="H6033" s="21">
        <v>1145.29</v>
      </c>
    </row>
    <row r="6034" spans="1:8" customFormat="1" x14ac:dyDescent="0.25">
      <c r="A6034" t="str">
        <f>"7620380"</f>
        <v>7620380</v>
      </c>
      <c r="B6034" t="s">
        <v>2824</v>
      </c>
      <c r="C6034" t="s">
        <v>43</v>
      </c>
      <c r="D6034" s="21" t="s">
        <v>34</v>
      </c>
      <c r="E6034" s="21" t="s">
        <v>35</v>
      </c>
      <c r="F6034">
        <v>9760007</v>
      </c>
      <c r="G6034" t="s">
        <v>7255</v>
      </c>
      <c r="H6034" s="21">
        <v>1145.17</v>
      </c>
    </row>
    <row r="6035" spans="1:8" customFormat="1" x14ac:dyDescent="0.25">
      <c r="A6035" t="str">
        <f>"035094"</f>
        <v>035094</v>
      </c>
      <c r="B6035" t="s">
        <v>5717</v>
      </c>
      <c r="C6035" t="s">
        <v>267</v>
      </c>
      <c r="D6035" s="21" t="s">
        <v>34</v>
      </c>
      <c r="E6035" s="21" t="s">
        <v>71</v>
      </c>
      <c r="F6035">
        <v>1030108</v>
      </c>
      <c r="G6035" t="s">
        <v>26724</v>
      </c>
      <c r="H6035" s="21">
        <v>1145.17</v>
      </c>
    </row>
    <row r="6036" spans="1:8" customFormat="1" x14ac:dyDescent="0.25">
      <c r="A6036" t="str">
        <f>"2715045"</f>
        <v>2715045</v>
      </c>
      <c r="B6036" t="s">
        <v>6954</v>
      </c>
      <c r="C6036" t="s">
        <v>2072</v>
      </c>
      <c r="D6036" s="21" t="s">
        <v>34</v>
      </c>
      <c r="E6036" s="21" t="s">
        <v>254</v>
      </c>
      <c r="F6036">
        <v>9270139</v>
      </c>
      <c r="G6036" t="s">
        <v>6955</v>
      </c>
      <c r="H6036" s="21">
        <v>1145.17</v>
      </c>
    </row>
    <row r="6037" spans="1:8" customFormat="1" x14ac:dyDescent="0.25">
      <c r="A6037" t="str">
        <f>"213220"</f>
        <v>213220</v>
      </c>
      <c r="B6037" t="s">
        <v>6438</v>
      </c>
      <c r="C6037" t="s">
        <v>151</v>
      </c>
      <c r="D6037" s="21" t="s">
        <v>34</v>
      </c>
      <c r="E6037" s="21" t="s">
        <v>35</v>
      </c>
      <c r="F6037">
        <v>2210096</v>
      </c>
      <c r="G6037" t="s">
        <v>5803</v>
      </c>
      <c r="H6037" s="21">
        <v>1145.17</v>
      </c>
    </row>
    <row r="6038" spans="1:8" customFormat="1" x14ac:dyDescent="0.25">
      <c r="A6038" t="str">
        <f>"276279"</f>
        <v>276279</v>
      </c>
      <c r="B6038" t="s">
        <v>7641</v>
      </c>
      <c r="C6038" t="s">
        <v>7642</v>
      </c>
      <c r="D6038" s="21" t="s">
        <v>34</v>
      </c>
      <c r="E6038" s="21" t="s">
        <v>35</v>
      </c>
      <c r="F6038">
        <v>9270005</v>
      </c>
      <c r="G6038" t="s">
        <v>1255</v>
      </c>
      <c r="H6038" s="21">
        <v>1145.17</v>
      </c>
    </row>
    <row r="6039" spans="1:8" customFormat="1" x14ac:dyDescent="0.25">
      <c r="A6039" t="str">
        <f>"88792"</f>
        <v>88792</v>
      </c>
      <c r="B6039" t="s">
        <v>7177</v>
      </c>
      <c r="C6039" t="s">
        <v>3905</v>
      </c>
      <c r="D6039" s="21" t="s">
        <v>34</v>
      </c>
      <c r="E6039" s="21" t="s">
        <v>71</v>
      </c>
      <c r="F6039">
        <v>6880060</v>
      </c>
      <c r="G6039" t="s">
        <v>2937</v>
      </c>
      <c r="H6039" s="21">
        <v>1145.17</v>
      </c>
    </row>
    <row r="6040" spans="1:8" customFormat="1" x14ac:dyDescent="0.25">
      <c r="A6040" t="str">
        <f>"6228922"</f>
        <v>6228922</v>
      </c>
      <c r="B6040" t="s">
        <v>7729</v>
      </c>
      <c r="C6040" t="s">
        <v>249</v>
      </c>
      <c r="D6040" s="21" t="s">
        <v>34</v>
      </c>
      <c r="E6040" s="21" t="s">
        <v>71</v>
      </c>
      <c r="F6040">
        <v>7620029</v>
      </c>
      <c r="G6040" t="s">
        <v>7730</v>
      </c>
      <c r="H6040" s="21">
        <v>1145.17</v>
      </c>
    </row>
    <row r="6041" spans="1:8" customFormat="1" x14ac:dyDescent="0.25">
      <c r="A6041" t="str">
        <f>"80402"</f>
        <v>80402</v>
      </c>
      <c r="B6041" t="s">
        <v>64</v>
      </c>
      <c r="C6041" t="s">
        <v>415</v>
      </c>
      <c r="D6041" s="21" t="s">
        <v>34</v>
      </c>
      <c r="E6041" s="21" t="s">
        <v>254</v>
      </c>
      <c r="F6041">
        <v>7800126</v>
      </c>
      <c r="G6041" t="s">
        <v>1105</v>
      </c>
      <c r="H6041" s="21">
        <v>1145.17</v>
      </c>
    </row>
    <row r="6042" spans="1:8" customFormat="1" x14ac:dyDescent="0.25">
      <c r="A6042" t="str">
        <f>"5317808"</f>
        <v>5317808</v>
      </c>
      <c r="B6042" t="s">
        <v>7993</v>
      </c>
      <c r="C6042" t="s">
        <v>198</v>
      </c>
      <c r="D6042" s="21" t="s">
        <v>34</v>
      </c>
      <c r="E6042" s="21" t="s">
        <v>71</v>
      </c>
      <c r="F6042">
        <v>12530010</v>
      </c>
      <c r="G6042" t="s">
        <v>7994</v>
      </c>
      <c r="H6042" s="21">
        <v>1145.17</v>
      </c>
    </row>
    <row r="6043" spans="1:8" customFormat="1" x14ac:dyDescent="0.25">
      <c r="A6043" t="str">
        <f>"591109"</f>
        <v>591109</v>
      </c>
      <c r="B6043" t="s">
        <v>6331</v>
      </c>
      <c r="C6043" t="s">
        <v>269</v>
      </c>
      <c r="D6043" s="21" t="s">
        <v>34</v>
      </c>
      <c r="E6043" s="21" t="s">
        <v>71</v>
      </c>
      <c r="F6043">
        <v>7590114</v>
      </c>
      <c r="G6043" t="s">
        <v>6332</v>
      </c>
      <c r="H6043" s="21">
        <v>1145.17</v>
      </c>
    </row>
    <row r="6044" spans="1:8" customFormat="1" x14ac:dyDescent="0.25">
      <c r="A6044" t="str">
        <f>"953485"</f>
        <v>953485</v>
      </c>
      <c r="B6044" t="s">
        <v>6839</v>
      </c>
      <c r="C6044" t="s">
        <v>269</v>
      </c>
      <c r="D6044" s="21" t="s">
        <v>34</v>
      </c>
      <c r="E6044" s="21" t="s">
        <v>254</v>
      </c>
      <c r="F6044">
        <v>8950330</v>
      </c>
      <c r="G6044" t="s">
        <v>794</v>
      </c>
      <c r="H6044" s="21">
        <v>1144.93</v>
      </c>
    </row>
    <row r="6045" spans="1:8" customFormat="1" x14ac:dyDescent="0.25">
      <c r="A6045" t="str">
        <f>"6110953"</f>
        <v>6110953</v>
      </c>
      <c r="B6045" t="s">
        <v>6654</v>
      </c>
      <c r="C6045" t="s">
        <v>486</v>
      </c>
      <c r="D6045" s="21" t="s">
        <v>34</v>
      </c>
      <c r="E6045" s="21" t="s">
        <v>71</v>
      </c>
      <c r="F6045">
        <v>9610119</v>
      </c>
      <c r="G6045" t="s">
        <v>6655</v>
      </c>
      <c r="H6045" s="21">
        <v>1144.92</v>
      </c>
    </row>
    <row r="6046" spans="1:8" customFormat="1" x14ac:dyDescent="0.25">
      <c r="A6046" t="str">
        <f>"782665"</f>
        <v>782665</v>
      </c>
      <c r="B6046" t="s">
        <v>1094</v>
      </c>
      <c r="C6046" t="s">
        <v>169</v>
      </c>
      <c r="D6046" s="21" t="s">
        <v>34</v>
      </c>
      <c r="E6046" s="21" t="s">
        <v>35</v>
      </c>
      <c r="F6046">
        <v>8780128</v>
      </c>
      <c r="G6046" t="s">
        <v>4201</v>
      </c>
      <c r="H6046" s="21">
        <v>1144.8</v>
      </c>
    </row>
    <row r="6047" spans="1:8" customFormat="1" x14ac:dyDescent="0.25">
      <c r="A6047" t="str">
        <f>"363176"</f>
        <v>363176</v>
      </c>
      <c r="B6047" t="s">
        <v>11378</v>
      </c>
      <c r="C6047" t="s">
        <v>285</v>
      </c>
      <c r="D6047" s="21" t="s">
        <v>34</v>
      </c>
      <c r="E6047" s="21" t="s">
        <v>35</v>
      </c>
      <c r="F6047">
        <v>4360002</v>
      </c>
      <c r="G6047" t="s">
        <v>222</v>
      </c>
      <c r="H6047" s="21">
        <v>1144.67</v>
      </c>
    </row>
    <row r="6048" spans="1:8" customFormat="1" x14ac:dyDescent="0.25">
      <c r="A6048" t="str">
        <f>"04742"</f>
        <v>04742</v>
      </c>
      <c r="B6048" t="s">
        <v>7012</v>
      </c>
      <c r="C6048" t="s">
        <v>43</v>
      </c>
      <c r="D6048" s="21" t="s">
        <v>34</v>
      </c>
      <c r="E6048" s="21" t="s">
        <v>35</v>
      </c>
      <c r="F6048">
        <v>13040025</v>
      </c>
      <c r="G6048" t="s">
        <v>6715</v>
      </c>
      <c r="H6048" s="21">
        <v>1144.67</v>
      </c>
    </row>
    <row r="6049" spans="1:8" customFormat="1" x14ac:dyDescent="0.25">
      <c r="A6049" t="str">
        <f>"4421366"</f>
        <v>4421366</v>
      </c>
      <c r="B6049" t="s">
        <v>5842</v>
      </c>
      <c r="C6049" t="s">
        <v>209</v>
      </c>
      <c r="D6049" s="21" t="s">
        <v>34</v>
      </c>
      <c r="E6049" s="21" t="s">
        <v>35</v>
      </c>
      <c r="F6049">
        <v>12440144</v>
      </c>
      <c r="G6049" t="s">
        <v>3702</v>
      </c>
      <c r="H6049" s="21">
        <v>1144.67</v>
      </c>
    </row>
    <row r="6050" spans="1:8" customFormat="1" x14ac:dyDescent="0.25">
      <c r="A6050" t="str">
        <f>"6212041"</f>
        <v>6212041</v>
      </c>
      <c r="B6050" t="s">
        <v>4560</v>
      </c>
      <c r="C6050" t="s">
        <v>33</v>
      </c>
      <c r="D6050" s="21" t="s">
        <v>34</v>
      </c>
      <c r="E6050" s="21" t="s">
        <v>71</v>
      </c>
      <c r="F6050">
        <v>7620078</v>
      </c>
      <c r="G6050" t="s">
        <v>7192</v>
      </c>
      <c r="H6050" s="21">
        <v>1144.67</v>
      </c>
    </row>
    <row r="6051" spans="1:8" customFormat="1" x14ac:dyDescent="0.25">
      <c r="A6051" t="str">
        <f>"949384"</f>
        <v>949384</v>
      </c>
      <c r="B6051" t="s">
        <v>7136</v>
      </c>
      <c r="C6051" t="s">
        <v>65</v>
      </c>
      <c r="D6051" s="21" t="s">
        <v>34</v>
      </c>
      <c r="E6051" s="21" t="s">
        <v>35</v>
      </c>
      <c r="F6051">
        <v>8941352</v>
      </c>
      <c r="G6051" t="s">
        <v>3778</v>
      </c>
      <c r="H6051" s="21">
        <v>1144.67</v>
      </c>
    </row>
    <row r="6052" spans="1:8" customFormat="1" x14ac:dyDescent="0.25">
      <c r="A6052" t="str">
        <f>"9214087"</f>
        <v>9214087</v>
      </c>
      <c r="B6052" t="s">
        <v>19494</v>
      </c>
      <c r="C6052" t="s">
        <v>121</v>
      </c>
      <c r="D6052" s="21" t="s">
        <v>34</v>
      </c>
      <c r="E6052" s="21" t="s">
        <v>35</v>
      </c>
      <c r="F6052">
        <v>1380256</v>
      </c>
      <c r="G6052" t="s">
        <v>6946</v>
      </c>
      <c r="H6052" s="21">
        <v>1144.67</v>
      </c>
    </row>
    <row r="6053" spans="1:8" customFormat="1" x14ac:dyDescent="0.25">
      <c r="A6053" t="str">
        <f>"9412779"</f>
        <v>9412779</v>
      </c>
      <c r="B6053" t="s">
        <v>2564</v>
      </c>
      <c r="C6053" t="s">
        <v>1665</v>
      </c>
      <c r="D6053" s="21" t="s">
        <v>34</v>
      </c>
      <c r="E6053" s="21" t="s">
        <v>71</v>
      </c>
      <c r="F6053">
        <v>8780905</v>
      </c>
      <c r="G6053" t="s">
        <v>1267</v>
      </c>
      <c r="H6053" s="21">
        <v>1144.67</v>
      </c>
    </row>
    <row r="6054" spans="1:8" customFormat="1" x14ac:dyDescent="0.25">
      <c r="A6054" t="str">
        <f>"491048"</f>
        <v>491048</v>
      </c>
      <c r="B6054" t="s">
        <v>7347</v>
      </c>
      <c r="C6054" t="s">
        <v>169</v>
      </c>
      <c r="D6054" s="21" t="s">
        <v>34</v>
      </c>
      <c r="E6054" s="21" t="s">
        <v>254</v>
      </c>
      <c r="F6054">
        <v>12490003</v>
      </c>
      <c r="G6054" t="s">
        <v>7348</v>
      </c>
      <c r="H6054" s="21">
        <v>1144.67</v>
      </c>
    </row>
    <row r="6055" spans="1:8" customFormat="1" x14ac:dyDescent="0.25">
      <c r="A6055" t="str">
        <f>"416194"</f>
        <v>416194</v>
      </c>
      <c r="B6055" t="s">
        <v>18983</v>
      </c>
      <c r="C6055" t="s">
        <v>328</v>
      </c>
      <c r="D6055" s="21" t="s">
        <v>34</v>
      </c>
      <c r="E6055" s="21" t="s">
        <v>35</v>
      </c>
      <c r="F6055">
        <v>4410696</v>
      </c>
      <c r="G6055" t="s">
        <v>5909</v>
      </c>
      <c r="H6055" s="21">
        <v>1144.55</v>
      </c>
    </row>
    <row r="6056" spans="1:8" customFormat="1" x14ac:dyDescent="0.25">
      <c r="A6056" t="str">
        <f>"9316596"</f>
        <v>9316596</v>
      </c>
      <c r="B6056" t="s">
        <v>5948</v>
      </c>
      <c r="C6056" t="s">
        <v>98</v>
      </c>
      <c r="D6056" s="21" t="s">
        <v>34</v>
      </c>
      <c r="E6056" s="21" t="s">
        <v>35</v>
      </c>
      <c r="F6056">
        <v>8930113</v>
      </c>
      <c r="G6056" t="s">
        <v>368</v>
      </c>
      <c r="H6056" s="21">
        <v>1144.55</v>
      </c>
    </row>
    <row r="6057" spans="1:8" customFormat="1" x14ac:dyDescent="0.25">
      <c r="A6057" t="str">
        <f>"612064"</f>
        <v>612064</v>
      </c>
      <c r="B6057" t="s">
        <v>6051</v>
      </c>
      <c r="C6057" t="s">
        <v>40</v>
      </c>
      <c r="D6057" s="21" t="s">
        <v>34</v>
      </c>
      <c r="E6057" s="21" t="s">
        <v>254</v>
      </c>
      <c r="F6057">
        <v>9610136</v>
      </c>
      <c r="G6057" t="s">
        <v>6052</v>
      </c>
      <c r="H6057" s="21">
        <v>1144.18</v>
      </c>
    </row>
    <row r="6058" spans="1:8" customFormat="1" x14ac:dyDescent="0.25">
      <c r="A6058" t="str">
        <f>"2922410"</f>
        <v>2922410</v>
      </c>
      <c r="B6058" t="s">
        <v>6678</v>
      </c>
      <c r="C6058" t="s">
        <v>2322</v>
      </c>
      <c r="D6058" s="21" t="s">
        <v>34</v>
      </c>
      <c r="E6058" s="21" t="s">
        <v>71</v>
      </c>
      <c r="F6058">
        <v>3290217</v>
      </c>
      <c r="G6058" t="s">
        <v>6770</v>
      </c>
      <c r="H6058" s="21">
        <v>1144.17</v>
      </c>
    </row>
    <row r="6059" spans="1:8" customFormat="1" x14ac:dyDescent="0.25">
      <c r="A6059" t="str">
        <f>"6711839"</f>
        <v>6711839</v>
      </c>
      <c r="B6059" t="s">
        <v>7942</v>
      </c>
      <c r="C6059" t="s">
        <v>121</v>
      </c>
      <c r="D6059" s="21" t="s">
        <v>34</v>
      </c>
      <c r="E6059" s="21" t="s">
        <v>35</v>
      </c>
      <c r="F6059">
        <v>9270013</v>
      </c>
      <c r="G6059" t="s">
        <v>26924</v>
      </c>
      <c r="H6059" s="21">
        <v>1144.17</v>
      </c>
    </row>
    <row r="6060" spans="1:8" customFormat="1" x14ac:dyDescent="0.25">
      <c r="A6060" t="str">
        <f>"616295"</f>
        <v>616295</v>
      </c>
      <c r="B6060" t="s">
        <v>6573</v>
      </c>
      <c r="C6060" t="s">
        <v>6574</v>
      </c>
      <c r="D6060" s="21" t="s">
        <v>34</v>
      </c>
      <c r="E6060" s="21" t="s">
        <v>71</v>
      </c>
      <c r="F6060">
        <v>9610039</v>
      </c>
      <c r="G6060" t="s">
        <v>3965</v>
      </c>
      <c r="H6060" s="21">
        <v>1144.17</v>
      </c>
    </row>
    <row r="6061" spans="1:8" customFormat="1" x14ac:dyDescent="0.25">
      <c r="A6061" t="str">
        <f>"5317052"</f>
        <v>5317052</v>
      </c>
      <c r="B6061" t="s">
        <v>2565</v>
      </c>
      <c r="C6061" t="s">
        <v>144</v>
      </c>
      <c r="D6061" s="21" t="s">
        <v>34</v>
      </c>
      <c r="E6061" s="21" t="s">
        <v>35</v>
      </c>
      <c r="F6061">
        <v>12530095</v>
      </c>
      <c r="G6061" t="s">
        <v>5381</v>
      </c>
      <c r="H6061" s="21">
        <v>1144.17</v>
      </c>
    </row>
    <row r="6062" spans="1:8" customFormat="1" x14ac:dyDescent="0.25">
      <c r="A6062" t="str">
        <f>"4425315"</f>
        <v>4425315</v>
      </c>
      <c r="B6062" t="s">
        <v>3650</v>
      </c>
      <c r="C6062" t="s">
        <v>87</v>
      </c>
      <c r="D6062" s="21" t="s">
        <v>34</v>
      </c>
      <c r="E6062" s="21" t="s">
        <v>35</v>
      </c>
      <c r="F6062">
        <v>12440048</v>
      </c>
      <c r="G6062" t="s">
        <v>2090</v>
      </c>
      <c r="H6062" s="21">
        <v>1144.17</v>
      </c>
    </row>
    <row r="6063" spans="1:8" customFormat="1" x14ac:dyDescent="0.25">
      <c r="A6063" t="str">
        <f>"5226"</f>
        <v>5226</v>
      </c>
      <c r="B6063" t="s">
        <v>6878</v>
      </c>
      <c r="C6063" t="s">
        <v>269</v>
      </c>
      <c r="D6063" s="21" t="s">
        <v>34</v>
      </c>
      <c r="E6063" s="21" t="s">
        <v>254</v>
      </c>
      <c r="F6063">
        <v>6520003</v>
      </c>
      <c r="G6063" t="s">
        <v>571</v>
      </c>
      <c r="H6063" s="21">
        <v>1144.17</v>
      </c>
    </row>
    <row r="6064" spans="1:8" customFormat="1" x14ac:dyDescent="0.25">
      <c r="A6064" t="str">
        <f>"5013103"</f>
        <v>5013103</v>
      </c>
      <c r="B6064" t="s">
        <v>6832</v>
      </c>
      <c r="C6064" t="s">
        <v>204</v>
      </c>
      <c r="D6064" s="21" t="s">
        <v>34</v>
      </c>
      <c r="E6064" s="21" t="s">
        <v>35</v>
      </c>
      <c r="F6064">
        <v>9500048</v>
      </c>
      <c r="G6064" t="s">
        <v>1804</v>
      </c>
      <c r="H6064" s="21">
        <v>1144.17</v>
      </c>
    </row>
    <row r="6065" spans="1:8" customFormat="1" x14ac:dyDescent="0.25">
      <c r="A6065" t="str">
        <f>"385688"</f>
        <v>385688</v>
      </c>
      <c r="B6065" t="s">
        <v>1098</v>
      </c>
      <c r="C6065" t="s">
        <v>1812</v>
      </c>
      <c r="D6065" s="21" t="s">
        <v>34</v>
      </c>
      <c r="E6065" s="21" t="s">
        <v>254</v>
      </c>
      <c r="F6065">
        <v>1380117</v>
      </c>
      <c r="G6065" t="s">
        <v>6062</v>
      </c>
      <c r="H6065" s="21">
        <v>1144.07</v>
      </c>
    </row>
    <row r="6066" spans="1:8" customFormat="1" x14ac:dyDescent="0.25">
      <c r="A6066" t="str">
        <f>"2937911"</f>
        <v>2937911</v>
      </c>
      <c r="B6066" t="s">
        <v>6933</v>
      </c>
      <c r="C6066" t="s">
        <v>2250</v>
      </c>
      <c r="D6066" s="21" t="s">
        <v>34</v>
      </c>
      <c r="E6066" s="21" t="s">
        <v>71</v>
      </c>
      <c r="F6066">
        <v>3290232</v>
      </c>
      <c r="G6066" t="s">
        <v>9588</v>
      </c>
      <c r="H6066" s="21">
        <v>1143.92</v>
      </c>
    </row>
    <row r="6067" spans="1:8" customFormat="1" x14ac:dyDescent="0.25">
      <c r="A6067" t="str">
        <f>"448618"</f>
        <v>448618</v>
      </c>
      <c r="B6067" t="s">
        <v>6297</v>
      </c>
      <c r="C6067" t="s">
        <v>43</v>
      </c>
      <c r="D6067" s="21" t="s">
        <v>34</v>
      </c>
      <c r="E6067" s="21" t="s">
        <v>35</v>
      </c>
      <c r="F6067">
        <v>12440054</v>
      </c>
      <c r="G6067" t="s">
        <v>5474</v>
      </c>
      <c r="H6067" s="21">
        <v>1143.67</v>
      </c>
    </row>
    <row r="6068" spans="1:8" customFormat="1" x14ac:dyDescent="0.25">
      <c r="A6068" t="str">
        <f>"85386"</f>
        <v>85386</v>
      </c>
      <c r="B6068" t="s">
        <v>3661</v>
      </c>
      <c r="C6068" t="s">
        <v>1299</v>
      </c>
      <c r="D6068" s="21" t="s">
        <v>34</v>
      </c>
      <c r="E6068" s="21" t="s">
        <v>71</v>
      </c>
      <c r="F6068">
        <v>12850012</v>
      </c>
      <c r="G6068" t="s">
        <v>1229</v>
      </c>
      <c r="H6068" s="21">
        <v>1143.67</v>
      </c>
    </row>
    <row r="6069" spans="1:8" customFormat="1" x14ac:dyDescent="0.25">
      <c r="A6069" t="str">
        <f>"4424595"</f>
        <v>4424595</v>
      </c>
      <c r="B6069" t="s">
        <v>6674</v>
      </c>
      <c r="C6069" t="s">
        <v>453</v>
      </c>
      <c r="D6069" s="21" t="s">
        <v>34</v>
      </c>
      <c r="E6069" s="21" t="s">
        <v>254</v>
      </c>
      <c r="F6069">
        <v>12440025</v>
      </c>
      <c r="G6069" t="s">
        <v>6675</v>
      </c>
      <c r="H6069" s="21">
        <v>1143.67</v>
      </c>
    </row>
    <row r="6070" spans="1:8" customFormat="1" x14ac:dyDescent="0.25">
      <c r="A6070" t="str">
        <f>"336084"</f>
        <v>336084</v>
      </c>
      <c r="B6070" t="s">
        <v>6907</v>
      </c>
      <c r="C6070" t="s">
        <v>124</v>
      </c>
      <c r="D6070" s="21" t="s">
        <v>34</v>
      </c>
      <c r="E6070" s="21" t="s">
        <v>71</v>
      </c>
      <c r="F6070">
        <v>10330010</v>
      </c>
      <c r="G6070" t="s">
        <v>2831</v>
      </c>
      <c r="H6070" s="21">
        <v>1143.67</v>
      </c>
    </row>
    <row r="6071" spans="1:8" customFormat="1" x14ac:dyDescent="0.25">
      <c r="A6071" t="str">
        <f>"843293"</f>
        <v>843293</v>
      </c>
      <c r="B6071" t="s">
        <v>2082</v>
      </c>
      <c r="C6071" t="s">
        <v>288</v>
      </c>
      <c r="D6071" s="21" t="s">
        <v>34</v>
      </c>
      <c r="E6071" s="21" t="s">
        <v>71</v>
      </c>
      <c r="F6071">
        <v>13840005</v>
      </c>
      <c r="G6071" t="s">
        <v>2145</v>
      </c>
      <c r="H6071" s="21">
        <v>1143.67</v>
      </c>
    </row>
    <row r="6072" spans="1:8" customFormat="1" x14ac:dyDescent="0.25">
      <c r="A6072" t="str">
        <f>"1413328"</f>
        <v>1413328</v>
      </c>
      <c r="B6072" t="s">
        <v>26925</v>
      </c>
      <c r="C6072" t="s">
        <v>2365</v>
      </c>
      <c r="D6072" s="21" t="s">
        <v>34</v>
      </c>
      <c r="E6072" s="21" t="s">
        <v>71</v>
      </c>
      <c r="F6072">
        <v>9500003</v>
      </c>
      <c r="G6072" t="s">
        <v>545</v>
      </c>
      <c r="H6072" s="21">
        <v>1143.67</v>
      </c>
    </row>
    <row r="6073" spans="1:8" customFormat="1" x14ac:dyDescent="0.25">
      <c r="A6073" t="str">
        <f>"0810790"</f>
        <v>0810790</v>
      </c>
      <c r="B6073" t="s">
        <v>1462</v>
      </c>
      <c r="C6073" t="s">
        <v>58</v>
      </c>
      <c r="D6073" s="21" t="s">
        <v>34</v>
      </c>
      <c r="E6073" s="21" t="s">
        <v>35</v>
      </c>
      <c r="F6073">
        <v>6080076</v>
      </c>
      <c r="G6073" t="s">
        <v>1767</v>
      </c>
      <c r="H6073" s="21">
        <v>1143.67</v>
      </c>
    </row>
    <row r="6074" spans="1:8" customFormat="1" x14ac:dyDescent="0.25">
      <c r="A6074" t="str">
        <f>"9228500"</f>
        <v>9228500</v>
      </c>
      <c r="B6074" t="s">
        <v>6604</v>
      </c>
      <c r="C6074" t="s">
        <v>2276</v>
      </c>
      <c r="D6074" s="21" t="s">
        <v>34</v>
      </c>
      <c r="E6074" s="21" t="s">
        <v>35</v>
      </c>
      <c r="F6074">
        <v>8751371</v>
      </c>
      <c r="G6074" t="s">
        <v>6605</v>
      </c>
      <c r="H6074" s="21">
        <v>1143.67</v>
      </c>
    </row>
    <row r="6075" spans="1:8" customFormat="1" x14ac:dyDescent="0.25">
      <c r="A6075" t="str">
        <f>"9419860"</f>
        <v>9419860</v>
      </c>
      <c r="B6075" t="s">
        <v>8464</v>
      </c>
      <c r="C6075" t="s">
        <v>174</v>
      </c>
      <c r="D6075" s="21" t="s">
        <v>34</v>
      </c>
      <c r="E6075" s="21" t="s">
        <v>35</v>
      </c>
      <c r="F6075">
        <v>8910402</v>
      </c>
      <c r="G6075" t="s">
        <v>1371</v>
      </c>
      <c r="H6075" s="21">
        <v>1143.55</v>
      </c>
    </row>
    <row r="6076" spans="1:8" customFormat="1" x14ac:dyDescent="0.25">
      <c r="A6076" t="str">
        <f>"418481"</f>
        <v>418481</v>
      </c>
      <c r="B6076" t="s">
        <v>5651</v>
      </c>
      <c r="C6076" t="s">
        <v>1914</v>
      </c>
      <c r="D6076" s="21" t="s">
        <v>34</v>
      </c>
      <c r="E6076" s="21" t="s">
        <v>71</v>
      </c>
      <c r="F6076">
        <v>4410697</v>
      </c>
      <c r="G6076" t="s">
        <v>2490</v>
      </c>
      <c r="H6076" s="21">
        <v>1143.54</v>
      </c>
    </row>
    <row r="6077" spans="1:8" customFormat="1" x14ac:dyDescent="0.25">
      <c r="A6077" t="str">
        <f>"6012311"</f>
        <v>6012311</v>
      </c>
      <c r="B6077" t="s">
        <v>9294</v>
      </c>
      <c r="C6077" t="s">
        <v>1474</v>
      </c>
      <c r="D6077" s="21" t="s">
        <v>34</v>
      </c>
      <c r="E6077" s="21" t="s">
        <v>35</v>
      </c>
      <c r="F6077">
        <v>8950481</v>
      </c>
      <c r="G6077" t="s">
        <v>1472</v>
      </c>
      <c r="H6077" s="21">
        <v>1143.44</v>
      </c>
    </row>
    <row r="6078" spans="1:8" customFormat="1" x14ac:dyDescent="0.25">
      <c r="A6078" t="str">
        <f>"852454"</f>
        <v>852454</v>
      </c>
      <c r="B6078" t="s">
        <v>5434</v>
      </c>
      <c r="C6078" t="s">
        <v>33</v>
      </c>
      <c r="D6078" s="21" t="s">
        <v>34</v>
      </c>
      <c r="E6078" s="21" t="s">
        <v>71</v>
      </c>
      <c r="F6078">
        <v>12720111</v>
      </c>
      <c r="G6078" t="s">
        <v>3418</v>
      </c>
      <c r="H6078" s="21">
        <v>1143.42</v>
      </c>
    </row>
    <row r="6079" spans="1:8" customFormat="1" x14ac:dyDescent="0.25">
      <c r="A6079" t="str">
        <f>"9111010"</f>
        <v>9111010</v>
      </c>
      <c r="B6079" t="s">
        <v>7536</v>
      </c>
      <c r="C6079" t="s">
        <v>305</v>
      </c>
      <c r="D6079" s="21" t="s">
        <v>34</v>
      </c>
      <c r="E6079" s="21" t="s">
        <v>35</v>
      </c>
      <c r="F6079">
        <v>8910359</v>
      </c>
      <c r="G6079" t="s">
        <v>1204</v>
      </c>
      <c r="H6079" s="21">
        <v>1143.18</v>
      </c>
    </row>
    <row r="6080" spans="1:8" customFormat="1" x14ac:dyDescent="0.25">
      <c r="A6080" t="str">
        <f>"6921132"</f>
        <v>6921132</v>
      </c>
      <c r="B6080" t="s">
        <v>5905</v>
      </c>
      <c r="C6080" t="s">
        <v>5906</v>
      </c>
      <c r="D6080" s="21" t="s">
        <v>34</v>
      </c>
      <c r="E6080" s="21" t="s">
        <v>35</v>
      </c>
      <c r="F6080">
        <v>1690062</v>
      </c>
      <c r="G6080" t="s">
        <v>5907</v>
      </c>
      <c r="H6080" s="21">
        <v>1143.17</v>
      </c>
    </row>
    <row r="6081" spans="1:8" customFormat="1" x14ac:dyDescent="0.25">
      <c r="A6081" t="str">
        <f>"169680"</f>
        <v>169680</v>
      </c>
      <c r="B6081" t="s">
        <v>7201</v>
      </c>
      <c r="C6081" t="s">
        <v>2904</v>
      </c>
      <c r="D6081" s="21" t="s">
        <v>34</v>
      </c>
      <c r="E6081" s="21" t="s">
        <v>71</v>
      </c>
      <c r="F6081">
        <v>10160236</v>
      </c>
      <c r="G6081" t="s">
        <v>7202</v>
      </c>
      <c r="H6081" s="21">
        <v>1143.17</v>
      </c>
    </row>
    <row r="6082" spans="1:8" customFormat="1" x14ac:dyDescent="0.25">
      <c r="A6082" t="str">
        <f>"02847"</f>
        <v>02847</v>
      </c>
      <c r="B6082" t="s">
        <v>7038</v>
      </c>
      <c r="C6082" t="s">
        <v>2546</v>
      </c>
      <c r="D6082" s="21" t="s">
        <v>34</v>
      </c>
      <c r="E6082" s="21" t="s">
        <v>71</v>
      </c>
      <c r="F6082">
        <v>7020062</v>
      </c>
      <c r="G6082" t="s">
        <v>1505</v>
      </c>
      <c r="H6082" s="21">
        <v>1143.17</v>
      </c>
    </row>
    <row r="6083" spans="1:8" customFormat="1" x14ac:dyDescent="0.25">
      <c r="A6083" t="str">
        <f>"5313734"</f>
        <v>5313734</v>
      </c>
      <c r="B6083" t="s">
        <v>6968</v>
      </c>
      <c r="C6083" t="s">
        <v>249</v>
      </c>
      <c r="D6083" s="21" t="s">
        <v>34</v>
      </c>
      <c r="E6083" s="21" t="s">
        <v>71</v>
      </c>
      <c r="F6083">
        <v>12530016</v>
      </c>
      <c r="G6083" t="s">
        <v>2069</v>
      </c>
      <c r="H6083" s="21">
        <v>1143.17</v>
      </c>
    </row>
    <row r="6084" spans="1:8" customFormat="1" x14ac:dyDescent="0.25">
      <c r="A6084" t="str">
        <f>"062715"</f>
        <v>062715</v>
      </c>
      <c r="B6084" t="s">
        <v>890</v>
      </c>
      <c r="C6084" t="s">
        <v>7538</v>
      </c>
      <c r="D6084" s="21" t="s">
        <v>34</v>
      </c>
      <c r="E6084" s="21" t="s">
        <v>71</v>
      </c>
      <c r="F6084">
        <v>13060085</v>
      </c>
      <c r="G6084" t="s">
        <v>2703</v>
      </c>
      <c r="H6084" s="21">
        <v>1143.17</v>
      </c>
    </row>
    <row r="6085" spans="1:8" customFormat="1" x14ac:dyDescent="0.25">
      <c r="A6085" t="str">
        <f>"4447822"</f>
        <v>4447822</v>
      </c>
      <c r="B6085" t="s">
        <v>6165</v>
      </c>
      <c r="C6085" t="s">
        <v>967</v>
      </c>
      <c r="D6085" s="21" t="s">
        <v>34</v>
      </c>
      <c r="E6085" s="21" t="s">
        <v>35</v>
      </c>
      <c r="F6085">
        <v>12440182</v>
      </c>
      <c r="G6085" t="s">
        <v>2915</v>
      </c>
      <c r="H6085" s="21">
        <v>1143.17</v>
      </c>
    </row>
    <row r="6086" spans="1:8" customFormat="1" x14ac:dyDescent="0.25">
      <c r="A6086" t="str">
        <f>"25607"</f>
        <v>25607</v>
      </c>
      <c r="B6086" t="s">
        <v>5728</v>
      </c>
      <c r="C6086" t="s">
        <v>825</v>
      </c>
      <c r="D6086" s="21" t="s">
        <v>34</v>
      </c>
      <c r="E6086" s="21" t="s">
        <v>254</v>
      </c>
      <c r="F6086">
        <v>2250024</v>
      </c>
      <c r="G6086" t="s">
        <v>751</v>
      </c>
      <c r="H6086" s="21">
        <v>1142.92</v>
      </c>
    </row>
    <row r="6087" spans="1:8" customFormat="1" x14ac:dyDescent="0.25">
      <c r="A6087" t="str">
        <f>"9211392"</f>
        <v>9211392</v>
      </c>
      <c r="B6087" t="s">
        <v>6327</v>
      </c>
      <c r="C6087" t="s">
        <v>169</v>
      </c>
      <c r="D6087" s="21" t="s">
        <v>34</v>
      </c>
      <c r="E6087" s="21" t="s">
        <v>71</v>
      </c>
      <c r="F6087">
        <v>8920309</v>
      </c>
      <c r="G6087" t="s">
        <v>1894</v>
      </c>
      <c r="H6087" s="21">
        <v>1142.68</v>
      </c>
    </row>
    <row r="6088" spans="1:8" customFormat="1" x14ac:dyDescent="0.25">
      <c r="A6088" t="str">
        <f>"304286"</f>
        <v>304286</v>
      </c>
      <c r="B6088" t="s">
        <v>5403</v>
      </c>
      <c r="C6088" t="s">
        <v>209</v>
      </c>
      <c r="D6088" s="21" t="s">
        <v>34</v>
      </c>
      <c r="E6088" s="21" t="s">
        <v>71</v>
      </c>
      <c r="F6088">
        <v>11300016</v>
      </c>
      <c r="G6088" t="s">
        <v>157</v>
      </c>
      <c r="H6088" s="21">
        <v>1142.67</v>
      </c>
    </row>
    <row r="6089" spans="1:8" customFormat="1" x14ac:dyDescent="0.25">
      <c r="A6089" t="str">
        <f>"5936554"</f>
        <v>5936554</v>
      </c>
      <c r="B6089" t="s">
        <v>7980</v>
      </c>
      <c r="C6089" t="s">
        <v>33</v>
      </c>
      <c r="D6089" s="21" t="s">
        <v>34</v>
      </c>
      <c r="E6089" s="21" t="s">
        <v>35</v>
      </c>
      <c r="F6089">
        <v>7590137</v>
      </c>
      <c r="G6089" t="s">
        <v>4246</v>
      </c>
      <c r="H6089" s="21">
        <v>1142.67</v>
      </c>
    </row>
    <row r="6090" spans="1:8" customFormat="1" x14ac:dyDescent="0.25">
      <c r="A6090" t="str">
        <f>"337691"</f>
        <v>337691</v>
      </c>
      <c r="B6090" t="s">
        <v>146</v>
      </c>
      <c r="C6090" t="s">
        <v>40</v>
      </c>
      <c r="D6090" s="21" t="s">
        <v>34</v>
      </c>
      <c r="E6090" s="21" t="s">
        <v>71</v>
      </c>
      <c r="F6090">
        <v>10330086</v>
      </c>
      <c r="G6090" t="s">
        <v>785</v>
      </c>
      <c r="H6090" s="21">
        <v>1142.67</v>
      </c>
    </row>
    <row r="6091" spans="1:8" customFormat="1" x14ac:dyDescent="0.25">
      <c r="A6091" t="str">
        <f>"4915955"</f>
        <v>4915955</v>
      </c>
      <c r="B6091" t="s">
        <v>5691</v>
      </c>
      <c r="C6091" t="s">
        <v>55</v>
      </c>
      <c r="D6091" s="21" t="s">
        <v>34</v>
      </c>
      <c r="E6091" s="21" t="s">
        <v>254</v>
      </c>
      <c r="F6091">
        <v>12490080</v>
      </c>
      <c r="G6091" t="s">
        <v>5692</v>
      </c>
      <c r="H6091" s="21">
        <v>1142.67</v>
      </c>
    </row>
    <row r="6092" spans="1:8" customFormat="1" x14ac:dyDescent="0.25">
      <c r="A6092" t="str">
        <f>"5931531"</f>
        <v>5931531</v>
      </c>
      <c r="B6092" t="s">
        <v>7145</v>
      </c>
      <c r="C6092" t="s">
        <v>171</v>
      </c>
      <c r="D6092" s="21" t="s">
        <v>34</v>
      </c>
      <c r="E6092" s="21" t="s">
        <v>35</v>
      </c>
      <c r="F6092">
        <v>7620121</v>
      </c>
      <c r="G6092" t="s">
        <v>7146</v>
      </c>
      <c r="H6092" s="21">
        <v>1142.67</v>
      </c>
    </row>
    <row r="6093" spans="1:8" customFormat="1" x14ac:dyDescent="0.25">
      <c r="A6093" t="str">
        <f>"7724126"</f>
        <v>7724126</v>
      </c>
      <c r="B6093" t="s">
        <v>7064</v>
      </c>
      <c r="C6093" t="s">
        <v>55</v>
      </c>
      <c r="D6093" s="21" t="s">
        <v>34</v>
      </c>
      <c r="E6093" s="21" t="s">
        <v>254</v>
      </c>
      <c r="F6093">
        <v>8771025</v>
      </c>
      <c r="G6093" t="s">
        <v>5469</v>
      </c>
      <c r="H6093" s="21">
        <v>1142.67</v>
      </c>
    </row>
    <row r="6094" spans="1:8" customFormat="1" x14ac:dyDescent="0.25">
      <c r="A6094" t="str">
        <f>"931451"</f>
        <v>931451</v>
      </c>
      <c r="B6094" t="s">
        <v>6465</v>
      </c>
      <c r="C6094" t="s">
        <v>169</v>
      </c>
      <c r="D6094" s="21" t="s">
        <v>34</v>
      </c>
      <c r="E6094" s="21" t="s">
        <v>71</v>
      </c>
      <c r="F6094">
        <v>10640003</v>
      </c>
      <c r="G6094" t="s">
        <v>1594</v>
      </c>
      <c r="H6094" s="21">
        <v>1142.67</v>
      </c>
    </row>
    <row r="6095" spans="1:8" customFormat="1" x14ac:dyDescent="0.25">
      <c r="A6095" t="str">
        <f>"9113440"</f>
        <v>9113440</v>
      </c>
      <c r="B6095" t="s">
        <v>4069</v>
      </c>
      <c r="C6095" t="s">
        <v>26926</v>
      </c>
      <c r="D6095" s="21" t="s">
        <v>34</v>
      </c>
      <c r="E6095" s="21" t="s">
        <v>6185</v>
      </c>
      <c r="F6095">
        <v>8940975</v>
      </c>
      <c r="G6095" t="s">
        <v>7959</v>
      </c>
      <c r="H6095" s="21">
        <v>1142.67</v>
      </c>
    </row>
    <row r="6096" spans="1:8" customFormat="1" x14ac:dyDescent="0.25">
      <c r="A6096" t="str">
        <f>"4417958"</f>
        <v>4417958</v>
      </c>
      <c r="B6096" t="s">
        <v>968</v>
      </c>
      <c r="C6096" t="s">
        <v>611</v>
      </c>
      <c r="D6096" s="21" t="s">
        <v>34</v>
      </c>
      <c r="E6096" s="21" t="s">
        <v>35</v>
      </c>
      <c r="F6096">
        <v>12440144</v>
      </c>
      <c r="G6096" t="s">
        <v>3702</v>
      </c>
      <c r="H6096" s="21">
        <v>1142.67</v>
      </c>
    </row>
    <row r="6097" spans="1:8" customFormat="1" x14ac:dyDescent="0.25">
      <c r="A6097" t="str">
        <f>"5314014"</f>
        <v>5314014</v>
      </c>
      <c r="B6097" t="s">
        <v>6075</v>
      </c>
      <c r="C6097" t="s">
        <v>244</v>
      </c>
      <c r="D6097" s="21" t="s">
        <v>34</v>
      </c>
      <c r="E6097" s="21" t="s">
        <v>35</v>
      </c>
      <c r="F6097">
        <v>12530005</v>
      </c>
      <c r="G6097" t="s">
        <v>6076</v>
      </c>
      <c r="H6097" s="21">
        <v>1142.67</v>
      </c>
    </row>
    <row r="6098" spans="1:8" customFormat="1" x14ac:dyDescent="0.25">
      <c r="A6098" t="str">
        <f>"5317526"</f>
        <v>5317526</v>
      </c>
      <c r="B6098" t="s">
        <v>2403</v>
      </c>
      <c r="C6098" t="s">
        <v>528</v>
      </c>
      <c r="D6098" s="21" t="s">
        <v>34</v>
      </c>
      <c r="E6098" s="21" t="s">
        <v>35</v>
      </c>
      <c r="F6098">
        <v>12530042</v>
      </c>
      <c r="G6098" t="s">
        <v>4619</v>
      </c>
      <c r="H6098" s="21">
        <v>1142.67</v>
      </c>
    </row>
    <row r="6099" spans="1:8" customFormat="1" x14ac:dyDescent="0.25">
      <c r="A6099" t="str">
        <f>"0113279"</f>
        <v>0113279</v>
      </c>
      <c r="B6099" t="s">
        <v>6369</v>
      </c>
      <c r="C6099" t="s">
        <v>285</v>
      </c>
      <c r="D6099" s="21" t="s">
        <v>34</v>
      </c>
      <c r="E6099" s="21" t="s">
        <v>35</v>
      </c>
      <c r="F6099">
        <v>1010068</v>
      </c>
      <c r="G6099" t="s">
        <v>4755</v>
      </c>
      <c r="H6099" s="21">
        <v>1142.67</v>
      </c>
    </row>
    <row r="6100" spans="1:8" customFormat="1" x14ac:dyDescent="0.25">
      <c r="A6100" t="str">
        <f>"2110906"</f>
        <v>2110906</v>
      </c>
      <c r="B6100" t="s">
        <v>1990</v>
      </c>
      <c r="C6100" t="s">
        <v>49</v>
      </c>
      <c r="D6100" s="21" t="s">
        <v>34</v>
      </c>
      <c r="E6100" s="21" t="s">
        <v>35</v>
      </c>
      <c r="F6100">
        <v>2210029</v>
      </c>
      <c r="G6100" t="s">
        <v>6983</v>
      </c>
      <c r="H6100" s="21">
        <v>1142.55</v>
      </c>
    </row>
    <row r="6101" spans="1:8" customFormat="1" x14ac:dyDescent="0.25">
      <c r="A6101" t="str">
        <f>"5424227"</f>
        <v>5424227</v>
      </c>
      <c r="B6101" t="s">
        <v>6973</v>
      </c>
      <c r="C6101" t="s">
        <v>171</v>
      </c>
      <c r="D6101" s="21" t="s">
        <v>34</v>
      </c>
      <c r="E6101" s="21" t="s">
        <v>35</v>
      </c>
      <c r="F6101">
        <v>6540184</v>
      </c>
      <c r="G6101" t="s">
        <v>4395</v>
      </c>
      <c r="H6101" s="21">
        <v>1142.17</v>
      </c>
    </row>
    <row r="6102" spans="1:8" customFormat="1" x14ac:dyDescent="0.25">
      <c r="A6102" t="str">
        <f>"2512598"</f>
        <v>2512598</v>
      </c>
      <c r="B6102" t="s">
        <v>7716</v>
      </c>
      <c r="C6102" t="s">
        <v>121</v>
      </c>
      <c r="D6102" s="21" t="s">
        <v>34</v>
      </c>
      <c r="E6102" s="21" t="s">
        <v>71</v>
      </c>
      <c r="F6102">
        <v>2250137</v>
      </c>
      <c r="G6102" t="s">
        <v>182</v>
      </c>
      <c r="H6102" s="21">
        <v>1142.17</v>
      </c>
    </row>
    <row r="6103" spans="1:8" customFormat="1" x14ac:dyDescent="0.25">
      <c r="A6103" t="str">
        <f>"123882"</f>
        <v>123882</v>
      </c>
      <c r="B6103" t="s">
        <v>205</v>
      </c>
      <c r="C6103" t="s">
        <v>40</v>
      </c>
      <c r="D6103" s="21" t="s">
        <v>34</v>
      </c>
      <c r="E6103" s="21" t="s">
        <v>71</v>
      </c>
      <c r="F6103">
        <v>11120017</v>
      </c>
      <c r="G6103" t="s">
        <v>6560</v>
      </c>
      <c r="H6103" s="21">
        <v>1142.17</v>
      </c>
    </row>
    <row r="6104" spans="1:8" customFormat="1" x14ac:dyDescent="0.25">
      <c r="A6104" t="str">
        <f>"382115"</f>
        <v>382115</v>
      </c>
      <c r="B6104" t="s">
        <v>1295</v>
      </c>
      <c r="C6104" t="s">
        <v>209</v>
      </c>
      <c r="D6104" s="21" t="s">
        <v>34</v>
      </c>
      <c r="E6104" s="21" t="s">
        <v>35</v>
      </c>
      <c r="F6104">
        <v>1380236</v>
      </c>
      <c r="G6104" t="s">
        <v>2876</v>
      </c>
      <c r="H6104" s="21">
        <v>1142.17</v>
      </c>
    </row>
    <row r="6105" spans="1:8" customFormat="1" x14ac:dyDescent="0.25">
      <c r="A6105" t="str">
        <f>"4917848"</f>
        <v>4917848</v>
      </c>
      <c r="B6105" t="s">
        <v>8064</v>
      </c>
      <c r="C6105" t="s">
        <v>139</v>
      </c>
      <c r="D6105" s="21" t="s">
        <v>34</v>
      </c>
      <c r="E6105" s="21" t="s">
        <v>35</v>
      </c>
      <c r="F6105">
        <v>12490021</v>
      </c>
      <c r="G6105" t="s">
        <v>4592</v>
      </c>
      <c r="H6105" s="21">
        <v>1142.17</v>
      </c>
    </row>
    <row r="6106" spans="1:8" customFormat="1" x14ac:dyDescent="0.25">
      <c r="A6106" t="str">
        <f>"952253"</f>
        <v>952253</v>
      </c>
      <c r="B6106" t="s">
        <v>7063</v>
      </c>
      <c r="C6106" t="s">
        <v>817</v>
      </c>
      <c r="D6106" s="21" t="s">
        <v>34</v>
      </c>
      <c r="E6106" s="21" t="s">
        <v>35</v>
      </c>
      <c r="F6106">
        <v>8950103</v>
      </c>
      <c r="G6106" t="s">
        <v>440</v>
      </c>
      <c r="H6106" s="21">
        <v>1142.17</v>
      </c>
    </row>
    <row r="6107" spans="1:8" customFormat="1" x14ac:dyDescent="0.25">
      <c r="A6107" t="str">
        <f>"07515"</f>
        <v>07515</v>
      </c>
      <c r="B6107" t="s">
        <v>7195</v>
      </c>
      <c r="C6107" t="s">
        <v>156</v>
      </c>
      <c r="D6107" s="21" t="s">
        <v>34</v>
      </c>
      <c r="E6107" s="21" t="s">
        <v>254</v>
      </c>
      <c r="F6107">
        <v>1260054</v>
      </c>
      <c r="G6107" t="s">
        <v>358</v>
      </c>
      <c r="H6107" s="21">
        <v>1141.92</v>
      </c>
    </row>
    <row r="6108" spans="1:8" customFormat="1" x14ac:dyDescent="0.25">
      <c r="A6108" t="str">
        <f>"254943"</f>
        <v>254943</v>
      </c>
      <c r="B6108" t="s">
        <v>6234</v>
      </c>
      <c r="C6108" t="s">
        <v>2150</v>
      </c>
      <c r="D6108" s="21" t="s">
        <v>34</v>
      </c>
      <c r="E6108" s="21" t="s">
        <v>71</v>
      </c>
      <c r="F6108">
        <v>2250154</v>
      </c>
      <c r="G6108" t="s">
        <v>1973</v>
      </c>
      <c r="H6108" s="21">
        <v>1141.92</v>
      </c>
    </row>
    <row r="6109" spans="1:8" customFormat="1" x14ac:dyDescent="0.25">
      <c r="A6109" t="str">
        <f>"06155"</f>
        <v>06155</v>
      </c>
      <c r="B6109" t="s">
        <v>6500</v>
      </c>
      <c r="C6109" t="s">
        <v>462</v>
      </c>
      <c r="D6109" s="21" t="s">
        <v>34</v>
      </c>
      <c r="E6109" s="21" t="s">
        <v>71</v>
      </c>
      <c r="F6109">
        <v>13060008</v>
      </c>
      <c r="G6109" t="s">
        <v>36</v>
      </c>
      <c r="H6109" s="21">
        <v>1141.67</v>
      </c>
    </row>
    <row r="6110" spans="1:8" customFormat="1" x14ac:dyDescent="0.25">
      <c r="A6110" t="str">
        <f>"506596"</f>
        <v>506596</v>
      </c>
      <c r="B6110" t="s">
        <v>6966</v>
      </c>
      <c r="C6110" t="s">
        <v>204</v>
      </c>
      <c r="D6110" s="21" t="s">
        <v>34</v>
      </c>
      <c r="E6110" s="21" t="s">
        <v>35</v>
      </c>
      <c r="F6110">
        <v>9500059</v>
      </c>
      <c r="G6110" t="s">
        <v>26714</v>
      </c>
      <c r="H6110" s="21">
        <v>1141.67</v>
      </c>
    </row>
    <row r="6111" spans="1:8" customFormat="1" x14ac:dyDescent="0.25">
      <c r="A6111" t="str">
        <f>"4235"</f>
        <v>4235</v>
      </c>
      <c r="B6111" t="s">
        <v>6018</v>
      </c>
      <c r="C6111" t="s">
        <v>198</v>
      </c>
      <c r="D6111" s="21" t="s">
        <v>34</v>
      </c>
      <c r="E6111" s="21" t="s">
        <v>71</v>
      </c>
      <c r="F6111">
        <v>1420006</v>
      </c>
      <c r="G6111" t="s">
        <v>6019</v>
      </c>
      <c r="H6111" s="21">
        <v>1141.67</v>
      </c>
    </row>
    <row r="6112" spans="1:8" customFormat="1" x14ac:dyDescent="0.25">
      <c r="A6112" t="str">
        <f>"256023"</f>
        <v>256023</v>
      </c>
      <c r="B6112" t="s">
        <v>7006</v>
      </c>
      <c r="C6112" t="s">
        <v>55</v>
      </c>
      <c r="D6112" s="21" t="s">
        <v>34</v>
      </c>
      <c r="E6112" s="21" t="s">
        <v>71</v>
      </c>
      <c r="F6112">
        <v>2250179</v>
      </c>
      <c r="G6112" t="s">
        <v>7007</v>
      </c>
      <c r="H6112" s="21">
        <v>1141.67</v>
      </c>
    </row>
    <row r="6113" spans="1:8" customFormat="1" x14ac:dyDescent="0.25">
      <c r="A6113" t="str">
        <f>"5965993"</f>
        <v>5965993</v>
      </c>
      <c r="B6113" t="s">
        <v>5367</v>
      </c>
      <c r="C6113" t="s">
        <v>5368</v>
      </c>
      <c r="D6113" s="21" t="s">
        <v>34</v>
      </c>
      <c r="E6113" s="21" t="s">
        <v>71</v>
      </c>
      <c r="F6113">
        <v>7590402</v>
      </c>
      <c r="G6113" t="s">
        <v>1623</v>
      </c>
      <c r="H6113" s="21">
        <v>1141.67</v>
      </c>
    </row>
    <row r="6114" spans="1:8" customFormat="1" x14ac:dyDescent="0.25">
      <c r="A6114" t="str">
        <f>"853211"</f>
        <v>853211</v>
      </c>
      <c r="B6114" t="s">
        <v>5783</v>
      </c>
      <c r="C6114" t="s">
        <v>263</v>
      </c>
      <c r="D6114" s="21" t="s">
        <v>34</v>
      </c>
      <c r="E6114" s="21" t="s">
        <v>71</v>
      </c>
      <c r="F6114">
        <v>12851012</v>
      </c>
      <c r="G6114" t="s">
        <v>1963</v>
      </c>
      <c r="H6114" s="21">
        <v>1141.67</v>
      </c>
    </row>
    <row r="6115" spans="1:8" customFormat="1" x14ac:dyDescent="0.25">
      <c r="A6115" t="str">
        <f>"9518895"</f>
        <v>9518895</v>
      </c>
      <c r="B6115" t="s">
        <v>3733</v>
      </c>
      <c r="C6115" t="s">
        <v>55</v>
      </c>
      <c r="D6115" s="21" t="s">
        <v>34</v>
      </c>
      <c r="E6115" s="21" t="s">
        <v>71</v>
      </c>
      <c r="F6115">
        <v>8950978</v>
      </c>
      <c r="G6115" t="s">
        <v>1164</v>
      </c>
      <c r="H6115" s="21">
        <v>1141.67</v>
      </c>
    </row>
    <row r="6116" spans="1:8" customFormat="1" x14ac:dyDescent="0.25">
      <c r="A6116" t="str">
        <f>"6924920"</f>
        <v>6924920</v>
      </c>
      <c r="B6116" t="s">
        <v>7711</v>
      </c>
      <c r="C6116" t="s">
        <v>127</v>
      </c>
      <c r="D6116" s="21" t="s">
        <v>34</v>
      </c>
      <c r="E6116" s="21" t="s">
        <v>35</v>
      </c>
      <c r="F6116">
        <v>1380045</v>
      </c>
      <c r="G6116" t="s">
        <v>2114</v>
      </c>
      <c r="H6116" s="21">
        <v>1141.67</v>
      </c>
    </row>
    <row r="6117" spans="1:8" customFormat="1" x14ac:dyDescent="0.25">
      <c r="A6117" t="str">
        <f>"4935438"</f>
        <v>4935438</v>
      </c>
      <c r="B6117" t="s">
        <v>7878</v>
      </c>
      <c r="C6117" t="s">
        <v>169</v>
      </c>
      <c r="D6117" s="21" t="s">
        <v>34</v>
      </c>
      <c r="E6117" s="21" t="s">
        <v>35</v>
      </c>
      <c r="F6117">
        <v>12490060</v>
      </c>
      <c r="G6117" t="s">
        <v>5047</v>
      </c>
      <c r="H6117" s="21">
        <v>1141.67</v>
      </c>
    </row>
    <row r="6118" spans="1:8" customFormat="1" x14ac:dyDescent="0.25">
      <c r="A6118" t="str">
        <f>"9134622"</f>
        <v>9134622</v>
      </c>
      <c r="B6118" t="s">
        <v>4872</v>
      </c>
      <c r="C6118" t="s">
        <v>139</v>
      </c>
      <c r="D6118" s="21" t="s">
        <v>34</v>
      </c>
      <c r="E6118" s="21" t="s">
        <v>71</v>
      </c>
      <c r="F6118">
        <v>8910567</v>
      </c>
      <c r="G6118" t="s">
        <v>5111</v>
      </c>
      <c r="H6118" s="21">
        <v>1141.67</v>
      </c>
    </row>
    <row r="6119" spans="1:8" customFormat="1" x14ac:dyDescent="0.25">
      <c r="A6119" t="str">
        <f>"625997"</f>
        <v>625997</v>
      </c>
      <c r="B6119" t="s">
        <v>7214</v>
      </c>
      <c r="C6119" t="s">
        <v>484</v>
      </c>
      <c r="D6119" s="21" t="s">
        <v>34</v>
      </c>
      <c r="E6119" s="21" t="s">
        <v>35</v>
      </c>
      <c r="F6119">
        <v>7620016</v>
      </c>
      <c r="G6119" t="s">
        <v>6850</v>
      </c>
      <c r="H6119" s="21">
        <v>1141.67</v>
      </c>
    </row>
    <row r="6120" spans="1:8" customFormat="1" x14ac:dyDescent="0.25">
      <c r="A6120" t="str">
        <f>"403145"</f>
        <v>403145</v>
      </c>
      <c r="B6120" t="s">
        <v>6885</v>
      </c>
      <c r="C6120" t="s">
        <v>2806</v>
      </c>
      <c r="D6120" s="21" t="s">
        <v>34</v>
      </c>
      <c r="E6120" s="21" t="s">
        <v>254</v>
      </c>
      <c r="F6120">
        <v>10400002</v>
      </c>
      <c r="G6120" t="s">
        <v>1975</v>
      </c>
      <c r="H6120" s="21">
        <v>1141.42</v>
      </c>
    </row>
    <row r="6121" spans="1:8" customFormat="1" x14ac:dyDescent="0.25">
      <c r="A6121" t="str">
        <f>"851628"</f>
        <v>851628</v>
      </c>
      <c r="B6121" t="s">
        <v>6221</v>
      </c>
      <c r="C6121" t="s">
        <v>1812</v>
      </c>
      <c r="D6121" s="21" t="s">
        <v>34</v>
      </c>
      <c r="E6121" s="21" t="s">
        <v>254</v>
      </c>
      <c r="F6121">
        <v>12850136</v>
      </c>
      <c r="G6121" t="s">
        <v>2536</v>
      </c>
      <c r="H6121" s="21">
        <v>1141.17</v>
      </c>
    </row>
    <row r="6122" spans="1:8" customFormat="1" x14ac:dyDescent="0.25">
      <c r="A6122" t="str">
        <f>"5712807"</f>
        <v>5712807</v>
      </c>
      <c r="B6122" t="s">
        <v>7365</v>
      </c>
      <c r="C6122" t="s">
        <v>144</v>
      </c>
      <c r="D6122" s="21" t="s">
        <v>34</v>
      </c>
      <c r="E6122" s="21" t="s">
        <v>35</v>
      </c>
      <c r="F6122">
        <v>6570070</v>
      </c>
      <c r="G6122" t="s">
        <v>1765</v>
      </c>
      <c r="H6122" s="21">
        <v>1141.17</v>
      </c>
    </row>
    <row r="6123" spans="1:8" customFormat="1" x14ac:dyDescent="0.25">
      <c r="A6123" t="str">
        <f>"2213949"</f>
        <v>2213949</v>
      </c>
      <c r="B6123" t="s">
        <v>6771</v>
      </c>
      <c r="C6123" t="s">
        <v>239</v>
      </c>
      <c r="D6123" s="21" t="s">
        <v>34</v>
      </c>
      <c r="E6123" s="21" t="s">
        <v>35</v>
      </c>
      <c r="F6123">
        <v>3220002</v>
      </c>
      <c r="G6123" t="s">
        <v>26727</v>
      </c>
      <c r="H6123" s="21">
        <v>1141.17</v>
      </c>
    </row>
    <row r="6124" spans="1:8" customFormat="1" x14ac:dyDescent="0.25">
      <c r="A6124" t="str">
        <f>"2211792"</f>
        <v>2211792</v>
      </c>
      <c r="B6124" t="s">
        <v>6801</v>
      </c>
      <c r="C6124" t="s">
        <v>486</v>
      </c>
      <c r="D6124" s="21" t="s">
        <v>34</v>
      </c>
      <c r="E6124" s="21" t="s">
        <v>35</v>
      </c>
      <c r="F6124">
        <v>3290003</v>
      </c>
      <c r="G6124" t="s">
        <v>3764</v>
      </c>
      <c r="H6124" s="21">
        <v>1141.17</v>
      </c>
    </row>
    <row r="6125" spans="1:8" customFormat="1" x14ac:dyDescent="0.25">
      <c r="A6125" t="str">
        <f>"4216094"</f>
        <v>4216094</v>
      </c>
      <c r="B6125" t="s">
        <v>9442</v>
      </c>
      <c r="C6125" t="s">
        <v>65</v>
      </c>
      <c r="D6125" s="21" t="s">
        <v>34</v>
      </c>
      <c r="E6125" s="21" t="s">
        <v>35</v>
      </c>
      <c r="F6125">
        <v>1420048</v>
      </c>
      <c r="G6125" t="s">
        <v>745</v>
      </c>
      <c r="H6125" s="21">
        <v>1141.05</v>
      </c>
    </row>
    <row r="6126" spans="1:8" customFormat="1" x14ac:dyDescent="0.25">
      <c r="A6126" t="str">
        <f>"365338"</f>
        <v>365338</v>
      </c>
      <c r="B6126" t="s">
        <v>7048</v>
      </c>
      <c r="C6126" t="s">
        <v>462</v>
      </c>
      <c r="D6126" s="21" t="s">
        <v>34</v>
      </c>
      <c r="E6126" s="21" t="s">
        <v>71</v>
      </c>
      <c r="F6126">
        <v>4360343</v>
      </c>
      <c r="G6126" t="s">
        <v>6348</v>
      </c>
      <c r="H6126" s="21">
        <v>1141.05</v>
      </c>
    </row>
    <row r="6127" spans="1:8" customFormat="1" x14ac:dyDescent="0.25">
      <c r="A6127" t="str">
        <f>"7824497"</f>
        <v>7824497</v>
      </c>
      <c r="B6127" t="s">
        <v>9056</v>
      </c>
      <c r="C6127" t="s">
        <v>149</v>
      </c>
      <c r="D6127" s="21" t="s">
        <v>34</v>
      </c>
      <c r="E6127" s="21" t="s">
        <v>35</v>
      </c>
      <c r="F6127">
        <v>8940866</v>
      </c>
      <c r="G6127" t="s">
        <v>519</v>
      </c>
      <c r="H6127" s="21">
        <v>1140.93</v>
      </c>
    </row>
    <row r="6128" spans="1:8" customFormat="1" x14ac:dyDescent="0.25">
      <c r="A6128" t="str">
        <f>"593544"</f>
        <v>593544</v>
      </c>
      <c r="B6128" t="s">
        <v>6124</v>
      </c>
      <c r="C6128" t="s">
        <v>3784</v>
      </c>
      <c r="D6128" s="21" t="s">
        <v>34</v>
      </c>
      <c r="E6128" s="21" t="s">
        <v>254</v>
      </c>
      <c r="F6128">
        <v>7590123</v>
      </c>
      <c r="G6128" t="s">
        <v>85</v>
      </c>
      <c r="H6128" s="21">
        <v>1140.92</v>
      </c>
    </row>
    <row r="6129" spans="1:8" customFormat="1" x14ac:dyDescent="0.25">
      <c r="A6129" t="str">
        <f>"6926809"</f>
        <v>6926809</v>
      </c>
      <c r="B6129" t="s">
        <v>7823</v>
      </c>
      <c r="C6129" t="s">
        <v>149</v>
      </c>
      <c r="D6129" s="21" t="s">
        <v>34</v>
      </c>
      <c r="E6129" s="21" t="s">
        <v>35</v>
      </c>
      <c r="F6129">
        <v>1690090</v>
      </c>
      <c r="G6129" t="s">
        <v>6286</v>
      </c>
      <c r="H6129" s="21">
        <v>1140.92</v>
      </c>
    </row>
    <row r="6130" spans="1:8" customFormat="1" x14ac:dyDescent="0.25">
      <c r="A6130" t="str">
        <f>"085053"</f>
        <v>085053</v>
      </c>
      <c r="B6130" t="s">
        <v>5735</v>
      </c>
      <c r="C6130" t="s">
        <v>817</v>
      </c>
      <c r="D6130" s="21" t="s">
        <v>34</v>
      </c>
      <c r="E6130" s="21" t="s">
        <v>254</v>
      </c>
      <c r="F6130">
        <v>6080082</v>
      </c>
      <c r="G6130" t="s">
        <v>2401</v>
      </c>
      <c r="H6130" s="21">
        <v>1140.92</v>
      </c>
    </row>
    <row r="6131" spans="1:8" customFormat="1" x14ac:dyDescent="0.25">
      <c r="A6131" t="str">
        <f>"149037"</f>
        <v>149037</v>
      </c>
      <c r="B6131" t="s">
        <v>7409</v>
      </c>
      <c r="C6131" t="s">
        <v>121</v>
      </c>
      <c r="D6131" s="21" t="s">
        <v>34</v>
      </c>
      <c r="E6131" s="21" t="s">
        <v>35</v>
      </c>
      <c r="F6131">
        <v>9140063</v>
      </c>
      <c r="G6131" t="s">
        <v>4764</v>
      </c>
      <c r="H6131" s="21">
        <v>1140.67</v>
      </c>
    </row>
    <row r="6132" spans="1:8" customFormat="1" x14ac:dyDescent="0.25">
      <c r="A6132" t="str">
        <f>"9511978"</f>
        <v>9511978</v>
      </c>
      <c r="B6132" t="s">
        <v>6614</v>
      </c>
      <c r="C6132" t="s">
        <v>246</v>
      </c>
      <c r="D6132" s="21" t="s">
        <v>34</v>
      </c>
      <c r="E6132" s="21" t="s">
        <v>71</v>
      </c>
      <c r="F6132">
        <v>8950974</v>
      </c>
      <c r="G6132" t="s">
        <v>6615</v>
      </c>
      <c r="H6132" s="21">
        <v>1140.67</v>
      </c>
    </row>
    <row r="6133" spans="1:8" customFormat="1" x14ac:dyDescent="0.25">
      <c r="A6133" t="str">
        <f>"24319"</f>
        <v>24319</v>
      </c>
      <c r="B6133" t="s">
        <v>7022</v>
      </c>
      <c r="C6133" t="s">
        <v>1494</v>
      </c>
      <c r="D6133" s="21" t="s">
        <v>34</v>
      </c>
      <c r="E6133" s="21" t="s">
        <v>71</v>
      </c>
      <c r="F6133">
        <v>10240020</v>
      </c>
      <c r="G6133" t="s">
        <v>870</v>
      </c>
      <c r="H6133" s="21">
        <v>1140.67</v>
      </c>
    </row>
    <row r="6134" spans="1:8" customFormat="1" x14ac:dyDescent="0.25">
      <c r="A6134" t="str">
        <f>"44613"</f>
        <v>44613</v>
      </c>
      <c r="B6134" t="s">
        <v>6716</v>
      </c>
      <c r="C6134" t="s">
        <v>198</v>
      </c>
      <c r="D6134" s="21" t="s">
        <v>34</v>
      </c>
      <c r="E6134" s="21" t="s">
        <v>254</v>
      </c>
      <c r="F6134">
        <v>12440056</v>
      </c>
      <c r="G6134" t="s">
        <v>2037</v>
      </c>
      <c r="H6134" s="21">
        <v>1140.67</v>
      </c>
    </row>
    <row r="6135" spans="1:8" customFormat="1" x14ac:dyDescent="0.25">
      <c r="A6135" t="str">
        <f>"933059"</f>
        <v>933059</v>
      </c>
      <c r="B6135" t="s">
        <v>6492</v>
      </c>
      <c r="C6135" t="s">
        <v>6493</v>
      </c>
      <c r="D6135" s="21" t="s">
        <v>34</v>
      </c>
      <c r="E6135" s="21" t="s">
        <v>71</v>
      </c>
      <c r="F6135">
        <v>8931011</v>
      </c>
      <c r="G6135" t="s">
        <v>530</v>
      </c>
      <c r="H6135" s="21">
        <v>1140.67</v>
      </c>
    </row>
    <row r="6136" spans="1:8" customFormat="1" x14ac:dyDescent="0.25">
      <c r="A6136" t="str">
        <f>"7610783"</f>
        <v>7610783</v>
      </c>
      <c r="B6136" t="s">
        <v>7329</v>
      </c>
      <c r="C6136" t="s">
        <v>40</v>
      </c>
      <c r="D6136" s="21" t="s">
        <v>34</v>
      </c>
      <c r="E6136" s="21" t="s">
        <v>71</v>
      </c>
      <c r="F6136">
        <v>9760291</v>
      </c>
      <c r="G6136" t="s">
        <v>26611</v>
      </c>
      <c r="H6136" s="21">
        <v>1140.67</v>
      </c>
    </row>
    <row r="6137" spans="1:8" customFormat="1" x14ac:dyDescent="0.25">
      <c r="A6137" t="str">
        <f>"0615925"</f>
        <v>0615925</v>
      </c>
      <c r="B6137" t="s">
        <v>26927</v>
      </c>
      <c r="C6137" t="s">
        <v>37</v>
      </c>
      <c r="D6137" s="21" t="s">
        <v>34</v>
      </c>
      <c r="E6137" s="21" t="s">
        <v>35</v>
      </c>
      <c r="F6137">
        <v>13060037</v>
      </c>
      <c r="G6137" t="s">
        <v>9521</v>
      </c>
      <c r="H6137" s="21">
        <v>1140.67</v>
      </c>
    </row>
    <row r="6138" spans="1:8" customFormat="1" x14ac:dyDescent="0.25">
      <c r="A6138" t="str">
        <f>"6311082"</f>
        <v>6311082</v>
      </c>
      <c r="B6138" t="s">
        <v>7262</v>
      </c>
      <c r="C6138" t="s">
        <v>486</v>
      </c>
      <c r="D6138" s="21" t="s">
        <v>34</v>
      </c>
      <c r="E6138" s="21" t="s">
        <v>71</v>
      </c>
      <c r="F6138">
        <v>1630330</v>
      </c>
      <c r="G6138" t="s">
        <v>7263</v>
      </c>
      <c r="H6138" s="21">
        <v>1140.67</v>
      </c>
    </row>
    <row r="6139" spans="1:8" customFormat="1" x14ac:dyDescent="0.25">
      <c r="A6139" t="str">
        <f>"5317627"</f>
        <v>5317627</v>
      </c>
      <c r="B6139" t="s">
        <v>7520</v>
      </c>
      <c r="C6139" t="s">
        <v>55</v>
      </c>
      <c r="D6139" s="21" t="s">
        <v>34</v>
      </c>
      <c r="E6139" s="21" t="s">
        <v>71</v>
      </c>
      <c r="F6139">
        <v>12530038</v>
      </c>
      <c r="G6139" t="s">
        <v>4955</v>
      </c>
      <c r="H6139" s="21">
        <v>1140.67</v>
      </c>
    </row>
    <row r="6140" spans="1:8" customFormat="1" x14ac:dyDescent="0.25">
      <c r="A6140" t="str">
        <f>"4419854"</f>
        <v>4419854</v>
      </c>
      <c r="B6140" t="s">
        <v>3091</v>
      </c>
      <c r="C6140" t="s">
        <v>812</v>
      </c>
      <c r="D6140" s="21" t="s">
        <v>34</v>
      </c>
      <c r="E6140" s="21" t="s">
        <v>71</v>
      </c>
      <c r="F6140">
        <v>12440049</v>
      </c>
      <c r="G6140" t="s">
        <v>3339</v>
      </c>
      <c r="H6140" s="21">
        <v>1140.55</v>
      </c>
    </row>
    <row r="6141" spans="1:8" customFormat="1" x14ac:dyDescent="0.25">
      <c r="A6141" t="str">
        <f>"9126935"</f>
        <v>9126935</v>
      </c>
      <c r="B6141" t="s">
        <v>5592</v>
      </c>
      <c r="C6141" t="s">
        <v>239</v>
      </c>
      <c r="D6141" s="21" t="s">
        <v>34</v>
      </c>
      <c r="E6141" s="21" t="s">
        <v>254</v>
      </c>
      <c r="F6141">
        <v>8911439</v>
      </c>
      <c r="G6141" t="s">
        <v>3953</v>
      </c>
      <c r="H6141" s="21">
        <v>1140.55</v>
      </c>
    </row>
    <row r="6142" spans="1:8" customFormat="1" x14ac:dyDescent="0.25">
      <c r="A6142" t="str">
        <f>"9124465"</f>
        <v>9124465</v>
      </c>
      <c r="B6142" t="s">
        <v>6703</v>
      </c>
      <c r="C6142" t="s">
        <v>6704</v>
      </c>
      <c r="D6142" s="21" t="s">
        <v>34</v>
      </c>
      <c r="E6142" s="21" t="s">
        <v>35</v>
      </c>
      <c r="F6142">
        <v>8911461</v>
      </c>
      <c r="G6142" t="s">
        <v>6705</v>
      </c>
      <c r="H6142" s="21">
        <v>1140.5</v>
      </c>
    </row>
    <row r="6143" spans="1:8" customFormat="1" x14ac:dyDescent="0.25">
      <c r="A6143" t="str">
        <f>"8012582"</f>
        <v>8012582</v>
      </c>
      <c r="B6143" t="s">
        <v>7678</v>
      </c>
      <c r="C6143" t="s">
        <v>513</v>
      </c>
      <c r="D6143" s="21" t="s">
        <v>34</v>
      </c>
      <c r="E6143" s="21" t="s">
        <v>35</v>
      </c>
      <c r="F6143">
        <v>7800040</v>
      </c>
      <c r="G6143" t="s">
        <v>1448</v>
      </c>
      <c r="H6143" s="21">
        <v>1140.5</v>
      </c>
    </row>
    <row r="6144" spans="1:8" customFormat="1" x14ac:dyDescent="0.25">
      <c r="A6144" t="str">
        <f>"3521413"</f>
        <v>3521413</v>
      </c>
      <c r="B6144" t="s">
        <v>5748</v>
      </c>
      <c r="C6144" t="s">
        <v>486</v>
      </c>
      <c r="D6144" s="21" t="s">
        <v>34</v>
      </c>
      <c r="E6144" s="21" t="s">
        <v>71</v>
      </c>
      <c r="F6144">
        <v>3350049</v>
      </c>
      <c r="G6144" t="s">
        <v>1475</v>
      </c>
      <c r="H6144" s="21">
        <v>1140.42</v>
      </c>
    </row>
    <row r="6145" spans="1:8" customFormat="1" x14ac:dyDescent="0.25">
      <c r="A6145" t="str">
        <f>"4525149"</f>
        <v>4525149</v>
      </c>
      <c r="B6145" t="s">
        <v>7583</v>
      </c>
      <c r="C6145" t="s">
        <v>576</v>
      </c>
      <c r="D6145" s="21" t="s">
        <v>34</v>
      </c>
      <c r="E6145" s="21" t="s">
        <v>35</v>
      </c>
      <c r="F6145">
        <v>4450754</v>
      </c>
      <c r="G6145" t="s">
        <v>2695</v>
      </c>
      <c r="H6145" s="21">
        <v>1140.42</v>
      </c>
    </row>
    <row r="6146" spans="1:8" customFormat="1" x14ac:dyDescent="0.25">
      <c r="A6146" t="str">
        <f>"675307"</f>
        <v>675307</v>
      </c>
      <c r="B6146" t="s">
        <v>26928</v>
      </c>
      <c r="C6146" t="s">
        <v>40</v>
      </c>
      <c r="D6146" s="21" t="s">
        <v>34</v>
      </c>
      <c r="E6146" s="21" t="s">
        <v>35</v>
      </c>
      <c r="F6146">
        <v>6670149</v>
      </c>
      <c r="G6146" t="s">
        <v>4404</v>
      </c>
      <c r="H6146" s="21">
        <v>1140.42</v>
      </c>
    </row>
    <row r="6147" spans="1:8" customFormat="1" x14ac:dyDescent="0.25">
      <c r="A6147" t="str">
        <f>"0210110"</f>
        <v>0210110</v>
      </c>
      <c r="B6147" t="s">
        <v>8395</v>
      </c>
      <c r="C6147" t="s">
        <v>275</v>
      </c>
      <c r="D6147" s="21" t="s">
        <v>34</v>
      </c>
      <c r="E6147" s="21" t="s">
        <v>35</v>
      </c>
      <c r="F6147">
        <v>7020064</v>
      </c>
      <c r="G6147" t="s">
        <v>8396</v>
      </c>
      <c r="H6147" s="21">
        <v>1140.29</v>
      </c>
    </row>
    <row r="6148" spans="1:8" customFormat="1" x14ac:dyDescent="0.25">
      <c r="A6148" t="str">
        <f>"3710683"</f>
        <v>3710683</v>
      </c>
      <c r="B6148" t="s">
        <v>6160</v>
      </c>
      <c r="C6148" t="s">
        <v>415</v>
      </c>
      <c r="D6148" s="21" t="s">
        <v>34</v>
      </c>
      <c r="E6148" s="21" t="s">
        <v>254</v>
      </c>
      <c r="F6148">
        <v>3350014</v>
      </c>
      <c r="G6148" t="s">
        <v>1078</v>
      </c>
      <c r="H6148" s="21">
        <v>1140.17</v>
      </c>
    </row>
    <row r="6149" spans="1:8" customFormat="1" x14ac:dyDescent="0.25">
      <c r="A6149" t="str">
        <f>"794055"</f>
        <v>794055</v>
      </c>
      <c r="B6149" t="s">
        <v>6611</v>
      </c>
      <c r="C6149" t="s">
        <v>233</v>
      </c>
      <c r="D6149" s="21" t="s">
        <v>34</v>
      </c>
      <c r="E6149" s="21" t="s">
        <v>71</v>
      </c>
      <c r="F6149">
        <v>10790002</v>
      </c>
      <c r="G6149" t="s">
        <v>6612</v>
      </c>
      <c r="H6149" s="21">
        <v>1140.17</v>
      </c>
    </row>
    <row r="6150" spans="1:8" customFormat="1" x14ac:dyDescent="0.25">
      <c r="A6150" t="str">
        <f>"5951489"</f>
        <v>5951489</v>
      </c>
      <c r="B6150" t="s">
        <v>6971</v>
      </c>
      <c r="C6150" t="s">
        <v>249</v>
      </c>
      <c r="D6150" s="21" t="s">
        <v>34</v>
      </c>
      <c r="E6150" s="21" t="s">
        <v>71</v>
      </c>
      <c r="F6150">
        <v>7590288</v>
      </c>
      <c r="G6150" t="s">
        <v>6972</v>
      </c>
      <c r="H6150" s="21">
        <v>1140.17</v>
      </c>
    </row>
    <row r="6151" spans="1:8" customFormat="1" x14ac:dyDescent="0.25">
      <c r="A6151" t="str">
        <f>"3520964"</f>
        <v>3520964</v>
      </c>
      <c r="B6151" t="s">
        <v>402</v>
      </c>
      <c r="C6151" t="s">
        <v>1914</v>
      </c>
      <c r="D6151" s="21" t="s">
        <v>34</v>
      </c>
      <c r="E6151" s="21" t="s">
        <v>35</v>
      </c>
      <c r="F6151">
        <v>3350021</v>
      </c>
      <c r="G6151" t="s">
        <v>1758</v>
      </c>
      <c r="H6151" s="21">
        <v>1140.17</v>
      </c>
    </row>
    <row r="6152" spans="1:8" customFormat="1" x14ac:dyDescent="0.25">
      <c r="A6152" t="str">
        <f>"299906"</f>
        <v>299906</v>
      </c>
      <c r="B6152" t="s">
        <v>7517</v>
      </c>
      <c r="C6152" t="s">
        <v>1665</v>
      </c>
      <c r="D6152" s="21" t="s">
        <v>34</v>
      </c>
      <c r="E6152" s="21" t="s">
        <v>35</v>
      </c>
      <c r="F6152">
        <v>3290264</v>
      </c>
      <c r="G6152" t="s">
        <v>6934</v>
      </c>
      <c r="H6152" s="21">
        <v>1140.17</v>
      </c>
    </row>
    <row r="6153" spans="1:8" customFormat="1" x14ac:dyDescent="0.25">
      <c r="A6153" t="str">
        <f>"5911143"</f>
        <v>5911143</v>
      </c>
      <c r="B6153" t="s">
        <v>26929</v>
      </c>
      <c r="C6153" t="s">
        <v>719</v>
      </c>
      <c r="D6153" s="21" t="s">
        <v>34</v>
      </c>
      <c r="E6153" s="21" t="s">
        <v>35</v>
      </c>
      <c r="F6153">
        <v>7620046</v>
      </c>
      <c r="G6153" t="s">
        <v>242</v>
      </c>
      <c r="H6153" s="21">
        <v>1140.17</v>
      </c>
    </row>
    <row r="6154" spans="1:8" customFormat="1" x14ac:dyDescent="0.25">
      <c r="A6154" t="str">
        <f>"9418717"</f>
        <v>9418717</v>
      </c>
      <c r="B6154" t="s">
        <v>5970</v>
      </c>
      <c r="C6154" t="s">
        <v>144</v>
      </c>
      <c r="D6154" s="21" t="s">
        <v>34</v>
      </c>
      <c r="E6154" s="21" t="s">
        <v>35</v>
      </c>
      <c r="F6154">
        <v>13040023</v>
      </c>
      <c r="G6154" t="s">
        <v>2542</v>
      </c>
      <c r="H6154" s="21">
        <v>1140.05</v>
      </c>
    </row>
    <row r="6155" spans="1:8" customFormat="1" x14ac:dyDescent="0.25">
      <c r="A6155" t="str">
        <f>"2516374"</f>
        <v>2516374</v>
      </c>
      <c r="B6155" t="s">
        <v>10234</v>
      </c>
      <c r="C6155" t="s">
        <v>9286</v>
      </c>
      <c r="D6155" s="21" t="s">
        <v>34</v>
      </c>
      <c r="E6155" s="21" t="s">
        <v>35</v>
      </c>
      <c r="F6155">
        <v>2250070</v>
      </c>
      <c r="G6155" t="s">
        <v>3923</v>
      </c>
      <c r="H6155" s="21">
        <v>1139.92</v>
      </c>
    </row>
    <row r="6156" spans="1:8" customFormat="1" x14ac:dyDescent="0.25">
      <c r="A6156" t="str">
        <f>"718406"</f>
        <v>718406</v>
      </c>
      <c r="B6156" t="s">
        <v>7464</v>
      </c>
      <c r="C6156" t="s">
        <v>2475</v>
      </c>
      <c r="D6156" s="21" t="s">
        <v>34</v>
      </c>
      <c r="E6156" s="21" t="s">
        <v>71</v>
      </c>
      <c r="F6156">
        <v>2710048</v>
      </c>
      <c r="G6156" t="s">
        <v>2225</v>
      </c>
      <c r="H6156" s="21">
        <v>1139.8</v>
      </c>
    </row>
    <row r="6157" spans="1:8" customFormat="1" x14ac:dyDescent="0.25">
      <c r="A6157" t="str">
        <f>"308041"</f>
        <v>308041</v>
      </c>
      <c r="B6157" t="s">
        <v>6499</v>
      </c>
      <c r="C6157" t="s">
        <v>1025</v>
      </c>
      <c r="D6157" s="21" t="s">
        <v>34</v>
      </c>
      <c r="E6157" s="21" t="s">
        <v>35</v>
      </c>
      <c r="F6157">
        <v>11300018</v>
      </c>
      <c r="G6157" t="s">
        <v>5158</v>
      </c>
      <c r="H6157" s="21">
        <v>1139.67</v>
      </c>
    </row>
    <row r="6158" spans="1:8" customFormat="1" x14ac:dyDescent="0.25">
      <c r="A6158" t="str">
        <f>"887152"</f>
        <v>887152</v>
      </c>
      <c r="B6158" t="s">
        <v>7183</v>
      </c>
      <c r="C6158" t="s">
        <v>169</v>
      </c>
      <c r="D6158" s="21" t="s">
        <v>34</v>
      </c>
      <c r="E6158" s="21" t="s">
        <v>35</v>
      </c>
      <c r="F6158">
        <v>2700002</v>
      </c>
      <c r="G6158" t="s">
        <v>953</v>
      </c>
      <c r="H6158" s="21">
        <v>1139.67</v>
      </c>
    </row>
    <row r="6159" spans="1:8" customFormat="1" x14ac:dyDescent="0.25">
      <c r="A6159" t="str">
        <f>"3510392"</f>
        <v>3510392</v>
      </c>
      <c r="B6159" t="s">
        <v>7630</v>
      </c>
      <c r="C6159" t="s">
        <v>528</v>
      </c>
      <c r="D6159" s="21" t="s">
        <v>34</v>
      </c>
      <c r="E6159" s="21" t="s">
        <v>254</v>
      </c>
      <c r="F6159">
        <v>3350113</v>
      </c>
      <c r="G6159" t="s">
        <v>7631</v>
      </c>
      <c r="H6159" s="21">
        <v>1139.67</v>
      </c>
    </row>
    <row r="6160" spans="1:8" customFormat="1" x14ac:dyDescent="0.25">
      <c r="A6160" t="str">
        <f>"6212632"</f>
        <v>6212632</v>
      </c>
      <c r="B6160" t="s">
        <v>8094</v>
      </c>
      <c r="C6160" t="s">
        <v>269</v>
      </c>
      <c r="D6160" s="21" t="s">
        <v>34</v>
      </c>
      <c r="E6160" s="21" t="s">
        <v>35</v>
      </c>
      <c r="F6160">
        <v>7620005</v>
      </c>
      <c r="G6160" t="s">
        <v>200</v>
      </c>
      <c r="H6160" s="21">
        <v>1139.67</v>
      </c>
    </row>
    <row r="6161" spans="1:8" customFormat="1" x14ac:dyDescent="0.25">
      <c r="A6161" t="str">
        <f>"5911853"</f>
        <v>5911853</v>
      </c>
      <c r="B6161" t="s">
        <v>4618</v>
      </c>
      <c r="C6161" t="s">
        <v>484</v>
      </c>
      <c r="D6161" s="21" t="s">
        <v>34</v>
      </c>
      <c r="E6161" s="21" t="s">
        <v>35</v>
      </c>
      <c r="F6161">
        <v>7620024</v>
      </c>
      <c r="G6161" t="s">
        <v>2975</v>
      </c>
      <c r="H6161" s="21">
        <v>1139.67</v>
      </c>
    </row>
    <row r="6162" spans="1:8" customFormat="1" x14ac:dyDescent="0.25">
      <c r="A6162" t="str">
        <f>"941093"</f>
        <v>941093</v>
      </c>
      <c r="B6162" t="s">
        <v>6136</v>
      </c>
      <c r="C6162" t="s">
        <v>40</v>
      </c>
      <c r="D6162" s="21" t="s">
        <v>34</v>
      </c>
      <c r="E6162" s="21" t="s">
        <v>254</v>
      </c>
      <c r="F6162">
        <v>8780632</v>
      </c>
      <c r="G6162" t="s">
        <v>1571</v>
      </c>
      <c r="H6162" s="21">
        <v>1139.67</v>
      </c>
    </row>
    <row r="6163" spans="1:8" customFormat="1" x14ac:dyDescent="0.25">
      <c r="A6163" t="str">
        <f>"9521637"</f>
        <v>9521637</v>
      </c>
      <c r="B6163" t="s">
        <v>7946</v>
      </c>
      <c r="C6163" t="s">
        <v>817</v>
      </c>
      <c r="D6163" s="21" t="s">
        <v>34</v>
      </c>
      <c r="E6163" s="21" t="s">
        <v>35</v>
      </c>
      <c r="F6163">
        <v>10860017</v>
      </c>
      <c r="G6163" t="s">
        <v>2439</v>
      </c>
      <c r="H6163" s="21">
        <v>1139.55</v>
      </c>
    </row>
    <row r="6164" spans="1:8" customFormat="1" x14ac:dyDescent="0.25">
      <c r="A6164" t="str">
        <f>"132527"</f>
        <v>132527</v>
      </c>
      <c r="B6164" t="s">
        <v>2335</v>
      </c>
      <c r="C6164" t="s">
        <v>169</v>
      </c>
      <c r="D6164" s="21" t="s">
        <v>34</v>
      </c>
      <c r="E6164" s="21" t="s">
        <v>254</v>
      </c>
      <c r="F6164">
        <v>5980003</v>
      </c>
      <c r="G6164" t="s">
        <v>1746</v>
      </c>
      <c r="H6164" s="21">
        <v>1139.43</v>
      </c>
    </row>
    <row r="6165" spans="1:8" customFormat="1" x14ac:dyDescent="0.25">
      <c r="A6165" t="str">
        <f>"5322989"</f>
        <v>5322989</v>
      </c>
      <c r="B6165" t="s">
        <v>7783</v>
      </c>
      <c r="C6165" t="s">
        <v>55</v>
      </c>
      <c r="D6165" s="21" t="s">
        <v>34</v>
      </c>
      <c r="E6165" s="21" t="s">
        <v>35</v>
      </c>
      <c r="F6165">
        <v>12530114</v>
      </c>
      <c r="G6165" t="s">
        <v>1342</v>
      </c>
      <c r="H6165" s="21">
        <v>1139.42</v>
      </c>
    </row>
    <row r="6166" spans="1:8" customFormat="1" x14ac:dyDescent="0.25">
      <c r="A6166" t="str">
        <f>"4433122"</f>
        <v>4433122</v>
      </c>
      <c r="B6166" t="s">
        <v>8392</v>
      </c>
      <c r="C6166" t="s">
        <v>1812</v>
      </c>
      <c r="D6166" s="21" t="s">
        <v>34</v>
      </c>
      <c r="E6166" s="21" t="s">
        <v>35</v>
      </c>
      <c r="F6166">
        <v>12440101</v>
      </c>
      <c r="G6166" t="s">
        <v>3482</v>
      </c>
      <c r="H6166" s="21">
        <v>1139.17</v>
      </c>
    </row>
    <row r="6167" spans="1:8" customFormat="1" x14ac:dyDescent="0.25">
      <c r="A6167" t="str">
        <f>"3827870"</f>
        <v>3827870</v>
      </c>
      <c r="B6167" t="s">
        <v>8142</v>
      </c>
      <c r="C6167" t="s">
        <v>169</v>
      </c>
      <c r="D6167" s="21" t="s">
        <v>34</v>
      </c>
      <c r="E6167" s="21" t="s">
        <v>35</v>
      </c>
      <c r="F6167">
        <v>1380233</v>
      </c>
      <c r="G6167" t="s">
        <v>2694</v>
      </c>
      <c r="H6167" s="21">
        <v>1139.17</v>
      </c>
    </row>
    <row r="6168" spans="1:8" customFormat="1" x14ac:dyDescent="0.25">
      <c r="A6168" t="str">
        <f>"4914363"</f>
        <v>4914363</v>
      </c>
      <c r="B6168" t="s">
        <v>6273</v>
      </c>
      <c r="C6168" t="s">
        <v>121</v>
      </c>
      <c r="D6168" s="21" t="s">
        <v>34</v>
      </c>
      <c r="E6168" s="21" t="s">
        <v>35</v>
      </c>
      <c r="F6168">
        <v>12490026</v>
      </c>
      <c r="G6168" t="s">
        <v>6274</v>
      </c>
      <c r="H6168" s="21">
        <v>1139.17</v>
      </c>
    </row>
    <row r="6169" spans="1:8" customFormat="1" x14ac:dyDescent="0.25">
      <c r="A6169" t="str">
        <f>"4441093"</f>
        <v>4441093</v>
      </c>
      <c r="B6169" t="s">
        <v>6597</v>
      </c>
      <c r="C6169" t="s">
        <v>3309</v>
      </c>
      <c r="D6169" s="21" t="s">
        <v>34</v>
      </c>
      <c r="E6169" s="21" t="s">
        <v>35</v>
      </c>
      <c r="F6169">
        <v>12440105</v>
      </c>
      <c r="G6169" t="s">
        <v>594</v>
      </c>
      <c r="H6169" s="21">
        <v>1139.17</v>
      </c>
    </row>
    <row r="6170" spans="1:8" customFormat="1" x14ac:dyDescent="0.25">
      <c r="A6170" t="str">
        <f>"931550"</f>
        <v>931550</v>
      </c>
      <c r="B6170" t="s">
        <v>5677</v>
      </c>
      <c r="C6170" t="s">
        <v>169</v>
      </c>
      <c r="D6170" s="21" t="s">
        <v>34</v>
      </c>
      <c r="E6170" s="21" t="s">
        <v>35</v>
      </c>
      <c r="F6170">
        <v>8930185</v>
      </c>
      <c r="G6170" t="s">
        <v>3846</v>
      </c>
      <c r="H6170" s="21">
        <v>1138.92</v>
      </c>
    </row>
    <row r="6171" spans="1:8" customFormat="1" x14ac:dyDescent="0.25">
      <c r="A6171" t="str">
        <f>"1713286"</f>
        <v>1713286</v>
      </c>
      <c r="B6171" t="s">
        <v>7728</v>
      </c>
      <c r="C6171" t="s">
        <v>2520</v>
      </c>
      <c r="D6171" s="21" t="s">
        <v>34</v>
      </c>
      <c r="E6171" s="21" t="s">
        <v>35</v>
      </c>
      <c r="F6171">
        <v>10170050</v>
      </c>
      <c r="G6171" t="s">
        <v>2514</v>
      </c>
      <c r="H6171" s="21">
        <v>1138.8</v>
      </c>
    </row>
    <row r="6172" spans="1:8" customFormat="1" x14ac:dyDescent="0.25">
      <c r="A6172" t="str">
        <f>"7731824"</f>
        <v>7731824</v>
      </c>
      <c r="B6172" t="s">
        <v>26930</v>
      </c>
      <c r="C6172" t="s">
        <v>26931</v>
      </c>
      <c r="D6172" s="21" t="s">
        <v>34</v>
      </c>
      <c r="E6172" s="21" t="s">
        <v>35</v>
      </c>
      <c r="F6172">
        <v>8771398</v>
      </c>
      <c r="G6172" t="s">
        <v>2759</v>
      </c>
      <c r="H6172" s="21">
        <v>1138.8</v>
      </c>
    </row>
    <row r="6173" spans="1:8" customFormat="1" x14ac:dyDescent="0.25">
      <c r="A6173" t="str">
        <f>"51736"</f>
        <v>51736</v>
      </c>
      <c r="B6173" t="s">
        <v>8569</v>
      </c>
      <c r="C6173" t="s">
        <v>202</v>
      </c>
      <c r="D6173" s="21" t="s">
        <v>34</v>
      </c>
      <c r="E6173" s="21" t="s">
        <v>71</v>
      </c>
      <c r="F6173">
        <v>6510008</v>
      </c>
      <c r="G6173" t="s">
        <v>26622</v>
      </c>
      <c r="H6173" s="21">
        <v>1138.67</v>
      </c>
    </row>
    <row r="6174" spans="1:8" customFormat="1" x14ac:dyDescent="0.25">
      <c r="A6174" t="str">
        <f>"3814337"</f>
        <v>3814337</v>
      </c>
      <c r="B6174" t="s">
        <v>4081</v>
      </c>
      <c r="C6174" t="s">
        <v>114</v>
      </c>
      <c r="D6174" s="21" t="s">
        <v>34</v>
      </c>
      <c r="E6174" s="21" t="s">
        <v>71</v>
      </c>
      <c r="F6174">
        <v>13060114</v>
      </c>
      <c r="G6174" t="s">
        <v>4501</v>
      </c>
      <c r="H6174" s="21">
        <v>1138.67</v>
      </c>
    </row>
    <row r="6175" spans="1:8" customFormat="1" x14ac:dyDescent="0.25">
      <c r="A6175" t="str">
        <f>"875882"</f>
        <v>875882</v>
      </c>
      <c r="B6175" t="s">
        <v>697</v>
      </c>
      <c r="C6175" t="s">
        <v>40</v>
      </c>
      <c r="D6175" s="21" t="s">
        <v>34</v>
      </c>
      <c r="E6175" s="21" t="s">
        <v>71</v>
      </c>
      <c r="F6175">
        <v>10870101</v>
      </c>
      <c r="G6175" t="s">
        <v>6607</v>
      </c>
      <c r="H6175" s="21">
        <v>1138.67</v>
      </c>
    </row>
    <row r="6176" spans="1:8" customFormat="1" x14ac:dyDescent="0.25">
      <c r="A6176" t="str">
        <f>"518050"</f>
        <v>518050</v>
      </c>
      <c r="B6176" t="s">
        <v>6886</v>
      </c>
      <c r="C6176" t="s">
        <v>65</v>
      </c>
      <c r="D6176" s="21" t="s">
        <v>34</v>
      </c>
      <c r="E6176" s="21" t="s">
        <v>35</v>
      </c>
      <c r="F6176">
        <v>6510020</v>
      </c>
      <c r="G6176" t="s">
        <v>3013</v>
      </c>
      <c r="H6176" s="21">
        <v>1138.42</v>
      </c>
    </row>
    <row r="6177" spans="1:8" customFormat="1" x14ac:dyDescent="0.25">
      <c r="A6177" t="str">
        <f>"9419468"</f>
        <v>9419468</v>
      </c>
      <c r="B6177" t="s">
        <v>6213</v>
      </c>
      <c r="C6177" t="s">
        <v>33</v>
      </c>
      <c r="D6177" s="21" t="s">
        <v>34</v>
      </c>
      <c r="E6177" s="21" t="s">
        <v>71</v>
      </c>
      <c r="F6177">
        <v>8940482</v>
      </c>
      <c r="G6177" t="s">
        <v>2560</v>
      </c>
      <c r="H6177" s="21">
        <v>1138.42</v>
      </c>
    </row>
    <row r="6178" spans="1:8" customFormat="1" x14ac:dyDescent="0.25">
      <c r="A6178" t="str">
        <f>"584480"</f>
        <v>584480</v>
      </c>
      <c r="B6178" t="s">
        <v>26932</v>
      </c>
      <c r="C6178" t="s">
        <v>462</v>
      </c>
      <c r="D6178" s="21" t="s">
        <v>34</v>
      </c>
      <c r="E6178" s="21" t="s">
        <v>71</v>
      </c>
      <c r="F6178">
        <v>2580007</v>
      </c>
      <c r="G6178" t="s">
        <v>1503</v>
      </c>
      <c r="H6178" s="21">
        <v>1138.17</v>
      </c>
    </row>
    <row r="6179" spans="1:8" customFormat="1" x14ac:dyDescent="0.25">
      <c r="A6179" t="str">
        <f>"459949"</f>
        <v>459949</v>
      </c>
      <c r="B6179" t="s">
        <v>6401</v>
      </c>
      <c r="C6179" t="s">
        <v>87</v>
      </c>
      <c r="D6179" s="21" t="s">
        <v>34</v>
      </c>
      <c r="E6179" s="21" t="s">
        <v>71</v>
      </c>
      <c r="F6179">
        <v>4450706</v>
      </c>
      <c r="G6179" t="s">
        <v>4482</v>
      </c>
      <c r="H6179" s="21">
        <v>1138.17</v>
      </c>
    </row>
    <row r="6180" spans="1:8" customFormat="1" x14ac:dyDescent="0.25">
      <c r="A6180" t="str">
        <f>"601391"</f>
        <v>601391</v>
      </c>
      <c r="B6180" t="s">
        <v>7040</v>
      </c>
      <c r="C6180" t="s">
        <v>40</v>
      </c>
      <c r="D6180" s="21" t="s">
        <v>34</v>
      </c>
      <c r="E6180" s="21" t="s">
        <v>254</v>
      </c>
      <c r="F6180">
        <v>7600016</v>
      </c>
      <c r="G6180" t="s">
        <v>6215</v>
      </c>
      <c r="H6180" s="21">
        <v>1138.17</v>
      </c>
    </row>
    <row r="6181" spans="1:8" customFormat="1" x14ac:dyDescent="0.25">
      <c r="A6181" t="str">
        <f>"624610"</f>
        <v>624610</v>
      </c>
      <c r="B6181" t="s">
        <v>3930</v>
      </c>
      <c r="C6181" t="s">
        <v>812</v>
      </c>
      <c r="D6181" s="21" t="s">
        <v>34</v>
      </c>
      <c r="E6181" s="21" t="s">
        <v>35</v>
      </c>
      <c r="F6181">
        <v>7620065</v>
      </c>
      <c r="G6181" t="s">
        <v>6550</v>
      </c>
      <c r="H6181" s="21">
        <v>1138.17</v>
      </c>
    </row>
    <row r="6182" spans="1:8" customFormat="1" x14ac:dyDescent="0.25">
      <c r="A6182" t="str">
        <f>"01113"</f>
        <v>01113</v>
      </c>
      <c r="B6182" t="s">
        <v>8103</v>
      </c>
      <c r="C6182" t="s">
        <v>40</v>
      </c>
      <c r="D6182" s="21" t="s">
        <v>34</v>
      </c>
      <c r="E6182" s="21" t="s">
        <v>71</v>
      </c>
      <c r="F6182">
        <v>1010071</v>
      </c>
      <c r="G6182" t="s">
        <v>8104</v>
      </c>
      <c r="H6182" s="21">
        <v>1138.17</v>
      </c>
    </row>
    <row r="6183" spans="1:8" customFormat="1" x14ac:dyDescent="0.25">
      <c r="A6183" t="str">
        <f>"678053"</f>
        <v>678053</v>
      </c>
      <c r="B6183" t="s">
        <v>6261</v>
      </c>
      <c r="C6183" t="s">
        <v>239</v>
      </c>
      <c r="D6183" s="21" t="s">
        <v>34</v>
      </c>
      <c r="E6183" s="21" t="s">
        <v>71</v>
      </c>
      <c r="F6183">
        <v>6670202</v>
      </c>
      <c r="G6183" t="s">
        <v>605</v>
      </c>
      <c r="H6183" s="21">
        <v>1138.17</v>
      </c>
    </row>
    <row r="6184" spans="1:8" customFormat="1" x14ac:dyDescent="0.25">
      <c r="A6184" t="str">
        <f>"6922211"</f>
        <v>6922211</v>
      </c>
      <c r="B6184" t="s">
        <v>6483</v>
      </c>
      <c r="C6184" t="s">
        <v>55</v>
      </c>
      <c r="D6184" s="21" t="s">
        <v>34</v>
      </c>
      <c r="E6184" s="21" t="s">
        <v>71</v>
      </c>
      <c r="F6184">
        <v>1690102</v>
      </c>
      <c r="G6184" t="s">
        <v>2081</v>
      </c>
      <c r="H6184" s="21">
        <v>1138.17</v>
      </c>
    </row>
    <row r="6185" spans="1:8" customFormat="1" x14ac:dyDescent="0.25">
      <c r="A6185" t="str">
        <f>"85408"</f>
        <v>85408</v>
      </c>
      <c r="B6185" t="s">
        <v>6355</v>
      </c>
      <c r="C6185" t="s">
        <v>3522</v>
      </c>
      <c r="D6185" s="21" t="s">
        <v>34</v>
      </c>
      <c r="E6185" s="21" t="s">
        <v>35</v>
      </c>
      <c r="F6185">
        <v>12850012</v>
      </c>
      <c r="G6185" t="s">
        <v>1229</v>
      </c>
      <c r="H6185" s="21">
        <v>1138.17</v>
      </c>
    </row>
    <row r="6186" spans="1:8" customFormat="1" x14ac:dyDescent="0.25">
      <c r="A6186" t="str">
        <f>"7633073"</f>
        <v>7633073</v>
      </c>
      <c r="B6186" t="s">
        <v>4728</v>
      </c>
      <c r="C6186" t="s">
        <v>611</v>
      </c>
      <c r="D6186" s="21" t="s">
        <v>34</v>
      </c>
      <c r="E6186" s="21" t="s">
        <v>71</v>
      </c>
      <c r="F6186">
        <v>9760377</v>
      </c>
      <c r="G6186" t="s">
        <v>6631</v>
      </c>
      <c r="H6186" s="21">
        <v>1137.67</v>
      </c>
    </row>
    <row r="6187" spans="1:8" customFormat="1" x14ac:dyDescent="0.25">
      <c r="A6187" t="str">
        <f>"4240"</f>
        <v>4240</v>
      </c>
      <c r="B6187" t="s">
        <v>5980</v>
      </c>
      <c r="C6187" t="s">
        <v>169</v>
      </c>
      <c r="D6187" s="21" t="s">
        <v>34</v>
      </c>
      <c r="E6187" s="21" t="s">
        <v>71</v>
      </c>
      <c r="F6187">
        <v>1420025</v>
      </c>
      <c r="G6187" t="s">
        <v>5981</v>
      </c>
      <c r="H6187" s="21">
        <v>1137.67</v>
      </c>
    </row>
    <row r="6188" spans="1:8" customFormat="1" x14ac:dyDescent="0.25">
      <c r="A6188" t="str">
        <f>"794454"</f>
        <v>794454</v>
      </c>
      <c r="B6188" t="s">
        <v>6467</v>
      </c>
      <c r="C6188" t="s">
        <v>3522</v>
      </c>
      <c r="D6188" s="21" t="s">
        <v>34</v>
      </c>
      <c r="E6188" s="21" t="s">
        <v>35</v>
      </c>
      <c r="F6188">
        <v>10790036</v>
      </c>
      <c r="G6188" t="s">
        <v>4946</v>
      </c>
      <c r="H6188" s="21">
        <v>1137.67</v>
      </c>
    </row>
    <row r="6189" spans="1:8" customFormat="1" x14ac:dyDescent="0.25">
      <c r="A6189" t="str">
        <f>"4920520"</f>
        <v>4920520</v>
      </c>
      <c r="B6189" t="s">
        <v>299</v>
      </c>
      <c r="C6189" t="s">
        <v>3807</v>
      </c>
      <c r="D6189" s="21" t="s">
        <v>34</v>
      </c>
      <c r="E6189" s="21" t="s">
        <v>35</v>
      </c>
      <c r="F6189">
        <v>12490032</v>
      </c>
      <c r="G6189" t="s">
        <v>6233</v>
      </c>
      <c r="H6189" s="21">
        <v>1137.54</v>
      </c>
    </row>
    <row r="6190" spans="1:8" customFormat="1" x14ac:dyDescent="0.25">
      <c r="A6190" t="str">
        <f>"366890"</f>
        <v>366890</v>
      </c>
      <c r="B6190" t="s">
        <v>6128</v>
      </c>
      <c r="C6190" t="s">
        <v>1132</v>
      </c>
      <c r="D6190" s="21" t="s">
        <v>34</v>
      </c>
      <c r="E6190" s="21" t="s">
        <v>71</v>
      </c>
      <c r="F6190">
        <v>4360002</v>
      </c>
      <c r="G6190" t="s">
        <v>222</v>
      </c>
      <c r="H6190" s="21">
        <v>1137.42</v>
      </c>
    </row>
    <row r="6191" spans="1:8" customFormat="1" x14ac:dyDescent="0.25">
      <c r="A6191" t="str">
        <f>"3714312"</f>
        <v>3714312</v>
      </c>
      <c r="B6191" t="s">
        <v>726</v>
      </c>
      <c r="C6191" t="s">
        <v>249</v>
      </c>
      <c r="D6191" s="21" t="s">
        <v>34</v>
      </c>
      <c r="E6191" s="21" t="s">
        <v>35</v>
      </c>
      <c r="F6191">
        <v>4370549</v>
      </c>
      <c r="G6191" t="s">
        <v>5513</v>
      </c>
      <c r="H6191" s="21">
        <v>1137.17</v>
      </c>
    </row>
    <row r="6192" spans="1:8" customFormat="1" x14ac:dyDescent="0.25">
      <c r="A6192" t="str">
        <f>"9521110"</f>
        <v>9521110</v>
      </c>
      <c r="B6192" t="s">
        <v>138</v>
      </c>
      <c r="C6192" t="s">
        <v>169</v>
      </c>
      <c r="D6192" s="21" t="s">
        <v>34</v>
      </c>
      <c r="E6192" s="21" t="s">
        <v>35</v>
      </c>
      <c r="F6192">
        <v>2710008</v>
      </c>
      <c r="G6192" t="s">
        <v>10040</v>
      </c>
      <c r="H6192" s="21">
        <v>1137.17</v>
      </c>
    </row>
    <row r="6193" spans="1:8" customFormat="1" x14ac:dyDescent="0.25">
      <c r="A6193" t="str">
        <f>"141113"</f>
        <v>141113</v>
      </c>
      <c r="B6193" t="s">
        <v>5567</v>
      </c>
      <c r="C6193" t="s">
        <v>1142</v>
      </c>
      <c r="D6193" s="21" t="s">
        <v>34</v>
      </c>
      <c r="E6193" s="21" t="s">
        <v>254</v>
      </c>
      <c r="F6193">
        <v>9140123</v>
      </c>
      <c r="G6193" t="s">
        <v>661</v>
      </c>
      <c r="H6193" s="21">
        <v>1137.17</v>
      </c>
    </row>
    <row r="6194" spans="1:8" customFormat="1" x14ac:dyDescent="0.25">
      <c r="A6194" t="str">
        <f>"315433"</f>
        <v>315433</v>
      </c>
      <c r="B6194" t="s">
        <v>6239</v>
      </c>
      <c r="C6194" t="s">
        <v>263</v>
      </c>
      <c r="D6194" s="21" t="s">
        <v>34</v>
      </c>
      <c r="E6194" s="21" t="s">
        <v>71</v>
      </c>
      <c r="F6194">
        <v>11310064</v>
      </c>
      <c r="G6194" t="s">
        <v>931</v>
      </c>
      <c r="H6194" s="21">
        <v>1137.17</v>
      </c>
    </row>
    <row r="6195" spans="1:8" customFormat="1" x14ac:dyDescent="0.25">
      <c r="A6195" t="str">
        <f>"282415"</f>
        <v>282415</v>
      </c>
      <c r="B6195" t="s">
        <v>6808</v>
      </c>
      <c r="C6195" t="s">
        <v>2520</v>
      </c>
      <c r="D6195" s="21" t="s">
        <v>34</v>
      </c>
      <c r="E6195" s="21" t="s">
        <v>254</v>
      </c>
      <c r="F6195">
        <v>4280612</v>
      </c>
      <c r="G6195" t="s">
        <v>6809</v>
      </c>
      <c r="H6195" s="21">
        <v>1137.17</v>
      </c>
    </row>
    <row r="6196" spans="1:8" customFormat="1" x14ac:dyDescent="0.25">
      <c r="A6196" t="str">
        <f>"5926443"</f>
        <v>5926443</v>
      </c>
      <c r="B6196" t="s">
        <v>7382</v>
      </c>
      <c r="C6196" t="s">
        <v>43</v>
      </c>
      <c r="D6196" s="21" t="s">
        <v>34</v>
      </c>
      <c r="E6196" s="21" t="s">
        <v>35</v>
      </c>
      <c r="F6196">
        <v>7590065</v>
      </c>
      <c r="G6196" t="s">
        <v>1598</v>
      </c>
      <c r="H6196" s="21">
        <v>1137.17</v>
      </c>
    </row>
    <row r="6197" spans="1:8" customFormat="1" x14ac:dyDescent="0.25">
      <c r="A6197" t="str">
        <f>"723360"</f>
        <v>723360</v>
      </c>
      <c r="B6197" t="s">
        <v>6927</v>
      </c>
      <c r="C6197" t="s">
        <v>263</v>
      </c>
      <c r="D6197" s="21" t="s">
        <v>34</v>
      </c>
      <c r="E6197" s="21" t="s">
        <v>71</v>
      </c>
      <c r="F6197">
        <v>12720009</v>
      </c>
      <c r="G6197" t="s">
        <v>6928</v>
      </c>
      <c r="H6197" s="21">
        <v>1137.17</v>
      </c>
    </row>
    <row r="6198" spans="1:8" customFormat="1" x14ac:dyDescent="0.25">
      <c r="A6198" t="str">
        <f>"622329"</f>
        <v>622329</v>
      </c>
      <c r="B6198" t="s">
        <v>6567</v>
      </c>
      <c r="C6198" t="s">
        <v>87</v>
      </c>
      <c r="D6198" s="21" t="s">
        <v>34</v>
      </c>
      <c r="E6198" s="21" t="s">
        <v>35</v>
      </c>
      <c r="F6198">
        <v>7620018</v>
      </c>
      <c r="G6198" t="s">
        <v>6568</v>
      </c>
      <c r="H6198" s="21">
        <v>1137.17</v>
      </c>
    </row>
    <row r="6199" spans="1:8" customFormat="1" x14ac:dyDescent="0.25">
      <c r="A6199" t="str">
        <f>"44160"</f>
        <v>44160</v>
      </c>
      <c r="B6199" t="s">
        <v>7545</v>
      </c>
      <c r="C6199" t="s">
        <v>253</v>
      </c>
      <c r="D6199" s="21" t="s">
        <v>34</v>
      </c>
      <c r="E6199" s="21" t="s">
        <v>254</v>
      </c>
      <c r="F6199">
        <v>12440004</v>
      </c>
      <c r="G6199" t="s">
        <v>26530</v>
      </c>
      <c r="H6199" s="21">
        <v>1137.17</v>
      </c>
    </row>
    <row r="6200" spans="1:8" customFormat="1" x14ac:dyDescent="0.25">
      <c r="A6200" t="str">
        <f>"4914749"</f>
        <v>4914749</v>
      </c>
      <c r="B6200" t="s">
        <v>6653</v>
      </c>
      <c r="C6200" t="s">
        <v>87</v>
      </c>
      <c r="D6200" s="21" t="s">
        <v>34</v>
      </c>
      <c r="E6200" s="21" t="s">
        <v>35</v>
      </c>
      <c r="F6200">
        <v>12490059</v>
      </c>
      <c r="G6200" t="s">
        <v>5063</v>
      </c>
      <c r="H6200" s="21">
        <v>1137.05</v>
      </c>
    </row>
    <row r="6201" spans="1:8" customFormat="1" x14ac:dyDescent="0.25">
      <c r="A6201" t="str">
        <f>"3526623"</f>
        <v>3526623</v>
      </c>
      <c r="B6201" t="s">
        <v>7334</v>
      </c>
      <c r="C6201" t="s">
        <v>2100</v>
      </c>
      <c r="D6201" s="21" t="s">
        <v>34</v>
      </c>
      <c r="E6201" s="21" t="s">
        <v>71</v>
      </c>
      <c r="F6201">
        <v>3350130</v>
      </c>
      <c r="G6201" t="s">
        <v>7335</v>
      </c>
      <c r="H6201" s="21">
        <v>1137.04</v>
      </c>
    </row>
    <row r="6202" spans="1:8" customFormat="1" x14ac:dyDescent="0.25">
      <c r="A6202" t="str">
        <f>"9124157"</f>
        <v>9124157</v>
      </c>
      <c r="B6202" t="s">
        <v>6444</v>
      </c>
      <c r="C6202" t="s">
        <v>1025</v>
      </c>
      <c r="D6202" s="21" t="s">
        <v>34</v>
      </c>
      <c r="E6202" s="21" t="s">
        <v>254</v>
      </c>
      <c r="F6202">
        <v>8910285</v>
      </c>
      <c r="G6202" t="s">
        <v>26604</v>
      </c>
      <c r="H6202" s="21">
        <v>1137</v>
      </c>
    </row>
    <row r="6203" spans="1:8" customFormat="1" x14ac:dyDescent="0.25">
      <c r="A6203" t="str">
        <f>"683963"</f>
        <v>683963</v>
      </c>
      <c r="B6203" t="s">
        <v>7019</v>
      </c>
      <c r="C6203" t="s">
        <v>236</v>
      </c>
      <c r="D6203" s="21" t="s">
        <v>34</v>
      </c>
      <c r="E6203" s="21" t="s">
        <v>254</v>
      </c>
      <c r="F6203">
        <v>6680105</v>
      </c>
      <c r="G6203" t="s">
        <v>403</v>
      </c>
      <c r="H6203" s="21">
        <v>1136.67</v>
      </c>
    </row>
    <row r="6204" spans="1:8" customFormat="1" x14ac:dyDescent="0.25">
      <c r="A6204" t="str">
        <f>"357069"</f>
        <v>357069</v>
      </c>
      <c r="B6204" t="s">
        <v>5416</v>
      </c>
      <c r="C6204" t="s">
        <v>379</v>
      </c>
      <c r="D6204" s="21" t="s">
        <v>34</v>
      </c>
      <c r="E6204" s="21" t="s">
        <v>35</v>
      </c>
      <c r="F6204">
        <v>3350209</v>
      </c>
      <c r="G6204" t="s">
        <v>3023</v>
      </c>
      <c r="H6204" s="21">
        <v>1136.67</v>
      </c>
    </row>
    <row r="6205" spans="1:8" customFormat="1" x14ac:dyDescent="0.25">
      <c r="A6205" t="str">
        <f>"491440"</f>
        <v>491440</v>
      </c>
      <c r="B6205" t="s">
        <v>4662</v>
      </c>
      <c r="C6205" t="s">
        <v>2475</v>
      </c>
      <c r="D6205" s="21" t="s">
        <v>34</v>
      </c>
      <c r="E6205" s="21" t="s">
        <v>71</v>
      </c>
      <c r="F6205">
        <v>4370465</v>
      </c>
      <c r="G6205" t="s">
        <v>26922</v>
      </c>
      <c r="H6205" s="21">
        <v>1136.67</v>
      </c>
    </row>
    <row r="6206" spans="1:8" customFormat="1" x14ac:dyDescent="0.25">
      <c r="A6206" t="str">
        <f>"946893"</f>
        <v>946893</v>
      </c>
      <c r="B6206" t="s">
        <v>7049</v>
      </c>
      <c r="C6206" t="s">
        <v>926</v>
      </c>
      <c r="D6206" s="21" t="s">
        <v>34</v>
      </c>
      <c r="E6206" s="21" t="s">
        <v>1089</v>
      </c>
      <c r="F6206">
        <v>8940549</v>
      </c>
      <c r="G6206" t="s">
        <v>454</v>
      </c>
      <c r="H6206" s="21">
        <v>1136.67</v>
      </c>
    </row>
    <row r="6207" spans="1:8" customFormat="1" x14ac:dyDescent="0.25">
      <c r="A6207" t="str">
        <f>"279793"</f>
        <v>279793</v>
      </c>
      <c r="B6207" t="s">
        <v>8662</v>
      </c>
      <c r="C6207" t="s">
        <v>33</v>
      </c>
      <c r="D6207" s="21" t="s">
        <v>34</v>
      </c>
      <c r="E6207" s="21" t="s">
        <v>35</v>
      </c>
      <c r="F6207">
        <v>9270008</v>
      </c>
      <c r="G6207" t="s">
        <v>7853</v>
      </c>
      <c r="H6207" s="21">
        <v>1136.67</v>
      </c>
    </row>
    <row r="6208" spans="1:8" customFormat="1" x14ac:dyDescent="0.25">
      <c r="A6208" t="str">
        <f>"359762"</f>
        <v>359762</v>
      </c>
      <c r="B6208" t="s">
        <v>6930</v>
      </c>
      <c r="C6208" t="s">
        <v>127</v>
      </c>
      <c r="D6208" s="21" t="s">
        <v>34</v>
      </c>
      <c r="E6208" s="21" t="s">
        <v>35</v>
      </c>
      <c r="F6208">
        <v>3350050</v>
      </c>
      <c r="G6208" t="s">
        <v>6931</v>
      </c>
      <c r="H6208" s="21">
        <v>1136.67</v>
      </c>
    </row>
    <row r="6209" spans="1:8" customFormat="1" x14ac:dyDescent="0.25">
      <c r="A6209" t="str">
        <f>"149036"</f>
        <v>149036</v>
      </c>
      <c r="B6209" t="s">
        <v>1012</v>
      </c>
      <c r="C6209" t="s">
        <v>60</v>
      </c>
      <c r="D6209" s="21" t="s">
        <v>34</v>
      </c>
      <c r="E6209" s="21" t="s">
        <v>35</v>
      </c>
      <c r="F6209">
        <v>9140063</v>
      </c>
      <c r="G6209" t="s">
        <v>4764</v>
      </c>
      <c r="H6209" s="21">
        <v>1136.67</v>
      </c>
    </row>
    <row r="6210" spans="1:8" customFormat="1" x14ac:dyDescent="0.25">
      <c r="A6210" t="str">
        <f>"586313"</f>
        <v>586313</v>
      </c>
      <c r="B6210" t="s">
        <v>7052</v>
      </c>
      <c r="C6210" t="s">
        <v>209</v>
      </c>
      <c r="D6210" s="21" t="s">
        <v>34</v>
      </c>
      <c r="E6210" s="21" t="s">
        <v>71</v>
      </c>
      <c r="F6210">
        <v>2580012</v>
      </c>
      <c r="G6210" t="s">
        <v>1144</v>
      </c>
      <c r="H6210" s="21">
        <v>1136.67</v>
      </c>
    </row>
    <row r="6211" spans="1:8" customFormat="1" x14ac:dyDescent="0.25">
      <c r="A6211" t="str">
        <f>"889675"</f>
        <v>889675</v>
      </c>
      <c r="B6211" t="s">
        <v>6840</v>
      </c>
      <c r="C6211" t="s">
        <v>288</v>
      </c>
      <c r="D6211" s="21" t="s">
        <v>34</v>
      </c>
      <c r="E6211" s="21" t="s">
        <v>35</v>
      </c>
      <c r="F6211">
        <v>6880101</v>
      </c>
      <c r="G6211" t="s">
        <v>6841</v>
      </c>
      <c r="H6211" s="21">
        <v>1136.42</v>
      </c>
    </row>
    <row r="6212" spans="1:8" customFormat="1" x14ac:dyDescent="0.25">
      <c r="A6212" t="str">
        <f>"392022"</f>
        <v>392022</v>
      </c>
      <c r="B6212" t="s">
        <v>1341</v>
      </c>
      <c r="C6212" t="s">
        <v>55</v>
      </c>
      <c r="D6212" s="21" t="s">
        <v>34</v>
      </c>
      <c r="E6212" s="21" t="s">
        <v>71</v>
      </c>
      <c r="F6212">
        <v>2390001</v>
      </c>
      <c r="G6212" t="s">
        <v>6664</v>
      </c>
      <c r="H6212" s="21">
        <v>1136.42</v>
      </c>
    </row>
    <row r="6213" spans="1:8" customFormat="1" x14ac:dyDescent="0.25">
      <c r="A6213" t="str">
        <f>"255358"</f>
        <v>255358</v>
      </c>
      <c r="B6213" t="s">
        <v>7289</v>
      </c>
      <c r="C6213" t="s">
        <v>2475</v>
      </c>
      <c r="D6213" s="21" t="s">
        <v>34</v>
      </c>
      <c r="E6213" s="21" t="s">
        <v>35</v>
      </c>
      <c r="F6213">
        <v>2250186</v>
      </c>
      <c r="G6213" t="s">
        <v>7290</v>
      </c>
      <c r="H6213" s="21">
        <v>1136.3</v>
      </c>
    </row>
    <row r="6214" spans="1:8" customFormat="1" x14ac:dyDescent="0.25">
      <c r="A6214" t="str">
        <f>"777279"</f>
        <v>777279</v>
      </c>
      <c r="B6214" t="s">
        <v>5519</v>
      </c>
      <c r="C6214" t="s">
        <v>198</v>
      </c>
      <c r="D6214" s="21" t="s">
        <v>34</v>
      </c>
      <c r="E6214" s="21" t="s">
        <v>71</v>
      </c>
      <c r="F6214">
        <v>8771401</v>
      </c>
      <c r="G6214" t="s">
        <v>6636</v>
      </c>
      <c r="H6214" s="21">
        <v>1136.17</v>
      </c>
    </row>
    <row r="6215" spans="1:8" customFormat="1" x14ac:dyDescent="0.25">
      <c r="A6215" t="str">
        <f>"555104"</f>
        <v>555104</v>
      </c>
      <c r="B6215" t="s">
        <v>7720</v>
      </c>
      <c r="C6215" t="s">
        <v>462</v>
      </c>
      <c r="D6215" s="21" t="s">
        <v>34</v>
      </c>
      <c r="E6215" s="21" t="s">
        <v>35</v>
      </c>
      <c r="F6215">
        <v>6550003</v>
      </c>
      <c r="G6215" t="s">
        <v>7721</v>
      </c>
      <c r="H6215" s="21">
        <v>1136.17</v>
      </c>
    </row>
    <row r="6216" spans="1:8" customFormat="1" x14ac:dyDescent="0.25">
      <c r="A6216" t="str">
        <f>"441795"</f>
        <v>441795</v>
      </c>
      <c r="B6216" t="s">
        <v>431</v>
      </c>
      <c r="C6216" t="s">
        <v>209</v>
      </c>
      <c r="D6216" s="21" t="s">
        <v>34</v>
      </c>
      <c r="E6216" s="21" t="s">
        <v>254</v>
      </c>
      <c r="F6216">
        <v>12440056</v>
      </c>
      <c r="G6216" t="s">
        <v>2037</v>
      </c>
      <c r="H6216" s="21">
        <v>1136.17</v>
      </c>
    </row>
    <row r="6217" spans="1:8" customFormat="1" x14ac:dyDescent="0.25">
      <c r="A6217" t="str">
        <f>"4934681"</f>
        <v>4934681</v>
      </c>
      <c r="B6217" t="s">
        <v>9006</v>
      </c>
      <c r="C6217" t="s">
        <v>40</v>
      </c>
      <c r="D6217" s="21" t="s">
        <v>34</v>
      </c>
      <c r="E6217" s="21" t="s">
        <v>35</v>
      </c>
      <c r="F6217">
        <v>12490124</v>
      </c>
      <c r="G6217" t="s">
        <v>677</v>
      </c>
      <c r="H6217" s="21">
        <v>1136.17</v>
      </c>
    </row>
    <row r="6218" spans="1:8" customFormat="1" x14ac:dyDescent="0.25">
      <c r="A6218" t="str">
        <f>"069738"</f>
        <v>069738</v>
      </c>
      <c r="B6218" t="s">
        <v>7105</v>
      </c>
      <c r="C6218" t="s">
        <v>124</v>
      </c>
      <c r="D6218" s="21" t="s">
        <v>34</v>
      </c>
      <c r="E6218" s="21" t="s">
        <v>35</v>
      </c>
      <c r="F6218">
        <v>4370548</v>
      </c>
      <c r="G6218" t="s">
        <v>7106</v>
      </c>
      <c r="H6218" s="21">
        <v>1136.17</v>
      </c>
    </row>
    <row r="6219" spans="1:8" customFormat="1" x14ac:dyDescent="0.25">
      <c r="A6219" t="str">
        <f>"728613"</f>
        <v>728613</v>
      </c>
      <c r="B6219" t="s">
        <v>6347</v>
      </c>
      <c r="C6219" t="s">
        <v>40</v>
      </c>
      <c r="D6219" s="21" t="s">
        <v>34</v>
      </c>
      <c r="E6219" s="21" t="s">
        <v>254</v>
      </c>
      <c r="F6219">
        <v>12720004</v>
      </c>
      <c r="G6219" t="s">
        <v>2328</v>
      </c>
      <c r="H6219" s="21">
        <v>1136.17</v>
      </c>
    </row>
    <row r="6220" spans="1:8" customFormat="1" x14ac:dyDescent="0.25">
      <c r="A6220" t="str">
        <f>"726525"</f>
        <v>726525</v>
      </c>
      <c r="B6220" t="s">
        <v>7440</v>
      </c>
      <c r="C6220" t="s">
        <v>204</v>
      </c>
      <c r="D6220" s="21" t="s">
        <v>34</v>
      </c>
      <c r="E6220" s="21" t="s">
        <v>35</v>
      </c>
      <c r="F6220">
        <v>12720062</v>
      </c>
      <c r="G6220" t="s">
        <v>4026</v>
      </c>
      <c r="H6220" s="21">
        <v>1135.67</v>
      </c>
    </row>
    <row r="6221" spans="1:8" customFormat="1" x14ac:dyDescent="0.25">
      <c r="A6221" t="str">
        <f>"305701"</f>
        <v>305701</v>
      </c>
      <c r="B6221" t="s">
        <v>6601</v>
      </c>
      <c r="C6221" t="s">
        <v>6602</v>
      </c>
      <c r="D6221" s="21" t="s">
        <v>34</v>
      </c>
      <c r="E6221" s="21" t="s">
        <v>35</v>
      </c>
      <c r="F6221">
        <v>11300007</v>
      </c>
      <c r="G6221" t="s">
        <v>361</v>
      </c>
      <c r="H6221" s="21">
        <v>1135.67</v>
      </c>
    </row>
    <row r="6222" spans="1:8" customFormat="1" x14ac:dyDescent="0.25">
      <c r="A6222" t="str">
        <f>"3524246"</f>
        <v>3524246</v>
      </c>
      <c r="B6222" t="s">
        <v>6638</v>
      </c>
      <c r="C6222" t="s">
        <v>867</v>
      </c>
      <c r="D6222" s="21" t="s">
        <v>34</v>
      </c>
      <c r="E6222" s="21" t="s">
        <v>35</v>
      </c>
      <c r="F6222">
        <v>7800004</v>
      </c>
      <c r="G6222" t="s">
        <v>748</v>
      </c>
      <c r="H6222" s="21">
        <v>1135.67</v>
      </c>
    </row>
    <row r="6223" spans="1:8" customFormat="1" x14ac:dyDescent="0.25">
      <c r="A6223" t="str">
        <f>"673005"</f>
        <v>673005</v>
      </c>
      <c r="B6223" t="s">
        <v>5743</v>
      </c>
      <c r="C6223" t="s">
        <v>812</v>
      </c>
      <c r="D6223" s="21" t="s">
        <v>34</v>
      </c>
      <c r="E6223" s="21" t="s">
        <v>254</v>
      </c>
      <c r="F6223">
        <v>6670187</v>
      </c>
      <c r="G6223" t="s">
        <v>240</v>
      </c>
      <c r="H6223" s="21">
        <v>1135.67</v>
      </c>
    </row>
    <row r="6224" spans="1:8" customFormat="1" x14ac:dyDescent="0.25">
      <c r="A6224" t="str">
        <f>"3518754"</f>
        <v>3518754</v>
      </c>
      <c r="B6224" t="s">
        <v>7027</v>
      </c>
      <c r="C6224" t="s">
        <v>7028</v>
      </c>
      <c r="D6224" s="21" t="s">
        <v>34</v>
      </c>
      <c r="E6224" s="21" t="s">
        <v>71</v>
      </c>
      <c r="F6224">
        <v>8751453</v>
      </c>
      <c r="G6224" t="s">
        <v>7029</v>
      </c>
      <c r="H6224" s="21">
        <v>1135.67</v>
      </c>
    </row>
    <row r="6225" spans="1:8" customFormat="1" x14ac:dyDescent="0.25">
      <c r="A6225" t="str">
        <f>"49423"</f>
        <v>49423</v>
      </c>
      <c r="B6225" t="s">
        <v>623</v>
      </c>
      <c r="C6225" t="s">
        <v>1119</v>
      </c>
      <c r="D6225" s="21" t="s">
        <v>34</v>
      </c>
      <c r="E6225" s="21" t="s">
        <v>71</v>
      </c>
      <c r="F6225">
        <v>12490132</v>
      </c>
      <c r="G6225" t="s">
        <v>1125</v>
      </c>
      <c r="H6225" s="21">
        <v>1135.67</v>
      </c>
    </row>
    <row r="6226" spans="1:8" customFormat="1" x14ac:dyDescent="0.25">
      <c r="A6226" t="str">
        <f>"4210094"</f>
        <v>4210094</v>
      </c>
      <c r="B6226" t="s">
        <v>3947</v>
      </c>
      <c r="C6226" t="s">
        <v>6735</v>
      </c>
      <c r="D6226" s="21" t="s">
        <v>34</v>
      </c>
      <c r="E6226" s="21" t="s">
        <v>35</v>
      </c>
      <c r="F6226">
        <v>1420160</v>
      </c>
      <c r="G6226" t="s">
        <v>5488</v>
      </c>
      <c r="H6226" s="21">
        <v>1135.55</v>
      </c>
    </row>
    <row r="6227" spans="1:8" customFormat="1" x14ac:dyDescent="0.25">
      <c r="A6227" t="str">
        <f>"301748"</f>
        <v>301748</v>
      </c>
      <c r="B6227" t="s">
        <v>7549</v>
      </c>
      <c r="C6227" t="s">
        <v>127</v>
      </c>
      <c r="D6227" s="21" t="s">
        <v>34</v>
      </c>
      <c r="E6227" s="21" t="s">
        <v>35</v>
      </c>
      <c r="F6227">
        <v>11300016</v>
      </c>
      <c r="G6227" t="s">
        <v>157</v>
      </c>
      <c r="H6227" s="21">
        <v>1135.55</v>
      </c>
    </row>
    <row r="6228" spans="1:8" customFormat="1" x14ac:dyDescent="0.25">
      <c r="A6228" t="str">
        <f>"8518522"</f>
        <v>8518522</v>
      </c>
      <c r="B6228" t="s">
        <v>7871</v>
      </c>
      <c r="C6228" t="s">
        <v>98</v>
      </c>
      <c r="D6228" s="21" t="s">
        <v>34</v>
      </c>
      <c r="E6228" s="21" t="s">
        <v>35</v>
      </c>
      <c r="F6228">
        <v>12851025</v>
      </c>
      <c r="G6228" t="s">
        <v>26858</v>
      </c>
      <c r="H6228" s="21">
        <v>1135.42</v>
      </c>
    </row>
    <row r="6229" spans="1:8" customFormat="1" x14ac:dyDescent="0.25">
      <c r="A6229" t="str">
        <f>"6311057"</f>
        <v>6311057</v>
      </c>
      <c r="B6229" t="s">
        <v>8359</v>
      </c>
      <c r="C6229" t="s">
        <v>209</v>
      </c>
      <c r="D6229" s="21" t="s">
        <v>34</v>
      </c>
      <c r="E6229" s="21" t="s">
        <v>71</v>
      </c>
      <c r="F6229">
        <v>1630078</v>
      </c>
      <c r="G6229" t="s">
        <v>326</v>
      </c>
      <c r="H6229" s="21">
        <v>1135.42</v>
      </c>
    </row>
    <row r="6230" spans="1:8" customFormat="1" x14ac:dyDescent="0.25">
      <c r="A6230" t="str">
        <f>"5960989"</f>
        <v>5960989</v>
      </c>
      <c r="B6230" t="s">
        <v>461</v>
      </c>
      <c r="C6230" t="s">
        <v>462</v>
      </c>
      <c r="D6230" s="21" t="s">
        <v>34</v>
      </c>
      <c r="E6230" s="21" t="s">
        <v>71</v>
      </c>
      <c r="F6230">
        <v>7590182</v>
      </c>
      <c r="G6230" t="s">
        <v>172</v>
      </c>
      <c r="H6230" s="21">
        <v>1135.42</v>
      </c>
    </row>
    <row r="6231" spans="1:8" customFormat="1" x14ac:dyDescent="0.25">
      <c r="A6231" t="str">
        <f>"946422"</f>
        <v>946422</v>
      </c>
      <c r="B6231" t="s">
        <v>2711</v>
      </c>
      <c r="C6231" t="s">
        <v>60</v>
      </c>
      <c r="D6231" s="21" t="s">
        <v>34</v>
      </c>
      <c r="E6231" s="21" t="s">
        <v>71</v>
      </c>
      <c r="F6231">
        <v>8941352</v>
      </c>
      <c r="G6231" t="s">
        <v>3778</v>
      </c>
      <c r="H6231" s="21">
        <v>1135.3</v>
      </c>
    </row>
    <row r="6232" spans="1:8" customFormat="1" x14ac:dyDescent="0.25">
      <c r="A6232" t="str">
        <f>"4415194"</f>
        <v>4415194</v>
      </c>
      <c r="B6232" t="s">
        <v>7203</v>
      </c>
      <c r="C6232" t="s">
        <v>169</v>
      </c>
      <c r="D6232" s="21" t="s">
        <v>34</v>
      </c>
      <c r="E6232" s="21" t="s">
        <v>71</v>
      </c>
      <c r="F6232">
        <v>12440033</v>
      </c>
      <c r="G6232" t="s">
        <v>1638</v>
      </c>
      <c r="H6232" s="21">
        <v>1135.17</v>
      </c>
    </row>
    <row r="6233" spans="1:8" customFormat="1" x14ac:dyDescent="0.25">
      <c r="A6233" t="str">
        <f>"5919036"</f>
        <v>5919036</v>
      </c>
      <c r="B6233" t="s">
        <v>7681</v>
      </c>
      <c r="C6233" t="s">
        <v>121</v>
      </c>
      <c r="D6233" s="21" t="s">
        <v>34</v>
      </c>
      <c r="E6233" s="21" t="s">
        <v>71</v>
      </c>
      <c r="F6233">
        <v>7590068</v>
      </c>
      <c r="G6233" t="s">
        <v>1005</v>
      </c>
      <c r="H6233" s="21">
        <v>1135.17</v>
      </c>
    </row>
    <row r="6234" spans="1:8" customFormat="1" x14ac:dyDescent="0.25">
      <c r="A6234" t="str">
        <f>"2716675"</f>
        <v>2716675</v>
      </c>
      <c r="B6234" t="s">
        <v>8698</v>
      </c>
      <c r="C6234" t="s">
        <v>60</v>
      </c>
      <c r="D6234" s="21" t="s">
        <v>34</v>
      </c>
      <c r="E6234" s="21" t="s">
        <v>35</v>
      </c>
      <c r="F6234">
        <v>9270021</v>
      </c>
      <c r="G6234" t="s">
        <v>4934</v>
      </c>
      <c r="H6234" s="21">
        <v>1135.17</v>
      </c>
    </row>
    <row r="6235" spans="1:8" customFormat="1" x14ac:dyDescent="0.25">
      <c r="A6235" t="str">
        <f>"5610187"</f>
        <v>5610187</v>
      </c>
      <c r="B6235" t="s">
        <v>8370</v>
      </c>
      <c r="C6235" t="s">
        <v>926</v>
      </c>
      <c r="D6235" s="21" t="s">
        <v>34</v>
      </c>
      <c r="E6235" s="21" t="s">
        <v>71</v>
      </c>
      <c r="F6235">
        <v>3560055</v>
      </c>
      <c r="G6235" t="s">
        <v>8371</v>
      </c>
      <c r="H6235" s="21">
        <v>1135.17</v>
      </c>
    </row>
    <row r="6236" spans="1:8" customFormat="1" x14ac:dyDescent="0.25">
      <c r="A6236" t="str">
        <f>"616857"</f>
        <v>616857</v>
      </c>
      <c r="B6236" t="s">
        <v>1228</v>
      </c>
      <c r="C6236" t="s">
        <v>462</v>
      </c>
      <c r="D6236" s="21" t="s">
        <v>34</v>
      </c>
      <c r="E6236" s="21" t="s">
        <v>71</v>
      </c>
      <c r="F6236">
        <v>9610004</v>
      </c>
      <c r="G6236" t="s">
        <v>1042</v>
      </c>
      <c r="H6236" s="21">
        <v>1135.17</v>
      </c>
    </row>
    <row r="6237" spans="1:8" customFormat="1" x14ac:dyDescent="0.25">
      <c r="A6237" t="str">
        <f>"2935894"</f>
        <v>2935894</v>
      </c>
      <c r="B6237" t="s">
        <v>6618</v>
      </c>
      <c r="C6237" t="s">
        <v>139</v>
      </c>
      <c r="D6237" s="21" t="s">
        <v>34</v>
      </c>
      <c r="E6237" s="21" t="s">
        <v>35</v>
      </c>
      <c r="F6237">
        <v>3290027</v>
      </c>
      <c r="G6237" t="s">
        <v>6108</v>
      </c>
      <c r="H6237" s="21">
        <v>1135.17</v>
      </c>
    </row>
    <row r="6238" spans="1:8" customFormat="1" x14ac:dyDescent="0.25">
      <c r="A6238" t="str">
        <f>"4439898"</f>
        <v>4439898</v>
      </c>
      <c r="B6238" t="s">
        <v>350</v>
      </c>
      <c r="C6238" t="s">
        <v>576</v>
      </c>
      <c r="D6238" s="21" t="s">
        <v>34</v>
      </c>
      <c r="E6238" s="21" t="s">
        <v>35</v>
      </c>
      <c r="F6238">
        <v>12440017</v>
      </c>
      <c r="G6238" t="s">
        <v>7683</v>
      </c>
      <c r="H6238" s="21">
        <v>1135.17</v>
      </c>
    </row>
    <row r="6239" spans="1:8" customFormat="1" x14ac:dyDescent="0.25">
      <c r="A6239" t="str">
        <f>"286253"</f>
        <v>286253</v>
      </c>
      <c r="B6239" t="s">
        <v>5814</v>
      </c>
      <c r="C6239" t="s">
        <v>130</v>
      </c>
      <c r="D6239" s="21" t="s">
        <v>34</v>
      </c>
      <c r="E6239" s="21" t="s">
        <v>35</v>
      </c>
      <c r="F6239">
        <v>7590259</v>
      </c>
      <c r="G6239" t="s">
        <v>6385</v>
      </c>
      <c r="H6239" s="21">
        <v>1135.17</v>
      </c>
    </row>
    <row r="6240" spans="1:8" customFormat="1" x14ac:dyDescent="0.25">
      <c r="A6240" t="str">
        <f>"903769"</f>
        <v>903769</v>
      </c>
      <c r="B6240" t="s">
        <v>7550</v>
      </c>
      <c r="C6240" t="s">
        <v>1819</v>
      </c>
      <c r="D6240" s="21" t="s">
        <v>34</v>
      </c>
      <c r="E6240" s="21" t="s">
        <v>35</v>
      </c>
      <c r="F6240">
        <v>2900013</v>
      </c>
      <c r="G6240" t="s">
        <v>5390</v>
      </c>
      <c r="H6240" s="21">
        <v>1135.17</v>
      </c>
    </row>
    <row r="6241" spans="1:8" customFormat="1" x14ac:dyDescent="0.25">
      <c r="A6241" t="str">
        <f>"7215935"</f>
        <v>7215935</v>
      </c>
      <c r="B6241" t="s">
        <v>7081</v>
      </c>
      <c r="C6241" t="s">
        <v>1803</v>
      </c>
      <c r="D6241" s="21" t="s">
        <v>34</v>
      </c>
      <c r="E6241" s="21" t="s">
        <v>35</v>
      </c>
      <c r="F6241">
        <v>12720042</v>
      </c>
      <c r="G6241" t="s">
        <v>922</v>
      </c>
      <c r="H6241" s="21">
        <v>1135.17</v>
      </c>
    </row>
    <row r="6242" spans="1:8" customFormat="1" x14ac:dyDescent="0.25">
      <c r="A6242" t="str">
        <f>"512990"</f>
        <v>512990</v>
      </c>
      <c r="B6242" t="s">
        <v>5971</v>
      </c>
      <c r="C6242" t="s">
        <v>87</v>
      </c>
      <c r="D6242" s="21" t="s">
        <v>34</v>
      </c>
      <c r="E6242" s="21" t="s">
        <v>71</v>
      </c>
      <c r="F6242">
        <v>6510008</v>
      </c>
      <c r="G6242" t="s">
        <v>26622</v>
      </c>
      <c r="H6242" s="21">
        <v>1135.17</v>
      </c>
    </row>
    <row r="6243" spans="1:8" customFormat="1" x14ac:dyDescent="0.25">
      <c r="A6243" t="str">
        <f>"3710691"</f>
        <v>3710691</v>
      </c>
      <c r="B6243" t="s">
        <v>8533</v>
      </c>
      <c r="C6243" t="s">
        <v>926</v>
      </c>
      <c r="D6243" s="21" t="s">
        <v>34</v>
      </c>
      <c r="E6243" s="21" t="s">
        <v>71</v>
      </c>
      <c r="F6243">
        <v>9270028</v>
      </c>
      <c r="G6243" t="s">
        <v>6091</v>
      </c>
      <c r="H6243" s="21">
        <v>1135.17</v>
      </c>
    </row>
    <row r="6244" spans="1:8" customFormat="1" x14ac:dyDescent="0.25">
      <c r="A6244" t="str">
        <f>"5912277"</f>
        <v>5912277</v>
      </c>
      <c r="B6244" t="s">
        <v>3133</v>
      </c>
      <c r="C6244" t="s">
        <v>656</v>
      </c>
      <c r="D6244" s="21" t="s">
        <v>34</v>
      </c>
      <c r="E6244" s="21" t="s">
        <v>35</v>
      </c>
      <c r="F6244">
        <v>7590017</v>
      </c>
      <c r="G6244" t="s">
        <v>1316</v>
      </c>
      <c r="H6244" s="21">
        <v>1135.17</v>
      </c>
    </row>
    <row r="6245" spans="1:8" customFormat="1" x14ac:dyDescent="0.25">
      <c r="A6245" t="str">
        <f>"642208"</f>
        <v>642208</v>
      </c>
      <c r="B6245" t="s">
        <v>1951</v>
      </c>
      <c r="C6245" t="s">
        <v>267</v>
      </c>
      <c r="D6245" s="21" t="s">
        <v>34</v>
      </c>
      <c r="E6245" s="21" t="s">
        <v>35</v>
      </c>
      <c r="F6245">
        <v>10640008</v>
      </c>
      <c r="G6245" t="s">
        <v>1694</v>
      </c>
      <c r="H6245" s="21">
        <v>1134.92</v>
      </c>
    </row>
    <row r="6246" spans="1:8" customFormat="1" x14ac:dyDescent="0.25">
      <c r="A6246" t="str">
        <f>"2921354"</f>
        <v>2921354</v>
      </c>
      <c r="B6246" t="s">
        <v>7111</v>
      </c>
      <c r="C6246" t="s">
        <v>239</v>
      </c>
      <c r="D6246" s="21" t="s">
        <v>34</v>
      </c>
      <c r="E6246" s="21" t="s">
        <v>71</v>
      </c>
      <c r="F6246">
        <v>3290215</v>
      </c>
      <c r="G6246" t="s">
        <v>5058</v>
      </c>
      <c r="H6246" s="21">
        <v>1134.68</v>
      </c>
    </row>
    <row r="6247" spans="1:8" customFormat="1" x14ac:dyDescent="0.25">
      <c r="A6247" t="str">
        <f>"7816498"</f>
        <v>7816498</v>
      </c>
      <c r="B6247" t="s">
        <v>7588</v>
      </c>
      <c r="C6247" t="s">
        <v>1146</v>
      </c>
      <c r="D6247" s="21" t="s">
        <v>34</v>
      </c>
      <c r="E6247" s="21" t="s">
        <v>71</v>
      </c>
      <c r="F6247">
        <v>8781475</v>
      </c>
      <c r="G6247" t="s">
        <v>7589</v>
      </c>
      <c r="H6247" s="21">
        <v>1134.68</v>
      </c>
    </row>
    <row r="6248" spans="1:8" customFormat="1" x14ac:dyDescent="0.25">
      <c r="A6248" t="str">
        <f>"7513437"</f>
        <v>7513437</v>
      </c>
      <c r="B6248" t="s">
        <v>7252</v>
      </c>
      <c r="C6248" t="s">
        <v>7253</v>
      </c>
      <c r="D6248" s="21" t="s">
        <v>34</v>
      </c>
      <c r="E6248" s="21" t="s">
        <v>35</v>
      </c>
      <c r="F6248">
        <v>8920140</v>
      </c>
      <c r="G6248" t="s">
        <v>3762</v>
      </c>
      <c r="H6248" s="21">
        <v>1134.68</v>
      </c>
    </row>
    <row r="6249" spans="1:8" customFormat="1" x14ac:dyDescent="0.25">
      <c r="A6249" t="str">
        <f>"9421748"</f>
        <v>9421748</v>
      </c>
      <c r="B6249" t="s">
        <v>23255</v>
      </c>
      <c r="C6249" t="s">
        <v>2227</v>
      </c>
      <c r="D6249" s="21" t="s">
        <v>34</v>
      </c>
      <c r="E6249" s="21" t="s">
        <v>35</v>
      </c>
      <c r="F6249">
        <v>8940073</v>
      </c>
      <c r="G6249" t="s">
        <v>1085</v>
      </c>
      <c r="H6249" s="21">
        <v>1134.67</v>
      </c>
    </row>
    <row r="6250" spans="1:8" customFormat="1" x14ac:dyDescent="0.25">
      <c r="A6250" t="str">
        <f>"889331"</f>
        <v>889331</v>
      </c>
      <c r="B6250" t="s">
        <v>1490</v>
      </c>
      <c r="C6250" t="s">
        <v>730</v>
      </c>
      <c r="D6250" s="21" t="s">
        <v>34</v>
      </c>
      <c r="E6250" s="21" t="s">
        <v>35</v>
      </c>
      <c r="F6250">
        <v>6540193</v>
      </c>
      <c r="G6250" t="s">
        <v>5884</v>
      </c>
      <c r="H6250" s="21">
        <v>1134.67</v>
      </c>
    </row>
    <row r="6251" spans="1:8" customFormat="1" x14ac:dyDescent="0.25">
      <c r="A6251" t="str">
        <f>"899188"</f>
        <v>899188</v>
      </c>
      <c r="B6251" t="s">
        <v>5820</v>
      </c>
      <c r="C6251" t="s">
        <v>198</v>
      </c>
      <c r="D6251" s="21" t="s">
        <v>34</v>
      </c>
      <c r="E6251" s="21" t="s">
        <v>35</v>
      </c>
      <c r="F6251">
        <v>2890005</v>
      </c>
      <c r="G6251" t="s">
        <v>2889</v>
      </c>
      <c r="H6251" s="21">
        <v>1134.67</v>
      </c>
    </row>
    <row r="6252" spans="1:8" customFormat="1" x14ac:dyDescent="0.25">
      <c r="A6252" t="str">
        <f>"251121"</f>
        <v>251121</v>
      </c>
      <c r="B6252" t="s">
        <v>6137</v>
      </c>
      <c r="C6252" t="s">
        <v>269</v>
      </c>
      <c r="D6252" s="21" t="s">
        <v>34</v>
      </c>
      <c r="E6252" s="21" t="s">
        <v>254</v>
      </c>
      <c r="F6252">
        <v>2250154</v>
      </c>
      <c r="G6252" t="s">
        <v>1973</v>
      </c>
      <c r="H6252" s="21">
        <v>1134.67</v>
      </c>
    </row>
    <row r="6253" spans="1:8" customFormat="1" x14ac:dyDescent="0.25">
      <c r="A6253" t="str">
        <f>"883705"</f>
        <v>883705</v>
      </c>
      <c r="B6253" t="s">
        <v>6785</v>
      </c>
      <c r="C6253" t="s">
        <v>428</v>
      </c>
      <c r="D6253" s="21" t="s">
        <v>34</v>
      </c>
      <c r="E6253" s="21" t="s">
        <v>35</v>
      </c>
      <c r="F6253">
        <v>6880017</v>
      </c>
      <c r="G6253" t="s">
        <v>5061</v>
      </c>
      <c r="H6253" s="21">
        <v>1134.67</v>
      </c>
    </row>
    <row r="6254" spans="1:8" customFormat="1" x14ac:dyDescent="0.25">
      <c r="A6254" t="str">
        <f>"0166"</f>
        <v>0166</v>
      </c>
      <c r="B6254" t="s">
        <v>6768</v>
      </c>
      <c r="C6254" t="s">
        <v>2907</v>
      </c>
      <c r="D6254" s="21" t="s">
        <v>34</v>
      </c>
      <c r="E6254" s="21" t="s">
        <v>71</v>
      </c>
      <c r="F6254">
        <v>1010020</v>
      </c>
      <c r="G6254" t="s">
        <v>6121</v>
      </c>
      <c r="H6254" s="21">
        <v>1134.67</v>
      </c>
    </row>
    <row r="6255" spans="1:8" customFormat="1" x14ac:dyDescent="0.25">
      <c r="A6255" t="str">
        <f>"6812140"</f>
        <v>6812140</v>
      </c>
      <c r="B6255" t="s">
        <v>7591</v>
      </c>
      <c r="C6255" t="s">
        <v>239</v>
      </c>
      <c r="D6255" s="21" t="s">
        <v>34</v>
      </c>
      <c r="E6255" s="21" t="s">
        <v>71</v>
      </c>
      <c r="F6255">
        <v>6680091</v>
      </c>
      <c r="G6255" t="s">
        <v>693</v>
      </c>
      <c r="H6255" s="21">
        <v>1134.67</v>
      </c>
    </row>
    <row r="6256" spans="1:8" customFormat="1" x14ac:dyDescent="0.25">
      <c r="A6256" t="str">
        <f>"596977"</f>
        <v>596977</v>
      </c>
      <c r="B6256" t="s">
        <v>7180</v>
      </c>
      <c r="C6256" t="s">
        <v>7181</v>
      </c>
      <c r="D6256" s="21" t="s">
        <v>34</v>
      </c>
      <c r="E6256" s="21" t="s">
        <v>71</v>
      </c>
      <c r="F6256">
        <v>7590293</v>
      </c>
      <c r="G6256" t="s">
        <v>2431</v>
      </c>
      <c r="H6256" s="21">
        <v>1134.67</v>
      </c>
    </row>
    <row r="6257" spans="1:8" customFormat="1" x14ac:dyDescent="0.25">
      <c r="A6257" t="str">
        <f>"8813041"</f>
        <v>8813041</v>
      </c>
      <c r="B6257" t="s">
        <v>6755</v>
      </c>
      <c r="C6257" t="s">
        <v>486</v>
      </c>
      <c r="D6257" s="21" t="s">
        <v>34</v>
      </c>
      <c r="E6257" s="21" t="s">
        <v>71</v>
      </c>
      <c r="F6257">
        <v>6880073</v>
      </c>
      <c r="G6257" t="s">
        <v>6648</v>
      </c>
      <c r="H6257" s="21">
        <v>1134.67</v>
      </c>
    </row>
    <row r="6258" spans="1:8" customFormat="1" x14ac:dyDescent="0.25">
      <c r="A6258" t="str">
        <f>"5014698"</f>
        <v>5014698</v>
      </c>
      <c r="B6258" t="s">
        <v>7870</v>
      </c>
      <c r="C6258" t="s">
        <v>267</v>
      </c>
      <c r="D6258" s="21" t="s">
        <v>34</v>
      </c>
      <c r="E6258" s="21" t="s">
        <v>71</v>
      </c>
      <c r="F6258">
        <v>9500139</v>
      </c>
      <c r="G6258" t="s">
        <v>6892</v>
      </c>
      <c r="H6258" s="21">
        <v>1134.3</v>
      </c>
    </row>
    <row r="6259" spans="1:8" customFormat="1" x14ac:dyDescent="0.25">
      <c r="A6259" t="str">
        <f>"614565"</f>
        <v>614565</v>
      </c>
      <c r="B6259" t="s">
        <v>7945</v>
      </c>
      <c r="C6259" t="s">
        <v>236</v>
      </c>
      <c r="D6259" s="21" t="s">
        <v>34</v>
      </c>
      <c r="E6259" s="21" t="s">
        <v>71</v>
      </c>
      <c r="F6259">
        <v>12530017</v>
      </c>
      <c r="G6259" t="s">
        <v>307</v>
      </c>
      <c r="H6259" s="21">
        <v>1134.29</v>
      </c>
    </row>
    <row r="6260" spans="1:8" customFormat="1" x14ac:dyDescent="0.25">
      <c r="A6260" t="str">
        <f>"4412525"</f>
        <v>4412525</v>
      </c>
      <c r="B6260" t="s">
        <v>6921</v>
      </c>
      <c r="C6260" t="s">
        <v>1110</v>
      </c>
      <c r="D6260" s="21" t="s">
        <v>34</v>
      </c>
      <c r="E6260" s="21" t="s">
        <v>71</v>
      </c>
      <c r="F6260">
        <v>12440049</v>
      </c>
      <c r="G6260" t="s">
        <v>3339</v>
      </c>
      <c r="H6260" s="21">
        <v>1134.17</v>
      </c>
    </row>
    <row r="6261" spans="1:8" customFormat="1" x14ac:dyDescent="0.25">
      <c r="A6261" t="str">
        <f>"182499"</f>
        <v>182499</v>
      </c>
      <c r="B6261" t="s">
        <v>6275</v>
      </c>
      <c r="C6261" t="s">
        <v>544</v>
      </c>
      <c r="D6261" s="21" t="s">
        <v>34</v>
      </c>
      <c r="E6261" s="21" t="s">
        <v>71</v>
      </c>
      <c r="F6261">
        <v>4180613</v>
      </c>
      <c r="G6261" t="s">
        <v>422</v>
      </c>
      <c r="H6261" s="21">
        <v>1134.17</v>
      </c>
    </row>
    <row r="6262" spans="1:8" customFormat="1" x14ac:dyDescent="0.25">
      <c r="A6262" t="str">
        <f>"5312346"</f>
        <v>5312346</v>
      </c>
      <c r="B6262" t="s">
        <v>7045</v>
      </c>
      <c r="C6262" t="s">
        <v>62</v>
      </c>
      <c r="D6262" s="21" t="s">
        <v>34</v>
      </c>
      <c r="E6262" s="21" t="s">
        <v>35</v>
      </c>
      <c r="F6262">
        <v>3350209</v>
      </c>
      <c r="G6262" t="s">
        <v>3023</v>
      </c>
      <c r="H6262" s="21">
        <v>1134.17</v>
      </c>
    </row>
    <row r="6263" spans="1:8" customFormat="1" x14ac:dyDescent="0.25">
      <c r="A6263" t="str">
        <f>"3114626"</f>
        <v>3114626</v>
      </c>
      <c r="B6263" t="s">
        <v>7860</v>
      </c>
      <c r="C6263" t="s">
        <v>7861</v>
      </c>
      <c r="D6263" s="21" t="s">
        <v>34</v>
      </c>
      <c r="E6263" s="21" t="s">
        <v>35</v>
      </c>
      <c r="F6263">
        <v>11310011</v>
      </c>
      <c r="G6263" t="s">
        <v>26586</v>
      </c>
      <c r="H6263" s="21">
        <v>1134.17</v>
      </c>
    </row>
    <row r="6264" spans="1:8" customFormat="1" x14ac:dyDescent="0.25">
      <c r="A6264" t="str">
        <f>"104980"</f>
        <v>104980</v>
      </c>
      <c r="B6264" t="s">
        <v>6932</v>
      </c>
      <c r="C6264" t="s">
        <v>253</v>
      </c>
      <c r="D6264" s="21" t="s">
        <v>34</v>
      </c>
      <c r="E6264" s="21" t="s">
        <v>1089</v>
      </c>
      <c r="F6264">
        <v>6100005</v>
      </c>
      <c r="G6264" t="s">
        <v>855</v>
      </c>
      <c r="H6264" s="21">
        <v>1134.17</v>
      </c>
    </row>
    <row r="6265" spans="1:8" customFormat="1" x14ac:dyDescent="0.25">
      <c r="A6265" t="str">
        <f>"6924976"</f>
        <v>6924976</v>
      </c>
      <c r="B6265" t="s">
        <v>6148</v>
      </c>
      <c r="C6265" t="s">
        <v>547</v>
      </c>
      <c r="D6265" s="21" t="s">
        <v>34</v>
      </c>
      <c r="E6265" s="21" t="s">
        <v>35</v>
      </c>
      <c r="F6265">
        <v>1690196</v>
      </c>
      <c r="G6265" t="s">
        <v>6149</v>
      </c>
      <c r="H6265" s="21">
        <v>1134.17</v>
      </c>
    </row>
    <row r="6266" spans="1:8" customFormat="1" x14ac:dyDescent="0.25">
      <c r="A6266" t="str">
        <f>"379186"</f>
        <v>379186</v>
      </c>
      <c r="B6266" t="s">
        <v>7555</v>
      </c>
      <c r="C6266" t="s">
        <v>415</v>
      </c>
      <c r="D6266" s="21" t="s">
        <v>34</v>
      </c>
      <c r="E6266" s="21" t="s">
        <v>254</v>
      </c>
      <c r="F6266">
        <v>4370033</v>
      </c>
      <c r="G6266" t="s">
        <v>7556</v>
      </c>
      <c r="H6266" s="21">
        <v>1134.17</v>
      </c>
    </row>
    <row r="6267" spans="1:8" customFormat="1" x14ac:dyDescent="0.25">
      <c r="A6267" t="str">
        <f>"4414342"</f>
        <v>4414342</v>
      </c>
      <c r="B6267" t="s">
        <v>6460</v>
      </c>
      <c r="C6267" t="s">
        <v>253</v>
      </c>
      <c r="D6267" s="21" t="s">
        <v>34</v>
      </c>
      <c r="E6267" s="21" t="s">
        <v>254</v>
      </c>
      <c r="F6267">
        <v>12440012</v>
      </c>
      <c r="G6267" t="s">
        <v>807</v>
      </c>
      <c r="H6267" s="21">
        <v>1134.17</v>
      </c>
    </row>
    <row r="6268" spans="1:8" customFormat="1" x14ac:dyDescent="0.25">
      <c r="A6268" t="str">
        <f>"992144"</f>
        <v>992144</v>
      </c>
      <c r="B6268" t="s">
        <v>1614</v>
      </c>
      <c r="C6268" t="s">
        <v>3073</v>
      </c>
      <c r="D6268" s="21" t="s">
        <v>34</v>
      </c>
      <c r="E6268" s="21" t="s">
        <v>71</v>
      </c>
      <c r="F6268">
        <v>10400016</v>
      </c>
      <c r="G6268" t="s">
        <v>9271</v>
      </c>
      <c r="H6268" s="21">
        <v>1134.17</v>
      </c>
    </row>
    <row r="6269" spans="1:8" customFormat="1" x14ac:dyDescent="0.25">
      <c r="A6269" t="str">
        <f>"431117"</f>
        <v>431117</v>
      </c>
      <c r="B6269" t="s">
        <v>4225</v>
      </c>
      <c r="C6269" t="s">
        <v>98</v>
      </c>
      <c r="D6269" s="21" t="s">
        <v>34</v>
      </c>
      <c r="E6269" s="21" t="s">
        <v>35</v>
      </c>
      <c r="F6269">
        <v>1420307</v>
      </c>
      <c r="G6269" t="s">
        <v>26676</v>
      </c>
      <c r="H6269" s="21">
        <v>1134.17</v>
      </c>
    </row>
    <row r="6270" spans="1:8" customFormat="1" x14ac:dyDescent="0.25">
      <c r="A6270" t="str">
        <f>"7612821"</f>
        <v>7612821</v>
      </c>
      <c r="B6270" t="s">
        <v>9351</v>
      </c>
      <c r="C6270" t="s">
        <v>934</v>
      </c>
      <c r="D6270" s="21" t="s">
        <v>34</v>
      </c>
      <c r="E6270" s="21" t="s">
        <v>35</v>
      </c>
      <c r="F6270">
        <v>9760218</v>
      </c>
      <c r="G6270" t="s">
        <v>26836</v>
      </c>
      <c r="H6270" s="21">
        <v>1134.17</v>
      </c>
    </row>
    <row r="6271" spans="1:8" customFormat="1" x14ac:dyDescent="0.25">
      <c r="A6271" t="str">
        <f>"5920769"</f>
        <v>5920769</v>
      </c>
      <c r="B6271" t="s">
        <v>7055</v>
      </c>
      <c r="C6271" t="s">
        <v>90</v>
      </c>
      <c r="D6271" s="21" t="s">
        <v>34</v>
      </c>
      <c r="E6271" s="21" t="s">
        <v>35</v>
      </c>
      <c r="F6271">
        <v>7590131</v>
      </c>
      <c r="G6271" t="s">
        <v>6300</v>
      </c>
      <c r="H6271" s="21">
        <v>1134</v>
      </c>
    </row>
    <row r="6272" spans="1:8" customFormat="1" x14ac:dyDescent="0.25">
      <c r="A6272" t="str">
        <f>"7623143"</f>
        <v>7623143</v>
      </c>
      <c r="B6272" t="s">
        <v>8676</v>
      </c>
      <c r="C6272" t="s">
        <v>1025</v>
      </c>
      <c r="D6272" s="21" t="s">
        <v>34</v>
      </c>
      <c r="E6272" s="21" t="s">
        <v>35</v>
      </c>
      <c r="F6272">
        <v>9760319</v>
      </c>
      <c r="G6272" t="s">
        <v>3051</v>
      </c>
      <c r="H6272" s="21">
        <v>1133.8</v>
      </c>
    </row>
    <row r="6273" spans="1:8" customFormat="1" x14ac:dyDescent="0.25">
      <c r="A6273" t="str">
        <f>"7710730"</f>
        <v>7710730</v>
      </c>
      <c r="B6273" t="s">
        <v>6104</v>
      </c>
      <c r="C6273" t="s">
        <v>6742</v>
      </c>
      <c r="D6273" s="21" t="s">
        <v>34</v>
      </c>
      <c r="E6273" s="21" t="s">
        <v>35</v>
      </c>
      <c r="F6273">
        <v>8940549</v>
      </c>
      <c r="G6273" t="s">
        <v>454</v>
      </c>
      <c r="H6273" s="21">
        <v>1133.8</v>
      </c>
    </row>
    <row r="6274" spans="1:8" customFormat="1" x14ac:dyDescent="0.25">
      <c r="A6274" t="str">
        <f>"3521229"</f>
        <v>3521229</v>
      </c>
      <c r="B6274" t="s">
        <v>6088</v>
      </c>
      <c r="C6274" t="s">
        <v>926</v>
      </c>
      <c r="D6274" s="21" t="s">
        <v>34</v>
      </c>
      <c r="E6274" s="21" t="s">
        <v>35</v>
      </c>
      <c r="F6274">
        <v>3350011</v>
      </c>
      <c r="G6274" t="s">
        <v>2404</v>
      </c>
      <c r="H6274" s="21">
        <v>1133.67</v>
      </c>
    </row>
    <row r="6275" spans="1:8" customFormat="1" x14ac:dyDescent="0.25">
      <c r="A6275" t="str">
        <f>"7610587"</f>
        <v>7610587</v>
      </c>
      <c r="B6275" t="s">
        <v>556</v>
      </c>
      <c r="C6275" t="s">
        <v>7889</v>
      </c>
      <c r="D6275" s="21" t="s">
        <v>34</v>
      </c>
      <c r="E6275" s="21" t="s">
        <v>35</v>
      </c>
      <c r="F6275">
        <v>9760306</v>
      </c>
      <c r="G6275" t="s">
        <v>7890</v>
      </c>
      <c r="H6275" s="21">
        <v>1133.67</v>
      </c>
    </row>
    <row r="6276" spans="1:8" customFormat="1" x14ac:dyDescent="0.25">
      <c r="A6276" t="str">
        <f>"3412293"</f>
        <v>3412293</v>
      </c>
      <c r="B6276" t="s">
        <v>7312</v>
      </c>
      <c r="C6276" t="s">
        <v>87</v>
      </c>
      <c r="D6276" s="21" t="s">
        <v>34</v>
      </c>
      <c r="E6276" s="21" t="s">
        <v>71</v>
      </c>
      <c r="F6276">
        <v>11480006</v>
      </c>
      <c r="G6276" t="s">
        <v>3317</v>
      </c>
      <c r="H6276" s="21">
        <v>1133.67</v>
      </c>
    </row>
    <row r="6277" spans="1:8" customFormat="1" x14ac:dyDescent="0.25">
      <c r="A6277" t="str">
        <f>"41810"</f>
        <v>41810</v>
      </c>
      <c r="B6277" t="s">
        <v>3664</v>
      </c>
      <c r="C6277" t="s">
        <v>267</v>
      </c>
      <c r="D6277" s="21" t="s">
        <v>34</v>
      </c>
      <c r="E6277" s="21" t="s">
        <v>1089</v>
      </c>
      <c r="F6277">
        <v>4410466</v>
      </c>
      <c r="G6277" t="s">
        <v>678</v>
      </c>
      <c r="H6277" s="21">
        <v>1133.67</v>
      </c>
    </row>
    <row r="6278" spans="1:8" customFormat="1" x14ac:dyDescent="0.25">
      <c r="A6278" t="str">
        <f>"3717483"</f>
        <v>3717483</v>
      </c>
      <c r="B6278" t="s">
        <v>6101</v>
      </c>
      <c r="C6278" t="s">
        <v>55</v>
      </c>
      <c r="D6278" s="21" t="s">
        <v>34</v>
      </c>
      <c r="E6278" s="21" t="s">
        <v>71</v>
      </c>
      <c r="F6278">
        <v>4370566</v>
      </c>
      <c r="G6278" t="s">
        <v>4710</v>
      </c>
      <c r="H6278" s="21">
        <v>1133.67</v>
      </c>
    </row>
    <row r="6279" spans="1:8" customFormat="1" x14ac:dyDescent="0.25">
      <c r="A6279" t="str">
        <f>"8515377"</f>
        <v>8515377</v>
      </c>
      <c r="B6279" t="s">
        <v>2645</v>
      </c>
      <c r="C6279" t="s">
        <v>121</v>
      </c>
      <c r="D6279" s="21" t="s">
        <v>34</v>
      </c>
      <c r="E6279" s="21" t="s">
        <v>35</v>
      </c>
      <c r="F6279">
        <v>12440066</v>
      </c>
      <c r="G6279" t="s">
        <v>7602</v>
      </c>
      <c r="H6279" s="21">
        <v>1133.67</v>
      </c>
    </row>
    <row r="6280" spans="1:8" customFormat="1" x14ac:dyDescent="0.25">
      <c r="A6280" t="str">
        <f>"57191"</f>
        <v>57191</v>
      </c>
      <c r="B6280" t="s">
        <v>7352</v>
      </c>
      <c r="C6280" t="s">
        <v>156</v>
      </c>
      <c r="D6280" s="21" t="s">
        <v>34</v>
      </c>
      <c r="E6280" s="21" t="s">
        <v>71</v>
      </c>
      <c r="F6280">
        <v>6570070</v>
      </c>
      <c r="G6280" t="s">
        <v>1765</v>
      </c>
      <c r="H6280" s="21">
        <v>1133.67</v>
      </c>
    </row>
    <row r="6281" spans="1:8" customFormat="1" x14ac:dyDescent="0.25">
      <c r="A6281" t="str">
        <f>"4416518"</f>
        <v>4416518</v>
      </c>
      <c r="B6281" t="s">
        <v>6150</v>
      </c>
      <c r="C6281" t="s">
        <v>269</v>
      </c>
      <c r="D6281" s="21" t="s">
        <v>34</v>
      </c>
      <c r="E6281" s="21" t="s">
        <v>71</v>
      </c>
      <c r="F6281">
        <v>12440195</v>
      </c>
      <c r="G6281" t="s">
        <v>3117</v>
      </c>
      <c r="H6281" s="21">
        <v>1133.67</v>
      </c>
    </row>
    <row r="6282" spans="1:8" customFormat="1" x14ac:dyDescent="0.25">
      <c r="A6282" t="str">
        <f>"0112058"</f>
        <v>0112058</v>
      </c>
      <c r="B6282" t="s">
        <v>7131</v>
      </c>
      <c r="C6282" t="s">
        <v>62</v>
      </c>
      <c r="D6282" s="21" t="s">
        <v>34</v>
      </c>
      <c r="E6282" s="21" t="s">
        <v>35</v>
      </c>
      <c r="F6282">
        <v>1690052</v>
      </c>
      <c r="G6282" t="s">
        <v>273</v>
      </c>
      <c r="H6282" s="21">
        <v>1133.67</v>
      </c>
    </row>
    <row r="6283" spans="1:8" customFormat="1" x14ac:dyDescent="0.25">
      <c r="A6283" t="str">
        <f>"769910"</f>
        <v>769910</v>
      </c>
      <c r="B6283" t="s">
        <v>4871</v>
      </c>
      <c r="C6283" t="s">
        <v>204</v>
      </c>
      <c r="D6283" s="21" t="s">
        <v>34</v>
      </c>
      <c r="E6283" s="21" t="s">
        <v>35</v>
      </c>
      <c r="F6283">
        <v>9760041</v>
      </c>
      <c r="G6283" t="s">
        <v>452</v>
      </c>
      <c r="H6283" s="21">
        <v>1133.67</v>
      </c>
    </row>
    <row r="6284" spans="1:8" customFormat="1" x14ac:dyDescent="0.25">
      <c r="A6284" t="str">
        <f>"5914274"</f>
        <v>5914274</v>
      </c>
      <c r="B6284" t="s">
        <v>6053</v>
      </c>
      <c r="C6284" t="s">
        <v>121</v>
      </c>
      <c r="D6284" s="21" t="s">
        <v>34</v>
      </c>
      <c r="E6284" s="21" t="s">
        <v>35</v>
      </c>
      <c r="F6284">
        <v>7590065</v>
      </c>
      <c r="G6284" t="s">
        <v>1598</v>
      </c>
      <c r="H6284" s="21">
        <v>1133.67</v>
      </c>
    </row>
    <row r="6285" spans="1:8" customFormat="1" x14ac:dyDescent="0.25">
      <c r="A6285" t="str">
        <f>"1412584"</f>
        <v>1412584</v>
      </c>
      <c r="B6285" t="s">
        <v>7367</v>
      </c>
      <c r="C6285" t="s">
        <v>62</v>
      </c>
      <c r="D6285" s="21" t="s">
        <v>34</v>
      </c>
      <c r="E6285" s="21" t="s">
        <v>71</v>
      </c>
      <c r="F6285">
        <v>9140190</v>
      </c>
      <c r="G6285" t="s">
        <v>7368</v>
      </c>
      <c r="H6285" s="21">
        <v>1133.5</v>
      </c>
    </row>
    <row r="6286" spans="1:8" customFormat="1" x14ac:dyDescent="0.25">
      <c r="A6286" t="str">
        <f>"863112"</f>
        <v>863112</v>
      </c>
      <c r="B6286" t="s">
        <v>7636</v>
      </c>
      <c r="C6286" t="s">
        <v>285</v>
      </c>
      <c r="D6286" s="21" t="s">
        <v>34</v>
      </c>
      <c r="E6286" s="21" t="s">
        <v>35</v>
      </c>
      <c r="F6286">
        <v>10860193</v>
      </c>
      <c r="G6286" t="s">
        <v>1603</v>
      </c>
      <c r="H6286" s="21">
        <v>1133.42</v>
      </c>
    </row>
    <row r="6287" spans="1:8" customFormat="1" x14ac:dyDescent="0.25">
      <c r="A6287" t="str">
        <f>"9423818"</f>
        <v>9423818</v>
      </c>
      <c r="B6287" t="s">
        <v>6391</v>
      </c>
      <c r="C6287" t="s">
        <v>6392</v>
      </c>
      <c r="D6287" s="21" t="s">
        <v>34</v>
      </c>
      <c r="E6287" s="21" t="s">
        <v>35</v>
      </c>
      <c r="F6287">
        <v>8941100</v>
      </c>
      <c r="G6287" t="s">
        <v>4974</v>
      </c>
      <c r="H6287" s="21">
        <v>1133.42</v>
      </c>
    </row>
    <row r="6288" spans="1:8" customFormat="1" x14ac:dyDescent="0.25">
      <c r="A6288" t="str">
        <f>"5317171"</f>
        <v>5317171</v>
      </c>
      <c r="B6288" t="s">
        <v>582</v>
      </c>
      <c r="C6288" t="s">
        <v>62</v>
      </c>
      <c r="D6288" s="21" t="s">
        <v>34</v>
      </c>
      <c r="E6288" s="21" t="s">
        <v>35</v>
      </c>
      <c r="F6288">
        <v>12530136</v>
      </c>
      <c r="G6288" t="s">
        <v>4866</v>
      </c>
      <c r="H6288" s="21">
        <v>1133.42</v>
      </c>
    </row>
    <row r="6289" spans="1:8" customFormat="1" x14ac:dyDescent="0.25">
      <c r="A6289" t="str">
        <f>"2922274"</f>
        <v>2922274</v>
      </c>
      <c r="B6289" t="s">
        <v>5734</v>
      </c>
      <c r="C6289" t="s">
        <v>1853</v>
      </c>
      <c r="D6289" s="21" t="s">
        <v>34</v>
      </c>
      <c r="E6289" s="21" t="s">
        <v>71</v>
      </c>
      <c r="F6289">
        <v>3290018</v>
      </c>
      <c r="G6289" t="s">
        <v>1706</v>
      </c>
      <c r="H6289" s="21">
        <v>1133.42</v>
      </c>
    </row>
    <row r="6290" spans="1:8" customFormat="1" x14ac:dyDescent="0.25">
      <c r="A6290" t="str">
        <f>"037274"</f>
        <v>037274</v>
      </c>
      <c r="B6290" t="s">
        <v>8357</v>
      </c>
      <c r="C6290" t="s">
        <v>293</v>
      </c>
      <c r="D6290" s="21" t="s">
        <v>34</v>
      </c>
      <c r="E6290" s="21" t="s">
        <v>35</v>
      </c>
      <c r="F6290">
        <v>1030312</v>
      </c>
      <c r="G6290" t="s">
        <v>7573</v>
      </c>
      <c r="H6290" s="21">
        <v>1133.17</v>
      </c>
    </row>
    <row r="6291" spans="1:8" customFormat="1" x14ac:dyDescent="0.25">
      <c r="A6291" t="str">
        <f>"4210342"</f>
        <v>4210342</v>
      </c>
      <c r="B6291" t="s">
        <v>1895</v>
      </c>
      <c r="C6291" t="s">
        <v>269</v>
      </c>
      <c r="D6291" s="21" t="s">
        <v>34</v>
      </c>
      <c r="E6291" s="21" t="s">
        <v>71</v>
      </c>
      <c r="F6291">
        <v>1420151</v>
      </c>
      <c r="G6291" t="s">
        <v>6802</v>
      </c>
      <c r="H6291" s="21">
        <v>1133.17</v>
      </c>
    </row>
    <row r="6292" spans="1:8" customFormat="1" x14ac:dyDescent="0.25">
      <c r="A6292" t="str">
        <f>"5923269"</f>
        <v>5923269</v>
      </c>
      <c r="B6292" t="s">
        <v>6427</v>
      </c>
      <c r="C6292" t="s">
        <v>598</v>
      </c>
      <c r="D6292" s="21" t="s">
        <v>34</v>
      </c>
      <c r="E6292" s="21" t="s">
        <v>1089</v>
      </c>
      <c r="F6292">
        <v>7590392</v>
      </c>
      <c r="G6292" t="s">
        <v>154</v>
      </c>
      <c r="H6292" s="21">
        <v>1133.17</v>
      </c>
    </row>
    <row r="6293" spans="1:8" customFormat="1" x14ac:dyDescent="0.25">
      <c r="A6293" t="str">
        <f>"3315725"</f>
        <v>3315725</v>
      </c>
      <c r="B6293" t="s">
        <v>26933</v>
      </c>
      <c r="C6293" t="s">
        <v>598</v>
      </c>
      <c r="D6293" s="21" t="s">
        <v>34</v>
      </c>
      <c r="E6293" s="21" t="s">
        <v>71</v>
      </c>
      <c r="F6293">
        <v>10330010</v>
      </c>
      <c r="G6293" t="s">
        <v>2831</v>
      </c>
      <c r="H6293" s="21">
        <v>1132.92</v>
      </c>
    </row>
    <row r="6294" spans="1:8" customFormat="1" x14ac:dyDescent="0.25">
      <c r="A6294" t="str">
        <f>"5918611"</f>
        <v>5918611</v>
      </c>
      <c r="B6294" t="s">
        <v>6163</v>
      </c>
      <c r="C6294" t="s">
        <v>209</v>
      </c>
      <c r="D6294" s="21" t="s">
        <v>34</v>
      </c>
      <c r="E6294" s="21" t="s">
        <v>254</v>
      </c>
      <c r="F6294">
        <v>7590336</v>
      </c>
      <c r="G6294" t="s">
        <v>2341</v>
      </c>
      <c r="H6294" s="21">
        <v>1132.92</v>
      </c>
    </row>
    <row r="6295" spans="1:8" customFormat="1" x14ac:dyDescent="0.25">
      <c r="A6295" t="str">
        <f>"27192"</f>
        <v>27192</v>
      </c>
      <c r="B6295" t="s">
        <v>7852</v>
      </c>
      <c r="C6295" t="s">
        <v>124</v>
      </c>
      <c r="D6295" s="21" t="s">
        <v>34</v>
      </c>
      <c r="E6295" s="21" t="s">
        <v>71</v>
      </c>
      <c r="F6295">
        <v>9270008</v>
      </c>
      <c r="G6295" t="s">
        <v>7853</v>
      </c>
      <c r="H6295" s="21">
        <v>1132.67</v>
      </c>
    </row>
    <row r="6296" spans="1:8" customFormat="1" x14ac:dyDescent="0.25">
      <c r="A6296" t="str">
        <f>"5427985"</f>
        <v>5427985</v>
      </c>
      <c r="B6296" t="s">
        <v>7599</v>
      </c>
      <c r="C6296" t="s">
        <v>4991</v>
      </c>
      <c r="D6296" s="21" t="s">
        <v>34</v>
      </c>
      <c r="E6296" s="21" t="s">
        <v>35</v>
      </c>
      <c r="F6296">
        <v>6540034</v>
      </c>
      <c r="G6296" t="s">
        <v>2211</v>
      </c>
      <c r="H6296" s="21">
        <v>1132.67</v>
      </c>
    </row>
    <row r="6297" spans="1:8" customFormat="1" x14ac:dyDescent="0.25">
      <c r="A6297" t="str">
        <f>"9531242"</f>
        <v>9531242</v>
      </c>
      <c r="B6297" t="s">
        <v>2313</v>
      </c>
      <c r="C6297" t="s">
        <v>1597</v>
      </c>
      <c r="D6297" s="21" t="s">
        <v>34</v>
      </c>
      <c r="E6297" s="21" t="s">
        <v>35</v>
      </c>
      <c r="F6297">
        <v>8951411</v>
      </c>
      <c r="G6297" t="s">
        <v>416</v>
      </c>
      <c r="H6297" s="21">
        <v>1132.67</v>
      </c>
    </row>
    <row r="6298" spans="1:8" customFormat="1" x14ac:dyDescent="0.25">
      <c r="A6298" t="str">
        <f>"8524718"</f>
        <v>8524718</v>
      </c>
      <c r="B6298" t="s">
        <v>6690</v>
      </c>
      <c r="C6298" t="s">
        <v>169</v>
      </c>
      <c r="D6298" s="21" t="s">
        <v>34</v>
      </c>
      <c r="E6298" s="21" t="s">
        <v>71</v>
      </c>
      <c r="F6298">
        <v>12850008</v>
      </c>
      <c r="G6298" t="s">
        <v>4248</v>
      </c>
      <c r="H6298" s="21">
        <v>1132.67</v>
      </c>
    </row>
    <row r="6299" spans="1:8" customFormat="1" x14ac:dyDescent="0.25">
      <c r="A6299" t="str">
        <f>"9224815"</f>
        <v>9224815</v>
      </c>
      <c r="B6299" t="s">
        <v>6816</v>
      </c>
      <c r="C6299" t="s">
        <v>169</v>
      </c>
      <c r="D6299" s="21" t="s">
        <v>34</v>
      </c>
      <c r="E6299" s="21" t="s">
        <v>35</v>
      </c>
      <c r="F6299">
        <v>7600161</v>
      </c>
      <c r="G6299" t="s">
        <v>6023</v>
      </c>
      <c r="H6299" s="21">
        <v>1132.67</v>
      </c>
    </row>
    <row r="6300" spans="1:8" customFormat="1" x14ac:dyDescent="0.25">
      <c r="A6300" t="str">
        <f>"7830408"</f>
        <v>7830408</v>
      </c>
      <c r="B6300" t="s">
        <v>7085</v>
      </c>
      <c r="C6300" t="s">
        <v>151</v>
      </c>
      <c r="D6300" s="21" t="s">
        <v>34</v>
      </c>
      <c r="E6300" s="21" t="s">
        <v>35</v>
      </c>
      <c r="F6300">
        <v>8780114</v>
      </c>
      <c r="G6300" t="s">
        <v>927</v>
      </c>
      <c r="H6300" s="21">
        <v>1132.55</v>
      </c>
    </row>
    <row r="6301" spans="1:8" customFormat="1" x14ac:dyDescent="0.25">
      <c r="A6301" t="str">
        <f>"9522672"</f>
        <v>9522672</v>
      </c>
      <c r="B6301" t="s">
        <v>4959</v>
      </c>
      <c r="C6301" t="s">
        <v>65</v>
      </c>
      <c r="D6301" s="21" t="s">
        <v>34</v>
      </c>
      <c r="E6301" s="21" t="s">
        <v>35</v>
      </c>
      <c r="F6301">
        <v>8950479</v>
      </c>
      <c r="G6301" t="s">
        <v>728</v>
      </c>
      <c r="H6301" s="21">
        <v>1132.42</v>
      </c>
    </row>
    <row r="6302" spans="1:8" customFormat="1" x14ac:dyDescent="0.25">
      <c r="A6302" t="str">
        <f>"9130864"</f>
        <v>9130864</v>
      </c>
      <c r="B6302" t="s">
        <v>1076</v>
      </c>
      <c r="C6302" t="s">
        <v>269</v>
      </c>
      <c r="D6302" s="21" t="s">
        <v>34</v>
      </c>
      <c r="E6302" s="21" t="s">
        <v>71</v>
      </c>
      <c r="F6302">
        <v>9500139</v>
      </c>
      <c r="G6302" t="s">
        <v>6892</v>
      </c>
      <c r="H6302" s="21">
        <v>1132.3</v>
      </c>
    </row>
    <row r="6303" spans="1:8" customFormat="1" x14ac:dyDescent="0.25">
      <c r="A6303" t="str">
        <f>"197929"</f>
        <v>197929</v>
      </c>
      <c r="B6303" t="s">
        <v>765</v>
      </c>
      <c r="C6303" t="s">
        <v>2678</v>
      </c>
      <c r="D6303" s="21" t="s">
        <v>34</v>
      </c>
      <c r="E6303" s="21" t="s">
        <v>35</v>
      </c>
      <c r="F6303">
        <v>10190144</v>
      </c>
      <c r="G6303" t="s">
        <v>8165</v>
      </c>
      <c r="H6303" s="21">
        <v>1132.17</v>
      </c>
    </row>
    <row r="6304" spans="1:8" customFormat="1" x14ac:dyDescent="0.25">
      <c r="A6304" t="str">
        <f>"67712"</f>
        <v>67712</v>
      </c>
      <c r="B6304" t="s">
        <v>6423</v>
      </c>
      <c r="C6304" t="s">
        <v>547</v>
      </c>
      <c r="D6304" s="21" t="s">
        <v>34</v>
      </c>
      <c r="E6304" s="21" t="s">
        <v>71</v>
      </c>
      <c r="F6304">
        <v>6670010</v>
      </c>
      <c r="G6304" t="s">
        <v>721</v>
      </c>
      <c r="H6304" s="21">
        <v>1132.17</v>
      </c>
    </row>
    <row r="6305" spans="1:8" customFormat="1" x14ac:dyDescent="0.25">
      <c r="A6305" t="str">
        <f>"14949"</f>
        <v>14949</v>
      </c>
      <c r="B6305" t="s">
        <v>4652</v>
      </c>
      <c r="C6305" t="s">
        <v>4721</v>
      </c>
      <c r="D6305" s="21" t="s">
        <v>34</v>
      </c>
      <c r="E6305" s="21" t="s">
        <v>1089</v>
      </c>
      <c r="F6305">
        <v>9140237</v>
      </c>
      <c r="G6305" t="s">
        <v>4722</v>
      </c>
      <c r="H6305" s="21">
        <v>1132.17</v>
      </c>
    </row>
    <row r="6306" spans="1:8" customFormat="1" x14ac:dyDescent="0.25">
      <c r="A6306" t="str">
        <f>"101540"</f>
        <v>101540</v>
      </c>
      <c r="B6306" t="s">
        <v>503</v>
      </c>
      <c r="C6306" t="s">
        <v>204</v>
      </c>
      <c r="D6306" s="21" t="s">
        <v>34</v>
      </c>
      <c r="E6306" s="21" t="s">
        <v>35</v>
      </c>
      <c r="F6306">
        <v>6100021</v>
      </c>
      <c r="G6306" t="s">
        <v>7789</v>
      </c>
      <c r="H6306" s="21">
        <v>1132.17</v>
      </c>
    </row>
    <row r="6307" spans="1:8" customFormat="1" x14ac:dyDescent="0.25">
      <c r="A6307" t="str">
        <f>"2912257"</f>
        <v>2912257</v>
      </c>
      <c r="B6307" t="s">
        <v>7719</v>
      </c>
      <c r="C6307" t="s">
        <v>119</v>
      </c>
      <c r="D6307" s="21" t="s">
        <v>34</v>
      </c>
      <c r="E6307" s="21" t="s">
        <v>71</v>
      </c>
      <c r="F6307">
        <v>3290273</v>
      </c>
      <c r="G6307" t="s">
        <v>2972</v>
      </c>
      <c r="H6307" s="21">
        <v>1132.17</v>
      </c>
    </row>
    <row r="6308" spans="1:8" customFormat="1" x14ac:dyDescent="0.25">
      <c r="A6308" t="str">
        <f>"6810358"</f>
        <v>6810358</v>
      </c>
      <c r="B6308" t="s">
        <v>8073</v>
      </c>
      <c r="C6308" t="s">
        <v>263</v>
      </c>
      <c r="D6308" s="21" t="s">
        <v>34</v>
      </c>
      <c r="E6308" s="21" t="s">
        <v>71</v>
      </c>
      <c r="F6308">
        <v>6680118</v>
      </c>
      <c r="G6308" t="s">
        <v>4346</v>
      </c>
      <c r="H6308" s="21">
        <v>1132.17</v>
      </c>
    </row>
    <row r="6309" spans="1:8" customFormat="1" x14ac:dyDescent="0.25">
      <c r="A6309" t="str">
        <f>"4440004"</f>
        <v>4440004</v>
      </c>
      <c r="B6309" t="s">
        <v>146</v>
      </c>
      <c r="C6309" t="s">
        <v>269</v>
      </c>
      <c r="D6309" s="21" t="s">
        <v>34</v>
      </c>
      <c r="E6309" s="21" t="s">
        <v>35</v>
      </c>
      <c r="F6309">
        <v>12440075</v>
      </c>
      <c r="G6309" t="s">
        <v>1437</v>
      </c>
      <c r="H6309" s="21">
        <v>1132.17</v>
      </c>
    </row>
    <row r="6310" spans="1:8" customFormat="1" x14ac:dyDescent="0.25">
      <c r="A6310" t="str">
        <f>"7610943"</f>
        <v>7610943</v>
      </c>
      <c r="B6310" t="s">
        <v>7213</v>
      </c>
      <c r="C6310" t="s">
        <v>285</v>
      </c>
      <c r="D6310" s="21" t="s">
        <v>34</v>
      </c>
      <c r="E6310" s="21" t="s">
        <v>35</v>
      </c>
      <c r="F6310">
        <v>9760015</v>
      </c>
      <c r="G6310" t="s">
        <v>5277</v>
      </c>
      <c r="H6310" s="21">
        <v>1132.17</v>
      </c>
    </row>
    <row r="6311" spans="1:8" customFormat="1" x14ac:dyDescent="0.25">
      <c r="A6311" t="str">
        <f>"267232"</f>
        <v>267232</v>
      </c>
      <c r="B6311" t="s">
        <v>6706</v>
      </c>
      <c r="C6311" t="s">
        <v>669</v>
      </c>
      <c r="D6311" s="21" t="s">
        <v>34</v>
      </c>
      <c r="E6311" s="21" t="s">
        <v>71</v>
      </c>
      <c r="F6311">
        <v>1260054</v>
      </c>
      <c r="G6311" t="s">
        <v>358</v>
      </c>
      <c r="H6311" s="21">
        <v>1132.17</v>
      </c>
    </row>
    <row r="6312" spans="1:8" customFormat="1" x14ac:dyDescent="0.25">
      <c r="A6312" t="str">
        <f>"382676"</f>
        <v>382676</v>
      </c>
      <c r="B6312" t="s">
        <v>7270</v>
      </c>
      <c r="C6312" t="s">
        <v>7271</v>
      </c>
      <c r="D6312" s="21" t="s">
        <v>34</v>
      </c>
      <c r="E6312" s="21" t="s">
        <v>35</v>
      </c>
      <c r="F6312">
        <v>1380164</v>
      </c>
      <c r="G6312" t="s">
        <v>2728</v>
      </c>
      <c r="H6312" s="21">
        <v>1132.17</v>
      </c>
    </row>
    <row r="6313" spans="1:8" customFormat="1" x14ac:dyDescent="0.25">
      <c r="A6313" t="str">
        <f>"3330604"</f>
        <v>3330604</v>
      </c>
      <c r="B6313" t="s">
        <v>5973</v>
      </c>
      <c r="C6313" t="s">
        <v>2479</v>
      </c>
      <c r="D6313" s="21" t="s">
        <v>34</v>
      </c>
      <c r="E6313" s="21" t="s">
        <v>71</v>
      </c>
      <c r="F6313">
        <v>10330004</v>
      </c>
      <c r="G6313" t="s">
        <v>525</v>
      </c>
      <c r="H6313" s="21">
        <v>1132.05</v>
      </c>
    </row>
    <row r="6314" spans="1:8" customFormat="1" x14ac:dyDescent="0.25">
      <c r="A6314" t="str">
        <f>"861386"</f>
        <v>861386</v>
      </c>
      <c r="B6314" t="s">
        <v>7627</v>
      </c>
      <c r="C6314" t="s">
        <v>926</v>
      </c>
      <c r="D6314" s="21" t="s">
        <v>34</v>
      </c>
      <c r="E6314" s="21" t="s">
        <v>71</v>
      </c>
      <c r="F6314">
        <v>10860193</v>
      </c>
      <c r="G6314" t="s">
        <v>1603</v>
      </c>
      <c r="H6314" s="21">
        <v>1131.92</v>
      </c>
    </row>
    <row r="6315" spans="1:8" customFormat="1" x14ac:dyDescent="0.25">
      <c r="A6315" t="str">
        <f>"7213682"</f>
        <v>7213682</v>
      </c>
      <c r="B6315" t="s">
        <v>6527</v>
      </c>
      <c r="C6315" t="s">
        <v>119</v>
      </c>
      <c r="D6315" s="21" t="s">
        <v>34</v>
      </c>
      <c r="E6315" s="21" t="s">
        <v>35</v>
      </c>
      <c r="F6315">
        <v>12720127</v>
      </c>
      <c r="G6315" t="s">
        <v>6528</v>
      </c>
      <c r="H6315" s="21">
        <v>1131.67</v>
      </c>
    </row>
    <row r="6316" spans="1:8" customFormat="1" x14ac:dyDescent="0.25">
      <c r="A6316" t="str">
        <f>"862216"</f>
        <v>862216</v>
      </c>
      <c r="B6316" t="s">
        <v>4902</v>
      </c>
      <c r="C6316" t="s">
        <v>415</v>
      </c>
      <c r="D6316" s="21" t="s">
        <v>34</v>
      </c>
      <c r="E6316" s="21" t="s">
        <v>71</v>
      </c>
      <c r="F6316">
        <v>10860021</v>
      </c>
      <c r="G6316" t="s">
        <v>26820</v>
      </c>
      <c r="H6316" s="21">
        <v>1131.67</v>
      </c>
    </row>
    <row r="6317" spans="1:8" customFormat="1" x14ac:dyDescent="0.25">
      <c r="A6317" t="str">
        <f>"351048"</f>
        <v>351048</v>
      </c>
      <c r="B6317" t="s">
        <v>4063</v>
      </c>
      <c r="C6317" t="s">
        <v>926</v>
      </c>
      <c r="D6317" s="21" t="s">
        <v>34</v>
      </c>
      <c r="E6317" s="21" t="s">
        <v>71</v>
      </c>
      <c r="F6317">
        <v>3350074</v>
      </c>
      <c r="G6317" t="s">
        <v>5432</v>
      </c>
      <c r="H6317" s="21">
        <v>1131.67</v>
      </c>
    </row>
    <row r="6318" spans="1:8" customFormat="1" x14ac:dyDescent="0.25">
      <c r="A6318" t="str">
        <f>"7516334"</f>
        <v>7516334</v>
      </c>
      <c r="B6318" t="s">
        <v>8428</v>
      </c>
      <c r="C6318" t="s">
        <v>8429</v>
      </c>
      <c r="D6318" s="21" t="s">
        <v>34</v>
      </c>
      <c r="E6318" s="21" t="s">
        <v>35</v>
      </c>
      <c r="F6318">
        <v>8751249</v>
      </c>
      <c r="G6318" t="s">
        <v>2803</v>
      </c>
      <c r="H6318" s="21">
        <v>1131.67</v>
      </c>
    </row>
    <row r="6319" spans="1:8" customFormat="1" x14ac:dyDescent="0.25">
      <c r="A6319" t="str">
        <f>"5617708"</f>
        <v>5617708</v>
      </c>
      <c r="B6319" t="s">
        <v>7766</v>
      </c>
      <c r="C6319" t="s">
        <v>119</v>
      </c>
      <c r="D6319" s="21" t="s">
        <v>34</v>
      </c>
      <c r="E6319" s="21" t="s">
        <v>35</v>
      </c>
      <c r="F6319">
        <v>3560087</v>
      </c>
      <c r="G6319" t="s">
        <v>7767</v>
      </c>
      <c r="H6319" s="21">
        <v>1131.67</v>
      </c>
    </row>
    <row r="6320" spans="1:8" customFormat="1" x14ac:dyDescent="0.25">
      <c r="A6320" t="str">
        <f>"3511071"</f>
        <v>3511071</v>
      </c>
      <c r="B6320" t="s">
        <v>7111</v>
      </c>
      <c r="C6320" t="s">
        <v>55</v>
      </c>
      <c r="D6320" s="21" t="s">
        <v>34</v>
      </c>
      <c r="E6320" s="21" t="s">
        <v>35</v>
      </c>
      <c r="F6320">
        <v>3350074</v>
      </c>
      <c r="G6320" t="s">
        <v>5432</v>
      </c>
      <c r="H6320" s="21">
        <v>1131.67</v>
      </c>
    </row>
    <row r="6321" spans="1:8" customFormat="1" x14ac:dyDescent="0.25">
      <c r="A6321" t="str">
        <f>"6714387"</f>
        <v>6714387</v>
      </c>
      <c r="B6321" t="s">
        <v>6613</v>
      </c>
      <c r="C6321" t="s">
        <v>33</v>
      </c>
      <c r="D6321" s="21" t="s">
        <v>34</v>
      </c>
      <c r="E6321" s="21" t="s">
        <v>71</v>
      </c>
      <c r="F6321">
        <v>6670248</v>
      </c>
      <c r="G6321" t="s">
        <v>1194</v>
      </c>
      <c r="H6321" s="21">
        <v>1131.67</v>
      </c>
    </row>
    <row r="6322" spans="1:8" customFormat="1" x14ac:dyDescent="0.25">
      <c r="A6322" t="str">
        <f>"3411129"</f>
        <v>3411129</v>
      </c>
      <c r="B6322" t="s">
        <v>6350</v>
      </c>
      <c r="C6322" t="s">
        <v>124</v>
      </c>
      <c r="D6322" s="21" t="s">
        <v>34</v>
      </c>
      <c r="E6322" s="21" t="s">
        <v>254</v>
      </c>
      <c r="F6322">
        <v>11110027</v>
      </c>
      <c r="G6322" t="s">
        <v>713</v>
      </c>
      <c r="H6322" s="21">
        <v>1131.55</v>
      </c>
    </row>
    <row r="6323" spans="1:8" customFormat="1" x14ac:dyDescent="0.25">
      <c r="A6323" t="str">
        <f>"9422210"</f>
        <v>9422210</v>
      </c>
      <c r="B6323" t="s">
        <v>6915</v>
      </c>
      <c r="C6323" t="s">
        <v>621</v>
      </c>
      <c r="D6323" s="21" t="s">
        <v>34</v>
      </c>
      <c r="E6323" s="21" t="s">
        <v>35</v>
      </c>
      <c r="F6323">
        <v>8940926</v>
      </c>
      <c r="G6323" t="s">
        <v>4065</v>
      </c>
      <c r="H6323" s="21">
        <v>1131.55</v>
      </c>
    </row>
    <row r="6324" spans="1:8" customFormat="1" x14ac:dyDescent="0.25">
      <c r="A6324" t="str">
        <f>"884065"</f>
        <v>884065</v>
      </c>
      <c r="B6324" t="s">
        <v>7042</v>
      </c>
      <c r="C6324" t="s">
        <v>1620</v>
      </c>
      <c r="D6324" s="21" t="s">
        <v>34</v>
      </c>
      <c r="E6324" s="21" t="s">
        <v>35</v>
      </c>
      <c r="F6324">
        <v>6880002</v>
      </c>
      <c r="G6324" t="s">
        <v>501</v>
      </c>
      <c r="H6324" s="21">
        <v>1131.42</v>
      </c>
    </row>
    <row r="6325" spans="1:8" customFormat="1" x14ac:dyDescent="0.25">
      <c r="A6325" t="str">
        <f>"0110757"</f>
        <v>0110757</v>
      </c>
      <c r="B6325" t="s">
        <v>6462</v>
      </c>
      <c r="C6325" t="s">
        <v>119</v>
      </c>
      <c r="D6325" s="21" t="s">
        <v>34</v>
      </c>
      <c r="E6325" s="21" t="s">
        <v>35</v>
      </c>
      <c r="F6325">
        <v>2390007</v>
      </c>
      <c r="G6325" t="s">
        <v>3365</v>
      </c>
      <c r="H6325" s="21">
        <v>1131.3</v>
      </c>
    </row>
    <row r="6326" spans="1:8" customFormat="1" x14ac:dyDescent="0.25">
      <c r="A6326" t="str">
        <f>"9112636"</f>
        <v>9112636</v>
      </c>
      <c r="B6326" t="s">
        <v>1422</v>
      </c>
      <c r="C6326" t="s">
        <v>65</v>
      </c>
      <c r="D6326" s="21" t="s">
        <v>34</v>
      </c>
      <c r="E6326" s="21" t="s">
        <v>35</v>
      </c>
      <c r="F6326">
        <v>8910881</v>
      </c>
      <c r="G6326" t="s">
        <v>1300</v>
      </c>
      <c r="H6326" s="21">
        <v>1131.18</v>
      </c>
    </row>
    <row r="6327" spans="1:8" customFormat="1" x14ac:dyDescent="0.25">
      <c r="A6327" t="str">
        <f>"5939549"</f>
        <v>5939549</v>
      </c>
      <c r="B6327" t="s">
        <v>3737</v>
      </c>
      <c r="C6327" t="s">
        <v>2100</v>
      </c>
      <c r="D6327" s="21" t="s">
        <v>34</v>
      </c>
      <c r="E6327" s="21" t="s">
        <v>71</v>
      </c>
      <c r="F6327">
        <v>7590100</v>
      </c>
      <c r="G6327" t="s">
        <v>1660</v>
      </c>
      <c r="H6327" s="21">
        <v>1131.17</v>
      </c>
    </row>
    <row r="6328" spans="1:8" customFormat="1" x14ac:dyDescent="0.25">
      <c r="A6328" t="str">
        <f>"855839"</f>
        <v>855839</v>
      </c>
      <c r="B6328" t="s">
        <v>7351</v>
      </c>
      <c r="C6328" t="s">
        <v>2984</v>
      </c>
      <c r="D6328" s="21" t="s">
        <v>34</v>
      </c>
      <c r="E6328" s="21" t="s">
        <v>35</v>
      </c>
      <c r="F6328">
        <v>12850138</v>
      </c>
      <c r="G6328" t="s">
        <v>6879</v>
      </c>
      <c r="H6328" s="21">
        <v>1131.17</v>
      </c>
    </row>
    <row r="6329" spans="1:8" customFormat="1" x14ac:dyDescent="0.25">
      <c r="A6329" t="str">
        <f>"4420490"</f>
        <v>4420490</v>
      </c>
      <c r="B6329" t="s">
        <v>8322</v>
      </c>
      <c r="C6329" t="s">
        <v>109</v>
      </c>
      <c r="D6329" s="21" t="s">
        <v>34</v>
      </c>
      <c r="E6329" s="21" t="s">
        <v>71</v>
      </c>
      <c r="F6329">
        <v>1260015</v>
      </c>
      <c r="G6329" t="s">
        <v>4712</v>
      </c>
      <c r="H6329" s="21">
        <v>1131.17</v>
      </c>
    </row>
    <row r="6330" spans="1:8" customFormat="1" x14ac:dyDescent="0.25">
      <c r="A6330" t="str">
        <f>"768747"</f>
        <v>768747</v>
      </c>
      <c r="B6330" t="s">
        <v>1533</v>
      </c>
      <c r="C6330" t="s">
        <v>127</v>
      </c>
      <c r="D6330" s="21" t="s">
        <v>34</v>
      </c>
      <c r="E6330" s="21" t="s">
        <v>35</v>
      </c>
      <c r="F6330">
        <v>9760414</v>
      </c>
      <c r="G6330" t="s">
        <v>142</v>
      </c>
      <c r="H6330" s="21">
        <v>1131.17</v>
      </c>
    </row>
    <row r="6331" spans="1:8" customFormat="1" x14ac:dyDescent="0.25">
      <c r="A6331" t="str">
        <f>"31118"</f>
        <v>31118</v>
      </c>
      <c r="B6331" t="s">
        <v>7274</v>
      </c>
      <c r="C6331" t="s">
        <v>415</v>
      </c>
      <c r="D6331" s="21" t="s">
        <v>34</v>
      </c>
      <c r="E6331" s="21" t="s">
        <v>1089</v>
      </c>
      <c r="F6331">
        <v>11310008</v>
      </c>
      <c r="G6331" t="s">
        <v>4269</v>
      </c>
      <c r="H6331" s="21">
        <v>1131.17</v>
      </c>
    </row>
    <row r="6332" spans="1:8" customFormat="1" x14ac:dyDescent="0.25">
      <c r="A6332" t="str">
        <f>"591621"</f>
        <v>591621</v>
      </c>
      <c r="B6332" t="s">
        <v>5637</v>
      </c>
      <c r="C6332" t="s">
        <v>55</v>
      </c>
      <c r="D6332" s="21" t="s">
        <v>34</v>
      </c>
      <c r="E6332" s="21" t="s">
        <v>1089</v>
      </c>
      <c r="F6332">
        <v>7590071</v>
      </c>
      <c r="G6332" t="s">
        <v>2602</v>
      </c>
      <c r="H6332" s="21">
        <v>1131.17</v>
      </c>
    </row>
    <row r="6333" spans="1:8" customFormat="1" x14ac:dyDescent="0.25">
      <c r="A6333" t="str">
        <f>"413223"</f>
        <v>413223</v>
      </c>
      <c r="B6333" t="s">
        <v>8734</v>
      </c>
      <c r="C6333" t="s">
        <v>262</v>
      </c>
      <c r="D6333" s="21" t="s">
        <v>34</v>
      </c>
      <c r="E6333" s="21" t="s">
        <v>35</v>
      </c>
      <c r="F6333">
        <v>4370001</v>
      </c>
      <c r="G6333" t="s">
        <v>957</v>
      </c>
      <c r="H6333" s="21">
        <v>1131.17</v>
      </c>
    </row>
    <row r="6334" spans="1:8" customFormat="1" x14ac:dyDescent="0.25">
      <c r="A6334" t="str">
        <f>"5319397"</f>
        <v>5319397</v>
      </c>
      <c r="B6334" t="s">
        <v>8091</v>
      </c>
      <c r="C6334" t="s">
        <v>139</v>
      </c>
      <c r="D6334" s="21" t="s">
        <v>34</v>
      </c>
      <c r="E6334" s="21" t="s">
        <v>35</v>
      </c>
      <c r="F6334">
        <v>12530087</v>
      </c>
      <c r="G6334" t="s">
        <v>3860</v>
      </c>
      <c r="H6334" s="21">
        <v>1130.8</v>
      </c>
    </row>
    <row r="6335" spans="1:8" customFormat="1" x14ac:dyDescent="0.25">
      <c r="A6335" t="str">
        <f>"4512583"</f>
        <v>4512583</v>
      </c>
      <c r="B6335" t="s">
        <v>6610</v>
      </c>
      <c r="C6335" t="s">
        <v>486</v>
      </c>
      <c r="D6335" s="21" t="s">
        <v>34</v>
      </c>
      <c r="E6335" s="21" t="s">
        <v>35</v>
      </c>
      <c r="F6335">
        <v>3290005</v>
      </c>
      <c r="G6335" t="s">
        <v>1253</v>
      </c>
      <c r="H6335" s="21">
        <v>1130.67</v>
      </c>
    </row>
    <row r="6336" spans="1:8" customFormat="1" x14ac:dyDescent="0.25">
      <c r="A6336" t="str">
        <f>"8510569"</f>
        <v>8510569</v>
      </c>
      <c r="B6336" t="s">
        <v>537</v>
      </c>
      <c r="C6336" t="s">
        <v>114</v>
      </c>
      <c r="D6336" s="21" t="s">
        <v>34</v>
      </c>
      <c r="E6336" s="21" t="s">
        <v>254</v>
      </c>
      <c r="F6336">
        <v>12850016</v>
      </c>
      <c r="G6336" t="s">
        <v>26554</v>
      </c>
      <c r="H6336" s="21">
        <v>1130.67</v>
      </c>
    </row>
    <row r="6337" spans="1:8" customFormat="1" x14ac:dyDescent="0.25">
      <c r="A6337" t="str">
        <f>"758424"</f>
        <v>758424</v>
      </c>
      <c r="B6337" t="s">
        <v>8414</v>
      </c>
      <c r="C6337" t="s">
        <v>652</v>
      </c>
      <c r="D6337" s="21" t="s">
        <v>34</v>
      </c>
      <c r="E6337" s="21" t="s">
        <v>254</v>
      </c>
      <c r="F6337">
        <v>8751423</v>
      </c>
      <c r="G6337" t="s">
        <v>4556</v>
      </c>
      <c r="H6337" s="21">
        <v>1130.67</v>
      </c>
    </row>
    <row r="6338" spans="1:8" customFormat="1" x14ac:dyDescent="0.25">
      <c r="A6338" t="str">
        <f>"801996"</f>
        <v>801996</v>
      </c>
      <c r="B6338" t="s">
        <v>9880</v>
      </c>
      <c r="C6338" t="s">
        <v>269</v>
      </c>
      <c r="D6338" s="21" t="s">
        <v>34</v>
      </c>
      <c r="E6338" s="21" t="s">
        <v>71</v>
      </c>
      <c r="F6338">
        <v>7800015</v>
      </c>
      <c r="G6338" t="s">
        <v>8701</v>
      </c>
      <c r="H6338" s="21">
        <v>1130.67</v>
      </c>
    </row>
    <row r="6339" spans="1:8" customFormat="1" x14ac:dyDescent="0.25">
      <c r="A6339" t="str">
        <f>"7612608"</f>
        <v>7612608</v>
      </c>
      <c r="B6339" t="s">
        <v>6586</v>
      </c>
      <c r="C6339" t="s">
        <v>139</v>
      </c>
      <c r="D6339" s="21" t="s">
        <v>34</v>
      </c>
      <c r="E6339" s="21" t="s">
        <v>35</v>
      </c>
      <c r="F6339">
        <v>4450759</v>
      </c>
      <c r="G6339" t="s">
        <v>6587</v>
      </c>
      <c r="H6339" s="21">
        <v>1130.42</v>
      </c>
    </row>
    <row r="6340" spans="1:8" customFormat="1" x14ac:dyDescent="0.25">
      <c r="A6340" t="str">
        <f>"5011113"</f>
        <v>5011113</v>
      </c>
      <c r="B6340" t="s">
        <v>7542</v>
      </c>
      <c r="C6340" t="s">
        <v>7175</v>
      </c>
      <c r="D6340" s="21" t="s">
        <v>34</v>
      </c>
      <c r="E6340" s="21" t="s">
        <v>35</v>
      </c>
      <c r="F6340">
        <v>12530017</v>
      </c>
      <c r="G6340" t="s">
        <v>307</v>
      </c>
      <c r="H6340" s="21">
        <v>1130.17</v>
      </c>
    </row>
    <row r="6341" spans="1:8" customFormat="1" x14ac:dyDescent="0.25">
      <c r="A6341" t="str">
        <f>"29159"</f>
        <v>29159</v>
      </c>
      <c r="B6341" t="s">
        <v>6382</v>
      </c>
      <c r="C6341" t="s">
        <v>3481</v>
      </c>
      <c r="D6341" s="21" t="s">
        <v>34</v>
      </c>
      <c r="E6341" s="21" t="s">
        <v>254</v>
      </c>
      <c r="F6341">
        <v>3290229</v>
      </c>
      <c r="G6341" t="s">
        <v>408</v>
      </c>
      <c r="H6341" s="21">
        <v>1130.17</v>
      </c>
    </row>
    <row r="6342" spans="1:8" customFormat="1" x14ac:dyDescent="0.25">
      <c r="A6342" t="str">
        <f>"6710429"</f>
        <v>6710429</v>
      </c>
      <c r="B6342" t="s">
        <v>7706</v>
      </c>
      <c r="C6342" t="s">
        <v>249</v>
      </c>
      <c r="D6342" s="21" t="s">
        <v>34</v>
      </c>
      <c r="E6342" s="21" t="s">
        <v>35</v>
      </c>
      <c r="F6342">
        <v>6670246</v>
      </c>
      <c r="G6342" t="s">
        <v>7707</v>
      </c>
      <c r="H6342" s="21">
        <v>1130.17</v>
      </c>
    </row>
    <row r="6343" spans="1:8" customFormat="1" x14ac:dyDescent="0.25">
      <c r="A6343" t="str">
        <f>"86536"</f>
        <v>86536</v>
      </c>
      <c r="B6343" t="s">
        <v>5883</v>
      </c>
      <c r="C6343" t="s">
        <v>253</v>
      </c>
      <c r="D6343" s="21" t="s">
        <v>34</v>
      </c>
      <c r="E6343" s="21" t="s">
        <v>254</v>
      </c>
      <c r="F6343">
        <v>10860122</v>
      </c>
      <c r="G6343" t="s">
        <v>3800</v>
      </c>
      <c r="H6343" s="21">
        <v>1130.17</v>
      </c>
    </row>
    <row r="6344" spans="1:8" customFormat="1" x14ac:dyDescent="0.25">
      <c r="A6344" t="str">
        <f>"915192"</f>
        <v>915192</v>
      </c>
      <c r="B6344" t="s">
        <v>8640</v>
      </c>
      <c r="C6344" t="s">
        <v>1812</v>
      </c>
      <c r="D6344" s="21" t="s">
        <v>34</v>
      </c>
      <c r="E6344" s="21" t="s">
        <v>254</v>
      </c>
      <c r="F6344">
        <v>8910285</v>
      </c>
      <c r="G6344" t="s">
        <v>26604</v>
      </c>
      <c r="H6344" s="21">
        <v>1130.17</v>
      </c>
    </row>
    <row r="6345" spans="1:8" customFormat="1" x14ac:dyDescent="0.25">
      <c r="A6345" t="str">
        <f>"8516437"</f>
        <v>8516437</v>
      </c>
      <c r="B6345" t="s">
        <v>8554</v>
      </c>
      <c r="C6345" t="s">
        <v>486</v>
      </c>
      <c r="D6345" s="21" t="s">
        <v>34</v>
      </c>
      <c r="E6345" s="21" t="s">
        <v>71</v>
      </c>
      <c r="F6345">
        <v>12850097</v>
      </c>
      <c r="G6345" t="s">
        <v>4111</v>
      </c>
      <c r="H6345" s="21">
        <v>1130.17</v>
      </c>
    </row>
    <row r="6346" spans="1:8" customFormat="1" x14ac:dyDescent="0.25">
      <c r="A6346" t="str">
        <f>"1456"</f>
        <v>1456</v>
      </c>
      <c r="B6346" t="s">
        <v>6699</v>
      </c>
      <c r="C6346" t="s">
        <v>263</v>
      </c>
      <c r="D6346" s="21" t="s">
        <v>34</v>
      </c>
      <c r="E6346" s="21" t="s">
        <v>71</v>
      </c>
      <c r="F6346">
        <v>9140054</v>
      </c>
      <c r="G6346" t="s">
        <v>3300</v>
      </c>
      <c r="H6346" s="21">
        <v>1130.17</v>
      </c>
    </row>
    <row r="6347" spans="1:8" customFormat="1" x14ac:dyDescent="0.25">
      <c r="A6347" t="str">
        <f>"39367"</f>
        <v>39367</v>
      </c>
      <c r="B6347" t="s">
        <v>6474</v>
      </c>
      <c r="C6347" t="s">
        <v>328</v>
      </c>
      <c r="D6347" s="21" t="s">
        <v>34</v>
      </c>
      <c r="E6347" s="21" t="s">
        <v>71</v>
      </c>
      <c r="F6347">
        <v>2390046</v>
      </c>
      <c r="G6347" t="s">
        <v>2140</v>
      </c>
      <c r="H6347" s="21">
        <v>1129.92</v>
      </c>
    </row>
    <row r="6348" spans="1:8" customFormat="1" x14ac:dyDescent="0.25">
      <c r="A6348" t="str">
        <f>"428817"</f>
        <v>428817</v>
      </c>
      <c r="B6348" t="s">
        <v>6457</v>
      </c>
      <c r="C6348" t="s">
        <v>98</v>
      </c>
      <c r="D6348" s="21" t="s">
        <v>34</v>
      </c>
      <c r="E6348" s="21" t="s">
        <v>35</v>
      </c>
      <c r="F6348">
        <v>1420110</v>
      </c>
      <c r="G6348" t="s">
        <v>3928</v>
      </c>
      <c r="H6348" s="21">
        <v>1129.8</v>
      </c>
    </row>
    <row r="6349" spans="1:8" customFormat="1" x14ac:dyDescent="0.25">
      <c r="A6349" t="str">
        <f>"8811757"</f>
        <v>8811757</v>
      </c>
      <c r="B6349" t="s">
        <v>5751</v>
      </c>
      <c r="C6349" t="s">
        <v>1841</v>
      </c>
      <c r="D6349" s="21" t="s">
        <v>34</v>
      </c>
      <c r="E6349" s="21" t="s">
        <v>35</v>
      </c>
      <c r="F6349">
        <v>6880145</v>
      </c>
      <c r="G6349" t="s">
        <v>1303</v>
      </c>
      <c r="H6349" s="21">
        <v>1129.79</v>
      </c>
    </row>
    <row r="6350" spans="1:8" customFormat="1" x14ac:dyDescent="0.25">
      <c r="A6350" t="str">
        <f>"1713462"</f>
        <v>1713462</v>
      </c>
      <c r="B6350" t="s">
        <v>8380</v>
      </c>
      <c r="C6350" t="s">
        <v>204</v>
      </c>
      <c r="D6350" s="21" t="s">
        <v>34</v>
      </c>
      <c r="E6350" s="21" t="s">
        <v>35</v>
      </c>
      <c r="F6350">
        <v>10170218</v>
      </c>
      <c r="G6350" t="s">
        <v>8381</v>
      </c>
      <c r="H6350" s="21">
        <v>1129.67</v>
      </c>
    </row>
    <row r="6351" spans="1:8" customFormat="1" x14ac:dyDescent="0.25">
      <c r="A6351" t="str">
        <f>"767029"</f>
        <v>767029</v>
      </c>
      <c r="B6351" t="s">
        <v>6870</v>
      </c>
      <c r="C6351" t="s">
        <v>33</v>
      </c>
      <c r="D6351" s="21" t="s">
        <v>34</v>
      </c>
      <c r="E6351" s="21" t="s">
        <v>71</v>
      </c>
      <c r="F6351">
        <v>9760342</v>
      </c>
      <c r="G6351" t="s">
        <v>3619</v>
      </c>
      <c r="H6351" s="21">
        <v>1129.67</v>
      </c>
    </row>
    <row r="6352" spans="1:8" customFormat="1" x14ac:dyDescent="0.25">
      <c r="A6352" t="str">
        <f>"8515451"</f>
        <v>8515451</v>
      </c>
      <c r="B6352" t="s">
        <v>7072</v>
      </c>
      <c r="C6352" t="s">
        <v>305</v>
      </c>
      <c r="D6352" s="21" t="s">
        <v>34</v>
      </c>
      <c r="E6352" s="21" t="s">
        <v>35</v>
      </c>
      <c r="F6352">
        <v>12850021</v>
      </c>
      <c r="G6352" t="s">
        <v>4760</v>
      </c>
      <c r="H6352" s="21">
        <v>1129.67</v>
      </c>
    </row>
    <row r="6353" spans="1:8" customFormat="1" x14ac:dyDescent="0.25">
      <c r="A6353" t="str">
        <f>"183529"</f>
        <v>183529</v>
      </c>
      <c r="B6353" t="s">
        <v>6464</v>
      </c>
      <c r="C6353" t="s">
        <v>874</v>
      </c>
      <c r="D6353" s="21" t="s">
        <v>34</v>
      </c>
      <c r="E6353" s="21" t="s">
        <v>35</v>
      </c>
      <c r="F6353">
        <v>11660009</v>
      </c>
      <c r="G6353" t="s">
        <v>26624</v>
      </c>
      <c r="H6353" s="21">
        <v>1129.67</v>
      </c>
    </row>
    <row r="6354" spans="1:8" customFormat="1" x14ac:dyDescent="0.25">
      <c r="A6354" t="str">
        <f>"1422332"</f>
        <v>1422332</v>
      </c>
      <c r="B6354" t="s">
        <v>6532</v>
      </c>
      <c r="C6354" t="s">
        <v>87</v>
      </c>
      <c r="D6354" s="21" t="s">
        <v>34</v>
      </c>
      <c r="E6354" s="21" t="s">
        <v>71</v>
      </c>
      <c r="F6354">
        <v>9140071</v>
      </c>
      <c r="G6354" t="s">
        <v>1775</v>
      </c>
      <c r="H6354" s="21">
        <v>1129.67</v>
      </c>
    </row>
    <row r="6355" spans="1:8" customFormat="1" x14ac:dyDescent="0.25">
      <c r="A6355" t="str">
        <f>"69413"</f>
        <v>69413</v>
      </c>
      <c r="B6355" t="s">
        <v>7243</v>
      </c>
      <c r="C6355" t="s">
        <v>7244</v>
      </c>
      <c r="D6355" s="21" t="s">
        <v>34</v>
      </c>
      <c r="E6355" s="21" t="s">
        <v>254</v>
      </c>
      <c r="F6355">
        <v>1690147</v>
      </c>
      <c r="G6355" t="s">
        <v>7245</v>
      </c>
      <c r="H6355" s="21">
        <v>1129.67</v>
      </c>
    </row>
    <row r="6356" spans="1:8" customFormat="1" x14ac:dyDescent="0.25">
      <c r="A6356" t="str">
        <f>"493690"</f>
        <v>493690</v>
      </c>
      <c r="B6356" t="s">
        <v>6882</v>
      </c>
      <c r="C6356" t="s">
        <v>486</v>
      </c>
      <c r="D6356" s="21" t="s">
        <v>34</v>
      </c>
      <c r="E6356" s="21" t="s">
        <v>71</v>
      </c>
      <c r="F6356">
        <v>12490092</v>
      </c>
      <c r="G6356" t="s">
        <v>1854</v>
      </c>
      <c r="H6356" s="21">
        <v>1129.67</v>
      </c>
    </row>
    <row r="6357" spans="1:8" customFormat="1" x14ac:dyDescent="0.25">
      <c r="A6357" t="str">
        <f>"6213388"</f>
        <v>6213388</v>
      </c>
      <c r="B6357" t="s">
        <v>6847</v>
      </c>
      <c r="C6357" t="s">
        <v>206</v>
      </c>
      <c r="D6357" s="21" t="s">
        <v>34</v>
      </c>
      <c r="E6357" s="21" t="s">
        <v>35</v>
      </c>
      <c r="F6357">
        <v>7590413</v>
      </c>
      <c r="G6357" t="s">
        <v>6848</v>
      </c>
      <c r="H6357" s="21">
        <v>1129.67</v>
      </c>
    </row>
    <row r="6358" spans="1:8" customFormat="1" x14ac:dyDescent="0.25">
      <c r="A6358" t="str">
        <f>"4427162"</f>
        <v>4427162</v>
      </c>
      <c r="B6358" t="s">
        <v>6523</v>
      </c>
      <c r="C6358" t="s">
        <v>209</v>
      </c>
      <c r="D6358" s="21" t="s">
        <v>34</v>
      </c>
      <c r="E6358" s="21" t="s">
        <v>254</v>
      </c>
      <c r="F6358">
        <v>12440154</v>
      </c>
      <c r="G6358" t="s">
        <v>7124</v>
      </c>
      <c r="H6358" s="21">
        <v>1129.67</v>
      </c>
    </row>
    <row r="6359" spans="1:8" customFormat="1" x14ac:dyDescent="0.25">
      <c r="A6359" t="str">
        <f>"065010"</f>
        <v>065010</v>
      </c>
      <c r="B6359" t="s">
        <v>7502</v>
      </c>
      <c r="C6359" t="s">
        <v>40</v>
      </c>
      <c r="D6359" s="21" t="s">
        <v>34</v>
      </c>
      <c r="E6359" s="21" t="s">
        <v>71</v>
      </c>
      <c r="F6359">
        <v>10790235</v>
      </c>
      <c r="G6359" t="s">
        <v>413</v>
      </c>
      <c r="H6359" s="21">
        <v>1129.67</v>
      </c>
    </row>
    <row r="6360" spans="1:8" customFormat="1" x14ac:dyDescent="0.25">
      <c r="A6360" t="str">
        <f>"8511978"</f>
        <v>8511978</v>
      </c>
      <c r="B6360" t="s">
        <v>19610</v>
      </c>
      <c r="C6360" t="s">
        <v>462</v>
      </c>
      <c r="D6360" s="21" t="s">
        <v>34</v>
      </c>
      <c r="E6360" s="21" t="s">
        <v>71</v>
      </c>
      <c r="F6360">
        <v>12850072</v>
      </c>
      <c r="G6360" t="s">
        <v>7184</v>
      </c>
      <c r="H6360" s="21">
        <v>1129.67</v>
      </c>
    </row>
    <row r="6361" spans="1:8" customFormat="1" x14ac:dyDescent="0.25">
      <c r="A6361" t="str">
        <f>"4211455"</f>
        <v>4211455</v>
      </c>
      <c r="B6361" t="s">
        <v>5967</v>
      </c>
      <c r="C6361" t="s">
        <v>1782</v>
      </c>
      <c r="D6361" s="21" t="s">
        <v>34</v>
      </c>
      <c r="E6361" s="21" t="s">
        <v>35</v>
      </c>
      <c r="F6361">
        <v>1420163</v>
      </c>
      <c r="G6361" t="s">
        <v>2424</v>
      </c>
      <c r="H6361" s="21">
        <v>1129.67</v>
      </c>
    </row>
    <row r="6362" spans="1:8" customFormat="1" x14ac:dyDescent="0.25">
      <c r="A6362" t="str">
        <f>"4438372"</f>
        <v>4438372</v>
      </c>
      <c r="B6362" t="s">
        <v>2854</v>
      </c>
      <c r="C6362" t="s">
        <v>285</v>
      </c>
      <c r="D6362" s="21" t="s">
        <v>34</v>
      </c>
      <c r="E6362" s="21" t="s">
        <v>35</v>
      </c>
      <c r="F6362">
        <v>12440182</v>
      </c>
      <c r="G6362" t="s">
        <v>2915</v>
      </c>
      <c r="H6362" s="21">
        <v>1129.17</v>
      </c>
    </row>
    <row r="6363" spans="1:8" customFormat="1" x14ac:dyDescent="0.25">
      <c r="A6363" t="str">
        <f>"682235"</f>
        <v>682235</v>
      </c>
      <c r="B6363" t="s">
        <v>4369</v>
      </c>
      <c r="C6363" t="s">
        <v>1142</v>
      </c>
      <c r="D6363" s="21" t="s">
        <v>34</v>
      </c>
      <c r="E6363" s="21" t="s">
        <v>1089</v>
      </c>
      <c r="F6363">
        <v>6680006</v>
      </c>
      <c r="G6363" t="s">
        <v>5266</v>
      </c>
      <c r="H6363" s="21">
        <v>1129.17</v>
      </c>
    </row>
    <row r="6364" spans="1:8" customFormat="1" x14ac:dyDescent="0.25">
      <c r="A6364" t="str">
        <f>"7911702"</f>
        <v>7911702</v>
      </c>
      <c r="B6364" t="s">
        <v>11618</v>
      </c>
      <c r="C6364" t="s">
        <v>12109</v>
      </c>
      <c r="D6364" s="21" t="s">
        <v>34</v>
      </c>
      <c r="E6364" s="21" t="s">
        <v>35</v>
      </c>
      <c r="F6364">
        <v>10790043</v>
      </c>
      <c r="G6364" t="s">
        <v>2828</v>
      </c>
      <c r="H6364" s="21">
        <v>1129.17</v>
      </c>
    </row>
    <row r="6365" spans="1:8" customFormat="1" x14ac:dyDescent="0.25">
      <c r="A6365" t="str">
        <f>"7711334"</f>
        <v>7711334</v>
      </c>
      <c r="B6365" t="s">
        <v>6563</v>
      </c>
      <c r="C6365" t="s">
        <v>415</v>
      </c>
      <c r="D6365" s="21" t="s">
        <v>34</v>
      </c>
      <c r="E6365" s="21" t="s">
        <v>71</v>
      </c>
      <c r="F6365">
        <v>8771427</v>
      </c>
      <c r="G6365" t="s">
        <v>6564</v>
      </c>
      <c r="H6365" s="21">
        <v>1129.17</v>
      </c>
    </row>
    <row r="6366" spans="1:8" customFormat="1" x14ac:dyDescent="0.25">
      <c r="A6366" t="str">
        <f>"4415456"</f>
        <v>4415456</v>
      </c>
      <c r="B6366" t="s">
        <v>6484</v>
      </c>
      <c r="C6366" t="s">
        <v>246</v>
      </c>
      <c r="D6366" s="21" t="s">
        <v>34</v>
      </c>
      <c r="E6366" s="21" t="s">
        <v>71</v>
      </c>
      <c r="F6366">
        <v>12440136</v>
      </c>
      <c r="G6366" t="s">
        <v>3271</v>
      </c>
      <c r="H6366" s="21">
        <v>1129.17</v>
      </c>
    </row>
    <row r="6367" spans="1:8" customFormat="1" x14ac:dyDescent="0.25">
      <c r="A6367" t="str">
        <f>"9525507"</f>
        <v>9525507</v>
      </c>
      <c r="B6367" t="s">
        <v>5940</v>
      </c>
      <c r="C6367" t="s">
        <v>598</v>
      </c>
      <c r="D6367" s="21" t="s">
        <v>34</v>
      </c>
      <c r="E6367" s="21" t="s">
        <v>71</v>
      </c>
      <c r="F6367">
        <v>8950083</v>
      </c>
      <c r="G6367" t="s">
        <v>405</v>
      </c>
      <c r="H6367" s="21">
        <v>1129.17</v>
      </c>
    </row>
    <row r="6368" spans="1:8" customFormat="1" x14ac:dyDescent="0.25">
      <c r="A6368" t="str">
        <f>"7717036"</f>
        <v>7717036</v>
      </c>
      <c r="B6368" t="s">
        <v>623</v>
      </c>
      <c r="C6368" t="s">
        <v>1220</v>
      </c>
      <c r="D6368" s="21" t="s">
        <v>34</v>
      </c>
      <c r="E6368" s="21" t="s">
        <v>35</v>
      </c>
      <c r="F6368">
        <v>8771446</v>
      </c>
      <c r="G6368" t="s">
        <v>830</v>
      </c>
      <c r="H6368" s="21">
        <v>1129.17</v>
      </c>
    </row>
    <row r="6369" spans="1:8" customFormat="1" x14ac:dyDescent="0.25">
      <c r="A6369" t="str">
        <f>"4429261"</f>
        <v>4429261</v>
      </c>
      <c r="B6369" t="s">
        <v>6646</v>
      </c>
      <c r="C6369" t="s">
        <v>233</v>
      </c>
      <c r="D6369" s="21" t="s">
        <v>34</v>
      </c>
      <c r="E6369" s="21" t="s">
        <v>71</v>
      </c>
      <c r="F6369">
        <v>12440023</v>
      </c>
      <c r="G6369" t="s">
        <v>3507</v>
      </c>
      <c r="H6369" s="21">
        <v>1128.92</v>
      </c>
    </row>
    <row r="6370" spans="1:8" customFormat="1" x14ac:dyDescent="0.25">
      <c r="A6370" t="str">
        <f>"2927387"</f>
        <v>2927387</v>
      </c>
      <c r="B6370" t="s">
        <v>10227</v>
      </c>
      <c r="C6370" t="s">
        <v>302</v>
      </c>
      <c r="D6370" s="21" t="s">
        <v>34</v>
      </c>
      <c r="E6370" s="21" t="s">
        <v>35</v>
      </c>
      <c r="F6370">
        <v>3290036</v>
      </c>
      <c r="G6370" t="s">
        <v>3903</v>
      </c>
      <c r="H6370" s="21">
        <v>1128.92</v>
      </c>
    </row>
    <row r="6371" spans="1:8" customFormat="1" x14ac:dyDescent="0.25">
      <c r="A6371" t="str">
        <f>"15862"</f>
        <v>15862</v>
      </c>
      <c r="B6371" t="s">
        <v>7484</v>
      </c>
      <c r="C6371" t="s">
        <v>2232</v>
      </c>
      <c r="D6371" s="21" t="s">
        <v>34</v>
      </c>
      <c r="E6371" s="21" t="s">
        <v>71</v>
      </c>
      <c r="F6371">
        <v>1150148</v>
      </c>
      <c r="G6371" t="s">
        <v>7485</v>
      </c>
      <c r="H6371" s="21">
        <v>1128.67</v>
      </c>
    </row>
    <row r="6372" spans="1:8" customFormat="1" x14ac:dyDescent="0.25">
      <c r="A6372" t="str">
        <f>"149212"</f>
        <v>149212</v>
      </c>
      <c r="B6372" t="s">
        <v>6191</v>
      </c>
      <c r="C6372" t="s">
        <v>169</v>
      </c>
      <c r="D6372" s="21" t="s">
        <v>34</v>
      </c>
      <c r="E6372" s="21" t="s">
        <v>35</v>
      </c>
      <c r="F6372">
        <v>9140185</v>
      </c>
      <c r="G6372" t="s">
        <v>1578</v>
      </c>
      <c r="H6372" s="21">
        <v>1128.67</v>
      </c>
    </row>
    <row r="6373" spans="1:8" customFormat="1" x14ac:dyDescent="0.25">
      <c r="A6373" t="str">
        <f>"8519340"</f>
        <v>8519340</v>
      </c>
      <c r="B6373" t="s">
        <v>1522</v>
      </c>
      <c r="C6373" t="s">
        <v>267</v>
      </c>
      <c r="D6373" s="21" t="s">
        <v>34</v>
      </c>
      <c r="E6373" s="21" t="s">
        <v>71</v>
      </c>
      <c r="F6373">
        <v>12850046</v>
      </c>
      <c r="G6373" t="s">
        <v>3136</v>
      </c>
      <c r="H6373" s="21">
        <v>1128.67</v>
      </c>
    </row>
    <row r="6374" spans="1:8" customFormat="1" x14ac:dyDescent="0.25">
      <c r="A6374" t="str">
        <f>"275822"</f>
        <v>275822</v>
      </c>
      <c r="B6374" t="s">
        <v>7862</v>
      </c>
      <c r="C6374" t="s">
        <v>249</v>
      </c>
      <c r="D6374" s="21" t="s">
        <v>34</v>
      </c>
      <c r="E6374" s="21" t="s">
        <v>254</v>
      </c>
      <c r="F6374">
        <v>9270021</v>
      </c>
      <c r="G6374" t="s">
        <v>4934</v>
      </c>
      <c r="H6374" s="21">
        <v>1128.67</v>
      </c>
    </row>
    <row r="6375" spans="1:8" customFormat="1" x14ac:dyDescent="0.25">
      <c r="A6375" t="str">
        <f>"442741"</f>
        <v>442741</v>
      </c>
      <c r="B6375" t="s">
        <v>6806</v>
      </c>
      <c r="C6375" t="s">
        <v>121</v>
      </c>
      <c r="D6375" s="21" t="s">
        <v>34</v>
      </c>
      <c r="E6375" s="21" t="s">
        <v>35</v>
      </c>
      <c r="F6375">
        <v>12440087</v>
      </c>
      <c r="G6375" t="s">
        <v>1860</v>
      </c>
      <c r="H6375" s="21">
        <v>1128.67</v>
      </c>
    </row>
    <row r="6376" spans="1:8" customFormat="1" x14ac:dyDescent="0.25">
      <c r="A6376" t="str">
        <f>"2712589"</f>
        <v>2712589</v>
      </c>
      <c r="B6376" t="s">
        <v>6635</v>
      </c>
      <c r="C6376" t="s">
        <v>62</v>
      </c>
      <c r="D6376" s="21" t="s">
        <v>34</v>
      </c>
      <c r="E6376" s="21" t="s">
        <v>35</v>
      </c>
      <c r="F6376">
        <v>9270136</v>
      </c>
      <c r="G6376" t="s">
        <v>5896</v>
      </c>
      <c r="H6376" s="21">
        <v>1128.67</v>
      </c>
    </row>
    <row r="6377" spans="1:8" customFormat="1" x14ac:dyDescent="0.25">
      <c r="A6377" t="str">
        <f>"404354"</f>
        <v>404354</v>
      </c>
      <c r="B6377" t="s">
        <v>8311</v>
      </c>
      <c r="C6377" t="s">
        <v>156</v>
      </c>
      <c r="D6377" s="21" t="s">
        <v>34</v>
      </c>
      <c r="E6377" s="21" t="s">
        <v>71</v>
      </c>
      <c r="F6377">
        <v>10400025</v>
      </c>
      <c r="G6377" t="s">
        <v>5655</v>
      </c>
      <c r="H6377" s="21">
        <v>1128.67</v>
      </c>
    </row>
    <row r="6378" spans="1:8" customFormat="1" x14ac:dyDescent="0.25">
      <c r="A6378" t="str">
        <f>"5927015"</f>
        <v>5927015</v>
      </c>
      <c r="B6378" t="s">
        <v>2389</v>
      </c>
      <c r="C6378" t="s">
        <v>1132</v>
      </c>
      <c r="D6378" s="21" t="s">
        <v>34</v>
      </c>
      <c r="E6378" s="21" t="s">
        <v>35</v>
      </c>
      <c r="F6378">
        <v>7590065</v>
      </c>
      <c r="G6378" t="s">
        <v>1598</v>
      </c>
      <c r="H6378" s="21">
        <v>1128.67</v>
      </c>
    </row>
    <row r="6379" spans="1:8" customFormat="1" x14ac:dyDescent="0.25">
      <c r="A6379" t="str">
        <f>"585444"</f>
        <v>585444</v>
      </c>
      <c r="B6379" t="s">
        <v>26934</v>
      </c>
      <c r="C6379" t="s">
        <v>87</v>
      </c>
      <c r="D6379" s="21" t="s">
        <v>34</v>
      </c>
      <c r="E6379" s="21" t="s">
        <v>35</v>
      </c>
      <c r="F6379">
        <v>2580010</v>
      </c>
      <c r="G6379" t="s">
        <v>1965</v>
      </c>
      <c r="H6379" s="21">
        <v>1128.67</v>
      </c>
    </row>
    <row r="6380" spans="1:8" customFormat="1" x14ac:dyDescent="0.25">
      <c r="A6380" t="str">
        <f>"82558"</f>
        <v>82558</v>
      </c>
      <c r="B6380" t="s">
        <v>26935</v>
      </c>
      <c r="C6380" t="s">
        <v>65</v>
      </c>
      <c r="D6380" s="21" t="s">
        <v>34</v>
      </c>
      <c r="E6380" s="21" t="s">
        <v>35</v>
      </c>
      <c r="F6380">
        <v>11820011</v>
      </c>
      <c r="G6380" t="s">
        <v>2611</v>
      </c>
      <c r="H6380" s="21">
        <v>1128.67</v>
      </c>
    </row>
    <row r="6381" spans="1:8" customFormat="1" x14ac:dyDescent="0.25">
      <c r="A6381" t="str">
        <f>"592509"</f>
        <v>592509</v>
      </c>
      <c r="B6381" t="s">
        <v>7971</v>
      </c>
      <c r="C6381" t="s">
        <v>1354</v>
      </c>
      <c r="D6381" s="21" t="s">
        <v>34</v>
      </c>
      <c r="E6381" s="21" t="s">
        <v>35</v>
      </c>
      <c r="F6381">
        <v>7620049</v>
      </c>
      <c r="G6381" t="s">
        <v>1176</v>
      </c>
      <c r="H6381" s="21">
        <v>1128.67</v>
      </c>
    </row>
    <row r="6382" spans="1:8" customFormat="1" x14ac:dyDescent="0.25">
      <c r="A6382" t="str">
        <f>"1416262"</f>
        <v>1416262</v>
      </c>
      <c r="B6382" t="s">
        <v>6320</v>
      </c>
      <c r="C6382" t="s">
        <v>62</v>
      </c>
      <c r="D6382" s="21" t="s">
        <v>34</v>
      </c>
      <c r="E6382" s="21" t="s">
        <v>35</v>
      </c>
      <c r="F6382">
        <v>12440142</v>
      </c>
      <c r="G6382" t="s">
        <v>3285</v>
      </c>
      <c r="H6382" s="21">
        <v>1128.55</v>
      </c>
    </row>
    <row r="6383" spans="1:8" customFormat="1" x14ac:dyDescent="0.25">
      <c r="A6383" t="str">
        <f>"779409"</f>
        <v>779409</v>
      </c>
      <c r="B6383" t="s">
        <v>6489</v>
      </c>
      <c r="C6383" t="s">
        <v>119</v>
      </c>
      <c r="D6383" s="21" t="s">
        <v>34</v>
      </c>
      <c r="E6383" s="21" t="s">
        <v>71</v>
      </c>
      <c r="F6383">
        <v>8771154</v>
      </c>
      <c r="G6383" t="s">
        <v>3625</v>
      </c>
      <c r="H6383" s="21">
        <v>1128.17</v>
      </c>
    </row>
    <row r="6384" spans="1:8" customFormat="1" x14ac:dyDescent="0.25">
      <c r="A6384" t="str">
        <f>"3530276"</f>
        <v>3530276</v>
      </c>
      <c r="B6384" t="s">
        <v>3930</v>
      </c>
      <c r="C6384" t="s">
        <v>1539</v>
      </c>
      <c r="D6384" s="21" t="s">
        <v>34</v>
      </c>
      <c r="E6384" s="21" t="s">
        <v>71</v>
      </c>
      <c r="F6384">
        <v>3350048</v>
      </c>
      <c r="G6384" t="s">
        <v>2303</v>
      </c>
      <c r="H6384" s="21">
        <v>1128.17</v>
      </c>
    </row>
    <row r="6385" spans="1:8" customFormat="1" x14ac:dyDescent="0.25">
      <c r="A6385" t="str">
        <f>"7626143"</f>
        <v>7626143</v>
      </c>
      <c r="B6385" t="s">
        <v>8292</v>
      </c>
      <c r="C6385" t="s">
        <v>65</v>
      </c>
      <c r="D6385" s="21" t="s">
        <v>34</v>
      </c>
      <c r="E6385" s="21" t="s">
        <v>35</v>
      </c>
      <c r="F6385">
        <v>9760382</v>
      </c>
      <c r="G6385" t="s">
        <v>2737</v>
      </c>
      <c r="H6385" s="21">
        <v>1128.17</v>
      </c>
    </row>
    <row r="6386" spans="1:8" customFormat="1" x14ac:dyDescent="0.25">
      <c r="A6386" t="str">
        <f>"358855"</f>
        <v>358855</v>
      </c>
      <c r="B6386" t="s">
        <v>1081</v>
      </c>
      <c r="C6386" t="s">
        <v>109</v>
      </c>
      <c r="D6386" s="21" t="s">
        <v>34</v>
      </c>
      <c r="E6386" s="21" t="s">
        <v>35</v>
      </c>
      <c r="F6386">
        <v>3350011</v>
      </c>
      <c r="G6386" t="s">
        <v>2404</v>
      </c>
      <c r="H6386" s="21">
        <v>1128.17</v>
      </c>
    </row>
    <row r="6387" spans="1:8" customFormat="1" x14ac:dyDescent="0.25">
      <c r="A6387" t="str">
        <f>"761538"</f>
        <v>761538</v>
      </c>
      <c r="B6387" t="s">
        <v>8339</v>
      </c>
      <c r="C6387" t="s">
        <v>55</v>
      </c>
      <c r="D6387" s="21" t="s">
        <v>34</v>
      </c>
      <c r="E6387" s="21" t="s">
        <v>254</v>
      </c>
      <c r="F6387">
        <v>9760018</v>
      </c>
      <c r="G6387" t="s">
        <v>117</v>
      </c>
      <c r="H6387" s="21">
        <v>1128.17</v>
      </c>
    </row>
    <row r="6388" spans="1:8" customFormat="1" x14ac:dyDescent="0.25">
      <c r="A6388" t="str">
        <f>"622692"</f>
        <v>622692</v>
      </c>
      <c r="B6388" t="s">
        <v>8356</v>
      </c>
      <c r="C6388" t="s">
        <v>253</v>
      </c>
      <c r="D6388" s="21" t="s">
        <v>34</v>
      </c>
      <c r="E6388" s="21" t="s">
        <v>254</v>
      </c>
      <c r="F6388">
        <v>7620016</v>
      </c>
      <c r="G6388" t="s">
        <v>6850</v>
      </c>
      <c r="H6388" s="21">
        <v>1128.17</v>
      </c>
    </row>
    <row r="6389" spans="1:8" customFormat="1" x14ac:dyDescent="0.25">
      <c r="A6389" t="str">
        <f>"3717807"</f>
        <v>3717807</v>
      </c>
      <c r="B6389" t="s">
        <v>651</v>
      </c>
      <c r="C6389" t="s">
        <v>5778</v>
      </c>
      <c r="D6389" s="21" t="s">
        <v>34</v>
      </c>
      <c r="E6389" s="21" t="s">
        <v>35</v>
      </c>
      <c r="F6389">
        <v>4370024</v>
      </c>
      <c r="G6389" t="s">
        <v>1718</v>
      </c>
      <c r="H6389" s="21">
        <v>1128.17</v>
      </c>
    </row>
    <row r="6390" spans="1:8" customFormat="1" x14ac:dyDescent="0.25">
      <c r="A6390" t="str">
        <f>"877713"</f>
        <v>877713</v>
      </c>
      <c r="B6390" t="s">
        <v>7595</v>
      </c>
      <c r="C6390" t="s">
        <v>1299</v>
      </c>
      <c r="D6390" s="21" t="s">
        <v>34</v>
      </c>
      <c r="E6390" s="21" t="s">
        <v>35</v>
      </c>
      <c r="F6390">
        <v>10870003</v>
      </c>
      <c r="G6390" t="s">
        <v>1187</v>
      </c>
      <c r="H6390" s="21">
        <v>1128.17</v>
      </c>
    </row>
    <row r="6391" spans="1:8" customFormat="1" x14ac:dyDescent="0.25">
      <c r="A6391" t="str">
        <f>"522415"</f>
        <v>522415</v>
      </c>
      <c r="B6391" t="s">
        <v>7725</v>
      </c>
      <c r="C6391" t="s">
        <v>305</v>
      </c>
      <c r="D6391" s="21" t="s">
        <v>34</v>
      </c>
      <c r="E6391" s="21" t="s">
        <v>35</v>
      </c>
      <c r="F6391">
        <v>6520003</v>
      </c>
      <c r="G6391" t="s">
        <v>571</v>
      </c>
      <c r="H6391" s="21">
        <v>1128.17</v>
      </c>
    </row>
    <row r="6392" spans="1:8" customFormat="1" x14ac:dyDescent="0.25">
      <c r="A6392" t="str">
        <f>"275412"</f>
        <v>275412</v>
      </c>
      <c r="B6392" t="s">
        <v>3848</v>
      </c>
      <c r="C6392" t="s">
        <v>147</v>
      </c>
      <c r="D6392" s="21" t="s">
        <v>34</v>
      </c>
      <c r="E6392" s="21" t="s">
        <v>35</v>
      </c>
      <c r="F6392">
        <v>9270095</v>
      </c>
      <c r="G6392" t="s">
        <v>1681</v>
      </c>
      <c r="H6392" s="21">
        <v>1128.17</v>
      </c>
    </row>
    <row r="6393" spans="1:8" customFormat="1" x14ac:dyDescent="0.25">
      <c r="A6393" t="str">
        <f>"5316891"</f>
        <v>5316891</v>
      </c>
      <c r="B6393" t="s">
        <v>7218</v>
      </c>
      <c r="C6393" t="s">
        <v>462</v>
      </c>
      <c r="D6393" s="21" t="s">
        <v>34</v>
      </c>
      <c r="E6393" s="21" t="s">
        <v>71</v>
      </c>
      <c r="F6393">
        <v>12530058</v>
      </c>
      <c r="G6393" t="s">
        <v>3128</v>
      </c>
      <c r="H6393" s="21">
        <v>1128.17</v>
      </c>
    </row>
    <row r="6394" spans="1:8" customFormat="1" x14ac:dyDescent="0.25">
      <c r="A6394" t="str">
        <f>"23821"</f>
        <v>23821</v>
      </c>
      <c r="B6394" t="s">
        <v>5754</v>
      </c>
      <c r="C6394" t="s">
        <v>3048</v>
      </c>
      <c r="D6394" s="21" t="s">
        <v>34</v>
      </c>
      <c r="E6394" s="21" t="s">
        <v>35</v>
      </c>
      <c r="F6394">
        <v>10230111</v>
      </c>
      <c r="G6394" t="s">
        <v>1980</v>
      </c>
      <c r="H6394" s="21">
        <v>1128.17</v>
      </c>
    </row>
    <row r="6395" spans="1:8" customFormat="1" x14ac:dyDescent="0.25">
      <c r="A6395" t="str">
        <f>"8510815"</f>
        <v>8510815</v>
      </c>
      <c r="B6395" t="s">
        <v>8759</v>
      </c>
      <c r="C6395" t="s">
        <v>204</v>
      </c>
      <c r="D6395" s="21" t="s">
        <v>34</v>
      </c>
      <c r="E6395" s="21" t="s">
        <v>71</v>
      </c>
      <c r="F6395">
        <v>12850032</v>
      </c>
      <c r="G6395" t="s">
        <v>6589</v>
      </c>
      <c r="H6395" s="21">
        <v>1128.17</v>
      </c>
    </row>
    <row r="6396" spans="1:8" customFormat="1" x14ac:dyDescent="0.25">
      <c r="A6396" t="str">
        <f>"787543"</f>
        <v>787543</v>
      </c>
      <c r="B6396" t="s">
        <v>6960</v>
      </c>
      <c r="C6396" t="s">
        <v>269</v>
      </c>
      <c r="D6396" s="21" t="s">
        <v>34</v>
      </c>
      <c r="E6396" s="21" t="s">
        <v>71</v>
      </c>
      <c r="F6396">
        <v>8780905</v>
      </c>
      <c r="G6396" t="s">
        <v>1267</v>
      </c>
      <c r="H6396" s="21">
        <v>1128.05</v>
      </c>
    </row>
    <row r="6397" spans="1:8" customFormat="1" x14ac:dyDescent="0.25">
      <c r="A6397" t="str">
        <f>"4514321"</f>
        <v>4514321</v>
      </c>
      <c r="B6397" t="s">
        <v>6643</v>
      </c>
      <c r="C6397" t="s">
        <v>151</v>
      </c>
      <c r="D6397" s="21" t="s">
        <v>34</v>
      </c>
      <c r="E6397" s="21" t="s">
        <v>35</v>
      </c>
      <c r="F6397">
        <v>4450192</v>
      </c>
      <c r="G6397" t="s">
        <v>2411</v>
      </c>
      <c r="H6397" s="21">
        <v>1128.04</v>
      </c>
    </row>
    <row r="6398" spans="1:8" customFormat="1" x14ac:dyDescent="0.25">
      <c r="A6398" t="str">
        <f>"2720271"</f>
        <v>2720271</v>
      </c>
      <c r="B6398" t="s">
        <v>9456</v>
      </c>
      <c r="C6398" t="s">
        <v>65</v>
      </c>
      <c r="D6398" s="21" t="s">
        <v>34</v>
      </c>
      <c r="E6398" s="21" t="s">
        <v>35</v>
      </c>
      <c r="F6398">
        <v>9270126</v>
      </c>
      <c r="G6398" t="s">
        <v>7569</v>
      </c>
      <c r="H6398" s="21">
        <v>1128.04</v>
      </c>
    </row>
    <row r="6399" spans="1:8" customFormat="1" x14ac:dyDescent="0.25">
      <c r="A6399" t="str">
        <f>"9119242"</f>
        <v>9119242</v>
      </c>
      <c r="B6399" t="s">
        <v>7908</v>
      </c>
      <c r="C6399" t="s">
        <v>263</v>
      </c>
      <c r="D6399" s="21" t="s">
        <v>34</v>
      </c>
      <c r="E6399" s="21" t="s">
        <v>71</v>
      </c>
      <c r="F6399">
        <v>8910881</v>
      </c>
      <c r="G6399" t="s">
        <v>1300</v>
      </c>
      <c r="H6399" s="21">
        <v>1127.68</v>
      </c>
    </row>
    <row r="6400" spans="1:8" customFormat="1" x14ac:dyDescent="0.25">
      <c r="A6400" t="str">
        <f>"245640"</f>
        <v>245640</v>
      </c>
      <c r="B6400" t="s">
        <v>6538</v>
      </c>
      <c r="C6400" t="s">
        <v>2276</v>
      </c>
      <c r="D6400" s="21" t="s">
        <v>34</v>
      </c>
      <c r="E6400" s="21" t="s">
        <v>71</v>
      </c>
      <c r="F6400">
        <v>10240024</v>
      </c>
      <c r="G6400" t="s">
        <v>6539</v>
      </c>
      <c r="H6400" s="21">
        <v>1127.67</v>
      </c>
    </row>
    <row r="6401" spans="1:8" customFormat="1" x14ac:dyDescent="0.25">
      <c r="A6401" t="str">
        <f>"0112540"</f>
        <v>0112540</v>
      </c>
      <c r="B6401" t="s">
        <v>6501</v>
      </c>
      <c r="C6401" t="s">
        <v>328</v>
      </c>
      <c r="D6401" s="21" t="s">
        <v>34</v>
      </c>
      <c r="E6401" s="21" t="s">
        <v>35</v>
      </c>
      <c r="F6401">
        <v>1010017</v>
      </c>
      <c r="G6401" t="s">
        <v>6502</v>
      </c>
      <c r="H6401" s="21">
        <v>1127.67</v>
      </c>
    </row>
    <row r="6402" spans="1:8" customFormat="1" x14ac:dyDescent="0.25">
      <c r="A6402" t="str">
        <f>"682474"</f>
        <v>682474</v>
      </c>
      <c r="B6402" t="s">
        <v>679</v>
      </c>
      <c r="C6402" t="s">
        <v>253</v>
      </c>
      <c r="D6402" s="21" t="s">
        <v>34</v>
      </c>
      <c r="E6402" s="21" t="s">
        <v>71</v>
      </c>
      <c r="F6402">
        <v>6680105</v>
      </c>
      <c r="G6402" t="s">
        <v>403</v>
      </c>
      <c r="H6402" s="21">
        <v>1127.67</v>
      </c>
    </row>
    <row r="6403" spans="1:8" customFormat="1" x14ac:dyDescent="0.25">
      <c r="A6403" t="str">
        <f>"843653"</f>
        <v>843653</v>
      </c>
      <c r="B6403" t="s">
        <v>1462</v>
      </c>
      <c r="C6403" t="s">
        <v>174</v>
      </c>
      <c r="D6403" s="21" t="s">
        <v>34</v>
      </c>
      <c r="E6403" s="21" t="s">
        <v>35</v>
      </c>
      <c r="F6403">
        <v>1260026</v>
      </c>
      <c r="G6403" t="s">
        <v>516</v>
      </c>
      <c r="H6403" s="21">
        <v>1127.67</v>
      </c>
    </row>
    <row r="6404" spans="1:8" customFormat="1" x14ac:dyDescent="0.25">
      <c r="A6404" t="str">
        <f>"9725994"</f>
        <v>9725994</v>
      </c>
      <c r="B6404" t="s">
        <v>7486</v>
      </c>
      <c r="C6404" t="s">
        <v>269</v>
      </c>
      <c r="D6404" s="21" t="s">
        <v>34</v>
      </c>
      <c r="E6404" s="21" t="s">
        <v>71</v>
      </c>
      <c r="F6404" t="s">
        <v>2462</v>
      </c>
      <c r="G6404" t="s">
        <v>2463</v>
      </c>
      <c r="H6404" s="21">
        <v>1127.67</v>
      </c>
    </row>
    <row r="6405" spans="1:8" customFormat="1" x14ac:dyDescent="0.25">
      <c r="A6405" t="str">
        <f>"606246"</f>
        <v>606246</v>
      </c>
      <c r="B6405" t="s">
        <v>67</v>
      </c>
      <c r="C6405" t="s">
        <v>2072</v>
      </c>
      <c r="D6405" s="21" t="s">
        <v>34</v>
      </c>
      <c r="E6405" s="21" t="s">
        <v>71</v>
      </c>
      <c r="F6405">
        <v>7800005</v>
      </c>
      <c r="G6405" t="s">
        <v>6547</v>
      </c>
      <c r="H6405" s="21">
        <v>1127.67</v>
      </c>
    </row>
    <row r="6406" spans="1:8" customFormat="1" x14ac:dyDescent="0.25">
      <c r="A6406" t="str">
        <f>"298475"</f>
        <v>298475</v>
      </c>
      <c r="B6406" t="s">
        <v>946</v>
      </c>
      <c r="C6406" t="s">
        <v>1782</v>
      </c>
      <c r="D6406" s="21" t="s">
        <v>34</v>
      </c>
      <c r="E6406" s="21" t="s">
        <v>35</v>
      </c>
      <c r="F6406">
        <v>11340033</v>
      </c>
      <c r="G6406" t="s">
        <v>433</v>
      </c>
      <c r="H6406" s="21">
        <v>1127.67</v>
      </c>
    </row>
    <row r="6407" spans="1:8" customFormat="1" x14ac:dyDescent="0.25">
      <c r="A6407" t="str">
        <f>"2922563"</f>
        <v>2922563</v>
      </c>
      <c r="B6407" t="s">
        <v>6862</v>
      </c>
      <c r="C6407" t="s">
        <v>40</v>
      </c>
      <c r="D6407" s="21" t="s">
        <v>34</v>
      </c>
      <c r="E6407" s="21" t="s">
        <v>71</v>
      </c>
      <c r="F6407">
        <v>3290047</v>
      </c>
      <c r="G6407" t="s">
        <v>2874</v>
      </c>
      <c r="H6407" s="21">
        <v>1127.42</v>
      </c>
    </row>
    <row r="6408" spans="1:8" customFormat="1" x14ac:dyDescent="0.25">
      <c r="A6408" t="str">
        <f>"5318762"</f>
        <v>5318762</v>
      </c>
      <c r="B6408" t="s">
        <v>26936</v>
      </c>
      <c r="C6408" t="s">
        <v>3115</v>
      </c>
      <c r="D6408" s="21" t="s">
        <v>34</v>
      </c>
      <c r="E6408" s="21" t="s">
        <v>35</v>
      </c>
      <c r="F6408">
        <v>12530042</v>
      </c>
      <c r="G6408" t="s">
        <v>4619</v>
      </c>
      <c r="H6408" s="21">
        <v>1127.42</v>
      </c>
    </row>
    <row r="6409" spans="1:8" customFormat="1" x14ac:dyDescent="0.25">
      <c r="A6409" t="str">
        <f>"8512629"</f>
        <v>8512629</v>
      </c>
      <c r="B6409" t="s">
        <v>9630</v>
      </c>
      <c r="C6409" t="s">
        <v>9631</v>
      </c>
      <c r="D6409" s="21" t="s">
        <v>34</v>
      </c>
      <c r="E6409" s="21" t="s">
        <v>35</v>
      </c>
      <c r="F6409">
        <v>12850165</v>
      </c>
      <c r="G6409" t="s">
        <v>9632</v>
      </c>
      <c r="H6409" s="21">
        <v>1127.29</v>
      </c>
    </row>
    <row r="6410" spans="1:8" customFormat="1" x14ac:dyDescent="0.25">
      <c r="A6410" t="str">
        <f>"5723488"</f>
        <v>5723488</v>
      </c>
      <c r="B6410" t="s">
        <v>6321</v>
      </c>
      <c r="C6410" t="s">
        <v>486</v>
      </c>
      <c r="D6410" s="21" t="s">
        <v>34</v>
      </c>
      <c r="E6410" s="21" t="s">
        <v>35</v>
      </c>
      <c r="F6410">
        <v>6570111</v>
      </c>
      <c r="G6410" t="s">
        <v>99</v>
      </c>
      <c r="H6410" s="21">
        <v>1127.17</v>
      </c>
    </row>
    <row r="6411" spans="1:8" customFormat="1" x14ac:dyDescent="0.25">
      <c r="A6411" t="str">
        <f>"593832"</f>
        <v>593832</v>
      </c>
      <c r="B6411" t="s">
        <v>6672</v>
      </c>
      <c r="C6411" t="s">
        <v>822</v>
      </c>
      <c r="D6411" s="21" t="s">
        <v>34</v>
      </c>
      <c r="E6411" s="21" t="s">
        <v>254</v>
      </c>
      <c r="F6411">
        <v>7590231</v>
      </c>
      <c r="G6411" t="s">
        <v>207</v>
      </c>
      <c r="H6411" s="21">
        <v>1127.17</v>
      </c>
    </row>
    <row r="6412" spans="1:8" customFormat="1" x14ac:dyDescent="0.25">
      <c r="A6412" t="str">
        <f>"278133"</f>
        <v>278133</v>
      </c>
      <c r="B6412" t="s">
        <v>6944</v>
      </c>
      <c r="C6412" t="s">
        <v>285</v>
      </c>
      <c r="D6412" s="21" t="s">
        <v>34</v>
      </c>
      <c r="E6412" s="21" t="s">
        <v>35</v>
      </c>
      <c r="F6412">
        <v>9270181</v>
      </c>
      <c r="G6412" t="s">
        <v>2952</v>
      </c>
      <c r="H6412" s="21">
        <v>1127.17</v>
      </c>
    </row>
    <row r="6413" spans="1:8" customFormat="1" x14ac:dyDescent="0.25">
      <c r="A6413" t="str">
        <f>"6020906"</f>
        <v>6020906</v>
      </c>
      <c r="B6413" t="s">
        <v>7962</v>
      </c>
      <c r="C6413" t="s">
        <v>233</v>
      </c>
      <c r="D6413" s="21" t="s">
        <v>34</v>
      </c>
      <c r="E6413" s="21" t="s">
        <v>35</v>
      </c>
      <c r="F6413">
        <v>7600070</v>
      </c>
      <c r="G6413" t="s">
        <v>542</v>
      </c>
      <c r="H6413" s="21">
        <v>1127.17</v>
      </c>
    </row>
    <row r="6414" spans="1:8" customFormat="1" x14ac:dyDescent="0.25">
      <c r="A6414" t="str">
        <f>"3519543"</f>
        <v>3519543</v>
      </c>
      <c r="B6414" t="s">
        <v>485</v>
      </c>
      <c r="C6414" t="s">
        <v>156</v>
      </c>
      <c r="D6414" s="21" t="s">
        <v>34</v>
      </c>
      <c r="E6414" s="21" t="s">
        <v>71</v>
      </c>
      <c r="F6414">
        <v>3350009</v>
      </c>
      <c r="G6414" t="s">
        <v>1823</v>
      </c>
      <c r="H6414" s="21">
        <v>1127.17</v>
      </c>
    </row>
    <row r="6415" spans="1:8" customFormat="1" x14ac:dyDescent="0.25">
      <c r="A6415" t="str">
        <f>"443990"</f>
        <v>443990</v>
      </c>
      <c r="B6415" t="s">
        <v>7021</v>
      </c>
      <c r="C6415" t="s">
        <v>209</v>
      </c>
      <c r="D6415" s="21" t="s">
        <v>34</v>
      </c>
      <c r="E6415" s="21" t="s">
        <v>71</v>
      </c>
      <c r="F6415">
        <v>12440084</v>
      </c>
      <c r="G6415" t="s">
        <v>1014</v>
      </c>
      <c r="H6415" s="21">
        <v>1127.17</v>
      </c>
    </row>
    <row r="6416" spans="1:8" customFormat="1" x14ac:dyDescent="0.25">
      <c r="A6416" t="str">
        <f>"898033"</f>
        <v>898033</v>
      </c>
      <c r="B6416" t="s">
        <v>8310</v>
      </c>
      <c r="C6416" t="s">
        <v>305</v>
      </c>
      <c r="D6416" s="21" t="s">
        <v>34</v>
      </c>
      <c r="E6416" s="21" t="s">
        <v>35</v>
      </c>
      <c r="F6416">
        <v>2890019</v>
      </c>
      <c r="G6416" t="s">
        <v>1857</v>
      </c>
      <c r="H6416" s="21">
        <v>1127.17</v>
      </c>
    </row>
    <row r="6417" spans="1:8" customFormat="1" x14ac:dyDescent="0.25">
      <c r="A6417" t="str">
        <f>"9522987"</f>
        <v>9522987</v>
      </c>
      <c r="B6417" t="s">
        <v>7035</v>
      </c>
      <c r="C6417" t="s">
        <v>127</v>
      </c>
      <c r="D6417" s="21" t="s">
        <v>34</v>
      </c>
      <c r="E6417" s="21" t="s">
        <v>35</v>
      </c>
      <c r="F6417">
        <v>1380290</v>
      </c>
      <c r="G6417" t="s">
        <v>619</v>
      </c>
      <c r="H6417" s="21">
        <v>1127.17</v>
      </c>
    </row>
    <row r="6418" spans="1:8" customFormat="1" x14ac:dyDescent="0.25">
      <c r="A6418" t="str">
        <f>"348319"</f>
        <v>348319</v>
      </c>
      <c r="B6418" t="s">
        <v>1263</v>
      </c>
      <c r="C6418" t="s">
        <v>87</v>
      </c>
      <c r="D6418" s="21" t="s">
        <v>34</v>
      </c>
      <c r="E6418" s="21" t="s">
        <v>71</v>
      </c>
      <c r="F6418">
        <v>9140007</v>
      </c>
      <c r="G6418" t="s">
        <v>434</v>
      </c>
      <c r="H6418" s="21">
        <v>1127.17</v>
      </c>
    </row>
    <row r="6419" spans="1:8" customFormat="1" x14ac:dyDescent="0.25">
      <c r="A6419" t="str">
        <f>"3531018"</f>
        <v>3531018</v>
      </c>
      <c r="B6419" t="s">
        <v>7922</v>
      </c>
      <c r="C6419" t="s">
        <v>7923</v>
      </c>
      <c r="D6419" s="21" t="s">
        <v>34</v>
      </c>
      <c r="E6419" s="21" t="s">
        <v>254</v>
      </c>
      <c r="F6419">
        <v>3560013</v>
      </c>
      <c r="G6419" t="s">
        <v>7924</v>
      </c>
      <c r="H6419" s="21">
        <v>1127.17</v>
      </c>
    </row>
    <row r="6420" spans="1:8" customFormat="1" x14ac:dyDescent="0.25">
      <c r="A6420" t="str">
        <f>"5313061"</f>
        <v>5313061</v>
      </c>
      <c r="B6420" t="s">
        <v>8193</v>
      </c>
      <c r="C6420" t="s">
        <v>8194</v>
      </c>
      <c r="D6420" s="21" t="s">
        <v>34</v>
      </c>
      <c r="E6420" s="21" t="s">
        <v>35</v>
      </c>
      <c r="F6420">
        <v>12530074</v>
      </c>
      <c r="G6420" t="s">
        <v>6425</v>
      </c>
      <c r="H6420" s="21">
        <v>1127.17</v>
      </c>
    </row>
    <row r="6421" spans="1:8" customFormat="1" x14ac:dyDescent="0.25">
      <c r="A6421" t="str">
        <f>"592510"</f>
        <v>592510</v>
      </c>
      <c r="B6421" t="s">
        <v>7039</v>
      </c>
      <c r="C6421" t="s">
        <v>109</v>
      </c>
      <c r="D6421" s="21" t="s">
        <v>34</v>
      </c>
      <c r="E6421" s="21" t="s">
        <v>35</v>
      </c>
      <c r="F6421">
        <v>7590313</v>
      </c>
      <c r="G6421" t="s">
        <v>5529</v>
      </c>
      <c r="H6421" s="21">
        <v>1126.92</v>
      </c>
    </row>
    <row r="6422" spans="1:8" customFormat="1" x14ac:dyDescent="0.25">
      <c r="A6422" t="str">
        <f>"0665"</f>
        <v>0665</v>
      </c>
      <c r="B6422" t="s">
        <v>6565</v>
      </c>
      <c r="C6422" t="s">
        <v>1054</v>
      </c>
      <c r="D6422" s="21" t="s">
        <v>34</v>
      </c>
      <c r="E6422" s="21" t="s">
        <v>1089</v>
      </c>
      <c r="F6422">
        <v>13060063</v>
      </c>
      <c r="G6422" t="s">
        <v>2001</v>
      </c>
      <c r="H6422" s="21">
        <v>1126.67</v>
      </c>
    </row>
    <row r="6423" spans="1:8" customFormat="1" x14ac:dyDescent="0.25">
      <c r="A6423" t="str">
        <f>"514447"</f>
        <v>514447</v>
      </c>
      <c r="B6423" t="s">
        <v>7363</v>
      </c>
      <c r="C6423" t="s">
        <v>7364</v>
      </c>
      <c r="D6423" s="21" t="s">
        <v>34</v>
      </c>
      <c r="E6423" s="21" t="s">
        <v>35</v>
      </c>
      <c r="F6423">
        <v>6510008</v>
      </c>
      <c r="G6423" t="s">
        <v>26622</v>
      </c>
      <c r="H6423" s="21">
        <v>1126.67</v>
      </c>
    </row>
    <row r="6424" spans="1:8" customFormat="1" x14ac:dyDescent="0.25">
      <c r="A6424" t="str">
        <f>"809894"</f>
        <v>809894</v>
      </c>
      <c r="B6424" t="s">
        <v>7779</v>
      </c>
      <c r="C6424" t="s">
        <v>82</v>
      </c>
      <c r="D6424" s="21" t="s">
        <v>34</v>
      </c>
      <c r="E6424" s="21" t="s">
        <v>35</v>
      </c>
      <c r="F6424">
        <v>7800102</v>
      </c>
      <c r="G6424" t="s">
        <v>1148</v>
      </c>
      <c r="H6424" s="21">
        <v>1126.67</v>
      </c>
    </row>
    <row r="6425" spans="1:8" customFormat="1" x14ac:dyDescent="0.25">
      <c r="A6425" t="str">
        <f>"5456"</f>
        <v>5456</v>
      </c>
      <c r="B6425" t="s">
        <v>503</v>
      </c>
      <c r="C6425" t="s">
        <v>1299</v>
      </c>
      <c r="D6425" s="21" t="s">
        <v>34</v>
      </c>
      <c r="E6425" s="21" t="s">
        <v>254</v>
      </c>
      <c r="F6425">
        <v>6540001</v>
      </c>
      <c r="G6425" t="s">
        <v>5886</v>
      </c>
      <c r="H6425" s="21">
        <v>1126.67</v>
      </c>
    </row>
    <row r="6426" spans="1:8" customFormat="1" x14ac:dyDescent="0.25">
      <c r="A6426" t="str">
        <f>"769638"</f>
        <v>769638</v>
      </c>
      <c r="B6426" t="s">
        <v>6908</v>
      </c>
      <c r="C6426" t="s">
        <v>60</v>
      </c>
      <c r="D6426" s="21" t="s">
        <v>34</v>
      </c>
      <c r="E6426" s="21" t="s">
        <v>35</v>
      </c>
      <c r="F6426">
        <v>9760014</v>
      </c>
      <c r="G6426" t="s">
        <v>1017</v>
      </c>
      <c r="H6426" s="21">
        <v>1126.67</v>
      </c>
    </row>
    <row r="6427" spans="1:8" customFormat="1" x14ac:dyDescent="0.25">
      <c r="A6427" t="str">
        <f>"49950"</f>
        <v>49950</v>
      </c>
      <c r="B6427" t="s">
        <v>4282</v>
      </c>
      <c r="C6427" t="s">
        <v>1110</v>
      </c>
      <c r="D6427" s="21" t="s">
        <v>34</v>
      </c>
      <c r="E6427" s="21" t="s">
        <v>254</v>
      </c>
      <c r="F6427">
        <v>12490040</v>
      </c>
      <c r="G6427" t="s">
        <v>94</v>
      </c>
      <c r="H6427" s="21">
        <v>1126.67</v>
      </c>
    </row>
    <row r="6428" spans="1:8" customFormat="1" x14ac:dyDescent="0.25">
      <c r="A6428" t="str">
        <f>"5312711"</f>
        <v>5312711</v>
      </c>
      <c r="B6428" t="s">
        <v>7161</v>
      </c>
      <c r="C6428" t="s">
        <v>484</v>
      </c>
      <c r="D6428" s="21" t="s">
        <v>34</v>
      </c>
      <c r="E6428" s="21" t="s">
        <v>35</v>
      </c>
      <c r="F6428">
        <v>12530016</v>
      </c>
      <c r="G6428" t="s">
        <v>2069</v>
      </c>
      <c r="H6428" s="21">
        <v>1126.67</v>
      </c>
    </row>
    <row r="6429" spans="1:8" customFormat="1" x14ac:dyDescent="0.25">
      <c r="A6429" t="str">
        <f>"2922501"</f>
        <v>2922501</v>
      </c>
      <c r="B6429" t="s">
        <v>6146</v>
      </c>
      <c r="C6429" t="s">
        <v>1539</v>
      </c>
      <c r="D6429" s="21" t="s">
        <v>34</v>
      </c>
      <c r="E6429" s="21" t="s">
        <v>71</v>
      </c>
      <c r="F6429">
        <v>9760129</v>
      </c>
      <c r="G6429" t="s">
        <v>6147</v>
      </c>
      <c r="H6429" s="21">
        <v>1126.67</v>
      </c>
    </row>
    <row r="6430" spans="1:8" customFormat="1" x14ac:dyDescent="0.25">
      <c r="A6430" t="str">
        <f>"5918407"</f>
        <v>5918407</v>
      </c>
      <c r="B6430" t="s">
        <v>5457</v>
      </c>
      <c r="C6430" t="s">
        <v>198</v>
      </c>
      <c r="D6430" s="21" t="s">
        <v>34</v>
      </c>
      <c r="E6430" s="21" t="s">
        <v>254</v>
      </c>
      <c r="F6430">
        <v>7620100</v>
      </c>
      <c r="G6430" t="s">
        <v>145</v>
      </c>
      <c r="H6430" s="21">
        <v>1126.67</v>
      </c>
    </row>
    <row r="6431" spans="1:8" customFormat="1" x14ac:dyDescent="0.25">
      <c r="A6431" t="str">
        <f>"6917453"</f>
        <v>6917453</v>
      </c>
      <c r="B6431" t="s">
        <v>6978</v>
      </c>
      <c r="C6431" t="s">
        <v>65</v>
      </c>
      <c r="D6431" s="21" t="s">
        <v>34</v>
      </c>
      <c r="E6431" s="21" t="s">
        <v>35</v>
      </c>
      <c r="F6431">
        <v>1690008</v>
      </c>
      <c r="G6431" t="s">
        <v>6276</v>
      </c>
      <c r="H6431" s="21">
        <v>1126.67</v>
      </c>
    </row>
    <row r="6432" spans="1:8" customFormat="1" x14ac:dyDescent="0.25">
      <c r="A6432" t="str">
        <f>"8517671"</f>
        <v>8517671</v>
      </c>
      <c r="B6432" t="s">
        <v>5846</v>
      </c>
      <c r="C6432" t="s">
        <v>33</v>
      </c>
      <c r="D6432" s="21" t="s">
        <v>34</v>
      </c>
      <c r="E6432" s="21" t="s">
        <v>71</v>
      </c>
      <c r="F6432">
        <v>12851011</v>
      </c>
      <c r="G6432" t="s">
        <v>1445</v>
      </c>
      <c r="H6432" s="21">
        <v>1126.55</v>
      </c>
    </row>
    <row r="6433" spans="1:8" customFormat="1" x14ac:dyDescent="0.25">
      <c r="A6433" t="str">
        <f>"898118"</f>
        <v>898118</v>
      </c>
      <c r="B6433" t="s">
        <v>3984</v>
      </c>
      <c r="C6433" t="s">
        <v>305</v>
      </c>
      <c r="D6433" s="21" t="s">
        <v>34</v>
      </c>
      <c r="E6433" s="21" t="s">
        <v>35</v>
      </c>
      <c r="F6433">
        <v>2890010</v>
      </c>
      <c r="G6433" t="s">
        <v>3790</v>
      </c>
      <c r="H6433" s="21">
        <v>1126.55</v>
      </c>
    </row>
    <row r="6434" spans="1:8" customFormat="1" x14ac:dyDescent="0.25">
      <c r="A6434" t="str">
        <f>"7614247"</f>
        <v>7614247</v>
      </c>
      <c r="B6434" t="s">
        <v>5872</v>
      </c>
      <c r="C6434" t="s">
        <v>249</v>
      </c>
      <c r="D6434" s="21" t="s">
        <v>34</v>
      </c>
      <c r="E6434" s="21" t="s">
        <v>71</v>
      </c>
      <c r="F6434">
        <v>9760416</v>
      </c>
      <c r="G6434" t="s">
        <v>4614</v>
      </c>
      <c r="H6434" s="21">
        <v>1126.3800000000001</v>
      </c>
    </row>
    <row r="6435" spans="1:8" customFormat="1" x14ac:dyDescent="0.25">
      <c r="A6435" t="str">
        <f>"085923"</f>
        <v>085923</v>
      </c>
      <c r="B6435" t="s">
        <v>7667</v>
      </c>
      <c r="C6435" t="s">
        <v>985</v>
      </c>
      <c r="D6435" s="21" t="s">
        <v>34</v>
      </c>
      <c r="E6435" s="21" t="s">
        <v>35</v>
      </c>
      <c r="F6435">
        <v>6080092</v>
      </c>
      <c r="G6435" t="s">
        <v>7668</v>
      </c>
      <c r="H6435" s="21">
        <v>1126.3</v>
      </c>
    </row>
    <row r="6436" spans="1:8" customFormat="1" x14ac:dyDescent="0.25">
      <c r="A6436" t="str">
        <f>"216120"</f>
        <v>216120</v>
      </c>
      <c r="B6436" t="s">
        <v>6981</v>
      </c>
      <c r="C6436" t="s">
        <v>263</v>
      </c>
      <c r="D6436" s="21" t="s">
        <v>34</v>
      </c>
      <c r="E6436" s="21" t="s">
        <v>71</v>
      </c>
      <c r="F6436">
        <v>2210052</v>
      </c>
      <c r="G6436" t="s">
        <v>1070</v>
      </c>
      <c r="H6436" s="21">
        <v>1126.17</v>
      </c>
    </row>
    <row r="6437" spans="1:8" customFormat="1" x14ac:dyDescent="0.25">
      <c r="A6437" t="str">
        <f>"285723"</f>
        <v>285723</v>
      </c>
      <c r="B6437" t="s">
        <v>6824</v>
      </c>
      <c r="C6437" t="s">
        <v>65</v>
      </c>
      <c r="D6437" s="21" t="s">
        <v>34</v>
      </c>
      <c r="E6437" s="21" t="s">
        <v>71</v>
      </c>
      <c r="F6437">
        <v>4280632</v>
      </c>
      <c r="G6437" t="s">
        <v>6825</v>
      </c>
      <c r="H6437" s="21">
        <v>1126.17</v>
      </c>
    </row>
    <row r="6438" spans="1:8" customFormat="1" x14ac:dyDescent="0.25">
      <c r="A6438" t="str">
        <f>"50851"</f>
        <v>50851</v>
      </c>
      <c r="B6438" t="s">
        <v>7004</v>
      </c>
      <c r="C6438" t="s">
        <v>253</v>
      </c>
      <c r="D6438" s="21" t="s">
        <v>34</v>
      </c>
      <c r="E6438" s="21" t="s">
        <v>254</v>
      </c>
      <c r="F6438">
        <v>9500117</v>
      </c>
      <c r="G6438" t="s">
        <v>247</v>
      </c>
      <c r="H6438" s="21">
        <v>1126.17</v>
      </c>
    </row>
    <row r="6439" spans="1:8" customFormat="1" x14ac:dyDescent="0.25">
      <c r="A6439" t="str">
        <f>"185819"</f>
        <v>185819</v>
      </c>
      <c r="B6439" t="s">
        <v>7005</v>
      </c>
      <c r="C6439" t="s">
        <v>712</v>
      </c>
      <c r="D6439" s="21" t="s">
        <v>34</v>
      </c>
      <c r="E6439" s="21" t="s">
        <v>71</v>
      </c>
      <c r="F6439">
        <v>4180530</v>
      </c>
      <c r="G6439" t="s">
        <v>3622</v>
      </c>
      <c r="H6439" s="21">
        <v>1126.17</v>
      </c>
    </row>
    <row r="6440" spans="1:8" customFormat="1" x14ac:dyDescent="0.25">
      <c r="A6440" t="str">
        <f>"287879"</f>
        <v>287879</v>
      </c>
      <c r="B6440" t="s">
        <v>1885</v>
      </c>
      <c r="C6440" t="s">
        <v>1887</v>
      </c>
      <c r="D6440" s="21" t="s">
        <v>34</v>
      </c>
      <c r="E6440" s="21" t="s">
        <v>35</v>
      </c>
      <c r="F6440">
        <v>4280049</v>
      </c>
      <c r="G6440" t="s">
        <v>7855</v>
      </c>
      <c r="H6440" s="21">
        <v>1126.17</v>
      </c>
    </row>
    <row r="6441" spans="1:8" customFormat="1" x14ac:dyDescent="0.25">
      <c r="A6441" t="str">
        <f>"7623946"</f>
        <v>7623946</v>
      </c>
      <c r="B6441" t="s">
        <v>6352</v>
      </c>
      <c r="C6441" t="s">
        <v>1665</v>
      </c>
      <c r="D6441" s="21" t="s">
        <v>34</v>
      </c>
      <c r="E6441" s="21" t="s">
        <v>71</v>
      </c>
      <c r="F6441">
        <v>9760272</v>
      </c>
      <c r="G6441" t="s">
        <v>5526</v>
      </c>
      <c r="H6441" s="21">
        <v>1126.17</v>
      </c>
    </row>
    <row r="6442" spans="1:8" customFormat="1" x14ac:dyDescent="0.25">
      <c r="A6442" t="str">
        <f>"491009"</f>
        <v>491009</v>
      </c>
      <c r="B6442" t="s">
        <v>6305</v>
      </c>
      <c r="C6442" t="s">
        <v>2529</v>
      </c>
      <c r="D6442" s="21" t="s">
        <v>34</v>
      </c>
      <c r="E6442" s="21" t="s">
        <v>254</v>
      </c>
      <c r="F6442">
        <v>12440142</v>
      </c>
      <c r="G6442" t="s">
        <v>3285</v>
      </c>
      <c r="H6442" s="21">
        <v>1126.17</v>
      </c>
    </row>
    <row r="6443" spans="1:8" customFormat="1" x14ac:dyDescent="0.25">
      <c r="A6443" t="str">
        <f>"8520162"</f>
        <v>8520162</v>
      </c>
      <c r="B6443" t="s">
        <v>6551</v>
      </c>
      <c r="C6443" t="s">
        <v>147</v>
      </c>
      <c r="D6443" s="21" t="s">
        <v>34</v>
      </c>
      <c r="E6443" s="21" t="s">
        <v>35</v>
      </c>
      <c r="F6443">
        <v>12850138</v>
      </c>
      <c r="G6443" t="s">
        <v>6879</v>
      </c>
      <c r="H6443" s="21">
        <v>1126.17</v>
      </c>
    </row>
    <row r="6444" spans="1:8" customFormat="1" x14ac:dyDescent="0.25">
      <c r="A6444" t="str">
        <f>"598967"</f>
        <v>598967</v>
      </c>
      <c r="B6444" t="s">
        <v>6868</v>
      </c>
      <c r="C6444" t="s">
        <v>576</v>
      </c>
      <c r="D6444" s="21" t="s">
        <v>34</v>
      </c>
      <c r="E6444" s="21" t="s">
        <v>35</v>
      </c>
      <c r="F6444">
        <v>7590044</v>
      </c>
      <c r="G6444" t="s">
        <v>2029</v>
      </c>
      <c r="H6444" s="21">
        <v>1126.17</v>
      </c>
    </row>
    <row r="6445" spans="1:8" customFormat="1" x14ac:dyDescent="0.25">
      <c r="A6445" t="str">
        <f>"953389"</f>
        <v>953389</v>
      </c>
      <c r="B6445" t="s">
        <v>5613</v>
      </c>
      <c r="C6445" t="s">
        <v>249</v>
      </c>
      <c r="D6445" s="21" t="s">
        <v>34</v>
      </c>
      <c r="E6445" s="21" t="s">
        <v>71</v>
      </c>
      <c r="F6445">
        <v>8950103</v>
      </c>
      <c r="G6445" t="s">
        <v>440</v>
      </c>
      <c r="H6445" s="21">
        <v>1126.05</v>
      </c>
    </row>
    <row r="6446" spans="1:8" customFormat="1" x14ac:dyDescent="0.25">
      <c r="A6446" t="str">
        <f>"876032"</f>
        <v>876032</v>
      </c>
      <c r="B6446" t="s">
        <v>7530</v>
      </c>
      <c r="C6446" t="s">
        <v>209</v>
      </c>
      <c r="D6446" s="21" t="s">
        <v>34</v>
      </c>
      <c r="E6446" s="21" t="s">
        <v>71</v>
      </c>
      <c r="F6446">
        <v>10870081</v>
      </c>
      <c r="G6446" t="s">
        <v>6698</v>
      </c>
      <c r="H6446" s="21">
        <v>1125.8</v>
      </c>
    </row>
    <row r="6447" spans="1:8" customFormat="1" x14ac:dyDescent="0.25">
      <c r="A6447" t="str">
        <f>"763188"</f>
        <v>763188</v>
      </c>
      <c r="B6447" t="s">
        <v>7438</v>
      </c>
      <c r="C6447" t="s">
        <v>65</v>
      </c>
      <c r="D6447" s="21" t="s">
        <v>34</v>
      </c>
      <c r="E6447" s="21" t="s">
        <v>71</v>
      </c>
      <c r="F6447">
        <v>9760107</v>
      </c>
      <c r="G6447" t="s">
        <v>122</v>
      </c>
      <c r="H6447" s="21">
        <v>1125.67</v>
      </c>
    </row>
    <row r="6448" spans="1:8" customFormat="1" x14ac:dyDescent="0.25">
      <c r="A6448" t="str">
        <f>"084186"</f>
        <v>084186</v>
      </c>
      <c r="B6448" t="s">
        <v>2416</v>
      </c>
      <c r="C6448" t="s">
        <v>114</v>
      </c>
      <c r="D6448" s="21" t="s">
        <v>34</v>
      </c>
      <c r="E6448" s="21" t="s">
        <v>254</v>
      </c>
      <c r="F6448">
        <v>6080006</v>
      </c>
      <c r="G6448" t="s">
        <v>4295</v>
      </c>
      <c r="H6448" s="21">
        <v>1125.67</v>
      </c>
    </row>
    <row r="6449" spans="1:8" customFormat="1" x14ac:dyDescent="0.25">
      <c r="A6449" t="str">
        <f>"3823495"</f>
        <v>3823495</v>
      </c>
      <c r="B6449" t="s">
        <v>7570</v>
      </c>
      <c r="C6449" t="s">
        <v>302</v>
      </c>
      <c r="D6449" s="21" t="s">
        <v>34</v>
      </c>
      <c r="E6449" s="21" t="s">
        <v>254</v>
      </c>
      <c r="F6449">
        <v>1380130</v>
      </c>
      <c r="G6449" t="s">
        <v>6667</v>
      </c>
      <c r="H6449" s="21">
        <v>1125.67</v>
      </c>
    </row>
    <row r="6450" spans="1:8" customFormat="1" x14ac:dyDescent="0.25">
      <c r="A6450" t="str">
        <f>"138782"</f>
        <v>138782</v>
      </c>
      <c r="B6450" t="s">
        <v>18936</v>
      </c>
      <c r="C6450" t="s">
        <v>43</v>
      </c>
      <c r="D6450" s="21" t="s">
        <v>34</v>
      </c>
      <c r="E6450" s="21" t="s">
        <v>35</v>
      </c>
      <c r="F6450">
        <v>13130124</v>
      </c>
      <c r="G6450" t="s">
        <v>5311</v>
      </c>
      <c r="H6450" s="21">
        <v>1125.67</v>
      </c>
    </row>
    <row r="6451" spans="1:8" customFormat="1" x14ac:dyDescent="0.25">
      <c r="A6451" t="str">
        <f>"305480"</f>
        <v>305480</v>
      </c>
      <c r="B6451" t="s">
        <v>7475</v>
      </c>
      <c r="C6451" t="s">
        <v>360</v>
      </c>
      <c r="D6451" s="21" t="s">
        <v>34</v>
      </c>
      <c r="E6451" s="21" t="s">
        <v>71</v>
      </c>
      <c r="F6451">
        <v>13040030</v>
      </c>
      <c r="G6451" t="s">
        <v>1903</v>
      </c>
      <c r="H6451" s="21">
        <v>1125.67</v>
      </c>
    </row>
    <row r="6452" spans="1:8" customFormat="1" x14ac:dyDescent="0.25">
      <c r="A6452" t="str">
        <f>"67554"</f>
        <v>67554</v>
      </c>
      <c r="B6452" t="s">
        <v>7696</v>
      </c>
      <c r="C6452" t="s">
        <v>62</v>
      </c>
      <c r="D6452" s="21" t="s">
        <v>34</v>
      </c>
      <c r="E6452" s="21" t="s">
        <v>35</v>
      </c>
      <c r="F6452">
        <v>6670045</v>
      </c>
      <c r="G6452" t="s">
        <v>707</v>
      </c>
      <c r="H6452" s="21">
        <v>1125.67</v>
      </c>
    </row>
    <row r="6453" spans="1:8" customFormat="1" x14ac:dyDescent="0.25">
      <c r="A6453" t="str">
        <f>"676843"</f>
        <v>676843</v>
      </c>
      <c r="B6453" t="s">
        <v>26937</v>
      </c>
      <c r="C6453" t="s">
        <v>484</v>
      </c>
      <c r="D6453" s="21" t="s">
        <v>34</v>
      </c>
      <c r="E6453" s="21" t="s">
        <v>71</v>
      </c>
      <c r="F6453">
        <v>6670203</v>
      </c>
      <c r="G6453" t="s">
        <v>2371</v>
      </c>
      <c r="H6453" s="21">
        <v>1125.67</v>
      </c>
    </row>
    <row r="6454" spans="1:8" customFormat="1" x14ac:dyDescent="0.25">
      <c r="A6454" t="str">
        <f>"9119196"</f>
        <v>9119196</v>
      </c>
      <c r="B6454" t="s">
        <v>2199</v>
      </c>
      <c r="C6454" t="s">
        <v>293</v>
      </c>
      <c r="D6454" s="21" t="s">
        <v>34</v>
      </c>
      <c r="E6454" s="21" t="s">
        <v>254</v>
      </c>
      <c r="F6454">
        <v>4450754</v>
      </c>
      <c r="G6454" t="s">
        <v>2695</v>
      </c>
      <c r="H6454" s="21">
        <v>1125.67</v>
      </c>
    </row>
    <row r="6455" spans="1:8" customFormat="1" x14ac:dyDescent="0.25">
      <c r="A6455" t="str">
        <f>"9416027"</f>
        <v>9416027</v>
      </c>
      <c r="B6455" t="s">
        <v>4770</v>
      </c>
      <c r="C6455" t="s">
        <v>328</v>
      </c>
      <c r="D6455" s="21" t="s">
        <v>34</v>
      </c>
      <c r="E6455" s="21" t="s">
        <v>71</v>
      </c>
      <c r="F6455">
        <v>8940033</v>
      </c>
      <c r="G6455" t="s">
        <v>1376</v>
      </c>
      <c r="H6455" s="21">
        <v>1125.42</v>
      </c>
    </row>
    <row r="6456" spans="1:8" customFormat="1" x14ac:dyDescent="0.25">
      <c r="A6456" t="str">
        <f>"3533790"</f>
        <v>3533790</v>
      </c>
      <c r="B6456" t="s">
        <v>8261</v>
      </c>
      <c r="C6456" t="s">
        <v>695</v>
      </c>
      <c r="D6456" s="21" t="s">
        <v>34</v>
      </c>
      <c r="E6456" s="21" t="s">
        <v>35</v>
      </c>
      <c r="F6456">
        <v>3350199</v>
      </c>
      <c r="G6456" t="s">
        <v>5603</v>
      </c>
      <c r="H6456" s="21">
        <v>1125.3</v>
      </c>
    </row>
    <row r="6457" spans="1:8" customFormat="1" x14ac:dyDescent="0.25">
      <c r="A6457" t="str">
        <f>"08131"</f>
        <v>08131</v>
      </c>
      <c r="B6457" t="s">
        <v>6290</v>
      </c>
      <c r="C6457" t="s">
        <v>879</v>
      </c>
      <c r="D6457" s="21" t="s">
        <v>34</v>
      </c>
      <c r="E6457" s="21" t="s">
        <v>1089</v>
      </c>
      <c r="F6457">
        <v>6080035</v>
      </c>
      <c r="G6457" t="s">
        <v>583</v>
      </c>
      <c r="H6457" s="21">
        <v>1125.17</v>
      </c>
    </row>
    <row r="6458" spans="1:8" customFormat="1" x14ac:dyDescent="0.25">
      <c r="A6458" t="str">
        <f>"493406"</f>
        <v>493406</v>
      </c>
      <c r="B6458" t="s">
        <v>4393</v>
      </c>
      <c r="C6458" t="s">
        <v>87</v>
      </c>
      <c r="D6458" s="21" t="s">
        <v>34</v>
      </c>
      <c r="E6458" s="21" t="s">
        <v>71</v>
      </c>
      <c r="F6458">
        <v>12490124</v>
      </c>
      <c r="G6458" t="s">
        <v>677</v>
      </c>
      <c r="H6458" s="21">
        <v>1125.17</v>
      </c>
    </row>
    <row r="6459" spans="1:8" customFormat="1" x14ac:dyDescent="0.25">
      <c r="A6459" t="str">
        <f>"189136"</f>
        <v>189136</v>
      </c>
      <c r="B6459" t="s">
        <v>11718</v>
      </c>
      <c r="C6459" t="s">
        <v>528</v>
      </c>
      <c r="D6459" s="21" t="s">
        <v>34</v>
      </c>
      <c r="E6459" s="21" t="s">
        <v>71</v>
      </c>
      <c r="F6459">
        <v>4180041</v>
      </c>
      <c r="G6459" t="s">
        <v>1740</v>
      </c>
      <c r="H6459" s="21">
        <v>1125.17</v>
      </c>
    </row>
    <row r="6460" spans="1:8" customFormat="1" x14ac:dyDescent="0.25">
      <c r="A6460" t="str">
        <f>"277187"</f>
        <v>277187</v>
      </c>
      <c r="B6460" t="s">
        <v>8830</v>
      </c>
      <c r="C6460" t="s">
        <v>209</v>
      </c>
      <c r="D6460" s="21" t="s">
        <v>34</v>
      </c>
      <c r="E6460" s="21" t="s">
        <v>71</v>
      </c>
      <c r="F6460">
        <v>9270156</v>
      </c>
      <c r="G6460" t="s">
        <v>3751</v>
      </c>
      <c r="H6460" s="21">
        <v>1125.17</v>
      </c>
    </row>
    <row r="6461" spans="1:8" customFormat="1" x14ac:dyDescent="0.25">
      <c r="A6461" t="str">
        <f>"881865"</f>
        <v>881865</v>
      </c>
      <c r="B6461" t="s">
        <v>7172</v>
      </c>
      <c r="C6461" t="s">
        <v>1588</v>
      </c>
      <c r="D6461" s="21" t="s">
        <v>34</v>
      </c>
      <c r="E6461" s="21" t="s">
        <v>71</v>
      </c>
      <c r="F6461">
        <v>6880110</v>
      </c>
      <c r="G6461" t="s">
        <v>4990</v>
      </c>
      <c r="H6461" s="21">
        <v>1125.17</v>
      </c>
    </row>
    <row r="6462" spans="1:8" customFormat="1" x14ac:dyDescent="0.25">
      <c r="A6462" t="str">
        <f>"7852386"</f>
        <v>7852386</v>
      </c>
      <c r="B6462" t="s">
        <v>8110</v>
      </c>
      <c r="C6462" t="s">
        <v>2276</v>
      </c>
      <c r="D6462" s="21" t="s">
        <v>34</v>
      </c>
      <c r="E6462" s="21" t="s">
        <v>71</v>
      </c>
      <c r="F6462">
        <v>8780128</v>
      </c>
      <c r="G6462" t="s">
        <v>4201</v>
      </c>
      <c r="H6462" s="21">
        <v>1125.17</v>
      </c>
    </row>
    <row r="6463" spans="1:8" customFormat="1" x14ac:dyDescent="0.25">
      <c r="A6463" t="str">
        <f>"539334"</f>
        <v>539334</v>
      </c>
      <c r="B6463" t="s">
        <v>7341</v>
      </c>
      <c r="C6463" t="s">
        <v>124</v>
      </c>
      <c r="D6463" s="21" t="s">
        <v>34</v>
      </c>
      <c r="E6463" s="21" t="s">
        <v>71</v>
      </c>
      <c r="F6463">
        <v>12530072</v>
      </c>
      <c r="G6463" t="s">
        <v>7342</v>
      </c>
      <c r="H6463" s="21">
        <v>1124.92</v>
      </c>
    </row>
    <row r="6464" spans="1:8" customFormat="1" x14ac:dyDescent="0.25">
      <c r="A6464" t="str">
        <f>"6022288"</f>
        <v>6022288</v>
      </c>
      <c r="B6464" t="s">
        <v>5131</v>
      </c>
      <c r="C6464" t="s">
        <v>62</v>
      </c>
      <c r="D6464" s="21" t="s">
        <v>34</v>
      </c>
      <c r="E6464" s="21" t="s">
        <v>35</v>
      </c>
      <c r="F6464">
        <v>7600046</v>
      </c>
      <c r="G6464" t="s">
        <v>2604</v>
      </c>
      <c r="H6464" s="21">
        <v>1124.8</v>
      </c>
    </row>
    <row r="6465" spans="1:8" customFormat="1" x14ac:dyDescent="0.25">
      <c r="A6465" t="str">
        <f>"138047"</f>
        <v>138047</v>
      </c>
      <c r="B6465" t="s">
        <v>5098</v>
      </c>
      <c r="C6465" t="s">
        <v>169</v>
      </c>
      <c r="D6465" s="21" t="s">
        <v>34</v>
      </c>
      <c r="E6465" s="21" t="s">
        <v>35</v>
      </c>
      <c r="F6465">
        <v>1690215</v>
      </c>
      <c r="G6465" t="s">
        <v>1080</v>
      </c>
      <c r="H6465" s="21">
        <v>1124.67</v>
      </c>
    </row>
    <row r="6466" spans="1:8" customFormat="1" x14ac:dyDescent="0.25">
      <c r="A6466" t="str">
        <f>"2510928"</f>
        <v>2510928</v>
      </c>
      <c r="B6466" t="s">
        <v>6603</v>
      </c>
      <c r="C6466" t="s">
        <v>169</v>
      </c>
      <c r="D6466" s="21" t="s">
        <v>34</v>
      </c>
      <c r="E6466" s="21" t="s">
        <v>35</v>
      </c>
      <c r="F6466">
        <v>2900041</v>
      </c>
      <c r="G6466" t="s">
        <v>4635</v>
      </c>
      <c r="H6466" s="21">
        <v>1124.67</v>
      </c>
    </row>
    <row r="6467" spans="1:8" customFormat="1" x14ac:dyDescent="0.25">
      <c r="A6467" t="str">
        <f>"033606"</f>
        <v>033606</v>
      </c>
      <c r="B6467" t="s">
        <v>3535</v>
      </c>
      <c r="C6467" t="s">
        <v>233</v>
      </c>
      <c r="D6467" s="21" t="s">
        <v>34</v>
      </c>
      <c r="E6467" s="21" t="s">
        <v>35</v>
      </c>
      <c r="F6467">
        <v>1630317</v>
      </c>
      <c r="G6467" t="s">
        <v>7523</v>
      </c>
      <c r="H6467" s="21">
        <v>1124.67</v>
      </c>
    </row>
    <row r="6468" spans="1:8" customFormat="1" x14ac:dyDescent="0.25">
      <c r="A6468" t="str">
        <f>"851107"</f>
        <v>851107</v>
      </c>
      <c r="B6468" t="s">
        <v>6719</v>
      </c>
      <c r="C6468" t="s">
        <v>7699</v>
      </c>
      <c r="D6468" s="21" t="s">
        <v>34</v>
      </c>
      <c r="E6468" s="21" t="s">
        <v>254</v>
      </c>
      <c r="F6468">
        <v>12850032</v>
      </c>
      <c r="G6468" t="s">
        <v>6589</v>
      </c>
      <c r="H6468" s="21">
        <v>1124.67</v>
      </c>
    </row>
    <row r="6469" spans="1:8" customFormat="1" x14ac:dyDescent="0.25">
      <c r="A6469" t="str">
        <f>"7625982"</f>
        <v>7625982</v>
      </c>
      <c r="B6469" t="s">
        <v>7745</v>
      </c>
      <c r="C6469" t="s">
        <v>415</v>
      </c>
      <c r="D6469" s="21" t="s">
        <v>34</v>
      </c>
      <c r="E6469" s="21" t="s">
        <v>1089</v>
      </c>
      <c r="F6469">
        <v>9760270</v>
      </c>
      <c r="G6469" t="s">
        <v>4167</v>
      </c>
      <c r="H6469" s="21">
        <v>1124.67</v>
      </c>
    </row>
    <row r="6470" spans="1:8" customFormat="1" x14ac:dyDescent="0.25">
      <c r="A6470" t="str">
        <f>"9448565"</f>
        <v>9448565</v>
      </c>
      <c r="B6470" t="s">
        <v>7533</v>
      </c>
      <c r="C6470" t="s">
        <v>87</v>
      </c>
      <c r="D6470" s="21" t="s">
        <v>34</v>
      </c>
      <c r="E6470" s="21" t="s">
        <v>35</v>
      </c>
      <c r="F6470">
        <v>8940052</v>
      </c>
      <c r="G6470" t="s">
        <v>190</v>
      </c>
      <c r="H6470" s="21">
        <v>1124.67</v>
      </c>
    </row>
    <row r="6471" spans="1:8" customFormat="1" x14ac:dyDescent="0.25">
      <c r="A6471" t="str">
        <f>"2718861"</f>
        <v>2718861</v>
      </c>
      <c r="B6471" t="s">
        <v>8866</v>
      </c>
      <c r="C6471" t="s">
        <v>87</v>
      </c>
      <c r="D6471" s="21" t="s">
        <v>34</v>
      </c>
      <c r="E6471" s="21" t="s">
        <v>35</v>
      </c>
      <c r="F6471">
        <v>9270041</v>
      </c>
      <c r="G6471" t="s">
        <v>4698</v>
      </c>
      <c r="H6471" s="21">
        <v>1124.67</v>
      </c>
    </row>
    <row r="6472" spans="1:8" customFormat="1" x14ac:dyDescent="0.25">
      <c r="A6472" t="str">
        <f>"6310013"</f>
        <v>6310013</v>
      </c>
      <c r="B6472" t="s">
        <v>7010</v>
      </c>
      <c r="C6472" t="s">
        <v>7011</v>
      </c>
      <c r="D6472" s="21" t="s">
        <v>34</v>
      </c>
      <c r="E6472" s="21" t="s">
        <v>35</v>
      </c>
      <c r="F6472">
        <v>1630261</v>
      </c>
      <c r="G6472" t="s">
        <v>1382</v>
      </c>
      <c r="H6472" s="21">
        <v>1124.67</v>
      </c>
    </row>
    <row r="6473" spans="1:8" customFormat="1" x14ac:dyDescent="0.25">
      <c r="A6473" t="str">
        <f>"782084"</f>
        <v>782084</v>
      </c>
      <c r="B6473" t="s">
        <v>6860</v>
      </c>
      <c r="C6473" t="s">
        <v>750</v>
      </c>
      <c r="D6473" s="21" t="s">
        <v>34</v>
      </c>
      <c r="E6473" s="21" t="s">
        <v>254</v>
      </c>
      <c r="F6473">
        <v>8781017</v>
      </c>
      <c r="G6473" t="s">
        <v>2581</v>
      </c>
      <c r="H6473" s="21">
        <v>1124.67</v>
      </c>
    </row>
    <row r="6474" spans="1:8" customFormat="1" x14ac:dyDescent="0.25">
      <c r="A6474" t="str">
        <f>"3114491"</f>
        <v>3114491</v>
      </c>
      <c r="B6474" t="s">
        <v>8331</v>
      </c>
      <c r="C6474" t="s">
        <v>293</v>
      </c>
      <c r="D6474" s="21" t="s">
        <v>34</v>
      </c>
      <c r="E6474" s="21" t="s">
        <v>35</v>
      </c>
      <c r="F6474">
        <v>11310060</v>
      </c>
      <c r="G6474" t="s">
        <v>2448</v>
      </c>
      <c r="H6474" s="21">
        <v>1124.55</v>
      </c>
    </row>
    <row r="6475" spans="1:8" customFormat="1" x14ac:dyDescent="0.25">
      <c r="A6475" t="str">
        <f>"60864"</f>
        <v>60864</v>
      </c>
      <c r="B6475" t="s">
        <v>7033</v>
      </c>
      <c r="C6475" t="s">
        <v>547</v>
      </c>
      <c r="D6475" s="21" t="s">
        <v>34</v>
      </c>
      <c r="E6475" s="21" t="s">
        <v>254</v>
      </c>
      <c r="F6475">
        <v>7600043</v>
      </c>
      <c r="G6475" t="s">
        <v>1928</v>
      </c>
      <c r="H6475" s="21">
        <v>1124.17</v>
      </c>
    </row>
    <row r="6476" spans="1:8" customFormat="1" x14ac:dyDescent="0.25">
      <c r="A6476" t="str">
        <f>"186358"</f>
        <v>186358</v>
      </c>
      <c r="B6476" t="s">
        <v>8032</v>
      </c>
      <c r="C6476" t="s">
        <v>2305</v>
      </c>
      <c r="D6476" s="21" t="s">
        <v>34</v>
      </c>
      <c r="E6476" s="21" t="s">
        <v>71</v>
      </c>
      <c r="F6476">
        <v>4180737</v>
      </c>
      <c r="G6476" t="s">
        <v>26856</v>
      </c>
      <c r="H6476" s="21">
        <v>1124.17</v>
      </c>
    </row>
    <row r="6477" spans="1:8" customFormat="1" x14ac:dyDescent="0.25">
      <c r="A6477" t="str">
        <f>"4430003"</f>
        <v>4430003</v>
      </c>
      <c r="B6477" t="s">
        <v>5644</v>
      </c>
      <c r="C6477" t="s">
        <v>598</v>
      </c>
      <c r="D6477" s="21" t="s">
        <v>34</v>
      </c>
      <c r="E6477" s="21" t="s">
        <v>71</v>
      </c>
      <c r="F6477">
        <v>12440141</v>
      </c>
      <c r="G6477" t="s">
        <v>3234</v>
      </c>
      <c r="H6477" s="21">
        <v>1124.17</v>
      </c>
    </row>
    <row r="6478" spans="1:8" customFormat="1" x14ac:dyDescent="0.25">
      <c r="A6478" t="str">
        <f>"3718653"</f>
        <v>3718653</v>
      </c>
      <c r="B6478" t="s">
        <v>8155</v>
      </c>
      <c r="C6478" t="s">
        <v>90</v>
      </c>
      <c r="D6478" s="21" t="s">
        <v>34</v>
      </c>
      <c r="E6478" s="21" t="s">
        <v>35</v>
      </c>
      <c r="F6478">
        <v>4370439</v>
      </c>
      <c r="G6478" t="s">
        <v>2956</v>
      </c>
      <c r="H6478" s="21">
        <v>1124.17</v>
      </c>
    </row>
    <row r="6479" spans="1:8" customFormat="1" x14ac:dyDescent="0.25">
      <c r="A6479" t="str">
        <f>"1415427"</f>
        <v>1415427</v>
      </c>
      <c r="B6479" t="s">
        <v>6640</v>
      </c>
      <c r="C6479" t="s">
        <v>119</v>
      </c>
      <c r="D6479" s="21" t="s">
        <v>34</v>
      </c>
      <c r="E6479" s="21" t="s">
        <v>35</v>
      </c>
      <c r="F6479">
        <v>9140167</v>
      </c>
      <c r="G6479" t="s">
        <v>5116</v>
      </c>
      <c r="H6479" s="21">
        <v>1124.17</v>
      </c>
    </row>
    <row r="6480" spans="1:8" customFormat="1" x14ac:dyDescent="0.25">
      <c r="A6480" t="str">
        <f>"809982"</f>
        <v>809982</v>
      </c>
      <c r="B6480" t="s">
        <v>4438</v>
      </c>
      <c r="C6480" t="s">
        <v>209</v>
      </c>
      <c r="D6480" s="21" t="s">
        <v>34</v>
      </c>
      <c r="E6480" s="21" t="s">
        <v>71</v>
      </c>
      <c r="F6480">
        <v>7800062</v>
      </c>
      <c r="G6480" t="s">
        <v>5176</v>
      </c>
      <c r="H6480" s="21">
        <v>1124.17</v>
      </c>
    </row>
    <row r="6481" spans="1:8" customFormat="1" x14ac:dyDescent="0.25">
      <c r="A6481" t="str">
        <f>"6935035"</f>
        <v>6935035</v>
      </c>
      <c r="B6481" t="s">
        <v>4219</v>
      </c>
      <c r="C6481" t="s">
        <v>169</v>
      </c>
      <c r="D6481" s="21" t="s">
        <v>34</v>
      </c>
      <c r="E6481" s="21" t="s">
        <v>35</v>
      </c>
      <c r="F6481">
        <v>1690030</v>
      </c>
      <c r="G6481" t="s">
        <v>432</v>
      </c>
      <c r="H6481" s="21">
        <v>1124.17</v>
      </c>
    </row>
    <row r="6482" spans="1:8" customFormat="1" x14ac:dyDescent="0.25">
      <c r="A6482" t="str">
        <f>"2511957"</f>
        <v>2511957</v>
      </c>
      <c r="B6482" t="s">
        <v>7605</v>
      </c>
      <c r="C6482" t="s">
        <v>712</v>
      </c>
      <c r="D6482" s="21" t="s">
        <v>34</v>
      </c>
      <c r="E6482" s="21" t="s">
        <v>71</v>
      </c>
      <c r="F6482">
        <v>2250007</v>
      </c>
      <c r="G6482" t="s">
        <v>1137</v>
      </c>
      <c r="H6482" s="21">
        <v>1124.17</v>
      </c>
    </row>
    <row r="6483" spans="1:8" customFormat="1" x14ac:dyDescent="0.25">
      <c r="A6483" t="str">
        <f>"7631850"</f>
        <v>7631850</v>
      </c>
      <c r="B6483" t="s">
        <v>8656</v>
      </c>
      <c r="C6483" t="s">
        <v>33</v>
      </c>
      <c r="D6483" s="21" t="s">
        <v>34</v>
      </c>
      <c r="E6483" s="21" t="s">
        <v>35</v>
      </c>
      <c r="F6483">
        <v>9760320</v>
      </c>
      <c r="G6483" t="s">
        <v>4917</v>
      </c>
      <c r="H6483" s="21">
        <v>1124.17</v>
      </c>
    </row>
    <row r="6484" spans="1:8" customFormat="1" x14ac:dyDescent="0.25">
      <c r="A6484" t="str">
        <f>"6715942"</f>
        <v>6715942</v>
      </c>
      <c r="B6484" t="s">
        <v>5484</v>
      </c>
      <c r="C6484" t="s">
        <v>275</v>
      </c>
      <c r="D6484" s="21" t="s">
        <v>34</v>
      </c>
      <c r="E6484" s="21" t="s">
        <v>35</v>
      </c>
      <c r="F6484">
        <v>6670014</v>
      </c>
      <c r="G6484" t="s">
        <v>4258</v>
      </c>
      <c r="H6484" s="21">
        <v>1124.17</v>
      </c>
    </row>
    <row r="6485" spans="1:8" customFormat="1" x14ac:dyDescent="0.25">
      <c r="A6485" t="str">
        <f>"892369"</f>
        <v>892369</v>
      </c>
      <c r="B6485" t="s">
        <v>9282</v>
      </c>
      <c r="C6485" t="s">
        <v>2276</v>
      </c>
      <c r="D6485" s="21" t="s">
        <v>34</v>
      </c>
      <c r="E6485" s="21" t="s">
        <v>71</v>
      </c>
      <c r="F6485">
        <v>2890062</v>
      </c>
      <c r="G6485" t="s">
        <v>9283</v>
      </c>
      <c r="H6485" s="21">
        <v>1124.17</v>
      </c>
    </row>
    <row r="6486" spans="1:8" customFormat="1" x14ac:dyDescent="0.25">
      <c r="A6486" t="str">
        <f>"3518025"</f>
        <v>3518025</v>
      </c>
      <c r="B6486" t="s">
        <v>7614</v>
      </c>
      <c r="C6486" t="s">
        <v>7441</v>
      </c>
      <c r="D6486" s="21" t="s">
        <v>34</v>
      </c>
      <c r="E6486" s="21" t="s">
        <v>35</v>
      </c>
      <c r="F6486">
        <v>3350022</v>
      </c>
      <c r="G6486" t="s">
        <v>1287</v>
      </c>
      <c r="H6486" s="21">
        <v>1124.17</v>
      </c>
    </row>
    <row r="6487" spans="1:8" customFormat="1" x14ac:dyDescent="0.25">
      <c r="A6487" t="str">
        <f>"808713"</f>
        <v>808713</v>
      </c>
      <c r="B6487" t="s">
        <v>7689</v>
      </c>
      <c r="C6487" t="s">
        <v>169</v>
      </c>
      <c r="D6487" s="21" t="s">
        <v>34</v>
      </c>
      <c r="E6487" s="21" t="s">
        <v>71</v>
      </c>
      <c r="F6487">
        <v>7800003</v>
      </c>
      <c r="G6487" t="s">
        <v>276</v>
      </c>
      <c r="H6487" s="21">
        <v>1124.17</v>
      </c>
    </row>
    <row r="6488" spans="1:8" customFormat="1" x14ac:dyDescent="0.25">
      <c r="A6488" t="str">
        <f>"34918"</f>
        <v>34918</v>
      </c>
      <c r="B6488" t="s">
        <v>7446</v>
      </c>
      <c r="C6488" t="s">
        <v>4580</v>
      </c>
      <c r="D6488" s="21" t="s">
        <v>34</v>
      </c>
      <c r="E6488" s="21" t="s">
        <v>71</v>
      </c>
      <c r="F6488">
        <v>11340008</v>
      </c>
      <c r="G6488" t="s">
        <v>312</v>
      </c>
      <c r="H6488" s="21">
        <v>1124.17</v>
      </c>
    </row>
    <row r="6489" spans="1:8" customFormat="1" x14ac:dyDescent="0.25">
      <c r="A6489" t="str">
        <f>"225997"</f>
        <v>225997</v>
      </c>
      <c r="B6489" t="s">
        <v>8423</v>
      </c>
      <c r="C6489" t="s">
        <v>285</v>
      </c>
      <c r="D6489" s="21" t="s">
        <v>34</v>
      </c>
      <c r="E6489" s="21" t="s">
        <v>35</v>
      </c>
      <c r="F6489">
        <v>3220128</v>
      </c>
      <c r="G6489" t="s">
        <v>26938</v>
      </c>
      <c r="H6489" s="21">
        <v>1124.05</v>
      </c>
    </row>
    <row r="6490" spans="1:8" customFormat="1" x14ac:dyDescent="0.25">
      <c r="A6490" t="str">
        <f>"479290"</f>
        <v>479290</v>
      </c>
      <c r="B6490" t="s">
        <v>8500</v>
      </c>
      <c r="C6490" t="s">
        <v>1812</v>
      </c>
      <c r="D6490" s="21" t="s">
        <v>34</v>
      </c>
      <c r="E6490" s="21" t="s">
        <v>71</v>
      </c>
      <c r="F6490">
        <v>10470001</v>
      </c>
      <c r="G6490" t="s">
        <v>391</v>
      </c>
      <c r="H6490" s="21">
        <v>1124.05</v>
      </c>
    </row>
    <row r="6491" spans="1:8" customFormat="1" x14ac:dyDescent="0.25">
      <c r="A6491" t="str">
        <f>"7511673"</f>
        <v>7511673</v>
      </c>
      <c r="B6491" t="s">
        <v>26939</v>
      </c>
      <c r="C6491" t="s">
        <v>26940</v>
      </c>
      <c r="D6491" s="21" t="s">
        <v>34</v>
      </c>
      <c r="E6491" s="21" t="s">
        <v>35</v>
      </c>
      <c r="F6491">
        <v>8751124</v>
      </c>
      <c r="G6491" t="s">
        <v>1481</v>
      </c>
      <c r="H6491" s="21">
        <v>1124.05</v>
      </c>
    </row>
    <row r="6492" spans="1:8" customFormat="1" x14ac:dyDescent="0.25">
      <c r="A6492" t="str">
        <f>"916754"</f>
        <v>916754</v>
      </c>
      <c r="B6492" t="s">
        <v>7780</v>
      </c>
      <c r="C6492" t="s">
        <v>87</v>
      </c>
      <c r="D6492" s="21" t="s">
        <v>34</v>
      </c>
      <c r="E6492" s="21" t="s">
        <v>35</v>
      </c>
      <c r="F6492">
        <v>8911280</v>
      </c>
      <c r="G6492" t="s">
        <v>3417</v>
      </c>
      <c r="H6492" s="21">
        <v>1124</v>
      </c>
    </row>
    <row r="6493" spans="1:8" customFormat="1" x14ac:dyDescent="0.25">
      <c r="A6493" t="str">
        <f>"216507"</f>
        <v>216507</v>
      </c>
      <c r="B6493" t="s">
        <v>6440</v>
      </c>
      <c r="C6493" t="s">
        <v>288</v>
      </c>
      <c r="D6493" s="21" t="s">
        <v>34</v>
      </c>
      <c r="E6493" s="21" t="s">
        <v>71</v>
      </c>
      <c r="F6493">
        <v>2210052</v>
      </c>
      <c r="G6493" t="s">
        <v>1070</v>
      </c>
      <c r="H6493" s="21">
        <v>1123.92</v>
      </c>
    </row>
    <row r="6494" spans="1:8" customFormat="1" x14ac:dyDescent="0.25">
      <c r="A6494" t="str">
        <f>"084182"</f>
        <v>084182</v>
      </c>
      <c r="B6494" t="s">
        <v>6787</v>
      </c>
      <c r="C6494" t="s">
        <v>169</v>
      </c>
      <c r="D6494" s="21" t="s">
        <v>34</v>
      </c>
      <c r="E6494" s="21" t="s">
        <v>71</v>
      </c>
      <c r="F6494">
        <v>6080029</v>
      </c>
      <c r="G6494" t="s">
        <v>6788</v>
      </c>
      <c r="H6494" s="21">
        <v>1123.92</v>
      </c>
    </row>
    <row r="6495" spans="1:8" customFormat="1" x14ac:dyDescent="0.25">
      <c r="A6495" t="str">
        <f>"4447111"</f>
        <v>4447111</v>
      </c>
      <c r="B6495" t="s">
        <v>8373</v>
      </c>
      <c r="C6495" t="s">
        <v>37</v>
      </c>
      <c r="D6495" s="21" t="s">
        <v>34</v>
      </c>
      <c r="E6495" s="21" t="s">
        <v>35</v>
      </c>
      <c r="F6495">
        <v>12440056</v>
      </c>
      <c r="G6495" t="s">
        <v>2037</v>
      </c>
      <c r="H6495" s="21">
        <v>1123.92</v>
      </c>
    </row>
    <row r="6496" spans="1:8" customFormat="1" x14ac:dyDescent="0.25">
      <c r="A6496" t="str">
        <f>"4418282"</f>
        <v>4418282</v>
      </c>
      <c r="B6496" t="s">
        <v>4996</v>
      </c>
      <c r="C6496" t="s">
        <v>601</v>
      </c>
      <c r="D6496" s="21" t="s">
        <v>34</v>
      </c>
      <c r="E6496" s="21" t="s">
        <v>35</v>
      </c>
      <c r="F6496">
        <v>12490098</v>
      </c>
      <c r="G6496" t="s">
        <v>2670</v>
      </c>
      <c r="H6496" s="21">
        <v>1123.92</v>
      </c>
    </row>
    <row r="6497" spans="1:8" customFormat="1" x14ac:dyDescent="0.25">
      <c r="A6497" t="str">
        <f>"9526180"</f>
        <v>9526180</v>
      </c>
      <c r="B6497" t="s">
        <v>2564</v>
      </c>
      <c r="C6497" t="s">
        <v>576</v>
      </c>
      <c r="D6497" s="21" t="s">
        <v>34</v>
      </c>
      <c r="E6497" s="21" t="s">
        <v>35</v>
      </c>
      <c r="F6497">
        <v>8951273</v>
      </c>
      <c r="G6497" t="s">
        <v>2382</v>
      </c>
      <c r="H6497" s="21">
        <v>1123.8</v>
      </c>
    </row>
    <row r="6498" spans="1:8" customFormat="1" x14ac:dyDescent="0.25">
      <c r="A6498" t="str">
        <f>"721306"</f>
        <v>721306</v>
      </c>
      <c r="B6498" t="s">
        <v>6724</v>
      </c>
      <c r="C6498" t="s">
        <v>854</v>
      </c>
      <c r="D6498" s="21" t="s">
        <v>34</v>
      </c>
      <c r="E6498" s="21" t="s">
        <v>254</v>
      </c>
      <c r="F6498">
        <v>12720045</v>
      </c>
      <c r="G6498" t="s">
        <v>2484</v>
      </c>
      <c r="H6498" s="21">
        <v>1123.67</v>
      </c>
    </row>
    <row r="6499" spans="1:8" customFormat="1" x14ac:dyDescent="0.25">
      <c r="A6499" t="str">
        <f>"542788"</f>
        <v>542788</v>
      </c>
      <c r="B6499" t="s">
        <v>7182</v>
      </c>
      <c r="C6499" t="s">
        <v>87</v>
      </c>
      <c r="D6499" s="21" t="s">
        <v>34</v>
      </c>
      <c r="E6499" s="21" t="s">
        <v>35</v>
      </c>
      <c r="F6499">
        <v>6540108</v>
      </c>
      <c r="G6499" t="s">
        <v>4340</v>
      </c>
      <c r="H6499" s="21">
        <v>1123.67</v>
      </c>
    </row>
    <row r="6500" spans="1:8" customFormat="1" x14ac:dyDescent="0.25">
      <c r="A6500" t="str">
        <f>"9422995"</f>
        <v>9422995</v>
      </c>
      <c r="B6500" t="s">
        <v>6922</v>
      </c>
      <c r="C6500" t="s">
        <v>121</v>
      </c>
      <c r="D6500" s="21" t="s">
        <v>34</v>
      </c>
      <c r="E6500" s="21" t="s">
        <v>35</v>
      </c>
      <c r="F6500">
        <v>8770474</v>
      </c>
      <c r="G6500" t="s">
        <v>1600</v>
      </c>
      <c r="H6500" s="21">
        <v>1123.67</v>
      </c>
    </row>
    <row r="6501" spans="1:8" customFormat="1" x14ac:dyDescent="0.25">
      <c r="A6501" t="str">
        <f>"609530"</f>
        <v>609530</v>
      </c>
      <c r="B6501" t="s">
        <v>6356</v>
      </c>
      <c r="C6501" t="s">
        <v>198</v>
      </c>
      <c r="D6501" s="21" t="s">
        <v>34</v>
      </c>
      <c r="E6501" s="21" t="s">
        <v>35</v>
      </c>
      <c r="F6501">
        <v>7600126</v>
      </c>
      <c r="G6501" t="s">
        <v>2516</v>
      </c>
      <c r="H6501" s="21">
        <v>1123.67</v>
      </c>
    </row>
    <row r="6502" spans="1:8" customFormat="1" x14ac:dyDescent="0.25">
      <c r="A6502" t="str">
        <f>"8816006"</f>
        <v>8816006</v>
      </c>
      <c r="B6502" t="s">
        <v>8096</v>
      </c>
      <c r="C6502" t="s">
        <v>43</v>
      </c>
      <c r="D6502" s="21" t="s">
        <v>34</v>
      </c>
      <c r="E6502" s="21" t="s">
        <v>35</v>
      </c>
      <c r="F6502">
        <v>6880086</v>
      </c>
      <c r="G6502" t="s">
        <v>3245</v>
      </c>
      <c r="H6502" s="21">
        <v>1123.67</v>
      </c>
    </row>
    <row r="6503" spans="1:8" customFormat="1" x14ac:dyDescent="0.25">
      <c r="A6503" t="str">
        <f>"6716809"</f>
        <v>6716809</v>
      </c>
      <c r="B6503" t="s">
        <v>26941</v>
      </c>
      <c r="C6503" t="s">
        <v>608</v>
      </c>
      <c r="D6503" s="21" t="s">
        <v>34</v>
      </c>
      <c r="E6503" s="21" t="s">
        <v>35</v>
      </c>
      <c r="F6503">
        <v>6570019</v>
      </c>
      <c r="G6503" t="s">
        <v>1510</v>
      </c>
      <c r="H6503" s="21">
        <v>1123.67</v>
      </c>
    </row>
    <row r="6504" spans="1:8" customFormat="1" x14ac:dyDescent="0.25">
      <c r="A6504" t="str">
        <f>"576102"</f>
        <v>576102</v>
      </c>
      <c r="B6504" t="s">
        <v>2058</v>
      </c>
      <c r="C6504" t="s">
        <v>246</v>
      </c>
      <c r="D6504" s="21" t="s">
        <v>34</v>
      </c>
      <c r="E6504" s="21" t="s">
        <v>1089</v>
      </c>
      <c r="F6504">
        <v>6570159</v>
      </c>
      <c r="G6504" t="s">
        <v>7565</v>
      </c>
      <c r="H6504" s="21">
        <v>1123.67</v>
      </c>
    </row>
    <row r="6505" spans="1:8" customFormat="1" x14ac:dyDescent="0.25">
      <c r="A6505" t="str">
        <f>"492335"</f>
        <v>492335</v>
      </c>
      <c r="B6505" t="s">
        <v>6324</v>
      </c>
      <c r="C6505" t="s">
        <v>209</v>
      </c>
      <c r="D6505" s="21" t="s">
        <v>34</v>
      </c>
      <c r="E6505" s="21" t="s">
        <v>71</v>
      </c>
      <c r="F6505">
        <v>12490066</v>
      </c>
      <c r="G6505" t="s">
        <v>1051</v>
      </c>
      <c r="H6505" s="21">
        <v>1123.67</v>
      </c>
    </row>
    <row r="6506" spans="1:8" customFormat="1" x14ac:dyDescent="0.25">
      <c r="A6506" t="str">
        <f>"417433"</f>
        <v>417433</v>
      </c>
      <c r="B6506" t="s">
        <v>7297</v>
      </c>
      <c r="C6506" t="s">
        <v>55</v>
      </c>
      <c r="D6506" s="21" t="s">
        <v>34</v>
      </c>
      <c r="E6506" s="21" t="s">
        <v>35</v>
      </c>
      <c r="F6506">
        <v>4410726</v>
      </c>
      <c r="G6506" t="s">
        <v>7298</v>
      </c>
      <c r="H6506" s="21">
        <v>1123.67</v>
      </c>
    </row>
    <row r="6507" spans="1:8" customFormat="1" x14ac:dyDescent="0.25">
      <c r="A6507" t="str">
        <f>"5423500"</f>
        <v>5423500</v>
      </c>
      <c r="B6507" t="s">
        <v>1595</v>
      </c>
      <c r="C6507" t="s">
        <v>323</v>
      </c>
      <c r="D6507" s="21" t="s">
        <v>34</v>
      </c>
      <c r="E6507" s="21" t="s">
        <v>71</v>
      </c>
      <c r="F6507">
        <v>6540034</v>
      </c>
      <c r="G6507" t="s">
        <v>2211</v>
      </c>
      <c r="H6507" s="21">
        <v>1123.67</v>
      </c>
    </row>
    <row r="6508" spans="1:8" customFormat="1" x14ac:dyDescent="0.25">
      <c r="A6508" t="str">
        <f>"4420577"</f>
        <v>4420577</v>
      </c>
      <c r="B6508" t="s">
        <v>6085</v>
      </c>
      <c r="C6508" t="s">
        <v>469</v>
      </c>
      <c r="D6508" s="21" t="s">
        <v>34</v>
      </c>
      <c r="E6508" s="21" t="s">
        <v>71</v>
      </c>
      <c r="F6508">
        <v>12440002</v>
      </c>
      <c r="G6508" t="s">
        <v>47</v>
      </c>
      <c r="H6508" s="21">
        <v>1123.42</v>
      </c>
    </row>
    <row r="6509" spans="1:8" customFormat="1" x14ac:dyDescent="0.25">
      <c r="A6509" t="str">
        <f>"8521843"</f>
        <v>8521843</v>
      </c>
      <c r="B6509" t="s">
        <v>6599</v>
      </c>
      <c r="C6509" t="s">
        <v>82</v>
      </c>
      <c r="D6509" s="21" t="s">
        <v>34</v>
      </c>
      <c r="E6509" s="21" t="s">
        <v>35</v>
      </c>
      <c r="F6509">
        <v>12850057</v>
      </c>
      <c r="G6509" t="s">
        <v>1291</v>
      </c>
      <c r="H6509" s="21">
        <v>1123.17</v>
      </c>
    </row>
    <row r="6510" spans="1:8" customFormat="1" x14ac:dyDescent="0.25">
      <c r="A6510" t="str">
        <f>"3821582"</f>
        <v>3821582</v>
      </c>
      <c r="B6510" t="s">
        <v>26942</v>
      </c>
      <c r="C6510" t="s">
        <v>2356</v>
      </c>
      <c r="D6510" s="21" t="s">
        <v>34</v>
      </c>
      <c r="E6510" s="21" t="s">
        <v>35</v>
      </c>
      <c r="F6510">
        <v>2250015</v>
      </c>
      <c r="G6510" t="s">
        <v>4776</v>
      </c>
      <c r="H6510" s="21">
        <v>1123.17</v>
      </c>
    </row>
    <row r="6511" spans="1:8" customFormat="1" x14ac:dyDescent="0.25">
      <c r="A6511" t="str">
        <f>"575417"</f>
        <v>575417</v>
      </c>
      <c r="B6511" t="s">
        <v>6783</v>
      </c>
      <c r="C6511" t="s">
        <v>6784</v>
      </c>
      <c r="D6511" s="21" t="s">
        <v>34</v>
      </c>
      <c r="E6511" s="21" t="s">
        <v>35</v>
      </c>
      <c r="F6511">
        <v>8750074</v>
      </c>
      <c r="G6511" t="s">
        <v>698</v>
      </c>
      <c r="H6511" s="21">
        <v>1123.17</v>
      </c>
    </row>
    <row r="6512" spans="1:8" customFormat="1" x14ac:dyDescent="0.25">
      <c r="A6512" t="str">
        <f>"413147"</f>
        <v>413147</v>
      </c>
      <c r="B6512" t="s">
        <v>7664</v>
      </c>
      <c r="C6512" t="s">
        <v>127</v>
      </c>
      <c r="D6512" s="21" t="s">
        <v>34</v>
      </c>
      <c r="E6512" s="21" t="s">
        <v>35</v>
      </c>
      <c r="F6512">
        <v>11460017</v>
      </c>
      <c r="G6512" t="s">
        <v>7665</v>
      </c>
      <c r="H6512" s="21">
        <v>1123.17</v>
      </c>
    </row>
    <row r="6513" spans="1:8" customFormat="1" x14ac:dyDescent="0.25">
      <c r="A6513" t="str">
        <f>"2936105"</f>
        <v>2936105</v>
      </c>
      <c r="B6513" t="s">
        <v>8804</v>
      </c>
      <c r="C6513" t="s">
        <v>967</v>
      </c>
      <c r="D6513" s="21" t="s">
        <v>34</v>
      </c>
      <c r="E6513" s="21" t="s">
        <v>71</v>
      </c>
      <c r="F6513">
        <v>3290207</v>
      </c>
      <c r="G6513" t="s">
        <v>8805</v>
      </c>
      <c r="H6513" s="21">
        <v>1123.17</v>
      </c>
    </row>
    <row r="6514" spans="1:8" customFormat="1" x14ac:dyDescent="0.25">
      <c r="A6514" t="str">
        <f>"17325"</f>
        <v>17325</v>
      </c>
      <c r="B6514" t="s">
        <v>5795</v>
      </c>
      <c r="C6514" t="s">
        <v>415</v>
      </c>
      <c r="D6514" s="21" t="s">
        <v>34</v>
      </c>
      <c r="E6514" s="21" t="s">
        <v>71</v>
      </c>
      <c r="F6514">
        <v>10160044</v>
      </c>
      <c r="G6514" t="s">
        <v>4941</v>
      </c>
      <c r="H6514" s="21">
        <v>1123.17</v>
      </c>
    </row>
    <row r="6515" spans="1:8" customFormat="1" x14ac:dyDescent="0.25">
      <c r="A6515" t="str">
        <f>"212791"</f>
        <v>212791</v>
      </c>
      <c r="B6515" t="s">
        <v>3308</v>
      </c>
      <c r="C6515" t="s">
        <v>269</v>
      </c>
      <c r="D6515" s="21" t="s">
        <v>34</v>
      </c>
      <c r="E6515" s="21" t="s">
        <v>71</v>
      </c>
      <c r="F6515">
        <v>2210007</v>
      </c>
      <c r="G6515" t="s">
        <v>26848</v>
      </c>
      <c r="H6515" s="21">
        <v>1123.06</v>
      </c>
    </row>
    <row r="6516" spans="1:8" customFormat="1" x14ac:dyDescent="0.25">
      <c r="A6516" t="str">
        <f>"9426555"</f>
        <v>9426555</v>
      </c>
      <c r="B6516" t="s">
        <v>6122</v>
      </c>
      <c r="C6516" t="s">
        <v>1782</v>
      </c>
      <c r="D6516" s="21" t="s">
        <v>34</v>
      </c>
      <c r="E6516" s="21" t="s">
        <v>35</v>
      </c>
      <c r="F6516">
        <v>8940926</v>
      </c>
      <c r="G6516" t="s">
        <v>4065</v>
      </c>
      <c r="H6516" s="21">
        <v>1123.05</v>
      </c>
    </row>
    <row r="6517" spans="1:8" customFormat="1" x14ac:dyDescent="0.25">
      <c r="A6517" t="str">
        <f>"9B346"</f>
        <v>9B346</v>
      </c>
      <c r="B6517" t="s">
        <v>7229</v>
      </c>
      <c r="C6517" t="s">
        <v>1063</v>
      </c>
      <c r="D6517" s="21" t="s">
        <v>34</v>
      </c>
      <c r="E6517" s="21" t="s">
        <v>35</v>
      </c>
      <c r="F6517" t="s">
        <v>1403</v>
      </c>
      <c r="G6517" t="s">
        <v>1404</v>
      </c>
      <c r="H6517" s="21">
        <v>1123.05</v>
      </c>
    </row>
    <row r="6518" spans="1:8" customFormat="1" x14ac:dyDescent="0.25">
      <c r="A6518" t="str">
        <f>"9F1317"</f>
        <v>9F1317</v>
      </c>
      <c r="B6518" t="s">
        <v>7657</v>
      </c>
      <c r="C6518" t="s">
        <v>7658</v>
      </c>
      <c r="D6518" s="21" t="s">
        <v>34</v>
      </c>
      <c r="E6518" s="21" t="s">
        <v>71</v>
      </c>
      <c r="F6518" t="s">
        <v>7659</v>
      </c>
      <c r="G6518" t="s">
        <v>7660</v>
      </c>
      <c r="H6518" s="21">
        <v>1122.92</v>
      </c>
    </row>
    <row r="6519" spans="1:8" customFormat="1" x14ac:dyDescent="0.25">
      <c r="A6519" t="str">
        <f>"243548"</f>
        <v>243548</v>
      </c>
      <c r="B6519" t="s">
        <v>6781</v>
      </c>
      <c r="C6519" t="s">
        <v>169</v>
      </c>
      <c r="D6519" s="21" t="s">
        <v>34</v>
      </c>
      <c r="E6519" s="21" t="s">
        <v>35</v>
      </c>
      <c r="F6519">
        <v>10240002</v>
      </c>
      <c r="G6519" t="s">
        <v>2935</v>
      </c>
      <c r="H6519" s="21">
        <v>1122.8</v>
      </c>
    </row>
    <row r="6520" spans="1:8" customFormat="1" x14ac:dyDescent="0.25">
      <c r="A6520" t="str">
        <f>"5944212"</f>
        <v>5944212</v>
      </c>
      <c r="B6520" t="s">
        <v>5486</v>
      </c>
      <c r="C6520" t="s">
        <v>171</v>
      </c>
      <c r="D6520" s="21" t="s">
        <v>34</v>
      </c>
      <c r="E6520" s="21" t="s">
        <v>71</v>
      </c>
      <c r="F6520">
        <v>7590392</v>
      </c>
      <c r="G6520" t="s">
        <v>154</v>
      </c>
      <c r="H6520" s="21">
        <v>1122.68</v>
      </c>
    </row>
    <row r="6521" spans="1:8" customFormat="1" x14ac:dyDescent="0.25">
      <c r="A6521" t="str">
        <f>"145360"</f>
        <v>145360</v>
      </c>
      <c r="B6521" t="s">
        <v>6730</v>
      </c>
      <c r="C6521" t="s">
        <v>1705</v>
      </c>
      <c r="D6521" s="21" t="s">
        <v>34</v>
      </c>
      <c r="E6521" s="21" t="s">
        <v>254</v>
      </c>
      <c r="F6521">
        <v>9140167</v>
      </c>
      <c r="G6521" t="s">
        <v>5116</v>
      </c>
      <c r="H6521" s="21">
        <v>1122.67</v>
      </c>
    </row>
    <row r="6522" spans="1:8" customFormat="1" x14ac:dyDescent="0.25">
      <c r="A6522" t="str">
        <f>"944338"</f>
        <v>944338</v>
      </c>
      <c r="B6522" t="s">
        <v>7275</v>
      </c>
      <c r="C6522" t="s">
        <v>415</v>
      </c>
      <c r="D6522" s="21" t="s">
        <v>34</v>
      </c>
      <c r="E6522" s="21" t="s">
        <v>1089</v>
      </c>
      <c r="F6522">
        <v>8940030</v>
      </c>
      <c r="G6522" t="s">
        <v>7068</v>
      </c>
      <c r="H6522" s="21">
        <v>1122.67</v>
      </c>
    </row>
    <row r="6523" spans="1:8" customFormat="1" x14ac:dyDescent="0.25">
      <c r="A6523" t="str">
        <f>"545876"</f>
        <v>545876</v>
      </c>
      <c r="B6523" t="s">
        <v>6312</v>
      </c>
      <c r="C6523" t="s">
        <v>37</v>
      </c>
      <c r="D6523" s="21" t="s">
        <v>34</v>
      </c>
      <c r="E6523" s="21" t="s">
        <v>35</v>
      </c>
      <c r="F6523">
        <v>13060114</v>
      </c>
      <c r="G6523" t="s">
        <v>4501</v>
      </c>
      <c r="H6523" s="21">
        <v>1122.67</v>
      </c>
    </row>
    <row r="6524" spans="1:8" customFormat="1" x14ac:dyDescent="0.25">
      <c r="A6524" t="str">
        <f>"691311"</f>
        <v>691311</v>
      </c>
      <c r="B6524" t="s">
        <v>3009</v>
      </c>
      <c r="C6524" t="s">
        <v>269</v>
      </c>
      <c r="D6524" s="21" t="s">
        <v>34</v>
      </c>
      <c r="E6524" s="21" t="s">
        <v>71</v>
      </c>
      <c r="F6524">
        <v>1690058</v>
      </c>
      <c r="G6524" t="s">
        <v>1644</v>
      </c>
      <c r="H6524" s="21">
        <v>1122.67</v>
      </c>
    </row>
    <row r="6525" spans="1:8" customFormat="1" x14ac:dyDescent="0.25">
      <c r="A6525" t="str">
        <f>"6217293"</f>
        <v>6217293</v>
      </c>
      <c r="B6525" t="s">
        <v>6579</v>
      </c>
      <c r="C6525" t="s">
        <v>311</v>
      </c>
      <c r="D6525" s="21" t="s">
        <v>34</v>
      </c>
      <c r="E6525" s="21" t="s">
        <v>71</v>
      </c>
      <c r="F6525">
        <v>7620100</v>
      </c>
      <c r="G6525" t="s">
        <v>145</v>
      </c>
      <c r="H6525" s="21">
        <v>1122.67</v>
      </c>
    </row>
    <row r="6526" spans="1:8" customFormat="1" x14ac:dyDescent="0.25">
      <c r="A6526" t="str">
        <f>"14165"</f>
        <v>14165</v>
      </c>
      <c r="B6526" t="s">
        <v>3183</v>
      </c>
      <c r="C6526" t="s">
        <v>55</v>
      </c>
      <c r="D6526" s="21" t="s">
        <v>34</v>
      </c>
      <c r="E6526" s="21" t="s">
        <v>71</v>
      </c>
      <c r="F6526">
        <v>9140019</v>
      </c>
      <c r="G6526" t="s">
        <v>3901</v>
      </c>
      <c r="H6526" s="21">
        <v>1122.67</v>
      </c>
    </row>
    <row r="6527" spans="1:8" customFormat="1" x14ac:dyDescent="0.25">
      <c r="A6527" t="str">
        <f>"0211264"</f>
        <v>0211264</v>
      </c>
      <c r="B6527" t="s">
        <v>1435</v>
      </c>
      <c r="C6527" t="s">
        <v>43</v>
      </c>
      <c r="D6527" s="21" t="s">
        <v>34</v>
      </c>
      <c r="E6527" s="21" t="s">
        <v>35</v>
      </c>
      <c r="F6527">
        <v>7020065</v>
      </c>
      <c r="G6527" t="s">
        <v>4852</v>
      </c>
      <c r="H6527" s="21">
        <v>1122.67</v>
      </c>
    </row>
    <row r="6528" spans="1:8" customFormat="1" x14ac:dyDescent="0.25">
      <c r="A6528" t="str">
        <f>"5954853"</f>
        <v>5954853</v>
      </c>
      <c r="B6528" t="s">
        <v>7047</v>
      </c>
      <c r="C6528" t="s">
        <v>1299</v>
      </c>
      <c r="D6528" s="21" t="s">
        <v>34</v>
      </c>
      <c r="E6528" s="21" t="s">
        <v>71</v>
      </c>
      <c r="F6528">
        <v>7590164</v>
      </c>
      <c r="G6528" t="s">
        <v>2451</v>
      </c>
      <c r="H6528" s="21">
        <v>1122.67</v>
      </c>
    </row>
    <row r="6529" spans="1:8" customFormat="1" x14ac:dyDescent="0.25">
      <c r="A6529" t="str">
        <f>"0111838"</f>
        <v>0111838</v>
      </c>
      <c r="B6529" t="s">
        <v>7600</v>
      </c>
      <c r="C6529" t="s">
        <v>40</v>
      </c>
      <c r="D6529" s="21" t="s">
        <v>34</v>
      </c>
      <c r="E6529" s="21" t="s">
        <v>71</v>
      </c>
      <c r="F6529">
        <v>13830029</v>
      </c>
      <c r="G6529" t="s">
        <v>315</v>
      </c>
      <c r="H6529" s="21">
        <v>1122.67</v>
      </c>
    </row>
    <row r="6530" spans="1:8" customFormat="1" x14ac:dyDescent="0.25">
      <c r="A6530" t="str">
        <f>"281371"</f>
        <v>281371</v>
      </c>
      <c r="B6530" t="s">
        <v>8249</v>
      </c>
      <c r="C6530" t="s">
        <v>263</v>
      </c>
      <c r="D6530" s="21" t="s">
        <v>34</v>
      </c>
      <c r="E6530" s="21" t="s">
        <v>71</v>
      </c>
      <c r="F6530">
        <v>4280005</v>
      </c>
      <c r="G6530" t="s">
        <v>5760</v>
      </c>
      <c r="H6530" s="21">
        <v>1122.67</v>
      </c>
    </row>
    <row r="6531" spans="1:8" customFormat="1" x14ac:dyDescent="0.25">
      <c r="A6531" t="str">
        <f>"3313070"</f>
        <v>3313070</v>
      </c>
      <c r="B6531" t="s">
        <v>6894</v>
      </c>
      <c r="C6531" t="s">
        <v>43</v>
      </c>
      <c r="D6531" s="21" t="s">
        <v>34</v>
      </c>
      <c r="E6531" s="21" t="s">
        <v>35</v>
      </c>
      <c r="F6531">
        <v>10330030</v>
      </c>
      <c r="G6531" t="s">
        <v>2990</v>
      </c>
      <c r="H6531" s="21">
        <v>1122.67</v>
      </c>
    </row>
    <row r="6532" spans="1:8" customFormat="1" x14ac:dyDescent="0.25">
      <c r="A6532" t="str">
        <f>"3413653"</f>
        <v>3413653</v>
      </c>
      <c r="B6532" t="s">
        <v>6805</v>
      </c>
      <c r="C6532" t="s">
        <v>114</v>
      </c>
      <c r="D6532" s="21" t="s">
        <v>34</v>
      </c>
      <c r="E6532" s="21" t="s">
        <v>71</v>
      </c>
      <c r="F6532">
        <v>11340014</v>
      </c>
      <c r="G6532" t="s">
        <v>1455</v>
      </c>
      <c r="H6532" s="21">
        <v>1122.67</v>
      </c>
    </row>
    <row r="6533" spans="1:8" customFormat="1" x14ac:dyDescent="0.25">
      <c r="A6533" t="str">
        <f>"7623095"</f>
        <v>7623095</v>
      </c>
      <c r="B6533" t="s">
        <v>6630</v>
      </c>
      <c r="C6533" t="s">
        <v>65</v>
      </c>
      <c r="D6533" s="21" t="s">
        <v>34</v>
      </c>
      <c r="E6533" s="21" t="s">
        <v>71</v>
      </c>
      <c r="F6533">
        <v>9760377</v>
      </c>
      <c r="G6533" t="s">
        <v>6631</v>
      </c>
      <c r="H6533" s="21">
        <v>1122.67</v>
      </c>
    </row>
    <row r="6534" spans="1:8" customFormat="1" x14ac:dyDescent="0.25">
      <c r="A6534" t="str">
        <f>"5323031"</f>
        <v>5323031</v>
      </c>
      <c r="B6534" t="s">
        <v>7066</v>
      </c>
      <c r="C6534" t="s">
        <v>1853</v>
      </c>
      <c r="D6534" s="21" t="s">
        <v>34</v>
      </c>
      <c r="E6534" s="21" t="s">
        <v>35</v>
      </c>
      <c r="F6534">
        <v>12530127</v>
      </c>
      <c r="G6534" t="s">
        <v>7067</v>
      </c>
      <c r="H6534" s="21">
        <v>1122.42</v>
      </c>
    </row>
    <row r="6535" spans="1:8" customFormat="1" x14ac:dyDescent="0.25">
      <c r="A6535" t="str">
        <f>"505019"</f>
        <v>505019</v>
      </c>
      <c r="B6535" t="s">
        <v>2924</v>
      </c>
      <c r="C6535" t="s">
        <v>98</v>
      </c>
      <c r="D6535" s="21" t="s">
        <v>34</v>
      </c>
      <c r="E6535" s="21" t="s">
        <v>35</v>
      </c>
      <c r="F6535">
        <v>9500087</v>
      </c>
      <c r="G6535" t="s">
        <v>12569</v>
      </c>
      <c r="H6535" s="21">
        <v>1122.17</v>
      </c>
    </row>
    <row r="6536" spans="1:8" customFormat="1" x14ac:dyDescent="0.25">
      <c r="A6536" t="str">
        <f>"187573"</f>
        <v>187573</v>
      </c>
      <c r="B6536" t="s">
        <v>2023</v>
      </c>
      <c r="C6536" t="s">
        <v>7671</v>
      </c>
      <c r="D6536" s="21" t="s">
        <v>34</v>
      </c>
      <c r="E6536" s="21" t="s">
        <v>35</v>
      </c>
      <c r="F6536">
        <v>4180041</v>
      </c>
      <c r="G6536" t="s">
        <v>1740</v>
      </c>
      <c r="H6536" s="21">
        <v>1122.17</v>
      </c>
    </row>
    <row r="6537" spans="1:8" customFormat="1" x14ac:dyDescent="0.25">
      <c r="A6537" t="str">
        <f>"90955"</f>
        <v>90955</v>
      </c>
      <c r="B6537" t="s">
        <v>8538</v>
      </c>
      <c r="C6537" t="s">
        <v>486</v>
      </c>
      <c r="D6537" s="21" t="s">
        <v>34</v>
      </c>
      <c r="E6537" s="21" t="s">
        <v>71</v>
      </c>
      <c r="F6537">
        <v>2900003</v>
      </c>
      <c r="G6537" t="s">
        <v>1742</v>
      </c>
      <c r="H6537" s="21">
        <v>1122.17</v>
      </c>
    </row>
    <row r="6538" spans="1:8" customFormat="1" x14ac:dyDescent="0.25">
      <c r="A6538" t="str">
        <f>"9139684"</f>
        <v>9139684</v>
      </c>
      <c r="B6538" t="s">
        <v>10350</v>
      </c>
      <c r="C6538" t="s">
        <v>109</v>
      </c>
      <c r="D6538" s="21" t="s">
        <v>34</v>
      </c>
      <c r="E6538" s="21" t="s">
        <v>71</v>
      </c>
      <c r="F6538">
        <v>8910667</v>
      </c>
      <c r="G6538" t="s">
        <v>2361</v>
      </c>
      <c r="H6538" s="21">
        <v>1122.17</v>
      </c>
    </row>
    <row r="6539" spans="1:8" customFormat="1" x14ac:dyDescent="0.25">
      <c r="A6539" t="str">
        <f>"722619"</f>
        <v>722619</v>
      </c>
      <c r="B6539" t="s">
        <v>6357</v>
      </c>
      <c r="C6539" t="s">
        <v>33</v>
      </c>
      <c r="D6539" s="21" t="s">
        <v>34</v>
      </c>
      <c r="E6539" s="21" t="s">
        <v>35</v>
      </c>
      <c r="F6539">
        <v>12720102</v>
      </c>
      <c r="G6539" t="s">
        <v>4469</v>
      </c>
      <c r="H6539" s="21">
        <v>1122.17</v>
      </c>
    </row>
    <row r="6540" spans="1:8" customFormat="1" x14ac:dyDescent="0.25">
      <c r="A6540" t="str">
        <f>"5615601"</f>
        <v>5615601</v>
      </c>
      <c r="B6540" t="s">
        <v>8175</v>
      </c>
      <c r="C6540" t="s">
        <v>1946</v>
      </c>
      <c r="D6540" s="21" t="s">
        <v>34</v>
      </c>
      <c r="E6540" s="21" t="s">
        <v>35</v>
      </c>
      <c r="F6540">
        <v>3560006</v>
      </c>
      <c r="G6540" t="s">
        <v>2708</v>
      </c>
      <c r="H6540" s="21">
        <v>1122.17</v>
      </c>
    </row>
    <row r="6541" spans="1:8" customFormat="1" x14ac:dyDescent="0.25">
      <c r="A6541" t="str">
        <f>"2710443"</f>
        <v>2710443</v>
      </c>
      <c r="B6541" t="s">
        <v>3930</v>
      </c>
      <c r="C6541" t="s">
        <v>119</v>
      </c>
      <c r="D6541" s="21" t="s">
        <v>34</v>
      </c>
      <c r="E6541" s="21" t="s">
        <v>35</v>
      </c>
      <c r="F6541">
        <v>9270168</v>
      </c>
      <c r="G6541" t="s">
        <v>5126</v>
      </c>
      <c r="H6541" s="21">
        <v>1122.17</v>
      </c>
    </row>
    <row r="6542" spans="1:8" customFormat="1" x14ac:dyDescent="0.25">
      <c r="A6542" t="str">
        <f>"595746"</f>
        <v>595746</v>
      </c>
      <c r="B6542" t="s">
        <v>7178</v>
      </c>
      <c r="C6542" t="s">
        <v>65</v>
      </c>
      <c r="D6542" s="21" t="s">
        <v>34</v>
      </c>
      <c r="E6542" s="21" t="s">
        <v>71</v>
      </c>
      <c r="F6542">
        <v>7590051</v>
      </c>
      <c r="G6542" t="s">
        <v>3831</v>
      </c>
      <c r="H6542" s="21">
        <v>1122.17</v>
      </c>
    </row>
    <row r="6543" spans="1:8" customFormat="1" x14ac:dyDescent="0.25">
      <c r="A6543" t="str">
        <f>"1310505"</f>
        <v>1310505</v>
      </c>
      <c r="B6543" t="s">
        <v>1198</v>
      </c>
      <c r="C6543" t="s">
        <v>269</v>
      </c>
      <c r="D6543" s="21" t="s">
        <v>34</v>
      </c>
      <c r="E6543" s="21" t="s">
        <v>71</v>
      </c>
      <c r="F6543">
        <v>13130154</v>
      </c>
      <c r="G6543" t="s">
        <v>5503</v>
      </c>
      <c r="H6543" s="21">
        <v>1122.17</v>
      </c>
    </row>
    <row r="6544" spans="1:8" customFormat="1" x14ac:dyDescent="0.25">
      <c r="A6544" t="str">
        <f>"135255"</f>
        <v>135255</v>
      </c>
      <c r="B6544" t="s">
        <v>6995</v>
      </c>
      <c r="C6544" t="s">
        <v>285</v>
      </c>
      <c r="D6544" s="21" t="s">
        <v>34</v>
      </c>
      <c r="E6544" s="21" t="s">
        <v>35</v>
      </c>
      <c r="F6544">
        <v>13130137</v>
      </c>
      <c r="G6544" t="s">
        <v>6996</v>
      </c>
      <c r="H6544" s="21">
        <v>1121.93</v>
      </c>
    </row>
    <row r="6545" spans="1:8" customFormat="1" x14ac:dyDescent="0.25">
      <c r="A6545" t="str">
        <f>"5324790"</f>
        <v>5324790</v>
      </c>
      <c r="B6545" t="s">
        <v>2766</v>
      </c>
      <c r="C6545" t="s">
        <v>60</v>
      </c>
      <c r="D6545" s="21" t="s">
        <v>34</v>
      </c>
      <c r="E6545" s="21" t="s">
        <v>35</v>
      </c>
      <c r="F6545">
        <v>12530001</v>
      </c>
      <c r="G6545" t="s">
        <v>6349</v>
      </c>
      <c r="H6545" s="21">
        <v>1121.67</v>
      </c>
    </row>
    <row r="6546" spans="1:8" customFormat="1" x14ac:dyDescent="0.25">
      <c r="A6546" t="str">
        <f>"809678"</f>
        <v>809678</v>
      </c>
      <c r="B6546" t="s">
        <v>4527</v>
      </c>
      <c r="C6546" t="s">
        <v>119</v>
      </c>
      <c r="D6546" s="21" t="s">
        <v>34</v>
      </c>
      <c r="E6546" s="21" t="s">
        <v>35</v>
      </c>
      <c r="F6546">
        <v>7800006</v>
      </c>
      <c r="G6546" t="s">
        <v>6365</v>
      </c>
      <c r="H6546" s="21">
        <v>1121.67</v>
      </c>
    </row>
    <row r="6547" spans="1:8" customFormat="1" x14ac:dyDescent="0.25">
      <c r="A6547" t="str">
        <f>"259257"</f>
        <v>259257</v>
      </c>
      <c r="B6547" t="s">
        <v>7963</v>
      </c>
      <c r="C6547" t="s">
        <v>211</v>
      </c>
      <c r="D6547" s="21" t="s">
        <v>34</v>
      </c>
      <c r="E6547" s="21" t="s">
        <v>35</v>
      </c>
      <c r="F6547">
        <v>2250151</v>
      </c>
      <c r="G6547" t="s">
        <v>7964</v>
      </c>
      <c r="H6547" s="21">
        <v>1121.67</v>
      </c>
    </row>
    <row r="6548" spans="1:8" customFormat="1" x14ac:dyDescent="0.25">
      <c r="A6548" t="str">
        <f>"6212080"</f>
        <v>6212080</v>
      </c>
      <c r="B6548" t="s">
        <v>7423</v>
      </c>
      <c r="C6548" t="s">
        <v>415</v>
      </c>
      <c r="D6548" s="21" t="s">
        <v>34</v>
      </c>
      <c r="E6548" s="21" t="s">
        <v>71</v>
      </c>
      <c r="F6548">
        <v>7620096</v>
      </c>
      <c r="G6548" t="s">
        <v>5829</v>
      </c>
      <c r="H6548" s="21">
        <v>1121.67</v>
      </c>
    </row>
    <row r="6549" spans="1:8" customFormat="1" x14ac:dyDescent="0.25">
      <c r="A6549" t="str">
        <f>"7613163"</f>
        <v>7613163</v>
      </c>
      <c r="B6549" t="s">
        <v>6225</v>
      </c>
      <c r="C6549" t="s">
        <v>60</v>
      </c>
      <c r="D6549" s="21" t="s">
        <v>34</v>
      </c>
      <c r="E6549" s="21" t="s">
        <v>35</v>
      </c>
      <c r="F6549">
        <v>9760070</v>
      </c>
      <c r="G6549" t="s">
        <v>6226</v>
      </c>
      <c r="H6549" s="21">
        <v>1121.67</v>
      </c>
    </row>
    <row r="6550" spans="1:8" customFormat="1" x14ac:dyDescent="0.25">
      <c r="A6550" t="str">
        <f>"602013"</f>
        <v>602013</v>
      </c>
      <c r="B6550" t="s">
        <v>6800</v>
      </c>
      <c r="C6550" t="s">
        <v>82</v>
      </c>
      <c r="D6550" s="21" t="s">
        <v>34</v>
      </c>
      <c r="E6550" s="21" t="s">
        <v>254</v>
      </c>
      <c r="F6550">
        <v>7600088</v>
      </c>
      <c r="G6550" t="s">
        <v>334</v>
      </c>
      <c r="H6550" s="21">
        <v>1121.67</v>
      </c>
    </row>
    <row r="6551" spans="1:8" customFormat="1" x14ac:dyDescent="0.25">
      <c r="A6551" t="str">
        <f>"838231"</f>
        <v>838231</v>
      </c>
      <c r="B6551" t="s">
        <v>8361</v>
      </c>
      <c r="C6551" t="s">
        <v>206</v>
      </c>
      <c r="D6551" s="21" t="s">
        <v>34</v>
      </c>
      <c r="E6551" s="21" t="s">
        <v>35</v>
      </c>
      <c r="F6551">
        <v>13830044</v>
      </c>
      <c r="G6551" t="s">
        <v>945</v>
      </c>
      <c r="H6551" s="21">
        <v>1121.67</v>
      </c>
    </row>
    <row r="6552" spans="1:8" customFormat="1" x14ac:dyDescent="0.25">
      <c r="A6552" t="str">
        <f>"5983547"</f>
        <v>5983547</v>
      </c>
      <c r="B6552" t="s">
        <v>26943</v>
      </c>
      <c r="C6552" t="s">
        <v>263</v>
      </c>
      <c r="D6552" s="21" t="s">
        <v>34</v>
      </c>
      <c r="E6552" s="21" t="s">
        <v>254</v>
      </c>
      <c r="F6552">
        <v>7590409</v>
      </c>
      <c r="G6552" t="s">
        <v>2228</v>
      </c>
      <c r="H6552" s="21">
        <v>1121.67</v>
      </c>
    </row>
    <row r="6553" spans="1:8" customFormat="1" x14ac:dyDescent="0.25">
      <c r="A6553" t="str">
        <f>"5010614"</f>
        <v>5010614</v>
      </c>
      <c r="B6553" t="s">
        <v>7359</v>
      </c>
      <c r="C6553" t="s">
        <v>428</v>
      </c>
      <c r="D6553" s="21" t="s">
        <v>34</v>
      </c>
      <c r="E6553" s="21" t="s">
        <v>35</v>
      </c>
      <c r="F6553">
        <v>9500121</v>
      </c>
      <c r="G6553" t="s">
        <v>7360</v>
      </c>
      <c r="H6553" s="21">
        <v>1121.55</v>
      </c>
    </row>
    <row r="6554" spans="1:8" customFormat="1" x14ac:dyDescent="0.25">
      <c r="A6554" t="str">
        <f>"2933099"</f>
        <v>2933099</v>
      </c>
      <c r="B6554" t="s">
        <v>6769</v>
      </c>
      <c r="C6554" t="s">
        <v>547</v>
      </c>
      <c r="D6554" s="21" t="s">
        <v>34</v>
      </c>
      <c r="E6554" s="21" t="s">
        <v>71</v>
      </c>
      <c r="F6554">
        <v>3290217</v>
      </c>
      <c r="G6554" t="s">
        <v>6770</v>
      </c>
      <c r="H6554" s="21">
        <v>1121.5</v>
      </c>
    </row>
    <row r="6555" spans="1:8" customFormat="1" x14ac:dyDescent="0.25">
      <c r="A6555" t="str">
        <f>"6941247"</f>
        <v>6941247</v>
      </c>
      <c r="B6555" t="s">
        <v>9251</v>
      </c>
      <c r="C6555" t="s">
        <v>598</v>
      </c>
      <c r="D6555" s="21" t="s">
        <v>34</v>
      </c>
      <c r="E6555" s="21" t="s">
        <v>71</v>
      </c>
      <c r="F6555">
        <v>1690196</v>
      </c>
      <c r="G6555" t="s">
        <v>6149</v>
      </c>
      <c r="H6555" s="21">
        <v>1121.42</v>
      </c>
    </row>
    <row r="6556" spans="1:8" customFormat="1" x14ac:dyDescent="0.25">
      <c r="A6556" t="str">
        <f>"3531752"</f>
        <v>3531752</v>
      </c>
      <c r="B6556" t="s">
        <v>7468</v>
      </c>
      <c r="C6556" t="s">
        <v>1299</v>
      </c>
      <c r="D6556" s="21" t="s">
        <v>34</v>
      </c>
      <c r="E6556" s="21" t="s">
        <v>254</v>
      </c>
      <c r="F6556">
        <v>3350009</v>
      </c>
      <c r="G6556" t="s">
        <v>1823</v>
      </c>
      <c r="H6556" s="21">
        <v>1121.42</v>
      </c>
    </row>
    <row r="6557" spans="1:8" customFormat="1" x14ac:dyDescent="0.25">
      <c r="A6557" t="str">
        <f>"9124053"</f>
        <v>9124053</v>
      </c>
      <c r="B6557" t="s">
        <v>8245</v>
      </c>
      <c r="C6557" t="s">
        <v>498</v>
      </c>
      <c r="D6557" s="21" t="s">
        <v>34</v>
      </c>
      <c r="E6557" s="21" t="s">
        <v>35</v>
      </c>
      <c r="F6557">
        <v>10330022</v>
      </c>
      <c r="G6557" t="s">
        <v>1830</v>
      </c>
      <c r="H6557" s="21">
        <v>1121.3</v>
      </c>
    </row>
    <row r="6558" spans="1:8" customFormat="1" x14ac:dyDescent="0.25">
      <c r="A6558" t="str">
        <f>"9312795"</f>
        <v>9312795</v>
      </c>
      <c r="B6558" t="s">
        <v>6578</v>
      </c>
      <c r="C6558" t="s">
        <v>598</v>
      </c>
      <c r="D6558" s="21" t="s">
        <v>34</v>
      </c>
      <c r="E6558" s="21" t="s">
        <v>254</v>
      </c>
      <c r="F6558">
        <v>8930185</v>
      </c>
      <c r="G6558" t="s">
        <v>3846</v>
      </c>
      <c r="H6558" s="21">
        <v>1121.18</v>
      </c>
    </row>
    <row r="6559" spans="1:8" customFormat="1" x14ac:dyDescent="0.25">
      <c r="A6559" t="str">
        <f>"839358"</f>
        <v>839358</v>
      </c>
      <c r="B6559" t="s">
        <v>6854</v>
      </c>
      <c r="C6559" t="s">
        <v>119</v>
      </c>
      <c r="D6559" s="21" t="s">
        <v>34</v>
      </c>
      <c r="E6559" s="21" t="s">
        <v>35</v>
      </c>
      <c r="F6559">
        <v>13830025</v>
      </c>
      <c r="G6559" t="s">
        <v>106</v>
      </c>
      <c r="H6559" s="21">
        <v>1121.17</v>
      </c>
    </row>
    <row r="6560" spans="1:8" customFormat="1" x14ac:dyDescent="0.25">
      <c r="A6560" t="str">
        <f>"7856207"</f>
        <v>7856207</v>
      </c>
      <c r="B6560" t="s">
        <v>4438</v>
      </c>
      <c r="C6560" t="s">
        <v>169</v>
      </c>
      <c r="D6560" s="21" t="s">
        <v>34</v>
      </c>
      <c r="E6560" s="21" t="s">
        <v>71</v>
      </c>
      <c r="F6560">
        <v>8780568</v>
      </c>
      <c r="G6560" t="s">
        <v>5279</v>
      </c>
      <c r="H6560" s="21">
        <v>1121.17</v>
      </c>
    </row>
    <row r="6561" spans="1:8" customFormat="1" x14ac:dyDescent="0.25">
      <c r="A6561" t="str">
        <f>"567275"</f>
        <v>567275</v>
      </c>
      <c r="B6561" t="s">
        <v>2317</v>
      </c>
      <c r="C6561" t="s">
        <v>60</v>
      </c>
      <c r="D6561" s="21" t="s">
        <v>34</v>
      </c>
      <c r="E6561" s="21" t="s">
        <v>35</v>
      </c>
      <c r="F6561">
        <v>3560039</v>
      </c>
      <c r="G6561" t="s">
        <v>167</v>
      </c>
      <c r="H6561" s="21">
        <v>1121.17</v>
      </c>
    </row>
    <row r="6562" spans="1:8" customFormat="1" x14ac:dyDescent="0.25">
      <c r="A6562" t="str">
        <f>"5916953"</f>
        <v>5916953</v>
      </c>
      <c r="B6562" t="s">
        <v>577</v>
      </c>
      <c r="C6562" t="s">
        <v>209</v>
      </c>
      <c r="D6562" s="21" t="s">
        <v>34</v>
      </c>
      <c r="E6562" s="21" t="s">
        <v>71</v>
      </c>
      <c r="F6562">
        <v>7590004</v>
      </c>
      <c r="G6562" t="s">
        <v>4816</v>
      </c>
      <c r="H6562" s="21">
        <v>1121.17</v>
      </c>
    </row>
    <row r="6563" spans="1:8" customFormat="1" x14ac:dyDescent="0.25">
      <c r="A6563" t="str">
        <f>"7512608"</f>
        <v>7512608</v>
      </c>
      <c r="B6563" t="s">
        <v>6522</v>
      </c>
      <c r="C6563" t="s">
        <v>1025</v>
      </c>
      <c r="D6563" s="21" t="s">
        <v>34</v>
      </c>
      <c r="E6563" s="21" t="s">
        <v>71</v>
      </c>
      <c r="F6563">
        <v>8780627</v>
      </c>
      <c r="G6563" t="s">
        <v>6097</v>
      </c>
      <c r="H6563" s="21">
        <v>1121.05</v>
      </c>
    </row>
    <row r="6564" spans="1:8" customFormat="1" x14ac:dyDescent="0.25">
      <c r="A6564" t="str">
        <f>"459176"</f>
        <v>459176</v>
      </c>
      <c r="B6564" t="s">
        <v>6670</v>
      </c>
      <c r="C6564" t="s">
        <v>1714</v>
      </c>
      <c r="D6564" s="21" t="s">
        <v>34</v>
      </c>
      <c r="E6564" s="21" t="s">
        <v>71</v>
      </c>
      <c r="F6564">
        <v>4450663</v>
      </c>
      <c r="G6564" t="s">
        <v>2527</v>
      </c>
      <c r="H6564" s="21">
        <v>1120.92</v>
      </c>
    </row>
    <row r="6565" spans="1:8" customFormat="1" x14ac:dyDescent="0.25">
      <c r="A6565" t="str">
        <f>"594199"</f>
        <v>594199</v>
      </c>
      <c r="B6565" t="s">
        <v>1320</v>
      </c>
      <c r="C6565" t="s">
        <v>2520</v>
      </c>
      <c r="D6565" s="21" t="s">
        <v>34</v>
      </c>
      <c r="E6565" s="21" t="s">
        <v>254</v>
      </c>
      <c r="F6565">
        <v>7590018</v>
      </c>
      <c r="G6565" t="s">
        <v>2807</v>
      </c>
      <c r="H6565" s="21">
        <v>1120.67</v>
      </c>
    </row>
    <row r="6566" spans="1:8" customFormat="1" x14ac:dyDescent="0.25">
      <c r="A6566" t="str">
        <f>"5321137"</f>
        <v>5321137</v>
      </c>
      <c r="B6566" t="s">
        <v>2406</v>
      </c>
      <c r="C6566" t="s">
        <v>87</v>
      </c>
      <c r="D6566" s="21" t="s">
        <v>34</v>
      </c>
      <c r="E6566" s="21" t="s">
        <v>35</v>
      </c>
      <c r="F6566">
        <v>12530017</v>
      </c>
      <c r="G6566" t="s">
        <v>307</v>
      </c>
      <c r="H6566" s="21">
        <v>1120.67</v>
      </c>
    </row>
    <row r="6567" spans="1:8" customFormat="1" x14ac:dyDescent="0.25">
      <c r="A6567" t="str">
        <f>"58185"</f>
        <v>58185</v>
      </c>
      <c r="B6567" t="s">
        <v>1143</v>
      </c>
      <c r="C6567" t="s">
        <v>3073</v>
      </c>
      <c r="D6567" s="21" t="s">
        <v>34</v>
      </c>
      <c r="E6567" s="21" t="s">
        <v>254</v>
      </c>
      <c r="F6567">
        <v>2580012</v>
      </c>
      <c r="G6567" t="s">
        <v>1144</v>
      </c>
      <c r="H6567" s="21">
        <v>1120.67</v>
      </c>
    </row>
    <row r="6568" spans="1:8" customFormat="1" x14ac:dyDescent="0.25">
      <c r="A6568" t="str">
        <f>"8611141"</f>
        <v>8611141</v>
      </c>
      <c r="B6568" t="s">
        <v>3972</v>
      </c>
      <c r="C6568" t="s">
        <v>119</v>
      </c>
      <c r="D6568" s="21" t="s">
        <v>34</v>
      </c>
      <c r="E6568" s="21" t="s">
        <v>35</v>
      </c>
      <c r="F6568">
        <v>10860084</v>
      </c>
      <c r="G6568" t="s">
        <v>7471</v>
      </c>
      <c r="H6568" s="21">
        <v>1120.67</v>
      </c>
    </row>
    <row r="6569" spans="1:8" customFormat="1" x14ac:dyDescent="0.25">
      <c r="A6569" t="str">
        <f>"6714407"</f>
        <v>6714407</v>
      </c>
      <c r="B6569" t="s">
        <v>8531</v>
      </c>
      <c r="C6569" t="s">
        <v>8532</v>
      </c>
      <c r="D6569" s="21" t="s">
        <v>34</v>
      </c>
      <c r="E6569" s="21" t="s">
        <v>35</v>
      </c>
      <c r="F6569">
        <v>6670221</v>
      </c>
      <c r="G6569" t="s">
        <v>3742</v>
      </c>
      <c r="H6569" s="21">
        <v>1120.67</v>
      </c>
    </row>
    <row r="6570" spans="1:8" customFormat="1" x14ac:dyDescent="0.25">
      <c r="A6570" t="str">
        <f>"672867"</f>
        <v>672867</v>
      </c>
      <c r="B6570" t="s">
        <v>6272</v>
      </c>
      <c r="C6570" t="s">
        <v>1812</v>
      </c>
      <c r="D6570" s="21" t="s">
        <v>34</v>
      </c>
      <c r="E6570" s="21" t="s">
        <v>35</v>
      </c>
      <c r="F6570">
        <v>6670202</v>
      </c>
      <c r="G6570" t="s">
        <v>605</v>
      </c>
      <c r="H6570" s="21">
        <v>1120.67</v>
      </c>
    </row>
    <row r="6571" spans="1:8" customFormat="1" x14ac:dyDescent="0.25">
      <c r="A6571" t="str">
        <f>"3525707"</f>
        <v>3525707</v>
      </c>
      <c r="B6571" t="s">
        <v>1802</v>
      </c>
      <c r="C6571" t="s">
        <v>169</v>
      </c>
      <c r="D6571" s="21" t="s">
        <v>34</v>
      </c>
      <c r="E6571" s="21" t="s">
        <v>35</v>
      </c>
      <c r="F6571">
        <v>3350091</v>
      </c>
      <c r="G6571" t="s">
        <v>5864</v>
      </c>
      <c r="H6571" s="21">
        <v>1120.67</v>
      </c>
    </row>
    <row r="6572" spans="1:8" customFormat="1" x14ac:dyDescent="0.25">
      <c r="A6572" t="str">
        <f>"8515368"</f>
        <v>8515368</v>
      </c>
      <c r="B6572" t="s">
        <v>6729</v>
      </c>
      <c r="C6572" t="s">
        <v>169</v>
      </c>
      <c r="D6572" s="21" t="s">
        <v>34</v>
      </c>
      <c r="E6572" s="21" t="s">
        <v>35</v>
      </c>
      <c r="F6572">
        <v>12850167</v>
      </c>
      <c r="G6572" t="s">
        <v>7617</v>
      </c>
      <c r="H6572" s="21">
        <v>1120.67</v>
      </c>
    </row>
    <row r="6573" spans="1:8" customFormat="1" x14ac:dyDescent="0.25">
      <c r="A6573" t="str">
        <f>"4175"</f>
        <v>4175</v>
      </c>
      <c r="B6573" t="s">
        <v>1872</v>
      </c>
      <c r="C6573" t="s">
        <v>269</v>
      </c>
      <c r="D6573" s="21" t="s">
        <v>34</v>
      </c>
      <c r="E6573" s="21" t="s">
        <v>254</v>
      </c>
      <c r="F6573">
        <v>4410015</v>
      </c>
      <c r="G6573" t="s">
        <v>2223</v>
      </c>
      <c r="H6573" s="21">
        <v>1120.67</v>
      </c>
    </row>
    <row r="6574" spans="1:8" customFormat="1" x14ac:dyDescent="0.25">
      <c r="A6574" t="str">
        <f>"6715334"</f>
        <v>6715334</v>
      </c>
      <c r="B6574" t="s">
        <v>6449</v>
      </c>
      <c r="C6574" t="s">
        <v>415</v>
      </c>
      <c r="D6574" s="21" t="s">
        <v>34</v>
      </c>
      <c r="E6574" s="21" t="s">
        <v>71</v>
      </c>
      <c r="F6574">
        <v>6670072</v>
      </c>
      <c r="G6574" t="s">
        <v>4154</v>
      </c>
      <c r="H6574" s="21">
        <v>1120.67</v>
      </c>
    </row>
    <row r="6575" spans="1:8" customFormat="1" x14ac:dyDescent="0.25">
      <c r="A6575" t="str">
        <f>"7611854"</f>
        <v>7611854</v>
      </c>
      <c r="B6575" t="s">
        <v>6159</v>
      </c>
      <c r="C6575" t="s">
        <v>544</v>
      </c>
      <c r="D6575" s="21" t="s">
        <v>34</v>
      </c>
      <c r="E6575" s="21" t="s">
        <v>71</v>
      </c>
      <c r="F6575">
        <v>9760382</v>
      </c>
      <c r="G6575" t="s">
        <v>2737</v>
      </c>
      <c r="H6575" s="21">
        <v>1120.67</v>
      </c>
    </row>
    <row r="6576" spans="1:8" customFormat="1" x14ac:dyDescent="0.25">
      <c r="A6576" t="str">
        <f>"4112875"</f>
        <v>4112875</v>
      </c>
      <c r="B6576" t="s">
        <v>108</v>
      </c>
      <c r="C6576" t="s">
        <v>87</v>
      </c>
      <c r="D6576" s="21" t="s">
        <v>34</v>
      </c>
      <c r="E6576" s="21" t="s">
        <v>35</v>
      </c>
      <c r="F6576">
        <v>4410615</v>
      </c>
      <c r="G6576" t="s">
        <v>4897</v>
      </c>
      <c r="H6576" s="21">
        <v>1120.55</v>
      </c>
    </row>
    <row r="6577" spans="1:8" customFormat="1" x14ac:dyDescent="0.25">
      <c r="A6577" t="str">
        <f>"939732"</f>
        <v>939732</v>
      </c>
      <c r="B6577" t="s">
        <v>7465</v>
      </c>
      <c r="C6577" t="s">
        <v>2520</v>
      </c>
      <c r="D6577" s="21" t="s">
        <v>34</v>
      </c>
      <c r="E6577" s="21" t="s">
        <v>71</v>
      </c>
      <c r="F6577">
        <v>8930185</v>
      </c>
      <c r="G6577" t="s">
        <v>3846</v>
      </c>
      <c r="H6577" s="21">
        <v>1120.43</v>
      </c>
    </row>
    <row r="6578" spans="1:8" customFormat="1" x14ac:dyDescent="0.25">
      <c r="A6578" t="str">
        <f>"645165"</f>
        <v>645165</v>
      </c>
      <c r="B6578" t="s">
        <v>7194</v>
      </c>
      <c r="C6578" t="s">
        <v>144</v>
      </c>
      <c r="D6578" s="21" t="s">
        <v>34</v>
      </c>
      <c r="E6578" s="21" t="s">
        <v>35</v>
      </c>
      <c r="F6578">
        <v>11650018</v>
      </c>
      <c r="G6578" t="s">
        <v>6247</v>
      </c>
      <c r="H6578" s="21">
        <v>1120.18</v>
      </c>
    </row>
    <row r="6579" spans="1:8" customFormat="1" x14ac:dyDescent="0.25">
      <c r="A6579" t="str">
        <f>"4915114"</f>
        <v>4915114</v>
      </c>
      <c r="B6579" t="s">
        <v>16093</v>
      </c>
      <c r="C6579" t="s">
        <v>87</v>
      </c>
      <c r="D6579" s="21" t="s">
        <v>34</v>
      </c>
      <c r="E6579" s="21" t="s">
        <v>35</v>
      </c>
      <c r="F6579">
        <v>12490063</v>
      </c>
      <c r="G6579" t="s">
        <v>329</v>
      </c>
      <c r="H6579" s="21">
        <v>1120.17</v>
      </c>
    </row>
    <row r="6580" spans="1:8" customFormat="1" x14ac:dyDescent="0.25">
      <c r="A6580" t="str">
        <f>"3013352"</f>
        <v>3013352</v>
      </c>
      <c r="B6580" t="s">
        <v>26944</v>
      </c>
      <c r="C6580" t="s">
        <v>169</v>
      </c>
      <c r="D6580" s="21" t="s">
        <v>34</v>
      </c>
      <c r="E6580" s="21" t="s">
        <v>35</v>
      </c>
      <c r="F6580">
        <v>11300032</v>
      </c>
      <c r="G6580" t="s">
        <v>17309</v>
      </c>
      <c r="H6580" s="21">
        <v>1120.17</v>
      </c>
    </row>
    <row r="6581" spans="1:8" customFormat="1" x14ac:dyDescent="0.25">
      <c r="A6581" t="str">
        <f>"421122"</f>
        <v>421122</v>
      </c>
      <c r="B6581" t="s">
        <v>26945</v>
      </c>
      <c r="C6581" t="s">
        <v>249</v>
      </c>
      <c r="D6581" s="21" t="s">
        <v>34</v>
      </c>
      <c r="E6581" s="21" t="s">
        <v>35</v>
      </c>
      <c r="F6581">
        <v>1420088</v>
      </c>
      <c r="G6581" t="s">
        <v>7613</v>
      </c>
      <c r="H6581" s="21">
        <v>1120.17</v>
      </c>
    </row>
    <row r="6582" spans="1:8" customFormat="1" x14ac:dyDescent="0.25">
      <c r="A6582" t="str">
        <f>"4937198"</f>
        <v>4937198</v>
      </c>
      <c r="B6582" t="s">
        <v>9467</v>
      </c>
      <c r="C6582" t="s">
        <v>87</v>
      </c>
      <c r="D6582" s="21" t="s">
        <v>34</v>
      </c>
      <c r="E6582" s="21" t="s">
        <v>71</v>
      </c>
      <c r="F6582">
        <v>12490064</v>
      </c>
      <c r="G6582" t="s">
        <v>8425</v>
      </c>
      <c r="H6582" s="21">
        <v>1120.17</v>
      </c>
    </row>
    <row r="6583" spans="1:8" customFormat="1" x14ac:dyDescent="0.25">
      <c r="A6583" t="str">
        <f>"5920767"</f>
        <v>5920767</v>
      </c>
      <c r="B6583" t="s">
        <v>6872</v>
      </c>
      <c r="C6583" t="s">
        <v>90</v>
      </c>
      <c r="D6583" s="21" t="s">
        <v>34</v>
      </c>
      <c r="E6583" s="21" t="s">
        <v>254</v>
      </c>
      <c r="F6583">
        <v>7590237</v>
      </c>
      <c r="G6583" t="s">
        <v>3600</v>
      </c>
      <c r="H6583" s="21">
        <v>1120.17</v>
      </c>
    </row>
    <row r="6584" spans="1:8" customFormat="1" x14ac:dyDescent="0.25">
      <c r="A6584" t="str">
        <f>"593723"</f>
        <v>593723</v>
      </c>
      <c r="B6584" t="s">
        <v>1094</v>
      </c>
      <c r="C6584" t="s">
        <v>2520</v>
      </c>
      <c r="D6584" s="21" t="s">
        <v>34</v>
      </c>
      <c r="E6584" s="21" t="s">
        <v>254</v>
      </c>
      <c r="F6584">
        <v>7590331</v>
      </c>
      <c r="G6584" t="s">
        <v>4882</v>
      </c>
      <c r="H6584" s="21">
        <v>1120.17</v>
      </c>
    </row>
    <row r="6585" spans="1:8" customFormat="1" x14ac:dyDescent="0.25">
      <c r="A6585" t="str">
        <f>"685990"</f>
        <v>685990</v>
      </c>
      <c r="B6585" t="s">
        <v>7770</v>
      </c>
      <c r="C6585" t="s">
        <v>209</v>
      </c>
      <c r="D6585" s="21" t="s">
        <v>34</v>
      </c>
      <c r="E6585" s="21" t="s">
        <v>71</v>
      </c>
      <c r="F6585">
        <v>6680080</v>
      </c>
      <c r="G6585" t="s">
        <v>7771</v>
      </c>
      <c r="H6585" s="21">
        <v>1120.17</v>
      </c>
    </row>
    <row r="6586" spans="1:8" customFormat="1" x14ac:dyDescent="0.25">
      <c r="A6586" t="str">
        <f>"3717872"</f>
        <v>3717872</v>
      </c>
      <c r="B6586" t="s">
        <v>8268</v>
      </c>
      <c r="C6586" t="s">
        <v>204</v>
      </c>
      <c r="D6586" s="21" t="s">
        <v>34</v>
      </c>
      <c r="E6586" s="21" t="s">
        <v>35</v>
      </c>
      <c r="F6586">
        <v>4370346</v>
      </c>
      <c r="G6586" t="s">
        <v>8269</v>
      </c>
      <c r="H6586" s="21">
        <v>1119.92</v>
      </c>
    </row>
    <row r="6587" spans="1:8" customFormat="1" x14ac:dyDescent="0.25">
      <c r="A6587" t="str">
        <f>"1612148"</f>
        <v>1612148</v>
      </c>
      <c r="B6587" t="s">
        <v>7524</v>
      </c>
      <c r="C6587" t="s">
        <v>7525</v>
      </c>
      <c r="D6587" s="21" t="s">
        <v>34</v>
      </c>
      <c r="E6587" s="21" t="s">
        <v>35</v>
      </c>
      <c r="F6587">
        <v>10160029</v>
      </c>
      <c r="G6587" t="s">
        <v>896</v>
      </c>
      <c r="H6587" s="21">
        <v>1119.8</v>
      </c>
    </row>
    <row r="6588" spans="1:8" customFormat="1" x14ac:dyDescent="0.25">
      <c r="A6588" t="str">
        <f>"593777"</f>
        <v>593777</v>
      </c>
      <c r="B6588" t="s">
        <v>7164</v>
      </c>
      <c r="C6588" t="s">
        <v>121</v>
      </c>
      <c r="D6588" s="21" t="s">
        <v>34</v>
      </c>
      <c r="E6588" s="21" t="s">
        <v>35</v>
      </c>
      <c r="F6588">
        <v>7590009</v>
      </c>
      <c r="G6588" t="s">
        <v>535</v>
      </c>
      <c r="H6588" s="21">
        <v>1119.8</v>
      </c>
    </row>
    <row r="6589" spans="1:8" customFormat="1" x14ac:dyDescent="0.25">
      <c r="A6589" t="str">
        <f>"302818"</f>
        <v>302818</v>
      </c>
      <c r="B6589" t="s">
        <v>7809</v>
      </c>
      <c r="C6589" t="s">
        <v>114</v>
      </c>
      <c r="D6589" s="21" t="s">
        <v>34</v>
      </c>
      <c r="E6589" s="21" t="s">
        <v>35</v>
      </c>
      <c r="F6589">
        <v>13840037</v>
      </c>
      <c r="G6589" t="s">
        <v>2019</v>
      </c>
      <c r="H6589" s="21">
        <v>1119.67</v>
      </c>
    </row>
    <row r="6590" spans="1:8" customFormat="1" x14ac:dyDescent="0.25">
      <c r="A6590" t="str">
        <f>"835381"</f>
        <v>835381</v>
      </c>
      <c r="B6590" t="s">
        <v>6693</v>
      </c>
      <c r="C6590" t="s">
        <v>33</v>
      </c>
      <c r="D6590" s="21" t="s">
        <v>34</v>
      </c>
      <c r="E6590" s="21" t="s">
        <v>71</v>
      </c>
      <c r="F6590">
        <v>13830091</v>
      </c>
      <c r="G6590" t="s">
        <v>7389</v>
      </c>
      <c r="H6590" s="21">
        <v>1119.67</v>
      </c>
    </row>
    <row r="6591" spans="1:8" customFormat="1" x14ac:dyDescent="0.25">
      <c r="A6591" t="str">
        <f>"449607"</f>
        <v>449607</v>
      </c>
      <c r="B6591" t="s">
        <v>5932</v>
      </c>
      <c r="C6591" t="s">
        <v>2232</v>
      </c>
      <c r="D6591" s="21" t="s">
        <v>34</v>
      </c>
      <c r="E6591" s="21" t="s">
        <v>71</v>
      </c>
      <c r="F6591">
        <v>12440199</v>
      </c>
      <c r="G6591" t="s">
        <v>4653</v>
      </c>
      <c r="H6591" s="21">
        <v>1119.67</v>
      </c>
    </row>
    <row r="6592" spans="1:8" customFormat="1" x14ac:dyDescent="0.25">
      <c r="A6592" t="str">
        <f>"92824"</f>
        <v>92824</v>
      </c>
      <c r="B6592" t="s">
        <v>7074</v>
      </c>
      <c r="C6592" t="s">
        <v>40</v>
      </c>
      <c r="D6592" s="21" t="s">
        <v>34</v>
      </c>
      <c r="E6592" s="21" t="s">
        <v>71</v>
      </c>
      <c r="F6592">
        <v>8921190</v>
      </c>
      <c r="G6592" t="s">
        <v>810</v>
      </c>
      <c r="H6592" s="21">
        <v>1119.67</v>
      </c>
    </row>
    <row r="6593" spans="1:8" customFormat="1" x14ac:dyDescent="0.25">
      <c r="A6593" t="str">
        <f>"4420155"</f>
        <v>4420155</v>
      </c>
      <c r="B6593" t="s">
        <v>6884</v>
      </c>
      <c r="C6593" t="s">
        <v>144</v>
      </c>
      <c r="D6593" s="21" t="s">
        <v>34</v>
      </c>
      <c r="E6593" s="21" t="s">
        <v>35</v>
      </c>
      <c r="F6593">
        <v>12440074</v>
      </c>
      <c r="G6593" t="s">
        <v>2436</v>
      </c>
      <c r="H6593" s="21">
        <v>1119.67</v>
      </c>
    </row>
    <row r="6594" spans="1:8" customFormat="1" x14ac:dyDescent="0.25">
      <c r="A6594" t="str">
        <f>"7636267"</f>
        <v>7636267</v>
      </c>
      <c r="B6594" t="s">
        <v>8224</v>
      </c>
      <c r="C6594" t="s">
        <v>812</v>
      </c>
      <c r="D6594" s="21" t="s">
        <v>34</v>
      </c>
      <c r="E6594" s="21" t="s">
        <v>35</v>
      </c>
      <c r="F6594">
        <v>9760374</v>
      </c>
      <c r="G6594" t="s">
        <v>6867</v>
      </c>
      <c r="H6594" s="21">
        <v>1119.67</v>
      </c>
    </row>
    <row r="6595" spans="1:8" customFormat="1" x14ac:dyDescent="0.25">
      <c r="A6595" t="str">
        <f>"591388"</f>
        <v>591388</v>
      </c>
      <c r="B6595" t="s">
        <v>765</v>
      </c>
      <c r="C6595" t="s">
        <v>1812</v>
      </c>
      <c r="D6595" s="21" t="s">
        <v>34</v>
      </c>
      <c r="E6595" s="21" t="s">
        <v>35</v>
      </c>
      <c r="F6595">
        <v>7590256</v>
      </c>
      <c r="G6595" t="s">
        <v>4156</v>
      </c>
      <c r="H6595" s="21">
        <v>1119.67</v>
      </c>
    </row>
    <row r="6596" spans="1:8" customFormat="1" x14ac:dyDescent="0.25">
      <c r="A6596" t="str">
        <f>"22147"</f>
        <v>22147</v>
      </c>
      <c r="B6596" t="s">
        <v>8404</v>
      </c>
      <c r="C6596" t="s">
        <v>2520</v>
      </c>
      <c r="D6596" s="21" t="s">
        <v>34</v>
      </c>
      <c r="E6596" s="21" t="s">
        <v>71</v>
      </c>
      <c r="F6596">
        <v>3220007</v>
      </c>
      <c r="G6596" t="s">
        <v>26946</v>
      </c>
      <c r="H6596" s="21">
        <v>1119.67</v>
      </c>
    </row>
    <row r="6597" spans="1:8" customFormat="1" x14ac:dyDescent="0.25">
      <c r="A6597" t="str">
        <f>"6016725"</f>
        <v>6016725</v>
      </c>
      <c r="B6597" t="s">
        <v>3156</v>
      </c>
      <c r="C6597" t="s">
        <v>2907</v>
      </c>
      <c r="D6597" s="21" t="s">
        <v>34</v>
      </c>
      <c r="E6597" s="21" t="s">
        <v>71</v>
      </c>
      <c r="F6597">
        <v>7600037</v>
      </c>
      <c r="G6597" t="s">
        <v>7185</v>
      </c>
      <c r="H6597" s="21">
        <v>1119.67</v>
      </c>
    </row>
    <row r="6598" spans="1:8" customFormat="1" x14ac:dyDescent="0.25">
      <c r="A6598" t="str">
        <f>"9225541"</f>
        <v>9225541</v>
      </c>
      <c r="B6598" t="s">
        <v>8008</v>
      </c>
      <c r="C6598" t="s">
        <v>8009</v>
      </c>
      <c r="D6598" s="21" t="s">
        <v>34</v>
      </c>
      <c r="E6598" s="21" t="s">
        <v>71</v>
      </c>
      <c r="F6598">
        <v>8780585</v>
      </c>
      <c r="G6598" t="s">
        <v>4630</v>
      </c>
      <c r="H6598" s="21">
        <v>1119.55</v>
      </c>
    </row>
    <row r="6599" spans="1:8" customFormat="1" x14ac:dyDescent="0.25">
      <c r="A6599" t="str">
        <f>"411168"</f>
        <v>411168</v>
      </c>
      <c r="B6599" t="s">
        <v>7670</v>
      </c>
      <c r="C6599" t="s">
        <v>7671</v>
      </c>
      <c r="D6599" s="21" t="s">
        <v>34</v>
      </c>
      <c r="E6599" s="21" t="s">
        <v>71</v>
      </c>
      <c r="F6599">
        <v>4410586</v>
      </c>
      <c r="G6599" t="s">
        <v>7672</v>
      </c>
      <c r="H6599" s="21">
        <v>1119.44</v>
      </c>
    </row>
    <row r="6600" spans="1:8" customFormat="1" x14ac:dyDescent="0.25">
      <c r="A6600" t="str">
        <f>"9418396"</f>
        <v>9418396</v>
      </c>
      <c r="B6600" t="s">
        <v>6280</v>
      </c>
      <c r="C6600" t="s">
        <v>87</v>
      </c>
      <c r="D6600" s="21" t="s">
        <v>34</v>
      </c>
      <c r="E6600" s="21" t="s">
        <v>35</v>
      </c>
      <c r="F6600">
        <v>8910916</v>
      </c>
      <c r="G6600" t="s">
        <v>2251</v>
      </c>
      <c r="H6600" s="21">
        <v>1119.42</v>
      </c>
    </row>
    <row r="6601" spans="1:8" customFormat="1" x14ac:dyDescent="0.25">
      <c r="A6601" t="str">
        <f>"5644"</f>
        <v>5644</v>
      </c>
      <c r="B6601" t="s">
        <v>987</v>
      </c>
      <c r="C6601" t="s">
        <v>124</v>
      </c>
      <c r="D6601" s="21" t="s">
        <v>34</v>
      </c>
      <c r="E6601" s="21" t="s">
        <v>254</v>
      </c>
      <c r="F6601">
        <v>3290224</v>
      </c>
      <c r="G6601" t="s">
        <v>7829</v>
      </c>
      <c r="H6601" s="21">
        <v>1119.42</v>
      </c>
    </row>
    <row r="6602" spans="1:8" customFormat="1" x14ac:dyDescent="0.25">
      <c r="A6602" t="str">
        <f>"3717517"</f>
        <v>3717517</v>
      </c>
      <c r="B6602" t="s">
        <v>26947</v>
      </c>
      <c r="C6602" t="s">
        <v>891</v>
      </c>
      <c r="D6602" s="21" t="s">
        <v>34</v>
      </c>
      <c r="E6602" s="21" t="s">
        <v>35</v>
      </c>
      <c r="F6602">
        <v>12850136</v>
      </c>
      <c r="G6602" t="s">
        <v>2536</v>
      </c>
      <c r="H6602" s="21">
        <v>1119.42</v>
      </c>
    </row>
    <row r="6603" spans="1:8" customFormat="1" x14ac:dyDescent="0.25">
      <c r="A6603" t="str">
        <f>"9240768"</f>
        <v>9240768</v>
      </c>
      <c r="B6603" t="s">
        <v>7482</v>
      </c>
      <c r="C6603" t="s">
        <v>121</v>
      </c>
      <c r="D6603" s="21" t="s">
        <v>34</v>
      </c>
      <c r="E6603" s="21" t="s">
        <v>35</v>
      </c>
      <c r="F6603">
        <v>8920066</v>
      </c>
      <c r="G6603" t="s">
        <v>4899</v>
      </c>
      <c r="H6603" s="21">
        <v>1119.42</v>
      </c>
    </row>
    <row r="6604" spans="1:8" customFormat="1" x14ac:dyDescent="0.25">
      <c r="A6604" t="str">
        <f>"595951"</f>
        <v>595951</v>
      </c>
      <c r="B6604" t="s">
        <v>6458</v>
      </c>
      <c r="C6604" t="s">
        <v>62</v>
      </c>
      <c r="D6604" s="21" t="s">
        <v>34</v>
      </c>
      <c r="E6604" s="21" t="s">
        <v>35</v>
      </c>
      <c r="F6604">
        <v>7590075</v>
      </c>
      <c r="G6604" t="s">
        <v>6459</v>
      </c>
      <c r="H6604" s="21">
        <v>1119.3</v>
      </c>
    </row>
    <row r="6605" spans="1:8" customFormat="1" x14ac:dyDescent="0.25">
      <c r="A6605" t="str">
        <f>"1412446"</f>
        <v>1412446</v>
      </c>
      <c r="B6605" t="s">
        <v>8668</v>
      </c>
      <c r="C6605" t="s">
        <v>879</v>
      </c>
      <c r="D6605" s="21" t="s">
        <v>34</v>
      </c>
      <c r="E6605" s="21" t="s">
        <v>71</v>
      </c>
      <c r="F6605">
        <v>12720070</v>
      </c>
      <c r="G6605" t="s">
        <v>2348</v>
      </c>
      <c r="H6605" s="21">
        <v>1119.17</v>
      </c>
    </row>
    <row r="6606" spans="1:8" customFormat="1" x14ac:dyDescent="0.25">
      <c r="A6606" t="str">
        <f>"504136"</f>
        <v>504136</v>
      </c>
      <c r="B6606" t="s">
        <v>10725</v>
      </c>
      <c r="C6606" t="s">
        <v>124</v>
      </c>
      <c r="D6606" s="21" t="s">
        <v>34</v>
      </c>
      <c r="E6606" s="21" t="s">
        <v>71</v>
      </c>
      <c r="F6606">
        <v>9500112</v>
      </c>
      <c r="G6606" t="s">
        <v>1668</v>
      </c>
      <c r="H6606" s="21">
        <v>1119.17</v>
      </c>
    </row>
    <row r="6607" spans="1:8" customFormat="1" x14ac:dyDescent="0.25">
      <c r="A6607" t="str">
        <f>"622480"</f>
        <v>622480</v>
      </c>
      <c r="B6607" t="s">
        <v>7546</v>
      </c>
      <c r="C6607" t="s">
        <v>198</v>
      </c>
      <c r="D6607" s="21" t="s">
        <v>34</v>
      </c>
      <c r="E6607" s="21" t="s">
        <v>35</v>
      </c>
      <c r="F6607">
        <v>7620104</v>
      </c>
      <c r="G6607" t="s">
        <v>635</v>
      </c>
      <c r="H6607" s="21">
        <v>1119.17</v>
      </c>
    </row>
    <row r="6608" spans="1:8" customFormat="1" x14ac:dyDescent="0.25">
      <c r="A6608" t="str">
        <f>"5412733"</f>
        <v>5412733</v>
      </c>
      <c r="B6608" t="s">
        <v>1840</v>
      </c>
      <c r="C6608" t="s">
        <v>7242</v>
      </c>
      <c r="D6608" s="21" t="s">
        <v>34</v>
      </c>
      <c r="E6608" s="21" t="s">
        <v>254</v>
      </c>
      <c r="F6608">
        <v>6540043</v>
      </c>
      <c r="G6608" t="s">
        <v>947</v>
      </c>
      <c r="H6608" s="21">
        <v>1119.17</v>
      </c>
    </row>
    <row r="6609" spans="1:8" customFormat="1" x14ac:dyDescent="0.25">
      <c r="A6609" t="str">
        <f>"426051"</f>
        <v>426051</v>
      </c>
      <c r="B6609" t="s">
        <v>6903</v>
      </c>
      <c r="C6609" t="s">
        <v>415</v>
      </c>
      <c r="D6609" s="21" t="s">
        <v>34</v>
      </c>
      <c r="E6609" s="21" t="s">
        <v>35</v>
      </c>
      <c r="F6609">
        <v>1690102</v>
      </c>
      <c r="G6609" t="s">
        <v>2081</v>
      </c>
      <c r="H6609" s="21">
        <v>1119.17</v>
      </c>
    </row>
    <row r="6610" spans="1:8" customFormat="1" x14ac:dyDescent="0.25">
      <c r="A6610" t="str">
        <f>"799864"</f>
        <v>799864</v>
      </c>
      <c r="B6610" t="s">
        <v>6511</v>
      </c>
      <c r="C6610" t="s">
        <v>209</v>
      </c>
      <c r="D6610" s="21" t="s">
        <v>34</v>
      </c>
      <c r="E6610" s="21" t="s">
        <v>71</v>
      </c>
      <c r="F6610">
        <v>10790058</v>
      </c>
      <c r="G6610" t="s">
        <v>6512</v>
      </c>
      <c r="H6610" s="21">
        <v>1119.17</v>
      </c>
    </row>
    <row r="6611" spans="1:8" customFormat="1" x14ac:dyDescent="0.25">
      <c r="A6611" t="str">
        <f>"254976"</f>
        <v>254976</v>
      </c>
      <c r="B6611" t="s">
        <v>7018</v>
      </c>
      <c r="C6611" t="s">
        <v>209</v>
      </c>
      <c r="D6611" s="21" t="s">
        <v>34</v>
      </c>
      <c r="E6611" s="21" t="s">
        <v>71</v>
      </c>
      <c r="F6611">
        <v>2250181</v>
      </c>
      <c r="G6611" t="s">
        <v>494</v>
      </c>
      <c r="H6611" s="21">
        <v>1119.17</v>
      </c>
    </row>
    <row r="6612" spans="1:8" customFormat="1" x14ac:dyDescent="0.25">
      <c r="A6612" t="str">
        <f>"8514247"</f>
        <v>8514247</v>
      </c>
      <c r="B6612" t="s">
        <v>6473</v>
      </c>
      <c r="C6612" t="s">
        <v>2520</v>
      </c>
      <c r="D6612" s="21" t="s">
        <v>34</v>
      </c>
      <c r="E6612" s="21" t="s">
        <v>254</v>
      </c>
      <c r="F6612">
        <v>12850170</v>
      </c>
      <c r="G6612" t="s">
        <v>3349</v>
      </c>
      <c r="H6612" s="21">
        <v>1119.17</v>
      </c>
    </row>
    <row r="6613" spans="1:8" customFormat="1" x14ac:dyDescent="0.25">
      <c r="A6613" t="str">
        <f>"5918142"</f>
        <v>5918142</v>
      </c>
      <c r="B6613" t="s">
        <v>8488</v>
      </c>
      <c r="C6613" t="s">
        <v>2365</v>
      </c>
      <c r="D6613" s="21" t="s">
        <v>34</v>
      </c>
      <c r="E6613" s="21" t="s">
        <v>254</v>
      </c>
      <c r="F6613">
        <v>7590137</v>
      </c>
      <c r="G6613" t="s">
        <v>4246</v>
      </c>
      <c r="H6613" s="21">
        <v>1119.17</v>
      </c>
    </row>
    <row r="6614" spans="1:8" customFormat="1" x14ac:dyDescent="0.25">
      <c r="A6614" t="str">
        <f>"4518883"</f>
        <v>4518883</v>
      </c>
      <c r="B6614" t="s">
        <v>8147</v>
      </c>
      <c r="C6614" t="s">
        <v>8148</v>
      </c>
      <c r="D6614" s="21" t="s">
        <v>34</v>
      </c>
      <c r="E6614" s="21" t="s">
        <v>35</v>
      </c>
      <c r="F6614">
        <v>4450285</v>
      </c>
      <c r="G6614" t="s">
        <v>7118</v>
      </c>
      <c r="H6614" s="21">
        <v>1118.92</v>
      </c>
    </row>
    <row r="6615" spans="1:8" customFormat="1" x14ac:dyDescent="0.25">
      <c r="A6615" t="str">
        <f>"648668"</f>
        <v>648668</v>
      </c>
      <c r="B6615" t="s">
        <v>7114</v>
      </c>
      <c r="C6615" t="s">
        <v>239</v>
      </c>
      <c r="D6615" s="21" t="s">
        <v>34</v>
      </c>
      <c r="E6615" s="21" t="s">
        <v>35</v>
      </c>
      <c r="F6615">
        <v>10640003</v>
      </c>
      <c r="G6615" t="s">
        <v>1594</v>
      </c>
      <c r="H6615" s="21">
        <v>1118.92</v>
      </c>
    </row>
    <row r="6616" spans="1:8" customFormat="1" x14ac:dyDescent="0.25">
      <c r="A6616" t="str">
        <f>"7515164"</f>
        <v>7515164</v>
      </c>
      <c r="B6616" t="s">
        <v>5098</v>
      </c>
      <c r="C6616" t="s">
        <v>7593</v>
      </c>
      <c r="D6616" s="21" t="s">
        <v>34</v>
      </c>
      <c r="E6616" s="21" t="s">
        <v>71</v>
      </c>
      <c r="F6616">
        <v>8751249</v>
      </c>
      <c r="G6616" t="s">
        <v>2803</v>
      </c>
      <c r="H6616" s="21">
        <v>1118.8</v>
      </c>
    </row>
    <row r="6617" spans="1:8" customFormat="1" x14ac:dyDescent="0.25">
      <c r="A6617" t="str">
        <f>"2915574"</f>
        <v>2915574</v>
      </c>
      <c r="B6617" t="s">
        <v>8126</v>
      </c>
      <c r="C6617" t="s">
        <v>486</v>
      </c>
      <c r="D6617" s="21" t="s">
        <v>34</v>
      </c>
      <c r="E6617" s="21" t="s">
        <v>35</v>
      </c>
      <c r="F6617">
        <v>3290226</v>
      </c>
      <c r="G6617" t="s">
        <v>4637</v>
      </c>
      <c r="H6617" s="21">
        <v>1118.67</v>
      </c>
    </row>
    <row r="6618" spans="1:8" customFormat="1" x14ac:dyDescent="0.25">
      <c r="A6618" t="str">
        <f>"7821640"</f>
        <v>7821640</v>
      </c>
      <c r="B6618" t="s">
        <v>5843</v>
      </c>
      <c r="C6618" t="s">
        <v>412</v>
      </c>
      <c r="D6618" s="21" t="s">
        <v>34</v>
      </c>
      <c r="E6618" s="21" t="s">
        <v>1089</v>
      </c>
      <c r="F6618">
        <v>12440266</v>
      </c>
      <c r="G6618" t="s">
        <v>924</v>
      </c>
      <c r="H6618" s="21">
        <v>1118.67</v>
      </c>
    </row>
    <row r="6619" spans="1:8" customFormat="1" x14ac:dyDescent="0.25">
      <c r="A6619" t="str">
        <f>"4521373"</f>
        <v>4521373</v>
      </c>
      <c r="B6619" t="s">
        <v>7002</v>
      </c>
      <c r="C6619" t="s">
        <v>2475</v>
      </c>
      <c r="D6619" s="21" t="s">
        <v>34</v>
      </c>
      <c r="E6619" s="21" t="s">
        <v>35</v>
      </c>
      <c r="F6619">
        <v>4450571</v>
      </c>
      <c r="G6619" t="s">
        <v>188</v>
      </c>
      <c r="H6619" s="21">
        <v>1118.67</v>
      </c>
    </row>
    <row r="6620" spans="1:8" customFormat="1" x14ac:dyDescent="0.25">
      <c r="A6620" t="str">
        <f>"2929872"</f>
        <v>2929872</v>
      </c>
      <c r="B6620" t="s">
        <v>8100</v>
      </c>
      <c r="C6620" t="s">
        <v>209</v>
      </c>
      <c r="D6620" s="21" t="s">
        <v>34</v>
      </c>
      <c r="E6620" s="21" t="s">
        <v>35</v>
      </c>
      <c r="F6620">
        <v>3290229</v>
      </c>
      <c r="G6620" t="s">
        <v>408</v>
      </c>
      <c r="H6620" s="21">
        <v>1118.67</v>
      </c>
    </row>
    <row r="6621" spans="1:8" customFormat="1" x14ac:dyDescent="0.25">
      <c r="A6621" t="str">
        <f>"7920457"</f>
        <v>7920457</v>
      </c>
      <c r="B6621" t="s">
        <v>9345</v>
      </c>
      <c r="C6621" t="s">
        <v>156</v>
      </c>
      <c r="D6621" s="21" t="s">
        <v>34</v>
      </c>
      <c r="E6621" s="21" t="s">
        <v>35</v>
      </c>
      <c r="F6621">
        <v>10790005</v>
      </c>
      <c r="G6621" t="s">
        <v>1948</v>
      </c>
      <c r="H6621" s="21">
        <v>1118.67</v>
      </c>
    </row>
    <row r="6622" spans="1:8" customFormat="1" x14ac:dyDescent="0.25">
      <c r="A6622" t="str">
        <f>"861612"</f>
        <v>861612</v>
      </c>
      <c r="B6622" t="s">
        <v>7684</v>
      </c>
      <c r="C6622" t="s">
        <v>98</v>
      </c>
      <c r="D6622" s="21" t="s">
        <v>34</v>
      </c>
      <c r="E6622" s="21" t="s">
        <v>35</v>
      </c>
      <c r="F6622">
        <v>10860024</v>
      </c>
      <c r="G6622" t="s">
        <v>1770</v>
      </c>
      <c r="H6622" s="21">
        <v>1118.67</v>
      </c>
    </row>
    <row r="6623" spans="1:8" customFormat="1" x14ac:dyDescent="0.25">
      <c r="A6623" t="str">
        <f>"087482"</f>
        <v>087482</v>
      </c>
      <c r="B6623" t="s">
        <v>7585</v>
      </c>
      <c r="C6623" t="s">
        <v>576</v>
      </c>
      <c r="D6623" s="21" t="s">
        <v>34</v>
      </c>
      <c r="E6623" s="21" t="s">
        <v>35</v>
      </c>
      <c r="F6623">
        <v>6080047</v>
      </c>
      <c r="G6623" t="s">
        <v>4632</v>
      </c>
      <c r="H6623" s="21">
        <v>1118.67</v>
      </c>
    </row>
    <row r="6624" spans="1:8" customFormat="1" x14ac:dyDescent="0.25">
      <c r="A6624" t="str">
        <f>"911696"</f>
        <v>911696</v>
      </c>
      <c r="B6624" t="s">
        <v>4063</v>
      </c>
      <c r="C6624" t="s">
        <v>55</v>
      </c>
      <c r="D6624" s="21" t="s">
        <v>34</v>
      </c>
      <c r="E6624" s="21" t="s">
        <v>254</v>
      </c>
      <c r="F6624">
        <v>8911285</v>
      </c>
      <c r="G6624" t="s">
        <v>2396</v>
      </c>
      <c r="H6624" s="21">
        <v>1118.43</v>
      </c>
    </row>
    <row r="6625" spans="1:8" customFormat="1" x14ac:dyDescent="0.25">
      <c r="A6625" t="str">
        <f>"8811977"</f>
        <v>8811977</v>
      </c>
      <c r="B6625" t="s">
        <v>6071</v>
      </c>
      <c r="C6625" t="s">
        <v>6072</v>
      </c>
      <c r="D6625" s="21" t="s">
        <v>34</v>
      </c>
      <c r="E6625" s="21" t="s">
        <v>35</v>
      </c>
      <c r="F6625">
        <v>6880002</v>
      </c>
      <c r="G6625" t="s">
        <v>501</v>
      </c>
      <c r="H6625" s="21">
        <v>1118.42</v>
      </c>
    </row>
    <row r="6626" spans="1:8" customFormat="1" x14ac:dyDescent="0.25">
      <c r="A6626" t="str">
        <f>"56897"</f>
        <v>56897</v>
      </c>
      <c r="B6626" t="s">
        <v>5426</v>
      </c>
      <c r="C6626" t="s">
        <v>1665</v>
      </c>
      <c r="D6626" s="21" t="s">
        <v>34</v>
      </c>
      <c r="E6626" s="21" t="s">
        <v>254</v>
      </c>
      <c r="F6626">
        <v>3560053</v>
      </c>
      <c r="G6626" t="s">
        <v>298</v>
      </c>
      <c r="H6626" s="21">
        <v>1118.17</v>
      </c>
    </row>
    <row r="6627" spans="1:8" customFormat="1" x14ac:dyDescent="0.25">
      <c r="A6627" t="str">
        <f>"161318"</f>
        <v>161318</v>
      </c>
      <c r="B6627" t="s">
        <v>6859</v>
      </c>
      <c r="C6627" t="s">
        <v>415</v>
      </c>
      <c r="D6627" s="21" t="s">
        <v>34</v>
      </c>
      <c r="E6627" s="21" t="s">
        <v>254</v>
      </c>
      <c r="F6627">
        <v>10160029</v>
      </c>
      <c r="G6627" t="s">
        <v>896</v>
      </c>
      <c r="H6627" s="21">
        <v>1118.17</v>
      </c>
    </row>
    <row r="6628" spans="1:8" customFormat="1" x14ac:dyDescent="0.25">
      <c r="A6628" t="str">
        <f>"60222"</f>
        <v>60222</v>
      </c>
      <c r="B6628" t="s">
        <v>8497</v>
      </c>
      <c r="C6628" t="s">
        <v>33</v>
      </c>
      <c r="D6628" s="21" t="s">
        <v>34</v>
      </c>
      <c r="E6628" s="21" t="s">
        <v>71</v>
      </c>
      <c r="F6628">
        <v>7600017</v>
      </c>
      <c r="G6628" t="s">
        <v>8498</v>
      </c>
      <c r="H6628" s="21">
        <v>1118.17</v>
      </c>
    </row>
    <row r="6629" spans="1:8" customFormat="1" x14ac:dyDescent="0.25">
      <c r="A6629" t="str">
        <f>"5975025"</f>
        <v>5975025</v>
      </c>
      <c r="B6629" t="s">
        <v>8040</v>
      </c>
      <c r="C6629" t="s">
        <v>119</v>
      </c>
      <c r="D6629" s="21" t="s">
        <v>34</v>
      </c>
      <c r="E6629" s="21" t="s">
        <v>35</v>
      </c>
      <c r="F6629">
        <v>7590173</v>
      </c>
      <c r="G6629" t="s">
        <v>5675</v>
      </c>
      <c r="H6629" s="21">
        <v>1118.17</v>
      </c>
    </row>
    <row r="6630" spans="1:8" customFormat="1" x14ac:dyDescent="0.25">
      <c r="A6630" t="str">
        <f>"858691"</f>
        <v>858691</v>
      </c>
      <c r="B6630" t="s">
        <v>17841</v>
      </c>
      <c r="C6630" t="s">
        <v>712</v>
      </c>
      <c r="D6630" s="21" t="s">
        <v>34</v>
      </c>
      <c r="E6630" s="21" t="s">
        <v>35</v>
      </c>
      <c r="F6630">
        <v>12440259</v>
      </c>
      <c r="G6630" t="s">
        <v>833</v>
      </c>
      <c r="H6630" s="21">
        <v>1118.17</v>
      </c>
    </row>
    <row r="6631" spans="1:8" customFormat="1" x14ac:dyDescent="0.25">
      <c r="A6631" t="str">
        <f>"9112220"</f>
        <v>9112220</v>
      </c>
      <c r="B6631" t="s">
        <v>1816</v>
      </c>
      <c r="C6631" t="s">
        <v>62</v>
      </c>
      <c r="D6631" s="21" t="s">
        <v>34</v>
      </c>
      <c r="E6631" s="21" t="s">
        <v>35</v>
      </c>
      <c r="F6631">
        <v>8910914</v>
      </c>
      <c r="G6631" t="s">
        <v>3302</v>
      </c>
      <c r="H6631" s="21">
        <v>1118.17</v>
      </c>
    </row>
    <row r="6632" spans="1:8" customFormat="1" x14ac:dyDescent="0.25">
      <c r="A6632" t="str">
        <f>"5963272"</f>
        <v>5963272</v>
      </c>
      <c r="B6632" t="s">
        <v>7415</v>
      </c>
      <c r="C6632" t="s">
        <v>174</v>
      </c>
      <c r="D6632" s="21" t="s">
        <v>34</v>
      </c>
      <c r="E6632" s="21" t="s">
        <v>71</v>
      </c>
      <c r="F6632">
        <v>7590244</v>
      </c>
      <c r="G6632" t="s">
        <v>5768</v>
      </c>
      <c r="H6632" s="21">
        <v>1118.17</v>
      </c>
    </row>
    <row r="6633" spans="1:8" customFormat="1" x14ac:dyDescent="0.25">
      <c r="A6633" t="str">
        <f>"3528782"</f>
        <v>3528782</v>
      </c>
      <c r="B6633" t="s">
        <v>7241</v>
      </c>
      <c r="C6633" t="s">
        <v>169</v>
      </c>
      <c r="D6633" s="21" t="s">
        <v>34</v>
      </c>
      <c r="E6633" s="21" t="s">
        <v>71</v>
      </c>
      <c r="F6633">
        <v>3350207</v>
      </c>
      <c r="G6633" t="s">
        <v>3668</v>
      </c>
      <c r="H6633" s="21">
        <v>1118.05</v>
      </c>
    </row>
    <row r="6634" spans="1:8" customFormat="1" x14ac:dyDescent="0.25">
      <c r="A6634" t="str">
        <f>"572019"</f>
        <v>572019</v>
      </c>
      <c r="B6634" t="s">
        <v>6728</v>
      </c>
      <c r="C6634" t="s">
        <v>1025</v>
      </c>
      <c r="D6634" s="21" t="s">
        <v>34</v>
      </c>
      <c r="E6634" s="21" t="s">
        <v>35</v>
      </c>
      <c r="F6634">
        <v>6570060</v>
      </c>
      <c r="G6634" t="s">
        <v>4397</v>
      </c>
      <c r="H6634" s="21">
        <v>1117.92</v>
      </c>
    </row>
    <row r="6635" spans="1:8" customFormat="1" x14ac:dyDescent="0.25">
      <c r="A6635" t="str">
        <f>"575585"</f>
        <v>575585</v>
      </c>
      <c r="B6635" t="s">
        <v>6235</v>
      </c>
      <c r="C6635" t="s">
        <v>486</v>
      </c>
      <c r="D6635" s="21" t="s">
        <v>34</v>
      </c>
      <c r="E6635" s="21" t="s">
        <v>35</v>
      </c>
      <c r="F6635">
        <v>6570014</v>
      </c>
      <c r="G6635" t="s">
        <v>72</v>
      </c>
      <c r="H6635" s="21">
        <v>1117.92</v>
      </c>
    </row>
    <row r="6636" spans="1:8" customFormat="1" x14ac:dyDescent="0.25">
      <c r="A6636" t="str">
        <f>"57165"</f>
        <v>57165</v>
      </c>
      <c r="B6636" t="s">
        <v>322</v>
      </c>
      <c r="C6636" t="s">
        <v>2529</v>
      </c>
      <c r="D6636" s="21" t="s">
        <v>34</v>
      </c>
      <c r="E6636" s="21" t="s">
        <v>254</v>
      </c>
      <c r="F6636">
        <v>6570014</v>
      </c>
      <c r="G6636" t="s">
        <v>72</v>
      </c>
      <c r="H6636" s="21">
        <v>1117.67</v>
      </c>
    </row>
    <row r="6637" spans="1:8" customFormat="1" x14ac:dyDescent="0.25">
      <c r="A6637" t="str">
        <f>"9310990"</f>
        <v>9310990</v>
      </c>
      <c r="B6637" t="s">
        <v>8346</v>
      </c>
      <c r="C6637" t="s">
        <v>139</v>
      </c>
      <c r="D6637" s="21" t="s">
        <v>34</v>
      </c>
      <c r="E6637" s="21" t="s">
        <v>35</v>
      </c>
      <c r="F6637">
        <v>7021006</v>
      </c>
      <c r="G6637" t="s">
        <v>26948</v>
      </c>
      <c r="H6637" s="21">
        <v>1117.67</v>
      </c>
    </row>
    <row r="6638" spans="1:8" customFormat="1" x14ac:dyDescent="0.25">
      <c r="A6638" t="str">
        <f>"148104"</f>
        <v>148104</v>
      </c>
      <c r="B6638" t="s">
        <v>208</v>
      </c>
      <c r="C6638" t="s">
        <v>249</v>
      </c>
      <c r="D6638" s="21" t="s">
        <v>34</v>
      </c>
      <c r="E6638" s="21" t="s">
        <v>254</v>
      </c>
      <c r="F6638">
        <v>9140127</v>
      </c>
      <c r="G6638" t="s">
        <v>6641</v>
      </c>
      <c r="H6638" s="21">
        <v>1117.67</v>
      </c>
    </row>
    <row r="6639" spans="1:8" customFormat="1" x14ac:dyDescent="0.25">
      <c r="A6639" t="str">
        <f>"8520373"</f>
        <v>8520373</v>
      </c>
      <c r="B6639" t="s">
        <v>2010</v>
      </c>
      <c r="C6639" t="s">
        <v>209</v>
      </c>
      <c r="D6639" s="21" t="s">
        <v>34</v>
      </c>
      <c r="E6639" s="21" t="s">
        <v>71</v>
      </c>
      <c r="F6639">
        <v>12851011</v>
      </c>
      <c r="G6639" t="s">
        <v>1445</v>
      </c>
      <c r="H6639" s="21">
        <v>1117.67</v>
      </c>
    </row>
    <row r="6640" spans="1:8" customFormat="1" x14ac:dyDescent="0.25">
      <c r="A6640" t="str">
        <f>"808529"</f>
        <v>808529</v>
      </c>
      <c r="B6640" t="s">
        <v>5972</v>
      </c>
      <c r="C6640" t="s">
        <v>119</v>
      </c>
      <c r="D6640" s="21" t="s">
        <v>34</v>
      </c>
      <c r="E6640" s="21" t="s">
        <v>35</v>
      </c>
      <c r="F6640">
        <v>7800011</v>
      </c>
      <c r="G6640" t="s">
        <v>2253</v>
      </c>
      <c r="H6640" s="21">
        <v>1117.67</v>
      </c>
    </row>
    <row r="6641" spans="1:8" customFormat="1" x14ac:dyDescent="0.25">
      <c r="A6641" t="str">
        <f>"1421404"</f>
        <v>1421404</v>
      </c>
      <c r="B6641" t="s">
        <v>7805</v>
      </c>
      <c r="C6641" t="s">
        <v>7806</v>
      </c>
      <c r="D6641" s="21" t="s">
        <v>34</v>
      </c>
      <c r="E6641" s="21" t="s">
        <v>35</v>
      </c>
      <c r="F6641">
        <v>9140009</v>
      </c>
      <c r="G6641" t="s">
        <v>3530</v>
      </c>
      <c r="H6641" s="21">
        <v>1117.67</v>
      </c>
    </row>
    <row r="6642" spans="1:8" customFormat="1" x14ac:dyDescent="0.25">
      <c r="A6642" t="str">
        <f>"505503"</f>
        <v>505503</v>
      </c>
      <c r="B6642" t="s">
        <v>7906</v>
      </c>
      <c r="C6642" t="s">
        <v>33</v>
      </c>
      <c r="D6642" s="21" t="s">
        <v>34</v>
      </c>
      <c r="E6642" s="21" t="s">
        <v>71</v>
      </c>
      <c r="F6642">
        <v>9500143</v>
      </c>
      <c r="G6642" t="s">
        <v>2884</v>
      </c>
      <c r="H6642" s="21">
        <v>1117.67</v>
      </c>
    </row>
    <row r="6643" spans="1:8" customFormat="1" x14ac:dyDescent="0.25">
      <c r="A6643" t="str">
        <f>"92836"</f>
        <v>92836</v>
      </c>
      <c r="B6643" t="s">
        <v>6270</v>
      </c>
      <c r="C6643" t="s">
        <v>415</v>
      </c>
      <c r="D6643" s="21" t="s">
        <v>34</v>
      </c>
      <c r="E6643" s="21" t="s">
        <v>1089</v>
      </c>
      <c r="F6643">
        <v>8920111</v>
      </c>
      <c r="G6643" t="s">
        <v>1064</v>
      </c>
      <c r="H6643" s="21">
        <v>1117.67</v>
      </c>
    </row>
    <row r="6644" spans="1:8" customFormat="1" x14ac:dyDescent="0.25">
      <c r="A6644" t="str">
        <f>"9B120"</f>
        <v>9B120</v>
      </c>
      <c r="B6644" t="s">
        <v>8182</v>
      </c>
      <c r="C6644" t="s">
        <v>209</v>
      </c>
      <c r="D6644" s="21" t="s">
        <v>34</v>
      </c>
      <c r="E6644" s="21" t="s">
        <v>71</v>
      </c>
      <c r="F6644" t="s">
        <v>1403</v>
      </c>
      <c r="G6644" t="s">
        <v>1404</v>
      </c>
      <c r="H6644" s="21">
        <v>1117.67</v>
      </c>
    </row>
    <row r="6645" spans="1:8" customFormat="1" x14ac:dyDescent="0.25">
      <c r="A6645" t="str">
        <f>"3316838"</f>
        <v>3316838</v>
      </c>
      <c r="B6645" t="s">
        <v>1577</v>
      </c>
      <c r="C6645" t="s">
        <v>267</v>
      </c>
      <c r="D6645" s="21" t="s">
        <v>34</v>
      </c>
      <c r="E6645" s="21" t="s">
        <v>71</v>
      </c>
      <c r="F6645">
        <v>10330032</v>
      </c>
      <c r="G6645" t="s">
        <v>4408</v>
      </c>
      <c r="H6645" s="21">
        <v>1117.67</v>
      </c>
    </row>
    <row r="6646" spans="1:8" customFormat="1" x14ac:dyDescent="0.25">
      <c r="A6646" t="str">
        <f>"9526018"</f>
        <v>9526018</v>
      </c>
      <c r="B6646" t="s">
        <v>1883</v>
      </c>
      <c r="C6646" t="s">
        <v>1605</v>
      </c>
      <c r="D6646" s="21" t="s">
        <v>34</v>
      </c>
      <c r="E6646" s="21" t="s">
        <v>35</v>
      </c>
      <c r="F6646">
        <v>8780485</v>
      </c>
      <c r="G6646" t="s">
        <v>1279</v>
      </c>
      <c r="H6646" s="21">
        <v>1117.67</v>
      </c>
    </row>
    <row r="6647" spans="1:8" customFormat="1" x14ac:dyDescent="0.25">
      <c r="A6647" t="str">
        <f>"451619"</f>
        <v>451619</v>
      </c>
      <c r="B6647" t="s">
        <v>7099</v>
      </c>
      <c r="C6647" t="s">
        <v>65</v>
      </c>
      <c r="D6647" s="21" t="s">
        <v>34</v>
      </c>
      <c r="E6647" s="21" t="s">
        <v>35</v>
      </c>
      <c r="F6647">
        <v>4450757</v>
      </c>
      <c r="G6647" t="s">
        <v>3829</v>
      </c>
      <c r="H6647" s="21">
        <v>1117.54</v>
      </c>
    </row>
    <row r="6648" spans="1:8" customFormat="1" x14ac:dyDescent="0.25">
      <c r="A6648" t="str">
        <f>"9239168"</f>
        <v>9239168</v>
      </c>
      <c r="B6648" t="s">
        <v>6937</v>
      </c>
      <c r="C6648" t="s">
        <v>462</v>
      </c>
      <c r="D6648" s="21" t="s">
        <v>34</v>
      </c>
      <c r="E6648" s="21" t="s">
        <v>71</v>
      </c>
      <c r="F6648">
        <v>8920049</v>
      </c>
      <c r="G6648" t="s">
        <v>237</v>
      </c>
      <c r="H6648" s="21">
        <v>1117.43</v>
      </c>
    </row>
    <row r="6649" spans="1:8" customFormat="1" x14ac:dyDescent="0.25">
      <c r="A6649" t="str">
        <f>"5942022"</f>
        <v>5942022</v>
      </c>
      <c r="B6649" t="s">
        <v>8176</v>
      </c>
      <c r="C6649" t="s">
        <v>87</v>
      </c>
      <c r="D6649" s="21" t="s">
        <v>34</v>
      </c>
      <c r="E6649" s="21" t="s">
        <v>35</v>
      </c>
      <c r="F6649">
        <v>7590347</v>
      </c>
      <c r="G6649" t="s">
        <v>6041</v>
      </c>
      <c r="H6649" s="21">
        <v>1117.42</v>
      </c>
    </row>
    <row r="6650" spans="1:8" customFormat="1" x14ac:dyDescent="0.25">
      <c r="A6650" t="str">
        <f>"6710739"</f>
        <v>6710739</v>
      </c>
      <c r="B6650" t="s">
        <v>26949</v>
      </c>
      <c r="C6650" t="s">
        <v>130</v>
      </c>
      <c r="D6650" s="21" t="s">
        <v>34</v>
      </c>
      <c r="E6650" s="21" t="s">
        <v>35</v>
      </c>
      <c r="F6650">
        <v>6670272</v>
      </c>
      <c r="G6650" t="s">
        <v>26568</v>
      </c>
      <c r="H6650" s="21">
        <v>1117.42</v>
      </c>
    </row>
    <row r="6651" spans="1:8" customFormat="1" x14ac:dyDescent="0.25">
      <c r="A6651" t="str">
        <f>"3826071"</f>
        <v>3826071</v>
      </c>
      <c r="B6651" t="s">
        <v>7279</v>
      </c>
      <c r="C6651" t="s">
        <v>712</v>
      </c>
      <c r="D6651" s="21" t="s">
        <v>34</v>
      </c>
      <c r="E6651" s="21" t="s">
        <v>254</v>
      </c>
      <c r="F6651">
        <v>3220002</v>
      </c>
      <c r="G6651" t="s">
        <v>26727</v>
      </c>
      <c r="H6651" s="21">
        <v>1117.31</v>
      </c>
    </row>
    <row r="6652" spans="1:8" customFormat="1" x14ac:dyDescent="0.25">
      <c r="A6652" t="str">
        <f>"9227561"</f>
        <v>9227561</v>
      </c>
      <c r="B6652" t="s">
        <v>2010</v>
      </c>
      <c r="C6652" t="s">
        <v>87</v>
      </c>
      <c r="D6652" s="21" t="s">
        <v>34</v>
      </c>
      <c r="E6652" s="21" t="s">
        <v>35</v>
      </c>
      <c r="F6652">
        <v>8920049</v>
      </c>
      <c r="G6652" t="s">
        <v>237</v>
      </c>
      <c r="H6652" s="21">
        <v>1117.3</v>
      </c>
    </row>
    <row r="6653" spans="1:8" customFormat="1" x14ac:dyDescent="0.25">
      <c r="A6653" t="str">
        <f>"382906"</f>
        <v>382906</v>
      </c>
      <c r="B6653" t="s">
        <v>6953</v>
      </c>
      <c r="C6653" t="s">
        <v>1841</v>
      </c>
      <c r="D6653" s="21" t="s">
        <v>34</v>
      </c>
      <c r="E6653" s="21" t="s">
        <v>254</v>
      </c>
      <c r="F6653">
        <v>1380130</v>
      </c>
      <c r="G6653" t="s">
        <v>6667</v>
      </c>
      <c r="H6653" s="21">
        <v>1117.17</v>
      </c>
    </row>
    <row r="6654" spans="1:8" customFormat="1" x14ac:dyDescent="0.25">
      <c r="A6654" t="str">
        <f>"534410"</f>
        <v>534410</v>
      </c>
      <c r="B6654" t="s">
        <v>6901</v>
      </c>
      <c r="C6654" t="s">
        <v>253</v>
      </c>
      <c r="D6654" s="21" t="s">
        <v>34</v>
      </c>
      <c r="E6654" s="21" t="s">
        <v>71</v>
      </c>
      <c r="F6654">
        <v>12530022</v>
      </c>
      <c r="G6654" t="s">
        <v>914</v>
      </c>
      <c r="H6654" s="21">
        <v>1117.17</v>
      </c>
    </row>
    <row r="6655" spans="1:8" customFormat="1" x14ac:dyDescent="0.25">
      <c r="A6655" t="str">
        <f>"498945"</f>
        <v>498945</v>
      </c>
      <c r="B6655" t="s">
        <v>7516</v>
      </c>
      <c r="C6655" t="s">
        <v>926</v>
      </c>
      <c r="D6655" s="21" t="s">
        <v>34</v>
      </c>
      <c r="E6655" s="21" t="s">
        <v>71</v>
      </c>
      <c r="F6655">
        <v>12490018</v>
      </c>
      <c r="G6655" t="s">
        <v>2269</v>
      </c>
      <c r="H6655" s="21">
        <v>1117.17</v>
      </c>
    </row>
    <row r="6656" spans="1:8" customFormat="1" x14ac:dyDescent="0.25">
      <c r="A6656" t="str">
        <f>"2920668"</f>
        <v>2920668</v>
      </c>
      <c r="B6656" t="s">
        <v>546</v>
      </c>
      <c r="C6656" t="s">
        <v>2907</v>
      </c>
      <c r="D6656" s="21" t="s">
        <v>34</v>
      </c>
      <c r="E6656" s="21" t="s">
        <v>71</v>
      </c>
      <c r="F6656">
        <v>3290275</v>
      </c>
      <c r="G6656" t="s">
        <v>4762</v>
      </c>
      <c r="H6656" s="21">
        <v>1117.17</v>
      </c>
    </row>
    <row r="6657" spans="1:8" customFormat="1" x14ac:dyDescent="0.25">
      <c r="A6657" t="str">
        <f>"7730724"</f>
        <v>7730724</v>
      </c>
      <c r="B6657" t="s">
        <v>7154</v>
      </c>
      <c r="C6657" t="s">
        <v>156</v>
      </c>
      <c r="D6657" s="21" t="s">
        <v>34</v>
      </c>
      <c r="E6657" s="21" t="s">
        <v>71</v>
      </c>
      <c r="F6657">
        <v>8771516</v>
      </c>
      <c r="G6657" t="s">
        <v>7155</v>
      </c>
      <c r="H6657" s="21">
        <v>1117.17</v>
      </c>
    </row>
    <row r="6658" spans="1:8" customFormat="1" x14ac:dyDescent="0.25">
      <c r="A6658" t="str">
        <f>"1417978"</f>
        <v>1417978</v>
      </c>
      <c r="B6658" t="s">
        <v>3555</v>
      </c>
      <c r="C6658" t="s">
        <v>249</v>
      </c>
      <c r="D6658" s="21" t="s">
        <v>34</v>
      </c>
      <c r="E6658" s="21" t="s">
        <v>35</v>
      </c>
      <c r="F6658">
        <v>9140147</v>
      </c>
      <c r="G6658" t="s">
        <v>7584</v>
      </c>
      <c r="H6658" s="21">
        <v>1117.17</v>
      </c>
    </row>
    <row r="6659" spans="1:8" customFormat="1" x14ac:dyDescent="0.25">
      <c r="A6659" t="str">
        <f>"861605"</f>
        <v>861605</v>
      </c>
      <c r="B6659" t="s">
        <v>7985</v>
      </c>
      <c r="C6659" t="s">
        <v>305</v>
      </c>
      <c r="D6659" s="21" t="s">
        <v>34</v>
      </c>
      <c r="E6659" s="21" t="s">
        <v>35</v>
      </c>
      <c r="F6659">
        <v>10860015</v>
      </c>
      <c r="G6659" t="s">
        <v>3680</v>
      </c>
      <c r="H6659" s="21">
        <v>1117.17</v>
      </c>
    </row>
    <row r="6660" spans="1:8" customFormat="1" x14ac:dyDescent="0.25">
      <c r="A6660" t="str">
        <f>"8312910"</f>
        <v>8312910</v>
      </c>
      <c r="B6660" t="s">
        <v>8403</v>
      </c>
      <c r="C6660" t="s">
        <v>169</v>
      </c>
      <c r="D6660" s="21" t="s">
        <v>34</v>
      </c>
      <c r="E6660" s="21" t="s">
        <v>35</v>
      </c>
      <c r="F6660">
        <v>13830060</v>
      </c>
      <c r="G6660" t="s">
        <v>5856</v>
      </c>
      <c r="H6660" s="21">
        <v>1117.17</v>
      </c>
    </row>
    <row r="6661" spans="1:8" customFormat="1" x14ac:dyDescent="0.25">
      <c r="A6661" t="str">
        <f>"51191"</f>
        <v>51191</v>
      </c>
      <c r="B6661" t="s">
        <v>6779</v>
      </c>
      <c r="C6661" t="s">
        <v>2529</v>
      </c>
      <c r="D6661" s="21" t="s">
        <v>34</v>
      </c>
      <c r="E6661" s="21" t="s">
        <v>254</v>
      </c>
      <c r="F6661">
        <v>6510058</v>
      </c>
      <c r="G6661" t="s">
        <v>6780</v>
      </c>
      <c r="H6661" s="21">
        <v>1117.17</v>
      </c>
    </row>
    <row r="6662" spans="1:8" customFormat="1" x14ac:dyDescent="0.25">
      <c r="A6662" t="str">
        <f>"8012694"</f>
        <v>8012694</v>
      </c>
      <c r="B6662" t="s">
        <v>7308</v>
      </c>
      <c r="C6662" t="s">
        <v>33</v>
      </c>
      <c r="D6662" s="21" t="s">
        <v>34</v>
      </c>
      <c r="E6662" s="21" t="s">
        <v>35</v>
      </c>
      <c r="F6662">
        <v>7800033</v>
      </c>
      <c r="G6662" t="s">
        <v>7309</v>
      </c>
      <c r="H6662" s="21">
        <v>1117.17</v>
      </c>
    </row>
    <row r="6663" spans="1:8" customFormat="1" x14ac:dyDescent="0.25">
      <c r="A6663" t="str">
        <f>"5112281"</f>
        <v>5112281</v>
      </c>
      <c r="B6663" t="s">
        <v>8552</v>
      </c>
      <c r="C6663" t="s">
        <v>62</v>
      </c>
      <c r="D6663" s="21" t="s">
        <v>34</v>
      </c>
      <c r="E6663" s="21" t="s">
        <v>71</v>
      </c>
      <c r="F6663">
        <v>6510009</v>
      </c>
      <c r="G6663" t="s">
        <v>26950</v>
      </c>
      <c r="H6663" s="21">
        <v>1117.17</v>
      </c>
    </row>
    <row r="6664" spans="1:8" customFormat="1" x14ac:dyDescent="0.25">
      <c r="A6664" t="str">
        <f>"7714064"</f>
        <v>7714064</v>
      </c>
      <c r="B6664" t="s">
        <v>7346</v>
      </c>
      <c r="C6664" t="s">
        <v>236</v>
      </c>
      <c r="D6664" s="21" t="s">
        <v>34</v>
      </c>
      <c r="E6664" s="21" t="s">
        <v>254</v>
      </c>
      <c r="F6664">
        <v>8770426</v>
      </c>
      <c r="G6664" t="s">
        <v>1847</v>
      </c>
      <c r="H6664" s="21">
        <v>1117.17</v>
      </c>
    </row>
    <row r="6665" spans="1:8" customFormat="1" x14ac:dyDescent="0.25">
      <c r="A6665" t="str">
        <f>"5320091"</f>
        <v>5320091</v>
      </c>
      <c r="B6665" t="s">
        <v>7301</v>
      </c>
      <c r="C6665" t="s">
        <v>2520</v>
      </c>
      <c r="D6665" s="21" t="s">
        <v>34</v>
      </c>
      <c r="E6665" s="21" t="s">
        <v>71</v>
      </c>
      <c r="F6665">
        <v>12530059</v>
      </c>
      <c r="G6665" t="s">
        <v>4062</v>
      </c>
      <c r="H6665" s="21">
        <v>1117.17</v>
      </c>
    </row>
    <row r="6666" spans="1:8" customFormat="1" x14ac:dyDescent="0.25">
      <c r="A6666" t="str">
        <f>"4416815"</f>
        <v>4416815</v>
      </c>
      <c r="B6666" t="s">
        <v>8146</v>
      </c>
      <c r="C6666" t="s">
        <v>328</v>
      </c>
      <c r="D6666" s="21" t="s">
        <v>34</v>
      </c>
      <c r="E6666" s="21" t="s">
        <v>71</v>
      </c>
      <c r="F6666">
        <v>12440049</v>
      </c>
      <c r="G6666" t="s">
        <v>3339</v>
      </c>
      <c r="H6666" s="21">
        <v>1117.17</v>
      </c>
    </row>
    <row r="6667" spans="1:8" customFormat="1" x14ac:dyDescent="0.25">
      <c r="A6667" t="str">
        <f>"2814685"</f>
        <v>2814685</v>
      </c>
      <c r="B6667" t="s">
        <v>5597</v>
      </c>
      <c r="C6667" t="s">
        <v>263</v>
      </c>
      <c r="D6667" s="21" t="s">
        <v>34</v>
      </c>
      <c r="E6667" s="21" t="s">
        <v>71</v>
      </c>
      <c r="F6667">
        <v>4280681</v>
      </c>
      <c r="G6667" t="s">
        <v>1656</v>
      </c>
      <c r="H6667" s="21">
        <v>1117.17</v>
      </c>
    </row>
    <row r="6668" spans="1:8" customFormat="1" x14ac:dyDescent="0.25">
      <c r="A6668" t="str">
        <f>"3338158"</f>
        <v>3338158</v>
      </c>
      <c r="B6668" t="s">
        <v>9062</v>
      </c>
      <c r="C6668" t="s">
        <v>9063</v>
      </c>
      <c r="D6668" s="21" t="s">
        <v>34</v>
      </c>
      <c r="E6668" s="21" t="s">
        <v>71</v>
      </c>
      <c r="F6668">
        <v>10330004</v>
      </c>
      <c r="G6668" t="s">
        <v>525</v>
      </c>
      <c r="H6668" s="21">
        <v>1117.06</v>
      </c>
    </row>
    <row r="6669" spans="1:8" customFormat="1" x14ac:dyDescent="0.25">
      <c r="A6669" t="str">
        <f>"7714692"</f>
        <v>7714692</v>
      </c>
      <c r="B6669" t="s">
        <v>14380</v>
      </c>
      <c r="C6669" t="s">
        <v>26951</v>
      </c>
      <c r="D6669" s="21" t="s">
        <v>34</v>
      </c>
      <c r="E6669" s="21" t="s">
        <v>35</v>
      </c>
      <c r="F6669">
        <v>8940326</v>
      </c>
      <c r="G6669" t="s">
        <v>659</v>
      </c>
      <c r="H6669" s="21">
        <v>1117</v>
      </c>
    </row>
    <row r="6670" spans="1:8" customFormat="1" x14ac:dyDescent="0.25">
      <c r="A6670" t="str">
        <f>"9726765"</f>
        <v>9726765</v>
      </c>
      <c r="B6670" t="s">
        <v>6304</v>
      </c>
      <c r="C6670" t="s">
        <v>1325</v>
      </c>
      <c r="D6670" s="21" t="s">
        <v>34</v>
      </c>
      <c r="E6670" s="21" t="s">
        <v>71</v>
      </c>
      <c r="F6670" t="s">
        <v>3911</v>
      </c>
      <c r="G6670" t="s">
        <v>3912</v>
      </c>
      <c r="H6670" s="21">
        <v>1116.93</v>
      </c>
    </row>
    <row r="6671" spans="1:8" customFormat="1" x14ac:dyDescent="0.25">
      <c r="A6671" t="str">
        <f>"3524552"</f>
        <v>3524552</v>
      </c>
      <c r="B6671" t="s">
        <v>9611</v>
      </c>
      <c r="C6671" t="s">
        <v>87</v>
      </c>
      <c r="D6671" s="21" t="s">
        <v>34</v>
      </c>
      <c r="E6671" s="21" t="s">
        <v>35</v>
      </c>
      <c r="F6671">
        <v>3560036</v>
      </c>
      <c r="G6671" t="s">
        <v>910</v>
      </c>
      <c r="H6671" s="21">
        <v>1116.92</v>
      </c>
    </row>
    <row r="6672" spans="1:8" customFormat="1" x14ac:dyDescent="0.25">
      <c r="A6672" t="str">
        <f>"9124137"</f>
        <v>9124137</v>
      </c>
      <c r="B6672" t="s">
        <v>1955</v>
      </c>
      <c r="C6672" t="s">
        <v>43</v>
      </c>
      <c r="D6672" s="21" t="s">
        <v>34</v>
      </c>
      <c r="E6672" s="21" t="s">
        <v>35</v>
      </c>
      <c r="F6672">
        <v>8910310</v>
      </c>
      <c r="G6672" t="s">
        <v>6645</v>
      </c>
      <c r="H6672" s="21">
        <v>1116.8</v>
      </c>
    </row>
    <row r="6673" spans="1:8" customFormat="1" x14ac:dyDescent="0.25">
      <c r="A6673" t="str">
        <f>"4918141"</f>
        <v>4918141</v>
      </c>
      <c r="B6673" t="s">
        <v>6683</v>
      </c>
      <c r="C6673" t="s">
        <v>267</v>
      </c>
      <c r="D6673" s="21" t="s">
        <v>34</v>
      </c>
      <c r="E6673" s="21" t="s">
        <v>35</v>
      </c>
      <c r="F6673">
        <v>12490043</v>
      </c>
      <c r="G6673" t="s">
        <v>6008</v>
      </c>
      <c r="H6673" s="21">
        <v>1116.8</v>
      </c>
    </row>
    <row r="6674" spans="1:8" customFormat="1" x14ac:dyDescent="0.25">
      <c r="A6674" t="str">
        <f>"7638207"</f>
        <v>7638207</v>
      </c>
      <c r="B6674" t="s">
        <v>7639</v>
      </c>
      <c r="C6674" t="s">
        <v>130</v>
      </c>
      <c r="D6674" s="21" t="s">
        <v>34</v>
      </c>
      <c r="E6674" s="21" t="s">
        <v>35</v>
      </c>
      <c r="F6674">
        <v>9760366</v>
      </c>
      <c r="G6674" t="s">
        <v>7640</v>
      </c>
      <c r="H6674" s="21">
        <v>1116.67</v>
      </c>
    </row>
    <row r="6675" spans="1:8" customFormat="1" x14ac:dyDescent="0.25">
      <c r="A6675" t="str">
        <f>"1718"</f>
        <v>1718</v>
      </c>
      <c r="B6675" t="s">
        <v>7139</v>
      </c>
      <c r="C6675" t="s">
        <v>236</v>
      </c>
      <c r="D6675" s="21" t="s">
        <v>34</v>
      </c>
      <c r="E6675" s="21" t="s">
        <v>254</v>
      </c>
      <c r="F6675">
        <v>10170033</v>
      </c>
      <c r="G6675" t="s">
        <v>3756</v>
      </c>
      <c r="H6675" s="21">
        <v>1116.67</v>
      </c>
    </row>
    <row r="6676" spans="1:8" customFormat="1" x14ac:dyDescent="0.25">
      <c r="A6676" t="str">
        <f>"215561"</f>
        <v>215561</v>
      </c>
      <c r="B6676" t="s">
        <v>7152</v>
      </c>
      <c r="C6676" t="s">
        <v>239</v>
      </c>
      <c r="D6676" s="21" t="s">
        <v>34</v>
      </c>
      <c r="E6676" s="21" t="s">
        <v>71</v>
      </c>
      <c r="F6676">
        <v>2210101</v>
      </c>
      <c r="G6676" t="s">
        <v>1374</v>
      </c>
      <c r="H6676" s="21">
        <v>1116.67</v>
      </c>
    </row>
    <row r="6677" spans="1:8" customFormat="1" x14ac:dyDescent="0.25">
      <c r="A6677" t="str">
        <f>"5413760"</f>
        <v>5413760</v>
      </c>
      <c r="B6677" t="s">
        <v>7750</v>
      </c>
      <c r="C6677" t="s">
        <v>82</v>
      </c>
      <c r="D6677" s="21" t="s">
        <v>34</v>
      </c>
      <c r="E6677" s="21" t="s">
        <v>35</v>
      </c>
      <c r="F6677">
        <v>6540001</v>
      </c>
      <c r="G6677" t="s">
        <v>5886</v>
      </c>
      <c r="H6677" s="21">
        <v>1116.67</v>
      </c>
    </row>
    <row r="6678" spans="1:8" customFormat="1" x14ac:dyDescent="0.25">
      <c r="A6678" t="str">
        <f>"603559"</f>
        <v>603559</v>
      </c>
      <c r="B6678" t="s">
        <v>7540</v>
      </c>
      <c r="C6678" t="s">
        <v>139</v>
      </c>
      <c r="D6678" s="21" t="s">
        <v>34</v>
      </c>
      <c r="E6678" s="21" t="s">
        <v>35</v>
      </c>
      <c r="F6678">
        <v>7600008</v>
      </c>
      <c r="G6678" t="s">
        <v>4646</v>
      </c>
      <c r="H6678" s="21">
        <v>1116.67</v>
      </c>
    </row>
    <row r="6679" spans="1:8" customFormat="1" x14ac:dyDescent="0.25">
      <c r="A6679" t="str">
        <f>"3532750"</f>
        <v>3532750</v>
      </c>
      <c r="B6679" t="s">
        <v>7428</v>
      </c>
      <c r="C6679" t="s">
        <v>7429</v>
      </c>
      <c r="D6679" s="21" t="s">
        <v>34</v>
      </c>
      <c r="E6679" s="21" t="s">
        <v>35</v>
      </c>
      <c r="F6679">
        <v>3350087</v>
      </c>
      <c r="G6679" t="s">
        <v>7430</v>
      </c>
      <c r="H6679" s="21">
        <v>1116.67</v>
      </c>
    </row>
    <row r="6680" spans="1:8" customFormat="1" x14ac:dyDescent="0.25">
      <c r="A6680" t="str">
        <f>"2915520"</f>
        <v>2915520</v>
      </c>
      <c r="B6680" t="s">
        <v>3986</v>
      </c>
      <c r="C6680" t="s">
        <v>55</v>
      </c>
      <c r="D6680" s="21" t="s">
        <v>34</v>
      </c>
      <c r="E6680" s="21" t="s">
        <v>35</v>
      </c>
      <c r="F6680">
        <v>3290027</v>
      </c>
      <c r="G6680" t="s">
        <v>6108</v>
      </c>
      <c r="H6680" s="21">
        <v>1116.67</v>
      </c>
    </row>
    <row r="6681" spans="1:8" customFormat="1" x14ac:dyDescent="0.25">
      <c r="A6681" t="str">
        <f>"861758"</f>
        <v>861758</v>
      </c>
      <c r="B6681" t="s">
        <v>7142</v>
      </c>
      <c r="C6681" t="s">
        <v>209</v>
      </c>
      <c r="D6681" s="21" t="s">
        <v>34</v>
      </c>
      <c r="E6681" s="21" t="s">
        <v>254</v>
      </c>
      <c r="F6681">
        <v>10860035</v>
      </c>
      <c r="G6681" t="s">
        <v>4019</v>
      </c>
      <c r="H6681" s="21">
        <v>1116.67</v>
      </c>
    </row>
    <row r="6682" spans="1:8" customFormat="1" x14ac:dyDescent="0.25">
      <c r="A6682" t="str">
        <f>"92880"</f>
        <v>92880</v>
      </c>
      <c r="B6682" t="s">
        <v>7156</v>
      </c>
      <c r="C6682" t="s">
        <v>269</v>
      </c>
      <c r="D6682" s="21" t="s">
        <v>34</v>
      </c>
      <c r="E6682" s="21" t="s">
        <v>71</v>
      </c>
      <c r="F6682">
        <v>8920126</v>
      </c>
      <c r="G6682" t="s">
        <v>1168</v>
      </c>
      <c r="H6682" s="21">
        <v>1116.67</v>
      </c>
    </row>
    <row r="6683" spans="1:8" customFormat="1" x14ac:dyDescent="0.25">
      <c r="A6683" t="str">
        <f>"029291"</f>
        <v>029291</v>
      </c>
      <c r="B6683" t="s">
        <v>8124</v>
      </c>
      <c r="C6683" t="s">
        <v>124</v>
      </c>
      <c r="D6683" s="21" t="s">
        <v>34</v>
      </c>
      <c r="E6683" s="21" t="s">
        <v>35</v>
      </c>
      <c r="F6683">
        <v>7020019</v>
      </c>
      <c r="G6683" t="s">
        <v>7912</v>
      </c>
      <c r="H6683" s="21">
        <v>1116.17</v>
      </c>
    </row>
    <row r="6684" spans="1:8" customFormat="1" x14ac:dyDescent="0.25">
      <c r="A6684" t="str">
        <f>"851058"</f>
        <v>851058</v>
      </c>
      <c r="B6684" t="s">
        <v>2489</v>
      </c>
      <c r="C6684" t="s">
        <v>62</v>
      </c>
      <c r="D6684" s="21" t="s">
        <v>34</v>
      </c>
      <c r="E6684" s="21" t="s">
        <v>71</v>
      </c>
      <c r="F6684">
        <v>12850030</v>
      </c>
      <c r="G6684" t="s">
        <v>5078</v>
      </c>
      <c r="H6684" s="21">
        <v>1116.17</v>
      </c>
    </row>
    <row r="6685" spans="1:8" customFormat="1" x14ac:dyDescent="0.25">
      <c r="A6685" t="str">
        <f>"336016"</f>
        <v>336016</v>
      </c>
      <c r="B6685" t="s">
        <v>1885</v>
      </c>
      <c r="C6685" t="s">
        <v>453</v>
      </c>
      <c r="D6685" s="21" t="s">
        <v>34</v>
      </c>
      <c r="E6685" s="21" t="s">
        <v>254</v>
      </c>
      <c r="F6685">
        <v>10330032</v>
      </c>
      <c r="G6685" t="s">
        <v>4408</v>
      </c>
      <c r="H6685" s="21">
        <v>1116.17</v>
      </c>
    </row>
    <row r="6686" spans="1:8" customFormat="1" x14ac:dyDescent="0.25">
      <c r="A6686" t="str">
        <f>"943250"</f>
        <v>943250</v>
      </c>
      <c r="B6686" t="s">
        <v>6506</v>
      </c>
      <c r="C6686" t="s">
        <v>55</v>
      </c>
      <c r="D6686" s="21" t="s">
        <v>34</v>
      </c>
      <c r="E6686" s="21" t="s">
        <v>71</v>
      </c>
      <c r="F6686">
        <v>8751412</v>
      </c>
      <c r="G6686" t="s">
        <v>3615</v>
      </c>
      <c r="H6686" s="21">
        <v>1116.17</v>
      </c>
    </row>
    <row r="6687" spans="1:8" customFormat="1" x14ac:dyDescent="0.25">
      <c r="A6687" t="str">
        <f>"6947611"</f>
        <v>6947611</v>
      </c>
      <c r="B6687" t="s">
        <v>12533</v>
      </c>
      <c r="C6687" t="s">
        <v>33</v>
      </c>
      <c r="D6687" s="21" t="s">
        <v>34</v>
      </c>
      <c r="E6687" s="21" t="s">
        <v>71</v>
      </c>
      <c r="F6687">
        <v>1690064</v>
      </c>
      <c r="G6687" t="s">
        <v>9490</v>
      </c>
      <c r="H6687" s="21">
        <v>1116.17</v>
      </c>
    </row>
    <row r="6688" spans="1:8" customFormat="1" x14ac:dyDescent="0.25">
      <c r="A6688" t="str">
        <f>"6724094"</f>
        <v>6724094</v>
      </c>
      <c r="B6688" t="s">
        <v>8289</v>
      </c>
      <c r="C6688" t="s">
        <v>2365</v>
      </c>
      <c r="D6688" s="21" t="s">
        <v>34</v>
      </c>
      <c r="E6688" s="21" t="s">
        <v>35</v>
      </c>
      <c r="F6688">
        <v>6670257</v>
      </c>
      <c r="G6688" t="s">
        <v>26708</v>
      </c>
      <c r="H6688" s="21">
        <v>1116.17</v>
      </c>
    </row>
    <row r="6689" spans="1:8" customFormat="1" x14ac:dyDescent="0.25">
      <c r="A6689" t="str">
        <f>"4449429"</f>
        <v>4449429</v>
      </c>
      <c r="B6689" t="s">
        <v>6463</v>
      </c>
      <c r="C6689" t="s">
        <v>171</v>
      </c>
      <c r="D6689" s="21" t="s">
        <v>34</v>
      </c>
      <c r="E6689" s="21" t="s">
        <v>35</v>
      </c>
      <c r="F6689">
        <v>12440042</v>
      </c>
      <c r="G6689" t="s">
        <v>10312</v>
      </c>
      <c r="H6689" s="21">
        <v>1116.05</v>
      </c>
    </row>
    <row r="6690" spans="1:8" customFormat="1" x14ac:dyDescent="0.25">
      <c r="A6690" t="str">
        <f>"063867"</f>
        <v>063867</v>
      </c>
      <c r="B6690" t="s">
        <v>5011</v>
      </c>
      <c r="C6690" t="s">
        <v>2529</v>
      </c>
      <c r="D6690" s="21" t="s">
        <v>34</v>
      </c>
      <c r="E6690" s="21" t="s">
        <v>35</v>
      </c>
      <c r="F6690">
        <v>13060064</v>
      </c>
      <c r="G6690" t="s">
        <v>976</v>
      </c>
      <c r="H6690" s="21">
        <v>1115.8</v>
      </c>
    </row>
    <row r="6691" spans="1:8" customFormat="1" x14ac:dyDescent="0.25">
      <c r="A6691" t="str">
        <f>"587142"</f>
        <v>587142</v>
      </c>
      <c r="B6691" t="s">
        <v>5558</v>
      </c>
      <c r="C6691" t="s">
        <v>328</v>
      </c>
      <c r="D6691" s="21" t="s">
        <v>34</v>
      </c>
      <c r="E6691" s="21" t="s">
        <v>35</v>
      </c>
      <c r="F6691">
        <v>2580010</v>
      </c>
      <c r="G6691" t="s">
        <v>1965</v>
      </c>
      <c r="H6691" s="21">
        <v>1115.67</v>
      </c>
    </row>
    <row r="6692" spans="1:8" customFormat="1" x14ac:dyDescent="0.25">
      <c r="A6692" t="str">
        <f>"9520998"</f>
        <v>9520998</v>
      </c>
      <c r="B6692" t="s">
        <v>1490</v>
      </c>
      <c r="C6692" t="s">
        <v>33</v>
      </c>
      <c r="D6692" s="21" t="s">
        <v>34</v>
      </c>
      <c r="E6692" s="21" t="s">
        <v>35</v>
      </c>
      <c r="F6692">
        <v>8950083</v>
      </c>
      <c r="G6692" t="s">
        <v>405</v>
      </c>
      <c r="H6692" s="21">
        <v>1115.67</v>
      </c>
    </row>
    <row r="6693" spans="1:8" customFormat="1" x14ac:dyDescent="0.25">
      <c r="A6693" t="str">
        <f>"44655"</f>
        <v>44655</v>
      </c>
      <c r="B6693" t="s">
        <v>7163</v>
      </c>
      <c r="C6693" t="s">
        <v>209</v>
      </c>
      <c r="D6693" s="21" t="s">
        <v>34</v>
      </c>
      <c r="E6693" s="21" t="s">
        <v>71</v>
      </c>
      <c r="F6693">
        <v>12440020</v>
      </c>
      <c r="G6693" t="s">
        <v>4606</v>
      </c>
      <c r="H6693" s="21">
        <v>1115.67</v>
      </c>
    </row>
    <row r="6694" spans="1:8" customFormat="1" x14ac:dyDescent="0.25">
      <c r="A6694" t="str">
        <f>"602189"</f>
        <v>602189</v>
      </c>
      <c r="B6694" t="s">
        <v>7378</v>
      </c>
      <c r="C6694" t="s">
        <v>249</v>
      </c>
      <c r="D6694" s="21" t="s">
        <v>34</v>
      </c>
      <c r="E6694" s="21" t="s">
        <v>71</v>
      </c>
      <c r="F6694">
        <v>7600039</v>
      </c>
      <c r="G6694" t="s">
        <v>3151</v>
      </c>
      <c r="H6694" s="21">
        <v>1115.67</v>
      </c>
    </row>
    <row r="6695" spans="1:8" customFormat="1" x14ac:dyDescent="0.25">
      <c r="A6695" t="str">
        <f>"5557"</f>
        <v>5557</v>
      </c>
      <c r="B6695" t="s">
        <v>5577</v>
      </c>
      <c r="C6695" t="s">
        <v>576</v>
      </c>
      <c r="D6695" s="21" t="s">
        <v>34</v>
      </c>
      <c r="E6695" s="21" t="s">
        <v>71</v>
      </c>
      <c r="F6695">
        <v>6550020</v>
      </c>
      <c r="G6695" t="s">
        <v>7526</v>
      </c>
      <c r="H6695" s="21">
        <v>1115.67</v>
      </c>
    </row>
    <row r="6696" spans="1:8" customFormat="1" x14ac:dyDescent="0.25">
      <c r="A6696" t="str">
        <f>"62490"</f>
        <v>62490</v>
      </c>
      <c r="B6696" t="s">
        <v>8141</v>
      </c>
      <c r="C6696" t="s">
        <v>1605</v>
      </c>
      <c r="D6696" s="21" t="s">
        <v>34</v>
      </c>
      <c r="E6696" s="21" t="s">
        <v>71</v>
      </c>
      <c r="F6696">
        <v>7620064</v>
      </c>
      <c r="G6696" t="s">
        <v>2266</v>
      </c>
      <c r="H6696" s="21">
        <v>1115.67</v>
      </c>
    </row>
    <row r="6697" spans="1:8" customFormat="1" x14ac:dyDescent="0.25">
      <c r="A6697" t="str">
        <f>"712516"</f>
        <v>712516</v>
      </c>
      <c r="B6697" t="s">
        <v>7254</v>
      </c>
      <c r="C6697" t="s">
        <v>55</v>
      </c>
      <c r="D6697" s="21" t="s">
        <v>34</v>
      </c>
      <c r="E6697" s="21" t="s">
        <v>71</v>
      </c>
      <c r="F6697">
        <v>2710067</v>
      </c>
      <c r="G6697" t="s">
        <v>284</v>
      </c>
      <c r="H6697" s="21">
        <v>1115.67</v>
      </c>
    </row>
    <row r="6698" spans="1:8" customFormat="1" x14ac:dyDescent="0.25">
      <c r="A6698" t="str">
        <f>"5318330"</f>
        <v>5318330</v>
      </c>
      <c r="B6698" t="s">
        <v>23772</v>
      </c>
      <c r="C6698" t="s">
        <v>3098</v>
      </c>
      <c r="D6698" s="21" t="s">
        <v>34</v>
      </c>
      <c r="E6698" s="21" t="s">
        <v>35</v>
      </c>
      <c r="F6698">
        <v>12530036</v>
      </c>
      <c r="G6698" t="s">
        <v>2200</v>
      </c>
      <c r="H6698" s="21">
        <v>1115.67</v>
      </c>
    </row>
    <row r="6699" spans="1:8" customFormat="1" x14ac:dyDescent="0.25">
      <c r="A6699" t="str">
        <f>"183939"</f>
        <v>183939</v>
      </c>
      <c r="B6699" t="s">
        <v>67</v>
      </c>
      <c r="C6699" t="s">
        <v>2072</v>
      </c>
      <c r="D6699" s="21" t="s">
        <v>34</v>
      </c>
      <c r="E6699" s="21" t="s">
        <v>71</v>
      </c>
      <c r="F6699">
        <v>4180716</v>
      </c>
      <c r="G6699" t="s">
        <v>7669</v>
      </c>
      <c r="H6699" s="21">
        <v>1115.67</v>
      </c>
    </row>
    <row r="6700" spans="1:8" customFormat="1" x14ac:dyDescent="0.25">
      <c r="A6700" t="str">
        <f>"5413867"</f>
        <v>5413867</v>
      </c>
      <c r="B6700" t="s">
        <v>7223</v>
      </c>
      <c r="C6700" t="s">
        <v>1271</v>
      </c>
      <c r="D6700" s="21" t="s">
        <v>34</v>
      </c>
      <c r="E6700" s="21" t="s">
        <v>71</v>
      </c>
      <c r="F6700">
        <v>11810033</v>
      </c>
      <c r="G6700" t="s">
        <v>3852</v>
      </c>
      <c r="H6700" s="21">
        <v>1115.67</v>
      </c>
    </row>
    <row r="6701" spans="1:8" customFormat="1" x14ac:dyDescent="0.25">
      <c r="A6701" t="str">
        <f>"7726342"</f>
        <v>7726342</v>
      </c>
      <c r="B6701" t="s">
        <v>6726</v>
      </c>
      <c r="C6701" t="s">
        <v>462</v>
      </c>
      <c r="D6701" s="21" t="s">
        <v>34</v>
      </c>
      <c r="E6701" s="21" t="s">
        <v>35</v>
      </c>
      <c r="F6701">
        <v>8771085</v>
      </c>
      <c r="G6701" t="s">
        <v>11894</v>
      </c>
      <c r="H6701" s="21">
        <v>1115.67</v>
      </c>
    </row>
    <row r="6702" spans="1:8" customFormat="1" x14ac:dyDescent="0.25">
      <c r="A6702" t="str">
        <f>"3519992"</f>
        <v>3519992</v>
      </c>
      <c r="B6702" t="s">
        <v>26952</v>
      </c>
      <c r="C6702" t="s">
        <v>87</v>
      </c>
      <c r="D6702" s="21" t="s">
        <v>34</v>
      </c>
      <c r="E6702" s="21" t="s">
        <v>71</v>
      </c>
      <c r="F6702">
        <v>8910077</v>
      </c>
      <c r="G6702" t="s">
        <v>1380</v>
      </c>
      <c r="H6702" s="21">
        <v>1115.55</v>
      </c>
    </row>
    <row r="6703" spans="1:8" customFormat="1" x14ac:dyDescent="0.25">
      <c r="A6703" t="str">
        <f>"5610986"</f>
        <v>5610986</v>
      </c>
      <c r="B6703" t="s">
        <v>7127</v>
      </c>
      <c r="C6703" t="s">
        <v>302</v>
      </c>
      <c r="D6703" s="21" t="s">
        <v>34</v>
      </c>
      <c r="E6703" s="21" t="s">
        <v>71</v>
      </c>
      <c r="F6703">
        <v>3560020</v>
      </c>
      <c r="G6703" t="s">
        <v>426</v>
      </c>
      <c r="H6703" s="21">
        <v>1115.42</v>
      </c>
    </row>
    <row r="6704" spans="1:8" customFormat="1" x14ac:dyDescent="0.25">
      <c r="A6704" t="str">
        <f>"4450624"</f>
        <v>4450624</v>
      </c>
      <c r="B6704" t="s">
        <v>7190</v>
      </c>
      <c r="C6704" t="s">
        <v>40</v>
      </c>
      <c r="D6704" s="21" t="s">
        <v>34</v>
      </c>
      <c r="E6704" s="21" t="s">
        <v>254</v>
      </c>
      <c r="F6704">
        <v>12440038</v>
      </c>
      <c r="G6704" t="s">
        <v>2057</v>
      </c>
      <c r="H6704" s="21">
        <v>1115.42</v>
      </c>
    </row>
    <row r="6705" spans="1:8" customFormat="1" x14ac:dyDescent="0.25">
      <c r="A6705" t="str">
        <f>"141658"</f>
        <v>141658</v>
      </c>
      <c r="B6705" t="s">
        <v>3146</v>
      </c>
      <c r="C6705" t="s">
        <v>275</v>
      </c>
      <c r="D6705" s="21" t="s">
        <v>34</v>
      </c>
      <c r="E6705" s="21" t="s">
        <v>35</v>
      </c>
      <c r="F6705">
        <v>9140063</v>
      </c>
      <c r="G6705" t="s">
        <v>4764</v>
      </c>
      <c r="H6705" s="21">
        <v>1115.17</v>
      </c>
    </row>
    <row r="6706" spans="1:8" customFormat="1" x14ac:dyDescent="0.25">
      <c r="A6706" t="str">
        <f>"544998"</f>
        <v>544998</v>
      </c>
      <c r="B6706" t="s">
        <v>890</v>
      </c>
      <c r="C6706" t="s">
        <v>40</v>
      </c>
      <c r="D6706" s="21" t="s">
        <v>34</v>
      </c>
      <c r="E6706" s="21" t="s">
        <v>254</v>
      </c>
      <c r="F6706">
        <v>6540014</v>
      </c>
      <c r="G6706" t="s">
        <v>1483</v>
      </c>
      <c r="H6706" s="21">
        <v>1115.17</v>
      </c>
    </row>
    <row r="6707" spans="1:8" customFormat="1" x14ac:dyDescent="0.25">
      <c r="A6707" t="str">
        <f>"839000"</f>
        <v>839000</v>
      </c>
      <c r="B6707" t="s">
        <v>7408</v>
      </c>
      <c r="C6707" t="s">
        <v>139</v>
      </c>
      <c r="D6707" s="21" t="s">
        <v>34</v>
      </c>
      <c r="E6707" s="21" t="s">
        <v>35</v>
      </c>
      <c r="F6707">
        <v>6100005</v>
      </c>
      <c r="G6707" t="s">
        <v>855</v>
      </c>
      <c r="H6707" s="21">
        <v>1115.17</v>
      </c>
    </row>
    <row r="6708" spans="1:8" customFormat="1" x14ac:dyDescent="0.25">
      <c r="A6708" t="str">
        <f>"2922270"</f>
        <v>2922270</v>
      </c>
      <c r="B6708" t="s">
        <v>6906</v>
      </c>
      <c r="C6708" t="s">
        <v>428</v>
      </c>
      <c r="D6708" s="21" t="s">
        <v>34</v>
      </c>
      <c r="E6708" s="21" t="s">
        <v>35</v>
      </c>
      <c r="F6708">
        <v>3220123</v>
      </c>
      <c r="G6708" t="s">
        <v>26953</v>
      </c>
      <c r="H6708" s="21">
        <v>1115.17</v>
      </c>
    </row>
    <row r="6709" spans="1:8" customFormat="1" x14ac:dyDescent="0.25">
      <c r="A6709" t="str">
        <f>"442924"</f>
        <v>442924</v>
      </c>
      <c r="B6709" t="s">
        <v>6407</v>
      </c>
      <c r="C6709" t="s">
        <v>3010</v>
      </c>
      <c r="D6709" s="21" t="s">
        <v>34</v>
      </c>
      <c r="E6709" s="21" t="s">
        <v>254</v>
      </c>
      <c r="F6709">
        <v>12440024</v>
      </c>
      <c r="G6709" t="s">
        <v>2205</v>
      </c>
      <c r="H6709" s="21">
        <v>1115.17</v>
      </c>
    </row>
    <row r="6710" spans="1:8" customFormat="1" x14ac:dyDescent="0.25">
      <c r="A6710" t="str">
        <f>"761509"</f>
        <v>761509</v>
      </c>
      <c r="B6710" t="s">
        <v>6925</v>
      </c>
      <c r="C6710" t="s">
        <v>249</v>
      </c>
      <c r="D6710" s="21" t="s">
        <v>34</v>
      </c>
      <c r="E6710" s="21" t="s">
        <v>71</v>
      </c>
      <c r="F6710">
        <v>9760352</v>
      </c>
      <c r="G6710" t="s">
        <v>7885</v>
      </c>
      <c r="H6710" s="21">
        <v>1115.17</v>
      </c>
    </row>
    <row r="6711" spans="1:8" customFormat="1" x14ac:dyDescent="0.25">
      <c r="A6711" t="str">
        <f>"2512944"</f>
        <v>2512944</v>
      </c>
      <c r="B6711" t="s">
        <v>7522</v>
      </c>
      <c r="C6711" t="s">
        <v>285</v>
      </c>
      <c r="D6711" s="21" t="s">
        <v>34</v>
      </c>
      <c r="E6711" s="21" t="s">
        <v>35</v>
      </c>
      <c r="F6711">
        <v>2390003</v>
      </c>
      <c r="G6711" t="s">
        <v>1150</v>
      </c>
      <c r="H6711" s="21">
        <v>1115.17</v>
      </c>
    </row>
    <row r="6712" spans="1:8" customFormat="1" x14ac:dyDescent="0.25">
      <c r="A6712" t="str">
        <f>"517394"</f>
        <v>517394</v>
      </c>
      <c r="B6712" t="s">
        <v>7120</v>
      </c>
      <c r="C6712" t="s">
        <v>33</v>
      </c>
      <c r="D6712" s="21" t="s">
        <v>34</v>
      </c>
      <c r="E6712" s="21" t="s">
        <v>71</v>
      </c>
      <c r="F6712">
        <v>6510064</v>
      </c>
      <c r="G6712" t="s">
        <v>6183</v>
      </c>
      <c r="H6712" s="21">
        <v>1115.17</v>
      </c>
    </row>
    <row r="6713" spans="1:8" customFormat="1" x14ac:dyDescent="0.25">
      <c r="A6713" t="str">
        <f>"626287"</f>
        <v>626287</v>
      </c>
      <c r="B6713" t="s">
        <v>6891</v>
      </c>
      <c r="C6713" t="s">
        <v>198</v>
      </c>
      <c r="D6713" s="21" t="s">
        <v>34</v>
      </c>
      <c r="E6713" s="21" t="s">
        <v>35</v>
      </c>
      <c r="F6713">
        <v>7620108</v>
      </c>
      <c r="G6713" t="s">
        <v>3035</v>
      </c>
      <c r="H6713" s="21">
        <v>1115.17</v>
      </c>
    </row>
    <row r="6714" spans="1:8" customFormat="1" x14ac:dyDescent="0.25">
      <c r="A6714" t="str">
        <f>"686757"</f>
        <v>686757</v>
      </c>
      <c r="B6714" t="s">
        <v>690</v>
      </c>
      <c r="C6714" t="s">
        <v>926</v>
      </c>
      <c r="D6714" s="21" t="s">
        <v>34</v>
      </c>
      <c r="E6714" s="21" t="s">
        <v>35</v>
      </c>
      <c r="F6714">
        <v>6680123</v>
      </c>
      <c r="G6714" t="s">
        <v>8996</v>
      </c>
      <c r="H6714" s="21">
        <v>1115.17</v>
      </c>
    </row>
    <row r="6715" spans="1:8" customFormat="1" x14ac:dyDescent="0.25">
      <c r="A6715" t="str">
        <f>"6212944"</f>
        <v>6212944</v>
      </c>
      <c r="B6715" t="s">
        <v>8101</v>
      </c>
      <c r="C6715" t="s">
        <v>267</v>
      </c>
      <c r="D6715" s="21" t="s">
        <v>34</v>
      </c>
      <c r="E6715" s="21" t="s">
        <v>71</v>
      </c>
      <c r="F6715">
        <v>7590008</v>
      </c>
      <c r="G6715" t="s">
        <v>110</v>
      </c>
      <c r="H6715" s="21">
        <v>1115.05</v>
      </c>
    </row>
    <row r="6716" spans="1:8" customFormat="1" x14ac:dyDescent="0.25">
      <c r="A6716" t="str">
        <f>"276234"</f>
        <v>276234</v>
      </c>
      <c r="B6716" t="s">
        <v>7330</v>
      </c>
      <c r="C6716" t="s">
        <v>109</v>
      </c>
      <c r="D6716" s="21" t="s">
        <v>34</v>
      </c>
      <c r="E6716" s="21" t="s">
        <v>35</v>
      </c>
      <c r="F6716">
        <v>9270159</v>
      </c>
      <c r="G6716" t="s">
        <v>5425</v>
      </c>
      <c r="H6716" s="21">
        <v>1114.8</v>
      </c>
    </row>
    <row r="6717" spans="1:8" customFormat="1" x14ac:dyDescent="0.25">
      <c r="A6717" t="str">
        <f>"1412587"</f>
        <v>1412587</v>
      </c>
      <c r="B6717" t="s">
        <v>3972</v>
      </c>
      <c r="C6717" t="s">
        <v>62</v>
      </c>
      <c r="D6717" s="21" t="s">
        <v>34</v>
      </c>
      <c r="E6717" s="21" t="s">
        <v>35</v>
      </c>
      <c r="F6717">
        <v>9140014</v>
      </c>
      <c r="G6717" t="s">
        <v>9546</v>
      </c>
      <c r="H6717" s="21">
        <v>1114.67</v>
      </c>
    </row>
    <row r="6718" spans="1:8" customFormat="1" x14ac:dyDescent="0.25">
      <c r="A6718" t="str">
        <f>"5727976"</f>
        <v>5727976</v>
      </c>
      <c r="B6718" t="s">
        <v>7893</v>
      </c>
      <c r="C6718" t="s">
        <v>33</v>
      </c>
      <c r="D6718" s="21" t="s">
        <v>34</v>
      </c>
      <c r="E6718" s="21" t="s">
        <v>35</v>
      </c>
      <c r="F6718">
        <v>6570190</v>
      </c>
      <c r="G6718" t="s">
        <v>622</v>
      </c>
      <c r="H6718" s="21">
        <v>1114.67</v>
      </c>
    </row>
    <row r="6719" spans="1:8" customFormat="1" x14ac:dyDescent="0.25">
      <c r="A6719" t="str">
        <f>"728035"</f>
        <v>728035</v>
      </c>
      <c r="B6719" t="s">
        <v>4096</v>
      </c>
      <c r="C6719" t="s">
        <v>3905</v>
      </c>
      <c r="D6719" s="21" t="s">
        <v>34</v>
      </c>
      <c r="E6719" s="21" t="s">
        <v>254</v>
      </c>
      <c r="F6719">
        <v>12720079</v>
      </c>
      <c r="G6719" t="s">
        <v>4028</v>
      </c>
      <c r="H6719" s="21">
        <v>1114.67</v>
      </c>
    </row>
    <row r="6720" spans="1:8" customFormat="1" x14ac:dyDescent="0.25">
      <c r="A6720" t="str">
        <f>"703342"</f>
        <v>703342</v>
      </c>
      <c r="B6720" t="s">
        <v>7968</v>
      </c>
      <c r="C6720" t="s">
        <v>119</v>
      </c>
      <c r="D6720" s="21" t="s">
        <v>34</v>
      </c>
      <c r="E6720" s="21" t="s">
        <v>71</v>
      </c>
      <c r="F6720">
        <v>2700018</v>
      </c>
      <c r="G6720" t="s">
        <v>3723</v>
      </c>
      <c r="H6720" s="21">
        <v>1114.67</v>
      </c>
    </row>
    <row r="6721" spans="1:8" customFormat="1" x14ac:dyDescent="0.25">
      <c r="A6721" t="str">
        <f>"7912013"</f>
        <v>7912013</v>
      </c>
      <c r="B6721" t="s">
        <v>6432</v>
      </c>
      <c r="C6721" t="s">
        <v>2100</v>
      </c>
      <c r="D6721" s="21" t="s">
        <v>34</v>
      </c>
      <c r="E6721" s="21" t="s">
        <v>35</v>
      </c>
      <c r="F6721">
        <v>10790009</v>
      </c>
      <c r="G6721" t="s">
        <v>1155</v>
      </c>
      <c r="H6721" s="21">
        <v>1114.67</v>
      </c>
    </row>
    <row r="6722" spans="1:8" customFormat="1" x14ac:dyDescent="0.25">
      <c r="A6722" t="str">
        <f>"2922965"</f>
        <v>2922965</v>
      </c>
      <c r="B6722" t="s">
        <v>7793</v>
      </c>
      <c r="C6722" t="s">
        <v>486</v>
      </c>
      <c r="D6722" s="21" t="s">
        <v>34</v>
      </c>
      <c r="E6722" s="21" t="s">
        <v>35</v>
      </c>
      <c r="F6722">
        <v>3290244</v>
      </c>
      <c r="G6722" t="s">
        <v>573</v>
      </c>
      <c r="H6722" s="21">
        <v>1114.67</v>
      </c>
    </row>
    <row r="6723" spans="1:8" customFormat="1" x14ac:dyDescent="0.25">
      <c r="A6723" t="str">
        <f>"254211"</f>
        <v>254211</v>
      </c>
      <c r="B6723" t="s">
        <v>146</v>
      </c>
      <c r="C6723" t="s">
        <v>96</v>
      </c>
      <c r="D6723" s="21" t="s">
        <v>34</v>
      </c>
      <c r="E6723" s="21" t="s">
        <v>35</v>
      </c>
      <c r="F6723">
        <v>2250138</v>
      </c>
      <c r="G6723" t="s">
        <v>4094</v>
      </c>
      <c r="H6723" s="21">
        <v>1114.67</v>
      </c>
    </row>
    <row r="6724" spans="1:8" customFormat="1" x14ac:dyDescent="0.25">
      <c r="A6724" t="str">
        <f>"9494"</f>
        <v>9494</v>
      </c>
      <c r="B6724" t="s">
        <v>4449</v>
      </c>
      <c r="C6724" t="s">
        <v>267</v>
      </c>
      <c r="D6724" s="21" t="s">
        <v>34</v>
      </c>
      <c r="E6724" s="21" t="s">
        <v>1089</v>
      </c>
      <c r="F6724">
        <v>8940030</v>
      </c>
      <c r="G6724" t="s">
        <v>7068</v>
      </c>
      <c r="H6724" s="21">
        <v>1114.67</v>
      </c>
    </row>
    <row r="6725" spans="1:8" customFormat="1" x14ac:dyDescent="0.25">
      <c r="A6725" t="str">
        <f>"4920950"</f>
        <v>4920950</v>
      </c>
      <c r="B6725" t="s">
        <v>4704</v>
      </c>
      <c r="C6725" t="s">
        <v>263</v>
      </c>
      <c r="D6725" s="21" t="s">
        <v>34</v>
      </c>
      <c r="E6725" s="21" t="s">
        <v>35</v>
      </c>
      <c r="F6725">
        <v>12490032</v>
      </c>
      <c r="G6725" t="s">
        <v>6233</v>
      </c>
      <c r="H6725" s="21">
        <v>1114.67</v>
      </c>
    </row>
    <row r="6726" spans="1:8" customFormat="1" x14ac:dyDescent="0.25">
      <c r="A6726" t="str">
        <f>"2514412"</f>
        <v>2514412</v>
      </c>
      <c r="B6726" t="s">
        <v>7856</v>
      </c>
      <c r="C6726" t="s">
        <v>7857</v>
      </c>
      <c r="D6726" s="21" t="s">
        <v>34</v>
      </c>
      <c r="E6726" s="21" t="s">
        <v>254</v>
      </c>
      <c r="F6726">
        <v>2250083</v>
      </c>
      <c r="G6726" t="s">
        <v>3808</v>
      </c>
      <c r="H6726" s="21">
        <v>1114.67</v>
      </c>
    </row>
    <row r="6727" spans="1:8" customFormat="1" x14ac:dyDescent="0.25">
      <c r="A6727" t="str">
        <f>"4512672"</f>
        <v>4512672</v>
      </c>
      <c r="B6727" t="s">
        <v>5416</v>
      </c>
      <c r="C6727" t="s">
        <v>58</v>
      </c>
      <c r="D6727" s="21" t="s">
        <v>34</v>
      </c>
      <c r="E6727" s="21" t="s">
        <v>35</v>
      </c>
      <c r="F6727">
        <v>8951366</v>
      </c>
      <c r="G6727" t="s">
        <v>3708</v>
      </c>
      <c r="H6727" s="21">
        <v>1114.67</v>
      </c>
    </row>
    <row r="6728" spans="1:8" customFormat="1" x14ac:dyDescent="0.25">
      <c r="A6728" t="str">
        <f>"5012975"</f>
        <v>5012975</v>
      </c>
      <c r="B6728" t="s">
        <v>13715</v>
      </c>
      <c r="C6728" t="s">
        <v>209</v>
      </c>
      <c r="D6728" s="21" t="s">
        <v>34</v>
      </c>
      <c r="E6728" s="21" t="s">
        <v>35</v>
      </c>
      <c r="F6728">
        <v>9500121</v>
      </c>
      <c r="G6728" t="s">
        <v>7360</v>
      </c>
      <c r="H6728" s="21">
        <v>1114.67</v>
      </c>
    </row>
    <row r="6729" spans="1:8" customFormat="1" x14ac:dyDescent="0.25">
      <c r="A6729" t="str">
        <f>"7831619"</f>
        <v>7831619</v>
      </c>
      <c r="B6729" t="s">
        <v>1730</v>
      </c>
      <c r="C6729" t="s">
        <v>62</v>
      </c>
      <c r="D6729" s="21" t="s">
        <v>34</v>
      </c>
      <c r="E6729" s="21" t="s">
        <v>35</v>
      </c>
      <c r="F6729">
        <v>8780660</v>
      </c>
      <c r="G6729" t="s">
        <v>2801</v>
      </c>
      <c r="H6729" s="21">
        <v>1114.55</v>
      </c>
    </row>
    <row r="6730" spans="1:8" customFormat="1" x14ac:dyDescent="0.25">
      <c r="A6730" t="str">
        <f>"2516085"</f>
        <v>2516085</v>
      </c>
      <c r="B6730" t="s">
        <v>11204</v>
      </c>
      <c r="C6730" t="s">
        <v>2520</v>
      </c>
      <c r="D6730" s="21" t="s">
        <v>34</v>
      </c>
      <c r="E6730" s="21" t="s">
        <v>254</v>
      </c>
      <c r="F6730">
        <v>2250031</v>
      </c>
      <c r="G6730" t="s">
        <v>3011</v>
      </c>
      <c r="H6730" s="21">
        <v>1114.31</v>
      </c>
    </row>
    <row r="6731" spans="1:8" customFormat="1" x14ac:dyDescent="0.25">
      <c r="A6731" t="str">
        <f>"7633039"</f>
        <v>7633039</v>
      </c>
      <c r="B6731" t="s">
        <v>7411</v>
      </c>
      <c r="C6731" t="s">
        <v>262</v>
      </c>
      <c r="D6731" s="21" t="s">
        <v>34</v>
      </c>
      <c r="E6731" s="21" t="s">
        <v>35</v>
      </c>
      <c r="F6731">
        <v>9760004</v>
      </c>
      <c r="G6731" t="s">
        <v>56</v>
      </c>
      <c r="H6731" s="21">
        <v>1114.17</v>
      </c>
    </row>
    <row r="6732" spans="1:8" customFormat="1" x14ac:dyDescent="0.25">
      <c r="A6732" t="str">
        <f>"80819"</f>
        <v>80819</v>
      </c>
      <c r="B6732" t="s">
        <v>1930</v>
      </c>
      <c r="C6732" t="s">
        <v>3073</v>
      </c>
      <c r="D6732" s="21" t="s">
        <v>34</v>
      </c>
      <c r="E6732" s="21" t="s">
        <v>1089</v>
      </c>
      <c r="F6732">
        <v>7800003</v>
      </c>
      <c r="G6732" t="s">
        <v>276</v>
      </c>
      <c r="H6732" s="21">
        <v>1114.17</v>
      </c>
    </row>
    <row r="6733" spans="1:8" customFormat="1" x14ac:dyDescent="0.25">
      <c r="A6733" t="str">
        <f>"3527555"</f>
        <v>3527555</v>
      </c>
      <c r="B6733" t="s">
        <v>6344</v>
      </c>
      <c r="C6733" t="s">
        <v>124</v>
      </c>
      <c r="D6733" s="21" t="s">
        <v>34</v>
      </c>
      <c r="E6733" s="21" t="s">
        <v>71</v>
      </c>
      <c r="F6733">
        <v>3350022</v>
      </c>
      <c r="G6733" t="s">
        <v>1287</v>
      </c>
      <c r="H6733" s="21">
        <v>1114.17</v>
      </c>
    </row>
    <row r="6734" spans="1:8" customFormat="1" x14ac:dyDescent="0.25">
      <c r="A6734" t="str">
        <f>"7218041"</f>
        <v>7218041</v>
      </c>
      <c r="B6734" t="s">
        <v>1527</v>
      </c>
      <c r="C6734" t="s">
        <v>1142</v>
      </c>
      <c r="D6734" s="21" t="s">
        <v>34</v>
      </c>
      <c r="E6734" s="21" t="s">
        <v>35</v>
      </c>
      <c r="F6734">
        <v>12720021</v>
      </c>
      <c r="G6734" t="s">
        <v>3329</v>
      </c>
      <c r="H6734" s="21">
        <v>1114.17</v>
      </c>
    </row>
    <row r="6735" spans="1:8" customFormat="1" x14ac:dyDescent="0.25">
      <c r="A6735" t="str">
        <f>"299109"</f>
        <v>299109</v>
      </c>
      <c r="B6735" t="s">
        <v>6718</v>
      </c>
      <c r="C6735" t="s">
        <v>2384</v>
      </c>
      <c r="D6735" s="21" t="s">
        <v>34</v>
      </c>
      <c r="E6735" s="21" t="s">
        <v>35</v>
      </c>
      <c r="F6735">
        <v>3290226</v>
      </c>
      <c r="G6735" t="s">
        <v>4637</v>
      </c>
      <c r="H6735" s="21">
        <v>1114.17</v>
      </c>
    </row>
    <row r="6736" spans="1:8" customFormat="1" x14ac:dyDescent="0.25">
      <c r="A6736" t="str">
        <f>"1612901"</f>
        <v>1612901</v>
      </c>
      <c r="B6736" t="s">
        <v>537</v>
      </c>
      <c r="C6736" t="s">
        <v>249</v>
      </c>
      <c r="D6736" s="21" t="s">
        <v>34</v>
      </c>
      <c r="E6736" s="21" t="s">
        <v>35</v>
      </c>
      <c r="F6736">
        <v>10160044</v>
      </c>
      <c r="G6736" t="s">
        <v>4941</v>
      </c>
      <c r="H6736" s="21">
        <v>1114.17</v>
      </c>
    </row>
    <row r="6737" spans="1:8" customFormat="1" x14ac:dyDescent="0.25">
      <c r="A6737" t="str">
        <f>"3728008"</f>
        <v>3728008</v>
      </c>
      <c r="B6737" t="s">
        <v>10706</v>
      </c>
      <c r="C6737" t="s">
        <v>320</v>
      </c>
      <c r="D6737" s="21" t="s">
        <v>34</v>
      </c>
      <c r="E6737" s="21" t="s">
        <v>35</v>
      </c>
      <c r="F6737">
        <v>4370102</v>
      </c>
      <c r="G6737" t="s">
        <v>10707</v>
      </c>
      <c r="H6737" s="21">
        <v>1114.17</v>
      </c>
    </row>
    <row r="6738" spans="1:8" customFormat="1" x14ac:dyDescent="0.25">
      <c r="A6738" t="str">
        <f>"8310878"</f>
        <v>8310878</v>
      </c>
      <c r="B6738" t="s">
        <v>1687</v>
      </c>
      <c r="C6738" t="s">
        <v>621</v>
      </c>
      <c r="D6738" s="21" t="s">
        <v>34</v>
      </c>
      <c r="E6738" s="21" t="s">
        <v>35</v>
      </c>
      <c r="F6738">
        <v>13830022</v>
      </c>
      <c r="G6738" t="s">
        <v>633</v>
      </c>
      <c r="H6738" s="21">
        <v>1114</v>
      </c>
    </row>
    <row r="6739" spans="1:8" customFormat="1" x14ac:dyDescent="0.25">
      <c r="A6739" t="str">
        <f>"459960"</f>
        <v>459960</v>
      </c>
      <c r="B6739" t="s">
        <v>387</v>
      </c>
      <c r="C6739" t="s">
        <v>40</v>
      </c>
      <c r="D6739" s="21" t="s">
        <v>34</v>
      </c>
      <c r="E6739" s="21" t="s">
        <v>71</v>
      </c>
      <c r="F6739">
        <v>4450706</v>
      </c>
      <c r="G6739" t="s">
        <v>4482</v>
      </c>
      <c r="H6739" s="21">
        <v>1113.92</v>
      </c>
    </row>
    <row r="6740" spans="1:8" customFormat="1" x14ac:dyDescent="0.25">
      <c r="A6740" t="str">
        <f>"865193"</f>
        <v>865193</v>
      </c>
      <c r="B6740" t="s">
        <v>1785</v>
      </c>
      <c r="C6740" t="s">
        <v>1665</v>
      </c>
      <c r="D6740" s="21" t="s">
        <v>34</v>
      </c>
      <c r="E6740" s="21" t="s">
        <v>71</v>
      </c>
      <c r="F6740">
        <v>13060029</v>
      </c>
      <c r="G6740" t="s">
        <v>1345</v>
      </c>
      <c r="H6740" s="21">
        <v>1113.67</v>
      </c>
    </row>
    <row r="6741" spans="1:8" customFormat="1" x14ac:dyDescent="0.25">
      <c r="A6741" t="str">
        <f>"7612006"</f>
        <v>7612006</v>
      </c>
      <c r="B6741" t="s">
        <v>6219</v>
      </c>
      <c r="C6741" t="s">
        <v>2520</v>
      </c>
      <c r="D6741" s="21" t="s">
        <v>34</v>
      </c>
      <c r="E6741" s="21" t="s">
        <v>254</v>
      </c>
      <c r="F6741">
        <v>9760351</v>
      </c>
      <c r="G6741" t="s">
        <v>5898</v>
      </c>
      <c r="H6741" s="21">
        <v>1113.67</v>
      </c>
    </row>
    <row r="6742" spans="1:8" customFormat="1" x14ac:dyDescent="0.25">
      <c r="A6742" t="str">
        <f>"7617734"</f>
        <v>7617734</v>
      </c>
      <c r="B6742" t="s">
        <v>7645</v>
      </c>
      <c r="C6742" t="s">
        <v>43</v>
      </c>
      <c r="D6742" s="21" t="s">
        <v>34</v>
      </c>
      <c r="E6742" s="21" t="s">
        <v>35</v>
      </c>
      <c r="F6742">
        <v>9760018</v>
      </c>
      <c r="G6742" t="s">
        <v>117</v>
      </c>
      <c r="H6742" s="21">
        <v>1113.67</v>
      </c>
    </row>
    <row r="6743" spans="1:8" customFormat="1" x14ac:dyDescent="0.25">
      <c r="A6743" t="str">
        <f>"732789"</f>
        <v>732789</v>
      </c>
      <c r="B6743" t="s">
        <v>7814</v>
      </c>
      <c r="C6743" t="s">
        <v>33</v>
      </c>
      <c r="D6743" s="21" t="s">
        <v>34</v>
      </c>
      <c r="E6743" s="21" t="s">
        <v>35</v>
      </c>
      <c r="F6743">
        <v>1730051</v>
      </c>
      <c r="G6743" t="s">
        <v>5293</v>
      </c>
      <c r="H6743" s="21">
        <v>1113.67</v>
      </c>
    </row>
    <row r="6744" spans="1:8" customFormat="1" x14ac:dyDescent="0.25">
      <c r="A6744" t="str">
        <f>"7620365"</f>
        <v>7620365</v>
      </c>
      <c r="B6744" t="s">
        <v>6337</v>
      </c>
      <c r="C6744" t="s">
        <v>121</v>
      </c>
      <c r="D6744" s="21" t="s">
        <v>34</v>
      </c>
      <c r="E6744" s="21" t="s">
        <v>71</v>
      </c>
      <c r="F6744">
        <v>9760168</v>
      </c>
      <c r="G6744" t="s">
        <v>179</v>
      </c>
      <c r="H6744" s="21">
        <v>1113.67</v>
      </c>
    </row>
    <row r="6745" spans="1:8" customFormat="1" x14ac:dyDescent="0.25">
      <c r="A6745" t="str">
        <f>"7631394"</f>
        <v>7631394</v>
      </c>
      <c r="B6745" t="s">
        <v>556</v>
      </c>
      <c r="C6745" t="s">
        <v>209</v>
      </c>
      <c r="D6745" s="21" t="s">
        <v>34</v>
      </c>
      <c r="E6745" s="21" t="s">
        <v>254</v>
      </c>
      <c r="F6745">
        <v>9760351</v>
      </c>
      <c r="G6745" t="s">
        <v>5898</v>
      </c>
      <c r="H6745" s="21">
        <v>1113.55</v>
      </c>
    </row>
    <row r="6746" spans="1:8" customFormat="1" x14ac:dyDescent="0.25">
      <c r="A6746" t="str">
        <f>"928378"</f>
        <v>928378</v>
      </c>
      <c r="B6746" t="s">
        <v>6992</v>
      </c>
      <c r="C6746" t="s">
        <v>65</v>
      </c>
      <c r="D6746" s="21" t="s">
        <v>34</v>
      </c>
      <c r="E6746" s="21" t="s">
        <v>35</v>
      </c>
      <c r="F6746">
        <v>8921182</v>
      </c>
      <c r="G6746" t="s">
        <v>26954</v>
      </c>
      <c r="H6746" s="21">
        <v>1113.55</v>
      </c>
    </row>
    <row r="6747" spans="1:8" customFormat="1" x14ac:dyDescent="0.25">
      <c r="A6747" t="str">
        <f>"3814362"</f>
        <v>3814362</v>
      </c>
      <c r="B6747" t="s">
        <v>890</v>
      </c>
      <c r="C6747" t="s">
        <v>1914</v>
      </c>
      <c r="D6747" s="21" t="s">
        <v>34</v>
      </c>
      <c r="E6747" s="21" t="s">
        <v>35</v>
      </c>
      <c r="F6747">
        <v>11650018</v>
      </c>
      <c r="G6747" t="s">
        <v>6247</v>
      </c>
      <c r="H6747" s="21">
        <v>1113.42</v>
      </c>
    </row>
    <row r="6748" spans="1:8" customFormat="1" x14ac:dyDescent="0.25">
      <c r="A6748" t="str">
        <f>"8511590"</f>
        <v>8511590</v>
      </c>
      <c r="B6748" t="s">
        <v>3108</v>
      </c>
      <c r="C6748" t="s">
        <v>1025</v>
      </c>
      <c r="D6748" s="21" t="s">
        <v>34</v>
      </c>
      <c r="E6748" s="21" t="s">
        <v>35</v>
      </c>
      <c r="F6748">
        <v>12850043</v>
      </c>
      <c r="G6748" t="s">
        <v>4873</v>
      </c>
      <c r="H6748" s="21">
        <v>1113.18</v>
      </c>
    </row>
    <row r="6749" spans="1:8" customFormat="1" x14ac:dyDescent="0.25">
      <c r="A6749" t="str">
        <f>"372846"</f>
        <v>372846</v>
      </c>
      <c r="B6749" t="s">
        <v>8385</v>
      </c>
      <c r="C6749" t="s">
        <v>55</v>
      </c>
      <c r="D6749" s="21" t="s">
        <v>34</v>
      </c>
      <c r="E6749" s="21" t="s">
        <v>35</v>
      </c>
      <c r="F6749">
        <v>4370001</v>
      </c>
      <c r="G6749" t="s">
        <v>957</v>
      </c>
      <c r="H6749" s="21">
        <v>1113.18</v>
      </c>
    </row>
    <row r="6750" spans="1:8" customFormat="1" x14ac:dyDescent="0.25">
      <c r="A6750" t="str">
        <f>"5310032"</f>
        <v>5310032</v>
      </c>
      <c r="B6750" t="s">
        <v>6986</v>
      </c>
      <c r="C6750" t="s">
        <v>33</v>
      </c>
      <c r="D6750" s="21" t="s">
        <v>34</v>
      </c>
      <c r="E6750" s="21" t="s">
        <v>35</v>
      </c>
      <c r="F6750">
        <v>12530068</v>
      </c>
      <c r="G6750" t="s">
        <v>5165</v>
      </c>
      <c r="H6750" s="21">
        <v>1113.17</v>
      </c>
    </row>
    <row r="6751" spans="1:8" customFormat="1" x14ac:dyDescent="0.25">
      <c r="A6751" t="str">
        <f>"9132828"</f>
        <v>9132828</v>
      </c>
      <c r="B6751" t="s">
        <v>7193</v>
      </c>
      <c r="C6751" t="s">
        <v>275</v>
      </c>
      <c r="D6751" s="21" t="s">
        <v>34</v>
      </c>
      <c r="E6751" s="21" t="s">
        <v>35</v>
      </c>
      <c r="F6751">
        <v>8910544</v>
      </c>
      <c r="G6751" t="s">
        <v>3552</v>
      </c>
      <c r="H6751" s="21">
        <v>1113.17</v>
      </c>
    </row>
    <row r="6752" spans="1:8" customFormat="1" x14ac:dyDescent="0.25">
      <c r="A6752" t="str">
        <f>"494021"</f>
        <v>494021</v>
      </c>
      <c r="B6752" t="s">
        <v>8393</v>
      </c>
      <c r="C6752" t="s">
        <v>275</v>
      </c>
      <c r="D6752" s="21" t="s">
        <v>34</v>
      </c>
      <c r="E6752" s="21" t="s">
        <v>35</v>
      </c>
      <c r="F6752">
        <v>3220047</v>
      </c>
      <c r="G6752" t="s">
        <v>131</v>
      </c>
      <c r="H6752" s="21">
        <v>1113.17</v>
      </c>
    </row>
    <row r="6753" spans="1:8" customFormat="1" x14ac:dyDescent="0.25">
      <c r="A6753" t="str">
        <f>"9F1172"</f>
        <v>9F1172</v>
      </c>
      <c r="B6753" t="s">
        <v>5402</v>
      </c>
      <c r="C6753" t="s">
        <v>1597</v>
      </c>
      <c r="D6753" s="21" t="s">
        <v>34</v>
      </c>
      <c r="E6753" s="21" t="s">
        <v>1089</v>
      </c>
      <c r="F6753" t="s">
        <v>2126</v>
      </c>
      <c r="G6753" t="s">
        <v>2127</v>
      </c>
      <c r="H6753" s="21">
        <v>1113.17</v>
      </c>
    </row>
    <row r="6754" spans="1:8" customFormat="1" x14ac:dyDescent="0.25">
      <c r="A6754" t="str">
        <f>"4913177"</f>
        <v>4913177</v>
      </c>
      <c r="B6754" t="s">
        <v>1574</v>
      </c>
      <c r="C6754" t="s">
        <v>119</v>
      </c>
      <c r="D6754" s="21" t="s">
        <v>34</v>
      </c>
      <c r="E6754" s="21" t="s">
        <v>35</v>
      </c>
      <c r="F6754">
        <v>12490030</v>
      </c>
      <c r="G6754" t="s">
        <v>8366</v>
      </c>
      <c r="H6754" s="21">
        <v>1113.17</v>
      </c>
    </row>
    <row r="6755" spans="1:8" customFormat="1" x14ac:dyDescent="0.25">
      <c r="A6755" t="str">
        <f>"401388"</f>
        <v>401388</v>
      </c>
      <c r="B6755" t="s">
        <v>8837</v>
      </c>
      <c r="C6755" t="s">
        <v>96</v>
      </c>
      <c r="D6755" s="21" t="s">
        <v>34</v>
      </c>
      <c r="E6755" s="21" t="s">
        <v>35</v>
      </c>
      <c r="F6755">
        <v>10400003</v>
      </c>
      <c r="G6755" t="s">
        <v>5110</v>
      </c>
      <c r="H6755" s="21">
        <v>1113.17</v>
      </c>
    </row>
    <row r="6756" spans="1:8" customFormat="1" x14ac:dyDescent="0.25">
      <c r="A6756" t="str">
        <f>"8810757"</f>
        <v>8810757</v>
      </c>
      <c r="B6756" t="s">
        <v>6309</v>
      </c>
      <c r="C6756" t="s">
        <v>40</v>
      </c>
      <c r="D6756" s="21" t="s">
        <v>34</v>
      </c>
      <c r="E6756" s="21" t="s">
        <v>35</v>
      </c>
      <c r="F6756">
        <v>6880086</v>
      </c>
      <c r="G6756" t="s">
        <v>3245</v>
      </c>
      <c r="H6756" s="21">
        <v>1113.17</v>
      </c>
    </row>
    <row r="6757" spans="1:8" customFormat="1" x14ac:dyDescent="0.25">
      <c r="A6757" t="str">
        <f>"3511968"</f>
        <v>3511968</v>
      </c>
      <c r="B6757" t="s">
        <v>2711</v>
      </c>
      <c r="C6757" t="s">
        <v>249</v>
      </c>
      <c r="D6757" s="21" t="s">
        <v>34</v>
      </c>
      <c r="E6757" s="21" t="s">
        <v>71</v>
      </c>
      <c r="F6757">
        <v>3350027</v>
      </c>
      <c r="G6757" t="s">
        <v>2760</v>
      </c>
      <c r="H6757" s="21">
        <v>1113.17</v>
      </c>
    </row>
    <row r="6758" spans="1:8" customFormat="1" x14ac:dyDescent="0.25">
      <c r="A6758" t="str">
        <f>"7519735"</f>
        <v>7519735</v>
      </c>
      <c r="B6758" t="s">
        <v>26955</v>
      </c>
      <c r="C6758" t="s">
        <v>302</v>
      </c>
      <c r="D6758" s="21" t="s">
        <v>34</v>
      </c>
      <c r="E6758" s="21" t="s">
        <v>35</v>
      </c>
      <c r="F6758">
        <v>8751163</v>
      </c>
      <c r="G6758" t="s">
        <v>80</v>
      </c>
      <c r="H6758" s="21">
        <v>1113.05</v>
      </c>
    </row>
    <row r="6759" spans="1:8" customFormat="1" x14ac:dyDescent="0.25">
      <c r="A6759" t="str">
        <f>"904216"</f>
        <v>904216</v>
      </c>
      <c r="B6759" t="s">
        <v>26956</v>
      </c>
      <c r="C6759" t="s">
        <v>144</v>
      </c>
      <c r="D6759" s="21" t="s">
        <v>34</v>
      </c>
      <c r="E6759" s="21" t="s">
        <v>71</v>
      </c>
      <c r="F6759">
        <v>2900038</v>
      </c>
      <c r="G6759" t="s">
        <v>6415</v>
      </c>
      <c r="H6759" s="21">
        <v>1113</v>
      </c>
    </row>
    <row r="6760" spans="1:8" customFormat="1" x14ac:dyDescent="0.25">
      <c r="A6760" t="str">
        <f>"9423493"</f>
        <v>9423493</v>
      </c>
      <c r="B6760" t="s">
        <v>8378</v>
      </c>
      <c r="C6760" t="s">
        <v>263</v>
      </c>
      <c r="D6760" s="21" t="s">
        <v>34</v>
      </c>
      <c r="E6760" s="21" t="s">
        <v>35</v>
      </c>
      <c r="F6760">
        <v>8920646</v>
      </c>
      <c r="G6760" t="s">
        <v>2864</v>
      </c>
      <c r="H6760" s="21">
        <v>1112.93</v>
      </c>
    </row>
    <row r="6761" spans="1:8" customFormat="1" x14ac:dyDescent="0.25">
      <c r="A6761" t="str">
        <f>"456914"</f>
        <v>456914</v>
      </c>
      <c r="B6761" t="s">
        <v>6908</v>
      </c>
      <c r="C6761" t="s">
        <v>412</v>
      </c>
      <c r="D6761" s="21" t="s">
        <v>34</v>
      </c>
      <c r="E6761" s="21" t="s">
        <v>71</v>
      </c>
      <c r="F6761">
        <v>4450616</v>
      </c>
      <c r="G6761" t="s">
        <v>3254</v>
      </c>
      <c r="H6761" s="21">
        <v>1112.92</v>
      </c>
    </row>
    <row r="6762" spans="1:8" customFormat="1" x14ac:dyDescent="0.25">
      <c r="A6762" t="str">
        <f>"593408"</f>
        <v>593408</v>
      </c>
      <c r="B6762" t="s">
        <v>7937</v>
      </c>
      <c r="C6762" t="s">
        <v>462</v>
      </c>
      <c r="D6762" s="21" t="s">
        <v>34</v>
      </c>
      <c r="E6762" s="21" t="s">
        <v>71</v>
      </c>
      <c r="F6762">
        <v>7590112</v>
      </c>
      <c r="G6762" t="s">
        <v>3534</v>
      </c>
      <c r="H6762" s="21">
        <v>1112.92</v>
      </c>
    </row>
    <row r="6763" spans="1:8" customFormat="1" x14ac:dyDescent="0.25">
      <c r="A6763" t="str">
        <f>"402753"</f>
        <v>402753</v>
      </c>
      <c r="B6763" t="s">
        <v>1827</v>
      </c>
      <c r="C6763" t="s">
        <v>239</v>
      </c>
      <c r="D6763" s="21" t="s">
        <v>34</v>
      </c>
      <c r="E6763" s="21" t="s">
        <v>254</v>
      </c>
      <c r="F6763">
        <v>10400013</v>
      </c>
      <c r="G6763" t="s">
        <v>6238</v>
      </c>
      <c r="H6763" s="21">
        <v>1112.92</v>
      </c>
    </row>
    <row r="6764" spans="1:8" customFormat="1" x14ac:dyDescent="0.25">
      <c r="A6764" t="str">
        <f>"9534941"</f>
        <v>9534941</v>
      </c>
      <c r="B6764" t="s">
        <v>8828</v>
      </c>
      <c r="C6764" t="s">
        <v>275</v>
      </c>
      <c r="D6764" s="21" t="s">
        <v>34</v>
      </c>
      <c r="E6764" s="21" t="s">
        <v>35</v>
      </c>
      <c r="F6764">
        <v>10170005</v>
      </c>
      <c r="G6764" t="s">
        <v>4290</v>
      </c>
      <c r="H6764" s="21">
        <v>1112.67</v>
      </c>
    </row>
    <row r="6765" spans="1:8" customFormat="1" x14ac:dyDescent="0.25">
      <c r="A6765" t="str">
        <f>"395886"</f>
        <v>395886</v>
      </c>
      <c r="B6765" t="s">
        <v>6642</v>
      </c>
      <c r="C6765" t="s">
        <v>926</v>
      </c>
      <c r="D6765" s="21" t="s">
        <v>34</v>
      </c>
      <c r="E6765" s="21" t="s">
        <v>35</v>
      </c>
      <c r="F6765">
        <v>2390089</v>
      </c>
      <c r="G6765" t="s">
        <v>5194</v>
      </c>
      <c r="H6765" s="21">
        <v>1112.67</v>
      </c>
    </row>
    <row r="6766" spans="1:8" customFormat="1" x14ac:dyDescent="0.25">
      <c r="A6766" t="str">
        <f>"535214"</f>
        <v>535214</v>
      </c>
      <c r="B6766" t="s">
        <v>7903</v>
      </c>
      <c r="C6766" t="s">
        <v>2100</v>
      </c>
      <c r="D6766" s="21" t="s">
        <v>34</v>
      </c>
      <c r="E6766" s="21" t="s">
        <v>254</v>
      </c>
      <c r="F6766">
        <v>12530109</v>
      </c>
      <c r="G6766" t="s">
        <v>6924</v>
      </c>
      <c r="H6766" s="21">
        <v>1112.67</v>
      </c>
    </row>
    <row r="6767" spans="1:8" customFormat="1" x14ac:dyDescent="0.25">
      <c r="A6767" t="str">
        <f>"725443"</f>
        <v>725443</v>
      </c>
      <c r="B6767" t="s">
        <v>8578</v>
      </c>
      <c r="C6767" t="s">
        <v>209</v>
      </c>
      <c r="D6767" s="21" t="s">
        <v>34</v>
      </c>
      <c r="E6767" s="21" t="s">
        <v>71</v>
      </c>
      <c r="F6767">
        <v>3560012</v>
      </c>
      <c r="G6767" t="s">
        <v>3857</v>
      </c>
      <c r="H6767" s="21">
        <v>1112.67</v>
      </c>
    </row>
    <row r="6768" spans="1:8" customFormat="1" x14ac:dyDescent="0.25">
      <c r="A6768" t="str">
        <f>"4421374"</f>
        <v>4421374</v>
      </c>
      <c r="B6768" t="s">
        <v>7431</v>
      </c>
      <c r="C6768" t="s">
        <v>204</v>
      </c>
      <c r="D6768" s="21" t="s">
        <v>34</v>
      </c>
      <c r="E6768" s="21" t="s">
        <v>35</v>
      </c>
      <c r="F6768">
        <v>12440038</v>
      </c>
      <c r="G6768" t="s">
        <v>2057</v>
      </c>
      <c r="H6768" s="21">
        <v>1112.67</v>
      </c>
    </row>
    <row r="6769" spans="1:8" customFormat="1" x14ac:dyDescent="0.25">
      <c r="A6769" t="str">
        <f>"807413"</f>
        <v>807413</v>
      </c>
      <c r="B6769" t="s">
        <v>5401</v>
      </c>
      <c r="C6769" t="s">
        <v>209</v>
      </c>
      <c r="D6769" s="21" t="s">
        <v>34</v>
      </c>
      <c r="E6769" s="21" t="s">
        <v>71</v>
      </c>
      <c r="F6769">
        <v>7800126</v>
      </c>
      <c r="G6769" t="s">
        <v>1105</v>
      </c>
      <c r="H6769" s="21">
        <v>1112.67</v>
      </c>
    </row>
    <row r="6770" spans="1:8" customFormat="1" x14ac:dyDescent="0.25">
      <c r="A6770" t="str">
        <f>"5945491"</f>
        <v>5945491</v>
      </c>
      <c r="B6770" t="s">
        <v>5318</v>
      </c>
      <c r="C6770" t="s">
        <v>5319</v>
      </c>
      <c r="D6770" s="21" t="s">
        <v>34</v>
      </c>
      <c r="E6770" s="21" t="s">
        <v>71</v>
      </c>
      <c r="F6770">
        <v>7590392</v>
      </c>
      <c r="G6770" t="s">
        <v>154</v>
      </c>
      <c r="H6770" s="21">
        <v>1112.43</v>
      </c>
    </row>
    <row r="6771" spans="1:8" customFormat="1" x14ac:dyDescent="0.25">
      <c r="A6771" t="str">
        <f>"2711792"</f>
        <v>2711792</v>
      </c>
      <c r="B6771" t="s">
        <v>4095</v>
      </c>
      <c r="C6771" t="s">
        <v>459</v>
      </c>
      <c r="D6771" s="21" t="s">
        <v>34</v>
      </c>
      <c r="E6771" s="21" t="s">
        <v>71</v>
      </c>
      <c r="F6771">
        <v>9270021</v>
      </c>
      <c r="G6771" t="s">
        <v>4934</v>
      </c>
      <c r="H6771" s="21">
        <v>1112.42</v>
      </c>
    </row>
    <row r="6772" spans="1:8" customFormat="1" x14ac:dyDescent="0.25">
      <c r="A6772" t="str">
        <f>"7515211"</f>
        <v>7515211</v>
      </c>
      <c r="B6772" t="s">
        <v>7086</v>
      </c>
      <c r="C6772" t="s">
        <v>40</v>
      </c>
      <c r="D6772" s="21" t="s">
        <v>34</v>
      </c>
      <c r="E6772" s="21" t="s">
        <v>71</v>
      </c>
      <c r="F6772">
        <v>8751124</v>
      </c>
      <c r="G6772" t="s">
        <v>1481</v>
      </c>
      <c r="H6772" s="21">
        <v>1112.3</v>
      </c>
    </row>
    <row r="6773" spans="1:8" customFormat="1" x14ac:dyDescent="0.25">
      <c r="A6773" t="str">
        <f>"6212144"</f>
        <v>6212144</v>
      </c>
      <c r="B6773" t="s">
        <v>10142</v>
      </c>
      <c r="C6773" t="s">
        <v>121</v>
      </c>
      <c r="D6773" s="21" t="s">
        <v>34</v>
      </c>
      <c r="E6773" s="21" t="s">
        <v>35</v>
      </c>
      <c r="F6773">
        <v>7620165</v>
      </c>
      <c r="G6773" t="s">
        <v>6254</v>
      </c>
      <c r="H6773" s="21">
        <v>1112.17</v>
      </c>
    </row>
    <row r="6774" spans="1:8" customFormat="1" x14ac:dyDescent="0.25">
      <c r="A6774" t="str">
        <f>"768552"</f>
        <v>768552</v>
      </c>
      <c r="B6774" t="s">
        <v>6747</v>
      </c>
      <c r="C6774" t="s">
        <v>817</v>
      </c>
      <c r="D6774" s="21" t="s">
        <v>34</v>
      </c>
      <c r="E6774" s="21" t="s">
        <v>71</v>
      </c>
      <c r="F6774">
        <v>9760382</v>
      </c>
      <c r="G6774" t="s">
        <v>2737</v>
      </c>
      <c r="H6774" s="21">
        <v>1112.17</v>
      </c>
    </row>
    <row r="6775" spans="1:8" customFormat="1" x14ac:dyDescent="0.25">
      <c r="A6775" t="str">
        <f>"805028"</f>
        <v>805028</v>
      </c>
      <c r="B6775" t="s">
        <v>2868</v>
      </c>
      <c r="C6775" t="s">
        <v>415</v>
      </c>
      <c r="D6775" s="21" t="s">
        <v>34</v>
      </c>
      <c r="E6775" s="21" t="s">
        <v>71</v>
      </c>
      <c r="F6775">
        <v>7800098</v>
      </c>
      <c r="G6775" t="s">
        <v>8445</v>
      </c>
      <c r="H6775" s="21">
        <v>1112.17</v>
      </c>
    </row>
    <row r="6776" spans="1:8" customFormat="1" x14ac:dyDescent="0.25">
      <c r="A6776" t="str">
        <f>"5322013"</f>
        <v>5322013</v>
      </c>
      <c r="B6776" t="s">
        <v>2405</v>
      </c>
      <c r="C6776" t="s">
        <v>239</v>
      </c>
      <c r="D6776" s="21" t="s">
        <v>34</v>
      </c>
      <c r="E6776" s="21" t="s">
        <v>71</v>
      </c>
      <c r="F6776">
        <v>12530079</v>
      </c>
      <c r="G6776" t="s">
        <v>3090</v>
      </c>
      <c r="H6776" s="21">
        <v>1112.17</v>
      </c>
    </row>
    <row r="6777" spans="1:8" customFormat="1" x14ac:dyDescent="0.25">
      <c r="A6777" t="str">
        <f>"3534010"</f>
        <v>3534010</v>
      </c>
      <c r="B6777" t="s">
        <v>3133</v>
      </c>
      <c r="C6777" t="s">
        <v>209</v>
      </c>
      <c r="D6777" s="21" t="s">
        <v>34</v>
      </c>
      <c r="E6777" s="21" t="s">
        <v>71</v>
      </c>
      <c r="F6777">
        <v>9500130</v>
      </c>
      <c r="G6777" t="s">
        <v>5326</v>
      </c>
      <c r="H6777" s="21">
        <v>1112.17</v>
      </c>
    </row>
    <row r="6778" spans="1:8" customFormat="1" x14ac:dyDescent="0.25">
      <c r="A6778" t="str">
        <f>"5933446"</f>
        <v>5933446</v>
      </c>
      <c r="B6778" t="s">
        <v>933</v>
      </c>
      <c r="C6778" t="s">
        <v>576</v>
      </c>
      <c r="D6778" s="21" t="s">
        <v>34</v>
      </c>
      <c r="E6778" s="21" t="s">
        <v>35</v>
      </c>
      <c r="F6778">
        <v>7590403</v>
      </c>
      <c r="G6778" t="s">
        <v>2545</v>
      </c>
      <c r="H6778" s="21">
        <v>1112.17</v>
      </c>
    </row>
    <row r="6779" spans="1:8" customFormat="1" x14ac:dyDescent="0.25">
      <c r="A6779" t="str">
        <f>"9426195"</f>
        <v>9426195</v>
      </c>
      <c r="B6779" t="s">
        <v>853</v>
      </c>
      <c r="C6779" t="s">
        <v>40</v>
      </c>
      <c r="D6779" s="21" t="s">
        <v>34</v>
      </c>
      <c r="E6779" s="21" t="s">
        <v>71</v>
      </c>
      <c r="F6779">
        <v>8940459</v>
      </c>
      <c r="G6779" t="s">
        <v>743</v>
      </c>
      <c r="H6779" s="21">
        <v>1111.8</v>
      </c>
    </row>
    <row r="6780" spans="1:8" customFormat="1" x14ac:dyDescent="0.25">
      <c r="A6780" t="str">
        <f>"721447"</f>
        <v>721447</v>
      </c>
      <c r="B6780" t="s">
        <v>996</v>
      </c>
      <c r="C6780" t="s">
        <v>209</v>
      </c>
      <c r="D6780" s="21" t="s">
        <v>34</v>
      </c>
      <c r="E6780" s="21" t="s">
        <v>71</v>
      </c>
      <c r="F6780">
        <v>12720027</v>
      </c>
      <c r="G6780" t="s">
        <v>3562</v>
      </c>
      <c r="H6780" s="21">
        <v>1111.67</v>
      </c>
    </row>
    <row r="6781" spans="1:8" customFormat="1" x14ac:dyDescent="0.25">
      <c r="A6781" t="str">
        <f>"441714"</f>
        <v>441714</v>
      </c>
      <c r="B6781" t="s">
        <v>1349</v>
      </c>
      <c r="C6781" t="s">
        <v>2356</v>
      </c>
      <c r="D6781" s="21" t="s">
        <v>34</v>
      </c>
      <c r="E6781" s="21" t="s">
        <v>71</v>
      </c>
      <c r="F6781">
        <v>12440127</v>
      </c>
      <c r="G6781" t="s">
        <v>7692</v>
      </c>
      <c r="H6781" s="21">
        <v>1111.67</v>
      </c>
    </row>
    <row r="6782" spans="1:8" customFormat="1" x14ac:dyDescent="0.25">
      <c r="A6782" t="str">
        <f>"9424245"</f>
        <v>9424245</v>
      </c>
      <c r="B6782" t="s">
        <v>8022</v>
      </c>
      <c r="C6782" t="s">
        <v>139</v>
      </c>
      <c r="D6782" s="21" t="s">
        <v>34</v>
      </c>
      <c r="E6782" s="21" t="s">
        <v>35</v>
      </c>
      <c r="F6782">
        <v>8940448</v>
      </c>
      <c r="G6782" t="s">
        <v>1691</v>
      </c>
      <c r="H6782" s="21">
        <v>1111.67</v>
      </c>
    </row>
    <row r="6783" spans="1:8" customFormat="1" x14ac:dyDescent="0.25">
      <c r="A6783" t="str">
        <f>"25383"</f>
        <v>25383</v>
      </c>
      <c r="B6783" t="s">
        <v>3054</v>
      </c>
      <c r="C6783" t="s">
        <v>453</v>
      </c>
      <c r="D6783" s="21" t="s">
        <v>34</v>
      </c>
      <c r="E6783" s="21" t="s">
        <v>1089</v>
      </c>
      <c r="F6783">
        <v>2250015</v>
      </c>
      <c r="G6783" t="s">
        <v>4776</v>
      </c>
      <c r="H6783" s="21">
        <v>1111.67</v>
      </c>
    </row>
    <row r="6784" spans="1:8" customFormat="1" x14ac:dyDescent="0.25">
      <c r="A6784" t="str">
        <f>"7629564"</f>
        <v>7629564</v>
      </c>
      <c r="B6784" t="s">
        <v>7129</v>
      </c>
      <c r="C6784" t="s">
        <v>187</v>
      </c>
      <c r="D6784" s="21" t="s">
        <v>34</v>
      </c>
      <c r="E6784" s="21" t="s">
        <v>71</v>
      </c>
      <c r="F6784">
        <v>9760011</v>
      </c>
      <c r="G6784" t="s">
        <v>2562</v>
      </c>
      <c r="H6784" s="21">
        <v>1111.67</v>
      </c>
    </row>
    <row r="6785" spans="1:8" customFormat="1" x14ac:dyDescent="0.25">
      <c r="A6785" t="str">
        <f>"169626"</f>
        <v>169626</v>
      </c>
      <c r="B6785" t="s">
        <v>7094</v>
      </c>
      <c r="C6785" t="s">
        <v>43</v>
      </c>
      <c r="D6785" s="21" t="s">
        <v>34</v>
      </c>
      <c r="E6785" s="21" t="s">
        <v>35</v>
      </c>
      <c r="F6785">
        <v>10160240</v>
      </c>
      <c r="G6785" t="s">
        <v>7095</v>
      </c>
      <c r="H6785" s="21">
        <v>1111.67</v>
      </c>
    </row>
    <row r="6786" spans="1:8" customFormat="1" x14ac:dyDescent="0.25">
      <c r="A6786" t="str">
        <f>"5011785"</f>
        <v>5011785</v>
      </c>
      <c r="B6786" t="s">
        <v>1590</v>
      </c>
      <c r="C6786" t="s">
        <v>3073</v>
      </c>
      <c r="D6786" s="21" t="s">
        <v>34</v>
      </c>
      <c r="E6786" s="21" t="s">
        <v>71</v>
      </c>
      <c r="F6786">
        <v>9500063</v>
      </c>
      <c r="G6786" t="s">
        <v>4114</v>
      </c>
      <c r="H6786" s="21">
        <v>1111.67</v>
      </c>
    </row>
    <row r="6787" spans="1:8" customFormat="1" x14ac:dyDescent="0.25">
      <c r="A6787" t="str">
        <f>"6919492"</f>
        <v>6919492</v>
      </c>
      <c r="B6787" t="s">
        <v>20319</v>
      </c>
      <c r="C6787" t="s">
        <v>26957</v>
      </c>
      <c r="D6787" s="21" t="s">
        <v>34</v>
      </c>
      <c r="E6787" s="21" t="s">
        <v>71</v>
      </c>
      <c r="F6787">
        <v>1690192</v>
      </c>
      <c r="G6787" t="s">
        <v>3578</v>
      </c>
      <c r="H6787" s="21">
        <v>1111.67</v>
      </c>
    </row>
    <row r="6788" spans="1:8" customFormat="1" x14ac:dyDescent="0.25">
      <c r="A6788" t="str">
        <f>"547382"</f>
        <v>547382</v>
      </c>
      <c r="B6788" t="s">
        <v>7101</v>
      </c>
      <c r="C6788" t="s">
        <v>139</v>
      </c>
      <c r="D6788" s="21" t="s">
        <v>34</v>
      </c>
      <c r="E6788" s="21" t="s">
        <v>71</v>
      </c>
      <c r="F6788">
        <v>10330086</v>
      </c>
      <c r="G6788" t="s">
        <v>785</v>
      </c>
      <c r="H6788" s="21">
        <v>1111.67</v>
      </c>
    </row>
    <row r="6789" spans="1:8" customFormat="1" x14ac:dyDescent="0.25">
      <c r="A6789" t="str">
        <f>"1523"</f>
        <v>1523</v>
      </c>
      <c r="B6789" t="s">
        <v>7624</v>
      </c>
      <c r="C6789" t="s">
        <v>239</v>
      </c>
      <c r="D6789" s="21" t="s">
        <v>34</v>
      </c>
      <c r="E6789" s="21" t="s">
        <v>254</v>
      </c>
      <c r="F6789">
        <v>1150303</v>
      </c>
      <c r="G6789" t="s">
        <v>5809</v>
      </c>
      <c r="H6789" s="21">
        <v>1111.67</v>
      </c>
    </row>
    <row r="6790" spans="1:8" customFormat="1" x14ac:dyDescent="0.25">
      <c r="A6790" t="str">
        <f>"38136"</f>
        <v>38136</v>
      </c>
      <c r="B6790" t="s">
        <v>6953</v>
      </c>
      <c r="C6790" t="s">
        <v>1146</v>
      </c>
      <c r="D6790" s="21" t="s">
        <v>34</v>
      </c>
      <c r="E6790" s="21" t="s">
        <v>254</v>
      </c>
      <c r="F6790">
        <v>1380290</v>
      </c>
      <c r="G6790" t="s">
        <v>619</v>
      </c>
      <c r="H6790" s="21">
        <v>1111.67</v>
      </c>
    </row>
    <row r="6791" spans="1:8" customFormat="1" x14ac:dyDescent="0.25">
      <c r="A6791" t="str">
        <f>"47904"</f>
        <v>47904</v>
      </c>
      <c r="B6791" t="s">
        <v>7880</v>
      </c>
      <c r="C6791" t="s">
        <v>462</v>
      </c>
      <c r="D6791" s="21" t="s">
        <v>34</v>
      </c>
      <c r="E6791" s="21" t="s">
        <v>254</v>
      </c>
      <c r="F6791">
        <v>10470007</v>
      </c>
      <c r="G6791" t="s">
        <v>3049</v>
      </c>
      <c r="H6791" s="21">
        <v>1111.67</v>
      </c>
    </row>
    <row r="6792" spans="1:8" customFormat="1" x14ac:dyDescent="0.25">
      <c r="A6792" t="str">
        <f>"103305"</f>
        <v>103305</v>
      </c>
      <c r="B6792" t="s">
        <v>8070</v>
      </c>
      <c r="C6792" t="s">
        <v>462</v>
      </c>
      <c r="D6792" s="21" t="s">
        <v>34</v>
      </c>
      <c r="E6792" s="21" t="s">
        <v>71</v>
      </c>
      <c r="F6792">
        <v>6100032</v>
      </c>
      <c r="G6792" t="s">
        <v>1641</v>
      </c>
      <c r="H6792" s="21">
        <v>1111.67</v>
      </c>
    </row>
    <row r="6793" spans="1:8" customFormat="1" x14ac:dyDescent="0.25">
      <c r="A6793" t="str">
        <f>"5016245"</f>
        <v>5016245</v>
      </c>
      <c r="B6793" t="s">
        <v>8681</v>
      </c>
      <c r="C6793" t="s">
        <v>147</v>
      </c>
      <c r="D6793" s="21" t="s">
        <v>34</v>
      </c>
      <c r="E6793" s="21" t="s">
        <v>71</v>
      </c>
      <c r="F6793">
        <v>9500143</v>
      </c>
      <c r="G6793" t="s">
        <v>2884</v>
      </c>
      <c r="H6793" s="21">
        <v>1111.56</v>
      </c>
    </row>
    <row r="6794" spans="1:8" customFormat="1" x14ac:dyDescent="0.25">
      <c r="A6794" t="str">
        <f>"5935369"</f>
        <v>5935369</v>
      </c>
      <c r="B6794" t="s">
        <v>2608</v>
      </c>
      <c r="C6794" t="s">
        <v>576</v>
      </c>
      <c r="D6794" s="21" t="s">
        <v>34</v>
      </c>
      <c r="E6794" s="21" t="s">
        <v>35</v>
      </c>
      <c r="F6794">
        <v>7590017</v>
      </c>
      <c r="G6794" t="s">
        <v>1316</v>
      </c>
      <c r="H6794" s="21">
        <v>1111.42</v>
      </c>
    </row>
    <row r="6795" spans="1:8" customFormat="1" x14ac:dyDescent="0.25">
      <c r="A6795" t="str">
        <f>"091062"</f>
        <v>091062</v>
      </c>
      <c r="B6795" t="s">
        <v>7586</v>
      </c>
      <c r="C6795" t="s">
        <v>40</v>
      </c>
      <c r="D6795" s="21" t="s">
        <v>34</v>
      </c>
      <c r="E6795" s="21" t="s">
        <v>71</v>
      </c>
      <c r="F6795">
        <v>11090001</v>
      </c>
      <c r="G6795" t="s">
        <v>4829</v>
      </c>
      <c r="H6795" s="21">
        <v>1111.3</v>
      </c>
    </row>
    <row r="6796" spans="1:8" customFormat="1" x14ac:dyDescent="0.25">
      <c r="A6796" t="str">
        <f>"945726"</f>
        <v>945726</v>
      </c>
      <c r="B6796" t="s">
        <v>7231</v>
      </c>
      <c r="C6796" t="s">
        <v>547</v>
      </c>
      <c r="D6796" s="21" t="s">
        <v>34</v>
      </c>
      <c r="E6796" s="21" t="s">
        <v>71</v>
      </c>
      <c r="F6796">
        <v>8940872</v>
      </c>
      <c r="G6796" t="s">
        <v>4687</v>
      </c>
      <c r="H6796" s="21">
        <v>1111.17</v>
      </c>
    </row>
    <row r="6797" spans="1:8" customFormat="1" x14ac:dyDescent="0.25">
      <c r="A6797" t="str">
        <f>"1612171"</f>
        <v>1612171</v>
      </c>
      <c r="B6797" t="s">
        <v>970</v>
      </c>
      <c r="C6797" t="s">
        <v>267</v>
      </c>
      <c r="D6797" s="21" t="s">
        <v>34</v>
      </c>
      <c r="E6797" s="21" t="s">
        <v>35</v>
      </c>
      <c r="F6797">
        <v>10160051</v>
      </c>
      <c r="G6797" t="s">
        <v>7167</v>
      </c>
      <c r="H6797" s="21">
        <v>1111.17</v>
      </c>
    </row>
    <row r="6798" spans="1:8" customFormat="1" x14ac:dyDescent="0.25">
      <c r="A6798" t="str">
        <f>"5915309"</f>
        <v>5915309</v>
      </c>
      <c r="B6798" t="s">
        <v>7612</v>
      </c>
      <c r="C6798" t="s">
        <v>269</v>
      </c>
      <c r="D6798" s="21" t="s">
        <v>34</v>
      </c>
      <c r="E6798" s="21" t="s">
        <v>71</v>
      </c>
      <c r="F6798">
        <v>7590086</v>
      </c>
      <c r="G6798" t="s">
        <v>3557</v>
      </c>
      <c r="H6798" s="21">
        <v>1111.17</v>
      </c>
    </row>
    <row r="6799" spans="1:8" customFormat="1" x14ac:dyDescent="0.25">
      <c r="A6799" t="str">
        <f>"9233948"</f>
        <v>9233948</v>
      </c>
      <c r="B6799" t="s">
        <v>8541</v>
      </c>
      <c r="C6799" t="s">
        <v>209</v>
      </c>
      <c r="D6799" s="21" t="s">
        <v>34</v>
      </c>
      <c r="E6799" s="21" t="s">
        <v>35</v>
      </c>
      <c r="F6799">
        <v>8940549</v>
      </c>
      <c r="G6799" t="s">
        <v>454</v>
      </c>
      <c r="H6799" s="21">
        <v>1111.17</v>
      </c>
    </row>
    <row r="6800" spans="1:8" customFormat="1" x14ac:dyDescent="0.25">
      <c r="A6800" t="str">
        <f>"3810434"</f>
        <v>3810434</v>
      </c>
      <c r="B6800" t="s">
        <v>638</v>
      </c>
      <c r="C6800" t="s">
        <v>209</v>
      </c>
      <c r="D6800" s="21" t="s">
        <v>34</v>
      </c>
      <c r="E6800" s="21" t="s">
        <v>35</v>
      </c>
      <c r="F6800">
        <v>1380298</v>
      </c>
      <c r="G6800" t="s">
        <v>5868</v>
      </c>
      <c r="H6800" s="21">
        <v>1111.17</v>
      </c>
    </row>
    <row r="6801" spans="1:8" customFormat="1" x14ac:dyDescent="0.25">
      <c r="A6801" t="str">
        <f>"503522"</f>
        <v>503522</v>
      </c>
      <c r="B6801" t="s">
        <v>3848</v>
      </c>
      <c r="C6801" t="s">
        <v>139</v>
      </c>
      <c r="D6801" s="21" t="s">
        <v>34</v>
      </c>
      <c r="E6801" s="21" t="s">
        <v>35</v>
      </c>
      <c r="F6801">
        <v>9500139</v>
      </c>
      <c r="G6801" t="s">
        <v>6892</v>
      </c>
      <c r="H6801" s="21">
        <v>1111.17</v>
      </c>
    </row>
    <row r="6802" spans="1:8" customFormat="1" x14ac:dyDescent="0.25">
      <c r="A6802" t="str">
        <f>"9229963"</f>
        <v>9229963</v>
      </c>
      <c r="B6802" t="s">
        <v>6936</v>
      </c>
      <c r="C6802" t="s">
        <v>119</v>
      </c>
      <c r="D6802" s="21" t="s">
        <v>34</v>
      </c>
      <c r="E6802" s="21" t="s">
        <v>254</v>
      </c>
      <c r="F6802">
        <v>7590089</v>
      </c>
      <c r="G6802" t="s">
        <v>1418</v>
      </c>
      <c r="H6802" s="21">
        <v>1111.17</v>
      </c>
    </row>
    <row r="6803" spans="1:8" customFormat="1" x14ac:dyDescent="0.25">
      <c r="A6803" t="str">
        <f>"3527371"</f>
        <v>3527371</v>
      </c>
      <c r="B6803" t="s">
        <v>24329</v>
      </c>
      <c r="C6803" t="s">
        <v>269</v>
      </c>
      <c r="D6803" s="21" t="s">
        <v>34</v>
      </c>
      <c r="E6803" s="21" t="s">
        <v>35</v>
      </c>
      <c r="F6803">
        <v>3350132</v>
      </c>
      <c r="G6803" t="s">
        <v>17921</v>
      </c>
      <c r="H6803" s="21">
        <v>1111.17</v>
      </c>
    </row>
    <row r="6804" spans="1:8" customFormat="1" x14ac:dyDescent="0.25">
      <c r="A6804" t="str">
        <f>"447563"</f>
        <v>447563</v>
      </c>
      <c r="B6804" t="s">
        <v>3146</v>
      </c>
      <c r="C6804" t="s">
        <v>156</v>
      </c>
      <c r="D6804" s="21" t="s">
        <v>34</v>
      </c>
      <c r="E6804" s="21" t="s">
        <v>254</v>
      </c>
      <c r="F6804">
        <v>12440075</v>
      </c>
      <c r="G6804" t="s">
        <v>1437</v>
      </c>
      <c r="H6804" s="21">
        <v>1111.17</v>
      </c>
    </row>
    <row r="6805" spans="1:8" customFormat="1" x14ac:dyDescent="0.25">
      <c r="A6805" t="str">
        <f>"5937368"</f>
        <v>5937368</v>
      </c>
      <c r="B6805" t="s">
        <v>7009</v>
      </c>
      <c r="C6805" t="s">
        <v>55</v>
      </c>
      <c r="D6805" s="21" t="s">
        <v>34</v>
      </c>
      <c r="E6805" s="21" t="s">
        <v>71</v>
      </c>
      <c r="F6805">
        <v>10330020</v>
      </c>
      <c r="G6805" t="s">
        <v>7481</v>
      </c>
      <c r="H6805" s="21">
        <v>1111.05</v>
      </c>
    </row>
    <row r="6806" spans="1:8" customFormat="1" x14ac:dyDescent="0.25">
      <c r="A6806" t="str">
        <f>"394740"</f>
        <v>394740</v>
      </c>
      <c r="B6806" t="s">
        <v>2067</v>
      </c>
      <c r="C6806" t="s">
        <v>55</v>
      </c>
      <c r="D6806" s="21" t="s">
        <v>34</v>
      </c>
      <c r="E6806" s="21" t="s">
        <v>35</v>
      </c>
      <c r="F6806">
        <v>2390082</v>
      </c>
      <c r="G6806" t="s">
        <v>3343</v>
      </c>
      <c r="H6806" s="21">
        <v>1110.93</v>
      </c>
    </row>
    <row r="6807" spans="1:8" customFormat="1" x14ac:dyDescent="0.25">
      <c r="A6807" t="str">
        <f>"554940"</f>
        <v>554940</v>
      </c>
      <c r="B6807" t="s">
        <v>8087</v>
      </c>
      <c r="C6807" t="s">
        <v>269</v>
      </c>
      <c r="D6807" s="21" t="s">
        <v>34</v>
      </c>
      <c r="E6807" s="21" t="s">
        <v>71</v>
      </c>
      <c r="F6807">
        <v>6550003</v>
      </c>
      <c r="G6807" t="s">
        <v>7721</v>
      </c>
      <c r="H6807" s="21">
        <v>1110.8</v>
      </c>
    </row>
    <row r="6808" spans="1:8" customFormat="1" x14ac:dyDescent="0.25">
      <c r="A6808" t="str">
        <f>"6312985"</f>
        <v>6312985</v>
      </c>
      <c r="B6808" t="s">
        <v>8082</v>
      </c>
      <c r="C6808" t="s">
        <v>169</v>
      </c>
      <c r="D6808" s="21" t="s">
        <v>34</v>
      </c>
      <c r="E6808" s="21" t="s">
        <v>35</v>
      </c>
      <c r="F6808">
        <v>1630310</v>
      </c>
      <c r="G6808" t="s">
        <v>6314</v>
      </c>
      <c r="H6808" s="21">
        <v>1110.8</v>
      </c>
    </row>
    <row r="6809" spans="1:8" customFormat="1" x14ac:dyDescent="0.25">
      <c r="A6809" t="str">
        <f>"3511544"</f>
        <v>3511544</v>
      </c>
      <c r="B6809" t="s">
        <v>18273</v>
      </c>
      <c r="C6809" t="s">
        <v>328</v>
      </c>
      <c r="D6809" s="21" t="s">
        <v>34</v>
      </c>
      <c r="E6809" s="21" t="s">
        <v>35</v>
      </c>
      <c r="F6809">
        <v>3350183</v>
      </c>
      <c r="G6809" t="s">
        <v>2572</v>
      </c>
      <c r="H6809" s="21">
        <v>1110.79</v>
      </c>
    </row>
    <row r="6810" spans="1:8" customFormat="1" x14ac:dyDescent="0.25">
      <c r="A6810" t="str">
        <f>"273359"</f>
        <v>273359</v>
      </c>
      <c r="B6810" t="s">
        <v>6237</v>
      </c>
      <c r="C6810" t="s">
        <v>1325</v>
      </c>
      <c r="D6810" s="21" t="s">
        <v>34</v>
      </c>
      <c r="E6810" s="21" t="s">
        <v>254</v>
      </c>
      <c r="F6810">
        <v>9270015</v>
      </c>
      <c r="G6810" t="s">
        <v>8095</v>
      </c>
      <c r="H6810" s="21">
        <v>1110.79</v>
      </c>
    </row>
    <row r="6811" spans="1:8" customFormat="1" x14ac:dyDescent="0.25">
      <c r="A6811" t="str">
        <f>"6017998"</f>
        <v>6017998</v>
      </c>
      <c r="B6811" t="s">
        <v>9767</v>
      </c>
      <c r="C6811" t="s">
        <v>455</v>
      </c>
      <c r="D6811" s="21" t="s">
        <v>34</v>
      </c>
      <c r="E6811" s="21" t="s">
        <v>35</v>
      </c>
      <c r="F6811">
        <v>7600169</v>
      </c>
      <c r="G6811" t="s">
        <v>9768</v>
      </c>
      <c r="H6811" s="21">
        <v>1110.67</v>
      </c>
    </row>
    <row r="6812" spans="1:8" customFormat="1" x14ac:dyDescent="0.25">
      <c r="A6812" t="str">
        <f>"6311726"</f>
        <v>6311726</v>
      </c>
      <c r="B6812" t="s">
        <v>146</v>
      </c>
      <c r="C6812" t="s">
        <v>817</v>
      </c>
      <c r="D6812" s="21" t="s">
        <v>34</v>
      </c>
      <c r="E6812" s="21" t="s">
        <v>71</v>
      </c>
      <c r="F6812">
        <v>1630301</v>
      </c>
      <c r="G6812" t="s">
        <v>7897</v>
      </c>
      <c r="H6812" s="21">
        <v>1110.67</v>
      </c>
    </row>
    <row r="6813" spans="1:8" customFormat="1" x14ac:dyDescent="0.25">
      <c r="A6813" t="str">
        <f>"637369"</f>
        <v>637369</v>
      </c>
      <c r="B6813" t="s">
        <v>7246</v>
      </c>
      <c r="C6813" t="s">
        <v>2250</v>
      </c>
      <c r="D6813" s="21" t="s">
        <v>34</v>
      </c>
      <c r="E6813" s="21" t="s">
        <v>35</v>
      </c>
      <c r="F6813">
        <v>1630298</v>
      </c>
      <c r="G6813" t="s">
        <v>7247</v>
      </c>
      <c r="H6813" s="21">
        <v>1110.67</v>
      </c>
    </row>
    <row r="6814" spans="1:8" customFormat="1" x14ac:dyDescent="0.25">
      <c r="A6814" t="str">
        <f>"2512697"</f>
        <v>2512697</v>
      </c>
      <c r="B6814" t="s">
        <v>7456</v>
      </c>
      <c r="C6814" t="s">
        <v>462</v>
      </c>
      <c r="D6814" s="21" t="s">
        <v>34</v>
      </c>
      <c r="E6814" s="21" t="s">
        <v>71</v>
      </c>
      <c r="F6814">
        <v>1260010</v>
      </c>
      <c r="G6814" t="s">
        <v>3944</v>
      </c>
      <c r="H6814" s="21">
        <v>1110.67</v>
      </c>
    </row>
    <row r="6815" spans="1:8" customFormat="1" x14ac:dyDescent="0.25">
      <c r="A6815" t="str">
        <f>"195189"</f>
        <v>195189</v>
      </c>
      <c r="B6815" t="s">
        <v>4711</v>
      </c>
      <c r="C6815" t="s">
        <v>204</v>
      </c>
      <c r="D6815" s="21" t="s">
        <v>34</v>
      </c>
      <c r="E6815" s="21" t="s">
        <v>35</v>
      </c>
      <c r="F6815">
        <v>1630261</v>
      </c>
      <c r="G6815" t="s">
        <v>1382</v>
      </c>
      <c r="H6815" s="21">
        <v>1110.67</v>
      </c>
    </row>
    <row r="6816" spans="1:8" customFormat="1" x14ac:dyDescent="0.25">
      <c r="A6816" t="str">
        <f>"7512446"</f>
        <v>7512446</v>
      </c>
      <c r="B6816" t="s">
        <v>4352</v>
      </c>
      <c r="C6816" t="s">
        <v>156</v>
      </c>
      <c r="D6816" s="21" t="s">
        <v>34</v>
      </c>
      <c r="E6816" s="21" t="s">
        <v>35</v>
      </c>
      <c r="F6816">
        <v>8751061</v>
      </c>
      <c r="G6816" t="s">
        <v>26628</v>
      </c>
      <c r="H6816" s="21">
        <v>1110.67</v>
      </c>
    </row>
    <row r="6817" spans="1:8" customFormat="1" x14ac:dyDescent="0.25">
      <c r="A6817" t="str">
        <f>"7846693"</f>
        <v>7846693</v>
      </c>
      <c r="B6817" t="s">
        <v>5208</v>
      </c>
      <c r="C6817" t="s">
        <v>87</v>
      </c>
      <c r="D6817" s="21" t="s">
        <v>34</v>
      </c>
      <c r="E6817" s="21" t="s">
        <v>71</v>
      </c>
      <c r="F6817">
        <v>8781017</v>
      </c>
      <c r="G6817" t="s">
        <v>2581</v>
      </c>
      <c r="H6817" s="21">
        <v>1110.67</v>
      </c>
    </row>
    <row r="6818" spans="1:8" customFormat="1" x14ac:dyDescent="0.25">
      <c r="A6818" t="str">
        <f>"789566"</f>
        <v>789566</v>
      </c>
      <c r="B6818" t="s">
        <v>6455</v>
      </c>
      <c r="C6818" t="s">
        <v>246</v>
      </c>
      <c r="D6818" s="21" t="s">
        <v>34</v>
      </c>
      <c r="E6818" s="21" t="s">
        <v>254</v>
      </c>
      <c r="F6818">
        <v>8780890</v>
      </c>
      <c r="G6818" t="s">
        <v>6456</v>
      </c>
      <c r="H6818" s="21">
        <v>1110.67</v>
      </c>
    </row>
    <row r="6819" spans="1:8" customFormat="1" x14ac:dyDescent="0.25">
      <c r="A6819" t="str">
        <f>"7827411"</f>
        <v>7827411</v>
      </c>
      <c r="B6819" t="s">
        <v>4965</v>
      </c>
      <c r="C6819" t="s">
        <v>269</v>
      </c>
      <c r="D6819" s="21" t="s">
        <v>34</v>
      </c>
      <c r="E6819" s="21" t="s">
        <v>71</v>
      </c>
      <c r="F6819">
        <v>8780485</v>
      </c>
      <c r="G6819" t="s">
        <v>1279</v>
      </c>
      <c r="H6819" s="21">
        <v>1110.55</v>
      </c>
    </row>
    <row r="6820" spans="1:8" customFormat="1" x14ac:dyDescent="0.25">
      <c r="A6820" t="str">
        <f>"4521305"</f>
        <v>4521305</v>
      </c>
      <c r="B6820" t="s">
        <v>6940</v>
      </c>
      <c r="C6820" t="s">
        <v>209</v>
      </c>
      <c r="D6820" s="21" t="s">
        <v>34</v>
      </c>
      <c r="E6820" s="21" t="s">
        <v>71</v>
      </c>
      <c r="F6820">
        <v>4450144</v>
      </c>
      <c r="G6820" t="s">
        <v>6941</v>
      </c>
      <c r="H6820" s="21">
        <v>1110.42</v>
      </c>
    </row>
    <row r="6821" spans="1:8" customFormat="1" x14ac:dyDescent="0.25">
      <c r="A6821" t="str">
        <f>"673284"</f>
        <v>673284</v>
      </c>
      <c r="B6821" t="s">
        <v>5703</v>
      </c>
      <c r="C6821" t="s">
        <v>130</v>
      </c>
      <c r="D6821" s="21" t="s">
        <v>34</v>
      </c>
      <c r="E6821" s="21" t="s">
        <v>35</v>
      </c>
      <c r="F6821">
        <v>6670149</v>
      </c>
      <c r="G6821" t="s">
        <v>4404</v>
      </c>
      <c r="H6821" s="21">
        <v>1110.17</v>
      </c>
    </row>
    <row r="6822" spans="1:8" customFormat="1" x14ac:dyDescent="0.25">
      <c r="A6822" t="str">
        <f>"9526378"</f>
        <v>9526378</v>
      </c>
      <c r="B6822" t="s">
        <v>7063</v>
      </c>
      <c r="C6822" t="s">
        <v>328</v>
      </c>
      <c r="D6822" s="21" t="s">
        <v>34</v>
      </c>
      <c r="E6822" s="21" t="s">
        <v>35</v>
      </c>
      <c r="F6822">
        <v>8951273</v>
      </c>
      <c r="G6822" t="s">
        <v>2382</v>
      </c>
      <c r="H6822" s="21">
        <v>1110.17</v>
      </c>
    </row>
    <row r="6823" spans="1:8" customFormat="1" x14ac:dyDescent="0.25">
      <c r="A6823" t="str">
        <f>"6924546"</f>
        <v>6924546</v>
      </c>
      <c r="B6823" t="s">
        <v>5893</v>
      </c>
      <c r="C6823" t="s">
        <v>2475</v>
      </c>
      <c r="D6823" s="21" t="s">
        <v>34</v>
      </c>
      <c r="E6823" s="21" t="s">
        <v>71</v>
      </c>
      <c r="F6823">
        <v>1690002</v>
      </c>
      <c r="G6823" t="s">
        <v>5604</v>
      </c>
      <c r="H6823" s="21">
        <v>1110.17</v>
      </c>
    </row>
    <row r="6824" spans="1:8" customFormat="1" x14ac:dyDescent="0.25">
      <c r="A6824" t="str">
        <f>"8012503"</f>
        <v>8012503</v>
      </c>
      <c r="B6824" t="s">
        <v>1113</v>
      </c>
      <c r="C6824" t="s">
        <v>415</v>
      </c>
      <c r="D6824" s="21" t="s">
        <v>34</v>
      </c>
      <c r="E6824" s="21" t="s">
        <v>71</v>
      </c>
      <c r="F6824">
        <v>7800130</v>
      </c>
      <c r="G6824" t="s">
        <v>4998</v>
      </c>
      <c r="H6824" s="21">
        <v>1110.17</v>
      </c>
    </row>
    <row r="6825" spans="1:8" customFormat="1" x14ac:dyDescent="0.25">
      <c r="A6825" t="str">
        <f>"5617096"</f>
        <v>5617096</v>
      </c>
      <c r="B6825" t="s">
        <v>7776</v>
      </c>
      <c r="C6825" t="s">
        <v>198</v>
      </c>
      <c r="D6825" s="21" t="s">
        <v>34</v>
      </c>
      <c r="E6825" s="21" t="s">
        <v>71</v>
      </c>
      <c r="F6825">
        <v>3560090</v>
      </c>
      <c r="G6825" t="s">
        <v>7777</v>
      </c>
      <c r="H6825" s="21">
        <v>1110.17</v>
      </c>
    </row>
    <row r="6826" spans="1:8" customFormat="1" x14ac:dyDescent="0.25">
      <c r="A6826" t="str">
        <f>"9744888"</f>
        <v>9744888</v>
      </c>
      <c r="B6826" t="s">
        <v>6836</v>
      </c>
      <c r="C6826" t="s">
        <v>98</v>
      </c>
      <c r="D6826" s="21" t="s">
        <v>34</v>
      </c>
      <c r="E6826" s="21" t="s">
        <v>71</v>
      </c>
      <c r="F6826" t="s">
        <v>2849</v>
      </c>
      <c r="G6826" t="s">
        <v>2850</v>
      </c>
      <c r="H6826" s="21">
        <v>1110.17</v>
      </c>
    </row>
    <row r="6827" spans="1:8" customFormat="1" x14ac:dyDescent="0.25">
      <c r="A6827" t="str">
        <f>"373186"</f>
        <v>373186</v>
      </c>
      <c r="B6827" t="s">
        <v>7886</v>
      </c>
      <c r="C6827" t="s">
        <v>156</v>
      </c>
      <c r="D6827" s="21" t="s">
        <v>34</v>
      </c>
      <c r="E6827" s="21" t="s">
        <v>35</v>
      </c>
      <c r="F6827">
        <v>4370289</v>
      </c>
      <c r="G6827" t="s">
        <v>7887</v>
      </c>
      <c r="H6827" s="21">
        <v>1110.17</v>
      </c>
    </row>
    <row r="6828" spans="1:8" customFormat="1" x14ac:dyDescent="0.25">
      <c r="A6828" t="str">
        <f>"4417769"</f>
        <v>4417769</v>
      </c>
      <c r="B6828" t="s">
        <v>1614</v>
      </c>
      <c r="C6828" t="s">
        <v>7200</v>
      </c>
      <c r="D6828" s="21" t="s">
        <v>34</v>
      </c>
      <c r="E6828" s="21" t="s">
        <v>71</v>
      </c>
      <c r="F6828">
        <v>12440002</v>
      </c>
      <c r="G6828" t="s">
        <v>47</v>
      </c>
      <c r="H6828" s="21">
        <v>1110.17</v>
      </c>
    </row>
    <row r="6829" spans="1:8" customFormat="1" x14ac:dyDescent="0.25">
      <c r="A6829" t="str">
        <f>"925773"</f>
        <v>925773</v>
      </c>
      <c r="B6829" t="s">
        <v>6863</v>
      </c>
      <c r="C6829" t="s">
        <v>6864</v>
      </c>
      <c r="D6829" s="21" t="s">
        <v>34</v>
      </c>
      <c r="E6829" s="21" t="s">
        <v>1089</v>
      </c>
      <c r="F6829">
        <v>8920151</v>
      </c>
      <c r="G6829" t="s">
        <v>1434</v>
      </c>
      <c r="H6829" s="21">
        <v>1109.8</v>
      </c>
    </row>
    <row r="6830" spans="1:8" customFormat="1" x14ac:dyDescent="0.25">
      <c r="A6830" t="str">
        <f>"4213991"</f>
        <v>4213991</v>
      </c>
      <c r="B6830" t="s">
        <v>8271</v>
      </c>
      <c r="C6830" t="s">
        <v>1914</v>
      </c>
      <c r="D6830" s="21" t="s">
        <v>34</v>
      </c>
      <c r="E6830" s="21" t="s">
        <v>71</v>
      </c>
      <c r="F6830">
        <v>1420163</v>
      </c>
      <c r="G6830" t="s">
        <v>2424</v>
      </c>
      <c r="H6830" s="21">
        <v>1109.67</v>
      </c>
    </row>
    <row r="6831" spans="1:8" customFormat="1" x14ac:dyDescent="0.25">
      <c r="A6831" t="str">
        <f>"9113427"</f>
        <v>9113427</v>
      </c>
      <c r="B6831" t="s">
        <v>6339</v>
      </c>
      <c r="C6831" t="s">
        <v>33</v>
      </c>
      <c r="D6831" s="21" t="s">
        <v>34</v>
      </c>
      <c r="E6831" s="21" t="s">
        <v>35</v>
      </c>
      <c r="F6831">
        <v>8910042</v>
      </c>
      <c r="G6831" t="s">
        <v>4009</v>
      </c>
      <c r="H6831" s="21">
        <v>1109.67</v>
      </c>
    </row>
    <row r="6832" spans="1:8" customFormat="1" x14ac:dyDescent="0.25">
      <c r="A6832" t="str">
        <f>"322353"</f>
        <v>322353</v>
      </c>
      <c r="B6832" t="s">
        <v>7249</v>
      </c>
      <c r="C6832" t="s">
        <v>253</v>
      </c>
      <c r="D6832" s="21" t="s">
        <v>34</v>
      </c>
      <c r="E6832" s="21" t="s">
        <v>71</v>
      </c>
      <c r="F6832">
        <v>10400010</v>
      </c>
      <c r="G6832" t="s">
        <v>2446</v>
      </c>
      <c r="H6832" s="21">
        <v>1109.67</v>
      </c>
    </row>
    <row r="6833" spans="1:8" customFormat="1" x14ac:dyDescent="0.25">
      <c r="A6833" t="str">
        <f>"275367"</f>
        <v>275367</v>
      </c>
      <c r="B6833" t="s">
        <v>7416</v>
      </c>
      <c r="C6833" t="s">
        <v>43</v>
      </c>
      <c r="D6833" s="21" t="s">
        <v>34</v>
      </c>
      <c r="E6833" s="21" t="s">
        <v>35</v>
      </c>
      <c r="F6833">
        <v>9270110</v>
      </c>
      <c r="G6833" t="s">
        <v>7417</v>
      </c>
      <c r="H6833" s="21">
        <v>1109.67</v>
      </c>
    </row>
    <row r="6834" spans="1:8" customFormat="1" x14ac:dyDescent="0.25">
      <c r="A6834" t="str">
        <f>"7515050"</f>
        <v>7515050</v>
      </c>
      <c r="B6834" t="s">
        <v>26958</v>
      </c>
      <c r="C6834" t="s">
        <v>62</v>
      </c>
      <c r="D6834" s="21" t="s">
        <v>34</v>
      </c>
      <c r="E6834" s="21" t="s">
        <v>35</v>
      </c>
      <c r="F6834">
        <v>8751371</v>
      </c>
      <c r="G6834" t="s">
        <v>6605</v>
      </c>
      <c r="H6834" s="21">
        <v>1109.67</v>
      </c>
    </row>
    <row r="6835" spans="1:8" customFormat="1" x14ac:dyDescent="0.25">
      <c r="A6835" t="str">
        <f>"573146"</f>
        <v>573146</v>
      </c>
      <c r="B6835" t="s">
        <v>7682</v>
      </c>
      <c r="C6835" t="s">
        <v>269</v>
      </c>
      <c r="D6835" s="21" t="s">
        <v>34</v>
      </c>
      <c r="E6835" s="21" t="s">
        <v>71</v>
      </c>
      <c r="F6835">
        <v>6570022</v>
      </c>
      <c r="G6835" t="s">
        <v>3870</v>
      </c>
      <c r="H6835" s="21">
        <v>1109.67</v>
      </c>
    </row>
    <row r="6836" spans="1:8" customFormat="1" x14ac:dyDescent="0.25">
      <c r="A6836" t="str">
        <f>"3523875"</f>
        <v>3523875</v>
      </c>
      <c r="B6836" t="s">
        <v>9042</v>
      </c>
      <c r="C6836" t="s">
        <v>87</v>
      </c>
      <c r="D6836" s="21" t="s">
        <v>34</v>
      </c>
      <c r="E6836" s="21" t="s">
        <v>35</v>
      </c>
      <c r="F6836">
        <v>3350030</v>
      </c>
      <c r="G6836" t="s">
        <v>4549</v>
      </c>
      <c r="H6836" s="21">
        <v>1109.56</v>
      </c>
    </row>
    <row r="6837" spans="1:8" customFormat="1" x14ac:dyDescent="0.25">
      <c r="A6837" t="str">
        <f>"6919801"</f>
        <v>6919801</v>
      </c>
      <c r="B6837" t="s">
        <v>6619</v>
      </c>
      <c r="C6837" t="s">
        <v>249</v>
      </c>
      <c r="D6837" s="21" t="s">
        <v>34</v>
      </c>
      <c r="E6837" s="21" t="s">
        <v>71</v>
      </c>
      <c r="F6837">
        <v>1690175</v>
      </c>
      <c r="G6837" t="s">
        <v>410</v>
      </c>
      <c r="H6837" s="21">
        <v>1109.43</v>
      </c>
    </row>
    <row r="6838" spans="1:8" customFormat="1" x14ac:dyDescent="0.25">
      <c r="A6838" t="str">
        <f>"452916"</f>
        <v>452916</v>
      </c>
      <c r="B6838" t="s">
        <v>7327</v>
      </c>
      <c r="C6838" t="s">
        <v>269</v>
      </c>
      <c r="D6838" s="21" t="s">
        <v>34</v>
      </c>
      <c r="E6838" s="21" t="s">
        <v>71</v>
      </c>
      <c r="F6838">
        <v>4450760</v>
      </c>
      <c r="G6838" t="s">
        <v>5775</v>
      </c>
      <c r="H6838" s="21">
        <v>1109.42</v>
      </c>
    </row>
    <row r="6839" spans="1:8" customFormat="1" x14ac:dyDescent="0.25">
      <c r="A6839" t="str">
        <f>"372817"</f>
        <v>372817</v>
      </c>
      <c r="B6839" t="s">
        <v>7436</v>
      </c>
      <c r="C6839" t="s">
        <v>269</v>
      </c>
      <c r="D6839" s="21" t="s">
        <v>34</v>
      </c>
      <c r="E6839" s="21" t="s">
        <v>71</v>
      </c>
      <c r="F6839">
        <v>4370615</v>
      </c>
      <c r="G6839" t="s">
        <v>7437</v>
      </c>
      <c r="H6839" s="21">
        <v>1109.17</v>
      </c>
    </row>
    <row r="6840" spans="1:8" customFormat="1" x14ac:dyDescent="0.25">
      <c r="A6840" t="str">
        <f>"14430"</f>
        <v>14430</v>
      </c>
      <c r="B6840" t="s">
        <v>6658</v>
      </c>
      <c r="C6840" t="s">
        <v>96</v>
      </c>
      <c r="D6840" s="21" t="s">
        <v>34</v>
      </c>
      <c r="E6840" s="21" t="s">
        <v>254</v>
      </c>
      <c r="F6840">
        <v>9140054</v>
      </c>
      <c r="G6840" t="s">
        <v>3300</v>
      </c>
      <c r="H6840" s="21">
        <v>1109.17</v>
      </c>
    </row>
    <row r="6841" spans="1:8" customFormat="1" x14ac:dyDescent="0.25">
      <c r="A6841" t="str">
        <f>"4428426"</f>
        <v>4428426</v>
      </c>
      <c r="B6841" t="s">
        <v>2143</v>
      </c>
      <c r="C6841" t="s">
        <v>114</v>
      </c>
      <c r="D6841" s="21" t="s">
        <v>34</v>
      </c>
      <c r="E6841" s="21" t="s">
        <v>71</v>
      </c>
      <c r="F6841">
        <v>12440021</v>
      </c>
      <c r="G6841" t="s">
        <v>429</v>
      </c>
      <c r="H6841" s="21">
        <v>1109.17</v>
      </c>
    </row>
    <row r="6842" spans="1:8" customFormat="1" x14ac:dyDescent="0.25">
      <c r="A6842" t="str">
        <f>"4597"</f>
        <v>4597</v>
      </c>
      <c r="B6842" t="s">
        <v>6948</v>
      </c>
      <c r="C6842" t="s">
        <v>87</v>
      </c>
      <c r="D6842" s="21" t="s">
        <v>34</v>
      </c>
      <c r="E6842" s="21" t="s">
        <v>35</v>
      </c>
      <c r="F6842">
        <v>4450571</v>
      </c>
      <c r="G6842" t="s">
        <v>188</v>
      </c>
      <c r="H6842" s="21">
        <v>1109.17</v>
      </c>
    </row>
    <row r="6843" spans="1:8" customFormat="1" x14ac:dyDescent="0.25">
      <c r="A6843" t="str">
        <f>"2812517"</f>
        <v>2812517</v>
      </c>
      <c r="B6843" t="s">
        <v>7733</v>
      </c>
      <c r="C6843" t="s">
        <v>114</v>
      </c>
      <c r="D6843" s="21" t="s">
        <v>34</v>
      </c>
      <c r="E6843" s="21" t="s">
        <v>71</v>
      </c>
      <c r="F6843">
        <v>4280004</v>
      </c>
      <c r="G6843" t="s">
        <v>91</v>
      </c>
      <c r="H6843" s="21">
        <v>1109.17</v>
      </c>
    </row>
    <row r="6844" spans="1:8" customFormat="1" x14ac:dyDescent="0.25">
      <c r="A6844" t="str">
        <f>"427347"</f>
        <v>427347</v>
      </c>
      <c r="B6844" t="s">
        <v>7400</v>
      </c>
      <c r="C6844" t="s">
        <v>246</v>
      </c>
      <c r="D6844" s="21" t="s">
        <v>34</v>
      </c>
      <c r="E6844" s="21" t="s">
        <v>254</v>
      </c>
      <c r="F6844">
        <v>1420025</v>
      </c>
      <c r="G6844" t="s">
        <v>5981</v>
      </c>
      <c r="H6844" s="21">
        <v>1109.17</v>
      </c>
    </row>
    <row r="6845" spans="1:8" customFormat="1" x14ac:dyDescent="0.25">
      <c r="A6845" t="str">
        <f>"564023"</f>
        <v>564023</v>
      </c>
      <c r="B6845" t="s">
        <v>6541</v>
      </c>
      <c r="C6845" t="s">
        <v>187</v>
      </c>
      <c r="D6845" s="21" t="s">
        <v>34</v>
      </c>
      <c r="E6845" s="21" t="s">
        <v>71</v>
      </c>
      <c r="F6845">
        <v>3350169</v>
      </c>
      <c r="G6845" t="s">
        <v>735</v>
      </c>
      <c r="H6845" s="21">
        <v>1109.17</v>
      </c>
    </row>
    <row r="6846" spans="1:8" customFormat="1" x14ac:dyDescent="0.25">
      <c r="A6846" t="str">
        <f>"717057"</f>
        <v>717057</v>
      </c>
      <c r="B6846" t="s">
        <v>5516</v>
      </c>
      <c r="C6846" t="s">
        <v>169</v>
      </c>
      <c r="D6846" s="21" t="s">
        <v>34</v>
      </c>
      <c r="E6846" s="21" t="s">
        <v>35</v>
      </c>
      <c r="F6846">
        <v>2710067</v>
      </c>
      <c r="G6846" t="s">
        <v>284</v>
      </c>
      <c r="H6846" s="21">
        <v>1109.17</v>
      </c>
    </row>
    <row r="6847" spans="1:8" customFormat="1" x14ac:dyDescent="0.25">
      <c r="A6847" t="str">
        <f>"3315601"</f>
        <v>3315601</v>
      </c>
      <c r="B6847" t="s">
        <v>8108</v>
      </c>
      <c r="C6847" t="s">
        <v>285</v>
      </c>
      <c r="D6847" s="21" t="s">
        <v>34</v>
      </c>
      <c r="E6847" s="21" t="s">
        <v>35</v>
      </c>
      <c r="F6847">
        <v>10330046</v>
      </c>
      <c r="G6847" t="s">
        <v>1787</v>
      </c>
      <c r="H6847" s="21">
        <v>1109.17</v>
      </c>
    </row>
    <row r="6848" spans="1:8" customFormat="1" x14ac:dyDescent="0.25">
      <c r="A6848" t="str">
        <f>"4415454"</f>
        <v>4415454</v>
      </c>
      <c r="B6848" t="s">
        <v>687</v>
      </c>
      <c r="C6848" t="s">
        <v>209</v>
      </c>
      <c r="D6848" s="21" t="s">
        <v>34</v>
      </c>
      <c r="E6848" s="21" t="s">
        <v>71</v>
      </c>
      <c r="F6848">
        <v>12440023</v>
      </c>
      <c r="G6848" t="s">
        <v>3507</v>
      </c>
      <c r="H6848" s="21">
        <v>1109.17</v>
      </c>
    </row>
    <row r="6849" spans="1:8" customFormat="1" x14ac:dyDescent="0.25">
      <c r="A6849" t="str">
        <f>"1417833"</f>
        <v>1417833</v>
      </c>
      <c r="B6849" t="s">
        <v>6786</v>
      </c>
      <c r="C6849" t="s">
        <v>82</v>
      </c>
      <c r="D6849" s="21" t="s">
        <v>34</v>
      </c>
      <c r="E6849" s="21" t="s">
        <v>35</v>
      </c>
      <c r="F6849">
        <v>9140052</v>
      </c>
      <c r="G6849" t="s">
        <v>26563</v>
      </c>
      <c r="H6849" s="21">
        <v>1108.92</v>
      </c>
    </row>
    <row r="6850" spans="1:8" customFormat="1" x14ac:dyDescent="0.25">
      <c r="A6850" t="str">
        <f>"2514781"</f>
        <v>2514781</v>
      </c>
      <c r="B6850" t="s">
        <v>623</v>
      </c>
      <c r="C6850" t="s">
        <v>198</v>
      </c>
      <c r="D6850" s="21" t="s">
        <v>34</v>
      </c>
      <c r="E6850" s="21" t="s">
        <v>254</v>
      </c>
      <c r="F6850">
        <v>2250024</v>
      </c>
      <c r="G6850" t="s">
        <v>751</v>
      </c>
      <c r="H6850" s="21">
        <v>1108.8</v>
      </c>
    </row>
    <row r="6851" spans="1:8" customFormat="1" x14ac:dyDescent="0.25">
      <c r="A6851" t="str">
        <f>"9128820"</f>
        <v>9128820</v>
      </c>
      <c r="B6851" t="s">
        <v>8028</v>
      </c>
      <c r="C6851" t="s">
        <v>130</v>
      </c>
      <c r="D6851" s="21" t="s">
        <v>34</v>
      </c>
      <c r="E6851" s="21" t="s">
        <v>71</v>
      </c>
      <c r="F6851">
        <v>8910303</v>
      </c>
      <c r="G6851" t="s">
        <v>1244</v>
      </c>
      <c r="H6851" s="21">
        <v>1108.8</v>
      </c>
    </row>
    <row r="6852" spans="1:8" customFormat="1" x14ac:dyDescent="0.25">
      <c r="A6852" t="str">
        <f>"2928152"</f>
        <v>2928152</v>
      </c>
      <c r="B6852" t="s">
        <v>6686</v>
      </c>
      <c r="C6852" t="s">
        <v>656</v>
      </c>
      <c r="D6852" s="21" t="s">
        <v>34</v>
      </c>
      <c r="E6852" s="21" t="s">
        <v>35</v>
      </c>
      <c r="F6852">
        <v>3290282</v>
      </c>
      <c r="G6852" t="s">
        <v>4855</v>
      </c>
      <c r="H6852" s="21">
        <v>1108.67</v>
      </c>
    </row>
    <row r="6853" spans="1:8" customFormat="1" x14ac:dyDescent="0.25">
      <c r="A6853" t="str">
        <f>"5712992"</f>
        <v>5712992</v>
      </c>
      <c r="B6853" t="s">
        <v>1422</v>
      </c>
      <c r="C6853" t="s">
        <v>55</v>
      </c>
      <c r="D6853" s="21" t="s">
        <v>34</v>
      </c>
      <c r="E6853" s="21" t="s">
        <v>254</v>
      </c>
      <c r="F6853">
        <v>10240002</v>
      </c>
      <c r="G6853" t="s">
        <v>2935</v>
      </c>
      <c r="H6853" s="21">
        <v>1108.67</v>
      </c>
    </row>
    <row r="6854" spans="1:8" customFormat="1" x14ac:dyDescent="0.25">
      <c r="A6854" t="str">
        <f>"642433"</f>
        <v>642433</v>
      </c>
      <c r="B6854" t="s">
        <v>9090</v>
      </c>
      <c r="C6854" t="s">
        <v>302</v>
      </c>
      <c r="D6854" s="21" t="s">
        <v>34</v>
      </c>
      <c r="E6854" s="21" t="s">
        <v>71</v>
      </c>
      <c r="F6854">
        <v>10640019</v>
      </c>
      <c r="G6854" t="s">
        <v>3123</v>
      </c>
      <c r="H6854" s="21">
        <v>1108.67</v>
      </c>
    </row>
    <row r="6855" spans="1:8" customFormat="1" x14ac:dyDescent="0.25">
      <c r="A6855" t="str">
        <f>"592109"</f>
        <v>592109</v>
      </c>
      <c r="B6855" t="s">
        <v>7927</v>
      </c>
      <c r="C6855" t="s">
        <v>206</v>
      </c>
      <c r="D6855" s="21" t="s">
        <v>34</v>
      </c>
      <c r="E6855" s="21" t="s">
        <v>35</v>
      </c>
      <c r="F6855">
        <v>13130146</v>
      </c>
      <c r="G6855" t="s">
        <v>2471</v>
      </c>
      <c r="H6855" s="21">
        <v>1108.67</v>
      </c>
    </row>
    <row r="6856" spans="1:8" customFormat="1" x14ac:dyDescent="0.25">
      <c r="A6856" t="str">
        <f>"9441744"</f>
        <v>9441744</v>
      </c>
      <c r="B6856" t="s">
        <v>1653</v>
      </c>
      <c r="C6856" t="s">
        <v>169</v>
      </c>
      <c r="D6856" s="21" t="s">
        <v>34</v>
      </c>
      <c r="E6856" s="21" t="s">
        <v>71</v>
      </c>
      <c r="F6856">
        <v>8940012</v>
      </c>
      <c r="G6856" t="s">
        <v>1648</v>
      </c>
      <c r="H6856" s="21">
        <v>1108.67</v>
      </c>
    </row>
    <row r="6857" spans="1:8" customFormat="1" x14ac:dyDescent="0.25">
      <c r="A6857" t="str">
        <f>"171873"</f>
        <v>171873</v>
      </c>
      <c r="B6857" t="s">
        <v>8377</v>
      </c>
      <c r="C6857" t="s">
        <v>43</v>
      </c>
      <c r="D6857" s="21" t="s">
        <v>34</v>
      </c>
      <c r="E6857" s="21" t="s">
        <v>35</v>
      </c>
      <c r="F6857">
        <v>10170158</v>
      </c>
      <c r="G6857" t="s">
        <v>1262</v>
      </c>
      <c r="H6857" s="21">
        <v>1108.67</v>
      </c>
    </row>
    <row r="6858" spans="1:8" customFormat="1" x14ac:dyDescent="0.25">
      <c r="A6858" t="str">
        <f>"852342"</f>
        <v>852342</v>
      </c>
      <c r="B6858" t="s">
        <v>6555</v>
      </c>
      <c r="C6858" t="s">
        <v>60</v>
      </c>
      <c r="D6858" s="21" t="s">
        <v>34</v>
      </c>
      <c r="E6858" s="21" t="s">
        <v>35</v>
      </c>
      <c r="F6858">
        <v>12850023</v>
      </c>
      <c r="G6858" t="s">
        <v>3121</v>
      </c>
      <c r="H6858" s="21">
        <v>1108.67</v>
      </c>
    </row>
    <row r="6859" spans="1:8" customFormat="1" x14ac:dyDescent="0.25">
      <c r="A6859" t="str">
        <f>"7847511"</f>
        <v>7847511</v>
      </c>
      <c r="B6859" t="s">
        <v>1840</v>
      </c>
      <c r="C6859" t="s">
        <v>6637</v>
      </c>
      <c r="D6859" s="21" t="s">
        <v>34</v>
      </c>
      <c r="E6859" s="21" t="s">
        <v>254</v>
      </c>
      <c r="F6859">
        <v>8780571</v>
      </c>
      <c r="G6859" t="s">
        <v>2336</v>
      </c>
      <c r="H6859" s="21">
        <v>1108.67</v>
      </c>
    </row>
    <row r="6860" spans="1:8" customFormat="1" x14ac:dyDescent="0.25">
      <c r="A6860" t="str">
        <f>"6226183"</f>
        <v>6226183</v>
      </c>
      <c r="B6860" t="s">
        <v>7210</v>
      </c>
      <c r="C6860" t="s">
        <v>171</v>
      </c>
      <c r="D6860" s="21" t="s">
        <v>34</v>
      </c>
      <c r="E6860" s="21" t="s">
        <v>71</v>
      </c>
      <c r="F6860">
        <v>7620031</v>
      </c>
      <c r="G6860" t="s">
        <v>2182</v>
      </c>
      <c r="H6860" s="21">
        <v>1108.67</v>
      </c>
    </row>
    <row r="6861" spans="1:8" customFormat="1" x14ac:dyDescent="0.25">
      <c r="A6861" t="str">
        <f>"013985"</f>
        <v>013985</v>
      </c>
      <c r="B6861" t="s">
        <v>7315</v>
      </c>
      <c r="C6861" t="s">
        <v>55</v>
      </c>
      <c r="D6861" s="21" t="s">
        <v>34</v>
      </c>
      <c r="E6861" s="21" t="s">
        <v>35</v>
      </c>
      <c r="F6861">
        <v>1010063</v>
      </c>
      <c r="G6861" t="s">
        <v>5215</v>
      </c>
      <c r="H6861" s="21">
        <v>1108.67</v>
      </c>
    </row>
    <row r="6862" spans="1:8" customFormat="1" x14ac:dyDescent="0.25">
      <c r="A6862" t="str">
        <f>"35343"</f>
        <v>35343</v>
      </c>
      <c r="B6862" t="s">
        <v>6963</v>
      </c>
      <c r="C6862" t="s">
        <v>598</v>
      </c>
      <c r="D6862" s="21" t="s">
        <v>34</v>
      </c>
      <c r="E6862" s="21" t="s">
        <v>1089</v>
      </c>
      <c r="F6862">
        <v>3350014</v>
      </c>
      <c r="G6862" t="s">
        <v>1078</v>
      </c>
      <c r="H6862" s="21">
        <v>1108.55</v>
      </c>
    </row>
    <row r="6863" spans="1:8" customFormat="1" x14ac:dyDescent="0.25">
      <c r="A6863" t="str">
        <f>"596330"</f>
        <v>596330</v>
      </c>
      <c r="B6863" t="s">
        <v>12320</v>
      </c>
      <c r="C6863" t="s">
        <v>484</v>
      </c>
      <c r="D6863" s="21" t="s">
        <v>34</v>
      </c>
      <c r="E6863" s="21" t="s">
        <v>35</v>
      </c>
      <c r="F6863">
        <v>9610009</v>
      </c>
      <c r="G6863" t="s">
        <v>282</v>
      </c>
      <c r="H6863" s="21">
        <v>1108.5</v>
      </c>
    </row>
    <row r="6864" spans="1:8" customFormat="1" x14ac:dyDescent="0.25">
      <c r="A6864" t="str">
        <f>"843096"</f>
        <v>843096</v>
      </c>
      <c r="B6864" t="s">
        <v>6990</v>
      </c>
      <c r="C6864" t="s">
        <v>40</v>
      </c>
      <c r="D6864" s="21" t="s">
        <v>34</v>
      </c>
      <c r="E6864" s="21" t="s">
        <v>71</v>
      </c>
      <c r="F6864">
        <v>1010020</v>
      </c>
      <c r="G6864" t="s">
        <v>6121</v>
      </c>
      <c r="H6864" s="21">
        <v>1108.42</v>
      </c>
    </row>
    <row r="6865" spans="1:8" customFormat="1" x14ac:dyDescent="0.25">
      <c r="A6865" t="str">
        <f>"94134"</f>
        <v>94134</v>
      </c>
      <c r="B6865" t="s">
        <v>7737</v>
      </c>
      <c r="C6865" t="s">
        <v>336</v>
      </c>
      <c r="D6865" s="21" t="s">
        <v>34</v>
      </c>
      <c r="E6865" s="21" t="s">
        <v>71</v>
      </c>
      <c r="F6865">
        <v>8941352</v>
      </c>
      <c r="G6865" t="s">
        <v>3778</v>
      </c>
      <c r="H6865" s="21">
        <v>1108.3</v>
      </c>
    </row>
    <row r="6866" spans="1:8" customFormat="1" x14ac:dyDescent="0.25">
      <c r="A6866" t="str">
        <f>"5619578"</f>
        <v>5619578</v>
      </c>
      <c r="B6866" t="s">
        <v>2261</v>
      </c>
      <c r="C6866" t="s">
        <v>1665</v>
      </c>
      <c r="D6866" s="21" t="s">
        <v>34</v>
      </c>
      <c r="E6866" s="21" t="s">
        <v>254</v>
      </c>
      <c r="F6866">
        <v>3560019</v>
      </c>
      <c r="G6866" t="s">
        <v>13051</v>
      </c>
      <c r="H6866" s="21">
        <v>1108.29</v>
      </c>
    </row>
    <row r="6867" spans="1:8" customFormat="1" x14ac:dyDescent="0.25">
      <c r="A6867" t="str">
        <f>"1412792"</f>
        <v>1412792</v>
      </c>
      <c r="B6867" t="s">
        <v>2903</v>
      </c>
      <c r="C6867" t="s">
        <v>209</v>
      </c>
      <c r="D6867" s="21" t="s">
        <v>34</v>
      </c>
      <c r="E6867" s="21" t="s">
        <v>71</v>
      </c>
      <c r="F6867">
        <v>9140185</v>
      </c>
      <c r="G6867" t="s">
        <v>1578</v>
      </c>
      <c r="H6867" s="21">
        <v>1108.19</v>
      </c>
    </row>
    <row r="6868" spans="1:8" customFormat="1" x14ac:dyDescent="0.25">
      <c r="A6868" t="str">
        <f>"746269"</f>
        <v>746269</v>
      </c>
      <c r="B6868" t="s">
        <v>8071</v>
      </c>
      <c r="C6868" t="s">
        <v>2100</v>
      </c>
      <c r="D6868" s="21" t="s">
        <v>34</v>
      </c>
      <c r="E6868" s="21" t="s">
        <v>71</v>
      </c>
      <c r="F6868">
        <v>1740020</v>
      </c>
      <c r="G6868" t="s">
        <v>881</v>
      </c>
      <c r="H6868" s="21">
        <v>1108.18</v>
      </c>
    </row>
    <row r="6869" spans="1:8" customFormat="1" x14ac:dyDescent="0.25">
      <c r="A6869" t="str">
        <f>"10303"</f>
        <v>10303</v>
      </c>
      <c r="B6869" t="s">
        <v>6430</v>
      </c>
      <c r="C6869" t="s">
        <v>124</v>
      </c>
      <c r="D6869" s="21" t="s">
        <v>34</v>
      </c>
      <c r="E6869" s="21" t="s">
        <v>71</v>
      </c>
      <c r="F6869">
        <v>7590033</v>
      </c>
      <c r="G6869" t="s">
        <v>6329</v>
      </c>
      <c r="H6869" s="21">
        <v>1108.17</v>
      </c>
    </row>
    <row r="6870" spans="1:8" customFormat="1" x14ac:dyDescent="0.25">
      <c r="A6870" t="str">
        <f>"2511748"</f>
        <v>2511748</v>
      </c>
      <c r="B6870" t="s">
        <v>7661</v>
      </c>
      <c r="C6870" t="s">
        <v>608</v>
      </c>
      <c r="D6870" s="21" t="s">
        <v>34</v>
      </c>
      <c r="E6870" s="21" t="s">
        <v>35</v>
      </c>
      <c r="F6870">
        <v>2390007</v>
      </c>
      <c r="G6870" t="s">
        <v>3365</v>
      </c>
      <c r="H6870" s="21">
        <v>1108.17</v>
      </c>
    </row>
    <row r="6871" spans="1:8" customFormat="1" x14ac:dyDescent="0.25">
      <c r="A6871" t="str">
        <f>"807300"</f>
        <v>807300</v>
      </c>
      <c r="B6871" t="s">
        <v>9880</v>
      </c>
      <c r="C6871" t="s">
        <v>33</v>
      </c>
      <c r="D6871" s="21" t="s">
        <v>34</v>
      </c>
      <c r="E6871" s="21" t="s">
        <v>35</v>
      </c>
      <c r="F6871">
        <v>7800014</v>
      </c>
      <c r="G6871" t="s">
        <v>9881</v>
      </c>
      <c r="H6871" s="21">
        <v>1108.17</v>
      </c>
    </row>
    <row r="6872" spans="1:8" customFormat="1" x14ac:dyDescent="0.25">
      <c r="A6872" t="str">
        <f>"297716"</f>
        <v>297716</v>
      </c>
      <c r="B6872" t="s">
        <v>7073</v>
      </c>
      <c r="C6872" t="s">
        <v>484</v>
      </c>
      <c r="D6872" s="21" t="s">
        <v>34</v>
      </c>
      <c r="E6872" s="21" t="s">
        <v>71</v>
      </c>
      <c r="F6872">
        <v>3290003</v>
      </c>
      <c r="G6872" t="s">
        <v>3764</v>
      </c>
      <c r="H6872" s="21">
        <v>1108.17</v>
      </c>
    </row>
    <row r="6873" spans="1:8" customFormat="1" x14ac:dyDescent="0.25">
      <c r="A6873" t="str">
        <f>"8019440"</f>
        <v>8019440</v>
      </c>
      <c r="B6873" t="s">
        <v>2428</v>
      </c>
      <c r="C6873" t="s">
        <v>209</v>
      </c>
      <c r="D6873" s="21" t="s">
        <v>34</v>
      </c>
      <c r="E6873" s="21" t="s">
        <v>71</v>
      </c>
      <c r="F6873">
        <v>7800004</v>
      </c>
      <c r="G6873" t="s">
        <v>748</v>
      </c>
      <c r="H6873" s="21">
        <v>1108.17</v>
      </c>
    </row>
    <row r="6874" spans="1:8" customFormat="1" x14ac:dyDescent="0.25">
      <c r="A6874" t="str">
        <f>"67879"</f>
        <v>67879</v>
      </c>
      <c r="B6874" t="s">
        <v>7325</v>
      </c>
      <c r="C6874" t="s">
        <v>1675</v>
      </c>
      <c r="D6874" s="21" t="s">
        <v>34</v>
      </c>
      <c r="E6874" s="21" t="s">
        <v>71</v>
      </c>
      <c r="F6874">
        <v>6670260</v>
      </c>
      <c r="G6874" t="s">
        <v>1202</v>
      </c>
      <c r="H6874" s="21">
        <v>1108.17</v>
      </c>
    </row>
    <row r="6875" spans="1:8" customFormat="1" x14ac:dyDescent="0.25">
      <c r="A6875" t="str">
        <f>"639209"</f>
        <v>639209</v>
      </c>
      <c r="B6875" t="s">
        <v>1422</v>
      </c>
      <c r="C6875" t="s">
        <v>62</v>
      </c>
      <c r="D6875" s="21" t="s">
        <v>34</v>
      </c>
      <c r="E6875" s="21" t="s">
        <v>35</v>
      </c>
      <c r="F6875">
        <v>1030108</v>
      </c>
      <c r="G6875" t="s">
        <v>26724</v>
      </c>
      <c r="H6875" s="21">
        <v>1108.17</v>
      </c>
    </row>
    <row r="6876" spans="1:8" customFormat="1" x14ac:dyDescent="0.25">
      <c r="A6876" t="str">
        <f>"7831011"</f>
        <v>7831011</v>
      </c>
      <c r="B6876" t="s">
        <v>4767</v>
      </c>
      <c r="C6876" t="s">
        <v>209</v>
      </c>
      <c r="D6876" s="21" t="s">
        <v>34</v>
      </c>
      <c r="E6876" s="21" t="s">
        <v>71</v>
      </c>
      <c r="F6876">
        <v>12440195</v>
      </c>
      <c r="G6876" t="s">
        <v>3117</v>
      </c>
      <c r="H6876" s="21">
        <v>1108</v>
      </c>
    </row>
    <row r="6877" spans="1:8" customFormat="1" x14ac:dyDescent="0.25">
      <c r="A6877" t="str">
        <f>"736173"</f>
        <v>736173</v>
      </c>
      <c r="B6877" t="s">
        <v>8936</v>
      </c>
      <c r="C6877" t="s">
        <v>507</v>
      </c>
      <c r="D6877" s="21" t="s">
        <v>34</v>
      </c>
      <c r="E6877" s="21" t="s">
        <v>35</v>
      </c>
      <c r="F6877">
        <v>1730048</v>
      </c>
      <c r="G6877" t="s">
        <v>3173</v>
      </c>
      <c r="H6877" s="21">
        <v>1107.68</v>
      </c>
    </row>
    <row r="6878" spans="1:8" customFormat="1" x14ac:dyDescent="0.25">
      <c r="A6878" t="str">
        <f>"2511665"</f>
        <v>2511665</v>
      </c>
      <c r="B6878" t="s">
        <v>7397</v>
      </c>
      <c r="C6878" t="s">
        <v>3784</v>
      </c>
      <c r="D6878" s="21" t="s">
        <v>34</v>
      </c>
      <c r="E6878" s="21" t="s">
        <v>71</v>
      </c>
      <c r="F6878">
        <v>2250021</v>
      </c>
      <c r="G6878" t="s">
        <v>2352</v>
      </c>
      <c r="H6878" s="21">
        <v>1107.67</v>
      </c>
    </row>
    <row r="6879" spans="1:8" customFormat="1" x14ac:dyDescent="0.25">
      <c r="A6879" t="str">
        <f>"2214956"</f>
        <v>2214956</v>
      </c>
      <c r="B6879" t="s">
        <v>7650</v>
      </c>
      <c r="C6879" t="s">
        <v>109</v>
      </c>
      <c r="D6879" s="21" t="s">
        <v>34</v>
      </c>
      <c r="E6879" s="21" t="s">
        <v>35</v>
      </c>
      <c r="F6879">
        <v>3220127</v>
      </c>
      <c r="G6879" t="s">
        <v>26652</v>
      </c>
      <c r="H6879" s="21">
        <v>1107.67</v>
      </c>
    </row>
    <row r="6880" spans="1:8" customFormat="1" x14ac:dyDescent="0.25">
      <c r="A6880" t="str">
        <f>"3819548"</f>
        <v>3819548</v>
      </c>
      <c r="B6880" t="s">
        <v>7710</v>
      </c>
      <c r="C6880" t="s">
        <v>2520</v>
      </c>
      <c r="D6880" s="21" t="s">
        <v>34</v>
      </c>
      <c r="E6880" s="21" t="s">
        <v>254</v>
      </c>
      <c r="F6880">
        <v>1380290</v>
      </c>
      <c r="G6880" t="s">
        <v>619</v>
      </c>
      <c r="H6880" s="21">
        <v>1107.67</v>
      </c>
    </row>
    <row r="6881" spans="1:8" customFormat="1" x14ac:dyDescent="0.25">
      <c r="A6881" t="str">
        <f>"146732"</f>
        <v>146732</v>
      </c>
      <c r="B6881" t="s">
        <v>7785</v>
      </c>
      <c r="C6881" t="s">
        <v>87</v>
      </c>
      <c r="D6881" s="21" t="s">
        <v>34</v>
      </c>
      <c r="E6881" s="21" t="s">
        <v>71</v>
      </c>
      <c r="F6881">
        <v>9140167</v>
      </c>
      <c r="G6881" t="s">
        <v>5116</v>
      </c>
      <c r="H6881" s="21">
        <v>1107.67</v>
      </c>
    </row>
    <row r="6882" spans="1:8" customFormat="1" x14ac:dyDescent="0.25">
      <c r="A6882" t="str">
        <f>"9416497"</f>
        <v>9416497</v>
      </c>
      <c r="B6882" t="s">
        <v>3958</v>
      </c>
      <c r="C6882" t="s">
        <v>3109</v>
      </c>
      <c r="D6882" s="21" t="s">
        <v>34</v>
      </c>
      <c r="E6882" s="21" t="s">
        <v>71</v>
      </c>
      <c r="F6882">
        <v>8940448</v>
      </c>
      <c r="G6882" t="s">
        <v>1691</v>
      </c>
      <c r="H6882" s="21">
        <v>1107.67</v>
      </c>
    </row>
    <row r="6883" spans="1:8" customFormat="1" x14ac:dyDescent="0.25">
      <c r="A6883" t="str">
        <f>"3814272"</f>
        <v>3814272</v>
      </c>
      <c r="B6883" t="s">
        <v>6180</v>
      </c>
      <c r="C6883" t="s">
        <v>2479</v>
      </c>
      <c r="D6883" s="21" t="s">
        <v>34</v>
      </c>
      <c r="E6883" s="21" t="s">
        <v>1089</v>
      </c>
      <c r="F6883">
        <v>13830068</v>
      </c>
      <c r="G6883" t="s">
        <v>6181</v>
      </c>
      <c r="H6883" s="21">
        <v>1107.67</v>
      </c>
    </row>
    <row r="6884" spans="1:8" customFormat="1" x14ac:dyDescent="0.25">
      <c r="A6884" t="str">
        <f>"595583"</f>
        <v>595583</v>
      </c>
      <c r="B6884" t="s">
        <v>6736</v>
      </c>
      <c r="C6884" t="s">
        <v>484</v>
      </c>
      <c r="D6884" s="21" t="s">
        <v>34</v>
      </c>
      <c r="E6884" s="21" t="s">
        <v>71</v>
      </c>
      <c r="F6884">
        <v>7590086</v>
      </c>
      <c r="G6884" t="s">
        <v>3557</v>
      </c>
      <c r="H6884" s="21">
        <v>1107.67</v>
      </c>
    </row>
    <row r="6885" spans="1:8" customFormat="1" x14ac:dyDescent="0.25">
      <c r="A6885" t="str">
        <f>"4426381"</f>
        <v>4426381</v>
      </c>
      <c r="B6885" t="s">
        <v>8767</v>
      </c>
      <c r="C6885" t="s">
        <v>121</v>
      </c>
      <c r="D6885" s="21" t="s">
        <v>34</v>
      </c>
      <c r="E6885" s="21" t="s">
        <v>35</v>
      </c>
      <c r="F6885">
        <v>12440195</v>
      </c>
      <c r="G6885" t="s">
        <v>3117</v>
      </c>
      <c r="H6885" s="21">
        <v>1107.67</v>
      </c>
    </row>
    <row r="6886" spans="1:8" customFormat="1" x14ac:dyDescent="0.25">
      <c r="A6886" t="str">
        <f>"619803"</f>
        <v>619803</v>
      </c>
      <c r="B6886" t="s">
        <v>7695</v>
      </c>
      <c r="C6886" t="s">
        <v>275</v>
      </c>
      <c r="D6886" s="21" t="s">
        <v>34</v>
      </c>
      <c r="E6886" s="21" t="s">
        <v>35</v>
      </c>
      <c r="F6886">
        <v>9610009</v>
      </c>
      <c r="G6886" t="s">
        <v>282</v>
      </c>
      <c r="H6886" s="21">
        <v>1107.67</v>
      </c>
    </row>
    <row r="6887" spans="1:8" customFormat="1" x14ac:dyDescent="0.25">
      <c r="A6887" t="str">
        <f>"683537"</f>
        <v>683537</v>
      </c>
      <c r="B6887" t="s">
        <v>14491</v>
      </c>
      <c r="C6887" t="s">
        <v>275</v>
      </c>
      <c r="D6887" s="21" t="s">
        <v>34</v>
      </c>
      <c r="E6887" s="21" t="s">
        <v>35</v>
      </c>
      <c r="F6887">
        <v>6680128</v>
      </c>
      <c r="G6887" t="s">
        <v>341</v>
      </c>
      <c r="H6887" s="21">
        <v>1107.56</v>
      </c>
    </row>
    <row r="6888" spans="1:8" customFormat="1" x14ac:dyDescent="0.25">
      <c r="A6888" t="str">
        <f>"93782"</f>
        <v>93782</v>
      </c>
      <c r="B6888" t="s">
        <v>7251</v>
      </c>
      <c r="C6888" t="s">
        <v>151</v>
      </c>
      <c r="D6888" s="21" t="s">
        <v>34</v>
      </c>
      <c r="E6888" s="21" t="s">
        <v>71</v>
      </c>
      <c r="F6888">
        <v>10330084</v>
      </c>
      <c r="G6888" t="s">
        <v>1124</v>
      </c>
      <c r="H6888" s="21">
        <v>1107.55</v>
      </c>
    </row>
    <row r="6889" spans="1:8" customFormat="1" x14ac:dyDescent="0.25">
      <c r="A6889" t="str">
        <f>"7718229"</f>
        <v>7718229</v>
      </c>
      <c r="B6889" t="s">
        <v>1028</v>
      </c>
      <c r="C6889" t="s">
        <v>206</v>
      </c>
      <c r="D6889" s="21" t="s">
        <v>34</v>
      </c>
      <c r="E6889" s="21" t="s">
        <v>35</v>
      </c>
      <c r="F6889">
        <v>8771506</v>
      </c>
      <c r="G6889" t="s">
        <v>7314</v>
      </c>
      <c r="H6889" s="21">
        <v>1107.5</v>
      </c>
    </row>
    <row r="6890" spans="1:8" customFormat="1" x14ac:dyDescent="0.25">
      <c r="A6890" t="str">
        <f>"638704"</f>
        <v>638704</v>
      </c>
      <c r="B6890" t="s">
        <v>26959</v>
      </c>
      <c r="C6890" t="s">
        <v>1489</v>
      </c>
      <c r="D6890" s="21" t="s">
        <v>34</v>
      </c>
      <c r="E6890" s="21" t="s">
        <v>35</v>
      </c>
      <c r="F6890">
        <v>13060110</v>
      </c>
      <c r="G6890" t="s">
        <v>3268</v>
      </c>
      <c r="H6890" s="21">
        <v>1107.18</v>
      </c>
    </row>
    <row r="6891" spans="1:8" customFormat="1" x14ac:dyDescent="0.25">
      <c r="A6891" t="str">
        <f>"628748"</f>
        <v>628748</v>
      </c>
      <c r="B6891" t="s">
        <v>1833</v>
      </c>
      <c r="C6891" t="s">
        <v>40</v>
      </c>
      <c r="D6891" s="21" t="s">
        <v>34</v>
      </c>
      <c r="E6891" s="21" t="s">
        <v>71</v>
      </c>
      <c r="F6891">
        <v>7620067</v>
      </c>
      <c r="G6891" t="s">
        <v>860</v>
      </c>
      <c r="H6891" s="21">
        <v>1107.17</v>
      </c>
    </row>
    <row r="6892" spans="1:8" customFormat="1" x14ac:dyDescent="0.25">
      <c r="A6892" t="str">
        <f>"534345"</f>
        <v>534345</v>
      </c>
      <c r="B6892" t="s">
        <v>6923</v>
      </c>
      <c r="C6892" t="s">
        <v>926</v>
      </c>
      <c r="D6892" s="21" t="s">
        <v>34</v>
      </c>
      <c r="E6892" s="21" t="s">
        <v>71</v>
      </c>
      <c r="F6892">
        <v>12530109</v>
      </c>
      <c r="G6892" t="s">
        <v>6924</v>
      </c>
      <c r="H6892" s="21">
        <v>1107.17</v>
      </c>
    </row>
    <row r="6893" spans="1:8" customFormat="1" x14ac:dyDescent="0.25">
      <c r="A6893" t="str">
        <f>"181080"</f>
        <v>181080</v>
      </c>
      <c r="B6893" t="s">
        <v>7385</v>
      </c>
      <c r="C6893" t="s">
        <v>109</v>
      </c>
      <c r="D6893" s="21" t="s">
        <v>34</v>
      </c>
      <c r="E6893" s="21" t="s">
        <v>71</v>
      </c>
      <c r="F6893">
        <v>4180530</v>
      </c>
      <c r="G6893" t="s">
        <v>3622</v>
      </c>
      <c r="H6893" s="21">
        <v>1107.17</v>
      </c>
    </row>
    <row r="6894" spans="1:8" customFormat="1" x14ac:dyDescent="0.25">
      <c r="A6894" t="str">
        <f>"6812686"</f>
        <v>6812686</v>
      </c>
      <c r="B6894" t="s">
        <v>26960</v>
      </c>
      <c r="C6894" t="s">
        <v>7441</v>
      </c>
      <c r="D6894" s="21" t="s">
        <v>34</v>
      </c>
      <c r="E6894" s="21" t="s">
        <v>35</v>
      </c>
      <c r="F6894">
        <v>6680128</v>
      </c>
      <c r="G6894" t="s">
        <v>341</v>
      </c>
      <c r="H6894" s="21">
        <v>1107.17</v>
      </c>
    </row>
    <row r="6895" spans="1:8" customFormat="1" x14ac:dyDescent="0.25">
      <c r="A6895" t="str">
        <f>"5416364"</f>
        <v>5416364</v>
      </c>
      <c r="B6895" t="s">
        <v>7973</v>
      </c>
      <c r="C6895" t="s">
        <v>269</v>
      </c>
      <c r="D6895" s="21" t="s">
        <v>34</v>
      </c>
      <c r="E6895" s="21" t="s">
        <v>35</v>
      </c>
      <c r="F6895">
        <v>6540192</v>
      </c>
      <c r="G6895" t="s">
        <v>3644</v>
      </c>
      <c r="H6895" s="21">
        <v>1107.17</v>
      </c>
    </row>
    <row r="6896" spans="1:8" customFormat="1" x14ac:dyDescent="0.25">
      <c r="A6896" t="str">
        <f>"552957"</f>
        <v>552957</v>
      </c>
      <c r="B6896" t="s">
        <v>2576</v>
      </c>
      <c r="C6896" t="s">
        <v>33</v>
      </c>
      <c r="D6896" s="21" t="s">
        <v>34</v>
      </c>
      <c r="E6896" s="21" t="s">
        <v>35</v>
      </c>
      <c r="F6896">
        <v>6550020</v>
      </c>
      <c r="G6896" t="s">
        <v>7526</v>
      </c>
      <c r="H6896" s="21">
        <v>1107.17</v>
      </c>
    </row>
    <row r="6897" spans="1:8" customFormat="1" x14ac:dyDescent="0.25">
      <c r="A6897" t="str">
        <f>"686434"</f>
        <v>686434</v>
      </c>
      <c r="B6897" t="s">
        <v>8603</v>
      </c>
      <c r="C6897" t="s">
        <v>428</v>
      </c>
      <c r="D6897" s="21" t="s">
        <v>34</v>
      </c>
      <c r="E6897" s="21" t="s">
        <v>35</v>
      </c>
      <c r="F6897">
        <v>6680116</v>
      </c>
      <c r="G6897" t="s">
        <v>5205</v>
      </c>
      <c r="H6897" s="21">
        <v>1107.17</v>
      </c>
    </row>
    <row r="6898" spans="1:8" customFormat="1" x14ac:dyDescent="0.25">
      <c r="A6898" t="str">
        <f>"943487"</f>
        <v>943487</v>
      </c>
      <c r="B6898" t="s">
        <v>6679</v>
      </c>
      <c r="C6898" t="s">
        <v>263</v>
      </c>
      <c r="D6898" s="21" t="s">
        <v>34</v>
      </c>
      <c r="E6898" s="21" t="s">
        <v>71</v>
      </c>
      <c r="F6898">
        <v>12850136</v>
      </c>
      <c r="G6898" t="s">
        <v>2536</v>
      </c>
      <c r="H6898" s="21">
        <v>1107.17</v>
      </c>
    </row>
    <row r="6899" spans="1:8" customFormat="1" x14ac:dyDescent="0.25">
      <c r="A6899" t="str">
        <f>"4929724"</f>
        <v>4929724</v>
      </c>
      <c r="B6899" t="s">
        <v>7653</v>
      </c>
      <c r="C6899" t="s">
        <v>1110</v>
      </c>
      <c r="D6899" s="21" t="s">
        <v>34</v>
      </c>
      <c r="E6899" s="21" t="s">
        <v>1089</v>
      </c>
      <c r="F6899">
        <v>12850063</v>
      </c>
      <c r="G6899" t="s">
        <v>10302</v>
      </c>
      <c r="H6899" s="21">
        <v>1107.17</v>
      </c>
    </row>
    <row r="6900" spans="1:8" customFormat="1" x14ac:dyDescent="0.25">
      <c r="A6900" t="str">
        <f>"617785"</f>
        <v>617785</v>
      </c>
      <c r="B6900" t="s">
        <v>6829</v>
      </c>
      <c r="C6900" t="s">
        <v>87</v>
      </c>
      <c r="D6900" s="21" t="s">
        <v>34</v>
      </c>
      <c r="E6900" s="21" t="s">
        <v>71</v>
      </c>
      <c r="F6900">
        <v>9610127</v>
      </c>
      <c r="G6900" t="s">
        <v>6830</v>
      </c>
      <c r="H6900" s="21">
        <v>1107.05</v>
      </c>
    </row>
    <row r="6901" spans="1:8" customFormat="1" x14ac:dyDescent="0.25">
      <c r="A6901" t="str">
        <f>"3815316"</f>
        <v>3815316</v>
      </c>
      <c r="B6901" t="s">
        <v>11799</v>
      </c>
      <c r="C6901" t="s">
        <v>156</v>
      </c>
      <c r="D6901" s="21" t="s">
        <v>34</v>
      </c>
      <c r="E6901" s="21" t="s">
        <v>254</v>
      </c>
      <c r="F6901">
        <v>1420166</v>
      </c>
      <c r="G6901" t="s">
        <v>26873</v>
      </c>
      <c r="H6901" s="21">
        <v>1107</v>
      </c>
    </row>
    <row r="6902" spans="1:8" customFormat="1" x14ac:dyDescent="0.25">
      <c r="A6902" t="str">
        <f>"548436"</f>
        <v>548436</v>
      </c>
      <c r="B6902" t="s">
        <v>9026</v>
      </c>
      <c r="C6902" t="s">
        <v>209</v>
      </c>
      <c r="D6902" s="21" t="s">
        <v>34</v>
      </c>
      <c r="E6902" s="21" t="s">
        <v>71</v>
      </c>
      <c r="F6902">
        <v>6540040</v>
      </c>
      <c r="G6902" t="s">
        <v>256</v>
      </c>
      <c r="H6902" s="21">
        <v>1106.93</v>
      </c>
    </row>
    <row r="6903" spans="1:8" customFormat="1" x14ac:dyDescent="0.25">
      <c r="A6903" t="str">
        <f>"596810"</f>
        <v>596810</v>
      </c>
      <c r="B6903" t="s">
        <v>6002</v>
      </c>
      <c r="C6903" t="s">
        <v>2520</v>
      </c>
      <c r="D6903" s="21" t="s">
        <v>34</v>
      </c>
      <c r="E6903" s="21" t="s">
        <v>254</v>
      </c>
      <c r="F6903">
        <v>10170033</v>
      </c>
      <c r="G6903" t="s">
        <v>3756</v>
      </c>
      <c r="H6903" s="21">
        <v>1106.92</v>
      </c>
    </row>
    <row r="6904" spans="1:8" customFormat="1" x14ac:dyDescent="0.25">
      <c r="A6904" t="str">
        <f>"6013657"</f>
        <v>6013657</v>
      </c>
      <c r="B6904" t="s">
        <v>3168</v>
      </c>
      <c r="C6904" t="s">
        <v>124</v>
      </c>
      <c r="D6904" s="21" t="s">
        <v>34</v>
      </c>
      <c r="E6904" s="21" t="s">
        <v>35</v>
      </c>
      <c r="F6904">
        <v>7600171</v>
      </c>
      <c r="G6904" t="s">
        <v>4705</v>
      </c>
      <c r="H6904" s="21">
        <v>1106.81</v>
      </c>
    </row>
    <row r="6905" spans="1:8" customFormat="1" x14ac:dyDescent="0.25">
      <c r="A6905" t="str">
        <f>"4932720"</f>
        <v>4932720</v>
      </c>
      <c r="B6905" t="s">
        <v>12156</v>
      </c>
      <c r="C6905" t="s">
        <v>43</v>
      </c>
      <c r="D6905" s="21" t="s">
        <v>34</v>
      </c>
      <c r="E6905" s="21" t="s">
        <v>35</v>
      </c>
      <c r="F6905">
        <v>12490073</v>
      </c>
      <c r="G6905" t="s">
        <v>296</v>
      </c>
      <c r="H6905" s="21">
        <v>1106.8</v>
      </c>
    </row>
    <row r="6906" spans="1:8" customFormat="1" x14ac:dyDescent="0.25">
      <c r="A6906" t="str">
        <f>"9514797"</f>
        <v>9514797</v>
      </c>
      <c r="B6906" t="s">
        <v>3366</v>
      </c>
      <c r="C6906" t="s">
        <v>1146</v>
      </c>
      <c r="D6906" s="21" t="s">
        <v>34</v>
      </c>
      <c r="E6906" s="21" t="s">
        <v>254</v>
      </c>
      <c r="F6906">
        <v>8950570</v>
      </c>
      <c r="G6906" t="s">
        <v>3226</v>
      </c>
      <c r="H6906" s="21">
        <v>1106.68</v>
      </c>
    </row>
    <row r="6907" spans="1:8" customFormat="1" x14ac:dyDescent="0.25">
      <c r="A6907" t="str">
        <f>"7639557"</f>
        <v>7639557</v>
      </c>
      <c r="B6907" t="s">
        <v>11075</v>
      </c>
      <c r="C6907" t="s">
        <v>275</v>
      </c>
      <c r="D6907" s="21" t="s">
        <v>34</v>
      </c>
      <c r="E6907" s="21" t="s">
        <v>35</v>
      </c>
      <c r="F6907">
        <v>9760319</v>
      </c>
      <c r="G6907" t="s">
        <v>3051</v>
      </c>
      <c r="H6907" s="21">
        <v>1106.67</v>
      </c>
    </row>
    <row r="6908" spans="1:8" customFormat="1" x14ac:dyDescent="0.25">
      <c r="A6908" t="str">
        <f>"7616556"</f>
        <v>7616556</v>
      </c>
      <c r="B6908" t="s">
        <v>2925</v>
      </c>
      <c r="C6908" t="s">
        <v>2479</v>
      </c>
      <c r="D6908" s="21" t="s">
        <v>34</v>
      </c>
      <c r="E6908" s="21" t="s">
        <v>254</v>
      </c>
      <c r="F6908">
        <v>9760414</v>
      </c>
      <c r="G6908" t="s">
        <v>142</v>
      </c>
      <c r="H6908" s="21">
        <v>1106.67</v>
      </c>
    </row>
    <row r="6909" spans="1:8" customFormat="1" x14ac:dyDescent="0.25">
      <c r="A6909" t="str">
        <f>"5113501"</f>
        <v>5113501</v>
      </c>
      <c r="B6909" t="s">
        <v>9058</v>
      </c>
      <c r="C6909" t="s">
        <v>151</v>
      </c>
      <c r="D6909" s="21" t="s">
        <v>34</v>
      </c>
      <c r="E6909" s="21" t="s">
        <v>35</v>
      </c>
      <c r="F6909">
        <v>6510062</v>
      </c>
      <c r="G6909" t="s">
        <v>9059</v>
      </c>
      <c r="H6909" s="21">
        <v>1106.67</v>
      </c>
    </row>
    <row r="6910" spans="1:8" customFormat="1" x14ac:dyDescent="0.25">
      <c r="A6910" t="str">
        <f>"5317668"</f>
        <v>5317668</v>
      </c>
      <c r="B6910" t="s">
        <v>7462</v>
      </c>
      <c r="C6910" t="s">
        <v>239</v>
      </c>
      <c r="D6910" s="21" t="s">
        <v>34</v>
      </c>
      <c r="E6910" s="21" t="s">
        <v>1089</v>
      </c>
      <c r="F6910">
        <v>12530026</v>
      </c>
      <c r="G6910" t="s">
        <v>7463</v>
      </c>
      <c r="H6910" s="21">
        <v>1106.67</v>
      </c>
    </row>
    <row r="6911" spans="1:8" customFormat="1" x14ac:dyDescent="0.25">
      <c r="A6911" t="str">
        <f>"2922471"</f>
        <v>2922471</v>
      </c>
      <c r="B6911" t="s">
        <v>3039</v>
      </c>
      <c r="C6911" t="s">
        <v>576</v>
      </c>
      <c r="D6911" s="21" t="s">
        <v>34</v>
      </c>
      <c r="E6911" s="21" t="s">
        <v>35</v>
      </c>
      <c r="F6911">
        <v>8770250</v>
      </c>
      <c r="G6911" t="s">
        <v>2595</v>
      </c>
      <c r="H6911" s="21">
        <v>1106.67</v>
      </c>
    </row>
    <row r="6912" spans="1:8" customFormat="1" x14ac:dyDescent="0.25">
      <c r="A6912" t="str">
        <f>"64454"</f>
        <v>64454</v>
      </c>
      <c r="B6912" t="s">
        <v>7647</v>
      </c>
      <c r="C6912" t="s">
        <v>267</v>
      </c>
      <c r="D6912" s="21" t="s">
        <v>34</v>
      </c>
      <c r="E6912" s="21" t="s">
        <v>254</v>
      </c>
      <c r="F6912">
        <v>10640006</v>
      </c>
      <c r="G6912" t="s">
        <v>3872</v>
      </c>
      <c r="H6912" s="21">
        <v>1106.67</v>
      </c>
    </row>
    <row r="6913" spans="1:8" customFormat="1" x14ac:dyDescent="0.25">
      <c r="A6913" t="str">
        <f>"9111184"</f>
        <v>9111184</v>
      </c>
      <c r="B6913" t="s">
        <v>3733</v>
      </c>
      <c r="C6913" t="s">
        <v>204</v>
      </c>
      <c r="D6913" s="21" t="s">
        <v>34</v>
      </c>
      <c r="E6913" s="21" t="s">
        <v>35</v>
      </c>
      <c r="F6913">
        <v>8911323</v>
      </c>
      <c r="G6913" t="s">
        <v>555</v>
      </c>
      <c r="H6913" s="21">
        <v>1106.67</v>
      </c>
    </row>
    <row r="6914" spans="1:8" customFormat="1" x14ac:dyDescent="0.25">
      <c r="A6914" t="str">
        <f>"333200"</f>
        <v>333200</v>
      </c>
      <c r="B6914" t="s">
        <v>7746</v>
      </c>
      <c r="C6914" t="s">
        <v>124</v>
      </c>
      <c r="D6914" s="21" t="s">
        <v>34</v>
      </c>
      <c r="E6914" s="21" t="s">
        <v>254</v>
      </c>
      <c r="F6914">
        <v>10330005</v>
      </c>
      <c r="G6914" t="s">
        <v>3526</v>
      </c>
      <c r="H6914" s="21">
        <v>1106.67</v>
      </c>
    </row>
    <row r="6915" spans="1:8" customFormat="1" x14ac:dyDescent="0.25">
      <c r="A6915" t="str">
        <f>"2711231"</f>
        <v>2711231</v>
      </c>
      <c r="B6915" t="s">
        <v>15500</v>
      </c>
      <c r="C6915" t="s">
        <v>119</v>
      </c>
      <c r="D6915" s="21" t="s">
        <v>34</v>
      </c>
      <c r="E6915" s="21" t="s">
        <v>35</v>
      </c>
      <c r="F6915">
        <v>9270071</v>
      </c>
      <c r="G6915" t="s">
        <v>7815</v>
      </c>
      <c r="H6915" s="21">
        <v>1106.67</v>
      </c>
    </row>
    <row r="6916" spans="1:8" customFormat="1" x14ac:dyDescent="0.25">
      <c r="A6916" t="str">
        <f>"5913329"</f>
        <v>5913329</v>
      </c>
      <c r="B6916" t="s">
        <v>8559</v>
      </c>
      <c r="C6916" t="s">
        <v>121</v>
      </c>
      <c r="D6916" s="21" t="s">
        <v>34</v>
      </c>
      <c r="E6916" s="21" t="s">
        <v>35</v>
      </c>
      <c r="F6916">
        <v>12440151</v>
      </c>
      <c r="G6916" t="s">
        <v>1327</v>
      </c>
      <c r="H6916" s="21">
        <v>1106.67</v>
      </c>
    </row>
    <row r="6917" spans="1:8" customFormat="1" x14ac:dyDescent="0.25">
      <c r="A6917" t="str">
        <f>"546664"</f>
        <v>546664</v>
      </c>
      <c r="B6917" t="s">
        <v>5885</v>
      </c>
      <c r="C6917" t="s">
        <v>486</v>
      </c>
      <c r="D6917" s="21" t="s">
        <v>34</v>
      </c>
      <c r="E6917" s="21" t="s">
        <v>35</v>
      </c>
      <c r="F6917">
        <v>6540001</v>
      </c>
      <c r="G6917" t="s">
        <v>5886</v>
      </c>
      <c r="H6917" s="21">
        <v>1106.42</v>
      </c>
    </row>
    <row r="6918" spans="1:8" customFormat="1" x14ac:dyDescent="0.25">
      <c r="A6918" t="str">
        <f>"2715549"</f>
        <v>2715549</v>
      </c>
      <c r="B6918" t="s">
        <v>12550</v>
      </c>
      <c r="C6918" t="s">
        <v>12551</v>
      </c>
      <c r="D6918" s="21" t="s">
        <v>34</v>
      </c>
      <c r="E6918" s="21" t="s">
        <v>35</v>
      </c>
      <c r="F6918">
        <v>9270152</v>
      </c>
      <c r="G6918" t="s">
        <v>1985</v>
      </c>
      <c r="H6918" s="21">
        <v>1106.42</v>
      </c>
    </row>
    <row r="6919" spans="1:8" customFormat="1" x14ac:dyDescent="0.25">
      <c r="A6919" t="str">
        <f>"5412552"</f>
        <v>5412552</v>
      </c>
      <c r="B6919" t="s">
        <v>6669</v>
      </c>
      <c r="C6919" t="s">
        <v>415</v>
      </c>
      <c r="D6919" s="21" t="s">
        <v>34</v>
      </c>
      <c r="E6919" s="21" t="s">
        <v>35</v>
      </c>
      <c r="F6919">
        <v>6540001</v>
      </c>
      <c r="G6919" t="s">
        <v>5886</v>
      </c>
      <c r="H6919" s="21">
        <v>1106.42</v>
      </c>
    </row>
    <row r="6920" spans="1:8" customFormat="1" x14ac:dyDescent="0.25">
      <c r="A6920" t="str">
        <f>"4419730"</f>
        <v>4419730</v>
      </c>
      <c r="B6920" t="s">
        <v>697</v>
      </c>
      <c r="C6920" t="s">
        <v>1620</v>
      </c>
      <c r="D6920" s="21" t="s">
        <v>34</v>
      </c>
      <c r="E6920" s="21" t="s">
        <v>71</v>
      </c>
      <c r="F6920">
        <v>12440033</v>
      </c>
      <c r="G6920" t="s">
        <v>1638</v>
      </c>
      <c r="H6920" s="21">
        <v>1106.17</v>
      </c>
    </row>
    <row r="6921" spans="1:8" customFormat="1" x14ac:dyDescent="0.25">
      <c r="A6921" t="str">
        <f>"711140"</f>
        <v>711140</v>
      </c>
      <c r="B6921" t="s">
        <v>7222</v>
      </c>
      <c r="C6921" t="s">
        <v>40</v>
      </c>
      <c r="D6921" s="21" t="s">
        <v>34</v>
      </c>
      <c r="E6921" s="21" t="s">
        <v>71</v>
      </c>
      <c r="F6921">
        <v>2710025</v>
      </c>
      <c r="G6921" t="s">
        <v>2719</v>
      </c>
      <c r="H6921" s="21">
        <v>1106.17</v>
      </c>
    </row>
    <row r="6922" spans="1:8" customFormat="1" x14ac:dyDescent="0.25">
      <c r="A6922" t="str">
        <f>"6255"</f>
        <v>6255</v>
      </c>
      <c r="B6922" t="s">
        <v>6849</v>
      </c>
      <c r="C6922" t="s">
        <v>269</v>
      </c>
      <c r="D6922" s="21" t="s">
        <v>34</v>
      </c>
      <c r="E6922" s="21" t="s">
        <v>71</v>
      </c>
      <c r="F6922">
        <v>7620016</v>
      </c>
      <c r="G6922" t="s">
        <v>6850</v>
      </c>
      <c r="H6922" s="21">
        <v>1106.17</v>
      </c>
    </row>
    <row r="6923" spans="1:8" customFormat="1" x14ac:dyDescent="0.25">
      <c r="A6923" t="str">
        <f>"5950552"</f>
        <v>5950552</v>
      </c>
      <c r="B6923" t="s">
        <v>7110</v>
      </c>
      <c r="C6923" t="s">
        <v>65</v>
      </c>
      <c r="D6923" s="21" t="s">
        <v>34</v>
      </c>
      <c r="E6923" s="21" t="s">
        <v>71</v>
      </c>
      <c r="F6923">
        <v>7590071</v>
      </c>
      <c r="G6923" t="s">
        <v>2602</v>
      </c>
      <c r="H6923" s="21">
        <v>1106.17</v>
      </c>
    </row>
    <row r="6924" spans="1:8" customFormat="1" x14ac:dyDescent="0.25">
      <c r="A6924" t="str">
        <f>"7616229"</f>
        <v>7616229</v>
      </c>
      <c r="B6924" t="s">
        <v>7284</v>
      </c>
      <c r="C6924" t="s">
        <v>127</v>
      </c>
      <c r="D6924" s="21" t="s">
        <v>34</v>
      </c>
      <c r="E6924" s="21" t="s">
        <v>35</v>
      </c>
      <c r="F6924">
        <v>9760351</v>
      </c>
      <c r="G6924" t="s">
        <v>5898</v>
      </c>
      <c r="H6924" s="21">
        <v>1106.17</v>
      </c>
    </row>
    <row r="6925" spans="1:8" customFormat="1" x14ac:dyDescent="0.25">
      <c r="A6925" t="str">
        <f>"5019912"</f>
        <v>5019912</v>
      </c>
      <c r="B6925" t="s">
        <v>10502</v>
      </c>
      <c r="C6925" t="s">
        <v>209</v>
      </c>
      <c r="D6925" s="21" t="s">
        <v>34</v>
      </c>
      <c r="E6925" s="21" t="s">
        <v>35</v>
      </c>
      <c r="F6925">
        <v>9500093</v>
      </c>
      <c r="G6925" t="s">
        <v>1808</v>
      </c>
      <c r="H6925" s="21">
        <v>1106.17</v>
      </c>
    </row>
    <row r="6926" spans="1:8" customFormat="1" x14ac:dyDescent="0.25">
      <c r="A6926" t="str">
        <f>"277941"</f>
        <v>277941</v>
      </c>
      <c r="B6926" t="s">
        <v>8812</v>
      </c>
      <c r="C6926" t="s">
        <v>187</v>
      </c>
      <c r="D6926" s="21" t="s">
        <v>34</v>
      </c>
      <c r="E6926" s="21" t="s">
        <v>35</v>
      </c>
      <c r="F6926">
        <v>9270175</v>
      </c>
      <c r="G6926" t="s">
        <v>1909</v>
      </c>
      <c r="H6926" s="21">
        <v>1106.17</v>
      </c>
    </row>
    <row r="6927" spans="1:8" customFormat="1" x14ac:dyDescent="0.25">
      <c r="A6927" t="str">
        <f>"881080"</f>
        <v>881080</v>
      </c>
      <c r="B6927" t="s">
        <v>7717</v>
      </c>
      <c r="C6927" t="s">
        <v>988</v>
      </c>
      <c r="D6927" s="21" t="s">
        <v>34</v>
      </c>
      <c r="E6927" s="21" t="s">
        <v>71</v>
      </c>
      <c r="F6927">
        <v>6880083</v>
      </c>
      <c r="G6927" t="s">
        <v>7718</v>
      </c>
      <c r="H6927" s="21">
        <v>1106.17</v>
      </c>
    </row>
    <row r="6928" spans="1:8" customFormat="1" x14ac:dyDescent="0.25">
      <c r="A6928" t="str">
        <f>"758756"</f>
        <v>758756</v>
      </c>
      <c r="B6928" t="s">
        <v>26961</v>
      </c>
      <c r="C6928" t="s">
        <v>204</v>
      </c>
      <c r="D6928" s="21" t="s">
        <v>34</v>
      </c>
      <c r="E6928" s="21" t="s">
        <v>35</v>
      </c>
      <c r="F6928">
        <v>8750400</v>
      </c>
      <c r="G6928" t="s">
        <v>2804</v>
      </c>
      <c r="H6928" s="21">
        <v>1106.17</v>
      </c>
    </row>
    <row r="6929" spans="1:8" customFormat="1" x14ac:dyDescent="0.25">
      <c r="A6929" t="str">
        <f>"9511459"</f>
        <v>9511459</v>
      </c>
      <c r="B6929" t="s">
        <v>9154</v>
      </c>
      <c r="C6929" t="s">
        <v>510</v>
      </c>
      <c r="D6929" s="21" t="s">
        <v>34</v>
      </c>
      <c r="E6929" s="21" t="s">
        <v>35</v>
      </c>
      <c r="F6929">
        <v>8951331</v>
      </c>
      <c r="G6929" t="s">
        <v>1134</v>
      </c>
      <c r="H6929" s="21">
        <v>1106.05</v>
      </c>
    </row>
    <row r="6930" spans="1:8" customFormat="1" x14ac:dyDescent="0.25">
      <c r="A6930" t="str">
        <f>"429897"</f>
        <v>429897</v>
      </c>
      <c r="B6930" t="s">
        <v>7988</v>
      </c>
      <c r="C6930" t="s">
        <v>328</v>
      </c>
      <c r="D6930" s="21" t="s">
        <v>34</v>
      </c>
      <c r="E6930" s="21" t="s">
        <v>35</v>
      </c>
      <c r="F6930">
        <v>1420156</v>
      </c>
      <c r="G6930" t="s">
        <v>5635</v>
      </c>
      <c r="H6930" s="21">
        <v>1105.92</v>
      </c>
    </row>
    <row r="6931" spans="1:8" customFormat="1" x14ac:dyDescent="0.25">
      <c r="A6931" t="str">
        <f>"1316458"</f>
        <v>1316458</v>
      </c>
      <c r="B6931" t="s">
        <v>8241</v>
      </c>
      <c r="C6931" t="s">
        <v>1812</v>
      </c>
      <c r="D6931" s="21" t="s">
        <v>34</v>
      </c>
      <c r="E6931" s="21" t="s">
        <v>254</v>
      </c>
      <c r="F6931">
        <v>13130067</v>
      </c>
      <c r="G6931" t="s">
        <v>1420</v>
      </c>
      <c r="H6931" s="21">
        <v>1105.8</v>
      </c>
    </row>
    <row r="6932" spans="1:8" customFormat="1" x14ac:dyDescent="0.25">
      <c r="A6932" t="str">
        <f>"064313"</f>
        <v>064313</v>
      </c>
      <c r="B6932" t="s">
        <v>9125</v>
      </c>
      <c r="C6932" t="s">
        <v>9126</v>
      </c>
      <c r="D6932" s="21" t="s">
        <v>34</v>
      </c>
      <c r="E6932" s="21" t="s">
        <v>71</v>
      </c>
      <c r="F6932">
        <v>13830085</v>
      </c>
      <c r="G6932" t="s">
        <v>478</v>
      </c>
      <c r="H6932" s="21">
        <v>1105.8</v>
      </c>
    </row>
    <row r="6933" spans="1:8" customFormat="1" x14ac:dyDescent="0.25">
      <c r="A6933" t="str">
        <f>"5429773"</f>
        <v>5429773</v>
      </c>
      <c r="B6933" t="s">
        <v>7397</v>
      </c>
      <c r="C6933" t="s">
        <v>484</v>
      </c>
      <c r="D6933" s="21" t="s">
        <v>34</v>
      </c>
      <c r="E6933" s="21" t="s">
        <v>71</v>
      </c>
      <c r="F6933">
        <v>6540008</v>
      </c>
      <c r="G6933" t="s">
        <v>3891</v>
      </c>
      <c r="H6933" s="21">
        <v>1105.67</v>
      </c>
    </row>
    <row r="6934" spans="1:8" customFormat="1" x14ac:dyDescent="0.25">
      <c r="A6934" t="str">
        <f>"4926920"</f>
        <v>4926920</v>
      </c>
      <c r="B6934" t="s">
        <v>8677</v>
      </c>
      <c r="C6934" t="s">
        <v>1025</v>
      </c>
      <c r="D6934" s="21" t="s">
        <v>34</v>
      </c>
      <c r="E6934" s="21" t="s">
        <v>71</v>
      </c>
      <c r="F6934">
        <v>12490106</v>
      </c>
      <c r="G6934" t="s">
        <v>4555</v>
      </c>
      <c r="H6934" s="21">
        <v>1105.67</v>
      </c>
    </row>
    <row r="6935" spans="1:8" customFormat="1" x14ac:dyDescent="0.25">
      <c r="A6935" t="str">
        <f>"895327"</f>
        <v>895327</v>
      </c>
      <c r="B6935" t="s">
        <v>5819</v>
      </c>
      <c r="C6935" t="s">
        <v>2479</v>
      </c>
      <c r="D6935" s="21" t="s">
        <v>34</v>
      </c>
      <c r="E6935" s="21" t="s">
        <v>71</v>
      </c>
      <c r="F6935">
        <v>4410015</v>
      </c>
      <c r="G6935" t="s">
        <v>2223</v>
      </c>
      <c r="H6935" s="21">
        <v>1105.67</v>
      </c>
    </row>
    <row r="6936" spans="1:8" customFormat="1" x14ac:dyDescent="0.25">
      <c r="A6936" t="str">
        <f>"226831"</f>
        <v>226831</v>
      </c>
      <c r="B6936" t="s">
        <v>8171</v>
      </c>
      <c r="C6936" t="s">
        <v>8172</v>
      </c>
      <c r="D6936" s="21" t="s">
        <v>34</v>
      </c>
      <c r="E6936" s="21" t="s">
        <v>35</v>
      </c>
      <c r="F6936">
        <v>3220001</v>
      </c>
      <c r="G6936" t="s">
        <v>8173</v>
      </c>
      <c r="H6936" s="21">
        <v>1105.67</v>
      </c>
    </row>
    <row r="6937" spans="1:8" customFormat="1" x14ac:dyDescent="0.25">
      <c r="A6937" t="str">
        <f>"443288"</f>
        <v>443288</v>
      </c>
      <c r="B6937" t="s">
        <v>2315</v>
      </c>
      <c r="C6937" t="s">
        <v>598</v>
      </c>
      <c r="D6937" s="21" t="s">
        <v>34</v>
      </c>
      <c r="E6937" s="21" t="s">
        <v>254</v>
      </c>
      <c r="F6937">
        <v>12440262</v>
      </c>
      <c r="G6937" t="s">
        <v>4590</v>
      </c>
      <c r="H6937" s="21">
        <v>1105.67</v>
      </c>
    </row>
    <row r="6938" spans="1:8" customFormat="1" x14ac:dyDescent="0.25">
      <c r="A6938" t="str">
        <f>"682705"</f>
        <v>682705</v>
      </c>
      <c r="B6938" t="s">
        <v>9668</v>
      </c>
      <c r="C6938" t="s">
        <v>415</v>
      </c>
      <c r="D6938" s="21" t="s">
        <v>34</v>
      </c>
      <c r="E6938" s="21" t="s">
        <v>71</v>
      </c>
      <c r="F6938">
        <v>13830064</v>
      </c>
      <c r="G6938" t="s">
        <v>8410</v>
      </c>
      <c r="H6938" s="21">
        <v>1105.67</v>
      </c>
    </row>
    <row r="6939" spans="1:8" customFormat="1" x14ac:dyDescent="0.25">
      <c r="A6939" t="str">
        <f>"5717427"</f>
        <v>5717427</v>
      </c>
      <c r="B6939" t="s">
        <v>3794</v>
      </c>
      <c r="C6939" t="s">
        <v>812</v>
      </c>
      <c r="D6939" s="21" t="s">
        <v>34</v>
      </c>
      <c r="E6939" s="21" t="s">
        <v>254</v>
      </c>
      <c r="F6939">
        <v>6570060</v>
      </c>
      <c r="G6939" t="s">
        <v>4397</v>
      </c>
      <c r="H6939" s="21">
        <v>1105.55</v>
      </c>
    </row>
    <row r="6940" spans="1:8" customFormat="1" x14ac:dyDescent="0.25">
      <c r="A6940" t="str">
        <f>"6017130"</f>
        <v>6017130</v>
      </c>
      <c r="B6940" t="s">
        <v>7402</v>
      </c>
      <c r="C6940" t="s">
        <v>169</v>
      </c>
      <c r="D6940" s="21" t="s">
        <v>34</v>
      </c>
      <c r="E6940" s="21" t="s">
        <v>35</v>
      </c>
      <c r="F6940">
        <v>7600054</v>
      </c>
      <c r="G6940" t="s">
        <v>1352</v>
      </c>
      <c r="H6940" s="21">
        <v>1105.42</v>
      </c>
    </row>
    <row r="6941" spans="1:8" customFormat="1" x14ac:dyDescent="0.25">
      <c r="A6941" t="str">
        <f>"179852"</f>
        <v>179852</v>
      </c>
      <c r="B6941" t="s">
        <v>8363</v>
      </c>
      <c r="C6941" t="s">
        <v>109</v>
      </c>
      <c r="D6941" s="21" t="s">
        <v>34</v>
      </c>
      <c r="E6941" s="21" t="s">
        <v>35</v>
      </c>
      <c r="F6941">
        <v>10170005</v>
      </c>
      <c r="G6941" t="s">
        <v>4290</v>
      </c>
      <c r="H6941" s="21">
        <v>1105.17</v>
      </c>
    </row>
    <row r="6942" spans="1:8" customFormat="1" x14ac:dyDescent="0.25">
      <c r="A6942" t="str">
        <f>"572160"</f>
        <v>572160</v>
      </c>
      <c r="B6942" t="s">
        <v>8302</v>
      </c>
      <c r="C6942" t="s">
        <v>415</v>
      </c>
      <c r="D6942" s="21" t="s">
        <v>34</v>
      </c>
      <c r="E6942" s="21" t="s">
        <v>254</v>
      </c>
      <c r="F6942">
        <v>6570158</v>
      </c>
      <c r="G6942" t="s">
        <v>2391</v>
      </c>
      <c r="H6942" s="21">
        <v>1105.17</v>
      </c>
    </row>
    <row r="6943" spans="1:8" customFormat="1" x14ac:dyDescent="0.25">
      <c r="A6943" t="str">
        <f>"554153"</f>
        <v>554153</v>
      </c>
      <c r="B6943" t="s">
        <v>26962</v>
      </c>
      <c r="C6943" t="s">
        <v>82</v>
      </c>
      <c r="D6943" s="21" t="s">
        <v>34</v>
      </c>
      <c r="E6943" s="21" t="s">
        <v>35</v>
      </c>
      <c r="F6943">
        <v>6550003</v>
      </c>
      <c r="G6943" t="s">
        <v>7721</v>
      </c>
      <c r="H6943" s="21">
        <v>1105.17</v>
      </c>
    </row>
    <row r="6944" spans="1:8" customFormat="1" x14ac:dyDescent="0.25">
      <c r="A6944" t="str">
        <f>"7818817"</f>
        <v>7818817</v>
      </c>
      <c r="B6944" t="s">
        <v>7212</v>
      </c>
      <c r="C6944" t="s">
        <v>209</v>
      </c>
      <c r="D6944" s="21" t="s">
        <v>34</v>
      </c>
      <c r="E6944" s="21" t="s">
        <v>35</v>
      </c>
      <c r="F6944">
        <v>8780108</v>
      </c>
      <c r="G6944" t="s">
        <v>4329</v>
      </c>
      <c r="H6944" s="21">
        <v>1105.17</v>
      </c>
    </row>
    <row r="6945" spans="1:8" customFormat="1" x14ac:dyDescent="0.25">
      <c r="A6945" t="str">
        <f>"026232"</f>
        <v>026232</v>
      </c>
      <c r="B6945" t="s">
        <v>7063</v>
      </c>
      <c r="C6945" t="s">
        <v>462</v>
      </c>
      <c r="D6945" s="21" t="s">
        <v>34</v>
      </c>
      <c r="E6945" s="21" t="s">
        <v>254</v>
      </c>
      <c r="F6945">
        <v>7020036</v>
      </c>
      <c r="G6945" t="s">
        <v>8431</v>
      </c>
      <c r="H6945" s="21">
        <v>1105.17</v>
      </c>
    </row>
    <row r="6946" spans="1:8" customFormat="1" x14ac:dyDescent="0.25">
      <c r="A6946" t="str">
        <f>"8014066"</f>
        <v>8014066</v>
      </c>
      <c r="B6946" t="s">
        <v>2319</v>
      </c>
      <c r="C6946" t="s">
        <v>49</v>
      </c>
      <c r="D6946" s="21" t="s">
        <v>34</v>
      </c>
      <c r="E6946" s="21" t="s">
        <v>35</v>
      </c>
      <c r="F6946">
        <v>7800064</v>
      </c>
      <c r="G6946" t="s">
        <v>4496</v>
      </c>
      <c r="H6946" s="21">
        <v>1105.17</v>
      </c>
    </row>
    <row r="6947" spans="1:8" customFormat="1" x14ac:dyDescent="0.25">
      <c r="A6947" t="str">
        <f>"7623028"</f>
        <v>7623028</v>
      </c>
      <c r="B6947" t="s">
        <v>7966</v>
      </c>
      <c r="C6947" t="s">
        <v>269</v>
      </c>
      <c r="D6947" s="21" t="s">
        <v>34</v>
      </c>
      <c r="E6947" s="21" t="s">
        <v>71</v>
      </c>
      <c r="F6947">
        <v>9760004</v>
      </c>
      <c r="G6947" t="s">
        <v>56</v>
      </c>
      <c r="H6947" s="21">
        <v>1105.17</v>
      </c>
    </row>
    <row r="6948" spans="1:8" customFormat="1" x14ac:dyDescent="0.25">
      <c r="A6948" t="str">
        <f>"014159"</f>
        <v>014159</v>
      </c>
      <c r="B6948" t="s">
        <v>9289</v>
      </c>
      <c r="C6948" t="s">
        <v>209</v>
      </c>
      <c r="D6948" s="21" t="s">
        <v>34</v>
      </c>
      <c r="E6948" s="21" t="s">
        <v>35</v>
      </c>
      <c r="F6948">
        <v>1010061</v>
      </c>
      <c r="G6948" t="s">
        <v>9290</v>
      </c>
      <c r="H6948" s="21">
        <v>1105.17</v>
      </c>
    </row>
    <row r="6949" spans="1:8" customFormat="1" x14ac:dyDescent="0.25">
      <c r="A6949" t="str">
        <f>"2218424"</f>
        <v>2218424</v>
      </c>
      <c r="B6949" t="s">
        <v>10317</v>
      </c>
      <c r="C6949" t="s">
        <v>10318</v>
      </c>
      <c r="D6949" s="21" t="s">
        <v>34</v>
      </c>
      <c r="E6949" s="21" t="s">
        <v>254</v>
      </c>
      <c r="F6949">
        <v>3220048</v>
      </c>
      <c r="G6949" t="s">
        <v>26532</v>
      </c>
      <c r="H6949" s="21">
        <v>1105.05</v>
      </c>
    </row>
    <row r="6950" spans="1:8" customFormat="1" x14ac:dyDescent="0.25">
      <c r="A6950" t="str">
        <f>"99417"</f>
        <v>99417</v>
      </c>
      <c r="B6950" t="s">
        <v>2261</v>
      </c>
      <c r="C6950" t="s">
        <v>621</v>
      </c>
      <c r="D6950" s="21" t="s">
        <v>34</v>
      </c>
      <c r="E6950" s="21" t="s">
        <v>254</v>
      </c>
      <c r="F6950">
        <v>5990010</v>
      </c>
      <c r="G6950" t="s">
        <v>2710</v>
      </c>
      <c r="H6950" s="21">
        <v>1105.05</v>
      </c>
    </row>
    <row r="6951" spans="1:8" customFormat="1" x14ac:dyDescent="0.25">
      <c r="A6951" t="str">
        <f>"35581"</f>
        <v>35581</v>
      </c>
      <c r="B6951" t="s">
        <v>7824</v>
      </c>
      <c r="C6951" t="s">
        <v>171</v>
      </c>
      <c r="D6951" s="21" t="s">
        <v>34</v>
      </c>
      <c r="E6951" s="21" t="s">
        <v>254</v>
      </c>
      <c r="F6951">
        <v>6880110</v>
      </c>
      <c r="G6951" t="s">
        <v>4990</v>
      </c>
      <c r="H6951" s="21">
        <v>1104.92</v>
      </c>
    </row>
    <row r="6952" spans="1:8" customFormat="1" x14ac:dyDescent="0.25">
      <c r="A6952" t="str">
        <f>"9317703"</f>
        <v>9317703</v>
      </c>
      <c r="B6952" t="s">
        <v>8638</v>
      </c>
      <c r="C6952" t="s">
        <v>8639</v>
      </c>
      <c r="D6952" s="21" t="s">
        <v>34</v>
      </c>
      <c r="E6952" s="21" t="s">
        <v>35</v>
      </c>
      <c r="F6952">
        <v>8930113</v>
      </c>
      <c r="G6952" t="s">
        <v>368</v>
      </c>
      <c r="H6952" s="21">
        <v>1104.68</v>
      </c>
    </row>
    <row r="6953" spans="1:8" customFormat="1" x14ac:dyDescent="0.25">
      <c r="A6953" t="str">
        <f>"1413322"</f>
        <v>1413322</v>
      </c>
      <c r="B6953" t="s">
        <v>7269</v>
      </c>
      <c r="C6953" t="s">
        <v>1025</v>
      </c>
      <c r="D6953" s="21" t="s">
        <v>34</v>
      </c>
      <c r="E6953" s="21" t="s">
        <v>71</v>
      </c>
      <c r="F6953">
        <v>9140202</v>
      </c>
      <c r="G6953" t="s">
        <v>2011</v>
      </c>
      <c r="H6953" s="21">
        <v>1104.67</v>
      </c>
    </row>
    <row r="6954" spans="1:8" customFormat="1" x14ac:dyDescent="0.25">
      <c r="A6954" t="str">
        <f>"7628074"</f>
        <v>7628074</v>
      </c>
      <c r="B6954" t="s">
        <v>6219</v>
      </c>
      <c r="C6954" t="s">
        <v>1468</v>
      </c>
      <c r="D6954" s="21" t="s">
        <v>34</v>
      </c>
      <c r="E6954" s="21" t="s">
        <v>71</v>
      </c>
      <c r="F6954">
        <v>9760344</v>
      </c>
      <c r="G6954" t="s">
        <v>2523</v>
      </c>
      <c r="H6954" s="21">
        <v>1104.67</v>
      </c>
    </row>
    <row r="6955" spans="1:8" customFormat="1" x14ac:dyDescent="0.25">
      <c r="A6955" t="str">
        <f>"5110317"</f>
        <v>5110317</v>
      </c>
      <c r="B6955" t="s">
        <v>3576</v>
      </c>
      <c r="C6955" t="s">
        <v>169</v>
      </c>
      <c r="D6955" s="21" t="s">
        <v>34</v>
      </c>
      <c r="E6955" s="21" t="s">
        <v>71</v>
      </c>
      <c r="F6955">
        <v>6510077</v>
      </c>
      <c r="G6955" t="s">
        <v>756</v>
      </c>
      <c r="H6955" s="21">
        <v>1104.67</v>
      </c>
    </row>
    <row r="6956" spans="1:8" customFormat="1" x14ac:dyDescent="0.25">
      <c r="A6956" t="str">
        <f>"6918271"</f>
        <v>6918271</v>
      </c>
      <c r="B6956" t="s">
        <v>26963</v>
      </c>
      <c r="C6956" t="s">
        <v>209</v>
      </c>
      <c r="D6956" s="21" t="s">
        <v>34</v>
      </c>
      <c r="E6956" s="21" t="s">
        <v>71</v>
      </c>
      <c r="F6956">
        <v>7590123</v>
      </c>
      <c r="G6956" t="s">
        <v>85</v>
      </c>
      <c r="H6956" s="21">
        <v>1104.67</v>
      </c>
    </row>
    <row r="6957" spans="1:8" customFormat="1" x14ac:dyDescent="0.25">
      <c r="A6957" t="str">
        <f>"9426512"</f>
        <v>9426512</v>
      </c>
      <c r="B6957" t="s">
        <v>793</v>
      </c>
      <c r="C6957" t="s">
        <v>33</v>
      </c>
      <c r="D6957" s="21" t="s">
        <v>34</v>
      </c>
      <c r="E6957" s="21" t="s">
        <v>35</v>
      </c>
      <c r="F6957">
        <v>2710042</v>
      </c>
      <c r="G6957" t="s">
        <v>1997</v>
      </c>
      <c r="H6957" s="21">
        <v>1104.67</v>
      </c>
    </row>
    <row r="6958" spans="1:8" customFormat="1" x14ac:dyDescent="0.25">
      <c r="A6958" t="str">
        <f>"1423646"</f>
        <v>1423646</v>
      </c>
      <c r="B6958" t="s">
        <v>4527</v>
      </c>
      <c r="C6958" t="s">
        <v>926</v>
      </c>
      <c r="D6958" s="21" t="s">
        <v>34</v>
      </c>
      <c r="E6958" s="21" t="s">
        <v>35</v>
      </c>
      <c r="F6958">
        <v>9140052</v>
      </c>
      <c r="G6958" t="s">
        <v>26563</v>
      </c>
      <c r="H6958" s="21">
        <v>1104.67</v>
      </c>
    </row>
    <row r="6959" spans="1:8" customFormat="1" x14ac:dyDescent="0.25">
      <c r="A6959" t="str">
        <f>"4512945"</f>
        <v>4512945</v>
      </c>
      <c r="B6959" t="s">
        <v>7700</v>
      </c>
      <c r="C6959" t="s">
        <v>249</v>
      </c>
      <c r="D6959" s="21" t="s">
        <v>34</v>
      </c>
      <c r="E6959" s="21" t="s">
        <v>35</v>
      </c>
      <c r="F6959">
        <v>4450573</v>
      </c>
      <c r="G6959" t="s">
        <v>4106</v>
      </c>
      <c r="H6959" s="21">
        <v>1104.67</v>
      </c>
    </row>
    <row r="6960" spans="1:8" customFormat="1" x14ac:dyDescent="0.25">
      <c r="A6960" t="str">
        <f>"4918734"</f>
        <v>4918734</v>
      </c>
      <c r="B6960" t="s">
        <v>8056</v>
      </c>
      <c r="C6960" t="s">
        <v>2276</v>
      </c>
      <c r="D6960" s="21" t="s">
        <v>34</v>
      </c>
      <c r="E6960" s="21" t="s">
        <v>71</v>
      </c>
      <c r="F6960">
        <v>12490048</v>
      </c>
      <c r="G6960" t="s">
        <v>4228</v>
      </c>
      <c r="H6960" s="21">
        <v>1104.67</v>
      </c>
    </row>
    <row r="6961" spans="1:8" customFormat="1" x14ac:dyDescent="0.25">
      <c r="A6961" t="str">
        <f>"415564"</f>
        <v>415564</v>
      </c>
      <c r="B6961" t="s">
        <v>6905</v>
      </c>
      <c r="C6961" t="s">
        <v>171</v>
      </c>
      <c r="D6961" s="21" t="s">
        <v>34</v>
      </c>
      <c r="E6961" s="21" t="s">
        <v>71</v>
      </c>
      <c r="F6961">
        <v>4410697</v>
      </c>
      <c r="G6961" t="s">
        <v>2490</v>
      </c>
      <c r="H6961" s="21">
        <v>1104.67</v>
      </c>
    </row>
    <row r="6962" spans="1:8" customFormat="1" x14ac:dyDescent="0.25">
      <c r="A6962" t="str">
        <f>"287984"</f>
        <v>287984</v>
      </c>
      <c r="B6962" t="s">
        <v>509</v>
      </c>
      <c r="C6962" t="s">
        <v>812</v>
      </c>
      <c r="D6962" s="21" t="s">
        <v>34</v>
      </c>
      <c r="E6962" s="21" t="s">
        <v>35</v>
      </c>
      <c r="F6962">
        <v>12440141</v>
      </c>
      <c r="G6962" t="s">
        <v>3234</v>
      </c>
      <c r="H6962" s="21">
        <v>1104.67</v>
      </c>
    </row>
    <row r="6963" spans="1:8" customFormat="1" x14ac:dyDescent="0.25">
      <c r="A6963" t="str">
        <f>"8520198"</f>
        <v>8520198</v>
      </c>
      <c r="B6963" t="s">
        <v>697</v>
      </c>
      <c r="C6963" t="s">
        <v>812</v>
      </c>
      <c r="D6963" s="21" t="s">
        <v>34</v>
      </c>
      <c r="E6963" s="21" t="s">
        <v>35</v>
      </c>
      <c r="F6963">
        <v>12850037</v>
      </c>
      <c r="G6963" t="s">
        <v>2787</v>
      </c>
      <c r="H6963" s="21">
        <v>1104.67</v>
      </c>
    </row>
    <row r="6964" spans="1:8" customFormat="1" x14ac:dyDescent="0.25">
      <c r="A6964" t="str">
        <f>"674850"</f>
        <v>674850</v>
      </c>
      <c r="B6964" t="s">
        <v>6776</v>
      </c>
      <c r="C6964" t="s">
        <v>652</v>
      </c>
      <c r="D6964" s="21" t="s">
        <v>34</v>
      </c>
      <c r="E6964" s="21" t="s">
        <v>35</v>
      </c>
      <c r="F6964">
        <v>6670003</v>
      </c>
      <c r="G6964" t="s">
        <v>1520</v>
      </c>
      <c r="H6964" s="21">
        <v>1104.43</v>
      </c>
    </row>
    <row r="6965" spans="1:8" customFormat="1" x14ac:dyDescent="0.25">
      <c r="A6965" t="str">
        <f>"103752"</f>
        <v>103752</v>
      </c>
      <c r="B6965" t="s">
        <v>1367</v>
      </c>
      <c r="C6965" t="s">
        <v>239</v>
      </c>
      <c r="D6965" s="21" t="s">
        <v>34</v>
      </c>
      <c r="E6965" s="21" t="s">
        <v>71</v>
      </c>
      <c r="F6965">
        <v>3560044</v>
      </c>
      <c r="G6965" t="s">
        <v>4890</v>
      </c>
      <c r="H6965" s="21">
        <v>1104.42</v>
      </c>
    </row>
    <row r="6966" spans="1:8" customFormat="1" x14ac:dyDescent="0.25">
      <c r="A6966" t="str">
        <f>"722462"</f>
        <v>722462</v>
      </c>
      <c r="B6966" t="s">
        <v>2589</v>
      </c>
      <c r="C6966" t="s">
        <v>169</v>
      </c>
      <c r="D6966" s="21" t="s">
        <v>34</v>
      </c>
      <c r="E6966" s="21" t="s">
        <v>71</v>
      </c>
      <c r="F6966">
        <v>12720009</v>
      </c>
      <c r="G6966" t="s">
        <v>6928</v>
      </c>
      <c r="H6966" s="21">
        <v>1104.42</v>
      </c>
    </row>
    <row r="6967" spans="1:8" customFormat="1" x14ac:dyDescent="0.25">
      <c r="A6967" t="str">
        <f>"337833"</f>
        <v>337833</v>
      </c>
      <c r="B6967" t="s">
        <v>8617</v>
      </c>
      <c r="C6967" t="s">
        <v>8618</v>
      </c>
      <c r="D6967" s="21" t="s">
        <v>34</v>
      </c>
      <c r="E6967" s="21" t="s">
        <v>35</v>
      </c>
      <c r="F6967">
        <v>10330084</v>
      </c>
      <c r="G6967" t="s">
        <v>1124</v>
      </c>
      <c r="H6967" s="21">
        <v>1104.3</v>
      </c>
    </row>
    <row r="6968" spans="1:8" customFormat="1" x14ac:dyDescent="0.25">
      <c r="A6968" t="str">
        <f>"472269"</f>
        <v>472269</v>
      </c>
      <c r="B6968" t="s">
        <v>2189</v>
      </c>
      <c r="C6968" t="s">
        <v>285</v>
      </c>
      <c r="D6968" s="21" t="s">
        <v>34</v>
      </c>
      <c r="E6968" s="21" t="s">
        <v>35</v>
      </c>
      <c r="F6968">
        <v>11460021</v>
      </c>
      <c r="G6968" t="s">
        <v>6727</v>
      </c>
      <c r="H6968" s="21">
        <v>1104.17</v>
      </c>
    </row>
    <row r="6969" spans="1:8" customFormat="1" x14ac:dyDescent="0.25">
      <c r="A6969" t="str">
        <f>"915079"</f>
        <v>915079</v>
      </c>
      <c r="B6969" t="s">
        <v>7008</v>
      </c>
      <c r="C6969" t="s">
        <v>275</v>
      </c>
      <c r="D6969" s="21" t="s">
        <v>34</v>
      </c>
      <c r="E6969" s="21" t="s">
        <v>35</v>
      </c>
      <c r="F6969">
        <v>8910667</v>
      </c>
      <c r="G6969" t="s">
        <v>2361</v>
      </c>
      <c r="H6969" s="21">
        <v>1104.17</v>
      </c>
    </row>
    <row r="6970" spans="1:8" customFormat="1" x14ac:dyDescent="0.25">
      <c r="A6970" t="str">
        <f>"6224084"</f>
        <v>6224084</v>
      </c>
      <c r="B6970" t="s">
        <v>7940</v>
      </c>
      <c r="C6970" t="s">
        <v>2907</v>
      </c>
      <c r="D6970" s="21" t="s">
        <v>34</v>
      </c>
      <c r="E6970" s="21" t="s">
        <v>71</v>
      </c>
      <c r="F6970">
        <v>7620019</v>
      </c>
      <c r="G6970" t="s">
        <v>723</v>
      </c>
      <c r="H6970" s="21">
        <v>1104.17</v>
      </c>
    </row>
    <row r="6971" spans="1:8" customFormat="1" x14ac:dyDescent="0.25">
      <c r="A6971" t="str">
        <f>"4456409"</f>
        <v>4456409</v>
      </c>
      <c r="B6971" t="s">
        <v>7559</v>
      </c>
      <c r="C6971" t="s">
        <v>926</v>
      </c>
      <c r="D6971" s="21" t="s">
        <v>34</v>
      </c>
      <c r="E6971" s="21" t="s">
        <v>71</v>
      </c>
      <c r="F6971">
        <v>12440116</v>
      </c>
      <c r="G6971" t="s">
        <v>26673</v>
      </c>
      <c r="H6971" s="21">
        <v>1104.17</v>
      </c>
    </row>
    <row r="6972" spans="1:8" customFormat="1" x14ac:dyDescent="0.25">
      <c r="A6972" t="str">
        <f>"4917596"</f>
        <v>4917596</v>
      </c>
      <c r="B6972" t="s">
        <v>2746</v>
      </c>
      <c r="C6972" t="s">
        <v>712</v>
      </c>
      <c r="D6972" s="21" t="s">
        <v>34</v>
      </c>
      <c r="E6972" s="21" t="s">
        <v>35</v>
      </c>
      <c r="F6972">
        <v>12851011</v>
      </c>
      <c r="G6972" t="s">
        <v>1445</v>
      </c>
      <c r="H6972" s="21">
        <v>1104.17</v>
      </c>
    </row>
    <row r="6973" spans="1:8" customFormat="1" x14ac:dyDescent="0.25">
      <c r="A6973" t="str">
        <f>"9123916"</f>
        <v>9123916</v>
      </c>
      <c r="B6973" t="s">
        <v>5928</v>
      </c>
      <c r="C6973" t="s">
        <v>49</v>
      </c>
      <c r="D6973" s="21" t="s">
        <v>34</v>
      </c>
      <c r="E6973" s="21" t="s">
        <v>35</v>
      </c>
      <c r="F6973">
        <v>11460012</v>
      </c>
      <c r="G6973" t="s">
        <v>5929</v>
      </c>
      <c r="H6973" s="21">
        <v>1104.17</v>
      </c>
    </row>
    <row r="6974" spans="1:8" customFormat="1" x14ac:dyDescent="0.25">
      <c r="A6974" t="str">
        <f>"5311805"</f>
        <v>5311805</v>
      </c>
      <c r="B6974" t="s">
        <v>8295</v>
      </c>
      <c r="C6974" t="s">
        <v>33</v>
      </c>
      <c r="D6974" s="21" t="s">
        <v>34</v>
      </c>
      <c r="E6974" s="21" t="s">
        <v>35</v>
      </c>
      <c r="F6974">
        <v>12530127</v>
      </c>
      <c r="G6974" t="s">
        <v>7067</v>
      </c>
      <c r="H6974" s="21">
        <v>1104.17</v>
      </c>
    </row>
    <row r="6975" spans="1:8" customFormat="1" x14ac:dyDescent="0.25">
      <c r="A6975" t="str">
        <f>"5919891"</f>
        <v>5919891</v>
      </c>
      <c r="B6975" t="s">
        <v>2962</v>
      </c>
      <c r="C6975" t="s">
        <v>2546</v>
      </c>
      <c r="D6975" s="21" t="s">
        <v>34</v>
      </c>
      <c r="E6975" s="21" t="s">
        <v>71</v>
      </c>
      <c r="F6975">
        <v>7590173</v>
      </c>
      <c r="G6975" t="s">
        <v>5675</v>
      </c>
      <c r="H6975" s="21">
        <v>1104.17</v>
      </c>
    </row>
    <row r="6976" spans="1:8" customFormat="1" x14ac:dyDescent="0.25">
      <c r="A6976" t="str">
        <f>"622091"</f>
        <v>622091</v>
      </c>
      <c r="B6976" t="s">
        <v>3759</v>
      </c>
      <c r="C6976" t="s">
        <v>8983</v>
      </c>
      <c r="D6976" s="21" t="s">
        <v>34</v>
      </c>
      <c r="E6976" s="21" t="s">
        <v>35</v>
      </c>
      <c r="F6976">
        <v>7620143</v>
      </c>
      <c r="G6976" t="s">
        <v>8762</v>
      </c>
      <c r="H6976" s="21">
        <v>1104.17</v>
      </c>
    </row>
    <row r="6977" spans="1:8" customFormat="1" x14ac:dyDescent="0.25">
      <c r="A6977" t="str">
        <f>"874092"</f>
        <v>874092</v>
      </c>
      <c r="B6977" t="s">
        <v>6260</v>
      </c>
      <c r="C6977" t="s">
        <v>249</v>
      </c>
      <c r="D6977" s="21" t="s">
        <v>34</v>
      </c>
      <c r="E6977" s="21" t="s">
        <v>35</v>
      </c>
      <c r="F6977">
        <v>8940033</v>
      </c>
      <c r="G6977" t="s">
        <v>1376</v>
      </c>
      <c r="H6977" s="21">
        <v>1104.05</v>
      </c>
    </row>
    <row r="6978" spans="1:8" customFormat="1" x14ac:dyDescent="0.25">
      <c r="A6978" t="str">
        <f>"7516171"</f>
        <v>7516171</v>
      </c>
      <c r="B6978" t="s">
        <v>26964</v>
      </c>
      <c r="C6978" t="s">
        <v>1868</v>
      </c>
      <c r="D6978" s="21" t="s">
        <v>34</v>
      </c>
      <c r="E6978" s="21" t="s">
        <v>35</v>
      </c>
      <c r="F6978">
        <v>8750074</v>
      </c>
      <c r="G6978" t="s">
        <v>698</v>
      </c>
      <c r="H6978" s="21">
        <v>1104.05</v>
      </c>
    </row>
    <row r="6979" spans="1:8" customFormat="1" x14ac:dyDescent="0.25">
      <c r="A6979" t="str">
        <f>"181291"</f>
        <v>181291</v>
      </c>
      <c r="B6979" t="s">
        <v>9020</v>
      </c>
      <c r="C6979" t="s">
        <v>598</v>
      </c>
      <c r="D6979" s="21" t="s">
        <v>34</v>
      </c>
      <c r="E6979" s="21" t="s">
        <v>71</v>
      </c>
      <c r="F6979">
        <v>4180057</v>
      </c>
      <c r="G6979" t="s">
        <v>9021</v>
      </c>
      <c r="H6979" s="21">
        <v>1103.79</v>
      </c>
    </row>
    <row r="6980" spans="1:8" customFormat="1" x14ac:dyDescent="0.25">
      <c r="A6980" t="str">
        <f>"941133"</f>
        <v>941133</v>
      </c>
      <c r="B6980" t="s">
        <v>1737</v>
      </c>
      <c r="C6980" t="s">
        <v>269</v>
      </c>
      <c r="D6980" s="21" t="s">
        <v>34</v>
      </c>
      <c r="E6980" s="21" t="s">
        <v>71</v>
      </c>
      <c r="F6980">
        <v>8910077</v>
      </c>
      <c r="G6980" t="s">
        <v>1380</v>
      </c>
      <c r="H6980" s="21">
        <v>1103.68</v>
      </c>
    </row>
    <row r="6981" spans="1:8" customFormat="1" x14ac:dyDescent="0.25">
      <c r="A6981" t="str">
        <f>"5938509"</f>
        <v>5938509</v>
      </c>
      <c r="B6981" t="s">
        <v>8709</v>
      </c>
      <c r="C6981" t="s">
        <v>130</v>
      </c>
      <c r="D6981" s="21" t="s">
        <v>34</v>
      </c>
      <c r="E6981" s="21" t="s">
        <v>71</v>
      </c>
      <c r="F6981">
        <v>7590006</v>
      </c>
      <c r="G6981" t="s">
        <v>4165</v>
      </c>
      <c r="H6981" s="21">
        <v>1103.67</v>
      </c>
    </row>
    <row r="6982" spans="1:8" customFormat="1" x14ac:dyDescent="0.25">
      <c r="A6982" t="str">
        <f>"4435907"</f>
        <v>4435907</v>
      </c>
      <c r="B6982" t="s">
        <v>1749</v>
      </c>
      <c r="C6982" t="s">
        <v>33</v>
      </c>
      <c r="D6982" s="21" t="s">
        <v>34</v>
      </c>
      <c r="E6982" s="21" t="s">
        <v>35</v>
      </c>
      <c r="F6982">
        <v>12440138</v>
      </c>
      <c r="G6982" t="s">
        <v>562</v>
      </c>
      <c r="H6982" s="21">
        <v>1103.67</v>
      </c>
    </row>
    <row r="6983" spans="1:8" customFormat="1" x14ac:dyDescent="0.25">
      <c r="A6983" t="str">
        <f>"7914155"</f>
        <v>7914155</v>
      </c>
      <c r="B6983" t="s">
        <v>6359</v>
      </c>
      <c r="C6983" t="s">
        <v>2135</v>
      </c>
      <c r="D6983" s="21" t="s">
        <v>34</v>
      </c>
      <c r="E6983" s="21" t="s">
        <v>35</v>
      </c>
      <c r="F6983">
        <v>3350060</v>
      </c>
      <c r="G6983" t="s">
        <v>38</v>
      </c>
      <c r="H6983" s="21">
        <v>1103.67</v>
      </c>
    </row>
    <row r="6984" spans="1:8" customFormat="1" x14ac:dyDescent="0.25">
      <c r="A6984" t="str">
        <f>"316864"</f>
        <v>316864</v>
      </c>
      <c r="B6984" t="s">
        <v>1886</v>
      </c>
      <c r="C6984" t="s">
        <v>33</v>
      </c>
      <c r="D6984" s="21" t="s">
        <v>34</v>
      </c>
      <c r="E6984" s="21" t="s">
        <v>71</v>
      </c>
      <c r="F6984">
        <v>11310047</v>
      </c>
      <c r="G6984" t="s">
        <v>2188</v>
      </c>
      <c r="H6984" s="21">
        <v>1103.67</v>
      </c>
    </row>
    <row r="6985" spans="1:8" customFormat="1" x14ac:dyDescent="0.25">
      <c r="A6985" t="str">
        <f>"6011820"</f>
        <v>6011820</v>
      </c>
      <c r="B6985" t="s">
        <v>8646</v>
      </c>
      <c r="C6985" t="s">
        <v>415</v>
      </c>
      <c r="D6985" s="21" t="s">
        <v>34</v>
      </c>
      <c r="E6985" s="21" t="s">
        <v>71</v>
      </c>
      <c r="F6985">
        <v>7600146</v>
      </c>
      <c r="G6985" t="s">
        <v>8647</v>
      </c>
      <c r="H6985" s="21">
        <v>1103.67</v>
      </c>
    </row>
    <row r="6986" spans="1:8" customFormat="1" x14ac:dyDescent="0.25">
      <c r="A6986" t="str">
        <f>"084757"</f>
        <v>084757</v>
      </c>
      <c r="B6986" t="s">
        <v>7256</v>
      </c>
      <c r="C6986" t="s">
        <v>124</v>
      </c>
      <c r="D6986" s="21" t="s">
        <v>34</v>
      </c>
      <c r="E6986" s="21" t="s">
        <v>71</v>
      </c>
      <c r="F6986">
        <v>6100015</v>
      </c>
      <c r="G6986" t="s">
        <v>6173</v>
      </c>
      <c r="H6986" s="21">
        <v>1103.67</v>
      </c>
    </row>
    <row r="6987" spans="1:8" customFormat="1" x14ac:dyDescent="0.25">
      <c r="A6987" t="str">
        <f>"2715409"</f>
        <v>2715409</v>
      </c>
      <c r="B6987" t="s">
        <v>7399</v>
      </c>
      <c r="C6987" t="s">
        <v>55</v>
      </c>
      <c r="D6987" s="21" t="s">
        <v>34</v>
      </c>
      <c r="E6987" s="21" t="s">
        <v>71</v>
      </c>
      <c r="F6987">
        <v>9270005</v>
      </c>
      <c r="G6987" t="s">
        <v>1255</v>
      </c>
      <c r="H6987" s="21">
        <v>1103.67</v>
      </c>
    </row>
    <row r="6988" spans="1:8" customFormat="1" x14ac:dyDescent="0.25">
      <c r="A6988" t="str">
        <f>"6222823"</f>
        <v>6222823</v>
      </c>
      <c r="B6988" t="s">
        <v>8001</v>
      </c>
      <c r="C6988" t="s">
        <v>124</v>
      </c>
      <c r="D6988" s="21" t="s">
        <v>34</v>
      </c>
      <c r="E6988" s="21" t="s">
        <v>71</v>
      </c>
      <c r="F6988">
        <v>10870130</v>
      </c>
      <c r="G6988" t="s">
        <v>7564</v>
      </c>
      <c r="H6988" s="21">
        <v>1103.55</v>
      </c>
    </row>
    <row r="6989" spans="1:8" customFormat="1" x14ac:dyDescent="0.25">
      <c r="A6989" t="str">
        <f>"278498"</f>
        <v>278498</v>
      </c>
      <c r="B6989" t="s">
        <v>4652</v>
      </c>
      <c r="C6989" t="s">
        <v>320</v>
      </c>
      <c r="D6989" s="21" t="s">
        <v>34</v>
      </c>
      <c r="E6989" s="21" t="s">
        <v>71</v>
      </c>
      <c r="F6989">
        <v>9270136</v>
      </c>
      <c r="G6989" t="s">
        <v>5896</v>
      </c>
      <c r="H6989" s="21">
        <v>1103.17</v>
      </c>
    </row>
    <row r="6990" spans="1:8" customFormat="1" x14ac:dyDescent="0.25">
      <c r="A6990" t="str">
        <f>"84326"</f>
        <v>84326</v>
      </c>
      <c r="B6990" t="s">
        <v>4138</v>
      </c>
      <c r="C6990" t="s">
        <v>598</v>
      </c>
      <c r="D6990" s="21" t="s">
        <v>34</v>
      </c>
      <c r="E6990" s="21" t="s">
        <v>254</v>
      </c>
      <c r="F6990">
        <v>13840028</v>
      </c>
      <c r="G6990" t="s">
        <v>4139</v>
      </c>
      <c r="H6990" s="21">
        <v>1103.17</v>
      </c>
    </row>
    <row r="6991" spans="1:8" customFormat="1" x14ac:dyDescent="0.25">
      <c r="A6991" t="str">
        <f>"7912498"</f>
        <v>7912498</v>
      </c>
      <c r="B6991" t="s">
        <v>6324</v>
      </c>
      <c r="C6991" t="s">
        <v>171</v>
      </c>
      <c r="D6991" s="21" t="s">
        <v>34</v>
      </c>
      <c r="E6991" s="21" t="s">
        <v>35</v>
      </c>
      <c r="F6991">
        <v>10170214</v>
      </c>
      <c r="G6991" t="s">
        <v>5533</v>
      </c>
      <c r="H6991" s="21">
        <v>1103.17</v>
      </c>
    </row>
    <row r="6992" spans="1:8" customFormat="1" x14ac:dyDescent="0.25">
      <c r="A6992" t="str">
        <f>"212232"</f>
        <v>212232</v>
      </c>
      <c r="B6992" t="s">
        <v>7098</v>
      </c>
      <c r="C6992" t="s">
        <v>233</v>
      </c>
      <c r="D6992" s="21" t="s">
        <v>34</v>
      </c>
      <c r="E6992" s="21" t="s">
        <v>71</v>
      </c>
      <c r="F6992">
        <v>2210101</v>
      </c>
      <c r="G6992" t="s">
        <v>1374</v>
      </c>
      <c r="H6992" s="21">
        <v>1103.17</v>
      </c>
    </row>
    <row r="6993" spans="1:8" customFormat="1" x14ac:dyDescent="0.25">
      <c r="A6993" t="str">
        <f>"182802"</f>
        <v>182802</v>
      </c>
      <c r="B6993" t="s">
        <v>5424</v>
      </c>
      <c r="C6993" t="s">
        <v>267</v>
      </c>
      <c r="D6993" s="21" t="s">
        <v>34</v>
      </c>
      <c r="E6993" s="21" t="s">
        <v>71</v>
      </c>
      <c r="F6993">
        <v>4180486</v>
      </c>
      <c r="G6993" t="s">
        <v>5295</v>
      </c>
      <c r="H6993" s="21">
        <v>1103.17</v>
      </c>
    </row>
    <row r="6994" spans="1:8" customFormat="1" x14ac:dyDescent="0.25">
      <c r="A6994" t="str">
        <f>"419730"</f>
        <v>419730</v>
      </c>
      <c r="B6994" t="s">
        <v>8625</v>
      </c>
      <c r="C6994" t="s">
        <v>62</v>
      </c>
      <c r="D6994" s="21" t="s">
        <v>34</v>
      </c>
      <c r="E6994" s="21" t="s">
        <v>35</v>
      </c>
      <c r="F6994">
        <v>4410083</v>
      </c>
      <c r="G6994" t="s">
        <v>2333</v>
      </c>
      <c r="H6994" s="21">
        <v>1103.17</v>
      </c>
    </row>
    <row r="6995" spans="1:8" customFormat="1" x14ac:dyDescent="0.25">
      <c r="A6995" t="str">
        <f>"2923580"</f>
        <v>2923580</v>
      </c>
      <c r="B6995" t="s">
        <v>8045</v>
      </c>
      <c r="C6995" t="s">
        <v>169</v>
      </c>
      <c r="D6995" s="21" t="s">
        <v>34</v>
      </c>
      <c r="E6995" s="21" t="s">
        <v>35</v>
      </c>
      <c r="F6995">
        <v>3290285</v>
      </c>
      <c r="G6995" t="s">
        <v>2234</v>
      </c>
      <c r="H6995" s="21">
        <v>1103.17</v>
      </c>
    </row>
    <row r="6996" spans="1:8" customFormat="1" x14ac:dyDescent="0.25">
      <c r="A6996" t="str">
        <f>"028028"</f>
        <v>028028</v>
      </c>
      <c r="B6996" t="s">
        <v>9003</v>
      </c>
      <c r="C6996" t="s">
        <v>269</v>
      </c>
      <c r="D6996" s="21" t="s">
        <v>34</v>
      </c>
      <c r="E6996" s="21" t="s">
        <v>71</v>
      </c>
      <c r="F6996">
        <v>7020055</v>
      </c>
      <c r="G6996" t="s">
        <v>8987</v>
      </c>
      <c r="H6996" s="21">
        <v>1103.17</v>
      </c>
    </row>
    <row r="6997" spans="1:8" customFormat="1" x14ac:dyDescent="0.25">
      <c r="A6997" t="str">
        <f>"9434637"</f>
        <v>9434637</v>
      </c>
      <c r="B6997" t="s">
        <v>8779</v>
      </c>
      <c r="C6997" t="s">
        <v>428</v>
      </c>
      <c r="D6997" s="21" t="s">
        <v>34</v>
      </c>
      <c r="E6997" s="21" t="s">
        <v>71</v>
      </c>
      <c r="F6997">
        <v>8940459</v>
      </c>
      <c r="G6997" t="s">
        <v>743</v>
      </c>
      <c r="H6997" s="21">
        <v>1102.92</v>
      </c>
    </row>
    <row r="6998" spans="1:8" customFormat="1" x14ac:dyDescent="0.25">
      <c r="A6998" t="str">
        <f>"5910634"</f>
        <v>5910634</v>
      </c>
      <c r="B6998" t="s">
        <v>1773</v>
      </c>
      <c r="C6998" t="s">
        <v>127</v>
      </c>
      <c r="D6998" s="21" t="s">
        <v>34</v>
      </c>
      <c r="E6998" s="21" t="s">
        <v>35</v>
      </c>
      <c r="F6998">
        <v>7590005</v>
      </c>
      <c r="G6998" t="s">
        <v>540</v>
      </c>
      <c r="H6998" s="21">
        <v>1102.92</v>
      </c>
    </row>
    <row r="6999" spans="1:8" customFormat="1" x14ac:dyDescent="0.25">
      <c r="A6999" t="str">
        <f>"5965868"</f>
        <v>5965868</v>
      </c>
      <c r="B6999" t="s">
        <v>26965</v>
      </c>
      <c r="C6999" t="s">
        <v>288</v>
      </c>
      <c r="D6999" s="21" t="s">
        <v>34</v>
      </c>
      <c r="E6999" s="21" t="s">
        <v>35</v>
      </c>
      <c r="F6999">
        <v>7590402</v>
      </c>
      <c r="G6999" t="s">
        <v>1623</v>
      </c>
      <c r="H6999" s="21">
        <v>1102.92</v>
      </c>
    </row>
    <row r="7000" spans="1:8" customFormat="1" x14ac:dyDescent="0.25">
      <c r="A7000" t="str">
        <f>"4426407"</f>
        <v>4426407</v>
      </c>
      <c r="B7000" t="s">
        <v>6659</v>
      </c>
      <c r="C7000" t="s">
        <v>1142</v>
      </c>
      <c r="D7000" s="21" t="s">
        <v>34</v>
      </c>
      <c r="E7000" s="21" t="s">
        <v>1089</v>
      </c>
      <c r="F7000">
        <v>12490122</v>
      </c>
      <c r="G7000" t="s">
        <v>26752</v>
      </c>
      <c r="H7000" s="21">
        <v>1102.8</v>
      </c>
    </row>
    <row r="7001" spans="1:8" customFormat="1" x14ac:dyDescent="0.25">
      <c r="A7001" t="str">
        <f>"5949014"</f>
        <v>5949014</v>
      </c>
      <c r="B7001" t="s">
        <v>7741</v>
      </c>
      <c r="C7001" t="s">
        <v>3905</v>
      </c>
      <c r="D7001" s="21" t="s">
        <v>34</v>
      </c>
      <c r="E7001" s="21" t="s">
        <v>35</v>
      </c>
      <c r="F7001">
        <v>7590099</v>
      </c>
      <c r="G7001" t="s">
        <v>5792</v>
      </c>
      <c r="H7001" s="21">
        <v>1102.67</v>
      </c>
    </row>
    <row r="7002" spans="1:8" customFormat="1" x14ac:dyDescent="0.25">
      <c r="A7002" t="str">
        <f>"6928716"</f>
        <v>6928716</v>
      </c>
      <c r="B7002" t="s">
        <v>4572</v>
      </c>
      <c r="C7002" t="s">
        <v>285</v>
      </c>
      <c r="D7002" s="21" t="s">
        <v>34</v>
      </c>
      <c r="E7002" s="21" t="s">
        <v>35</v>
      </c>
      <c r="F7002">
        <v>1690023</v>
      </c>
      <c r="G7002" t="s">
        <v>647</v>
      </c>
      <c r="H7002" s="21">
        <v>1102.67</v>
      </c>
    </row>
    <row r="7003" spans="1:8" customFormat="1" x14ac:dyDescent="0.25">
      <c r="A7003" t="str">
        <f>"679320"</f>
        <v>679320</v>
      </c>
      <c r="B7003" t="s">
        <v>6823</v>
      </c>
      <c r="C7003" t="s">
        <v>1446</v>
      </c>
      <c r="D7003" s="21" t="s">
        <v>34</v>
      </c>
      <c r="E7003" s="21" t="s">
        <v>254</v>
      </c>
      <c r="F7003">
        <v>6670216</v>
      </c>
      <c r="G7003" t="s">
        <v>2194</v>
      </c>
      <c r="H7003" s="21">
        <v>1102.67</v>
      </c>
    </row>
    <row r="7004" spans="1:8" customFormat="1" x14ac:dyDescent="0.25">
      <c r="A7004" t="str">
        <f>"185530"</f>
        <v>185530</v>
      </c>
      <c r="B7004" t="s">
        <v>2372</v>
      </c>
      <c r="C7004" t="s">
        <v>1914</v>
      </c>
      <c r="D7004" s="21" t="s">
        <v>34</v>
      </c>
      <c r="E7004" s="21" t="s">
        <v>254</v>
      </c>
      <c r="F7004">
        <v>4180304</v>
      </c>
      <c r="G7004" t="s">
        <v>4003</v>
      </c>
      <c r="H7004" s="21">
        <v>1102.67</v>
      </c>
    </row>
    <row r="7005" spans="1:8" customFormat="1" x14ac:dyDescent="0.25">
      <c r="A7005" t="str">
        <f>"1711650"</f>
        <v>1711650</v>
      </c>
      <c r="B7005" t="s">
        <v>1103</v>
      </c>
      <c r="C7005" t="s">
        <v>269</v>
      </c>
      <c r="D7005" s="21" t="s">
        <v>34</v>
      </c>
      <c r="E7005" s="21" t="s">
        <v>71</v>
      </c>
      <c r="F7005">
        <v>10170028</v>
      </c>
      <c r="G7005" t="s">
        <v>649</v>
      </c>
      <c r="H7005" s="21">
        <v>1102.67</v>
      </c>
    </row>
    <row r="7006" spans="1:8" customFormat="1" x14ac:dyDescent="0.25">
      <c r="A7006" t="str">
        <f>"473837"</f>
        <v>473837</v>
      </c>
      <c r="B7006" t="s">
        <v>465</v>
      </c>
      <c r="C7006" t="s">
        <v>90</v>
      </c>
      <c r="D7006" s="21" t="s">
        <v>34</v>
      </c>
      <c r="E7006" s="21" t="s">
        <v>254</v>
      </c>
      <c r="F7006">
        <v>10470006</v>
      </c>
      <c r="G7006" t="s">
        <v>1225</v>
      </c>
      <c r="H7006" s="21">
        <v>1102.67</v>
      </c>
    </row>
    <row r="7007" spans="1:8" customFormat="1" x14ac:dyDescent="0.25">
      <c r="A7007" t="str">
        <f>"608740"</f>
        <v>608740</v>
      </c>
      <c r="B7007" t="s">
        <v>6364</v>
      </c>
      <c r="C7007" t="s">
        <v>87</v>
      </c>
      <c r="D7007" s="21" t="s">
        <v>34</v>
      </c>
      <c r="E7007" s="21" t="s">
        <v>71</v>
      </c>
      <c r="F7007">
        <v>7600004</v>
      </c>
      <c r="G7007" t="s">
        <v>848</v>
      </c>
      <c r="H7007" s="21">
        <v>1102.42</v>
      </c>
    </row>
    <row r="7008" spans="1:8" customFormat="1" x14ac:dyDescent="0.25">
      <c r="A7008" t="str">
        <f>"593144"</f>
        <v>593144</v>
      </c>
      <c r="B7008" t="s">
        <v>6721</v>
      </c>
      <c r="C7008" t="s">
        <v>275</v>
      </c>
      <c r="D7008" s="21" t="s">
        <v>34</v>
      </c>
      <c r="E7008" s="21" t="s">
        <v>35</v>
      </c>
      <c r="F7008">
        <v>7590184</v>
      </c>
      <c r="G7008" t="s">
        <v>6722</v>
      </c>
      <c r="H7008" s="21">
        <v>1102.42</v>
      </c>
    </row>
    <row r="7009" spans="1:8" customFormat="1" x14ac:dyDescent="0.25">
      <c r="A7009" t="str">
        <f>"779533"</f>
        <v>779533</v>
      </c>
      <c r="B7009" t="s">
        <v>213</v>
      </c>
      <c r="C7009" t="s">
        <v>171</v>
      </c>
      <c r="D7009" s="21" t="s">
        <v>34</v>
      </c>
      <c r="E7009" s="21" t="s">
        <v>35</v>
      </c>
      <c r="F7009">
        <v>8770474</v>
      </c>
      <c r="G7009" t="s">
        <v>1600</v>
      </c>
      <c r="H7009" s="21">
        <v>1102.42</v>
      </c>
    </row>
    <row r="7010" spans="1:8" customFormat="1" x14ac:dyDescent="0.25">
      <c r="A7010" t="str">
        <f>"7837159"</f>
        <v>7837159</v>
      </c>
      <c r="B7010" t="s">
        <v>6976</v>
      </c>
      <c r="C7010" t="s">
        <v>486</v>
      </c>
      <c r="D7010" s="21" t="s">
        <v>34</v>
      </c>
      <c r="E7010" s="21" t="s">
        <v>71</v>
      </c>
      <c r="F7010">
        <v>4280529</v>
      </c>
      <c r="G7010" t="s">
        <v>2970</v>
      </c>
      <c r="H7010" s="21">
        <v>1102.31</v>
      </c>
    </row>
    <row r="7011" spans="1:8" customFormat="1" x14ac:dyDescent="0.25">
      <c r="A7011" t="str">
        <f>"9424321"</f>
        <v>9424321</v>
      </c>
      <c r="B7011" t="s">
        <v>5638</v>
      </c>
      <c r="C7011" t="s">
        <v>269</v>
      </c>
      <c r="D7011" s="21" t="s">
        <v>34</v>
      </c>
      <c r="E7011" s="21" t="s">
        <v>71</v>
      </c>
      <c r="F7011">
        <v>8920151</v>
      </c>
      <c r="G7011" t="s">
        <v>1434</v>
      </c>
      <c r="H7011" s="21">
        <v>1102.3</v>
      </c>
    </row>
    <row r="7012" spans="1:8" customFormat="1" x14ac:dyDescent="0.25">
      <c r="A7012" t="str">
        <f>"332432"</f>
        <v>332432</v>
      </c>
      <c r="B7012" t="s">
        <v>6323</v>
      </c>
      <c r="C7012" t="s">
        <v>1914</v>
      </c>
      <c r="D7012" s="21" t="s">
        <v>34</v>
      </c>
      <c r="E7012" s="21" t="s">
        <v>254</v>
      </c>
      <c r="F7012">
        <v>10330010</v>
      </c>
      <c r="G7012" t="s">
        <v>2831</v>
      </c>
      <c r="H7012" s="21">
        <v>1102.3</v>
      </c>
    </row>
    <row r="7013" spans="1:8" customFormat="1" x14ac:dyDescent="0.25">
      <c r="A7013" t="str">
        <f>"7516108"</f>
        <v>7516108</v>
      </c>
      <c r="B7013" t="s">
        <v>7240</v>
      </c>
      <c r="C7013" t="s">
        <v>114</v>
      </c>
      <c r="D7013" s="21" t="s">
        <v>34</v>
      </c>
      <c r="E7013" s="21" t="s">
        <v>71</v>
      </c>
      <c r="F7013">
        <v>8750007</v>
      </c>
      <c r="G7013" t="s">
        <v>775</v>
      </c>
      <c r="H7013" s="21">
        <v>1102.18</v>
      </c>
    </row>
    <row r="7014" spans="1:8" customFormat="1" x14ac:dyDescent="0.25">
      <c r="A7014" t="str">
        <f>"789420"</f>
        <v>789420</v>
      </c>
      <c r="B7014" t="s">
        <v>5549</v>
      </c>
      <c r="C7014" t="s">
        <v>269</v>
      </c>
      <c r="D7014" s="21" t="s">
        <v>34</v>
      </c>
      <c r="E7014" s="21" t="s">
        <v>71</v>
      </c>
      <c r="F7014">
        <v>8780886</v>
      </c>
      <c r="G7014" t="s">
        <v>3161</v>
      </c>
      <c r="H7014" s="21">
        <v>1102.17</v>
      </c>
    </row>
    <row r="7015" spans="1:8" customFormat="1" x14ac:dyDescent="0.25">
      <c r="A7015" t="str">
        <f>"496559"</f>
        <v>496559</v>
      </c>
      <c r="B7015" t="s">
        <v>6581</v>
      </c>
      <c r="C7015" t="s">
        <v>3355</v>
      </c>
      <c r="D7015" s="21" t="s">
        <v>34</v>
      </c>
      <c r="E7015" s="21" t="s">
        <v>35</v>
      </c>
      <c r="F7015">
        <v>12490058</v>
      </c>
      <c r="G7015" t="s">
        <v>6582</v>
      </c>
      <c r="H7015" s="21">
        <v>1102.17</v>
      </c>
    </row>
    <row r="7016" spans="1:8" customFormat="1" x14ac:dyDescent="0.25">
      <c r="A7016" t="str">
        <f>"173552"</f>
        <v>173552</v>
      </c>
      <c r="B7016" t="s">
        <v>11300</v>
      </c>
      <c r="C7016" t="s">
        <v>65</v>
      </c>
      <c r="D7016" s="21" t="s">
        <v>34</v>
      </c>
      <c r="E7016" s="21" t="s">
        <v>35</v>
      </c>
      <c r="F7016">
        <v>10170009</v>
      </c>
      <c r="G7016" t="s">
        <v>3810</v>
      </c>
      <c r="H7016" s="21">
        <v>1101.92</v>
      </c>
    </row>
    <row r="7017" spans="1:8" customFormat="1" x14ac:dyDescent="0.25">
      <c r="A7017" t="str">
        <f>"3334861"</f>
        <v>3334861</v>
      </c>
      <c r="B7017" t="s">
        <v>7843</v>
      </c>
      <c r="C7017" t="s">
        <v>144</v>
      </c>
      <c r="D7017" s="21" t="s">
        <v>34</v>
      </c>
      <c r="E7017" s="21" t="s">
        <v>35</v>
      </c>
      <c r="F7017">
        <v>10330022</v>
      </c>
      <c r="G7017" t="s">
        <v>1830</v>
      </c>
      <c r="H7017" s="21">
        <v>1101.92</v>
      </c>
    </row>
    <row r="7018" spans="1:8" customFormat="1" x14ac:dyDescent="0.25">
      <c r="A7018" t="str">
        <f>"75651"</f>
        <v>75651</v>
      </c>
      <c r="B7018" t="s">
        <v>9596</v>
      </c>
      <c r="C7018" t="s">
        <v>249</v>
      </c>
      <c r="D7018" s="21" t="s">
        <v>34</v>
      </c>
      <c r="E7018" s="21" t="s">
        <v>71</v>
      </c>
      <c r="F7018">
        <v>8750120</v>
      </c>
      <c r="G7018" t="s">
        <v>838</v>
      </c>
      <c r="H7018" s="21">
        <v>1101.8</v>
      </c>
    </row>
    <row r="7019" spans="1:8" customFormat="1" x14ac:dyDescent="0.25">
      <c r="A7019" t="str">
        <f>"9929"</f>
        <v>9929</v>
      </c>
      <c r="B7019" t="s">
        <v>5993</v>
      </c>
      <c r="C7019" t="s">
        <v>55</v>
      </c>
      <c r="D7019" s="21" t="s">
        <v>34</v>
      </c>
      <c r="E7019" s="21" t="s">
        <v>71</v>
      </c>
      <c r="F7019">
        <v>5980003</v>
      </c>
      <c r="G7019" t="s">
        <v>1746</v>
      </c>
      <c r="H7019" s="21">
        <v>1101.67</v>
      </c>
    </row>
    <row r="7020" spans="1:8" customFormat="1" x14ac:dyDescent="0.25">
      <c r="A7020" t="str">
        <f>"277664"</f>
        <v>277664</v>
      </c>
      <c r="B7020" t="s">
        <v>8536</v>
      </c>
      <c r="C7020" t="s">
        <v>462</v>
      </c>
      <c r="D7020" s="21" t="s">
        <v>34</v>
      </c>
      <c r="E7020" s="21" t="s">
        <v>71</v>
      </c>
      <c r="F7020">
        <v>9270137</v>
      </c>
      <c r="G7020" t="s">
        <v>3714</v>
      </c>
      <c r="H7020" s="21">
        <v>1101.67</v>
      </c>
    </row>
    <row r="7021" spans="1:8" customFormat="1" x14ac:dyDescent="0.25">
      <c r="A7021" t="str">
        <f>"3524685"</f>
        <v>3524685</v>
      </c>
      <c r="B7021" t="s">
        <v>6671</v>
      </c>
      <c r="C7021" t="s">
        <v>598</v>
      </c>
      <c r="D7021" s="21" t="s">
        <v>34</v>
      </c>
      <c r="E7021" s="21" t="s">
        <v>71</v>
      </c>
      <c r="F7021">
        <v>3350095</v>
      </c>
      <c r="G7021" t="s">
        <v>5813</v>
      </c>
      <c r="H7021" s="21">
        <v>1101.67</v>
      </c>
    </row>
    <row r="7022" spans="1:8" customFormat="1" x14ac:dyDescent="0.25">
      <c r="A7022" t="str">
        <f>"50766"</f>
        <v>50766</v>
      </c>
      <c r="B7022" t="s">
        <v>1872</v>
      </c>
      <c r="C7022" t="s">
        <v>87</v>
      </c>
      <c r="D7022" s="21" t="s">
        <v>34</v>
      </c>
      <c r="E7022" s="21" t="s">
        <v>35</v>
      </c>
      <c r="F7022">
        <v>9500112</v>
      </c>
      <c r="G7022" t="s">
        <v>1668</v>
      </c>
      <c r="H7022" s="21">
        <v>1101.67</v>
      </c>
    </row>
    <row r="7023" spans="1:8" customFormat="1" x14ac:dyDescent="0.25">
      <c r="A7023" t="str">
        <f>"243764"</f>
        <v>243764</v>
      </c>
      <c r="B7023" t="s">
        <v>6835</v>
      </c>
      <c r="C7023" t="s">
        <v>462</v>
      </c>
      <c r="D7023" s="21" t="s">
        <v>34</v>
      </c>
      <c r="E7023" s="21" t="s">
        <v>71</v>
      </c>
      <c r="F7023">
        <v>10240020</v>
      </c>
      <c r="G7023" t="s">
        <v>870</v>
      </c>
      <c r="H7023" s="21">
        <v>1101.67</v>
      </c>
    </row>
    <row r="7024" spans="1:8" customFormat="1" x14ac:dyDescent="0.25">
      <c r="A7024" t="str">
        <f>"8515374"</f>
        <v>8515374</v>
      </c>
      <c r="B7024" t="s">
        <v>2564</v>
      </c>
      <c r="C7024" t="s">
        <v>62</v>
      </c>
      <c r="D7024" s="21" t="s">
        <v>34</v>
      </c>
      <c r="E7024" s="21" t="s">
        <v>35</v>
      </c>
      <c r="F7024">
        <v>12850046</v>
      </c>
      <c r="G7024" t="s">
        <v>3136</v>
      </c>
      <c r="H7024" s="21">
        <v>1101.54</v>
      </c>
    </row>
    <row r="7025" spans="1:8" customFormat="1" x14ac:dyDescent="0.25">
      <c r="A7025" t="str">
        <f>"5936386"</f>
        <v>5936386</v>
      </c>
      <c r="B7025" t="s">
        <v>8860</v>
      </c>
      <c r="C7025" t="s">
        <v>8861</v>
      </c>
      <c r="D7025" s="21" t="s">
        <v>34</v>
      </c>
      <c r="E7025" s="21" t="s">
        <v>71</v>
      </c>
      <c r="F7025">
        <v>7590347</v>
      </c>
      <c r="G7025" t="s">
        <v>6041</v>
      </c>
      <c r="H7025" s="21">
        <v>1101.42</v>
      </c>
    </row>
    <row r="7026" spans="1:8" customFormat="1" x14ac:dyDescent="0.25">
      <c r="A7026" t="str">
        <f>"4411529"</f>
        <v>4411529</v>
      </c>
      <c r="B7026" t="s">
        <v>6266</v>
      </c>
      <c r="C7026" t="s">
        <v>598</v>
      </c>
      <c r="D7026" s="21" t="s">
        <v>34</v>
      </c>
      <c r="E7026" s="21" t="s">
        <v>254</v>
      </c>
      <c r="F7026">
        <v>12440012</v>
      </c>
      <c r="G7026" t="s">
        <v>807</v>
      </c>
      <c r="H7026" s="21">
        <v>1101.42</v>
      </c>
    </row>
    <row r="7027" spans="1:8" customFormat="1" x14ac:dyDescent="0.25">
      <c r="A7027" t="str">
        <f>"6922453"</f>
        <v>6922453</v>
      </c>
      <c r="B7027" t="s">
        <v>64</v>
      </c>
      <c r="C7027" t="s">
        <v>1631</v>
      </c>
      <c r="D7027" s="21" t="s">
        <v>34</v>
      </c>
      <c r="E7027" s="21" t="s">
        <v>35</v>
      </c>
      <c r="F7027">
        <v>8920503</v>
      </c>
      <c r="G7027" t="s">
        <v>9047</v>
      </c>
      <c r="H7027" s="21">
        <v>1101.3</v>
      </c>
    </row>
    <row r="7028" spans="1:8" customFormat="1" x14ac:dyDescent="0.25">
      <c r="A7028" t="str">
        <f>"081252"</f>
        <v>081252</v>
      </c>
      <c r="B7028" t="s">
        <v>7449</v>
      </c>
      <c r="C7028" t="s">
        <v>233</v>
      </c>
      <c r="D7028" s="21" t="s">
        <v>34</v>
      </c>
      <c r="E7028" s="21" t="s">
        <v>254</v>
      </c>
      <c r="F7028">
        <v>6080044</v>
      </c>
      <c r="G7028" t="s">
        <v>7450</v>
      </c>
      <c r="H7028" s="21">
        <v>1101.3</v>
      </c>
    </row>
    <row r="7029" spans="1:8" customFormat="1" x14ac:dyDescent="0.25">
      <c r="A7029" t="str">
        <f>"9120222"</f>
        <v>9120222</v>
      </c>
      <c r="B7029" t="s">
        <v>8601</v>
      </c>
      <c r="C7029" t="s">
        <v>2479</v>
      </c>
      <c r="D7029" s="21" t="s">
        <v>34</v>
      </c>
      <c r="E7029" s="21" t="s">
        <v>254</v>
      </c>
      <c r="F7029">
        <v>8911083</v>
      </c>
      <c r="G7029" t="s">
        <v>7357</v>
      </c>
      <c r="H7029" s="21">
        <v>1101.18</v>
      </c>
    </row>
    <row r="7030" spans="1:8" customFormat="1" x14ac:dyDescent="0.25">
      <c r="A7030" t="str">
        <f>"2714782"</f>
        <v>2714782</v>
      </c>
      <c r="B7030" t="s">
        <v>1235</v>
      </c>
      <c r="C7030" t="s">
        <v>33</v>
      </c>
      <c r="D7030" s="21" t="s">
        <v>34</v>
      </c>
      <c r="E7030" s="21" t="s">
        <v>71</v>
      </c>
      <c r="F7030">
        <v>9760168</v>
      </c>
      <c r="G7030" t="s">
        <v>179</v>
      </c>
      <c r="H7030" s="21">
        <v>1101.17</v>
      </c>
    </row>
    <row r="7031" spans="1:8" customFormat="1" x14ac:dyDescent="0.25">
      <c r="A7031" t="str">
        <f>"5318562"</f>
        <v>5318562</v>
      </c>
      <c r="B7031" t="s">
        <v>8220</v>
      </c>
      <c r="C7031" t="s">
        <v>124</v>
      </c>
      <c r="D7031" s="21" t="s">
        <v>34</v>
      </c>
      <c r="E7031" s="21" t="s">
        <v>35</v>
      </c>
      <c r="F7031">
        <v>12530072</v>
      </c>
      <c r="G7031" t="s">
        <v>7342</v>
      </c>
      <c r="H7031" s="21">
        <v>1101</v>
      </c>
    </row>
    <row r="7032" spans="1:8" customFormat="1" x14ac:dyDescent="0.25">
      <c r="A7032" t="str">
        <f>"278193"</f>
        <v>278193</v>
      </c>
      <c r="B7032" t="s">
        <v>4965</v>
      </c>
      <c r="C7032" t="s">
        <v>187</v>
      </c>
      <c r="D7032" s="21" t="s">
        <v>34</v>
      </c>
      <c r="E7032" s="21" t="s">
        <v>71</v>
      </c>
      <c r="F7032">
        <v>9140115</v>
      </c>
      <c r="G7032" t="s">
        <v>26590</v>
      </c>
      <c r="H7032" s="21">
        <v>1100.92</v>
      </c>
    </row>
    <row r="7033" spans="1:8" customFormat="1" x14ac:dyDescent="0.25">
      <c r="A7033" t="str">
        <f>"7830742"</f>
        <v>7830742</v>
      </c>
      <c r="B7033" t="s">
        <v>5673</v>
      </c>
      <c r="C7033" t="s">
        <v>267</v>
      </c>
      <c r="D7033" s="21" t="s">
        <v>34</v>
      </c>
      <c r="E7033" s="21" t="s">
        <v>71</v>
      </c>
      <c r="F7033">
        <v>8781144</v>
      </c>
      <c r="G7033" t="s">
        <v>4714</v>
      </c>
      <c r="H7033" s="21">
        <v>1100.8</v>
      </c>
    </row>
    <row r="7034" spans="1:8" customFormat="1" x14ac:dyDescent="0.25">
      <c r="A7034" t="str">
        <f>"428237"</f>
        <v>428237</v>
      </c>
      <c r="B7034" t="s">
        <v>7518</v>
      </c>
      <c r="C7034" t="s">
        <v>428</v>
      </c>
      <c r="D7034" s="21" t="s">
        <v>34</v>
      </c>
      <c r="E7034" s="21" t="s">
        <v>35</v>
      </c>
      <c r="F7034">
        <v>1420152</v>
      </c>
      <c r="G7034" t="s">
        <v>2948</v>
      </c>
      <c r="H7034" s="21">
        <v>1100.8</v>
      </c>
    </row>
    <row r="7035" spans="1:8" customFormat="1" x14ac:dyDescent="0.25">
      <c r="A7035" t="str">
        <f>"703932"</f>
        <v>703932</v>
      </c>
      <c r="B7035" t="s">
        <v>7995</v>
      </c>
      <c r="C7035" t="s">
        <v>328</v>
      </c>
      <c r="D7035" s="21" t="s">
        <v>34</v>
      </c>
      <c r="E7035" s="21" t="s">
        <v>254</v>
      </c>
      <c r="F7035">
        <v>2700089</v>
      </c>
      <c r="G7035" t="s">
        <v>2570</v>
      </c>
      <c r="H7035" s="21">
        <v>1100.8</v>
      </c>
    </row>
    <row r="7036" spans="1:8" customFormat="1" x14ac:dyDescent="0.25">
      <c r="A7036" t="str">
        <f>"4922268"</f>
        <v>4922268</v>
      </c>
      <c r="B7036" t="s">
        <v>7372</v>
      </c>
      <c r="C7036" t="s">
        <v>1119</v>
      </c>
      <c r="D7036" s="21" t="s">
        <v>34</v>
      </c>
      <c r="E7036" s="21" t="s">
        <v>35</v>
      </c>
      <c r="F7036">
        <v>12490038</v>
      </c>
      <c r="G7036" t="s">
        <v>467</v>
      </c>
      <c r="H7036" s="21">
        <v>1100.67</v>
      </c>
    </row>
    <row r="7037" spans="1:8" customFormat="1" x14ac:dyDescent="0.25">
      <c r="A7037" t="str">
        <f>"9424566"</f>
        <v>9424566</v>
      </c>
      <c r="B7037" t="s">
        <v>7264</v>
      </c>
      <c r="C7037" t="s">
        <v>7265</v>
      </c>
      <c r="D7037" s="21" t="s">
        <v>34</v>
      </c>
      <c r="E7037" s="21" t="s">
        <v>71</v>
      </c>
      <c r="F7037">
        <v>11110027</v>
      </c>
      <c r="G7037" t="s">
        <v>713</v>
      </c>
      <c r="H7037" s="21">
        <v>1100.67</v>
      </c>
    </row>
    <row r="7038" spans="1:8" customFormat="1" x14ac:dyDescent="0.25">
      <c r="A7038" t="str">
        <f>"252596"</f>
        <v>252596</v>
      </c>
      <c r="B7038" t="s">
        <v>6896</v>
      </c>
      <c r="C7038" t="s">
        <v>233</v>
      </c>
      <c r="D7038" s="21" t="s">
        <v>34</v>
      </c>
      <c r="E7038" s="21" t="s">
        <v>254</v>
      </c>
      <c r="F7038">
        <v>2250024</v>
      </c>
      <c r="G7038" t="s">
        <v>751</v>
      </c>
      <c r="H7038" s="21">
        <v>1100.67</v>
      </c>
    </row>
    <row r="7039" spans="1:8" customFormat="1" x14ac:dyDescent="0.25">
      <c r="A7039" t="str">
        <f>"7814889"</f>
        <v>7814889</v>
      </c>
      <c r="B7039" t="s">
        <v>1263</v>
      </c>
      <c r="C7039" t="s">
        <v>60</v>
      </c>
      <c r="D7039" s="21" t="s">
        <v>34</v>
      </c>
      <c r="E7039" s="21" t="s">
        <v>35</v>
      </c>
      <c r="F7039">
        <v>10170028</v>
      </c>
      <c r="G7039" t="s">
        <v>649</v>
      </c>
      <c r="H7039" s="21">
        <v>1100.67</v>
      </c>
    </row>
    <row r="7040" spans="1:8" customFormat="1" x14ac:dyDescent="0.25">
      <c r="A7040" t="str">
        <f>"472840"</f>
        <v>472840</v>
      </c>
      <c r="B7040" t="s">
        <v>26966</v>
      </c>
      <c r="C7040" t="s">
        <v>8106</v>
      </c>
      <c r="D7040" s="21" t="s">
        <v>34</v>
      </c>
      <c r="E7040" s="21" t="s">
        <v>35</v>
      </c>
      <c r="F7040">
        <v>10470007</v>
      </c>
      <c r="G7040" t="s">
        <v>3049</v>
      </c>
      <c r="H7040" s="21">
        <v>1100.67</v>
      </c>
    </row>
    <row r="7041" spans="1:8" customFormat="1" x14ac:dyDescent="0.25">
      <c r="A7041" t="str">
        <f>"7213946"</f>
        <v>7213946</v>
      </c>
      <c r="B7041" t="s">
        <v>6157</v>
      </c>
      <c r="C7041" t="s">
        <v>209</v>
      </c>
      <c r="D7041" s="21" t="s">
        <v>34</v>
      </c>
      <c r="E7041" s="21" t="s">
        <v>35</v>
      </c>
      <c r="F7041">
        <v>12720102</v>
      </c>
      <c r="G7041" t="s">
        <v>4469</v>
      </c>
      <c r="H7041" s="21">
        <v>1100.67</v>
      </c>
    </row>
    <row r="7042" spans="1:8" customFormat="1" x14ac:dyDescent="0.25">
      <c r="A7042" t="str">
        <f>"91536"</f>
        <v>91536</v>
      </c>
      <c r="B7042" t="s">
        <v>465</v>
      </c>
      <c r="C7042" t="s">
        <v>40</v>
      </c>
      <c r="D7042" s="21" t="s">
        <v>34</v>
      </c>
      <c r="E7042" s="21" t="s">
        <v>254</v>
      </c>
      <c r="F7042">
        <v>8910303</v>
      </c>
      <c r="G7042" t="s">
        <v>1244</v>
      </c>
      <c r="H7042" s="21">
        <v>1100.67</v>
      </c>
    </row>
    <row r="7043" spans="1:8" customFormat="1" x14ac:dyDescent="0.25">
      <c r="A7043" t="str">
        <f>"6216219"</f>
        <v>6216219</v>
      </c>
      <c r="B7043" t="s">
        <v>461</v>
      </c>
      <c r="C7043" t="s">
        <v>121</v>
      </c>
      <c r="D7043" s="21" t="s">
        <v>34</v>
      </c>
      <c r="E7043" s="21" t="s">
        <v>35</v>
      </c>
      <c r="F7043">
        <v>12850001</v>
      </c>
      <c r="G7043" t="s">
        <v>1197</v>
      </c>
      <c r="H7043" s="21">
        <v>1100.67</v>
      </c>
    </row>
    <row r="7044" spans="1:8" customFormat="1" x14ac:dyDescent="0.25">
      <c r="A7044" t="str">
        <f>"602784"</f>
        <v>602784</v>
      </c>
      <c r="B7044" t="s">
        <v>8179</v>
      </c>
      <c r="C7044" t="s">
        <v>379</v>
      </c>
      <c r="D7044" s="21" t="s">
        <v>34</v>
      </c>
      <c r="E7044" s="21" t="s">
        <v>1089</v>
      </c>
      <c r="F7044">
        <v>11110015</v>
      </c>
      <c r="G7044" t="s">
        <v>26669</v>
      </c>
      <c r="H7044" s="21">
        <v>1100.67</v>
      </c>
    </row>
    <row r="7045" spans="1:8" customFormat="1" x14ac:dyDescent="0.25">
      <c r="A7045" t="str">
        <f>"6213494"</f>
        <v>6213494</v>
      </c>
      <c r="B7045" t="s">
        <v>8152</v>
      </c>
      <c r="C7045" t="s">
        <v>415</v>
      </c>
      <c r="D7045" s="21" t="s">
        <v>34</v>
      </c>
      <c r="E7045" s="21" t="s">
        <v>35</v>
      </c>
      <c r="F7045">
        <v>7620078</v>
      </c>
      <c r="G7045" t="s">
        <v>7192</v>
      </c>
      <c r="H7045" s="21">
        <v>1100.67</v>
      </c>
    </row>
    <row r="7046" spans="1:8" customFormat="1" x14ac:dyDescent="0.25">
      <c r="A7046" t="str">
        <f>"08685"</f>
        <v>08685</v>
      </c>
      <c r="B7046" t="s">
        <v>7305</v>
      </c>
      <c r="C7046" t="s">
        <v>62</v>
      </c>
      <c r="D7046" s="21" t="s">
        <v>34</v>
      </c>
      <c r="E7046" s="21" t="s">
        <v>35</v>
      </c>
      <c r="F7046">
        <v>6080045</v>
      </c>
      <c r="G7046" t="s">
        <v>5632</v>
      </c>
      <c r="H7046" s="21">
        <v>1100.67</v>
      </c>
    </row>
    <row r="7047" spans="1:8" customFormat="1" x14ac:dyDescent="0.25">
      <c r="A7047" t="str">
        <f>"091240"</f>
        <v>091240</v>
      </c>
      <c r="B7047" t="s">
        <v>26967</v>
      </c>
      <c r="C7047" t="s">
        <v>1914</v>
      </c>
      <c r="D7047" s="21" t="s">
        <v>34</v>
      </c>
      <c r="E7047" s="21" t="s">
        <v>35</v>
      </c>
      <c r="F7047">
        <v>1730083</v>
      </c>
      <c r="G7047" t="s">
        <v>10955</v>
      </c>
      <c r="H7047" s="21">
        <v>1100.67</v>
      </c>
    </row>
    <row r="7048" spans="1:8" customFormat="1" x14ac:dyDescent="0.25">
      <c r="A7048" t="str">
        <f>"351774"</f>
        <v>351774</v>
      </c>
      <c r="B7048" t="s">
        <v>8069</v>
      </c>
      <c r="C7048" t="s">
        <v>121</v>
      </c>
      <c r="D7048" s="21" t="s">
        <v>34</v>
      </c>
      <c r="E7048" s="21" t="s">
        <v>71</v>
      </c>
      <c r="F7048">
        <v>3350009</v>
      </c>
      <c r="G7048" t="s">
        <v>1823</v>
      </c>
      <c r="H7048" s="21">
        <v>1100.67</v>
      </c>
    </row>
    <row r="7049" spans="1:8" customFormat="1" x14ac:dyDescent="0.25">
      <c r="A7049" t="str">
        <f>"149017"</f>
        <v>149017</v>
      </c>
      <c r="B7049" t="s">
        <v>4791</v>
      </c>
      <c r="C7049" t="s">
        <v>60</v>
      </c>
      <c r="D7049" s="21" t="s">
        <v>34</v>
      </c>
      <c r="E7049" s="21" t="s">
        <v>35</v>
      </c>
      <c r="F7049">
        <v>9140123</v>
      </c>
      <c r="G7049" t="s">
        <v>661</v>
      </c>
      <c r="H7049" s="21">
        <v>1100.67</v>
      </c>
    </row>
    <row r="7050" spans="1:8" customFormat="1" x14ac:dyDescent="0.25">
      <c r="A7050" t="str">
        <f>"42545"</f>
        <v>42545</v>
      </c>
      <c r="B7050" t="s">
        <v>8383</v>
      </c>
      <c r="C7050" t="s">
        <v>130</v>
      </c>
      <c r="D7050" s="21" t="s">
        <v>34</v>
      </c>
      <c r="E7050" s="21" t="s">
        <v>71</v>
      </c>
      <c r="F7050">
        <v>1420010</v>
      </c>
      <c r="G7050" t="s">
        <v>1937</v>
      </c>
      <c r="H7050" s="21">
        <v>1100.67</v>
      </c>
    </row>
    <row r="7051" spans="1:8" customFormat="1" x14ac:dyDescent="0.25">
      <c r="A7051" t="str">
        <f>"5916759"</f>
        <v>5916759</v>
      </c>
      <c r="B7051" t="s">
        <v>26968</v>
      </c>
      <c r="C7051" t="s">
        <v>26969</v>
      </c>
      <c r="D7051" s="21" t="s">
        <v>34</v>
      </c>
      <c r="E7051" s="21" t="s">
        <v>35</v>
      </c>
      <c r="F7051">
        <v>7590024</v>
      </c>
      <c r="G7051" t="s">
        <v>14009</v>
      </c>
      <c r="H7051" s="21">
        <v>1100.5</v>
      </c>
    </row>
    <row r="7052" spans="1:8" customFormat="1" x14ac:dyDescent="0.25">
      <c r="A7052" t="str">
        <f>"3725084"</f>
        <v>3725084</v>
      </c>
      <c r="B7052" t="s">
        <v>9365</v>
      </c>
      <c r="C7052" t="s">
        <v>275</v>
      </c>
      <c r="D7052" s="21" t="s">
        <v>34</v>
      </c>
      <c r="E7052" s="21" t="s">
        <v>35</v>
      </c>
      <c r="F7052">
        <v>4370464</v>
      </c>
      <c r="G7052" t="s">
        <v>5348</v>
      </c>
      <c r="H7052" s="21">
        <v>1100.42</v>
      </c>
    </row>
    <row r="7053" spans="1:8" customFormat="1" x14ac:dyDescent="0.25">
      <c r="A7053" t="str">
        <f>"901099"</f>
        <v>901099</v>
      </c>
      <c r="B7053" t="s">
        <v>26970</v>
      </c>
      <c r="C7053" t="s">
        <v>209</v>
      </c>
      <c r="D7053" s="21" t="s">
        <v>34</v>
      </c>
      <c r="E7053" s="21" t="s">
        <v>71</v>
      </c>
      <c r="F7053">
        <v>2900003</v>
      </c>
      <c r="G7053" t="s">
        <v>1742</v>
      </c>
      <c r="H7053" s="21">
        <v>1100.17</v>
      </c>
    </row>
    <row r="7054" spans="1:8" customFormat="1" x14ac:dyDescent="0.25">
      <c r="A7054" t="str">
        <f>"344991"</f>
        <v>344991</v>
      </c>
      <c r="B7054" t="s">
        <v>4636</v>
      </c>
      <c r="C7054" t="s">
        <v>65</v>
      </c>
      <c r="D7054" s="21" t="s">
        <v>34</v>
      </c>
      <c r="E7054" s="21" t="s">
        <v>35</v>
      </c>
      <c r="F7054">
        <v>11340007</v>
      </c>
      <c r="G7054" t="s">
        <v>2278</v>
      </c>
      <c r="H7054" s="21">
        <v>1100.17</v>
      </c>
    </row>
    <row r="7055" spans="1:8" customFormat="1" x14ac:dyDescent="0.25">
      <c r="A7055" t="str">
        <f>"366460"</f>
        <v>366460</v>
      </c>
      <c r="B7055" t="s">
        <v>6454</v>
      </c>
      <c r="C7055" t="s">
        <v>40</v>
      </c>
      <c r="D7055" s="21" t="s">
        <v>34</v>
      </c>
      <c r="E7055" s="21" t="s">
        <v>71</v>
      </c>
      <c r="F7055">
        <v>4360726</v>
      </c>
      <c r="G7055" t="s">
        <v>5506</v>
      </c>
      <c r="H7055" s="21">
        <v>1100.17</v>
      </c>
    </row>
    <row r="7056" spans="1:8" customFormat="1" x14ac:dyDescent="0.25">
      <c r="A7056" t="str">
        <f>"58924"</f>
        <v>58924</v>
      </c>
      <c r="B7056" t="s">
        <v>108</v>
      </c>
      <c r="C7056" t="s">
        <v>33</v>
      </c>
      <c r="D7056" s="21" t="s">
        <v>34</v>
      </c>
      <c r="E7056" s="21" t="s">
        <v>71</v>
      </c>
      <c r="F7056">
        <v>2580031</v>
      </c>
      <c r="G7056" t="s">
        <v>5904</v>
      </c>
      <c r="H7056" s="21">
        <v>1100.17</v>
      </c>
    </row>
    <row r="7057" spans="1:8" customFormat="1" x14ac:dyDescent="0.25">
      <c r="A7057" t="str">
        <f>"4434473"</f>
        <v>4434473</v>
      </c>
      <c r="B7057" t="s">
        <v>7277</v>
      </c>
      <c r="C7057" t="s">
        <v>462</v>
      </c>
      <c r="D7057" s="21" t="s">
        <v>34</v>
      </c>
      <c r="E7057" s="21" t="s">
        <v>71</v>
      </c>
      <c r="F7057">
        <v>12440166</v>
      </c>
      <c r="G7057" t="s">
        <v>4031</v>
      </c>
      <c r="H7057" s="21">
        <v>1100.17</v>
      </c>
    </row>
    <row r="7058" spans="1:8" customFormat="1" x14ac:dyDescent="0.25">
      <c r="A7058" t="str">
        <f>"585028"</f>
        <v>585028</v>
      </c>
      <c r="B7058" t="s">
        <v>3715</v>
      </c>
      <c r="C7058" t="s">
        <v>174</v>
      </c>
      <c r="D7058" s="21" t="s">
        <v>34</v>
      </c>
      <c r="E7058" s="21" t="s">
        <v>35</v>
      </c>
      <c r="F7058">
        <v>2580006</v>
      </c>
      <c r="G7058" t="s">
        <v>4813</v>
      </c>
      <c r="H7058" s="21">
        <v>1100.17</v>
      </c>
    </row>
    <row r="7059" spans="1:8" customFormat="1" x14ac:dyDescent="0.25">
      <c r="A7059" t="str">
        <f>"6310895"</f>
        <v>6310895</v>
      </c>
      <c r="B7059" t="s">
        <v>7701</v>
      </c>
      <c r="C7059" t="s">
        <v>528</v>
      </c>
      <c r="D7059" s="21" t="s">
        <v>34</v>
      </c>
      <c r="E7059" s="21" t="s">
        <v>71</v>
      </c>
      <c r="F7059">
        <v>1630298</v>
      </c>
      <c r="G7059" t="s">
        <v>7247</v>
      </c>
      <c r="H7059" s="21">
        <v>1100.17</v>
      </c>
    </row>
    <row r="7060" spans="1:8" customFormat="1" x14ac:dyDescent="0.25">
      <c r="A7060" t="str">
        <f>"781389"</f>
        <v>781389</v>
      </c>
      <c r="B7060" t="s">
        <v>5854</v>
      </c>
      <c r="C7060" t="s">
        <v>5855</v>
      </c>
      <c r="D7060" s="21" t="s">
        <v>34</v>
      </c>
      <c r="E7060" s="21" t="s">
        <v>254</v>
      </c>
      <c r="F7060">
        <v>1740020</v>
      </c>
      <c r="G7060" t="s">
        <v>881</v>
      </c>
      <c r="H7060" s="21">
        <v>1100.17</v>
      </c>
    </row>
    <row r="7061" spans="1:8" customFormat="1" x14ac:dyDescent="0.25">
      <c r="A7061" t="str">
        <f>"9744977"</f>
        <v>9744977</v>
      </c>
      <c r="B7061" t="s">
        <v>6577</v>
      </c>
      <c r="C7061" t="s">
        <v>883</v>
      </c>
      <c r="D7061" s="21" t="s">
        <v>34</v>
      </c>
      <c r="E7061" s="21" t="s">
        <v>71</v>
      </c>
      <c r="F7061" t="s">
        <v>2839</v>
      </c>
      <c r="G7061" t="s">
        <v>2840</v>
      </c>
      <c r="H7061" s="21">
        <v>1099.93</v>
      </c>
    </row>
    <row r="7062" spans="1:8" customFormat="1" x14ac:dyDescent="0.25">
      <c r="A7062" t="str">
        <f>"3511076"</f>
        <v>3511076</v>
      </c>
      <c r="B7062" t="s">
        <v>2051</v>
      </c>
      <c r="C7062" t="s">
        <v>211</v>
      </c>
      <c r="D7062" s="21" t="s">
        <v>34</v>
      </c>
      <c r="E7062" s="21" t="s">
        <v>35</v>
      </c>
      <c r="F7062">
        <v>3350122</v>
      </c>
      <c r="G7062" t="s">
        <v>3069</v>
      </c>
      <c r="H7062" s="21">
        <v>1099.92</v>
      </c>
    </row>
    <row r="7063" spans="1:8" customFormat="1" x14ac:dyDescent="0.25">
      <c r="A7063" t="str">
        <f>"9448182"</f>
        <v>9448182</v>
      </c>
      <c r="B7063" t="s">
        <v>26971</v>
      </c>
      <c r="C7063" t="s">
        <v>5232</v>
      </c>
      <c r="D7063" s="21" t="s">
        <v>34</v>
      </c>
      <c r="E7063" s="21" t="s">
        <v>35</v>
      </c>
      <c r="F7063">
        <v>8940326</v>
      </c>
      <c r="G7063" t="s">
        <v>659</v>
      </c>
      <c r="H7063" s="21">
        <v>1099.81</v>
      </c>
    </row>
    <row r="7064" spans="1:8" customFormat="1" x14ac:dyDescent="0.25">
      <c r="A7064" t="str">
        <f>"495019"</f>
        <v>495019</v>
      </c>
      <c r="B7064" t="s">
        <v>7700</v>
      </c>
      <c r="C7064" t="s">
        <v>11941</v>
      </c>
      <c r="D7064" s="21" t="s">
        <v>34</v>
      </c>
      <c r="E7064" s="21" t="s">
        <v>35</v>
      </c>
      <c r="F7064">
        <v>3350016</v>
      </c>
      <c r="G7064" t="s">
        <v>133</v>
      </c>
      <c r="H7064" s="21">
        <v>1099.8</v>
      </c>
    </row>
    <row r="7065" spans="1:8" customFormat="1" x14ac:dyDescent="0.25">
      <c r="A7065" t="str">
        <f>"9447687"</f>
        <v>9447687</v>
      </c>
      <c r="B7065" t="s">
        <v>10446</v>
      </c>
      <c r="C7065" t="s">
        <v>169</v>
      </c>
      <c r="D7065" s="21" t="s">
        <v>34</v>
      </c>
      <c r="E7065" s="21" t="s">
        <v>35</v>
      </c>
      <c r="F7065">
        <v>8941461</v>
      </c>
      <c r="G7065" t="s">
        <v>10447</v>
      </c>
      <c r="H7065" s="21">
        <v>1099.67</v>
      </c>
    </row>
    <row r="7066" spans="1:8" customFormat="1" x14ac:dyDescent="0.25">
      <c r="A7066" t="str">
        <f>"2922352"</f>
        <v>2922352</v>
      </c>
      <c r="B7066" t="s">
        <v>2954</v>
      </c>
      <c r="C7066" t="s">
        <v>139</v>
      </c>
      <c r="D7066" s="21" t="s">
        <v>34</v>
      </c>
      <c r="E7066" s="21" t="s">
        <v>35</v>
      </c>
      <c r="F7066">
        <v>3290266</v>
      </c>
      <c r="G7066" t="s">
        <v>1783</v>
      </c>
      <c r="H7066" s="21">
        <v>1099.67</v>
      </c>
    </row>
    <row r="7067" spans="1:8" customFormat="1" x14ac:dyDescent="0.25">
      <c r="A7067" t="str">
        <f>"3325656"</f>
        <v>3325656</v>
      </c>
      <c r="B7067" t="s">
        <v>7551</v>
      </c>
      <c r="C7067" t="s">
        <v>49</v>
      </c>
      <c r="D7067" s="21" t="s">
        <v>34</v>
      </c>
      <c r="E7067" s="21" t="s">
        <v>35</v>
      </c>
      <c r="F7067">
        <v>10330084</v>
      </c>
      <c r="G7067" t="s">
        <v>1124</v>
      </c>
      <c r="H7067" s="21">
        <v>1099.67</v>
      </c>
    </row>
    <row r="7068" spans="1:8" customFormat="1" x14ac:dyDescent="0.25">
      <c r="A7068" t="str">
        <f>"255966"</f>
        <v>255966</v>
      </c>
      <c r="B7068" t="s">
        <v>7310</v>
      </c>
      <c r="C7068" t="s">
        <v>1146</v>
      </c>
      <c r="D7068" s="21" t="s">
        <v>34</v>
      </c>
      <c r="E7068" s="21" t="s">
        <v>254</v>
      </c>
      <c r="F7068">
        <v>2250205</v>
      </c>
      <c r="G7068" t="s">
        <v>7311</v>
      </c>
      <c r="H7068" s="21">
        <v>1099.67</v>
      </c>
    </row>
    <row r="7069" spans="1:8" customFormat="1" x14ac:dyDescent="0.25">
      <c r="A7069" t="str">
        <f>"626687"</f>
        <v>626687</v>
      </c>
      <c r="B7069" t="s">
        <v>3972</v>
      </c>
      <c r="C7069" t="s">
        <v>87</v>
      </c>
      <c r="D7069" s="21" t="s">
        <v>34</v>
      </c>
      <c r="E7069" s="21" t="s">
        <v>35</v>
      </c>
      <c r="F7069">
        <v>7620044</v>
      </c>
      <c r="G7069" t="s">
        <v>2961</v>
      </c>
      <c r="H7069" s="21">
        <v>1099.67</v>
      </c>
    </row>
    <row r="7070" spans="1:8" customFormat="1" x14ac:dyDescent="0.25">
      <c r="A7070" t="str">
        <f>"675707"</f>
        <v>675707</v>
      </c>
      <c r="B7070" t="s">
        <v>7232</v>
      </c>
      <c r="C7070" t="s">
        <v>7233</v>
      </c>
      <c r="D7070" s="21" t="s">
        <v>34</v>
      </c>
      <c r="E7070" s="21" t="s">
        <v>35</v>
      </c>
      <c r="F7070">
        <v>6670002</v>
      </c>
      <c r="G7070" t="s">
        <v>5740</v>
      </c>
      <c r="H7070" s="21">
        <v>1099.67</v>
      </c>
    </row>
    <row r="7071" spans="1:8" customFormat="1" x14ac:dyDescent="0.25">
      <c r="A7071" t="str">
        <f>"9510426"</f>
        <v>9510426</v>
      </c>
      <c r="B7071" t="s">
        <v>3041</v>
      </c>
      <c r="C7071" t="s">
        <v>7925</v>
      </c>
      <c r="D7071" s="21" t="s">
        <v>34</v>
      </c>
      <c r="E7071" s="21" t="s">
        <v>254</v>
      </c>
      <c r="F7071">
        <v>8950917</v>
      </c>
      <c r="G7071" t="s">
        <v>3823</v>
      </c>
      <c r="H7071" s="21">
        <v>1099.67</v>
      </c>
    </row>
    <row r="7072" spans="1:8" customFormat="1" x14ac:dyDescent="0.25">
      <c r="A7072" t="str">
        <f>"791043"</f>
        <v>791043</v>
      </c>
      <c r="B7072" t="s">
        <v>7295</v>
      </c>
      <c r="C7072" t="s">
        <v>269</v>
      </c>
      <c r="D7072" s="21" t="s">
        <v>34</v>
      </c>
      <c r="E7072" s="21" t="s">
        <v>71</v>
      </c>
      <c r="F7072">
        <v>10240006</v>
      </c>
      <c r="G7072" t="s">
        <v>7296</v>
      </c>
      <c r="H7072" s="21">
        <v>1099.67</v>
      </c>
    </row>
    <row r="7073" spans="1:8" customFormat="1" x14ac:dyDescent="0.25">
      <c r="A7073" t="str">
        <f>"9132293"</f>
        <v>9132293</v>
      </c>
      <c r="B7073" t="s">
        <v>9879</v>
      </c>
      <c r="C7073" t="s">
        <v>33</v>
      </c>
      <c r="D7073" s="21" t="s">
        <v>34</v>
      </c>
      <c r="E7073" s="21" t="s">
        <v>35</v>
      </c>
      <c r="F7073">
        <v>8910567</v>
      </c>
      <c r="G7073" t="s">
        <v>5111</v>
      </c>
      <c r="H7073" s="21">
        <v>1099.67</v>
      </c>
    </row>
    <row r="7074" spans="1:8" customFormat="1" x14ac:dyDescent="0.25">
      <c r="A7074" t="str">
        <f>"88959"</f>
        <v>88959</v>
      </c>
      <c r="B7074" t="s">
        <v>26972</v>
      </c>
      <c r="C7074" t="s">
        <v>750</v>
      </c>
      <c r="D7074" s="21" t="s">
        <v>34</v>
      </c>
      <c r="E7074" s="21" t="s">
        <v>35</v>
      </c>
      <c r="F7074">
        <v>2250154</v>
      </c>
      <c r="G7074" t="s">
        <v>1973</v>
      </c>
      <c r="H7074" s="21">
        <v>1099.42</v>
      </c>
    </row>
    <row r="7075" spans="1:8" customFormat="1" x14ac:dyDescent="0.25">
      <c r="A7075" t="str">
        <f>"3816061"</f>
        <v>3816061</v>
      </c>
      <c r="B7075" t="s">
        <v>7519</v>
      </c>
      <c r="C7075" t="s">
        <v>144</v>
      </c>
      <c r="D7075" s="21" t="s">
        <v>34</v>
      </c>
      <c r="E7075" s="21" t="s">
        <v>35</v>
      </c>
      <c r="F7075">
        <v>1380057</v>
      </c>
      <c r="G7075" t="s">
        <v>26700</v>
      </c>
      <c r="H7075" s="21">
        <v>1099.42</v>
      </c>
    </row>
    <row r="7076" spans="1:8" customFormat="1" x14ac:dyDescent="0.25">
      <c r="A7076" t="str">
        <f>"4567"</f>
        <v>4567</v>
      </c>
      <c r="B7076" t="s">
        <v>5934</v>
      </c>
      <c r="C7076" t="s">
        <v>156</v>
      </c>
      <c r="D7076" s="21" t="s">
        <v>34</v>
      </c>
      <c r="E7076" s="21" t="s">
        <v>1089</v>
      </c>
      <c r="F7076">
        <v>4450026</v>
      </c>
      <c r="G7076" t="s">
        <v>291</v>
      </c>
      <c r="H7076" s="21">
        <v>1099.42</v>
      </c>
    </row>
    <row r="7077" spans="1:8" customFormat="1" x14ac:dyDescent="0.25">
      <c r="A7077" t="str">
        <f>"2517416"</f>
        <v>2517416</v>
      </c>
      <c r="B7077" t="s">
        <v>26973</v>
      </c>
      <c r="C7077" t="s">
        <v>269</v>
      </c>
      <c r="D7077" s="21" t="s">
        <v>34</v>
      </c>
      <c r="E7077" s="21" t="s">
        <v>254</v>
      </c>
      <c r="F7077">
        <v>2250132</v>
      </c>
      <c r="G7077" t="s">
        <v>7748</v>
      </c>
      <c r="H7077" s="21">
        <v>1099.42</v>
      </c>
    </row>
    <row r="7078" spans="1:8" customFormat="1" x14ac:dyDescent="0.25">
      <c r="A7078" t="str">
        <f>"7515615"</f>
        <v>7515615</v>
      </c>
      <c r="B7078" t="s">
        <v>7947</v>
      </c>
      <c r="C7078" t="s">
        <v>7948</v>
      </c>
      <c r="D7078" s="21" t="s">
        <v>34</v>
      </c>
      <c r="E7078" s="21" t="s">
        <v>71</v>
      </c>
      <c r="F7078">
        <v>11300003</v>
      </c>
      <c r="G7078" t="s">
        <v>7949</v>
      </c>
      <c r="H7078" s="21">
        <v>1099.18</v>
      </c>
    </row>
    <row r="7079" spans="1:8" customFormat="1" x14ac:dyDescent="0.25">
      <c r="A7079" t="str">
        <f>"8521509"</f>
        <v>8521509</v>
      </c>
      <c r="B7079" t="s">
        <v>7842</v>
      </c>
      <c r="C7079" t="s">
        <v>149</v>
      </c>
      <c r="D7079" s="21" t="s">
        <v>34</v>
      </c>
      <c r="E7079" s="21" t="s">
        <v>35</v>
      </c>
      <c r="F7079">
        <v>12850040</v>
      </c>
      <c r="G7079" t="s">
        <v>2074</v>
      </c>
      <c r="H7079" s="21">
        <v>1099.17</v>
      </c>
    </row>
    <row r="7080" spans="1:8" customFormat="1" x14ac:dyDescent="0.25">
      <c r="A7080" t="str">
        <f>"13463"</f>
        <v>13463</v>
      </c>
      <c r="B7080" t="s">
        <v>7435</v>
      </c>
      <c r="C7080" t="s">
        <v>1054</v>
      </c>
      <c r="D7080" s="21" t="s">
        <v>34</v>
      </c>
      <c r="E7080" s="21" t="s">
        <v>71</v>
      </c>
      <c r="F7080">
        <v>13130026</v>
      </c>
      <c r="G7080" t="s">
        <v>3792</v>
      </c>
      <c r="H7080" s="21">
        <v>1099.17</v>
      </c>
    </row>
    <row r="7081" spans="1:8" customFormat="1" x14ac:dyDescent="0.25">
      <c r="A7081" t="str">
        <f>"8520699"</f>
        <v>8520699</v>
      </c>
      <c r="B7081" t="s">
        <v>7571</v>
      </c>
      <c r="C7081" t="s">
        <v>412</v>
      </c>
      <c r="D7081" s="21" t="s">
        <v>34</v>
      </c>
      <c r="E7081" s="21" t="s">
        <v>1089</v>
      </c>
      <c r="F7081">
        <v>12850026</v>
      </c>
      <c r="G7081" t="s">
        <v>1400</v>
      </c>
      <c r="H7081" s="21">
        <v>1099.17</v>
      </c>
    </row>
    <row r="7082" spans="1:8" customFormat="1" x14ac:dyDescent="0.25">
      <c r="A7082" t="str">
        <f>"6110399"</f>
        <v>6110399</v>
      </c>
      <c r="B7082" t="s">
        <v>7801</v>
      </c>
      <c r="C7082" t="s">
        <v>114</v>
      </c>
      <c r="D7082" s="21" t="s">
        <v>34</v>
      </c>
      <c r="E7082" s="21" t="s">
        <v>71</v>
      </c>
      <c r="F7082">
        <v>9610136</v>
      </c>
      <c r="G7082" t="s">
        <v>6052</v>
      </c>
      <c r="H7082" s="21">
        <v>1099.17</v>
      </c>
    </row>
    <row r="7083" spans="1:8" customFormat="1" x14ac:dyDescent="0.25">
      <c r="A7083" t="str">
        <f>"6231371"</f>
        <v>6231371</v>
      </c>
      <c r="B7083" t="s">
        <v>3146</v>
      </c>
      <c r="C7083" t="s">
        <v>2752</v>
      </c>
      <c r="D7083" s="21" t="s">
        <v>34</v>
      </c>
      <c r="E7083" s="21" t="s">
        <v>71</v>
      </c>
      <c r="F7083">
        <v>7620051</v>
      </c>
      <c r="G7083" t="s">
        <v>2741</v>
      </c>
      <c r="H7083" s="21">
        <v>1099.17</v>
      </c>
    </row>
    <row r="7084" spans="1:8" customFormat="1" x14ac:dyDescent="0.25">
      <c r="A7084" t="str">
        <f>"608817"</f>
        <v>608817</v>
      </c>
      <c r="B7084" t="s">
        <v>2218</v>
      </c>
      <c r="C7084" t="s">
        <v>462</v>
      </c>
      <c r="D7084" s="21" t="s">
        <v>34</v>
      </c>
      <c r="E7084" s="21" t="s">
        <v>35</v>
      </c>
      <c r="F7084">
        <v>7600037</v>
      </c>
      <c r="G7084" t="s">
        <v>7185</v>
      </c>
      <c r="H7084" s="21">
        <v>1099.17</v>
      </c>
    </row>
    <row r="7085" spans="1:8" customFormat="1" x14ac:dyDescent="0.25">
      <c r="A7085" t="str">
        <f>"6224658"</f>
        <v>6224658</v>
      </c>
      <c r="B7085" t="s">
        <v>8763</v>
      </c>
      <c r="C7085" t="s">
        <v>1063</v>
      </c>
      <c r="D7085" s="21" t="s">
        <v>34</v>
      </c>
      <c r="E7085" s="21" t="s">
        <v>35</v>
      </c>
      <c r="F7085">
        <v>7620069</v>
      </c>
      <c r="G7085" t="s">
        <v>5442</v>
      </c>
      <c r="H7085" s="21">
        <v>1099.17</v>
      </c>
    </row>
    <row r="7086" spans="1:8" customFormat="1" x14ac:dyDescent="0.25">
      <c r="A7086" t="str">
        <f>"5415942"</f>
        <v>5415942</v>
      </c>
      <c r="B7086" t="s">
        <v>2237</v>
      </c>
      <c r="C7086" t="s">
        <v>62</v>
      </c>
      <c r="D7086" s="21" t="s">
        <v>34</v>
      </c>
      <c r="E7086" s="21" t="s">
        <v>35</v>
      </c>
      <c r="F7086">
        <v>6540040</v>
      </c>
      <c r="G7086" t="s">
        <v>256</v>
      </c>
      <c r="H7086" s="21">
        <v>1099.17</v>
      </c>
    </row>
    <row r="7087" spans="1:8" customFormat="1" x14ac:dyDescent="0.25">
      <c r="A7087" t="str">
        <f>"8515949"</f>
        <v>8515949</v>
      </c>
      <c r="B7087" t="s">
        <v>6985</v>
      </c>
      <c r="C7087" t="s">
        <v>209</v>
      </c>
      <c r="D7087" s="21" t="s">
        <v>34</v>
      </c>
      <c r="E7087" s="21" t="s">
        <v>71</v>
      </c>
      <c r="F7087">
        <v>12850016</v>
      </c>
      <c r="G7087" t="s">
        <v>26554</v>
      </c>
      <c r="H7087" s="21">
        <v>1099.17</v>
      </c>
    </row>
    <row r="7088" spans="1:8" customFormat="1" x14ac:dyDescent="0.25">
      <c r="A7088" t="str">
        <f>"7622941"</f>
        <v>7622941</v>
      </c>
      <c r="B7088" t="s">
        <v>7160</v>
      </c>
      <c r="C7088" t="s">
        <v>275</v>
      </c>
      <c r="D7088" s="21" t="s">
        <v>34</v>
      </c>
      <c r="E7088" s="21" t="s">
        <v>35</v>
      </c>
      <c r="F7088">
        <v>9270169</v>
      </c>
      <c r="G7088" t="s">
        <v>6217</v>
      </c>
      <c r="H7088" s="21">
        <v>1099.17</v>
      </c>
    </row>
    <row r="7089" spans="1:8" customFormat="1" x14ac:dyDescent="0.25">
      <c r="A7089" t="str">
        <f>"5613109"</f>
        <v>5613109</v>
      </c>
      <c r="B7089" t="s">
        <v>6831</v>
      </c>
      <c r="C7089" t="s">
        <v>55</v>
      </c>
      <c r="D7089" s="21" t="s">
        <v>34</v>
      </c>
      <c r="E7089" s="21" t="s">
        <v>71</v>
      </c>
      <c r="F7089">
        <v>3560053</v>
      </c>
      <c r="G7089" t="s">
        <v>298</v>
      </c>
      <c r="H7089" s="21">
        <v>1099.17</v>
      </c>
    </row>
    <row r="7090" spans="1:8" customFormat="1" x14ac:dyDescent="0.25">
      <c r="A7090" t="str">
        <f>"4521280"</f>
        <v>4521280</v>
      </c>
      <c r="B7090" t="s">
        <v>7117</v>
      </c>
      <c r="C7090" t="s">
        <v>169</v>
      </c>
      <c r="D7090" s="21" t="s">
        <v>34</v>
      </c>
      <c r="E7090" s="21" t="s">
        <v>35</v>
      </c>
      <c r="F7090">
        <v>4450285</v>
      </c>
      <c r="G7090" t="s">
        <v>7118</v>
      </c>
      <c r="H7090" s="21">
        <v>1099.17</v>
      </c>
    </row>
    <row r="7091" spans="1:8" customFormat="1" x14ac:dyDescent="0.25">
      <c r="A7091" t="str">
        <f>"55771"</f>
        <v>55771</v>
      </c>
      <c r="B7091" t="s">
        <v>8046</v>
      </c>
      <c r="C7091" t="s">
        <v>267</v>
      </c>
      <c r="D7091" s="21" t="s">
        <v>34</v>
      </c>
      <c r="E7091" s="21" t="s">
        <v>71</v>
      </c>
      <c r="F7091">
        <v>6550013</v>
      </c>
      <c r="G7091" t="s">
        <v>8047</v>
      </c>
      <c r="H7091" s="21">
        <v>1099.17</v>
      </c>
    </row>
    <row r="7092" spans="1:8" customFormat="1" x14ac:dyDescent="0.25">
      <c r="A7092" t="str">
        <f>"4923751"</f>
        <v>4923751</v>
      </c>
      <c r="B7092" t="s">
        <v>4261</v>
      </c>
      <c r="C7092" t="s">
        <v>486</v>
      </c>
      <c r="D7092" s="21" t="s">
        <v>34</v>
      </c>
      <c r="E7092" s="21" t="s">
        <v>71</v>
      </c>
      <c r="F7092">
        <v>12490017</v>
      </c>
      <c r="G7092" t="s">
        <v>9393</v>
      </c>
      <c r="H7092" s="21">
        <v>1099.17</v>
      </c>
    </row>
    <row r="7093" spans="1:8" customFormat="1" x14ac:dyDescent="0.25">
      <c r="A7093" t="str">
        <f>"303326"</f>
        <v>303326</v>
      </c>
      <c r="B7093" t="s">
        <v>7460</v>
      </c>
      <c r="C7093" t="s">
        <v>2479</v>
      </c>
      <c r="D7093" s="21" t="s">
        <v>34</v>
      </c>
      <c r="E7093" s="21" t="s">
        <v>71</v>
      </c>
      <c r="F7093">
        <v>11300023</v>
      </c>
      <c r="G7093" t="s">
        <v>2679</v>
      </c>
      <c r="H7093" s="21">
        <v>1099.05</v>
      </c>
    </row>
    <row r="7094" spans="1:8" customFormat="1" x14ac:dyDescent="0.25">
      <c r="A7094" t="str">
        <f>"197050"</f>
        <v>197050</v>
      </c>
      <c r="B7094" t="s">
        <v>8325</v>
      </c>
      <c r="C7094" t="s">
        <v>114</v>
      </c>
      <c r="D7094" s="21" t="s">
        <v>34</v>
      </c>
      <c r="E7094" s="21" t="s">
        <v>71</v>
      </c>
      <c r="F7094">
        <v>10190073</v>
      </c>
      <c r="G7094" t="s">
        <v>2366</v>
      </c>
      <c r="H7094" s="21">
        <v>1098.93</v>
      </c>
    </row>
    <row r="7095" spans="1:8" customFormat="1" x14ac:dyDescent="0.25">
      <c r="A7095" t="str">
        <f>"3510817"</f>
        <v>3510817</v>
      </c>
      <c r="B7095" t="s">
        <v>7960</v>
      </c>
      <c r="C7095" t="s">
        <v>285</v>
      </c>
      <c r="D7095" s="21" t="s">
        <v>34</v>
      </c>
      <c r="E7095" s="21" t="s">
        <v>35</v>
      </c>
      <c r="F7095">
        <v>3350122</v>
      </c>
      <c r="G7095" t="s">
        <v>3069</v>
      </c>
      <c r="H7095" s="21">
        <v>1098.92</v>
      </c>
    </row>
    <row r="7096" spans="1:8" customFormat="1" x14ac:dyDescent="0.25">
      <c r="A7096" t="str">
        <f>"4916973"</f>
        <v>4916973</v>
      </c>
      <c r="B7096" t="s">
        <v>2010</v>
      </c>
      <c r="C7096" t="s">
        <v>2529</v>
      </c>
      <c r="D7096" s="21" t="s">
        <v>34</v>
      </c>
      <c r="E7096" s="21" t="s">
        <v>71</v>
      </c>
      <c r="F7096">
        <v>12490057</v>
      </c>
      <c r="G7096" t="s">
        <v>5946</v>
      </c>
      <c r="H7096" s="21">
        <v>1098.79</v>
      </c>
    </row>
    <row r="7097" spans="1:8" customFormat="1" x14ac:dyDescent="0.25">
      <c r="A7097" t="str">
        <f>"4910467"</f>
        <v>4910467</v>
      </c>
      <c r="B7097" t="s">
        <v>6898</v>
      </c>
      <c r="C7097" t="s">
        <v>328</v>
      </c>
      <c r="D7097" s="21" t="s">
        <v>34</v>
      </c>
      <c r="E7097" s="21" t="s">
        <v>35</v>
      </c>
      <c r="F7097">
        <v>12490039</v>
      </c>
      <c r="G7097" t="s">
        <v>3453</v>
      </c>
      <c r="H7097" s="21">
        <v>1098.67</v>
      </c>
    </row>
    <row r="7098" spans="1:8" customFormat="1" x14ac:dyDescent="0.25">
      <c r="A7098" t="str">
        <f>"0693"</f>
        <v>0693</v>
      </c>
      <c r="B7098" t="s">
        <v>6178</v>
      </c>
      <c r="C7098" t="s">
        <v>124</v>
      </c>
      <c r="D7098" s="21" t="s">
        <v>34</v>
      </c>
      <c r="E7098" s="21" t="s">
        <v>71</v>
      </c>
      <c r="F7098">
        <v>13060119</v>
      </c>
      <c r="G7098" t="s">
        <v>6179</v>
      </c>
      <c r="H7098" s="21">
        <v>1098.67</v>
      </c>
    </row>
    <row r="7099" spans="1:8" customFormat="1" x14ac:dyDescent="0.25">
      <c r="A7099" t="str">
        <f>"4110955"</f>
        <v>4110955</v>
      </c>
      <c r="B7099" t="s">
        <v>6089</v>
      </c>
      <c r="C7099" t="s">
        <v>285</v>
      </c>
      <c r="D7099" s="21" t="s">
        <v>34</v>
      </c>
      <c r="E7099" s="21" t="s">
        <v>35</v>
      </c>
      <c r="F7099">
        <v>4410467</v>
      </c>
      <c r="G7099" t="s">
        <v>6362</v>
      </c>
      <c r="H7099" s="21">
        <v>1098.67</v>
      </c>
    </row>
    <row r="7100" spans="1:8" customFormat="1" x14ac:dyDescent="0.25">
      <c r="A7100" t="str">
        <f>"67993"</f>
        <v>67993</v>
      </c>
      <c r="B7100" t="s">
        <v>6795</v>
      </c>
      <c r="C7100" t="s">
        <v>1812</v>
      </c>
      <c r="D7100" s="21" t="s">
        <v>34</v>
      </c>
      <c r="E7100" s="21" t="s">
        <v>71</v>
      </c>
      <c r="F7100">
        <v>6670187</v>
      </c>
      <c r="G7100" t="s">
        <v>240</v>
      </c>
      <c r="H7100" s="21">
        <v>1098.67</v>
      </c>
    </row>
    <row r="7101" spans="1:8" customFormat="1" x14ac:dyDescent="0.25">
      <c r="A7101" t="str">
        <f>"141559"</f>
        <v>141559</v>
      </c>
      <c r="B7101" t="s">
        <v>7503</v>
      </c>
      <c r="C7101" t="s">
        <v>187</v>
      </c>
      <c r="D7101" s="21" t="s">
        <v>34</v>
      </c>
      <c r="E7101" s="21" t="s">
        <v>71</v>
      </c>
      <c r="F7101">
        <v>9140156</v>
      </c>
      <c r="G7101" t="s">
        <v>645</v>
      </c>
      <c r="H7101" s="21">
        <v>1098.67</v>
      </c>
    </row>
    <row r="7102" spans="1:8" customFormat="1" x14ac:dyDescent="0.25">
      <c r="A7102" t="str">
        <f>"621290"</f>
        <v>621290</v>
      </c>
      <c r="B7102" t="s">
        <v>7708</v>
      </c>
      <c r="C7102" t="s">
        <v>263</v>
      </c>
      <c r="D7102" s="21" t="s">
        <v>34</v>
      </c>
      <c r="E7102" s="21" t="s">
        <v>71</v>
      </c>
      <c r="F7102">
        <v>7620046</v>
      </c>
      <c r="G7102" t="s">
        <v>242</v>
      </c>
      <c r="H7102" s="21">
        <v>1098.67</v>
      </c>
    </row>
    <row r="7103" spans="1:8" customFormat="1" x14ac:dyDescent="0.25">
      <c r="A7103" t="str">
        <f>"3517877"</f>
        <v>3517877</v>
      </c>
      <c r="B7103" t="s">
        <v>6461</v>
      </c>
      <c r="C7103" t="s">
        <v>328</v>
      </c>
      <c r="D7103" s="21" t="s">
        <v>34</v>
      </c>
      <c r="E7103" s="21" t="s">
        <v>71</v>
      </c>
      <c r="F7103">
        <v>3350136</v>
      </c>
      <c r="G7103" t="s">
        <v>2773</v>
      </c>
      <c r="H7103" s="21">
        <v>1098.67</v>
      </c>
    </row>
    <row r="7104" spans="1:8" customFormat="1" x14ac:dyDescent="0.25">
      <c r="A7104" t="str">
        <f>"734752"</f>
        <v>734752</v>
      </c>
      <c r="B7104" t="s">
        <v>6855</v>
      </c>
      <c r="C7104" t="s">
        <v>528</v>
      </c>
      <c r="D7104" s="21" t="s">
        <v>34</v>
      </c>
      <c r="E7104" s="21" t="s">
        <v>71</v>
      </c>
      <c r="F7104">
        <v>1380056</v>
      </c>
      <c r="G7104" t="s">
        <v>846</v>
      </c>
      <c r="H7104" s="21">
        <v>1098.5</v>
      </c>
    </row>
    <row r="7105" spans="1:8" customFormat="1" x14ac:dyDescent="0.25">
      <c r="A7105" t="str">
        <f>"113756"</f>
        <v>113756</v>
      </c>
      <c r="B7105" t="s">
        <v>8772</v>
      </c>
      <c r="C7105" t="s">
        <v>169</v>
      </c>
      <c r="D7105" s="21" t="s">
        <v>34</v>
      </c>
      <c r="E7105" s="21" t="s">
        <v>35</v>
      </c>
      <c r="F7105">
        <v>11110009</v>
      </c>
      <c r="G7105" t="s">
        <v>6231</v>
      </c>
      <c r="H7105" s="21">
        <v>1098.42</v>
      </c>
    </row>
    <row r="7106" spans="1:8" customFormat="1" x14ac:dyDescent="0.25">
      <c r="A7106" t="str">
        <f>"3419792"</f>
        <v>3419792</v>
      </c>
      <c r="B7106" t="s">
        <v>8156</v>
      </c>
      <c r="C7106" t="s">
        <v>151</v>
      </c>
      <c r="D7106" s="21" t="s">
        <v>34</v>
      </c>
      <c r="E7106" s="21" t="s">
        <v>35</v>
      </c>
      <c r="F7106">
        <v>11340018</v>
      </c>
      <c r="G7106" t="s">
        <v>2421</v>
      </c>
      <c r="H7106" s="21">
        <v>1098.42</v>
      </c>
    </row>
    <row r="7107" spans="1:8" customFormat="1" x14ac:dyDescent="0.25">
      <c r="A7107" t="str">
        <f>"374706"</f>
        <v>374706</v>
      </c>
      <c r="B7107" t="s">
        <v>7216</v>
      </c>
      <c r="C7107" t="s">
        <v>328</v>
      </c>
      <c r="D7107" s="21" t="s">
        <v>34</v>
      </c>
      <c r="E7107" s="21" t="s">
        <v>71</v>
      </c>
      <c r="F7107">
        <v>4370024</v>
      </c>
      <c r="G7107" t="s">
        <v>1718</v>
      </c>
      <c r="H7107" s="21">
        <v>1098.17</v>
      </c>
    </row>
    <row r="7108" spans="1:8" customFormat="1" x14ac:dyDescent="0.25">
      <c r="A7108" t="str">
        <f>"5936328"</f>
        <v>5936328</v>
      </c>
      <c r="B7108" t="s">
        <v>26974</v>
      </c>
      <c r="C7108" t="s">
        <v>428</v>
      </c>
      <c r="D7108" s="21" t="s">
        <v>34</v>
      </c>
      <c r="E7108" s="21" t="s">
        <v>35</v>
      </c>
      <c r="F7108">
        <v>7590107</v>
      </c>
      <c r="G7108" t="s">
        <v>17475</v>
      </c>
      <c r="H7108" s="21">
        <v>1098.17</v>
      </c>
    </row>
    <row r="7109" spans="1:8" customFormat="1" x14ac:dyDescent="0.25">
      <c r="A7109" t="str">
        <f>"859569"</f>
        <v>859569</v>
      </c>
      <c r="B7109" t="s">
        <v>3629</v>
      </c>
      <c r="C7109" t="s">
        <v>1142</v>
      </c>
      <c r="D7109" s="21" t="s">
        <v>34</v>
      </c>
      <c r="E7109" s="21" t="s">
        <v>254</v>
      </c>
      <c r="F7109">
        <v>12850015</v>
      </c>
      <c r="G7109" t="s">
        <v>4076</v>
      </c>
      <c r="H7109" s="21">
        <v>1098.17</v>
      </c>
    </row>
    <row r="7110" spans="1:8" customFormat="1" x14ac:dyDescent="0.25">
      <c r="A7110" t="str">
        <f>"593950"</f>
        <v>593950</v>
      </c>
      <c r="B7110" t="s">
        <v>26975</v>
      </c>
      <c r="C7110" t="s">
        <v>305</v>
      </c>
      <c r="D7110" s="21" t="s">
        <v>34</v>
      </c>
      <c r="E7110" s="21" t="s">
        <v>35</v>
      </c>
      <c r="F7110">
        <v>7590080</v>
      </c>
      <c r="G7110" t="s">
        <v>1715</v>
      </c>
      <c r="H7110" s="21">
        <v>1098.17</v>
      </c>
    </row>
    <row r="7111" spans="1:8" customFormat="1" x14ac:dyDescent="0.25">
      <c r="A7111" t="str">
        <f>"182608"</f>
        <v>182608</v>
      </c>
      <c r="B7111" t="s">
        <v>6055</v>
      </c>
      <c r="C7111" t="s">
        <v>328</v>
      </c>
      <c r="D7111" s="21" t="s">
        <v>34</v>
      </c>
      <c r="E7111" s="21" t="s">
        <v>254</v>
      </c>
      <c r="F7111">
        <v>4180682</v>
      </c>
      <c r="G7111" t="s">
        <v>5261</v>
      </c>
      <c r="H7111" s="21">
        <v>1098.17</v>
      </c>
    </row>
    <row r="7112" spans="1:8" customFormat="1" x14ac:dyDescent="0.25">
      <c r="A7112" t="str">
        <f>"7620951"</f>
        <v>7620951</v>
      </c>
      <c r="B7112" t="s">
        <v>6376</v>
      </c>
      <c r="C7112" t="s">
        <v>6377</v>
      </c>
      <c r="D7112" s="21" t="s">
        <v>34</v>
      </c>
      <c r="E7112" s="21" t="s">
        <v>35</v>
      </c>
      <c r="F7112">
        <v>9760218</v>
      </c>
      <c r="G7112" t="s">
        <v>26836</v>
      </c>
      <c r="H7112" s="21">
        <v>1098.17</v>
      </c>
    </row>
    <row r="7113" spans="1:8" customFormat="1" x14ac:dyDescent="0.25">
      <c r="A7113" t="str">
        <f>"691839"</f>
        <v>691839</v>
      </c>
      <c r="B7113" t="s">
        <v>26976</v>
      </c>
      <c r="C7113" t="s">
        <v>269</v>
      </c>
      <c r="D7113" s="21" t="s">
        <v>34</v>
      </c>
      <c r="E7113" s="21" t="s">
        <v>71</v>
      </c>
      <c r="F7113">
        <v>1010068</v>
      </c>
      <c r="G7113" t="s">
        <v>4755</v>
      </c>
      <c r="H7113" s="21">
        <v>1098</v>
      </c>
    </row>
    <row r="7114" spans="1:8" customFormat="1" x14ac:dyDescent="0.25">
      <c r="A7114" t="str">
        <f>"5711458"</f>
        <v>5711458</v>
      </c>
      <c r="B7114" t="s">
        <v>7126</v>
      </c>
      <c r="C7114" t="s">
        <v>49</v>
      </c>
      <c r="D7114" s="21" t="s">
        <v>34</v>
      </c>
      <c r="E7114" s="21" t="s">
        <v>35</v>
      </c>
      <c r="F7114">
        <v>6570167</v>
      </c>
      <c r="G7114" t="s">
        <v>1174</v>
      </c>
      <c r="H7114" s="21">
        <v>1098</v>
      </c>
    </row>
    <row r="7115" spans="1:8" customFormat="1" x14ac:dyDescent="0.25">
      <c r="A7115" t="str">
        <f>"568665"</f>
        <v>568665</v>
      </c>
      <c r="B7115" t="s">
        <v>7204</v>
      </c>
      <c r="C7115" t="s">
        <v>1110</v>
      </c>
      <c r="D7115" s="21" t="s">
        <v>34</v>
      </c>
      <c r="E7115" s="21" t="s">
        <v>71</v>
      </c>
      <c r="F7115">
        <v>3560039</v>
      </c>
      <c r="G7115" t="s">
        <v>167</v>
      </c>
      <c r="H7115" s="21">
        <v>1097.92</v>
      </c>
    </row>
    <row r="7116" spans="1:8" customFormat="1" x14ac:dyDescent="0.25">
      <c r="A7116" t="str">
        <f>"5934011"</f>
        <v>5934011</v>
      </c>
      <c r="B7116" t="s">
        <v>6632</v>
      </c>
      <c r="C7116" t="s">
        <v>498</v>
      </c>
      <c r="D7116" s="21" t="s">
        <v>34</v>
      </c>
      <c r="E7116" s="21" t="s">
        <v>35</v>
      </c>
      <c r="F7116">
        <v>7590071</v>
      </c>
      <c r="G7116" t="s">
        <v>2602</v>
      </c>
      <c r="H7116" s="21">
        <v>1097.67</v>
      </c>
    </row>
    <row r="7117" spans="1:8" customFormat="1" x14ac:dyDescent="0.25">
      <c r="A7117" t="str">
        <f>"594859"</f>
        <v>594859</v>
      </c>
      <c r="B7117" t="s">
        <v>6969</v>
      </c>
      <c r="C7117" t="s">
        <v>65</v>
      </c>
      <c r="D7117" s="21" t="s">
        <v>34</v>
      </c>
      <c r="E7117" s="21" t="s">
        <v>71</v>
      </c>
      <c r="F7117">
        <v>7590338</v>
      </c>
      <c r="G7117" t="s">
        <v>682</v>
      </c>
      <c r="H7117" s="21">
        <v>1097.67</v>
      </c>
    </row>
    <row r="7118" spans="1:8" customFormat="1" x14ac:dyDescent="0.25">
      <c r="A7118" t="str">
        <f>"6018807"</f>
        <v>6018807</v>
      </c>
      <c r="B7118" t="s">
        <v>9462</v>
      </c>
      <c r="C7118" t="s">
        <v>2752</v>
      </c>
      <c r="D7118" s="21" t="s">
        <v>34</v>
      </c>
      <c r="E7118" s="21" t="s">
        <v>35</v>
      </c>
      <c r="F7118">
        <v>7600044</v>
      </c>
      <c r="G7118" t="s">
        <v>3411</v>
      </c>
      <c r="H7118" s="21">
        <v>1097.67</v>
      </c>
    </row>
    <row r="7119" spans="1:8" customFormat="1" x14ac:dyDescent="0.25">
      <c r="A7119" t="str">
        <f>"198149"</f>
        <v>198149</v>
      </c>
      <c r="B7119" t="s">
        <v>8212</v>
      </c>
      <c r="C7119" t="s">
        <v>462</v>
      </c>
      <c r="D7119" s="21" t="s">
        <v>34</v>
      </c>
      <c r="E7119" s="21" t="s">
        <v>71</v>
      </c>
      <c r="F7119">
        <v>10190080</v>
      </c>
      <c r="G7119" t="s">
        <v>1726</v>
      </c>
      <c r="H7119" s="21">
        <v>1097.67</v>
      </c>
    </row>
    <row r="7120" spans="1:8" customFormat="1" x14ac:dyDescent="0.25">
      <c r="A7120" t="str">
        <f>"7625129"</f>
        <v>7625129</v>
      </c>
      <c r="B7120" t="s">
        <v>7131</v>
      </c>
      <c r="C7120" t="s">
        <v>171</v>
      </c>
      <c r="D7120" s="21" t="s">
        <v>34</v>
      </c>
      <c r="E7120" s="21" t="s">
        <v>35</v>
      </c>
      <c r="F7120">
        <v>9760127</v>
      </c>
      <c r="G7120" t="s">
        <v>7132</v>
      </c>
      <c r="H7120" s="21">
        <v>1097.67</v>
      </c>
    </row>
    <row r="7121" spans="1:8" customFormat="1" x14ac:dyDescent="0.25">
      <c r="A7121" t="str">
        <f>"9126032"</f>
        <v>9126032</v>
      </c>
      <c r="B7121" t="s">
        <v>7521</v>
      </c>
      <c r="C7121" t="s">
        <v>65</v>
      </c>
      <c r="D7121" s="21" t="s">
        <v>34</v>
      </c>
      <c r="E7121" s="21" t="s">
        <v>35</v>
      </c>
      <c r="F7121">
        <v>8910918</v>
      </c>
      <c r="G7121" t="s">
        <v>332</v>
      </c>
      <c r="H7121" s="21">
        <v>1097.67</v>
      </c>
    </row>
    <row r="7122" spans="1:8" customFormat="1" x14ac:dyDescent="0.25">
      <c r="A7122" t="str">
        <f>"149903"</f>
        <v>149903</v>
      </c>
      <c r="B7122" t="s">
        <v>7969</v>
      </c>
      <c r="C7122" t="s">
        <v>608</v>
      </c>
      <c r="D7122" s="21" t="s">
        <v>34</v>
      </c>
      <c r="E7122" s="21" t="s">
        <v>71</v>
      </c>
      <c r="F7122">
        <v>9140156</v>
      </c>
      <c r="G7122" t="s">
        <v>645</v>
      </c>
      <c r="H7122" s="21">
        <v>1097.67</v>
      </c>
    </row>
    <row r="7123" spans="1:8" customFormat="1" x14ac:dyDescent="0.25">
      <c r="A7123" t="str">
        <f>"716493"</f>
        <v>716493</v>
      </c>
      <c r="B7123" t="s">
        <v>7747</v>
      </c>
      <c r="C7123" t="s">
        <v>576</v>
      </c>
      <c r="D7123" s="21" t="s">
        <v>34</v>
      </c>
      <c r="E7123" s="21" t="s">
        <v>35</v>
      </c>
      <c r="F7123">
        <v>2250132</v>
      </c>
      <c r="G7123" t="s">
        <v>7748</v>
      </c>
      <c r="H7123" s="21">
        <v>1097.5</v>
      </c>
    </row>
    <row r="7124" spans="1:8" customFormat="1" x14ac:dyDescent="0.25">
      <c r="A7124" t="str">
        <f>"777001"</f>
        <v>777001</v>
      </c>
      <c r="B7124" t="s">
        <v>5914</v>
      </c>
      <c r="C7124" t="s">
        <v>249</v>
      </c>
      <c r="D7124" s="21" t="s">
        <v>34</v>
      </c>
      <c r="E7124" s="21" t="s">
        <v>35</v>
      </c>
      <c r="F7124">
        <v>8770250</v>
      </c>
      <c r="G7124" t="s">
        <v>2595</v>
      </c>
      <c r="H7124" s="21">
        <v>1097.43</v>
      </c>
    </row>
    <row r="7125" spans="1:8" customFormat="1" x14ac:dyDescent="0.25">
      <c r="A7125" t="str">
        <f>"9416915"</f>
        <v>9416915</v>
      </c>
      <c r="B7125" t="s">
        <v>7016</v>
      </c>
      <c r="C7125" t="s">
        <v>43</v>
      </c>
      <c r="D7125" s="21" t="s">
        <v>34</v>
      </c>
      <c r="E7125" s="21" t="s">
        <v>35</v>
      </c>
      <c r="F7125">
        <v>8950479</v>
      </c>
      <c r="G7125" t="s">
        <v>728</v>
      </c>
      <c r="H7125" s="21">
        <v>1097.43</v>
      </c>
    </row>
    <row r="7126" spans="1:8" customFormat="1" x14ac:dyDescent="0.25">
      <c r="A7126" t="str">
        <f>"812050"</f>
        <v>812050</v>
      </c>
      <c r="B7126" t="s">
        <v>8832</v>
      </c>
      <c r="C7126" t="s">
        <v>415</v>
      </c>
      <c r="D7126" s="21" t="s">
        <v>34</v>
      </c>
      <c r="E7126" s="21" t="s">
        <v>71</v>
      </c>
      <c r="F7126">
        <v>11810013</v>
      </c>
      <c r="G7126" t="s">
        <v>8833</v>
      </c>
      <c r="H7126" s="21">
        <v>1097.3800000000001</v>
      </c>
    </row>
    <row r="7127" spans="1:8" customFormat="1" x14ac:dyDescent="0.25">
      <c r="A7127" t="str">
        <f>"323548"</f>
        <v>323548</v>
      </c>
      <c r="B7127" t="s">
        <v>8744</v>
      </c>
      <c r="C7127" t="s">
        <v>486</v>
      </c>
      <c r="D7127" s="21" t="s">
        <v>34</v>
      </c>
      <c r="E7127" s="21" t="s">
        <v>35</v>
      </c>
      <c r="F7127">
        <v>11320041</v>
      </c>
      <c r="G7127" t="s">
        <v>4802</v>
      </c>
      <c r="H7127" s="21">
        <v>1097.17</v>
      </c>
    </row>
    <row r="7128" spans="1:8" customFormat="1" x14ac:dyDescent="0.25">
      <c r="A7128" t="str">
        <f>"625213"</f>
        <v>625213</v>
      </c>
      <c r="B7128" t="s">
        <v>26977</v>
      </c>
      <c r="C7128" t="s">
        <v>249</v>
      </c>
      <c r="D7128" s="21" t="s">
        <v>34</v>
      </c>
      <c r="E7128" s="21" t="s">
        <v>35</v>
      </c>
      <c r="F7128">
        <v>3350030</v>
      </c>
      <c r="G7128" t="s">
        <v>4549</v>
      </c>
      <c r="H7128" s="21">
        <v>1097.17</v>
      </c>
    </row>
    <row r="7129" spans="1:8" customFormat="1" x14ac:dyDescent="0.25">
      <c r="A7129" t="str">
        <f>"034309"</f>
        <v>034309</v>
      </c>
      <c r="B7129" t="s">
        <v>8122</v>
      </c>
      <c r="C7129" t="s">
        <v>55</v>
      </c>
      <c r="D7129" s="21" t="s">
        <v>34</v>
      </c>
      <c r="E7129" s="21" t="s">
        <v>71</v>
      </c>
      <c r="F7129">
        <v>1630310</v>
      </c>
      <c r="G7129" t="s">
        <v>6314</v>
      </c>
      <c r="H7129" s="21">
        <v>1097.17</v>
      </c>
    </row>
    <row r="7130" spans="1:8" customFormat="1" x14ac:dyDescent="0.25">
      <c r="A7130" t="str">
        <f>"191236"</f>
        <v>191236</v>
      </c>
      <c r="B7130" t="s">
        <v>9471</v>
      </c>
      <c r="C7130" t="s">
        <v>249</v>
      </c>
      <c r="D7130" s="21" t="s">
        <v>34</v>
      </c>
      <c r="E7130" s="21" t="s">
        <v>71</v>
      </c>
      <c r="F7130">
        <v>10190147</v>
      </c>
      <c r="G7130" t="s">
        <v>7477</v>
      </c>
      <c r="H7130" s="21">
        <v>1097.17</v>
      </c>
    </row>
    <row r="7131" spans="1:8" customFormat="1" x14ac:dyDescent="0.25">
      <c r="A7131" t="str">
        <f>"2931635"</f>
        <v>2931635</v>
      </c>
      <c r="B7131" t="s">
        <v>1827</v>
      </c>
      <c r="C7131" t="s">
        <v>428</v>
      </c>
      <c r="D7131" s="21" t="s">
        <v>34</v>
      </c>
      <c r="E7131" s="21" t="s">
        <v>35</v>
      </c>
      <c r="F7131">
        <v>3290282</v>
      </c>
      <c r="G7131" t="s">
        <v>4855</v>
      </c>
      <c r="H7131" s="21">
        <v>1097.17</v>
      </c>
    </row>
    <row r="7132" spans="1:8" customFormat="1" x14ac:dyDescent="0.25">
      <c r="A7132" t="str">
        <f>"355855"</f>
        <v>355855</v>
      </c>
      <c r="B7132" t="s">
        <v>9029</v>
      </c>
      <c r="C7132" t="s">
        <v>598</v>
      </c>
      <c r="D7132" s="21" t="s">
        <v>34</v>
      </c>
      <c r="E7132" s="21" t="s">
        <v>254</v>
      </c>
      <c r="F7132">
        <v>3350060</v>
      </c>
      <c r="G7132" t="s">
        <v>38</v>
      </c>
      <c r="H7132" s="21">
        <v>1097.17</v>
      </c>
    </row>
    <row r="7133" spans="1:8" customFormat="1" x14ac:dyDescent="0.25">
      <c r="A7133" t="str">
        <f>"9531405"</f>
        <v>9531405</v>
      </c>
      <c r="B7133" t="s">
        <v>7813</v>
      </c>
      <c r="C7133" t="s">
        <v>121</v>
      </c>
      <c r="D7133" s="21" t="s">
        <v>34</v>
      </c>
      <c r="E7133" s="21" t="s">
        <v>35</v>
      </c>
      <c r="F7133">
        <v>8951411</v>
      </c>
      <c r="G7133" t="s">
        <v>416</v>
      </c>
      <c r="H7133" s="21">
        <v>1097.17</v>
      </c>
    </row>
    <row r="7134" spans="1:8" customFormat="1" x14ac:dyDescent="0.25">
      <c r="A7134" t="str">
        <f>"593547"</f>
        <v>593547</v>
      </c>
      <c r="B7134" t="s">
        <v>8050</v>
      </c>
      <c r="C7134" t="s">
        <v>249</v>
      </c>
      <c r="D7134" s="21" t="s">
        <v>34</v>
      </c>
      <c r="E7134" s="21" t="s">
        <v>71</v>
      </c>
      <c r="F7134">
        <v>7590419</v>
      </c>
      <c r="G7134" t="s">
        <v>8051</v>
      </c>
      <c r="H7134" s="21">
        <v>1097.17</v>
      </c>
    </row>
    <row r="7135" spans="1:8" customFormat="1" x14ac:dyDescent="0.25">
      <c r="A7135" t="str">
        <f>"4523677"</f>
        <v>4523677</v>
      </c>
      <c r="B7135" t="s">
        <v>517</v>
      </c>
      <c r="C7135" t="s">
        <v>65</v>
      </c>
      <c r="D7135" s="21" t="s">
        <v>34</v>
      </c>
      <c r="E7135" s="21" t="s">
        <v>35</v>
      </c>
      <c r="F7135">
        <v>4450751</v>
      </c>
      <c r="G7135" t="s">
        <v>442</v>
      </c>
      <c r="H7135" s="21">
        <v>1097.04</v>
      </c>
    </row>
    <row r="7136" spans="1:8" customFormat="1" x14ac:dyDescent="0.25">
      <c r="A7136" t="str">
        <f>"85416"</f>
        <v>85416</v>
      </c>
      <c r="B7136" t="s">
        <v>6409</v>
      </c>
      <c r="C7136" t="s">
        <v>1853</v>
      </c>
      <c r="D7136" s="21" t="s">
        <v>34</v>
      </c>
      <c r="E7136" s="21" t="s">
        <v>254</v>
      </c>
      <c r="F7136">
        <v>12851012</v>
      </c>
      <c r="G7136" t="s">
        <v>1963</v>
      </c>
      <c r="H7136" s="21">
        <v>1096.92</v>
      </c>
    </row>
    <row r="7137" spans="1:8" customFormat="1" x14ac:dyDescent="0.25">
      <c r="A7137" t="str">
        <f>"479788"</f>
        <v>479788</v>
      </c>
      <c r="B7137" t="s">
        <v>853</v>
      </c>
      <c r="C7137" t="s">
        <v>854</v>
      </c>
      <c r="D7137" s="21" t="s">
        <v>34</v>
      </c>
      <c r="E7137" s="21" t="s">
        <v>71</v>
      </c>
      <c r="F7137">
        <v>10470006</v>
      </c>
      <c r="G7137" t="s">
        <v>1225</v>
      </c>
      <c r="H7137" s="21">
        <v>1096.8</v>
      </c>
    </row>
    <row r="7138" spans="1:8" customFormat="1" x14ac:dyDescent="0.25">
      <c r="A7138" t="str">
        <f>"3516097"</f>
        <v>3516097</v>
      </c>
      <c r="B7138" t="s">
        <v>8273</v>
      </c>
      <c r="C7138" t="s">
        <v>8274</v>
      </c>
      <c r="D7138" s="21" t="s">
        <v>34</v>
      </c>
      <c r="E7138" s="21" t="s">
        <v>71</v>
      </c>
      <c r="F7138">
        <v>3350027</v>
      </c>
      <c r="G7138" t="s">
        <v>2760</v>
      </c>
      <c r="H7138" s="21">
        <v>1096.67</v>
      </c>
    </row>
    <row r="7139" spans="1:8" customFormat="1" x14ac:dyDescent="0.25">
      <c r="A7139" t="str">
        <f>"14296"</f>
        <v>14296</v>
      </c>
      <c r="B7139" t="s">
        <v>402</v>
      </c>
      <c r="C7139" t="s">
        <v>263</v>
      </c>
      <c r="D7139" s="21" t="s">
        <v>34</v>
      </c>
      <c r="E7139" s="21" t="s">
        <v>254</v>
      </c>
      <c r="F7139">
        <v>9140032</v>
      </c>
      <c r="G7139" t="s">
        <v>2130</v>
      </c>
      <c r="H7139" s="21">
        <v>1096.67</v>
      </c>
    </row>
    <row r="7140" spans="1:8" customFormat="1" x14ac:dyDescent="0.25">
      <c r="A7140" t="str">
        <f>"863616"</f>
        <v>863616</v>
      </c>
      <c r="B7140" t="s">
        <v>26978</v>
      </c>
      <c r="C7140" t="s">
        <v>62</v>
      </c>
      <c r="D7140" s="21" t="s">
        <v>34</v>
      </c>
      <c r="E7140" s="21" t="s">
        <v>35</v>
      </c>
      <c r="F7140">
        <v>10860005</v>
      </c>
      <c r="G7140" t="s">
        <v>7474</v>
      </c>
      <c r="H7140" s="21">
        <v>1096.67</v>
      </c>
    </row>
    <row r="7141" spans="1:8" customFormat="1" x14ac:dyDescent="0.25">
      <c r="A7141" t="str">
        <f>"862677"</f>
        <v>862677</v>
      </c>
      <c r="B7141" t="s">
        <v>6373</v>
      </c>
      <c r="C7141" t="s">
        <v>6374</v>
      </c>
      <c r="D7141" s="21" t="s">
        <v>34</v>
      </c>
      <c r="E7141" s="21" t="s">
        <v>71</v>
      </c>
      <c r="F7141">
        <v>10860006</v>
      </c>
      <c r="G7141" t="s">
        <v>3004</v>
      </c>
      <c r="H7141" s="21">
        <v>1096.67</v>
      </c>
    </row>
    <row r="7142" spans="1:8" customFormat="1" x14ac:dyDescent="0.25">
      <c r="A7142" t="str">
        <f>"6218000"</f>
        <v>6218000</v>
      </c>
      <c r="B7142" t="s">
        <v>7632</v>
      </c>
      <c r="C7142" t="s">
        <v>147</v>
      </c>
      <c r="D7142" s="21" t="s">
        <v>34</v>
      </c>
      <c r="E7142" s="21" t="s">
        <v>71</v>
      </c>
      <c r="F7142">
        <v>7620121</v>
      </c>
      <c r="G7142" t="s">
        <v>7146</v>
      </c>
      <c r="H7142" s="21">
        <v>1096.67</v>
      </c>
    </row>
    <row r="7143" spans="1:8" customFormat="1" x14ac:dyDescent="0.25">
      <c r="A7143" t="str">
        <f>"014958"</f>
        <v>014958</v>
      </c>
      <c r="B7143" t="s">
        <v>7375</v>
      </c>
      <c r="C7143" t="s">
        <v>33</v>
      </c>
      <c r="D7143" s="21" t="s">
        <v>34</v>
      </c>
      <c r="E7143" s="21" t="s">
        <v>35</v>
      </c>
      <c r="F7143">
        <v>2390003</v>
      </c>
      <c r="G7143" t="s">
        <v>1150</v>
      </c>
      <c r="H7143" s="21">
        <v>1096.67</v>
      </c>
    </row>
    <row r="7144" spans="1:8" customFormat="1" x14ac:dyDescent="0.25">
      <c r="A7144" t="str">
        <f>"833773"</f>
        <v>833773</v>
      </c>
      <c r="B7144" t="s">
        <v>7324</v>
      </c>
      <c r="C7144" t="s">
        <v>55</v>
      </c>
      <c r="D7144" s="21" t="s">
        <v>34</v>
      </c>
      <c r="E7144" s="21" t="s">
        <v>71</v>
      </c>
      <c r="F7144">
        <v>13830092</v>
      </c>
      <c r="G7144" t="s">
        <v>3632</v>
      </c>
      <c r="H7144" s="21">
        <v>1096.67</v>
      </c>
    </row>
    <row r="7145" spans="1:8" customFormat="1" x14ac:dyDescent="0.25">
      <c r="A7145" t="str">
        <f>"914525"</f>
        <v>914525</v>
      </c>
      <c r="B7145" t="s">
        <v>7434</v>
      </c>
      <c r="C7145" t="s">
        <v>169</v>
      </c>
      <c r="D7145" s="21" t="s">
        <v>34</v>
      </c>
      <c r="E7145" s="21" t="s">
        <v>35</v>
      </c>
      <c r="F7145">
        <v>8910881</v>
      </c>
      <c r="G7145" t="s">
        <v>1300</v>
      </c>
      <c r="H7145" s="21">
        <v>1096.55</v>
      </c>
    </row>
    <row r="7146" spans="1:8" customFormat="1" x14ac:dyDescent="0.25">
      <c r="A7146" t="str">
        <f>"282174"</f>
        <v>282174</v>
      </c>
      <c r="B7146" t="s">
        <v>6778</v>
      </c>
      <c r="C7146" t="s">
        <v>462</v>
      </c>
      <c r="D7146" s="21" t="s">
        <v>34</v>
      </c>
      <c r="E7146" s="21" t="s">
        <v>71</v>
      </c>
      <c r="F7146">
        <v>4280121</v>
      </c>
      <c r="G7146" t="s">
        <v>4565</v>
      </c>
      <c r="H7146" s="21">
        <v>1096.55</v>
      </c>
    </row>
    <row r="7147" spans="1:8" customFormat="1" x14ac:dyDescent="0.25">
      <c r="A7147" t="str">
        <f>"752160"</f>
        <v>752160</v>
      </c>
      <c r="B7147" t="s">
        <v>6575</v>
      </c>
      <c r="C7147" t="s">
        <v>156</v>
      </c>
      <c r="D7147" s="21" t="s">
        <v>34</v>
      </c>
      <c r="E7147" s="21" t="s">
        <v>71</v>
      </c>
      <c r="F7147">
        <v>8751163</v>
      </c>
      <c r="G7147" t="s">
        <v>80</v>
      </c>
      <c r="H7147" s="21">
        <v>1096.42</v>
      </c>
    </row>
    <row r="7148" spans="1:8" customFormat="1" x14ac:dyDescent="0.25">
      <c r="A7148" t="str">
        <f>"4411907"</f>
        <v>4411907</v>
      </c>
      <c r="B7148" t="s">
        <v>2854</v>
      </c>
      <c r="C7148" t="s">
        <v>114</v>
      </c>
      <c r="D7148" s="21" t="s">
        <v>34</v>
      </c>
      <c r="E7148" s="21" t="s">
        <v>71</v>
      </c>
      <c r="F7148">
        <v>12440136</v>
      </c>
      <c r="G7148" t="s">
        <v>3271</v>
      </c>
      <c r="H7148" s="21">
        <v>1096.42</v>
      </c>
    </row>
    <row r="7149" spans="1:8" customFormat="1" x14ac:dyDescent="0.25">
      <c r="A7149" t="str">
        <f>"5955338"</f>
        <v>5955338</v>
      </c>
      <c r="B7149" t="s">
        <v>8717</v>
      </c>
      <c r="C7149" t="s">
        <v>1705</v>
      </c>
      <c r="D7149" s="21" t="s">
        <v>34</v>
      </c>
      <c r="E7149" s="21" t="s">
        <v>71</v>
      </c>
      <c r="F7149">
        <v>7620063</v>
      </c>
      <c r="G7149" t="s">
        <v>1889</v>
      </c>
      <c r="H7149" s="21">
        <v>1096.3</v>
      </c>
    </row>
    <row r="7150" spans="1:8" customFormat="1" x14ac:dyDescent="0.25">
      <c r="A7150" t="str">
        <f>"862903"</f>
        <v>862903</v>
      </c>
      <c r="B7150" t="s">
        <v>7751</v>
      </c>
      <c r="C7150" t="s">
        <v>484</v>
      </c>
      <c r="D7150" s="21" t="s">
        <v>34</v>
      </c>
      <c r="E7150" s="21" t="s">
        <v>71</v>
      </c>
      <c r="F7150">
        <v>10860017</v>
      </c>
      <c r="G7150" t="s">
        <v>2439</v>
      </c>
      <c r="H7150" s="21">
        <v>1096.18</v>
      </c>
    </row>
    <row r="7151" spans="1:8" customFormat="1" x14ac:dyDescent="0.25">
      <c r="A7151" t="str">
        <f>"588218"</f>
        <v>588218</v>
      </c>
      <c r="B7151" t="s">
        <v>7587</v>
      </c>
      <c r="C7151" t="s">
        <v>486</v>
      </c>
      <c r="D7151" s="21" t="s">
        <v>34</v>
      </c>
      <c r="E7151" s="21" t="s">
        <v>35</v>
      </c>
      <c r="F7151">
        <v>2580010</v>
      </c>
      <c r="G7151" t="s">
        <v>1965</v>
      </c>
      <c r="H7151" s="21">
        <v>1096.17</v>
      </c>
    </row>
    <row r="7152" spans="1:8" customFormat="1" x14ac:dyDescent="0.25">
      <c r="A7152" t="str">
        <f>"8516448"</f>
        <v>8516448</v>
      </c>
      <c r="B7152" t="s">
        <v>5651</v>
      </c>
      <c r="C7152" t="s">
        <v>124</v>
      </c>
      <c r="D7152" s="21" t="s">
        <v>34</v>
      </c>
      <c r="E7152" s="21" t="s">
        <v>254</v>
      </c>
      <c r="F7152">
        <v>12850007</v>
      </c>
      <c r="G7152" t="s">
        <v>7649</v>
      </c>
      <c r="H7152" s="21">
        <v>1096.17</v>
      </c>
    </row>
    <row r="7153" spans="1:8" customFormat="1" x14ac:dyDescent="0.25">
      <c r="A7153" t="str">
        <f>"314751"</f>
        <v>314751</v>
      </c>
      <c r="B7153" t="s">
        <v>7144</v>
      </c>
      <c r="C7153" t="s">
        <v>87</v>
      </c>
      <c r="D7153" s="21" t="s">
        <v>34</v>
      </c>
      <c r="E7153" s="21" t="s">
        <v>71</v>
      </c>
      <c r="F7153">
        <v>11310121</v>
      </c>
      <c r="G7153" t="s">
        <v>578</v>
      </c>
      <c r="H7153" s="21">
        <v>1096.17</v>
      </c>
    </row>
    <row r="7154" spans="1:8" customFormat="1" x14ac:dyDescent="0.25">
      <c r="A7154" t="str">
        <f>"3723874"</f>
        <v>3723874</v>
      </c>
      <c r="B7154" t="s">
        <v>9608</v>
      </c>
      <c r="C7154" t="s">
        <v>1714</v>
      </c>
      <c r="D7154" s="21" t="s">
        <v>34</v>
      </c>
      <c r="E7154" s="21" t="s">
        <v>71</v>
      </c>
      <c r="F7154">
        <v>4370183</v>
      </c>
      <c r="G7154" t="s">
        <v>231</v>
      </c>
      <c r="H7154" s="21">
        <v>1096.17</v>
      </c>
    </row>
    <row r="7155" spans="1:8" customFormat="1" x14ac:dyDescent="0.25">
      <c r="A7155" t="str">
        <f>"483052"</f>
        <v>483052</v>
      </c>
      <c r="B7155" t="s">
        <v>8060</v>
      </c>
      <c r="C7155" t="s">
        <v>209</v>
      </c>
      <c r="D7155" s="21" t="s">
        <v>34</v>
      </c>
      <c r="E7155" s="21" t="s">
        <v>71</v>
      </c>
      <c r="F7155">
        <v>11480006</v>
      </c>
      <c r="G7155" t="s">
        <v>3317</v>
      </c>
      <c r="H7155" s="21">
        <v>1096.17</v>
      </c>
    </row>
    <row r="7156" spans="1:8" customFormat="1" x14ac:dyDescent="0.25">
      <c r="A7156" t="str">
        <f>"94169"</f>
        <v>94169</v>
      </c>
      <c r="B7156" t="s">
        <v>7137</v>
      </c>
      <c r="C7156" t="s">
        <v>55</v>
      </c>
      <c r="D7156" s="21" t="s">
        <v>34</v>
      </c>
      <c r="E7156" s="21" t="s">
        <v>71</v>
      </c>
      <c r="F7156">
        <v>8940033</v>
      </c>
      <c r="G7156" t="s">
        <v>1376</v>
      </c>
      <c r="H7156" s="21">
        <v>1096.17</v>
      </c>
    </row>
    <row r="7157" spans="1:8" customFormat="1" x14ac:dyDescent="0.25">
      <c r="A7157" t="str">
        <f>"3524242"</f>
        <v>3524242</v>
      </c>
      <c r="B7157" t="s">
        <v>7412</v>
      </c>
      <c r="C7157" t="s">
        <v>1146</v>
      </c>
      <c r="D7157" s="21" t="s">
        <v>34</v>
      </c>
      <c r="E7157" s="21" t="s">
        <v>71</v>
      </c>
      <c r="F7157">
        <v>10790069</v>
      </c>
      <c r="G7157" t="s">
        <v>689</v>
      </c>
      <c r="H7157" s="21">
        <v>1096.17</v>
      </c>
    </row>
    <row r="7158" spans="1:8" customFormat="1" x14ac:dyDescent="0.25">
      <c r="A7158" t="str">
        <f>"313542"</f>
        <v>313542</v>
      </c>
      <c r="B7158" t="s">
        <v>9466</v>
      </c>
      <c r="C7158" t="s">
        <v>204</v>
      </c>
      <c r="D7158" s="21" t="s">
        <v>34</v>
      </c>
      <c r="E7158" s="21" t="s">
        <v>35</v>
      </c>
      <c r="F7158" t="s">
        <v>2849</v>
      </c>
      <c r="G7158" t="s">
        <v>2850</v>
      </c>
      <c r="H7158" s="21">
        <v>1096.05</v>
      </c>
    </row>
    <row r="7159" spans="1:8" customFormat="1" x14ac:dyDescent="0.25">
      <c r="A7159" t="str">
        <f>"4918530"</f>
        <v>4918530</v>
      </c>
      <c r="B7159" t="s">
        <v>5413</v>
      </c>
      <c r="C7159" t="s">
        <v>55</v>
      </c>
      <c r="D7159" s="21" t="s">
        <v>34</v>
      </c>
      <c r="E7159" s="21" t="s">
        <v>35</v>
      </c>
      <c r="F7159">
        <v>12490030</v>
      </c>
      <c r="G7159" t="s">
        <v>8366</v>
      </c>
      <c r="H7159" s="21">
        <v>1095.79</v>
      </c>
    </row>
    <row r="7160" spans="1:8" customFormat="1" x14ac:dyDescent="0.25">
      <c r="A7160" t="str">
        <f>"402507"</f>
        <v>402507</v>
      </c>
      <c r="B7160" t="s">
        <v>7051</v>
      </c>
      <c r="C7160" t="s">
        <v>1132</v>
      </c>
      <c r="D7160" s="21" t="s">
        <v>34</v>
      </c>
      <c r="E7160" s="21" t="s">
        <v>254</v>
      </c>
      <c r="F7160">
        <v>10400010</v>
      </c>
      <c r="G7160" t="s">
        <v>2446</v>
      </c>
      <c r="H7160" s="21">
        <v>1095.67</v>
      </c>
    </row>
    <row r="7161" spans="1:8" customFormat="1" x14ac:dyDescent="0.25">
      <c r="A7161" t="str">
        <f>"089724"</f>
        <v>089724</v>
      </c>
      <c r="B7161" t="s">
        <v>7723</v>
      </c>
      <c r="C7161" t="s">
        <v>428</v>
      </c>
      <c r="D7161" s="21" t="s">
        <v>34</v>
      </c>
      <c r="E7161" s="21" t="s">
        <v>35</v>
      </c>
      <c r="F7161">
        <v>6080087</v>
      </c>
      <c r="G7161" t="s">
        <v>7405</v>
      </c>
      <c r="H7161" s="21">
        <v>1095.67</v>
      </c>
    </row>
    <row r="7162" spans="1:8" customFormat="1" x14ac:dyDescent="0.25">
      <c r="A7162" t="str">
        <f>"509014"</f>
        <v>509014</v>
      </c>
      <c r="B7162" t="s">
        <v>8044</v>
      </c>
      <c r="C7162" t="s">
        <v>288</v>
      </c>
      <c r="D7162" s="21" t="s">
        <v>34</v>
      </c>
      <c r="E7162" s="21" t="s">
        <v>71</v>
      </c>
      <c r="F7162">
        <v>9500093</v>
      </c>
      <c r="G7162" t="s">
        <v>1808</v>
      </c>
      <c r="H7162" s="21">
        <v>1095.67</v>
      </c>
    </row>
    <row r="7163" spans="1:8" customFormat="1" x14ac:dyDescent="0.25">
      <c r="A7163" t="str">
        <f>"27836"</f>
        <v>27836</v>
      </c>
      <c r="B7163" t="s">
        <v>7276</v>
      </c>
      <c r="C7163" t="s">
        <v>598</v>
      </c>
      <c r="D7163" s="21" t="s">
        <v>34</v>
      </c>
      <c r="E7163" s="21" t="s">
        <v>71</v>
      </c>
      <c r="F7163">
        <v>9270063</v>
      </c>
      <c r="G7163" t="s">
        <v>808</v>
      </c>
      <c r="H7163" s="21">
        <v>1095.67</v>
      </c>
    </row>
    <row r="7164" spans="1:8" customFormat="1" x14ac:dyDescent="0.25">
      <c r="A7164" t="str">
        <f>"7514230"</f>
        <v>7514230</v>
      </c>
      <c r="B7164" t="s">
        <v>7528</v>
      </c>
      <c r="C7164" t="s">
        <v>817</v>
      </c>
      <c r="D7164" s="21" t="s">
        <v>34</v>
      </c>
      <c r="E7164" s="21" t="s">
        <v>35</v>
      </c>
      <c r="F7164">
        <v>8751371</v>
      </c>
      <c r="G7164" t="s">
        <v>6605</v>
      </c>
      <c r="H7164" s="21">
        <v>1095.67</v>
      </c>
    </row>
    <row r="7165" spans="1:8" customFormat="1" x14ac:dyDescent="0.25">
      <c r="A7165" t="str">
        <f>"902735"</f>
        <v>902735</v>
      </c>
      <c r="B7165" t="s">
        <v>8098</v>
      </c>
      <c r="C7165" t="s">
        <v>55</v>
      </c>
      <c r="D7165" s="21" t="s">
        <v>34</v>
      </c>
      <c r="E7165" s="21" t="s">
        <v>35</v>
      </c>
      <c r="F7165">
        <v>2900046</v>
      </c>
      <c r="G7165" t="s">
        <v>4101</v>
      </c>
      <c r="H7165" s="21">
        <v>1095.67</v>
      </c>
    </row>
    <row r="7166" spans="1:8" customFormat="1" x14ac:dyDescent="0.25">
      <c r="A7166" t="str">
        <f>"575232"</f>
        <v>575232</v>
      </c>
      <c r="B7166" t="s">
        <v>7285</v>
      </c>
      <c r="C7166" t="s">
        <v>1146</v>
      </c>
      <c r="D7166" s="21" t="s">
        <v>34</v>
      </c>
      <c r="E7166" s="21" t="s">
        <v>1089</v>
      </c>
      <c r="F7166">
        <v>6570190</v>
      </c>
      <c r="G7166" t="s">
        <v>622</v>
      </c>
      <c r="H7166" s="21">
        <v>1095.67</v>
      </c>
    </row>
    <row r="7167" spans="1:8" customFormat="1" x14ac:dyDescent="0.25">
      <c r="A7167" t="str">
        <f>"701273"</f>
        <v>701273</v>
      </c>
      <c r="B7167" t="s">
        <v>7816</v>
      </c>
      <c r="C7167" t="s">
        <v>147</v>
      </c>
      <c r="D7167" s="21" t="s">
        <v>34</v>
      </c>
      <c r="E7167" s="21" t="s">
        <v>35</v>
      </c>
      <c r="F7167">
        <v>2700005</v>
      </c>
      <c r="G7167" t="s">
        <v>5290</v>
      </c>
      <c r="H7167" s="21">
        <v>1095.67</v>
      </c>
    </row>
    <row r="7168" spans="1:8" customFormat="1" x14ac:dyDescent="0.25">
      <c r="A7168" t="str">
        <f>"7859841"</f>
        <v>7859841</v>
      </c>
      <c r="B7168" t="s">
        <v>8692</v>
      </c>
      <c r="C7168" t="s">
        <v>8693</v>
      </c>
      <c r="D7168" s="21" t="s">
        <v>34</v>
      </c>
      <c r="E7168" s="21" t="s">
        <v>71</v>
      </c>
      <c r="F7168">
        <v>8780568</v>
      </c>
      <c r="G7168" t="s">
        <v>5279</v>
      </c>
      <c r="H7168" s="21">
        <v>1095.67</v>
      </c>
    </row>
    <row r="7169" spans="1:8" customFormat="1" x14ac:dyDescent="0.25">
      <c r="A7169" t="str">
        <f>"7917571"</f>
        <v>7917571</v>
      </c>
      <c r="B7169" t="s">
        <v>2054</v>
      </c>
      <c r="C7169" t="s">
        <v>288</v>
      </c>
      <c r="D7169" s="21" t="s">
        <v>34</v>
      </c>
      <c r="E7169" s="21" t="s">
        <v>35</v>
      </c>
      <c r="F7169">
        <v>10790150</v>
      </c>
      <c r="G7169" t="s">
        <v>6205</v>
      </c>
      <c r="H7169" s="21">
        <v>1095.42</v>
      </c>
    </row>
    <row r="7170" spans="1:8" customFormat="1" x14ac:dyDescent="0.25">
      <c r="A7170" t="str">
        <f>"5931410"</f>
        <v>5931410</v>
      </c>
      <c r="B7170" t="s">
        <v>9022</v>
      </c>
      <c r="C7170" t="s">
        <v>608</v>
      </c>
      <c r="D7170" s="21" t="s">
        <v>34</v>
      </c>
      <c r="E7170" s="21" t="s">
        <v>35</v>
      </c>
      <c r="F7170">
        <v>7590004</v>
      </c>
      <c r="G7170" t="s">
        <v>4816</v>
      </c>
      <c r="H7170" s="21">
        <v>1095.42</v>
      </c>
    </row>
    <row r="7171" spans="1:8" customFormat="1" x14ac:dyDescent="0.25">
      <c r="A7171" t="str">
        <f>"5011059"</f>
        <v>5011059</v>
      </c>
      <c r="B7171" t="s">
        <v>760</v>
      </c>
      <c r="C7171" t="s">
        <v>8427</v>
      </c>
      <c r="D7171" s="21" t="s">
        <v>34</v>
      </c>
      <c r="E7171" s="21" t="s">
        <v>35</v>
      </c>
      <c r="F7171">
        <v>9500063</v>
      </c>
      <c r="G7171" t="s">
        <v>4114</v>
      </c>
      <c r="H7171" s="21">
        <v>1095.17</v>
      </c>
    </row>
    <row r="7172" spans="1:8" customFormat="1" x14ac:dyDescent="0.25">
      <c r="A7172" t="str">
        <f>"634810"</f>
        <v>634810</v>
      </c>
      <c r="B7172" t="s">
        <v>16830</v>
      </c>
      <c r="C7172" t="s">
        <v>631</v>
      </c>
      <c r="D7172" s="21" t="s">
        <v>34</v>
      </c>
      <c r="E7172" s="21" t="s">
        <v>35</v>
      </c>
      <c r="F7172">
        <v>1630249</v>
      </c>
      <c r="G7172" t="s">
        <v>1237</v>
      </c>
      <c r="H7172" s="21">
        <v>1095.17</v>
      </c>
    </row>
    <row r="7173" spans="1:8" customFormat="1" x14ac:dyDescent="0.25">
      <c r="A7173" t="str">
        <f>"08717"</f>
        <v>08717</v>
      </c>
      <c r="B7173" t="s">
        <v>6970</v>
      </c>
      <c r="C7173" t="s">
        <v>415</v>
      </c>
      <c r="D7173" s="21" t="s">
        <v>34</v>
      </c>
      <c r="E7173" s="21" t="s">
        <v>254</v>
      </c>
      <c r="F7173">
        <v>6080014</v>
      </c>
      <c r="G7173" t="s">
        <v>1272</v>
      </c>
      <c r="H7173" s="21">
        <v>1095.17</v>
      </c>
    </row>
    <row r="7174" spans="1:8" customFormat="1" x14ac:dyDescent="0.25">
      <c r="A7174" t="str">
        <f>"447579"</f>
        <v>447579</v>
      </c>
      <c r="B7174" t="s">
        <v>4024</v>
      </c>
      <c r="C7174" t="s">
        <v>147</v>
      </c>
      <c r="D7174" s="21" t="s">
        <v>34</v>
      </c>
      <c r="E7174" s="21" t="s">
        <v>35</v>
      </c>
      <c r="F7174">
        <v>12440073</v>
      </c>
      <c r="G7174" t="s">
        <v>3492</v>
      </c>
      <c r="H7174" s="21">
        <v>1095.17</v>
      </c>
    </row>
    <row r="7175" spans="1:8" customFormat="1" x14ac:dyDescent="0.25">
      <c r="A7175" t="str">
        <f>"7515880"</f>
        <v>7515880</v>
      </c>
      <c r="B7175" t="s">
        <v>6366</v>
      </c>
      <c r="C7175" t="s">
        <v>926</v>
      </c>
      <c r="D7175" s="21" t="s">
        <v>34</v>
      </c>
      <c r="E7175" s="21" t="s">
        <v>35</v>
      </c>
      <c r="F7175">
        <v>3290003</v>
      </c>
      <c r="G7175" t="s">
        <v>3764</v>
      </c>
      <c r="H7175" s="21">
        <v>1095.17</v>
      </c>
    </row>
    <row r="7176" spans="1:8" customFormat="1" x14ac:dyDescent="0.25">
      <c r="A7176" t="str">
        <f>"6212158"</f>
        <v>6212158</v>
      </c>
      <c r="B7176" t="s">
        <v>6984</v>
      </c>
      <c r="C7176" t="s">
        <v>328</v>
      </c>
      <c r="D7176" s="21" t="s">
        <v>34</v>
      </c>
      <c r="E7176" s="21" t="s">
        <v>71</v>
      </c>
      <c r="F7176">
        <v>7620176</v>
      </c>
      <c r="G7176" t="s">
        <v>3111</v>
      </c>
      <c r="H7176" s="21">
        <v>1095.17</v>
      </c>
    </row>
    <row r="7177" spans="1:8" customFormat="1" x14ac:dyDescent="0.25">
      <c r="A7177" t="str">
        <f>"2512797"</f>
        <v>2512797</v>
      </c>
      <c r="B7177" t="s">
        <v>8052</v>
      </c>
      <c r="C7177" t="s">
        <v>263</v>
      </c>
      <c r="D7177" s="21" t="s">
        <v>34</v>
      </c>
      <c r="E7177" s="21" t="s">
        <v>71</v>
      </c>
      <c r="F7177">
        <v>2250017</v>
      </c>
      <c r="G7177" t="s">
        <v>521</v>
      </c>
      <c r="H7177" s="21">
        <v>1095.17</v>
      </c>
    </row>
    <row r="7178" spans="1:8" customFormat="1" x14ac:dyDescent="0.25">
      <c r="A7178" t="str">
        <f>"569728"</f>
        <v>569728</v>
      </c>
      <c r="B7178" t="s">
        <v>6938</v>
      </c>
      <c r="C7178" t="s">
        <v>114</v>
      </c>
      <c r="D7178" s="21" t="s">
        <v>34</v>
      </c>
      <c r="E7178" s="21" t="s">
        <v>35</v>
      </c>
      <c r="F7178">
        <v>12440160</v>
      </c>
      <c r="G7178" t="s">
        <v>6939</v>
      </c>
      <c r="H7178" s="21">
        <v>1095.17</v>
      </c>
    </row>
    <row r="7179" spans="1:8" customFormat="1" x14ac:dyDescent="0.25">
      <c r="A7179" t="str">
        <f>"7866239"</f>
        <v>7866239</v>
      </c>
      <c r="B7179" t="s">
        <v>7299</v>
      </c>
      <c r="C7179" t="s">
        <v>2520</v>
      </c>
      <c r="D7179" s="21" t="s">
        <v>34</v>
      </c>
      <c r="E7179" s="21" t="s">
        <v>71</v>
      </c>
      <c r="F7179">
        <v>8780571</v>
      </c>
      <c r="G7179" t="s">
        <v>2336</v>
      </c>
      <c r="H7179" s="21">
        <v>1095.17</v>
      </c>
    </row>
    <row r="7180" spans="1:8" customFormat="1" x14ac:dyDescent="0.25">
      <c r="A7180" t="str">
        <f>"9433"</f>
        <v>9433</v>
      </c>
      <c r="B7180" t="s">
        <v>630</v>
      </c>
      <c r="C7180" t="s">
        <v>43</v>
      </c>
      <c r="D7180" s="21" t="s">
        <v>34</v>
      </c>
      <c r="E7180" s="21" t="s">
        <v>35</v>
      </c>
      <c r="F7180">
        <v>8941460</v>
      </c>
      <c r="G7180" t="s">
        <v>7189</v>
      </c>
      <c r="H7180" s="21">
        <v>1095.05</v>
      </c>
    </row>
    <row r="7181" spans="1:8" customFormat="1" x14ac:dyDescent="0.25">
      <c r="A7181" t="str">
        <f>"9218950"</f>
        <v>9218950</v>
      </c>
      <c r="B7181" t="s">
        <v>6189</v>
      </c>
      <c r="C7181" t="s">
        <v>817</v>
      </c>
      <c r="D7181" s="21" t="s">
        <v>34</v>
      </c>
      <c r="E7181" s="21" t="s">
        <v>35</v>
      </c>
      <c r="F7181">
        <v>8920151</v>
      </c>
      <c r="G7181" t="s">
        <v>1434</v>
      </c>
      <c r="H7181" s="21">
        <v>1095.05</v>
      </c>
    </row>
    <row r="7182" spans="1:8" customFormat="1" x14ac:dyDescent="0.25">
      <c r="A7182" t="str">
        <f>"4922763"</f>
        <v>4922763</v>
      </c>
      <c r="B7182" t="s">
        <v>551</v>
      </c>
      <c r="C7182" t="s">
        <v>198</v>
      </c>
      <c r="D7182" s="21" t="s">
        <v>34</v>
      </c>
      <c r="E7182" s="21" t="s">
        <v>35</v>
      </c>
      <c r="F7182">
        <v>12490032</v>
      </c>
      <c r="G7182" t="s">
        <v>6233</v>
      </c>
      <c r="H7182" s="21">
        <v>1094.92</v>
      </c>
    </row>
    <row r="7183" spans="1:8" customFormat="1" x14ac:dyDescent="0.25">
      <c r="A7183" t="str">
        <f>"331263"</f>
        <v>331263</v>
      </c>
      <c r="B7183" t="s">
        <v>1347</v>
      </c>
      <c r="C7183" t="s">
        <v>415</v>
      </c>
      <c r="D7183" s="21" t="s">
        <v>34</v>
      </c>
      <c r="E7183" s="21" t="s">
        <v>1089</v>
      </c>
      <c r="F7183">
        <v>10330013</v>
      </c>
      <c r="G7183" t="s">
        <v>613</v>
      </c>
      <c r="H7183" s="21">
        <v>1094.8</v>
      </c>
    </row>
    <row r="7184" spans="1:8" customFormat="1" x14ac:dyDescent="0.25">
      <c r="A7184" t="str">
        <f>"188024"</f>
        <v>188024</v>
      </c>
      <c r="B7184" t="s">
        <v>4801</v>
      </c>
      <c r="C7184" t="s">
        <v>55</v>
      </c>
      <c r="D7184" s="21" t="s">
        <v>34</v>
      </c>
      <c r="E7184" s="21" t="s">
        <v>35</v>
      </c>
      <c r="F7184">
        <v>4180721</v>
      </c>
      <c r="G7184" t="s">
        <v>6330</v>
      </c>
      <c r="H7184" s="21">
        <v>1094.79</v>
      </c>
    </row>
    <row r="7185" spans="1:8" customFormat="1" x14ac:dyDescent="0.25">
      <c r="A7185" t="str">
        <f>"278370"</f>
        <v>278370</v>
      </c>
      <c r="B7185" t="s">
        <v>6732</v>
      </c>
      <c r="C7185" t="s">
        <v>288</v>
      </c>
      <c r="D7185" s="21" t="s">
        <v>34</v>
      </c>
      <c r="E7185" s="21" t="s">
        <v>35</v>
      </c>
      <c r="F7185">
        <v>9270187</v>
      </c>
      <c r="G7185" t="s">
        <v>6733</v>
      </c>
      <c r="H7185" s="21">
        <v>1094.68</v>
      </c>
    </row>
    <row r="7186" spans="1:8" customFormat="1" x14ac:dyDescent="0.25">
      <c r="A7186" t="str">
        <f>"311093"</f>
        <v>311093</v>
      </c>
      <c r="B7186" t="s">
        <v>7272</v>
      </c>
      <c r="C7186" t="s">
        <v>5861</v>
      </c>
      <c r="D7186" s="21" t="s">
        <v>34</v>
      </c>
      <c r="E7186" s="21" t="s">
        <v>71</v>
      </c>
      <c r="F7186">
        <v>11310076</v>
      </c>
      <c r="G7186" t="s">
        <v>5782</v>
      </c>
      <c r="H7186" s="21">
        <v>1094.67</v>
      </c>
    </row>
    <row r="7187" spans="1:8" customFormat="1" x14ac:dyDescent="0.25">
      <c r="A7187" t="str">
        <f>"38604"</f>
        <v>38604</v>
      </c>
      <c r="B7187" t="s">
        <v>8246</v>
      </c>
      <c r="C7187" t="s">
        <v>239</v>
      </c>
      <c r="D7187" s="21" t="s">
        <v>34</v>
      </c>
      <c r="E7187" s="21" t="s">
        <v>254</v>
      </c>
      <c r="F7187">
        <v>1380290</v>
      </c>
      <c r="G7187" t="s">
        <v>619</v>
      </c>
      <c r="H7187" s="21">
        <v>1094.67</v>
      </c>
    </row>
    <row r="7188" spans="1:8" customFormat="1" x14ac:dyDescent="0.25">
      <c r="A7188" t="str">
        <f>"6215282"</f>
        <v>6215282</v>
      </c>
      <c r="B7188" t="s">
        <v>7396</v>
      </c>
      <c r="C7188" t="s">
        <v>239</v>
      </c>
      <c r="D7188" s="21" t="s">
        <v>34</v>
      </c>
      <c r="E7188" s="21" t="s">
        <v>254</v>
      </c>
      <c r="F7188">
        <v>7620017</v>
      </c>
      <c r="G7188" t="s">
        <v>6559</v>
      </c>
      <c r="H7188" s="21">
        <v>1094.67</v>
      </c>
    </row>
    <row r="7189" spans="1:8" customFormat="1" x14ac:dyDescent="0.25">
      <c r="A7189" t="str">
        <f>"1618"</f>
        <v>1618</v>
      </c>
      <c r="B7189" t="s">
        <v>1422</v>
      </c>
      <c r="C7189" t="s">
        <v>415</v>
      </c>
      <c r="D7189" s="21" t="s">
        <v>34</v>
      </c>
      <c r="E7189" s="21" t="s">
        <v>254</v>
      </c>
      <c r="F7189">
        <v>10160003</v>
      </c>
      <c r="G7189" t="s">
        <v>4692</v>
      </c>
      <c r="H7189" s="21">
        <v>1094.67</v>
      </c>
    </row>
    <row r="7190" spans="1:8" customFormat="1" x14ac:dyDescent="0.25">
      <c r="A7190" t="str">
        <f>"168582"</f>
        <v>168582</v>
      </c>
      <c r="B7190" t="s">
        <v>3782</v>
      </c>
      <c r="C7190" t="s">
        <v>43</v>
      </c>
      <c r="D7190" s="21" t="s">
        <v>34</v>
      </c>
      <c r="E7190" s="21" t="s">
        <v>35</v>
      </c>
      <c r="F7190">
        <v>10160018</v>
      </c>
      <c r="G7190" t="s">
        <v>6900</v>
      </c>
      <c r="H7190" s="21">
        <v>1094.67</v>
      </c>
    </row>
    <row r="7191" spans="1:8" customFormat="1" x14ac:dyDescent="0.25">
      <c r="A7191" t="str">
        <f>"9122101"</f>
        <v>9122101</v>
      </c>
      <c r="B7191" t="s">
        <v>2438</v>
      </c>
      <c r="C7191" t="s">
        <v>926</v>
      </c>
      <c r="D7191" s="21" t="s">
        <v>34</v>
      </c>
      <c r="E7191" s="21" t="s">
        <v>71</v>
      </c>
      <c r="F7191">
        <v>8911064</v>
      </c>
      <c r="G7191" t="s">
        <v>2209</v>
      </c>
      <c r="H7191" s="21">
        <v>1094.67</v>
      </c>
    </row>
    <row r="7192" spans="1:8" customFormat="1" x14ac:dyDescent="0.25">
      <c r="A7192" t="str">
        <f>"3519979"</f>
        <v>3519979</v>
      </c>
      <c r="B7192" t="s">
        <v>7972</v>
      </c>
      <c r="C7192" t="s">
        <v>415</v>
      </c>
      <c r="D7192" s="21" t="s">
        <v>34</v>
      </c>
      <c r="E7192" s="21" t="s">
        <v>71</v>
      </c>
      <c r="F7192">
        <v>3350209</v>
      </c>
      <c r="G7192" t="s">
        <v>3023</v>
      </c>
      <c r="H7192" s="21">
        <v>1094.67</v>
      </c>
    </row>
    <row r="7193" spans="1:8" customFormat="1" x14ac:dyDescent="0.25">
      <c r="A7193" t="str">
        <f>"3336055"</f>
        <v>3336055</v>
      </c>
      <c r="B7193" t="s">
        <v>1653</v>
      </c>
      <c r="C7193" t="s">
        <v>262</v>
      </c>
      <c r="D7193" s="21" t="s">
        <v>34</v>
      </c>
      <c r="E7193" s="21" t="s">
        <v>35</v>
      </c>
      <c r="F7193">
        <v>6100021</v>
      </c>
      <c r="G7193" t="s">
        <v>7789</v>
      </c>
      <c r="H7193" s="21">
        <v>1094.67</v>
      </c>
    </row>
    <row r="7194" spans="1:8" customFormat="1" x14ac:dyDescent="0.25">
      <c r="A7194" t="str">
        <f>"429306"</f>
        <v>429306</v>
      </c>
      <c r="B7194" t="s">
        <v>11732</v>
      </c>
      <c r="C7194" t="s">
        <v>2529</v>
      </c>
      <c r="D7194" s="21" t="s">
        <v>34</v>
      </c>
      <c r="E7194" s="21" t="s">
        <v>71</v>
      </c>
      <c r="F7194">
        <v>1420014</v>
      </c>
      <c r="G7194" t="s">
        <v>3864</v>
      </c>
      <c r="H7194" s="21">
        <v>1094.42</v>
      </c>
    </row>
    <row r="7195" spans="1:8" customFormat="1" x14ac:dyDescent="0.25">
      <c r="A7195" t="str">
        <f>"4518619"</f>
        <v>4518619</v>
      </c>
      <c r="B7195" t="s">
        <v>1525</v>
      </c>
      <c r="C7195" t="s">
        <v>5701</v>
      </c>
      <c r="D7195" s="21" t="s">
        <v>34</v>
      </c>
      <c r="E7195" s="21" t="s">
        <v>71</v>
      </c>
      <c r="F7195">
        <v>4450417</v>
      </c>
      <c r="G7195" t="s">
        <v>2284</v>
      </c>
      <c r="H7195" s="21">
        <v>1094.42</v>
      </c>
    </row>
    <row r="7196" spans="1:8" customFormat="1" x14ac:dyDescent="0.25">
      <c r="A7196" t="str">
        <f>"9123756"</f>
        <v>9123756</v>
      </c>
      <c r="B7196" t="s">
        <v>7646</v>
      </c>
      <c r="C7196" t="s">
        <v>415</v>
      </c>
      <c r="D7196" s="21" t="s">
        <v>34</v>
      </c>
      <c r="E7196" s="21" t="s">
        <v>254</v>
      </c>
      <c r="F7196">
        <v>8910077</v>
      </c>
      <c r="G7196" t="s">
        <v>1380</v>
      </c>
      <c r="H7196" s="21">
        <v>1094.42</v>
      </c>
    </row>
    <row r="7197" spans="1:8" customFormat="1" x14ac:dyDescent="0.25">
      <c r="A7197" t="str">
        <f>"4412010"</f>
        <v>4412010</v>
      </c>
      <c r="B7197" t="s">
        <v>7693</v>
      </c>
      <c r="C7197" t="s">
        <v>33</v>
      </c>
      <c r="D7197" s="21" t="s">
        <v>34</v>
      </c>
      <c r="E7197" s="21" t="s">
        <v>35</v>
      </c>
      <c r="F7197">
        <v>12440083</v>
      </c>
      <c r="G7197" t="s">
        <v>7694</v>
      </c>
      <c r="H7197" s="21">
        <v>1094.17</v>
      </c>
    </row>
    <row r="7198" spans="1:8" customFormat="1" x14ac:dyDescent="0.25">
      <c r="A7198" t="str">
        <f>"74347"</f>
        <v>74347</v>
      </c>
      <c r="B7198" t="s">
        <v>7802</v>
      </c>
      <c r="C7198" t="s">
        <v>236</v>
      </c>
      <c r="D7198" s="21" t="s">
        <v>34</v>
      </c>
      <c r="E7198" s="21" t="s">
        <v>71</v>
      </c>
      <c r="F7198">
        <v>1740038</v>
      </c>
      <c r="G7198" t="s">
        <v>26517</v>
      </c>
      <c r="H7198" s="21">
        <v>1094.17</v>
      </c>
    </row>
    <row r="7199" spans="1:8" customFormat="1" x14ac:dyDescent="0.25">
      <c r="A7199" t="str">
        <f>"592165"</f>
        <v>592165</v>
      </c>
      <c r="B7199" t="s">
        <v>3312</v>
      </c>
      <c r="C7199" t="s">
        <v>2520</v>
      </c>
      <c r="D7199" s="21" t="s">
        <v>34</v>
      </c>
      <c r="E7199" s="21" t="s">
        <v>1089</v>
      </c>
      <c r="F7199">
        <v>7590392</v>
      </c>
      <c r="G7199" t="s">
        <v>154</v>
      </c>
      <c r="H7199" s="21">
        <v>1094.17</v>
      </c>
    </row>
    <row r="7200" spans="1:8" customFormat="1" x14ac:dyDescent="0.25">
      <c r="A7200" t="str">
        <f>"789922"</f>
        <v>789922</v>
      </c>
      <c r="B7200" t="s">
        <v>26979</v>
      </c>
      <c r="C7200" t="s">
        <v>1119</v>
      </c>
      <c r="D7200" s="21" t="s">
        <v>34</v>
      </c>
      <c r="E7200" s="21" t="s">
        <v>35</v>
      </c>
      <c r="F7200">
        <v>8780496</v>
      </c>
      <c r="G7200" t="s">
        <v>2477</v>
      </c>
      <c r="H7200" s="21">
        <v>1094.17</v>
      </c>
    </row>
    <row r="7201" spans="1:8" customFormat="1" x14ac:dyDescent="0.25">
      <c r="A7201" t="str">
        <f>"807247"</f>
        <v>807247</v>
      </c>
      <c r="B7201" t="s">
        <v>6490</v>
      </c>
      <c r="C7201" t="s">
        <v>576</v>
      </c>
      <c r="D7201" s="21" t="s">
        <v>34</v>
      </c>
      <c r="E7201" s="21" t="s">
        <v>35</v>
      </c>
      <c r="F7201">
        <v>7800004</v>
      </c>
      <c r="G7201" t="s">
        <v>748</v>
      </c>
      <c r="H7201" s="21">
        <v>1094.17</v>
      </c>
    </row>
    <row r="7202" spans="1:8" customFormat="1" x14ac:dyDescent="0.25">
      <c r="A7202" t="str">
        <f>"93728"</f>
        <v>93728</v>
      </c>
      <c r="B7202" t="s">
        <v>6919</v>
      </c>
      <c r="C7202" t="s">
        <v>6920</v>
      </c>
      <c r="D7202" s="21" t="s">
        <v>34</v>
      </c>
      <c r="E7202" s="21" t="s">
        <v>71</v>
      </c>
      <c r="F7202">
        <v>8930113</v>
      </c>
      <c r="G7202" t="s">
        <v>368</v>
      </c>
      <c r="H7202" s="21">
        <v>1094.17</v>
      </c>
    </row>
    <row r="7203" spans="1:8" customFormat="1" x14ac:dyDescent="0.25">
      <c r="A7203" t="str">
        <f>"9131255"</f>
        <v>9131255</v>
      </c>
      <c r="B7203" t="s">
        <v>497</v>
      </c>
      <c r="C7203" t="s">
        <v>1782</v>
      </c>
      <c r="D7203" s="21" t="s">
        <v>34</v>
      </c>
      <c r="E7203" s="21" t="s">
        <v>71</v>
      </c>
      <c r="F7203">
        <v>8910434</v>
      </c>
      <c r="G7203" t="s">
        <v>681</v>
      </c>
      <c r="H7203" s="21">
        <v>1094.17</v>
      </c>
    </row>
    <row r="7204" spans="1:8" customFormat="1" x14ac:dyDescent="0.25">
      <c r="A7204" t="str">
        <f>"886335"</f>
        <v>886335</v>
      </c>
      <c r="B7204" t="s">
        <v>2765</v>
      </c>
      <c r="C7204" t="s">
        <v>204</v>
      </c>
      <c r="D7204" s="21" t="s">
        <v>34</v>
      </c>
      <c r="E7204" s="21" t="s">
        <v>71</v>
      </c>
      <c r="F7204">
        <v>6880002</v>
      </c>
      <c r="G7204" t="s">
        <v>501</v>
      </c>
      <c r="H7204" s="21">
        <v>1093.92</v>
      </c>
    </row>
    <row r="7205" spans="1:8" customFormat="1" x14ac:dyDescent="0.25">
      <c r="A7205" t="str">
        <f>"936554"</f>
        <v>936554</v>
      </c>
      <c r="B7205" t="s">
        <v>6375</v>
      </c>
      <c r="C7205" t="s">
        <v>174</v>
      </c>
      <c r="D7205" s="21" t="s">
        <v>34</v>
      </c>
      <c r="E7205" s="21" t="s">
        <v>35</v>
      </c>
      <c r="F7205">
        <v>8931358</v>
      </c>
      <c r="G7205" t="s">
        <v>560</v>
      </c>
      <c r="H7205" s="21">
        <v>1093.8</v>
      </c>
    </row>
    <row r="7206" spans="1:8" customFormat="1" x14ac:dyDescent="0.25">
      <c r="A7206" t="str">
        <f>"6213637"</f>
        <v>6213637</v>
      </c>
      <c r="B7206" t="s">
        <v>6782</v>
      </c>
      <c r="C7206" t="s">
        <v>263</v>
      </c>
      <c r="D7206" s="21" t="s">
        <v>34</v>
      </c>
      <c r="E7206" s="21" t="s">
        <v>35</v>
      </c>
      <c r="F7206">
        <v>7620104</v>
      </c>
      <c r="G7206" t="s">
        <v>635</v>
      </c>
      <c r="H7206" s="21">
        <v>1093.68</v>
      </c>
    </row>
    <row r="7207" spans="1:8" customFormat="1" x14ac:dyDescent="0.25">
      <c r="A7207" t="str">
        <f>"5923962"</f>
        <v>5923962</v>
      </c>
      <c r="B7207" t="s">
        <v>7380</v>
      </c>
      <c r="C7207" t="s">
        <v>121</v>
      </c>
      <c r="D7207" s="21" t="s">
        <v>34</v>
      </c>
      <c r="E7207" s="21" t="s">
        <v>35</v>
      </c>
      <c r="F7207">
        <v>7590162</v>
      </c>
      <c r="G7207" t="s">
        <v>7211</v>
      </c>
      <c r="H7207" s="21">
        <v>1093.67</v>
      </c>
    </row>
    <row r="7208" spans="1:8" customFormat="1" x14ac:dyDescent="0.25">
      <c r="A7208" t="str">
        <f>"4429811"</f>
        <v>4429811</v>
      </c>
      <c r="B7208" t="s">
        <v>185</v>
      </c>
      <c r="C7208" t="s">
        <v>8106</v>
      </c>
      <c r="D7208" s="21" t="s">
        <v>34</v>
      </c>
      <c r="E7208" s="21" t="s">
        <v>35</v>
      </c>
      <c r="F7208">
        <v>12440166</v>
      </c>
      <c r="G7208" t="s">
        <v>4031</v>
      </c>
      <c r="H7208" s="21">
        <v>1093.67</v>
      </c>
    </row>
    <row r="7209" spans="1:8" customFormat="1" x14ac:dyDescent="0.25">
      <c r="A7209" t="str">
        <f>"2922753"</f>
        <v>2922753</v>
      </c>
      <c r="B7209" t="s">
        <v>1586</v>
      </c>
      <c r="C7209" t="s">
        <v>119</v>
      </c>
      <c r="D7209" s="21" t="s">
        <v>34</v>
      </c>
      <c r="E7209" s="21" t="s">
        <v>35</v>
      </c>
      <c r="F7209">
        <v>12440030</v>
      </c>
      <c r="G7209" t="s">
        <v>5524</v>
      </c>
      <c r="H7209" s="21">
        <v>1093.67</v>
      </c>
    </row>
    <row r="7210" spans="1:8" customFormat="1" x14ac:dyDescent="0.25">
      <c r="A7210" t="str">
        <f>"7718130"</f>
        <v>7718130</v>
      </c>
      <c r="B7210" t="s">
        <v>8582</v>
      </c>
      <c r="C7210" t="s">
        <v>1588</v>
      </c>
      <c r="D7210" s="21" t="s">
        <v>34</v>
      </c>
      <c r="E7210" s="21" t="s">
        <v>71</v>
      </c>
      <c r="F7210">
        <v>8771154</v>
      </c>
      <c r="G7210" t="s">
        <v>3625</v>
      </c>
      <c r="H7210" s="21">
        <v>1093.67</v>
      </c>
    </row>
    <row r="7211" spans="1:8" customFormat="1" x14ac:dyDescent="0.25">
      <c r="A7211" t="str">
        <f>"57809"</f>
        <v>57809</v>
      </c>
      <c r="B7211" t="s">
        <v>5534</v>
      </c>
      <c r="C7211" t="s">
        <v>40</v>
      </c>
      <c r="D7211" s="21" t="s">
        <v>34</v>
      </c>
      <c r="E7211" s="21" t="s">
        <v>254</v>
      </c>
      <c r="F7211">
        <v>6570027</v>
      </c>
      <c r="G7211" t="s">
        <v>395</v>
      </c>
      <c r="H7211" s="21">
        <v>1093.55</v>
      </c>
    </row>
    <row r="7212" spans="1:8" customFormat="1" x14ac:dyDescent="0.25">
      <c r="A7212" t="str">
        <f>"6718368"</f>
        <v>6718368</v>
      </c>
      <c r="B7212" t="s">
        <v>587</v>
      </c>
      <c r="C7212" t="s">
        <v>415</v>
      </c>
      <c r="D7212" s="21" t="s">
        <v>34</v>
      </c>
      <c r="E7212" s="21" t="s">
        <v>71</v>
      </c>
      <c r="F7212">
        <v>6670216</v>
      </c>
      <c r="G7212" t="s">
        <v>2194</v>
      </c>
      <c r="H7212" s="21">
        <v>1093.42</v>
      </c>
    </row>
    <row r="7213" spans="1:8" customFormat="1" x14ac:dyDescent="0.25">
      <c r="A7213" t="str">
        <f>"591447"</f>
        <v>591447</v>
      </c>
      <c r="B7213" t="s">
        <v>7981</v>
      </c>
      <c r="C7213" t="s">
        <v>415</v>
      </c>
      <c r="D7213" s="21" t="s">
        <v>34</v>
      </c>
      <c r="E7213" s="21" t="s">
        <v>71</v>
      </c>
      <c r="F7213">
        <v>7590106</v>
      </c>
      <c r="G7213" t="s">
        <v>4790</v>
      </c>
      <c r="H7213" s="21">
        <v>1093.42</v>
      </c>
    </row>
    <row r="7214" spans="1:8" customFormat="1" x14ac:dyDescent="0.25">
      <c r="A7214" t="str">
        <f>"1716321"</f>
        <v>1716321</v>
      </c>
      <c r="B7214" t="s">
        <v>8566</v>
      </c>
      <c r="C7214" t="s">
        <v>204</v>
      </c>
      <c r="D7214" s="21" t="s">
        <v>34</v>
      </c>
      <c r="E7214" s="21" t="s">
        <v>35</v>
      </c>
      <c r="F7214">
        <v>10170064</v>
      </c>
      <c r="G7214" t="s">
        <v>1900</v>
      </c>
      <c r="H7214" s="21">
        <v>1093.3</v>
      </c>
    </row>
    <row r="7215" spans="1:8" customFormat="1" x14ac:dyDescent="0.25">
      <c r="A7215" t="str">
        <f>"035635"</f>
        <v>035635</v>
      </c>
      <c r="B7215" t="s">
        <v>8272</v>
      </c>
      <c r="C7215" t="s">
        <v>249</v>
      </c>
      <c r="D7215" s="21" t="s">
        <v>34</v>
      </c>
      <c r="E7215" s="21" t="s">
        <v>71</v>
      </c>
      <c r="F7215">
        <v>1030082</v>
      </c>
      <c r="G7215" t="s">
        <v>26828</v>
      </c>
      <c r="H7215" s="21">
        <v>1093.17</v>
      </c>
    </row>
    <row r="7216" spans="1:8" customFormat="1" x14ac:dyDescent="0.25">
      <c r="A7216" t="str">
        <f>"49432"</f>
        <v>49432</v>
      </c>
      <c r="B7216" t="s">
        <v>1247</v>
      </c>
      <c r="C7216" t="s">
        <v>3073</v>
      </c>
      <c r="D7216" s="21" t="s">
        <v>34</v>
      </c>
      <c r="E7216" s="21" t="s">
        <v>254</v>
      </c>
      <c r="F7216">
        <v>12490132</v>
      </c>
      <c r="G7216" t="s">
        <v>1125</v>
      </c>
      <c r="H7216" s="21">
        <v>1093.17</v>
      </c>
    </row>
    <row r="7217" spans="1:8" customFormat="1" x14ac:dyDescent="0.25">
      <c r="A7217" t="str">
        <f>"5926124"</f>
        <v>5926124</v>
      </c>
      <c r="B7217" t="s">
        <v>8066</v>
      </c>
      <c r="C7217" t="s">
        <v>8067</v>
      </c>
      <c r="D7217" s="21" t="s">
        <v>34</v>
      </c>
      <c r="E7217" s="21" t="s">
        <v>71</v>
      </c>
      <c r="F7217">
        <v>4370002</v>
      </c>
      <c r="G7217" t="s">
        <v>112</v>
      </c>
      <c r="H7217" s="21">
        <v>1093.17</v>
      </c>
    </row>
    <row r="7218" spans="1:8" customFormat="1" x14ac:dyDescent="0.25">
      <c r="A7218" t="str">
        <f>"862470"</f>
        <v>862470</v>
      </c>
      <c r="B7218" t="s">
        <v>2835</v>
      </c>
      <c r="C7218" t="s">
        <v>288</v>
      </c>
      <c r="D7218" s="21" t="s">
        <v>34</v>
      </c>
      <c r="E7218" s="21" t="s">
        <v>71</v>
      </c>
      <c r="F7218">
        <v>10860016</v>
      </c>
      <c r="G7218" t="s">
        <v>3289</v>
      </c>
      <c r="H7218" s="21">
        <v>1092.93</v>
      </c>
    </row>
    <row r="7219" spans="1:8" customFormat="1" x14ac:dyDescent="0.25">
      <c r="A7219" t="str">
        <f>"5975583"</f>
        <v>5975583</v>
      </c>
      <c r="B7219" t="s">
        <v>11748</v>
      </c>
      <c r="C7219" t="s">
        <v>249</v>
      </c>
      <c r="D7219" s="21" t="s">
        <v>34</v>
      </c>
      <c r="E7219" s="21" t="s">
        <v>71</v>
      </c>
      <c r="F7219">
        <v>7590288</v>
      </c>
      <c r="G7219" t="s">
        <v>6972</v>
      </c>
      <c r="H7219" s="21">
        <v>1092.92</v>
      </c>
    </row>
    <row r="7220" spans="1:8" customFormat="1" x14ac:dyDescent="0.25">
      <c r="A7220" t="str">
        <f>"7624011"</f>
        <v>7624011</v>
      </c>
      <c r="B7220" t="s">
        <v>623</v>
      </c>
      <c r="C7220" t="s">
        <v>1782</v>
      </c>
      <c r="D7220" s="21" t="s">
        <v>34</v>
      </c>
      <c r="E7220" s="21" t="s">
        <v>35</v>
      </c>
      <c r="F7220">
        <v>9760034</v>
      </c>
      <c r="G7220" t="s">
        <v>1242</v>
      </c>
      <c r="H7220" s="21">
        <v>1092.92</v>
      </c>
    </row>
    <row r="7221" spans="1:8" customFormat="1" x14ac:dyDescent="0.25">
      <c r="A7221" t="str">
        <f>"368266"</f>
        <v>368266</v>
      </c>
      <c r="B7221" t="s">
        <v>14516</v>
      </c>
      <c r="C7221" t="s">
        <v>87</v>
      </c>
      <c r="D7221" s="21" t="s">
        <v>34</v>
      </c>
      <c r="E7221" s="21" t="s">
        <v>35</v>
      </c>
      <c r="F7221">
        <v>4360341</v>
      </c>
      <c r="G7221" t="s">
        <v>4912</v>
      </c>
      <c r="H7221" s="21">
        <v>1092.92</v>
      </c>
    </row>
    <row r="7222" spans="1:8" customFormat="1" x14ac:dyDescent="0.25">
      <c r="A7222" t="str">
        <f>"3714308"</f>
        <v>3714308</v>
      </c>
      <c r="B7222" t="s">
        <v>3406</v>
      </c>
      <c r="C7222" t="s">
        <v>130</v>
      </c>
      <c r="D7222" s="21" t="s">
        <v>34</v>
      </c>
      <c r="E7222" s="21" t="s">
        <v>71</v>
      </c>
      <c r="F7222">
        <v>4370709</v>
      </c>
      <c r="G7222" t="s">
        <v>5714</v>
      </c>
      <c r="H7222" s="21">
        <v>1092.92</v>
      </c>
    </row>
    <row r="7223" spans="1:8" customFormat="1" x14ac:dyDescent="0.25">
      <c r="A7223" t="str">
        <f>"371324"</f>
        <v>371324</v>
      </c>
      <c r="B7223" t="s">
        <v>4527</v>
      </c>
      <c r="C7223" t="s">
        <v>33</v>
      </c>
      <c r="D7223" s="21" t="s">
        <v>34</v>
      </c>
      <c r="E7223" s="21" t="s">
        <v>35</v>
      </c>
      <c r="F7223">
        <v>2210052</v>
      </c>
      <c r="G7223" t="s">
        <v>1070</v>
      </c>
      <c r="H7223" s="21">
        <v>1092.67</v>
      </c>
    </row>
    <row r="7224" spans="1:8" customFormat="1" x14ac:dyDescent="0.25">
      <c r="A7224" t="str">
        <f>"943459"</f>
        <v>943459</v>
      </c>
      <c r="B7224" t="s">
        <v>26980</v>
      </c>
      <c r="C7224" t="s">
        <v>1665</v>
      </c>
      <c r="D7224" s="21" t="s">
        <v>34</v>
      </c>
      <c r="E7224" s="21" t="s">
        <v>254</v>
      </c>
      <c r="F7224">
        <v>8940459</v>
      </c>
      <c r="G7224" t="s">
        <v>743</v>
      </c>
      <c r="H7224" s="21">
        <v>1092.67</v>
      </c>
    </row>
    <row r="7225" spans="1:8" customFormat="1" x14ac:dyDescent="0.25">
      <c r="A7225" t="str">
        <f>"4919256"</f>
        <v>4919256</v>
      </c>
      <c r="B7225" t="s">
        <v>6729</v>
      </c>
      <c r="C7225" t="s">
        <v>2479</v>
      </c>
      <c r="D7225" s="21" t="s">
        <v>34</v>
      </c>
      <c r="E7225" s="21" t="s">
        <v>1089</v>
      </c>
      <c r="F7225">
        <v>12490003</v>
      </c>
      <c r="G7225" t="s">
        <v>7348</v>
      </c>
      <c r="H7225" s="21">
        <v>1092.67</v>
      </c>
    </row>
    <row r="7226" spans="1:8" customFormat="1" x14ac:dyDescent="0.25">
      <c r="A7226" t="str">
        <f>"3527144"</f>
        <v>3527144</v>
      </c>
      <c r="B7226" t="s">
        <v>8113</v>
      </c>
      <c r="C7226" t="s">
        <v>60</v>
      </c>
      <c r="D7226" s="21" t="s">
        <v>34</v>
      </c>
      <c r="E7226" s="21" t="s">
        <v>35</v>
      </c>
      <c r="F7226">
        <v>3350060</v>
      </c>
      <c r="G7226" t="s">
        <v>38</v>
      </c>
      <c r="H7226" s="21">
        <v>1092.67</v>
      </c>
    </row>
    <row r="7227" spans="1:8" customFormat="1" x14ac:dyDescent="0.25">
      <c r="A7227" t="str">
        <f>"6710729"</f>
        <v>6710729</v>
      </c>
      <c r="B7227" t="s">
        <v>7232</v>
      </c>
      <c r="C7227" t="s">
        <v>8639</v>
      </c>
      <c r="D7227" s="21" t="s">
        <v>34</v>
      </c>
      <c r="E7227" s="21" t="s">
        <v>35</v>
      </c>
      <c r="F7227">
        <v>6670003</v>
      </c>
      <c r="G7227" t="s">
        <v>1520</v>
      </c>
      <c r="H7227" s="21">
        <v>1092.67</v>
      </c>
    </row>
    <row r="7228" spans="1:8" customFormat="1" x14ac:dyDescent="0.25">
      <c r="A7228" t="str">
        <f>"9765232"</f>
        <v>9765232</v>
      </c>
      <c r="B7228" t="s">
        <v>10503</v>
      </c>
      <c r="C7228" t="s">
        <v>114</v>
      </c>
      <c r="D7228" s="21" t="s">
        <v>34</v>
      </c>
      <c r="E7228" s="21" t="s">
        <v>35</v>
      </c>
      <c r="F7228">
        <v>7600004</v>
      </c>
      <c r="G7228" t="s">
        <v>848</v>
      </c>
      <c r="H7228" s="21">
        <v>1092.67</v>
      </c>
    </row>
    <row r="7229" spans="1:8" customFormat="1" x14ac:dyDescent="0.25">
      <c r="A7229" t="str">
        <f>"034002"</f>
        <v>034002</v>
      </c>
      <c r="B7229" t="s">
        <v>7675</v>
      </c>
      <c r="C7229" t="s">
        <v>415</v>
      </c>
      <c r="D7229" s="21" t="s">
        <v>34</v>
      </c>
      <c r="E7229" s="21" t="s">
        <v>71</v>
      </c>
      <c r="F7229">
        <v>1030300</v>
      </c>
      <c r="G7229" t="s">
        <v>7676</v>
      </c>
      <c r="H7229" s="21">
        <v>1092.67</v>
      </c>
    </row>
    <row r="7230" spans="1:8" customFormat="1" x14ac:dyDescent="0.25">
      <c r="A7230" t="str">
        <f>"7620784"</f>
        <v>7620784</v>
      </c>
      <c r="B7230" t="s">
        <v>8348</v>
      </c>
      <c r="C7230" t="s">
        <v>62</v>
      </c>
      <c r="D7230" s="21" t="s">
        <v>34</v>
      </c>
      <c r="E7230" s="21" t="s">
        <v>35</v>
      </c>
      <c r="F7230">
        <v>9760458</v>
      </c>
      <c r="G7230" t="s">
        <v>3594</v>
      </c>
      <c r="H7230" s="21">
        <v>1092.67</v>
      </c>
    </row>
    <row r="7231" spans="1:8" customFormat="1" x14ac:dyDescent="0.25">
      <c r="A7231" t="str">
        <f>"873024"</f>
        <v>873024</v>
      </c>
      <c r="B7231" t="s">
        <v>13229</v>
      </c>
      <c r="C7231" t="s">
        <v>486</v>
      </c>
      <c r="D7231" s="21" t="s">
        <v>34</v>
      </c>
      <c r="E7231" s="21" t="s">
        <v>35</v>
      </c>
      <c r="F7231">
        <v>10870028</v>
      </c>
      <c r="G7231" t="s">
        <v>2689</v>
      </c>
      <c r="H7231" s="21">
        <v>1092.55</v>
      </c>
    </row>
    <row r="7232" spans="1:8" customFormat="1" x14ac:dyDescent="0.25">
      <c r="A7232" t="str">
        <f>"844446"</f>
        <v>844446</v>
      </c>
      <c r="B7232" t="s">
        <v>3072</v>
      </c>
      <c r="C7232" t="s">
        <v>202</v>
      </c>
      <c r="D7232" s="21" t="s">
        <v>34</v>
      </c>
      <c r="E7232" s="21" t="s">
        <v>71</v>
      </c>
      <c r="F7232">
        <v>13840021</v>
      </c>
      <c r="G7232" t="s">
        <v>3946</v>
      </c>
      <c r="H7232" s="21">
        <v>1092.42</v>
      </c>
    </row>
    <row r="7233" spans="1:8" customFormat="1" x14ac:dyDescent="0.25">
      <c r="A7233" t="str">
        <f>"087337"</f>
        <v>087337</v>
      </c>
      <c r="B7233" t="s">
        <v>7537</v>
      </c>
      <c r="C7233" t="s">
        <v>269</v>
      </c>
      <c r="D7233" s="21" t="s">
        <v>34</v>
      </c>
      <c r="E7233" s="21" t="s">
        <v>254</v>
      </c>
      <c r="F7233">
        <v>6080082</v>
      </c>
      <c r="G7233" t="s">
        <v>2401</v>
      </c>
      <c r="H7233" s="21">
        <v>1092.3</v>
      </c>
    </row>
    <row r="7234" spans="1:8" customFormat="1" x14ac:dyDescent="0.25">
      <c r="A7234" t="str">
        <f>"949812"</f>
        <v>949812</v>
      </c>
      <c r="B7234" t="s">
        <v>8844</v>
      </c>
      <c r="C7234" t="s">
        <v>269</v>
      </c>
      <c r="D7234" s="21" t="s">
        <v>34</v>
      </c>
      <c r="E7234" s="21" t="s">
        <v>35</v>
      </c>
      <c r="F7234">
        <v>11310077</v>
      </c>
      <c r="G7234" t="s">
        <v>5364</v>
      </c>
      <c r="H7234" s="21">
        <v>1092.17</v>
      </c>
    </row>
    <row r="7235" spans="1:8" customFormat="1" x14ac:dyDescent="0.25">
      <c r="A7235" t="str">
        <f>"87856"</f>
        <v>87856</v>
      </c>
      <c r="B7235" t="s">
        <v>7950</v>
      </c>
      <c r="C7235" t="s">
        <v>144</v>
      </c>
      <c r="D7235" s="21" t="s">
        <v>34</v>
      </c>
      <c r="E7235" s="21" t="s">
        <v>35</v>
      </c>
      <c r="F7235">
        <v>10870081</v>
      </c>
      <c r="G7235" t="s">
        <v>6698</v>
      </c>
      <c r="H7235" s="21">
        <v>1092.17</v>
      </c>
    </row>
    <row r="7236" spans="1:8" customFormat="1" x14ac:dyDescent="0.25">
      <c r="A7236" t="str">
        <f>"5938754"</f>
        <v>5938754</v>
      </c>
      <c r="B7236" t="s">
        <v>6119</v>
      </c>
      <c r="C7236" t="s">
        <v>144</v>
      </c>
      <c r="D7236" s="21" t="s">
        <v>34</v>
      </c>
      <c r="E7236" s="21" t="s">
        <v>35</v>
      </c>
      <c r="F7236">
        <v>7590132</v>
      </c>
      <c r="G7236" t="s">
        <v>3204</v>
      </c>
      <c r="H7236" s="21">
        <v>1092.17</v>
      </c>
    </row>
    <row r="7237" spans="1:8" customFormat="1" x14ac:dyDescent="0.25">
      <c r="A7237" t="str">
        <f>"7213432"</f>
        <v>7213432</v>
      </c>
      <c r="B7237" t="s">
        <v>7152</v>
      </c>
      <c r="C7237" t="s">
        <v>249</v>
      </c>
      <c r="D7237" s="21" t="s">
        <v>34</v>
      </c>
      <c r="E7237" s="21" t="s">
        <v>71</v>
      </c>
      <c r="F7237">
        <v>12720049</v>
      </c>
      <c r="G7237" t="s">
        <v>1627</v>
      </c>
      <c r="H7237" s="21">
        <v>1092.17</v>
      </c>
    </row>
    <row r="7238" spans="1:8" customFormat="1" x14ac:dyDescent="0.25">
      <c r="A7238" t="str">
        <f>"265055"</f>
        <v>265055</v>
      </c>
      <c r="B7238" t="s">
        <v>9436</v>
      </c>
      <c r="C7238" t="s">
        <v>1841</v>
      </c>
      <c r="D7238" s="21" t="s">
        <v>34</v>
      </c>
      <c r="E7238" s="21" t="s">
        <v>71</v>
      </c>
      <c r="F7238">
        <v>1260071</v>
      </c>
      <c r="G7238" t="s">
        <v>798</v>
      </c>
      <c r="H7238" s="21">
        <v>1092.17</v>
      </c>
    </row>
    <row r="7239" spans="1:8" customFormat="1" x14ac:dyDescent="0.25">
      <c r="A7239" t="str">
        <f>"698994"</f>
        <v>698994</v>
      </c>
      <c r="B7239" t="s">
        <v>3146</v>
      </c>
      <c r="C7239" t="s">
        <v>239</v>
      </c>
      <c r="D7239" s="21" t="s">
        <v>34</v>
      </c>
      <c r="E7239" s="21" t="s">
        <v>71</v>
      </c>
      <c r="F7239">
        <v>1690162</v>
      </c>
      <c r="G7239" t="s">
        <v>7358</v>
      </c>
      <c r="H7239" s="21">
        <v>1092.17</v>
      </c>
    </row>
    <row r="7240" spans="1:8" customFormat="1" x14ac:dyDescent="0.25">
      <c r="A7240" t="str">
        <f>"72423"</f>
        <v>72423</v>
      </c>
      <c r="B7240" t="s">
        <v>5805</v>
      </c>
      <c r="C7240" t="s">
        <v>82</v>
      </c>
      <c r="D7240" s="21" t="s">
        <v>34</v>
      </c>
      <c r="E7240" s="21" t="s">
        <v>35</v>
      </c>
      <c r="F7240">
        <v>1260034</v>
      </c>
      <c r="G7240" t="s">
        <v>1884</v>
      </c>
      <c r="H7240" s="21">
        <v>1092.17</v>
      </c>
    </row>
    <row r="7241" spans="1:8" customFormat="1" x14ac:dyDescent="0.25">
      <c r="A7241" t="str">
        <f>"38785"</f>
        <v>38785</v>
      </c>
      <c r="B7241" t="s">
        <v>7500</v>
      </c>
      <c r="C7241" t="s">
        <v>169</v>
      </c>
      <c r="D7241" s="21" t="s">
        <v>34</v>
      </c>
      <c r="E7241" s="21" t="s">
        <v>35</v>
      </c>
      <c r="F7241">
        <v>1380098</v>
      </c>
      <c r="G7241" t="s">
        <v>7501</v>
      </c>
      <c r="H7241" s="21">
        <v>1092.05</v>
      </c>
    </row>
    <row r="7242" spans="1:8" customFormat="1" x14ac:dyDescent="0.25">
      <c r="A7242" t="str">
        <f>"4934249"</f>
        <v>4934249</v>
      </c>
      <c r="B7242" t="s">
        <v>3961</v>
      </c>
      <c r="C7242" t="s">
        <v>2072</v>
      </c>
      <c r="D7242" s="21" t="s">
        <v>34</v>
      </c>
      <c r="E7242" s="21" t="s">
        <v>35</v>
      </c>
      <c r="F7242">
        <v>12490017</v>
      </c>
      <c r="G7242" t="s">
        <v>9393</v>
      </c>
      <c r="H7242" s="21">
        <v>1091.92</v>
      </c>
    </row>
    <row r="7243" spans="1:8" customFormat="1" x14ac:dyDescent="0.25">
      <c r="A7243" t="str">
        <f>"12207"</f>
        <v>12207</v>
      </c>
      <c r="B7243" t="s">
        <v>7987</v>
      </c>
      <c r="C7243" t="s">
        <v>3905</v>
      </c>
      <c r="D7243" s="21" t="s">
        <v>34</v>
      </c>
      <c r="E7243" s="21" t="s">
        <v>254</v>
      </c>
      <c r="F7243">
        <v>11460010</v>
      </c>
      <c r="G7243" t="s">
        <v>654</v>
      </c>
      <c r="H7243" s="21">
        <v>1091.67</v>
      </c>
    </row>
    <row r="7244" spans="1:8" customFormat="1" x14ac:dyDescent="0.25">
      <c r="A7244" t="str">
        <f>"6718399"</f>
        <v>6718399</v>
      </c>
      <c r="B7244" t="s">
        <v>5418</v>
      </c>
      <c r="C7244" t="s">
        <v>124</v>
      </c>
      <c r="D7244" s="21" t="s">
        <v>34</v>
      </c>
      <c r="E7244" s="21" t="s">
        <v>35</v>
      </c>
      <c r="F7244">
        <v>6670203</v>
      </c>
      <c r="G7244" t="s">
        <v>2371</v>
      </c>
      <c r="H7244" s="21">
        <v>1091.67</v>
      </c>
    </row>
    <row r="7245" spans="1:8" customFormat="1" x14ac:dyDescent="0.25">
      <c r="A7245" t="str">
        <f>"853212"</f>
        <v>853212</v>
      </c>
      <c r="B7245" t="s">
        <v>5783</v>
      </c>
      <c r="C7245" t="s">
        <v>151</v>
      </c>
      <c r="D7245" s="21" t="s">
        <v>34</v>
      </c>
      <c r="E7245" s="21" t="s">
        <v>71</v>
      </c>
      <c r="F7245">
        <v>12851012</v>
      </c>
      <c r="G7245" t="s">
        <v>1963</v>
      </c>
      <c r="H7245" s="21">
        <v>1091.67</v>
      </c>
    </row>
    <row r="7246" spans="1:8" customFormat="1" x14ac:dyDescent="0.25">
      <c r="A7246" t="str">
        <f>"7520007"</f>
        <v>7520007</v>
      </c>
      <c r="B7246" t="s">
        <v>7492</v>
      </c>
      <c r="C7246" t="s">
        <v>169</v>
      </c>
      <c r="D7246" s="21" t="s">
        <v>34</v>
      </c>
      <c r="E7246" s="21" t="s">
        <v>254</v>
      </c>
      <c r="F7246">
        <v>8750074</v>
      </c>
      <c r="G7246" t="s">
        <v>698</v>
      </c>
      <c r="H7246" s="21">
        <v>1091.67</v>
      </c>
    </row>
    <row r="7247" spans="1:8" customFormat="1" x14ac:dyDescent="0.25">
      <c r="A7247" t="str">
        <f>"142197"</f>
        <v>142197</v>
      </c>
      <c r="B7247" t="s">
        <v>1185</v>
      </c>
      <c r="C7247" t="s">
        <v>174</v>
      </c>
      <c r="D7247" s="21" t="s">
        <v>34</v>
      </c>
      <c r="E7247" s="21" t="s">
        <v>35</v>
      </c>
      <c r="F7247">
        <v>9140023</v>
      </c>
      <c r="G7247" t="s">
        <v>2318</v>
      </c>
      <c r="H7247" s="21">
        <v>1091.67</v>
      </c>
    </row>
    <row r="7248" spans="1:8" customFormat="1" x14ac:dyDescent="0.25">
      <c r="A7248" t="str">
        <f>"794060"</f>
        <v>794060</v>
      </c>
      <c r="B7248" t="s">
        <v>8896</v>
      </c>
      <c r="C7248" t="s">
        <v>2072</v>
      </c>
      <c r="D7248" s="21" t="s">
        <v>34</v>
      </c>
      <c r="E7248" s="21" t="s">
        <v>35</v>
      </c>
      <c r="F7248">
        <v>10790069</v>
      </c>
      <c r="G7248" t="s">
        <v>689</v>
      </c>
      <c r="H7248" s="21">
        <v>1091.67</v>
      </c>
    </row>
    <row r="7249" spans="1:8" customFormat="1" x14ac:dyDescent="0.25">
      <c r="A7249" t="str">
        <f>"865953"</f>
        <v>865953</v>
      </c>
      <c r="B7249" t="s">
        <v>6895</v>
      </c>
      <c r="C7249" t="s">
        <v>269</v>
      </c>
      <c r="D7249" s="21" t="s">
        <v>34</v>
      </c>
      <c r="E7249" s="21" t="s">
        <v>71</v>
      </c>
      <c r="F7249">
        <v>10860044</v>
      </c>
      <c r="G7249" t="s">
        <v>4984</v>
      </c>
      <c r="H7249" s="21">
        <v>1091.67</v>
      </c>
    </row>
    <row r="7250" spans="1:8" customFormat="1" x14ac:dyDescent="0.25">
      <c r="A7250" t="str">
        <f>"3519188"</f>
        <v>3519188</v>
      </c>
      <c r="B7250" t="s">
        <v>8817</v>
      </c>
      <c r="C7250" t="s">
        <v>608</v>
      </c>
      <c r="D7250" s="21" t="s">
        <v>34</v>
      </c>
      <c r="E7250" s="21" t="s">
        <v>71</v>
      </c>
      <c r="F7250">
        <v>3350009</v>
      </c>
      <c r="G7250" t="s">
        <v>1823</v>
      </c>
      <c r="H7250" s="21">
        <v>1091.55</v>
      </c>
    </row>
    <row r="7251" spans="1:8" customFormat="1" x14ac:dyDescent="0.25">
      <c r="A7251" t="str">
        <f>"4431424"</f>
        <v>4431424</v>
      </c>
      <c r="B7251" t="s">
        <v>5077</v>
      </c>
      <c r="C7251" t="s">
        <v>121</v>
      </c>
      <c r="D7251" s="21" t="s">
        <v>34</v>
      </c>
      <c r="E7251" s="21" t="s">
        <v>35</v>
      </c>
      <c r="F7251">
        <v>12440023</v>
      </c>
      <c r="G7251" t="s">
        <v>3507</v>
      </c>
      <c r="H7251" s="21">
        <v>1091.42</v>
      </c>
    </row>
    <row r="7252" spans="1:8" customFormat="1" x14ac:dyDescent="0.25">
      <c r="A7252" t="str">
        <f>"7515153"</f>
        <v>7515153</v>
      </c>
      <c r="B7252" t="s">
        <v>26981</v>
      </c>
      <c r="C7252" t="s">
        <v>198</v>
      </c>
      <c r="D7252" s="21" t="s">
        <v>34</v>
      </c>
      <c r="E7252" s="21" t="s">
        <v>35</v>
      </c>
      <c r="F7252">
        <v>12440012</v>
      </c>
      <c r="G7252" t="s">
        <v>807</v>
      </c>
      <c r="H7252" s="21">
        <v>1091.42</v>
      </c>
    </row>
    <row r="7253" spans="1:8" customFormat="1" x14ac:dyDescent="0.25">
      <c r="A7253" t="str">
        <f>"4922754"</f>
        <v>4922754</v>
      </c>
      <c r="B7253" t="s">
        <v>8424</v>
      </c>
      <c r="C7253" t="s">
        <v>462</v>
      </c>
      <c r="D7253" s="21" t="s">
        <v>34</v>
      </c>
      <c r="E7253" s="21" t="s">
        <v>71</v>
      </c>
      <c r="F7253">
        <v>12490064</v>
      </c>
      <c r="G7253" t="s">
        <v>8425</v>
      </c>
      <c r="H7253" s="21">
        <v>1091.29</v>
      </c>
    </row>
    <row r="7254" spans="1:8" customFormat="1" x14ac:dyDescent="0.25">
      <c r="A7254" t="str">
        <f>"77342"</f>
        <v>77342</v>
      </c>
      <c r="B7254" t="s">
        <v>7407</v>
      </c>
      <c r="C7254" t="s">
        <v>40</v>
      </c>
      <c r="D7254" s="21" t="s">
        <v>34</v>
      </c>
      <c r="E7254" s="21" t="s">
        <v>254</v>
      </c>
      <c r="F7254">
        <v>1260024</v>
      </c>
      <c r="G7254" t="s">
        <v>2685</v>
      </c>
      <c r="H7254" s="21">
        <v>1091.17</v>
      </c>
    </row>
    <row r="7255" spans="1:8" customFormat="1" x14ac:dyDescent="0.25">
      <c r="A7255" t="str">
        <f>"9421537"</f>
        <v>9421537</v>
      </c>
      <c r="B7255" t="s">
        <v>8454</v>
      </c>
      <c r="C7255" t="s">
        <v>1489</v>
      </c>
      <c r="D7255" s="21" t="s">
        <v>34</v>
      </c>
      <c r="E7255" s="21" t="s">
        <v>35</v>
      </c>
      <c r="F7255">
        <v>9140162</v>
      </c>
      <c r="G7255" t="s">
        <v>7663</v>
      </c>
      <c r="H7255" s="21">
        <v>1091.17</v>
      </c>
    </row>
    <row r="7256" spans="1:8" customFormat="1" x14ac:dyDescent="0.25">
      <c r="A7256" t="str">
        <f>"3326282"</f>
        <v>3326282</v>
      </c>
      <c r="B7256" t="s">
        <v>7700</v>
      </c>
      <c r="C7256" t="s">
        <v>40</v>
      </c>
      <c r="D7256" s="21" t="s">
        <v>34</v>
      </c>
      <c r="E7256" s="21" t="s">
        <v>254</v>
      </c>
      <c r="F7256">
        <v>10330117</v>
      </c>
      <c r="G7256" t="s">
        <v>1942</v>
      </c>
      <c r="H7256" s="21">
        <v>1091.17</v>
      </c>
    </row>
    <row r="7257" spans="1:8" customFormat="1" x14ac:dyDescent="0.25">
      <c r="A7257" t="str">
        <f>"4512686"</f>
        <v>4512686</v>
      </c>
      <c r="B7257" t="s">
        <v>2656</v>
      </c>
      <c r="C7257" t="s">
        <v>139</v>
      </c>
      <c r="D7257" s="21" t="s">
        <v>34</v>
      </c>
      <c r="E7257" s="21" t="s">
        <v>71</v>
      </c>
      <c r="F7257">
        <v>4450706</v>
      </c>
      <c r="G7257" t="s">
        <v>4482</v>
      </c>
      <c r="H7257" s="21">
        <v>1091.17</v>
      </c>
    </row>
    <row r="7258" spans="1:8" customFormat="1" x14ac:dyDescent="0.25">
      <c r="A7258" t="str">
        <f>"7610397"</f>
        <v>7610397</v>
      </c>
      <c r="B7258" t="s">
        <v>6119</v>
      </c>
      <c r="C7258" t="s">
        <v>119</v>
      </c>
      <c r="D7258" s="21" t="s">
        <v>34</v>
      </c>
      <c r="E7258" s="21" t="s">
        <v>35</v>
      </c>
      <c r="F7258">
        <v>9760201</v>
      </c>
      <c r="G7258" t="s">
        <v>11358</v>
      </c>
      <c r="H7258" s="21">
        <v>1091.17</v>
      </c>
    </row>
    <row r="7259" spans="1:8" customFormat="1" x14ac:dyDescent="0.25">
      <c r="A7259" t="str">
        <f>"877856"</f>
        <v>877856</v>
      </c>
      <c r="B7259" t="s">
        <v>8590</v>
      </c>
      <c r="C7259" t="s">
        <v>493</v>
      </c>
      <c r="D7259" s="21" t="s">
        <v>34</v>
      </c>
      <c r="E7259" s="21" t="s">
        <v>71</v>
      </c>
      <c r="F7259">
        <v>10870081</v>
      </c>
      <c r="G7259" t="s">
        <v>6698</v>
      </c>
      <c r="H7259" s="21">
        <v>1091.17</v>
      </c>
    </row>
    <row r="7260" spans="1:8" customFormat="1" x14ac:dyDescent="0.25">
      <c r="A7260" t="str">
        <f>"919469"</f>
        <v>919469</v>
      </c>
      <c r="B7260" t="s">
        <v>7162</v>
      </c>
      <c r="C7260" t="s">
        <v>412</v>
      </c>
      <c r="D7260" s="21" t="s">
        <v>34</v>
      </c>
      <c r="E7260" s="21" t="s">
        <v>254</v>
      </c>
      <c r="F7260">
        <v>8910303</v>
      </c>
      <c r="G7260" t="s">
        <v>1244</v>
      </c>
      <c r="H7260" s="21">
        <v>1091.17</v>
      </c>
    </row>
    <row r="7261" spans="1:8" customFormat="1" x14ac:dyDescent="0.25">
      <c r="A7261" t="str">
        <f>"447807"</f>
        <v>447807</v>
      </c>
      <c r="B7261" t="s">
        <v>8699</v>
      </c>
      <c r="C7261" t="s">
        <v>285</v>
      </c>
      <c r="D7261" s="21" t="s">
        <v>34</v>
      </c>
      <c r="E7261" s="21" t="s">
        <v>35</v>
      </c>
      <c r="F7261">
        <v>12440049</v>
      </c>
      <c r="G7261" t="s">
        <v>3339</v>
      </c>
      <c r="H7261" s="21">
        <v>1091.17</v>
      </c>
    </row>
    <row r="7262" spans="1:8" customFormat="1" x14ac:dyDescent="0.25">
      <c r="A7262" t="str">
        <f>"3011687"</f>
        <v>3011687</v>
      </c>
      <c r="B7262" t="s">
        <v>8953</v>
      </c>
      <c r="C7262" t="s">
        <v>144</v>
      </c>
      <c r="D7262" s="21" t="s">
        <v>34</v>
      </c>
      <c r="E7262" s="21" t="s">
        <v>35</v>
      </c>
      <c r="F7262">
        <v>11300023</v>
      </c>
      <c r="G7262" t="s">
        <v>2679</v>
      </c>
      <c r="H7262" s="21">
        <v>1091.17</v>
      </c>
    </row>
    <row r="7263" spans="1:8" customFormat="1" x14ac:dyDescent="0.25">
      <c r="A7263" t="str">
        <f>"755330"</f>
        <v>755330</v>
      </c>
      <c r="B7263" t="s">
        <v>7191</v>
      </c>
      <c r="C7263" t="s">
        <v>204</v>
      </c>
      <c r="D7263" s="21" t="s">
        <v>34</v>
      </c>
      <c r="E7263" s="21" t="s">
        <v>71</v>
      </c>
      <c r="F7263">
        <v>8751163</v>
      </c>
      <c r="G7263" t="s">
        <v>80</v>
      </c>
      <c r="H7263" s="21">
        <v>1091.05</v>
      </c>
    </row>
    <row r="7264" spans="1:8" customFormat="1" x14ac:dyDescent="0.25">
      <c r="A7264" t="str">
        <f>"9H734"</f>
        <v>9H734</v>
      </c>
      <c r="B7264" t="s">
        <v>7811</v>
      </c>
      <c r="C7264" t="s">
        <v>455</v>
      </c>
      <c r="D7264" s="21" t="s">
        <v>34</v>
      </c>
      <c r="E7264" s="21" t="s">
        <v>35</v>
      </c>
      <c r="F7264" t="s">
        <v>1181</v>
      </c>
      <c r="G7264" t="s">
        <v>1182</v>
      </c>
      <c r="H7264" s="21">
        <v>1091</v>
      </c>
    </row>
    <row r="7265" spans="1:8" customFormat="1" x14ac:dyDescent="0.25">
      <c r="A7265" t="str">
        <f>"56261"</f>
        <v>56261</v>
      </c>
      <c r="B7265" t="s">
        <v>8020</v>
      </c>
      <c r="C7265" t="s">
        <v>1605</v>
      </c>
      <c r="D7265" s="21" t="s">
        <v>34</v>
      </c>
      <c r="E7265" s="21" t="s">
        <v>254</v>
      </c>
      <c r="F7265">
        <v>3560049</v>
      </c>
      <c r="G7265" t="s">
        <v>8021</v>
      </c>
      <c r="H7265" s="21">
        <v>1090.92</v>
      </c>
    </row>
    <row r="7266" spans="1:8" customFormat="1" x14ac:dyDescent="0.25">
      <c r="A7266" t="str">
        <f>"7810407"</f>
        <v>7810407</v>
      </c>
      <c r="B7266" t="s">
        <v>3555</v>
      </c>
      <c r="C7266" t="s">
        <v>428</v>
      </c>
      <c r="D7266" s="21" t="s">
        <v>34</v>
      </c>
      <c r="E7266" s="21" t="s">
        <v>35</v>
      </c>
      <c r="F7266">
        <v>8950623</v>
      </c>
      <c r="G7266" t="s">
        <v>684</v>
      </c>
      <c r="H7266" s="21">
        <v>1090.92</v>
      </c>
    </row>
    <row r="7267" spans="1:8" customFormat="1" x14ac:dyDescent="0.25">
      <c r="A7267" t="str">
        <f>"2929713"</f>
        <v>2929713</v>
      </c>
      <c r="B7267" t="s">
        <v>7662</v>
      </c>
      <c r="C7267" t="s">
        <v>1853</v>
      </c>
      <c r="D7267" s="21" t="s">
        <v>34</v>
      </c>
      <c r="E7267" s="21" t="s">
        <v>35</v>
      </c>
      <c r="F7267">
        <v>3290229</v>
      </c>
      <c r="G7267" t="s">
        <v>408</v>
      </c>
      <c r="H7267" s="21">
        <v>1090.92</v>
      </c>
    </row>
    <row r="7268" spans="1:8" customFormat="1" x14ac:dyDescent="0.25">
      <c r="A7268" t="str">
        <f>"9D685"</f>
        <v>9D685</v>
      </c>
      <c r="B7268" t="s">
        <v>26982</v>
      </c>
      <c r="C7268" t="s">
        <v>1025</v>
      </c>
      <c r="D7268" s="21" t="s">
        <v>34</v>
      </c>
      <c r="E7268" s="21" t="s">
        <v>35</v>
      </c>
      <c r="F7268" t="s">
        <v>3911</v>
      </c>
      <c r="G7268" t="s">
        <v>3912</v>
      </c>
      <c r="H7268" s="21">
        <v>1090.75</v>
      </c>
    </row>
    <row r="7269" spans="1:8" customFormat="1" x14ac:dyDescent="0.25">
      <c r="A7269" t="str">
        <f>"681042"</f>
        <v>681042</v>
      </c>
      <c r="B7269" t="s">
        <v>7626</v>
      </c>
      <c r="C7269" t="s">
        <v>109</v>
      </c>
      <c r="D7269" s="21" t="s">
        <v>34</v>
      </c>
      <c r="E7269" s="21" t="s">
        <v>71</v>
      </c>
      <c r="F7269">
        <v>6680090</v>
      </c>
      <c r="G7269" t="s">
        <v>3129</v>
      </c>
      <c r="H7269" s="21">
        <v>1090.67</v>
      </c>
    </row>
    <row r="7270" spans="1:8" customFormat="1" x14ac:dyDescent="0.25">
      <c r="A7270" t="str">
        <f>"854980"</f>
        <v>854980</v>
      </c>
      <c r="B7270" t="s">
        <v>907</v>
      </c>
      <c r="C7270" t="s">
        <v>87</v>
      </c>
      <c r="D7270" s="21" t="s">
        <v>34</v>
      </c>
      <c r="E7270" s="21" t="s">
        <v>35</v>
      </c>
      <c r="F7270">
        <v>12850034</v>
      </c>
      <c r="G7270" t="s">
        <v>7112</v>
      </c>
      <c r="H7270" s="21">
        <v>1090.67</v>
      </c>
    </row>
    <row r="7271" spans="1:8" customFormat="1" x14ac:dyDescent="0.25">
      <c r="A7271" t="str">
        <f>"725396"</f>
        <v>725396</v>
      </c>
      <c r="B7271" t="s">
        <v>5500</v>
      </c>
      <c r="C7271" t="s">
        <v>156</v>
      </c>
      <c r="D7271" s="21" t="s">
        <v>34</v>
      </c>
      <c r="E7271" s="21" t="s">
        <v>71</v>
      </c>
      <c r="F7271">
        <v>12720021</v>
      </c>
      <c r="G7271" t="s">
        <v>3329</v>
      </c>
      <c r="H7271" s="21">
        <v>1090.67</v>
      </c>
    </row>
    <row r="7272" spans="1:8" customFormat="1" x14ac:dyDescent="0.25">
      <c r="A7272" t="str">
        <f>"49157"</f>
        <v>49157</v>
      </c>
      <c r="B7272" t="s">
        <v>6600</v>
      </c>
      <c r="C7272" t="s">
        <v>415</v>
      </c>
      <c r="D7272" s="21" t="s">
        <v>34</v>
      </c>
      <c r="E7272" s="21" t="s">
        <v>254</v>
      </c>
      <c r="F7272">
        <v>12490132</v>
      </c>
      <c r="G7272" t="s">
        <v>1125</v>
      </c>
      <c r="H7272" s="21">
        <v>1090.67</v>
      </c>
    </row>
    <row r="7273" spans="1:8" customFormat="1" x14ac:dyDescent="0.25">
      <c r="A7273" t="str">
        <f>"5717226"</f>
        <v>5717226</v>
      </c>
      <c r="B7273" t="s">
        <v>6929</v>
      </c>
      <c r="C7273" t="s">
        <v>236</v>
      </c>
      <c r="D7273" s="21" t="s">
        <v>34</v>
      </c>
      <c r="E7273" s="21" t="s">
        <v>71</v>
      </c>
      <c r="F7273">
        <v>6570007</v>
      </c>
      <c r="G7273" t="s">
        <v>2845</v>
      </c>
      <c r="H7273" s="21">
        <v>1090.67</v>
      </c>
    </row>
    <row r="7274" spans="1:8" customFormat="1" x14ac:dyDescent="0.25">
      <c r="A7274" t="str">
        <f>"7610682"</f>
        <v>7610682</v>
      </c>
      <c r="B7274" t="s">
        <v>8810</v>
      </c>
      <c r="C7274" t="s">
        <v>209</v>
      </c>
      <c r="D7274" s="21" t="s">
        <v>34</v>
      </c>
      <c r="E7274" s="21" t="s">
        <v>254</v>
      </c>
      <c r="F7274">
        <v>9760136</v>
      </c>
      <c r="G7274" t="s">
        <v>5035</v>
      </c>
      <c r="H7274" s="21">
        <v>1090.67</v>
      </c>
    </row>
    <row r="7275" spans="1:8" customFormat="1" x14ac:dyDescent="0.25">
      <c r="A7275" t="str">
        <f>"2936586"</f>
        <v>2936586</v>
      </c>
      <c r="B7275" t="s">
        <v>3167</v>
      </c>
      <c r="C7275" t="s">
        <v>2907</v>
      </c>
      <c r="D7275" s="21" t="s">
        <v>34</v>
      </c>
      <c r="E7275" s="21" t="s">
        <v>71</v>
      </c>
      <c r="F7275">
        <v>3290031</v>
      </c>
      <c r="G7275" t="s">
        <v>8207</v>
      </c>
      <c r="H7275" s="21">
        <v>1090.67</v>
      </c>
    </row>
    <row r="7276" spans="1:8" customFormat="1" x14ac:dyDescent="0.25">
      <c r="A7276" t="str">
        <f>"539600"</f>
        <v>539600</v>
      </c>
      <c r="B7276" t="s">
        <v>8183</v>
      </c>
      <c r="C7276" t="s">
        <v>428</v>
      </c>
      <c r="D7276" s="21" t="s">
        <v>34</v>
      </c>
      <c r="E7276" s="21" t="s">
        <v>71</v>
      </c>
      <c r="F7276">
        <v>12530112</v>
      </c>
      <c r="G7276" t="s">
        <v>4617</v>
      </c>
      <c r="H7276" s="21">
        <v>1090.67</v>
      </c>
    </row>
    <row r="7277" spans="1:8" customFormat="1" x14ac:dyDescent="0.25">
      <c r="A7277" t="str">
        <f>"6313588"</f>
        <v>6313588</v>
      </c>
      <c r="B7277" t="s">
        <v>1522</v>
      </c>
      <c r="C7277" t="s">
        <v>109</v>
      </c>
      <c r="D7277" s="21" t="s">
        <v>34</v>
      </c>
      <c r="E7277" s="21" t="s">
        <v>35</v>
      </c>
      <c r="F7277">
        <v>1630015</v>
      </c>
      <c r="G7277" t="s">
        <v>2097</v>
      </c>
      <c r="H7277" s="21">
        <v>1090.55</v>
      </c>
    </row>
    <row r="7278" spans="1:8" customFormat="1" x14ac:dyDescent="0.25">
      <c r="A7278" t="str">
        <f>"4927407"</f>
        <v>4927407</v>
      </c>
      <c r="B7278" t="s">
        <v>2598</v>
      </c>
      <c r="C7278" t="s">
        <v>3522</v>
      </c>
      <c r="D7278" s="21" t="s">
        <v>34</v>
      </c>
      <c r="E7278" s="21" t="s">
        <v>35</v>
      </c>
      <c r="F7278">
        <v>12490014</v>
      </c>
      <c r="G7278" t="s">
        <v>8547</v>
      </c>
      <c r="H7278" s="21">
        <v>1090.3</v>
      </c>
    </row>
    <row r="7279" spans="1:8" customFormat="1" x14ac:dyDescent="0.25">
      <c r="A7279" t="str">
        <f>"5728074"</f>
        <v>5728074</v>
      </c>
      <c r="B7279" t="s">
        <v>788</v>
      </c>
      <c r="C7279" t="s">
        <v>144</v>
      </c>
      <c r="D7279" s="21" t="s">
        <v>34</v>
      </c>
      <c r="E7279" s="21" t="s">
        <v>35</v>
      </c>
      <c r="F7279">
        <v>6570201</v>
      </c>
      <c r="G7279" t="s">
        <v>3296</v>
      </c>
      <c r="H7279" s="21">
        <v>1090.3</v>
      </c>
    </row>
    <row r="7280" spans="1:8" customFormat="1" x14ac:dyDescent="0.25">
      <c r="A7280" t="str">
        <f>"9422953"</f>
        <v>9422953</v>
      </c>
      <c r="B7280" t="s">
        <v>6476</v>
      </c>
      <c r="C7280" t="s">
        <v>6477</v>
      </c>
      <c r="D7280" s="21" t="s">
        <v>34</v>
      </c>
      <c r="E7280" s="21" t="s">
        <v>71</v>
      </c>
      <c r="F7280">
        <v>8940458</v>
      </c>
      <c r="G7280" t="s">
        <v>26774</v>
      </c>
      <c r="H7280" s="21">
        <v>1090.3</v>
      </c>
    </row>
    <row r="7281" spans="1:8" customFormat="1" x14ac:dyDescent="0.25">
      <c r="A7281" t="str">
        <f>"112491"</f>
        <v>112491</v>
      </c>
      <c r="B7281" t="s">
        <v>8080</v>
      </c>
      <c r="C7281" t="s">
        <v>40</v>
      </c>
      <c r="D7281" s="21" t="s">
        <v>34</v>
      </c>
      <c r="E7281" s="21" t="s">
        <v>71</v>
      </c>
      <c r="F7281">
        <v>13830014</v>
      </c>
      <c r="G7281" t="s">
        <v>5757</v>
      </c>
      <c r="H7281" s="21">
        <v>1090.18</v>
      </c>
    </row>
    <row r="7282" spans="1:8" customFormat="1" x14ac:dyDescent="0.25">
      <c r="A7282" t="str">
        <f>"9124285"</f>
        <v>9124285</v>
      </c>
      <c r="B7282" t="s">
        <v>402</v>
      </c>
      <c r="C7282" t="s">
        <v>114</v>
      </c>
      <c r="D7282" s="21" t="s">
        <v>34</v>
      </c>
      <c r="E7282" s="21" t="s">
        <v>35</v>
      </c>
      <c r="F7282">
        <v>8910042</v>
      </c>
      <c r="G7282" t="s">
        <v>4009</v>
      </c>
      <c r="H7282" s="21">
        <v>1090.17</v>
      </c>
    </row>
    <row r="7283" spans="1:8" customFormat="1" x14ac:dyDescent="0.25">
      <c r="A7283" t="str">
        <f>"8517928"</f>
        <v>8517928</v>
      </c>
      <c r="B7283" t="s">
        <v>9092</v>
      </c>
      <c r="C7283" t="s">
        <v>169</v>
      </c>
      <c r="D7283" s="21" t="s">
        <v>34</v>
      </c>
      <c r="E7283" s="21" t="s">
        <v>71</v>
      </c>
      <c r="F7283">
        <v>12850008</v>
      </c>
      <c r="G7283" t="s">
        <v>4248</v>
      </c>
      <c r="H7283" s="21">
        <v>1090.17</v>
      </c>
    </row>
    <row r="7284" spans="1:8" customFormat="1" x14ac:dyDescent="0.25">
      <c r="A7284" t="str">
        <f>"416399"</f>
        <v>416399</v>
      </c>
      <c r="B7284" t="s">
        <v>760</v>
      </c>
      <c r="C7284" t="s">
        <v>462</v>
      </c>
      <c r="D7284" s="21" t="s">
        <v>34</v>
      </c>
      <c r="E7284" s="21" t="s">
        <v>71</v>
      </c>
      <c r="F7284">
        <v>4410469</v>
      </c>
      <c r="G7284" t="s">
        <v>7919</v>
      </c>
      <c r="H7284" s="21">
        <v>1090.17</v>
      </c>
    </row>
    <row r="7285" spans="1:8" customFormat="1" x14ac:dyDescent="0.25">
      <c r="A7285" t="str">
        <f>"346850"</f>
        <v>346850</v>
      </c>
      <c r="B7285" t="s">
        <v>26983</v>
      </c>
      <c r="C7285" t="s">
        <v>305</v>
      </c>
      <c r="D7285" s="21" t="s">
        <v>34</v>
      </c>
      <c r="E7285" s="21" t="s">
        <v>35</v>
      </c>
      <c r="F7285">
        <v>11340047</v>
      </c>
      <c r="G7285" t="s">
        <v>4303</v>
      </c>
      <c r="H7285" s="21">
        <v>1090.17</v>
      </c>
    </row>
    <row r="7286" spans="1:8" customFormat="1" x14ac:dyDescent="0.25">
      <c r="A7286" t="str">
        <f>"6710921"</f>
        <v>6710921</v>
      </c>
      <c r="B7286" t="s">
        <v>6731</v>
      </c>
      <c r="C7286" t="s">
        <v>462</v>
      </c>
      <c r="D7286" s="21" t="s">
        <v>34</v>
      </c>
      <c r="E7286" s="21" t="s">
        <v>71</v>
      </c>
      <c r="F7286">
        <v>6670058</v>
      </c>
      <c r="G7286" t="s">
        <v>2551</v>
      </c>
      <c r="H7286" s="21">
        <v>1090.17</v>
      </c>
    </row>
    <row r="7287" spans="1:8" customFormat="1" x14ac:dyDescent="0.25">
      <c r="A7287" t="str">
        <f>"5718094"</f>
        <v>5718094</v>
      </c>
      <c r="B7287" t="s">
        <v>392</v>
      </c>
      <c r="C7287" t="s">
        <v>547</v>
      </c>
      <c r="D7287" s="21" t="s">
        <v>34</v>
      </c>
      <c r="E7287" s="21" t="s">
        <v>71</v>
      </c>
      <c r="F7287">
        <v>6570175</v>
      </c>
      <c r="G7287" t="s">
        <v>9707</v>
      </c>
      <c r="H7287" s="21">
        <v>1090.17</v>
      </c>
    </row>
    <row r="7288" spans="1:8" customFormat="1" x14ac:dyDescent="0.25">
      <c r="A7288" t="str">
        <f>"592354"</f>
        <v>592354</v>
      </c>
      <c r="B7288" t="s">
        <v>1318</v>
      </c>
      <c r="C7288" t="s">
        <v>263</v>
      </c>
      <c r="D7288" s="21" t="s">
        <v>34</v>
      </c>
      <c r="E7288" s="21" t="s">
        <v>254</v>
      </c>
      <c r="F7288">
        <v>7590006</v>
      </c>
      <c r="G7288" t="s">
        <v>4165</v>
      </c>
      <c r="H7288" s="21">
        <v>1090.17</v>
      </c>
    </row>
    <row r="7289" spans="1:8" customFormat="1" x14ac:dyDescent="0.25">
      <c r="A7289" t="str">
        <f>"6228809"</f>
        <v>6228809</v>
      </c>
      <c r="B7289" t="s">
        <v>7221</v>
      </c>
      <c r="C7289" t="s">
        <v>60</v>
      </c>
      <c r="D7289" s="21" t="s">
        <v>34</v>
      </c>
      <c r="E7289" s="21" t="s">
        <v>35</v>
      </c>
      <c r="F7289">
        <v>7620024</v>
      </c>
      <c r="G7289" t="s">
        <v>2975</v>
      </c>
      <c r="H7289" s="21">
        <v>1090.17</v>
      </c>
    </row>
    <row r="7290" spans="1:8" customFormat="1" x14ac:dyDescent="0.25">
      <c r="A7290" t="str">
        <f>"703928"</f>
        <v>703928</v>
      </c>
      <c r="B7290" t="s">
        <v>1241</v>
      </c>
      <c r="C7290" t="s">
        <v>246</v>
      </c>
      <c r="D7290" s="21" t="s">
        <v>34</v>
      </c>
      <c r="E7290" s="21" t="s">
        <v>254</v>
      </c>
      <c r="F7290">
        <v>2700005</v>
      </c>
      <c r="G7290" t="s">
        <v>5290</v>
      </c>
      <c r="H7290" s="21">
        <v>1090.17</v>
      </c>
    </row>
    <row r="7291" spans="1:8" customFormat="1" x14ac:dyDescent="0.25">
      <c r="A7291" t="str">
        <f>"91640"</f>
        <v>91640</v>
      </c>
      <c r="B7291" t="s">
        <v>2189</v>
      </c>
      <c r="C7291" t="s">
        <v>263</v>
      </c>
      <c r="D7291" s="21" t="s">
        <v>34</v>
      </c>
      <c r="E7291" s="21" t="s">
        <v>71</v>
      </c>
      <c r="F7291">
        <v>8910359</v>
      </c>
      <c r="G7291" t="s">
        <v>1204</v>
      </c>
      <c r="H7291" s="21">
        <v>1090.17</v>
      </c>
    </row>
    <row r="7292" spans="1:8" customFormat="1" x14ac:dyDescent="0.25">
      <c r="A7292" t="str">
        <f>"8512908"</f>
        <v>8512908</v>
      </c>
      <c r="B7292" t="s">
        <v>7457</v>
      </c>
      <c r="C7292" t="s">
        <v>664</v>
      </c>
      <c r="D7292" s="21" t="s">
        <v>34</v>
      </c>
      <c r="E7292" s="21" t="s">
        <v>71</v>
      </c>
      <c r="F7292">
        <v>12850023</v>
      </c>
      <c r="G7292" t="s">
        <v>3121</v>
      </c>
      <c r="H7292" s="21">
        <v>1090.17</v>
      </c>
    </row>
    <row r="7293" spans="1:8" customFormat="1" x14ac:dyDescent="0.25">
      <c r="A7293" t="str">
        <f>"8522509"</f>
        <v>8522509</v>
      </c>
      <c r="B7293" t="s">
        <v>8084</v>
      </c>
      <c r="C7293" t="s">
        <v>124</v>
      </c>
      <c r="D7293" s="21" t="s">
        <v>34</v>
      </c>
      <c r="E7293" s="21" t="s">
        <v>35</v>
      </c>
      <c r="F7293">
        <v>12851018</v>
      </c>
      <c r="G7293" t="s">
        <v>8085</v>
      </c>
      <c r="H7293" s="21">
        <v>1090.17</v>
      </c>
    </row>
    <row r="7294" spans="1:8" customFormat="1" x14ac:dyDescent="0.25">
      <c r="A7294" t="str">
        <f>"9229808"</f>
        <v>9229808</v>
      </c>
      <c r="B7294" t="s">
        <v>6997</v>
      </c>
      <c r="C7294" t="s">
        <v>288</v>
      </c>
      <c r="D7294" s="21" t="s">
        <v>34</v>
      </c>
      <c r="E7294" s="21" t="s">
        <v>35</v>
      </c>
      <c r="F7294">
        <v>8921182</v>
      </c>
      <c r="G7294" t="s">
        <v>26954</v>
      </c>
      <c r="H7294" s="21">
        <v>1090.17</v>
      </c>
    </row>
    <row r="7295" spans="1:8" customFormat="1" x14ac:dyDescent="0.25">
      <c r="A7295" t="str">
        <f>"66430"</f>
        <v>66430</v>
      </c>
      <c r="B7295" t="s">
        <v>4138</v>
      </c>
      <c r="C7295" t="s">
        <v>453</v>
      </c>
      <c r="D7295" s="21" t="s">
        <v>34</v>
      </c>
      <c r="E7295" s="21" t="s">
        <v>254</v>
      </c>
      <c r="F7295">
        <v>11660001</v>
      </c>
      <c r="G7295" t="s">
        <v>8203</v>
      </c>
      <c r="H7295" s="21">
        <v>1090.05</v>
      </c>
    </row>
    <row r="7296" spans="1:8" customFormat="1" x14ac:dyDescent="0.25">
      <c r="A7296" t="str">
        <f>"2512289"</f>
        <v>2512289</v>
      </c>
      <c r="B7296" t="s">
        <v>11484</v>
      </c>
      <c r="C7296" t="s">
        <v>1231</v>
      </c>
      <c r="D7296" s="21" t="s">
        <v>34</v>
      </c>
      <c r="E7296" s="21" t="s">
        <v>35</v>
      </c>
      <c r="F7296">
        <v>2250154</v>
      </c>
      <c r="G7296" t="s">
        <v>1973</v>
      </c>
      <c r="H7296" s="21">
        <v>1090.05</v>
      </c>
    </row>
    <row r="7297" spans="1:8" customFormat="1" x14ac:dyDescent="0.25">
      <c r="A7297" t="str">
        <f>"2921298"</f>
        <v>2921298</v>
      </c>
      <c r="B7297" t="s">
        <v>2489</v>
      </c>
      <c r="C7297" t="s">
        <v>262</v>
      </c>
      <c r="D7297" s="21" t="s">
        <v>34</v>
      </c>
      <c r="E7297" s="21" t="s">
        <v>35</v>
      </c>
      <c r="F7297">
        <v>3290266</v>
      </c>
      <c r="G7297" t="s">
        <v>1783</v>
      </c>
      <c r="H7297" s="21">
        <v>1089.79</v>
      </c>
    </row>
    <row r="7298" spans="1:8" customFormat="1" x14ac:dyDescent="0.25">
      <c r="A7298" t="str">
        <f>"7521348"</f>
        <v>7521348</v>
      </c>
      <c r="B7298" t="s">
        <v>10520</v>
      </c>
      <c r="C7298" t="s">
        <v>60</v>
      </c>
      <c r="D7298" s="21" t="s">
        <v>34</v>
      </c>
      <c r="E7298" s="21" t="s">
        <v>71</v>
      </c>
      <c r="F7298">
        <v>8750100</v>
      </c>
      <c r="G7298" t="s">
        <v>10521</v>
      </c>
      <c r="H7298" s="21">
        <v>1089.67</v>
      </c>
    </row>
    <row r="7299" spans="1:8" customFormat="1" x14ac:dyDescent="0.25">
      <c r="A7299" t="str">
        <f>"7611436"</f>
        <v>7611436</v>
      </c>
      <c r="B7299" t="s">
        <v>8684</v>
      </c>
      <c r="C7299" t="s">
        <v>812</v>
      </c>
      <c r="D7299" s="21" t="s">
        <v>34</v>
      </c>
      <c r="E7299" s="21" t="s">
        <v>71</v>
      </c>
      <c r="F7299">
        <v>9760266</v>
      </c>
      <c r="G7299" t="s">
        <v>1891</v>
      </c>
      <c r="H7299" s="21">
        <v>1089.67</v>
      </c>
    </row>
    <row r="7300" spans="1:8" customFormat="1" x14ac:dyDescent="0.25">
      <c r="A7300" t="str">
        <f>"6211016"</f>
        <v>6211016</v>
      </c>
      <c r="B7300" t="s">
        <v>6632</v>
      </c>
      <c r="C7300" t="s">
        <v>87</v>
      </c>
      <c r="D7300" s="21" t="s">
        <v>34</v>
      </c>
      <c r="E7300" s="21" t="s">
        <v>35</v>
      </c>
      <c r="F7300">
        <v>7620100</v>
      </c>
      <c r="G7300" t="s">
        <v>145</v>
      </c>
      <c r="H7300" s="21">
        <v>1089.67</v>
      </c>
    </row>
    <row r="7301" spans="1:8" customFormat="1" x14ac:dyDescent="0.25">
      <c r="A7301" t="str">
        <f>"8510415"</f>
        <v>8510415</v>
      </c>
      <c r="B7301" t="s">
        <v>8222</v>
      </c>
      <c r="C7301" t="s">
        <v>33</v>
      </c>
      <c r="D7301" s="21" t="s">
        <v>34</v>
      </c>
      <c r="E7301" s="21" t="s">
        <v>71</v>
      </c>
      <c r="F7301">
        <v>12850030</v>
      </c>
      <c r="G7301" t="s">
        <v>5078</v>
      </c>
      <c r="H7301" s="21">
        <v>1089.67</v>
      </c>
    </row>
    <row r="7302" spans="1:8" customFormat="1" x14ac:dyDescent="0.25">
      <c r="A7302" t="str">
        <f>"7862096"</f>
        <v>7862096</v>
      </c>
      <c r="B7302" t="s">
        <v>7091</v>
      </c>
      <c r="C7302" t="s">
        <v>121</v>
      </c>
      <c r="D7302" s="21" t="s">
        <v>34</v>
      </c>
      <c r="E7302" s="21" t="s">
        <v>71</v>
      </c>
      <c r="F7302">
        <v>8780674</v>
      </c>
      <c r="G7302" t="s">
        <v>26585</v>
      </c>
      <c r="H7302" s="21">
        <v>1089.67</v>
      </c>
    </row>
    <row r="7303" spans="1:8" customFormat="1" x14ac:dyDescent="0.25">
      <c r="A7303" t="str">
        <f>"5413713"</f>
        <v>5413713</v>
      </c>
      <c r="B7303" t="s">
        <v>7170</v>
      </c>
      <c r="C7303" t="s">
        <v>2984</v>
      </c>
      <c r="D7303" s="21" t="s">
        <v>34</v>
      </c>
      <c r="E7303" s="21" t="s">
        <v>71</v>
      </c>
      <c r="F7303">
        <v>6540047</v>
      </c>
      <c r="G7303" t="s">
        <v>5423</v>
      </c>
      <c r="H7303" s="21">
        <v>1089.67</v>
      </c>
    </row>
    <row r="7304" spans="1:8" customFormat="1" x14ac:dyDescent="0.25">
      <c r="A7304" t="str">
        <f>"5314927"</f>
        <v>5314927</v>
      </c>
      <c r="B7304" t="s">
        <v>8079</v>
      </c>
      <c r="C7304" t="s">
        <v>119</v>
      </c>
      <c r="D7304" s="21" t="s">
        <v>34</v>
      </c>
      <c r="E7304" s="21" t="s">
        <v>35</v>
      </c>
      <c r="F7304">
        <v>12530022</v>
      </c>
      <c r="G7304" t="s">
        <v>914</v>
      </c>
      <c r="H7304" s="21">
        <v>1089.67</v>
      </c>
    </row>
    <row r="7305" spans="1:8" customFormat="1" x14ac:dyDescent="0.25">
      <c r="A7305" t="str">
        <f>"44685"</f>
        <v>44685</v>
      </c>
      <c r="B7305" t="s">
        <v>2835</v>
      </c>
      <c r="C7305" t="s">
        <v>1597</v>
      </c>
      <c r="D7305" s="21" t="s">
        <v>34</v>
      </c>
      <c r="E7305" s="21" t="s">
        <v>1089</v>
      </c>
      <c r="F7305">
        <v>12440002</v>
      </c>
      <c r="G7305" t="s">
        <v>47</v>
      </c>
      <c r="H7305" s="21">
        <v>1089.67</v>
      </c>
    </row>
    <row r="7306" spans="1:8" customFormat="1" x14ac:dyDescent="0.25">
      <c r="A7306" t="str">
        <f>"846242"</f>
        <v>846242</v>
      </c>
      <c r="B7306" t="s">
        <v>8930</v>
      </c>
      <c r="C7306" t="s">
        <v>285</v>
      </c>
      <c r="D7306" s="21" t="s">
        <v>34</v>
      </c>
      <c r="E7306" s="21" t="s">
        <v>35</v>
      </c>
      <c r="F7306">
        <v>13840038</v>
      </c>
      <c r="G7306" t="s">
        <v>8931</v>
      </c>
      <c r="H7306" s="21">
        <v>1089.67</v>
      </c>
    </row>
    <row r="7307" spans="1:8" customFormat="1" x14ac:dyDescent="0.25">
      <c r="A7307" t="str">
        <f>"5910388"</f>
        <v>5910388</v>
      </c>
      <c r="B7307" t="s">
        <v>3307</v>
      </c>
      <c r="C7307" t="s">
        <v>3456</v>
      </c>
      <c r="D7307" s="21" t="s">
        <v>34</v>
      </c>
      <c r="E7307" s="21" t="s">
        <v>71</v>
      </c>
      <c r="F7307">
        <v>7590005</v>
      </c>
      <c r="G7307" t="s">
        <v>540</v>
      </c>
      <c r="H7307" s="21">
        <v>1089.67</v>
      </c>
    </row>
    <row r="7308" spans="1:8" customFormat="1" x14ac:dyDescent="0.25">
      <c r="A7308" t="str">
        <f>"5918621"</f>
        <v>5918621</v>
      </c>
      <c r="B7308" t="s">
        <v>7561</v>
      </c>
      <c r="C7308" t="s">
        <v>206</v>
      </c>
      <c r="D7308" s="21" t="s">
        <v>34</v>
      </c>
      <c r="E7308" s="21" t="s">
        <v>35</v>
      </c>
      <c r="F7308">
        <v>7590363</v>
      </c>
      <c r="G7308" t="s">
        <v>5167</v>
      </c>
      <c r="H7308" s="21">
        <v>1089.67</v>
      </c>
    </row>
    <row r="7309" spans="1:8" customFormat="1" x14ac:dyDescent="0.25">
      <c r="A7309" t="str">
        <f>"4429788"</f>
        <v>4429788</v>
      </c>
      <c r="B7309" t="s">
        <v>7828</v>
      </c>
      <c r="C7309" t="s">
        <v>204</v>
      </c>
      <c r="D7309" s="21" t="s">
        <v>34</v>
      </c>
      <c r="E7309" s="21" t="s">
        <v>35</v>
      </c>
      <c r="F7309">
        <v>12440031</v>
      </c>
      <c r="G7309" t="s">
        <v>3603</v>
      </c>
      <c r="H7309" s="21">
        <v>1089.67</v>
      </c>
    </row>
    <row r="7310" spans="1:8" customFormat="1" x14ac:dyDescent="0.25">
      <c r="A7310" t="str">
        <f>"4930879"</f>
        <v>4930879</v>
      </c>
      <c r="B7310" t="s">
        <v>2711</v>
      </c>
      <c r="C7310" t="s">
        <v>269</v>
      </c>
      <c r="D7310" s="21" t="s">
        <v>34</v>
      </c>
      <c r="E7310" s="21" t="s">
        <v>71</v>
      </c>
      <c r="F7310">
        <v>12490057</v>
      </c>
      <c r="G7310" t="s">
        <v>5946</v>
      </c>
      <c r="H7310" s="21">
        <v>1089.67</v>
      </c>
    </row>
    <row r="7311" spans="1:8" customFormat="1" x14ac:dyDescent="0.25">
      <c r="A7311" t="str">
        <f>"626952"</f>
        <v>626952</v>
      </c>
      <c r="B7311" t="s">
        <v>7483</v>
      </c>
      <c r="C7311" t="s">
        <v>33</v>
      </c>
      <c r="D7311" s="21" t="s">
        <v>34</v>
      </c>
      <c r="E7311" s="21" t="s">
        <v>71</v>
      </c>
      <c r="F7311">
        <v>7620078</v>
      </c>
      <c r="G7311" t="s">
        <v>7192</v>
      </c>
      <c r="H7311" s="21">
        <v>1089.67</v>
      </c>
    </row>
    <row r="7312" spans="1:8" customFormat="1" x14ac:dyDescent="0.25">
      <c r="A7312" t="str">
        <f>"2717504"</f>
        <v>2717504</v>
      </c>
      <c r="B7312" t="s">
        <v>3725</v>
      </c>
      <c r="C7312" t="s">
        <v>33</v>
      </c>
      <c r="D7312" s="21" t="s">
        <v>34</v>
      </c>
      <c r="E7312" s="21" t="s">
        <v>35</v>
      </c>
      <c r="F7312">
        <v>9270164</v>
      </c>
      <c r="G7312" t="s">
        <v>8686</v>
      </c>
      <c r="H7312" s="21">
        <v>1089.67</v>
      </c>
    </row>
    <row r="7313" spans="1:8" customFormat="1" x14ac:dyDescent="0.25">
      <c r="A7313" t="str">
        <f>"721260"</f>
        <v>721260</v>
      </c>
      <c r="B7313" t="s">
        <v>213</v>
      </c>
      <c r="C7313" t="s">
        <v>817</v>
      </c>
      <c r="D7313" s="21" t="s">
        <v>34</v>
      </c>
      <c r="E7313" s="21" t="s">
        <v>71</v>
      </c>
      <c r="F7313">
        <v>12720041</v>
      </c>
      <c r="G7313" t="s">
        <v>4240</v>
      </c>
      <c r="H7313" s="21">
        <v>1089.42</v>
      </c>
    </row>
    <row r="7314" spans="1:8" customFormat="1" x14ac:dyDescent="0.25">
      <c r="A7314" t="str">
        <f>"368048"</f>
        <v>368048</v>
      </c>
      <c r="B7314" t="s">
        <v>1799</v>
      </c>
      <c r="C7314" t="s">
        <v>244</v>
      </c>
      <c r="D7314" s="21" t="s">
        <v>34</v>
      </c>
      <c r="E7314" s="21" t="s">
        <v>71</v>
      </c>
      <c r="F7314">
        <v>4360454</v>
      </c>
      <c r="G7314" t="s">
        <v>637</v>
      </c>
      <c r="H7314" s="21">
        <v>1089.42</v>
      </c>
    </row>
    <row r="7315" spans="1:8" customFormat="1" x14ac:dyDescent="0.25">
      <c r="A7315" t="str">
        <f>"854556"</f>
        <v>854556</v>
      </c>
      <c r="B7315" t="s">
        <v>2978</v>
      </c>
      <c r="C7315" t="s">
        <v>415</v>
      </c>
      <c r="D7315" s="21" t="s">
        <v>34</v>
      </c>
      <c r="E7315" s="21" t="s">
        <v>254</v>
      </c>
      <c r="F7315">
        <v>12850072</v>
      </c>
      <c r="G7315" t="s">
        <v>7184</v>
      </c>
      <c r="H7315" s="21">
        <v>1089.17</v>
      </c>
    </row>
    <row r="7316" spans="1:8" customFormat="1" x14ac:dyDescent="0.25">
      <c r="A7316" t="str">
        <f>"721739"</f>
        <v>721739</v>
      </c>
      <c r="B7316" t="s">
        <v>2138</v>
      </c>
      <c r="C7316" t="s">
        <v>415</v>
      </c>
      <c r="D7316" s="21" t="s">
        <v>34</v>
      </c>
      <c r="E7316" s="21" t="s">
        <v>71</v>
      </c>
      <c r="F7316">
        <v>12720078</v>
      </c>
      <c r="G7316" t="s">
        <v>5085</v>
      </c>
      <c r="H7316" s="21">
        <v>1089.17</v>
      </c>
    </row>
    <row r="7317" spans="1:8" customFormat="1" x14ac:dyDescent="0.25">
      <c r="A7317" t="str">
        <f>"6940880"</f>
        <v>6940880</v>
      </c>
      <c r="B7317" t="s">
        <v>7469</v>
      </c>
      <c r="C7317" t="s">
        <v>114</v>
      </c>
      <c r="D7317" s="21" t="s">
        <v>34</v>
      </c>
      <c r="E7317" s="21" t="s">
        <v>71</v>
      </c>
      <c r="F7317">
        <v>1690160</v>
      </c>
      <c r="G7317" t="s">
        <v>4599</v>
      </c>
      <c r="H7317" s="21">
        <v>1089.17</v>
      </c>
    </row>
    <row r="7318" spans="1:8" customFormat="1" x14ac:dyDescent="0.25">
      <c r="A7318" t="str">
        <f>"508512"</f>
        <v>508512</v>
      </c>
      <c r="B7318" t="s">
        <v>8765</v>
      </c>
      <c r="C7318" t="s">
        <v>1914</v>
      </c>
      <c r="D7318" s="21" t="s">
        <v>34</v>
      </c>
      <c r="E7318" s="21" t="s">
        <v>71</v>
      </c>
      <c r="F7318">
        <v>9500073</v>
      </c>
      <c r="G7318" t="s">
        <v>5393</v>
      </c>
      <c r="H7318" s="21">
        <v>1089.17</v>
      </c>
    </row>
    <row r="7319" spans="1:8" customFormat="1" x14ac:dyDescent="0.25">
      <c r="A7319" t="str">
        <f>"4931744"</f>
        <v>4931744</v>
      </c>
      <c r="B7319" t="s">
        <v>2726</v>
      </c>
      <c r="C7319" t="s">
        <v>493</v>
      </c>
      <c r="D7319" s="21" t="s">
        <v>34</v>
      </c>
      <c r="E7319" s="21" t="s">
        <v>35</v>
      </c>
      <c r="F7319">
        <v>12490120</v>
      </c>
      <c r="G7319" t="s">
        <v>2316</v>
      </c>
      <c r="H7319" s="21">
        <v>1089.17</v>
      </c>
    </row>
    <row r="7320" spans="1:8" customFormat="1" x14ac:dyDescent="0.25">
      <c r="A7320" t="str">
        <f>"854721"</f>
        <v>854721</v>
      </c>
      <c r="B7320" t="s">
        <v>7534</v>
      </c>
      <c r="C7320" t="s">
        <v>267</v>
      </c>
      <c r="D7320" s="21" t="s">
        <v>34</v>
      </c>
      <c r="E7320" s="21" t="s">
        <v>71</v>
      </c>
      <c r="F7320">
        <v>12850034</v>
      </c>
      <c r="G7320" t="s">
        <v>7112</v>
      </c>
      <c r="H7320" s="21">
        <v>1089.17</v>
      </c>
    </row>
    <row r="7321" spans="1:8" customFormat="1" x14ac:dyDescent="0.25">
      <c r="A7321" t="str">
        <f>"185202"</f>
        <v>185202</v>
      </c>
      <c r="B7321" t="s">
        <v>8024</v>
      </c>
      <c r="C7321" t="s">
        <v>119</v>
      </c>
      <c r="D7321" s="21" t="s">
        <v>34</v>
      </c>
      <c r="E7321" s="21" t="s">
        <v>35</v>
      </c>
      <c r="F7321">
        <v>4180727</v>
      </c>
      <c r="G7321" t="s">
        <v>8025</v>
      </c>
      <c r="H7321" s="21">
        <v>1089.17</v>
      </c>
    </row>
    <row r="7322" spans="1:8" customFormat="1" x14ac:dyDescent="0.25">
      <c r="A7322" t="str">
        <f>"517902"</f>
        <v>517902</v>
      </c>
      <c r="B7322" t="s">
        <v>8954</v>
      </c>
      <c r="C7322" t="s">
        <v>114</v>
      </c>
      <c r="D7322" s="21" t="s">
        <v>34</v>
      </c>
      <c r="E7322" s="21" t="s">
        <v>71</v>
      </c>
      <c r="F7322">
        <v>6510002</v>
      </c>
      <c r="G7322" t="s">
        <v>4588</v>
      </c>
      <c r="H7322" s="21">
        <v>1089.17</v>
      </c>
    </row>
    <row r="7323" spans="1:8" customFormat="1" x14ac:dyDescent="0.25">
      <c r="A7323" t="str">
        <f>"7632500"</f>
        <v>7632500</v>
      </c>
      <c r="B7323" t="s">
        <v>8880</v>
      </c>
      <c r="C7323" t="s">
        <v>60</v>
      </c>
      <c r="D7323" s="21" t="s">
        <v>34</v>
      </c>
      <c r="E7323" s="21" t="s">
        <v>35</v>
      </c>
      <c r="F7323">
        <v>9760291</v>
      </c>
      <c r="G7323" t="s">
        <v>26611</v>
      </c>
      <c r="H7323" s="21">
        <v>1089.04</v>
      </c>
    </row>
    <row r="7324" spans="1:8" customFormat="1" x14ac:dyDescent="0.25">
      <c r="A7324" t="str">
        <f>"381616"</f>
        <v>381616</v>
      </c>
      <c r="B7324" t="s">
        <v>8228</v>
      </c>
      <c r="C7324" t="s">
        <v>3648</v>
      </c>
      <c r="D7324" s="21" t="s">
        <v>34</v>
      </c>
      <c r="E7324" s="21" t="s">
        <v>1089</v>
      </c>
      <c r="F7324">
        <v>6550009</v>
      </c>
      <c r="G7324" t="s">
        <v>7080</v>
      </c>
      <c r="H7324" s="21">
        <v>1088.92</v>
      </c>
    </row>
    <row r="7325" spans="1:8" customFormat="1" x14ac:dyDescent="0.25">
      <c r="A7325" t="str">
        <f>"9129674"</f>
        <v>9129674</v>
      </c>
      <c r="B7325" t="s">
        <v>7302</v>
      </c>
      <c r="C7325" t="s">
        <v>33</v>
      </c>
      <c r="D7325" s="21" t="s">
        <v>34</v>
      </c>
      <c r="E7325" s="21" t="s">
        <v>71</v>
      </c>
      <c r="F7325">
        <v>8911456</v>
      </c>
      <c r="G7325" t="s">
        <v>6481</v>
      </c>
      <c r="H7325" s="21">
        <v>1088.92</v>
      </c>
    </row>
    <row r="7326" spans="1:8" customFormat="1" x14ac:dyDescent="0.25">
      <c r="A7326" t="str">
        <f>"3318951"</f>
        <v>3318951</v>
      </c>
      <c r="B7326" t="s">
        <v>5633</v>
      </c>
      <c r="C7326" t="s">
        <v>109</v>
      </c>
      <c r="D7326" s="21" t="s">
        <v>34</v>
      </c>
      <c r="E7326" s="21" t="s">
        <v>35</v>
      </c>
      <c r="F7326">
        <v>10330080</v>
      </c>
      <c r="G7326" t="s">
        <v>5634</v>
      </c>
      <c r="H7326" s="21">
        <v>1088.92</v>
      </c>
    </row>
    <row r="7327" spans="1:8" customFormat="1" x14ac:dyDescent="0.25">
      <c r="A7327" t="str">
        <f>"533132"</f>
        <v>533132</v>
      </c>
      <c r="B7327" t="s">
        <v>8089</v>
      </c>
      <c r="C7327" t="s">
        <v>139</v>
      </c>
      <c r="D7327" s="21" t="s">
        <v>34</v>
      </c>
      <c r="E7327" s="21" t="s">
        <v>254</v>
      </c>
      <c r="F7327">
        <v>12530035</v>
      </c>
      <c r="G7327" t="s">
        <v>1663</v>
      </c>
      <c r="H7327" s="21">
        <v>1088.67</v>
      </c>
    </row>
    <row r="7328" spans="1:8" customFormat="1" x14ac:dyDescent="0.25">
      <c r="A7328" t="str">
        <f>"269107"</f>
        <v>269107</v>
      </c>
      <c r="B7328" t="s">
        <v>8657</v>
      </c>
      <c r="C7328" t="s">
        <v>144</v>
      </c>
      <c r="D7328" s="21" t="s">
        <v>34</v>
      </c>
      <c r="E7328" s="21" t="s">
        <v>35</v>
      </c>
      <c r="F7328">
        <v>1260045</v>
      </c>
      <c r="G7328" t="s">
        <v>401</v>
      </c>
      <c r="H7328" s="21">
        <v>1088.67</v>
      </c>
    </row>
    <row r="7329" spans="1:8" customFormat="1" x14ac:dyDescent="0.25">
      <c r="A7329" t="str">
        <f>"911298"</f>
        <v>911298</v>
      </c>
      <c r="B7329" t="s">
        <v>5069</v>
      </c>
      <c r="C7329" t="s">
        <v>269</v>
      </c>
      <c r="D7329" s="21" t="s">
        <v>34</v>
      </c>
      <c r="E7329" s="21" t="s">
        <v>71</v>
      </c>
      <c r="F7329">
        <v>8910881</v>
      </c>
      <c r="G7329" t="s">
        <v>1300</v>
      </c>
      <c r="H7329" s="21">
        <v>1088.67</v>
      </c>
    </row>
    <row r="7330" spans="1:8" customFormat="1" x14ac:dyDescent="0.25">
      <c r="A7330" t="str">
        <f>"6312511"</f>
        <v>6312511</v>
      </c>
      <c r="B7330" t="s">
        <v>8340</v>
      </c>
      <c r="C7330" t="s">
        <v>486</v>
      </c>
      <c r="D7330" s="21" t="s">
        <v>34</v>
      </c>
      <c r="E7330" s="21" t="s">
        <v>71</v>
      </c>
      <c r="F7330">
        <v>1630318</v>
      </c>
      <c r="G7330" t="s">
        <v>8341</v>
      </c>
      <c r="H7330" s="21">
        <v>1088.67</v>
      </c>
    </row>
    <row r="7331" spans="1:8" customFormat="1" x14ac:dyDescent="0.25">
      <c r="A7331" t="str">
        <f>"572124"</f>
        <v>572124</v>
      </c>
      <c r="B7331" t="s">
        <v>6296</v>
      </c>
      <c r="C7331" t="s">
        <v>114</v>
      </c>
      <c r="D7331" s="21" t="s">
        <v>34</v>
      </c>
      <c r="E7331" s="21" t="s">
        <v>254</v>
      </c>
      <c r="F7331">
        <v>13840028</v>
      </c>
      <c r="G7331" t="s">
        <v>4139</v>
      </c>
      <c r="H7331" s="21">
        <v>1088.67</v>
      </c>
    </row>
    <row r="7332" spans="1:8" customFormat="1" x14ac:dyDescent="0.25">
      <c r="A7332" t="str">
        <f>"4420849"</f>
        <v>4420849</v>
      </c>
      <c r="B7332" t="s">
        <v>853</v>
      </c>
      <c r="C7332" t="s">
        <v>114</v>
      </c>
      <c r="D7332" s="21" t="s">
        <v>34</v>
      </c>
      <c r="E7332" s="21" t="s">
        <v>71</v>
      </c>
      <c r="F7332">
        <v>12440176</v>
      </c>
      <c r="G7332" t="s">
        <v>1020</v>
      </c>
      <c r="H7332" s="21">
        <v>1088.67</v>
      </c>
    </row>
    <row r="7333" spans="1:8" customFormat="1" x14ac:dyDescent="0.25">
      <c r="A7333" t="str">
        <f>"7717646"</f>
        <v>7717646</v>
      </c>
      <c r="B7333" t="s">
        <v>8160</v>
      </c>
      <c r="C7333" t="s">
        <v>87</v>
      </c>
      <c r="D7333" s="21" t="s">
        <v>34</v>
      </c>
      <c r="E7333" s="21" t="s">
        <v>35</v>
      </c>
      <c r="F7333">
        <v>2890005</v>
      </c>
      <c r="G7333" t="s">
        <v>2889</v>
      </c>
      <c r="H7333" s="21">
        <v>1088.67</v>
      </c>
    </row>
    <row r="7334" spans="1:8" customFormat="1" x14ac:dyDescent="0.25">
      <c r="A7334" t="str">
        <f>"9315906"</f>
        <v>9315906</v>
      </c>
      <c r="B7334" t="s">
        <v>7383</v>
      </c>
      <c r="C7334" t="s">
        <v>275</v>
      </c>
      <c r="D7334" s="21" t="s">
        <v>34</v>
      </c>
      <c r="E7334" s="21" t="s">
        <v>35</v>
      </c>
      <c r="F7334">
        <v>8930113</v>
      </c>
      <c r="G7334" t="s">
        <v>368</v>
      </c>
      <c r="H7334" s="21">
        <v>1088.67</v>
      </c>
    </row>
    <row r="7335" spans="1:8" customFormat="1" x14ac:dyDescent="0.25">
      <c r="A7335" t="str">
        <f>"593794"</f>
        <v>593794</v>
      </c>
      <c r="B7335" t="s">
        <v>4748</v>
      </c>
      <c r="C7335" t="s">
        <v>576</v>
      </c>
      <c r="D7335" s="21" t="s">
        <v>34</v>
      </c>
      <c r="E7335" s="21" t="s">
        <v>35</v>
      </c>
      <c r="F7335">
        <v>7590231</v>
      </c>
      <c r="G7335" t="s">
        <v>207</v>
      </c>
      <c r="H7335" s="21">
        <v>1088.67</v>
      </c>
    </row>
    <row r="7336" spans="1:8" customFormat="1" x14ac:dyDescent="0.25">
      <c r="A7336" t="str">
        <f>"279838"</f>
        <v>279838</v>
      </c>
      <c r="B7336" t="s">
        <v>8481</v>
      </c>
      <c r="C7336" t="s">
        <v>8482</v>
      </c>
      <c r="D7336" s="21" t="s">
        <v>34</v>
      </c>
      <c r="E7336" s="21" t="s">
        <v>35</v>
      </c>
      <c r="F7336">
        <v>6670201</v>
      </c>
      <c r="G7336" t="s">
        <v>8483</v>
      </c>
      <c r="H7336" s="21">
        <v>1088.67</v>
      </c>
    </row>
    <row r="7337" spans="1:8" customFormat="1" x14ac:dyDescent="0.25">
      <c r="A7337" t="str">
        <f>"6724947"</f>
        <v>6724947</v>
      </c>
      <c r="B7337" t="s">
        <v>105</v>
      </c>
      <c r="C7337" t="s">
        <v>211</v>
      </c>
      <c r="D7337" s="21" t="s">
        <v>34</v>
      </c>
      <c r="E7337" s="21" t="s">
        <v>35</v>
      </c>
      <c r="F7337">
        <v>6670160</v>
      </c>
      <c r="G7337" t="s">
        <v>908</v>
      </c>
      <c r="H7337" s="21">
        <v>1088.55</v>
      </c>
    </row>
    <row r="7338" spans="1:8" customFormat="1" x14ac:dyDescent="0.25">
      <c r="A7338" t="str">
        <f>"754162"</f>
        <v>754162</v>
      </c>
      <c r="B7338" t="s">
        <v>7023</v>
      </c>
      <c r="C7338" t="s">
        <v>1597</v>
      </c>
      <c r="D7338" s="21" t="s">
        <v>34</v>
      </c>
      <c r="E7338" s="21" t="s">
        <v>35</v>
      </c>
      <c r="F7338">
        <v>8750400</v>
      </c>
      <c r="G7338" t="s">
        <v>2804</v>
      </c>
      <c r="H7338" s="21">
        <v>1088.42</v>
      </c>
    </row>
    <row r="7339" spans="1:8" customFormat="1" x14ac:dyDescent="0.25">
      <c r="A7339" t="str">
        <f>"952472"</f>
        <v>952472</v>
      </c>
      <c r="B7339" t="s">
        <v>8035</v>
      </c>
      <c r="C7339" t="s">
        <v>926</v>
      </c>
      <c r="D7339" s="21" t="s">
        <v>34</v>
      </c>
      <c r="E7339" s="21" t="s">
        <v>71</v>
      </c>
      <c r="F7339">
        <v>8950103</v>
      </c>
      <c r="G7339" t="s">
        <v>440</v>
      </c>
      <c r="H7339" s="21">
        <v>1088.42</v>
      </c>
    </row>
    <row r="7340" spans="1:8" customFormat="1" x14ac:dyDescent="0.25">
      <c r="A7340" t="str">
        <f>"9514338"</f>
        <v>9514338</v>
      </c>
      <c r="B7340" t="s">
        <v>9226</v>
      </c>
      <c r="C7340" t="s">
        <v>2132</v>
      </c>
      <c r="D7340" s="21" t="s">
        <v>34</v>
      </c>
      <c r="E7340" s="21" t="s">
        <v>35</v>
      </c>
      <c r="F7340">
        <v>12440197</v>
      </c>
      <c r="G7340" t="s">
        <v>1101</v>
      </c>
      <c r="H7340" s="21">
        <v>1088.3</v>
      </c>
    </row>
    <row r="7341" spans="1:8" customFormat="1" x14ac:dyDescent="0.25">
      <c r="A7341" t="str">
        <f>"782056"</f>
        <v>782056</v>
      </c>
      <c r="B7341" t="s">
        <v>7876</v>
      </c>
      <c r="C7341" t="s">
        <v>453</v>
      </c>
      <c r="D7341" s="21" t="s">
        <v>34</v>
      </c>
      <c r="E7341" s="21" t="s">
        <v>1089</v>
      </c>
      <c r="F7341">
        <v>8910914</v>
      </c>
      <c r="G7341" t="s">
        <v>3302</v>
      </c>
      <c r="H7341" s="21">
        <v>1088.3</v>
      </c>
    </row>
    <row r="7342" spans="1:8" customFormat="1" x14ac:dyDescent="0.25">
      <c r="A7342" t="str">
        <f>"5416370"</f>
        <v>5416370</v>
      </c>
      <c r="B7342" t="s">
        <v>7830</v>
      </c>
      <c r="C7342" t="s">
        <v>7831</v>
      </c>
      <c r="D7342" s="21" t="s">
        <v>34</v>
      </c>
      <c r="E7342" s="21" t="s">
        <v>35</v>
      </c>
      <c r="F7342">
        <v>6540010</v>
      </c>
      <c r="G7342" t="s">
        <v>7832</v>
      </c>
      <c r="H7342" s="21">
        <v>1088.17</v>
      </c>
    </row>
    <row r="7343" spans="1:8" customFormat="1" x14ac:dyDescent="0.25">
      <c r="A7343" t="str">
        <f>"4929754"</f>
        <v>4929754</v>
      </c>
      <c r="B7343" t="s">
        <v>509</v>
      </c>
      <c r="C7343" t="s">
        <v>55</v>
      </c>
      <c r="D7343" s="21" t="s">
        <v>34</v>
      </c>
      <c r="E7343" s="21" t="s">
        <v>35</v>
      </c>
      <c r="F7343">
        <v>12490080</v>
      </c>
      <c r="G7343" t="s">
        <v>5692</v>
      </c>
      <c r="H7343" s="21">
        <v>1088.17</v>
      </c>
    </row>
    <row r="7344" spans="1:8" customFormat="1" x14ac:dyDescent="0.25">
      <c r="A7344" t="str">
        <f>"588266"</f>
        <v>588266</v>
      </c>
      <c r="B7344" t="s">
        <v>8426</v>
      </c>
      <c r="C7344" t="s">
        <v>2904</v>
      </c>
      <c r="D7344" s="21" t="s">
        <v>34</v>
      </c>
      <c r="E7344" s="21" t="s">
        <v>71</v>
      </c>
      <c r="F7344">
        <v>2580006</v>
      </c>
      <c r="G7344" t="s">
        <v>4813</v>
      </c>
      <c r="H7344" s="21">
        <v>1088.17</v>
      </c>
    </row>
    <row r="7345" spans="1:8" customFormat="1" x14ac:dyDescent="0.25">
      <c r="A7345" t="str">
        <f>"938769"</f>
        <v>938769</v>
      </c>
      <c r="B7345" t="s">
        <v>6431</v>
      </c>
      <c r="C7345" t="s">
        <v>1132</v>
      </c>
      <c r="D7345" s="21" t="s">
        <v>34</v>
      </c>
      <c r="E7345" s="21" t="s">
        <v>71</v>
      </c>
      <c r="F7345">
        <v>8931011</v>
      </c>
      <c r="G7345" t="s">
        <v>530</v>
      </c>
      <c r="H7345" s="21">
        <v>1088.17</v>
      </c>
    </row>
    <row r="7346" spans="1:8" customFormat="1" x14ac:dyDescent="0.25">
      <c r="A7346" t="str">
        <f>"608748"</f>
        <v>608748</v>
      </c>
      <c r="B7346" t="s">
        <v>6913</v>
      </c>
      <c r="C7346" t="s">
        <v>209</v>
      </c>
      <c r="D7346" s="21" t="s">
        <v>34</v>
      </c>
      <c r="E7346" s="21" t="s">
        <v>254</v>
      </c>
      <c r="F7346">
        <v>7600111</v>
      </c>
      <c r="G7346" t="s">
        <v>6914</v>
      </c>
      <c r="H7346" s="21">
        <v>1088.17</v>
      </c>
    </row>
    <row r="7347" spans="1:8" customFormat="1" x14ac:dyDescent="0.25">
      <c r="A7347" t="str">
        <f>"41401"</f>
        <v>41401</v>
      </c>
      <c r="B7347" t="s">
        <v>7725</v>
      </c>
      <c r="C7347" t="s">
        <v>55</v>
      </c>
      <c r="D7347" s="21" t="s">
        <v>34</v>
      </c>
      <c r="E7347" s="21" t="s">
        <v>35</v>
      </c>
      <c r="F7347">
        <v>4410083</v>
      </c>
      <c r="G7347" t="s">
        <v>2333</v>
      </c>
      <c r="H7347" s="21">
        <v>1088.17</v>
      </c>
    </row>
    <row r="7348" spans="1:8" customFormat="1" x14ac:dyDescent="0.25">
      <c r="A7348" t="str">
        <f>"937401"</f>
        <v>937401</v>
      </c>
      <c r="B7348" t="s">
        <v>7761</v>
      </c>
      <c r="C7348" t="s">
        <v>198</v>
      </c>
      <c r="D7348" s="21" t="s">
        <v>34</v>
      </c>
      <c r="E7348" s="21" t="s">
        <v>71</v>
      </c>
      <c r="F7348">
        <v>8931057</v>
      </c>
      <c r="G7348" t="s">
        <v>1011</v>
      </c>
      <c r="H7348" s="21">
        <v>1088.05</v>
      </c>
    </row>
    <row r="7349" spans="1:8" customFormat="1" x14ac:dyDescent="0.25">
      <c r="A7349" t="str">
        <f>"9527958"</f>
        <v>9527958</v>
      </c>
      <c r="B7349" t="s">
        <v>7732</v>
      </c>
      <c r="C7349" t="s">
        <v>263</v>
      </c>
      <c r="D7349" s="21" t="s">
        <v>34</v>
      </c>
      <c r="E7349" s="21" t="s">
        <v>254</v>
      </c>
      <c r="F7349">
        <v>8950479</v>
      </c>
      <c r="G7349" t="s">
        <v>728</v>
      </c>
      <c r="H7349" s="21">
        <v>1087.67</v>
      </c>
    </row>
    <row r="7350" spans="1:8" customFormat="1" x14ac:dyDescent="0.25">
      <c r="A7350" t="str">
        <f>"2717"</f>
        <v>2717</v>
      </c>
      <c r="B7350" t="s">
        <v>6650</v>
      </c>
      <c r="C7350" t="s">
        <v>43</v>
      </c>
      <c r="D7350" s="21" t="s">
        <v>34</v>
      </c>
      <c r="E7350" s="21" t="s">
        <v>35</v>
      </c>
      <c r="F7350">
        <v>9270005</v>
      </c>
      <c r="G7350" t="s">
        <v>1255</v>
      </c>
      <c r="H7350" s="21">
        <v>1087.67</v>
      </c>
    </row>
    <row r="7351" spans="1:8" customFormat="1" x14ac:dyDescent="0.25">
      <c r="A7351" t="str">
        <f>"168571"</f>
        <v>168571</v>
      </c>
      <c r="B7351" t="s">
        <v>400</v>
      </c>
      <c r="C7351" t="s">
        <v>55</v>
      </c>
      <c r="D7351" s="21" t="s">
        <v>34</v>
      </c>
      <c r="E7351" s="21" t="s">
        <v>35</v>
      </c>
      <c r="F7351">
        <v>10160197</v>
      </c>
      <c r="G7351" t="s">
        <v>4472</v>
      </c>
      <c r="H7351" s="21">
        <v>1087.67</v>
      </c>
    </row>
    <row r="7352" spans="1:8" customFormat="1" x14ac:dyDescent="0.25">
      <c r="A7352" t="str">
        <f>"11615"</f>
        <v>11615</v>
      </c>
      <c r="B7352" t="s">
        <v>6278</v>
      </c>
      <c r="C7352" t="s">
        <v>664</v>
      </c>
      <c r="D7352" s="21" t="s">
        <v>34</v>
      </c>
      <c r="E7352" s="21" t="s">
        <v>35</v>
      </c>
      <c r="F7352">
        <v>11110013</v>
      </c>
      <c r="G7352" t="s">
        <v>640</v>
      </c>
      <c r="H7352" s="21">
        <v>1087.67</v>
      </c>
    </row>
    <row r="7353" spans="1:8" customFormat="1" x14ac:dyDescent="0.25">
      <c r="A7353" t="str">
        <f>"29400"</f>
        <v>29400</v>
      </c>
      <c r="B7353" t="s">
        <v>7291</v>
      </c>
      <c r="C7353" t="s">
        <v>598</v>
      </c>
      <c r="D7353" s="21" t="s">
        <v>34</v>
      </c>
      <c r="E7353" s="21" t="s">
        <v>71</v>
      </c>
      <c r="F7353">
        <v>3290264</v>
      </c>
      <c r="G7353" t="s">
        <v>6934</v>
      </c>
      <c r="H7353" s="21">
        <v>1087.67</v>
      </c>
    </row>
    <row r="7354" spans="1:8" customFormat="1" x14ac:dyDescent="0.25">
      <c r="A7354" t="str">
        <f>"918611"</f>
        <v>918611</v>
      </c>
      <c r="B7354" t="s">
        <v>210</v>
      </c>
      <c r="C7354" t="s">
        <v>55</v>
      </c>
      <c r="D7354" s="21" t="s">
        <v>34</v>
      </c>
      <c r="E7354" s="21" t="s">
        <v>35</v>
      </c>
      <c r="F7354">
        <v>8911064</v>
      </c>
      <c r="G7354" t="s">
        <v>2209</v>
      </c>
      <c r="H7354" s="21">
        <v>1087.67</v>
      </c>
    </row>
    <row r="7355" spans="1:8" customFormat="1" x14ac:dyDescent="0.25">
      <c r="A7355" t="str">
        <f>"44432"</f>
        <v>44432</v>
      </c>
      <c r="B7355" t="s">
        <v>5930</v>
      </c>
      <c r="C7355" t="s">
        <v>233</v>
      </c>
      <c r="D7355" s="21" t="s">
        <v>34</v>
      </c>
      <c r="E7355" s="21" t="s">
        <v>71</v>
      </c>
      <c r="F7355">
        <v>12440014</v>
      </c>
      <c r="G7355" t="s">
        <v>6767</v>
      </c>
      <c r="H7355" s="21">
        <v>1087.67</v>
      </c>
    </row>
    <row r="7356" spans="1:8" customFormat="1" x14ac:dyDescent="0.25">
      <c r="A7356" t="str">
        <f>"5727724"</f>
        <v>5727724</v>
      </c>
      <c r="B7356" t="s">
        <v>8332</v>
      </c>
      <c r="C7356" t="s">
        <v>124</v>
      </c>
      <c r="D7356" s="21" t="s">
        <v>34</v>
      </c>
      <c r="E7356" s="21" t="s">
        <v>35</v>
      </c>
      <c r="F7356">
        <v>6570057</v>
      </c>
      <c r="G7356" t="s">
        <v>8333</v>
      </c>
      <c r="H7356" s="21">
        <v>1087.67</v>
      </c>
    </row>
    <row r="7357" spans="1:8" customFormat="1" x14ac:dyDescent="0.25">
      <c r="A7357" t="str">
        <f>"3521885"</f>
        <v>3521885</v>
      </c>
      <c r="B7357" t="s">
        <v>10711</v>
      </c>
      <c r="C7357" t="s">
        <v>124</v>
      </c>
      <c r="D7357" s="21" t="s">
        <v>34</v>
      </c>
      <c r="E7357" s="21" t="s">
        <v>71</v>
      </c>
      <c r="F7357">
        <v>3350057</v>
      </c>
      <c r="G7357" t="s">
        <v>10712</v>
      </c>
      <c r="H7357" s="21">
        <v>1087.67</v>
      </c>
    </row>
    <row r="7358" spans="1:8" customFormat="1" x14ac:dyDescent="0.25">
      <c r="A7358" t="str">
        <f>"783605"</f>
        <v>783605</v>
      </c>
      <c r="B7358" t="s">
        <v>7638</v>
      </c>
      <c r="C7358" t="s">
        <v>62</v>
      </c>
      <c r="D7358" s="21" t="s">
        <v>34</v>
      </c>
      <c r="E7358" s="21" t="s">
        <v>35</v>
      </c>
      <c r="F7358">
        <v>8781473</v>
      </c>
      <c r="G7358" t="s">
        <v>1097</v>
      </c>
      <c r="H7358" s="21">
        <v>1087.67</v>
      </c>
    </row>
    <row r="7359" spans="1:8" customFormat="1" x14ac:dyDescent="0.25">
      <c r="A7359" t="str">
        <f>"642153"</f>
        <v>642153</v>
      </c>
      <c r="B7359" t="s">
        <v>26984</v>
      </c>
      <c r="C7359" t="s">
        <v>631</v>
      </c>
      <c r="D7359" s="21" t="s">
        <v>34</v>
      </c>
      <c r="E7359" s="21" t="s">
        <v>35</v>
      </c>
      <c r="F7359">
        <v>11310126</v>
      </c>
      <c r="G7359" t="s">
        <v>3383</v>
      </c>
      <c r="H7359" s="21">
        <v>1087.67</v>
      </c>
    </row>
    <row r="7360" spans="1:8" customFormat="1" x14ac:dyDescent="0.25">
      <c r="A7360" t="str">
        <f>"8516449"</f>
        <v>8516449</v>
      </c>
      <c r="B7360" t="s">
        <v>7731</v>
      </c>
      <c r="C7360" t="s">
        <v>33</v>
      </c>
      <c r="D7360" s="21" t="s">
        <v>34</v>
      </c>
      <c r="E7360" s="21" t="s">
        <v>35</v>
      </c>
      <c r="F7360">
        <v>12490040</v>
      </c>
      <c r="G7360" t="s">
        <v>94</v>
      </c>
      <c r="H7360" s="21">
        <v>1087.67</v>
      </c>
    </row>
    <row r="7361" spans="1:8" customFormat="1" x14ac:dyDescent="0.25">
      <c r="A7361" t="str">
        <f>"888127"</f>
        <v>888127</v>
      </c>
      <c r="B7361" t="s">
        <v>7623</v>
      </c>
      <c r="C7361" t="s">
        <v>62</v>
      </c>
      <c r="D7361" s="21" t="s">
        <v>34</v>
      </c>
      <c r="E7361" s="21" t="s">
        <v>35</v>
      </c>
      <c r="F7361">
        <v>6520004</v>
      </c>
      <c r="G7361" t="s">
        <v>5152</v>
      </c>
      <c r="H7361" s="21">
        <v>1087.67</v>
      </c>
    </row>
    <row r="7362" spans="1:8" customFormat="1" x14ac:dyDescent="0.25">
      <c r="A7362" t="str">
        <f>"8520109"</f>
        <v>8520109</v>
      </c>
      <c r="B7362" t="s">
        <v>8202</v>
      </c>
      <c r="C7362" t="s">
        <v>288</v>
      </c>
      <c r="D7362" s="21" t="s">
        <v>34</v>
      </c>
      <c r="E7362" s="21" t="s">
        <v>35</v>
      </c>
      <c r="F7362">
        <v>12440266</v>
      </c>
      <c r="G7362" t="s">
        <v>924</v>
      </c>
      <c r="H7362" s="21">
        <v>1087.67</v>
      </c>
    </row>
    <row r="7363" spans="1:8" customFormat="1" x14ac:dyDescent="0.25">
      <c r="A7363" t="str">
        <f>"243831"</f>
        <v>243831</v>
      </c>
      <c r="B7363" t="s">
        <v>1737</v>
      </c>
      <c r="C7363" t="s">
        <v>320</v>
      </c>
      <c r="D7363" s="21" t="s">
        <v>34</v>
      </c>
      <c r="E7363" s="21" t="s">
        <v>35</v>
      </c>
      <c r="F7363">
        <v>10240005</v>
      </c>
      <c r="G7363" t="s">
        <v>2496</v>
      </c>
      <c r="H7363" s="21">
        <v>1087.67</v>
      </c>
    </row>
    <row r="7364" spans="1:8" customFormat="1" x14ac:dyDescent="0.25">
      <c r="A7364" t="str">
        <f>"7857314"</f>
        <v>7857314</v>
      </c>
      <c r="B7364" t="s">
        <v>7618</v>
      </c>
      <c r="C7364" t="s">
        <v>151</v>
      </c>
      <c r="D7364" s="21" t="s">
        <v>34</v>
      </c>
      <c r="E7364" s="21" t="s">
        <v>71</v>
      </c>
      <c r="F7364">
        <v>8780440</v>
      </c>
      <c r="G7364" t="s">
        <v>6629</v>
      </c>
      <c r="H7364" s="21">
        <v>1087.67</v>
      </c>
    </row>
    <row r="7365" spans="1:8" customFormat="1" x14ac:dyDescent="0.25">
      <c r="A7365" t="str">
        <f>"10375"</f>
        <v>10375</v>
      </c>
      <c r="B7365" t="s">
        <v>7504</v>
      </c>
      <c r="C7365" t="s">
        <v>967</v>
      </c>
      <c r="D7365" s="21" t="s">
        <v>34</v>
      </c>
      <c r="E7365" s="21" t="s">
        <v>71</v>
      </c>
      <c r="F7365">
        <v>6100035</v>
      </c>
      <c r="G7365" t="s">
        <v>26807</v>
      </c>
      <c r="H7365" s="21">
        <v>1087.67</v>
      </c>
    </row>
    <row r="7366" spans="1:8" customFormat="1" x14ac:dyDescent="0.25">
      <c r="A7366" t="str">
        <f>"014971"</f>
        <v>014971</v>
      </c>
      <c r="B7366" t="s">
        <v>26985</v>
      </c>
      <c r="C7366" t="s">
        <v>60</v>
      </c>
      <c r="D7366" s="21" t="s">
        <v>34</v>
      </c>
      <c r="E7366" s="21" t="s">
        <v>35</v>
      </c>
      <c r="F7366">
        <v>1010001</v>
      </c>
      <c r="G7366" t="s">
        <v>2161</v>
      </c>
      <c r="H7366" s="21">
        <v>1087.42</v>
      </c>
    </row>
    <row r="7367" spans="1:8" customFormat="1" x14ac:dyDescent="0.25">
      <c r="A7367" t="str">
        <f>"41708"</f>
        <v>41708</v>
      </c>
      <c r="B7367" t="s">
        <v>8836</v>
      </c>
      <c r="C7367" t="s">
        <v>90</v>
      </c>
      <c r="D7367" s="21" t="s">
        <v>34</v>
      </c>
      <c r="E7367" s="21" t="s">
        <v>71</v>
      </c>
      <c r="F7367">
        <v>4410718</v>
      </c>
      <c r="G7367" t="s">
        <v>5963</v>
      </c>
      <c r="H7367" s="21">
        <v>1087.17</v>
      </c>
    </row>
    <row r="7368" spans="1:8" customFormat="1" x14ac:dyDescent="0.25">
      <c r="A7368" t="str">
        <f>"221233"</f>
        <v>221233</v>
      </c>
      <c r="B7368" t="s">
        <v>1185</v>
      </c>
      <c r="C7368" t="s">
        <v>598</v>
      </c>
      <c r="D7368" s="21" t="s">
        <v>34</v>
      </c>
      <c r="E7368" s="21" t="s">
        <v>71</v>
      </c>
      <c r="F7368">
        <v>3220004</v>
      </c>
      <c r="G7368" t="s">
        <v>26986</v>
      </c>
      <c r="H7368" s="21">
        <v>1087.17</v>
      </c>
    </row>
    <row r="7369" spans="1:8" customFormat="1" x14ac:dyDescent="0.25">
      <c r="A7369" t="str">
        <f>"167589"</f>
        <v>167589</v>
      </c>
      <c r="B7369" t="s">
        <v>7362</v>
      </c>
      <c r="C7369" t="s">
        <v>263</v>
      </c>
      <c r="D7369" s="21" t="s">
        <v>34</v>
      </c>
      <c r="E7369" s="21" t="s">
        <v>71</v>
      </c>
      <c r="F7369">
        <v>10160232</v>
      </c>
      <c r="G7369" t="s">
        <v>2882</v>
      </c>
      <c r="H7369" s="21">
        <v>1087.17</v>
      </c>
    </row>
    <row r="7370" spans="1:8" customFormat="1" x14ac:dyDescent="0.25">
      <c r="A7370" t="str">
        <f>"5944410"</f>
        <v>5944410</v>
      </c>
      <c r="B7370" t="s">
        <v>8650</v>
      </c>
      <c r="C7370" t="s">
        <v>65</v>
      </c>
      <c r="D7370" s="21" t="s">
        <v>34</v>
      </c>
      <c r="E7370" s="21" t="s">
        <v>35</v>
      </c>
      <c r="F7370">
        <v>7590171</v>
      </c>
      <c r="G7370" t="s">
        <v>4159</v>
      </c>
      <c r="H7370" s="21">
        <v>1087.17</v>
      </c>
    </row>
    <row r="7371" spans="1:8" customFormat="1" x14ac:dyDescent="0.25">
      <c r="A7371" t="str">
        <f>"631109"</f>
        <v>631109</v>
      </c>
      <c r="B7371" t="s">
        <v>8290</v>
      </c>
      <c r="C7371" t="s">
        <v>249</v>
      </c>
      <c r="D7371" s="21" t="s">
        <v>34</v>
      </c>
      <c r="E7371" s="21" t="s">
        <v>35</v>
      </c>
      <c r="F7371">
        <v>1630317</v>
      </c>
      <c r="G7371" t="s">
        <v>7523</v>
      </c>
      <c r="H7371" s="21">
        <v>1087.17</v>
      </c>
    </row>
    <row r="7372" spans="1:8" customFormat="1" x14ac:dyDescent="0.25">
      <c r="A7372" t="str">
        <f>"339987"</f>
        <v>339987</v>
      </c>
      <c r="B7372" t="s">
        <v>8323</v>
      </c>
      <c r="C7372" t="s">
        <v>631</v>
      </c>
      <c r="D7372" s="21" t="s">
        <v>34</v>
      </c>
      <c r="E7372" s="21" t="s">
        <v>35</v>
      </c>
      <c r="F7372">
        <v>10330093</v>
      </c>
      <c r="G7372" t="s">
        <v>8324</v>
      </c>
      <c r="H7372" s="21">
        <v>1087.05</v>
      </c>
    </row>
    <row r="7373" spans="1:8" customFormat="1" x14ac:dyDescent="0.25">
      <c r="A7373" t="str">
        <f>"4921445"</f>
        <v>4921445</v>
      </c>
      <c r="B7373" t="s">
        <v>5485</v>
      </c>
      <c r="C7373" t="s">
        <v>462</v>
      </c>
      <c r="D7373" s="21" t="s">
        <v>34</v>
      </c>
      <c r="E7373" s="21" t="s">
        <v>71</v>
      </c>
      <c r="F7373">
        <v>12490029</v>
      </c>
      <c r="G7373" t="s">
        <v>3485</v>
      </c>
      <c r="H7373" s="21">
        <v>1087.05</v>
      </c>
    </row>
    <row r="7374" spans="1:8" customFormat="1" x14ac:dyDescent="0.25">
      <c r="A7374" t="str">
        <f>"889346"</f>
        <v>889346</v>
      </c>
      <c r="B7374" t="s">
        <v>7089</v>
      </c>
      <c r="C7374" t="s">
        <v>1539</v>
      </c>
      <c r="D7374" s="21" t="s">
        <v>34</v>
      </c>
      <c r="E7374" s="21" t="s">
        <v>71</v>
      </c>
      <c r="F7374">
        <v>6880064</v>
      </c>
      <c r="G7374" t="s">
        <v>7090</v>
      </c>
      <c r="H7374" s="21">
        <v>1087.04</v>
      </c>
    </row>
    <row r="7375" spans="1:8" customFormat="1" x14ac:dyDescent="0.25">
      <c r="A7375" t="str">
        <f>"7711438"</f>
        <v>7711438</v>
      </c>
      <c r="B7375" t="s">
        <v>946</v>
      </c>
      <c r="C7375" t="s">
        <v>55</v>
      </c>
      <c r="D7375" s="21" t="s">
        <v>34</v>
      </c>
      <c r="E7375" s="21" t="s">
        <v>35</v>
      </c>
      <c r="F7375">
        <v>8771398</v>
      </c>
      <c r="G7375" t="s">
        <v>2759</v>
      </c>
      <c r="H7375" s="21">
        <v>1086.92</v>
      </c>
    </row>
    <row r="7376" spans="1:8" customFormat="1" x14ac:dyDescent="0.25">
      <c r="A7376" t="str">
        <f>"953135"</f>
        <v>953135</v>
      </c>
      <c r="B7376" t="s">
        <v>623</v>
      </c>
      <c r="C7376" t="s">
        <v>198</v>
      </c>
      <c r="D7376" s="21" t="s">
        <v>34</v>
      </c>
      <c r="E7376" s="21" t="s">
        <v>254</v>
      </c>
      <c r="F7376">
        <v>8950260</v>
      </c>
      <c r="G7376" t="s">
        <v>8564</v>
      </c>
      <c r="H7376" s="21">
        <v>1086.8</v>
      </c>
    </row>
    <row r="7377" spans="1:8" customFormat="1" x14ac:dyDescent="0.25">
      <c r="A7377" t="str">
        <f>"03614"</f>
        <v>03614</v>
      </c>
      <c r="B7377" t="s">
        <v>7354</v>
      </c>
      <c r="C7377" t="s">
        <v>5778</v>
      </c>
      <c r="D7377" s="21" t="s">
        <v>34</v>
      </c>
      <c r="E7377" s="21" t="s">
        <v>71</v>
      </c>
      <c r="F7377">
        <v>1030128</v>
      </c>
      <c r="G7377" t="s">
        <v>7355</v>
      </c>
      <c r="H7377" s="21">
        <v>1086.67</v>
      </c>
    </row>
    <row r="7378" spans="1:8" customFormat="1" x14ac:dyDescent="0.25">
      <c r="A7378" t="str">
        <f>"9721377"</f>
        <v>9721377</v>
      </c>
      <c r="B7378" t="s">
        <v>461</v>
      </c>
      <c r="C7378" t="s">
        <v>3010</v>
      </c>
      <c r="D7378" s="21" t="s">
        <v>34</v>
      </c>
      <c r="E7378" s="21" t="s">
        <v>1089</v>
      </c>
      <c r="F7378" t="s">
        <v>1477</v>
      </c>
      <c r="G7378" t="s">
        <v>1478</v>
      </c>
      <c r="H7378" s="21">
        <v>1086.67</v>
      </c>
    </row>
    <row r="7379" spans="1:8" customFormat="1" x14ac:dyDescent="0.25">
      <c r="A7379" t="str">
        <f>"145357"</f>
        <v>145357</v>
      </c>
      <c r="B7379" t="s">
        <v>7724</v>
      </c>
      <c r="C7379" t="s">
        <v>98</v>
      </c>
      <c r="D7379" s="21" t="s">
        <v>34</v>
      </c>
      <c r="E7379" s="21" t="s">
        <v>35</v>
      </c>
      <c r="F7379">
        <v>9140072</v>
      </c>
      <c r="G7379" t="s">
        <v>4810</v>
      </c>
      <c r="H7379" s="21">
        <v>1086.67</v>
      </c>
    </row>
    <row r="7380" spans="1:8" customFormat="1" x14ac:dyDescent="0.25">
      <c r="A7380" t="str">
        <f>"7213908"</f>
        <v>7213908</v>
      </c>
      <c r="B7380" t="s">
        <v>1645</v>
      </c>
      <c r="C7380" t="s">
        <v>576</v>
      </c>
      <c r="D7380" s="21" t="s">
        <v>34</v>
      </c>
      <c r="E7380" s="21" t="s">
        <v>71</v>
      </c>
      <c r="F7380">
        <v>12720002</v>
      </c>
      <c r="G7380" t="s">
        <v>1712</v>
      </c>
      <c r="H7380" s="21">
        <v>1086.67</v>
      </c>
    </row>
    <row r="7381" spans="1:8" customFormat="1" x14ac:dyDescent="0.25">
      <c r="A7381" t="str">
        <f>"927168"</f>
        <v>927168</v>
      </c>
      <c r="B7381" t="s">
        <v>335</v>
      </c>
      <c r="C7381" t="s">
        <v>171</v>
      </c>
      <c r="D7381" s="21" t="s">
        <v>34</v>
      </c>
      <c r="E7381" s="21" t="s">
        <v>71</v>
      </c>
      <c r="F7381">
        <v>8921190</v>
      </c>
      <c r="G7381" t="s">
        <v>810</v>
      </c>
      <c r="H7381" s="21">
        <v>1086.67</v>
      </c>
    </row>
    <row r="7382" spans="1:8" customFormat="1" x14ac:dyDescent="0.25">
      <c r="A7382" t="str">
        <f>"47982"</f>
        <v>47982</v>
      </c>
      <c r="B7382" t="s">
        <v>8352</v>
      </c>
      <c r="C7382" t="s">
        <v>109</v>
      </c>
      <c r="D7382" s="21" t="s">
        <v>34</v>
      </c>
      <c r="E7382" s="21" t="s">
        <v>35</v>
      </c>
      <c r="F7382">
        <v>10470003</v>
      </c>
      <c r="G7382" t="s">
        <v>2148</v>
      </c>
      <c r="H7382" s="21">
        <v>1086.67</v>
      </c>
    </row>
    <row r="7383" spans="1:8" customFormat="1" x14ac:dyDescent="0.25">
      <c r="A7383" t="str">
        <f>"7914877"</f>
        <v>7914877</v>
      </c>
      <c r="B7383" t="s">
        <v>2388</v>
      </c>
      <c r="C7383" t="s">
        <v>285</v>
      </c>
      <c r="D7383" s="21" t="s">
        <v>34</v>
      </c>
      <c r="E7383" s="21" t="s">
        <v>71</v>
      </c>
      <c r="F7383">
        <v>10790002</v>
      </c>
      <c r="G7383" t="s">
        <v>6612</v>
      </c>
      <c r="H7383" s="21">
        <v>1086.67</v>
      </c>
    </row>
    <row r="7384" spans="1:8" customFormat="1" x14ac:dyDescent="0.25">
      <c r="A7384" t="str">
        <f>"5936623"</f>
        <v>5936623</v>
      </c>
      <c r="B7384" t="s">
        <v>4352</v>
      </c>
      <c r="C7384" t="s">
        <v>60</v>
      </c>
      <c r="D7384" s="21" t="s">
        <v>34</v>
      </c>
      <c r="E7384" s="21" t="s">
        <v>35</v>
      </c>
      <c r="F7384">
        <v>7620067</v>
      </c>
      <c r="G7384" t="s">
        <v>860</v>
      </c>
      <c r="H7384" s="21">
        <v>1086.67</v>
      </c>
    </row>
    <row r="7385" spans="1:8" customFormat="1" x14ac:dyDescent="0.25">
      <c r="A7385" t="str">
        <f>"725485"</f>
        <v>725485</v>
      </c>
      <c r="B7385" t="s">
        <v>7174</v>
      </c>
      <c r="C7385" t="s">
        <v>7175</v>
      </c>
      <c r="D7385" s="21" t="s">
        <v>34</v>
      </c>
      <c r="E7385" s="21" t="s">
        <v>35</v>
      </c>
      <c r="F7385">
        <v>12720044</v>
      </c>
      <c r="G7385" t="s">
        <v>7176</v>
      </c>
      <c r="H7385" s="21">
        <v>1086.67</v>
      </c>
    </row>
    <row r="7386" spans="1:8" customFormat="1" x14ac:dyDescent="0.25">
      <c r="A7386" t="str">
        <f>"454692"</f>
        <v>454692</v>
      </c>
      <c r="B7386" t="s">
        <v>6472</v>
      </c>
      <c r="C7386" t="s">
        <v>109</v>
      </c>
      <c r="D7386" s="21" t="s">
        <v>34</v>
      </c>
      <c r="E7386" s="21" t="s">
        <v>35</v>
      </c>
      <c r="F7386">
        <v>4450616</v>
      </c>
      <c r="G7386" t="s">
        <v>3254</v>
      </c>
      <c r="H7386" s="21">
        <v>1086.55</v>
      </c>
    </row>
    <row r="7387" spans="1:8" customFormat="1" x14ac:dyDescent="0.25">
      <c r="A7387" t="str">
        <f>"2921161"</f>
        <v>2921161</v>
      </c>
      <c r="B7387" t="s">
        <v>3022</v>
      </c>
      <c r="C7387" t="s">
        <v>428</v>
      </c>
      <c r="D7387" s="21" t="s">
        <v>34</v>
      </c>
      <c r="E7387" s="21" t="s">
        <v>35</v>
      </c>
      <c r="F7387">
        <v>3290244</v>
      </c>
      <c r="G7387" t="s">
        <v>573</v>
      </c>
      <c r="H7387" s="21">
        <v>1086.55</v>
      </c>
    </row>
    <row r="7388" spans="1:8" customFormat="1" x14ac:dyDescent="0.25">
      <c r="A7388" t="str">
        <f>"947721"</f>
        <v>947721</v>
      </c>
      <c r="B7388" t="s">
        <v>7119</v>
      </c>
      <c r="C7388" t="s">
        <v>127</v>
      </c>
      <c r="D7388" s="21" t="s">
        <v>34</v>
      </c>
      <c r="E7388" s="21" t="s">
        <v>35</v>
      </c>
      <c r="F7388">
        <v>8940535</v>
      </c>
      <c r="G7388" t="s">
        <v>2628</v>
      </c>
      <c r="H7388" s="21">
        <v>1086.55</v>
      </c>
    </row>
    <row r="7389" spans="1:8" customFormat="1" x14ac:dyDescent="0.25">
      <c r="A7389" t="str">
        <f>"3517756"</f>
        <v>3517756</v>
      </c>
      <c r="B7389" t="s">
        <v>8166</v>
      </c>
      <c r="C7389" t="s">
        <v>187</v>
      </c>
      <c r="D7389" s="21" t="s">
        <v>34</v>
      </c>
      <c r="E7389" s="21" t="s">
        <v>35</v>
      </c>
      <c r="F7389">
        <v>8940459</v>
      </c>
      <c r="G7389" t="s">
        <v>743</v>
      </c>
      <c r="H7389" s="21">
        <v>1086.42</v>
      </c>
    </row>
    <row r="7390" spans="1:8" customFormat="1" x14ac:dyDescent="0.25">
      <c r="A7390" t="str">
        <f>"7723738"</f>
        <v>7723738</v>
      </c>
      <c r="B7390" t="s">
        <v>1441</v>
      </c>
      <c r="C7390" t="s">
        <v>169</v>
      </c>
      <c r="D7390" s="21" t="s">
        <v>34</v>
      </c>
      <c r="E7390" s="21" t="s">
        <v>71</v>
      </c>
      <c r="F7390">
        <v>8771025</v>
      </c>
      <c r="G7390" t="s">
        <v>5469</v>
      </c>
      <c r="H7390" s="21">
        <v>1086.3</v>
      </c>
    </row>
    <row r="7391" spans="1:8" customFormat="1" x14ac:dyDescent="0.25">
      <c r="A7391" t="str">
        <f>"373105"</f>
        <v>373105</v>
      </c>
      <c r="B7391" t="s">
        <v>6472</v>
      </c>
      <c r="C7391" t="s">
        <v>415</v>
      </c>
      <c r="D7391" s="21" t="s">
        <v>34</v>
      </c>
      <c r="E7391" s="21" t="s">
        <v>254</v>
      </c>
      <c r="F7391">
        <v>4370002</v>
      </c>
      <c r="G7391" t="s">
        <v>112</v>
      </c>
      <c r="H7391" s="21">
        <v>1086.3</v>
      </c>
    </row>
    <row r="7392" spans="1:8" customFormat="1" x14ac:dyDescent="0.25">
      <c r="A7392" t="str">
        <f>"703915"</f>
        <v>703915</v>
      </c>
      <c r="B7392" t="s">
        <v>8637</v>
      </c>
      <c r="C7392" t="s">
        <v>198</v>
      </c>
      <c r="D7392" s="21" t="s">
        <v>34</v>
      </c>
      <c r="E7392" s="21" t="s">
        <v>35</v>
      </c>
      <c r="F7392">
        <v>2700046</v>
      </c>
      <c r="G7392" t="s">
        <v>12717</v>
      </c>
      <c r="H7392" s="21">
        <v>1086.18</v>
      </c>
    </row>
    <row r="7393" spans="1:8" customFormat="1" x14ac:dyDescent="0.25">
      <c r="A7393" t="str">
        <f>"0616637"</f>
        <v>0616637</v>
      </c>
      <c r="B7393" t="s">
        <v>8010</v>
      </c>
      <c r="C7393" t="s">
        <v>8011</v>
      </c>
      <c r="D7393" s="21" t="s">
        <v>34</v>
      </c>
      <c r="E7393" s="21" t="s">
        <v>254</v>
      </c>
      <c r="F7393">
        <v>13060110</v>
      </c>
      <c r="G7393" t="s">
        <v>3268</v>
      </c>
      <c r="H7393" s="21">
        <v>1086.17</v>
      </c>
    </row>
    <row r="7394" spans="1:8" customFormat="1" x14ac:dyDescent="0.25">
      <c r="A7394" t="str">
        <f>"334150"</f>
        <v>334150</v>
      </c>
      <c r="B7394" t="s">
        <v>2489</v>
      </c>
      <c r="C7394" t="s">
        <v>204</v>
      </c>
      <c r="D7394" s="21" t="s">
        <v>34</v>
      </c>
      <c r="E7394" s="21" t="s">
        <v>35</v>
      </c>
      <c r="F7394">
        <v>10330098</v>
      </c>
      <c r="G7394" t="s">
        <v>8299</v>
      </c>
      <c r="H7394" s="21">
        <v>1086.17</v>
      </c>
    </row>
    <row r="7395" spans="1:8" customFormat="1" x14ac:dyDescent="0.25">
      <c r="A7395" t="str">
        <f>"616322"</f>
        <v>616322</v>
      </c>
      <c r="B7395" t="s">
        <v>1228</v>
      </c>
      <c r="C7395" t="s">
        <v>60</v>
      </c>
      <c r="D7395" s="21" t="s">
        <v>34</v>
      </c>
      <c r="E7395" s="21" t="s">
        <v>35</v>
      </c>
      <c r="F7395">
        <v>9610101</v>
      </c>
      <c r="G7395" t="s">
        <v>3969</v>
      </c>
      <c r="H7395" s="21">
        <v>1086.17</v>
      </c>
    </row>
    <row r="7396" spans="1:8" customFormat="1" x14ac:dyDescent="0.25">
      <c r="A7396" t="str">
        <f>"1313310"</f>
        <v>1313310</v>
      </c>
      <c r="B7396" t="s">
        <v>8592</v>
      </c>
      <c r="C7396" t="s">
        <v>239</v>
      </c>
      <c r="D7396" s="21" t="s">
        <v>34</v>
      </c>
      <c r="E7396" s="21" t="s">
        <v>35</v>
      </c>
      <c r="F7396">
        <v>13130159</v>
      </c>
      <c r="G7396" t="s">
        <v>199</v>
      </c>
      <c r="H7396" s="21">
        <v>1086.17</v>
      </c>
    </row>
    <row r="7397" spans="1:8" customFormat="1" x14ac:dyDescent="0.25">
      <c r="A7397" t="str">
        <f>"955330"</f>
        <v>955330</v>
      </c>
      <c r="B7397" t="s">
        <v>7562</v>
      </c>
      <c r="C7397" t="s">
        <v>2305</v>
      </c>
      <c r="D7397" s="21" t="s">
        <v>34</v>
      </c>
      <c r="E7397" s="21" t="s">
        <v>254</v>
      </c>
      <c r="F7397">
        <v>8951261</v>
      </c>
      <c r="G7397" t="s">
        <v>920</v>
      </c>
      <c r="H7397" s="21">
        <v>1086.17</v>
      </c>
    </row>
    <row r="7398" spans="1:8" customFormat="1" x14ac:dyDescent="0.25">
      <c r="A7398" t="str">
        <f>"9226607"</f>
        <v>9226607</v>
      </c>
      <c r="B7398" t="s">
        <v>8918</v>
      </c>
      <c r="C7398" t="s">
        <v>812</v>
      </c>
      <c r="D7398" s="21" t="s">
        <v>34</v>
      </c>
      <c r="E7398" s="21" t="s">
        <v>71</v>
      </c>
      <c r="F7398">
        <v>9140128</v>
      </c>
      <c r="G7398" t="s">
        <v>2798</v>
      </c>
      <c r="H7398" s="21">
        <v>1086.17</v>
      </c>
    </row>
    <row r="7399" spans="1:8" customFormat="1" x14ac:dyDescent="0.25">
      <c r="A7399" t="str">
        <f>"5311761"</f>
        <v>5311761</v>
      </c>
      <c r="B7399" t="s">
        <v>6435</v>
      </c>
      <c r="C7399" t="s">
        <v>544</v>
      </c>
      <c r="D7399" s="21" t="s">
        <v>34</v>
      </c>
      <c r="E7399" s="21" t="s">
        <v>35</v>
      </c>
      <c r="F7399">
        <v>12530114</v>
      </c>
      <c r="G7399" t="s">
        <v>1342</v>
      </c>
      <c r="H7399" s="21">
        <v>1086.04</v>
      </c>
    </row>
    <row r="7400" spans="1:8" customFormat="1" x14ac:dyDescent="0.25">
      <c r="A7400" t="str">
        <f>"3819403"</f>
        <v>3819403</v>
      </c>
      <c r="B7400" t="s">
        <v>2386</v>
      </c>
      <c r="C7400" t="s">
        <v>8375</v>
      </c>
      <c r="D7400" s="21" t="s">
        <v>34</v>
      </c>
      <c r="E7400" s="21" t="s">
        <v>35</v>
      </c>
      <c r="F7400">
        <v>1380199</v>
      </c>
      <c r="G7400" t="s">
        <v>321</v>
      </c>
      <c r="H7400" s="21">
        <v>1086</v>
      </c>
    </row>
    <row r="7401" spans="1:8" customFormat="1" x14ac:dyDescent="0.25">
      <c r="A7401" t="str">
        <f>"568145"</f>
        <v>568145</v>
      </c>
      <c r="B7401" t="s">
        <v>3868</v>
      </c>
      <c r="C7401" t="s">
        <v>55</v>
      </c>
      <c r="D7401" s="21" t="s">
        <v>34</v>
      </c>
      <c r="E7401" s="21" t="s">
        <v>71</v>
      </c>
      <c r="F7401">
        <v>3560002</v>
      </c>
      <c r="G7401" t="s">
        <v>5437</v>
      </c>
      <c r="H7401" s="21">
        <v>1085.79</v>
      </c>
    </row>
    <row r="7402" spans="1:8" customFormat="1" x14ac:dyDescent="0.25">
      <c r="A7402" t="str">
        <f>"168354"</f>
        <v>168354</v>
      </c>
      <c r="B7402" t="s">
        <v>7227</v>
      </c>
      <c r="C7402" t="s">
        <v>171</v>
      </c>
      <c r="D7402" s="21" t="s">
        <v>34</v>
      </c>
      <c r="E7402" s="21" t="s">
        <v>35</v>
      </c>
      <c r="F7402">
        <v>10160225</v>
      </c>
      <c r="G7402" t="s">
        <v>2865</v>
      </c>
      <c r="H7402" s="21">
        <v>1085.67</v>
      </c>
    </row>
    <row r="7403" spans="1:8" customFormat="1" x14ac:dyDescent="0.25">
      <c r="A7403" t="str">
        <f>"893914"</f>
        <v>893914</v>
      </c>
      <c r="B7403" t="s">
        <v>7904</v>
      </c>
      <c r="C7403" t="s">
        <v>7905</v>
      </c>
      <c r="D7403" s="21" t="s">
        <v>34</v>
      </c>
      <c r="E7403" s="21" t="s">
        <v>35</v>
      </c>
      <c r="F7403">
        <v>8911009</v>
      </c>
      <c r="G7403" t="s">
        <v>2177</v>
      </c>
      <c r="H7403" s="21">
        <v>1085.67</v>
      </c>
    </row>
    <row r="7404" spans="1:8" customFormat="1" x14ac:dyDescent="0.25">
      <c r="A7404" t="str">
        <f>"783409"</f>
        <v>783409</v>
      </c>
      <c r="B7404" t="s">
        <v>7722</v>
      </c>
      <c r="C7404" t="s">
        <v>114</v>
      </c>
      <c r="D7404" s="21" t="s">
        <v>34</v>
      </c>
      <c r="E7404" s="21" t="s">
        <v>71</v>
      </c>
      <c r="F7404">
        <v>8780632</v>
      </c>
      <c r="G7404" t="s">
        <v>1571</v>
      </c>
      <c r="H7404" s="21">
        <v>1085.67</v>
      </c>
    </row>
    <row r="7405" spans="1:8" customFormat="1" x14ac:dyDescent="0.25">
      <c r="A7405" t="str">
        <f>"4411032"</f>
        <v>4411032</v>
      </c>
      <c r="B7405" t="s">
        <v>5821</v>
      </c>
      <c r="C7405" t="s">
        <v>608</v>
      </c>
      <c r="D7405" s="21" t="s">
        <v>34</v>
      </c>
      <c r="E7405" s="21" t="s">
        <v>35</v>
      </c>
      <c r="F7405">
        <v>12440191</v>
      </c>
      <c r="G7405" t="s">
        <v>5822</v>
      </c>
      <c r="H7405" s="21">
        <v>1085.67</v>
      </c>
    </row>
    <row r="7406" spans="1:8" customFormat="1" x14ac:dyDescent="0.25">
      <c r="A7406" t="str">
        <f>"441981"</f>
        <v>441981</v>
      </c>
      <c r="B7406" t="s">
        <v>7374</v>
      </c>
      <c r="C7406" t="s">
        <v>415</v>
      </c>
      <c r="D7406" s="21" t="s">
        <v>34</v>
      </c>
      <c r="E7406" s="21" t="s">
        <v>71</v>
      </c>
      <c r="F7406">
        <v>12440014</v>
      </c>
      <c r="G7406" t="s">
        <v>6767</v>
      </c>
      <c r="H7406" s="21">
        <v>1085.67</v>
      </c>
    </row>
    <row r="7407" spans="1:8" customFormat="1" x14ac:dyDescent="0.25">
      <c r="A7407" t="str">
        <f>"275889"</f>
        <v>275889</v>
      </c>
      <c r="B7407" t="s">
        <v>7990</v>
      </c>
      <c r="C7407" t="s">
        <v>5595</v>
      </c>
      <c r="D7407" s="21" t="s">
        <v>34</v>
      </c>
      <c r="E7407" s="21" t="s">
        <v>254</v>
      </c>
      <c r="F7407">
        <v>9270137</v>
      </c>
      <c r="G7407" t="s">
        <v>3714</v>
      </c>
      <c r="H7407" s="21">
        <v>1085.67</v>
      </c>
    </row>
    <row r="7408" spans="1:8" customFormat="1" x14ac:dyDescent="0.25">
      <c r="A7408" t="str">
        <f>"4929205"</f>
        <v>4929205</v>
      </c>
      <c r="B7408" t="s">
        <v>6693</v>
      </c>
      <c r="C7408" t="s">
        <v>275</v>
      </c>
      <c r="D7408" s="21" t="s">
        <v>34</v>
      </c>
      <c r="E7408" s="21" t="s">
        <v>35</v>
      </c>
      <c r="F7408">
        <v>12490032</v>
      </c>
      <c r="G7408" t="s">
        <v>6233</v>
      </c>
      <c r="H7408" s="21">
        <v>1085.67</v>
      </c>
    </row>
    <row r="7409" spans="1:8" customFormat="1" x14ac:dyDescent="0.25">
      <c r="A7409" t="str">
        <f>"5323117"</f>
        <v>5323117</v>
      </c>
      <c r="B7409" t="s">
        <v>6060</v>
      </c>
      <c r="C7409" t="s">
        <v>3355</v>
      </c>
      <c r="D7409" s="21" t="s">
        <v>34</v>
      </c>
      <c r="E7409" s="21" t="s">
        <v>35</v>
      </c>
      <c r="F7409">
        <v>12530018</v>
      </c>
      <c r="G7409" t="s">
        <v>8768</v>
      </c>
      <c r="H7409" s="21">
        <v>1085.67</v>
      </c>
    </row>
    <row r="7410" spans="1:8" customFormat="1" x14ac:dyDescent="0.25">
      <c r="A7410" t="str">
        <f>"867202"</f>
        <v>867202</v>
      </c>
      <c r="B7410" t="s">
        <v>8298</v>
      </c>
      <c r="C7410" t="s">
        <v>139</v>
      </c>
      <c r="D7410" s="21" t="s">
        <v>34</v>
      </c>
      <c r="E7410" s="21" t="s">
        <v>35</v>
      </c>
      <c r="F7410">
        <v>10860035</v>
      </c>
      <c r="G7410" t="s">
        <v>4019</v>
      </c>
      <c r="H7410" s="21">
        <v>1085.67</v>
      </c>
    </row>
    <row r="7411" spans="1:8" customFormat="1" x14ac:dyDescent="0.25">
      <c r="A7411" t="str">
        <f>"5015172"</f>
        <v>5015172</v>
      </c>
      <c r="B7411" t="s">
        <v>9145</v>
      </c>
      <c r="C7411" t="s">
        <v>33</v>
      </c>
      <c r="D7411" s="21" t="s">
        <v>34</v>
      </c>
      <c r="E7411" s="21" t="s">
        <v>35</v>
      </c>
      <c r="F7411">
        <v>9500011</v>
      </c>
      <c r="G7411" t="s">
        <v>4903</v>
      </c>
      <c r="H7411" s="21">
        <v>1085.55</v>
      </c>
    </row>
    <row r="7412" spans="1:8" customFormat="1" x14ac:dyDescent="0.25">
      <c r="A7412" t="str">
        <f>"133098"</f>
        <v>133098</v>
      </c>
      <c r="B7412" t="s">
        <v>9335</v>
      </c>
      <c r="C7412" t="s">
        <v>55</v>
      </c>
      <c r="D7412" s="21" t="s">
        <v>34</v>
      </c>
      <c r="E7412" s="21" t="s">
        <v>254</v>
      </c>
      <c r="F7412">
        <v>13130154</v>
      </c>
      <c r="G7412" t="s">
        <v>5503</v>
      </c>
      <c r="H7412" s="21">
        <v>1085.42</v>
      </c>
    </row>
    <row r="7413" spans="1:8" customFormat="1" x14ac:dyDescent="0.25">
      <c r="A7413" t="str">
        <f>"7519037"</f>
        <v>7519037</v>
      </c>
      <c r="B7413" t="s">
        <v>4649</v>
      </c>
      <c r="C7413" t="s">
        <v>114</v>
      </c>
      <c r="D7413" s="21" t="s">
        <v>34</v>
      </c>
      <c r="E7413" s="21" t="s">
        <v>71</v>
      </c>
      <c r="F7413">
        <v>8751061</v>
      </c>
      <c r="G7413" t="s">
        <v>26628</v>
      </c>
      <c r="H7413" s="21">
        <v>1085.42</v>
      </c>
    </row>
    <row r="7414" spans="1:8" customFormat="1" x14ac:dyDescent="0.25">
      <c r="A7414" t="str">
        <f>"9311896"</f>
        <v>9311896</v>
      </c>
      <c r="B7414" t="s">
        <v>1103</v>
      </c>
      <c r="C7414" t="s">
        <v>33</v>
      </c>
      <c r="D7414" s="21" t="s">
        <v>34</v>
      </c>
      <c r="E7414" s="21" t="s">
        <v>35</v>
      </c>
      <c r="F7414">
        <v>8930024</v>
      </c>
      <c r="G7414" t="s">
        <v>44</v>
      </c>
      <c r="H7414" s="21">
        <v>1085.18</v>
      </c>
    </row>
    <row r="7415" spans="1:8" customFormat="1" x14ac:dyDescent="0.25">
      <c r="A7415" t="str">
        <f>"3326042"</f>
        <v>3326042</v>
      </c>
      <c r="B7415" t="s">
        <v>3512</v>
      </c>
      <c r="C7415" t="s">
        <v>87</v>
      </c>
      <c r="D7415" s="21" t="s">
        <v>34</v>
      </c>
      <c r="E7415" s="21" t="s">
        <v>71</v>
      </c>
      <c r="F7415">
        <v>10330117</v>
      </c>
      <c r="G7415" t="s">
        <v>1942</v>
      </c>
      <c r="H7415" s="21">
        <v>1085.17</v>
      </c>
    </row>
    <row r="7416" spans="1:8" customFormat="1" x14ac:dyDescent="0.25">
      <c r="A7416" t="str">
        <f>"54641"</f>
        <v>54641</v>
      </c>
      <c r="B7416" t="s">
        <v>9014</v>
      </c>
      <c r="C7416" t="s">
        <v>98</v>
      </c>
      <c r="D7416" s="21" t="s">
        <v>34</v>
      </c>
      <c r="E7416" s="21" t="s">
        <v>35</v>
      </c>
      <c r="F7416">
        <v>6540028</v>
      </c>
      <c r="G7416" t="s">
        <v>3201</v>
      </c>
      <c r="H7416" s="21">
        <v>1085.17</v>
      </c>
    </row>
    <row r="7417" spans="1:8" customFormat="1" x14ac:dyDescent="0.25">
      <c r="A7417" t="str">
        <f>"27467"</f>
        <v>27467</v>
      </c>
      <c r="B7417" t="s">
        <v>2538</v>
      </c>
      <c r="C7417" t="s">
        <v>239</v>
      </c>
      <c r="D7417" s="21" t="s">
        <v>34</v>
      </c>
      <c r="E7417" s="21" t="s">
        <v>254</v>
      </c>
      <c r="F7417">
        <v>9270110</v>
      </c>
      <c r="G7417" t="s">
        <v>7417</v>
      </c>
      <c r="H7417" s="21">
        <v>1085.17</v>
      </c>
    </row>
    <row r="7418" spans="1:8" customFormat="1" x14ac:dyDescent="0.25">
      <c r="A7418" t="str">
        <f>"937330"</f>
        <v>937330</v>
      </c>
      <c r="B7418" t="s">
        <v>5531</v>
      </c>
      <c r="C7418" t="s">
        <v>204</v>
      </c>
      <c r="D7418" s="21" t="s">
        <v>34</v>
      </c>
      <c r="E7418" s="21" t="s">
        <v>35</v>
      </c>
      <c r="F7418">
        <v>9270005</v>
      </c>
      <c r="G7418" t="s">
        <v>1255</v>
      </c>
      <c r="H7418" s="21">
        <v>1085.17</v>
      </c>
    </row>
    <row r="7419" spans="1:8" customFormat="1" x14ac:dyDescent="0.25">
      <c r="A7419" t="str">
        <f>"5956808"</f>
        <v>5956808</v>
      </c>
      <c r="B7419" t="s">
        <v>9498</v>
      </c>
      <c r="C7419" t="s">
        <v>9499</v>
      </c>
      <c r="D7419" s="21" t="s">
        <v>34</v>
      </c>
      <c r="E7419" s="21" t="s">
        <v>71</v>
      </c>
      <c r="F7419">
        <v>7590016</v>
      </c>
      <c r="G7419" t="s">
        <v>5653</v>
      </c>
      <c r="H7419" s="21">
        <v>1085.17</v>
      </c>
    </row>
    <row r="7420" spans="1:8" customFormat="1" x14ac:dyDescent="0.25">
      <c r="A7420" t="str">
        <f>"459621"</f>
        <v>459621</v>
      </c>
      <c r="B7420" t="s">
        <v>26987</v>
      </c>
      <c r="C7420" t="s">
        <v>249</v>
      </c>
      <c r="D7420" s="21" t="s">
        <v>34</v>
      </c>
      <c r="E7420" s="21" t="s">
        <v>71</v>
      </c>
      <c r="F7420">
        <v>4450754</v>
      </c>
      <c r="G7420" t="s">
        <v>2695</v>
      </c>
      <c r="H7420" s="21">
        <v>1085</v>
      </c>
    </row>
    <row r="7421" spans="1:8" customFormat="1" x14ac:dyDescent="0.25">
      <c r="A7421" t="str">
        <f>"6013746"</f>
        <v>6013746</v>
      </c>
      <c r="B7421" t="s">
        <v>9450</v>
      </c>
      <c r="C7421" t="s">
        <v>263</v>
      </c>
      <c r="D7421" s="21" t="s">
        <v>34</v>
      </c>
      <c r="E7421" s="21" t="s">
        <v>71</v>
      </c>
      <c r="F7421">
        <v>7600039</v>
      </c>
      <c r="G7421" t="s">
        <v>3151</v>
      </c>
      <c r="H7421" s="21">
        <v>1084.93</v>
      </c>
    </row>
    <row r="7422" spans="1:8" customFormat="1" x14ac:dyDescent="0.25">
      <c r="A7422" t="str">
        <f>"726113"</f>
        <v>726113</v>
      </c>
      <c r="B7422" t="s">
        <v>8353</v>
      </c>
      <c r="C7422" t="s">
        <v>121</v>
      </c>
      <c r="D7422" s="21" t="s">
        <v>34</v>
      </c>
      <c r="E7422" s="21" t="s">
        <v>35</v>
      </c>
      <c r="F7422">
        <v>12720004</v>
      </c>
      <c r="G7422" t="s">
        <v>2328</v>
      </c>
      <c r="H7422" s="21">
        <v>1084.92</v>
      </c>
    </row>
    <row r="7423" spans="1:8" customFormat="1" x14ac:dyDescent="0.25">
      <c r="A7423" t="str">
        <f>"777541"</f>
        <v>777541</v>
      </c>
      <c r="B7423" t="s">
        <v>5008</v>
      </c>
      <c r="C7423" t="s">
        <v>2520</v>
      </c>
      <c r="D7423" s="21" t="s">
        <v>34</v>
      </c>
      <c r="E7423" s="21" t="s">
        <v>254</v>
      </c>
      <c r="F7423">
        <v>8771337</v>
      </c>
      <c r="G7423" t="s">
        <v>4661</v>
      </c>
      <c r="H7423" s="21">
        <v>1084.67</v>
      </c>
    </row>
    <row r="7424" spans="1:8" customFormat="1" x14ac:dyDescent="0.25">
      <c r="A7424" t="str">
        <f>"7821317"</f>
        <v>7821317</v>
      </c>
      <c r="B7424" t="s">
        <v>5098</v>
      </c>
      <c r="C7424" t="s">
        <v>169</v>
      </c>
      <c r="D7424" s="21" t="s">
        <v>34</v>
      </c>
      <c r="E7424" s="21" t="s">
        <v>35</v>
      </c>
      <c r="F7424">
        <v>1010027</v>
      </c>
      <c r="G7424" t="s">
        <v>6318</v>
      </c>
      <c r="H7424" s="21">
        <v>1084.67</v>
      </c>
    </row>
    <row r="7425" spans="1:8" customFormat="1" x14ac:dyDescent="0.25">
      <c r="A7425" t="str">
        <f>"5920675"</f>
        <v>5920675</v>
      </c>
      <c r="B7425" t="s">
        <v>7879</v>
      </c>
      <c r="C7425" t="s">
        <v>198</v>
      </c>
      <c r="D7425" s="21" t="s">
        <v>34</v>
      </c>
      <c r="E7425" s="21" t="s">
        <v>35</v>
      </c>
      <c r="F7425">
        <v>7590061</v>
      </c>
      <c r="G7425" t="s">
        <v>1207</v>
      </c>
      <c r="H7425" s="21">
        <v>1084.67</v>
      </c>
    </row>
    <row r="7426" spans="1:8" customFormat="1" x14ac:dyDescent="0.25">
      <c r="A7426" t="str">
        <f>"6916129"</f>
        <v>6916129</v>
      </c>
      <c r="B7426" t="s">
        <v>8951</v>
      </c>
      <c r="C7426" t="s">
        <v>239</v>
      </c>
      <c r="D7426" s="21" t="s">
        <v>34</v>
      </c>
      <c r="E7426" s="21" t="s">
        <v>254</v>
      </c>
      <c r="F7426">
        <v>1690184</v>
      </c>
      <c r="G7426" t="s">
        <v>4992</v>
      </c>
      <c r="H7426" s="21">
        <v>1084.67</v>
      </c>
    </row>
    <row r="7427" spans="1:8" customFormat="1" x14ac:dyDescent="0.25">
      <c r="A7427" t="str">
        <f>"5010957"</f>
        <v>5010957</v>
      </c>
      <c r="B7427" t="s">
        <v>8966</v>
      </c>
      <c r="C7427" t="s">
        <v>8967</v>
      </c>
      <c r="D7427" s="21" t="s">
        <v>34</v>
      </c>
      <c r="E7427" s="21" t="s">
        <v>35</v>
      </c>
      <c r="F7427">
        <v>9270008</v>
      </c>
      <c r="G7427" t="s">
        <v>7853</v>
      </c>
      <c r="H7427" s="21">
        <v>1084.67</v>
      </c>
    </row>
    <row r="7428" spans="1:8" customFormat="1" x14ac:dyDescent="0.25">
      <c r="A7428" t="str">
        <f>"5934196"</f>
        <v>5934196</v>
      </c>
      <c r="B7428" t="s">
        <v>26988</v>
      </c>
      <c r="C7428" t="s">
        <v>43</v>
      </c>
      <c r="D7428" s="21" t="s">
        <v>34</v>
      </c>
      <c r="E7428" s="21" t="s">
        <v>35</v>
      </c>
      <c r="F7428">
        <v>7590036</v>
      </c>
      <c r="G7428" t="s">
        <v>3802</v>
      </c>
      <c r="H7428" s="21">
        <v>1084.67</v>
      </c>
    </row>
    <row r="7429" spans="1:8" customFormat="1" x14ac:dyDescent="0.25">
      <c r="A7429" t="str">
        <f>"7635842"</f>
        <v>7635842</v>
      </c>
      <c r="B7429" t="s">
        <v>1165</v>
      </c>
      <c r="C7429" t="s">
        <v>65</v>
      </c>
      <c r="D7429" s="21" t="s">
        <v>34</v>
      </c>
      <c r="E7429" s="21" t="s">
        <v>35</v>
      </c>
      <c r="F7429">
        <v>9760352</v>
      </c>
      <c r="G7429" t="s">
        <v>7885</v>
      </c>
      <c r="H7429" s="21">
        <v>1084.67</v>
      </c>
    </row>
    <row r="7430" spans="1:8" customFormat="1" x14ac:dyDescent="0.25">
      <c r="A7430" t="str">
        <f>"278401"</f>
        <v>278401</v>
      </c>
      <c r="B7430" t="s">
        <v>8521</v>
      </c>
      <c r="C7430" t="s">
        <v>33</v>
      </c>
      <c r="D7430" s="21" t="s">
        <v>34</v>
      </c>
      <c r="E7430" s="21" t="s">
        <v>35</v>
      </c>
      <c r="F7430">
        <v>9270013</v>
      </c>
      <c r="G7430" t="s">
        <v>26924</v>
      </c>
      <c r="H7430" s="21">
        <v>1084.67</v>
      </c>
    </row>
    <row r="7431" spans="1:8" customFormat="1" x14ac:dyDescent="0.25">
      <c r="A7431" t="str">
        <f>"5317184"</f>
        <v>5317184</v>
      </c>
      <c r="B7431" t="s">
        <v>1270</v>
      </c>
      <c r="C7431" t="s">
        <v>598</v>
      </c>
      <c r="D7431" s="21" t="s">
        <v>34</v>
      </c>
      <c r="E7431" s="21" t="s">
        <v>71</v>
      </c>
      <c r="F7431">
        <v>12530054</v>
      </c>
      <c r="G7431" t="s">
        <v>354</v>
      </c>
      <c r="H7431" s="21">
        <v>1084.67</v>
      </c>
    </row>
    <row r="7432" spans="1:8" customFormat="1" x14ac:dyDescent="0.25">
      <c r="A7432" t="str">
        <f>"5918947"</f>
        <v>5918947</v>
      </c>
      <c r="B7432" t="s">
        <v>8093</v>
      </c>
      <c r="C7432" t="s">
        <v>55</v>
      </c>
      <c r="D7432" s="21" t="s">
        <v>34</v>
      </c>
      <c r="E7432" s="21" t="s">
        <v>35</v>
      </c>
      <c r="F7432">
        <v>7590313</v>
      </c>
      <c r="G7432" t="s">
        <v>5529</v>
      </c>
      <c r="H7432" s="21">
        <v>1084.67</v>
      </c>
    </row>
    <row r="7433" spans="1:8" customFormat="1" x14ac:dyDescent="0.25">
      <c r="A7433" t="str">
        <f>"3417054"</f>
        <v>3417054</v>
      </c>
      <c r="B7433" t="s">
        <v>8389</v>
      </c>
      <c r="C7433" t="s">
        <v>144</v>
      </c>
      <c r="D7433" s="21" t="s">
        <v>34</v>
      </c>
      <c r="E7433" s="21" t="s">
        <v>35</v>
      </c>
      <c r="F7433">
        <v>11340066</v>
      </c>
      <c r="G7433" t="s">
        <v>8390</v>
      </c>
      <c r="H7433" s="21">
        <v>1084.67</v>
      </c>
    </row>
    <row r="7434" spans="1:8" customFormat="1" x14ac:dyDescent="0.25">
      <c r="A7434" t="str">
        <f>"067266"</f>
        <v>067266</v>
      </c>
      <c r="B7434" t="s">
        <v>8365</v>
      </c>
      <c r="C7434" t="s">
        <v>1665</v>
      </c>
      <c r="D7434" s="21" t="s">
        <v>34</v>
      </c>
      <c r="E7434" s="21" t="s">
        <v>254</v>
      </c>
      <c r="F7434">
        <v>13060037</v>
      </c>
      <c r="G7434" t="s">
        <v>9521</v>
      </c>
      <c r="H7434" s="21">
        <v>1084.67</v>
      </c>
    </row>
    <row r="7435" spans="1:8" customFormat="1" x14ac:dyDescent="0.25">
      <c r="A7435" t="str">
        <f>"94699"</f>
        <v>94699</v>
      </c>
      <c r="B7435" t="s">
        <v>7775</v>
      </c>
      <c r="C7435" t="s">
        <v>65</v>
      </c>
      <c r="D7435" s="21" t="s">
        <v>34</v>
      </c>
      <c r="E7435" s="21" t="s">
        <v>71</v>
      </c>
      <c r="F7435">
        <v>8940448</v>
      </c>
      <c r="G7435" t="s">
        <v>1691</v>
      </c>
      <c r="H7435" s="21">
        <v>1084.67</v>
      </c>
    </row>
    <row r="7436" spans="1:8" customFormat="1" x14ac:dyDescent="0.25">
      <c r="A7436" t="str">
        <f>"6010505"</f>
        <v>6010505</v>
      </c>
      <c r="B7436" t="s">
        <v>8247</v>
      </c>
      <c r="C7436" t="s">
        <v>60</v>
      </c>
      <c r="D7436" s="21" t="s">
        <v>34</v>
      </c>
      <c r="E7436" s="21" t="s">
        <v>35</v>
      </c>
      <c r="F7436">
        <v>7021013</v>
      </c>
      <c r="G7436" t="s">
        <v>3527</v>
      </c>
      <c r="H7436" s="21">
        <v>1084.67</v>
      </c>
    </row>
    <row r="7437" spans="1:8" customFormat="1" x14ac:dyDescent="0.25">
      <c r="A7437" t="str">
        <f>"9524059"</f>
        <v>9524059</v>
      </c>
      <c r="B7437" t="s">
        <v>2362</v>
      </c>
      <c r="C7437" t="s">
        <v>40</v>
      </c>
      <c r="D7437" s="21" t="s">
        <v>34</v>
      </c>
      <c r="E7437" s="21" t="s">
        <v>71</v>
      </c>
      <c r="F7437">
        <v>8950531</v>
      </c>
      <c r="G7437" t="s">
        <v>7983</v>
      </c>
      <c r="H7437" s="21">
        <v>1084.43</v>
      </c>
    </row>
    <row r="7438" spans="1:8" customFormat="1" x14ac:dyDescent="0.25">
      <c r="A7438" t="str">
        <f>"5928617"</f>
        <v>5928617</v>
      </c>
      <c r="B7438" t="s">
        <v>9168</v>
      </c>
      <c r="C7438" t="s">
        <v>269</v>
      </c>
      <c r="D7438" s="21" t="s">
        <v>34</v>
      </c>
      <c r="E7438" s="21" t="s">
        <v>254</v>
      </c>
      <c r="F7438">
        <v>10170064</v>
      </c>
      <c r="G7438" t="s">
        <v>1900</v>
      </c>
      <c r="H7438" s="21">
        <v>1084.18</v>
      </c>
    </row>
    <row r="7439" spans="1:8" customFormat="1" x14ac:dyDescent="0.25">
      <c r="A7439" t="str">
        <f>"8015713"</f>
        <v>8015713</v>
      </c>
      <c r="B7439" t="s">
        <v>26989</v>
      </c>
      <c r="C7439" t="s">
        <v>233</v>
      </c>
      <c r="D7439" s="21" t="s">
        <v>34</v>
      </c>
      <c r="E7439" s="21" t="s">
        <v>35</v>
      </c>
      <c r="F7439">
        <v>7800023</v>
      </c>
      <c r="G7439" t="s">
        <v>8137</v>
      </c>
      <c r="H7439" s="21">
        <v>1084.17</v>
      </c>
    </row>
    <row r="7440" spans="1:8" customFormat="1" x14ac:dyDescent="0.25">
      <c r="A7440" t="str">
        <f>"37261"</f>
        <v>37261</v>
      </c>
      <c r="B7440" t="s">
        <v>14279</v>
      </c>
      <c r="C7440" t="s">
        <v>2529</v>
      </c>
      <c r="D7440" s="21" t="s">
        <v>34</v>
      </c>
      <c r="E7440" s="21" t="s">
        <v>254</v>
      </c>
      <c r="F7440">
        <v>4370566</v>
      </c>
      <c r="G7440" t="s">
        <v>4710</v>
      </c>
      <c r="H7440" s="21">
        <v>1084.17</v>
      </c>
    </row>
    <row r="7441" spans="1:8" customFormat="1" x14ac:dyDescent="0.25">
      <c r="A7441" t="str">
        <f>"034488"</f>
        <v>034488</v>
      </c>
      <c r="B7441" t="s">
        <v>5678</v>
      </c>
      <c r="C7441" t="s">
        <v>187</v>
      </c>
      <c r="D7441" s="21" t="s">
        <v>34</v>
      </c>
      <c r="E7441" s="21" t="s">
        <v>35</v>
      </c>
      <c r="F7441">
        <v>1030227</v>
      </c>
      <c r="G7441" t="s">
        <v>5679</v>
      </c>
      <c r="H7441" s="21">
        <v>1084.17</v>
      </c>
    </row>
    <row r="7442" spans="1:8" customFormat="1" x14ac:dyDescent="0.25">
      <c r="A7442" t="str">
        <f>"9128133"</f>
        <v>9128133</v>
      </c>
      <c r="B7442" t="s">
        <v>4888</v>
      </c>
      <c r="C7442" t="s">
        <v>55</v>
      </c>
      <c r="D7442" s="21" t="s">
        <v>34</v>
      </c>
      <c r="E7442" s="21" t="s">
        <v>254</v>
      </c>
      <c r="F7442">
        <v>8910285</v>
      </c>
      <c r="G7442" t="s">
        <v>26604</v>
      </c>
      <c r="H7442" s="21">
        <v>1084.17</v>
      </c>
    </row>
    <row r="7443" spans="1:8" customFormat="1" x14ac:dyDescent="0.25">
      <c r="A7443" t="str">
        <f>"279320"</f>
        <v>279320</v>
      </c>
      <c r="B7443" t="s">
        <v>8741</v>
      </c>
      <c r="C7443" t="s">
        <v>285</v>
      </c>
      <c r="D7443" s="21" t="s">
        <v>34</v>
      </c>
      <c r="E7443" s="21" t="s">
        <v>35</v>
      </c>
      <c r="F7443">
        <v>9270152</v>
      </c>
      <c r="G7443" t="s">
        <v>1985</v>
      </c>
      <c r="H7443" s="21">
        <v>1084.17</v>
      </c>
    </row>
    <row r="7444" spans="1:8" customFormat="1" x14ac:dyDescent="0.25">
      <c r="A7444" t="str">
        <f>"3527948"</f>
        <v>3527948</v>
      </c>
      <c r="B7444" t="s">
        <v>26990</v>
      </c>
      <c r="C7444" t="s">
        <v>484</v>
      </c>
      <c r="D7444" s="21" t="s">
        <v>34</v>
      </c>
      <c r="E7444" s="21" t="s">
        <v>35</v>
      </c>
      <c r="F7444">
        <v>3350009</v>
      </c>
      <c r="G7444" t="s">
        <v>1823</v>
      </c>
      <c r="H7444" s="21">
        <v>1084.17</v>
      </c>
    </row>
    <row r="7445" spans="1:8" customFormat="1" x14ac:dyDescent="0.25">
      <c r="A7445" t="str">
        <f>"7917577"</f>
        <v>7917577</v>
      </c>
      <c r="B7445" t="s">
        <v>7326</v>
      </c>
      <c r="C7445" t="s">
        <v>453</v>
      </c>
      <c r="D7445" s="21" t="s">
        <v>34</v>
      </c>
      <c r="E7445" s="21" t="s">
        <v>254</v>
      </c>
      <c r="F7445">
        <v>10790009</v>
      </c>
      <c r="G7445" t="s">
        <v>1155</v>
      </c>
      <c r="H7445" s="21">
        <v>1084.17</v>
      </c>
    </row>
    <row r="7446" spans="1:8" customFormat="1" x14ac:dyDescent="0.25">
      <c r="A7446" t="str">
        <f>"3537729"</f>
        <v>3537729</v>
      </c>
      <c r="B7446" t="s">
        <v>5083</v>
      </c>
      <c r="C7446" t="s">
        <v>98</v>
      </c>
      <c r="D7446" s="21" t="s">
        <v>34</v>
      </c>
      <c r="E7446" s="21" t="s">
        <v>35</v>
      </c>
      <c r="F7446">
        <v>3350232</v>
      </c>
      <c r="G7446" t="s">
        <v>7147</v>
      </c>
      <c r="H7446" s="21">
        <v>1084.17</v>
      </c>
    </row>
    <row r="7447" spans="1:8" customFormat="1" x14ac:dyDescent="0.25">
      <c r="A7447" t="str">
        <f>"9129455"</f>
        <v>9129455</v>
      </c>
      <c r="B7447" t="s">
        <v>8937</v>
      </c>
      <c r="C7447" t="s">
        <v>320</v>
      </c>
      <c r="D7447" s="21" t="s">
        <v>34</v>
      </c>
      <c r="E7447" s="21" t="s">
        <v>254</v>
      </c>
      <c r="F7447">
        <v>8911021</v>
      </c>
      <c r="G7447" t="s">
        <v>4198</v>
      </c>
      <c r="H7447" s="21">
        <v>1084.17</v>
      </c>
    </row>
    <row r="7448" spans="1:8" customFormat="1" x14ac:dyDescent="0.25">
      <c r="A7448" t="str">
        <f>"3115895"</f>
        <v>3115895</v>
      </c>
      <c r="B7448" t="s">
        <v>803</v>
      </c>
      <c r="C7448" t="s">
        <v>249</v>
      </c>
      <c r="D7448" s="21" t="s">
        <v>34</v>
      </c>
      <c r="E7448" s="21" t="s">
        <v>35</v>
      </c>
      <c r="F7448">
        <v>11310064</v>
      </c>
      <c r="G7448" t="s">
        <v>931</v>
      </c>
      <c r="H7448" s="21">
        <v>1083.93</v>
      </c>
    </row>
    <row r="7449" spans="1:8" customFormat="1" x14ac:dyDescent="0.25">
      <c r="A7449" t="str">
        <f>"8816717"</f>
        <v>8816717</v>
      </c>
      <c r="B7449" t="s">
        <v>8413</v>
      </c>
      <c r="C7449" t="s">
        <v>2393</v>
      </c>
      <c r="D7449" s="21" t="s">
        <v>34</v>
      </c>
      <c r="E7449" s="21" t="s">
        <v>71</v>
      </c>
      <c r="F7449">
        <v>6880071</v>
      </c>
      <c r="G7449" t="s">
        <v>4226</v>
      </c>
      <c r="H7449" s="21">
        <v>1083.8</v>
      </c>
    </row>
    <row r="7450" spans="1:8" customFormat="1" x14ac:dyDescent="0.25">
      <c r="A7450" t="str">
        <f>"82917"</f>
        <v>82917</v>
      </c>
      <c r="B7450" t="s">
        <v>6909</v>
      </c>
      <c r="C7450" t="s">
        <v>598</v>
      </c>
      <c r="D7450" s="21" t="s">
        <v>34</v>
      </c>
      <c r="E7450" s="21" t="s">
        <v>71</v>
      </c>
      <c r="F7450">
        <v>1630310</v>
      </c>
      <c r="G7450" t="s">
        <v>6314</v>
      </c>
      <c r="H7450" s="21">
        <v>1083.8</v>
      </c>
    </row>
    <row r="7451" spans="1:8" customFormat="1" x14ac:dyDescent="0.25">
      <c r="A7451" t="str">
        <f>"935211"</f>
        <v>935211</v>
      </c>
      <c r="B7451" t="s">
        <v>7053</v>
      </c>
      <c r="C7451" t="s">
        <v>87</v>
      </c>
      <c r="D7451" s="21" t="s">
        <v>34</v>
      </c>
      <c r="E7451" s="21" t="s">
        <v>71</v>
      </c>
      <c r="F7451">
        <v>8750325</v>
      </c>
      <c r="G7451" t="s">
        <v>7054</v>
      </c>
      <c r="H7451" s="21">
        <v>1083.79</v>
      </c>
    </row>
    <row r="7452" spans="1:8" customFormat="1" x14ac:dyDescent="0.25">
      <c r="A7452" t="str">
        <f>"244182"</f>
        <v>244182</v>
      </c>
      <c r="B7452" t="s">
        <v>6942</v>
      </c>
      <c r="C7452" t="s">
        <v>486</v>
      </c>
      <c r="D7452" s="21" t="s">
        <v>34</v>
      </c>
      <c r="E7452" s="21" t="s">
        <v>35</v>
      </c>
      <c r="F7452">
        <v>10240024</v>
      </c>
      <c r="G7452" t="s">
        <v>6539</v>
      </c>
      <c r="H7452" s="21">
        <v>1083.67</v>
      </c>
    </row>
    <row r="7453" spans="1:8" customFormat="1" x14ac:dyDescent="0.25">
      <c r="A7453" t="str">
        <f>"428316"</f>
        <v>428316</v>
      </c>
      <c r="B7453" t="s">
        <v>7800</v>
      </c>
      <c r="C7453" t="s">
        <v>2384</v>
      </c>
      <c r="D7453" s="21" t="s">
        <v>34</v>
      </c>
      <c r="E7453" s="21" t="s">
        <v>35</v>
      </c>
      <c r="F7453">
        <v>1420088</v>
      </c>
      <c r="G7453" t="s">
        <v>7613</v>
      </c>
      <c r="H7453" s="21">
        <v>1083.67</v>
      </c>
    </row>
    <row r="7454" spans="1:8" customFormat="1" x14ac:dyDescent="0.25">
      <c r="A7454" t="str">
        <f>"2517045"</f>
        <v>2517045</v>
      </c>
      <c r="B7454" t="s">
        <v>7825</v>
      </c>
      <c r="C7454" t="s">
        <v>60</v>
      </c>
      <c r="D7454" s="21" t="s">
        <v>34</v>
      </c>
      <c r="E7454" s="21" t="s">
        <v>35</v>
      </c>
      <c r="F7454">
        <v>2250002</v>
      </c>
      <c r="G7454" t="s">
        <v>2745</v>
      </c>
      <c r="H7454" s="21">
        <v>1083.67</v>
      </c>
    </row>
    <row r="7455" spans="1:8" customFormat="1" x14ac:dyDescent="0.25">
      <c r="A7455" t="str">
        <f>"4423717"</f>
        <v>4423717</v>
      </c>
      <c r="B7455" t="s">
        <v>9081</v>
      </c>
      <c r="C7455" t="s">
        <v>55</v>
      </c>
      <c r="D7455" s="21" t="s">
        <v>34</v>
      </c>
      <c r="E7455" s="21" t="s">
        <v>35</v>
      </c>
      <c r="F7455">
        <v>12440064</v>
      </c>
      <c r="G7455" t="s">
        <v>9082</v>
      </c>
      <c r="H7455" s="21">
        <v>1083.67</v>
      </c>
    </row>
    <row r="7456" spans="1:8" customFormat="1" x14ac:dyDescent="0.25">
      <c r="A7456" t="str">
        <f>"2910836"</f>
        <v>2910836</v>
      </c>
      <c r="B7456" t="s">
        <v>7677</v>
      </c>
      <c r="C7456" t="s">
        <v>267</v>
      </c>
      <c r="D7456" s="21" t="s">
        <v>34</v>
      </c>
      <c r="E7456" s="21" t="s">
        <v>71</v>
      </c>
      <c r="F7456">
        <v>3290047</v>
      </c>
      <c r="G7456" t="s">
        <v>2874</v>
      </c>
      <c r="H7456" s="21">
        <v>1083.67</v>
      </c>
    </row>
    <row r="7457" spans="1:8" customFormat="1" x14ac:dyDescent="0.25">
      <c r="A7457" t="str">
        <f>"7711636"</f>
        <v>7711636</v>
      </c>
      <c r="B7457" t="s">
        <v>8265</v>
      </c>
      <c r="C7457" t="s">
        <v>3648</v>
      </c>
      <c r="D7457" s="21" t="s">
        <v>34</v>
      </c>
      <c r="E7457" s="21" t="s">
        <v>71</v>
      </c>
      <c r="F7457">
        <v>8771229</v>
      </c>
      <c r="G7457" t="s">
        <v>26815</v>
      </c>
      <c r="H7457" s="21">
        <v>1083.67</v>
      </c>
    </row>
    <row r="7458" spans="1:8" customFormat="1" x14ac:dyDescent="0.25">
      <c r="A7458" t="str">
        <f>"7917864"</f>
        <v>7917864</v>
      </c>
      <c r="B7458" t="s">
        <v>2160</v>
      </c>
      <c r="C7458" t="s">
        <v>43</v>
      </c>
      <c r="D7458" s="21" t="s">
        <v>34</v>
      </c>
      <c r="E7458" s="21" t="s">
        <v>35</v>
      </c>
      <c r="F7458">
        <v>10790150</v>
      </c>
      <c r="G7458" t="s">
        <v>6205</v>
      </c>
      <c r="H7458" s="21">
        <v>1083.67</v>
      </c>
    </row>
    <row r="7459" spans="1:8" customFormat="1" x14ac:dyDescent="0.25">
      <c r="A7459" t="str">
        <f>"62389"</f>
        <v>62389</v>
      </c>
      <c r="B7459" t="s">
        <v>7130</v>
      </c>
      <c r="C7459" t="s">
        <v>772</v>
      </c>
      <c r="D7459" s="21" t="s">
        <v>34</v>
      </c>
      <c r="E7459" s="21" t="s">
        <v>71</v>
      </c>
      <c r="F7459">
        <v>10790235</v>
      </c>
      <c r="G7459" t="s">
        <v>413</v>
      </c>
      <c r="H7459" s="21">
        <v>1083.67</v>
      </c>
    </row>
    <row r="7460" spans="1:8" customFormat="1" x14ac:dyDescent="0.25">
      <c r="A7460" t="str">
        <f>"5939899"</f>
        <v>5939899</v>
      </c>
      <c r="B7460" t="s">
        <v>9464</v>
      </c>
      <c r="C7460" t="s">
        <v>37</v>
      </c>
      <c r="D7460" s="21" t="s">
        <v>34</v>
      </c>
      <c r="E7460" s="21" t="s">
        <v>35</v>
      </c>
      <c r="F7460">
        <v>6510004</v>
      </c>
      <c r="G7460" t="s">
        <v>9465</v>
      </c>
      <c r="H7460" s="21">
        <v>1083.67</v>
      </c>
    </row>
    <row r="7461" spans="1:8" customFormat="1" x14ac:dyDescent="0.25">
      <c r="A7461" t="str">
        <f>"3720592"</f>
        <v>3720592</v>
      </c>
      <c r="B7461" t="s">
        <v>9771</v>
      </c>
      <c r="C7461" t="s">
        <v>144</v>
      </c>
      <c r="D7461" s="21" t="s">
        <v>34</v>
      </c>
      <c r="E7461" s="21" t="s">
        <v>71</v>
      </c>
      <c r="F7461">
        <v>4370269</v>
      </c>
      <c r="G7461" t="s">
        <v>4277</v>
      </c>
      <c r="H7461" s="21">
        <v>1083.67</v>
      </c>
    </row>
    <row r="7462" spans="1:8" customFormat="1" x14ac:dyDescent="0.25">
      <c r="A7462" t="str">
        <f>"9455448"</f>
        <v>9455448</v>
      </c>
      <c r="B7462" t="s">
        <v>12656</v>
      </c>
      <c r="C7462" t="s">
        <v>139</v>
      </c>
      <c r="D7462" s="21" t="s">
        <v>34</v>
      </c>
      <c r="E7462" s="21" t="s">
        <v>35</v>
      </c>
      <c r="F7462">
        <v>8940482</v>
      </c>
      <c r="G7462" t="s">
        <v>2560</v>
      </c>
      <c r="H7462" s="21">
        <v>1083.31</v>
      </c>
    </row>
    <row r="7463" spans="1:8" customFormat="1" x14ac:dyDescent="0.25">
      <c r="A7463" t="str">
        <f>"9122138"</f>
        <v>9122138</v>
      </c>
      <c r="B7463" t="s">
        <v>67</v>
      </c>
      <c r="C7463" t="s">
        <v>269</v>
      </c>
      <c r="D7463" s="21" t="s">
        <v>34</v>
      </c>
      <c r="E7463" s="21" t="s">
        <v>71</v>
      </c>
      <c r="F7463">
        <v>8920140</v>
      </c>
      <c r="G7463" t="s">
        <v>3762</v>
      </c>
      <c r="H7463" s="21">
        <v>1083.3</v>
      </c>
    </row>
    <row r="7464" spans="1:8" customFormat="1" x14ac:dyDescent="0.25">
      <c r="A7464" t="str">
        <f>"3537093"</f>
        <v>3537093</v>
      </c>
      <c r="B7464" t="s">
        <v>6593</v>
      </c>
      <c r="C7464" t="s">
        <v>486</v>
      </c>
      <c r="D7464" s="21" t="s">
        <v>34</v>
      </c>
      <c r="E7464" s="21" t="s">
        <v>35</v>
      </c>
      <c r="F7464">
        <v>3350110</v>
      </c>
      <c r="G7464" t="s">
        <v>7790</v>
      </c>
      <c r="H7464" s="21">
        <v>1083.17</v>
      </c>
    </row>
    <row r="7465" spans="1:8" customFormat="1" x14ac:dyDescent="0.25">
      <c r="A7465" t="str">
        <f>"761737"</f>
        <v>761737</v>
      </c>
      <c r="B7465" t="s">
        <v>7529</v>
      </c>
      <c r="C7465" t="s">
        <v>40</v>
      </c>
      <c r="D7465" s="21" t="s">
        <v>34</v>
      </c>
      <c r="E7465" s="21" t="s">
        <v>254</v>
      </c>
      <c r="F7465">
        <v>9760108</v>
      </c>
      <c r="G7465" t="s">
        <v>1636</v>
      </c>
      <c r="H7465" s="21">
        <v>1083.17</v>
      </c>
    </row>
    <row r="7466" spans="1:8" customFormat="1" x14ac:dyDescent="0.25">
      <c r="A7466" t="str">
        <f>"5918834"</f>
        <v>5918834</v>
      </c>
      <c r="B7466" t="s">
        <v>7592</v>
      </c>
      <c r="C7466" t="s">
        <v>1812</v>
      </c>
      <c r="D7466" s="21" t="s">
        <v>34</v>
      </c>
      <c r="E7466" s="21" t="s">
        <v>71</v>
      </c>
      <c r="F7466">
        <v>7590065</v>
      </c>
      <c r="G7466" t="s">
        <v>1598</v>
      </c>
      <c r="H7466" s="21">
        <v>1083.17</v>
      </c>
    </row>
    <row r="7467" spans="1:8" customFormat="1" x14ac:dyDescent="0.25">
      <c r="A7467" t="str">
        <f>"5934504"</f>
        <v>5934504</v>
      </c>
      <c r="B7467" t="s">
        <v>3076</v>
      </c>
      <c r="C7467" t="s">
        <v>209</v>
      </c>
      <c r="D7467" s="21" t="s">
        <v>34</v>
      </c>
      <c r="E7467" s="21" t="s">
        <v>254</v>
      </c>
      <c r="F7467">
        <v>7590057</v>
      </c>
      <c r="G7467" t="s">
        <v>7575</v>
      </c>
      <c r="H7467" s="21">
        <v>1083.17</v>
      </c>
    </row>
    <row r="7468" spans="1:8" customFormat="1" x14ac:dyDescent="0.25">
      <c r="A7468" t="str">
        <f>"304104"</f>
        <v>304104</v>
      </c>
      <c r="B7468" t="s">
        <v>8489</v>
      </c>
      <c r="C7468" t="s">
        <v>1474</v>
      </c>
      <c r="D7468" s="21" t="s">
        <v>34</v>
      </c>
      <c r="E7468" s="21" t="s">
        <v>35</v>
      </c>
      <c r="F7468">
        <v>11300008</v>
      </c>
      <c r="G7468" t="s">
        <v>3165</v>
      </c>
      <c r="H7468" s="21">
        <v>1083.17</v>
      </c>
    </row>
    <row r="7469" spans="1:8" customFormat="1" x14ac:dyDescent="0.25">
      <c r="A7469" t="str">
        <f>"518795"</f>
        <v>518795</v>
      </c>
      <c r="B7469" t="s">
        <v>9987</v>
      </c>
      <c r="C7469" t="s">
        <v>33</v>
      </c>
      <c r="D7469" s="21" t="s">
        <v>34</v>
      </c>
      <c r="E7469" s="21" t="s">
        <v>71</v>
      </c>
      <c r="F7469">
        <v>6510077</v>
      </c>
      <c r="G7469" t="s">
        <v>756</v>
      </c>
      <c r="H7469" s="21">
        <v>1083.17</v>
      </c>
    </row>
    <row r="7470" spans="1:8" customFormat="1" x14ac:dyDescent="0.25">
      <c r="A7470" t="str">
        <f>"2613507"</f>
        <v>2613507</v>
      </c>
      <c r="B7470" t="s">
        <v>8263</v>
      </c>
      <c r="C7470" t="s">
        <v>656</v>
      </c>
      <c r="D7470" s="21" t="s">
        <v>34</v>
      </c>
      <c r="E7470" s="21" t="s">
        <v>35</v>
      </c>
      <c r="F7470">
        <v>1260010</v>
      </c>
      <c r="G7470" t="s">
        <v>3944</v>
      </c>
      <c r="H7470" s="21">
        <v>1083.17</v>
      </c>
    </row>
    <row r="7471" spans="1:8" customFormat="1" x14ac:dyDescent="0.25">
      <c r="A7471" t="str">
        <f>"17446"</f>
        <v>17446</v>
      </c>
      <c r="B7471" t="s">
        <v>7026</v>
      </c>
      <c r="C7471" t="s">
        <v>4252</v>
      </c>
      <c r="D7471" s="21" t="s">
        <v>34</v>
      </c>
      <c r="E7471" s="21" t="s">
        <v>254</v>
      </c>
      <c r="F7471">
        <v>10170050</v>
      </c>
      <c r="G7471" t="s">
        <v>2514</v>
      </c>
      <c r="H7471" s="21">
        <v>1082.92</v>
      </c>
    </row>
    <row r="7472" spans="1:8" customFormat="1" x14ac:dyDescent="0.25">
      <c r="A7472" t="str">
        <f>"847650"</f>
        <v>847650</v>
      </c>
      <c r="B7472" t="s">
        <v>9060</v>
      </c>
      <c r="C7472" t="s">
        <v>484</v>
      </c>
      <c r="D7472" s="21" t="s">
        <v>34</v>
      </c>
      <c r="E7472" s="21" t="s">
        <v>35</v>
      </c>
      <c r="F7472">
        <v>13840013</v>
      </c>
      <c r="G7472" t="s">
        <v>7323</v>
      </c>
      <c r="H7472" s="21">
        <v>1082.92</v>
      </c>
    </row>
    <row r="7473" spans="1:8" customFormat="1" x14ac:dyDescent="0.25">
      <c r="A7473" t="str">
        <f>"9448043"</f>
        <v>9448043</v>
      </c>
      <c r="B7473" t="s">
        <v>7478</v>
      </c>
      <c r="C7473" t="s">
        <v>7479</v>
      </c>
      <c r="D7473" s="21" t="s">
        <v>34</v>
      </c>
      <c r="E7473" s="21" t="s">
        <v>1089</v>
      </c>
      <c r="F7473">
        <v>8940482</v>
      </c>
      <c r="G7473" t="s">
        <v>2560</v>
      </c>
      <c r="H7473" s="21">
        <v>1082.68</v>
      </c>
    </row>
    <row r="7474" spans="1:8" customFormat="1" x14ac:dyDescent="0.25">
      <c r="A7474" t="str">
        <f>"537734"</f>
        <v>537734</v>
      </c>
      <c r="B7474" t="s">
        <v>4010</v>
      </c>
      <c r="C7474" t="s">
        <v>119</v>
      </c>
      <c r="D7474" s="21" t="s">
        <v>34</v>
      </c>
      <c r="E7474" s="21" t="s">
        <v>35</v>
      </c>
      <c r="F7474">
        <v>12530023</v>
      </c>
      <c r="G7474" t="s">
        <v>5879</v>
      </c>
      <c r="H7474" s="21">
        <v>1082.68</v>
      </c>
    </row>
    <row r="7475" spans="1:8" customFormat="1" x14ac:dyDescent="0.25">
      <c r="A7475" t="str">
        <f>"281162"</f>
        <v>281162</v>
      </c>
      <c r="B7475" t="s">
        <v>739</v>
      </c>
      <c r="C7475" t="s">
        <v>209</v>
      </c>
      <c r="D7475" s="21" t="s">
        <v>34</v>
      </c>
      <c r="E7475" s="21" t="s">
        <v>254</v>
      </c>
      <c r="F7475">
        <v>4280202</v>
      </c>
      <c r="G7475" t="s">
        <v>2945</v>
      </c>
      <c r="H7475" s="21">
        <v>1082.67</v>
      </c>
    </row>
    <row r="7476" spans="1:8" customFormat="1" x14ac:dyDescent="0.25">
      <c r="A7476" t="str">
        <f>"585874"</f>
        <v>585874</v>
      </c>
      <c r="B7476" t="s">
        <v>8619</v>
      </c>
      <c r="C7476" t="s">
        <v>209</v>
      </c>
      <c r="D7476" s="21" t="s">
        <v>34</v>
      </c>
      <c r="E7476" s="21" t="s">
        <v>71</v>
      </c>
      <c r="F7476">
        <v>2580078</v>
      </c>
      <c r="G7476" t="s">
        <v>4432</v>
      </c>
      <c r="H7476" s="21">
        <v>1082.67</v>
      </c>
    </row>
    <row r="7477" spans="1:8" customFormat="1" x14ac:dyDescent="0.25">
      <c r="A7477" t="str">
        <f>"2711938"</f>
        <v>2711938</v>
      </c>
      <c r="B7477" t="s">
        <v>7568</v>
      </c>
      <c r="C7477" t="s">
        <v>65</v>
      </c>
      <c r="D7477" s="21" t="s">
        <v>34</v>
      </c>
      <c r="E7477" s="21" t="s">
        <v>35</v>
      </c>
      <c r="F7477">
        <v>9270126</v>
      </c>
      <c r="G7477" t="s">
        <v>7569</v>
      </c>
      <c r="H7477" s="21">
        <v>1082.67</v>
      </c>
    </row>
    <row r="7478" spans="1:8" customFormat="1" x14ac:dyDescent="0.25">
      <c r="A7478" t="str">
        <f>"8012343"</f>
        <v>8012343</v>
      </c>
      <c r="B7478" t="s">
        <v>3465</v>
      </c>
      <c r="C7478" t="s">
        <v>3522</v>
      </c>
      <c r="D7478" s="21" t="s">
        <v>34</v>
      </c>
      <c r="E7478" s="21" t="s">
        <v>35</v>
      </c>
      <c r="F7478">
        <v>7800011</v>
      </c>
      <c r="G7478" t="s">
        <v>2253</v>
      </c>
      <c r="H7478" s="21">
        <v>1082.67</v>
      </c>
    </row>
    <row r="7479" spans="1:8" customFormat="1" x14ac:dyDescent="0.25">
      <c r="A7479" t="str">
        <f>"4518759"</f>
        <v>4518759</v>
      </c>
      <c r="B7479" t="s">
        <v>8090</v>
      </c>
      <c r="C7479" t="s">
        <v>119</v>
      </c>
      <c r="D7479" s="21" t="s">
        <v>34</v>
      </c>
      <c r="E7479" s="21" t="s">
        <v>71</v>
      </c>
      <c r="F7479">
        <v>4450750</v>
      </c>
      <c r="G7479" t="s">
        <v>6572</v>
      </c>
      <c r="H7479" s="21">
        <v>1082.67</v>
      </c>
    </row>
    <row r="7480" spans="1:8" customFormat="1" x14ac:dyDescent="0.25">
      <c r="A7480" t="str">
        <f>"7853049"</f>
        <v>7853049</v>
      </c>
      <c r="B7480" t="s">
        <v>8743</v>
      </c>
      <c r="C7480" t="s">
        <v>96</v>
      </c>
      <c r="D7480" s="21" t="s">
        <v>34</v>
      </c>
      <c r="E7480" s="21" t="s">
        <v>35</v>
      </c>
      <c r="F7480">
        <v>8781266</v>
      </c>
      <c r="G7480" t="s">
        <v>26704</v>
      </c>
      <c r="H7480" s="21">
        <v>1082.67</v>
      </c>
    </row>
    <row r="7481" spans="1:8" customFormat="1" x14ac:dyDescent="0.25">
      <c r="A7481" t="str">
        <f>"4436173"</f>
        <v>4436173</v>
      </c>
      <c r="B7481" t="s">
        <v>8878</v>
      </c>
      <c r="C7481" t="s">
        <v>608</v>
      </c>
      <c r="D7481" s="21" t="s">
        <v>34</v>
      </c>
      <c r="E7481" s="21" t="s">
        <v>71</v>
      </c>
      <c r="F7481">
        <v>12440116</v>
      </c>
      <c r="G7481" t="s">
        <v>26673</v>
      </c>
      <c r="H7481" s="21">
        <v>1082.67</v>
      </c>
    </row>
    <row r="7482" spans="1:8" customFormat="1" x14ac:dyDescent="0.25">
      <c r="A7482" t="str">
        <f>"7620997"</f>
        <v>7620997</v>
      </c>
      <c r="B7482" t="s">
        <v>8995</v>
      </c>
      <c r="C7482" t="s">
        <v>33</v>
      </c>
      <c r="D7482" s="21" t="s">
        <v>34</v>
      </c>
      <c r="E7482" s="21" t="s">
        <v>35</v>
      </c>
      <c r="F7482">
        <v>9760331</v>
      </c>
      <c r="G7482" t="s">
        <v>5134</v>
      </c>
      <c r="H7482" s="21">
        <v>1082.67</v>
      </c>
    </row>
    <row r="7483" spans="1:8" customFormat="1" x14ac:dyDescent="0.25">
      <c r="A7483" t="str">
        <f>"4438398"</f>
        <v>4438398</v>
      </c>
      <c r="B7483" t="s">
        <v>7774</v>
      </c>
      <c r="C7483" t="s">
        <v>147</v>
      </c>
      <c r="D7483" s="21" t="s">
        <v>34</v>
      </c>
      <c r="E7483" s="21" t="s">
        <v>35</v>
      </c>
      <c r="F7483">
        <v>12440276</v>
      </c>
      <c r="G7483" t="s">
        <v>26991</v>
      </c>
      <c r="H7483" s="21">
        <v>1082.67</v>
      </c>
    </row>
    <row r="7484" spans="1:8" customFormat="1" x14ac:dyDescent="0.25">
      <c r="A7484" t="str">
        <f>"7714714"</f>
        <v>7714714</v>
      </c>
      <c r="B7484" t="s">
        <v>8450</v>
      </c>
      <c r="C7484" t="s">
        <v>156</v>
      </c>
      <c r="D7484" s="21" t="s">
        <v>34</v>
      </c>
      <c r="E7484" s="21" t="s">
        <v>71</v>
      </c>
      <c r="F7484">
        <v>8771446</v>
      </c>
      <c r="G7484" t="s">
        <v>830</v>
      </c>
      <c r="H7484" s="21">
        <v>1082.67</v>
      </c>
    </row>
    <row r="7485" spans="1:8" customFormat="1" x14ac:dyDescent="0.25">
      <c r="A7485" t="str">
        <f>"578257"</f>
        <v>578257</v>
      </c>
      <c r="B7485" t="s">
        <v>706</v>
      </c>
      <c r="C7485" t="s">
        <v>121</v>
      </c>
      <c r="D7485" s="21" t="s">
        <v>34</v>
      </c>
      <c r="E7485" s="21" t="s">
        <v>71</v>
      </c>
      <c r="F7485">
        <v>6570027</v>
      </c>
      <c r="G7485" t="s">
        <v>395</v>
      </c>
      <c r="H7485" s="21">
        <v>1082.67</v>
      </c>
    </row>
    <row r="7486" spans="1:8" customFormat="1" x14ac:dyDescent="0.25">
      <c r="A7486" t="str">
        <f>"591584"</f>
        <v>591584</v>
      </c>
      <c r="B7486" t="s">
        <v>7817</v>
      </c>
      <c r="C7486" t="s">
        <v>249</v>
      </c>
      <c r="D7486" s="21" t="s">
        <v>34</v>
      </c>
      <c r="E7486" s="21" t="s">
        <v>35</v>
      </c>
      <c r="F7486">
        <v>7590374</v>
      </c>
      <c r="G7486" t="s">
        <v>7818</v>
      </c>
      <c r="H7486" s="21">
        <v>1082.67</v>
      </c>
    </row>
    <row r="7487" spans="1:8" customFormat="1" x14ac:dyDescent="0.25">
      <c r="A7487" t="str">
        <f>"3328596"</f>
        <v>3328596</v>
      </c>
      <c r="B7487" t="s">
        <v>2189</v>
      </c>
      <c r="C7487" t="s">
        <v>82</v>
      </c>
      <c r="D7487" s="21" t="s">
        <v>34</v>
      </c>
      <c r="E7487" s="21" t="s">
        <v>35</v>
      </c>
      <c r="F7487">
        <v>10330125</v>
      </c>
      <c r="G7487" t="s">
        <v>3753</v>
      </c>
      <c r="H7487" s="21">
        <v>1082.55</v>
      </c>
    </row>
    <row r="7488" spans="1:8" customFormat="1" x14ac:dyDescent="0.25">
      <c r="A7488" t="str">
        <f>"759571"</f>
        <v>759571</v>
      </c>
      <c r="B7488" t="s">
        <v>7850</v>
      </c>
      <c r="C7488" t="s">
        <v>7851</v>
      </c>
      <c r="D7488" s="21" t="s">
        <v>34</v>
      </c>
      <c r="E7488" s="21" t="s">
        <v>71</v>
      </c>
      <c r="F7488">
        <v>8940096</v>
      </c>
      <c r="G7488" t="s">
        <v>5453</v>
      </c>
      <c r="H7488" s="21">
        <v>1082.55</v>
      </c>
    </row>
    <row r="7489" spans="1:8" customFormat="1" x14ac:dyDescent="0.25">
      <c r="A7489" t="str">
        <f>"4525150"</f>
        <v>4525150</v>
      </c>
      <c r="B7489" t="s">
        <v>9322</v>
      </c>
      <c r="C7489" t="s">
        <v>9323</v>
      </c>
      <c r="D7489" s="21" t="s">
        <v>34</v>
      </c>
      <c r="E7489" s="21" t="s">
        <v>35</v>
      </c>
      <c r="F7489">
        <v>4450754</v>
      </c>
      <c r="G7489" t="s">
        <v>2695</v>
      </c>
      <c r="H7489" s="21">
        <v>1082.42</v>
      </c>
    </row>
    <row r="7490" spans="1:8" customFormat="1" x14ac:dyDescent="0.25">
      <c r="A7490" t="str">
        <f>"891946"</f>
        <v>891946</v>
      </c>
      <c r="B7490" t="s">
        <v>7030</v>
      </c>
      <c r="C7490" t="s">
        <v>7031</v>
      </c>
      <c r="D7490" s="21" t="s">
        <v>34</v>
      </c>
      <c r="E7490" s="21" t="s">
        <v>254</v>
      </c>
      <c r="F7490">
        <v>2890023</v>
      </c>
      <c r="G7490" t="s">
        <v>1995</v>
      </c>
      <c r="H7490" s="21">
        <v>1082.3</v>
      </c>
    </row>
    <row r="7491" spans="1:8" customFormat="1" x14ac:dyDescent="0.25">
      <c r="A7491" t="str">
        <f>"255411"</f>
        <v>255411</v>
      </c>
      <c r="B7491" t="s">
        <v>7821</v>
      </c>
      <c r="C7491" t="s">
        <v>1146</v>
      </c>
      <c r="D7491" s="21" t="s">
        <v>34</v>
      </c>
      <c r="E7491" s="21" t="s">
        <v>254</v>
      </c>
      <c r="F7491">
        <v>2250132</v>
      </c>
      <c r="G7491" t="s">
        <v>7748</v>
      </c>
      <c r="H7491" s="21">
        <v>1082.17</v>
      </c>
    </row>
    <row r="7492" spans="1:8" customFormat="1" x14ac:dyDescent="0.25">
      <c r="A7492" t="str">
        <f>"509065"</f>
        <v>509065</v>
      </c>
      <c r="B7492" t="s">
        <v>4877</v>
      </c>
      <c r="C7492" t="s">
        <v>608</v>
      </c>
      <c r="D7492" s="21" t="s">
        <v>34</v>
      </c>
      <c r="E7492" s="21" t="s">
        <v>35</v>
      </c>
      <c r="F7492">
        <v>10640023</v>
      </c>
      <c r="G7492" t="s">
        <v>8567</v>
      </c>
      <c r="H7492" s="21">
        <v>1082.17</v>
      </c>
    </row>
    <row r="7493" spans="1:8" customFormat="1" x14ac:dyDescent="0.25">
      <c r="A7493" t="str">
        <f>"79752"</f>
        <v>79752</v>
      </c>
      <c r="B7493" t="s">
        <v>638</v>
      </c>
      <c r="C7493" t="s">
        <v>169</v>
      </c>
      <c r="D7493" s="21" t="s">
        <v>34</v>
      </c>
      <c r="E7493" s="21" t="s">
        <v>71</v>
      </c>
      <c r="F7493">
        <v>10790038</v>
      </c>
      <c r="G7493" t="s">
        <v>5857</v>
      </c>
      <c r="H7493" s="21">
        <v>1082.17</v>
      </c>
    </row>
    <row r="7494" spans="1:8" customFormat="1" x14ac:dyDescent="0.25">
      <c r="A7494" t="str">
        <f>"9110001"</f>
        <v>9110001</v>
      </c>
      <c r="B7494" t="s">
        <v>4376</v>
      </c>
      <c r="C7494" t="s">
        <v>139</v>
      </c>
      <c r="D7494" s="21" t="s">
        <v>34</v>
      </c>
      <c r="E7494" s="21" t="s">
        <v>35</v>
      </c>
      <c r="F7494">
        <v>8910303</v>
      </c>
      <c r="G7494" t="s">
        <v>1244</v>
      </c>
      <c r="H7494" s="21">
        <v>1082.17</v>
      </c>
    </row>
    <row r="7495" spans="1:8" customFormat="1" x14ac:dyDescent="0.25">
      <c r="A7495" t="str">
        <f>"9228292"</f>
        <v>9228292</v>
      </c>
      <c r="B7495" t="s">
        <v>9447</v>
      </c>
      <c r="C7495" t="s">
        <v>65</v>
      </c>
      <c r="D7495" s="21" t="s">
        <v>34</v>
      </c>
      <c r="E7495" s="21" t="s">
        <v>35</v>
      </c>
      <c r="F7495">
        <v>8921458</v>
      </c>
      <c r="G7495" t="s">
        <v>162</v>
      </c>
      <c r="H7495" s="21">
        <v>1082.17</v>
      </c>
    </row>
    <row r="7496" spans="1:8" customFormat="1" x14ac:dyDescent="0.25">
      <c r="A7496" t="str">
        <f>"5413320"</f>
        <v>5413320</v>
      </c>
      <c r="B7496" t="s">
        <v>10241</v>
      </c>
      <c r="C7496" t="s">
        <v>109</v>
      </c>
      <c r="D7496" s="21" t="s">
        <v>34</v>
      </c>
      <c r="E7496" s="21" t="s">
        <v>35</v>
      </c>
      <c r="F7496">
        <v>6540115</v>
      </c>
      <c r="G7496" t="s">
        <v>3398</v>
      </c>
      <c r="H7496" s="21">
        <v>1082.17</v>
      </c>
    </row>
    <row r="7497" spans="1:8" customFormat="1" x14ac:dyDescent="0.25">
      <c r="A7497" t="str">
        <f>"493366"</f>
        <v>493366</v>
      </c>
      <c r="B7497" t="s">
        <v>4747</v>
      </c>
      <c r="C7497" t="s">
        <v>130</v>
      </c>
      <c r="D7497" s="21" t="s">
        <v>34</v>
      </c>
      <c r="E7497" s="21" t="s">
        <v>71</v>
      </c>
      <c r="F7497">
        <v>12490076</v>
      </c>
      <c r="G7497" t="s">
        <v>2086</v>
      </c>
      <c r="H7497" s="21">
        <v>1082.17</v>
      </c>
    </row>
    <row r="7498" spans="1:8" customFormat="1" x14ac:dyDescent="0.25">
      <c r="A7498" t="str">
        <f>"9510121"</f>
        <v>9510121</v>
      </c>
      <c r="B7498" t="s">
        <v>7236</v>
      </c>
      <c r="C7498" t="s">
        <v>730</v>
      </c>
      <c r="D7498" s="21" t="s">
        <v>34</v>
      </c>
      <c r="E7498" s="21" t="s">
        <v>1089</v>
      </c>
      <c r="F7498">
        <v>8950083</v>
      </c>
      <c r="G7498" t="s">
        <v>405</v>
      </c>
      <c r="H7498" s="21">
        <v>1082.05</v>
      </c>
    </row>
    <row r="7499" spans="1:8" customFormat="1" x14ac:dyDescent="0.25">
      <c r="A7499" t="str">
        <f>"7877659"</f>
        <v>7877659</v>
      </c>
      <c r="B7499" t="s">
        <v>13052</v>
      </c>
      <c r="C7499" t="s">
        <v>13053</v>
      </c>
      <c r="D7499" s="21" t="s">
        <v>34</v>
      </c>
      <c r="E7499" s="21" t="s">
        <v>35</v>
      </c>
      <c r="F7499">
        <v>8781473</v>
      </c>
      <c r="G7499" t="s">
        <v>1097</v>
      </c>
      <c r="H7499" s="21">
        <v>1082.04</v>
      </c>
    </row>
    <row r="7500" spans="1:8" customFormat="1" x14ac:dyDescent="0.25">
      <c r="A7500" t="str">
        <f>"7515632"</f>
        <v>7515632</v>
      </c>
      <c r="B7500" t="s">
        <v>4706</v>
      </c>
      <c r="C7500" t="s">
        <v>169</v>
      </c>
      <c r="D7500" s="21" t="s">
        <v>34</v>
      </c>
      <c r="E7500" s="21" t="s">
        <v>35</v>
      </c>
      <c r="F7500">
        <v>8751058</v>
      </c>
      <c r="G7500" t="s">
        <v>4202</v>
      </c>
      <c r="H7500" s="21">
        <v>1081.93</v>
      </c>
    </row>
    <row r="7501" spans="1:8" customFormat="1" x14ac:dyDescent="0.25">
      <c r="A7501" t="str">
        <f>"7716013"</f>
        <v>7716013</v>
      </c>
      <c r="B7501" t="s">
        <v>7376</v>
      </c>
      <c r="C7501" t="s">
        <v>130</v>
      </c>
      <c r="D7501" s="21" t="s">
        <v>34</v>
      </c>
      <c r="E7501" s="21" t="s">
        <v>35</v>
      </c>
      <c r="F7501">
        <v>8771029</v>
      </c>
      <c r="G7501" t="s">
        <v>4447</v>
      </c>
      <c r="H7501" s="21">
        <v>1081.93</v>
      </c>
    </row>
    <row r="7502" spans="1:8" customFormat="1" x14ac:dyDescent="0.25">
      <c r="A7502" t="str">
        <f>"4420488"</f>
        <v>4420488</v>
      </c>
      <c r="B7502" t="s">
        <v>8735</v>
      </c>
      <c r="C7502" t="s">
        <v>750</v>
      </c>
      <c r="D7502" s="21" t="s">
        <v>34</v>
      </c>
      <c r="E7502" s="21" t="s">
        <v>254</v>
      </c>
      <c r="F7502">
        <v>12440218</v>
      </c>
      <c r="G7502" t="s">
        <v>8477</v>
      </c>
      <c r="H7502" s="21">
        <v>1081.92</v>
      </c>
    </row>
    <row r="7503" spans="1:8" customFormat="1" x14ac:dyDescent="0.25">
      <c r="A7503" t="str">
        <f>"50227"</f>
        <v>50227</v>
      </c>
      <c r="B7503" t="s">
        <v>1263</v>
      </c>
      <c r="C7503" t="s">
        <v>209</v>
      </c>
      <c r="D7503" s="21" t="s">
        <v>34</v>
      </c>
      <c r="E7503" s="21" t="s">
        <v>71</v>
      </c>
      <c r="F7503">
        <v>9500143</v>
      </c>
      <c r="G7503" t="s">
        <v>2884</v>
      </c>
      <c r="H7503" s="21">
        <v>1081.79</v>
      </c>
    </row>
    <row r="7504" spans="1:8" customFormat="1" x14ac:dyDescent="0.25">
      <c r="A7504" t="str">
        <f>"913543"</f>
        <v>913543</v>
      </c>
      <c r="B7504" t="s">
        <v>208</v>
      </c>
      <c r="C7504" t="s">
        <v>139</v>
      </c>
      <c r="D7504" s="21" t="s">
        <v>34</v>
      </c>
      <c r="E7504" s="21" t="s">
        <v>71</v>
      </c>
      <c r="F7504">
        <v>8910914</v>
      </c>
      <c r="G7504" t="s">
        <v>3302</v>
      </c>
      <c r="H7504" s="21">
        <v>1081.67</v>
      </c>
    </row>
    <row r="7505" spans="1:8" customFormat="1" x14ac:dyDescent="0.25">
      <c r="A7505" t="str">
        <f>"724972"</f>
        <v>724972</v>
      </c>
      <c r="B7505" t="s">
        <v>9304</v>
      </c>
      <c r="C7505" t="s">
        <v>119</v>
      </c>
      <c r="D7505" s="21" t="s">
        <v>34</v>
      </c>
      <c r="E7505" s="21" t="s">
        <v>71</v>
      </c>
      <c r="F7505">
        <v>12720071</v>
      </c>
      <c r="G7505" t="s">
        <v>783</v>
      </c>
      <c r="H7505" s="21">
        <v>1081.67</v>
      </c>
    </row>
    <row r="7506" spans="1:8" customFormat="1" x14ac:dyDescent="0.25">
      <c r="A7506" t="str">
        <f>"4424204"</f>
        <v>4424204</v>
      </c>
      <c r="B7506" t="s">
        <v>8248</v>
      </c>
      <c r="C7506" t="s">
        <v>305</v>
      </c>
      <c r="D7506" s="21" t="s">
        <v>34</v>
      </c>
      <c r="E7506" s="21" t="s">
        <v>35</v>
      </c>
      <c r="F7506">
        <v>12440127</v>
      </c>
      <c r="G7506" t="s">
        <v>7692</v>
      </c>
      <c r="H7506" s="21">
        <v>1081.67</v>
      </c>
    </row>
    <row r="7507" spans="1:8" customFormat="1" x14ac:dyDescent="0.25">
      <c r="A7507" t="str">
        <f>"8515948"</f>
        <v>8515948</v>
      </c>
      <c r="B7507" t="s">
        <v>5333</v>
      </c>
      <c r="C7507" t="s">
        <v>187</v>
      </c>
      <c r="D7507" s="21" t="s">
        <v>34</v>
      </c>
      <c r="E7507" s="21" t="s">
        <v>35</v>
      </c>
      <c r="F7507">
        <v>12850142</v>
      </c>
      <c r="G7507" t="s">
        <v>2663</v>
      </c>
      <c r="H7507" s="21">
        <v>1081.67</v>
      </c>
    </row>
    <row r="7508" spans="1:8" customFormat="1" x14ac:dyDescent="0.25">
      <c r="A7508" t="str">
        <f>"5617211"</f>
        <v>5617211</v>
      </c>
      <c r="B7508" t="s">
        <v>136</v>
      </c>
      <c r="C7508" t="s">
        <v>288</v>
      </c>
      <c r="D7508" s="21" t="s">
        <v>34</v>
      </c>
      <c r="E7508" s="21" t="s">
        <v>35</v>
      </c>
      <c r="F7508">
        <v>3560006</v>
      </c>
      <c r="G7508" t="s">
        <v>2708</v>
      </c>
      <c r="H7508" s="21">
        <v>1081.67</v>
      </c>
    </row>
    <row r="7509" spans="1:8" customFormat="1" x14ac:dyDescent="0.25">
      <c r="A7509" t="str">
        <f>"7830307"</f>
        <v>7830307</v>
      </c>
      <c r="B7509" t="s">
        <v>9055</v>
      </c>
      <c r="C7509" t="s">
        <v>65</v>
      </c>
      <c r="D7509" s="21" t="s">
        <v>34</v>
      </c>
      <c r="E7509" s="21" t="s">
        <v>35</v>
      </c>
      <c r="F7509">
        <v>4450757</v>
      </c>
      <c r="G7509" t="s">
        <v>3829</v>
      </c>
      <c r="H7509" s="21">
        <v>1081.67</v>
      </c>
    </row>
    <row r="7510" spans="1:8" customFormat="1" x14ac:dyDescent="0.25">
      <c r="A7510" t="str">
        <f>"72659"</f>
        <v>72659</v>
      </c>
      <c r="B7510" t="s">
        <v>4522</v>
      </c>
      <c r="C7510" t="s">
        <v>3456</v>
      </c>
      <c r="D7510" s="21" t="s">
        <v>34</v>
      </c>
      <c r="E7510" s="21" t="s">
        <v>254</v>
      </c>
      <c r="F7510">
        <v>12720104</v>
      </c>
      <c r="G7510" t="s">
        <v>224</v>
      </c>
      <c r="H7510" s="21">
        <v>1081.67</v>
      </c>
    </row>
    <row r="7511" spans="1:8" customFormat="1" x14ac:dyDescent="0.25">
      <c r="A7511" t="str">
        <f>"2921377"</f>
        <v>2921377</v>
      </c>
      <c r="B7511" t="s">
        <v>8865</v>
      </c>
      <c r="C7511" t="s">
        <v>547</v>
      </c>
      <c r="D7511" s="21" t="s">
        <v>34</v>
      </c>
      <c r="E7511" s="21" t="s">
        <v>35</v>
      </c>
      <c r="F7511">
        <v>3290047</v>
      </c>
      <c r="G7511" t="s">
        <v>2874</v>
      </c>
      <c r="H7511" s="21">
        <v>1081.67</v>
      </c>
    </row>
    <row r="7512" spans="1:8" customFormat="1" x14ac:dyDescent="0.25">
      <c r="A7512" t="str">
        <f>"9121921"</f>
        <v>9121921</v>
      </c>
      <c r="B7512" t="s">
        <v>7494</v>
      </c>
      <c r="C7512" t="s">
        <v>209</v>
      </c>
      <c r="D7512" s="21" t="s">
        <v>34</v>
      </c>
      <c r="E7512" s="21" t="s">
        <v>71</v>
      </c>
      <c r="F7512">
        <v>8910359</v>
      </c>
      <c r="G7512" t="s">
        <v>1204</v>
      </c>
      <c r="H7512" s="21">
        <v>1081.67</v>
      </c>
    </row>
    <row r="7513" spans="1:8" customFormat="1" x14ac:dyDescent="0.25">
      <c r="A7513" t="str">
        <f>"5421076"</f>
        <v>5421076</v>
      </c>
      <c r="B7513" t="s">
        <v>8017</v>
      </c>
      <c r="C7513" t="s">
        <v>198</v>
      </c>
      <c r="D7513" s="21" t="s">
        <v>34</v>
      </c>
      <c r="E7513" s="21" t="s">
        <v>71</v>
      </c>
      <c r="F7513">
        <v>3350014</v>
      </c>
      <c r="G7513" t="s">
        <v>1078</v>
      </c>
      <c r="H7513" s="21">
        <v>1081.67</v>
      </c>
    </row>
    <row r="7514" spans="1:8" customFormat="1" x14ac:dyDescent="0.25">
      <c r="A7514" t="str">
        <f>"285013"</f>
        <v>285013</v>
      </c>
      <c r="B7514" t="s">
        <v>1533</v>
      </c>
      <c r="C7514" t="s">
        <v>119</v>
      </c>
      <c r="D7514" s="21" t="s">
        <v>34</v>
      </c>
      <c r="E7514" s="21" t="s">
        <v>35</v>
      </c>
      <c r="F7514">
        <v>4280722</v>
      </c>
      <c r="G7514" t="s">
        <v>8251</v>
      </c>
      <c r="H7514" s="21">
        <v>1081.67</v>
      </c>
    </row>
    <row r="7515" spans="1:8" customFormat="1" x14ac:dyDescent="0.25">
      <c r="A7515" t="str">
        <f>"2923077"</f>
        <v>2923077</v>
      </c>
      <c r="B7515" t="s">
        <v>8862</v>
      </c>
      <c r="C7515" t="s">
        <v>55</v>
      </c>
      <c r="D7515" s="21" t="s">
        <v>34</v>
      </c>
      <c r="E7515" s="21" t="s">
        <v>35</v>
      </c>
      <c r="F7515">
        <v>3290009</v>
      </c>
      <c r="G7515" t="s">
        <v>4358</v>
      </c>
      <c r="H7515" s="21">
        <v>1081.67</v>
      </c>
    </row>
    <row r="7516" spans="1:8" customFormat="1" x14ac:dyDescent="0.25">
      <c r="A7516" t="str">
        <f>"4435509"</f>
        <v>4435509</v>
      </c>
      <c r="B7516" t="s">
        <v>2398</v>
      </c>
      <c r="C7516" t="s">
        <v>62</v>
      </c>
      <c r="D7516" s="21" t="s">
        <v>34</v>
      </c>
      <c r="E7516" s="21" t="s">
        <v>35</v>
      </c>
      <c r="F7516">
        <v>12440094</v>
      </c>
      <c r="G7516" t="s">
        <v>892</v>
      </c>
      <c r="H7516" s="21">
        <v>1081.56</v>
      </c>
    </row>
    <row r="7517" spans="1:8" customFormat="1" x14ac:dyDescent="0.25">
      <c r="A7517" t="str">
        <f>"417435"</f>
        <v>417435</v>
      </c>
      <c r="B7517" t="s">
        <v>8485</v>
      </c>
      <c r="C7517" t="s">
        <v>87</v>
      </c>
      <c r="D7517" s="21" t="s">
        <v>34</v>
      </c>
      <c r="E7517" s="21" t="s">
        <v>35</v>
      </c>
      <c r="F7517">
        <v>8781176</v>
      </c>
      <c r="G7517" t="s">
        <v>3659</v>
      </c>
      <c r="H7517" s="21">
        <v>1081.43</v>
      </c>
    </row>
    <row r="7518" spans="1:8" customFormat="1" x14ac:dyDescent="0.25">
      <c r="A7518" t="str">
        <f>"9427467"</f>
        <v>9427467</v>
      </c>
      <c r="B7518" t="s">
        <v>9100</v>
      </c>
      <c r="C7518" t="s">
        <v>9101</v>
      </c>
      <c r="D7518" s="21" t="s">
        <v>34</v>
      </c>
      <c r="E7518" s="21" t="s">
        <v>35</v>
      </c>
      <c r="F7518">
        <v>8940448</v>
      </c>
      <c r="G7518" t="s">
        <v>1691</v>
      </c>
      <c r="H7518" s="21">
        <v>1081.42</v>
      </c>
    </row>
    <row r="7519" spans="1:8" customFormat="1" x14ac:dyDescent="0.25">
      <c r="A7519" t="str">
        <f>"6810752"</f>
        <v>6810752</v>
      </c>
      <c r="B7519" t="s">
        <v>1122</v>
      </c>
      <c r="C7519" t="s">
        <v>130</v>
      </c>
      <c r="D7519" s="21" t="s">
        <v>34</v>
      </c>
      <c r="E7519" s="21" t="s">
        <v>71</v>
      </c>
      <c r="F7519">
        <v>6680102</v>
      </c>
      <c r="G7519" t="s">
        <v>1232</v>
      </c>
      <c r="H7519" s="21">
        <v>1081.42</v>
      </c>
    </row>
    <row r="7520" spans="1:8" customFormat="1" x14ac:dyDescent="0.25">
      <c r="A7520" t="str">
        <f>"7882198"</f>
        <v>7882198</v>
      </c>
      <c r="B7520" t="s">
        <v>5431</v>
      </c>
      <c r="C7520" t="s">
        <v>62</v>
      </c>
      <c r="D7520" s="21" t="s">
        <v>34</v>
      </c>
      <c r="E7520" s="21" t="s">
        <v>35</v>
      </c>
      <c r="F7520">
        <v>8780568</v>
      </c>
      <c r="G7520" t="s">
        <v>5279</v>
      </c>
      <c r="H7520" s="21">
        <v>1081.42</v>
      </c>
    </row>
    <row r="7521" spans="1:8" customFormat="1" x14ac:dyDescent="0.25">
      <c r="A7521" t="str">
        <f>"3516723"</f>
        <v>3516723</v>
      </c>
      <c r="B7521" t="s">
        <v>877</v>
      </c>
      <c r="C7521" t="s">
        <v>269</v>
      </c>
      <c r="D7521" s="21" t="s">
        <v>34</v>
      </c>
      <c r="E7521" s="21" t="s">
        <v>35</v>
      </c>
      <c r="F7521">
        <v>3350022</v>
      </c>
      <c r="G7521" t="s">
        <v>1287</v>
      </c>
      <c r="H7521" s="21">
        <v>1081.3</v>
      </c>
    </row>
    <row r="7522" spans="1:8" customFormat="1" x14ac:dyDescent="0.25">
      <c r="A7522" t="str">
        <f>"082985"</f>
        <v>082985</v>
      </c>
      <c r="B7522" t="s">
        <v>26992</v>
      </c>
      <c r="C7522" t="s">
        <v>43</v>
      </c>
      <c r="D7522" s="21" t="s">
        <v>34</v>
      </c>
      <c r="E7522" s="21" t="s">
        <v>35</v>
      </c>
      <c r="F7522">
        <v>6080006</v>
      </c>
      <c r="G7522" t="s">
        <v>4295</v>
      </c>
      <c r="H7522" s="21">
        <v>1081.18</v>
      </c>
    </row>
    <row r="7523" spans="1:8" customFormat="1" x14ac:dyDescent="0.25">
      <c r="A7523" t="str">
        <f>"54569"</f>
        <v>54569</v>
      </c>
      <c r="B7523" t="s">
        <v>6748</v>
      </c>
      <c r="C7523" t="s">
        <v>156</v>
      </c>
      <c r="D7523" s="21" t="s">
        <v>34</v>
      </c>
      <c r="E7523" s="21" t="s">
        <v>254</v>
      </c>
      <c r="F7523">
        <v>6540021</v>
      </c>
      <c r="G7523" t="s">
        <v>1815</v>
      </c>
      <c r="H7523" s="21">
        <v>1081.17</v>
      </c>
    </row>
    <row r="7524" spans="1:8" customFormat="1" x14ac:dyDescent="0.25">
      <c r="A7524" t="str">
        <f>"5320040"</f>
        <v>5320040</v>
      </c>
      <c r="B7524" t="s">
        <v>26993</v>
      </c>
      <c r="C7524" t="s">
        <v>82</v>
      </c>
      <c r="D7524" s="21" t="s">
        <v>34</v>
      </c>
      <c r="E7524" s="21" t="s">
        <v>35</v>
      </c>
      <c r="F7524">
        <v>12530001</v>
      </c>
      <c r="G7524" t="s">
        <v>6349</v>
      </c>
      <c r="H7524" s="21">
        <v>1081.17</v>
      </c>
    </row>
    <row r="7525" spans="1:8" customFormat="1" x14ac:dyDescent="0.25">
      <c r="A7525" t="str">
        <f>"4916798"</f>
        <v>4916798</v>
      </c>
      <c r="B7525" t="s">
        <v>2505</v>
      </c>
      <c r="C7525" t="s">
        <v>1803</v>
      </c>
      <c r="D7525" s="21" t="s">
        <v>34</v>
      </c>
      <c r="E7525" s="21" t="s">
        <v>35</v>
      </c>
      <c r="F7525">
        <v>12490106</v>
      </c>
      <c r="G7525" t="s">
        <v>4555</v>
      </c>
      <c r="H7525" s="21">
        <v>1081.17</v>
      </c>
    </row>
    <row r="7526" spans="1:8" customFormat="1" x14ac:dyDescent="0.25">
      <c r="A7526" t="str">
        <f>"5665"</f>
        <v>5665</v>
      </c>
      <c r="B7526" t="s">
        <v>8329</v>
      </c>
      <c r="C7526" t="s">
        <v>198</v>
      </c>
      <c r="D7526" s="21" t="s">
        <v>34</v>
      </c>
      <c r="E7526" s="21" t="s">
        <v>254</v>
      </c>
      <c r="F7526">
        <v>3560002</v>
      </c>
      <c r="G7526" t="s">
        <v>5437</v>
      </c>
      <c r="H7526" s="21">
        <v>1081.17</v>
      </c>
    </row>
    <row r="7527" spans="1:8" customFormat="1" x14ac:dyDescent="0.25">
      <c r="A7527" t="str">
        <f>"859602"</f>
        <v>859602</v>
      </c>
      <c r="B7527" t="s">
        <v>1611</v>
      </c>
      <c r="C7527" t="s">
        <v>3115</v>
      </c>
      <c r="D7527" s="21" t="s">
        <v>34</v>
      </c>
      <c r="E7527" s="21" t="s">
        <v>35</v>
      </c>
      <c r="F7527">
        <v>12850007</v>
      </c>
      <c r="G7527" t="s">
        <v>7649</v>
      </c>
      <c r="H7527" s="21">
        <v>1081.17</v>
      </c>
    </row>
    <row r="7528" spans="1:8" customFormat="1" x14ac:dyDescent="0.25">
      <c r="A7528" t="str">
        <f>"086639"</f>
        <v>086639</v>
      </c>
      <c r="B7528" t="s">
        <v>8075</v>
      </c>
      <c r="C7528" t="s">
        <v>87</v>
      </c>
      <c r="D7528" s="21" t="s">
        <v>34</v>
      </c>
      <c r="E7528" s="21" t="s">
        <v>71</v>
      </c>
      <c r="F7528">
        <v>6080050</v>
      </c>
      <c r="G7528" t="s">
        <v>7840</v>
      </c>
      <c r="H7528" s="21">
        <v>1081.17</v>
      </c>
    </row>
    <row r="7529" spans="1:8" customFormat="1" x14ac:dyDescent="0.25">
      <c r="A7529" t="str">
        <f>"305499"</f>
        <v>305499</v>
      </c>
      <c r="B7529" t="s">
        <v>306</v>
      </c>
      <c r="C7529" t="s">
        <v>87</v>
      </c>
      <c r="D7529" s="21" t="s">
        <v>34</v>
      </c>
      <c r="E7529" s="21" t="s">
        <v>35</v>
      </c>
      <c r="F7529">
        <v>11300041</v>
      </c>
      <c r="G7529" t="s">
        <v>8074</v>
      </c>
      <c r="H7529" s="21">
        <v>1081.17</v>
      </c>
    </row>
    <row r="7530" spans="1:8" customFormat="1" x14ac:dyDescent="0.25">
      <c r="A7530" t="str">
        <f>"7510372"</f>
        <v>7510372</v>
      </c>
      <c r="B7530" t="s">
        <v>8565</v>
      </c>
      <c r="C7530" t="s">
        <v>204</v>
      </c>
      <c r="D7530" s="21" t="s">
        <v>34</v>
      </c>
      <c r="E7530" s="21" t="s">
        <v>71</v>
      </c>
      <c r="F7530">
        <v>8751124</v>
      </c>
      <c r="G7530" t="s">
        <v>1481</v>
      </c>
      <c r="H7530" s="21">
        <v>1081.17</v>
      </c>
    </row>
    <row r="7531" spans="1:8" customFormat="1" x14ac:dyDescent="0.25">
      <c r="A7531" t="str">
        <f>"85890"</f>
        <v>85890</v>
      </c>
      <c r="B7531" t="s">
        <v>9284</v>
      </c>
      <c r="C7531" t="s">
        <v>263</v>
      </c>
      <c r="D7531" s="21" t="s">
        <v>34</v>
      </c>
      <c r="E7531" s="21" t="s">
        <v>71</v>
      </c>
      <c r="F7531">
        <v>12850023</v>
      </c>
      <c r="G7531" t="s">
        <v>3121</v>
      </c>
      <c r="H7531" s="21">
        <v>1081.17</v>
      </c>
    </row>
    <row r="7532" spans="1:8" customFormat="1" x14ac:dyDescent="0.25">
      <c r="A7532" t="str">
        <f>"3012623"</f>
        <v>3012623</v>
      </c>
      <c r="B7532" t="s">
        <v>9831</v>
      </c>
      <c r="C7532" t="s">
        <v>40</v>
      </c>
      <c r="D7532" s="21" t="s">
        <v>34</v>
      </c>
      <c r="E7532" s="21" t="s">
        <v>35</v>
      </c>
      <c r="F7532">
        <v>11300025</v>
      </c>
      <c r="G7532" t="s">
        <v>1211</v>
      </c>
      <c r="H7532" s="21">
        <v>1081.17</v>
      </c>
    </row>
    <row r="7533" spans="1:8" customFormat="1" x14ac:dyDescent="0.25">
      <c r="A7533" t="str">
        <f>"503623"</f>
        <v>503623</v>
      </c>
      <c r="B7533" t="s">
        <v>5343</v>
      </c>
      <c r="C7533" t="s">
        <v>169</v>
      </c>
      <c r="D7533" s="21" t="s">
        <v>34</v>
      </c>
      <c r="E7533" s="21" t="s">
        <v>35</v>
      </c>
      <c r="F7533">
        <v>9500011</v>
      </c>
      <c r="G7533" t="s">
        <v>4903</v>
      </c>
      <c r="H7533" s="21">
        <v>1081.17</v>
      </c>
    </row>
    <row r="7534" spans="1:8" customFormat="1" x14ac:dyDescent="0.25">
      <c r="A7534" t="str">
        <f>"4437579"</f>
        <v>4437579</v>
      </c>
      <c r="B7534" t="s">
        <v>427</v>
      </c>
      <c r="C7534" t="s">
        <v>65</v>
      </c>
      <c r="D7534" s="21" t="s">
        <v>34</v>
      </c>
      <c r="E7534" s="21" t="s">
        <v>35</v>
      </c>
      <c r="F7534">
        <v>12440144</v>
      </c>
      <c r="G7534" t="s">
        <v>3702</v>
      </c>
      <c r="H7534" s="21">
        <v>1081.17</v>
      </c>
    </row>
    <row r="7535" spans="1:8" customFormat="1" x14ac:dyDescent="0.25">
      <c r="A7535" t="str">
        <f>"574309"</f>
        <v>574309</v>
      </c>
      <c r="B7535" t="s">
        <v>26994</v>
      </c>
      <c r="C7535" t="s">
        <v>288</v>
      </c>
      <c r="D7535" s="21" t="s">
        <v>34</v>
      </c>
      <c r="E7535" s="21" t="s">
        <v>35</v>
      </c>
      <c r="F7535">
        <v>6670122</v>
      </c>
      <c r="G7535" t="s">
        <v>3126</v>
      </c>
      <c r="H7535" s="21">
        <v>1081.05</v>
      </c>
    </row>
    <row r="7536" spans="1:8" customFormat="1" x14ac:dyDescent="0.25">
      <c r="A7536" t="str">
        <f>"7636630"</f>
        <v>7636630</v>
      </c>
      <c r="B7536" t="s">
        <v>2656</v>
      </c>
      <c r="C7536" t="s">
        <v>58</v>
      </c>
      <c r="D7536" s="21" t="s">
        <v>34</v>
      </c>
      <c r="E7536" s="21" t="s">
        <v>35</v>
      </c>
      <c r="F7536">
        <v>9760417</v>
      </c>
      <c r="G7536" t="s">
        <v>11996</v>
      </c>
      <c r="H7536" s="21">
        <v>1080.92</v>
      </c>
    </row>
    <row r="7537" spans="1:8" customFormat="1" x14ac:dyDescent="0.25">
      <c r="A7537" t="str">
        <f>"9241477"</f>
        <v>9241477</v>
      </c>
      <c r="B7537" t="s">
        <v>6754</v>
      </c>
      <c r="C7537" t="s">
        <v>204</v>
      </c>
      <c r="D7537" s="21" t="s">
        <v>34</v>
      </c>
      <c r="E7537" s="21" t="s">
        <v>35</v>
      </c>
      <c r="F7537">
        <v>8920111</v>
      </c>
      <c r="G7537" t="s">
        <v>1064</v>
      </c>
      <c r="H7537" s="21">
        <v>1080.92</v>
      </c>
    </row>
    <row r="7538" spans="1:8" customFormat="1" x14ac:dyDescent="0.25">
      <c r="A7538" t="str">
        <f>"7713776"</f>
        <v>7713776</v>
      </c>
      <c r="B7538" t="s">
        <v>2711</v>
      </c>
      <c r="C7538" t="s">
        <v>1597</v>
      </c>
      <c r="D7538" s="21" t="s">
        <v>34</v>
      </c>
      <c r="E7538" s="21" t="s">
        <v>71</v>
      </c>
      <c r="F7538">
        <v>8770499</v>
      </c>
      <c r="G7538" t="s">
        <v>447</v>
      </c>
      <c r="H7538" s="21">
        <v>1080.81</v>
      </c>
    </row>
    <row r="7539" spans="1:8" customFormat="1" x14ac:dyDescent="0.25">
      <c r="A7539" t="str">
        <f>"454448"</f>
        <v>454448</v>
      </c>
      <c r="B7539" t="s">
        <v>7679</v>
      </c>
      <c r="C7539" t="s">
        <v>33</v>
      </c>
      <c r="D7539" s="21" t="s">
        <v>34</v>
      </c>
      <c r="E7539" s="21" t="s">
        <v>71</v>
      </c>
      <c r="F7539">
        <v>4450616</v>
      </c>
      <c r="G7539" t="s">
        <v>3254</v>
      </c>
      <c r="H7539" s="21">
        <v>1080.79</v>
      </c>
    </row>
    <row r="7540" spans="1:8" customFormat="1" x14ac:dyDescent="0.25">
      <c r="A7540" t="str">
        <f>"831913"</f>
        <v>831913</v>
      </c>
      <c r="B7540" t="s">
        <v>67</v>
      </c>
      <c r="C7540" t="s">
        <v>3109</v>
      </c>
      <c r="D7540" s="21" t="s">
        <v>34</v>
      </c>
      <c r="E7540" s="21" t="s">
        <v>71</v>
      </c>
      <c r="F7540">
        <v>13830083</v>
      </c>
      <c r="G7540" t="s">
        <v>2159</v>
      </c>
      <c r="H7540" s="21">
        <v>1080.67</v>
      </c>
    </row>
    <row r="7541" spans="1:8" customFormat="1" x14ac:dyDescent="0.25">
      <c r="A7541" t="str">
        <f>"58267"</f>
        <v>58267</v>
      </c>
      <c r="B7541" t="s">
        <v>6113</v>
      </c>
      <c r="C7541" t="s">
        <v>171</v>
      </c>
      <c r="D7541" s="21" t="s">
        <v>34</v>
      </c>
      <c r="E7541" s="21" t="s">
        <v>71</v>
      </c>
      <c r="F7541">
        <v>4180485</v>
      </c>
      <c r="G7541" t="s">
        <v>345</v>
      </c>
      <c r="H7541" s="21">
        <v>1080.67</v>
      </c>
    </row>
    <row r="7542" spans="1:8" customFormat="1" x14ac:dyDescent="0.25">
      <c r="A7542" t="str">
        <f>"4215453"</f>
        <v>4215453</v>
      </c>
      <c r="B7542" t="s">
        <v>26995</v>
      </c>
      <c r="C7542" t="s">
        <v>121</v>
      </c>
      <c r="D7542" s="21" t="s">
        <v>34</v>
      </c>
      <c r="E7542" s="21" t="s">
        <v>35</v>
      </c>
      <c r="F7542">
        <v>1420128</v>
      </c>
      <c r="G7542" t="s">
        <v>449</v>
      </c>
      <c r="H7542" s="21">
        <v>1080.67</v>
      </c>
    </row>
    <row r="7543" spans="1:8" customFormat="1" x14ac:dyDescent="0.25">
      <c r="A7543" t="str">
        <f>"598632"</f>
        <v>598632</v>
      </c>
      <c r="B7543" t="s">
        <v>7498</v>
      </c>
      <c r="C7543" t="s">
        <v>119</v>
      </c>
      <c r="D7543" s="21" t="s">
        <v>34</v>
      </c>
      <c r="E7543" s="21" t="s">
        <v>35</v>
      </c>
      <c r="F7543">
        <v>7590002</v>
      </c>
      <c r="G7543" t="s">
        <v>7135</v>
      </c>
      <c r="H7543" s="21">
        <v>1080.67</v>
      </c>
    </row>
    <row r="7544" spans="1:8" customFormat="1" x14ac:dyDescent="0.25">
      <c r="A7544" t="str">
        <f>"7830286"</f>
        <v>7830286</v>
      </c>
      <c r="B7544" t="s">
        <v>1094</v>
      </c>
      <c r="C7544" t="s">
        <v>462</v>
      </c>
      <c r="D7544" s="21" t="s">
        <v>34</v>
      </c>
      <c r="E7544" s="21" t="s">
        <v>254</v>
      </c>
      <c r="F7544">
        <v>8780016</v>
      </c>
      <c r="G7544" t="s">
        <v>3153</v>
      </c>
      <c r="H7544" s="21">
        <v>1080.67</v>
      </c>
    </row>
    <row r="7545" spans="1:8" customFormat="1" x14ac:dyDescent="0.25">
      <c r="A7545" t="str">
        <f>"2711008"</f>
        <v>2711008</v>
      </c>
      <c r="B7545" t="s">
        <v>3725</v>
      </c>
      <c r="C7545" t="s">
        <v>109</v>
      </c>
      <c r="D7545" s="21" t="s">
        <v>34</v>
      </c>
      <c r="E7545" s="21" t="s">
        <v>35</v>
      </c>
      <c r="F7545">
        <v>9270021</v>
      </c>
      <c r="G7545" t="s">
        <v>4934</v>
      </c>
      <c r="H7545" s="21">
        <v>1080.67</v>
      </c>
    </row>
    <row r="7546" spans="1:8" customFormat="1" x14ac:dyDescent="0.25">
      <c r="A7546" t="str">
        <f>"5914438"</f>
        <v>5914438</v>
      </c>
      <c r="B7546" t="s">
        <v>8534</v>
      </c>
      <c r="C7546" t="s">
        <v>65</v>
      </c>
      <c r="D7546" s="21" t="s">
        <v>34</v>
      </c>
      <c r="E7546" s="21" t="s">
        <v>35</v>
      </c>
      <c r="F7546">
        <v>7590075</v>
      </c>
      <c r="G7546" t="s">
        <v>6459</v>
      </c>
      <c r="H7546" s="21">
        <v>1080.67</v>
      </c>
    </row>
    <row r="7547" spans="1:8" customFormat="1" x14ac:dyDescent="0.25">
      <c r="A7547" t="str">
        <f>"798194"</f>
        <v>798194</v>
      </c>
      <c r="B7547" t="s">
        <v>1592</v>
      </c>
      <c r="C7547" t="s">
        <v>87</v>
      </c>
      <c r="D7547" s="21" t="s">
        <v>34</v>
      </c>
      <c r="E7547" s="21" t="s">
        <v>35</v>
      </c>
      <c r="F7547">
        <v>10790235</v>
      </c>
      <c r="G7547" t="s">
        <v>413</v>
      </c>
      <c r="H7547" s="21">
        <v>1080.67</v>
      </c>
    </row>
    <row r="7548" spans="1:8" customFormat="1" x14ac:dyDescent="0.25">
      <c r="A7548" t="str">
        <f>"764251"</f>
        <v>764251</v>
      </c>
      <c r="B7548" t="s">
        <v>7854</v>
      </c>
      <c r="C7548" t="s">
        <v>121</v>
      </c>
      <c r="D7548" s="21" t="s">
        <v>34</v>
      </c>
      <c r="E7548" s="21" t="s">
        <v>71</v>
      </c>
      <c r="F7548">
        <v>9760342</v>
      </c>
      <c r="G7548" t="s">
        <v>3619</v>
      </c>
      <c r="H7548" s="21">
        <v>1080.55</v>
      </c>
    </row>
    <row r="7549" spans="1:8" customFormat="1" x14ac:dyDescent="0.25">
      <c r="A7549" t="str">
        <f>"5914140"</f>
        <v>5914140</v>
      </c>
      <c r="B7549" t="s">
        <v>1572</v>
      </c>
      <c r="C7549" t="s">
        <v>2907</v>
      </c>
      <c r="D7549" s="21" t="s">
        <v>34</v>
      </c>
      <c r="E7549" s="21" t="s">
        <v>254</v>
      </c>
      <c r="F7549">
        <v>7590055</v>
      </c>
      <c r="G7549" t="s">
        <v>1573</v>
      </c>
      <c r="H7549" s="21">
        <v>1080.5</v>
      </c>
    </row>
    <row r="7550" spans="1:8" customFormat="1" x14ac:dyDescent="0.25">
      <c r="A7550" t="str">
        <f>"604396"</f>
        <v>604396</v>
      </c>
      <c r="B7550" t="s">
        <v>8576</v>
      </c>
      <c r="C7550" t="s">
        <v>262</v>
      </c>
      <c r="D7550" s="21" t="s">
        <v>34</v>
      </c>
      <c r="E7550" s="21" t="s">
        <v>35</v>
      </c>
      <c r="F7550">
        <v>7600003</v>
      </c>
      <c r="G7550" t="s">
        <v>3515</v>
      </c>
      <c r="H7550" s="21">
        <v>1080.42</v>
      </c>
    </row>
    <row r="7551" spans="1:8" customFormat="1" x14ac:dyDescent="0.25">
      <c r="A7551" t="str">
        <f>"494508"</f>
        <v>494508</v>
      </c>
      <c r="B7551" t="s">
        <v>5901</v>
      </c>
      <c r="C7551" t="s">
        <v>253</v>
      </c>
      <c r="D7551" s="21" t="s">
        <v>34</v>
      </c>
      <c r="E7551" s="21" t="s">
        <v>254</v>
      </c>
      <c r="F7551">
        <v>12490039</v>
      </c>
      <c r="G7551" t="s">
        <v>3453</v>
      </c>
      <c r="H7551" s="21">
        <v>1080.42</v>
      </c>
    </row>
    <row r="7552" spans="1:8" customFormat="1" x14ac:dyDescent="0.25">
      <c r="A7552" t="str">
        <f>"5910967"</f>
        <v>5910967</v>
      </c>
      <c r="B7552" t="s">
        <v>8706</v>
      </c>
      <c r="C7552" t="s">
        <v>285</v>
      </c>
      <c r="D7552" s="21" t="s">
        <v>34</v>
      </c>
      <c r="E7552" s="21" t="s">
        <v>35</v>
      </c>
      <c r="F7552">
        <v>7590332</v>
      </c>
      <c r="G7552" t="s">
        <v>6094</v>
      </c>
      <c r="H7552" s="21">
        <v>1080.42</v>
      </c>
    </row>
    <row r="7553" spans="1:8" customFormat="1" x14ac:dyDescent="0.25">
      <c r="A7553" t="str">
        <f>"16282"</f>
        <v>16282</v>
      </c>
      <c r="B7553" t="s">
        <v>7487</v>
      </c>
      <c r="C7553" t="s">
        <v>7488</v>
      </c>
      <c r="D7553" s="21" t="s">
        <v>34</v>
      </c>
      <c r="E7553" s="21" t="s">
        <v>71</v>
      </c>
      <c r="F7553">
        <v>10160024</v>
      </c>
      <c r="G7553" t="s">
        <v>511</v>
      </c>
      <c r="H7553" s="21">
        <v>1080.3</v>
      </c>
    </row>
    <row r="7554" spans="1:8" customFormat="1" x14ac:dyDescent="0.25">
      <c r="A7554" t="str">
        <f>"5948415"</f>
        <v>5948415</v>
      </c>
      <c r="B7554" t="s">
        <v>205</v>
      </c>
      <c r="C7554" t="s">
        <v>121</v>
      </c>
      <c r="D7554" s="21" t="s">
        <v>34</v>
      </c>
      <c r="E7554" s="21" t="s">
        <v>35</v>
      </c>
      <c r="F7554">
        <v>4360002</v>
      </c>
      <c r="G7554" t="s">
        <v>222</v>
      </c>
      <c r="H7554" s="21">
        <v>1080.3</v>
      </c>
    </row>
    <row r="7555" spans="1:8" customFormat="1" x14ac:dyDescent="0.25">
      <c r="A7555" t="str">
        <f>"622814"</f>
        <v>622814</v>
      </c>
      <c r="B7555" t="s">
        <v>7609</v>
      </c>
      <c r="C7555" t="s">
        <v>598</v>
      </c>
      <c r="D7555" s="21" t="s">
        <v>34</v>
      </c>
      <c r="E7555" s="21" t="s">
        <v>254</v>
      </c>
      <c r="F7555">
        <v>7620184</v>
      </c>
      <c r="G7555" t="s">
        <v>4436</v>
      </c>
      <c r="H7555" s="21">
        <v>1080.18</v>
      </c>
    </row>
    <row r="7556" spans="1:8" customFormat="1" x14ac:dyDescent="0.25">
      <c r="A7556" t="str">
        <f>"349605"</f>
        <v>349605</v>
      </c>
      <c r="B7556" t="s">
        <v>435</v>
      </c>
      <c r="C7556" t="s">
        <v>412</v>
      </c>
      <c r="D7556" s="21" t="s">
        <v>34</v>
      </c>
      <c r="E7556" s="21" t="s">
        <v>71</v>
      </c>
      <c r="F7556">
        <v>11660009</v>
      </c>
      <c r="G7556" t="s">
        <v>26624</v>
      </c>
      <c r="H7556" s="21">
        <v>1080.17</v>
      </c>
    </row>
    <row r="7557" spans="1:8" customFormat="1" x14ac:dyDescent="0.25">
      <c r="A7557" t="str">
        <f>"7633632"</f>
        <v>7633632</v>
      </c>
      <c r="B7557" t="s">
        <v>10635</v>
      </c>
      <c r="C7557" t="s">
        <v>1705</v>
      </c>
      <c r="D7557" s="21" t="s">
        <v>34</v>
      </c>
      <c r="E7557" s="21" t="s">
        <v>35</v>
      </c>
      <c r="F7557">
        <v>9760377</v>
      </c>
      <c r="G7557" t="s">
        <v>6631</v>
      </c>
      <c r="H7557" s="21">
        <v>1080.17</v>
      </c>
    </row>
    <row r="7558" spans="1:8" customFormat="1" x14ac:dyDescent="0.25">
      <c r="A7558" t="str">
        <f>"1612519"</f>
        <v>1612519</v>
      </c>
      <c r="B7558" t="s">
        <v>907</v>
      </c>
      <c r="C7558" t="s">
        <v>87</v>
      </c>
      <c r="D7558" s="21" t="s">
        <v>34</v>
      </c>
      <c r="E7558" s="21" t="s">
        <v>35</v>
      </c>
      <c r="F7558">
        <v>10160029</v>
      </c>
      <c r="G7558" t="s">
        <v>896</v>
      </c>
      <c r="H7558" s="21">
        <v>1080.17</v>
      </c>
    </row>
    <row r="7559" spans="1:8" customFormat="1" x14ac:dyDescent="0.25">
      <c r="A7559" t="str">
        <f>"1713074"</f>
        <v>1713074</v>
      </c>
      <c r="B7559" t="s">
        <v>8411</v>
      </c>
      <c r="C7559" t="s">
        <v>109</v>
      </c>
      <c r="D7559" s="21" t="s">
        <v>34</v>
      </c>
      <c r="E7559" s="21" t="s">
        <v>71</v>
      </c>
      <c r="F7559">
        <v>10170009</v>
      </c>
      <c r="G7559" t="s">
        <v>3810</v>
      </c>
      <c r="H7559" s="21">
        <v>1080.17</v>
      </c>
    </row>
    <row r="7560" spans="1:8" customFormat="1" x14ac:dyDescent="0.25">
      <c r="A7560" t="str">
        <f>"6921606"</f>
        <v>6921606</v>
      </c>
      <c r="B7560" t="s">
        <v>9629</v>
      </c>
      <c r="C7560" t="s">
        <v>65</v>
      </c>
      <c r="D7560" s="21" t="s">
        <v>34</v>
      </c>
      <c r="E7560" s="21" t="s">
        <v>35</v>
      </c>
      <c r="F7560">
        <v>1690218</v>
      </c>
      <c r="G7560" t="s">
        <v>3637</v>
      </c>
      <c r="H7560" s="21">
        <v>1080.17</v>
      </c>
    </row>
    <row r="7561" spans="1:8" customFormat="1" x14ac:dyDescent="0.25">
      <c r="A7561" t="str">
        <f>"3334186"</f>
        <v>3334186</v>
      </c>
      <c r="B7561" t="s">
        <v>7715</v>
      </c>
      <c r="C7561" t="s">
        <v>124</v>
      </c>
      <c r="D7561" s="21" t="s">
        <v>34</v>
      </c>
      <c r="E7561" s="21" t="s">
        <v>35</v>
      </c>
      <c r="F7561">
        <v>10330032</v>
      </c>
      <c r="G7561" t="s">
        <v>4408</v>
      </c>
      <c r="H7561" s="21">
        <v>1080.17</v>
      </c>
    </row>
    <row r="7562" spans="1:8" customFormat="1" x14ac:dyDescent="0.25">
      <c r="A7562" t="str">
        <f>"44970"</f>
        <v>44970</v>
      </c>
      <c r="B7562" t="s">
        <v>4024</v>
      </c>
      <c r="C7562" t="s">
        <v>1119</v>
      </c>
      <c r="D7562" s="21" t="s">
        <v>34</v>
      </c>
      <c r="E7562" s="21" t="s">
        <v>254</v>
      </c>
      <c r="F7562">
        <v>12440076</v>
      </c>
      <c r="G7562" t="s">
        <v>1750</v>
      </c>
      <c r="H7562" s="21">
        <v>1080.17</v>
      </c>
    </row>
    <row r="7563" spans="1:8" customFormat="1" x14ac:dyDescent="0.25">
      <c r="A7563" t="str">
        <f>"3116973"</f>
        <v>3116973</v>
      </c>
      <c r="B7563" t="s">
        <v>8620</v>
      </c>
      <c r="C7563" t="s">
        <v>169</v>
      </c>
      <c r="D7563" s="21" t="s">
        <v>34</v>
      </c>
      <c r="E7563" s="21" t="s">
        <v>35</v>
      </c>
      <c r="F7563">
        <v>11310011</v>
      </c>
      <c r="G7563" t="s">
        <v>26586</v>
      </c>
      <c r="H7563" s="21">
        <v>1080.05</v>
      </c>
    </row>
    <row r="7564" spans="1:8" customFormat="1" x14ac:dyDescent="0.25">
      <c r="A7564" t="str">
        <f>"2511433"</f>
        <v>2511433</v>
      </c>
      <c r="B7564" t="s">
        <v>10364</v>
      </c>
      <c r="C7564" t="s">
        <v>3905</v>
      </c>
      <c r="D7564" s="21" t="s">
        <v>34</v>
      </c>
      <c r="E7564" s="21" t="s">
        <v>254</v>
      </c>
      <c r="F7564">
        <v>2250162</v>
      </c>
      <c r="G7564" t="s">
        <v>7388</v>
      </c>
      <c r="H7564" s="21">
        <v>1079.67</v>
      </c>
    </row>
    <row r="7565" spans="1:8" customFormat="1" x14ac:dyDescent="0.25">
      <c r="A7565" t="str">
        <f>"7629265"</f>
        <v>7629265</v>
      </c>
      <c r="B7565" t="s">
        <v>7762</v>
      </c>
      <c r="C7565" t="s">
        <v>249</v>
      </c>
      <c r="D7565" s="21" t="s">
        <v>34</v>
      </c>
      <c r="E7565" s="21" t="s">
        <v>254</v>
      </c>
      <c r="F7565">
        <v>9760036</v>
      </c>
      <c r="G7565" t="s">
        <v>279</v>
      </c>
      <c r="H7565" s="21">
        <v>1079.67</v>
      </c>
    </row>
    <row r="7566" spans="1:8" customFormat="1" x14ac:dyDescent="0.25">
      <c r="A7566" t="str">
        <f>"5020546"</f>
        <v>5020546</v>
      </c>
      <c r="B7566" t="s">
        <v>9336</v>
      </c>
      <c r="C7566" t="s">
        <v>719</v>
      </c>
      <c r="D7566" s="21" t="s">
        <v>34</v>
      </c>
      <c r="E7566" s="21" t="s">
        <v>35</v>
      </c>
      <c r="F7566">
        <v>9500030</v>
      </c>
      <c r="G7566" t="s">
        <v>2166</v>
      </c>
      <c r="H7566" s="21">
        <v>1079.67</v>
      </c>
    </row>
    <row r="7567" spans="1:8" customFormat="1" x14ac:dyDescent="0.25">
      <c r="A7567" t="str">
        <f>"713551"</f>
        <v>713551</v>
      </c>
      <c r="B7567" t="s">
        <v>8327</v>
      </c>
      <c r="C7567" t="s">
        <v>288</v>
      </c>
      <c r="D7567" s="21" t="s">
        <v>34</v>
      </c>
      <c r="E7567" s="21" t="s">
        <v>35</v>
      </c>
      <c r="F7567">
        <v>2710023</v>
      </c>
      <c r="G7567" t="s">
        <v>3549</v>
      </c>
      <c r="H7567" s="21">
        <v>1079.67</v>
      </c>
    </row>
    <row r="7568" spans="1:8" customFormat="1" x14ac:dyDescent="0.25">
      <c r="A7568" t="str">
        <f>"713374"</f>
        <v>713374</v>
      </c>
      <c r="B7568" t="s">
        <v>7751</v>
      </c>
      <c r="C7568" t="s">
        <v>40</v>
      </c>
      <c r="D7568" s="21" t="s">
        <v>34</v>
      </c>
      <c r="E7568" s="21" t="s">
        <v>71</v>
      </c>
      <c r="F7568">
        <v>2710051</v>
      </c>
      <c r="G7568" t="s">
        <v>4811</v>
      </c>
      <c r="H7568" s="21">
        <v>1079.67</v>
      </c>
    </row>
    <row r="7569" spans="1:8" customFormat="1" x14ac:dyDescent="0.25">
      <c r="A7569" t="str">
        <f>"285404"</f>
        <v>285404</v>
      </c>
      <c r="B7569" t="s">
        <v>2863</v>
      </c>
      <c r="C7569" t="s">
        <v>2520</v>
      </c>
      <c r="D7569" s="21" t="s">
        <v>34</v>
      </c>
      <c r="E7569" s="21" t="s">
        <v>71</v>
      </c>
      <c r="F7569">
        <v>4280004</v>
      </c>
      <c r="G7569" t="s">
        <v>91</v>
      </c>
      <c r="H7569" s="21">
        <v>1079.67</v>
      </c>
    </row>
    <row r="7570" spans="1:8" customFormat="1" x14ac:dyDescent="0.25">
      <c r="A7570" t="str">
        <f>"601821"</f>
        <v>601821</v>
      </c>
      <c r="B7570" t="s">
        <v>8239</v>
      </c>
      <c r="C7570" t="s">
        <v>239</v>
      </c>
      <c r="D7570" s="21" t="s">
        <v>34</v>
      </c>
      <c r="E7570" s="21" t="s">
        <v>71</v>
      </c>
      <c r="F7570">
        <v>7600088</v>
      </c>
      <c r="G7570" t="s">
        <v>334</v>
      </c>
      <c r="H7570" s="21">
        <v>1079.67</v>
      </c>
    </row>
    <row r="7571" spans="1:8" customFormat="1" x14ac:dyDescent="0.25">
      <c r="A7571" t="str">
        <f>"599027"</f>
        <v>599027</v>
      </c>
      <c r="B7571" t="s">
        <v>7134</v>
      </c>
      <c r="C7571" t="s">
        <v>109</v>
      </c>
      <c r="D7571" s="21" t="s">
        <v>34</v>
      </c>
      <c r="E7571" s="21" t="s">
        <v>35</v>
      </c>
      <c r="F7571">
        <v>7590002</v>
      </c>
      <c r="G7571" t="s">
        <v>7135</v>
      </c>
      <c r="H7571" s="21">
        <v>1079.67</v>
      </c>
    </row>
    <row r="7572" spans="1:8" customFormat="1" x14ac:dyDescent="0.25">
      <c r="A7572" t="str">
        <f>"945532"</f>
        <v>945532</v>
      </c>
      <c r="B7572" t="s">
        <v>4649</v>
      </c>
      <c r="C7572" t="s">
        <v>7159</v>
      </c>
      <c r="D7572" s="21" t="s">
        <v>34</v>
      </c>
      <c r="E7572" s="21" t="s">
        <v>71</v>
      </c>
      <c r="F7572">
        <v>8940976</v>
      </c>
      <c r="G7572" t="s">
        <v>615</v>
      </c>
      <c r="H7572" s="21">
        <v>1079.67</v>
      </c>
    </row>
    <row r="7573" spans="1:8" customFormat="1" x14ac:dyDescent="0.25">
      <c r="A7573" t="str">
        <f>"453376"</f>
        <v>453376</v>
      </c>
      <c r="B7573" t="s">
        <v>7169</v>
      </c>
      <c r="C7573" t="s">
        <v>528</v>
      </c>
      <c r="D7573" s="21" t="s">
        <v>34</v>
      </c>
      <c r="E7573" s="21" t="s">
        <v>254</v>
      </c>
      <c r="F7573">
        <v>4450754</v>
      </c>
      <c r="G7573" t="s">
        <v>2695</v>
      </c>
      <c r="H7573" s="21">
        <v>1079.67</v>
      </c>
    </row>
    <row r="7574" spans="1:8" customFormat="1" x14ac:dyDescent="0.25">
      <c r="A7574" t="str">
        <f>"595548"</f>
        <v>595548</v>
      </c>
      <c r="B7574" t="s">
        <v>7986</v>
      </c>
      <c r="C7574" t="s">
        <v>4623</v>
      </c>
      <c r="D7574" s="21" t="s">
        <v>34</v>
      </c>
      <c r="E7574" s="21" t="s">
        <v>71</v>
      </c>
      <c r="F7574">
        <v>7590016</v>
      </c>
      <c r="G7574" t="s">
        <v>5653</v>
      </c>
      <c r="H7574" s="21">
        <v>1079.67</v>
      </c>
    </row>
    <row r="7575" spans="1:8" customFormat="1" x14ac:dyDescent="0.25">
      <c r="A7575" t="str">
        <f>"8513725"</f>
        <v>8513725</v>
      </c>
      <c r="B7575" t="s">
        <v>383</v>
      </c>
      <c r="C7575" t="s">
        <v>951</v>
      </c>
      <c r="D7575" s="21" t="s">
        <v>34</v>
      </c>
      <c r="E7575" s="21" t="s">
        <v>35</v>
      </c>
      <c r="F7575">
        <v>12850028</v>
      </c>
      <c r="G7575" t="s">
        <v>1700</v>
      </c>
      <c r="H7575" s="21">
        <v>1079.42</v>
      </c>
    </row>
    <row r="7576" spans="1:8" customFormat="1" x14ac:dyDescent="0.25">
      <c r="A7576" t="str">
        <f>"595452"</f>
        <v>595452</v>
      </c>
      <c r="B7576" t="s">
        <v>8416</v>
      </c>
      <c r="C7576" t="s">
        <v>8417</v>
      </c>
      <c r="D7576" s="21" t="s">
        <v>34</v>
      </c>
      <c r="E7576" s="21" t="s">
        <v>71</v>
      </c>
      <c r="F7576">
        <v>7590354</v>
      </c>
      <c r="G7576" t="s">
        <v>5786</v>
      </c>
      <c r="H7576" s="21">
        <v>1079.17</v>
      </c>
    </row>
    <row r="7577" spans="1:8" customFormat="1" x14ac:dyDescent="0.25">
      <c r="A7577" t="str">
        <f>"594066"</f>
        <v>594066</v>
      </c>
      <c r="B7577" t="s">
        <v>6847</v>
      </c>
      <c r="C7577" t="s">
        <v>209</v>
      </c>
      <c r="D7577" s="21" t="s">
        <v>34</v>
      </c>
      <c r="E7577" s="21" t="s">
        <v>71</v>
      </c>
      <c r="F7577">
        <v>7590244</v>
      </c>
      <c r="G7577" t="s">
        <v>5768</v>
      </c>
      <c r="H7577" s="21">
        <v>1079.17</v>
      </c>
    </row>
    <row r="7578" spans="1:8" customFormat="1" x14ac:dyDescent="0.25">
      <c r="A7578" t="str">
        <f>"626277"</f>
        <v>626277</v>
      </c>
      <c r="B7578" t="s">
        <v>1264</v>
      </c>
      <c r="C7578" t="s">
        <v>3784</v>
      </c>
      <c r="D7578" s="21" t="s">
        <v>34</v>
      </c>
      <c r="E7578" s="21" t="s">
        <v>35</v>
      </c>
      <c r="F7578">
        <v>7620064</v>
      </c>
      <c r="G7578" t="s">
        <v>2266</v>
      </c>
      <c r="H7578" s="21">
        <v>1079.17</v>
      </c>
    </row>
    <row r="7579" spans="1:8" customFormat="1" x14ac:dyDescent="0.25">
      <c r="A7579" t="str">
        <f>"608798"</f>
        <v>608798</v>
      </c>
      <c r="B7579" t="s">
        <v>1840</v>
      </c>
      <c r="C7579" t="s">
        <v>8119</v>
      </c>
      <c r="D7579" s="21" t="s">
        <v>34</v>
      </c>
      <c r="E7579" s="21" t="s">
        <v>71</v>
      </c>
      <c r="F7579">
        <v>7600027</v>
      </c>
      <c r="G7579" t="s">
        <v>2137</v>
      </c>
      <c r="H7579" s="21">
        <v>1079.17</v>
      </c>
    </row>
    <row r="7580" spans="1:8" customFormat="1" x14ac:dyDescent="0.25">
      <c r="A7580" t="str">
        <f>"3711701"</f>
        <v>3711701</v>
      </c>
      <c r="B7580" t="s">
        <v>1886</v>
      </c>
      <c r="C7580" t="s">
        <v>37</v>
      </c>
      <c r="D7580" s="21" t="s">
        <v>34</v>
      </c>
      <c r="E7580" s="21" t="s">
        <v>35</v>
      </c>
      <c r="F7580">
        <v>4370183</v>
      </c>
      <c r="G7580" t="s">
        <v>231</v>
      </c>
      <c r="H7580" s="21">
        <v>1079.17</v>
      </c>
    </row>
    <row r="7581" spans="1:8" customFormat="1" x14ac:dyDescent="0.25">
      <c r="A7581" t="str">
        <f>"538399"</f>
        <v>538399</v>
      </c>
      <c r="B7581" t="s">
        <v>3952</v>
      </c>
      <c r="C7581" t="s">
        <v>1110</v>
      </c>
      <c r="D7581" s="21" t="s">
        <v>34</v>
      </c>
      <c r="E7581" s="21" t="s">
        <v>254</v>
      </c>
      <c r="F7581">
        <v>9610087</v>
      </c>
      <c r="G7581" t="s">
        <v>2661</v>
      </c>
      <c r="H7581" s="21">
        <v>1079.17</v>
      </c>
    </row>
    <row r="7582" spans="1:8" customFormat="1" x14ac:dyDescent="0.25">
      <c r="A7582" t="str">
        <f>"028204"</f>
        <v>028204</v>
      </c>
      <c r="B7582" t="s">
        <v>2919</v>
      </c>
      <c r="C7582" t="s">
        <v>55</v>
      </c>
      <c r="D7582" s="21" t="s">
        <v>34</v>
      </c>
      <c r="E7582" s="21" t="s">
        <v>35</v>
      </c>
      <c r="F7582">
        <v>7020065</v>
      </c>
      <c r="G7582" t="s">
        <v>4852</v>
      </c>
      <c r="H7582" s="21">
        <v>1079.17</v>
      </c>
    </row>
    <row r="7583" spans="1:8" customFormat="1" x14ac:dyDescent="0.25">
      <c r="A7583" t="str">
        <f>"3534151"</f>
        <v>3534151</v>
      </c>
      <c r="B7583" t="s">
        <v>9997</v>
      </c>
      <c r="C7583" t="s">
        <v>3098</v>
      </c>
      <c r="D7583" s="21" t="s">
        <v>34</v>
      </c>
      <c r="E7583" s="21" t="s">
        <v>35</v>
      </c>
      <c r="F7583">
        <v>3350016</v>
      </c>
      <c r="G7583" t="s">
        <v>133</v>
      </c>
      <c r="H7583" s="21">
        <v>1079.17</v>
      </c>
    </row>
    <row r="7584" spans="1:8" customFormat="1" x14ac:dyDescent="0.25">
      <c r="A7584" t="str">
        <f>"2718670"</f>
        <v>2718670</v>
      </c>
      <c r="B7584" t="s">
        <v>9376</v>
      </c>
      <c r="C7584" t="s">
        <v>60</v>
      </c>
      <c r="D7584" s="21" t="s">
        <v>34</v>
      </c>
      <c r="E7584" s="21" t="s">
        <v>35</v>
      </c>
      <c r="F7584">
        <v>9270164</v>
      </c>
      <c r="G7584" t="s">
        <v>8686</v>
      </c>
      <c r="H7584" s="21">
        <v>1079.17</v>
      </c>
    </row>
    <row r="7585" spans="1:8" customFormat="1" x14ac:dyDescent="0.25">
      <c r="A7585" t="str">
        <f>"9139884"</f>
        <v>9139884</v>
      </c>
      <c r="B7585" t="s">
        <v>875</v>
      </c>
      <c r="C7585" t="s">
        <v>867</v>
      </c>
      <c r="D7585" s="21" t="s">
        <v>34</v>
      </c>
      <c r="E7585" s="21" t="s">
        <v>35</v>
      </c>
      <c r="F7585">
        <v>8911083</v>
      </c>
      <c r="G7585" t="s">
        <v>7357</v>
      </c>
      <c r="H7585" s="21">
        <v>1078.93</v>
      </c>
    </row>
    <row r="7586" spans="1:8" customFormat="1" x14ac:dyDescent="0.25">
      <c r="A7586" t="str">
        <f>"904881"</f>
        <v>904881</v>
      </c>
      <c r="B7586" t="s">
        <v>26996</v>
      </c>
      <c r="C7586" t="s">
        <v>621</v>
      </c>
      <c r="D7586" s="21" t="s">
        <v>34</v>
      </c>
      <c r="E7586" s="21" t="s">
        <v>35</v>
      </c>
      <c r="F7586">
        <v>2900013</v>
      </c>
      <c r="G7586" t="s">
        <v>5390</v>
      </c>
      <c r="H7586" s="21">
        <v>1078.8</v>
      </c>
    </row>
    <row r="7587" spans="1:8" customFormat="1" x14ac:dyDescent="0.25">
      <c r="A7587" t="str">
        <f>"306109"</f>
        <v>306109</v>
      </c>
      <c r="B7587" t="s">
        <v>15795</v>
      </c>
      <c r="C7587" t="s">
        <v>87</v>
      </c>
      <c r="D7587" s="21" t="s">
        <v>34</v>
      </c>
      <c r="E7587" s="21" t="s">
        <v>71</v>
      </c>
      <c r="F7587">
        <v>11300016</v>
      </c>
      <c r="G7587" t="s">
        <v>157</v>
      </c>
      <c r="H7587" s="21">
        <v>1078.8</v>
      </c>
    </row>
    <row r="7588" spans="1:8" customFormat="1" x14ac:dyDescent="0.25">
      <c r="A7588" t="str">
        <f>"9110131"</f>
        <v>9110131</v>
      </c>
      <c r="B7588" t="s">
        <v>6232</v>
      </c>
      <c r="C7588" t="s">
        <v>285</v>
      </c>
      <c r="D7588" s="21" t="s">
        <v>34</v>
      </c>
      <c r="E7588" s="21" t="s">
        <v>35</v>
      </c>
      <c r="F7588">
        <v>8911083</v>
      </c>
      <c r="G7588" t="s">
        <v>7357</v>
      </c>
      <c r="H7588" s="21">
        <v>1078.68</v>
      </c>
    </row>
    <row r="7589" spans="1:8" customFormat="1" x14ac:dyDescent="0.25">
      <c r="A7589" t="str">
        <f>"864704"</f>
        <v>864704</v>
      </c>
      <c r="B7589" t="s">
        <v>7877</v>
      </c>
      <c r="C7589" t="s">
        <v>33</v>
      </c>
      <c r="D7589" s="21" t="s">
        <v>34</v>
      </c>
      <c r="E7589" s="21" t="s">
        <v>71</v>
      </c>
      <c r="F7589">
        <v>10860231</v>
      </c>
      <c r="G7589" t="s">
        <v>7294</v>
      </c>
      <c r="H7589" s="21">
        <v>1078.67</v>
      </c>
    </row>
    <row r="7590" spans="1:8" customFormat="1" x14ac:dyDescent="0.25">
      <c r="A7590" t="str">
        <f>"311395"</f>
        <v>311395</v>
      </c>
      <c r="B7590" t="s">
        <v>7965</v>
      </c>
      <c r="C7590" t="s">
        <v>124</v>
      </c>
      <c r="D7590" s="21" t="s">
        <v>34</v>
      </c>
      <c r="E7590" s="21" t="s">
        <v>71</v>
      </c>
      <c r="F7590">
        <v>11310064</v>
      </c>
      <c r="G7590" t="s">
        <v>931</v>
      </c>
      <c r="H7590" s="21">
        <v>1078.67</v>
      </c>
    </row>
    <row r="7591" spans="1:8" customFormat="1" x14ac:dyDescent="0.25">
      <c r="A7591" t="str">
        <f>"622355"</f>
        <v>622355</v>
      </c>
      <c r="B7591" t="s">
        <v>7938</v>
      </c>
      <c r="C7591" t="s">
        <v>7939</v>
      </c>
      <c r="D7591" s="21" t="s">
        <v>34</v>
      </c>
      <c r="E7591" s="21" t="s">
        <v>35</v>
      </c>
      <c r="F7591">
        <v>7620016</v>
      </c>
      <c r="G7591" t="s">
        <v>6850</v>
      </c>
      <c r="H7591" s="21">
        <v>1078.67</v>
      </c>
    </row>
    <row r="7592" spans="1:8" customFormat="1" x14ac:dyDescent="0.25">
      <c r="A7592" t="str">
        <f>"2719704"</f>
        <v>2719704</v>
      </c>
      <c r="B7592" t="s">
        <v>9779</v>
      </c>
      <c r="C7592" t="s">
        <v>544</v>
      </c>
      <c r="D7592" s="21" t="s">
        <v>34</v>
      </c>
      <c r="E7592" s="21" t="s">
        <v>35</v>
      </c>
      <c r="F7592">
        <v>9270168</v>
      </c>
      <c r="G7592" t="s">
        <v>5126</v>
      </c>
      <c r="H7592" s="21">
        <v>1078.67</v>
      </c>
    </row>
    <row r="7593" spans="1:8" customFormat="1" x14ac:dyDescent="0.25">
      <c r="A7593" t="str">
        <f>"8515611"</f>
        <v>8515611</v>
      </c>
      <c r="B7593" t="s">
        <v>503</v>
      </c>
      <c r="C7593" t="s">
        <v>33</v>
      </c>
      <c r="D7593" s="21" t="s">
        <v>34</v>
      </c>
      <c r="E7593" s="21" t="s">
        <v>35</v>
      </c>
      <c r="F7593">
        <v>12850060</v>
      </c>
      <c r="G7593" t="s">
        <v>2783</v>
      </c>
      <c r="H7593" s="21">
        <v>1078.67</v>
      </c>
    </row>
    <row r="7594" spans="1:8" customFormat="1" x14ac:dyDescent="0.25">
      <c r="A7594" t="str">
        <f>"873557"</f>
        <v>873557</v>
      </c>
      <c r="B7594" t="s">
        <v>9198</v>
      </c>
      <c r="C7594" t="s">
        <v>1142</v>
      </c>
      <c r="D7594" s="21" t="s">
        <v>34</v>
      </c>
      <c r="E7594" s="21" t="s">
        <v>35</v>
      </c>
      <c r="F7594">
        <v>11810024</v>
      </c>
      <c r="G7594" t="s">
        <v>2095</v>
      </c>
      <c r="H7594" s="21">
        <v>1078.67</v>
      </c>
    </row>
    <row r="7595" spans="1:8" customFormat="1" x14ac:dyDescent="0.25">
      <c r="A7595" t="str">
        <f>"7720355"</f>
        <v>7720355</v>
      </c>
      <c r="B7595" t="s">
        <v>623</v>
      </c>
      <c r="C7595" t="s">
        <v>55</v>
      </c>
      <c r="D7595" s="21" t="s">
        <v>34</v>
      </c>
      <c r="E7595" s="21" t="s">
        <v>35</v>
      </c>
      <c r="F7595">
        <v>8770202</v>
      </c>
      <c r="G7595" t="s">
        <v>1999</v>
      </c>
      <c r="H7595" s="21">
        <v>1078.67</v>
      </c>
    </row>
    <row r="7596" spans="1:8" customFormat="1" x14ac:dyDescent="0.25">
      <c r="A7596" t="str">
        <f>"566732"</f>
        <v>566732</v>
      </c>
      <c r="B7596" t="s">
        <v>6644</v>
      </c>
      <c r="C7596" t="s">
        <v>712</v>
      </c>
      <c r="D7596" s="21" t="s">
        <v>34</v>
      </c>
      <c r="E7596" s="21" t="s">
        <v>71</v>
      </c>
      <c r="F7596">
        <v>3220008</v>
      </c>
      <c r="G7596" t="s">
        <v>6845</v>
      </c>
      <c r="H7596" s="21">
        <v>1078.67</v>
      </c>
    </row>
    <row r="7597" spans="1:8" customFormat="1" x14ac:dyDescent="0.25">
      <c r="A7597" t="str">
        <f>"5010474"</f>
        <v>5010474</v>
      </c>
      <c r="B7597" t="s">
        <v>402</v>
      </c>
      <c r="C7597" t="s">
        <v>1803</v>
      </c>
      <c r="D7597" s="21" t="s">
        <v>34</v>
      </c>
      <c r="E7597" s="21" t="s">
        <v>35</v>
      </c>
      <c r="F7597">
        <v>9500069</v>
      </c>
      <c r="G7597" t="s">
        <v>26997</v>
      </c>
      <c r="H7597" s="21">
        <v>1078.67</v>
      </c>
    </row>
    <row r="7598" spans="1:8" customFormat="1" x14ac:dyDescent="0.25">
      <c r="A7598" t="str">
        <f>"3712279"</f>
        <v>3712279</v>
      </c>
      <c r="B7598" t="s">
        <v>2726</v>
      </c>
      <c r="C7598" t="s">
        <v>263</v>
      </c>
      <c r="D7598" s="21" t="s">
        <v>34</v>
      </c>
      <c r="E7598" s="21" t="s">
        <v>35</v>
      </c>
      <c r="F7598">
        <v>4370425</v>
      </c>
      <c r="G7598" t="s">
        <v>7812</v>
      </c>
      <c r="H7598" s="21">
        <v>1078.67</v>
      </c>
    </row>
    <row r="7599" spans="1:8" customFormat="1" x14ac:dyDescent="0.25">
      <c r="A7599" t="str">
        <f>"7728791"</f>
        <v>7728791</v>
      </c>
      <c r="B7599" t="s">
        <v>4791</v>
      </c>
      <c r="C7599" t="s">
        <v>33</v>
      </c>
      <c r="D7599" s="21" t="s">
        <v>34</v>
      </c>
      <c r="E7599" s="21" t="s">
        <v>35</v>
      </c>
      <c r="F7599">
        <v>8771501</v>
      </c>
      <c r="G7599" t="s">
        <v>10128</v>
      </c>
      <c r="H7599" s="21">
        <v>1078.3</v>
      </c>
    </row>
    <row r="7600" spans="1:8" customFormat="1" x14ac:dyDescent="0.25">
      <c r="A7600" t="str">
        <f>"7511299"</f>
        <v>7511299</v>
      </c>
      <c r="B7600" t="s">
        <v>6777</v>
      </c>
      <c r="C7600" t="s">
        <v>879</v>
      </c>
      <c r="D7600" s="21" t="s">
        <v>34</v>
      </c>
      <c r="E7600" s="21" t="s">
        <v>71</v>
      </c>
      <c r="F7600">
        <v>8750120</v>
      </c>
      <c r="G7600" t="s">
        <v>838</v>
      </c>
      <c r="H7600" s="21">
        <v>1078.29</v>
      </c>
    </row>
    <row r="7601" spans="1:8" customFormat="1" x14ac:dyDescent="0.25">
      <c r="A7601" t="str">
        <f>"066007"</f>
        <v>066007</v>
      </c>
      <c r="B7601" t="s">
        <v>8199</v>
      </c>
      <c r="C7601" t="s">
        <v>8200</v>
      </c>
      <c r="D7601" s="21" t="s">
        <v>34</v>
      </c>
      <c r="E7601" s="21" t="s">
        <v>71</v>
      </c>
      <c r="F7601">
        <v>13060119</v>
      </c>
      <c r="G7601" t="s">
        <v>6179</v>
      </c>
      <c r="H7601" s="21">
        <v>1078.17</v>
      </c>
    </row>
    <row r="7602" spans="1:8" customFormat="1" x14ac:dyDescent="0.25">
      <c r="A7602" t="str">
        <f>"7714661"</f>
        <v>7714661</v>
      </c>
      <c r="B7602" t="s">
        <v>7978</v>
      </c>
      <c r="C7602" t="s">
        <v>7979</v>
      </c>
      <c r="D7602" s="21" t="s">
        <v>34</v>
      </c>
      <c r="E7602" s="21" t="s">
        <v>71</v>
      </c>
      <c r="F7602">
        <v>6570190</v>
      </c>
      <c r="G7602" t="s">
        <v>622</v>
      </c>
      <c r="H7602" s="21">
        <v>1078.17</v>
      </c>
    </row>
    <row r="7603" spans="1:8" customFormat="1" x14ac:dyDescent="0.25">
      <c r="A7603" t="str">
        <f>"7214732"</f>
        <v>7214732</v>
      </c>
      <c r="B7603" t="s">
        <v>4253</v>
      </c>
      <c r="C7603" t="s">
        <v>151</v>
      </c>
      <c r="D7603" s="21" t="s">
        <v>34</v>
      </c>
      <c r="E7603" s="21" t="s">
        <v>71</v>
      </c>
      <c r="F7603">
        <v>12720070</v>
      </c>
      <c r="G7603" t="s">
        <v>2348</v>
      </c>
      <c r="H7603" s="21">
        <v>1078.17</v>
      </c>
    </row>
    <row r="7604" spans="1:8" customFormat="1" x14ac:dyDescent="0.25">
      <c r="A7604" t="str">
        <f>"241118"</f>
        <v>241118</v>
      </c>
      <c r="B7604" t="s">
        <v>1522</v>
      </c>
      <c r="C7604" t="s">
        <v>249</v>
      </c>
      <c r="D7604" s="21" t="s">
        <v>34</v>
      </c>
      <c r="E7604" s="21" t="s">
        <v>35</v>
      </c>
      <c r="F7604">
        <v>10240020</v>
      </c>
      <c r="G7604" t="s">
        <v>870</v>
      </c>
      <c r="H7604" s="21">
        <v>1078.17</v>
      </c>
    </row>
    <row r="7605" spans="1:8" customFormat="1" x14ac:dyDescent="0.25">
      <c r="A7605" t="str">
        <f>"873147"</f>
        <v>873147</v>
      </c>
      <c r="B7605" t="s">
        <v>7384</v>
      </c>
      <c r="C7605" t="s">
        <v>269</v>
      </c>
      <c r="D7605" s="21" t="s">
        <v>34</v>
      </c>
      <c r="E7605" s="21" t="s">
        <v>71</v>
      </c>
      <c r="F7605">
        <v>10870109</v>
      </c>
      <c r="G7605" t="s">
        <v>5199</v>
      </c>
      <c r="H7605" s="21">
        <v>1078.17</v>
      </c>
    </row>
    <row r="7606" spans="1:8" customFormat="1" x14ac:dyDescent="0.25">
      <c r="A7606" t="str">
        <f>"5323848"</f>
        <v>5323848</v>
      </c>
      <c r="B7606" t="s">
        <v>2010</v>
      </c>
      <c r="C7606" t="s">
        <v>82</v>
      </c>
      <c r="D7606" s="21" t="s">
        <v>34</v>
      </c>
      <c r="E7606" s="21" t="s">
        <v>35</v>
      </c>
      <c r="F7606">
        <v>12530054</v>
      </c>
      <c r="G7606" t="s">
        <v>354</v>
      </c>
      <c r="H7606" s="21">
        <v>1078.17</v>
      </c>
    </row>
    <row r="7607" spans="1:8" customFormat="1" x14ac:dyDescent="0.25">
      <c r="A7607" t="str">
        <f>"867426"</f>
        <v>867426</v>
      </c>
      <c r="B7607" t="s">
        <v>8519</v>
      </c>
      <c r="C7607" t="s">
        <v>65</v>
      </c>
      <c r="D7607" s="21" t="s">
        <v>34</v>
      </c>
      <c r="E7607" s="21" t="s">
        <v>35</v>
      </c>
      <c r="F7607">
        <v>10790069</v>
      </c>
      <c r="G7607" t="s">
        <v>689</v>
      </c>
      <c r="H7607" s="21">
        <v>1078.17</v>
      </c>
    </row>
    <row r="7608" spans="1:8" customFormat="1" x14ac:dyDescent="0.25">
      <c r="A7608" t="str">
        <f>"9226555"</f>
        <v>9226555</v>
      </c>
      <c r="B7608" t="s">
        <v>6690</v>
      </c>
      <c r="C7608" t="s">
        <v>1142</v>
      </c>
      <c r="D7608" s="21" t="s">
        <v>34</v>
      </c>
      <c r="E7608" s="21" t="s">
        <v>71</v>
      </c>
      <c r="F7608">
        <v>8780078</v>
      </c>
      <c r="G7608" t="s">
        <v>229</v>
      </c>
      <c r="H7608" s="21">
        <v>1078.17</v>
      </c>
    </row>
    <row r="7609" spans="1:8" customFormat="1" x14ac:dyDescent="0.25">
      <c r="A7609" t="str">
        <f>"575861"</f>
        <v>575861</v>
      </c>
      <c r="B7609" t="s">
        <v>8742</v>
      </c>
      <c r="C7609" t="s">
        <v>1588</v>
      </c>
      <c r="D7609" s="21" t="s">
        <v>34</v>
      </c>
      <c r="E7609" s="21" t="s">
        <v>254</v>
      </c>
      <c r="F7609">
        <v>6570088</v>
      </c>
      <c r="G7609" t="s">
        <v>3461</v>
      </c>
      <c r="H7609" s="21">
        <v>1078.17</v>
      </c>
    </row>
    <row r="7610" spans="1:8" customFormat="1" x14ac:dyDescent="0.25">
      <c r="A7610" t="str">
        <f>"808623"</f>
        <v>808623</v>
      </c>
      <c r="B7610" t="s">
        <v>6975</v>
      </c>
      <c r="C7610" t="s">
        <v>1705</v>
      </c>
      <c r="D7610" s="21" t="s">
        <v>34</v>
      </c>
      <c r="E7610" s="21" t="s">
        <v>35</v>
      </c>
      <c r="F7610">
        <v>7800130</v>
      </c>
      <c r="G7610" t="s">
        <v>4998</v>
      </c>
      <c r="H7610" s="21">
        <v>1078.17</v>
      </c>
    </row>
    <row r="7611" spans="1:8" customFormat="1" x14ac:dyDescent="0.25">
      <c r="A7611" t="str">
        <f>"861709"</f>
        <v>861709</v>
      </c>
      <c r="B7611" t="s">
        <v>623</v>
      </c>
      <c r="C7611" t="s">
        <v>62</v>
      </c>
      <c r="D7611" s="21" t="s">
        <v>34</v>
      </c>
      <c r="E7611" s="21" t="s">
        <v>35</v>
      </c>
      <c r="F7611">
        <v>10170046</v>
      </c>
      <c r="G7611" t="s">
        <v>7370</v>
      </c>
      <c r="H7611" s="21">
        <v>1078.17</v>
      </c>
    </row>
    <row r="7612" spans="1:8" customFormat="1" x14ac:dyDescent="0.25">
      <c r="A7612" t="str">
        <f>"2920748"</f>
        <v>2920748</v>
      </c>
      <c r="B7612" t="s">
        <v>8626</v>
      </c>
      <c r="C7612" t="s">
        <v>415</v>
      </c>
      <c r="D7612" s="21" t="s">
        <v>34</v>
      </c>
      <c r="E7612" s="21" t="s">
        <v>254</v>
      </c>
      <c r="F7612">
        <v>3290018</v>
      </c>
      <c r="G7612" t="s">
        <v>1706</v>
      </c>
      <c r="H7612" s="21">
        <v>1078.17</v>
      </c>
    </row>
    <row r="7613" spans="1:8" customFormat="1" x14ac:dyDescent="0.25">
      <c r="A7613" t="str">
        <f>"3467"</f>
        <v>3467</v>
      </c>
      <c r="B7613" t="s">
        <v>2362</v>
      </c>
      <c r="C7613" t="s">
        <v>267</v>
      </c>
      <c r="D7613" s="21" t="s">
        <v>34</v>
      </c>
      <c r="E7613" s="21" t="s">
        <v>254</v>
      </c>
      <c r="F7613">
        <v>11340008</v>
      </c>
      <c r="G7613" t="s">
        <v>312</v>
      </c>
      <c r="H7613" s="21">
        <v>1078.17</v>
      </c>
    </row>
    <row r="7614" spans="1:8" customFormat="1" x14ac:dyDescent="0.25">
      <c r="A7614" t="str">
        <f>"033539"</f>
        <v>033539</v>
      </c>
      <c r="B7614" t="s">
        <v>7685</v>
      </c>
      <c r="C7614" t="s">
        <v>130</v>
      </c>
      <c r="D7614" s="21" t="s">
        <v>34</v>
      </c>
      <c r="E7614" s="21" t="s">
        <v>35</v>
      </c>
      <c r="F7614">
        <v>1630281</v>
      </c>
      <c r="G7614" t="s">
        <v>1190</v>
      </c>
      <c r="H7614" s="21">
        <v>1078.17</v>
      </c>
    </row>
    <row r="7615" spans="1:8" customFormat="1" x14ac:dyDescent="0.25">
      <c r="A7615" t="str">
        <f>"6940821"</f>
        <v>6940821</v>
      </c>
      <c r="B7615" t="s">
        <v>14898</v>
      </c>
      <c r="C7615" t="s">
        <v>171</v>
      </c>
      <c r="D7615" s="21" t="s">
        <v>34</v>
      </c>
      <c r="E7615" s="21" t="s">
        <v>35</v>
      </c>
      <c r="F7615">
        <v>1690041</v>
      </c>
      <c r="G7615" t="s">
        <v>7892</v>
      </c>
      <c r="H7615" s="21">
        <v>1078.05</v>
      </c>
    </row>
    <row r="7616" spans="1:8" customFormat="1" x14ac:dyDescent="0.25">
      <c r="A7616" t="str">
        <f>"7859212"</f>
        <v>7859212</v>
      </c>
      <c r="B7616" t="s">
        <v>10251</v>
      </c>
      <c r="C7616" t="s">
        <v>486</v>
      </c>
      <c r="D7616" s="21" t="s">
        <v>34</v>
      </c>
      <c r="E7616" s="21" t="s">
        <v>35</v>
      </c>
      <c r="F7616">
        <v>8780485</v>
      </c>
      <c r="G7616" t="s">
        <v>1279</v>
      </c>
      <c r="H7616" s="21">
        <v>1078.05</v>
      </c>
    </row>
    <row r="7617" spans="1:8" customFormat="1" x14ac:dyDescent="0.25">
      <c r="A7617" t="str">
        <f>"812738"</f>
        <v>812738</v>
      </c>
      <c r="B7617" t="s">
        <v>7982</v>
      </c>
      <c r="C7617" t="s">
        <v>147</v>
      </c>
      <c r="D7617" s="21" t="s">
        <v>34</v>
      </c>
      <c r="E7617" s="21" t="s">
        <v>71</v>
      </c>
      <c r="F7617">
        <v>11810001</v>
      </c>
      <c r="G7617" t="s">
        <v>26998</v>
      </c>
      <c r="H7617" s="21">
        <v>1077.93</v>
      </c>
    </row>
    <row r="7618" spans="1:8" customFormat="1" x14ac:dyDescent="0.25">
      <c r="A7618" t="str">
        <f>"5934782"</f>
        <v>5934782</v>
      </c>
      <c r="B7618" t="s">
        <v>6842</v>
      </c>
      <c r="C7618" t="s">
        <v>33</v>
      </c>
      <c r="D7618" s="21" t="s">
        <v>34</v>
      </c>
      <c r="E7618" s="21" t="s">
        <v>35</v>
      </c>
      <c r="F7618">
        <v>3350016</v>
      </c>
      <c r="G7618" t="s">
        <v>133</v>
      </c>
      <c r="H7618" s="21">
        <v>1077.92</v>
      </c>
    </row>
    <row r="7619" spans="1:8" customFormat="1" x14ac:dyDescent="0.25">
      <c r="A7619" t="str">
        <f>"626598"</f>
        <v>626598</v>
      </c>
      <c r="B7619" t="s">
        <v>6558</v>
      </c>
      <c r="C7619" t="s">
        <v>239</v>
      </c>
      <c r="D7619" s="21" t="s">
        <v>34</v>
      </c>
      <c r="E7619" s="21" t="s">
        <v>254</v>
      </c>
      <c r="F7619">
        <v>7620140</v>
      </c>
      <c r="G7619" t="s">
        <v>7454</v>
      </c>
      <c r="H7619" s="21">
        <v>1077.67</v>
      </c>
    </row>
    <row r="7620" spans="1:8" customFormat="1" x14ac:dyDescent="0.25">
      <c r="A7620" t="str">
        <f>"6718948"</f>
        <v>6718948</v>
      </c>
      <c r="B7620" t="s">
        <v>26999</v>
      </c>
      <c r="C7620" t="s">
        <v>37</v>
      </c>
      <c r="D7620" s="21" t="s">
        <v>34</v>
      </c>
      <c r="E7620" s="21" t="s">
        <v>35</v>
      </c>
      <c r="F7620">
        <v>6670002</v>
      </c>
      <c r="G7620" t="s">
        <v>5740</v>
      </c>
      <c r="H7620" s="21">
        <v>1077.67</v>
      </c>
    </row>
    <row r="7621" spans="1:8" customFormat="1" x14ac:dyDescent="0.25">
      <c r="A7621" t="str">
        <f>"613027"</f>
        <v>613027</v>
      </c>
      <c r="B7621" t="s">
        <v>8210</v>
      </c>
      <c r="C7621" t="s">
        <v>269</v>
      </c>
      <c r="D7621" s="21" t="s">
        <v>34</v>
      </c>
      <c r="E7621" s="21" t="s">
        <v>71</v>
      </c>
      <c r="F7621">
        <v>9610011</v>
      </c>
      <c r="G7621" t="s">
        <v>6031</v>
      </c>
      <c r="H7621" s="21">
        <v>1077.67</v>
      </c>
    </row>
    <row r="7622" spans="1:8" customFormat="1" x14ac:dyDescent="0.25">
      <c r="A7622" t="str">
        <f>"4218318"</f>
        <v>4218318</v>
      </c>
      <c r="B7622" t="s">
        <v>8424</v>
      </c>
      <c r="C7622" t="s">
        <v>119</v>
      </c>
      <c r="D7622" s="21" t="s">
        <v>34</v>
      </c>
      <c r="E7622" s="21" t="s">
        <v>71</v>
      </c>
      <c r="F7622">
        <v>1420017</v>
      </c>
      <c r="G7622" t="s">
        <v>1296</v>
      </c>
      <c r="H7622" s="21">
        <v>1077.67</v>
      </c>
    </row>
    <row r="7623" spans="1:8" customFormat="1" x14ac:dyDescent="0.25">
      <c r="A7623" t="str">
        <f>"596530"</f>
        <v>596530</v>
      </c>
      <c r="B7623" t="s">
        <v>7709</v>
      </c>
      <c r="C7623" t="s">
        <v>1468</v>
      </c>
      <c r="D7623" s="21" t="s">
        <v>34</v>
      </c>
      <c r="E7623" s="21" t="s">
        <v>35</v>
      </c>
      <c r="F7623">
        <v>7590018</v>
      </c>
      <c r="G7623" t="s">
        <v>2807</v>
      </c>
      <c r="H7623" s="21">
        <v>1077.67</v>
      </c>
    </row>
    <row r="7624" spans="1:8" customFormat="1" x14ac:dyDescent="0.25">
      <c r="A7624" t="str">
        <f>"688427"</f>
        <v>688427</v>
      </c>
      <c r="B7624" t="s">
        <v>8068</v>
      </c>
      <c r="C7624" t="s">
        <v>1110</v>
      </c>
      <c r="D7624" s="21" t="s">
        <v>34</v>
      </c>
      <c r="E7624" s="21" t="s">
        <v>35</v>
      </c>
      <c r="F7624">
        <v>6680004</v>
      </c>
      <c r="G7624" t="s">
        <v>644</v>
      </c>
      <c r="H7624" s="21">
        <v>1077.67</v>
      </c>
    </row>
    <row r="7625" spans="1:8" customFormat="1" x14ac:dyDescent="0.25">
      <c r="A7625" t="str">
        <f>"5611701"</f>
        <v>5611701</v>
      </c>
      <c r="B7625" t="s">
        <v>8535</v>
      </c>
      <c r="C7625" t="s">
        <v>926</v>
      </c>
      <c r="D7625" s="21" t="s">
        <v>34</v>
      </c>
      <c r="E7625" s="21" t="s">
        <v>35</v>
      </c>
      <c r="F7625">
        <v>3290212</v>
      </c>
      <c r="G7625" t="s">
        <v>6046</v>
      </c>
      <c r="H7625" s="21">
        <v>1077.67</v>
      </c>
    </row>
    <row r="7626" spans="1:8" customFormat="1" x14ac:dyDescent="0.25">
      <c r="A7626" t="str">
        <f>"80428"</f>
        <v>80428</v>
      </c>
      <c r="B7626" t="s">
        <v>8136</v>
      </c>
      <c r="C7626" t="s">
        <v>462</v>
      </c>
      <c r="D7626" s="21" t="s">
        <v>34</v>
      </c>
      <c r="E7626" s="21" t="s">
        <v>71</v>
      </c>
      <c r="F7626">
        <v>7800023</v>
      </c>
      <c r="G7626" t="s">
        <v>8137</v>
      </c>
      <c r="H7626" s="21">
        <v>1077.67</v>
      </c>
    </row>
    <row r="7627" spans="1:8" customFormat="1" x14ac:dyDescent="0.25">
      <c r="A7627" t="str">
        <f>"9315454"</f>
        <v>9315454</v>
      </c>
      <c r="B7627" t="s">
        <v>1301</v>
      </c>
      <c r="C7627" t="s">
        <v>151</v>
      </c>
      <c r="D7627" s="21" t="s">
        <v>34</v>
      </c>
      <c r="E7627" s="21" t="s">
        <v>35</v>
      </c>
      <c r="F7627">
        <v>10330043</v>
      </c>
      <c r="G7627" t="s">
        <v>1703</v>
      </c>
      <c r="H7627" s="21">
        <v>1077.67</v>
      </c>
    </row>
    <row r="7628" spans="1:8" customFormat="1" x14ac:dyDescent="0.25">
      <c r="A7628" t="str">
        <f>"218952"</f>
        <v>218952</v>
      </c>
      <c r="B7628" t="s">
        <v>2835</v>
      </c>
      <c r="C7628" t="s">
        <v>239</v>
      </c>
      <c r="D7628" s="21" t="s">
        <v>34</v>
      </c>
      <c r="E7628" s="21" t="s">
        <v>71</v>
      </c>
      <c r="F7628">
        <v>2210101</v>
      </c>
      <c r="G7628" t="s">
        <v>1374</v>
      </c>
      <c r="H7628" s="21">
        <v>1077.42</v>
      </c>
    </row>
    <row r="7629" spans="1:8" customFormat="1" x14ac:dyDescent="0.25">
      <c r="A7629" t="str">
        <f>"7728524"</f>
        <v>7728524</v>
      </c>
      <c r="B7629" t="s">
        <v>5112</v>
      </c>
      <c r="C7629" t="s">
        <v>926</v>
      </c>
      <c r="D7629" s="21" t="s">
        <v>34</v>
      </c>
      <c r="E7629" s="21" t="s">
        <v>35</v>
      </c>
      <c r="F7629">
        <v>8771516</v>
      </c>
      <c r="G7629" t="s">
        <v>7155</v>
      </c>
      <c r="H7629" s="21">
        <v>1077.3</v>
      </c>
    </row>
    <row r="7630" spans="1:8" customFormat="1" x14ac:dyDescent="0.25">
      <c r="A7630" t="str">
        <f>"2811060"</f>
        <v>2811060</v>
      </c>
      <c r="B7630" t="s">
        <v>1180</v>
      </c>
      <c r="C7630" t="s">
        <v>249</v>
      </c>
      <c r="D7630" s="21" t="s">
        <v>34</v>
      </c>
      <c r="E7630" s="21" t="s">
        <v>71</v>
      </c>
      <c r="F7630">
        <v>4280722</v>
      </c>
      <c r="G7630" t="s">
        <v>8251</v>
      </c>
      <c r="H7630" s="21">
        <v>1077.17</v>
      </c>
    </row>
    <row r="7631" spans="1:8" customFormat="1" x14ac:dyDescent="0.25">
      <c r="A7631" t="str">
        <f>"071327"</f>
        <v>071327</v>
      </c>
      <c r="B7631" t="s">
        <v>8288</v>
      </c>
      <c r="C7631" t="s">
        <v>87</v>
      </c>
      <c r="D7631" s="21" t="s">
        <v>34</v>
      </c>
      <c r="E7631" s="21" t="s">
        <v>71</v>
      </c>
      <c r="F7631">
        <v>1260068</v>
      </c>
      <c r="G7631" t="s">
        <v>6531</v>
      </c>
      <c r="H7631" s="21">
        <v>1077.17</v>
      </c>
    </row>
    <row r="7632" spans="1:8" customFormat="1" x14ac:dyDescent="0.25">
      <c r="A7632" t="str">
        <f>"577180"</f>
        <v>577180</v>
      </c>
      <c r="B7632" t="s">
        <v>8065</v>
      </c>
      <c r="C7632" t="s">
        <v>114</v>
      </c>
      <c r="D7632" s="21" t="s">
        <v>34</v>
      </c>
      <c r="E7632" s="21" t="s">
        <v>71</v>
      </c>
      <c r="F7632">
        <v>6570154</v>
      </c>
      <c r="G7632" t="s">
        <v>3935</v>
      </c>
      <c r="H7632" s="21">
        <v>1077.17</v>
      </c>
    </row>
    <row r="7633" spans="1:8" customFormat="1" x14ac:dyDescent="0.25">
      <c r="A7633" t="str">
        <f>"6940199"</f>
        <v>6940199</v>
      </c>
      <c r="B7633" t="s">
        <v>11545</v>
      </c>
      <c r="C7633" t="s">
        <v>285</v>
      </c>
      <c r="D7633" s="21" t="s">
        <v>34</v>
      </c>
      <c r="E7633" s="21" t="s">
        <v>35</v>
      </c>
      <c r="F7633">
        <v>1690112</v>
      </c>
      <c r="G7633" t="s">
        <v>4084</v>
      </c>
      <c r="H7633" s="21">
        <v>1077.17</v>
      </c>
    </row>
    <row r="7634" spans="1:8" customFormat="1" x14ac:dyDescent="0.25">
      <c r="A7634" t="str">
        <f>"7410325"</f>
        <v>7410325</v>
      </c>
      <c r="B7634" t="s">
        <v>8150</v>
      </c>
      <c r="C7634" t="s">
        <v>1132</v>
      </c>
      <c r="D7634" s="21" t="s">
        <v>34</v>
      </c>
      <c r="E7634" s="21" t="s">
        <v>71</v>
      </c>
      <c r="F7634">
        <v>1740069</v>
      </c>
      <c r="G7634" t="s">
        <v>8151</v>
      </c>
      <c r="H7634" s="21">
        <v>1077.17</v>
      </c>
    </row>
    <row r="7635" spans="1:8" customFormat="1" x14ac:dyDescent="0.25">
      <c r="A7635" t="str">
        <f>"383145"</f>
        <v>383145</v>
      </c>
      <c r="B7635" t="s">
        <v>8118</v>
      </c>
      <c r="C7635" t="s">
        <v>169</v>
      </c>
      <c r="D7635" s="21" t="s">
        <v>34</v>
      </c>
      <c r="E7635" s="21" t="s">
        <v>71</v>
      </c>
      <c r="F7635">
        <v>1380057</v>
      </c>
      <c r="G7635" t="s">
        <v>26700</v>
      </c>
      <c r="H7635" s="21">
        <v>1077.17</v>
      </c>
    </row>
    <row r="7636" spans="1:8" customFormat="1" x14ac:dyDescent="0.25">
      <c r="A7636" t="str">
        <f>"5920979"</f>
        <v>5920979</v>
      </c>
      <c r="B7636" t="s">
        <v>27000</v>
      </c>
      <c r="C7636" t="s">
        <v>174</v>
      </c>
      <c r="D7636" s="21" t="s">
        <v>34</v>
      </c>
      <c r="E7636" s="21" t="s">
        <v>35</v>
      </c>
      <c r="F7636">
        <v>7590043</v>
      </c>
      <c r="G7636" t="s">
        <v>10565</v>
      </c>
      <c r="H7636" s="21">
        <v>1077.17</v>
      </c>
    </row>
    <row r="7637" spans="1:8" customFormat="1" x14ac:dyDescent="0.25">
      <c r="A7637" t="str">
        <f>"338486"</f>
        <v>338486</v>
      </c>
      <c r="B7637" t="s">
        <v>27001</v>
      </c>
      <c r="C7637" t="s">
        <v>8106</v>
      </c>
      <c r="D7637" s="21" t="s">
        <v>34</v>
      </c>
      <c r="E7637" s="21" t="s">
        <v>35</v>
      </c>
      <c r="F7637">
        <v>10330017</v>
      </c>
      <c r="G7637" t="s">
        <v>2754</v>
      </c>
      <c r="H7637" s="21">
        <v>1077.17</v>
      </c>
    </row>
    <row r="7638" spans="1:8" customFormat="1" x14ac:dyDescent="0.25">
      <c r="A7638" t="str">
        <f>"959699"</f>
        <v>959699</v>
      </c>
      <c r="B7638" t="s">
        <v>9035</v>
      </c>
      <c r="C7638" t="s">
        <v>60</v>
      </c>
      <c r="D7638" s="21" t="s">
        <v>34</v>
      </c>
      <c r="E7638" s="21" t="s">
        <v>35</v>
      </c>
      <c r="F7638">
        <v>9270069</v>
      </c>
      <c r="G7638" t="s">
        <v>3509</v>
      </c>
      <c r="H7638" s="21">
        <v>1077.17</v>
      </c>
    </row>
    <row r="7639" spans="1:8" customFormat="1" x14ac:dyDescent="0.25">
      <c r="A7639" t="str">
        <f>"5934480"</f>
        <v>5934480</v>
      </c>
      <c r="B7639" t="s">
        <v>8184</v>
      </c>
      <c r="C7639" t="s">
        <v>8185</v>
      </c>
      <c r="D7639" s="21" t="s">
        <v>34</v>
      </c>
      <c r="E7639" s="21" t="s">
        <v>35</v>
      </c>
      <c r="F7639">
        <v>7620007</v>
      </c>
      <c r="G7639" t="s">
        <v>2133</v>
      </c>
      <c r="H7639" s="21">
        <v>1077.17</v>
      </c>
    </row>
    <row r="7640" spans="1:8" customFormat="1" x14ac:dyDescent="0.25">
      <c r="A7640" t="str">
        <f>"27232"</f>
        <v>27232</v>
      </c>
      <c r="B7640" t="s">
        <v>6395</v>
      </c>
      <c r="C7640" t="s">
        <v>114</v>
      </c>
      <c r="D7640" s="21" t="s">
        <v>34</v>
      </c>
      <c r="E7640" s="21" t="s">
        <v>71</v>
      </c>
      <c r="F7640">
        <v>9270151</v>
      </c>
      <c r="G7640" t="s">
        <v>626</v>
      </c>
      <c r="H7640" s="21">
        <v>1077.17</v>
      </c>
    </row>
    <row r="7641" spans="1:8" customFormat="1" x14ac:dyDescent="0.25">
      <c r="A7641" t="str">
        <f>"4217250"</f>
        <v>4217250</v>
      </c>
      <c r="B7641" t="s">
        <v>11071</v>
      </c>
      <c r="C7641" t="s">
        <v>139</v>
      </c>
      <c r="D7641" s="21" t="s">
        <v>34</v>
      </c>
      <c r="E7641" s="21" t="s">
        <v>35</v>
      </c>
      <c r="F7641">
        <v>1420138</v>
      </c>
      <c r="G7641" t="s">
        <v>27002</v>
      </c>
      <c r="H7641" s="21">
        <v>1076.92</v>
      </c>
    </row>
    <row r="7642" spans="1:8" customFormat="1" x14ac:dyDescent="0.25">
      <c r="A7642" t="str">
        <f>"9222487"</f>
        <v>9222487</v>
      </c>
      <c r="B7642" t="s">
        <v>8720</v>
      </c>
      <c r="C7642" t="s">
        <v>55</v>
      </c>
      <c r="D7642" s="21" t="s">
        <v>34</v>
      </c>
      <c r="E7642" s="21" t="s">
        <v>35</v>
      </c>
      <c r="F7642">
        <v>8780224</v>
      </c>
      <c r="G7642" t="s">
        <v>8599</v>
      </c>
      <c r="H7642" s="21">
        <v>1076.92</v>
      </c>
    </row>
    <row r="7643" spans="1:8" customFormat="1" x14ac:dyDescent="0.25">
      <c r="A7643" t="str">
        <f>"9519691"</f>
        <v>9519691</v>
      </c>
      <c r="B7643" t="s">
        <v>7065</v>
      </c>
      <c r="C7643" t="s">
        <v>40</v>
      </c>
      <c r="D7643" s="21" t="s">
        <v>34</v>
      </c>
      <c r="E7643" s="21" t="s">
        <v>254</v>
      </c>
      <c r="F7643">
        <v>11120025</v>
      </c>
      <c r="G7643" t="s">
        <v>10943</v>
      </c>
      <c r="H7643" s="21">
        <v>1076.68</v>
      </c>
    </row>
    <row r="7644" spans="1:8" customFormat="1" x14ac:dyDescent="0.25">
      <c r="A7644" t="str">
        <f>"289593"</f>
        <v>289593</v>
      </c>
      <c r="B7644" t="s">
        <v>7848</v>
      </c>
      <c r="C7644" t="s">
        <v>262</v>
      </c>
      <c r="D7644" s="21" t="s">
        <v>34</v>
      </c>
      <c r="E7644" s="21" t="s">
        <v>35</v>
      </c>
      <c r="F7644">
        <v>4280322</v>
      </c>
      <c r="G7644" t="s">
        <v>265</v>
      </c>
      <c r="H7644" s="21">
        <v>1076.67</v>
      </c>
    </row>
    <row r="7645" spans="1:8" customFormat="1" x14ac:dyDescent="0.25">
      <c r="A7645" t="str">
        <f>"901874"</f>
        <v>901874</v>
      </c>
      <c r="B7645" t="s">
        <v>8063</v>
      </c>
      <c r="C7645" t="s">
        <v>65</v>
      </c>
      <c r="D7645" s="21" t="s">
        <v>34</v>
      </c>
      <c r="E7645" s="21" t="s">
        <v>71</v>
      </c>
      <c r="F7645">
        <v>2900023</v>
      </c>
      <c r="G7645" t="s">
        <v>4360</v>
      </c>
      <c r="H7645" s="21">
        <v>1076.67</v>
      </c>
    </row>
    <row r="7646" spans="1:8" customFormat="1" x14ac:dyDescent="0.25">
      <c r="A7646" t="str">
        <f>"597744"</f>
        <v>597744</v>
      </c>
      <c r="B7646" t="s">
        <v>8708</v>
      </c>
      <c r="C7646" t="s">
        <v>498</v>
      </c>
      <c r="D7646" s="21" t="s">
        <v>34</v>
      </c>
      <c r="E7646" s="21" t="s">
        <v>254</v>
      </c>
      <c r="F7646">
        <v>7590288</v>
      </c>
      <c r="G7646" t="s">
        <v>6972</v>
      </c>
      <c r="H7646" s="21">
        <v>1076.67</v>
      </c>
    </row>
    <row r="7647" spans="1:8" customFormat="1" x14ac:dyDescent="0.25">
      <c r="A7647" t="str">
        <f>"023343"</f>
        <v>023343</v>
      </c>
      <c r="B7647" t="s">
        <v>8303</v>
      </c>
      <c r="C7647" t="s">
        <v>109</v>
      </c>
      <c r="D7647" s="21" t="s">
        <v>34</v>
      </c>
      <c r="E7647" s="21" t="s">
        <v>71</v>
      </c>
      <c r="F7647">
        <v>7020073</v>
      </c>
      <c r="G7647" t="s">
        <v>8304</v>
      </c>
      <c r="H7647" s="21">
        <v>1076.67</v>
      </c>
    </row>
    <row r="7648" spans="1:8" customFormat="1" x14ac:dyDescent="0.25">
      <c r="A7648" t="str">
        <f>"166306"</f>
        <v>166306</v>
      </c>
      <c r="B7648" t="s">
        <v>7606</v>
      </c>
      <c r="C7648" t="s">
        <v>156</v>
      </c>
      <c r="D7648" s="21" t="s">
        <v>34</v>
      </c>
      <c r="E7648" s="21" t="s">
        <v>254</v>
      </c>
      <c r="F7648">
        <v>10160197</v>
      </c>
      <c r="G7648" t="s">
        <v>4472</v>
      </c>
      <c r="H7648" s="21">
        <v>1076.67</v>
      </c>
    </row>
    <row r="7649" spans="1:8" customFormat="1" x14ac:dyDescent="0.25">
      <c r="A7649" t="str">
        <f>"3512166"</f>
        <v>3512166</v>
      </c>
      <c r="B7649" t="s">
        <v>1094</v>
      </c>
      <c r="C7649" t="s">
        <v>121</v>
      </c>
      <c r="D7649" s="21" t="s">
        <v>34</v>
      </c>
      <c r="E7649" s="21" t="s">
        <v>35</v>
      </c>
      <c r="F7649">
        <v>3350113</v>
      </c>
      <c r="G7649" t="s">
        <v>7631</v>
      </c>
      <c r="H7649" s="21">
        <v>1076.67</v>
      </c>
    </row>
    <row r="7650" spans="1:8" customFormat="1" x14ac:dyDescent="0.25">
      <c r="A7650" t="str">
        <f>"6710243"</f>
        <v>6710243</v>
      </c>
      <c r="B7650" t="s">
        <v>7819</v>
      </c>
      <c r="C7650" t="s">
        <v>288</v>
      </c>
      <c r="D7650" s="21" t="s">
        <v>34</v>
      </c>
      <c r="E7650" s="21" t="s">
        <v>35</v>
      </c>
      <c r="F7650">
        <v>7620063</v>
      </c>
      <c r="G7650" t="s">
        <v>1889</v>
      </c>
      <c r="H7650" s="21">
        <v>1076.67</v>
      </c>
    </row>
    <row r="7651" spans="1:8" customFormat="1" x14ac:dyDescent="0.25">
      <c r="A7651" t="str">
        <f>"393462"</f>
        <v>393462</v>
      </c>
      <c r="B7651" t="s">
        <v>9077</v>
      </c>
      <c r="C7651" t="s">
        <v>253</v>
      </c>
      <c r="D7651" s="21" t="s">
        <v>34</v>
      </c>
      <c r="E7651" s="21" t="s">
        <v>71</v>
      </c>
      <c r="F7651">
        <v>2390007</v>
      </c>
      <c r="G7651" t="s">
        <v>3365</v>
      </c>
      <c r="H7651" s="21">
        <v>1076.67</v>
      </c>
    </row>
    <row r="7652" spans="1:8" customFormat="1" x14ac:dyDescent="0.25">
      <c r="A7652" t="str">
        <f>"7622938"</f>
        <v>7622938</v>
      </c>
      <c r="B7652" t="s">
        <v>7541</v>
      </c>
      <c r="C7652" t="s">
        <v>269</v>
      </c>
      <c r="D7652" s="21" t="s">
        <v>34</v>
      </c>
      <c r="E7652" s="21" t="s">
        <v>71</v>
      </c>
      <c r="F7652">
        <v>9760270</v>
      </c>
      <c r="G7652" t="s">
        <v>4167</v>
      </c>
      <c r="H7652" s="21">
        <v>1076.5</v>
      </c>
    </row>
    <row r="7653" spans="1:8" customFormat="1" x14ac:dyDescent="0.25">
      <c r="A7653" t="str">
        <f>"4449130"</f>
        <v>4449130</v>
      </c>
      <c r="B7653" t="s">
        <v>7873</v>
      </c>
      <c r="C7653" t="s">
        <v>109</v>
      </c>
      <c r="D7653" s="21" t="s">
        <v>34</v>
      </c>
      <c r="E7653" s="21" t="s">
        <v>71</v>
      </c>
      <c r="F7653">
        <v>12440004</v>
      </c>
      <c r="G7653" t="s">
        <v>26530</v>
      </c>
      <c r="H7653" s="21">
        <v>1076.42</v>
      </c>
    </row>
    <row r="7654" spans="1:8" customFormat="1" x14ac:dyDescent="0.25">
      <c r="A7654" t="str">
        <f>"5942661"</f>
        <v>5942661</v>
      </c>
      <c r="B7654" t="s">
        <v>10729</v>
      </c>
      <c r="C7654" t="s">
        <v>285</v>
      </c>
      <c r="D7654" s="21" t="s">
        <v>34</v>
      </c>
      <c r="E7654" s="21" t="s">
        <v>35</v>
      </c>
      <c r="F7654">
        <v>7590332</v>
      </c>
      <c r="G7654" t="s">
        <v>6094</v>
      </c>
      <c r="H7654" s="21">
        <v>1076.3</v>
      </c>
    </row>
    <row r="7655" spans="1:8" customFormat="1" x14ac:dyDescent="0.25">
      <c r="A7655" t="str">
        <f>"389252"</f>
        <v>389252</v>
      </c>
      <c r="B7655" t="s">
        <v>27003</v>
      </c>
      <c r="C7655" t="s">
        <v>43</v>
      </c>
      <c r="D7655" s="21" t="s">
        <v>34</v>
      </c>
      <c r="E7655" s="21" t="s">
        <v>35</v>
      </c>
      <c r="F7655">
        <v>1380181</v>
      </c>
      <c r="G7655" t="s">
        <v>11117</v>
      </c>
      <c r="H7655" s="21">
        <v>1076.17</v>
      </c>
    </row>
    <row r="7656" spans="1:8" customFormat="1" x14ac:dyDescent="0.25">
      <c r="A7656" t="str">
        <f>"602180"</f>
        <v>602180</v>
      </c>
      <c r="B7656" t="s">
        <v>7250</v>
      </c>
      <c r="C7656" t="s">
        <v>40</v>
      </c>
      <c r="D7656" s="21" t="s">
        <v>34</v>
      </c>
      <c r="E7656" s="21" t="s">
        <v>254</v>
      </c>
      <c r="F7656">
        <v>7600126</v>
      </c>
      <c r="G7656" t="s">
        <v>2516</v>
      </c>
      <c r="H7656" s="21">
        <v>1076.17</v>
      </c>
    </row>
    <row r="7657" spans="1:8" customFormat="1" x14ac:dyDescent="0.25">
      <c r="A7657" t="str">
        <f>"1455"</f>
        <v>1455</v>
      </c>
      <c r="B7657" t="s">
        <v>3455</v>
      </c>
      <c r="C7657" t="s">
        <v>249</v>
      </c>
      <c r="D7657" s="21" t="s">
        <v>34</v>
      </c>
      <c r="E7657" s="21" t="s">
        <v>71</v>
      </c>
      <c r="F7657">
        <v>9140202</v>
      </c>
      <c r="G7657" t="s">
        <v>2011</v>
      </c>
      <c r="H7657" s="21">
        <v>1076.17</v>
      </c>
    </row>
    <row r="7658" spans="1:8" customFormat="1" x14ac:dyDescent="0.25">
      <c r="A7658" t="str">
        <f>"4414482"</f>
        <v>4414482</v>
      </c>
      <c r="B7658" t="s">
        <v>7557</v>
      </c>
      <c r="C7658" t="s">
        <v>462</v>
      </c>
      <c r="D7658" s="21" t="s">
        <v>34</v>
      </c>
      <c r="E7658" s="21" t="s">
        <v>71</v>
      </c>
      <c r="F7658">
        <v>12440084</v>
      </c>
      <c r="G7658" t="s">
        <v>1014</v>
      </c>
      <c r="H7658" s="21">
        <v>1076.17</v>
      </c>
    </row>
    <row r="7659" spans="1:8" customFormat="1" x14ac:dyDescent="0.25">
      <c r="A7659" t="str">
        <f>"8812951"</f>
        <v>8812951</v>
      </c>
      <c r="B7659" t="s">
        <v>6441</v>
      </c>
      <c r="C7659" t="s">
        <v>631</v>
      </c>
      <c r="D7659" s="21" t="s">
        <v>34</v>
      </c>
      <c r="E7659" s="21" t="s">
        <v>35</v>
      </c>
      <c r="F7659">
        <v>6880002</v>
      </c>
      <c r="G7659" t="s">
        <v>501</v>
      </c>
      <c r="H7659" s="21">
        <v>1076.17</v>
      </c>
    </row>
    <row r="7660" spans="1:8" customFormat="1" x14ac:dyDescent="0.25">
      <c r="A7660" t="str">
        <f>"791242"</f>
        <v>791242</v>
      </c>
      <c r="B7660" t="s">
        <v>1892</v>
      </c>
      <c r="C7660" t="s">
        <v>33</v>
      </c>
      <c r="D7660" s="21" t="s">
        <v>34</v>
      </c>
      <c r="E7660" s="21" t="s">
        <v>35</v>
      </c>
      <c r="F7660">
        <v>10790204</v>
      </c>
      <c r="G7660" t="s">
        <v>5681</v>
      </c>
      <c r="H7660" s="21">
        <v>1076.17</v>
      </c>
    </row>
    <row r="7661" spans="1:8" customFormat="1" x14ac:dyDescent="0.25">
      <c r="A7661" t="str">
        <f>"853269"</f>
        <v>853269</v>
      </c>
      <c r="B7661" t="s">
        <v>3655</v>
      </c>
      <c r="C7661" t="s">
        <v>3934</v>
      </c>
      <c r="D7661" s="21" t="s">
        <v>34</v>
      </c>
      <c r="E7661" s="21" t="s">
        <v>35</v>
      </c>
      <c r="F7661">
        <v>12850128</v>
      </c>
      <c r="G7661" t="s">
        <v>3656</v>
      </c>
      <c r="H7661" s="21">
        <v>1076.17</v>
      </c>
    </row>
    <row r="7662" spans="1:8" customFormat="1" x14ac:dyDescent="0.25">
      <c r="A7662" t="str">
        <f>"292328"</f>
        <v>292328</v>
      </c>
      <c r="B7662" t="s">
        <v>8048</v>
      </c>
      <c r="C7662" t="s">
        <v>8049</v>
      </c>
      <c r="D7662" s="21" t="s">
        <v>34</v>
      </c>
      <c r="E7662" s="21" t="s">
        <v>71</v>
      </c>
      <c r="F7662">
        <v>3290044</v>
      </c>
      <c r="G7662" t="s">
        <v>3897</v>
      </c>
      <c r="H7662" s="21">
        <v>1076.17</v>
      </c>
    </row>
    <row r="7663" spans="1:8" customFormat="1" x14ac:dyDescent="0.25">
      <c r="A7663" t="str">
        <f>"9515695"</f>
        <v>9515695</v>
      </c>
      <c r="B7663" t="s">
        <v>5360</v>
      </c>
      <c r="C7663" t="s">
        <v>328</v>
      </c>
      <c r="D7663" s="21" t="s">
        <v>34</v>
      </c>
      <c r="E7663" s="21" t="s">
        <v>71</v>
      </c>
      <c r="F7663">
        <v>12490092</v>
      </c>
      <c r="G7663" t="s">
        <v>1854</v>
      </c>
      <c r="H7663" s="21">
        <v>1076.17</v>
      </c>
    </row>
    <row r="7664" spans="1:8" customFormat="1" x14ac:dyDescent="0.25">
      <c r="A7664" t="str">
        <f>"85153"</f>
        <v>85153</v>
      </c>
      <c r="B7664" t="s">
        <v>7648</v>
      </c>
      <c r="C7664" t="s">
        <v>598</v>
      </c>
      <c r="D7664" s="21" t="s">
        <v>34</v>
      </c>
      <c r="E7664" s="21" t="s">
        <v>254</v>
      </c>
      <c r="F7664">
        <v>12850007</v>
      </c>
      <c r="G7664" t="s">
        <v>7649</v>
      </c>
      <c r="H7664" s="21">
        <v>1076.17</v>
      </c>
    </row>
    <row r="7665" spans="1:8" customFormat="1" x14ac:dyDescent="0.25">
      <c r="A7665" t="str">
        <f>"08523"</f>
        <v>08523</v>
      </c>
      <c r="B7665" t="s">
        <v>7234</v>
      </c>
      <c r="C7665" t="s">
        <v>1146</v>
      </c>
      <c r="D7665" s="21" t="s">
        <v>34</v>
      </c>
      <c r="E7665" s="21" t="s">
        <v>254</v>
      </c>
      <c r="F7665">
        <v>6550009</v>
      </c>
      <c r="G7665" t="s">
        <v>7080</v>
      </c>
      <c r="H7665" s="21">
        <v>1076.17</v>
      </c>
    </row>
    <row r="7666" spans="1:8" customFormat="1" x14ac:dyDescent="0.25">
      <c r="A7666" t="str">
        <f>"8526906"</f>
        <v>8526906</v>
      </c>
      <c r="B7666" t="s">
        <v>10283</v>
      </c>
      <c r="C7666" t="s">
        <v>3522</v>
      </c>
      <c r="D7666" s="21" t="s">
        <v>34</v>
      </c>
      <c r="E7666" s="21" t="s">
        <v>35</v>
      </c>
      <c r="F7666">
        <v>12850172</v>
      </c>
      <c r="G7666" t="s">
        <v>4919</v>
      </c>
      <c r="H7666" s="21">
        <v>1076.17</v>
      </c>
    </row>
    <row r="7667" spans="1:8" customFormat="1" x14ac:dyDescent="0.25">
      <c r="A7667" t="str">
        <f>"6316130"</f>
        <v>6316130</v>
      </c>
      <c r="B7667" t="s">
        <v>8914</v>
      </c>
      <c r="C7667" t="s">
        <v>462</v>
      </c>
      <c r="D7667" s="21" t="s">
        <v>34</v>
      </c>
      <c r="E7667" s="21" t="s">
        <v>71</v>
      </c>
      <c r="F7667">
        <v>1630303</v>
      </c>
      <c r="G7667" t="s">
        <v>8915</v>
      </c>
      <c r="H7667" s="21">
        <v>1076.17</v>
      </c>
    </row>
    <row r="7668" spans="1:8" customFormat="1" x14ac:dyDescent="0.25">
      <c r="A7668" t="str">
        <f>"427355"</f>
        <v>427355</v>
      </c>
      <c r="B7668" t="s">
        <v>7674</v>
      </c>
      <c r="C7668" t="s">
        <v>33</v>
      </c>
      <c r="D7668" s="21" t="s">
        <v>34</v>
      </c>
      <c r="E7668" s="21" t="s">
        <v>35</v>
      </c>
      <c r="F7668">
        <v>1420128</v>
      </c>
      <c r="G7668" t="s">
        <v>449</v>
      </c>
      <c r="H7668" s="21">
        <v>1076.17</v>
      </c>
    </row>
    <row r="7669" spans="1:8" customFormat="1" x14ac:dyDescent="0.25">
      <c r="A7669" t="str">
        <f>"517433"</f>
        <v>517433</v>
      </c>
      <c r="B7669" t="s">
        <v>27004</v>
      </c>
      <c r="C7669" t="s">
        <v>27005</v>
      </c>
      <c r="D7669" s="21" t="s">
        <v>34</v>
      </c>
      <c r="E7669" s="21" t="s">
        <v>35</v>
      </c>
      <c r="F7669">
        <v>4280202</v>
      </c>
      <c r="G7669" t="s">
        <v>2945</v>
      </c>
      <c r="H7669" s="21">
        <v>1076.05</v>
      </c>
    </row>
    <row r="7670" spans="1:8" customFormat="1" x14ac:dyDescent="0.25">
      <c r="A7670" t="str">
        <f>"7516047"</f>
        <v>7516047</v>
      </c>
      <c r="B7670" t="s">
        <v>8300</v>
      </c>
      <c r="C7670" t="s">
        <v>285</v>
      </c>
      <c r="D7670" s="21" t="s">
        <v>34</v>
      </c>
      <c r="E7670" s="21" t="s">
        <v>35</v>
      </c>
      <c r="F7670">
        <v>8781266</v>
      </c>
      <c r="G7670" t="s">
        <v>26704</v>
      </c>
      <c r="H7670" s="21">
        <v>1076</v>
      </c>
    </row>
    <row r="7671" spans="1:8" customFormat="1" x14ac:dyDescent="0.25">
      <c r="A7671" t="str">
        <f>"9137627"</f>
        <v>9137627</v>
      </c>
      <c r="B7671" t="s">
        <v>9599</v>
      </c>
      <c r="C7671" t="s">
        <v>9600</v>
      </c>
      <c r="D7671" s="21" t="s">
        <v>34</v>
      </c>
      <c r="E7671" s="21" t="s">
        <v>35</v>
      </c>
      <c r="F7671">
        <v>8910165</v>
      </c>
      <c r="G7671" t="s">
        <v>3184</v>
      </c>
      <c r="H7671" s="21">
        <v>1075.8</v>
      </c>
    </row>
    <row r="7672" spans="1:8" customFormat="1" x14ac:dyDescent="0.25">
      <c r="A7672" t="str">
        <f>"6224310"</f>
        <v>6224310</v>
      </c>
      <c r="B7672" t="s">
        <v>7872</v>
      </c>
      <c r="C7672" t="s">
        <v>119</v>
      </c>
      <c r="D7672" s="21" t="s">
        <v>34</v>
      </c>
      <c r="E7672" s="21" t="s">
        <v>35</v>
      </c>
      <c r="F7672">
        <v>7620019</v>
      </c>
      <c r="G7672" t="s">
        <v>723</v>
      </c>
      <c r="H7672" s="21">
        <v>1075.67</v>
      </c>
    </row>
    <row r="7673" spans="1:8" customFormat="1" x14ac:dyDescent="0.25">
      <c r="A7673" t="str">
        <f>"036842"</f>
        <v>036842</v>
      </c>
      <c r="B7673" t="s">
        <v>6472</v>
      </c>
      <c r="C7673" t="s">
        <v>239</v>
      </c>
      <c r="D7673" s="21" t="s">
        <v>34</v>
      </c>
      <c r="E7673" s="21" t="s">
        <v>35</v>
      </c>
      <c r="F7673">
        <v>1030312</v>
      </c>
      <c r="G7673" t="s">
        <v>7573</v>
      </c>
      <c r="H7673" s="21">
        <v>1075.67</v>
      </c>
    </row>
    <row r="7674" spans="1:8" customFormat="1" x14ac:dyDescent="0.25">
      <c r="A7674" t="str">
        <f>"5725334"</f>
        <v>5725334</v>
      </c>
      <c r="B7674" t="s">
        <v>9598</v>
      </c>
      <c r="C7674" t="s">
        <v>139</v>
      </c>
      <c r="D7674" s="21" t="s">
        <v>34</v>
      </c>
      <c r="E7674" s="21" t="s">
        <v>35</v>
      </c>
      <c r="F7674">
        <v>6540032</v>
      </c>
      <c r="G7674" t="s">
        <v>63</v>
      </c>
      <c r="H7674" s="21">
        <v>1075.67</v>
      </c>
    </row>
    <row r="7675" spans="1:8" customFormat="1" x14ac:dyDescent="0.25">
      <c r="A7675" t="str">
        <f>"50648"</f>
        <v>50648</v>
      </c>
      <c r="B7675" t="s">
        <v>197</v>
      </c>
      <c r="C7675" t="s">
        <v>114</v>
      </c>
      <c r="D7675" s="21" t="s">
        <v>34</v>
      </c>
      <c r="E7675" s="21" t="s">
        <v>35</v>
      </c>
      <c r="F7675">
        <v>9500030</v>
      </c>
      <c r="G7675" t="s">
        <v>2166</v>
      </c>
      <c r="H7675" s="21">
        <v>1075.67</v>
      </c>
    </row>
    <row r="7676" spans="1:8" customFormat="1" x14ac:dyDescent="0.25">
      <c r="A7676" t="str">
        <f>"271495"</f>
        <v>271495</v>
      </c>
      <c r="B7676" t="s">
        <v>2549</v>
      </c>
      <c r="C7676" t="s">
        <v>233</v>
      </c>
      <c r="D7676" s="21" t="s">
        <v>34</v>
      </c>
      <c r="E7676" s="21" t="s">
        <v>35</v>
      </c>
      <c r="F7676">
        <v>9270013</v>
      </c>
      <c r="G7676" t="s">
        <v>26924</v>
      </c>
      <c r="H7676" s="21">
        <v>1075.67</v>
      </c>
    </row>
    <row r="7677" spans="1:8" customFormat="1" x14ac:dyDescent="0.25">
      <c r="A7677" t="str">
        <f>"5915214"</f>
        <v>5915214</v>
      </c>
      <c r="B7677" t="s">
        <v>10244</v>
      </c>
      <c r="C7677" t="s">
        <v>174</v>
      </c>
      <c r="D7677" s="21" t="s">
        <v>34</v>
      </c>
      <c r="E7677" s="21" t="s">
        <v>35</v>
      </c>
      <c r="F7677">
        <v>7590058</v>
      </c>
      <c r="G7677" t="s">
        <v>5044</v>
      </c>
      <c r="H7677" s="21">
        <v>1075.67</v>
      </c>
    </row>
    <row r="7678" spans="1:8" customFormat="1" x14ac:dyDescent="0.25">
      <c r="A7678" t="str">
        <f>"3314450"</f>
        <v>3314450</v>
      </c>
      <c r="B7678" t="s">
        <v>7371</v>
      </c>
      <c r="C7678" t="s">
        <v>253</v>
      </c>
      <c r="D7678" s="21" t="s">
        <v>34</v>
      </c>
      <c r="E7678" s="21" t="s">
        <v>71</v>
      </c>
      <c r="F7678">
        <v>10330086</v>
      </c>
      <c r="G7678" t="s">
        <v>785</v>
      </c>
      <c r="H7678" s="21">
        <v>1075.67</v>
      </c>
    </row>
    <row r="7679" spans="1:8" customFormat="1" x14ac:dyDescent="0.25">
      <c r="A7679" t="str">
        <f>"51957"</f>
        <v>51957</v>
      </c>
      <c r="B7679" t="s">
        <v>9150</v>
      </c>
      <c r="C7679" t="s">
        <v>60</v>
      </c>
      <c r="D7679" s="21" t="s">
        <v>34</v>
      </c>
      <c r="E7679" s="21" t="s">
        <v>35</v>
      </c>
      <c r="F7679">
        <v>6510071</v>
      </c>
      <c r="G7679" t="s">
        <v>3031</v>
      </c>
      <c r="H7679" s="21">
        <v>1075.67</v>
      </c>
    </row>
    <row r="7680" spans="1:8" customFormat="1" x14ac:dyDescent="0.25">
      <c r="A7680" t="str">
        <f>"61115"</f>
        <v>61115</v>
      </c>
      <c r="B7680" t="s">
        <v>2199</v>
      </c>
      <c r="C7680" t="s">
        <v>412</v>
      </c>
      <c r="D7680" s="21" t="s">
        <v>34</v>
      </c>
      <c r="E7680" s="21" t="s">
        <v>254</v>
      </c>
      <c r="F7680">
        <v>9610004</v>
      </c>
      <c r="G7680" t="s">
        <v>1042</v>
      </c>
      <c r="H7680" s="21">
        <v>1075.67</v>
      </c>
    </row>
    <row r="7681" spans="1:8" customFormat="1" x14ac:dyDescent="0.25">
      <c r="A7681" t="str">
        <f>"5716136"</f>
        <v>5716136</v>
      </c>
      <c r="B7681" t="s">
        <v>5755</v>
      </c>
      <c r="C7681" t="s">
        <v>33</v>
      </c>
      <c r="D7681" s="21" t="s">
        <v>34</v>
      </c>
      <c r="E7681" s="21" t="s">
        <v>35</v>
      </c>
      <c r="F7681">
        <v>6570107</v>
      </c>
      <c r="G7681" t="s">
        <v>5598</v>
      </c>
      <c r="H7681" s="21">
        <v>1075.67</v>
      </c>
    </row>
    <row r="7682" spans="1:8" customFormat="1" x14ac:dyDescent="0.25">
      <c r="A7682" t="str">
        <f>"904008"</f>
        <v>904008</v>
      </c>
      <c r="B7682" t="s">
        <v>482</v>
      </c>
      <c r="C7682" t="s">
        <v>151</v>
      </c>
      <c r="D7682" s="21" t="s">
        <v>34</v>
      </c>
      <c r="E7682" s="21" t="s">
        <v>71</v>
      </c>
      <c r="F7682">
        <v>2900003</v>
      </c>
      <c r="G7682" t="s">
        <v>1742</v>
      </c>
      <c r="H7682" s="21">
        <v>1075.55</v>
      </c>
    </row>
    <row r="7683" spans="1:8" customFormat="1" x14ac:dyDescent="0.25">
      <c r="A7683" t="str">
        <f>"9535251"</f>
        <v>9535251</v>
      </c>
      <c r="B7683" t="s">
        <v>4107</v>
      </c>
      <c r="C7683" t="s">
        <v>33</v>
      </c>
      <c r="D7683" s="21" t="s">
        <v>34</v>
      </c>
      <c r="E7683" s="21" t="s">
        <v>71</v>
      </c>
      <c r="F7683">
        <v>8950103</v>
      </c>
      <c r="G7683" t="s">
        <v>440</v>
      </c>
      <c r="H7683" s="21">
        <v>1075.55</v>
      </c>
    </row>
    <row r="7684" spans="1:8" customFormat="1" x14ac:dyDescent="0.25">
      <c r="A7684" t="str">
        <f>"5320689"</f>
        <v>5320689</v>
      </c>
      <c r="B7684" t="s">
        <v>8105</v>
      </c>
      <c r="C7684" t="s">
        <v>1803</v>
      </c>
      <c r="D7684" s="21" t="s">
        <v>34</v>
      </c>
      <c r="E7684" s="21" t="s">
        <v>35</v>
      </c>
      <c r="F7684">
        <v>12530036</v>
      </c>
      <c r="G7684" t="s">
        <v>2200</v>
      </c>
      <c r="H7684" s="21">
        <v>1075.42</v>
      </c>
    </row>
    <row r="7685" spans="1:8" customFormat="1" x14ac:dyDescent="0.25">
      <c r="A7685" t="str">
        <f>"9437883"</f>
        <v>9437883</v>
      </c>
      <c r="B7685" t="s">
        <v>6104</v>
      </c>
      <c r="C7685" t="s">
        <v>13688</v>
      </c>
      <c r="D7685" s="21" t="s">
        <v>34</v>
      </c>
      <c r="E7685" s="21" t="s">
        <v>35</v>
      </c>
      <c r="F7685">
        <v>8940524</v>
      </c>
      <c r="G7685" t="s">
        <v>6176</v>
      </c>
      <c r="H7685" s="21">
        <v>1075.17</v>
      </c>
    </row>
    <row r="7686" spans="1:8" customFormat="1" x14ac:dyDescent="0.25">
      <c r="A7686" t="str">
        <f>"169074"</f>
        <v>169074</v>
      </c>
      <c r="B7686" t="s">
        <v>27006</v>
      </c>
      <c r="C7686" t="s">
        <v>130</v>
      </c>
      <c r="D7686" s="21" t="s">
        <v>34</v>
      </c>
      <c r="E7686" s="21" t="s">
        <v>254</v>
      </c>
      <c r="F7686">
        <v>10160029</v>
      </c>
      <c r="G7686" t="s">
        <v>896</v>
      </c>
      <c r="H7686" s="21">
        <v>1075.17</v>
      </c>
    </row>
    <row r="7687" spans="1:8" customFormat="1" x14ac:dyDescent="0.25">
      <c r="A7687" t="str">
        <f>"4420201"</f>
        <v>4420201</v>
      </c>
      <c r="B7687" t="s">
        <v>3546</v>
      </c>
      <c r="C7687" t="s">
        <v>8294</v>
      </c>
      <c r="D7687" s="21" t="s">
        <v>34</v>
      </c>
      <c r="E7687" s="21" t="s">
        <v>35</v>
      </c>
      <c r="F7687">
        <v>12440009</v>
      </c>
      <c r="G7687" t="s">
        <v>1983</v>
      </c>
      <c r="H7687" s="21">
        <v>1075.17</v>
      </c>
    </row>
    <row r="7688" spans="1:8" customFormat="1" x14ac:dyDescent="0.25">
      <c r="A7688" t="str">
        <f>"5929481"</f>
        <v>5929481</v>
      </c>
      <c r="B7688" t="s">
        <v>7452</v>
      </c>
      <c r="C7688" t="s">
        <v>7453</v>
      </c>
      <c r="D7688" s="21" t="s">
        <v>34</v>
      </c>
      <c r="E7688" s="21" t="s">
        <v>71</v>
      </c>
      <c r="F7688">
        <v>7620140</v>
      </c>
      <c r="G7688" t="s">
        <v>7454</v>
      </c>
      <c r="H7688" s="21">
        <v>1075.17</v>
      </c>
    </row>
    <row r="7689" spans="1:8" customFormat="1" x14ac:dyDescent="0.25">
      <c r="A7689" t="str">
        <f>"1310828"</f>
        <v>1310828</v>
      </c>
      <c r="B7689" t="s">
        <v>7036</v>
      </c>
      <c r="C7689" t="s">
        <v>269</v>
      </c>
      <c r="D7689" s="21" t="s">
        <v>34</v>
      </c>
      <c r="E7689" s="21" t="s">
        <v>71</v>
      </c>
      <c r="F7689">
        <v>13130026</v>
      </c>
      <c r="G7689" t="s">
        <v>3792</v>
      </c>
      <c r="H7689" s="21">
        <v>1075.17</v>
      </c>
    </row>
    <row r="7690" spans="1:8" customFormat="1" x14ac:dyDescent="0.25">
      <c r="A7690" t="str">
        <f>"025818"</f>
        <v>025818</v>
      </c>
      <c r="B7690" t="s">
        <v>7837</v>
      </c>
      <c r="C7690" t="s">
        <v>1605</v>
      </c>
      <c r="D7690" s="21" t="s">
        <v>34</v>
      </c>
      <c r="E7690" s="21" t="s">
        <v>254</v>
      </c>
      <c r="F7690">
        <v>7020009</v>
      </c>
      <c r="G7690" t="s">
        <v>3362</v>
      </c>
      <c r="H7690" s="21">
        <v>1075.17</v>
      </c>
    </row>
    <row r="7691" spans="1:8" customFormat="1" x14ac:dyDescent="0.25">
      <c r="A7691" t="str">
        <f>"7223299"</f>
        <v>7223299</v>
      </c>
      <c r="B7691" t="s">
        <v>27007</v>
      </c>
      <c r="C7691" t="s">
        <v>169</v>
      </c>
      <c r="D7691" s="21" t="s">
        <v>34</v>
      </c>
      <c r="E7691" s="21" t="s">
        <v>35</v>
      </c>
      <c r="F7691">
        <v>12720052</v>
      </c>
      <c r="G7691" t="s">
        <v>9628</v>
      </c>
      <c r="H7691" s="21">
        <v>1075.17</v>
      </c>
    </row>
    <row r="7692" spans="1:8" customFormat="1" x14ac:dyDescent="0.25">
      <c r="A7692" t="str">
        <f>"77503"</f>
        <v>77503</v>
      </c>
      <c r="B7692" t="s">
        <v>1451</v>
      </c>
      <c r="C7692" t="s">
        <v>1110</v>
      </c>
      <c r="D7692" s="21" t="s">
        <v>34</v>
      </c>
      <c r="E7692" s="21" t="s">
        <v>71</v>
      </c>
      <c r="F7692">
        <v>8770426</v>
      </c>
      <c r="G7692" t="s">
        <v>1847</v>
      </c>
      <c r="H7692" s="21">
        <v>1075.05</v>
      </c>
    </row>
    <row r="7693" spans="1:8" customFormat="1" x14ac:dyDescent="0.25">
      <c r="A7693" t="str">
        <f>"6013416"</f>
        <v>6013416</v>
      </c>
      <c r="B7693" t="s">
        <v>6089</v>
      </c>
      <c r="C7693" t="s">
        <v>275</v>
      </c>
      <c r="D7693" s="21" t="s">
        <v>34</v>
      </c>
      <c r="E7693" s="21" t="s">
        <v>35</v>
      </c>
      <c r="F7693">
        <v>2210005</v>
      </c>
      <c r="G7693" t="s">
        <v>5020</v>
      </c>
      <c r="H7693" s="21">
        <v>1075.04</v>
      </c>
    </row>
    <row r="7694" spans="1:8" customFormat="1" x14ac:dyDescent="0.25">
      <c r="A7694" t="str">
        <f>"764673"</f>
        <v>764673</v>
      </c>
      <c r="B7694" t="s">
        <v>1826</v>
      </c>
      <c r="C7694" t="s">
        <v>209</v>
      </c>
      <c r="D7694" s="21" t="s">
        <v>34</v>
      </c>
      <c r="E7694" s="21" t="s">
        <v>71</v>
      </c>
      <c r="F7694">
        <v>3290207</v>
      </c>
      <c r="G7694" t="s">
        <v>8805</v>
      </c>
      <c r="H7694" s="21">
        <v>1074.92</v>
      </c>
    </row>
    <row r="7695" spans="1:8" customFormat="1" x14ac:dyDescent="0.25">
      <c r="A7695" t="str">
        <f>"5310865"</f>
        <v>5310865</v>
      </c>
      <c r="B7695" t="s">
        <v>3472</v>
      </c>
      <c r="C7695" t="s">
        <v>209</v>
      </c>
      <c r="D7695" s="21" t="s">
        <v>34</v>
      </c>
      <c r="E7695" s="21" t="s">
        <v>71</v>
      </c>
      <c r="F7695">
        <v>12530008</v>
      </c>
      <c r="G7695" t="s">
        <v>7920</v>
      </c>
      <c r="H7695" s="21">
        <v>1074.92</v>
      </c>
    </row>
    <row r="7696" spans="1:8" customFormat="1" x14ac:dyDescent="0.25">
      <c r="A7696" t="str">
        <f>"6920675"</f>
        <v>6920675</v>
      </c>
      <c r="B7696" t="s">
        <v>8998</v>
      </c>
      <c r="C7696" t="s">
        <v>40</v>
      </c>
      <c r="D7696" s="21" t="s">
        <v>34</v>
      </c>
      <c r="E7696" s="21" t="s">
        <v>35</v>
      </c>
      <c r="F7696">
        <v>1690076</v>
      </c>
      <c r="G7696" t="s">
        <v>4049</v>
      </c>
      <c r="H7696" s="21">
        <v>1074.92</v>
      </c>
    </row>
    <row r="7697" spans="1:8" customFormat="1" x14ac:dyDescent="0.25">
      <c r="A7697" t="str">
        <f>"6912112"</f>
        <v>6912112</v>
      </c>
      <c r="B7697" t="s">
        <v>7273</v>
      </c>
      <c r="C7697" t="s">
        <v>544</v>
      </c>
      <c r="D7697" s="21" t="s">
        <v>34</v>
      </c>
      <c r="E7697" s="21" t="s">
        <v>35</v>
      </c>
      <c r="F7697">
        <v>1690001</v>
      </c>
      <c r="G7697" t="s">
        <v>3275</v>
      </c>
      <c r="H7697" s="21">
        <v>1074.92</v>
      </c>
    </row>
    <row r="7698" spans="1:8" customFormat="1" x14ac:dyDescent="0.25">
      <c r="A7698" t="str">
        <f>"593352"</f>
        <v>593352</v>
      </c>
      <c r="B7698" t="s">
        <v>3623</v>
      </c>
      <c r="C7698" t="s">
        <v>124</v>
      </c>
      <c r="D7698" s="21" t="s">
        <v>34</v>
      </c>
      <c r="E7698" s="21" t="s">
        <v>254</v>
      </c>
      <c r="F7698">
        <v>7590170</v>
      </c>
      <c r="G7698" t="s">
        <v>868</v>
      </c>
      <c r="H7698" s="21">
        <v>1074.92</v>
      </c>
    </row>
    <row r="7699" spans="1:8" customFormat="1" x14ac:dyDescent="0.25">
      <c r="A7699" t="str">
        <f>"731608"</f>
        <v>731608</v>
      </c>
      <c r="B7699" t="s">
        <v>6988</v>
      </c>
      <c r="C7699" t="s">
        <v>236</v>
      </c>
      <c r="D7699" s="21" t="s">
        <v>34</v>
      </c>
      <c r="E7699" s="21" t="s">
        <v>254</v>
      </c>
      <c r="F7699">
        <v>1730007</v>
      </c>
      <c r="G7699" t="s">
        <v>6989</v>
      </c>
      <c r="H7699" s="21">
        <v>1074.67</v>
      </c>
    </row>
    <row r="7700" spans="1:8" customFormat="1" x14ac:dyDescent="0.25">
      <c r="A7700" t="str">
        <f>"6013654"</f>
        <v>6013654</v>
      </c>
      <c r="B7700" t="s">
        <v>1601</v>
      </c>
      <c r="C7700" t="s">
        <v>879</v>
      </c>
      <c r="D7700" s="21" t="s">
        <v>34</v>
      </c>
      <c r="E7700" s="21" t="s">
        <v>254</v>
      </c>
      <c r="F7700">
        <v>7600026</v>
      </c>
      <c r="G7700" t="s">
        <v>10079</v>
      </c>
      <c r="H7700" s="21">
        <v>1074.67</v>
      </c>
    </row>
    <row r="7701" spans="1:8" customFormat="1" x14ac:dyDescent="0.25">
      <c r="A7701" t="str">
        <f>"165659"</f>
        <v>165659</v>
      </c>
      <c r="B7701" t="s">
        <v>8168</v>
      </c>
      <c r="C7701" t="s">
        <v>412</v>
      </c>
      <c r="D7701" s="21" t="s">
        <v>34</v>
      </c>
      <c r="E7701" s="21" t="s">
        <v>71</v>
      </c>
      <c r="F7701">
        <v>10160122</v>
      </c>
      <c r="G7701" t="s">
        <v>8169</v>
      </c>
      <c r="H7701" s="21">
        <v>1074.67</v>
      </c>
    </row>
    <row r="7702" spans="1:8" customFormat="1" x14ac:dyDescent="0.25">
      <c r="A7702" t="str">
        <f>"4430993"</f>
        <v>4430993</v>
      </c>
      <c r="B7702" t="s">
        <v>7673</v>
      </c>
      <c r="C7702" t="s">
        <v>55</v>
      </c>
      <c r="D7702" s="21" t="s">
        <v>34</v>
      </c>
      <c r="E7702" s="21" t="s">
        <v>71</v>
      </c>
      <c r="F7702">
        <v>12440026</v>
      </c>
      <c r="G7702" t="s">
        <v>2987</v>
      </c>
      <c r="H7702" s="21">
        <v>1074.67</v>
      </c>
    </row>
    <row r="7703" spans="1:8" customFormat="1" x14ac:dyDescent="0.25">
      <c r="A7703" t="str">
        <f>"18451"</f>
        <v>18451</v>
      </c>
      <c r="B7703" t="s">
        <v>1551</v>
      </c>
      <c r="C7703" t="s">
        <v>2904</v>
      </c>
      <c r="D7703" s="21" t="s">
        <v>34</v>
      </c>
      <c r="E7703" s="21" t="s">
        <v>71</v>
      </c>
      <c r="F7703">
        <v>4180696</v>
      </c>
      <c r="G7703" t="s">
        <v>3018</v>
      </c>
      <c r="H7703" s="21">
        <v>1074.67</v>
      </c>
    </row>
    <row r="7704" spans="1:8" customFormat="1" x14ac:dyDescent="0.25">
      <c r="A7704" t="str">
        <f>"852561"</f>
        <v>852561</v>
      </c>
      <c r="B7704" t="s">
        <v>6958</v>
      </c>
      <c r="C7704" t="s">
        <v>664</v>
      </c>
      <c r="D7704" s="21" t="s">
        <v>34</v>
      </c>
      <c r="E7704" s="21" t="s">
        <v>254</v>
      </c>
      <c r="F7704">
        <v>12850007</v>
      </c>
      <c r="G7704" t="s">
        <v>7649</v>
      </c>
      <c r="H7704" s="21">
        <v>1074.67</v>
      </c>
    </row>
    <row r="7705" spans="1:8" customFormat="1" x14ac:dyDescent="0.25">
      <c r="A7705" t="str">
        <f>"5316945"</f>
        <v>5316945</v>
      </c>
      <c r="B7705" t="s">
        <v>146</v>
      </c>
      <c r="C7705" t="s">
        <v>768</v>
      </c>
      <c r="D7705" s="21" t="s">
        <v>34</v>
      </c>
      <c r="E7705" s="21" t="s">
        <v>35</v>
      </c>
      <c r="F7705">
        <v>8781471</v>
      </c>
      <c r="G7705" t="s">
        <v>9616</v>
      </c>
      <c r="H7705" s="21">
        <v>1074.67</v>
      </c>
    </row>
    <row r="7706" spans="1:8" customFormat="1" x14ac:dyDescent="0.25">
      <c r="A7706" t="str">
        <f>"4913948"</f>
        <v>4913948</v>
      </c>
      <c r="B7706" t="s">
        <v>7629</v>
      </c>
      <c r="C7706" t="s">
        <v>139</v>
      </c>
      <c r="D7706" s="21" t="s">
        <v>34</v>
      </c>
      <c r="E7706" s="21" t="s">
        <v>71</v>
      </c>
      <c r="F7706">
        <v>12490073</v>
      </c>
      <c r="G7706" t="s">
        <v>296</v>
      </c>
      <c r="H7706" s="21">
        <v>1074.67</v>
      </c>
    </row>
    <row r="7707" spans="1:8" customFormat="1" x14ac:dyDescent="0.25">
      <c r="A7707" t="str">
        <f>"599171"</f>
        <v>599171</v>
      </c>
      <c r="B7707" t="s">
        <v>7224</v>
      </c>
      <c r="C7707" t="s">
        <v>462</v>
      </c>
      <c r="D7707" s="21" t="s">
        <v>34</v>
      </c>
      <c r="E7707" s="21" t="s">
        <v>71</v>
      </c>
      <c r="F7707">
        <v>7590069</v>
      </c>
      <c r="G7707" t="s">
        <v>7225</v>
      </c>
      <c r="H7707" s="21">
        <v>1074.67</v>
      </c>
    </row>
    <row r="7708" spans="1:8" customFormat="1" x14ac:dyDescent="0.25">
      <c r="A7708" t="str">
        <f>"8011162"</f>
        <v>8011162</v>
      </c>
      <c r="B7708" t="s">
        <v>392</v>
      </c>
      <c r="C7708" t="s">
        <v>130</v>
      </c>
      <c r="D7708" s="21" t="s">
        <v>34</v>
      </c>
      <c r="E7708" s="21" t="s">
        <v>35</v>
      </c>
      <c r="F7708">
        <v>7800040</v>
      </c>
      <c r="G7708" t="s">
        <v>1448</v>
      </c>
      <c r="H7708" s="21">
        <v>1074.67</v>
      </c>
    </row>
    <row r="7709" spans="1:8" customFormat="1" x14ac:dyDescent="0.25">
      <c r="A7709" t="str">
        <f>"674607"</f>
        <v>674607</v>
      </c>
      <c r="B7709" t="s">
        <v>3952</v>
      </c>
      <c r="C7709" t="s">
        <v>249</v>
      </c>
      <c r="D7709" s="21" t="s">
        <v>34</v>
      </c>
      <c r="E7709" s="21" t="s">
        <v>35</v>
      </c>
      <c r="F7709">
        <v>6670160</v>
      </c>
      <c r="G7709" t="s">
        <v>908</v>
      </c>
      <c r="H7709" s="21">
        <v>1074.67</v>
      </c>
    </row>
    <row r="7710" spans="1:8" customFormat="1" x14ac:dyDescent="0.25">
      <c r="A7710" t="str">
        <f>"9133409"</f>
        <v>9133409</v>
      </c>
      <c r="B7710" t="s">
        <v>27008</v>
      </c>
      <c r="C7710" t="s">
        <v>566</v>
      </c>
      <c r="D7710" s="21" t="s">
        <v>34</v>
      </c>
      <c r="E7710" s="21" t="s">
        <v>35</v>
      </c>
      <c r="F7710">
        <v>8911050</v>
      </c>
      <c r="G7710" t="s">
        <v>1606</v>
      </c>
      <c r="H7710" s="21">
        <v>1074.67</v>
      </c>
    </row>
    <row r="7711" spans="1:8" customFormat="1" x14ac:dyDescent="0.25">
      <c r="A7711" t="str">
        <f>"112899"</f>
        <v>112899</v>
      </c>
      <c r="B7711" t="s">
        <v>8502</v>
      </c>
      <c r="C7711" t="s">
        <v>98</v>
      </c>
      <c r="D7711" s="21" t="s">
        <v>34</v>
      </c>
      <c r="E7711" s="21" t="s">
        <v>35</v>
      </c>
      <c r="F7711">
        <v>11110009</v>
      </c>
      <c r="G7711" t="s">
        <v>6231</v>
      </c>
      <c r="H7711" s="21">
        <v>1074.67</v>
      </c>
    </row>
    <row r="7712" spans="1:8" customFormat="1" x14ac:dyDescent="0.25">
      <c r="A7712" t="str">
        <f>"3826297"</f>
        <v>3826297</v>
      </c>
      <c r="B7712" t="s">
        <v>8216</v>
      </c>
      <c r="C7712" t="s">
        <v>8217</v>
      </c>
      <c r="D7712" s="21" t="s">
        <v>34</v>
      </c>
      <c r="E7712" s="21" t="s">
        <v>71</v>
      </c>
      <c r="F7712">
        <v>1380084</v>
      </c>
      <c r="G7712" t="s">
        <v>8218</v>
      </c>
      <c r="H7712" s="21">
        <v>1074.42</v>
      </c>
    </row>
    <row r="7713" spans="1:8" customFormat="1" x14ac:dyDescent="0.25">
      <c r="A7713" t="str">
        <f>"4424495"</f>
        <v>4424495</v>
      </c>
      <c r="B7713" t="s">
        <v>2726</v>
      </c>
      <c r="C7713" t="s">
        <v>598</v>
      </c>
      <c r="D7713" s="21" t="s">
        <v>34</v>
      </c>
      <c r="E7713" s="21" t="s">
        <v>254</v>
      </c>
      <c r="F7713">
        <v>12440076</v>
      </c>
      <c r="G7713" t="s">
        <v>1750</v>
      </c>
      <c r="H7713" s="21">
        <v>1074.42</v>
      </c>
    </row>
    <row r="7714" spans="1:8" customFormat="1" x14ac:dyDescent="0.25">
      <c r="A7714" t="str">
        <f>"365637"</f>
        <v>365637</v>
      </c>
      <c r="B7714" t="s">
        <v>4183</v>
      </c>
      <c r="C7714" t="s">
        <v>87</v>
      </c>
      <c r="D7714" s="21" t="s">
        <v>34</v>
      </c>
      <c r="E7714" s="21" t="s">
        <v>35</v>
      </c>
      <c r="F7714">
        <v>4360009</v>
      </c>
      <c r="G7714" t="s">
        <v>6259</v>
      </c>
      <c r="H7714" s="21">
        <v>1074.3</v>
      </c>
    </row>
    <row r="7715" spans="1:8" customFormat="1" x14ac:dyDescent="0.25">
      <c r="A7715" t="str">
        <f>"444267"</f>
        <v>444267</v>
      </c>
      <c r="B7715" t="s">
        <v>15829</v>
      </c>
      <c r="C7715" t="s">
        <v>328</v>
      </c>
      <c r="D7715" s="21" t="s">
        <v>34</v>
      </c>
      <c r="E7715" s="21" t="s">
        <v>71</v>
      </c>
      <c r="F7715">
        <v>12440059</v>
      </c>
      <c r="G7715" t="s">
        <v>6697</v>
      </c>
      <c r="H7715" s="21">
        <v>1074.29</v>
      </c>
    </row>
    <row r="7716" spans="1:8" customFormat="1" x14ac:dyDescent="0.25">
      <c r="A7716" t="str">
        <f>"8520377"</f>
        <v>8520377</v>
      </c>
      <c r="B7716" t="s">
        <v>208</v>
      </c>
      <c r="C7716" t="s">
        <v>3648</v>
      </c>
      <c r="D7716" s="21" t="s">
        <v>34</v>
      </c>
      <c r="E7716" s="21" t="s">
        <v>71</v>
      </c>
      <c r="F7716">
        <v>12850171</v>
      </c>
      <c r="G7716" t="s">
        <v>2687</v>
      </c>
      <c r="H7716" s="21">
        <v>1074.17</v>
      </c>
    </row>
    <row r="7717" spans="1:8" customFormat="1" x14ac:dyDescent="0.25">
      <c r="A7717" t="str">
        <f>"763156"</f>
        <v>763156</v>
      </c>
      <c r="B7717" t="s">
        <v>8266</v>
      </c>
      <c r="C7717" t="s">
        <v>415</v>
      </c>
      <c r="D7717" s="21" t="s">
        <v>34</v>
      </c>
      <c r="E7717" s="21" t="s">
        <v>71</v>
      </c>
      <c r="F7717">
        <v>9760368</v>
      </c>
      <c r="G7717" t="s">
        <v>8267</v>
      </c>
      <c r="H7717" s="21">
        <v>1074.17</v>
      </c>
    </row>
    <row r="7718" spans="1:8" customFormat="1" x14ac:dyDescent="0.25">
      <c r="A7718" t="str">
        <f>"78740"</f>
        <v>78740</v>
      </c>
      <c r="B7718" t="s">
        <v>7791</v>
      </c>
      <c r="C7718" t="s">
        <v>598</v>
      </c>
      <c r="D7718" s="21" t="s">
        <v>34</v>
      </c>
      <c r="E7718" s="21" t="s">
        <v>71</v>
      </c>
      <c r="F7718">
        <v>8780329</v>
      </c>
      <c r="G7718" t="s">
        <v>917</v>
      </c>
      <c r="H7718" s="21">
        <v>1074.17</v>
      </c>
    </row>
    <row r="7719" spans="1:8" customFormat="1" x14ac:dyDescent="0.25">
      <c r="A7719" t="str">
        <f>"759452"</f>
        <v>759452</v>
      </c>
      <c r="B7719" t="s">
        <v>2313</v>
      </c>
      <c r="C7719" t="s">
        <v>7414</v>
      </c>
      <c r="D7719" s="21" t="s">
        <v>34</v>
      </c>
      <c r="E7719" s="21" t="s">
        <v>71</v>
      </c>
      <c r="F7719">
        <v>8751412</v>
      </c>
      <c r="G7719" t="s">
        <v>3615</v>
      </c>
      <c r="H7719" s="21">
        <v>1074.17</v>
      </c>
    </row>
    <row r="7720" spans="1:8" customFormat="1" x14ac:dyDescent="0.25">
      <c r="A7720" t="str">
        <f>"847449"</f>
        <v>847449</v>
      </c>
      <c r="B7720" t="s">
        <v>8550</v>
      </c>
      <c r="C7720" t="s">
        <v>3073</v>
      </c>
      <c r="D7720" s="21" t="s">
        <v>34</v>
      </c>
      <c r="E7720" s="21" t="s">
        <v>254</v>
      </c>
      <c r="F7720">
        <v>13840028</v>
      </c>
      <c r="G7720" t="s">
        <v>4139</v>
      </c>
      <c r="H7720" s="21">
        <v>1074.17</v>
      </c>
    </row>
    <row r="7721" spans="1:8" customFormat="1" x14ac:dyDescent="0.25">
      <c r="A7721" t="str">
        <f>"393271"</f>
        <v>393271</v>
      </c>
      <c r="B7721" t="s">
        <v>8181</v>
      </c>
      <c r="C7721" t="s">
        <v>2250</v>
      </c>
      <c r="D7721" s="21" t="s">
        <v>34</v>
      </c>
      <c r="E7721" s="21" t="s">
        <v>71</v>
      </c>
      <c r="F7721">
        <v>2390027</v>
      </c>
      <c r="G7721" t="s">
        <v>3605</v>
      </c>
      <c r="H7721" s="21">
        <v>1074.17</v>
      </c>
    </row>
    <row r="7722" spans="1:8" customFormat="1" x14ac:dyDescent="0.25">
      <c r="A7722" t="str">
        <f>"5928843"</f>
        <v>5928843</v>
      </c>
      <c r="B7722" t="s">
        <v>8315</v>
      </c>
      <c r="C7722" t="s">
        <v>60</v>
      </c>
      <c r="D7722" s="21" t="s">
        <v>34</v>
      </c>
      <c r="E7722" s="21" t="s">
        <v>35</v>
      </c>
      <c r="F7722">
        <v>7020044</v>
      </c>
      <c r="G7722" t="s">
        <v>4690</v>
      </c>
      <c r="H7722" s="21">
        <v>1074.17</v>
      </c>
    </row>
    <row r="7723" spans="1:8" customFormat="1" x14ac:dyDescent="0.25">
      <c r="A7723" t="str">
        <f>"8512611"</f>
        <v>8512611</v>
      </c>
      <c r="B7723" t="s">
        <v>1886</v>
      </c>
      <c r="C7723" t="s">
        <v>275</v>
      </c>
      <c r="D7723" s="21" t="s">
        <v>34</v>
      </c>
      <c r="E7723" s="21" t="s">
        <v>35</v>
      </c>
      <c r="F7723">
        <v>12850057</v>
      </c>
      <c r="G7723" t="s">
        <v>1291</v>
      </c>
      <c r="H7723" s="21">
        <v>1073.92</v>
      </c>
    </row>
    <row r="7724" spans="1:8" customFormat="1" x14ac:dyDescent="0.25">
      <c r="A7724" t="str">
        <f>"59764"</f>
        <v>59764</v>
      </c>
      <c r="B7724" t="s">
        <v>6608</v>
      </c>
      <c r="C7724" t="s">
        <v>33</v>
      </c>
      <c r="D7724" s="21" t="s">
        <v>34</v>
      </c>
      <c r="E7724" s="21" t="s">
        <v>71</v>
      </c>
      <c r="F7724">
        <v>7590100</v>
      </c>
      <c r="G7724" t="s">
        <v>1660</v>
      </c>
      <c r="H7724" s="21">
        <v>1073.8</v>
      </c>
    </row>
    <row r="7725" spans="1:8" customFormat="1" x14ac:dyDescent="0.25">
      <c r="A7725" t="str">
        <f>"714762"</f>
        <v>714762</v>
      </c>
      <c r="B7725" t="s">
        <v>8553</v>
      </c>
      <c r="C7725" t="s">
        <v>547</v>
      </c>
      <c r="D7725" s="21" t="s">
        <v>34</v>
      </c>
      <c r="E7725" s="21" t="s">
        <v>254</v>
      </c>
      <c r="F7725">
        <v>2710008</v>
      </c>
      <c r="G7725" t="s">
        <v>10040</v>
      </c>
      <c r="H7725" s="21">
        <v>1073.67</v>
      </c>
    </row>
    <row r="7726" spans="1:8" customFormat="1" x14ac:dyDescent="0.25">
      <c r="A7726" t="str">
        <f>"28835"</f>
        <v>28835</v>
      </c>
      <c r="B7726" t="s">
        <v>7996</v>
      </c>
      <c r="C7726" t="s">
        <v>209</v>
      </c>
      <c r="D7726" s="21" t="s">
        <v>34</v>
      </c>
      <c r="E7726" s="21" t="s">
        <v>71</v>
      </c>
      <c r="F7726">
        <v>4280359</v>
      </c>
      <c r="G7726" t="s">
        <v>7997</v>
      </c>
      <c r="H7726" s="21">
        <v>1073.67</v>
      </c>
    </row>
    <row r="7727" spans="1:8" customFormat="1" x14ac:dyDescent="0.25">
      <c r="A7727" t="str">
        <f>"5919277"</f>
        <v>5919277</v>
      </c>
      <c r="B7727" t="s">
        <v>15528</v>
      </c>
      <c r="C7727" t="s">
        <v>121</v>
      </c>
      <c r="D7727" s="21" t="s">
        <v>34</v>
      </c>
      <c r="E7727" s="21" t="s">
        <v>35</v>
      </c>
      <c r="F7727">
        <v>7590327</v>
      </c>
      <c r="G7727" t="s">
        <v>2330</v>
      </c>
      <c r="H7727" s="21">
        <v>1073.67</v>
      </c>
    </row>
    <row r="7728" spans="1:8" customFormat="1" x14ac:dyDescent="0.25">
      <c r="A7728" t="str">
        <f>"194105"</f>
        <v>194105</v>
      </c>
      <c r="B7728" t="s">
        <v>8773</v>
      </c>
      <c r="C7728" t="s">
        <v>209</v>
      </c>
      <c r="D7728" s="21" t="s">
        <v>34</v>
      </c>
      <c r="E7728" s="21" t="s">
        <v>35</v>
      </c>
      <c r="F7728">
        <v>10190146</v>
      </c>
      <c r="G7728" t="s">
        <v>6303</v>
      </c>
      <c r="H7728" s="21">
        <v>1073.67</v>
      </c>
    </row>
    <row r="7729" spans="1:8" customFormat="1" x14ac:dyDescent="0.25">
      <c r="A7729" t="str">
        <f>"6935159"</f>
        <v>6935159</v>
      </c>
      <c r="B7729" t="s">
        <v>435</v>
      </c>
      <c r="C7729" t="s">
        <v>462</v>
      </c>
      <c r="D7729" s="21" t="s">
        <v>34</v>
      </c>
      <c r="E7729" s="21" t="s">
        <v>35</v>
      </c>
      <c r="F7729">
        <v>1690197</v>
      </c>
      <c r="G7729" t="s">
        <v>26849</v>
      </c>
      <c r="H7729" s="21">
        <v>1073.67</v>
      </c>
    </row>
    <row r="7730" spans="1:8" customFormat="1" x14ac:dyDescent="0.25">
      <c r="A7730" t="str">
        <f>"292586"</f>
        <v>292586</v>
      </c>
      <c r="B7730" t="s">
        <v>7752</v>
      </c>
      <c r="C7730" t="s">
        <v>2100</v>
      </c>
      <c r="D7730" s="21" t="s">
        <v>34</v>
      </c>
      <c r="E7730" s="21" t="s">
        <v>71</v>
      </c>
      <c r="F7730">
        <v>3290087</v>
      </c>
      <c r="G7730" t="s">
        <v>364</v>
      </c>
      <c r="H7730" s="21">
        <v>1073.67</v>
      </c>
    </row>
    <row r="7731" spans="1:8" customFormat="1" x14ac:dyDescent="0.25">
      <c r="A7731" t="str">
        <f>"4437721"</f>
        <v>4437721</v>
      </c>
      <c r="B7731" t="s">
        <v>12604</v>
      </c>
      <c r="C7731" t="s">
        <v>60</v>
      </c>
      <c r="D7731" s="21" t="s">
        <v>34</v>
      </c>
      <c r="E7731" s="21" t="s">
        <v>35</v>
      </c>
      <c r="F7731">
        <v>12440039</v>
      </c>
      <c r="G7731" t="s">
        <v>9650</v>
      </c>
      <c r="H7731" s="21">
        <v>1073.67</v>
      </c>
    </row>
    <row r="7732" spans="1:8" customFormat="1" x14ac:dyDescent="0.25">
      <c r="A7732" t="str">
        <f>"194288"</f>
        <v>194288</v>
      </c>
      <c r="B7732" t="s">
        <v>2549</v>
      </c>
      <c r="C7732" t="s">
        <v>267</v>
      </c>
      <c r="D7732" s="21" t="s">
        <v>34</v>
      </c>
      <c r="E7732" s="21" t="s">
        <v>254</v>
      </c>
      <c r="F7732">
        <v>10870101</v>
      </c>
      <c r="G7732" t="s">
        <v>6607</v>
      </c>
      <c r="H7732" s="21">
        <v>1073.67</v>
      </c>
    </row>
    <row r="7733" spans="1:8" customFormat="1" x14ac:dyDescent="0.25">
      <c r="A7733" t="str">
        <f>"3826988"</f>
        <v>3826988</v>
      </c>
      <c r="B7733" t="s">
        <v>7760</v>
      </c>
      <c r="C7733" t="s">
        <v>62</v>
      </c>
      <c r="D7733" s="21" t="s">
        <v>34</v>
      </c>
      <c r="E7733" s="21" t="s">
        <v>35</v>
      </c>
      <c r="F7733">
        <v>1380136</v>
      </c>
      <c r="G7733" t="s">
        <v>1047</v>
      </c>
      <c r="H7733" s="21">
        <v>1073.67</v>
      </c>
    </row>
    <row r="7734" spans="1:8" customFormat="1" x14ac:dyDescent="0.25">
      <c r="A7734" t="str">
        <f>"593029"</f>
        <v>593029</v>
      </c>
      <c r="B7734" t="s">
        <v>7726</v>
      </c>
      <c r="C7734" t="s">
        <v>98</v>
      </c>
      <c r="D7734" s="21" t="s">
        <v>34</v>
      </c>
      <c r="E7734" s="21" t="s">
        <v>35</v>
      </c>
      <c r="F7734">
        <v>7590122</v>
      </c>
      <c r="G7734" t="s">
        <v>5608</v>
      </c>
      <c r="H7734" s="21">
        <v>1073.67</v>
      </c>
    </row>
    <row r="7735" spans="1:8" customFormat="1" x14ac:dyDescent="0.25">
      <c r="A7735" t="str">
        <f>"851975"</f>
        <v>851975</v>
      </c>
      <c r="B7735" t="s">
        <v>8745</v>
      </c>
      <c r="C7735" t="s">
        <v>2853</v>
      </c>
      <c r="D7735" s="21" t="s">
        <v>34</v>
      </c>
      <c r="E7735" s="21" t="s">
        <v>35</v>
      </c>
      <c r="F7735">
        <v>12850091</v>
      </c>
      <c r="G7735" t="s">
        <v>4233</v>
      </c>
      <c r="H7735" s="21">
        <v>1073.67</v>
      </c>
    </row>
    <row r="7736" spans="1:8" customFormat="1" x14ac:dyDescent="0.25">
      <c r="A7736" t="str">
        <f>"723517"</f>
        <v>723517</v>
      </c>
      <c r="B7736" t="s">
        <v>6359</v>
      </c>
      <c r="C7736" t="s">
        <v>2322</v>
      </c>
      <c r="D7736" s="21" t="s">
        <v>34</v>
      </c>
      <c r="E7736" s="21" t="s">
        <v>35</v>
      </c>
      <c r="F7736">
        <v>12850015</v>
      </c>
      <c r="G7736" t="s">
        <v>4076</v>
      </c>
      <c r="H7736" s="21">
        <v>1073.67</v>
      </c>
    </row>
    <row r="7737" spans="1:8" customFormat="1" x14ac:dyDescent="0.25">
      <c r="A7737" t="str">
        <f>"1416344"</f>
        <v>1416344</v>
      </c>
      <c r="B7737" t="s">
        <v>5115</v>
      </c>
      <c r="C7737" t="s">
        <v>87</v>
      </c>
      <c r="D7737" s="21" t="s">
        <v>34</v>
      </c>
      <c r="E7737" s="21" t="s">
        <v>71</v>
      </c>
      <c r="F7737">
        <v>9140185</v>
      </c>
      <c r="G7737" t="s">
        <v>1578</v>
      </c>
      <c r="H7737" s="21">
        <v>1073.67</v>
      </c>
    </row>
    <row r="7738" spans="1:8" customFormat="1" x14ac:dyDescent="0.25">
      <c r="A7738" t="str">
        <f>"084881"</f>
        <v>084881</v>
      </c>
      <c r="B7738" t="s">
        <v>7839</v>
      </c>
      <c r="C7738" t="s">
        <v>124</v>
      </c>
      <c r="D7738" s="21" t="s">
        <v>34</v>
      </c>
      <c r="E7738" s="21" t="s">
        <v>71</v>
      </c>
      <c r="F7738">
        <v>6080050</v>
      </c>
      <c r="G7738" t="s">
        <v>7840</v>
      </c>
      <c r="H7738" s="21">
        <v>1073.67</v>
      </c>
    </row>
    <row r="7739" spans="1:8" customFormat="1" x14ac:dyDescent="0.25">
      <c r="A7739" t="str">
        <f>"5318887"</f>
        <v>5318887</v>
      </c>
      <c r="B7739" t="s">
        <v>6012</v>
      </c>
      <c r="C7739" t="s">
        <v>528</v>
      </c>
      <c r="D7739" s="21" t="s">
        <v>34</v>
      </c>
      <c r="E7739" s="21" t="s">
        <v>71</v>
      </c>
      <c r="F7739">
        <v>12530068</v>
      </c>
      <c r="G7739" t="s">
        <v>5165</v>
      </c>
      <c r="H7739" s="21">
        <v>1073.67</v>
      </c>
    </row>
    <row r="7740" spans="1:8" customFormat="1" x14ac:dyDescent="0.25">
      <c r="A7740" t="str">
        <f>"305484"</f>
        <v>305484</v>
      </c>
      <c r="B7740" t="s">
        <v>27009</v>
      </c>
      <c r="C7740" t="s">
        <v>302</v>
      </c>
      <c r="D7740" s="21" t="s">
        <v>34</v>
      </c>
      <c r="E7740" s="21" t="s">
        <v>71</v>
      </c>
      <c r="F7740">
        <v>1630329</v>
      </c>
      <c r="G7740" t="s">
        <v>13763</v>
      </c>
      <c r="H7740" s="21">
        <v>1073.67</v>
      </c>
    </row>
    <row r="7741" spans="1:8" customFormat="1" x14ac:dyDescent="0.25">
      <c r="A7741" t="str">
        <f>"939867"</f>
        <v>939867</v>
      </c>
      <c r="B7741" t="s">
        <v>7616</v>
      </c>
      <c r="C7741" t="s">
        <v>415</v>
      </c>
      <c r="D7741" s="21" t="s">
        <v>34</v>
      </c>
      <c r="E7741" s="21" t="s">
        <v>71</v>
      </c>
      <c r="F7741">
        <v>8931011</v>
      </c>
      <c r="G7741" t="s">
        <v>530</v>
      </c>
      <c r="H7741" s="21">
        <v>1073.67</v>
      </c>
    </row>
    <row r="7742" spans="1:8" customFormat="1" x14ac:dyDescent="0.25">
      <c r="A7742" t="str">
        <f>"2713536"</f>
        <v>2713536</v>
      </c>
      <c r="B7742" t="s">
        <v>7814</v>
      </c>
      <c r="C7742" t="s">
        <v>127</v>
      </c>
      <c r="D7742" s="21" t="s">
        <v>34</v>
      </c>
      <c r="E7742" s="21" t="s">
        <v>35</v>
      </c>
      <c r="F7742">
        <v>9270071</v>
      </c>
      <c r="G7742" t="s">
        <v>7815</v>
      </c>
      <c r="H7742" s="21">
        <v>1073.67</v>
      </c>
    </row>
    <row r="7743" spans="1:8" customFormat="1" x14ac:dyDescent="0.25">
      <c r="A7743" t="str">
        <f>"5015643"</f>
        <v>5015643</v>
      </c>
      <c r="B7743" t="s">
        <v>8205</v>
      </c>
      <c r="C7743" t="s">
        <v>209</v>
      </c>
      <c r="D7743" s="21" t="s">
        <v>34</v>
      </c>
      <c r="E7743" s="21" t="s">
        <v>71</v>
      </c>
      <c r="F7743">
        <v>9500063</v>
      </c>
      <c r="G7743" t="s">
        <v>4114</v>
      </c>
      <c r="H7743" s="21">
        <v>1073.67</v>
      </c>
    </row>
    <row r="7744" spans="1:8" customFormat="1" x14ac:dyDescent="0.25">
      <c r="A7744" t="str">
        <f>"0812378"</f>
        <v>0812378</v>
      </c>
      <c r="B7744" t="s">
        <v>13668</v>
      </c>
      <c r="C7744" t="s">
        <v>169</v>
      </c>
      <c r="D7744" s="21" t="s">
        <v>34</v>
      </c>
      <c r="E7744" s="21" t="s">
        <v>35</v>
      </c>
      <c r="F7744">
        <v>6080057</v>
      </c>
      <c r="G7744" t="s">
        <v>10034</v>
      </c>
      <c r="H7744" s="21">
        <v>1073.67</v>
      </c>
    </row>
    <row r="7745" spans="1:8" customFormat="1" x14ac:dyDescent="0.25">
      <c r="A7745" t="str">
        <f>"364038"</f>
        <v>364038</v>
      </c>
      <c r="B7745" t="s">
        <v>11993</v>
      </c>
      <c r="C7745" t="s">
        <v>87</v>
      </c>
      <c r="D7745" s="21" t="s">
        <v>34</v>
      </c>
      <c r="E7745" s="21" t="s">
        <v>35</v>
      </c>
      <c r="F7745">
        <v>4360454</v>
      </c>
      <c r="G7745" t="s">
        <v>637</v>
      </c>
      <c r="H7745" s="21">
        <v>1073.55</v>
      </c>
    </row>
    <row r="7746" spans="1:8" customFormat="1" x14ac:dyDescent="0.25">
      <c r="A7746" t="str">
        <f>"169491"</f>
        <v>169491</v>
      </c>
      <c r="B7746" t="s">
        <v>23574</v>
      </c>
      <c r="C7746" t="s">
        <v>40</v>
      </c>
      <c r="D7746" s="21" t="s">
        <v>34</v>
      </c>
      <c r="E7746" s="21" t="s">
        <v>71</v>
      </c>
      <c r="F7746">
        <v>10160018</v>
      </c>
      <c r="G7746" t="s">
        <v>6900</v>
      </c>
      <c r="H7746" s="21">
        <v>1073.5</v>
      </c>
    </row>
    <row r="7747" spans="1:8" customFormat="1" x14ac:dyDescent="0.25">
      <c r="A7747" t="str">
        <f>"315390"</f>
        <v>315390</v>
      </c>
      <c r="B7747" t="s">
        <v>9815</v>
      </c>
      <c r="C7747" t="s">
        <v>204</v>
      </c>
      <c r="D7747" s="21" t="s">
        <v>34</v>
      </c>
      <c r="E7747" s="21" t="s">
        <v>35</v>
      </c>
      <c r="F7747">
        <v>11310075</v>
      </c>
      <c r="G7747" t="s">
        <v>2531</v>
      </c>
      <c r="H7747" s="21">
        <v>1073.17</v>
      </c>
    </row>
    <row r="7748" spans="1:8" customFormat="1" x14ac:dyDescent="0.25">
      <c r="A7748" t="str">
        <f>"2920083"</f>
        <v>2920083</v>
      </c>
      <c r="B7748" t="s">
        <v>3313</v>
      </c>
      <c r="C7748" t="s">
        <v>498</v>
      </c>
      <c r="D7748" s="21" t="s">
        <v>34</v>
      </c>
      <c r="E7748" s="21" t="s">
        <v>35</v>
      </c>
      <c r="F7748">
        <v>3290208</v>
      </c>
      <c r="G7748" t="s">
        <v>1553</v>
      </c>
      <c r="H7748" s="21">
        <v>1073.17</v>
      </c>
    </row>
    <row r="7749" spans="1:8" customFormat="1" x14ac:dyDescent="0.25">
      <c r="A7749" t="str">
        <f>"70881"</f>
        <v>70881</v>
      </c>
      <c r="B7749" t="s">
        <v>6856</v>
      </c>
      <c r="C7749" t="s">
        <v>209</v>
      </c>
      <c r="D7749" s="21" t="s">
        <v>34</v>
      </c>
      <c r="E7749" s="21" t="s">
        <v>254</v>
      </c>
      <c r="F7749">
        <v>2700085</v>
      </c>
      <c r="G7749" t="s">
        <v>7691</v>
      </c>
      <c r="H7749" s="21">
        <v>1073.17</v>
      </c>
    </row>
    <row r="7750" spans="1:8" customFormat="1" x14ac:dyDescent="0.25">
      <c r="A7750" t="str">
        <f>"353007"</f>
        <v>353007</v>
      </c>
      <c r="B7750" t="s">
        <v>9094</v>
      </c>
      <c r="C7750" t="s">
        <v>1819</v>
      </c>
      <c r="D7750" s="21" t="s">
        <v>34</v>
      </c>
      <c r="E7750" s="21" t="s">
        <v>35</v>
      </c>
      <c r="F7750">
        <v>3350041</v>
      </c>
      <c r="G7750" t="s">
        <v>1589</v>
      </c>
      <c r="H7750" s="21">
        <v>1073.17</v>
      </c>
    </row>
    <row r="7751" spans="1:8" customFormat="1" x14ac:dyDescent="0.25">
      <c r="A7751" t="str">
        <f>"311175"</f>
        <v>311175</v>
      </c>
      <c r="B7751" t="s">
        <v>1624</v>
      </c>
      <c r="C7751" t="s">
        <v>40</v>
      </c>
      <c r="D7751" s="21" t="s">
        <v>34</v>
      </c>
      <c r="E7751" s="21" t="s">
        <v>254</v>
      </c>
      <c r="F7751">
        <v>11310029</v>
      </c>
      <c r="G7751" t="s">
        <v>3717</v>
      </c>
      <c r="H7751" s="21">
        <v>1073.17</v>
      </c>
    </row>
    <row r="7752" spans="1:8" customFormat="1" x14ac:dyDescent="0.25">
      <c r="A7752" t="str">
        <f>"6313445"</f>
        <v>6313445</v>
      </c>
      <c r="B7752" t="s">
        <v>9795</v>
      </c>
      <c r="C7752" t="s">
        <v>288</v>
      </c>
      <c r="D7752" s="21" t="s">
        <v>34</v>
      </c>
      <c r="E7752" s="21" t="s">
        <v>35</v>
      </c>
      <c r="F7752">
        <v>1630310</v>
      </c>
      <c r="G7752" t="s">
        <v>6314</v>
      </c>
      <c r="H7752" s="21">
        <v>1072.8</v>
      </c>
    </row>
    <row r="7753" spans="1:8" customFormat="1" x14ac:dyDescent="0.25">
      <c r="A7753" t="str">
        <f>"9225255"</f>
        <v>9225255</v>
      </c>
      <c r="B7753" t="s">
        <v>105</v>
      </c>
      <c r="C7753" t="s">
        <v>124</v>
      </c>
      <c r="D7753" s="21" t="s">
        <v>34</v>
      </c>
      <c r="E7753" s="21" t="s">
        <v>71</v>
      </c>
      <c r="F7753">
        <v>8920126</v>
      </c>
      <c r="G7753" t="s">
        <v>1168</v>
      </c>
      <c r="H7753" s="21">
        <v>1072.67</v>
      </c>
    </row>
    <row r="7754" spans="1:8" customFormat="1" x14ac:dyDescent="0.25">
      <c r="A7754" t="str">
        <f>"5415830"</f>
        <v>5415830</v>
      </c>
      <c r="B7754" t="s">
        <v>8364</v>
      </c>
      <c r="C7754" t="s">
        <v>119</v>
      </c>
      <c r="D7754" s="21" t="s">
        <v>34</v>
      </c>
      <c r="E7754" s="21" t="s">
        <v>35</v>
      </c>
      <c r="F7754">
        <v>6540187</v>
      </c>
      <c r="G7754" t="s">
        <v>4563</v>
      </c>
      <c r="H7754" s="21">
        <v>1072.67</v>
      </c>
    </row>
    <row r="7755" spans="1:8" customFormat="1" x14ac:dyDescent="0.25">
      <c r="A7755" t="str">
        <f>"6582"</f>
        <v>6582</v>
      </c>
      <c r="B7755" t="s">
        <v>7656</v>
      </c>
      <c r="C7755" t="s">
        <v>2529</v>
      </c>
      <c r="D7755" s="21" t="s">
        <v>34</v>
      </c>
      <c r="E7755" s="21" t="s">
        <v>254</v>
      </c>
      <c r="F7755">
        <v>11650004</v>
      </c>
      <c r="G7755" t="s">
        <v>382</v>
      </c>
      <c r="H7755" s="21">
        <v>1072.67</v>
      </c>
    </row>
    <row r="7756" spans="1:8" customFormat="1" x14ac:dyDescent="0.25">
      <c r="A7756" t="str">
        <f>"5948483"</f>
        <v>5948483</v>
      </c>
      <c r="B7756" t="s">
        <v>7845</v>
      </c>
      <c r="C7756" t="s">
        <v>2520</v>
      </c>
      <c r="D7756" s="21" t="s">
        <v>34</v>
      </c>
      <c r="E7756" s="21" t="s">
        <v>254</v>
      </c>
      <c r="F7756">
        <v>11340065</v>
      </c>
      <c r="G7756" t="s">
        <v>2022</v>
      </c>
      <c r="H7756" s="21">
        <v>1072.67</v>
      </c>
    </row>
    <row r="7757" spans="1:8" customFormat="1" x14ac:dyDescent="0.25">
      <c r="A7757" t="str">
        <f>"5611974"</f>
        <v>5611974</v>
      </c>
      <c r="B7757" t="s">
        <v>8614</v>
      </c>
      <c r="C7757" t="s">
        <v>33</v>
      </c>
      <c r="D7757" s="21" t="s">
        <v>34</v>
      </c>
      <c r="E7757" s="21" t="s">
        <v>71</v>
      </c>
      <c r="F7757">
        <v>3560006</v>
      </c>
      <c r="G7757" t="s">
        <v>2708</v>
      </c>
      <c r="H7757" s="21">
        <v>1072.67</v>
      </c>
    </row>
    <row r="7758" spans="1:8" customFormat="1" x14ac:dyDescent="0.25">
      <c r="A7758" t="str">
        <f>"286444"</f>
        <v>286444</v>
      </c>
      <c r="B7758" t="s">
        <v>7928</v>
      </c>
      <c r="C7758" t="s">
        <v>204</v>
      </c>
      <c r="D7758" s="21" t="s">
        <v>34</v>
      </c>
      <c r="E7758" s="21" t="s">
        <v>71</v>
      </c>
      <c r="F7758">
        <v>12490066</v>
      </c>
      <c r="G7758" t="s">
        <v>1051</v>
      </c>
      <c r="H7758" s="21">
        <v>1072.67</v>
      </c>
    </row>
    <row r="7759" spans="1:8" customFormat="1" x14ac:dyDescent="0.25">
      <c r="A7759" t="str">
        <f>"6214043"</f>
        <v>6214043</v>
      </c>
      <c r="B7759" t="s">
        <v>7140</v>
      </c>
      <c r="C7759" t="s">
        <v>1142</v>
      </c>
      <c r="D7759" s="21" t="s">
        <v>34</v>
      </c>
      <c r="E7759" s="21" t="s">
        <v>254</v>
      </c>
      <c r="F7759">
        <v>7620104</v>
      </c>
      <c r="G7759" t="s">
        <v>635</v>
      </c>
      <c r="H7759" s="21">
        <v>1072.67</v>
      </c>
    </row>
    <row r="7760" spans="1:8" customFormat="1" x14ac:dyDescent="0.25">
      <c r="A7760" t="str">
        <f>"5315343"</f>
        <v>5315343</v>
      </c>
      <c r="B7760" t="s">
        <v>1826</v>
      </c>
      <c r="C7760" t="s">
        <v>1665</v>
      </c>
      <c r="D7760" s="21" t="s">
        <v>34</v>
      </c>
      <c r="E7760" s="21" t="s">
        <v>254</v>
      </c>
      <c r="F7760">
        <v>12530116</v>
      </c>
      <c r="G7760" t="s">
        <v>7881</v>
      </c>
      <c r="H7760" s="21">
        <v>1072.67</v>
      </c>
    </row>
    <row r="7761" spans="1:8" customFormat="1" x14ac:dyDescent="0.25">
      <c r="A7761" t="str">
        <f>"853297"</f>
        <v>853297</v>
      </c>
      <c r="B7761" t="s">
        <v>7179</v>
      </c>
      <c r="C7761" t="s">
        <v>712</v>
      </c>
      <c r="D7761" s="21" t="s">
        <v>34</v>
      </c>
      <c r="E7761" s="21" t="s">
        <v>254</v>
      </c>
      <c r="F7761">
        <v>12850026</v>
      </c>
      <c r="G7761" t="s">
        <v>1400</v>
      </c>
      <c r="H7761" s="21">
        <v>1072.67</v>
      </c>
    </row>
    <row r="7762" spans="1:8" customFormat="1" x14ac:dyDescent="0.25">
      <c r="A7762" t="str">
        <f>"693976"</f>
        <v>693976</v>
      </c>
      <c r="B7762" t="s">
        <v>7406</v>
      </c>
      <c r="C7762" t="s">
        <v>109</v>
      </c>
      <c r="D7762" s="21" t="s">
        <v>34</v>
      </c>
      <c r="E7762" s="21" t="s">
        <v>35</v>
      </c>
      <c r="F7762">
        <v>1690104</v>
      </c>
      <c r="G7762" t="s">
        <v>3501</v>
      </c>
      <c r="H7762" s="21">
        <v>1072.42</v>
      </c>
    </row>
    <row r="7763" spans="1:8" customFormat="1" x14ac:dyDescent="0.25">
      <c r="A7763" t="str">
        <f>"6928775"</f>
        <v>6928775</v>
      </c>
      <c r="B7763" t="s">
        <v>7743</v>
      </c>
      <c r="C7763" t="s">
        <v>7744</v>
      </c>
      <c r="D7763" s="21" t="s">
        <v>34</v>
      </c>
      <c r="E7763" s="21" t="s">
        <v>71</v>
      </c>
      <c r="F7763">
        <v>1690102</v>
      </c>
      <c r="G7763" t="s">
        <v>2081</v>
      </c>
      <c r="H7763" s="21">
        <v>1072.17</v>
      </c>
    </row>
    <row r="7764" spans="1:8" customFormat="1" x14ac:dyDescent="0.25">
      <c r="A7764" t="str">
        <f>"038244"</f>
        <v>038244</v>
      </c>
      <c r="B7764" t="s">
        <v>7508</v>
      </c>
      <c r="C7764" t="s">
        <v>246</v>
      </c>
      <c r="D7764" s="21" t="s">
        <v>34</v>
      </c>
      <c r="E7764" s="21" t="s">
        <v>254</v>
      </c>
      <c r="F7764">
        <v>1030082</v>
      </c>
      <c r="G7764" t="s">
        <v>26828</v>
      </c>
      <c r="H7764" s="21">
        <v>1072.17</v>
      </c>
    </row>
    <row r="7765" spans="1:8" customFormat="1" x14ac:dyDescent="0.25">
      <c r="A7765" t="str">
        <f>"8513595"</f>
        <v>8513595</v>
      </c>
      <c r="B7765" t="s">
        <v>27010</v>
      </c>
      <c r="C7765" t="s">
        <v>1605</v>
      </c>
      <c r="D7765" s="21" t="s">
        <v>34</v>
      </c>
      <c r="E7765" s="21" t="s">
        <v>254</v>
      </c>
      <c r="F7765">
        <v>12850026</v>
      </c>
      <c r="G7765" t="s">
        <v>1400</v>
      </c>
      <c r="H7765" s="21">
        <v>1072.17</v>
      </c>
    </row>
    <row r="7766" spans="1:8" customFormat="1" x14ac:dyDescent="0.25">
      <c r="A7766" t="str">
        <f>"9126024"</f>
        <v>9126024</v>
      </c>
      <c r="B7766" t="s">
        <v>8490</v>
      </c>
      <c r="C7766" t="s">
        <v>8491</v>
      </c>
      <c r="D7766" s="21" t="s">
        <v>34</v>
      </c>
      <c r="E7766" s="21" t="s">
        <v>35</v>
      </c>
      <c r="F7766">
        <v>8910578</v>
      </c>
      <c r="G7766" t="s">
        <v>5776</v>
      </c>
      <c r="H7766" s="21">
        <v>1072.17</v>
      </c>
    </row>
    <row r="7767" spans="1:8" customFormat="1" x14ac:dyDescent="0.25">
      <c r="A7767" t="str">
        <f>"182357"</f>
        <v>182357</v>
      </c>
      <c r="B7767" t="s">
        <v>4733</v>
      </c>
      <c r="C7767" t="s">
        <v>40</v>
      </c>
      <c r="D7767" s="21" t="s">
        <v>34</v>
      </c>
      <c r="E7767" s="21" t="s">
        <v>71</v>
      </c>
      <c r="F7767">
        <v>4180721</v>
      </c>
      <c r="G7767" t="s">
        <v>6330</v>
      </c>
      <c r="H7767" s="21">
        <v>1072.17</v>
      </c>
    </row>
    <row r="7768" spans="1:8" customFormat="1" x14ac:dyDescent="0.25">
      <c r="A7768" t="str">
        <f>"5941880"</f>
        <v>5941880</v>
      </c>
      <c r="B7768" t="s">
        <v>4018</v>
      </c>
      <c r="C7768" t="s">
        <v>109</v>
      </c>
      <c r="D7768" s="21" t="s">
        <v>34</v>
      </c>
      <c r="E7768" s="21" t="s">
        <v>71</v>
      </c>
      <c r="F7768">
        <v>7590127</v>
      </c>
      <c r="G7768" t="s">
        <v>214</v>
      </c>
      <c r="H7768" s="21">
        <v>1072.17</v>
      </c>
    </row>
    <row r="7769" spans="1:8" customFormat="1" x14ac:dyDescent="0.25">
      <c r="A7769" t="str">
        <f>"6228559"</f>
        <v>6228559</v>
      </c>
      <c r="B7769" t="s">
        <v>10853</v>
      </c>
      <c r="C7769" t="s">
        <v>60</v>
      </c>
      <c r="D7769" s="21" t="s">
        <v>34</v>
      </c>
      <c r="E7769" s="21" t="s">
        <v>35</v>
      </c>
      <c r="F7769">
        <v>7620058</v>
      </c>
      <c r="G7769" t="s">
        <v>602</v>
      </c>
      <c r="H7769" s="21">
        <v>1072.17</v>
      </c>
    </row>
    <row r="7770" spans="1:8" customFormat="1" x14ac:dyDescent="0.25">
      <c r="A7770" t="str">
        <f>"931599"</f>
        <v>931599</v>
      </c>
      <c r="B7770" t="s">
        <v>1212</v>
      </c>
      <c r="C7770" t="s">
        <v>8588</v>
      </c>
      <c r="D7770" s="21" t="s">
        <v>34</v>
      </c>
      <c r="E7770" s="21" t="s">
        <v>35</v>
      </c>
      <c r="F7770">
        <v>10240015</v>
      </c>
      <c r="G7770" t="s">
        <v>8589</v>
      </c>
      <c r="H7770" s="21">
        <v>1072.17</v>
      </c>
    </row>
    <row r="7771" spans="1:8" customFormat="1" x14ac:dyDescent="0.25">
      <c r="A7771" t="str">
        <f>"3710117"</f>
        <v>3710117</v>
      </c>
      <c r="B7771" t="s">
        <v>6488</v>
      </c>
      <c r="C7771" t="s">
        <v>204</v>
      </c>
      <c r="D7771" s="21" t="s">
        <v>34</v>
      </c>
      <c r="E7771" s="21" t="s">
        <v>35</v>
      </c>
      <c r="F7771">
        <v>4370566</v>
      </c>
      <c r="G7771" t="s">
        <v>4710</v>
      </c>
      <c r="H7771" s="21">
        <v>1071.93</v>
      </c>
    </row>
    <row r="7772" spans="1:8" customFormat="1" x14ac:dyDescent="0.25">
      <c r="A7772" t="str">
        <f>"784028"</f>
        <v>784028</v>
      </c>
      <c r="B7772" t="s">
        <v>4183</v>
      </c>
      <c r="C7772" t="s">
        <v>198</v>
      </c>
      <c r="D7772" s="21" t="s">
        <v>34</v>
      </c>
      <c r="E7772" s="21" t="s">
        <v>71</v>
      </c>
      <c r="F7772">
        <v>8781196</v>
      </c>
      <c r="G7772" t="s">
        <v>8007</v>
      </c>
      <c r="H7772" s="21">
        <v>1071.8</v>
      </c>
    </row>
    <row r="7773" spans="1:8" customFormat="1" x14ac:dyDescent="0.25">
      <c r="A7773" t="str">
        <f>"4512306"</f>
        <v>4512306</v>
      </c>
      <c r="B7773" t="s">
        <v>9143</v>
      </c>
      <c r="C7773" t="s">
        <v>498</v>
      </c>
      <c r="D7773" s="21" t="s">
        <v>34</v>
      </c>
      <c r="E7773" s="21" t="s">
        <v>71</v>
      </c>
      <c r="F7773">
        <v>4450026</v>
      </c>
      <c r="G7773" t="s">
        <v>291</v>
      </c>
      <c r="H7773" s="21">
        <v>1071.67</v>
      </c>
    </row>
    <row r="7774" spans="1:8" customFormat="1" x14ac:dyDescent="0.25">
      <c r="A7774" t="str">
        <f>"5722421"</f>
        <v>5722421</v>
      </c>
      <c r="B7774" t="s">
        <v>10419</v>
      </c>
      <c r="C7774" t="s">
        <v>151</v>
      </c>
      <c r="D7774" s="21" t="s">
        <v>34</v>
      </c>
      <c r="E7774" s="21" t="s">
        <v>35</v>
      </c>
      <c r="F7774">
        <v>6100021</v>
      </c>
      <c r="G7774" t="s">
        <v>7789</v>
      </c>
      <c r="H7774" s="21">
        <v>1071.67</v>
      </c>
    </row>
    <row r="7775" spans="1:8" customFormat="1" x14ac:dyDescent="0.25">
      <c r="A7775" t="str">
        <f>"293116"</f>
        <v>293116</v>
      </c>
      <c r="B7775" t="s">
        <v>4902</v>
      </c>
      <c r="C7775" t="s">
        <v>267</v>
      </c>
      <c r="D7775" s="21" t="s">
        <v>34</v>
      </c>
      <c r="E7775" s="21" t="s">
        <v>254</v>
      </c>
      <c r="F7775">
        <v>3290244</v>
      </c>
      <c r="G7775" t="s">
        <v>573</v>
      </c>
      <c r="H7775" s="21">
        <v>1071.67</v>
      </c>
    </row>
    <row r="7776" spans="1:8" customFormat="1" x14ac:dyDescent="0.25">
      <c r="A7776" t="str">
        <f>"292501"</f>
        <v>292501</v>
      </c>
      <c r="B7776" t="s">
        <v>8328</v>
      </c>
      <c r="C7776" t="s">
        <v>1705</v>
      </c>
      <c r="D7776" s="21" t="s">
        <v>34</v>
      </c>
      <c r="E7776" s="21" t="s">
        <v>71</v>
      </c>
      <c r="F7776">
        <v>3290018</v>
      </c>
      <c r="G7776" t="s">
        <v>1706</v>
      </c>
      <c r="H7776" s="21">
        <v>1071.67</v>
      </c>
    </row>
    <row r="7777" spans="1:8" customFormat="1" x14ac:dyDescent="0.25">
      <c r="A7777" t="str">
        <f>"6213570"</f>
        <v>6213570</v>
      </c>
      <c r="B7777" t="s">
        <v>2032</v>
      </c>
      <c r="C7777" t="s">
        <v>169</v>
      </c>
      <c r="D7777" s="21" t="s">
        <v>34</v>
      </c>
      <c r="E7777" s="21" t="s">
        <v>71</v>
      </c>
      <c r="F7777">
        <v>7620176</v>
      </c>
      <c r="G7777" t="s">
        <v>3111</v>
      </c>
      <c r="H7777" s="21">
        <v>1071.67</v>
      </c>
    </row>
    <row r="7778" spans="1:8" customFormat="1" x14ac:dyDescent="0.25">
      <c r="A7778" t="str">
        <f>"4547"</f>
        <v>4547</v>
      </c>
      <c r="B7778" t="s">
        <v>8072</v>
      </c>
      <c r="C7778" t="s">
        <v>121</v>
      </c>
      <c r="D7778" s="21" t="s">
        <v>34</v>
      </c>
      <c r="E7778" s="21" t="s">
        <v>71</v>
      </c>
      <c r="F7778">
        <v>4450576</v>
      </c>
      <c r="G7778" t="s">
        <v>26857</v>
      </c>
      <c r="H7778" s="21">
        <v>1071.67</v>
      </c>
    </row>
    <row r="7779" spans="1:8" customFormat="1" x14ac:dyDescent="0.25">
      <c r="A7779" t="str">
        <f>"7819428"</f>
        <v>7819428</v>
      </c>
      <c r="B7779" t="s">
        <v>1264</v>
      </c>
      <c r="C7779" t="s">
        <v>253</v>
      </c>
      <c r="D7779" s="21" t="s">
        <v>34</v>
      </c>
      <c r="E7779" s="21" t="s">
        <v>71</v>
      </c>
      <c r="F7779">
        <v>8780871</v>
      </c>
      <c r="G7779" t="s">
        <v>3405</v>
      </c>
      <c r="H7779" s="21">
        <v>1071.67</v>
      </c>
    </row>
    <row r="7780" spans="1:8" customFormat="1" x14ac:dyDescent="0.25">
      <c r="A7780" t="str">
        <f>"8511729"</f>
        <v>8511729</v>
      </c>
      <c r="B7780" t="s">
        <v>7122</v>
      </c>
      <c r="C7780" t="s">
        <v>236</v>
      </c>
      <c r="D7780" s="21" t="s">
        <v>34</v>
      </c>
      <c r="E7780" s="21" t="s">
        <v>71</v>
      </c>
      <c r="F7780">
        <v>12850039</v>
      </c>
      <c r="G7780" t="s">
        <v>7123</v>
      </c>
      <c r="H7780" s="21">
        <v>1071.67</v>
      </c>
    </row>
    <row r="7781" spans="1:8" customFormat="1" x14ac:dyDescent="0.25">
      <c r="A7781" t="str">
        <f>"686446"</f>
        <v>686446</v>
      </c>
      <c r="B7781" t="s">
        <v>7015</v>
      </c>
      <c r="C7781" t="s">
        <v>275</v>
      </c>
      <c r="D7781" s="21" t="s">
        <v>34</v>
      </c>
      <c r="E7781" s="21" t="s">
        <v>35</v>
      </c>
      <c r="F7781">
        <v>9270063</v>
      </c>
      <c r="G7781" t="s">
        <v>808</v>
      </c>
      <c r="H7781" s="21">
        <v>1071.67</v>
      </c>
    </row>
    <row r="7782" spans="1:8" customFormat="1" x14ac:dyDescent="0.25">
      <c r="A7782" t="str">
        <f>"0113248"</f>
        <v>0113248</v>
      </c>
      <c r="B7782" t="s">
        <v>8214</v>
      </c>
      <c r="C7782" t="s">
        <v>275</v>
      </c>
      <c r="D7782" s="21" t="s">
        <v>34</v>
      </c>
      <c r="E7782" s="21" t="s">
        <v>35</v>
      </c>
      <c r="F7782">
        <v>1010068</v>
      </c>
      <c r="G7782" t="s">
        <v>4755</v>
      </c>
      <c r="H7782" s="21">
        <v>1071.67</v>
      </c>
    </row>
    <row r="7783" spans="1:8" customFormat="1" x14ac:dyDescent="0.25">
      <c r="A7783" t="str">
        <f>"661130"</f>
        <v>661130</v>
      </c>
      <c r="B7783" t="s">
        <v>2905</v>
      </c>
      <c r="C7783" t="s">
        <v>198</v>
      </c>
      <c r="D7783" s="21" t="s">
        <v>34</v>
      </c>
      <c r="E7783" s="21" t="s">
        <v>35</v>
      </c>
      <c r="F7783">
        <v>11660019</v>
      </c>
      <c r="G7783" t="s">
        <v>6292</v>
      </c>
      <c r="H7783" s="21">
        <v>1071.67</v>
      </c>
    </row>
    <row r="7784" spans="1:8" customFormat="1" x14ac:dyDescent="0.25">
      <c r="A7784" t="str">
        <f>"5916084"</f>
        <v>5916084</v>
      </c>
      <c r="B7784" t="s">
        <v>1033</v>
      </c>
      <c r="C7784" t="s">
        <v>33</v>
      </c>
      <c r="D7784" s="21" t="s">
        <v>34</v>
      </c>
      <c r="E7784" s="21" t="s">
        <v>71</v>
      </c>
      <c r="F7784">
        <v>7590063</v>
      </c>
      <c r="G7784" t="s">
        <v>3426</v>
      </c>
      <c r="H7784" s="21">
        <v>1071.67</v>
      </c>
    </row>
    <row r="7785" spans="1:8" customFormat="1" x14ac:dyDescent="0.25">
      <c r="A7785" t="str">
        <f>"571720"</f>
        <v>571720</v>
      </c>
      <c r="B7785" t="s">
        <v>7495</v>
      </c>
      <c r="C7785" t="s">
        <v>239</v>
      </c>
      <c r="D7785" s="21" t="s">
        <v>34</v>
      </c>
      <c r="E7785" s="21" t="s">
        <v>71</v>
      </c>
      <c r="F7785">
        <v>6570088</v>
      </c>
      <c r="G7785" t="s">
        <v>3461</v>
      </c>
      <c r="H7785" s="21">
        <v>1071.67</v>
      </c>
    </row>
    <row r="7786" spans="1:8" customFormat="1" x14ac:dyDescent="0.25">
      <c r="A7786" t="str">
        <f>"911639"</f>
        <v>911639</v>
      </c>
      <c r="B7786" t="s">
        <v>3700</v>
      </c>
      <c r="C7786" t="s">
        <v>90</v>
      </c>
      <c r="D7786" s="21" t="s">
        <v>34</v>
      </c>
      <c r="E7786" s="21" t="s">
        <v>35</v>
      </c>
      <c r="F7786">
        <v>8911009</v>
      </c>
      <c r="G7786" t="s">
        <v>2177</v>
      </c>
      <c r="H7786" s="21">
        <v>1071.67</v>
      </c>
    </row>
    <row r="7787" spans="1:8" customFormat="1" x14ac:dyDescent="0.25">
      <c r="A7787" t="str">
        <f>"5321594"</f>
        <v>5321594</v>
      </c>
      <c r="B7787" t="s">
        <v>4454</v>
      </c>
      <c r="C7787" t="s">
        <v>249</v>
      </c>
      <c r="D7787" s="21" t="s">
        <v>34</v>
      </c>
      <c r="E7787" s="21" t="s">
        <v>71</v>
      </c>
      <c r="F7787">
        <v>12530036</v>
      </c>
      <c r="G7787" t="s">
        <v>2200</v>
      </c>
      <c r="H7787" s="21">
        <v>1071.67</v>
      </c>
    </row>
    <row r="7788" spans="1:8" customFormat="1" x14ac:dyDescent="0.25">
      <c r="A7788" t="str">
        <f>"9143592"</f>
        <v>9143592</v>
      </c>
      <c r="B7788" t="s">
        <v>8253</v>
      </c>
      <c r="C7788" t="s">
        <v>55</v>
      </c>
      <c r="D7788" s="21" t="s">
        <v>34</v>
      </c>
      <c r="E7788" s="21" t="s">
        <v>71</v>
      </c>
      <c r="F7788">
        <v>8910916</v>
      </c>
      <c r="G7788" t="s">
        <v>2251</v>
      </c>
      <c r="H7788" s="21">
        <v>1071.55</v>
      </c>
    </row>
    <row r="7789" spans="1:8" customFormat="1" x14ac:dyDescent="0.25">
      <c r="A7789" t="str">
        <f>"5921266"</f>
        <v>5921266</v>
      </c>
      <c r="B7789" t="s">
        <v>5343</v>
      </c>
      <c r="C7789" t="s">
        <v>60</v>
      </c>
      <c r="D7789" s="21" t="s">
        <v>34</v>
      </c>
      <c r="E7789" s="21" t="s">
        <v>35</v>
      </c>
      <c r="F7789">
        <v>7590009</v>
      </c>
      <c r="G7789" t="s">
        <v>535</v>
      </c>
      <c r="H7789" s="21">
        <v>1071.55</v>
      </c>
    </row>
    <row r="7790" spans="1:8" customFormat="1" x14ac:dyDescent="0.25">
      <c r="A7790" t="str">
        <f>"9112772"</f>
        <v>9112772</v>
      </c>
      <c r="B7790" t="s">
        <v>1096</v>
      </c>
      <c r="C7790" t="s">
        <v>40</v>
      </c>
      <c r="D7790" s="21" t="s">
        <v>34</v>
      </c>
      <c r="E7790" s="21" t="s">
        <v>71</v>
      </c>
      <c r="F7790">
        <v>8910916</v>
      </c>
      <c r="G7790" t="s">
        <v>2251</v>
      </c>
      <c r="H7790" s="21">
        <v>1071.42</v>
      </c>
    </row>
    <row r="7791" spans="1:8" customFormat="1" x14ac:dyDescent="0.25">
      <c r="A7791" t="str">
        <f>"458091"</f>
        <v>458091</v>
      </c>
      <c r="B7791" t="s">
        <v>8451</v>
      </c>
      <c r="C7791" t="s">
        <v>209</v>
      </c>
      <c r="D7791" s="21" t="s">
        <v>34</v>
      </c>
      <c r="E7791" s="21" t="s">
        <v>71</v>
      </c>
      <c r="F7791">
        <v>4450706</v>
      </c>
      <c r="G7791" t="s">
        <v>4482</v>
      </c>
      <c r="H7791" s="21">
        <v>1071.42</v>
      </c>
    </row>
    <row r="7792" spans="1:8" customFormat="1" x14ac:dyDescent="0.25">
      <c r="A7792" t="str">
        <f>"845227"</f>
        <v>845227</v>
      </c>
      <c r="B7792" t="s">
        <v>6322</v>
      </c>
      <c r="C7792" t="s">
        <v>1675</v>
      </c>
      <c r="D7792" s="21" t="s">
        <v>34</v>
      </c>
      <c r="E7792" s="21" t="s">
        <v>35</v>
      </c>
      <c r="F7792">
        <v>13840028</v>
      </c>
      <c r="G7792" t="s">
        <v>4139</v>
      </c>
      <c r="H7792" s="21">
        <v>1071.17</v>
      </c>
    </row>
    <row r="7793" spans="1:8" customFormat="1" x14ac:dyDescent="0.25">
      <c r="A7793" t="str">
        <f>"37137"</f>
        <v>37137</v>
      </c>
      <c r="B7793" t="s">
        <v>146</v>
      </c>
      <c r="C7793" t="s">
        <v>3648</v>
      </c>
      <c r="D7793" s="21" t="s">
        <v>34</v>
      </c>
      <c r="E7793" s="21" t="s">
        <v>6185</v>
      </c>
      <c r="F7793">
        <v>4370002</v>
      </c>
      <c r="G7793" t="s">
        <v>112</v>
      </c>
      <c r="H7793" s="21">
        <v>1071.17</v>
      </c>
    </row>
    <row r="7794" spans="1:8" customFormat="1" x14ac:dyDescent="0.25">
      <c r="A7794" t="str">
        <f>"9511919"</f>
        <v>9511919</v>
      </c>
      <c r="B7794" t="s">
        <v>7220</v>
      </c>
      <c r="C7794" t="s">
        <v>40</v>
      </c>
      <c r="D7794" s="21" t="s">
        <v>34</v>
      </c>
      <c r="E7794" s="21" t="s">
        <v>71</v>
      </c>
      <c r="F7794">
        <v>7600003</v>
      </c>
      <c r="G7794" t="s">
        <v>3515</v>
      </c>
      <c r="H7794" s="21">
        <v>1071.17</v>
      </c>
    </row>
    <row r="7795" spans="1:8" customFormat="1" x14ac:dyDescent="0.25">
      <c r="A7795" t="str">
        <f>"42161"</f>
        <v>42161</v>
      </c>
      <c r="B7795" t="s">
        <v>7705</v>
      </c>
      <c r="C7795" t="s">
        <v>547</v>
      </c>
      <c r="D7795" s="21" t="s">
        <v>34</v>
      </c>
      <c r="E7795" s="21" t="s">
        <v>254</v>
      </c>
      <c r="F7795">
        <v>1420014</v>
      </c>
      <c r="G7795" t="s">
        <v>3864</v>
      </c>
      <c r="H7795" s="21">
        <v>1071.17</v>
      </c>
    </row>
    <row r="7796" spans="1:8" customFormat="1" x14ac:dyDescent="0.25">
      <c r="A7796" t="str">
        <f>"3532085"</f>
        <v>3532085</v>
      </c>
      <c r="B7796" t="s">
        <v>9088</v>
      </c>
      <c r="C7796" t="s">
        <v>547</v>
      </c>
      <c r="D7796" s="21" t="s">
        <v>34</v>
      </c>
      <c r="E7796" s="21" t="s">
        <v>71</v>
      </c>
      <c r="F7796">
        <v>3350011</v>
      </c>
      <c r="G7796" t="s">
        <v>2404</v>
      </c>
      <c r="H7796" s="21">
        <v>1071.17</v>
      </c>
    </row>
    <row r="7797" spans="1:8" customFormat="1" x14ac:dyDescent="0.25">
      <c r="A7797" t="str">
        <f>"09562"</f>
        <v>09562</v>
      </c>
      <c r="B7797" t="s">
        <v>9189</v>
      </c>
      <c r="C7797" t="s">
        <v>1714</v>
      </c>
      <c r="D7797" s="21" t="s">
        <v>34</v>
      </c>
      <c r="E7797" s="21" t="s">
        <v>35</v>
      </c>
      <c r="F7797">
        <v>11090002</v>
      </c>
      <c r="G7797" t="s">
        <v>901</v>
      </c>
      <c r="H7797" s="21">
        <v>1071.17</v>
      </c>
    </row>
    <row r="7798" spans="1:8" customFormat="1" x14ac:dyDescent="0.25">
      <c r="A7798" t="str">
        <f>"838324"</f>
        <v>838324</v>
      </c>
      <c r="B7798" t="s">
        <v>146</v>
      </c>
      <c r="C7798" t="s">
        <v>33</v>
      </c>
      <c r="D7798" s="21" t="s">
        <v>34</v>
      </c>
      <c r="E7798" s="21" t="s">
        <v>35</v>
      </c>
      <c r="F7798">
        <v>13830083</v>
      </c>
      <c r="G7798" t="s">
        <v>2159</v>
      </c>
      <c r="H7798" s="21">
        <v>1070.93</v>
      </c>
    </row>
    <row r="7799" spans="1:8" customFormat="1" x14ac:dyDescent="0.25">
      <c r="A7799" t="str">
        <f>"6917065"</f>
        <v>6917065</v>
      </c>
      <c r="B7799" t="s">
        <v>8641</v>
      </c>
      <c r="C7799" t="s">
        <v>198</v>
      </c>
      <c r="D7799" s="21" t="s">
        <v>34</v>
      </c>
      <c r="E7799" s="21" t="s">
        <v>71</v>
      </c>
      <c r="F7799">
        <v>1690008</v>
      </c>
      <c r="G7799" t="s">
        <v>6276</v>
      </c>
      <c r="H7799" s="21">
        <v>1070.92</v>
      </c>
    </row>
    <row r="7800" spans="1:8" customFormat="1" x14ac:dyDescent="0.25">
      <c r="A7800" t="str">
        <f>"362292"</f>
        <v>362292</v>
      </c>
      <c r="B7800" t="s">
        <v>8208</v>
      </c>
      <c r="C7800" t="s">
        <v>415</v>
      </c>
      <c r="D7800" s="21" t="s">
        <v>34</v>
      </c>
      <c r="E7800" s="21" t="s">
        <v>254</v>
      </c>
      <c r="F7800">
        <v>4360605</v>
      </c>
      <c r="G7800" t="s">
        <v>6003</v>
      </c>
      <c r="H7800" s="21">
        <v>1070.92</v>
      </c>
    </row>
    <row r="7801" spans="1:8" customFormat="1" x14ac:dyDescent="0.25">
      <c r="A7801" t="str">
        <f>"9726775"</f>
        <v>9726775</v>
      </c>
      <c r="B7801" t="s">
        <v>7820</v>
      </c>
      <c r="C7801" t="s">
        <v>1299</v>
      </c>
      <c r="D7801" s="21" t="s">
        <v>34</v>
      </c>
      <c r="E7801" s="21" t="s">
        <v>71</v>
      </c>
      <c r="F7801" t="s">
        <v>3911</v>
      </c>
      <c r="G7801" t="s">
        <v>3912</v>
      </c>
      <c r="H7801" s="21">
        <v>1070.8</v>
      </c>
    </row>
    <row r="7802" spans="1:8" customFormat="1" x14ac:dyDescent="0.25">
      <c r="A7802" t="str">
        <f>"083070"</f>
        <v>083070</v>
      </c>
      <c r="B7802" t="s">
        <v>8234</v>
      </c>
      <c r="C7802" t="s">
        <v>204</v>
      </c>
      <c r="D7802" s="21" t="s">
        <v>34</v>
      </c>
      <c r="E7802" s="21" t="s">
        <v>35</v>
      </c>
      <c r="F7802">
        <v>6080064</v>
      </c>
      <c r="G7802" t="s">
        <v>5825</v>
      </c>
      <c r="H7802" s="21">
        <v>1070.67</v>
      </c>
    </row>
    <row r="7803" spans="1:8" customFormat="1" x14ac:dyDescent="0.25">
      <c r="A7803" t="str">
        <f>"5014990"</f>
        <v>5014990</v>
      </c>
      <c r="B7803" t="s">
        <v>6328</v>
      </c>
      <c r="C7803" t="s">
        <v>288</v>
      </c>
      <c r="D7803" s="21" t="s">
        <v>34</v>
      </c>
      <c r="E7803" s="21" t="s">
        <v>35</v>
      </c>
      <c r="F7803">
        <v>9500139</v>
      </c>
      <c r="G7803" t="s">
        <v>6892</v>
      </c>
      <c r="H7803" s="21">
        <v>1070.67</v>
      </c>
    </row>
    <row r="7804" spans="1:8" customFormat="1" x14ac:dyDescent="0.25">
      <c r="A7804" t="str">
        <f>"538723"</f>
        <v>538723</v>
      </c>
      <c r="B7804" t="s">
        <v>8740</v>
      </c>
      <c r="C7804" t="s">
        <v>664</v>
      </c>
      <c r="D7804" s="21" t="s">
        <v>34</v>
      </c>
      <c r="E7804" s="21" t="s">
        <v>254</v>
      </c>
      <c r="F7804">
        <v>12530060</v>
      </c>
      <c r="G7804" t="s">
        <v>1356</v>
      </c>
      <c r="H7804" s="21">
        <v>1070.67</v>
      </c>
    </row>
    <row r="7805" spans="1:8" customFormat="1" x14ac:dyDescent="0.25">
      <c r="A7805" t="str">
        <f>"6315273"</f>
        <v>6315273</v>
      </c>
      <c r="B7805" t="s">
        <v>10779</v>
      </c>
      <c r="C7805" t="s">
        <v>33</v>
      </c>
      <c r="D7805" s="21" t="s">
        <v>34</v>
      </c>
      <c r="E7805" s="21" t="s">
        <v>71</v>
      </c>
      <c r="F7805">
        <v>1630241</v>
      </c>
      <c r="G7805" t="s">
        <v>4519</v>
      </c>
      <c r="H7805" s="21">
        <v>1070.67</v>
      </c>
    </row>
    <row r="7806" spans="1:8" customFormat="1" x14ac:dyDescent="0.25">
      <c r="A7806" t="str">
        <f>"9432187"</f>
        <v>9432187</v>
      </c>
      <c r="B7806" t="s">
        <v>7238</v>
      </c>
      <c r="C7806" t="s">
        <v>7239</v>
      </c>
      <c r="D7806" s="21" t="s">
        <v>34</v>
      </c>
      <c r="E7806" s="21" t="s">
        <v>71</v>
      </c>
      <c r="F7806">
        <v>8940033</v>
      </c>
      <c r="G7806" t="s">
        <v>1376</v>
      </c>
      <c r="H7806" s="21">
        <v>1070.67</v>
      </c>
    </row>
    <row r="7807" spans="1:8" customFormat="1" x14ac:dyDescent="0.25">
      <c r="A7807" t="str">
        <f>"5010473"</f>
        <v>5010473</v>
      </c>
      <c r="B7807" t="s">
        <v>946</v>
      </c>
      <c r="C7807" t="s">
        <v>40</v>
      </c>
      <c r="D7807" s="21" t="s">
        <v>34</v>
      </c>
      <c r="E7807" s="21" t="s">
        <v>71</v>
      </c>
      <c r="F7807">
        <v>9500073</v>
      </c>
      <c r="G7807" t="s">
        <v>5393</v>
      </c>
      <c r="H7807" s="21">
        <v>1070.67</v>
      </c>
    </row>
    <row r="7808" spans="1:8" customFormat="1" x14ac:dyDescent="0.25">
      <c r="A7808" t="str">
        <f>"417451"</f>
        <v>417451</v>
      </c>
      <c r="B7808" t="s">
        <v>8771</v>
      </c>
      <c r="C7808" t="s">
        <v>249</v>
      </c>
      <c r="D7808" s="21" t="s">
        <v>34</v>
      </c>
      <c r="E7808" s="21" t="s">
        <v>71</v>
      </c>
      <c r="F7808">
        <v>4410083</v>
      </c>
      <c r="G7808" t="s">
        <v>2333</v>
      </c>
      <c r="H7808" s="21">
        <v>1070.67</v>
      </c>
    </row>
    <row r="7809" spans="1:8" customFormat="1" x14ac:dyDescent="0.25">
      <c r="A7809" t="str">
        <f>"617646"</f>
        <v>617646</v>
      </c>
      <c r="B7809" t="s">
        <v>4419</v>
      </c>
      <c r="C7809" t="s">
        <v>486</v>
      </c>
      <c r="D7809" s="21" t="s">
        <v>34</v>
      </c>
      <c r="E7809" s="21" t="s">
        <v>35</v>
      </c>
      <c r="F7809">
        <v>9610148</v>
      </c>
      <c r="G7809" t="s">
        <v>8163</v>
      </c>
      <c r="H7809" s="21">
        <v>1070.67</v>
      </c>
    </row>
    <row r="7810" spans="1:8" customFormat="1" x14ac:dyDescent="0.25">
      <c r="A7810" t="str">
        <f>"808455"</f>
        <v>808455</v>
      </c>
      <c r="B7810" t="s">
        <v>7491</v>
      </c>
      <c r="C7810" t="s">
        <v>812</v>
      </c>
      <c r="D7810" s="21" t="s">
        <v>34</v>
      </c>
      <c r="E7810" s="21" t="s">
        <v>254</v>
      </c>
      <c r="F7810">
        <v>7800126</v>
      </c>
      <c r="G7810" t="s">
        <v>1105</v>
      </c>
      <c r="H7810" s="21">
        <v>1070.67</v>
      </c>
    </row>
    <row r="7811" spans="1:8" customFormat="1" x14ac:dyDescent="0.25">
      <c r="A7811" t="str">
        <f>"626134"</f>
        <v>626134</v>
      </c>
      <c r="B7811" t="s">
        <v>3873</v>
      </c>
      <c r="C7811" t="s">
        <v>130</v>
      </c>
      <c r="D7811" s="21" t="s">
        <v>34</v>
      </c>
      <c r="E7811" s="21" t="s">
        <v>71</v>
      </c>
      <c r="F7811">
        <v>7620110</v>
      </c>
      <c r="G7811" t="s">
        <v>2681</v>
      </c>
      <c r="H7811" s="21">
        <v>1070.67</v>
      </c>
    </row>
    <row r="7812" spans="1:8" customFormat="1" x14ac:dyDescent="0.25">
      <c r="A7812" t="str">
        <f>"928199"</f>
        <v>928199</v>
      </c>
      <c r="B7812" t="s">
        <v>8053</v>
      </c>
      <c r="C7812" t="s">
        <v>3456</v>
      </c>
      <c r="D7812" s="21" t="s">
        <v>34</v>
      </c>
      <c r="E7812" s="21" t="s">
        <v>71</v>
      </c>
      <c r="F7812">
        <v>13840005</v>
      </c>
      <c r="G7812" t="s">
        <v>2145</v>
      </c>
      <c r="H7812" s="21">
        <v>1070.67</v>
      </c>
    </row>
    <row r="7813" spans="1:8" customFormat="1" x14ac:dyDescent="0.25">
      <c r="A7813" t="str">
        <f>"762007"</f>
        <v>762007</v>
      </c>
      <c r="B7813" t="s">
        <v>7340</v>
      </c>
      <c r="C7813" t="s">
        <v>412</v>
      </c>
      <c r="D7813" s="21" t="s">
        <v>34</v>
      </c>
      <c r="E7813" s="21" t="s">
        <v>254</v>
      </c>
      <c r="F7813">
        <v>9760157</v>
      </c>
      <c r="G7813" t="s">
        <v>3412</v>
      </c>
      <c r="H7813" s="21">
        <v>1070.67</v>
      </c>
    </row>
    <row r="7814" spans="1:8" customFormat="1" x14ac:dyDescent="0.25">
      <c r="A7814" t="str">
        <f>"365013"</f>
        <v>365013</v>
      </c>
      <c r="B7814" t="s">
        <v>7319</v>
      </c>
      <c r="C7814" t="s">
        <v>288</v>
      </c>
      <c r="D7814" s="21" t="s">
        <v>34</v>
      </c>
      <c r="E7814" s="21" t="s">
        <v>71</v>
      </c>
      <c r="F7814">
        <v>4360002</v>
      </c>
      <c r="G7814" t="s">
        <v>222</v>
      </c>
      <c r="H7814" s="21">
        <v>1070.42</v>
      </c>
    </row>
    <row r="7815" spans="1:8" customFormat="1" x14ac:dyDescent="0.25">
      <c r="A7815" t="str">
        <f>"63128"</f>
        <v>63128</v>
      </c>
      <c r="B7815" t="s">
        <v>911</v>
      </c>
      <c r="C7815" t="s">
        <v>269</v>
      </c>
      <c r="D7815" s="21" t="s">
        <v>34</v>
      </c>
      <c r="E7815" s="21" t="s">
        <v>71</v>
      </c>
      <c r="F7815">
        <v>1630054</v>
      </c>
      <c r="G7815" t="s">
        <v>2512</v>
      </c>
      <c r="H7815" s="21">
        <v>1070.17</v>
      </c>
    </row>
    <row r="7816" spans="1:8" customFormat="1" x14ac:dyDescent="0.25">
      <c r="A7816" t="str">
        <f>"033288"</f>
        <v>033288</v>
      </c>
      <c r="B7816" t="s">
        <v>8285</v>
      </c>
      <c r="C7816" t="s">
        <v>40</v>
      </c>
      <c r="D7816" s="21" t="s">
        <v>34</v>
      </c>
      <c r="E7816" s="21" t="s">
        <v>71</v>
      </c>
      <c r="F7816">
        <v>1030128</v>
      </c>
      <c r="G7816" t="s">
        <v>7355</v>
      </c>
      <c r="H7816" s="21">
        <v>1070.17</v>
      </c>
    </row>
    <row r="7817" spans="1:8" customFormat="1" x14ac:dyDescent="0.25">
      <c r="A7817" t="str">
        <f>"7625981"</f>
        <v>7625981</v>
      </c>
      <c r="B7817" t="s">
        <v>7907</v>
      </c>
      <c r="C7817" t="s">
        <v>156</v>
      </c>
      <c r="D7817" s="21" t="s">
        <v>34</v>
      </c>
      <c r="E7817" s="21" t="s">
        <v>71</v>
      </c>
      <c r="F7817">
        <v>9760319</v>
      </c>
      <c r="G7817" t="s">
        <v>3051</v>
      </c>
      <c r="H7817" s="21">
        <v>1070.17</v>
      </c>
    </row>
    <row r="7818" spans="1:8" customFormat="1" x14ac:dyDescent="0.25">
      <c r="A7818" t="str">
        <f>"6211585"</f>
        <v>6211585</v>
      </c>
      <c r="B7818" t="s">
        <v>6384</v>
      </c>
      <c r="C7818" t="s">
        <v>263</v>
      </c>
      <c r="D7818" s="21" t="s">
        <v>34</v>
      </c>
      <c r="E7818" s="21" t="s">
        <v>71</v>
      </c>
      <c r="F7818">
        <v>7620087</v>
      </c>
      <c r="G7818" t="s">
        <v>7637</v>
      </c>
      <c r="H7818" s="21">
        <v>1070.17</v>
      </c>
    </row>
    <row r="7819" spans="1:8" customFormat="1" x14ac:dyDescent="0.25">
      <c r="A7819" t="str">
        <f>"9445512"</f>
        <v>9445512</v>
      </c>
      <c r="B7819" t="s">
        <v>461</v>
      </c>
      <c r="C7819" t="s">
        <v>109</v>
      </c>
      <c r="D7819" s="21" t="s">
        <v>34</v>
      </c>
      <c r="E7819" s="21" t="s">
        <v>35</v>
      </c>
      <c r="F7819">
        <v>8940482</v>
      </c>
      <c r="G7819" t="s">
        <v>2560</v>
      </c>
      <c r="H7819" s="21">
        <v>1070.17</v>
      </c>
    </row>
    <row r="7820" spans="1:8" customFormat="1" x14ac:dyDescent="0.25">
      <c r="A7820" t="str">
        <f>"8010431"</f>
        <v>8010431</v>
      </c>
      <c r="B7820" t="s">
        <v>7509</v>
      </c>
      <c r="C7820" t="s">
        <v>867</v>
      </c>
      <c r="D7820" s="21" t="s">
        <v>34</v>
      </c>
      <c r="E7820" s="21" t="s">
        <v>35</v>
      </c>
      <c r="F7820">
        <v>3560096</v>
      </c>
      <c r="G7820" t="s">
        <v>2771</v>
      </c>
      <c r="H7820" s="21">
        <v>1070.17</v>
      </c>
    </row>
    <row r="7821" spans="1:8" customFormat="1" x14ac:dyDescent="0.25">
      <c r="A7821" t="str">
        <f>"4429690"</f>
        <v>4429690</v>
      </c>
      <c r="B7821" t="s">
        <v>3930</v>
      </c>
      <c r="C7821" t="s">
        <v>33</v>
      </c>
      <c r="D7821" s="21" t="s">
        <v>34</v>
      </c>
      <c r="E7821" s="21" t="s">
        <v>35</v>
      </c>
      <c r="F7821">
        <v>12440066</v>
      </c>
      <c r="G7821" t="s">
        <v>7602</v>
      </c>
      <c r="H7821" s="21">
        <v>1070.17</v>
      </c>
    </row>
    <row r="7822" spans="1:8" customFormat="1" x14ac:dyDescent="0.25">
      <c r="A7822" t="str">
        <f>"7213533"</f>
        <v>7213533</v>
      </c>
      <c r="B7822" t="s">
        <v>3972</v>
      </c>
      <c r="C7822" t="s">
        <v>288</v>
      </c>
      <c r="D7822" s="21" t="s">
        <v>34</v>
      </c>
      <c r="E7822" s="21" t="s">
        <v>71</v>
      </c>
      <c r="F7822">
        <v>12720042</v>
      </c>
      <c r="G7822" t="s">
        <v>922</v>
      </c>
      <c r="H7822" s="21">
        <v>1070.17</v>
      </c>
    </row>
    <row r="7823" spans="1:8" customFormat="1" x14ac:dyDescent="0.25">
      <c r="A7823" t="str">
        <f>"35976"</f>
        <v>35976</v>
      </c>
      <c r="B7823" t="s">
        <v>7321</v>
      </c>
      <c r="C7823" t="s">
        <v>1588</v>
      </c>
      <c r="D7823" s="21" t="s">
        <v>34</v>
      </c>
      <c r="E7823" s="21" t="s">
        <v>254</v>
      </c>
      <c r="F7823">
        <v>3350183</v>
      </c>
      <c r="G7823" t="s">
        <v>2572</v>
      </c>
      <c r="H7823" s="21">
        <v>1070.17</v>
      </c>
    </row>
    <row r="7824" spans="1:8" customFormat="1" x14ac:dyDescent="0.25">
      <c r="A7824" t="str">
        <f>"331878"</f>
        <v>331878</v>
      </c>
      <c r="B7824" t="s">
        <v>8886</v>
      </c>
      <c r="C7824" t="s">
        <v>130</v>
      </c>
      <c r="D7824" s="21" t="s">
        <v>34</v>
      </c>
      <c r="E7824" s="21" t="s">
        <v>71</v>
      </c>
      <c r="F7824">
        <v>10330077</v>
      </c>
      <c r="G7824" t="s">
        <v>4274</v>
      </c>
      <c r="H7824" s="21">
        <v>1070.17</v>
      </c>
    </row>
    <row r="7825" spans="1:8" customFormat="1" x14ac:dyDescent="0.25">
      <c r="A7825" t="str">
        <f>"5310068"</f>
        <v>5310068</v>
      </c>
      <c r="B7825" t="s">
        <v>8167</v>
      </c>
      <c r="C7825" t="s">
        <v>275</v>
      </c>
      <c r="D7825" s="21" t="s">
        <v>34</v>
      </c>
      <c r="E7825" s="21" t="s">
        <v>35</v>
      </c>
      <c r="F7825">
        <v>12530005</v>
      </c>
      <c r="G7825" t="s">
        <v>6076</v>
      </c>
      <c r="H7825" s="21">
        <v>1069.92</v>
      </c>
    </row>
    <row r="7826" spans="1:8" customFormat="1" x14ac:dyDescent="0.25">
      <c r="A7826" t="str">
        <f>"6948881"</f>
        <v>6948881</v>
      </c>
      <c r="B7826" t="s">
        <v>20319</v>
      </c>
      <c r="C7826" t="s">
        <v>20320</v>
      </c>
      <c r="D7826" s="21" t="s">
        <v>34</v>
      </c>
      <c r="E7826" s="21" t="s">
        <v>35</v>
      </c>
      <c r="F7826">
        <v>1690194</v>
      </c>
      <c r="G7826" t="s">
        <v>5285</v>
      </c>
      <c r="H7826" s="21">
        <v>1069.92</v>
      </c>
    </row>
    <row r="7827" spans="1:8" customFormat="1" x14ac:dyDescent="0.25">
      <c r="A7827" t="str">
        <f>"9454108"</f>
        <v>9454108</v>
      </c>
      <c r="B7827" t="s">
        <v>11522</v>
      </c>
      <c r="C7827" t="s">
        <v>249</v>
      </c>
      <c r="D7827" s="21" t="s">
        <v>34</v>
      </c>
      <c r="E7827" s="21" t="s">
        <v>35</v>
      </c>
      <c r="F7827">
        <v>8941282</v>
      </c>
      <c r="G7827" t="s">
        <v>5040</v>
      </c>
      <c r="H7827" s="21">
        <v>1069.67</v>
      </c>
    </row>
    <row r="7828" spans="1:8" customFormat="1" x14ac:dyDescent="0.25">
      <c r="A7828" t="str">
        <f>"6210942"</f>
        <v>6210942</v>
      </c>
      <c r="B7828" t="s">
        <v>8097</v>
      </c>
      <c r="C7828" t="s">
        <v>65</v>
      </c>
      <c r="D7828" s="21" t="s">
        <v>34</v>
      </c>
      <c r="E7828" s="21" t="s">
        <v>35</v>
      </c>
      <c r="F7828">
        <v>7620153</v>
      </c>
      <c r="G7828" t="s">
        <v>5104</v>
      </c>
      <c r="H7828" s="21">
        <v>1069.67</v>
      </c>
    </row>
    <row r="7829" spans="1:8" customFormat="1" x14ac:dyDescent="0.25">
      <c r="A7829" t="str">
        <f>"568089"</f>
        <v>568089</v>
      </c>
      <c r="B7829" t="s">
        <v>8367</v>
      </c>
      <c r="C7829" t="s">
        <v>156</v>
      </c>
      <c r="D7829" s="21" t="s">
        <v>34</v>
      </c>
      <c r="E7829" s="21" t="s">
        <v>71</v>
      </c>
      <c r="F7829">
        <v>3560060</v>
      </c>
      <c r="G7829" t="s">
        <v>8368</v>
      </c>
      <c r="H7829" s="21">
        <v>1069.67</v>
      </c>
    </row>
    <row r="7830" spans="1:8" customFormat="1" x14ac:dyDescent="0.25">
      <c r="A7830" t="str">
        <f>"3818103"</f>
        <v>3818103</v>
      </c>
      <c r="B7830" t="s">
        <v>7583</v>
      </c>
      <c r="C7830" t="s">
        <v>130</v>
      </c>
      <c r="D7830" s="21" t="s">
        <v>34</v>
      </c>
      <c r="E7830" s="21" t="s">
        <v>35</v>
      </c>
      <c r="F7830">
        <v>9140055</v>
      </c>
      <c r="G7830" t="s">
        <v>344</v>
      </c>
      <c r="H7830" s="21">
        <v>1069.67</v>
      </c>
    </row>
    <row r="7831" spans="1:8" customFormat="1" x14ac:dyDescent="0.25">
      <c r="A7831" t="str">
        <f>"8610639"</f>
        <v>8610639</v>
      </c>
      <c r="B7831" t="s">
        <v>27011</v>
      </c>
      <c r="C7831" t="s">
        <v>33</v>
      </c>
      <c r="D7831" s="21" t="s">
        <v>34</v>
      </c>
      <c r="E7831" s="21" t="s">
        <v>35</v>
      </c>
      <c r="F7831">
        <v>10860084</v>
      </c>
      <c r="G7831" t="s">
        <v>7471</v>
      </c>
      <c r="H7831" s="21">
        <v>1069.67</v>
      </c>
    </row>
    <row r="7832" spans="1:8" customFormat="1" x14ac:dyDescent="0.25">
      <c r="A7832" t="str">
        <f>"141285"</f>
        <v>141285</v>
      </c>
      <c r="B7832" t="s">
        <v>7201</v>
      </c>
      <c r="C7832" t="s">
        <v>55</v>
      </c>
      <c r="D7832" s="21" t="s">
        <v>34</v>
      </c>
      <c r="E7832" s="21" t="s">
        <v>71</v>
      </c>
      <c r="F7832">
        <v>9140162</v>
      </c>
      <c r="G7832" t="s">
        <v>7663</v>
      </c>
      <c r="H7832" s="21">
        <v>1069.67</v>
      </c>
    </row>
    <row r="7833" spans="1:8" customFormat="1" x14ac:dyDescent="0.25">
      <c r="A7833" t="str">
        <f>"767277"</f>
        <v>767277</v>
      </c>
      <c r="B7833" t="s">
        <v>9120</v>
      </c>
      <c r="C7833" t="s">
        <v>4769</v>
      </c>
      <c r="D7833" s="21" t="s">
        <v>34</v>
      </c>
      <c r="E7833" s="21" t="s">
        <v>254</v>
      </c>
      <c r="F7833">
        <v>9760129</v>
      </c>
      <c r="G7833" t="s">
        <v>6147</v>
      </c>
      <c r="H7833" s="21">
        <v>1069.67</v>
      </c>
    </row>
    <row r="7834" spans="1:8" customFormat="1" x14ac:dyDescent="0.25">
      <c r="A7834" t="str">
        <f>"615096"</f>
        <v>615096</v>
      </c>
      <c r="B7834" t="s">
        <v>3380</v>
      </c>
      <c r="C7834" t="s">
        <v>139</v>
      </c>
      <c r="D7834" s="21" t="s">
        <v>34</v>
      </c>
      <c r="E7834" s="21" t="s">
        <v>35</v>
      </c>
      <c r="F7834">
        <v>9610031</v>
      </c>
      <c r="G7834" t="s">
        <v>1792</v>
      </c>
      <c r="H7834" s="21">
        <v>1069.67</v>
      </c>
    </row>
    <row r="7835" spans="1:8" customFormat="1" x14ac:dyDescent="0.25">
      <c r="A7835" t="str">
        <f>"1312911"</f>
        <v>1312911</v>
      </c>
      <c r="B7835" t="s">
        <v>7583</v>
      </c>
      <c r="C7835" t="s">
        <v>269</v>
      </c>
      <c r="D7835" s="21" t="s">
        <v>34</v>
      </c>
      <c r="E7835" s="21" t="s">
        <v>35</v>
      </c>
      <c r="F7835">
        <v>13130152</v>
      </c>
      <c r="G7835" t="s">
        <v>906</v>
      </c>
      <c r="H7835" s="21">
        <v>1069.43</v>
      </c>
    </row>
    <row r="7836" spans="1:8" customFormat="1" x14ac:dyDescent="0.25">
      <c r="A7836" t="str">
        <f>"714354"</f>
        <v>714354</v>
      </c>
      <c r="B7836" t="s">
        <v>27012</v>
      </c>
      <c r="C7836" t="s">
        <v>156</v>
      </c>
      <c r="D7836" s="21" t="s">
        <v>34</v>
      </c>
      <c r="E7836" s="21" t="s">
        <v>35</v>
      </c>
      <c r="F7836">
        <v>1690197</v>
      </c>
      <c r="G7836" t="s">
        <v>26849</v>
      </c>
      <c r="H7836" s="21">
        <v>1069.42</v>
      </c>
    </row>
    <row r="7837" spans="1:8" customFormat="1" x14ac:dyDescent="0.25">
      <c r="A7837" t="str">
        <f>"7839577"</f>
        <v>7839577</v>
      </c>
      <c r="B7837" t="s">
        <v>8232</v>
      </c>
      <c r="C7837" t="s">
        <v>55</v>
      </c>
      <c r="D7837" s="21" t="s">
        <v>34</v>
      </c>
      <c r="E7837" s="21" t="s">
        <v>71</v>
      </c>
      <c r="F7837">
        <v>8781006</v>
      </c>
      <c r="G7837" t="s">
        <v>5376</v>
      </c>
      <c r="H7837" s="21">
        <v>1069.17</v>
      </c>
    </row>
    <row r="7838" spans="1:8" customFormat="1" x14ac:dyDescent="0.25">
      <c r="A7838" t="str">
        <f>"143121"</f>
        <v>143121</v>
      </c>
      <c r="B7838" t="s">
        <v>6921</v>
      </c>
      <c r="C7838" t="s">
        <v>323</v>
      </c>
      <c r="D7838" s="21" t="s">
        <v>34</v>
      </c>
      <c r="E7838" s="21" t="s">
        <v>254</v>
      </c>
      <c r="F7838">
        <v>12530003</v>
      </c>
      <c r="G7838" t="s">
        <v>8260</v>
      </c>
      <c r="H7838" s="21">
        <v>1069.17</v>
      </c>
    </row>
    <row r="7839" spans="1:8" customFormat="1" x14ac:dyDescent="0.25">
      <c r="A7839" t="str">
        <f>"2922374"</f>
        <v>2922374</v>
      </c>
      <c r="B7839" t="s">
        <v>9651</v>
      </c>
      <c r="C7839" t="s">
        <v>598</v>
      </c>
      <c r="D7839" s="21" t="s">
        <v>34</v>
      </c>
      <c r="E7839" s="21" t="s">
        <v>35</v>
      </c>
      <c r="F7839">
        <v>3290018</v>
      </c>
      <c r="G7839" t="s">
        <v>1706</v>
      </c>
      <c r="H7839" s="21">
        <v>1069.17</v>
      </c>
    </row>
    <row r="7840" spans="1:8" customFormat="1" x14ac:dyDescent="0.25">
      <c r="A7840" t="str">
        <f>"3514936"</f>
        <v>3514936</v>
      </c>
      <c r="B7840" t="s">
        <v>7071</v>
      </c>
      <c r="C7840" t="s">
        <v>2322</v>
      </c>
      <c r="D7840" s="21" t="s">
        <v>34</v>
      </c>
      <c r="E7840" s="21" t="s">
        <v>35</v>
      </c>
      <c r="F7840">
        <v>3350065</v>
      </c>
      <c r="G7840" t="s">
        <v>5910</v>
      </c>
      <c r="H7840" s="21">
        <v>1069.17</v>
      </c>
    </row>
    <row r="7841" spans="1:8" customFormat="1" x14ac:dyDescent="0.25">
      <c r="A7841" t="str">
        <f>"291464"</f>
        <v>291464</v>
      </c>
      <c r="B7841" t="s">
        <v>765</v>
      </c>
      <c r="C7841" t="s">
        <v>1199</v>
      </c>
      <c r="D7841" s="21" t="s">
        <v>34</v>
      </c>
      <c r="E7841" s="21" t="s">
        <v>254</v>
      </c>
      <c r="F7841">
        <v>3290027</v>
      </c>
      <c r="G7841" t="s">
        <v>6108</v>
      </c>
      <c r="H7841" s="21">
        <v>1069.17</v>
      </c>
    </row>
    <row r="7842" spans="1:8" customFormat="1" x14ac:dyDescent="0.25">
      <c r="A7842" t="str">
        <f>"859296"</f>
        <v>859296</v>
      </c>
      <c r="B7842" t="s">
        <v>1322</v>
      </c>
      <c r="C7842" t="s">
        <v>1605</v>
      </c>
      <c r="D7842" s="21" t="s">
        <v>34</v>
      </c>
      <c r="E7842" s="21" t="s">
        <v>71</v>
      </c>
      <c r="F7842">
        <v>12850097</v>
      </c>
      <c r="G7842" t="s">
        <v>4111</v>
      </c>
      <c r="H7842" s="21">
        <v>1069.17</v>
      </c>
    </row>
    <row r="7843" spans="1:8" customFormat="1" x14ac:dyDescent="0.25">
      <c r="A7843" t="str">
        <f>"426189"</f>
        <v>426189</v>
      </c>
      <c r="B7843" t="s">
        <v>9474</v>
      </c>
      <c r="C7843" t="s">
        <v>55</v>
      </c>
      <c r="D7843" s="21" t="s">
        <v>34</v>
      </c>
      <c r="E7843" s="21" t="s">
        <v>71</v>
      </c>
      <c r="F7843">
        <v>1420152</v>
      </c>
      <c r="G7843" t="s">
        <v>2948</v>
      </c>
      <c r="H7843" s="21">
        <v>1068.92</v>
      </c>
    </row>
    <row r="7844" spans="1:8" customFormat="1" x14ac:dyDescent="0.25">
      <c r="A7844" t="str">
        <f>"554134"</f>
        <v>554134</v>
      </c>
      <c r="B7844" t="s">
        <v>7404</v>
      </c>
      <c r="C7844" t="s">
        <v>169</v>
      </c>
      <c r="D7844" s="21" t="s">
        <v>34</v>
      </c>
      <c r="E7844" s="21" t="s">
        <v>71</v>
      </c>
      <c r="F7844">
        <v>6080087</v>
      </c>
      <c r="G7844" t="s">
        <v>7405</v>
      </c>
      <c r="H7844" s="21">
        <v>1068.8</v>
      </c>
    </row>
    <row r="7845" spans="1:8" customFormat="1" x14ac:dyDescent="0.25">
      <c r="A7845" t="str">
        <f>"685432"</f>
        <v>685432</v>
      </c>
      <c r="B7845" t="s">
        <v>3257</v>
      </c>
      <c r="C7845" t="s">
        <v>109</v>
      </c>
      <c r="D7845" s="21" t="s">
        <v>34</v>
      </c>
      <c r="E7845" s="21" t="s">
        <v>35</v>
      </c>
      <c r="F7845">
        <v>6680125</v>
      </c>
      <c r="G7845" t="s">
        <v>6543</v>
      </c>
      <c r="H7845" s="21">
        <v>1068.8</v>
      </c>
    </row>
    <row r="7846" spans="1:8" customFormat="1" x14ac:dyDescent="0.25">
      <c r="A7846" t="str">
        <f>"789198"</f>
        <v>789198</v>
      </c>
      <c r="B7846" t="s">
        <v>8282</v>
      </c>
      <c r="C7846" t="s">
        <v>33</v>
      </c>
      <c r="D7846" s="21" t="s">
        <v>34</v>
      </c>
      <c r="E7846" s="21" t="s">
        <v>35</v>
      </c>
      <c r="F7846">
        <v>8940866</v>
      </c>
      <c r="G7846" t="s">
        <v>519</v>
      </c>
      <c r="H7846" s="21">
        <v>1068.8</v>
      </c>
    </row>
    <row r="7847" spans="1:8" customFormat="1" x14ac:dyDescent="0.25">
      <c r="A7847" t="str">
        <f>"7881955"</f>
        <v>7881955</v>
      </c>
      <c r="B7847" t="s">
        <v>4095</v>
      </c>
      <c r="C7847" t="s">
        <v>169</v>
      </c>
      <c r="D7847" s="21" t="s">
        <v>34</v>
      </c>
      <c r="E7847" s="21" t="s">
        <v>35</v>
      </c>
      <c r="F7847">
        <v>8780080</v>
      </c>
      <c r="G7847" t="s">
        <v>865</v>
      </c>
      <c r="H7847" s="21">
        <v>1068.8</v>
      </c>
    </row>
    <row r="7848" spans="1:8" customFormat="1" x14ac:dyDescent="0.25">
      <c r="A7848" t="str">
        <f>"174019"</f>
        <v>174019</v>
      </c>
      <c r="B7848" t="s">
        <v>9127</v>
      </c>
      <c r="C7848" t="s">
        <v>1914</v>
      </c>
      <c r="D7848" s="21" t="s">
        <v>34</v>
      </c>
      <c r="E7848" s="21" t="s">
        <v>254</v>
      </c>
      <c r="F7848">
        <v>10170031</v>
      </c>
      <c r="G7848" t="s">
        <v>2921</v>
      </c>
      <c r="H7848" s="21">
        <v>1068.67</v>
      </c>
    </row>
    <row r="7849" spans="1:8" customFormat="1" x14ac:dyDescent="0.25">
      <c r="A7849" t="str">
        <f>"809402"</f>
        <v>809402</v>
      </c>
      <c r="B7849" t="s">
        <v>2538</v>
      </c>
      <c r="C7849" t="s">
        <v>98</v>
      </c>
      <c r="D7849" s="21" t="s">
        <v>34</v>
      </c>
      <c r="E7849" s="21" t="s">
        <v>35</v>
      </c>
      <c r="F7849">
        <v>7800062</v>
      </c>
      <c r="G7849" t="s">
        <v>5176</v>
      </c>
      <c r="H7849" s="21">
        <v>1068.67</v>
      </c>
    </row>
    <row r="7850" spans="1:8" customFormat="1" x14ac:dyDescent="0.25">
      <c r="A7850" t="str">
        <f>"4917498"</f>
        <v>4917498</v>
      </c>
      <c r="B7850" t="s">
        <v>8928</v>
      </c>
      <c r="C7850" t="s">
        <v>204</v>
      </c>
      <c r="D7850" s="21" t="s">
        <v>34</v>
      </c>
      <c r="E7850" s="21" t="s">
        <v>35</v>
      </c>
      <c r="F7850">
        <v>12490129</v>
      </c>
      <c r="G7850" t="s">
        <v>7607</v>
      </c>
      <c r="H7850" s="21">
        <v>1068.67</v>
      </c>
    </row>
    <row r="7851" spans="1:8" customFormat="1" x14ac:dyDescent="0.25">
      <c r="A7851" t="str">
        <f>"597068"</f>
        <v>597068</v>
      </c>
      <c r="B7851" t="s">
        <v>7628</v>
      </c>
      <c r="C7851" t="s">
        <v>2479</v>
      </c>
      <c r="D7851" s="21" t="s">
        <v>34</v>
      </c>
      <c r="E7851" s="21" t="s">
        <v>254</v>
      </c>
      <c r="F7851">
        <v>7590331</v>
      </c>
      <c r="G7851" t="s">
        <v>4882</v>
      </c>
      <c r="H7851" s="21">
        <v>1068.67</v>
      </c>
    </row>
    <row r="7852" spans="1:8" customFormat="1" x14ac:dyDescent="0.25">
      <c r="A7852" t="str">
        <f>"857409"</f>
        <v>857409</v>
      </c>
      <c r="B7852" t="s">
        <v>9413</v>
      </c>
      <c r="C7852" t="s">
        <v>1605</v>
      </c>
      <c r="D7852" s="21" t="s">
        <v>34</v>
      </c>
      <c r="E7852" s="21" t="s">
        <v>35</v>
      </c>
      <c r="F7852">
        <v>12850154</v>
      </c>
      <c r="G7852" t="s">
        <v>7078</v>
      </c>
      <c r="H7852" s="21">
        <v>1068.67</v>
      </c>
    </row>
    <row r="7853" spans="1:8" customFormat="1" x14ac:dyDescent="0.25">
      <c r="A7853" t="str">
        <f>"5321823"</f>
        <v>5321823</v>
      </c>
      <c r="B7853" t="s">
        <v>7283</v>
      </c>
      <c r="C7853" t="s">
        <v>1359</v>
      </c>
      <c r="D7853" s="21" t="s">
        <v>34</v>
      </c>
      <c r="E7853" s="21" t="s">
        <v>35</v>
      </c>
      <c r="F7853">
        <v>12530035</v>
      </c>
      <c r="G7853" t="s">
        <v>1663</v>
      </c>
      <c r="H7853" s="21">
        <v>1068.67</v>
      </c>
    </row>
    <row r="7854" spans="1:8" customFormat="1" x14ac:dyDescent="0.25">
      <c r="A7854" t="str">
        <f>"4112758"</f>
        <v>4112758</v>
      </c>
      <c r="B7854" t="s">
        <v>9400</v>
      </c>
      <c r="C7854" t="s">
        <v>90</v>
      </c>
      <c r="D7854" s="21" t="s">
        <v>34</v>
      </c>
      <c r="E7854" s="21" t="s">
        <v>35</v>
      </c>
      <c r="F7854">
        <v>4410083</v>
      </c>
      <c r="G7854" t="s">
        <v>2333</v>
      </c>
      <c r="H7854" s="21">
        <v>1068.67</v>
      </c>
    </row>
    <row r="7855" spans="1:8" customFormat="1" x14ac:dyDescent="0.25">
      <c r="A7855" t="str">
        <f>"0249"</f>
        <v>0249</v>
      </c>
      <c r="B7855" t="s">
        <v>7267</v>
      </c>
      <c r="C7855" t="s">
        <v>598</v>
      </c>
      <c r="D7855" s="21" t="s">
        <v>34</v>
      </c>
      <c r="E7855" s="21" t="s">
        <v>71</v>
      </c>
      <c r="F7855">
        <v>7020003</v>
      </c>
      <c r="G7855" t="s">
        <v>7268</v>
      </c>
      <c r="H7855" s="21">
        <v>1068.67</v>
      </c>
    </row>
    <row r="7856" spans="1:8" customFormat="1" x14ac:dyDescent="0.25">
      <c r="A7856" t="str">
        <f>"167723"</f>
        <v>167723</v>
      </c>
      <c r="B7856" t="s">
        <v>7527</v>
      </c>
      <c r="C7856" t="s">
        <v>1605</v>
      </c>
      <c r="D7856" s="21" t="s">
        <v>34</v>
      </c>
      <c r="E7856" s="21" t="s">
        <v>254</v>
      </c>
      <c r="F7856">
        <v>10160024</v>
      </c>
      <c r="G7856" t="s">
        <v>511</v>
      </c>
      <c r="H7856" s="21">
        <v>1068.67</v>
      </c>
    </row>
    <row r="7857" spans="1:8" customFormat="1" x14ac:dyDescent="0.25">
      <c r="A7857" t="str">
        <f>"921670"</f>
        <v>921670</v>
      </c>
      <c r="B7857" t="s">
        <v>7386</v>
      </c>
      <c r="C7857" t="s">
        <v>209</v>
      </c>
      <c r="D7857" s="21" t="s">
        <v>34</v>
      </c>
      <c r="E7857" s="21" t="s">
        <v>254</v>
      </c>
      <c r="F7857">
        <v>8920031</v>
      </c>
      <c r="G7857" t="s">
        <v>552</v>
      </c>
      <c r="H7857" s="21">
        <v>1068.67</v>
      </c>
    </row>
    <row r="7858" spans="1:8" customFormat="1" x14ac:dyDescent="0.25">
      <c r="A7858" t="str">
        <f>"608103"</f>
        <v>608103</v>
      </c>
      <c r="B7858" t="s">
        <v>7008</v>
      </c>
      <c r="C7858" t="s">
        <v>58</v>
      </c>
      <c r="D7858" s="21" t="s">
        <v>34</v>
      </c>
      <c r="E7858" s="21" t="s">
        <v>35</v>
      </c>
      <c r="F7858">
        <v>8950119</v>
      </c>
      <c r="G7858" t="s">
        <v>8174</v>
      </c>
      <c r="H7858" s="21">
        <v>1068.67</v>
      </c>
    </row>
    <row r="7859" spans="1:8" customFormat="1" x14ac:dyDescent="0.25">
      <c r="A7859" t="str">
        <f>"939527"</f>
        <v>939527</v>
      </c>
      <c r="B7859" t="s">
        <v>7466</v>
      </c>
      <c r="C7859" t="s">
        <v>87</v>
      </c>
      <c r="D7859" s="21" t="s">
        <v>34</v>
      </c>
      <c r="E7859" s="21" t="s">
        <v>71</v>
      </c>
      <c r="F7859">
        <v>7800004</v>
      </c>
      <c r="G7859" t="s">
        <v>748</v>
      </c>
      <c r="H7859" s="21">
        <v>1068.67</v>
      </c>
    </row>
    <row r="7860" spans="1:8" customFormat="1" x14ac:dyDescent="0.25">
      <c r="A7860" t="str">
        <f>"537745"</f>
        <v>537745</v>
      </c>
      <c r="B7860" t="s">
        <v>9005</v>
      </c>
      <c r="C7860" t="s">
        <v>2301</v>
      </c>
      <c r="D7860" s="21" t="s">
        <v>34</v>
      </c>
      <c r="E7860" s="21" t="s">
        <v>71</v>
      </c>
      <c r="F7860">
        <v>12530035</v>
      </c>
      <c r="G7860" t="s">
        <v>1663</v>
      </c>
      <c r="H7860" s="21">
        <v>1068.67</v>
      </c>
    </row>
    <row r="7861" spans="1:8" customFormat="1" x14ac:dyDescent="0.25">
      <c r="A7861" t="str">
        <f>"322834"</f>
        <v>322834</v>
      </c>
      <c r="B7861" t="s">
        <v>6781</v>
      </c>
      <c r="C7861" t="s">
        <v>1142</v>
      </c>
      <c r="D7861" s="21" t="s">
        <v>34</v>
      </c>
      <c r="E7861" s="21" t="s">
        <v>35</v>
      </c>
      <c r="F7861">
        <v>11320027</v>
      </c>
      <c r="G7861" t="s">
        <v>8305</v>
      </c>
      <c r="H7861" s="21">
        <v>1068.67</v>
      </c>
    </row>
    <row r="7862" spans="1:8" customFormat="1" x14ac:dyDescent="0.25">
      <c r="A7862" t="str">
        <f>"7627577"</f>
        <v>7627577</v>
      </c>
      <c r="B7862" t="s">
        <v>8905</v>
      </c>
      <c r="C7862" t="s">
        <v>206</v>
      </c>
      <c r="D7862" s="21" t="s">
        <v>34</v>
      </c>
      <c r="E7862" s="21" t="s">
        <v>35</v>
      </c>
      <c r="F7862">
        <v>9760425</v>
      </c>
      <c r="G7862" t="s">
        <v>5012</v>
      </c>
      <c r="H7862" s="21">
        <v>1068.67</v>
      </c>
    </row>
    <row r="7863" spans="1:8" customFormat="1" x14ac:dyDescent="0.25">
      <c r="A7863" t="str">
        <f>"738709"</f>
        <v>738709</v>
      </c>
      <c r="B7863" t="s">
        <v>2854</v>
      </c>
      <c r="C7863" t="s">
        <v>209</v>
      </c>
      <c r="D7863" s="21" t="s">
        <v>34</v>
      </c>
      <c r="E7863" s="21" t="s">
        <v>35</v>
      </c>
      <c r="F7863">
        <v>1730076</v>
      </c>
      <c r="G7863" t="s">
        <v>936</v>
      </c>
      <c r="H7863" s="21">
        <v>1068.67</v>
      </c>
    </row>
    <row r="7864" spans="1:8" customFormat="1" x14ac:dyDescent="0.25">
      <c r="A7864" t="str">
        <f>"7835578"</f>
        <v>7835578</v>
      </c>
      <c r="B7864" t="s">
        <v>8161</v>
      </c>
      <c r="C7864" t="s">
        <v>412</v>
      </c>
      <c r="D7864" s="21" t="s">
        <v>34</v>
      </c>
      <c r="E7864" s="21" t="s">
        <v>71</v>
      </c>
      <c r="F7864">
        <v>8780585</v>
      </c>
      <c r="G7864" t="s">
        <v>4630</v>
      </c>
      <c r="H7864" s="21">
        <v>1068.67</v>
      </c>
    </row>
    <row r="7865" spans="1:8" customFormat="1" x14ac:dyDescent="0.25">
      <c r="A7865" t="str">
        <f>"2932716"</f>
        <v>2932716</v>
      </c>
      <c r="B7865" t="s">
        <v>10216</v>
      </c>
      <c r="C7865" t="s">
        <v>10217</v>
      </c>
      <c r="D7865" s="21" t="s">
        <v>34</v>
      </c>
      <c r="E7865" s="21" t="s">
        <v>35</v>
      </c>
      <c r="F7865">
        <v>3290200</v>
      </c>
      <c r="G7865" t="s">
        <v>3488</v>
      </c>
      <c r="H7865" s="21">
        <v>1068.54</v>
      </c>
    </row>
    <row r="7866" spans="1:8" customFormat="1" x14ac:dyDescent="0.25">
      <c r="A7866" t="str">
        <f>"4920031"</f>
        <v>4920031</v>
      </c>
      <c r="B7866" t="s">
        <v>8634</v>
      </c>
      <c r="C7866" t="s">
        <v>2907</v>
      </c>
      <c r="D7866" s="21" t="s">
        <v>34</v>
      </c>
      <c r="E7866" s="21" t="s">
        <v>71</v>
      </c>
      <c r="F7866">
        <v>12490014</v>
      </c>
      <c r="G7866" t="s">
        <v>8547</v>
      </c>
      <c r="H7866" s="21">
        <v>1068.42</v>
      </c>
    </row>
    <row r="7867" spans="1:8" customFormat="1" x14ac:dyDescent="0.25">
      <c r="A7867" t="str">
        <f>"8816452"</f>
        <v>8816452</v>
      </c>
      <c r="B7867" t="s">
        <v>882</v>
      </c>
      <c r="C7867" t="s">
        <v>249</v>
      </c>
      <c r="D7867" s="21" t="s">
        <v>34</v>
      </c>
      <c r="E7867" s="21" t="s">
        <v>254</v>
      </c>
      <c r="F7867">
        <v>6880002</v>
      </c>
      <c r="G7867" t="s">
        <v>501</v>
      </c>
      <c r="H7867" s="21">
        <v>1068.29</v>
      </c>
    </row>
    <row r="7868" spans="1:8" customFormat="1" x14ac:dyDescent="0.25">
      <c r="A7868" t="str">
        <f>"081165"</f>
        <v>081165</v>
      </c>
      <c r="B7868" t="s">
        <v>9016</v>
      </c>
      <c r="C7868" t="s">
        <v>267</v>
      </c>
      <c r="D7868" s="21" t="s">
        <v>34</v>
      </c>
      <c r="E7868" s="21" t="s">
        <v>254</v>
      </c>
      <c r="F7868">
        <v>6080014</v>
      </c>
      <c r="G7868" t="s">
        <v>1272</v>
      </c>
      <c r="H7868" s="21">
        <v>1068.17</v>
      </c>
    </row>
    <row r="7869" spans="1:8" customFormat="1" x14ac:dyDescent="0.25">
      <c r="A7869" t="str">
        <f>"639629"</f>
        <v>639629</v>
      </c>
      <c r="B7869" t="s">
        <v>8283</v>
      </c>
      <c r="C7869" t="s">
        <v>236</v>
      </c>
      <c r="D7869" s="21" t="s">
        <v>34</v>
      </c>
      <c r="E7869" s="21" t="s">
        <v>35</v>
      </c>
      <c r="F7869">
        <v>1420237</v>
      </c>
      <c r="G7869" t="s">
        <v>8284</v>
      </c>
      <c r="H7869" s="21">
        <v>1068.17</v>
      </c>
    </row>
    <row r="7870" spans="1:8" customFormat="1" x14ac:dyDescent="0.25">
      <c r="A7870" t="str">
        <f>"808547"</f>
        <v>808547</v>
      </c>
      <c r="B7870" t="s">
        <v>392</v>
      </c>
      <c r="C7870" t="s">
        <v>9057</v>
      </c>
      <c r="D7870" s="21" t="s">
        <v>34</v>
      </c>
      <c r="E7870" s="21" t="s">
        <v>71</v>
      </c>
      <c r="F7870">
        <v>7800128</v>
      </c>
      <c r="G7870" t="s">
        <v>3147</v>
      </c>
      <c r="H7870" s="21">
        <v>1068.17</v>
      </c>
    </row>
    <row r="7871" spans="1:8" customFormat="1" x14ac:dyDescent="0.25">
      <c r="A7871" t="str">
        <f>"783110"</f>
        <v>783110</v>
      </c>
      <c r="B7871" t="s">
        <v>7513</v>
      </c>
      <c r="C7871" t="s">
        <v>598</v>
      </c>
      <c r="D7871" s="21" t="s">
        <v>34</v>
      </c>
      <c r="E7871" s="21" t="s">
        <v>71</v>
      </c>
      <c r="F7871">
        <v>8780080</v>
      </c>
      <c r="G7871" t="s">
        <v>865</v>
      </c>
      <c r="H7871" s="21">
        <v>1068.17</v>
      </c>
    </row>
    <row r="7872" spans="1:8" customFormat="1" x14ac:dyDescent="0.25">
      <c r="A7872" t="str">
        <f>"691674"</f>
        <v>691674</v>
      </c>
      <c r="B7872" t="s">
        <v>7419</v>
      </c>
      <c r="C7872" t="s">
        <v>1110</v>
      </c>
      <c r="D7872" s="21" t="s">
        <v>34</v>
      </c>
      <c r="E7872" s="21" t="s">
        <v>254</v>
      </c>
      <c r="F7872">
        <v>1690076</v>
      </c>
      <c r="G7872" t="s">
        <v>4049</v>
      </c>
      <c r="H7872" s="21">
        <v>1068.17</v>
      </c>
    </row>
    <row r="7873" spans="1:8" customFormat="1" x14ac:dyDescent="0.25">
      <c r="A7873" t="str">
        <f>"51499"</f>
        <v>51499</v>
      </c>
      <c r="B7873" t="s">
        <v>437</v>
      </c>
      <c r="C7873" t="s">
        <v>109</v>
      </c>
      <c r="D7873" s="21" t="s">
        <v>34</v>
      </c>
      <c r="E7873" s="21" t="s">
        <v>71</v>
      </c>
      <c r="F7873">
        <v>6510029</v>
      </c>
      <c r="G7873" t="s">
        <v>1879</v>
      </c>
      <c r="H7873" s="21">
        <v>1068.17</v>
      </c>
    </row>
    <row r="7874" spans="1:8" customFormat="1" x14ac:dyDescent="0.25">
      <c r="A7874" t="str">
        <f>"4515968"</f>
        <v>4515968</v>
      </c>
      <c r="B7874" t="s">
        <v>565</v>
      </c>
      <c r="C7874" t="s">
        <v>249</v>
      </c>
      <c r="D7874" s="21" t="s">
        <v>34</v>
      </c>
      <c r="E7874" s="21" t="s">
        <v>71</v>
      </c>
      <c r="F7874">
        <v>4450759</v>
      </c>
      <c r="G7874" t="s">
        <v>6587</v>
      </c>
      <c r="H7874" s="21">
        <v>1068.17</v>
      </c>
    </row>
    <row r="7875" spans="1:8" customFormat="1" x14ac:dyDescent="0.25">
      <c r="A7875" t="str">
        <f>"312428"</f>
        <v>312428</v>
      </c>
      <c r="B7875" t="s">
        <v>7280</v>
      </c>
      <c r="C7875" t="s">
        <v>198</v>
      </c>
      <c r="D7875" s="21" t="s">
        <v>34</v>
      </c>
      <c r="E7875" s="21" t="s">
        <v>35</v>
      </c>
      <c r="F7875">
        <v>11310129</v>
      </c>
      <c r="G7875" t="s">
        <v>4672</v>
      </c>
      <c r="H7875" s="21">
        <v>1068.17</v>
      </c>
    </row>
    <row r="7876" spans="1:8" customFormat="1" x14ac:dyDescent="0.25">
      <c r="A7876" t="str">
        <f>"032419"</f>
        <v>032419</v>
      </c>
      <c r="B7876" t="s">
        <v>7797</v>
      </c>
      <c r="C7876" t="s">
        <v>109</v>
      </c>
      <c r="D7876" s="21" t="s">
        <v>34</v>
      </c>
      <c r="E7876" s="21" t="s">
        <v>71</v>
      </c>
      <c r="F7876">
        <v>1030042</v>
      </c>
      <c r="G7876" t="s">
        <v>7798</v>
      </c>
      <c r="H7876" s="21">
        <v>1068.17</v>
      </c>
    </row>
    <row r="7877" spans="1:8" customFormat="1" x14ac:dyDescent="0.25">
      <c r="A7877" t="str">
        <f>"2927250"</f>
        <v>2927250</v>
      </c>
      <c r="B7877" t="s">
        <v>7544</v>
      </c>
      <c r="C7877" t="s">
        <v>1597</v>
      </c>
      <c r="D7877" s="21" t="s">
        <v>34</v>
      </c>
      <c r="E7877" s="21" t="s">
        <v>71</v>
      </c>
      <c r="F7877">
        <v>3290019</v>
      </c>
      <c r="G7877" t="s">
        <v>4452</v>
      </c>
      <c r="H7877" s="21">
        <v>1068.17</v>
      </c>
    </row>
    <row r="7878" spans="1:8" customFormat="1" x14ac:dyDescent="0.25">
      <c r="A7878" t="str">
        <f>"1611282"</f>
        <v>1611282</v>
      </c>
      <c r="B7878" t="s">
        <v>8817</v>
      </c>
      <c r="C7878" t="s">
        <v>598</v>
      </c>
      <c r="D7878" s="21" t="s">
        <v>34</v>
      </c>
      <c r="E7878" s="21" t="s">
        <v>71</v>
      </c>
      <c r="F7878">
        <v>10160237</v>
      </c>
      <c r="G7878" t="s">
        <v>8818</v>
      </c>
      <c r="H7878" s="21">
        <v>1068.17</v>
      </c>
    </row>
    <row r="7879" spans="1:8" customFormat="1" x14ac:dyDescent="0.25">
      <c r="A7879" t="str">
        <f>"4415481"</f>
        <v>4415481</v>
      </c>
      <c r="B7879" t="s">
        <v>8691</v>
      </c>
      <c r="C7879" t="s">
        <v>65</v>
      </c>
      <c r="D7879" s="21" t="s">
        <v>34</v>
      </c>
      <c r="E7879" s="21" t="s">
        <v>35</v>
      </c>
      <c r="F7879">
        <v>12440142</v>
      </c>
      <c r="G7879" t="s">
        <v>3285</v>
      </c>
      <c r="H7879" s="21">
        <v>1068.17</v>
      </c>
    </row>
    <row r="7880" spans="1:8" customFormat="1" x14ac:dyDescent="0.25">
      <c r="A7880" t="str">
        <f>"599681"</f>
        <v>599681</v>
      </c>
      <c r="B7880" t="s">
        <v>8233</v>
      </c>
      <c r="C7880" t="s">
        <v>608</v>
      </c>
      <c r="D7880" s="21" t="s">
        <v>34</v>
      </c>
      <c r="E7880" s="21" t="s">
        <v>35</v>
      </c>
      <c r="F7880">
        <v>7590065</v>
      </c>
      <c r="G7880" t="s">
        <v>1598</v>
      </c>
      <c r="H7880" s="21">
        <v>1068.17</v>
      </c>
    </row>
    <row r="7881" spans="1:8" customFormat="1" x14ac:dyDescent="0.25">
      <c r="A7881" t="str">
        <f>"4427963"</f>
        <v>4427963</v>
      </c>
      <c r="B7881" t="s">
        <v>27013</v>
      </c>
      <c r="C7881" t="s">
        <v>11233</v>
      </c>
      <c r="D7881" s="21" t="s">
        <v>34</v>
      </c>
      <c r="E7881" s="21" t="s">
        <v>35</v>
      </c>
      <c r="F7881">
        <v>12440049</v>
      </c>
      <c r="G7881" t="s">
        <v>3339</v>
      </c>
      <c r="H7881" s="21">
        <v>1068.06</v>
      </c>
    </row>
    <row r="7882" spans="1:8" customFormat="1" x14ac:dyDescent="0.25">
      <c r="A7882" t="str">
        <f>"5957036"</f>
        <v>5957036</v>
      </c>
      <c r="B7882" t="s">
        <v>7427</v>
      </c>
      <c r="C7882" t="s">
        <v>82</v>
      </c>
      <c r="D7882" s="21" t="s">
        <v>34</v>
      </c>
      <c r="E7882" s="21" t="s">
        <v>35</v>
      </c>
      <c r="F7882">
        <v>7590164</v>
      </c>
      <c r="G7882" t="s">
        <v>2451</v>
      </c>
      <c r="H7882" s="21">
        <v>1067.8</v>
      </c>
    </row>
    <row r="7883" spans="1:8" customFormat="1" x14ac:dyDescent="0.25">
      <c r="A7883" t="str">
        <f>"844475"</f>
        <v>844475</v>
      </c>
      <c r="B7883" t="s">
        <v>8610</v>
      </c>
      <c r="C7883" t="s">
        <v>267</v>
      </c>
      <c r="D7883" s="21" t="s">
        <v>34</v>
      </c>
      <c r="E7883" s="21" t="s">
        <v>35</v>
      </c>
      <c r="F7883">
        <v>13840004</v>
      </c>
      <c r="G7883" t="s">
        <v>8611</v>
      </c>
      <c r="H7883" s="21">
        <v>1067.8</v>
      </c>
    </row>
    <row r="7884" spans="1:8" customFormat="1" x14ac:dyDescent="0.25">
      <c r="A7884" t="str">
        <f>"831856"</f>
        <v>831856</v>
      </c>
      <c r="B7884" t="s">
        <v>8308</v>
      </c>
      <c r="C7884" t="s">
        <v>109</v>
      </c>
      <c r="D7884" s="21" t="s">
        <v>34</v>
      </c>
      <c r="E7884" s="21" t="s">
        <v>35</v>
      </c>
      <c r="F7884">
        <v>13830035</v>
      </c>
      <c r="G7884" t="s">
        <v>8309</v>
      </c>
      <c r="H7884" s="21">
        <v>1067.68</v>
      </c>
    </row>
    <row r="7885" spans="1:8" customFormat="1" x14ac:dyDescent="0.25">
      <c r="A7885" t="str">
        <f>"44348"</f>
        <v>44348</v>
      </c>
      <c r="B7885" t="s">
        <v>7858</v>
      </c>
      <c r="C7885" t="s">
        <v>4842</v>
      </c>
      <c r="D7885" s="21" t="s">
        <v>34</v>
      </c>
      <c r="E7885" s="21" t="s">
        <v>6185</v>
      </c>
      <c r="F7885">
        <v>12440012</v>
      </c>
      <c r="G7885" t="s">
        <v>807</v>
      </c>
      <c r="H7885" s="21">
        <v>1067.67</v>
      </c>
    </row>
    <row r="7886" spans="1:8" customFormat="1" x14ac:dyDescent="0.25">
      <c r="A7886" t="str">
        <f>"187989"</f>
        <v>187989</v>
      </c>
      <c r="B7886" t="s">
        <v>8665</v>
      </c>
      <c r="C7886" t="s">
        <v>263</v>
      </c>
      <c r="D7886" s="21" t="s">
        <v>34</v>
      </c>
      <c r="E7886" s="21" t="s">
        <v>35</v>
      </c>
      <c r="F7886">
        <v>4180711</v>
      </c>
      <c r="G7886" t="s">
        <v>13350</v>
      </c>
      <c r="H7886" s="21">
        <v>1067.67</v>
      </c>
    </row>
    <row r="7887" spans="1:8" customFormat="1" x14ac:dyDescent="0.25">
      <c r="A7887" t="str">
        <f>"5916959"</f>
        <v>5916959</v>
      </c>
      <c r="B7887" t="s">
        <v>27014</v>
      </c>
      <c r="C7887" t="s">
        <v>109</v>
      </c>
      <c r="D7887" s="21" t="s">
        <v>34</v>
      </c>
      <c r="E7887" s="21" t="s">
        <v>35</v>
      </c>
      <c r="F7887">
        <v>7590338</v>
      </c>
      <c r="G7887" t="s">
        <v>682</v>
      </c>
      <c r="H7887" s="21">
        <v>1067.67</v>
      </c>
    </row>
    <row r="7888" spans="1:8" customFormat="1" x14ac:dyDescent="0.25">
      <c r="A7888" t="str">
        <f>"85806"</f>
        <v>85806</v>
      </c>
      <c r="B7888" t="s">
        <v>9000</v>
      </c>
      <c r="C7888" t="s">
        <v>2100</v>
      </c>
      <c r="D7888" s="21" t="s">
        <v>34</v>
      </c>
      <c r="E7888" s="21" t="s">
        <v>71</v>
      </c>
      <c r="F7888">
        <v>12850023</v>
      </c>
      <c r="G7888" t="s">
        <v>3121</v>
      </c>
      <c r="H7888" s="21">
        <v>1067.67</v>
      </c>
    </row>
    <row r="7889" spans="1:8" customFormat="1" x14ac:dyDescent="0.25">
      <c r="A7889" t="str">
        <f>"2110288"</f>
        <v>2110288</v>
      </c>
      <c r="B7889" t="s">
        <v>1908</v>
      </c>
      <c r="C7889" t="s">
        <v>1782</v>
      </c>
      <c r="D7889" s="21" t="s">
        <v>34</v>
      </c>
      <c r="E7889" s="21" t="s">
        <v>71</v>
      </c>
      <c r="F7889">
        <v>2210101</v>
      </c>
      <c r="G7889" t="s">
        <v>1374</v>
      </c>
      <c r="H7889" s="21">
        <v>1067.67</v>
      </c>
    </row>
    <row r="7890" spans="1:8" customFormat="1" x14ac:dyDescent="0.25">
      <c r="A7890" t="str">
        <f>"9526114"</f>
        <v>9526114</v>
      </c>
      <c r="B7890" t="s">
        <v>27015</v>
      </c>
      <c r="C7890" t="s">
        <v>267</v>
      </c>
      <c r="D7890" s="21" t="s">
        <v>34</v>
      </c>
      <c r="E7890" s="21" t="s">
        <v>35</v>
      </c>
      <c r="F7890">
        <v>8950119</v>
      </c>
      <c r="G7890" t="s">
        <v>8174</v>
      </c>
      <c r="H7890" s="21">
        <v>1067.67</v>
      </c>
    </row>
    <row r="7891" spans="1:8" customFormat="1" x14ac:dyDescent="0.25">
      <c r="A7891" t="str">
        <f>"764173"</f>
        <v>764173</v>
      </c>
      <c r="B7891" t="s">
        <v>7953</v>
      </c>
      <c r="C7891" t="s">
        <v>2072</v>
      </c>
      <c r="D7891" s="21" t="s">
        <v>34</v>
      </c>
      <c r="E7891" s="21" t="s">
        <v>71</v>
      </c>
      <c r="F7891">
        <v>9760168</v>
      </c>
      <c r="G7891" t="s">
        <v>179</v>
      </c>
      <c r="H7891" s="21">
        <v>1067.67</v>
      </c>
    </row>
    <row r="7892" spans="1:8" customFormat="1" x14ac:dyDescent="0.25">
      <c r="A7892" t="str">
        <f>"2772"</f>
        <v>2772</v>
      </c>
      <c r="B7892" t="s">
        <v>1301</v>
      </c>
      <c r="C7892" t="s">
        <v>269</v>
      </c>
      <c r="D7892" s="21" t="s">
        <v>34</v>
      </c>
      <c r="E7892" s="21" t="s">
        <v>71</v>
      </c>
      <c r="F7892">
        <v>9270005</v>
      </c>
      <c r="G7892" t="s">
        <v>1255</v>
      </c>
      <c r="H7892" s="21">
        <v>1067.67</v>
      </c>
    </row>
    <row r="7893" spans="1:8" customFormat="1" x14ac:dyDescent="0.25">
      <c r="A7893" t="str">
        <f>"7815202"</f>
        <v>7815202</v>
      </c>
      <c r="B7893" t="s">
        <v>7874</v>
      </c>
      <c r="C7893" t="s">
        <v>253</v>
      </c>
      <c r="D7893" s="21" t="s">
        <v>34</v>
      </c>
      <c r="E7893" s="21" t="s">
        <v>254</v>
      </c>
      <c r="F7893">
        <v>8781094</v>
      </c>
      <c r="G7893" t="s">
        <v>7875</v>
      </c>
      <c r="H7893" s="21">
        <v>1067.67</v>
      </c>
    </row>
    <row r="7894" spans="1:8" customFormat="1" x14ac:dyDescent="0.25">
      <c r="A7894" t="str">
        <f>"386742"</f>
        <v>386742</v>
      </c>
      <c r="B7894" t="s">
        <v>8570</v>
      </c>
      <c r="C7894" t="s">
        <v>484</v>
      </c>
      <c r="D7894" s="21" t="s">
        <v>34</v>
      </c>
      <c r="E7894" s="21" t="s">
        <v>35</v>
      </c>
      <c r="F7894">
        <v>1380045</v>
      </c>
      <c r="G7894" t="s">
        <v>2114</v>
      </c>
      <c r="H7894" s="21">
        <v>1067.67</v>
      </c>
    </row>
    <row r="7895" spans="1:8" customFormat="1" x14ac:dyDescent="0.25">
      <c r="A7895" t="str">
        <f>"5920849"</f>
        <v>5920849</v>
      </c>
      <c r="B7895" t="s">
        <v>979</v>
      </c>
      <c r="C7895" t="s">
        <v>62</v>
      </c>
      <c r="D7895" s="21" t="s">
        <v>34</v>
      </c>
      <c r="E7895" s="21" t="s">
        <v>35</v>
      </c>
      <c r="F7895">
        <v>7590263</v>
      </c>
      <c r="G7895" t="s">
        <v>895</v>
      </c>
      <c r="H7895" s="21">
        <v>1067.67</v>
      </c>
    </row>
    <row r="7896" spans="1:8" customFormat="1" x14ac:dyDescent="0.25">
      <c r="A7896" t="str">
        <f>"5321921"</f>
        <v>5321921</v>
      </c>
      <c r="B7896" t="s">
        <v>22500</v>
      </c>
      <c r="C7896" t="s">
        <v>288</v>
      </c>
      <c r="D7896" s="21" t="s">
        <v>34</v>
      </c>
      <c r="E7896" s="21" t="s">
        <v>35</v>
      </c>
      <c r="F7896">
        <v>12530070</v>
      </c>
      <c r="G7896" t="s">
        <v>4905</v>
      </c>
      <c r="H7896" s="21">
        <v>1067.67</v>
      </c>
    </row>
    <row r="7897" spans="1:8" customFormat="1" x14ac:dyDescent="0.25">
      <c r="A7897" t="str">
        <f>"6926412"</f>
        <v>6926412</v>
      </c>
      <c r="B7897" t="s">
        <v>8988</v>
      </c>
      <c r="C7897" t="s">
        <v>253</v>
      </c>
      <c r="D7897" s="21" t="s">
        <v>34</v>
      </c>
      <c r="E7897" s="21" t="s">
        <v>254</v>
      </c>
      <c r="F7897">
        <v>1690160</v>
      </c>
      <c r="G7897" t="s">
        <v>4599</v>
      </c>
      <c r="H7897" s="21">
        <v>1067.67</v>
      </c>
    </row>
    <row r="7898" spans="1:8" customFormat="1" x14ac:dyDescent="0.25">
      <c r="A7898" t="str">
        <f>"64912"</f>
        <v>64912</v>
      </c>
      <c r="B7898" t="s">
        <v>7759</v>
      </c>
      <c r="C7898" t="s">
        <v>4721</v>
      </c>
      <c r="D7898" s="21" t="s">
        <v>34</v>
      </c>
      <c r="E7898" s="21" t="s">
        <v>1089</v>
      </c>
      <c r="F7898">
        <v>10640008</v>
      </c>
      <c r="G7898" t="s">
        <v>1694</v>
      </c>
      <c r="H7898" s="21">
        <v>1067.67</v>
      </c>
    </row>
    <row r="7899" spans="1:8" customFormat="1" x14ac:dyDescent="0.25">
      <c r="A7899" t="str">
        <f>"6711883"</f>
        <v>6711883</v>
      </c>
      <c r="B7899" t="s">
        <v>27016</v>
      </c>
      <c r="C7899" t="s">
        <v>62</v>
      </c>
      <c r="D7899" s="21" t="s">
        <v>34</v>
      </c>
      <c r="E7899" s="21" t="s">
        <v>35</v>
      </c>
      <c r="F7899">
        <v>6670201</v>
      </c>
      <c r="G7899" t="s">
        <v>8483</v>
      </c>
      <c r="H7899" s="21">
        <v>1067.67</v>
      </c>
    </row>
    <row r="7900" spans="1:8" customFormat="1" x14ac:dyDescent="0.25">
      <c r="A7900" t="str">
        <f>"6217954"</f>
        <v>6217954</v>
      </c>
      <c r="B7900" t="s">
        <v>2985</v>
      </c>
      <c r="C7900" t="s">
        <v>239</v>
      </c>
      <c r="D7900" s="21" t="s">
        <v>34</v>
      </c>
      <c r="E7900" s="21" t="s">
        <v>71</v>
      </c>
      <c r="F7900">
        <v>7620063</v>
      </c>
      <c r="G7900" t="s">
        <v>1889</v>
      </c>
      <c r="H7900" s="21">
        <v>1067.67</v>
      </c>
    </row>
    <row r="7901" spans="1:8" customFormat="1" x14ac:dyDescent="0.25">
      <c r="A7901" t="str">
        <f>"902263"</f>
        <v>902263</v>
      </c>
      <c r="B7901" t="s">
        <v>597</v>
      </c>
      <c r="C7901" t="s">
        <v>267</v>
      </c>
      <c r="D7901" s="21" t="s">
        <v>34</v>
      </c>
      <c r="E7901" s="21" t="s">
        <v>71</v>
      </c>
      <c r="F7901">
        <v>2900042</v>
      </c>
      <c r="G7901" t="s">
        <v>7866</v>
      </c>
      <c r="H7901" s="21">
        <v>1067.55</v>
      </c>
    </row>
    <row r="7902" spans="1:8" customFormat="1" x14ac:dyDescent="0.25">
      <c r="A7902" t="str">
        <f>"5942304"</f>
        <v>5942304</v>
      </c>
      <c r="B7902" t="s">
        <v>6368</v>
      </c>
      <c r="C7902" t="s">
        <v>187</v>
      </c>
      <c r="D7902" s="21" t="s">
        <v>34</v>
      </c>
      <c r="E7902" s="21" t="s">
        <v>254</v>
      </c>
      <c r="F7902">
        <v>7590425</v>
      </c>
      <c r="G7902" t="s">
        <v>12493</v>
      </c>
      <c r="H7902" s="21">
        <v>1067.42</v>
      </c>
    </row>
    <row r="7903" spans="1:8" customFormat="1" x14ac:dyDescent="0.25">
      <c r="A7903" t="str">
        <f>"4428328"</f>
        <v>4428328</v>
      </c>
      <c r="B7903" t="s">
        <v>8195</v>
      </c>
      <c r="C7903" t="s">
        <v>249</v>
      </c>
      <c r="D7903" s="21" t="s">
        <v>34</v>
      </c>
      <c r="E7903" s="21" t="s">
        <v>35</v>
      </c>
      <c r="F7903">
        <v>12440093</v>
      </c>
      <c r="G7903" t="s">
        <v>10627</v>
      </c>
      <c r="H7903" s="21">
        <v>1067.25</v>
      </c>
    </row>
    <row r="7904" spans="1:8" customFormat="1" x14ac:dyDescent="0.25">
      <c r="A7904" t="str">
        <f>"7620525"</f>
        <v>7620525</v>
      </c>
      <c r="B7904" t="s">
        <v>7286</v>
      </c>
      <c r="C7904" t="s">
        <v>3323</v>
      </c>
      <c r="D7904" s="21" t="s">
        <v>34</v>
      </c>
      <c r="E7904" s="21" t="s">
        <v>71</v>
      </c>
      <c r="F7904">
        <v>9760007</v>
      </c>
      <c r="G7904" t="s">
        <v>7255</v>
      </c>
      <c r="H7904" s="21">
        <v>1067.17</v>
      </c>
    </row>
    <row r="7905" spans="1:8" customFormat="1" x14ac:dyDescent="0.25">
      <c r="A7905" t="str">
        <f>"022581"</f>
        <v>022581</v>
      </c>
      <c r="B7905" t="s">
        <v>27017</v>
      </c>
      <c r="C7905" t="s">
        <v>576</v>
      </c>
      <c r="D7905" s="21" t="s">
        <v>34</v>
      </c>
      <c r="E7905" s="21" t="s">
        <v>35</v>
      </c>
      <c r="F7905">
        <v>7020014</v>
      </c>
      <c r="G7905" t="s">
        <v>10400</v>
      </c>
      <c r="H7905" s="21">
        <v>1067.17</v>
      </c>
    </row>
    <row r="7906" spans="1:8" customFormat="1" x14ac:dyDescent="0.25">
      <c r="A7906" t="str">
        <f>"622187"</f>
        <v>622187</v>
      </c>
      <c r="B7906" t="s">
        <v>1729</v>
      </c>
      <c r="C7906" t="s">
        <v>1132</v>
      </c>
      <c r="D7906" s="21" t="s">
        <v>34</v>
      </c>
      <c r="E7906" s="21" t="s">
        <v>71</v>
      </c>
      <c r="F7906">
        <v>7620130</v>
      </c>
      <c r="G7906" t="s">
        <v>4386</v>
      </c>
      <c r="H7906" s="21">
        <v>1067.17</v>
      </c>
    </row>
    <row r="7907" spans="1:8" customFormat="1" x14ac:dyDescent="0.25">
      <c r="A7907" t="str">
        <f>"539185"</f>
        <v>539185</v>
      </c>
      <c r="B7907" t="s">
        <v>5132</v>
      </c>
      <c r="C7907" t="s">
        <v>275</v>
      </c>
      <c r="D7907" s="21" t="s">
        <v>34</v>
      </c>
      <c r="E7907" s="21" t="s">
        <v>35</v>
      </c>
      <c r="F7907">
        <v>12530051</v>
      </c>
      <c r="G7907" t="s">
        <v>4995</v>
      </c>
      <c r="H7907" s="21">
        <v>1067.17</v>
      </c>
    </row>
    <row r="7908" spans="1:8" customFormat="1" x14ac:dyDescent="0.25">
      <c r="A7908" t="str">
        <f>"44162"</f>
        <v>44162</v>
      </c>
      <c r="B7908" t="s">
        <v>9208</v>
      </c>
      <c r="C7908" t="s">
        <v>209</v>
      </c>
      <c r="D7908" s="21" t="s">
        <v>34</v>
      </c>
      <c r="E7908" s="21" t="s">
        <v>254</v>
      </c>
      <c r="F7908">
        <v>12440004</v>
      </c>
      <c r="G7908" t="s">
        <v>26530</v>
      </c>
      <c r="H7908" s="21">
        <v>1067.17</v>
      </c>
    </row>
    <row r="7909" spans="1:8" customFormat="1" x14ac:dyDescent="0.25">
      <c r="A7909" t="str">
        <f>"4922716"</f>
        <v>4922716</v>
      </c>
      <c r="B7909" t="s">
        <v>2315</v>
      </c>
      <c r="C7909" t="s">
        <v>139</v>
      </c>
      <c r="D7909" s="21" t="s">
        <v>34</v>
      </c>
      <c r="E7909" s="21" t="s">
        <v>35</v>
      </c>
      <c r="F7909">
        <v>12490070</v>
      </c>
      <c r="G7909" t="s">
        <v>5091</v>
      </c>
      <c r="H7909" s="21">
        <v>1067.17</v>
      </c>
    </row>
    <row r="7910" spans="1:8" customFormat="1" x14ac:dyDescent="0.25">
      <c r="A7910" t="str">
        <f>"1315427"</f>
        <v>1315427</v>
      </c>
      <c r="B7910" t="s">
        <v>9001</v>
      </c>
      <c r="C7910" t="s">
        <v>198</v>
      </c>
      <c r="D7910" s="21" t="s">
        <v>34</v>
      </c>
      <c r="E7910" s="21" t="s">
        <v>35</v>
      </c>
      <c r="F7910">
        <v>13130067</v>
      </c>
      <c r="G7910" t="s">
        <v>1420</v>
      </c>
      <c r="H7910" s="21">
        <v>1067.05</v>
      </c>
    </row>
    <row r="7911" spans="1:8" customFormat="1" x14ac:dyDescent="0.25">
      <c r="A7911" t="str">
        <f>"54743"</f>
        <v>54743</v>
      </c>
      <c r="B7911" t="s">
        <v>8038</v>
      </c>
      <c r="C7911" t="s">
        <v>428</v>
      </c>
      <c r="D7911" s="21" t="s">
        <v>34</v>
      </c>
      <c r="E7911" s="21" t="s">
        <v>71</v>
      </c>
      <c r="F7911">
        <v>6540034</v>
      </c>
      <c r="G7911" t="s">
        <v>2211</v>
      </c>
      <c r="H7911" s="21">
        <v>1066.92</v>
      </c>
    </row>
    <row r="7912" spans="1:8" customFormat="1" x14ac:dyDescent="0.25">
      <c r="A7912" t="str">
        <f>"6017484"</f>
        <v>6017484</v>
      </c>
      <c r="B7912" t="s">
        <v>8447</v>
      </c>
      <c r="C7912" t="s">
        <v>209</v>
      </c>
      <c r="D7912" s="21" t="s">
        <v>34</v>
      </c>
      <c r="E7912" s="21" t="s">
        <v>71</v>
      </c>
      <c r="F7912">
        <v>7600088</v>
      </c>
      <c r="G7912" t="s">
        <v>334</v>
      </c>
      <c r="H7912" s="21">
        <v>1066.67</v>
      </c>
    </row>
    <row r="7913" spans="1:8" customFormat="1" x14ac:dyDescent="0.25">
      <c r="A7913" t="str">
        <f>"786241"</f>
        <v>786241</v>
      </c>
      <c r="B7913" t="s">
        <v>8714</v>
      </c>
      <c r="C7913" t="s">
        <v>187</v>
      </c>
      <c r="D7913" s="21" t="s">
        <v>34</v>
      </c>
      <c r="E7913" s="21" t="s">
        <v>35</v>
      </c>
      <c r="F7913">
        <v>8780660</v>
      </c>
      <c r="G7913" t="s">
        <v>2801</v>
      </c>
      <c r="H7913" s="21">
        <v>1066.67</v>
      </c>
    </row>
    <row r="7914" spans="1:8" customFormat="1" x14ac:dyDescent="0.25">
      <c r="A7914" t="str">
        <f>"5617037"</f>
        <v>5617037</v>
      </c>
      <c r="B7914" t="s">
        <v>4711</v>
      </c>
      <c r="C7914" t="s">
        <v>428</v>
      </c>
      <c r="D7914" s="21" t="s">
        <v>34</v>
      </c>
      <c r="E7914" s="21" t="s">
        <v>71</v>
      </c>
      <c r="F7914">
        <v>3560022</v>
      </c>
      <c r="G7914" t="s">
        <v>2547</v>
      </c>
      <c r="H7914" s="21">
        <v>1066.67</v>
      </c>
    </row>
    <row r="7915" spans="1:8" customFormat="1" x14ac:dyDescent="0.25">
      <c r="A7915" t="str">
        <f>"672928"</f>
        <v>672928</v>
      </c>
      <c r="B7915" t="s">
        <v>7999</v>
      </c>
      <c r="C7915" t="s">
        <v>879</v>
      </c>
      <c r="D7915" s="21" t="s">
        <v>34</v>
      </c>
      <c r="E7915" s="21" t="s">
        <v>254</v>
      </c>
      <c r="F7915">
        <v>6670058</v>
      </c>
      <c r="G7915" t="s">
        <v>2551</v>
      </c>
      <c r="H7915" s="21">
        <v>1066.67</v>
      </c>
    </row>
    <row r="7916" spans="1:8" customFormat="1" x14ac:dyDescent="0.25">
      <c r="A7916" t="str">
        <f>"386484"</f>
        <v>386484</v>
      </c>
      <c r="B7916" t="s">
        <v>8041</v>
      </c>
      <c r="C7916" t="s">
        <v>967</v>
      </c>
      <c r="D7916" s="21" t="s">
        <v>34</v>
      </c>
      <c r="E7916" s="21" t="s">
        <v>35</v>
      </c>
      <c r="F7916">
        <v>1380275</v>
      </c>
      <c r="G7916" t="s">
        <v>8042</v>
      </c>
      <c r="H7916" s="21">
        <v>1066.67</v>
      </c>
    </row>
    <row r="7917" spans="1:8" customFormat="1" x14ac:dyDescent="0.25">
      <c r="A7917" t="str">
        <f>"401659"</f>
        <v>401659</v>
      </c>
      <c r="B7917" t="s">
        <v>7361</v>
      </c>
      <c r="C7917" t="s">
        <v>33</v>
      </c>
      <c r="D7917" s="21" t="s">
        <v>34</v>
      </c>
      <c r="E7917" s="21" t="s">
        <v>35</v>
      </c>
      <c r="F7917">
        <v>10640006</v>
      </c>
      <c r="G7917" t="s">
        <v>3872</v>
      </c>
      <c r="H7917" s="21">
        <v>1066.67</v>
      </c>
    </row>
    <row r="7918" spans="1:8" customFormat="1" x14ac:dyDescent="0.25">
      <c r="A7918" t="str">
        <f>"216387"</f>
        <v>216387</v>
      </c>
      <c r="B7918" t="s">
        <v>8404</v>
      </c>
      <c r="C7918" t="s">
        <v>6504</v>
      </c>
      <c r="D7918" s="21" t="s">
        <v>34</v>
      </c>
      <c r="E7918" s="21" t="s">
        <v>35</v>
      </c>
      <c r="F7918">
        <v>2210100</v>
      </c>
      <c r="G7918" t="s">
        <v>1608</v>
      </c>
      <c r="H7918" s="21">
        <v>1066.67</v>
      </c>
    </row>
    <row r="7919" spans="1:8" customFormat="1" x14ac:dyDescent="0.25">
      <c r="A7919" t="str">
        <f>"5921300"</f>
        <v>5921300</v>
      </c>
      <c r="B7919" t="s">
        <v>8364</v>
      </c>
      <c r="C7919" t="s">
        <v>119</v>
      </c>
      <c r="D7919" s="21" t="s">
        <v>34</v>
      </c>
      <c r="E7919" s="21" t="s">
        <v>35</v>
      </c>
      <c r="F7919">
        <v>7590113</v>
      </c>
      <c r="G7919" t="s">
        <v>7808</v>
      </c>
      <c r="H7919" s="21">
        <v>1066.67</v>
      </c>
    </row>
    <row r="7920" spans="1:8" customFormat="1" x14ac:dyDescent="0.25">
      <c r="A7920" t="str">
        <f>"367020"</f>
        <v>367020</v>
      </c>
      <c r="B7920" t="s">
        <v>8563</v>
      </c>
      <c r="C7920" t="s">
        <v>239</v>
      </c>
      <c r="D7920" s="21" t="s">
        <v>34</v>
      </c>
      <c r="E7920" s="21" t="s">
        <v>35</v>
      </c>
      <c r="F7920">
        <v>4360009</v>
      </c>
      <c r="G7920" t="s">
        <v>6259</v>
      </c>
      <c r="H7920" s="21">
        <v>1066.56</v>
      </c>
    </row>
    <row r="7921" spans="1:8" customFormat="1" x14ac:dyDescent="0.25">
      <c r="A7921" t="str">
        <f>"337436"</f>
        <v>337436</v>
      </c>
      <c r="B7921" t="s">
        <v>9050</v>
      </c>
      <c r="C7921" t="s">
        <v>3109</v>
      </c>
      <c r="D7921" s="21" t="s">
        <v>34</v>
      </c>
      <c r="E7921" s="21" t="s">
        <v>71</v>
      </c>
      <c r="F7921">
        <v>10330036</v>
      </c>
      <c r="G7921" t="s">
        <v>6209</v>
      </c>
      <c r="H7921" s="21">
        <v>1066.55</v>
      </c>
    </row>
    <row r="7922" spans="1:8" customFormat="1" x14ac:dyDescent="0.25">
      <c r="A7922" t="str">
        <f>"5923074"</f>
        <v>5923074</v>
      </c>
      <c r="B7922" t="s">
        <v>3555</v>
      </c>
      <c r="C7922" t="s">
        <v>27018</v>
      </c>
      <c r="D7922" s="21" t="s">
        <v>34</v>
      </c>
      <c r="E7922" s="21" t="s">
        <v>71</v>
      </c>
      <c r="F7922">
        <v>7590351</v>
      </c>
      <c r="G7922" t="s">
        <v>8495</v>
      </c>
      <c r="H7922" s="21">
        <v>1066.5</v>
      </c>
    </row>
    <row r="7923" spans="1:8" customFormat="1" x14ac:dyDescent="0.25">
      <c r="A7923" t="str">
        <f>"022546"</f>
        <v>022546</v>
      </c>
      <c r="B7923" t="s">
        <v>6472</v>
      </c>
      <c r="C7923" t="s">
        <v>204</v>
      </c>
      <c r="D7923" s="21" t="s">
        <v>34</v>
      </c>
      <c r="E7923" s="21" t="s">
        <v>35</v>
      </c>
      <c r="F7923">
        <v>7020030</v>
      </c>
      <c r="G7923" t="s">
        <v>1796</v>
      </c>
      <c r="H7923" s="21">
        <v>1066.29</v>
      </c>
    </row>
    <row r="7924" spans="1:8" customFormat="1" x14ac:dyDescent="0.25">
      <c r="A7924" t="str">
        <f>"8311463"</f>
        <v>8311463</v>
      </c>
      <c r="B7924" t="s">
        <v>2854</v>
      </c>
      <c r="C7924" t="s">
        <v>269</v>
      </c>
      <c r="D7924" s="21" t="s">
        <v>34</v>
      </c>
      <c r="E7924" s="21" t="s">
        <v>71</v>
      </c>
      <c r="F7924">
        <v>13830092</v>
      </c>
      <c r="G7924" t="s">
        <v>3632</v>
      </c>
      <c r="H7924" s="21">
        <v>1066.18</v>
      </c>
    </row>
    <row r="7925" spans="1:8" customFormat="1" x14ac:dyDescent="0.25">
      <c r="A7925" t="str">
        <f>"771669"</f>
        <v>771669</v>
      </c>
      <c r="B7925" t="s">
        <v>7539</v>
      </c>
      <c r="C7925" t="s">
        <v>415</v>
      </c>
      <c r="D7925" s="21" t="s">
        <v>34</v>
      </c>
      <c r="E7925" s="21" t="s">
        <v>254</v>
      </c>
      <c r="F7925">
        <v>10160018</v>
      </c>
      <c r="G7925" t="s">
        <v>6900</v>
      </c>
      <c r="H7925" s="21">
        <v>1066.17</v>
      </c>
    </row>
    <row r="7926" spans="1:8" customFormat="1" x14ac:dyDescent="0.25">
      <c r="A7926" t="str">
        <f>"85864"</f>
        <v>85864</v>
      </c>
      <c r="B7926" t="s">
        <v>8422</v>
      </c>
      <c r="C7926" t="s">
        <v>3073</v>
      </c>
      <c r="D7926" s="21" t="s">
        <v>34</v>
      </c>
      <c r="E7926" s="21" t="s">
        <v>254</v>
      </c>
      <c r="F7926">
        <v>12850024</v>
      </c>
      <c r="G7926" t="s">
        <v>140</v>
      </c>
      <c r="H7926" s="21">
        <v>1066.17</v>
      </c>
    </row>
    <row r="7927" spans="1:8" customFormat="1" x14ac:dyDescent="0.25">
      <c r="A7927" t="str">
        <f>"6917120"</f>
        <v>6917120</v>
      </c>
      <c r="B7927" t="s">
        <v>8509</v>
      </c>
      <c r="C7927" t="s">
        <v>171</v>
      </c>
      <c r="D7927" s="21" t="s">
        <v>34</v>
      </c>
      <c r="E7927" s="21" t="s">
        <v>35</v>
      </c>
      <c r="F7927">
        <v>1690184</v>
      </c>
      <c r="G7927" t="s">
        <v>4992</v>
      </c>
      <c r="H7927" s="21">
        <v>1066.17</v>
      </c>
    </row>
    <row r="7928" spans="1:8" customFormat="1" x14ac:dyDescent="0.25">
      <c r="A7928" t="str">
        <f>"6224964"</f>
        <v>6224964</v>
      </c>
      <c r="B7928" t="s">
        <v>1667</v>
      </c>
      <c r="C7928" t="s">
        <v>2520</v>
      </c>
      <c r="D7928" s="21" t="s">
        <v>34</v>
      </c>
      <c r="E7928" s="21" t="s">
        <v>254</v>
      </c>
      <c r="F7928">
        <v>7620147</v>
      </c>
      <c r="G7928" t="s">
        <v>4455</v>
      </c>
      <c r="H7928" s="21">
        <v>1066.17</v>
      </c>
    </row>
    <row r="7929" spans="1:8" customFormat="1" x14ac:dyDescent="0.25">
      <c r="A7929" t="str">
        <f>"8810400"</f>
        <v>8810400</v>
      </c>
      <c r="B7929" t="s">
        <v>7582</v>
      </c>
      <c r="C7929" t="s">
        <v>87</v>
      </c>
      <c r="D7929" s="21" t="s">
        <v>34</v>
      </c>
      <c r="E7929" s="21" t="s">
        <v>35</v>
      </c>
      <c r="F7929">
        <v>6880116</v>
      </c>
      <c r="G7929" t="s">
        <v>2465</v>
      </c>
      <c r="H7929" s="21">
        <v>1066.17</v>
      </c>
    </row>
    <row r="7930" spans="1:8" customFormat="1" x14ac:dyDescent="0.25">
      <c r="A7930" t="str">
        <f>"7634769"</f>
        <v>7634769</v>
      </c>
      <c r="B7930" t="s">
        <v>8606</v>
      </c>
      <c r="C7930" t="s">
        <v>62</v>
      </c>
      <c r="D7930" s="21" t="s">
        <v>34</v>
      </c>
      <c r="E7930" s="21" t="s">
        <v>35</v>
      </c>
      <c r="F7930">
        <v>9760007</v>
      </c>
      <c r="G7930" t="s">
        <v>7255</v>
      </c>
      <c r="H7930" s="21">
        <v>1066.17</v>
      </c>
    </row>
    <row r="7931" spans="1:8" customFormat="1" x14ac:dyDescent="0.25">
      <c r="A7931" t="str">
        <f>"9122420"</f>
        <v>9122420</v>
      </c>
      <c r="B7931" t="s">
        <v>1645</v>
      </c>
      <c r="C7931" t="s">
        <v>55</v>
      </c>
      <c r="D7931" s="21" t="s">
        <v>34</v>
      </c>
      <c r="E7931" s="21" t="s">
        <v>71</v>
      </c>
      <c r="F7931">
        <v>8910876</v>
      </c>
      <c r="G7931" t="s">
        <v>1721</v>
      </c>
      <c r="H7931" s="21">
        <v>1065.93</v>
      </c>
    </row>
    <row r="7932" spans="1:8" customFormat="1" x14ac:dyDescent="0.25">
      <c r="A7932" t="str">
        <f>"3521988"</f>
        <v>3521988</v>
      </c>
      <c r="B7932" t="s">
        <v>2549</v>
      </c>
      <c r="C7932" t="s">
        <v>209</v>
      </c>
      <c r="D7932" s="21" t="s">
        <v>34</v>
      </c>
      <c r="E7932" s="21" t="s">
        <v>71</v>
      </c>
      <c r="F7932">
        <v>3350209</v>
      </c>
      <c r="G7932" t="s">
        <v>3023</v>
      </c>
      <c r="H7932" s="21">
        <v>1065.8</v>
      </c>
    </row>
    <row r="7933" spans="1:8" customFormat="1" x14ac:dyDescent="0.25">
      <c r="A7933" t="str">
        <f>"60861"</f>
        <v>60861</v>
      </c>
      <c r="B7933" t="s">
        <v>7250</v>
      </c>
      <c r="C7933" t="s">
        <v>109</v>
      </c>
      <c r="D7933" s="21" t="s">
        <v>34</v>
      </c>
      <c r="E7933" s="21" t="s">
        <v>35</v>
      </c>
      <c r="F7933">
        <v>7600126</v>
      </c>
      <c r="G7933" t="s">
        <v>2516</v>
      </c>
      <c r="H7933" s="21">
        <v>1065.68</v>
      </c>
    </row>
    <row r="7934" spans="1:8" customFormat="1" x14ac:dyDescent="0.25">
      <c r="A7934" t="str">
        <f>"4210563"</f>
        <v>4210563</v>
      </c>
      <c r="B7934" t="s">
        <v>4902</v>
      </c>
      <c r="C7934" t="s">
        <v>269</v>
      </c>
      <c r="D7934" s="21" t="s">
        <v>34</v>
      </c>
      <c r="E7934" s="21" t="s">
        <v>71</v>
      </c>
      <c r="F7934">
        <v>1420166</v>
      </c>
      <c r="G7934" t="s">
        <v>26873</v>
      </c>
      <c r="H7934" s="21">
        <v>1065.68</v>
      </c>
    </row>
    <row r="7935" spans="1:8" customFormat="1" x14ac:dyDescent="0.25">
      <c r="A7935" t="str">
        <f>"2911439"</f>
        <v>2911439</v>
      </c>
      <c r="B7935" t="s">
        <v>146</v>
      </c>
      <c r="C7935" t="s">
        <v>1359</v>
      </c>
      <c r="D7935" s="21" t="s">
        <v>34</v>
      </c>
      <c r="E7935" s="21" t="s">
        <v>35</v>
      </c>
      <c r="F7935">
        <v>12440067</v>
      </c>
      <c r="G7935" t="s">
        <v>1723</v>
      </c>
      <c r="H7935" s="21">
        <v>1065.67</v>
      </c>
    </row>
    <row r="7936" spans="1:8" customFormat="1" x14ac:dyDescent="0.25">
      <c r="A7936" t="str">
        <f>"065983"</f>
        <v>065983</v>
      </c>
      <c r="B7936" t="s">
        <v>788</v>
      </c>
      <c r="C7936" t="s">
        <v>169</v>
      </c>
      <c r="D7936" s="21" t="s">
        <v>34</v>
      </c>
      <c r="E7936" s="21" t="s">
        <v>35</v>
      </c>
      <c r="F7936">
        <v>13060031</v>
      </c>
      <c r="G7936" t="s">
        <v>9379</v>
      </c>
      <c r="H7936" s="21">
        <v>1065.67</v>
      </c>
    </row>
    <row r="7937" spans="1:8" customFormat="1" x14ac:dyDescent="0.25">
      <c r="A7937" t="str">
        <f>"8014914"</f>
        <v>8014914</v>
      </c>
      <c r="B7937" t="s">
        <v>8628</v>
      </c>
      <c r="C7937" t="s">
        <v>2730</v>
      </c>
      <c r="D7937" s="21" t="s">
        <v>34</v>
      </c>
      <c r="E7937" s="21" t="s">
        <v>71</v>
      </c>
      <c r="F7937">
        <v>7800032</v>
      </c>
      <c r="G7937" t="s">
        <v>8629</v>
      </c>
      <c r="H7937" s="21">
        <v>1065.67</v>
      </c>
    </row>
    <row r="7938" spans="1:8" customFormat="1" x14ac:dyDescent="0.25">
      <c r="A7938" t="str">
        <f>"9520590"</f>
        <v>9520590</v>
      </c>
      <c r="B7938" t="s">
        <v>9330</v>
      </c>
      <c r="C7938" t="s">
        <v>320</v>
      </c>
      <c r="D7938" s="21" t="s">
        <v>34</v>
      </c>
      <c r="E7938" s="21" t="s">
        <v>35</v>
      </c>
      <c r="F7938">
        <v>8771170</v>
      </c>
      <c r="G7938" t="s">
        <v>50</v>
      </c>
      <c r="H7938" s="21">
        <v>1065.67</v>
      </c>
    </row>
    <row r="7939" spans="1:8" customFormat="1" x14ac:dyDescent="0.25">
      <c r="A7939" t="str">
        <f>"4923721"</f>
        <v>4923721</v>
      </c>
      <c r="B7939" t="s">
        <v>25761</v>
      </c>
      <c r="C7939" t="s">
        <v>114</v>
      </c>
      <c r="D7939" s="21" t="s">
        <v>34</v>
      </c>
      <c r="E7939" s="21" t="s">
        <v>35</v>
      </c>
      <c r="F7939">
        <v>12490073</v>
      </c>
      <c r="G7939" t="s">
        <v>296</v>
      </c>
      <c r="H7939" s="21">
        <v>1065.67</v>
      </c>
    </row>
    <row r="7940" spans="1:8" customFormat="1" x14ac:dyDescent="0.25">
      <c r="A7940" t="str">
        <f>"0811377"</f>
        <v>0811377</v>
      </c>
      <c r="B7940" t="s">
        <v>8964</v>
      </c>
      <c r="C7940" t="s">
        <v>934</v>
      </c>
      <c r="D7940" s="21" t="s">
        <v>34</v>
      </c>
      <c r="E7940" s="21" t="s">
        <v>35</v>
      </c>
      <c r="F7940">
        <v>6080005</v>
      </c>
      <c r="G7940" t="s">
        <v>8965</v>
      </c>
      <c r="H7940" s="21">
        <v>1065.67</v>
      </c>
    </row>
    <row r="7941" spans="1:8" customFormat="1" x14ac:dyDescent="0.25">
      <c r="A7941" t="str">
        <f>"9744962"</f>
        <v>9744962</v>
      </c>
      <c r="B7941" t="s">
        <v>8484</v>
      </c>
      <c r="C7941" t="s">
        <v>169</v>
      </c>
      <c r="D7941" s="21" t="s">
        <v>34</v>
      </c>
      <c r="E7941" s="21" t="s">
        <v>35</v>
      </c>
      <c r="F7941" t="s">
        <v>1465</v>
      </c>
      <c r="G7941" t="s">
        <v>1466</v>
      </c>
      <c r="H7941" s="21">
        <v>1065.67</v>
      </c>
    </row>
    <row r="7942" spans="1:8" customFormat="1" x14ac:dyDescent="0.25">
      <c r="A7942" t="str">
        <f>"229764"</f>
        <v>229764</v>
      </c>
      <c r="B7942" t="s">
        <v>431</v>
      </c>
      <c r="C7942" t="s">
        <v>130</v>
      </c>
      <c r="D7942" s="21" t="s">
        <v>34</v>
      </c>
      <c r="E7942" s="21" t="s">
        <v>35</v>
      </c>
      <c r="F7942">
        <v>3350092</v>
      </c>
      <c r="G7942" t="s">
        <v>26881</v>
      </c>
      <c r="H7942" s="21">
        <v>1065.67</v>
      </c>
    </row>
    <row r="7943" spans="1:8" customFormat="1" x14ac:dyDescent="0.25">
      <c r="A7943" t="str">
        <f>"70318"</f>
        <v>70318</v>
      </c>
      <c r="B7943" t="s">
        <v>7316</v>
      </c>
      <c r="C7943" t="s">
        <v>1914</v>
      </c>
      <c r="D7943" s="21" t="s">
        <v>34</v>
      </c>
      <c r="E7943" s="21" t="s">
        <v>254</v>
      </c>
      <c r="F7943">
        <v>2700036</v>
      </c>
      <c r="G7943" t="s">
        <v>1896</v>
      </c>
      <c r="H7943" s="21">
        <v>1065.67</v>
      </c>
    </row>
    <row r="7944" spans="1:8" customFormat="1" x14ac:dyDescent="0.25">
      <c r="A7944" t="str">
        <f>"7846669"</f>
        <v>7846669</v>
      </c>
      <c r="B7944" t="s">
        <v>27019</v>
      </c>
      <c r="C7944" t="s">
        <v>601</v>
      </c>
      <c r="D7944" s="21" t="s">
        <v>34</v>
      </c>
      <c r="E7944" s="21" t="s">
        <v>35</v>
      </c>
      <c r="F7944">
        <v>8781017</v>
      </c>
      <c r="G7944" t="s">
        <v>2581</v>
      </c>
      <c r="H7944" s="21">
        <v>1065.43</v>
      </c>
    </row>
    <row r="7945" spans="1:8" customFormat="1" x14ac:dyDescent="0.25">
      <c r="A7945" t="str">
        <f>"3714256"</f>
        <v>3714256</v>
      </c>
      <c r="B7945" t="s">
        <v>7868</v>
      </c>
      <c r="C7945" t="s">
        <v>320</v>
      </c>
      <c r="D7945" s="21" t="s">
        <v>34</v>
      </c>
      <c r="E7945" s="21" t="s">
        <v>35</v>
      </c>
      <c r="F7945">
        <v>4370478</v>
      </c>
      <c r="G7945" t="s">
        <v>4735</v>
      </c>
      <c r="H7945" s="21">
        <v>1065.42</v>
      </c>
    </row>
    <row r="7946" spans="1:8" customFormat="1" x14ac:dyDescent="0.25">
      <c r="A7946" t="str">
        <f>"911296"</f>
        <v>911296</v>
      </c>
      <c r="B7946" t="s">
        <v>7133</v>
      </c>
      <c r="C7946" t="s">
        <v>239</v>
      </c>
      <c r="D7946" s="21" t="s">
        <v>34</v>
      </c>
      <c r="E7946" s="21" t="s">
        <v>71</v>
      </c>
      <c r="F7946">
        <v>8910881</v>
      </c>
      <c r="G7946" t="s">
        <v>1300</v>
      </c>
      <c r="H7946" s="21">
        <v>1065.42</v>
      </c>
    </row>
    <row r="7947" spans="1:8" customFormat="1" x14ac:dyDescent="0.25">
      <c r="A7947" t="str">
        <f>"431293"</f>
        <v>431293</v>
      </c>
      <c r="B7947" t="s">
        <v>1263</v>
      </c>
      <c r="C7947" t="s">
        <v>812</v>
      </c>
      <c r="D7947" s="21" t="s">
        <v>34</v>
      </c>
      <c r="E7947" s="21" t="s">
        <v>35</v>
      </c>
      <c r="F7947">
        <v>1420307</v>
      </c>
      <c r="G7947" t="s">
        <v>26676</v>
      </c>
      <c r="H7947" s="21">
        <v>1065.17</v>
      </c>
    </row>
    <row r="7948" spans="1:8" customFormat="1" x14ac:dyDescent="0.25">
      <c r="A7948" t="str">
        <f>"8515401"</f>
        <v>8515401</v>
      </c>
      <c r="B7948" t="s">
        <v>7390</v>
      </c>
      <c r="C7948" t="s">
        <v>7391</v>
      </c>
      <c r="D7948" s="21" t="s">
        <v>34</v>
      </c>
      <c r="E7948" s="21" t="s">
        <v>71</v>
      </c>
      <c r="F7948">
        <v>12850097</v>
      </c>
      <c r="G7948" t="s">
        <v>4111</v>
      </c>
      <c r="H7948" s="21">
        <v>1065.17</v>
      </c>
    </row>
    <row r="7949" spans="1:8" customFormat="1" x14ac:dyDescent="0.25">
      <c r="A7949" t="str">
        <f>"3715111"</f>
        <v>3715111</v>
      </c>
      <c r="B7949" t="s">
        <v>7337</v>
      </c>
      <c r="C7949" t="s">
        <v>7338</v>
      </c>
      <c r="D7949" s="21" t="s">
        <v>34</v>
      </c>
      <c r="E7949" s="21" t="s">
        <v>35</v>
      </c>
      <c r="F7949">
        <v>4370132</v>
      </c>
      <c r="G7949" t="s">
        <v>2262</v>
      </c>
      <c r="H7949" s="21">
        <v>1065.17</v>
      </c>
    </row>
    <row r="7950" spans="1:8" customFormat="1" x14ac:dyDescent="0.25">
      <c r="A7950" t="str">
        <f>"187923"</f>
        <v>187923</v>
      </c>
      <c r="B7950" t="s">
        <v>10338</v>
      </c>
      <c r="C7950" t="s">
        <v>10339</v>
      </c>
      <c r="D7950" s="21" t="s">
        <v>34</v>
      </c>
      <c r="E7950" s="21" t="s">
        <v>71</v>
      </c>
      <c r="F7950">
        <v>4180696</v>
      </c>
      <c r="G7950" t="s">
        <v>3018</v>
      </c>
      <c r="H7950" s="21">
        <v>1065.17</v>
      </c>
    </row>
    <row r="7951" spans="1:8" customFormat="1" x14ac:dyDescent="0.25">
      <c r="A7951" t="str">
        <f>"638523"</f>
        <v>638523</v>
      </c>
      <c r="B7951" t="s">
        <v>8577</v>
      </c>
      <c r="C7951" t="s">
        <v>544</v>
      </c>
      <c r="D7951" s="21" t="s">
        <v>34</v>
      </c>
      <c r="E7951" s="21" t="s">
        <v>35</v>
      </c>
      <c r="F7951">
        <v>1030165</v>
      </c>
      <c r="G7951" t="s">
        <v>2357</v>
      </c>
      <c r="H7951" s="21">
        <v>1065.17</v>
      </c>
    </row>
    <row r="7952" spans="1:8" customFormat="1" x14ac:dyDescent="0.25">
      <c r="A7952" t="str">
        <f>"5613539"</f>
        <v>5613539</v>
      </c>
      <c r="B7952" t="s">
        <v>27020</v>
      </c>
      <c r="C7952" t="s">
        <v>621</v>
      </c>
      <c r="D7952" s="21" t="s">
        <v>34</v>
      </c>
      <c r="E7952" s="21" t="s">
        <v>35</v>
      </c>
      <c r="F7952">
        <v>3560036</v>
      </c>
      <c r="G7952" t="s">
        <v>910</v>
      </c>
      <c r="H7952" s="21">
        <v>1065.17</v>
      </c>
    </row>
    <row r="7953" spans="1:8" customFormat="1" x14ac:dyDescent="0.25">
      <c r="A7953" t="str">
        <f>"5954320"</f>
        <v>5954320</v>
      </c>
      <c r="B7953" t="s">
        <v>6024</v>
      </c>
      <c r="C7953" t="s">
        <v>40</v>
      </c>
      <c r="D7953" s="21" t="s">
        <v>34</v>
      </c>
      <c r="E7953" s="21" t="s">
        <v>71</v>
      </c>
      <c r="F7953">
        <v>7590228</v>
      </c>
      <c r="G7953" t="s">
        <v>1798</v>
      </c>
      <c r="H7953" s="21">
        <v>1065.17</v>
      </c>
    </row>
    <row r="7954" spans="1:8" customFormat="1" x14ac:dyDescent="0.25">
      <c r="A7954" t="str">
        <f>"0618666"</f>
        <v>0618666</v>
      </c>
      <c r="B7954" t="s">
        <v>13954</v>
      </c>
      <c r="C7954" t="s">
        <v>169</v>
      </c>
      <c r="D7954" s="21" t="s">
        <v>34</v>
      </c>
      <c r="E7954" s="21" t="s">
        <v>35</v>
      </c>
      <c r="F7954">
        <v>13060066</v>
      </c>
      <c r="G7954" t="s">
        <v>2556</v>
      </c>
      <c r="H7954" s="21">
        <v>1065.04</v>
      </c>
    </row>
    <row r="7955" spans="1:8" customFormat="1" x14ac:dyDescent="0.25">
      <c r="A7955" t="str">
        <f>"5932115"</f>
        <v>5932115</v>
      </c>
      <c r="B7955" t="s">
        <v>27021</v>
      </c>
      <c r="C7955" t="s">
        <v>149</v>
      </c>
      <c r="D7955" s="21" t="s">
        <v>34</v>
      </c>
      <c r="E7955" s="21" t="s">
        <v>35</v>
      </c>
      <c r="F7955">
        <v>11340010</v>
      </c>
      <c r="G7955" t="s">
        <v>66</v>
      </c>
      <c r="H7955" s="21">
        <v>1065</v>
      </c>
    </row>
    <row r="7956" spans="1:8" customFormat="1" x14ac:dyDescent="0.25">
      <c r="A7956" t="str">
        <f>"5611564"</f>
        <v>5611564</v>
      </c>
      <c r="B7956" t="s">
        <v>27022</v>
      </c>
      <c r="C7956" t="s">
        <v>87</v>
      </c>
      <c r="D7956" s="21" t="s">
        <v>34</v>
      </c>
      <c r="E7956" s="21" t="s">
        <v>35</v>
      </c>
      <c r="F7956">
        <v>3560036</v>
      </c>
      <c r="G7956" t="s">
        <v>910</v>
      </c>
      <c r="H7956" s="21">
        <v>1065</v>
      </c>
    </row>
    <row r="7957" spans="1:8" customFormat="1" x14ac:dyDescent="0.25">
      <c r="A7957" t="str">
        <f>"167474"</f>
        <v>167474</v>
      </c>
      <c r="B7957" t="s">
        <v>9237</v>
      </c>
      <c r="C7957" t="s">
        <v>119</v>
      </c>
      <c r="D7957" s="21" t="s">
        <v>34</v>
      </c>
      <c r="E7957" s="21" t="s">
        <v>35</v>
      </c>
      <c r="F7957">
        <v>10160186</v>
      </c>
      <c r="G7957" t="s">
        <v>4819</v>
      </c>
      <c r="H7957" s="21">
        <v>1064.79</v>
      </c>
    </row>
    <row r="7958" spans="1:8" customFormat="1" x14ac:dyDescent="0.25">
      <c r="A7958" t="str">
        <f>"9423482"</f>
        <v>9423482</v>
      </c>
      <c r="B7958" t="s">
        <v>4217</v>
      </c>
      <c r="C7958" t="s">
        <v>1119</v>
      </c>
      <c r="D7958" s="21" t="s">
        <v>34</v>
      </c>
      <c r="E7958" s="21" t="s">
        <v>71</v>
      </c>
      <c r="F7958">
        <v>8940926</v>
      </c>
      <c r="G7958" t="s">
        <v>4065</v>
      </c>
      <c r="H7958" s="21">
        <v>1064.67</v>
      </c>
    </row>
    <row r="7959" spans="1:8" customFormat="1" x14ac:dyDescent="0.25">
      <c r="A7959" t="str">
        <f>"3322050"</f>
        <v>3322050</v>
      </c>
      <c r="B7959" t="s">
        <v>4505</v>
      </c>
      <c r="C7959" t="s">
        <v>598</v>
      </c>
      <c r="D7959" s="21" t="s">
        <v>34</v>
      </c>
      <c r="E7959" s="21" t="s">
        <v>1089</v>
      </c>
      <c r="F7959">
        <v>10330013</v>
      </c>
      <c r="G7959" t="s">
        <v>613</v>
      </c>
      <c r="H7959" s="21">
        <v>1064.67</v>
      </c>
    </row>
    <row r="7960" spans="1:8" customFormat="1" x14ac:dyDescent="0.25">
      <c r="A7960" t="str">
        <f>"1410950"</f>
        <v>1410950</v>
      </c>
      <c r="B7960" t="s">
        <v>8225</v>
      </c>
      <c r="C7960" t="s">
        <v>486</v>
      </c>
      <c r="D7960" s="21" t="s">
        <v>34</v>
      </c>
      <c r="E7960" s="21" t="s">
        <v>35</v>
      </c>
      <c r="F7960">
        <v>9140063</v>
      </c>
      <c r="G7960" t="s">
        <v>4764</v>
      </c>
      <c r="H7960" s="21">
        <v>1064.67</v>
      </c>
    </row>
    <row r="7961" spans="1:8" customFormat="1" x14ac:dyDescent="0.25">
      <c r="A7961" t="str">
        <f>"414133"</f>
        <v>414133</v>
      </c>
      <c r="B7961" t="s">
        <v>6990</v>
      </c>
      <c r="C7961" t="s">
        <v>1142</v>
      </c>
      <c r="D7961" s="21" t="s">
        <v>34</v>
      </c>
      <c r="E7961" s="21" t="s">
        <v>254</v>
      </c>
      <c r="F7961">
        <v>4410469</v>
      </c>
      <c r="G7961" t="s">
        <v>7919</v>
      </c>
      <c r="H7961" s="21">
        <v>1064.67</v>
      </c>
    </row>
    <row r="7962" spans="1:8" customFormat="1" x14ac:dyDescent="0.25">
      <c r="A7962" t="str">
        <f>"628877"</f>
        <v>628877</v>
      </c>
      <c r="B7962" t="s">
        <v>1090</v>
      </c>
      <c r="C7962" t="s">
        <v>40</v>
      </c>
      <c r="D7962" s="21" t="s">
        <v>34</v>
      </c>
      <c r="E7962" s="21" t="s">
        <v>254</v>
      </c>
      <c r="F7962">
        <v>7620048</v>
      </c>
      <c r="G7962" t="s">
        <v>7467</v>
      </c>
      <c r="H7962" s="21">
        <v>1064.67</v>
      </c>
    </row>
    <row r="7963" spans="1:8" customFormat="1" x14ac:dyDescent="0.25">
      <c r="A7963" t="str">
        <f>"40918"</f>
        <v>40918</v>
      </c>
      <c r="B7963" t="s">
        <v>9134</v>
      </c>
      <c r="C7963" t="s">
        <v>2907</v>
      </c>
      <c r="D7963" s="21" t="s">
        <v>34</v>
      </c>
      <c r="E7963" s="21" t="s">
        <v>71</v>
      </c>
      <c r="F7963">
        <v>10400003</v>
      </c>
      <c r="G7963" t="s">
        <v>5110</v>
      </c>
      <c r="H7963" s="21">
        <v>1064.67</v>
      </c>
    </row>
    <row r="7964" spans="1:8" customFormat="1" x14ac:dyDescent="0.25">
      <c r="A7964" t="str">
        <f>"8515501"</f>
        <v>8515501</v>
      </c>
      <c r="B7964" t="s">
        <v>7794</v>
      </c>
      <c r="C7964" t="s">
        <v>2053</v>
      </c>
      <c r="D7964" s="21" t="s">
        <v>34</v>
      </c>
      <c r="E7964" s="21" t="s">
        <v>71</v>
      </c>
      <c r="F7964">
        <v>12440260</v>
      </c>
      <c r="G7964" t="s">
        <v>26759</v>
      </c>
      <c r="H7964" s="21">
        <v>1064.42</v>
      </c>
    </row>
    <row r="7965" spans="1:8" customFormat="1" x14ac:dyDescent="0.25">
      <c r="A7965" t="str">
        <f>"4518967"</f>
        <v>4518967</v>
      </c>
      <c r="B7965" t="s">
        <v>2571</v>
      </c>
      <c r="C7965" t="s">
        <v>926</v>
      </c>
      <c r="D7965" s="21" t="s">
        <v>34</v>
      </c>
      <c r="E7965" s="21" t="s">
        <v>35</v>
      </c>
      <c r="F7965">
        <v>4450706</v>
      </c>
      <c r="G7965" t="s">
        <v>4482</v>
      </c>
      <c r="H7965" s="21">
        <v>1064.42</v>
      </c>
    </row>
    <row r="7966" spans="1:8" customFormat="1" x14ac:dyDescent="0.25">
      <c r="A7966" t="str">
        <f>"734381"</f>
        <v>734381</v>
      </c>
      <c r="B7966" t="s">
        <v>10610</v>
      </c>
      <c r="C7966" t="s">
        <v>233</v>
      </c>
      <c r="D7966" s="21" t="s">
        <v>34</v>
      </c>
      <c r="E7966" s="21" t="s">
        <v>254</v>
      </c>
      <c r="F7966">
        <v>1730051</v>
      </c>
      <c r="G7966" t="s">
        <v>5293</v>
      </c>
      <c r="H7966" s="21">
        <v>1064.17</v>
      </c>
    </row>
    <row r="7967" spans="1:8" customFormat="1" x14ac:dyDescent="0.25">
      <c r="A7967" t="str">
        <f>"351418"</f>
        <v>351418</v>
      </c>
      <c r="B7967" t="s">
        <v>7734</v>
      </c>
      <c r="C7967" t="s">
        <v>608</v>
      </c>
      <c r="D7967" s="21" t="s">
        <v>34</v>
      </c>
      <c r="E7967" s="21" t="s">
        <v>254</v>
      </c>
      <c r="F7967">
        <v>3350233</v>
      </c>
      <c r="G7967" t="s">
        <v>27023</v>
      </c>
      <c r="H7967" s="21">
        <v>1064.17</v>
      </c>
    </row>
    <row r="7968" spans="1:8" customFormat="1" x14ac:dyDescent="0.25">
      <c r="A7968" t="str">
        <f>"5931902"</f>
        <v>5931902</v>
      </c>
      <c r="B7968" t="s">
        <v>1103</v>
      </c>
      <c r="C7968" t="s">
        <v>119</v>
      </c>
      <c r="D7968" s="21" t="s">
        <v>34</v>
      </c>
      <c r="E7968" s="21" t="s">
        <v>71</v>
      </c>
      <c r="F7968">
        <v>10240007</v>
      </c>
      <c r="G7968" t="s">
        <v>2326</v>
      </c>
      <c r="H7968" s="21">
        <v>1064.17</v>
      </c>
    </row>
    <row r="7969" spans="1:8" customFormat="1" x14ac:dyDescent="0.25">
      <c r="A7969" t="str">
        <f>"32829"</f>
        <v>32829</v>
      </c>
      <c r="B7969" t="s">
        <v>27024</v>
      </c>
      <c r="C7969" t="s">
        <v>3456</v>
      </c>
      <c r="D7969" s="21" t="s">
        <v>34</v>
      </c>
      <c r="E7969" s="21" t="s">
        <v>35</v>
      </c>
      <c r="F7969">
        <v>11320005</v>
      </c>
      <c r="G7969" t="s">
        <v>120</v>
      </c>
      <c r="H7969" s="21">
        <v>1063.92</v>
      </c>
    </row>
    <row r="7970" spans="1:8" customFormat="1" x14ac:dyDescent="0.25">
      <c r="A7970" t="str">
        <f>"7512693"</f>
        <v>7512693</v>
      </c>
      <c r="B7970" t="s">
        <v>2360</v>
      </c>
      <c r="C7970" t="s">
        <v>498</v>
      </c>
      <c r="D7970" s="21" t="s">
        <v>34</v>
      </c>
      <c r="E7970" s="21" t="s">
        <v>71</v>
      </c>
      <c r="F7970">
        <v>8930610</v>
      </c>
      <c r="G7970" t="s">
        <v>3002</v>
      </c>
      <c r="H7970" s="21">
        <v>1063.8</v>
      </c>
    </row>
    <row r="7971" spans="1:8" customFormat="1" x14ac:dyDescent="0.25">
      <c r="A7971" t="str">
        <f>"9237019"</f>
        <v>9237019</v>
      </c>
      <c r="B7971" t="s">
        <v>9023</v>
      </c>
      <c r="C7971" t="s">
        <v>171</v>
      </c>
      <c r="D7971" s="21" t="s">
        <v>34</v>
      </c>
      <c r="E7971" s="21" t="s">
        <v>71</v>
      </c>
      <c r="F7971">
        <v>8921322</v>
      </c>
      <c r="G7971" t="s">
        <v>27025</v>
      </c>
      <c r="H7971" s="21">
        <v>1063.8</v>
      </c>
    </row>
    <row r="7972" spans="1:8" customFormat="1" x14ac:dyDescent="0.25">
      <c r="A7972" t="str">
        <f>"6922315"</f>
        <v>6922315</v>
      </c>
      <c r="B7972" t="s">
        <v>9135</v>
      </c>
      <c r="C7972" t="s">
        <v>302</v>
      </c>
      <c r="D7972" s="21" t="s">
        <v>34</v>
      </c>
      <c r="E7972" s="21" t="s">
        <v>35</v>
      </c>
      <c r="F7972">
        <v>1690207</v>
      </c>
      <c r="G7972" t="s">
        <v>4232</v>
      </c>
      <c r="H7972" s="21">
        <v>1063.67</v>
      </c>
    </row>
    <row r="7973" spans="1:8" customFormat="1" x14ac:dyDescent="0.25">
      <c r="A7973" t="str">
        <f>"3333247"</f>
        <v>3333247</v>
      </c>
      <c r="B7973" t="s">
        <v>9655</v>
      </c>
      <c r="C7973" t="s">
        <v>65</v>
      </c>
      <c r="D7973" s="21" t="s">
        <v>34</v>
      </c>
      <c r="E7973" s="21" t="s">
        <v>35</v>
      </c>
      <c r="F7973">
        <v>10330032</v>
      </c>
      <c r="G7973" t="s">
        <v>4408</v>
      </c>
      <c r="H7973" s="21">
        <v>1063.67</v>
      </c>
    </row>
    <row r="7974" spans="1:8" customFormat="1" x14ac:dyDescent="0.25">
      <c r="A7974" t="str">
        <f>"9137143"</f>
        <v>9137143</v>
      </c>
      <c r="B7974" t="s">
        <v>15767</v>
      </c>
      <c r="C7974" t="s">
        <v>275</v>
      </c>
      <c r="D7974" s="21" t="s">
        <v>34</v>
      </c>
      <c r="E7974" s="21" t="s">
        <v>35</v>
      </c>
      <c r="F7974">
        <v>8911456</v>
      </c>
      <c r="G7974" t="s">
        <v>6481</v>
      </c>
      <c r="H7974" s="21">
        <v>1063.67</v>
      </c>
    </row>
    <row r="7975" spans="1:8" customFormat="1" x14ac:dyDescent="0.25">
      <c r="A7975" t="str">
        <f>"6216795"</f>
        <v>6216795</v>
      </c>
      <c r="B7975" t="s">
        <v>8157</v>
      </c>
      <c r="C7975" t="s">
        <v>656</v>
      </c>
      <c r="D7975" s="21" t="s">
        <v>34</v>
      </c>
      <c r="E7975" s="21" t="s">
        <v>35</v>
      </c>
      <c r="F7975">
        <v>7620069</v>
      </c>
      <c r="G7975" t="s">
        <v>5442</v>
      </c>
      <c r="H7975" s="21">
        <v>1063.67</v>
      </c>
    </row>
    <row r="7976" spans="1:8" customFormat="1" x14ac:dyDescent="0.25">
      <c r="A7976" t="str">
        <f>"4912027"</f>
        <v>4912027</v>
      </c>
      <c r="B7976" t="s">
        <v>8463</v>
      </c>
      <c r="C7976" t="s">
        <v>119</v>
      </c>
      <c r="D7976" s="21" t="s">
        <v>34</v>
      </c>
      <c r="E7976" s="21" t="s">
        <v>35</v>
      </c>
      <c r="F7976">
        <v>12490027</v>
      </c>
      <c r="G7976" t="s">
        <v>766</v>
      </c>
      <c r="H7976" s="21">
        <v>1063.67</v>
      </c>
    </row>
    <row r="7977" spans="1:8" customFormat="1" x14ac:dyDescent="0.25">
      <c r="A7977" t="str">
        <f>"6021667"</f>
        <v>6021667</v>
      </c>
      <c r="B7977" t="s">
        <v>9374</v>
      </c>
      <c r="C7977" t="s">
        <v>1119</v>
      </c>
      <c r="D7977" s="21" t="s">
        <v>34</v>
      </c>
      <c r="E7977" s="21" t="s">
        <v>71</v>
      </c>
      <c r="F7977">
        <v>7600004</v>
      </c>
      <c r="G7977" t="s">
        <v>848</v>
      </c>
      <c r="H7977" s="21">
        <v>1063.67</v>
      </c>
    </row>
    <row r="7978" spans="1:8" customFormat="1" x14ac:dyDescent="0.25">
      <c r="A7978" t="str">
        <f>"9216325"</f>
        <v>9216325</v>
      </c>
      <c r="B7978" t="s">
        <v>18371</v>
      </c>
      <c r="C7978" t="s">
        <v>249</v>
      </c>
      <c r="D7978" s="21" t="s">
        <v>34</v>
      </c>
      <c r="E7978" s="21" t="s">
        <v>35</v>
      </c>
      <c r="F7978">
        <v>8780571</v>
      </c>
      <c r="G7978" t="s">
        <v>2336</v>
      </c>
      <c r="H7978" s="21">
        <v>1063.67</v>
      </c>
    </row>
    <row r="7979" spans="1:8" customFormat="1" x14ac:dyDescent="0.25">
      <c r="A7979" t="str">
        <f>"5920879"</f>
        <v>5920879</v>
      </c>
      <c r="B7979" t="s">
        <v>1945</v>
      </c>
      <c r="C7979" t="s">
        <v>8186</v>
      </c>
      <c r="D7979" s="21" t="s">
        <v>34</v>
      </c>
      <c r="E7979" s="21" t="s">
        <v>71</v>
      </c>
      <c r="F7979">
        <v>7590102</v>
      </c>
      <c r="G7979" t="s">
        <v>1091</v>
      </c>
      <c r="H7979" s="21">
        <v>1063.67</v>
      </c>
    </row>
    <row r="7980" spans="1:8" customFormat="1" x14ac:dyDescent="0.25">
      <c r="A7980" t="str">
        <f>"2214496"</f>
        <v>2214496</v>
      </c>
      <c r="B7980" t="s">
        <v>10054</v>
      </c>
      <c r="C7980" t="s">
        <v>3481</v>
      </c>
      <c r="D7980" s="21" t="s">
        <v>34</v>
      </c>
      <c r="E7980" s="21" t="s">
        <v>35</v>
      </c>
      <c r="F7980">
        <v>3560087</v>
      </c>
      <c r="G7980" t="s">
        <v>7767</v>
      </c>
      <c r="H7980" s="21">
        <v>1063.67</v>
      </c>
    </row>
    <row r="7981" spans="1:8" customFormat="1" x14ac:dyDescent="0.25">
      <c r="A7981" t="str">
        <f>"5017363"</f>
        <v>5017363</v>
      </c>
      <c r="B7981" t="s">
        <v>12268</v>
      </c>
      <c r="C7981" t="s">
        <v>288</v>
      </c>
      <c r="D7981" s="21" t="s">
        <v>34</v>
      </c>
      <c r="E7981" s="21" t="s">
        <v>35</v>
      </c>
      <c r="F7981">
        <v>9500059</v>
      </c>
      <c r="G7981" t="s">
        <v>26714</v>
      </c>
      <c r="H7981" s="21">
        <v>1063.67</v>
      </c>
    </row>
    <row r="7982" spans="1:8" customFormat="1" x14ac:dyDescent="0.25">
      <c r="A7982" t="str">
        <f>"3412319"</f>
        <v>3412319</v>
      </c>
      <c r="B7982" t="s">
        <v>9876</v>
      </c>
      <c r="C7982" t="s">
        <v>96</v>
      </c>
      <c r="D7982" s="21" t="s">
        <v>34</v>
      </c>
      <c r="E7982" s="21" t="s">
        <v>35</v>
      </c>
      <c r="F7982">
        <v>11340065</v>
      </c>
      <c r="G7982" t="s">
        <v>2022</v>
      </c>
      <c r="H7982" s="21">
        <v>1063.67</v>
      </c>
    </row>
    <row r="7983" spans="1:8" customFormat="1" x14ac:dyDescent="0.25">
      <c r="A7983" t="str">
        <f>"251418"</f>
        <v>251418</v>
      </c>
      <c r="B7983" t="s">
        <v>8237</v>
      </c>
      <c r="C7983" t="s">
        <v>8238</v>
      </c>
      <c r="D7983" s="21" t="s">
        <v>34</v>
      </c>
      <c r="E7983" s="21" t="s">
        <v>71</v>
      </c>
      <c r="F7983">
        <v>2250083</v>
      </c>
      <c r="G7983" t="s">
        <v>3808</v>
      </c>
      <c r="H7983" s="21">
        <v>1063.67</v>
      </c>
    </row>
    <row r="7984" spans="1:8" customFormat="1" x14ac:dyDescent="0.25">
      <c r="A7984" t="str">
        <f>"569715"</f>
        <v>569715</v>
      </c>
      <c r="B7984" t="s">
        <v>1547</v>
      </c>
      <c r="C7984" t="s">
        <v>55</v>
      </c>
      <c r="D7984" s="21" t="s">
        <v>34</v>
      </c>
      <c r="E7984" s="21" t="s">
        <v>35</v>
      </c>
      <c r="F7984">
        <v>12440101</v>
      </c>
      <c r="G7984" t="s">
        <v>3482</v>
      </c>
      <c r="H7984" s="21">
        <v>1063.67</v>
      </c>
    </row>
    <row r="7985" spans="1:8" customFormat="1" x14ac:dyDescent="0.25">
      <c r="A7985" t="str">
        <f>"3720584"</f>
        <v>3720584</v>
      </c>
      <c r="B7985" t="s">
        <v>8319</v>
      </c>
      <c r="C7985" t="s">
        <v>124</v>
      </c>
      <c r="D7985" s="21" t="s">
        <v>34</v>
      </c>
      <c r="E7985" s="21" t="s">
        <v>71</v>
      </c>
      <c r="F7985">
        <v>4370548</v>
      </c>
      <c r="G7985" t="s">
        <v>7106</v>
      </c>
      <c r="H7985" s="21">
        <v>1063.67</v>
      </c>
    </row>
    <row r="7986" spans="1:8" customFormat="1" x14ac:dyDescent="0.25">
      <c r="A7986" t="str">
        <f>"6225644"</f>
        <v>6225644</v>
      </c>
      <c r="B7986" t="s">
        <v>4560</v>
      </c>
      <c r="C7986" t="s">
        <v>62</v>
      </c>
      <c r="D7986" s="21" t="s">
        <v>34</v>
      </c>
      <c r="E7986" s="21" t="s">
        <v>35</v>
      </c>
      <c r="F7986">
        <v>7620077</v>
      </c>
      <c r="G7986" t="s">
        <v>4131</v>
      </c>
      <c r="H7986" s="21">
        <v>1063.67</v>
      </c>
    </row>
    <row r="7987" spans="1:8" customFormat="1" x14ac:dyDescent="0.25">
      <c r="A7987" t="str">
        <f>"514521"</f>
        <v>514521</v>
      </c>
      <c r="B7987" t="s">
        <v>10690</v>
      </c>
      <c r="C7987" t="s">
        <v>598</v>
      </c>
      <c r="D7987" s="21" t="s">
        <v>34</v>
      </c>
      <c r="E7987" s="21" t="s">
        <v>254</v>
      </c>
      <c r="F7987">
        <v>6510008</v>
      </c>
      <c r="G7987" t="s">
        <v>26622</v>
      </c>
      <c r="H7987" s="21">
        <v>1063.42</v>
      </c>
    </row>
    <row r="7988" spans="1:8" customFormat="1" x14ac:dyDescent="0.25">
      <c r="A7988" t="str">
        <f>"774388"</f>
        <v>774388</v>
      </c>
      <c r="B7988" t="s">
        <v>27026</v>
      </c>
      <c r="C7988" t="s">
        <v>87</v>
      </c>
      <c r="D7988" s="21" t="s">
        <v>34</v>
      </c>
      <c r="E7988" s="21" t="s">
        <v>35</v>
      </c>
      <c r="F7988">
        <v>8770237</v>
      </c>
      <c r="G7988" t="s">
        <v>128</v>
      </c>
      <c r="H7988" s="21">
        <v>1063.42</v>
      </c>
    </row>
    <row r="7989" spans="1:8" customFormat="1" x14ac:dyDescent="0.25">
      <c r="A7989" t="str">
        <f>"882234"</f>
        <v>882234</v>
      </c>
      <c r="B7989" t="s">
        <v>492</v>
      </c>
      <c r="C7989" t="s">
        <v>249</v>
      </c>
      <c r="D7989" s="21" t="s">
        <v>34</v>
      </c>
      <c r="E7989" s="21" t="s">
        <v>71</v>
      </c>
      <c r="F7989">
        <v>6880123</v>
      </c>
      <c r="G7989" t="s">
        <v>527</v>
      </c>
      <c r="H7989" s="21">
        <v>1063.17</v>
      </c>
    </row>
    <row r="7990" spans="1:8" customFormat="1" x14ac:dyDescent="0.25">
      <c r="A7990" t="str">
        <f>"621464"</f>
        <v>621464</v>
      </c>
      <c r="B7990" t="s">
        <v>5000</v>
      </c>
      <c r="C7990" t="s">
        <v>249</v>
      </c>
      <c r="D7990" s="21" t="s">
        <v>34</v>
      </c>
      <c r="E7990" s="21" t="s">
        <v>35</v>
      </c>
      <c r="F7990">
        <v>7620112</v>
      </c>
      <c r="G7990" t="s">
        <v>5663</v>
      </c>
      <c r="H7990" s="21">
        <v>1063.17</v>
      </c>
    </row>
    <row r="7991" spans="1:8" customFormat="1" x14ac:dyDescent="0.25">
      <c r="A7991" t="str">
        <f>"245066"</f>
        <v>245066</v>
      </c>
      <c r="B7991" t="s">
        <v>8942</v>
      </c>
      <c r="C7991" t="s">
        <v>712</v>
      </c>
      <c r="D7991" s="21" t="s">
        <v>34</v>
      </c>
      <c r="E7991" s="21" t="s">
        <v>35</v>
      </c>
      <c r="F7991">
        <v>10240020</v>
      </c>
      <c r="G7991" t="s">
        <v>870</v>
      </c>
      <c r="H7991" s="21">
        <v>1063.17</v>
      </c>
    </row>
    <row r="7992" spans="1:8" customFormat="1" x14ac:dyDescent="0.25">
      <c r="A7992" t="str">
        <f>"5313147"</f>
        <v>5313147</v>
      </c>
      <c r="B7992" t="s">
        <v>8687</v>
      </c>
      <c r="C7992" t="s">
        <v>58</v>
      </c>
      <c r="D7992" s="21" t="s">
        <v>34</v>
      </c>
      <c r="E7992" s="21" t="s">
        <v>35</v>
      </c>
      <c r="F7992">
        <v>12530016</v>
      </c>
      <c r="G7992" t="s">
        <v>2069</v>
      </c>
      <c r="H7992" s="21">
        <v>1063.17</v>
      </c>
    </row>
    <row r="7993" spans="1:8" customFormat="1" x14ac:dyDescent="0.25">
      <c r="A7993" t="str">
        <f>"7612344"</f>
        <v>7612344</v>
      </c>
      <c r="B7993" t="s">
        <v>7511</v>
      </c>
      <c r="C7993" t="s">
        <v>269</v>
      </c>
      <c r="D7993" s="21" t="s">
        <v>34</v>
      </c>
      <c r="E7993" s="21" t="s">
        <v>71</v>
      </c>
      <c r="F7993">
        <v>9760342</v>
      </c>
      <c r="G7993" t="s">
        <v>3619</v>
      </c>
      <c r="H7993" s="21">
        <v>1063.17</v>
      </c>
    </row>
    <row r="7994" spans="1:8" customFormat="1" x14ac:dyDescent="0.25">
      <c r="A7994" t="str">
        <f>"441701"</f>
        <v>441701</v>
      </c>
      <c r="B7994" t="s">
        <v>7799</v>
      </c>
      <c r="C7994" t="s">
        <v>926</v>
      </c>
      <c r="D7994" s="21" t="s">
        <v>34</v>
      </c>
      <c r="E7994" s="21" t="s">
        <v>71</v>
      </c>
      <c r="F7994">
        <v>12440051</v>
      </c>
      <c r="G7994" t="s">
        <v>2191</v>
      </c>
      <c r="H7994" s="21">
        <v>1063.17</v>
      </c>
    </row>
    <row r="7995" spans="1:8" customFormat="1" x14ac:dyDescent="0.25">
      <c r="A7995" t="str">
        <f>"143180"</f>
        <v>143180</v>
      </c>
      <c r="B7995" t="s">
        <v>6897</v>
      </c>
      <c r="C7995" t="s">
        <v>40</v>
      </c>
      <c r="D7995" s="21" t="s">
        <v>34</v>
      </c>
      <c r="E7995" s="21" t="s">
        <v>254</v>
      </c>
      <c r="F7995">
        <v>9140019</v>
      </c>
      <c r="G7995" t="s">
        <v>3901</v>
      </c>
      <c r="H7995" s="21">
        <v>1063.17</v>
      </c>
    </row>
    <row r="7996" spans="1:8" customFormat="1" x14ac:dyDescent="0.25">
      <c r="A7996" t="str">
        <f>"881889"</f>
        <v>881889</v>
      </c>
      <c r="B7996" t="s">
        <v>7992</v>
      </c>
      <c r="C7996" t="s">
        <v>60</v>
      </c>
      <c r="D7996" s="21" t="s">
        <v>34</v>
      </c>
      <c r="E7996" s="21" t="s">
        <v>35</v>
      </c>
      <c r="F7996">
        <v>6880110</v>
      </c>
      <c r="G7996" t="s">
        <v>4990</v>
      </c>
      <c r="H7996" s="21">
        <v>1063.17</v>
      </c>
    </row>
    <row r="7997" spans="1:8" customFormat="1" x14ac:dyDescent="0.25">
      <c r="A7997" t="str">
        <f>"168767"</f>
        <v>168767</v>
      </c>
      <c r="B7997" t="s">
        <v>1048</v>
      </c>
      <c r="C7997" t="s">
        <v>1675</v>
      </c>
      <c r="D7997" s="21" t="s">
        <v>34</v>
      </c>
      <c r="E7997" s="21" t="s">
        <v>35</v>
      </c>
      <c r="F7997">
        <v>10170223</v>
      </c>
      <c r="G7997" t="s">
        <v>7057</v>
      </c>
      <c r="H7997" s="21">
        <v>1063.17</v>
      </c>
    </row>
    <row r="7998" spans="1:8" customFormat="1" x14ac:dyDescent="0.25">
      <c r="A7998" t="str">
        <f>"6931690"</f>
        <v>6931690</v>
      </c>
      <c r="B7998" t="s">
        <v>7984</v>
      </c>
      <c r="C7998" t="s">
        <v>209</v>
      </c>
      <c r="D7998" s="21" t="s">
        <v>34</v>
      </c>
      <c r="E7998" s="21" t="s">
        <v>35</v>
      </c>
      <c r="F7998">
        <v>1690023</v>
      </c>
      <c r="G7998" t="s">
        <v>647</v>
      </c>
      <c r="H7998" s="21">
        <v>1063.17</v>
      </c>
    </row>
    <row r="7999" spans="1:8" customFormat="1" x14ac:dyDescent="0.25">
      <c r="A7999" t="str">
        <f>"419198"</f>
        <v>419198</v>
      </c>
      <c r="B7999" t="s">
        <v>201</v>
      </c>
      <c r="C7999" t="s">
        <v>462</v>
      </c>
      <c r="D7999" s="21" t="s">
        <v>34</v>
      </c>
      <c r="E7999" s="21" t="s">
        <v>71</v>
      </c>
      <c r="F7999">
        <v>4410612</v>
      </c>
      <c r="G7999" t="s">
        <v>815</v>
      </c>
      <c r="H7999" s="21">
        <v>1063.17</v>
      </c>
    </row>
    <row r="8000" spans="1:8" customFormat="1" x14ac:dyDescent="0.25">
      <c r="A8000" t="str">
        <f>"4912192"</f>
        <v>4912192</v>
      </c>
      <c r="B8000" t="s">
        <v>12050</v>
      </c>
      <c r="C8000" t="s">
        <v>269</v>
      </c>
      <c r="D8000" s="21" t="s">
        <v>34</v>
      </c>
      <c r="E8000" s="21" t="s">
        <v>71</v>
      </c>
      <c r="F8000">
        <v>12490018</v>
      </c>
      <c r="G8000" t="s">
        <v>2269</v>
      </c>
      <c r="H8000" s="21">
        <v>1062.68</v>
      </c>
    </row>
    <row r="8001" spans="1:8" customFormat="1" x14ac:dyDescent="0.25">
      <c r="A8001" t="str">
        <f>"0114678"</f>
        <v>0114678</v>
      </c>
      <c r="B8001" t="s">
        <v>8990</v>
      </c>
      <c r="C8001" t="s">
        <v>139</v>
      </c>
      <c r="D8001" s="21" t="s">
        <v>34</v>
      </c>
      <c r="E8001" s="21" t="s">
        <v>35</v>
      </c>
      <c r="F8001">
        <v>1010054</v>
      </c>
      <c r="G8001" t="s">
        <v>8991</v>
      </c>
      <c r="H8001" s="21">
        <v>1062.67</v>
      </c>
    </row>
    <row r="8002" spans="1:8" customFormat="1" x14ac:dyDescent="0.25">
      <c r="A8002" t="str">
        <f>"449050"</f>
        <v>449050</v>
      </c>
      <c r="B8002" t="s">
        <v>3251</v>
      </c>
      <c r="C8002" t="s">
        <v>187</v>
      </c>
      <c r="D8002" s="21" t="s">
        <v>34</v>
      </c>
      <c r="E8002" s="21" t="s">
        <v>71</v>
      </c>
      <c r="F8002">
        <v>12440092</v>
      </c>
      <c r="G8002" t="s">
        <v>8475</v>
      </c>
      <c r="H8002" s="21">
        <v>1062.67</v>
      </c>
    </row>
    <row r="8003" spans="1:8" customFormat="1" x14ac:dyDescent="0.25">
      <c r="A8003" t="str">
        <f>"4440769"</f>
        <v>4440769</v>
      </c>
      <c r="B8003" t="s">
        <v>7795</v>
      </c>
      <c r="C8003" t="s">
        <v>233</v>
      </c>
      <c r="D8003" s="21" t="s">
        <v>34</v>
      </c>
      <c r="E8003" s="21" t="s">
        <v>71</v>
      </c>
      <c r="F8003">
        <v>12440015</v>
      </c>
      <c r="G8003" t="s">
        <v>8421</v>
      </c>
      <c r="H8003" s="21">
        <v>1062.67</v>
      </c>
    </row>
    <row r="8004" spans="1:8" customFormat="1" x14ac:dyDescent="0.25">
      <c r="A8004" t="str">
        <f>"68185"</f>
        <v>68185</v>
      </c>
      <c r="B8004" t="s">
        <v>8788</v>
      </c>
      <c r="C8004" t="s">
        <v>239</v>
      </c>
      <c r="D8004" s="21" t="s">
        <v>34</v>
      </c>
      <c r="E8004" s="21" t="s">
        <v>71</v>
      </c>
      <c r="F8004">
        <v>6680091</v>
      </c>
      <c r="G8004" t="s">
        <v>693</v>
      </c>
      <c r="H8004" s="21">
        <v>1062.67</v>
      </c>
    </row>
    <row r="8005" spans="1:8" customFormat="1" x14ac:dyDescent="0.25">
      <c r="A8005" t="str">
        <f>"363154"</f>
        <v>363154</v>
      </c>
      <c r="B8005" t="s">
        <v>7954</v>
      </c>
      <c r="C8005" t="s">
        <v>249</v>
      </c>
      <c r="D8005" s="21" t="s">
        <v>34</v>
      </c>
      <c r="E8005" s="21" t="s">
        <v>71</v>
      </c>
      <c r="F8005">
        <v>4360653</v>
      </c>
      <c r="G8005" t="s">
        <v>7955</v>
      </c>
      <c r="H8005" s="21">
        <v>1062.67</v>
      </c>
    </row>
    <row r="8006" spans="1:8" customFormat="1" x14ac:dyDescent="0.25">
      <c r="A8006" t="str">
        <f>"3769"</f>
        <v>3769</v>
      </c>
      <c r="B8006" t="s">
        <v>9974</v>
      </c>
      <c r="C8006" t="s">
        <v>822</v>
      </c>
      <c r="D8006" s="21" t="s">
        <v>34</v>
      </c>
      <c r="E8006" s="21" t="s">
        <v>254</v>
      </c>
      <c r="F8006">
        <v>4370183</v>
      </c>
      <c r="G8006" t="s">
        <v>231</v>
      </c>
      <c r="H8006" s="21">
        <v>1062.67</v>
      </c>
    </row>
    <row r="8007" spans="1:8" customFormat="1" x14ac:dyDescent="0.25">
      <c r="A8007" t="str">
        <f>"948869"</f>
        <v>948869</v>
      </c>
      <c r="B8007" t="s">
        <v>8574</v>
      </c>
      <c r="C8007" t="s">
        <v>239</v>
      </c>
      <c r="D8007" s="21" t="s">
        <v>34</v>
      </c>
      <c r="E8007" s="21" t="s">
        <v>254</v>
      </c>
      <c r="F8007">
        <v>8910642</v>
      </c>
      <c r="G8007" t="s">
        <v>27027</v>
      </c>
      <c r="H8007" s="21">
        <v>1062.67</v>
      </c>
    </row>
    <row r="8008" spans="1:8" customFormat="1" x14ac:dyDescent="0.25">
      <c r="A8008" t="str">
        <f>"864363"</f>
        <v>864363</v>
      </c>
      <c r="B8008" t="s">
        <v>27028</v>
      </c>
      <c r="C8008" t="s">
        <v>275</v>
      </c>
      <c r="D8008" s="21" t="s">
        <v>34</v>
      </c>
      <c r="E8008" s="21" t="s">
        <v>35</v>
      </c>
      <c r="F8008">
        <v>10860084</v>
      </c>
      <c r="G8008" t="s">
        <v>7471</v>
      </c>
      <c r="H8008" s="21">
        <v>1062.67</v>
      </c>
    </row>
    <row r="8009" spans="1:8" customFormat="1" x14ac:dyDescent="0.25">
      <c r="A8009" t="str">
        <f>"5715894"</f>
        <v>5715894</v>
      </c>
      <c r="B8009" t="s">
        <v>9204</v>
      </c>
      <c r="C8009" t="s">
        <v>3010</v>
      </c>
      <c r="D8009" s="21" t="s">
        <v>34</v>
      </c>
      <c r="E8009" s="21" t="s">
        <v>254</v>
      </c>
      <c r="F8009">
        <v>6570179</v>
      </c>
      <c r="G8009" t="s">
        <v>9205</v>
      </c>
      <c r="H8009" s="21">
        <v>1062.67</v>
      </c>
    </row>
    <row r="8010" spans="1:8" customFormat="1" x14ac:dyDescent="0.25">
      <c r="A8010" t="str">
        <f>"9211188"</f>
        <v>9211188</v>
      </c>
      <c r="B8010" t="s">
        <v>1981</v>
      </c>
      <c r="C8010" t="s">
        <v>7643</v>
      </c>
      <c r="D8010" s="21" t="s">
        <v>34</v>
      </c>
      <c r="E8010" s="21" t="s">
        <v>71</v>
      </c>
      <c r="F8010">
        <v>8920126</v>
      </c>
      <c r="G8010" t="s">
        <v>1168</v>
      </c>
      <c r="H8010" s="21">
        <v>1062.67</v>
      </c>
    </row>
    <row r="8011" spans="1:8" customFormat="1" x14ac:dyDescent="0.25">
      <c r="A8011" t="str">
        <f>"704230"</f>
        <v>704230</v>
      </c>
      <c r="B8011" t="s">
        <v>9508</v>
      </c>
      <c r="C8011" t="s">
        <v>249</v>
      </c>
      <c r="D8011" s="21" t="s">
        <v>34</v>
      </c>
      <c r="E8011" s="21" t="s">
        <v>35</v>
      </c>
      <c r="F8011">
        <v>2700093</v>
      </c>
      <c r="G8011" t="s">
        <v>5302</v>
      </c>
      <c r="H8011" s="21">
        <v>1062.54</v>
      </c>
    </row>
    <row r="8012" spans="1:8" customFormat="1" x14ac:dyDescent="0.25">
      <c r="A8012" t="str">
        <f>"317876"</f>
        <v>317876</v>
      </c>
      <c r="B8012" t="s">
        <v>4341</v>
      </c>
      <c r="C8012" t="s">
        <v>249</v>
      </c>
      <c r="D8012" s="21" t="s">
        <v>34</v>
      </c>
      <c r="E8012" s="21" t="s">
        <v>71</v>
      </c>
      <c r="F8012">
        <v>8920140</v>
      </c>
      <c r="G8012" t="s">
        <v>3762</v>
      </c>
      <c r="H8012" s="21">
        <v>1062.43</v>
      </c>
    </row>
    <row r="8013" spans="1:8" customFormat="1" x14ac:dyDescent="0.25">
      <c r="A8013" t="str">
        <f>"5318824"</f>
        <v>5318824</v>
      </c>
      <c r="B8013" t="s">
        <v>9618</v>
      </c>
      <c r="C8013" t="s">
        <v>147</v>
      </c>
      <c r="D8013" s="21" t="s">
        <v>34</v>
      </c>
      <c r="E8013" s="21" t="s">
        <v>35</v>
      </c>
      <c r="F8013">
        <v>12530003</v>
      </c>
      <c r="G8013" t="s">
        <v>8260</v>
      </c>
      <c r="H8013" s="21">
        <v>1062.43</v>
      </c>
    </row>
    <row r="8014" spans="1:8" customFormat="1" x14ac:dyDescent="0.25">
      <c r="A8014" t="str">
        <f>"9125803"</f>
        <v>9125803</v>
      </c>
      <c r="B8014" t="s">
        <v>27029</v>
      </c>
      <c r="C8014" t="s">
        <v>169</v>
      </c>
      <c r="D8014" s="21" t="s">
        <v>34</v>
      </c>
      <c r="E8014" s="21" t="s">
        <v>35</v>
      </c>
      <c r="F8014">
        <v>8911456</v>
      </c>
      <c r="G8014" t="s">
        <v>6481</v>
      </c>
      <c r="H8014" s="21">
        <v>1062.43</v>
      </c>
    </row>
    <row r="8015" spans="1:8" customFormat="1" x14ac:dyDescent="0.25">
      <c r="A8015" t="str">
        <f>"5321420"</f>
        <v>5321420</v>
      </c>
      <c r="B8015" t="s">
        <v>8036</v>
      </c>
      <c r="C8015" t="s">
        <v>415</v>
      </c>
      <c r="D8015" s="21" t="s">
        <v>34</v>
      </c>
      <c r="E8015" s="21" t="s">
        <v>35</v>
      </c>
      <c r="F8015">
        <v>12530060</v>
      </c>
      <c r="G8015" t="s">
        <v>1356</v>
      </c>
      <c r="H8015" s="21">
        <v>1062.42</v>
      </c>
    </row>
    <row r="8016" spans="1:8" customFormat="1" x14ac:dyDescent="0.25">
      <c r="A8016" t="str">
        <f>"4417413"</f>
        <v>4417413</v>
      </c>
      <c r="B8016" t="s">
        <v>27030</v>
      </c>
      <c r="C8016" t="s">
        <v>239</v>
      </c>
      <c r="D8016" s="21" t="s">
        <v>34</v>
      </c>
      <c r="E8016" s="21" t="s">
        <v>35</v>
      </c>
      <c r="F8016">
        <v>3350044</v>
      </c>
      <c r="G8016" t="s">
        <v>12041</v>
      </c>
      <c r="H8016" s="21">
        <v>1062.42</v>
      </c>
    </row>
    <row r="8017" spans="1:8" customFormat="1" x14ac:dyDescent="0.25">
      <c r="A8017" t="str">
        <f>"1421501"</f>
        <v>1421501</v>
      </c>
      <c r="B8017" t="s">
        <v>8439</v>
      </c>
      <c r="C8017" t="s">
        <v>33</v>
      </c>
      <c r="D8017" s="21" t="s">
        <v>34</v>
      </c>
      <c r="E8017" s="21" t="s">
        <v>35</v>
      </c>
      <c r="F8017">
        <v>9140083</v>
      </c>
      <c r="G8017" t="s">
        <v>8440</v>
      </c>
      <c r="H8017" s="21">
        <v>1062.42</v>
      </c>
    </row>
    <row r="8018" spans="1:8" customFormat="1" x14ac:dyDescent="0.25">
      <c r="A8018" t="str">
        <f>"9744970"</f>
        <v>9744970</v>
      </c>
      <c r="B8018" t="s">
        <v>9402</v>
      </c>
      <c r="C8018" t="s">
        <v>1841</v>
      </c>
      <c r="D8018" s="21" t="s">
        <v>34</v>
      </c>
      <c r="E8018" s="21" t="s">
        <v>71</v>
      </c>
      <c r="F8018" t="s">
        <v>2839</v>
      </c>
      <c r="G8018" t="s">
        <v>2840</v>
      </c>
      <c r="H8018" s="21">
        <v>1062.3</v>
      </c>
    </row>
    <row r="8019" spans="1:8" customFormat="1" x14ac:dyDescent="0.25">
      <c r="A8019" t="str">
        <f>"59233"</f>
        <v>59233</v>
      </c>
      <c r="B8019" t="s">
        <v>8633</v>
      </c>
      <c r="C8019" t="s">
        <v>239</v>
      </c>
      <c r="D8019" s="21" t="s">
        <v>34</v>
      </c>
      <c r="E8019" s="21" t="s">
        <v>254</v>
      </c>
      <c r="F8019">
        <v>7590051</v>
      </c>
      <c r="G8019" t="s">
        <v>3831</v>
      </c>
      <c r="H8019" s="21">
        <v>1062.17</v>
      </c>
    </row>
    <row r="8020" spans="1:8" customFormat="1" x14ac:dyDescent="0.25">
      <c r="A8020" t="str">
        <f>"7916648"</f>
        <v>7916648</v>
      </c>
      <c r="B8020" t="s">
        <v>9497</v>
      </c>
      <c r="C8020" t="s">
        <v>114</v>
      </c>
      <c r="D8020" s="21" t="s">
        <v>34</v>
      </c>
      <c r="E8020" s="21" t="s">
        <v>71</v>
      </c>
      <c r="F8020">
        <v>10790235</v>
      </c>
      <c r="G8020" t="s">
        <v>413</v>
      </c>
      <c r="H8020" s="21">
        <v>1062.17</v>
      </c>
    </row>
    <row r="8021" spans="1:8" customFormat="1" x14ac:dyDescent="0.25">
      <c r="A8021" t="str">
        <f>"186810"</f>
        <v>186810</v>
      </c>
      <c r="B8021" t="s">
        <v>8517</v>
      </c>
      <c r="C8021" t="s">
        <v>169</v>
      </c>
      <c r="D8021" s="21" t="s">
        <v>34</v>
      </c>
      <c r="E8021" s="21" t="s">
        <v>71</v>
      </c>
      <c r="F8021">
        <v>4360009</v>
      </c>
      <c r="G8021" t="s">
        <v>6259</v>
      </c>
      <c r="H8021" s="21">
        <v>1062.17</v>
      </c>
    </row>
    <row r="8022" spans="1:8" customFormat="1" x14ac:dyDescent="0.25">
      <c r="A8022" t="str">
        <f>"121688"</f>
        <v>121688</v>
      </c>
      <c r="B8022" t="s">
        <v>8291</v>
      </c>
      <c r="C8022" t="s">
        <v>1132</v>
      </c>
      <c r="D8022" s="21" t="s">
        <v>34</v>
      </c>
      <c r="E8022" s="21" t="s">
        <v>71</v>
      </c>
      <c r="F8022">
        <v>11120009</v>
      </c>
      <c r="G8022" t="s">
        <v>3369</v>
      </c>
      <c r="H8022" s="21">
        <v>1062.17</v>
      </c>
    </row>
    <row r="8023" spans="1:8" customFormat="1" x14ac:dyDescent="0.25">
      <c r="A8023" t="str">
        <f>"452700"</f>
        <v>452700</v>
      </c>
      <c r="B8023" t="s">
        <v>3582</v>
      </c>
      <c r="C8023" t="s">
        <v>817</v>
      </c>
      <c r="D8023" s="21" t="s">
        <v>34</v>
      </c>
      <c r="E8023" s="21" t="s">
        <v>254</v>
      </c>
      <c r="F8023">
        <v>4450757</v>
      </c>
      <c r="G8023" t="s">
        <v>3829</v>
      </c>
      <c r="H8023" s="21">
        <v>1062.17</v>
      </c>
    </row>
    <row r="8024" spans="1:8" customFormat="1" x14ac:dyDescent="0.25">
      <c r="A8024" t="str">
        <f>"65299"</f>
        <v>65299</v>
      </c>
      <c r="B8024" t="s">
        <v>7144</v>
      </c>
      <c r="C8024" t="s">
        <v>267</v>
      </c>
      <c r="D8024" s="21" t="s">
        <v>34</v>
      </c>
      <c r="E8024" s="21" t="s">
        <v>1089</v>
      </c>
      <c r="F8024">
        <v>11650034</v>
      </c>
      <c r="G8024" t="s">
        <v>1989</v>
      </c>
      <c r="H8024" s="21">
        <v>1062.17</v>
      </c>
    </row>
    <row r="8025" spans="1:8" customFormat="1" x14ac:dyDescent="0.25">
      <c r="A8025" t="str">
        <f>"11281"</f>
        <v>11281</v>
      </c>
      <c r="B8025" t="s">
        <v>7781</v>
      </c>
      <c r="C8025" t="s">
        <v>1812</v>
      </c>
      <c r="D8025" s="21" t="s">
        <v>34</v>
      </c>
      <c r="E8025" s="21" t="s">
        <v>71</v>
      </c>
      <c r="F8025">
        <v>11110013</v>
      </c>
      <c r="G8025" t="s">
        <v>640</v>
      </c>
      <c r="H8025" s="21">
        <v>1062.17</v>
      </c>
    </row>
    <row r="8026" spans="1:8" customFormat="1" x14ac:dyDescent="0.25">
      <c r="A8026" t="str">
        <f>"2937477"</f>
        <v>2937477</v>
      </c>
      <c r="B8026" t="s">
        <v>4261</v>
      </c>
      <c r="C8026" t="s">
        <v>1812</v>
      </c>
      <c r="D8026" s="21" t="s">
        <v>34</v>
      </c>
      <c r="E8026" s="21" t="s">
        <v>254</v>
      </c>
      <c r="F8026">
        <v>3290036</v>
      </c>
      <c r="G8026" t="s">
        <v>3903</v>
      </c>
      <c r="H8026" s="21">
        <v>1062.17</v>
      </c>
    </row>
    <row r="8027" spans="1:8" customFormat="1" x14ac:dyDescent="0.25">
      <c r="A8027" t="str">
        <f>"3419767"</f>
        <v>3419767</v>
      </c>
      <c r="B8027" t="s">
        <v>9672</v>
      </c>
      <c r="C8027" t="s">
        <v>415</v>
      </c>
      <c r="D8027" s="21" t="s">
        <v>34</v>
      </c>
      <c r="E8027" s="21" t="s">
        <v>71</v>
      </c>
      <c r="F8027">
        <v>11340061</v>
      </c>
      <c r="G8027" t="s">
        <v>6763</v>
      </c>
      <c r="H8027" s="21">
        <v>1062.17</v>
      </c>
    </row>
    <row r="8028" spans="1:8" customFormat="1" x14ac:dyDescent="0.25">
      <c r="A8028" t="str">
        <f>"6211289"</f>
        <v>6211289</v>
      </c>
      <c r="B8028" t="s">
        <v>7909</v>
      </c>
      <c r="C8028" t="s">
        <v>130</v>
      </c>
      <c r="D8028" s="21" t="s">
        <v>34</v>
      </c>
      <c r="E8028" s="21" t="s">
        <v>71</v>
      </c>
      <c r="F8028">
        <v>7620088</v>
      </c>
      <c r="G8028" t="s">
        <v>3342</v>
      </c>
      <c r="H8028" s="21">
        <v>1062.17</v>
      </c>
    </row>
    <row r="8029" spans="1:8" customFormat="1" x14ac:dyDescent="0.25">
      <c r="A8029" t="str">
        <f>"9128076"</f>
        <v>9128076</v>
      </c>
      <c r="B8029" t="s">
        <v>9457</v>
      </c>
      <c r="C8029" t="s">
        <v>598</v>
      </c>
      <c r="D8029" s="21" t="s">
        <v>34</v>
      </c>
      <c r="E8029" s="21" t="s">
        <v>71</v>
      </c>
      <c r="F8029">
        <v>8910914</v>
      </c>
      <c r="G8029" t="s">
        <v>3302</v>
      </c>
      <c r="H8029" s="21">
        <v>1062.05</v>
      </c>
    </row>
    <row r="8030" spans="1:8" customFormat="1" x14ac:dyDescent="0.25">
      <c r="A8030" t="str">
        <f>"413079"</f>
        <v>413079</v>
      </c>
      <c r="B8030" t="s">
        <v>8196</v>
      </c>
      <c r="C8030" t="s">
        <v>598</v>
      </c>
      <c r="D8030" s="21" t="s">
        <v>34</v>
      </c>
      <c r="E8030" s="21" t="s">
        <v>254</v>
      </c>
      <c r="F8030">
        <v>4410612</v>
      </c>
      <c r="G8030" t="s">
        <v>815</v>
      </c>
      <c r="H8030" s="21">
        <v>1061.93</v>
      </c>
    </row>
    <row r="8031" spans="1:8" customFormat="1" x14ac:dyDescent="0.25">
      <c r="A8031" t="str">
        <f>"5011978"</f>
        <v>5011978</v>
      </c>
      <c r="B8031" t="s">
        <v>4449</v>
      </c>
      <c r="C8031" t="s">
        <v>1063</v>
      </c>
      <c r="D8031" s="21" t="s">
        <v>34</v>
      </c>
      <c r="E8031" s="21" t="s">
        <v>35</v>
      </c>
      <c r="F8031">
        <v>9500143</v>
      </c>
      <c r="G8031" t="s">
        <v>2884</v>
      </c>
      <c r="H8031" s="21">
        <v>1061.92</v>
      </c>
    </row>
    <row r="8032" spans="1:8" customFormat="1" x14ac:dyDescent="0.25">
      <c r="A8032" t="str">
        <f>"783161"</f>
        <v>783161</v>
      </c>
      <c r="B8032" t="s">
        <v>9103</v>
      </c>
      <c r="C8032" t="s">
        <v>65</v>
      </c>
      <c r="D8032" s="21" t="s">
        <v>34</v>
      </c>
      <c r="E8032" s="21" t="s">
        <v>71</v>
      </c>
      <c r="F8032">
        <v>8780016</v>
      </c>
      <c r="G8032" t="s">
        <v>3153</v>
      </c>
      <c r="H8032" s="21">
        <v>1061.92</v>
      </c>
    </row>
    <row r="8033" spans="1:8" customFormat="1" x14ac:dyDescent="0.25">
      <c r="A8033" t="str">
        <f>"491772"</f>
        <v>491772</v>
      </c>
      <c r="B8033" t="s">
        <v>3096</v>
      </c>
      <c r="C8033" t="s">
        <v>202</v>
      </c>
      <c r="D8033" s="21" t="s">
        <v>34</v>
      </c>
      <c r="E8033" s="21" t="s">
        <v>71</v>
      </c>
      <c r="F8033">
        <v>12490020</v>
      </c>
      <c r="G8033" t="s">
        <v>5370</v>
      </c>
      <c r="H8033" s="21">
        <v>1061.79</v>
      </c>
    </row>
    <row r="8034" spans="1:8" customFormat="1" x14ac:dyDescent="0.25">
      <c r="A8034" t="str">
        <f>"59555"</f>
        <v>59555</v>
      </c>
      <c r="B8034" t="s">
        <v>8922</v>
      </c>
      <c r="C8034" t="s">
        <v>121</v>
      </c>
      <c r="D8034" s="21" t="s">
        <v>34</v>
      </c>
      <c r="E8034" s="21" t="s">
        <v>71</v>
      </c>
      <c r="F8034">
        <v>7590021</v>
      </c>
      <c r="G8034" t="s">
        <v>4910</v>
      </c>
      <c r="H8034" s="21">
        <v>1061.67</v>
      </c>
    </row>
    <row r="8035" spans="1:8" customFormat="1" x14ac:dyDescent="0.25">
      <c r="A8035" t="str">
        <f>"5621116"</f>
        <v>5621116</v>
      </c>
      <c r="B8035" t="s">
        <v>10407</v>
      </c>
      <c r="C8035" t="s">
        <v>198</v>
      </c>
      <c r="D8035" s="21" t="s">
        <v>34</v>
      </c>
      <c r="E8035" s="21" t="s">
        <v>254</v>
      </c>
      <c r="F8035">
        <v>3560039</v>
      </c>
      <c r="G8035" t="s">
        <v>167</v>
      </c>
      <c r="H8035" s="21">
        <v>1061.67</v>
      </c>
    </row>
    <row r="8036" spans="1:8" customFormat="1" x14ac:dyDescent="0.25">
      <c r="A8036" t="str">
        <f>"677417"</f>
        <v>677417</v>
      </c>
      <c r="B8036" t="s">
        <v>7755</v>
      </c>
      <c r="C8036" t="s">
        <v>7756</v>
      </c>
      <c r="D8036" s="21" t="s">
        <v>34</v>
      </c>
      <c r="E8036" s="21" t="s">
        <v>254</v>
      </c>
      <c r="F8036">
        <v>6670171</v>
      </c>
      <c r="G8036" t="s">
        <v>4843</v>
      </c>
      <c r="H8036" s="21">
        <v>1061.67</v>
      </c>
    </row>
    <row r="8037" spans="1:8" customFormat="1" x14ac:dyDescent="0.25">
      <c r="A8037" t="str">
        <f>"30206"</f>
        <v>30206</v>
      </c>
      <c r="B8037" t="s">
        <v>8281</v>
      </c>
      <c r="C8037" t="s">
        <v>40</v>
      </c>
      <c r="D8037" s="21" t="s">
        <v>34</v>
      </c>
      <c r="E8037" s="21" t="s">
        <v>71</v>
      </c>
      <c r="F8037">
        <v>11300012</v>
      </c>
      <c r="G8037" t="s">
        <v>5958</v>
      </c>
      <c r="H8037" s="21">
        <v>1061.67</v>
      </c>
    </row>
    <row r="8038" spans="1:8" customFormat="1" x14ac:dyDescent="0.25">
      <c r="A8038" t="str">
        <f>"831303"</f>
        <v>831303</v>
      </c>
      <c r="B8038" t="s">
        <v>6593</v>
      </c>
      <c r="C8038" t="s">
        <v>249</v>
      </c>
      <c r="D8038" s="21" t="s">
        <v>34</v>
      </c>
      <c r="E8038" s="21" t="s">
        <v>71</v>
      </c>
      <c r="F8038">
        <v>13830051</v>
      </c>
      <c r="G8038" t="s">
        <v>2031</v>
      </c>
      <c r="H8038" s="21">
        <v>1061.67</v>
      </c>
    </row>
    <row r="8039" spans="1:8" customFormat="1" x14ac:dyDescent="0.25">
      <c r="A8039" t="str">
        <f>"0615695"</f>
        <v>0615695</v>
      </c>
      <c r="B8039" t="s">
        <v>5112</v>
      </c>
      <c r="C8039" t="s">
        <v>90</v>
      </c>
      <c r="D8039" s="21" t="s">
        <v>34</v>
      </c>
      <c r="E8039" s="21" t="s">
        <v>35</v>
      </c>
      <c r="F8039">
        <v>13060090</v>
      </c>
      <c r="G8039" t="s">
        <v>1363</v>
      </c>
      <c r="H8039" s="21">
        <v>1061.67</v>
      </c>
    </row>
    <row r="8040" spans="1:8" customFormat="1" x14ac:dyDescent="0.25">
      <c r="A8040" t="str">
        <f>"765724"</f>
        <v>765724</v>
      </c>
      <c r="B8040" t="s">
        <v>5712</v>
      </c>
      <c r="C8040" t="s">
        <v>263</v>
      </c>
      <c r="D8040" s="21" t="s">
        <v>34</v>
      </c>
      <c r="E8040" s="21" t="s">
        <v>71</v>
      </c>
      <c r="F8040">
        <v>9760025</v>
      </c>
      <c r="G8040" t="s">
        <v>2620</v>
      </c>
      <c r="H8040" s="21">
        <v>1061.67</v>
      </c>
    </row>
    <row r="8041" spans="1:8" customFormat="1" x14ac:dyDescent="0.25">
      <c r="A8041" t="str">
        <f>"51487"</f>
        <v>51487</v>
      </c>
      <c r="B8041" t="s">
        <v>9112</v>
      </c>
      <c r="C8041" t="s">
        <v>263</v>
      </c>
      <c r="D8041" s="21" t="s">
        <v>34</v>
      </c>
      <c r="E8041" s="21" t="s">
        <v>254</v>
      </c>
      <c r="F8041">
        <v>6510040</v>
      </c>
      <c r="G8041" t="s">
        <v>9113</v>
      </c>
      <c r="H8041" s="21">
        <v>1061.67</v>
      </c>
    </row>
    <row r="8042" spans="1:8" customFormat="1" x14ac:dyDescent="0.25">
      <c r="A8042" t="str">
        <f>"728131"</f>
        <v>728131</v>
      </c>
      <c r="B8042" t="s">
        <v>9230</v>
      </c>
      <c r="C8042" t="s">
        <v>3905</v>
      </c>
      <c r="D8042" s="21" t="s">
        <v>34</v>
      </c>
      <c r="E8042" s="21" t="s">
        <v>1089</v>
      </c>
      <c r="F8042">
        <v>12720056</v>
      </c>
      <c r="G8042" t="s">
        <v>9231</v>
      </c>
      <c r="H8042" s="21">
        <v>1061.55</v>
      </c>
    </row>
    <row r="8043" spans="1:8" customFormat="1" x14ac:dyDescent="0.25">
      <c r="A8043" t="str">
        <f>"8810375"</f>
        <v>8810375</v>
      </c>
      <c r="B8043" t="s">
        <v>8001</v>
      </c>
      <c r="C8043" t="s">
        <v>169</v>
      </c>
      <c r="D8043" s="21" t="s">
        <v>34</v>
      </c>
      <c r="E8043" s="21" t="s">
        <v>71</v>
      </c>
      <c r="F8043">
        <v>2210048</v>
      </c>
      <c r="G8043" t="s">
        <v>7499</v>
      </c>
      <c r="H8043" s="21">
        <v>1061.42</v>
      </c>
    </row>
    <row r="8044" spans="1:8" customFormat="1" x14ac:dyDescent="0.25">
      <c r="A8044" t="str">
        <f>"722015"</f>
        <v>722015</v>
      </c>
      <c r="B8044" t="s">
        <v>4728</v>
      </c>
      <c r="C8044" t="s">
        <v>239</v>
      </c>
      <c r="D8044" s="21" t="s">
        <v>34</v>
      </c>
      <c r="E8044" s="21" t="s">
        <v>71</v>
      </c>
      <c r="F8044">
        <v>12720041</v>
      </c>
      <c r="G8044" t="s">
        <v>4240</v>
      </c>
      <c r="H8044" s="21">
        <v>1061.42</v>
      </c>
    </row>
    <row r="8045" spans="1:8" customFormat="1" x14ac:dyDescent="0.25">
      <c r="A8045" t="str">
        <f>"11944"</f>
        <v>11944</v>
      </c>
      <c r="B8045" t="s">
        <v>8031</v>
      </c>
      <c r="C8045" t="s">
        <v>249</v>
      </c>
      <c r="D8045" s="21" t="s">
        <v>34</v>
      </c>
      <c r="E8045" s="21" t="s">
        <v>254</v>
      </c>
      <c r="F8045">
        <v>11120009</v>
      </c>
      <c r="G8045" t="s">
        <v>3369</v>
      </c>
      <c r="H8045" s="21">
        <v>1061.42</v>
      </c>
    </row>
    <row r="8046" spans="1:8" customFormat="1" x14ac:dyDescent="0.25">
      <c r="A8046" t="str">
        <f>"6014618"</f>
        <v>6014618</v>
      </c>
      <c r="B8046" t="s">
        <v>2067</v>
      </c>
      <c r="C8046" t="s">
        <v>1812</v>
      </c>
      <c r="D8046" s="21" t="s">
        <v>34</v>
      </c>
      <c r="E8046" s="21" t="s">
        <v>71</v>
      </c>
      <c r="F8046">
        <v>10860231</v>
      </c>
      <c r="G8046" t="s">
        <v>7294</v>
      </c>
      <c r="H8046" s="21">
        <v>1061.17</v>
      </c>
    </row>
    <row r="8047" spans="1:8" customFormat="1" x14ac:dyDescent="0.25">
      <c r="A8047" t="str">
        <f>"244155"</f>
        <v>244155</v>
      </c>
      <c r="B8047" t="s">
        <v>4649</v>
      </c>
      <c r="C8047" t="s">
        <v>249</v>
      </c>
      <c r="D8047" s="21" t="s">
        <v>34</v>
      </c>
      <c r="E8047" s="21" t="s">
        <v>35</v>
      </c>
      <c r="F8047">
        <v>10240030</v>
      </c>
      <c r="G8047" t="s">
        <v>8997</v>
      </c>
      <c r="H8047" s="21">
        <v>1061.17</v>
      </c>
    </row>
    <row r="8048" spans="1:8" customFormat="1" x14ac:dyDescent="0.25">
      <c r="A8048" t="str">
        <f>"5614092"</f>
        <v>5614092</v>
      </c>
      <c r="B8048" t="s">
        <v>8164</v>
      </c>
      <c r="C8048" t="s">
        <v>40</v>
      </c>
      <c r="D8048" s="21" t="s">
        <v>34</v>
      </c>
      <c r="E8048" s="21" t="s">
        <v>71</v>
      </c>
      <c r="F8048">
        <v>3560005</v>
      </c>
      <c r="G8048" t="s">
        <v>2101</v>
      </c>
      <c r="H8048" s="21">
        <v>1061.17</v>
      </c>
    </row>
    <row r="8049" spans="1:8" customFormat="1" x14ac:dyDescent="0.25">
      <c r="A8049" t="str">
        <f>"58933"</f>
        <v>58933</v>
      </c>
      <c r="B8049" t="s">
        <v>8448</v>
      </c>
      <c r="C8049" t="s">
        <v>87</v>
      </c>
      <c r="D8049" s="21" t="s">
        <v>34</v>
      </c>
      <c r="E8049" s="21" t="s">
        <v>35</v>
      </c>
      <c r="F8049">
        <v>2580012</v>
      </c>
      <c r="G8049" t="s">
        <v>1144</v>
      </c>
      <c r="H8049" s="21">
        <v>1061.17</v>
      </c>
    </row>
    <row r="8050" spans="1:8" customFormat="1" x14ac:dyDescent="0.25">
      <c r="A8050" t="str">
        <f>"854969"</f>
        <v>854969</v>
      </c>
      <c r="B8050" t="s">
        <v>786</v>
      </c>
      <c r="C8050" t="s">
        <v>7939</v>
      </c>
      <c r="D8050" s="21" t="s">
        <v>34</v>
      </c>
      <c r="E8050" s="21" t="s">
        <v>254</v>
      </c>
      <c r="F8050">
        <v>12850032</v>
      </c>
      <c r="G8050" t="s">
        <v>6589</v>
      </c>
      <c r="H8050" s="21">
        <v>1061.17</v>
      </c>
    </row>
    <row r="8051" spans="1:8" customFormat="1" x14ac:dyDescent="0.25">
      <c r="A8051" t="str">
        <f>"805181"</f>
        <v>805181</v>
      </c>
      <c r="B8051" t="s">
        <v>465</v>
      </c>
      <c r="C8051" t="s">
        <v>209</v>
      </c>
      <c r="D8051" s="21" t="s">
        <v>34</v>
      </c>
      <c r="E8051" s="21" t="s">
        <v>71</v>
      </c>
      <c r="F8051">
        <v>7800054</v>
      </c>
      <c r="G8051" t="s">
        <v>3772</v>
      </c>
      <c r="H8051" s="21">
        <v>1061.17</v>
      </c>
    </row>
    <row r="8052" spans="1:8" customFormat="1" x14ac:dyDescent="0.25">
      <c r="A8052" t="str">
        <f>"6012372"</f>
        <v>6012372</v>
      </c>
      <c r="B8052" t="s">
        <v>9170</v>
      </c>
      <c r="C8052" t="s">
        <v>985</v>
      </c>
      <c r="D8052" s="21" t="s">
        <v>34</v>
      </c>
      <c r="E8052" s="21" t="s">
        <v>35</v>
      </c>
      <c r="F8052">
        <v>7600166</v>
      </c>
      <c r="G8052" t="s">
        <v>9171</v>
      </c>
      <c r="H8052" s="21">
        <v>1061.17</v>
      </c>
    </row>
    <row r="8053" spans="1:8" customFormat="1" x14ac:dyDescent="0.25">
      <c r="A8053" t="str">
        <f>"553756"</f>
        <v>553756</v>
      </c>
      <c r="B8053" t="s">
        <v>4704</v>
      </c>
      <c r="C8053" t="s">
        <v>611</v>
      </c>
      <c r="D8053" s="21" t="s">
        <v>34</v>
      </c>
      <c r="E8053" s="21" t="s">
        <v>35</v>
      </c>
      <c r="F8053">
        <v>6550032</v>
      </c>
      <c r="G8053" t="s">
        <v>8081</v>
      </c>
      <c r="H8053" s="21">
        <v>1061.17</v>
      </c>
    </row>
    <row r="8054" spans="1:8" customFormat="1" x14ac:dyDescent="0.25">
      <c r="A8054" t="str">
        <f>"5943228"</f>
        <v>5943228</v>
      </c>
      <c r="B8054" t="s">
        <v>8059</v>
      </c>
      <c r="C8054" t="s">
        <v>55</v>
      </c>
      <c r="D8054" s="21" t="s">
        <v>34</v>
      </c>
      <c r="E8054" s="21" t="s">
        <v>71</v>
      </c>
      <c r="F8054">
        <v>13130154</v>
      </c>
      <c r="G8054" t="s">
        <v>5503</v>
      </c>
      <c r="H8054" s="21">
        <v>1061.17</v>
      </c>
    </row>
    <row r="8055" spans="1:8" customFormat="1" x14ac:dyDescent="0.25">
      <c r="A8055" t="str">
        <f>"496203"</f>
        <v>496203</v>
      </c>
      <c r="B8055" t="s">
        <v>10537</v>
      </c>
      <c r="C8055" t="s">
        <v>498</v>
      </c>
      <c r="D8055" s="21" t="s">
        <v>34</v>
      </c>
      <c r="E8055" s="21" t="s">
        <v>35</v>
      </c>
      <c r="F8055">
        <v>12490033</v>
      </c>
      <c r="G8055" t="s">
        <v>3469</v>
      </c>
      <c r="H8055" s="21">
        <v>1061.17</v>
      </c>
    </row>
    <row r="8056" spans="1:8" customFormat="1" x14ac:dyDescent="0.25">
      <c r="A8056" t="str">
        <f>"9413222"</f>
        <v>9413222</v>
      </c>
      <c r="B8056" t="s">
        <v>8872</v>
      </c>
      <c r="C8056" t="s">
        <v>1142</v>
      </c>
      <c r="D8056" s="21" t="s">
        <v>34</v>
      </c>
      <c r="E8056" s="21" t="s">
        <v>254</v>
      </c>
      <c r="F8056">
        <v>8940052</v>
      </c>
      <c r="G8056" t="s">
        <v>190</v>
      </c>
      <c r="H8056" s="21">
        <v>1061.05</v>
      </c>
    </row>
    <row r="8057" spans="1:8" customFormat="1" x14ac:dyDescent="0.25">
      <c r="A8057" t="str">
        <f>"418857"</f>
        <v>418857</v>
      </c>
      <c r="B8057" t="s">
        <v>8781</v>
      </c>
      <c r="C8057" t="s">
        <v>121</v>
      </c>
      <c r="D8057" s="21" t="s">
        <v>34</v>
      </c>
      <c r="E8057" s="21" t="s">
        <v>35</v>
      </c>
      <c r="F8057">
        <v>10170158</v>
      </c>
      <c r="G8057" t="s">
        <v>1262</v>
      </c>
      <c r="H8057" s="21">
        <v>1060.92</v>
      </c>
    </row>
    <row r="8058" spans="1:8" customFormat="1" x14ac:dyDescent="0.25">
      <c r="A8058" t="str">
        <f>"6936106"</f>
        <v>6936106</v>
      </c>
      <c r="B8058" t="s">
        <v>8622</v>
      </c>
      <c r="C8058" t="s">
        <v>55</v>
      </c>
      <c r="D8058" s="21" t="s">
        <v>34</v>
      </c>
      <c r="E8058" s="21" t="s">
        <v>71</v>
      </c>
      <c r="F8058">
        <v>1690221</v>
      </c>
      <c r="G8058" t="s">
        <v>303</v>
      </c>
      <c r="H8058" s="21">
        <v>1060.92</v>
      </c>
    </row>
    <row r="8059" spans="1:8" customFormat="1" x14ac:dyDescent="0.25">
      <c r="A8059" t="str">
        <f>"7827541"</f>
        <v>7827541</v>
      </c>
      <c r="B8059" t="s">
        <v>8721</v>
      </c>
      <c r="C8059" t="s">
        <v>33</v>
      </c>
      <c r="D8059" s="21" t="s">
        <v>34</v>
      </c>
      <c r="E8059" s="21" t="s">
        <v>35</v>
      </c>
      <c r="F8059">
        <v>12720120</v>
      </c>
      <c r="G8059" t="s">
        <v>2509</v>
      </c>
      <c r="H8059" s="21">
        <v>1060.8</v>
      </c>
    </row>
    <row r="8060" spans="1:8" customFormat="1" x14ac:dyDescent="0.25">
      <c r="A8060" t="str">
        <f>"936598"</f>
        <v>936598</v>
      </c>
      <c r="B8060" t="s">
        <v>6104</v>
      </c>
      <c r="C8060" t="s">
        <v>267</v>
      </c>
      <c r="D8060" s="21" t="s">
        <v>34</v>
      </c>
      <c r="E8060" s="21" t="s">
        <v>35</v>
      </c>
      <c r="F8060">
        <v>8940549</v>
      </c>
      <c r="G8060" t="s">
        <v>454</v>
      </c>
      <c r="H8060" s="21">
        <v>1060.8</v>
      </c>
    </row>
    <row r="8061" spans="1:8" customFormat="1" x14ac:dyDescent="0.25">
      <c r="A8061" t="str">
        <f>"846080"</f>
        <v>846080</v>
      </c>
      <c r="B8061" t="s">
        <v>9486</v>
      </c>
      <c r="C8061" t="s">
        <v>1142</v>
      </c>
      <c r="D8061" s="21" t="s">
        <v>34</v>
      </c>
      <c r="E8061" s="21" t="s">
        <v>71</v>
      </c>
      <c r="F8061">
        <v>13840021</v>
      </c>
      <c r="G8061" t="s">
        <v>3946</v>
      </c>
      <c r="H8061" s="21">
        <v>1060.67</v>
      </c>
    </row>
    <row r="8062" spans="1:8" customFormat="1" x14ac:dyDescent="0.25">
      <c r="A8062" t="str">
        <f>"104511"</f>
        <v>104511</v>
      </c>
      <c r="B8062" t="s">
        <v>8004</v>
      </c>
      <c r="C8062" t="s">
        <v>249</v>
      </c>
      <c r="D8062" s="21" t="s">
        <v>34</v>
      </c>
      <c r="E8062" s="21" t="s">
        <v>35</v>
      </c>
      <c r="F8062">
        <v>6100002</v>
      </c>
      <c r="G8062" t="s">
        <v>1602</v>
      </c>
      <c r="H8062" s="21">
        <v>1060.67</v>
      </c>
    </row>
    <row r="8063" spans="1:8" customFormat="1" x14ac:dyDescent="0.25">
      <c r="A8063" t="str">
        <f>"5012928"</f>
        <v>5012928</v>
      </c>
      <c r="B8063" t="s">
        <v>8190</v>
      </c>
      <c r="C8063" t="s">
        <v>8191</v>
      </c>
      <c r="D8063" s="21" t="s">
        <v>34</v>
      </c>
      <c r="E8063" s="21" t="s">
        <v>35</v>
      </c>
      <c r="F8063">
        <v>9500011</v>
      </c>
      <c r="G8063" t="s">
        <v>4903</v>
      </c>
      <c r="H8063" s="21">
        <v>1060.67</v>
      </c>
    </row>
    <row r="8064" spans="1:8" customFormat="1" x14ac:dyDescent="0.25">
      <c r="A8064" t="str">
        <f>"6725945"</f>
        <v>6725945</v>
      </c>
      <c r="B8064" t="s">
        <v>8140</v>
      </c>
      <c r="C8064" t="s">
        <v>598</v>
      </c>
      <c r="D8064" s="21" t="s">
        <v>34</v>
      </c>
      <c r="E8064" s="21" t="s">
        <v>35</v>
      </c>
      <c r="F8064">
        <v>6670043</v>
      </c>
      <c r="G8064" t="s">
        <v>5658</v>
      </c>
      <c r="H8064" s="21">
        <v>1060.67</v>
      </c>
    </row>
    <row r="8065" spans="1:8" customFormat="1" x14ac:dyDescent="0.25">
      <c r="A8065" t="str">
        <f>"5936696"</f>
        <v>5936696</v>
      </c>
      <c r="B8065" t="s">
        <v>27031</v>
      </c>
      <c r="C8065" t="s">
        <v>1803</v>
      </c>
      <c r="D8065" s="21" t="s">
        <v>34</v>
      </c>
      <c r="E8065" s="21" t="s">
        <v>35</v>
      </c>
      <c r="F8065">
        <v>7590005</v>
      </c>
      <c r="G8065" t="s">
        <v>540</v>
      </c>
      <c r="H8065" s="21">
        <v>1060.67</v>
      </c>
    </row>
    <row r="8066" spans="1:8" customFormat="1" x14ac:dyDescent="0.25">
      <c r="A8066" t="str">
        <f>"74921"</f>
        <v>74921</v>
      </c>
      <c r="B8066" t="s">
        <v>8750</v>
      </c>
      <c r="C8066" t="s">
        <v>263</v>
      </c>
      <c r="D8066" s="21" t="s">
        <v>34</v>
      </c>
      <c r="E8066" s="21" t="s">
        <v>254</v>
      </c>
      <c r="F8066">
        <v>1740047</v>
      </c>
      <c r="G8066" t="s">
        <v>4512</v>
      </c>
      <c r="H8066" s="21">
        <v>1060.67</v>
      </c>
    </row>
    <row r="8067" spans="1:8" customFormat="1" x14ac:dyDescent="0.25">
      <c r="A8067" t="str">
        <f>"4439058"</f>
        <v>4439058</v>
      </c>
      <c r="B8067" t="s">
        <v>8977</v>
      </c>
      <c r="C8067" t="s">
        <v>169</v>
      </c>
      <c r="D8067" s="21" t="s">
        <v>34</v>
      </c>
      <c r="E8067" s="21" t="s">
        <v>35</v>
      </c>
      <c r="F8067">
        <v>12440101</v>
      </c>
      <c r="G8067" t="s">
        <v>3482</v>
      </c>
      <c r="H8067" s="21">
        <v>1060.67</v>
      </c>
    </row>
    <row r="8068" spans="1:8" customFormat="1" x14ac:dyDescent="0.25">
      <c r="A8068" t="str">
        <f>"143693"</f>
        <v>143693</v>
      </c>
      <c r="B8068" t="s">
        <v>8884</v>
      </c>
      <c r="C8068" t="s">
        <v>124</v>
      </c>
      <c r="D8068" s="21" t="s">
        <v>34</v>
      </c>
      <c r="E8068" s="21" t="s">
        <v>71</v>
      </c>
      <c r="F8068">
        <v>9140023</v>
      </c>
      <c r="G8068" t="s">
        <v>2318</v>
      </c>
      <c r="H8068" s="21">
        <v>1060.67</v>
      </c>
    </row>
    <row r="8069" spans="1:8" customFormat="1" x14ac:dyDescent="0.25">
      <c r="A8069" t="str">
        <f>"2932723"</f>
        <v>2932723</v>
      </c>
      <c r="B8069" t="s">
        <v>10926</v>
      </c>
      <c r="C8069" t="s">
        <v>275</v>
      </c>
      <c r="D8069" s="21" t="s">
        <v>34</v>
      </c>
      <c r="E8069" s="21" t="s">
        <v>35</v>
      </c>
      <c r="F8069">
        <v>3290264</v>
      </c>
      <c r="G8069" t="s">
        <v>6934</v>
      </c>
      <c r="H8069" s="21">
        <v>1060.55</v>
      </c>
    </row>
    <row r="8070" spans="1:8" customFormat="1" x14ac:dyDescent="0.25">
      <c r="A8070" t="str">
        <f>"9419814"</f>
        <v>9419814</v>
      </c>
      <c r="B8070" t="s">
        <v>8672</v>
      </c>
      <c r="C8070" t="s">
        <v>169</v>
      </c>
      <c r="D8070" s="21" t="s">
        <v>34</v>
      </c>
      <c r="E8070" s="21" t="s">
        <v>35</v>
      </c>
      <c r="F8070">
        <v>8940459</v>
      </c>
      <c r="G8070" t="s">
        <v>743</v>
      </c>
      <c r="H8070" s="21">
        <v>1060.55</v>
      </c>
    </row>
    <row r="8071" spans="1:8" customFormat="1" x14ac:dyDescent="0.25">
      <c r="A8071" t="str">
        <f>"15411"</f>
        <v>15411</v>
      </c>
      <c r="B8071" t="s">
        <v>9428</v>
      </c>
      <c r="C8071" t="s">
        <v>415</v>
      </c>
      <c r="D8071" s="21" t="s">
        <v>34</v>
      </c>
      <c r="E8071" s="21" t="s">
        <v>1089</v>
      </c>
      <c r="F8071">
        <v>1150303</v>
      </c>
      <c r="G8071" t="s">
        <v>5809</v>
      </c>
      <c r="H8071" s="21">
        <v>1060.55</v>
      </c>
    </row>
    <row r="8072" spans="1:8" customFormat="1" x14ac:dyDescent="0.25">
      <c r="A8072" t="str">
        <f>"5713696"</f>
        <v>5713696</v>
      </c>
      <c r="B8072" t="s">
        <v>7548</v>
      </c>
      <c r="C8072" t="s">
        <v>879</v>
      </c>
      <c r="D8072" s="21" t="s">
        <v>34</v>
      </c>
      <c r="E8072" s="21" t="s">
        <v>254</v>
      </c>
      <c r="F8072">
        <v>10330034</v>
      </c>
      <c r="G8072" t="s">
        <v>6011</v>
      </c>
      <c r="H8072" s="21">
        <v>1060.42</v>
      </c>
    </row>
    <row r="8073" spans="1:8" customFormat="1" x14ac:dyDescent="0.25">
      <c r="A8073" t="str">
        <f>"362263"</f>
        <v>362263</v>
      </c>
      <c r="B8073" t="s">
        <v>8433</v>
      </c>
      <c r="C8073" t="s">
        <v>55</v>
      </c>
      <c r="D8073" s="21" t="s">
        <v>34</v>
      </c>
      <c r="E8073" s="21" t="s">
        <v>35</v>
      </c>
      <c r="F8073">
        <v>4180734</v>
      </c>
      <c r="G8073" t="s">
        <v>8434</v>
      </c>
      <c r="H8073" s="21">
        <v>1060.42</v>
      </c>
    </row>
    <row r="8074" spans="1:8" customFormat="1" x14ac:dyDescent="0.25">
      <c r="A8074" t="str">
        <f>"5717743"</f>
        <v>5717743</v>
      </c>
      <c r="B8074" t="s">
        <v>7578</v>
      </c>
      <c r="C8074" t="s">
        <v>33</v>
      </c>
      <c r="D8074" s="21" t="s">
        <v>34</v>
      </c>
      <c r="E8074" s="21" t="s">
        <v>35</v>
      </c>
      <c r="F8074">
        <v>6570146</v>
      </c>
      <c r="G8074" t="s">
        <v>1556</v>
      </c>
      <c r="H8074" s="21">
        <v>1060.17</v>
      </c>
    </row>
    <row r="8075" spans="1:8" customFormat="1" x14ac:dyDescent="0.25">
      <c r="A8075" t="str">
        <f>"9526242"</f>
        <v>9526242</v>
      </c>
      <c r="B8075" t="s">
        <v>9666</v>
      </c>
      <c r="C8075" t="s">
        <v>147</v>
      </c>
      <c r="D8075" s="21" t="s">
        <v>34</v>
      </c>
      <c r="E8075" s="21" t="s">
        <v>35</v>
      </c>
      <c r="F8075">
        <v>8951366</v>
      </c>
      <c r="G8075" t="s">
        <v>3708</v>
      </c>
      <c r="H8075" s="21">
        <v>1060.17</v>
      </c>
    </row>
    <row r="8076" spans="1:8" customFormat="1" x14ac:dyDescent="0.25">
      <c r="A8076" t="str">
        <f>"3324855"</f>
        <v>3324855</v>
      </c>
      <c r="B8076" t="s">
        <v>6024</v>
      </c>
      <c r="C8076" t="s">
        <v>320</v>
      </c>
      <c r="D8076" s="21" t="s">
        <v>34</v>
      </c>
      <c r="E8076" s="21" t="s">
        <v>35</v>
      </c>
      <c r="F8076">
        <v>10330037</v>
      </c>
      <c r="G8076" t="s">
        <v>5960</v>
      </c>
      <c r="H8076" s="21">
        <v>1060.17</v>
      </c>
    </row>
    <row r="8077" spans="1:8" customFormat="1" x14ac:dyDescent="0.25">
      <c r="A8077" t="str">
        <f>"6214985"</f>
        <v>6214985</v>
      </c>
      <c r="B8077" t="s">
        <v>8649</v>
      </c>
      <c r="C8077" t="s">
        <v>263</v>
      </c>
      <c r="D8077" s="21" t="s">
        <v>34</v>
      </c>
      <c r="E8077" s="21" t="s">
        <v>71</v>
      </c>
      <c r="F8077">
        <v>7590281</v>
      </c>
      <c r="G8077" t="s">
        <v>7165</v>
      </c>
      <c r="H8077" s="21">
        <v>1060.17</v>
      </c>
    </row>
    <row r="8078" spans="1:8" customFormat="1" x14ac:dyDescent="0.25">
      <c r="A8078" t="str">
        <f>"169263"</f>
        <v>169263</v>
      </c>
      <c r="B8078" t="s">
        <v>8314</v>
      </c>
      <c r="C8078" t="s">
        <v>43</v>
      </c>
      <c r="D8078" s="21" t="s">
        <v>34</v>
      </c>
      <c r="E8078" s="21" t="s">
        <v>35</v>
      </c>
      <c r="F8078">
        <v>10160044</v>
      </c>
      <c r="G8078" t="s">
        <v>4941</v>
      </c>
      <c r="H8078" s="21">
        <v>1060.17</v>
      </c>
    </row>
    <row r="8079" spans="1:8" customFormat="1" x14ac:dyDescent="0.25">
      <c r="A8079" t="str">
        <f>"411206"</f>
        <v>411206</v>
      </c>
      <c r="B8079" t="s">
        <v>7702</v>
      </c>
      <c r="C8079" t="s">
        <v>109</v>
      </c>
      <c r="D8079" s="21" t="s">
        <v>34</v>
      </c>
      <c r="E8079" s="21" t="s">
        <v>35</v>
      </c>
      <c r="F8079">
        <v>4360454</v>
      </c>
      <c r="G8079" t="s">
        <v>637</v>
      </c>
      <c r="H8079" s="21">
        <v>1060.17</v>
      </c>
    </row>
    <row r="8080" spans="1:8" customFormat="1" x14ac:dyDescent="0.25">
      <c r="A8080" t="str">
        <f>"933983"</f>
        <v>933983</v>
      </c>
      <c r="B8080" t="s">
        <v>7736</v>
      </c>
      <c r="C8080" t="s">
        <v>253</v>
      </c>
      <c r="D8080" s="21" t="s">
        <v>34</v>
      </c>
      <c r="E8080" s="21" t="s">
        <v>254</v>
      </c>
      <c r="F8080">
        <v>8930928</v>
      </c>
      <c r="G8080" t="s">
        <v>606</v>
      </c>
      <c r="H8080" s="21">
        <v>1060.05</v>
      </c>
    </row>
    <row r="8081" spans="1:8" customFormat="1" x14ac:dyDescent="0.25">
      <c r="A8081" t="str">
        <f>"5614013"</f>
        <v>5614013</v>
      </c>
      <c r="B8081" t="s">
        <v>8894</v>
      </c>
      <c r="C8081" t="s">
        <v>2100</v>
      </c>
      <c r="D8081" s="21" t="s">
        <v>34</v>
      </c>
      <c r="E8081" s="21" t="s">
        <v>71</v>
      </c>
      <c r="F8081">
        <v>3560087</v>
      </c>
      <c r="G8081" t="s">
        <v>7767</v>
      </c>
      <c r="H8081" s="21">
        <v>1059.79</v>
      </c>
    </row>
    <row r="8082" spans="1:8" customFormat="1" x14ac:dyDescent="0.25">
      <c r="A8082" t="str">
        <f>"7511540"</f>
        <v>7511540</v>
      </c>
      <c r="B8082" t="s">
        <v>6262</v>
      </c>
      <c r="C8082" t="s">
        <v>285</v>
      </c>
      <c r="D8082" s="21" t="s">
        <v>34</v>
      </c>
      <c r="E8082" s="21" t="s">
        <v>35</v>
      </c>
      <c r="F8082">
        <v>8921458</v>
      </c>
      <c r="G8082" t="s">
        <v>162</v>
      </c>
      <c r="H8082" s="21">
        <v>1059.68</v>
      </c>
    </row>
    <row r="8083" spans="1:8" customFormat="1" x14ac:dyDescent="0.25">
      <c r="A8083" t="str">
        <f>"5315120"</f>
        <v>5315120</v>
      </c>
      <c r="B8083" t="s">
        <v>8791</v>
      </c>
      <c r="C8083" t="s">
        <v>1110</v>
      </c>
      <c r="D8083" s="21" t="s">
        <v>34</v>
      </c>
      <c r="E8083" s="21" t="s">
        <v>254</v>
      </c>
      <c r="F8083">
        <v>12530010</v>
      </c>
      <c r="G8083" t="s">
        <v>7994</v>
      </c>
      <c r="H8083" s="21">
        <v>1059.67</v>
      </c>
    </row>
    <row r="8084" spans="1:8" customFormat="1" x14ac:dyDescent="0.25">
      <c r="A8084" t="str">
        <f>"876034"</f>
        <v>876034</v>
      </c>
      <c r="B8084" t="s">
        <v>6894</v>
      </c>
      <c r="C8084" t="s">
        <v>239</v>
      </c>
      <c r="D8084" s="21" t="s">
        <v>34</v>
      </c>
      <c r="E8084" s="21" t="s">
        <v>254</v>
      </c>
      <c r="F8084">
        <v>10870117</v>
      </c>
      <c r="G8084" t="s">
        <v>3139</v>
      </c>
      <c r="H8084" s="21">
        <v>1059.67</v>
      </c>
    </row>
    <row r="8085" spans="1:8" customFormat="1" x14ac:dyDescent="0.25">
      <c r="A8085" t="str">
        <f>"619717"</f>
        <v>619717</v>
      </c>
      <c r="B8085" t="s">
        <v>556</v>
      </c>
      <c r="C8085" t="s">
        <v>139</v>
      </c>
      <c r="D8085" s="21" t="s">
        <v>34</v>
      </c>
      <c r="E8085" s="21" t="s">
        <v>35</v>
      </c>
      <c r="F8085">
        <v>9610144</v>
      </c>
      <c r="G8085" t="s">
        <v>6311</v>
      </c>
      <c r="H8085" s="21">
        <v>1059.67</v>
      </c>
    </row>
    <row r="8086" spans="1:8" customFormat="1" x14ac:dyDescent="0.25">
      <c r="A8086" t="str">
        <f>"859758"</f>
        <v>859758</v>
      </c>
      <c r="B8086" t="s">
        <v>9164</v>
      </c>
      <c r="C8086" t="s">
        <v>60</v>
      </c>
      <c r="D8086" s="21" t="s">
        <v>34</v>
      </c>
      <c r="E8086" s="21" t="s">
        <v>35</v>
      </c>
      <c r="F8086">
        <v>12850057</v>
      </c>
      <c r="G8086" t="s">
        <v>1291</v>
      </c>
      <c r="H8086" s="21">
        <v>1059.67</v>
      </c>
    </row>
    <row r="8087" spans="1:8" customFormat="1" x14ac:dyDescent="0.25">
      <c r="A8087" t="str">
        <f>"763811"</f>
        <v>763811</v>
      </c>
      <c r="B8087" t="s">
        <v>8262</v>
      </c>
      <c r="C8087" t="s">
        <v>65</v>
      </c>
      <c r="D8087" s="21" t="s">
        <v>34</v>
      </c>
      <c r="E8087" s="21" t="s">
        <v>35</v>
      </c>
      <c r="F8087">
        <v>9760014</v>
      </c>
      <c r="G8087" t="s">
        <v>1017</v>
      </c>
      <c r="H8087" s="21">
        <v>1059.67</v>
      </c>
    </row>
    <row r="8088" spans="1:8" customFormat="1" x14ac:dyDescent="0.25">
      <c r="A8088" t="str">
        <f>"172574"</f>
        <v>172574</v>
      </c>
      <c r="B8088" t="s">
        <v>4013</v>
      </c>
      <c r="C8088" t="s">
        <v>169</v>
      </c>
      <c r="D8088" s="21" t="s">
        <v>34</v>
      </c>
      <c r="E8088" s="21" t="s">
        <v>35</v>
      </c>
      <c r="F8088">
        <v>10170150</v>
      </c>
      <c r="G8088" t="s">
        <v>4531</v>
      </c>
      <c r="H8088" s="21">
        <v>1059.67</v>
      </c>
    </row>
    <row r="8089" spans="1:8" customFormat="1" x14ac:dyDescent="0.25">
      <c r="A8089" t="str">
        <f>"7715934"</f>
        <v>7715934</v>
      </c>
      <c r="B8089" t="s">
        <v>6308</v>
      </c>
      <c r="C8089" t="s">
        <v>124</v>
      </c>
      <c r="D8089" s="21" t="s">
        <v>34</v>
      </c>
      <c r="E8089" s="21" t="s">
        <v>254</v>
      </c>
      <c r="F8089">
        <v>8771394</v>
      </c>
      <c r="G8089" t="s">
        <v>1933</v>
      </c>
      <c r="H8089" s="21">
        <v>1059.67</v>
      </c>
    </row>
    <row r="8090" spans="1:8" customFormat="1" x14ac:dyDescent="0.25">
      <c r="A8090" t="str">
        <f>"6225640"</f>
        <v>6225640</v>
      </c>
      <c r="B8090" t="s">
        <v>8661</v>
      </c>
      <c r="C8090" t="s">
        <v>121</v>
      </c>
      <c r="D8090" s="21" t="s">
        <v>34</v>
      </c>
      <c r="E8090" s="21" t="s">
        <v>71</v>
      </c>
      <c r="F8090">
        <v>7620054</v>
      </c>
      <c r="G8090" t="s">
        <v>1677</v>
      </c>
      <c r="H8090" s="21">
        <v>1059.67</v>
      </c>
    </row>
    <row r="8091" spans="1:8" customFormat="1" x14ac:dyDescent="0.25">
      <c r="A8091" t="str">
        <f>"9514339"</f>
        <v>9514339</v>
      </c>
      <c r="B8091" t="s">
        <v>8784</v>
      </c>
      <c r="C8091" t="s">
        <v>169</v>
      </c>
      <c r="D8091" s="21" t="s">
        <v>34</v>
      </c>
      <c r="E8091" s="21" t="s">
        <v>35</v>
      </c>
      <c r="F8091">
        <v>8951449</v>
      </c>
      <c r="G8091" t="s">
        <v>4475</v>
      </c>
      <c r="H8091" s="21">
        <v>1059.67</v>
      </c>
    </row>
    <row r="8092" spans="1:8" customFormat="1" x14ac:dyDescent="0.25">
      <c r="A8092" t="str">
        <f>"7292"</f>
        <v>7292</v>
      </c>
      <c r="B8092" t="s">
        <v>8264</v>
      </c>
      <c r="C8092" t="s">
        <v>55</v>
      </c>
      <c r="D8092" s="21" t="s">
        <v>34</v>
      </c>
      <c r="E8092" s="21" t="s">
        <v>71</v>
      </c>
      <c r="F8092">
        <v>12720049</v>
      </c>
      <c r="G8092" t="s">
        <v>1627</v>
      </c>
      <c r="H8092" s="21">
        <v>1059.67</v>
      </c>
    </row>
    <row r="8093" spans="1:8" customFormat="1" x14ac:dyDescent="0.25">
      <c r="A8093" t="str">
        <f>"607936"</f>
        <v>607936</v>
      </c>
      <c r="B8093" t="s">
        <v>465</v>
      </c>
      <c r="C8093" t="s">
        <v>109</v>
      </c>
      <c r="D8093" s="21" t="s">
        <v>34</v>
      </c>
      <c r="E8093" s="21" t="s">
        <v>35</v>
      </c>
      <c r="F8093">
        <v>7600016</v>
      </c>
      <c r="G8093" t="s">
        <v>6215</v>
      </c>
      <c r="H8093" s="21">
        <v>1059.55</v>
      </c>
    </row>
    <row r="8094" spans="1:8" customFormat="1" x14ac:dyDescent="0.25">
      <c r="A8094" t="str">
        <f>"4923330"</f>
        <v>4923330</v>
      </c>
      <c r="B8094" t="s">
        <v>11041</v>
      </c>
      <c r="C8094" t="s">
        <v>169</v>
      </c>
      <c r="D8094" s="21" t="s">
        <v>34</v>
      </c>
      <c r="E8094" s="21" t="s">
        <v>35</v>
      </c>
      <c r="F8094">
        <v>8911285</v>
      </c>
      <c r="G8094" t="s">
        <v>2396</v>
      </c>
      <c r="H8094" s="21">
        <v>1059.42</v>
      </c>
    </row>
    <row r="8095" spans="1:8" customFormat="1" x14ac:dyDescent="0.25">
      <c r="A8095" t="str">
        <f>"3343192"</f>
        <v>3343192</v>
      </c>
      <c r="B8095" t="s">
        <v>5972</v>
      </c>
      <c r="C8095" t="s">
        <v>2132</v>
      </c>
      <c r="D8095" s="21" t="s">
        <v>34</v>
      </c>
      <c r="E8095" s="21" t="s">
        <v>35</v>
      </c>
      <c r="F8095">
        <v>10330037</v>
      </c>
      <c r="G8095" t="s">
        <v>5960</v>
      </c>
      <c r="H8095" s="21">
        <v>1059.29</v>
      </c>
    </row>
    <row r="8096" spans="1:8" customFormat="1" x14ac:dyDescent="0.25">
      <c r="A8096" t="str">
        <f>"3714133"</f>
        <v>3714133</v>
      </c>
      <c r="B8096" t="s">
        <v>8418</v>
      </c>
      <c r="C8096" t="s">
        <v>40</v>
      </c>
      <c r="D8096" s="21" t="s">
        <v>34</v>
      </c>
      <c r="E8096" s="21" t="s">
        <v>71</v>
      </c>
      <c r="F8096">
        <v>4370307</v>
      </c>
      <c r="G8096" t="s">
        <v>7652</v>
      </c>
      <c r="H8096" s="21">
        <v>1059.17</v>
      </c>
    </row>
    <row r="8097" spans="1:8" customFormat="1" x14ac:dyDescent="0.25">
      <c r="A8097" t="str">
        <f>"6226503"</f>
        <v>6226503</v>
      </c>
      <c r="B8097" t="s">
        <v>8394</v>
      </c>
      <c r="C8097" t="s">
        <v>1914</v>
      </c>
      <c r="D8097" s="21" t="s">
        <v>34</v>
      </c>
      <c r="E8097" s="21" t="s">
        <v>71</v>
      </c>
      <c r="F8097">
        <v>7620017</v>
      </c>
      <c r="G8097" t="s">
        <v>6559</v>
      </c>
      <c r="H8097" s="21">
        <v>1059.17</v>
      </c>
    </row>
    <row r="8098" spans="1:8" customFormat="1" x14ac:dyDescent="0.25">
      <c r="A8098" t="str">
        <f>"644147"</f>
        <v>644147</v>
      </c>
      <c r="B8098" t="s">
        <v>9409</v>
      </c>
      <c r="C8098" t="s">
        <v>415</v>
      </c>
      <c r="D8098" s="21" t="s">
        <v>34</v>
      </c>
      <c r="E8098" s="21" t="s">
        <v>254</v>
      </c>
      <c r="F8098">
        <v>10640010</v>
      </c>
      <c r="G8098" t="s">
        <v>9410</v>
      </c>
      <c r="H8098" s="21">
        <v>1059.17</v>
      </c>
    </row>
    <row r="8099" spans="1:8" customFormat="1" x14ac:dyDescent="0.25">
      <c r="A8099" t="str">
        <f>"071505"</f>
        <v>071505</v>
      </c>
      <c r="B8099" t="s">
        <v>7758</v>
      </c>
      <c r="C8099" t="s">
        <v>2907</v>
      </c>
      <c r="D8099" s="21" t="s">
        <v>34</v>
      </c>
      <c r="E8099" s="21" t="s">
        <v>254</v>
      </c>
      <c r="F8099">
        <v>1260054</v>
      </c>
      <c r="G8099" t="s">
        <v>358</v>
      </c>
      <c r="H8099" s="21">
        <v>1059.17</v>
      </c>
    </row>
    <row r="8100" spans="1:8" customFormat="1" x14ac:dyDescent="0.25">
      <c r="A8100" t="str">
        <f>"8315142"</f>
        <v>8315142</v>
      </c>
      <c r="B8100" t="s">
        <v>8409</v>
      </c>
      <c r="C8100" t="s">
        <v>209</v>
      </c>
      <c r="D8100" s="21" t="s">
        <v>34</v>
      </c>
      <c r="E8100" s="21" t="s">
        <v>71</v>
      </c>
      <c r="F8100">
        <v>13830064</v>
      </c>
      <c r="G8100" t="s">
        <v>8410</v>
      </c>
      <c r="H8100" s="21">
        <v>1059.17</v>
      </c>
    </row>
    <row r="8101" spans="1:8" customFormat="1" x14ac:dyDescent="0.25">
      <c r="A8101" t="str">
        <f>"18148"</f>
        <v>18148</v>
      </c>
      <c r="B8101" t="s">
        <v>7666</v>
      </c>
      <c r="C8101" t="s">
        <v>239</v>
      </c>
      <c r="D8101" s="21" t="s">
        <v>34</v>
      </c>
      <c r="E8101" s="21" t="s">
        <v>254</v>
      </c>
      <c r="F8101">
        <v>4180304</v>
      </c>
      <c r="G8101" t="s">
        <v>4003</v>
      </c>
      <c r="H8101" s="21">
        <v>1059.17</v>
      </c>
    </row>
    <row r="8102" spans="1:8" customFormat="1" x14ac:dyDescent="0.25">
      <c r="A8102" t="str">
        <f>"3419015"</f>
        <v>3419015</v>
      </c>
      <c r="B8102" t="s">
        <v>3164</v>
      </c>
      <c r="C8102" t="s">
        <v>96</v>
      </c>
      <c r="D8102" s="21" t="s">
        <v>34</v>
      </c>
      <c r="E8102" s="21" t="s">
        <v>35</v>
      </c>
      <c r="F8102">
        <v>11300025</v>
      </c>
      <c r="G8102" t="s">
        <v>1211</v>
      </c>
      <c r="H8102" s="21">
        <v>1059.17</v>
      </c>
    </row>
    <row r="8103" spans="1:8" customFormat="1" x14ac:dyDescent="0.25">
      <c r="A8103" t="str">
        <f>"3410359"</f>
        <v>3410359</v>
      </c>
      <c r="B8103" t="s">
        <v>9247</v>
      </c>
      <c r="C8103" t="s">
        <v>598</v>
      </c>
      <c r="D8103" s="21" t="s">
        <v>34</v>
      </c>
      <c r="E8103" s="21" t="s">
        <v>254</v>
      </c>
      <c r="F8103">
        <v>11340001</v>
      </c>
      <c r="G8103" t="s">
        <v>9248</v>
      </c>
      <c r="H8103" s="21">
        <v>1059.17</v>
      </c>
    </row>
    <row r="8104" spans="1:8" customFormat="1" x14ac:dyDescent="0.25">
      <c r="A8104" t="str">
        <f>"4429833"</f>
        <v>4429833</v>
      </c>
      <c r="B8104" t="s">
        <v>7287</v>
      </c>
      <c r="C8104" t="s">
        <v>121</v>
      </c>
      <c r="D8104" s="21" t="s">
        <v>34</v>
      </c>
      <c r="E8104" s="21" t="s">
        <v>71</v>
      </c>
      <c r="F8104">
        <v>12440016</v>
      </c>
      <c r="G8104" t="s">
        <v>7288</v>
      </c>
      <c r="H8104" s="21">
        <v>1059.17</v>
      </c>
    </row>
    <row r="8105" spans="1:8" customFormat="1" x14ac:dyDescent="0.25">
      <c r="A8105" t="str">
        <f>"383820"</f>
        <v>383820</v>
      </c>
      <c r="B8105" t="s">
        <v>9830</v>
      </c>
      <c r="C8105" t="s">
        <v>40</v>
      </c>
      <c r="D8105" s="21" t="s">
        <v>34</v>
      </c>
      <c r="E8105" s="21" t="s">
        <v>35</v>
      </c>
      <c r="F8105">
        <v>1380098</v>
      </c>
      <c r="G8105" t="s">
        <v>7501</v>
      </c>
      <c r="H8105" s="21">
        <v>1059.17</v>
      </c>
    </row>
    <row r="8106" spans="1:8" customFormat="1" x14ac:dyDescent="0.25">
      <c r="A8106" t="str">
        <f>"259301"</f>
        <v>259301</v>
      </c>
      <c r="B8106" t="s">
        <v>8510</v>
      </c>
      <c r="C8106" t="s">
        <v>462</v>
      </c>
      <c r="D8106" s="21" t="s">
        <v>34</v>
      </c>
      <c r="E8106" s="21" t="s">
        <v>71</v>
      </c>
      <c r="F8106">
        <v>2250205</v>
      </c>
      <c r="G8106" t="s">
        <v>7311</v>
      </c>
      <c r="H8106" s="21">
        <v>1059.17</v>
      </c>
    </row>
    <row r="8107" spans="1:8" customFormat="1" x14ac:dyDescent="0.25">
      <c r="A8107" t="str">
        <f>"365652"</f>
        <v>365652</v>
      </c>
      <c r="B8107" t="s">
        <v>9197</v>
      </c>
      <c r="C8107" t="s">
        <v>249</v>
      </c>
      <c r="D8107" s="21" t="s">
        <v>34</v>
      </c>
      <c r="E8107" s="21" t="s">
        <v>71</v>
      </c>
      <c r="F8107">
        <v>4360726</v>
      </c>
      <c r="G8107" t="s">
        <v>5506</v>
      </c>
      <c r="H8107" s="21">
        <v>1059.17</v>
      </c>
    </row>
    <row r="8108" spans="1:8" customFormat="1" x14ac:dyDescent="0.25">
      <c r="A8108" t="str">
        <f>"362508"</f>
        <v>362508</v>
      </c>
      <c r="B8108" t="s">
        <v>9488</v>
      </c>
      <c r="C8108" t="s">
        <v>415</v>
      </c>
      <c r="D8108" s="21" t="s">
        <v>34</v>
      </c>
      <c r="E8108" s="21" t="s">
        <v>71</v>
      </c>
      <c r="F8108">
        <v>4360605</v>
      </c>
      <c r="G8108" t="s">
        <v>6003</v>
      </c>
      <c r="H8108" s="21">
        <v>1059.05</v>
      </c>
    </row>
    <row r="8109" spans="1:8" customFormat="1" x14ac:dyDescent="0.25">
      <c r="A8109" t="str">
        <f>"5111661"</f>
        <v>5111661</v>
      </c>
      <c r="B8109" t="s">
        <v>6435</v>
      </c>
      <c r="C8109" t="s">
        <v>96</v>
      </c>
      <c r="D8109" s="21" t="s">
        <v>34</v>
      </c>
      <c r="E8109" s="21" t="s">
        <v>35</v>
      </c>
      <c r="F8109">
        <v>6510112</v>
      </c>
      <c r="G8109" t="s">
        <v>588</v>
      </c>
      <c r="H8109" s="21">
        <v>1059.04</v>
      </c>
    </row>
    <row r="8110" spans="1:8" customFormat="1" x14ac:dyDescent="0.25">
      <c r="A8110" t="str">
        <f>"306400"</f>
        <v>306400</v>
      </c>
      <c r="B8110" t="s">
        <v>9343</v>
      </c>
      <c r="C8110" t="s">
        <v>98</v>
      </c>
      <c r="D8110" s="21" t="s">
        <v>34</v>
      </c>
      <c r="E8110" s="21" t="s">
        <v>35</v>
      </c>
      <c r="F8110">
        <v>11300041</v>
      </c>
      <c r="G8110" t="s">
        <v>8074</v>
      </c>
      <c r="H8110" s="21">
        <v>1058.92</v>
      </c>
    </row>
    <row r="8111" spans="1:8" customFormat="1" x14ac:dyDescent="0.25">
      <c r="A8111" t="str">
        <f>"069596"</f>
        <v>069596</v>
      </c>
      <c r="B8111" t="s">
        <v>7572</v>
      </c>
      <c r="C8111" t="s">
        <v>130</v>
      </c>
      <c r="D8111" s="21" t="s">
        <v>34</v>
      </c>
      <c r="E8111" s="21" t="s">
        <v>71</v>
      </c>
      <c r="F8111">
        <v>13060043</v>
      </c>
      <c r="G8111" t="s">
        <v>4761</v>
      </c>
      <c r="H8111" s="21">
        <v>1058.92</v>
      </c>
    </row>
    <row r="8112" spans="1:8" customFormat="1" x14ac:dyDescent="0.25">
      <c r="A8112" t="str">
        <f>"762604"</f>
        <v>762604</v>
      </c>
      <c r="B8112" t="s">
        <v>400</v>
      </c>
      <c r="C8112" t="s">
        <v>484</v>
      </c>
      <c r="D8112" s="21" t="s">
        <v>34</v>
      </c>
      <c r="E8112" s="21" t="s">
        <v>71</v>
      </c>
      <c r="F8112">
        <v>9760256</v>
      </c>
      <c r="G8112" t="s">
        <v>4655</v>
      </c>
      <c r="H8112" s="21">
        <v>1058.67</v>
      </c>
    </row>
    <row r="8113" spans="1:8" customFormat="1" x14ac:dyDescent="0.25">
      <c r="A8113" t="str">
        <f>"0114052"</f>
        <v>0114052</v>
      </c>
      <c r="B8113" t="s">
        <v>5308</v>
      </c>
      <c r="C8113" t="s">
        <v>139</v>
      </c>
      <c r="D8113" s="21" t="s">
        <v>34</v>
      </c>
      <c r="E8113" s="21" t="s">
        <v>35</v>
      </c>
      <c r="F8113">
        <v>1010062</v>
      </c>
      <c r="G8113" t="s">
        <v>9638</v>
      </c>
      <c r="H8113" s="21">
        <v>1058.67</v>
      </c>
    </row>
    <row r="8114" spans="1:8" customFormat="1" x14ac:dyDescent="0.25">
      <c r="A8114" t="str">
        <f>"9520790"</f>
        <v>9520790</v>
      </c>
      <c r="B8114" t="s">
        <v>3546</v>
      </c>
      <c r="C8114" t="s">
        <v>109</v>
      </c>
      <c r="D8114" s="21" t="s">
        <v>34</v>
      </c>
      <c r="E8114" s="21" t="s">
        <v>35</v>
      </c>
      <c r="F8114">
        <v>8950348</v>
      </c>
      <c r="G8114" t="s">
        <v>491</v>
      </c>
      <c r="H8114" s="21">
        <v>1058.67</v>
      </c>
    </row>
    <row r="8115" spans="1:8" customFormat="1" x14ac:dyDescent="0.25">
      <c r="A8115" t="str">
        <f>"9230453"</f>
        <v>9230453</v>
      </c>
      <c r="B8115" t="s">
        <v>630</v>
      </c>
      <c r="C8115" t="s">
        <v>576</v>
      </c>
      <c r="D8115" s="21" t="s">
        <v>34</v>
      </c>
      <c r="E8115" s="21" t="s">
        <v>35</v>
      </c>
      <c r="F8115">
        <v>12440034</v>
      </c>
      <c r="G8115" t="s">
        <v>10586</v>
      </c>
      <c r="H8115" s="21">
        <v>1058.67</v>
      </c>
    </row>
    <row r="8116" spans="1:8" customFormat="1" x14ac:dyDescent="0.25">
      <c r="A8116" t="str">
        <f>"2210053"</f>
        <v>2210053</v>
      </c>
      <c r="B8116" t="s">
        <v>9007</v>
      </c>
      <c r="C8116" t="s">
        <v>87</v>
      </c>
      <c r="D8116" s="21" t="s">
        <v>34</v>
      </c>
      <c r="E8116" s="21" t="s">
        <v>35</v>
      </c>
      <c r="F8116">
        <v>13130067</v>
      </c>
      <c r="G8116" t="s">
        <v>1420</v>
      </c>
      <c r="H8116" s="21">
        <v>1058.67</v>
      </c>
    </row>
    <row r="8117" spans="1:8" customFormat="1" x14ac:dyDescent="0.25">
      <c r="A8117" t="str">
        <f>"854221"</f>
        <v>854221</v>
      </c>
      <c r="B8117" t="s">
        <v>9240</v>
      </c>
      <c r="C8117" t="s">
        <v>1559</v>
      </c>
      <c r="D8117" s="21" t="s">
        <v>34</v>
      </c>
      <c r="E8117" s="21" t="s">
        <v>35</v>
      </c>
      <c r="F8117">
        <v>12851016</v>
      </c>
      <c r="G8117" t="s">
        <v>1862</v>
      </c>
      <c r="H8117" s="21">
        <v>1058.67</v>
      </c>
    </row>
    <row r="8118" spans="1:8" customFormat="1" x14ac:dyDescent="0.25">
      <c r="A8118" t="str">
        <f>"643205"</f>
        <v>643205</v>
      </c>
      <c r="B8118" t="s">
        <v>8117</v>
      </c>
      <c r="C8118" t="s">
        <v>1812</v>
      </c>
      <c r="D8118" s="21" t="s">
        <v>34</v>
      </c>
      <c r="E8118" s="21" t="s">
        <v>71</v>
      </c>
      <c r="F8118">
        <v>10640001</v>
      </c>
      <c r="G8118" t="s">
        <v>2419</v>
      </c>
      <c r="H8118" s="21">
        <v>1058.67</v>
      </c>
    </row>
    <row r="8119" spans="1:8" customFormat="1" x14ac:dyDescent="0.25">
      <c r="A8119" t="str">
        <f>"5913679"</f>
        <v>5913679</v>
      </c>
      <c r="B8119" t="s">
        <v>7773</v>
      </c>
      <c r="C8119" t="s">
        <v>263</v>
      </c>
      <c r="D8119" s="21" t="s">
        <v>34</v>
      </c>
      <c r="E8119" s="21" t="s">
        <v>35</v>
      </c>
      <c r="F8119">
        <v>7590106</v>
      </c>
      <c r="G8119" t="s">
        <v>4790</v>
      </c>
      <c r="H8119" s="21">
        <v>1058.67</v>
      </c>
    </row>
    <row r="8120" spans="1:8" customFormat="1" x14ac:dyDescent="0.25">
      <c r="A8120" t="str">
        <f>"5935143"</f>
        <v>5935143</v>
      </c>
      <c r="B8120" t="s">
        <v>8358</v>
      </c>
      <c r="C8120" t="s">
        <v>130</v>
      </c>
      <c r="D8120" s="21" t="s">
        <v>34</v>
      </c>
      <c r="E8120" s="21" t="s">
        <v>35</v>
      </c>
      <c r="F8120">
        <v>7590017</v>
      </c>
      <c r="G8120" t="s">
        <v>1316</v>
      </c>
      <c r="H8120" s="21">
        <v>1058.42</v>
      </c>
    </row>
    <row r="8121" spans="1:8" customFormat="1" x14ac:dyDescent="0.25">
      <c r="A8121" t="str">
        <f>"417167"</f>
        <v>417167</v>
      </c>
      <c r="B8121" t="s">
        <v>6381</v>
      </c>
      <c r="C8121" t="s">
        <v>40</v>
      </c>
      <c r="D8121" s="21" t="s">
        <v>34</v>
      </c>
      <c r="E8121" s="21" t="s">
        <v>71</v>
      </c>
      <c r="F8121">
        <v>4410466</v>
      </c>
      <c r="G8121" t="s">
        <v>678</v>
      </c>
      <c r="H8121" s="21">
        <v>1058.3</v>
      </c>
    </row>
    <row r="8122" spans="1:8" customFormat="1" x14ac:dyDescent="0.25">
      <c r="A8122" t="str">
        <f>"8610288"</f>
        <v>8610288</v>
      </c>
      <c r="B8122" t="s">
        <v>7473</v>
      </c>
      <c r="C8122" t="s">
        <v>121</v>
      </c>
      <c r="D8122" s="21" t="s">
        <v>34</v>
      </c>
      <c r="E8122" s="21" t="s">
        <v>71</v>
      </c>
      <c r="F8122">
        <v>10860005</v>
      </c>
      <c r="G8122" t="s">
        <v>7474</v>
      </c>
      <c r="H8122" s="21">
        <v>1058.17</v>
      </c>
    </row>
    <row r="8123" spans="1:8" customFormat="1" x14ac:dyDescent="0.25">
      <c r="A8123" t="str">
        <f>"312347"</f>
        <v>312347</v>
      </c>
      <c r="B8123" t="s">
        <v>7280</v>
      </c>
      <c r="C8123" t="s">
        <v>3456</v>
      </c>
      <c r="D8123" s="21" t="s">
        <v>34</v>
      </c>
      <c r="E8123" s="21" t="s">
        <v>71</v>
      </c>
      <c r="F8123">
        <v>11310129</v>
      </c>
      <c r="G8123" t="s">
        <v>4672</v>
      </c>
      <c r="H8123" s="21">
        <v>1058.17</v>
      </c>
    </row>
    <row r="8124" spans="1:8" customFormat="1" x14ac:dyDescent="0.25">
      <c r="A8124" t="str">
        <f>"5910783"</f>
        <v>5910783</v>
      </c>
      <c r="B8124" t="s">
        <v>8494</v>
      </c>
      <c r="C8124" t="s">
        <v>109</v>
      </c>
      <c r="D8124" s="21" t="s">
        <v>34</v>
      </c>
      <c r="E8124" s="21" t="s">
        <v>35</v>
      </c>
      <c r="F8124">
        <v>7590351</v>
      </c>
      <c r="G8124" t="s">
        <v>8495</v>
      </c>
      <c r="H8124" s="21">
        <v>1058.17</v>
      </c>
    </row>
    <row r="8125" spans="1:8" customFormat="1" x14ac:dyDescent="0.25">
      <c r="A8125" t="str">
        <f>"678097"</f>
        <v>678097</v>
      </c>
      <c r="B8125" t="s">
        <v>27032</v>
      </c>
      <c r="C8125" t="s">
        <v>269</v>
      </c>
      <c r="D8125" s="21" t="s">
        <v>34</v>
      </c>
      <c r="E8125" s="21" t="s">
        <v>35</v>
      </c>
      <c r="F8125">
        <v>6670122</v>
      </c>
      <c r="G8125" t="s">
        <v>3126</v>
      </c>
      <c r="H8125" s="21">
        <v>1058.17</v>
      </c>
    </row>
    <row r="8126" spans="1:8" customFormat="1" x14ac:dyDescent="0.25">
      <c r="A8126" t="str">
        <f>"5612027"</f>
        <v>5612027</v>
      </c>
      <c r="B8126" t="s">
        <v>987</v>
      </c>
      <c r="C8126" t="s">
        <v>60</v>
      </c>
      <c r="D8126" s="21" t="s">
        <v>34</v>
      </c>
      <c r="E8126" s="21" t="s">
        <v>35</v>
      </c>
      <c r="F8126">
        <v>3560036</v>
      </c>
      <c r="G8126" t="s">
        <v>910</v>
      </c>
      <c r="H8126" s="21">
        <v>1057.92</v>
      </c>
    </row>
    <row r="8127" spans="1:8" customFormat="1" x14ac:dyDescent="0.25">
      <c r="A8127" t="str">
        <f>"351147"</f>
        <v>351147</v>
      </c>
      <c r="B8127" t="s">
        <v>3259</v>
      </c>
      <c r="C8127" t="s">
        <v>269</v>
      </c>
      <c r="D8127" s="21" t="s">
        <v>34</v>
      </c>
      <c r="E8127" s="21" t="s">
        <v>71</v>
      </c>
      <c r="F8127">
        <v>3350009</v>
      </c>
      <c r="G8127" t="s">
        <v>1823</v>
      </c>
      <c r="H8127" s="21">
        <v>1057.92</v>
      </c>
    </row>
    <row r="8128" spans="1:8" customFormat="1" x14ac:dyDescent="0.25">
      <c r="A8128" t="str">
        <f>"647421"</f>
        <v>647421</v>
      </c>
      <c r="B8128" t="s">
        <v>4322</v>
      </c>
      <c r="C8128" t="s">
        <v>10469</v>
      </c>
      <c r="D8128" s="21" t="s">
        <v>34</v>
      </c>
      <c r="E8128" s="21" t="s">
        <v>35</v>
      </c>
      <c r="F8128">
        <v>10640004</v>
      </c>
      <c r="G8128" t="s">
        <v>26618</v>
      </c>
      <c r="H8128" s="21">
        <v>1057.79</v>
      </c>
    </row>
    <row r="8129" spans="1:8" customFormat="1" x14ac:dyDescent="0.25">
      <c r="A8129" t="str">
        <f>"9410378"</f>
        <v>9410378</v>
      </c>
      <c r="B8129" t="s">
        <v>7958</v>
      </c>
      <c r="C8129" t="s">
        <v>40</v>
      </c>
      <c r="D8129" s="21" t="s">
        <v>34</v>
      </c>
      <c r="E8129" s="21" t="s">
        <v>35</v>
      </c>
      <c r="F8129">
        <v>8940975</v>
      </c>
      <c r="G8129" t="s">
        <v>7959</v>
      </c>
      <c r="H8129" s="21">
        <v>1057.67</v>
      </c>
    </row>
    <row r="8130" spans="1:8" customFormat="1" x14ac:dyDescent="0.25">
      <c r="A8130" t="str">
        <f>"7815806"</f>
        <v>7815806</v>
      </c>
      <c r="B8130" t="s">
        <v>9533</v>
      </c>
      <c r="C8130" t="s">
        <v>249</v>
      </c>
      <c r="D8130" s="21" t="s">
        <v>34</v>
      </c>
      <c r="E8130" s="21" t="s">
        <v>71</v>
      </c>
      <c r="F8130">
        <v>10330017</v>
      </c>
      <c r="G8130" t="s">
        <v>2754</v>
      </c>
      <c r="H8130" s="21">
        <v>1057.67</v>
      </c>
    </row>
    <row r="8131" spans="1:8" customFormat="1" x14ac:dyDescent="0.25">
      <c r="A8131" t="str">
        <f>"257708"</f>
        <v>257708</v>
      </c>
      <c r="B8131" t="s">
        <v>6916</v>
      </c>
      <c r="C8131" t="s">
        <v>60</v>
      </c>
      <c r="D8131" s="21" t="s">
        <v>34</v>
      </c>
      <c r="E8131" s="21" t="s">
        <v>35</v>
      </c>
      <c r="F8131">
        <v>2250190</v>
      </c>
      <c r="G8131" t="s">
        <v>6917</v>
      </c>
      <c r="H8131" s="21">
        <v>1057.67</v>
      </c>
    </row>
    <row r="8132" spans="1:8" customFormat="1" x14ac:dyDescent="0.25">
      <c r="A8132" t="str">
        <f>"5314810"</f>
        <v>5314810</v>
      </c>
      <c r="B8132" t="s">
        <v>8344</v>
      </c>
      <c r="C8132" t="s">
        <v>3073</v>
      </c>
      <c r="D8132" s="21" t="s">
        <v>34</v>
      </c>
      <c r="E8132" s="21" t="s">
        <v>254</v>
      </c>
      <c r="F8132">
        <v>12530093</v>
      </c>
      <c r="G8132" t="s">
        <v>7865</v>
      </c>
      <c r="H8132" s="21">
        <v>1057.67</v>
      </c>
    </row>
    <row r="8133" spans="1:8" customFormat="1" x14ac:dyDescent="0.25">
      <c r="A8133" t="str">
        <f>"7612218"</f>
        <v>7612218</v>
      </c>
      <c r="B8133" t="s">
        <v>7458</v>
      </c>
      <c r="C8133" t="s">
        <v>7459</v>
      </c>
      <c r="D8133" s="21" t="s">
        <v>34</v>
      </c>
      <c r="E8133" s="21" t="s">
        <v>254</v>
      </c>
      <c r="F8133">
        <v>9760129</v>
      </c>
      <c r="G8133" t="s">
        <v>6147</v>
      </c>
      <c r="H8133" s="21">
        <v>1057.67</v>
      </c>
    </row>
    <row r="8134" spans="1:8" customFormat="1" x14ac:dyDescent="0.25">
      <c r="A8134" t="str">
        <f>"3327844"</f>
        <v>3327844</v>
      </c>
      <c r="B8134" t="s">
        <v>205</v>
      </c>
      <c r="C8134" t="s">
        <v>574</v>
      </c>
      <c r="D8134" s="21" t="s">
        <v>34</v>
      </c>
      <c r="E8134" s="21" t="s">
        <v>35</v>
      </c>
      <c r="F8134">
        <v>10330019</v>
      </c>
      <c r="G8134" t="s">
        <v>1761</v>
      </c>
      <c r="H8134" s="21">
        <v>1057.67</v>
      </c>
    </row>
    <row r="8135" spans="1:8" customFormat="1" x14ac:dyDescent="0.25">
      <c r="A8135" t="str">
        <f>"3330902"</f>
        <v>3330902</v>
      </c>
      <c r="B8135" t="s">
        <v>8369</v>
      </c>
      <c r="C8135" t="s">
        <v>139</v>
      </c>
      <c r="D8135" s="21" t="s">
        <v>34</v>
      </c>
      <c r="E8135" s="21" t="s">
        <v>35</v>
      </c>
      <c r="F8135">
        <v>10330121</v>
      </c>
      <c r="G8135" t="s">
        <v>5145</v>
      </c>
      <c r="H8135" s="21">
        <v>1057.67</v>
      </c>
    </row>
    <row r="8136" spans="1:8" customFormat="1" x14ac:dyDescent="0.25">
      <c r="A8136" t="str">
        <f>"642627"</f>
        <v>642627</v>
      </c>
      <c r="B8136" t="s">
        <v>4370</v>
      </c>
      <c r="C8136" t="s">
        <v>879</v>
      </c>
      <c r="D8136" s="21" t="s">
        <v>34</v>
      </c>
      <c r="E8136" s="21" t="s">
        <v>71</v>
      </c>
      <c r="F8136">
        <v>10640013</v>
      </c>
      <c r="G8136" t="s">
        <v>4626</v>
      </c>
      <c r="H8136" s="21">
        <v>1057.67</v>
      </c>
    </row>
    <row r="8137" spans="1:8" customFormat="1" x14ac:dyDescent="0.25">
      <c r="A8137" t="str">
        <f>"499111"</f>
        <v>499111</v>
      </c>
      <c r="B8137" t="s">
        <v>8678</v>
      </c>
      <c r="C8137" t="s">
        <v>3010</v>
      </c>
      <c r="D8137" s="21" t="s">
        <v>34</v>
      </c>
      <c r="E8137" s="21" t="s">
        <v>1089</v>
      </c>
      <c r="F8137">
        <v>12490098</v>
      </c>
      <c r="G8137" t="s">
        <v>2670</v>
      </c>
      <c r="H8137" s="21">
        <v>1057.42</v>
      </c>
    </row>
    <row r="8138" spans="1:8" customFormat="1" x14ac:dyDescent="0.25">
      <c r="A8138" t="str">
        <f>"834594"</f>
        <v>834594</v>
      </c>
      <c r="B8138" t="s">
        <v>4014</v>
      </c>
      <c r="C8138" t="s">
        <v>198</v>
      </c>
      <c r="D8138" s="21" t="s">
        <v>34</v>
      </c>
      <c r="E8138" s="21" t="s">
        <v>254</v>
      </c>
      <c r="F8138">
        <v>13830071</v>
      </c>
      <c r="G8138" t="s">
        <v>3221</v>
      </c>
      <c r="H8138" s="21">
        <v>1057.17</v>
      </c>
    </row>
    <row r="8139" spans="1:8" customFormat="1" x14ac:dyDescent="0.25">
      <c r="A8139" t="str">
        <f>"01239"</f>
        <v>01239</v>
      </c>
      <c r="B8139" t="s">
        <v>8956</v>
      </c>
      <c r="C8139" t="s">
        <v>564</v>
      </c>
      <c r="D8139" s="21" t="s">
        <v>34</v>
      </c>
      <c r="E8139" s="21" t="s">
        <v>254</v>
      </c>
      <c r="F8139">
        <v>1010031</v>
      </c>
      <c r="G8139" t="s">
        <v>8957</v>
      </c>
      <c r="H8139" s="21">
        <v>1057.17</v>
      </c>
    </row>
    <row r="8140" spans="1:8" customFormat="1" x14ac:dyDescent="0.25">
      <c r="A8140" t="str">
        <f>"432392"</f>
        <v>432392</v>
      </c>
      <c r="B8140" t="s">
        <v>8012</v>
      </c>
      <c r="C8140" t="s">
        <v>60</v>
      </c>
      <c r="D8140" s="21" t="s">
        <v>34</v>
      </c>
      <c r="E8140" s="21" t="s">
        <v>71</v>
      </c>
      <c r="F8140">
        <v>1420299</v>
      </c>
      <c r="G8140" t="s">
        <v>8013</v>
      </c>
      <c r="H8140" s="21">
        <v>1057.17</v>
      </c>
    </row>
    <row r="8141" spans="1:8" customFormat="1" x14ac:dyDescent="0.25">
      <c r="A8141" t="str">
        <f>"0614616"</f>
        <v>0614616</v>
      </c>
      <c r="B8141" t="s">
        <v>726</v>
      </c>
      <c r="C8141" t="s">
        <v>109</v>
      </c>
      <c r="D8141" s="21" t="s">
        <v>34</v>
      </c>
      <c r="E8141" s="21" t="s">
        <v>35</v>
      </c>
      <c r="F8141">
        <v>13060114</v>
      </c>
      <c r="G8141" t="s">
        <v>4501</v>
      </c>
      <c r="H8141" s="21">
        <v>1057.17</v>
      </c>
    </row>
    <row r="8142" spans="1:8" customFormat="1" x14ac:dyDescent="0.25">
      <c r="A8142" t="str">
        <f>"334954"</f>
        <v>334954</v>
      </c>
      <c r="B8142" t="s">
        <v>11092</v>
      </c>
      <c r="C8142" t="s">
        <v>55</v>
      </c>
      <c r="D8142" s="21" t="s">
        <v>34</v>
      </c>
      <c r="E8142" s="21" t="s">
        <v>35</v>
      </c>
      <c r="F8142">
        <v>10330093</v>
      </c>
      <c r="G8142" t="s">
        <v>8324</v>
      </c>
      <c r="H8142" s="21">
        <v>1057.17</v>
      </c>
    </row>
    <row r="8143" spans="1:8" customFormat="1" x14ac:dyDescent="0.25">
      <c r="A8143" t="str">
        <f>"613095"</f>
        <v>613095</v>
      </c>
      <c r="B8143" t="s">
        <v>7060</v>
      </c>
      <c r="C8143" t="s">
        <v>598</v>
      </c>
      <c r="D8143" s="21" t="s">
        <v>34</v>
      </c>
      <c r="E8143" s="21" t="s">
        <v>254</v>
      </c>
      <c r="F8143">
        <v>9610035</v>
      </c>
      <c r="G8143" t="s">
        <v>7061</v>
      </c>
      <c r="H8143" s="21">
        <v>1057.17</v>
      </c>
    </row>
    <row r="8144" spans="1:8" customFormat="1" x14ac:dyDescent="0.25">
      <c r="A8144" t="str">
        <f>"7916010"</f>
        <v>7916010</v>
      </c>
      <c r="B8144" t="s">
        <v>1451</v>
      </c>
      <c r="C8144" t="s">
        <v>65</v>
      </c>
      <c r="D8144" s="21" t="s">
        <v>34</v>
      </c>
      <c r="E8144" s="21" t="s">
        <v>35</v>
      </c>
      <c r="F8144">
        <v>10790058</v>
      </c>
      <c r="G8144" t="s">
        <v>6512</v>
      </c>
      <c r="H8144" s="21">
        <v>1057.17</v>
      </c>
    </row>
    <row r="8145" spans="1:8" customFormat="1" x14ac:dyDescent="0.25">
      <c r="A8145" t="str">
        <f>"83437"</f>
        <v>83437</v>
      </c>
      <c r="B8145" t="s">
        <v>8507</v>
      </c>
      <c r="C8145" t="s">
        <v>119</v>
      </c>
      <c r="D8145" s="21" t="s">
        <v>34</v>
      </c>
      <c r="E8145" s="21" t="s">
        <v>35</v>
      </c>
      <c r="F8145">
        <v>13830025</v>
      </c>
      <c r="G8145" t="s">
        <v>106</v>
      </c>
      <c r="H8145" s="21">
        <v>1057.05</v>
      </c>
    </row>
    <row r="8146" spans="1:8" customFormat="1" x14ac:dyDescent="0.25">
      <c r="A8146" t="str">
        <f>"224947"</f>
        <v>224947</v>
      </c>
      <c r="B8146" t="s">
        <v>1551</v>
      </c>
      <c r="C8146" t="s">
        <v>204</v>
      </c>
      <c r="D8146" s="21" t="s">
        <v>34</v>
      </c>
      <c r="E8146" s="21" t="s">
        <v>35</v>
      </c>
      <c r="F8146">
        <v>3220064</v>
      </c>
      <c r="G8146" t="s">
        <v>26559</v>
      </c>
      <c r="H8146" s="21">
        <v>1057.04</v>
      </c>
    </row>
    <row r="8147" spans="1:8" customFormat="1" x14ac:dyDescent="0.25">
      <c r="A8147" t="str">
        <f>"022358"</f>
        <v>022358</v>
      </c>
      <c r="B8147" t="s">
        <v>4604</v>
      </c>
      <c r="C8147" t="s">
        <v>719</v>
      </c>
      <c r="D8147" s="21" t="s">
        <v>34</v>
      </c>
      <c r="E8147" s="21" t="s">
        <v>35</v>
      </c>
      <c r="F8147">
        <v>10330005</v>
      </c>
      <c r="G8147" t="s">
        <v>3526</v>
      </c>
      <c r="H8147" s="21">
        <v>1057</v>
      </c>
    </row>
    <row r="8148" spans="1:8" customFormat="1" x14ac:dyDescent="0.25">
      <c r="A8148" t="str">
        <f>"215171"</f>
        <v>215171</v>
      </c>
      <c r="B8148" t="s">
        <v>10787</v>
      </c>
      <c r="C8148" t="s">
        <v>547</v>
      </c>
      <c r="D8148" s="21" t="s">
        <v>34</v>
      </c>
      <c r="E8148" s="21" t="s">
        <v>254</v>
      </c>
      <c r="F8148">
        <v>10400004</v>
      </c>
      <c r="G8148" t="s">
        <v>2929</v>
      </c>
      <c r="H8148" s="21">
        <v>1056.92</v>
      </c>
    </row>
    <row r="8149" spans="1:8" customFormat="1" x14ac:dyDescent="0.25">
      <c r="A8149" t="str">
        <f>"8811164"</f>
        <v>8811164</v>
      </c>
      <c r="B8149" t="s">
        <v>146</v>
      </c>
      <c r="C8149" t="s">
        <v>119</v>
      </c>
      <c r="D8149" s="21" t="s">
        <v>34</v>
      </c>
      <c r="E8149" s="21" t="s">
        <v>71</v>
      </c>
      <c r="F8149">
        <v>6880018</v>
      </c>
      <c r="G8149" t="s">
        <v>9046</v>
      </c>
      <c r="H8149" s="21">
        <v>1056.79</v>
      </c>
    </row>
    <row r="8150" spans="1:8" customFormat="1" x14ac:dyDescent="0.25">
      <c r="A8150" t="str">
        <f>"595533"</f>
        <v>595533</v>
      </c>
      <c r="B8150" t="s">
        <v>1645</v>
      </c>
      <c r="C8150" t="s">
        <v>462</v>
      </c>
      <c r="D8150" s="21" t="s">
        <v>34</v>
      </c>
      <c r="E8150" s="21" t="s">
        <v>35</v>
      </c>
      <c r="F8150">
        <v>7590263</v>
      </c>
      <c r="G8150" t="s">
        <v>895</v>
      </c>
      <c r="H8150" s="21">
        <v>1056.67</v>
      </c>
    </row>
    <row r="8151" spans="1:8" customFormat="1" x14ac:dyDescent="0.25">
      <c r="A8151" t="str">
        <f>"8521724"</f>
        <v>8521724</v>
      </c>
      <c r="B8151" t="s">
        <v>10452</v>
      </c>
      <c r="C8151" t="s">
        <v>5232</v>
      </c>
      <c r="D8151" s="21" t="s">
        <v>34</v>
      </c>
      <c r="E8151" s="21" t="s">
        <v>35</v>
      </c>
      <c r="F8151">
        <v>12850097</v>
      </c>
      <c r="G8151" t="s">
        <v>4111</v>
      </c>
      <c r="H8151" s="21">
        <v>1056.67</v>
      </c>
    </row>
    <row r="8152" spans="1:8" customFormat="1" x14ac:dyDescent="0.25">
      <c r="A8152" t="str">
        <f>"593160"</f>
        <v>593160</v>
      </c>
      <c r="B8152" t="s">
        <v>7598</v>
      </c>
      <c r="C8152" t="s">
        <v>822</v>
      </c>
      <c r="D8152" s="21" t="s">
        <v>34</v>
      </c>
      <c r="E8152" s="21" t="s">
        <v>1089</v>
      </c>
      <c r="F8152">
        <v>7590061</v>
      </c>
      <c r="G8152" t="s">
        <v>1207</v>
      </c>
      <c r="H8152" s="21">
        <v>1056.67</v>
      </c>
    </row>
    <row r="8153" spans="1:8" customFormat="1" x14ac:dyDescent="0.25">
      <c r="A8153" t="str">
        <f>"288757"</f>
        <v>288757</v>
      </c>
      <c r="B8153" t="s">
        <v>9378</v>
      </c>
      <c r="C8153" t="s">
        <v>98</v>
      </c>
      <c r="D8153" s="21" t="s">
        <v>34</v>
      </c>
      <c r="E8153" s="21" t="s">
        <v>35</v>
      </c>
      <c r="F8153">
        <v>12530011</v>
      </c>
      <c r="G8153" t="s">
        <v>7610</v>
      </c>
      <c r="H8153" s="21">
        <v>1056.67</v>
      </c>
    </row>
    <row r="8154" spans="1:8" customFormat="1" x14ac:dyDescent="0.25">
      <c r="A8154" t="str">
        <f>"62121"</f>
        <v>62121</v>
      </c>
      <c r="B8154" t="s">
        <v>3616</v>
      </c>
      <c r="C8154" t="s">
        <v>2479</v>
      </c>
      <c r="D8154" s="21" t="s">
        <v>34</v>
      </c>
      <c r="E8154" s="21" t="s">
        <v>254</v>
      </c>
      <c r="F8154">
        <v>7620110</v>
      </c>
      <c r="G8154" t="s">
        <v>2681</v>
      </c>
      <c r="H8154" s="21">
        <v>1056.67</v>
      </c>
    </row>
    <row r="8155" spans="1:8" customFormat="1" x14ac:dyDescent="0.25">
      <c r="A8155" t="str">
        <f>"50211"</f>
        <v>50211</v>
      </c>
      <c r="B8155" t="s">
        <v>9244</v>
      </c>
      <c r="C8155" t="s">
        <v>415</v>
      </c>
      <c r="D8155" s="21" t="s">
        <v>34</v>
      </c>
      <c r="E8155" s="21" t="s">
        <v>71</v>
      </c>
      <c r="F8155">
        <v>9500009</v>
      </c>
      <c r="G8155" t="s">
        <v>2230</v>
      </c>
      <c r="H8155" s="21">
        <v>1056.67</v>
      </c>
    </row>
    <row r="8156" spans="1:8" customFormat="1" x14ac:dyDescent="0.25">
      <c r="A8156" t="str">
        <f>"066534"</f>
        <v>066534</v>
      </c>
      <c r="B8156" t="s">
        <v>8209</v>
      </c>
      <c r="C8156" t="s">
        <v>119</v>
      </c>
      <c r="D8156" s="21" t="s">
        <v>34</v>
      </c>
      <c r="E8156" s="21" t="s">
        <v>35</v>
      </c>
      <c r="F8156">
        <v>8910402</v>
      </c>
      <c r="G8156" t="s">
        <v>1371</v>
      </c>
      <c r="H8156" s="21">
        <v>1056.67</v>
      </c>
    </row>
    <row r="8157" spans="1:8" customFormat="1" x14ac:dyDescent="0.25">
      <c r="A8157" t="str">
        <f>"7513467"</f>
        <v>7513467</v>
      </c>
      <c r="B8157" t="s">
        <v>27033</v>
      </c>
      <c r="C8157" t="s">
        <v>209</v>
      </c>
      <c r="D8157" s="21" t="s">
        <v>34</v>
      </c>
      <c r="E8157" s="21" t="s">
        <v>35</v>
      </c>
      <c r="F8157">
        <v>8750487</v>
      </c>
      <c r="G8157" t="s">
        <v>6793</v>
      </c>
      <c r="H8157" s="21">
        <v>1056.67</v>
      </c>
    </row>
    <row r="8158" spans="1:8" customFormat="1" x14ac:dyDescent="0.25">
      <c r="A8158" t="str">
        <f>"722468"</f>
        <v>722468</v>
      </c>
      <c r="B8158" t="s">
        <v>3670</v>
      </c>
      <c r="C8158" t="s">
        <v>812</v>
      </c>
      <c r="D8158" s="21" t="s">
        <v>34</v>
      </c>
      <c r="E8158" s="21" t="s">
        <v>254</v>
      </c>
      <c r="F8158">
        <v>12720084</v>
      </c>
      <c r="G8158" t="s">
        <v>7532</v>
      </c>
      <c r="H8158" s="21">
        <v>1056.67</v>
      </c>
    </row>
    <row r="8159" spans="1:8" customFormat="1" x14ac:dyDescent="0.25">
      <c r="A8159" t="str">
        <f>"519359"</f>
        <v>519359</v>
      </c>
      <c r="B8159" t="s">
        <v>27034</v>
      </c>
      <c r="C8159" t="s">
        <v>87</v>
      </c>
      <c r="D8159" s="21" t="s">
        <v>34</v>
      </c>
      <c r="E8159" s="21" t="s">
        <v>35</v>
      </c>
      <c r="F8159" t="s">
        <v>1465</v>
      </c>
      <c r="G8159" t="s">
        <v>1466</v>
      </c>
      <c r="H8159" s="21">
        <v>1056.67</v>
      </c>
    </row>
    <row r="8160" spans="1:8" customFormat="1" x14ac:dyDescent="0.25">
      <c r="A8160" t="str">
        <f>"7725609"</f>
        <v>7725609</v>
      </c>
      <c r="B8160" t="s">
        <v>27035</v>
      </c>
      <c r="C8160" t="s">
        <v>249</v>
      </c>
      <c r="D8160" s="21" t="s">
        <v>34</v>
      </c>
      <c r="E8160" s="21" t="s">
        <v>35</v>
      </c>
      <c r="F8160">
        <v>12490107</v>
      </c>
      <c r="G8160" t="s">
        <v>715</v>
      </c>
      <c r="H8160" s="21">
        <v>1056.67</v>
      </c>
    </row>
    <row r="8161" spans="1:8" customFormat="1" x14ac:dyDescent="0.25">
      <c r="A8161" t="str">
        <f>"9213362"</f>
        <v>9213362</v>
      </c>
      <c r="B8161" t="s">
        <v>2726</v>
      </c>
      <c r="C8161" t="s">
        <v>462</v>
      </c>
      <c r="D8161" s="21" t="s">
        <v>34</v>
      </c>
      <c r="E8161" s="21" t="s">
        <v>71</v>
      </c>
      <c r="F8161">
        <v>11310075</v>
      </c>
      <c r="G8161" t="s">
        <v>2531</v>
      </c>
      <c r="H8161" s="21">
        <v>1056.67</v>
      </c>
    </row>
    <row r="8162" spans="1:8" customFormat="1" x14ac:dyDescent="0.25">
      <c r="A8162" t="str">
        <f>"8010872"</f>
        <v>8010872</v>
      </c>
      <c r="B8162" t="s">
        <v>7884</v>
      </c>
      <c r="C8162" t="s">
        <v>288</v>
      </c>
      <c r="D8162" s="21" t="s">
        <v>34</v>
      </c>
      <c r="E8162" s="21" t="s">
        <v>35</v>
      </c>
      <c r="F8162">
        <v>9760382</v>
      </c>
      <c r="G8162" t="s">
        <v>2737</v>
      </c>
      <c r="H8162" s="21">
        <v>1056.67</v>
      </c>
    </row>
    <row r="8163" spans="1:8" customFormat="1" x14ac:dyDescent="0.25">
      <c r="A8163" t="str">
        <f>"2935216"</f>
        <v>2935216</v>
      </c>
      <c r="B8163" t="s">
        <v>4124</v>
      </c>
      <c r="C8163" t="s">
        <v>302</v>
      </c>
      <c r="D8163" s="21" t="s">
        <v>34</v>
      </c>
      <c r="E8163" s="21" t="s">
        <v>35</v>
      </c>
      <c r="F8163">
        <v>3290277</v>
      </c>
      <c r="G8163" t="s">
        <v>1671</v>
      </c>
      <c r="H8163" s="21">
        <v>1056.55</v>
      </c>
    </row>
    <row r="8164" spans="1:8" customFormat="1" x14ac:dyDescent="0.25">
      <c r="A8164" t="str">
        <f>"6933514"</f>
        <v>6933514</v>
      </c>
      <c r="B8164" t="s">
        <v>8092</v>
      </c>
      <c r="C8164" t="s">
        <v>2100</v>
      </c>
      <c r="D8164" s="21" t="s">
        <v>34</v>
      </c>
      <c r="E8164" s="21" t="s">
        <v>71</v>
      </c>
      <c r="F8164">
        <v>4370478</v>
      </c>
      <c r="G8164" t="s">
        <v>4735</v>
      </c>
      <c r="H8164" s="21">
        <v>1056.55</v>
      </c>
    </row>
    <row r="8165" spans="1:8" customFormat="1" x14ac:dyDescent="0.25">
      <c r="A8165" t="str">
        <f>"15390"</f>
        <v>15390</v>
      </c>
      <c r="B8165" t="s">
        <v>9469</v>
      </c>
      <c r="C8165" t="s">
        <v>2479</v>
      </c>
      <c r="D8165" s="21" t="s">
        <v>34</v>
      </c>
      <c r="E8165" s="21" t="s">
        <v>71</v>
      </c>
      <c r="F8165">
        <v>1150159</v>
      </c>
      <c r="G8165" t="s">
        <v>7433</v>
      </c>
      <c r="H8165" s="21">
        <v>1056.54</v>
      </c>
    </row>
    <row r="8166" spans="1:8" customFormat="1" x14ac:dyDescent="0.25">
      <c r="A8166" t="str">
        <f>"199009"</f>
        <v>199009</v>
      </c>
      <c r="B8166" t="s">
        <v>9798</v>
      </c>
      <c r="C8166" t="s">
        <v>33</v>
      </c>
      <c r="D8166" s="21" t="s">
        <v>34</v>
      </c>
      <c r="E8166" s="21" t="s">
        <v>35</v>
      </c>
      <c r="F8166">
        <v>10190120</v>
      </c>
      <c r="G8166" t="s">
        <v>4616</v>
      </c>
      <c r="H8166" s="21">
        <v>1056.42</v>
      </c>
    </row>
    <row r="8167" spans="1:8" customFormat="1" x14ac:dyDescent="0.25">
      <c r="A8167" t="str">
        <f>"92686"</f>
        <v>92686</v>
      </c>
      <c r="B8167" t="s">
        <v>2023</v>
      </c>
      <c r="C8167" t="s">
        <v>204</v>
      </c>
      <c r="D8167" s="21" t="s">
        <v>34</v>
      </c>
      <c r="E8167" s="21" t="s">
        <v>71</v>
      </c>
      <c r="F8167">
        <v>8920075</v>
      </c>
      <c r="G8167" t="s">
        <v>317</v>
      </c>
      <c r="H8167" s="21">
        <v>1056.3</v>
      </c>
    </row>
    <row r="8168" spans="1:8" customFormat="1" x14ac:dyDescent="0.25">
      <c r="A8168" t="str">
        <f>"293234"</f>
        <v>293234</v>
      </c>
      <c r="B8168" t="s">
        <v>8711</v>
      </c>
      <c r="C8168" t="s">
        <v>151</v>
      </c>
      <c r="D8168" s="21" t="s">
        <v>34</v>
      </c>
      <c r="E8168" s="21" t="s">
        <v>254</v>
      </c>
      <c r="F8168">
        <v>3290255</v>
      </c>
      <c r="G8168" t="s">
        <v>2852</v>
      </c>
      <c r="H8168" s="21">
        <v>1056.3</v>
      </c>
    </row>
    <row r="8169" spans="1:8" customFormat="1" x14ac:dyDescent="0.25">
      <c r="A8169" t="str">
        <f>"68448"</f>
        <v>68448</v>
      </c>
      <c r="B8169" t="s">
        <v>9605</v>
      </c>
      <c r="C8169" t="s">
        <v>1142</v>
      </c>
      <c r="D8169" s="21" t="s">
        <v>34</v>
      </c>
      <c r="E8169" s="21" t="s">
        <v>254</v>
      </c>
      <c r="F8169">
        <v>6680006</v>
      </c>
      <c r="G8169" t="s">
        <v>5266</v>
      </c>
      <c r="H8169" s="21">
        <v>1056.17</v>
      </c>
    </row>
    <row r="8170" spans="1:8" customFormat="1" x14ac:dyDescent="0.25">
      <c r="A8170" t="str">
        <f>"5017487"</f>
        <v>5017487</v>
      </c>
      <c r="B8170" t="s">
        <v>8342</v>
      </c>
      <c r="C8170" t="s">
        <v>209</v>
      </c>
      <c r="D8170" s="21" t="s">
        <v>34</v>
      </c>
      <c r="E8170" s="21" t="s">
        <v>71</v>
      </c>
      <c r="F8170">
        <v>9500143</v>
      </c>
      <c r="G8170" t="s">
        <v>2884</v>
      </c>
      <c r="H8170" s="21">
        <v>1056.17</v>
      </c>
    </row>
    <row r="8171" spans="1:8" customFormat="1" x14ac:dyDescent="0.25">
      <c r="A8171" t="str">
        <f>"3713145"</f>
        <v>3713145</v>
      </c>
      <c r="B8171" t="s">
        <v>7633</v>
      </c>
      <c r="C8171" t="s">
        <v>198</v>
      </c>
      <c r="D8171" s="21" t="s">
        <v>34</v>
      </c>
      <c r="E8171" s="21" t="s">
        <v>71</v>
      </c>
      <c r="F8171">
        <v>4370151</v>
      </c>
      <c r="G8171" t="s">
        <v>5304</v>
      </c>
      <c r="H8171" s="21">
        <v>1056.17</v>
      </c>
    </row>
    <row r="8172" spans="1:8" customFormat="1" x14ac:dyDescent="0.25">
      <c r="A8172" t="str">
        <f>"622358"</f>
        <v>622358</v>
      </c>
      <c r="B8172" t="s">
        <v>1147</v>
      </c>
      <c r="C8172" t="s">
        <v>198</v>
      </c>
      <c r="D8172" s="21" t="s">
        <v>34</v>
      </c>
      <c r="E8172" s="21" t="s">
        <v>1089</v>
      </c>
      <c r="F8172">
        <v>7620044</v>
      </c>
      <c r="G8172" t="s">
        <v>2961</v>
      </c>
      <c r="H8172" s="21">
        <v>1056.17</v>
      </c>
    </row>
    <row r="8173" spans="1:8" customFormat="1" x14ac:dyDescent="0.25">
      <c r="A8173" t="str">
        <f>"8016348"</f>
        <v>8016348</v>
      </c>
      <c r="B8173" t="s">
        <v>582</v>
      </c>
      <c r="C8173" t="s">
        <v>60</v>
      </c>
      <c r="D8173" s="21" t="s">
        <v>34</v>
      </c>
      <c r="E8173" s="21" t="s">
        <v>35</v>
      </c>
      <c r="F8173">
        <v>7800061</v>
      </c>
      <c r="G8173" t="s">
        <v>1330</v>
      </c>
      <c r="H8173" s="21">
        <v>1056.17</v>
      </c>
    </row>
    <row r="8174" spans="1:8" customFormat="1" x14ac:dyDescent="0.25">
      <c r="A8174" t="str">
        <f>"899414"</f>
        <v>899414</v>
      </c>
      <c r="B8174" t="s">
        <v>27036</v>
      </c>
      <c r="C8174" t="s">
        <v>2168</v>
      </c>
      <c r="D8174" s="21" t="s">
        <v>34</v>
      </c>
      <c r="E8174" s="21" t="s">
        <v>35</v>
      </c>
      <c r="F8174">
        <v>2890023</v>
      </c>
      <c r="G8174" t="s">
        <v>1995</v>
      </c>
      <c r="H8174" s="21">
        <v>1056.17</v>
      </c>
    </row>
    <row r="8175" spans="1:8" customFormat="1" x14ac:dyDescent="0.25">
      <c r="A8175" t="str">
        <f>"9137858"</f>
        <v>9137858</v>
      </c>
      <c r="B8175" t="s">
        <v>2362</v>
      </c>
      <c r="C8175" t="s">
        <v>576</v>
      </c>
      <c r="D8175" s="21" t="s">
        <v>34</v>
      </c>
      <c r="E8175" s="21" t="s">
        <v>35</v>
      </c>
      <c r="F8175">
        <v>8910102</v>
      </c>
      <c r="G8175" t="s">
        <v>3079</v>
      </c>
      <c r="H8175" s="21">
        <v>1056.17</v>
      </c>
    </row>
    <row r="8176" spans="1:8" customFormat="1" x14ac:dyDescent="0.25">
      <c r="A8176" t="str">
        <f>"2915262"</f>
        <v>2915262</v>
      </c>
      <c r="B8176" t="s">
        <v>8455</v>
      </c>
      <c r="C8176" t="s">
        <v>209</v>
      </c>
      <c r="D8176" s="21" t="s">
        <v>34</v>
      </c>
      <c r="E8176" s="21" t="s">
        <v>71</v>
      </c>
      <c r="F8176">
        <v>3290280</v>
      </c>
      <c r="G8176" t="s">
        <v>4913</v>
      </c>
      <c r="H8176" s="21">
        <v>1056.17</v>
      </c>
    </row>
    <row r="8177" spans="1:8" customFormat="1" x14ac:dyDescent="0.25">
      <c r="A8177" t="str">
        <f>"6313504"</f>
        <v>6313504</v>
      </c>
      <c r="B8177" t="s">
        <v>7931</v>
      </c>
      <c r="C8177" t="s">
        <v>169</v>
      </c>
      <c r="D8177" s="21" t="s">
        <v>34</v>
      </c>
      <c r="E8177" s="21" t="s">
        <v>35</v>
      </c>
      <c r="F8177">
        <v>1630241</v>
      </c>
      <c r="G8177" t="s">
        <v>4519</v>
      </c>
      <c r="H8177" s="21">
        <v>1056.17</v>
      </c>
    </row>
    <row r="8178" spans="1:8" customFormat="1" x14ac:dyDescent="0.25">
      <c r="A8178" t="str">
        <f>"1312286"</f>
        <v>1312286</v>
      </c>
      <c r="B8178" t="s">
        <v>6988</v>
      </c>
      <c r="C8178" t="s">
        <v>98</v>
      </c>
      <c r="D8178" s="21" t="s">
        <v>34</v>
      </c>
      <c r="E8178" s="21" t="s">
        <v>35</v>
      </c>
      <c r="F8178">
        <v>13130158</v>
      </c>
      <c r="G8178" t="s">
        <v>3215</v>
      </c>
      <c r="H8178" s="21">
        <v>1056.17</v>
      </c>
    </row>
    <row r="8179" spans="1:8" customFormat="1" x14ac:dyDescent="0.25">
      <c r="A8179" t="str">
        <f>"3110770"</f>
        <v>3110770</v>
      </c>
      <c r="B8179" t="s">
        <v>6805</v>
      </c>
      <c r="C8179" t="s">
        <v>236</v>
      </c>
      <c r="D8179" s="21" t="s">
        <v>34</v>
      </c>
      <c r="E8179" s="21" t="s">
        <v>71</v>
      </c>
      <c r="F8179">
        <v>11310060</v>
      </c>
      <c r="G8179" t="s">
        <v>2448</v>
      </c>
      <c r="H8179" s="21">
        <v>1056.17</v>
      </c>
    </row>
    <row r="8180" spans="1:8" customFormat="1" x14ac:dyDescent="0.25">
      <c r="A8180" t="str">
        <f>"477198"</f>
        <v>477198</v>
      </c>
      <c r="B8180" t="s">
        <v>7336</v>
      </c>
      <c r="C8180" t="s">
        <v>415</v>
      </c>
      <c r="D8180" s="21" t="s">
        <v>34</v>
      </c>
      <c r="E8180" s="21" t="s">
        <v>71</v>
      </c>
      <c r="F8180">
        <v>10470006</v>
      </c>
      <c r="G8180" t="s">
        <v>1225</v>
      </c>
      <c r="H8180" s="21">
        <v>1056.17</v>
      </c>
    </row>
    <row r="8181" spans="1:8" customFormat="1" x14ac:dyDescent="0.25">
      <c r="A8181" t="str">
        <f>"7827183"</f>
        <v>7827183</v>
      </c>
      <c r="B8181" t="s">
        <v>8408</v>
      </c>
      <c r="C8181" t="s">
        <v>40</v>
      </c>
      <c r="D8181" s="21" t="s">
        <v>34</v>
      </c>
      <c r="E8181" s="21" t="s">
        <v>35</v>
      </c>
      <c r="F8181">
        <v>13130124</v>
      </c>
      <c r="G8181" t="s">
        <v>5311</v>
      </c>
      <c r="H8181" s="21">
        <v>1056.17</v>
      </c>
    </row>
    <row r="8182" spans="1:8" customFormat="1" x14ac:dyDescent="0.25">
      <c r="A8182" t="str">
        <f>"7521693"</f>
        <v>7521693</v>
      </c>
      <c r="B8182" t="s">
        <v>4069</v>
      </c>
      <c r="C8182" t="s">
        <v>1597</v>
      </c>
      <c r="D8182" s="21" t="s">
        <v>34</v>
      </c>
      <c r="E8182" s="21" t="s">
        <v>71</v>
      </c>
      <c r="F8182">
        <v>8940033</v>
      </c>
      <c r="G8182" t="s">
        <v>1376</v>
      </c>
      <c r="H8182" s="21">
        <v>1055.92</v>
      </c>
    </row>
    <row r="8183" spans="1:8" customFormat="1" x14ac:dyDescent="0.25">
      <c r="A8183" t="str">
        <f>"9122687"</f>
        <v>9122687</v>
      </c>
      <c r="B8183" t="s">
        <v>10089</v>
      </c>
      <c r="C8183" t="s">
        <v>305</v>
      </c>
      <c r="D8183" s="21" t="s">
        <v>34</v>
      </c>
      <c r="E8183" s="21" t="s">
        <v>35</v>
      </c>
      <c r="F8183">
        <v>8911050</v>
      </c>
      <c r="G8183" t="s">
        <v>1606</v>
      </c>
      <c r="H8183" s="21">
        <v>1055.92</v>
      </c>
    </row>
    <row r="8184" spans="1:8" customFormat="1" x14ac:dyDescent="0.25">
      <c r="A8184" t="str">
        <f>"3114089"</f>
        <v>3114089</v>
      </c>
      <c r="B8184" t="s">
        <v>8936</v>
      </c>
      <c r="C8184" t="s">
        <v>11842</v>
      </c>
      <c r="D8184" s="21" t="s">
        <v>34</v>
      </c>
      <c r="E8184" s="21" t="s">
        <v>35</v>
      </c>
      <c r="F8184">
        <v>11310029</v>
      </c>
      <c r="G8184" t="s">
        <v>3717</v>
      </c>
      <c r="H8184" s="21">
        <v>1055.67</v>
      </c>
    </row>
    <row r="8185" spans="1:8" customFormat="1" x14ac:dyDescent="0.25">
      <c r="A8185" t="str">
        <f>"7716454"</f>
        <v>7716454</v>
      </c>
      <c r="B8185" t="s">
        <v>9749</v>
      </c>
      <c r="C8185" t="s">
        <v>209</v>
      </c>
      <c r="D8185" s="21" t="s">
        <v>34</v>
      </c>
      <c r="E8185" s="21" t="s">
        <v>35</v>
      </c>
      <c r="F8185">
        <v>8770166</v>
      </c>
      <c r="G8185" t="s">
        <v>653</v>
      </c>
      <c r="H8185" s="21">
        <v>1055.67</v>
      </c>
    </row>
    <row r="8186" spans="1:8" customFormat="1" x14ac:dyDescent="0.25">
      <c r="A8186" t="str">
        <f>"8816651"</f>
        <v>8816651</v>
      </c>
      <c r="B8186" t="s">
        <v>27037</v>
      </c>
      <c r="C8186" t="s">
        <v>209</v>
      </c>
      <c r="D8186" s="21" t="s">
        <v>34</v>
      </c>
      <c r="E8186" s="21" t="s">
        <v>254</v>
      </c>
      <c r="F8186">
        <v>6880002</v>
      </c>
      <c r="G8186" t="s">
        <v>501</v>
      </c>
      <c r="H8186" s="21">
        <v>1055.67</v>
      </c>
    </row>
    <row r="8187" spans="1:8" customFormat="1" x14ac:dyDescent="0.25">
      <c r="A8187" t="str">
        <f>"305437"</f>
        <v>305437</v>
      </c>
      <c r="B8187" t="s">
        <v>1422</v>
      </c>
      <c r="C8187" t="s">
        <v>639</v>
      </c>
      <c r="D8187" s="21" t="s">
        <v>34</v>
      </c>
      <c r="E8187" s="21" t="s">
        <v>254</v>
      </c>
      <c r="F8187">
        <v>10160236</v>
      </c>
      <c r="G8187" t="s">
        <v>7202</v>
      </c>
      <c r="H8187" s="21">
        <v>1055.67</v>
      </c>
    </row>
    <row r="8188" spans="1:8" customFormat="1" x14ac:dyDescent="0.25">
      <c r="A8188" t="str">
        <f>"394519"</f>
        <v>394519</v>
      </c>
      <c r="B8188" t="s">
        <v>7443</v>
      </c>
      <c r="C8188" t="s">
        <v>33</v>
      </c>
      <c r="D8188" s="21" t="s">
        <v>34</v>
      </c>
      <c r="E8188" s="21" t="s">
        <v>71</v>
      </c>
      <c r="F8188">
        <v>2390027</v>
      </c>
      <c r="G8188" t="s">
        <v>3605</v>
      </c>
      <c r="H8188" s="21">
        <v>1055.67</v>
      </c>
    </row>
    <row r="8189" spans="1:8" customFormat="1" x14ac:dyDescent="0.25">
      <c r="A8189" t="str">
        <f>"884006"</f>
        <v>884006</v>
      </c>
      <c r="B8189" t="s">
        <v>3904</v>
      </c>
      <c r="C8189" t="s">
        <v>249</v>
      </c>
      <c r="D8189" s="21" t="s">
        <v>34</v>
      </c>
      <c r="E8189" s="21" t="s">
        <v>71</v>
      </c>
      <c r="F8189">
        <v>2700005</v>
      </c>
      <c r="G8189" t="s">
        <v>5290</v>
      </c>
      <c r="H8189" s="21">
        <v>1055.67</v>
      </c>
    </row>
    <row r="8190" spans="1:8" customFormat="1" x14ac:dyDescent="0.25">
      <c r="A8190" t="str">
        <f>"8610653"</f>
        <v>8610653</v>
      </c>
      <c r="B8190" t="s">
        <v>27038</v>
      </c>
      <c r="C8190" t="s">
        <v>55</v>
      </c>
      <c r="D8190" s="21" t="s">
        <v>34</v>
      </c>
      <c r="E8190" s="21" t="s">
        <v>35</v>
      </c>
      <c r="F8190">
        <v>4370583</v>
      </c>
      <c r="G8190" t="s">
        <v>13975</v>
      </c>
      <c r="H8190" s="21">
        <v>1055.67</v>
      </c>
    </row>
    <row r="8191" spans="1:8" customFormat="1" x14ac:dyDescent="0.25">
      <c r="A8191" t="str">
        <f>"7622027"</f>
        <v>7622027</v>
      </c>
      <c r="B8191" t="s">
        <v>7727</v>
      </c>
      <c r="C8191" t="s">
        <v>206</v>
      </c>
      <c r="D8191" s="21" t="s">
        <v>34</v>
      </c>
      <c r="E8191" s="21" t="s">
        <v>35</v>
      </c>
      <c r="F8191">
        <v>9760127</v>
      </c>
      <c r="G8191" t="s">
        <v>7132</v>
      </c>
      <c r="H8191" s="21">
        <v>1055.67</v>
      </c>
    </row>
    <row r="8192" spans="1:8" customFormat="1" x14ac:dyDescent="0.25">
      <c r="A8192" t="str">
        <f>"587176"</f>
        <v>587176</v>
      </c>
      <c r="B8192" t="s">
        <v>4522</v>
      </c>
      <c r="C8192" t="s">
        <v>328</v>
      </c>
      <c r="D8192" s="21" t="s">
        <v>34</v>
      </c>
      <c r="E8192" s="21" t="s">
        <v>35</v>
      </c>
      <c r="F8192">
        <v>2580093</v>
      </c>
      <c r="G8192" t="s">
        <v>9104</v>
      </c>
      <c r="H8192" s="21">
        <v>1055.67</v>
      </c>
    </row>
    <row r="8193" spans="1:8" customFormat="1" x14ac:dyDescent="0.25">
      <c r="A8193" t="str">
        <f>"762965"</f>
        <v>762965</v>
      </c>
      <c r="B8193" t="s">
        <v>9235</v>
      </c>
      <c r="C8193" t="s">
        <v>249</v>
      </c>
      <c r="D8193" s="21" t="s">
        <v>34</v>
      </c>
      <c r="E8193" s="21" t="s">
        <v>71</v>
      </c>
      <c r="F8193">
        <v>9760127</v>
      </c>
      <c r="G8193" t="s">
        <v>7132</v>
      </c>
      <c r="H8193" s="21">
        <v>1055.67</v>
      </c>
    </row>
    <row r="8194" spans="1:8" customFormat="1" x14ac:dyDescent="0.25">
      <c r="A8194" t="str">
        <f>"279654"</f>
        <v>279654</v>
      </c>
      <c r="B8194" t="s">
        <v>9619</v>
      </c>
      <c r="C8194" t="s">
        <v>87</v>
      </c>
      <c r="D8194" s="21" t="s">
        <v>34</v>
      </c>
      <c r="E8194" s="21" t="s">
        <v>71</v>
      </c>
      <c r="F8194">
        <v>9270181</v>
      </c>
      <c r="G8194" t="s">
        <v>2952</v>
      </c>
      <c r="H8194" s="21">
        <v>1055.67</v>
      </c>
    </row>
    <row r="8195" spans="1:8" customFormat="1" x14ac:dyDescent="0.25">
      <c r="A8195" t="str">
        <f>"9218464"</f>
        <v>9218464</v>
      </c>
      <c r="B8195" t="s">
        <v>8240</v>
      </c>
      <c r="C8195" t="s">
        <v>124</v>
      </c>
      <c r="D8195" s="21" t="s">
        <v>34</v>
      </c>
      <c r="E8195" s="21" t="s">
        <v>71</v>
      </c>
      <c r="F8195">
        <v>13830071</v>
      </c>
      <c r="G8195" t="s">
        <v>3221</v>
      </c>
      <c r="H8195" s="21">
        <v>1055.67</v>
      </c>
    </row>
    <row r="8196" spans="1:8" customFormat="1" x14ac:dyDescent="0.25">
      <c r="A8196" t="str">
        <f>"629055"</f>
        <v>629055</v>
      </c>
      <c r="B8196" t="s">
        <v>8123</v>
      </c>
      <c r="C8196" t="s">
        <v>109</v>
      </c>
      <c r="D8196" s="21" t="s">
        <v>34</v>
      </c>
      <c r="E8196" s="21" t="s">
        <v>35</v>
      </c>
      <c r="F8196">
        <v>7590259</v>
      </c>
      <c r="G8196" t="s">
        <v>6385</v>
      </c>
      <c r="H8196" s="21">
        <v>1055.67</v>
      </c>
    </row>
    <row r="8197" spans="1:8" customFormat="1" x14ac:dyDescent="0.25">
      <c r="A8197" t="str">
        <f>"412006"</f>
        <v>412006</v>
      </c>
      <c r="B8197" t="s">
        <v>10570</v>
      </c>
      <c r="C8197" t="s">
        <v>2984</v>
      </c>
      <c r="D8197" s="21" t="s">
        <v>34</v>
      </c>
      <c r="E8197" s="21" t="s">
        <v>35</v>
      </c>
      <c r="F8197">
        <v>4410467</v>
      </c>
      <c r="G8197" t="s">
        <v>6362</v>
      </c>
      <c r="H8197" s="21">
        <v>1055.67</v>
      </c>
    </row>
    <row r="8198" spans="1:8" customFormat="1" x14ac:dyDescent="0.25">
      <c r="A8198" t="str">
        <f>"5934568"</f>
        <v>5934568</v>
      </c>
      <c r="B8198" t="s">
        <v>9128</v>
      </c>
      <c r="C8198" t="s">
        <v>233</v>
      </c>
      <c r="D8198" s="21" t="s">
        <v>34</v>
      </c>
      <c r="E8198" s="21" t="s">
        <v>35</v>
      </c>
      <c r="F8198">
        <v>7590080</v>
      </c>
      <c r="G8198" t="s">
        <v>1715</v>
      </c>
      <c r="H8198" s="21">
        <v>1055.67</v>
      </c>
    </row>
    <row r="8199" spans="1:8" customFormat="1" x14ac:dyDescent="0.25">
      <c r="A8199" t="str">
        <f>"511925"</f>
        <v>511925</v>
      </c>
      <c r="B8199" t="s">
        <v>9859</v>
      </c>
      <c r="C8199" t="s">
        <v>825</v>
      </c>
      <c r="D8199" s="21" t="s">
        <v>34</v>
      </c>
      <c r="E8199" s="21" t="s">
        <v>71</v>
      </c>
      <c r="F8199">
        <v>6510061</v>
      </c>
      <c r="G8199" t="s">
        <v>7426</v>
      </c>
      <c r="H8199" s="21">
        <v>1055.55</v>
      </c>
    </row>
    <row r="8200" spans="1:8" customFormat="1" x14ac:dyDescent="0.25">
      <c r="A8200" t="str">
        <f>"5015582"</f>
        <v>5015582</v>
      </c>
      <c r="B8200" t="s">
        <v>9988</v>
      </c>
      <c r="C8200" t="s">
        <v>9989</v>
      </c>
      <c r="D8200" s="21" t="s">
        <v>34</v>
      </c>
      <c r="E8200" s="21" t="s">
        <v>35</v>
      </c>
      <c r="F8200">
        <v>3560039</v>
      </c>
      <c r="G8200" t="s">
        <v>167</v>
      </c>
      <c r="H8200" s="21">
        <v>1055.42</v>
      </c>
    </row>
    <row r="8201" spans="1:8" customFormat="1" x14ac:dyDescent="0.25">
      <c r="A8201" t="str">
        <f>"46891"</f>
        <v>46891</v>
      </c>
      <c r="B8201" t="s">
        <v>9110</v>
      </c>
      <c r="C8201" t="s">
        <v>40</v>
      </c>
      <c r="D8201" s="21" t="s">
        <v>34</v>
      </c>
      <c r="E8201" s="21" t="s">
        <v>71</v>
      </c>
      <c r="F8201">
        <v>11120043</v>
      </c>
      <c r="G8201" t="s">
        <v>9111</v>
      </c>
      <c r="H8201" s="21">
        <v>1055.17</v>
      </c>
    </row>
    <row r="8202" spans="1:8" customFormat="1" x14ac:dyDescent="0.25">
      <c r="A8202" t="str">
        <f>"317933"</f>
        <v>317933</v>
      </c>
      <c r="B8202" t="s">
        <v>8713</v>
      </c>
      <c r="C8202" t="s">
        <v>114</v>
      </c>
      <c r="D8202" s="21" t="s">
        <v>34</v>
      </c>
      <c r="E8202" s="21" t="s">
        <v>35</v>
      </c>
      <c r="F8202">
        <v>11310005</v>
      </c>
      <c r="G8202" t="s">
        <v>6980</v>
      </c>
      <c r="H8202" s="21">
        <v>1055.17</v>
      </c>
    </row>
    <row r="8203" spans="1:8" customFormat="1" x14ac:dyDescent="0.25">
      <c r="A8203" t="str">
        <f>"7616790"</f>
        <v>7616790</v>
      </c>
      <c r="B8203" t="s">
        <v>9764</v>
      </c>
      <c r="C8203" t="s">
        <v>144</v>
      </c>
      <c r="D8203" s="21" t="s">
        <v>34</v>
      </c>
      <c r="E8203" s="21" t="s">
        <v>71</v>
      </c>
      <c r="F8203">
        <v>9760377</v>
      </c>
      <c r="G8203" t="s">
        <v>6631</v>
      </c>
      <c r="H8203" s="21">
        <v>1055.17</v>
      </c>
    </row>
    <row r="8204" spans="1:8" customFormat="1" x14ac:dyDescent="0.25">
      <c r="A8204" t="str">
        <f>"39266"</f>
        <v>39266</v>
      </c>
      <c r="B8204" t="s">
        <v>7846</v>
      </c>
      <c r="C8204" t="s">
        <v>2529</v>
      </c>
      <c r="D8204" s="21" t="s">
        <v>34</v>
      </c>
      <c r="E8204" s="21" t="s">
        <v>71</v>
      </c>
      <c r="F8204">
        <v>2390027</v>
      </c>
      <c r="G8204" t="s">
        <v>3605</v>
      </c>
      <c r="H8204" s="21">
        <v>1055.17</v>
      </c>
    </row>
    <row r="8205" spans="1:8" customFormat="1" x14ac:dyDescent="0.25">
      <c r="A8205" t="str">
        <f>"4510802"</f>
        <v>4510802</v>
      </c>
      <c r="B8205" t="s">
        <v>7379</v>
      </c>
      <c r="C8205" t="s">
        <v>33</v>
      </c>
      <c r="D8205" s="21" t="s">
        <v>34</v>
      </c>
      <c r="E8205" s="21" t="s">
        <v>35</v>
      </c>
      <c r="F8205">
        <v>4450760</v>
      </c>
      <c r="G8205" t="s">
        <v>5775</v>
      </c>
      <c r="H8205" s="21">
        <v>1055.17</v>
      </c>
    </row>
    <row r="8206" spans="1:8" customFormat="1" x14ac:dyDescent="0.25">
      <c r="A8206" t="str">
        <f>"682247"</f>
        <v>682247</v>
      </c>
      <c r="B8206" t="s">
        <v>4056</v>
      </c>
      <c r="C8206" t="s">
        <v>114</v>
      </c>
      <c r="D8206" s="21" t="s">
        <v>34</v>
      </c>
      <c r="E8206" s="21" t="s">
        <v>35</v>
      </c>
      <c r="F8206">
        <v>6680123</v>
      </c>
      <c r="G8206" t="s">
        <v>8996</v>
      </c>
      <c r="H8206" s="21">
        <v>1055.17</v>
      </c>
    </row>
    <row r="8207" spans="1:8" customFormat="1" x14ac:dyDescent="0.25">
      <c r="A8207" t="str">
        <f>"9524902"</f>
        <v>9524902</v>
      </c>
      <c r="B8207" t="s">
        <v>11547</v>
      </c>
      <c r="C8207" t="s">
        <v>2579</v>
      </c>
      <c r="D8207" s="21" t="s">
        <v>34</v>
      </c>
      <c r="E8207" s="21" t="s">
        <v>71</v>
      </c>
      <c r="F8207">
        <v>8950103</v>
      </c>
      <c r="G8207" t="s">
        <v>440</v>
      </c>
      <c r="H8207" s="21">
        <v>1055.17</v>
      </c>
    </row>
    <row r="8208" spans="1:8" customFormat="1" x14ac:dyDescent="0.25">
      <c r="A8208" t="str">
        <f>"6720814"</f>
        <v>6720814</v>
      </c>
      <c r="B8208" t="s">
        <v>3576</v>
      </c>
      <c r="C8208" t="s">
        <v>784</v>
      </c>
      <c r="D8208" s="21" t="s">
        <v>34</v>
      </c>
      <c r="E8208" s="21" t="s">
        <v>35</v>
      </c>
      <c r="F8208">
        <v>6670207</v>
      </c>
      <c r="G8208" t="s">
        <v>5419</v>
      </c>
      <c r="H8208" s="21">
        <v>1055.17</v>
      </c>
    </row>
    <row r="8209" spans="1:8" customFormat="1" x14ac:dyDescent="0.25">
      <c r="A8209" t="str">
        <f>"5937375"</f>
        <v>5937375</v>
      </c>
      <c r="B8209" t="s">
        <v>8616</v>
      </c>
      <c r="C8209" t="s">
        <v>55</v>
      </c>
      <c r="D8209" s="21" t="s">
        <v>34</v>
      </c>
      <c r="E8209" s="21" t="s">
        <v>71</v>
      </c>
      <c r="F8209">
        <v>7590392</v>
      </c>
      <c r="G8209" t="s">
        <v>154</v>
      </c>
      <c r="H8209" s="21">
        <v>1055.06</v>
      </c>
    </row>
    <row r="8210" spans="1:8" customFormat="1" x14ac:dyDescent="0.25">
      <c r="A8210" t="str">
        <f>"6710430"</f>
        <v>6710430</v>
      </c>
      <c r="B8210" t="s">
        <v>10366</v>
      </c>
      <c r="C8210" t="s">
        <v>263</v>
      </c>
      <c r="D8210" s="21" t="s">
        <v>34</v>
      </c>
      <c r="E8210" s="21" t="s">
        <v>71</v>
      </c>
      <c r="F8210">
        <v>6670246</v>
      </c>
      <c r="G8210" t="s">
        <v>7707</v>
      </c>
      <c r="H8210" s="21">
        <v>1054.92</v>
      </c>
    </row>
    <row r="8211" spans="1:8" customFormat="1" x14ac:dyDescent="0.25">
      <c r="A8211" t="str">
        <f>"1716406"</f>
        <v>1716406</v>
      </c>
      <c r="B8211" t="s">
        <v>10624</v>
      </c>
      <c r="C8211" t="s">
        <v>305</v>
      </c>
      <c r="D8211" s="21" t="s">
        <v>34</v>
      </c>
      <c r="E8211" s="21" t="s">
        <v>35</v>
      </c>
      <c r="F8211">
        <v>10170026</v>
      </c>
      <c r="G8211" t="s">
        <v>4850</v>
      </c>
      <c r="H8211" s="21">
        <v>1054.92</v>
      </c>
    </row>
    <row r="8212" spans="1:8" customFormat="1" x14ac:dyDescent="0.25">
      <c r="A8212" t="str">
        <f>"229797"</f>
        <v>229797</v>
      </c>
      <c r="B8212" t="s">
        <v>8904</v>
      </c>
      <c r="C8212" t="s">
        <v>33</v>
      </c>
      <c r="D8212" s="21" t="s">
        <v>34</v>
      </c>
      <c r="E8212" s="21" t="s">
        <v>71</v>
      </c>
      <c r="F8212">
        <v>3220038</v>
      </c>
      <c r="G8212" t="s">
        <v>27039</v>
      </c>
      <c r="H8212" s="21">
        <v>1054.67</v>
      </c>
    </row>
    <row r="8213" spans="1:8" customFormat="1" x14ac:dyDescent="0.25">
      <c r="A8213" t="str">
        <f>"1714388"</f>
        <v>1714388</v>
      </c>
      <c r="B8213" t="s">
        <v>9279</v>
      </c>
      <c r="C8213" t="s">
        <v>926</v>
      </c>
      <c r="D8213" s="21" t="s">
        <v>34</v>
      </c>
      <c r="E8213" s="21" t="s">
        <v>35</v>
      </c>
      <c r="F8213">
        <v>10170028</v>
      </c>
      <c r="G8213" t="s">
        <v>649</v>
      </c>
      <c r="H8213" s="21">
        <v>1054.67</v>
      </c>
    </row>
    <row r="8214" spans="1:8" customFormat="1" x14ac:dyDescent="0.25">
      <c r="A8214" t="str">
        <f>"8520479"</f>
        <v>8520479</v>
      </c>
      <c r="B8214" t="s">
        <v>882</v>
      </c>
      <c r="C8214" t="s">
        <v>209</v>
      </c>
      <c r="D8214" s="21" t="s">
        <v>34</v>
      </c>
      <c r="E8214" s="21" t="s">
        <v>71</v>
      </c>
      <c r="F8214">
        <v>12850057</v>
      </c>
      <c r="G8214" t="s">
        <v>1291</v>
      </c>
      <c r="H8214" s="21">
        <v>1054.67</v>
      </c>
    </row>
    <row r="8215" spans="1:8" customFormat="1" x14ac:dyDescent="0.25">
      <c r="A8215" t="str">
        <f>"3118140"</f>
        <v>3118140</v>
      </c>
      <c r="B8215" t="s">
        <v>1551</v>
      </c>
      <c r="C8215" t="s">
        <v>275</v>
      </c>
      <c r="D8215" s="21" t="s">
        <v>34</v>
      </c>
      <c r="E8215" s="21" t="s">
        <v>35</v>
      </c>
      <c r="F8215">
        <v>11310123</v>
      </c>
      <c r="G8215" t="s">
        <v>3915</v>
      </c>
      <c r="H8215" s="21">
        <v>1054.67</v>
      </c>
    </row>
    <row r="8216" spans="1:8" customFormat="1" x14ac:dyDescent="0.25">
      <c r="A8216" t="str">
        <f>"4527585"</f>
        <v>4527585</v>
      </c>
      <c r="B8216" t="s">
        <v>641</v>
      </c>
      <c r="C8216" t="s">
        <v>328</v>
      </c>
      <c r="D8216" s="21" t="s">
        <v>34</v>
      </c>
      <c r="E8216" s="21" t="s">
        <v>35</v>
      </c>
      <c r="F8216">
        <v>4450186</v>
      </c>
      <c r="G8216" t="s">
        <v>8255</v>
      </c>
      <c r="H8216" s="21">
        <v>1054.67</v>
      </c>
    </row>
    <row r="8217" spans="1:8" customFormat="1" x14ac:dyDescent="0.25">
      <c r="A8217" t="str">
        <f>"593915"</f>
        <v>593915</v>
      </c>
      <c r="B8217" t="s">
        <v>5178</v>
      </c>
      <c r="C8217" t="s">
        <v>8568</v>
      </c>
      <c r="D8217" s="21" t="s">
        <v>34</v>
      </c>
      <c r="E8217" s="21" t="s">
        <v>71</v>
      </c>
      <c r="F8217">
        <v>7590055</v>
      </c>
      <c r="G8217" t="s">
        <v>1573</v>
      </c>
      <c r="H8217" s="21">
        <v>1054.67</v>
      </c>
    </row>
    <row r="8218" spans="1:8" customFormat="1" x14ac:dyDescent="0.25">
      <c r="A8218" t="str">
        <f>"62305"</f>
        <v>62305</v>
      </c>
      <c r="B8218" t="s">
        <v>8697</v>
      </c>
      <c r="C8218" t="s">
        <v>169</v>
      </c>
      <c r="D8218" s="21" t="s">
        <v>34</v>
      </c>
      <c r="E8218" s="21" t="s">
        <v>71</v>
      </c>
      <c r="F8218">
        <v>7620017</v>
      </c>
      <c r="G8218" t="s">
        <v>6559</v>
      </c>
      <c r="H8218" s="21">
        <v>1054.67</v>
      </c>
    </row>
    <row r="8219" spans="1:8" customFormat="1" x14ac:dyDescent="0.25">
      <c r="A8219" t="str">
        <f>"2512220"</f>
        <v>2512220</v>
      </c>
      <c r="B8219" t="s">
        <v>8144</v>
      </c>
      <c r="C8219" t="s">
        <v>124</v>
      </c>
      <c r="D8219" s="21" t="s">
        <v>34</v>
      </c>
      <c r="E8219" s="21" t="s">
        <v>35</v>
      </c>
      <c r="F8219">
        <v>2250049</v>
      </c>
      <c r="G8219" t="s">
        <v>9590</v>
      </c>
      <c r="H8219" s="21">
        <v>1054.67</v>
      </c>
    </row>
    <row r="8220" spans="1:8" customFormat="1" x14ac:dyDescent="0.25">
      <c r="A8220" t="str">
        <f>"5318056"</f>
        <v>5318056</v>
      </c>
      <c r="B8220" t="s">
        <v>89</v>
      </c>
      <c r="C8220" t="s">
        <v>60</v>
      </c>
      <c r="D8220" s="21" t="s">
        <v>34</v>
      </c>
      <c r="E8220" s="21" t="s">
        <v>35</v>
      </c>
      <c r="F8220">
        <v>12530011</v>
      </c>
      <c r="G8220" t="s">
        <v>7610</v>
      </c>
      <c r="H8220" s="21">
        <v>1054.67</v>
      </c>
    </row>
    <row r="8221" spans="1:8" customFormat="1" x14ac:dyDescent="0.25">
      <c r="A8221" t="str">
        <f>"3333847"</f>
        <v>3333847</v>
      </c>
      <c r="B8221" t="s">
        <v>6350</v>
      </c>
      <c r="C8221" t="s">
        <v>209</v>
      </c>
      <c r="D8221" s="21" t="s">
        <v>34</v>
      </c>
      <c r="E8221" s="21" t="s">
        <v>71</v>
      </c>
      <c r="F8221">
        <v>10330050</v>
      </c>
      <c r="G8221" t="s">
        <v>2488</v>
      </c>
      <c r="H8221" s="21">
        <v>1054.67</v>
      </c>
    </row>
    <row r="8222" spans="1:8" customFormat="1" x14ac:dyDescent="0.25">
      <c r="A8222" t="str">
        <f>"3711346"</f>
        <v>3711346</v>
      </c>
      <c r="B8222" t="s">
        <v>7366</v>
      </c>
      <c r="C8222" t="s">
        <v>209</v>
      </c>
      <c r="D8222" s="21" t="s">
        <v>34</v>
      </c>
      <c r="E8222" s="21" t="s">
        <v>71</v>
      </c>
      <c r="F8222">
        <v>4370465</v>
      </c>
      <c r="G8222" t="s">
        <v>26922</v>
      </c>
      <c r="H8222" s="21">
        <v>1054.67</v>
      </c>
    </row>
    <row r="8223" spans="1:8" customFormat="1" x14ac:dyDescent="0.25">
      <c r="A8223" t="str">
        <f>"499143"</f>
        <v>499143</v>
      </c>
      <c r="B8223" t="s">
        <v>3984</v>
      </c>
      <c r="C8223" t="s">
        <v>1025</v>
      </c>
      <c r="D8223" s="21" t="s">
        <v>34</v>
      </c>
      <c r="E8223" s="21" t="s">
        <v>35</v>
      </c>
      <c r="F8223">
        <v>12490066</v>
      </c>
      <c r="G8223" t="s">
        <v>1051</v>
      </c>
      <c r="H8223" s="21">
        <v>1054.42</v>
      </c>
    </row>
    <row r="8224" spans="1:8" customFormat="1" x14ac:dyDescent="0.25">
      <c r="A8224" t="str">
        <f>"744548"</f>
        <v>744548</v>
      </c>
      <c r="B8224" t="s">
        <v>10489</v>
      </c>
      <c r="C8224" t="s">
        <v>2520</v>
      </c>
      <c r="D8224" s="21" t="s">
        <v>34</v>
      </c>
      <c r="E8224" s="21" t="s">
        <v>1089</v>
      </c>
      <c r="F8224">
        <v>1740020</v>
      </c>
      <c r="G8224" t="s">
        <v>881</v>
      </c>
      <c r="H8224" s="21">
        <v>1054.3</v>
      </c>
    </row>
    <row r="8225" spans="1:8" customFormat="1" x14ac:dyDescent="0.25">
      <c r="A8225" t="str">
        <f>"289589"</f>
        <v>289589</v>
      </c>
      <c r="B8225" t="s">
        <v>8539</v>
      </c>
      <c r="C8225" t="s">
        <v>1605</v>
      </c>
      <c r="D8225" s="21" t="s">
        <v>34</v>
      </c>
      <c r="E8225" s="21" t="s">
        <v>1089</v>
      </c>
      <c r="F8225">
        <v>4280617</v>
      </c>
      <c r="G8225" t="s">
        <v>8540</v>
      </c>
      <c r="H8225" s="21">
        <v>1054.17</v>
      </c>
    </row>
    <row r="8226" spans="1:8" customFormat="1" x14ac:dyDescent="0.25">
      <c r="A8226" t="str">
        <f>"7622698"</f>
        <v>7622698</v>
      </c>
      <c r="B8226" t="s">
        <v>8285</v>
      </c>
      <c r="C8226" t="s">
        <v>484</v>
      </c>
      <c r="D8226" s="21" t="s">
        <v>34</v>
      </c>
      <c r="E8226" s="21" t="s">
        <v>35</v>
      </c>
      <c r="F8226">
        <v>9760414</v>
      </c>
      <c r="G8226" t="s">
        <v>142</v>
      </c>
      <c r="H8226" s="21">
        <v>1054.17</v>
      </c>
    </row>
    <row r="8227" spans="1:8" customFormat="1" x14ac:dyDescent="0.25">
      <c r="A8227" t="str">
        <f>"6210907"</f>
        <v>6210907</v>
      </c>
      <c r="B8227" t="s">
        <v>8139</v>
      </c>
      <c r="C8227" t="s">
        <v>3098</v>
      </c>
      <c r="D8227" s="21" t="s">
        <v>34</v>
      </c>
      <c r="E8227" s="21" t="s">
        <v>35</v>
      </c>
      <c r="F8227">
        <v>7620065</v>
      </c>
      <c r="G8227" t="s">
        <v>6550</v>
      </c>
      <c r="H8227" s="21">
        <v>1054.17</v>
      </c>
    </row>
    <row r="8228" spans="1:8" customFormat="1" x14ac:dyDescent="0.25">
      <c r="A8228" t="str">
        <f>"245644"</f>
        <v>245644</v>
      </c>
      <c r="B8228" t="s">
        <v>185</v>
      </c>
      <c r="C8228" t="s">
        <v>144</v>
      </c>
      <c r="D8228" s="21" t="s">
        <v>34</v>
      </c>
      <c r="E8228" s="21" t="s">
        <v>35</v>
      </c>
      <c r="F8228">
        <v>10240015</v>
      </c>
      <c r="G8228" t="s">
        <v>8589</v>
      </c>
      <c r="H8228" s="21">
        <v>1054.17</v>
      </c>
    </row>
    <row r="8229" spans="1:8" customFormat="1" x14ac:dyDescent="0.25">
      <c r="A8229" t="str">
        <f>"7632999"</f>
        <v>7632999</v>
      </c>
      <c r="B8229" t="s">
        <v>2854</v>
      </c>
      <c r="C8229" t="s">
        <v>49</v>
      </c>
      <c r="D8229" s="21" t="s">
        <v>34</v>
      </c>
      <c r="E8229" s="21" t="s">
        <v>35</v>
      </c>
      <c r="F8229">
        <v>9760351</v>
      </c>
      <c r="G8229" t="s">
        <v>5898</v>
      </c>
      <c r="H8229" s="21">
        <v>1054.17</v>
      </c>
    </row>
    <row r="8230" spans="1:8" customFormat="1" x14ac:dyDescent="0.25">
      <c r="A8230" t="str">
        <f>"92474"</f>
        <v>92474</v>
      </c>
      <c r="B8230" t="s">
        <v>8372</v>
      </c>
      <c r="C8230" t="s">
        <v>2479</v>
      </c>
      <c r="D8230" s="21" t="s">
        <v>34</v>
      </c>
      <c r="E8230" s="21" t="s">
        <v>1089</v>
      </c>
      <c r="F8230">
        <v>10170033</v>
      </c>
      <c r="G8230" t="s">
        <v>3756</v>
      </c>
      <c r="H8230" s="21">
        <v>1054.17</v>
      </c>
    </row>
    <row r="8231" spans="1:8" customFormat="1" x14ac:dyDescent="0.25">
      <c r="A8231" t="str">
        <f>"2921301"</f>
        <v>2921301</v>
      </c>
      <c r="B8231" t="s">
        <v>9540</v>
      </c>
      <c r="C8231" t="s">
        <v>209</v>
      </c>
      <c r="D8231" s="21" t="s">
        <v>34</v>
      </c>
      <c r="E8231" s="21" t="s">
        <v>35</v>
      </c>
      <c r="F8231">
        <v>3290212</v>
      </c>
      <c r="G8231" t="s">
        <v>6046</v>
      </c>
      <c r="H8231" s="21">
        <v>1054.17</v>
      </c>
    </row>
    <row r="8232" spans="1:8" customFormat="1" x14ac:dyDescent="0.25">
      <c r="A8232" t="str">
        <f>"6718400"</f>
        <v>6718400</v>
      </c>
      <c r="B8232" t="s">
        <v>3978</v>
      </c>
      <c r="C8232" t="s">
        <v>8893</v>
      </c>
      <c r="D8232" s="21" t="s">
        <v>34</v>
      </c>
      <c r="E8232" s="21" t="s">
        <v>71</v>
      </c>
      <c r="F8232">
        <v>6670122</v>
      </c>
      <c r="G8232" t="s">
        <v>3126</v>
      </c>
      <c r="H8232" s="21">
        <v>1054.17</v>
      </c>
    </row>
    <row r="8233" spans="1:8" customFormat="1" x14ac:dyDescent="0.25">
      <c r="A8233" t="str">
        <f>"9318838"</f>
        <v>9318838</v>
      </c>
      <c r="B8233" t="s">
        <v>27040</v>
      </c>
      <c r="C8233" t="s">
        <v>10323</v>
      </c>
      <c r="D8233" s="21" t="s">
        <v>34</v>
      </c>
      <c r="E8233" s="21" t="s">
        <v>35</v>
      </c>
      <c r="F8233">
        <v>8921190</v>
      </c>
      <c r="G8233" t="s">
        <v>810</v>
      </c>
      <c r="H8233" s="21">
        <v>1054.05</v>
      </c>
    </row>
    <row r="8234" spans="1:8" customFormat="1" x14ac:dyDescent="0.25">
      <c r="A8234" t="str">
        <f>"4929618"</f>
        <v>4929618</v>
      </c>
      <c r="B8234" t="s">
        <v>10272</v>
      </c>
      <c r="C8234" t="s">
        <v>33</v>
      </c>
      <c r="D8234" s="21" t="s">
        <v>34</v>
      </c>
      <c r="E8234" s="21" t="s">
        <v>35</v>
      </c>
      <c r="F8234">
        <v>12440197</v>
      </c>
      <c r="G8234" t="s">
        <v>1101</v>
      </c>
      <c r="H8234" s="21">
        <v>1054.05</v>
      </c>
    </row>
    <row r="8235" spans="1:8" customFormat="1" x14ac:dyDescent="0.25">
      <c r="A8235" t="str">
        <f>"029295"</f>
        <v>029295</v>
      </c>
      <c r="B8235" t="s">
        <v>9793</v>
      </c>
      <c r="C8235" t="s">
        <v>305</v>
      </c>
      <c r="D8235" s="21" t="s">
        <v>34</v>
      </c>
      <c r="E8235" s="21" t="s">
        <v>35</v>
      </c>
      <c r="F8235">
        <v>7020019</v>
      </c>
      <c r="G8235" t="s">
        <v>7912</v>
      </c>
      <c r="H8235" s="21">
        <v>1053.67</v>
      </c>
    </row>
    <row r="8236" spans="1:8" customFormat="1" x14ac:dyDescent="0.25">
      <c r="A8236" t="str">
        <f>"035210"</f>
        <v>035210</v>
      </c>
      <c r="B8236" t="s">
        <v>8653</v>
      </c>
      <c r="C8236" t="s">
        <v>269</v>
      </c>
      <c r="D8236" s="21" t="s">
        <v>34</v>
      </c>
      <c r="E8236" s="21" t="s">
        <v>71</v>
      </c>
      <c r="F8236">
        <v>1030082</v>
      </c>
      <c r="G8236" t="s">
        <v>26828</v>
      </c>
      <c r="H8236" s="21">
        <v>1053.67</v>
      </c>
    </row>
    <row r="8237" spans="1:8" customFormat="1" x14ac:dyDescent="0.25">
      <c r="A8237" t="str">
        <f>"334616"</f>
        <v>334616</v>
      </c>
      <c r="B8237" t="s">
        <v>7581</v>
      </c>
      <c r="C8237" t="s">
        <v>127</v>
      </c>
      <c r="D8237" s="21" t="s">
        <v>34</v>
      </c>
      <c r="E8237" s="21" t="s">
        <v>35</v>
      </c>
      <c r="F8237">
        <v>10330046</v>
      </c>
      <c r="G8237" t="s">
        <v>1787</v>
      </c>
      <c r="H8237" s="21">
        <v>1053.67</v>
      </c>
    </row>
    <row r="8238" spans="1:8" customFormat="1" x14ac:dyDescent="0.25">
      <c r="A8238" t="str">
        <f>"278925"</f>
        <v>278925</v>
      </c>
      <c r="B8238" t="s">
        <v>8648</v>
      </c>
      <c r="C8238" t="s">
        <v>263</v>
      </c>
      <c r="D8238" s="21" t="s">
        <v>34</v>
      </c>
      <c r="E8238" s="21" t="s">
        <v>71</v>
      </c>
      <c r="F8238">
        <v>9270021</v>
      </c>
      <c r="G8238" t="s">
        <v>4934</v>
      </c>
      <c r="H8238" s="21">
        <v>1053.67</v>
      </c>
    </row>
    <row r="8239" spans="1:8" customFormat="1" x14ac:dyDescent="0.25">
      <c r="A8239" t="str">
        <f>"5954832"</f>
        <v>5954832</v>
      </c>
      <c r="B8239" t="s">
        <v>9320</v>
      </c>
      <c r="C8239" t="s">
        <v>206</v>
      </c>
      <c r="D8239" s="21" t="s">
        <v>34</v>
      </c>
      <c r="E8239" s="21" t="s">
        <v>35</v>
      </c>
      <c r="F8239">
        <v>7620077</v>
      </c>
      <c r="G8239" t="s">
        <v>4131</v>
      </c>
      <c r="H8239" s="21">
        <v>1053.67</v>
      </c>
    </row>
    <row r="8240" spans="1:8" customFormat="1" x14ac:dyDescent="0.25">
      <c r="A8240" t="str">
        <f>"4916045"</f>
        <v>4916045</v>
      </c>
      <c r="B8240" t="s">
        <v>8099</v>
      </c>
      <c r="C8240" t="s">
        <v>2529</v>
      </c>
      <c r="D8240" s="21" t="s">
        <v>34</v>
      </c>
      <c r="E8240" s="21" t="s">
        <v>71</v>
      </c>
      <c r="F8240">
        <v>12490063</v>
      </c>
      <c r="G8240" t="s">
        <v>329</v>
      </c>
      <c r="H8240" s="21">
        <v>1053.67</v>
      </c>
    </row>
    <row r="8241" spans="1:8" customFormat="1" x14ac:dyDescent="0.25">
      <c r="A8241" t="str">
        <f>"482756"</f>
        <v>482756</v>
      </c>
      <c r="B8241" t="s">
        <v>8782</v>
      </c>
      <c r="C8241" t="s">
        <v>598</v>
      </c>
      <c r="D8241" s="21" t="s">
        <v>34</v>
      </c>
      <c r="E8241" s="21" t="s">
        <v>254</v>
      </c>
      <c r="F8241">
        <v>11480006</v>
      </c>
      <c r="G8241" t="s">
        <v>3317</v>
      </c>
      <c r="H8241" s="21">
        <v>1053.67</v>
      </c>
    </row>
    <row r="8242" spans="1:8" customFormat="1" x14ac:dyDescent="0.25">
      <c r="A8242" t="str">
        <f>"629855"</f>
        <v>629855</v>
      </c>
      <c r="B8242" t="s">
        <v>5359</v>
      </c>
      <c r="C8242" t="s">
        <v>269</v>
      </c>
      <c r="D8242" s="21" t="s">
        <v>34</v>
      </c>
      <c r="E8242" s="21" t="s">
        <v>35</v>
      </c>
      <c r="F8242">
        <v>7620100</v>
      </c>
      <c r="G8242" t="s">
        <v>145</v>
      </c>
      <c r="H8242" s="21">
        <v>1053.67</v>
      </c>
    </row>
    <row r="8243" spans="1:8" customFormat="1" x14ac:dyDescent="0.25">
      <c r="A8243" t="str">
        <f>"664837"</f>
        <v>664837</v>
      </c>
      <c r="B8243" t="s">
        <v>7690</v>
      </c>
      <c r="C8243" t="s">
        <v>6774</v>
      </c>
      <c r="D8243" s="21" t="s">
        <v>34</v>
      </c>
      <c r="E8243" s="21" t="s">
        <v>71</v>
      </c>
      <c r="F8243">
        <v>11660007</v>
      </c>
      <c r="G8243" t="s">
        <v>5840</v>
      </c>
      <c r="H8243" s="21">
        <v>1053.67</v>
      </c>
    </row>
    <row r="8244" spans="1:8" customFormat="1" x14ac:dyDescent="0.25">
      <c r="A8244" t="str">
        <f>"378340"</f>
        <v>378340</v>
      </c>
      <c r="B8244" t="s">
        <v>2010</v>
      </c>
      <c r="C8244" t="s">
        <v>33</v>
      </c>
      <c r="D8244" s="21" t="s">
        <v>34</v>
      </c>
      <c r="E8244" s="21" t="s">
        <v>71</v>
      </c>
      <c r="F8244">
        <v>11650004</v>
      </c>
      <c r="G8244" t="s">
        <v>382</v>
      </c>
      <c r="H8244" s="21">
        <v>1053.67</v>
      </c>
    </row>
    <row r="8245" spans="1:8" customFormat="1" x14ac:dyDescent="0.25">
      <c r="A8245" t="str">
        <f>"7618246"</f>
        <v>7618246</v>
      </c>
      <c r="B8245" t="s">
        <v>392</v>
      </c>
      <c r="C8245" t="s">
        <v>825</v>
      </c>
      <c r="D8245" s="21" t="s">
        <v>34</v>
      </c>
      <c r="E8245" s="21" t="s">
        <v>35</v>
      </c>
      <c r="F8245">
        <v>9760218</v>
      </c>
      <c r="G8245" t="s">
        <v>26836</v>
      </c>
      <c r="H8245" s="21">
        <v>1053.67</v>
      </c>
    </row>
    <row r="8246" spans="1:8" customFormat="1" x14ac:dyDescent="0.25">
      <c r="A8246" t="str">
        <f>"593183"</f>
        <v>593183</v>
      </c>
      <c r="B8246" t="s">
        <v>8153</v>
      </c>
      <c r="C8246" t="s">
        <v>211</v>
      </c>
      <c r="D8246" s="21" t="s">
        <v>34</v>
      </c>
      <c r="E8246" s="21" t="s">
        <v>71</v>
      </c>
      <c r="F8246">
        <v>7620036</v>
      </c>
      <c r="G8246" t="s">
        <v>8154</v>
      </c>
      <c r="H8246" s="21">
        <v>1053.67</v>
      </c>
    </row>
    <row r="8247" spans="1:8" customFormat="1" x14ac:dyDescent="0.25">
      <c r="A8247" t="str">
        <f>"869021"</f>
        <v>869021</v>
      </c>
      <c r="B8247" t="s">
        <v>27041</v>
      </c>
      <c r="C8247" t="s">
        <v>60</v>
      </c>
      <c r="D8247" s="21" t="s">
        <v>34</v>
      </c>
      <c r="E8247" s="21" t="s">
        <v>35</v>
      </c>
      <c r="F8247">
        <v>10860024</v>
      </c>
      <c r="G8247" t="s">
        <v>1770</v>
      </c>
      <c r="H8247" s="21">
        <v>1053.67</v>
      </c>
    </row>
    <row r="8248" spans="1:8" customFormat="1" x14ac:dyDescent="0.25">
      <c r="A8248" t="str">
        <f>"42752"</f>
        <v>42752</v>
      </c>
      <c r="B8248" t="s">
        <v>9207</v>
      </c>
      <c r="C8248" t="s">
        <v>236</v>
      </c>
      <c r="D8248" s="21" t="s">
        <v>34</v>
      </c>
      <c r="E8248" s="21" t="s">
        <v>71</v>
      </c>
      <c r="F8248">
        <v>1420152</v>
      </c>
      <c r="G8248" t="s">
        <v>2948</v>
      </c>
      <c r="H8248" s="21">
        <v>1053.67</v>
      </c>
    </row>
    <row r="8249" spans="1:8" customFormat="1" x14ac:dyDescent="0.25">
      <c r="A8249" t="str">
        <f>"419517"</f>
        <v>419517</v>
      </c>
      <c r="B8249" t="s">
        <v>10894</v>
      </c>
      <c r="C8249" t="s">
        <v>285</v>
      </c>
      <c r="D8249" s="21" t="s">
        <v>34</v>
      </c>
      <c r="E8249" s="21" t="s">
        <v>71</v>
      </c>
      <c r="F8249">
        <v>4410083</v>
      </c>
      <c r="G8249" t="s">
        <v>2333</v>
      </c>
      <c r="H8249" s="21">
        <v>1053.67</v>
      </c>
    </row>
    <row r="8250" spans="1:8" customFormat="1" x14ac:dyDescent="0.25">
      <c r="A8250" t="str">
        <f>"191004"</f>
        <v>191004</v>
      </c>
      <c r="B8250" t="s">
        <v>10150</v>
      </c>
      <c r="C8250" t="s">
        <v>209</v>
      </c>
      <c r="D8250" s="21" t="s">
        <v>34</v>
      </c>
      <c r="E8250" s="21" t="s">
        <v>71</v>
      </c>
      <c r="F8250">
        <v>10190147</v>
      </c>
      <c r="G8250" t="s">
        <v>7477</v>
      </c>
      <c r="H8250" s="21">
        <v>1053.67</v>
      </c>
    </row>
    <row r="8251" spans="1:8" customFormat="1" x14ac:dyDescent="0.25">
      <c r="A8251" t="str">
        <f>"9414339"</f>
        <v>9414339</v>
      </c>
      <c r="B8251" t="s">
        <v>7201</v>
      </c>
      <c r="C8251" t="s">
        <v>171</v>
      </c>
      <c r="D8251" s="21" t="s">
        <v>34</v>
      </c>
      <c r="E8251" s="21" t="s">
        <v>35</v>
      </c>
      <c r="F8251">
        <v>8771170</v>
      </c>
      <c r="G8251" t="s">
        <v>50</v>
      </c>
      <c r="H8251" s="21">
        <v>1053.55</v>
      </c>
    </row>
    <row r="8252" spans="1:8" customFormat="1" x14ac:dyDescent="0.25">
      <c r="A8252" t="str">
        <f>"4429820"</f>
        <v>4429820</v>
      </c>
      <c r="B8252" t="s">
        <v>2313</v>
      </c>
      <c r="C8252" t="s">
        <v>9350</v>
      </c>
      <c r="D8252" s="21" t="s">
        <v>34</v>
      </c>
      <c r="E8252" s="21" t="s">
        <v>71</v>
      </c>
      <c r="F8252">
        <v>12440001</v>
      </c>
      <c r="G8252" t="s">
        <v>6999</v>
      </c>
      <c r="H8252" s="21">
        <v>1053.42</v>
      </c>
    </row>
    <row r="8253" spans="1:8" customFormat="1" x14ac:dyDescent="0.25">
      <c r="A8253" t="str">
        <f>"847676"</f>
        <v>847676</v>
      </c>
      <c r="B8253" t="s">
        <v>2922</v>
      </c>
      <c r="C8253" t="s">
        <v>1063</v>
      </c>
      <c r="D8253" s="21" t="s">
        <v>34</v>
      </c>
      <c r="E8253" s="21" t="s">
        <v>35</v>
      </c>
      <c r="F8253">
        <v>13840004</v>
      </c>
      <c r="G8253" t="s">
        <v>8611</v>
      </c>
      <c r="H8253" s="21">
        <v>1053.3</v>
      </c>
    </row>
    <row r="8254" spans="1:8" customFormat="1" x14ac:dyDescent="0.25">
      <c r="A8254" t="str">
        <f>"638319"</f>
        <v>638319</v>
      </c>
      <c r="B8254" t="s">
        <v>8587</v>
      </c>
      <c r="C8254" t="s">
        <v>1142</v>
      </c>
      <c r="D8254" s="21" t="s">
        <v>34</v>
      </c>
      <c r="E8254" s="21" t="s">
        <v>254</v>
      </c>
      <c r="F8254">
        <v>6670002</v>
      </c>
      <c r="G8254" t="s">
        <v>5740</v>
      </c>
      <c r="H8254" s="21">
        <v>1053.17</v>
      </c>
    </row>
    <row r="8255" spans="1:8" customFormat="1" x14ac:dyDescent="0.25">
      <c r="A8255" t="str">
        <f>"4428378"</f>
        <v>4428378</v>
      </c>
      <c r="B8255" t="s">
        <v>8449</v>
      </c>
      <c r="C8255" t="s">
        <v>90</v>
      </c>
      <c r="D8255" s="21" t="s">
        <v>34</v>
      </c>
      <c r="E8255" s="21" t="s">
        <v>35</v>
      </c>
      <c r="F8255">
        <v>12440104</v>
      </c>
      <c r="G8255" t="s">
        <v>5862</v>
      </c>
      <c r="H8255" s="21">
        <v>1053.17</v>
      </c>
    </row>
    <row r="8256" spans="1:8" customFormat="1" x14ac:dyDescent="0.25">
      <c r="A8256" t="str">
        <f>"765581"</f>
        <v>765581</v>
      </c>
      <c r="B8256" t="s">
        <v>9123</v>
      </c>
      <c r="C8256" t="s">
        <v>121</v>
      </c>
      <c r="D8256" s="21" t="s">
        <v>34</v>
      </c>
      <c r="E8256" s="21" t="s">
        <v>35</v>
      </c>
      <c r="F8256">
        <v>9760168</v>
      </c>
      <c r="G8256" t="s">
        <v>179</v>
      </c>
      <c r="H8256" s="21">
        <v>1053.17</v>
      </c>
    </row>
    <row r="8257" spans="1:8" customFormat="1" x14ac:dyDescent="0.25">
      <c r="A8257" t="str">
        <f>"11972"</f>
        <v>11972</v>
      </c>
      <c r="B8257" t="s">
        <v>4723</v>
      </c>
      <c r="C8257" t="s">
        <v>263</v>
      </c>
      <c r="D8257" s="21" t="s">
        <v>34</v>
      </c>
      <c r="E8257" s="21" t="s">
        <v>71</v>
      </c>
      <c r="F8257">
        <v>11110013</v>
      </c>
      <c r="G8257" t="s">
        <v>640</v>
      </c>
      <c r="H8257" s="21">
        <v>1053.17</v>
      </c>
    </row>
    <row r="8258" spans="1:8" customFormat="1" x14ac:dyDescent="0.25">
      <c r="A8258" t="str">
        <f>"2213118"</f>
        <v>2213118</v>
      </c>
      <c r="B8258" t="s">
        <v>27042</v>
      </c>
      <c r="C8258" t="s">
        <v>124</v>
      </c>
      <c r="D8258" s="21" t="s">
        <v>34</v>
      </c>
      <c r="E8258" s="21" t="s">
        <v>35</v>
      </c>
      <c r="F8258">
        <v>3220002</v>
      </c>
      <c r="G8258" t="s">
        <v>26727</v>
      </c>
      <c r="H8258" s="21">
        <v>1053.17</v>
      </c>
    </row>
    <row r="8259" spans="1:8" customFormat="1" x14ac:dyDescent="0.25">
      <c r="A8259" t="str">
        <f>"6714428"</f>
        <v>6714428</v>
      </c>
      <c r="B8259" t="s">
        <v>3952</v>
      </c>
      <c r="C8259" t="s">
        <v>62</v>
      </c>
      <c r="D8259" s="21" t="s">
        <v>34</v>
      </c>
      <c r="E8259" s="21" t="s">
        <v>35</v>
      </c>
      <c r="F8259">
        <v>6670268</v>
      </c>
      <c r="G8259" t="s">
        <v>8908</v>
      </c>
      <c r="H8259" s="21">
        <v>1053.17</v>
      </c>
    </row>
    <row r="8260" spans="1:8" customFormat="1" x14ac:dyDescent="0.25">
      <c r="A8260" t="str">
        <f>"7627921"</f>
        <v>7627921</v>
      </c>
      <c r="B8260" t="s">
        <v>2489</v>
      </c>
      <c r="C8260" t="s">
        <v>288</v>
      </c>
      <c r="D8260" s="21" t="s">
        <v>34</v>
      </c>
      <c r="E8260" s="21" t="s">
        <v>35</v>
      </c>
      <c r="F8260">
        <v>9760266</v>
      </c>
      <c r="G8260" t="s">
        <v>1891</v>
      </c>
      <c r="H8260" s="21">
        <v>1053.17</v>
      </c>
    </row>
    <row r="8261" spans="1:8" customFormat="1" x14ac:dyDescent="0.25">
      <c r="A8261" t="str">
        <f>"9129341"</f>
        <v>9129341</v>
      </c>
      <c r="B8261" t="s">
        <v>2713</v>
      </c>
      <c r="C8261" t="s">
        <v>1812</v>
      </c>
      <c r="D8261" s="21" t="s">
        <v>34</v>
      </c>
      <c r="E8261" s="21" t="s">
        <v>254</v>
      </c>
      <c r="F8261">
        <v>8911323</v>
      </c>
      <c r="G8261" t="s">
        <v>555</v>
      </c>
      <c r="H8261" s="21">
        <v>1053.17</v>
      </c>
    </row>
    <row r="8262" spans="1:8" customFormat="1" x14ac:dyDescent="0.25">
      <c r="A8262" t="str">
        <f>"576011"</f>
        <v>576011</v>
      </c>
      <c r="B8262" t="s">
        <v>9018</v>
      </c>
      <c r="C8262" t="s">
        <v>169</v>
      </c>
      <c r="D8262" s="21" t="s">
        <v>34</v>
      </c>
      <c r="E8262" s="21" t="s">
        <v>35</v>
      </c>
      <c r="F8262">
        <v>6570057</v>
      </c>
      <c r="G8262" t="s">
        <v>8333</v>
      </c>
      <c r="H8262" s="21">
        <v>1053.17</v>
      </c>
    </row>
    <row r="8263" spans="1:8" customFormat="1" x14ac:dyDescent="0.25">
      <c r="A8263" t="str">
        <f>"9412769"</f>
        <v>9412769</v>
      </c>
      <c r="B8263" t="s">
        <v>8806</v>
      </c>
      <c r="C8263" t="s">
        <v>156</v>
      </c>
      <c r="D8263" s="21" t="s">
        <v>34</v>
      </c>
      <c r="E8263" s="21" t="s">
        <v>71</v>
      </c>
      <c r="F8263">
        <v>11310011</v>
      </c>
      <c r="G8263" t="s">
        <v>26586</v>
      </c>
      <c r="H8263" s="21">
        <v>1053.17</v>
      </c>
    </row>
    <row r="8264" spans="1:8" customFormat="1" x14ac:dyDescent="0.25">
      <c r="A8264" t="str">
        <f>"6713574"</f>
        <v>6713574</v>
      </c>
      <c r="B8264" t="s">
        <v>12587</v>
      </c>
      <c r="C8264" t="s">
        <v>55</v>
      </c>
      <c r="D8264" s="21" t="s">
        <v>34</v>
      </c>
      <c r="E8264" s="21" t="s">
        <v>35</v>
      </c>
      <c r="F8264">
        <v>9760025</v>
      </c>
      <c r="G8264" t="s">
        <v>2620</v>
      </c>
      <c r="H8264" s="21">
        <v>1053.17</v>
      </c>
    </row>
    <row r="8265" spans="1:8" customFormat="1" x14ac:dyDescent="0.25">
      <c r="A8265" t="str">
        <f>"4926786"</f>
        <v>4926786</v>
      </c>
      <c r="B8265" t="s">
        <v>27043</v>
      </c>
      <c r="C8265" t="s">
        <v>98</v>
      </c>
      <c r="D8265" s="21" t="s">
        <v>34</v>
      </c>
      <c r="E8265" s="21" t="s">
        <v>35</v>
      </c>
      <c r="F8265">
        <v>12440030</v>
      </c>
      <c r="G8265" t="s">
        <v>5524</v>
      </c>
      <c r="H8265" s="21">
        <v>1053.17</v>
      </c>
    </row>
    <row r="8266" spans="1:8" customFormat="1" x14ac:dyDescent="0.25">
      <c r="A8266" t="str">
        <f>"8517455"</f>
        <v>8517455</v>
      </c>
      <c r="B8266" t="s">
        <v>27044</v>
      </c>
      <c r="C8266" t="s">
        <v>302</v>
      </c>
      <c r="D8266" s="21" t="s">
        <v>34</v>
      </c>
      <c r="E8266" s="21" t="s">
        <v>71</v>
      </c>
      <c r="F8266">
        <v>12530048</v>
      </c>
      <c r="G8266" t="s">
        <v>7103</v>
      </c>
      <c r="H8266" s="21">
        <v>1053.17</v>
      </c>
    </row>
    <row r="8267" spans="1:8" customFormat="1" x14ac:dyDescent="0.25">
      <c r="A8267" t="str">
        <f>"3322554"</f>
        <v>3322554</v>
      </c>
      <c r="B8267" t="s">
        <v>27045</v>
      </c>
      <c r="C8267" t="s">
        <v>275</v>
      </c>
      <c r="D8267" s="21" t="s">
        <v>34</v>
      </c>
      <c r="E8267" s="21" t="s">
        <v>35</v>
      </c>
      <c r="F8267">
        <v>3290278</v>
      </c>
      <c r="G8267" t="s">
        <v>3649</v>
      </c>
      <c r="H8267" s="21">
        <v>1053.17</v>
      </c>
    </row>
    <row r="8268" spans="1:8" customFormat="1" x14ac:dyDescent="0.25">
      <c r="A8268" t="str">
        <f>"266831"</f>
        <v>266831</v>
      </c>
      <c r="B8268" t="s">
        <v>10367</v>
      </c>
      <c r="C8268" t="s">
        <v>87</v>
      </c>
      <c r="D8268" s="21" t="s">
        <v>34</v>
      </c>
      <c r="E8268" s="21" t="s">
        <v>71</v>
      </c>
      <c r="F8268">
        <v>11340059</v>
      </c>
      <c r="G8268" t="s">
        <v>10368</v>
      </c>
      <c r="H8268" s="21">
        <v>1052.92</v>
      </c>
    </row>
    <row r="8269" spans="1:8" customFormat="1" x14ac:dyDescent="0.25">
      <c r="A8269" t="str">
        <f>"178208"</f>
        <v>178208</v>
      </c>
      <c r="B8269" t="s">
        <v>9494</v>
      </c>
      <c r="C8269" t="s">
        <v>33</v>
      </c>
      <c r="D8269" s="21" t="s">
        <v>34</v>
      </c>
      <c r="E8269" s="21" t="s">
        <v>35</v>
      </c>
      <c r="F8269">
        <v>10170042</v>
      </c>
      <c r="G8269" t="s">
        <v>5014</v>
      </c>
      <c r="H8269" s="21">
        <v>1052.92</v>
      </c>
    </row>
    <row r="8270" spans="1:8" customFormat="1" x14ac:dyDescent="0.25">
      <c r="A8270" t="str">
        <f>"69812"</f>
        <v>69812</v>
      </c>
      <c r="B8270" t="s">
        <v>8201</v>
      </c>
      <c r="C8270" t="s">
        <v>415</v>
      </c>
      <c r="D8270" s="21" t="s">
        <v>34</v>
      </c>
      <c r="E8270" s="21" t="s">
        <v>254</v>
      </c>
      <c r="F8270">
        <v>1690112</v>
      </c>
      <c r="G8270" t="s">
        <v>4084</v>
      </c>
      <c r="H8270" s="21">
        <v>1052.92</v>
      </c>
    </row>
    <row r="8271" spans="1:8" customFormat="1" x14ac:dyDescent="0.25">
      <c r="A8271" t="str">
        <f>"069104"</f>
        <v>069104</v>
      </c>
      <c r="B8271" t="s">
        <v>7926</v>
      </c>
      <c r="C8271" t="s">
        <v>124</v>
      </c>
      <c r="D8271" s="21" t="s">
        <v>34</v>
      </c>
      <c r="E8271" s="21" t="s">
        <v>71</v>
      </c>
      <c r="F8271">
        <v>13060064</v>
      </c>
      <c r="G8271" t="s">
        <v>976</v>
      </c>
      <c r="H8271" s="21">
        <v>1052.8</v>
      </c>
    </row>
    <row r="8272" spans="1:8" customFormat="1" x14ac:dyDescent="0.25">
      <c r="A8272" t="str">
        <f>"5018262"</f>
        <v>5018262</v>
      </c>
      <c r="B8272" t="s">
        <v>9760</v>
      </c>
      <c r="C8272" t="s">
        <v>49</v>
      </c>
      <c r="D8272" s="21" t="s">
        <v>34</v>
      </c>
      <c r="E8272" s="21" t="s">
        <v>35</v>
      </c>
      <c r="F8272">
        <v>9500022</v>
      </c>
      <c r="G8272" t="s">
        <v>4324</v>
      </c>
      <c r="H8272" s="21">
        <v>1052.67</v>
      </c>
    </row>
    <row r="8273" spans="1:8" customFormat="1" x14ac:dyDescent="0.25">
      <c r="A8273" t="str">
        <f>"8614232"</f>
        <v>8614232</v>
      </c>
      <c r="B8273" t="s">
        <v>12009</v>
      </c>
      <c r="C8273" t="s">
        <v>96</v>
      </c>
      <c r="D8273" s="21" t="s">
        <v>34</v>
      </c>
      <c r="E8273" s="21" t="s">
        <v>35</v>
      </c>
      <c r="F8273">
        <v>10860017</v>
      </c>
      <c r="G8273" t="s">
        <v>2439</v>
      </c>
      <c r="H8273" s="21">
        <v>1052.67</v>
      </c>
    </row>
    <row r="8274" spans="1:8" customFormat="1" x14ac:dyDescent="0.25">
      <c r="A8274" t="str">
        <f>"6711903"</f>
        <v>6711903</v>
      </c>
      <c r="B8274" t="s">
        <v>8783</v>
      </c>
      <c r="C8274" t="s">
        <v>187</v>
      </c>
      <c r="D8274" s="21" t="s">
        <v>34</v>
      </c>
      <c r="E8274" s="21" t="s">
        <v>35</v>
      </c>
      <c r="F8274">
        <v>6670171</v>
      </c>
      <c r="G8274" t="s">
        <v>4843</v>
      </c>
      <c r="H8274" s="21">
        <v>1052.67</v>
      </c>
    </row>
    <row r="8275" spans="1:8" customFormat="1" x14ac:dyDescent="0.25">
      <c r="A8275" t="str">
        <f>"714798"</f>
        <v>714798</v>
      </c>
      <c r="B8275" t="s">
        <v>1604</v>
      </c>
      <c r="C8275" t="s">
        <v>169</v>
      </c>
      <c r="D8275" s="21" t="s">
        <v>34</v>
      </c>
      <c r="E8275" s="21" t="s">
        <v>71</v>
      </c>
      <c r="F8275">
        <v>2710035</v>
      </c>
      <c r="G8275" t="s">
        <v>7300</v>
      </c>
      <c r="H8275" s="21">
        <v>1052.67</v>
      </c>
    </row>
    <row r="8276" spans="1:8" customFormat="1" x14ac:dyDescent="0.25">
      <c r="A8276" t="str">
        <f>"7720988"</f>
        <v>7720988</v>
      </c>
      <c r="B8276" t="s">
        <v>8579</v>
      </c>
      <c r="C8276" t="s">
        <v>8580</v>
      </c>
      <c r="D8276" s="21" t="s">
        <v>34</v>
      </c>
      <c r="E8276" s="21" t="s">
        <v>35</v>
      </c>
      <c r="F8276">
        <v>3290024</v>
      </c>
      <c r="G8276" t="s">
        <v>5690</v>
      </c>
      <c r="H8276" s="21">
        <v>1052.67</v>
      </c>
    </row>
    <row r="8277" spans="1:8" customFormat="1" x14ac:dyDescent="0.25">
      <c r="A8277" t="str">
        <f>"9414121"</f>
        <v>9414121</v>
      </c>
      <c r="B8277" t="s">
        <v>2025</v>
      </c>
      <c r="C8277" t="s">
        <v>55</v>
      </c>
      <c r="D8277" s="21" t="s">
        <v>34</v>
      </c>
      <c r="E8277" s="21" t="s">
        <v>35</v>
      </c>
      <c r="F8277">
        <v>8941282</v>
      </c>
      <c r="G8277" t="s">
        <v>5040</v>
      </c>
      <c r="H8277" s="21">
        <v>1052.67</v>
      </c>
    </row>
    <row r="8278" spans="1:8" customFormat="1" x14ac:dyDescent="0.25">
      <c r="A8278" t="str">
        <f>"272037"</f>
        <v>272037</v>
      </c>
      <c r="B8278" t="s">
        <v>5431</v>
      </c>
      <c r="C8278" t="s">
        <v>1146</v>
      </c>
      <c r="D8278" s="21" t="s">
        <v>34</v>
      </c>
      <c r="E8278" s="21" t="s">
        <v>254</v>
      </c>
      <c r="F8278">
        <v>9270089</v>
      </c>
      <c r="G8278" t="s">
        <v>1009</v>
      </c>
      <c r="H8278" s="21">
        <v>1052.55</v>
      </c>
    </row>
    <row r="8279" spans="1:8" customFormat="1" x14ac:dyDescent="0.25">
      <c r="A8279" t="str">
        <f>"4111392"</f>
        <v>4111392</v>
      </c>
      <c r="B8279" t="s">
        <v>2489</v>
      </c>
      <c r="C8279" t="s">
        <v>109</v>
      </c>
      <c r="D8279" s="21" t="s">
        <v>34</v>
      </c>
      <c r="E8279" s="21" t="s">
        <v>35</v>
      </c>
      <c r="F8279">
        <v>4410537</v>
      </c>
      <c r="G8279" t="s">
        <v>6515</v>
      </c>
      <c r="H8279" s="21">
        <v>1052.55</v>
      </c>
    </row>
    <row r="8280" spans="1:8" customFormat="1" x14ac:dyDescent="0.25">
      <c r="A8280" t="str">
        <f>"4415585"</f>
        <v>4415585</v>
      </c>
      <c r="B8280" t="s">
        <v>8850</v>
      </c>
      <c r="C8280" t="s">
        <v>267</v>
      </c>
      <c r="D8280" s="21" t="s">
        <v>34</v>
      </c>
      <c r="E8280" s="21" t="s">
        <v>254</v>
      </c>
      <c r="F8280">
        <v>12440193</v>
      </c>
      <c r="G8280" t="s">
        <v>3786</v>
      </c>
      <c r="H8280" s="21">
        <v>1052.5</v>
      </c>
    </row>
    <row r="8281" spans="1:8" customFormat="1" x14ac:dyDescent="0.25">
      <c r="A8281" t="str">
        <f>"6720875"</f>
        <v>6720875</v>
      </c>
      <c r="B8281" t="s">
        <v>10260</v>
      </c>
      <c r="C8281" t="s">
        <v>1199</v>
      </c>
      <c r="D8281" s="21" t="s">
        <v>34</v>
      </c>
      <c r="E8281" s="21" t="s">
        <v>35</v>
      </c>
      <c r="F8281">
        <v>6670219</v>
      </c>
      <c r="G8281" t="s">
        <v>9361</v>
      </c>
      <c r="H8281" s="21">
        <v>1052.42</v>
      </c>
    </row>
    <row r="8282" spans="1:8" customFormat="1" x14ac:dyDescent="0.25">
      <c r="A8282" t="str">
        <f>"7521081"</f>
        <v>7521081</v>
      </c>
      <c r="B8282" t="s">
        <v>9117</v>
      </c>
      <c r="C8282" t="s">
        <v>40</v>
      </c>
      <c r="D8282" s="21" t="s">
        <v>34</v>
      </c>
      <c r="E8282" s="21" t="s">
        <v>254</v>
      </c>
      <c r="F8282">
        <v>8751271</v>
      </c>
      <c r="G8282" t="s">
        <v>1067</v>
      </c>
      <c r="H8282" s="21">
        <v>1052.31</v>
      </c>
    </row>
    <row r="8283" spans="1:8" customFormat="1" x14ac:dyDescent="0.25">
      <c r="A8283" t="str">
        <f>"591250"</f>
        <v>591250</v>
      </c>
      <c r="B8283" t="s">
        <v>641</v>
      </c>
      <c r="C8283" t="s">
        <v>269</v>
      </c>
      <c r="D8283" s="21" t="s">
        <v>34</v>
      </c>
      <c r="E8283" s="21" t="s">
        <v>254</v>
      </c>
      <c r="F8283">
        <v>7590392</v>
      </c>
      <c r="G8283" t="s">
        <v>154</v>
      </c>
      <c r="H8283" s="21">
        <v>1052.3</v>
      </c>
    </row>
    <row r="8284" spans="1:8" customFormat="1" x14ac:dyDescent="0.25">
      <c r="A8284" t="str">
        <f>"4217593"</f>
        <v>4217593</v>
      </c>
      <c r="B8284" t="s">
        <v>9256</v>
      </c>
      <c r="C8284" t="s">
        <v>139</v>
      </c>
      <c r="D8284" s="21" t="s">
        <v>34</v>
      </c>
      <c r="E8284" s="21" t="s">
        <v>35</v>
      </c>
      <c r="F8284">
        <v>1420070</v>
      </c>
      <c r="G8284" t="s">
        <v>27046</v>
      </c>
      <c r="H8284" s="21">
        <v>1052.19</v>
      </c>
    </row>
    <row r="8285" spans="1:8" customFormat="1" x14ac:dyDescent="0.25">
      <c r="A8285" t="str">
        <f>"5321652"</f>
        <v>5321652</v>
      </c>
      <c r="B8285" t="s">
        <v>64</v>
      </c>
      <c r="C8285" t="s">
        <v>253</v>
      </c>
      <c r="D8285" s="21" t="s">
        <v>34</v>
      </c>
      <c r="E8285" s="21" t="s">
        <v>71</v>
      </c>
      <c r="F8285">
        <v>12530127</v>
      </c>
      <c r="G8285" t="s">
        <v>7067</v>
      </c>
      <c r="H8285" s="21">
        <v>1052.17</v>
      </c>
    </row>
    <row r="8286" spans="1:8" customFormat="1" x14ac:dyDescent="0.25">
      <c r="A8286" t="str">
        <f>"6310147"</f>
        <v>6310147</v>
      </c>
      <c r="B8286" t="s">
        <v>6843</v>
      </c>
      <c r="C8286" t="s">
        <v>40</v>
      </c>
      <c r="D8286" s="21" t="s">
        <v>34</v>
      </c>
      <c r="E8286" s="21" t="s">
        <v>71</v>
      </c>
      <c r="F8286">
        <v>1630123</v>
      </c>
      <c r="G8286" t="s">
        <v>1036</v>
      </c>
      <c r="H8286" s="21">
        <v>1052.17</v>
      </c>
    </row>
    <row r="8287" spans="1:8" customFormat="1" x14ac:dyDescent="0.25">
      <c r="A8287" t="str">
        <f>"7824083"</f>
        <v>7824083</v>
      </c>
      <c r="B8287" t="s">
        <v>7092</v>
      </c>
      <c r="C8287" t="s">
        <v>169</v>
      </c>
      <c r="D8287" s="21" t="s">
        <v>34</v>
      </c>
      <c r="E8287" s="21" t="s">
        <v>71</v>
      </c>
      <c r="F8287">
        <v>8780678</v>
      </c>
      <c r="G8287" t="s">
        <v>8556</v>
      </c>
      <c r="H8287" s="21">
        <v>1052.17</v>
      </c>
    </row>
    <row r="8288" spans="1:8" customFormat="1" x14ac:dyDescent="0.25">
      <c r="A8288" t="str">
        <f>"7641402"</f>
        <v>7641402</v>
      </c>
      <c r="B8288" t="s">
        <v>10694</v>
      </c>
      <c r="C8288" t="s">
        <v>2117</v>
      </c>
      <c r="D8288" s="21" t="s">
        <v>34</v>
      </c>
      <c r="E8288" s="21" t="s">
        <v>35</v>
      </c>
      <c r="F8288">
        <v>9760025</v>
      </c>
      <c r="G8288" t="s">
        <v>2620</v>
      </c>
      <c r="H8288" s="21">
        <v>1052.17</v>
      </c>
    </row>
    <row r="8289" spans="1:8" customFormat="1" x14ac:dyDescent="0.25">
      <c r="A8289" t="str">
        <f>"686613"</f>
        <v>686613</v>
      </c>
      <c r="B8289" t="s">
        <v>890</v>
      </c>
      <c r="C8289" t="s">
        <v>55</v>
      </c>
      <c r="D8289" s="21" t="s">
        <v>34</v>
      </c>
      <c r="E8289" s="21" t="s">
        <v>71</v>
      </c>
      <c r="F8289">
        <v>6670267</v>
      </c>
      <c r="G8289" t="s">
        <v>2244</v>
      </c>
      <c r="H8289" s="21">
        <v>1052.17</v>
      </c>
    </row>
    <row r="8290" spans="1:8" customFormat="1" x14ac:dyDescent="0.25">
      <c r="A8290" t="str">
        <f>"674351"</f>
        <v>674351</v>
      </c>
      <c r="B8290" t="s">
        <v>9339</v>
      </c>
      <c r="C8290" t="s">
        <v>263</v>
      </c>
      <c r="D8290" s="21" t="s">
        <v>34</v>
      </c>
      <c r="E8290" s="21" t="s">
        <v>35</v>
      </c>
      <c r="F8290">
        <v>6670272</v>
      </c>
      <c r="G8290" t="s">
        <v>26568</v>
      </c>
      <c r="H8290" s="21">
        <v>1052.17</v>
      </c>
    </row>
    <row r="8291" spans="1:8" customFormat="1" x14ac:dyDescent="0.25">
      <c r="A8291" t="str">
        <f>"025564"</f>
        <v>025564</v>
      </c>
      <c r="B8291" t="s">
        <v>8947</v>
      </c>
      <c r="C8291" t="s">
        <v>169</v>
      </c>
      <c r="D8291" s="21" t="s">
        <v>34</v>
      </c>
      <c r="E8291" s="21" t="s">
        <v>71</v>
      </c>
      <c r="F8291">
        <v>7020009</v>
      </c>
      <c r="G8291" t="s">
        <v>3362</v>
      </c>
      <c r="H8291" s="21">
        <v>1052.04</v>
      </c>
    </row>
    <row r="8292" spans="1:8" customFormat="1" x14ac:dyDescent="0.25">
      <c r="A8292" t="str">
        <f>"1418772"</f>
        <v>1418772</v>
      </c>
      <c r="B8292" t="s">
        <v>9606</v>
      </c>
      <c r="C8292" t="s">
        <v>2907</v>
      </c>
      <c r="D8292" s="21" t="s">
        <v>34</v>
      </c>
      <c r="E8292" s="21" t="s">
        <v>71</v>
      </c>
      <c r="F8292">
        <v>9140227</v>
      </c>
      <c r="G8292" t="s">
        <v>5130</v>
      </c>
      <c r="H8292" s="21">
        <v>1051.92</v>
      </c>
    </row>
    <row r="8293" spans="1:8" customFormat="1" x14ac:dyDescent="0.25">
      <c r="A8293" t="str">
        <f>"7712089"</f>
        <v>7712089</v>
      </c>
      <c r="B8293" t="s">
        <v>8695</v>
      </c>
      <c r="C8293" t="s">
        <v>3258</v>
      </c>
      <c r="D8293" s="21" t="s">
        <v>34</v>
      </c>
      <c r="E8293" s="21" t="s">
        <v>35</v>
      </c>
      <c r="F8293">
        <v>11340003</v>
      </c>
      <c r="G8293" t="s">
        <v>3326</v>
      </c>
      <c r="H8293" s="21">
        <v>1051.92</v>
      </c>
    </row>
    <row r="8294" spans="1:8" customFormat="1" x14ac:dyDescent="0.25">
      <c r="A8294" t="str">
        <f>"151327"</f>
        <v>151327</v>
      </c>
      <c r="B8294" t="s">
        <v>9162</v>
      </c>
      <c r="C8294" t="s">
        <v>156</v>
      </c>
      <c r="D8294" s="21" t="s">
        <v>34</v>
      </c>
      <c r="E8294" s="21" t="s">
        <v>35</v>
      </c>
      <c r="F8294">
        <v>1630243</v>
      </c>
      <c r="G8294" t="s">
        <v>9163</v>
      </c>
      <c r="H8294" s="21">
        <v>1051.67</v>
      </c>
    </row>
    <row r="8295" spans="1:8" customFormat="1" x14ac:dyDescent="0.25">
      <c r="A8295" t="str">
        <f>"2515871"</f>
        <v>2515871</v>
      </c>
      <c r="B8295" t="s">
        <v>8584</v>
      </c>
      <c r="C8295" t="s">
        <v>462</v>
      </c>
      <c r="D8295" s="21" t="s">
        <v>34</v>
      </c>
      <c r="E8295" s="21" t="s">
        <v>71</v>
      </c>
      <c r="F8295">
        <v>2250193</v>
      </c>
      <c r="G8295" t="s">
        <v>2584</v>
      </c>
      <c r="H8295" s="21">
        <v>1051.67</v>
      </c>
    </row>
    <row r="8296" spans="1:8" customFormat="1" x14ac:dyDescent="0.25">
      <c r="A8296" t="str">
        <f>"312527"</f>
        <v>312527</v>
      </c>
      <c r="B8296" t="s">
        <v>8613</v>
      </c>
      <c r="C8296" t="s">
        <v>169</v>
      </c>
      <c r="D8296" s="21" t="s">
        <v>34</v>
      </c>
      <c r="E8296" s="21" t="s">
        <v>71</v>
      </c>
      <c r="F8296">
        <v>11310077</v>
      </c>
      <c r="G8296" t="s">
        <v>5364</v>
      </c>
      <c r="H8296" s="21">
        <v>1051.67</v>
      </c>
    </row>
    <row r="8297" spans="1:8" customFormat="1" x14ac:dyDescent="0.25">
      <c r="A8297" t="str">
        <f>"5693"</f>
        <v>5693</v>
      </c>
      <c r="B8297" t="s">
        <v>1133</v>
      </c>
      <c r="C8297" t="s">
        <v>209</v>
      </c>
      <c r="D8297" s="21" t="s">
        <v>34</v>
      </c>
      <c r="E8297" s="21" t="s">
        <v>71</v>
      </c>
      <c r="F8297">
        <v>3560002</v>
      </c>
      <c r="G8297" t="s">
        <v>5437</v>
      </c>
      <c r="H8297" s="21">
        <v>1051.67</v>
      </c>
    </row>
    <row r="8298" spans="1:8" customFormat="1" x14ac:dyDescent="0.25">
      <c r="A8298" t="str">
        <f>"8527639"</f>
        <v>8527639</v>
      </c>
      <c r="B8298" t="s">
        <v>9437</v>
      </c>
      <c r="C8298" t="s">
        <v>985</v>
      </c>
      <c r="D8298" s="21" t="s">
        <v>34</v>
      </c>
      <c r="E8298" s="21" t="s">
        <v>35</v>
      </c>
      <c r="F8298">
        <v>12850172</v>
      </c>
      <c r="G8298" t="s">
        <v>4919</v>
      </c>
      <c r="H8298" s="21">
        <v>1051.55</v>
      </c>
    </row>
    <row r="8299" spans="1:8" customFormat="1" x14ac:dyDescent="0.25">
      <c r="A8299" t="str">
        <f>"344454"</f>
        <v>344454</v>
      </c>
      <c r="B8299" t="s">
        <v>9260</v>
      </c>
      <c r="C8299" t="s">
        <v>43</v>
      </c>
      <c r="D8299" s="21" t="s">
        <v>34</v>
      </c>
      <c r="E8299" s="21" t="s">
        <v>35</v>
      </c>
      <c r="F8299">
        <v>11340022</v>
      </c>
      <c r="G8299" t="s">
        <v>4663</v>
      </c>
      <c r="H8299" s="21">
        <v>1051.55</v>
      </c>
    </row>
    <row r="8300" spans="1:8" customFormat="1" x14ac:dyDescent="0.25">
      <c r="A8300" t="str">
        <f>"4912807"</f>
        <v>4912807</v>
      </c>
      <c r="B8300" t="s">
        <v>9879</v>
      </c>
      <c r="C8300" t="s">
        <v>37</v>
      </c>
      <c r="D8300" s="21" t="s">
        <v>34</v>
      </c>
      <c r="E8300" s="21" t="s">
        <v>35</v>
      </c>
      <c r="F8300">
        <v>12490052</v>
      </c>
      <c r="G8300" t="s">
        <v>2732</v>
      </c>
      <c r="H8300" s="21">
        <v>1051.54</v>
      </c>
    </row>
    <row r="8301" spans="1:8" customFormat="1" x14ac:dyDescent="0.25">
      <c r="A8301" t="str">
        <f>"62456"</f>
        <v>62456</v>
      </c>
      <c r="B8301" t="s">
        <v>7395</v>
      </c>
      <c r="C8301" t="s">
        <v>2479</v>
      </c>
      <c r="D8301" s="21" t="s">
        <v>34</v>
      </c>
      <c r="E8301" s="21" t="s">
        <v>254</v>
      </c>
      <c r="F8301">
        <v>7620100</v>
      </c>
      <c r="G8301" t="s">
        <v>145</v>
      </c>
      <c r="H8301" s="21">
        <v>1051.42</v>
      </c>
    </row>
    <row r="8302" spans="1:8" customFormat="1" x14ac:dyDescent="0.25">
      <c r="A8302" t="str">
        <f>"111405"</f>
        <v>111405</v>
      </c>
      <c r="B8302" t="s">
        <v>2962</v>
      </c>
      <c r="C8302" t="s">
        <v>62</v>
      </c>
      <c r="D8302" s="21" t="s">
        <v>34</v>
      </c>
      <c r="E8302" s="21" t="s">
        <v>71</v>
      </c>
      <c r="F8302">
        <v>11110023</v>
      </c>
      <c r="G8302" t="s">
        <v>1849</v>
      </c>
      <c r="H8302" s="21">
        <v>1051.42</v>
      </c>
    </row>
    <row r="8303" spans="1:8" customFormat="1" x14ac:dyDescent="0.25">
      <c r="A8303" t="str">
        <f>"4412237"</f>
        <v>4412237</v>
      </c>
      <c r="B8303" t="s">
        <v>9092</v>
      </c>
      <c r="C8303" t="s">
        <v>121</v>
      </c>
      <c r="D8303" s="21" t="s">
        <v>34</v>
      </c>
      <c r="E8303" s="21" t="s">
        <v>35</v>
      </c>
      <c r="F8303">
        <v>12440154</v>
      </c>
      <c r="G8303" t="s">
        <v>7124</v>
      </c>
      <c r="H8303" s="21">
        <v>1051.17</v>
      </c>
    </row>
    <row r="8304" spans="1:8" customFormat="1" x14ac:dyDescent="0.25">
      <c r="A8304" t="str">
        <f>"866026"</f>
        <v>866026</v>
      </c>
      <c r="B8304" t="s">
        <v>7563</v>
      </c>
      <c r="C8304" t="s">
        <v>65</v>
      </c>
      <c r="D8304" s="21" t="s">
        <v>34</v>
      </c>
      <c r="E8304" s="21" t="s">
        <v>254</v>
      </c>
      <c r="F8304">
        <v>10870130</v>
      </c>
      <c r="G8304" t="s">
        <v>7564</v>
      </c>
      <c r="H8304" s="21">
        <v>1051.17</v>
      </c>
    </row>
    <row r="8305" spans="1:8" customFormat="1" x14ac:dyDescent="0.25">
      <c r="A8305" t="str">
        <f>"8511653"</f>
        <v>8511653</v>
      </c>
      <c r="B8305" t="s">
        <v>8634</v>
      </c>
      <c r="C8305" t="s">
        <v>415</v>
      </c>
      <c r="D8305" s="21" t="s">
        <v>34</v>
      </c>
      <c r="E8305" s="21" t="s">
        <v>35</v>
      </c>
      <c r="F8305">
        <v>12851011</v>
      </c>
      <c r="G8305" t="s">
        <v>1445</v>
      </c>
      <c r="H8305" s="21">
        <v>1051.17</v>
      </c>
    </row>
    <row r="8306" spans="1:8" customFormat="1" x14ac:dyDescent="0.25">
      <c r="A8306" t="str">
        <f>"5949854"</f>
        <v>5949854</v>
      </c>
      <c r="B8306" t="s">
        <v>9129</v>
      </c>
      <c r="C8306" t="s">
        <v>209</v>
      </c>
      <c r="D8306" s="21" t="s">
        <v>34</v>
      </c>
      <c r="E8306" s="21" t="s">
        <v>71</v>
      </c>
      <c r="F8306">
        <v>6550007</v>
      </c>
      <c r="G8306" t="s">
        <v>1688</v>
      </c>
      <c r="H8306" s="21">
        <v>1051.17</v>
      </c>
    </row>
    <row r="8307" spans="1:8" customFormat="1" x14ac:dyDescent="0.25">
      <c r="A8307" t="str">
        <f>"3822586"</f>
        <v>3822586</v>
      </c>
      <c r="B8307" t="s">
        <v>12093</v>
      </c>
      <c r="C8307" t="s">
        <v>156</v>
      </c>
      <c r="D8307" s="21" t="s">
        <v>34</v>
      </c>
      <c r="E8307" s="21" t="s">
        <v>35</v>
      </c>
      <c r="F8307">
        <v>1380108</v>
      </c>
      <c r="G8307" t="s">
        <v>6103</v>
      </c>
      <c r="H8307" s="21">
        <v>1051.17</v>
      </c>
    </row>
    <row r="8308" spans="1:8" customFormat="1" x14ac:dyDescent="0.25">
      <c r="A8308" t="str">
        <f>"431864"</f>
        <v>431864</v>
      </c>
      <c r="B8308" t="s">
        <v>9418</v>
      </c>
      <c r="C8308" t="s">
        <v>33</v>
      </c>
      <c r="D8308" s="21" t="s">
        <v>34</v>
      </c>
      <c r="E8308" s="21" t="s">
        <v>71</v>
      </c>
      <c r="F8308">
        <v>11480019</v>
      </c>
      <c r="G8308" t="s">
        <v>11028</v>
      </c>
      <c r="H8308" s="21">
        <v>1051.17</v>
      </c>
    </row>
    <row r="8309" spans="1:8" customFormat="1" x14ac:dyDescent="0.25">
      <c r="A8309" t="str">
        <f>"685643"</f>
        <v>685643</v>
      </c>
      <c r="B8309" t="s">
        <v>9915</v>
      </c>
      <c r="C8309" t="s">
        <v>109</v>
      </c>
      <c r="D8309" s="21" t="s">
        <v>34</v>
      </c>
      <c r="E8309" s="21" t="s">
        <v>35</v>
      </c>
      <c r="F8309">
        <v>6680128</v>
      </c>
      <c r="G8309" t="s">
        <v>341</v>
      </c>
      <c r="H8309" s="21">
        <v>1051.17</v>
      </c>
    </row>
    <row r="8310" spans="1:8" customFormat="1" x14ac:dyDescent="0.25">
      <c r="A8310" t="str">
        <f>"5939908"</f>
        <v>5939908</v>
      </c>
      <c r="B8310" t="s">
        <v>8187</v>
      </c>
      <c r="C8310" t="s">
        <v>249</v>
      </c>
      <c r="D8310" s="21" t="s">
        <v>34</v>
      </c>
      <c r="E8310" s="21" t="s">
        <v>71</v>
      </c>
      <c r="F8310">
        <v>7590058</v>
      </c>
      <c r="G8310" t="s">
        <v>5044</v>
      </c>
      <c r="H8310" s="21">
        <v>1051.17</v>
      </c>
    </row>
    <row r="8311" spans="1:8" customFormat="1" x14ac:dyDescent="0.25">
      <c r="A8311" t="str">
        <f>"445984"</f>
        <v>445984</v>
      </c>
      <c r="B8311" t="s">
        <v>6729</v>
      </c>
      <c r="C8311" t="s">
        <v>233</v>
      </c>
      <c r="D8311" s="21" t="s">
        <v>34</v>
      </c>
      <c r="E8311" s="21" t="s">
        <v>254</v>
      </c>
      <c r="F8311">
        <v>12440012</v>
      </c>
      <c r="G8311" t="s">
        <v>807</v>
      </c>
      <c r="H8311" s="21">
        <v>1051.17</v>
      </c>
    </row>
    <row r="8312" spans="1:8" customFormat="1" x14ac:dyDescent="0.25">
      <c r="A8312" t="str">
        <f>"183932"</f>
        <v>183932</v>
      </c>
      <c r="B8312" t="s">
        <v>1886</v>
      </c>
      <c r="C8312" t="s">
        <v>65</v>
      </c>
      <c r="D8312" s="21" t="s">
        <v>34</v>
      </c>
      <c r="E8312" s="21" t="s">
        <v>35</v>
      </c>
      <c r="F8312">
        <v>11310123</v>
      </c>
      <c r="G8312" t="s">
        <v>3915</v>
      </c>
      <c r="H8312" s="21">
        <v>1051.17</v>
      </c>
    </row>
    <row r="8313" spans="1:8" customFormat="1" x14ac:dyDescent="0.25">
      <c r="A8313" t="str">
        <f>"2510891"</f>
        <v>2510891</v>
      </c>
      <c r="B8313" t="s">
        <v>10273</v>
      </c>
      <c r="C8313" t="s">
        <v>58</v>
      </c>
      <c r="D8313" s="21" t="s">
        <v>34</v>
      </c>
      <c r="E8313" s="21" t="s">
        <v>35</v>
      </c>
      <c r="F8313">
        <v>2250016</v>
      </c>
      <c r="G8313" t="s">
        <v>1709</v>
      </c>
      <c r="H8313" s="21">
        <v>1051.17</v>
      </c>
    </row>
    <row r="8314" spans="1:8" customFormat="1" x14ac:dyDescent="0.25">
      <c r="A8314" t="str">
        <f>"7832464"</f>
        <v>7832464</v>
      </c>
      <c r="B8314" t="s">
        <v>7990</v>
      </c>
      <c r="C8314" t="s">
        <v>114</v>
      </c>
      <c r="D8314" s="21" t="s">
        <v>34</v>
      </c>
      <c r="E8314" s="21" t="s">
        <v>71</v>
      </c>
      <c r="F8314">
        <v>8780114</v>
      </c>
      <c r="G8314" t="s">
        <v>927</v>
      </c>
      <c r="H8314" s="21">
        <v>1051.17</v>
      </c>
    </row>
    <row r="8315" spans="1:8" customFormat="1" x14ac:dyDescent="0.25">
      <c r="A8315" t="str">
        <f>"671003"</f>
        <v>671003</v>
      </c>
      <c r="B8315" t="s">
        <v>8729</v>
      </c>
      <c r="C8315" t="s">
        <v>6263</v>
      </c>
      <c r="D8315" s="21" t="s">
        <v>34</v>
      </c>
      <c r="E8315" s="21" t="s">
        <v>254</v>
      </c>
      <c r="F8315">
        <v>6670187</v>
      </c>
      <c r="G8315" t="s">
        <v>240</v>
      </c>
      <c r="H8315" s="21">
        <v>1051.17</v>
      </c>
    </row>
    <row r="8316" spans="1:8" customFormat="1" x14ac:dyDescent="0.25">
      <c r="A8316" t="str">
        <f>"629996"</f>
        <v>629996</v>
      </c>
      <c r="B8316" t="s">
        <v>8761</v>
      </c>
      <c r="C8316" t="s">
        <v>576</v>
      </c>
      <c r="D8316" s="21" t="s">
        <v>34</v>
      </c>
      <c r="E8316" s="21" t="s">
        <v>35</v>
      </c>
      <c r="F8316">
        <v>7620143</v>
      </c>
      <c r="G8316" t="s">
        <v>8762</v>
      </c>
      <c r="H8316" s="21">
        <v>1051.17</v>
      </c>
    </row>
    <row r="8317" spans="1:8" customFormat="1" x14ac:dyDescent="0.25">
      <c r="A8317" t="str">
        <f>"5312756"</f>
        <v>5312756</v>
      </c>
      <c r="B8317" t="s">
        <v>6558</v>
      </c>
      <c r="C8317" t="s">
        <v>82</v>
      </c>
      <c r="D8317" s="21" t="s">
        <v>34</v>
      </c>
      <c r="E8317" s="21" t="s">
        <v>35</v>
      </c>
      <c r="F8317">
        <v>12538904</v>
      </c>
      <c r="G8317" t="s">
        <v>12489</v>
      </c>
      <c r="H8317" s="21">
        <v>1051.17</v>
      </c>
    </row>
    <row r="8318" spans="1:8" customFormat="1" x14ac:dyDescent="0.25">
      <c r="A8318" t="str">
        <f>"568239"</f>
        <v>568239</v>
      </c>
      <c r="B8318" t="s">
        <v>27047</v>
      </c>
      <c r="C8318" t="s">
        <v>249</v>
      </c>
      <c r="D8318" s="21" t="s">
        <v>34</v>
      </c>
      <c r="E8318" s="21" t="s">
        <v>71</v>
      </c>
      <c r="F8318">
        <v>3560044</v>
      </c>
      <c r="G8318" t="s">
        <v>4890</v>
      </c>
      <c r="H8318" s="21">
        <v>1051.17</v>
      </c>
    </row>
    <row r="8319" spans="1:8" customFormat="1" x14ac:dyDescent="0.25">
      <c r="A8319" t="str">
        <f>"5922703"</f>
        <v>5922703</v>
      </c>
      <c r="B8319" t="s">
        <v>11251</v>
      </c>
      <c r="C8319" t="s">
        <v>60</v>
      </c>
      <c r="D8319" s="21" t="s">
        <v>34</v>
      </c>
      <c r="E8319" s="21" t="s">
        <v>71</v>
      </c>
      <c r="F8319">
        <v>7590363</v>
      </c>
      <c r="G8319" t="s">
        <v>5167</v>
      </c>
      <c r="H8319" s="21">
        <v>1051.05</v>
      </c>
    </row>
    <row r="8320" spans="1:8" customFormat="1" x14ac:dyDescent="0.25">
      <c r="A8320" t="str">
        <f>"5018014"</f>
        <v>5018014</v>
      </c>
      <c r="B8320" t="s">
        <v>9426</v>
      </c>
      <c r="C8320" t="s">
        <v>269</v>
      </c>
      <c r="D8320" s="21" t="s">
        <v>34</v>
      </c>
      <c r="E8320" s="21" t="s">
        <v>35</v>
      </c>
      <c r="F8320">
        <v>9500063</v>
      </c>
      <c r="G8320" t="s">
        <v>4114</v>
      </c>
      <c r="H8320" s="21">
        <v>1051.04</v>
      </c>
    </row>
    <row r="8321" spans="1:8" customFormat="1" x14ac:dyDescent="0.25">
      <c r="A8321" t="str">
        <f>"3524534"</f>
        <v>3524534</v>
      </c>
      <c r="B8321" t="s">
        <v>8785</v>
      </c>
      <c r="C8321" t="s">
        <v>2546</v>
      </c>
      <c r="D8321" s="21" t="s">
        <v>34</v>
      </c>
      <c r="E8321" s="21" t="s">
        <v>35</v>
      </c>
      <c r="F8321">
        <v>3350209</v>
      </c>
      <c r="G8321" t="s">
        <v>3023</v>
      </c>
      <c r="H8321" s="21">
        <v>1050.8</v>
      </c>
    </row>
    <row r="8322" spans="1:8" customFormat="1" x14ac:dyDescent="0.25">
      <c r="A8322" t="str">
        <f>"311896"</f>
        <v>311896</v>
      </c>
      <c r="B8322" t="s">
        <v>8400</v>
      </c>
      <c r="C8322" t="s">
        <v>1146</v>
      </c>
      <c r="D8322" s="21" t="s">
        <v>34</v>
      </c>
      <c r="E8322" s="21" t="s">
        <v>71</v>
      </c>
      <c r="F8322">
        <v>11310005</v>
      </c>
      <c r="G8322" t="s">
        <v>6980</v>
      </c>
      <c r="H8322" s="21">
        <v>1050.68</v>
      </c>
    </row>
    <row r="8323" spans="1:8" customFormat="1" x14ac:dyDescent="0.25">
      <c r="A8323" t="str">
        <f>"721250"</f>
        <v>721250</v>
      </c>
      <c r="B8323" t="s">
        <v>9653</v>
      </c>
      <c r="C8323" t="s">
        <v>139</v>
      </c>
      <c r="D8323" s="21" t="s">
        <v>34</v>
      </c>
      <c r="E8323" s="21" t="s">
        <v>254</v>
      </c>
      <c r="F8323">
        <v>12720066</v>
      </c>
      <c r="G8323" t="s">
        <v>3571</v>
      </c>
      <c r="H8323" s="21">
        <v>1050.67</v>
      </c>
    </row>
    <row r="8324" spans="1:8" customFormat="1" x14ac:dyDescent="0.25">
      <c r="A8324" t="str">
        <f>"37866"</f>
        <v>37866</v>
      </c>
      <c r="B8324" t="s">
        <v>6949</v>
      </c>
      <c r="C8324" t="s">
        <v>2100</v>
      </c>
      <c r="D8324" s="21" t="s">
        <v>34</v>
      </c>
      <c r="E8324" s="21" t="s">
        <v>254</v>
      </c>
      <c r="F8324">
        <v>4370269</v>
      </c>
      <c r="G8324" t="s">
        <v>4277</v>
      </c>
      <c r="H8324" s="21">
        <v>1050.67</v>
      </c>
    </row>
    <row r="8325" spans="1:8" customFormat="1" x14ac:dyDescent="0.25">
      <c r="A8325" t="str">
        <f>"5012617"</f>
        <v>5012617</v>
      </c>
      <c r="B8325" t="s">
        <v>8406</v>
      </c>
      <c r="C8325" t="s">
        <v>712</v>
      </c>
      <c r="D8325" s="21" t="s">
        <v>34</v>
      </c>
      <c r="E8325" s="21" t="s">
        <v>71</v>
      </c>
      <c r="F8325">
        <v>9500117</v>
      </c>
      <c r="G8325" t="s">
        <v>247</v>
      </c>
      <c r="H8325" s="21">
        <v>1050.67</v>
      </c>
    </row>
    <row r="8326" spans="1:8" customFormat="1" x14ac:dyDescent="0.25">
      <c r="A8326" t="str">
        <f>"4431628"</f>
        <v>4431628</v>
      </c>
      <c r="B8326" t="s">
        <v>8560</v>
      </c>
      <c r="C8326" t="s">
        <v>455</v>
      </c>
      <c r="D8326" s="21" t="s">
        <v>34</v>
      </c>
      <c r="E8326" s="21" t="s">
        <v>35</v>
      </c>
      <c r="F8326">
        <v>12440116</v>
      </c>
      <c r="G8326" t="s">
        <v>26673</v>
      </c>
      <c r="H8326" s="21">
        <v>1050.67</v>
      </c>
    </row>
    <row r="8327" spans="1:8" customFormat="1" x14ac:dyDescent="0.25">
      <c r="A8327" t="str">
        <f>"293657"</f>
        <v>293657</v>
      </c>
      <c r="B8327" t="s">
        <v>7686</v>
      </c>
      <c r="C8327" t="s">
        <v>7687</v>
      </c>
      <c r="D8327" s="21" t="s">
        <v>34</v>
      </c>
      <c r="E8327" s="21" t="s">
        <v>254</v>
      </c>
      <c r="F8327">
        <v>3290047</v>
      </c>
      <c r="G8327" t="s">
        <v>2874</v>
      </c>
      <c r="H8327" s="21">
        <v>1050.67</v>
      </c>
    </row>
    <row r="8328" spans="1:8" customFormat="1" x14ac:dyDescent="0.25">
      <c r="A8328" t="str">
        <f>"9316927"</f>
        <v>9316927</v>
      </c>
      <c r="B8328" t="s">
        <v>1081</v>
      </c>
      <c r="C8328" t="s">
        <v>151</v>
      </c>
      <c r="D8328" s="21" t="s">
        <v>34</v>
      </c>
      <c r="E8328" s="21" t="s">
        <v>71</v>
      </c>
      <c r="F8328">
        <v>8930598</v>
      </c>
      <c r="G8328" t="s">
        <v>445</v>
      </c>
      <c r="H8328" s="21">
        <v>1050.67</v>
      </c>
    </row>
    <row r="8329" spans="1:8" customFormat="1" x14ac:dyDescent="0.25">
      <c r="A8329" t="str">
        <f>"6938814"</f>
        <v>6938814</v>
      </c>
      <c r="B8329" t="s">
        <v>8621</v>
      </c>
      <c r="C8329" t="s">
        <v>7441</v>
      </c>
      <c r="D8329" s="21" t="s">
        <v>34</v>
      </c>
      <c r="E8329" s="21" t="s">
        <v>71</v>
      </c>
      <c r="F8329">
        <v>1690103</v>
      </c>
      <c r="G8329" t="s">
        <v>5411</v>
      </c>
      <c r="H8329" s="21">
        <v>1050.67</v>
      </c>
    </row>
    <row r="8330" spans="1:8" customFormat="1" x14ac:dyDescent="0.25">
      <c r="A8330" t="str">
        <f>"028542"</f>
        <v>028542</v>
      </c>
      <c r="B8330" t="s">
        <v>67</v>
      </c>
      <c r="C8330" t="s">
        <v>2907</v>
      </c>
      <c r="D8330" s="21" t="s">
        <v>34</v>
      </c>
      <c r="E8330" s="21" t="s">
        <v>71</v>
      </c>
      <c r="F8330">
        <v>7020062</v>
      </c>
      <c r="G8330" t="s">
        <v>1505</v>
      </c>
      <c r="H8330" s="21">
        <v>1050.67</v>
      </c>
    </row>
    <row r="8331" spans="1:8" customFormat="1" x14ac:dyDescent="0.25">
      <c r="A8331" t="str">
        <f>"255595"</f>
        <v>255595</v>
      </c>
      <c r="B8331" t="s">
        <v>8841</v>
      </c>
      <c r="C8331" t="s">
        <v>114</v>
      </c>
      <c r="D8331" s="21" t="s">
        <v>34</v>
      </c>
      <c r="E8331" s="21" t="s">
        <v>254</v>
      </c>
      <c r="F8331">
        <v>2250021</v>
      </c>
      <c r="G8331" t="s">
        <v>2352</v>
      </c>
      <c r="H8331" s="21">
        <v>1050.67</v>
      </c>
    </row>
    <row r="8332" spans="1:8" customFormat="1" x14ac:dyDescent="0.25">
      <c r="A8332" t="str">
        <f>"773615"</f>
        <v>773615</v>
      </c>
      <c r="B8332" t="s">
        <v>8545</v>
      </c>
      <c r="C8332" t="s">
        <v>187</v>
      </c>
      <c r="D8332" s="21" t="s">
        <v>34</v>
      </c>
      <c r="E8332" s="21" t="s">
        <v>254</v>
      </c>
      <c r="F8332">
        <v>8770135</v>
      </c>
      <c r="G8332" t="s">
        <v>26830</v>
      </c>
      <c r="H8332" s="21">
        <v>1050.67</v>
      </c>
    </row>
    <row r="8333" spans="1:8" customFormat="1" x14ac:dyDescent="0.25">
      <c r="A8333" t="str">
        <f>"1317958"</f>
        <v>1317958</v>
      </c>
      <c r="B8333" t="s">
        <v>9612</v>
      </c>
      <c r="C8333" t="s">
        <v>169</v>
      </c>
      <c r="D8333" s="21" t="s">
        <v>34</v>
      </c>
      <c r="E8333" s="21" t="s">
        <v>71</v>
      </c>
      <c r="F8333">
        <v>13130138</v>
      </c>
      <c r="G8333" t="s">
        <v>5409</v>
      </c>
      <c r="H8333" s="21">
        <v>1050.67</v>
      </c>
    </row>
    <row r="8334" spans="1:8" customFormat="1" x14ac:dyDescent="0.25">
      <c r="A8334" t="str">
        <f>"32142"</f>
        <v>32142</v>
      </c>
      <c r="B8334" t="s">
        <v>7333</v>
      </c>
      <c r="C8334" t="s">
        <v>169</v>
      </c>
      <c r="D8334" s="21" t="s">
        <v>34</v>
      </c>
      <c r="E8334" s="21" t="s">
        <v>71</v>
      </c>
      <c r="F8334">
        <v>11320005</v>
      </c>
      <c r="G8334" t="s">
        <v>120</v>
      </c>
      <c r="H8334" s="21">
        <v>1050.67</v>
      </c>
    </row>
    <row r="8335" spans="1:8" customFormat="1" x14ac:dyDescent="0.25">
      <c r="A8335" t="str">
        <f>"311326"</f>
        <v>311326</v>
      </c>
      <c r="B8335" t="s">
        <v>5495</v>
      </c>
      <c r="C8335" t="s">
        <v>656</v>
      </c>
      <c r="D8335" s="21" t="s">
        <v>34</v>
      </c>
      <c r="E8335" s="21" t="s">
        <v>35</v>
      </c>
      <c r="F8335">
        <v>11310008</v>
      </c>
      <c r="G8335" t="s">
        <v>4269</v>
      </c>
      <c r="H8335" s="21">
        <v>1050.3</v>
      </c>
    </row>
    <row r="8336" spans="1:8" customFormat="1" x14ac:dyDescent="0.25">
      <c r="A8336" t="str">
        <f>"035260"</f>
        <v>035260</v>
      </c>
      <c r="B8336" t="s">
        <v>7621</v>
      </c>
      <c r="C8336" t="s">
        <v>55</v>
      </c>
      <c r="D8336" s="21" t="s">
        <v>34</v>
      </c>
      <c r="E8336" s="21" t="s">
        <v>71</v>
      </c>
      <c r="F8336">
        <v>1740010</v>
      </c>
      <c r="G8336" t="s">
        <v>4986</v>
      </c>
      <c r="H8336" s="21">
        <v>1050.18</v>
      </c>
    </row>
    <row r="8337" spans="1:8" customFormat="1" x14ac:dyDescent="0.25">
      <c r="A8337" t="str">
        <f>"801499"</f>
        <v>801499</v>
      </c>
      <c r="B8337" t="s">
        <v>7833</v>
      </c>
      <c r="C8337" t="s">
        <v>87</v>
      </c>
      <c r="D8337" s="21" t="s">
        <v>34</v>
      </c>
      <c r="E8337" s="21" t="s">
        <v>71</v>
      </c>
      <c r="F8337">
        <v>7800106</v>
      </c>
      <c r="G8337" t="s">
        <v>2466</v>
      </c>
      <c r="H8337" s="21">
        <v>1050.17</v>
      </c>
    </row>
    <row r="8338" spans="1:8" customFormat="1" x14ac:dyDescent="0.25">
      <c r="A8338" t="str">
        <f>"62931"</f>
        <v>62931</v>
      </c>
      <c r="B8338" t="s">
        <v>8076</v>
      </c>
      <c r="C8338" t="s">
        <v>171</v>
      </c>
      <c r="D8338" s="21" t="s">
        <v>34</v>
      </c>
      <c r="E8338" s="21" t="s">
        <v>71</v>
      </c>
      <c r="F8338">
        <v>7620027</v>
      </c>
      <c r="G8338" t="s">
        <v>980</v>
      </c>
      <c r="H8338" s="21">
        <v>1050.17</v>
      </c>
    </row>
    <row r="8339" spans="1:8" customFormat="1" x14ac:dyDescent="0.25">
      <c r="A8339" t="str">
        <f>"621165"</f>
        <v>621165</v>
      </c>
      <c r="B8339" t="s">
        <v>8135</v>
      </c>
      <c r="C8339" t="s">
        <v>119</v>
      </c>
      <c r="D8339" s="21" t="s">
        <v>34</v>
      </c>
      <c r="E8339" s="21" t="s">
        <v>35</v>
      </c>
      <c r="F8339">
        <v>7620038</v>
      </c>
      <c r="G8339" t="s">
        <v>5049</v>
      </c>
      <c r="H8339" s="21">
        <v>1050.17</v>
      </c>
    </row>
    <row r="8340" spans="1:8" customFormat="1" x14ac:dyDescent="0.25">
      <c r="A8340" t="str">
        <f>"60269"</f>
        <v>60269</v>
      </c>
      <c r="B8340" t="s">
        <v>7540</v>
      </c>
      <c r="C8340" t="s">
        <v>267</v>
      </c>
      <c r="D8340" s="21" t="s">
        <v>34</v>
      </c>
      <c r="E8340" s="21" t="s">
        <v>254</v>
      </c>
      <c r="F8340">
        <v>7600008</v>
      </c>
      <c r="G8340" t="s">
        <v>4646</v>
      </c>
      <c r="H8340" s="21">
        <v>1050.17</v>
      </c>
    </row>
    <row r="8341" spans="1:8" customFormat="1" x14ac:dyDescent="0.25">
      <c r="A8341" t="str">
        <f>"3518893"</f>
        <v>3518893</v>
      </c>
      <c r="B8341" t="s">
        <v>10270</v>
      </c>
      <c r="C8341" t="s">
        <v>305</v>
      </c>
      <c r="D8341" s="21" t="s">
        <v>34</v>
      </c>
      <c r="E8341" s="21" t="s">
        <v>35</v>
      </c>
      <c r="F8341">
        <v>3350074</v>
      </c>
      <c r="G8341" t="s">
        <v>5432</v>
      </c>
      <c r="H8341" s="21">
        <v>1050.17</v>
      </c>
    </row>
    <row r="8342" spans="1:8" customFormat="1" x14ac:dyDescent="0.25">
      <c r="A8342" t="str">
        <f>"7815389"</f>
        <v>7815389</v>
      </c>
      <c r="B8342" t="s">
        <v>8704</v>
      </c>
      <c r="C8342" t="s">
        <v>33</v>
      </c>
      <c r="D8342" s="21" t="s">
        <v>34</v>
      </c>
      <c r="E8342" s="21" t="s">
        <v>254</v>
      </c>
      <c r="F8342">
        <v>8780130</v>
      </c>
      <c r="G8342" t="s">
        <v>5752</v>
      </c>
      <c r="H8342" s="21">
        <v>1050.06</v>
      </c>
    </row>
    <row r="8343" spans="1:8" customFormat="1" x14ac:dyDescent="0.25">
      <c r="A8343" t="str">
        <f>"411930"</f>
        <v>411930</v>
      </c>
      <c r="B8343" t="s">
        <v>8858</v>
      </c>
      <c r="C8343" t="s">
        <v>267</v>
      </c>
      <c r="D8343" s="21" t="s">
        <v>34</v>
      </c>
      <c r="E8343" s="21" t="s">
        <v>71</v>
      </c>
      <c r="F8343">
        <v>4410065</v>
      </c>
      <c r="G8343" t="s">
        <v>3841</v>
      </c>
      <c r="H8343" s="21">
        <v>1049.92</v>
      </c>
    </row>
    <row r="8344" spans="1:8" customFormat="1" x14ac:dyDescent="0.25">
      <c r="A8344" t="str">
        <f>"5315109"</f>
        <v>5315109</v>
      </c>
      <c r="B8344" t="s">
        <v>9341</v>
      </c>
      <c r="C8344" t="s">
        <v>664</v>
      </c>
      <c r="D8344" s="21" t="s">
        <v>34</v>
      </c>
      <c r="E8344" s="21" t="s">
        <v>71</v>
      </c>
      <c r="F8344">
        <v>12530095</v>
      </c>
      <c r="G8344" t="s">
        <v>5381</v>
      </c>
      <c r="H8344" s="21">
        <v>1049.92</v>
      </c>
    </row>
    <row r="8345" spans="1:8" customFormat="1" x14ac:dyDescent="0.25">
      <c r="A8345" t="str">
        <f>"702251"</f>
        <v>702251</v>
      </c>
      <c r="B8345" t="s">
        <v>7700</v>
      </c>
      <c r="C8345" t="s">
        <v>302</v>
      </c>
      <c r="D8345" s="21" t="s">
        <v>34</v>
      </c>
      <c r="E8345" s="21" t="s">
        <v>71</v>
      </c>
      <c r="F8345">
        <v>2700093</v>
      </c>
      <c r="G8345" t="s">
        <v>5302</v>
      </c>
      <c r="H8345" s="21">
        <v>1049.92</v>
      </c>
    </row>
    <row r="8346" spans="1:8" customFormat="1" x14ac:dyDescent="0.25">
      <c r="A8346" t="str">
        <f>"7814501"</f>
        <v>7814501</v>
      </c>
      <c r="B8346" t="s">
        <v>8777</v>
      </c>
      <c r="C8346" t="s">
        <v>1812</v>
      </c>
      <c r="D8346" s="21" t="s">
        <v>34</v>
      </c>
      <c r="E8346" s="21" t="s">
        <v>254</v>
      </c>
      <c r="F8346">
        <v>8951449</v>
      </c>
      <c r="G8346" t="s">
        <v>4475</v>
      </c>
      <c r="H8346" s="21">
        <v>1049.67</v>
      </c>
    </row>
    <row r="8347" spans="1:8" customFormat="1" x14ac:dyDescent="0.25">
      <c r="A8347" t="str">
        <f>"858989"</f>
        <v>858989</v>
      </c>
      <c r="B8347" t="s">
        <v>6967</v>
      </c>
      <c r="C8347" t="s">
        <v>209</v>
      </c>
      <c r="D8347" s="21" t="s">
        <v>34</v>
      </c>
      <c r="E8347" s="21" t="s">
        <v>71</v>
      </c>
      <c r="F8347">
        <v>12850046</v>
      </c>
      <c r="G8347" t="s">
        <v>3136</v>
      </c>
      <c r="H8347" s="21">
        <v>1049.67</v>
      </c>
    </row>
    <row r="8348" spans="1:8" customFormat="1" x14ac:dyDescent="0.25">
      <c r="A8348" t="str">
        <f>"5311966"</f>
        <v>5311966</v>
      </c>
      <c r="B8348" t="s">
        <v>8605</v>
      </c>
      <c r="C8348" t="s">
        <v>484</v>
      </c>
      <c r="D8348" s="21" t="s">
        <v>34</v>
      </c>
      <c r="E8348" s="21" t="s">
        <v>35</v>
      </c>
      <c r="F8348">
        <v>12530065</v>
      </c>
      <c r="G8348" t="s">
        <v>10009</v>
      </c>
      <c r="H8348" s="21">
        <v>1049.67</v>
      </c>
    </row>
    <row r="8349" spans="1:8" customFormat="1" x14ac:dyDescent="0.25">
      <c r="A8349" t="str">
        <f>"7612956"</f>
        <v>7612956</v>
      </c>
      <c r="B8349" t="s">
        <v>108</v>
      </c>
      <c r="C8349" t="s">
        <v>209</v>
      </c>
      <c r="D8349" s="21" t="s">
        <v>34</v>
      </c>
      <c r="E8349" s="21" t="s">
        <v>254</v>
      </c>
      <c r="F8349">
        <v>9760308</v>
      </c>
      <c r="G8349" t="s">
        <v>8917</v>
      </c>
      <c r="H8349" s="21">
        <v>1049.67</v>
      </c>
    </row>
    <row r="8350" spans="1:8" customFormat="1" x14ac:dyDescent="0.25">
      <c r="A8350" t="str">
        <f>"7620253"</f>
        <v>7620253</v>
      </c>
      <c r="B8350" t="s">
        <v>27048</v>
      </c>
      <c r="C8350" t="s">
        <v>249</v>
      </c>
      <c r="D8350" s="21" t="s">
        <v>34</v>
      </c>
      <c r="E8350" s="21" t="s">
        <v>71</v>
      </c>
      <c r="F8350">
        <v>9270008</v>
      </c>
      <c r="G8350" t="s">
        <v>7853</v>
      </c>
      <c r="H8350" s="21">
        <v>1049.67</v>
      </c>
    </row>
    <row r="8351" spans="1:8" customFormat="1" x14ac:dyDescent="0.25">
      <c r="A8351" t="str">
        <f>"8012098"</f>
        <v>8012098</v>
      </c>
      <c r="B8351" t="s">
        <v>8725</v>
      </c>
      <c r="C8351" t="s">
        <v>8726</v>
      </c>
      <c r="D8351" s="21" t="s">
        <v>34</v>
      </c>
      <c r="E8351" s="21" t="s">
        <v>35</v>
      </c>
      <c r="F8351">
        <v>7800003</v>
      </c>
      <c r="G8351" t="s">
        <v>276</v>
      </c>
      <c r="H8351" s="21">
        <v>1049.67</v>
      </c>
    </row>
    <row r="8352" spans="1:8" customFormat="1" x14ac:dyDescent="0.25">
      <c r="A8352" t="str">
        <f>"624869"</f>
        <v>624869</v>
      </c>
      <c r="B8352" t="s">
        <v>8667</v>
      </c>
      <c r="C8352" t="s">
        <v>169</v>
      </c>
      <c r="D8352" s="21" t="s">
        <v>34</v>
      </c>
      <c r="E8352" s="21" t="s">
        <v>71</v>
      </c>
      <c r="F8352">
        <v>7620176</v>
      </c>
      <c r="G8352" t="s">
        <v>3111</v>
      </c>
      <c r="H8352" s="21">
        <v>1049.67</v>
      </c>
    </row>
    <row r="8353" spans="1:8" customFormat="1" x14ac:dyDescent="0.25">
      <c r="A8353" t="str">
        <f>"4910919"</f>
        <v>4910919</v>
      </c>
      <c r="B8353" t="s">
        <v>8891</v>
      </c>
      <c r="C8353" t="s">
        <v>156</v>
      </c>
      <c r="D8353" s="21" t="s">
        <v>34</v>
      </c>
      <c r="E8353" s="21" t="s">
        <v>254</v>
      </c>
      <c r="F8353">
        <v>12490037</v>
      </c>
      <c r="G8353" t="s">
        <v>8892</v>
      </c>
      <c r="H8353" s="21">
        <v>1049.67</v>
      </c>
    </row>
    <row r="8354" spans="1:8" customFormat="1" x14ac:dyDescent="0.25">
      <c r="A8354" t="str">
        <f>"4929682"</f>
        <v>4929682</v>
      </c>
      <c r="B8354" t="s">
        <v>6085</v>
      </c>
      <c r="C8354" t="s">
        <v>2479</v>
      </c>
      <c r="D8354" s="21" t="s">
        <v>34</v>
      </c>
      <c r="E8354" s="21" t="s">
        <v>71</v>
      </c>
      <c r="F8354">
        <v>12490129</v>
      </c>
      <c r="G8354" t="s">
        <v>7607</v>
      </c>
      <c r="H8354" s="21">
        <v>1049.67</v>
      </c>
    </row>
    <row r="8355" spans="1:8" customFormat="1" x14ac:dyDescent="0.25">
      <c r="A8355" t="str">
        <f>"7720531"</f>
        <v>7720531</v>
      </c>
      <c r="B8355" t="s">
        <v>8014</v>
      </c>
      <c r="C8355" t="s">
        <v>598</v>
      </c>
      <c r="D8355" s="21" t="s">
        <v>34</v>
      </c>
      <c r="E8355" s="21" t="s">
        <v>71</v>
      </c>
      <c r="F8355">
        <v>8771506</v>
      </c>
      <c r="G8355" t="s">
        <v>7314</v>
      </c>
      <c r="H8355" s="21">
        <v>1049.67</v>
      </c>
    </row>
    <row r="8356" spans="1:8" customFormat="1" x14ac:dyDescent="0.25">
      <c r="A8356" t="str">
        <f>"5013414"</f>
        <v>5013414</v>
      </c>
      <c r="B8356" t="s">
        <v>146</v>
      </c>
      <c r="C8356" t="s">
        <v>323</v>
      </c>
      <c r="D8356" s="21" t="s">
        <v>34</v>
      </c>
      <c r="E8356" s="21" t="s">
        <v>254</v>
      </c>
      <c r="F8356">
        <v>9500010</v>
      </c>
      <c r="G8356" t="s">
        <v>5975</v>
      </c>
      <c r="H8356" s="21">
        <v>1049.55</v>
      </c>
    </row>
    <row r="8357" spans="1:8" customFormat="1" x14ac:dyDescent="0.25">
      <c r="A8357" t="str">
        <f>"722782"</f>
        <v>722782</v>
      </c>
      <c r="B8357" t="s">
        <v>27049</v>
      </c>
      <c r="C8357" t="s">
        <v>462</v>
      </c>
      <c r="D8357" s="21" t="s">
        <v>34</v>
      </c>
      <c r="E8357" s="21" t="s">
        <v>35</v>
      </c>
      <c r="F8357">
        <v>12720078</v>
      </c>
      <c r="G8357" t="s">
        <v>5085</v>
      </c>
      <c r="H8357" s="21">
        <v>1049.5</v>
      </c>
    </row>
    <row r="8358" spans="1:8" customFormat="1" x14ac:dyDescent="0.25">
      <c r="A8358" t="str">
        <f>"607595"</f>
        <v>607595</v>
      </c>
      <c r="B8358" t="s">
        <v>9219</v>
      </c>
      <c r="C8358" t="s">
        <v>124</v>
      </c>
      <c r="D8358" s="21" t="s">
        <v>34</v>
      </c>
      <c r="E8358" s="21" t="s">
        <v>71</v>
      </c>
      <c r="F8358">
        <v>13060043</v>
      </c>
      <c r="G8358" t="s">
        <v>4761</v>
      </c>
      <c r="H8358" s="21">
        <v>1049.5</v>
      </c>
    </row>
    <row r="8359" spans="1:8" customFormat="1" x14ac:dyDescent="0.25">
      <c r="A8359" t="str">
        <f>"275894"</f>
        <v>275894</v>
      </c>
      <c r="B8359" t="s">
        <v>1908</v>
      </c>
      <c r="C8359" t="s">
        <v>124</v>
      </c>
      <c r="D8359" s="21" t="s">
        <v>34</v>
      </c>
      <c r="E8359" s="21" t="s">
        <v>71</v>
      </c>
      <c r="F8359">
        <v>9270175</v>
      </c>
      <c r="G8359" t="s">
        <v>1909</v>
      </c>
      <c r="H8359" s="21">
        <v>1049.17</v>
      </c>
    </row>
    <row r="8360" spans="1:8" customFormat="1" x14ac:dyDescent="0.25">
      <c r="A8360" t="str">
        <f>"89985"</f>
        <v>89985</v>
      </c>
      <c r="B8360" t="s">
        <v>6096</v>
      </c>
      <c r="C8360" t="s">
        <v>486</v>
      </c>
      <c r="D8360" s="21" t="s">
        <v>34</v>
      </c>
      <c r="E8360" s="21" t="s">
        <v>254</v>
      </c>
      <c r="F8360">
        <v>2890019</v>
      </c>
      <c r="G8360" t="s">
        <v>1857</v>
      </c>
      <c r="H8360" s="21">
        <v>1049.17</v>
      </c>
    </row>
    <row r="8361" spans="1:8" customFormat="1" x14ac:dyDescent="0.25">
      <c r="A8361" t="str">
        <f>"764435"</f>
        <v>764435</v>
      </c>
      <c r="B8361" t="s">
        <v>8312</v>
      </c>
      <c r="C8361" t="s">
        <v>124</v>
      </c>
      <c r="D8361" s="21" t="s">
        <v>34</v>
      </c>
      <c r="E8361" s="21" t="s">
        <v>35</v>
      </c>
      <c r="F8361">
        <v>9760294</v>
      </c>
      <c r="G8361" t="s">
        <v>8313</v>
      </c>
      <c r="H8361" s="21">
        <v>1049.17</v>
      </c>
    </row>
    <row r="8362" spans="1:8" customFormat="1" x14ac:dyDescent="0.25">
      <c r="A8362" t="str">
        <f>"883014"</f>
        <v>883014</v>
      </c>
      <c r="B8362" t="s">
        <v>9194</v>
      </c>
      <c r="C8362" t="s">
        <v>139</v>
      </c>
      <c r="D8362" s="21" t="s">
        <v>34</v>
      </c>
      <c r="E8362" s="21" t="s">
        <v>71</v>
      </c>
      <c r="F8362">
        <v>6540020</v>
      </c>
      <c r="G8362" t="s">
        <v>1269</v>
      </c>
      <c r="H8362" s="21">
        <v>1049.17</v>
      </c>
    </row>
    <row r="8363" spans="1:8" customFormat="1" x14ac:dyDescent="0.25">
      <c r="A8363" t="str">
        <f>"534259"</f>
        <v>534259</v>
      </c>
      <c r="B8363" t="s">
        <v>8116</v>
      </c>
      <c r="C8363" t="s">
        <v>1231</v>
      </c>
      <c r="D8363" s="21" t="s">
        <v>34</v>
      </c>
      <c r="E8363" s="21" t="s">
        <v>1089</v>
      </c>
      <c r="F8363">
        <v>12530059</v>
      </c>
      <c r="G8363" t="s">
        <v>4062</v>
      </c>
      <c r="H8363" s="21">
        <v>1049.17</v>
      </c>
    </row>
    <row r="8364" spans="1:8" customFormat="1" x14ac:dyDescent="0.25">
      <c r="A8364" t="str">
        <f>"181359"</f>
        <v>181359</v>
      </c>
      <c r="B8364" t="s">
        <v>9657</v>
      </c>
      <c r="C8364" t="s">
        <v>547</v>
      </c>
      <c r="D8364" s="21" t="s">
        <v>34</v>
      </c>
      <c r="E8364" s="21" t="s">
        <v>35</v>
      </c>
      <c r="F8364">
        <v>4180530</v>
      </c>
      <c r="G8364" t="s">
        <v>3622</v>
      </c>
      <c r="H8364" s="21">
        <v>1049.17</v>
      </c>
    </row>
    <row r="8365" spans="1:8" customFormat="1" x14ac:dyDescent="0.25">
      <c r="A8365" t="str">
        <f>"1713284"</f>
        <v>1713284</v>
      </c>
      <c r="B8365" t="s">
        <v>9531</v>
      </c>
      <c r="C8365" t="s">
        <v>825</v>
      </c>
      <c r="D8365" s="21" t="s">
        <v>34</v>
      </c>
      <c r="E8365" s="21" t="s">
        <v>35</v>
      </c>
      <c r="F8365">
        <v>10170064</v>
      </c>
      <c r="G8365" t="s">
        <v>1900</v>
      </c>
      <c r="H8365" s="21">
        <v>1049.17</v>
      </c>
    </row>
    <row r="8366" spans="1:8" customFormat="1" x14ac:dyDescent="0.25">
      <c r="A8366" t="str">
        <f>"5969981"</f>
        <v>5969981</v>
      </c>
      <c r="B8366" t="s">
        <v>8809</v>
      </c>
      <c r="C8366" t="s">
        <v>484</v>
      </c>
      <c r="D8366" s="21" t="s">
        <v>34</v>
      </c>
      <c r="E8366" s="21" t="s">
        <v>71</v>
      </c>
      <c r="F8366">
        <v>7590259</v>
      </c>
      <c r="G8366" t="s">
        <v>6385</v>
      </c>
      <c r="H8366" s="21">
        <v>1049.17</v>
      </c>
    </row>
    <row r="8367" spans="1:8" customFormat="1" x14ac:dyDescent="0.25">
      <c r="A8367" t="str">
        <f>"9211033"</f>
        <v>9211033</v>
      </c>
      <c r="B8367" t="s">
        <v>3667</v>
      </c>
      <c r="C8367" t="s">
        <v>40</v>
      </c>
      <c r="D8367" s="21" t="s">
        <v>34</v>
      </c>
      <c r="E8367" s="21" t="s">
        <v>71</v>
      </c>
      <c r="F8367">
        <v>8950119</v>
      </c>
      <c r="G8367" t="s">
        <v>8174</v>
      </c>
      <c r="H8367" s="21">
        <v>1049.17</v>
      </c>
    </row>
    <row r="8368" spans="1:8" customFormat="1" x14ac:dyDescent="0.25">
      <c r="A8368" t="str">
        <f>"752598"</f>
        <v>752598</v>
      </c>
      <c r="B8368" t="s">
        <v>8397</v>
      </c>
      <c r="C8368" t="s">
        <v>156</v>
      </c>
      <c r="D8368" s="21" t="s">
        <v>34</v>
      </c>
      <c r="E8368" s="21" t="s">
        <v>254</v>
      </c>
      <c r="F8368">
        <v>8750120</v>
      </c>
      <c r="G8368" t="s">
        <v>838</v>
      </c>
      <c r="H8368" s="21">
        <v>1048.93</v>
      </c>
    </row>
    <row r="8369" spans="1:8" customFormat="1" x14ac:dyDescent="0.25">
      <c r="A8369" t="str">
        <f>"9518290"</f>
        <v>9518290</v>
      </c>
      <c r="B8369" t="s">
        <v>9538</v>
      </c>
      <c r="C8369" t="s">
        <v>1887</v>
      </c>
      <c r="D8369" s="21" t="s">
        <v>34</v>
      </c>
      <c r="E8369" s="21" t="s">
        <v>71</v>
      </c>
      <c r="F8369">
        <v>8951092</v>
      </c>
      <c r="G8369" t="s">
        <v>5801</v>
      </c>
      <c r="H8369" s="21">
        <v>1048.93</v>
      </c>
    </row>
    <row r="8370" spans="1:8" customFormat="1" x14ac:dyDescent="0.25">
      <c r="A8370" t="str">
        <f>"396318"</f>
        <v>396318</v>
      </c>
      <c r="B8370" t="s">
        <v>10135</v>
      </c>
      <c r="C8370" t="s">
        <v>288</v>
      </c>
      <c r="D8370" s="21" t="s">
        <v>34</v>
      </c>
      <c r="E8370" s="21" t="s">
        <v>35</v>
      </c>
      <c r="F8370">
        <v>2390001</v>
      </c>
      <c r="G8370" t="s">
        <v>6664</v>
      </c>
      <c r="H8370" s="21">
        <v>1048.92</v>
      </c>
    </row>
    <row r="8371" spans="1:8" customFormat="1" x14ac:dyDescent="0.25">
      <c r="A8371" t="str">
        <f>"801202"</f>
        <v>801202</v>
      </c>
      <c r="B8371" t="s">
        <v>7579</v>
      </c>
      <c r="C8371" t="s">
        <v>263</v>
      </c>
      <c r="D8371" s="21" t="s">
        <v>34</v>
      </c>
      <c r="E8371" s="21" t="s">
        <v>254</v>
      </c>
      <c r="F8371">
        <v>7800106</v>
      </c>
      <c r="G8371" t="s">
        <v>2466</v>
      </c>
      <c r="H8371" s="21">
        <v>1048.92</v>
      </c>
    </row>
    <row r="8372" spans="1:8" customFormat="1" x14ac:dyDescent="0.25">
      <c r="A8372" t="str">
        <f>"636258"</f>
        <v>636258</v>
      </c>
      <c r="B8372" t="s">
        <v>3573</v>
      </c>
      <c r="C8372" t="s">
        <v>469</v>
      </c>
      <c r="D8372" s="21" t="s">
        <v>34</v>
      </c>
      <c r="E8372" s="21" t="s">
        <v>35</v>
      </c>
      <c r="F8372">
        <v>4450616</v>
      </c>
      <c r="G8372" t="s">
        <v>3254</v>
      </c>
      <c r="H8372" s="21">
        <v>1048.92</v>
      </c>
    </row>
    <row r="8373" spans="1:8" customFormat="1" x14ac:dyDescent="0.25">
      <c r="A8373" t="str">
        <f>"392878"</f>
        <v>392878</v>
      </c>
      <c r="B8373" t="s">
        <v>2373</v>
      </c>
      <c r="C8373" t="s">
        <v>576</v>
      </c>
      <c r="D8373" s="21" t="s">
        <v>34</v>
      </c>
      <c r="E8373" s="21" t="s">
        <v>35</v>
      </c>
      <c r="F8373">
        <v>2390091</v>
      </c>
      <c r="G8373" t="s">
        <v>7093</v>
      </c>
      <c r="H8373" s="21">
        <v>1048.67</v>
      </c>
    </row>
    <row r="8374" spans="1:8" customFormat="1" x14ac:dyDescent="0.25">
      <c r="A8374" t="str">
        <f>"722511"</f>
        <v>722511</v>
      </c>
      <c r="B8374" t="s">
        <v>89</v>
      </c>
      <c r="C8374" t="s">
        <v>812</v>
      </c>
      <c r="D8374" s="21" t="s">
        <v>34</v>
      </c>
      <c r="E8374" s="21" t="s">
        <v>71</v>
      </c>
      <c r="F8374">
        <v>12720052</v>
      </c>
      <c r="G8374" t="s">
        <v>9628</v>
      </c>
      <c r="H8374" s="21">
        <v>1048.67</v>
      </c>
    </row>
    <row r="8375" spans="1:8" customFormat="1" x14ac:dyDescent="0.25">
      <c r="A8375" t="str">
        <f>"4215339"</f>
        <v>4215339</v>
      </c>
      <c r="B8375" t="s">
        <v>1098</v>
      </c>
      <c r="C8375" t="s">
        <v>119</v>
      </c>
      <c r="D8375" s="21" t="s">
        <v>34</v>
      </c>
      <c r="E8375" s="21" t="s">
        <v>35</v>
      </c>
      <c r="F8375">
        <v>1420153</v>
      </c>
      <c r="G8375" t="s">
        <v>8897</v>
      </c>
      <c r="H8375" s="21">
        <v>1048.67</v>
      </c>
    </row>
    <row r="8376" spans="1:8" customFormat="1" x14ac:dyDescent="0.25">
      <c r="A8376" t="str">
        <f>"7834768"</f>
        <v>7834768</v>
      </c>
      <c r="B8376" t="s">
        <v>9884</v>
      </c>
      <c r="C8376" t="s">
        <v>33</v>
      </c>
      <c r="D8376" s="21" t="s">
        <v>34</v>
      </c>
      <c r="E8376" s="21" t="s">
        <v>35</v>
      </c>
      <c r="F8376">
        <v>1740057</v>
      </c>
      <c r="G8376" t="s">
        <v>1567</v>
      </c>
      <c r="H8376" s="21">
        <v>1048.67</v>
      </c>
    </row>
    <row r="8377" spans="1:8" customFormat="1" x14ac:dyDescent="0.25">
      <c r="A8377" t="str">
        <f>"7618304"</f>
        <v>7618304</v>
      </c>
      <c r="B8377" t="s">
        <v>8948</v>
      </c>
      <c r="C8377" t="s">
        <v>114</v>
      </c>
      <c r="D8377" s="21" t="s">
        <v>34</v>
      </c>
      <c r="E8377" s="21" t="s">
        <v>254</v>
      </c>
      <c r="F8377">
        <v>12720066</v>
      </c>
      <c r="G8377" t="s">
        <v>3571</v>
      </c>
      <c r="H8377" s="21">
        <v>1048.67</v>
      </c>
    </row>
    <row r="8378" spans="1:8" customFormat="1" x14ac:dyDescent="0.25">
      <c r="A8378" t="str">
        <f>"7854047"</f>
        <v>7854047</v>
      </c>
      <c r="B8378" t="s">
        <v>8055</v>
      </c>
      <c r="C8378" t="s">
        <v>55</v>
      </c>
      <c r="D8378" s="21" t="s">
        <v>34</v>
      </c>
      <c r="E8378" s="21" t="s">
        <v>35</v>
      </c>
      <c r="F8378">
        <v>8781017</v>
      </c>
      <c r="G8378" t="s">
        <v>2581</v>
      </c>
      <c r="H8378" s="21">
        <v>1048.67</v>
      </c>
    </row>
    <row r="8379" spans="1:8" customFormat="1" x14ac:dyDescent="0.25">
      <c r="A8379" t="str">
        <f>"77550"</f>
        <v>77550</v>
      </c>
      <c r="B8379" t="s">
        <v>6309</v>
      </c>
      <c r="C8379" t="s">
        <v>2520</v>
      </c>
      <c r="D8379" s="21" t="s">
        <v>34</v>
      </c>
      <c r="E8379" s="21" t="s">
        <v>254</v>
      </c>
      <c r="F8379">
        <v>8770426</v>
      </c>
      <c r="G8379" t="s">
        <v>1847</v>
      </c>
      <c r="H8379" s="21">
        <v>1048.67</v>
      </c>
    </row>
    <row r="8380" spans="1:8" customFormat="1" x14ac:dyDescent="0.25">
      <c r="A8380" t="str">
        <f>"9111101"</f>
        <v>9111101</v>
      </c>
      <c r="B8380" t="s">
        <v>9422</v>
      </c>
      <c r="C8380" t="s">
        <v>9423</v>
      </c>
      <c r="D8380" s="21" t="s">
        <v>34</v>
      </c>
      <c r="E8380" s="21" t="s">
        <v>71</v>
      </c>
      <c r="F8380">
        <v>8911334</v>
      </c>
      <c r="G8380" t="s">
        <v>4170</v>
      </c>
      <c r="H8380" s="21">
        <v>1048.67</v>
      </c>
    </row>
    <row r="8381" spans="1:8" customFormat="1" x14ac:dyDescent="0.25">
      <c r="A8381" t="str">
        <f>"5316077"</f>
        <v>5316077</v>
      </c>
      <c r="B8381" t="s">
        <v>9200</v>
      </c>
      <c r="C8381" t="s">
        <v>209</v>
      </c>
      <c r="D8381" s="21" t="s">
        <v>34</v>
      </c>
      <c r="E8381" s="21" t="s">
        <v>35</v>
      </c>
      <c r="F8381">
        <v>12530078</v>
      </c>
      <c r="G8381" t="s">
        <v>3677</v>
      </c>
      <c r="H8381" s="21">
        <v>1048.67</v>
      </c>
    </row>
    <row r="8382" spans="1:8" customFormat="1" x14ac:dyDescent="0.25">
      <c r="A8382" t="str">
        <f>"5928878"</f>
        <v>5928878</v>
      </c>
      <c r="B8382" t="s">
        <v>22310</v>
      </c>
      <c r="C8382" t="s">
        <v>33</v>
      </c>
      <c r="D8382" s="21" t="s">
        <v>34</v>
      </c>
      <c r="E8382" s="21" t="s">
        <v>35</v>
      </c>
      <c r="F8382">
        <v>7590123</v>
      </c>
      <c r="G8382" t="s">
        <v>85</v>
      </c>
      <c r="H8382" s="21">
        <v>1048.67</v>
      </c>
    </row>
    <row r="8383" spans="1:8" customFormat="1" x14ac:dyDescent="0.25">
      <c r="A8383" t="str">
        <f>"7629870"</f>
        <v>7629870</v>
      </c>
      <c r="B8383" t="s">
        <v>2078</v>
      </c>
      <c r="C8383" t="s">
        <v>187</v>
      </c>
      <c r="D8383" s="21" t="s">
        <v>34</v>
      </c>
      <c r="E8383" s="21" t="s">
        <v>35</v>
      </c>
      <c r="F8383">
        <v>9760266</v>
      </c>
      <c r="G8383" t="s">
        <v>1891</v>
      </c>
      <c r="H8383" s="21">
        <v>1048.67</v>
      </c>
    </row>
    <row r="8384" spans="1:8" customFormat="1" x14ac:dyDescent="0.25">
      <c r="A8384" t="str">
        <f>"5913869"</f>
        <v>5913869</v>
      </c>
      <c r="B8384" t="s">
        <v>1318</v>
      </c>
      <c r="C8384" t="s">
        <v>576</v>
      </c>
      <c r="D8384" s="21" t="s">
        <v>34</v>
      </c>
      <c r="E8384" s="21" t="s">
        <v>71</v>
      </c>
      <c r="F8384">
        <v>7590087</v>
      </c>
      <c r="G8384" t="s">
        <v>2112</v>
      </c>
      <c r="H8384" s="21">
        <v>1048.67</v>
      </c>
    </row>
    <row r="8385" spans="1:8" customFormat="1" x14ac:dyDescent="0.25">
      <c r="A8385" t="str">
        <f>"043428"</f>
        <v>043428</v>
      </c>
      <c r="B8385" t="s">
        <v>9173</v>
      </c>
      <c r="C8385" t="s">
        <v>6514</v>
      </c>
      <c r="D8385" s="21" t="s">
        <v>34</v>
      </c>
      <c r="E8385" s="21" t="s">
        <v>35</v>
      </c>
      <c r="F8385">
        <v>13040023</v>
      </c>
      <c r="G8385" t="s">
        <v>2542</v>
      </c>
      <c r="H8385" s="21">
        <v>1048.67</v>
      </c>
    </row>
    <row r="8386" spans="1:8" customFormat="1" x14ac:dyDescent="0.25">
      <c r="A8386" t="str">
        <f>"9310707"</f>
        <v>9310707</v>
      </c>
      <c r="B8386" t="s">
        <v>27050</v>
      </c>
      <c r="C8386" t="s">
        <v>328</v>
      </c>
      <c r="D8386" s="21" t="s">
        <v>34</v>
      </c>
      <c r="E8386" s="21" t="s">
        <v>35</v>
      </c>
      <c r="F8386">
        <v>8771519</v>
      </c>
      <c r="G8386" t="s">
        <v>10685</v>
      </c>
      <c r="H8386" s="21">
        <v>1048.67</v>
      </c>
    </row>
    <row r="8387" spans="1:8" customFormat="1" x14ac:dyDescent="0.25">
      <c r="A8387" t="str">
        <f>"6232358"</f>
        <v>6232358</v>
      </c>
      <c r="B8387" t="s">
        <v>12211</v>
      </c>
      <c r="C8387" t="s">
        <v>33</v>
      </c>
      <c r="D8387" s="21" t="s">
        <v>34</v>
      </c>
      <c r="E8387" s="21" t="s">
        <v>35</v>
      </c>
      <c r="F8387">
        <v>7620180</v>
      </c>
      <c r="G8387" t="s">
        <v>7188</v>
      </c>
      <c r="H8387" s="21">
        <v>1048.67</v>
      </c>
    </row>
    <row r="8388" spans="1:8" customFormat="1" x14ac:dyDescent="0.25">
      <c r="A8388" t="str">
        <f>"9416927"</f>
        <v>9416927</v>
      </c>
      <c r="B8388" t="s">
        <v>2711</v>
      </c>
      <c r="C8388" t="s">
        <v>275</v>
      </c>
      <c r="D8388" s="21" t="s">
        <v>34</v>
      </c>
      <c r="E8388" s="21" t="s">
        <v>35</v>
      </c>
      <c r="F8388">
        <v>8940455</v>
      </c>
      <c r="G8388" t="s">
        <v>7944</v>
      </c>
      <c r="H8388" s="21">
        <v>1048.56</v>
      </c>
    </row>
    <row r="8389" spans="1:8" customFormat="1" x14ac:dyDescent="0.25">
      <c r="A8389" t="str">
        <f>"7511428"</f>
        <v>7511428</v>
      </c>
      <c r="B8389" t="s">
        <v>11603</v>
      </c>
      <c r="C8389" t="s">
        <v>285</v>
      </c>
      <c r="D8389" s="21" t="s">
        <v>34</v>
      </c>
      <c r="E8389" s="21" t="s">
        <v>35</v>
      </c>
      <c r="F8389">
        <v>8751249</v>
      </c>
      <c r="G8389" t="s">
        <v>2803</v>
      </c>
      <c r="H8389" s="21">
        <v>1048.18</v>
      </c>
    </row>
    <row r="8390" spans="1:8" customFormat="1" x14ac:dyDescent="0.25">
      <c r="A8390" t="str">
        <f>"3517892"</f>
        <v>3517892</v>
      </c>
      <c r="B8390" t="s">
        <v>11581</v>
      </c>
      <c r="C8390" t="s">
        <v>204</v>
      </c>
      <c r="D8390" s="21" t="s">
        <v>34</v>
      </c>
      <c r="E8390" s="21" t="s">
        <v>35</v>
      </c>
      <c r="F8390">
        <v>3350227</v>
      </c>
      <c r="G8390" t="s">
        <v>9187</v>
      </c>
      <c r="H8390" s="21">
        <v>1048.17</v>
      </c>
    </row>
    <row r="8391" spans="1:8" customFormat="1" x14ac:dyDescent="0.25">
      <c r="A8391" t="str">
        <f>"162739"</f>
        <v>162739</v>
      </c>
      <c r="B8391" t="s">
        <v>2362</v>
      </c>
      <c r="C8391" t="s">
        <v>40</v>
      </c>
      <c r="D8391" s="21" t="s">
        <v>34</v>
      </c>
      <c r="E8391" s="21" t="s">
        <v>71</v>
      </c>
      <c r="F8391">
        <v>10160044</v>
      </c>
      <c r="G8391" t="s">
        <v>4941</v>
      </c>
      <c r="H8391" s="21">
        <v>1048.17</v>
      </c>
    </row>
    <row r="8392" spans="1:8" customFormat="1" x14ac:dyDescent="0.25">
      <c r="A8392" t="str">
        <f>"7852849"</f>
        <v>7852849</v>
      </c>
      <c r="B8392" t="s">
        <v>9928</v>
      </c>
      <c r="C8392" t="s">
        <v>498</v>
      </c>
      <c r="D8392" s="21" t="s">
        <v>34</v>
      </c>
      <c r="E8392" s="21" t="s">
        <v>35</v>
      </c>
      <c r="F8392">
        <v>8780627</v>
      </c>
      <c r="G8392" t="s">
        <v>6097</v>
      </c>
      <c r="H8392" s="21">
        <v>1048.17</v>
      </c>
    </row>
    <row r="8393" spans="1:8" customFormat="1" x14ac:dyDescent="0.25">
      <c r="A8393" t="str">
        <f>"732884"</f>
        <v>732884</v>
      </c>
      <c r="B8393" t="s">
        <v>27051</v>
      </c>
      <c r="C8393" t="s">
        <v>239</v>
      </c>
      <c r="D8393" s="21" t="s">
        <v>34</v>
      </c>
      <c r="E8393" s="21" t="s">
        <v>71</v>
      </c>
      <c r="F8393">
        <v>10400013</v>
      </c>
      <c r="G8393" t="s">
        <v>6238</v>
      </c>
      <c r="H8393" s="21">
        <v>1048.17</v>
      </c>
    </row>
    <row r="8394" spans="1:8" customFormat="1" x14ac:dyDescent="0.25">
      <c r="A8394" t="str">
        <f>"758710"</f>
        <v>758710</v>
      </c>
      <c r="B8394" t="s">
        <v>8511</v>
      </c>
      <c r="C8394" t="s">
        <v>27052</v>
      </c>
      <c r="D8394" s="21" t="s">
        <v>34</v>
      </c>
      <c r="E8394" s="21" t="s">
        <v>254</v>
      </c>
      <c r="F8394">
        <v>8751177</v>
      </c>
      <c r="G8394" t="s">
        <v>396</v>
      </c>
      <c r="H8394" s="21">
        <v>1048.17</v>
      </c>
    </row>
    <row r="8395" spans="1:8" customFormat="1" x14ac:dyDescent="0.25">
      <c r="A8395" t="str">
        <f>"5721506"</f>
        <v>5721506</v>
      </c>
      <c r="B8395" t="s">
        <v>9642</v>
      </c>
      <c r="C8395" t="s">
        <v>275</v>
      </c>
      <c r="D8395" s="21" t="s">
        <v>34</v>
      </c>
      <c r="E8395" s="21" t="s">
        <v>35</v>
      </c>
      <c r="F8395">
        <v>6670045</v>
      </c>
      <c r="G8395" t="s">
        <v>707</v>
      </c>
      <c r="H8395" s="21">
        <v>1048.17</v>
      </c>
    </row>
    <row r="8396" spans="1:8" customFormat="1" x14ac:dyDescent="0.25">
      <c r="A8396" t="str">
        <f>"788153"</f>
        <v>788153</v>
      </c>
      <c r="B8396" t="s">
        <v>27053</v>
      </c>
      <c r="C8396" t="s">
        <v>275</v>
      </c>
      <c r="D8396" s="21" t="s">
        <v>34</v>
      </c>
      <c r="E8396" s="21" t="s">
        <v>35</v>
      </c>
      <c r="F8396">
        <v>8780905</v>
      </c>
      <c r="G8396" t="s">
        <v>1267</v>
      </c>
      <c r="H8396" s="21">
        <v>1048.17</v>
      </c>
    </row>
    <row r="8397" spans="1:8" customFormat="1" x14ac:dyDescent="0.25">
      <c r="A8397" t="str">
        <f>"3111040"</f>
        <v>3111040</v>
      </c>
      <c r="B8397" t="s">
        <v>577</v>
      </c>
      <c r="C8397" t="s">
        <v>415</v>
      </c>
      <c r="D8397" s="21" t="s">
        <v>34</v>
      </c>
      <c r="E8397" s="21" t="s">
        <v>71</v>
      </c>
      <c r="F8397">
        <v>11810032</v>
      </c>
      <c r="G8397" t="s">
        <v>7859</v>
      </c>
      <c r="H8397" s="21">
        <v>1048.17</v>
      </c>
    </row>
    <row r="8398" spans="1:8" customFormat="1" x14ac:dyDescent="0.25">
      <c r="A8398" t="str">
        <f>"5916752"</f>
        <v>5916752</v>
      </c>
      <c r="B8398" t="s">
        <v>8642</v>
      </c>
      <c r="C8398" t="s">
        <v>43</v>
      </c>
      <c r="D8398" s="21" t="s">
        <v>34</v>
      </c>
      <c r="E8398" s="21" t="s">
        <v>35</v>
      </c>
      <c r="F8398">
        <v>7590271</v>
      </c>
      <c r="G8398" t="s">
        <v>3163</v>
      </c>
      <c r="H8398" s="21">
        <v>1048.17</v>
      </c>
    </row>
    <row r="8399" spans="1:8" customFormat="1" x14ac:dyDescent="0.25">
      <c r="A8399" t="str">
        <f>"7510767"</f>
        <v>7510767</v>
      </c>
      <c r="B8399" t="s">
        <v>4137</v>
      </c>
      <c r="C8399" t="s">
        <v>253</v>
      </c>
      <c r="D8399" s="21" t="s">
        <v>34</v>
      </c>
      <c r="E8399" s="21" t="s">
        <v>1089</v>
      </c>
      <c r="F8399">
        <v>12850078</v>
      </c>
      <c r="G8399" t="s">
        <v>5639</v>
      </c>
      <c r="H8399" s="21">
        <v>1048.17</v>
      </c>
    </row>
    <row r="8400" spans="1:8" customFormat="1" x14ac:dyDescent="0.25">
      <c r="A8400" t="str">
        <f>"024681"</f>
        <v>024681</v>
      </c>
      <c r="B8400" t="s">
        <v>9114</v>
      </c>
      <c r="C8400" t="s">
        <v>3073</v>
      </c>
      <c r="D8400" s="21" t="s">
        <v>34</v>
      </c>
      <c r="E8400" s="21" t="s">
        <v>254</v>
      </c>
      <c r="F8400">
        <v>7020019</v>
      </c>
      <c r="G8400" t="s">
        <v>7912</v>
      </c>
      <c r="H8400" s="21">
        <v>1048.05</v>
      </c>
    </row>
    <row r="8401" spans="1:8" customFormat="1" x14ac:dyDescent="0.25">
      <c r="A8401" t="str">
        <f>"9426447"</f>
        <v>9426447</v>
      </c>
      <c r="B8401" t="s">
        <v>8297</v>
      </c>
      <c r="C8401" t="s">
        <v>1231</v>
      </c>
      <c r="D8401" s="21" t="s">
        <v>34</v>
      </c>
      <c r="E8401" s="21" t="s">
        <v>254</v>
      </c>
      <c r="F8401">
        <v>8750209</v>
      </c>
      <c r="G8401" t="s">
        <v>5541</v>
      </c>
      <c r="H8401" s="21">
        <v>1048.04</v>
      </c>
    </row>
    <row r="8402" spans="1:8" customFormat="1" x14ac:dyDescent="0.25">
      <c r="A8402" t="str">
        <f>"509566"</f>
        <v>509566</v>
      </c>
      <c r="B8402" t="s">
        <v>1456</v>
      </c>
      <c r="C8402" t="s">
        <v>262</v>
      </c>
      <c r="D8402" s="21" t="s">
        <v>34</v>
      </c>
      <c r="E8402" s="21" t="s">
        <v>35</v>
      </c>
      <c r="F8402">
        <v>9500009</v>
      </c>
      <c r="G8402" t="s">
        <v>2230</v>
      </c>
      <c r="H8402" s="21">
        <v>1048</v>
      </c>
    </row>
    <row r="8403" spans="1:8" customFormat="1" x14ac:dyDescent="0.25">
      <c r="A8403" t="str">
        <f>"5322211"</f>
        <v>5322211</v>
      </c>
      <c r="B8403" t="s">
        <v>10597</v>
      </c>
      <c r="C8403" t="s">
        <v>1559</v>
      </c>
      <c r="D8403" s="21" t="s">
        <v>34</v>
      </c>
      <c r="E8403" s="21" t="s">
        <v>71</v>
      </c>
      <c r="F8403">
        <v>12530070</v>
      </c>
      <c r="G8403" t="s">
        <v>4905</v>
      </c>
      <c r="H8403" s="21">
        <v>1047.8</v>
      </c>
    </row>
    <row r="8404" spans="1:8" customFormat="1" x14ac:dyDescent="0.25">
      <c r="A8404" t="str">
        <f>"9221644"</f>
        <v>9221644</v>
      </c>
      <c r="B8404" t="s">
        <v>1118</v>
      </c>
      <c r="C8404" t="s">
        <v>3905</v>
      </c>
      <c r="D8404" s="21" t="s">
        <v>34</v>
      </c>
      <c r="E8404" s="21" t="s">
        <v>1089</v>
      </c>
      <c r="F8404">
        <v>8750141</v>
      </c>
      <c r="G8404" t="s">
        <v>1514</v>
      </c>
      <c r="H8404" s="21">
        <v>1047.67</v>
      </c>
    </row>
    <row r="8405" spans="1:8" customFormat="1" x14ac:dyDescent="0.25">
      <c r="A8405" t="str">
        <f>"124650"</f>
        <v>124650</v>
      </c>
      <c r="B8405" t="s">
        <v>9281</v>
      </c>
      <c r="C8405" t="s">
        <v>2520</v>
      </c>
      <c r="D8405" s="21" t="s">
        <v>34</v>
      </c>
      <c r="E8405" s="21" t="s">
        <v>71</v>
      </c>
      <c r="F8405">
        <v>11120009</v>
      </c>
      <c r="G8405" t="s">
        <v>3369</v>
      </c>
      <c r="H8405" s="21">
        <v>1047.67</v>
      </c>
    </row>
    <row r="8406" spans="1:8" customFormat="1" x14ac:dyDescent="0.25">
      <c r="A8406" t="str">
        <f>"03189"</f>
        <v>03189</v>
      </c>
      <c r="B8406" t="s">
        <v>2012</v>
      </c>
      <c r="C8406" t="s">
        <v>3010</v>
      </c>
      <c r="D8406" s="21" t="s">
        <v>34</v>
      </c>
      <c r="E8406" s="21" t="s">
        <v>254</v>
      </c>
      <c r="F8406">
        <v>11660019</v>
      </c>
      <c r="G8406" t="s">
        <v>6292</v>
      </c>
      <c r="H8406" s="21">
        <v>1047.67</v>
      </c>
    </row>
    <row r="8407" spans="1:8" customFormat="1" x14ac:dyDescent="0.25">
      <c r="A8407" t="str">
        <f>"5928647"</f>
        <v>5928647</v>
      </c>
      <c r="B8407" t="s">
        <v>1016</v>
      </c>
      <c r="C8407" t="s">
        <v>598</v>
      </c>
      <c r="D8407" s="21" t="s">
        <v>34</v>
      </c>
      <c r="E8407" s="21" t="s">
        <v>71</v>
      </c>
      <c r="F8407">
        <v>7590087</v>
      </c>
      <c r="G8407" t="s">
        <v>2112</v>
      </c>
      <c r="H8407" s="21">
        <v>1047.67</v>
      </c>
    </row>
    <row r="8408" spans="1:8" customFormat="1" x14ac:dyDescent="0.25">
      <c r="A8408" t="str">
        <f>"5617750"</f>
        <v>5617750</v>
      </c>
      <c r="B8408" t="s">
        <v>11555</v>
      </c>
      <c r="C8408" t="s">
        <v>10675</v>
      </c>
      <c r="D8408" s="21" t="s">
        <v>34</v>
      </c>
      <c r="E8408" s="21" t="s">
        <v>35</v>
      </c>
      <c r="F8408">
        <v>3560096</v>
      </c>
      <c r="G8408" t="s">
        <v>2771</v>
      </c>
      <c r="H8408" s="21">
        <v>1047.67</v>
      </c>
    </row>
    <row r="8409" spans="1:8" customFormat="1" x14ac:dyDescent="0.25">
      <c r="A8409" t="str">
        <f>"7624432"</f>
        <v>7624432</v>
      </c>
      <c r="B8409" t="s">
        <v>8548</v>
      </c>
      <c r="C8409" t="s">
        <v>209</v>
      </c>
      <c r="D8409" s="21" t="s">
        <v>34</v>
      </c>
      <c r="E8409" s="21" t="s">
        <v>71</v>
      </c>
      <c r="F8409">
        <v>9760419</v>
      </c>
      <c r="G8409" t="s">
        <v>8549</v>
      </c>
      <c r="H8409" s="21">
        <v>1047.67</v>
      </c>
    </row>
    <row r="8410" spans="1:8" customFormat="1" x14ac:dyDescent="0.25">
      <c r="A8410" t="str">
        <f>"721838"</f>
        <v>721838</v>
      </c>
      <c r="B8410" t="s">
        <v>3654</v>
      </c>
      <c r="C8410" t="s">
        <v>598</v>
      </c>
      <c r="D8410" s="21" t="s">
        <v>34</v>
      </c>
      <c r="E8410" s="21" t="s">
        <v>71</v>
      </c>
      <c r="F8410">
        <v>12720071</v>
      </c>
      <c r="G8410" t="s">
        <v>783</v>
      </c>
      <c r="H8410" s="21">
        <v>1047.67</v>
      </c>
    </row>
    <row r="8411" spans="1:8" customFormat="1" x14ac:dyDescent="0.25">
      <c r="A8411" t="str">
        <f>"25173"</f>
        <v>25173</v>
      </c>
      <c r="B8411" t="s">
        <v>4399</v>
      </c>
      <c r="C8411" t="s">
        <v>288</v>
      </c>
      <c r="D8411" s="21" t="s">
        <v>34</v>
      </c>
      <c r="E8411" s="21" t="s">
        <v>35</v>
      </c>
      <c r="F8411">
        <v>2250007</v>
      </c>
      <c r="G8411" t="s">
        <v>1137</v>
      </c>
      <c r="H8411" s="21">
        <v>1047.67</v>
      </c>
    </row>
    <row r="8412" spans="1:8" customFormat="1" x14ac:dyDescent="0.25">
      <c r="A8412" t="str">
        <f>"9219206"</f>
        <v>9219206</v>
      </c>
      <c r="B8412" t="s">
        <v>2398</v>
      </c>
      <c r="C8412" t="s">
        <v>302</v>
      </c>
      <c r="D8412" s="21" t="s">
        <v>34</v>
      </c>
      <c r="E8412" s="21" t="s">
        <v>35</v>
      </c>
      <c r="F8412">
        <v>8920066</v>
      </c>
      <c r="G8412" t="s">
        <v>4899</v>
      </c>
      <c r="H8412" s="21">
        <v>1047.42</v>
      </c>
    </row>
    <row r="8413" spans="1:8" customFormat="1" x14ac:dyDescent="0.25">
      <c r="A8413" t="str">
        <f>"939453"</f>
        <v>939453</v>
      </c>
      <c r="B8413" t="s">
        <v>9326</v>
      </c>
      <c r="C8413" t="s">
        <v>269</v>
      </c>
      <c r="D8413" s="21" t="s">
        <v>34</v>
      </c>
      <c r="E8413" s="21" t="s">
        <v>71</v>
      </c>
      <c r="F8413">
        <v>8930430</v>
      </c>
      <c r="G8413" t="s">
        <v>995</v>
      </c>
      <c r="H8413" s="21">
        <v>1047.3</v>
      </c>
    </row>
    <row r="8414" spans="1:8" customFormat="1" x14ac:dyDescent="0.25">
      <c r="A8414" t="str">
        <f>"872484"</f>
        <v>872484</v>
      </c>
      <c r="B8414" t="s">
        <v>8399</v>
      </c>
      <c r="C8414" t="s">
        <v>246</v>
      </c>
      <c r="D8414" s="21" t="s">
        <v>34</v>
      </c>
      <c r="E8414" s="21" t="s">
        <v>254</v>
      </c>
      <c r="F8414">
        <v>10870081</v>
      </c>
      <c r="G8414" t="s">
        <v>6698</v>
      </c>
      <c r="H8414" s="21">
        <v>1047.3</v>
      </c>
    </row>
    <row r="8415" spans="1:8" customFormat="1" x14ac:dyDescent="0.25">
      <c r="A8415" t="str">
        <f>"606077"</f>
        <v>606077</v>
      </c>
      <c r="B8415" t="s">
        <v>2812</v>
      </c>
      <c r="C8415" t="s">
        <v>33</v>
      </c>
      <c r="D8415" s="21" t="s">
        <v>34</v>
      </c>
      <c r="E8415" s="21" t="s">
        <v>35</v>
      </c>
      <c r="F8415">
        <v>7600112</v>
      </c>
      <c r="G8415" t="s">
        <v>9272</v>
      </c>
      <c r="H8415" s="21">
        <v>1047.17</v>
      </c>
    </row>
    <row r="8416" spans="1:8" customFormat="1" x14ac:dyDescent="0.25">
      <c r="A8416" t="str">
        <f>"2915659"</f>
        <v>2915659</v>
      </c>
      <c r="B8416" t="s">
        <v>10731</v>
      </c>
      <c r="C8416" t="s">
        <v>428</v>
      </c>
      <c r="D8416" s="21" t="s">
        <v>34</v>
      </c>
      <c r="E8416" s="21" t="s">
        <v>35</v>
      </c>
      <c r="F8416">
        <v>3290019</v>
      </c>
      <c r="G8416" t="s">
        <v>4452</v>
      </c>
      <c r="H8416" s="21">
        <v>1047.17</v>
      </c>
    </row>
    <row r="8417" spans="1:8" customFormat="1" x14ac:dyDescent="0.25">
      <c r="A8417" t="str">
        <f>"393691"</f>
        <v>393691</v>
      </c>
      <c r="B8417" t="s">
        <v>8170</v>
      </c>
      <c r="C8417" t="s">
        <v>209</v>
      </c>
      <c r="D8417" s="21" t="s">
        <v>34</v>
      </c>
      <c r="E8417" s="21" t="s">
        <v>71</v>
      </c>
      <c r="F8417">
        <v>2390082</v>
      </c>
      <c r="G8417" t="s">
        <v>3343</v>
      </c>
      <c r="H8417" s="21">
        <v>1047.17</v>
      </c>
    </row>
    <row r="8418" spans="1:8" customFormat="1" x14ac:dyDescent="0.25">
      <c r="A8418" t="str">
        <f>"7619097"</f>
        <v>7619097</v>
      </c>
      <c r="B8418" t="s">
        <v>54</v>
      </c>
      <c r="C8418" t="s">
        <v>2752</v>
      </c>
      <c r="D8418" s="21" t="s">
        <v>34</v>
      </c>
      <c r="E8418" s="21" t="s">
        <v>71</v>
      </c>
      <c r="F8418">
        <v>9760239</v>
      </c>
      <c r="G8418" t="s">
        <v>9147</v>
      </c>
      <c r="H8418" s="21">
        <v>1047.17</v>
      </c>
    </row>
    <row r="8419" spans="1:8" customFormat="1" x14ac:dyDescent="0.25">
      <c r="A8419" t="str">
        <f>"6220201"</f>
        <v>6220201</v>
      </c>
      <c r="B8419" t="s">
        <v>623</v>
      </c>
      <c r="C8419" t="s">
        <v>209</v>
      </c>
      <c r="D8419" s="21" t="s">
        <v>34</v>
      </c>
      <c r="E8419" s="21" t="s">
        <v>71</v>
      </c>
      <c r="F8419">
        <v>7620169</v>
      </c>
      <c r="G8419" t="s">
        <v>7116</v>
      </c>
      <c r="H8419" s="21">
        <v>1047.17</v>
      </c>
    </row>
    <row r="8420" spans="1:8" customFormat="1" x14ac:dyDescent="0.25">
      <c r="A8420" t="str">
        <f>"18150"</f>
        <v>18150</v>
      </c>
      <c r="B8420" t="s">
        <v>2690</v>
      </c>
      <c r="C8420" t="s">
        <v>8906</v>
      </c>
      <c r="D8420" s="21" t="s">
        <v>34</v>
      </c>
      <c r="E8420" s="21" t="s">
        <v>35</v>
      </c>
      <c r="F8420">
        <v>4180696</v>
      </c>
      <c r="G8420" t="s">
        <v>3018</v>
      </c>
      <c r="H8420" s="21">
        <v>1047.17</v>
      </c>
    </row>
    <row r="8421" spans="1:8" customFormat="1" x14ac:dyDescent="0.25">
      <c r="A8421" t="str">
        <f>"3718495"</f>
        <v>3718495</v>
      </c>
      <c r="B8421" t="s">
        <v>4707</v>
      </c>
      <c r="C8421" t="s">
        <v>285</v>
      </c>
      <c r="D8421" s="21" t="s">
        <v>34</v>
      </c>
      <c r="E8421" s="21" t="s">
        <v>71</v>
      </c>
      <c r="F8421">
        <v>4370002</v>
      </c>
      <c r="G8421" t="s">
        <v>112</v>
      </c>
      <c r="H8421" s="21">
        <v>1047.05</v>
      </c>
    </row>
    <row r="8422" spans="1:8" customFormat="1" x14ac:dyDescent="0.25">
      <c r="A8422" t="str">
        <f>"253310"</f>
        <v>253310</v>
      </c>
      <c r="B8422" t="s">
        <v>9808</v>
      </c>
      <c r="C8422" t="s">
        <v>198</v>
      </c>
      <c r="D8422" s="21" t="s">
        <v>34</v>
      </c>
      <c r="E8422" s="21" t="s">
        <v>71</v>
      </c>
      <c r="F8422">
        <v>2250052</v>
      </c>
      <c r="G8422" t="s">
        <v>5443</v>
      </c>
      <c r="H8422" s="21">
        <v>1047.04</v>
      </c>
    </row>
    <row r="8423" spans="1:8" customFormat="1" x14ac:dyDescent="0.25">
      <c r="A8423" t="str">
        <f>"5618491"</f>
        <v>5618491</v>
      </c>
      <c r="B8423" t="s">
        <v>10187</v>
      </c>
      <c r="C8423" t="s">
        <v>2322</v>
      </c>
      <c r="D8423" s="21" t="s">
        <v>34</v>
      </c>
      <c r="E8423" s="21" t="s">
        <v>35</v>
      </c>
      <c r="F8423">
        <v>3560054</v>
      </c>
      <c r="G8423" t="s">
        <v>10188</v>
      </c>
      <c r="H8423" s="21">
        <v>1046.67</v>
      </c>
    </row>
    <row r="8424" spans="1:8" customFormat="1" x14ac:dyDescent="0.25">
      <c r="A8424" t="str">
        <f>"774019"</f>
        <v>774019</v>
      </c>
      <c r="B8424" t="s">
        <v>8320</v>
      </c>
      <c r="C8424" t="s">
        <v>40</v>
      </c>
      <c r="D8424" s="21" t="s">
        <v>34</v>
      </c>
      <c r="E8424" s="21" t="s">
        <v>254</v>
      </c>
      <c r="F8424">
        <v>11340067</v>
      </c>
      <c r="G8424" t="s">
        <v>2895</v>
      </c>
      <c r="H8424" s="21">
        <v>1046.67</v>
      </c>
    </row>
    <row r="8425" spans="1:8" customFormat="1" x14ac:dyDescent="0.25">
      <c r="A8425" t="str">
        <f>"762042"</f>
        <v>762042</v>
      </c>
      <c r="B8425" t="s">
        <v>9414</v>
      </c>
      <c r="C8425" t="s">
        <v>263</v>
      </c>
      <c r="D8425" s="21" t="s">
        <v>34</v>
      </c>
      <c r="E8425" s="21" t="s">
        <v>71</v>
      </c>
      <c r="F8425">
        <v>9760374</v>
      </c>
      <c r="G8425" t="s">
        <v>6867</v>
      </c>
      <c r="H8425" s="21">
        <v>1046.67</v>
      </c>
    </row>
    <row r="8426" spans="1:8" customFormat="1" x14ac:dyDescent="0.25">
      <c r="A8426" t="str">
        <f>"577384"</f>
        <v>577384</v>
      </c>
      <c r="B8426" t="s">
        <v>7778</v>
      </c>
      <c r="C8426" t="s">
        <v>328</v>
      </c>
      <c r="D8426" s="21" t="s">
        <v>34</v>
      </c>
      <c r="E8426" s="21" t="s">
        <v>254</v>
      </c>
      <c r="F8426">
        <v>6570008</v>
      </c>
      <c r="G8426" t="s">
        <v>899</v>
      </c>
      <c r="H8426" s="21">
        <v>1046.67</v>
      </c>
    </row>
    <row r="8427" spans="1:8" customFormat="1" x14ac:dyDescent="0.25">
      <c r="A8427" t="str">
        <f>"615521"</f>
        <v>615521</v>
      </c>
      <c r="B8427" t="s">
        <v>10064</v>
      </c>
      <c r="C8427" t="s">
        <v>169</v>
      </c>
      <c r="D8427" s="21" t="s">
        <v>34</v>
      </c>
      <c r="E8427" s="21" t="s">
        <v>71</v>
      </c>
      <c r="F8427">
        <v>9140174</v>
      </c>
      <c r="G8427" t="s">
        <v>26738</v>
      </c>
      <c r="H8427" s="21">
        <v>1046.67</v>
      </c>
    </row>
    <row r="8428" spans="1:8" customFormat="1" x14ac:dyDescent="0.25">
      <c r="A8428" t="str">
        <f>"915361"</f>
        <v>915361</v>
      </c>
      <c r="B8428" t="s">
        <v>8420</v>
      </c>
      <c r="C8428" t="s">
        <v>62</v>
      </c>
      <c r="D8428" s="21" t="s">
        <v>34</v>
      </c>
      <c r="E8428" s="21" t="s">
        <v>71</v>
      </c>
      <c r="F8428">
        <v>8911064</v>
      </c>
      <c r="G8428" t="s">
        <v>2209</v>
      </c>
      <c r="H8428" s="21">
        <v>1046.67</v>
      </c>
    </row>
    <row r="8429" spans="1:8" customFormat="1" x14ac:dyDescent="0.25">
      <c r="A8429" t="str">
        <f>"808626"</f>
        <v>808626</v>
      </c>
      <c r="B8429" t="s">
        <v>8162</v>
      </c>
      <c r="C8429" t="s">
        <v>124</v>
      </c>
      <c r="D8429" s="21" t="s">
        <v>34</v>
      </c>
      <c r="E8429" s="21" t="s">
        <v>71</v>
      </c>
      <c r="F8429">
        <v>7800106</v>
      </c>
      <c r="G8429" t="s">
        <v>2466</v>
      </c>
      <c r="H8429" s="21">
        <v>1046.67</v>
      </c>
    </row>
    <row r="8430" spans="1:8" customFormat="1" x14ac:dyDescent="0.25">
      <c r="A8430" t="str">
        <f>"272612"</f>
        <v>272612</v>
      </c>
      <c r="B8430" t="s">
        <v>6288</v>
      </c>
      <c r="C8430" t="s">
        <v>249</v>
      </c>
      <c r="D8430" s="21" t="s">
        <v>34</v>
      </c>
      <c r="E8430" s="21" t="s">
        <v>35</v>
      </c>
      <c r="F8430">
        <v>9270089</v>
      </c>
      <c r="G8430" t="s">
        <v>1009</v>
      </c>
      <c r="H8430" s="21">
        <v>1046.67</v>
      </c>
    </row>
    <row r="8431" spans="1:8" customFormat="1" x14ac:dyDescent="0.25">
      <c r="A8431" t="str">
        <f>"2714348"</f>
        <v>2714348</v>
      </c>
      <c r="B8431" t="s">
        <v>8155</v>
      </c>
      <c r="C8431" t="s">
        <v>65</v>
      </c>
      <c r="D8431" s="21" t="s">
        <v>34</v>
      </c>
      <c r="E8431" s="21" t="s">
        <v>35</v>
      </c>
      <c r="F8431">
        <v>9270089</v>
      </c>
      <c r="G8431" t="s">
        <v>1009</v>
      </c>
      <c r="H8431" s="21">
        <v>1046.67</v>
      </c>
    </row>
    <row r="8432" spans="1:8" customFormat="1" x14ac:dyDescent="0.25">
      <c r="A8432" t="str">
        <f>"7633553"</f>
        <v>7633553</v>
      </c>
      <c r="B8432" t="s">
        <v>11193</v>
      </c>
      <c r="C8432" t="s">
        <v>239</v>
      </c>
      <c r="D8432" s="21" t="s">
        <v>34</v>
      </c>
      <c r="E8432" s="21" t="s">
        <v>71</v>
      </c>
      <c r="F8432">
        <v>9760168</v>
      </c>
      <c r="G8432" t="s">
        <v>179</v>
      </c>
      <c r="H8432" s="21">
        <v>1046.67</v>
      </c>
    </row>
    <row r="8433" spans="1:8" customFormat="1" x14ac:dyDescent="0.25">
      <c r="A8433" t="str">
        <f>"724250"</f>
        <v>724250</v>
      </c>
      <c r="B8433" t="s">
        <v>7560</v>
      </c>
      <c r="C8433" t="s">
        <v>2907</v>
      </c>
      <c r="D8433" s="21" t="s">
        <v>34</v>
      </c>
      <c r="E8433" s="21" t="s">
        <v>254</v>
      </c>
      <c r="F8433">
        <v>12720104</v>
      </c>
      <c r="G8433" t="s">
        <v>224</v>
      </c>
      <c r="H8433" s="21">
        <v>1046.67</v>
      </c>
    </row>
    <row r="8434" spans="1:8" customFormat="1" x14ac:dyDescent="0.25">
      <c r="A8434" t="str">
        <f>"8012580"</f>
        <v>8012580</v>
      </c>
      <c r="B8434" t="s">
        <v>9821</v>
      </c>
      <c r="C8434" t="s">
        <v>784</v>
      </c>
      <c r="D8434" s="21" t="s">
        <v>34</v>
      </c>
      <c r="E8434" s="21" t="s">
        <v>71</v>
      </c>
      <c r="F8434">
        <v>7800139</v>
      </c>
      <c r="G8434" t="s">
        <v>6694</v>
      </c>
      <c r="H8434" s="21">
        <v>1046.67</v>
      </c>
    </row>
    <row r="8435" spans="1:8" customFormat="1" x14ac:dyDescent="0.25">
      <c r="A8435" t="str">
        <f>"5313252"</f>
        <v>5313252</v>
      </c>
      <c r="B8435" t="s">
        <v>6968</v>
      </c>
      <c r="C8435" t="s">
        <v>528</v>
      </c>
      <c r="D8435" s="21" t="s">
        <v>34</v>
      </c>
      <c r="E8435" s="21" t="s">
        <v>71</v>
      </c>
      <c r="F8435">
        <v>12530016</v>
      </c>
      <c r="G8435" t="s">
        <v>2069</v>
      </c>
      <c r="H8435" s="21">
        <v>1046.67</v>
      </c>
    </row>
    <row r="8436" spans="1:8" customFormat="1" x14ac:dyDescent="0.25">
      <c r="A8436" t="str">
        <f>"5961319"</f>
        <v>5961319</v>
      </c>
      <c r="B8436" t="s">
        <v>8847</v>
      </c>
      <c r="C8436" t="s">
        <v>8848</v>
      </c>
      <c r="D8436" s="21" t="s">
        <v>34</v>
      </c>
      <c r="E8436" s="21" t="s">
        <v>35</v>
      </c>
      <c r="F8436">
        <v>7590204</v>
      </c>
      <c r="G8436" t="s">
        <v>696</v>
      </c>
      <c r="H8436" s="21">
        <v>1046.67</v>
      </c>
    </row>
    <row r="8437" spans="1:8" customFormat="1" x14ac:dyDescent="0.25">
      <c r="A8437" t="str">
        <f>"744235"</f>
        <v>744235</v>
      </c>
      <c r="B8437" t="s">
        <v>10185</v>
      </c>
      <c r="C8437" t="s">
        <v>144</v>
      </c>
      <c r="D8437" s="21" t="s">
        <v>34</v>
      </c>
      <c r="E8437" s="21" t="s">
        <v>35</v>
      </c>
      <c r="F8437">
        <v>1740063</v>
      </c>
      <c r="G8437" t="s">
        <v>9745</v>
      </c>
      <c r="H8437" s="21">
        <v>1046.67</v>
      </c>
    </row>
    <row r="8438" spans="1:8" customFormat="1" x14ac:dyDescent="0.25">
      <c r="A8438" t="str">
        <f>"5613080"</f>
        <v>5613080</v>
      </c>
      <c r="B8438" t="s">
        <v>2851</v>
      </c>
      <c r="C8438" t="s">
        <v>55</v>
      </c>
      <c r="D8438" s="21" t="s">
        <v>34</v>
      </c>
      <c r="E8438" s="21" t="s">
        <v>71</v>
      </c>
      <c r="F8438">
        <v>11320031</v>
      </c>
      <c r="G8438" t="s">
        <v>5237</v>
      </c>
      <c r="H8438" s="21">
        <v>1046.67</v>
      </c>
    </row>
    <row r="8439" spans="1:8" customFormat="1" x14ac:dyDescent="0.25">
      <c r="A8439" t="str">
        <f>"2814132"</f>
        <v>2814132</v>
      </c>
      <c r="B8439" t="s">
        <v>2576</v>
      </c>
      <c r="C8439" t="s">
        <v>139</v>
      </c>
      <c r="D8439" s="21" t="s">
        <v>34</v>
      </c>
      <c r="E8439" s="21" t="s">
        <v>35</v>
      </c>
      <c r="F8439">
        <v>4280322</v>
      </c>
      <c r="G8439" t="s">
        <v>265</v>
      </c>
      <c r="H8439" s="21">
        <v>1046.42</v>
      </c>
    </row>
    <row r="8440" spans="1:8" customFormat="1" x14ac:dyDescent="0.25">
      <c r="A8440" t="str">
        <f>"147814"</f>
        <v>147814</v>
      </c>
      <c r="B8440" t="s">
        <v>8230</v>
      </c>
      <c r="C8440" t="s">
        <v>209</v>
      </c>
      <c r="D8440" s="21" t="s">
        <v>34</v>
      </c>
      <c r="E8440" s="21" t="s">
        <v>71</v>
      </c>
      <c r="F8440">
        <v>9610093</v>
      </c>
      <c r="G8440" t="s">
        <v>8231</v>
      </c>
      <c r="H8440" s="21">
        <v>1046.3</v>
      </c>
    </row>
    <row r="8441" spans="1:8" customFormat="1" x14ac:dyDescent="0.25">
      <c r="A8441" t="str">
        <f>"624387"</f>
        <v>624387</v>
      </c>
      <c r="B8441" t="s">
        <v>8388</v>
      </c>
      <c r="C8441" t="s">
        <v>528</v>
      </c>
      <c r="D8441" s="21" t="s">
        <v>34</v>
      </c>
      <c r="E8441" s="21" t="s">
        <v>254</v>
      </c>
      <c r="F8441">
        <v>7620005</v>
      </c>
      <c r="G8441" t="s">
        <v>200</v>
      </c>
      <c r="H8441" s="21">
        <v>1046.29</v>
      </c>
    </row>
    <row r="8442" spans="1:8" customFormat="1" x14ac:dyDescent="0.25">
      <c r="A8442" t="str">
        <f>"4446439"</f>
        <v>4446439</v>
      </c>
      <c r="B8442" t="s">
        <v>8722</v>
      </c>
      <c r="C8442" t="s">
        <v>147</v>
      </c>
      <c r="D8442" s="21" t="s">
        <v>34</v>
      </c>
      <c r="E8442" s="21" t="s">
        <v>71</v>
      </c>
      <c r="F8442">
        <v>12440004</v>
      </c>
      <c r="G8442" t="s">
        <v>26530</v>
      </c>
      <c r="H8442" s="21">
        <v>1046.17</v>
      </c>
    </row>
    <row r="8443" spans="1:8" customFormat="1" x14ac:dyDescent="0.25">
      <c r="A8443" t="str">
        <f>"42973"</f>
        <v>42973</v>
      </c>
      <c r="B8443" t="s">
        <v>8776</v>
      </c>
      <c r="C8443" t="s">
        <v>772</v>
      </c>
      <c r="D8443" s="21" t="s">
        <v>34</v>
      </c>
      <c r="E8443" s="21" t="s">
        <v>1089</v>
      </c>
      <c r="F8443">
        <v>1420006</v>
      </c>
      <c r="G8443" t="s">
        <v>6019</v>
      </c>
      <c r="H8443" s="21">
        <v>1046.17</v>
      </c>
    </row>
    <row r="8444" spans="1:8" customFormat="1" x14ac:dyDescent="0.25">
      <c r="A8444" t="str">
        <f>"3411214"</f>
        <v>3411214</v>
      </c>
      <c r="B8444" t="s">
        <v>8465</v>
      </c>
      <c r="C8444" t="s">
        <v>119</v>
      </c>
      <c r="D8444" s="21" t="s">
        <v>34</v>
      </c>
      <c r="E8444" s="21" t="s">
        <v>35</v>
      </c>
      <c r="F8444">
        <v>11340066</v>
      </c>
      <c r="G8444" t="s">
        <v>8390</v>
      </c>
      <c r="H8444" s="21">
        <v>1046.17</v>
      </c>
    </row>
    <row r="8445" spans="1:8" customFormat="1" x14ac:dyDescent="0.25">
      <c r="A8445" t="str">
        <f>"373716"</f>
        <v>373716</v>
      </c>
      <c r="B8445" t="s">
        <v>8437</v>
      </c>
      <c r="C8445" t="s">
        <v>33</v>
      </c>
      <c r="D8445" s="21" t="s">
        <v>34</v>
      </c>
      <c r="E8445" s="21" t="s">
        <v>71</v>
      </c>
      <c r="F8445">
        <v>4370132</v>
      </c>
      <c r="G8445" t="s">
        <v>2262</v>
      </c>
      <c r="H8445" s="21">
        <v>1046.17</v>
      </c>
    </row>
    <row r="8446" spans="1:8" customFormat="1" x14ac:dyDescent="0.25">
      <c r="A8446" t="str">
        <f>"7625360"</f>
        <v>7625360</v>
      </c>
      <c r="B8446" t="s">
        <v>8970</v>
      </c>
      <c r="C8446" t="s">
        <v>33</v>
      </c>
      <c r="D8446" s="21" t="s">
        <v>34</v>
      </c>
      <c r="E8446" s="21" t="s">
        <v>35</v>
      </c>
      <c r="F8446">
        <v>9760018</v>
      </c>
      <c r="G8446" t="s">
        <v>117</v>
      </c>
      <c r="H8446" s="21">
        <v>1046.17</v>
      </c>
    </row>
    <row r="8447" spans="1:8" customFormat="1" x14ac:dyDescent="0.25">
      <c r="A8447" t="str">
        <f>"4412655"</f>
        <v>4412655</v>
      </c>
      <c r="B8447" t="s">
        <v>7795</v>
      </c>
      <c r="C8447" t="s">
        <v>3934</v>
      </c>
      <c r="D8447" s="21" t="s">
        <v>34</v>
      </c>
      <c r="E8447" s="21" t="s">
        <v>35</v>
      </c>
      <c r="F8447">
        <v>12850057</v>
      </c>
      <c r="G8447" t="s">
        <v>1291</v>
      </c>
      <c r="H8447" s="21">
        <v>1046.17</v>
      </c>
    </row>
    <row r="8448" spans="1:8" customFormat="1" x14ac:dyDescent="0.25">
      <c r="A8448" t="str">
        <f>"457776"</f>
        <v>457776</v>
      </c>
      <c r="B8448" t="s">
        <v>5497</v>
      </c>
      <c r="C8448" t="s">
        <v>60</v>
      </c>
      <c r="D8448" s="21" t="s">
        <v>34</v>
      </c>
      <c r="E8448" s="21" t="s">
        <v>71</v>
      </c>
      <c r="F8448">
        <v>4450753</v>
      </c>
      <c r="G8448" t="s">
        <v>8786</v>
      </c>
      <c r="H8448" s="21">
        <v>1046.17</v>
      </c>
    </row>
    <row r="8449" spans="1:8" customFormat="1" x14ac:dyDescent="0.25">
      <c r="A8449" t="str">
        <f>"4925644"</f>
        <v>4925644</v>
      </c>
      <c r="B8449" t="s">
        <v>7443</v>
      </c>
      <c r="C8449" t="s">
        <v>528</v>
      </c>
      <c r="D8449" s="21" t="s">
        <v>34</v>
      </c>
      <c r="E8449" s="21" t="s">
        <v>71</v>
      </c>
      <c r="F8449">
        <v>3350014</v>
      </c>
      <c r="G8449" t="s">
        <v>1078</v>
      </c>
      <c r="H8449" s="21">
        <v>1046.17</v>
      </c>
    </row>
    <row r="8450" spans="1:8" customFormat="1" x14ac:dyDescent="0.25">
      <c r="A8450" t="str">
        <f>"9521885"</f>
        <v>9521885</v>
      </c>
      <c r="B8450" t="s">
        <v>3312</v>
      </c>
      <c r="C8450" t="s">
        <v>239</v>
      </c>
      <c r="D8450" s="21" t="s">
        <v>34</v>
      </c>
      <c r="E8450" s="21" t="s">
        <v>254</v>
      </c>
      <c r="F8450">
        <v>8950570</v>
      </c>
      <c r="G8450" t="s">
        <v>3226</v>
      </c>
      <c r="H8450" s="21">
        <v>1046.05</v>
      </c>
    </row>
    <row r="8451" spans="1:8" customFormat="1" x14ac:dyDescent="0.25">
      <c r="A8451" t="str">
        <f>"351635"</f>
        <v>351635</v>
      </c>
      <c r="B8451" t="s">
        <v>8968</v>
      </c>
      <c r="C8451" t="s">
        <v>263</v>
      </c>
      <c r="D8451" s="21" t="s">
        <v>34</v>
      </c>
      <c r="E8451" s="21" t="s">
        <v>254</v>
      </c>
      <c r="F8451">
        <v>3350113</v>
      </c>
      <c r="G8451" t="s">
        <v>7631</v>
      </c>
      <c r="H8451" s="21">
        <v>1046</v>
      </c>
    </row>
    <row r="8452" spans="1:8" customFormat="1" x14ac:dyDescent="0.25">
      <c r="A8452" t="str">
        <f>"5931321"</f>
        <v>5931321</v>
      </c>
      <c r="B8452" t="s">
        <v>9155</v>
      </c>
      <c r="C8452" t="s">
        <v>4623</v>
      </c>
      <c r="D8452" s="21" t="s">
        <v>34</v>
      </c>
      <c r="E8452" s="21" t="s">
        <v>35</v>
      </c>
      <c r="F8452">
        <v>7590112</v>
      </c>
      <c r="G8452" t="s">
        <v>3534</v>
      </c>
      <c r="H8452" s="21">
        <v>1045.92</v>
      </c>
    </row>
    <row r="8453" spans="1:8" customFormat="1" x14ac:dyDescent="0.25">
      <c r="A8453" t="str">
        <f>"9414173"</f>
        <v>9414173</v>
      </c>
      <c r="B8453" t="s">
        <v>8975</v>
      </c>
      <c r="C8453" t="s">
        <v>198</v>
      </c>
      <c r="D8453" s="21" t="s">
        <v>34</v>
      </c>
      <c r="E8453" s="21" t="s">
        <v>35</v>
      </c>
      <c r="F8453">
        <v>8941180</v>
      </c>
      <c r="G8453" t="s">
        <v>5544</v>
      </c>
      <c r="H8453" s="21">
        <v>1045.8</v>
      </c>
    </row>
    <row r="8454" spans="1:8" customFormat="1" x14ac:dyDescent="0.25">
      <c r="A8454" t="str">
        <f>"509828"</f>
        <v>509828</v>
      </c>
      <c r="B8454" t="s">
        <v>20872</v>
      </c>
      <c r="C8454" t="s">
        <v>486</v>
      </c>
      <c r="D8454" s="21" t="s">
        <v>34</v>
      </c>
      <c r="E8454" s="21" t="s">
        <v>35</v>
      </c>
      <c r="F8454">
        <v>9500087</v>
      </c>
      <c r="G8454" t="s">
        <v>12569</v>
      </c>
      <c r="H8454" s="21">
        <v>1045.79</v>
      </c>
    </row>
    <row r="8455" spans="1:8" customFormat="1" x14ac:dyDescent="0.25">
      <c r="A8455" t="str">
        <f>"19866"</f>
        <v>19866</v>
      </c>
      <c r="B8455" t="s">
        <v>12687</v>
      </c>
      <c r="C8455" t="s">
        <v>388</v>
      </c>
      <c r="D8455" s="21" t="s">
        <v>34</v>
      </c>
      <c r="E8455" s="21" t="s">
        <v>35</v>
      </c>
      <c r="F8455">
        <v>10190133</v>
      </c>
      <c r="G8455" t="s">
        <v>13392</v>
      </c>
      <c r="H8455" s="21">
        <v>1045.67</v>
      </c>
    </row>
    <row r="8456" spans="1:8" customFormat="1" x14ac:dyDescent="0.25">
      <c r="A8456" t="str">
        <f>"4428258"</f>
        <v>4428258</v>
      </c>
      <c r="B8456" t="s">
        <v>1451</v>
      </c>
      <c r="C8456" t="s">
        <v>462</v>
      </c>
      <c r="D8456" s="21" t="s">
        <v>34</v>
      </c>
      <c r="E8456" s="21" t="s">
        <v>71</v>
      </c>
      <c r="F8456">
        <v>12440032</v>
      </c>
      <c r="G8456" t="s">
        <v>9296</v>
      </c>
      <c r="H8456" s="21">
        <v>1045.67</v>
      </c>
    </row>
    <row r="8457" spans="1:8" customFormat="1" x14ac:dyDescent="0.25">
      <c r="A8457" t="str">
        <f>"024458"</f>
        <v>024458</v>
      </c>
      <c r="B8457" t="s">
        <v>3425</v>
      </c>
      <c r="C8457" t="s">
        <v>239</v>
      </c>
      <c r="D8457" s="21" t="s">
        <v>34</v>
      </c>
      <c r="E8457" s="21" t="s">
        <v>254</v>
      </c>
      <c r="F8457">
        <v>7800011</v>
      </c>
      <c r="G8457" t="s">
        <v>2253</v>
      </c>
      <c r="H8457" s="21">
        <v>1045.67</v>
      </c>
    </row>
    <row r="8458" spans="1:8" customFormat="1" x14ac:dyDescent="0.25">
      <c r="A8458" t="str">
        <f>"608718"</f>
        <v>608718</v>
      </c>
      <c r="B8458" t="s">
        <v>4669</v>
      </c>
      <c r="C8458" t="s">
        <v>7835</v>
      </c>
      <c r="D8458" s="21" t="s">
        <v>34</v>
      </c>
      <c r="E8458" s="21" t="s">
        <v>71</v>
      </c>
      <c r="F8458">
        <v>7600154</v>
      </c>
      <c r="G8458" t="s">
        <v>7836</v>
      </c>
      <c r="H8458" s="21">
        <v>1045.67</v>
      </c>
    </row>
    <row r="8459" spans="1:8" customFormat="1" x14ac:dyDescent="0.25">
      <c r="A8459" t="str">
        <f>"62524"</f>
        <v>62524</v>
      </c>
      <c r="B8459" t="s">
        <v>8607</v>
      </c>
      <c r="C8459" t="s">
        <v>822</v>
      </c>
      <c r="D8459" s="21" t="s">
        <v>34</v>
      </c>
      <c r="E8459" s="21" t="s">
        <v>254</v>
      </c>
      <c r="F8459">
        <v>7620096</v>
      </c>
      <c r="G8459" t="s">
        <v>5829</v>
      </c>
      <c r="H8459" s="21">
        <v>1045.67</v>
      </c>
    </row>
    <row r="8460" spans="1:8" customFormat="1" x14ac:dyDescent="0.25">
      <c r="A8460" t="str">
        <f>"252656"</f>
        <v>252656</v>
      </c>
      <c r="B8460" t="s">
        <v>8859</v>
      </c>
      <c r="C8460" t="s">
        <v>598</v>
      </c>
      <c r="D8460" s="21" t="s">
        <v>34</v>
      </c>
      <c r="E8460" s="21" t="s">
        <v>1089</v>
      </c>
      <c r="F8460">
        <v>2250181</v>
      </c>
      <c r="G8460" t="s">
        <v>494</v>
      </c>
      <c r="H8460" s="21">
        <v>1045.67</v>
      </c>
    </row>
    <row r="8461" spans="1:8" customFormat="1" x14ac:dyDescent="0.25">
      <c r="A8461" t="str">
        <f>"548004"</f>
        <v>548004</v>
      </c>
      <c r="B8461" t="s">
        <v>1593</v>
      </c>
      <c r="C8461" t="s">
        <v>275</v>
      </c>
      <c r="D8461" s="21" t="s">
        <v>34</v>
      </c>
      <c r="E8461" s="21" t="s">
        <v>35</v>
      </c>
      <c r="F8461">
        <v>6540082</v>
      </c>
      <c r="G8461" t="s">
        <v>9816</v>
      </c>
      <c r="H8461" s="21">
        <v>1045.67</v>
      </c>
    </row>
    <row r="8462" spans="1:8" customFormat="1" x14ac:dyDescent="0.25">
      <c r="A8462" t="str">
        <f>"2510265"</f>
        <v>2510265</v>
      </c>
      <c r="B8462" t="s">
        <v>9408</v>
      </c>
      <c r="C8462" t="s">
        <v>926</v>
      </c>
      <c r="D8462" s="21" t="s">
        <v>34</v>
      </c>
      <c r="E8462" s="21" t="s">
        <v>71</v>
      </c>
      <c r="F8462">
        <v>2250138</v>
      </c>
      <c r="G8462" t="s">
        <v>4094</v>
      </c>
      <c r="H8462" s="21">
        <v>1045.67</v>
      </c>
    </row>
    <row r="8463" spans="1:8" customFormat="1" x14ac:dyDescent="0.25">
      <c r="A8463" t="str">
        <f>"213551"</f>
        <v>213551</v>
      </c>
      <c r="B8463" t="s">
        <v>10082</v>
      </c>
      <c r="C8463" t="s">
        <v>10083</v>
      </c>
      <c r="D8463" s="21" t="s">
        <v>34</v>
      </c>
      <c r="E8463" s="21" t="s">
        <v>1089</v>
      </c>
      <c r="F8463">
        <v>2210029</v>
      </c>
      <c r="G8463" t="s">
        <v>6983</v>
      </c>
      <c r="H8463" s="21">
        <v>1045.67</v>
      </c>
    </row>
    <row r="8464" spans="1:8" customFormat="1" x14ac:dyDescent="0.25">
      <c r="A8464" t="str">
        <f>"7834278"</f>
        <v>7834278</v>
      </c>
      <c r="B8464" t="s">
        <v>3278</v>
      </c>
      <c r="C8464" t="s">
        <v>1665</v>
      </c>
      <c r="D8464" s="21" t="s">
        <v>34</v>
      </c>
      <c r="E8464" s="21" t="s">
        <v>1089</v>
      </c>
      <c r="F8464">
        <v>7620051</v>
      </c>
      <c r="G8464" t="s">
        <v>2741</v>
      </c>
      <c r="H8464" s="21">
        <v>1045.67</v>
      </c>
    </row>
    <row r="8465" spans="1:8" customFormat="1" x14ac:dyDescent="0.25">
      <c r="A8465" t="str">
        <f>"768625"</f>
        <v>768625</v>
      </c>
      <c r="B8465" t="s">
        <v>7921</v>
      </c>
      <c r="C8465" t="s">
        <v>415</v>
      </c>
      <c r="D8465" s="21" t="s">
        <v>34</v>
      </c>
      <c r="E8465" s="21" t="s">
        <v>71</v>
      </c>
      <c r="F8465">
        <v>6510018</v>
      </c>
      <c r="G8465" t="s">
        <v>3055</v>
      </c>
      <c r="H8465" s="21">
        <v>1045.55</v>
      </c>
    </row>
    <row r="8466" spans="1:8" customFormat="1" x14ac:dyDescent="0.25">
      <c r="A8466" t="str">
        <f>"9423041"</f>
        <v>9423041</v>
      </c>
      <c r="B8466" t="s">
        <v>10891</v>
      </c>
      <c r="C8466" t="s">
        <v>124</v>
      </c>
      <c r="D8466" s="21" t="s">
        <v>34</v>
      </c>
      <c r="E8466" s="21" t="s">
        <v>71</v>
      </c>
      <c r="F8466">
        <v>12530144</v>
      </c>
      <c r="G8466" t="s">
        <v>10892</v>
      </c>
      <c r="H8466" s="21">
        <v>1045.42</v>
      </c>
    </row>
    <row r="8467" spans="1:8" customFormat="1" x14ac:dyDescent="0.25">
      <c r="A8467" t="str">
        <f>"11627"</f>
        <v>11627</v>
      </c>
      <c r="B8467" t="s">
        <v>8529</v>
      </c>
      <c r="C8467" t="s">
        <v>8530</v>
      </c>
      <c r="D8467" s="21" t="s">
        <v>34</v>
      </c>
      <c r="E8467" s="21" t="s">
        <v>254</v>
      </c>
      <c r="F8467">
        <v>11110027</v>
      </c>
      <c r="G8467" t="s">
        <v>713</v>
      </c>
      <c r="H8467" s="21">
        <v>1045.3</v>
      </c>
    </row>
    <row r="8468" spans="1:8" customFormat="1" x14ac:dyDescent="0.25">
      <c r="A8468" t="str">
        <f>"16178"</f>
        <v>16178</v>
      </c>
      <c r="B8468" t="s">
        <v>2824</v>
      </c>
      <c r="C8468" t="s">
        <v>40</v>
      </c>
      <c r="D8468" s="21" t="s">
        <v>34</v>
      </c>
      <c r="E8468" s="21" t="s">
        <v>254</v>
      </c>
      <c r="F8468">
        <v>10160018</v>
      </c>
      <c r="G8468" t="s">
        <v>6900</v>
      </c>
      <c r="H8468" s="21">
        <v>1045.17</v>
      </c>
    </row>
    <row r="8469" spans="1:8" customFormat="1" x14ac:dyDescent="0.25">
      <c r="A8469" t="str">
        <f>"728823"</f>
        <v>728823</v>
      </c>
      <c r="B8469" t="s">
        <v>1099</v>
      </c>
      <c r="C8469" t="s">
        <v>598</v>
      </c>
      <c r="D8469" s="21" t="s">
        <v>34</v>
      </c>
      <c r="E8469" s="21" t="s">
        <v>254</v>
      </c>
      <c r="F8469">
        <v>12720104</v>
      </c>
      <c r="G8469" t="s">
        <v>224</v>
      </c>
      <c r="H8469" s="21">
        <v>1045.17</v>
      </c>
    </row>
    <row r="8470" spans="1:8" customFormat="1" x14ac:dyDescent="0.25">
      <c r="A8470" t="str">
        <f>"3514290"</f>
        <v>3514290</v>
      </c>
      <c r="B8470" t="s">
        <v>8558</v>
      </c>
      <c r="C8470" t="s">
        <v>130</v>
      </c>
      <c r="D8470" s="21" t="s">
        <v>34</v>
      </c>
      <c r="E8470" s="21" t="s">
        <v>254</v>
      </c>
      <c r="F8470">
        <v>3350060</v>
      </c>
      <c r="G8470" t="s">
        <v>38</v>
      </c>
      <c r="H8470" s="21">
        <v>1045.17</v>
      </c>
    </row>
    <row r="8471" spans="1:8" customFormat="1" x14ac:dyDescent="0.25">
      <c r="A8471" t="str">
        <f>"5427647"</f>
        <v>5427647</v>
      </c>
      <c r="B8471" t="s">
        <v>509</v>
      </c>
      <c r="C8471" t="s">
        <v>741</v>
      </c>
      <c r="D8471" s="21" t="s">
        <v>34</v>
      </c>
      <c r="E8471" s="21" t="s">
        <v>35</v>
      </c>
      <c r="F8471">
        <v>6540190</v>
      </c>
      <c r="G8471" t="s">
        <v>9727</v>
      </c>
      <c r="H8471" s="21">
        <v>1045.17</v>
      </c>
    </row>
    <row r="8472" spans="1:8" customFormat="1" x14ac:dyDescent="0.25">
      <c r="A8472" t="str">
        <f>"58915"</f>
        <v>58915</v>
      </c>
      <c r="B8472" t="s">
        <v>8526</v>
      </c>
      <c r="C8472" t="s">
        <v>1271</v>
      </c>
      <c r="D8472" s="21" t="s">
        <v>34</v>
      </c>
      <c r="E8472" s="21" t="s">
        <v>254</v>
      </c>
      <c r="F8472">
        <v>2580019</v>
      </c>
      <c r="G8472" t="s">
        <v>8527</v>
      </c>
      <c r="H8472" s="21">
        <v>1045.17</v>
      </c>
    </row>
    <row r="8473" spans="1:8" customFormat="1" x14ac:dyDescent="0.25">
      <c r="A8473" t="str">
        <f>"772561"</f>
        <v>772561</v>
      </c>
      <c r="B8473" t="s">
        <v>2405</v>
      </c>
      <c r="C8473" t="s">
        <v>412</v>
      </c>
      <c r="D8473" s="21" t="s">
        <v>34</v>
      </c>
      <c r="E8473" s="21" t="s">
        <v>71</v>
      </c>
      <c r="F8473">
        <v>8771304</v>
      </c>
      <c r="G8473" t="s">
        <v>5314</v>
      </c>
      <c r="H8473" s="21">
        <v>1045.17</v>
      </c>
    </row>
    <row r="8474" spans="1:8" customFormat="1" x14ac:dyDescent="0.25">
      <c r="A8474" t="str">
        <f>"3524168"</f>
        <v>3524168</v>
      </c>
      <c r="B8474" t="s">
        <v>1463</v>
      </c>
      <c r="C8474" t="s">
        <v>267</v>
      </c>
      <c r="D8474" s="21" t="s">
        <v>34</v>
      </c>
      <c r="E8474" s="21" t="s">
        <v>35</v>
      </c>
      <c r="F8474">
        <v>3350122</v>
      </c>
      <c r="G8474" t="s">
        <v>3069</v>
      </c>
      <c r="H8474" s="21">
        <v>1045.17</v>
      </c>
    </row>
    <row r="8475" spans="1:8" customFormat="1" x14ac:dyDescent="0.25">
      <c r="A8475" t="str">
        <f>"5324104"</f>
        <v>5324104</v>
      </c>
      <c r="B8475" t="s">
        <v>197</v>
      </c>
      <c r="C8475" t="s">
        <v>1803</v>
      </c>
      <c r="D8475" s="21" t="s">
        <v>34</v>
      </c>
      <c r="E8475" s="21" t="s">
        <v>35</v>
      </c>
      <c r="F8475">
        <v>12530061</v>
      </c>
      <c r="G8475" t="s">
        <v>9463</v>
      </c>
      <c r="H8475" s="21">
        <v>1044.92</v>
      </c>
    </row>
    <row r="8476" spans="1:8" customFormat="1" x14ac:dyDescent="0.25">
      <c r="A8476" t="str">
        <f>"7515927"</f>
        <v>7515927</v>
      </c>
      <c r="B8476" t="s">
        <v>4782</v>
      </c>
      <c r="C8476" t="s">
        <v>8680</v>
      </c>
      <c r="D8476" s="21" t="s">
        <v>34</v>
      </c>
      <c r="E8476" s="21" t="s">
        <v>35</v>
      </c>
      <c r="F8476">
        <v>8751061</v>
      </c>
      <c r="G8476" t="s">
        <v>26628</v>
      </c>
      <c r="H8476" s="21">
        <v>1044.92</v>
      </c>
    </row>
    <row r="8477" spans="1:8" customFormat="1" x14ac:dyDescent="0.25">
      <c r="A8477" t="str">
        <f>"7840"</f>
        <v>7840</v>
      </c>
      <c r="B8477" t="s">
        <v>8229</v>
      </c>
      <c r="C8477" t="s">
        <v>484</v>
      </c>
      <c r="D8477" s="21" t="s">
        <v>34</v>
      </c>
      <c r="E8477" s="21" t="s">
        <v>71</v>
      </c>
      <c r="F8477">
        <v>8780002</v>
      </c>
      <c r="G8477" t="s">
        <v>2196</v>
      </c>
      <c r="H8477" s="21">
        <v>1044.92</v>
      </c>
    </row>
    <row r="8478" spans="1:8" customFormat="1" x14ac:dyDescent="0.25">
      <c r="A8478" t="str">
        <f>"503205"</f>
        <v>503205</v>
      </c>
      <c r="B8478" t="s">
        <v>8673</v>
      </c>
      <c r="C8478" t="s">
        <v>275</v>
      </c>
      <c r="D8478" s="21" t="s">
        <v>34</v>
      </c>
      <c r="E8478" s="21" t="s">
        <v>35</v>
      </c>
      <c r="F8478">
        <v>9500121</v>
      </c>
      <c r="G8478" t="s">
        <v>7360</v>
      </c>
      <c r="H8478" s="21">
        <v>1044.8</v>
      </c>
    </row>
    <row r="8479" spans="1:8" customFormat="1" x14ac:dyDescent="0.25">
      <c r="A8479" t="str">
        <f>"534566"</f>
        <v>534566</v>
      </c>
      <c r="B8479" t="s">
        <v>9455</v>
      </c>
      <c r="C8479" t="s">
        <v>412</v>
      </c>
      <c r="D8479" s="21" t="s">
        <v>34</v>
      </c>
      <c r="E8479" s="21" t="s">
        <v>1089</v>
      </c>
      <c r="F8479">
        <v>12530035</v>
      </c>
      <c r="G8479" t="s">
        <v>1663</v>
      </c>
      <c r="H8479" s="21">
        <v>1044.67</v>
      </c>
    </row>
    <row r="8480" spans="1:8" customFormat="1" x14ac:dyDescent="0.25">
      <c r="A8480" t="str">
        <f>"956117"</f>
        <v>956117</v>
      </c>
      <c r="B8480" t="s">
        <v>8980</v>
      </c>
      <c r="C8480" t="s">
        <v>3905</v>
      </c>
      <c r="D8480" s="21" t="s">
        <v>34</v>
      </c>
      <c r="E8480" s="21" t="s">
        <v>254</v>
      </c>
      <c r="F8480">
        <v>8951268</v>
      </c>
      <c r="G8480" t="s">
        <v>8981</v>
      </c>
      <c r="H8480" s="21">
        <v>1044.67</v>
      </c>
    </row>
    <row r="8481" spans="1:8" customFormat="1" x14ac:dyDescent="0.25">
      <c r="A8481" t="str">
        <f>"55979"</f>
        <v>55979</v>
      </c>
      <c r="B8481" t="s">
        <v>8703</v>
      </c>
      <c r="C8481" t="s">
        <v>6285</v>
      </c>
      <c r="D8481" s="21" t="s">
        <v>34</v>
      </c>
      <c r="E8481" s="21" t="s">
        <v>254</v>
      </c>
      <c r="F8481">
        <v>6550020</v>
      </c>
      <c r="G8481" t="s">
        <v>7526</v>
      </c>
      <c r="H8481" s="21">
        <v>1044.67</v>
      </c>
    </row>
    <row r="8482" spans="1:8" customFormat="1" x14ac:dyDescent="0.25">
      <c r="A8482" t="str">
        <f>"695061"</f>
        <v>695061</v>
      </c>
      <c r="B8482" t="s">
        <v>5915</v>
      </c>
      <c r="C8482" t="s">
        <v>1588</v>
      </c>
      <c r="D8482" s="21" t="s">
        <v>34</v>
      </c>
      <c r="E8482" s="21" t="s">
        <v>71</v>
      </c>
      <c r="F8482">
        <v>1380296</v>
      </c>
      <c r="G8482" t="s">
        <v>2810</v>
      </c>
      <c r="H8482" s="21">
        <v>1044.67</v>
      </c>
    </row>
    <row r="8483" spans="1:8" customFormat="1" x14ac:dyDescent="0.25">
      <c r="A8483" t="str">
        <f>"7623775"</f>
        <v>7623775</v>
      </c>
      <c r="B8483" t="s">
        <v>9923</v>
      </c>
      <c r="C8483" t="s">
        <v>169</v>
      </c>
      <c r="D8483" s="21" t="s">
        <v>34</v>
      </c>
      <c r="E8483" s="21" t="s">
        <v>35</v>
      </c>
      <c r="F8483">
        <v>9760034</v>
      </c>
      <c r="G8483" t="s">
        <v>1242</v>
      </c>
      <c r="H8483" s="21">
        <v>1044.67</v>
      </c>
    </row>
    <row r="8484" spans="1:8" customFormat="1" x14ac:dyDescent="0.25">
      <c r="A8484" t="str">
        <f>"7621859"</f>
        <v>7621859</v>
      </c>
      <c r="B8484" t="s">
        <v>8883</v>
      </c>
      <c r="C8484" t="s">
        <v>484</v>
      </c>
      <c r="D8484" s="21" t="s">
        <v>34</v>
      </c>
      <c r="E8484" s="21" t="s">
        <v>35</v>
      </c>
      <c r="F8484">
        <v>9760382</v>
      </c>
      <c r="G8484" t="s">
        <v>2737</v>
      </c>
      <c r="H8484" s="21">
        <v>1044.67</v>
      </c>
    </row>
    <row r="8485" spans="1:8" customFormat="1" x14ac:dyDescent="0.25">
      <c r="A8485" t="str">
        <f>"442583"</f>
        <v>442583</v>
      </c>
      <c r="B8485" t="s">
        <v>8114</v>
      </c>
      <c r="C8485" t="s">
        <v>267</v>
      </c>
      <c r="D8485" s="21" t="s">
        <v>34</v>
      </c>
      <c r="E8485" s="21" t="s">
        <v>1089</v>
      </c>
      <c r="F8485">
        <v>12440084</v>
      </c>
      <c r="G8485" t="s">
        <v>1014</v>
      </c>
      <c r="H8485" s="21">
        <v>1044.67</v>
      </c>
    </row>
    <row r="8486" spans="1:8" customFormat="1" x14ac:dyDescent="0.25">
      <c r="A8486" t="str">
        <f>"4081"</f>
        <v>4081</v>
      </c>
      <c r="B8486" t="s">
        <v>9542</v>
      </c>
      <c r="C8486" t="s">
        <v>55</v>
      </c>
      <c r="D8486" s="21" t="s">
        <v>34</v>
      </c>
      <c r="E8486" s="21" t="s">
        <v>35</v>
      </c>
      <c r="F8486">
        <v>10330077</v>
      </c>
      <c r="G8486" t="s">
        <v>4274</v>
      </c>
      <c r="H8486" s="21">
        <v>1044.67</v>
      </c>
    </row>
    <row r="8487" spans="1:8" customFormat="1" x14ac:dyDescent="0.25">
      <c r="A8487" t="str">
        <f>"7622014"</f>
        <v>7622014</v>
      </c>
      <c r="B8487" t="s">
        <v>7131</v>
      </c>
      <c r="C8487" t="s">
        <v>169</v>
      </c>
      <c r="D8487" s="21" t="s">
        <v>34</v>
      </c>
      <c r="E8487" s="21" t="s">
        <v>35</v>
      </c>
      <c r="F8487">
        <v>9760157</v>
      </c>
      <c r="G8487" t="s">
        <v>3412</v>
      </c>
      <c r="H8487" s="21">
        <v>1044.67</v>
      </c>
    </row>
    <row r="8488" spans="1:8" customFormat="1" x14ac:dyDescent="0.25">
      <c r="A8488" t="str">
        <f>"4421461"</f>
        <v>4421461</v>
      </c>
      <c r="B8488" t="s">
        <v>9863</v>
      </c>
      <c r="C8488" t="s">
        <v>1620</v>
      </c>
      <c r="D8488" s="21" t="s">
        <v>34</v>
      </c>
      <c r="E8488" s="21" t="s">
        <v>71</v>
      </c>
      <c r="F8488">
        <v>12440038</v>
      </c>
      <c r="G8488" t="s">
        <v>2057</v>
      </c>
      <c r="H8488" s="21">
        <v>1044.42</v>
      </c>
    </row>
    <row r="8489" spans="1:8" customFormat="1" x14ac:dyDescent="0.25">
      <c r="A8489" t="str">
        <f>"373991"</f>
        <v>373991</v>
      </c>
      <c r="B8489" t="s">
        <v>7697</v>
      </c>
      <c r="C8489" t="s">
        <v>244</v>
      </c>
      <c r="D8489" s="21" t="s">
        <v>34</v>
      </c>
      <c r="E8489" s="21" t="s">
        <v>35</v>
      </c>
      <c r="F8489">
        <v>4370183</v>
      </c>
      <c r="G8489" t="s">
        <v>231</v>
      </c>
      <c r="H8489" s="21">
        <v>1044.42</v>
      </c>
    </row>
    <row r="8490" spans="1:8" customFormat="1" x14ac:dyDescent="0.25">
      <c r="A8490" t="str">
        <f>"5429764"</f>
        <v>5429764</v>
      </c>
      <c r="B8490" t="s">
        <v>10428</v>
      </c>
      <c r="C8490" t="s">
        <v>60</v>
      </c>
      <c r="D8490" s="21" t="s">
        <v>34</v>
      </c>
      <c r="E8490" s="21" t="s">
        <v>71</v>
      </c>
      <c r="F8490">
        <v>6540056</v>
      </c>
      <c r="G8490" t="s">
        <v>1136</v>
      </c>
      <c r="H8490" s="21">
        <v>1044.42</v>
      </c>
    </row>
    <row r="8491" spans="1:8" customFormat="1" x14ac:dyDescent="0.25">
      <c r="A8491" t="str">
        <f>"9124234"</f>
        <v>9124234</v>
      </c>
      <c r="B8491" t="s">
        <v>8159</v>
      </c>
      <c r="C8491" t="s">
        <v>263</v>
      </c>
      <c r="D8491" s="21" t="s">
        <v>34</v>
      </c>
      <c r="E8491" s="21" t="s">
        <v>254</v>
      </c>
      <c r="F8491">
        <v>8920140</v>
      </c>
      <c r="G8491" t="s">
        <v>3762</v>
      </c>
      <c r="H8491" s="21">
        <v>1044.18</v>
      </c>
    </row>
    <row r="8492" spans="1:8" customFormat="1" x14ac:dyDescent="0.25">
      <c r="A8492" t="str">
        <f>"5617278"</f>
        <v>5617278</v>
      </c>
      <c r="B8492" t="s">
        <v>5800</v>
      </c>
      <c r="C8492" t="s">
        <v>926</v>
      </c>
      <c r="D8492" s="21" t="s">
        <v>34</v>
      </c>
      <c r="E8492" s="21" t="s">
        <v>35</v>
      </c>
      <c r="F8492">
        <v>3560045</v>
      </c>
      <c r="G8492" t="s">
        <v>4969</v>
      </c>
      <c r="H8492" s="21">
        <v>1044.17</v>
      </c>
    </row>
    <row r="8493" spans="1:8" customFormat="1" x14ac:dyDescent="0.25">
      <c r="A8493" t="str">
        <f>"4390"</f>
        <v>4390</v>
      </c>
      <c r="B8493" t="s">
        <v>9417</v>
      </c>
      <c r="C8493" t="s">
        <v>1271</v>
      </c>
      <c r="D8493" s="21" t="s">
        <v>34</v>
      </c>
      <c r="E8493" s="21" t="s">
        <v>35</v>
      </c>
      <c r="F8493">
        <v>1420009</v>
      </c>
      <c r="G8493" t="s">
        <v>3113</v>
      </c>
      <c r="H8493" s="21">
        <v>1044.17</v>
      </c>
    </row>
    <row r="8494" spans="1:8" customFormat="1" x14ac:dyDescent="0.25">
      <c r="A8494" t="str">
        <f>"855724"</f>
        <v>855724</v>
      </c>
      <c r="B8494" t="s">
        <v>2010</v>
      </c>
      <c r="C8494" t="s">
        <v>55</v>
      </c>
      <c r="D8494" s="21" t="s">
        <v>34</v>
      </c>
      <c r="E8494" s="21" t="s">
        <v>71</v>
      </c>
      <c r="F8494">
        <v>12850148</v>
      </c>
      <c r="G8494" t="s">
        <v>2380</v>
      </c>
      <c r="H8494" s="21">
        <v>1044.17</v>
      </c>
    </row>
    <row r="8495" spans="1:8" customFormat="1" x14ac:dyDescent="0.25">
      <c r="A8495" t="str">
        <f>"851069"</f>
        <v>851069</v>
      </c>
      <c r="B8495" t="s">
        <v>8778</v>
      </c>
      <c r="C8495" t="s">
        <v>598</v>
      </c>
      <c r="D8495" s="21" t="s">
        <v>34</v>
      </c>
      <c r="E8495" s="21" t="s">
        <v>254</v>
      </c>
      <c r="F8495">
        <v>12850030</v>
      </c>
      <c r="G8495" t="s">
        <v>5078</v>
      </c>
      <c r="H8495" s="21">
        <v>1044.17</v>
      </c>
    </row>
    <row r="8496" spans="1:8" customFormat="1" x14ac:dyDescent="0.25">
      <c r="A8496" t="str">
        <f>"672606"</f>
        <v>672606</v>
      </c>
      <c r="B8496" t="s">
        <v>7087</v>
      </c>
      <c r="C8496" t="s">
        <v>664</v>
      </c>
      <c r="D8496" s="21" t="s">
        <v>34</v>
      </c>
      <c r="E8496" s="21" t="s">
        <v>71</v>
      </c>
      <c r="F8496">
        <v>3220048</v>
      </c>
      <c r="G8496" t="s">
        <v>26532</v>
      </c>
      <c r="H8496" s="21">
        <v>1044.17</v>
      </c>
    </row>
    <row r="8497" spans="1:8" customFormat="1" x14ac:dyDescent="0.25">
      <c r="A8497" t="str">
        <f>"5413518"</f>
        <v>5413518</v>
      </c>
      <c r="B8497" t="s">
        <v>7898</v>
      </c>
      <c r="C8497" t="s">
        <v>151</v>
      </c>
      <c r="D8497" s="21" t="s">
        <v>34</v>
      </c>
      <c r="E8497" s="21" t="s">
        <v>254</v>
      </c>
      <c r="F8497">
        <v>6540043</v>
      </c>
      <c r="G8497" t="s">
        <v>947</v>
      </c>
      <c r="H8497" s="21">
        <v>1044.17</v>
      </c>
    </row>
    <row r="8498" spans="1:8" customFormat="1" x14ac:dyDescent="0.25">
      <c r="A8498" t="str">
        <f>"9529451"</f>
        <v>9529451</v>
      </c>
      <c r="B8498" t="s">
        <v>8759</v>
      </c>
      <c r="C8498" t="s">
        <v>40</v>
      </c>
      <c r="D8498" s="21" t="s">
        <v>34</v>
      </c>
      <c r="E8498" s="21" t="s">
        <v>71</v>
      </c>
      <c r="F8498">
        <v>8950481</v>
      </c>
      <c r="G8498" t="s">
        <v>1472</v>
      </c>
      <c r="H8498" s="21">
        <v>1044.17</v>
      </c>
    </row>
    <row r="8499" spans="1:8" customFormat="1" x14ac:dyDescent="0.25">
      <c r="A8499" t="str">
        <f>"5324093"</f>
        <v>5324093</v>
      </c>
      <c r="B8499" t="s">
        <v>392</v>
      </c>
      <c r="C8499" t="s">
        <v>293</v>
      </c>
      <c r="D8499" s="21" t="s">
        <v>34</v>
      </c>
      <c r="E8499" s="21" t="s">
        <v>71</v>
      </c>
      <c r="F8499">
        <v>12530064</v>
      </c>
      <c r="G8499" t="s">
        <v>3699</v>
      </c>
      <c r="H8499" s="21">
        <v>1044.05</v>
      </c>
    </row>
    <row r="8500" spans="1:8" customFormat="1" x14ac:dyDescent="0.25">
      <c r="A8500" t="str">
        <f>"416527"</f>
        <v>416527</v>
      </c>
      <c r="B8500" t="s">
        <v>8960</v>
      </c>
      <c r="C8500" t="s">
        <v>249</v>
      </c>
      <c r="D8500" s="21" t="s">
        <v>34</v>
      </c>
      <c r="E8500" s="21" t="s">
        <v>71</v>
      </c>
      <c r="F8500">
        <v>4410615</v>
      </c>
      <c r="G8500" t="s">
        <v>4897</v>
      </c>
      <c r="H8500" s="21">
        <v>1043.92</v>
      </c>
    </row>
    <row r="8501" spans="1:8" customFormat="1" x14ac:dyDescent="0.25">
      <c r="A8501" t="str">
        <f>"9243974"</f>
        <v>9243974</v>
      </c>
      <c r="B8501" t="s">
        <v>10301</v>
      </c>
      <c r="C8501" t="s">
        <v>198</v>
      </c>
      <c r="D8501" s="21" t="s">
        <v>34</v>
      </c>
      <c r="E8501" s="21" t="s">
        <v>35</v>
      </c>
      <c r="F8501">
        <v>8920049</v>
      </c>
      <c r="G8501" t="s">
        <v>237</v>
      </c>
      <c r="H8501" s="21">
        <v>1043.8</v>
      </c>
    </row>
    <row r="8502" spans="1:8" customFormat="1" x14ac:dyDescent="0.25">
      <c r="A8502" t="str">
        <f>"339863"</f>
        <v>339863</v>
      </c>
      <c r="B8502" t="s">
        <v>205</v>
      </c>
      <c r="C8502" t="s">
        <v>269</v>
      </c>
      <c r="D8502" s="21" t="s">
        <v>34</v>
      </c>
      <c r="E8502" s="21" t="s">
        <v>71</v>
      </c>
      <c r="F8502">
        <v>10330046</v>
      </c>
      <c r="G8502" t="s">
        <v>1787</v>
      </c>
      <c r="H8502" s="21">
        <v>1043.68</v>
      </c>
    </row>
    <row r="8503" spans="1:8" customFormat="1" x14ac:dyDescent="0.25">
      <c r="A8503" t="str">
        <f>"534364"</f>
        <v>534364</v>
      </c>
      <c r="B8503" t="s">
        <v>9420</v>
      </c>
      <c r="C8503" t="s">
        <v>55</v>
      </c>
      <c r="D8503" s="21" t="s">
        <v>34</v>
      </c>
      <c r="E8503" s="21" t="s">
        <v>71</v>
      </c>
      <c r="F8503">
        <v>12530068</v>
      </c>
      <c r="G8503" t="s">
        <v>5165</v>
      </c>
      <c r="H8503" s="21">
        <v>1043.67</v>
      </c>
    </row>
    <row r="8504" spans="1:8" customFormat="1" x14ac:dyDescent="0.25">
      <c r="A8504" t="str">
        <f>"4426656"</f>
        <v>4426656</v>
      </c>
      <c r="B8504" t="s">
        <v>9329</v>
      </c>
      <c r="C8504" t="s">
        <v>5368</v>
      </c>
      <c r="D8504" s="21" t="s">
        <v>34</v>
      </c>
      <c r="E8504" s="21" t="s">
        <v>71</v>
      </c>
      <c r="F8504">
        <v>12440076</v>
      </c>
      <c r="G8504" t="s">
        <v>1750</v>
      </c>
      <c r="H8504" s="21">
        <v>1043.67</v>
      </c>
    </row>
    <row r="8505" spans="1:8" customFormat="1" x14ac:dyDescent="0.25">
      <c r="A8505" t="str">
        <f>"7412025"</f>
        <v>7412025</v>
      </c>
      <c r="B8505" t="s">
        <v>9910</v>
      </c>
      <c r="C8505" t="s">
        <v>209</v>
      </c>
      <c r="D8505" s="21" t="s">
        <v>34</v>
      </c>
      <c r="E8505" s="21" t="s">
        <v>35</v>
      </c>
      <c r="F8505">
        <v>1740011</v>
      </c>
      <c r="G8505" t="s">
        <v>2638</v>
      </c>
      <c r="H8505" s="21">
        <v>1043.67</v>
      </c>
    </row>
    <row r="8506" spans="1:8" customFormat="1" x14ac:dyDescent="0.25">
      <c r="A8506" t="str">
        <f>"5912"</f>
        <v>5912</v>
      </c>
      <c r="B8506" t="s">
        <v>9446</v>
      </c>
      <c r="C8506" t="s">
        <v>55</v>
      </c>
      <c r="D8506" s="21" t="s">
        <v>34</v>
      </c>
      <c r="E8506" s="21" t="s">
        <v>71</v>
      </c>
      <c r="F8506">
        <v>7590003</v>
      </c>
      <c r="G8506" t="s">
        <v>1166</v>
      </c>
      <c r="H8506" s="21">
        <v>1043.67</v>
      </c>
    </row>
    <row r="8507" spans="1:8" customFormat="1" x14ac:dyDescent="0.25">
      <c r="A8507" t="str">
        <f>"5610995"</f>
        <v>5610995</v>
      </c>
      <c r="B8507" t="s">
        <v>8461</v>
      </c>
      <c r="C8507" t="s">
        <v>109</v>
      </c>
      <c r="D8507" s="21" t="s">
        <v>34</v>
      </c>
      <c r="E8507" s="21" t="s">
        <v>35</v>
      </c>
      <c r="F8507">
        <v>3350055</v>
      </c>
      <c r="G8507" t="s">
        <v>6720</v>
      </c>
      <c r="H8507" s="21">
        <v>1043.67</v>
      </c>
    </row>
    <row r="8508" spans="1:8" customFormat="1" x14ac:dyDescent="0.25">
      <c r="A8508" t="str">
        <f>"088869"</f>
        <v>088869</v>
      </c>
      <c r="B8508" t="s">
        <v>1601</v>
      </c>
      <c r="C8508" t="s">
        <v>1025</v>
      </c>
      <c r="D8508" s="21" t="s">
        <v>34</v>
      </c>
      <c r="E8508" s="21" t="s">
        <v>71</v>
      </c>
      <c r="F8508">
        <v>6080050</v>
      </c>
      <c r="G8508" t="s">
        <v>7840</v>
      </c>
      <c r="H8508" s="21">
        <v>1043.67</v>
      </c>
    </row>
    <row r="8509" spans="1:8" customFormat="1" x14ac:dyDescent="0.25">
      <c r="A8509" t="str">
        <f>"5413087"</f>
        <v>5413087</v>
      </c>
      <c r="B8509" t="s">
        <v>8694</v>
      </c>
      <c r="C8509" t="s">
        <v>621</v>
      </c>
      <c r="D8509" s="21" t="s">
        <v>34</v>
      </c>
      <c r="E8509" s="21" t="s">
        <v>71</v>
      </c>
      <c r="F8509">
        <v>6540192</v>
      </c>
      <c r="G8509" t="s">
        <v>3644</v>
      </c>
      <c r="H8509" s="21">
        <v>1043.67</v>
      </c>
    </row>
    <row r="8510" spans="1:8" customFormat="1" x14ac:dyDescent="0.25">
      <c r="A8510" t="str">
        <f>"2812057"</f>
        <v>2812057</v>
      </c>
      <c r="B8510" t="s">
        <v>9682</v>
      </c>
      <c r="C8510" t="s">
        <v>144</v>
      </c>
      <c r="D8510" s="21" t="s">
        <v>34</v>
      </c>
      <c r="E8510" s="21" t="s">
        <v>35</v>
      </c>
      <c r="F8510">
        <v>4280716</v>
      </c>
      <c r="G8510" t="s">
        <v>5281</v>
      </c>
      <c r="H8510" s="21">
        <v>1043.67</v>
      </c>
    </row>
    <row r="8511" spans="1:8" customFormat="1" x14ac:dyDescent="0.25">
      <c r="A8511" t="str">
        <f>"595004"</f>
        <v>595004</v>
      </c>
      <c r="B8511" t="s">
        <v>8276</v>
      </c>
      <c r="C8511" t="s">
        <v>1142</v>
      </c>
      <c r="D8511" s="21" t="s">
        <v>34</v>
      </c>
      <c r="E8511" s="21" t="s">
        <v>1089</v>
      </c>
      <c r="F8511">
        <v>7590087</v>
      </c>
      <c r="G8511" t="s">
        <v>2112</v>
      </c>
      <c r="H8511" s="21">
        <v>1043.67</v>
      </c>
    </row>
    <row r="8512" spans="1:8" customFormat="1" x14ac:dyDescent="0.25">
      <c r="A8512" t="str">
        <f>"507936"</f>
        <v>507936</v>
      </c>
      <c r="B8512" t="s">
        <v>1003</v>
      </c>
      <c r="C8512" t="s">
        <v>267</v>
      </c>
      <c r="D8512" s="21" t="s">
        <v>34</v>
      </c>
      <c r="E8512" s="21" t="s">
        <v>35</v>
      </c>
      <c r="F8512">
        <v>9500022</v>
      </c>
      <c r="G8512" t="s">
        <v>4324</v>
      </c>
      <c r="H8512" s="21">
        <v>1043.67</v>
      </c>
    </row>
    <row r="8513" spans="1:8" customFormat="1" x14ac:dyDescent="0.25">
      <c r="A8513" t="str">
        <f>"1413816"</f>
        <v>1413816</v>
      </c>
      <c r="B8513" t="s">
        <v>213</v>
      </c>
      <c r="C8513" t="s">
        <v>1605</v>
      </c>
      <c r="D8513" s="21" t="s">
        <v>34</v>
      </c>
      <c r="E8513" s="21" t="s">
        <v>35</v>
      </c>
      <c r="F8513">
        <v>9140202</v>
      </c>
      <c r="G8513" t="s">
        <v>2011</v>
      </c>
      <c r="H8513" s="21">
        <v>1043.17</v>
      </c>
    </row>
    <row r="8514" spans="1:8" customFormat="1" x14ac:dyDescent="0.25">
      <c r="A8514" t="str">
        <f>"5611085"</f>
        <v>5611085</v>
      </c>
      <c r="B8514" t="s">
        <v>6887</v>
      </c>
      <c r="C8514" t="s">
        <v>269</v>
      </c>
      <c r="D8514" s="21" t="s">
        <v>34</v>
      </c>
      <c r="E8514" s="21" t="s">
        <v>71</v>
      </c>
      <c r="F8514">
        <v>3560036</v>
      </c>
      <c r="G8514" t="s">
        <v>910</v>
      </c>
      <c r="H8514" s="21">
        <v>1043.17</v>
      </c>
    </row>
    <row r="8515" spans="1:8" customFormat="1" x14ac:dyDescent="0.25">
      <c r="A8515" t="str">
        <f>"3110839"</f>
        <v>3110839</v>
      </c>
      <c r="B8515" t="s">
        <v>9291</v>
      </c>
      <c r="C8515" t="s">
        <v>275</v>
      </c>
      <c r="D8515" s="21" t="s">
        <v>34</v>
      </c>
      <c r="E8515" s="21" t="s">
        <v>35</v>
      </c>
      <c r="F8515">
        <v>11810032</v>
      </c>
      <c r="G8515" t="s">
        <v>7859</v>
      </c>
      <c r="H8515" s="21">
        <v>1043.17</v>
      </c>
    </row>
    <row r="8516" spans="1:8" customFormat="1" x14ac:dyDescent="0.25">
      <c r="A8516" t="str">
        <f>"405141"</f>
        <v>405141</v>
      </c>
      <c r="B8516" t="s">
        <v>1885</v>
      </c>
      <c r="C8516" t="s">
        <v>2520</v>
      </c>
      <c r="D8516" s="21" t="s">
        <v>34</v>
      </c>
      <c r="E8516" s="21" t="s">
        <v>71</v>
      </c>
      <c r="F8516">
        <v>10400004</v>
      </c>
      <c r="G8516" t="s">
        <v>2929</v>
      </c>
      <c r="H8516" s="21">
        <v>1043.17</v>
      </c>
    </row>
    <row r="8517" spans="1:8" customFormat="1" x14ac:dyDescent="0.25">
      <c r="A8517" t="str">
        <f>"4419882"</f>
        <v>4419882</v>
      </c>
      <c r="B8517" t="s">
        <v>9161</v>
      </c>
      <c r="C8517" t="s">
        <v>388</v>
      </c>
      <c r="D8517" s="21" t="s">
        <v>34</v>
      </c>
      <c r="E8517" s="21" t="s">
        <v>71</v>
      </c>
      <c r="F8517">
        <v>12440004</v>
      </c>
      <c r="G8517" t="s">
        <v>26530</v>
      </c>
      <c r="H8517" s="21">
        <v>1043.17</v>
      </c>
    </row>
    <row r="8518" spans="1:8" customFormat="1" x14ac:dyDescent="0.25">
      <c r="A8518" t="str">
        <f>"3520015"</f>
        <v>3520015</v>
      </c>
      <c r="B8518" t="s">
        <v>9070</v>
      </c>
      <c r="C8518" t="s">
        <v>320</v>
      </c>
      <c r="D8518" s="21" t="s">
        <v>34</v>
      </c>
      <c r="E8518" s="21" t="s">
        <v>35</v>
      </c>
      <c r="F8518">
        <v>9760168</v>
      </c>
      <c r="G8518" t="s">
        <v>179</v>
      </c>
      <c r="H8518" s="21">
        <v>1043.17</v>
      </c>
    </row>
    <row r="8519" spans="1:8" customFormat="1" x14ac:dyDescent="0.25">
      <c r="A8519" t="str">
        <f>"081273"</f>
        <v>081273</v>
      </c>
      <c r="B8519" t="s">
        <v>577</v>
      </c>
      <c r="C8519" t="s">
        <v>926</v>
      </c>
      <c r="D8519" s="21" t="s">
        <v>34</v>
      </c>
      <c r="E8519" s="21" t="s">
        <v>71</v>
      </c>
      <c r="F8519">
        <v>6080045</v>
      </c>
      <c r="G8519" t="s">
        <v>5632</v>
      </c>
      <c r="H8519" s="21">
        <v>1043.17</v>
      </c>
    </row>
    <row r="8520" spans="1:8" customFormat="1" x14ac:dyDescent="0.25">
      <c r="A8520" t="str">
        <f>"682029"</f>
        <v>682029</v>
      </c>
      <c r="B8520" t="s">
        <v>9210</v>
      </c>
      <c r="C8520" t="s">
        <v>269</v>
      </c>
      <c r="D8520" s="21" t="s">
        <v>34</v>
      </c>
      <c r="E8520" s="21" t="s">
        <v>254</v>
      </c>
      <c r="F8520">
        <v>6680080</v>
      </c>
      <c r="G8520" t="s">
        <v>7771</v>
      </c>
      <c r="H8520" s="21">
        <v>1043.17</v>
      </c>
    </row>
    <row r="8521" spans="1:8" customFormat="1" x14ac:dyDescent="0.25">
      <c r="A8521" t="str">
        <f>"5946217"</f>
        <v>5946217</v>
      </c>
      <c r="B8521" t="s">
        <v>3146</v>
      </c>
      <c r="C8521" t="s">
        <v>288</v>
      </c>
      <c r="D8521" s="21" t="s">
        <v>34</v>
      </c>
      <c r="E8521" s="21" t="s">
        <v>71</v>
      </c>
      <c r="F8521">
        <v>7590354</v>
      </c>
      <c r="G8521" t="s">
        <v>5786</v>
      </c>
      <c r="H8521" s="21">
        <v>1043.17</v>
      </c>
    </row>
    <row r="8522" spans="1:8" customFormat="1" x14ac:dyDescent="0.25">
      <c r="A8522" t="str">
        <f>"5942255"</f>
        <v>5942255</v>
      </c>
      <c r="B8522" t="s">
        <v>623</v>
      </c>
      <c r="C8522" t="s">
        <v>2100</v>
      </c>
      <c r="D8522" s="21" t="s">
        <v>34</v>
      </c>
      <c r="E8522" s="21" t="s">
        <v>71</v>
      </c>
      <c r="F8522">
        <v>7590402</v>
      </c>
      <c r="G8522" t="s">
        <v>1623</v>
      </c>
      <c r="H8522" s="21">
        <v>1043.17</v>
      </c>
    </row>
    <row r="8523" spans="1:8" customFormat="1" x14ac:dyDescent="0.25">
      <c r="A8523" t="str">
        <f>"625125"</f>
        <v>625125</v>
      </c>
      <c r="B8523" t="s">
        <v>6053</v>
      </c>
      <c r="C8523" t="s">
        <v>109</v>
      </c>
      <c r="D8523" s="21" t="s">
        <v>34</v>
      </c>
      <c r="E8523" s="21" t="s">
        <v>71</v>
      </c>
      <c r="F8523">
        <v>7620051</v>
      </c>
      <c r="G8523" t="s">
        <v>2741</v>
      </c>
      <c r="H8523" s="21">
        <v>1043.17</v>
      </c>
    </row>
    <row r="8524" spans="1:8" customFormat="1" x14ac:dyDescent="0.25">
      <c r="A8524" t="str">
        <f>"536522"</f>
        <v>536522</v>
      </c>
      <c r="B8524" t="s">
        <v>25551</v>
      </c>
      <c r="C8524" t="s">
        <v>1803</v>
      </c>
      <c r="D8524" s="21" t="s">
        <v>34</v>
      </c>
      <c r="E8524" s="21" t="s">
        <v>35</v>
      </c>
      <c r="F8524">
        <v>12530084</v>
      </c>
      <c r="G8524" t="s">
        <v>5766</v>
      </c>
      <c r="H8524" s="21">
        <v>1043.17</v>
      </c>
    </row>
    <row r="8525" spans="1:8" customFormat="1" x14ac:dyDescent="0.25">
      <c r="A8525" t="str">
        <f>"549598"</f>
        <v>549598</v>
      </c>
      <c r="B8525" t="s">
        <v>890</v>
      </c>
      <c r="C8525" t="s">
        <v>124</v>
      </c>
      <c r="D8525" s="21" t="s">
        <v>34</v>
      </c>
      <c r="E8525" s="21" t="s">
        <v>35</v>
      </c>
      <c r="F8525">
        <v>6540199</v>
      </c>
      <c r="G8525" t="s">
        <v>8888</v>
      </c>
      <c r="H8525" s="21">
        <v>1042.93</v>
      </c>
    </row>
    <row r="8526" spans="1:8" customFormat="1" x14ac:dyDescent="0.25">
      <c r="A8526" t="str">
        <f>"591954"</f>
        <v>591954</v>
      </c>
      <c r="B8526" t="s">
        <v>7772</v>
      </c>
      <c r="C8526" t="s">
        <v>65</v>
      </c>
      <c r="D8526" s="21" t="s">
        <v>34</v>
      </c>
      <c r="E8526" s="21" t="s">
        <v>71</v>
      </c>
      <c r="F8526">
        <v>7590087</v>
      </c>
      <c r="G8526" t="s">
        <v>2112</v>
      </c>
      <c r="H8526" s="21">
        <v>1042.92</v>
      </c>
    </row>
    <row r="8527" spans="1:8" customFormat="1" x14ac:dyDescent="0.25">
      <c r="A8527" t="str">
        <f>"7515780"</f>
        <v>7515780</v>
      </c>
      <c r="B8527" t="s">
        <v>9774</v>
      </c>
      <c r="C8527" t="s">
        <v>33</v>
      </c>
      <c r="D8527" s="21" t="s">
        <v>34</v>
      </c>
      <c r="E8527" s="21" t="s">
        <v>71</v>
      </c>
      <c r="F8527">
        <v>8751061</v>
      </c>
      <c r="G8527" t="s">
        <v>26628</v>
      </c>
      <c r="H8527" s="21">
        <v>1042.68</v>
      </c>
    </row>
    <row r="8528" spans="1:8" customFormat="1" x14ac:dyDescent="0.25">
      <c r="A8528" t="str">
        <f>"592256"</f>
        <v>592256</v>
      </c>
      <c r="B8528" t="s">
        <v>4322</v>
      </c>
      <c r="C8528" t="s">
        <v>2984</v>
      </c>
      <c r="D8528" s="21" t="s">
        <v>34</v>
      </c>
      <c r="E8528" s="21" t="s">
        <v>71</v>
      </c>
      <c r="F8528">
        <v>7590018</v>
      </c>
      <c r="G8528" t="s">
        <v>2807</v>
      </c>
      <c r="H8528" s="21">
        <v>1042.67</v>
      </c>
    </row>
    <row r="8529" spans="1:8" customFormat="1" x14ac:dyDescent="0.25">
      <c r="A8529" t="str">
        <f>"023329"</f>
        <v>023329</v>
      </c>
      <c r="B8529" t="s">
        <v>5297</v>
      </c>
      <c r="C8529" t="s">
        <v>459</v>
      </c>
      <c r="D8529" s="21" t="s">
        <v>34</v>
      </c>
      <c r="E8529" s="21" t="s">
        <v>35</v>
      </c>
      <c r="F8529">
        <v>1260071</v>
      </c>
      <c r="G8529" t="s">
        <v>798</v>
      </c>
      <c r="H8529" s="21">
        <v>1042.67</v>
      </c>
    </row>
    <row r="8530" spans="1:8" customFormat="1" x14ac:dyDescent="0.25">
      <c r="A8530" t="str">
        <f>"776573"</f>
        <v>776573</v>
      </c>
      <c r="B8530" t="s">
        <v>27054</v>
      </c>
      <c r="C8530" t="s">
        <v>507</v>
      </c>
      <c r="D8530" s="21" t="s">
        <v>34</v>
      </c>
      <c r="E8530" s="21" t="s">
        <v>35</v>
      </c>
      <c r="F8530">
        <v>8770377</v>
      </c>
      <c r="G8530" t="s">
        <v>4862</v>
      </c>
      <c r="H8530" s="21">
        <v>1042.67</v>
      </c>
    </row>
    <row r="8531" spans="1:8" customFormat="1" x14ac:dyDescent="0.25">
      <c r="A8531" t="str">
        <f>"7633822"</f>
        <v>7633822</v>
      </c>
      <c r="B8531" t="s">
        <v>10549</v>
      </c>
      <c r="C8531" t="s">
        <v>275</v>
      </c>
      <c r="D8531" s="21" t="s">
        <v>34</v>
      </c>
      <c r="E8531" s="21" t="s">
        <v>71</v>
      </c>
      <c r="F8531">
        <v>9760374</v>
      </c>
      <c r="G8531" t="s">
        <v>6867</v>
      </c>
      <c r="H8531" s="21">
        <v>1042.67</v>
      </c>
    </row>
    <row r="8532" spans="1:8" customFormat="1" x14ac:dyDescent="0.25">
      <c r="A8532" t="str">
        <f>"607617"</f>
        <v>607617</v>
      </c>
      <c r="B8532" t="s">
        <v>1522</v>
      </c>
      <c r="C8532" t="s">
        <v>719</v>
      </c>
      <c r="D8532" s="21" t="s">
        <v>34</v>
      </c>
      <c r="E8532" s="21" t="s">
        <v>35</v>
      </c>
      <c r="F8532">
        <v>7600111</v>
      </c>
      <c r="G8532" t="s">
        <v>6914</v>
      </c>
      <c r="H8532" s="21">
        <v>1042.67</v>
      </c>
    </row>
    <row r="8533" spans="1:8" customFormat="1" x14ac:dyDescent="0.25">
      <c r="A8533" t="str">
        <f>"19384"</f>
        <v>19384</v>
      </c>
      <c r="B8533" t="s">
        <v>9209</v>
      </c>
      <c r="C8533" t="s">
        <v>3073</v>
      </c>
      <c r="D8533" s="21" t="s">
        <v>34</v>
      </c>
      <c r="E8533" s="21" t="s">
        <v>254</v>
      </c>
      <c r="F8533">
        <v>10190108</v>
      </c>
      <c r="G8533" t="s">
        <v>7344</v>
      </c>
      <c r="H8533" s="21">
        <v>1042.67</v>
      </c>
    </row>
    <row r="8534" spans="1:8" customFormat="1" x14ac:dyDescent="0.25">
      <c r="A8534" t="str">
        <f>"814184"</f>
        <v>814184</v>
      </c>
      <c r="B8534" t="s">
        <v>7636</v>
      </c>
      <c r="C8534" t="s">
        <v>462</v>
      </c>
      <c r="D8534" s="21" t="s">
        <v>34</v>
      </c>
      <c r="E8534" s="21" t="s">
        <v>35</v>
      </c>
      <c r="F8534">
        <v>11810030</v>
      </c>
      <c r="G8534" t="s">
        <v>27055</v>
      </c>
      <c r="H8534" s="21">
        <v>1042.67</v>
      </c>
    </row>
    <row r="8535" spans="1:8" customFormat="1" x14ac:dyDescent="0.25">
      <c r="A8535" t="str">
        <f>"5945034"</f>
        <v>5945034</v>
      </c>
      <c r="B8535" t="s">
        <v>9656</v>
      </c>
      <c r="C8535" t="s">
        <v>109</v>
      </c>
      <c r="D8535" s="21" t="s">
        <v>34</v>
      </c>
      <c r="E8535" s="21" t="s">
        <v>35</v>
      </c>
      <c r="F8535">
        <v>7590014</v>
      </c>
      <c r="G8535" t="s">
        <v>1326</v>
      </c>
      <c r="H8535" s="21">
        <v>1042.67</v>
      </c>
    </row>
    <row r="8536" spans="1:8" customFormat="1" x14ac:dyDescent="0.25">
      <c r="A8536" t="str">
        <f>"3418227"</f>
        <v>3418227</v>
      </c>
      <c r="B8536" t="s">
        <v>27056</v>
      </c>
      <c r="C8536" t="s">
        <v>98</v>
      </c>
      <c r="D8536" s="21" t="s">
        <v>34</v>
      </c>
      <c r="E8536" s="21" t="s">
        <v>71</v>
      </c>
      <c r="F8536" t="s">
        <v>1403</v>
      </c>
      <c r="G8536" t="s">
        <v>1404</v>
      </c>
      <c r="H8536" s="21">
        <v>1042.55</v>
      </c>
    </row>
    <row r="8537" spans="1:8" customFormat="1" x14ac:dyDescent="0.25">
      <c r="A8537" t="str">
        <f>"2912699"</f>
        <v>2912699</v>
      </c>
      <c r="B8537" t="s">
        <v>5651</v>
      </c>
      <c r="C8537" t="s">
        <v>8120</v>
      </c>
      <c r="D8537" s="21" t="s">
        <v>34</v>
      </c>
      <c r="E8537" s="21" t="s">
        <v>254</v>
      </c>
      <c r="F8537">
        <v>3290262</v>
      </c>
      <c r="G8537" t="s">
        <v>1139</v>
      </c>
      <c r="H8537" s="21">
        <v>1042.43</v>
      </c>
    </row>
    <row r="8538" spans="1:8" customFormat="1" x14ac:dyDescent="0.25">
      <c r="A8538" t="str">
        <f>"9231766"</f>
        <v>9231766</v>
      </c>
      <c r="B8538" t="s">
        <v>7882</v>
      </c>
      <c r="C8538" t="s">
        <v>455</v>
      </c>
      <c r="D8538" s="21" t="s">
        <v>34</v>
      </c>
      <c r="E8538" s="21" t="s">
        <v>35</v>
      </c>
      <c r="F8538">
        <v>8921256</v>
      </c>
      <c r="G8538" t="s">
        <v>1038</v>
      </c>
      <c r="H8538" s="21">
        <v>1042.42</v>
      </c>
    </row>
    <row r="8539" spans="1:8" customFormat="1" x14ac:dyDescent="0.25">
      <c r="A8539" t="str">
        <f>"877785"</f>
        <v>877785</v>
      </c>
      <c r="B8539" t="s">
        <v>10154</v>
      </c>
      <c r="C8539" t="s">
        <v>33</v>
      </c>
      <c r="D8539" s="21" t="s">
        <v>34</v>
      </c>
      <c r="E8539" s="21" t="s">
        <v>35</v>
      </c>
      <c r="F8539">
        <v>10870081</v>
      </c>
      <c r="G8539" t="s">
        <v>6698</v>
      </c>
      <c r="H8539" s="21">
        <v>1042.42</v>
      </c>
    </row>
    <row r="8540" spans="1:8" customFormat="1" x14ac:dyDescent="0.25">
      <c r="A8540" t="str">
        <f>"3012249"</f>
        <v>3012249</v>
      </c>
      <c r="B8540" t="s">
        <v>346</v>
      </c>
      <c r="C8540" t="s">
        <v>9548</v>
      </c>
      <c r="D8540" s="21" t="s">
        <v>34</v>
      </c>
      <c r="E8540" s="21" t="s">
        <v>35</v>
      </c>
      <c r="F8540">
        <v>11300047</v>
      </c>
      <c r="G8540" t="s">
        <v>9549</v>
      </c>
      <c r="H8540" s="21">
        <v>1042.42</v>
      </c>
    </row>
    <row r="8541" spans="1:8" customFormat="1" x14ac:dyDescent="0.25">
      <c r="A8541" t="str">
        <f>"5974901"</f>
        <v>5974901</v>
      </c>
      <c r="B8541" t="s">
        <v>11018</v>
      </c>
      <c r="C8541" t="s">
        <v>631</v>
      </c>
      <c r="D8541" s="21" t="s">
        <v>34</v>
      </c>
      <c r="E8541" s="21" t="s">
        <v>35</v>
      </c>
      <c r="F8541">
        <v>7590005</v>
      </c>
      <c r="G8541" t="s">
        <v>540</v>
      </c>
      <c r="H8541" s="21">
        <v>1042.17</v>
      </c>
    </row>
    <row r="8542" spans="1:8" customFormat="1" x14ac:dyDescent="0.25">
      <c r="A8542" t="str">
        <f>"843118"</f>
        <v>843118</v>
      </c>
      <c r="B8542" t="s">
        <v>9316</v>
      </c>
      <c r="C8542" t="s">
        <v>1294</v>
      </c>
      <c r="D8542" s="21" t="s">
        <v>34</v>
      </c>
      <c r="E8542" s="21" t="s">
        <v>35</v>
      </c>
      <c r="F8542">
        <v>11110023</v>
      </c>
      <c r="G8542" t="s">
        <v>1849</v>
      </c>
      <c r="H8542" s="21">
        <v>1042.17</v>
      </c>
    </row>
    <row r="8543" spans="1:8" customFormat="1" x14ac:dyDescent="0.25">
      <c r="A8543" t="str">
        <f>"843859"</f>
        <v>843859</v>
      </c>
      <c r="B8543" t="s">
        <v>9712</v>
      </c>
      <c r="C8543" t="s">
        <v>263</v>
      </c>
      <c r="D8543" s="21" t="s">
        <v>34</v>
      </c>
      <c r="E8543" s="21" t="s">
        <v>71</v>
      </c>
      <c r="F8543">
        <v>13840005</v>
      </c>
      <c r="G8543" t="s">
        <v>2145</v>
      </c>
      <c r="H8543" s="21">
        <v>1042.17</v>
      </c>
    </row>
    <row r="8544" spans="1:8" customFormat="1" x14ac:dyDescent="0.25">
      <c r="A8544" t="str">
        <f>"7610519"</f>
        <v>7610519</v>
      </c>
      <c r="B8544" t="s">
        <v>9145</v>
      </c>
      <c r="C8544" t="s">
        <v>428</v>
      </c>
      <c r="D8544" s="21" t="s">
        <v>34</v>
      </c>
      <c r="E8544" s="21" t="s">
        <v>71</v>
      </c>
      <c r="F8544">
        <v>9760127</v>
      </c>
      <c r="G8544" t="s">
        <v>7132</v>
      </c>
      <c r="H8544" s="21">
        <v>1042.17</v>
      </c>
    </row>
    <row r="8545" spans="1:8" customFormat="1" x14ac:dyDescent="0.25">
      <c r="A8545" t="str">
        <f>"606654"</f>
        <v>606654</v>
      </c>
      <c r="B8545" t="s">
        <v>13702</v>
      </c>
      <c r="C8545" t="s">
        <v>109</v>
      </c>
      <c r="D8545" s="21" t="s">
        <v>34</v>
      </c>
      <c r="E8545" s="21" t="s">
        <v>35</v>
      </c>
      <c r="F8545">
        <v>7600111</v>
      </c>
      <c r="G8545" t="s">
        <v>6914</v>
      </c>
      <c r="H8545" s="21">
        <v>1042.17</v>
      </c>
    </row>
    <row r="8546" spans="1:8" customFormat="1" x14ac:dyDescent="0.25">
      <c r="A8546" t="str">
        <f>"6210815"</f>
        <v>6210815</v>
      </c>
      <c r="B8546" t="s">
        <v>8023</v>
      </c>
      <c r="C8546" t="s">
        <v>263</v>
      </c>
      <c r="D8546" s="21" t="s">
        <v>34</v>
      </c>
      <c r="E8546" s="21" t="s">
        <v>35</v>
      </c>
      <c r="F8546">
        <v>7590393</v>
      </c>
      <c r="G8546" t="s">
        <v>7754</v>
      </c>
      <c r="H8546" s="21">
        <v>1042.17</v>
      </c>
    </row>
    <row r="8547" spans="1:8" customFormat="1" x14ac:dyDescent="0.25">
      <c r="A8547" t="str">
        <f>"7723201"</f>
        <v>7723201</v>
      </c>
      <c r="B8547" t="s">
        <v>9167</v>
      </c>
      <c r="C8547" t="s">
        <v>249</v>
      </c>
      <c r="D8547" s="21" t="s">
        <v>34</v>
      </c>
      <c r="E8547" s="21" t="s">
        <v>71</v>
      </c>
      <c r="F8547">
        <v>8770377</v>
      </c>
      <c r="G8547" t="s">
        <v>4862</v>
      </c>
      <c r="H8547" s="21">
        <v>1042.17</v>
      </c>
    </row>
    <row r="8548" spans="1:8" customFormat="1" x14ac:dyDescent="0.25">
      <c r="A8548" t="str">
        <f>"7812280"</f>
        <v>7812280</v>
      </c>
      <c r="B8548" t="s">
        <v>8221</v>
      </c>
      <c r="C8548" t="s">
        <v>415</v>
      </c>
      <c r="D8548" s="21" t="s">
        <v>34</v>
      </c>
      <c r="E8548" s="21" t="s">
        <v>254</v>
      </c>
      <c r="F8548">
        <v>8911430</v>
      </c>
      <c r="G8548" t="s">
        <v>3523</v>
      </c>
      <c r="H8548" s="21">
        <v>1042.17</v>
      </c>
    </row>
    <row r="8549" spans="1:8" customFormat="1" x14ac:dyDescent="0.25">
      <c r="A8549" t="str">
        <f>"44659"</f>
        <v>44659</v>
      </c>
      <c r="B8549" t="s">
        <v>7328</v>
      </c>
      <c r="C8549" t="s">
        <v>1146</v>
      </c>
      <c r="D8549" s="21" t="s">
        <v>34</v>
      </c>
      <c r="E8549" s="21" t="s">
        <v>254</v>
      </c>
      <c r="F8549">
        <v>12440020</v>
      </c>
      <c r="G8549" t="s">
        <v>4606</v>
      </c>
      <c r="H8549" s="21">
        <v>1042.17</v>
      </c>
    </row>
    <row r="8550" spans="1:8" customFormat="1" x14ac:dyDescent="0.25">
      <c r="A8550" t="str">
        <f>"5925565"</f>
        <v>5925565</v>
      </c>
      <c r="B8550" t="s">
        <v>7735</v>
      </c>
      <c r="C8550" t="s">
        <v>98</v>
      </c>
      <c r="D8550" s="21" t="s">
        <v>34</v>
      </c>
      <c r="E8550" s="21" t="s">
        <v>71</v>
      </c>
      <c r="F8550">
        <v>7590017</v>
      </c>
      <c r="G8550" t="s">
        <v>1316</v>
      </c>
      <c r="H8550" s="21">
        <v>1042.17</v>
      </c>
    </row>
    <row r="8551" spans="1:8" customFormat="1" x14ac:dyDescent="0.25">
      <c r="A8551" t="str">
        <f>"9229203"</f>
        <v>9229203</v>
      </c>
      <c r="B8551" t="s">
        <v>8376</v>
      </c>
      <c r="C8551" t="s">
        <v>209</v>
      </c>
      <c r="D8551" s="21" t="s">
        <v>34</v>
      </c>
      <c r="E8551" s="21" t="s">
        <v>71</v>
      </c>
      <c r="F8551">
        <v>8920309</v>
      </c>
      <c r="G8551" t="s">
        <v>1894</v>
      </c>
      <c r="H8551" s="21">
        <v>1042.05</v>
      </c>
    </row>
    <row r="8552" spans="1:8" customFormat="1" x14ac:dyDescent="0.25">
      <c r="A8552" t="str">
        <f>"5311109"</f>
        <v>5311109</v>
      </c>
      <c r="B8552" t="s">
        <v>6986</v>
      </c>
      <c r="C8552" t="s">
        <v>87</v>
      </c>
      <c r="D8552" s="21" t="s">
        <v>34</v>
      </c>
      <c r="E8552" s="21" t="s">
        <v>35</v>
      </c>
      <c r="F8552">
        <v>12530068</v>
      </c>
      <c r="G8552" t="s">
        <v>5165</v>
      </c>
      <c r="H8552" s="21">
        <v>1041.92</v>
      </c>
    </row>
    <row r="8553" spans="1:8" customFormat="1" x14ac:dyDescent="0.25">
      <c r="A8553" t="str">
        <f>"4514045"</f>
        <v>4514045</v>
      </c>
      <c r="B8553" t="s">
        <v>8204</v>
      </c>
      <c r="C8553" t="s">
        <v>3109</v>
      </c>
      <c r="D8553" s="21" t="s">
        <v>34</v>
      </c>
      <c r="E8553" s="21" t="s">
        <v>254</v>
      </c>
      <c r="F8553">
        <v>4450417</v>
      </c>
      <c r="G8553" t="s">
        <v>2284</v>
      </c>
      <c r="H8553" s="21">
        <v>1041.92</v>
      </c>
    </row>
    <row r="8554" spans="1:8" customFormat="1" x14ac:dyDescent="0.25">
      <c r="A8554" t="str">
        <f>"9213118"</f>
        <v>9213118</v>
      </c>
      <c r="B8554" t="s">
        <v>9038</v>
      </c>
      <c r="C8554" t="s">
        <v>9039</v>
      </c>
      <c r="D8554" s="21" t="s">
        <v>34</v>
      </c>
      <c r="E8554" s="21" t="s">
        <v>254</v>
      </c>
      <c r="F8554">
        <v>8940052</v>
      </c>
      <c r="G8554" t="s">
        <v>190</v>
      </c>
      <c r="H8554" s="21">
        <v>1041.92</v>
      </c>
    </row>
    <row r="8555" spans="1:8" customFormat="1" x14ac:dyDescent="0.25">
      <c r="A8555" t="str">
        <f>"7834005"</f>
        <v>7834005</v>
      </c>
      <c r="B8555" t="s">
        <v>8623</v>
      </c>
      <c r="C8555" t="s">
        <v>130</v>
      </c>
      <c r="D8555" s="21" t="s">
        <v>34</v>
      </c>
      <c r="E8555" s="21" t="s">
        <v>71</v>
      </c>
      <c r="F8555">
        <v>8780529</v>
      </c>
      <c r="G8555" t="s">
        <v>8624</v>
      </c>
      <c r="H8555" s="21">
        <v>1041.8</v>
      </c>
    </row>
    <row r="8556" spans="1:8" customFormat="1" x14ac:dyDescent="0.25">
      <c r="A8556" t="str">
        <f>"6717366"</f>
        <v>6717366</v>
      </c>
      <c r="B8556" t="s">
        <v>8602</v>
      </c>
      <c r="C8556" t="s">
        <v>1468</v>
      </c>
      <c r="D8556" s="21" t="s">
        <v>34</v>
      </c>
      <c r="E8556" s="21" t="s">
        <v>35</v>
      </c>
      <c r="F8556">
        <v>6670203</v>
      </c>
      <c r="G8556" t="s">
        <v>2371</v>
      </c>
      <c r="H8556" s="21">
        <v>1041.67</v>
      </c>
    </row>
    <row r="8557" spans="1:8" customFormat="1" x14ac:dyDescent="0.25">
      <c r="A8557" t="str">
        <f>"9516313"</f>
        <v>9516313</v>
      </c>
      <c r="B8557" t="s">
        <v>9573</v>
      </c>
      <c r="C8557" t="s">
        <v>169</v>
      </c>
      <c r="D8557" s="21" t="s">
        <v>34</v>
      </c>
      <c r="E8557" s="21" t="s">
        <v>35</v>
      </c>
      <c r="F8557">
        <v>8950481</v>
      </c>
      <c r="G8557" t="s">
        <v>1472</v>
      </c>
      <c r="H8557" s="21">
        <v>1041.67</v>
      </c>
    </row>
    <row r="8558" spans="1:8" customFormat="1" x14ac:dyDescent="0.25">
      <c r="A8558" t="str">
        <f>"5014418"</f>
        <v>5014418</v>
      </c>
      <c r="B8558" t="s">
        <v>10652</v>
      </c>
      <c r="C8558" t="s">
        <v>263</v>
      </c>
      <c r="D8558" s="21" t="s">
        <v>34</v>
      </c>
      <c r="E8558" s="21" t="s">
        <v>35</v>
      </c>
      <c r="F8558">
        <v>9500058</v>
      </c>
      <c r="G8558" t="s">
        <v>1585</v>
      </c>
      <c r="H8558" s="21">
        <v>1041.67</v>
      </c>
    </row>
    <row r="8559" spans="1:8" customFormat="1" x14ac:dyDescent="0.25">
      <c r="A8559" t="str">
        <f>"393411"</f>
        <v>393411</v>
      </c>
      <c r="B8559" t="s">
        <v>2438</v>
      </c>
      <c r="C8559" t="s">
        <v>55</v>
      </c>
      <c r="D8559" s="21" t="s">
        <v>34</v>
      </c>
      <c r="E8559" s="21" t="s">
        <v>35</v>
      </c>
      <c r="F8559">
        <v>2390046</v>
      </c>
      <c r="G8559" t="s">
        <v>2140</v>
      </c>
      <c r="H8559" s="21">
        <v>1041.67</v>
      </c>
    </row>
    <row r="8560" spans="1:8" customFormat="1" x14ac:dyDescent="0.25">
      <c r="A8560" t="str">
        <f>"3336967"</f>
        <v>3336967</v>
      </c>
      <c r="B8560" t="s">
        <v>10809</v>
      </c>
      <c r="C8560" t="s">
        <v>124</v>
      </c>
      <c r="D8560" s="21" t="s">
        <v>34</v>
      </c>
      <c r="E8560" s="21" t="s">
        <v>35</v>
      </c>
      <c r="F8560">
        <v>10330017</v>
      </c>
      <c r="G8560" t="s">
        <v>2754</v>
      </c>
      <c r="H8560" s="21">
        <v>1041.67</v>
      </c>
    </row>
    <row r="8561" spans="1:8" customFormat="1" x14ac:dyDescent="0.25">
      <c r="A8561" t="str">
        <f>"809821"</f>
        <v>809821</v>
      </c>
      <c r="B8561" t="s">
        <v>10184</v>
      </c>
      <c r="C8561" t="s">
        <v>484</v>
      </c>
      <c r="D8561" s="21" t="s">
        <v>34</v>
      </c>
      <c r="E8561" s="21" t="s">
        <v>35</v>
      </c>
      <c r="F8561">
        <v>7800014</v>
      </c>
      <c r="G8561" t="s">
        <v>9881</v>
      </c>
      <c r="H8561" s="21">
        <v>1041.67</v>
      </c>
    </row>
    <row r="8562" spans="1:8" customFormat="1" x14ac:dyDescent="0.25">
      <c r="A8562" t="str">
        <f>"9124859"</f>
        <v>9124859</v>
      </c>
      <c r="B8562" t="s">
        <v>8715</v>
      </c>
      <c r="C8562" t="s">
        <v>469</v>
      </c>
      <c r="D8562" s="21" t="s">
        <v>34</v>
      </c>
      <c r="E8562" s="21" t="s">
        <v>71</v>
      </c>
      <c r="F8562">
        <v>8910914</v>
      </c>
      <c r="G8562" t="s">
        <v>3302</v>
      </c>
      <c r="H8562" s="21">
        <v>1041.67</v>
      </c>
    </row>
    <row r="8563" spans="1:8" customFormat="1" x14ac:dyDescent="0.25">
      <c r="A8563" t="str">
        <f>"335128"</f>
        <v>335128</v>
      </c>
      <c r="B8563" t="s">
        <v>23249</v>
      </c>
      <c r="C8563" t="s">
        <v>2786</v>
      </c>
      <c r="D8563" s="21" t="s">
        <v>34</v>
      </c>
      <c r="E8563" s="21" t="s">
        <v>35</v>
      </c>
      <c r="F8563">
        <v>10330028</v>
      </c>
      <c r="G8563" t="s">
        <v>4553</v>
      </c>
      <c r="H8563" s="21">
        <v>1041.67</v>
      </c>
    </row>
    <row r="8564" spans="1:8" customFormat="1" x14ac:dyDescent="0.25">
      <c r="A8564" t="str">
        <f>"148197"</f>
        <v>148197</v>
      </c>
      <c r="B8564" t="s">
        <v>3347</v>
      </c>
      <c r="C8564" t="s">
        <v>484</v>
      </c>
      <c r="D8564" s="21" t="s">
        <v>34</v>
      </c>
      <c r="E8564" s="21" t="s">
        <v>35</v>
      </c>
      <c r="F8564">
        <v>9140052</v>
      </c>
      <c r="G8564" t="s">
        <v>26563</v>
      </c>
      <c r="H8564" s="21">
        <v>1041.67</v>
      </c>
    </row>
    <row r="8565" spans="1:8" customFormat="1" x14ac:dyDescent="0.25">
      <c r="A8565" t="str">
        <f>"7625955"</f>
        <v>7625955</v>
      </c>
      <c r="B8565" t="s">
        <v>8615</v>
      </c>
      <c r="C8565" t="s">
        <v>98</v>
      </c>
      <c r="D8565" s="21" t="s">
        <v>34</v>
      </c>
      <c r="E8565" s="21" t="s">
        <v>35</v>
      </c>
      <c r="F8565">
        <v>9760306</v>
      </c>
      <c r="G8565" t="s">
        <v>7890</v>
      </c>
      <c r="H8565" s="21">
        <v>1041.67</v>
      </c>
    </row>
    <row r="8566" spans="1:8" customFormat="1" x14ac:dyDescent="0.25">
      <c r="A8566" t="str">
        <f>"722376"</f>
        <v>722376</v>
      </c>
      <c r="B8566" t="s">
        <v>9719</v>
      </c>
      <c r="C8566" t="s">
        <v>428</v>
      </c>
      <c r="D8566" s="21" t="s">
        <v>34</v>
      </c>
      <c r="E8566" s="21" t="s">
        <v>35</v>
      </c>
      <c r="F8566">
        <v>12440136</v>
      </c>
      <c r="G8566" t="s">
        <v>3271</v>
      </c>
      <c r="H8566" s="21">
        <v>1041.67</v>
      </c>
    </row>
    <row r="8567" spans="1:8" customFormat="1" x14ac:dyDescent="0.25">
      <c r="A8567" t="str">
        <f>"8610092"</f>
        <v>8610092</v>
      </c>
      <c r="B8567" t="s">
        <v>3587</v>
      </c>
      <c r="C8567" t="s">
        <v>40</v>
      </c>
      <c r="D8567" s="21" t="s">
        <v>34</v>
      </c>
      <c r="E8567" s="21" t="s">
        <v>71</v>
      </c>
      <c r="F8567">
        <v>10860044</v>
      </c>
      <c r="G8567" t="s">
        <v>4984</v>
      </c>
      <c r="H8567" s="21">
        <v>1041.67</v>
      </c>
    </row>
    <row r="8568" spans="1:8" customFormat="1" x14ac:dyDescent="0.25">
      <c r="A8568" t="str">
        <f>"1713069"</f>
        <v>1713069</v>
      </c>
      <c r="B8568" t="s">
        <v>8436</v>
      </c>
      <c r="C8568" t="s">
        <v>65</v>
      </c>
      <c r="D8568" s="21" t="s">
        <v>34</v>
      </c>
      <c r="E8568" s="21" t="s">
        <v>35</v>
      </c>
      <c r="F8568">
        <v>10170005</v>
      </c>
      <c r="G8568" t="s">
        <v>4290</v>
      </c>
      <c r="H8568" s="21">
        <v>1041.67</v>
      </c>
    </row>
    <row r="8569" spans="1:8" customFormat="1" x14ac:dyDescent="0.25">
      <c r="A8569" t="str">
        <f>"5311604"</f>
        <v>5311604</v>
      </c>
      <c r="B8569" t="s">
        <v>9315</v>
      </c>
      <c r="C8569" t="s">
        <v>119</v>
      </c>
      <c r="D8569" s="21" t="s">
        <v>34</v>
      </c>
      <c r="E8569" s="21" t="s">
        <v>71</v>
      </c>
      <c r="F8569">
        <v>12530041</v>
      </c>
      <c r="G8569" t="s">
        <v>27057</v>
      </c>
      <c r="H8569" s="21">
        <v>1041.67</v>
      </c>
    </row>
    <row r="8570" spans="1:8" customFormat="1" x14ac:dyDescent="0.25">
      <c r="A8570" t="str">
        <f>"1310538"</f>
        <v>1310538</v>
      </c>
      <c r="B8570" t="s">
        <v>8256</v>
      </c>
      <c r="C8570" t="s">
        <v>209</v>
      </c>
      <c r="D8570" s="21" t="s">
        <v>34</v>
      </c>
      <c r="E8570" s="21" t="s">
        <v>35</v>
      </c>
      <c r="F8570">
        <v>13130158</v>
      </c>
      <c r="G8570" t="s">
        <v>3215</v>
      </c>
      <c r="H8570" s="21">
        <v>1041.67</v>
      </c>
    </row>
    <row r="8571" spans="1:8" customFormat="1" x14ac:dyDescent="0.25">
      <c r="A8571" t="str">
        <f>"274813"</f>
        <v>274813</v>
      </c>
      <c r="B8571" t="s">
        <v>8226</v>
      </c>
      <c r="C8571" t="s">
        <v>1110</v>
      </c>
      <c r="D8571" s="21" t="s">
        <v>34</v>
      </c>
      <c r="E8571" s="21" t="s">
        <v>1089</v>
      </c>
      <c r="F8571">
        <v>9270077</v>
      </c>
      <c r="G8571" t="s">
        <v>3228</v>
      </c>
      <c r="H8571" s="21">
        <v>1041.67</v>
      </c>
    </row>
    <row r="8572" spans="1:8" customFormat="1" x14ac:dyDescent="0.25">
      <c r="A8572" t="str">
        <f>"5923611"</f>
        <v>5923611</v>
      </c>
      <c r="B8572" t="s">
        <v>9397</v>
      </c>
      <c r="C8572" t="s">
        <v>209</v>
      </c>
      <c r="D8572" s="21" t="s">
        <v>34</v>
      </c>
      <c r="E8572" s="21" t="s">
        <v>254</v>
      </c>
      <c r="F8572">
        <v>7590271</v>
      </c>
      <c r="G8572" t="s">
        <v>3163</v>
      </c>
      <c r="H8572" s="21">
        <v>1041.67</v>
      </c>
    </row>
    <row r="8573" spans="1:8" customFormat="1" x14ac:dyDescent="0.25">
      <c r="A8573" t="str">
        <f>"246708"</f>
        <v>246708</v>
      </c>
      <c r="B8573" t="s">
        <v>9407</v>
      </c>
      <c r="C8573" t="s">
        <v>60</v>
      </c>
      <c r="D8573" s="21" t="s">
        <v>34</v>
      </c>
      <c r="E8573" s="21" t="s">
        <v>35</v>
      </c>
      <c r="F8573">
        <v>10190066</v>
      </c>
      <c r="G8573" t="s">
        <v>15933</v>
      </c>
      <c r="H8573" s="21">
        <v>1041.67</v>
      </c>
    </row>
    <row r="8574" spans="1:8" customFormat="1" x14ac:dyDescent="0.25">
      <c r="A8574" t="str">
        <f>"4413080"</f>
        <v>4413080</v>
      </c>
      <c r="B8574" t="s">
        <v>8919</v>
      </c>
      <c r="C8574" t="s">
        <v>4161</v>
      </c>
      <c r="D8574" s="21" t="s">
        <v>34</v>
      </c>
      <c r="E8574" s="21" t="s">
        <v>35</v>
      </c>
      <c r="F8574">
        <v>12440021</v>
      </c>
      <c r="G8574" t="s">
        <v>429</v>
      </c>
      <c r="H8574" s="21">
        <v>1041.67</v>
      </c>
    </row>
    <row r="8575" spans="1:8" customFormat="1" x14ac:dyDescent="0.25">
      <c r="A8575" t="str">
        <f>"499276"</f>
        <v>499276</v>
      </c>
      <c r="B8575" t="s">
        <v>8270</v>
      </c>
      <c r="C8575" t="s">
        <v>1803</v>
      </c>
      <c r="D8575" s="21" t="s">
        <v>34</v>
      </c>
      <c r="E8575" s="21" t="s">
        <v>35</v>
      </c>
      <c r="F8575">
        <v>10790038</v>
      </c>
      <c r="G8575" t="s">
        <v>5857</v>
      </c>
      <c r="H8575" s="21">
        <v>1041.67</v>
      </c>
    </row>
    <row r="8576" spans="1:8" customFormat="1" x14ac:dyDescent="0.25">
      <c r="A8576" t="str">
        <f>"74445"</f>
        <v>74445</v>
      </c>
      <c r="B8576" t="s">
        <v>8604</v>
      </c>
      <c r="C8576" t="s">
        <v>239</v>
      </c>
      <c r="D8576" s="21" t="s">
        <v>34</v>
      </c>
      <c r="E8576" s="21" t="s">
        <v>254</v>
      </c>
      <c r="F8576">
        <v>1740047</v>
      </c>
      <c r="G8576" t="s">
        <v>4512</v>
      </c>
      <c r="H8576" s="21">
        <v>1041.67</v>
      </c>
    </row>
    <row r="8577" spans="1:8" customFormat="1" x14ac:dyDescent="0.25">
      <c r="A8577" t="str">
        <f>"446310"</f>
        <v>446310</v>
      </c>
      <c r="B8577" t="s">
        <v>8235</v>
      </c>
      <c r="C8577" t="s">
        <v>269</v>
      </c>
      <c r="D8577" s="21" t="s">
        <v>34</v>
      </c>
      <c r="E8577" s="21" t="s">
        <v>254</v>
      </c>
      <c r="F8577">
        <v>12440076</v>
      </c>
      <c r="G8577" t="s">
        <v>1750</v>
      </c>
      <c r="H8577" s="21">
        <v>1041.67</v>
      </c>
    </row>
    <row r="8578" spans="1:8" customFormat="1" x14ac:dyDescent="0.25">
      <c r="A8578" t="str">
        <f>"3531051"</f>
        <v>3531051</v>
      </c>
      <c r="B8578" t="s">
        <v>8277</v>
      </c>
      <c r="C8578" t="s">
        <v>926</v>
      </c>
      <c r="D8578" s="21" t="s">
        <v>34</v>
      </c>
      <c r="E8578" s="21" t="s">
        <v>71</v>
      </c>
      <c r="F8578">
        <v>3350087</v>
      </c>
      <c r="G8578" t="s">
        <v>7430</v>
      </c>
      <c r="H8578" s="21">
        <v>1041.55</v>
      </c>
    </row>
    <row r="8579" spans="1:8" customFormat="1" x14ac:dyDescent="0.25">
      <c r="A8579" t="str">
        <f>"9311713"</f>
        <v>9311713</v>
      </c>
      <c r="B8579" t="s">
        <v>9040</v>
      </c>
      <c r="C8579" t="s">
        <v>302</v>
      </c>
      <c r="D8579" s="21" t="s">
        <v>34</v>
      </c>
      <c r="E8579" s="21" t="s">
        <v>71</v>
      </c>
      <c r="F8579">
        <v>8950092</v>
      </c>
      <c r="G8579" t="s">
        <v>2039</v>
      </c>
      <c r="H8579" s="21">
        <v>1041.5</v>
      </c>
    </row>
    <row r="8580" spans="1:8" customFormat="1" x14ac:dyDescent="0.25">
      <c r="A8580" t="str">
        <f>"9754364"</f>
        <v>9754364</v>
      </c>
      <c r="B8580" t="s">
        <v>10205</v>
      </c>
      <c r="C8580" t="s">
        <v>87</v>
      </c>
      <c r="D8580" s="21" t="s">
        <v>34</v>
      </c>
      <c r="E8580" s="21" t="s">
        <v>35</v>
      </c>
      <c r="F8580" t="s">
        <v>1403</v>
      </c>
      <c r="G8580" t="s">
        <v>1404</v>
      </c>
      <c r="H8580" s="21">
        <v>1041.43</v>
      </c>
    </row>
    <row r="8581" spans="1:8" customFormat="1" x14ac:dyDescent="0.25">
      <c r="A8581" t="str">
        <f>"7412884"</f>
        <v>7412884</v>
      </c>
      <c r="B8581" t="s">
        <v>1840</v>
      </c>
      <c r="C8581" t="s">
        <v>1231</v>
      </c>
      <c r="D8581" s="21" t="s">
        <v>34</v>
      </c>
      <c r="E8581" s="21" t="s">
        <v>35</v>
      </c>
      <c r="F8581">
        <v>1740045</v>
      </c>
      <c r="G8581" t="s">
        <v>9857</v>
      </c>
      <c r="H8581" s="21">
        <v>1041.43</v>
      </c>
    </row>
    <row r="8582" spans="1:8" customFormat="1" x14ac:dyDescent="0.25">
      <c r="A8582" t="str">
        <f>"2515683"</f>
        <v>2515683</v>
      </c>
      <c r="B8582" t="s">
        <v>9722</v>
      </c>
      <c r="C8582" t="s">
        <v>33</v>
      </c>
      <c r="D8582" s="21" t="s">
        <v>34</v>
      </c>
      <c r="E8582" s="21" t="s">
        <v>35</v>
      </c>
      <c r="F8582">
        <v>2250231</v>
      </c>
      <c r="G8582" t="s">
        <v>8994</v>
      </c>
      <c r="H8582" s="21">
        <v>1041.42</v>
      </c>
    </row>
    <row r="8583" spans="1:8" customFormat="1" x14ac:dyDescent="0.25">
      <c r="A8583" t="str">
        <f>"834910"</f>
        <v>834910</v>
      </c>
      <c r="B8583" t="s">
        <v>9232</v>
      </c>
      <c r="C8583" t="s">
        <v>285</v>
      </c>
      <c r="D8583" s="21" t="s">
        <v>34</v>
      </c>
      <c r="E8583" s="21" t="s">
        <v>35</v>
      </c>
      <c r="F8583">
        <v>13830090</v>
      </c>
      <c r="G8583" t="s">
        <v>1535</v>
      </c>
      <c r="H8583" s="21">
        <v>1041.42</v>
      </c>
    </row>
    <row r="8584" spans="1:8" customFormat="1" x14ac:dyDescent="0.25">
      <c r="A8584" t="str">
        <f>"0110771"</f>
        <v>0110771</v>
      </c>
      <c r="B8584" t="s">
        <v>7667</v>
      </c>
      <c r="C8584" t="s">
        <v>2520</v>
      </c>
      <c r="D8584" s="21" t="s">
        <v>34</v>
      </c>
      <c r="E8584" s="21" t="s">
        <v>35</v>
      </c>
      <c r="F8584">
        <v>1010068</v>
      </c>
      <c r="G8584" t="s">
        <v>4755</v>
      </c>
      <c r="H8584" s="21">
        <v>1041.42</v>
      </c>
    </row>
    <row r="8585" spans="1:8" customFormat="1" x14ac:dyDescent="0.25">
      <c r="A8585" t="str">
        <f>"5320676"</f>
        <v>5320676</v>
      </c>
      <c r="B8585" t="s">
        <v>9053</v>
      </c>
      <c r="C8585" t="s">
        <v>33</v>
      </c>
      <c r="D8585" s="21" t="s">
        <v>34</v>
      </c>
      <c r="E8585" s="21" t="s">
        <v>71</v>
      </c>
      <c r="F8585">
        <v>12530036</v>
      </c>
      <c r="G8585" t="s">
        <v>2200</v>
      </c>
      <c r="H8585" s="21">
        <v>1041.42</v>
      </c>
    </row>
    <row r="8586" spans="1:8" customFormat="1" x14ac:dyDescent="0.25">
      <c r="A8586" t="str">
        <f>"5325183"</f>
        <v>5325183</v>
      </c>
      <c r="B8586" t="s">
        <v>8854</v>
      </c>
      <c r="C8586" t="s">
        <v>275</v>
      </c>
      <c r="D8586" s="21" t="s">
        <v>34</v>
      </c>
      <c r="E8586" s="21" t="s">
        <v>35</v>
      </c>
      <c r="F8586">
        <v>12538910</v>
      </c>
      <c r="G8586" t="s">
        <v>8855</v>
      </c>
      <c r="H8586" s="21">
        <v>1041.42</v>
      </c>
    </row>
    <row r="8587" spans="1:8" customFormat="1" x14ac:dyDescent="0.25">
      <c r="A8587" t="str">
        <f>"5317036"</f>
        <v>5317036</v>
      </c>
      <c r="B8587" t="s">
        <v>2189</v>
      </c>
      <c r="C8587" t="s">
        <v>119</v>
      </c>
      <c r="D8587" s="21" t="s">
        <v>34</v>
      </c>
      <c r="E8587" s="21" t="s">
        <v>71</v>
      </c>
      <c r="F8587">
        <v>3290255</v>
      </c>
      <c r="G8587" t="s">
        <v>2852</v>
      </c>
      <c r="H8587" s="21">
        <v>1041.42</v>
      </c>
    </row>
    <row r="8588" spans="1:8" customFormat="1" x14ac:dyDescent="0.25">
      <c r="A8588" t="str">
        <f>"759951"</f>
        <v>759951</v>
      </c>
      <c r="B8588" t="s">
        <v>10463</v>
      </c>
      <c r="C8588" t="s">
        <v>3010</v>
      </c>
      <c r="D8588" s="21" t="s">
        <v>34</v>
      </c>
      <c r="E8588" s="21" t="s">
        <v>71</v>
      </c>
      <c r="F8588">
        <v>8751163</v>
      </c>
      <c r="G8588" t="s">
        <v>80</v>
      </c>
      <c r="H8588" s="21">
        <v>1041.3</v>
      </c>
    </row>
    <row r="8589" spans="1:8" customFormat="1" x14ac:dyDescent="0.25">
      <c r="A8589" t="str">
        <f>"299420"</f>
        <v>299420</v>
      </c>
      <c r="B8589" t="s">
        <v>7913</v>
      </c>
      <c r="C8589" t="s">
        <v>33</v>
      </c>
      <c r="D8589" s="21" t="s">
        <v>34</v>
      </c>
      <c r="E8589" s="21" t="s">
        <v>35</v>
      </c>
      <c r="F8589">
        <v>3290249</v>
      </c>
      <c r="G8589" t="s">
        <v>7914</v>
      </c>
      <c r="H8589" s="21">
        <v>1041.17</v>
      </c>
    </row>
    <row r="8590" spans="1:8" customFormat="1" x14ac:dyDescent="0.25">
      <c r="A8590" t="str">
        <f>"752582"</f>
        <v>752582</v>
      </c>
      <c r="B8590" t="s">
        <v>7455</v>
      </c>
      <c r="C8590" t="s">
        <v>1605</v>
      </c>
      <c r="D8590" s="21" t="s">
        <v>34</v>
      </c>
      <c r="E8590" s="21" t="s">
        <v>1089</v>
      </c>
      <c r="F8590">
        <v>8751163</v>
      </c>
      <c r="G8590" t="s">
        <v>80</v>
      </c>
      <c r="H8590" s="21">
        <v>1041.17</v>
      </c>
    </row>
    <row r="8591" spans="1:8" customFormat="1" x14ac:dyDescent="0.25">
      <c r="A8591" t="str">
        <f>"6013752"</f>
        <v>6013752</v>
      </c>
      <c r="B8591" t="s">
        <v>1349</v>
      </c>
      <c r="C8591" t="s">
        <v>926</v>
      </c>
      <c r="D8591" s="21" t="s">
        <v>34</v>
      </c>
      <c r="E8591" s="21" t="s">
        <v>35</v>
      </c>
      <c r="F8591">
        <v>7600041</v>
      </c>
      <c r="G8591" t="s">
        <v>8033</v>
      </c>
      <c r="H8591" s="21">
        <v>1041.17</v>
      </c>
    </row>
    <row r="8592" spans="1:8" customFormat="1" x14ac:dyDescent="0.25">
      <c r="A8592" t="str">
        <f>"425001"</f>
        <v>425001</v>
      </c>
      <c r="B8592" t="s">
        <v>853</v>
      </c>
      <c r="C8592" t="s">
        <v>144</v>
      </c>
      <c r="D8592" s="21" t="s">
        <v>34</v>
      </c>
      <c r="E8592" s="21" t="s">
        <v>35</v>
      </c>
      <c r="F8592">
        <v>1420025</v>
      </c>
      <c r="G8592" t="s">
        <v>5981</v>
      </c>
      <c r="H8592" s="21">
        <v>1041.17</v>
      </c>
    </row>
    <row r="8593" spans="1:8" customFormat="1" x14ac:dyDescent="0.25">
      <c r="A8593" t="str">
        <f>"646032"</f>
        <v>646032</v>
      </c>
      <c r="B8593" t="s">
        <v>11790</v>
      </c>
      <c r="C8593" t="s">
        <v>656</v>
      </c>
      <c r="D8593" s="21" t="s">
        <v>34</v>
      </c>
      <c r="E8593" s="21" t="s">
        <v>35</v>
      </c>
      <c r="F8593">
        <v>10330117</v>
      </c>
      <c r="G8593" t="s">
        <v>1942</v>
      </c>
      <c r="H8593" s="21">
        <v>1041.17</v>
      </c>
    </row>
    <row r="8594" spans="1:8" customFormat="1" x14ac:dyDescent="0.25">
      <c r="A8594" t="str">
        <f>"4422910"</f>
        <v>4422910</v>
      </c>
      <c r="B8594" t="s">
        <v>9295</v>
      </c>
      <c r="C8594" t="s">
        <v>65</v>
      </c>
      <c r="D8594" s="21" t="s">
        <v>34</v>
      </c>
      <c r="E8594" s="21" t="s">
        <v>35</v>
      </c>
      <c r="F8594">
        <v>12440032</v>
      </c>
      <c r="G8594" t="s">
        <v>9296</v>
      </c>
      <c r="H8594" s="21">
        <v>1041.17</v>
      </c>
    </row>
    <row r="8595" spans="1:8" customFormat="1" x14ac:dyDescent="0.25">
      <c r="A8595" t="str">
        <f>"691675"</f>
        <v>691675</v>
      </c>
      <c r="B8595" t="s">
        <v>7975</v>
      </c>
      <c r="C8595" t="s">
        <v>130</v>
      </c>
      <c r="D8595" s="21" t="s">
        <v>34</v>
      </c>
      <c r="E8595" s="21" t="s">
        <v>254</v>
      </c>
      <c r="F8595">
        <v>1690052</v>
      </c>
      <c r="G8595" t="s">
        <v>273</v>
      </c>
      <c r="H8595" s="21">
        <v>1041.17</v>
      </c>
    </row>
    <row r="8596" spans="1:8" customFormat="1" x14ac:dyDescent="0.25">
      <c r="A8596" t="str">
        <f>"594745"</f>
        <v>594745</v>
      </c>
      <c r="B8596" t="s">
        <v>9604</v>
      </c>
      <c r="C8596" t="s">
        <v>576</v>
      </c>
      <c r="D8596" s="21" t="s">
        <v>34</v>
      </c>
      <c r="E8596" s="21" t="s">
        <v>35</v>
      </c>
      <c r="F8596">
        <v>7590403</v>
      </c>
      <c r="G8596" t="s">
        <v>2545</v>
      </c>
      <c r="H8596" s="21">
        <v>1041.17</v>
      </c>
    </row>
    <row r="8597" spans="1:8" customFormat="1" x14ac:dyDescent="0.25">
      <c r="A8597" t="str">
        <f>"1420136"</f>
        <v>1420136</v>
      </c>
      <c r="B8597" t="s">
        <v>3678</v>
      </c>
      <c r="C8597" t="s">
        <v>156</v>
      </c>
      <c r="D8597" s="21" t="s">
        <v>34</v>
      </c>
      <c r="E8597" s="21" t="s">
        <v>35</v>
      </c>
      <c r="F8597">
        <v>9140009</v>
      </c>
      <c r="G8597" t="s">
        <v>3530</v>
      </c>
      <c r="H8597" s="21">
        <v>1041.06</v>
      </c>
    </row>
    <row r="8598" spans="1:8" customFormat="1" x14ac:dyDescent="0.25">
      <c r="A8598" t="str">
        <f>"8178"</f>
        <v>8178</v>
      </c>
      <c r="B8598" t="s">
        <v>8575</v>
      </c>
      <c r="C8598" t="s">
        <v>124</v>
      </c>
      <c r="D8598" s="21" t="s">
        <v>34</v>
      </c>
      <c r="E8598" s="21" t="s">
        <v>71</v>
      </c>
      <c r="F8598">
        <v>11810008</v>
      </c>
      <c r="G8598" t="s">
        <v>8796</v>
      </c>
      <c r="H8598" s="21">
        <v>1041.05</v>
      </c>
    </row>
    <row r="8599" spans="1:8" customFormat="1" x14ac:dyDescent="0.25">
      <c r="A8599" t="str">
        <f>"777915"</f>
        <v>777915</v>
      </c>
      <c r="B8599" t="s">
        <v>8879</v>
      </c>
      <c r="C8599" t="s">
        <v>33</v>
      </c>
      <c r="D8599" s="21" t="s">
        <v>34</v>
      </c>
      <c r="E8599" s="21" t="s">
        <v>71</v>
      </c>
      <c r="F8599">
        <v>8770562</v>
      </c>
      <c r="G8599" t="s">
        <v>4847</v>
      </c>
      <c r="H8599" s="21">
        <v>1040.68</v>
      </c>
    </row>
    <row r="8600" spans="1:8" customFormat="1" x14ac:dyDescent="0.25">
      <c r="A8600" t="str">
        <f>"10116"</f>
        <v>10116</v>
      </c>
      <c r="B8600" t="s">
        <v>7114</v>
      </c>
      <c r="C8600" t="s">
        <v>33</v>
      </c>
      <c r="D8600" s="21" t="s">
        <v>34</v>
      </c>
      <c r="E8600" s="21" t="s">
        <v>71</v>
      </c>
      <c r="F8600">
        <v>6100004</v>
      </c>
      <c r="G8600" t="s">
        <v>496</v>
      </c>
      <c r="H8600" s="21">
        <v>1040.67</v>
      </c>
    </row>
    <row r="8601" spans="1:8" customFormat="1" x14ac:dyDescent="0.25">
      <c r="A8601" t="str">
        <f>"5928762"</f>
        <v>5928762</v>
      </c>
      <c r="B8601" t="s">
        <v>8018</v>
      </c>
      <c r="C8601" t="s">
        <v>187</v>
      </c>
      <c r="D8601" s="21" t="s">
        <v>34</v>
      </c>
      <c r="E8601" s="21" t="s">
        <v>71</v>
      </c>
      <c r="F8601">
        <v>7590009</v>
      </c>
      <c r="G8601" t="s">
        <v>535</v>
      </c>
      <c r="H8601" s="21">
        <v>1040.67</v>
      </c>
    </row>
    <row r="8602" spans="1:8" customFormat="1" x14ac:dyDescent="0.25">
      <c r="A8602" t="str">
        <f>"888945"</f>
        <v>888945</v>
      </c>
      <c r="B8602" t="s">
        <v>8037</v>
      </c>
      <c r="C8602" t="s">
        <v>1299</v>
      </c>
      <c r="D8602" s="21" t="s">
        <v>34</v>
      </c>
      <c r="E8602" s="21" t="s">
        <v>71</v>
      </c>
      <c r="F8602">
        <v>6880022</v>
      </c>
      <c r="G8602" t="s">
        <v>339</v>
      </c>
      <c r="H8602" s="21">
        <v>1040.67</v>
      </c>
    </row>
    <row r="8603" spans="1:8" customFormat="1" x14ac:dyDescent="0.25">
      <c r="A8603" t="str">
        <f>"621485"</f>
        <v>621485</v>
      </c>
      <c r="B8603" t="s">
        <v>8719</v>
      </c>
      <c r="C8603" t="s">
        <v>267</v>
      </c>
      <c r="D8603" s="21" t="s">
        <v>34</v>
      </c>
      <c r="E8603" s="21" t="s">
        <v>254</v>
      </c>
      <c r="F8603">
        <v>7620140</v>
      </c>
      <c r="G8603" t="s">
        <v>7454</v>
      </c>
      <c r="H8603" s="21">
        <v>1040.67</v>
      </c>
    </row>
    <row r="8604" spans="1:8" customFormat="1" x14ac:dyDescent="0.25">
      <c r="A8604" t="str">
        <f>"7614258"</f>
        <v>7614258</v>
      </c>
      <c r="B8604" t="s">
        <v>9577</v>
      </c>
      <c r="C8604" t="s">
        <v>65</v>
      </c>
      <c r="D8604" s="21" t="s">
        <v>34</v>
      </c>
      <c r="E8604" s="21" t="s">
        <v>35</v>
      </c>
      <c r="F8604">
        <v>9760291</v>
      </c>
      <c r="G8604" t="s">
        <v>26611</v>
      </c>
      <c r="H8604" s="21">
        <v>1040.67</v>
      </c>
    </row>
    <row r="8605" spans="1:8" customFormat="1" x14ac:dyDescent="0.25">
      <c r="A8605" t="str">
        <f>"3825251"</f>
        <v>3825251</v>
      </c>
      <c r="B8605" t="s">
        <v>7552</v>
      </c>
      <c r="C8605" t="s">
        <v>7553</v>
      </c>
      <c r="D8605" s="21" t="s">
        <v>34</v>
      </c>
      <c r="E8605" s="21" t="s">
        <v>35</v>
      </c>
      <c r="F8605">
        <v>1380273</v>
      </c>
      <c r="G8605" t="s">
        <v>7554</v>
      </c>
      <c r="H8605" s="21">
        <v>1040.67</v>
      </c>
    </row>
    <row r="8606" spans="1:8" customFormat="1" x14ac:dyDescent="0.25">
      <c r="A8606" t="str">
        <f>"641886"</f>
        <v>641886</v>
      </c>
      <c r="B8606" t="s">
        <v>7424</v>
      </c>
      <c r="C8606" t="s">
        <v>144</v>
      </c>
      <c r="D8606" s="21" t="s">
        <v>34</v>
      </c>
      <c r="E8606" s="21" t="s">
        <v>35</v>
      </c>
      <c r="F8606">
        <v>10640014</v>
      </c>
      <c r="G8606" t="s">
        <v>3327</v>
      </c>
      <c r="H8606" s="21">
        <v>1040.67</v>
      </c>
    </row>
    <row r="8607" spans="1:8" customFormat="1" x14ac:dyDescent="0.25">
      <c r="A8607" t="str">
        <f>"254647"</f>
        <v>254647</v>
      </c>
      <c r="B8607" t="s">
        <v>9398</v>
      </c>
      <c r="C8607" t="s">
        <v>285</v>
      </c>
      <c r="D8607" s="21" t="s">
        <v>34</v>
      </c>
      <c r="E8607" s="21" t="s">
        <v>35</v>
      </c>
      <c r="F8607">
        <v>2250185</v>
      </c>
      <c r="G8607" t="s">
        <v>9399</v>
      </c>
      <c r="H8607" s="21">
        <v>1040.67</v>
      </c>
    </row>
    <row r="8608" spans="1:8" customFormat="1" x14ac:dyDescent="0.25">
      <c r="A8608" t="str">
        <f>"576352"</f>
        <v>576352</v>
      </c>
      <c r="B8608" t="s">
        <v>8950</v>
      </c>
      <c r="C8608" t="s">
        <v>119</v>
      </c>
      <c r="D8608" s="21" t="s">
        <v>34</v>
      </c>
      <c r="E8608" s="21" t="s">
        <v>71</v>
      </c>
      <c r="F8608">
        <v>6570007</v>
      </c>
      <c r="G8608" t="s">
        <v>2845</v>
      </c>
      <c r="H8608" s="21">
        <v>1040.67</v>
      </c>
    </row>
    <row r="8609" spans="1:8" customFormat="1" x14ac:dyDescent="0.25">
      <c r="A8609" t="str">
        <f>"637228"</f>
        <v>637228</v>
      </c>
      <c r="B8609" t="s">
        <v>8824</v>
      </c>
      <c r="C8609" t="s">
        <v>33</v>
      </c>
      <c r="D8609" s="21" t="s">
        <v>34</v>
      </c>
      <c r="E8609" s="21" t="s">
        <v>35</v>
      </c>
      <c r="F8609">
        <v>1630005</v>
      </c>
      <c r="G8609" t="s">
        <v>8825</v>
      </c>
      <c r="H8609" s="21">
        <v>1040.67</v>
      </c>
    </row>
    <row r="8610" spans="1:8" customFormat="1" x14ac:dyDescent="0.25">
      <c r="A8610" t="str">
        <f>"7628591"</f>
        <v>7628591</v>
      </c>
      <c r="B8610" t="s">
        <v>9566</v>
      </c>
      <c r="C8610" t="s">
        <v>65</v>
      </c>
      <c r="D8610" s="21" t="s">
        <v>34</v>
      </c>
      <c r="E8610" s="21" t="s">
        <v>35</v>
      </c>
      <c r="F8610">
        <v>9760457</v>
      </c>
      <c r="G8610" t="s">
        <v>6912</v>
      </c>
      <c r="H8610" s="21">
        <v>1040.67</v>
      </c>
    </row>
    <row r="8611" spans="1:8" customFormat="1" x14ac:dyDescent="0.25">
      <c r="A8611" t="str">
        <f>"1314656"</f>
        <v>1314656</v>
      </c>
      <c r="B8611" t="s">
        <v>10299</v>
      </c>
      <c r="C8611" t="s">
        <v>169</v>
      </c>
      <c r="D8611" s="21" t="s">
        <v>34</v>
      </c>
      <c r="E8611" s="21" t="s">
        <v>35</v>
      </c>
      <c r="F8611">
        <v>13130100</v>
      </c>
      <c r="G8611" t="s">
        <v>2893</v>
      </c>
      <c r="H8611" s="21">
        <v>1040.55</v>
      </c>
    </row>
    <row r="8612" spans="1:8" customFormat="1" x14ac:dyDescent="0.25">
      <c r="A8612" t="str">
        <f>"801058"</f>
        <v>801058</v>
      </c>
      <c r="B8612" t="s">
        <v>7841</v>
      </c>
      <c r="C8612" t="s">
        <v>124</v>
      </c>
      <c r="D8612" s="21" t="s">
        <v>34</v>
      </c>
      <c r="E8612" s="21" t="s">
        <v>254</v>
      </c>
      <c r="F8612">
        <v>7800106</v>
      </c>
      <c r="G8612" t="s">
        <v>2466</v>
      </c>
      <c r="H8612" s="21">
        <v>1040.55</v>
      </c>
    </row>
    <row r="8613" spans="1:8" customFormat="1" x14ac:dyDescent="0.25">
      <c r="A8613" t="str">
        <f>"574870"</f>
        <v>574870</v>
      </c>
      <c r="B8613" t="s">
        <v>10735</v>
      </c>
      <c r="C8613" t="s">
        <v>7740</v>
      </c>
      <c r="D8613" s="21" t="s">
        <v>34</v>
      </c>
      <c r="E8613" s="21" t="s">
        <v>35</v>
      </c>
      <c r="F8613">
        <v>6570007</v>
      </c>
      <c r="G8613" t="s">
        <v>2845</v>
      </c>
      <c r="H8613" s="21">
        <v>1040.42</v>
      </c>
    </row>
    <row r="8614" spans="1:8" customFormat="1" x14ac:dyDescent="0.25">
      <c r="A8614" t="str">
        <f>"991117"</f>
        <v>991117</v>
      </c>
      <c r="B8614" t="s">
        <v>9621</v>
      </c>
      <c r="C8614" t="s">
        <v>462</v>
      </c>
      <c r="D8614" s="21" t="s">
        <v>34</v>
      </c>
      <c r="E8614" s="21" t="s">
        <v>35</v>
      </c>
      <c r="F8614" t="s">
        <v>1923</v>
      </c>
      <c r="G8614" t="s">
        <v>1924</v>
      </c>
      <c r="H8614" s="21">
        <v>1040.3</v>
      </c>
    </row>
    <row r="8615" spans="1:8" customFormat="1" x14ac:dyDescent="0.25">
      <c r="A8615" t="str">
        <f>"9113317"</f>
        <v>9113317</v>
      </c>
      <c r="B8615" t="s">
        <v>577</v>
      </c>
      <c r="C8615" t="s">
        <v>1110</v>
      </c>
      <c r="D8615" s="21" t="s">
        <v>34</v>
      </c>
      <c r="E8615" s="21" t="s">
        <v>254</v>
      </c>
      <c r="F8615">
        <v>10190096</v>
      </c>
      <c r="G8615" t="s">
        <v>3949</v>
      </c>
      <c r="H8615" s="21">
        <v>1040.3</v>
      </c>
    </row>
    <row r="8616" spans="1:8" customFormat="1" x14ac:dyDescent="0.25">
      <c r="A8616" t="str">
        <f>"4220326"</f>
        <v>4220326</v>
      </c>
      <c r="B8616" t="s">
        <v>18296</v>
      </c>
      <c r="C8616" t="s">
        <v>87</v>
      </c>
      <c r="D8616" s="21" t="s">
        <v>34</v>
      </c>
      <c r="E8616" s="21" t="s">
        <v>35</v>
      </c>
      <c r="F8616">
        <v>1420309</v>
      </c>
      <c r="G8616" t="s">
        <v>26798</v>
      </c>
      <c r="H8616" s="21">
        <v>1040.17</v>
      </c>
    </row>
    <row r="8617" spans="1:8" customFormat="1" x14ac:dyDescent="0.25">
      <c r="A8617" t="str">
        <f>"2918122"</f>
        <v>2918122</v>
      </c>
      <c r="B8617" t="s">
        <v>1028</v>
      </c>
      <c r="C8617" t="s">
        <v>415</v>
      </c>
      <c r="D8617" s="21" t="s">
        <v>34</v>
      </c>
      <c r="E8617" s="21" t="s">
        <v>71</v>
      </c>
      <c r="F8617">
        <v>1260034</v>
      </c>
      <c r="G8617" t="s">
        <v>1884</v>
      </c>
      <c r="H8617" s="21">
        <v>1040.17</v>
      </c>
    </row>
    <row r="8618" spans="1:8" customFormat="1" x14ac:dyDescent="0.25">
      <c r="A8618" t="str">
        <f>"388898"</f>
        <v>388898</v>
      </c>
      <c r="B8618" t="s">
        <v>9654</v>
      </c>
      <c r="C8618" t="s">
        <v>262</v>
      </c>
      <c r="D8618" s="21" t="s">
        <v>34</v>
      </c>
      <c r="E8618" s="21" t="s">
        <v>35</v>
      </c>
      <c r="F8618">
        <v>1380233</v>
      </c>
      <c r="G8618" t="s">
        <v>2694</v>
      </c>
      <c r="H8618" s="21">
        <v>1040.17</v>
      </c>
    </row>
    <row r="8619" spans="1:8" customFormat="1" x14ac:dyDescent="0.25">
      <c r="A8619" t="str">
        <f>"441155"</f>
        <v>441155</v>
      </c>
      <c r="B8619" t="s">
        <v>6120</v>
      </c>
      <c r="C8619" t="s">
        <v>156</v>
      </c>
      <c r="D8619" s="21" t="s">
        <v>34</v>
      </c>
      <c r="E8619" s="21" t="s">
        <v>71</v>
      </c>
      <c r="F8619">
        <v>12440259</v>
      </c>
      <c r="G8619" t="s">
        <v>833</v>
      </c>
      <c r="H8619" s="21">
        <v>1040.17</v>
      </c>
    </row>
    <row r="8620" spans="1:8" customFormat="1" x14ac:dyDescent="0.25">
      <c r="A8620" t="str">
        <f>"728078"</f>
        <v>728078</v>
      </c>
      <c r="B8620" t="s">
        <v>2398</v>
      </c>
      <c r="C8620" t="s">
        <v>62</v>
      </c>
      <c r="D8620" s="21" t="s">
        <v>34</v>
      </c>
      <c r="E8620" s="21" t="s">
        <v>71</v>
      </c>
      <c r="F8620">
        <v>12720070</v>
      </c>
      <c r="G8620" t="s">
        <v>2348</v>
      </c>
      <c r="H8620" s="21">
        <v>1040.17</v>
      </c>
    </row>
    <row r="8621" spans="1:8" customFormat="1" x14ac:dyDescent="0.25">
      <c r="A8621" t="str">
        <f>"5614866"</f>
        <v>5614866</v>
      </c>
      <c r="B8621" t="s">
        <v>10635</v>
      </c>
      <c r="C8621" t="s">
        <v>82</v>
      </c>
      <c r="D8621" s="21" t="s">
        <v>34</v>
      </c>
      <c r="E8621" s="21" t="s">
        <v>35</v>
      </c>
      <c r="F8621">
        <v>3560090</v>
      </c>
      <c r="G8621" t="s">
        <v>7777</v>
      </c>
      <c r="H8621" s="21">
        <v>1040.17</v>
      </c>
    </row>
    <row r="8622" spans="1:8" customFormat="1" x14ac:dyDescent="0.25">
      <c r="A8622" t="str">
        <f>"4522424"</f>
        <v>4522424</v>
      </c>
      <c r="B8622" t="s">
        <v>727</v>
      </c>
      <c r="C8622" t="s">
        <v>33</v>
      </c>
      <c r="D8622" s="21" t="s">
        <v>34</v>
      </c>
      <c r="E8622" s="21" t="s">
        <v>35</v>
      </c>
      <c r="F8622">
        <v>4450773</v>
      </c>
      <c r="G8622" t="s">
        <v>26903</v>
      </c>
      <c r="H8622" s="21">
        <v>1040.17</v>
      </c>
    </row>
    <row r="8623" spans="1:8" customFormat="1" x14ac:dyDescent="0.25">
      <c r="A8623" t="str">
        <f>"594977"</f>
        <v>594977</v>
      </c>
      <c r="B8623" t="s">
        <v>7574</v>
      </c>
      <c r="C8623" t="s">
        <v>33</v>
      </c>
      <c r="D8623" s="21" t="s">
        <v>34</v>
      </c>
      <c r="E8623" s="21" t="s">
        <v>35</v>
      </c>
      <c r="F8623">
        <v>7590057</v>
      </c>
      <c r="G8623" t="s">
        <v>7575</v>
      </c>
      <c r="H8623" s="21">
        <v>1040.17</v>
      </c>
    </row>
    <row r="8624" spans="1:8" customFormat="1" x14ac:dyDescent="0.25">
      <c r="A8624" t="str">
        <f>"72323"</f>
        <v>72323</v>
      </c>
      <c r="B8624" t="s">
        <v>3634</v>
      </c>
      <c r="C8624" t="s">
        <v>2907</v>
      </c>
      <c r="D8624" s="21" t="s">
        <v>34</v>
      </c>
      <c r="E8624" s="21" t="s">
        <v>254</v>
      </c>
      <c r="F8624">
        <v>12720005</v>
      </c>
      <c r="G8624" t="s">
        <v>999</v>
      </c>
      <c r="H8624" s="21">
        <v>1040.17</v>
      </c>
    </row>
    <row r="8625" spans="1:8" customFormat="1" x14ac:dyDescent="0.25">
      <c r="A8625" t="str">
        <f>"316911"</f>
        <v>316911</v>
      </c>
      <c r="B8625" t="s">
        <v>10842</v>
      </c>
      <c r="C8625" t="s">
        <v>209</v>
      </c>
      <c r="D8625" s="21" t="s">
        <v>34</v>
      </c>
      <c r="E8625" s="21" t="s">
        <v>71</v>
      </c>
      <c r="F8625">
        <v>11310123</v>
      </c>
      <c r="G8625" t="s">
        <v>3915</v>
      </c>
      <c r="H8625" s="21">
        <v>1040.17</v>
      </c>
    </row>
    <row r="8626" spans="1:8" customFormat="1" x14ac:dyDescent="0.25">
      <c r="A8626" t="str">
        <f>"867627"</f>
        <v>867627</v>
      </c>
      <c r="B8626" t="s">
        <v>1547</v>
      </c>
      <c r="C8626" t="s">
        <v>415</v>
      </c>
      <c r="D8626" s="21" t="s">
        <v>34</v>
      </c>
      <c r="E8626" s="21" t="s">
        <v>35</v>
      </c>
      <c r="F8626">
        <v>11310117</v>
      </c>
      <c r="G8626" t="s">
        <v>10279</v>
      </c>
      <c r="H8626" s="21">
        <v>1040.17</v>
      </c>
    </row>
    <row r="8627" spans="1:8" customFormat="1" x14ac:dyDescent="0.25">
      <c r="A8627" t="str">
        <f>"804901"</f>
        <v>804901</v>
      </c>
      <c r="B8627" t="s">
        <v>8280</v>
      </c>
      <c r="C8627" t="s">
        <v>598</v>
      </c>
      <c r="D8627" s="21" t="s">
        <v>34</v>
      </c>
      <c r="E8627" s="21" t="s">
        <v>35</v>
      </c>
      <c r="F8627">
        <v>7800040</v>
      </c>
      <c r="G8627" t="s">
        <v>1448</v>
      </c>
      <c r="H8627" s="21">
        <v>1040.17</v>
      </c>
    </row>
    <row r="8628" spans="1:8" customFormat="1" x14ac:dyDescent="0.25">
      <c r="A8628" t="str">
        <f>"9722479"</f>
        <v>9722479</v>
      </c>
      <c r="B8628" t="s">
        <v>8813</v>
      </c>
      <c r="C8628" t="s">
        <v>8814</v>
      </c>
      <c r="D8628" s="21" t="s">
        <v>34</v>
      </c>
      <c r="E8628" s="21" t="s">
        <v>254</v>
      </c>
      <c r="F8628" t="s">
        <v>8815</v>
      </c>
      <c r="G8628" t="s">
        <v>8816</v>
      </c>
      <c r="H8628" s="21">
        <v>1040.17</v>
      </c>
    </row>
    <row r="8629" spans="1:8" customFormat="1" x14ac:dyDescent="0.25">
      <c r="A8629" t="str">
        <f>"6310549"</f>
        <v>6310549</v>
      </c>
      <c r="B8629" t="s">
        <v>67</v>
      </c>
      <c r="C8629" t="s">
        <v>926</v>
      </c>
      <c r="D8629" s="21" t="s">
        <v>34</v>
      </c>
      <c r="E8629" s="21" t="s">
        <v>35</v>
      </c>
      <c r="F8629">
        <v>1630281</v>
      </c>
      <c r="G8629" t="s">
        <v>1190</v>
      </c>
      <c r="H8629" s="21">
        <v>1040.17</v>
      </c>
    </row>
    <row r="8630" spans="1:8" customFormat="1" x14ac:dyDescent="0.25">
      <c r="A8630" t="str">
        <f>"441313"</f>
        <v>441313</v>
      </c>
      <c r="B8630" t="s">
        <v>8086</v>
      </c>
      <c r="C8630" t="s">
        <v>611</v>
      </c>
      <c r="D8630" s="21" t="s">
        <v>34</v>
      </c>
      <c r="E8630" s="21" t="s">
        <v>35</v>
      </c>
      <c r="F8630">
        <v>12440266</v>
      </c>
      <c r="G8630" t="s">
        <v>924</v>
      </c>
      <c r="H8630" s="21">
        <v>1040.17</v>
      </c>
    </row>
    <row r="8631" spans="1:8" customFormat="1" x14ac:dyDescent="0.25">
      <c r="A8631" t="str">
        <f>"5714736"</f>
        <v>5714736</v>
      </c>
      <c r="B8631" t="s">
        <v>8730</v>
      </c>
      <c r="C8631" t="s">
        <v>288</v>
      </c>
      <c r="D8631" s="21" t="s">
        <v>34</v>
      </c>
      <c r="E8631" s="21" t="s">
        <v>71</v>
      </c>
      <c r="F8631">
        <v>3290237</v>
      </c>
      <c r="G8631" t="s">
        <v>8731</v>
      </c>
      <c r="H8631" s="21">
        <v>1040.17</v>
      </c>
    </row>
    <row r="8632" spans="1:8" customFormat="1" x14ac:dyDescent="0.25">
      <c r="A8632" t="str">
        <f>"22383"</f>
        <v>22383</v>
      </c>
      <c r="B8632" t="s">
        <v>4697</v>
      </c>
      <c r="C8632" t="s">
        <v>171</v>
      </c>
      <c r="D8632" s="21" t="s">
        <v>34</v>
      </c>
      <c r="E8632" s="21" t="s">
        <v>254</v>
      </c>
      <c r="F8632">
        <v>3220052</v>
      </c>
      <c r="G8632" t="s">
        <v>27058</v>
      </c>
      <c r="H8632" s="21">
        <v>1040</v>
      </c>
    </row>
    <row r="8633" spans="1:8" customFormat="1" x14ac:dyDescent="0.25">
      <c r="A8633" t="str">
        <f>"9A1219"</f>
        <v>9A1219</v>
      </c>
      <c r="B8633" t="s">
        <v>9054</v>
      </c>
      <c r="C8633" t="s">
        <v>96</v>
      </c>
      <c r="D8633" s="21" t="s">
        <v>34</v>
      </c>
      <c r="E8633" s="21" t="s">
        <v>71</v>
      </c>
      <c r="F8633" t="s">
        <v>8473</v>
      </c>
      <c r="G8633" t="s">
        <v>8474</v>
      </c>
      <c r="H8633" s="21">
        <v>1039.92</v>
      </c>
    </row>
    <row r="8634" spans="1:8" customFormat="1" x14ac:dyDescent="0.25">
      <c r="A8634" t="str">
        <f>"2711114"</f>
        <v>2711114</v>
      </c>
      <c r="B8634" t="s">
        <v>9966</v>
      </c>
      <c r="C8634" t="s">
        <v>3309</v>
      </c>
      <c r="D8634" s="21" t="s">
        <v>34</v>
      </c>
      <c r="E8634" s="21" t="s">
        <v>35</v>
      </c>
      <c r="F8634">
        <v>9270139</v>
      </c>
      <c r="G8634" t="s">
        <v>6955</v>
      </c>
      <c r="H8634" s="21">
        <v>1039.92</v>
      </c>
    </row>
    <row r="8635" spans="1:8" customFormat="1" x14ac:dyDescent="0.25">
      <c r="A8635" t="str">
        <f>"8514202"</f>
        <v>8514202</v>
      </c>
      <c r="B8635" t="s">
        <v>10444</v>
      </c>
      <c r="C8635" t="s">
        <v>55</v>
      </c>
      <c r="D8635" s="21" t="s">
        <v>34</v>
      </c>
      <c r="E8635" s="21" t="s">
        <v>35</v>
      </c>
      <c r="F8635">
        <v>12850078</v>
      </c>
      <c r="G8635" t="s">
        <v>5639</v>
      </c>
      <c r="H8635" s="21">
        <v>1039.92</v>
      </c>
    </row>
    <row r="8636" spans="1:8" customFormat="1" x14ac:dyDescent="0.25">
      <c r="A8636" t="str">
        <f>"725576"</f>
        <v>725576</v>
      </c>
      <c r="B8636" t="s">
        <v>1886</v>
      </c>
      <c r="C8636" t="s">
        <v>236</v>
      </c>
      <c r="D8636" s="21" t="s">
        <v>34</v>
      </c>
      <c r="E8636" s="21" t="s">
        <v>254</v>
      </c>
      <c r="F8636">
        <v>12720056</v>
      </c>
      <c r="G8636" t="s">
        <v>9231</v>
      </c>
      <c r="H8636" s="21">
        <v>1039.8</v>
      </c>
    </row>
    <row r="8637" spans="1:8" customFormat="1" x14ac:dyDescent="0.25">
      <c r="A8637" t="str">
        <f>"2934373"</f>
        <v>2934373</v>
      </c>
      <c r="B8637" t="s">
        <v>9765</v>
      </c>
      <c r="C8637" t="s">
        <v>55</v>
      </c>
      <c r="D8637" s="21" t="s">
        <v>34</v>
      </c>
      <c r="E8637" s="21" t="s">
        <v>35</v>
      </c>
      <c r="F8637">
        <v>3290208</v>
      </c>
      <c r="G8637" t="s">
        <v>1553</v>
      </c>
      <c r="H8637" s="21">
        <v>1039.79</v>
      </c>
    </row>
    <row r="8638" spans="1:8" customFormat="1" x14ac:dyDescent="0.25">
      <c r="A8638" t="str">
        <f>"784038"</f>
        <v>784038</v>
      </c>
      <c r="B8638" t="s">
        <v>8598</v>
      </c>
      <c r="C8638" t="s">
        <v>462</v>
      </c>
      <c r="D8638" s="21" t="s">
        <v>34</v>
      </c>
      <c r="E8638" s="21" t="s">
        <v>35</v>
      </c>
      <c r="F8638">
        <v>8780224</v>
      </c>
      <c r="G8638" t="s">
        <v>8599</v>
      </c>
      <c r="H8638" s="21">
        <v>1039.67</v>
      </c>
    </row>
    <row r="8639" spans="1:8" customFormat="1" x14ac:dyDescent="0.25">
      <c r="A8639" t="str">
        <f>"418551"</f>
        <v>418551</v>
      </c>
      <c r="B8639" t="s">
        <v>2854</v>
      </c>
      <c r="C8639" t="s">
        <v>209</v>
      </c>
      <c r="D8639" s="21" t="s">
        <v>34</v>
      </c>
      <c r="E8639" s="21" t="s">
        <v>71</v>
      </c>
      <c r="F8639">
        <v>4410718</v>
      </c>
      <c r="G8639" t="s">
        <v>5963</v>
      </c>
      <c r="H8639" s="21">
        <v>1039.67</v>
      </c>
    </row>
    <row r="8640" spans="1:8" customFormat="1" x14ac:dyDescent="0.25">
      <c r="A8640" t="str">
        <f>"6934138"</f>
        <v>6934138</v>
      </c>
      <c r="B8640" t="s">
        <v>27059</v>
      </c>
      <c r="C8640" t="s">
        <v>144</v>
      </c>
      <c r="D8640" s="21" t="s">
        <v>34</v>
      </c>
      <c r="E8640" s="21" t="s">
        <v>71</v>
      </c>
      <c r="F8640">
        <v>4360009</v>
      </c>
      <c r="G8640" t="s">
        <v>6259</v>
      </c>
      <c r="H8640" s="21">
        <v>1039.67</v>
      </c>
    </row>
    <row r="8641" spans="1:8" customFormat="1" x14ac:dyDescent="0.25">
      <c r="A8641" t="str">
        <f>"501343"</f>
        <v>501343</v>
      </c>
      <c r="B8641" t="s">
        <v>8895</v>
      </c>
      <c r="C8641" t="s">
        <v>415</v>
      </c>
      <c r="D8641" s="21" t="s">
        <v>34</v>
      </c>
      <c r="E8641" s="21" t="s">
        <v>254</v>
      </c>
      <c r="F8641">
        <v>9500117</v>
      </c>
      <c r="G8641" t="s">
        <v>247</v>
      </c>
      <c r="H8641" s="21">
        <v>1039.67</v>
      </c>
    </row>
    <row r="8642" spans="1:8" customFormat="1" x14ac:dyDescent="0.25">
      <c r="A8642" t="str">
        <f>"27582"</f>
        <v>27582</v>
      </c>
      <c r="B8642" t="s">
        <v>8131</v>
      </c>
      <c r="C8642" t="s">
        <v>267</v>
      </c>
      <c r="D8642" s="21" t="s">
        <v>34</v>
      </c>
      <c r="E8642" s="21" t="s">
        <v>254</v>
      </c>
      <c r="F8642">
        <v>9270041</v>
      </c>
      <c r="G8642" t="s">
        <v>4698</v>
      </c>
      <c r="H8642" s="21">
        <v>1039.67</v>
      </c>
    </row>
    <row r="8643" spans="1:8" customFormat="1" x14ac:dyDescent="0.25">
      <c r="A8643" t="str">
        <f>"572303"</f>
        <v>572303</v>
      </c>
      <c r="B8643" t="s">
        <v>8950</v>
      </c>
      <c r="C8643" t="s">
        <v>484</v>
      </c>
      <c r="D8643" s="21" t="s">
        <v>34</v>
      </c>
      <c r="E8643" s="21" t="s">
        <v>35</v>
      </c>
      <c r="F8643">
        <v>6570070</v>
      </c>
      <c r="G8643" t="s">
        <v>1765</v>
      </c>
      <c r="H8643" s="21">
        <v>1039.67</v>
      </c>
    </row>
    <row r="8644" spans="1:8" customFormat="1" x14ac:dyDescent="0.25">
      <c r="A8644" t="str">
        <f>"2813309"</f>
        <v>2813309</v>
      </c>
      <c r="B8644" t="s">
        <v>4978</v>
      </c>
      <c r="C8644" t="s">
        <v>60</v>
      </c>
      <c r="D8644" s="21" t="s">
        <v>34</v>
      </c>
      <c r="E8644" s="21" t="s">
        <v>35</v>
      </c>
      <c r="F8644">
        <v>4280610</v>
      </c>
      <c r="G8644" t="s">
        <v>8180</v>
      </c>
      <c r="H8644" s="21">
        <v>1039.67</v>
      </c>
    </row>
    <row r="8645" spans="1:8" customFormat="1" x14ac:dyDescent="0.25">
      <c r="A8645" t="str">
        <f>"9527726"</f>
        <v>9527726</v>
      </c>
      <c r="B8645" t="s">
        <v>10031</v>
      </c>
      <c r="C8645" t="s">
        <v>498</v>
      </c>
      <c r="D8645" s="21" t="s">
        <v>34</v>
      </c>
      <c r="E8645" s="21" t="s">
        <v>71</v>
      </c>
      <c r="F8645">
        <v>8950479</v>
      </c>
      <c r="G8645" t="s">
        <v>728</v>
      </c>
      <c r="H8645" s="21">
        <v>1039.42</v>
      </c>
    </row>
    <row r="8646" spans="1:8" customFormat="1" x14ac:dyDescent="0.25">
      <c r="A8646" t="str">
        <f>"371790"</f>
        <v>371790</v>
      </c>
      <c r="B8646" t="s">
        <v>7445</v>
      </c>
      <c r="C8646" t="s">
        <v>267</v>
      </c>
      <c r="D8646" s="21" t="s">
        <v>34</v>
      </c>
      <c r="E8646" s="21" t="s">
        <v>254</v>
      </c>
      <c r="F8646">
        <v>10860031</v>
      </c>
      <c r="G8646" t="s">
        <v>5834</v>
      </c>
      <c r="H8646" s="21">
        <v>1039.42</v>
      </c>
    </row>
    <row r="8647" spans="1:8" customFormat="1" x14ac:dyDescent="0.25">
      <c r="A8647" t="str">
        <f>"023784"</f>
        <v>023784</v>
      </c>
      <c r="B8647" t="s">
        <v>9583</v>
      </c>
      <c r="C8647" t="s">
        <v>239</v>
      </c>
      <c r="D8647" s="21" t="s">
        <v>34</v>
      </c>
      <c r="E8647" s="21" t="s">
        <v>1089</v>
      </c>
      <c r="F8647">
        <v>7020040</v>
      </c>
      <c r="G8647" t="s">
        <v>1698</v>
      </c>
      <c r="H8647" s="21">
        <v>1039.29</v>
      </c>
    </row>
    <row r="8648" spans="1:8" customFormat="1" x14ac:dyDescent="0.25">
      <c r="A8648" t="str">
        <f>"2925448"</f>
        <v>2925448</v>
      </c>
      <c r="B8648" t="s">
        <v>3313</v>
      </c>
      <c r="C8648" t="s">
        <v>1665</v>
      </c>
      <c r="D8648" s="21" t="s">
        <v>34</v>
      </c>
      <c r="E8648" s="21" t="s">
        <v>254</v>
      </c>
      <c r="F8648">
        <v>3290229</v>
      </c>
      <c r="G8648" t="s">
        <v>408</v>
      </c>
      <c r="H8648" s="21">
        <v>1039.17</v>
      </c>
    </row>
    <row r="8649" spans="1:8" customFormat="1" x14ac:dyDescent="0.25">
      <c r="A8649" t="str">
        <f>"685933"</f>
        <v>685933</v>
      </c>
      <c r="B8649" t="s">
        <v>8178</v>
      </c>
      <c r="C8649" t="s">
        <v>114</v>
      </c>
      <c r="D8649" s="21" t="s">
        <v>34</v>
      </c>
      <c r="E8649" s="21" t="s">
        <v>254</v>
      </c>
      <c r="F8649">
        <v>6680090</v>
      </c>
      <c r="G8649" t="s">
        <v>3129</v>
      </c>
      <c r="H8649" s="21">
        <v>1039.17</v>
      </c>
    </row>
    <row r="8650" spans="1:8" customFormat="1" x14ac:dyDescent="0.25">
      <c r="A8650" t="str">
        <f>"7515236"</f>
        <v>7515236</v>
      </c>
      <c r="B8650" t="s">
        <v>27060</v>
      </c>
      <c r="C8650" t="s">
        <v>62</v>
      </c>
      <c r="D8650" s="21" t="s">
        <v>34</v>
      </c>
      <c r="E8650" s="21" t="s">
        <v>35</v>
      </c>
      <c r="F8650">
        <v>8940326</v>
      </c>
      <c r="G8650" t="s">
        <v>659</v>
      </c>
      <c r="H8650" s="21">
        <v>1039.17</v>
      </c>
    </row>
    <row r="8651" spans="1:8" customFormat="1" x14ac:dyDescent="0.25">
      <c r="A8651" t="str">
        <f>"9131894"</f>
        <v>9131894</v>
      </c>
      <c r="B8651" t="s">
        <v>1195</v>
      </c>
      <c r="C8651" t="s">
        <v>40</v>
      </c>
      <c r="D8651" s="21" t="s">
        <v>34</v>
      </c>
      <c r="E8651" s="21" t="s">
        <v>35</v>
      </c>
      <c r="F8651">
        <v>8910667</v>
      </c>
      <c r="G8651" t="s">
        <v>2361</v>
      </c>
      <c r="H8651" s="21">
        <v>1039.17</v>
      </c>
    </row>
    <row r="8652" spans="1:8" customFormat="1" x14ac:dyDescent="0.25">
      <c r="A8652" t="str">
        <f>"7713677"</f>
        <v>7713677</v>
      </c>
      <c r="B8652" t="s">
        <v>8989</v>
      </c>
      <c r="C8652" t="s">
        <v>33</v>
      </c>
      <c r="D8652" s="21" t="s">
        <v>34</v>
      </c>
      <c r="E8652" s="21" t="s">
        <v>71</v>
      </c>
      <c r="F8652">
        <v>8770562</v>
      </c>
      <c r="G8652" t="s">
        <v>4847</v>
      </c>
      <c r="H8652" s="21">
        <v>1039.17</v>
      </c>
    </row>
    <row r="8653" spans="1:8" customFormat="1" x14ac:dyDescent="0.25">
      <c r="A8653" t="str">
        <f>"7513765"</f>
        <v>7513765</v>
      </c>
      <c r="B8653" t="s">
        <v>8192</v>
      </c>
      <c r="C8653" t="s">
        <v>768</v>
      </c>
      <c r="D8653" s="21" t="s">
        <v>34</v>
      </c>
      <c r="E8653" s="21" t="s">
        <v>35</v>
      </c>
      <c r="F8653">
        <v>8750487</v>
      </c>
      <c r="G8653" t="s">
        <v>6793</v>
      </c>
      <c r="H8653" s="21">
        <v>1039.17</v>
      </c>
    </row>
    <row r="8654" spans="1:8" customFormat="1" x14ac:dyDescent="0.25">
      <c r="A8654" t="str">
        <f>"6232442"</f>
        <v>6232442</v>
      </c>
      <c r="B8654" t="s">
        <v>8286</v>
      </c>
      <c r="C8654" t="s">
        <v>60</v>
      </c>
      <c r="D8654" s="21" t="s">
        <v>34</v>
      </c>
      <c r="E8654" s="21" t="s">
        <v>35</v>
      </c>
      <c r="F8654">
        <v>7620153</v>
      </c>
      <c r="G8654" t="s">
        <v>5104</v>
      </c>
      <c r="H8654" s="21">
        <v>1039.17</v>
      </c>
    </row>
    <row r="8655" spans="1:8" customFormat="1" x14ac:dyDescent="0.25">
      <c r="A8655" t="str">
        <f>"4442121"</f>
        <v>4442121</v>
      </c>
      <c r="B8655" t="s">
        <v>10396</v>
      </c>
      <c r="C8655" t="s">
        <v>204</v>
      </c>
      <c r="D8655" s="21" t="s">
        <v>34</v>
      </c>
      <c r="E8655" s="21" t="s">
        <v>35</v>
      </c>
      <c r="F8655">
        <v>12440193</v>
      </c>
      <c r="G8655" t="s">
        <v>3786</v>
      </c>
      <c r="H8655" s="21">
        <v>1039.17</v>
      </c>
    </row>
    <row r="8656" spans="1:8" customFormat="1" x14ac:dyDescent="0.25">
      <c r="A8656" t="str">
        <f>"272503"</f>
        <v>272503</v>
      </c>
      <c r="B8656" t="s">
        <v>8506</v>
      </c>
      <c r="C8656" t="s">
        <v>171</v>
      </c>
      <c r="D8656" s="21" t="s">
        <v>34</v>
      </c>
      <c r="E8656" s="21" t="s">
        <v>1089</v>
      </c>
      <c r="F8656">
        <v>9270060</v>
      </c>
      <c r="G8656" t="s">
        <v>1982</v>
      </c>
      <c r="H8656" s="21">
        <v>1039.17</v>
      </c>
    </row>
    <row r="8657" spans="1:8" customFormat="1" x14ac:dyDescent="0.25">
      <c r="A8657" t="str">
        <f>"505522"</f>
        <v>505522</v>
      </c>
      <c r="B8657" t="s">
        <v>10258</v>
      </c>
      <c r="C8657" t="s">
        <v>267</v>
      </c>
      <c r="D8657" s="21" t="s">
        <v>34</v>
      </c>
      <c r="E8657" s="21" t="s">
        <v>254</v>
      </c>
      <c r="F8657">
        <v>9500121</v>
      </c>
      <c r="G8657" t="s">
        <v>7360</v>
      </c>
      <c r="H8657" s="21">
        <v>1039.05</v>
      </c>
    </row>
    <row r="8658" spans="1:8" customFormat="1" x14ac:dyDescent="0.25">
      <c r="A8658" t="str">
        <f>"837030"</f>
        <v>837030</v>
      </c>
      <c r="B8658" t="s">
        <v>4095</v>
      </c>
      <c r="C8658" t="s">
        <v>598</v>
      </c>
      <c r="D8658" s="21" t="s">
        <v>34</v>
      </c>
      <c r="E8658" s="21" t="s">
        <v>254</v>
      </c>
      <c r="F8658">
        <v>13830044</v>
      </c>
      <c r="G8658" t="s">
        <v>945</v>
      </c>
      <c r="H8658" s="21">
        <v>1039.04</v>
      </c>
    </row>
    <row r="8659" spans="1:8" customFormat="1" x14ac:dyDescent="0.25">
      <c r="A8659" t="str">
        <f>"518485"</f>
        <v>518485</v>
      </c>
      <c r="B8659" t="s">
        <v>27061</v>
      </c>
      <c r="C8659" t="s">
        <v>1231</v>
      </c>
      <c r="D8659" s="21" t="s">
        <v>34</v>
      </c>
      <c r="E8659" s="21" t="s">
        <v>35</v>
      </c>
      <c r="F8659">
        <v>6510018</v>
      </c>
      <c r="G8659" t="s">
        <v>3055</v>
      </c>
      <c r="H8659" s="21">
        <v>1038.92</v>
      </c>
    </row>
    <row r="8660" spans="1:8" customFormat="1" x14ac:dyDescent="0.25">
      <c r="A8660" t="str">
        <f>"7717839"</f>
        <v>7717839</v>
      </c>
      <c r="B8660" t="s">
        <v>1667</v>
      </c>
      <c r="C8660" t="s">
        <v>169</v>
      </c>
      <c r="D8660" s="21" t="s">
        <v>34</v>
      </c>
      <c r="E8660" s="21" t="s">
        <v>35</v>
      </c>
      <c r="F8660">
        <v>8770202</v>
      </c>
      <c r="G8660" t="s">
        <v>1999</v>
      </c>
      <c r="H8660" s="21">
        <v>1038.8</v>
      </c>
    </row>
    <row r="8661" spans="1:8" customFormat="1" x14ac:dyDescent="0.25">
      <c r="A8661" t="str">
        <f>"625272"</f>
        <v>625272</v>
      </c>
      <c r="B8661" t="s">
        <v>9620</v>
      </c>
      <c r="C8661" t="s">
        <v>33</v>
      </c>
      <c r="D8661" s="21" t="s">
        <v>34</v>
      </c>
      <c r="E8661" s="21" t="s">
        <v>254</v>
      </c>
      <c r="F8661">
        <v>7620181</v>
      </c>
      <c r="G8661" t="s">
        <v>2268</v>
      </c>
      <c r="H8661" s="21">
        <v>1038.8</v>
      </c>
    </row>
    <row r="8662" spans="1:8" customFormat="1" x14ac:dyDescent="0.25">
      <c r="A8662" t="str">
        <f>"2921165"</f>
        <v>2921165</v>
      </c>
      <c r="B8662" t="s">
        <v>739</v>
      </c>
      <c r="C8662" t="s">
        <v>817</v>
      </c>
      <c r="D8662" s="21" t="s">
        <v>34</v>
      </c>
      <c r="E8662" s="21" t="s">
        <v>35</v>
      </c>
      <c r="F8662">
        <v>3290241</v>
      </c>
      <c r="G8662" t="s">
        <v>9595</v>
      </c>
      <c r="H8662" s="21">
        <v>1038.67</v>
      </c>
    </row>
    <row r="8663" spans="1:8" customFormat="1" x14ac:dyDescent="0.25">
      <c r="A8663" t="str">
        <f>"5611927"</f>
        <v>5611927</v>
      </c>
      <c r="B8663" t="s">
        <v>8572</v>
      </c>
      <c r="C8663" t="s">
        <v>967</v>
      </c>
      <c r="D8663" s="21" t="s">
        <v>34</v>
      </c>
      <c r="E8663" s="21" t="s">
        <v>35</v>
      </c>
      <c r="F8663">
        <v>3560071</v>
      </c>
      <c r="G8663" t="s">
        <v>8573</v>
      </c>
      <c r="H8663" s="21">
        <v>1038.67</v>
      </c>
    </row>
    <row r="8664" spans="1:8" customFormat="1" x14ac:dyDescent="0.25">
      <c r="A8664" t="str">
        <f>"616443"</f>
        <v>616443</v>
      </c>
      <c r="B8664" t="s">
        <v>3878</v>
      </c>
      <c r="C8664" t="s">
        <v>263</v>
      </c>
      <c r="D8664" s="21" t="s">
        <v>34</v>
      </c>
      <c r="E8664" s="21" t="s">
        <v>35</v>
      </c>
      <c r="F8664">
        <v>9610136</v>
      </c>
      <c r="G8664" t="s">
        <v>6052</v>
      </c>
      <c r="H8664" s="21">
        <v>1038.67</v>
      </c>
    </row>
    <row r="8665" spans="1:8" customFormat="1" x14ac:dyDescent="0.25">
      <c r="A8665" t="str">
        <f>"255001"</f>
        <v>255001</v>
      </c>
      <c r="B8665" t="s">
        <v>971</v>
      </c>
      <c r="C8665" t="s">
        <v>249</v>
      </c>
      <c r="D8665" s="21" t="s">
        <v>34</v>
      </c>
      <c r="E8665" s="21" t="s">
        <v>71</v>
      </c>
      <c r="F8665">
        <v>2250181</v>
      </c>
      <c r="G8665" t="s">
        <v>494</v>
      </c>
      <c r="H8665" s="21">
        <v>1038.67</v>
      </c>
    </row>
    <row r="8666" spans="1:8" customFormat="1" x14ac:dyDescent="0.25">
      <c r="A8666" t="str">
        <f>"4925287"</f>
        <v>4925287</v>
      </c>
      <c r="B8666" t="s">
        <v>2214</v>
      </c>
      <c r="C8666" t="s">
        <v>209</v>
      </c>
      <c r="D8666" s="21" t="s">
        <v>34</v>
      </c>
      <c r="E8666" s="21" t="s">
        <v>71</v>
      </c>
      <c r="F8666">
        <v>4370694</v>
      </c>
      <c r="G8666" t="s">
        <v>989</v>
      </c>
      <c r="H8666" s="21">
        <v>1038.67</v>
      </c>
    </row>
    <row r="8667" spans="1:8" customFormat="1" x14ac:dyDescent="0.25">
      <c r="A8667" t="str">
        <f>"508388"</f>
        <v>508388</v>
      </c>
      <c r="B8667" t="s">
        <v>2883</v>
      </c>
      <c r="C8667" t="s">
        <v>1025</v>
      </c>
      <c r="D8667" s="21" t="s">
        <v>34</v>
      </c>
      <c r="E8667" s="21" t="s">
        <v>71</v>
      </c>
      <c r="F8667">
        <v>9500139</v>
      </c>
      <c r="G8667" t="s">
        <v>6892</v>
      </c>
      <c r="H8667" s="21">
        <v>1038.67</v>
      </c>
    </row>
    <row r="8668" spans="1:8" customFormat="1" x14ac:dyDescent="0.25">
      <c r="A8668" t="str">
        <f>"5013872"</f>
        <v>5013872</v>
      </c>
      <c r="B8668" t="s">
        <v>5055</v>
      </c>
      <c r="C8668" t="s">
        <v>236</v>
      </c>
      <c r="D8668" s="21" t="s">
        <v>34</v>
      </c>
      <c r="E8668" s="21" t="s">
        <v>1089</v>
      </c>
      <c r="F8668">
        <v>9500117</v>
      </c>
      <c r="G8668" t="s">
        <v>247</v>
      </c>
      <c r="H8668" s="21">
        <v>1038.67</v>
      </c>
    </row>
    <row r="8669" spans="1:8" customFormat="1" x14ac:dyDescent="0.25">
      <c r="A8669" t="str">
        <f>"087992"</f>
        <v>087992</v>
      </c>
      <c r="B8669" t="s">
        <v>8318</v>
      </c>
      <c r="C8669" t="s">
        <v>33</v>
      </c>
      <c r="D8669" s="21" t="s">
        <v>34</v>
      </c>
      <c r="E8669" s="21" t="s">
        <v>35</v>
      </c>
      <c r="F8669">
        <v>6080045</v>
      </c>
      <c r="G8669" t="s">
        <v>5632</v>
      </c>
      <c r="H8669" s="21">
        <v>1038.67</v>
      </c>
    </row>
    <row r="8670" spans="1:8" customFormat="1" x14ac:dyDescent="0.25">
      <c r="A8670" t="str">
        <f>"674203"</f>
        <v>674203</v>
      </c>
      <c r="B8670" t="s">
        <v>8795</v>
      </c>
      <c r="C8670" t="s">
        <v>2072</v>
      </c>
      <c r="D8670" s="21" t="s">
        <v>34</v>
      </c>
      <c r="E8670" s="21" t="s">
        <v>254</v>
      </c>
      <c r="F8670">
        <v>6670115</v>
      </c>
      <c r="G8670" t="s">
        <v>3798</v>
      </c>
      <c r="H8670" s="21">
        <v>1038.67</v>
      </c>
    </row>
    <row r="8671" spans="1:8" customFormat="1" x14ac:dyDescent="0.25">
      <c r="A8671" t="str">
        <f>"4524855"</f>
        <v>4524855</v>
      </c>
      <c r="B8671" t="s">
        <v>8250</v>
      </c>
      <c r="C8671" t="s">
        <v>198</v>
      </c>
      <c r="D8671" s="21" t="s">
        <v>34</v>
      </c>
      <c r="E8671" s="21" t="s">
        <v>35</v>
      </c>
      <c r="F8671">
        <v>4450285</v>
      </c>
      <c r="G8671" t="s">
        <v>7118</v>
      </c>
      <c r="H8671" s="21">
        <v>1038.55</v>
      </c>
    </row>
    <row r="8672" spans="1:8" customFormat="1" x14ac:dyDescent="0.25">
      <c r="A8672" t="str">
        <f>"5966872"</f>
        <v>5966872</v>
      </c>
      <c r="B8672" t="s">
        <v>10171</v>
      </c>
      <c r="C8672" t="s">
        <v>156</v>
      </c>
      <c r="D8672" s="21" t="s">
        <v>34</v>
      </c>
      <c r="E8672" s="21" t="s">
        <v>35</v>
      </c>
      <c r="F8672">
        <v>7590354</v>
      </c>
      <c r="G8672" t="s">
        <v>5786</v>
      </c>
      <c r="H8672" s="21">
        <v>1038.42</v>
      </c>
    </row>
    <row r="8673" spans="1:8" customFormat="1" x14ac:dyDescent="0.25">
      <c r="A8673" t="str">
        <f>"339092"</f>
        <v>339092</v>
      </c>
      <c r="B8673" t="s">
        <v>8867</v>
      </c>
      <c r="C8673" t="s">
        <v>2907</v>
      </c>
      <c r="D8673" s="21" t="s">
        <v>34</v>
      </c>
      <c r="E8673" s="21" t="s">
        <v>71</v>
      </c>
      <c r="F8673">
        <v>10330005</v>
      </c>
      <c r="G8673" t="s">
        <v>3526</v>
      </c>
      <c r="H8673" s="21">
        <v>1038.42</v>
      </c>
    </row>
    <row r="8674" spans="1:8" customFormat="1" x14ac:dyDescent="0.25">
      <c r="A8674" t="str">
        <f>"5320340"</f>
        <v>5320340</v>
      </c>
      <c r="B8674" t="s">
        <v>8608</v>
      </c>
      <c r="C8674" t="s">
        <v>598</v>
      </c>
      <c r="D8674" s="21" t="s">
        <v>34</v>
      </c>
      <c r="E8674" s="21" t="s">
        <v>254</v>
      </c>
      <c r="F8674">
        <v>12530079</v>
      </c>
      <c r="G8674" t="s">
        <v>3090</v>
      </c>
      <c r="H8674" s="21">
        <v>1038.42</v>
      </c>
    </row>
    <row r="8675" spans="1:8" customFormat="1" x14ac:dyDescent="0.25">
      <c r="A8675" t="str">
        <f>"9111830"</f>
        <v>9111830</v>
      </c>
      <c r="B8675" t="s">
        <v>8840</v>
      </c>
      <c r="C8675" t="s">
        <v>2984</v>
      </c>
      <c r="D8675" s="21" t="s">
        <v>34</v>
      </c>
      <c r="E8675" s="21" t="s">
        <v>71</v>
      </c>
      <c r="F8675">
        <v>11300041</v>
      </c>
      <c r="G8675" t="s">
        <v>8074</v>
      </c>
      <c r="H8675" s="21">
        <v>1038.3</v>
      </c>
    </row>
    <row r="8676" spans="1:8" customFormat="1" x14ac:dyDescent="0.25">
      <c r="A8676" t="str">
        <f>"3858"</f>
        <v>3858</v>
      </c>
      <c r="B8676" t="s">
        <v>8882</v>
      </c>
      <c r="C8676" t="s">
        <v>253</v>
      </c>
      <c r="D8676" s="21" t="s">
        <v>34</v>
      </c>
      <c r="E8676" s="21" t="s">
        <v>254</v>
      </c>
      <c r="F8676">
        <v>1380267</v>
      </c>
      <c r="G8676" t="s">
        <v>1002</v>
      </c>
      <c r="H8676" s="21">
        <v>1038.17</v>
      </c>
    </row>
    <row r="8677" spans="1:8" customFormat="1" x14ac:dyDescent="0.25">
      <c r="A8677" t="str">
        <f>"4913257"</f>
        <v>4913257</v>
      </c>
      <c r="B8677" t="s">
        <v>7894</v>
      </c>
      <c r="C8677" t="s">
        <v>239</v>
      </c>
      <c r="D8677" s="21" t="s">
        <v>34</v>
      </c>
      <c r="E8677" s="21" t="s">
        <v>71</v>
      </c>
      <c r="F8677">
        <v>12490058</v>
      </c>
      <c r="G8677" t="s">
        <v>6582</v>
      </c>
      <c r="H8677" s="21">
        <v>1038.17</v>
      </c>
    </row>
    <row r="8678" spans="1:8" customFormat="1" x14ac:dyDescent="0.25">
      <c r="A8678" t="str">
        <f>"715411"</f>
        <v>715411</v>
      </c>
      <c r="B8678" t="s">
        <v>10422</v>
      </c>
      <c r="C8678" t="s">
        <v>1231</v>
      </c>
      <c r="D8678" s="21" t="s">
        <v>34</v>
      </c>
      <c r="E8678" s="21" t="s">
        <v>71</v>
      </c>
      <c r="F8678">
        <v>2710048</v>
      </c>
      <c r="G8678" t="s">
        <v>2225</v>
      </c>
      <c r="H8678" s="21">
        <v>1038.17</v>
      </c>
    </row>
    <row r="8679" spans="1:8" customFormat="1" x14ac:dyDescent="0.25">
      <c r="A8679" t="str">
        <f>"415134"</f>
        <v>415134</v>
      </c>
      <c r="B8679" t="s">
        <v>9478</v>
      </c>
      <c r="C8679" t="s">
        <v>263</v>
      </c>
      <c r="D8679" s="21" t="s">
        <v>34</v>
      </c>
      <c r="E8679" s="21" t="s">
        <v>71</v>
      </c>
      <c r="F8679">
        <v>4410080</v>
      </c>
      <c r="G8679" t="s">
        <v>135</v>
      </c>
      <c r="H8679" s="21">
        <v>1038.17</v>
      </c>
    </row>
    <row r="8680" spans="1:8" customFormat="1" x14ac:dyDescent="0.25">
      <c r="A8680" t="str">
        <f>"868499"</f>
        <v>868499</v>
      </c>
      <c r="B8680" t="s">
        <v>1451</v>
      </c>
      <c r="C8680" t="s">
        <v>156</v>
      </c>
      <c r="D8680" s="21" t="s">
        <v>34</v>
      </c>
      <c r="E8680" s="21" t="s">
        <v>254</v>
      </c>
      <c r="F8680">
        <v>10860193</v>
      </c>
      <c r="G8680" t="s">
        <v>1603</v>
      </c>
      <c r="H8680" s="21">
        <v>1038.17</v>
      </c>
    </row>
    <row r="8681" spans="1:8" customFormat="1" x14ac:dyDescent="0.25">
      <c r="A8681" t="str">
        <f>"787316"</f>
        <v>787316</v>
      </c>
      <c r="B8681" t="s">
        <v>10920</v>
      </c>
      <c r="C8681" t="s">
        <v>33</v>
      </c>
      <c r="D8681" s="21" t="s">
        <v>34</v>
      </c>
      <c r="E8681" s="21" t="s">
        <v>35</v>
      </c>
      <c r="F8681">
        <v>8781266</v>
      </c>
      <c r="G8681" t="s">
        <v>26704</v>
      </c>
      <c r="H8681" s="21">
        <v>1038.17</v>
      </c>
    </row>
    <row r="8682" spans="1:8" customFormat="1" x14ac:dyDescent="0.25">
      <c r="A8682" t="str">
        <f>"3515383"</f>
        <v>3515383</v>
      </c>
      <c r="B8682" t="s">
        <v>4418</v>
      </c>
      <c r="C8682" t="s">
        <v>2322</v>
      </c>
      <c r="D8682" s="21" t="s">
        <v>34</v>
      </c>
      <c r="E8682" s="21" t="s">
        <v>71</v>
      </c>
      <c r="F8682">
        <v>3350183</v>
      </c>
      <c r="G8682" t="s">
        <v>2572</v>
      </c>
      <c r="H8682" s="21">
        <v>1038.17</v>
      </c>
    </row>
    <row r="8683" spans="1:8" customFormat="1" x14ac:dyDescent="0.25">
      <c r="A8683" t="str">
        <f>"592855"</f>
        <v>592855</v>
      </c>
      <c r="B8683" t="s">
        <v>27062</v>
      </c>
      <c r="C8683" t="s">
        <v>174</v>
      </c>
      <c r="D8683" s="21" t="s">
        <v>34</v>
      </c>
      <c r="E8683" s="21" t="s">
        <v>35</v>
      </c>
      <c r="F8683">
        <v>7590130</v>
      </c>
      <c r="G8683" t="s">
        <v>1311</v>
      </c>
      <c r="H8683" s="21">
        <v>1038.17</v>
      </c>
    </row>
    <row r="8684" spans="1:8" customFormat="1" x14ac:dyDescent="0.25">
      <c r="A8684" t="str">
        <f>"5922941"</f>
        <v>5922941</v>
      </c>
      <c r="B8684" t="s">
        <v>10162</v>
      </c>
      <c r="C8684" t="s">
        <v>209</v>
      </c>
      <c r="D8684" s="21" t="s">
        <v>34</v>
      </c>
      <c r="E8684" s="21" t="s">
        <v>71</v>
      </c>
      <c r="F8684">
        <v>7590156</v>
      </c>
      <c r="G8684" t="s">
        <v>6224</v>
      </c>
      <c r="H8684" s="21">
        <v>1038.17</v>
      </c>
    </row>
    <row r="8685" spans="1:8" customFormat="1" x14ac:dyDescent="0.25">
      <c r="A8685" t="str">
        <f>"3822410"</f>
        <v>3822410</v>
      </c>
      <c r="B8685" t="s">
        <v>9043</v>
      </c>
      <c r="C8685" t="s">
        <v>462</v>
      </c>
      <c r="D8685" s="21" t="s">
        <v>34</v>
      </c>
      <c r="E8685" s="21" t="s">
        <v>71</v>
      </c>
      <c r="F8685">
        <v>1380157</v>
      </c>
      <c r="G8685" t="s">
        <v>9044</v>
      </c>
      <c r="H8685" s="21">
        <v>1038.17</v>
      </c>
    </row>
    <row r="8686" spans="1:8" customFormat="1" x14ac:dyDescent="0.25">
      <c r="A8686" t="str">
        <f>"186085"</f>
        <v>186085</v>
      </c>
      <c r="B8686" t="s">
        <v>9625</v>
      </c>
      <c r="C8686" t="s">
        <v>87</v>
      </c>
      <c r="D8686" s="21" t="s">
        <v>34</v>
      </c>
      <c r="E8686" s="21" t="s">
        <v>35</v>
      </c>
      <c r="F8686">
        <v>4180727</v>
      </c>
      <c r="G8686" t="s">
        <v>8025</v>
      </c>
      <c r="H8686" s="21">
        <v>1038.17</v>
      </c>
    </row>
    <row r="8687" spans="1:8" customFormat="1" x14ac:dyDescent="0.25">
      <c r="A8687" t="str">
        <f>"7624679"</f>
        <v>7624679</v>
      </c>
      <c r="B8687" t="s">
        <v>8898</v>
      </c>
      <c r="C8687" t="s">
        <v>249</v>
      </c>
      <c r="D8687" s="21" t="s">
        <v>34</v>
      </c>
      <c r="E8687" s="21" t="s">
        <v>35</v>
      </c>
      <c r="F8687">
        <v>9760377</v>
      </c>
      <c r="G8687" t="s">
        <v>6631</v>
      </c>
      <c r="H8687" s="21">
        <v>1038.17</v>
      </c>
    </row>
    <row r="8688" spans="1:8" customFormat="1" x14ac:dyDescent="0.25">
      <c r="A8688" t="str">
        <f>"684918"</f>
        <v>684918</v>
      </c>
      <c r="B8688" t="s">
        <v>9907</v>
      </c>
      <c r="C8688" t="s">
        <v>236</v>
      </c>
      <c r="D8688" s="21" t="s">
        <v>34</v>
      </c>
      <c r="E8688" s="21" t="s">
        <v>35</v>
      </c>
      <c r="F8688">
        <v>6680116</v>
      </c>
      <c r="G8688" t="s">
        <v>5205</v>
      </c>
      <c r="H8688" s="21">
        <v>1038.17</v>
      </c>
    </row>
    <row r="8689" spans="1:8" customFormat="1" x14ac:dyDescent="0.25">
      <c r="A8689" t="str">
        <f>"913707"</f>
        <v>913707</v>
      </c>
      <c r="B8689" t="s">
        <v>1031</v>
      </c>
      <c r="C8689" t="s">
        <v>652</v>
      </c>
      <c r="D8689" s="21" t="s">
        <v>34</v>
      </c>
      <c r="E8689" s="21" t="s">
        <v>71</v>
      </c>
      <c r="F8689">
        <v>8910544</v>
      </c>
      <c r="G8689" t="s">
        <v>3552</v>
      </c>
      <c r="H8689" s="21">
        <v>1038.17</v>
      </c>
    </row>
    <row r="8690" spans="1:8" customFormat="1" x14ac:dyDescent="0.25">
      <c r="A8690" t="str">
        <f>"2216998"</f>
        <v>2216998</v>
      </c>
      <c r="B8690" t="s">
        <v>17112</v>
      </c>
      <c r="C8690" t="s">
        <v>253</v>
      </c>
      <c r="D8690" s="21" t="s">
        <v>34</v>
      </c>
      <c r="E8690" s="21" t="s">
        <v>35</v>
      </c>
      <c r="F8690">
        <v>3220087</v>
      </c>
      <c r="G8690" t="s">
        <v>3540</v>
      </c>
      <c r="H8690" s="21">
        <v>1038.06</v>
      </c>
    </row>
    <row r="8691" spans="1:8" customFormat="1" x14ac:dyDescent="0.25">
      <c r="A8691" t="str">
        <f>"6913138"</f>
        <v>6913138</v>
      </c>
      <c r="B8691" t="s">
        <v>3947</v>
      </c>
      <c r="C8691" t="s">
        <v>60</v>
      </c>
      <c r="D8691" s="21" t="s">
        <v>34</v>
      </c>
      <c r="E8691" s="21" t="s">
        <v>35</v>
      </c>
      <c r="F8691">
        <v>1420048</v>
      </c>
      <c r="G8691" t="s">
        <v>745</v>
      </c>
      <c r="H8691" s="21">
        <v>1037.92</v>
      </c>
    </row>
    <row r="8692" spans="1:8" customFormat="1" x14ac:dyDescent="0.25">
      <c r="A8692" t="str">
        <f>"5610423"</f>
        <v>5610423</v>
      </c>
      <c r="B8692" t="s">
        <v>9314</v>
      </c>
      <c r="C8692" t="s">
        <v>469</v>
      </c>
      <c r="D8692" s="21" t="s">
        <v>34</v>
      </c>
      <c r="E8692" s="21" t="s">
        <v>71</v>
      </c>
      <c r="F8692">
        <v>3560031</v>
      </c>
      <c r="G8692" t="s">
        <v>738</v>
      </c>
      <c r="H8692" s="21">
        <v>1037.8</v>
      </c>
    </row>
    <row r="8693" spans="1:8" customFormat="1" x14ac:dyDescent="0.25">
      <c r="A8693" t="str">
        <f>"7724791"</f>
        <v>7724791</v>
      </c>
      <c r="B8693" t="s">
        <v>9950</v>
      </c>
      <c r="C8693" t="s">
        <v>269</v>
      </c>
      <c r="D8693" s="21" t="s">
        <v>34</v>
      </c>
      <c r="E8693" s="21" t="s">
        <v>71</v>
      </c>
      <c r="F8693">
        <v>8770377</v>
      </c>
      <c r="G8693" t="s">
        <v>4862</v>
      </c>
      <c r="H8693" s="21">
        <v>1037.8</v>
      </c>
    </row>
    <row r="8694" spans="1:8" customFormat="1" x14ac:dyDescent="0.25">
      <c r="A8694" t="str">
        <f>"2720459"</f>
        <v>2720459</v>
      </c>
      <c r="B8694" t="s">
        <v>2549</v>
      </c>
      <c r="C8694" t="s">
        <v>90</v>
      </c>
      <c r="D8694" s="21" t="s">
        <v>34</v>
      </c>
      <c r="E8694" s="21" t="s">
        <v>35</v>
      </c>
      <c r="F8694">
        <v>9270089</v>
      </c>
      <c r="G8694" t="s">
        <v>1009</v>
      </c>
      <c r="H8694" s="21">
        <v>1037.67</v>
      </c>
    </row>
    <row r="8695" spans="1:8" customFormat="1" x14ac:dyDescent="0.25">
      <c r="A8695" t="str">
        <f>"7853037"</f>
        <v>7853037</v>
      </c>
      <c r="B8695" t="s">
        <v>12562</v>
      </c>
      <c r="C8695" t="s">
        <v>288</v>
      </c>
      <c r="D8695" s="21" t="s">
        <v>34</v>
      </c>
      <c r="E8695" s="21" t="s">
        <v>35</v>
      </c>
      <c r="F8695">
        <v>8780128</v>
      </c>
      <c r="G8695" t="s">
        <v>4201</v>
      </c>
      <c r="H8695" s="21">
        <v>1037.67</v>
      </c>
    </row>
    <row r="8696" spans="1:8" customFormat="1" x14ac:dyDescent="0.25">
      <c r="A8696" t="str">
        <f>"7510673"</f>
        <v>7510673</v>
      </c>
      <c r="B8696" t="s">
        <v>27063</v>
      </c>
      <c r="C8696" t="s">
        <v>812</v>
      </c>
      <c r="D8696" s="21" t="s">
        <v>34</v>
      </c>
      <c r="E8696" s="21" t="s">
        <v>35</v>
      </c>
      <c r="F8696">
        <v>12490017</v>
      </c>
      <c r="G8696" t="s">
        <v>9393</v>
      </c>
      <c r="H8696" s="21">
        <v>1037.67</v>
      </c>
    </row>
    <row r="8697" spans="1:8" customFormat="1" x14ac:dyDescent="0.25">
      <c r="A8697" t="str">
        <f>"3525754"</f>
        <v>3525754</v>
      </c>
      <c r="B8697" t="s">
        <v>8508</v>
      </c>
      <c r="C8697" t="s">
        <v>269</v>
      </c>
      <c r="D8697" s="21" t="s">
        <v>34</v>
      </c>
      <c r="E8697" s="21" t="s">
        <v>35</v>
      </c>
      <c r="F8697">
        <v>3350027</v>
      </c>
      <c r="G8697" t="s">
        <v>2760</v>
      </c>
      <c r="H8697" s="21">
        <v>1037.67</v>
      </c>
    </row>
    <row r="8698" spans="1:8" customFormat="1" x14ac:dyDescent="0.25">
      <c r="A8698" t="str">
        <f>"6916748"</f>
        <v>6916748</v>
      </c>
      <c r="B8698" t="s">
        <v>9151</v>
      </c>
      <c r="C8698" t="s">
        <v>124</v>
      </c>
      <c r="D8698" s="21" t="s">
        <v>34</v>
      </c>
      <c r="E8698" s="21" t="s">
        <v>71</v>
      </c>
      <c r="F8698">
        <v>1690211</v>
      </c>
      <c r="G8698" t="s">
        <v>9152</v>
      </c>
      <c r="H8698" s="21">
        <v>1037.67</v>
      </c>
    </row>
    <row r="8699" spans="1:8" customFormat="1" x14ac:dyDescent="0.25">
      <c r="A8699" t="str">
        <f>"7715659"</f>
        <v>7715659</v>
      </c>
      <c r="B8699" t="s">
        <v>8949</v>
      </c>
      <c r="C8699" t="s">
        <v>462</v>
      </c>
      <c r="D8699" s="21" t="s">
        <v>34</v>
      </c>
      <c r="E8699" s="21" t="s">
        <v>71</v>
      </c>
      <c r="F8699">
        <v>8771401</v>
      </c>
      <c r="G8699" t="s">
        <v>6636</v>
      </c>
      <c r="H8699" s="21">
        <v>1037.67</v>
      </c>
    </row>
    <row r="8700" spans="1:8" customFormat="1" x14ac:dyDescent="0.25">
      <c r="A8700" t="str">
        <f>"5415166"</f>
        <v>5415166</v>
      </c>
      <c r="B8700" t="s">
        <v>10331</v>
      </c>
      <c r="C8700" t="s">
        <v>415</v>
      </c>
      <c r="D8700" s="21" t="s">
        <v>34</v>
      </c>
      <c r="E8700" s="21" t="s">
        <v>71</v>
      </c>
      <c r="F8700">
        <v>1380293</v>
      </c>
      <c r="G8700" t="s">
        <v>2103</v>
      </c>
      <c r="H8700" s="21">
        <v>1037.67</v>
      </c>
    </row>
    <row r="8701" spans="1:8" customFormat="1" x14ac:dyDescent="0.25">
      <c r="A8701" t="str">
        <f>"2928520"</f>
        <v>2928520</v>
      </c>
      <c r="B8701" t="s">
        <v>9525</v>
      </c>
      <c r="C8701" t="s">
        <v>9526</v>
      </c>
      <c r="D8701" s="21" t="s">
        <v>34</v>
      </c>
      <c r="E8701" s="21" t="s">
        <v>71</v>
      </c>
      <c r="F8701">
        <v>3290208</v>
      </c>
      <c r="G8701" t="s">
        <v>1553</v>
      </c>
      <c r="H8701" s="21">
        <v>1037.67</v>
      </c>
    </row>
    <row r="8702" spans="1:8" customFormat="1" x14ac:dyDescent="0.25">
      <c r="A8702" t="str">
        <f>"5923030"</f>
        <v>5923030</v>
      </c>
      <c r="B8702" t="s">
        <v>10572</v>
      </c>
      <c r="C8702" t="s">
        <v>639</v>
      </c>
      <c r="D8702" s="21" t="s">
        <v>34</v>
      </c>
      <c r="E8702" s="21" t="s">
        <v>35</v>
      </c>
      <c r="F8702">
        <v>7590123</v>
      </c>
      <c r="G8702" t="s">
        <v>85</v>
      </c>
      <c r="H8702" s="21">
        <v>1037.67</v>
      </c>
    </row>
    <row r="8703" spans="1:8" customFormat="1" x14ac:dyDescent="0.25">
      <c r="A8703" t="str">
        <f>"9426577"</f>
        <v>9426577</v>
      </c>
      <c r="B8703" t="s">
        <v>8921</v>
      </c>
      <c r="C8703" t="s">
        <v>253</v>
      </c>
      <c r="D8703" s="21" t="s">
        <v>34</v>
      </c>
      <c r="E8703" s="21" t="s">
        <v>254</v>
      </c>
      <c r="F8703">
        <v>8940012</v>
      </c>
      <c r="G8703" t="s">
        <v>1648</v>
      </c>
      <c r="H8703" s="21">
        <v>1037.67</v>
      </c>
    </row>
    <row r="8704" spans="1:8" customFormat="1" x14ac:dyDescent="0.25">
      <c r="A8704" t="str">
        <f>"2916201"</f>
        <v>2916201</v>
      </c>
      <c r="B8704" t="s">
        <v>8471</v>
      </c>
      <c r="C8704" t="s">
        <v>239</v>
      </c>
      <c r="D8704" s="21" t="s">
        <v>34</v>
      </c>
      <c r="E8704" s="21" t="s">
        <v>35</v>
      </c>
      <c r="F8704">
        <v>3290212</v>
      </c>
      <c r="G8704" t="s">
        <v>6046</v>
      </c>
      <c r="H8704" s="21">
        <v>1037.67</v>
      </c>
    </row>
    <row r="8705" spans="1:8" customFormat="1" x14ac:dyDescent="0.25">
      <c r="A8705" t="str">
        <f>"6211172"</f>
        <v>6211172</v>
      </c>
      <c r="B8705" t="s">
        <v>1301</v>
      </c>
      <c r="C8705" t="s">
        <v>249</v>
      </c>
      <c r="D8705" s="21" t="s">
        <v>34</v>
      </c>
      <c r="E8705" s="21" t="s">
        <v>35</v>
      </c>
      <c r="F8705">
        <v>7620082</v>
      </c>
      <c r="G8705" t="s">
        <v>4939</v>
      </c>
      <c r="H8705" s="21">
        <v>1037.67</v>
      </c>
    </row>
    <row r="8706" spans="1:8" customFormat="1" x14ac:dyDescent="0.25">
      <c r="A8706" t="str">
        <f>"9419094"</f>
        <v>9419094</v>
      </c>
      <c r="B8706" t="s">
        <v>8876</v>
      </c>
      <c r="C8706" t="s">
        <v>233</v>
      </c>
      <c r="D8706" s="21" t="s">
        <v>34</v>
      </c>
      <c r="E8706" s="21" t="s">
        <v>71</v>
      </c>
      <c r="F8706">
        <v>8941282</v>
      </c>
      <c r="G8706" t="s">
        <v>5040</v>
      </c>
      <c r="H8706" s="21">
        <v>1037.67</v>
      </c>
    </row>
    <row r="8707" spans="1:8" customFormat="1" x14ac:dyDescent="0.25">
      <c r="A8707" t="str">
        <f>"2711952"</f>
        <v>2711952</v>
      </c>
      <c r="B8707" t="s">
        <v>8690</v>
      </c>
      <c r="C8707" t="s">
        <v>209</v>
      </c>
      <c r="D8707" s="21" t="s">
        <v>34</v>
      </c>
      <c r="E8707" s="21" t="s">
        <v>35</v>
      </c>
      <c r="F8707">
        <v>9270164</v>
      </c>
      <c r="G8707" t="s">
        <v>8686</v>
      </c>
      <c r="H8707" s="21">
        <v>1037.67</v>
      </c>
    </row>
    <row r="8708" spans="1:8" customFormat="1" x14ac:dyDescent="0.25">
      <c r="A8708" t="str">
        <f>"6917873"</f>
        <v>6917873</v>
      </c>
      <c r="B8708" t="s">
        <v>9592</v>
      </c>
      <c r="C8708" t="s">
        <v>9593</v>
      </c>
      <c r="D8708" s="21" t="s">
        <v>34</v>
      </c>
      <c r="E8708" s="21" t="s">
        <v>35</v>
      </c>
      <c r="F8708">
        <v>1690221</v>
      </c>
      <c r="G8708" t="s">
        <v>303</v>
      </c>
      <c r="H8708" s="21">
        <v>1037.67</v>
      </c>
    </row>
    <row r="8709" spans="1:8" customFormat="1" x14ac:dyDescent="0.25">
      <c r="A8709" t="str">
        <f>"779275"</f>
        <v>779275</v>
      </c>
      <c r="B8709" t="s">
        <v>3146</v>
      </c>
      <c r="C8709" t="s">
        <v>169</v>
      </c>
      <c r="D8709" s="21" t="s">
        <v>34</v>
      </c>
      <c r="E8709" s="21" t="s">
        <v>71</v>
      </c>
      <c r="F8709">
        <v>8771398</v>
      </c>
      <c r="G8709" t="s">
        <v>2759</v>
      </c>
      <c r="H8709" s="21">
        <v>1037.55</v>
      </c>
    </row>
    <row r="8710" spans="1:8" customFormat="1" x14ac:dyDescent="0.25">
      <c r="A8710" t="str">
        <f>"746216"</f>
        <v>746216</v>
      </c>
      <c r="B8710" t="s">
        <v>27064</v>
      </c>
      <c r="C8710" t="s">
        <v>109</v>
      </c>
      <c r="D8710" s="21" t="s">
        <v>34</v>
      </c>
      <c r="E8710" s="21" t="s">
        <v>35</v>
      </c>
      <c r="F8710">
        <v>1740001</v>
      </c>
      <c r="G8710" t="s">
        <v>347</v>
      </c>
      <c r="H8710" s="21">
        <v>1037.42</v>
      </c>
    </row>
    <row r="8711" spans="1:8" customFormat="1" x14ac:dyDescent="0.25">
      <c r="A8711" t="str">
        <f>"903135"</f>
        <v>903135</v>
      </c>
      <c r="B8711" t="s">
        <v>9570</v>
      </c>
      <c r="C8711" t="s">
        <v>114</v>
      </c>
      <c r="D8711" s="21" t="s">
        <v>34</v>
      </c>
      <c r="E8711" s="21" t="s">
        <v>254</v>
      </c>
      <c r="F8711">
        <v>2900039</v>
      </c>
      <c r="G8711" t="s">
        <v>26615</v>
      </c>
      <c r="H8711" s="21">
        <v>1037.3</v>
      </c>
    </row>
    <row r="8712" spans="1:8" customFormat="1" x14ac:dyDescent="0.25">
      <c r="A8712" t="str">
        <f>"9133473"</f>
        <v>9133473</v>
      </c>
      <c r="B8712" t="s">
        <v>143</v>
      </c>
      <c r="C8712" t="s">
        <v>209</v>
      </c>
      <c r="D8712" s="21" t="s">
        <v>34</v>
      </c>
      <c r="E8712" s="21" t="s">
        <v>71</v>
      </c>
      <c r="F8712">
        <v>8910876</v>
      </c>
      <c r="G8712" t="s">
        <v>1721</v>
      </c>
      <c r="H8712" s="21">
        <v>1037.18</v>
      </c>
    </row>
    <row r="8713" spans="1:8" customFormat="1" x14ac:dyDescent="0.25">
      <c r="A8713" t="str">
        <f>"067938"</f>
        <v>067938</v>
      </c>
      <c r="B8713" t="s">
        <v>8863</v>
      </c>
      <c r="C8713" t="s">
        <v>55</v>
      </c>
      <c r="D8713" s="21" t="s">
        <v>34</v>
      </c>
      <c r="E8713" s="21" t="s">
        <v>71</v>
      </c>
      <c r="F8713">
        <v>13060102</v>
      </c>
      <c r="G8713" t="s">
        <v>2918</v>
      </c>
      <c r="H8713" s="21">
        <v>1037.17</v>
      </c>
    </row>
    <row r="8714" spans="1:8" customFormat="1" x14ac:dyDescent="0.25">
      <c r="A8714" t="str">
        <f>"8015599"</f>
        <v>8015599</v>
      </c>
      <c r="B8714" t="s">
        <v>9893</v>
      </c>
      <c r="C8714" t="s">
        <v>9894</v>
      </c>
      <c r="D8714" s="21" t="s">
        <v>34</v>
      </c>
      <c r="E8714" s="21" t="s">
        <v>35</v>
      </c>
      <c r="F8714">
        <v>7800003</v>
      </c>
      <c r="G8714" t="s">
        <v>276</v>
      </c>
      <c r="H8714" s="21">
        <v>1037.17</v>
      </c>
    </row>
    <row r="8715" spans="1:8" customFormat="1" x14ac:dyDescent="0.25">
      <c r="A8715" t="str">
        <f>"377849"</f>
        <v>377849</v>
      </c>
      <c r="B8715" t="s">
        <v>1081</v>
      </c>
      <c r="C8715" t="s">
        <v>202</v>
      </c>
      <c r="D8715" s="21" t="s">
        <v>34</v>
      </c>
      <c r="E8715" s="21" t="s">
        <v>71</v>
      </c>
      <c r="F8715">
        <v>4370001</v>
      </c>
      <c r="G8715" t="s">
        <v>957</v>
      </c>
      <c r="H8715" s="21">
        <v>1037.17</v>
      </c>
    </row>
    <row r="8716" spans="1:8" customFormat="1" x14ac:dyDescent="0.25">
      <c r="A8716" t="str">
        <f>"601035"</f>
        <v>601035</v>
      </c>
      <c r="B8716" t="s">
        <v>7784</v>
      </c>
      <c r="C8716" t="s">
        <v>263</v>
      </c>
      <c r="D8716" s="21" t="s">
        <v>34</v>
      </c>
      <c r="E8716" s="21" t="s">
        <v>254</v>
      </c>
      <c r="F8716">
        <v>7600044</v>
      </c>
      <c r="G8716" t="s">
        <v>3411</v>
      </c>
      <c r="H8716" s="21">
        <v>1037.17</v>
      </c>
    </row>
    <row r="8717" spans="1:8" customFormat="1" x14ac:dyDescent="0.25">
      <c r="A8717" t="str">
        <f>"5310649"</f>
        <v>5310649</v>
      </c>
      <c r="B8717" t="s">
        <v>8551</v>
      </c>
      <c r="C8717" t="s">
        <v>926</v>
      </c>
      <c r="D8717" s="21" t="s">
        <v>34</v>
      </c>
      <c r="E8717" s="21" t="s">
        <v>71</v>
      </c>
      <c r="F8717">
        <v>12530105</v>
      </c>
      <c r="G8717" t="s">
        <v>4136</v>
      </c>
      <c r="H8717" s="21">
        <v>1037.17</v>
      </c>
    </row>
    <row r="8718" spans="1:8" customFormat="1" x14ac:dyDescent="0.25">
      <c r="A8718" t="str">
        <f>"9129909"</f>
        <v>9129909</v>
      </c>
      <c r="B8718" t="s">
        <v>8280</v>
      </c>
      <c r="C8718" t="s">
        <v>6000</v>
      </c>
      <c r="D8718" s="21" t="s">
        <v>34</v>
      </c>
      <c r="E8718" s="21" t="s">
        <v>35</v>
      </c>
      <c r="F8718">
        <v>1740047</v>
      </c>
      <c r="G8718" t="s">
        <v>4512</v>
      </c>
      <c r="H8718" s="21">
        <v>1037.17</v>
      </c>
    </row>
    <row r="8719" spans="1:8" customFormat="1" x14ac:dyDescent="0.25">
      <c r="A8719" t="str">
        <f>"683416"</f>
        <v>683416</v>
      </c>
      <c r="B8719" t="s">
        <v>6596</v>
      </c>
      <c r="C8719" t="s">
        <v>87</v>
      </c>
      <c r="D8719" s="21" t="s">
        <v>34</v>
      </c>
      <c r="E8719" s="21" t="s">
        <v>35</v>
      </c>
      <c r="F8719">
        <v>6680111</v>
      </c>
      <c r="G8719" t="s">
        <v>3422</v>
      </c>
      <c r="H8719" s="21">
        <v>1037.17</v>
      </c>
    </row>
    <row r="8720" spans="1:8" customFormat="1" x14ac:dyDescent="0.25">
      <c r="A8720" t="str">
        <f>"4927880"</f>
        <v>4927880</v>
      </c>
      <c r="B8720" t="s">
        <v>8586</v>
      </c>
      <c r="C8720" t="s">
        <v>121</v>
      </c>
      <c r="D8720" s="21" t="s">
        <v>34</v>
      </c>
      <c r="E8720" s="21" t="s">
        <v>35</v>
      </c>
      <c r="F8720">
        <v>12490020</v>
      </c>
      <c r="G8720" t="s">
        <v>5370</v>
      </c>
      <c r="H8720" s="21">
        <v>1037.17</v>
      </c>
    </row>
    <row r="8721" spans="1:8" customFormat="1" x14ac:dyDescent="0.25">
      <c r="A8721" t="str">
        <f>"696689"</f>
        <v>696689</v>
      </c>
      <c r="B8721" t="s">
        <v>517</v>
      </c>
      <c r="C8721" t="s">
        <v>263</v>
      </c>
      <c r="D8721" s="21" t="s">
        <v>34</v>
      </c>
      <c r="E8721" s="21" t="s">
        <v>71</v>
      </c>
      <c r="F8721">
        <v>1690014</v>
      </c>
      <c r="G8721" t="s">
        <v>8728</v>
      </c>
      <c r="H8721" s="21">
        <v>1037.17</v>
      </c>
    </row>
    <row r="8722" spans="1:8" customFormat="1" x14ac:dyDescent="0.25">
      <c r="A8722" t="str">
        <f>"4415"</f>
        <v>4415</v>
      </c>
      <c r="B8722" t="s">
        <v>1838</v>
      </c>
      <c r="C8722" t="s">
        <v>249</v>
      </c>
      <c r="D8722" s="21" t="s">
        <v>34</v>
      </c>
      <c r="E8722" s="21" t="s">
        <v>71</v>
      </c>
      <c r="F8722">
        <v>12440001</v>
      </c>
      <c r="G8722" t="s">
        <v>6999</v>
      </c>
      <c r="H8722" s="21">
        <v>1037.17</v>
      </c>
    </row>
    <row r="8723" spans="1:8" customFormat="1" x14ac:dyDescent="0.25">
      <c r="A8723" t="str">
        <f>"6315615"</f>
        <v>6315615</v>
      </c>
      <c r="B8723" t="s">
        <v>11149</v>
      </c>
      <c r="C8723" t="s">
        <v>1631</v>
      </c>
      <c r="D8723" s="21" t="s">
        <v>34</v>
      </c>
      <c r="E8723" s="21" t="s">
        <v>35</v>
      </c>
      <c r="F8723">
        <v>1630261</v>
      </c>
      <c r="G8723" t="s">
        <v>1382</v>
      </c>
      <c r="H8723" s="21">
        <v>1037.17</v>
      </c>
    </row>
    <row r="8724" spans="1:8" customFormat="1" x14ac:dyDescent="0.25">
      <c r="A8724" t="str">
        <f>"8712"</f>
        <v>8712</v>
      </c>
      <c r="B8724" t="s">
        <v>9030</v>
      </c>
      <c r="C8724" t="s">
        <v>2520</v>
      </c>
      <c r="D8724" s="21" t="s">
        <v>34</v>
      </c>
      <c r="E8724" s="21" t="s">
        <v>254</v>
      </c>
      <c r="F8724">
        <v>10870081</v>
      </c>
      <c r="G8724" t="s">
        <v>6698</v>
      </c>
      <c r="H8724" s="21">
        <v>1037.17</v>
      </c>
    </row>
    <row r="8725" spans="1:8" customFormat="1" x14ac:dyDescent="0.25">
      <c r="A8725" t="str">
        <f>"3324721"</f>
        <v>3324721</v>
      </c>
      <c r="B8725" t="s">
        <v>5291</v>
      </c>
      <c r="C8725" t="s">
        <v>484</v>
      </c>
      <c r="D8725" s="21" t="s">
        <v>34</v>
      </c>
      <c r="E8725" s="21" t="s">
        <v>35</v>
      </c>
      <c r="F8725">
        <v>10240026</v>
      </c>
      <c r="G8725" t="s">
        <v>11667</v>
      </c>
      <c r="H8725" s="21">
        <v>1037.17</v>
      </c>
    </row>
    <row r="8726" spans="1:8" customFormat="1" x14ac:dyDescent="0.25">
      <c r="A8726" t="str">
        <f>"615461"</f>
        <v>615461</v>
      </c>
      <c r="B8726" t="s">
        <v>9219</v>
      </c>
      <c r="C8726" t="s">
        <v>302</v>
      </c>
      <c r="D8726" s="21" t="s">
        <v>34</v>
      </c>
      <c r="E8726" s="21" t="s">
        <v>35</v>
      </c>
      <c r="F8726">
        <v>9610043</v>
      </c>
      <c r="G8726" t="s">
        <v>9220</v>
      </c>
      <c r="H8726" s="21">
        <v>1037.17</v>
      </c>
    </row>
    <row r="8727" spans="1:8" customFormat="1" x14ac:dyDescent="0.25">
      <c r="A8727" t="str">
        <f>"254981"</f>
        <v>254981</v>
      </c>
      <c r="B8727" t="s">
        <v>6137</v>
      </c>
      <c r="C8727" t="s">
        <v>198</v>
      </c>
      <c r="D8727" s="21" t="s">
        <v>34</v>
      </c>
      <c r="E8727" s="21" t="s">
        <v>71</v>
      </c>
      <c r="F8727">
        <v>2250070</v>
      </c>
      <c r="G8727" t="s">
        <v>3923</v>
      </c>
      <c r="H8727" s="21">
        <v>1037.17</v>
      </c>
    </row>
    <row r="8728" spans="1:8" customFormat="1" x14ac:dyDescent="0.25">
      <c r="A8728" t="str">
        <f>"9434682"</f>
        <v>9434682</v>
      </c>
      <c r="B8728" t="s">
        <v>10584</v>
      </c>
      <c r="C8728" t="s">
        <v>109</v>
      </c>
      <c r="D8728" s="21" t="s">
        <v>34</v>
      </c>
      <c r="E8728" s="21" t="s">
        <v>71</v>
      </c>
      <c r="F8728">
        <v>8940012</v>
      </c>
      <c r="G8728" t="s">
        <v>1648</v>
      </c>
      <c r="H8728" s="21">
        <v>1037.05</v>
      </c>
    </row>
    <row r="8729" spans="1:8" customFormat="1" x14ac:dyDescent="0.25">
      <c r="A8729" t="str">
        <f>"622300"</f>
        <v>622300</v>
      </c>
      <c r="B8729" t="s">
        <v>7452</v>
      </c>
      <c r="C8729" t="s">
        <v>9245</v>
      </c>
      <c r="D8729" s="21" t="s">
        <v>34</v>
      </c>
      <c r="E8729" s="21" t="s">
        <v>254</v>
      </c>
      <c r="F8729">
        <v>7620140</v>
      </c>
      <c r="G8729" t="s">
        <v>7454</v>
      </c>
      <c r="H8729" s="21">
        <v>1037.05</v>
      </c>
    </row>
    <row r="8730" spans="1:8" customFormat="1" x14ac:dyDescent="0.25">
      <c r="A8730" t="str">
        <f>"9526674"</f>
        <v>9526674</v>
      </c>
      <c r="B8730" t="s">
        <v>27065</v>
      </c>
      <c r="C8730" t="s">
        <v>109</v>
      </c>
      <c r="D8730" s="21" t="s">
        <v>34</v>
      </c>
      <c r="E8730" s="21" t="s">
        <v>35</v>
      </c>
      <c r="F8730">
        <v>8950129</v>
      </c>
      <c r="G8730" t="s">
        <v>10701</v>
      </c>
      <c r="H8730" s="21">
        <v>1036.92</v>
      </c>
    </row>
    <row r="8731" spans="1:8" customFormat="1" x14ac:dyDescent="0.25">
      <c r="A8731" t="str">
        <f>"3510346"</f>
        <v>3510346</v>
      </c>
      <c r="B8731" t="s">
        <v>2362</v>
      </c>
      <c r="C8731" t="s">
        <v>5464</v>
      </c>
      <c r="D8731" s="21" t="s">
        <v>34</v>
      </c>
      <c r="E8731" s="21" t="s">
        <v>254</v>
      </c>
      <c r="F8731">
        <v>3350227</v>
      </c>
      <c r="G8731" t="s">
        <v>9187</v>
      </c>
      <c r="H8731" s="21">
        <v>1036.67</v>
      </c>
    </row>
    <row r="8732" spans="1:8" customFormat="1" x14ac:dyDescent="0.25">
      <c r="A8732" t="str">
        <f>"27790"</f>
        <v>27790</v>
      </c>
      <c r="B8732" t="s">
        <v>4834</v>
      </c>
      <c r="C8732" t="s">
        <v>109</v>
      </c>
      <c r="D8732" s="21" t="s">
        <v>34</v>
      </c>
      <c r="E8732" s="21" t="s">
        <v>71</v>
      </c>
      <c r="F8732">
        <v>9270060</v>
      </c>
      <c r="G8732" t="s">
        <v>1982</v>
      </c>
      <c r="H8732" s="21">
        <v>1036.67</v>
      </c>
    </row>
    <row r="8733" spans="1:8" customFormat="1" x14ac:dyDescent="0.25">
      <c r="A8733" t="str">
        <f>"845395"</f>
        <v>845395</v>
      </c>
      <c r="B8733" t="s">
        <v>4846</v>
      </c>
      <c r="C8733" t="s">
        <v>493</v>
      </c>
      <c r="D8733" s="21" t="s">
        <v>34</v>
      </c>
      <c r="E8733" s="21" t="s">
        <v>71</v>
      </c>
      <c r="F8733">
        <v>11300016</v>
      </c>
      <c r="G8733" t="s">
        <v>157</v>
      </c>
      <c r="H8733" s="21">
        <v>1036.67</v>
      </c>
    </row>
    <row r="8734" spans="1:8" customFormat="1" x14ac:dyDescent="0.25">
      <c r="A8734" t="str">
        <f>"287438"</f>
        <v>287438</v>
      </c>
      <c r="B8734" t="s">
        <v>2218</v>
      </c>
      <c r="C8734" t="s">
        <v>87</v>
      </c>
      <c r="D8734" s="21" t="s">
        <v>34</v>
      </c>
      <c r="E8734" s="21" t="s">
        <v>35</v>
      </c>
      <c r="F8734">
        <v>7620063</v>
      </c>
      <c r="G8734" t="s">
        <v>1889</v>
      </c>
      <c r="H8734" s="21">
        <v>1036.67</v>
      </c>
    </row>
    <row r="8735" spans="1:8" customFormat="1" x14ac:dyDescent="0.25">
      <c r="A8735" t="str">
        <f>"5910767"</f>
        <v>5910767</v>
      </c>
      <c r="B8735" t="s">
        <v>8516</v>
      </c>
      <c r="C8735" t="s">
        <v>204</v>
      </c>
      <c r="D8735" s="21" t="s">
        <v>34</v>
      </c>
      <c r="E8735" s="21" t="s">
        <v>71</v>
      </c>
      <c r="F8735">
        <v>7590137</v>
      </c>
      <c r="G8735" t="s">
        <v>4246</v>
      </c>
      <c r="H8735" s="21">
        <v>1036.67</v>
      </c>
    </row>
    <row r="8736" spans="1:8" customFormat="1" x14ac:dyDescent="0.25">
      <c r="A8736" t="str">
        <f>"9529539"</f>
        <v>9529539</v>
      </c>
      <c r="B8736" t="s">
        <v>9036</v>
      </c>
      <c r="C8736" t="s">
        <v>305</v>
      </c>
      <c r="D8736" s="21" t="s">
        <v>34</v>
      </c>
      <c r="E8736" s="21" t="s">
        <v>35</v>
      </c>
      <c r="F8736">
        <v>8951411</v>
      </c>
      <c r="G8736" t="s">
        <v>416</v>
      </c>
      <c r="H8736" s="21">
        <v>1036.67</v>
      </c>
    </row>
    <row r="8737" spans="1:8" customFormat="1" x14ac:dyDescent="0.25">
      <c r="A8737" t="str">
        <f>"3713091"</f>
        <v>3713091</v>
      </c>
      <c r="B8737" t="s">
        <v>7651</v>
      </c>
      <c r="C8737" t="s">
        <v>249</v>
      </c>
      <c r="D8737" s="21" t="s">
        <v>34</v>
      </c>
      <c r="E8737" s="21" t="s">
        <v>35</v>
      </c>
      <c r="F8737">
        <v>4370307</v>
      </c>
      <c r="G8737" t="s">
        <v>7652</v>
      </c>
      <c r="H8737" s="21">
        <v>1036.67</v>
      </c>
    </row>
    <row r="8738" spans="1:8" customFormat="1" x14ac:dyDescent="0.25">
      <c r="A8738" t="str">
        <f>"137153"</f>
        <v>137153</v>
      </c>
      <c r="B8738" t="s">
        <v>27066</v>
      </c>
      <c r="C8738" t="s">
        <v>4721</v>
      </c>
      <c r="D8738" s="21" t="s">
        <v>34</v>
      </c>
      <c r="E8738" s="21" t="s">
        <v>254</v>
      </c>
      <c r="F8738">
        <v>13130162</v>
      </c>
      <c r="G8738" t="s">
        <v>13411</v>
      </c>
      <c r="H8738" s="21">
        <v>1036.67</v>
      </c>
    </row>
    <row r="8739" spans="1:8" customFormat="1" x14ac:dyDescent="0.25">
      <c r="A8739" t="str">
        <f>"2811108"</f>
        <v>2811108</v>
      </c>
      <c r="B8739" t="s">
        <v>11351</v>
      </c>
      <c r="C8739" t="s">
        <v>198</v>
      </c>
      <c r="D8739" s="21" t="s">
        <v>34</v>
      </c>
      <c r="E8739" s="21" t="s">
        <v>71</v>
      </c>
      <c r="F8739">
        <v>4280045</v>
      </c>
      <c r="G8739" t="s">
        <v>787</v>
      </c>
      <c r="H8739" s="21">
        <v>1036.67</v>
      </c>
    </row>
    <row r="8740" spans="1:8" customFormat="1" x14ac:dyDescent="0.25">
      <c r="A8740" t="str">
        <f>"76976"</f>
        <v>76976</v>
      </c>
      <c r="B8740" t="s">
        <v>3689</v>
      </c>
      <c r="C8740" t="s">
        <v>2904</v>
      </c>
      <c r="D8740" s="21" t="s">
        <v>34</v>
      </c>
      <c r="E8740" s="21" t="s">
        <v>1089</v>
      </c>
      <c r="F8740">
        <v>9760168</v>
      </c>
      <c r="G8740" t="s">
        <v>179</v>
      </c>
      <c r="H8740" s="21">
        <v>1036.67</v>
      </c>
    </row>
    <row r="8741" spans="1:8" customFormat="1" x14ac:dyDescent="0.25">
      <c r="A8741" t="str">
        <f>"781360"</f>
        <v>781360</v>
      </c>
      <c r="B8741" t="s">
        <v>7347</v>
      </c>
      <c r="C8741" t="s">
        <v>598</v>
      </c>
      <c r="D8741" s="21" t="s">
        <v>34</v>
      </c>
      <c r="E8741" s="21" t="s">
        <v>254</v>
      </c>
      <c r="F8741">
        <v>8780585</v>
      </c>
      <c r="G8741" t="s">
        <v>4630</v>
      </c>
      <c r="H8741" s="21">
        <v>1036.67</v>
      </c>
    </row>
    <row r="8742" spans="1:8" customFormat="1" x14ac:dyDescent="0.25">
      <c r="A8742" t="str">
        <f>"853621"</f>
        <v>853621</v>
      </c>
      <c r="B8742" t="s">
        <v>1066</v>
      </c>
      <c r="C8742" t="s">
        <v>3522</v>
      </c>
      <c r="D8742" s="21" t="s">
        <v>34</v>
      </c>
      <c r="E8742" s="21" t="s">
        <v>35</v>
      </c>
      <c r="F8742">
        <v>12850154</v>
      </c>
      <c r="G8742" t="s">
        <v>7078</v>
      </c>
      <c r="H8742" s="21">
        <v>1036.67</v>
      </c>
    </row>
    <row r="8743" spans="1:8" customFormat="1" x14ac:dyDescent="0.25">
      <c r="A8743" t="str">
        <f>"594309"</f>
        <v>594309</v>
      </c>
      <c r="B8743" t="s">
        <v>8875</v>
      </c>
      <c r="C8743" t="s">
        <v>1132</v>
      </c>
      <c r="D8743" s="21" t="s">
        <v>34</v>
      </c>
      <c r="E8743" s="21" t="s">
        <v>254</v>
      </c>
      <c r="F8743">
        <v>7590231</v>
      </c>
      <c r="G8743" t="s">
        <v>207</v>
      </c>
      <c r="H8743" s="21">
        <v>1036.67</v>
      </c>
    </row>
    <row r="8744" spans="1:8" customFormat="1" x14ac:dyDescent="0.25">
      <c r="A8744" t="str">
        <f>"6934374"</f>
        <v>6934374</v>
      </c>
      <c r="B8744" t="s">
        <v>8801</v>
      </c>
      <c r="C8744" t="s">
        <v>249</v>
      </c>
      <c r="D8744" s="21" t="s">
        <v>34</v>
      </c>
      <c r="E8744" s="21" t="s">
        <v>35</v>
      </c>
      <c r="F8744">
        <v>1690146</v>
      </c>
      <c r="G8744" t="s">
        <v>8802</v>
      </c>
      <c r="H8744" s="21">
        <v>1036.54</v>
      </c>
    </row>
    <row r="8745" spans="1:8" customFormat="1" x14ac:dyDescent="0.25">
      <c r="A8745" t="str">
        <f>"873259"</f>
        <v>873259</v>
      </c>
      <c r="B8745" t="s">
        <v>10628</v>
      </c>
      <c r="C8745" t="s">
        <v>209</v>
      </c>
      <c r="D8745" s="21" t="s">
        <v>34</v>
      </c>
      <c r="E8745" s="21" t="s">
        <v>71</v>
      </c>
      <c r="F8745">
        <v>10870007</v>
      </c>
      <c r="G8745" t="s">
        <v>8903</v>
      </c>
      <c r="H8745" s="21">
        <v>1036.18</v>
      </c>
    </row>
    <row r="8746" spans="1:8" customFormat="1" x14ac:dyDescent="0.25">
      <c r="A8746" t="str">
        <f>"7632668"</f>
        <v>7632668</v>
      </c>
      <c r="B8746" t="s">
        <v>9331</v>
      </c>
      <c r="C8746" t="s">
        <v>9332</v>
      </c>
      <c r="D8746" s="21" t="s">
        <v>34</v>
      </c>
      <c r="E8746" s="21" t="s">
        <v>35</v>
      </c>
      <c r="F8746">
        <v>9760018</v>
      </c>
      <c r="G8746" t="s">
        <v>117</v>
      </c>
      <c r="H8746" s="21">
        <v>1036.17</v>
      </c>
    </row>
    <row r="8747" spans="1:8" customFormat="1" x14ac:dyDescent="0.25">
      <c r="A8747" t="str">
        <f>"1714385"</f>
        <v>1714385</v>
      </c>
      <c r="B8747" t="s">
        <v>987</v>
      </c>
      <c r="C8747" t="s">
        <v>951</v>
      </c>
      <c r="D8747" s="21" t="s">
        <v>34</v>
      </c>
      <c r="E8747" s="21" t="s">
        <v>35</v>
      </c>
      <c r="F8747">
        <v>10170028</v>
      </c>
      <c r="G8747" t="s">
        <v>649</v>
      </c>
      <c r="H8747" s="21">
        <v>1036.17</v>
      </c>
    </row>
    <row r="8748" spans="1:8" customFormat="1" x14ac:dyDescent="0.25">
      <c r="A8748" t="str">
        <f>"6213483"</f>
        <v>6213483</v>
      </c>
      <c r="B8748" t="s">
        <v>27067</v>
      </c>
      <c r="C8748" t="s">
        <v>43</v>
      </c>
      <c r="D8748" s="21" t="s">
        <v>34</v>
      </c>
      <c r="E8748" s="21" t="s">
        <v>35</v>
      </c>
      <c r="F8748">
        <v>7620149</v>
      </c>
      <c r="G8748" t="s">
        <v>16598</v>
      </c>
      <c r="H8748" s="21">
        <v>1036.17</v>
      </c>
    </row>
    <row r="8749" spans="1:8" customFormat="1" x14ac:dyDescent="0.25">
      <c r="A8749" t="str">
        <f>"169693"</f>
        <v>169693</v>
      </c>
      <c r="B8749" t="s">
        <v>9083</v>
      </c>
      <c r="C8749" t="s">
        <v>462</v>
      </c>
      <c r="D8749" s="21" t="s">
        <v>34</v>
      </c>
      <c r="E8749" s="21" t="s">
        <v>71</v>
      </c>
      <c r="F8749">
        <v>10170051</v>
      </c>
      <c r="G8749" t="s">
        <v>826</v>
      </c>
      <c r="H8749" s="21">
        <v>1036.17</v>
      </c>
    </row>
    <row r="8750" spans="1:8" customFormat="1" x14ac:dyDescent="0.25">
      <c r="A8750" t="str">
        <f>"8522240"</f>
        <v>8522240</v>
      </c>
      <c r="B8750" t="s">
        <v>889</v>
      </c>
      <c r="C8750" t="s">
        <v>462</v>
      </c>
      <c r="D8750" s="21" t="s">
        <v>34</v>
      </c>
      <c r="E8750" s="21" t="s">
        <v>71</v>
      </c>
      <c r="F8750">
        <v>12850023</v>
      </c>
      <c r="G8750" t="s">
        <v>3121</v>
      </c>
      <c r="H8750" s="21">
        <v>1036.17</v>
      </c>
    </row>
    <row r="8751" spans="1:8" customFormat="1" x14ac:dyDescent="0.25">
      <c r="A8751" t="str">
        <f>"9312402"</f>
        <v>9312402</v>
      </c>
      <c r="B8751" t="s">
        <v>9839</v>
      </c>
      <c r="C8751" t="s">
        <v>3821</v>
      </c>
      <c r="D8751" s="21" t="s">
        <v>34</v>
      </c>
      <c r="E8751" s="21" t="s">
        <v>71</v>
      </c>
      <c r="F8751">
        <v>8930148</v>
      </c>
      <c r="G8751" t="s">
        <v>1915</v>
      </c>
      <c r="H8751" s="21">
        <v>1035.8</v>
      </c>
    </row>
    <row r="8752" spans="1:8" customFormat="1" x14ac:dyDescent="0.25">
      <c r="A8752" t="str">
        <f>"228680"</f>
        <v>228680</v>
      </c>
      <c r="B8752" t="s">
        <v>8739</v>
      </c>
      <c r="C8752" t="s">
        <v>98</v>
      </c>
      <c r="D8752" s="21" t="s">
        <v>34</v>
      </c>
      <c r="E8752" s="21" t="s">
        <v>71</v>
      </c>
      <c r="F8752">
        <v>3220087</v>
      </c>
      <c r="G8752" t="s">
        <v>3540</v>
      </c>
      <c r="H8752" s="21">
        <v>1035.67</v>
      </c>
    </row>
    <row r="8753" spans="1:8" customFormat="1" x14ac:dyDescent="0.25">
      <c r="A8753" t="str">
        <f>"762068"</f>
        <v>762068</v>
      </c>
      <c r="B8753" t="s">
        <v>1081</v>
      </c>
      <c r="C8753" t="s">
        <v>239</v>
      </c>
      <c r="D8753" s="21" t="s">
        <v>34</v>
      </c>
      <c r="E8753" s="21" t="s">
        <v>254</v>
      </c>
      <c r="F8753">
        <v>9760415</v>
      </c>
      <c r="G8753" t="s">
        <v>4541</v>
      </c>
      <c r="H8753" s="21">
        <v>1035.67</v>
      </c>
    </row>
    <row r="8754" spans="1:8" customFormat="1" x14ac:dyDescent="0.25">
      <c r="A8754" t="str">
        <f>"6216794"</f>
        <v>6216794</v>
      </c>
      <c r="B8754" t="s">
        <v>8707</v>
      </c>
      <c r="C8754" t="s">
        <v>87</v>
      </c>
      <c r="D8754" s="21" t="s">
        <v>34</v>
      </c>
      <c r="E8754" s="21" t="s">
        <v>35</v>
      </c>
      <c r="F8754">
        <v>7620015</v>
      </c>
      <c r="G8754" t="s">
        <v>377</v>
      </c>
      <c r="H8754" s="21">
        <v>1035.67</v>
      </c>
    </row>
    <row r="8755" spans="1:8" customFormat="1" x14ac:dyDescent="0.25">
      <c r="A8755" t="str">
        <f>"01559"</f>
        <v>01559</v>
      </c>
      <c r="B8755" t="s">
        <v>8823</v>
      </c>
      <c r="C8755" t="s">
        <v>412</v>
      </c>
      <c r="D8755" s="21" t="s">
        <v>34</v>
      </c>
      <c r="E8755" s="21" t="s">
        <v>71</v>
      </c>
      <c r="F8755">
        <v>1010044</v>
      </c>
      <c r="G8755" t="s">
        <v>4603</v>
      </c>
      <c r="H8755" s="21">
        <v>1035.67</v>
      </c>
    </row>
    <row r="8756" spans="1:8" customFormat="1" x14ac:dyDescent="0.25">
      <c r="A8756" t="str">
        <f>"5910643"</f>
        <v>5910643</v>
      </c>
      <c r="B8756" t="s">
        <v>7753</v>
      </c>
      <c r="C8756" t="s">
        <v>55</v>
      </c>
      <c r="D8756" s="21" t="s">
        <v>34</v>
      </c>
      <c r="E8756" s="21" t="s">
        <v>71</v>
      </c>
      <c r="F8756">
        <v>7590393</v>
      </c>
      <c r="G8756" t="s">
        <v>7754</v>
      </c>
      <c r="H8756" s="21">
        <v>1035.67</v>
      </c>
    </row>
    <row r="8757" spans="1:8" customFormat="1" x14ac:dyDescent="0.25">
      <c r="A8757" t="str">
        <f>"5935638"</f>
        <v>5935638</v>
      </c>
      <c r="B8757" t="s">
        <v>27068</v>
      </c>
      <c r="C8757" t="s">
        <v>33</v>
      </c>
      <c r="D8757" s="21" t="s">
        <v>34</v>
      </c>
      <c r="E8757" s="21" t="s">
        <v>35</v>
      </c>
      <c r="F8757">
        <v>7620103</v>
      </c>
      <c r="G8757" t="s">
        <v>1107</v>
      </c>
      <c r="H8757" s="21">
        <v>1035.67</v>
      </c>
    </row>
    <row r="8758" spans="1:8" customFormat="1" x14ac:dyDescent="0.25">
      <c r="A8758" t="str">
        <f>"9499"</f>
        <v>9499</v>
      </c>
      <c r="B8758" t="s">
        <v>8644</v>
      </c>
      <c r="C8758" t="s">
        <v>2356</v>
      </c>
      <c r="D8758" s="21" t="s">
        <v>34</v>
      </c>
      <c r="E8758" s="21" t="s">
        <v>71</v>
      </c>
      <c r="F8758">
        <v>8940030</v>
      </c>
      <c r="G8758" t="s">
        <v>7068</v>
      </c>
      <c r="H8758" s="21">
        <v>1035.55</v>
      </c>
    </row>
    <row r="8759" spans="1:8" customFormat="1" x14ac:dyDescent="0.25">
      <c r="A8759" t="str">
        <f>"9128919"</f>
        <v>9128919</v>
      </c>
      <c r="B8759" t="s">
        <v>6134</v>
      </c>
      <c r="C8759" t="s">
        <v>656</v>
      </c>
      <c r="D8759" s="21" t="s">
        <v>34</v>
      </c>
      <c r="E8759" s="21" t="s">
        <v>35</v>
      </c>
      <c r="F8759">
        <v>8920312</v>
      </c>
      <c r="G8759" t="s">
        <v>1026</v>
      </c>
      <c r="H8759" s="21">
        <v>1035.55</v>
      </c>
    </row>
    <row r="8760" spans="1:8" customFormat="1" x14ac:dyDescent="0.25">
      <c r="A8760" t="str">
        <f>"7840265"</f>
        <v>7840265</v>
      </c>
      <c r="B8760" t="s">
        <v>1737</v>
      </c>
      <c r="C8760" t="s">
        <v>415</v>
      </c>
      <c r="D8760" s="21" t="s">
        <v>34</v>
      </c>
      <c r="E8760" s="21" t="s">
        <v>71</v>
      </c>
      <c r="F8760">
        <v>8780128</v>
      </c>
      <c r="G8760" t="s">
        <v>4201</v>
      </c>
      <c r="H8760" s="21">
        <v>1035.3</v>
      </c>
    </row>
    <row r="8761" spans="1:8" customFormat="1" x14ac:dyDescent="0.25">
      <c r="A8761" t="str">
        <f>"428661"</f>
        <v>428661</v>
      </c>
      <c r="B8761" t="s">
        <v>9676</v>
      </c>
      <c r="C8761" t="s">
        <v>1665</v>
      </c>
      <c r="D8761" s="21" t="s">
        <v>34</v>
      </c>
      <c r="E8761" s="21" t="s">
        <v>254</v>
      </c>
      <c r="F8761">
        <v>1420166</v>
      </c>
      <c r="G8761" t="s">
        <v>26873</v>
      </c>
      <c r="H8761" s="21">
        <v>1035.29</v>
      </c>
    </row>
    <row r="8762" spans="1:8" customFormat="1" x14ac:dyDescent="0.25">
      <c r="A8762" t="str">
        <f>"692911"</f>
        <v>692911</v>
      </c>
      <c r="B8762" t="s">
        <v>8512</v>
      </c>
      <c r="C8762" t="s">
        <v>269</v>
      </c>
      <c r="D8762" s="21" t="s">
        <v>34</v>
      </c>
      <c r="E8762" s="21" t="s">
        <v>71</v>
      </c>
      <c r="F8762">
        <v>1690207</v>
      </c>
      <c r="G8762" t="s">
        <v>4232</v>
      </c>
      <c r="H8762" s="21">
        <v>1035.17</v>
      </c>
    </row>
    <row r="8763" spans="1:8" customFormat="1" x14ac:dyDescent="0.25">
      <c r="A8763" t="str">
        <f>"537074"</f>
        <v>537074</v>
      </c>
      <c r="B8763" t="s">
        <v>9543</v>
      </c>
      <c r="C8763" t="s">
        <v>114</v>
      </c>
      <c r="D8763" s="21" t="s">
        <v>34</v>
      </c>
      <c r="E8763" s="21" t="s">
        <v>71</v>
      </c>
      <c r="F8763">
        <v>9610087</v>
      </c>
      <c r="G8763" t="s">
        <v>2661</v>
      </c>
      <c r="H8763" s="21">
        <v>1035.17</v>
      </c>
    </row>
    <row r="8764" spans="1:8" customFormat="1" x14ac:dyDescent="0.25">
      <c r="A8764" t="str">
        <f>"452666"</f>
        <v>452666</v>
      </c>
      <c r="B8764" t="s">
        <v>9460</v>
      </c>
      <c r="C8764" t="s">
        <v>412</v>
      </c>
      <c r="D8764" s="21" t="s">
        <v>34</v>
      </c>
      <c r="E8764" s="21" t="s">
        <v>254</v>
      </c>
      <c r="F8764">
        <v>4450036</v>
      </c>
      <c r="G8764" t="s">
        <v>4179</v>
      </c>
      <c r="H8764" s="21">
        <v>1035.17</v>
      </c>
    </row>
    <row r="8765" spans="1:8" customFormat="1" x14ac:dyDescent="0.25">
      <c r="A8765" t="str">
        <f>"7840243"</f>
        <v>7840243</v>
      </c>
      <c r="B8765" t="s">
        <v>3627</v>
      </c>
      <c r="C8765" t="s">
        <v>124</v>
      </c>
      <c r="D8765" s="21" t="s">
        <v>34</v>
      </c>
      <c r="E8765" s="21" t="s">
        <v>254</v>
      </c>
      <c r="F8765">
        <v>8780485</v>
      </c>
      <c r="G8765" t="s">
        <v>1279</v>
      </c>
      <c r="H8765" s="21">
        <v>1035.17</v>
      </c>
    </row>
    <row r="8766" spans="1:8" customFormat="1" x14ac:dyDescent="0.25">
      <c r="A8766" t="str">
        <f>"6947750"</f>
        <v>6947750</v>
      </c>
      <c r="B8766" t="s">
        <v>4027</v>
      </c>
      <c r="C8766" t="s">
        <v>269</v>
      </c>
      <c r="D8766" s="21" t="s">
        <v>34</v>
      </c>
      <c r="E8766" s="21" t="s">
        <v>71</v>
      </c>
      <c r="F8766">
        <v>1690058</v>
      </c>
      <c r="G8766" t="s">
        <v>1644</v>
      </c>
      <c r="H8766" s="21">
        <v>1035.17</v>
      </c>
    </row>
    <row r="8767" spans="1:8" customFormat="1" x14ac:dyDescent="0.25">
      <c r="A8767" t="str">
        <f>"2511345"</f>
        <v>2511345</v>
      </c>
      <c r="B8767" t="s">
        <v>9861</v>
      </c>
      <c r="C8767" t="s">
        <v>33</v>
      </c>
      <c r="D8767" s="21" t="s">
        <v>34</v>
      </c>
      <c r="E8767" s="21" t="s">
        <v>71</v>
      </c>
      <c r="F8767">
        <v>2250199</v>
      </c>
      <c r="G8767" t="s">
        <v>8756</v>
      </c>
      <c r="H8767" s="21">
        <v>1035.17</v>
      </c>
    </row>
    <row r="8768" spans="1:8" customFormat="1" x14ac:dyDescent="0.25">
      <c r="A8768" t="str">
        <f>"903758"</f>
        <v>903758</v>
      </c>
      <c r="B8768" t="s">
        <v>5952</v>
      </c>
      <c r="C8768" t="s">
        <v>114</v>
      </c>
      <c r="D8768" s="21" t="s">
        <v>34</v>
      </c>
      <c r="E8768" s="21" t="s">
        <v>35</v>
      </c>
      <c r="F8768">
        <v>2900013</v>
      </c>
      <c r="G8768" t="s">
        <v>5390</v>
      </c>
      <c r="H8768" s="21">
        <v>1035.17</v>
      </c>
    </row>
    <row r="8769" spans="1:8" customFormat="1" x14ac:dyDescent="0.25">
      <c r="A8769" t="str">
        <f>"443997"</f>
        <v>443997</v>
      </c>
      <c r="B8769" t="s">
        <v>7586</v>
      </c>
      <c r="C8769" t="s">
        <v>209</v>
      </c>
      <c r="D8769" s="21" t="s">
        <v>34</v>
      </c>
      <c r="E8769" s="21" t="s">
        <v>35</v>
      </c>
      <c r="F8769">
        <v>12440049</v>
      </c>
      <c r="G8769" t="s">
        <v>3339</v>
      </c>
      <c r="H8769" s="21">
        <v>1035.17</v>
      </c>
    </row>
    <row r="8770" spans="1:8" customFormat="1" x14ac:dyDescent="0.25">
      <c r="A8770" t="str">
        <f>"6935945"</f>
        <v>6935945</v>
      </c>
      <c r="B8770" t="s">
        <v>6396</v>
      </c>
      <c r="C8770" t="s">
        <v>87</v>
      </c>
      <c r="D8770" s="21" t="s">
        <v>34</v>
      </c>
      <c r="E8770" s="21" t="s">
        <v>35</v>
      </c>
      <c r="F8770">
        <v>1010068</v>
      </c>
      <c r="G8770" t="s">
        <v>4755</v>
      </c>
      <c r="H8770" s="21">
        <v>1035.17</v>
      </c>
    </row>
    <row r="8771" spans="1:8" customFormat="1" x14ac:dyDescent="0.25">
      <c r="A8771" t="str">
        <f>"845241"</f>
        <v>845241</v>
      </c>
      <c r="B8771" t="s">
        <v>8487</v>
      </c>
      <c r="C8771" t="s">
        <v>652</v>
      </c>
      <c r="D8771" s="21" t="s">
        <v>34</v>
      </c>
      <c r="E8771" s="21" t="s">
        <v>254</v>
      </c>
      <c r="F8771">
        <v>13840028</v>
      </c>
      <c r="G8771" t="s">
        <v>4139</v>
      </c>
      <c r="H8771" s="21">
        <v>1035.17</v>
      </c>
    </row>
    <row r="8772" spans="1:8" customFormat="1" x14ac:dyDescent="0.25">
      <c r="A8772" t="str">
        <f>"5312450"</f>
        <v>5312450</v>
      </c>
      <c r="B8772" t="s">
        <v>9280</v>
      </c>
      <c r="C8772" t="s">
        <v>119</v>
      </c>
      <c r="D8772" s="21" t="s">
        <v>34</v>
      </c>
      <c r="E8772" s="21" t="s">
        <v>35</v>
      </c>
      <c r="F8772">
        <v>12530060</v>
      </c>
      <c r="G8772" t="s">
        <v>1356</v>
      </c>
      <c r="H8772" s="21">
        <v>1035.17</v>
      </c>
    </row>
    <row r="8773" spans="1:8" customFormat="1" x14ac:dyDescent="0.25">
      <c r="A8773" t="str">
        <f>"6017300"</f>
        <v>6017300</v>
      </c>
      <c r="B8773" t="s">
        <v>27069</v>
      </c>
      <c r="C8773" t="s">
        <v>60</v>
      </c>
      <c r="D8773" s="21" t="s">
        <v>34</v>
      </c>
      <c r="E8773" s="21" t="s">
        <v>35</v>
      </c>
      <c r="F8773">
        <v>7600037</v>
      </c>
      <c r="G8773" t="s">
        <v>7185</v>
      </c>
      <c r="H8773" s="21">
        <v>1035.17</v>
      </c>
    </row>
    <row r="8774" spans="1:8" customFormat="1" x14ac:dyDescent="0.25">
      <c r="A8774" t="str">
        <f>"1312455"</f>
        <v>1312455</v>
      </c>
      <c r="B8774" t="s">
        <v>7410</v>
      </c>
      <c r="C8774" t="s">
        <v>2520</v>
      </c>
      <c r="D8774" s="21" t="s">
        <v>34</v>
      </c>
      <c r="E8774" s="21" t="s">
        <v>1089</v>
      </c>
      <c r="F8774">
        <v>13830013</v>
      </c>
      <c r="G8774" t="s">
        <v>3374</v>
      </c>
      <c r="H8774" s="21">
        <v>1035.17</v>
      </c>
    </row>
    <row r="8775" spans="1:8" customFormat="1" x14ac:dyDescent="0.25">
      <c r="A8775" t="str">
        <f>"9237736"</f>
        <v>9237736</v>
      </c>
      <c r="B8775" t="s">
        <v>9640</v>
      </c>
      <c r="C8775" t="s">
        <v>121</v>
      </c>
      <c r="D8775" s="21" t="s">
        <v>34</v>
      </c>
      <c r="E8775" s="21" t="s">
        <v>71</v>
      </c>
      <c r="F8775">
        <v>8921190</v>
      </c>
      <c r="G8775" t="s">
        <v>810</v>
      </c>
      <c r="H8775" s="21">
        <v>1034.93</v>
      </c>
    </row>
    <row r="8776" spans="1:8" customFormat="1" x14ac:dyDescent="0.25">
      <c r="A8776" t="str">
        <f>"803260"</f>
        <v>803260</v>
      </c>
      <c r="B8776" t="s">
        <v>213</v>
      </c>
      <c r="C8776" t="s">
        <v>547</v>
      </c>
      <c r="D8776" s="21" t="s">
        <v>34</v>
      </c>
      <c r="E8776" s="21" t="s">
        <v>35</v>
      </c>
      <c r="F8776">
        <v>10860044</v>
      </c>
      <c r="G8776" t="s">
        <v>4984</v>
      </c>
      <c r="H8776" s="21">
        <v>1034.92</v>
      </c>
    </row>
    <row r="8777" spans="1:8" customFormat="1" x14ac:dyDescent="0.25">
      <c r="A8777" t="str">
        <f>"9A1030"</f>
        <v>9A1030</v>
      </c>
      <c r="B8777" t="s">
        <v>8873</v>
      </c>
      <c r="C8777" t="s">
        <v>415</v>
      </c>
      <c r="D8777" s="21" t="s">
        <v>34</v>
      </c>
      <c r="E8777" s="21" t="s">
        <v>71</v>
      </c>
      <c r="F8777" t="s">
        <v>1465</v>
      </c>
      <c r="G8777" t="s">
        <v>1466</v>
      </c>
      <c r="H8777" s="21">
        <v>1034.81</v>
      </c>
    </row>
    <row r="8778" spans="1:8" customFormat="1" x14ac:dyDescent="0.25">
      <c r="A8778" t="str">
        <f>"903614"</f>
        <v>903614</v>
      </c>
      <c r="B8778" t="s">
        <v>9421</v>
      </c>
      <c r="C8778" t="s">
        <v>130</v>
      </c>
      <c r="D8778" s="21" t="s">
        <v>34</v>
      </c>
      <c r="E8778" s="21" t="s">
        <v>71</v>
      </c>
      <c r="F8778">
        <v>2900039</v>
      </c>
      <c r="G8778" t="s">
        <v>26615</v>
      </c>
      <c r="H8778" s="21">
        <v>1034.8</v>
      </c>
    </row>
    <row r="8779" spans="1:8" customFormat="1" x14ac:dyDescent="0.25">
      <c r="A8779" t="str">
        <f>"806255"</f>
        <v>806255</v>
      </c>
      <c r="B8779" t="s">
        <v>1522</v>
      </c>
      <c r="C8779" t="s">
        <v>269</v>
      </c>
      <c r="D8779" s="21" t="s">
        <v>34</v>
      </c>
      <c r="E8779" s="21" t="s">
        <v>35</v>
      </c>
      <c r="F8779">
        <v>7800061</v>
      </c>
      <c r="G8779" t="s">
        <v>1330</v>
      </c>
      <c r="H8779" s="21">
        <v>1034.68</v>
      </c>
    </row>
    <row r="8780" spans="1:8" customFormat="1" x14ac:dyDescent="0.25">
      <c r="A8780" t="str">
        <f>"675721"</f>
        <v>675721</v>
      </c>
      <c r="B8780" t="s">
        <v>8384</v>
      </c>
      <c r="C8780" t="s">
        <v>576</v>
      </c>
      <c r="D8780" s="21" t="s">
        <v>34</v>
      </c>
      <c r="E8780" s="21" t="s">
        <v>35</v>
      </c>
      <c r="F8780">
        <v>6670045</v>
      </c>
      <c r="G8780" t="s">
        <v>707</v>
      </c>
      <c r="H8780" s="21">
        <v>1034.67</v>
      </c>
    </row>
    <row r="8781" spans="1:8" customFormat="1" x14ac:dyDescent="0.25">
      <c r="A8781" t="str">
        <f>"5012154"</f>
        <v>5012154</v>
      </c>
      <c r="B8781" t="s">
        <v>11251</v>
      </c>
      <c r="C8781" t="s">
        <v>269</v>
      </c>
      <c r="D8781" s="21" t="s">
        <v>34</v>
      </c>
      <c r="E8781" s="21" t="s">
        <v>71</v>
      </c>
      <c r="F8781">
        <v>9500162</v>
      </c>
      <c r="G8781" t="s">
        <v>11252</v>
      </c>
      <c r="H8781" s="21">
        <v>1034.67</v>
      </c>
    </row>
    <row r="8782" spans="1:8" customFormat="1" x14ac:dyDescent="0.25">
      <c r="A8782" t="str">
        <f>"85688"</f>
        <v>85688</v>
      </c>
      <c r="B8782" t="s">
        <v>5674</v>
      </c>
      <c r="C8782" t="s">
        <v>664</v>
      </c>
      <c r="D8782" s="21" t="s">
        <v>34</v>
      </c>
      <c r="E8782" s="21" t="s">
        <v>71</v>
      </c>
      <c r="F8782">
        <v>12850135</v>
      </c>
      <c r="G8782" t="s">
        <v>5201</v>
      </c>
      <c r="H8782" s="21">
        <v>1034.67</v>
      </c>
    </row>
    <row r="8783" spans="1:8" customFormat="1" x14ac:dyDescent="0.25">
      <c r="A8783" t="str">
        <f>"3027"</f>
        <v>3027</v>
      </c>
      <c r="B8783" t="s">
        <v>8769</v>
      </c>
      <c r="C8783" t="s">
        <v>169</v>
      </c>
      <c r="D8783" s="21" t="s">
        <v>34</v>
      </c>
      <c r="E8783" s="21" t="s">
        <v>71</v>
      </c>
      <c r="F8783">
        <v>11300023</v>
      </c>
      <c r="G8783" t="s">
        <v>2679</v>
      </c>
      <c r="H8783" s="21">
        <v>1034.67</v>
      </c>
    </row>
    <row r="8784" spans="1:8" customFormat="1" x14ac:dyDescent="0.25">
      <c r="A8784" t="str">
        <f>"687047"</f>
        <v>687047</v>
      </c>
      <c r="B8784" t="s">
        <v>2438</v>
      </c>
      <c r="C8784" t="s">
        <v>87</v>
      </c>
      <c r="D8784" s="21" t="s">
        <v>34</v>
      </c>
      <c r="E8784" s="21" t="s">
        <v>35</v>
      </c>
      <c r="F8784">
        <v>6680080</v>
      </c>
      <c r="G8784" t="s">
        <v>7771</v>
      </c>
      <c r="H8784" s="21">
        <v>1034.67</v>
      </c>
    </row>
    <row r="8785" spans="1:8" customFormat="1" x14ac:dyDescent="0.25">
      <c r="A8785" t="str">
        <f>"302407"</f>
        <v>302407</v>
      </c>
      <c r="B8785" t="s">
        <v>9346</v>
      </c>
      <c r="C8785" t="s">
        <v>822</v>
      </c>
      <c r="D8785" s="21" t="s">
        <v>34</v>
      </c>
      <c r="E8785" s="21" t="s">
        <v>35</v>
      </c>
      <c r="F8785">
        <v>11300023</v>
      </c>
      <c r="G8785" t="s">
        <v>2679</v>
      </c>
      <c r="H8785" s="21">
        <v>1034.67</v>
      </c>
    </row>
    <row r="8786" spans="1:8" customFormat="1" x14ac:dyDescent="0.25">
      <c r="A8786" t="str">
        <f>"7524736"</f>
        <v>7524736</v>
      </c>
      <c r="B8786" t="s">
        <v>6506</v>
      </c>
      <c r="C8786" t="s">
        <v>269</v>
      </c>
      <c r="D8786" s="21" t="s">
        <v>34</v>
      </c>
      <c r="E8786" s="21" t="s">
        <v>35</v>
      </c>
      <c r="F8786">
        <v>8751412</v>
      </c>
      <c r="G8786" t="s">
        <v>3615</v>
      </c>
      <c r="H8786" s="21">
        <v>1034.67</v>
      </c>
    </row>
    <row r="8787" spans="1:8" customFormat="1" x14ac:dyDescent="0.25">
      <c r="A8787" t="str">
        <f>"7712736"</f>
        <v>7712736</v>
      </c>
      <c r="B8787" t="s">
        <v>10222</v>
      </c>
      <c r="C8787" t="s">
        <v>7200</v>
      </c>
      <c r="D8787" s="21" t="s">
        <v>34</v>
      </c>
      <c r="E8787" s="21" t="s">
        <v>35</v>
      </c>
      <c r="F8787">
        <v>8771202</v>
      </c>
      <c r="G8787" t="s">
        <v>10223</v>
      </c>
      <c r="H8787" s="21">
        <v>1034.67</v>
      </c>
    </row>
    <row r="8788" spans="1:8" customFormat="1" x14ac:dyDescent="0.25">
      <c r="A8788" t="str">
        <f>"503680"</f>
        <v>503680</v>
      </c>
      <c r="B8788" t="s">
        <v>11406</v>
      </c>
      <c r="C8788" t="s">
        <v>1705</v>
      </c>
      <c r="D8788" s="21" t="s">
        <v>34</v>
      </c>
      <c r="E8788" s="21" t="s">
        <v>71</v>
      </c>
      <c r="F8788">
        <v>1380056</v>
      </c>
      <c r="G8788" t="s">
        <v>846</v>
      </c>
      <c r="H8788" s="21">
        <v>1034.67</v>
      </c>
    </row>
    <row r="8789" spans="1:8" customFormat="1" x14ac:dyDescent="0.25">
      <c r="A8789" t="str">
        <f>"4442845"</f>
        <v>4442845</v>
      </c>
      <c r="B8789" t="s">
        <v>9228</v>
      </c>
      <c r="C8789" t="s">
        <v>121</v>
      </c>
      <c r="D8789" s="21" t="s">
        <v>34</v>
      </c>
      <c r="E8789" s="21" t="s">
        <v>35</v>
      </c>
      <c r="F8789">
        <v>12440015</v>
      </c>
      <c r="G8789" t="s">
        <v>8421</v>
      </c>
      <c r="H8789" s="21">
        <v>1034.67</v>
      </c>
    </row>
    <row r="8790" spans="1:8" customFormat="1" x14ac:dyDescent="0.25">
      <c r="A8790" t="str">
        <f>"671254"</f>
        <v>671254</v>
      </c>
      <c r="B8790" t="s">
        <v>1094</v>
      </c>
      <c r="C8790" t="s">
        <v>65</v>
      </c>
      <c r="D8790" s="21" t="s">
        <v>34</v>
      </c>
      <c r="E8790" s="21" t="s">
        <v>35</v>
      </c>
      <c r="F8790">
        <v>7590413</v>
      </c>
      <c r="G8790" t="s">
        <v>6848</v>
      </c>
      <c r="H8790" s="21">
        <v>1034.67</v>
      </c>
    </row>
    <row r="8791" spans="1:8" customFormat="1" x14ac:dyDescent="0.25">
      <c r="A8791" t="str">
        <f>"8019520"</f>
        <v>8019520</v>
      </c>
      <c r="B8791" t="s">
        <v>27070</v>
      </c>
      <c r="C8791" t="s">
        <v>453</v>
      </c>
      <c r="D8791" s="21" t="s">
        <v>34</v>
      </c>
      <c r="E8791" s="21" t="s">
        <v>1089</v>
      </c>
      <c r="F8791">
        <v>7800005</v>
      </c>
      <c r="G8791" t="s">
        <v>6547</v>
      </c>
      <c r="H8791" s="21">
        <v>1034.67</v>
      </c>
    </row>
    <row r="8792" spans="1:8" customFormat="1" x14ac:dyDescent="0.25">
      <c r="A8792" t="str">
        <f>"5957754"</f>
        <v>5957754</v>
      </c>
      <c r="B8792" t="s">
        <v>4944</v>
      </c>
      <c r="C8792" t="s">
        <v>285</v>
      </c>
      <c r="D8792" s="21" t="s">
        <v>34</v>
      </c>
      <c r="E8792" s="21" t="s">
        <v>35</v>
      </c>
      <c r="F8792">
        <v>7590363</v>
      </c>
      <c r="G8792" t="s">
        <v>5167</v>
      </c>
      <c r="H8792" s="21">
        <v>1034.67</v>
      </c>
    </row>
    <row r="8793" spans="1:8" customFormat="1" x14ac:dyDescent="0.25">
      <c r="A8793" t="str">
        <f>"609397"</f>
        <v>609397</v>
      </c>
      <c r="B8793" t="s">
        <v>27071</v>
      </c>
      <c r="C8793" t="s">
        <v>33</v>
      </c>
      <c r="D8793" s="21" t="s">
        <v>34</v>
      </c>
      <c r="E8793" s="21" t="s">
        <v>35</v>
      </c>
      <c r="F8793">
        <v>4280593</v>
      </c>
      <c r="G8793" t="s">
        <v>4536</v>
      </c>
      <c r="H8793" s="21">
        <v>1034.67</v>
      </c>
    </row>
    <row r="8794" spans="1:8" customFormat="1" x14ac:dyDescent="0.25">
      <c r="A8794" t="str">
        <f>"357365"</f>
        <v>357365</v>
      </c>
      <c r="B8794" t="s">
        <v>9796</v>
      </c>
      <c r="C8794" t="s">
        <v>302</v>
      </c>
      <c r="D8794" s="21" t="s">
        <v>34</v>
      </c>
      <c r="E8794" s="21" t="s">
        <v>71</v>
      </c>
      <c r="F8794">
        <v>3350047</v>
      </c>
      <c r="G8794" t="s">
        <v>9797</v>
      </c>
      <c r="H8794" s="21">
        <v>1034.67</v>
      </c>
    </row>
    <row r="8795" spans="1:8" customFormat="1" x14ac:dyDescent="0.25">
      <c r="A8795" t="str">
        <f>"561626"</f>
        <v>561626</v>
      </c>
      <c r="B8795" t="s">
        <v>8561</v>
      </c>
      <c r="C8795" t="s">
        <v>1914</v>
      </c>
      <c r="D8795" s="21" t="s">
        <v>34</v>
      </c>
      <c r="E8795" s="21" t="s">
        <v>254</v>
      </c>
      <c r="F8795">
        <v>3560005</v>
      </c>
      <c r="G8795" t="s">
        <v>2101</v>
      </c>
      <c r="H8795" s="21">
        <v>1034.67</v>
      </c>
    </row>
    <row r="8796" spans="1:8" customFormat="1" x14ac:dyDescent="0.25">
      <c r="A8796" t="str">
        <f>"7853057"</f>
        <v>7853057</v>
      </c>
      <c r="B8796" t="s">
        <v>923</v>
      </c>
      <c r="C8796" t="s">
        <v>1104</v>
      </c>
      <c r="D8796" s="21" t="s">
        <v>34</v>
      </c>
      <c r="E8796" s="21" t="s">
        <v>35</v>
      </c>
      <c r="F8796">
        <v>8780585</v>
      </c>
      <c r="G8796" t="s">
        <v>4630</v>
      </c>
      <c r="H8796" s="21">
        <v>1034.43</v>
      </c>
    </row>
    <row r="8797" spans="1:8" customFormat="1" x14ac:dyDescent="0.25">
      <c r="A8797" t="str">
        <f>"755346"</f>
        <v>755346</v>
      </c>
      <c r="B8797" t="s">
        <v>14900</v>
      </c>
      <c r="C8797" t="s">
        <v>2907</v>
      </c>
      <c r="D8797" s="21" t="s">
        <v>34</v>
      </c>
      <c r="E8797" s="21" t="s">
        <v>71</v>
      </c>
      <c r="F8797">
        <v>8750117</v>
      </c>
      <c r="G8797" t="s">
        <v>3516</v>
      </c>
      <c r="H8797" s="21">
        <v>1034.42</v>
      </c>
    </row>
    <row r="8798" spans="1:8" customFormat="1" x14ac:dyDescent="0.25">
      <c r="A8798" t="str">
        <f>"346299"</f>
        <v>346299</v>
      </c>
      <c r="B8798" t="s">
        <v>6279</v>
      </c>
      <c r="C8798" t="s">
        <v>486</v>
      </c>
      <c r="D8798" s="21" t="s">
        <v>34</v>
      </c>
      <c r="E8798" s="21" t="s">
        <v>71</v>
      </c>
      <c r="F8798">
        <v>11340010</v>
      </c>
      <c r="G8798" t="s">
        <v>66</v>
      </c>
      <c r="H8798" s="21">
        <v>1034.42</v>
      </c>
    </row>
    <row r="8799" spans="1:8" customFormat="1" x14ac:dyDescent="0.25">
      <c r="A8799" t="str">
        <f>"534242"</f>
        <v>534242</v>
      </c>
      <c r="B8799" t="s">
        <v>577</v>
      </c>
      <c r="C8799" t="s">
        <v>267</v>
      </c>
      <c r="D8799" s="21" t="s">
        <v>34</v>
      </c>
      <c r="E8799" s="21" t="s">
        <v>254</v>
      </c>
      <c r="F8799">
        <v>12530136</v>
      </c>
      <c r="G8799" t="s">
        <v>4866</v>
      </c>
      <c r="H8799" s="21">
        <v>1034.42</v>
      </c>
    </row>
    <row r="8800" spans="1:8" customFormat="1" x14ac:dyDescent="0.25">
      <c r="A8800" t="str">
        <f>"4523482"</f>
        <v>4523482</v>
      </c>
      <c r="B8800" t="s">
        <v>11312</v>
      </c>
      <c r="C8800" t="s">
        <v>55</v>
      </c>
      <c r="D8800" s="21" t="s">
        <v>34</v>
      </c>
      <c r="E8800" s="21" t="s">
        <v>71</v>
      </c>
      <c r="F8800">
        <v>4450571</v>
      </c>
      <c r="G8800" t="s">
        <v>188</v>
      </c>
      <c r="H8800" s="21">
        <v>1034.3</v>
      </c>
    </row>
    <row r="8801" spans="1:8" customFormat="1" x14ac:dyDescent="0.25">
      <c r="A8801" t="str">
        <f>"9440014"</f>
        <v>9440014</v>
      </c>
      <c r="B8801" t="s">
        <v>11481</v>
      </c>
      <c r="C8801" t="s">
        <v>206</v>
      </c>
      <c r="D8801" s="21" t="s">
        <v>34</v>
      </c>
      <c r="E8801" s="21" t="s">
        <v>35</v>
      </c>
      <c r="F8801">
        <v>8940482</v>
      </c>
      <c r="G8801" t="s">
        <v>2560</v>
      </c>
      <c r="H8801" s="21">
        <v>1034.3</v>
      </c>
    </row>
    <row r="8802" spans="1:8" customFormat="1" x14ac:dyDescent="0.25">
      <c r="A8802" t="str">
        <f>"9524270"</f>
        <v>9524270</v>
      </c>
      <c r="B8802" t="s">
        <v>3006</v>
      </c>
      <c r="C8802" t="s">
        <v>249</v>
      </c>
      <c r="D8802" s="21" t="s">
        <v>34</v>
      </c>
      <c r="E8802" s="21" t="s">
        <v>71</v>
      </c>
      <c r="F8802">
        <v>8950330</v>
      </c>
      <c r="G8802" t="s">
        <v>794</v>
      </c>
      <c r="H8802" s="21">
        <v>1034.29</v>
      </c>
    </row>
    <row r="8803" spans="1:8" customFormat="1" x14ac:dyDescent="0.25">
      <c r="A8803" t="str">
        <f>"3532338"</f>
        <v>3532338</v>
      </c>
      <c r="B8803" t="s">
        <v>10507</v>
      </c>
      <c r="C8803" t="s">
        <v>109</v>
      </c>
      <c r="D8803" s="21" t="s">
        <v>34</v>
      </c>
      <c r="E8803" s="21" t="s">
        <v>35</v>
      </c>
      <c r="F8803">
        <v>3350009</v>
      </c>
      <c r="G8803" t="s">
        <v>1823</v>
      </c>
      <c r="H8803" s="21">
        <v>1034.17</v>
      </c>
    </row>
    <row r="8804" spans="1:8" customFormat="1" x14ac:dyDescent="0.25">
      <c r="A8804" t="str">
        <f>"447475"</f>
        <v>447475</v>
      </c>
      <c r="B8804" t="s">
        <v>890</v>
      </c>
      <c r="C8804" t="s">
        <v>1063</v>
      </c>
      <c r="D8804" s="21" t="s">
        <v>34</v>
      </c>
      <c r="E8804" s="21" t="s">
        <v>71</v>
      </c>
      <c r="F8804">
        <v>12440191</v>
      </c>
      <c r="G8804" t="s">
        <v>5822</v>
      </c>
      <c r="H8804" s="21">
        <v>1034.17</v>
      </c>
    </row>
    <row r="8805" spans="1:8" customFormat="1" x14ac:dyDescent="0.25">
      <c r="A8805" t="str">
        <f>"759049"</f>
        <v>759049</v>
      </c>
      <c r="B8805" t="s">
        <v>8134</v>
      </c>
      <c r="C8805" t="s">
        <v>528</v>
      </c>
      <c r="D8805" s="21" t="s">
        <v>34</v>
      </c>
      <c r="E8805" s="21" t="s">
        <v>71</v>
      </c>
      <c r="F8805">
        <v>8751249</v>
      </c>
      <c r="G8805" t="s">
        <v>2803</v>
      </c>
      <c r="H8805" s="21">
        <v>1034.17</v>
      </c>
    </row>
    <row r="8806" spans="1:8" customFormat="1" x14ac:dyDescent="0.25">
      <c r="A8806" t="str">
        <f>"503652"</f>
        <v>503652</v>
      </c>
      <c r="B8806" t="s">
        <v>1490</v>
      </c>
      <c r="C8806" t="s">
        <v>379</v>
      </c>
      <c r="D8806" s="21" t="s">
        <v>34</v>
      </c>
      <c r="E8806" s="21" t="s">
        <v>254</v>
      </c>
      <c r="F8806">
        <v>9500112</v>
      </c>
      <c r="G8806" t="s">
        <v>1668</v>
      </c>
      <c r="H8806" s="21">
        <v>1034.17</v>
      </c>
    </row>
    <row r="8807" spans="1:8" customFormat="1" x14ac:dyDescent="0.25">
      <c r="A8807" t="str">
        <f>"7621566"</f>
        <v>7621566</v>
      </c>
      <c r="B8807" t="s">
        <v>7961</v>
      </c>
      <c r="C8807" t="s">
        <v>269</v>
      </c>
      <c r="D8807" s="21" t="s">
        <v>34</v>
      </c>
      <c r="E8807" s="21" t="s">
        <v>35</v>
      </c>
      <c r="F8807">
        <v>9760306</v>
      </c>
      <c r="G8807" t="s">
        <v>7890</v>
      </c>
      <c r="H8807" s="21">
        <v>1034.17</v>
      </c>
    </row>
    <row r="8808" spans="1:8" customFormat="1" x14ac:dyDescent="0.25">
      <c r="A8808" t="str">
        <f>"9121296"</f>
        <v>9121296</v>
      </c>
      <c r="B8808" t="s">
        <v>8444</v>
      </c>
      <c r="C8808" t="s">
        <v>62</v>
      </c>
      <c r="D8808" s="21" t="s">
        <v>34</v>
      </c>
      <c r="E8808" s="21" t="s">
        <v>35</v>
      </c>
      <c r="F8808">
        <v>8910667</v>
      </c>
      <c r="G8808" t="s">
        <v>2361</v>
      </c>
      <c r="H8808" s="21">
        <v>1034.17</v>
      </c>
    </row>
    <row r="8809" spans="1:8" customFormat="1" x14ac:dyDescent="0.25">
      <c r="A8809" t="str">
        <f>"636772"</f>
        <v>636772</v>
      </c>
      <c r="B8809" t="s">
        <v>9535</v>
      </c>
      <c r="C8809" t="s">
        <v>1142</v>
      </c>
      <c r="D8809" s="21" t="s">
        <v>34</v>
      </c>
      <c r="E8809" s="21" t="s">
        <v>71</v>
      </c>
      <c r="F8809">
        <v>1630059</v>
      </c>
      <c r="G8809" t="s">
        <v>2486</v>
      </c>
      <c r="H8809" s="21">
        <v>1034.17</v>
      </c>
    </row>
    <row r="8810" spans="1:8" customFormat="1" x14ac:dyDescent="0.25">
      <c r="A8810" t="str">
        <f>"3716827"</f>
        <v>3716827</v>
      </c>
      <c r="B8810" t="s">
        <v>8188</v>
      </c>
      <c r="C8810" t="s">
        <v>484</v>
      </c>
      <c r="D8810" s="21" t="s">
        <v>34</v>
      </c>
      <c r="E8810" s="21" t="s">
        <v>35</v>
      </c>
      <c r="F8810">
        <v>4370669</v>
      </c>
      <c r="G8810" t="s">
        <v>8189</v>
      </c>
      <c r="H8810" s="21">
        <v>1034.17</v>
      </c>
    </row>
    <row r="8811" spans="1:8" customFormat="1" x14ac:dyDescent="0.25">
      <c r="A8811" t="str">
        <f>"417114"</f>
        <v>417114</v>
      </c>
      <c r="B8811" t="s">
        <v>9876</v>
      </c>
      <c r="C8811" t="s">
        <v>9877</v>
      </c>
      <c r="D8811" s="21" t="s">
        <v>34</v>
      </c>
      <c r="E8811" s="21" t="s">
        <v>254</v>
      </c>
      <c r="F8811">
        <v>4410615</v>
      </c>
      <c r="G8811" t="s">
        <v>4897</v>
      </c>
      <c r="H8811" s="21">
        <v>1034.17</v>
      </c>
    </row>
    <row r="8812" spans="1:8" customFormat="1" x14ac:dyDescent="0.25">
      <c r="A8812" t="str">
        <f>"7918099"</f>
        <v>7918099</v>
      </c>
      <c r="B8812" t="s">
        <v>8869</v>
      </c>
      <c r="C8812" t="s">
        <v>65</v>
      </c>
      <c r="D8812" s="21" t="s">
        <v>34</v>
      </c>
      <c r="E8812" s="21" t="s">
        <v>35</v>
      </c>
      <c r="F8812">
        <v>10790069</v>
      </c>
      <c r="G8812" t="s">
        <v>689</v>
      </c>
      <c r="H8812" s="21">
        <v>1034.17</v>
      </c>
    </row>
    <row r="8813" spans="1:8" customFormat="1" x14ac:dyDescent="0.25">
      <c r="A8813" t="str">
        <f>"721816"</f>
        <v>721816</v>
      </c>
      <c r="B8813" t="s">
        <v>9102</v>
      </c>
      <c r="C8813" t="s">
        <v>114</v>
      </c>
      <c r="D8813" s="21" t="s">
        <v>34</v>
      </c>
      <c r="E8813" s="21" t="s">
        <v>71</v>
      </c>
      <c r="F8813">
        <v>12720127</v>
      </c>
      <c r="G8813" t="s">
        <v>6528</v>
      </c>
      <c r="H8813" s="21">
        <v>1034.17</v>
      </c>
    </row>
    <row r="8814" spans="1:8" customFormat="1" x14ac:dyDescent="0.25">
      <c r="A8814" t="str">
        <f>"2510345"</f>
        <v>2510345</v>
      </c>
      <c r="B8814" t="s">
        <v>8913</v>
      </c>
      <c r="C8814" t="s">
        <v>124</v>
      </c>
      <c r="D8814" s="21" t="s">
        <v>34</v>
      </c>
      <c r="E8814" s="21" t="s">
        <v>35</v>
      </c>
      <c r="F8814">
        <v>2250162</v>
      </c>
      <c r="G8814" t="s">
        <v>7388</v>
      </c>
      <c r="H8814" s="21">
        <v>1034.17</v>
      </c>
    </row>
    <row r="8815" spans="1:8" customFormat="1" x14ac:dyDescent="0.25">
      <c r="A8815" t="str">
        <f>"5957327"</f>
        <v>5957327</v>
      </c>
      <c r="B8815" t="s">
        <v>4424</v>
      </c>
      <c r="C8815" t="s">
        <v>90</v>
      </c>
      <c r="D8815" s="21" t="s">
        <v>34</v>
      </c>
      <c r="E8815" s="21" t="s">
        <v>254</v>
      </c>
      <c r="F8815">
        <v>7590184</v>
      </c>
      <c r="G8815" t="s">
        <v>6722</v>
      </c>
      <c r="H8815" s="21">
        <v>1034.05</v>
      </c>
    </row>
    <row r="8816" spans="1:8" customFormat="1" x14ac:dyDescent="0.25">
      <c r="A8816" t="str">
        <f>"7714655"</f>
        <v>7714655</v>
      </c>
      <c r="B8816" t="s">
        <v>8887</v>
      </c>
      <c r="C8816" t="s">
        <v>209</v>
      </c>
      <c r="D8816" s="21" t="s">
        <v>34</v>
      </c>
      <c r="E8816" s="21" t="s">
        <v>35</v>
      </c>
      <c r="F8816">
        <v>2250016</v>
      </c>
      <c r="G8816" t="s">
        <v>1709</v>
      </c>
      <c r="H8816" s="21">
        <v>1034.05</v>
      </c>
    </row>
    <row r="8817" spans="1:8" customFormat="1" x14ac:dyDescent="0.25">
      <c r="A8817" t="str">
        <f>"9318426"</f>
        <v>9318426</v>
      </c>
      <c r="B8817" t="s">
        <v>1766</v>
      </c>
      <c r="C8817" t="s">
        <v>288</v>
      </c>
      <c r="D8817" s="21" t="s">
        <v>34</v>
      </c>
      <c r="E8817" s="21" t="s">
        <v>35</v>
      </c>
      <c r="F8817">
        <v>8931358</v>
      </c>
      <c r="G8817" t="s">
        <v>560</v>
      </c>
      <c r="H8817" s="21">
        <v>1033.93</v>
      </c>
    </row>
    <row r="8818" spans="1:8" customFormat="1" x14ac:dyDescent="0.25">
      <c r="A8818" t="str">
        <f>"625896"</f>
        <v>625896</v>
      </c>
      <c r="B8818" t="s">
        <v>10898</v>
      </c>
      <c r="C8818" t="s">
        <v>127</v>
      </c>
      <c r="D8818" s="21" t="s">
        <v>34</v>
      </c>
      <c r="E8818" s="21" t="s">
        <v>35</v>
      </c>
      <c r="F8818">
        <v>7620104</v>
      </c>
      <c r="G8818" t="s">
        <v>635</v>
      </c>
      <c r="H8818" s="21">
        <v>1033.92</v>
      </c>
    </row>
    <row r="8819" spans="1:8" customFormat="1" x14ac:dyDescent="0.25">
      <c r="A8819" t="str">
        <f>"287437"</f>
        <v>287437</v>
      </c>
      <c r="B8819" t="s">
        <v>12447</v>
      </c>
      <c r="C8819" t="s">
        <v>144</v>
      </c>
      <c r="D8819" s="21" t="s">
        <v>34</v>
      </c>
      <c r="E8819" s="21" t="s">
        <v>35</v>
      </c>
      <c r="F8819">
        <v>8771170</v>
      </c>
      <c r="G8819" t="s">
        <v>50</v>
      </c>
      <c r="H8819" s="21">
        <v>1033.92</v>
      </c>
    </row>
    <row r="8820" spans="1:8" customFormat="1" x14ac:dyDescent="0.25">
      <c r="A8820" t="str">
        <f>"0811182"</f>
        <v>0811182</v>
      </c>
      <c r="B8820" t="s">
        <v>14340</v>
      </c>
      <c r="C8820" t="s">
        <v>611</v>
      </c>
      <c r="D8820" s="21" t="s">
        <v>34</v>
      </c>
      <c r="E8820" s="21" t="s">
        <v>35</v>
      </c>
      <c r="F8820">
        <v>6080014</v>
      </c>
      <c r="G8820" t="s">
        <v>1272</v>
      </c>
      <c r="H8820" s="21">
        <v>1033.67</v>
      </c>
    </row>
    <row r="8821" spans="1:8" customFormat="1" x14ac:dyDescent="0.25">
      <c r="A8821" t="str">
        <f>"7221608"</f>
        <v>7221608</v>
      </c>
      <c r="B8821" t="s">
        <v>11260</v>
      </c>
      <c r="C8821" t="s">
        <v>1474</v>
      </c>
      <c r="D8821" s="21" t="s">
        <v>34</v>
      </c>
      <c r="E8821" s="21" t="s">
        <v>35</v>
      </c>
      <c r="F8821">
        <v>12720028</v>
      </c>
      <c r="G8821" t="s">
        <v>4381</v>
      </c>
      <c r="H8821" s="21">
        <v>1033.67</v>
      </c>
    </row>
    <row r="8822" spans="1:8" customFormat="1" x14ac:dyDescent="0.25">
      <c r="A8822" t="str">
        <f>"7726829"</f>
        <v>7726829</v>
      </c>
      <c r="B8822" t="s">
        <v>8909</v>
      </c>
      <c r="C8822" t="s">
        <v>60</v>
      </c>
      <c r="D8822" s="21" t="s">
        <v>34</v>
      </c>
      <c r="E8822" s="21" t="s">
        <v>35</v>
      </c>
      <c r="F8822">
        <v>8771229</v>
      </c>
      <c r="G8822" t="s">
        <v>26815</v>
      </c>
      <c r="H8822" s="21">
        <v>1033.67</v>
      </c>
    </row>
    <row r="8823" spans="1:8" customFormat="1" x14ac:dyDescent="0.25">
      <c r="A8823" t="str">
        <f>"56979"</f>
        <v>56979</v>
      </c>
      <c r="B8823" t="s">
        <v>9694</v>
      </c>
      <c r="C8823" t="s">
        <v>453</v>
      </c>
      <c r="D8823" s="21" t="s">
        <v>34</v>
      </c>
      <c r="E8823" s="21" t="s">
        <v>254</v>
      </c>
      <c r="F8823">
        <v>3560049</v>
      </c>
      <c r="G8823" t="s">
        <v>8021</v>
      </c>
      <c r="H8823" s="21">
        <v>1033.67</v>
      </c>
    </row>
    <row r="8824" spans="1:8" customFormat="1" x14ac:dyDescent="0.25">
      <c r="A8824" t="str">
        <f>"16627"</f>
        <v>16627</v>
      </c>
      <c r="B8824" t="s">
        <v>9015</v>
      </c>
      <c r="C8824" t="s">
        <v>598</v>
      </c>
      <c r="D8824" s="21" t="s">
        <v>34</v>
      </c>
      <c r="E8824" s="21" t="s">
        <v>254</v>
      </c>
      <c r="F8824">
        <v>10160044</v>
      </c>
      <c r="G8824" t="s">
        <v>4941</v>
      </c>
      <c r="H8824" s="21">
        <v>1033.67</v>
      </c>
    </row>
    <row r="8825" spans="1:8" customFormat="1" x14ac:dyDescent="0.25">
      <c r="A8825" t="str">
        <f>"169763"</f>
        <v>169763</v>
      </c>
      <c r="B8825" t="s">
        <v>3272</v>
      </c>
      <c r="C8825" t="s">
        <v>43</v>
      </c>
      <c r="D8825" s="21" t="s">
        <v>34</v>
      </c>
      <c r="E8825" s="21" t="s">
        <v>35</v>
      </c>
      <c r="F8825">
        <v>10160226</v>
      </c>
      <c r="G8825" t="s">
        <v>8751</v>
      </c>
      <c r="H8825" s="21">
        <v>1033.67</v>
      </c>
    </row>
    <row r="8826" spans="1:8" customFormat="1" x14ac:dyDescent="0.25">
      <c r="A8826" t="str">
        <f>"452925"</f>
        <v>452925</v>
      </c>
      <c r="B8826" t="s">
        <v>8287</v>
      </c>
      <c r="C8826" t="s">
        <v>2546</v>
      </c>
      <c r="D8826" s="21" t="s">
        <v>34</v>
      </c>
      <c r="E8826" s="21" t="s">
        <v>71</v>
      </c>
      <c r="F8826">
        <v>4450760</v>
      </c>
      <c r="G8826" t="s">
        <v>5775</v>
      </c>
      <c r="H8826" s="21">
        <v>1033.67</v>
      </c>
    </row>
    <row r="8827" spans="1:8" customFormat="1" x14ac:dyDescent="0.25">
      <c r="A8827" t="str">
        <f>"5112568"</f>
        <v>5112568</v>
      </c>
      <c r="B8827" t="s">
        <v>7531</v>
      </c>
      <c r="C8827" t="s">
        <v>631</v>
      </c>
      <c r="D8827" s="21" t="s">
        <v>34</v>
      </c>
      <c r="E8827" s="21" t="s">
        <v>35</v>
      </c>
      <c r="F8827">
        <v>6510110</v>
      </c>
      <c r="G8827" t="s">
        <v>9011</v>
      </c>
      <c r="H8827" s="21">
        <v>1033.55</v>
      </c>
    </row>
    <row r="8828" spans="1:8" customFormat="1" x14ac:dyDescent="0.25">
      <c r="A8828" t="str">
        <f>"091215"</f>
        <v>091215</v>
      </c>
      <c r="B8828" t="s">
        <v>9139</v>
      </c>
      <c r="C8828" t="s">
        <v>1359</v>
      </c>
      <c r="D8828" s="21" t="s">
        <v>34</v>
      </c>
      <c r="E8828" s="21" t="s">
        <v>35</v>
      </c>
      <c r="F8828">
        <v>11090014</v>
      </c>
      <c r="G8828" t="s">
        <v>9140</v>
      </c>
      <c r="H8828" s="21">
        <v>1033.42</v>
      </c>
    </row>
    <row r="8829" spans="1:8" customFormat="1" x14ac:dyDescent="0.25">
      <c r="A8829" t="str">
        <f>"886912"</f>
        <v>886912</v>
      </c>
      <c r="B8829" t="s">
        <v>4494</v>
      </c>
      <c r="C8829" t="s">
        <v>33</v>
      </c>
      <c r="D8829" s="21" t="s">
        <v>34</v>
      </c>
      <c r="E8829" s="21" t="s">
        <v>35</v>
      </c>
      <c r="F8829">
        <v>6880002</v>
      </c>
      <c r="G8829" t="s">
        <v>501</v>
      </c>
      <c r="H8829" s="21">
        <v>1033.42</v>
      </c>
    </row>
    <row r="8830" spans="1:8" customFormat="1" x14ac:dyDescent="0.25">
      <c r="A8830" t="str">
        <f>"535271"</f>
        <v>535271</v>
      </c>
      <c r="B8830" t="s">
        <v>6418</v>
      </c>
      <c r="C8830" t="s">
        <v>3073</v>
      </c>
      <c r="D8830" s="21" t="s">
        <v>34</v>
      </c>
      <c r="E8830" s="21" t="s">
        <v>1089</v>
      </c>
      <c r="F8830">
        <v>12530060</v>
      </c>
      <c r="G8830" t="s">
        <v>1356</v>
      </c>
      <c r="H8830" s="21">
        <v>1033.42</v>
      </c>
    </row>
    <row r="8831" spans="1:8" customFormat="1" x14ac:dyDescent="0.25">
      <c r="A8831" t="str">
        <f>"5318229"</f>
        <v>5318229</v>
      </c>
      <c r="B8831" t="s">
        <v>5583</v>
      </c>
      <c r="C8831" t="s">
        <v>486</v>
      </c>
      <c r="D8831" s="21" t="s">
        <v>34</v>
      </c>
      <c r="E8831" s="21" t="s">
        <v>35</v>
      </c>
      <c r="F8831">
        <v>12530095</v>
      </c>
      <c r="G8831" t="s">
        <v>5381</v>
      </c>
      <c r="H8831" s="21">
        <v>1033.42</v>
      </c>
    </row>
    <row r="8832" spans="1:8" customFormat="1" x14ac:dyDescent="0.25">
      <c r="A8832" t="str">
        <f>"9439683"</f>
        <v>9439683</v>
      </c>
      <c r="B8832" t="s">
        <v>10810</v>
      </c>
      <c r="C8832" t="s">
        <v>415</v>
      </c>
      <c r="D8832" s="21" t="s">
        <v>34</v>
      </c>
      <c r="E8832" s="21" t="s">
        <v>71</v>
      </c>
      <c r="F8832">
        <v>8940459</v>
      </c>
      <c r="G8832" t="s">
        <v>743</v>
      </c>
      <c r="H8832" s="21">
        <v>1033.3</v>
      </c>
    </row>
    <row r="8833" spans="1:8" customFormat="1" x14ac:dyDescent="0.25">
      <c r="A8833" t="str">
        <f>"4514429"</f>
        <v>4514429</v>
      </c>
      <c r="B8833" t="s">
        <v>2549</v>
      </c>
      <c r="C8833" t="s">
        <v>121</v>
      </c>
      <c r="D8833" s="21" t="s">
        <v>34</v>
      </c>
      <c r="E8833" s="21" t="s">
        <v>71</v>
      </c>
      <c r="F8833">
        <v>4450762</v>
      </c>
      <c r="G8833" t="s">
        <v>8632</v>
      </c>
      <c r="H8833" s="21">
        <v>1033.18</v>
      </c>
    </row>
    <row r="8834" spans="1:8" customFormat="1" x14ac:dyDescent="0.25">
      <c r="A8834" t="str">
        <f>"2918046"</f>
        <v>2918046</v>
      </c>
      <c r="B8834" t="s">
        <v>19986</v>
      </c>
      <c r="C8834" t="s">
        <v>415</v>
      </c>
      <c r="D8834" s="21" t="s">
        <v>34</v>
      </c>
      <c r="E8834" s="21" t="s">
        <v>71</v>
      </c>
      <c r="F8834">
        <v>3290290</v>
      </c>
      <c r="G8834" t="s">
        <v>27072</v>
      </c>
      <c r="H8834" s="21">
        <v>1033.17</v>
      </c>
    </row>
    <row r="8835" spans="1:8" customFormat="1" x14ac:dyDescent="0.25">
      <c r="A8835" t="str">
        <f>"851278"</f>
        <v>851278</v>
      </c>
      <c r="B8835" t="s">
        <v>9551</v>
      </c>
      <c r="C8835" t="s">
        <v>209</v>
      </c>
      <c r="D8835" s="21" t="s">
        <v>34</v>
      </c>
      <c r="E8835" s="21" t="s">
        <v>71</v>
      </c>
      <c r="F8835">
        <v>12850057</v>
      </c>
      <c r="G8835" t="s">
        <v>1291</v>
      </c>
      <c r="H8835" s="21">
        <v>1033.17</v>
      </c>
    </row>
    <row r="8836" spans="1:8" customFormat="1" x14ac:dyDescent="0.25">
      <c r="A8836" t="str">
        <f>"623766"</f>
        <v>623766</v>
      </c>
      <c r="B8836" t="s">
        <v>8144</v>
      </c>
      <c r="C8836" t="s">
        <v>87</v>
      </c>
      <c r="D8836" s="21" t="s">
        <v>34</v>
      </c>
      <c r="E8836" s="21" t="s">
        <v>35</v>
      </c>
      <c r="F8836">
        <v>7620031</v>
      </c>
      <c r="G8836" t="s">
        <v>2182</v>
      </c>
      <c r="H8836" s="21">
        <v>1033.17</v>
      </c>
    </row>
    <row r="8837" spans="1:8" customFormat="1" x14ac:dyDescent="0.25">
      <c r="A8837" t="str">
        <f>"176427"</f>
        <v>176427</v>
      </c>
      <c r="B8837" t="s">
        <v>27073</v>
      </c>
      <c r="C8837" t="s">
        <v>263</v>
      </c>
      <c r="D8837" s="21" t="s">
        <v>34</v>
      </c>
      <c r="E8837" s="21" t="s">
        <v>254</v>
      </c>
      <c r="F8837">
        <v>10170158</v>
      </c>
      <c r="G8837" t="s">
        <v>1262</v>
      </c>
      <c r="H8837" s="21">
        <v>1033.17</v>
      </c>
    </row>
    <row r="8838" spans="1:8" customFormat="1" x14ac:dyDescent="0.25">
      <c r="A8838" t="str">
        <f>"61188"</f>
        <v>61188</v>
      </c>
      <c r="B8838" t="s">
        <v>10769</v>
      </c>
      <c r="C8838" t="s">
        <v>263</v>
      </c>
      <c r="D8838" s="21" t="s">
        <v>34</v>
      </c>
      <c r="E8838" s="21" t="s">
        <v>35</v>
      </c>
      <c r="F8838">
        <v>9610004</v>
      </c>
      <c r="G8838" t="s">
        <v>1042</v>
      </c>
      <c r="H8838" s="21">
        <v>1033.17</v>
      </c>
    </row>
    <row r="8839" spans="1:8" customFormat="1" x14ac:dyDescent="0.25">
      <c r="A8839" t="str">
        <f>"4934741"</f>
        <v>4934741</v>
      </c>
      <c r="B8839" t="s">
        <v>6120</v>
      </c>
      <c r="C8839" t="s">
        <v>139</v>
      </c>
      <c r="D8839" s="21" t="s">
        <v>34</v>
      </c>
      <c r="E8839" s="21" t="s">
        <v>35</v>
      </c>
      <c r="F8839">
        <v>12490068</v>
      </c>
      <c r="G8839" t="s">
        <v>2070</v>
      </c>
      <c r="H8839" s="21">
        <v>1033.17</v>
      </c>
    </row>
    <row r="8840" spans="1:8" customFormat="1" x14ac:dyDescent="0.25">
      <c r="A8840" t="str">
        <f>"743549"</f>
        <v>743549</v>
      </c>
      <c r="B8840" t="s">
        <v>8129</v>
      </c>
      <c r="C8840" t="s">
        <v>415</v>
      </c>
      <c r="D8840" s="21" t="s">
        <v>34</v>
      </c>
      <c r="E8840" s="21" t="s">
        <v>71</v>
      </c>
      <c r="F8840">
        <v>1740020</v>
      </c>
      <c r="G8840" t="s">
        <v>881</v>
      </c>
      <c r="H8840" s="21">
        <v>1033.17</v>
      </c>
    </row>
    <row r="8841" spans="1:8" customFormat="1" x14ac:dyDescent="0.25">
      <c r="A8841" t="str">
        <f>"3812206"</f>
        <v>3812206</v>
      </c>
      <c r="B8841" t="s">
        <v>9183</v>
      </c>
      <c r="C8841" t="s">
        <v>1539</v>
      </c>
      <c r="D8841" s="21" t="s">
        <v>34</v>
      </c>
      <c r="E8841" s="21" t="s">
        <v>35</v>
      </c>
      <c r="F8841">
        <v>1380045</v>
      </c>
      <c r="G8841" t="s">
        <v>2114</v>
      </c>
      <c r="H8841" s="21">
        <v>1033.17</v>
      </c>
    </row>
    <row r="8842" spans="1:8" customFormat="1" x14ac:dyDescent="0.25">
      <c r="A8842" t="str">
        <f>"4522437"</f>
        <v>4522437</v>
      </c>
      <c r="B8842" t="s">
        <v>10315</v>
      </c>
      <c r="C8842" t="s">
        <v>40</v>
      </c>
      <c r="D8842" s="21" t="s">
        <v>34</v>
      </c>
      <c r="E8842" s="21" t="s">
        <v>71</v>
      </c>
      <c r="F8842">
        <v>4450750</v>
      </c>
      <c r="G8842" t="s">
        <v>6572</v>
      </c>
      <c r="H8842" s="21">
        <v>1033.17</v>
      </c>
    </row>
    <row r="8843" spans="1:8" customFormat="1" x14ac:dyDescent="0.25">
      <c r="A8843" t="str">
        <f>"873488"</f>
        <v>873488</v>
      </c>
      <c r="B8843" t="s">
        <v>8902</v>
      </c>
      <c r="C8843" t="s">
        <v>139</v>
      </c>
      <c r="D8843" s="21" t="s">
        <v>34</v>
      </c>
      <c r="E8843" s="21" t="s">
        <v>35</v>
      </c>
      <c r="F8843">
        <v>10870007</v>
      </c>
      <c r="G8843" t="s">
        <v>8903</v>
      </c>
      <c r="H8843" s="21">
        <v>1033.05</v>
      </c>
    </row>
    <row r="8844" spans="1:8" customFormat="1" x14ac:dyDescent="0.25">
      <c r="A8844" t="str">
        <f>"5957646"</f>
        <v>5957646</v>
      </c>
      <c r="B8844" t="s">
        <v>11024</v>
      </c>
      <c r="C8844" t="s">
        <v>1110</v>
      </c>
      <c r="D8844" s="21" t="s">
        <v>34</v>
      </c>
      <c r="E8844" s="21" t="s">
        <v>35</v>
      </c>
      <c r="F8844">
        <v>7590008</v>
      </c>
      <c r="G8844" t="s">
        <v>110</v>
      </c>
      <c r="H8844" s="21">
        <v>1032.92</v>
      </c>
    </row>
    <row r="8845" spans="1:8" customFormat="1" x14ac:dyDescent="0.25">
      <c r="A8845" t="str">
        <f>"9423097"</f>
        <v>9423097</v>
      </c>
      <c r="B8845" t="s">
        <v>11362</v>
      </c>
      <c r="C8845" t="s">
        <v>415</v>
      </c>
      <c r="D8845" s="21" t="s">
        <v>34</v>
      </c>
      <c r="E8845" s="21" t="s">
        <v>35</v>
      </c>
      <c r="F8845">
        <v>8940655</v>
      </c>
      <c r="G8845" t="s">
        <v>10168</v>
      </c>
      <c r="H8845" s="21">
        <v>1032.92</v>
      </c>
    </row>
    <row r="8846" spans="1:8" customFormat="1" x14ac:dyDescent="0.25">
      <c r="A8846" t="str">
        <f>"8519574"</f>
        <v>8519574</v>
      </c>
      <c r="B8846" t="s">
        <v>10642</v>
      </c>
      <c r="C8846" t="s">
        <v>209</v>
      </c>
      <c r="D8846" s="21" t="s">
        <v>34</v>
      </c>
      <c r="E8846" s="21" t="s">
        <v>35</v>
      </c>
      <c r="F8846">
        <v>12850046</v>
      </c>
      <c r="G8846" t="s">
        <v>3136</v>
      </c>
      <c r="H8846" s="21">
        <v>1032.8</v>
      </c>
    </row>
    <row r="8847" spans="1:8" customFormat="1" x14ac:dyDescent="0.25">
      <c r="A8847" t="str">
        <f>"7612487"</f>
        <v>7612487</v>
      </c>
      <c r="B8847" t="s">
        <v>4921</v>
      </c>
      <c r="C8847" t="s">
        <v>121</v>
      </c>
      <c r="D8847" s="21" t="s">
        <v>34</v>
      </c>
      <c r="E8847" s="21" t="s">
        <v>35</v>
      </c>
      <c r="F8847">
        <v>9760218</v>
      </c>
      <c r="G8847" t="s">
        <v>26836</v>
      </c>
      <c r="H8847" s="21">
        <v>1032.67</v>
      </c>
    </row>
    <row r="8848" spans="1:8" customFormat="1" x14ac:dyDescent="0.25">
      <c r="A8848" t="str">
        <f>"592278"</f>
        <v>592278</v>
      </c>
      <c r="B8848" t="s">
        <v>9746</v>
      </c>
      <c r="C8848" t="s">
        <v>6285</v>
      </c>
      <c r="D8848" s="21" t="s">
        <v>34</v>
      </c>
      <c r="E8848" s="21" t="s">
        <v>254</v>
      </c>
      <c r="F8848">
        <v>7590409</v>
      </c>
      <c r="G8848" t="s">
        <v>2228</v>
      </c>
      <c r="H8848" s="21">
        <v>1032.67</v>
      </c>
    </row>
    <row r="8849" spans="1:8" customFormat="1" x14ac:dyDescent="0.25">
      <c r="A8849" t="str">
        <f>"5957024"</f>
        <v>5957024</v>
      </c>
      <c r="B8849" t="s">
        <v>7956</v>
      </c>
      <c r="C8849" t="s">
        <v>33</v>
      </c>
      <c r="D8849" s="21" t="s">
        <v>34</v>
      </c>
      <c r="E8849" s="21" t="s">
        <v>71</v>
      </c>
      <c r="F8849">
        <v>7590093</v>
      </c>
      <c r="G8849" t="s">
        <v>7957</v>
      </c>
      <c r="H8849" s="21">
        <v>1032.67</v>
      </c>
    </row>
    <row r="8850" spans="1:8" customFormat="1" x14ac:dyDescent="0.25">
      <c r="A8850" t="str">
        <f>"8521393"</f>
        <v>8521393</v>
      </c>
      <c r="B8850" t="s">
        <v>2203</v>
      </c>
      <c r="C8850" t="s">
        <v>275</v>
      </c>
      <c r="D8850" s="21" t="s">
        <v>34</v>
      </c>
      <c r="E8850" s="21" t="s">
        <v>35</v>
      </c>
      <c r="F8850">
        <v>12850051</v>
      </c>
      <c r="G8850" t="s">
        <v>5185</v>
      </c>
      <c r="H8850" s="21">
        <v>1032.67</v>
      </c>
    </row>
    <row r="8851" spans="1:8" customFormat="1" x14ac:dyDescent="0.25">
      <c r="A8851" t="str">
        <f>"2714408"</f>
        <v>2714408</v>
      </c>
      <c r="B8851" t="s">
        <v>6880</v>
      </c>
      <c r="C8851" t="s">
        <v>87</v>
      </c>
      <c r="D8851" s="21" t="s">
        <v>34</v>
      </c>
      <c r="E8851" s="21" t="s">
        <v>71</v>
      </c>
      <c r="F8851">
        <v>9270063</v>
      </c>
      <c r="G8851" t="s">
        <v>808</v>
      </c>
      <c r="H8851" s="21">
        <v>1032.67</v>
      </c>
    </row>
    <row r="8852" spans="1:8" customFormat="1" x14ac:dyDescent="0.25">
      <c r="A8852" t="str">
        <f>"42753"</f>
        <v>42753</v>
      </c>
      <c r="B8852" t="s">
        <v>8985</v>
      </c>
      <c r="C8852" t="s">
        <v>209</v>
      </c>
      <c r="D8852" s="21" t="s">
        <v>34</v>
      </c>
      <c r="E8852" s="21" t="s">
        <v>71</v>
      </c>
      <c r="F8852">
        <v>1420152</v>
      </c>
      <c r="G8852" t="s">
        <v>2948</v>
      </c>
      <c r="H8852" s="21">
        <v>1032.67</v>
      </c>
    </row>
    <row r="8853" spans="1:8" customFormat="1" x14ac:dyDescent="0.25">
      <c r="A8853" t="str">
        <f>"7111225"</f>
        <v>7111225</v>
      </c>
      <c r="B8853" t="s">
        <v>8316</v>
      </c>
      <c r="C8853" t="s">
        <v>415</v>
      </c>
      <c r="D8853" s="21" t="s">
        <v>34</v>
      </c>
      <c r="E8853" s="21" t="s">
        <v>71</v>
      </c>
      <c r="F8853">
        <v>2710067</v>
      </c>
      <c r="G8853" t="s">
        <v>284</v>
      </c>
      <c r="H8853" s="21">
        <v>1032.67</v>
      </c>
    </row>
    <row r="8854" spans="1:8" customFormat="1" x14ac:dyDescent="0.25">
      <c r="A8854" t="str">
        <f>"878566"</f>
        <v>878566</v>
      </c>
      <c r="B8854" t="s">
        <v>1551</v>
      </c>
      <c r="C8854" t="s">
        <v>65</v>
      </c>
      <c r="D8854" s="21" t="s">
        <v>34</v>
      </c>
      <c r="E8854" s="21" t="s">
        <v>35</v>
      </c>
      <c r="F8854">
        <v>10870110</v>
      </c>
      <c r="G8854" t="s">
        <v>5888</v>
      </c>
      <c r="H8854" s="21">
        <v>1032.67</v>
      </c>
    </row>
    <row r="8855" spans="1:8" customFormat="1" x14ac:dyDescent="0.25">
      <c r="A8855" t="str">
        <f>"9415594"</f>
        <v>9415594</v>
      </c>
      <c r="B8855" t="s">
        <v>8716</v>
      </c>
      <c r="C8855" t="s">
        <v>33</v>
      </c>
      <c r="D8855" s="21" t="s">
        <v>34</v>
      </c>
      <c r="E8855" s="21" t="s">
        <v>71</v>
      </c>
      <c r="F8855">
        <v>8940577</v>
      </c>
      <c r="G8855" t="s">
        <v>3774</v>
      </c>
      <c r="H8855" s="21">
        <v>1032.67</v>
      </c>
    </row>
    <row r="8856" spans="1:8" customFormat="1" x14ac:dyDescent="0.25">
      <c r="A8856" t="str">
        <f>"6017397"</f>
        <v>6017397</v>
      </c>
      <c r="B8856" t="s">
        <v>9528</v>
      </c>
      <c r="C8856" t="s">
        <v>812</v>
      </c>
      <c r="D8856" s="21" t="s">
        <v>34</v>
      </c>
      <c r="E8856" s="21" t="s">
        <v>35</v>
      </c>
      <c r="F8856">
        <v>8770911</v>
      </c>
      <c r="G8856" t="s">
        <v>4824</v>
      </c>
      <c r="H8856" s="21">
        <v>1032.55</v>
      </c>
    </row>
    <row r="8857" spans="1:8" customFormat="1" x14ac:dyDescent="0.25">
      <c r="A8857" t="str">
        <f>"7219820"</f>
        <v>7219820</v>
      </c>
      <c r="B8857" t="s">
        <v>9833</v>
      </c>
      <c r="C8857" t="s">
        <v>812</v>
      </c>
      <c r="D8857" s="21" t="s">
        <v>34</v>
      </c>
      <c r="E8857" s="21" t="s">
        <v>35</v>
      </c>
      <c r="F8857">
        <v>12720027</v>
      </c>
      <c r="G8857" t="s">
        <v>3562</v>
      </c>
      <c r="H8857" s="21">
        <v>1032.54</v>
      </c>
    </row>
    <row r="8858" spans="1:8" customFormat="1" x14ac:dyDescent="0.25">
      <c r="A8858" t="str">
        <f>"50661"</f>
        <v>50661</v>
      </c>
      <c r="B8858" t="s">
        <v>3089</v>
      </c>
      <c r="C8858" t="s">
        <v>598</v>
      </c>
      <c r="D8858" s="21" t="s">
        <v>34</v>
      </c>
      <c r="E8858" s="21" t="s">
        <v>1089</v>
      </c>
      <c r="F8858">
        <v>9500121</v>
      </c>
      <c r="G8858" t="s">
        <v>7360</v>
      </c>
      <c r="H8858" s="21">
        <v>1032.54</v>
      </c>
    </row>
    <row r="8859" spans="1:8" customFormat="1" x14ac:dyDescent="0.25">
      <c r="A8859" t="str">
        <f>"5610606"</f>
        <v>5610606</v>
      </c>
      <c r="B8859" t="s">
        <v>9558</v>
      </c>
      <c r="C8859" t="s">
        <v>233</v>
      </c>
      <c r="D8859" s="21" t="s">
        <v>34</v>
      </c>
      <c r="E8859" s="21" t="s">
        <v>254</v>
      </c>
      <c r="F8859">
        <v>3560087</v>
      </c>
      <c r="G8859" t="s">
        <v>7767</v>
      </c>
      <c r="H8859" s="21">
        <v>1032.42</v>
      </c>
    </row>
    <row r="8860" spans="1:8" customFormat="1" x14ac:dyDescent="0.25">
      <c r="A8860" t="str">
        <f>"865339"</f>
        <v>865339</v>
      </c>
      <c r="B8860" t="s">
        <v>9986</v>
      </c>
      <c r="C8860" t="s">
        <v>109</v>
      </c>
      <c r="D8860" s="21" t="s">
        <v>34</v>
      </c>
      <c r="E8860" s="21" t="s">
        <v>35</v>
      </c>
      <c r="F8860">
        <v>10860016</v>
      </c>
      <c r="G8860" t="s">
        <v>3289</v>
      </c>
      <c r="H8860" s="21">
        <v>1032.42</v>
      </c>
    </row>
    <row r="8861" spans="1:8" customFormat="1" x14ac:dyDescent="0.25">
      <c r="A8861" t="str">
        <f>"789750"</f>
        <v>789750</v>
      </c>
      <c r="B8861" t="s">
        <v>623</v>
      </c>
      <c r="C8861" t="s">
        <v>2529</v>
      </c>
      <c r="D8861" s="21" t="s">
        <v>34</v>
      </c>
      <c r="E8861" s="21" t="s">
        <v>71</v>
      </c>
      <c r="F8861">
        <v>8781144</v>
      </c>
      <c r="G8861" t="s">
        <v>4714</v>
      </c>
      <c r="H8861" s="21">
        <v>1032.3</v>
      </c>
    </row>
    <row r="8862" spans="1:8" customFormat="1" x14ac:dyDescent="0.25">
      <c r="A8862" t="str">
        <f>"034831"</f>
        <v>034831</v>
      </c>
      <c r="B8862" t="s">
        <v>8522</v>
      </c>
      <c r="C8862" t="s">
        <v>60</v>
      </c>
      <c r="D8862" s="21" t="s">
        <v>34</v>
      </c>
      <c r="E8862" s="21" t="s">
        <v>35</v>
      </c>
      <c r="F8862">
        <v>1030094</v>
      </c>
      <c r="G8862" t="s">
        <v>8523</v>
      </c>
      <c r="H8862" s="21">
        <v>1032.17</v>
      </c>
    </row>
    <row r="8863" spans="1:8" customFormat="1" x14ac:dyDescent="0.25">
      <c r="A8863" t="str">
        <f>"8312913"</f>
        <v>8312913</v>
      </c>
      <c r="B8863" t="s">
        <v>1200</v>
      </c>
      <c r="C8863" t="s">
        <v>879</v>
      </c>
      <c r="D8863" s="21" t="s">
        <v>34</v>
      </c>
      <c r="E8863" s="21" t="s">
        <v>1089</v>
      </c>
      <c r="F8863">
        <v>13830029</v>
      </c>
      <c r="G8863" t="s">
        <v>315</v>
      </c>
      <c r="H8863" s="21">
        <v>1032.17</v>
      </c>
    </row>
    <row r="8864" spans="1:8" customFormat="1" x14ac:dyDescent="0.25">
      <c r="A8864" t="str">
        <f>"5319901"</f>
        <v>5319901</v>
      </c>
      <c r="B8864" t="s">
        <v>9359</v>
      </c>
      <c r="C8864" t="s">
        <v>55</v>
      </c>
      <c r="D8864" s="21" t="s">
        <v>34</v>
      </c>
      <c r="E8864" s="21" t="s">
        <v>71</v>
      </c>
      <c r="F8864">
        <v>12538903</v>
      </c>
      <c r="G8864" t="s">
        <v>6439</v>
      </c>
      <c r="H8864" s="21">
        <v>1032.17</v>
      </c>
    </row>
    <row r="8865" spans="1:8" customFormat="1" x14ac:dyDescent="0.25">
      <c r="A8865" t="str">
        <f>"015258"</f>
        <v>015258</v>
      </c>
      <c r="B8865" t="s">
        <v>9017</v>
      </c>
      <c r="C8865" t="s">
        <v>249</v>
      </c>
      <c r="D8865" s="21" t="s">
        <v>34</v>
      </c>
      <c r="E8865" s="21" t="s">
        <v>35</v>
      </c>
      <c r="F8865">
        <v>1010068</v>
      </c>
      <c r="G8865" t="s">
        <v>4755</v>
      </c>
      <c r="H8865" s="21">
        <v>1032.17</v>
      </c>
    </row>
    <row r="8866" spans="1:8" customFormat="1" x14ac:dyDescent="0.25">
      <c r="A8866" t="str">
        <f>"2922440"</f>
        <v>2922440</v>
      </c>
      <c r="B8866" t="s">
        <v>27074</v>
      </c>
      <c r="C8866" t="s">
        <v>33</v>
      </c>
      <c r="D8866" s="21" t="s">
        <v>34</v>
      </c>
      <c r="E8866" s="21" t="s">
        <v>35</v>
      </c>
      <c r="F8866">
        <v>3290244</v>
      </c>
      <c r="G8866" t="s">
        <v>573</v>
      </c>
      <c r="H8866" s="21">
        <v>1032.17</v>
      </c>
    </row>
    <row r="8867" spans="1:8" customFormat="1" x14ac:dyDescent="0.25">
      <c r="A8867" t="str">
        <f>"2211848"</f>
        <v>2211848</v>
      </c>
      <c r="B8867" t="s">
        <v>7604</v>
      </c>
      <c r="C8867" t="s">
        <v>209</v>
      </c>
      <c r="D8867" s="21" t="s">
        <v>34</v>
      </c>
      <c r="E8867" s="21" t="s">
        <v>71</v>
      </c>
      <c r="F8867">
        <v>3220033</v>
      </c>
      <c r="G8867" t="s">
        <v>657</v>
      </c>
      <c r="H8867" s="21">
        <v>1032.17</v>
      </c>
    </row>
    <row r="8868" spans="1:8" customFormat="1" x14ac:dyDescent="0.25">
      <c r="A8868" t="str">
        <f>"2211166"</f>
        <v>2211166</v>
      </c>
      <c r="B8868" t="s">
        <v>9673</v>
      </c>
      <c r="C8868" t="s">
        <v>169</v>
      </c>
      <c r="D8868" s="21" t="s">
        <v>34</v>
      </c>
      <c r="E8868" s="21" t="s">
        <v>35</v>
      </c>
      <c r="F8868">
        <v>3220087</v>
      </c>
      <c r="G8868" t="s">
        <v>3540</v>
      </c>
      <c r="H8868" s="21">
        <v>1032.17</v>
      </c>
    </row>
    <row r="8869" spans="1:8" customFormat="1" x14ac:dyDescent="0.25">
      <c r="A8869" t="str">
        <f>"027467"</f>
        <v>027467</v>
      </c>
      <c r="B8869" t="s">
        <v>8496</v>
      </c>
      <c r="C8869" t="s">
        <v>33</v>
      </c>
      <c r="D8869" s="21" t="s">
        <v>34</v>
      </c>
      <c r="E8869" s="21" t="s">
        <v>35</v>
      </c>
      <c r="F8869">
        <v>6510009</v>
      </c>
      <c r="G8869" t="s">
        <v>26950</v>
      </c>
      <c r="H8869" s="21">
        <v>1032.17</v>
      </c>
    </row>
    <row r="8870" spans="1:8" customFormat="1" x14ac:dyDescent="0.25">
      <c r="A8870" t="str">
        <f>"215544"</f>
        <v>215544</v>
      </c>
      <c r="B8870" t="s">
        <v>146</v>
      </c>
      <c r="C8870" t="s">
        <v>598</v>
      </c>
      <c r="D8870" s="21" t="s">
        <v>34</v>
      </c>
      <c r="E8870" s="21" t="s">
        <v>254</v>
      </c>
      <c r="F8870">
        <v>2210029</v>
      </c>
      <c r="G8870" t="s">
        <v>6983</v>
      </c>
      <c r="H8870" s="21">
        <v>1032.17</v>
      </c>
    </row>
    <row r="8871" spans="1:8" customFormat="1" x14ac:dyDescent="0.25">
      <c r="A8871" t="str">
        <f>"616452"</f>
        <v>616452</v>
      </c>
      <c r="B8871" t="s">
        <v>8596</v>
      </c>
      <c r="C8871" t="s">
        <v>33</v>
      </c>
      <c r="D8871" s="21" t="s">
        <v>34</v>
      </c>
      <c r="E8871" s="21" t="s">
        <v>35</v>
      </c>
      <c r="F8871">
        <v>9610148</v>
      </c>
      <c r="G8871" t="s">
        <v>8163</v>
      </c>
      <c r="H8871" s="21">
        <v>1032.17</v>
      </c>
    </row>
    <row r="8872" spans="1:8" customFormat="1" x14ac:dyDescent="0.25">
      <c r="A8872" t="str">
        <f>"571924"</f>
        <v>571924</v>
      </c>
      <c r="B8872" t="s">
        <v>350</v>
      </c>
      <c r="C8872" t="s">
        <v>171</v>
      </c>
      <c r="D8872" s="21" t="s">
        <v>34</v>
      </c>
      <c r="E8872" s="21" t="s">
        <v>35</v>
      </c>
      <c r="F8872">
        <v>6570005</v>
      </c>
      <c r="G8872" t="s">
        <v>351</v>
      </c>
      <c r="H8872" s="21">
        <v>1031.92</v>
      </c>
    </row>
    <row r="8873" spans="1:8" customFormat="1" x14ac:dyDescent="0.25">
      <c r="A8873" t="str">
        <f>"7620764"</f>
        <v>7620764</v>
      </c>
      <c r="B8873" t="s">
        <v>2203</v>
      </c>
      <c r="C8873" t="s">
        <v>2305</v>
      </c>
      <c r="D8873" s="21" t="s">
        <v>34</v>
      </c>
      <c r="E8873" s="21" t="s">
        <v>71</v>
      </c>
      <c r="F8873">
        <v>9760168</v>
      </c>
      <c r="G8873" t="s">
        <v>179</v>
      </c>
      <c r="H8873" s="21">
        <v>1031.8</v>
      </c>
    </row>
    <row r="8874" spans="1:8" customFormat="1" x14ac:dyDescent="0.25">
      <c r="A8874" t="str">
        <f>"7724587"</f>
        <v>7724587</v>
      </c>
      <c r="B8874" t="s">
        <v>9537</v>
      </c>
      <c r="C8874" t="s">
        <v>171</v>
      </c>
      <c r="D8874" s="21" t="s">
        <v>34</v>
      </c>
      <c r="E8874" s="21" t="s">
        <v>71</v>
      </c>
      <c r="F8874">
        <v>8770237</v>
      </c>
      <c r="G8874" t="s">
        <v>128</v>
      </c>
      <c r="H8874" s="21">
        <v>1031.68</v>
      </c>
    </row>
    <row r="8875" spans="1:8" customFormat="1" x14ac:dyDescent="0.25">
      <c r="A8875" t="str">
        <f>"035665"</f>
        <v>035665</v>
      </c>
      <c r="B8875" t="s">
        <v>8827</v>
      </c>
      <c r="C8875" t="s">
        <v>239</v>
      </c>
      <c r="D8875" s="21" t="s">
        <v>34</v>
      </c>
      <c r="E8875" s="21" t="s">
        <v>1089</v>
      </c>
      <c r="F8875">
        <v>7590127</v>
      </c>
      <c r="G8875" t="s">
        <v>214</v>
      </c>
      <c r="H8875" s="21">
        <v>1031.67</v>
      </c>
    </row>
    <row r="8876" spans="1:8" customFormat="1" x14ac:dyDescent="0.25">
      <c r="A8876" t="str">
        <f>"8526474"</f>
        <v>8526474</v>
      </c>
      <c r="B8876" t="s">
        <v>4918</v>
      </c>
      <c r="C8876" t="s">
        <v>10410</v>
      </c>
      <c r="D8876" s="21" t="s">
        <v>34</v>
      </c>
      <c r="E8876" s="21" t="s">
        <v>35</v>
      </c>
      <c r="F8876">
        <v>12850109</v>
      </c>
      <c r="G8876" t="s">
        <v>2714</v>
      </c>
      <c r="H8876" s="21">
        <v>1031.67</v>
      </c>
    </row>
    <row r="8877" spans="1:8" customFormat="1" x14ac:dyDescent="0.25">
      <c r="A8877" t="str">
        <f>"727335"</f>
        <v>727335</v>
      </c>
      <c r="B8877" t="s">
        <v>8401</v>
      </c>
      <c r="C8877" t="s">
        <v>169</v>
      </c>
      <c r="D8877" s="21" t="s">
        <v>34</v>
      </c>
      <c r="E8877" s="21" t="s">
        <v>71</v>
      </c>
      <c r="F8877">
        <v>12720008</v>
      </c>
      <c r="G8877" t="s">
        <v>753</v>
      </c>
      <c r="H8877" s="21">
        <v>1031.67</v>
      </c>
    </row>
    <row r="8878" spans="1:8" customFormat="1" x14ac:dyDescent="0.25">
      <c r="A8878" t="str">
        <f>"8011760"</f>
        <v>8011760</v>
      </c>
      <c r="B8878" t="s">
        <v>10550</v>
      </c>
      <c r="C8878" t="s">
        <v>288</v>
      </c>
      <c r="D8878" s="21" t="s">
        <v>34</v>
      </c>
      <c r="E8878" s="21" t="s">
        <v>35</v>
      </c>
      <c r="F8878">
        <v>7800023</v>
      </c>
      <c r="G8878" t="s">
        <v>8137</v>
      </c>
      <c r="H8878" s="21">
        <v>1031.67</v>
      </c>
    </row>
    <row r="8879" spans="1:8" customFormat="1" x14ac:dyDescent="0.25">
      <c r="A8879" t="str">
        <f>"854037"</f>
        <v>854037</v>
      </c>
      <c r="B8879" t="s">
        <v>9560</v>
      </c>
      <c r="C8879" t="s">
        <v>817</v>
      </c>
      <c r="D8879" s="21" t="s">
        <v>34</v>
      </c>
      <c r="E8879" s="21" t="s">
        <v>254</v>
      </c>
      <c r="F8879">
        <v>12850138</v>
      </c>
      <c r="G8879" t="s">
        <v>6879</v>
      </c>
      <c r="H8879" s="21">
        <v>1031.67</v>
      </c>
    </row>
    <row r="8880" spans="1:8" customFormat="1" x14ac:dyDescent="0.25">
      <c r="A8880" t="str">
        <f>"782100"</f>
        <v>782100</v>
      </c>
      <c r="B8880" t="s">
        <v>6758</v>
      </c>
      <c r="C8880" t="s">
        <v>87</v>
      </c>
      <c r="D8880" s="21" t="s">
        <v>34</v>
      </c>
      <c r="E8880" s="21" t="s">
        <v>71</v>
      </c>
      <c r="F8880">
        <v>8781017</v>
      </c>
      <c r="G8880" t="s">
        <v>2581</v>
      </c>
      <c r="H8880" s="21">
        <v>1031.67</v>
      </c>
    </row>
    <row r="8881" spans="1:8" customFormat="1" x14ac:dyDescent="0.25">
      <c r="A8881" t="str">
        <f>"7861997"</f>
        <v>7861997</v>
      </c>
      <c r="B8881" t="s">
        <v>10742</v>
      </c>
      <c r="C8881" t="s">
        <v>10743</v>
      </c>
      <c r="D8881" s="21" t="s">
        <v>34</v>
      </c>
      <c r="E8881" s="21" t="s">
        <v>35</v>
      </c>
      <c r="F8881">
        <v>8780485</v>
      </c>
      <c r="G8881" t="s">
        <v>1279</v>
      </c>
      <c r="H8881" s="21">
        <v>1031.67</v>
      </c>
    </row>
    <row r="8882" spans="1:8" customFormat="1" x14ac:dyDescent="0.25">
      <c r="A8882" t="str">
        <f>"2515632"</f>
        <v>2515632</v>
      </c>
      <c r="B8882" t="s">
        <v>10292</v>
      </c>
      <c r="C8882" t="s">
        <v>926</v>
      </c>
      <c r="D8882" s="21" t="s">
        <v>34</v>
      </c>
      <c r="E8882" s="21" t="s">
        <v>35</v>
      </c>
      <c r="F8882">
        <v>2250083</v>
      </c>
      <c r="G8882" t="s">
        <v>3808</v>
      </c>
      <c r="H8882" s="21">
        <v>1031.67</v>
      </c>
    </row>
    <row r="8883" spans="1:8" customFormat="1" x14ac:dyDescent="0.25">
      <c r="A8883" t="str">
        <f>"794160"</f>
        <v>794160</v>
      </c>
      <c r="B8883" t="s">
        <v>27075</v>
      </c>
      <c r="C8883" t="s">
        <v>2529</v>
      </c>
      <c r="D8883" s="21" t="s">
        <v>34</v>
      </c>
      <c r="E8883" s="21" t="s">
        <v>35</v>
      </c>
      <c r="F8883">
        <v>10790015</v>
      </c>
      <c r="G8883" t="s">
        <v>12820</v>
      </c>
      <c r="H8883" s="21">
        <v>1031.67</v>
      </c>
    </row>
    <row r="8884" spans="1:8" customFormat="1" x14ac:dyDescent="0.25">
      <c r="A8884" t="str">
        <f>"6942519"</f>
        <v>6942519</v>
      </c>
      <c r="B8884" t="s">
        <v>27076</v>
      </c>
      <c r="C8884" t="s">
        <v>8442</v>
      </c>
      <c r="D8884" s="21" t="s">
        <v>34</v>
      </c>
      <c r="E8884" s="21" t="s">
        <v>35</v>
      </c>
      <c r="F8884">
        <v>1690123</v>
      </c>
      <c r="G8884" t="s">
        <v>5156</v>
      </c>
      <c r="H8884" s="21">
        <v>1031.67</v>
      </c>
    </row>
    <row r="8885" spans="1:8" customFormat="1" x14ac:dyDescent="0.25">
      <c r="A8885" t="str">
        <f>"873105"</f>
        <v>873105</v>
      </c>
      <c r="B8885" t="s">
        <v>8335</v>
      </c>
      <c r="C8885" t="s">
        <v>33</v>
      </c>
      <c r="D8885" s="21" t="s">
        <v>34</v>
      </c>
      <c r="E8885" s="21" t="s">
        <v>35</v>
      </c>
      <c r="F8885">
        <v>10870028</v>
      </c>
      <c r="G8885" t="s">
        <v>2689</v>
      </c>
      <c r="H8885" s="21">
        <v>1031.67</v>
      </c>
    </row>
    <row r="8886" spans="1:8" customFormat="1" x14ac:dyDescent="0.25">
      <c r="A8886" t="str">
        <f>"7852519"</f>
        <v>7852519</v>
      </c>
      <c r="B8886" t="s">
        <v>9832</v>
      </c>
      <c r="C8886" t="s">
        <v>1110</v>
      </c>
      <c r="D8886" s="21" t="s">
        <v>34</v>
      </c>
      <c r="E8886" s="21" t="s">
        <v>71</v>
      </c>
      <c r="F8886">
        <v>8780353</v>
      </c>
      <c r="G8886" t="s">
        <v>6524</v>
      </c>
      <c r="H8886" s="21">
        <v>1031.67</v>
      </c>
    </row>
    <row r="8887" spans="1:8" customFormat="1" x14ac:dyDescent="0.25">
      <c r="A8887" t="str">
        <f>"957304"</f>
        <v>957304</v>
      </c>
      <c r="B8887" t="s">
        <v>8575</v>
      </c>
      <c r="C8887" t="s">
        <v>2529</v>
      </c>
      <c r="D8887" s="21" t="s">
        <v>34</v>
      </c>
      <c r="E8887" s="21" t="s">
        <v>254</v>
      </c>
      <c r="F8887">
        <v>8950978</v>
      </c>
      <c r="G8887" t="s">
        <v>1164</v>
      </c>
      <c r="H8887" s="21">
        <v>1031.67</v>
      </c>
    </row>
    <row r="8888" spans="1:8" customFormat="1" x14ac:dyDescent="0.25">
      <c r="A8888" t="str">
        <f>"4517030"</f>
        <v>4517030</v>
      </c>
      <c r="B8888" t="s">
        <v>8932</v>
      </c>
      <c r="C8888" t="s">
        <v>269</v>
      </c>
      <c r="D8888" s="21" t="s">
        <v>34</v>
      </c>
      <c r="E8888" s="21" t="s">
        <v>71</v>
      </c>
      <c r="F8888">
        <v>4450734</v>
      </c>
      <c r="G8888" t="s">
        <v>27077</v>
      </c>
      <c r="H8888" s="21">
        <v>1031.56</v>
      </c>
    </row>
    <row r="8889" spans="1:8" customFormat="1" x14ac:dyDescent="0.25">
      <c r="A8889" t="str">
        <f>"4515391"</f>
        <v>4515391</v>
      </c>
      <c r="B8889" t="s">
        <v>10023</v>
      </c>
      <c r="C8889" t="s">
        <v>269</v>
      </c>
      <c r="D8889" s="21" t="s">
        <v>34</v>
      </c>
      <c r="E8889" s="21" t="s">
        <v>71</v>
      </c>
      <c r="F8889">
        <v>4450754</v>
      </c>
      <c r="G8889" t="s">
        <v>2695</v>
      </c>
      <c r="H8889" s="21">
        <v>1031.42</v>
      </c>
    </row>
    <row r="8890" spans="1:8" customFormat="1" x14ac:dyDescent="0.25">
      <c r="A8890" t="str">
        <f>"938182"</f>
        <v>938182</v>
      </c>
      <c r="B8890" t="s">
        <v>9238</v>
      </c>
      <c r="C8890" t="s">
        <v>9239</v>
      </c>
      <c r="D8890" s="21" t="s">
        <v>34</v>
      </c>
      <c r="E8890" s="21" t="s">
        <v>35</v>
      </c>
      <c r="F8890">
        <v>8750400</v>
      </c>
      <c r="G8890" t="s">
        <v>2804</v>
      </c>
      <c r="H8890" s="21">
        <v>1031.3</v>
      </c>
    </row>
    <row r="8891" spans="1:8" customFormat="1" x14ac:dyDescent="0.25">
      <c r="A8891" t="str">
        <f>"3712071"</f>
        <v>3712071</v>
      </c>
      <c r="B8891" t="s">
        <v>8760</v>
      </c>
      <c r="C8891" t="s">
        <v>2479</v>
      </c>
      <c r="D8891" s="21" t="s">
        <v>34</v>
      </c>
      <c r="E8891" s="21" t="s">
        <v>71</v>
      </c>
      <c r="F8891">
        <v>4370681</v>
      </c>
      <c r="G8891" t="s">
        <v>4508</v>
      </c>
      <c r="H8891" s="21">
        <v>1031.17</v>
      </c>
    </row>
    <row r="8892" spans="1:8" customFormat="1" x14ac:dyDescent="0.25">
      <c r="A8892" t="str">
        <f>"3811885"</f>
        <v>3811885</v>
      </c>
      <c r="B8892" t="s">
        <v>8885</v>
      </c>
      <c r="C8892" t="s">
        <v>302</v>
      </c>
      <c r="D8892" s="21" t="s">
        <v>34</v>
      </c>
      <c r="E8892" s="21" t="s">
        <v>35</v>
      </c>
      <c r="F8892">
        <v>1380241</v>
      </c>
      <c r="G8892" t="s">
        <v>2819</v>
      </c>
      <c r="H8892" s="21">
        <v>1031.17</v>
      </c>
    </row>
    <row r="8893" spans="1:8" customFormat="1" x14ac:dyDescent="0.25">
      <c r="A8893" t="str">
        <f>"917035"</f>
        <v>917035</v>
      </c>
      <c r="B8893" t="s">
        <v>9019</v>
      </c>
      <c r="C8893" t="s">
        <v>1812</v>
      </c>
      <c r="D8893" s="21" t="s">
        <v>34</v>
      </c>
      <c r="E8893" s="21" t="s">
        <v>1089</v>
      </c>
      <c r="F8893">
        <v>8940052</v>
      </c>
      <c r="G8893" t="s">
        <v>190</v>
      </c>
      <c r="H8893" s="21">
        <v>1031.17</v>
      </c>
    </row>
    <row r="8894" spans="1:8" customFormat="1" x14ac:dyDescent="0.25">
      <c r="A8894" t="str">
        <f>"40244"</f>
        <v>40244</v>
      </c>
      <c r="B8894" t="s">
        <v>6609</v>
      </c>
      <c r="C8894" t="s">
        <v>121</v>
      </c>
      <c r="D8894" s="21" t="s">
        <v>34</v>
      </c>
      <c r="E8894" s="21" t="s">
        <v>71</v>
      </c>
      <c r="F8894">
        <v>10400009</v>
      </c>
      <c r="G8894" t="s">
        <v>5378</v>
      </c>
      <c r="H8894" s="21">
        <v>1031.17</v>
      </c>
    </row>
    <row r="8895" spans="1:8" customFormat="1" x14ac:dyDescent="0.25">
      <c r="A8895" t="str">
        <f>"244811"</f>
        <v>244811</v>
      </c>
      <c r="B8895" t="s">
        <v>8974</v>
      </c>
      <c r="C8895" t="s">
        <v>269</v>
      </c>
      <c r="D8895" s="21" t="s">
        <v>34</v>
      </c>
      <c r="E8895" s="21" t="s">
        <v>71</v>
      </c>
      <c r="F8895">
        <v>10240014</v>
      </c>
      <c r="G8895" t="s">
        <v>5445</v>
      </c>
      <c r="H8895" s="21">
        <v>1031.17</v>
      </c>
    </row>
    <row r="8896" spans="1:8" customFormat="1" x14ac:dyDescent="0.25">
      <c r="A8896" t="str">
        <f>"144644"</f>
        <v>144644</v>
      </c>
      <c r="B8896" t="s">
        <v>9756</v>
      </c>
      <c r="C8896" t="s">
        <v>275</v>
      </c>
      <c r="D8896" s="21" t="s">
        <v>34</v>
      </c>
      <c r="E8896" s="21" t="s">
        <v>35</v>
      </c>
      <c r="F8896">
        <v>9140167</v>
      </c>
      <c r="G8896" t="s">
        <v>5116</v>
      </c>
      <c r="H8896" s="21">
        <v>1031.17</v>
      </c>
    </row>
    <row r="8897" spans="1:8" customFormat="1" x14ac:dyDescent="0.25">
      <c r="A8897" t="str">
        <f>"3815121"</f>
        <v>3815121</v>
      </c>
      <c r="B8897" t="s">
        <v>108</v>
      </c>
      <c r="C8897" t="s">
        <v>33</v>
      </c>
      <c r="D8897" s="21" t="s">
        <v>34</v>
      </c>
      <c r="E8897" s="21" t="s">
        <v>35</v>
      </c>
      <c r="F8897">
        <v>1380028</v>
      </c>
      <c r="G8897" t="s">
        <v>374</v>
      </c>
      <c r="H8897" s="21">
        <v>1031.17</v>
      </c>
    </row>
    <row r="8898" spans="1:8" customFormat="1" x14ac:dyDescent="0.25">
      <c r="A8898" t="str">
        <f>"688881"</f>
        <v>688881</v>
      </c>
      <c r="B8898" t="s">
        <v>2243</v>
      </c>
      <c r="C8898" t="s">
        <v>415</v>
      </c>
      <c r="D8898" s="21" t="s">
        <v>34</v>
      </c>
      <c r="E8898" s="21" t="s">
        <v>35</v>
      </c>
      <c r="F8898">
        <v>6680116</v>
      </c>
      <c r="G8898" t="s">
        <v>5205</v>
      </c>
      <c r="H8898" s="21">
        <v>1031.17</v>
      </c>
    </row>
    <row r="8899" spans="1:8" customFormat="1" x14ac:dyDescent="0.25">
      <c r="A8899" t="str">
        <f>"856204"</f>
        <v>856204</v>
      </c>
      <c r="B8899" t="s">
        <v>8826</v>
      </c>
      <c r="C8899" t="s">
        <v>2305</v>
      </c>
      <c r="D8899" s="21" t="s">
        <v>34</v>
      </c>
      <c r="E8899" s="21" t="s">
        <v>254</v>
      </c>
      <c r="F8899">
        <v>12850148</v>
      </c>
      <c r="G8899" t="s">
        <v>2380</v>
      </c>
      <c r="H8899" s="21">
        <v>1031.17</v>
      </c>
    </row>
    <row r="8900" spans="1:8" customFormat="1" x14ac:dyDescent="0.25">
      <c r="A8900" t="str">
        <f>"796330"</f>
        <v>796330</v>
      </c>
      <c r="B8900" t="s">
        <v>9645</v>
      </c>
      <c r="C8900" t="s">
        <v>130</v>
      </c>
      <c r="D8900" s="21" t="s">
        <v>34</v>
      </c>
      <c r="E8900" s="21" t="s">
        <v>71</v>
      </c>
      <c r="F8900">
        <v>10790009</v>
      </c>
      <c r="G8900" t="s">
        <v>1155</v>
      </c>
      <c r="H8900" s="21">
        <v>1031.17</v>
      </c>
    </row>
    <row r="8901" spans="1:8" customFormat="1" x14ac:dyDescent="0.25">
      <c r="A8901" t="str">
        <f>"68819"</f>
        <v>68819</v>
      </c>
      <c r="B8901" t="s">
        <v>7543</v>
      </c>
      <c r="C8901" t="s">
        <v>90</v>
      </c>
      <c r="D8901" s="21" t="s">
        <v>34</v>
      </c>
      <c r="E8901" s="21" t="s">
        <v>35</v>
      </c>
      <c r="F8901">
        <v>6680125</v>
      </c>
      <c r="G8901" t="s">
        <v>6543</v>
      </c>
      <c r="H8901" s="21">
        <v>1031.17</v>
      </c>
    </row>
    <row r="8902" spans="1:8" customFormat="1" x14ac:dyDescent="0.25">
      <c r="A8902" t="str">
        <f>"44828"</f>
        <v>44828</v>
      </c>
      <c r="B8902" t="s">
        <v>8798</v>
      </c>
      <c r="C8902" t="s">
        <v>253</v>
      </c>
      <c r="D8902" s="21" t="s">
        <v>34</v>
      </c>
      <c r="E8902" s="21" t="s">
        <v>254</v>
      </c>
      <c r="F8902">
        <v>12440023</v>
      </c>
      <c r="G8902" t="s">
        <v>3507</v>
      </c>
      <c r="H8902" s="21">
        <v>1030.92</v>
      </c>
    </row>
    <row r="8903" spans="1:8" customFormat="1" x14ac:dyDescent="0.25">
      <c r="A8903" t="str">
        <f>"724229"</f>
        <v>724229</v>
      </c>
      <c r="B8903" t="s">
        <v>9213</v>
      </c>
      <c r="C8903" t="s">
        <v>598</v>
      </c>
      <c r="D8903" s="21" t="s">
        <v>34</v>
      </c>
      <c r="E8903" s="21" t="s">
        <v>254</v>
      </c>
      <c r="F8903">
        <v>12720023</v>
      </c>
      <c r="G8903" t="s">
        <v>1898</v>
      </c>
      <c r="H8903" s="21">
        <v>1030.92</v>
      </c>
    </row>
    <row r="8904" spans="1:8" customFormat="1" x14ac:dyDescent="0.25">
      <c r="A8904" t="str">
        <f>"265083"</f>
        <v>265083</v>
      </c>
      <c r="B8904" t="s">
        <v>10772</v>
      </c>
      <c r="C8904" t="s">
        <v>37</v>
      </c>
      <c r="D8904" s="21" t="s">
        <v>34</v>
      </c>
      <c r="E8904" s="21" t="s">
        <v>35</v>
      </c>
      <c r="F8904">
        <v>1260045</v>
      </c>
      <c r="G8904" t="s">
        <v>401</v>
      </c>
      <c r="H8904" s="21">
        <v>1030.92</v>
      </c>
    </row>
    <row r="8905" spans="1:8" customFormat="1" x14ac:dyDescent="0.25">
      <c r="A8905" t="str">
        <f>"9754676"</f>
        <v>9754676</v>
      </c>
      <c r="B8905" t="s">
        <v>9068</v>
      </c>
      <c r="C8905" t="s">
        <v>198</v>
      </c>
      <c r="D8905" s="21" t="s">
        <v>34</v>
      </c>
      <c r="E8905" s="21" t="s">
        <v>1089</v>
      </c>
      <c r="F8905">
        <v>4370132</v>
      </c>
      <c r="G8905" t="s">
        <v>2262</v>
      </c>
      <c r="H8905" s="21">
        <v>1030.67</v>
      </c>
    </row>
    <row r="8906" spans="1:8" customFormat="1" x14ac:dyDescent="0.25">
      <c r="A8906" t="str">
        <f>"793614"</f>
        <v>793614</v>
      </c>
      <c r="B8906" t="s">
        <v>7401</v>
      </c>
      <c r="C8906" t="s">
        <v>611</v>
      </c>
      <c r="D8906" s="21" t="s">
        <v>34</v>
      </c>
      <c r="E8906" s="21" t="s">
        <v>35</v>
      </c>
      <c r="F8906">
        <v>10790020</v>
      </c>
      <c r="G8906" t="s">
        <v>10221</v>
      </c>
      <c r="H8906" s="21">
        <v>1030.67</v>
      </c>
    </row>
    <row r="8907" spans="1:8" customFormat="1" x14ac:dyDescent="0.25">
      <c r="A8907" t="str">
        <f>"792154"</f>
        <v>792154</v>
      </c>
      <c r="B8907" t="s">
        <v>7072</v>
      </c>
      <c r="C8907" t="s">
        <v>43</v>
      </c>
      <c r="D8907" s="21" t="s">
        <v>34</v>
      </c>
      <c r="E8907" s="21" t="s">
        <v>35</v>
      </c>
      <c r="F8907">
        <v>10790163</v>
      </c>
      <c r="G8907" t="s">
        <v>2015</v>
      </c>
      <c r="H8907" s="21">
        <v>1030.67</v>
      </c>
    </row>
    <row r="8908" spans="1:8" customFormat="1" x14ac:dyDescent="0.25">
      <c r="A8908" t="str">
        <f>"601453"</f>
        <v>601453</v>
      </c>
      <c r="B8908" t="s">
        <v>4461</v>
      </c>
      <c r="C8908" t="s">
        <v>114</v>
      </c>
      <c r="D8908" s="21" t="s">
        <v>34</v>
      </c>
      <c r="E8908" s="21" t="s">
        <v>254</v>
      </c>
      <c r="F8908">
        <v>7600069</v>
      </c>
      <c r="G8908" t="s">
        <v>195</v>
      </c>
      <c r="H8908" s="21">
        <v>1030.67</v>
      </c>
    </row>
    <row r="8909" spans="1:8" customFormat="1" x14ac:dyDescent="0.25">
      <c r="A8909" t="str">
        <f>"417866"</f>
        <v>417866</v>
      </c>
      <c r="B8909" t="s">
        <v>6634</v>
      </c>
      <c r="C8909" t="s">
        <v>288</v>
      </c>
      <c r="D8909" s="21" t="s">
        <v>34</v>
      </c>
      <c r="E8909" s="21" t="s">
        <v>35</v>
      </c>
      <c r="F8909">
        <v>4410696</v>
      </c>
      <c r="G8909" t="s">
        <v>5909</v>
      </c>
      <c r="H8909" s="21">
        <v>1030.67</v>
      </c>
    </row>
    <row r="8910" spans="1:8" customFormat="1" x14ac:dyDescent="0.25">
      <c r="A8910" t="str">
        <f>"85200"</f>
        <v>85200</v>
      </c>
      <c r="B8910" t="s">
        <v>7739</v>
      </c>
      <c r="C8910" t="s">
        <v>7740</v>
      </c>
      <c r="D8910" s="21" t="s">
        <v>34</v>
      </c>
      <c r="E8910" s="21" t="s">
        <v>6185</v>
      </c>
      <c r="F8910">
        <v>12850008</v>
      </c>
      <c r="G8910" t="s">
        <v>4248</v>
      </c>
      <c r="H8910" s="21">
        <v>1030.67</v>
      </c>
    </row>
    <row r="8911" spans="1:8" customFormat="1" x14ac:dyDescent="0.25">
      <c r="A8911" t="str">
        <f>"625989"</f>
        <v>625989</v>
      </c>
      <c r="B8911" t="s">
        <v>4278</v>
      </c>
      <c r="C8911" t="s">
        <v>2520</v>
      </c>
      <c r="D8911" s="21" t="s">
        <v>34</v>
      </c>
      <c r="E8911" s="21" t="s">
        <v>254</v>
      </c>
      <c r="F8911">
        <v>7620007</v>
      </c>
      <c r="G8911" t="s">
        <v>2133</v>
      </c>
      <c r="H8911" s="21">
        <v>1030.67</v>
      </c>
    </row>
    <row r="8912" spans="1:8" customFormat="1" x14ac:dyDescent="0.25">
      <c r="A8912" t="str">
        <f>"2920731"</f>
        <v>2920731</v>
      </c>
      <c r="B8912" t="s">
        <v>1252</v>
      </c>
      <c r="C8912" t="s">
        <v>156</v>
      </c>
      <c r="D8912" s="21" t="s">
        <v>34</v>
      </c>
      <c r="E8912" s="21" t="s">
        <v>71</v>
      </c>
      <c r="F8912">
        <v>3290047</v>
      </c>
      <c r="G8912" t="s">
        <v>2874</v>
      </c>
      <c r="H8912" s="21">
        <v>1030.67</v>
      </c>
    </row>
    <row r="8913" spans="1:8" customFormat="1" x14ac:dyDescent="0.25">
      <c r="A8913" t="str">
        <f>"547193"</f>
        <v>547193</v>
      </c>
      <c r="B8913" t="s">
        <v>3930</v>
      </c>
      <c r="C8913" t="s">
        <v>198</v>
      </c>
      <c r="D8913" s="21" t="s">
        <v>34</v>
      </c>
      <c r="E8913" s="21" t="s">
        <v>71</v>
      </c>
      <c r="F8913">
        <v>6540032</v>
      </c>
      <c r="G8913" t="s">
        <v>63</v>
      </c>
      <c r="H8913" s="21">
        <v>1030.67</v>
      </c>
    </row>
    <row r="8914" spans="1:8" customFormat="1" x14ac:dyDescent="0.25">
      <c r="A8914" t="str">
        <f>"9D176"</f>
        <v>9D176</v>
      </c>
      <c r="B8914" t="s">
        <v>11663</v>
      </c>
      <c r="C8914" t="s">
        <v>239</v>
      </c>
      <c r="D8914" s="21" t="s">
        <v>34</v>
      </c>
      <c r="E8914" s="21" t="s">
        <v>254</v>
      </c>
      <c r="F8914" t="s">
        <v>3911</v>
      </c>
      <c r="G8914" t="s">
        <v>3912</v>
      </c>
      <c r="H8914" s="21">
        <v>1030.67</v>
      </c>
    </row>
    <row r="8915" spans="1:8" customFormat="1" x14ac:dyDescent="0.25">
      <c r="A8915" t="str">
        <f>"9525668"</f>
        <v>9525668</v>
      </c>
      <c r="B8915" t="s">
        <v>8565</v>
      </c>
      <c r="C8915" t="s">
        <v>8546</v>
      </c>
      <c r="D8915" s="21" t="s">
        <v>34</v>
      </c>
      <c r="E8915" s="21" t="s">
        <v>71</v>
      </c>
      <c r="F8915">
        <v>1690112</v>
      </c>
      <c r="G8915" t="s">
        <v>4084</v>
      </c>
      <c r="H8915" s="21">
        <v>1030.55</v>
      </c>
    </row>
    <row r="8916" spans="1:8" customFormat="1" x14ac:dyDescent="0.25">
      <c r="A8916" t="str">
        <f>"066553"</f>
        <v>066553</v>
      </c>
      <c r="B8916" t="s">
        <v>10357</v>
      </c>
      <c r="C8916" t="s">
        <v>156</v>
      </c>
      <c r="D8916" s="21" t="s">
        <v>34</v>
      </c>
      <c r="E8916" s="21" t="s">
        <v>71</v>
      </c>
      <c r="F8916">
        <v>13060090</v>
      </c>
      <c r="G8916" t="s">
        <v>1363</v>
      </c>
      <c r="H8916" s="21">
        <v>1030.17</v>
      </c>
    </row>
    <row r="8917" spans="1:8" customFormat="1" x14ac:dyDescent="0.25">
      <c r="A8917" t="str">
        <f>"5914781"</f>
        <v>5914781</v>
      </c>
      <c r="B8917" t="s">
        <v>9010</v>
      </c>
      <c r="C8917" t="s">
        <v>288</v>
      </c>
      <c r="D8917" s="21" t="s">
        <v>34</v>
      </c>
      <c r="E8917" s="21" t="s">
        <v>35</v>
      </c>
      <c r="F8917">
        <v>12490068</v>
      </c>
      <c r="G8917" t="s">
        <v>2070</v>
      </c>
      <c r="H8917" s="21">
        <v>1030.17</v>
      </c>
    </row>
    <row r="8918" spans="1:8" customFormat="1" x14ac:dyDescent="0.25">
      <c r="A8918" t="str">
        <f>"724705"</f>
        <v>724705</v>
      </c>
      <c r="B8918" t="s">
        <v>4183</v>
      </c>
      <c r="C8918" t="s">
        <v>147</v>
      </c>
      <c r="D8918" s="21" t="s">
        <v>34</v>
      </c>
      <c r="E8918" s="21" t="s">
        <v>35</v>
      </c>
      <c r="F8918">
        <v>12720062</v>
      </c>
      <c r="G8918" t="s">
        <v>4026</v>
      </c>
      <c r="H8918" s="21">
        <v>1030.17</v>
      </c>
    </row>
    <row r="8919" spans="1:8" customFormat="1" x14ac:dyDescent="0.25">
      <c r="A8919" t="str">
        <f>"634353"</f>
        <v>634353</v>
      </c>
      <c r="B8919" t="s">
        <v>4183</v>
      </c>
      <c r="C8919" t="s">
        <v>462</v>
      </c>
      <c r="D8919" s="21" t="s">
        <v>34</v>
      </c>
      <c r="E8919" s="21" t="s">
        <v>71</v>
      </c>
      <c r="F8919">
        <v>1630320</v>
      </c>
      <c r="G8919" t="s">
        <v>4046</v>
      </c>
      <c r="H8919" s="21">
        <v>1030.17</v>
      </c>
    </row>
    <row r="8920" spans="1:8" customFormat="1" x14ac:dyDescent="0.25">
      <c r="A8920" t="str">
        <f>"676908"</f>
        <v>676908</v>
      </c>
      <c r="B8920" t="s">
        <v>1883</v>
      </c>
      <c r="C8920" t="s">
        <v>598</v>
      </c>
      <c r="D8920" s="21" t="s">
        <v>34</v>
      </c>
      <c r="E8920" s="21" t="s">
        <v>71</v>
      </c>
      <c r="F8920">
        <v>6670194</v>
      </c>
      <c r="G8920" t="s">
        <v>6521</v>
      </c>
      <c r="H8920" s="21">
        <v>1030.17</v>
      </c>
    </row>
    <row r="8921" spans="1:8" customFormat="1" x14ac:dyDescent="0.25">
      <c r="A8921" t="str">
        <f>"5316817"</f>
        <v>5316817</v>
      </c>
      <c r="B8921" t="s">
        <v>2403</v>
      </c>
      <c r="C8921" t="s">
        <v>712</v>
      </c>
      <c r="D8921" s="21" t="s">
        <v>34</v>
      </c>
      <c r="E8921" s="21" t="s">
        <v>35</v>
      </c>
      <c r="F8921">
        <v>12530011</v>
      </c>
      <c r="G8921" t="s">
        <v>7610</v>
      </c>
      <c r="H8921" s="21">
        <v>1030.17</v>
      </c>
    </row>
    <row r="8922" spans="1:8" customFormat="1" x14ac:dyDescent="0.25">
      <c r="A8922" t="str">
        <f>"59828"</f>
        <v>59828</v>
      </c>
      <c r="B8922" t="s">
        <v>10665</v>
      </c>
      <c r="C8922" t="s">
        <v>462</v>
      </c>
      <c r="D8922" s="21" t="s">
        <v>34</v>
      </c>
      <c r="E8922" s="21" t="s">
        <v>254</v>
      </c>
      <c r="F8922">
        <v>7590044</v>
      </c>
      <c r="G8922" t="s">
        <v>2029</v>
      </c>
      <c r="H8922" s="21">
        <v>1030.17</v>
      </c>
    </row>
    <row r="8923" spans="1:8" customFormat="1" x14ac:dyDescent="0.25">
      <c r="A8923" t="str">
        <f>"3521385"</f>
        <v>3521385</v>
      </c>
      <c r="B8923" t="s">
        <v>4027</v>
      </c>
      <c r="C8923" t="s">
        <v>55</v>
      </c>
      <c r="D8923" s="21" t="s">
        <v>34</v>
      </c>
      <c r="E8923" s="21" t="s">
        <v>35</v>
      </c>
      <c r="F8923">
        <v>3350009</v>
      </c>
      <c r="G8923" t="s">
        <v>1823</v>
      </c>
      <c r="H8923" s="21">
        <v>1030.17</v>
      </c>
    </row>
    <row r="8924" spans="1:8" customFormat="1" x14ac:dyDescent="0.25">
      <c r="A8924" t="str">
        <f>"143569"</f>
        <v>143569</v>
      </c>
      <c r="B8924" t="s">
        <v>9984</v>
      </c>
      <c r="C8924" t="s">
        <v>608</v>
      </c>
      <c r="D8924" s="21" t="s">
        <v>34</v>
      </c>
      <c r="E8924" s="21" t="s">
        <v>71</v>
      </c>
      <c r="F8924">
        <v>9140111</v>
      </c>
      <c r="G8924" t="s">
        <v>3601</v>
      </c>
      <c r="H8924" s="21">
        <v>1030.17</v>
      </c>
    </row>
    <row r="8925" spans="1:8" customFormat="1" x14ac:dyDescent="0.25">
      <c r="A8925" t="str">
        <f>"938051"</f>
        <v>938051</v>
      </c>
      <c r="B8925" t="s">
        <v>760</v>
      </c>
      <c r="C8925" t="s">
        <v>204</v>
      </c>
      <c r="D8925" s="21" t="s">
        <v>34</v>
      </c>
      <c r="E8925" s="21" t="s">
        <v>254</v>
      </c>
      <c r="F8925">
        <v>8930452</v>
      </c>
      <c r="G8925" t="s">
        <v>83</v>
      </c>
      <c r="H8925" s="21">
        <v>1030.05</v>
      </c>
    </row>
    <row r="8926" spans="1:8" customFormat="1" x14ac:dyDescent="0.25">
      <c r="A8926" t="str">
        <f>"78975"</f>
        <v>78975</v>
      </c>
      <c r="B8926" t="s">
        <v>9214</v>
      </c>
      <c r="C8926" t="s">
        <v>3073</v>
      </c>
      <c r="D8926" s="21" t="s">
        <v>34</v>
      </c>
      <c r="E8926" s="21" t="s">
        <v>254</v>
      </c>
      <c r="F8926">
        <v>8780447</v>
      </c>
      <c r="G8926" t="s">
        <v>9215</v>
      </c>
      <c r="H8926" s="21">
        <v>1029.92</v>
      </c>
    </row>
    <row r="8927" spans="1:8" customFormat="1" x14ac:dyDescent="0.25">
      <c r="A8927" t="str">
        <f>"5720882"</f>
        <v>5720882</v>
      </c>
      <c r="B8927" t="s">
        <v>11286</v>
      </c>
      <c r="C8927" t="s">
        <v>720</v>
      </c>
      <c r="D8927" s="21" t="s">
        <v>34</v>
      </c>
      <c r="E8927" s="21" t="s">
        <v>254</v>
      </c>
      <c r="F8927">
        <v>6570140</v>
      </c>
      <c r="G8927" t="s">
        <v>813</v>
      </c>
      <c r="H8927" s="21">
        <v>1029.92</v>
      </c>
    </row>
    <row r="8928" spans="1:8" customFormat="1" x14ac:dyDescent="0.25">
      <c r="A8928" t="str">
        <f>"509587"</f>
        <v>509587</v>
      </c>
      <c r="B8928" t="s">
        <v>8184</v>
      </c>
      <c r="C8928" t="s">
        <v>233</v>
      </c>
      <c r="D8928" s="21" t="s">
        <v>34</v>
      </c>
      <c r="E8928" s="21" t="s">
        <v>35</v>
      </c>
      <c r="F8928">
        <v>9500022</v>
      </c>
      <c r="G8928" t="s">
        <v>4324</v>
      </c>
      <c r="H8928" s="21">
        <v>1029.92</v>
      </c>
    </row>
    <row r="8929" spans="1:8" customFormat="1" x14ac:dyDescent="0.25">
      <c r="A8929" t="str">
        <f>"1715066"</f>
        <v>1715066</v>
      </c>
      <c r="B8929" t="s">
        <v>10479</v>
      </c>
      <c r="C8929" t="s">
        <v>174</v>
      </c>
      <c r="D8929" s="21" t="s">
        <v>34</v>
      </c>
      <c r="E8929" s="21" t="s">
        <v>35</v>
      </c>
      <c r="F8929">
        <v>10170028</v>
      </c>
      <c r="G8929" t="s">
        <v>649</v>
      </c>
      <c r="H8929" s="21">
        <v>1029.92</v>
      </c>
    </row>
    <row r="8930" spans="1:8" customFormat="1" x14ac:dyDescent="0.25">
      <c r="A8930" t="str">
        <f>"331197"</f>
        <v>331197</v>
      </c>
      <c r="B8930" t="s">
        <v>5292</v>
      </c>
      <c r="C8930" t="s">
        <v>462</v>
      </c>
      <c r="D8930" s="21" t="s">
        <v>34</v>
      </c>
      <c r="E8930" s="21" t="s">
        <v>254</v>
      </c>
      <c r="F8930">
        <v>10330067</v>
      </c>
      <c r="G8930" t="s">
        <v>125</v>
      </c>
      <c r="H8930" s="21">
        <v>1029.67</v>
      </c>
    </row>
    <row r="8931" spans="1:8" customFormat="1" x14ac:dyDescent="0.25">
      <c r="A8931" t="str">
        <f>"79599"</f>
        <v>79599</v>
      </c>
      <c r="B8931" t="s">
        <v>9263</v>
      </c>
      <c r="C8931" t="s">
        <v>1887</v>
      </c>
      <c r="D8931" s="21" t="s">
        <v>34</v>
      </c>
      <c r="E8931" s="21" t="s">
        <v>71</v>
      </c>
      <c r="F8931">
        <v>10790009</v>
      </c>
      <c r="G8931" t="s">
        <v>1155</v>
      </c>
      <c r="H8931" s="21">
        <v>1029.67</v>
      </c>
    </row>
    <row r="8932" spans="1:8" customFormat="1" x14ac:dyDescent="0.25">
      <c r="A8932" t="str">
        <f>"624609"</f>
        <v>624609</v>
      </c>
      <c r="B8932" t="s">
        <v>8683</v>
      </c>
      <c r="C8932" t="s">
        <v>204</v>
      </c>
      <c r="D8932" s="21" t="s">
        <v>34</v>
      </c>
      <c r="E8932" s="21" t="s">
        <v>35</v>
      </c>
      <c r="F8932">
        <v>7620065</v>
      </c>
      <c r="G8932" t="s">
        <v>6550</v>
      </c>
      <c r="H8932" s="21">
        <v>1029.67</v>
      </c>
    </row>
    <row r="8933" spans="1:8" customFormat="1" x14ac:dyDescent="0.25">
      <c r="A8933" t="str">
        <f>"74151"</f>
        <v>74151</v>
      </c>
      <c r="B8933" t="s">
        <v>6328</v>
      </c>
      <c r="C8933" t="s">
        <v>453</v>
      </c>
      <c r="D8933" s="21" t="s">
        <v>34</v>
      </c>
      <c r="E8933" s="21" t="s">
        <v>254</v>
      </c>
      <c r="F8933">
        <v>1740003</v>
      </c>
      <c r="G8933" t="s">
        <v>982</v>
      </c>
      <c r="H8933" s="21">
        <v>1029.67</v>
      </c>
    </row>
    <row r="8934" spans="1:8" customFormat="1" x14ac:dyDescent="0.25">
      <c r="A8934" t="str">
        <f>"148055"</f>
        <v>148055</v>
      </c>
      <c r="B8934" t="s">
        <v>9256</v>
      </c>
      <c r="C8934" t="s">
        <v>328</v>
      </c>
      <c r="D8934" s="21" t="s">
        <v>34</v>
      </c>
      <c r="E8934" s="21" t="s">
        <v>35</v>
      </c>
      <c r="F8934">
        <v>9140162</v>
      </c>
      <c r="G8934" t="s">
        <v>7663</v>
      </c>
      <c r="H8934" s="21">
        <v>1029.67</v>
      </c>
    </row>
    <row r="8935" spans="1:8" customFormat="1" x14ac:dyDescent="0.25">
      <c r="A8935" t="str">
        <f>"241844"</f>
        <v>241844</v>
      </c>
      <c r="B8935" t="s">
        <v>482</v>
      </c>
      <c r="C8935" t="s">
        <v>1841</v>
      </c>
      <c r="D8935" s="21" t="s">
        <v>34</v>
      </c>
      <c r="E8935" s="21" t="s">
        <v>254</v>
      </c>
      <c r="F8935">
        <v>10160122</v>
      </c>
      <c r="G8935" t="s">
        <v>8169</v>
      </c>
      <c r="H8935" s="21">
        <v>1029.67</v>
      </c>
    </row>
    <row r="8936" spans="1:8" customFormat="1" x14ac:dyDescent="0.25">
      <c r="A8936" t="str">
        <f>"579009"</f>
        <v>579009</v>
      </c>
      <c r="B8936" t="s">
        <v>27078</v>
      </c>
      <c r="C8936" t="s">
        <v>1474</v>
      </c>
      <c r="D8936" s="21" t="s">
        <v>34</v>
      </c>
      <c r="E8936" s="21" t="s">
        <v>35</v>
      </c>
      <c r="F8936">
        <v>6670260</v>
      </c>
      <c r="G8936" t="s">
        <v>1202</v>
      </c>
      <c r="H8936" s="21">
        <v>1029.67</v>
      </c>
    </row>
    <row r="8937" spans="1:8" customFormat="1" x14ac:dyDescent="0.25">
      <c r="A8937" t="str">
        <f>"76432"</f>
        <v>76432</v>
      </c>
      <c r="B8937" t="s">
        <v>3904</v>
      </c>
      <c r="C8937" t="s">
        <v>453</v>
      </c>
      <c r="D8937" s="21" t="s">
        <v>34</v>
      </c>
      <c r="E8937" s="21" t="s">
        <v>254</v>
      </c>
      <c r="F8937">
        <v>9760331</v>
      </c>
      <c r="G8937" t="s">
        <v>5134</v>
      </c>
      <c r="H8937" s="21">
        <v>1029.67</v>
      </c>
    </row>
    <row r="8938" spans="1:8" customFormat="1" x14ac:dyDescent="0.25">
      <c r="A8938" t="str">
        <f>"7627285"</f>
        <v>7627285</v>
      </c>
      <c r="B8938" t="s">
        <v>9061</v>
      </c>
      <c r="C8938" t="s">
        <v>43</v>
      </c>
      <c r="D8938" s="21" t="s">
        <v>34</v>
      </c>
      <c r="E8938" s="21" t="s">
        <v>35</v>
      </c>
      <c r="F8938">
        <v>9760218</v>
      </c>
      <c r="G8938" t="s">
        <v>26836</v>
      </c>
      <c r="H8938" s="21">
        <v>1029.67</v>
      </c>
    </row>
    <row r="8939" spans="1:8" customFormat="1" x14ac:dyDescent="0.25">
      <c r="A8939" t="str">
        <f>"3523785"</f>
        <v>3523785</v>
      </c>
      <c r="B8939" t="s">
        <v>10326</v>
      </c>
      <c r="C8939" t="s">
        <v>62</v>
      </c>
      <c r="D8939" s="21" t="s">
        <v>34</v>
      </c>
      <c r="E8939" s="21" t="s">
        <v>35</v>
      </c>
      <c r="F8939">
        <v>3350169</v>
      </c>
      <c r="G8939" t="s">
        <v>735</v>
      </c>
      <c r="H8939" s="21">
        <v>1029.67</v>
      </c>
    </row>
    <row r="8940" spans="1:8" customFormat="1" x14ac:dyDescent="0.25">
      <c r="A8940" t="str">
        <f>"0618690"</f>
        <v>0618690</v>
      </c>
      <c r="B8940" t="s">
        <v>9667</v>
      </c>
      <c r="C8940" t="s">
        <v>169</v>
      </c>
      <c r="D8940" s="21" t="s">
        <v>34</v>
      </c>
      <c r="E8940" s="21" t="s">
        <v>71</v>
      </c>
      <c r="F8940">
        <v>13060066</v>
      </c>
      <c r="G8940" t="s">
        <v>2556</v>
      </c>
      <c r="H8940" s="21">
        <v>1029.67</v>
      </c>
    </row>
    <row r="8941" spans="1:8" customFormat="1" x14ac:dyDescent="0.25">
      <c r="A8941" t="str">
        <f>"379806"</f>
        <v>379806</v>
      </c>
      <c r="B8941" t="s">
        <v>2645</v>
      </c>
      <c r="C8941" t="s">
        <v>1605</v>
      </c>
      <c r="D8941" s="21" t="s">
        <v>34</v>
      </c>
      <c r="E8941" s="21" t="s">
        <v>71</v>
      </c>
      <c r="F8941">
        <v>4370002</v>
      </c>
      <c r="G8941" t="s">
        <v>112</v>
      </c>
      <c r="H8941" s="21">
        <v>1029.67</v>
      </c>
    </row>
    <row r="8942" spans="1:8" customFormat="1" x14ac:dyDescent="0.25">
      <c r="A8942" t="str">
        <f>"3063"</f>
        <v>3063</v>
      </c>
      <c r="B8942" t="s">
        <v>8695</v>
      </c>
      <c r="C8942" t="s">
        <v>263</v>
      </c>
      <c r="D8942" s="21" t="s">
        <v>34</v>
      </c>
      <c r="E8942" s="21" t="s">
        <v>71</v>
      </c>
      <c r="F8942">
        <v>11300023</v>
      </c>
      <c r="G8942" t="s">
        <v>2679</v>
      </c>
      <c r="H8942" s="21">
        <v>1029.67</v>
      </c>
    </row>
    <row r="8943" spans="1:8" customFormat="1" x14ac:dyDescent="0.25">
      <c r="A8943" t="str">
        <f>"60141"</f>
        <v>60141</v>
      </c>
      <c r="B8943" t="s">
        <v>7883</v>
      </c>
      <c r="C8943" t="s">
        <v>239</v>
      </c>
      <c r="D8943" s="21" t="s">
        <v>34</v>
      </c>
      <c r="E8943" s="21" t="s">
        <v>71</v>
      </c>
      <c r="F8943">
        <v>7600154</v>
      </c>
      <c r="G8943" t="s">
        <v>7836</v>
      </c>
      <c r="H8943" s="21">
        <v>1029.67</v>
      </c>
    </row>
    <row r="8944" spans="1:8" customFormat="1" x14ac:dyDescent="0.25">
      <c r="A8944" t="str">
        <f>"85517"</f>
        <v>85517</v>
      </c>
      <c r="B8944" t="s">
        <v>9972</v>
      </c>
      <c r="C8944" t="s">
        <v>1271</v>
      </c>
      <c r="D8944" s="21" t="s">
        <v>34</v>
      </c>
      <c r="E8944" s="21" t="s">
        <v>71</v>
      </c>
      <c r="F8944">
        <v>12850015</v>
      </c>
      <c r="G8944" t="s">
        <v>4076</v>
      </c>
      <c r="H8944" s="21">
        <v>1029.67</v>
      </c>
    </row>
    <row r="8945" spans="1:8" customFormat="1" x14ac:dyDescent="0.25">
      <c r="A8945" t="str">
        <f>"5317055"</f>
        <v>5317055</v>
      </c>
      <c r="B8945" t="s">
        <v>4665</v>
      </c>
      <c r="C8945" t="s">
        <v>109</v>
      </c>
      <c r="D8945" s="21" t="s">
        <v>34</v>
      </c>
      <c r="E8945" s="21" t="s">
        <v>35</v>
      </c>
      <c r="F8945">
        <v>8770237</v>
      </c>
      <c r="G8945" t="s">
        <v>128</v>
      </c>
      <c r="H8945" s="21">
        <v>1029.5</v>
      </c>
    </row>
    <row r="8946" spans="1:8" customFormat="1" x14ac:dyDescent="0.25">
      <c r="A8946" t="str">
        <f>"383090"</f>
        <v>383090</v>
      </c>
      <c r="B8946" t="s">
        <v>8797</v>
      </c>
      <c r="C8946" t="s">
        <v>60</v>
      </c>
      <c r="D8946" s="21" t="s">
        <v>34</v>
      </c>
      <c r="E8946" s="21" t="s">
        <v>71</v>
      </c>
      <c r="F8946">
        <v>1380117</v>
      </c>
      <c r="G8946" t="s">
        <v>6062</v>
      </c>
      <c r="H8946" s="21">
        <v>1029.43</v>
      </c>
    </row>
    <row r="8947" spans="1:8" customFormat="1" x14ac:dyDescent="0.25">
      <c r="A8947" t="str">
        <f>"032465"</f>
        <v>032465</v>
      </c>
      <c r="B8947" t="s">
        <v>9012</v>
      </c>
      <c r="C8947" t="s">
        <v>249</v>
      </c>
      <c r="D8947" s="21" t="s">
        <v>34</v>
      </c>
      <c r="E8947" s="21" t="s">
        <v>71</v>
      </c>
      <c r="F8947">
        <v>2710072</v>
      </c>
      <c r="G8947" t="s">
        <v>1461</v>
      </c>
      <c r="H8947" s="21">
        <v>1029.42</v>
      </c>
    </row>
    <row r="8948" spans="1:8" customFormat="1" x14ac:dyDescent="0.25">
      <c r="A8948" t="str">
        <f>"892037"</f>
        <v>892037</v>
      </c>
      <c r="B8948" t="s">
        <v>9496</v>
      </c>
      <c r="C8948" t="s">
        <v>130</v>
      </c>
      <c r="D8948" s="21" t="s">
        <v>34</v>
      </c>
      <c r="E8948" s="21" t="s">
        <v>71</v>
      </c>
      <c r="F8948">
        <v>2890010</v>
      </c>
      <c r="G8948" t="s">
        <v>3790</v>
      </c>
      <c r="H8948" s="21">
        <v>1029.42</v>
      </c>
    </row>
    <row r="8949" spans="1:8" customFormat="1" x14ac:dyDescent="0.25">
      <c r="A8949" t="str">
        <f>"2934833"</f>
        <v>2934833</v>
      </c>
      <c r="B8949" t="s">
        <v>8799</v>
      </c>
      <c r="C8949" t="s">
        <v>867</v>
      </c>
      <c r="D8949" s="21" t="s">
        <v>34</v>
      </c>
      <c r="E8949" s="21" t="s">
        <v>35</v>
      </c>
      <c r="F8949">
        <v>3290262</v>
      </c>
      <c r="G8949" t="s">
        <v>1139</v>
      </c>
      <c r="H8949" s="21">
        <v>1029.42</v>
      </c>
    </row>
    <row r="8950" spans="1:8" customFormat="1" x14ac:dyDescent="0.25">
      <c r="A8950" t="str">
        <f>"279072"</f>
        <v>279072</v>
      </c>
      <c r="B8950" t="s">
        <v>108</v>
      </c>
      <c r="C8950" t="s">
        <v>169</v>
      </c>
      <c r="D8950" s="21" t="s">
        <v>34</v>
      </c>
      <c r="E8950" s="21" t="s">
        <v>71</v>
      </c>
      <c r="F8950">
        <v>9270095</v>
      </c>
      <c r="G8950" t="s">
        <v>1681</v>
      </c>
      <c r="H8950" s="21">
        <v>1029.42</v>
      </c>
    </row>
    <row r="8951" spans="1:8" customFormat="1" x14ac:dyDescent="0.25">
      <c r="A8951" t="str">
        <f>"2912763"</f>
        <v>2912763</v>
      </c>
      <c r="B8951" t="s">
        <v>2544</v>
      </c>
      <c r="C8951" t="s">
        <v>114</v>
      </c>
      <c r="D8951" s="21" t="s">
        <v>34</v>
      </c>
      <c r="E8951" s="21" t="s">
        <v>254</v>
      </c>
      <c r="F8951">
        <v>3290221</v>
      </c>
      <c r="G8951" t="s">
        <v>3544</v>
      </c>
      <c r="H8951" s="21">
        <v>1029.3</v>
      </c>
    </row>
    <row r="8952" spans="1:8" customFormat="1" x14ac:dyDescent="0.25">
      <c r="A8952" t="str">
        <f>"581089"</f>
        <v>581089</v>
      </c>
      <c r="B8952" t="s">
        <v>7929</v>
      </c>
      <c r="C8952" t="s">
        <v>598</v>
      </c>
      <c r="D8952" s="21" t="s">
        <v>34</v>
      </c>
      <c r="E8952" s="21" t="s">
        <v>1089</v>
      </c>
      <c r="F8952">
        <v>2580012</v>
      </c>
      <c r="G8952" t="s">
        <v>1144</v>
      </c>
      <c r="H8952" s="21">
        <v>1029.3</v>
      </c>
    </row>
    <row r="8953" spans="1:8" customFormat="1" x14ac:dyDescent="0.25">
      <c r="A8953" t="str">
        <f>"9431863"</f>
        <v>9431863</v>
      </c>
      <c r="B8953" t="s">
        <v>9102</v>
      </c>
      <c r="C8953" t="s">
        <v>262</v>
      </c>
      <c r="D8953" s="21" t="s">
        <v>34</v>
      </c>
      <c r="E8953" s="21" t="s">
        <v>35</v>
      </c>
      <c r="F8953">
        <v>8941282</v>
      </c>
      <c r="G8953" t="s">
        <v>5040</v>
      </c>
      <c r="H8953" s="21">
        <v>1029.3</v>
      </c>
    </row>
    <row r="8954" spans="1:8" customFormat="1" x14ac:dyDescent="0.25">
      <c r="A8954" t="str">
        <f>"3339022"</f>
        <v>3339022</v>
      </c>
      <c r="B8954" t="s">
        <v>623</v>
      </c>
      <c r="C8954" t="s">
        <v>139</v>
      </c>
      <c r="D8954" s="21" t="s">
        <v>34</v>
      </c>
      <c r="E8954" s="21" t="s">
        <v>35</v>
      </c>
      <c r="F8954">
        <v>10330067</v>
      </c>
      <c r="G8954" t="s">
        <v>125</v>
      </c>
      <c r="H8954" s="21">
        <v>1029.3</v>
      </c>
    </row>
    <row r="8955" spans="1:8" customFormat="1" x14ac:dyDescent="0.25">
      <c r="A8955" t="str">
        <f>"062"</f>
        <v>062</v>
      </c>
      <c r="B8955" t="s">
        <v>2747</v>
      </c>
      <c r="C8955" t="s">
        <v>239</v>
      </c>
      <c r="D8955" s="21" t="s">
        <v>34</v>
      </c>
      <c r="E8955" s="21" t="s">
        <v>71</v>
      </c>
      <c r="F8955">
        <v>13060001</v>
      </c>
      <c r="G8955" t="s">
        <v>8961</v>
      </c>
      <c r="H8955" s="21">
        <v>1029.17</v>
      </c>
    </row>
    <row r="8956" spans="1:8" customFormat="1" x14ac:dyDescent="0.25">
      <c r="A8956" t="str">
        <f>"1488"</f>
        <v>1488</v>
      </c>
      <c r="B8956" t="s">
        <v>2797</v>
      </c>
      <c r="C8956" t="s">
        <v>293</v>
      </c>
      <c r="D8956" s="21" t="s">
        <v>34</v>
      </c>
      <c r="E8956" s="21" t="s">
        <v>254</v>
      </c>
      <c r="F8956">
        <v>9140128</v>
      </c>
      <c r="G8956" t="s">
        <v>2798</v>
      </c>
      <c r="H8956" s="21">
        <v>1029.17</v>
      </c>
    </row>
    <row r="8957" spans="1:8" customFormat="1" x14ac:dyDescent="0.25">
      <c r="A8957" t="str">
        <f>"0615225"</f>
        <v>0615225</v>
      </c>
      <c r="B8957" t="s">
        <v>9552</v>
      </c>
      <c r="C8957" t="s">
        <v>169</v>
      </c>
      <c r="D8957" s="21" t="s">
        <v>34</v>
      </c>
      <c r="E8957" s="21" t="s">
        <v>35</v>
      </c>
      <c r="F8957">
        <v>13060043</v>
      </c>
      <c r="G8957" t="s">
        <v>4761</v>
      </c>
      <c r="H8957" s="21">
        <v>1029.17</v>
      </c>
    </row>
    <row r="8958" spans="1:8" customFormat="1" x14ac:dyDescent="0.25">
      <c r="A8958" t="str">
        <f>"6940665"</f>
        <v>6940665</v>
      </c>
      <c r="B8958" t="s">
        <v>4056</v>
      </c>
      <c r="C8958" t="s">
        <v>598</v>
      </c>
      <c r="D8958" s="21" t="s">
        <v>34</v>
      </c>
      <c r="E8958" s="21" t="s">
        <v>71</v>
      </c>
      <c r="F8958">
        <v>1690058</v>
      </c>
      <c r="G8958" t="s">
        <v>1644</v>
      </c>
      <c r="H8958" s="21">
        <v>1029.17</v>
      </c>
    </row>
    <row r="8959" spans="1:8" customFormat="1" x14ac:dyDescent="0.25">
      <c r="A8959" t="str">
        <f>"678243"</f>
        <v>678243</v>
      </c>
      <c r="B8959" t="s">
        <v>9564</v>
      </c>
      <c r="C8959" t="s">
        <v>156</v>
      </c>
      <c r="D8959" s="21" t="s">
        <v>34</v>
      </c>
      <c r="E8959" s="21" t="s">
        <v>71</v>
      </c>
      <c r="F8959">
        <v>6670115</v>
      </c>
      <c r="G8959" t="s">
        <v>3798</v>
      </c>
      <c r="H8959" s="21">
        <v>1029.17</v>
      </c>
    </row>
    <row r="8960" spans="1:8" customFormat="1" x14ac:dyDescent="0.25">
      <c r="A8960" t="str">
        <f>"534235"</f>
        <v>534235</v>
      </c>
      <c r="B8960" t="s">
        <v>6487</v>
      </c>
      <c r="C8960" t="s">
        <v>3073</v>
      </c>
      <c r="D8960" s="21" t="s">
        <v>34</v>
      </c>
      <c r="E8960" s="21" t="s">
        <v>254</v>
      </c>
      <c r="F8960">
        <v>12530093</v>
      </c>
      <c r="G8960" t="s">
        <v>7865</v>
      </c>
      <c r="H8960" s="21">
        <v>1029.17</v>
      </c>
    </row>
    <row r="8961" spans="1:8" customFormat="1" x14ac:dyDescent="0.25">
      <c r="A8961" t="str">
        <f>"028720"</f>
        <v>028720</v>
      </c>
      <c r="B8961" t="s">
        <v>5135</v>
      </c>
      <c r="C8961" t="s">
        <v>87</v>
      </c>
      <c r="D8961" s="21" t="s">
        <v>34</v>
      </c>
      <c r="E8961" s="21" t="s">
        <v>35</v>
      </c>
      <c r="F8961">
        <v>7020065</v>
      </c>
      <c r="G8961" t="s">
        <v>4852</v>
      </c>
      <c r="H8961" s="21">
        <v>1029.17</v>
      </c>
    </row>
    <row r="8962" spans="1:8" customFormat="1" x14ac:dyDescent="0.25">
      <c r="A8962" t="str">
        <f>"5946039"</f>
        <v>5946039</v>
      </c>
      <c r="B8962" t="s">
        <v>1149</v>
      </c>
      <c r="C8962" t="s">
        <v>1119</v>
      </c>
      <c r="D8962" s="21" t="s">
        <v>34</v>
      </c>
      <c r="E8962" s="21" t="s">
        <v>71</v>
      </c>
      <c r="F8962">
        <v>7590054</v>
      </c>
      <c r="G8962" t="s">
        <v>12599</v>
      </c>
      <c r="H8962" s="21">
        <v>1029.17</v>
      </c>
    </row>
    <row r="8963" spans="1:8" customFormat="1" x14ac:dyDescent="0.25">
      <c r="A8963" t="str">
        <f>"9233004"</f>
        <v>9233004</v>
      </c>
      <c r="B8963" t="s">
        <v>8459</v>
      </c>
      <c r="C8963" t="s">
        <v>62</v>
      </c>
      <c r="D8963" s="21" t="s">
        <v>34</v>
      </c>
      <c r="E8963" s="21" t="s">
        <v>35</v>
      </c>
      <c r="F8963">
        <v>1260055</v>
      </c>
      <c r="G8963" t="s">
        <v>8460</v>
      </c>
      <c r="H8963" s="21">
        <v>1029.17</v>
      </c>
    </row>
    <row r="8964" spans="1:8" customFormat="1" x14ac:dyDescent="0.25">
      <c r="A8964" t="str">
        <f>"951127"</f>
        <v>951127</v>
      </c>
      <c r="B8964" t="s">
        <v>8524</v>
      </c>
      <c r="C8964" t="s">
        <v>1841</v>
      </c>
      <c r="D8964" s="21" t="s">
        <v>34</v>
      </c>
      <c r="E8964" s="21" t="s">
        <v>254</v>
      </c>
      <c r="F8964">
        <v>10330032</v>
      </c>
      <c r="G8964" t="s">
        <v>4408</v>
      </c>
      <c r="H8964" s="21">
        <v>1029.17</v>
      </c>
    </row>
    <row r="8965" spans="1:8" customFormat="1" x14ac:dyDescent="0.25">
      <c r="A8965" t="str">
        <f>"6214829"</f>
        <v>6214829</v>
      </c>
      <c r="B8965" t="s">
        <v>10657</v>
      </c>
      <c r="C8965" t="s">
        <v>249</v>
      </c>
      <c r="D8965" s="21" t="s">
        <v>34</v>
      </c>
      <c r="E8965" s="21" t="s">
        <v>71</v>
      </c>
      <c r="F8965">
        <v>7590112</v>
      </c>
      <c r="G8965" t="s">
        <v>3534</v>
      </c>
      <c r="H8965" s="21">
        <v>1029.17</v>
      </c>
    </row>
    <row r="8966" spans="1:8" customFormat="1" x14ac:dyDescent="0.25">
      <c r="A8966" t="str">
        <f>"6019958"</f>
        <v>6019958</v>
      </c>
      <c r="B8966" t="s">
        <v>9276</v>
      </c>
      <c r="C8966" t="s">
        <v>204</v>
      </c>
      <c r="D8966" s="21" t="s">
        <v>34</v>
      </c>
      <c r="E8966" s="21" t="s">
        <v>35</v>
      </c>
      <c r="F8966">
        <v>7600074</v>
      </c>
      <c r="G8966" t="s">
        <v>1912</v>
      </c>
      <c r="H8966" s="21">
        <v>1029.05</v>
      </c>
    </row>
    <row r="8967" spans="1:8" customFormat="1" x14ac:dyDescent="0.25">
      <c r="A8967" t="str">
        <f>"882919"</f>
        <v>882919</v>
      </c>
      <c r="B8967" t="s">
        <v>1295</v>
      </c>
      <c r="C8967" t="s">
        <v>33</v>
      </c>
      <c r="D8967" s="21" t="s">
        <v>34</v>
      </c>
      <c r="E8967" s="21" t="s">
        <v>35</v>
      </c>
      <c r="F8967">
        <v>1740063</v>
      </c>
      <c r="G8967" t="s">
        <v>9745</v>
      </c>
      <c r="H8967" s="21">
        <v>1029.05</v>
      </c>
    </row>
    <row r="8968" spans="1:8" customFormat="1" x14ac:dyDescent="0.25">
      <c r="A8968" t="str">
        <f>"9110734"</f>
        <v>9110734</v>
      </c>
      <c r="B8968" t="s">
        <v>8940</v>
      </c>
      <c r="C8968" t="s">
        <v>415</v>
      </c>
      <c r="D8968" s="21" t="s">
        <v>34</v>
      </c>
      <c r="E8968" s="21" t="s">
        <v>254</v>
      </c>
      <c r="F8968">
        <v>8910359</v>
      </c>
      <c r="G8968" t="s">
        <v>1204</v>
      </c>
      <c r="H8968" s="21">
        <v>1028.8</v>
      </c>
    </row>
    <row r="8969" spans="1:8" customFormat="1" x14ac:dyDescent="0.25">
      <c r="A8969" t="str">
        <f>"6218364"</f>
        <v>6218364</v>
      </c>
      <c r="B8969" t="s">
        <v>8849</v>
      </c>
      <c r="C8969" t="s">
        <v>1914</v>
      </c>
      <c r="D8969" s="21" t="s">
        <v>34</v>
      </c>
      <c r="E8969" s="21" t="s">
        <v>254</v>
      </c>
      <c r="F8969">
        <v>7620019</v>
      </c>
      <c r="G8969" t="s">
        <v>723</v>
      </c>
      <c r="H8969" s="21">
        <v>1028.67</v>
      </c>
    </row>
    <row r="8970" spans="1:8" customFormat="1" x14ac:dyDescent="0.25">
      <c r="A8970" t="str">
        <f>"179007"</f>
        <v>179007</v>
      </c>
      <c r="B8970" t="s">
        <v>1885</v>
      </c>
      <c r="C8970" t="s">
        <v>174</v>
      </c>
      <c r="D8970" s="21" t="s">
        <v>34</v>
      </c>
      <c r="E8970" s="21" t="s">
        <v>35</v>
      </c>
      <c r="F8970">
        <v>10170028</v>
      </c>
      <c r="G8970" t="s">
        <v>649</v>
      </c>
      <c r="H8970" s="21">
        <v>1028.67</v>
      </c>
    </row>
    <row r="8971" spans="1:8" customFormat="1" x14ac:dyDescent="0.25">
      <c r="A8971" t="str">
        <f>"4433167"</f>
        <v>4433167</v>
      </c>
      <c r="B8971" t="s">
        <v>3947</v>
      </c>
      <c r="C8971" t="s">
        <v>211</v>
      </c>
      <c r="D8971" s="21" t="s">
        <v>34</v>
      </c>
      <c r="E8971" s="21" t="s">
        <v>71</v>
      </c>
      <c r="F8971">
        <v>4450410</v>
      </c>
      <c r="G8971" t="s">
        <v>26525</v>
      </c>
      <c r="H8971" s="21">
        <v>1028.67</v>
      </c>
    </row>
    <row r="8972" spans="1:8" customFormat="1" x14ac:dyDescent="0.25">
      <c r="A8972" t="str">
        <f>"59402"</f>
        <v>59402</v>
      </c>
      <c r="B8972" t="s">
        <v>9633</v>
      </c>
      <c r="C8972" t="s">
        <v>169</v>
      </c>
      <c r="D8972" s="21" t="s">
        <v>34</v>
      </c>
      <c r="E8972" s="21" t="s">
        <v>35</v>
      </c>
      <c r="F8972">
        <v>7590048</v>
      </c>
      <c r="G8972" t="s">
        <v>4608</v>
      </c>
      <c r="H8972" s="21">
        <v>1028.67</v>
      </c>
    </row>
    <row r="8973" spans="1:8" customFormat="1" x14ac:dyDescent="0.25">
      <c r="A8973" t="str">
        <f>"535528"</f>
        <v>535528</v>
      </c>
      <c r="B8973" t="s">
        <v>10445</v>
      </c>
      <c r="C8973" t="s">
        <v>1142</v>
      </c>
      <c r="D8973" s="21" t="s">
        <v>34</v>
      </c>
      <c r="E8973" s="21" t="s">
        <v>71</v>
      </c>
      <c r="F8973">
        <v>12530106</v>
      </c>
      <c r="G8973" t="s">
        <v>27079</v>
      </c>
      <c r="H8973" s="21">
        <v>1028.67</v>
      </c>
    </row>
    <row r="8974" spans="1:8" customFormat="1" x14ac:dyDescent="0.25">
      <c r="A8974" t="str">
        <f>"1415448"</f>
        <v>1415448</v>
      </c>
      <c r="B8974" t="s">
        <v>9788</v>
      </c>
      <c r="C8974" t="s">
        <v>712</v>
      </c>
      <c r="D8974" s="21" t="s">
        <v>34</v>
      </c>
      <c r="E8974" s="21" t="s">
        <v>71</v>
      </c>
      <c r="F8974">
        <v>9140052</v>
      </c>
      <c r="G8974" t="s">
        <v>26563</v>
      </c>
      <c r="H8974" s="21">
        <v>1028.67</v>
      </c>
    </row>
    <row r="8975" spans="1:8" customFormat="1" x14ac:dyDescent="0.25">
      <c r="A8975" t="str">
        <f>"3527652"</f>
        <v>3527652</v>
      </c>
      <c r="B8975" t="s">
        <v>3437</v>
      </c>
      <c r="C8975" t="s">
        <v>82</v>
      </c>
      <c r="D8975" s="21" t="s">
        <v>34</v>
      </c>
      <c r="E8975" s="21" t="s">
        <v>35</v>
      </c>
      <c r="F8975">
        <v>3350095</v>
      </c>
      <c r="G8975" t="s">
        <v>5813</v>
      </c>
      <c r="H8975" s="21">
        <v>1028.67</v>
      </c>
    </row>
    <row r="8976" spans="1:8" customFormat="1" x14ac:dyDescent="0.25">
      <c r="A8976" t="str">
        <f>"6217766"</f>
        <v>6217766</v>
      </c>
      <c r="B8976" t="s">
        <v>9087</v>
      </c>
      <c r="C8976" t="s">
        <v>926</v>
      </c>
      <c r="D8976" s="21" t="s">
        <v>34</v>
      </c>
      <c r="E8976" s="21" t="s">
        <v>71</v>
      </c>
      <c r="F8976">
        <v>7620121</v>
      </c>
      <c r="G8976" t="s">
        <v>7146</v>
      </c>
      <c r="H8976" s="21">
        <v>1028.67</v>
      </c>
    </row>
    <row r="8977" spans="1:8" customFormat="1" x14ac:dyDescent="0.25">
      <c r="A8977" t="str">
        <f>"628639"</f>
        <v>628639</v>
      </c>
      <c r="B8977" t="s">
        <v>2183</v>
      </c>
      <c r="C8977" t="s">
        <v>285</v>
      </c>
      <c r="D8977" s="21" t="s">
        <v>34</v>
      </c>
      <c r="E8977" s="21" t="s">
        <v>35</v>
      </c>
      <c r="F8977">
        <v>7620048</v>
      </c>
      <c r="G8977" t="s">
        <v>7467</v>
      </c>
      <c r="H8977" s="21">
        <v>1028.67</v>
      </c>
    </row>
    <row r="8978" spans="1:8" customFormat="1" x14ac:dyDescent="0.25">
      <c r="A8978" t="str">
        <f>"5963175"</f>
        <v>5963175</v>
      </c>
      <c r="B8978" t="s">
        <v>9700</v>
      </c>
      <c r="C8978" t="s">
        <v>486</v>
      </c>
      <c r="D8978" s="21" t="s">
        <v>34</v>
      </c>
      <c r="E8978" s="21" t="s">
        <v>35</v>
      </c>
      <c r="F8978">
        <v>7590231</v>
      </c>
      <c r="G8978" t="s">
        <v>207</v>
      </c>
      <c r="H8978" s="21">
        <v>1028.67</v>
      </c>
    </row>
    <row r="8979" spans="1:8" customFormat="1" x14ac:dyDescent="0.25">
      <c r="A8979" t="str">
        <f>"2714493"</f>
        <v>2714493</v>
      </c>
      <c r="B8979" t="s">
        <v>3725</v>
      </c>
      <c r="C8979" t="s">
        <v>817</v>
      </c>
      <c r="D8979" s="21" t="s">
        <v>34</v>
      </c>
      <c r="E8979" s="21" t="s">
        <v>35</v>
      </c>
      <c r="F8979">
        <v>9270071</v>
      </c>
      <c r="G8979" t="s">
        <v>7815</v>
      </c>
      <c r="H8979" s="21">
        <v>1028.67</v>
      </c>
    </row>
    <row r="8980" spans="1:8" customFormat="1" x14ac:dyDescent="0.25">
      <c r="A8980" t="str">
        <f>"224923"</f>
        <v>224923</v>
      </c>
      <c r="B8980" t="s">
        <v>765</v>
      </c>
      <c r="C8980" t="s">
        <v>33</v>
      </c>
      <c r="D8980" s="21" t="s">
        <v>34</v>
      </c>
      <c r="E8980" s="21" t="s">
        <v>35</v>
      </c>
      <c r="F8980">
        <v>3220064</v>
      </c>
      <c r="G8980" t="s">
        <v>26559</v>
      </c>
      <c r="H8980" s="21">
        <v>1028.42</v>
      </c>
    </row>
    <row r="8981" spans="1:8" customFormat="1" x14ac:dyDescent="0.25">
      <c r="A8981" t="str">
        <f>"19414"</f>
        <v>19414</v>
      </c>
      <c r="B8981" t="s">
        <v>8748</v>
      </c>
      <c r="C8981" t="s">
        <v>8749</v>
      </c>
      <c r="D8981" s="21" t="s">
        <v>34</v>
      </c>
      <c r="E8981" s="21" t="s">
        <v>254</v>
      </c>
      <c r="F8981">
        <v>10190080</v>
      </c>
      <c r="G8981" t="s">
        <v>1726</v>
      </c>
      <c r="H8981" s="21">
        <v>1028.3</v>
      </c>
    </row>
    <row r="8982" spans="1:8" customFormat="1" x14ac:dyDescent="0.25">
      <c r="A8982" t="str">
        <f>"392742"</f>
        <v>392742</v>
      </c>
      <c r="B8982" t="s">
        <v>8643</v>
      </c>
      <c r="C8982" t="s">
        <v>598</v>
      </c>
      <c r="D8982" s="21" t="s">
        <v>34</v>
      </c>
      <c r="E8982" s="21" t="s">
        <v>254</v>
      </c>
      <c r="F8982">
        <v>2250031</v>
      </c>
      <c r="G8982" t="s">
        <v>3011</v>
      </c>
      <c r="H8982" s="21">
        <v>1028.17</v>
      </c>
    </row>
    <row r="8983" spans="1:8" customFormat="1" x14ac:dyDescent="0.25">
      <c r="A8983" t="str">
        <f>"6211337"</f>
        <v>6211337</v>
      </c>
      <c r="B8983" t="s">
        <v>9505</v>
      </c>
      <c r="C8983" t="s">
        <v>121</v>
      </c>
      <c r="D8983" s="21" t="s">
        <v>34</v>
      </c>
      <c r="E8983" s="21" t="s">
        <v>35</v>
      </c>
      <c r="F8983">
        <v>7620005</v>
      </c>
      <c r="G8983" t="s">
        <v>200</v>
      </c>
      <c r="H8983" s="21">
        <v>1028.17</v>
      </c>
    </row>
    <row r="8984" spans="1:8" customFormat="1" x14ac:dyDescent="0.25">
      <c r="A8984" t="str">
        <f>"534746"</f>
        <v>534746</v>
      </c>
      <c r="B8984" t="s">
        <v>8077</v>
      </c>
      <c r="C8984" t="s">
        <v>664</v>
      </c>
      <c r="D8984" s="21" t="s">
        <v>34</v>
      </c>
      <c r="E8984" s="21" t="s">
        <v>71</v>
      </c>
      <c r="F8984">
        <v>12530120</v>
      </c>
      <c r="G8984" t="s">
        <v>26791</v>
      </c>
      <c r="H8984" s="21">
        <v>1028.17</v>
      </c>
    </row>
    <row r="8985" spans="1:8" customFormat="1" x14ac:dyDescent="0.25">
      <c r="A8985" t="str">
        <f>"8521388"</f>
        <v>8521388</v>
      </c>
      <c r="B8985" t="s">
        <v>9511</v>
      </c>
      <c r="C8985" t="s">
        <v>1605</v>
      </c>
      <c r="D8985" s="21" t="s">
        <v>34</v>
      </c>
      <c r="E8985" s="21" t="s">
        <v>35</v>
      </c>
      <c r="F8985">
        <v>12851018</v>
      </c>
      <c r="G8985" t="s">
        <v>8085</v>
      </c>
      <c r="H8985" s="21">
        <v>1028.17</v>
      </c>
    </row>
    <row r="8986" spans="1:8" customFormat="1" x14ac:dyDescent="0.25">
      <c r="A8986" t="str">
        <f>"5937787"</f>
        <v>5937787</v>
      </c>
      <c r="B8986" t="s">
        <v>5011</v>
      </c>
      <c r="C8986" t="s">
        <v>719</v>
      </c>
      <c r="D8986" s="21" t="s">
        <v>34</v>
      </c>
      <c r="E8986" s="21" t="s">
        <v>35</v>
      </c>
      <c r="F8986">
        <v>7590027</v>
      </c>
      <c r="G8986" t="s">
        <v>629</v>
      </c>
      <c r="H8986" s="21">
        <v>1028.17</v>
      </c>
    </row>
    <row r="8987" spans="1:8" customFormat="1" x14ac:dyDescent="0.25">
      <c r="A8987" t="str">
        <f>"4912636"</f>
        <v>4912636</v>
      </c>
      <c r="B8987" t="s">
        <v>27080</v>
      </c>
      <c r="C8987" t="s">
        <v>498</v>
      </c>
      <c r="D8987" s="21" t="s">
        <v>34</v>
      </c>
      <c r="E8987" s="21" t="s">
        <v>35</v>
      </c>
      <c r="F8987">
        <v>12490076</v>
      </c>
      <c r="G8987" t="s">
        <v>2086</v>
      </c>
      <c r="H8987" s="21">
        <v>1028.17</v>
      </c>
    </row>
    <row r="8988" spans="1:8" customFormat="1" x14ac:dyDescent="0.25">
      <c r="A8988" t="str">
        <f>"2937386"</f>
        <v>2937386</v>
      </c>
      <c r="B8988" t="s">
        <v>7082</v>
      </c>
      <c r="C8988" t="s">
        <v>1559</v>
      </c>
      <c r="D8988" s="21" t="s">
        <v>34</v>
      </c>
      <c r="E8988" s="21" t="s">
        <v>35</v>
      </c>
      <c r="F8988">
        <v>3290010</v>
      </c>
      <c r="G8988" t="s">
        <v>1453</v>
      </c>
      <c r="H8988" s="21">
        <v>1028.17</v>
      </c>
    </row>
    <row r="8989" spans="1:8" customFormat="1" x14ac:dyDescent="0.25">
      <c r="A8989" t="str">
        <f>"412920"</f>
        <v>412920</v>
      </c>
      <c r="B8989" t="s">
        <v>7489</v>
      </c>
      <c r="C8989" t="s">
        <v>124</v>
      </c>
      <c r="D8989" s="21" t="s">
        <v>34</v>
      </c>
      <c r="E8989" s="21" t="s">
        <v>71</v>
      </c>
      <c r="F8989">
        <v>4410615</v>
      </c>
      <c r="G8989" t="s">
        <v>4897</v>
      </c>
      <c r="H8989" s="21">
        <v>1028.17</v>
      </c>
    </row>
    <row r="8990" spans="1:8" customFormat="1" x14ac:dyDescent="0.25">
      <c r="A8990" t="str">
        <f>"5322185"</f>
        <v>5322185</v>
      </c>
      <c r="B8990" t="s">
        <v>27081</v>
      </c>
      <c r="C8990" t="s">
        <v>249</v>
      </c>
      <c r="D8990" s="21" t="s">
        <v>34</v>
      </c>
      <c r="E8990" s="21" t="s">
        <v>71</v>
      </c>
      <c r="F8990">
        <v>12530064</v>
      </c>
      <c r="G8990" t="s">
        <v>3699</v>
      </c>
      <c r="H8990" s="21">
        <v>1028.17</v>
      </c>
    </row>
    <row r="8991" spans="1:8" customFormat="1" x14ac:dyDescent="0.25">
      <c r="A8991" t="str">
        <f>"254488"</f>
        <v>254488</v>
      </c>
      <c r="B8991" t="s">
        <v>8932</v>
      </c>
      <c r="C8991" t="s">
        <v>1539</v>
      </c>
      <c r="D8991" s="21" t="s">
        <v>34</v>
      </c>
      <c r="E8991" s="21" t="s">
        <v>254</v>
      </c>
      <c r="F8991">
        <v>2900028</v>
      </c>
      <c r="G8991" t="s">
        <v>1541</v>
      </c>
      <c r="H8991" s="21">
        <v>1028.17</v>
      </c>
    </row>
    <row r="8992" spans="1:8" customFormat="1" x14ac:dyDescent="0.25">
      <c r="A8992" t="str">
        <f>"335031"</f>
        <v>335031</v>
      </c>
      <c r="B8992" t="s">
        <v>7917</v>
      </c>
      <c r="C8992" t="s">
        <v>3522</v>
      </c>
      <c r="D8992" s="21" t="s">
        <v>34</v>
      </c>
      <c r="E8992" s="21" t="s">
        <v>71</v>
      </c>
      <c r="F8992">
        <v>10330076</v>
      </c>
      <c r="G8992" t="s">
        <v>3769</v>
      </c>
      <c r="H8992" s="21">
        <v>1028.17</v>
      </c>
    </row>
    <row r="8993" spans="1:8" customFormat="1" x14ac:dyDescent="0.25">
      <c r="A8993" t="str">
        <f>"578782"</f>
        <v>578782</v>
      </c>
      <c r="B8993" t="s">
        <v>9699</v>
      </c>
      <c r="C8993" t="s">
        <v>269</v>
      </c>
      <c r="D8993" s="21" t="s">
        <v>34</v>
      </c>
      <c r="E8993" s="21" t="s">
        <v>254</v>
      </c>
      <c r="F8993">
        <v>6570019</v>
      </c>
      <c r="G8993" t="s">
        <v>1510</v>
      </c>
      <c r="H8993" s="21">
        <v>1028.17</v>
      </c>
    </row>
    <row r="8994" spans="1:8" customFormat="1" x14ac:dyDescent="0.25">
      <c r="A8994" t="str">
        <f>"46383"</f>
        <v>46383</v>
      </c>
      <c r="B8994" t="s">
        <v>9228</v>
      </c>
      <c r="C8994" t="s">
        <v>4721</v>
      </c>
      <c r="D8994" s="21" t="s">
        <v>34</v>
      </c>
      <c r="E8994" s="21" t="s">
        <v>254</v>
      </c>
      <c r="F8994">
        <v>11460017</v>
      </c>
      <c r="G8994" t="s">
        <v>7665</v>
      </c>
      <c r="H8994" s="21">
        <v>1028.17</v>
      </c>
    </row>
    <row r="8995" spans="1:8" customFormat="1" x14ac:dyDescent="0.25">
      <c r="A8995" t="str">
        <f>"274219"</f>
        <v>274219</v>
      </c>
      <c r="B8995" t="s">
        <v>6635</v>
      </c>
      <c r="C8995" t="s">
        <v>60</v>
      </c>
      <c r="D8995" s="21" t="s">
        <v>34</v>
      </c>
      <c r="E8995" s="21" t="s">
        <v>35</v>
      </c>
      <c r="F8995">
        <v>8781469</v>
      </c>
      <c r="G8995" t="s">
        <v>4779</v>
      </c>
      <c r="H8995" s="21">
        <v>1028.17</v>
      </c>
    </row>
    <row r="8996" spans="1:8" customFormat="1" x14ac:dyDescent="0.25">
      <c r="A8996" t="str">
        <f>"418586"</f>
        <v>418586</v>
      </c>
      <c r="B8996" t="s">
        <v>9693</v>
      </c>
      <c r="C8996" t="s">
        <v>206</v>
      </c>
      <c r="D8996" s="21" t="s">
        <v>34</v>
      </c>
      <c r="E8996" s="21" t="s">
        <v>35</v>
      </c>
      <c r="F8996">
        <v>4410612</v>
      </c>
      <c r="G8996" t="s">
        <v>815</v>
      </c>
      <c r="H8996" s="21">
        <v>1028.05</v>
      </c>
    </row>
    <row r="8997" spans="1:8" customFormat="1" x14ac:dyDescent="0.25">
      <c r="A8997" t="str">
        <f>"6233884"</f>
        <v>6233884</v>
      </c>
      <c r="B8997" t="s">
        <v>27082</v>
      </c>
      <c r="C8997" t="s">
        <v>209</v>
      </c>
      <c r="D8997" s="21" t="s">
        <v>34</v>
      </c>
      <c r="E8997" s="21" t="s">
        <v>71</v>
      </c>
      <c r="F8997">
        <v>7620111</v>
      </c>
      <c r="G8997" t="s">
        <v>1372</v>
      </c>
      <c r="H8997" s="21">
        <v>1028.04</v>
      </c>
    </row>
    <row r="8998" spans="1:8" customFormat="1" x14ac:dyDescent="0.25">
      <c r="A8998" t="str">
        <f>"44420"</f>
        <v>44420</v>
      </c>
      <c r="B8998" t="s">
        <v>9025</v>
      </c>
      <c r="C8998" t="s">
        <v>262</v>
      </c>
      <c r="D8998" s="21" t="s">
        <v>34</v>
      </c>
      <c r="E8998" s="21" t="s">
        <v>71</v>
      </c>
      <c r="F8998">
        <v>12440014</v>
      </c>
      <c r="G8998" t="s">
        <v>6767</v>
      </c>
      <c r="H8998" s="21">
        <v>1027.92</v>
      </c>
    </row>
    <row r="8999" spans="1:8" customFormat="1" x14ac:dyDescent="0.25">
      <c r="A8999" t="str">
        <f>"5324177"</f>
        <v>5324177</v>
      </c>
      <c r="B8999" t="s">
        <v>4558</v>
      </c>
      <c r="C8999" t="s">
        <v>82</v>
      </c>
      <c r="D8999" s="21" t="s">
        <v>34</v>
      </c>
      <c r="E8999" s="21" t="s">
        <v>35</v>
      </c>
      <c r="F8999">
        <v>12530127</v>
      </c>
      <c r="G8999" t="s">
        <v>7067</v>
      </c>
      <c r="H8999" s="21">
        <v>1027.92</v>
      </c>
    </row>
    <row r="9000" spans="1:8" customFormat="1" x14ac:dyDescent="0.25">
      <c r="A9000" t="str">
        <f>"553076"</f>
        <v>553076</v>
      </c>
      <c r="B9000" t="s">
        <v>9367</v>
      </c>
      <c r="C9000" t="s">
        <v>498</v>
      </c>
      <c r="D9000" s="21" t="s">
        <v>34</v>
      </c>
      <c r="E9000" s="21" t="s">
        <v>35</v>
      </c>
      <c r="F9000">
        <v>12440266</v>
      </c>
      <c r="G9000" t="s">
        <v>924</v>
      </c>
      <c r="H9000" s="21">
        <v>1027.92</v>
      </c>
    </row>
    <row r="9001" spans="1:8" customFormat="1" x14ac:dyDescent="0.25">
      <c r="A9001" t="str">
        <f>"4922371"</f>
        <v>4922371</v>
      </c>
      <c r="B9001" t="s">
        <v>2868</v>
      </c>
      <c r="C9001" t="s">
        <v>601</v>
      </c>
      <c r="D9001" s="21" t="s">
        <v>34</v>
      </c>
      <c r="E9001" s="21" t="s">
        <v>35</v>
      </c>
      <c r="F9001">
        <v>12490066</v>
      </c>
      <c r="G9001" t="s">
        <v>1051</v>
      </c>
      <c r="H9001" s="21">
        <v>1027.67</v>
      </c>
    </row>
    <row r="9002" spans="1:8" customFormat="1" x14ac:dyDescent="0.25">
      <c r="A9002" t="str">
        <f>"035014"</f>
        <v>035014</v>
      </c>
      <c r="B9002" t="s">
        <v>8995</v>
      </c>
      <c r="C9002" t="s">
        <v>1468</v>
      </c>
      <c r="D9002" s="21" t="s">
        <v>34</v>
      </c>
      <c r="E9002" s="21" t="s">
        <v>71</v>
      </c>
      <c r="F9002">
        <v>1030108</v>
      </c>
      <c r="G9002" t="s">
        <v>26724</v>
      </c>
      <c r="H9002" s="21">
        <v>1027.67</v>
      </c>
    </row>
    <row r="9003" spans="1:8" customFormat="1" x14ac:dyDescent="0.25">
      <c r="A9003" t="str">
        <f>"3710806"</f>
        <v>3710806</v>
      </c>
      <c r="B9003" t="s">
        <v>641</v>
      </c>
      <c r="C9003" t="s">
        <v>1412</v>
      </c>
      <c r="D9003" s="21" t="s">
        <v>34</v>
      </c>
      <c r="E9003" s="21" t="s">
        <v>35</v>
      </c>
      <c r="F9003">
        <v>4370439</v>
      </c>
      <c r="G9003" t="s">
        <v>2956</v>
      </c>
      <c r="H9003" s="21">
        <v>1027.67</v>
      </c>
    </row>
    <row r="9004" spans="1:8" customFormat="1" x14ac:dyDescent="0.25">
      <c r="A9004" t="str">
        <f>"0213"</f>
        <v>0213</v>
      </c>
      <c r="B9004" t="s">
        <v>9195</v>
      </c>
      <c r="C9004" t="s">
        <v>415</v>
      </c>
      <c r="D9004" s="21" t="s">
        <v>34</v>
      </c>
      <c r="E9004" s="21" t="s">
        <v>254</v>
      </c>
      <c r="F9004">
        <v>7020001</v>
      </c>
      <c r="G9004" t="s">
        <v>3854</v>
      </c>
      <c r="H9004" s="21">
        <v>1027.67</v>
      </c>
    </row>
    <row r="9005" spans="1:8" customFormat="1" x14ac:dyDescent="0.25">
      <c r="A9005" t="str">
        <f>"015027"</f>
        <v>015027</v>
      </c>
      <c r="B9005" t="s">
        <v>9166</v>
      </c>
      <c r="C9005" t="s">
        <v>209</v>
      </c>
      <c r="D9005" s="21" t="s">
        <v>34</v>
      </c>
      <c r="E9005" s="21" t="s">
        <v>71</v>
      </c>
      <c r="F9005">
        <v>1010063</v>
      </c>
      <c r="G9005" t="s">
        <v>5215</v>
      </c>
      <c r="H9005" s="21">
        <v>1027.67</v>
      </c>
    </row>
    <row r="9006" spans="1:8" customFormat="1" x14ac:dyDescent="0.25">
      <c r="A9006" t="str">
        <f>"494177"</f>
        <v>494177</v>
      </c>
      <c r="B9006" t="s">
        <v>9275</v>
      </c>
      <c r="C9006" t="s">
        <v>239</v>
      </c>
      <c r="D9006" s="21" t="s">
        <v>34</v>
      </c>
      <c r="E9006" s="21" t="s">
        <v>254</v>
      </c>
      <c r="F9006">
        <v>12490069</v>
      </c>
      <c r="G9006" t="s">
        <v>5566</v>
      </c>
      <c r="H9006" s="21">
        <v>1027.67</v>
      </c>
    </row>
    <row r="9007" spans="1:8" customFormat="1" x14ac:dyDescent="0.25">
      <c r="A9007" t="str">
        <f>"823740"</f>
        <v>823740</v>
      </c>
      <c r="B9007" t="s">
        <v>2964</v>
      </c>
      <c r="C9007" t="s">
        <v>9371</v>
      </c>
      <c r="D9007" s="21" t="s">
        <v>34</v>
      </c>
      <c r="E9007" s="21" t="s">
        <v>35</v>
      </c>
      <c r="F9007">
        <v>11820026</v>
      </c>
      <c r="G9007" t="s">
        <v>9372</v>
      </c>
      <c r="H9007" s="21">
        <v>1027.67</v>
      </c>
    </row>
    <row r="9008" spans="1:8" customFormat="1" x14ac:dyDescent="0.25">
      <c r="A9008" t="str">
        <f>"724298"</f>
        <v>724298</v>
      </c>
      <c r="B9008" t="s">
        <v>8911</v>
      </c>
      <c r="C9008" t="s">
        <v>204</v>
      </c>
      <c r="D9008" s="21" t="s">
        <v>34</v>
      </c>
      <c r="E9008" s="21" t="s">
        <v>35</v>
      </c>
      <c r="F9008">
        <v>12720128</v>
      </c>
      <c r="G9008" t="s">
        <v>8912</v>
      </c>
      <c r="H9008" s="21">
        <v>1027.67</v>
      </c>
    </row>
    <row r="9009" spans="1:8" customFormat="1" x14ac:dyDescent="0.25">
      <c r="A9009" t="str">
        <f>"2715795"</f>
        <v>2715795</v>
      </c>
      <c r="B9009" t="s">
        <v>10475</v>
      </c>
      <c r="C9009" t="s">
        <v>455</v>
      </c>
      <c r="D9009" s="21" t="s">
        <v>34</v>
      </c>
      <c r="E9009" s="21" t="s">
        <v>35</v>
      </c>
      <c r="F9009">
        <v>9270138</v>
      </c>
      <c r="G9009" t="s">
        <v>6112</v>
      </c>
      <c r="H9009" s="21">
        <v>1027.67</v>
      </c>
    </row>
    <row r="9010" spans="1:8" customFormat="1" x14ac:dyDescent="0.25">
      <c r="A9010" t="str">
        <f>"0610184"</f>
        <v>0610184</v>
      </c>
      <c r="B9010" t="s">
        <v>9565</v>
      </c>
      <c r="C9010" t="s">
        <v>3475</v>
      </c>
      <c r="D9010" s="21" t="s">
        <v>34</v>
      </c>
      <c r="E9010" s="21" t="s">
        <v>71</v>
      </c>
      <c r="F9010">
        <v>13060007</v>
      </c>
      <c r="G9010" t="s">
        <v>59</v>
      </c>
      <c r="H9010" s="21">
        <v>1027.67</v>
      </c>
    </row>
    <row r="9011" spans="1:8" customFormat="1" x14ac:dyDescent="0.25">
      <c r="A9011" t="str">
        <f>"9228599"</f>
        <v>9228599</v>
      </c>
      <c r="B9011" t="s">
        <v>8811</v>
      </c>
      <c r="C9011" t="s">
        <v>156</v>
      </c>
      <c r="D9011" s="21" t="s">
        <v>34</v>
      </c>
      <c r="E9011" s="21" t="s">
        <v>254</v>
      </c>
      <c r="F9011">
        <v>8921256</v>
      </c>
      <c r="G9011" t="s">
        <v>1038</v>
      </c>
      <c r="H9011" s="21">
        <v>1027.67</v>
      </c>
    </row>
    <row r="9012" spans="1:8" customFormat="1" x14ac:dyDescent="0.25">
      <c r="A9012" t="str">
        <f>"628815"</f>
        <v>628815</v>
      </c>
      <c r="B9012" t="s">
        <v>11213</v>
      </c>
      <c r="C9012" t="s">
        <v>608</v>
      </c>
      <c r="D9012" s="21" t="s">
        <v>34</v>
      </c>
      <c r="E9012" s="21" t="s">
        <v>35</v>
      </c>
      <c r="F9012">
        <v>7620112</v>
      </c>
      <c r="G9012" t="s">
        <v>5663</v>
      </c>
      <c r="H9012" s="21">
        <v>1027.67</v>
      </c>
    </row>
    <row r="9013" spans="1:8" customFormat="1" x14ac:dyDescent="0.25">
      <c r="A9013" t="str">
        <f>"229850"</f>
        <v>229850</v>
      </c>
      <c r="B9013" t="s">
        <v>1081</v>
      </c>
      <c r="C9013" t="s">
        <v>209</v>
      </c>
      <c r="D9013" s="21" t="s">
        <v>34</v>
      </c>
      <c r="E9013" s="21" t="s">
        <v>71</v>
      </c>
      <c r="F9013">
        <v>3220007</v>
      </c>
      <c r="G9013" t="s">
        <v>26946</v>
      </c>
      <c r="H9013" s="21">
        <v>1027.67</v>
      </c>
    </row>
    <row r="9014" spans="1:8" customFormat="1" x14ac:dyDescent="0.25">
      <c r="A9014" t="str">
        <f>"5426561"</f>
        <v>5426561</v>
      </c>
      <c r="B9014" t="s">
        <v>3500</v>
      </c>
      <c r="C9014" t="s">
        <v>202</v>
      </c>
      <c r="D9014" s="21" t="s">
        <v>34</v>
      </c>
      <c r="E9014" s="21" t="s">
        <v>71</v>
      </c>
      <c r="F9014">
        <v>6540128</v>
      </c>
      <c r="G9014" t="s">
        <v>1249</v>
      </c>
      <c r="H9014" s="21">
        <v>1027.67</v>
      </c>
    </row>
    <row r="9015" spans="1:8" customFormat="1" x14ac:dyDescent="0.25">
      <c r="A9015" t="str">
        <f>"9227756"</f>
        <v>9227756</v>
      </c>
      <c r="B9015" t="s">
        <v>10558</v>
      </c>
      <c r="C9015" t="s">
        <v>656</v>
      </c>
      <c r="D9015" s="21" t="s">
        <v>34</v>
      </c>
      <c r="E9015" s="21" t="s">
        <v>35</v>
      </c>
      <c r="F9015">
        <v>8780892</v>
      </c>
      <c r="G9015" t="s">
        <v>3021</v>
      </c>
      <c r="H9015" s="21">
        <v>1027.43</v>
      </c>
    </row>
    <row r="9016" spans="1:8" customFormat="1" x14ac:dyDescent="0.25">
      <c r="A9016" t="str">
        <f>"5321699"</f>
        <v>5321699</v>
      </c>
      <c r="B9016" t="s">
        <v>1180</v>
      </c>
      <c r="C9016" t="s">
        <v>198</v>
      </c>
      <c r="D9016" s="21" t="s">
        <v>34</v>
      </c>
      <c r="E9016" s="21" t="s">
        <v>71</v>
      </c>
      <c r="F9016">
        <v>12530090</v>
      </c>
      <c r="G9016" t="s">
        <v>6132</v>
      </c>
      <c r="H9016" s="21">
        <v>1027.42</v>
      </c>
    </row>
    <row r="9017" spans="1:8" customFormat="1" x14ac:dyDescent="0.25">
      <c r="A9017" t="str">
        <f>"2516840"</f>
        <v>2516840</v>
      </c>
      <c r="B9017" t="s">
        <v>16517</v>
      </c>
      <c r="C9017" t="s">
        <v>285</v>
      </c>
      <c r="D9017" s="21" t="s">
        <v>34</v>
      </c>
      <c r="E9017" s="21" t="s">
        <v>35</v>
      </c>
      <c r="F9017">
        <v>2250181</v>
      </c>
      <c r="G9017" t="s">
        <v>494</v>
      </c>
      <c r="H9017" s="21">
        <v>1027.17</v>
      </c>
    </row>
    <row r="9018" spans="1:8" customFormat="1" x14ac:dyDescent="0.25">
      <c r="A9018" t="str">
        <f>"1419275"</f>
        <v>1419275</v>
      </c>
      <c r="B9018" t="s">
        <v>14750</v>
      </c>
      <c r="C9018" t="s">
        <v>621</v>
      </c>
      <c r="D9018" s="21" t="s">
        <v>34</v>
      </c>
      <c r="E9018" s="21" t="s">
        <v>35</v>
      </c>
      <c r="F9018">
        <v>9140123</v>
      </c>
      <c r="G9018" t="s">
        <v>661</v>
      </c>
      <c r="H9018" s="21">
        <v>1027.17</v>
      </c>
    </row>
    <row r="9019" spans="1:8" customFormat="1" x14ac:dyDescent="0.25">
      <c r="A9019" t="str">
        <f>"3328150"</f>
        <v>3328150</v>
      </c>
      <c r="B9019" t="s">
        <v>1886</v>
      </c>
      <c r="C9019" t="s">
        <v>412</v>
      </c>
      <c r="D9019" s="21" t="s">
        <v>34</v>
      </c>
      <c r="E9019" s="21" t="s">
        <v>254</v>
      </c>
      <c r="F9019">
        <v>9760108</v>
      </c>
      <c r="G9019" t="s">
        <v>1636</v>
      </c>
      <c r="H9019" s="21">
        <v>1027.17</v>
      </c>
    </row>
    <row r="9020" spans="1:8" customFormat="1" x14ac:dyDescent="0.25">
      <c r="A9020" t="str">
        <f>"026906"</f>
        <v>026906</v>
      </c>
      <c r="B9020" t="s">
        <v>5177</v>
      </c>
      <c r="C9020" t="s">
        <v>1196</v>
      </c>
      <c r="D9020" s="21" t="s">
        <v>34</v>
      </c>
      <c r="E9020" s="21" t="s">
        <v>35</v>
      </c>
      <c r="F9020">
        <v>7020009</v>
      </c>
      <c r="G9020" t="s">
        <v>3362</v>
      </c>
      <c r="H9020" s="21">
        <v>1027.17</v>
      </c>
    </row>
    <row r="9021" spans="1:8" customFormat="1" x14ac:dyDescent="0.25">
      <c r="A9021" t="str">
        <f>"5416375"</f>
        <v>5416375</v>
      </c>
      <c r="B9021" t="s">
        <v>9037</v>
      </c>
      <c r="C9021" t="s">
        <v>926</v>
      </c>
      <c r="D9021" s="21" t="s">
        <v>34</v>
      </c>
      <c r="E9021" s="21" t="s">
        <v>71</v>
      </c>
      <c r="F9021">
        <v>6540014</v>
      </c>
      <c r="G9021" t="s">
        <v>1483</v>
      </c>
      <c r="H9021" s="21">
        <v>1027.17</v>
      </c>
    </row>
    <row r="9022" spans="1:8" customFormat="1" x14ac:dyDescent="0.25">
      <c r="A9022" t="str">
        <f>"352745"</f>
        <v>352745</v>
      </c>
      <c r="B9022" t="s">
        <v>19232</v>
      </c>
      <c r="C9022" t="s">
        <v>1597</v>
      </c>
      <c r="D9022" s="21" t="s">
        <v>34</v>
      </c>
      <c r="E9022" s="21" t="s">
        <v>254</v>
      </c>
      <c r="F9022">
        <v>3350183</v>
      </c>
      <c r="G9022" t="s">
        <v>2572</v>
      </c>
      <c r="H9022" s="21">
        <v>1027.17</v>
      </c>
    </row>
    <row r="9023" spans="1:8" customFormat="1" x14ac:dyDescent="0.25">
      <c r="A9023" t="str">
        <f>"5936637"</f>
        <v>5936637</v>
      </c>
      <c r="B9023" t="s">
        <v>9703</v>
      </c>
      <c r="C9023" t="s">
        <v>55</v>
      </c>
      <c r="D9023" s="21" t="s">
        <v>34</v>
      </c>
      <c r="E9023" s="21" t="s">
        <v>71</v>
      </c>
      <c r="F9023">
        <v>7590237</v>
      </c>
      <c r="G9023" t="s">
        <v>3600</v>
      </c>
      <c r="H9023" s="21">
        <v>1027.17</v>
      </c>
    </row>
    <row r="9024" spans="1:8" customFormat="1" x14ac:dyDescent="0.25">
      <c r="A9024" t="str">
        <f>"29723"</f>
        <v>29723</v>
      </c>
      <c r="B9024" t="s">
        <v>8737</v>
      </c>
      <c r="C9024" t="s">
        <v>2806</v>
      </c>
      <c r="D9024" s="21" t="s">
        <v>34</v>
      </c>
      <c r="E9024" s="21" t="s">
        <v>71</v>
      </c>
      <c r="F9024">
        <v>3290228</v>
      </c>
      <c r="G9024" t="s">
        <v>8738</v>
      </c>
      <c r="H9024" s="21">
        <v>1027.17</v>
      </c>
    </row>
    <row r="9025" spans="1:8" customFormat="1" x14ac:dyDescent="0.25">
      <c r="A9025" t="str">
        <f>"6913200"</f>
        <v>6913200</v>
      </c>
      <c r="B9025" t="s">
        <v>9477</v>
      </c>
      <c r="C9025" t="s">
        <v>209</v>
      </c>
      <c r="D9025" s="21" t="s">
        <v>34</v>
      </c>
      <c r="E9025" s="21" t="s">
        <v>254</v>
      </c>
      <c r="F9025">
        <v>1690006</v>
      </c>
      <c r="G9025" t="s">
        <v>2543</v>
      </c>
      <c r="H9025" s="21">
        <v>1027.17</v>
      </c>
    </row>
    <row r="9026" spans="1:8" customFormat="1" x14ac:dyDescent="0.25">
      <c r="A9026" t="str">
        <f>"345509"</f>
        <v>345509</v>
      </c>
      <c r="B9026" t="s">
        <v>11756</v>
      </c>
      <c r="C9026" t="s">
        <v>96</v>
      </c>
      <c r="D9026" s="21" t="s">
        <v>34</v>
      </c>
      <c r="E9026" s="21" t="s">
        <v>35</v>
      </c>
      <c r="F9026">
        <v>11310129</v>
      </c>
      <c r="G9026" t="s">
        <v>4672</v>
      </c>
      <c r="H9026" s="21">
        <v>1027.17</v>
      </c>
    </row>
    <row r="9027" spans="1:8" customFormat="1" x14ac:dyDescent="0.25">
      <c r="A9027" t="str">
        <f>"261841"</f>
        <v>261841</v>
      </c>
      <c r="B9027" t="s">
        <v>10968</v>
      </c>
      <c r="C9027" t="s">
        <v>62</v>
      </c>
      <c r="D9027" s="21" t="s">
        <v>34</v>
      </c>
      <c r="E9027" s="21" t="s">
        <v>35</v>
      </c>
      <c r="F9027">
        <v>1260026</v>
      </c>
      <c r="G9027" t="s">
        <v>516</v>
      </c>
      <c r="H9027" s="21">
        <v>1027.17</v>
      </c>
    </row>
    <row r="9028" spans="1:8" customFormat="1" x14ac:dyDescent="0.25">
      <c r="A9028" t="str">
        <f>"622328"</f>
        <v>622328</v>
      </c>
      <c r="B9028" t="s">
        <v>9396</v>
      </c>
      <c r="C9028" t="s">
        <v>90</v>
      </c>
      <c r="D9028" s="21" t="s">
        <v>34</v>
      </c>
      <c r="E9028" s="21" t="s">
        <v>35</v>
      </c>
      <c r="F9028">
        <v>7620018</v>
      </c>
      <c r="G9028" t="s">
        <v>6568</v>
      </c>
      <c r="H9028" s="21">
        <v>1027.17</v>
      </c>
    </row>
    <row r="9029" spans="1:8" customFormat="1" x14ac:dyDescent="0.25">
      <c r="A9029" t="str">
        <f>"9754600"</f>
        <v>9754600</v>
      </c>
      <c r="B9029" t="s">
        <v>7531</v>
      </c>
      <c r="C9029" t="s">
        <v>236</v>
      </c>
      <c r="D9029" s="21" t="s">
        <v>34</v>
      </c>
      <c r="E9029" s="21" t="s">
        <v>254</v>
      </c>
      <c r="F9029" t="s">
        <v>1906</v>
      </c>
      <c r="G9029" t="s">
        <v>26625</v>
      </c>
      <c r="H9029" s="21">
        <v>1027.06</v>
      </c>
    </row>
    <row r="9030" spans="1:8" customFormat="1" x14ac:dyDescent="0.25">
      <c r="A9030" t="str">
        <f>"814306"</f>
        <v>814306</v>
      </c>
      <c r="B9030" t="s">
        <v>11705</v>
      </c>
      <c r="C9030" t="s">
        <v>2072</v>
      </c>
      <c r="D9030" s="21" t="s">
        <v>34</v>
      </c>
      <c r="E9030" s="21" t="s">
        <v>71</v>
      </c>
      <c r="F9030">
        <v>11810028</v>
      </c>
      <c r="G9030" t="s">
        <v>5817</v>
      </c>
      <c r="H9030" s="21">
        <v>1027.04</v>
      </c>
    </row>
    <row r="9031" spans="1:8" customFormat="1" x14ac:dyDescent="0.25">
      <c r="A9031" t="str">
        <f>"79105"</f>
        <v>79105</v>
      </c>
      <c r="B9031" t="s">
        <v>9814</v>
      </c>
      <c r="C9031" t="s">
        <v>2520</v>
      </c>
      <c r="D9031" s="21" t="s">
        <v>34</v>
      </c>
      <c r="E9031" s="21" t="s">
        <v>254</v>
      </c>
      <c r="F9031">
        <v>10790005</v>
      </c>
      <c r="G9031" t="s">
        <v>1948</v>
      </c>
      <c r="H9031" s="21">
        <v>1027</v>
      </c>
    </row>
    <row r="9032" spans="1:8" customFormat="1" x14ac:dyDescent="0.25">
      <c r="A9032" t="str">
        <f>"7834006"</f>
        <v>7834006</v>
      </c>
      <c r="B9032" t="s">
        <v>923</v>
      </c>
      <c r="C9032" t="s">
        <v>187</v>
      </c>
      <c r="D9032" s="21" t="s">
        <v>34</v>
      </c>
      <c r="E9032" s="21" t="s">
        <v>35</v>
      </c>
      <c r="F9032">
        <v>8780529</v>
      </c>
      <c r="G9032" t="s">
        <v>8624</v>
      </c>
      <c r="H9032" s="21">
        <v>1026.92</v>
      </c>
    </row>
    <row r="9033" spans="1:8" customFormat="1" x14ac:dyDescent="0.25">
      <c r="A9033" t="str">
        <f>"888994"</f>
        <v>888994</v>
      </c>
      <c r="B9033" t="s">
        <v>9225</v>
      </c>
      <c r="C9033" t="s">
        <v>60</v>
      </c>
      <c r="D9033" s="21" t="s">
        <v>34</v>
      </c>
      <c r="E9033" s="21" t="s">
        <v>35</v>
      </c>
      <c r="F9033">
        <v>6880049</v>
      </c>
      <c r="G9033" t="s">
        <v>4514</v>
      </c>
      <c r="H9033" s="21">
        <v>1026.79</v>
      </c>
    </row>
    <row r="9034" spans="1:8" customFormat="1" x14ac:dyDescent="0.25">
      <c r="A9034" t="str">
        <f>"6217129"</f>
        <v>6217129</v>
      </c>
      <c r="B9034" t="s">
        <v>9873</v>
      </c>
      <c r="C9034" t="s">
        <v>55</v>
      </c>
      <c r="D9034" s="21" t="s">
        <v>34</v>
      </c>
      <c r="E9034" s="21" t="s">
        <v>71</v>
      </c>
      <c r="F9034">
        <v>7620092</v>
      </c>
      <c r="G9034" t="s">
        <v>9874</v>
      </c>
      <c r="H9034" s="21">
        <v>1026.67</v>
      </c>
    </row>
    <row r="9035" spans="1:8" customFormat="1" x14ac:dyDescent="0.25">
      <c r="A9035" t="str">
        <f>"3517672"</f>
        <v>3517672</v>
      </c>
      <c r="B9035" t="s">
        <v>3387</v>
      </c>
      <c r="C9035" t="s">
        <v>27083</v>
      </c>
      <c r="D9035" s="21" t="s">
        <v>34</v>
      </c>
      <c r="E9035" s="21" t="s">
        <v>35</v>
      </c>
      <c r="F9035">
        <v>12530005</v>
      </c>
      <c r="G9035" t="s">
        <v>6076</v>
      </c>
      <c r="H9035" s="21">
        <v>1026.67</v>
      </c>
    </row>
    <row r="9036" spans="1:8" customFormat="1" x14ac:dyDescent="0.25">
      <c r="A9036" t="str">
        <f>"2711717"</f>
        <v>2711717</v>
      </c>
      <c r="B9036" t="s">
        <v>7136</v>
      </c>
      <c r="C9036" t="s">
        <v>988</v>
      </c>
      <c r="D9036" s="21" t="s">
        <v>34</v>
      </c>
      <c r="E9036" s="21" t="s">
        <v>35</v>
      </c>
      <c r="F9036">
        <v>9270168</v>
      </c>
      <c r="G9036" t="s">
        <v>5126</v>
      </c>
      <c r="H9036" s="21">
        <v>1026.67</v>
      </c>
    </row>
    <row r="9037" spans="1:8" customFormat="1" x14ac:dyDescent="0.25">
      <c r="A9037" t="str">
        <f>"3527633"</f>
        <v>3527633</v>
      </c>
      <c r="B9037" t="s">
        <v>9538</v>
      </c>
      <c r="C9037" t="s">
        <v>967</v>
      </c>
      <c r="D9037" s="21" t="s">
        <v>34</v>
      </c>
      <c r="E9037" s="21" t="s">
        <v>35</v>
      </c>
      <c r="F9037">
        <v>3350074</v>
      </c>
      <c r="G9037" t="s">
        <v>5432</v>
      </c>
      <c r="H9037" s="21">
        <v>1026.67</v>
      </c>
    </row>
    <row r="9038" spans="1:8" customFormat="1" x14ac:dyDescent="0.25">
      <c r="A9038" t="str">
        <f>"4431700"</f>
        <v>4431700</v>
      </c>
      <c r="B9038" t="s">
        <v>9636</v>
      </c>
      <c r="C9038" t="s">
        <v>1132</v>
      </c>
      <c r="D9038" s="21" t="s">
        <v>34</v>
      </c>
      <c r="E9038" s="21" t="s">
        <v>35</v>
      </c>
      <c r="F9038">
        <v>12440136</v>
      </c>
      <c r="G9038" t="s">
        <v>3271</v>
      </c>
      <c r="H9038" s="21">
        <v>1026.67</v>
      </c>
    </row>
    <row r="9039" spans="1:8" customFormat="1" x14ac:dyDescent="0.25">
      <c r="A9039" t="str">
        <f>"9116329"</f>
        <v>9116329</v>
      </c>
      <c r="B9039" t="s">
        <v>7079</v>
      </c>
      <c r="C9039" t="s">
        <v>462</v>
      </c>
      <c r="D9039" s="21" t="s">
        <v>34</v>
      </c>
      <c r="E9039" s="21" t="s">
        <v>254</v>
      </c>
      <c r="F9039">
        <v>8911083</v>
      </c>
      <c r="G9039" t="s">
        <v>7357</v>
      </c>
      <c r="H9039" s="21">
        <v>1026.67</v>
      </c>
    </row>
    <row r="9040" spans="1:8" customFormat="1" x14ac:dyDescent="0.25">
      <c r="A9040" t="str">
        <f>"842606"</f>
        <v>842606</v>
      </c>
      <c r="B9040" t="s">
        <v>8088</v>
      </c>
      <c r="C9040" t="s">
        <v>60</v>
      </c>
      <c r="D9040" s="21" t="s">
        <v>34</v>
      </c>
      <c r="E9040" s="21" t="s">
        <v>35</v>
      </c>
      <c r="F9040">
        <v>13840001</v>
      </c>
      <c r="G9040" t="s">
        <v>972</v>
      </c>
      <c r="H9040" s="21">
        <v>1026.67</v>
      </c>
    </row>
    <row r="9041" spans="1:8" customFormat="1" x14ac:dyDescent="0.25">
      <c r="A9041" t="str">
        <f>"366806"</f>
        <v>366806</v>
      </c>
      <c r="B9041" t="s">
        <v>2610</v>
      </c>
      <c r="C9041" t="s">
        <v>2520</v>
      </c>
      <c r="D9041" s="21" t="s">
        <v>34</v>
      </c>
      <c r="E9041" s="21" t="s">
        <v>254</v>
      </c>
      <c r="F9041">
        <v>4360454</v>
      </c>
      <c r="G9041" t="s">
        <v>637</v>
      </c>
      <c r="H9041" s="21">
        <v>1026.67</v>
      </c>
    </row>
    <row r="9042" spans="1:8" customFormat="1" x14ac:dyDescent="0.25">
      <c r="A9042" t="str">
        <f>"519093"</f>
        <v>519093</v>
      </c>
      <c r="B9042" t="s">
        <v>3197</v>
      </c>
      <c r="C9042" t="s">
        <v>124</v>
      </c>
      <c r="D9042" s="21" t="s">
        <v>34</v>
      </c>
      <c r="E9042" s="21" t="s">
        <v>71</v>
      </c>
      <c r="F9042">
        <v>6510008</v>
      </c>
      <c r="G9042" t="s">
        <v>26622</v>
      </c>
      <c r="H9042" s="21">
        <v>1026.67</v>
      </c>
    </row>
    <row r="9043" spans="1:8" customFormat="1" x14ac:dyDescent="0.25">
      <c r="A9043" t="str">
        <f>"5939385"</f>
        <v>5939385</v>
      </c>
      <c r="B9043" t="s">
        <v>27084</v>
      </c>
      <c r="C9043" t="s">
        <v>2053</v>
      </c>
      <c r="D9043" s="21" t="s">
        <v>34</v>
      </c>
      <c r="E9043" s="21" t="s">
        <v>35</v>
      </c>
      <c r="F9043">
        <v>7590403</v>
      </c>
      <c r="G9043" t="s">
        <v>2545</v>
      </c>
      <c r="H9043" s="21">
        <v>1026.67</v>
      </c>
    </row>
    <row r="9044" spans="1:8" customFormat="1" x14ac:dyDescent="0.25">
      <c r="A9044" t="str">
        <f>"261142"</f>
        <v>261142</v>
      </c>
      <c r="B9044" t="s">
        <v>2658</v>
      </c>
      <c r="C9044" t="s">
        <v>246</v>
      </c>
      <c r="D9044" s="21" t="s">
        <v>34</v>
      </c>
      <c r="E9044" s="21" t="s">
        <v>71</v>
      </c>
      <c r="F9044">
        <v>1260045</v>
      </c>
      <c r="G9044" t="s">
        <v>401</v>
      </c>
      <c r="H9044" s="21">
        <v>1026.67</v>
      </c>
    </row>
    <row r="9045" spans="1:8" customFormat="1" x14ac:dyDescent="0.25">
      <c r="A9045" t="str">
        <f>"2915058"</f>
        <v>2915058</v>
      </c>
      <c r="B9045" t="s">
        <v>9965</v>
      </c>
      <c r="C9045" t="s">
        <v>169</v>
      </c>
      <c r="D9045" s="21" t="s">
        <v>34</v>
      </c>
      <c r="E9045" s="21" t="s">
        <v>35</v>
      </c>
      <c r="F9045">
        <v>3290044</v>
      </c>
      <c r="G9045" t="s">
        <v>3897</v>
      </c>
      <c r="H9045" s="21">
        <v>1026.67</v>
      </c>
    </row>
    <row r="9046" spans="1:8" customFormat="1" x14ac:dyDescent="0.25">
      <c r="A9046" t="str">
        <f>"5732556"</f>
        <v>5732556</v>
      </c>
      <c r="B9046" t="s">
        <v>11680</v>
      </c>
      <c r="C9046" t="s">
        <v>1104</v>
      </c>
      <c r="D9046" s="21" t="s">
        <v>34</v>
      </c>
      <c r="E9046" s="21" t="s">
        <v>35</v>
      </c>
      <c r="F9046">
        <v>6570015</v>
      </c>
      <c r="G9046" t="s">
        <v>749</v>
      </c>
      <c r="H9046" s="21">
        <v>1026.55</v>
      </c>
    </row>
    <row r="9047" spans="1:8" customFormat="1" x14ac:dyDescent="0.25">
      <c r="A9047" t="str">
        <f>"599806"</f>
        <v>599806</v>
      </c>
      <c r="B9047" t="s">
        <v>8061</v>
      </c>
      <c r="C9047" t="s">
        <v>60</v>
      </c>
      <c r="D9047" s="21" t="s">
        <v>34</v>
      </c>
      <c r="E9047" s="21" t="s">
        <v>35</v>
      </c>
      <c r="F9047">
        <v>7590004</v>
      </c>
      <c r="G9047" t="s">
        <v>4816</v>
      </c>
      <c r="H9047" s="21">
        <v>1026.42</v>
      </c>
    </row>
    <row r="9048" spans="1:8" customFormat="1" x14ac:dyDescent="0.25">
      <c r="A9048" t="str">
        <f>"4428269"</f>
        <v>4428269</v>
      </c>
      <c r="B9048" t="s">
        <v>10790</v>
      </c>
      <c r="C9048" t="s">
        <v>730</v>
      </c>
      <c r="D9048" s="21" t="s">
        <v>34</v>
      </c>
      <c r="E9048" s="21" t="s">
        <v>71</v>
      </c>
      <c r="F9048">
        <v>12440141</v>
      </c>
      <c r="G9048" t="s">
        <v>3234</v>
      </c>
      <c r="H9048" s="21">
        <v>1026.42</v>
      </c>
    </row>
    <row r="9049" spans="1:8" customFormat="1" x14ac:dyDescent="0.25">
      <c r="A9049" t="str">
        <f>"775541"</f>
        <v>775541</v>
      </c>
      <c r="B9049" t="s">
        <v>27085</v>
      </c>
      <c r="C9049" t="s">
        <v>462</v>
      </c>
      <c r="D9049" s="21" t="s">
        <v>34</v>
      </c>
      <c r="E9049" s="21" t="s">
        <v>35</v>
      </c>
      <c r="F9049">
        <v>7020040</v>
      </c>
      <c r="G9049" t="s">
        <v>1698</v>
      </c>
      <c r="H9049" s="21">
        <v>1026.3</v>
      </c>
    </row>
    <row r="9050" spans="1:8" customFormat="1" x14ac:dyDescent="0.25">
      <c r="A9050" t="str">
        <f>"761938"</f>
        <v>761938</v>
      </c>
      <c r="B9050" t="s">
        <v>7844</v>
      </c>
      <c r="C9050" t="s">
        <v>198</v>
      </c>
      <c r="D9050" s="21" t="s">
        <v>34</v>
      </c>
      <c r="E9050" s="21" t="s">
        <v>254</v>
      </c>
      <c r="F9050">
        <v>9760415</v>
      </c>
      <c r="G9050" t="s">
        <v>4541</v>
      </c>
      <c r="H9050" s="21">
        <v>1026.17</v>
      </c>
    </row>
    <row r="9051" spans="1:8" customFormat="1" x14ac:dyDescent="0.25">
      <c r="A9051" t="str">
        <f>"6225870"</f>
        <v>6225870</v>
      </c>
      <c r="B9051" t="s">
        <v>4183</v>
      </c>
      <c r="C9051" t="s">
        <v>169</v>
      </c>
      <c r="D9051" s="21" t="s">
        <v>34</v>
      </c>
      <c r="E9051" s="21" t="s">
        <v>35</v>
      </c>
      <c r="F9051">
        <v>7620049</v>
      </c>
      <c r="G9051" t="s">
        <v>1176</v>
      </c>
      <c r="H9051" s="21">
        <v>1026.17</v>
      </c>
    </row>
    <row r="9052" spans="1:8" customFormat="1" x14ac:dyDescent="0.25">
      <c r="A9052" t="str">
        <f>"9532782"</f>
        <v>9532782</v>
      </c>
      <c r="B9052" t="s">
        <v>7063</v>
      </c>
      <c r="C9052" t="s">
        <v>209</v>
      </c>
      <c r="D9052" s="21" t="s">
        <v>34</v>
      </c>
      <c r="E9052" s="21" t="s">
        <v>35</v>
      </c>
      <c r="F9052">
        <v>8950119</v>
      </c>
      <c r="G9052" t="s">
        <v>8174</v>
      </c>
      <c r="H9052" s="21">
        <v>1026.17</v>
      </c>
    </row>
    <row r="9053" spans="1:8" customFormat="1" x14ac:dyDescent="0.25">
      <c r="A9053" t="str">
        <f>"26452"</f>
        <v>26452</v>
      </c>
      <c r="B9053" t="s">
        <v>9996</v>
      </c>
      <c r="C9053" t="s">
        <v>169</v>
      </c>
      <c r="D9053" s="21" t="s">
        <v>34</v>
      </c>
      <c r="E9053" s="21" t="s">
        <v>35</v>
      </c>
      <c r="F9053">
        <v>1260071</v>
      </c>
      <c r="G9053" t="s">
        <v>798</v>
      </c>
      <c r="H9053" s="21">
        <v>1026.17</v>
      </c>
    </row>
    <row r="9054" spans="1:8" customFormat="1" x14ac:dyDescent="0.25">
      <c r="A9054" t="str">
        <f>"9122063"</f>
        <v>9122063</v>
      </c>
      <c r="B9054" t="s">
        <v>3072</v>
      </c>
      <c r="C9054" t="s">
        <v>7930</v>
      </c>
      <c r="D9054" s="21" t="s">
        <v>34</v>
      </c>
      <c r="E9054" s="21" t="s">
        <v>35</v>
      </c>
      <c r="F9054">
        <v>8910876</v>
      </c>
      <c r="G9054" t="s">
        <v>1721</v>
      </c>
      <c r="H9054" s="21">
        <v>1026.17</v>
      </c>
    </row>
    <row r="9055" spans="1:8" customFormat="1" x14ac:dyDescent="0.25">
      <c r="A9055" t="str">
        <f>"6715900"</f>
        <v>6715900</v>
      </c>
      <c r="B9055" t="s">
        <v>9681</v>
      </c>
      <c r="C9055" t="s">
        <v>3905</v>
      </c>
      <c r="D9055" s="21" t="s">
        <v>34</v>
      </c>
      <c r="E9055" s="21" t="s">
        <v>71</v>
      </c>
      <c r="F9055">
        <v>6670002</v>
      </c>
      <c r="G9055" t="s">
        <v>5740</v>
      </c>
      <c r="H9055" s="21">
        <v>1026.17</v>
      </c>
    </row>
    <row r="9056" spans="1:8" customFormat="1" x14ac:dyDescent="0.25">
      <c r="A9056" t="str">
        <f>"8012672"</f>
        <v>8012672</v>
      </c>
      <c r="B9056" t="s">
        <v>3000</v>
      </c>
      <c r="C9056" t="s">
        <v>114</v>
      </c>
      <c r="D9056" s="21" t="s">
        <v>34</v>
      </c>
      <c r="E9056" s="21" t="s">
        <v>35</v>
      </c>
      <c r="F9056">
        <v>7800011</v>
      </c>
      <c r="G9056" t="s">
        <v>2253</v>
      </c>
      <c r="H9056" s="21">
        <v>1026.17</v>
      </c>
    </row>
    <row r="9057" spans="1:8" customFormat="1" x14ac:dyDescent="0.25">
      <c r="A9057" t="str">
        <f>"6227798"</f>
        <v>6227798</v>
      </c>
      <c r="B9057" t="s">
        <v>9052</v>
      </c>
      <c r="C9057" t="s">
        <v>2479</v>
      </c>
      <c r="D9057" s="21" t="s">
        <v>34</v>
      </c>
      <c r="E9057" s="21" t="s">
        <v>254</v>
      </c>
      <c r="F9057">
        <v>7620027</v>
      </c>
      <c r="G9057" t="s">
        <v>980</v>
      </c>
      <c r="H9057" s="21">
        <v>1026.17</v>
      </c>
    </row>
    <row r="9058" spans="1:8" customFormat="1" x14ac:dyDescent="0.25">
      <c r="A9058" t="str">
        <f>"45905"</f>
        <v>45905</v>
      </c>
      <c r="B9058" t="s">
        <v>9091</v>
      </c>
      <c r="C9058" t="s">
        <v>239</v>
      </c>
      <c r="D9058" s="21" t="s">
        <v>34</v>
      </c>
      <c r="E9058" s="21" t="s">
        <v>71</v>
      </c>
      <c r="F9058">
        <v>4450210</v>
      </c>
      <c r="G9058" t="s">
        <v>5249</v>
      </c>
      <c r="H9058" s="21">
        <v>1026.17</v>
      </c>
    </row>
    <row r="9059" spans="1:8" customFormat="1" x14ac:dyDescent="0.25">
      <c r="A9059" t="str">
        <f>"027156"</f>
        <v>027156</v>
      </c>
      <c r="B9059" t="s">
        <v>8338</v>
      </c>
      <c r="C9059" t="s">
        <v>5630</v>
      </c>
      <c r="D9059" s="21" t="s">
        <v>34</v>
      </c>
      <c r="E9059" s="21" t="s">
        <v>35</v>
      </c>
      <c r="F9059">
        <v>7021006</v>
      </c>
      <c r="G9059" t="s">
        <v>26948</v>
      </c>
      <c r="H9059" s="21">
        <v>1026.17</v>
      </c>
    </row>
    <row r="9060" spans="1:8" customFormat="1" x14ac:dyDescent="0.25">
      <c r="A9060" t="str">
        <f>"42925"</f>
        <v>42925</v>
      </c>
      <c r="B9060" t="s">
        <v>9662</v>
      </c>
      <c r="C9060" t="s">
        <v>33</v>
      </c>
      <c r="D9060" s="21" t="s">
        <v>34</v>
      </c>
      <c r="E9060" s="21" t="s">
        <v>71</v>
      </c>
      <c r="F9060">
        <v>1420070</v>
      </c>
      <c r="G9060" t="s">
        <v>27046</v>
      </c>
      <c r="H9060" s="21">
        <v>1026.17</v>
      </c>
    </row>
    <row r="9061" spans="1:8" customFormat="1" x14ac:dyDescent="0.25">
      <c r="A9061" t="str">
        <f>"14256"</f>
        <v>14256</v>
      </c>
      <c r="B9061" t="s">
        <v>7611</v>
      </c>
      <c r="C9061" t="s">
        <v>204</v>
      </c>
      <c r="D9061" s="21" t="s">
        <v>34</v>
      </c>
      <c r="E9061" s="21" t="s">
        <v>71</v>
      </c>
      <c r="F9061">
        <v>9140072</v>
      </c>
      <c r="G9061" t="s">
        <v>4810</v>
      </c>
      <c r="H9061" s="21">
        <v>1026.17</v>
      </c>
    </row>
    <row r="9062" spans="1:8" customFormat="1" x14ac:dyDescent="0.25">
      <c r="A9062" t="str">
        <f>"7717941"</f>
        <v>7717941</v>
      </c>
      <c r="B9062" t="s">
        <v>8443</v>
      </c>
      <c r="C9062" t="s">
        <v>1142</v>
      </c>
      <c r="D9062" s="21" t="s">
        <v>34</v>
      </c>
      <c r="E9062" s="21" t="s">
        <v>35</v>
      </c>
      <c r="F9062">
        <v>8770135</v>
      </c>
      <c r="G9062" t="s">
        <v>26830</v>
      </c>
      <c r="H9062" s="21">
        <v>1026.05</v>
      </c>
    </row>
    <row r="9063" spans="1:8" customFormat="1" x14ac:dyDescent="0.25">
      <c r="A9063" t="str">
        <f>"217532"</f>
        <v>217532</v>
      </c>
      <c r="B9063" t="s">
        <v>11537</v>
      </c>
      <c r="C9063" t="s">
        <v>305</v>
      </c>
      <c r="D9063" s="21" t="s">
        <v>34</v>
      </c>
      <c r="E9063" s="21" t="s">
        <v>35</v>
      </c>
      <c r="F9063">
        <v>8781176</v>
      </c>
      <c r="G9063" t="s">
        <v>3659</v>
      </c>
      <c r="H9063" s="21">
        <v>1026.05</v>
      </c>
    </row>
    <row r="9064" spans="1:8" customFormat="1" x14ac:dyDescent="0.25">
      <c r="A9064" t="str">
        <f>"422100"</f>
        <v>422100</v>
      </c>
      <c r="B9064" t="s">
        <v>8107</v>
      </c>
      <c r="C9064" t="s">
        <v>144</v>
      </c>
      <c r="D9064" s="21" t="s">
        <v>34</v>
      </c>
      <c r="E9064" s="21" t="s">
        <v>35</v>
      </c>
      <c r="F9064">
        <v>1420055</v>
      </c>
      <c r="G9064" t="s">
        <v>5421</v>
      </c>
      <c r="H9064" s="21">
        <v>1026.04</v>
      </c>
    </row>
    <row r="9065" spans="1:8" customFormat="1" x14ac:dyDescent="0.25">
      <c r="A9065" t="str">
        <f>"592628"</f>
        <v>592628</v>
      </c>
      <c r="B9065" t="s">
        <v>9454</v>
      </c>
      <c r="C9065" t="s">
        <v>462</v>
      </c>
      <c r="D9065" s="21" t="s">
        <v>34</v>
      </c>
      <c r="E9065" s="21" t="s">
        <v>71</v>
      </c>
      <c r="F9065">
        <v>7590363</v>
      </c>
      <c r="G9065" t="s">
        <v>5167</v>
      </c>
      <c r="H9065" s="21">
        <v>1025.92</v>
      </c>
    </row>
    <row r="9066" spans="1:8" customFormat="1" x14ac:dyDescent="0.25">
      <c r="A9066" t="str">
        <f>"4430643"</f>
        <v>4430643</v>
      </c>
      <c r="B9066" t="s">
        <v>10879</v>
      </c>
      <c r="C9066" t="s">
        <v>10880</v>
      </c>
      <c r="D9066" s="21" t="s">
        <v>34</v>
      </c>
      <c r="E9066" s="21" t="s">
        <v>254</v>
      </c>
      <c r="F9066">
        <v>12490029</v>
      </c>
      <c r="G9066" t="s">
        <v>3485</v>
      </c>
      <c r="H9066" s="21">
        <v>1025.92</v>
      </c>
    </row>
    <row r="9067" spans="1:8" customFormat="1" x14ac:dyDescent="0.25">
      <c r="A9067" t="str">
        <f>"7616679"</f>
        <v>7616679</v>
      </c>
      <c r="B9067" t="s">
        <v>8503</v>
      </c>
      <c r="C9067" t="s">
        <v>269</v>
      </c>
      <c r="D9067" s="21" t="s">
        <v>34</v>
      </c>
      <c r="E9067" s="21" t="s">
        <v>35</v>
      </c>
      <c r="F9067">
        <v>9760297</v>
      </c>
      <c r="G9067" t="s">
        <v>27086</v>
      </c>
      <c r="H9067" s="21">
        <v>1025.92</v>
      </c>
    </row>
    <row r="9068" spans="1:8" customFormat="1" x14ac:dyDescent="0.25">
      <c r="A9068" t="str">
        <f>"9213724"</f>
        <v>9213724</v>
      </c>
      <c r="B9068" t="s">
        <v>3577</v>
      </c>
      <c r="C9068" t="s">
        <v>209</v>
      </c>
      <c r="D9068" s="21" t="s">
        <v>34</v>
      </c>
      <c r="E9068" s="21" t="s">
        <v>71</v>
      </c>
      <c r="F9068">
        <v>8920142</v>
      </c>
      <c r="G9068" t="s">
        <v>9136</v>
      </c>
      <c r="H9068" s="21">
        <v>1025.67</v>
      </c>
    </row>
    <row r="9069" spans="1:8" customFormat="1" x14ac:dyDescent="0.25">
      <c r="A9069" t="str">
        <f>"5948584"</f>
        <v>5948584</v>
      </c>
      <c r="B9069" t="s">
        <v>86</v>
      </c>
      <c r="C9069" t="s">
        <v>130</v>
      </c>
      <c r="D9069" s="21" t="s">
        <v>34</v>
      </c>
      <c r="E9069" s="21" t="s">
        <v>35</v>
      </c>
      <c r="F9069">
        <v>7620103</v>
      </c>
      <c r="G9069" t="s">
        <v>1107</v>
      </c>
      <c r="H9069" s="21">
        <v>1025.67</v>
      </c>
    </row>
    <row r="9070" spans="1:8" customFormat="1" x14ac:dyDescent="0.25">
      <c r="A9070" t="str">
        <f>"3520232"</f>
        <v>3520232</v>
      </c>
      <c r="B9070" t="s">
        <v>8807</v>
      </c>
      <c r="C9070" t="s">
        <v>65</v>
      </c>
      <c r="D9070" s="21" t="s">
        <v>34</v>
      </c>
      <c r="E9070" s="21" t="s">
        <v>35</v>
      </c>
      <c r="F9070">
        <v>10470007</v>
      </c>
      <c r="G9070" t="s">
        <v>3049</v>
      </c>
      <c r="H9070" s="21">
        <v>1025.67</v>
      </c>
    </row>
    <row r="9071" spans="1:8" customFormat="1" x14ac:dyDescent="0.25">
      <c r="A9071" t="str">
        <f>"7113581"</f>
        <v>7113581</v>
      </c>
      <c r="B9071" t="s">
        <v>11356</v>
      </c>
      <c r="C9071" t="s">
        <v>275</v>
      </c>
      <c r="D9071" s="21" t="s">
        <v>34</v>
      </c>
      <c r="E9071" s="21" t="s">
        <v>35</v>
      </c>
      <c r="F9071">
        <v>2710049</v>
      </c>
      <c r="G9071" t="s">
        <v>11357</v>
      </c>
      <c r="H9071" s="21">
        <v>1025.67</v>
      </c>
    </row>
    <row r="9072" spans="1:8" customFormat="1" x14ac:dyDescent="0.25">
      <c r="A9072" t="str">
        <f>"162191"</f>
        <v>162191</v>
      </c>
      <c r="B9072" t="s">
        <v>9670</v>
      </c>
      <c r="C9072" t="s">
        <v>750</v>
      </c>
      <c r="D9072" s="21" t="s">
        <v>34</v>
      </c>
      <c r="E9072" s="21" t="s">
        <v>35</v>
      </c>
      <c r="F9072">
        <v>10330046</v>
      </c>
      <c r="G9072" t="s">
        <v>1787</v>
      </c>
      <c r="H9072" s="21">
        <v>1025.67</v>
      </c>
    </row>
    <row r="9073" spans="1:8" customFormat="1" x14ac:dyDescent="0.25">
      <c r="A9073" t="str">
        <f>"773672"</f>
        <v>773672</v>
      </c>
      <c r="B9073" t="s">
        <v>15911</v>
      </c>
      <c r="C9073" t="s">
        <v>10675</v>
      </c>
      <c r="D9073" s="21" t="s">
        <v>34</v>
      </c>
      <c r="E9073" s="21" t="s">
        <v>35</v>
      </c>
      <c r="F9073">
        <v>8771501</v>
      </c>
      <c r="G9073" t="s">
        <v>10128</v>
      </c>
      <c r="H9073" s="21">
        <v>1025.67</v>
      </c>
    </row>
    <row r="9074" spans="1:8" customFormat="1" x14ac:dyDescent="0.25">
      <c r="A9074" t="str">
        <f>"5928936"</f>
        <v>5928936</v>
      </c>
      <c r="B9074" t="s">
        <v>1748</v>
      </c>
      <c r="C9074" t="s">
        <v>2100</v>
      </c>
      <c r="D9074" s="21" t="s">
        <v>34</v>
      </c>
      <c r="E9074" s="21" t="s">
        <v>35</v>
      </c>
      <c r="F9074">
        <v>7590058</v>
      </c>
      <c r="G9074" t="s">
        <v>5044</v>
      </c>
      <c r="H9074" s="21">
        <v>1025.55</v>
      </c>
    </row>
    <row r="9075" spans="1:8" customFormat="1" x14ac:dyDescent="0.25">
      <c r="A9075" t="str">
        <f>"6219343"</f>
        <v>6219343</v>
      </c>
      <c r="B9075" t="s">
        <v>11879</v>
      </c>
      <c r="C9075" t="s">
        <v>8893</v>
      </c>
      <c r="D9075" s="21" t="s">
        <v>34</v>
      </c>
      <c r="E9075" s="21" t="s">
        <v>35</v>
      </c>
      <c r="F9075">
        <v>7620104</v>
      </c>
      <c r="G9075" t="s">
        <v>635</v>
      </c>
      <c r="H9075" s="21">
        <v>1025.42</v>
      </c>
    </row>
    <row r="9076" spans="1:8" customFormat="1" x14ac:dyDescent="0.25">
      <c r="A9076" t="str">
        <f>"3723967"</f>
        <v>3723967</v>
      </c>
      <c r="B9076" t="s">
        <v>9262</v>
      </c>
      <c r="C9076" t="s">
        <v>528</v>
      </c>
      <c r="D9076" s="21" t="s">
        <v>34</v>
      </c>
      <c r="E9076" s="21" t="s">
        <v>35</v>
      </c>
      <c r="F9076">
        <v>4370024</v>
      </c>
      <c r="G9076" t="s">
        <v>1718</v>
      </c>
      <c r="H9076" s="21">
        <v>1025.17</v>
      </c>
    </row>
    <row r="9077" spans="1:8" customFormat="1" x14ac:dyDescent="0.25">
      <c r="A9077" t="str">
        <f>"275389"</f>
        <v>275389</v>
      </c>
      <c r="B9077" t="s">
        <v>9781</v>
      </c>
      <c r="C9077" t="s">
        <v>62</v>
      </c>
      <c r="D9077" s="21" t="s">
        <v>34</v>
      </c>
      <c r="E9077" s="21" t="s">
        <v>35</v>
      </c>
      <c r="F9077">
        <v>8930430</v>
      </c>
      <c r="G9077" t="s">
        <v>995</v>
      </c>
      <c r="H9077" s="21">
        <v>1025.17</v>
      </c>
    </row>
    <row r="9078" spans="1:8" customFormat="1" x14ac:dyDescent="0.25">
      <c r="A9078" t="str">
        <f>"1310810"</f>
        <v>1310810</v>
      </c>
      <c r="B9078" t="s">
        <v>8627</v>
      </c>
      <c r="C9078" t="s">
        <v>40</v>
      </c>
      <c r="D9078" s="21" t="s">
        <v>34</v>
      </c>
      <c r="E9078" s="21" t="s">
        <v>71</v>
      </c>
      <c r="F9078">
        <v>13830051</v>
      </c>
      <c r="G9078" t="s">
        <v>2031</v>
      </c>
      <c r="H9078" s="21">
        <v>1025.17</v>
      </c>
    </row>
    <row r="9079" spans="1:8" customFormat="1" x14ac:dyDescent="0.25">
      <c r="A9079" t="str">
        <f>"808560"</f>
        <v>808560</v>
      </c>
      <c r="B9079" t="s">
        <v>27087</v>
      </c>
      <c r="C9079" t="s">
        <v>576</v>
      </c>
      <c r="D9079" s="21" t="s">
        <v>34</v>
      </c>
      <c r="E9079" s="21" t="s">
        <v>35</v>
      </c>
      <c r="F9079">
        <v>7800014</v>
      </c>
      <c r="G9079" t="s">
        <v>9881</v>
      </c>
      <c r="H9079" s="21">
        <v>1025.17</v>
      </c>
    </row>
    <row r="9080" spans="1:8" customFormat="1" x14ac:dyDescent="0.25">
      <c r="A9080" t="str">
        <f>"2514919"</f>
        <v>2514919</v>
      </c>
      <c r="B9080" t="s">
        <v>9121</v>
      </c>
      <c r="C9080" t="s">
        <v>1146</v>
      </c>
      <c r="D9080" s="21" t="s">
        <v>34</v>
      </c>
      <c r="E9080" s="21" t="s">
        <v>71</v>
      </c>
      <c r="F9080">
        <v>2250017</v>
      </c>
      <c r="G9080" t="s">
        <v>521</v>
      </c>
      <c r="H9080" s="21">
        <v>1025.17</v>
      </c>
    </row>
    <row r="9081" spans="1:8" customFormat="1" x14ac:dyDescent="0.25">
      <c r="A9081" t="str">
        <f>"7914991"</f>
        <v>7914991</v>
      </c>
      <c r="B9081" t="s">
        <v>9184</v>
      </c>
      <c r="C9081" t="s">
        <v>202</v>
      </c>
      <c r="D9081" s="21" t="s">
        <v>34</v>
      </c>
      <c r="E9081" s="21" t="s">
        <v>71</v>
      </c>
      <c r="F9081">
        <v>10790009</v>
      </c>
      <c r="G9081" t="s">
        <v>1155</v>
      </c>
      <c r="H9081" s="21">
        <v>1025.17</v>
      </c>
    </row>
    <row r="9082" spans="1:8" customFormat="1" x14ac:dyDescent="0.25">
      <c r="A9082" t="str">
        <f>"0613293"</f>
        <v>0613293</v>
      </c>
      <c r="B9082" t="s">
        <v>9008</v>
      </c>
      <c r="C9082" t="s">
        <v>2529</v>
      </c>
      <c r="D9082" s="21" t="s">
        <v>34</v>
      </c>
      <c r="E9082" s="21" t="s">
        <v>1089</v>
      </c>
      <c r="F9082">
        <v>13060066</v>
      </c>
      <c r="G9082" t="s">
        <v>2556</v>
      </c>
      <c r="H9082" s="21">
        <v>1025.17</v>
      </c>
    </row>
    <row r="9083" spans="1:8" customFormat="1" x14ac:dyDescent="0.25">
      <c r="A9083" t="str">
        <f>"259285"</f>
        <v>259285</v>
      </c>
      <c r="B9083" t="s">
        <v>8755</v>
      </c>
      <c r="C9083" t="s">
        <v>598</v>
      </c>
      <c r="D9083" s="21" t="s">
        <v>34</v>
      </c>
      <c r="E9083" s="21" t="s">
        <v>71</v>
      </c>
      <c r="F9083">
        <v>2250199</v>
      </c>
      <c r="G9083" t="s">
        <v>8756</v>
      </c>
      <c r="H9083" s="21">
        <v>1025.17</v>
      </c>
    </row>
    <row r="9084" spans="1:8" customFormat="1" x14ac:dyDescent="0.25">
      <c r="A9084" t="str">
        <f>"6725068"</f>
        <v>6725068</v>
      </c>
      <c r="B9084" t="s">
        <v>10005</v>
      </c>
      <c r="C9084" t="s">
        <v>40</v>
      </c>
      <c r="D9084" s="21" t="s">
        <v>34</v>
      </c>
      <c r="E9084" s="21" t="s">
        <v>35</v>
      </c>
      <c r="F9084">
        <v>6670043</v>
      </c>
      <c r="G9084" t="s">
        <v>5658</v>
      </c>
      <c r="H9084" s="21">
        <v>1025.17</v>
      </c>
    </row>
    <row r="9085" spans="1:8" customFormat="1" x14ac:dyDescent="0.25">
      <c r="A9085" t="str">
        <f>"152672"</f>
        <v>152672</v>
      </c>
      <c r="B9085" t="s">
        <v>10945</v>
      </c>
      <c r="C9085" t="s">
        <v>2301</v>
      </c>
      <c r="D9085" s="21" t="s">
        <v>34</v>
      </c>
      <c r="E9085" s="21" t="s">
        <v>35</v>
      </c>
      <c r="F9085">
        <v>9500124</v>
      </c>
      <c r="G9085" t="s">
        <v>3726</v>
      </c>
      <c r="H9085" s="21">
        <v>1025.17</v>
      </c>
    </row>
    <row r="9086" spans="1:8" customFormat="1" x14ac:dyDescent="0.25">
      <c r="A9086" t="str">
        <f>"7850007"</f>
        <v>7850007</v>
      </c>
      <c r="B9086" t="s">
        <v>9782</v>
      </c>
      <c r="C9086" t="s">
        <v>498</v>
      </c>
      <c r="D9086" s="21" t="s">
        <v>34</v>
      </c>
      <c r="E9086" s="21" t="s">
        <v>71</v>
      </c>
      <c r="F9086">
        <v>8781467</v>
      </c>
      <c r="G9086" t="s">
        <v>3838</v>
      </c>
      <c r="H9086" s="21">
        <v>1025.05</v>
      </c>
    </row>
    <row r="9087" spans="1:8" customFormat="1" x14ac:dyDescent="0.25">
      <c r="A9087" t="str">
        <f>"8520088"</f>
        <v>8520088</v>
      </c>
      <c r="B9087" t="s">
        <v>724</v>
      </c>
      <c r="C9087" t="s">
        <v>249</v>
      </c>
      <c r="D9087" s="21" t="s">
        <v>34</v>
      </c>
      <c r="E9087" s="21" t="s">
        <v>71</v>
      </c>
      <c r="F9087">
        <v>12850136</v>
      </c>
      <c r="G9087" t="s">
        <v>2536</v>
      </c>
      <c r="H9087" s="21">
        <v>1025.05</v>
      </c>
    </row>
    <row r="9088" spans="1:8" customFormat="1" x14ac:dyDescent="0.25">
      <c r="A9088" t="str">
        <f>"5955675"</f>
        <v>5955675</v>
      </c>
      <c r="B9088" t="s">
        <v>8822</v>
      </c>
      <c r="C9088" t="s">
        <v>62</v>
      </c>
      <c r="D9088" s="21" t="s">
        <v>34</v>
      </c>
      <c r="E9088" s="21" t="s">
        <v>35</v>
      </c>
      <c r="F9088">
        <v>7590204</v>
      </c>
      <c r="G9088" t="s">
        <v>696</v>
      </c>
      <c r="H9088" s="21">
        <v>1025</v>
      </c>
    </row>
    <row r="9089" spans="1:8" customFormat="1" x14ac:dyDescent="0.25">
      <c r="A9089" t="str">
        <f>"8014705"</f>
        <v>8014705</v>
      </c>
      <c r="B9089" t="s">
        <v>7732</v>
      </c>
      <c r="C9089" t="s">
        <v>119</v>
      </c>
      <c r="D9089" s="21" t="s">
        <v>34</v>
      </c>
      <c r="E9089" s="21" t="s">
        <v>71</v>
      </c>
      <c r="F9089">
        <v>7800006</v>
      </c>
      <c r="G9089" t="s">
        <v>6365</v>
      </c>
      <c r="H9089" s="21">
        <v>1024.92</v>
      </c>
    </row>
    <row r="9090" spans="1:8" customFormat="1" x14ac:dyDescent="0.25">
      <c r="A9090" t="str">
        <f>"3339069"</f>
        <v>3339069</v>
      </c>
      <c r="B9090" t="s">
        <v>5291</v>
      </c>
      <c r="C9090" t="s">
        <v>621</v>
      </c>
      <c r="D9090" s="21" t="s">
        <v>34</v>
      </c>
      <c r="E9090" s="21" t="s">
        <v>35</v>
      </c>
      <c r="F9090">
        <v>10330034</v>
      </c>
      <c r="G9090" t="s">
        <v>6011</v>
      </c>
      <c r="H9090" s="21">
        <v>1024.8</v>
      </c>
    </row>
    <row r="9091" spans="1:8" customFormat="1" x14ac:dyDescent="0.25">
      <c r="A9091" t="str">
        <f>"2929251"</f>
        <v>2929251</v>
      </c>
      <c r="B9091" t="s">
        <v>13008</v>
      </c>
      <c r="C9091" t="s">
        <v>60</v>
      </c>
      <c r="D9091" s="21" t="s">
        <v>34</v>
      </c>
      <c r="E9091" s="21" t="s">
        <v>35</v>
      </c>
      <c r="F9091">
        <v>3290006</v>
      </c>
      <c r="G9091" t="s">
        <v>13009</v>
      </c>
      <c r="H9091" s="21">
        <v>1024.79</v>
      </c>
    </row>
    <row r="9092" spans="1:8" customFormat="1" x14ac:dyDescent="0.25">
      <c r="A9092" t="str">
        <f>"811792"</f>
        <v>811792</v>
      </c>
      <c r="B9092" t="s">
        <v>10267</v>
      </c>
      <c r="C9092" t="s">
        <v>40</v>
      </c>
      <c r="D9092" s="21" t="s">
        <v>34</v>
      </c>
      <c r="E9092" s="21" t="s">
        <v>254</v>
      </c>
      <c r="F9092">
        <v>11810008</v>
      </c>
      <c r="G9092" t="s">
        <v>8796</v>
      </c>
      <c r="H9092" s="21">
        <v>1024.67</v>
      </c>
    </row>
    <row r="9093" spans="1:8" customFormat="1" x14ac:dyDescent="0.25">
      <c r="A9093" t="str">
        <f>"212444"</f>
        <v>212444</v>
      </c>
      <c r="B9093" t="s">
        <v>8712</v>
      </c>
      <c r="C9093" t="s">
        <v>156</v>
      </c>
      <c r="D9093" s="21" t="s">
        <v>34</v>
      </c>
      <c r="E9093" s="21" t="s">
        <v>254</v>
      </c>
      <c r="F9093">
        <v>2210005</v>
      </c>
      <c r="G9093" t="s">
        <v>5020</v>
      </c>
      <c r="H9093" s="21">
        <v>1024.67</v>
      </c>
    </row>
    <row r="9094" spans="1:8" customFormat="1" x14ac:dyDescent="0.25">
      <c r="A9094" t="str">
        <f>"50161"</f>
        <v>50161</v>
      </c>
      <c r="B9094" t="s">
        <v>5944</v>
      </c>
      <c r="C9094" t="s">
        <v>2730</v>
      </c>
      <c r="D9094" s="21" t="s">
        <v>34</v>
      </c>
      <c r="E9094" s="21" t="s">
        <v>254</v>
      </c>
      <c r="F9094">
        <v>9500009</v>
      </c>
      <c r="G9094" t="s">
        <v>2230</v>
      </c>
      <c r="H9094" s="21">
        <v>1024.67</v>
      </c>
    </row>
    <row r="9095" spans="1:8" customFormat="1" x14ac:dyDescent="0.25">
      <c r="A9095" t="str">
        <f>"7921519"</f>
        <v>7921519</v>
      </c>
      <c r="B9095" t="s">
        <v>27088</v>
      </c>
      <c r="C9095" t="s">
        <v>1946</v>
      </c>
      <c r="D9095" s="21" t="s">
        <v>34</v>
      </c>
      <c r="E9095" s="21" t="s">
        <v>35</v>
      </c>
      <c r="F9095">
        <v>10790020</v>
      </c>
      <c r="G9095" t="s">
        <v>10221</v>
      </c>
      <c r="H9095" s="21">
        <v>1024.67</v>
      </c>
    </row>
    <row r="9096" spans="1:8" customFormat="1" x14ac:dyDescent="0.25">
      <c r="A9096" t="str">
        <f>"17783"</f>
        <v>17783</v>
      </c>
      <c r="B9096" t="s">
        <v>8405</v>
      </c>
      <c r="C9096" t="s">
        <v>5232</v>
      </c>
      <c r="D9096" s="21" t="s">
        <v>34</v>
      </c>
      <c r="E9096" s="21" t="s">
        <v>1089</v>
      </c>
      <c r="F9096">
        <v>10170214</v>
      </c>
      <c r="G9096" t="s">
        <v>5533</v>
      </c>
      <c r="H9096" s="21">
        <v>1024.67</v>
      </c>
    </row>
    <row r="9097" spans="1:8" customFormat="1" x14ac:dyDescent="0.25">
      <c r="A9097" t="str">
        <f>"7613656"</f>
        <v>7613656</v>
      </c>
      <c r="B9097" t="s">
        <v>10117</v>
      </c>
      <c r="C9097" t="s">
        <v>202</v>
      </c>
      <c r="D9097" s="21" t="s">
        <v>34</v>
      </c>
      <c r="E9097" s="21" t="s">
        <v>71</v>
      </c>
      <c r="F9097">
        <v>9760415</v>
      </c>
      <c r="G9097" t="s">
        <v>4541</v>
      </c>
      <c r="H9097" s="21">
        <v>1024.67</v>
      </c>
    </row>
    <row r="9098" spans="1:8" customFormat="1" x14ac:dyDescent="0.25">
      <c r="A9098" t="str">
        <f>"363483"</f>
        <v>363483</v>
      </c>
      <c r="B9098" t="s">
        <v>946</v>
      </c>
      <c r="C9098" t="s">
        <v>5826</v>
      </c>
      <c r="D9098" s="21" t="s">
        <v>34</v>
      </c>
      <c r="E9098" s="21" t="s">
        <v>35</v>
      </c>
      <c r="F9098">
        <v>4360605</v>
      </c>
      <c r="G9098" t="s">
        <v>6003</v>
      </c>
      <c r="H9098" s="21">
        <v>1024.67</v>
      </c>
    </row>
    <row r="9099" spans="1:8" customFormat="1" x14ac:dyDescent="0.25">
      <c r="A9099" t="str">
        <f>"3419396"</f>
        <v>3419396</v>
      </c>
      <c r="B9099" t="s">
        <v>4413</v>
      </c>
      <c r="C9099" t="s">
        <v>3807</v>
      </c>
      <c r="D9099" s="21" t="s">
        <v>34</v>
      </c>
      <c r="E9099" s="21" t="s">
        <v>71</v>
      </c>
      <c r="F9099">
        <v>11340010</v>
      </c>
      <c r="G9099" t="s">
        <v>66</v>
      </c>
      <c r="H9099" s="21">
        <v>1024.67</v>
      </c>
    </row>
    <row r="9100" spans="1:8" customFormat="1" x14ac:dyDescent="0.25">
      <c r="A9100" t="str">
        <f>"443953"</f>
        <v>443953</v>
      </c>
      <c r="B9100" t="s">
        <v>9780</v>
      </c>
      <c r="C9100" t="s">
        <v>267</v>
      </c>
      <c r="D9100" s="21" t="s">
        <v>34</v>
      </c>
      <c r="E9100" s="21" t="s">
        <v>254</v>
      </c>
      <c r="F9100">
        <v>12440266</v>
      </c>
      <c r="G9100" t="s">
        <v>924</v>
      </c>
      <c r="H9100" s="21">
        <v>1024.67</v>
      </c>
    </row>
    <row r="9101" spans="1:8" customFormat="1" x14ac:dyDescent="0.25">
      <c r="A9101" t="str">
        <f>"493141"</f>
        <v>493141</v>
      </c>
      <c r="B9101" t="s">
        <v>8138</v>
      </c>
      <c r="C9101" t="s">
        <v>124</v>
      </c>
      <c r="D9101" s="21" t="s">
        <v>34</v>
      </c>
      <c r="E9101" s="21" t="s">
        <v>254</v>
      </c>
      <c r="F9101">
        <v>12490052</v>
      </c>
      <c r="G9101" t="s">
        <v>2732</v>
      </c>
      <c r="H9101" s="21">
        <v>1024.67</v>
      </c>
    </row>
    <row r="9102" spans="1:8" customFormat="1" x14ac:dyDescent="0.25">
      <c r="A9102" t="str">
        <f>"502310"</f>
        <v>502310</v>
      </c>
      <c r="B9102" t="s">
        <v>7998</v>
      </c>
      <c r="C9102" t="s">
        <v>1146</v>
      </c>
      <c r="D9102" s="21" t="s">
        <v>34</v>
      </c>
      <c r="E9102" s="21" t="s">
        <v>254</v>
      </c>
      <c r="F9102">
        <v>9500139</v>
      </c>
      <c r="G9102" t="s">
        <v>6892</v>
      </c>
      <c r="H9102" s="21">
        <v>1024.67</v>
      </c>
    </row>
    <row r="9103" spans="1:8" customFormat="1" x14ac:dyDescent="0.25">
      <c r="A9103" t="str">
        <f>"8521448"</f>
        <v>8521448</v>
      </c>
      <c r="B9103" t="s">
        <v>12334</v>
      </c>
      <c r="C9103" t="s">
        <v>269</v>
      </c>
      <c r="D9103" s="21" t="s">
        <v>34</v>
      </c>
      <c r="E9103" s="21" t="s">
        <v>71</v>
      </c>
      <c r="F9103">
        <v>12850008</v>
      </c>
      <c r="G9103" t="s">
        <v>4248</v>
      </c>
      <c r="H9103" s="21">
        <v>1024.67</v>
      </c>
    </row>
    <row r="9104" spans="1:8" customFormat="1" x14ac:dyDescent="0.25">
      <c r="A9104" t="str">
        <f>"3111849"</f>
        <v>3111849</v>
      </c>
      <c r="B9104" t="s">
        <v>9259</v>
      </c>
      <c r="C9104" t="s">
        <v>320</v>
      </c>
      <c r="D9104" s="21" t="s">
        <v>34</v>
      </c>
      <c r="E9104" s="21" t="s">
        <v>71</v>
      </c>
      <c r="F9104">
        <v>11310060</v>
      </c>
      <c r="G9104" t="s">
        <v>2448</v>
      </c>
      <c r="H9104" s="21">
        <v>1024.67</v>
      </c>
    </row>
    <row r="9105" spans="1:8" customFormat="1" x14ac:dyDescent="0.25">
      <c r="A9105" t="str">
        <f>"7720344"</f>
        <v>7720344</v>
      </c>
      <c r="B9105" t="s">
        <v>9904</v>
      </c>
      <c r="C9105" t="s">
        <v>249</v>
      </c>
      <c r="D9105" s="21" t="s">
        <v>34</v>
      </c>
      <c r="E9105" s="21" t="s">
        <v>71</v>
      </c>
      <c r="F9105">
        <v>8771394</v>
      </c>
      <c r="G9105" t="s">
        <v>1933</v>
      </c>
      <c r="H9105" s="21">
        <v>1024.55</v>
      </c>
    </row>
    <row r="9106" spans="1:8" customFormat="1" x14ac:dyDescent="0.25">
      <c r="A9106" t="str">
        <f>"7513172"</f>
        <v>7513172</v>
      </c>
      <c r="B9106" t="s">
        <v>3235</v>
      </c>
      <c r="C9106" t="s">
        <v>10965</v>
      </c>
      <c r="D9106" s="21" t="s">
        <v>34</v>
      </c>
      <c r="E9106" s="21" t="s">
        <v>71</v>
      </c>
      <c r="F9106">
        <v>8751249</v>
      </c>
      <c r="G9106" t="s">
        <v>2803</v>
      </c>
      <c r="H9106" s="21">
        <v>1024.43</v>
      </c>
    </row>
    <row r="9107" spans="1:8" customFormat="1" x14ac:dyDescent="0.25">
      <c r="A9107" t="str">
        <f>"595521"</f>
        <v>595521</v>
      </c>
      <c r="B9107" t="s">
        <v>8478</v>
      </c>
      <c r="C9107" t="s">
        <v>209</v>
      </c>
      <c r="D9107" s="21" t="s">
        <v>34</v>
      </c>
      <c r="E9107" s="21" t="s">
        <v>254</v>
      </c>
      <c r="F9107">
        <v>7590051</v>
      </c>
      <c r="G9107" t="s">
        <v>3831</v>
      </c>
      <c r="H9107" s="21">
        <v>1024.42</v>
      </c>
    </row>
    <row r="9108" spans="1:8" customFormat="1" x14ac:dyDescent="0.25">
      <c r="A9108" t="str">
        <f>"2929565"</f>
        <v>2929565</v>
      </c>
      <c r="B9108" t="s">
        <v>9149</v>
      </c>
      <c r="C9108" t="s">
        <v>576</v>
      </c>
      <c r="D9108" s="21" t="s">
        <v>34</v>
      </c>
      <c r="E9108" s="21" t="s">
        <v>35</v>
      </c>
      <c r="F9108">
        <v>3290217</v>
      </c>
      <c r="G9108" t="s">
        <v>6770</v>
      </c>
      <c r="H9108" s="21">
        <v>1024.42</v>
      </c>
    </row>
    <row r="9109" spans="1:8" customFormat="1" x14ac:dyDescent="0.25">
      <c r="A9109" t="str">
        <f>"5717212"</f>
        <v>5717212</v>
      </c>
      <c r="B9109" t="s">
        <v>771</v>
      </c>
      <c r="C9109" t="s">
        <v>1468</v>
      </c>
      <c r="D9109" s="21" t="s">
        <v>34</v>
      </c>
      <c r="E9109" s="21" t="s">
        <v>35</v>
      </c>
      <c r="F9109">
        <v>6570027</v>
      </c>
      <c r="G9109" t="s">
        <v>395</v>
      </c>
      <c r="H9109" s="21">
        <v>1024.42</v>
      </c>
    </row>
    <row r="9110" spans="1:8" customFormat="1" x14ac:dyDescent="0.25">
      <c r="A9110" t="str">
        <f>"54797"</f>
        <v>54797</v>
      </c>
      <c r="B9110" t="s">
        <v>7510</v>
      </c>
      <c r="C9110" t="s">
        <v>3784</v>
      </c>
      <c r="D9110" s="21" t="s">
        <v>34</v>
      </c>
      <c r="E9110" s="21" t="s">
        <v>254</v>
      </c>
      <c r="F9110">
        <v>6540040</v>
      </c>
      <c r="G9110" t="s">
        <v>256</v>
      </c>
      <c r="H9110" s="21">
        <v>1024.3</v>
      </c>
    </row>
    <row r="9111" spans="1:8" customFormat="1" x14ac:dyDescent="0.25">
      <c r="A9111" t="str">
        <f>"777358"</f>
        <v>777358</v>
      </c>
      <c r="B9111" t="s">
        <v>27089</v>
      </c>
      <c r="C9111" t="s">
        <v>27090</v>
      </c>
      <c r="D9111" s="21" t="s">
        <v>34</v>
      </c>
      <c r="E9111" s="21" t="s">
        <v>35</v>
      </c>
      <c r="F9111">
        <v>8770377</v>
      </c>
      <c r="G9111" t="s">
        <v>4862</v>
      </c>
      <c r="H9111" s="21">
        <v>1024.18</v>
      </c>
    </row>
    <row r="9112" spans="1:8" customFormat="1" x14ac:dyDescent="0.25">
      <c r="A9112" t="str">
        <f>"762015"</f>
        <v>762015</v>
      </c>
      <c r="B9112" t="s">
        <v>8787</v>
      </c>
      <c r="C9112" t="s">
        <v>204</v>
      </c>
      <c r="D9112" s="21" t="s">
        <v>34</v>
      </c>
      <c r="E9112" s="21" t="s">
        <v>71</v>
      </c>
      <c r="F9112">
        <v>9760377</v>
      </c>
      <c r="G9112" t="s">
        <v>6631</v>
      </c>
      <c r="H9112" s="21">
        <v>1024.17</v>
      </c>
    </row>
    <row r="9113" spans="1:8" customFormat="1" x14ac:dyDescent="0.25">
      <c r="A9113" t="str">
        <f>"38979"</f>
        <v>38979</v>
      </c>
      <c r="B9113" t="s">
        <v>7307</v>
      </c>
      <c r="C9113" t="s">
        <v>236</v>
      </c>
      <c r="D9113" s="21" t="s">
        <v>34</v>
      </c>
      <c r="E9113" s="21" t="s">
        <v>71</v>
      </c>
      <c r="F9113">
        <v>1380117</v>
      </c>
      <c r="G9113" t="s">
        <v>6062</v>
      </c>
      <c r="H9113" s="21">
        <v>1024.17</v>
      </c>
    </row>
    <row r="9114" spans="1:8" customFormat="1" x14ac:dyDescent="0.25">
      <c r="A9114" t="str">
        <f>"4429711"</f>
        <v>4429711</v>
      </c>
      <c r="B9114" t="s">
        <v>8732</v>
      </c>
      <c r="C9114" t="s">
        <v>119</v>
      </c>
      <c r="D9114" s="21" t="s">
        <v>34</v>
      </c>
      <c r="E9114" s="21" t="s">
        <v>35</v>
      </c>
      <c r="F9114">
        <v>12440041</v>
      </c>
      <c r="G9114" t="s">
        <v>8733</v>
      </c>
      <c r="H9114" s="21">
        <v>1024.17</v>
      </c>
    </row>
    <row r="9115" spans="1:8" customFormat="1" x14ac:dyDescent="0.25">
      <c r="A9115" t="str">
        <f>"424318"</f>
        <v>424318</v>
      </c>
      <c r="B9115" t="s">
        <v>9075</v>
      </c>
      <c r="C9115" t="s">
        <v>209</v>
      </c>
      <c r="D9115" s="21" t="s">
        <v>34</v>
      </c>
      <c r="E9115" s="21" t="s">
        <v>71</v>
      </c>
      <c r="F9115">
        <v>1420307</v>
      </c>
      <c r="G9115" t="s">
        <v>26676</v>
      </c>
      <c r="H9115" s="21">
        <v>1024.17</v>
      </c>
    </row>
    <row r="9116" spans="1:8" customFormat="1" x14ac:dyDescent="0.25">
      <c r="A9116" t="str">
        <f>"6713457"</f>
        <v>6713457</v>
      </c>
      <c r="B9116" t="s">
        <v>1454</v>
      </c>
      <c r="C9116" t="s">
        <v>40</v>
      </c>
      <c r="D9116" s="21" t="s">
        <v>34</v>
      </c>
      <c r="E9116" s="21" t="s">
        <v>254</v>
      </c>
      <c r="F9116">
        <v>6670149</v>
      </c>
      <c r="G9116" t="s">
        <v>4404</v>
      </c>
      <c r="H9116" s="21">
        <v>1024.17</v>
      </c>
    </row>
    <row r="9117" spans="1:8" customFormat="1" x14ac:dyDescent="0.25">
      <c r="A9117" t="str">
        <f>"2512154"</f>
        <v>2512154</v>
      </c>
      <c r="B9117" t="s">
        <v>8307</v>
      </c>
      <c r="C9117" t="s">
        <v>37</v>
      </c>
      <c r="D9117" s="21" t="s">
        <v>34</v>
      </c>
      <c r="E9117" s="21" t="s">
        <v>35</v>
      </c>
      <c r="F9117">
        <v>2250007</v>
      </c>
      <c r="G9117" t="s">
        <v>1137</v>
      </c>
      <c r="H9117" s="21">
        <v>1024.17</v>
      </c>
    </row>
    <row r="9118" spans="1:8" customFormat="1" x14ac:dyDescent="0.25">
      <c r="A9118" t="str">
        <f>"892983"</f>
        <v>892983</v>
      </c>
      <c r="B9118" t="s">
        <v>10480</v>
      </c>
      <c r="C9118" t="s">
        <v>249</v>
      </c>
      <c r="D9118" s="21" t="s">
        <v>34</v>
      </c>
      <c r="E9118" s="21" t="s">
        <v>35</v>
      </c>
      <c r="F9118">
        <v>2890005</v>
      </c>
      <c r="G9118" t="s">
        <v>2889</v>
      </c>
      <c r="H9118" s="21">
        <v>1024.17</v>
      </c>
    </row>
    <row r="9119" spans="1:8" customFormat="1" x14ac:dyDescent="0.25">
      <c r="A9119" t="str">
        <f>"7830547"</f>
        <v>7830547</v>
      </c>
      <c r="B9119" t="s">
        <v>27091</v>
      </c>
      <c r="C9119" t="s">
        <v>169</v>
      </c>
      <c r="D9119" s="21" t="s">
        <v>34</v>
      </c>
      <c r="E9119" s="21" t="s">
        <v>35</v>
      </c>
      <c r="F9119">
        <v>1260034</v>
      </c>
      <c r="G9119" t="s">
        <v>1884</v>
      </c>
      <c r="H9119" s="21">
        <v>1024.17</v>
      </c>
    </row>
    <row r="9120" spans="1:8" customFormat="1" x14ac:dyDescent="0.25">
      <c r="A9120" t="str">
        <f>"8520709"</f>
        <v>8520709</v>
      </c>
      <c r="B9120" t="s">
        <v>11487</v>
      </c>
      <c r="C9120" t="s">
        <v>246</v>
      </c>
      <c r="D9120" s="21" t="s">
        <v>34</v>
      </c>
      <c r="E9120" s="21" t="s">
        <v>71</v>
      </c>
      <c r="F9120">
        <v>12850016</v>
      </c>
      <c r="G9120" t="s">
        <v>26554</v>
      </c>
      <c r="H9120" s="21">
        <v>1024.17</v>
      </c>
    </row>
    <row r="9121" spans="1:8" customFormat="1" x14ac:dyDescent="0.25">
      <c r="A9121" t="str">
        <f>"7610322"</f>
        <v>7610322</v>
      </c>
      <c r="B9121" t="s">
        <v>9500</v>
      </c>
      <c r="C9121" t="s">
        <v>233</v>
      </c>
      <c r="D9121" s="21" t="s">
        <v>34</v>
      </c>
      <c r="E9121" s="21" t="s">
        <v>71</v>
      </c>
      <c r="F9121">
        <v>9760039</v>
      </c>
      <c r="G9121" t="s">
        <v>9501</v>
      </c>
      <c r="H9121" s="21">
        <v>1024.17</v>
      </c>
    </row>
    <row r="9122" spans="1:8" customFormat="1" x14ac:dyDescent="0.25">
      <c r="A9122" t="str">
        <f>"5955296"</f>
        <v>5955296</v>
      </c>
      <c r="B9122" t="s">
        <v>7989</v>
      </c>
      <c r="C9122" t="s">
        <v>1605</v>
      </c>
      <c r="D9122" s="21" t="s">
        <v>34</v>
      </c>
      <c r="E9122" s="21" t="s">
        <v>71</v>
      </c>
      <c r="F9122">
        <v>7590033</v>
      </c>
      <c r="G9122" t="s">
        <v>6329</v>
      </c>
      <c r="H9122" s="21">
        <v>1024.17</v>
      </c>
    </row>
    <row r="9123" spans="1:8" customFormat="1" x14ac:dyDescent="0.25">
      <c r="A9123" t="str">
        <f>"9311519"</f>
        <v>9311519</v>
      </c>
      <c r="B9123" t="s">
        <v>3645</v>
      </c>
      <c r="C9123" t="s">
        <v>87</v>
      </c>
      <c r="D9123" s="21" t="s">
        <v>34</v>
      </c>
      <c r="E9123" s="21" t="s">
        <v>35</v>
      </c>
      <c r="F9123" t="s">
        <v>1477</v>
      </c>
      <c r="G9123" t="s">
        <v>1478</v>
      </c>
      <c r="H9123" s="21">
        <v>1024.04</v>
      </c>
    </row>
    <row r="9124" spans="1:8" customFormat="1" x14ac:dyDescent="0.25">
      <c r="A9124" t="str">
        <f>"8518003"</f>
        <v>8518003</v>
      </c>
      <c r="B9124" t="s">
        <v>2207</v>
      </c>
      <c r="C9124" t="s">
        <v>244</v>
      </c>
      <c r="D9124" s="21" t="s">
        <v>34</v>
      </c>
      <c r="E9124" s="21" t="s">
        <v>35</v>
      </c>
      <c r="F9124">
        <v>12850069</v>
      </c>
      <c r="G9124" t="s">
        <v>2154</v>
      </c>
      <c r="H9124" s="21">
        <v>1023.92</v>
      </c>
    </row>
    <row r="9125" spans="1:8" customFormat="1" x14ac:dyDescent="0.25">
      <c r="A9125" t="str">
        <f>"793236"</f>
        <v>793236</v>
      </c>
      <c r="B9125" t="s">
        <v>27092</v>
      </c>
      <c r="C9125" t="s">
        <v>719</v>
      </c>
      <c r="D9125" s="21" t="s">
        <v>34</v>
      </c>
      <c r="E9125" s="21" t="s">
        <v>35</v>
      </c>
      <c r="F9125">
        <v>8751260</v>
      </c>
      <c r="G9125" t="s">
        <v>10641</v>
      </c>
      <c r="H9125" s="21">
        <v>1023.8</v>
      </c>
    </row>
    <row r="9126" spans="1:8" customFormat="1" x14ac:dyDescent="0.25">
      <c r="A9126" t="str">
        <f>"6014331"</f>
        <v>6014331</v>
      </c>
      <c r="B9126" t="s">
        <v>8920</v>
      </c>
      <c r="C9126" t="s">
        <v>144</v>
      </c>
      <c r="D9126" s="21" t="s">
        <v>34</v>
      </c>
      <c r="E9126" s="21" t="s">
        <v>254</v>
      </c>
      <c r="F9126">
        <v>9270069</v>
      </c>
      <c r="G9126" t="s">
        <v>3509</v>
      </c>
      <c r="H9126" s="21">
        <v>1023.8</v>
      </c>
    </row>
    <row r="9127" spans="1:8" customFormat="1" x14ac:dyDescent="0.25">
      <c r="A9127" t="str">
        <f>"684474"</f>
        <v>684474</v>
      </c>
      <c r="B9127" t="s">
        <v>10068</v>
      </c>
      <c r="C9127" t="s">
        <v>462</v>
      </c>
      <c r="D9127" s="21" t="s">
        <v>34</v>
      </c>
      <c r="E9127" s="21" t="s">
        <v>71</v>
      </c>
      <c r="F9127">
        <v>6680118</v>
      </c>
      <c r="G9127" t="s">
        <v>4346</v>
      </c>
      <c r="H9127" s="21">
        <v>1023.67</v>
      </c>
    </row>
    <row r="9128" spans="1:8" customFormat="1" x14ac:dyDescent="0.25">
      <c r="A9128" t="str">
        <f>"597257"</f>
        <v>597257</v>
      </c>
      <c r="B9128" t="s">
        <v>11072</v>
      </c>
      <c r="C9128" t="s">
        <v>719</v>
      </c>
      <c r="D9128" s="21" t="s">
        <v>34</v>
      </c>
      <c r="E9128" s="21" t="s">
        <v>35</v>
      </c>
      <c r="F9128">
        <v>7590164</v>
      </c>
      <c r="G9128" t="s">
        <v>2451</v>
      </c>
      <c r="H9128" s="21">
        <v>1023.67</v>
      </c>
    </row>
    <row r="9129" spans="1:8" customFormat="1" x14ac:dyDescent="0.25">
      <c r="A9129" t="str">
        <f>"5611813"</f>
        <v>5611813</v>
      </c>
      <c r="B9129" t="s">
        <v>9199</v>
      </c>
      <c r="C9129" t="s">
        <v>576</v>
      </c>
      <c r="D9129" s="21" t="s">
        <v>34</v>
      </c>
      <c r="E9129" s="21" t="s">
        <v>35</v>
      </c>
      <c r="F9129">
        <v>3560053</v>
      </c>
      <c r="G9129" t="s">
        <v>298</v>
      </c>
      <c r="H9129" s="21">
        <v>1023.67</v>
      </c>
    </row>
    <row r="9130" spans="1:8" customFormat="1" x14ac:dyDescent="0.25">
      <c r="A9130" t="str">
        <f>"2711470"</f>
        <v>2711470</v>
      </c>
      <c r="B9130" t="s">
        <v>10754</v>
      </c>
      <c r="C9130" t="s">
        <v>119</v>
      </c>
      <c r="D9130" s="21" t="s">
        <v>34</v>
      </c>
      <c r="E9130" s="21" t="s">
        <v>35</v>
      </c>
      <c r="F9130">
        <v>9270180</v>
      </c>
      <c r="G9130" t="s">
        <v>10755</v>
      </c>
      <c r="H9130" s="21">
        <v>1023.67</v>
      </c>
    </row>
    <row r="9131" spans="1:8" customFormat="1" x14ac:dyDescent="0.25">
      <c r="A9131" t="str">
        <f>"616291"</f>
        <v>616291</v>
      </c>
      <c r="B9131" t="s">
        <v>5252</v>
      </c>
      <c r="C9131" t="s">
        <v>2322</v>
      </c>
      <c r="D9131" s="21" t="s">
        <v>34</v>
      </c>
      <c r="E9131" s="21" t="s">
        <v>71</v>
      </c>
      <c r="F9131">
        <v>3560094</v>
      </c>
      <c r="G9131" t="s">
        <v>10313</v>
      </c>
      <c r="H9131" s="21">
        <v>1023.67</v>
      </c>
    </row>
    <row r="9132" spans="1:8" customFormat="1" x14ac:dyDescent="0.25">
      <c r="A9132" t="str">
        <f>"4445682"</f>
        <v>4445682</v>
      </c>
      <c r="B9132" t="s">
        <v>2138</v>
      </c>
      <c r="C9132" t="s">
        <v>576</v>
      </c>
      <c r="D9132" s="21" t="s">
        <v>34</v>
      </c>
      <c r="E9132" s="21" t="s">
        <v>35</v>
      </c>
      <c r="F9132">
        <v>12440029</v>
      </c>
      <c r="G9132" t="s">
        <v>567</v>
      </c>
      <c r="H9132" s="21">
        <v>1023.67</v>
      </c>
    </row>
    <row r="9133" spans="1:8" customFormat="1" x14ac:dyDescent="0.25">
      <c r="A9133" t="str">
        <f>"566823"</f>
        <v>566823</v>
      </c>
      <c r="B9133" t="s">
        <v>1393</v>
      </c>
      <c r="C9133" t="s">
        <v>144</v>
      </c>
      <c r="D9133" s="21" t="s">
        <v>34</v>
      </c>
      <c r="E9133" s="21" t="s">
        <v>35</v>
      </c>
      <c r="F9133">
        <v>3560031</v>
      </c>
      <c r="G9133" t="s">
        <v>738</v>
      </c>
      <c r="H9133" s="21">
        <v>1023.67</v>
      </c>
    </row>
    <row r="9134" spans="1:8" customFormat="1" x14ac:dyDescent="0.25">
      <c r="A9134" t="str">
        <f>"72111"</f>
        <v>72111</v>
      </c>
      <c r="B9134" t="s">
        <v>8223</v>
      </c>
      <c r="C9134" t="s">
        <v>608</v>
      </c>
      <c r="D9134" s="21" t="s">
        <v>34</v>
      </c>
      <c r="E9134" s="21" t="s">
        <v>71</v>
      </c>
      <c r="F9134">
        <v>12720027</v>
      </c>
      <c r="G9134" t="s">
        <v>3562</v>
      </c>
      <c r="H9134" s="21">
        <v>1023.67</v>
      </c>
    </row>
    <row r="9135" spans="1:8" customFormat="1" x14ac:dyDescent="0.25">
      <c r="A9135" t="str">
        <f>"2532"</f>
        <v>2532</v>
      </c>
      <c r="B9135" t="s">
        <v>3947</v>
      </c>
      <c r="C9135" t="s">
        <v>1025</v>
      </c>
      <c r="D9135" s="21" t="s">
        <v>34</v>
      </c>
      <c r="E9135" s="21" t="s">
        <v>1089</v>
      </c>
      <c r="F9135">
        <v>2250002</v>
      </c>
      <c r="G9135" t="s">
        <v>2745</v>
      </c>
      <c r="H9135" s="21">
        <v>1023.67</v>
      </c>
    </row>
    <row r="9136" spans="1:8" customFormat="1" x14ac:dyDescent="0.25">
      <c r="A9136" t="str">
        <f>"6315616"</f>
        <v>6315616</v>
      </c>
      <c r="B9136" t="s">
        <v>10076</v>
      </c>
      <c r="C9136" t="s">
        <v>204</v>
      </c>
      <c r="D9136" s="21" t="s">
        <v>34</v>
      </c>
      <c r="E9136" s="21" t="s">
        <v>35</v>
      </c>
      <c r="F9136">
        <v>1630303</v>
      </c>
      <c r="G9136" t="s">
        <v>8915</v>
      </c>
      <c r="H9136" s="21">
        <v>1023.67</v>
      </c>
    </row>
    <row r="9137" spans="1:8" customFormat="1" x14ac:dyDescent="0.25">
      <c r="A9137" t="str">
        <f>"191207"</f>
        <v>191207</v>
      </c>
      <c r="B9137" t="s">
        <v>7900</v>
      </c>
      <c r="C9137" t="s">
        <v>249</v>
      </c>
      <c r="D9137" s="21" t="s">
        <v>34</v>
      </c>
      <c r="E9137" s="21" t="s">
        <v>71</v>
      </c>
      <c r="F9137">
        <v>10190096</v>
      </c>
      <c r="G9137" t="s">
        <v>3949</v>
      </c>
      <c r="H9137" s="21">
        <v>1023.67</v>
      </c>
    </row>
    <row r="9138" spans="1:8" customFormat="1" x14ac:dyDescent="0.25">
      <c r="A9138" t="str">
        <f>"2512934"</f>
        <v>2512934</v>
      </c>
      <c r="B9138" t="s">
        <v>8027</v>
      </c>
      <c r="C9138" t="s">
        <v>156</v>
      </c>
      <c r="D9138" s="21" t="s">
        <v>34</v>
      </c>
      <c r="E9138" s="21" t="s">
        <v>1089</v>
      </c>
      <c r="F9138">
        <v>2250002</v>
      </c>
      <c r="G9138" t="s">
        <v>2745</v>
      </c>
      <c r="H9138" s="21">
        <v>1023.67</v>
      </c>
    </row>
    <row r="9139" spans="1:8" customFormat="1" x14ac:dyDescent="0.25">
      <c r="A9139" t="str">
        <f>"49804"</f>
        <v>49804</v>
      </c>
      <c r="B9139" t="s">
        <v>1954</v>
      </c>
      <c r="C9139" t="s">
        <v>209</v>
      </c>
      <c r="D9139" s="21" t="s">
        <v>34</v>
      </c>
      <c r="E9139" s="21" t="s">
        <v>254</v>
      </c>
      <c r="F9139">
        <v>12490029</v>
      </c>
      <c r="G9139" t="s">
        <v>3485</v>
      </c>
      <c r="H9139" s="21">
        <v>1023.54</v>
      </c>
    </row>
    <row r="9140" spans="1:8" customFormat="1" x14ac:dyDescent="0.25">
      <c r="A9140" t="str">
        <f>"9439810"</f>
        <v>9439810</v>
      </c>
      <c r="B9140" t="s">
        <v>1590</v>
      </c>
      <c r="C9140" t="s">
        <v>459</v>
      </c>
      <c r="D9140" s="21" t="s">
        <v>34</v>
      </c>
      <c r="E9140" s="21" t="s">
        <v>71</v>
      </c>
      <c r="F9140">
        <v>8940448</v>
      </c>
      <c r="G9140" t="s">
        <v>1691</v>
      </c>
      <c r="H9140" s="21">
        <v>1023.43</v>
      </c>
    </row>
    <row r="9141" spans="1:8" customFormat="1" x14ac:dyDescent="0.25">
      <c r="A9141" t="str">
        <f>"70171"</f>
        <v>70171</v>
      </c>
      <c r="B9141" t="s">
        <v>8727</v>
      </c>
      <c r="C9141" t="s">
        <v>171</v>
      </c>
      <c r="D9141" s="21" t="s">
        <v>34</v>
      </c>
      <c r="E9141" s="21" t="s">
        <v>254</v>
      </c>
      <c r="F9141">
        <v>2700018</v>
      </c>
      <c r="G9141" t="s">
        <v>3723</v>
      </c>
      <c r="H9141" s="21">
        <v>1023.17</v>
      </c>
    </row>
    <row r="9142" spans="1:8" customFormat="1" x14ac:dyDescent="0.25">
      <c r="A9142" t="str">
        <f>"5317385"</f>
        <v>5317385</v>
      </c>
      <c r="B9142" t="s">
        <v>4352</v>
      </c>
      <c r="C9142" t="s">
        <v>121</v>
      </c>
      <c r="D9142" s="21" t="s">
        <v>34</v>
      </c>
      <c r="E9142" s="21" t="s">
        <v>71</v>
      </c>
      <c r="F9142">
        <v>12530077</v>
      </c>
      <c r="G9142" t="s">
        <v>9191</v>
      </c>
      <c r="H9142" s="21">
        <v>1023.17</v>
      </c>
    </row>
    <row r="9143" spans="1:8" customFormat="1" x14ac:dyDescent="0.25">
      <c r="A9143" t="str">
        <f>"2928734"</f>
        <v>2928734</v>
      </c>
      <c r="B9143" t="s">
        <v>9481</v>
      </c>
      <c r="C9143" t="s">
        <v>598</v>
      </c>
      <c r="D9143" s="21" t="s">
        <v>34</v>
      </c>
      <c r="E9143" s="21" t="s">
        <v>254</v>
      </c>
      <c r="F9143">
        <v>3290217</v>
      </c>
      <c r="G9143" t="s">
        <v>6770</v>
      </c>
      <c r="H9143" s="21">
        <v>1023.17</v>
      </c>
    </row>
    <row r="9144" spans="1:8" customFormat="1" x14ac:dyDescent="0.25">
      <c r="A9144" t="str">
        <f>"807205"</f>
        <v>807205</v>
      </c>
      <c r="B9144" t="s">
        <v>10160</v>
      </c>
      <c r="C9144" t="s">
        <v>608</v>
      </c>
      <c r="D9144" s="21" t="s">
        <v>34</v>
      </c>
      <c r="E9144" s="21" t="s">
        <v>35</v>
      </c>
      <c r="F9144">
        <v>7800107</v>
      </c>
      <c r="G9144" t="s">
        <v>10161</v>
      </c>
      <c r="H9144" s="21">
        <v>1023.17</v>
      </c>
    </row>
    <row r="9145" spans="1:8" customFormat="1" x14ac:dyDescent="0.25">
      <c r="A9145" t="str">
        <f>"028464"</f>
        <v>028464</v>
      </c>
      <c r="B9145" t="s">
        <v>8387</v>
      </c>
      <c r="C9145" t="s">
        <v>139</v>
      </c>
      <c r="D9145" s="21" t="s">
        <v>34</v>
      </c>
      <c r="E9145" s="21" t="s">
        <v>35</v>
      </c>
      <c r="F9145">
        <v>7020019</v>
      </c>
      <c r="G9145" t="s">
        <v>7912</v>
      </c>
      <c r="H9145" s="21">
        <v>1023.17</v>
      </c>
    </row>
    <row r="9146" spans="1:8" customFormat="1" x14ac:dyDescent="0.25">
      <c r="A9146" t="str">
        <f>"301392"</f>
        <v>301392</v>
      </c>
      <c r="B9146" t="s">
        <v>8800</v>
      </c>
      <c r="C9146" t="s">
        <v>269</v>
      </c>
      <c r="D9146" s="21" t="s">
        <v>34</v>
      </c>
      <c r="E9146" s="21" t="s">
        <v>71</v>
      </c>
      <c r="F9146">
        <v>11300014</v>
      </c>
      <c r="G9146" t="s">
        <v>2345</v>
      </c>
      <c r="H9146" s="21">
        <v>1023.17</v>
      </c>
    </row>
    <row r="9147" spans="1:8" customFormat="1" x14ac:dyDescent="0.25">
      <c r="A9147" t="str">
        <f>"393619"</f>
        <v>393619</v>
      </c>
      <c r="B9147" t="s">
        <v>9310</v>
      </c>
      <c r="C9147" t="s">
        <v>2232</v>
      </c>
      <c r="D9147" s="21" t="s">
        <v>34</v>
      </c>
      <c r="E9147" s="21" t="s">
        <v>71</v>
      </c>
      <c r="F9147">
        <v>2700077</v>
      </c>
      <c r="G9147" t="s">
        <v>9311</v>
      </c>
      <c r="H9147" s="21">
        <v>1023.17</v>
      </c>
    </row>
    <row r="9148" spans="1:8" customFormat="1" x14ac:dyDescent="0.25">
      <c r="A9148" t="str">
        <f>"9216310"</f>
        <v>9216310</v>
      </c>
      <c r="B9148" t="s">
        <v>6270</v>
      </c>
      <c r="C9148" t="s">
        <v>55</v>
      </c>
      <c r="D9148" s="21" t="s">
        <v>34</v>
      </c>
      <c r="E9148" s="21" t="s">
        <v>71</v>
      </c>
      <c r="F9148">
        <v>8780440</v>
      </c>
      <c r="G9148" t="s">
        <v>6629</v>
      </c>
      <c r="H9148" s="21">
        <v>1023.17</v>
      </c>
    </row>
    <row r="9149" spans="1:8" customFormat="1" x14ac:dyDescent="0.25">
      <c r="A9149" t="str">
        <f>"8811143"</f>
        <v>8811143</v>
      </c>
      <c r="B9149" t="s">
        <v>9278</v>
      </c>
      <c r="C9149" t="s">
        <v>204</v>
      </c>
      <c r="D9149" s="21" t="s">
        <v>34</v>
      </c>
      <c r="E9149" s="21" t="s">
        <v>71</v>
      </c>
      <c r="F9149">
        <v>6880066</v>
      </c>
      <c r="G9149" t="s">
        <v>4833</v>
      </c>
      <c r="H9149" s="21">
        <v>1023.17</v>
      </c>
    </row>
    <row r="9150" spans="1:8" customFormat="1" x14ac:dyDescent="0.25">
      <c r="A9150" t="str">
        <f>"8312601"</f>
        <v>8312601</v>
      </c>
      <c r="B9150" t="s">
        <v>10456</v>
      </c>
      <c r="C9150" t="s">
        <v>311</v>
      </c>
      <c r="D9150" s="21" t="s">
        <v>34</v>
      </c>
      <c r="E9150" s="21" t="s">
        <v>35</v>
      </c>
      <c r="F9150">
        <v>13830060</v>
      </c>
      <c r="G9150" t="s">
        <v>5856</v>
      </c>
      <c r="H9150" s="21">
        <v>1023.17</v>
      </c>
    </row>
    <row r="9151" spans="1:8" customFormat="1" x14ac:dyDescent="0.25">
      <c r="A9151" t="str">
        <f>"608481"</f>
        <v>608481</v>
      </c>
      <c r="B9151" t="s">
        <v>7911</v>
      </c>
      <c r="C9151" t="s">
        <v>239</v>
      </c>
      <c r="D9151" s="21" t="s">
        <v>34</v>
      </c>
      <c r="E9151" s="21" t="s">
        <v>71</v>
      </c>
      <c r="F9151">
        <v>7600039</v>
      </c>
      <c r="G9151" t="s">
        <v>3151</v>
      </c>
      <c r="H9151" s="21">
        <v>1023.17</v>
      </c>
    </row>
    <row r="9152" spans="1:8" customFormat="1" x14ac:dyDescent="0.25">
      <c r="A9152" t="str">
        <f>"5319883"</f>
        <v>5319883</v>
      </c>
      <c r="B9152" t="s">
        <v>9298</v>
      </c>
      <c r="C9152" t="s">
        <v>249</v>
      </c>
      <c r="D9152" s="21" t="s">
        <v>34</v>
      </c>
      <c r="E9152" s="21" t="s">
        <v>35</v>
      </c>
      <c r="F9152">
        <v>12538907</v>
      </c>
      <c r="G9152" t="s">
        <v>9299</v>
      </c>
      <c r="H9152" s="21">
        <v>1023.17</v>
      </c>
    </row>
    <row r="9153" spans="1:8" customFormat="1" x14ac:dyDescent="0.25">
      <c r="A9153" t="str">
        <f>"4926633"</f>
        <v>4926633</v>
      </c>
      <c r="B9153" t="s">
        <v>5380</v>
      </c>
      <c r="C9153" t="s">
        <v>249</v>
      </c>
      <c r="D9153" s="21" t="s">
        <v>34</v>
      </c>
      <c r="E9153" s="21" t="s">
        <v>71</v>
      </c>
      <c r="F9153">
        <v>12490006</v>
      </c>
      <c r="G9153" t="s">
        <v>1480</v>
      </c>
      <c r="H9153" s="21">
        <v>1023.17</v>
      </c>
    </row>
    <row r="9154" spans="1:8" customFormat="1" x14ac:dyDescent="0.25">
      <c r="A9154" t="str">
        <f>"7814624"</f>
        <v>7814624</v>
      </c>
      <c r="B9154" t="s">
        <v>8887</v>
      </c>
      <c r="C9154" t="s">
        <v>267</v>
      </c>
      <c r="D9154" s="21" t="s">
        <v>34</v>
      </c>
      <c r="E9154" s="21" t="s">
        <v>254</v>
      </c>
      <c r="F9154">
        <v>8780356</v>
      </c>
      <c r="G9154" t="s">
        <v>5449</v>
      </c>
      <c r="H9154" s="21">
        <v>1022.92</v>
      </c>
    </row>
    <row r="9155" spans="1:8" customFormat="1" x14ac:dyDescent="0.25">
      <c r="A9155" t="str">
        <f>"5112227"</f>
        <v>5112227</v>
      </c>
      <c r="B9155" t="s">
        <v>13259</v>
      </c>
      <c r="C9155" t="s">
        <v>288</v>
      </c>
      <c r="D9155" s="21" t="s">
        <v>34</v>
      </c>
      <c r="E9155" s="21" t="s">
        <v>35</v>
      </c>
      <c r="F9155">
        <v>6510112</v>
      </c>
      <c r="G9155" t="s">
        <v>588</v>
      </c>
      <c r="H9155" s="21">
        <v>1022.67</v>
      </c>
    </row>
    <row r="9156" spans="1:8" customFormat="1" x14ac:dyDescent="0.25">
      <c r="A9156" t="str">
        <f>"498132"</f>
        <v>498132</v>
      </c>
      <c r="B9156" t="s">
        <v>24196</v>
      </c>
      <c r="C9156" t="s">
        <v>90</v>
      </c>
      <c r="D9156" s="21" t="s">
        <v>34</v>
      </c>
      <c r="E9156" s="21" t="s">
        <v>35</v>
      </c>
      <c r="F9156">
        <v>12490120</v>
      </c>
      <c r="G9156" t="s">
        <v>2316</v>
      </c>
      <c r="H9156" s="21">
        <v>1022.67</v>
      </c>
    </row>
    <row r="9157" spans="1:8" customFormat="1" x14ac:dyDescent="0.25">
      <c r="A9157" t="str">
        <f>"2916636"</f>
        <v>2916636</v>
      </c>
      <c r="B9157" t="s">
        <v>9639</v>
      </c>
      <c r="C9157" t="s">
        <v>415</v>
      </c>
      <c r="D9157" s="21" t="s">
        <v>34</v>
      </c>
      <c r="E9157" s="21" t="s">
        <v>71</v>
      </c>
      <c r="F9157">
        <v>3290223</v>
      </c>
      <c r="G9157" t="s">
        <v>2636</v>
      </c>
      <c r="H9157" s="21">
        <v>1022.67</v>
      </c>
    </row>
    <row r="9158" spans="1:8" customFormat="1" x14ac:dyDescent="0.25">
      <c r="A9158" t="str">
        <f>"936907"</f>
        <v>936907</v>
      </c>
      <c r="B9158" t="s">
        <v>11045</v>
      </c>
      <c r="C9158" t="s">
        <v>187</v>
      </c>
      <c r="D9158" s="21" t="s">
        <v>34</v>
      </c>
      <c r="E9158" s="21" t="s">
        <v>35</v>
      </c>
      <c r="F9158">
        <v>8931032</v>
      </c>
      <c r="G9158" t="s">
        <v>10451</v>
      </c>
      <c r="H9158" s="21">
        <v>1022.67</v>
      </c>
    </row>
    <row r="9159" spans="1:8" customFormat="1" x14ac:dyDescent="0.25">
      <c r="A9159" t="str">
        <f>"5111975"</f>
        <v>5111975</v>
      </c>
      <c r="B9159" t="s">
        <v>9536</v>
      </c>
      <c r="C9159" t="s">
        <v>169</v>
      </c>
      <c r="D9159" s="21" t="s">
        <v>34</v>
      </c>
      <c r="E9159" s="21" t="s">
        <v>71</v>
      </c>
      <c r="F9159">
        <v>6510015</v>
      </c>
      <c r="G9159" t="s">
        <v>5462</v>
      </c>
      <c r="H9159" s="21">
        <v>1022.67</v>
      </c>
    </row>
    <row r="9160" spans="1:8" customFormat="1" x14ac:dyDescent="0.25">
      <c r="A9160" t="str">
        <f>"3526697"</f>
        <v>3526697</v>
      </c>
      <c r="B9160" t="s">
        <v>9459</v>
      </c>
      <c r="C9160" t="s">
        <v>114</v>
      </c>
      <c r="D9160" s="21" t="s">
        <v>34</v>
      </c>
      <c r="E9160" s="21" t="s">
        <v>71</v>
      </c>
      <c r="F9160">
        <v>3350122</v>
      </c>
      <c r="G9160" t="s">
        <v>3069</v>
      </c>
      <c r="H9160" s="21">
        <v>1022.67</v>
      </c>
    </row>
    <row r="9161" spans="1:8" customFormat="1" x14ac:dyDescent="0.25">
      <c r="A9161" t="str">
        <f>"4112878"</f>
        <v>4112878</v>
      </c>
      <c r="B9161" t="s">
        <v>10837</v>
      </c>
      <c r="C9161" t="s">
        <v>109</v>
      </c>
      <c r="D9161" s="21" t="s">
        <v>34</v>
      </c>
      <c r="E9161" s="21" t="s">
        <v>35</v>
      </c>
      <c r="F9161">
        <v>4410217</v>
      </c>
      <c r="G9161" t="s">
        <v>10838</v>
      </c>
      <c r="H9161" s="21">
        <v>1022.67</v>
      </c>
    </row>
    <row r="9162" spans="1:8" customFormat="1" x14ac:dyDescent="0.25">
      <c r="A9162" t="str">
        <f>"6923400"</f>
        <v>6923400</v>
      </c>
      <c r="B9162" t="s">
        <v>8468</v>
      </c>
      <c r="C9162" t="s">
        <v>8469</v>
      </c>
      <c r="D9162" s="21" t="s">
        <v>34</v>
      </c>
      <c r="E9162" s="21" t="s">
        <v>35</v>
      </c>
      <c r="F9162">
        <v>1690224</v>
      </c>
      <c r="G9162" t="s">
        <v>27093</v>
      </c>
      <c r="H9162" s="21">
        <v>1022.67</v>
      </c>
    </row>
    <row r="9163" spans="1:8" customFormat="1" x14ac:dyDescent="0.25">
      <c r="A9163" t="str">
        <f>"3726685"</f>
        <v>3726685</v>
      </c>
      <c r="B9163" t="s">
        <v>2398</v>
      </c>
      <c r="C9163" t="s">
        <v>119</v>
      </c>
      <c r="D9163" s="21" t="s">
        <v>34</v>
      </c>
      <c r="E9163" s="21" t="s">
        <v>35</v>
      </c>
      <c r="F9163">
        <v>3290232</v>
      </c>
      <c r="G9163" t="s">
        <v>9588</v>
      </c>
      <c r="H9163" s="21">
        <v>1022.67</v>
      </c>
    </row>
    <row r="9164" spans="1:8" customFormat="1" x14ac:dyDescent="0.25">
      <c r="A9164" t="str">
        <f>"499268"</f>
        <v>499268</v>
      </c>
      <c r="B9164" t="s">
        <v>1079</v>
      </c>
      <c r="C9164" t="s">
        <v>156</v>
      </c>
      <c r="D9164" s="21" t="s">
        <v>34</v>
      </c>
      <c r="E9164" s="21" t="s">
        <v>35</v>
      </c>
      <c r="F9164">
        <v>12490020</v>
      </c>
      <c r="G9164" t="s">
        <v>5370</v>
      </c>
      <c r="H9164" s="21">
        <v>1022.67</v>
      </c>
    </row>
    <row r="9165" spans="1:8" customFormat="1" x14ac:dyDescent="0.25">
      <c r="A9165" t="str">
        <f>"42301"</f>
        <v>42301</v>
      </c>
      <c r="B9165" t="s">
        <v>9777</v>
      </c>
      <c r="C9165" t="s">
        <v>2529</v>
      </c>
      <c r="D9165" s="21" t="s">
        <v>34</v>
      </c>
      <c r="E9165" s="21" t="s">
        <v>71</v>
      </c>
      <c r="F9165">
        <v>1420018</v>
      </c>
      <c r="G9165" t="s">
        <v>9778</v>
      </c>
      <c r="H9165" s="21">
        <v>1022.67</v>
      </c>
    </row>
    <row r="9166" spans="1:8" customFormat="1" x14ac:dyDescent="0.25">
      <c r="A9166" t="str">
        <f>"813309"</f>
        <v>813309</v>
      </c>
      <c r="B9166" t="s">
        <v>9903</v>
      </c>
      <c r="C9166" t="s">
        <v>1489</v>
      </c>
      <c r="D9166" s="21" t="s">
        <v>34</v>
      </c>
      <c r="E9166" s="21" t="s">
        <v>35</v>
      </c>
      <c r="F9166">
        <v>11810015</v>
      </c>
      <c r="G9166" t="s">
        <v>9678</v>
      </c>
      <c r="H9166" s="21">
        <v>1022.55</v>
      </c>
    </row>
    <row r="9167" spans="1:8" customFormat="1" x14ac:dyDescent="0.25">
      <c r="A9167" t="str">
        <f>"81915"</f>
        <v>81915</v>
      </c>
      <c r="B9167" t="s">
        <v>61</v>
      </c>
      <c r="C9167" t="s">
        <v>285</v>
      </c>
      <c r="D9167" s="21" t="s">
        <v>34</v>
      </c>
      <c r="E9167" s="21" t="s">
        <v>35</v>
      </c>
      <c r="F9167">
        <v>11310124</v>
      </c>
      <c r="G9167" t="s">
        <v>7977</v>
      </c>
      <c r="H9167" s="21">
        <v>1022.55</v>
      </c>
    </row>
    <row r="9168" spans="1:8" customFormat="1" x14ac:dyDescent="0.25">
      <c r="A9168" t="str">
        <f>"14744"</f>
        <v>14744</v>
      </c>
      <c r="B9168" t="s">
        <v>8669</v>
      </c>
      <c r="C9168" t="s">
        <v>2529</v>
      </c>
      <c r="D9168" s="21" t="s">
        <v>34</v>
      </c>
      <c r="E9168" s="21" t="s">
        <v>254</v>
      </c>
      <c r="F9168">
        <v>9140078</v>
      </c>
      <c r="G9168" t="s">
        <v>1920</v>
      </c>
      <c r="H9168" s="21">
        <v>1022.55</v>
      </c>
    </row>
    <row r="9169" spans="1:8" customFormat="1" x14ac:dyDescent="0.25">
      <c r="A9169" t="str">
        <f>"5310377"</f>
        <v>5310377</v>
      </c>
      <c r="B9169" t="s">
        <v>5092</v>
      </c>
      <c r="C9169" t="s">
        <v>576</v>
      </c>
      <c r="D9169" s="21" t="s">
        <v>34</v>
      </c>
      <c r="E9169" s="21" t="s">
        <v>35</v>
      </c>
      <c r="F9169">
        <v>9610009</v>
      </c>
      <c r="G9169" t="s">
        <v>282</v>
      </c>
      <c r="H9169" s="21">
        <v>1022.42</v>
      </c>
    </row>
    <row r="9170" spans="1:8" customFormat="1" x14ac:dyDescent="0.25">
      <c r="A9170" t="str">
        <f>"8613484"</f>
        <v>8613484</v>
      </c>
      <c r="B9170" t="s">
        <v>3733</v>
      </c>
      <c r="C9170" t="s">
        <v>169</v>
      </c>
      <c r="D9170" s="21" t="s">
        <v>34</v>
      </c>
      <c r="E9170" s="21" t="s">
        <v>71</v>
      </c>
      <c r="F9170">
        <v>10860015</v>
      </c>
      <c r="G9170" t="s">
        <v>3680</v>
      </c>
      <c r="H9170" s="21">
        <v>1022.42</v>
      </c>
    </row>
    <row r="9171" spans="1:8" customFormat="1" x14ac:dyDescent="0.25">
      <c r="A9171" t="str">
        <f>"2719209"</f>
        <v>2719209</v>
      </c>
      <c r="B9171" t="s">
        <v>17405</v>
      </c>
      <c r="C9171" t="s">
        <v>2475</v>
      </c>
      <c r="D9171" s="21" t="s">
        <v>34</v>
      </c>
      <c r="E9171" s="21" t="s">
        <v>35</v>
      </c>
      <c r="F9171">
        <v>9270069</v>
      </c>
      <c r="G9171" t="s">
        <v>3509</v>
      </c>
      <c r="H9171" s="21">
        <v>1022.29</v>
      </c>
    </row>
    <row r="9172" spans="1:8" customFormat="1" x14ac:dyDescent="0.25">
      <c r="A9172" t="str">
        <f>"811554"</f>
        <v>811554</v>
      </c>
      <c r="B9172" t="s">
        <v>7976</v>
      </c>
      <c r="C9172" t="s">
        <v>528</v>
      </c>
      <c r="D9172" s="21" t="s">
        <v>34</v>
      </c>
      <c r="E9172" s="21" t="s">
        <v>254</v>
      </c>
      <c r="F9172">
        <v>11310124</v>
      </c>
      <c r="G9172" t="s">
        <v>7977</v>
      </c>
      <c r="H9172" s="21">
        <v>1022.17</v>
      </c>
    </row>
    <row r="9173" spans="1:8" customFormat="1" x14ac:dyDescent="0.25">
      <c r="A9173" t="str">
        <f>"8517195"</f>
        <v>8517195</v>
      </c>
      <c r="B9173" t="s">
        <v>3900</v>
      </c>
      <c r="C9173" t="s">
        <v>288</v>
      </c>
      <c r="D9173" s="21" t="s">
        <v>34</v>
      </c>
      <c r="E9173" s="21" t="s">
        <v>35</v>
      </c>
      <c r="F9173">
        <v>12850135</v>
      </c>
      <c r="G9173" t="s">
        <v>5201</v>
      </c>
      <c r="H9173" s="21">
        <v>1022.17</v>
      </c>
    </row>
    <row r="9174" spans="1:8" customFormat="1" x14ac:dyDescent="0.25">
      <c r="A9174" t="str">
        <f>"675372"</f>
        <v>675372</v>
      </c>
      <c r="B9174" t="s">
        <v>4134</v>
      </c>
      <c r="C9174" t="s">
        <v>664</v>
      </c>
      <c r="D9174" s="21" t="s">
        <v>34</v>
      </c>
      <c r="E9174" s="21" t="s">
        <v>71</v>
      </c>
      <c r="F9174">
        <v>6670221</v>
      </c>
      <c r="G9174" t="s">
        <v>3742</v>
      </c>
      <c r="H9174" s="21">
        <v>1022.17</v>
      </c>
    </row>
    <row r="9175" spans="1:8" customFormat="1" x14ac:dyDescent="0.25">
      <c r="A9175" t="str">
        <f>"2710148"</f>
        <v>2710148</v>
      </c>
      <c r="B9175" t="s">
        <v>890</v>
      </c>
      <c r="C9175" t="s">
        <v>415</v>
      </c>
      <c r="D9175" s="21" t="s">
        <v>34</v>
      </c>
      <c r="E9175" s="21" t="s">
        <v>71</v>
      </c>
      <c r="F9175">
        <v>9760351</v>
      </c>
      <c r="G9175" t="s">
        <v>5898</v>
      </c>
      <c r="H9175" s="21">
        <v>1022.17</v>
      </c>
    </row>
    <row r="9176" spans="1:8" customFormat="1" x14ac:dyDescent="0.25">
      <c r="A9176" t="str">
        <f>"6933313"</f>
        <v>6933313</v>
      </c>
      <c r="B9176" t="s">
        <v>9434</v>
      </c>
      <c r="C9176" t="s">
        <v>144</v>
      </c>
      <c r="D9176" s="21" t="s">
        <v>34</v>
      </c>
      <c r="E9176" s="21" t="s">
        <v>35</v>
      </c>
      <c r="F9176">
        <v>1690223</v>
      </c>
      <c r="G9176" t="s">
        <v>26579</v>
      </c>
      <c r="H9176" s="21">
        <v>1022.17</v>
      </c>
    </row>
    <row r="9177" spans="1:8" customFormat="1" x14ac:dyDescent="0.25">
      <c r="A9177" t="str">
        <f>"3522818"</f>
        <v>3522818</v>
      </c>
      <c r="B9177" t="s">
        <v>9658</v>
      </c>
      <c r="C9177" t="s">
        <v>712</v>
      </c>
      <c r="D9177" s="21" t="s">
        <v>34</v>
      </c>
      <c r="E9177" s="21" t="s">
        <v>71</v>
      </c>
      <c r="F9177">
        <v>3350090</v>
      </c>
      <c r="G9177" t="s">
        <v>9659</v>
      </c>
      <c r="H9177" s="21">
        <v>1022.17</v>
      </c>
    </row>
    <row r="9178" spans="1:8" customFormat="1" x14ac:dyDescent="0.25">
      <c r="A9178" t="str">
        <f>"75532"</f>
        <v>75532</v>
      </c>
      <c r="B9178" t="s">
        <v>1722</v>
      </c>
      <c r="C9178" t="s">
        <v>124</v>
      </c>
      <c r="D9178" s="21" t="s">
        <v>34</v>
      </c>
      <c r="E9178" s="21" t="s">
        <v>254</v>
      </c>
      <c r="F9178">
        <v>8950262</v>
      </c>
      <c r="G9178" t="s">
        <v>1881</v>
      </c>
      <c r="H9178" s="21">
        <v>1022.17</v>
      </c>
    </row>
    <row r="9179" spans="1:8" customFormat="1" x14ac:dyDescent="0.25">
      <c r="A9179" t="str">
        <f>"544559"</f>
        <v>544559</v>
      </c>
      <c r="B9179" t="s">
        <v>760</v>
      </c>
      <c r="C9179" t="s">
        <v>2475</v>
      </c>
      <c r="D9179" s="21" t="s">
        <v>34</v>
      </c>
      <c r="E9179" s="21" t="s">
        <v>35</v>
      </c>
      <c r="F9179">
        <v>6540184</v>
      </c>
      <c r="G9179" t="s">
        <v>4395</v>
      </c>
      <c r="H9179" s="21">
        <v>1022.17</v>
      </c>
    </row>
    <row r="9180" spans="1:8" customFormat="1" x14ac:dyDescent="0.25">
      <c r="A9180" t="str">
        <f>"3524718"</f>
        <v>3524718</v>
      </c>
      <c r="B9180" t="s">
        <v>7409</v>
      </c>
      <c r="C9180" t="s">
        <v>9554</v>
      </c>
      <c r="D9180" s="21" t="s">
        <v>34</v>
      </c>
      <c r="E9180" s="21" t="s">
        <v>35</v>
      </c>
      <c r="F9180">
        <v>3350212</v>
      </c>
      <c r="G9180" t="s">
        <v>5154</v>
      </c>
      <c r="H9180" s="21">
        <v>1022.17</v>
      </c>
    </row>
    <row r="9181" spans="1:8" customFormat="1" x14ac:dyDescent="0.25">
      <c r="A9181" t="str">
        <f>"254372"</f>
        <v>254372</v>
      </c>
      <c r="B9181" t="s">
        <v>27094</v>
      </c>
      <c r="C9181" t="s">
        <v>328</v>
      </c>
      <c r="D9181" s="21" t="s">
        <v>34</v>
      </c>
      <c r="E9181" s="21" t="s">
        <v>35</v>
      </c>
      <c r="F9181">
        <v>1150290</v>
      </c>
      <c r="G9181" t="s">
        <v>12544</v>
      </c>
      <c r="H9181" s="21">
        <v>1022.17</v>
      </c>
    </row>
    <row r="9182" spans="1:8" customFormat="1" x14ac:dyDescent="0.25">
      <c r="A9182" t="str">
        <f>"421875"</f>
        <v>421875</v>
      </c>
      <c r="B9182" t="s">
        <v>7849</v>
      </c>
      <c r="C9182" t="s">
        <v>109</v>
      </c>
      <c r="D9182" s="21" t="s">
        <v>34</v>
      </c>
      <c r="E9182" s="21" t="s">
        <v>35</v>
      </c>
      <c r="F9182">
        <v>1420152</v>
      </c>
      <c r="G9182" t="s">
        <v>2948</v>
      </c>
      <c r="H9182" s="21">
        <v>1022.05</v>
      </c>
    </row>
    <row r="9183" spans="1:8" customFormat="1" x14ac:dyDescent="0.25">
      <c r="A9183" t="str">
        <f>"537940"</f>
        <v>537940</v>
      </c>
      <c r="B9183" t="s">
        <v>2738</v>
      </c>
      <c r="C9183" t="s">
        <v>2479</v>
      </c>
      <c r="D9183" s="21" t="s">
        <v>34</v>
      </c>
      <c r="E9183" s="21" t="s">
        <v>71</v>
      </c>
      <c r="F9183">
        <v>12530054</v>
      </c>
      <c r="G9183" t="s">
        <v>354</v>
      </c>
      <c r="H9183" s="21">
        <v>1021.92</v>
      </c>
    </row>
    <row r="9184" spans="1:8" customFormat="1" x14ac:dyDescent="0.25">
      <c r="A9184" t="str">
        <f>"786283"</f>
        <v>786283</v>
      </c>
      <c r="B9184" t="s">
        <v>9586</v>
      </c>
      <c r="C9184" t="s">
        <v>209</v>
      </c>
      <c r="D9184" s="21" t="s">
        <v>34</v>
      </c>
      <c r="E9184" s="21" t="s">
        <v>254</v>
      </c>
      <c r="F9184">
        <v>8780660</v>
      </c>
      <c r="G9184" t="s">
        <v>2801</v>
      </c>
      <c r="H9184" s="21">
        <v>1021.92</v>
      </c>
    </row>
    <row r="9185" spans="1:8" customFormat="1" x14ac:dyDescent="0.25">
      <c r="A9185" t="str">
        <f>"9438271"</f>
        <v>9438271</v>
      </c>
      <c r="B9185" t="s">
        <v>10527</v>
      </c>
      <c r="C9185" t="s">
        <v>2520</v>
      </c>
      <c r="D9185" s="21" t="s">
        <v>34</v>
      </c>
      <c r="E9185" s="21" t="s">
        <v>71</v>
      </c>
      <c r="F9185">
        <v>8940655</v>
      </c>
      <c r="G9185" t="s">
        <v>10168</v>
      </c>
      <c r="H9185" s="21">
        <v>1021.68</v>
      </c>
    </row>
    <row r="9186" spans="1:8" customFormat="1" x14ac:dyDescent="0.25">
      <c r="A9186" t="str">
        <f>"1416523"</f>
        <v>1416523</v>
      </c>
      <c r="B9186" t="s">
        <v>8973</v>
      </c>
      <c r="C9186" t="s">
        <v>267</v>
      </c>
      <c r="D9186" s="21" t="s">
        <v>34</v>
      </c>
      <c r="E9186" s="21" t="s">
        <v>71</v>
      </c>
      <c r="F9186">
        <v>9140052</v>
      </c>
      <c r="G9186" t="s">
        <v>26563</v>
      </c>
      <c r="H9186" s="21">
        <v>1021.67</v>
      </c>
    </row>
    <row r="9187" spans="1:8" customFormat="1" x14ac:dyDescent="0.25">
      <c r="A9187" t="str">
        <f>"12134"</f>
        <v>12134</v>
      </c>
      <c r="B9187" t="s">
        <v>9106</v>
      </c>
      <c r="C9187" t="s">
        <v>2520</v>
      </c>
      <c r="D9187" s="21" t="s">
        <v>34</v>
      </c>
      <c r="E9187" s="21" t="s">
        <v>254</v>
      </c>
      <c r="F9187">
        <v>11120026</v>
      </c>
      <c r="G9187" t="s">
        <v>9107</v>
      </c>
      <c r="H9187" s="21">
        <v>1021.67</v>
      </c>
    </row>
    <row r="9188" spans="1:8" customFormat="1" x14ac:dyDescent="0.25">
      <c r="A9188" t="str">
        <f>"373377"</f>
        <v>373377</v>
      </c>
      <c r="B9188" t="s">
        <v>5545</v>
      </c>
      <c r="C9188" t="s">
        <v>239</v>
      </c>
      <c r="D9188" s="21" t="s">
        <v>34</v>
      </c>
      <c r="E9188" s="21" t="s">
        <v>71</v>
      </c>
      <c r="F9188">
        <v>4370269</v>
      </c>
      <c r="G9188" t="s">
        <v>4277</v>
      </c>
      <c r="H9188" s="21">
        <v>1021.67</v>
      </c>
    </row>
    <row r="9189" spans="1:8" customFormat="1" x14ac:dyDescent="0.25">
      <c r="A9189" t="str">
        <f>"5321555"</f>
        <v>5321555</v>
      </c>
      <c r="B9189" t="s">
        <v>9303</v>
      </c>
      <c r="C9189" t="s">
        <v>82</v>
      </c>
      <c r="D9189" s="21" t="s">
        <v>34</v>
      </c>
      <c r="E9189" s="21" t="s">
        <v>35</v>
      </c>
      <c r="F9189">
        <v>12530054</v>
      </c>
      <c r="G9189" t="s">
        <v>354</v>
      </c>
      <c r="H9189" s="21">
        <v>1021.67</v>
      </c>
    </row>
    <row r="9190" spans="1:8" customFormat="1" x14ac:dyDescent="0.25">
      <c r="A9190" t="str">
        <f>"088614"</f>
        <v>088614</v>
      </c>
      <c r="B9190" t="s">
        <v>7839</v>
      </c>
      <c r="C9190" t="s">
        <v>249</v>
      </c>
      <c r="D9190" s="21" t="s">
        <v>34</v>
      </c>
      <c r="E9190" s="21" t="s">
        <v>35</v>
      </c>
      <c r="F9190">
        <v>6080050</v>
      </c>
      <c r="G9190" t="s">
        <v>7840</v>
      </c>
      <c r="H9190" s="21">
        <v>1021.67</v>
      </c>
    </row>
    <row r="9191" spans="1:8" customFormat="1" x14ac:dyDescent="0.25">
      <c r="A9191" t="str">
        <f>"7632646"</f>
        <v>7632646</v>
      </c>
      <c r="B9191" t="s">
        <v>10984</v>
      </c>
      <c r="C9191" t="s">
        <v>43</v>
      </c>
      <c r="D9191" s="21" t="s">
        <v>34</v>
      </c>
      <c r="E9191" s="21" t="s">
        <v>35</v>
      </c>
      <c r="F9191">
        <v>9760041</v>
      </c>
      <c r="G9191" t="s">
        <v>452</v>
      </c>
      <c r="H9191" s="21">
        <v>1021.67</v>
      </c>
    </row>
    <row r="9192" spans="1:8" customFormat="1" x14ac:dyDescent="0.25">
      <c r="A9192" t="str">
        <f>"2710447"</f>
        <v>2710447</v>
      </c>
      <c r="B9192" t="s">
        <v>10288</v>
      </c>
      <c r="C9192" t="s">
        <v>263</v>
      </c>
      <c r="D9192" s="21" t="s">
        <v>34</v>
      </c>
      <c r="E9192" s="21" t="s">
        <v>35</v>
      </c>
      <c r="F9192">
        <v>9270168</v>
      </c>
      <c r="G9192" t="s">
        <v>5126</v>
      </c>
      <c r="H9192" s="21">
        <v>1021.67</v>
      </c>
    </row>
    <row r="9193" spans="1:8" customFormat="1" x14ac:dyDescent="0.25">
      <c r="A9193" t="str">
        <f>"037589"</f>
        <v>037589</v>
      </c>
      <c r="B9193" t="s">
        <v>1098</v>
      </c>
      <c r="C9193" t="s">
        <v>139</v>
      </c>
      <c r="D9193" s="21" t="s">
        <v>34</v>
      </c>
      <c r="E9193" s="21" t="s">
        <v>35</v>
      </c>
      <c r="F9193">
        <v>1030300</v>
      </c>
      <c r="G9193" t="s">
        <v>7676</v>
      </c>
      <c r="H9193" s="21">
        <v>1021.67</v>
      </c>
    </row>
    <row r="9194" spans="1:8" customFormat="1" x14ac:dyDescent="0.25">
      <c r="A9194" t="str">
        <f>"083906"</f>
        <v>083906</v>
      </c>
      <c r="B9194" t="s">
        <v>8336</v>
      </c>
      <c r="C9194" t="s">
        <v>209</v>
      </c>
      <c r="D9194" s="21" t="s">
        <v>34</v>
      </c>
      <c r="E9194" s="21" t="s">
        <v>71</v>
      </c>
      <c r="F9194">
        <v>6080059</v>
      </c>
      <c r="G9194" t="s">
        <v>4242</v>
      </c>
      <c r="H9194" s="21">
        <v>1021.67</v>
      </c>
    </row>
    <row r="9195" spans="1:8" customFormat="1" x14ac:dyDescent="0.25">
      <c r="A9195" t="str">
        <f>"601565"</f>
        <v>601565</v>
      </c>
      <c r="B9195" t="s">
        <v>9108</v>
      </c>
      <c r="C9195" t="s">
        <v>124</v>
      </c>
      <c r="D9195" s="21" t="s">
        <v>34</v>
      </c>
      <c r="E9195" s="21" t="s">
        <v>71</v>
      </c>
      <c r="F9195">
        <v>7800071</v>
      </c>
      <c r="G9195" t="s">
        <v>9109</v>
      </c>
      <c r="H9195" s="21">
        <v>1021.67</v>
      </c>
    </row>
    <row r="9196" spans="1:8" customFormat="1" x14ac:dyDescent="0.25">
      <c r="A9196" t="str">
        <f>"2712544"</f>
        <v>2712544</v>
      </c>
      <c r="B9196" t="s">
        <v>9686</v>
      </c>
      <c r="C9196" t="s">
        <v>246</v>
      </c>
      <c r="D9196" s="21" t="s">
        <v>34</v>
      </c>
      <c r="E9196" s="21" t="s">
        <v>71</v>
      </c>
      <c r="F9196">
        <v>9270175</v>
      </c>
      <c r="G9196" t="s">
        <v>1909</v>
      </c>
      <c r="H9196" s="21">
        <v>1021.67</v>
      </c>
    </row>
    <row r="9197" spans="1:8" customFormat="1" x14ac:dyDescent="0.25">
      <c r="A9197" t="str">
        <f>"4439639"</f>
        <v>4439639</v>
      </c>
      <c r="B9197" t="s">
        <v>2405</v>
      </c>
      <c r="C9197" t="s">
        <v>10760</v>
      </c>
      <c r="D9197" s="21" t="s">
        <v>34</v>
      </c>
      <c r="E9197" s="21" t="s">
        <v>35</v>
      </c>
      <c r="F9197">
        <v>12440021</v>
      </c>
      <c r="G9197" t="s">
        <v>429</v>
      </c>
      <c r="H9197" s="21">
        <v>1021.67</v>
      </c>
    </row>
    <row r="9198" spans="1:8" customFormat="1" x14ac:dyDescent="0.25">
      <c r="A9198" t="str">
        <f>"8520006"</f>
        <v>8520006</v>
      </c>
      <c r="B9198" t="s">
        <v>9086</v>
      </c>
      <c r="C9198" t="s">
        <v>121</v>
      </c>
      <c r="D9198" s="21" t="s">
        <v>34</v>
      </c>
      <c r="E9198" s="21" t="s">
        <v>35</v>
      </c>
      <c r="F9198">
        <v>12850026</v>
      </c>
      <c r="G9198" t="s">
        <v>1400</v>
      </c>
      <c r="H9198" s="21">
        <v>1021.67</v>
      </c>
    </row>
    <row r="9199" spans="1:8" customFormat="1" x14ac:dyDescent="0.25">
      <c r="A9199" t="str">
        <f>"429653"</f>
        <v>429653</v>
      </c>
      <c r="B9199" t="s">
        <v>8895</v>
      </c>
      <c r="C9199" t="s">
        <v>1271</v>
      </c>
      <c r="D9199" s="21" t="s">
        <v>34</v>
      </c>
      <c r="E9199" s="21" t="s">
        <v>71</v>
      </c>
      <c r="F9199">
        <v>1420117</v>
      </c>
      <c r="G9199" t="s">
        <v>2649</v>
      </c>
      <c r="H9199" s="21">
        <v>1021.67</v>
      </c>
    </row>
    <row r="9200" spans="1:8" customFormat="1" x14ac:dyDescent="0.25">
      <c r="A9200" t="str">
        <f>"288815"</f>
        <v>288815</v>
      </c>
      <c r="B9200" t="s">
        <v>9800</v>
      </c>
      <c r="C9200" t="s">
        <v>1025</v>
      </c>
      <c r="D9200" s="21" t="s">
        <v>34</v>
      </c>
      <c r="E9200" s="21" t="s">
        <v>71</v>
      </c>
      <c r="F9200">
        <v>9270183</v>
      </c>
      <c r="G9200" t="s">
        <v>9801</v>
      </c>
      <c r="H9200" s="21">
        <v>1021.67</v>
      </c>
    </row>
    <row r="9201" spans="1:8" customFormat="1" x14ac:dyDescent="0.25">
      <c r="A9201" t="str">
        <f>"7843679"</f>
        <v>7843679</v>
      </c>
      <c r="B9201" t="s">
        <v>10180</v>
      </c>
      <c r="C9201" t="s">
        <v>1853</v>
      </c>
      <c r="D9201" s="21" t="s">
        <v>34</v>
      </c>
      <c r="E9201" s="21" t="s">
        <v>35</v>
      </c>
      <c r="F9201">
        <v>10330084</v>
      </c>
      <c r="G9201" t="s">
        <v>1124</v>
      </c>
      <c r="H9201" s="21">
        <v>1021.55</v>
      </c>
    </row>
    <row r="9202" spans="1:8" customFormat="1" x14ac:dyDescent="0.25">
      <c r="A9202" t="str">
        <f>"9313549"</f>
        <v>9313549</v>
      </c>
      <c r="B9202" t="s">
        <v>3146</v>
      </c>
      <c r="C9202" t="s">
        <v>82</v>
      </c>
      <c r="D9202" s="21" t="s">
        <v>34</v>
      </c>
      <c r="E9202" s="21" t="s">
        <v>35</v>
      </c>
      <c r="F9202">
        <v>8770911</v>
      </c>
      <c r="G9202" t="s">
        <v>4824</v>
      </c>
      <c r="H9202" s="21">
        <v>1021.54</v>
      </c>
    </row>
    <row r="9203" spans="1:8" customFormat="1" x14ac:dyDescent="0.25">
      <c r="A9203" t="str">
        <f>"4447666"</f>
        <v>4447666</v>
      </c>
      <c r="B9203" t="s">
        <v>630</v>
      </c>
      <c r="C9203" t="s">
        <v>169</v>
      </c>
      <c r="D9203" s="21" t="s">
        <v>34</v>
      </c>
      <c r="E9203" s="21" t="s">
        <v>35</v>
      </c>
      <c r="F9203">
        <v>12440020</v>
      </c>
      <c r="G9203" t="s">
        <v>4606</v>
      </c>
      <c r="H9203" s="21">
        <v>1021.42</v>
      </c>
    </row>
    <row r="9204" spans="1:8" customFormat="1" x14ac:dyDescent="0.25">
      <c r="A9204" t="str">
        <f>"4910506"</f>
        <v>4910506</v>
      </c>
      <c r="B9204" t="s">
        <v>9485</v>
      </c>
      <c r="C9204" t="s">
        <v>879</v>
      </c>
      <c r="D9204" s="21" t="s">
        <v>34</v>
      </c>
      <c r="E9204" s="21" t="s">
        <v>35</v>
      </c>
      <c r="F9204">
        <v>12490129</v>
      </c>
      <c r="G9204" t="s">
        <v>7607</v>
      </c>
      <c r="H9204" s="21">
        <v>1021.42</v>
      </c>
    </row>
    <row r="9205" spans="1:8" customFormat="1" x14ac:dyDescent="0.25">
      <c r="A9205" t="str">
        <f>"9D1933"</f>
        <v>9D1933</v>
      </c>
      <c r="B9205" t="s">
        <v>11517</v>
      </c>
      <c r="C9205" t="s">
        <v>206</v>
      </c>
      <c r="D9205" s="21" t="s">
        <v>34</v>
      </c>
      <c r="E9205" s="21" t="s">
        <v>71</v>
      </c>
      <c r="F9205" t="s">
        <v>3911</v>
      </c>
      <c r="G9205" t="s">
        <v>3912</v>
      </c>
      <c r="H9205" s="21">
        <v>1021.42</v>
      </c>
    </row>
    <row r="9206" spans="1:8" customFormat="1" x14ac:dyDescent="0.25">
      <c r="A9206" t="str">
        <f>"3342739"</f>
        <v>3342739</v>
      </c>
      <c r="B9206" t="s">
        <v>27095</v>
      </c>
      <c r="C9206" t="s">
        <v>1675</v>
      </c>
      <c r="D9206" s="21" t="s">
        <v>34</v>
      </c>
      <c r="E9206" s="21" t="s">
        <v>35</v>
      </c>
      <c r="F9206">
        <v>10330045</v>
      </c>
      <c r="G9206" t="s">
        <v>4506</v>
      </c>
      <c r="H9206" s="21">
        <v>1021.29</v>
      </c>
    </row>
    <row r="9207" spans="1:8" customFormat="1" x14ac:dyDescent="0.25">
      <c r="A9207" t="str">
        <f>"3714490"</f>
        <v>3714490</v>
      </c>
      <c r="B9207" t="s">
        <v>7218</v>
      </c>
      <c r="C9207" t="s">
        <v>58</v>
      </c>
      <c r="D9207" s="21" t="s">
        <v>34</v>
      </c>
      <c r="E9207" s="21" t="s">
        <v>35</v>
      </c>
      <c r="F9207">
        <v>4370151</v>
      </c>
      <c r="G9207" t="s">
        <v>5304</v>
      </c>
      <c r="H9207" s="21">
        <v>1021.29</v>
      </c>
    </row>
    <row r="9208" spans="1:8" customFormat="1" x14ac:dyDescent="0.25">
      <c r="A9208" t="str">
        <f>"6710316"</f>
        <v>6710316</v>
      </c>
      <c r="B9208" t="s">
        <v>5418</v>
      </c>
      <c r="C9208" t="s">
        <v>239</v>
      </c>
      <c r="D9208" s="21" t="s">
        <v>34</v>
      </c>
      <c r="E9208" s="21" t="s">
        <v>35</v>
      </c>
      <c r="F9208">
        <v>6670261</v>
      </c>
      <c r="G9208" t="s">
        <v>4621</v>
      </c>
      <c r="H9208" s="21">
        <v>1021.17</v>
      </c>
    </row>
    <row r="9209" spans="1:8" customFormat="1" x14ac:dyDescent="0.25">
      <c r="A9209" t="str">
        <f>"953676"</f>
        <v>953676</v>
      </c>
      <c r="B9209" t="s">
        <v>11223</v>
      </c>
      <c r="C9209" t="s">
        <v>484</v>
      </c>
      <c r="D9209" s="21" t="s">
        <v>34</v>
      </c>
      <c r="E9209" s="21" t="s">
        <v>35</v>
      </c>
      <c r="F9209">
        <v>4410696</v>
      </c>
      <c r="G9209" t="s">
        <v>5909</v>
      </c>
      <c r="H9209" s="21">
        <v>1021.17</v>
      </c>
    </row>
    <row r="9210" spans="1:8" customFormat="1" x14ac:dyDescent="0.25">
      <c r="A9210" t="str">
        <f>"6214863"</f>
        <v>6214863</v>
      </c>
      <c r="B9210" t="s">
        <v>10224</v>
      </c>
      <c r="C9210" t="s">
        <v>3522</v>
      </c>
      <c r="D9210" s="21" t="s">
        <v>34</v>
      </c>
      <c r="E9210" s="21" t="s">
        <v>71</v>
      </c>
      <c r="F9210">
        <v>7620058</v>
      </c>
      <c r="G9210" t="s">
        <v>602</v>
      </c>
      <c r="H9210" s="21">
        <v>1021.17</v>
      </c>
    </row>
    <row r="9211" spans="1:8" customFormat="1" x14ac:dyDescent="0.25">
      <c r="A9211" t="str">
        <f>"7625"</f>
        <v>7625</v>
      </c>
      <c r="B9211" t="s">
        <v>11399</v>
      </c>
      <c r="C9211" t="s">
        <v>209</v>
      </c>
      <c r="D9211" s="21" t="s">
        <v>34</v>
      </c>
      <c r="E9211" s="21" t="s">
        <v>254</v>
      </c>
      <c r="F9211">
        <v>9760333</v>
      </c>
      <c r="G9211" t="s">
        <v>27096</v>
      </c>
      <c r="H9211" s="21">
        <v>1021.17</v>
      </c>
    </row>
    <row r="9212" spans="1:8" customFormat="1" x14ac:dyDescent="0.25">
      <c r="A9212" t="str">
        <f>"888998"</f>
        <v>888998</v>
      </c>
      <c r="B9212" t="s">
        <v>9261</v>
      </c>
      <c r="C9212" t="s">
        <v>484</v>
      </c>
      <c r="D9212" s="21" t="s">
        <v>34</v>
      </c>
      <c r="E9212" s="21" t="s">
        <v>35</v>
      </c>
      <c r="F9212">
        <v>6680130</v>
      </c>
      <c r="G9212" t="s">
        <v>26772</v>
      </c>
      <c r="H9212" s="21">
        <v>1021.17</v>
      </c>
    </row>
    <row r="9213" spans="1:8" customFormat="1" x14ac:dyDescent="0.25">
      <c r="A9213" t="str">
        <f>"193022"</f>
        <v>193022</v>
      </c>
      <c r="B9213" t="s">
        <v>1932</v>
      </c>
      <c r="C9213" t="s">
        <v>124</v>
      </c>
      <c r="D9213" s="21" t="s">
        <v>34</v>
      </c>
      <c r="E9213" s="21" t="s">
        <v>254</v>
      </c>
      <c r="F9213">
        <v>11460022</v>
      </c>
      <c r="G9213" t="s">
        <v>9720</v>
      </c>
      <c r="H9213" s="21">
        <v>1021.17</v>
      </c>
    </row>
    <row r="9214" spans="1:8" customFormat="1" x14ac:dyDescent="0.25">
      <c r="A9214" t="str">
        <f>"4440849"</f>
        <v>4440849</v>
      </c>
      <c r="B9214" t="s">
        <v>8275</v>
      </c>
      <c r="C9214" t="s">
        <v>119</v>
      </c>
      <c r="D9214" s="21" t="s">
        <v>34</v>
      </c>
      <c r="E9214" s="21" t="s">
        <v>35</v>
      </c>
      <c r="F9214">
        <v>12440138</v>
      </c>
      <c r="G9214" t="s">
        <v>562</v>
      </c>
      <c r="H9214" s="21">
        <v>1021.17</v>
      </c>
    </row>
    <row r="9215" spans="1:8" customFormat="1" x14ac:dyDescent="0.25">
      <c r="A9215" t="str">
        <f>"76320"</f>
        <v>76320</v>
      </c>
      <c r="B9215" t="s">
        <v>213</v>
      </c>
      <c r="C9215" t="s">
        <v>967</v>
      </c>
      <c r="D9215" s="21" t="s">
        <v>34</v>
      </c>
      <c r="E9215" s="21" t="s">
        <v>254</v>
      </c>
      <c r="F9215">
        <v>9760415</v>
      </c>
      <c r="G9215" t="s">
        <v>4541</v>
      </c>
      <c r="H9215" s="21">
        <v>1021.17</v>
      </c>
    </row>
    <row r="9216" spans="1:8" customFormat="1" x14ac:dyDescent="0.25">
      <c r="A9216" t="str">
        <f>"942947"</f>
        <v>942947</v>
      </c>
      <c r="B9216" t="s">
        <v>9641</v>
      </c>
      <c r="C9216" t="s">
        <v>3497</v>
      </c>
      <c r="D9216" s="21" t="s">
        <v>34</v>
      </c>
      <c r="E9216" s="21" t="s">
        <v>71</v>
      </c>
      <c r="F9216">
        <v>8940549</v>
      </c>
      <c r="G9216" t="s">
        <v>454</v>
      </c>
      <c r="H9216" s="21">
        <v>1021.17</v>
      </c>
    </row>
    <row r="9217" spans="1:8" customFormat="1" x14ac:dyDescent="0.25">
      <c r="A9217" t="str">
        <f>"665621"</f>
        <v>665621</v>
      </c>
      <c r="B9217" t="s">
        <v>6677</v>
      </c>
      <c r="C9217" t="s">
        <v>130</v>
      </c>
      <c r="D9217" s="21" t="s">
        <v>34</v>
      </c>
      <c r="E9217" s="21" t="s">
        <v>71</v>
      </c>
      <c r="F9217">
        <v>11660001</v>
      </c>
      <c r="G9217" t="s">
        <v>8203</v>
      </c>
      <c r="H9217" s="21">
        <v>1021.05</v>
      </c>
    </row>
    <row r="9218" spans="1:8" customFormat="1" x14ac:dyDescent="0.25">
      <c r="A9218" t="str">
        <f>"9233563"</f>
        <v>9233563</v>
      </c>
      <c r="B9218" t="s">
        <v>7072</v>
      </c>
      <c r="C9218" t="s">
        <v>249</v>
      </c>
      <c r="D9218" s="21" t="s">
        <v>34</v>
      </c>
      <c r="E9218" s="21" t="s">
        <v>71</v>
      </c>
      <c r="F9218" t="s">
        <v>2126</v>
      </c>
      <c r="G9218" t="s">
        <v>2127</v>
      </c>
      <c r="H9218" s="21">
        <v>1020.92</v>
      </c>
    </row>
    <row r="9219" spans="1:8" customFormat="1" x14ac:dyDescent="0.25">
      <c r="A9219" t="str">
        <f>"8353"</f>
        <v>8353</v>
      </c>
      <c r="B9219" t="s">
        <v>10620</v>
      </c>
      <c r="C9219" t="s">
        <v>109</v>
      </c>
      <c r="D9219" s="21" t="s">
        <v>34</v>
      </c>
      <c r="E9219" s="21" t="s">
        <v>254</v>
      </c>
      <c r="F9219">
        <v>13830092</v>
      </c>
      <c r="G9219" t="s">
        <v>3632</v>
      </c>
      <c r="H9219" s="21">
        <v>1020.92</v>
      </c>
    </row>
    <row r="9220" spans="1:8" customFormat="1" x14ac:dyDescent="0.25">
      <c r="A9220" t="str">
        <f>"4522247"</f>
        <v>4522247</v>
      </c>
      <c r="B9220" t="s">
        <v>9858</v>
      </c>
      <c r="C9220" t="s">
        <v>139</v>
      </c>
      <c r="D9220" s="21" t="s">
        <v>34</v>
      </c>
      <c r="E9220" s="21" t="s">
        <v>71</v>
      </c>
      <c r="F9220">
        <v>4450751</v>
      </c>
      <c r="G9220" t="s">
        <v>442</v>
      </c>
      <c r="H9220" s="21">
        <v>1020.92</v>
      </c>
    </row>
    <row r="9221" spans="1:8" customFormat="1" x14ac:dyDescent="0.25">
      <c r="A9221" t="str">
        <f>"9119236"</f>
        <v>9119236</v>
      </c>
      <c r="B9221" t="s">
        <v>8121</v>
      </c>
      <c r="C9221" t="s">
        <v>412</v>
      </c>
      <c r="D9221" s="21" t="s">
        <v>34</v>
      </c>
      <c r="E9221" s="21" t="s">
        <v>71</v>
      </c>
      <c r="F9221">
        <v>8911285</v>
      </c>
      <c r="G9221" t="s">
        <v>2396</v>
      </c>
      <c r="H9221" s="21">
        <v>1020.8</v>
      </c>
    </row>
    <row r="9222" spans="1:8" customFormat="1" x14ac:dyDescent="0.25">
      <c r="A9222" t="str">
        <f>"06545"</f>
        <v>06545</v>
      </c>
      <c r="B9222" t="s">
        <v>9866</v>
      </c>
      <c r="C9222" t="s">
        <v>33</v>
      </c>
      <c r="D9222" s="21" t="s">
        <v>34</v>
      </c>
      <c r="E9222" s="21" t="s">
        <v>71</v>
      </c>
      <c r="F9222">
        <v>13060005</v>
      </c>
      <c r="G9222" t="s">
        <v>3609</v>
      </c>
      <c r="H9222" s="21">
        <v>1020.67</v>
      </c>
    </row>
    <row r="9223" spans="1:8" customFormat="1" x14ac:dyDescent="0.25">
      <c r="A9223" t="str">
        <f>"788577"</f>
        <v>788577</v>
      </c>
      <c r="B9223" t="s">
        <v>8005</v>
      </c>
      <c r="C9223" t="s">
        <v>1063</v>
      </c>
      <c r="D9223" s="21" t="s">
        <v>34</v>
      </c>
      <c r="E9223" s="21" t="s">
        <v>35</v>
      </c>
      <c r="F9223">
        <v>8780935</v>
      </c>
      <c r="G9223" t="s">
        <v>1944</v>
      </c>
      <c r="H9223" s="21">
        <v>1020.67</v>
      </c>
    </row>
    <row r="9224" spans="1:8" customFormat="1" x14ac:dyDescent="0.25">
      <c r="A9224" t="str">
        <f>"5112271"</f>
        <v>5112271</v>
      </c>
      <c r="B9224" t="s">
        <v>551</v>
      </c>
      <c r="C9224" t="s">
        <v>33</v>
      </c>
      <c r="D9224" s="21" t="s">
        <v>34</v>
      </c>
      <c r="E9224" s="21" t="s">
        <v>35</v>
      </c>
      <c r="F9224">
        <v>6510077</v>
      </c>
      <c r="G9224" t="s">
        <v>756</v>
      </c>
      <c r="H9224" s="21">
        <v>1020.67</v>
      </c>
    </row>
    <row r="9225" spans="1:8" customFormat="1" x14ac:dyDescent="0.25">
      <c r="A9225" t="str">
        <f>"5955704"</f>
        <v>5955704</v>
      </c>
      <c r="B9225" t="s">
        <v>9825</v>
      </c>
      <c r="C9225" t="s">
        <v>275</v>
      </c>
      <c r="D9225" s="21" t="s">
        <v>34</v>
      </c>
      <c r="E9225" s="21" t="s">
        <v>35</v>
      </c>
      <c r="F9225">
        <v>7590044</v>
      </c>
      <c r="G9225" t="s">
        <v>2029</v>
      </c>
      <c r="H9225" s="21">
        <v>1020.67</v>
      </c>
    </row>
    <row r="9226" spans="1:8" customFormat="1" x14ac:dyDescent="0.25">
      <c r="A9226" t="str">
        <f>"6215704"</f>
        <v>6215704</v>
      </c>
      <c r="B9226" t="s">
        <v>8654</v>
      </c>
      <c r="C9226" t="s">
        <v>2520</v>
      </c>
      <c r="D9226" s="21" t="s">
        <v>34</v>
      </c>
      <c r="E9226" s="21" t="s">
        <v>254</v>
      </c>
      <c r="F9226">
        <v>7620181</v>
      </c>
      <c r="G9226" t="s">
        <v>2268</v>
      </c>
      <c r="H9226" s="21">
        <v>1020.67</v>
      </c>
    </row>
    <row r="9227" spans="1:8" customFormat="1" x14ac:dyDescent="0.25">
      <c r="A9227" t="str">
        <f>"164883"</f>
        <v>164883</v>
      </c>
      <c r="B9227" t="s">
        <v>2856</v>
      </c>
      <c r="C9227" t="s">
        <v>65</v>
      </c>
      <c r="D9227" s="21" t="s">
        <v>34</v>
      </c>
      <c r="E9227" s="21" t="s">
        <v>35</v>
      </c>
      <c r="F9227">
        <v>10160044</v>
      </c>
      <c r="G9227" t="s">
        <v>4941</v>
      </c>
      <c r="H9227" s="21">
        <v>1020.67</v>
      </c>
    </row>
    <row r="9228" spans="1:8" customFormat="1" x14ac:dyDescent="0.25">
      <c r="A9228" t="str">
        <f>"62399"</f>
        <v>62399</v>
      </c>
      <c r="B9228" t="s">
        <v>8764</v>
      </c>
      <c r="C9228" t="s">
        <v>124</v>
      </c>
      <c r="D9228" s="21" t="s">
        <v>34</v>
      </c>
      <c r="E9228" s="21" t="s">
        <v>71</v>
      </c>
      <c r="F9228">
        <v>8940524</v>
      </c>
      <c r="G9228" t="s">
        <v>6176</v>
      </c>
      <c r="H9228" s="21">
        <v>1020.67</v>
      </c>
    </row>
    <row r="9229" spans="1:8" customFormat="1" x14ac:dyDescent="0.25">
      <c r="A9229" t="str">
        <f>"8513718"</f>
        <v>8513718</v>
      </c>
      <c r="B9229" t="s">
        <v>9744</v>
      </c>
      <c r="C9229" t="s">
        <v>98</v>
      </c>
      <c r="D9229" s="21" t="s">
        <v>34</v>
      </c>
      <c r="E9229" s="21" t="s">
        <v>35</v>
      </c>
      <c r="F9229">
        <v>12850109</v>
      </c>
      <c r="G9229" t="s">
        <v>2714</v>
      </c>
      <c r="H9229" s="21">
        <v>1020.67</v>
      </c>
    </row>
    <row r="9230" spans="1:8" customFormat="1" x14ac:dyDescent="0.25">
      <c r="A9230" t="str">
        <f>"1799"</f>
        <v>1799</v>
      </c>
      <c r="B9230" t="s">
        <v>8943</v>
      </c>
      <c r="C9230" t="s">
        <v>415</v>
      </c>
      <c r="D9230" s="21" t="s">
        <v>34</v>
      </c>
      <c r="E9230" s="21" t="s">
        <v>71</v>
      </c>
      <c r="F9230">
        <v>10170005</v>
      </c>
      <c r="G9230" t="s">
        <v>4290</v>
      </c>
      <c r="H9230" s="21">
        <v>1020.67</v>
      </c>
    </row>
    <row r="9231" spans="1:8" customFormat="1" x14ac:dyDescent="0.25">
      <c r="A9231" t="str">
        <f>"582570"</f>
        <v>582570</v>
      </c>
      <c r="B9231" t="s">
        <v>2460</v>
      </c>
      <c r="C9231" t="s">
        <v>652</v>
      </c>
      <c r="D9231" s="21" t="s">
        <v>34</v>
      </c>
      <c r="E9231" s="21" t="s">
        <v>254</v>
      </c>
      <c r="F9231">
        <v>1690221</v>
      </c>
      <c r="G9231" t="s">
        <v>303</v>
      </c>
      <c r="H9231" s="21">
        <v>1020.67</v>
      </c>
    </row>
    <row r="9232" spans="1:8" customFormat="1" x14ac:dyDescent="0.25">
      <c r="A9232" t="str">
        <f>"7847135"</f>
        <v>7847135</v>
      </c>
      <c r="B9232" t="s">
        <v>11670</v>
      </c>
      <c r="C9232" t="s">
        <v>65</v>
      </c>
      <c r="D9232" s="21" t="s">
        <v>34</v>
      </c>
      <c r="E9232" s="21" t="s">
        <v>35</v>
      </c>
      <c r="F9232">
        <v>9270006</v>
      </c>
      <c r="G9232" t="s">
        <v>780</v>
      </c>
      <c r="H9232" s="21">
        <v>1020.54</v>
      </c>
    </row>
    <row r="9233" spans="1:8" customFormat="1" x14ac:dyDescent="0.25">
      <c r="A9233" t="str">
        <f>"304428"</f>
        <v>304428</v>
      </c>
      <c r="B9233" t="s">
        <v>27097</v>
      </c>
      <c r="C9233" t="s">
        <v>462</v>
      </c>
      <c r="D9233" s="21" t="s">
        <v>34</v>
      </c>
      <c r="E9233" s="21" t="s">
        <v>71</v>
      </c>
      <c r="F9233">
        <v>11300040</v>
      </c>
      <c r="G9233" t="s">
        <v>13373</v>
      </c>
      <c r="H9233" s="21">
        <v>1020.5</v>
      </c>
    </row>
    <row r="9234" spans="1:8" customFormat="1" x14ac:dyDescent="0.25">
      <c r="A9234" t="str">
        <f>"5315149"</f>
        <v>5315149</v>
      </c>
      <c r="B9234" t="s">
        <v>8851</v>
      </c>
      <c r="C9234" t="s">
        <v>139</v>
      </c>
      <c r="D9234" s="21" t="s">
        <v>34</v>
      </c>
      <c r="E9234" s="21" t="s">
        <v>35</v>
      </c>
      <c r="F9234">
        <v>12538910</v>
      </c>
      <c r="G9234" t="s">
        <v>8855</v>
      </c>
      <c r="H9234" s="21">
        <v>1020.42</v>
      </c>
    </row>
    <row r="9235" spans="1:8" customFormat="1" x14ac:dyDescent="0.25">
      <c r="A9235" t="str">
        <f>"013773"</f>
        <v>013773</v>
      </c>
      <c r="B9235" t="s">
        <v>8544</v>
      </c>
      <c r="C9235" t="s">
        <v>209</v>
      </c>
      <c r="D9235" s="21" t="s">
        <v>34</v>
      </c>
      <c r="E9235" s="21" t="s">
        <v>71</v>
      </c>
      <c r="F9235">
        <v>1010017</v>
      </c>
      <c r="G9235" t="s">
        <v>6502</v>
      </c>
      <c r="H9235" s="21">
        <v>1020.17</v>
      </c>
    </row>
    <row r="9236" spans="1:8" customFormat="1" x14ac:dyDescent="0.25">
      <c r="A9236" t="str">
        <f>"678169"</f>
        <v>678169</v>
      </c>
      <c r="B9236" t="s">
        <v>27098</v>
      </c>
      <c r="C9236" t="s">
        <v>249</v>
      </c>
      <c r="D9236" s="21" t="s">
        <v>34</v>
      </c>
      <c r="E9236" s="21" t="s">
        <v>35</v>
      </c>
      <c r="F9236">
        <v>6670216</v>
      </c>
      <c r="G9236" t="s">
        <v>2194</v>
      </c>
      <c r="H9236" s="21">
        <v>1020.17</v>
      </c>
    </row>
    <row r="9237" spans="1:8" customFormat="1" x14ac:dyDescent="0.25">
      <c r="A9237" t="str">
        <f>"286392"</f>
        <v>286392</v>
      </c>
      <c r="B9237" t="s">
        <v>9384</v>
      </c>
      <c r="C9237" t="s">
        <v>328</v>
      </c>
      <c r="D9237" s="21" t="s">
        <v>34</v>
      </c>
      <c r="E9237" s="21" t="s">
        <v>35</v>
      </c>
      <c r="F9237">
        <v>4280104</v>
      </c>
      <c r="G9237" t="s">
        <v>8480</v>
      </c>
      <c r="H9237" s="21">
        <v>1020.17</v>
      </c>
    </row>
    <row r="9238" spans="1:8" customFormat="1" x14ac:dyDescent="0.25">
      <c r="A9238" t="str">
        <f>"765186"</f>
        <v>765186</v>
      </c>
      <c r="B9238" t="s">
        <v>10290</v>
      </c>
      <c r="C9238" t="s">
        <v>462</v>
      </c>
      <c r="D9238" s="21" t="s">
        <v>34</v>
      </c>
      <c r="E9238" s="21" t="s">
        <v>71</v>
      </c>
      <c r="F9238">
        <v>9760382</v>
      </c>
      <c r="G9238" t="s">
        <v>2737</v>
      </c>
      <c r="H9238" s="21">
        <v>1020.17</v>
      </c>
    </row>
    <row r="9239" spans="1:8" customFormat="1" x14ac:dyDescent="0.25">
      <c r="A9239" t="str">
        <f>"4217205"</f>
        <v>4217205</v>
      </c>
      <c r="B9239" t="s">
        <v>1645</v>
      </c>
      <c r="C9239" t="s">
        <v>209</v>
      </c>
      <c r="D9239" s="21" t="s">
        <v>34</v>
      </c>
      <c r="E9239" s="21" t="s">
        <v>254</v>
      </c>
      <c r="F9239">
        <v>1420160</v>
      </c>
      <c r="G9239" t="s">
        <v>5488</v>
      </c>
      <c r="H9239" s="21">
        <v>1020.17</v>
      </c>
    </row>
    <row r="9240" spans="1:8" customFormat="1" x14ac:dyDescent="0.25">
      <c r="A9240" t="str">
        <f>"8015684"</f>
        <v>8015684</v>
      </c>
      <c r="B9240" t="s">
        <v>3472</v>
      </c>
      <c r="C9240" t="s">
        <v>412</v>
      </c>
      <c r="D9240" s="21" t="s">
        <v>34</v>
      </c>
      <c r="E9240" s="21" t="s">
        <v>254</v>
      </c>
      <c r="F9240">
        <v>7800005</v>
      </c>
      <c r="G9240" t="s">
        <v>6547</v>
      </c>
      <c r="H9240" s="21">
        <v>1020.17</v>
      </c>
    </row>
    <row r="9241" spans="1:8" customFormat="1" x14ac:dyDescent="0.25">
      <c r="A9241" t="str">
        <f>"9531873"</f>
        <v>9531873</v>
      </c>
      <c r="B9241" t="s">
        <v>1886</v>
      </c>
      <c r="C9241" t="s">
        <v>40</v>
      </c>
      <c r="D9241" s="21" t="s">
        <v>34</v>
      </c>
      <c r="E9241" s="21" t="s">
        <v>35</v>
      </c>
      <c r="F9241">
        <v>8950570</v>
      </c>
      <c r="G9241" t="s">
        <v>3226</v>
      </c>
      <c r="H9241" s="21">
        <v>1020.17</v>
      </c>
    </row>
    <row r="9242" spans="1:8" customFormat="1" x14ac:dyDescent="0.25">
      <c r="A9242" t="str">
        <f>"5951294"</f>
        <v>5951294</v>
      </c>
      <c r="B9242" t="s">
        <v>9622</v>
      </c>
      <c r="C9242" t="s">
        <v>124</v>
      </c>
      <c r="D9242" s="21" t="s">
        <v>34</v>
      </c>
      <c r="E9242" s="21" t="s">
        <v>71</v>
      </c>
      <c r="F9242">
        <v>7590400</v>
      </c>
      <c r="G9242" t="s">
        <v>26692</v>
      </c>
      <c r="H9242" s="21">
        <v>1020.17</v>
      </c>
    </row>
    <row r="9243" spans="1:8" customFormat="1" x14ac:dyDescent="0.25">
      <c r="A9243" t="str">
        <f>"546542"</f>
        <v>546542</v>
      </c>
      <c r="B9243" t="s">
        <v>9175</v>
      </c>
      <c r="C9243" t="s">
        <v>415</v>
      </c>
      <c r="D9243" s="21" t="s">
        <v>34</v>
      </c>
      <c r="E9243" s="21" t="s">
        <v>71</v>
      </c>
      <c r="F9243">
        <v>6880007</v>
      </c>
      <c r="G9243" t="s">
        <v>1039</v>
      </c>
      <c r="H9243" s="21">
        <v>1020.17</v>
      </c>
    </row>
    <row r="9244" spans="1:8" customFormat="1" x14ac:dyDescent="0.25">
      <c r="A9244" t="str">
        <f>"704184"</f>
        <v>704184</v>
      </c>
      <c r="B9244" t="s">
        <v>7712</v>
      </c>
      <c r="C9244" t="s">
        <v>7713</v>
      </c>
      <c r="D9244" s="21" t="s">
        <v>34</v>
      </c>
      <c r="E9244" s="21" t="s">
        <v>1089</v>
      </c>
      <c r="F9244">
        <v>2700014</v>
      </c>
      <c r="G9244" t="s">
        <v>7714</v>
      </c>
      <c r="H9244" s="21">
        <v>1020.17</v>
      </c>
    </row>
    <row r="9245" spans="1:8" customFormat="1" x14ac:dyDescent="0.25">
      <c r="A9245" t="str">
        <f>"41444"</f>
        <v>41444</v>
      </c>
      <c r="B9245" t="s">
        <v>9978</v>
      </c>
      <c r="C9245" t="s">
        <v>40</v>
      </c>
      <c r="D9245" s="21" t="s">
        <v>34</v>
      </c>
      <c r="E9245" s="21" t="s">
        <v>71</v>
      </c>
      <c r="F9245">
        <v>4410080</v>
      </c>
      <c r="G9245" t="s">
        <v>135</v>
      </c>
      <c r="H9245" s="21">
        <v>1020.17</v>
      </c>
    </row>
    <row r="9246" spans="1:8" customFormat="1" x14ac:dyDescent="0.25">
      <c r="A9246" t="str">
        <f>"2921676"</f>
        <v>2921676</v>
      </c>
      <c r="B9246" t="s">
        <v>10485</v>
      </c>
      <c r="C9246" t="s">
        <v>33</v>
      </c>
      <c r="D9246" s="21" t="s">
        <v>34</v>
      </c>
      <c r="E9246" s="21" t="s">
        <v>35</v>
      </c>
      <c r="F9246">
        <v>3290229</v>
      </c>
      <c r="G9246" t="s">
        <v>408</v>
      </c>
      <c r="H9246" s="21">
        <v>1020.17</v>
      </c>
    </row>
    <row r="9247" spans="1:8" customFormat="1" x14ac:dyDescent="0.25">
      <c r="A9247" t="str">
        <f>"4432035"</f>
        <v>4432035</v>
      </c>
      <c r="B9247" t="s">
        <v>1185</v>
      </c>
      <c r="C9247" t="s">
        <v>62</v>
      </c>
      <c r="D9247" s="21" t="s">
        <v>34</v>
      </c>
      <c r="E9247" s="21" t="s">
        <v>35</v>
      </c>
      <c r="F9247">
        <v>12440158</v>
      </c>
      <c r="G9247" t="s">
        <v>9695</v>
      </c>
      <c r="H9247" s="21">
        <v>1020.05</v>
      </c>
    </row>
    <row r="9248" spans="1:8" customFormat="1" x14ac:dyDescent="0.25">
      <c r="A9248" t="str">
        <f>"9210883"</f>
        <v>9210883</v>
      </c>
      <c r="B9248" t="s">
        <v>9265</v>
      </c>
      <c r="C9248" t="s">
        <v>9266</v>
      </c>
      <c r="D9248" s="21" t="s">
        <v>34</v>
      </c>
      <c r="E9248" s="21" t="s">
        <v>35</v>
      </c>
      <c r="F9248">
        <v>11300008</v>
      </c>
      <c r="G9248" t="s">
        <v>3165</v>
      </c>
      <c r="H9248" s="21">
        <v>1020</v>
      </c>
    </row>
    <row r="9249" spans="1:8" customFormat="1" x14ac:dyDescent="0.25">
      <c r="A9249" t="str">
        <f>"9214683"</f>
        <v>9214683</v>
      </c>
      <c r="B9249" t="s">
        <v>11228</v>
      </c>
      <c r="C9249" t="s">
        <v>269</v>
      </c>
      <c r="D9249" s="21" t="s">
        <v>34</v>
      </c>
      <c r="E9249" s="21" t="s">
        <v>35</v>
      </c>
      <c r="F9249">
        <v>8920309</v>
      </c>
      <c r="G9249" t="s">
        <v>1894</v>
      </c>
      <c r="H9249" s="21">
        <v>1019.92</v>
      </c>
    </row>
    <row r="9250" spans="1:8" customFormat="1" x14ac:dyDescent="0.25">
      <c r="A9250" t="str">
        <f>"3336429"</f>
        <v>3336429</v>
      </c>
      <c r="B9250" t="s">
        <v>987</v>
      </c>
      <c r="C9250" t="s">
        <v>109</v>
      </c>
      <c r="D9250" s="21" t="s">
        <v>34</v>
      </c>
      <c r="E9250" s="21" t="s">
        <v>35</v>
      </c>
      <c r="F9250">
        <v>10330121</v>
      </c>
      <c r="G9250" t="s">
        <v>5145</v>
      </c>
      <c r="H9250" s="21">
        <v>1019.92</v>
      </c>
    </row>
    <row r="9251" spans="1:8" customFormat="1" x14ac:dyDescent="0.25">
      <c r="A9251" t="str">
        <f>"5315633"</f>
        <v>5315633</v>
      </c>
      <c r="B9251" t="s">
        <v>10190</v>
      </c>
      <c r="C9251" t="s">
        <v>275</v>
      </c>
      <c r="D9251" s="21" t="s">
        <v>34</v>
      </c>
      <c r="E9251" s="21" t="s">
        <v>35</v>
      </c>
      <c r="F9251">
        <v>12530046</v>
      </c>
      <c r="G9251" t="s">
        <v>10191</v>
      </c>
      <c r="H9251" s="21">
        <v>1019.92</v>
      </c>
    </row>
    <row r="9252" spans="1:8" customFormat="1" x14ac:dyDescent="0.25">
      <c r="A9252" t="str">
        <f>"646358"</f>
        <v>646358</v>
      </c>
      <c r="B9252" t="s">
        <v>9438</v>
      </c>
      <c r="C9252" t="s">
        <v>528</v>
      </c>
      <c r="D9252" s="21" t="s">
        <v>34</v>
      </c>
      <c r="E9252" s="21" t="s">
        <v>71</v>
      </c>
      <c r="F9252">
        <v>10640019</v>
      </c>
      <c r="G9252" t="s">
        <v>3123</v>
      </c>
      <c r="H9252" s="21">
        <v>1019.92</v>
      </c>
    </row>
    <row r="9253" spans="1:8" customFormat="1" x14ac:dyDescent="0.25">
      <c r="A9253" t="str">
        <f>"9113783"</f>
        <v>9113783</v>
      </c>
      <c r="B9253" t="s">
        <v>8349</v>
      </c>
      <c r="C9253" t="s">
        <v>8350</v>
      </c>
      <c r="D9253" s="21" t="s">
        <v>34</v>
      </c>
      <c r="E9253" s="21" t="s">
        <v>71</v>
      </c>
      <c r="F9253">
        <v>8940326</v>
      </c>
      <c r="G9253" t="s">
        <v>659</v>
      </c>
      <c r="H9253" s="21">
        <v>1019.81</v>
      </c>
    </row>
    <row r="9254" spans="1:8" customFormat="1" x14ac:dyDescent="0.25">
      <c r="A9254" t="str">
        <f>"9249877"</f>
        <v>9249877</v>
      </c>
      <c r="B9254" t="s">
        <v>1547</v>
      </c>
      <c r="C9254" t="s">
        <v>486</v>
      </c>
      <c r="D9254" s="21" t="s">
        <v>34</v>
      </c>
      <c r="E9254" s="21" t="s">
        <v>35</v>
      </c>
      <c r="F9254">
        <v>8920066</v>
      </c>
      <c r="G9254" t="s">
        <v>4899</v>
      </c>
      <c r="H9254" s="21">
        <v>1019.8</v>
      </c>
    </row>
    <row r="9255" spans="1:8" customFormat="1" x14ac:dyDescent="0.25">
      <c r="A9255" t="str">
        <f>"246097"</f>
        <v>246097</v>
      </c>
      <c r="B9255" t="s">
        <v>11474</v>
      </c>
      <c r="C9255" t="s">
        <v>598</v>
      </c>
      <c r="D9255" s="21" t="s">
        <v>34</v>
      </c>
      <c r="E9255" s="21" t="s">
        <v>71</v>
      </c>
      <c r="F9255">
        <v>10240030</v>
      </c>
      <c r="G9255" t="s">
        <v>8997</v>
      </c>
      <c r="H9255" s="21">
        <v>1019.67</v>
      </c>
    </row>
    <row r="9256" spans="1:8" customFormat="1" x14ac:dyDescent="0.25">
      <c r="A9256" t="str">
        <f>"139986"</f>
        <v>139986</v>
      </c>
      <c r="B9256" t="s">
        <v>8945</v>
      </c>
      <c r="C9256" t="s">
        <v>236</v>
      </c>
      <c r="D9256" s="21" t="s">
        <v>34</v>
      </c>
      <c r="E9256" s="21" t="s">
        <v>71</v>
      </c>
      <c r="F9256">
        <v>13130146</v>
      </c>
      <c r="G9256" t="s">
        <v>2471</v>
      </c>
      <c r="H9256" s="21">
        <v>1019.67</v>
      </c>
    </row>
    <row r="9257" spans="1:8" customFormat="1" x14ac:dyDescent="0.25">
      <c r="A9257" t="str">
        <f>"013445"</f>
        <v>013445</v>
      </c>
      <c r="B9257" t="s">
        <v>8808</v>
      </c>
      <c r="C9257" t="s">
        <v>3662</v>
      </c>
      <c r="D9257" s="21" t="s">
        <v>34</v>
      </c>
      <c r="E9257" s="21" t="s">
        <v>35</v>
      </c>
      <c r="F9257">
        <v>1010017</v>
      </c>
      <c r="G9257" t="s">
        <v>6502</v>
      </c>
      <c r="H9257" s="21">
        <v>1019.67</v>
      </c>
    </row>
    <row r="9258" spans="1:8" customFormat="1" x14ac:dyDescent="0.25">
      <c r="A9258" t="str">
        <f>"616848"</f>
        <v>616848</v>
      </c>
      <c r="B9258" t="s">
        <v>3582</v>
      </c>
      <c r="C9258" t="s">
        <v>90</v>
      </c>
      <c r="D9258" s="21" t="s">
        <v>34</v>
      </c>
      <c r="E9258" s="21" t="s">
        <v>35</v>
      </c>
      <c r="F9258">
        <v>9610087</v>
      </c>
      <c r="G9258" t="s">
        <v>2661</v>
      </c>
      <c r="H9258" s="21">
        <v>1019.67</v>
      </c>
    </row>
    <row r="9259" spans="1:8" customFormat="1" x14ac:dyDescent="0.25">
      <c r="A9259" t="str">
        <f>"796693"</f>
        <v>796693</v>
      </c>
      <c r="B9259" t="s">
        <v>8099</v>
      </c>
      <c r="C9259" t="s">
        <v>302</v>
      </c>
      <c r="D9259" s="21" t="s">
        <v>34</v>
      </c>
      <c r="E9259" s="21" t="s">
        <v>35</v>
      </c>
      <c r="F9259">
        <v>10790071</v>
      </c>
      <c r="G9259" t="s">
        <v>5806</v>
      </c>
      <c r="H9259" s="21">
        <v>1019.67</v>
      </c>
    </row>
    <row r="9260" spans="1:8" customFormat="1" x14ac:dyDescent="0.25">
      <c r="A9260" t="str">
        <f>"853440"</f>
        <v>853440</v>
      </c>
      <c r="B9260" t="s">
        <v>3212</v>
      </c>
      <c r="C9260" t="s">
        <v>879</v>
      </c>
      <c r="D9260" s="21" t="s">
        <v>34</v>
      </c>
      <c r="E9260" s="21" t="s">
        <v>35</v>
      </c>
      <c r="F9260">
        <v>12850069</v>
      </c>
      <c r="G9260" t="s">
        <v>2154</v>
      </c>
      <c r="H9260" s="21">
        <v>1019.67</v>
      </c>
    </row>
    <row r="9261" spans="1:8" customFormat="1" x14ac:dyDescent="0.25">
      <c r="A9261" t="str">
        <f>"9232959"</f>
        <v>9232959</v>
      </c>
      <c r="B9261" t="s">
        <v>10020</v>
      </c>
      <c r="C9261" t="s">
        <v>10021</v>
      </c>
      <c r="D9261" s="21" t="s">
        <v>34</v>
      </c>
      <c r="E9261" s="21" t="s">
        <v>35</v>
      </c>
      <c r="F9261">
        <v>8771446</v>
      </c>
      <c r="G9261" t="s">
        <v>830</v>
      </c>
      <c r="H9261" s="21">
        <v>1019.67</v>
      </c>
    </row>
    <row r="9262" spans="1:8" customFormat="1" x14ac:dyDescent="0.25">
      <c r="A9262" t="str">
        <f>"8012524"</f>
        <v>8012524</v>
      </c>
      <c r="B9262" t="s">
        <v>27099</v>
      </c>
      <c r="C9262" t="s">
        <v>249</v>
      </c>
      <c r="D9262" s="21" t="s">
        <v>34</v>
      </c>
      <c r="E9262" s="21" t="s">
        <v>35</v>
      </c>
      <c r="F9262">
        <v>7800102</v>
      </c>
      <c r="G9262" t="s">
        <v>1148</v>
      </c>
      <c r="H9262" s="21">
        <v>1019.67</v>
      </c>
    </row>
    <row r="9263" spans="1:8" customFormat="1" x14ac:dyDescent="0.25">
      <c r="A9263" t="str">
        <f>"2217755"</f>
        <v>2217755</v>
      </c>
      <c r="B9263" t="s">
        <v>13405</v>
      </c>
      <c r="C9263" t="s">
        <v>65</v>
      </c>
      <c r="D9263" s="21" t="s">
        <v>34</v>
      </c>
      <c r="E9263" s="21" t="s">
        <v>71</v>
      </c>
      <c r="F9263">
        <v>3220033</v>
      </c>
      <c r="G9263" t="s">
        <v>657</v>
      </c>
      <c r="H9263" s="21">
        <v>1019.67</v>
      </c>
    </row>
    <row r="9264" spans="1:8" customFormat="1" x14ac:dyDescent="0.25">
      <c r="A9264" t="str">
        <f>"5956715"</f>
        <v>5956715</v>
      </c>
      <c r="B9264" t="s">
        <v>9957</v>
      </c>
      <c r="C9264" t="s">
        <v>119</v>
      </c>
      <c r="D9264" s="21" t="s">
        <v>34</v>
      </c>
      <c r="E9264" s="21" t="s">
        <v>71</v>
      </c>
      <c r="F9264">
        <v>7590171</v>
      </c>
      <c r="G9264" t="s">
        <v>4159</v>
      </c>
      <c r="H9264" s="21">
        <v>1019.67</v>
      </c>
    </row>
    <row r="9265" spans="1:8" customFormat="1" x14ac:dyDescent="0.25">
      <c r="A9265" t="str">
        <f>"5932464"</f>
        <v>5932464</v>
      </c>
      <c r="B9265" t="s">
        <v>10319</v>
      </c>
      <c r="C9265" t="s">
        <v>822</v>
      </c>
      <c r="D9265" s="21" t="s">
        <v>34</v>
      </c>
      <c r="E9265" s="21" t="s">
        <v>254</v>
      </c>
      <c r="F9265">
        <v>13840062</v>
      </c>
      <c r="G9265" t="s">
        <v>17239</v>
      </c>
      <c r="H9265" s="21">
        <v>1019.5</v>
      </c>
    </row>
    <row r="9266" spans="1:8" customFormat="1" x14ac:dyDescent="0.25">
      <c r="A9266" t="str">
        <f>"3322423"</f>
        <v>3322423</v>
      </c>
      <c r="B9266" t="s">
        <v>1264</v>
      </c>
      <c r="C9266" t="s">
        <v>65</v>
      </c>
      <c r="D9266" s="21" t="s">
        <v>34</v>
      </c>
      <c r="E9266" s="21" t="s">
        <v>35</v>
      </c>
      <c r="F9266">
        <v>10330013</v>
      </c>
      <c r="G9266" t="s">
        <v>613</v>
      </c>
      <c r="H9266" s="21">
        <v>1019.17</v>
      </c>
    </row>
    <row r="9267" spans="1:8" customFormat="1" x14ac:dyDescent="0.25">
      <c r="A9267" t="str">
        <f>"614889"</f>
        <v>614889</v>
      </c>
      <c r="B9267" t="s">
        <v>2656</v>
      </c>
      <c r="C9267" t="s">
        <v>169</v>
      </c>
      <c r="D9267" s="21" t="s">
        <v>34</v>
      </c>
      <c r="E9267" s="21" t="s">
        <v>71</v>
      </c>
      <c r="F9267">
        <v>9610031</v>
      </c>
      <c r="G9267" t="s">
        <v>1792</v>
      </c>
      <c r="H9267" s="21">
        <v>1019.17</v>
      </c>
    </row>
    <row r="9268" spans="1:8" customFormat="1" x14ac:dyDescent="0.25">
      <c r="A9268" t="str">
        <f>"1744"</f>
        <v>1744</v>
      </c>
      <c r="B9268" t="s">
        <v>10431</v>
      </c>
      <c r="C9268" t="s">
        <v>1914</v>
      </c>
      <c r="D9268" s="21" t="s">
        <v>34</v>
      </c>
      <c r="E9268" s="21" t="s">
        <v>71</v>
      </c>
      <c r="F9268">
        <v>10170003</v>
      </c>
      <c r="G9268" t="s">
        <v>10432</v>
      </c>
      <c r="H9268" s="21">
        <v>1019.17</v>
      </c>
    </row>
    <row r="9269" spans="1:8" customFormat="1" x14ac:dyDescent="0.25">
      <c r="A9269" t="str">
        <f>"7859790"</f>
        <v>7859790</v>
      </c>
      <c r="B9269" t="s">
        <v>2549</v>
      </c>
      <c r="C9269" t="s">
        <v>198</v>
      </c>
      <c r="D9269" s="21" t="s">
        <v>34</v>
      </c>
      <c r="E9269" s="21" t="s">
        <v>71</v>
      </c>
      <c r="F9269">
        <v>8780356</v>
      </c>
      <c r="G9269" t="s">
        <v>5449</v>
      </c>
      <c r="H9269" s="21">
        <v>1019.17</v>
      </c>
    </row>
    <row r="9270" spans="1:8" customFormat="1" x14ac:dyDescent="0.25">
      <c r="A9270" t="str">
        <f>"552816"</f>
        <v>552816</v>
      </c>
      <c r="B9270" t="s">
        <v>146</v>
      </c>
      <c r="C9270" t="s">
        <v>2121</v>
      </c>
      <c r="D9270" s="21" t="s">
        <v>34</v>
      </c>
      <c r="E9270" s="21" t="s">
        <v>71</v>
      </c>
      <c r="F9270">
        <v>6550001</v>
      </c>
      <c r="G9270" t="s">
        <v>8790</v>
      </c>
      <c r="H9270" s="21">
        <v>1019.17</v>
      </c>
    </row>
    <row r="9271" spans="1:8" customFormat="1" x14ac:dyDescent="0.25">
      <c r="A9271" t="str">
        <f>"674616"</f>
        <v>674616</v>
      </c>
      <c r="B9271" t="s">
        <v>8258</v>
      </c>
      <c r="C9271" t="s">
        <v>3987</v>
      </c>
      <c r="D9271" s="21" t="s">
        <v>34</v>
      </c>
      <c r="E9271" s="21" t="s">
        <v>254</v>
      </c>
      <c r="F9271">
        <v>6670160</v>
      </c>
      <c r="G9271" t="s">
        <v>908</v>
      </c>
      <c r="H9271" s="21">
        <v>1019.17</v>
      </c>
    </row>
    <row r="9272" spans="1:8" customFormat="1" x14ac:dyDescent="0.25">
      <c r="A9272" t="str">
        <f>"171422"</f>
        <v>171422</v>
      </c>
      <c r="B9272" t="s">
        <v>136</v>
      </c>
      <c r="C9272" t="s">
        <v>812</v>
      </c>
      <c r="D9272" s="21" t="s">
        <v>34</v>
      </c>
      <c r="E9272" s="21" t="s">
        <v>254</v>
      </c>
      <c r="F9272">
        <v>10170026</v>
      </c>
      <c r="G9272" t="s">
        <v>4850</v>
      </c>
      <c r="H9272" s="21">
        <v>1019.17</v>
      </c>
    </row>
    <row r="9273" spans="1:8" customFormat="1" x14ac:dyDescent="0.25">
      <c r="A9273" t="str">
        <f>"6222510"</f>
        <v>6222510</v>
      </c>
      <c r="B9273" t="s">
        <v>2023</v>
      </c>
      <c r="C9273" t="s">
        <v>209</v>
      </c>
      <c r="D9273" s="21" t="s">
        <v>34</v>
      </c>
      <c r="E9273" s="21" t="s">
        <v>71</v>
      </c>
      <c r="F9273">
        <v>7620065</v>
      </c>
      <c r="G9273" t="s">
        <v>6550</v>
      </c>
      <c r="H9273" s="21">
        <v>1019.17</v>
      </c>
    </row>
    <row r="9274" spans="1:8" customFormat="1" x14ac:dyDescent="0.25">
      <c r="A9274" t="str">
        <f>"4930964"</f>
        <v>4930964</v>
      </c>
      <c r="B9274" t="s">
        <v>9256</v>
      </c>
      <c r="C9274" t="s">
        <v>202</v>
      </c>
      <c r="D9274" s="21" t="s">
        <v>34</v>
      </c>
      <c r="E9274" s="21" t="s">
        <v>254</v>
      </c>
      <c r="F9274">
        <v>12490017</v>
      </c>
      <c r="G9274" t="s">
        <v>9393</v>
      </c>
      <c r="H9274" s="21">
        <v>1019.17</v>
      </c>
    </row>
    <row r="9275" spans="1:8" customFormat="1" x14ac:dyDescent="0.25">
      <c r="A9275" t="str">
        <f>"9131093"</f>
        <v>9131093</v>
      </c>
      <c r="B9275" t="s">
        <v>9737</v>
      </c>
      <c r="C9275" t="s">
        <v>9738</v>
      </c>
      <c r="D9275" s="21" t="s">
        <v>34</v>
      </c>
      <c r="E9275" s="21" t="s">
        <v>35</v>
      </c>
      <c r="F9275">
        <v>8940070</v>
      </c>
      <c r="G9275" t="s">
        <v>2320</v>
      </c>
      <c r="H9275" s="21">
        <v>1019.05</v>
      </c>
    </row>
    <row r="9276" spans="1:8" customFormat="1" x14ac:dyDescent="0.25">
      <c r="A9276" t="str">
        <f>"4218067"</f>
        <v>4218067</v>
      </c>
      <c r="B9276" t="s">
        <v>11373</v>
      </c>
      <c r="C9276" t="s">
        <v>323</v>
      </c>
      <c r="D9276" s="21" t="s">
        <v>34</v>
      </c>
      <c r="E9276" s="21" t="s">
        <v>35</v>
      </c>
      <c r="F9276">
        <v>1420014</v>
      </c>
      <c r="G9276" t="s">
        <v>3864</v>
      </c>
      <c r="H9276" s="21">
        <v>1019.04</v>
      </c>
    </row>
    <row r="9277" spans="1:8" customFormat="1" x14ac:dyDescent="0.25">
      <c r="A9277" t="str">
        <f>"534346"</f>
        <v>534346</v>
      </c>
      <c r="B9277" t="s">
        <v>8662</v>
      </c>
      <c r="C9277" t="s">
        <v>379</v>
      </c>
      <c r="D9277" s="21" t="s">
        <v>34</v>
      </c>
      <c r="E9277" s="21" t="s">
        <v>254</v>
      </c>
      <c r="F9277">
        <v>12530124</v>
      </c>
      <c r="G9277" t="s">
        <v>4935</v>
      </c>
      <c r="H9277" s="21">
        <v>1018.92</v>
      </c>
    </row>
    <row r="9278" spans="1:8" customFormat="1" x14ac:dyDescent="0.25">
      <c r="A9278" t="str">
        <f>"627810"</f>
        <v>627810</v>
      </c>
      <c r="B9278" t="s">
        <v>6309</v>
      </c>
      <c r="C9278" t="s">
        <v>60</v>
      </c>
      <c r="D9278" s="21" t="s">
        <v>34</v>
      </c>
      <c r="E9278" s="21" t="s">
        <v>35</v>
      </c>
      <c r="F9278">
        <v>7620184</v>
      </c>
      <c r="G9278" t="s">
        <v>4436</v>
      </c>
      <c r="H9278" s="21">
        <v>1018.92</v>
      </c>
    </row>
    <row r="9279" spans="1:8" customFormat="1" x14ac:dyDescent="0.25">
      <c r="A9279" t="str">
        <f>"55728"</f>
        <v>55728</v>
      </c>
      <c r="B9279" t="s">
        <v>6089</v>
      </c>
      <c r="C9279" t="s">
        <v>119</v>
      </c>
      <c r="D9279" s="21" t="s">
        <v>34</v>
      </c>
      <c r="E9279" s="21" t="s">
        <v>71</v>
      </c>
      <c r="F9279">
        <v>6550020</v>
      </c>
      <c r="G9279" t="s">
        <v>7526</v>
      </c>
      <c r="H9279" s="21">
        <v>1018.67</v>
      </c>
    </row>
    <row r="9280" spans="1:8" customFormat="1" x14ac:dyDescent="0.25">
      <c r="A9280" t="str">
        <f>"743023"</f>
        <v>743023</v>
      </c>
      <c r="B9280" t="s">
        <v>482</v>
      </c>
      <c r="C9280" t="s">
        <v>2752</v>
      </c>
      <c r="D9280" s="21" t="s">
        <v>34</v>
      </c>
      <c r="E9280" s="21" t="s">
        <v>254</v>
      </c>
      <c r="F9280">
        <v>1740045</v>
      </c>
      <c r="G9280" t="s">
        <v>9857</v>
      </c>
      <c r="H9280" s="21">
        <v>1018.67</v>
      </c>
    </row>
    <row r="9281" spans="1:8" customFormat="1" x14ac:dyDescent="0.25">
      <c r="A9281" t="str">
        <f>"105998"</f>
        <v>105998</v>
      </c>
      <c r="B9281" t="s">
        <v>8321</v>
      </c>
      <c r="C9281" t="s">
        <v>1714</v>
      </c>
      <c r="D9281" s="21" t="s">
        <v>34</v>
      </c>
      <c r="E9281" s="21" t="s">
        <v>35</v>
      </c>
      <c r="F9281">
        <v>6100015</v>
      </c>
      <c r="G9281" t="s">
        <v>6173</v>
      </c>
      <c r="H9281" s="21">
        <v>1018.67</v>
      </c>
    </row>
    <row r="9282" spans="1:8" customFormat="1" x14ac:dyDescent="0.25">
      <c r="A9282" t="str">
        <f>"5016232"</f>
        <v>5016232</v>
      </c>
      <c r="B9282" t="s">
        <v>9032</v>
      </c>
      <c r="C9282" t="s">
        <v>187</v>
      </c>
      <c r="D9282" s="21" t="s">
        <v>34</v>
      </c>
      <c r="E9282" s="21" t="s">
        <v>71</v>
      </c>
      <c r="F9282">
        <v>9500093</v>
      </c>
      <c r="G9282" t="s">
        <v>1808</v>
      </c>
      <c r="H9282" s="21">
        <v>1018.67</v>
      </c>
    </row>
    <row r="9283" spans="1:8" customFormat="1" x14ac:dyDescent="0.25">
      <c r="A9283" t="str">
        <f>"378506"</f>
        <v>378506</v>
      </c>
      <c r="B9283" t="s">
        <v>4902</v>
      </c>
      <c r="C9283" t="s">
        <v>114</v>
      </c>
      <c r="D9283" s="21" t="s">
        <v>34</v>
      </c>
      <c r="E9283" s="21" t="s">
        <v>71</v>
      </c>
      <c r="F9283">
        <v>10170031</v>
      </c>
      <c r="G9283" t="s">
        <v>2921</v>
      </c>
      <c r="H9283" s="21">
        <v>1018.67</v>
      </c>
    </row>
    <row r="9284" spans="1:8" customFormat="1" x14ac:dyDescent="0.25">
      <c r="A9284" t="str">
        <f>"374151"</f>
        <v>374151</v>
      </c>
      <c r="B9284" t="s">
        <v>9702</v>
      </c>
      <c r="C9284" t="s">
        <v>1705</v>
      </c>
      <c r="D9284" s="21" t="s">
        <v>34</v>
      </c>
      <c r="E9284" s="21" t="s">
        <v>254</v>
      </c>
      <c r="F9284">
        <v>4370566</v>
      </c>
      <c r="G9284" t="s">
        <v>4710</v>
      </c>
      <c r="H9284" s="21">
        <v>1018.67</v>
      </c>
    </row>
    <row r="9285" spans="1:8" customFormat="1" x14ac:dyDescent="0.25">
      <c r="A9285" t="str">
        <f>"571214"</f>
        <v>571214</v>
      </c>
      <c r="B9285" t="s">
        <v>9137</v>
      </c>
      <c r="C9285" t="s">
        <v>114</v>
      </c>
      <c r="D9285" s="21" t="s">
        <v>34</v>
      </c>
      <c r="E9285" s="21" t="s">
        <v>71</v>
      </c>
      <c r="F9285">
        <v>6570088</v>
      </c>
      <c r="G9285" t="s">
        <v>3461</v>
      </c>
      <c r="H9285" s="21">
        <v>1018.67</v>
      </c>
    </row>
    <row r="9286" spans="1:8" customFormat="1" x14ac:dyDescent="0.25">
      <c r="A9286" t="str">
        <f>"251525"</f>
        <v>251525</v>
      </c>
      <c r="B9286" t="s">
        <v>10065</v>
      </c>
      <c r="C9286" t="s">
        <v>239</v>
      </c>
      <c r="D9286" s="21" t="s">
        <v>34</v>
      </c>
      <c r="E9286" s="21" t="s">
        <v>71</v>
      </c>
      <c r="F9286">
        <v>2250095</v>
      </c>
      <c r="G9286" t="s">
        <v>6394</v>
      </c>
      <c r="H9286" s="21">
        <v>1018.67</v>
      </c>
    </row>
    <row r="9287" spans="1:8" customFormat="1" x14ac:dyDescent="0.25">
      <c r="A9287" t="str">
        <f>"6814177"</f>
        <v>6814177</v>
      </c>
      <c r="B9287" t="s">
        <v>8651</v>
      </c>
      <c r="C9287" t="s">
        <v>7506</v>
      </c>
      <c r="D9287" s="21" t="s">
        <v>34</v>
      </c>
      <c r="E9287" s="21" t="s">
        <v>35</v>
      </c>
      <c r="F9287">
        <v>6680139</v>
      </c>
      <c r="G9287" t="s">
        <v>8652</v>
      </c>
      <c r="H9287" s="21">
        <v>1018.67</v>
      </c>
    </row>
    <row r="9288" spans="1:8" customFormat="1" x14ac:dyDescent="0.25">
      <c r="A9288" t="str">
        <f>"5713617"</f>
        <v>5713617</v>
      </c>
      <c r="B9288" t="s">
        <v>8438</v>
      </c>
      <c r="C9288" t="s">
        <v>87</v>
      </c>
      <c r="D9288" s="21" t="s">
        <v>34</v>
      </c>
      <c r="E9288" s="21" t="s">
        <v>71</v>
      </c>
      <c r="F9288">
        <v>6570154</v>
      </c>
      <c r="G9288" t="s">
        <v>3935</v>
      </c>
      <c r="H9288" s="21">
        <v>1018.67</v>
      </c>
    </row>
    <row r="9289" spans="1:8" customFormat="1" x14ac:dyDescent="0.25">
      <c r="A9289" t="str">
        <f>"2714850"</f>
        <v>2714850</v>
      </c>
      <c r="B9289" t="s">
        <v>9452</v>
      </c>
      <c r="C9289" t="s">
        <v>144</v>
      </c>
      <c r="D9289" s="21" t="s">
        <v>34</v>
      </c>
      <c r="E9289" s="21" t="s">
        <v>71</v>
      </c>
      <c r="F9289">
        <v>9270095</v>
      </c>
      <c r="G9289" t="s">
        <v>1681</v>
      </c>
      <c r="H9289" s="21">
        <v>1018.67</v>
      </c>
    </row>
    <row r="9290" spans="1:8" customFormat="1" x14ac:dyDescent="0.25">
      <c r="A9290" t="str">
        <f>"571172"</f>
        <v>571172</v>
      </c>
      <c r="B9290" t="s">
        <v>1687</v>
      </c>
      <c r="C9290" t="s">
        <v>209</v>
      </c>
      <c r="D9290" s="21" t="s">
        <v>34</v>
      </c>
      <c r="E9290" s="21" t="s">
        <v>71</v>
      </c>
      <c r="F9290">
        <v>6570173</v>
      </c>
      <c r="G9290" t="s">
        <v>9959</v>
      </c>
      <c r="H9290" s="21">
        <v>1018.55</v>
      </c>
    </row>
    <row r="9291" spans="1:8" customFormat="1" x14ac:dyDescent="0.25">
      <c r="A9291" t="str">
        <f>"6939083"</f>
        <v>6939083</v>
      </c>
      <c r="B9291" t="s">
        <v>9578</v>
      </c>
      <c r="C9291" t="s">
        <v>9579</v>
      </c>
      <c r="D9291" s="21" t="s">
        <v>34</v>
      </c>
      <c r="E9291" s="21" t="s">
        <v>71</v>
      </c>
      <c r="F9291">
        <v>1690105</v>
      </c>
      <c r="G9291" t="s">
        <v>9580</v>
      </c>
      <c r="H9291" s="21">
        <v>1018.42</v>
      </c>
    </row>
    <row r="9292" spans="1:8" customFormat="1" x14ac:dyDescent="0.25">
      <c r="A9292" t="str">
        <f>"9454755"</f>
        <v>9454755</v>
      </c>
      <c r="B9292" t="s">
        <v>27100</v>
      </c>
      <c r="C9292" t="s">
        <v>27101</v>
      </c>
      <c r="D9292" s="21" t="s">
        <v>34</v>
      </c>
      <c r="E9292" s="21" t="s">
        <v>35</v>
      </c>
      <c r="F9292">
        <v>8940030</v>
      </c>
      <c r="G9292" t="s">
        <v>7068</v>
      </c>
      <c r="H9292" s="21">
        <v>1018.3</v>
      </c>
    </row>
    <row r="9293" spans="1:8" customFormat="1" x14ac:dyDescent="0.25">
      <c r="A9293" t="str">
        <f>"5423064"</f>
        <v>5423064</v>
      </c>
      <c r="B9293" t="s">
        <v>10109</v>
      </c>
      <c r="C9293" t="s">
        <v>204</v>
      </c>
      <c r="D9293" s="21" t="s">
        <v>34</v>
      </c>
      <c r="E9293" s="21" t="s">
        <v>35</v>
      </c>
      <c r="F9293">
        <v>6540199</v>
      </c>
      <c r="G9293" t="s">
        <v>8888</v>
      </c>
      <c r="H9293" s="21">
        <v>1018.3</v>
      </c>
    </row>
    <row r="9294" spans="1:8" customFormat="1" x14ac:dyDescent="0.25">
      <c r="A9294" t="str">
        <f>"7513082"</f>
        <v>7513082</v>
      </c>
      <c r="B9294" t="s">
        <v>650</v>
      </c>
      <c r="C9294" t="s">
        <v>82</v>
      </c>
      <c r="D9294" s="21" t="s">
        <v>34</v>
      </c>
      <c r="E9294" s="21" t="s">
        <v>35</v>
      </c>
      <c r="F9294">
        <v>7600054</v>
      </c>
      <c r="G9294" t="s">
        <v>1352</v>
      </c>
      <c r="H9294" s="21">
        <v>1018.17</v>
      </c>
    </row>
    <row r="9295" spans="1:8" customFormat="1" x14ac:dyDescent="0.25">
      <c r="A9295" t="str">
        <f>"0612521"</f>
        <v>0612521</v>
      </c>
      <c r="B9295" t="s">
        <v>8454</v>
      </c>
      <c r="C9295" t="s">
        <v>169</v>
      </c>
      <c r="D9295" s="21" t="s">
        <v>34</v>
      </c>
      <c r="E9295" s="21" t="s">
        <v>35</v>
      </c>
      <c r="F9295">
        <v>13060066</v>
      </c>
      <c r="G9295" t="s">
        <v>2556</v>
      </c>
      <c r="H9295" s="21">
        <v>1018.17</v>
      </c>
    </row>
    <row r="9296" spans="1:8" customFormat="1" x14ac:dyDescent="0.25">
      <c r="A9296" t="str">
        <f>"7623230"</f>
        <v>7623230</v>
      </c>
      <c r="B9296" t="s">
        <v>8525</v>
      </c>
      <c r="C9296" t="s">
        <v>60</v>
      </c>
      <c r="D9296" s="21" t="s">
        <v>34</v>
      </c>
      <c r="E9296" s="21" t="s">
        <v>71</v>
      </c>
      <c r="F9296">
        <v>9760396</v>
      </c>
      <c r="G9296" t="s">
        <v>3875</v>
      </c>
      <c r="H9296" s="21">
        <v>1018.17</v>
      </c>
    </row>
    <row r="9297" spans="1:8" customFormat="1" x14ac:dyDescent="0.25">
      <c r="A9297" t="str">
        <f>"2218430"</f>
        <v>2218430</v>
      </c>
      <c r="B9297" t="s">
        <v>2060</v>
      </c>
      <c r="C9297" t="s">
        <v>169</v>
      </c>
      <c r="D9297" s="21" t="s">
        <v>34</v>
      </c>
      <c r="E9297" s="21" t="s">
        <v>35</v>
      </c>
      <c r="F9297">
        <v>3220047</v>
      </c>
      <c r="G9297" t="s">
        <v>131</v>
      </c>
      <c r="H9297" s="21">
        <v>1018.17</v>
      </c>
    </row>
    <row r="9298" spans="1:8" customFormat="1" x14ac:dyDescent="0.25">
      <c r="A9298" t="str">
        <f>"2915718"</f>
        <v>2915718</v>
      </c>
      <c r="B9298" t="s">
        <v>27102</v>
      </c>
      <c r="C9298" t="s">
        <v>169</v>
      </c>
      <c r="D9298" s="21" t="s">
        <v>34</v>
      </c>
      <c r="E9298" s="21" t="s">
        <v>35</v>
      </c>
      <c r="F9298">
        <v>3290249</v>
      </c>
      <c r="G9298" t="s">
        <v>7914</v>
      </c>
      <c r="H9298" s="21">
        <v>1018.17</v>
      </c>
    </row>
    <row r="9299" spans="1:8" customFormat="1" x14ac:dyDescent="0.25">
      <c r="A9299" t="str">
        <f>"7510909"</f>
        <v>7510909</v>
      </c>
      <c r="B9299" t="s">
        <v>8870</v>
      </c>
      <c r="C9299" t="s">
        <v>8871</v>
      </c>
      <c r="D9299" s="21" t="s">
        <v>34</v>
      </c>
      <c r="E9299" s="21" t="s">
        <v>71</v>
      </c>
      <c r="F9299">
        <v>8751412</v>
      </c>
      <c r="G9299" t="s">
        <v>3615</v>
      </c>
      <c r="H9299" s="21">
        <v>1018.17</v>
      </c>
    </row>
    <row r="9300" spans="1:8" customFormat="1" x14ac:dyDescent="0.25">
      <c r="A9300" t="str">
        <f>"574920"</f>
        <v>574920</v>
      </c>
      <c r="B9300" t="s">
        <v>9962</v>
      </c>
      <c r="C9300" t="s">
        <v>656</v>
      </c>
      <c r="D9300" s="21" t="s">
        <v>34</v>
      </c>
      <c r="E9300" s="21" t="s">
        <v>35</v>
      </c>
      <c r="F9300">
        <v>6670203</v>
      </c>
      <c r="G9300" t="s">
        <v>2371</v>
      </c>
      <c r="H9300" s="21">
        <v>1018.17</v>
      </c>
    </row>
    <row r="9301" spans="1:8" customFormat="1" x14ac:dyDescent="0.25">
      <c r="A9301" t="str">
        <f>"672793"</f>
        <v>672793</v>
      </c>
      <c r="B9301" t="s">
        <v>7099</v>
      </c>
      <c r="C9301" t="s">
        <v>598</v>
      </c>
      <c r="D9301" s="21" t="s">
        <v>34</v>
      </c>
      <c r="E9301" s="21" t="s">
        <v>71</v>
      </c>
      <c r="F9301">
        <v>6670141</v>
      </c>
      <c r="G9301" t="s">
        <v>5030</v>
      </c>
      <c r="H9301" s="21">
        <v>1018.17</v>
      </c>
    </row>
    <row r="9302" spans="1:8" customFormat="1" x14ac:dyDescent="0.25">
      <c r="A9302" t="str">
        <f>"3723031"</f>
        <v>3723031</v>
      </c>
      <c r="B9302" t="s">
        <v>2405</v>
      </c>
      <c r="C9302" t="s">
        <v>263</v>
      </c>
      <c r="D9302" s="21" t="s">
        <v>34</v>
      </c>
      <c r="E9302" s="21" t="s">
        <v>71</v>
      </c>
      <c r="F9302">
        <v>4370442</v>
      </c>
      <c r="G9302" t="s">
        <v>7869</v>
      </c>
      <c r="H9302" s="21">
        <v>1018.17</v>
      </c>
    </row>
    <row r="9303" spans="1:8" customFormat="1" x14ac:dyDescent="0.25">
      <c r="A9303" t="str">
        <f>"3711061"</f>
        <v>3711061</v>
      </c>
      <c r="B9303" t="s">
        <v>537</v>
      </c>
      <c r="C9303" t="s">
        <v>109</v>
      </c>
      <c r="D9303" s="21" t="s">
        <v>34</v>
      </c>
      <c r="E9303" s="21" t="s">
        <v>35</v>
      </c>
      <c r="F9303">
        <v>4370167</v>
      </c>
      <c r="G9303" t="s">
        <v>8834</v>
      </c>
      <c r="H9303" s="21">
        <v>1018.05</v>
      </c>
    </row>
    <row r="9304" spans="1:8" customFormat="1" x14ac:dyDescent="0.25">
      <c r="A9304" t="str">
        <f>"315371"</f>
        <v>315371</v>
      </c>
      <c r="B9304" t="s">
        <v>8747</v>
      </c>
      <c r="C9304" t="s">
        <v>236</v>
      </c>
      <c r="D9304" s="21" t="s">
        <v>34</v>
      </c>
      <c r="E9304" s="21" t="s">
        <v>35</v>
      </c>
      <c r="F9304">
        <v>11310047</v>
      </c>
      <c r="G9304" t="s">
        <v>2188</v>
      </c>
      <c r="H9304" s="21">
        <v>1017.93</v>
      </c>
    </row>
    <row r="9305" spans="1:8" customFormat="1" x14ac:dyDescent="0.25">
      <c r="A9305" t="str">
        <f>"257603"</f>
        <v>257603</v>
      </c>
      <c r="B9305" t="s">
        <v>9419</v>
      </c>
      <c r="C9305" t="s">
        <v>462</v>
      </c>
      <c r="D9305" s="21" t="s">
        <v>34</v>
      </c>
      <c r="E9305" s="21" t="s">
        <v>71</v>
      </c>
      <c r="F9305">
        <v>2250162</v>
      </c>
      <c r="G9305" t="s">
        <v>7388</v>
      </c>
      <c r="H9305" s="21">
        <v>1017.67</v>
      </c>
    </row>
    <row r="9306" spans="1:8" customFormat="1" x14ac:dyDescent="0.25">
      <c r="A9306" t="str">
        <f>"2923382"</f>
        <v>2923382</v>
      </c>
      <c r="B9306" t="s">
        <v>8926</v>
      </c>
      <c r="C9306" t="s">
        <v>60</v>
      </c>
      <c r="D9306" s="21" t="s">
        <v>34</v>
      </c>
      <c r="E9306" s="21" t="s">
        <v>35</v>
      </c>
      <c r="F9306">
        <v>3290280</v>
      </c>
      <c r="G9306" t="s">
        <v>4913</v>
      </c>
      <c r="H9306" s="21">
        <v>1017.67</v>
      </c>
    </row>
    <row r="9307" spans="1:8" customFormat="1" x14ac:dyDescent="0.25">
      <c r="A9307" t="str">
        <f>"883712"</f>
        <v>883712</v>
      </c>
      <c r="B9307" t="s">
        <v>8528</v>
      </c>
      <c r="C9307" t="s">
        <v>1588</v>
      </c>
      <c r="D9307" s="21" t="s">
        <v>34</v>
      </c>
      <c r="E9307" s="21" t="s">
        <v>254</v>
      </c>
      <c r="F9307">
        <v>6880119</v>
      </c>
      <c r="G9307" t="s">
        <v>3443</v>
      </c>
      <c r="H9307" s="21">
        <v>1017.67</v>
      </c>
    </row>
    <row r="9308" spans="1:8" customFormat="1" x14ac:dyDescent="0.25">
      <c r="A9308" t="str">
        <f>"584952"</f>
        <v>584952</v>
      </c>
      <c r="B9308" t="s">
        <v>27103</v>
      </c>
      <c r="C9308" t="s">
        <v>43</v>
      </c>
      <c r="D9308" s="21" t="s">
        <v>34</v>
      </c>
      <c r="E9308" s="21" t="s">
        <v>35</v>
      </c>
      <c r="F9308">
        <v>2580093</v>
      </c>
      <c r="G9308" t="s">
        <v>9104</v>
      </c>
      <c r="H9308" s="21">
        <v>1017.67</v>
      </c>
    </row>
    <row r="9309" spans="1:8" customFormat="1" x14ac:dyDescent="0.25">
      <c r="A9309" t="str">
        <f>"279171"</f>
        <v>279171</v>
      </c>
      <c r="B9309" t="s">
        <v>8820</v>
      </c>
      <c r="C9309" t="s">
        <v>5595</v>
      </c>
      <c r="D9309" s="21" t="s">
        <v>34</v>
      </c>
      <c r="E9309" s="21" t="s">
        <v>71</v>
      </c>
      <c r="F9309">
        <v>9270006</v>
      </c>
      <c r="G9309" t="s">
        <v>780</v>
      </c>
      <c r="H9309" s="21">
        <v>1017.67</v>
      </c>
    </row>
    <row r="9310" spans="1:8" customFormat="1" x14ac:dyDescent="0.25">
      <c r="A9310" t="str">
        <f>"2213916"</f>
        <v>2213916</v>
      </c>
      <c r="B9310" t="s">
        <v>9591</v>
      </c>
      <c r="C9310" t="s">
        <v>2529</v>
      </c>
      <c r="D9310" s="21" t="s">
        <v>34</v>
      </c>
      <c r="E9310" s="21" t="s">
        <v>71</v>
      </c>
      <c r="F9310">
        <v>3220033</v>
      </c>
      <c r="G9310" t="s">
        <v>657</v>
      </c>
      <c r="H9310" s="21">
        <v>1017.67</v>
      </c>
    </row>
    <row r="9311" spans="1:8" customFormat="1" x14ac:dyDescent="0.25">
      <c r="A9311" t="str">
        <f>"5316829"</f>
        <v>5316829</v>
      </c>
      <c r="B9311" t="s">
        <v>8671</v>
      </c>
      <c r="C9311" t="s">
        <v>169</v>
      </c>
      <c r="D9311" s="21" t="s">
        <v>34</v>
      </c>
      <c r="E9311" s="21" t="s">
        <v>35</v>
      </c>
      <c r="F9311">
        <v>12530072</v>
      </c>
      <c r="G9311" t="s">
        <v>7342</v>
      </c>
      <c r="H9311" s="21">
        <v>1017.67</v>
      </c>
    </row>
    <row r="9312" spans="1:8" customFormat="1" x14ac:dyDescent="0.25">
      <c r="A9312" t="str">
        <f>"6210929"</f>
        <v>6210929</v>
      </c>
      <c r="B9312" t="s">
        <v>10525</v>
      </c>
      <c r="C9312" t="s">
        <v>60</v>
      </c>
      <c r="D9312" s="21" t="s">
        <v>34</v>
      </c>
      <c r="E9312" s="21" t="s">
        <v>35</v>
      </c>
      <c r="F9312">
        <v>7620111</v>
      </c>
      <c r="G9312" t="s">
        <v>1372</v>
      </c>
      <c r="H9312" s="21">
        <v>1017.67</v>
      </c>
    </row>
    <row r="9313" spans="1:8" customFormat="1" x14ac:dyDescent="0.25">
      <c r="A9313" t="str">
        <f>"946412"</f>
        <v>946412</v>
      </c>
      <c r="B9313" t="s">
        <v>8663</v>
      </c>
      <c r="C9313" t="s">
        <v>598</v>
      </c>
      <c r="D9313" s="21" t="s">
        <v>34</v>
      </c>
      <c r="E9313" s="21" t="s">
        <v>71</v>
      </c>
      <c r="F9313">
        <v>8940094</v>
      </c>
      <c r="G9313" t="s">
        <v>8664</v>
      </c>
      <c r="H9313" s="21">
        <v>1017.42</v>
      </c>
    </row>
    <row r="9314" spans="1:8" customFormat="1" x14ac:dyDescent="0.25">
      <c r="A9314" t="str">
        <f>"2110138"</f>
        <v>2110138</v>
      </c>
      <c r="B9314" t="s">
        <v>9868</v>
      </c>
      <c r="C9314" t="s">
        <v>139</v>
      </c>
      <c r="D9314" s="21" t="s">
        <v>34</v>
      </c>
      <c r="E9314" s="21" t="s">
        <v>35</v>
      </c>
      <c r="F9314">
        <v>2210007</v>
      </c>
      <c r="G9314" t="s">
        <v>26848</v>
      </c>
      <c r="H9314" s="21">
        <v>1017.42</v>
      </c>
    </row>
    <row r="9315" spans="1:8" customFormat="1" x14ac:dyDescent="0.25">
      <c r="A9315" t="str">
        <f>"884640"</f>
        <v>884640</v>
      </c>
      <c r="B9315" t="s">
        <v>27104</v>
      </c>
      <c r="C9315" t="s">
        <v>27105</v>
      </c>
      <c r="D9315" s="21" t="s">
        <v>34</v>
      </c>
      <c r="E9315" s="21" t="s">
        <v>35</v>
      </c>
      <c r="F9315">
        <v>2700002</v>
      </c>
      <c r="G9315" t="s">
        <v>953</v>
      </c>
      <c r="H9315" s="21">
        <v>1017.17</v>
      </c>
    </row>
    <row r="9316" spans="1:8" customFormat="1" x14ac:dyDescent="0.25">
      <c r="A9316" t="str">
        <f>"538187"</f>
        <v>538187</v>
      </c>
      <c r="B9316" t="s">
        <v>10901</v>
      </c>
      <c r="C9316" t="s">
        <v>114</v>
      </c>
      <c r="D9316" s="21" t="s">
        <v>34</v>
      </c>
      <c r="E9316" s="21" t="s">
        <v>71</v>
      </c>
      <c r="F9316">
        <v>12530058</v>
      </c>
      <c r="G9316" t="s">
        <v>3128</v>
      </c>
      <c r="H9316" s="21">
        <v>1017.17</v>
      </c>
    </row>
    <row r="9317" spans="1:8" customFormat="1" x14ac:dyDescent="0.25">
      <c r="A9317" t="str">
        <f>"7912337"</f>
        <v>7912337</v>
      </c>
      <c r="B9317" t="s">
        <v>9000</v>
      </c>
      <c r="C9317" t="s">
        <v>62</v>
      </c>
      <c r="D9317" s="21" t="s">
        <v>34</v>
      </c>
      <c r="E9317" s="21" t="s">
        <v>35</v>
      </c>
      <c r="F9317">
        <v>10790071</v>
      </c>
      <c r="G9317" t="s">
        <v>5806</v>
      </c>
      <c r="H9317" s="21">
        <v>1017.17</v>
      </c>
    </row>
    <row r="9318" spans="1:8" customFormat="1" x14ac:dyDescent="0.25">
      <c r="A9318" t="str">
        <f>"34246"</f>
        <v>34246</v>
      </c>
      <c r="B9318" t="s">
        <v>8557</v>
      </c>
      <c r="C9318" t="s">
        <v>1841</v>
      </c>
      <c r="D9318" s="21" t="s">
        <v>34</v>
      </c>
      <c r="E9318" s="21" t="s">
        <v>71</v>
      </c>
      <c r="F9318">
        <v>11340014</v>
      </c>
      <c r="G9318" t="s">
        <v>1455</v>
      </c>
      <c r="H9318" s="21">
        <v>1017.17</v>
      </c>
    </row>
    <row r="9319" spans="1:8" customFormat="1" x14ac:dyDescent="0.25">
      <c r="A9319" t="str">
        <f>"2915929"</f>
        <v>2915929</v>
      </c>
      <c r="B9319" t="s">
        <v>9648</v>
      </c>
      <c r="C9319" t="s">
        <v>198</v>
      </c>
      <c r="D9319" s="21" t="s">
        <v>34</v>
      </c>
      <c r="E9319" s="21" t="s">
        <v>71</v>
      </c>
      <c r="F9319">
        <v>3290009</v>
      </c>
      <c r="G9319" t="s">
        <v>4358</v>
      </c>
      <c r="H9319" s="21">
        <v>1017.17</v>
      </c>
    </row>
    <row r="9320" spans="1:8" customFormat="1" x14ac:dyDescent="0.25">
      <c r="A9320" t="str">
        <f>"6314436"</f>
        <v>6314436</v>
      </c>
      <c r="B9320" t="s">
        <v>431</v>
      </c>
      <c r="C9320" t="s">
        <v>60</v>
      </c>
      <c r="D9320" s="21" t="s">
        <v>34</v>
      </c>
      <c r="E9320" s="21" t="s">
        <v>35</v>
      </c>
      <c r="F9320">
        <v>1630325</v>
      </c>
      <c r="G9320" t="s">
        <v>10751</v>
      </c>
      <c r="H9320" s="21">
        <v>1017.17</v>
      </c>
    </row>
    <row r="9321" spans="1:8" customFormat="1" x14ac:dyDescent="0.25">
      <c r="A9321" t="str">
        <f>"5936945"</f>
        <v>5936945</v>
      </c>
      <c r="B9321" t="s">
        <v>11218</v>
      </c>
      <c r="C9321" t="s">
        <v>269</v>
      </c>
      <c r="D9321" s="21" t="s">
        <v>34</v>
      </c>
      <c r="E9321" s="21" t="s">
        <v>71</v>
      </c>
      <c r="F9321">
        <v>7620049</v>
      </c>
      <c r="G9321" t="s">
        <v>1176</v>
      </c>
      <c r="H9321" s="21">
        <v>1017.17</v>
      </c>
    </row>
    <row r="9322" spans="1:8" customFormat="1" x14ac:dyDescent="0.25">
      <c r="A9322" t="str">
        <f>"4212475"</f>
        <v>4212475</v>
      </c>
      <c r="B9322" t="s">
        <v>9392</v>
      </c>
      <c r="C9322" t="s">
        <v>109</v>
      </c>
      <c r="D9322" s="21" t="s">
        <v>34</v>
      </c>
      <c r="E9322" s="21" t="s">
        <v>35</v>
      </c>
      <c r="F9322">
        <v>1420088</v>
      </c>
      <c r="G9322" t="s">
        <v>7613</v>
      </c>
      <c r="H9322" s="21">
        <v>1017.17</v>
      </c>
    </row>
    <row r="9323" spans="1:8" customFormat="1" x14ac:dyDescent="0.25">
      <c r="A9323" t="str">
        <f>"214190"</f>
        <v>214190</v>
      </c>
      <c r="B9323" t="s">
        <v>10231</v>
      </c>
      <c r="C9323" t="s">
        <v>817</v>
      </c>
      <c r="D9323" s="21" t="s">
        <v>34</v>
      </c>
      <c r="E9323" s="21" t="s">
        <v>254</v>
      </c>
      <c r="F9323">
        <v>1630261</v>
      </c>
      <c r="G9323" t="s">
        <v>1382</v>
      </c>
      <c r="H9323" s="21">
        <v>1017.17</v>
      </c>
    </row>
    <row r="9324" spans="1:8" customFormat="1" x14ac:dyDescent="0.25">
      <c r="A9324" t="str">
        <f>"764651"</f>
        <v>764651</v>
      </c>
      <c r="B9324" t="s">
        <v>10143</v>
      </c>
      <c r="C9324" t="s">
        <v>926</v>
      </c>
      <c r="D9324" s="21" t="s">
        <v>34</v>
      </c>
      <c r="E9324" s="21" t="s">
        <v>71</v>
      </c>
      <c r="F9324">
        <v>9760342</v>
      </c>
      <c r="G9324" t="s">
        <v>3619</v>
      </c>
      <c r="H9324" s="21">
        <v>1017.17</v>
      </c>
    </row>
    <row r="9325" spans="1:8" customFormat="1" x14ac:dyDescent="0.25">
      <c r="A9325" t="str">
        <f>"025807"</f>
        <v>025807</v>
      </c>
      <c r="B9325" t="s">
        <v>9601</v>
      </c>
      <c r="C9325" t="s">
        <v>1812</v>
      </c>
      <c r="D9325" s="21" t="s">
        <v>34</v>
      </c>
      <c r="E9325" s="21" t="s">
        <v>71</v>
      </c>
      <c r="F9325">
        <v>7020065</v>
      </c>
      <c r="G9325" t="s">
        <v>4852</v>
      </c>
      <c r="H9325" s="21">
        <v>1017.17</v>
      </c>
    </row>
    <row r="9326" spans="1:8" customFormat="1" x14ac:dyDescent="0.25">
      <c r="A9326" t="str">
        <f>"3525628"</f>
        <v>3525628</v>
      </c>
      <c r="B9326" t="s">
        <v>4499</v>
      </c>
      <c r="C9326" t="s">
        <v>598</v>
      </c>
      <c r="D9326" s="21" t="s">
        <v>34</v>
      </c>
      <c r="E9326" s="21" t="s">
        <v>71</v>
      </c>
      <c r="F9326">
        <v>3350021</v>
      </c>
      <c r="G9326" t="s">
        <v>1758</v>
      </c>
      <c r="H9326" s="21">
        <v>1017.17</v>
      </c>
    </row>
    <row r="9327" spans="1:8" customFormat="1" x14ac:dyDescent="0.25">
      <c r="A9327" t="str">
        <f>"661554"</f>
        <v>661554</v>
      </c>
      <c r="B9327" t="s">
        <v>9065</v>
      </c>
      <c r="C9327" t="s">
        <v>528</v>
      </c>
      <c r="D9327" s="21" t="s">
        <v>34</v>
      </c>
      <c r="E9327" s="21" t="s">
        <v>35</v>
      </c>
      <c r="F9327">
        <v>11660003</v>
      </c>
      <c r="G9327" t="s">
        <v>5188</v>
      </c>
      <c r="H9327" s="21">
        <v>1017.17</v>
      </c>
    </row>
    <row r="9328" spans="1:8" customFormat="1" x14ac:dyDescent="0.25">
      <c r="A9328" t="str">
        <f>"3716443"</f>
        <v>3716443</v>
      </c>
      <c r="B9328" t="s">
        <v>2851</v>
      </c>
      <c r="C9328" t="s">
        <v>33</v>
      </c>
      <c r="D9328" s="21" t="s">
        <v>34</v>
      </c>
      <c r="E9328" s="21" t="s">
        <v>71</v>
      </c>
      <c r="F9328">
        <v>4370615</v>
      </c>
      <c r="G9328" t="s">
        <v>7437</v>
      </c>
      <c r="H9328" s="21">
        <v>1017.17</v>
      </c>
    </row>
    <row r="9329" spans="1:8" customFormat="1" x14ac:dyDescent="0.25">
      <c r="A9329" t="str">
        <f>"7917197"</f>
        <v>7917197</v>
      </c>
      <c r="B9329" t="s">
        <v>9318</v>
      </c>
      <c r="C9329" t="s">
        <v>65</v>
      </c>
      <c r="D9329" s="21" t="s">
        <v>34</v>
      </c>
      <c r="E9329" s="21" t="s">
        <v>35</v>
      </c>
      <c r="F9329">
        <v>10790158</v>
      </c>
      <c r="G9329" t="s">
        <v>9319</v>
      </c>
      <c r="H9329" s="21">
        <v>1017.17</v>
      </c>
    </row>
    <row r="9330" spans="1:8" customFormat="1" x14ac:dyDescent="0.25">
      <c r="A9330" t="str">
        <f>"598620"</f>
        <v>598620</v>
      </c>
      <c r="B9330" t="s">
        <v>9977</v>
      </c>
      <c r="C9330" t="s">
        <v>33</v>
      </c>
      <c r="D9330" s="21" t="s">
        <v>34</v>
      </c>
      <c r="E9330" s="21" t="s">
        <v>71</v>
      </c>
      <c r="F9330">
        <v>7590228</v>
      </c>
      <c r="G9330" t="s">
        <v>1798</v>
      </c>
      <c r="H9330" s="21">
        <v>1017.17</v>
      </c>
    </row>
    <row r="9331" spans="1:8" customFormat="1" x14ac:dyDescent="0.25">
      <c r="A9331" t="str">
        <f>"4928924"</f>
        <v>4928924</v>
      </c>
      <c r="B9331" t="s">
        <v>9690</v>
      </c>
      <c r="C9331" t="s">
        <v>486</v>
      </c>
      <c r="D9331" s="21" t="s">
        <v>34</v>
      </c>
      <c r="E9331" s="21" t="s">
        <v>35</v>
      </c>
      <c r="F9331">
        <v>12490107</v>
      </c>
      <c r="G9331" t="s">
        <v>715</v>
      </c>
      <c r="H9331" s="21">
        <v>1016.92</v>
      </c>
    </row>
    <row r="9332" spans="1:8" customFormat="1" x14ac:dyDescent="0.25">
      <c r="A9332" t="str">
        <f>"9424390"</f>
        <v>9424390</v>
      </c>
      <c r="B9332" t="s">
        <v>8940</v>
      </c>
      <c r="C9332" t="s">
        <v>2520</v>
      </c>
      <c r="D9332" s="21" t="s">
        <v>34</v>
      </c>
      <c r="E9332" s="21" t="s">
        <v>254</v>
      </c>
      <c r="F9332">
        <v>8910359</v>
      </c>
      <c r="G9332" t="s">
        <v>1204</v>
      </c>
      <c r="H9332" s="21">
        <v>1016.8</v>
      </c>
    </row>
    <row r="9333" spans="1:8" customFormat="1" x14ac:dyDescent="0.25">
      <c r="A9333" t="str">
        <f>"5315129"</f>
        <v>5315129</v>
      </c>
      <c r="B9333" t="s">
        <v>430</v>
      </c>
      <c r="C9333" t="s">
        <v>4623</v>
      </c>
      <c r="D9333" s="21" t="s">
        <v>34</v>
      </c>
      <c r="E9333" s="21" t="s">
        <v>35</v>
      </c>
      <c r="F9333">
        <v>3350087</v>
      </c>
      <c r="G9333" t="s">
        <v>7430</v>
      </c>
      <c r="H9333" s="21">
        <v>1016.79</v>
      </c>
    </row>
    <row r="9334" spans="1:8" customFormat="1" x14ac:dyDescent="0.25">
      <c r="A9334" t="str">
        <f>"025037"</f>
        <v>025037</v>
      </c>
      <c r="B9334" t="s">
        <v>9544</v>
      </c>
      <c r="C9334" t="s">
        <v>139</v>
      </c>
      <c r="D9334" s="21" t="s">
        <v>34</v>
      </c>
      <c r="E9334" s="21" t="s">
        <v>71</v>
      </c>
      <c r="F9334">
        <v>7020009</v>
      </c>
      <c r="G9334" t="s">
        <v>3362</v>
      </c>
      <c r="H9334" s="21">
        <v>1016.67</v>
      </c>
    </row>
    <row r="9335" spans="1:8" customFormat="1" x14ac:dyDescent="0.25">
      <c r="A9335" t="str">
        <f>"5112543"</f>
        <v>5112543</v>
      </c>
      <c r="B9335" t="s">
        <v>11952</v>
      </c>
      <c r="C9335" t="s">
        <v>169</v>
      </c>
      <c r="D9335" s="21" t="s">
        <v>34</v>
      </c>
      <c r="E9335" s="21" t="s">
        <v>35</v>
      </c>
      <c r="F9335">
        <v>6510040</v>
      </c>
      <c r="G9335" t="s">
        <v>9113</v>
      </c>
      <c r="H9335" s="21">
        <v>1016.67</v>
      </c>
    </row>
    <row r="9336" spans="1:8" customFormat="1" x14ac:dyDescent="0.25">
      <c r="A9336" t="str">
        <f>"2934336"</f>
        <v>2934336</v>
      </c>
      <c r="B9336" t="s">
        <v>9762</v>
      </c>
      <c r="C9336" t="s">
        <v>328</v>
      </c>
      <c r="D9336" s="21" t="s">
        <v>34</v>
      </c>
      <c r="E9336" s="21" t="s">
        <v>71</v>
      </c>
      <c r="F9336">
        <v>3290235</v>
      </c>
      <c r="G9336" t="s">
        <v>12128</v>
      </c>
      <c r="H9336" s="21">
        <v>1016.67</v>
      </c>
    </row>
    <row r="9337" spans="1:8" customFormat="1" x14ac:dyDescent="0.25">
      <c r="A9337" t="str">
        <f>"1714802"</f>
        <v>1714802</v>
      </c>
      <c r="B9337" t="s">
        <v>9382</v>
      </c>
      <c r="C9337" t="s">
        <v>87</v>
      </c>
      <c r="D9337" s="21" t="s">
        <v>34</v>
      </c>
      <c r="E9337" s="21" t="s">
        <v>35</v>
      </c>
      <c r="F9337">
        <v>10170029</v>
      </c>
      <c r="G9337" t="s">
        <v>9383</v>
      </c>
      <c r="H9337" s="21">
        <v>1016.67</v>
      </c>
    </row>
    <row r="9338" spans="1:8" customFormat="1" x14ac:dyDescent="0.25">
      <c r="A9338" t="str">
        <f>"411624"</f>
        <v>411624</v>
      </c>
      <c r="B9338" t="s">
        <v>7041</v>
      </c>
      <c r="C9338" t="s">
        <v>43</v>
      </c>
      <c r="D9338" s="21" t="s">
        <v>34</v>
      </c>
      <c r="E9338" s="21" t="s">
        <v>35</v>
      </c>
      <c r="F9338">
        <v>4410467</v>
      </c>
      <c r="G9338" t="s">
        <v>6362</v>
      </c>
      <c r="H9338" s="21">
        <v>1016.67</v>
      </c>
    </row>
    <row r="9339" spans="1:8" customFormat="1" x14ac:dyDescent="0.25">
      <c r="A9339" t="str">
        <f>"5912975"</f>
        <v>5912975</v>
      </c>
      <c r="B9339" t="s">
        <v>8513</v>
      </c>
      <c r="C9339" t="s">
        <v>2356</v>
      </c>
      <c r="D9339" s="21" t="s">
        <v>34</v>
      </c>
      <c r="E9339" s="21" t="s">
        <v>71</v>
      </c>
      <c r="F9339">
        <v>7590410</v>
      </c>
      <c r="G9339" t="s">
        <v>2048</v>
      </c>
      <c r="H9339" s="21">
        <v>1016.67</v>
      </c>
    </row>
    <row r="9340" spans="1:8" customFormat="1" x14ac:dyDescent="0.25">
      <c r="A9340" t="str">
        <f>"5016079"</f>
        <v>5016079</v>
      </c>
      <c r="B9340" t="s">
        <v>8713</v>
      </c>
      <c r="C9340" t="s">
        <v>1539</v>
      </c>
      <c r="D9340" s="21" t="s">
        <v>34</v>
      </c>
      <c r="E9340" s="21" t="s">
        <v>35</v>
      </c>
      <c r="F9340">
        <v>9500139</v>
      </c>
      <c r="G9340" t="s">
        <v>6892</v>
      </c>
      <c r="H9340" s="21">
        <v>1016.67</v>
      </c>
    </row>
    <row r="9341" spans="1:8" customFormat="1" x14ac:dyDescent="0.25">
      <c r="A9341" t="str">
        <f>"9534783"</f>
        <v>9534783</v>
      </c>
      <c r="B9341" t="s">
        <v>10392</v>
      </c>
      <c r="C9341" t="s">
        <v>149</v>
      </c>
      <c r="D9341" s="21" t="s">
        <v>34</v>
      </c>
      <c r="E9341" s="21" t="s">
        <v>35</v>
      </c>
      <c r="F9341">
        <v>8950103</v>
      </c>
      <c r="G9341" t="s">
        <v>440</v>
      </c>
      <c r="H9341" s="21">
        <v>1016.67</v>
      </c>
    </row>
    <row r="9342" spans="1:8" customFormat="1" x14ac:dyDescent="0.25">
      <c r="A9342" t="str">
        <f>"3529809"</f>
        <v>3529809</v>
      </c>
      <c r="B9342" t="s">
        <v>1264</v>
      </c>
      <c r="C9342" t="s">
        <v>90</v>
      </c>
      <c r="D9342" s="21" t="s">
        <v>34</v>
      </c>
      <c r="E9342" s="21" t="s">
        <v>35</v>
      </c>
      <c r="F9342">
        <v>3350027</v>
      </c>
      <c r="G9342" t="s">
        <v>2760</v>
      </c>
      <c r="H9342" s="21">
        <v>1016.67</v>
      </c>
    </row>
    <row r="9343" spans="1:8" customFormat="1" x14ac:dyDescent="0.25">
      <c r="A9343" t="str">
        <f>"2210305"</f>
        <v>2210305</v>
      </c>
      <c r="B9343" t="s">
        <v>9133</v>
      </c>
      <c r="C9343" t="s">
        <v>130</v>
      </c>
      <c r="D9343" s="21" t="s">
        <v>34</v>
      </c>
      <c r="E9343" s="21" t="s">
        <v>71</v>
      </c>
      <c r="F9343">
        <v>3220047</v>
      </c>
      <c r="G9343" t="s">
        <v>131</v>
      </c>
      <c r="H9343" s="21">
        <v>1016.67</v>
      </c>
    </row>
    <row r="9344" spans="1:8" customFormat="1" x14ac:dyDescent="0.25">
      <c r="A9344" t="str">
        <f>"5916550"</f>
        <v>5916550</v>
      </c>
      <c r="B9344" t="s">
        <v>10564</v>
      </c>
      <c r="C9344" t="s">
        <v>204</v>
      </c>
      <c r="D9344" s="21" t="s">
        <v>34</v>
      </c>
      <c r="E9344" s="21" t="s">
        <v>35</v>
      </c>
      <c r="F9344">
        <v>7590043</v>
      </c>
      <c r="G9344" t="s">
        <v>10565</v>
      </c>
      <c r="H9344" s="21">
        <v>1016.67</v>
      </c>
    </row>
    <row r="9345" spans="1:8" customFormat="1" x14ac:dyDescent="0.25">
      <c r="A9345" t="str">
        <f>"72227"</f>
        <v>72227</v>
      </c>
      <c r="B9345" t="s">
        <v>7934</v>
      </c>
      <c r="C9345" t="s">
        <v>239</v>
      </c>
      <c r="D9345" s="21" t="s">
        <v>34</v>
      </c>
      <c r="E9345" s="21" t="s">
        <v>1089</v>
      </c>
      <c r="F9345">
        <v>12720104</v>
      </c>
      <c r="G9345" t="s">
        <v>224</v>
      </c>
      <c r="H9345" s="21">
        <v>1016.18</v>
      </c>
    </row>
    <row r="9346" spans="1:8" customFormat="1" x14ac:dyDescent="0.25">
      <c r="A9346" t="str">
        <f>"568086"</f>
        <v>568086</v>
      </c>
      <c r="B9346" t="s">
        <v>9964</v>
      </c>
      <c r="C9346" t="s">
        <v>462</v>
      </c>
      <c r="D9346" s="21" t="s">
        <v>34</v>
      </c>
      <c r="E9346" s="21" t="s">
        <v>35</v>
      </c>
      <c r="F9346">
        <v>3560002</v>
      </c>
      <c r="G9346" t="s">
        <v>5437</v>
      </c>
      <c r="H9346" s="21">
        <v>1016.17</v>
      </c>
    </row>
    <row r="9347" spans="1:8" customFormat="1" x14ac:dyDescent="0.25">
      <c r="A9347" t="str">
        <f>"904002"</f>
        <v>904002</v>
      </c>
      <c r="B9347" t="s">
        <v>5696</v>
      </c>
      <c r="C9347" t="s">
        <v>311</v>
      </c>
      <c r="D9347" s="21" t="s">
        <v>34</v>
      </c>
      <c r="E9347" s="21" t="s">
        <v>35</v>
      </c>
      <c r="F9347">
        <v>2250193</v>
      </c>
      <c r="G9347" t="s">
        <v>2584</v>
      </c>
      <c r="H9347" s="21">
        <v>1016.17</v>
      </c>
    </row>
    <row r="9348" spans="1:8" customFormat="1" x14ac:dyDescent="0.25">
      <c r="A9348" t="str">
        <f>"3518769"</f>
        <v>3518769</v>
      </c>
      <c r="B9348" t="s">
        <v>8929</v>
      </c>
      <c r="C9348" t="s">
        <v>253</v>
      </c>
      <c r="D9348" s="21" t="s">
        <v>34</v>
      </c>
      <c r="E9348" s="21" t="s">
        <v>71</v>
      </c>
      <c r="F9348">
        <v>3350060</v>
      </c>
      <c r="G9348" t="s">
        <v>38</v>
      </c>
      <c r="H9348" s="21">
        <v>1016.17</v>
      </c>
    </row>
    <row r="9349" spans="1:8" customFormat="1" x14ac:dyDescent="0.25">
      <c r="A9349" t="str">
        <f>"034898"</f>
        <v>034898</v>
      </c>
      <c r="B9349" t="s">
        <v>9445</v>
      </c>
      <c r="C9349" t="s">
        <v>462</v>
      </c>
      <c r="D9349" s="21" t="s">
        <v>34</v>
      </c>
      <c r="E9349" s="21" t="s">
        <v>71</v>
      </c>
      <c r="F9349">
        <v>1030227</v>
      </c>
      <c r="G9349" t="s">
        <v>5679</v>
      </c>
      <c r="H9349" s="21">
        <v>1016.17</v>
      </c>
    </row>
    <row r="9350" spans="1:8" customFormat="1" x14ac:dyDescent="0.25">
      <c r="A9350" t="str">
        <f>"72464"</f>
        <v>72464</v>
      </c>
      <c r="B9350" t="s">
        <v>10363</v>
      </c>
      <c r="C9350" t="s">
        <v>239</v>
      </c>
      <c r="D9350" s="21" t="s">
        <v>34</v>
      </c>
      <c r="E9350" s="21" t="s">
        <v>254</v>
      </c>
      <c r="F9350">
        <v>12720027</v>
      </c>
      <c r="G9350" t="s">
        <v>3562</v>
      </c>
      <c r="H9350" s="21">
        <v>1016.17</v>
      </c>
    </row>
    <row r="9351" spans="1:8" customFormat="1" x14ac:dyDescent="0.25">
      <c r="A9351" t="str">
        <f>"7510408"</f>
        <v>7510408</v>
      </c>
      <c r="B9351" t="s">
        <v>1028</v>
      </c>
      <c r="C9351" t="s">
        <v>209</v>
      </c>
      <c r="D9351" s="21" t="s">
        <v>34</v>
      </c>
      <c r="E9351" s="21" t="s">
        <v>35</v>
      </c>
      <c r="F9351">
        <v>10170042</v>
      </c>
      <c r="G9351" t="s">
        <v>5014</v>
      </c>
      <c r="H9351" s="21">
        <v>1016.17</v>
      </c>
    </row>
    <row r="9352" spans="1:8" customFormat="1" x14ac:dyDescent="0.25">
      <c r="A9352" t="str">
        <f>"5017059"</f>
        <v>5017059</v>
      </c>
      <c r="B9352" t="s">
        <v>10096</v>
      </c>
      <c r="C9352" t="s">
        <v>33</v>
      </c>
      <c r="D9352" s="21" t="s">
        <v>34</v>
      </c>
      <c r="E9352" s="21" t="s">
        <v>71</v>
      </c>
      <c r="F9352">
        <v>9500012</v>
      </c>
      <c r="G9352" t="s">
        <v>10097</v>
      </c>
      <c r="H9352" s="21">
        <v>1016.17</v>
      </c>
    </row>
    <row r="9353" spans="1:8" customFormat="1" x14ac:dyDescent="0.25">
      <c r="A9353" t="str">
        <f>"4442238"</f>
        <v>4442238</v>
      </c>
      <c r="B9353" t="s">
        <v>10027</v>
      </c>
      <c r="C9353" t="s">
        <v>171</v>
      </c>
      <c r="D9353" s="21" t="s">
        <v>34</v>
      </c>
      <c r="E9353" s="21" t="s">
        <v>71</v>
      </c>
      <c r="F9353">
        <v>12440195</v>
      </c>
      <c r="G9353" t="s">
        <v>3117</v>
      </c>
      <c r="H9353" s="21">
        <v>1016.17</v>
      </c>
    </row>
    <row r="9354" spans="1:8" customFormat="1" x14ac:dyDescent="0.25">
      <c r="A9354" t="str">
        <f>"618929"</f>
        <v>618929</v>
      </c>
      <c r="B9354" t="s">
        <v>8354</v>
      </c>
      <c r="C9354" t="s">
        <v>8355</v>
      </c>
      <c r="D9354" s="21" t="s">
        <v>34</v>
      </c>
      <c r="E9354" s="21" t="s">
        <v>35</v>
      </c>
      <c r="F9354">
        <v>9610012</v>
      </c>
      <c r="G9354" t="s">
        <v>5316</v>
      </c>
      <c r="H9354" s="21">
        <v>1016.17</v>
      </c>
    </row>
    <row r="9355" spans="1:8" customFormat="1" x14ac:dyDescent="0.25">
      <c r="A9355" t="str">
        <f>"3715567"</f>
        <v>3715567</v>
      </c>
      <c r="B9355" t="s">
        <v>5083</v>
      </c>
      <c r="C9355" t="s">
        <v>124</v>
      </c>
      <c r="D9355" s="21" t="s">
        <v>34</v>
      </c>
      <c r="E9355" s="21" t="s">
        <v>71</v>
      </c>
      <c r="F9355">
        <v>4370681</v>
      </c>
      <c r="G9355" t="s">
        <v>4508</v>
      </c>
      <c r="H9355" s="21">
        <v>1016.17</v>
      </c>
    </row>
    <row r="9356" spans="1:8" customFormat="1" x14ac:dyDescent="0.25">
      <c r="A9356" t="str">
        <f>"853781"</f>
        <v>853781</v>
      </c>
      <c r="B9356" t="s">
        <v>3273</v>
      </c>
      <c r="C9356" t="s">
        <v>62</v>
      </c>
      <c r="D9356" s="21" t="s">
        <v>34</v>
      </c>
      <c r="E9356" s="21" t="s">
        <v>35</v>
      </c>
      <c r="F9356">
        <v>12850039</v>
      </c>
      <c r="G9356" t="s">
        <v>7123</v>
      </c>
      <c r="H9356" s="21">
        <v>1016.17</v>
      </c>
    </row>
    <row r="9357" spans="1:8" customFormat="1" x14ac:dyDescent="0.25">
      <c r="A9357" t="str">
        <f>"691884"</f>
        <v>691884</v>
      </c>
      <c r="B9357" t="s">
        <v>8467</v>
      </c>
      <c r="C9357" t="s">
        <v>55</v>
      </c>
      <c r="D9357" s="21" t="s">
        <v>34</v>
      </c>
      <c r="E9357" s="21" t="s">
        <v>254</v>
      </c>
      <c r="F9357">
        <v>1740069</v>
      </c>
      <c r="G9357" t="s">
        <v>8151</v>
      </c>
      <c r="H9357" s="21">
        <v>1016.17</v>
      </c>
    </row>
    <row r="9358" spans="1:8" customFormat="1" x14ac:dyDescent="0.25">
      <c r="A9358" t="str">
        <f>"4437632"</f>
        <v>4437632</v>
      </c>
      <c r="B9358" t="s">
        <v>9348</v>
      </c>
      <c r="C9358" t="s">
        <v>269</v>
      </c>
      <c r="D9358" s="21" t="s">
        <v>34</v>
      </c>
      <c r="E9358" s="21" t="s">
        <v>71</v>
      </c>
      <c r="F9358">
        <v>12440059</v>
      </c>
      <c r="G9358" t="s">
        <v>6697</v>
      </c>
      <c r="H9358" s="21">
        <v>1016.17</v>
      </c>
    </row>
    <row r="9359" spans="1:8" customFormat="1" x14ac:dyDescent="0.25">
      <c r="A9359" t="str">
        <f>"9418244"</f>
        <v>9418244</v>
      </c>
      <c r="B9359" t="s">
        <v>8696</v>
      </c>
      <c r="C9359" t="s">
        <v>198</v>
      </c>
      <c r="D9359" s="21" t="s">
        <v>34</v>
      </c>
      <c r="E9359" s="21" t="s">
        <v>254</v>
      </c>
      <c r="F9359">
        <v>8940096</v>
      </c>
      <c r="G9359" t="s">
        <v>5453</v>
      </c>
      <c r="H9359" s="21">
        <v>1016.17</v>
      </c>
    </row>
    <row r="9360" spans="1:8" customFormat="1" x14ac:dyDescent="0.25">
      <c r="A9360" t="str">
        <f>"6226208"</f>
        <v>6226208</v>
      </c>
      <c r="B9360" t="s">
        <v>10723</v>
      </c>
      <c r="C9360" t="s">
        <v>209</v>
      </c>
      <c r="D9360" s="21" t="s">
        <v>34</v>
      </c>
      <c r="E9360" s="21" t="s">
        <v>71</v>
      </c>
      <c r="F9360">
        <v>7620040</v>
      </c>
      <c r="G9360" t="s">
        <v>1319</v>
      </c>
      <c r="H9360" s="21">
        <v>1016.17</v>
      </c>
    </row>
    <row r="9361" spans="1:8" customFormat="1" x14ac:dyDescent="0.25">
      <c r="A9361" t="str">
        <f>"184829"</f>
        <v>184829</v>
      </c>
      <c r="B9361" t="s">
        <v>10543</v>
      </c>
      <c r="C9361" t="s">
        <v>198</v>
      </c>
      <c r="D9361" s="21" t="s">
        <v>34</v>
      </c>
      <c r="E9361" s="21" t="s">
        <v>254</v>
      </c>
      <c r="F9361">
        <v>10240014</v>
      </c>
      <c r="G9361" t="s">
        <v>5445</v>
      </c>
      <c r="H9361" s="21">
        <v>1016.17</v>
      </c>
    </row>
    <row r="9362" spans="1:8" customFormat="1" x14ac:dyDescent="0.25">
      <c r="A9362" t="str">
        <f>"814672"</f>
        <v>814672</v>
      </c>
      <c r="B9362" t="s">
        <v>11771</v>
      </c>
      <c r="C9362" t="s">
        <v>462</v>
      </c>
      <c r="D9362" s="21" t="s">
        <v>34</v>
      </c>
      <c r="E9362" s="21" t="s">
        <v>71</v>
      </c>
      <c r="F9362">
        <v>11810001</v>
      </c>
      <c r="G9362" t="s">
        <v>26998</v>
      </c>
      <c r="H9362" s="21">
        <v>1016.17</v>
      </c>
    </row>
    <row r="9363" spans="1:8" customFormat="1" x14ac:dyDescent="0.25">
      <c r="A9363" t="str">
        <f>"616437"</f>
        <v>616437</v>
      </c>
      <c r="B9363" t="s">
        <v>10857</v>
      </c>
      <c r="C9363" t="s">
        <v>3522</v>
      </c>
      <c r="D9363" s="21" t="s">
        <v>34</v>
      </c>
      <c r="E9363" s="21" t="s">
        <v>35</v>
      </c>
      <c r="F9363">
        <v>9140052</v>
      </c>
      <c r="G9363" t="s">
        <v>26563</v>
      </c>
      <c r="H9363" s="21">
        <v>1016.05</v>
      </c>
    </row>
    <row r="9364" spans="1:8" customFormat="1" x14ac:dyDescent="0.25">
      <c r="A9364" t="str">
        <f>"5421840"</f>
        <v>5421840</v>
      </c>
      <c r="B9364" t="s">
        <v>11074</v>
      </c>
      <c r="C9364" t="s">
        <v>6486</v>
      </c>
      <c r="D9364" s="21" t="s">
        <v>34</v>
      </c>
      <c r="E9364" s="21" t="s">
        <v>254</v>
      </c>
      <c r="F9364">
        <v>6540198</v>
      </c>
      <c r="G9364" t="s">
        <v>9045</v>
      </c>
      <c r="H9364" s="21">
        <v>1016.04</v>
      </c>
    </row>
    <row r="9365" spans="1:8" customFormat="1" x14ac:dyDescent="0.25">
      <c r="A9365" t="str">
        <f>"403625"</f>
        <v>403625</v>
      </c>
      <c r="B9365" t="s">
        <v>10195</v>
      </c>
      <c r="C9365" t="s">
        <v>462</v>
      </c>
      <c r="D9365" s="21" t="s">
        <v>34</v>
      </c>
      <c r="E9365" s="21" t="s">
        <v>71</v>
      </c>
      <c r="F9365">
        <v>10640015</v>
      </c>
      <c r="G9365" t="s">
        <v>10196</v>
      </c>
      <c r="H9365" s="21">
        <v>1015.92</v>
      </c>
    </row>
    <row r="9366" spans="1:8" customFormat="1" x14ac:dyDescent="0.25">
      <c r="A9366" t="str">
        <f>"5012406"</f>
        <v>5012406</v>
      </c>
      <c r="B9366" t="s">
        <v>10421</v>
      </c>
      <c r="C9366" t="s">
        <v>169</v>
      </c>
      <c r="D9366" s="21" t="s">
        <v>34</v>
      </c>
      <c r="E9366" s="21" t="s">
        <v>35</v>
      </c>
      <c r="F9366">
        <v>9500124</v>
      </c>
      <c r="G9366" t="s">
        <v>3726</v>
      </c>
      <c r="H9366" s="21">
        <v>1015.67</v>
      </c>
    </row>
    <row r="9367" spans="1:8" customFormat="1" x14ac:dyDescent="0.25">
      <c r="A9367" t="str">
        <f>"3315707"</f>
        <v>3315707</v>
      </c>
      <c r="B9367" t="s">
        <v>9899</v>
      </c>
      <c r="C9367" t="s">
        <v>55</v>
      </c>
      <c r="D9367" s="21" t="s">
        <v>34</v>
      </c>
      <c r="E9367" s="21" t="s">
        <v>71</v>
      </c>
      <c r="F9367">
        <v>11810028</v>
      </c>
      <c r="G9367" t="s">
        <v>5817</v>
      </c>
      <c r="H9367" s="21">
        <v>1015.67</v>
      </c>
    </row>
    <row r="9368" spans="1:8" customFormat="1" x14ac:dyDescent="0.25">
      <c r="A9368" t="str">
        <f>"2716056"</f>
        <v>2716056</v>
      </c>
      <c r="B9368" t="s">
        <v>8849</v>
      </c>
      <c r="C9368" t="s">
        <v>997</v>
      </c>
      <c r="D9368" s="21" t="s">
        <v>34</v>
      </c>
      <c r="E9368" s="21" t="s">
        <v>35</v>
      </c>
      <c r="F9368">
        <v>9270185</v>
      </c>
      <c r="G9368" t="s">
        <v>9160</v>
      </c>
      <c r="H9368" s="21">
        <v>1015.67</v>
      </c>
    </row>
    <row r="9369" spans="1:8" customFormat="1" x14ac:dyDescent="0.25">
      <c r="A9369" t="str">
        <f>"592856"</f>
        <v>592856</v>
      </c>
      <c r="B9369" t="s">
        <v>8581</v>
      </c>
      <c r="C9369" t="s">
        <v>2356</v>
      </c>
      <c r="D9369" s="21" t="s">
        <v>34</v>
      </c>
      <c r="E9369" s="21" t="s">
        <v>254</v>
      </c>
      <c r="F9369">
        <v>7590170</v>
      </c>
      <c r="G9369" t="s">
        <v>868</v>
      </c>
      <c r="H9369" s="21">
        <v>1015.67</v>
      </c>
    </row>
    <row r="9370" spans="1:8" customFormat="1" x14ac:dyDescent="0.25">
      <c r="A9370" t="str">
        <f>"5312630"</f>
        <v>5312630</v>
      </c>
      <c r="B9370" t="s">
        <v>8046</v>
      </c>
      <c r="C9370" t="s">
        <v>121</v>
      </c>
      <c r="D9370" s="21" t="s">
        <v>34</v>
      </c>
      <c r="E9370" s="21" t="s">
        <v>35</v>
      </c>
      <c r="F9370">
        <v>12530109</v>
      </c>
      <c r="G9370" t="s">
        <v>6924</v>
      </c>
      <c r="H9370" s="21">
        <v>1015.67</v>
      </c>
    </row>
    <row r="9371" spans="1:8" customFormat="1" x14ac:dyDescent="0.25">
      <c r="A9371" t="str">
        <f>"794417"</f>
        <v>794417</v>
      </c>
      <c r="B9371" t="s">
        <v>3096</v>
      </c>
      <c r="C9371" t="s">
        <v>204</v>
      </c>
      <c r="D9371" s="21" t="s">
        <v>34</v>
      </c>
      <c r="E9371" s="21" t="s">
        <v>71</v>
      </c>
      <c r="F9371">
        <v>10790024</v>
      </c>
      <c r="G9371" t="s">
        <v>8674</v>
      </c>
      <c r="H9371" s="21">
        <v>1015.67</v>
      </c>
    </row>
    <row r="9372" spans="1:8" customFormat="1" x14ac:dyDescent="0.25">
      <c r="A9372" t="str">
        <f>"087910"</f>
        <v>087910</v>
      </c>
      <c r="B9372" t="s">
        <v>2402</v>
      </c>
      <c r="C9372" t="s">
        <v>9872</v>
      </c>
      <c r="D9372" s="21" t="s">
        <v>34</v>
      </c>
      <c r="E9372" s="21" t="s">
        <v>35</v>
      </c>
      <c r="F9372">
        <v>6080045</v>
      </c>
      <c r="G9372" t="s">
        <v>5632</v>
      </c>
      <c r="H9372" s="21">
        <v>1015.67</v>
      </c>
    </row>
    <row r="9373" spans="1:8" customFormat="1" x14ac:dyDescent="0.25">
      <c r="A9373" t="str">
        <f>"349613"</f>
        <v>349613</v>
      </c>
      <c r="B9373" t="s">
        <v>11735</v>
      </c>
      <c r="C9373" t="s">
        <v>87</v>
      </c>
      <c r="D9373" s="21" t="s">
        <v>34</v>
      </c>
      <c r="E9373" s="21" t="s">
        <v>35</v>
      </c>
      <c r="F9373">
        <v>11340001</v>
      </c>
      <c r="G9373" t="s">
        <v>9248</v>
      </c>
      <c r="H9373" s="21">
        <v>1015.67</v>
      </c>
    </row>
    <row r="9374" spans="1:8" customFormat="1" x14ac:dyDescent="0.25">
      <c r="A9374" t="str">
        <f>"595344"</f>
        <v>595344</v>
      </c>
      <c r="B9374" t="s">
        <v>255</v>
      </c>
      <c r="C9374" t="s">
        <v>2520</v>
      </c>
      <c r="D9374" s="21" t="s">
        <v>34</v>
      </c>
      <c r="E9374" s="21" t="s">
        <v>1089</v>
      </c>
      <c r="F9374">
        <v>6880086</v>
      </c>
      <c r="G9374" t="s">
        <v>3245</v>
      </c>
      <c r="H9374" s="21">
        <v>1015.67</v>
      </c>
    </row>
    <row r="9375" spans="1:8" customFormat="1" x14ac:dyDescent="0.25">
      <c r="A9375" t="str">
        <f>"728481"</f>
        <v>728481</v>
      </c>
      <c r="B9375" t="s">
        <v>5734</v>
      </c>
      <c r="C9375" t="s">
        <v>1803</v>
      </c>
      <c r="D9375" s="21" t="s">
        <v>34</v>
      </c>
      <c r="E9375" s="21" t="s">
        <v>35</v>
      </c>
      <c r="F9375">
        <v>12720078</v>
      </c>
      <c r="G9375" t="s">
        <v>5085</v>
      </c>
      <c r="H9375" s="21">
        <v>1015.67</v>
      </c>
    </row>
    <row r="9376" spans="1:8" customFormat="1" x14ac:dyDescent="0.25">
      <c r="A9376" t="str">
        <f>"403374"</f>
        <v>403374</v>
      </c>
      <c r="B9376" t="s">
        <v>9918</v>
      </c>
      <c r="C9376" t="s">
        <v>453</v>
      </c>
      <c r="D9376" s="21" t="s">
        <v>34</v>
      </c>
      <c r="E9376" s="21" t="s">
        <v>71</v>
      </c>
      <c r="F9376">
        <v>10400026</v>
      </c>
      <c r="G9376" t="s">
        <v>9919</v>
      </c>
      <c r="H9376" s="21">
        <v>1015.67</v>
      </c>
    </row>
    <row r="9377" spans="1:8" customFormat="1" x14ac:dyDescent="0.25">
      <c r="A9377" t="str">
        <f>"6019763"</f>
        <v>6019763</v>
      </c>
      <c r="B9377" t="s">
        <v>809</v>
      </c>
      <c r="C9377" t="s">
        <v>547</v>
      </c>
      <c r="D9377" s="21" t="s">
        <v>34</v>
      </c>
      <c r="E9377" s="21" t="s">
        <v>71</v>
      </c>
      <c r="F9377">
        <v>7600008</v>
      </c>
      <c r="G9377" t="s">
        <v>4646</v>
      </c>
      <c r="H9377" s="21">
        <v>1015.55</v>
      </c>
    </row>
    <row r="9378" spans="1:8" customFormat="1" x14ac:dyDescent="0.25">
      <c r="A9378" t="str">
        <f>"7514234"</f>
        <v>7514234</v>
      </c>
      <c r="B9378" t="s">
        <v>1885</v>
      </c>
      <c r="C9378" t="s">
        <v>60</v>
      </c>
      <c r="D9378" s="21" t="s">
        <v>34</v>
      </c>
      <c r="E9378" s="21" t="s">
        <v>35</v>
      </c>
      <c r="F9378">
        <v>8751371</v>
      </c>
      <c r="G9378" t="s">
        <v>6605</v>
      </c>
      <c r="H9378" s="21">
        <v>1015.43</v>
      </c>
    </row>
    <row r="9379" spans="1:8" customFormat="1" x14ac:dyDescent="0.25">
      <c r="A9379" t="str">
        <f>"845811"</f>
        <v>845811</v>
      </c>
      <c r="B9379" t="s">
        <v>27106</v>
      </c>
      <c r="C9379" t="s">
        <v>2384</v>
      </c>
      <c r="D9379" s="21" t="s">
        <v>34</v>
      </c>
      <c r="E9379" s="21" t="s">
        <v>35</v>
      </c>
      <c r="F9379">
        <v>13840012</v>
      </c>
      <c r="G9379" t="s">
        <v>5143</v>
      </c>
      <c r="H9379" s="21">
        <v>1015.42</v>
      </c>
    </row>
    <row r="9380" spans="1:8" customFormat="1" x14ac:dyDescent="0.25">
      <c r="A9380" t="str">
        <f>"6018662"</f>
        <v>6018662</v>
      </c>
      <c r="B9380" t="s">
        <v>9607</v>
      </c>
      <c r="C9380" t="s">
        <v>130</v>
      </c>
      <c r="D9380" s="21" t="s">
        <v>34</v>
      </c>
      <c r="E9380" s="21" t="s">
        <v>71</v>
      </c>
      <c r="F9380">
        <v>7600003</v>
      </c>
      <c r="G9380" t="s">
        <v>3515</v>
      </c>
      <c r="H9380" s="21">
        <v>1015.42</v>
      </c>
    </row>
    <row r="9381" spans="1:8" customFormat="1" x14ac:dyDescent="0.25">
      <c r="A9381" t="str">
        <f>"25174"</f>
        <v>25174</v>
      </c>
      <c r="B9381" t="s">
        <v>4399</v>
      </c>
      <c r="C9381" t="s">
        <v>825</v>
      </c>
      <c r="D9381" s="21" t="s">
        <v>34</v>
      </c>
      <c r="E9381" s="21" t="s">
        <v>254</v>
      </c>
      <c r="F9381">
        <v>2250007</v>
      </c>
      <c r="G9381" t="s">
        <v>1137</v>
      </c>
      <c r="H9381" s="21">
        <v>1015.17</v>
      </c>
    </row>
    <row r="9382" spans="1:8" customFormat="1" x14ac:dyDescent="0.25">
      <c r="A9382" t="str">
        <f>"723336"</f>
        <v>723336</v>
      </c>
      <c r="B9382" t="s">
        <v>2690</v>
      </c>
      <c r="C9382" t="s">
        <v>55</v>
      </c>
      <c r="D9382" s="21" t="s">
        <v>34</v>
      </c>
      <c r="E9382" s="21" t="s">
        <v>35</v>
      </c>
      <c r="F9382">
        <v>9270063</v>
      </c>
      <c r="G9382" t="s">
        <v>808</v>
      </c>
      <c r="H9382" s="21">
        <v>1015.17</v>
      </c>
    </row>
    <row r="9383" spans="1:8" customFormat="1" x14ac:dyDescent="0.25">
      <c r="A9383" t="str">
        <f>"3340362"</f>
        <v>3340362</v>
      </c>
      <c r="B9383" t="s">
        <v>9258</v>
      </c>
      <c r="C9383" t="s">
        <v>62</v>
      </c>
      <c r="D9383" s="21" t="s">
        <v>34</v>
      </c>
      <c r="E9383" s="21" t="s">
        <v>35</v>
      </c>
      <c r="F9383">
        <v>10330117</v>
      </c>
      <c r="G9383" t="s">
        <v>1942</v>
      </c>
      <c r="H9383" s="21">
        <v>1015.17</v>
      </c>
    </row>
    <row r="9384" spans="1:8" customFormat="1" x14ac:dyDescent="0.25">
      <c r="A9384" t="str">
        <f>"013837"</f>
        <v>013837</v>
      </c>
      <c r="B9384" t="s">
        <v>1840</v>
      </c>
      <c r="C9384" t="s">
        <v>9138</v>
      </c>
      <c r="D9384" s="21" t="s">
        <v>34</v>
      </c>
      <c r="E9384" s="21" t="s">
        <v>71</v>
      </c>
      <c r="F9384">
        <v>1010031</v>
      </c>
      <c r="G9384" t="s">
        <v>8957</v>
      </c>
      <c r="H9384" s="21">
        <v>1015.17</v>
      </c>
    </row>
    <row r="9385" spans="1:8" customFormat="1" x14ac:dyDescent="0.25">
      <c r="A9385" t="str">
        <f>"625497"</f>
        <v>625497</v>
      </c>
      <c r="B9385" t="s">
        <v>4642</v>
      </c>
      <c r="C9385" t="s">
        <v>62</v>
      </c>
      <c r="D9385" s="21" t="s">
        <v>34</v>
      </c>
      <c r="E9385" s="21" t="s">
        <v>71</v>
      </c>
      <c r="F9385">
        <v>7620040</v>
      </c>
      <c r="G9385" t="s">
        <v>1319</v>
      </c>
      <c r="H9385" s="21">
        <v>1015.17</v>
      </c>
    </row>
    <row r="9386" spans="1:8" customFormat="1" x14ac:dyDescent="0.25">
      <c r="A9386" t="str">
        <f>"4416911"</f>
        <v>4416911</v>
      </c>
      <c r="B9386" t="s">
        <v>3706</v>
      </c>
      <c r="C9386" t="s">
        <v>7923</v>
      </c>
      <c r="D9386" s="21" t="s">
        <v>34</v>
      </c>
      <c r="E9386" s="21" t="s">
        <v>35</v>
      </c>
      <c r="F9386">
        <v>12440074</v>
      </c>
      <c r="G9386" t="s">
        <v>2436</v>
      </c>
      <c r="H9386" s="21">
        <v>1015.17</v>
      </c>
    </row>
    <row r="9387" spans="1:8" customFormat="1" x14ac:dyDescent="0.25">
      <c r="A9387" t="str">
        <f>"7097"</f>
        <v>7097</v>
      </c>
      <c r="B9387" t="s">
        <v>3904</v>
      </c>
      <c r="C9387" t="s">
        <v>415</v>
      </c>
      <c r="D9387" s="21" t="s">
        <v>34</v>
      </c>
      <c r="E9387" s="21" t="s">
        <v>254</v>
      </c>
      <c r="F9387">
        <v>2700005</v>
      </c>
      <c r="G9387" t="s">
        <v>5290</v>
      </c>
      <c r="H9387" s="21">
        <v>1015.17</v>
      </c>
    </row>
    <row r="9388" spans="1:8" customFormat="1" x14ac:dyDescent="0.25">
      <c r="A9388" t="str">
        <f>"601049"</f>
        <v>601049</v>
      </c>
      <c r="B9388" t="s">
        <v>8829</v>
      </c>
      <c r="C9388" t="s">
        <v>55</v>
      </c>
      <c r="D9388" s="21" t="s">
        <v>34</v>
      </c>
      <c r="E9388" s="21" t="s">
        <v>71</v>
      </c>
      <c r="F9388">
        <v>7600044</v>
      </c>
      <c r="G9388" t="s">
        <v>3411</v>
      </c>
      <c r="H9388" s="21">
        <v>1015.17</v>
      </c>
    </row>
    <row r="9389" spans="1:8" customFormat="1" x14ac:dyDescent="0.25">
      <c r="A9389" t="str">
        <f>"6311564"</f>
        <v>6311564</v>
      </c>
      <c r="B9389" t="s">
        <v>13759</v>
      </c>
      <c r="C9389" t="s">
        <v>60</v>
      </c>
      <c r="D9389" s="21" t="s">
        <v>34</v>
      </c>
      <c r="E9389" s="21" t="s">
        <v>35</v>
      </c>
      <c r="F9389">
        <v>1420151</v>
      </c>
      <c r="G9389" t="s">
        <v>6802</v>
      </c>
      <c r="H9389" s="21">
        <v>1015.05</v>
      </c>
    </row>
    <row r="9390" spans="1:8" customFormat="1" x14ac:dyDescent="0.25">
      <c r="A9390" t="str">
        <f>"8523836"</f>
        <v>8523836</v>
      </c>
      <c r="B9390" t="s">
        <v>6221</v>
      </c>
      <c r="C9390" t="s">
        <v>486</v>
      </c>
      <c r="D9390" s="21" t="s">
        <v>34</v>
      </c>
      <c r="E9390" s="21" t="s">
        <v>35</v>
      </c>
      <c r="F9390">
        <v>12850069</v>
      </c>
      <c r="G9390" t="s">
        <v>2154</v>
      </c>
      <c r="H9390" s="21">
        <v>1015.05</v>
      </c>
    </row>
    <row r="9391" spans="1:8" customFormat="1" x14ac:dyDescent="0.25">
      <c r="A9391" t="str">
        <f>"5910055"</f>
        <v>5910055</v>
      </c>
      <c r="B9391" t="s">
        <v>6443</v>
      </c>
      <c r="C9391" t="s">
        <v>2479</v>
      </c>
      <c r="D9391" s="21" t="s">
        <v>34</v>
      </c>
      <c r="E9391" s="21" t="s">
        <v>35</v>
      </c>
      <c r="F9391">
        <v>7590204</v>
      </c>
      <c r="G9391" t="s">
        <v>696</v>
      </c>
      <c r="H9391" s="21">
        <v>1015</v>
      </c>
    </row>
    <row r="9392" spans="1:8" customFormat="1" x14ac:dyDescent="0.25">
      <c r="A9392" t="str">
        <f>"736963"</f>
        <v>736963</v>
      </c>
      <c r="B9392" t="s">
        <v>3189</v>
      </c>
      <c r="C9392" t="s">
        <v>114</v>
      </c>
      <c r="D9392" s="21" t="s">
        <v>34</v>
      </c>
      <c r="E9392" s="21" t="s">
        <v>71</v>
      </c>
      <c r="F9392">
        <v>1730048</v>
      </c>
      <c r="G9392" t="s">
        <v>3173</v>
      </c>
      <c r="H9392" s="21">
        <v>1014.92</v>
      </c>
    </row>
    <row r="9393" spans="1:8" customFormat="1" x14ac:dyDescent="0.25">
      <c r="A9393" t="str">
        <f>"5020420"</f>
        <v>5020420</v>
      </c>
      <c r="B9393" t="s">
        <v>14337</v>
      </c>
      <c r="C9393" t="s">
        <v>415</v>
      </c>
      <c r="D9393" s="21" t="s">
        <v>34</v>
      </c>
      <c r="E9393" s="21" t="s">
        <v>71</v>
      </c>
      <c r="F9393">
        <v>9500124</v>
      </c>
      <c r="G9393" t="s">
        <v>3726</v>
      </c>
      <c r="H9393" s="21">
        <v>1014.8</v>
      </c>
    </row>
    <row r="9394" spans="1:8" customFormat="1" x14ac:dyDescent="0.25">
      <c r="A9394" t="str">
        <f>"111078"</f>
        <v>111078</v>
      </c>
      <c r="B9394" t="s">
        <v>8158</v>
      </c>
      <c r="C9394" t="s">
        <v>96</v>
      </c>
      <c r="D9394" s="21" t="s">
        <v>34</v>
      </c>
      <c r="E9394" s="21" t="s">
        <v>254</v>
      </c>
      <c r="F9394">
        <v>11110009</v>
      </c>
      <c r="G9394" t="s">
        <v>6231</v>
      </c>
      <c r="H9394" s="21">
        <v>1014.79</v>
      </c>
    </row>
    <row r="9395" spans="1:8" customFormat="1" x14ac:dyDescent="0.25">
      <c r="A9395" t="str">
        <f>"9422686"</f>
        <v>9422686</v>
      </c>
      <c r="B9395" t="s">
        <v>10243</v>
      </c>
      <c r="C9395" t="s">
        <v>169</v>
      </c>
      <c r="D9395" s="21" t="s">
        <v>34</v>
      </c>
      <c r="E9395" s="21" t="s">
        <v>35</v>
      </c>
      <c r="F9395">
        <v>1690041</v>
      </c>
      <c r="G9395" t="s">
        <v>7892</v>
      </c>
      <c r="H9395" s="21">
        <v>1014.67</v>
      </c>
    </row>
    <row r="9396" spans="1:8" customFormat="1" x14ac:dyDescent="0.25">
      <c r="A9396" t="str">
        <f>"534112"</f>
        <v>534112</v>
      </c>
      <c r="B9396" t="s">
        <v>9441</v>
      </c>
      <c r="C9396" t="s">
        <v>253</v>
      </c>
      <c r="D9396" s="21" t="s">
        <v>34</v>
      </c>
      <c r="E9396" s="21" t="s">
        <v>254</v>
      </c>
      <c r="F9396">
        <v>12530117</v>
      </c>
      <c r="G9396" t="s">
        <v>1209</v>
      </c>
      <c r="H9396" s="21">
        <v>1014.67</v>
      </c>
    </row>
    <row r="9397" spans="1:8" customFormat="1" x14ac:dyDescent="0.25">
      <c r="A9397" t="str">
        <f>"7717958"</f>
        <v>7717958</v>
      </c>
      <c r="B9397" t="s">
        <v>18784</v>
      </c>
      <c r="C9397" t="s">
        <v>462</v>
      </c>
      <c r="D9397" s="21" t="s">
        <v>34</v>
      </c>
      <c r="E9397" s="21" t="s">
        <v>35</v>
      </c>
      <c r="F9397">
        <v>8910578</v>
      </c>
      <c r="G9397" t="s">
        <v>5776</v>
      </c>
      <c r="H9397" s="21">
        <v>1014.67</v>
      </c>
    </row>
    <row r="9398" spans="1:8" customFormat="1" x14ac:dyDescent="0.25">
      <c r="A9398" t="str">
        <f>"3819603"</f>
        <v>3819603</v>
      </c>
      <c r="B9398" t="s">
        <v>9223</v>
      </c>
      <c r="C9398" t="s">
        <v>598</v>
      </c>
      <c r="D9398" s="21" t="s">
        <v>34</v>
      </c>
      <c r="E9398" s="21" t="s">
        <v>71</v>
      </c>
      <c r="F9398">
        <v>1380057</v>
      </c>
      <c r="G9398" t="s">
        <v>26700</v>
      </c>
      <c r="H9398" s="21">
        <v>1014.67</v>
      </c>
    </row>
    <row r="9399" spans="1:8" customFormat="1" x14ac:dyDescent="0.25">
      <c r="A9399" t="str">
        <f>"5961441"</f>
        <v>5961441</v>
      </c>
      <c r="B9399" t="s">
        <v>9937</v>
      </c>
      <c r="C9399" t="s">
        <v>33</v>
      </c>
      <c r="D9399" s="21" t="s">
        <v>34</v>
      </c>
      <c r="E9399" s="21" t="s">
        <v>71</v>
      </c>
      <c r="F9399">
        <v>7590044</v>
      </c>
      <c r="G9399" t="s">
        <v>2029</v>
      </c>
      <c r="H9399" s="21">
        <v>1014.67</v>
      </c>
    </row>
    <row r="9400" spans="1:8" customFormat="1" x14ac:dyDescent="0.25">
      <c r="A9400" t="str">
        <f>"26286"</f>
        <v>26286</v>
      </c>
      <c r="B9400" t="s">
        <v>9948</v>
      </c>
      <c r="C9400" t="s">
        <v>926</v>
      </c>
      <c r="D9400" s="21" t="s">
        <v>34</v>
      </c>
      <c r="E9400" s="21" t="s">
        <v>71</v>
      </c>
      <c r="F9400">
        <v>1260026</v>
      </c>
      <c r="G9400" t="s">
        <v>516</v>
      </c>
      <c r="H9400" s="21">
        <v>1014.67</v>
      </c>
    </row>
    <row r="9401" spans="1:8" customFormat="1" x14ac:dyDescent="0.25">
      <c r="A9401" t="str">
        <f>"4416555"</f>
        <v>4416555</v>
      </c>
      <c r="B9401" t="s">
        <v>1885</v>
      </c>
      <c r="C9401" t="s">
        <v>249</v>
      </c>
      <c r="D9401" s="21" t="s">
        <v>34</v>
      </c>
      <c r="E9401" s="21" t="s">
        <v>35</v>
      </c>
      <c r="F9401">
        <v>12440206</v>
      </c>
      <c r="G9401" t="s">
        <v>10374</v>
      </c>
      <c r="H9401" s="21">
        <v>1014.67</v>
      </c>
    </row>
    <row r="9402" spans="1:8" customFormat="1" x14ac:dyDescent="0.25">
      <c r="A9402" t="str">
        <f>"6013723"</f>
        <v>6013723</v>
      </c>
      <c r="B9402" t="s">
        <v>10078</v>
      </c>
      <c r="C9402" t="s">
        <v>55</v>
      </c>
      <c r="D9402" s="21" t="s">
        <v>34</v>
      </c>
      <c r="E9402" s="21" t="s">
        <v>71</v>
      </c>
      <c r="F9402">
        <v>7600026</v>
      </c>
      <c r="G9402" t="s">
        <v>10079</v>
      </c>
      <c r="H9402" s="21">
        <v>1014.67</v>
      </c>
    </row>
    <row r="9403" spans="1:8" customFormat="1" x14ac:dyDescent="0.25">
      <c r="A9403" t="str">
        <f>"8514976"</f>
        <v>8514976</v>
      </c>
      <c r="B9403" t="s">
        <v>8770</v>
      </c>
      <c r="C9403" t="s">
        <v>87</v>
      </c>
      <c r="D9403" s="21" t="s">
        <v>34</v>
      </c>
      <c r="E9403" s="21" t="s">
        <v>35</v>
      </c>
      <c r="F9403">
        <v>12850143</v>
      </c>
      <c r="G9403" t="s">
        <v>1625</v>
      </c>
      <c r="H9403" s="21">
        <v>1014.67</v>
      </c>
    </row>
    <row r="9404" spans="1:8" customFormat="1" x14ac:dyDescent="0.25">
      <c r="A9404" t="str">
        <f>"553491"</f>
        <v>553491</v>
      </c>
      <c r="B9404" t="s">
        <v>10148</v>
      </c>
      <c r="C9404" t="s">
        <v>87</v>
      </c>
      <c r="D9404" s="21" t="s">
        <v>34</v>
      </c>
      <c r="E9404" s="21" t="s">
        <v>35</v>
      </c>
      <c r="F9404">
        <v>6540055</v>
      </c>
      <c r="G9404" t="s">
        <v>9080</v>
      </c>
      <c r="H9404" s="21">
        <v>1014.67</v>
      </c>
    </row>
    <row r="9405" spans="1:8" customFormat="1" x14ac:dyDescent="0.25">
      <c r="A9405" t="str">
        <f>"7716905"</f>
        <v>7716905</v>
      </c>
      <c r="B9405" t="s">
        <v>556</v>
      </c>
      <c r="C9405" t="s">
        <v>817</v>
      </c>
      <c r="D9405" s="21" t="s">
        <v>34</v>
      </c>
      <c r="E9405" s="21" t="s">
        <v>254</v>
      </c>
      <c r="F9405">
        <v>8771506</v>
      </c>
      <c r="G9405" t="s">
        <v>7314</v>
      </c>
      <c r="H9405" s="21">
        <v>1014.67</v>
      </c>
    </row>
    <row r="9406" spans="1:8" customFormat="1" x14ac:dyDescent="0.25">
      <c r="A9406" t="str">
        <f>"808540"</f>
        <v>808540</v>
      </c>
      <c r="B9406" t="s">
        <v>9445</v>
      </c>
      <c r="C9406" t="s">
        <v>65</v>
      </c>
      <c r="D9406" s="21" t="s">
        <v>34</v>
      </c>
      <c r="E9406" s="21" t="s">
        <v>35</v>
      </c>
      <c r="F9406">
        <v>7800033</v>
      </c>
      <c r="G9406" t="s">
        <v>7309</v>
      </c>
      <c r="H9406" s="21">
        <v>1014.67</v>
      </c>
    </row>
    <row r="9407" spans="1:8" customFormat="1" x14ac:dyDescent="0.25">
      <c r="A9407" t="str">
        <f>"8014040"</f>
        <v>8014040</v>
      </c>
      <c r="B9407" t="s">
        <v>11448</v>
      </c>
      <c r="C9407" t="s">
        <v>576</v>
      </c>
      <c r="D9407" s="21" t="s">
        <v>34</v>
      </c>
      <c r="E9407" s="21" t="s">
        <v>35</v>
      </c>
      <c r="F9407">
        <v>7800102</v>
      </c>
      <c r="G9407" t="s">
        <v>1148</v>
      </c>
      <c r="H9407" s="21">
        <v>1014.67</v>
      </c>
    </row>
    <row r="9408" spans="1:8" customFormat="1" x14ac:dyDescent="0.25">
      <c r="A9408" t="str">
        <f>"4923784"</f>
        <v>4923784</v>
      </c>
      <c r="B9408" t="s">
        <v>10981</v>
      </c>
      <c r="C9408" t="s">
        <v>62</v>
      </c>
      <c r="D9408" s="21" t="s">
        <v>34</v>
      </c>
      <c r="E9408" s="21" t="s">
        <v>35</v>
      </c>
      <c r="F9408">
        <v>12490066</v>
      </c>
      <c r="G9408" t="s">
        <v>1051</v>
      </c>
      <c r="H9408" s="21">
        <v>1014.67</v>
      </c>
    </row>
    <row r="9409" spans="1:8" customFormat="1" x14ac:dyDescent="0.25">
      <c r="A9409" t="str">
        <f>"869335"</f>
        <v>869335</v>
      </c>
      <c r="B9409" t="s">
        <v>9034</v>
      </c>
      <c r="C9409" t="s">
        <v>825</v>
      </c>
      <c r="D9409" s="21" t="s">
        <v>34</v>
      </c>
      <c r="E9409" s="21" t="s">
        <v>35</v>
      </c>
      <c r="F9409">
        <v>10860016</v>
      </c>
      <c r="G9409" t="s">
        <v>3289</v>
      </c>
      <c r="H9409" s="21">
        <v>1014.67</v>
      </c>
    </row>
    <row r="9410" spans="1:8" customFormat="1" x14ac:dyDescent="0.25">
      <c r="A9410" t="str">
        <f>"953949"</f>
        <v>953949</v>
      </c>
      <c r="B9410" t="s">
        <v>9218</v>
      </c>
      <c r="C9410" t="s">
        <v>269</v>
      </c>
      <c r="D9410" s="21" t="s">
        <v>34</v>
      </c>
      <c r="E9410" s="21" t="s">
        <v>71</v>
      </c>
      <c r="F9410">
        <v>8950262</v>
      </c>
      <c r="G9410" t="s">
        <v>1881</v>
      </c>
      <c r="H9410" s="21">
        <v>1014.67</v>
      </c>
    </row>
    <row r="9411" spans="1:8" customFormat="1" x14ac:dyDescent="0.25">
      <c r="A9411" t="str">
        <f>"803876"</f>
        <v>803876</v>
      </c>
      <c r="B9411" t="s">
        <v>11194</v>
      </c>
      <c r="C9411" t="s">
        <v>33</v>
      </c>
      <c r="D9411" s="21" t="s">
        <v>34</v>
      </c>
      <c r="E9411" s="21" t="s">
        <v>35</v>
      </c>
      <c r="F9411">
        <v>7620176</v>
      </c>
      <c r="G9411" t="s">
        <v>3111</v>
      </c>
      <c r="H9411" s="21">
        <v>1014.67</v>
      </c>
    </row>
    <row r="9412" spans="1:8" customFormat="1" x14ac:dyDescent="0.25">
      <c r="A9412" t="str">
        <f>"23146"</f>
        <v>23146</v>
      </c>
      <c r="B9412" t="s">
        <v>9093</v>
      </c>
      <c r="C9412" t="s">
        <v>169</v>
      </c>
      <c r="D9412" s="21" t="s">
        <v>34</v>
      </c>
      <c r="E9412" s="21" t="s">
        <v>35</v>
      </c>
      <c r="F9412">
        <v>10230067</v>
      </c>
      <c r="G9412" t="s">
        <v>912</v>
      </c>
      <c r="H9412" s="21">
        <v>1014.67</v>
      </c>
    </row>
    <row r="9413" spans="1:8" customFormat="1" x14ac:dyDescent="0.25">
      <c r="A9413" t="str">
        <f>"4511984"</f>
        <v>4511984</v>
      </c>
      <c r="B9413" t="s">
        <v>9089</v>
      </c>
      <c r="C9413" t="s">
        <v>87</v>
      </c>
      <c r="D9413" s="21" t="s">
        <v>34</v>
      </c>
      <c r="E9413" s="21" t="s">
        <v>35</v>
      </c>
      <c r="F9413">
        <v>4450706</v>
      </c>
      <c r="G9413" t="s">
        <v>4482</v>
      </c>
      <c r="H9413" s="21">
        <v>1014.67</v>
      </c>
    </row>
    <row r="9414" spans="1:8" customFormat="1" x14ac:dyDescent="0.25">
      <c r="A9414" t="str">
        <f>"595240"</f>
        <v>595240</v>
      </c>
      <c r="B9414" t="s">
        <v>1103</v>
      </c>
      <c r="C9414" t="s">
        <v>109</v>
      </c>
      <c r="D9414" s="21" t="s">
        <v>34</v>
      </c>
      <c r="E9414" s="21" t="s">
        <v>71</v>
      </c>
      <c r="F9414">
        <v>7590347</v>
      </c>
      <c r="G9414" t="s">
        <v>6041</v>
      </c>
      <c r="H9414" s="21">
        <v>1014.43</v>
      </c>
    </row>
    <row r="9415" spans="1:8" customFormat="1" x14ac:dyDescent="0.25">
      <c r="A9415" t="str">
        <f>"6943216"</f>
        <v>6943216</v>
      </c>
      <c r="B9415" t="s">
        <v>8377</v>
      </c>
      <c r="C9415" t="s">
        <v>1474</v>
      </c>
      <c r="D9415" s="21" t="s">
        <v>34</v>
      </c>
      <c r="E9415" s="21" t="s">
        <v>35</v>
      </c>
      <c r="F9415">
        <v>1690197</v>
      </c>
      <c r="G9415" t="s">
        <v>26849</v>
      </c>
      <c r="H9415" s="21">
        <v>1014.42</v>
      </c>
    </row>
    <row r="9416" spans="1:8" customFormat="1" x14ac:dyDescent="0.25">
      <c r="A9416" t="str">
        <f>"0114878"</f>
        <v>0114878</v>
      </c>
      <c r="B9416" t="s">
        <v>1263</v>
      </c>
      <c r="C9416" t="s">
        <v>1665</v>
      </c>
      <c r="D9416" s="21" t="s">
        <v>34</v>
      </c>
      <c r="E9416" s="21" t="s">
        <v>71</v>
      </c>
      <c r="F9416">
        <v>1010004</v>
      </c>
      <c r="G9416" t="s">
        <v>9066</v>
      </c>
      <c r="H9416" s="21">
        <v>1014.17</v>
      </c>
    </row>
    <row r="9417" spans="1:8" customFormat="1" x14ac:dyDescent="0.25">
      <c r="A9417" t="str">
        <f>"5919131"</f>
        <v>5919131</v>
      </c>
      <c r="B9417" t="s">
        <v>8774</v>
      </c>
      <c r="C9417" t="s">
        <v>8775</v>
      </c>
      <c r="D9417" s="21" t="s">
        <v>34</v>
      </c>
      <c r="E9417" s="21" t="s">
        <v>254</v>
      </c>
      <c r="F9417">
        <v>7590087</v>
      </c>
      <c r="G9417" t="s">
        <v>2112</v>
      </c>
      <c r="H9417" s="21">
        <v>1014.17</v>
      </c>
    </row>
    <row r="9418" spans="1:8" customFormat="1" x14ac:dyDescent="0.25">
      <c r="A9418" t="str">
        <f>"7218561"</f>
        <v>7218561</v>
      </c>
      <c r="B9418" t="s">
        <v>2873</v>
      </c>
      <c r="C9418" t="s">
        <v>58</v>
      </c>
      <c r="D9418" s="21" t="s">
        <v>34</v>
      </c>
      <c r="E9418" s="21" t="s">
        <v>35</v>
      </c>
      <c r="F9418">
        <v>12720102</v>
      </c>
      <c r="G9418" t="s">
        <v>4469</v>
      </c>
      <c r="H9418" s="21">
        <v>1014.17</v>
      </c>
    </row>
    <row r="9419" spans="1:8" customFormat="1" x14ac:dyDescent="0.25">
      <c r="A9419" t="str">
        <f>"5418206"</f>
        <v>5418206</v>
      </c>
      <c r="B9419" t="s">
        <v>8963</v>
      </c>
      <c r="C9419" t="s">
        <v>60</v>
      </c>
      <c r="D9419" s="21" t="s">
        <v>34</v>
      </c>
      <c r="E9419" s="21" t="s">
        <v>35</v>
      </c>
      <c r="F9419">
        <v>6540036</v>
      </c>
      <c r="G9419" t="s">
        <v>3612</v>
      </c>
      <c r="H9419" s="21">
        <v>1014.17</v>
      </c>
    </row>
    <row r="9420" spans="1:8" customFormat="1" x14ac:dyDescent="0.25">
      <c r="A9420" t="str">
        <f>"275184"</f>
        <v>275184</v>
      </c>
      <c r="B9420" t="s">
        <v>2571</v>
      </c>
      <c r="C9420" t="s">
        <v>9626</v>
      </c>
      <c r="D9420" s="21" t="s">
        <v>34</v>
      </c>
      <c r="E9420" s="21" t="s">
        <v>71</v>
      </c>
      <c r="F9420">
        <v>9270137</v>
      </c>
      <c r="G9420" t="s">
        <v>3714</v>
      </c>
      <c r="H9420" s="21">
        <v>1014.17</v>
      </c>
    </row>
    <row r="9421" spans="1:8" customFormat="1" x14ac:dyDescent="0.25">
      <c r="A9421" t="str">
        <f>"809820"</f>
        <v>809820</v>
      </c>
      <c r="B9421" t="s">
        <v>10992</v>
      </c>
      <c r="C9421" t="s">
        <v>576</v>
      </c>
      <c r="D9421" s="21" t="s">
        <v>34</v>
      </c>
      <c r="E9421" s="21" t="s">
        <v>71</v>
      </c>
      <c r="F9421">
        <v>7800011</v>
      </c>
      <c r="G9421" t="s">
        <v>2253</v>
      </c>
      <c r="H9421" s="21">
        <v>1014.17</v>
      </c>
    </row>
    <row r="9422" spans="1:8" customFormat="1" x14ac:dyDescent="0.25">
      <c r="A9422" t="str">
        <f>"2920424"</f>
        <v>2920424</v>
      </c>
      <c r="B9422" t="s">
        <v>8941</v>
      </c>
      <c r="C9422" t="s">
        <v>139</v>
      </c>
      <c r="D9422" s="21" t="s">
        <v>34</v>
      </c>
      <c r="E9422" s="21" t="s">
        <v>35</v>
      </c>
      <c r="F9422">
        <v>3290019</v>
      </c>
      <c r="G9422" t="s">
        <v>4452</v>
      </c>
      <c r="H9422" s="21">
        <v>1014.17</v>
      </c>
    </row>
    <row r="9423" spans="1:8" customFormat="1" x14ac:dyDescent="0.25">
      <c r="A9423" t="str">
        <f>"703620"</f>
        <v>703620</v>
      </c>
      <c r="B9423" t="s">
        <v>8215</v>
      </c>
      <c r="C9423" t="s">
        <v>576</v>
      </c>
      <c r="D9423" s="21" t="s">
        <v>34</v>
      </c>
      <c r="E9423" s="21" t="s">
        <v>35</v>
      </c>
      <c r="F9423">
        <v>7600031</v>
      </c>
      <c r="G9423" t="s">
        <v>3283</v>
      </c>
      <c r="H9423" s="21">
        <v>1014.17</v>
      </c>
    </row>
    <row r="9424" spans="1:8" customFormat="1" x14ac:dyDescent="0.25">
      <c r="A9424" t="str">
        <f>"536973"</f>
        <v>536973</v>
      </c>
      <c r="B9424" t="s">
        <v>13540</v>
      </c>
      <c r="C9424" t="s">
        <v>119</v>
      </c>
      <c r="D9424" s="21" t="s">
        <v>34</v>
      </c>
      <c r="E9424" s="21" t="s">
        <v>35</v>
      </c>
      <c r="F9424">
        <v>12530114</v>
      </c>
      <c r="G9424" t="s">
        <v>1342</v>
      </c>
      <c r="H9424" s="21">
        <v>1014.17</v>
      </c>
    </row>
    <row r="9425" spans="1:8" customFormat="1" x14ac:dyDescent="0.25">
      <c r="A9425" t="str">
        <f>"3712323"</f>
        <v>3712323</v>
      </c>
      <c r="B9425" t="s">
        <v>8612</v>
      </c>
      <c r="C9425" t="s">
        <v>124</v>
      </c>
      <c r="D9425" s="21" t="s">
        <v>34</v>
      </c>
      <c r="E9425" s="21" t="s">
        <v>254</v>
      </c>
      <c r="F9425">
        <v>4370004</v>
      </c>
      <c r="G9425" t="s">
        <v>6049</v>
      </c>
      <c r="H9425" s="21">
        <v>1014.17</v>
      </c>
    </row>
    <row r="9426" spans="1:8" customFormat="1" x14ac:dyDescent="0.25">
      <c r="A9426" t="str">
        <f>"51154"</f>
        <v>51154</v>
      </c>
      <c r="B9426" t="s">
        <v>9013</v>
      </c>
      <c r="C9426" t="s">
        <v>269</v>
      </c>
      <c r="D9426" s="21" t="s">
        <v>34</v>
      </c>
      <c r="E9426" s="21" t="s">
        <v>71</v>
      </c>
      <c r="F9426">
        <v>6510110</v>
      </c>
      <c r="G9426" t="s">
        <v>9011</v>
      </c>
      <c r="H9426" s="21">
        <v>1014.17</v>
      </c>
    </row>
    <row r="9427" spans="1:8" customFormat="1" x14ac:dyDescent="0.25">
      <c r="A9427" t="str">
        <f>"7834683"</f>
        <v>7834683</v>
      </c>
      <c r="B9427" t="s">
        <v>10840</v>
      </c>
      <c r="C9427" t="s">
        <v>1474</v>
      </c>
      <c r="D9427" s="21" t="s">
        <v>34</v>
      </c>
      <c r="E9427" s="21" t="s">
        <v>35</v>
      </c>
      <c r="F9427">
        <v>11820034</v>
      </c>
      <c r="G9427" t="s">
        <v>4498</v>
      </c>
      <c r="H9427" s="21">
        <v>1014.05</v>
      </c>
    </row>
    <row r="9428" spans="1:8" customFormat="1" x14ac:dyDescent="0.25">
      <c r="A9428" t="str">
        <f>"9227823"</f>
        <v>9227823</v>
      </c>
      <c r="B9428" t="s">
        <v>10324</v>
      </c>
      <c r="C9428" t="s">
        <v>10325</v>
      </c>
      <c r="D9428" s="21" t="s">
        <v>34</v>
      </c>
      <c r="E9428" s="21" t="s">
        <v>254</v>
      </c>
      <c r="F9428">
        <v>8920018</v>
      </c>
      <c r="G9428" t="s">
        <v>1281</v>
      </c>
      <c r="H9428" s="21">
        <v>1013.93</v>
      </c>
    </row>
    <row r="9429" spans="1:8" customFormat="1" x14ac:dyDescent="0.25">
      <c r="A9429" t="str">
        <f>"148028"</f>
        <v>148028</v>
      </c>
      <c r="B9429" t="s">
        <v>5115</v>
      </c>
      <c r="C9429" t="s">
        <v>209</v>
      </c>
      <c r="D9429" s="21" t="s">
        <v>34</v>
      </c>
      <c r="E9429" s="21" t="s">
        <v>254</v>
      </c>
      <c r="F9429">
        <v>9140078</v>
      </c>
      <c r="G9429" t="s">
        <v>1920</v>
      </c>
      <c r="H9429" s="21">
        <v>1013.92</v>
      </c>
    </row>
    <row r="9430" spans="1:8" customFormat="1" x14ac:dyDescent="0.25">
      <c r="A9430" t="str">
        <f>"9535728"</f>
        <v>9535728</v>
      </c>
      <c r="B9430" t="s">
        <v>4096</v>
      </c>
      <c r="C9430" t="s">
        <v>2379</v>
      </c>
      <c r="D9430" s="21" t="s">
        <v>34</v>
      </c>
      <c r="E9430" s="21" t="s">
        <v>35</v>
      </c>
      <c r="F9430">
        <v>8951451</v>
      </c>
      <c r="G9430" t="s">
        <v>3909</v>
      </c>
      <c r="H9430" s="21">
        <v>1013.92</v>
      </c>
    </row>
    <row r="9431" spans="1:8" customFormat="1" x14ac:dyDescent="0.25">
      <c r="A9431" t="str">
        <f>"8811384"</f>
        <v>8811384</v>
      </c>
      <c r="B9431" t="s">
        <v>9683</v>
      </c>
      <c r="C9431" t="s">
        <v>428</v>
      </c>
      <c r="D9431" s="21" t="s">
        <v>34</v>
      </c>
      <c r="E9431" s="21" t="s">
        <v>71</v>
      </c>
      <c r="F9431">
        <v>6880066</v>
      </c>
      <c r="G9431" t="s">
        <v>4833</v>
      </c>
      <c r="H9431" s="21">
        <v>1013.79</v>
      </c>
    </row>
    <row r="9432" spans="1:8" customFormat="1" x14ac:dyDescent="0.25">
      <c r="A9432" t="str">
        <f>"843837"</f>
        <v>843837</v>
      </c>
      <c r="B9432" t="s">
        <v>8710</v>
      </c>
      <c r="C9432" t="s">
        <v>720</v>
      </c>
      <c r="D9432" s="21" t="s">
        <v>34</v>
      </c>
      <c r="E9432" s="21" t="s">
        <v>254</v>
      </c>
      <c r="F9432">
        <v>13840058</v>
      </c>
      <c r="G9432" t="s">
        <v>7032</v>
      </c>
      <c r="H9432" s="21">
        <v>1013.79</v>
      </c>
    </row>
    <row r="9433" spans="1:8" customFormat="1" x14ac:dyDescent="0.25">
      <c r="A9433" t="str">
        <f>"313124"</f>
        <v>313124</v>
      </c>
      <c r="B9433" t="s">
        <v>9750</v>
      </c>
      <c r="C9433" t="s">
        <v>598</v>
      </c>
      <c r="D9433" s="21" t="s">
        <v>34</v>
      </c>
      <c r="E9433" s="21" t="s">
        <v>71</v>
      </c>
      <c r="F9433">
        <v>11310008</v>
      </c>
      <c r="G9433" t="s">
        <v>4269</v>
      </c>
      <c r="H9433" s="21">
        <v>1013.67</v>
      </c>
    </row>
    <row r="9434" spans="1:8" customFormat="1" x14ac:dyDescent="0.25">
      <c r="A9434" t="str">
        <f>"138017"</f>
        <v>138017</v>
      </c>
      <c r="B9434" t="s">
        <v>27107</v>
      </c>
      <c r="C9434" t="s">
        <v>328</v>
      </c>
      <c r="D9434" s="21" t="s">
        <v>34</v>
      </c>
      <c r="E9434" s="21" t="s">
        <v>35</v>
      </c>
      <c r="F9434">
        <v>13130166</v>
      </c>
      <c r="G9434" t="s">
        <v>2539</v>
      </c>
      <c r="H9434" s="21">
        <v>1013.67</v>
      </c>
    </row>
    <row r="9435" spans="1:8" customFormat="1" x14ac:dyDescent="0.25">
      <c r="A9435" t="str">
        <f>"764002"</f>
        <v>764002</v>
      </c>
      <c r="B9435" t="s">
        <v>4558</v>
      </c>
      <c r="C9435" t="s">
        <v>40</v>
      </c>
      <c r="D9435" s="21" t="s">
        <v>34</v>
      </c>
      <c r="E9435" s="21" t="s">
        <v>254</v>
      </c>
      <c r="F9435">
        <v>9760442</v>
      </c>
      <c r="G9435" t="s">
        <v>5753</v>
      </c>
      <c r="H9435" s="21">
        <v>1013.67</v>
      </c>
    </row>
    <row r="9436" spans="1:8" customFormat="1" x14ac:dyDescent="0.25">
      <c r="A9436" t="str">
        <f>"3712590"</f>
        <v>3712590</v>
      </c>
      <c r="B9436" t="s">
        <v>8555</v>
      </c>
      <c r="C9436" t="s">
        <v>87</v>
      </c>
      <c r="D9436" s="21" t="s">
        <v>34</v>
      </c>
      <c r="E9436" s="21" t="s">
        <v>35</v>
      </c>
      <c r="F9436">
        <v>4370349</v>
      </c>
      <c r="G9436" t="s">
        <v>2287</v>
      </c>
      <c r="H9436" s="21">
        <v>1013.67</v>
      </c>
    </row>
    <row r="9437" spans="1:8" customFormat="1" x14ac:dyDescent="0.25">
      <c r="A9437" t="str">
        <f>"16209"</f>
        <v>16209</v>
      </c>
      <c r="B9437" t="s">
        <v>2006</v>
      </c>
      <c r="C9437" t="s">
        <v>246</v>
      </c>
      <c r="D9437" s="21" t="s">
        <v>34</v>
      </c>
      <c r="E9437" s="21" t="s">
        <v>254</v>
      </c>
      <c r="F9437">
        <v>10160185</v>
      </c>
      <c r="G9437" t="s">
        <v>2035</v>
      </c>
      <c r="H9437" s="21">
        <v>1013.67</v>
      </c>
    </row>
    <row r="9438" spans="1:8" customFormat="1" x14ac:dyDescent="0.25">
      <c r="A9438" t="str">
        <f>"746231"</f>
        <v>746231</v>
      </c>
      <c r="B9438" t="s">
        <v>9769</v>
      </c>
      <c r="C9438" t="s">
        <v>204</v>
      </c>
      <c r="D9438" s="21" t="s">
        <v>34</v>
      </c>
      <c r="E9438" s="21" t="s">
        <v>35</v>
      </c>
      <c r="F9438">
        <v>1740090</v>
      </c>
      <c r="G9438" t="s">
        <v>1369</v>
      </c>
      <c r="H9438" s="21">
        <v>1013.67</v>
      </c>
    </row>
    <row r="9439" spans="1:8" customFormat="1" x14ac:dyDescent="0.25">
      <c r="A9439" t="str">
        <f>"6217156"</f>
        <v>6217156</v>
      </c>
      <c r="B9439" t="s">
        <v>9264</v>
      </c>
      <c r="C9439" t="s">
        <v>263</v>
      </c>
      <c r="D9439" s="21" t="s">
        <v>34</v>
      </c>
      <c r="E9439" s="21" t="s">
        <v>71</v>
      </c>
      <c r="F9439">
        <v>7620119</v>
      </c>
      <c r="G9439" t="s">
        <v>5233</v>
      </c>
      <c r="H9439" s="21">
        <v>1013.67</v>
      </c>
    </row>
    <row r="9440" spans="1:8" customFormat="1" x14ac:dyDescent="0.25">
      <c r="A9440" t="str">
        <f>"69877"</f>
        <v>69877</v>
      </c>
      <c r="B9440" t="s">
        <v>5579</v>
      </c>
      <c r="C9440" t="s">
        <v>65</v>
      </c>
      <c r="D9440" s="21" t="s">
        <v>34</v>
      </c>
      <c r="E9440" s="21" t="s">
        <v>35</v>
      </c>
      <c r="F9440">
        <v>1690034</v>
      </c>
      <c r="G9440" t="s">
        <v>8838</v>
      </c>
      <c r="H9440" s="21">
        <v>1013.67</v>
      </c>
    </row>
    <row r="9441" spans="1:8" customFormat="1" x14ac:dyDescent="0.25">
      <c r="A9441" t="str">
        <f>"721869"</f>
        <v>721869</v>
      </c>
      <c r="B9441" t="s">
        <v>9730</v>
      </c>
      <c r="C9441" t="s">
        <v>664</v>
      </c>
      <c r="D9441" s="21" t="s">
        <v>34</v>
      </c>
      <c r="E9441" s="21" t="s">
        <v>254</v>
      </c>
      <c r="F9441">
        <v>12720110</v>
      </c>
      <c r="G9441" t="s">
        <v>3464</v>
      </c>
      <c r="H9441" s="21">
        <v>1013.67</v>
      </c>
    </row>
    <row r="9442" spans="1:8" customFormat="1" x14ac:dyDescent="0.25">
      <c r="A9442" t="str">
        <f>"391080"</f>
        <v>391080</v>
      </c>
      <c r="B9442" t="s">
        <v>8600</v>
      </c>
      <c r="C9442" t="s">
        <v>320</v>
      </c>
      <c r="D9442" s="21" t="s">
        <v>34</v>
      </c>
      <c r="E9442" s="21" t="s">
        <v>35</v>
      </c>
      <c r="F9442">
        <v>2390046</v>
      </c>
      <c r="G9442" t="s">
        <v>2140</v>
      </c>
      <c r="H9442" s="21">
        <v>1013.67</v>
      </c>
    </row>
    <row r="9443" spans="1:8" customFormat="1" x14ac:dyDescent="0.25">
      <c r="A9443" t="str">
        <f>"9419841"</f>
        <v>9419841</v>
      </c>
      <c r="B9443" t="s">
        <v>8472</v>
      </c>
      <c r="C9443" t="s">
        <v>204</v>
      </c>
      <c r="D9443" s="21" t="s">
        <v>34</v>
      </c>
      <c r="E9443" s="21" t="s">
        <v>71</v>
      </c>
      <c r="F9443" t="s">
        <v>8473</v>
      </c>
      <c r="G9443" t="s">
        <v>8474</v>
      </c>
      <c r="H9443" s="21">
        <v>1013.55</v>
      </c>
    </row>
    <row r="9444" spans="1:8" customFormat="1" x14ac:dyDescent="0.25">
      <c r="A9444" t="str">
        <f>"4110199"</f>
        <v>4110199</v>
      </c>
      <c r="B9444" t="s">
        <v>8771</v>
      </c>
      <c r="C9444" t="s">
        <v>209</v>
      </c>
      <c r="D9444" s="21" t="s">
        <v>34</v>
      </c>
      <c r="E9444" s="21" t="s">
        <v>35</v>
      </c>
      <c r="F9444">
        <v>4410083</v>
      </c>
      <c r="G9444" t="s">
        <v>2333</v>
      </c>
      <c r="H9444" s="21">
        <v>1013.42</v>
      </c>
    </row>
    <row r="9445" spans="1:8" customFormat="1" x14ac:dyDescent="0.25">
      <c r="A9445" t="str">
        <f>"7512404"</f>
        <v>7512404</v>
      </c>
      <c r="B9445" t="s">
        <v>9389</v>
      </c>
      <c r="C9445" t="s">
        <v>169</v>
      </c>
      <c r="D9445" s="21" t="s">
        <v>34</v>
      </c>
      <c r="E9445" s="21" t="s">
        <v>71</v>
      </c>
      <c r="F9445">
        <v>8751456</v>
      </c>
      <c r="G9445" t="s">
        <v>2683</v>
      </c>
      <c r="H9445" s="21">
        <v>1013.42</v>
      </c>
    </row>
    <row r="9446" spans="1:8" customFormat="1" x14ac:dyDescent="0.25">
      <c r="A9446" t="str">
        <f>"889665"</f>
        <v>889665</v>
      </c>
      <c r="B9446" t="s">
        <v>650</v>
      </c>
      <c r="C9446" t="s">
        <v>1588</v>
      </c>
      <c r="D9446" s="21" t="s">
        <v>34</v>
      </c>
      <c r="E9446" s="21" t="s">
        <v>71</v>
      </c>
      <c r="F9446">
        <v>6880083</v>
      </c>
      <c r="G9446" t="s">
        <v>7718</v>
      </c>
      <c r="H9446" s="21">
        <v>1013.3</v>
      </c>
    </row>
    <row r="9447" spans="1:8" customFormat="1" x14ac:dyDescent="0.25">
      <c r="A9447" t="str">
        <f>"4927440"</f>
        <v>4927440</v>
      </c>
      <c r="B9447" t="s">
        <v>9973</v>
      </c>
      <c r="C9447" t="s">
        <v>55</v>
      </c>
      <c r="D9447" s="21" t="s">
        <v>34</v>
      </c>
      <c r="E9447" s="21" t="s">
        <v>71</v>
      </c>
      <c r="F9447">
        <v>12490033</v>
      </c>
      <c r="G9447" t="s">
        <v>3469</v>
      </c>
      <c r="H9447" s="21">
        <v>1013.17</v>
      </c>
    </row>
    <row r="9448" spans="1:8" customFormat="1" x14ac:dyDescent="0.25">
      <c r="A9448" t="str">
        <f>"701433"</f>
        <v>701433</v>
      </c>
      <c r="B9448" t="s">
        <v>8228</v>
      </c>
      <c r="C9448" t="s">
        <v>598</v>
      </c>
      <c r="D9448" s="21" t="s">
        <v>34</v>
      </c>
      <c r="E9448" s="21" t="s">
        <v>254</v>
      </c>
      <c r="F9448">
        <v>2700074</v>
      </c>
      <c r="G9448" t="s">
        <v>27108</v>
      </c>
      <c r="H9448" s="21">
        <v>1013.17</v>
      </c>
    </row>
    <row r="9449" spans="1:8" customFormat="1" x14ac:dyDescent="0.25">
      <c r="A9449" t="str">
        <f>"675177"</f>
        <v>675177</v>
      </c>
      <c r="B9449" t="s">
        <v>4589</v>
      </c>
      <c r="C9449" t="s">
        <v>484</v>
      </c>
      <c r="D9449" s="21" t="s">
        <v>34</v>
      </c>
      <c r="E9449" s="21" t="s">
        <v>35</v>
      </c>
      <c r="F9449">
        <v>6670272</v>
      </c>
      <c r="G9449" t="s">
        <v>26568</v>
      </c>
      <c r="H9449" s="21">
        <v>1013.17</v>
      </c>
    </row>
    <row r="9450" spans="1:8" customFormat="1" x14ac:dyDescent="0.25">
      <c r="A9450" t="str">
        <f>"2929279"</f>
        <v>2929279</v>
      </c>
      <c r="B9450" t="s">
        <v>9675</v>
      </c>
      <c r="C9450" t="s">
        <v>144</v>
      </c>
      <c r="D9450" s="21" t="s">
        <v>34</v>
      </c>
      <c r="E9450" s="21" t="s">
        <v>35</v>
      </c>
      <c r="F9450">
        <v>3290081</v>
      </c>
      <c r="G9450" t="s">
        <v>3819</v>
      </c>
      <c r="H9450" s="21">
        <v>1013.17</v>
      </c>
    </row>
    <row r="9451" spans="1:8" customFormat="1" x14ac:dyDescent="0.25">
      <c r="A9451" t="str">
        <f>"2923449"</f>
        <v>2923449</v>
      </c>
      <c r="B9451" t="s">
        <v>8112</v>
      </c>
      <c r="C9451" t="s">
        <v>55</v>
      </c>
      <c r="D9451" s="21" t="s">
        <v>34</v>
      </c>
      <c r="E9451" s="21" t="s">
        <v>35</v>
      </c>
      <c r="F9451">
        <v>4360009</v>
      </c>
      <c r="G9451" t="s">
        <v>6259</v>
      </c>
      <c r="H9451" s="21">
        <v>1013.17</v>
      </c>
    </row>
    <row r="9452" spans="1:8" customFormat="1" x14ac:dyDescent="0.25">
      <c r="A9452" t="str">
        <f>"3012940"</f>
        <v>3012940</v>
      </c>
      <c r="B9452" t="s">
        <v>5931</v>
      </c>
      <c r="C9452" t="s">
        <v>1665</v>
      </c>
      <c r="D9452" s="21" t="s">
        <v>34</v>
      </c>
      <c r="E9452" s="21" t="s">
        <v>254</v>
      </c>
      <c r="F9452">
        <v>11300007</v>
      </c>
      <c r="G9452" t="s">
        <v>361</v>
      </c>
      <c r="H9452" s="21">
        <v>1013.17</v>
      </c>
    </row>
    <row r="9453" spans="1:8" customFormat="1" x14ac:dyDescent="0.25">
      <c r="A9453" t="str">
        <f>"085357"</f>
        <v>085357</v>
      </c>
      <c r="B9453" t="s">
        <v>9041</v>
      </c>
      <c r="C9453" t="s">
        <v>87</v>
      </c>
      <c r="D9453" s="21" t="s">
        <v>34</v>
      </c>
      <c r="E9453" s="21" t="s">
        <v>71</v>
      </c>
      <c r="F9453">
        <v>6080072</v>
      </c>
      <c r="G9453" t="s">
        <v>6765</v>
      </c>
      <c r="H9453" s="21">
        <v>1013.17</v>
      </c>
    </row>
    <row r="9454" spans="1:8" customFormat="1" x14ac:dyDescent="0.25">
      <c r="A9454" t="str">
        <f>"318651"</f>
        <v>318651</v>
      </c>
      <c r="B9454" t="s">
        <v>9960</v>
      </c>
      <c r="C9454" t="s">
        <v>926</v>
      </c>
      <c r="D9454" s="21" t="s">
        <v>34</v>
      </c>
      <c r="E9454" s="21" t="s">
        <v>71</v>
      </c>
      <c r="F9454">
        <v>11310077</v>
      </c>
      <c r="G9454" t="s">
        <v>5364</v>
      </c>
      <c r="H9454" s="21">
        <v>1013.17</v>
      </c>
    </row>
    <row r="9455" spans="1:8" customFormat="1" x14ac:dyDescent="0.25">
      <c r="A9455" t="str">
        <f>"9B646"</f>
        <v>9B646</v>
      </c>
      <c r="B9455" t="s">
        <v>8374</v>
      </c>
      <c r="C9455" t="s">
        <v>6514</v>
      </c>
      <c r="D9455" s="21" t="s">
        <v>34</v>
      </c>
      <c r="E9455" s="21" t="s">
        <v>35</v>
      </c>
      <c r="F9455" t="s">
        <v>1906</v>
      </c>
      <c r="G9455" t="s">
        <v>26625</v>
      </c>
      <c r="H9455" s="21">
        <v>1012.92</v>
      </c>
    </row>
    <row r="9456" spans="1:8" customFormat="1" x14ac:dyDescent="0.25">
      <c r="A9456" t="str">
        <f>"7616737"</f>
        <v>7616737</v>
      </c>
      <c r="B9456" t="s">
        <v>9473</v>
      </c>
      <c r="C9456" t="s">
        <v>547</v>
      </c>
      <c r="D9456" s="21" t="s">
        <v>34</v>
      </c>
      <c r="E9456" s="21" t="s">
        <v>254</v>
      </c>
      <c r="F9456">
        <v>6880050</v>
      </c>
      <c r="G9456" t="s">
        <v>9344</v>
      </c>
      <c r="H9456" s="21">
        <v>1012.79</v>
      </c>
    </row>
    <row r="9457" spans="1:8" customFormat="1" x14ac:dyDescent="0.25">
      <c r="A9457" t="str">
        <f>"291645"</f>
        <v>291645</v>
      </c>
      <c r="B9457" t="s">
        <v>2577</v>
      </c>
      <c r="C9457" t="s">
        <v>2520</v>
      </c>
      <c r="D9457" s="21" t="s">
        <v>34</v>
      </c>
      <c r="E9457" s="21" t="s">
        <v>1089</v>
      </c>
      <c r="F9457">
        <v>3290026</v>
      </c>
      <c r="G9457" t="s">
        <v>7421</v>
      </c>
      <c r="H9457" s="21">
        <v>1012.67</v>
      </c>
    </row>
    <row r="9458" spans="1:8" customFormat="1" x14ac:dyDescent="0.25">
      <c r="A9458" t="str">
        <f>"567686"</f>
        <v>567686</v>
      </c>
      <c r="B9458" t="s">
        <v>9495</v>
      </c>
      <c r="C9458" t="s">
        <v>263</v>
      </c>
      <c r="D9458" s="21" t="s">
        <v>34</v>
      </c>
      <c r="E9458" s="21" t="s">
        <v>35</v>
      </c>
      <c r="F9458">
        <v>3560031</v>
      </c>
      <c r="G9458" t="s">
        <v>738</v>
      </c>
      <c r="H9458" s="21">
        <v>1012.67</v>
      </c>
    </row>
    <row r="9459" spans="1:8" customFormat="1" x14ac:dyDescent="0.25">
      <c r="A9459" t="str">
        <f>"536422"</f>
        <v>536422</v>
      </c>
      <c r="B9459" t="s">
        <v>9349</v>
      </c>
      <c r="C9459" t="s">
        <v>1605</v>
      </c>
      <c r="D9459" s="21" t="s">
        <v>34</v>
      </c>
      <c r="E9459" s="21" t="s">
        <v>71</v>
      </c>
      <c r="F9459">
        <v>12530124</v>
      </c>
      <c r="G9459" t="s">
        <v>4935</v>
      </c>
      <c r="H9459" s="21">
        <v>1012.67</v>
      </c>
    </row>
    <row r="9460" spans="1:8" customFormat="1" x14ac:dyDescent="0.25">
      <c r="A9460" t="str">
        <f>"807974"</f>
        <v>807974</v>
      </c>
      <c r="B9460" t="s">
        <v>5011</v>
      </c>
      <c r="C9460" t="s">
        <v>151</v>
      </c>
      <c r="D9460" s="21" t="s">
        <v>34</v>
      </c>
      <c r="E9460" s="21" t="s">
        <v>71</v>
      </c>
      <c r="F9460">
        <v>7800102</v>
      </c>
      <c r="G9460" t="s">
        <v>1148</v>
      </c>
      <c r="H9460" s="21">
        <v>1012.67</v>
      </c>
    </row>
    <row r="9461" spans="1:8" customFormat="1" x14ac:dyDescent="0.25">
      <c r="A9461" t="str">
        <f>"94842"</f>
        <v>94842</v>
      </c>
      <c r="B9461" t="s">
        <v>9268</v>
      </c>
      <c r="C9461" t="s">
        <v>379</v>
      </c>
      <c r="D9461" s="21" t="s">
        <v>34</v>
      </c>
      <c r="E9461" s="21" t="s">
        <v>254</v>
      </c>
      <c r="F9461">
        <v>8940094</v>
      </c>
      <c r="G9461" t="s">
        <v>8664</v>
      </c>
      <c r="H9461" s="21">
        <v>1012.67</v>
      </c>
    </row>
    <row r="9462" spans="1:8" customFormat="1" x14ac:dyDescent="0.25">
      <c r="A9462" t="str">
        <f>"4436502"</f>
        <v>4436502</v>
      </c>
      <c r="B9462" t="s">
        <v>9064</v>
      </c>
      <c r="C9462" t="s">
        <v>124</v>
      </c>
      <c r="D9462" s="21" t="s">
        <v>34</v>
      </c>
      <c r="E9462" s="21" t="s">
        <v>71</v>
      </c>
      <c r="F9462">
        <v>12440144</v>
      </c>
      <c r="G9462" t="s">
        <v>3702</v>
      </c>
      <c r="H9462" s="21">
        <v>1012.67</v>
      </c>
    </row>
    <row r="9463" spans="1:8" customFormat="1" x14ac:dyDescent="0.25">
      <c r="A9463" t="str">
        <f>"40532"</f>
        <v>40532</v>
      </c>
      <c r="B9463" t="s">
        <v>8591</v>
      </c>
      <c r="C9463" t="s">
        <v>55</v>
      </c>
      <c r="D9463" s="21" t="s">
        <v>34</v>
      </c>
      <c r="E9463" s="21" t="s">
        <v>71</v>
      </c>
      <c r="F9463">
        <v>10400009</v>
      </c>
      <c r="G9463" t="s">
        <v>5378</v>
      </c>
      <c r="H9463" s="21">
        <v>1012.67</v>
      </c>
    </row>
    <row r="9464" spans="1:8" customFormat="1" x14ac:dyDescent="0.25">
      <c r="A9464" t="str">
        <f>"905728"</f>
        <v>905728</v>
      </c>
      <c r="B9464" t="s">
        <v>10348</v>
      </c>
      <c r="C9464" t="s">
        <v>198</v>
      </c>
      <c r="D9464" s="21" t="s">
        <v>34</v>
      </c>
      <c r="E9464" s="21" t="s">
        <v>71</v>
      </c>
      <c r="F9464">
        <v>2900015</v>
      </c>
      <c r="G9464" t="s">
        <v>10349</v>
      </c>
      <c r="H9464" s="21">
        <v>1012.67</v>
      </c>
    </row>
    <row r="9465" spans="1:8" customFormat="1" x14ac:dyDescent="0.25">
      <c r="A9465" t="str">
        <f>"5018224"</f>
        <v>5018224</v>
      </c>
      <c r="B9465" t="s">
        <v>646</v>
      </c>
      <c r="C9465" t="s">
        <v>249</v>
      </c>
      <c r="D9465" s="21" t="s">
        <v>34</v>
      </c>
      <c r="E9465" s="21" t="s">
        <v>35</v>
      </c>
      <c r="F9465">
        <v>9500048</v>
      </c>
      <c r="G9465" t="s">
        <v>1804</v>
      </c>
      <c r="H9465" s="21">
        <v>1012.67</v>
      </c>
    </row>
    <row r="9466" spans="1:8" customFormat="1" x14ac:dyDescent="0.25">
      <c r="A9466" t="str">
        <f>"683701"</f>
        <v>683701</v>
      </c>
      <c r="B9466" t="s">
        <v>1886</v>
      </c>
      <c r="C9466" t="s">
        <v>1665</v>
      </c>
      <c r="D9466" s="21" t="s">
        <v>34</v>
      </c>
      <c r="E9466" s="21" t="s">
        <v>71</v>
      </c>
      <c r="F9466">
        <v>6680102</v>
      </c>
      <c r="G9466" t="s">
        <v>1232</v>
      </c>
      <c r="H9466" s="21">
        <v>1012.67</v>
      </c>
    </row>
    <row r="9467" spans="1:8" customFormat="1" x14ac:dyDescent="0.25">
      <c r="A9467" t="str">
        <f>"2714203"</f>
        <v>2714203</v>
      </c>
      <c r="B9467" t="s">
        <v>2824</v>
      </c>
      <c r="C9467" t="s">
        <v>285</v>
      </c>
      <c r="D9467" s="21" t="s">
        <v>34</v>
      </c>
      <c r="E9467" s="21" t="s">
        <v>35</v>
      </c>
      <c r="F9467">
        <v>9270110</v>
      </c>
      <c r="G9467" t="s">
        <v>7417</v>
      </c>
      <c r="H9467" s="21">
        <v>1012.67</v>
      </c>
    </row>
    <row r="9468" spans="1:8" customFormat="1" x14ac:dyDescent="0.25">
      <c r="A9468" t="str">
        <f>"6218300"</f>
        <v>6218300</v>
      </c>
      <c r="B9468" t="s">
        <v>3197</v>
      </c>
      <c r="C9468" t="s">
        <v>209</v>
      </c>
      <c r="D9468" s="21" t="s">
        <v>34</v>
      </c>
      <c r="E9468" s="21" t="s">
        <v>71</v>
      </c>
      <c r="F9468">
        <v>7620024</v>
      </c>
      <c r="G9468" t="s">
        <v>2975</v>
      </c>
      <c r="H9468" s="21">
        <v>1012.67</v>
      </c>
    </row>
    <row r="9469" spans="1:8" customFormat="1" x14ac:dyDescent="0.25">
      <c r="A9469" t="str">
        <f>"346782"</f>
        <v>346782</v>
      </c>
      <c r="B9469" t="s">
        <v>9836</v>
      </c>
      <c r="C9469" t="s">
        <v>336</v>
      </c>
      <c r="D9469" s="21" t="s">
        <v>34</v>
      </c>
      <c r="E9469" s="21" t="s">
        <v>35</v>
      </c>
      <c r="F9469">
        <v>11340005</v>
      </c>
      <c r="G9469" t="s">
        <v>9837</v>
      </c>
      <c r="H9469" s="21">
        <v>1012.67</v>
      </c>
    </row>
    <row r="9470" spans="1:8" customFormat="1" x14ac:dyDescent="0.25">
      <c r="A9470" t="str">
        <f>"4911943"</f>
        <v>4911943</v>
      </c>
      <c r="B9470" t="s">
        <v>3847</v>
      </c>
      <c r="C9470" t="s">
        <v>462</v>
      </c>
      <c r="D9470" s="21" t="s">
        <v>34</v>
      </c>
      <c r="E9470" s="21" t="s">
        <v>254</v>
      </c>
      <c r="F9470">
        <v>12490062</v>
      </c>
      <c r="G9470" t="s">
        <v>9920</v>
      </c>
      <c r="H9470" s="21">
        <v>1012.42</v>
      </c>
    </row>
    <row r="9471" spans="1:8" customFormat="1" x14ac:dyDescent="0.25">
      <c r="A9471" t="str">
        <f>"623837"</f>
        <v>623837</v>
      </c>
      <c r="B9471" t="s">
        <v>646</v>
      </c>
      <c r="C9471" t="s">
        <v>1142</v>
      </c>
      <c r="D9471" s="21" t="s">
        <v>34</v>
      </c>
      <c r="E9471" s="21" t="s">
        <v>254</v>
      </c>
      <c r="F9471">
        <v>7620044</v>
      </c>
      <c r="G9471" t="s">
        <v>2961</v>
      </c>
      <c r="H9471" s="21">
        <v>1012.3</v>
      </c>
    </row>
    <row r="9472" spans="1:8" customFormat="1" x14ac:dyDescent="0.25">
      <c r="A9472" t="str">
        <f>"3322648"</f>
        <v>3322648</v>
      </c>
      <c r="B9472" t="s">
        <v>7327</v>
      </c>
      <c r="C9472" t="s">
        <v>169</v>
      </c>
      <c r="D9472" s="21" t="s">
        <v>34</v>
      </c>
      <c r="E9472" s="21" t="s">
        <v>35</v>
      </c>
      <c r="F9472">
        <v>10330011</v>
      </c>
      <c r="G9472" t="s">
        <v>1789</v>
      </c>
      <c r="H9472" s="21">
        <v>1012.29</v>
      </c>
    </row>
    <row r="9473" spans="1:8" customFormat="1" x14ac:dyDescent="0.25">
      <c r="A9473" t="str">
        <f>"59214"</f>
        <v>59214</v>
      </c>
      <c r="B9473" t="s">
        <v>9024</v>
      </c>
      <c r="C9473" t="s">
        <v>60</v>
      </c>
      <c r="D9473" s="21" t="s">
        <v>34</v>
      </c>
      <c r="E9473" s="21" t="s">
        <v>71</v>
      </c>
      <c r="F9473">
        <v>7590009</v>
      </c>
      <c r="G9473" t="s">
        <v>535</v>
      </c>
      <c r="H9473" s="21">
        <v>1012.17</v>
      </c>
    </row>
    <row r="9474" spans="1:8" customFormat="1" x14ac:dyDescent="0.25">
      <c r="A9474" t="str">
        <f>"179155"</f>
        <v>179155</v>
      </c>
      <c r="B9474" t="s">
        <v>8939</v>
      </c>
      <c r="C9474" t="s">
        <v>1914</v>
      </c>
      <c r="D9474" s="21" t="s">
        <v>34</v>
      </c>
      <c r="E9474" s="21" t="s">
        <v>1089</v>
      </c>
      <c r="F9474">
        <v>10170162</v>
      </c>
      <c r="G9474" t="s">
        <v>2817</v>
      </c>
      <c r="H9474" s="21">
        <v>1012.17</v>
      </c>
    </row>
    <row r="9475" spans="1:8" customFormat="1" x14ac:dyDescent="0.25">
      <c r="A9475" t="str">
        <f>"882321"</f>
        <v>882321</v>
      </c>
      <c r="B9475" t="s">
        <v>1081</v>
      </c>
      <c r="C9475" t="s">
        <v>493</v>
      </c>
      <c r="D9475" s="21" t="s">
        <v>34</v>
      </c>
      <c r="E9475" s="21" t="s">
        <v>71</v>
      </c>
      <c r="F9475">
        <v>6880110</v>
      </c>
      <c r="G9475" t="s">
        <v>4990</v>
      </c>
      <c r="H9475" s="21">
        <v>1012.17</v>
      </c>
    </row>
    <row r="9476" spans="1:8" customFormat="1" x14ac:dyDescent="0.25">
      <c r="A9476" t="str">
        <f>"421113"</f>
        <v>421113</v>
      </c>
      <c r="B9476" t="s">
        <v>7749</v>
      </c>
      <c r="C9476" t="s">
        <v>239</v>
      </c>
      <c r="D9476" s="21" t="s">
        <v>34</v>
      </c>
      <c r="E9476" s="21" t="s">
        <v>71</v>
      </c>
      <c r="F9476">
        <v>1420088</v>
      </c>
      <c r="G9476" t="s">
        <v>7613</v>
      </c>
      <c r="H9476" s="21">
        <v>1012.17</v>
      </c>
    </row>
    <row r="9477" spans="1:8" customFormat="1" x14ac:dyDescent="0.25">
      <c r="A9477" t="str">
        <f>"5956716"</f>
        <v>5956716</v>
      </c>
      <c r="B9477" t="s">
        <v>7628</v>
      </c>
      <c r="C9477" t="s">
        <v>817</v>
      </c>
      <c r="D9477" s="21" t="s">
        <v>34</v>
      </c>
      <c r="E9477" s="21" t="s">
        <v>71</v>
      </c>
      <c r="F9477">
        <v>7590171</v>
      </c>
      <c r="G9477" t="s">
        <v>4159</v>
      </c>
      <c r="H9477" s="21">
        <v>1012.17</v>
      </c>
    </row>
    <row r="9478" spans="1:8" customFormat="1" x14ac:dyDescent="0.25">
      <c r="A9478" t="str">
        <f>"6217150"</f>
        <v>6217150</v>
      </c>
      <c r="B9478" t="s">
        <v>8666</v>
      </c>
      <c r="C9478" t="s">
        <v>114</v>
      </c>
      <c r="D9478" s="21" t="s">
        <v>34</v>
      </c>
      <c r="E9478" s="21" t="s">
        <v>71</v>
      </c>
      <c r="F9478">
        <v>7620162</v>
      </c>
      <c r="G9478" t="s">
        <v>3134</v>
      </c>
      <c r="H9478" s="21">
        <v>1012.17</v>
      </c>
    </row>
    <row r="9479" spans="1:8" customFormat="1" x14ac:dyDescent="0.25">
      <c r="A9479" t="str">
        <f>"604490"</f>
        <v>604490</v>
      </c>
      <c r="B9479" t="s">
        <v>10048</v>
      </c>
      <c r="C9479" t="s">
        <v>621</v>
      </c>
      <c r="D9479" s="21" t="s">
        <v>34</v>
      </c>
      <c r="E9479" s="21" t="s">
        <v>71</v>
      </c>
      <c r="F9479">
        <v>7600016</v>
      </c>
      <c r="G9479" t="s">
        <v>6215</v>
      </c>
      <c r="H9479" s="21">
        <v>1012.17</v>
      </c>
    </row>
    <row r="9480" spans="1:8" customFormat="1" x14ac:dyDescent="0.25">
      <c r="A9480" t="str">
        <f>"166068"</f>
        <v>166068</v>
      </c>
      <c r="B9480" t="s">
        <v>10003</v>
      </c>
      <c r="C9480" t="s">
        <v>269</v>
      </c>
      <c r="D9480" s="21" t="s">
        <v>34</v>
      </c>
      <c r="E9480" s="21" t="s">
        <v>71</v>
      </c>
      <c r="F9480">
        <v>10160236</v>
      </c>
      <c r="G9480" t="s">
        <v>7202</v>
      </c>
      <c r="H9480" s="21">
        <v>1012.17</v>
      </c>
    </row>
    <row r="9481" spans="1:8" customFormat="1" x14ac:dyDescent="0.25">
      <c r="A9481" t="str">
        <f>"5711275"</f>
        <v>5711275</v>
      </c>
      <c r="B9481" t="s">
        <v>9963</v>
      </c>
      <c r="C9481" t="s">
        <v>198</v>
      </c>
      <c r="D9481" s="21" t="s">
        <v>34</v>
      </c>
      <c r="E9481" s="21" t="s">
        <v>254</v>
      </c>
      <c r="F9481">
        <v>6570159</v>
      </c>
      <c r="G9481" t="s">
        <v>7565</v>
      </c>
      <c r="H9481" s="21">
        <v>1012.17</v>
      </c>
    </row>
    <row r="9482" spans="1:8" customFormat="1" x14ac:dyDescent="0.25">
      <c r="A9482" t="str">
        <f>"4423351"</f>
        <v>4423351</v>
      </c>
      <c r="B9482" t="s">
        <v>9732</v>
      </c>
      <c r="C9482" t="s">
        <v>60</v>
      </c>
      <c r="D9482" s="21" t="s">
        <v>34</v>
      </c>
      <c r="E9482" s="21" t="s">
        <v>35</v>
      </c>
      <c r="F9482">
        <v>12440199</v>
      </c>
      <c r="G9482" t="s">
        <v>4653</v>
      </c>
      <c r="H9482" s="21">
        <v>1011.92</v>
      </c>
    </row>
    <row r="9483" spans="1:8" customFormat="1" x14ac:dyDescent="0.25">
      <c r="A9483" t="str">
        <f>"799438"</f>
        <v>799438</v>
      </c>
      <c r="B9483" t="s">
        <v>10144</v>
      </c>
      <c r="C9483" t="s">
        <v>598</v>
      </c>
      <c r="D9483" s="21" t="s">
        <v>34</v>
      </c>
      <c r="E9483" s="21" t="s">
        <v>71</v>
      </c>
      <c r="F9483">
        <v>10790185</v>
      </c>
      <c r="G9483" t="s">
        <v>3511</v>
      </c>
      <c r="H9483" s="21">
        <v>1011.92</v>
      </c>
    </row>
    <row r="9484" spans="1:8" customFormat="1" x14ac:dyDescent="0.25">
      <c r="A9484" t="str">
        <f>"3725312"</f>
        <v>3725312</v>
      </c>
      <c r="B9484" t="s">
        <v>9241</v>
      </c>
      <c r="C9484" t="s">
        <v>43</v>
      </c>
      <c r="D9484" s="21" t="s">
        <v>34</v>
      </c>
      <c r="E9484" s="21" t="s">
        <v>35</v>
      </c>
      <c r="F9484">
        <v>4370002</v>
      </c>
      <c r="G9484" t="s">
        <v>112</v>
      </c>
      <c r="H9484" s="21">
        <v>1011.92</v>
      </c>
    </row>
    <row r="9485" spans="1:8" customFormat="1" x14ac:dyDescent="0.25">
      <c r="A9485" t="str">
        <f>"877716"</f>
        <v>877716</v>
      </c>
      <c r="B9485" t="s">
        <v>9709</v>
      </c>
      <c r="C9485" t="s">
        <v>124</v>
      </c>
      <c r="D9485" s="21" t="s">
        <v>34</v>
      </c>
      <c r="E9485" s="21" t="s">
        <v>35</v>
      </c>
      <c r="F9485">
        <v>10870128</v>
      </c>
      <c r="G9485" t="s">
        <v>9710</v>
      </c>
      <c r="H9485" s="21">
        <v>1011.67</v>
      </c>
    </row>
    <row r="9486" spans="1:8" customFormat="1" x14ac:dyDescent="0.25">
      <c r="A9486" t="str">
        <f>"212722"</f>
        <v>212722</v>
      </c>
      <c r="B9486" t="s">
        <v>8723</v>
      </c>
      <c r="C9486" t="s">
        <v>246</v>
      </c>
      <c r="D9486" s="21" t="s">
        <v>34</v>
      </c>
      <c r="E9486" s="21" t="s">
        <v>254</v>
      </c>
      <c r="F9486">
        <v>2210100</v>
      </c>
      <c r="G9486" t="s">
        <v>1608</v>
      </c>
      <c r="H9486" s="21">
        <v>1011.67</v>
      </c>
    </row>
    <row r="9487" spans="1:8" customFormat="1" x14ac:dyDescent="0.25">
      <c r="A9487" t="str">
        <f>"2215338"</f>
        <v>2215338</v>
      </c>
      <c r="B9487" t="s">
        <v>9229</v>
      </c>
      <c r="C9487" t="s">
        <v>249</v>
      </c>
      <c r="D9487" s="21" t="s">
        <v>34</v>
      </c>
      <c r="E9487" s="21" t="s">
        <v>71</v>
      </c>
      <c r="F9487">
        <v>3220033</v>
      </c>
      <c r="G9487" t="s">
        <v>657</v>
      </c>
      <c r="H9487" s="21">
        <v>1011.67</v>
      </c>
    </row>
    <row r="9488" spans="1:8" customFormat="1" x14ac:dyDescent="0.25">
      <c r="A9488" t="str">
        <f>"787719"</f>
        <v>787719</v>
      </c>
      <c r="B9488" t="s">
        <v>11709</v>
      </c>
      <c r="C9488" t="s">
        <v>2135</v>
      </c>
      <c r="D9488" s="21" t="s">
        <v>34</v>
      </c>
      <c r="E9488" s="21" t="s">
        <v>254</v>
      </c>
      <c r="F9488">
        <v>7800139</v>
      </c>
      <c r="G9488" t="s">
        <v>6694</v>
      </c>
      <c r="H9488" s="21">
        <v>1011.67</v>
      </c>
    </row>
    <row r="9489" spans="1:8" customFormat="1" x14ac:dyDescent="0.25">
      <c r="A9489" t="str">
        <f>"712979"</f>
        <v>712979</v>
      </c>
      <c r="B9489" t="s">
        <v>8658</v>
      </c>
      <c r="C9489" t="s">
        <v>8659</v>
      </c>
      <c r="D9489" s="21" t="s">
        <v>34</v>
      </c>
      <c r="E9489" s="21" t="s">
        <v>35</v>
      </c>
      <c r="F9489">
        <v>2710067</v>
      </c>
      <c r="G9489" t="s">
        <v>284</v>
      </c>
      <c r="H9489" s="21">
        <v>1011.67</v>
      </c>
    </row>
    <row r="9490" spans="1:8" customFormat="1" x14ac:dyDescent="0.25">
      <c r="A9490" t="str">
        <f>"704003"</f>
        <v>704003</v>
      </c>
      <c r="B9490" t="s">
        <v>1165</v>
      </c>
      <c r="C9490" t="s">
        <v>119</v>
      </c>
      <c r="D9490" s="21" t="s">
        <v>34</v>
      </c>
      <c r="E9490" s="21" t="s">
        <v>35</v>
      </c>
      <c r="F9490">
        <v>6680059</v>
      </c>
      <c r="G9490" t="s">
        <v>11282</v>
      </c>
      <c r="H9490" s="21">
        <v>1011.67</v>
      </c>
    </row>
    <row r="9491" spans="1:8" customFormat="1" x14ac:dyDescent="0.25">
      <c r="A9491" t="str">
        <f>"6813485"</f>
        <v>6813485</v>
      </c>
      <c r="B9491" t="s">
        <v>10496</v>
      </c>
      <c r="C9491" t="s">
        <v>5640</v>
      </c>
      <c r="D9491" s="21" t="s">
        <v>34</v>
      </c>
      <c r="E9491" s="21" t="s">
        <v>35</v>
      </c>
      <c r="F9491">
        <v>6680138</v>
      </c>
      <c r="G9491" t="s">
        <v>10497</v>
      </c>
      <c r="H9491" s="21">
        <v>1011.67</v>
      </c>
    </row>
    <row r="9492" spans="1:8" customFormat="1" x14ac:dyDescent="0.25">
      <c r="A9492" t="str">
        <f>"7521407"</f>
        <v>7521407</v>
      </c>
      <c r="B9492" t="s">
        <v>11459</v>
      </c>
      <c r="C9492" t="s">
        <v>187</v>
      </c>
      <c r="D9492" s="21" t="s">
        <v>34</v>
      </c>
      <c r="E9492" s="21" t="s">
        <v>35</v>
      </c>
      <c r="F9492">
        <v>8751124</v>
      </c>
      <c r="G9492" t="s">
        <v>1481</v>
      </c>
      <c r="H9492" s="21">
        <v>1011.67</v>
      </c>
    </row>
    <row r="9493" spans="1:8" customFormat="1" x14ac:dyDescent="0.25">
      <c r="A9493" t="str">
        <f>"599518"</f>
        <v>599518</v>
      </c>
      <c r="B9493" t="s">
        <v>3146</v>
      </c>
      <c r="C9493" t="s">
        <v>109</v>
      </c>
      <c r="D9493" s="21" t="s">
        <v>34</v>
      </c>
      <c r="E9493" s="21" t="s">
        <v>71</v>
      </c>
      <c r="F9493">
        <v>7590177</v>
      </c>
      <c r="G9493" t="s">
        <v>10380</v>
      </c>
      <c r="H9493" s="21">
        <v>1011.67</v>
      </c>
    </row>
    <row r="9494" spans="1:8" customFormat="1" x14ac:dyDescent="0.25">
      <c r="A9494" t="str">
        <f>"943225"</f>
        <v>943225</v>
      </c>
      <c r="B9494" t="s">
        <v>15014</v>
      </c>
      <c r="C9494" t="s">
        <v>65</v>
      </c>
      <c r="D9494" s="21" t="s">
        <v>34</v>
      </c>
      <c r="E9494" s="21" t="s">
        <v>35</v>
      </c>
      <c r="F9494">
        <v>8911083</v>
      </c>
      <c r="G9494" t="s">
        <v>7357</v>
      </c>
      <c r="H9494" s="21">
        <v>1011.55</v>
      </c>
    </row>
    <row r="9495" spans="1:8" customFormat="1" x14ac:dyDescent="0.25">
      <c r="A9495" t="str">
        <f>"185372"</f>
        <v>185372</v>
      </c>
      <c r="B9495" t="s">
        <v>2297</v>
      </c>
      <c r="C9495" t="s">
        <v>484</v>
      </c>
      <c r="D9495" s="21" t="s">
        <v>34</v>
      </c>
      <c r="E9495" s="21" t="s">
        <v>35</v>
      </c>
      <c r="F9495">
        <v>4180613</v>
      </c>
      <c r="G9495" t="s">
        <v>422</v>
      </c>
      <c r="H9495" s="21">
        <v>1011.55</v>
      </c>
    </row>
    <row r="9496" spans="1:8" customFormat="1" x14ac:dyDescent="0.25">
      <c r="A9496" t="str">
        <f>"4520746"</f>
        <v>4520746</v>
      </c>
      <c r="B9496" t="s">
        <v>946</v>
      </c>
      <c r="C9496" t="s">
        <v>1588</v>
      </c>
      <c r="D9496" s="21" t="s">
        <v>34</v>
      </c>
      <c r="E9496" s="21" t="s">
        <v>71</v>
      </c>
      <c r="F9496">
        <v>8750292</v>
      </c>
      <c r="G9496" t="s">
        <v>9069</v>
      </c>
      <c r="H9496" s="21">
        <v>1011.43</v>
      </c>
    </row>
    <row r="9497" spans="1:8" customFormat="1" x14ac:dyDescent="0.25">
      <c r="A9497" t="str">
        <f>"6923284"</f>
        <v>6923284</v>
      </c>
      <c r="B9497" t="s">
        <v>11266</v>
      </c>
      <c r="C9497" t="s">
        <v>462</v>
      </c>
      <c r="D9497" s="21" t="s">
        <v>34</v>
      </c>
      <c r="E9497" s="21" t="s">
        <v>35</v>
      </c>
      <c r="F9497">
        <v>1690167</v>
      </c>
      <c r="G9497" t="s">
        <v>11267</v>
      </c>
      <c r="H9497" s="21">
        <v>1011.42</v>
      </c>
    </row>
    <row r="9498" spans="1:8" customFormat="1" x14ac:dyDescent="0.25">
      <c r="A9498" t="str">
        <f>"2710821"</f>
        <v>2710821</v>
      </c>
      <c r="B9498" t="s">
        <v>4731</v>
      </c>
      <c r="C9498" t="s">
        <v>33</v>
      </c>
      <c r="D9498" s="21" t="s">
        <v>34</v>
      </c>
      <c r="E9498" s="21" t="s">
        <v>71</v>
      </c>
      <c r="F9498">
        <v>7600134</v>
      </c>
      <c r="G9498" t="s">
        <v>8819</v>
      </c>
      <c r="H9498" s="21">
        <v>1011.18</v>
      </c>
    </row>
    <row r="9499" spans="1:8" customFormat="1" x14ac:dyDescent="0.25">
      <c r="A9499" t="str">
        <f>"852168"</f>
        <v>852168</v>
      </c>
      <c r="B9499" t="s">
        <v>136</v>
      </c>
      <c r="C9499" t="s">
        <v>9556</v>
      </c>
      <c r="D9499" s="21" t="s">
        <v>34</v>
      </c>
      <c r="E9499" s="21" t="s">
        <v>254</v>
      </c>
      <c r="F9499">
        <v>12851025</v>
      </c>
      <c r="G9499" t="s">
        <v>26858</v>
      </c>
      <c r="H9499" s="21">
        <v>1011.17</v>
      </c>
    </row>
    <row r="9500" spans="1:8" customFormat="1" x14ac:dyDescent="0.25">
      <c r="A9500" t="str">
        <f>"8010437"</f>
        <v>8010437</v>
      </c>
      <c r="B9500" t="s">
        <v>9854</v>
      </c>
      <c r="C9500" t="s">
        <v>40</v>
      </c>
      <c r="D9500" s="21" t="s">
        <v>34</v>
      </c>
      <c r="E9500" s="21" t="s">
        <v>254</v>
      </c>
      <c r="F9500">
        <v>9760007</v>
      </c>
      <c r="G9500" t="s">
        <v>7255</v>
      </c>
      <c r="H9500" s="21">
        <v>1011.17</v>
      </c>
    </row>
    <row r="9501" spans="1:8" customFormat="1" x14ac:dyDescent="0.25">
      <c r="A9501" t="str">
        <f>"911005"</f>
        <v>911005</v>
      </c>
      <c r="B9501" t="s">
        <v>8856</v>
      </c>
      <c r="C9501" t="s">
        <v>253</v>
      </c>
      <c r="D9501" s="21" t="s">
        <v>34</v>
      </c>
      <c r="E9501" s="21" t="s">
        <v>254</v>
      </c>
      <c r="F9501">
        <v>8910567</v>
      </c>
      <c r="G9501" t="s">
        <v>5111</v>
      </c>
      <c r="H9501" s="21">
        <v>1011.17</v>
      </c>
    </row>
    <row r="9502" spans="1:8" customFormat="1" x14ac:dyDescent="0.25">
      <c r="A9502" t="str">
        <f>"725266"</f>
        <v>725266</v>
      </c>
      <c r="B9502" t="s">
        <v>1886</v>
      </c>
      <c r="C9502" t="s">
        <v>139</v>
      </c>
      <c r="D9502" s="21" t="s">
        <v>34</v>
      </c>
      <c r="E9502" s="21" t="s">
        <v>35</v>
      </c>
      <c r="F9502">
        <v>12720004</v>
      </c>
      <c r="G9502" t="s">
        <v>2328</v>
      </c>
      <c r="H9502" s="21">
        <v>1011.17</v>
      </c>
    </row>
    <row r="9503" spans="1:8" customFormat="1" x14ac:dyDescent="0.25">
      <c r="A9503" t="str">
        <f>"6710499"</f>
        <v>6710499</v>
      </c>
      <c r="B9503" t="s">
        <v>9357</v>
      </c>
      <c r="C9503" t="s">
        <v>415</v>
      </c>
      <c r="D9503" s="21" t="s">
        <v>34</v>
      </c>
      <c r="E9503" s="21" t="s">
        <v>71</v>
      </c>
      <c r="F9503">
        <v>6670064</v>
      </c>
      <c r="G9503" t="s">
        <v>9358</v>
      </c>
      <c r="H9503" s="21">
        <v>1011.17</v>
      </c>
    </row>
    <row r="9504" spans="1:8" customFormat="1" x14ac:dyDescent="0.25">
      <c r="A9504" t="str">
        <f>"22111"</f>
        <v>22111</v>
      </c>
      <c r="B9504" t="s">
        <v>5072</v>
      </c>
      <c r="C9504" t="s">
        <v>253</v>
      </c>
      <c r="D9504" s="21" t="s">
        <v>34</v>
      </c>
      <c r="E9504" s="21" t="s">
        <v>254</v>
      </c>
      <c r="F9504">
        <v>3220047</v>
      </c>
      <c r="G9504" t="s">
        <v>131</v>
      </c>
      <c r="H9504" s="21">
        <v>1011.17</v>
      </c>
    </row>
    <row r="9505" spans="1:8" customFormat="1" x14ac:dyDescent="0.25">
      <c r="A9505" t="str">
        <f>"6713222"</f>
        <v>6713222</v>
      </c>
      <c r="B9505" t="s">
        <v>8989</v>
      </c>
      <c r="C9505" t="s">
        <v>598</v>
      </c>
      <c r="D9505" s="21" t="s">
        <v>34</v>
      </c>
      <c r="E9505" s="21" t="s">
        <v>35</v>
      </c>
      <c r="F9505">
        <v>6670027</v>
      </c>
      <c r="G9505" t="s">
        <v>2791</v>
      </c>
      <c r="H9505" s="21">
        <v>1011.17</v>
      </c>
    </row>
    <row r="9506" spans="1:8" customFormat="1" x14ac:dyDescent="0.25">
      <c r="A9506" t="str">
        <f>"888331"</f>
        <v>888331</v>
      </c>
      <c r="B9506" t="s">
        <v>9846</v>
      </c>
      <c r="C9506" t="s">
        <v>156</v>
      </c>
      <c r="D9506" s="21" t="s">
        <v>34</v>
      </c>
      <c r="E9506" s="21" t="s">
        <v>254</v>
      </c>
      <c r="F9506">
        <v>6880002</v>
      </c>
      <c r="G9506" t="s">
        <v>501</v>
      </c>
      <c r="H9506" s="21">
        <v>1011.17</v>
      </c>
    </row>
    <row r="9507" spans="1:8" customFormat="1" x14ac:dyDescent="0.25">
      <c r="A9507" t="str">
        <f>"54788"</f>
        <v>54788</v>
      </c>
      <c r="B9507" t="s">
        <v>1737</v>
      </c>
      <c r="C9507" t="s">
        <v>87</v>
      </c>
      <c r="D9507" s="21" t="s">
        <v>34</v>
      </c>
      <c r="E9507" s="21" t="s">
        <v>71</v>
      </c>
      <c r="F9507">
        <v>6540040</v>
      </c>
      <c r="G9507" t="s">
        <v>256</v>
      </c>
      <c r="H9507" s="21">
        <v>1011.17</v>
      </c>
    </row>
    <row r="9508" spans="1:8" customFormat="1" x14ac:dyDescent="0.25">
      <c r="A9508" t="str">
        <f>"783473"</f>
        <v>783473</v>
      </c>
      <c r="B9508" t="s">
        <v>4926</v>
      </c>
      <c r="C9508" t="s">
        <v>249</v>
      </c>
      <c r="D9508" s="21" t="s">
        <v>34</v>
      </c>
      <c r="E9508" s="21" t="s">
        <v>35</v>
      </c>
      <c r="F9508">
        <v>12440147</v>
      </c>
      <c r="G9508" t="s">
        <v>5472</v>
      </c>
      <c r="H9508" s="21">
        <v>1011.17</v>
      </c>
    </row>
    <row r="9509" spans="1:8" customFormat="1" x14ac:dyDescent="0.25">
      <c r="A9509" t="str">
        <f>"4921462"</f>
        <v>4921462</v>
      </c>
      <c r="B9509" t="s">
        <v>971</v>
      </c>
      <c r="C9509" t="s">
        <v>576</v>
      </c>
      <c r="D9509" s="21" t="s">
        <v>34</v>
      </c>
      <c r="E9509" s="21" t="s">
        <v>35</v>
      </c>
      <c r="F9509">
        <v>12490033</v>
      </c>
      <c r="G9509" t="s">
        <v>3469</v>
      </c>
      <c r="H9509" s="21">
        <v>1010.92</v>
      </c>
    </row>
    <row r="9510" spans="1:8" customFormat="1" x14ac:dyDescent="0.25">
      <c r="A9510" t="str">
        <f>"4515859"</f>
        <v>4515859</v>
      </c>
      <c r="B9510" t="s">
        <v>8958</v>
      </c>
      <c r="C9510" t="s">
        <v>8959</v>
      </c>
      <c r="D9510" s="21" t="s">
        <v>34</v>
      </c>
      <c r="E9510" s="21" t="s">
        <v>71</v>
      </c>
      <c r="F9510">
        <v>4450026</v>
      </c>
      <c r="G9510" t="s">
        <v>291</v>
      </c>
      <c r="H9510" s="21">
        <v>1010.92</v>
      </c>
    </row>
    <row r="9511" spans="1:8" customFormat="1" x14ac:dyDescent="0.25">
      <c r="A9511" t="str">
        <f>"773008"</f>
        <v>773008</v>
      </c>
      <c r="B9511" t="s">
        <v>3278</v>
      </c>
      <c r="C9511" t="s">
        <v>2529</v>
      </c>
      <c r="D9511" s="21" t="s">
        <v>34</v>
      </c>
      <c r="E9511" s="21" t="s">
        <v>71</v>
      </c>
      <c r="F9511">
        <v>8771229</v>
      </c>
      <c r="G9511" t="s">
        <v>26815</v>
      </c>
      <c r="H9511" s="21">
        <v>1010.92</v>
      </c>
    </row>
    <row r="9512" spans="1:8" customFormat="1" x14ac:dyDescent="0.25">
      <c r="A9512" t="str">
        <f>"9526033"</f>
        <v>9526033</v>
      </c>
      <c r="B9512" t="s">
        <v>10170</v>
      </c>
      <c r="C9512" t="s">
        <v>2365</v>
      </c>
      <c r="D9512" s="21" t="s">
        <v>34</v>
      </c>
      <c r="E9512" s="21" t="s">
        <v>71</v>
      </c>
      <c r="F9512">
        <v>8951451</v>
      </c>
      <c r="G9512" t="s">
        <v>3909</v>
      </c>
      <c r="H9512" s="21">
        <v>1010.79</v>
      </c>
    </row>
    <row r="9513" spans="1:8" customFormat="1" x14ac:dyDescent="0.25">
      <c r="A9513" t="str">
        <f>"066530"</f>
        <v>066530</v>
      </c>
      <c r="B9513" t="s">
        <v>8746</v>
      </c>
      <c r="C9513" t="s">
        <v>415</v>
      </c>
      <c r="D9513" s="21" t="s">
        <v>34</v>
      </c>
      <c r="E9513" s="21" t="s">
        <v>254</v>
      </c>
      <c r="F9513">
        <v>13060082</v>
      </c>
      <c r="G9513" t="s">
        <v>11729</v>
      </c>
      <c r="H9513" s="21">
        <v>1010.67</v>
      </c>
    </row>
    <row r="9514" spans="1:8" customFormat="1" x14ac:dyDescent="0.25">
      <c r="A9514" t="str">
        <f>"839053"</f>
        <v>839053</v>
      </c>
      <c r="B9514" t="s">
        <v>7512</v>
      </c>
      <c r="C9514" t="s">
        <v>87</v>
      </c>
      <c r="D9514" s="21" t="s">
        <v>34</v>
      </c>
      <c r="E9514" s="21" t="s">
        <v>71</v>
      </c>
      <c r="F9514">
        <v>13060102</v>
      </c>
      <c r="G9514" t="s">
        <v>2918</v>
      </c>
      <c r="H9514" s="21">
        <v>1010.67</v>
      </c>
    </row>
    <row r="9515" spans="1:8" customFormat="1" x14ac:dyDescent="0.25">
      <c r="A9515" t="str">
        <f>"9414263"</f>
        <v>9414263</v>
      </c>
      <c r="B9515" t="s">
        <v>9847</v>
      </c>
      <c r="C9515" t="s">
        <v>3866</v>
      </c>
      <c r="D9515" s="21" t="s">
        <v>34</v>
      </c>
      <c r="E9515" s="21" t="s">
        <v>71</v>
      </c>
      <c r="F9515">
        <v>13830031</v>
      </c>
      <c r="G9515" t="s">
        <v>8301</v>
      </c>
      <c r="H9515" s="21">
        <v>1010.67</v>
      </c>
    </row>
    <row r="9516" spans="1:8" customFormat="1" x14ac:dyDescent="0.25">
      <c r="A9516" t="str">
        <f>"5971993"</f>
        <v>5971993</v>
      </c>
      <c r="B9516" t="s">
        <v>10568</v>
      </c>
      <c r="C9516" t="s">
        <v>43</v>
      </c>
      <c r="D9516" s="21" t="s">
        <v>34</v>
      </c>
      <c r="E9516" s="21" t="s">
        <v>35</v>
      </c>
      <c r="F9516">
        <v>7590402</v>
      </c>
      <c r="G9516" t="s">
        <v>1623</v>
      </c>
      <c r="H9516" s="21">
        <v>1010.67</v>
      </c>
    </row>
    <row r="9517" spans="1:8" customFormat="1" x14ac:dyDescent="0.25">
      <c r="A9517" t="str">
        <f>"557379"</f>
        <v>557379</v>
      </c>
      <c r="B9517" t="s">
        <v>9118</v>
      </c>
      <c r="C9517" t="s">
        <v>121</v>
      </c>
      <c r="D9517" s="21" t="s">
        <v>34</v>
      </c>
      <c r="E9517" s="21" t="s">
        <v>71</v>
      </c>
      <c r="F9517">
        <v>6550007</v>
      </c>
      <c r="G9517" t="s">
        <v>1688</v>
      </c>
      <c r="H9517" s="21">
        <v>1010.67</v>
      </c>
    </row>
    <row r="9518" spans="1:8" customFormat="1" x14ac:dyDescent="0.25">
      <c r="A9518" t="str">
        <f>"4918698"</f>
        <v>4918698</v>
      </c>
      <c r="B9518" t="s">
        <v>4382</v>
      </c>
      <c r="C9518" t="s">
        <v>7952</v>
      </c>
      <c r="D9518" s="21" t="s">
        <v>34</v>
      </c>
      <c r="E9518" s="21" t="s">
        <v>71</v>
      </c>
      <c r="F9518">
        <v>12490014</v>
      </c>
      <c r="G9518" t="s">
        <v>8547</v>
      </c>
      <c r="H9518" s="21">
        <v>1010.67</v>
      </c>
    </row>
    <row r="9519" spans="1:8" customFormat="1" x14ac:dyDescent="0.25">
      <c r="A9519" t="str">
        <f>"4430007"</f>
        <v>4430007</v>
      </c>
      <c r="B9519" t="s">
        <v>27109</v>
      </c>
      <c r="C9519" t="s">
        <v>825</v>
      </c>
      <c r="D9519" s="21" t="s">
        <v>34</v>
      </c>
      <c r="E9519" s="21" t="s">
        <v>35</v>
      </c>
      <c r="F9519">
        <v>12440015</v>
      </c>
      <c r="G9519" t="s">
        <v>8421</v>
      </c>
      <c r="H9519" s="21">
        <v>1010.67</v>
      </c>
    </row>
    <row r="9520" spans="1:8" customFormat="1" x14ac:dyDescent="0.25">
      <c r="A9520" t="str">
        <f>"608870"</f>
        <v>608870</v>
      </c>
      <c r="B9520" t="s">
        <v>7035</v>
      </c>
      <c r="C9520" t="s">
        <v>211</v>
      </c>
      <c r="D9520" s="21" t="s">
        <v>34</v>
      </c>
      <c r="E9520" s="21" t="s">
        <v>71</v>
      </c>
      <c r="F9520">
        <v>7600005</v>
      </c>
      <c r="G9520" t="s">
        <v>2299</v>
      </c>
      <c r="H9520" s="21">
        <v>1010.67</v>
      </c>
    </row>
    <row r="9521" spans="1:8" customFormat="1" x14ac:dyDescent="0.25">
      <c r="A9521" t="str">
        <f>"5018477"</f>
        <v>5018477</v>
      </c>
      <c r="B9521" t="s">
        <v>8857</v>
      </c>
      <c r="C9521" t="s">
        <v>9698</v>
      </c>
      <c r="D9521" s="21" t="s">
        <v>34</v>
      </c>
      <c r="E9521" s="21" t="s">
        <v>35</v>
      </c>
      <c r="F9521">
        <v>9500059</v>
      </c>
      <c r="G9521" t="s">
        <v>26714</v>
      </c>
      <c r="H9521" s="21">
        <v>1010.67</v>
      </c>
    </row>
    <row r="9522" spans="1:8" customFormat="1" x14ac:dyDescent="0.25">
      <c r="A9522" t="str">
        <f>"6015201"</f>
        <v>6015201</v>
      </c>
      <c r="B9522" t="s">
        <v>9333</v>
      </c>
      <c r="C9522" t="s">
        <v>462</v>
      </c>
      <c r="D9522" s="21" t="s">
        <v>34</v>
      </c>
      <c r="E9522" s="21" t="s">
        <v>254</v>
      </c>
      <c r="F9522">
        <v>7600117</v>
      </c>
      <c r="G9522" t="s">
        <v>9823</v>
      </c>
      <c r="H9522" s="21">
        <v>1010.67</v>
      </c>
    </row>
    <row r="9523" spans="1:8" customFormat="1" x14ac:dyDescent="0.25">
      <c r="A9523" t="str">
        <f>"67406"</f>
        <v>67406</v>
      </c>
      <c r="B9523" t="s">
        <v>9236</v>
      </c>
      <c r="C9523" t="s">
        <v>4842</v>
      </c>
      <c r="D9523" s="21" t="s">
        <v>34</v>
      </c>
      <c r="E9523" s="21" t="s">
        <v>1089</v>
      </c>
      <c r="F9523">
        <v>6670027</v>
      </c>
      <c r="G9523" t="s">
        <v>2791</v>
      </c>
      <c r="H9523" s="21">
        <v>1010.67</v>
      </c>
    </row>
    <row r="9524" spans="1:8" customFormat="1" x14ac:dyDescent="0.25">
      <c r="A9524" t="str">
        <f>"9131046"</f>
        <v>9131046</v>
      </c>
      <c r="B9524" t="s">
        <v>9297</v>
      </c>
      <c r="C9524" t="s">
        <v>3497</v>
      </c>
      <c r="D9524" s="21" t="s">
        <v>34</v>
      </c>
      <c r="E9524" s="21" t="s">
        <v>71</v>
      </c>
      <c r="F9524">
        <v>8910042</v>
      </c>
      <c r="G9524" t="s">
        <v>4009</v>
      </c>
      <c r="H9524" s="21">
        <v>1010.67</v>
      </c>
    </row>
    <row r="9525" spans="1:8" customFormat="1" x14ac:dyDescent="0.25">
      <c r="A9525" t="str">
        <f>"54327"</f>
        <v>54327</v>
      </c>
      <c r="B9525" t="s">
        <v>8754</v>
      </c>
      <c r="C9525" t="s">
        <v>1146</v>
      </c>
      <c r="D9525" s="21" t="s">
        <v>34</v>
      </c>
      <c r="E9525" s="21" t="s">
        <v>1089</v>
      </c>
      <c r="F9525">
        <v>6540184</v>
      </c>
      <c r="G9525" t="s">
        <v>4395</v>
      </c>
      <c r="H9525" s="21">
        <v>1010.67</v>
      </c>
    </row>
    <row r="9526" spans="1:8" customFormat="1" x14ac:dyDescent="0.25">
      <c r="A9526" t="str">
        <f>"6015373"</f>
        <v>6015373</v>
      </c>
      <c r="B9526" t="s">
        <v>9114</v>
      </c>
      <c r="C9526" t="s">
        <v>139</v>
      </c>
      <c r="D9526" s="21" t="s">
        <v>34</v>
      </c>
      <c r="E9526" s="21" t="s">
        <v>35</v>
      </c>
      <c r="F9526">
        <v>7600016</v>
      </c>
      <c r="G9526" t="s">
        <v>6215</v>
      </c>
      <c r="H9526" s="21">
        <v>1010.67</v>
      </c>
    </row>
    <row r="9527" spans="1:8" customFormat="1" x14ac:dyDescent="0.25">
      <c r="A9527" t="str">
        <f>"084697"</f>
        <v>084697</v>
      </c>
      <c r="B9527" t="s">
        <v>10865</v>
      </c>
      <c r="C9527" t="s">
        <v>656</v>
      </c>
      <c r="D9527" s="21" t="s">
        <v>34</v>
      </c>
      <c r="E9527" s="21" t="s">
        <v>35</v>
      </c>
      <c r="F9527">
        <v>6080072</v>
      </c>
      <c r="G9527" t="s">
        <v>6765</v>
      </c>
      <c r="H9527" s="21">
        <v>1010.42</v>
      </c>
    </row>
    <row r="9528" spans="1:8" customFormat="1" x14ac:dyDescent="0.25">
      <c r="A9528" t="str">
        <f>"5425776"</f>
        <v>5425776</v>
      </c>
      <c r="B9528" t="s">
        <v>9274</v>
      </c>
      <c r="C9528" t="s">
        <v>109</v>
      </c>
      <c r="D9528" s="21" t="s">
        <v>34</v>
      </c>
      <c r="E9528" s="21" t="s">
        <v>35</v>
      </c>
      <c r="F9528">
        <v>6540088</v>
      </c>
      <c r="G9528" t="s">
        <v>2108</v>
      </c>
      <c r="H9528" s="21">
        <v>1010.42</v>
      </c>
    </row>
    <row r="9529" spans="1:8" customFormat="1" x14ac:dyDescent="0.25">
      <c r="A9529" t="str">
        <f>"679529"</f>
        <v>679529</v>
      </c>
      <c r="B9529" t="s">
        <v>9394</v>
      </c>
      <c r="C9529" t="s">
        <v>169</v>
      </c>
      <c r="D9529" s="21" t="s">
        <v>34</v>
      </c>
      <c r="E9529" s="21" t="s">
        <v>71</v>
      </c>
      <c r="F9529">
        <v>6670122</v>
      </c>
      <c r="G9529" t="s">
        <v>3126</v>
      </c>
      <c r="H9529" s="21">
        <v>1010.42</v>
      </c>
    </row>
    <row r="9530" spans="1:8" customFormat="1" x14ac:dyDescent="0.25">
      <c r="A9530" t="str">
        <f>"492091"</f>
        <v>492091</v>
      </c>
      <c r="B9530" t="s">
        <v>8689</v>
      </c>
      <c r="C9530" t="s">
        <v>2520</v>
      </c>
      <c r="D9530" s="21" t="s">
        <v>34</v>
      </c>
      <c r="E9530" s="21" t="s">
        <v>254</v>
      </c>
      <c r="F9530">
        <v>12490092</v>
      </c>
      <c r="G9530" t="s">
        <v>1854</v>
      </c>
      <c r="H9530" s="21">
        <v>1010.42</v>
      </c>
    </row>
    <row r="9531" spans="1:8" customFormat="1" x14ac:dyDescent="0.25">
      <c r="A9531" t="str">
        <f>"9510770"</f>
        <v>9510770</v>
      </c>
      <c r="B9531" t="s">
        <v>5000</v>
      </c>
      <c r="C9531" t="s">
        <v>2907</v>
      </c>
      <c r="D9531" s="21" t="s">
        <v>34</v>
      </c>
      <c r="E9531" s="21" t="s">
        <v>254</v>
      </c>
      <c r="F9531">
        <v>8950103</v>
      </c>
      <c r="G9531" t="s">
        <v>440</v>
      </c>
      <c r="H9531" s="21">
        <v>1010.17</v>
      </c>
    </row>
    <row r="9532" spans="1:8" customFormat="1" x14ac:dyDescent="0.25">
      <c r="A9532" t="str">
        <f>"9134676"</f>
        <v>9134676</v>
      </c>
      <c r="B9532" t="s">
        <v>8466</v>
      </c>
      <c r="C9532" t="s">
        <v>1025</v>
      </c>
      <c r="D9532" s="21" t="s">
        <v>34</v>
      </c>
      <c r="E9532" s="21" t="s">
        <v>71</v>
      </c>
      <c r="F9532">
        <v>8910652</v>
      </c>
      <c r="G9532" t="s">
        <v>6533</v>
      </c>
      <c r="H9532" s="21">
        <v>1010.17</v>
      </c>
    </row>
    <row r="9533" spans="1:8" customFormat="1" x14ac:dyDescent="0.25">
      <c r="A9533" t="str">
        <f>"26282"</f>
        <v>26282</v>
      </c>
      <c r="B9533" t="s">
        <v>8520</v>
      </c>
      <c r="C9533" t="s">
        <v>60</v>
      </c>
      <c r="D9533" s="21" t="s">
        <v>34</v>
      </c>
      <c r="E9533" s="21" t="s">
        <v>71</v>
      </c>
      <c r="F9533">
        <v>1260071</v>
      </c>
      <c r="G9533" t="s">
        <v>798</v>
      </c>
      <c r="H9533" s="21">
        <v>1010.17</v>
      </c>
    </row>
    <row r="9534" spans="1:8" customFormat="1" x14ac:dyDescent="0.25">
      <c r="A9534" t="str">
        <f>"213224"</f>
        <v>213224</v>
      </c>
      <c r="B9534" t="s">
        <v>9716</v>
      </c>
      <c r="C9534" t="s">
        <v>1588</v>
      </c>
      <c r="D9534" s="21" t="s">
        <v>34</v>
      </c>
      <c r="E9534" s="21" t="s">
        <v>71</v>
      </c>
      <c r="F9534">
        <v>2210089</v>
      </c>
      <c r="G9534" t="s">
        <v>6144</v>
      </c>
      <c r="H9534" s="21">
        <v>1010.17</v>
      </c>
    </row>
    <row r="9535" spans="1:8" customFormat="1" x14ac:dyDescent="0.25">
      <c r="A9535" t="str">
        <f>"4513793"</f>
        <v>4513793</v>
      </c>
      <c r="B9535" t="s">
        <v>6418</v>
      </c>
      <c r="C9535" t="s">
        <v>87</v>
      </c>
      <c r="D9535" s="21" t="s">
        <v>34</v>
      </c>
      <c r="E9535" s="21" t="s">
        <v>71</v>
      </c>
      <c r="F9535">
        <v>4450417</v>
      </c>
      <c r="G9535" t="s">
        <v>2284</v>
      </c>
      <c r="H9535" s="21">
        <v>1010.17</v>
      </c>
    </row>
    <row r="9536" spans="1:8" customFormat="1" x14ac:dyDescent="0.25">
      <c r="A9536" t="str">
        <f>"066808"</f>
        <v>066808</v>
      </c>
      <c r="B9536" t="s">
        <v>1347</v>
      </c>
      <c r="C9536" t="s">
        <v>249</v>
      </c>
      <c r="D9536" s="21" t="s">
        <v>34</v>
      </c>
      <c r="E9536" s="21" t="s">
        <v>71</v>
      </c>
      <c r="F9536">
        <v>13060031</v>
      </c>
      <c r="G9536" t="s">
        <v>9379</v>
      </c>
      <c r="H9536" s="21">
        <v>1010.17</v>
      </c>
    </row>
    <row r="9537" spans="1:8" customFormat="1" x14ac:dyDescent="0.25">
      <c r="A9537" t="str">
        <f>"5721507"</f>
        <v>5721507</v>
      </c>
      <c r="B9537" t="s">
        <v>9812</v>
      </c>
      <c r="C9537" t="s">
        <v>598</v>
      </c>
      <c r="D9537" s="21" t="s">
        <v>34</v>
      </c>
      <c r="E9537" s="21" t="s">
        <v>35</v>
      </c>
      <c r="F9537">
        <v>6570167</v>
      </c>
      <c r="G9537" t="s">
        <v>1174</v>
      </c>
      <c r="H9537" s="21">
        <v>1010.17</v>
      </c>
    </row>
    <row r="9538" spans="1:8" customFormat="1" x14ac:dyDescent="0.25">
      <c r="A9538" t="str">
        <f>"617762"</f>
        <v>617762</v>
      </c>
      <c r="B9538" t="s">
        <v>8923</v>
      </c>
      <c r="C9538" t="s">
        <v>8924</v>
      </c>
      <c r="D9538" s="21" t="s">
        <v>34</v>
      </c>
      <c r="E9538" s="21" t="s">
        <v>71</v>
      </c>
      <c r="F9538">
        <v>9610122</v>
      </c>
      <c r="G9538" t="s">
        <v>4349</v>
      </c>
      <c r="H9538" s="21">
        <v>1010.17</v>
      </c>
    </row>
    <row r="9539" spans="1:8" customFormat="1" x14ac:dyDescent="0.25">
      <c r="A9539" t="str">
        <f>"2712425"</f>
        <v>2712425</v>
      </c>
      <c r="B9539" t="s">
        <v>4162</v>
      </c>
      <c r="C9539" t="s">
        <v>1146</v>
      </c>
      <c r="D9539" s="21" t="s">
        <v>34</v>
      </c>
      <c r="E9539" s="21" t="s">
        <v>35</v>
      </c>
      <c r="F9539">
        <v>9270071</v>
      </c>
      <c r="G9539" t="s">
        <v>7815</v>
      </c>
      <c r="H9539" s="21">
        <v>1010.17</v>
      </c>
    </row>
    <row r="9540" spans="1:8" customFormat="1" x14ac:dyDescent="0.25">
      <c r="A9540" t="str">
        <f>"2515018"</f>
        <v>2515018</v>
      </c>
      <c r="B9540" t="s">
        <v>638</v>
      </c>
      <c r="C9540" t="s">
        <v>1714</v>
      </c>
      <c r="D9540" s="21" t="s">
        <v>34</v>
      </c>
      <c r="E9540" s="21" t="s">
        <v>71</v>
      </c>
      <c r="F9540">
        <v>2250070</v>
      </c>
      <c r="G9540" t="s">
        <v>3923</v>
      </c>
      <c r="H9540" s="21">
        <v>1010.17</v>
      </c>
    </row>
    <row r="9541" spans="1:8" customFormat="1" x14ac:dyDescent="0.25">
      <c r="A9541" t="str">
        <f>"617495"</f>
        <v>617495</v>
      </c>
      <c r="B9541" t="s">
        <v>7187</v>
      </c>
      <c r="C9541" t="s">
        <v>33</v>
      </c>
      <c r="D9541" s="21" t="s">
        <v>34</v>
      </c>
      <c r="E9541" s="21" t="s">
        <v>71</v>
      </c>
      <c r="F9541">
        <v>9610087</v>
      </c>
      <c r="G9541" t="s">
        <v>2661</v>
      </c>
      <c r="H9541" s="21">
        <v>1010.17</v>
      </c>
    </row>
    <row r="9542" spans="1:8" customFormat="1" x14ac:dyDescent="0.25">
      <c r="A9542" t="str">
        <f>"365781"</f>
        <v>365781</v>
      </c>
      <c r="B9542" t="s">
        <v>10006</v>
      </c>
      <c r="C9542" t="s">
        <v>119</v>
      </c>
      <c r="D9542" s="21" t="s">
        <v>34</v>
      </c>
      <c r="E9542" s="21" t="s">
        <v>35</v>
      </c>
      <c r="F9542">
        <v>4360315</v>
      </c>
      <c r="G9542" t="s">
        <v>6888</v>
      </c>
      <c r="H9542" s="21">
        <v>1010.17</v>
      </c>
    </row>
    <row r="9543" spans="1:8" customFormat="1" x14ac:dyDescent="0.25">
      <c r="A9543" t="str">
        <f>"2610481"</f>
        <v>2610481</v>
      </c>
      <c r="B9543" t="s">
        <v>9845</v>
      </c>
      <c r="C9543" t="s">
        <v>598</v>
      </c>
      <c r="D9543" s="21" t="s">
        <v>34</v>
      </c>
      <c r="E9543" s="21" t="s">
        <v>71</v>
      </c>
      <c r="F9543">
        <v>1260010</v>
      </c>
      <c r="G9543" t="s">
        <v>3944</v>
      </c>
      <c r="H9543" s="21">
        <v>1010.17</v>
      </c>
    </row>
    <row r="9544" spans="1:8" customFormat="1" x14ac:dyDescent="0.25">
      <c r="A9544" t="str">
        <f>"4520787"</f>
        <v>4520787</v>
      </c>
      <c r="B9544" t="s">
        <v>9448</v>
      </c>
      <c r="C9544" t="s">
        <v>124</v>
      </c>
      <c r="D9544" s="21" t="s">
        <v>34</v>
      </c>
      <c r="E9544" s="21" t="s">
        <v>35</v>
      </c>
      <c r="F9544">
        <v>4450712</v>
      </c>
      <c r="G9544" t="s">
        <v>9449</v>
      </c>
      <c r="H9544" s="21">
        <v>1009.92</v>
      </c>
    </row>
    <row r="9545" spans="1:8" customFormat="1" x14ac:dyDescent="0.25">
      <c r="A9545" t="str">
        <f>"19530"</f>
        <v>19530</v>
      </c>
      <c r="B9545" t="s">
        <v>27110</v>
      </c>
      <c r="C9545" t="s">
        <v>121</v>
      </c>
      <c r="D9545" s="21" t="s">
        <v>34</v>
      </c>
      <c r="E9545" s="21" t="s">
        <v>71</v>
      </c>
      <c r="F9545">
        <v>10190080</v>
      </c>
      <c r="G9545" t="s">
        <v>1726</v>
      </c>
      <c r="H9545" s="21">
        <v>1009.8</v>
      </c>
    </row>
    <row r="9546" spans="1:8" customFormat="1" x14ac:dyDescent="0.25">
      <c r="A9546" t="str">
        <f>"087614"</f>
        <v>087614</v>
      </c>
      <c r="B9546" t="s">
        <v>10360</v>
      </c>
      <c r="C9546" t="s">
        <v>328</v>
      </c>
      <c r="D9546" s="21" t="s">
        <v>34</v>
      </c>
      <c r="E9546" s="21" t="s">
        <v>35</v>
      </c>
      <c r="F9546">
        <v>6080029</v>
      </c>
      <c r="G9546" t="s">
        <v>6788</v>
      </c>
      <c r="H9546" s="21">
        <v>1009.8</v>
      </c>
    </row>
    <row r="9547" spans="1:8" customFormat="1" x14ac:dyDescent="0.25">
      <c r="A9547" t="str">
        <f>"225555"</f>
        <v>225555</v>
      </c>
      <c r="B9547" t="s">
        <v>5456</v>
      </c>
      <c r="C9547" t="s">
        <v>3098</v>
      </c>
      <c r="D9547" s="21" t="s">
        <v>34</v>
      </c>
      <c r="E9547" s="21" t="s">
        <v>254</v>
      </c>
      <c r="F9547">
        <v>3220002</v>
      </c>
      <c r="G9547" t="s">
        <v>26727</v>
      </c>
      <c r="H9547" s="21">
        <v>1009.67</v>
      </c>
    </row>
    <row r="9548" spans="1:8" customFormat="1" x14ac:dyDescent="0.25">
      <c r="A9548" t="str">
        <f>"78610"</f>
        <v>78610</v>
      </c>
      <c r="B9548" t="s">
        <v>9561</v>
      </c>
      <c r="C9548" t="s">
        <v>1299</v>
      </c>
      <c r="D9548" s="21" t="s">
        <v>34</v>
      </c>
      <c r="E9548" s="21" t="s">
        <v>71</v>
      </c>
      <c r="F9548">
        <v>8780224</v>
      </c>
      <c r="G9548" t="s">
        <v>8599</v>
      </c>
      <c r="H9548" s="21">
        <v>1009.67</v>
      </c>
    </row>
    <row r="9549" spans="1:8" customFormat="1" x14ac:dyDescent="0.25">
      <c r="A9549" t="str">
        <f>"019388"</f>
        <v>019388</v>
      </c>
      <c r="B9549" t="s">
        <v>8379</v>
      </c>
      <c r="C9549" t="s">
        <v>121</v>
      </c>
      <c r="D9549" s="21" t="s">
        <v>34</v>
      </c>
      <c r="E9549" s="21" t="s">
        <v>35</v>
      </c>
      <c r="F9549">
        <v>1690023</v>
      </c>
      <c r="G9549" t="s">
        <v>647</v>
      </c>
      <c r="H9549" s="21">
        <v>1009.67</v>
      </c>
    </row>
    <row r="9550" spans="1:8" customFormat="1" x14ac:dyDescent="0.25">
      <c r="A9550" t="str">
        <f>"2911380"</f>
        <v>2911380</v>
      </c>
      <c r="B9550" t="s">
        <v>9300</v>
      </c>
      <c r="C9550" t="s">
        <v>3355</v>
      </c>
      <c r="D9550" s="21" t="s">
        <v>34</v>
      </c>
      <c r="E9550" s="21" t="s">
        <v>35</v>
      </c>
      <c r="F9550">
        <v>3350060</v>
      </c>
      <c r="G9550" t="s">
        <v>38</v>
      </c>
      <c r="H9550" s="21">
        <v>1009.67</v>
      </c>
    </row>
    <row r="9551" spans="1:8" customFormat="1" x14ac:dyDescent="0.25">
      <c r="A9551" t="str">
        <f>"322362"</f>
        <v>322362</v>
      </c>
      <c r="B9551" t="s">
        <v>8348</v>
      </c>
      <c r="C9551" t="s">
        <v>55</v>
      </c>
      <c r="D9551" s="21" t="s">
        <v>34</v>
      </c>
      <c r="E9551" s="21" t="s">
        <v>35</v>
      </c>
      <c r="F9551">
        <v>3560022</v>
      </c>
      <c r="G9551" t="s">
        <v>2547</v>
      </c>
      <c r="H9551" s="21">
        <v>1009.67</v>
      </c>
    </row>
    <row r="9552" spans="1:8" customFormat="1" x14ac:dyDescent="0.25">
      <c r="A9552" t="str">
        <f>"5931685"</f>
        <v>5931685</v>
      </c>
      <c r="B9552" t="s">
        <v>9253</v>
      </c>
      <c r="C9552" t="s">
        <v>124</v>
      </c>
      <c r="D9552" s="21" t="s">
        <v>34</v>
      </c>
      <c r="E9552" s="21" t="s">
        <v>71</v>
      </c>
      <c r="F9552">
        <v>7590251</v>
      </c>
      <c r="G9552" t="s">
        <v>9254</v>
      </c>
      <c r="H9552" s="21">
        <v>1009.67</v>
      </c>
    </row>
    <row r="9553" spans="1:8" customFormat="1" x14ac:dyDescent="0.25">
      <c r="A9553" t="str">
        <f>"5316876"</f>
        <v>5316876</v>
      </c>
      <c r="B9553" t="s">
        <v>9141</v>
      </c>
      <c r="C9553" t="s">
        <v>598</v>
      </c>
      <c r="D9553" s="21" t="s">
        <v>34</v>
      </c>
      <c r="E9553" s="21" t="s">
        <v>71</v>
      </c>
      <c r="F9553">
        <v>12530068</v>
      </c>
      <c r="G9553" t="s">
        <v>5165</v>
      </c>
      <c r="H9553" s="21">
        <v>1009.67</v>
      </c>
    </row>
    <row r="9554" spans="1:8" customFormat="1" x14ac:dyDescent="0.25">
      <c r="A9554" t="str">
        <f>"9429730"</f>
        <v>9429730</v>
      </c>
      <c r="B9554" t="s">
        <v>10166</v>
      </c>
      <c r="C9554" t="s">
        <v>10167</v>
      </c>
      <c r="D9554" s="21" t="s">
        <v>34</v>
      </c>
      <c r="E9554" s="21" t="s">
        <v>71</v>
      </c>
      <c r="F9554">
        <v>8940655</v>
      </c>
      <c r="G9554" t="s">
        <v>10168</v>
      </c>
      <c r="H9554" s="21">
        <v>1009.67</v>
      </c>
    </row>
    <row r="9555" spans="1:8" customFormat="1" x14ac:dyDescent="0.25">
      <c r="A9555" t="str">
        <f>"6315033"</f>
        <v>6315033</v>
      </c>
      <c r="B9555" t="s">
        <v>4834</v>
      </c>
      <c r="C9555" t="s">
        <v>209</v>
      </c>
      <c r="D9555" s="21" t="s">
        <v>34</v>
      </c>
      <c r="E9555" s="21" t="s">
        <v>71</v>
      </c>
      <c r="F9555">
        <v>1630054</v>
      </c>
      <c r="G9555" t="s">
        <v>2512</v>
      </c>
      <c r="H9555" s="21">
        <v>1009.67</v>
      </c>
    </row>
    <row r="9556" spans="1:8" customFormat="1" x14ac:dyDescent="0.25">
      <c r="A9556" t="str">
        <f>"7830586"</f>
        <v>7830586</v>
      </c>
      <c r="B9556" t="s">
        <v>4449</v>
      </c>
      <c r="C9556" t="s">
        <v>6553</v>
      </c>
      <c r="D9556" s="21" t="s">
        <v>34</v>
      </c>
      <c r="E9556" s="21" t="s">
        <v>35</v>
      </c>
      <c r="F9556">
        <v>4280632</v>
      </c>
      <c r="G9556" t="s">
        <v>6825</v>
      </c>
      <c r="H9556" s="21">
        <v>1009.67</v>
      </c>
    </row>
    <row r="9557" spans="1:8" customFormat="1" x14ac:dyDescent="0.25">
      <c r="A9557" t="str">
        <f>"832663"</f>
        <v>832663</v>
      </c>
      <c r="B9557" t="s">
        <v>9073</v>
      </c>
      <c r="C9557" t="s">
        <v>55</v>
      </c>
      <c r="D9557" s="21" t="s">
        <v>34</v>
      </c>
      <c r="E9557" s="21" t="s">
        <v>35</v>
      </c>
      <c r="F9557">
        <v>13830062</v>
      </c>
      <c r="G9557" t="s">
        <v>9074</v>
      </c>
      <c r="H9557" s="21">
        <v>1009.67</v>
      </c>
    </row>
    <row r="9558" spans="1:8" customFormat="1" x14ac:dyDescent="0.25">
      <c r="A9558" t="str">
        <f>"562357"</f>
        <v>562357</v>
      </c>
      <c r="B9558" t="s">
        <v>517</v>
      </c>
      <c r="C9558" t="s">
        <v>263</v>
      </c>
      <c r="D9558" s="21" t="s">
        <v>34</v>
      </c>
      <c r="E9558" s="21" t="s">
        <v>71</v>
      </c>
      <c r="F9558">
        <v>3560033</v>
      </c>
      <c r="G9558" t="s">
        <v>4927</v>
      </c>
      <c r="H9558" s="21">
        <v>1009.67</v>
      </c>
    </row>
    <row r="9559" spans="1:8" customFormat="1" x14ac:dyDescent="0.25">
      <c r="A9559" t="str">
        <f>"591755"</f>
        <v>591755</v>
      </c>
      <c r="B9559" t="s">
        <v>9646</v>
      </c>
      <c r="C9559" t="s">
        <v>1142</v>
      </c>
      <c r="D9559" s="21" t="s">
        <v>34</v>
      </c>
      <c r="E9559" s="21" t="s">
        <v>1089</v>
      </c>
      <c r="F9559">
        <v>7590074</v>
      </c>
      <c r="G9559" t="s">
        <v>1992</v>
      </c>
      <c r="H9559" s="21">
        <v>1009.67</v>
      </c>
    </row>
    <row r="9560" spans="1:8" customFormat="1" x14ac:dyDescent="0.25">
      <c r="A9560" t="str">
        <f>"5926238"</f>
        <v>5926238</v>
      </c>
      <c r="B9560" t="s">
        <v>7933</v>
      </c>
      <c r="C9560" t="s">
        <v>60</v>
      </c>
      <c r="D9560" s="21" t="s">
        <v>34</v>
      </c>
      <c r="E9560" s="21" t="s">
        <v>35</v>
      </c>
      <c r="F9560">
        <v>7590281</v>
      </c>
      <c r="G9560" t="s">
        <v>7165</v>
      </c>
      <c r="H9560" s="21">
        <v>1009.67</v>
      </c>
    </row>
    <row r="9561" spans="1:8" customFormat="1" x14ac:dyDescent="0.25">
      <c r="A9561" t="str">
        <f>"39428"</f>
        <v>39428</v>
      </c>
      <c r="B9561" t="s">
        <v>8952</v>
      </c>
      <c r="C9561" t="s">
        <v>169</v>
      </c>
      <c r="D9561" s="21" t="s">
        <v>34</v>
      </c>
      <c r="E9561" s="21" t="s">
        <v>71</v>
      </c>
      <c r="F9561">
        <v>2390095</v>
      </c>
      <c r="G9561" t="s">
        <v>2676</v>
      </c>
      <c r="H9561" s="21">
        <v>1009.67</v>
      </c>
    </row>
    <row r="9562" spans="1:8" customFormat="1" x14ac:dyDescent="0.25">
      <c r="A9562" t="str">
        <f>"722199"</f>
        <v>722199</v>
      </c>
      <c r="B9562" t="s">
        <v>9940</v>
      </c>
      <c r="C9562" t="s">
        <v>209</v>
      </c>
      <c r="D9562" s="21" t="s">
        <v>34</v>
      </c>
      <c r="E9562" s="21" t="s">
        <v>71</v>
      </c>
      <c r="F9562">
        <v>12720084</v>
      </c>
      <c r="G9562" t="s">
        <v>7532</v>
      </c>
      <c r="H9562" s="21">
        <v>1009.67</v>
      </c>
    </row>
    <row r="9563" spans="1:8" customFormat="1" x14ac:dyDescent="0.25">
      <c r="A9563" t="str">
        <f>"62608"</f>
        <v>62608</v>
      </c>
      <c r="B9563" t="s">
        <v>5785</v>
      </c>
      <c r="C9563" t="s">
        <v>7356</v>
      </c>
      <c r="D9563" s="21" t="s">
        <v>34</v>
      </c>
      <c r="E9563" s="21" t="s">
        <v>254</v>
      </c>
      <c r="F9563">
        <v>7620181</v>
      </c>
      <c r="G9563" t="s">
        <v>2268</v>
      </c>
      <c r="H9563" s="21">
        <v>1009.55</v>
      </c>
    </row>
    <row r="9564" spans="1:8" customFormat="1" x14ac:dyDescent="0.25">
      <c r="A9564" t="str">
        <f>"4914763"</f>
        <v>4914763</v>
      </c>
      <c r="B9564" t="s">
        <v>3096</v>
      </c>
      <c r="C9564" t="s">
        <v>55</v>
      </c>
      <c r="D9564" s="21" t="s">
        <v>34</v>
      </c>
      <c r="E9564" s="21" t="s">
        <v>71</v>
      </c>
      <c r="F9564">
        <v>12490043</v>
      </c>
      <c r="G9564" t="s">
        <v>6008</v>
      </c>
      <c r="H9564" s="21">
        <v>1009.54</v>
      </c>
    </row>
    <row r="9565" spans="1:8" customFormat="1" x14ac:dyDescent="0.25">
      <c r="A9565" t="str">
        <f>"9139297"</f>
        <v>9139297</v>
      </c>
      <c r="B9565" t="s">
        <v>11951</v>
      </c>
      <c r="C9565" t="s">
        <v>60</v>
      </c>
      <c r="D9565" s="21" t="s">
        <v>34</v>
      </c>
      <c r="E9565" s="21" t="s">
        <v>35</v>
      </c>
      <c r="F9565">
        <v>8910402</v>
      </c>
      <c r="G9565" t="s">
        <v>1371</v>
      </c>
      <c r="H9565" s="21">
        <v>1009.54</v>
      </c>
    </row>
    <row r="9566" spans="1:8" customFormat="1" x14ac:dyDescent="0.25">
      <c r="A9566" t="str">
        <f>"4435995"</f>
        <v>4435995</v>
      </c>
      <c r="B9566" t="s">
        <v>2690</v>
      </c>
      <c r="C9566" t="s">
        <v>262</v>
      </c>
      <c r="D9566" s="21" t="s">
        <v>34</v>
      </c>
      <c r="E9566" s="21" t="s">
        <v>35</v>
      </c>
      <c r="F9566">
        <v>12440158</v>
      </c>
      <c r="G9566" t="s">
        <v>9695</v>
      </c>
      <c r="H9566" s="21">
        <v>1009.42</v>
      </c>
    </row>
    <row r="9567" spans="1:8" customFormat="1" x14ac:dyDescent="0.25">
      <c r="A9567" t="str">
        <f>"954186"</f>
        <v>954186</v>
      </c>
      <c r="B9567" t="s">
        <v>9844</v>
      </c>
      <c r="C9567" t="s">
        <v>124</v>
      </c>
      <c r="D9567" s="21" t="s">
        <v>34</v>
      </c>
      <c r="E9567" s="21" t="s">
        <v>71</v>
      </c>
      <c r="F9567">
        <v>8940052</v>
      </c>
      <c r="G9567" t="s">
        <v>190</v>
      </c>
      <c r="H9567" s="21">
        <v>1009.42</v>
      </c>
    </row>
    <row r="9568" spans="1:8" customFormat="1" x14ac:dyDescent="0.25">
      <c r="A9568" t="str">
        <f>"7877228"</f>
        <v>7877228</v>
      </c>
      <c r="B9568" t="s">
        <v>13623</v>
      </c>
      <c r="C9568" t="s">
        <v>13624</v>
      </c>
      <c r="D9568" s="21" t="s">
        <v>34</v>
      </c>
      <c r="E9568" s="21" t="s">
        <v>35</v>
      </c>
      <c r="F9568">
        <v>8781475</v>
      </c>
      <c r="G9568" t="s">
        <v>7589</v>
      </c>
      <c r="H9568" s="21">
        <v>1009.42</v>
      </c>
    </row>
    <row r="9569" spans="1:8" customFormat="1" x14ac:dyDescent="0.25">
      <c r="A9569" t="str">
        <f>"321855"</f>
        <v>321855</v>
      </c>
      <c r="B9569" t="s">
        <v>8130</v>
      </c>
      <c r="C9569" t="s">
        <v>253</v>
      </c>
      <c r="D9569" s="21" t="s">
        <v>34</v>
      </c>
      <c r="E9569" s="21" t="s">
        <v>254</v>
      </c>
      <c r="F9569">
        <v>11320031</v>
      </c>
      <c r="G9569" t="s">
        <v>5237</v>
      </c>
      <c r="H9569" s="21">
        <v>1009.17</v>
      </c>
    </row>
    <row r="9570" spans="1:8" customFormat="1" x14ac:dyDescent="0.25">
      <c r="A9570" t="str">
        <f>"93591"</f>
        <v>93591</v>
      </c>
      <c r="B9570" t="s">
        <v>10069</v>
      </c>
      <c r="C9570" t="s">
        <v>263</v>
      </c>
      <c r="D9570" s="21" t="s">
        <v>34</v>
      </c>
      <c r="E9570" s="21" t="s">
        <v>254</v>
      </c>
      <c r="F9570">
        <v>8770166</v>
      </c>
      <c r="G9570" t="s">
        <v>653</v>
      </c>
      <c r="H9570" s="21">
        <v>1009.17</v>
      </c>
    </row>
    <row r="9571" spans="1:8" customFormat="1" x14ac:dyDescent="0.25">
      <c r="A9571" t="str">
        <f>"1417937"</f>
        <v>1417937</v>
      </c>
      <c r="B9571" t="s">
        <v>9585</v>
      </c>
      <c r="C9571" t="s">
        <v>275</v>
      </c>
      <c r="D9571" s="21" t="s">
        <v>34</v>
      </c>
      <c r="E9571" s="21" t="s">
        <v>35</v>
      </c>
      <c r="F9571">
        <v>9140078</v>
      </c>
      <c r="G9571" t="s">
        <v>1920</v>
      </c>
      <c r="H9571" s="21">
        <v>1009.17</v>
      </c>
    </row>
    <row r="9572" spans="1:8" customFormat="1" x14ac:dyDescent="0.25">
      <c r="A9572" t="str">
        <f>"9134639"</f>
        <v>9134639</v>
      </c>
      <c r="B9572" t="s">
        <v>890</v>
      </c>
      <c r="C9572" t="s">
        <v>40</v>
      </c>
      <c r="D9572" s="21" t="s">
        <v>34</v>
      </c>
      <c r="E9572" s="21" t="s">
        <v>71</v>
      </c>
      <c r="F9572">
        <v>8911083</v>
      </c>
      <c r="G9572" t="s">
        <v>7357</v>
      </c>
      <c r="H9572" s="21">
        <v>1009.17</v>
      </c>
    </row>
    <row r="9573" spans="1:8" customFormat="1" x14ac:dyDescent="0.25">
      <c r="A9573" t="str">
        <f>"2716071"</f>
        <v>2716071</v>
      </c>
      <c r="B9573" t="s">
        <v>3890</v>
      </c>
      <c r="C9573" t="s">
        <v>55</v>
      </c>
      <c r="D9573" s="21" t="s">
        <v>34</v>
      </c>
      <c r="E9573" s="21" t="s">
        <v>35</v>
      </c>
      <c r="F9573">
        <v>9270185</v>
      </c>
      <c r="G9573" t="s">
        <v>9160</v>
      </c>
      <c r="H9573" s="21">
        <v>1009.17</v>
      </c>
    </row>
    <row r="9574" spans="1:8" customFormat="1" x14ac:dyDescent="0.25">
      <c r="A9574" t="str">
        <f>"85988"</f>
        <v>85988</v>
      </c>
      <c r="B9574" t="s">
        <v>10225</v>
      </c>
      <c r="C9574" t="s">
        <v>262</v>
      </c>
      <c r="D9574" s="21" t="s">
        <v>34</v>
      </c>
      <c r="E9574" s="21" t="s">
        <v>71</v>
      </c>
      <c r="F9574">
        <v>12850028</v>
      </c>
      <c r="G9574" t="s">
        <v>1700</v>
      </c>
      <c r="H9574" s="21">
        <v>1009.17</v>
      </c>
    </row>
    <row r="9575" spans="1:8" customFormat="1" x14ac:dyDescent="0.25">
      <c r="A9575" t="str">
        <f>"85607"</f>
        <v>85607</v>
      </c>
      <c r="B9575" t="s">
        <v>8898</v>
      </c>
      <c r="C9575" t="s">
        <v>114</v>
      </c>
      <c r="D9575" s="21" t="s">
        <v>34</v>
      </c>
      <c r="E9575" s="21" t="s">
        <v>71</v>
      </c>
      <c r="F9575">
        <v>12850026</v>
      </c>
      <c r="G9575" t="s">
        <v>1400</v>
      </c>
      <c r="H9575" s="21">
        <v>1009.17</v>
      </c>
    </row>
    <row r="9576" spans="1:8" customFormat="1" x14ac:dyDescent="0.25">
      <c r="A9576" t="str">
        <f>"6937236"</f>
        <v>6937236</v>
      </c>
      <c r="B9576" t="s">
        <v>10659</v>
      </c>
      <c r="C9576" t="s">
        <v>144</v>
      </c>
      <c r="D9576" s="21" t="s">
        <v>34</v>
      </c>
      <c r="E9576" s="21" t="s">
        <v>35</v>
      </c>
      <c r="F9576">
        <v>1420165</v>
      </c>
      <c r="G9576" t="s">
        <v>27111</v>
      </c>
      <c r="H9576" s="21">
        <v>1009.05</v>
      </c>
    </row>
    <row r="9577" spans="1:8" customFormat="1" x14ac:dyDescent="0.25">
      <c r="A9577" t="str">
        <f>"721216"</f>
        <v>721216</v>
      </c>
      <c r="B9577" t="s">
        <v>5155</v>
      </c>
      <c r="C9577" t="s">
        <v>288</v>
      </c>
      <c r="D9577" s="21" t="s">
        <v>34</v>
      </c>
      <c r="E9577" s="21" t="s">
        <v>71</v>
      </c>
      <c r="F9577">
        <v>12720084</v>
      </c>
      <c r="G9577" t="s">
        <v>7532</v>
      </c>
      <c r="H9577" s="21">
        <v>1009</v>
      </c>
    </row>
    <row r="9578" spans="1:8" customFormat="1" x14ac:dyDescent="0.25">
      <c r="A9578" t="str">
        <f>"1416980"</f>
        <v>1416980</v>
      </c>
      <c r="B9578" t="s">
        <v>10051</v>
      </c>
      <c r="C9578" t="s">
        <v>10052</v>
      </c>
      <c r="D9578" s="21" t="s">
        <v>34</v>
      </c>
      <c r="E9578" s="21" t="s">
        <v>71</v>
      </c>
      <c r="F9578">
        <v>13060114</v>
      </c>
      <c r="G9578" t="s">
        <v>4501</v>
      </c>
      <c r="H9578" s="21">
        <v>1009</v>
      </c>
    </row>
    <row r="9579" spans="1:8" customFormat="1" x14ac:dyDescent="0.25">
      <c r="A9579" t="str">
        <f>"524051"</f>
        <v>524051</v>
      </c>
      <c r="B9579" t="s">
        <v>9572</v>
      </c>
      <c r="C9579" t="s">
        <v>114</v>
      </c>
      <c r="D9579" s="21" t="s">
        <v>34</v>
      </c>
      <c r="E9579" s="21" t="s">
        <v>254</v>
      </c>
      <c r="F9579">
        <v>6520003</v>
      </c>
      <c r="G9579" t="s">
        <v>571</v>
      </c>
      <c r="H9579" s="21">
        <v>1008.67</v>
      </c>
    </row>
    <row r="9580" spans="1:8" customFormat="1" x14ac:dyDescent="0.25">
      <c r="A9580" t="str">
        <f>"539996"</f>
        <v>539996</v>
      </c>
      <c r="B9580" t="s">
        <v>9305</v>
      </c>
      <c r="C9580" t="s">
        <v>462</v>
      </c>
      <c r="D9580" s="21" t="s">
        <v>34</v>
      </c>
      <c r="E9580" s="21" t="s">
        <v>35</v>
      </c>
      <c r="F9580">
        <v>12530049</v>
      </c>
      <c r="G9580" t="s">
        <v>9306</v>
      </c>
      <c r="H9580" s="21">
        <v>1008.67</v>
      </c>
    </row>
    <row r="9581" spans="1:8" customFormat="1" x14ac:dyDescent="0.25">
      <c r="A9581" t="str">
        <f>"9235822"</f>
        <v>9235822</v>
      </c>
      <c r="B9581" t="s">
        <v>435</v>
      </c>
      <c r="C9581" t="s">
        <v>263</v>
      </c>
      <c r="D9581" s="21" t="s">
        <v>34</v>
      </c>
      <c r="E9581" s="21" t="s">
        <v>35</v>
      </c>
      <c r="F9581">
        <v>4370425</v>
      </c>
      <c r="G9581" t="s">
        <v>7812</v>
      </c>
      <c r="H9581" s="21">
        <v>1008.67</v>
      </c>
    </row>
    <row r="9582" spans="1:8" customFormat="1" x14ac:dyDescent="0.25">
      <c r="A9582" t="str">
        <f>"5931597"</f>
        <v>5931597</v>
      </c>
      <c r="B9582" t="s">
        <v>1106</v>
      </c>
      <c r="C9582" t="s">
        <v>209</v>
      </c>
      <c r="D9582" s="21" t="s">
        <v>34</v>
      </c>
      <c r="E9582" s="21" t="s">
        <v>71</v>
      </c>
      <c r="F9582">
        <v>7590069</v>
      </c>
      <c r="G9582" t="s">
        <v>7225</v>
      </c>
      <c r="H9582" s="21">
        <v>1008.67</v>
      </c>
    </row>
    <row r="9583" spans="1:8" customFormat="1" x14ac:dyDescent="0.25">
      <c r="A9583" t="str">
        <f>"165931"</f>
        <v>165931</v>
      </c>
      <c r="B9583" t="s">
        <v>9661</v>
      </c>
      <c r="C9583" t="s">
        <v>453</v>
      </c>
      <c r="D9583" s="21" t="s">
        <v>34</v>
      </c>
      <c r="E9583" s="21" t="s">
        <v>254</v>
      </c>
      <c r="F9583">
        <v>10160042</v>
      </c>
      <c r="G9583" t="s">
        <v>7461</v>
      </c>
      <c r="H9583" s="21">
        <v>1008.67</v>
      </c>
    </row>
    <row r="9584" spans="1:8" customFormat="1" x14ac:dyDescent="0.25">
      <c r="A9584" t="str">
        <f>"354178"</f>
        <v>354178</v>
      </c>
      <c r="B9584" t="s">
        <v>7468</v>
      </c>
      <c r="C9584" t="s">
        <v>415</v>
      </c>
      <c r="D9584" s="21" t="s">
        <v>34</v>
      </c>
      <c r="E9584" s="21" t="s">
        <v>71</v>
      </c>
      <c r="F9584">
        <v>3350209</v>
      </c>
      <c r="G9584" t="s">
        <v>3023</v>
      </c>
      <c r="H9584" s="21">
        <v>1008.67</v>
      </c>
    </row>
    <row r="9585" spans="1:8" customFormat="1" x14ac:dyDescent="0.25">
      <c r="A9585" t="str">
        <f>"5430165"</f>
        <v>5430165</v>
      </c>
      <c r="B9585" t="s">
        <v>556</v>
      </c>
      <c r="C9585" t="s">
        <v>87</v>
      </c>
      <c r="D9585" s="21" t="s">
        <v>34</v>
      </c>
      <c r="E9585" s="21" t="s">
        <v>35</v>
      </c>
      <c r="F9585">
        <v>6540088</v>
      </c>
      <c r="G9585" t="s">
        <v>2108</v>
      </c>
      <c r="H9585" s="21">
        <v>1008.67</v>
      </c>
    </row>
    <row r="9586" spans="1:8" customFormat="1" x14ac:dyDescent="0.25">
      <c r="A9586" t="str">
        <f>"9244661"</f>
        <v>9244661</v>
      </c>
      <c r="B9586" t="s">
        <v>10116</v>
      </c>
      <c r="C9586" t="s">
        <v>267</v>
      </c>
      <c r="D9586" s="21" t="s">
        <v>34</v>
      </c>
      <c r="E9586" s="21" t="s">
        <v>35</v>
      </c>
      <c r="F9586">
        <v>8920234</v>
      </c>
      <c r="G9586" t="s">
        <v>1184</v>
      </c>
      <c r="H9586" s="21">
        <v>1008.67</v>
      </c>
    </row>
    <row r="9587" spans="1:8" customFormat="1" x14ac:dyDescent="0.25">
      <c r="A9587" t="str">
        <f>"6718220"</f>
        <v>6718220</v>
      </c>
      <c r="B9587" t="s">
        <v>9130</v>
      </c>
      <c r="C9587" t="s">
        <v>121</v>
      </c>
      <c r="D9587" s="21" t="s">
        <v>34</v>
      </c>
      <c r="E9587" s="21" t="s">
        <v>35</v>
      </c>
      <c r="F9587">
        <v>6670261</v>
      </c>
      <c r="G9587" t="s">
        <v>4621</v>
      </c>
      <c r="H9587" s="21">
        <v>1008.67</v>
      </c>
    </row>
    <row r="9588" spans="1:8" customFormat="1" x14ac:dyDescent="0.25">
      <c r="A9588" t="str">
        <f>"601714"</f>
        <v>601714</v>
      </c>
      <c r="B9588" t="s">
        <v>2549</v>
      </c>
      <c r="C9588" t="s">
        <v>40</v>
      </c>
      <c r="D9588" s="21" t="s">
        <v>34</v>
      </c>
      <c r="E9588" s="21" t="s">
        <v>71</v>
      </c>
      <c r="F9588">
        <v>7600008</v>
      </c>
      <c r="G9588" t="s">
        <v>4646</v>
      </c>
      <c r="H9588" s="21">
        <v>1008.67</v>
      </c>
    </row>
    <row r="9589" spans="1:8" customFormat="1" x14ac:dyDescent="0.25">
      <c r="A9589" t="str">
        <f>"946371"</f>
        <v>946371</v>
      </c>
      <c r="B9589" t="s">
        <v>8537</v>
      </c>
      <c r="C9589" t="s">
        <v>124</v>
      </c>
      <c r="D9589" s="21" t="s">
        <v>34</v>
      </c>
      <c r="E9589" s="21" t="s">
        <v>71</v>
      </c>
      <c r="F9589">
        <v>8940975</v>
      </c>
      <c r="G9589" t="s">
        <v>7959</v>
      </c>
      <c r="H9589" s="21">
        <v>1008.67</v>
      </c>
    </row>
    <row r="9590" spans="1:8" customFormat="1" x14ac:dyDescent="0.25">
      <c r="A9590" t="str">
        <f>"392946"</f>
        <v>392946</v>
      </c>
      <c r="B9590" t="s">
        <v>5970</v>
      </c>
      <c r="C9590" t="s">
        <v>33</v>
      </c>
      <c r="D9590" s="21" t="s">
        <v>34</v>
      </c>
      <c r="E9590" s="21" t="s">
        <v>71</v>
      </c>
      <c r="F9590">
        <v>2390089</v>
      </c>
      <c r="G9590" t="s">
        <v>5194</v>
      </c>
      <c r="H9590" s="21">
        <v>1008.67</v>
      </c>
    </row>
    <row r="9591" spans="1:8" customFormat="1" x14ac:dyDescent="0.25">
      <c r="A9591" t="str">
        <f>"7616542"</f>
        <v>7616542</v>
      </c>
      <c r="B9591" t="s">
        <v>11442</v>
      </c>
      <c r="C9591" t="s">
        <v>1914</v>
      </c>
      <c r="D9591" s="21" t="s">
        <v>34</v>
      </c>
      <c r="E9591" s="21" t="s">
        <v>1089</v>
      </c>
      <c r="F9591">
        <v>9760382</v>
      </c>
      <c r="G9591" t="s">
        <v>2737</v>
      </c>
      <c r="H9591" s="21">
        <v>1008.67</v>
      </c>
    </row>
    <row r="9592" spans="1:8" customFormat="1" x14ac:dyDescent="0.25">
      <c r="A9592" t="str">
        <f>"904331"</f>
        <v>904331</v>
      </c>
      <c r="B9592" t="s">
        <v>1531</v>
      </c>
      <c r="C9592" t="s">
        <v>547</v>
      </c>
      <c r="D9592" s="21" t="s">
        <v>34</v>
      </c>
      <c r="E9592" s="21" t="s">
        <v>71</v>
      </c>
      <c r="F9592">
        <v>2900041</v>
      </c>
      <c r="G9592" t="s">
        <v>4635</v>
      </c>
      <c r="H9592" s="21">
        <v>1008.67</v>
      </c>
    </row>
    <row r="9593" spans="1:8" customFormat="1" x14ac:dyDescent="0.25">
      <c r="A9593" t="str">
        <f>"2515472"</f>
        <v>2515472</v>
      </c>
      <c r="B9593" t="s">
        <v>9362</v>
      </c>
      <c r="C9593" t="s">
        <v>43</v>
      </c>
      <c r="D9593" s="21" t="s">
        <v>34</v>
      </c>
      <c r="E9593" s="21" t="s">
        <v>35</v>
      </c>
      <c r="F9593">
        <v>2250110</v>
      </c>
      <c r="G9593" t="s">
        <v>9363</v>
      </c>
      <c r="H9593" s="21">
        <v>1008.55</v>
      </c>
    </row>
    <row r="9594" spans="1:8" customFormat="1" x14ac:dyDescent="0.25">
      <c r="A9594" t="str">
        <f>"9214176"</f>
        <v>9214176</v>
      </c>
      <c r="B9594" t="s">
        <v>9324</v>
      </c>
      <c r="C9594" t="s">
        <v>3889</v>
      </c>
      <c r="D9594" s="21" t="s">
        <v>34</v>
      </c>
      <c r="E9594" s="21" t="s">
        <v>1089</v>
      </c>
      <c r="F9594">
        <v>8920049</v>
      </c>
      <c r="G9594" t="s">
        <v>237</v>
      </c>
      <c r="H9594" s="21">
        <v>1008.55</v>
      </c>
    </row>
    <row r="9595" spans="1:8" customFormat="1" x14ac:dyDescent="0.25">
      <c r="A9595" t="str">
        <f>"4923725"</f>
        <v>4923725</v>
      </c>
      <c r="B9595" t="s">
        <v>9799</v>
      </c>
      <c r="C9595" t="s">
        <v>263</v>
      </c>
      <c r="D9595" s="21" t="s">
        <v>34</v>
      </c>
      <c r="E9595" s="21" t="s">
        <v>71</v>
      </c>
      <c r="F9595">
        <v>12490120</v>
      </c>
      <c r="G9595" t="s">
        <v>2316</v>
      </c>
      <c r="H9595" s="21">
        <v>1008.55</v>
      </c>
    </row>
    <row r="9596" spans="1:8" customFormat="1" x14ac:dyDescent="0.25">
      <c r="A9596" t="str">
        <f>"6715386"</f>
        <v>6715386</v>
      </c>
      <c r="B9596" t="s">
        <v>22718</v>
      </c>
      <c r="C9596" t="s">
        <v>60</v>
      </c>
      <c r="D9596" s="21" t="s">
        <v>34</v>
      </c>
      <c r="E9596" s="21" t="s">
        <v>35</v>
      </c>
      <c r="F9596">
        <v>6670221</v>
      </c>
      <c r="G9596" t="s">
        <v>3742</v>
      </c>
      <c r="H9596" s="21">
        <v>1008.42</v>
      </c>
    </row>
    <row r="9597" spans="1:8" customFormat="1" x14ac:dyDescent="0.25">
      <c r="A9597" t="str">
        <f>"3322326"</f>
        <v>3322326</v>
      </c>
      <c r="B9597" t="s">
        <v>9124</v>
      </c>
      <c r="C9597" t="s">
        <v>60</v>
      </c>
      <c r="D9597" s="21" t="s">
        <v>34</v>
      </c>
      <c r="E9597" s="21" t="s">
        <v>35</v>
      </c>
      <c r="F9597">
        <v>10330010</v>
      </c>
      <c r="G9597" t="s">
        <v>2831</v>
      </c>
      <c r="H9597" s="21">
        <v>1008.42</v>
      </c>
    </row>
    <row r="9598" spans="1:8" customFormat="1" x14ac:dyDescent="0.25">
      <c r="A9598" t="str">
        <f>"215223"</f>
        <v>215223</v>
      </c>
      <c r="B9598" t="s">
        <v>10800</v>
      </c>
      <c r="C9598" t="s">
        <v>428</v>
      </c>
      <c r="D9598" s="21" t="s">
        <v>34</v>
      </c>
      <c r="E9598" s="21" t="s">
        <v>35</v>
      </c>
      <c r="F9598">
        <v>2210106</v>
      </c>
      <c r="G9598" t="s">
        <v>8845</v>
      </c>
      <c r="H9598" s="21">
        <v>1008.42</v>
      </c>
    </row>
    <row r="9599" spans="1:8" customFormat="1" x14ac:dyDescent="0.25">
      <c r="A9599" t="str">
        <f>"2711642"</f>
        <v>2711642</v>
      </c>
      <c r="B9599" t="s">
        <v>5098</v>
      </c>
      <c r="C9599" t="s">
        <v>2150</v>
      </c>
      <c r="D9599" s="21" t="s">
        <v>34</v>
      </c>
      <c r="E9599" s="21" t="s">
        <v>71</v>
      </c>
      <c r="F9599">
        <v>9270005</v>
      </c>
      <c r="G9599" t="s">
        <v>1255</v>
      </c>
      <c r="H9599" s="21">
        <v>1008.17</v>
      </c>
    </row>
    <row r="9600" spans="1:8" customFormat="1" x14ac:dyDescent="0.25">
      <c r="A9600" t="str">
        <f>"773629"</f>
        <v>773629</v>
      </c>
      <c r="B9600" t="s">
        <v>213</v>
      </c>
      <c r="C9600" t="s">
        <v>60</v>
      </c>
      <c r="D9600" s="21" t="s">
        <v>34</v>
      </c>
      <c r="E9600" s="21" t="s">
        <v>35</v>
      </c>
      <c r="F9600">
        <v>8771514</v>
      </c>
      <c r="G9600" t="s">
        <v>10058</v>
      </c>
      <c r="H9600" s="21">
        <v>1008.17</v>
      </c>
    </row>
    <row r="9601" spans="1:8" customFormat="1" x14ac:dyDescent="0.25">
      <c r="A9601" t="str">
        <f>"404135"</f>
        <v>404135</v>
      </c>
      <c r="B9601" t="s">
        <v>9439</v>
      </c>
      <c r="C9601" t="s">
        <v>33</v>
      </c>
      <c r="D9601" s="21" t="s">
        <v>34</v>
      </c>
      <c r="E9601" s="21" t="s">
        <v>71</v>
      </c>
      <c r="F9601">
        <v>10400024</v>
      </c>
      <c r="G9601" t="s">
        <v>4680</v>
      </c>
      <c r="H9601" s="21">
        <v>1008.17</v>
      </c>
    </row>
    <row r="9602" spans="1:8" customFormat="1" x14ac:dyDescent="0.25">
      <c r="A9602" t="str">
        <f>"4444341"</f>
        <v>4444341</v>
      </c>
      <c r="B9602" t="s">
        <v>8450</v>
      </c>
      <c r="C9602" t="s">
        <v>124</v>
      </c>
      <c r="D9602" s="21" t="s">
        <v>34</v>
      </c>
      <c r="E9602" s="21" t="s">
        <v>71</v>
      </c>
      <c r="F9602">
        <v>12440030</v>
      </c>
      <c r="G9602" t="s">
        <v>5524</v>
      </c>
      <c r="H9602" s="21">
        <v>1008.17</v>
      </c>
    </row>
    <row r="9603" spans="1:8" customFormat="1" x14ac:dyDescent="0.25">
      <c r="A9603" t="str">
        <f>"8016375"</f>
        <v>8016375</v>
      </c>
      <c r="B9603" t="s">
        <v>7125</v>
      </c>
      <c r="C9603" t="s">
        <v>1605</v>
      </c>
      <c r="D9603" s="21" t="s">
        <v>34</v>
      </c>
      <c r="E9603" s="21" t="s">
        <v>254</v>
      </c>
      <c r="F9603">
        <v>7800003</v>
      </c>
      <c r="G9603" t="s">
        <v>276</v>
      </c>
      <c r="H9603" s="21">
        <v>1008.17</v>
      </c>
    </row>
    <row r="9604" spans="1:8" customFormat="1" x14ac:dyDescent="0.25">
      <c r="A9604" t="str">
        <f>"761792"</f>
        <v>761792</v>
      </c>
      <c r="B9604" t="s">
        <v>8803</v>
      </c>
      <c r="C9604" t="s">
        <v>415</v>
      </c>
      <c r="D9604" s="21" t="s">
        <v>34</v>
      </c>
      <c r="E9604" s="21" t="s">
        <v>254</v>
      </c>
      <c r="F9604">
        <v>9760414</v>
      </c>
      <c r="G9604" t="s">
        <v>142</v>
      </c>
      <c r="H9604" s="21">
        <v>1008.17</v>
      </c>
    </row>
    <row r="9605" spans="1:8" customFormat="1" x14ac:dyDescent="0.25">
      <c r="A9605" t="str">
        <f>"9D37"</f>
        <v>9D37</v>
      </c>
      <c r="B9605" t="s">
        <v>24546</v>
      </c>
      <c r="C9605" t="s">
        <v>27112</v>
      </c>
      <c r="D9605" s="21" t="s">
        <v>34</v>
      </c>
      <c r="E9605" s="21" t="s">
        <v>71</v>
      </c>
      <c r="F9605" t="s">
        <v>8815</v>
      </c>
      <c r="G9605" t="s">
        <v>8816</v>
      </c>
      <c r="H9605" s="21">
        <v>1008.17</v>
      </c>
    </row>
    <row r="9606" spans="1:8" customFormat="1" x14ac:dyDescent="0.25">
      <c r="A9606" t="str">
        <f>"3528618"</f>
        <v>3528618</v>
      </c>
      <c r="B9606" t="s">
        <v>10585</v>
      </c>
      <c r="C9606" t="s">
        <v>1665</v>
      </c>
      <c r="D9606" s="21" t="s">
        <v>34</v>
      </c>
      <c r="E9606" s="21" t="s">
        <v>35</v>
      </c>
      <c r="F9606">
        <v>3350027</v>
      </c>
      <c r="G9606" t="s">
        <v>2760</v>
      </c>
      <c r="H9606" s="21">
        <v>1008.17</v>
      </c>
    </row>
    <row r="9607" spans="1:8" customFormat="1" x14ac:dyDescent="0.25">
      <c r="A9607" t="str">
        <f>"5014010"</f>
        <v>5014010</v>
      </c>
      <c r="B9607" t="s">
        <v>7190</v>
      </c>
      <c r="C9607" t="s">
        <v>139</v>
      </c>
      <c r="D9607" s="21" t="s">
        <v>34</v>
      </c>
      <c r="E9607" s="21" t="s">
        <v>35</v>
      </c>
      <c r="F9607">
        <v>9500003</v>
      </c>
      <c r="G9607" t="s">
        <v>545</v>
      </c>
      <c r="H9607" s="21">
        <v>1008.17</v>
      </c>
    </row>
    <row r="9608" spans="1:8" customFormat="1" x14ac:dyDescent="0.25">
      <c r="A9608" t="str">
        <f>"2812352"</f>
        <v>2812352</v>
      </c>
      <c r="B9608" t="s">
        <v>10088</v>
      </c>
      <c r="C9608" t="s">
        <v>169</v>
      </c>
      <c r="D9608" s="21" t="s">
        <v>34</v>
      </c>
      <c r="E9608" s="21" t="s">
        <v>35</v>
      </c>
      <c r="F9608">
        <v>4280202</v>
      </c>
      <c r="G9608" t="s">
        <v>2945</v>
      </c>
      <c r="H9608" s="21">
        <v>1008.17</v>
      </c>
    </row>
    <row r="9609" spans="1:8" customFormat="1" x14ac:dyDescent="0.25">
      <c r="A9609" t="str">
        <f>"598838"</f>
        <v>598838</v>
      </c>
      <c r="B9609" t="s">
        <v>7619</v>
      </c>
      <c r="C9609" t="s">
        <v>263</v>
      </c>
      <c r="D9609" s="21" t="s">
        <v>34</v>
      </c>
      <c r="E9609" s="21" t="s">
        <v>71</v>
      </c>
      <c r="F9609">
        <v>7590051</v>
      </c>
      <c r="G9609" t="s">
        <v>3831</v>
      </c>
      <c r="H9609" s="21">
        <v>1008.17</v>
      </c>
    </row>
    <row r="9610" spans="1:8" customFormat="1" x14ac:dyDescent="0.25">
      <c r="A9610" t="str">
        <f>"7639443"</f>
        <v>7639443</v>
      </c>
      <c r="B9610" t="s">
        <v>2842</v>
      </c>
      <c r="C9610" t="s">
        <v>27113</v>
      </c>
      <c r="D9610" s="21" t="s">
        <v>34</v>
      </c>
      <c r="E9610" s="21" t="s">
        <v>35</v>
      </c>
      <c r="F9610">
        <v>9760025</v>
      </c>
      <c r="G9610" t="s">
        <v>2620</v>
      </c>
      <c r="H9610" s="21">
        <v>1008.17</v>
      </c>
    </row>
    <row r="9611" spans="1:8" customFormat="1" x14ac:dyDescent="0.25">
      <c r="A9611" t="str">
        <f>"7512908"</f>
        <v>7512908</v>
      </c>
      <c r="B9611" t="s">
        <v>8337</v>
      </c>
      <c r="C9611" t="s">
        <v>139</v>
      </c>
      <c r="D9611" s="21" t="s">
        <v>34</v>
      </c>
      <c r="E9611" s="21" t="s">
        <v>35</v>
      </c>
      <c r="F9611">
        <v>8930185</v>
      </c>
      <c r="G9611" t="s">
        <v>3846</v>
      </c>
      <c r="H9611" s="21">
        <v>1008.17</v>
      </c>
    </row>
    <row r="9612" spans="1:8" customFormat="1" x14ac:dyDescent="0.25">
      <c r="A9612" t="str">
        <f>"3811397"</f>
        <v>3811397</v>
      </c>
      <c r="B9612" t="s">
        <v>8895</v>
      </c>
      <c r="C9612" t="s">
        <v>130</v>
      </c>
      <c r="D9612" s="21" t="s">
        <v>34</v>
      </c>
      <c r="E9612" s="21" t="s">
        <v>35</v>
      </c>
      <c r="F9612">
        <v>1380292</v>
      </c>
      <c r="G9612" t="s">
        <v>10256</v>
      </c>
      <c r="H9612" s="21">
        <v>1008.17</v>
      </c>
    </row>
    <row r="9613" spans="1:8" customFormat="1" x14ac:dyDescent="0.25">
      <c r="A9613" t="str">
        <f>"935907"</f>
        <v>935907</v>
      </c>
      <c r="B9613" t="s">
        <v>4038</v>
      </c>
      <c r="C9613" t="s">
        <v>236</v>
      </c>
      <c r="D9613" s="21" t="s">
        <v>34</v>
      </c>
      <c r="E9613" s="21" t="s">
        <v>71</v>
      </c>
      <c r="F9613">
        <v>8750141</v>
      </c>
      <c r="G9613" t="s">
        <v>1514</v>
      </c>
      <c r="H9613" s="21">
        <v>1007.92</v>
      </c>
    </row>
    <row r="9614" spans="1:8" customFormat="1" x14ac:dyDescent="0.25">
      <c r="A9614" t="str">
        <f>"33355"</f>
        <v>33355</v>
      </c>
      <c r="B9614" t="s">
        <v>2738</v>
      </c>
      <c r="C9614" t="s">
        <v>8294</v>
      </c>
      <c r="D9614" s="21" t="s">
        <v>34</v>
      </c>
      <c r="E9614" s="21" t="s">
        <v>254</v>
      </c>
      <c r="F9614">
        <v>10330010</v>
      </c>
      <c r="G9614" t="s">
        <v>2831</v>
      </c>
      <c r="H9614" s="21">
        <v>1007.92</v>
      </c>
    </row>
    <row r="9615" spans="1:8" customFormat="1" x14ac:dyDescent="0.25">
      <c r="A9615" t="str">
        <f>"8010506"</f>
        <v>8010506</v>
      </c>
      <c r="B9615" t="s">
        <v>10206</v>
      </c>
      <c r="C9615" t="s">
        <v>621</v>
      </c>
      <c r="D9615" s="21" t="s">
        <v>34</v>
      </c>
      <c r="E9615" s="21" t="s">
        <v>71</v>
      </c>
      <c r="F9615">
        <v>7800003</v>
      </c>
      <c r="G9615" t="s">
        <v>276</v>
      </c>
      <c r="H9615" s="21">
        <v>1007.92</v>
      </c>
    </row>
    <row r="9616" spans="1:8" customFormat="1" x14ac:dyDescent="0.25">
      <c r="A9616" t="str">
        <f>"392696"</f>
        <v>392696</v>
      </c>
      <c r="B9616" t="s">
        <v>10863</v>
      </c>
      <c r="C9616" t="s">
        <v>202</v>
      </c>
      <c r="D9616" s="21" t="s">
        <v>34</v>
      </c>
      <c r="E9616" s="21" t="s">
        <v>35</v>
      </c>
      <c r="F9616">
        <v>2390091</v>
      </c>
      <c r="G9616" t="s">
        <v>7093</v>
      </c>
      <c r="H9616" s="21">
        <v>1007.8</v>
      </c>
    </row>
    <row r="9617" spans="1:8" customFormat="1" x14ac:dyDescent="0.25">
      <c r="A9617" t="str">
        <f>"534120"</f>
        <v>534120</v>
      </c>
      <c r="B9617" t="s">
        <v>8862</v>
      </c>
      <c r="C9617" t="s">
        <v>249</v>
      </c>
      <c r="D9617" s="21" t="s">
        <v>34</v>
      </c>
      <c r="E9617" s="21" t="s">
        <v>71</v>
      </c>
      <c r="F9617">
        <v>12530088</v>
      </c>
      <c r="G9617" t="s">
        <v>10746</v>
      </c>
      <c r="H9617" s="21">
        <v>1007.67</v>
      </c>
    </row>
    <row r="9618" spans="1:8" customFormat="1" x14ac:dyDescent="0.25">
      <c r="A9618" t="str">
        <f>"185076"</f>
        <v>185076</v>
      </c>
      <c r="B9618" t="s">
        <v>2124</v>
      </c>
      <c r="C9618" t="s">
        <v>1812</v>
      </c>
      <c r="D9618" s="21" t="s">
        <v>34</v>
      </c>
      <c r="E9618" s="21" t="s">
        <v>35</v>
      </c>
      <c r="F9618">
        <v>4180721</v>
      </c>
      <c r="G9618" t="s">
        <v>6330</v>
      </c>
      <c r="H9618" s="21">
        <v>1007.67</v>
      </c>
    </row>
    <row r="9619" spans="1:8" customFormat="1" x14ac:dyDescent="0.25">
      <c r="A9619" t="str">
        <f>"90741"</f>
        <v>90741</v>
      </c>
      <c r="B9619" t="s">
        <v>9071</v>
      </c>
      <c r="C9619" t="s">
        <v>65</v>
      </c>
      <c r="D9619" s="21" t="s">
        <v>34</v>
      </c>
      <c r="E9619" s="21" t="s">
        <v>35</v>
      </c>
      <c r="F9619">
        <v>2900023</v>
      </c>
      <c r="G9619" t="s">
        <v>4360</v>
      </c>
      <c r="H9619" s="21">
        <v>1007.67</v>
      </c>
    </row>
    <row r="9620" spans="1:8" customFormat="1" x14ac:dyDescent="0.25">
      <c r="A9620" t="str">
        <f>"3112046"</f>
        <v>3112046</v>
      </c>
      <c r="B9620" t="s">
        <v>3972</v>
      </c>
      <c r="C9620" t="s">
        <v>144</v>
      </c>
      <c r="D9620" s="21" t="s">
        <v>34</v>
      </c>
      <c r="E9620" s="21" t="s">
        <v>71</v>
      </c>
      <c r="F9620">
        <v>11310060</v>
      </c>
      <c r="G9620" t="s">
        <v>2448</v>
      </c>
      <c r="H9620" s="21">
        <v>1007.67</v>
      </c>
    </row>
    <row r="9621" spans="1:8" customFormat="1" x14ac:dyDescent="0.25">
      <c r="A9621" t="str">
        <f>"6713339"</f>
        <v>6713339</v>
      </c>
      <c r="B9621" t="s">
        <v>10094</v>
      </c>
      <c r="C9621" t="s">
        <v>10095</v>
      </c>
      <c r="D9621" s="21" t="s">
        <v>34</v>
      </c>
      <c r="E9621" s="21" t="s">
        <v>35</v>
      </c>
      <c r="F9621">
        <v>6670010</v>
      </c>
      <c r="G9621" t="s">
        <v>721</v>
      </c>
      <c r="H9621" s="21">
        <v>1007.67</v>
      </c>
    </row>
    <row r="9622" spans="1:8" customFormat="1" x14ac:dyDescent="0.25">
      <c r="A9622" t="str">
        <f>"2217702"</f>
        <v>2217702</v>
      </c>
      <c r="B9622" t="s">
        <v>8984</v>
      </c>
      <c r="C9622" t="s">
        <v>114</v>
      </c>
      <c r="D9622" s="21" t="s">
        <v>34</v>
      </c>
      <c r="E9622" s="21" t="s">
        <v>35</v>
      </c>
      <c r="F9622">
        <v>3220139</v>
      </c>
      <c r="G9622" t="s">
        <v>27114</v>
      </c>
      <c r="H9622" s="21">
        <v>1007.67</v>
      </c>
    </row>
    <row r="9623" spans="1:8" customFormat="1" x14ac:dyDescent="0.25">
      <c r="A9623" t="str">
        <f>"598207"</f>
        <v>598207</v>
      </c>
      <c r="B9623" t="s">
        <v>10823</v>
      </c>
      <c r="C9623" t="s">
        <v>109</v>
      </c>
      <c r="D9623" s="21" t="s">
        <v>34</v>
      </c>
      <c r="E9623" s="21" t="s">
        <v>35</v>
      </c>
      <c r="F9623">
        <v>7590363</v>
      </c>
      <c r="G9623" t="s">
        <v>5167</v>
      </c>
      <c r="H9623" s="21">
        <v>1007.67</v>
      </c>
    </row>
    <row r="9624" spans="1:8" customFormat="1" x14ac:dyDescent="0.25">
      <c r="A9624" t="str">
        <f>"88686"</f>
        <v>88686</v>
      </c>
      <c r="B9624" t="s">
        <v>9581</v>
      </c>
      <c r="C9624" t="s">
        <v>652</v>
      </c>
      <c r="D9624" s="21" t="s">
        <v>34</v>
      </c>
      <c r="E9624" s="21" t="s">
        <v>1089</v>
      </c>
      <c r="F9624">
        <v>6880051</v>
      </c>
      <c r="G9624" t="s">
        <v>6116</v>
      </c>
      <c r="H9624" s="21">
        <v>1007.67</v>
      </c>
    </row>
    <row r="9625" spans="1:8" customFormat="1" x14ac:dyDescent="0.25">
      <c r="A9625" t="str">
        <f>"335024"</f>
        <v>335024</v>
      </c>
      <c r="B9625" t="s">
        <v>27115</v>
      </c>
      <c r="C9625" t="s">
        <v>576</v>
      </c>
      <c r="D9625" s="21" t="s">
        <v>34</v>
      </c>
      <c r="E9625" s="21" t="s">
        <v>35</v>
      </c>
      <c r="F9625">
        <v>10330003</v>
      </c>
      <c r="G9625" t="s">
        <v>309</v>
      </c>
      <c r="H9625" s="21">
        <v>1007.67</v>
      </c>
    </row>
    <row r="9626" spans="1:8" customFormat="1" x14ac:dyDescent="0.25">
      <c r="A9626" t="str">
        <f>"22159"</f>
        <v>22159</v>
      </c>
      <c r="B9626" t="s">
        <v>9366</v>
      </c>
      <c r="C9626" t="s">
        <v>2322</v>
      </c>
      <c r="D9626" s="21" t="s">
        <v>34</v>
      </c>
      <c r="E9626" s="21" t="s">
        <v>35</v>
      </c>
      <c r="F9626">
        <v>3220030</v>
      </c>
      <c r="G9626" t="s">
        <v>26821</v>
      </c>
      <c r="H9626" s="21">
        <v>1007.67</v>
      </c>
    </row>
    <row r="9627" spans="1:8" customFormat="1" x14ac:dyDescent="0.25">
      <c r="A9627" t="str">
        <f>"7628896"</f>
        <v>7628896</v>
      </c>
      <c r="B9627" t="s">
        <v>10335</v>
      </c>
      <c r="C9627" t="s">
        <v>209</v>
      </c>
      <c r="D9627" s="21" t="s">
        <v>34</v>
      </c>
      <c r="E9627" s="21" t="s">
        <v>71</v>
      </c>
      <c r="F9627">
        <v>9760447</v>
      </c>
      <c r="G9627" t="s">
        <v>5942</v>
      </c>
      <c r="H9627" s="21">
        <v>1007.67</v>
      </c>
    </row>
    <row r="9628" spans="1:8" customFormat="1" x14ac:dyDescent="0.25">
      <c r="A9628" t="str">
        <f>"2814451"</f>
        <v>2814451</v>
      </c>
      <c r="B9628" t="s">
        <v>1386</v>
      </c>
      <c r="C9628" t="s">
        <v>13681</v>
      </c>
      <c r="D9628" s="21" t="s">
        <v>34</v>
      </c>
      <c r="E9628" s="21" t="s">
        <v>71</v>
      </c>
      <c r="F9628">
        <v>4280004</v>
      </c>
      <c r="G9628" t="s">
        <v>91</v>
      </c>
      <c r="H9628" s="21">
        <v>1007.67</v>
      </c>
    </row>
    <row r="9629" spans="1:8" customFormat="1" x14ac:dyDescent="0.25">
      <c r="A9629" t="str">
        <f>"0811777"</f>
        <v>0811777</v>
      </c>
      <c r="B9629" t="s">
        <v>9403</v>
      </c>
      <c r="C9629" t="s">
        <v>486</v>
      </c>
      <c r="D9629" s="21" t="s">
        <v>34</v>
      </c>
      <c r="E9629" s="21" t="s">
        <v>35</v>
      </c>
      <c r="F9629">
        <v>6080064</v>
      </c>
      <c r="G9629" t="s">
        <v>5825</v>
      </c>
      <c r="H9629" s="21">
        <v>1007.67</v>
      </c>
    </row>
    <row r="9630" spans="1:8" customFormat="1" x14ac:dyDescent="0.25">
      <c r="A9630" t="str">
        <f>"358837"</f>
        <v>358837</v>
      </c>
      <c r="B9630" t="s">
        <v>9890</v>
      </c>
      <c r="C9630" t="s">
        <v>9891</v>
      </c>
      <c r="D9630" s="21" t="s">
        <v>34</v>
      </c>
      <c r="E9630" s="21" t="s">
        <v>35</v>
      </c>
      <c r="F9630">
        <v>12530068</v>
      </c>
      <c r="G9630" t="s">
        <v>5165</v>
      </c>
      <c r="H9630" s="21">
        <v>1007.67</v>
      </c>
    </row>
    <row r="9631" spans="1:8" customFormat="1" x14ac:dyDescent="0.25">
      <c r="A9631" t="str">
        <f>"8013517"</f>
        <v>8013517</v>
      </c>
      <c r="B9631" t="s">
        <v>10047</v>
      </c>
      <c r="C9631" t="s">
        <v>462</v>
      </c>
      <c r="D9631" s="21" t="s">
        <v>34</v>
      </c>
      <c r="E9631" s="21" t="s">
        <v>71</v>
      </c>
      <c r="F9631">
        <v>7800032</v>
      </c>
      <c r="G9631" t="s">
        <v>8629</v>
      </c>
      <c r="H9631" s="21">
        <v>1007.67</v>
      </c>
    </row>
    <row r="9632" spans="1:8" customFormat="1" x14ac:dyDescent="0.25">
      <c r="A9632" t="str">
        <f>"138841"</f>
        <v>138841</v>
      </c>
      <c r="B9632" t="s">
        <v>9364</v>
      </c>
      <c r="C9632" t="s">
        <v>825</v>
      </c>
      <c r="D9632" s="21" t="s">
        <v>34</v>
      </c>
      <c r="E9632" s="21" t="s">
        <v>35</v>
      </c>
      <c r="F9632">
        <v>13130026</v>
      </c>
      <c r="G9632" t="s">
        <v>3792</v>
      </c>
      <c r="H9632" s="21">
        <v>1007.67</v>
      </c>
    </row>
    <row r="9633" spans="1:8" customFormat="1" x14ac:dyDescent="0.25">
      <c r="A9633" t="str">
        <f>"6220077"</f>
        <v>6220077</v>
      </c>
      <c r="B9633" t="s">
        <v>6089</v>
      </c>
      <c r="C9633" t="s">
        <v>65</v>
      </c>
      <c r="D9633" s="21" t="s">
        <v>34</v>
      </c>
      <c r="E9633" s="21" t="s">
        <v>35</v>
      </c>
      <c r="F9633">
        <v>7620016</v>
      </c>
      <c r="G9633" t="s">
        <v>6850</v>
      </c>
      <c r="H9633" s="21">
        <v>1007.67</v>
      </c>
    </row>
    <row r="9634" spans="1:8" customFormat="1" x14ac:dyDescent="0.25">
      <c r="A9634" t="str">
        <f>"672193"</f>
        <v>672193</v>
      </c>
      <c r="B9634" t="s">
        <v>8670</v>
      </c>
      <c r="C9634" t="s">
        <v>879</v>
      </c>
      <c r="D9634" s="21" t="s">
        <v>34</v>
      </c>
      <c r="E9634" s="21" t="s">
        <v>35</v>
      </c>
      <c r="F9634">
        <v>6670171</v>
      </c>
      <c r="G9634" t="s">
        <v>4843</v>
      </c>
      <c r="H9634" s="21">
        <v>1007.67</v>
      </c>
    </row>
    <row r="9635" spans="1:8" customFormat="1" x14ac:dyDescent="0.25">
      <c r="A9635" t="str">
        <f>"5017616"</f>
        <v>5017616</v>
      </c>
      <c r="B9635" t="s">
        <v>2493</v>
      </c>
      <c r="C9635" t="s">
        <v>114</v>
      </c>
      <c r="D9635" s="21" t="s">
        <v>34</v>
      </c>
      <c r="E9635" s="21" t="s">
        <v>35</v>
      </c>
      <c r="F9635">
        <v>9500093</v>
      </c>
      <c r="G9635" t="s">
        <v>1808</v>
      </c>
      <c r="H9635" s="21">
        <v>1007.67</v>
      </c>
    </row>
    <row r="9636" spans="1:8" customFormat="1" x14ac:dyDescent="0.25">
      <c r="A9636" t="str">
        <f>"4216788"</f>
        <v>4216788</v>
      </c>
      <c r="B9636" t="s">
        <v>10526</v>
      </c>
      <c r="C9636" t="s">
        <v>65</v>
      </c>
      <c r="D9636" s="21" t="s">
        <v>34</v>
      </c>
      <c r="E9636" s="21" t="s">
        <v>35</v>
      </c>
      <c r="F9636">
        <v>1420151</v>
      </c>
      <c r="G9636" t="s">
        <v>6802</v>
      </c>
      <c r="H9636" s="21">
        <v>1007.67</v>
      </c>
    </row>
    <row r="9637" spans="1:8" customFormat="1" x14ac:dyDescent="0.25">
      <c r="A9637" t="str">
        <f>"782476"</f>
        <v>782476</v>
      </c>
      <c r="B9637" t="s">
        <v>9615</v>
      </c>
      <c r="C9637" t="s">
        <v>288</v>
      </c>
      <c r="D9637" s="21" t="s">
        <v>34</v>
      </c>
      <c r="E9637" s="21" t="s">
        <v>35</v>
      </c>
      <c r="F9637">
        <v>8781471</v>
      </c>
      <c r="G9637" t="s">
        <v>9616</v>
      </c>
      <c r="H9637" s="21">
        <v>1007.67</v>
      </c>
    </row>
    <row r="9638" spans="1:8" customFormat="1" x14ac:dyDescent="0.25">
      <c r="A9638" t="str">
        <f>"2516056"</f>
        <v>2516056</v>
      </c>
      <c r="B9638" t="s">
        <v>9216</v>
      </c>
      <c r="C9638" t="s">
        <v>156</v>
      </c>
      <c r="D9638" s="21" t="s">
        <v>34</v>
      </c>
      <c r="E9638" s="21" t="s">
        <v>35</v>
      </c>
      <c r="F9638">
        <v>2250001</v>
      </c>
      <c r="G9638" t="s">
        <v>424</v>
      </c>
      <c r="H9638" s="21">
        <v>1007.67</v>
      </c>
    </row>
    <row r="9639" spans="1:8" customFormat="1" x14ac:dyDescent="0.25">
      <c r="A9639" t="str">
        <f>"851406"</f>
        <v>851406</v>
      </c>
      <c r="B9639" t="s">
        <v>10015</v>
      </c>
      <c r="C9639" t="s">
        <v>2546</v>
      </c>
      <c r="D9639" s="21" t="s">
        <v>34</v>
      </c>
      <c r="E9639" s="21" t="s">
        <v>71</v>
      </c>
      <c r="F9639">
        <v>12850043</v>
      </c>
      <c r="G9639" t="s">
        <v>4873</v>
      </c>
      <c r="H9639" s="21">
        <v>1007.67</v>
      </c>
    </row>
    <row r="9640" spans="1:8" customFormat="1" x14ac:dyDescent="0.25">
      <c r="A9640" t="str">
        <f>"679525"</f>
        <v>679525</v>
      </c>
      <c r="B9640" t="s">
        <v>690</v>
      </c>
      <c r="C9640" t="s">
        <v>269</v>
      </c>
      <c r="D9640" s="21" t="s">
        <v>34</v>
      </c>
      <c r="E9640" s="21" t="s">
        <v>35</v>
      </c>
      <c r="F9640">
        <v>8780016</v>
      </c>
      <c r="G9640" t="s">
        <v>3153</v>
      </c>
      <c r="H9640" s="21">
        <v>1007.55</v>
      </c>
    </row>
    <row r="9641" spans="1:8" customFormat="1" x14ac:dyDescent="0.25">
      <c r="A9641" t="str">
        <f>"4710322"</f>
        <v>4710322</v>
      </c>
      <c r="B9641" t="s">
        <v>10381</v>
      </c>
      <c r="C9641" t="s">
        <v>267</v>
      </c>
      <c r="D9641" s="21" t="s">
        <v>34</v>
      </c>
      <c r="E9641" s="21" t="s">
        <v>35</v>
      </c>
      <c r="F9641">
        <v>10470006</v>
      </c>
      <c r="G9641" t="s">
        <v>1225</v>
      </c>
      <c r="H9641" s="21">
        <v>1007.54</v>
      </c>
    </row>
    <row r="9642" spans="1:8" customFormat="1" x14ac:dyDescent="0.25">
      <c r="A9642" t="str">
        <f>"7711550"</f>
        <v>7711550</v>
      </c>
      <c r="B9642" t="s">
        <v>8835</v>
      </c>
      <c r="C9642" t="s">
        <v>2529</v>
      </c>
      <c r="D9642" s="21" t="s">
        <v>34</v>
      </c>
      <c r="E9642" s="21" t="s">
        <v>254</v>
      </c>
      <c r="F9642">
        <v>8771025</v>
      </c>
      <c r="G9642" t="s">
        <v>5469</v>
      </c>
      <c r="H9642" s="21">
        <v>1007.43</v>
      </c>
    </row>
    <row r="9643" spans="1:8" customFormat="1" x14ac:dyDescent="0.25">
      <c r="A9643" t="str">
        <f>"2912320"</f>
        <v>2912320</v>
      </c>
      <c r="B9643" t="s">
        <v>9004</v>
      </c>
      <c r="C9643" t="s">
        <v>40</v>
      </c>
      <c r="D9643" s="21" t="s">
        <v>34</v>
      </c>
      <c r="E9643" s="21" t="s">
        <v>35</v>
      </c>
      <c r="F9643">
        <v>3290229</v>
      </c>
      <c r="G9643" t="s">
        <v>408</v>
      </c>
      <c r="H9643" s="21">
        <v>1007.17</v>
      </c>
    </row>
    <row r="9644" spans="1:8" customFormat="1" x14ac:dyDescent="0.25">
      <c r="A9644" t="str">
        <f>"4446206"</f>
        <v>4446206</v>
      </c>
      <c r="B9644" t="s">
        <v>3270</v>
      </c>
      <c r="C9644" t="s">
        <v>204</v>
      </c>
      <c r="D9644" s="21" t="s">
        <v>34</v>
      </c>
      <c r="E9644" s="21" t="s">
        <v>35</v>
      </c>
      <c r="F9644">
        <v>12440024</v>
      </c>
      <c r="G9644" t="s">
        <v>2205</v>
      </c>
      <c r="H9644" s="21">
        <v>1007.17</v>
      </c>
    </row>
    <row r="9645" spans="1:8" customFormat="1" x14ac:dyDescent="0.25">
      <c r="A9645" t="str">
        <f>"5310753"</f>
        <v>5310753</v>
      </c>
      <c r="B9645" t="s">
        <v>3698</v>
      </c>
      <c r="C9645" t="s">
        <v>712</v>
      </c>
      <c r="D9645" s="21" t="s">
        <v>34</v>
      </c>
      <c r="E9645" s="21" t="s">
        <v>35</v>
      </c>
      <c r="F9645">
        <v>12530036</v>
      </c>
      <c r="G9645" t="s">
        <v>2200</v>
      </c>
      <c r="H9645" s="21">
        <v>1007.17</v>
      </c>
    </row>
    <row r="9646" spans="1:8" customFormat="1" x14ac:dyDescent="0.25">
      <c r="A9646" t="str">
        <f>"838851"</f>
        <v>838851</v>
      </c>
      <c r="B9646" t="s">
        <v>7599</v>
      </c>
      <c r="C9646" t="s">
        <v>124</v>
      </c>
      <c r="D9646" s="21" t="s">
        <v>34</v>
      </c>
      <c r="E9646" s="21" t="s">
        <v>71</v>
      </c>
      <c r="F9646">
        <v>13830085</v>
      </c>
      <c r="G9646" t="s">
        <v>478</v>
      </c>
      <c r="H9646" s="21">
        <v>1007.17</v>
      </c>
    </row>
    <row r="9647" spans="1:8" customFormat="1" x14ac:dyDescent="0.25">
      <c r="A9647" t="str">
        <f>"4411571"</f>
        <v>4411571</v>
      </c>
      <c r="B9647" t="s">
        <v>1908</v>
      </c>
      <c r="C9647" t="s">
        <v>206</v>
      </c>
      <c r="D9647" s="21" t="s">
        <v>34</v>
      </c>
      <c r="E9647" s="21" t="s">
        <v>35</v>
      </c>
      <c r="F9647">
        <v>12440048</v>
      </c>
      <c r="G9647" t="s">
        <v>2090</v>
      </c>
      <c r="H9647" s="21">
        <v>1007.17</v>
      </c>
    </row>
    <row r="9648" spans="1:8" customFormat="1" x14ac:dyDescent="0.25">
      <c r="A9648" t="str">
        <f>"533073"</f>
        <v>533073</v>
      </c>
      <c r="B9648" t="s">
        <v>8605</v>
      </c>
      <c r="C9648" t="s">
        <v>926</v>
      </c>
      <c r="D9648" s="21" t="s">
        <v>34</v>
      </c>
      <c r="E9648" s="21" t="s">
        <v>71</v>
      </c>
      <c r="F9648">
        <v>12530147</v>
      </c>
      <c r="G9648" t="s">
        <v>1851</v>
      </c>
      <c r="H9648" s="21">
        <v>1007.17</v>
      </c>
    </row>
    <row r="9649" spans="1:8" customFormat="1" x14ac:dyDescent="0.25">
      <c r="A9649" t="str">
        <f>"16245"</f>
        <v>16245</v>
      </c>
      <c r="B9649" t="s">
        <v>7768</v>
      </c>
      <c r="C9649" t="s">
        <v>40</v>
      </c>
      <c r="D9649" s="21" t="s">
        <v>34</v>
      </c>
      <c r="E9649" s="21" t="s">
        <v>254</v>
      </c>
      <c r="F9649">
        <v>10160023</v>
      </c>
      <c r="G9649" t="s">
        <v>2246</v>
      </c>
      <c r="H9649" s="21">
        <v>1007.17</v>
      </c>
    </row>
    <row r="9650" spans="1:8" customFormat="1" x14ac:dyDescent="0.25">
      <c r="A9650" t="str">
        <f>"834762"</f>
        <v>834762</v>
      </c>
      <c r="B9650" t="s">
        <v>7349</v>
      </c>
      <c r="C9650" t="s">
        <v>598</v>
      </c>
      <c r="D9650" s="21" t="s">
        <v>34</v>
      </c>
      <c r="E9650" s="21" t="s">
        <v>254</v>
      </c>
      <c r="F9650">
        <v>13830092</v>
      </c>
      <c r="G9650" t="s">
        <v>3632</v>
      </c>
      <c r="H9650" s="21">
        <v>1007.17</v>
      </c>
    </row>
    <row r="9651" spans="1:8" customFormat="1" x14ac:dyDescent="0.25">
      <c r="A9651" t="str">
        <f>"6014668"</f>
        <v>6014668</v>
      </c>
      <c r="B9651" t="s">
        <v>8514</v>
      </c>
      <c r="C9651" t="s">
        <v>8515</v>
      </c>
      <c r="D9651" s="21" t="s">
        <v>34</v>
      </c>
      <c r="E9651" s="21" t="s">
        <v>254</v>
      </c>
      <c r="F9651">
        <v>7600074</v>
      </c>
      <c r="G9651" t="s">
        <v>1912</v>
      </c>
      <c r="H9651" s="21">
        <v>1007.17</v>
      </c>
    </row>
    <row r="9652" spans="1:8" customFormat="1" x14ac:dyDescent="0.25">
      <c r="A9652" t="str">
        <f>"9527423"</f>
        <v>9527423</v>
      </c>
      <c r="B9652" t="s">
        <v>12404</v>
      </c>
      <c r="C9652" t="s">
        <v>285</v>
      </c>
      <c r="D9652" s="21" t="s">
        <v>34</v>
      </c>
      <c r="E9652" s="21" t="s">
        <v>35</v>
      </c>
      <c r="F9652">
        <v>8950022</v>
      </c>
      <c r="G9652" t="s">
        <v>2785</v>
      </c>
      <c r="H9652" s="21">
        <v>1007.17</v>
      </c>
    </row>
    <row r="9653" spans="1:8" customFormat="1" x14ac:dyDescent="0.25">
      <c r="A9653" t="str">
        <f>"6934544"</f>
        <v>6934544</v>
      </c>
      <c r="B9653" t="s">
        <v>2362</v>
      </c>
      <c r="C9653" t="s">
        <v>156</v>
      </c>
      <c r="D9653" s="21" t="s">
        <v>34</v>
      </c>
      <c r="E9653" s="21" t="s">
        <v>71</v>
      </c>
      <c r="F9653" t="s">
        <v>5881</v>
      </c>
      <c r="G9653" t="s">
        <v>5882</v>
      </c>
      <c r="H9653" s="21">
        <v>1007.17</v>
      </c>
    </row>
    <row r="9654" spans="1:8" customFormat="1" x14ac:dyDescent="0.25">
      <c r="A9654" t="str">
        <f>"3816012"</f>
        <v>3816012</v>
      </c>
      <c r="B9654" t="s">
        <v>8542</v>
      </c>
      <c r="C9654" t="s">
        <v>7740</v>
      </c>
      <c r="D9654" s="21" t="s">
        <v>34</v>
      </c>
      <c r="E9654" s="21" t="s">
        <v>71</v>
      </c>
      <c r="F9654">
        <v>1380076</v>
      </c>
      <c r="G9654" t="s">
        <v>8543</v>
      </c>
      <c r="H9654" s="21">
        <v>1007.17</v>
      </c>
    </row>
    <row r="9655" spans="1:8" customFormat="1" x14ac:dyDescent="0.25">
      <c r="A9655" t="str">
        <f>"642618"</f>
        <v>642618</v>
      </c>
      <c r="B9655" t="s">
        <v>27116</v>
      </c>
      <c r="C9655" t="s">
        <v>926</v>
      </c>
      <c r="D9655" s="21" t="s">
        <v>34</v>
      </c>
      <c r="E9655" s="21" t="s">
        <v>35</v>
      </c>
      <c r="F9655">
        <v>11320045</v>
      </c>
      <c r="G9655" t="s">
        <v>27117</v>
      </c>
      <c r="H9655" s="21">
        <v>1007.05</v>
      </c>
    </row>
    <row r="9656" spans="1:8" customFormat="1" x14ac:dyDescent="0.25">
      <c r="A9656" t="str">
        <f>"9532102"</f>
        <v>9532102</v>
      </c>
      <c r="B9656" t="s">
        <v>10330</v>
      </c>
      <c r="C9656" t="s">
        <v>55</v>
      </c>
      <c r="D9656" s="21" t="s">
        <v>34</v>
      </c>
      <c r="E9656" s="21" t="s">
        <v>71</v>
      </c>
      <c r="F9656">
        <v>8950623</v>
      </c>
      <c r="G9656" t="s">
        <v>684</v>
      </c>
      <c r="H9656" s="21">
        <v>1007.05</v>
      </c>
    </row>
    <row r="9657" spans="1:8" customFormat="1" x14ac:dyDescent="0.25">
      <c r="A9657" t="str">
        <f>"5010375"</f>
        <v>5010375</v>
      </c>
      <c r="B9657" t="s">
        <v>946</v>
      </c>
      <c r="C9657" t="s">
        <v>37</v>
      </c>
      <c r="D9657" s="21" t="s">
        <v>34</v>
      </c>
      <c r="E9657" s="21" t="s">
        <v>35</v>
      </c>
      <c r="F9657">
        <v>12440094</v>
      </c>
      <c r="G9657" t="s">
        <v>892</v>
      </c>
      <c r="H9657" s="21">
        <v>1007</v>
      </c>
    </row>
    <row r="9658" spans="1:8" customFormat="1" x14ac:dyDescent="0.25">
      <c r="A9658" t="str">
        <f>"447332"</f>
        <v>447332</v>
      </c>
      <c r="B9658" t="s">
        <v>461</v>
      </c>
      <c r="C9658" t="s">
        <v>269</v>
      </c>
      <c r="D9658" s="21" t="s">
        <v>34</v>
      </c>
      <c r="E9658" s="21" t="s">
        <v>71</v>
      </c>
      <c r="F9658">
        <v>12440112</v>
      </c>
      <c r="G9658" t="s">
        <v>9188</v>
      </c>
      <c r="H9658" s="21">
        <v>1006.92</v>
      </c>
    </row>
    <row r="9659" spans="1:8" customFormat="1" x14ac:dyDescent="0.25">
      <c r="A9659" t="str">
        <f>"4429881"</f>
        <v>4429881</v>
      </c>
      <c r="B9659" t="s">
        <v>889</v>
      </c>
      <c r="C9659" t="s">
        <v>462</v>
      </c>
      <c r="D9659" s="21" t="s">
        <v>34</v>
      </c>
      <c r="E9659" s="21" t="s">
        <v>254</v>
      </c>
      <c r="F9659">
        <v>12440084</v>
      </c>
      <c r="G9659" t="s">
        <v>1014</v>
      </c>
      <c r="H9659" s="21">
        <v>1006.92</v>
      </c>
    </row>
    <row r="9660" spans="1:8" customFormat="1" x14ac:dyDescent="0.25">
      <c r="A9660" t="str">
        <f>"332254"</f>
        <v>332254</v>
      </c>
      <c r="B9660" t="s">
        <v>8831</v>
      </c>
      <c r="C9660" t="s">
        <v>3109</v>
      </c>
      <c r="D9660" s="21" t="s">
        <v>34</v>
      </c>
      <c r="E9660" s="21" t="s">
        <v>35</v>
      </c>
      <c r="F9660">
        <v>10330093</v>
      </c>
      <c r="G9660" t="s">
        <v>8324</v>
      </c>
      <c r="H9660" s="21">
        <v>1006.8</v>
      </c>
    </row>
    <row r="9661" spans="1:8" customFormat="1" x14ac:dyDescent="0.25">
      <c r="A9661" t="str">
        <f>"958666"</f>
        <v>958666</v>
      </c>
      <c r="B9661" t="s">
        <v>8933</v>
      </c>
      <c r="C9661" t="s">
        <v>40</v>
      </c>
      <c r="D9661" s="21" t="s">
        <v>34</v>
      </c>
      <c r="E9661" s="21" t="s">
        <v>35</v>
      </c>
      <c r="F9661">
        <v>8930610</v>
      </c>
      <c r="G9661" t="s">
        <v>3002</v>
      </c>
      <c r="H9661" s="21">
        <v>1006.68</v>
      </c>
    </row>
    <row r="9662" spans="1:8" customFormat="1" x14ac:dyDescent="0.25">
      <c r="A9662" t="str">
        <f>"7511452"</f>
        <v>7511452</v>
      </c>
      <c r="B9662" t="s">
        <v>8553</v>
      </c>
      <c r="C9662" t="s">
        <v>169</v>
      </c>
      <c r="D9662" s="21" t="s">
        <v>34</v>
      </c>
      <c r="E9662" s="21" t="s">
        <v>71</v>
      </c>
      <c r="F9662">
        <v>8751271</v>
      </c>
      <c r="G9662" t="s">
        <v>1067</v>
      </c>
      <c r="H9662" s="21">
        <v>1006.67</v>
      </c>
    </row>
    <row r="9663" spans="1:8" customFormat="1" x14ac:dyDescent="0.25">
      <c r="A9663" t="str">
        <f>"2510955"</f>
        <v>2510955</v>
      </c>
      <c r="B9663" t="s">
        <v>9766</v>
      </c>
      <c r="C9663" t="s">
        <v>249</v>
      </c>
      <c r="D9663" s="21" t="s">
        <v>34</v>
      </c>
      <c r="E9663" s="21" t="s">
        <v>35</v>
      </c>
      <c r="F9663">
        <v>2250181</v>
      </c>
      <c r="G9663" t="s">
        <v>494</v>
      </c>
      <c r="H9663" s="21">
        <v>1006.67</v>
      </c>
    </row>
    <row r="9664" spans="1:8" customFormat="1" x14ac:dyDescent="0.25">
      <c r="A9664" t="str">
        <f>"856759"</f>
        <v>856759</v>
      </c>
      <c r="B9664" t="s">
        <v>9233</v>
      </c>
      <c r="C9664" t="s">
        <v>415</v>
      </c>
      <c r="D9664" s="21" t="s">
        <v>34</v>
      </c>
      <c r="E9664" s="21" t="s">
        <v>71</v>
      </c>
      <c r="F9664">
        <v>12850111</v>
      </c>
      <c r="G9664" t="s">
        <v>9234</v>
      </c>
      <c r="H9664" s="21">
        <v>1006.67</v>
      </c>
    </row>
    <row r="9665" spans="1:8" customFormat="1" x14ac:dyDescent="0.25">
      <c r="A9665" t="str">
        <f>"687410"</f>
        <v>687410</v>
      </c>
      <c r="B9665" t="s">
        <v>9668</v>
      </c>
      <c r="C9665" t="s">
        <v>1841</v>
      </c>
      <c r="D9665" s="21" t="s">
        <v>34</v>
      </c>
      <c r="E9665" s="21" t="s">
        <v>254</v>
      </c>
      <c r="F9665">
        <v>6670221</v>
      </c>
      <c r="G9665" t="s">
        <v>3742</v>
      </c>
      <c r="H9665" s="21">
        <v>1006.67</v>
      </c>
    </row>
    <row r="9666" spans="1:8" customFormat="1" x14ac:dyDescent="0.25">
      <c r="A9666" t="str">
        <f>"9420143"</f>
        <v>9420143</v>
      </c>
      <c r="B9666" t="s">
        <v>4596</v>
      </c>
      <c r="C9666" t="s">
        <v>9623</v>
      </c>
      <c r="D9666" s="21" t="s">
        <v>34</v>
      </c>
      <c r="E9666" s="21" t="s">
        <v>71</v>
      </c>
      <c r="F9666">
        <v>8940070</v>
      </c>
      <c r="G9666" t="s">
        <v>2320</v>
      </c>
      <c r="H9666" s="21">
        <v>1006.67</v>
      </c>
    </row>
    <row r="9667" spans="1:8" customFormat="1" x14ac:dyDescent="0.25">
      <c r="A9667" t="str">
        <f>"034135"</f>
        <v>034135</v>
      </c>
      <c r="B9667" t="s">
        <v>9148</v>
      </c>
      <c r="C9667" t="s">
        <v>608</v>
      </c>
      <c r="D9667" s="21" t="s">
        <v>34</v>
      </c>
      <c r="E9667" s="21" t="s">
        <v>71</v>
      </c>
      <c r="F9667">
        <v>1030299</v>
      </c>
      <c r="G9667" t="s">
        <v>2631</v>
      </c>
      <c r="H9667" s="21">
        <v>1006.67</v>
      </c>
    </row>
    <row r="9668" spans="1:8" customFormat="1" x14ac:dyDescent="0.25">
      <c r="A9668" t="str">
        <f>"449919"</f>
        <v>449919</v>
      </c>
      <c r="B9668" t="s">
        <v>7008</v>
      </c>
      <c r="C9668" t="s">
        <v>119</v>
      </c>
      <c r="D9668" s="21" t="s">
        <v>34</v>
      </c>
      <c r="E9668" s="21" t="s">
        <v>35</v>
      </c>
      <c r="F9668">
        <v>12440260</v>
      </c>
      <c r="G9668" t="s">
        <v>26759</v>
      </c>
      <c r="H9668" s="21">
        <v>1006.67</v>
      </c>
    </row>
    <row r="9669" spans="1:8" customFormat="1" x14ac:dyDescent="0.25">
      <c r="A9669" t="str">
        <f>"7621767"</f>
        <v>7621767</v>
      </c>
      <c r="B9669" t="s">
        <v>11874</v>
      </c>
      <c r="C9669" t="s">
        <v>11875</v>
      </c>
      <c r="D9669" s="21" t="s">
        <v>34</v>
      </c>
      <c r="E9669" s="21" t="s">
        <v>71</v>
      </c>
      <c r="F9669">
        <v>8910918</v>
      </c>
      <c r="G9669" t="s">
        <v>332</v>
      </c>
      <c r="H9669" s="21">
        <v>1006.67</v>
      </c>
    </row>
    <row r="9670" spans="1:8" customFormat="1" x14ac:dyDescent="0.25">
      <c r="A9670" t="str">
        <f>"308567"</f>
        <v>308567</v>
      </c>
      <c r="B9670" t="s">
        <v>4872</v>
      </c>
      <c r="C9670" t="s">
        <v>169</v>
      </c>
      <c r="D9670" s="21" t="s">
        <v>34</v>
      </c>
      <c r="E9670" s="21" t="s">
        <v>35</v>
      </c>
      <c r="F9670">
        <v>10330013</v>
      </c>
      <c r="G9670" t="s">
        <v>613</v>
      </c>
      <c r="H9670" s="21">
        <v>1006.67</v>
      </c>
    </row>
    <row r="9671" spans="1:8" customFormat="1" x14ac:dyDescent="0.25">
      <c r="A9671" t="str">
        <f>"82678"</f>
        <v>82678</v>
      </c>
      <c r="B9671" t="s">
        <v>9202</v>
      </c>
      <c r="C9671" t="s">
        <v>209</v>
      </c>
      <c r="D9671" s="21" t="s">
        <v>34</v>
      </c>
      <c r="E9671" s="21" t="s">
        <v>35</v>
      </c>
      <c r="F9671">
        <v>11820007</v>
      </c>
      <c r="G9671" t="s">
        <v>532</v>
      </c>
      <c r="H9671" s="21">
        <v>1006.67</v>
      </c>
    </row>
    <row r="9672" spans="1:8" customFormat="1" x14ac:dyDescent="0.25">
      <c r="A9672" t="str">
        <f>"8744"</f>
        <v>8744</v>
      </c>
      <c r="B9672" t="s">
        <v>9708</v>
      </c>
      <c r="C9672" t="s">
        <v>269</v>
      </c>
      <c r="D9672" s="21" t="s">
        <v>34</v>
      </c>
      <c r="E9672" s="21" t="s">
        <v>35</v>
      </c>
      <c r="F9672">
        <v>10870003</v>
      </c>
      <c r="G9672" t="s">
        <v>1187</v>
      </c>
      <c r="H9672" s="21">
        <v>1006.67</v>
      </c>
    </row>
    <row r="9673" spans="1:8" customFormat="1" x14ac:dyDescent="0.25">
      <c r="A9673" t="str">
        <f>"2917468"</f>
        <v>2917468</v>
      </c>
      <c r="B9673" t="s">
        <v>461</v>
      </c>
      <c r="C9673" t="s">
        <v>33</v>
      </c>
      <c r="D9673" s="21" t="s">
        <v>34</v>
      </c>
      <c r="E9673" s="21" t="s">
        <v>71</v>
      </c>
      <c r="F9673">
        <v>3290087</v>
      </c>
      <c r="G9673" t="s">
        <v>364</v>
      </c>
      <c r="H9673" s="21">
        <v>1006.42</v>
      </c>
    </row>
    <row r="9674" spans="1:8" customFormat="1" x14ac:dyDescent="0.25">
      <c r="A9674" t="str">
        <f>"5428050"</f>
        <v>5428050</v>
      </c>
      <c r="B9674" t="s">
        <v>2775</v>
      </c>
      <c r="C9674" t="s">
        <v>288</v>
      </c>
      <c r="D9674" s="21" t="s">
        <v>34</v>
      </c>
      <c r="E9674" s="21" t="s">
        <v>35</v>
      </c>
      <c r="F9674">
        <v>6540007</v>
      </c>
      <c r="G9674" t="s">
        <v>10264</v>
      </c>
      <c r="H9674" s="21">
        <v>1006.3</v>
      </c>
    </row>
    <row r="9675" spans="1:8" customFormat="1" x14ac:dyDescent="0.25">
      <c r="A9675" t="str">
        <f>"5965883"</f>
        <v>5965883</v>
      </c>
      <c r="B9675" t="s">
        <v>10351</v>
      </c>
      <c r="C9675" t="s">
        <v>285</v>
      </c>
      <c r="D9675" s="21" t="s">
        <v>34</v>
      </c>
      <c r="E9675" s="21" t="s">
        <v>71</v>
      </c>
      <c r="F9675">
        <v>7590414</v>
      </c>
      <c r="G9675" t="s">
        <v>10056</v>
      </c>
      <c r="H9675" s="21">
        <v>1006.17</v>
      </c>
    </row>
    <row r="9676" spans="1:8" customFormat="1" x14ac:dyDescent="0.25">
      <c r="A9676" t="str">
        <f>"6214937"</f>
        <v>6214937</v>
      </c>
      <c r="B9676" t="s">
        <v>9691</v>
      </c>
      <c r="C9676" t="s">
        <v>4623</v>
      </c>
      <c r="D9676" s="21" t="s">
        <v>34</v>
      </c>
      <c r="E9676" s="21" t="s">
        <v>254</v>
      </c>
      <c r="F9676">
        <v>7620147</v>
      </c>
      <c r="G9676" t="s">
        <v>4455</v>
      </c>
      <c r="H9676" s="21">
        <v>1006.17</v>
      </c>
    </row>
    <row r="9677" spans="1:8" customFormat="1" x14ac:dyDescent="0.25">
      <c r="A9677" t="str">
        <f>"539548"</f>
        <v>539548</v>
      </c>
      <c r="B9677" t="s">
        <v>9940</v>
      </c>
      <c r="C9677" t="s">
        <v>124</v>
      </c>
      <c r="D9677" s="21" t="s">
        <v>34</v>
      </c>
      <c r="E9677" s="21" t="s">
        <v>71</v>
      </c>
      <c r="F9677">
        <v>12530061</v>
      </c>
      <c r="G9677" t="s">
        <v>9463</v>
      </c>
      <c r="H9677" s="21">
        <v>1006.17</v>
      </c>
    </row>
    <row r="9678" spans="1:8" customFormat="1" x14ac:dyDescent="0.25">
      <c r="A9678" t="str">
        <f>"9222172"</f>
        <v>9222172</v>
      </c>
      <c r="B9678" t="s">
        <v>8687</v>
      </c>
      <c r="C9678" t="s">
        <v>171</v>
      </c>
      <c r="D9678" s="21" t="s">
        <v>34</v>
      </c>
      <c r="E9678" s="21" t="s">
        <v>71</v>
      </c>
      <c r="F9678">
        <v>8941282</v>
      </c>
      <c r="G9678" t="s">
        <v>5040</v>
      </c>
      <c r="H9678" s="21">
        <v>1006.17</v>
      </c>
    </row>
    <row r="9679" spans="1:8" customFormat="1" x14ac:dyDescent="0.25">
      <c r="A9679" t="str">
        <f>"5914175"</f>
        <v>5914175</v>
      </c>
      <c r="B9679" t="s">
        <v>4904</v>
      </c>
      <c r="C9679" t="s">
        <v>269</v>
      </c>
      <c r="D9679" s="21" t="s">
        <v>34</v>
      </c>
      <c r="E9679" s="21" t="s">
        <v>35</v>
      </c>
      <c r="F9679">
        <v>7590055</v>
      </c>
      <c r="G9679" t="s">
        <v>1573</v>
      </c>
      <c r="H9679" s="21">
        <v>1006.17</v>
      </c>
    </row>
    <row r="9680" spans="1:8" customFormat="1" x14ac:dyDescent="0.25">
      <c r="A9680" t="str">
        <f>"5321785"</f>
        <v>5321785</v>
      </c>
      <c r="B9680" t="s">
        <v>8851</v>
      </c>
      <c r="C9680" t="s">
        <v>2730</v>
      </c>
      <c r="D9680" s="21" t="s">
        <v>34</v>
      </c>
      <c r="E9680" s="21" t="s">
        <v>1089</v>
      </c>
      <c r="F9680">
        <v>12530098</v>
      </c>
      <c r="G9680" t="s">
        <v>8852</v>
      </c>
      <c r="H9680" s="21">
        <v>1006.17</v>
      </c>
    </row>
    <row r="9681" spans="1:8" customFormat="1" x14ac:dyDescent="0.25">
      <c r="A9681" t="str">
        <f>"7817113"</f>
        <v>7817113</v>
      </c>
      <c r="B9681" t="s">
        <v>400</v>
      </c>
      <c r="C9681" t="s">
        <v>139</v>
      </c>
      <c r="D9681" s="21" t="s">
        <v>34</v>
      </c>
      <c r="E9681" s="21" t="s">
        <v>35</v>
      </c>
      <c r="F9681">
        <v>8780128</v>
      </c>
      <c r="G9681" t="s">
        <v>4201</v>
      </c>
      <c r="H9681" s="21">
        <v>1006.17</v>
      </c>
    </row>
    <row r="9682" spans="1:8" customFormat="1" x14ac:dyDescent="0.25">
      <c r="A9682" t="str">
        <f>"7919623"</f>
        <v>7919623</v>
      </c>
      <c r="B9682" t="s">
        <v>392</v>
      </c>
      <c r="C9682" t="s">
        <v>65</v>
      </c>
      <c r="D9682" s="21" t="s">
        <v>34</v>
      </c>
      <c r="E9682" s="21" t="s">
        <v>35</v>
      </c>
      <c r="F9682">
        <v>10790020</v>
      </c>
      <c r="G9682" t="s">
        <v>10221</v>
      </c>
      <c r="H9682" s="21">
        <v>1006.05</v>
      </c>
    </row>
    <row r="9683" spans="1:8" customFormat="1" x14ac:dyDescent="0.25">
      <c r="A9683" t="str">
        <f>"357521"</f>
        <v>357521</v>
      </c>
      <c r="B9683" t="s">
        <v>6993</v>
      </c>
      <c r="C9683" t="s">
        <v>209</v>
      </c>
      <c r="D9683" s="21" t="s">
        <v>34</v>
      </c>
      <c r="E9683" s="21" t="s">
        <v>35</v>
      </c>
      <c r="F9683">
        <v>3350022</v>
      </c>
      <c r="G9683" t="s">
        <v>1287</v>
      </c>
      <c r="H9683" s="21">
        <v>1006.05</v>
      </c>
    </row>
    <row r="9684" spans="1:8" customFormat="1" x14ac:dyDescent="0.25">
      <c r="A9684" t="str">
        <f>"3115045"</f>
        <v>3115045</v>
      </c>
      <c r="B9684" t="s">
        <v>11311</v>
      </c>
      <c r="C9684" t="s">
        <v>269</v>
      </c>
      <c r="D9684" s="21" t="s">
        <v>34</v>
      </c>
      <c r="E9684" s="21" t="s">
        <v>71</v>
      </c>
      <c r="F9684">
        <v>11310064</v>
      </c>
      <c r="G9684" t="s">
        <v>931</v>
      </c>
      <c r="H9684" s="21">
        <v>1006.04</v>
      </c>
    </row>
    <row r="9685" spans="1:8" customFormat="1" x14ac:dyDescent="0.25">
      <c r="A9685" t="str">
        <f>"7114487"</f>
        <v>7114487</v>
      </c>
      <c r="B9685" t="s">
        <v>4624</v>
      </c>
      <c r="C9685" t="s">
        <v>598</v>
      </c>
      <c r="D9685" s="21" t="s">
        <v>34</v>
      </c>
      <c r="E9685" s="21" t="s">
        <v>254</v>
      </c>
      <c r="F9685">
        <v>2710041</v>
      </c>
      <c r="G9685" t="s">
        <v>389</v>
      </c>
      <c r="H9685" s="21">
        <v>1006</v>
      </c>
    </row>
    <row r="9686" spans="1:8" customFormat="1" x14ac:dyDescent="0.25">
      <c r="A9686" t="str">
        <f>"586353"</f>
        <v>586353</v>
      </c>
      <c r="B9686" t="s">
        <v>5536</v>
      </c>
      <c r="C9686" t="s">
        <v>275</v>
      </c>
      <c r="D9686" s="21" t="s">
        <v>34</v>
      </c>
      <c r="E9686" s="21" t="s">
        <v>35</v>
      </c>
      <c r="F9686">
        <v>8910004</v>
      </c>
      <c r="G9686" t="s">
        <v>9637</v>
      </c>
      <c r="H9686" s="21">
        <v>1005.93</v>
      </c>
    </row>
    <row r="9687" spans="1:8" customFormat="1" x14ac:dyDescent="0.25">
      <c r="A9687" t="str">
        <f>"5321038"</f>
        <v>5321038</v>
      </c>
      <c r="B9687" t="s">
        <v>10435</v>
      </c>
      <c r="C9687" t="s">
        <v>204</v>
      </c>
      <c r="D9687" s="21" t="s">
        <v>34</v>
      </c>
      <c r="E9687" s="21" t="s">
        <v>35</v>
      </c>
      <c r="F9687">
        <v>12538899</v>
      </c>
      <c r="G9687" t="s">
        <v>10436</v>
      </c>
      <c r="H9687" s="21">
        <v>1005.92</v>
      </c>
    </row>
    <row r="9688" spans="1:8" customFormat="1" x14ac:dyDescent="0.25">
      <c r="A9688" t="str">
        <f>"7915592"</f>
        <v>7915592</v>
      </c>
      <c r="B9688" t="s">
        <v>9470</v>
      </c>
      <c r="C9688" t="s">
        <v>119</v>
      </c>
      <c r="D9688" s="21" t="s">
        <v>34</v>
      </c>
      <c r="E9688" s="21" t="s">
        <v>35</v>
      </c>
      <c r="F9688">
        <v>10790043</v>
      </c>
      <c r="G9688" t="s">
        <v>2828</v>
      </c>
      <c r="H9688" s="21">
        <v>1005.92</v>
      </c>
    </row>
    <row r="9689" spans="1:8" customFormat="1" x14ac:dyDescent="0.25">
      <c r="A9689" t="str">
        <f>"5019122"</f>
        <v>5019122</v>
      </c>
      <c r="B9689" t="s">
        <v>8753</v>
      </c>
      <c r="C9689" t="s">
        <v>288</v>
      </c>
      <c r="D9689" s="21" t="s">
        <v>34</v>
      </c>
      <c r="E9689" s="21" t="s">
        <v>35</v>
      </c>
      <c r="F9689">
        <v>9500027</v>
      </c>
      <c r="G9689" t="s">
        <v>6343</v>
      </c>
      <c r="H9689" s="21">
        <v>1005.8</v>
      </c>
    </row>
    <row r="9690" spans="1:8" customFormat="1" x14ac:dyDescent="0.25">
      <c r="A9690" t="str">
        <f>"676880"</f>
        <v>676880</v>
      </c>
      <c r="B9690" t="s">
        <v>9742</v>
      </c>
      <c r="C9690" t="s">
        <v>139</v>
      </c>
      <c r="D9690" s="21" t="s">
        <v>34</v>
      </c>
      <c r="E9690" s="21" t="s">
        <v>35</v>
      </c>
      <c r="F9690">
        <v>6670216</v>
      </c>
      <c r="G9690" t="s">
        <v>2194</v>
      </c>
      <c r="H9690" s="21">
        <v>1005.67</v>
      </c>
    </row>
    <row r="9691" spans="1:8" customFormat="1" x14ac:dyDescent="0.25">
      <c r="A9691" t="str">
        <f>"5946625"</f>
        <v>5946625</v>
      </c>
      <c r="B9691" t="s">
        <v>1081</v>
      </c>
      <c r="C9691" t="s">
        <v>98</v>
      </c>
      <c r="D9691" s="21" t="s">
        <v>34</v>
      </c>
      <c r="E9691" s="21" t="s">
        <v>35</v>
      </c>
      <c r="F9691">
        <v>7590410</v>
      </c>
      <c r="G9691" t="s">
        <v>2048</v>
      </c>
      <c r="H9691" s="21">
        <v>1005.67</v>
      </c>
    </row>
    <row r="9692" spans="1:8" customFormat="1" x14ac:dyDescent="0.25">
      <c r="A9692" t="str">
        <f>"3415614"</f>
        <v>3415614</v>
      </c>
      <c r="B9692" t="s">
        <v>9518</v>
      </c>
      <c r="C9692" t="s">
        <v>462</v>
      </c>
      <c r="D9692" s="21" t="s">
        <v>34</v>
      </c>
      <c r="E9692" s="21" t="s">
        <v>254</v>
      </c>
      <c r="F9692">
        <v>11340067</v>
      </c>
      <c r="G9692" t="s">
        <v>2895</v>
      </c>
      <c r="H9692" s="21">
        <v>1005.67</v>
      </c>
    </row>
    <row r="9693" spans="1:8" customFormat="1" x14ac:dyDescent="0.25">
      <c r="A9693" t="str">
        <f>"853476"</f>
        <v>853476</v>
      </c>
      <c r="B9693" t="s">
        <v>27118</v>
      </c>
      <c r="C9693" t="s">
        <v>169</v>
      </c>
      <c r="D9693" s="21" t="s">
        <v>34</v>
      </c>
      <c r="E9693" s="21" t="s">
        <v>71</v>
      </c>
      <c r="F9693">
        <v>12850069</v>
      </c>
      <c r="G9693" t="s">
        <v>2154</v>
      </c>
      <c r="H9693" s="21">
        <v>1005.67</v>
      </c>
    </row>
    <row r="9694" spans="1:8" customFormat="1" x14ac:dyDescent="0.25">
      <c r="A9694" t="str">
        <f>"668447"</f>
        <v>668447</v>
      </c>
      <c r="B9694" t="s">
        <v>1422</v>
      </c>
      <c r="C9694" t="s">
        <v>269</v>
      </c>
      <c r="D9694" s="21" t="s">
        <v>34</v>
      </c>
      <c r="E9694" s="21" t="s">
        <v>71</v>
      </c>
      <c r="F9694">
        <v>11660020</v>
      </c>
      <c r="G9694" t="s">
        <v>10247</v>
      </c>
      <c r="H9694" s="21">
        <v>1005.67</v>
      </c>
    </row>
    <row r="9695" spans="1:8" customFormat="1" x14ac:dyDescent="0.25">
      <c r="A9695" t="str">
        <f>"706014"</f>
        <v>706014</v>
      </c>
      <c r="B9695" t="s">
        <v>11435</v>
      </c>
      <c r="C9695" t="s">
        <v>3073</v>
      </c>
      <c r="D9695" s="21" t="s">
        <v>34</v>
      </c>
      <c r="E9695" s="21" t="s">
        <v>71</v>
      </c>
      <c r="F9695">
        <v>2700093</v>
      </c>
      <c r="G9695" t="s">
        <v>5302</v>
      </c>
      <c r="H9695" s="21">
        <v>1005.67</v>
      </c>
    </row>
    <row r="9696" spans="1:8" customFormat="1" x14ac:dyDescent="0.25">
      <c r="A9696" t="str">
        <f>"628036"</f>
        <v>628036</v>
      </c>
      <c r="B9696" t="s">
        <v>9435</v>
      </c>
      <c r="C9696" t="s">
        <v>2479</v>
      </c>
      <c r="D9696" s="21" t="s">
        <v>34</v>
      </c>
      <c r="E9696" s="21" t="s">
        <v>71</v>
      </c>
      <c r="F9696">
        <v>7620145</v>
      </c>
      <c r="G9696" t="s">
        <v>2068</v>
      </c>
      <c r="H9696" s="21">
        <v>1005.67</v>
      </c>
    </row>
    <row r="9697" spans="1:8" customFormat="1" x14ac:dyDescent="0.25">
      <c r="A9697" t="str">
        <f>"5935830"</f>
        <v>5935830</v>
      </c>
      <c r="B9697" t="s">
        <v>3759</v>
      </c>
      <c r="C9697" t="s">
        <v>55</v>
      </c>
      <c r="D9697" s="21" t="s">
        <v>34</v>
      </c>
      <c r="E9697" s="21" t="s">
        <v>35</v>
      </c>
      <c r="F9697">
        <v>7590106</v>
      </c>
      <c r="G9697" t="s">
        <v>4790</v>
      </c>
      <c r="H9697" s="21">
        <v>1005.67</v>
      </c>
    </row>
    <row r="9698" spans="1:8" customFormat="1" x14ac:dyDescent="0.25">
      <c r="A9698" t="str">
        <f>"7831070"</f>
        <v>7831070</v>
      </c>
      <c r="B9698" t="s">
        <v>8242</v>
      </c>
      <c r="C9698" t="s">
        <v>8243</v>
      </c>
      <c r="D9698" s="21" t="s">
        <v>34</v>
      </c>
      <c r="E9698" s="21" t="s">
        <v>35</v>
      </c>
      <c r="F9698">
        <v>8780485</v>
      </c>
      <c r="G9698" t="s">
        <v>1279</v>
      </c>
      <c r="H9698" s="21">
        <v>1005.67</v>
      </c>
    </row>
    <row r="9699" spans="1:8" customFormat="1" x14ac:dyDescent="0.25">
      <c r="A9699" t="str">
        <f>"913562"</f>
        <v>913562</v>
      </c>
      <c r="B9699" t="s">
        <v>9840</v>
      </c>
      <c r="C9699" t="s">
        <v>293</v>
      </c>
      <c r="D9699" s="21" t="s">
        <v>34</v>
      </c>
      <c r="E9699" s="21" t="s">
        <v>35</v>
      </c>
      <c r="F9699">
        <v>8910591</v>
      </c>
      <c r="G9699" t="s">
        <v>9841</v>
      </c>
      <c r="H9699" s="21">
        <v>1005.55</v>
      </c>
    </row>
    <row r="9700" spans="1:8" customFormat="1" x14ac:dyDescent="0.25">
      <c r="A9700" t="str">
        <f>"7212351"</f>
        <v>7212351</v>
      </c>
      <c r="B9700" t="s">
        <v>9748</v>
      </c>
      <c r="C9700" t="s">
        <v>598</v>
      </c>
      <c r="D9700" s="21" t="s">
        <v>34</v>
      </c>
      <c r="E9700" s="21" t="s">
        <v>254</v>
      </c>
      <c r="F9700">
        <v>12720002</v>
      </c>
      <c r="G9700" t="s">
        <v>1712</v>
      </c>
      <c r="H9700" s="21">
        <v>1005.5</v>
      </c>
    </row>
    <row r="9701" spans="1:8" customFormat="1" x14ac:dyDescent="0.25">
      <c r="A9701" t="str">
        <f>"726197"</f>
        <v>726197</v>
      </c>
      <c r="B9701" t="s">
        <v>4330</v>
      </c>
      <c r="C9701" t="s">
        <v>90</v>
      </c>
      <c r="D9701" s="21" t="s">
        <v>34</v>
      </c>
      <c r="E9701" s="21" t="s">
        <v>71</v>
      </c>
      <c r="F9701">
        <v>12720049</v>
      </c>
      <c r="G9701" t="s">
        <v>1627</v>
      </c>
      <c r="H9701" s="21">
        <v>1005.42</v>
      </c>
    </row>
    <row r="9702" spans="1:8" customFormat="1" x14ac:dyDescent="0.25">
      <c r="A9702" t="str">
        <f>"953980"</f>
        <v>953980</v>
      </c>
      <c r="B9702" t="s">
        <v>8907</v>
      </c>
      <c r="C9702" t="s">
        <v>598</v>
      </c>
      <c r="D9702" s="21" t="s">
        <v>34</v>
      </c>
      <c r="E9702" s="21" t="s">
        <v>254</v>
      </c>
      <c r="F9702">
        <v>11340007</v>
      </c>
      <c r="G9702" t="s">
        <v>2278</v>
      </c>
      <c r="H9702" s="21">
        <v>1005.42</v>
      </c>
    </row>
    <row r="9703" spans="1:8" customFormat="1" x14ac:dyDescent="0.25">
      <c r="A9703" t="str">
        <f>"5920464"</f>
        <v>5920464</v>
      </c>
      <c r="B9703" t="s">
        <v>11937</v>
      </c>
      <c r="C9703" t="s">
        <v>2907</v>
      </c>
      <c r="D9703" s="21" t="s">
        <v>34</v>
      </c>
      <c r="E9703" s="21" t="s">
        <v>254</v>
      </c>
      <c r="F9703">
        <v>7590332</v>
      </c>
      <c r="G9703" t="s">
        <v>6094</v>
      </c>
      <c r="H9703" s="21">
        <v>1005.3</v>
      </c>
    </row>
    <row r="9704" spans="1:8" customFormat="1" x14ac:dyDescent="0.25">
      <c r="A9704" t="str">
        <f>"88350"</f>
        <v>88350</v>
      </c>
      <c r="B9704" t="s">
        <v>4826</v>
      </c>
      <c r="C9704" t="s">
        <v>412</v>
      </c>
      <c r="D9704" s="21" t="s">
        <v>34</v>
      </c>
      <c r="E9704" s="21" t="s">
        <v>71</v>
      </c>
      <c r="F9704">
        <v>6880018</v>
      </c>
      <c r="G9704" t="s">
        <v>9046</v>
      </c>
      <c r="H9704" s="21">
        <v>1005.29</v>
      </c>
    </row>
    <row r="9705" spans="1:8" customFormat="1" x14ac:dyDescent="0.25">
      <c r="A9705" t="str">
        <f>"0114774"</f>
        <v>0114774</v>
      </c>
      <c r="B9705" t="s">
        <v>146</v>
      </c>
      <c r="C9705" t="s">
        <v>285</v>
      </c>
      <c r="D9705" s="21" t="s">
        <v>34</v>
      </c>
      <c r="E9705" s="21" t="s">
        <v>71</v>
      </c>
      <c r="F9705">
        <v>1010063</v>
      </c>
      <c r="G9705" t="s">
        <v>5215</v>
      </c>
      <c r="H9705" s="21">
        <v>1005.29</v>
      </c>
    </row>
    <row r="9706" spans="1:8" customFormat="1" x14ac:dyDescent="0.25">
      <c r="A9706" t="str">
        <f>"2716078"</f>
        <v>2716078</v>
      </c>
      <c r="B9706" t="s">
        <v>10249</v>
      </c>
      <c r="C9706" t="s">
        <v>119</v>
      </c>
      <c r="D9706" s="21" t="s">
        <v>34</v>
      </c>
      <c r="E9706" s="21" t="s">
        <v>71</v>
      </c>
      <c r="F9706">
        <v>9270185</v>
      </c>
      <c r="G9706" t="s">
        <v>9160</v>
      </c>
      <c r="H9706" s="21">
        <v>1005.17</v>
      </c>
    </row>
    <row r="9707" spans="1:8" customFormat="1" x14ac:dyDescent="0.25">
      <c r="A9707" t="str">
        <f>"7511787"</f>
        <v>7511787</v>
      </c>
      <c r="B9707" t="s">
        <v>27119</v>
      </c>
      <c r="C9707" t="s">
        <v>204</v>
      </c>
      <c r="D9707" s="21" t="s">
        <v>34</v>
      </c>
      <c r="E9707" s="21" t="s">
        <v>35</v>
      </c>
      <c r="F9707">
        <v>8911132</v>
      </c>
      <c r="G9707" t="s">
        <v>10728</v>
      </c>
      <c r="H9707" s="21">
        <v>1005.17</v>
      </c>
    </row>
    <row r="9708" spans="1:8" customFormat="1" x14ac:dyDescent="0.25">
      <c r="A9708" t="str">
        <f>"603128"</f>
        <v>603128</v>
      </c>
      <c r="B9708" t="s">
        <v>5601</v>
      </c>
      <c r="C9708" t="s">
        <v>98</v>
      </c>
      <c r="D9708" s="21" t="s">
        <v>34</v>
      </c>
      <c r="E9708" s="21" t="s">
        <v>71</v>
      </c>
      <c r="F9708">
        <v>7600040</v>
      </c>
      <c r="G9708" t="s">
        <v>6757</v>
      </c>
      <c r="H9708" s="21">
        <v>1005.17</v>
      </c>
    </row>
    <row r="9709" spans="1:8" customFormat="1" x14ac:dyDescent="0.25">
      <c r="A9709" t="str">
        <f>"3116674"</f>
        <v>3116674</v>
      </c>
      <c r="B9709" t="s">
        <v>10414</v>
      </c>
      <c r="C9709" t="s">
        <v>60</v>
      </c>
      <c r="D9709" s="21" t="s">
        <v>34</v>
      </c>
      <c r="E9709" s="21" t="s">
        <v>35</v>
      </c>
      <c r="F9709">
        <v>11310060</v>
      </c>
      <c r="G9709" t="s">
        <v>2448</v>
      </c>
      <c r="H9709" s="21">
        <v>1005.17</v>
      </c>
    </row>
    <row r="9710" spans="1:8" customFormat="1" x14ac:dyDescent="0.25">
      <c r="A9710" t="str">
        <f>"675244"</f>
        <v>675244</v>
      </c>
      <c r="B9710" t="s">
        <v>10844</v>
      </c>
      <c r="C9710" t="s">
        <v>719</v>
      </c>
      <c r="D9710" s="21" t="s">
        <v>34</v>
      </c>
      <c r="E9710" s="21" t="s">
        <v>35</v>
      </c>
      <c r="F9710">
        <v>6670092</v>
      </c>
      <c r="G9710" t="s">
        <v>10845</v>
      </c>
      <c r="H9710" s="21">
        <v>1005.17</v>
      </c>
    </row>
    <row r="9711" spans="1:8" customFormat="1" x14ac:dyDescent="0.25">
      <c r="A9711" t="str">
        <f>"441434"</f>
        <v>441434</v>
      </c>
      <c r="B9711" t="s">
        <v>7804</v>
      </c>
      <c r="C9711" t="s">
        <v>3889</v>
      </c>
      <c r="D9711" s="21" t="s">
        <v>34</v>
      </c>
      <c r="E9711" s="21" t="s">
        <v>254</v>
      </c>
      <c r="F9711">
        <v>12440038</v>
      </c>
      <c r="G9711" t="s">
        <v>2057</v>
      </c>
      <c r="H9711" s="21">
        <v>1005.17</v>
      </c>
    </row>
    <row r="9712" spans="1:8" customFormat="1" x14ac:dyDescent="0.25">
      <c r="A9712" t="str">
        <f>"9229810"</f>
        <v>9229810</v>
      </c>
      <c r="B9712" t="s">
        <v>7512</v>
      </c>
      <c r="C9712" t="s">
        <v>151</v>
      </c>
      <c r="D9712" s="21" t="s">
        <v>34</v>
      </c>
      <c r="E9712" s="21" t="s">
        <v>71</v>
      </c>
      <c r="F9712">
        <v>2890005</v>
      </c>
      <c r="G9712" t="s">
        <v>2889</v>
      </c>
      <c r="H9712" s="21">
        <v>1005.17</v>
      </c>
    </row>
    <row r="9713" spans="1:8" customFormat="1" x14ac:dyDescent="0.25">
      <c r="A9713" t="str">
        <f>"565787"</f>
        <v>565787</v>
      </c>
      <c r="B9713" t="s">
        <v>27120</v>
      </c>
      <c r="C9713" t="s">
        <v>65</v>
      </c>
      <c r="D9713" s="21" t="s">
        <v>34</v>
      </c>
      <c r="E9713" s="21" t="s">
        <v>35</v>
      </c>
      <c r="F9713">
        <v>3560023</v>
      </c>
      <c r="G9713" t="s">
        <v>8213</v>
      </c>
      <c r="H9713" s="21">
        <v>1005</v>
      </c>
    </row>
    <row r="9714" spans="1:8" customFormat="1" x14ac:dyDescent="0.25">
      <c r="A9714" t="str">
        <f>"496169"</f>
        <v>496169</v>
      </c>
      <c r="B9714" t="s">
        <v>2726</v>
      </c>
      <c r="C9714" t="s">
        <v>263</v>
      </c>
      <c r="D9714" s="21" t="s">
        <v>34</v>
      </c>
      <c r="E9714" s="21" t="s">
        <v>71</v>
      </c>
      <c r="F9714">
        <v>12490129</v>
      </c>
      <c r="G9714" t="s">
        <v>7607</v>
      </c>
      <c r="H9714" s="21">
        <v>1004.92</v>
      </c>
    </row>
    <row r="9715" spans="1:8" customFormat="1" x14ac:dyDescent="0.25">
      <c r="A9715" t="str">
        <f>"606454"</f>
        <v>606454</v>
      </c>
      <c r="B9715" t="s">
        <v>8935</v>
      </c>
      <c r="C9715" t="s">
        <v>486</v>
      </c>
      <c r="D9715" s="21" t="s">
        <v>34</v>
      </c>
      <c r="E9715" s="21" t="s">
        <v>35</v>
      </c>
      <c r="F9715">
        <v>7600063</v>
      </c>
      <c r="G9715" t="s">
        <v>2506</v>
      </c>
      <c r="H9715" s="21">
        <v>1004.8</v>
      </c>
    </row>
    <row r="9716" spans="1:8" customFormat="1" x14ac:dyDescent="0.25">
      <c r="A9716" t="str">
        <f>"772334"</f>
        <v>772334</v>
      </c>
      <c r="B9716" t="s">
        <v>9961</v>
      </c>
      <c r="C9716" t="s">
        <v>187</v>
      </c>
      <c r="D9716" s="21" t="s">
        <v>34</v>
      </c>
      <c r="E9716" s="21" t="s">
        <v>35</v>
      </c>
      <c r="F9716">
        <v>8770911</v>
      </c>
      <c r="G9716" t="s">
        <v>4824</v>
      </c>
      <c r="H9716" s="21">
        <v>1004.8</v>
      </c>
    </row>
    <row r="9717" spans="1:8" customFormat="1" x14ac:dyDescent="0.25">
      <c r="A9717" t="str">
        <f>"736375"</f>
        <v>736375</v>
      </c>
      <c r="B9717" t="s">
        <v>10202</v>
      </c>
      <c r="C9717" t="s">
        <v>209</v>
      </c>
      <c r="D9717" s="21" t="s">
        <v>34</v>
      </c>
      <c r="E9717" s="21" t="s">
        <v>71</v>
      </c>
      <c r="F9717">
        <v>1730007</v>
      </c>
      <c r="G9717" t="s">
        <v>6989</v>
      </c>
      <c r="H9717" s="21">
        <v>1004.79</v>
      </c>
    </row>
    <row r="9718" spans="1:8" customFormat="1" x14ac:dyDescent="0.25">
      <c r="A9718" t="str">
        <f>"616418"</f>
        <v>616418</v>
      </c>
      <c r="B9718" t="s">
        <v>8562</v>
      </c>
      <c r="C9718" t="s">
        <v>239</v>
      </c>
      <c r="D9718" s="21" t="s">
        <v>34</v>
      </c>
      <c r="E9718" s="21" t="s">
        <v>254</v>
      </c>
      <c r="F9718">
        <v>9610073</v>
      </c>
      <c r="G9718" t="s">
        <v>8382</v>
      </c>
      <c r="H9718" s="21">
        <v>1004.67</v>
      </c>
    </row>
    <row r="9719" spans="1:8" customFormat="1" x14ac:dyDescent="0.25">
      <c r="A9719" t="str">
        <f>"766120"</f>
        <v>766120</v>
      </c>
      <c r="B9719" t="s">
        <v>108</v>
      </c>
      <c r="C9719" t="s">
        <v>144</v>
      </c>
      <c r="D9719" s="21" t="s">
        <v>34</v>
      </c>
      <c r="E9719" s="21" t="s">
        <v>254</v>
      </c>
      <c r="F9719">
        <v>9760308</v>
      </c>
      <c r="G9719" t="s">
        <v>8917</v>
      </c>
      <c r="H9719" s="21">
        <v>1004.67</v>
      </c>
    </row>
    <row r="9720" spans="1:8" customFormat="1" x14ac:dyDescent="0.25">
      <c r="A9720" t="str">
        <f>"5946947"</f>
        <v>5946947</v>
      </c>
      <c r="B9720" t="s">
        <v>9169</v>
      </c>
      <c r="C9720" t="s">
        <v>253</v>
      </c>
      <c r="D9720" s="21" t="s">
        <v>34</v>
      </c>
      <c r="E9720" s="21" t="s">
        <v>254</v>
      </c>
      <c r="F9720">
        <v>7590271</v>
      </c>
      <c r="G9720" t="s">
        <v>3163</v>
      </c>
      <c r="H9720" s="21">
        <v>1004.67</v>
      </c>
    </row>
    <row r="9721" spans="1:8" customFormat="1" x14ac:dyDescent="0.25">
      <c r="A9721" t="str">
        <f>"606758"</f>
        <v>606758</v>
      </c>
      <c r="B9721" t="s">
        <v>9685</v>
      </c>
      <c r="C9721" t="s">
        <v>209</v>
      </c>
      <c r="D9721" s="21" t="s">
        <v>34</v>
      </c>
      <c r="E9721" s="21" t="s">
        <v>71</v>
      </c>
      <c r="F9721">
        <v>7600017</v>
      </c>
      <c r="G9721" t="s">
        <v>8498</v>
      </c>
      <c r="H9721" s="21">
        <v>1004.67</v>
      </c>
    </row>
    <row r="9722" spans="1:8" customFormat="1" x14ac:dyDescent="0.25">
      <c r="A9722" t="str">
        <f>"8611352"</f>
        <v>8611352</v>
      </c>
      <c r="B9722" t="s">
        <v>9990</v>
      </c>
      <c r="C9722" t="s">
        <v>9895</v>
      </c>
      <c r="D9722" s="21" t="s">
        <v>34</v>
      </c>
      <c r="E9722" s="21" t="s">
        <v>35</v>
      </c>
      <c r="F9722">
        <v>10860187</v>
      </c>
      <c r="G9722" t="s">
        <v>9991</v>
      </c>
      <c r="H9722" s="21">
        <v>1004.67</v>
      </c>
    </row>
    <row r="9723" spans="1:8" customFormat="1" x14ac:dyDescent="0.25">
      <c r="A9723" t="str">
        <f>"9130464"</f>
        <v>9130464</v>
      </c>
      <c r="B9723" t="s">
        <v>8864</v>
      </c>
      <c r="C9723" t="s">
        <v>267</v>
      </c>
      <c r="D9723" s="21" t="s">
        <v>34</v>
      </c>
      <c r="E9723" s="21" t="s">
        <v>254</v>
      </c>
      <c r="F9723">
        <v>8910402</v>
      </c>
      <c r="G9723" t="s">
        <v>1371</v>
      </c>
      <c r="H9723" s="21">
        <v>1004.67</v>
      </c>
    </row>
    <row r="9724" spans="1:8" customFormat="1" x14ac:dyDescent="0.25">
      <c r="A9724" t="str">
        <f>"4927750"</f>
        <v>4927750</v>
      </c>
      <c r="B9724" t="s">
        <v>9704</v>
      </c>
      <c r="C9724" t="s">
        <v>233</v>
      </c>
      <c r="D9724" s="21" t="s">
        <v>34</v>
      </c>
      <c r="E9724" s="21" t="s">
        <v>71</v>
      </c>
      <c r="F9724">
        <v>12490063</v>
      </c>
      <c r="G9724" t="s">
        <v>329</v>
      </c>
      <c r="H9724" s="21">
        <v>1004.67</v>
      </c>
    </row>
    <row r="9725" spans="1:8" customFormat="1" x14ac:dyDescent="0.25">
      <c r="A9725" t="str">
        <f>"9234133"</f>
        <v>9234133</v>
      </c>
      <c r="B9725" t="s">
        <v>11164</v>
      </c>
      <c r="C9725" t="s">
        <v>484</v>
      </c>
      <c r="D9725" s="21" t="s">
        <v>34</v>
      </c>
      <c r="E9725" s="21" t="s">
        <v>35</v>
      </c>
      <c r="F9725">
        <v>12440141</v>
      </c>
      <c r="G9725" t="s">
        <v>3234</v>
      </c>
      <c r="H9725" s="21">
        <v>1004.67</v>
      </c>
    </row>
    <row r="9726" spans="1:8" customFormat="1" x14ac:dyDescent="0.25">
      <c r="A9726" t="str">
        <f>"2933936"</f>
        <v>2933936</v>
      </c>
      <c r="B9726" t="s">
        <v>9368</v>
      </c>
      <c r="C9726" t="s">
        <v>462</v>
      </c>
      <c r="D9726" s="21" t="s">
        <v>34</v>
      </c>
      <c r="E9726" s="21" t="s">
        <v>71</v>
      </c>
      <c r="F9726">
        <v>12490068</v>
      </c>
      <c r="G9726" t="s">
        <v>2070</v>
      </c>
      <c r="H9726" s="21">
        <v>1004.67</v>
      </c>
    </row>
    <row r="9727" spans="1:8" customFormat="1" x14ac:dyDescent="0.25">
      <c r="A9727" t="str">
        <f>"5315825"</f>
        <v>5315825</v>
      </c>
      <c r="B9727" t="s">
        <v>650</v>
      </c>
      <c r="C9727" t="s">
        <v>33</v>
      </c>
      <c r="D9727" s="21" t="s">
        <v>34</v>
      </c>
      <c r="E9727" s="21" t="s">
        <v>254</v>
      </c>
      <c r="F9727">
        <v>9610009</v>
      </c>
      <c r="G9727" t="s">
        <v>282</v>
      </c>
      <c r="H9727" s="21">
        <v>1004.67</v>
      </c>
    </row>
    <row r="9728" spans="1:8" customFormat="1" x14ac:dyDescent="0.25">
      <c r="A9728" t="str">
        <f>"4211364"</f>
        <v>4211364</v>
      </c>
      <c r="B9728" t="s">
        <v>11033</v>
      </c>
      <c r="C9728" t="s">
        <v>1110</v>
      </c>
      <c r="D9728" s="21" t="s">
        <v>34</v>
      </c>
      <c r="E9728" s="21" t="s">
        <v>254</v>
      </c>
      <c r="F9728">
        <v>1420154</v>
      </c>
      <c r="G9728" t="s">
        <v>11034</v>
      </c>
      <c r="H9728" s="21">
        <v>1004.67</v>
      </c>
    </row>
    <row r="9729" spans="1:8" customFormat="1" x14ac:dyDescent="0.25">
      <c r="A9729" t="str">
        <f>"8519658"</f>
        <v>8519658</v>
      </c>
      <c r="B9729" t="s">
        <v>10598</v>
      </c>
      <c r="C9729" t="s">
        <v>33</v>
      </c>
      <c r="D9729" s="21" t="s">
        <v>34</v>
      </c>
      <c r="E9729" s="21" t="s">
        <v>71</v>
      </c>
      <c r="F9729">
        <v>12850028</v>
      </c>
      <c r="G9729" t="s">
        <v>1700</v>
      </c>
      <c r="H9729" s="21">
        <v>1004.67</v>
      </c>
    </row>
    <row r="9730" spans="1:8" customFormat="1" x14ac:dyDescent="0.25">
      <c r="A9730" t="str">
        <f>"67998"</f>
        <v>67998</v>
      </c>
      <c r="B9730" t="s">
        <v>108</v>
      </c>
      <c r="C9730" t="s">
        <v>40</v>
      </c>
      <c r="D9730" s="21" t="s">
        <v>34</v>
      </c>
      <c r="E9730" s="21" t="s">
        <v>254</v>
      </c>
      <c r="F9730">
        <v>6670212</v>
      </c>
      <c r="G9730" t="s">
        <v>2769</v>
      </c>
      <c r="H9730" s="21">
        <v>1004.67</v>
      </c>
    </row>
    <row r="9731" spans="1:8" customFormat="1" x14ac:dyDescent="0.25">
      <c r="A9731" t="str">
        <f>"7612862"</f>
        <v>7612862</v>
      </c>
      <c r="B9731" t="s">
        <v>2552</v>
      </c>
      <c r="C9731" t="s">
        <v>249</v>
      </c>
      <c r="D9731" s="21" t="s">
        <v>34</v>
      </c>
      <c r="E9731" s="21" t="s">
        <v>71</v>
      </c>
      <c r="F9731">
        <v>9760374</v>
      </c>
      <c r="G9731" t="s">
        <v>6867</v>
      </c>
      <c r="H9731" s="21">
        <v>1004.67</v>
      </c>
    </row>
    <row r="9732" spans="1:8" customFormat="1" x14ac:dyDescent="0.25">
      <c r="A9732" t="str">
        <f>"9411494"</f>
        <v>9411494</v>
      </c>
      <c r="B9732" t="s">
        <v>7838</v>
      </c>
      <c r="C9732" t="s">
        <v>239</v>
      </c>
      <c r="D9732" s="21" t="s">
        <v>34</v>
      </c>
      <c r="E9732" s="21" t="s">
        <v>1089</v>
      </c>
      <c r="F9732">
        <v>12850072</v>
      </c>
      <c r="G9732" t="s">
        <v>7184</v>
      </c>
      <c r="H9732" s="21">
        <v>1004.67</v>
      </c>
    </row>
    <row r="9733" spans="1:8" customFormat="1" x14ac:dyDescent="0.25">
      <c r="A9733" t="str">
        <f>"4515879"</f>
        <v>4515879</v>
      </c>
      <c r="B9733" t="s">
        <v>3559</v>
      </c>
      <c r="C9733" t="s">
        <v>462</v>
      </c>
      <c r="D9733" s="21" t="s">
        <v>34</v>
      </c>
      <c r="E9733" s="21" t="s">
        <v>71</v>
      </c>
      <c r="F9733">
        <v>13830088</v>
      </c>
      <c r="G9733" t="s">
        <v>17664</v>
      </c>
      <c r="H9733" s="21">
        <v>1004.67</v>
      </c>
    </row>
    <row r="9734" spans="1:8" customFormat="1" x14ac:dyDescent="0.25">
      <c r="A9734" t="str">
        <f>"62611"</f>
        <v>62611</v>
      </c>
      <c r="B9734" t="s">
        <v>623</v>
      </c>
      <c r="C9734" t="s">
        <v>3648</v>
      </c>
      <c r="D9734" s="21" t="s">
        <v>34</v>
      </c>
      <c r="E9734" s="21" t="s">
        <v>1089</v>
      </c>
      <c r="F9734">
        <v>7620096</v>
      </c>
      <c r="G9734" t="s">
        <v>5829</v>
      </c>
      <c r="H9734" s="21">
        <v>1004.67</v>
      </c>
    </row>
    <row r="9735" spans="1:8" customFormat="1" x14ac:dyDescent="0.25">
      <c r="A9735" t="str">
        <f>"4435858"</f>
        <v>4435858</v>
      </c>
      <c r="B9735" t="s">
        <v>1890</v>
      </c>
      <c r="C9735" t="s">
        <v>1142</v>
      </c>
      <c r="D9735" s="21" t="s">
        <v>34</v>
      </c>
      <c r="E9735" s="21" t="s">
        <v>71</v>
      </c>
      <c r="F9735">
        <v>12440004</v>
      </c>
      <c r="G9735" t="s">
        <v>26530</v>
      </c>
      <c r="H9735" s="21">
        <v>1004.67</v>
      </c>
    </row>
    <row r="9736" spans="1:8" customFormat="1" x14ac:dyDescent="0.25">
      <c r="A9736" t="str">
        <f>"7726603"</f>
        <v>7726603</v>
      </c>
      <c r="B9736" t="s">
        <v>3947</v>
      </c>
      <c r="C9736" t="s">
        <v>608</v>
      </c>
      <c r="D9736" s="21" t="s">
        <v>34</v>
      </c>
      <c r="E9736" s="21" t="s">
        <v>35</v>
      </c>
      <c r="F9736">
        <v>8771426</v>
      </c>
      <c r="G9736" t="s">
        <v>844</v>
      </c>
      <c r="H9736" s="21">
        <v>1004.42</v>
      </c>
    </row>
    <row r="9737" spans="1:8" customFormat="1" x14ac:dyDescent="0.25">
      <c r="A9737" t="str">
        <f>"5431109"</f>
        <v>5431109</v>
      </c>
      <c r="B9737" t="s">
        <v>10782</v>
      </c>
      <c r="C9737" t="s">
        <v>236</v>
      </c>
      <c r="D9737" s="21" t="s">
        <v>34</v>
      </c>
      <c r="E9737" s="21" t="s">
        <v>71</v>
      </c>
      <c r="F9737">
        <v>6540008</v>
      </c>
      <c r="G9737" t="s">
        <v>3891</v>
      </c>
      <c r="H9737" s="21">
        <v>1004.17</v>
      </c>
    </row>
    <row r="9738" spans="1:8" customFormat="1" x14ac:dyDescent="0.25">
      <c r="A9738" t="str">
        <f>"8012599"</f>
        <v>8012599</v>
      </c>
      <c r="B9738" t="s">
        <v>6227</v>
      </c>
      <c r="C9738" t="s">
        <v>498</v>
      </c>
      <c r="D9738" s="21" t="s">
        <v>34</v>
      </c>
      <c r="E9738" s="21" t="s">
        <v>35</v>
      </c>
      <c r="F9738">
        <v>7800003</v>
      </c>
      <c r="G9738" t="s">
        <v>276</v>
      </c>
      <c r="H9738" s="21">
        <v>1004.17</v>
      </c>
    </row>
    <row r="9739" spans="1:8" customFormat="1" x14ac:dyDescent="0.25">
      <c r="A9739" t="str">
        <f>"365529"</f>
        <v>365529</v>
      </c>
      <c r="B9739" t="s">
        <v>9733</v>
      </c>
      <c r="C9739" t="s">
        <v>204</v>
      </c>
      <c r="D9739" s="21" t="s">
        <v>34</v>
      </c>
      <c r="E9739" s="21" t="s">
        <v>71</v>
      </c>
      <c r="F9739">
        <v>4180727</v>
      </c>
      <c r="G9739" t="s">
        <v>8025</v>
      </c>
      <c r="H9739" s="21">
        <v>1004.17</v>
      </c>
    </row>
    <row r="9740" spans="1:8" customFormat="1" x14ac:dyDescent="0.25">
      <c r="A9740" t="str">
        <f>"6929936"</f>
        <v>6929936</v>
      </c>
      <c r="B9740" t="s">
        <v>7407</v>
      </c>
      <c r="C9740" t="s">
        <v>2250</v>
      </c>
      <c r="D9740" s="21" t="s">
        <v>34</v>
      </c>
      <c r="E9740" s="21" t="s">
        <v>35</v>
      </c>
      <c r="F9740">
        <v>1690186</v>
      </c>
      <c r="G9740" t="s">
        <v>438</v>
      </c>
      <c r="H9740" s="21">
        <v>1004.17</v>
      </c>
    </row>
    <row r="9741" spans="1:8" customFormat="1" x14ac:dyDescent="0.25">
      <c r="A9741" t="str">
        <f>"5413858"</f>
        <v>5413858</v>
      </c>
      <c r="B9741" t="s">
        <v>9885</v>
      </c>
      <c r="C9741" t="s">
        <v>1559</v>
      </c>
      <c r="D9741" s="21" t="s">
        <v>34</v>
      </c>
      <c r="E9741" s="21" t="s">
        <v>35</v>
      </c>
      <c r="F9741">
        <v>6540111</v>
      </c>
      <c r="G9741" t="s">
        <v>9886</v>
      </c>
      <c r="H9741" s="21">
        <v>1004.17</v>
      </c>
    </row>
    <row r="9742" spans="1:8" customFormat="1" x14ac:dyDescent="0.25">
      <c r="A9742" t="str">
        <f>"338114"</f>
        <v>338114</v>
      </c>
      <c r="B9742" t="s">
        <v>9144</v>
      </c>
      <c r="C9742" t="s">
        <v>109</v>
      </c>
      <c r="D9742" s="21" t="s">
        <v>34</v>
      </c>
      <c r="E9742" s="21" t="s">
        <v>71</v>
      </c>
      <c r="F9742">
        <v>10330084</v>
      </c>
      <c r="G9742" t="s">
        <v>1124</v>
      </c>
      <c r="H9742" s="21">
        <v>1004.17</v>
      </c>
    </row>
    <row r="9743" spans="1:8" customFormat="1" x14ac:dyDescent="0.25">
      <c r="A9743" t="str">
        <f>"3110512"</f>
        <v>3110512</v>
      </c>
      <c r="B9743" t="s">
        <v>7142</v>
      </c>
      <c r="C9743" t="s">
        <v>65</v>
      </c>
      <c r="D9743" s="21" t="s">
        <v>34</v>
      </c>
      <c r="E9743" s="21" t="s">
        <v>35</v>
      </c>
      <c r="F9743">
        <v>11310123</v>
      </c>
      <c r="G9743" t="s">
        <v>3915</v>
      </c>
      <c r="H9743" s="21">
        <v>1004.17</v>
      </c>
    </row>
    <row r="9744" spans="1:8" customFormat="1" x14ac:dyDescent="0.25">
      <c r="A9744" t="str">
        <f>"811735"</f>
        <v>811735</v>
      </c>
      <c r="B9744" t="s">
        <v>1886</v>
      </c>
      <c r="C9744" t="s">
        <v>1132</v>
      </c>
      <c r="D9744" s="21" t="s">
        <v>34</v>
      </c>
      <c r="E9744" s="21" t="s">
        <v>71</v>
      </c>
      <c r="F9744">
        <v>11310124</v>
      </c>
      <c r="G9744" t="s">
        <v>7977</v>
      </c>
      <c r="H9744" s="21">
        <v>1004.17</v>
      </c>
    </row>
    <row r="9745" spans="1:8" customFormat="1" x14ac:dyDescent="0.25">
      <c r="A9745" t="str">
        <f>"5313481"</f>
        <v>5313481</v>
      </c>
      <c r="B9745" t="s">
        <v>7075</v>
      </c>
      <c r="C9745" t="s">
        <v>7076</v>
      </c>
      <c r="D9745" s="21" t="s">
        <v>34</v>
      </c>
      <c r="E9745" s="21" t="s">
        <v>254</v>
      </c>
      <c r="F9745">
        <v>3350021</v>
      </c>
      <c r="G9745" t="s">
        <v>1758</v>
      </c>
      <c r="H9745" s="21">
        <v>1004.17</v>
      </c>
    </row>
    <row r="9746" spans="1:8" customFormat="1" x14ac:dyDescent="0.25">
      <c r="A9746" t="str">
        <f>"4931111"</f>
        <v>4931111</v>
      </c>
      <c r="B9746" t="s">
        <v>2658</v>
      </c>
      <c r="C9746" t="s">
        <v>486</v>
      </c>
      <c r="D9746" s="21" t="s">
        <v>34</v>
      </c>
      <c r="E9746" s="21" t="s">
        <v>71</v>
      </c>
      <c r="F9746">
        <v>12490029</v>
      </c>
      <c r="G9746" t="s">
        <v>3485</v>
      </c>
      <c r="H9746" s="21">
        <v>1004.17</v>
      </c>
    </row>
    <row r="9747" spans="1:8" customFormat="1" x14ac:dyDescent="0.25">
      <c r="A9747" t="str">
        <f>"279088"</f>
        <v>279088</v>
      </c>
      <c r="B9747" t="s">
        <v>9686</v>
      </c>
      <c r="C9747" t="s">
        <v>2305</v>
      </c>
      <c r="D9747" s="21" t="s">
        <v>34</v>
      </c>
      <c r="E9747" s="21" t="s">
        <v>35</v>
      </c>
      <c r="F9747">
        <v>12850093</v>
      </c>
      <c r="G9747" t="s">
        <v>3371</v>
      </c>
      <c r="H9747" s="21">
        <v>1004.17</v>
      </c>
    </row>
    <row r="9748" spans="1:8" customFormat="1" x14ac:dyDescent="0.25">
      <c r="A9748" t="str">
        <f>"6219719"</f>
        <v>6219719</v>
      </c>
      <c r="B9748" t="s">
        <v>8846</v>
      </c>
      <c r="C9748" t="s">
        <v>2479</v>
      </c>
      <c r="D9748" s="21" t="s">
        <v>34</v>
      </c>
      <c r="E9748" s="21" t="s">
        <v>254</v>
      </c>
      <c r="F9748">
        <v>7620052</v>
      </c>
      <c r="G9748" t="s">
        <v>27121</v>
      </c>
      <c r="H9748" s="21">
        <v>1004.17</v>
      </c>
    </row>
    <row r="9749" spans="1:8" customFormat="1" x14ac:dyDescent="0.25">
      <c r="A9749" t="str">
        <f>"3828743"</f>
        <v>3828743</v>
      </c>
      <c r="B9749" t="s">
        <v>11916</v>
      </c>
      <c r="C9749" t="s">
        <v>275</v>
      </c>
      <c r="D9749" s="21" t="s">
        <v>34</v>
      </c>
      <c r="E9749" s="21" t="s">
        <v>35</v>
      </c>
      <c r="F9749">
        <v>1380084</v>
      </c>
      <c r="G9749" t="s">
        <v>8218</v>
      </c>
      <c r="H9749" s="21">
        <v>1004.05</v>
      </c>
    </row>
    <row r="9750" spans="1:8" customFormat="1" x14ac:dyDescent="0.25">
      <c r="A9750" t="str">
        <f>"8011705"</f>
        <v>8011705</v>
      </c>
      <c r="B9750" t="s">
        <v>27122</v>
      </c>
      <c r="C9750" t="s">
        <v>249</v>
      </c>
      <c r="D9750" s="21" t="s">
        <v>34</v>
      </c>
      <c r="E9750" s="21" t="s">
        <v>71</v>
      </c>
      <c r="F9750">
        <v>7800140</v>
      </c>
      <c r="G9750" t="s">
        <v>14290</v>
      </c>
      <c r="H9750" s="21">
        <v>1004</v>
      </c>
    </row>
    <row r="9751" spans="1:8" customFormat="1" x14ac:dyDescent="0.25">
      <c r="A9751" t="str">
        <f>"2929277"</f>
        <v>2929277</v>
      </c>
      <c r="B9751" t="s">
        <v>9495</v>
      </c>
      <c r="C9751" t="s">
        <v>11750</v>
      </c>
      <c r="D9751" s="21" t="s">
        <v>34</v>
      </c>
      <c r="E9751" s="21" t="s">
        <v>35</v>
      </c>
      <c r="F9751">
        <v>3290215</v>
      </c>
      <c r="G9751" t="s">
        <v>5058</v>
      </c>
      <c r="H9751" s="21">
        <v>1003.79</v>
      </c>
    </row>
    <row r="9752" spans="1:8" customFormat="1" x14ac:dyDescent="0.25">
      <c r="A9752" t="str">
        <f>"4923900"</f>
        <v>4923900</v>
      </c>
      <c r="B9752" t="s">
        <v>8792</v>
      </c>
      <c r="C9752" t="s">
        <v>8793</v>
      </c>
      <c r="D9752" s="21" t="s">
        <v>34</v>
      </c>
      <c r="E9752" s="21" t="s">
        <v>71</v>
      </c>
      <c r="F9752">
        <v>12490074</v>
      </c>
      <c r="G9752" t="s">
        <v>6711</v>
      </c>
      <c r="H9752" s="21">
        <v>1003.67</v>
      </c>
    </row>
    <row r="9753" spans="1:8" customFormat="1" x14ac:dyDescent="0.25">
      <c r="A9753" t="str">
        <f>"4429864"</f>
        <v>4429864</v>
      </c>
      <c r="B9753" t="s">
        <v>11017</v>
      </c>
      <c r="C9753" t="s">
        <v>55</v>
      </c>
      <c r="D9753" s="21" t="s">
        <v>34</v>
      </c>
      <c r="E9753" s="21" t="s">
        <v>71</v>
      </c>
      <c r="F9753">
        <v>12440015</v>
      </c>
      <c r="G9753" t="s">
        <v>8421</v>
      </c>
      <c r="H9753" s="21">
        <v>1003.67</v>
      </c>
    </row>
    <row r="9754" spans="1:8" customFormat="1" x14ac:dyDescent="0.25">
      <c r="A9754" t="str">
        <f>"6226889"</f>
        <v>6226889</v>
      </c>
      <c r="B9754" t="s">
        <v>9461</v>
      </c>
      <c r="C9754" t="s">
        <v>124</v>
      </c>
      <c r="D9754" s="21" t="s">
        <v>34</v>
      </c>
      <c r="E9754" s="21" t="s">
        <v>71</v>
      </c>
      <c r="F9754">
        <v>7620048</v>
      </c>
      <c r="G9754" t="s">
        <v>7467</v>
      </c>
      <c r="H9754" s="21">
        <v>1003.67</v>
      </c>
    </row>
    <row r="9755" spans="1:8" customFormat="1" x14ac:dyDescent="0.25">
      <c r="A9755" t="str">
        <f>"593618"</f>
        <v>593618</v>
      </c>
      <c r="B9755" t="s">
        <v>9802</v>
      </c>
      <c r="C9755" t="s">
        <v>1665</v>
      </c>
      <c r="D9755" s="21" t="s">
        <v>34</v>
      </c>
      <c r="E9755" s="21" t="s">
        <v>71</v>
      </c>
      <c r="F9755">
        <v>7620112</v>
      </c>
      <c r="G9755" t="s">
        <v>5663</v>
      </c>
      <c r="H9755" s="21">
        <v>1003.67</v>
      </c>
    </row>
    <row r="9756" spans="1:8" customFormat="1" x14ac:dyDescent="0.25">
      <c r="A9756" t="str">
        <f>"4421376"</f>
        <v>4421376</v>
      </c>
      <c r="B9756" t="s">
        <v>2189</v>
      </c>
      <c r="C9756" t="s">
        <v>121</v>
      </c>
      <c r="D9756" s="21" t="s">
        <v>34</v>
      </c>
      <c r="E9756" s="21" t="s">
        <v>71</v>
      </c>
      <c r="F9756">
        <v>12440039</v>
      </c>
      <c r="G9756" t="s">
        <v>9650</v>
      </c>
      <c r="H9756" s="21">
        <v>1003.67</v>
      </c>
    </row>
    <row r="9757" spans="1:8" customFormat="1" x14ac:dyDescent="0.25">
      <c r="A9757" t="str">
        <f>"538873"</f>
        <v>538873</v>
      </c>
      <c r="B9757" t="s">
        <v>11637</v>
      </c>
      <c r="C9757" t="s">
        <v>124</v>
      </c>
      <c r="D9757" s="21" t="s">
        <v>34</v>
      </c>
      <c r="E9757" s="21" t="s">
        <v>71</v>
      </c>
      <c r="F9757">
        <v>12530007</v>
      </c>
      <c r="G9757" t="s">
        <v>2966</v>
      </c>
      <c r="H9757" s="21">
        <v>1003.67</v>
      </c>
    </row>
    <row r="9758" spans="1:8" customFormat="1" x14ac:dyDescent="0.25">
      <c r="A9758" t="str">
        <f>"839486"</f>
        <v>839486</v>
      </c>
      <c r="B9758" t="s">
        <v>6290</v>
      </c>
      <c r="C9758" t="s">
        <v>139</v>
      </c>
      <c r="D9758" s="21" t="s">
        <v>34</v>
      </c>
      <c r="E9758" s="21" t="s">
        <v>35</v>
      </c>
      <c r="F9758">
        <v>13830064</v>
      </c>
      <c r="G9758" t="s">
        <v>8410</v>
      </c>
      <c r="H9758" s="21">
        <v>1003.67</v>
      </c>
    </row>
    <row r="9759" spans="1:8" customFormat="1" x14ac:dyDescent="0.25">
      <c r="A9759" t="str">
        <f>"12838"</f>
        <v>12838</v>
      </c>
      <c r="B9759" t="s">
        <v>10942</v>
      </c>
      <c r="C9759" t="s">
        <v>169</v>
      </c>
      <c r="D9759" s="21" t="s">
        <v>34</v>
      </c>
      <c r="E9759" s="21" t="s">
        <v>35</v>
      </c>
      <c r="F9759">
        <v>11120025</v>
      </c>
      <c r="G9759" t="s">
        <v>10943</v>
      </c>
      <c r="H9759" s="21">
        <v>1003.67</v>
      </c>
    </row>
    <row r="9760" spans="1:8" customFormat="1" x14ac:dyDescent="0.25">
      <c r="A9760" t="str">
        <f>"5416352"</f>
        <v>5416352</v>
      </c>
      <c r="B9760" t="s">
        <v>9726</v>
      </c>
      <c r="C9760" t="s">
        <v>1474</v>
      </c>
      <c r="D9760" s="21" t="s">
        <v>34</v>
      </c>
      <c r="E9760" s="21" t="s">
        <v>35</v>
      </c>
      <c r="F9760">
        <v>6540190</v>
      </c>
      <c r="G9760" t="s">
        <v>9727</v>
      </c>
      <c r="H9760" s="21">
        <v>1003.67</v>
      </c>
    </row>
    <row r="9761" spans="1:8" customFormat="1" x14ac:dyDescent="0.25">
      <c r="A9761" t="str">
        <f>"213866"</f>
        <v>213866</v>
      </c>
      <c r="B9761" t="s">
        <v>9929</v>
      </c>
      <c r="C9761" t="s">
        <v>124</v>
      </c>
      <c r="D9761" s="21" t="s">
        <v>34</v>
      </c>
      <c r="E9761" s="21" t="s">
        <v>254</v>
      </c>
      <c r="F9761">
        <v>2210039</v>
      </c>
      <c r="G9761" t="s">
        <v>9930</v>
      </c>
      <c r="H9761" s="21">
        <v>1003.42</v>
      </c>
    </row>
    <row r="9762" spans="1:8" customFormat="1" x14ac:dyDescent="0.25">
      <c r="A9762" t="str">
        <f>"4511449"</f>
        <v>4511449</v>
      </c>
      <c r="B9762" t="s">
        <v>10072</v>
      </c>
      <c r="C9762" t="s">
        <v>288</v>
      </c>
      <c r="D9762" s="21" t="s">
        <v>34</v>
      </c>
      <c r="E9762" s="21" t="s">
        <v>35</v>
      </c>
      <c r="F9762">
        <v>4450616</v>
      </c>
      <c r="G9762" t="s">
        <v>3254</v>
      </c>
      <c r="H9762" s="21">
        <v>1003.42</v>
      </c>
    </row>
    <row r="9763" spans="1:8" customFormat="1" x14ac:dyDescent="0.25">
      <c r="A9763" t="str">
        <f>"3426445"</f>
        <v>3426445</v>
      </c>
      <c r="B9763" t="s">
        <v>667</v>
      </c>
      <c r="C9763" t="s">
        <v>55</v>
      </c>
      <c r="D9763" s="21" t="s">
        <v>34</v>
      </c>
      <c r="E9763" s="21" t="s">
        <v>35</v>
      </c>
      <c r="F9763">
        <v>11340014</v>
      </c>
      <c r="G9763" t="s">
        <v>1455</v>
      </c>
      <c r="H9763" s="21">
        <v>1003.29</v>
      </c>
    </row>
    <row r="9764" spans="1:8" customFormat="1" x14ac:dyDescent="0.25">
      <c r="A9764" t="str">
        <f>"0611382"</f>
        <v>0611382</v>
      </c>
      <c r="B9764" t="s">
        <v>27123</v>
      </c>
      <c r="C9764" t="s">
        <v>27124</v>
      </c>
      <c r="D9764" s="21" t="s">
        <v>34</v>
      </c>
      <c r="E9764" s="21" t="s">
        <v>254</v>
      </c>
      <c r="F9764">
        <v>13060008</v>
      </c>
      <c r="G9764" t="s">
        <v>36</v>
      </c>
      <c r="H9764" s="21">
        <v>1003.17</v>
      </c>
    </row>
    <row r="9765" spans="1:8" customFormat="1" x14ac:dyDescent="0.25">
      <c r="A9765" t="str">
        <f>"723523"</f>
        <v>723523</v>
      </c>
      <c r="B9765" t="s">
        <v>10246</v>
      </c>
      <c r="C9765" t="s">
        <v>500</v>
      </c>
      <c r="D9765" s="21" t="s">
        <v>34</v>
      </c>
      <c r="E9765" s="21" t="s">
        <v>71</v>
      </c>
      <c r="F9765">
        <v>11660020</v>
      </c>
      <c r="G9765" t="s">
        <v>10247</v>
      </c>
      <c r="H9765" s="21">
        <v>1003.17</v>
      </c>
    </row>
    <row r="9766" spans="1:8" customFormat="1" x14ac:dyDescent="0.25">
      <c r="A9766" t="str">
        <f>"6210879"</f>
        <v>6210879</v>
      </c>
      <c r="B9766" t="s">
        <v>16325</v>
      </c>
      <c r="C9766" t="s">
        <v>204</v>
      </c>
      <c r="D9766" s="21" t="s">
        <v>34</v>
      </c>
      <c r="E9766" s="21" t="s">
        <v>35</v>
      </c>
      <c r="F9766">
        <v>7620100</v>
      </c>
      <c r="G9766" t="s">
        <v>145</v>
      </c>
      <c r="H9766" s="21">
        <v>1003.17</v>
      </c>
    </row>
    <row r="9767" spans="1:8" customFormat="1" x14ac:dyDescent="0.25">
      <c r="A9767" t="str">
        <f>"3510235"</f>
        <v>3510235</v>
      </c>
      <c r="B9767" t="s">
        <v>9211</v>
      </c>
      <c r="C9767" t="s">
        <v>415</v>
      </c>
      <c r="D9767" s="21" t="s">
        <v>34</v>
      </c>
      <c r="E9767" s="21" t="s">
        <v>71</v>
      </c>
      <c r="F9767">
        <v>3350014</v>
      </c>
      <c r="G9767" t="s">
        <v>1078</v>
      </c>
      <c r="H9767" s="21">
        <v>1003.17</v>
      </c>
    </row>
    <row r="9768" spans="1:8" customFormat="1" x14ac:dyDescent="0.25">
      <c r="A9768" t="str">
        <f>"7212472"</f>
        <v>7212472</v>
      </c>
      <c r="B9768" t="s">
        <v>10619</v>
      </c>
      <c r="C9768" t="s">
        <v>198</v>
      </c>
      <c r="D9768" s="21" t="s">
        <v>34</v>
      </c>
      <c r="E9768" s="21" t="s">
        <v>71</v>
      </c>
      <c r="F9768">
        <v>12720027</v>
      </c>
      <c r="G9768" t="s">
        <v>3562</v>
      </c>
      <c r="H9768" s="21">
        <v>1003.17</v>
      </c>
    </row>
    <row r="9769" spans="1:8" customFormat="1" x14ac:dyDescent="0.25">
      <c r="A9769" t="str">
        <f>"168463"</f>
        <v>168463</v>
      </c>
      <c r="B9769" t="s">
        <v>9624</v>
      </c>
      <c r="C9769" t="s">
        <v>198</v>
      </c>
      <c r="D9769" s="21" t="s">
        <v>34</v>
      </c>
      <c r="E9769" s="21" t="s">
        <v>71</v>
      </c>
      <c r="F9769">
        <v>10160226</v>
      </c>
      <c r="G9769" t="s">
        <v>8751</v>
      </c>
      <c r="H9769" s="21">
        <v>1003.17</v>
      </c>
    </row>
    <row r="9770" spans="1:8" customFormat="1" x14ac:dyDescent="0.25">
      <c r="A9770" t="str">
        <f>"441756"</f>
        <v>441756</v>
      </c>
      <c r="B9770" t="s">
        <v>2138</v>
      </c>
      <c r="C9770" t="s">
        <v>781</v>
      </c>
      <c r="D9770" s="21" t="s">
        <v>34</v>
      </c>
      <c r="E9770" s="21" t="s">
        <v>254</v>
      </c>
      <c r="F9770">
        <v>12440055</v>
      </c>
      <c r="G9770" t="s">
        <v>2979</v>
      </c>
      <c r="H9770" s="21">
        <v>1003.17</v>
      </c>
    </row>
    <row r="9771" spans="1:8" customFormat="1" x14ac:dyDescent="0.25">
      <c r="A9771" t="str">
        <f>"259286"</f>
        <v>259286</v>
      </c>
      <c r="B9771" t="s">
        <v>577</v>
      </c>
      <c r="C9771" t="s">
        <v>55</v>
      </c>
      <c r="D9771" s="21" t="s">
        <v>34</v>
      </c>
      <c r="E9771" s="21" t="s">
        <v>71</v>
      </c>
      <c r="F9771">
        <v>2250151</v>
      </c>
      <c r="G9771" t="s">
        <v>7964</v>
      </c>
      <c r="H9771" s="21">
        <v>1003.17</v>
      </c>
    </row>
    <row r="9772" spans="1:8" customFormat="1" x14ac:dyDescent="0.25">
      <c r="A9772" t="str">
        <f>"456739"</f>
        <v>456739</v>
      </c>
      <c r="B9772" t="s">
        <v>27125</v>
      </c>
      <c r="C9772" t="s">
        <v>204</v>
      </c>
      <c r="D9772" s="21" t="s">
        <v>34</v>
      </c>
      <c r="E9772" s="21" t="s">
        <v>35</v>
      </c>
      <c r="F9772">
        <v>4450036</v>
      </c>
      <c r="G9772" t="s">
        <v>4179</v>
      </c>
      <c r="H9772" s="21">
        <v>1003.17</v>
      </c>
    </row>
    <row r="9773" spans="1:8" customFormat="1" x14ac:dyDescent="0.25">
      <c r="A9773" t="str">
        <f>"2924438"</f>
        <v>2924438</v>
      </c>
      <c r="B9773" t="s">
        <v>3646</v>
      </c>
      <c r="C9773" t="s">
        <v>55</v>
      </c>
      <c r="D9773" s="21" t="s">
        <v>34</v>
      </c>
      <c r="E9773" s="21" t="s">
        <v>35</v>
      </c>
      <c r="F9773">
        <v>3290026</v>
      </c>
      <c r="G9773" t="s">
        <v>7421</v>
      </c>
      <c r="H9773" s="21">
        <v>1003.17</v>
      </c>
    </row>
    <row r="9774" spans="1:8" customFormat="1" x14ac:dyDescent="0.25">
      <c r="A9774" t="str">
        <f>"786113"</f>
        <v>786113</v>
      </c>
      <c r="B9774" t="s">
        <v>9567</v>
      </c>
      <c r="C9774" t="s">
        <v>119</v>
      </c>
      <c r="D9774" s="21" t="s">
        <v>34</v>
      </c>
      <c r="E9774" s="21" t="s">
        <v>35</v>
      </c>
      <c r="F9774">
        <v>9270041</v>
      </c>
      <c r="G9774" t="s">
        <v>4698</v>
      </c>
      <c r="H9774" s="21">
        <v>1003</v>
      </c>
    </row>
    <row r="9775" spans="1:8" customFormat="1" x14ac:dyDescent="0.25">
      <c r="A9775" t="str">
        <f>"371131"</f>
        <v>371131</v>
      </c>
      <c r="B9775" t="s">
        <v>765</v>
      </c>
      <c r="C9775" t="s">
        <v>239</v>
      </c>
      <c r="D9775" s="21" t="s">
        <v>34</v>
      </c>
      <c r="E9775" s="21" t="s">
        <v>254</v>
      </c>
      <c r="F9775">
        <v>4370151</v>
      </c>
      <c r="G9775" t="s">
        <v>5304</v>
      </c>
      <c r="H9775" s="21">
        <v>1002.92</v>
      </c>
    </row>
    <row r="9776" spans="1:8" customFormat="1" x14ac:dyDescent="0.25">
      <c r="A9776" t="str">
        <f>"4915492"</f>
        <v>4915492</v>
      </c>
      <c r="B9776" t="s">
        <v>10067</v>
      </c>
      <c r="C9776" t="s">
        <v>209</v>
      </c>
      <c r="D9776" s="21" t="s">
        <v>34</v>
      </c>
      <c r="E9776" s="21" t="s">
        <v>71</v>
      </c>
      <c r="F9776">
        <v>10170050</v>
      </c>
      <c r="G9776" t="s">
        <v>2514</v>
      </c>
      <c r="H9776" s="21">
        <v>1002.92</v>
      </c>
    </row>
    <row r="9777" spans="1:8" customFormat="1" x14ac:dyDescent="0.25">
      <c r="A9777" t="str">
        <f>"9243113"</f>
        <v>9243113</v>
      </c>
      <c r="B9777" t="s">
        <v>10726</v>
      </c>
      <c r="C9777" t="s">
        <v>1946</v>
      </c>
      <c r="D9777" s="21" t="s">
        <v>34</v>
      </c>
      <c r="E9777" s="21" t="s">
        <v>71</v>
      </c>
      <c r="F9777">
        <v>8920151</v>
      </c>
      <c r="G9777" t="s">
        <v>1434</v>
      </c>
      <c r="H9777" s="21">
        <v>1002.92</v>
      </c>
    </row>
    <row r="9778" spans="1:8" customFormat="1" x14ac:dyDescent="0.25">
      <c r="A9778" t="str">
        <f>"083353"</f>
        <v>083353</v>
      </c>
      <c r="B9778" t="s">
        <v>8976</v>
      </c>
      <c r="C9778" t="s">
        <v>415</v>
      </c>
      <c r="D9778" s="21" t="s">
        <v>34</v>
      </c>
      <c r="E9778" s="21" t="s">
        <v>254</v>
      </c>
      <c r="F9778">
        <v>6080029</v>
      </c>
      <c r="G9778" t="s">
        <v>6788</v>
      </c>
      <c r="H9778" s="21">
        <v>1002.8</v>
      </c>
    </row>
    <row r="9779" spans="1:8" customFormat="1" x14ac:dyDescent="0.25">
      <c r="A9779" t="str">
        <f>"901840"</f>
        <v>901840</v>
      </c>
      <c r="B9779" t="s">
        <v>8927</v>
      </c>
      <c r="C9779" t="s">
        <v>249</v>
      </c>
      <c r="D9779" s="21" t="s">
        <v>34</v>
      </c>
      <c r="E9779" s="21" t="s">
        <v>71</v>
      </c>
      <c r="F9779">
        <v>2900039</v>
      </c>
      <c r="G9779" t="s">
        <v>26615</v>
      </c>
      <c r="H9779" s="21">
        <v>1002.68</v>
      </c>
    </row>
    <row r="9780" spans="1:8" customFormat="1" x14ac:dyDescent="0.25">
      <c r="A9780" t="str">
        <f>"911093"</f>
        <v>911093</v>
      </c>
      <c r="B9780" t="s">
        <v>9574</v>
      </c>
      <c r="C9780" t="s">
        <v>9575</v>
      </c>
      <c r="D9780" s="21" t="s">
        <v>34</v>
      </c>
      <c r="E9780" s="21" t="s">
        <v>254</v>
      </c>
      <c r="F9780">
        <v>8910544</v>
      </c>
      <c r="G9780" t="s">
        <v>3552</v>
      </c>
      <c r="H9780" s="21">
        <v>1002.67</v>
      </c>
    </row>
    <row r="9781" spans="1:8" customFormat="1" x14ac:dyDescent="0.25">
      <c r="A9781" t="str">
        <f>"664817"</f>
        <v>664817</v>
      </c>
      <c r="B9781" t="s">
        <v>8492</v>
      </c>
      <c r="C9781" t="s">
        <v>49</v>
      </c>
      <c r="D9781" s="21" t="s">
        <v>34</v>
      </c>
      <c r="E9781" s="21" t="s">
        <v>35</v>
      </c>
      <c r="F9781">
        <v>11660038</v>
      </c>
      <c r="G9781" t="s">
        <v>8493</v>
      </c>
      <c r="H9781" s="21">
        <v>1002.67</v>
      </c>
    </row>
    <row r="9782" spans="1:8" customFormat="1" x14ac:dyDescent="0.25">
      <c r="A9782" t="str">
        <f>"6217382"</f>
        <v>6217382</v>
      </c>
      <c r="B9782" t="s">
        <v>10226</v>
      </c>
      <c r="C9782" t="s">
        <v>87</v>
      </c>
      <c r="D9782" s="21" t="s">
        <v>34</v>
      </c>
      <c r="E9782" s="21" t="s">
        <v>71</v>
      </c>
      <c r="F9782">
        <v>7620169</v>
      </c>
      <c r="G9782" t="s">
        <v>7116</v>
      </c>
      <c r="H9782" s="21">
        <v>1002.67</v>
      </c>
    </row>
    <row r="9783" spans="1:8" customFormat="1" x14ac:dyDescent="0.25">
      <c r="A9783" t="str">
        <f>"3327581"</f>
        <v>3327581</v>
      </c>
      <c r="B9783" t="s">
        <v>10254</v>
      </c>
      <c r="C9783" t="s">
        <v>60</v>
      </c>
      <c r="D9783" s="21" t="s">
        <v>34</v>
      </c>
      <c r="E9783" s="21" t="s">
        <v>35</v>
      </c>
      <c r="F9783">
        <v>10330031</v>
      </c>
      <c r="G9783" t="s">
        <v>2452</v>
      </c>
      <c r="H9783" s="21">
        <v>1002.67</v>
      </c>
    </row>
    <row r="9784" spans="1:8" customFormat="1" x14ac:dyDescent="0.25">
      <c r="A9784" t="str">
        <f>"6933363"</f>
        <v>6933363</v>
      </c>
      <c r="B9784" t="s">
        <v>11462</v>
      </c>
      <c r="C9784" t="s">
        <v>169</v>
      </c>
      <c r="D9784" s="21" t="s">
        <v>34</v>
      </c>
      <c r="E9784" s="21" t="s">
        <v>71</v>
      </c>
      <c r="F9784">
        <v>1690224</v>
      </c>
      <c r="G9784" t="s">
        <v>27093</v>
      </c>
      <c r="H9784" s="21">
        <v>1002.67</v>
      </c>
    </row>
    <row r="9785" spans="1:8" customFormat="1" x14ac:dyDescent="0.25">
      <c r="A9785" t="str">
        <f>"7629349"</f>
        <v>7629349</v>
      </c>
      <c r="B9785" t="s">
        <v>8548</v>
      </c>
      <c r="C9785" t="s">
        <v>87</v>
      </c>
      <c r="D9785" s="21" t="s">
        <v>34</v>
      </c>
      <c r="E9785" s="21" t="s">
        <v>35</v>
      </c>
      <c r="F9785">
        <v>9760342</v>
      </c>
      <c r="G9785" t="s">
        <v>3619</v>
      </c>
      <c r="H9785" s="21">
        <v>1002.67</v>
      </c>
    </row>
    <row r="9786" spans="1:8" customFormat="1" x14ac:dyDescent="0.25">
      <c r="A9786" t="str">
        <f>"86493"</f>
        <v>86493</v>
      </c>
      <c r="B9786" t="s">
        <v>9002</v>
      </c>
      <c r="C9786" t="s">
        <v>2529</v>
      </c>
      <c r="D9786" s="21" t="s">
        <v>34</v>
      </c>
      <c r="E9786" s="21" t="s">
        <v>71</v>
      </c>
      <c r="F9786">
        <v>10860234</v>
      </c>
      <c r="G9786" t="s">
        <v>1966</v>
      </c>
      <c r="H9786" s="21">
        <v>1002.67</v>
      </c>
    </row>
    <row r="9787" spans="1:8" customFormat="1" x14ac:dyDescent="0.25">
      <c r="A9787" t="str">
        <f>"2718323"</f>
        <v>2718323</v>
      </c>
      <c r="B9787" t="s">
        <v>11446</v>
      </c>
      <c r="C9787" t="s">
        <v>119</v>
      </c>
      <c r="D9787" s="21" t="s">
        <v>34</v>
      </c>
      <c r="E9787" s="21" t="s">
        <v>35</v>
      </c>
      <c r="F9787">
        <v>9270015</v>
      </c>
      <c r="G9787" t="s">
        <v>8095</v>
      </c>
      <c r="H9787" s="21">
        <v>1002.67</v>
      </c>
    </row>
    <row r="9788" spans="1:8" customFormat="1" x14ac:dyDescent="0.25">
      <c r="A9788" t="str">
        <f>"8517100"</f>
        <v>8517100</v>
      </c>
      <c r="B9788" t="s">
        <v>8597</v>
      </c>
      <c r="C9788" t="s">
        <v>249</v>
      </c>
      <c r="D9788" s="21" t="s">
        <v>34</v>
      </c>
      <c r="E9788" s="21" t="s">
        <v>35</v>
      </c>
      <c r="F9788">
        <v>12850030</v>
      </c>
      <c r="G9788" t="s">
        <v>5078</v>
      </c>
      <c r="H9788" s="21">
        <v>1002.67</v>
      </c>
    </row>
    <row r="9789" spans="1:8" customFormat="1" x14ac:dyDescent="0.25">
      <c r="A9789" t="str">
        <f>"3325805"</f>
        <v>3325805</v>
      </c>
      <c r="B9789" t="s">
        <v>5972</v>
      </c>
      <c r="C9789" t="s">
        <v>712</v>
      </c>
      <c r="D9789" s="21" t="s">
        <v>34</v>
      </c>
      <c r="E9789" s="21" t="s">
        <v>35</v>
      </c>
      <c r="F9789">
        <v>10330067</v>
      </c>
      <c r="G9789" t="s">
        <v>125</v>
      </c>
      <c r="H9789" s="21">
        <v>1002.67</v>
      </c>
    </row>
    <row r="9790" spans="1:8" customFormat="1" x14ac:dyDescent="0.25">
      <c r="A9790" t="str">
        <f>"9131487"</f>
        <v>9131487</v>
      </c>
      <c r="B9790" t="s">
        <v>12184</v>
      </c>
      <c r="C9790" t="s">
        <v>65</v>
      </c>
      <c r="D9790" s="21" t="s">
        <v>34</v>
      </c>
      <c r="E9790" s="21" t="s">
        <v>35</v>
      </c>
      <c r="F9790">
        <v>8910916</v>
      </c>
      <c r="G9790" t="s">
        <v>2251</v>
      </c>
      <c r="H9790" s="21">
        <v>1002.42</v>
      </c>
    </row>
    <row r="9791" spans="1:8" customFormat="1" x14ac:dyDescent="0.25">
      <c r="A9791" t="str">
        <f>"461472"</f>
        <v>461472</v>
      </c>
      <c r="B9791" t="s">
        <v>13080</v>
      </c>
      <c r="C9791" t="s">
        <v>62</v>
      </c>
      <c r="D9791" s="21" t="s">
        <v>34</v>
      </c>
      <c r="E9791" s="21" t="s">
        <v>35</v>
      </c>
      <c r="F9791">
        <v>11460017</v>
      </c>
      <c r="G9791" t="s">
        <v>7665</v>
      </c>
      <c r="H9791" s="21">
        <v>1002.29</v>
      </c>
    </row>
    <row r="9792" spans="1:8" customFormat="1" x14ac:dyDescent="0.25">
      <c r="A9792" t="str">
        <f>"516243"</f>
        <v>516243</v>
      </c>
      <c r="B9792" t="s">
        <v>9386</v>
      </c>
      <c r="C9792" t="s">
        <v>174</v>
      </c>
      <c r="D9792" s="21" t="s">
        <v>34</v>
      </c>
      <c r="E9792" s="21" t="s">
        <v>71</v>
      </c>
      <c r="F9792">
        <v>11110029</v>
      </c>
      <c r="G9792" t="s">
        <v>9387</v>
      </c>
      <c r="H9792" s="21">
        <v>1002.17</v>
      </c>
    </row>
    <row r="9793" spans="1:8" customFormat="1" x14ac:dyDescent="0.25">
      <c r="A9793" t="str">
        <f>"6018058"</f>
        <v>6018058</v>
      </c>
      <c r="B9793" t="s">
        <v>2310</v>
      </c>
      <c r="C9793" t="s">
        <v>233</v>
      </c>
      <c r="D9793" s="21" t="s">
        <v>34</v>
      </c>
      <c r="E9793" s="21" t="s">
        <v>35</v>
      </c>
      <c r="F9793">
        <v>7600043</v>
      </c>
      <c r="G9793" t="s">
        <v>1928</v>
      </c>
      <c r="H9793" s="21">
        <v>1002.17</v>
      </c>
    </row>
    <row r="9794" spans="1:8" customFormat="1" x14ac:dyDescent="0.25">
      <c r="A9794" t="str">
        <f>"372794"</f>
        <v>372794</v>
      </c>
      <c r="B9794" t="s">
        <v>9865</v>
      </c>
      <c r="C9794" t="s">
        <v>528</v>
      </c>
      <c r="D9794" s="21" t="s">
        <v>34</v>
      </c>
      <c r="E9794" s="21" t="s">
        <v>254</v>
      </c>
      <c r="F9794">
        <v>4370346</v>
      </c>
      <c r="G9794" t="s">
        <v>8269</v>
      </c>
      <c r="H9794" s="21">
        <v>1002.17</v>
      </c>
    </row>
    <row r="9795" spans="1:8" customFormat="1" x14ac:dyDescent="0.25">
      <c r="A9795" t="str">
        <f>"576893"</f>
        <v>576893</v>
      </c>
      <c r="B9795" t="s">
        <v>9663</v>
      </c>
      <c r="C9795" t="s">
        <v>275</v>
      </c>
      <c r="D9795" s="21" t="s">
        <v>34</v>
      </c>
      <c r="E9795" s="21" t="s">
        <v>35</v>
      </c>
      <c r="F9795">
        <v>6570070</v>
      </c>
      <c r="G9795" t="s">
        <v>1765</v>
      </c>
      <c r="H9795" s="21">
        <v>1002.17</v>
      </c>
    </row>
    <row r="9796" spans="1:8" customFormat="1" x14ac:dyDescent="0.25">
      <c r="A9796" t="str">
        <f>"27939"</f>
        <v>27939</v>
      </c>
      <c r="B9796" t="s">
        <v>8432</v>
      </c>
      <c r="C9796" t="s">
        <v>263</v>
      </c>
      <c r="D9796" s="21" t="s">
        <v>34</v>
      </c>
      <c r="E9796" s="21" t="s">
        <v>71</v>
      </c>
      <c r="F9796">
        <v>9270077</v>
      </c>
      <c r="G9796" t="s">
        <v>3228</v>
      </c>
      <c r="H9796" s="21">
        <v>1002.17</v>
      </c>
    </row>
    <row r="9797" spans="1:8" customFormat="1" x14ac:dyDescent="0.25">
      <c r="A9797" t="str">
        <f>"2920699"</f>
        <v>2920699</v>
      </c>
      <c r="B9797" t="s">
        <v>27126</v>
      </c>
      <c r="C9797" t="s">
        <v>3355</v>
      </c>
      <c r="D9797" s="21" t="s">
        <v>34</v>
      </c>
      <c r="E9797" s="21" t="s">
        <v>35</v>
      </c>
      <c r="F9797">
        <v>3290029</v>
      </c>
      <c r="G9797" t="s">
        <v>11486</v>
      </c>
      <c r="H9797" s="21">
        <v>1002.17</v>
      </c>
    </row>
    <row r="9798" spans="1:8" customFormat="1" x14ac:dyDescent="0.25">
      <c r="A9798" t="str">
        <f>"7210638"</f>
        <v>7210638</v>
      </c>
      <c r="B9798" t="s">
        <v>10980</v>
      </c>
      <c r="C9798" t="s">
        <v>121</v>
      </c>
      <c r="D9798" s="21" t="s">
        <v>34</v>
      </c>
      <c r="E9798" s="21" t="s">
        <v>35</v>
      </c>
      <c r="F9798">
        <v>12720062</v>
      </c>
      <c r="G9798" t="s">
        <v>4026</v>
      </c>
      <c r="H9798" s="21">
        <v>1002.17</v>
      </c>
    </row>
    <row r="9799" spans="1:8" customFormat="1" x14ac:dyDescent="0.25">
      <c r="A9799" t="str">
        <f>"9413087"</f>
        <v>9413087</v>
      </c>
      <c r="B9799" t="s">
        <v>9146</v>
      </c>
      <c r="C9799" t="s">
        <v>209</v>
      </c>
      <c r="D9799" s="21" t="s">
        <v>34</v>
      </c>
      <c r="E9799" s="21" t="s">
        <v>254</v>
      </c>
      <c r="F9799">
        <v>8950623</v>
      </c>
      <c r="G9799" t="s">
        <v>684</v>
      </c>
      <c r="H9799" s="21">
        <v>1002.17</v>
      </c>
    </row>
    <row r="9800" spans="1:8" customFormat="1" x14ac:dyDescent="0.25">
      <c r="A9800" t="str">
        <f>"7522640"</f>
        <v>7522640</v>
      </c>
      <c r="B9800" t="s">
        <v>10520</v>
      </c>
      <c r="C9800" t="s">
        <v>11541</v>
      </c>
      <c r="D9800" s="21" t="s">
        <v>34</v>
      </c>
      <c r="E9800" s="21" t="s">
        <v>71</v>
      </c>
      <c r="F9800">
        <v>8751423</v>
      </c>
      <c r="G9800" t="s">
        <v>4556</v>
      </c>
      <c r="H9800" s="21">
        <v>1002.17</v>
      </c>
    </row>
    <row r="9801" spans="1:8" customFormat="1" x14ac:dyDescent="0.25">
      <c r="A9801" t="str">
        <f>"5420725"</f>
        <v>5420725</v>
      </c>
      <c r="B9801" t="s">
        <v>9635</v>
      </c>
      <c r="C9801" t="s">
        <v>444</v>
      </c>
      <c r="D9801" s="21" t="s">
        <v>34</v>
      </c>
      <c r="E9801" s="21" t="s">
        <v>71</v>
      </c>
      <c r="F9801">
        <v>6570201</v>
      </c>
      <c r="G9801" t="s">
        <v>3296</v>
      </c>
      <c r="H9801" s="21">
        <v>1002.17</v>
      </c>
    </row>
    <row r="9802" spans="1:8" customFormat="1" x14ac:dyDescent="0.25">
      <c r="A9802" t="str">
        <f>"629451"</f>
        <v>629451</v>
      </c>
      <c r="B9802" t="s">
        <v>7987</v>
      </c>
      <c r="C9802" t="s">
        <v>1705</v>
      </c>
      <c r="D9802" s="21" t="s">
        <v>34</v>
      </c>
      <c r="E9802" s="21" t="s">
        <v>71</v>
      </c>
      <c r="F9802">
        <v>7620100</v>
      </c>
      <c r="G9802" t="s">
        <v>145</v>
      </c>
      <c r="H9802" s="21">
        <v>1002.17</v>
      </c>
    </row>
    <row r="9803" spans="1:8" customFormat="1" x14ac:dyDescent="0.25">
      <c r="A9803" t="str">
        <f>"61501"</f>
        <v>61501</v>
      </c>
      <c r="B9803" t="s">
        <v>11186</v>
      </c>
      <c r="C9803" t="s">
        <v>262</v>
      </c>
      <c r="D9803" s="21" t="s">
        <v>34</v>
      </c>
      <c r="E9803" s="21" t="s">
        <v>35</v>
      </c>
      <c r="F9803">
        <v>9610035</v>
      </c>
      <c r="G9803" t="s">
        <v>7061</v>
      </c>
      <c r="H9803" s="21">
        <v>1002.17</v>
      </c>
    </row>
    <row r="9804" spans="1:8" customFormat="1" x14ac:dyDescent="0.25">
      <c r="A9804" t="str">
        <f>"35701"</f>
        <v>35701</v>
      </c>
      <c r="B9804" t="s">
        <v>9751</v>
      </c>
      <c r="C9804" t="s">
        <v>1914</v>
      </c>
      <c r="D9804" s="21" t="s">
        <v>34</v>
      </c>
      <c r="E9804" s="21" t="s">
        <v>254</v>
      </c>
      <c r="F9804">
        <v>3350014</v>
      </c>
      <c r="G9804" t="s">
        <v>1078</v>
      </c>
      <c r="H9804" s="21">
        <v>1002.05</v>
      </c>
    </row>
    <row r="9805" spans="1:8" customFormat="1" x14ac:dyDescent="0.25">
      <c r="A9805" t="str">
        <f>"6218349"</f>
        <v>6218349</v>
      </c>
      <c r="B9805" t="s">
        <v>9201</v>
      </c>
      <c r="C9805" t="s">
        <v>3905</v>
      </c>
      <c r="D9805" s="21" t="s">
        <v>34</v>
      </c>
      <c r="E9805" s="21" t="s">
        <v>35</v>
      </c>
      <c r="F9805">
        <v>7620104</v>
      </c>
      <c r="G9805" t="s">
        <v>635</v>
      </c>
      <c r="H9805" s="21">
        <v>1002.05</v>
      </c>
    </row>
    <row r="9806" spans="1:8" customFormat="1" x14ac:dyDescent="0.25">
      <c r="A9806" t="str">
        <f>"5320041"</f>
        <v>5320041</v>
      </c>
      <c r="B9806" t="s">
        <v>10261</v>
      </c>
      <c r="C9806" t="s">
        <v>98</v>
      </c>
      <c r="D9806" s="21" t="s">
        <v>34</v>
      </c>
      <c r="E9806" s="21" t="s">
        <v>35</v>
      </c>
      <c r="F9806">
        <v>12530001</v>
      </c>
      <c r="G9806" t="s">
        <v>6349</v>
      </c>
      <c r="H9806" s="21">
        <v>1001.92</v>
      </c>
    </row>
    <row r="9807" spans="1:8" customFormat="1" x14ac:dyDescent="0.25">
      <c r="A9807" t="str">
        <f>"9514111"</f>
        <v>9514111</v>
      </c>
      <c r="B9807" t="s">
        <v>7763</v>
      </c>
      <c r="C9807" t="s">
        <v>7764</v>
      </c>
      <c r="D9807" s="21" t="s">
        <v>34</v>
      </c>
      <c r="E9807" s="21" t="s">
        <v>71</v>
      </c>
      <c r="F9807">
        <v>8951386</v>
      </c>
      <c r="G9807" t="s">
        <v>7765</v>
      </c>
      <c r="H9807" s="21">
        <v>1001.92</v>
      </c>
    </row>
    <row r="9808" spans="1:8" customFormat="1" x14ac:dyDescent="0.25">
      <c r="A9808" t="str">
        <f>"4528655"</f>
        <v>4528655</v>
      </c>
      <c r="B9808" t="s">
        <v>2795</v>
      </c>
      <c r="C9808" t="s">
        <v>156</v>
      </c>
      <c r="D9808" s="21" t="s">
        <v>34</v>
      </c>
      <c r="E9808" s="21" t="s">
        <v>35</v>
      </c>
      <c r="F9808">
        <v>4450754</v>
      </c>
      <c r="G9808" t="s">
        <v>2695</v>
      </c>
      <c r="H9808" s="21">
        <v>1001.92</v>
      </c>
    </row>
    <row r="9809" spans="1:8" customFormat="1" x14ac:dyDescent="0.25">
      <c r="A9809" t="str">
        <f>"586091"</f>
        <v>586091</v>
      </c>
      <c r="B9809" t="s">
        <v>8789</v>
      </c>
      <c r="C9809" t="s">
        <v>124</v>
      </c>
      <c r="D9809" s="21" t="s">
        <v>34</v>
      </c>
      <c r="E9809" s="21" t="s">
        <v>35</v>
      </c>
      <c r="F9809">
        <v>2580078</v>
      </c>
      <c r="G9809" t="s">
        <v>4432</v>
      </c>
      <c r="H9809" s="21">
        <v>1001.8</v>
      </c>
    </row>
    <row r="9810" spans="1:8" customFormat="1" x14ac:dyDescent="0.25">
      <c r="A9810" t="str">
        <f>"859278"</f>
        <v>859278</v>
      </c>
      <c r="B9810" t="s">
        <v>8910</v>
      </c>
      <c r="C9810" t="s">
        <v>2100</v>
      </c>
      <c r="D9810" s="21" t="s">
        <v>34</v>
      </c>
      <c r="E9810" s="21" t="s">
        <v>254</v>
      </c>
      <c r="F9810">
        <v>12850072</v>
      </c>
      <c r="G9810" t="s">
        <v>7184</v>
      </c>
      <c r="H9810" s="21">
        <v>1001.67</v>
      </c>
    </row>
    <row r="9811" spans="1:8" customFormat="1" x14ac:dyDescent="0.25">
      <c r="A9811" t="str">
        <f>"133258"</f>
        <v>133258</v>
      </c>
      <c r="B9811" t="s">
        <v>9451</v>
      </c>
      <c r="C9811" t="s">
        <v>611</v>
      </c>
      <c r="D9811" s="21" t="s">
        <v>34</v>
      </c>
      <c r="E9811" s="21" t="s">
        <v>35</v>
      </c>
      <c r="F9811">
        <v>13130146</v>
      </c>
      <c r="G9811" t="s">
        <v>2471</v>
      </c>
      <c r="H9811" s="21">
        <v>1001.67</v>
      </c>
    </row>
    <row r="9812" spans="1:8" customFormat="1" x14ac:dyDescent="0.25">
      <c r="A9812" t="str">
        <f>"6013019"</f>
        <v>6013019</v>
      </c>
      <c r="B9812" t="s">
        <v>9679</v>
      </c>
      <c r="C9812" t="s">
        <v>65</v>
      </c>
      <c r="D9812" s="21" t="s">
        <v>34</v>
      </c>
      <c r="E9812" s="21" t="s">
        <v>35</v>
      </c>
      <c r="F9812">
        <v>11480006</v>
      </c>
      <c r="G9812" t="s">
        <v>3317</v>
      </c>
      <c r="H9812" s="21">
        <v>1001.67</v>
      </c>
    </row>
    <row r="9813" spans="1:8" customFormat="1" x14ac:dyDescent="0.25">
      <c r="A9813" t="str">
        <f>"853144"</f>
        <v>853144</v>
      </c>
      <c r="B9813" t="s">
        <v>10473</v>
      </c>
      <c r="C9813" t="s">
        <v>40</v>
      </c>
      <c r="D9813" s="21" t="s">
        <v>34</v>
      </c>
      <c r="E9813" s="21" t="s">
        <v>71</v>
      </c>
      <c r="F9813">
        <v>12851025</v>
      </c>
      <c r="G9813" t="s">
        <v>26858</v>
      </c>
      <c r="H9813" s="21">
        <v>1001.67</v>
      </c>
    </row>
    <row r="9814" spans="1:8" customFormat="1" x14ac:dyDescent="0.25">
      <c r="A9814" t="str">
        <f>"5612497"</f>
        <v>5612497</v>
      </c>
      <c r="B9814" t="s">
        <v>10505</v>
      </c>
      <c r="C9814" t="s">
        <v>288</v>
      </c>
      <c r="D9814" s="21" t="s">
        <v>34</v>
      </c>
      <c r="E9814" s="21" t="s">
        <v>35</v>
      </c>
      <c r="F9814">
        <v>4370442</v>
      </c>
      <c r="G9814" t="s">
        <v>7869</v>
      </c>
      <c r="H9814" s="21">
        <v>1001.67</v>
      </c>
    </row>
    <row r="9815" spans="1:8" customFormat="1" x14ac:dyDescent="0.25">
      <c r="A9815" t="str">
        <f>"456521"</f>
        <v>456521</v>
      </c>
      <c r="B9815" t="s">
        <v>9568</v>
      </c>
      <c r="C9815" t="s">
        <v>249</v>
      </c>
      <c r="D9815" s="21" t="s">
        <v>34</v>
      </c>
      <c r="E9815" s="21" t="s">
        <v>71</v>
      </c>
      <c r="F9815">
        <v>4410730</v>
      </c>
      <c r="G9815" t="s">
        <v>7260</v>
      </c>
      <c r="H9815" s="21">
        <v>1001.67</v>
      </c>
    </row>
    <row r="9816" spans="1:8" customFormat="1" x14ac:dyDescent="0.25">
      <c r="A9816" t="str">
        <f>"3321983"</f>
        <v>3321983</v>
      </c>
      <c r="B9816" t="s">
        <v>8158</v>
      </c>
      <c r="C9816" t="s">
        <v>1468</v>
      </c>
      <c r="D9816" s="21" t="s">
        <v>34</v>
      </c>
      <c r="E9816" s="21" t="s">
        <v>35</v>
      </c>
      <c r="F9816">
        <v>10330082</v>
      </c>
      <c r="G9816" t="s">
        <v>5564</v>
      </c>
      <c r="H9816" s="21">
        <v>1001.67</v>
      </c>
    </row>
    <row r="9817" spans="1:8" customFormat="1" x14ac:dyDescent="0.25">
      <c r="A9817" t="str">
        <f>"938126"</f>
        <v>938126</v>
      </c>
      <c r="B9817" t="s">
        <v>2362</v>
      </c>
      <c r="C9817" t="s">
        <v>11165</v>
      </c>
      <c r="D9817" s="21" t="s">
        <v>34</v>
      </c>
      <c r="E9817" s="21" t="s">
        <v>35</v>
      </c>
      <c r="F9817">
        <v>10330117</v>
      </c>
      <c r="G9817" t="s">
        <v>1942</v>
      </c>
      <c r="H9817" s="21">
        <v>1001.5</v>
      </c>
    </row>
    <row r="9818" spans="1:8" customFormat="1" x14ac:dyDescent="0.25">
      <c r="A9818" t="str">
        <f>"54766"</f>
        <v>54766</v>
      </c>
      <c r="B9818" t="s">
        <v>6045</v>
      </c>
      <c r="C9818" t="s">
        <v>547</v>
      </c>
      <c r="D9818" s="21" t="s">
        <v>34</v>
      </c>
      <c r="E9818" s="21" t="s">
        <v>1089</v>
      </c>
      <c r="F9818">
        <v>3290262</v>
      </c>
      <c r="G9818" t="s">
        <v>1139</v>
      </c>
      <c r="H9818" s="21">
        <v>1001.42</v>
      </c>
    </row>
    <row r="9819" spans="1:8" customFormat="1" x14ac:dyDescent="0.25">
      <c r="A9819" t="str">
        <f>"568087"</f>
        <v>568087</v>
      </c>
      <c r="B9819" t="s">
        <v>10210</v>
      </c>
      <c r="C9819" t="s">
        <v>198</v>
      </c>
      <c r="D9819" s="21" t="s">
        <v>34</v>
      </c>
      <c r="E9819" s="21" t="s">
        <v>254</v>
      </c>
      <c r="F9819">
        <v>3560007</v>
      </c>
      <c r="G9819" t="s">
        <v>10211</v>
      </c>
      <c r="H9819" s="21">
        <v>1001.42</v>
      </c>
    </row>
    <row r="9820" spans="1:8" customFormat="1" x14ac:dyDescent="0.25">
      <c r="A9820" t="str">
        <f>"6926662"</f>
        <v>6926662</v>
      </c>
      <c r="B9820" t="s">
        <v>11712</v>
      </c>
      <c r="C9820" t="s">
        <v>62</v>
      </c>
      <c r="D9820" s="21" t="s">
        <v>34</v>
      </c>
      <c r="E9820" s="21" t="s">
        <v>35</v>
      </c>
      <c r="F9820">
        <v>11300041</v>
      </c>
      <c r="G9820" t="s">
        <v>8074</v>
      </c>
      <c r="H9820" s="21">
        <v>1001.29</v>
      </c>
    </row>
    <row r="9821" spans="1:8" customFormat="1" x14ac:dyDescent="0.25">
      <c r="A9821" t="str">
        <f>"4515892"</f>
        <v>4515892</v>
      </c>
      <c r="B9821" t="s">
        <v>9285</v>
      </c>
      <c r="C9821" t="s">
        <v>9286</v>
      </c>
      <c r="D9821" s="21" t="s">
        <v>34</v>
      </c>
      <c r="E9821" s="21" t="s">
        <v>71</v>
      </c>
      <c r="F9821">
        <v>4450573</v>
      </c>
      <c r="G9821" t="s">
        <v>4106</v>
      </c>
      <c r="H9821" s="21">
        <v>1001.17</v>
      </c>
    </row>
    <row r="9822" spans="1:8" customFormat="1" x14ac:dyDescent="0.25">
      <c r="A9822" t="str">
        <f>"365024"</f>
        <v>365024</v>
      </c>
      <c r="B9822" t="s">
        <v>3179</v>
      </c>
      <c r="C9822" t="s">
        <v>209</v>
      </c>
      <c r="D9822" s="21" t="s">
        <v>34</v>
      </c>
      <c r="E9822" s="21" t="s">
        <v>71</v>
      </c>
      <c r="F9822">
        <v>4360723</v>
      </c>
      <c r="G9822" t="s">
        <v>27127</v>
      </c>
      <c r="H9822" s="21">
        <v>1001.17</v>
      </c>
    </row>
    <row r="9823" spans="1:8" customFormat="1" x14ac:dyDescent="0.25">
      <c r="A9823" t="str">
        <f>"2835"</f>
        <v>2835</v>
      </c>
      <c r="B9823" t="s">
        <v>8724</v>
      </c>
      <c r="C9823" t="s">
        <v>267</v>
      </c>
      <c r="D9823" s="21" t="s">
        <v>34</v>
      </c>
      <c r="E9823" s="21" t="s">
        <v>1089</v>
      </c>
      <c r="F9823">
        <v>4280004</v>
      </c>
      <c r="G9823" t="s">
        <v>91</v>
      </c>
      <c r="H9823" s="21">
        <v>1001.17</v>
      </c>
    </row>
    <row r="9824" spans="1:8" customFormat="1" x14ac:dyDescent="0.25">
      <c r="A9824" t="str">
        <f>"519176"</f>
        <v>519176</v>
      </c>
      <c r="B9824" t="s">
        <v>10705</v>
      </c>
      <c r="C9824" t="s">
        <v>712</v>
      </c>
      <c r="D9824" s="21" t="s">
        <v>34</v>
      </c>
      <c r="E9824" s="21" t="s">
        <v>35</v>
      </c>
      <c r="F9824">
        <v>6510040</v>
      </c>
      <c r="G9824" t="s">
        <v>9113</v>
      </c>
      <c r="H9824" s="21">
        <v>1001.17</v>
      </c>
    </row>
    <row r="9825" spans="1:8" customFormat="1" x14ac:dyDescent="0.25">
      <c r="A9825" t="str">
        <f>"9242031"</f>
        <v>9242031</v>
      </c>
      <c r="B9825" t="s">
        <v>9287</v>
      </c>
      <c r="C9825" t="s">
        <v>204</v>
      </c>
      <c r="D9825" s="21" t="s">
        <v>34</v>
      </c>
      <c r="E9825" s="21" t="s">
        <v>71</v>
      </c>
      <c r="F9825">
        <v>8920025</v>
      </c>
      <c r="G9825" t="s">
        <v>159</v>
      </c>
      <c r="H9825" s="21">
        <v>1001.17</v>
      </c>
    </row>
    <row r="9826" spans="1:8" customFormat="1" x14ac:dyDescent="0.25">
      <c r="A9826" t="str">
        <f>"015147"</f>
        <v>015147</v>
      </c>
      <c r="B9826" t="s">
        <v>2032</v>
      </c>
      <c r="C9826" t="s">
        <v>263</v>
      </c>
      <c r="D9826" s="21" t="s">
        <v>34</v>
      </c>
      <c r="E9826" s="21" t="s">
        <v>71</v>
      </c>
      <c r="F9826">
        <v>1010009</v>
      </c>
      <c r="G9826" t="s">
        <v>1385</v>
      </c>
      <c r="H9826" s="21">
        <v>1001.17</v>
      </c>
    </row>
    <row r="9827" spans="1:8" customFormat="1" x14ac:dyDescent="0.25">
      <c r="A9827" t="str">
        <f>"647408"</f>
        <v>647408</v>
      </c>
      <c r="B9827" t="s">
        <v>9838</v>
      </c>
      <c r="C9827" t="s">
        <v>33</v>
      </c>
      <c r="D9827" s="21" t="s">
        <v>34</v>
      </c>
      <c r="E9827" s="21" t="s">
        <v>35</v>
      </c>
      <c r="F9827">
        <v>10640017</v>
      </c>
      <c r="G9827" t="s">
        <v>2454</v>
      </c>
      <c r="H9827" s="21">
        <v>1001.17</v>
      </c>
    </row>
    <row r="9828" spans="1:8" customFormat="1" x14ac:dyDescent="0.25">
      <c r="A9828" t="str">
        <f>"617197"</f>
        <v>617197</v>
      </c>
      <c r="B9828" t="s">
        <v>8019</v>
      </c>
      <c r="C9828" t="s">
        <v>428</v>
      </c>
      <c r="D9828" s="21" t="s">
        <v>34</v>
      </c>
      <c r="E9828" s="21" t="s">
        <v>35</v>
      </c>
      <c r="F9828">
        <v>9610122</v>
      </c>
      <c r="G9828" t="s">
        <v>4349</v>
      </c>
      <c r="H9828" s="21">
        <v>1001.17</v>
      </c>
    </row>
    <row r="9829" spans="1:8" customFormat="1" x14ac:dyDescent="0.25">
      <c r="A9829" t="str">
        <f>"852637"</f>
        <v>852637</v>
      </c>
      <c r="B9829" t="s">
        <v>8826</v>
      </c>
      <c r="C9829" t="s">
        <v>249</v>
      </c>
      <c r="D9829" s="21" t="s">
        <v>34</v>
      </c>
      <c r="E9829" s="21" t="s">
        <v>35</v>
      </c>
      <c r="F9829">
        <v>12851011</v>
      </c>
      <c r="G9829" t="s">
        <v>1445</v>
      </c>
      <c r="H9829" s="21">
        <v>1001.17</v>
      </c>
    </row>
    <row r="9830" spans="1:8" customFormat="1" x14ac:dyDescent="0.25">
      <c r="A9830" t="str">
        <f>"8012548"</f>
        <v>8012548</v>
      </c>
      <c r="B9830" t="s">
        <v>8700</v>
      </c>
      <c r="C9830" t="s">
        <v>90</v>
      </c>
      <c r="D9830" s="21" t="s">
        <v>34</v>
      </c>
      <c r="E9830" s="21" t="s">
        <v>71</v>
      </c>
      <c r="F9830">
        <v>7800015</v>
      </c>
      <c r="G9830" t="s">
        <v>8701</v>
      </c>
      <c r="H9830" s="21">
        <v>1001.17</v>
      </c>
    </row>
    <row r="9831" spans="1:8" customFormat="1" x14ac:dyDescent="0.25">
      <c r="A9831" t="str">
        <f>"508250"</f>
        <v>508250</v>
      </c>
      <c r="B9831" t="s">
        <v>15466</v>
      </c>
      <c r="C9831" t="s">
        <v>1786</v>
      </c>
      <c r="D9831" s="21" t="s">
        <v>34</v>
      </c>
      <c r="E9831" s="21" t="s">
        <v>35</v>
      </c>
      <c r="F9831">
        <v>3350030</v>
      </c>
      <c r="G9831" t="s">
        <v>4549</v>
      </c>
      <c r="H9831" s="21">
        <v>1001.17</v>
      </c>
    </row>
    <row r="9832" spans="1:8" customFormat="1" x14ac:dyDescent="0.25">
      <c r="A9832" t="str">
        <f>"1313878"</f>
        <v>1313878</v>
      </c>
      <c r="B9832" t="s">
        <v>9427</v>
      </c>
      <c r="C9832" t="s">
        <v>717</v>
      </c>
      <c r="D9832" s="21" t="s">
        <v>34</v>
      </c>
      <c r="E9832" s="21" t="s">
        <v>71</v>
      </c>
      <c r="F9832">
        <v>13840012</v>
      </c>
      <c r="G9832" t="s">
        <v>5143</v>
      </c>
      <c r="H9832" s="21">
        <v>1001.05</v>
      </c>
    </row>
    <row r="9833" spans="1:8" customFormat="1" x14ac:dyDescent="0.25">
      <c r="A9833" t="str">
        <f>"7625724"</f>
        <v>7625724</v>
      </c>
      <c r="B9833" t="s">
        <v>10770</v>
      </c>
      <c r="C9833" t="s">
        <v>109</v>
      </c>
      <c r="D9833" s="21" t="s">
        <v>34</v>
      </c>
      <c r="E9833" s="21" t="s">
        <v>35</v>
      </c>
      <c r="F9833">
        <v>9760007</v>
      </c>
      <c r="G9833" t="s">
        <v>7255</v>
      </c>
      <c r="H9833" s="21">
        <v>1000.92</v>
      </c>
    </row>
    <row r="9834" spans="1:8" customFormat="1" x14ac:dyDescent="0.25">
      <c r="A9834" t="str">
        <f>"3520009"</f>
        <v>3520009</v>
      </c>
      <c r="B9834" t="s">
        <v>4711</v>
      </c>
      <c r="C9834" t="s">
        <v>109</v>
      </c>
      <c r="D9834" s="21" t="s">
        <v>34</v>
      </c>
      <c r="E9834" s="21" t="s">
        <v>71</v>
      </c>
      <c r="F9834">
        <v>3350014</v>
      </c>
      <c r="G9834" t="s">
        <v>1078</v>
      </c>
      <c r="H9834" s="21">
        <v>1000.67</v>
      </c>
    </row>
    <row r="9835" spans="1:8" customFormat="1" x14ac:dyDescent="0.25">
      <c r="A9835" t="str">
        <f>"5937020"</f>
        <v>5937020</v>
      </c>
      <c r="B9835" t="s">
        <v>7472</v>
      </c>
      <c r="C9835" t="s">
        <v>204</v>
      </c>
      <c r="D9835" s="21" t="s">
        <v>34</v>
      </c>
      <c r="E9835" s="21" t="s">
        <v>35</v>
      </c>
      <c r="F9835">
        <v>7590338</v>
      </c>
      <c r="G9835" t="s">
        <v>682</v>
      </c>
      <c r="H9835" s="21">
        <v>1000.67</v>
      </c>
    </row>
    <row r="9836" spans="1:8" customFormat="1" x14ac:dyDescent="0.25">
      <c r="A9836" t="str">
        <f>"628381"</f>
        <v>628381</v>
      </c>
      <c r="B9836" t="s">
        <v>11219</v>
      </c>
      <c r="C9836" t="s">
        <v>3859</v>
      </c>
      <c r="D9836" s="21" t="s">
        <v>34</v>
      </c>
      <c r="E9836" s="21" t="s">
        <v>35</v>
      </c>
      <c r="F9836">
        <v>7620104</v>
      </c>
      <c r="G9836" t="s">
        <v>635</v>
      </c>
      <c r="H9836" s="21">
        <v>1000.67</v>
      </c>
    </row>
    <row r="9837" spans="1:8" customFormat="1" x14ac:dyDescent="0.25">
      <c r="A9837" t="str">
        <f>"3517003"</f>
        <v>3517003</v>
      </c>
      <c r="B9837" t="s">
        <v>946</v>
      </c>
      <c r="C9837" t="s">
        <v>33</v>
      </c>
      <c r="D9837" s="21" t="s">
        <v>34</v>
      </c>
      <c r="E9837" s="21" t="s">
        <v>35</v>
      </c>
      <c r="F9837">
        <v>3350169</v>
      </c>
      <c r="G9837" t="s">
        <v>735</v>
      </c>
      <c r="H9837" s="21">
        <v>1000.67</v>
      </c>
    </row>
    <row r="9838" spans="1:8" customFormat="1" x14ac:dyDescent="0.25">
      <c r="A9838" t="str">
        <f>"4449827"</f>
        <v>4449827</v>
      </c>
      <c r="B9838" t="s">
        <v>10340</v>
      </c>
      <c r="C9838" t="s">
        <v>119</v>
      </c>
      <c r="D9838" s="21" t="s">
        <v>34</v>
      </c>
      <c r="E9838" s="21" t="s">
        <v>71</v>
      </c>
      <c r="F9838">
        <v>12440176</v>
      </c>
      <c r="G9838" t="s">
        <v>1020</v>
      </c>
      <c r="H9838" s="21">
        <v>1000.67</v>
      </c>
    </row>
    <row r="9839" spans="1:8" customFormat="1" x14ac:dyDescent="0.25">
      <c r="A9839" t="str">
        <f>"5342"</f>
        <v>5342</v>
      </c>
      <c r="B9839" t="s">
        <v>2487</v>
      </c>
      <c r="C9839" t="s">
        <v>415</v>
      </c>
      <c r="D9839" s="21" t="s">
        <v>34</v>
      </c>
      <c r="E9839" s="21" t="s">
        <v>254</v>
      </c>
      <c r="F9839">
        <v>12530035</v>
      </c>
      <c r="G9839" t="s">
        <v>1663</v>
      </c>
      <c r="H9839" s="21">
        <v>1000.42</v>
      </c>
    </row>
    <row r="9840" spans="1:8" customFormat="1" x14ac:dyDescent="0.25">
      <c r="A9840" t="str">
        <f>"9F1575"</f>
        <v>9F1575</v>
      </c>
      <c r="B9840" t="s">
        <v>9185</v>
      </c>
      <c r="C9840" t="s">
        <v>9186</v>
      </c>
      <c r="D9840" s="21" t="s">
        <v>34</v>
      </c>
      <c r="E9840" s="21" t="s">
        <v>71</v>
      </c>
      <c r="F9840" t="s">
        <v>7659</v>
      </c>
      <c r="G9840" t="s">
        <v>7660</v>
      </c>
      <c r="H9840" s="21">
        <v>1000.42</v>
      </c>
    </row>
    <row r="9841" spans="1:8" customFormat="1" x14ac:dyDescent="0.25">
      <c r="A9841" t="str">
        <f>"9230460"</f>
        <v>9230460</v>
      </c>
      <c r="B9841" t="s">
        <v>10522</v>
      </c>
      <c r="C9841" t="s">
        <v>3217</v>
      </c>
      <c r="D9841" s="21" t="s">
        <v>34</v>
      </c>
      <c r="E9841" s="21" t="s">
        <v>35</v>
      </c>
      <c r="F9841">
        <v>8940012</v>
      </c>
      <c r="G9841" t="s">
        <v>1648</v>
      </c>
      <c r="H9841" s="21">
        <v>1000.3</v>
      </c>
    </row>
    <row r="9842" spans="1:8" customFormat="1" x14ac:dyDescent="0.25">
      <c r="A9842" t="str">
        <f>"026065"</f>
        <v>026065</v>
      </c>
      <c r="B9842" t="s">
        <v>21780</v>
      </c>
      <c r="C9842" t="s">
        <v>98</v>
      </c>
      <c r="D9842" s="21" t="s">
        <v>34</v>
      </c>
      <c r="E9842" s="21" t="s">
        <v>35</v>
      </c>
      <c r="F9842">
        <v>7020013</v>
      </c>
      <c r="G9842" t="s">
        <v>14136</v>
      </c>
      <c r="H9842" s="21">
        <v>1000.17</v>
      </c>
    </row>
    <row r="9843" spans="1:8" customFormat="1" x14ac:dyDescent="0.25">
      <c r="A9843" t="str">
        <f>"605964"</f>
        <v>605964</v>
      </c>
      <c r="B9843" t="s">
        <v>9902</v>
      </c>
      <c r="C9843" t="s">
        <v>2520</v>
      </c>
      <c r="D9843" s="21" t="s">
        <v>34</v>
      </c>
      <c r="E9843" s="21" t="s">
        <v>254</v>
      </c>
      <c r="F9843">
        <v>7600004</v>
      </c>
      <c r="G9843" t="s">
        <v>848</v>
      </c>
      <c r="H9843" s="21">
        <v>1000.17</v>
      </c>
    </row>
    <row r="9844" spans="1:8" customFormat="1" x14ac:dyDescent="0.25">
      <c r="A9844" t="str">
        <f>"087210"</f>
        <v>087210</v>
      </c>
      <c r="B9844" t="s">
        <v>9267</v>
      </c>
      <c r="C9844" t="s">
        <v>169</v>
      </c>
      <c r="D9844" s="21" t="s">
        <v>34</v>
      </c>
      <c r="E9844" s="21" t="s">
        <v>71</v>
      </c>
      <c r="F9844">
        <v>6080044</v>
      </c>
      <c r="G9844" t="s">
        <v>7450</v>
      </c>
      <c r="H9844" s="21">
        <v>1000.17</v>
      </c>
    </row>
    <row r="9845" spans="1:8" customFormat="1" x14ac:dyDescent="0.25">
      <c r="A9845" t="str">
        <f>"9112492"</f>
        <v>9112492</v>
      </c>
      <c r="B9845" t="s">
        <v>1743</v>
      </c>
      <c r="C9845" t="s">
        <v>547</v>
      </c>
      <c r="D9845" s="21" t="s">
        <v>34</v>
      </c>
      <c r="E9845" s="21" t="s">
        <v>254</v>
      </c>
      <c r="F9845">
        <v>8911379</v>
      </c>
      <c r="G9845" t="s">
        <v>8430</v>
      </c>
      <c r="H9845" s="21">
        <v>1000.17</v>
      </c>
    </row>
    <row r="9846" spans="1:8" customFormat="1" x14ac:dyDescent="0.25">
      <c r="A9846" t="str">
        <f>"4410579"</f>
        <v>4410579</v>
      </c>
      <c r="B9846" t="s">
        <v>2240</v>
      </c>
      <c r="C9846" t="s">
        <v>263</v>
      </c>
      <c r="D9846" s="21" t="s">
        <v>34</v>
      </c>
      <c r="E9846" s="21" t="s">
        <v>35</v>
      </c>
      <c r="F9846">
        <v>12440030</v>
      </c>
      <c r="G9846" t="s">
        <v>5524</v>
      </c>
      <c r="H9846" s="21">
        <v>1000.17</v>
      </c>
    </row>
    <row r="9847" spans="1:8" customFormat="1" x14ac:dyDescent="0.25">
      <c r="A9847" t="str">
        <f>"787300"</f>
        <v>787300</v>
      </c>
      <c r="B9847" t="s">
        <v>7041</v>
      </c>
      <c r="C9847" t="s">
        <v>198</v>
      </c>
      <c r="D9847" s="21" t="s">
        <v>34</v>
      </c>
      <c r="E9847" s="21" t="s">
        <v>71</v>
      </c>
      <c r="F9847">
        <v>8780632</v>
      </c>
      <c r="G9847" t="s">
        <v>1571</v>
      </c>
      <c r="H9847" s="21">
        <v>1000.17</v>
      </c>
    </row>
    <row r="9848" spans="1:8" customFormat="1" x14ac:dyDescent="0.25">
      <c r="A9848" t="str">
        <f>"7841763"</f>
        <v>7841763</v>
      </c>
      <c r="B9848" t="s">
        <v>9806</v>
      </c>
      <c r="C9848" t="s">
        <v>40</v>
      </c>
      <c r="D9848" s="21" t="s">
        <v>34</v>
      </c>
      <c r="E9848" s="21" t="s">
        <v>35</v>
      </c>
      <c r="F9848">
        <v>3290277</v>
      </c>
      <c r="G9848" t="s">
        <v>1671</v>
      </c>
      <c r="H9848" s="21">
        <v>1000.17</v>
      </c>
    </row>
    <row r="9849" spans="1:8" customFormat="1" x14ac:dyDescent="0.25">
      <c r="A9849" t="str">
        <f>"7812164"</f>
        <v>7812164</v>
      </c>
      <c r="B9849" t="s">
        <v>14078</v>
      </c>
      <c r="C9849" t="s">
        <v>267</v>
      </c>
      <c r="D9849" s="21" t="s">
        <v>34</v>
      </c>
      <c r="E9849" s="21" t="s">
        <v>254</v>
      </c>
      <c r="F9849">
        <v>12490122</v>
      </c>
      <c r="G9849" t="s">
        <v>26752</v>
      </c>
      <c r="H9849" s="21">
        <v>1000.17</v>
      </c>
    </row>
    <row r="9850" spans="1:8" customFormat="1" x14ac:dyDescent="0.25">
      <c r="A9850" t="str">
        <f>"9420490"</f>
        <v>9420490</v>
      </c>
      <c r="B9850" t="s">
        <v>9610</v>
      </c>
      <c r="C9850" t="s">
        <v>598</v>
      </c>
      <c r="D9850" s="21" t="s">
        <v>34</v>
      </c>
      <c r="E9850" s="21" t="s">
        <v>71</v>
      </c>
      <c r="F9850">
        <v>12850069</v>
      </c>
      <c r="G9850" t="s">
        <v>2154</v>
      </c>
      <c r="H9850" s="21">
        <v>1000.17</v>
      </c>
    </row>
    <row r="9851" spans="1:8" customFormat="1" x14ac:dyDescent="0.25">
      <c r="A9851" t="str">
        <f>"10324"</f>
        <v>10324</v>
      </c>
      <c r="B9851" t="s">
        <v>10333</v>
      </c>
      <c r="C9851" t="s">
        <v>415</v>
      </c>
      <c r="D9851" s="21" t="s">
        <v>34</v>
      </c>
      <c r="E9851" s="21" t="s">
        <v>1089</v>
      </c>
      <c r="F9851">
        <v>6100016</v>
      </c>
      <c r="G9851" t="s">
        <v>7558</v>
      </c>
      <c r="H9851" s="21">
        <v>1000.17</v>
      </c>
    </row>
    <row r="9852" spans="1:8" customFormat="1" x14ac:dyDescent="0.25">
      <c r="A9852" t="str">
        <f>"9423570"</f>
        <v>9423570</v>
      </c>
      <c r="B9852" t="s">
        <v>3724</v>
      </c>
      <c r="C9852" t="s">
        <v>2479</v>
      </c>
      <c r="D9852" s="21" t="s">
        <v>34</v>
      </c>
      <c r="E9852" s="21" t="s">
        <v>1089</v>
      </c>
      <c r="F9852">
        <v>9140012</v>
      </c>
      <c r="G9852" t="s">
        <v>26518</v>
      </c>
      <c r="H9852" s="21">
        <v>1000.17</v>
      </c>
    </row>
    <row r="9853" spans="1:8" customFormat="1" x14ac:dyDescent="0.25">
      <c r="A9853" t="str">
        <f>"4524816"</f>
        <v>4524816</v>
      </c>
      <c r="B9853" t="s">
        <v>3413</v>
      </c>
      <c r="C9853" t="s">
        <v>239</v>
      </c>
      <c r="D9853" s="21" t="s">
        <v>34</v>
      </c>
      <c r="E9853" s="21" t="s">
        <v>35</v>
      </c>
      <c r="F9853">
        <v>4450751</v>
      </c>
      <c r="G9853" t="s">
        <v>442</v>
      </c>
      <c r="H9853" s="21">
        <v>999.8</v>
      </c>
    </row>
    <row r="9854" spans="1:8" customFormat="1" x14ac:dyDescent="0.25">
      <c r="A9854" t="str">
        <f>"5947513"</f>
        <v>5947513</v>
      </c>
      <c r="B9854" t="s">
        <v>346</v>
      </c>
      <c r="C9854" t="s">
        <v>33</v>
      </c>
      <c r="D9854" s="21" t="s">
        <v>34</v>
      </c>
      <c r="E9854" s="21" t="s">
        <v>35</v>
      </c>
      <c r="F9854">
        <v>7590231</v>
      </c>
      <c r="G9854" t="s">
        <v>207</v>
      </c>
      <c r="H9854" s="21">
        <v>999.79</v>
      </c>
    </row>
    <row r="9855" spans="1:8" customFormat="1" x14ac:dyDescent="0.25">
      <c r="A9855" t="str">
        <f>"6211386"</f>
        <v>6211386</v>
      </c>
      <c r="B9855" t="s">
        <v>3599</v>
      </c>
      <c r="C9855" t="s">
        <v>33</v>
      </c>
      <c r="D9855" s="21" t="s">
        <v>34</v>
      </c>
      <c r="E9855" s="21" t="s">
        <v>35</v>
      </c>
      <c r="F9855">
        <v>7620079</v>
      </c>
      <c r="G9855" t="s">
        <v>9718</v>
      </c>
      <c r="H9855" s="21">
        <v>999.67</v>
      </c>
    </row>
    <row r="9856" spans="1:8" customFormat="1" x14ac:dyDescent="0.25">
      <c r="A9856" t="str">
        <f>"932428"</f>
        <v>932428</v>
      </c>
      <c r="B9856" t="s">
        <v>4063</v>
      </c>
      <c r="C9856" t="s">
        <v>169</v>
      </c>
      <c r="D9856" s="21" t="s">
        <v>34</v>
      </c>
      <c r="E9856" s="21" t="s">
        <v>35</v>
      </c>
      <c r="F9856">
        <v>8771201</v>
      </c>
      <c r="G9856" t="s">
        <v>9153</v>
      </c>
      <c r="H9856" s="21">
        <v>999.67</v>
      </c>
    </row>
    <row r="9857" spans="1:8" customFormat="1" x14ac:dyDescent="0.25">
      <c r="A9857" t="str">
        <f>"9720221"</f>
        <v>9720221</v>
      </c>
      <c r="B9857" t="s">
        <v>9355</v>
      </c>
      <c r="C9857" t="s">
        <v>130</v>
      </c>
      <c r="D9857" s="21" t="s">
        <v>34</v>
      </c>
      <c r="E9857" s="21" t="s">
        <v>71</v>
      </c>
      <c r="F9857" t="s">
        <v>1477</v>
      </c>
      <c r="G9857" t="s">
        <v>1478</v>
      </c>
      <c r="H9857" s="21">
        <v>999.67</v>
      </c>
    </row>
    <row r="9858" spans="1:8" customFormat="1" x14ac:dyDescent="0.25">
      <c r="A9858" t="str">
        <f>"499010"</f>
        <v>499010</v>
      </c>
      <c r="B9858" t="s">
        <v>2402</v>
      </c>
      <c r="C9858" t="s">
        <v>428</v>
      </c>
      <c r="D9858" s="21" t="s">
        <v>34</v>
      </c>
      <c r="E9858" s="21" t="s">
        <v>35</v>
      </c>
      <c r="F9858">
        <v>12490107</v>
      </c>
      <c r="G9858" t="s">
        <v>715</v>
      </c>
      <c r="H9858" s="21">
        <v>999.67</v>
      </c>
    </row>
    <row r="9859" spans="1:8" customFormat="1" x14ac:dyDescent="0.25">
      <c r="A9859" t="str">
        <f>"256449"</f>
        <v>256449</v>
      </c>
      <c r="B9859" t="s">
        <v>12015</v>
      </c>
      <c r="C9859" t="s">
        <v>12016</v>
      </c>
      <c r="D9859" s="21" t="s">
        <v>34</v>
      </c>
      <c r="E9859" s="21" t="s">
        <v>71</v>
      </c>
      <c r="F9859">
        <v>2250193</v>
      </c>
      <c r="G9859" t="s">
        <v>2584</v>
      </c>
      <c r="H9859" s="21">
        <v>999.67</v>
      </c>
    </row>
    <row r="9860" spans="1:8" customFormat="1" x14ac:dyDescent="0.25">
      <c r="A9860" t="str">
        <f>"3723015"</f>
        <v>3723015</v>
      </c>
      <c r="B9860" t="s">
        <v>4558</v>
      </c>
      <c r="C9860" t="s">
        <v>1489</v>
      </c>
      <c r="D9860" s="21" t="s">
        <v>34</v>
      </c>
      <c r="E9860" s="21" t="s">
        <v>35</v>
      </c>
      <c r="F9860">
        <v>4370533</v>
      </c>
      <c r="G9860" t="s">
        <v>10553</v>
      </c>
      <c r="H9860" s="21">
        <v>999.67</v>
      </c>
    </row>
    <row r="9861" spans="1:8" customFormat="1" x14ac:dyDescent="0.25">
      <c r="A9861" t="str">
        <f>"935701"</f>
        <v>935701</v>
      </c>
      <c r="B9861" t="s">
        <v>3001</v>
      </c>
      <c r="C9861" t="s">
        <v>151</v>
      </c>
      <c r="D9861" s="21" t="s">
        <v>34</v>
      </c>
      <c r="E9861" s="21" t="s">
        <v>71</v>
      </c>
      <c r="F9861">
        <v>8930185</v>
      </c>
      <c r="G9861" t="s">
        <v>3846</v>
      </c>
      <c r="H9861" s="21">
        <v>999.42</v>
      </c>
    </row>
    <row r="9862" spans="1:8" customFormat="1" x14ac:dyDescent="0.25">
      <c r="A9862" t="str">
        <f>"857246"</f>
        <v>857246</v>
      </c>
      <c r="B9862" t="s">
        <v>10087</v>
      </c>
      <c r="C9862" t="s">
        <v>462</v>
      </c>
      <c r="D9862" s="21" t="s">
        <v>34</v>
      </c>
      <c r="E9862" s="21" t="s">
        <v>71</v>
      </c>
      <c r="F9862">
        <v>12440218</v>
      </c>
      <c r="G9862" t="s">
        <v>8477</v>
      </c>
      <c r="H9862" s="21">
        <v>999.42</v>
      </c>
    </row>
    <row r="9863" spans="1:8" customFormat="1" x14ac:dyDescent="0.25">
      <c r="A9863" t="str">
        <f>"7847661"</f>
        <v>7847661</v>
      </c>
      <c r="B9863" t="s">
        <v>10060</v>
      </c>
      <c r="C9863" t="s">
        <v>169</v>
      </c>
      <c r="D9863" s="21" t="s">
        <v>34</v>
      </c>
      <c r="E9863" s="21" t="s">
        <v>71</v>
      </c>
      <c r="F9863">
        <v>8780130</v>
      </c>
      <c r="G9863" t="s">
        <v>5752</v>
      </c>
      <c r="H9863" s="21">
        <v>999.31</v>
      </c>
    </row>
    <row r="9864" spans="1:8" customFormat="1" x14ac:dyDescent="0.25">
      <c r="A9864" t="str">
        <f>"337034"</f>
        <v>337034</v>
      </c>
      <c r="B9864" t="s">
        <v>2549</v>
      </c>
      <c r="C9864" t="s">
        <v>1142</v>
      </c>
      <c r="D9864" s="21" t="s">
        <v>34</v>
      </c>
      <c r="E9864" s="21" t="s">
        <v>71</v>
      </c>
      <c r="F9864">
        <v>10330127</v>
      </c>
      <c r="G9864" t="s">
        <v>9051</v>
      </c>
      <c r="H9864" s="21">
        <v>999.3</v>
      </c>
    </row>
    <row r="9865" spans="1:8" customFormat="1" x14ac:dyDescent="0.25">
      <c r="A9865" t="str">
        <f>"5317785"</f>
        <v>5317785</v>
      </c>
      <c r="B9865" t="s">
        <v>9617</v>
      </c>
      <c r="C9865" t="s">
        <v>275</v>
      </c>
      <c r="D9865" s="21" t="s">
        <v>34</v>
      </c>
      <c r="E9865" s="21" t="s">
        <v>35</v>
      </c>
      <c r="F9865">
        <v>12530064</v>
      </c>
      <c r="G9865" t="s">
        <v>3699</v>
      </c>
      <c r="H9865" s="21">
        <v>999.18</v>
      </c>
    </row>
    <row r="9866" spans="1:8" customFormat="1" x14ac:dyDescent="0.25">
      <c r="A9866" t="str">
        <f>"508949"</f>
        <v>508949</v>
      </c>
      <c r="B9866" t="s">
        <v>9803</v>
      </c>
      <c r="C9866" t="s">
        <v>269</v>
      </c>
      <c r="D9866" s="21" t="s">
        <v>34</v>
      </c>
      <c r="E9866" s="21" t="s">
        <v>35</v>
      </c>
      <c r="F9866">
        <v>9500027</v>
      </c>
      <c r="G9866" t="s">
        <v>6343</v>
      </c>
      <c r="H9866" s="21">
        <v>999.17</v>
      </c>
    </row>
    <row r="9867" spans="1:8" customFormat="1" x14ac:dyDescent="0.25">
      <c r="A9867" t="str">
        <f>"393971"</f>
        <v>393971</v>
      </c>
      <c r="B9867" t="s">
        <v>1349</v>
      </c>
      <c r="C9867" t="s">
        <v>55</v>
      </c>
      <c r="D9867" s="21" t="s">
        <v>34</v>
      </c>
      <c r="E9867" s="21" t="s">
        <v>71</v>
      </c>
      <c r="F9867">
        <v>2390001</v>
      </c>
      <c r="G9867" t="s">
        <v>6664</v>
      </c>
      <c r="H9867" s="21">
        <v>999.17</v>
      </c>
    </row>
    <row r="9868" spans="1:8" customFormat="1" x14ac:dyDescent="0.25">
      <c r="A9868" t="str">
        <f>"634008"</f>
        <v>634008</v>
      </c>
      <c r="B9868" t="s">
        <v>10433</v>
      </c>
      <c r="C9868" t="s">
        <v>43</v>
      </c>
      <c r="D9868" s="21" t="s">
        <v>34</v>
      </c>
      <c r="E9868" s="21" t="s">
        <v>35</v>
      </c>
      <c r="F9868">
        <v>1630281</v>
      </c>
      <c r="G9868" t="s">
        <v>1190</v>
      </c>
      <c r="H9868" s="21">
        <v>999.17</v>
      </c>
    </row>
    <row r="9869" spans="1:8" customFormat="1" x14ac:dyDescent="0.25">
      <c r="A9869" t="str">
        <f>"2912034"</f>
        <v>2912034</v>
      </c>
      <c r="B9869" t="s">
        <v>10100</v>
      </c>
      <c r="C9869" t="s">
        <v>288</v>
      </c>
      <c r="D9869" s="21" t="s">
        <v>34</v>
      </c>
      <c r="E9869" s="21" t="s">
        <v>35</v>
      </c>
      <c r="F9869">
        <v>3290237</v>
      </c>
      <c r="G9869" t="s">
        <v>8731</v>
      </c>
      <c r="H9869" s="21">
        <v>999.17</v>
      </c>
    </row>
    <row r="9870" spans="1:8" customFormat="1" x14ac:dyDescent="0.25">
      <c r="A9870" t="str">
        <f>"7724694"</f>
        <v>7724694</v>
      </c>
      <c r="B9870" t="s">
        <v>9513</v>
      </c>
      <c r="C9870" t="s">
        <v>9514</v>
      </c>
      <c r="D9870" s="21" t="s">
        <v>34</v>
      </c>
      <c r="E9870" s="21" t="s">
        <v>71</v>
      </c>
      <c r="F9870">
        <v>8771236</v>
      </c>
      <c r="G9870" t="s">
        <v>386</v>
      </c>
      <c r="H9870" s="21">
        <v>999.17</v>
      </c>
    </row>
    <row r="9871" spans="1:8" customFormat="1" x14ac:dyDescent="0.25">
      <c r="A9871" t="str">
        <f>"723988"</f>
        <v>723988</v>
      </c>
      <c r="B9871" t="s">
        <v>10908</v>
      </c>
      <c r="C9871" t="s">
        <v>139</v>
      </c>
      <c r="D9871" s="21" t="s">
        <v>34</v>
      </c>
      <c r="E9871" s="21" t="s">
        <v>35</v>
      </c>
      <c r="F9871">
        <v>12720034</v>
      </c>
      <c r="G9871" t="s">
        <v>4561</v>
      </c>
      <c r="H9871" s="21">
        <v>999.17</v>
      </c>
    </row>
    <row r="9872" spans="1:8" customFormat="1" x14ac:dyDescent="0.25">
      <c r="A9872" t="str">
        <f>"067476"</f>
        <v>067476</v>
      </c>
      <c r="B9872" t="s">
        <v>8582</v>
      </c>
      <c r="C9872" t="s">
        <v>171</v>
      </c>
      <c r="D9872" s="21" t="s">
        <v>34</v>
      </c>
      <c r="E9872" s="21" t="s">
        <v>71</v>
      </c>
      <c r="F9872">
        <v>13060085</v>
      </c>
      <c r="G9872" t="s">
        <v>2703</v>
      </c>
      <c r="H9872" s="21">
        <v>999.17</v>
      </c>
    </row>
    <row r="9873" spans="1:8" customFormat="1" x14ac:dyDescent="0.25">
      <c r="A9873" t="str">
        <f>"151857"</f>
        <v>151857</v>
      </c>
      <c r="B9873" t="s">
        <v>9571</v>
      </c>
      <c r="C9873" t="s">
        <v>62</v>
      </c>
      <c r="D9873" s="21" t="s">
        <v>34</v>
      </c>
      <c r="E9873" s="21" t="s">
        <v>35</v>
      </c>
      <c r="F9873">
        <v>1150291</v>
      </c>
      <c r="G9873" t="s">
        <v>17865</v>
      </c>
      <c r="H9873" s="21">
        <v>999.05</v>
      </c>
    </row>
    <row r="9874" spans="1:8" customFormat="1" x14ac:dyDescent="0.25">
      <c r="A9874" t="str">
        <f>"9517988"</f>
        <v>9517988</v>
      </c>
      <c r="B9874" t="s">
        <v>27128</v>
      </c>
      <c r="C9874" t="s">
        <v>262</v>
      </c>
      <c r="D9874" s="21" t="s">
        <v>34</v>
      </c>
      <c r="E9874" s="21" t="s">
        <v>35</v>
      </c>
      <c r="F9874">
        <v>10330125</v>
      </c>
      <c r="G9874" t="s">
        <v>3753</v>
      </c>
      <c r="H9874" s="21">
        <v>998.92</v>
      </c>
    </row>
    <row r="9875" spans="1:8" customFormat="1" x14ac:dyDescent="0.25">
      <c r="A9875" t="str">
        <f>"274799"</f>
        <v>274799</v>
      </c>
      <c r="B9875" t="s">
        <v>13095</v>
      </c>
      <c r="C9875" t="s">
        <v>40</v>
      </c>
      <c r="D9875" s="21" t="s">
        <v>34</v>
      </c>
      <c r="E9875" s="21" t="s">
        <v>254</v>
      </c>
      <c r="F9875">
        <v>9270030</v>
      </c>
      <c r="G9875" t="s">
        <v>5853</v>
      </c>
      <c r="H9875" s="21">
        <v>998.79</v>
      </c>
    </row>
    <row r="9876" spans="1:8" customFormat="1" x14ac:dyDescent="0.25">
      <c r="A9876" t="str">
        <f>"1310114"</f>
        <v>1310114</v>
      </c>
      <c r="B9876" t="s">
        <v>7987</v>
      </c>
      <c r="C9876" t="s">
        <v>127</v>
      </c>
      <c r="D9876" s="21" t="s">
        <v>34</v>
      </c>
      <c r="E9876" s="21" t="s">
        <v>35</v>
      </c>
      <c r="F9876">
        <v>13130005</v>
      </c>
      <c r="G9876" t="s">
        <v>2008</v>
      </c>
      <c r="H9876" s="21">
        <v>998.67</v>
      </c>
    </row>
    <row r="9877" spans="1:8" customFormat="1" x14ac:dyDescent="0.25">
      <c r="A9877" t="str">
        <f>"639075"</f>
        <v>639075</v>
      </c>
      <c r="B9877" t="s">
        <v>7409</v>
      </c>
      <c r="C9877" t="s">
        <v>209</v>
      </c>
      <c r="D9877" s="21" t="s">
        <v>34</v>
      </c>
      <c r="E9877" s="21" t="s">
        <v>71</v>
      </c>
      <c r="F9877">
        <v>1630015</v>
      </c>
      <c r="G9877" t="s">
        <v>2097</v>
      </c>
      <c r="H9877" s="21">
        <v>998.67</v>
      </c>
    </row>
    <row r="9878" spans="1:8" customFormat="1" x14ac:dyDescent="0.25">
      <c r="A9878" t="str">
        <f>"61211"</f>
        <v>61211</v>
      </c>
      <c r="B9878" t="s">
        <v>12440</v>
      </c>
      <c r="C9878" t="s">
        <v>55</v>
      </c>
      <c r="D9878" s="21" t="s">
        <v>34</v>
      </c>
      <c r="E9878" s="21" t="s">
        <v>35</v>
      </c>
      <c r="F9878">
        <v>9610073</v>
      </c>
      <c r="G9878" t="s">
        <v>8382</v>
      </c>
      <c r="H9878" s="21">
        <v>998.67</v>
      </c>
    </row>
    <row r="9879" spans="1:8" customFormat="1" x14ac:dyDescent="0.25">
      <c r="A9879" t="str">
        <f>"93889"</f>
        <v>93889</v>
      </c>
      <c r="B9879" t="s">
        <v>2973</v>
      </c>
      <c r="C9879" t="s">
        <v>263</v>
      </c>
      <c r="D9879" s="21" t="s">
        <v>34</v>
      </c>
      <c r="E9879" s="21" t="s">
        <v>254</v>
      </c>
      <c r="F9879">
        <v>8930452</v>
      </c>
      <c r="G9879" t="s">
        <v>83</v>
      </c>
      <c r="H9879" s="21">
        <v>998.67</v>
      </c>
    </row>
    <row r="9880" spans="1:8" customFormat="1" x14ac:dyDescent="0.25">
      <c r="A9880" t="str">
        <f>"5014485"</f>
        <v>5014485</v>
      </c>
      <c r="B9880" t="s">
        <v>10121</v>
      </c>
      <c r="C9880" t="s">
        <v>547</v>
      </c>
      <c r="D9880" s="21" t="s">
        <v>34</v>
      </c>
      <c r="E9880" s="21" t="s">
        <v>254</v>
      </c>
      <c r="F9880">
        <v>9500131</v>
      </c>
      <c r="G9880" t="s">
        <v>1073</v>
      </c>
      <c r="H9880" s="21">
        <v>998.67</v>
      </c>
    </row>
    <row r="9881" spans="1:8" customFormat="1" x14ac:dyDescent="0.25">
      <c r="A9881" t="str">
        <f>"448272"</f>
        <v>448272</v>
      </c>
      <c r="B9881" t="s">
        <v>9440</v>
      </c>
      <c r="C9881" t="s">
        <v>87</v>
      </c>
      <c r="D9881" s="21" t="s">
        <v>34</v>
      </c>
      <c r="E9881" s="21" t="s">
        <v>35</v>
      </c>
      <c r="F9881">
        <v>12850148</v>
      </c>
      <c r="G9881" t="s">
        <v>2380</v>
      </c>
      <c r="H9881" s="21">
        <v>998.67</v>
      </c>
    </row>
    <row r="9882" spans="1:8" customFormat="1" x14ac:dyDescent="0.25">
      <c r="A9882" t="str">
        <f>"672545"</f>
        <v>672545</v>
      </c>
      <c r="B9882" t="s">
        <v>9809</v>
      </c>
      <c r="C9882" t="s">
        <v>1142</v>
      </c>
      <c r="D9882" s="21" t="s">
        <v>34</v>
      </c>
      <c r="E9882" s="21" t="s">
        <v>1089</v>
      </c>
      <c r="F9882">
        <v>6670195</v>
      </c>
      <c r="G9882" t="s">
        <v>3974</v>
      </c>
      <c r="H9882" s="21">
        <v>998.67</v>
      </c>
    </row>
    <row r="9883" spans="1:8" customFormat="1" x14ac:dyDescent="0.25">
      <c r="A9883" t="str">
        <f>"243571"</f>
        <v>243571</v>
      </c>
      <c r="B9883" t="s">
        <v>9165</v>
      </c>
      <c r="C9883" t="s">
        <v>209</v>
      </c>
      <c r="D9883" s="21" t="s">
        <v>34</v>
      </c>
      <c r="E9883" s="21" t="s">
        <v>35</v>
      </c>
      <c r="F9883">
        <v>11310006</v>
      </c>
      <c r="G9883" t="s">
        <v>419</v>
      </c>
      <c r="H9883" s="21">
        <v>998.67</v>
      </c>
    </row>
    <row r="9884" spans="1:8" customFormat="1" x14ac:dyDescent="0.25">
      <c r="A9884" t="str">
        <f>"2917878"</f>
        <v>2917878</v>
      </c>
      <c r="B9884" t="s">
        <v>3957</v>
      </c>
      <c r="C9884" t="s">
        <v>462</v>
      </c>
      <c r="D9884" s="21" t="s">
        <v>34</v>
      </c>
      <c r="E9884" s="21" t="s">
        <v>71</v>
      </c>
      <c r="F9884">
        <v>3290208</v>
      </c>
      <c r="G9884" t="s">
        <v>1553</v>
      </c>
      <c r="H9884" s="21">
        <v>998.67</v>
      </c>
    </row>
    <row r="9885" spans="1:8" customFormat="1" x14ac:dyDescent="0.25">
      <c r="A9885" t="str">
        <f>"391855"</f>
        <v>391855</v>
      </c>
      <c r="B9885" t="s">
        <v>9131</v>
      </c>
      <c r="C9885" t="s">
        <v>656</v>
      </c>
      <c r="D9885" s="21" t="s">
        <v>34</v>
      </c>
      <c r="E9885" s="21" t="s">
        <v>35</v>
      </c>
      <c r="F9885">
        <v>2390002</v>
      </c>
      <c r="G9885" t="s">
        <v>9132</v>
      </c>
      <c r="H9885" s="21">
        <v>998.67</v>
      </c>
    </row>
    <row r="9886" spans="1:8" customFormat="1" x14ac:dyDescent="0.25">
      <c r="A9886" t="str">
        <f>"7640350"</f>
        <v>7640350</v>
      </c>
      <c r="B9886" t="s">
        <v>11706</v>
      </c>
      <c r="C9886" t="s">
        <v>174</v>
      </c>
      <c r="D9886" s="21" t="s">
        <v>34</v>
      </c>
      <c r="E9886" s="21" t="s">
        <v>35</v>
      </c>
      <c r="F9886">
        <v>9760041</v>
      </c>
      <c r="G9886" t="s">
        <v>452</v>
      </c>
      <c r="H9886" s="21">
        <v>998.67</v>
      </c>
    </row>
    <row r="9887" spans="1:8" customFormat="1" x14ac:dyDescent="0.25">
      <c r="A9887" t="str">
        <f>"5731752"</f>
        <v>5731752</v>
      </c>
      <c r="B9887" t="s">
        <v>9589</v>
      </c>
      <c r="C9887" t="s">
        <v>598</v>
      </c>
      <c r="D9887" s="21" t="s">
        <v>34</v>
      </c>
      <c r="E9887" s="21" t="s">
        <v>254</v>
      </c>
      <c r="F9887">
        <v>6570014</v>
      </c>
      <c r="G9887" t="s">
        <v>72</v>
      </c>
      <c r="H9887" s="21">
        <v>998.67</v>
      </c>
    </row>
    <row r="9888" spans="1:8" customFormat="1" x14ac:dyDescent="0.25">
      <c r="A9888" t="str">
        <f>"9523518"</f>
        <v>9523518</v>
      </c>
      <c r="B9888" t="s">
        <v>9762</v>
      </c>
      <c r="C9888" t="s">
        <v>169</v>
      </c>
      <c r="D9888" s="21" t="s">
        <v>34</v>
      </c>
      <c r="E9888" s="21" t="s">
        <v>71</v>
      </c>
      <c r="F9888">
        <v>8951452</v>
      </c>
      <c r="G9888" t="s">
        <v>9763</v>
      </c>
      <c r="H9888" s="21">
        <v>998.67</v>
      </c>
    </row>
    <row r="9889" spans="1:8" customFormat="1" x14ac:dyDescent="0.25">
      <c r="A9889" t="str">
        <f>"243147"</f>
        <v>243147</v>
      </c>
      <c r="B9889" t="s">
        <v>9301</v>
      </c>
      <c r="C9889" t="s">
        <v>269</v>
      </c>
      <c r="D9889" s="21" t="s">
        <v>34</v>
      </c>
      <c r="E9889" s="21" t="s">
        <v>71</v>
      </c>
      <c r="F9889">
        <v>10240030</v>
      </c>
      <c r="G9889" t="s">
        <v>8997</v>
      </c>
      <c r="H9889" s="21">
        <v>998.67</v>
      </c>
    </row>
    <row r="9890" spans="1:8" customFormat="1" x14ac:dyDescent="0.25">
      <c r="A9890" t="str">
        <f>"547987"</f>
        <v>547987</v>
      </c>
      <c r="B9890" t="s">
        <v>4389</v>
      </c>
      <c r="C9890" t="s">
        <v>412</v>
      </c>
      <c r="D9890" s="21" t="s">
        <v>34</v>
      </c>
      <c r="E9890" s="21" t="s">
        <v>71</v>
      </c>
      <c r="F9890">
        <v>6540040</v>
      </c>
      <c r="G9890" t="s">
        <v>256</v>
      </c>
      <c r="H9890" s="21">
        <v>998.67</v>
      </c>
    </row>
    <row r="9891" spans="1:8" customFormat="1" x14ac:dyDescent="0.25">
      <c r="A9891" t="str">
        <f>"227611"</f>
        <v>227611</v>
      </c>
      <c r="B9891" t="s">
        <v>2854</v>
      </c>
      <c r="C9891" t="s">
        <v>719</v>
      </c>
      <c r="D9891" s="21" t="s">
        <v>34</v>
      </c>
      <c r="E9891" s="21" t="s">
        <v>35</v>
      </c>
      <c r="F9891">
        <v>3220087</v>
      </c>
      <c r="G9891" t="s">
        <v>3540</v>
      </c>
      <c r="H9891" s="21">
        <v>998.3</v>
      </c>
    </row>
    <row r="9892" spans="1:8" customFormat="1" x14ac:dyDescent="0.25">
      <c r="A9892" t="str">
        <f>"7858629"</f>
        <v>7858629</v>
      </c>
      <c r="B9892" t="s">
        <v>11243</v>
      </c>
      <c r="C9892" t="s">
        <v>288</v>
      </c>
      <c r="D9892" s="21" t="s">
        <v>34</v>
      </c>
      <c r="E9892" s="21" t="s">
        <v>71</v>
      </c>
      <c r="F9892">
        <v>10330080</v>
      </c>
      <c r="G9892" t="s">
        <v>5634</v>
      </c>
      <c r="H9892" s="21">
        <v>998.17</v>
      </c>
    </row>
    <row r="9893" spans="1:8" customFormat="1" x14ac:dyDescent="0.25">
      <c r="A9893" t="str">
        <f>"495895"</f>
        <v>495895</v>
      </c>
      <c r="B9893" t="s">
        <v>9241</v>
      </c>
      <c r="C9893" t="s">
        <v>82</v>
      </c>
      <c r="D9893" s="21" t="s">
        <v>34</v>
      </c>
      <c r="E9893" s="21" t="s">
        <v>35</v>
      </c>
      <c r="F9893">
        <v>12490035</v>
      </c>
      <c r="G9893" t="s">
        <v>9242</v>
      </c>
      <c r="H9893" s="21">
        <v>998.17</v>
      </c>
    </row>
    <row r="9894" spans="1:8" customFormat="1" x14ac:dyDescent="0.25">
      <c r="A9894" t="str">
        <f>"3720921"</f>
        <v>3720921</v>
      </c>
      <c r="B9894" t="s">
        <v>10932</v>
      </c>
      <c r="C9894" t="s">
        <v>926</v>
      </c>
      <c r="D9894" s="21" t="s">
        <v>34</v>
      </c>
      <c r="E9894" s="21" t="s">
        <v>35</v>
      </c>
      <c r="F9894">
        <v>4370637</v>
      </c>
      <c r="G9894" t="s">
        <v>3941</v>
      </c>
      <c r="H9894" s="21">
        <v>998.17</v>
      </c>
    </row>
    <row r="9895" spans="1:8" customFormat="1" x14ac:dyDescent="0.25">
      <c r="A9895" t="str">
        <f>"627680"</f>
        <v>627680</v>
      </c>
      <c r="B9895" t="s">
        <v>4747</v>
      </c>
      <c r="C9895" t="s">
        <v>1605</v>
      </c>
      <c r="D9895" s="21" t="s">
        <v>34</v>
      </c>
      <c r="E9895" s="21" t="s">
        <v>1089</v>
      </c>
      <c r="F9895">
        <v>7620019</v>
      </c>
      <c r="G9895" t="s">
        <v>723</v>
      </c>
      <c r="H9895" s="21">
        <v>998.17</v>
      </c>
    </row>
    <row r="9896" spans="1:8" customFormat="1" x14ac:dyDescent="0.25">
      <c r="A9896" t="str">
        <f>"492651"</f>
        <v>492651</v>
      </c>
      <c r="B9896" t="s">
        <v>7974</v>
      </c>
      <c r="C9896" t="s">
        <v>114</v>
      </c>
      <c r="D9896" s="21" t="s">
        <v>34</v>
      </c>
      <c r="E9896" s="21" t="s">
        <v>254</v>
      </c>
      <c r="F9896">
        <v>12490052</v>
      </c>
      <c r="G9896" t="s">
        <v>2732</v>
      </c>
      <c r="H9896" s="21">
        <v>998.17</v>
      </c>
    </row>
    <row r="9897" spans="1:8" customFormat="1" x14ac:dyDescent="0.25">
      <c r="A9897" t="str">
        <f>"9525931"</f>
        <v>9525931</v>
      </c>
      <c r="B9897" t="s">
        <v>7886</v>
      </c>
      <c r="C9897" t="s">
        <v>486</v>
      </c>
      <c r="D9897" s="21" t="s">
        <v>34</v>
      </c>
      <c r="E9897" s="21" t="s">
        <v>71</v>
      </c>
      <c r="F9897">
        <v>9270069</v>
      </c>
      <c r="G9897" t="s">
        <v>3509</v>
      </c>
      <c r="H9897" s="21">
        <v>998.17</v>
      </c>
    </row>
    <row r="9898" spans="1:8" customFormat="1" x14ac:dyDescent="0.25">
      <c r="A9898" t="str">
        <f>"943110"</f>
        <v>943110</v>
      </c>
      <c r="B9898" t="s">
        <v>9156</v>
      </c>
      <c r="C9898" t="s">
        <v>9157</v>
      </c>
      <c r="D9898" s="21" t="s">
        <v>34</v>
      </c>
      <c r="E9898" s="21" t="s">
        <v>71</v>
      </c>
      <c r="F9898">
        <v>8940894</v>
      </c>
      <c r="G9898" t="s">
        <v>481</v>
      </c>
      <c r="H9898" s="21">
        <v>998.17</v>
      </c>
    </row>
    <row r="9899" spans="1:8" customFormat="1" x14ac:dyDescent="0.25">
      <c r="A9899" t="str">
        <f>"419903"</f>
        <v>419903</v>
      </c>
      <c r="B9899" t="s">
        <v>9557</v>
      </c>
      <c r="C9899" t="s">
        <v>1119</v>
      </c>
      <c r="D9899" s="21" t="s">
        <v>34</v>
      </c>
      <c r="E9899" s="21" t="s">
        <v>71</v>
      </c>
      <c r="F9899">
        <v>4410469</v>
      </c>
      <c r="G9899" t="s">
        <v>7919</v>
      </c>
      <c r="H9899" s="21">
        <v>998.17</v>
      </c>
    </row>
    <row r="9900" spans="1:8" customFormat="1" x14ac:dyDescent="0.25">
      <c r="A9900" t="str">
        <f>"3520203"</f>
        <v>3520203</v>
      </c>
      <c r="B9900" t="s">
        <v>11675</v>
      </c>
      <c r="C9900" t="s">
        <v>98</v>
      </c>
      <c r="D9900" s="21" t="s">
        <v>34</v>
      </c>
      <c r="E9900" s="21" t="s">
        <v>35</v>
      </c>
      <c r="F9900">
        <v>3350092</v>
      </c>
      <c r="G9900" t="s">
        <v>26881</v>
      </c>
      <c r="H9900" s="21">
        <v>998.17</v>
      </c>
    </row>
    <row r="9901" spans="1:8" customFormat="1" x14ac:dyDescent="0.25">
      <c r="A9901" t="str">
        <f>"7712366"</f>
        <v>7712366</v>
      </c>
      <c r="B9901" t="s">
        <v>6611</v>
      </c>
      <c r="C9901" t="s">
        <v>65</v>
      </c>
      <c r="D9901" s="21" t="s">
        <v>34</v>
      </c>
      <c r="E9901" s="21" t="s">
        <v>71</v>
      </c>
      <c r="F9901">
        <v>8770426</v>
      </c>
      <c r="G9901" t="s">
        <v>1847</v>
      </c>
      <c r="H9901" s="21">
        <v>998.17</v>
      </c>
    </row>
    <row r="9902" spans="1:8" customFormat="1" x14ac:dyDescent="0.25">
      <c r="A9902" t="str">
        <f>"028054"</f>
        <v>028054</v>
      </c>
      <c r="B9902" t="s">
        <v>9115</v>
      </c>
      <c r="C9902" t="s">
        <v>33</v>
      </c>
      <c r="D9902" s="21" t="s">
        <v>34</v>
      </c>
      <c r="E9902" s="21" t="s">
        <v>71</v>
      </c>
      <c r="F9902">
        <v>7020031</v>
      </c>
      <c r="G9902" t="s">
        <v>828</v>
      </c>
      <c r="H9902" s="21">
        <v>997.92</v>
      </c>
    </row>
    <row r="9903" spans="1:8" customFormat="1" x14ac:dyDescent="0.25">
      <c r="A9903" t="str">
        <f>"5611075"</f>
        <v>5611075</v>
      </c>
      <c r="B9903" t="s">
        <v>9096</v>
      </c>
      <c r="C9903" t="s">
        <v>9097</v>
      </c>
      <c r="D9903" s="21" t="s">
        <v>34</v>
      </c>
      <c r="E9903" s="21" t="s">
        <v>254</v>
      </c>
      <c r="F9903">
        <v>3560096</v>
      </c>
      <c r="G9903" t="s">
        <v>2771</v>
      </c>
      <c r="H9903" s="21">
        <v>997.92</v>
      </c>
    </row>
    <row r="9904" spans="1:8" customFormat="1" x14ac:dyDescent="0.25">
      <c r="A9904" t="str">
        <f>"7520977"</f>
        <v>7520977</v>
      </c>
      <c r="B9904" t="s">
        <v>10547</v>
      </c>
      <c r="C9904" t="s">
        <v>10548</v>
      </c>
      <c r="D9904" s="21" t="s">
        <v>34</v>
      </c>
      <c r="E9904" s="21" t="s">
        <v>35</v>
      </c>
      <c r="F9904">
        <v>8751124</v>
      </c>
      <c r="G9904" t="s">
        <v>1481</v>
      </c>
      <c r="H9904" s="21">
        <v>997.8</v>
      </c>
    </row>
    <row r="9905" spans="1:8" customFormat="1" x14ac:dyDescent="0.25">
      <c r="A9905" t="str">
        <f>"883749"</f>
        <v>883749</v>
      </c>
      <c r="B9905" t="s">
        <v>9105</v>
      </c>
      <c r="C9905" t="s">
        <v>60</v>
      </c>
      <c r="D9905" s="21" t="s">
        <v>34</v>
      </c>
      <c r="E9905" s="21" t="s">
        <v>35</v>
      </c>
      <c r="F9905">
        <v>6880018</v>
      </c>
      <c r="G9905" t="s">
        <v>9046</v>
      </c>
      <c r="H9905" s="21">
        <v>997.67</v>
      </c>
    </row>
    <row r="9906" spans="1:8" customFormat="1" x14ac:dyDescent="0.25">
      <c r="A9906" t="str">
        <f>"8558"</f>
        <v>8558</v>
      </c>
      <c r="B9906" t="s">
        <v>10730</v>
      </c>
      <c r="C9906" t="s">
        <v>926</v>
      </c>
      <c r="D9906" s="21" t="s">
        <v>34</v>
      </c>
      <c r="E9906" s="21" t="s">
        <v>71</v>
      </c>
      <c r="F9906">
        <v>12850135</v>
      </c>
      <c r="G9906" t="s">
        <v>5201</v>
      </c>
      <c r="H9906" s="21">
        <v>997.67</v>
      </c>
    </row>
    <row r="9907" spans="1:8" customFormat="1" x14ac:dyDescent="0.25">
      <c r="A9907" t="str">
        <f>"4423308"</f>
        <v>4423308</v>
      </c>
      <c r="B9907" t="s">
        <v>11201</v>
      </c>
      <c r="C9907" t="s">
        <v>1468</v>
      </c>
      <c r="D9907" s="21" t="s">
        <v>34</v>
      </c>
      <c r="E9907" s="21" t="s">
        <v>35</v>
      </c>
      <c r="F9907">
        <v>12440259</v>
      </c>
      <c r="G9907" t="s">
        <v>833</v>
      </c>
      <c r="H9907" s="21">
        <v>997.67</v>
      </c>
    </row>
    <row r="9908" spans="1:8" customFormat="1" x14ac:dyDescent="0.25">
      <c r="A9908" t="str">
        <f>"6015450"</f>
        <v>6015450</v>
      </c>
      <c r="B9908" t="s">
        <v>11053</v>
      </c>
      <c r="C9908" t="s">
        <v>147</v>
      </c>
      <c r="D9908" s="21" t="s">
        <v>34</v>
      </c>
      <c r="E9908" s="21" t="s">
        <v>71</v>
      </c>
      <c r="F9908">
        <v>3560055</v>
      </c>
      <c r="G9908" t="s">
        <v>8371</v>
      </c>
      <c r="H9908" s="21">
        <v>997.42</v>
      </c>
    </row>
    <row r="9909" spans="1:8" customFormat="1" x14ac:dyDescent="0.25">
      <c r="A9909" t="str">
        <f>"6014348"</f>
        <v>6014348</v>
      </c>
      <c r="B9909" t="s">
        <v>589</v>
      </c>
      <c r="C9909" t="s">
        <v>249</v>
      </c>
      <c r="D9909" s="21" t="s">
        <v>34</v>
      </c>
      <c r="E9909" s="21" t="s">
        <v>71</v>
      </c>
      <c r="F9909">
        <v>7600043</v>
      </c>
      <c r="G9909" t="s">
        <v>1928</v>
      </c>
      <c r="H9909" s="21">
        <v>997.42</v>
      </c>
    </row>
    <row r="9910" spans="1:8" customFormat="1" x14ac:dyDescent="0.25">
      <c r="A9910" t="str">
        <f>"9311167"</f>
        <v>9311167</v>
      </c>
      <c r="B9910" t="s">
        <v>2023</v>
      </c>
      <c r="C9910" t="s">
        <v>169</v>
      </c>
      <c r="D9910" s="21" t="s">
        <v>34</v>
      </c>
      <c r="E9910" s="21" t="s">
        <v>71</v>
      </c>
      <c r="F9910">
        <v>8931057</v>
      </c>
      <c r="G9910" t="s">
        <v>1011</v>
      </c>
      <c r="H9910" s="21">
        <v>997.42</v>
      </c>
    </row>
    <row r="9911" spans="1:8" customFormat="1" x14ac:dyDescent="0.25">
      <c r="A9911" t="str">
        <f>"40845"</f>
        <v>40845</v>
      </c>
      <c r="B9911" t="s">
        <v>6280</v>
      </c>
      <c r="C9911" t="s">
        <v>209</v>
      </c>
      <c r="D9911" s="21" t="s">
        <v>34</v>
      </c>
      <c r="E9911" s="21" t="s">
        <v>254</v>
      </c>
      <c r="F9911">
        <v>10400016</v>
      </c>
      <c r="G9911" t="s">
        <v>9271</v>
      </c>
      <c r="H9911" s="21">
        <v>997.17</v>
      </c>
    </row>
    <row r="9912" spans="1:8" customFormat="1" x14ac:dyDescent="0.25">
      <c r="A9912" t="str">
        <f>"6211281"</f>
        <v>6211281</v>
      </c>
      <c r="B9912" t="s">
        <v>3062</v>
      </c>
      <c r="C9912" t="s">
        <v>130</v>
      </c>
      <c r="D9912" s="21" t="s">
        <v>34</v>
      </c>
      <c r="E9912" s="21" t="s">
        <v>71</v>
      </c>
      <c r="F9912">
        <v>7620140</v>
      </c>
      <c r="G9912" t="s">
        <v>7454</v>
      </c>
      <c r="H9912" s="21">
        <v>997.17</v>
      </c>
    </row>
    <row r="9913" spans="1:8" customFormat="1" x14ac:dyDescent="0.25">
      <c r="A9913" t="str">
        <f>"6231259"</f>
        <v>6231259</v>
      </c>
      <c r="B9913" t="s">
        <v>9085</v>
      </c>
      <c r="C9913" t="s">
        <v>60</v>
      </c>
      <c r="D9913" s="21" t="s">
        <v>34</v>
      </c>
      <c r="E9913" s="21" t="s">
        <v>35</v>
      </c>
      <c r="F9913">
        <v>7620054</v>
      </c>
      <c r="G9913" t="s">
        <v>1677</v>
      </c>
      <c r="H9913" s="21">
        <v>997.17</v>
      </c>
    </row>
    <row r="9914" spans="1:8" customFormat="1" x14ac:dyDescent="0.25">
      <c r="A9914" t="str">
        <f>"5916920"</f>
        <v>5916920</v>
      </c>
      <c r="B9914" t="s">
        <v>27129</v>
      </c>
      <c r="C9914" t="s">
        <v>98</v>
      </c>
      <c r="D9914" s="21" t="s">
        <v>34</v>
      </c>
      <c r="E9914" s="21" t="s">
        <v>35</v>
      </c>
      <c r="F9914">
        <v>7590006</v>
      </c>
      <c r="G9914" t="s">
        <v>4165</v>
      </c>
      <c r="H9914" s="21">
        <v>997.17</v>
      </c>
    </row>
    <row r="9915" spans="1:8" customFormat="1" x14ac:dyDescent="0.25">
      <c r="A9915" t="str">
        <f>"5951589"</f>
        <v>5951589</v>
      </c>
      <c r="B9915" t="s">
        <v>14175</v>
      </c>
      <c r="C9915" t="s">
        <v>169</v>
      </c>
      <c r="D9915" s="21" t="s">
        <v>34</v>
      </c>
      <c r="E9915" s="21" t="s">
        <v>35</v>
      </c>
      <c r="F9915">
        <v>7590404</v>
      </c>
      <c r="G9915" t="s">
        <v>12173</v>
      </c>
      <c r="H9915" s="21">
        <v>997.17</v>
      </c>
    </row>
    <row r="9916" spans="1:8" customFormat="1" x14ac:dyDescent="0.25">
      <c r="A9916" t="str">
        <f>"4918133"</f>
        <v>4918133</v>
      </c>
      <c r="B9916" t="s">
        <v>2854</v>
      </c>
      <c r="C9916" t="s">
        <v>263</v>
      </c>
      <c r="D9916" s="21" t="s">
        <v>34</v>
      </c>
      <c r="E9916" s="21" t="s">
        <v>71</v>
      </c>
      <c r="F9916">
        <v>12490062</v>
      </c>
      <c r="G9916" t="s">
        <v>9920</v>
      </c>
      <c r="H9916" s="21">
        <v>997.17</v>
      </c>
    </row>
    <row r="9917" spans="1:8" customFormat="1" x14ac:dyDescent="0.25">
      <c r="A9917" t="str">
        <f>"2713631"</f>
        <v>2713631</v>
      </c>
      <c r="B9917" t="s">
        <v>4321</v>
      </c>
      <c r="C9917" t="s">
        <v>1620</v>
      </c>
      <c r="D9917" s="21" t="s">
        <v>34</v>
      </c>
      <c r="E9917" s="21" t="s">
        <v>71</v>
      </c>
      <c r="F9917">
        <v>9270176</v>
      </c>
      <c r="G9917" t="s">
        <v>5799</v>
      </c>
      <c r="H9917" s="21">
        <v>997.17</v>
      </c>
    </row>
    <row r="9918" spans="1:8" customFormat="1" x14ac:dyDescent="0.25">
      <c r="A9918" t="str">
        <f>"182085"</f>
        <v>182085</v>
      </c>
      <c r="B9918" t="s">
        <v>2263</v>
      </c>
      <c r="C9918" t="s">
        <v>8978</v>
      </c>
      <c r="D9918" s="21" t="s">
        <v>34</v>
      </c>
      <c r="E9918" s="21" t="s">
        <v>254</v>
      </c>
      <c r="F9918">
        <v>4180682</v>
      </c>
      <c r="G9918" t="s">
        <v>5261</v>
      </c>
      <c r="H9918" s="21">
        <v>997.17</v>
      </c>
    </row>
    <row r="9919" spans="1:8" customFormat="1" x14ac:dyDescent="0.25">
      <c r="A9919" t="str">
        <f>"023769"</f>
        <v>023769</v>
      </c>
      <c r="B9919" t="s">
        <v>20721</v>
      </c>
      <c r="C9919" t="s">
        <v>275</v>
      </c>
      <c r="D9919" s="21" t="s">
        <v>34</v>
      </c>
      <c r="E9919" s="21" t="s">
        <v>35</v>
      </c>
      <c r="F9919">
        <v>7020044</v>
      </c>
      <c r="G9919" t="s">
        <v>4690</v>
      </c>
      <c r="H9919" s="21">
        <v>997.17</v>
      </c>
    </row>
    <row r="9920" spans="1:8" customFormat="1" x14ac:dyDescent="0.25">
      <c r="A9920" t="str">
        <f>"5724584"</f>
        <v>5724584</v>
      </c>
      <c r="B9920" t="s">
        <v>10692</v>
      </c>
      <c r="C9920" t="s">
        <v>130</v>
      </c>
      <c r="D9920" s="21" t="s">
        <v>34</v>
      </c>
      <c r="E9920" s="21" t="s">
        <v>71</v>
      </c>
      <c r="F9920">
        <v>6570154</v>
      </c>
      <c r="G9920" t="s">
        <v>3935</v>
      </c>
      <c r="H9920" s="21">
        <v>997.17</v>
      </c>
    </row>
    <row r="9921" spans="1:8" customFormat="1" x14ac:dyDescent="0.25">
      <c r="A9921" t="str">
        <f>"863178"</f>
        <v>863178</v>
      </c>
      <c r="B9921" t="s">
        <v>1959</v>
      </c>
      <c r="C9921" t="s">
        <v>4721</v>
      </c>
      <c r="D9921" s="21" t="s">
        <v>34</v>
      </c>
      <c r="E9921" s="21" t="s">
        <v>71</v>
      </c>
      <c r="F9921">
        <v>10860035</v>
      </c>
      <c r="G9921" t="s">
        <v>4019</v>
      </c>
      <c r="H9921" s="21">
        <v>997.17</v>
      </c>
    </row>
    <row r="9922" spans="1:8" customFormat="1" x14ac:dyDescent="0.25">
      <c r="A9922" t="str">
        <f>"2916805"</f>
        <v>2916805</v>
      </c>
      <c r="B9922" t="s">
        <v>10173</v>
      </c>
      <c r="C9922" t="s">
        <v>486</v>
      </c>
      <c r="D9922" s="21" t="s">
        <v>34</v>
      </c>
      <c r="E9922" s="21" t="s">
        <v>254</v>
      </c>
      <c r="F9922">
        <v>3290014</v>
      </c>
      <c r="G9922" t="s">
        <v>10174</v>
      </c>
      <c r="H9922" s="21">
        <v>996.92</v>
      </c>
    </row>
    <row r="9923" spans="1:8" customFormat="1" x14ac:dyDescent="0.25">
      <c r="A9923" t="str">
        <f>"4932965"</f>
        <v>4932965</v>
      </c>
      <c r="B9923" t="s">
        <v>7063</v>
      </c>
      <c r="C9923" t="s">
        <v>40</v>
      </c>
      <c r="D9923" s="21" t="s">
        <v>34</v>
      </c>
      <c r="E9923" s="21" t="s">
        <v>254</v>
      </c>
      <c r="F9923">
        <v>12490073</v>
      </c>
      <c r="G9923" t="s">
        <v>296</v>
      </c>
      <c r="H9923" s="21">
        <v>996.92</v>
      </c>
    </row>
    <row r="9924" spans="1:8" customFormat="1" x14ac:dyDescent="0.25">
      <c r="A9924" t="str">
        <f>"515926"</f>
        <v>515926</v>
      </c>
      <c r="B9924" t="s">
        <v>9613</v>
      </c>
      <c r="C9924" t="s">
        <v>883</v>
      </c>
      <c r="D9924" s="21" t="s">
        <v>34</v>
      </c>
      <c r="E9924" s="21" t="s">
        <v>35</v>
      </c>
      <c r="F9924">
        <v>8941343</v>
      </c>
      <c r="G9924" t="s">
        <v>9614</v>
      </c>
      <c r="H9924" s="21">
        <v>996.8</v>
      </c>
    </row>
    <row r="9925" spans="1:8" customFormat="1" x14ac:dyDescent="0.25">
      <c r="A9925" t="str">
        <f>"8513671"</f>
        <v>8513671</v>
      </c>
      <c r="B9925" t="s">
        <v>9983</v>
      </c>
      <c r="C9925" t="s">
        <v>664</v>
      </c>
      <c r="D9925" s="21" t="s">
        <v>34</v>
      </c>
      <c r="E9925" s="21" t="s">
        <v>71</v>
      </c>
      <c r="F9925">
        <v>12850057</v>
      </c>
      <c r="G9925" t="s">
        <v>1291</v>
      </c>
      <c r="H9925" s="21">
        <v>996.67</v>
      </c>
    </row>
    <row r="9926" spans="1:8" customFormat="1" x14ac:dyDescent="0.25">
      <c r="A9926" t="str">
        <f>"6231407"</f>
        <v>6231407</v>
      </c>
      <c r="B9926" t="s">
        <v>6786</v>
      </c>
      <c r="C9926" t="s">
        <v>114</v>
      </c>
      <c r="D9926" s="21" t="s">
        <v>34</v>
      </c>
      <c r="E9926" s="21" t="s">
        <v>35</v>
      </c>
      <c r="F9926">
        <v>7590065</v>
      </c>
      <c r="G9926" t="s">
        <v>1598</v>
      </c>
      <c r="H9926" s="21">
        <v>996.67</v>
      </c>
    </row>
    <row r="9927" spans="1:8" customFormat="1" x14ac:dyDescent="0.25">
      <c r="A9927" t="str">
        <f>"593223"</f>
        <v>593223</v>
      </c>
      <c r="B9927" t="s">
        <v>11458</v>
      </c>
      <c r="C9927" t="s">
        <v>65</v>
      </c>
      <c r="D9927" s="21" t="s">
        <v>34</v>
      </c>
      <c r="E9927" s="21" t="s">
        <v>35</v>
      </c>
      <c r="F9927">
        <v>7590156</v>
      </c>
      <c r="G9927" t="s">
        <v>6224</v>
      </c>
      <c r="H9927" s="21">
        <v>996.67</v>
      </c>
    </row>
    <row r="9928" spans="1:8" customFormat="1" x14ac:dyDescent="0.25">
      <c r="A9928" t="str">
        <f>"9137339"</f>
        <v>9137339</v>
      </c>
      <c r="B9928" t="s">
        <v>9913</v>
      </c>
      <c r="C9928" t="s">
        <v>9914</v>
      </c>
      <c r="D9928" s="21" t="s">
        <v>34</v>
      </c>
      <c r="E9928" s="21" t="s">
        <v>71</v>
      </c>
      <c r="F9928">
        <v>8910916</v>
      </c>
      <c r="G9928" t="s">
        <v>2251</v>
      </c>
      <c r="H9928" s="21">
        <v>996.67</v>
      </c>
    </row>
    <row r="9929" spans="1:8" customFormat="1" x14ac:dyDescent="0.25">
      <c r="A9929" t="str">
        <f>"8012253"</f>
        <v>8012253</v>
      </c>
      <c r="B9929" t="s">
        <v>9867</v>
      </c>
      <c r="C9929" t="s">
        <v>3456</v>
      </c>
      <c r="D9929" s="21" t="s">
        <v>34</v>
      </c>
      <c r="E9929" s="21" t="s">
        <v>35</v>
      </c>
      <c r="F9929">
        <v>4450573</v>
      </c>
      <c r="G9929" t="s">
        <v>4106</v>
      </c>
      <c r="H9929" s="21">
        <v>996.67</v>
      </c>
    </row>
    <row r="9930" spans="1:8" customFormat="1" x14ac:dyDescent="0.25">
      <c r="A9930" t="str">
        <f>"538697"</f>
        <v>538697</v>
      </c>
      <c r="B9930" t="s">
        <v>5833</v>
      </c>
      <c r="C9930" t="s">
        <v>119</v>
      </c>
      <c r="D9930" s="21" t="s">
        <v>34</v>
      </c>
      <c r="E9930" s="21" t="s">
        <v>71</v>
      </c>
      <c r="F9930">
        <v>12530090</v>
      </c>
      <c r="G9930" t="s">
        <v>6132</v>
      </c>
      <c r="H9930" s="21">
        <v>996.42</v>
      </c>
    </row>
    <row r="9931" spans="1:8" customFormat="1" x14ac:dyDescent="0.25">
      <c r="A9931" t="str">
        <f>"5322983"</f>
        <v>5322983</v>
      </c>
      <c r="B9931" t="s">
        <v>3367</v>
      </c>
      <c r="C9931" t="s">
        <v>58</v>
      </c>
      <c r="D9931" s="21" t="s">
        <v>34</v>
      </c>
      <c r="E9931" s="21" t="s">
        <v>35</v>
      </c>
      <c r="F9931">
        <v>12530119</v>
      </c>
      <c r="G9931" t="s">
        <v>9943</v>
      </c>
      <c r="H9931" s="21">
        <v>996.42</v>
      </c>
    </row>
    <row r="9932" spans="1:8" customFormat="1" x14ac:dyDescent="0.25">
      <c r="A9932" t="str">
        <f>"7620789"</f>
        <v>7620789</v>
      </c>
      <c r="B9932" t="s">
        <v>5970</v>
      </c>
      <c r="C9932" t="s">
        <v>98</v>
      </c>
      <c r="D9932" s="21" t="s">
        <v>34</v>
      </c>
      <c r="E9932" s="21" t="s">
        <v>71</v>
      </c>
      <c r="F9932">
        <v>9760430</v>
      </c>
      <c r="G9932" t="s">
        <v>11565</v>
      </c>
      <c r="H9932" s="21">
        <v>996.42</v>
      </c>
    </row>
    <row r="9933" spans="1:8" customFormat="1" x14ac:dyDescent="0.25">
      <c r="A9933" t="str">
        <f>"3711541"</f>
        <v>3711541</v>
      </c>
      <c r="B9933" t="s">
        <v>10182</v>
      </c>
      <c r="C9933" t="s">
        <v>576</v>
      </c>
      <c r="D9933" s="21" t="s">
        <v>34</v>
      </c>
      <c r="E9933" s="21" t="s">
        <v>71</v>
      </c>
      <c r="F9933">
        <v>8770474</v>
      </c>
      <c r="G9933" t="s">
        <v>1600</v>
      </c>
      <c r="H9933" s="21">
        <v>996.29</v>
      </c>
    </row>
    <row r="9934" spans="1:8" customFormat="1" x14ac:dyDescent="0.25">
      <c r="A9934" t="str">
        <f>"0615598"</f>
        <v>0615598</v>
      </c>
      <c r="B9934" t="s">
        <v>5028</v>
      </c>
      <c r="C9934" t="s">
        <v>822</v>
      </c>
      <c r="D9934" s="21" t="s">
        <v>34</v>
      </c>
      <c r="E9934" s="21" t="s">
        <v>71</v>
      </c>
      <c r="F9934">
        <v>13060031</v>
      </c>
      <c r="G9934" t="s">
        <v>9379</v>
      </c>
      <c r="H9934" s="21">
        <v>996.29</v>
      </c>
    </row>
    <row r="9935" spans="1:8" customFormat="1" x14ac:dyDescent="0.25">
      <c r="A9935" t="str">
        <f>"9519370"</f>
        <v>9519370</v>
      </c>
      <c r="B9935" t="s">
        <v>9772</v>
      </c>
      <c r="C9935" t="s">
        <v>3905</v>
      </c>
      <c r="D9935" s="21" t="s">
        <v>34</v>
      </c>
      <c r="E9935" s="21" t="s">
        <v>35</v>
      </c>
      <c r="F9935">
        <v>8930598</v>
      </c>
      <c r="G9935" t="s">
        <v>445</v>
      </c>
      <c r="H9935" s="21">
        <v>996.17</v>
      </c>
    </row>
    <row r="9936" spans="1:8" customFormat="1" x14ac:dyDescent="0.25">
      <c r="A9936" t="str">
        <f>"089046"</f>
        <v>089046</v>
      </c>
      <c r="B9936" t="s">
        <v>10033</v>
      </c>
      <c r="C9936" t="s">
        <v>1146</v>
      </c>
      <c r="D9936" s="21" t="s">
        <v>34</v>
      </c>
      <c r="E9936" s="21" t="s">
        <v>1089</v>
      </c>
      <c r="F9936">
        <v>6080057</v>
      </c>
      <c r="G9936" t="s">
        <v>10034</v>
      </c>
      <c r="H9936" s="21">
        <v>996.17</v>
      </c>
    </row>
    <row r="9937" spans="1:8" customFormat="1" x14ac:dyDescent="0.25">
      <c r="A9937" t="str">
        <f>"5010557"</f>
        <v>5010557</v>
      </c>
      <c r="B9937" t="s">
        <v>9791</v>
      </c>
      <c r="C9937" t="s">
        <v>1119</v>
      </c>
      <c r="D9937" s="21" t="s">
        <v>34</v>
      </c>
      <c r="E9937" s="21" t="s">
        <v>35</v>
      </c>
      <c r="F9937">
        <v>9500107</v>
      </c>
      <c r="G9937" t="s">
        <v>9792</v>
      </c>
      <c r="H9937" s="21">
        <v>996.17</v>
      </c>
    </row>
    <row r="9938" spans="1:8" customFormat="1" x14ac:dyDescent="0.25">
      <c r="A9938" t="str">
        <f>"5610335"</f>
        <v>5610335</v>
      </c>
      <c r="B9938" t="s">
        <v>946</v>
      </c>
      <c r="C9938" t="s">
        <v>4721</v>
      </c>
      <c r="D9938" s="21" t="s">
        <v>34</v>
      </c>
      <c r="E9938" s="21" t="s">
        <v>1089</v>
      </c>
      <c r="F9938">
        <v>3560036</v>
      </c>
      <c r="G9938" t="s">
        <v>910</v>
      </c>
      <c r="H9938" s="21">
        <v>996.17</v>
      </c>
    </row>
    <row r="9939" spans="1:8" customFormat="1" x14ac:dyDescent="0.25">
      <c r="A9939" t="str">
        <f>"7636921"</f>
        <v>7636921</v>
      </c>
      <c r="B9939" t="s">
        <v>10985</v>
      </c>
      <c r="C9939" t="s">
        <v>37</v>
      </c>
      <c r="D9939" s="21" t="s">
        <v>34</v>
      </c>
      <c r="E9939" s="21" t="s">
        <v>35</v>
      </c>
      <c r="F9939">
        <v>9760014</v>
      </c>
      <c r="G9939" t="s">
        <v>1017</v>
      </c>
      <c r="H9939" s="21">
        <v>996.17</v>
      </c>
    </row>
    <row r="9940" spans="1:8" customFormat="1" x14ac:dyDescent="0.25">
      <c r="A9940" t="str">
        <f>"417065"</f>
        <v>417065</v>
      </c>
      <c r="B9940" t="s">
        <v>5951</v>
      </c>
      <c r="C9940" t="s">
        <v>40</v>
      </c>
      <c r="D9940" s="21" t="s">
        <v>34</v>
      </c>
      <c r="E9940" s="21" t="s">
        <v>71</v>
      </c>
      <c r="F9940">
        <v>1740020</v>
      </c>
      <c r="G9940" t="s">
        <v>881</v>
      </c>
      <c r="H9940" s="21">
        <v>996.17</v>
      </c>
    </row>
    <row r="9941" spans="1:8" customFormat="1" x14ac:dyDescent="0.25">
      <c r="A9941" t="str">
        <f>"51228"</f>
        <v>51228</v>
      </c>
      <c r="B9941" t="s">
        <v>9955</v>
      </c>
      <c r="C9941" t="s">
        <v>1110</v>
      </c>
      <c r="D9941" s="21" t="s">
        <v>34</v>
      </c>
      <c r="E9941" s="21" t="s">
        <v>254</v>
      </c>
      <c r="F9941">
        <v>6510008</v>
      </c>
      <c r="G9941" t="s">
        <v>26622</v>
      </c>
      <c r="H9941" s="21">
        <v>996.17</v>
      </c>
    </row>
    <row r="9942" spans="1:8" customFormat="1" x14ac:dyDescent="0.25">
      <c r="A9942" t="str">
        <f>"6216122"</f>
        <v>6216122</v>
      </c>
      <c r="B9942" t="s">
        <v>1986</v>
      </c>
      <c r="C9942" t="s">
        <v>119</v>
      </c>
      <c r="D9942" s="21" t="s">
        <v>34</v>
      </c>
      <c r="E9942" s="21" t="s">
        <v>35</v>
      </c>
      <c r="F9942">
        <v>7620088</v>
      </c>
      <c r="G9942" t="s">
        <v>3342</v>
      </c>
      <c r="H9942" s="21">
        <v>996.17</v>
      </c>
    </row>
    <row r="9943" spans="1:8" customFormat="1" x14ac:dyDescent="0.25">
      <c r="A9943" t="str">
        <f>"6014803"</f>
        <v>6014803</v>
      </c>
      <c r="B9943" t="s">
        <v>11149</v>
      </c>
      <c r="C9943" t="s">
        <v>40</v>
      </c>
      <c r="D9943" s="21" t="s">
        <v>34</v>
      </c>
      <c r="E9943" s="21" t="s">
        <v>254</v>
      </c>
      <c r="F9943">
        <v>7600166</v>
      </c>
      <c r="G9943" t="s">
        <v>9171</v>
      </c>
      <c r="H9943" s="21">
        <v>996.17</v>
      </c>
    </row>
    <row r="9944" spans="1:8" customFormat="1" x14ac:dyDescent="0.25">
      <c r="A9944" t="str">
        <f>"534481"</f>
        <v>534481</v>
      </c>
      <c r="B9944" t="s">
        <v>8862</v>
      </c>
      <c r="C9944" t="s">
        <v>269</v>
      </c>
      <c r="D9944" s="21" t="s">
        <v>34</v>
      </c>
      <c r="E9944" s="21" t="s">
        <v>71</v>
      </c>
      <c r="F9944">
        <v>12530025</v>
      </c>
      <c r="G9944" t="s">
        <v>5589</v>
      </c>
      <c r="H9944" s="21">
        <v>996.17</v>
      </c>
    </row>
    <row r="9945" spans="1:8" customFormat="1" x14ac:dyDescent="0.25">
      <c r="A9945" t="str">
        <f>"2514712"</f>
        <v>2514712</v>
      </c>
      <c r="B9945" t="s">
        <v>9429</v>
      </c>
      <c r="C9945" t="s">
        <v>9430</v>
      </c>
      <c r="D9945" s="21" t="s">
        <v>34</v>
      </c>
      <c r="E9945" s="21" t="s">
        <v>1089</v>
      </c>
      <c r="F9945">
        <v>2250017</v>
      </c>
      <c r="G9945" t="s">
        <v>521</v>
      </c>
      <c r="H9945" s="21">
        <v>996.17</v>
      </c>
    </row>
    <row r="9946" spans="1:8" customFormat="1" x14ac:dyDescent="0.25">
      <c r="A9946" t="str">
        <f>"852112"</f>
        <v>852112</v>
      </c>
      <c r="B9946" t="s">
        <v>11002</v>
      </c>
      <c r="C9946" t="s">
        <v>2546</v>
      </c>
      <c r="D9946" s="21" t="s">
        <v>34</v>
      </c>
      <c r="E9946" s="21" t="s">
        <v>1089</v>
      </c>
      <c r="F9946">
        <v>12850097</v>
      </c>
      <c r="G9946" t="s">
        <v>4111</v>
      </c>
      <c r="H9946" s="21">
        <v>996.17</v>
      </c>
    </row>
    <row r="9947" spans="1:8" customFormat="1" x14ac:dyDescent="0.25">
      <c r="A9947" t="str">
        <f>"588025"</f>
        <v>588025</v>
      </c>
      <c r="B9947" t="s">
        <v>11659</v>
      </c>
      <c r="C9947" t="s">
        <v>60</v>
      </c>
      <c r="D9947" s="21" t="s">
        <v>34</v>
      </c>
      <c r="E9947" s="21" t="s">
        <v>35</v>
      </c>
      <c r="F9947">
        <v>2580012</v>
      </c>
      <c r="G9947" t="s">
        <v>1144</v>
      </c>
      <c r="H9947" s="21">
        <v>996.17</v>
      </c>
    </row>
    <row r="9948" spans="1:8" customFormat="1" x14ac:dyDescent="0.25">
      <c r="A9948" t="str">
        <f>"923922"</f>
        <v>923922</v>
      </c>
      <c r="B9948" t="s">
        <v>8757</v>
      </c>
      <c r="C9948" t="s">
        <v>269</v>
      </c>
      <c r="D9948" s="21" t="s">
        <v>34</v>
      </c>
      <c r="E9948" s="21" t="s">
        <v>71</v>
      </c>
      <c r="F9948">
        <v>8911395</v>
      </c>
      <c r="G9948" t="s">
        <v>8758</v>
      </c>
      <c r="H9948" s="21">
        <v>995.92</v>
      </c>
    </row>
    <row r="9949" spans="1:8" customFormat="1" x14ac:dyDescent="0.25">
      <c r="A9949" t="str">
        <f>"7627962"</f>
        <v>7627962</v>
      </c>
      <c r="B9949" t="s">
        <v>11337</v>
      </c>
      <c r="C9949" t="s">
        <v>302</v>
      </c>
      <c r="D9949" s="21" t="s">
        <v>34</v>
      </c>
      <c r="E9949" s="21" t="s">
        <v>35</v>
      </c>
      <c r="F9949">
        <v>9760320</v>
      </c>
      <c r="G9949" t="s">
        <v>4917</v>
      </c>
      <c r="H9949" s="21">
        <v>995.79</v>
      </c>
    </row>
    <row r="9950" spans="1:8" customFormat="1" x14ac:dyDescent="0.25">
      <c r="A9950" t="str">
        <f>"534735"</f>
        <v>534735</v>
      </c>
      <c r="B9950" t="s">
        <v>11288</v>
      </c>
      <c r="C9950" t="s">
        <v>1841</v>
      </c>
      <c r="D9950" s="21" t="s">
        <v>34</v>
      </c>
      <c r="E9950" s="21" t="s">
        <v>254</v>
      </c>
      <c r="F9950">
        <v>12530017</v>
      </c>
      <c r="G9950" t="s">
        <v>307</v>
      </c>
      <c r="H9950" s="21">
        <v>995.67</v>
      </c>
    </row>
    <row r="9951" spans="1:8" customFormat="1" x14ac:dyDescent="0.25">
      <c r="A9951" t="str">
        <f>"6212978"</f>
        <v>6212978</v>
      </c>
      <c r="B9951" t="s">
        <v>27130</v>
      </c>
      <c r="C9951" t="s">
        <v>37</v>
      </c>
      <c r="D9951" s="21" t="s">
        <v>34</v>
      </c>
      <c r="E9951" s="21" t="s">
        <v>35</v>
      </c>
      <c r="F9951">
        <v>7590065</v>
      </c>
      <c r="G9951" t="s">
        <v>1598</v>
      </c>
      <c r="H9951" s="21">
        <v>995.67</v>
      </c>
    </row>
    <row r="9952" spans="1:8" customFormat="1" x14ac:dyDescent="0.25">
      <c r="A9952" t="str">
        <f>"90224"</f>
        <v>90224</v>
      </c>
      <c r="B9952" t="s">
        <v>3175</v>
      </c>
      <c r="C9952" t="s">
        <v>253</v>
      </c>
      <c r="D9952" s="21" t="s">
        <v>34</v>
      </c>
      <c r="E9952" s="21" t="s">
        <v>254</v>
      </c>
      <c r="F9952">
        <v>2900013</v>
      </c>
      <c r="G9952" t="s">
        <v>5390</v>
      </c>
      <c r="H9952" s="21">
        <v>995.67</v>
      </c>
    </row>
    <row r="9953" spans="1:8" customFormat="1" x14ac:dyDescent="0.25">
      <c r="A9953" t="str">
        <f>"592902"</f>
        <v>592902</v>
      </c>
      <c r="B9953" t="s">
        <v>7782</v>
      </c>
      <c r="C9953" t="s">
        <v>239</v>
      </c>
      <c r="D9953" s="21" t="s">
        <v>34</v>
      </c>
      <c r="E9953" s="21" t="s">
        <v>254</v>
      </c>
      <c r="F9953">
        <v>4410546</v>
      </c>
      <c r="G9953" t="s">
        <v>5001</v>
      </c>
      <c r="H9953" s="21">
        <v>995.67</v>
      </c>
    </row>
    <row r="9954" spans="1:8" customFormat="1" x14ac:dyDescent="0.25">
      <c r="A9954" t="str">
        <f>"251526"</f>
        <v>251526</v>
      </c>
      <c r="B9954" t="s">
        <v>8571</v>
      </c>
      <c r="C9954" t="s">
        <v>236</v>
      </c>
      <c r="D9954" s="21" t="s">
        <v>34</v>
      </c>
      <c r="E9954" s="21" t="s">
        <v>254</v>
      </c>
      <c r="F9954">
        <v>2250095</v>
      </c>
      <c r="G9954" t="s">
        <v>6394</v>
      </c>
      <c r="H9954" s="21">
        <v>995.67</v>
      </c>
    </row>
    <row r="9955" spans="1:8" customFormat="1" x14ac:dyDescent="0.25">
      <c r="A9955" t="str">
        <f>"2926267"</f>
        <v>2926267</v>
      </c>
      <c r="B9955" t="s">
        <v>4877</v>
      </c>
      <c r="C9955" t="s">
        <v>87</v>
      </c>
      <c r="D9955" s="21" t="s">
        <v>34</v>
      </c>
      <c r="E9955" s="21" t="s">
        <v>35</v>
      </c>
      <c r="F9955">
        <v>3290222</v>
      </c>
      <c r="G9955" t="s">
        <v>2259</v>
      </c>
      <c r="H9955" s="21">
        <v>995.67</v>
      </c>
    </row>
    <row r="9956" spans="1:8" customFormat="1" x14ac:dyDescent="0.25">
      <c r="A9956" t="str">
        <f>"854392"</f>
        <v>854392</v>
      </c>
      <c r="B9956" t="s">
        <v>136</v>
      </c>
      <c r="C9956" t="s">
        <v>8345</v>
      </c>
      <c r="D9956" s="21" t="s">
        <v>34</v>
      </c>
      <c r="E9956" s="21" t="s">
        <v>35</v>
      </c>
      <c r="F9956">
        <v>12850131</v>
      </c>
      <c r="G9956" t="s">
        <v>4392</v>
      </c>
      <c r="H9956" s="21">
        <v>995.67</v>
      </c>
    </row>
    <row r="9957" spans="1:8" customFormat="1" x14ac:dyDescent="0.25">
      <c r="A9957" t="str">
        <f>"375199"</f>
        <v>375199</v>
      </c>
      <c r="B9957" t="s">
        <v>9731</v>
      </c>
      <c r="C9957" t="s">
        <v>114</v>
      </c>
      <c r="D9957" s="21" t="s">
        <v>34</v>
      </c>
      <c r="E9957" s="21" t="s">
        <v>71</v>
      </c>
      <c r="F9957">
        <v>4370425</v>
      </c>
      <c r="G9957" t="s">
        <v>7812</v>
      </c>
      <c r="H9957" s="21">
        <v>995.67</v>
      </c>
    </row>
    <row r="9958" spans="1:8" customFormat="1" x14ac:dyDescent="0.25">
      <c r="A9958" t="str">
        <f>"7511563"</f>
        <v>7511563</v>
      </c>
      <c r="B9958" t="s">
        <v>10369</v>
      </c>
      <c r="C9958" t="s">
        <v>33</v>
      </c>
      <c r="D9958" s="21" t="s">
        <v>34</v>
      </c>
      <c r="E9958" s="21" t="s">
        <v>35</v>
      </c>
      <c r="F9958">
        <v>8940096</v>
      </c>
      <c r="G9958" t="s">
        <v>5453</v>
      </c>
      <c r="H9958" s="21">
        <v>995.67</v>
      </c>
    </row>
    <row r="9959" spans="1:8" customFormat="1" x14ac:dyDescent="0.25">
      <c r="A9959" t="str">
        <f>"449584"</f>
        <v>449584</v>
      </c>
      <c r="B9959" t="s">
        <v>18432</v>
      </c>
      <c r="C9959" t="s">
        <v>114</v>
      </c>
      <c r="D9959" s="21" t="s">
        <v>34</v>
      </c>
      <c r="E9959" s="21" t="s">
        <v>35</v>
      </c>
      <c r="F9959">
        <v>12440056</v>
      </c>
      <c r="G9959" t="s">
        <v>2037</v>
      </c>
      <c r="H9959" s="21">
        <v>995.67</v>
      </c>
    </row>
    <row r="9960" spans="1:8" customFormat="1" x14ac:dyDescent="0.25">
      <c r="A9960" t="str">
        <f>"067886"</f>
        <v>067886</v>
      </c>
      <c r="B9960" t="s">
        <v>9520</v>
      </c>
      <c r="C9960" t="s">
        <v>239</v>
      </c>
      <c r="D9960" s="21" t="s">
        <v>34</v>
      </c>
      <c r="E9960" s="21" t="s">
        <v>254</v>
      </c>
      <c r="F9960">
        <v>13060037</v>
      </c>
      <c r="G9960" t="s">
        <v>9521</v>
      </c>
      <c r="H9960" s="21">
        <v>995.67</v>
      </c>
    </row>
    <row r="9961" spans="1:8" customFormat="1" x14ac:dyDescent="0.25">
      <c r="A9961" t="str">
        <f>"282145"</f>
        <v>282145</v>
      </c>
      <c r="B9961" t="s">
        <v>7700</v>
      </c>
      <c r="C9961" t="s">
        <v>249</v>
      </c>
      <c r="D9961" s="21" t="s">
        <v>34</v>
      </c>
      <c r="E9961" s="21" t="s">
        <v>35</v>
      </c>
      <c r="F9961">
        <v>4280716</v>
      </c>
      <c r="G9961" t="s">
        <v>5281</v>
      </c>
      <c r="H9961" s="21">
        <v>995.67</v>
      </c>
    </row>
    <row r="9962" spans="1:8" customFormat="1" x14ac:dyDescent="0.25">
      <c r="A9962" t="str">
        <f>"84295"</f>
        <v>84295</v>
      </c>
      <c r="B9962" t="s">
        <v>6964</v>
      </c>
      <c r="C9962" t="s">
        <v>187</v>
      </c>
      <c r="D9962" s="21" t="s">
        <v>34</v>
      </c>
      <c r="E9962" s="21" t="s">
        <v>254</v>
      </c>
      <c r="F9962">
        <v>13840028</v>
      </c>
      <c r="G9962" t="s">
        <v>4139</v>
      </c>
      <c r="H9962" s="21">
        <v>995.67</v>
      </c>
    </row>
    <row r="9963" spans="1:8" customFormat="1" x14ac:dyDescent="0.25">
      <c r="A9963" t="str">
        <f>"79915"</f>
        <v>79915</v>
      </c>
      <c r="B9963" t="s">
        <v>10344</v>
      </c>
      <c r="C9963" t="s">
        <v>253</v>
      </c>
      <c r="D9963" s="21" t="s">
        <v>34</v>
      </c>
      <c r="E9963" s="21" t="s">
        <v>254</v>
      </c>
      <c r="F9963">
        <v>10790235</v>
      </c>
      <c r="G9963" t="s">
        <v>413</v>
      </c>
      <c r="H9963" s="21">
        <v>995.67</v>
      </c>
    </row>
    <row r="9964" spans="1:8" customFormat="1" x14ac:dyDescent="0.25">
      <c r="A9964" t="str">
        <f>"5944261"</f>
        <v>5944261</v>
      </c>
      <c r="B9964" t="s">
        <v>9776</v>
      </c>
      <c r="C9964" t="s">
        <v>209</v>
      </c>
      <c r="D9964" s="21" t="s">
        <v>34</v>
      </c>
      <c r="E9964" s="21" t="s">
        <v>71</v>
      </c>
      <c r="F9964">
        <v>7590293</v>
      </c>
      <c r="G9964" t="s">
        <v>2431</v>
      </c>
      <c r="H9964" s="21">
        <v>995.67</v>
      </c>
    </row>
    <row r="9965" spans="1:8" customFormat="1" x14ac:dyDescent="0.25">
      <c r="A9965" t="str">
        <f>"6222579"</f>
        <v>6222579</v>
      </c>
      <c r="B9965" t="s">
        <v>2658</v>
      </c>
      <c r="C9965" t="s">
        <v>130</v>
      </c>
      <c r="D9965" s="21" t="s">
        <v>34</v>
      </c>
      <c r="E9965" s="21" t="s">
        <v>71</v>
      </c>
      <c r="F9965">
        <v>7620178</v>
      </c>
      <c r="G9965" t="s">
        <v>11090</v>
      </c>
      <c r="H9965" s="21">
        <v>995.3</v>
      </c>
    </row>
    <row r="9966" spans="1:8" customFormat="1" x14ac:dyDescent="0.25">
      <c r="A9966" t="str">
        <f>"785170"</f>
        <v>785170</v>
      </c>
      <c r="B9966" t="s">
        <v>8675</v>
      </c>
      <c r="C9966" t="s">
        <v>144</v>
      </c>
      <c r="D9966" s="21" t="s">
        <v>34</v>
      </c>
      <c r="E9966" s="21" t="s">
        <v>35</v>
      </c>
      <c r="F9966">
        <v>8780886</v>
      </c>
      <c r="G9966" t="s">
        <v>3161</v>
      </c>
      <c r="H9966" s="21">
        <v>995.29</v>
      </c>
    </row>
    <row r="9967" spans="1:8" customFormat="1" x14ac:dyDescent="0.25">
      <c r="A9967" t="str">
        <f>"8016686"</f>
        <v>8016686</v>
      </c>
      <c r="B9967" t="s">
        <v>10756</v>
      </c>
      <c r="C9967" t="s">
        <v>462</v>
      </c>
      <c r="D9967" s="21" t="s">
        <v>34</v>
      </c>
      <c r="E9967" s="21" t="s">
        <v>71</v>
      </c>
      <c r="F9967">
        <v>7800141</v>
      </c>
      <c r="G9967" t="s">
        <v>9939</v>
      </c>
      <c r="H9967" s="21">
        <v>995.17</v>
      </c>
    </row>
    <row r="9968" spans="1:8" customFormat="1" x14ac:dyDescent="0.25">
      <c r="A9968" t="str">
        <f>"2513268"</f>
        <v>2513268</v>
      </c>
      <c r="B9968" t="s">
        <v>8992</v>
      </c>
      <c r="C9968" t="s">
        <v>8993</v>
      </c>
      <c r="D9968" s="21" t="s">
        <v>34</v>
      </c>
      <c r="E9968" s="21" t="s">
        <v>71</v>
      </c>
      <c r="F9968">
        <v>2250231</v>
      </c>
      <c r="G9968" t="s">
        <v>8994</v>
      </c>
      <c r="H9968" s="21">
        <v>995.17</v>
      </c>
    </row>
    <row r="9969" spans="1:8" customFormat="1" x14ac:dyDescent="0.25">
      <c r="A9969" t="str">
        <f>"6112911"</f>
        <v>6112911</v>
      </c>
      <c r="B9969" t="s">
        <v>9032</v>
      </c>
      <c r="C9969" t="s">
        <v>109</v>
      </c>
      <c r="D9969" s="21" t="s">
        <v>34</v>
      </c>
      <c r="E9969" s="21" t="s">
        <v>35</v>
      </c>
      <c r="F9969">
        <v>9610009</v>
      </c>
      <c r="G9969" t="s">
        <v>282</v>
      </c>
      <c r="H9969" s="21">
        <v>995.17</v>
      </c>
    </row>
    <row r="9970" spans="1:8" customFormat="1" x14ac:dyDescent="0.25">
      <c r="A9970" t="str">
        <f>"665934"</f>
        <v>665934</v>
      </c>
      <c r="B9970" t="s">
        <v>9976</v>
      </c>
      <c r="C9970" t="s">
        <v>82</v>
      </c>
      <c r="D9970" s="21" t="s">
        <v>34</v>
      </c>
      <c r="E9970" s="21" t="s">
        <v>35</v>
      </c>
      <c r="F9970">
        <v>11660011</v>
      </c>
      <c r="G9970" t="s">
        <v>4641</v>
      </c>
      <c r="H9970" s="21">
        <v>995.17</v>
      </c>
    </row>
    <row r="9971" spans="1:8" customFormat="1" x14ac:dyDescent="0.25">
      <c r="A9971" t="str">
        <f>"7616456"</f>
        <v>7616456</v>
      </c>
      <c r="B9971" t="s">
        <v>9576</v>
      </c>
      <c r="C9971" t="s">
        <v>204</v>
      </c>
      <c r="D9971" s="21" t="s">
        <v>34</v>
      </c>
      <c r="E9971" s="21" t="s">
        <v>71</v>
      </c>
      <c r="F9971">
        <v>9270047</v>
      </c>
      <c r="G9971" t="s">
        <v>4420</v>
      </c>
      <c r="H9971" s="21">
        <v>995.17</v>
      </c>
    </row>
    <row r="9972" spans="1:8" customFormat="1" x14ac:dyDescent="0.25">
      <c r="A9972" t="str">
        <f>"6212151"</f>
        <v>6212151</v>
      </c>
      <c r="B9972" t="s">
        <v>9076</v>
      </c>
      <c r="C9972" t="s">
        <v>412</v>
      </c>
      <c r="D9972" s="21" t="s">
        <v>34</v>
      </c>
      <c r="E9972" s="21" t="s">
        <v>1089</v>
      </c>
      <c r="F9972">
        <v>7620028</v>
      </c>
      <c r="G9972" t="s">
        <v>7217</v>
      </c>
      <c r="H9972" s="21">
        <v>995.17</v>
      </c>
    </row>
    <row r="9973" spans="1:8" customFormat="1" x14ac:dyDescent="0.25">
      <c r="A9973" t="str">
        <f>"25128"</f>
        <v>25128</v>
      </c>
      <c r="B9973" t="s">
        <v>9524</v>
      </c>
      <c r="C9973" t="s">
        <v>249</v>
      </c>
      <c r="D9973" s="21" t="s">
        <v>34</v>
      </c>
      <c r="E9973" s="21" t="s">
        <v>71</v>
      </c>
      <c r="F9973">
        <v>2250138</v>
      </c>
      <c r="G9973" t="s">
        <v>4094</v>
      </c>
      <c r="H9973" s="21">
        <v>995.17</v>
      </c>
    </row>
    <row r="9974" spans="1:8" customFormat="1" x14ac:dyDescent="0.25">
      <c r="A9974" t="str">
        <f>"2710653"</f>
        <v>2710653</v>
      </c>
      <c r="B9974" t="s">
        <v>461</v>
      </c>
      <c r="C9974" t="s">
        <v>822</v>
      </c>
      <c r="D9974" s="21" t="s">
        <v>34</v>
      </c>
      <c r="E9974" s="21" t="s">
        <v>35</v>
      </c>
      <c r="F9974">
        <v>3350136</v>
      </c>
      <c r="G9974" t="s">
        <v>2773</v>
      </c>
      <c r="H9974" s="21">
        <v>995.17</v>
      </c>
    </row>
    <row r="9975" spans="1:8" customFormat="1" x14ac:dyDescent="0.25">
      <c r="A9975" t="str">
        <f>"318977"</f>
        <v>318977</v>
      </c>
      <c r="B9975" t="s">
        <v>9660</v>
      </c>
      <c r="C9975" t="s">
        <v>65</v>
      </c>
      <c r="D9975" s="21" t="s">
        <v>34</v>
      </c>
      <c r="E9975" s="21" t="s">
        <v>35</v>
      </c>
      <c r="F9975">
        <v>11310126</v>
      </c>
      <c r="G9975" t="s">
        <v>3383</v>
      </c>
      <c r="H9975" s="21">
        <v>995.17</v>
      </c>
    </row>
    <row r="9976" spans="1:8" customFormat="1" x14ac:dyDescent="0.25">
      <c r="A9976" t="str">
        <f>"336484"</f>
        <v>336484</v>
      </c>
      <c r="B9976" t="s">
        <v>27131</v>
      </c>
      <c r="C9976" t="s">
        <v>269</v>
      </c>
      <c r="D9976" s="21" t="s">
        <v>34</v>
      </c>
      <c r="E9976" s="21" t="s">
        <v>35</v>
      </c>
      <c r="F9976">
        <v>10330086</v>
      </c>
      <c r="G9976" t="s">
        <v>785</v>
      </c>
      <c r="H9976" s="21">
        <v>995.17</v>
      </c>
    </row>
    <row r="9977" spans="1:8" customFormat="1" x14ac:dyDescent="0.25">
      <c r="A9977" t="str">
        <f>"25743"</f>
        <v>25743</v>
      </c>
      <c r="B9977" t="s">
        <v>946</v>
      </c>
      <c r="C9977" t="s">
        <v>462</v>
      </c>
      <c r="D9977" s="21" t="s">
        <v>34</v>
      </c>
      <c r="E9977" s="21" t="s">
        <v>254</v>
      </c>
      <c r="F9977">
        <v>2250033</v>
      </c>
      <c r="G9977" t="s">
        <v>4951</v>
      </c>
      <c r="H9977" s="21">
        <v>995.17</v>
      </c>
    </row>
    <row r="9978" spans="1:8" customFormat="1" x14ac:dyDescent="0.25">
      <c r="A9978" t="str">
        <f>"282050"</f>
        <v>282050</v>
      </c>
      <c r="B9978" t="s">
        <v>2163</v>
      </c>
      <c r="C9978" t="s">
        <v>5142</v>
      </c>
      <c r="D9978" s="21" t="s">
        <v>34</v>
      </c>
      <c r="E9978" s="21" t="s">
        <v>1089</v>
      </c>
      <c r="F9978">
        <v>11820008</v>
      </c>
      <c r="G9978" t="s">
        <v>294</v>
      </c>
      <c r="H9978" s="21">
        <v>995.17</v>
      </c>
    </row>
    <row r="9979" spans="1:8" customFormat="1" x14ac:dyDescent="0.25">
      <c r="A9979" t="str">
        <f>"601444"</f>
        <v>601444</v>
      </c>
      <c r="B9979" t="s">
        <v>8842</v>
      </c>
      <c r="C9979" t="s">
        <v>114</v>
      </c>
      <c r="D9979" s="21" t="s">
        <v>34</v>
      </c>
      <c r="E9979" s="21" t="s">
        <v>254</v>
      </c>
      <c r="F9979">
        <v>7600069</v>
      </c>
      <c r="G9979" t="s">
        <v>195</v>
      </c>
      <c r="H9979" s="21">
        <v>995.17</v>
      </c>
    </row>
    <row r="9980" spans="1:8" customFormat="1" x14ac:dyDescent="0.25">
      <c r="A9980" t="str">
        <f>"457100"</f>
        <v>457100</v>
      </c>
      <c r="B9980" t="s">
        <v>27132</v>
      </c>
      <c r="C9980" t="s">
        <v>462</v>
      </c>
      <c r="D9980" s="21" t="s">
        <v>34</v>
      </c>
      <c r="E9980" s="21" t="s">
        <v>35</v>
      </c>
      <c r="F9980">
        <v>4450413</v>
      </c>
      <c r="G9980" t="s">
        <v>11734</v>
      </c>
      <c r="H9980" s="21">
        <v>995.17</v>
      </c>
    </row>
    <row r="9981" spans="1:8" customFormat="1" x14ac:dyDescent="0.25">
      <c r="A9981" t="str">
        <f>"785550"</f>
        <v>785550</v>
      </c>
      <c r="B9981" t="s">
        <v>23140</v>
      </c>
      <c r="C9981" t="s">
        <v>43</v>
      </c>
      <c r="D9981" s="21" t="s">
        <v>34</v>
      </c>
      <c r="E9981" s="21" t="s">
        <v>35</v>
      </c>
      <c r="F9981">
        <v>8780584</v>
      </c>
      <c r="G9981" t="s">
        <v>18410</v>
      </c>
      <c r="H9981" s="21">
        <v>995.04</v>
      </c>
    </row>
    <row r="9982" spans="1:8" customFormat="1" x14ac:dyDescent="0.25">
      <c r="A9982" t="str">
        <f>"166383"</f>
        <v>166383</v>
      </c>
      <c r="B9982" t="s">
        <v>5096</v>
      </c>
      <c r="C9982" t="s">
        <v>2232</v>
      </c>
      <c r="D9982" s="21" t="s">
        <v>34</v>
      </c>
      <c r="E9982" s="21" t="s">
        <v>71</v>
      </c>
      <c r="F9982">
        <v>10160044</v>
      </c>
      <c r="G9982" t="s">
        <v>4941</v>
      </c>
      <c r="H9982" s="21">
        <v>995</v>
      </c>
    </row>
    <row r="9983" spans="1:8" customFormat="1" x14ac:dyDescent="0.25">
      <c r="A9983" t="str">
        <f>"215237"</f>
        <v>215237</v>
      </c>
      <c r="B9983" t="s">
        <v>9144</v>
      </c>
      <c r="C9983" t="s">
        <v>621</v>
      </c>
      <c r="D9983" s="21" t="s">
        <v>34</v>
      </c>
      <c r="E9983" s="21" t="s">
        <v>254</v>
      </c>
      <c r="F9983">
        <v>2210029</v>
      </c>
      <c r="G9983" t="s">
        <v>6983</v>
      </c>
      <c r="H9983" s="21">
        <v>994.92</v>
      </c>
    </row>
    <row r="9984" spans="1:8" customFormat="1" x14ac:dyDescent="0.25">
      <c r="A9984" t="str">
        <f>"703934"</f>
        <v>703934</v>
      </c>
      <c r="B9984" t="s">
        <v>2765</v>
      </c>
      <c r="C9984" t="s">
        <v>204</v>
      </c>
      <c r="D9984" s="21" t="s">
        <v>34</v>
      </c>
      <c r="E9984" s="21" t="s">
        <v>35</v>
      </c>
      <c r="F9984">
        <v>5990022</v>
      </c>
      <c r="G9984" t="s">
        <v>9912</v>
      </c>
      <c r="H9984" s="21">
        <v>994.92</v>
      </c>
    </row>
    <row r="9985" spans="1:8" customFormat="1" x14ac:dyDescent="0.25">
      <c r="A9985" t="str">
        <f>"456614"</f>
        <v>456614</v>
      </c>
      <c r="B9985" t="s">
        <v>9337</v>
      </c>
      <c r="C9985" t="s">
        <v>65</v>
      </c>
      <c r="D9985" s="21" t="s">
        <v>34</v>
      </c>
      <c r="E9985" s="21" t="s">
        <v>71</v>
      </c>
      <c r="F9985">
        <v>4450663</v>
      </c>
      <c r="G9985" t="s">
        <v>2527</v>
      </c>
      <c r="H9985" s="21">
        <v>994.92</v>
      </c>
    </row>
    <row r="9986" spans="1:8" customFormat="1" x14ac:dyDescent="0.25">
      <c r="A9986" t="str">
        <f>"3819885"</f>
        <v>3819885</v>
      </c>
      <c r="B9986" t="s">
        <v>9433</v>
      </c>
      <c r="C9986" t="s">
        <v>1231</v>
      </c>
      <c r="D9986" s="21" t="s">
        <v>34</v>
      </c>
      <c r="E9986" s="21" t="s">
        <v>71</v>
      </c>
      <c r="F9986">
        <v>1380267</v>
      </c>
      <c r="G9986" t="s">
        <v>1002</v>
      </c>
      <c r="H9986" s="21">
        <v>994.92</v>
      </c>
    </row>
    <row r="9987" spans="1:8" customFormat="1" x14ac:dyDescent="0.25">
      <c r="A9987" t="str">
        <f>"5324316"</f>
        <v>5324316</v>
      </c>
      <c r="B9987" t="s">
        <v>10964</v>
      </c>
      <c r="C9987" t="s">
        <v>2365</v>
      </c>
      <c r="D9987" s="21" t="s">
        <v>34</v>
      </c>
      <c r="E9987" s="21" t="s">
        <v>35</v>
      </c>
      <c r="F9987">
        <v>12530059</v>
      </c>
      <c r="G9987" t="s">
        <v>4062</v>
      </c>
      <c r="H9987" s="21">
        <v>994.8</v>
      </c>
    </row>
    <row r="9988" spans="1:8" customFormat="1" x14ac:dyDescent="0.25">
      <c r="A9988" t="str">
        <f>"142163"</f>
        <v>142163</v>
      </c>
      <c r="B9988" t="s">
        <v>2355</v>
      </c>
      <c r="C9988" t="s">
        <v>328</v>
      </c>
      <c r="D9988" s="21" t="s">
        <v>34</v>
      </c>
      <c r="E9988" s="21" t="s">
        <v>35</v>
      </c>
      <c r="F9988">
        <v>9140123</v>
      </c>
      <c r="G9988" t="s">
        <v>661</v>
      </c>
      <c r="H9988" s="21">
        <v>994.67</v>
      </c>
    </row>
    <row r="9989" spans="1:8" customFormat="1" x14ac:dyDescent="0.25">
      <c r="A9989" t="str">
        <f>"843081"</f>
        <v>843081</v>
      </c>
      <c r="B9989" t="s">
        <v>7899</v>
      </c>
      <c r="C9989" t="s">
        <v>2301</v>
      </c>
      <c r="D9989" s="21" t="s">
        <v>34</v>
      </c>
      <c r="E9989" s="21" t="s">
        <v>71</v>
      </c>
      <c r="F9989">
        <v>3220041</v>
      </c>
      <c r="G9989" t="s">
        <v>27133</v>
      </c>
      <c r="H9989" s="21">
        <v>994.67</v>
      </c>
    </row>
    <row r="9990" spans="1:8" customFormat="1" x14ac:dyDescent="0.25">
      <c r="A9990" t="str">
        <f>"715284"</f>
        <v>715284</v>
      </c>
      <c r="B9990" t="s">
        <v>3572</v>
      </c>
      <c r="C9990" t="s">
        <v>121</v>
      </c>
      <c r="D9990" s="21" t="s">
        <v>34</v>
      </c>
      <c r="E9990" s="21" t="s">
        <v>71</v>
      </c>
      <c r="F9990">
        <v>1420152</v>
      </c>
      <c r="G9990" t="s">
        <v>2948</v>
      </c>
      <c r="H9990" s="21">
        <v>994.67</v>
      </c>
    </row>
    <row r="9991" spans="1:8" customFormat="1" x14ac:dyDescent="0.25">
      <c r="A9991" t="str">
        <f>"9529663"</f>
        <v>9529663</v>
      </c>
      <c r="B9991" t="s">
        <v>11036</v>
      </c>
      <c r="C9991" t="s">
        <v>11037</v>
      </c>
      <c r="D9991" s="21" t="s">
        <v>34</v>
      </c>
      <c r="E9991" s="21" t="s">
        <v>1089</v>
      </c>
      <c r="F9991">
        <v>8950479</v>
      </c>
      <c r="G9991" t="s">
        <v>728</v>
      </c>
      <c r="H9991" s="21">
        <v>994.67</v>
      </c>
    </row>
    <row r="9992" spans="1:8" customFormat="1" x14ac:dyDescent="0.25">
      <c r="A9992" t="str">
        <f>"31437"</f>
        <v>31437</v>
      </c>
      <c r="B9992" t="s">
        <v>11304</v>
      </c>
      <c r="C9992" t="s">
        <v>879</v>
      </c>
      <c r="D9992" s="21" t="s">
        <v>34</v>
      </c>
      <c r="E9992" s="21" t="s">
        <v>71</v>
      </c>
      <c r="F9992">
        <v>11310123</v>
      </c>
      <c r="G9992" t="s">
        <v>3915</v>
      </c>
      <c r="H9992" s="21">
        <v>994.67</v>
      </c>
    </row>
    <row r="9993" spans="1:8" customFormat="1" x14ac:dyDescent="0.25">
      <c r="A9993" t="str">
        <f>"809203"</f>
        <v>809203</v>
      </c>
      <c r="B9993" t="s">
        <v>890</v>
      </c>
      <c r="C9993" t="s">
        <v>198</v>
      </c>
      <c r="D9993" s="21" t="s">
        <v>34</v>
      </c>
      <c r="E9993" s="21" t="s">
        <v>254</v>
      </c>
      <c r="F9993">
        <v>7800064</v>
      </c>
      <c r="G9993" t="s">
        <v>4496</v>
      </c>
      <c r="H9993" s="21">
        <v>994.67</v>
      </c>
    </row>
    <row r="9994" spans="1:8" customFormat="1" x14ac:dyDescent="0.25">
      <c r="A9994" t="str">
        <f>"749275"</f>
        <v>749275</v>
      </c>
      <c r="B9994" t="s">
        <v>1611</v>
      </c>
      <c r="C9994" t="s">
        <v>269</v>
      </c>
      <c r="D9994" s="21" t="s">
        <v>34</v>
      </c>
      <c r="E9994" s="21" t="s">
        <v>71</v>
      </c>
      <c r="F9994">
        <v>1740011</v>
      </c>
      <c r="G9994" t="s">
        <v>2638</v>
      </c>
      <c r="H9994" s="21">
        <v>994.67</v>
      </c>
    </row>
    <row r="9995" spans="1:8" customFormat="1" x14ac:dyDescent="0.25">
      <c r="A9995" t="str">
        <f>"5977917"</f>
        <v>5977917</v>
      </c>
      <c r="B9995" t="s">
        <v>14146</v>
      </c>
      <c r="C9995" t="s">
        <v>486</v>
      </c>
      <c r="D9995" s="21" t="s">
        <v>34</v>
      </c>
      <c r="E9995" s="21" t="s">
        <v>35</v>
      </c>
      <c r="F9995">
        <v>7590361</v>
      </c>
      <c r="G9995" t="s">
        <v>3071</v>
      </c>
      <c r="H9995" s="21">
        <v>994.67</v>
      </c>
    </row>
    <row r="9996" spans="1:8" customFormat="1" x14ac:dyDescent="0.25">
      <c r="A9996" t="str">
        <f>"3510236"</f>
        <v>3510236</v>
      </c>
      <c r="B9996" t="s">
        <v>363</v>
      </c>
      <c r="C9996" t="s">
        <v>263</v>
      </c>
      <c r="D9996" s="21" t="s">
        <v>34</v>
      </c>
      <c r="E9996" s="21" t="s">
        <v>71</v>
      </c>
      <c r="F9996">
        <v>3350067</v>
      </c>
      <c r="G9996" t="s">
        <v>4439</v>
      </c>
      <c r="H9996" s="21">
        <v>994.67</v>
      </c>
    </row>
    <row r="9997" spans="1:8" customFormat="1" x14ac:dyDescent="0.25">
      <c r="A9997" t="str">
        <f>"461141"</f>
        <v>461141</v>
      </c>
      <c r="B9997" t="s">
        <v>9307</v>
      </c>
      <c r="C9997" t="s">
        <v>486</v>
      </c>
      <c r="D9997" s="21" t="s">
        <v>34</v>
      </c>
      <c r="E9997" s="21" t="s">
        <v>35</v>
      </c>
      <c r="F9997">
        <v>11460010</v>
      </c>
      <c r="G9997" t="s">
        <v>654</v>
      </c>
      <c r="H9997" s="21">
        <v>994.67</v>
      </c>
    </row>
    <row r="9998" spans="1:8" customFormat="1" x14ac:dyDescent="0.25">
      <c r="A9998" t="str">
        <f>"3112439"</f>
        <v>3112439</v>
      </c>
      <c r="B9998" t="s">
        <v>27134</v>
      </c>
      <c r="C9998" t="s">
        <v>462</v>
      </c>
      <c r="D9998" s="21" t="s">
        <v>34</v>
      </c>
      <c r="E9998" s="21" t="s">
        <v>71</v>
      </c>
      <c r="F9998">
        <v>11310006</v>
      </c>
      <c r="G9998" t="s">
        <v>419</v>
      </c>
      <c r="H9998" s="21">
        <v>994.67</v>
      </c>
    </row>
    <row r="9999" spans="1:8" customFormat="1" x14ac:dyDescent="0.25">
      <c r="A9999" t="str">
        <f>"8521441"</f>
        <v>8521441</v>
      </c>
      <c r="B9999" t="s">
        <v>9377</v>
      </c>
      <c r="C9999" t="s">
        <v>415</v>
      </c>
      <c r="D9999" s="21" t="s">
        <v>34</v>
      </c>
      <c r="E9999" s="21" t="s">
        <v>254</v>
      </c>
      <c r="F9999">
        <v>12850001</v>
      </c>
      <c r="G9999" t="s">
        <v>1197</v>
      </c>
      <c r="H9999" s="21">
        <v>994.67</v>
      </c>
    </row>
    <row r="10000" spans="1:8" customFormat="1" x14ac:dyDescent="0.25">
      <c r="A10000" t="str">
        <f>"594121"</f>
        <v>594121</v>
      </c>
      <c r="B10000" t="s">
        <v>11111</v>
      </c>
      <c r="C10000" t="s">
        <v>109</v>
      </c>
      <c r="D10000" s="21" t="s">
        <v>34</v>
      </c>
      <c r="E10000" s="21" t="s">
        <v>35</v>
      </c>
      <c r="F10000">
        <v>7590177</v>
      </c>
      <c r="G10000" t="s">
        <v>10380</v>
      </c>
      <c r="H10000" s="21">
        <v>994.67</v>
      </c>
    </row>
    <row r="10001" spans="1:8" customFormat="1" x14ac:dyDescent="0.25">
      <c r="A10001" t="str">
        <f>"1715127"</f>
        <v>1715127</v>
      </c>
      <c r="B10001" t="s">
        <v>17627</v>
      </c>
      <c r="C10001" t="s">
        <v>285</v>
      </c>
      <c r="D10001" s="21" t="s">
        <v>34</v>
      </c>
      <c r="E10001" s="21" t="s">
        <v>35</v>
      </c>
      <c r="F10001">
        <v>10170178</v>
      </c>
      <c r="G10001" t="s">
        <v>17278</v>
      </c>
      <c r="H10001" s="21">
        <v>994.55</v>
      </c>
    </row>
    <row r="10002" spans="1:8" customFormat="1" x14ac:dyDescent="0.25">
      <c r="A10002" t="str">
        <f>"255063"</f>
        <v>255063</v>
      </c>
      <c r="B10002" t="s">
        <v>9288</v>
      </c>
      <c r="C10002" t="s">
        <v>2520</v>
      </c>
      <c r="D10002" s="21" t="s">
        <v>34</v>
      </c>
      <c r="E10002" s="21" t="s">
        <v>71</v>
      </c>
      <c r="F10002">
        <v>2250205</v>
      </c>
      <c r="G10002" t="s">
        <v>7311</v>
      </c>
      <c r="H10002" s="21">
        <v>994.43</v>
      </c>
    </row>
    <row r="10003" spans="1:8" customFormat="1" x14ac:dyDescent="0.25">
      <c r="A10003" t="str">
        <f>"258119"</f>
        <v>258119</v>
      </c>
      <c r="B10003" t="s">
        <v>2189</v>
      </c>
      <c r="C10003" t="s">
        <v>288</v>
      </c>
      <c r="D10003" s="21" t="s">
        <v>34</v>
      </c>
      <c r="E10003" s="21" t="s">
        <v>35</v>
      </c>
      <c r="F10003">
        <v>2250186</v>
      </c>
      <c r="G10003" t="s">
        <v>7290</v>
      </c>
      <c r="H10003" s="21">
        <v>994.42</v>
      </c>
    </row>
    <row r="10004" spans="1:8" customFormat="1" x14ac:dyDescent="0.25">
      <c r="A10004" t="str">
        <f>"4510683"</f>
        <v>4510683</v>
      </c>
      <c r="B10004" t="s">
        <v>27135</v>
      </c>
      <c r="C10004" t="s">
        <v>87</v>
      </c>
      <c r="D10004" s="21" t="s">
        <v>34</v>
      </c>
      <c r="E10004" s="21" t="s">
        <v>35</v>
      </c>
      <c r="F10004">
        <v>8750292</v>
      </c>
      <c r="G10004" t="s">
        <v>9069</v>
      </c>
      <c r="H10004" s="21">
        <v>994.3</v>
      </c>
    </row>
    <row r="10005" spans="1:8" customFormat="1" x14ac:dyDescent="0.25">
      <c r="A10005" t="str">
        <f>"137292"</f>
        <v>137292</v>
      </c>
      <c r="B10005" t="s">
        <v>9958</v>
      </c>
      <c r="C10005" t="s">
        <v>598</v>
      </c>
      <c r="D10005" s="21" t="s">
        <v>34</v>
      </c>
      <c r="E10005" s="21" t="s">
        <v>254</v>
      </c>
      <c r="F10005">
        <v>13130005</v>
      </c>
      <c r="G10005" t="s">
        <v>2008</v>
      </c>
      <c r="H10005" s="21">
        <v>994.17</v>
      </c>
    </row>
    <row r="10006" spans="1:8" customFormat="1" x14ac:dyDescent="0.25">
      <c r="A10006" t="str">
        <f>"7619234"</f>
        <v>7619234</v>
      </c>
      <c r="B10006" t="s">
        <v>10041</v>
      </c>
      <c r="C10006" t="s">
        <v>109</v>
      </c>
      <c r="D10006" s="21" t="s">
        <v>34</v>
      </c>
      <c r="E10006" s="21" t="s">
        <v>35</v>
      </c>
      <c r="F10006">
        <v>9760070</v>
      </c>
      <c r="G10006" t="s">
        <v>6226</v>
      </c>
      <c r="H10006" s="21">
        <v>994.17</v>
      </c>
    </row>
    <row r="10007" spans="1:8" customFormat="1" x14ac:dyDescent="0.25">
      <c r="A10007" t="str">
        <f>"2716130"</f>
        <v>2716130</v>
      </c>
      <c r="B10007" t="s">
        <v>10552</v>
      </c>
      <c r="C10007" t="s">
        <v>204</v>
      </c>
      <c r="D10007" s="21" t="s">
        <v>34</v>
      </c>
      <c r="E10007" s="21" t="s">
        <v>71</v>
      </c>
      <c r="F10007">
        <v>9270137</v>
      </c>
      <c r="G10007" t="s">
        <v>3714</v>
      </c>
      <c r="H10007" s="21">
        <v>994.17</v>
      </c>
    </row>
    <row r="10008" spans="1:8" customFormat="1" x14ac:dyDescent="0.25">
      <c r="A10008" t="str">
        <f>"373309"</f>
        <v>373309</v>
      </c>
      <c r="B10008" t="s">
        <v>8645</v>
      </c>
      <c r="C10008" t="s">
        <v>187</v>
      </c>
      <c r="D10008" s="21" t="s">
        <v>34</v>
      </c>
      <c r="E10008" s="21" t="s">
        <v>35</v>
      </c>
      <c r="F10008">
        <v>4370033</v>
      </c>
      <c r="G10008" t="s">
        <v>7556</v>
      </c>
      <c r="H10008" s="21">
        <v>994.17</v>
      </c>
    </row>
    <row r="10009" spans="1:8" customFormat="1" x14ac:dyDescent="0.25">
      <c r="A10009" t="str">
        <f>"5927048"</f>
        <v>5927048</v>
      </c>
      <c r="B10009" t="s">
        <v>11051</v>
      </c>
      <c r="C10009" t="s">
        <v>169</v>
      </c>
      <c r="D10009" s="21" t="s">
        <v>34</v>
      </c>
      <c r="E10009" s="21" t="s">
        <v>35</v>
      </c>
      <c r="F10009">
        <v>7590075</v>
      </c>
      <c r="G10009" t="s">
        <v>6459</v>
      </c>
      <c r="H10009" s="21">
        <v>994.17</v>
      </c>
    </row>
    <row r="10010" spans="1:8" customFormat="1" x14ac:dyDescent="0.25">
      <c r="A10010" t="str">
        <f>"4655"</f>
        <v>4655</v>
      </c>
      <c r="B10010" t="s">
        <v>7635</v>
      </c>
      <c r="C10010" t="s">
        <v>415</v>
      </c>
      <c r="D10010" s="21" t="s">
        <v>34</v>
      </c>
      <c r="E10010" s="21" t="s">
        <v>71</v>
      </c>
      <c r="F10010">
        <v>11460010</v>
      </c>
      <c r="G10010" t="s">
        <v>654</v>
      </c>
      <c r="H10010" s="21">
        <v>994.17</v>
      </c>
    </row>
    <row r="10011" spans="1:8" customFormat="1" x14ac:dyDescent="0.25">
      <c r="A10011" t="str">
        <f>"2932651"</f>
        <v>2932651</v>
      </c>
      <c r="B10011" t="s">
        <v>12084</v>
      </c>
      <c r="C10011" t="s">
        <v>926</v>
      </c>
      <c r="D10011" s="21" t="s">
        <v>34</v>
      </c>
      <c r="E10011" s="21" t="s">
        <v>71</v>
      </c>
      <c r="F10011">
        <v>3290202</v>
      </c>
      <c r="G10011" t="s">
        <v>3314</v>
      </c>
      <c r="H10011" s="21">
        <v>994.17</v>
      </c>
    </row>
    <row r="10012" spans="1:8" customFormat="1" x14ac:dyDescent="0.25">
      <c r="A10012" t="str">
        <f>"593939"</f>
        <v>593939</v>
      </c>
      <c r="B10012" t="s">
        <v>9273</v>
      </c>
      <c r="C10012" t="s">
        <v>62</v>
      </c>
      <c r="D10012" s="21" t="s">
        <v>34</v>
      </c>
      <c r="E10012" s="21" t="s">
        <v>71</v>
      </c>
      <c r="F10012">
        <v>7590237</v>
      </c>
      <c r="G10012" t="s">
        <v>3600</v>
      </c>
      <c r="H10012" s="21">
        <v>994.17</v>
      </c>
    </row>
    <row r="10013" spans="1:8" customFormat="1" x14ac:dyDescent="0.25">
      <c r="A10013" t="str">
        <f>"58906"</f>
        <v>58906</v>
      </c>
      <c r="B10013" t="s">
        <v>10531</v>
      </c>
      <c r="C10013" t="s">
        <v>719</v>
      </c>
      <c r="D10013" s="21" t="s">
        <v>34</v>
      </c>
      <c r="E10013" s="21" t="s">
        <v>35</v>
      </c>
      <c r="F10013">
        <v>2580076</v>
      </c>
      <c r="G10013" t="s">
        <v>3666</v>
      </c>
      <c r="H10013" s="21">
        <v>994.17</v>
      </c>
    </row>
    <row r="10014" spans="1:8" customFormat="1" x14ac:dyDescent="0.25">
      <c r="A10014" t="str">
        <f>"7218615"</f>
        <v>7218615</v>
      </c>
      <c r="B10014" t="s">
        <v>10644</v>
      </c>
      <c r="C10014" t="s">
        <v>37</v>
      </c>
      <c r="D10014" s="21" t="s">
        <v>34</v>
      </c>
      <c r="E10014" s="21" t="s">
        <v>35</v>
      </c>
      <c r="F10014">
        <v>12720104</v>
      </c>
      <c r="G10014" t="s">
        <v>224</v>
      </c>
      <c r="H10014" s="21">
        <v>994.17</v>
      </c>
    </row>
    <row r="10015" spans="1:8" customFormat="1" x14ac:dyDescent="0.25">
      <c r="A10015" t="str">
        <f>"626044"</f>
        <v>626044</v>
      </c>
      <c r="B10015" t="s">
        <v>4944</v>
      </c>
      <c r="C10015" t="s">
        <v>2546</v>
      </c>
      <c r="D10015" s="21" t="s">
        <v>34</v>
      </c>
      <c r="E10015" s="21" t="s">
        <v>35</v>
      </c>
      <c r="F10015">
        <v>7620069</v>
      </c>
      <c r="G10015" t="s">
        <v>5442</v>
      </c>
      <c r="H10015" s="21">
        <v>994</v>
      </c>
    </row>
    <row r="10016" spans="1:8" customFormat="1" x14ac:dyDescent="0.25">
      <c r="A10016" t="str">
        <f>"5946580"</f>
        <v>5946580</v>
      </c>
      <c r="B10016" t="s">
        <v>9701</v>
      </c>
      <c r="C10016" t="s">
        <v>209</v>
      </c>
      <c r="D10016" s="21" t="s">
        <v>34</v>
      </c>
      <c r="E10016" s="21" t="s">
        <v>71</v>
      </c>
      <c r="F10016">
        <v>7590347</v>
      </c>
      <c r="G10016" t="s">
        <v>6041</v>
      </c>
      <c r="H10016" s="21">
        <v>993.92</v>
      </c>
    </row>
    <row r="10017" spans="1:8" customFormat="1" x14ac:dyDescent="0.25">
      <c r="A10017" t="str">
        <f>"695020"</f>
        <v>695020</v>
      </c>
      <c r="B10017" t="s">
        <v>1347</v>
      </c>
      <c r="C10017" t="s">
        <v>209</v>
      </c>
      <c r="D10017" s="21" t="s">
        <v>34</v>
      </c>
      <c r="E10017" s="21" t="s">
        <v>71</v>
      </c>
      <c r="F10017">
        <v>1690169</v>
      </c>
      <c r="G10017" t="s">
        <v>10963</v>
      </c>
      <c r="H10017" s="21">
        <v>993.92</v>
      </c>
    </row>
    <row r="10018" spans="1:8" customFormat="1" x14ac:dyDescent="0.25">
      <c r="A10018" t="str">
        <f>"6310546"</f>
        <v>6310546</v>
      </c>
      <c r="B10018" t="s">
        <v>10300</v>
      </c>
      <c r="C10018" t="s">
        <v>269</v>
      </c>
      <c r="D10018" s="21" t="s">
        <v>34</v>
      </c>
      <c r="E10018" s="21" t="s">
        <v>71</v>
      </c>
      <c r="F10018">
        <v>1630332</v>
      </c>
      <c r="G10018" t="s">
        <v>27136</v>
      </c>
      <c r="H10018" s="21">
        <v>993.92</v>
      </c>
    </row>
    <row r="10019" spans="1:8" customFormat="1" x14ac:dyDescent="0.25">
      <c r="A10019" t="str">
        <f>"7511822"</f>
        <v>7511822</v>
      </c>
      <c r="B10019" t="s">
        <v>10126</v>
      </c>
      <c r="C10019" t="s">
        <v>43</v>
      </c>
      <c r="D10019" s="21" t="s">
        <v>34</v>
      </c>
      <c r="E10019" s="21" t="s">
        <v>35</v>
      </c>
      <c r="F10019">
        <v>8750007</v>
      </c>
      <c r="G10019" t="s">
        <v>775</v>
      </c>
      <c r="H10019" s="21">
        <v>993.81</v>
      </c>
    </row>
    <row r="10020" spans="1:8" customFormat="1" x14ac:dyDescent="0.25">
      <c r="A10020" t="str">
        <f>"4217651"</f>
        <v>4217651</v>
      </c>
      <c r="B10020" t="s">
        <v>10229</v>
      </c>
      <c r="C10020" t="s">
        <v>121</v>
      </c>
      <c r="D10020" s="21" t="s">
        <v>34</v>
      </c>
      <c r="E10020" s="21" t="s">
        <v>35</v>
      </c>
      <c r="F10020">
        <v>1420080</v>
      </c>
      <c r="G10020" t="s">
        <v>10230</v>
      </c>
      <c r="H10020" s="21">
        <v>993.67</v>
      </c>
    </row>
    <row r="10021" spans="1:8" customFormat="1" x14ac:dyDescent="0.25">
      <c r="A10021" t="str">
        <f>"6711971"</f>
        <v>6711971</v>
      </c>
      <c r="B10021" t="s">
        <v>9385</v>
      </c>
      <c r="C10021" t="s">
        <v>2393</v>
      </c>
      <c r="D10021" s="21" t="s">
        <v>34</v>
      </c>
      <c r="E10021" s="21" t="s">
        <v>35</v>
      </c>
      <c r="F10021">
        <v>6670171</v>
      </c>
      <c r="G10021" t="s">
        <v>4843</v>
      </c>
      <c r="H10021" s="21">
        <v>993.67</v>
      </c>
    </row>
    <row r="10022" spans="1:8" customFormat="1" x14ac:dyDescent="0.25">
      <c r="A10022" t="str">
        <f>"1423907"</f>
        <v>1423907</v>
      </c>
      <c r="B10022" t="s">
        <v>7136</v>
      </c>
      <c r="C10022" t="s">
        <v>453</v>
      </c>
      <c r="D10022" s="21" t="s">
        <v>34</v>
      </c>
      <c r="E10022" s="21" t="s">
        <v>254</v>
      </c>
      <c r="F10022">
        <v>9140237</v>
      </c>
      <c r="G10022" t="s">
        <v>4722</v>
      </c>
      <c r="H10022" s="21">
        <v>993.67</v>
      </c>
    </row>
    <row r="10023" spans="1:8" customFormat="1" x14ac:dyDescent="0.25">
      <c r="A10023" t="str">
        <f>"212321"</f>
        <v>212321</v>
      </c>
      <c r="B10023" t="s">
        <v>9292</v>
      </c>
      <c r="C10023" t="s">
        <v>236</v>
      </c>
      <c r="D10023" s="21" t="s">
        <v>34</v>
      </c>
      <c r="E10023" s="21" t="s">
        <v>71</v>
      </c>
      <c r="F10023">
        <v>1740057</v>
      </c>
      <c r="G10023" t="s">
        <v>1567</v>
      </c>
      <c r="H10023" s="21">
        <v>993.67</v>
      </c>
    </row>
    <row r="10024" spans="1:8" customFormat="1" x14ac:dyDescent="0.25">
      <c r="A10024" t="str">
        <f>"735428"</f>
        <v>735428</v>
      </c>
      <c r="B10024" t="s">
        <v>577</v>
      </c>
      <c r="C10024" t="s">
        <v>462</v>
      </c>
      <c r="D10024" s="21" t="s">
        <v>34</v>
      </c>
      <c r="E10024" s="21" t="s">
        <v>35</v>
      </c>
      <c r="F10024">
        <v>1730074</v>
      </c>
      <c r="G10024" t="s">
        <v>7704</v>
      </c>
      <c r="H10024" s="21">
        <v>993.67</v>
      </c>
    </row>
    <row r="10025" spans="1:8" customFormat="1" x14ac:dyDescent="0.25">
      <c r="A10025" t="str">
        <f>"3819289"</f>
        <v>3819289</v>
      </c>
      <c r="B10025" t="s">
        <v>27137</v>
      </c>
      <c r="C10025" t="s">
        <v>2072</v>
      </c>
      <c r="D10025" s="21" t="s">
        <v>34</v>
      </c>
      <c r="E10025" s="21" t="s">
        <v>35</v>
      </c>
      <c r="F10025">
        <v>1380262</v>
      </c>
      <c r="G10025" t="s">
        <v>1216</v>
      </c>
      <c r="H10025" s="21">
        <v>993.67</v>
      </c>
    </row>
    <row r="10026" spans="1:8" customFormat="1" x14ac:dyDescent="0.25">
      <c r="A10026" t="str">
        <f>"9527277"</f>
        <v>9527277</v>
      </c>
      <c r="B10026" t="s">
        <v>9285</v>
      </c>
      <c r="C10026" t="s">
        <v>3309</v>
      </c>
      <c r="D10026" s="21" t="s">
        <v>34</v>
      </c>
      <c r="E10026" s="21" t="s">
        <v>35</v>
      </c>
      <c r="F10026">
        <v>8771506</v>
      </c>
      <c r="G10026" t="s">
        <v>7314</v>
      </c>
      <c r="H10026" s="21">
        <v>993.67</v>
      </c>
    </row>
    <row r="10027" spans="1:8" customFormat="1" x14ac:dyDescent="0.25">
      <c r="A10027" t="str">
        <f>"577432"</f>
        <v>577432</v>
      </c>
      <c r="B10027" t="s">
        <v>9982</v>
      </c>
      <c r="C10027" t="s">
        <v>2730</v>
      </c>
      <c r="D10027" s="21" t="s">
        <v>34</v>
      </c>
      <c r="E10027" s="21" t="s">
        <v>71</v>
      </c>
      <c r="F10027">
        <v>6570060</v>
      </c>
      <c r="G10027" t="s">
        <v>4397</v>
      </c>
      <c r="H10027" s="21">
        <v>993.67</v>
      </c>
    </row>
    <row r="10028" spans="1:8" customFormat="1" x14ac:dyDescent="0.25">
      <c r="A10028" t="str">
        <f>"375112"</f>
        <v>375112</v>
      </c>
      <c r="B10028" t="s">
        <v>8889</v>
      </c>
      <c r="C10028" t="s">
        <v>82</v>
      </c>
      <c r="D10028" s="21" t="s">
        <v>34</v>
      </c>
      <c r="E10028" s="21" t="s">
        <v>35</v>
      </c>
      <c r="F10028">
        <v>4370013</v>
      </c>
      <c r="G10028" t="s">
        <v>7097</v>
      </c>
      <c r="H10028" s="21">
        <v>993.67</v>
      </c>
    </row>
    <row r="10029" spans="1:8" customFormat="1" x14ac:dyDescent="0.25">
      <c r="A10029" t="str">
        <f>"9441265"</f>
        <v>9441265</v>
      </c>
      <c r="B10029" t="s">
        <v>1094</v>
      </c>
      <c r="C10029" t="s">
        <v>209</v>
      </c>
      <c r="D10029" s="21" t="s">
        <v>34</v>
      </c>
      <c r="E10029" s="21" t="s">
        <v>35</v>
      </c>
      <c r="F10029">
        <v>8940070</v>
      </c>
      <c r="G10029" t="s">
        <v>2320</v>
      </c>
      <c r="H10029" s="21">
        <v>993.67</v>
      </c>
    </row>
    <row r="10030" spans="1:8" customFormat="1" x14ac:dyDescent="0.25">
      <c r="A10030" t="str">
        <f>"304576"</f>
        <v>304576</v>
      </c>
      <c r="B10030" t="s">
        <v>10504</v>
      </c>
      <c r="C10030" t="s">
        <v>156</v>
      </c>
      <c r="D10030" s="21" t="s">
        <v>34</v>
      </c>
      <c r="E10030" s="21" t="s">
        <v>254</v>
      </c>
      <c r="F10030">
        <v>11300041</v>
      </c>
      <c r="G10030" t="s">
        <v>8074</v>
      </c>
      <c r="H10030" s="21">
        <v>993.67</v>
      </c>
    </row>
    <row r="10031" spans="1:8" customFormat="1" x14ac:dyDescent="0.25">
      <c r="A10031" t="str">
        <f>"914750"</f>
        <v>914750</v>
      </c>
      <c r="B10031" t="s">
        <v>1595</v>
      </c>
      <c r="C10031" t="s">
        <v>288</v>
      </c>
      <c r="D10031" s="21" t="s">
        <v>34</v>
      </c>
      <c r="E10031" s="21" t="s">
        <v>71</v>
      </c>
      <c r="F10031">
        <v>8911050</v>
      </c>
      <c r="G10031" t="s">
        <v>1606</v>
      </c>
      <c r="H10031" s="21">
        <v>993.67</v>
      </c>
    </row>
    <row r="10032" spans="1:8" customFormat="1" x14ac:dyDescent="0.25">
      <c r="A10032" t="str">
        <f>"5941982"</f>
        <v>5941982</v>
      </c>
      <c r="B10032" t="s">
        <v>946</v>
      </c>
      <c r="C10032" t="s">
        <v>60</v>
      </c>
      <c r="D10032" s="21" t="s">
        <v>34</v>
      </c>
      <c r="E10032" s="21" t="s">
        <v>71</v>
      </c>
      <c r="F10032">
        <v>7590170</v>
      </c>
      <c r="G10032" t="s">
        <v>868</v>
      </c>
      <c r="H10032" s="21">
        <v>993.67</v>
      </c>
    </row>
    <row r="10033" spans="1:8" customFormat="1" x14ac:dyDescent="0.25">
      <c r="A10033" t="str">
        <f>"412494"</f>
        <v>412494</v>
      </c>
      <c r="B10033" t="s">
        <v>890</v>
      </c>
      <c r="C10033" t="s">
        <v>109</v>
      </c>
      <c r="D10033" s="21" t="s">
        <v>34</v>
      </c>
      <c r="E10033" s="21" t="s">
        <v>71</v>
      </c>
      <c r="F10033">
        <v>10330036</v>
      </c>
      <c r="G10033" t="s">
        <v>6209</v>
      </c>
      <c r="H10033" s="21">
        <v>993.67</v>
      </c>
    </row>
    <row r="10034" spans="1:8" customFormat="1" x14ac:dyDescent="0.25">
      <c r="A10034" t="str">
        <f>"491286"</f>
        <v>491286</v>
      </c>
      <c r="B10034" t="s">
        <v>11374</v>
      </c>
      <c r="C10034" t="s">
        <v>3784</v>
      </c>
      <c r="D10034" s="21" t="s">
        <v>34</v>
      </c>
      <c r="E10034" s="21" t="s">
        <v>1089</v>
      </c>
      <c r="F10034">
        <v>12490061</v>
      </c>
      <c r="G10034" t="s">
        <v>969</v>
      </c>
      <c r="H10034" s="21">
        <v>993.67</v>
      </c>
    </row>
    <row r="10035" spans="1:8" customFormat="1" x14ac:dyDescent="0.25">
      <c r="A10035" t="str">
        <f>"288900"</f>
        <v>288900</v>
      </c>
      <c r="B10035" t="s">
        <v>10397</v>
      </c>
      <c r="C10035" t="s">
        <v>608</v>
      </c>
      <c r="D10035" s="21" t="s">
        <v>34</v>
      </c>
      <c r="E10035" s="21" t="s">
        <v>35</v>
      </c>
      <c r="F10035">
        <v>4280202</v>
      </c>
      <c r="G10035" t="s">
        <v>2945</v>
      </c>
      <c r="H10035" s="21">
        <v>993.67</v>
      </c>
    </row>
    <row r="10036" spans="1:8" customFormat="1" x14ac:dyDescent="0.25">
      <c r="A10036" t="str">
        <f>"721467"</f>
        <v>721467</v>
      </c>
      <c r="B10036" t="s">
        <v>5734</v>
      </c>
      <c r="C10036" t="s">
        <v>249</v>
      </c>
      <c r="D10036" s="21" t="s">
        <v>34</v>
      </c>
      <c r="E10036" s="21" t="s">
        <v>71</v>
      </c>
      <c r="F10036">
        <v>12720027</v>
      </c>
      <c r="G10036" t="s">
        <v>3562</v>
      </c>
      <c r="H10036" s="21">
        <v>993.67</v>
      </c>
    </row>
    <row r="10037" spans="1:8" customFormat="1" x14ac:dyDescent="0.25">
      <c r="A10037" t="str">
        <f>"611027"</f>
        <v>611027</v>
      </c>
      <c r="B10037" t="s">
        <v>2711</v>
      </c>
      <c r="C10037" t="s">
        <v>139</v>
      </c>
      <c r="D10037" s="21" t="s">
        <v>34</v>
      </c>
      <c r="E10037" s="21" t="s">
        <v>71</v>
      </c>
      <c r="F10037">
        <v>9610101</v>
      </c>
      <c r="G10037" t="s">
        <v>3969</v>
      </c>
      <c r="H10037" s="21">
        <v>993.67</v>
      </c>
    </row>
    <row r="10038" spans="1:8" customFormat="1" x14ac:dyDescent="0.25">
      <c r="A10038" t="str">
        <f>"3324831"</f>
        <v>3324831</v>
      </c>
      <c r="B10038" t="s">
        <v>10821</v>
      </c>
      <c r="C10038" t="s">
        <v>285</v>
      </c>
      <c r="D10038" s="21" t="s">
        <v>34</v>
      </c>
      <c r="E10038" s="21" t="s">
        <v>35</v>
      </c>
      <c r="F10038">
        <v>10330004</v>
      </c>
      <c r="G10038" t="s">
        <v>525</v>
      </c>
      <c r="H10038" s="21">
        <v>993.54</v>
      </c>
    </row>
    <row r="10039" spans="1:8" customFormat="1" x14ac:dyDescent="0.25">
      <c r="A10039" t="str">
        <f>"416381"</f>
        <v>416381</v>
      </c>
      <c r="B10039" t="s">
        <v>2398</v>
      </c>
      <c r="C10039" t="s">
        <v>60</v>
      </c>
      <c r="D10039" s="21" t="s">
        <v>34</v>
      </c>
      <c r="E10039" s="21" t="s">
        <v>35</v>
      </c>
      <c r="F10039">
        <v>4410594</v>
      </c>
      <c r="G10039" t="s">
        <v>10169</v>
      </c>
      <c r="H10039" s="21">
        <v>993.42</v>
      </c>
    </row>
    <row r="10040" spans="1:8" customFormat="1" x14ac:dyDescent="0.25">
      <c r="A10040" t="str">
        <f>"5310907"</f>
        <v>5310907</v>
      </c>
      <c r="B10040" t="s">
        <v>4387</v>
      </c>
      <c r="C10040" t="s">
        <v>2479</v>
      </c>
      <c r="D10040" s="21" t="s">
        <v>34</v>
      </c>
      <c r="E10040" s="21" t="s">
        <v>71</v>
      </c>
      <c r="F10040">
        <v>12530136</v>
      </c>
      <c r="G10040" t="s">
        <v>4866</v>
      </c>
      <c r="H10040" s="21">
        <v>993.42</v>
      </c>
    </row>
    <row r="10041" spans="1:8" customFormat="1" x14ac:dyDescent="0.25">
      <c r="A10041" t="str">
        <f>"898964"</f>
        <v>898964</v>
      </c>
      <c r="B10041" t="s">
        <v>5500</v>
      </c>
      <c r="C10041" t="s">
        <v>109</v>
      </c>
      <c r="D10041" s="21" t="s">
        <v>34</v>
      </c>
      <c r="E10041" s="21" t="s">
        <v>35</v>
      </c>
      <c r="F10041">
        <v>2890032</v>
      </c>
      <c r="G10041" t="s">
        <v>6080</v>
      </c>
      <c r="H10041" s="21">
        <v>993.42</v>
      </c>
    </row>
    <row r="10042" spans="1:8" customFormat="1" x14ac:dyDescent="0.25">
      <c r="A10042" t="str">
        <f>"7615364"</f>
        <v>7615364</v>
      </c>
      <c r="B10042" t="s">
        <v>8877</v>
      </c>
      <c r="C10042" t="s">
        <v>263</v>
      </c>
      <c r="D10042" s="21" t="s">
        <v>34</v>
      </c>
      <c r="E10042" s="21" t="s">
        <v>254</v>
      </c>
      <c r="F10042">
        <v>9760382</v>
      </c>
      <c r="G10042" t="s">
        <v>2737</v>
      </c>
      <c r="H10042" s="21">
        <v>993.17</v>
      </c>
    </row>
    <row r="10043" spans="1:8" customFormat="1" x14ac:dyDescent="0.25">
      <c r="A10043" t="str">
        <f>"594031"</f>
        <v>594031</v>
      </c>
      <c r="B10043" t="s">
        <v>9827</v>
      </c>
      <c r="C10043" t="s">
        <v>1110</v>
      </c>
      <c r="D10043" s="21" t="s">
        <v>34</v>
      </c>
      <c r="E10043" s="21" t="s">
        <v>254</v>
      </c>
      <c r="F10043">
        <v>7590237</v>
      </c>
      <c r="G10043" t="s">
        <v>3600</v>
      </c>
      <c r="H10043" s="21">
        <v>993.17</v>
      </c>
    </row>
    <row r="10044" spans="1:8" customFormat="1" x14ac:dyDescent="0.25">
      <c r="A10044" t="str">
        <f>"445795"</f>
        <v>445795</v>
      </c>
      <c r="B10044" t="s">
        <v>11490</v>
      </c>
      <c r="C10044" t="s">
        <v>209</v>
      </c>
      <c r="D10044" s="21" t="s">
        <v>34</v>
      </c>
      <c r="E10044" s="21" t="s">
        <v>35</v>
      </c>
      <c r="F10044">
        <v>12440054</v>
      </c>
      <c r="G10044" t="s">
        <v>5474</v>
      </c>
      <c r="H10044" s="21">
        <v>993.17</v>
      </c>
    </row>
    <row r="10045" spans="1:8" customFormat="1" x14ac:dyDescent="0.25">
      <c r="A10045" t="str">
        <f>"4521619"</f>
        <v>4521619</v>
      </c>
      <c r="B10045" t="s">
        <v>11361</v>
      </c>
      <c r="C10045" t="s">
        <v>288</v>
      </c>
      <c r="D10045" s="21" t="s">
        <v>34</v>
      </c>
      <c r="E10045" s="21" t="s">
        <v>35</v>
      </c>
      <c r="F10045">
        <v>4450759</v>
      </c>
      <c r="G10045" t="s">
        <v>6587</v>
      </c>
      <c r="H10045" s="21">
        <v>993.17</v>
      </c>
    </row>
    <row r="10046" spans="1:8" customFormat="1" x14ac:dyDescent="0.25">
      <c r="A10046" t="str">
        <f>"557822"</f>
        <v>557822</v>
      </c>
      <c r="B10046" t="s">
        <v>10764</v>
      </c>
      <c r="C10046" t="s">
        <v>10765</v>
      </c>
      <c r="D10046" s="21" t="s">
        <v>34</v>
      </c>
      <c r="E10046" s="21" t="s">
        <v>35</v>
      </c>
      <c r="F10046">
        <v>6550001</v>
      </c>
      <c r="G10046" t="s">
        <v>8790</v>
      </c>
      <c r="H10046" s="21">
        <v>993.17</v>
      </c>
    </row>
    <row r="10047" spans="1:8" customFormat="1" x14ac:dyDescent="0.25">
      <c r="A10047" t="str">
        <f>"746257"</f>
        <v>746257</v>
      </c>
      <c r="B10047" t="s">
        <v>108</v>
      </c>
      <c r="C10047" t="s">
        <v>249</v>
      </c>
      <c r="D10047" s="21" t="s">
        <v>34</v>
      </c>
      <c r="E10047" s="21" t="s">
        <v>71</v>
      </c>
      <c r="F10047">
        <v>1740047</v>
      </c>
      <c r="G10047" t="s">
        <v>4512</v>
      </c>
      <c r="H10047" s="21">
        <v>993.17</v>
      </c>
    </row>
    <row r="10048" spans="1:8" customFormat="1" x14ac:dyDescent="0.25">
      <c r="A10048" t="str">
        <f>"394361"</f>
        <v>394361</v>
      </c>
      <c r="B10048" t="s">
        <v>461</v>
      </c>
      <c r="C10048" t="s">
        <v>879</v>
      </c>
      <c r="D10048" s="21" t="s">
        <v>34</v>
      </c>
      <c r="E10048" s="21" t="s">
        <v>71</v>
      </c>
      <c r="F10048">
        <v>2390091</v>
      </c>
      <c r="G10048" t="s">
        <v>7093</v>
      </c>
      <c r="H10048" s="21">
        <v>993.17</v>
      </c>
    </row>
    <row r="10049" spans="1:8" customFormat="1" x14ac:dyDescent="0.25">
      <c r="A10049" t="str">
        <f>"8012095"</f>
        <v>8012095</v>
      </c>
      <c r="B10049" t="s">
        <v>9938</v>
      </c>
      <c r="C10049" t="s">
        <v>65</v>
      </c>
      <c r="D10049" s="21" t="s">
        <v>34</v>
      </c>
      <c r="E10049" s="21" t="s">
        <v>35</v>
      </c>
      <c r="F10049">
        <v>7800141</v>
      </c>
      <c r="G10049" t="s">
        <v>9939</v>
      </c>
      <c r="H10049" s="21">
        <v>993.17</v>
      </c>
    </row>
    <row r="10050" spans="1:8" customFormat="1" x14ac:dyDescent="0.25">
      <c r="A10050" t="str">
        <f>"7514096"</f>
        <v>7514096</v>
      </c>
      <c r="B10050" t="s">
        <v>13126</v>
      </c>
      <c r="C10050" t="s">
        <v>1025</v>
      </c>
      <c r="D10050" s="21" t="s">
        <v>34</v>
      </c>
      <c r="E10050" s="21" t="s">
        <v>35</v>
      </c>
      <c r="F10050">
        <v>1380084</v>
      </c>
      <c r="G10050" t="s">
        <v>8218</v>
      </c>
      <c r="H10050" s="21">
        <v>993.04</v>
      </c>
    </row>
    <row r="10051" spans="1:8" customFormat="1" x14ac:dyDescent="0.25">
      <c r="A10051" t="str">
        <f>"6941386"</f>
        <v>6941386</v>
      </c>
      <c r="B10051" t="s">
        <v>4434</v>
      </c>
      <c r="C10051" t="s">
        <v>62</v>
      </c>
      <c r="D10051" s="21" t="s">
        <v>34</v>
      </c>
      <c r="E10051" s="21" t="s">
        <v>35</v>
      </c>
      <c r="F10051">
        <v>1690041</v>
      </c>
      <c r="G10051" t="s">
        <v>7892</v>
      </c>
      <c r="H10051" s="21">
        <v>992.92</v>
      </c>
    </row>
    <row r="10052" spans="1:8" customFormat="1" x14ac:dyDescent="0.25">
      <c r="A10052" t="str">
        <f>"2110619"</f>
        <v>2110619</v>
      </c>
      <c r="B10052" t="s">
        <v>5011</v>
      </c>
      <c r="C10052" t="s">
        <v>209</v>
      </c>
      <c r="D10052" s="21" t="s">
        <v>34</v>
      </c>
      <c r="E10052" s="21" t="s">
        <v>71</v>
      </c>
      <c r="F10052">
        <v>2210029</v>
      </c>
      <c r="G10052" t="s">
        <v>6983</v>
      </c>
      <c r="H10052" s="21">
        <v>992.92</v>
      </c>
    </row>
    <row r="10053" spans="1:8" customFormat="1" x14ac:dyDescent="0.25">
      <c r="A10053" t="str">
        <f>"6315270"</f>
        <v>6315270</v>
      </c>
      <c r="B10053" t="s">
        <v>10253</v>
      </c>
      <c r="C10053" t="s">
        <v>486</v>
      </c>
      <c r="D10053" s="21" t="s">
        <v>34</v>
      </c>
      <c r="E10053" s="21" t="s">
        <v>71</v>
      </c>
      <c r="F10053">
        <v>1630317</v>
      </c>
      <c r="G10053" t="s">
        <v>7523</v>
      </c>
      <c r="H10053" s="21">
        <v>992.8</v>
      </c>
    </row>
    <row r="10054" spans="1:8" customFormat="1" x14ac:dyDescent="0.25">
      <c r="A10054" t="str">
        <f>"214065"</f>
        <v>214065</v>
      </c>
      <c r="B10054" t="s">
        <v>6979</v>
      </c>
      <c r="C10054" t="s">
        <v>2904</v>
      </c>
      <c r="D10054" s="21" t="s">
        <v>34</v>
      </c>
      <c r="E10054" s="21" t="s">
        <v>1089</v>
      </c>
      <c r="F10054">
        <v>2210029</v>
      </c>
      <c r="G10054" t="s">
        <v>6983</v>
      </c>
      <c r="H10054" s="21">
        <v>992.67</v>
      </c>
    </row>
    <row r="10055" spans="1:8" customFormat="1" x14ac:dyDescent="0.25">
      <c r="A10055" t="str">
        <f>"186279"</f>
        <v>186279</v>
      </c>
      <c r="B10055" t="s">
        <v>3880</v>
      </c>
      <c r="C10055" t="s">
        <v>428</v>
      </c>
      <c r="D10055" s="21" t="s">
        <v>34</v>
      </c>
      <c r="E10055" s="21" t="s">
        <v>35</v>
      </c>
      <c r="F10055">
        <v>4180313</v>
      </c>
      <c r="G10055" t="s">
        <v>10486</v>
      </c>
      <c r="H10055" s="21">
        <v>992.67</v>
      </c>
    </row>
    <row r="10056" spans="1:8" customFormat="1" x14ac:dyDescent="0.25">
      <c r="A10056" t="str">
        <f>"5012271"</f>
        <v>5012271</v>
      </c>
      <c r="B10056" t="s">
        <v>9775</v>
      </c>
      <c r="C10056" t="s">
        <v>249</v>
      </c>
      <c r="D10056" s="21" t="s">
        <v>34</v>
      </c>
      <c r="E10056" s="21" t="s">
        <v>35</v>
      </c>
      <c r="F10056">
        <v>9500093</v>
      </c>
      <c r="G10056" t="s">
        <v>1808</v>
      </c>
      <c r="H10056" s="21">
        <v>992.67</v>
      </c>
    </row>
    <row r="10057" spans="1:8" customFormat="1" x14ac:dyDescent="0.25">
      <c r="A10057" t="str">
        <f>"1315078"</f>
        <v>1315078</v>
      </c>
      <c r="B10057" t="s">
        <v>9482</v>
      </c>
      <c r="C10057" t="s">
        <v>202</v>
      </c>
      <c r="D10057" s="21" t="s">
        <v>34</v>
      </c>
      <c r="E10057" s="21" t="s">
        <v>71</v>
      </c>
      <c r="F10057">
        <v>13130158</v>
      </c>
      <c r="G10057" t="s">
        <v>3215</v>
      </c>
      <c r="H10057" s="21">
        <v>992.67</v>
      </c>
    </row>
    <row r="10058" spans="1:8" customFormat="1" x14ac:dyDescent="0.25">
      <c r="A10058" t="str">
        <f>"6221708"</f>
        <v>6221708</v>
      </c>
      <c r="B10058" t="s">
        <v>10966</v>
      </c>
      <c r="C10058" t="s">
        <v>169</v>
      </c>
      <c r="D10058" s="21" t="s">
        <v>34</v>
      </c>
      <c r="E10058" s="21" t="s">
        <v>35</v>
      </c>
      <c r="F10058">
        <v>7620007</v>
      </c>
      <c r="G10058" t="s">
        <v>2133</v>
      </c>
      <c r="H10058" s="21">
        <v>992.67</v>
      </c>
    </row>
    <row r="10059" spans="1:8" customFormat="1" x14ac:dyDescent="0.25">
      <c r="A10059" t="str">
        <f>"413591"</f>
        <v>413591</v>
      </c>
      <c r="B10059" t="s">
        <v>6157</v>
      </c>
      <c r="C10059" t="s">
        <v>249</v>
      </c>
      <c r="D10059" s="21" t="s">
        <v>34</v>
      </c>
      <c r="E10059" s="21" t="s">
        <v>71</v>
      </c>
      <c r="F10059">
        <v>4410730</v>
      </c>
      <c r="G10059" t="s">
        <v>7260</v>
      </c>
      <c r="H10059" s="21">
        <v>992.67</v>
      </c>
    </row>
    <row r="10060" spans="1:8" customFormat="1" x14ac:dyDescent="0.25">
      <c r="A10060" t="str">
        <f>"317961"</f>
        <v>317961</v>
      </c>
      <c r="B10060" t="s">
        <v>3012</v>
      </c>
      <c r="C10060" t="s">
        <v>209</v>
      </c>
      <c r="D10060" s="21" t="s">
        <v>34</v>
      </c>
      <c r="E10060" s="21" t="s">
        <v>254</v>
      </c>
      <c r="F10060">
        <v>11310121</v>
      </c>
      <c r="G10060" t="s">
        <v>578</v>
      </c>
      <c r="H10060" s="21">
        <v>992.67</v>
      </c>
    </row>
    <row r="10061" spans="1:8" customFormat="1" x14ac:dyDescent="0.25">
      <c r="A10061" t="str">
        <f>"871202"</f>
        <v>871202</v>
      </c>
      <c r="B10061" t="s">
        <v>8470</v>
      </c>
      <c r="C10061" t="s">
        <v>267</v>
      </c>
      <c r="D10061" s="21" t="s">
        <v>34</v>
      </c>
      <c r="E10061" s="21" t="s">
        <v>254</v>
      </c>
      <c r="F10061">
        <v>10870031</v>
      </c>
      <c r="G10061" t="s">
        <v>959</v>
      </c>
      <c r="H10061" s="21">
        <v>992.67</v>
      </c>
    </row>
    <row r="10062" spans="1:8" customFormat="1" x14ac:dyDescent="0.25">
      <c r="A10062" t="str">
        <f>"0611318"</f>
        <v>0611318</v>
      </c>
      <c r="B10062" t="s">
        <v>10081</v>
      </c>
      <c r="C10062" t="s">
        <v>3115</v>
      </c>
      <c r="D10062" s="21" t="s">
        <v>34</v>
      </c>
      <c r="E10062" s="21" t="s">
        <v>254</v>
      </c>
      <c r="F10062">
        <v>13060063</v>
      </c>
      <c r="G10062" t="s">
        <v>2001</v>
      </c>
      <c r="H10062" s="21">
        <v>992.54</v>
      </c>
    </row>
    <row r="10063" spans="1:8" customFormat="1" x14ac:dyDescent="0.25">
      <c r="A10063" t="str">
        <f>"7730503"</f>
        <v>7730503</v>
      </c>
      <c r="B10063" t="s">
        <v>11323</v>
      </c>
      <c r="C10063" t="s">
        <v>11324</v>
      </c>
      <c r="D10063" s="21" t="s">
        <v>34</v>
      </c>
      <c r="E10063" s="21" t="s">
        <v>35</v>
      </c>
      <c r="F10063">
        <v>8771398</v>
      </c>
      <c r="G10063" t="s">
        <v>2759</v>
      </c>
      <c r="H10063" s="21">
        <v>992.42</v>
      </c>
    </row>
    <row r="10064" spans="1:8" customFormat="1" x14ac:dyDescent="0.25">
      <c r="A10064" t="str">
        <f>"534184"</f>
        <v>534184</v>
      </c>
      <c r="B10064" t="s">
        <v>1833</v>
      </c>
      <c r="C10064" t="s">
        <v>209</v>
      </c>
      <c r="D10064" s="21" t="s">
        <v>34</v>
      </c>
      <c r="E10064" s="21" t="s">
        <v>71</v>
      </c>
      <c r="F10064">
        <v>12530099</v>
      </c>
      <c r="G10064" t="s">
        <v>3569</v>
      </c>
      <c r="H10064" s="21">
        <v>992.29</v>
      </c>
    </row>
    <row r="10065" spans="1:8" customFormat="1" x14ac:dyDescent="0.25">
      <c r="A10065" t="str">
        <f>"3332839"</f>
        <v>3332839</v>
      </c>
      <c r="B10065" t="s">
        <v>27138</v>
      </c>
      <c r="C10065" t="s">
        <v>151</v>
      </c>
      <c r="D10065" s="21" t="s">
        <v>34</v>
      </c>
      <c r="E10065" s="21" t="s">
        <v>35</v>
      </c>
      <c r="F10065">
        <v>10330004</v>
      </c>
      <c r="G10065" t="s">
        <v>525</v>
      </c>
      <c r="H10065" s="21">
        <v>992.17</v>
      </c>
    </row>
    <row r="10066" spans="1:8" customFormat="1" x14ac:dyDescent="0.25">
      <c r="A10066" t="str">
        <f>"5422214"</f>
        <v>5422214</v>
      </c>
      <c r="B10066" t="s">
        <v>9277</v>
      </c>
      <c r="C10066" t="s">
        <v>40</v>
      </c>
      <c r="D10066" s="21" t="s">
        <v>34</v>
      </c>
      <c r="E10066" s="21" t="s">
        <v>71</v>
      </c>
      <c r="F10066">
        <v>6540055</v>
      </c>
      <c r="G10066" t="s">
        <v>9080</v>
      </c>
      <c r="H10066" s="21">
        <v>992.17</v>
      </c>
    </row>
    <row r="10067" spans="1:8" customFormat="1" x14ac:dyDescent="0.25">
      <c r="A10067" t="str">
        <f>"3513365"</f>
        <v>3513365</v>
      </c>
      <c r="B10067" t="s">
        <v>11553</v>
      </c>
      <c r="C10067" t="s">
        <v>151</v>
      </c>
      <c r="D10067" s="21" t="s">
        <v>34</v>
      </c>
      <c r="E10067" s="21" t="s">
        <v>254</v>
      </c>
      <c r="F10067">
        <v>3350021</v>
      </c>
      <c r="G10067" t="s">
        <v>1758</v>
      </c>
      <c r="H10067" s="21">
        <v>992.17</v>
      </c>
    </row>
    <row r="10068" spans="1:8" customFormat="1" x14ac:dyDescent="0.25">
      <c r="A10068" t="str">
        <f>"3521883"</f>
        <v>3521883</v>
      </c>
      <c r="B10068" t="s">
        <v>11896</v>
      </c>
      <c r="C10068" t="s">
        <v>139</v>
      </c>
      <c r="D10068" s="21" t="s">
        <v>34</v>
      </c>
      <c r="E10068" s="21" t="s">
        <v>35</v>
      </c>
      <c r="F10068">
        <v>3350090</v>
      </c>
      <c r="G10068" t="s">
        <v>9659</v>
      </c>
      <c r="H10068" s="21">
        <v>992.17</v>
      </c>
    </row>
    <row r="10069" spans="1:8" customFormat="1" x14ac:dyDescent="0.25">
      <c r="A10069" t="str">
        <f>"4418421"</f>
        <v>4418421</v>
      </c>
      <c r="B10069" t="s">
        <v>2138</v>
      </c>
      <c r="C10069" t="s">
        <v>388</v>
      </c>
      <c r="D10069" s="21" t="s">
        <v>34</v>
      </c>
      <c r="E10069" s="21" t="s">
        <v>71</v>
      </c>
      <c r="F10069">
        <v>12440042</v>
      </c>
      <c r="G10069" t="s">
        <v>10312</v>
      </c>
      <c r="H10069" s="21">
        <v>992.17</v>
      </c>
    </row>
    <row r="10070" spans="1:8" customFormat="1" x14ac:dyDescent="0.25">
      <c r="A10070" t="str">
        <f>"429532"</f>
        <v>429532</v>
      </c>
      <c r="B10070" t="s">
        <v>27139</v>
      </c>
      <c r="C10070" t="s">
        <v>62</v>
      </c>
      <c r="D10070" s="21" t="s">
        <v>34</v>
      </c>
      <c r="E10070" s="21" t="s">
        <v>71</v>
      </c>
      <c r="F10070">
        <v>1420152</v>
      </c>
      <c r="G10070" t="s">
        <v>2948</v>
      </c>
      <c r="H10070" s="21">
        <v>992.17</v>
      </c>
    </row>
    <row r="10071" spans="1:8" customFormat="1" x14ac:dyDescent="0.25">
      <c r="A10071" t="str">
        <f>"9434714"</f>
        <v>9434714</v>
      </c>
      <c r="B10071" t="s">
        <v>8504</v>
      </c>
      <c r="C10071" t="s">
        <v>1468</v>
      </c>
      <c r="D10071" s="21" t="s">
        <v>34</v>
      </c>
      <c r="E10071" s="21" t="s">
        <v>35</v>
      </c>
      <c r="F10071">
        <v>8940942</v>
      </c>
      <c r="G10071" t="s">
        <v>8505</v>
      </c>
      <c r="H10071" s="21">
        <v>992.17</v>
      </c>
    </row>
    <row r="10072" spans="1:8" customFormat="1" x14ac:dyDescent="0.25">
      <c r="A10072" t="str">
        <f>"7920684"</f>
        <v>7920684</v>
      </c>
      <c r="B10072" t="s">
        <v>13618</v>
      </c>
      <c r="C10072" t="s">
        <v>43</v>
      </c>
      <c r="D10072" s="21" t="s">
        <v>34</v>
      </c>
      <c r="E10072" s="21" t="s">
        <v>35</v>
      </c>
      <c r="F10072">
        <v>10790003</v>
      </c>
      <c r="G10072" t="s">
        <v>10465</v>
      </c>
      <c r="H10072" s="21">
        <v>992.17</v>
      </c>
    </row>
    <row r="10073" spans="1:8" customFormat="1" x14ac:dyDescent="0.25">
      <c r="A10073" t="str">
        <f>"4431568"</f>
        <v>4431568</v>
      </c>
      <c r="B10073" t="s">
        <v>5343</v>
      </c>
      <c r="C10073" t="s">
        <v>547</v>
      </c>
      <c r="D10073" s="21" t="s">
        <v>34</v>
      </c>
      <c r="E10073" s="21" t="s">
        <v>71</v>
      </c>
      <c r="F10073">
        <v>12440142</v>
      </c>
      <c r="G10073" t="s">
        <v>3285</v>
      </c>
      <c r="H10073" s="21">
        <v>992.17</v>
      </c>
    </row>
    <row r="10074" spans="1:8" customFormat="1" x14ac:dyDescent="0.25">
      <c r="A10074" t="str">
        <f>"2111685"</f>
        <v>2111685</v>
      </c>
      <c r="B10074" t="s">
        <v>2704</v>
      </c>
      <c r="C10074" t="s">
        <v>1803</v>
      </c>
      <c r="D10074" s="21" t="s">
        <v>34</v>
      </c>
      <c r="E10074" s="21" t="s">
        <v>35</v>
      </c>
      <c r="F10074">
        <v>2210101</v>
      </c>
      <c r="G10074" t="s">
        <v>1374</v>
      </c>
      <c r="H10074" s="21">
        <v>992.17</v>
      </c>
    </row>
    <row r="10075" spans="1:8" customFormat="1" x14ac:dyDescent="0.25">
      <c r="A10075" t="str">
        <f>"685411"</f>
        <v>685411</v>
      </c>
      <c r="B10075" t="s">
        <v>11087</v>
      </c>
      <c r="C10075" t="s">
        <v>40</v>
      </c>
      <c r="D10075" s="21" t="s">
        <v>34</v>
      </c>
      <c r="E10075" s="21" t="s">
        <v>71</v>
      </c>
      <c r="F10075">
        <v>6680082</v>
      </c>
      <c r="G10075" t="s">
        <v>289</v>
      </c>
      <c r="H10075" s="21">
        <v>992.04</v>
      </c>
    </row>
    <row r="10076" spans="1:8" customFormat="1" x14ac:dyDescent="0.25">
      <c r="A10076" t="str">
        <f>"5923008"</f>
        <v>5923008</v>
      </c>
      <c r="B10076" t="s">
        <v>10213</v>
      </c>
      <c r="C10076" t="s">
        <v>209</v>
      </c>
      <c r="D10076" s="21" t="s">
        <v>34</v>
      </c>
      <c r="E10076" s="21" t="s">
        <v>71</v>
      </c>
      <c r="F10076">
        <v>7590153</v>
      </c>
      <c r="G10076" t="s">
        <v>9484</v>
      </c>
      <c r="H10076" s="21">
        <v>991.92</v>
      </c>
    </row>
    <row r="10077" spans="1:8" customFormat="1" x14ac:dyDescent="0.25">
      <c r="A10077" t="str">
        <f>"027731"</f>
        <v>027731</v>
      </c>
      <c r="B10077" t="s">
        <v>9871</v>
      </c>
      <c r="C10077" t="s">
        <v>305</v>
      </c>
      <c r="D10077" s="21" t="s">
        <v>34</v>
      </c>
      <c r="E10077" s="21" t="s">
        <v>35</v>
      </c>
      <c r="F10077">
        <v>2710051</v>
      </c>
      <c r="G10077" t="s">
        <v>4811</v>
      </c>
      <c r="H10077" s="21">
        <v>991.79</v>
      </c>
    </row>
    <row r="10078" spans="1:8" customFormat="1" x14ac:dyDescent="0.25">
      <c r="A10078" t="str">
        <f>"3114901"</f>
        <v>3114901</v>
      </c>
      <c r="B10078" t="s">
        <v>9527</v>
      </c>
      <c r="C10078" t="s">
        <v>121</v>
      </c>
      <c r="D10078" s="21" t="s">
        <v>34</v>
      </c>
      <c r="E10078" s="21" t="s">
        <v>35</v>
      </c>
      <c r="F10078">
        <v>11310047</v>
      </c>
      <c r="G10078" t="s">
        <v>2188</v>
      </c>
      <c r="H10078" s="21">
        <v>991.79</v>
      </c>
    </row>
    <row r="10079" spans="1:8" customFormat="1" x14ac:dyDescent="0.25">
      <c r="A10079" t="str">
        <f>"637537"</f>
        <v>637537</v>
      </c>
      <c r="B10079" t="s">
        <v>4865</v>
      </c>
      <c r="C10079" t="s">
        <v>253</v>
      </c>
      <c r="D10079" s="21" t="s">
        <v>34</v>
      </c>
      <c r="E10079" s="21" t="s">
        <v>1089</v>
      </c>
      <c r="F10079">
        <v>1630332</v>
      </c>
      <c r="G10079" t="s">
        <v>27136</v>
      </c>
      <c r="H10079" s="21">
        <v>991.67</v>
      </c>
    </row>
    <row r="10080" spans="1:8" customFormat="1" x14ac:dyDescent="0.25">
      <c r="A10080" t="str">
        <f>"7619148"</f>
        <v>7619148</v>
      </c>
      <c r="B10080" t="s">
        <v>10007</v>
      </c>
      <c r="C10080" t="s">
        <v>233</v>
      </c>
      <c r="D10080" s="21" t="s">
        <v>34</v>
      </c>
      <c r="E10080" s="21" t="s">
        <v>254</v>
      </c>
      <c r="F10080">
        <v>9760414</v>
      </c>
      <c r="G10080" t="s">
        <v>142</v>
      </c>
      <c r="H10080" s="21">
        <v>991.67</v>
      </c>
    </row>
    <row r="10081" spans="1:8" customFormat="1" x14ac:dyDescent="0.25">
      <c r="A10081" t="str">
        <f>"6813923"</f>
        <v>6813923</v>
      </c>
      <c r="B10081" t="s">
        <v>11318</v>
      </c>
      <c r="C10081" t="s">
        <v>601</v>
      </c>
      <c r="D10081" s="21" t="s">
        <v>34</v>
      </c>
      <c r="E10081" s="21" t="s">
        <v>71</v>
      </c>
      <c r="F10081">
        <v>6680138</v>
      </c>
      <c r="G10081" t="s">
        <v>10497</v>
      </c>
      <c r="H10081" s="21">
        <v>991.67</v>
      </c>
    </row>
    <row r="10082" spans="1:8" customFormat="1" x14ac:dyDescent="0.25">
      <c r="A10082" t="str">
        <f>"4519750"</f>
        <v>4519750</v>
      </c>
      <c r="B10082" t="s">
        <v>1096</v>
      </c>
      <c r="C10082" t="s">
        <v>33</v>
      </c>
      <c r="D10082" s="21" t="s">
        <v>34</v>
      </c>
      <c r="E10082" s="21" t="s">
        <v>35</v>
      </c>
      <c r="F10082">
        <v>4450773</v>
      </c>
      <c r="G10082" t="s">
        <v>26903</v>
      </c>
      <c r="H10082" s="21">
        <v>991.67</v>
      </c>
    </row>
    <row r="10083" spans="1:8" customFormat="1" x14ac:dyDescent="0.25">
      <c r="A10083" t="str">
        <f>"0615468"</f>
        <v>0615468</v>
      </c>
      <c r="B10083" t="s">
        <v>11728</v>
      </c>
      <c r="C10083" t="s">
        <v>62</v>
      </c>
      <c r="D10083" s="21" t="s">
        <v>34</v>
      </c>
      <c r="E10083" s="21" t="s">
        <v>35</v>
      </c>
      <c r="F10083">
        <v>13060082</v>
      </c>
      <c r="G10083" t="s">
        <v>11729</v>
      </c>
      <c r="H10083" s="21">
        <v>991.67</v>
      </c>
    </row>
    <row r="10084" spans="1:8" customFormat="1" x14ac:dyDescent="0.25">
      <c r="A10084" t="str">
        <f>"3411128"</f>
        <v>3411128</v>
      </c>
      <c r="B10084" t="s">
        <v>9424</v>
      </c>
      <c r="C10084" t="s">
        <v>40</v>
      </c>
      <c r="D10084" s="21" t="s">
        <v>34</v>
      </c>
      <c r="E10084" s="21" t="s">
        <v>71</v>
      </c>
      <c r="F10084">
        <v>11340008</v>
      </c>
      <c r="G10084" t="s">
        <v>312</v>
      </c>
      <c r="H10084" s="21">
        <v>991.67</v>
      </c>
    </row>
    <row r="10085" spans="1:8" customFormat="1" x14ac:dyDescent="0.25">
      <c r="A10085" t="str">
        <f>"5429799"</f>
        <v>5429799</v>
      </c>
      <c r="B10085" t="s">
        <v>10296</v>
      </c>
      <c r="C10085" t="s">
        <v>121</v>
      </c>
      <c r="D10085" s="21" t="s">
        <v>34</v>
      </c>
      <c r="E10085" s="21" t="s">
        <v>35</v>
      </c>
      <c r="F10085">
        <v>6540043</v>
      </c>
      <c r="G10085" t="s">
        <v>947</v>
      </c>
      <c r="H10085" s="21">
        <v>991.67</v>
      </c>
    </row>
    <row r="10086" spans="1:8" customFormat="1" x14ac:dyDescent="0.25">
      <c r="A10086" t="str">
        <f>"5932266"</f>
        <v>5932266</v>
      </c>
      <c r="B10086" t="s">
        <v>3952</v>
      </c>
      <c r="C10086" t="s">
        <v>209</v>
      </c>
      <c r="D10086" s="21" t="s">
        <v>34</v>
      </c>
      <c r="E10086" s="21" t="s">
        <v>71</v>
      </c>
      <c r="F10086">
        <v>7590087</v>
      </c>
      <c r="G10086" t="s">
        <v>2112</v>
      </c>
      <c r="H10086" s="21">
        <v>991.67</v>
      </c>
    </row>
    <row r="10087" spans="1:8" customFormat="1" x14ac:dyDescent="0.25">
      <c r="A10087" t="str">
        <f>"357252"</f>
        <v>357252</v>
      </c>
      <c r="B10087" t="s">
        <v>8412</v>
      </c>
      <c r="C10087" t="s">
        <v>40</v>
      </c>
      <c r="D10087" s="21" t="s">
        <v>34</v>
      </c>
      <c r="E10087" s="21" t="s">
        <v>71</v>
      </c>
      <c r="F10087">
        <v>3350136</v>
      </c>
      <c r="G10087" t="s">
        <v>2773</v>
      </c>
      <c r="H10087" s="21">
        <v>991.67</v>
      </c>
    </row>
    <row r="10088" spans="1:8" customFormat="1" x14ac:dyDescent="0.25">
      <c r="A10088" t="str">
        <f>"4510191"</f>
        <v>4510191</v>
      </c>
      <c r="B10088" t="s">
        <v>9855</v>
      </c>
      <c r="C10088" t="s">
        <v>288</v>
      </c>
      <c r="D10088" s="21" t="s">
        <v>34</v>
      </c>
      <c r="E10088" s="21" t="s">
        <v>71</v>
      </c>
      <c r="F10088">
        <v>4450702</v>
      </c>
      <c r="G10088" t="s">
        <v>1772</v>
      </c>
      <c r="H10088" s="21">
        <v>991.67</v>
      </c>
    </row>
    <row r="10089" spans="1:8" customFormat="1" x14ac:dyDescent="0.25">
      <c r="A10089" t="str">
        <f>"5019359"</f>
        <v>5019359</v>
      </c>
      <c r="B10089" t="s">
        <v>11497</v>
      </c>
      <c r="C10089" t="s">
        <v>415</v>
      </c>
      <c r="D10089" s="21" t="s">
        <v>34</v>
      </c>
      <c r="E10089" s="21" t="s">
        <v>35</v>
      </c>
      <c r="F10089">
        <v>9500112</v>
      </c>
      <c r="G10089" t="s">
        <v>1668</v>
      </c>
      <c r="H10089" s="21">
        <v>991.67</v>
      </c>
    </row>
    <row r="10090" spans="1:8" customFormat="1" x14ac:dyDescent="0.25">
      <c r="A10090" t="str">
        <f>"187123"</f>
        <v>187123</v>
      </c>
      <c r="B10090" t="s">
        <v>1533</v>
      </c>
      <c r="C10090" t="s">
        <v>60</v>
      </c>
      <c r="D10090" s="21" t="s">
        <v>34</v>
      </c>
      <c r="E10090" s="21" t="s">
        <v>35</v>
      </c>
      <c r="F10090">
        <v>4180737</v>
      </c>
      <c r="G10090" t="s">
        <v>26856</v>
      </c>
      <c r="H10090" s="21">
        <v>991.67</v>
      </c>
    </row>
    <row r="10091" spans="1:8" customFormat="1" x14ac:dyDescent="0.25">
      <c r="A10091" t="str">
        <f>"648330"</f>
        <v>648330</v>
      </c>
      <c r="B10091" t="s">
        <v>4197</v>
      </c>
      <c r="C10091" t="s">
        <v>87</v>
      </c>
      <c r="D10091" s="21" t="s">
        <v>34</v>
      </c>
      <c r="E10091" s="21" t="s">
        <v>35</v>
      </c>
      <c r="F10091">
        <v>10640019</v>
      </c>
      <c r="G10091" t="s">
        <v>3123</v>
      </c>
      <c r="H10091" s="21">
        <v>991.67</v>
      </c>
    </row>
    <row r="10092" spans="1:8" customFormat="1" x14ac:dyDescent="0.25">
      <c r="A10092" t="str">
        <f>"5310325"</f>
        <v>5310325</v>
      </c>
      <c r="B10092" t="s">
        <v>7053</v>
      </c>
      <c r="C10092" t="s">
        <v>5578</v>
      </c>
      <c r="D10092" s="21" t="s">
        <v>34</v>
      </c>
      <c r="E10092" s="21" t="s">
        <v>35</v>
      </c>
      <c r="F10092">
        <v>12530078</v>
      </c>
      <c r="G10092" t="s">
        <v>3677</v>
      </c>
      <c r="H10092" s="21">
        <v>991.67</v>
      </c>
    </row>
    <row r="10093" spans="1:8" customFormat="1" x14ac:dyDescent="0.25">
      <c r="A10093" t="str">
        <f>"088543"</f>
        <v>088543</v>
      </c>
      <c r="B10093" t="s">
        <v>4225</v>
      </c>
      <c r="C10093" t="s">
        <v>139</v>
      </c>
      <c r="D10093" s="21" t="s">
        <v>34</v>
      </c>
      <c r="E10093" s="21" t="s">
        <v>35</v>
      </c>
      <c r="F10093">
        <v>6080082</v>
      </c>
      <c r="G10093" t="s">
        <v>2401</v>
      </c>
      <c r="H10093" s="21">
        <v>991.67</v>
      </c>
    </row>
    <row r="10094" spans="1:8" customFormat="1" x14ac:dyDescent="0.25">
      <c r="A10094" t="str">
        <f>"502078"</f>
        <v>502078</v>
      </c>
      <c r="B10094" t="s">
        <v>5777</v>
      </c>
      <c r="C10094" t="s">
        <v>9734</v>
      </c>
      <c r="D10094" s="21" t="s">
        <v>34</v>
      </c>
      <c r="E10094" s="21" t="s">
        <v>254</v>
      </c>
      <c r="F10094">
        <v>9500153</v>
      </c>
      <c r="G10094" t="s">
        <v>5779</v>
      </c>
      <c r="H10094" s="21">
        <v>991.67</v>
      </c>
    </row>
    <row r="10095" spans="1:8" customFormat="1" x14ac:dyDescent="0.25">
      <c r="A10095" t="str">
        <f>"2924181"</f>
        <v>2924181</v>
      </c>
      <c r="B10095" t="s">
        <v>10631</v>
      </c>
      <c r="C10095" t="s">
        <v>302</v>
      </c>
      <c r="D10095" s="21" t="s">
        <v>34</v>
      </c>
      <c r="E10095" s="21" t="s">
        <v>35</v>
      </c>
      <c r="F10095">
        <v>3290229</v>
      </c>
      <c r="G10095" t="s">
        <v>408</v>
      </c>
      <c r="H10095" s="21">
        <v>991.55</v>
      </c>
    </row>
    <row r="10096" spans="1:8" customFormat="1" x14ac:dyDescent="0.25">
      <c r="A10096" t="str">
        <f>"77995"</f>
        <v>77995</v>
      </c>
      <c r="B10096" t="s">
        <v>10423</v>
      </c>
      <c r="C10096" t="s">
        <v>2529</v>
      </c>
      <c r="D10096" s="21" t="s">
        <v>34</v>
      </c>
      <c r="E10096" s="21" t="s">
        <v>254</v>
      </c>
      <c r="F10096">
        <v>8771394</v>
      </c>
      <c r="G10096" t="s">
        <v>1933</v>
      </c>
      <c r="H10096" s="21">
        <v>991.54</v>
      </c>
    </row>
    <row r="10097" spans="1:8" customFormat="1" x14ac:dyDescent="0.25">
      <c r="A10097" t="str">
        <f>"5920730"</f>
        <v>5920730</v>
      </c>
      <c r="B10097" t="s">
        <v>10483</v>
      </c>
      <c r="C10097" t="s">
        <v>124</v>
      </c>
      <c r="D10097" s="21" t="s">
        <v>34</v>
      </c>
      <c r="E10097" s="21" t="s">
        <v>254</v>
      </c>
      <c r="F10097">
        <v>7590260</v>
      </c>
      <c r="G10097" t="s">
        <v>3043</v>
      </c>
      <c r="H10097" s="21">
        <v>991.42</v>
      </c>
    </row>
    <row r="10098" spans="1:8" customFormat="1" x14ac:dyDescent="0.25">
      <c r="A10098" t="str">
        <f>"27394"</f>
        <v>27394</v>
      </c>
      <c r="B10098" t="s">
        <v>8682</v>
      </c>
      <c r="C10098" t="s">
        <v>55</v>
      </c>
      <c r="D10098" s="21" t="s">
        <v>34</v>
      </c>
      <c r="E10098" s="21" t="s">
        <v>71</v>
      </c>
      <c r="F10098">
        <v>9270152</v>
      </c>
      <c r="G10098" t="s">
        <v>1985</v>
      </c>
      <c r="H10098" s="21">
        <v>991.3</v>
      </c>
    </row>
    <row r="10099" spans="1:8" customFormat="1" x14ac:dyDescent="0.25">
      <c r="A10099" t="str">
        <f>"5965988"</f>
        <v>5965988</v>
      </c>
      <c r="B10099" t="s">
        <v>27140</v>
      </c>
      <c r="C10099" t="s">
        <v>87</v>
      </c>
      <c r="D10099" s="21" t="s">
        <v>34</v>
      </c>
      <c r="E10099" s="21" t="s">
        <v>35</v>
      </c>
      <c r="F10099">
        <v>7590231</v>
      </c>
      <c r="G10099" t="s">
        <v>207</v>
      </c>
      <c r="H10099" s="21">
        <v>991.29</v>
      </c>
    </row>
    <row r="10100" spans="1:8" customFormat="1" x14ac:dyDescent="0.25">
      <c r="A10100" t="str">
        <f>"5943956"</f>
        <v>5943956</v>
      </c>
      <c r="B10100" t="s">
        <v>2605</v>
      </c>
      <c r="C10100" t="s">
        <v>124</v>
      </c>
      <c r="D10100" s="21" t="s">
        <v>34</v>
      </c>
      <c r="E10100" s="21" t="s">
        <v>35</v>
      </c>
      <c r="F10100">
        <v>7590244</v>
      </c>
      <c r="G10100" t="s">
        <v>5768</v>
      </c>
      <c r="H10100" s="21">
        <v>991.17</v>
      </c>
    </row>
    <row r="10101" spans="1:8" customFormat="1" x14ac:dyDescent="0.25">
      <c r="A10101" t="str">
        <f>"955970"</f>
        <v>955970</v>
      </c>
      <c r="B10101" t="s">
        <v>8868</v>
      </c>
      <c r="C10101" t="s">
        <v>246</v>
      </c>
      <c r="D10101" s="21" t="s">
        <v>34</v>
      </c>
      <c r="E10101" s="21" t="s">
        <v>71</v>
      </c>
      <c r="F10101">
        <v>8950083</v>
      </c>
      <c r="G10101" t="s">
        <v>405</v>
      </c>
      <c r="H10101" s="21">
        <v>991.17</v>
      </c>
    </row>
    <row r="10102" spans="1:8" customFormat="1" x14ac:dyDescent="0.25">
      <c r="A10102" t="str">
        <f>"797463"</f>
        <v>797463</v>
      </c>
      <c r="B10102" t="s">
        <v>10078</v>
      </c>
      <c r="C10102" t="s">
        <v>37</v>
      </c>
      <c r="D10102" s="21" t="s">
        <v>34</v>
      </c>
      <c r="E10102" s="21" t="s">
        <v>35</v>
      </c>
      <c r="F10102">
        <v>10790036</v>
      </c>
      <c r="G10102" t="s">
        <v>4946</v>
      </c>
      <c r="H10102" s="21">
        <v>991.17</v>
      </c>
    </row>
    <row r="10103" spans="1:8" customFormat="1" x14ac:dyDescent="0.25">
      <c r="A10103" t="str">
        <f>"672661"</f>
        <v>672661</v>
      </c>
      <c r="B10103" t="s">
        <v>10639</v>
      </c>
      <c r="C10103" t="s">
        <v>239</v>
      </c>
      <c r="D10103" s="21" t="s">
        <v>34</v>
      </c>
      <c r="E10103" s="21" t="s">
        <v>254</v>
      </c>
      <c r="F10103">
        <v>6670183</v>
      </c>
      <c r="G10103" t="s">
        <v>670</v>
      </c>
      <c r="H10103" s="21">
        <v>991.17</v>
      </c>
    </row>
    <row r="10104" spans="1:8" customFormat="1" x14ac:dyDescent="0.25">
      <c r="A10104" t="str">
        <f>"1711888"</f>
        <v>1711888</v>
      </c>
      <c r="B10104" t="s">
        <v>9529</v>
      </c>
      <c r="C10104" t="s">
        <v>65</v>
      </c>
      <c r="D10104" s="21" t="s">
        <v>34</v>
      </c>
      <c r="E10104" s="21" t="s">
        <v>35</v>
      </c>
      <c r="F10104">
        <v>10170005</v>
      </c>
      <c r="G10104" t="s">
        <v>4290</v>
      </c>
      <c r="H10104" s="21">
        <v>991.17</v>
      </c>
    </row>
    <row r="10105" spans="1:8" customFormat="1" x14ac:dyDescent="0.25">
      <c r="A10105" t="str">
        <f>"5417927"</f>
        <v>5417927</v>
      </c>
      <c r="B10105" t="s">
        <v>2625</v>
      </c>
      <c r="C10105" t="s">
        <v>121</v>
      </c>
      <c r="D10105" s="21" t="s">
        <v>34</v>
      </c>
      <c r="E10105" s="21" t="s">
        <v>35</v>
      </c>
      <c r="F10105">
        <v>6540001</v>
      </c>
      <c r="G10105" t="s">
        <v>5886</v>
      </c>
      <c r="H10105" s="21">
        <v>991.17</v>
      </c>
    </row>
    <row r="10106" spans="1:8" customFormat="1" x14ac:dyDescent="0.25">
      <c r="A10106" t="str">
        <f>"621123"</f>
        <v>621123</v>
      </c>
      <c r="B10106" t="s">
        <v>2023</v>
      </c>
      <c r="C10106" t="s">
        <v>528</v>
      </c>
      <c r="D10106" s="21" t="s">
        <v>34</v>
      </c>
      <c r="E10106" s="21" t="s">
        <v>254</v>
      </c>
      <c r="F10106">
        <v>7620060</v>
      </c>
      <c r="G10106" t="s">
        <v>2179</v>
      </c>
      <c r="H10106" s="21">
        <v>991.17</v>
      </c>
    </row>
    <row r="10107" spans="1:8" customFormat="1" x14ac:dyDescent="0.25">
      <c r="A10107" t="str">
        <f>"7629404"</f>
        <v>7629404</v>
      </c>
      <c r="B10107" t="s">
        <v>1873</v>
      </c>
      <c r="C10107" t="s">
        <v>415</v>
      </c>
      <c r="D10107" s="21" t="s">
        <v>34</v>
      </c>
      <c r="E10107" s="21" t="s">
        <v>1089</v>
      </c>
      <c r="F10107">
        <v>3350009</v>
      </c>
      <c r="G10107" t="s">
        <v>1823</v>
      </c>
      <c r="H10107" s="21">
        <v>991.17</v>
      </c>
    </row>
    <row r="10108" spans="1:8" customFormat="1" x14ac:dyDescent="0.25">
      <c r="A10108" t="str">
        <f>"703986"</f>
        <v>703986</v>
      </c>
      <c r="B10108" t="s">
        <v>10039</v>
      </c>
      <c r="C10108" t="s">
        <v>822</v>
      </c>
      <c r="D10108" s="21" t="s">
        <v>34</v>
      </c>
      <c r="E10108" s="21" t="s">
        <v>1089</v>
      </c>
      <c r="F10108">
        <v>2700089</v>
      </c>
      <c r="G10108" t="s">
        <v>2570</v>
      </c>
      <c r="H10108" s="21">
        <v>991.17</v>
      </c>
    </row>
    <row r="10109" spans="1:8" customFormat="1" x14ac:dyDescent="0.25">
      <c r="A10109" t="str">
        <f>"5015691"</f>
        <v>5015691</v>
      </c>
      <c r="B10109" t="s">
        <v>9757</v>
      </c>
      <c r="C10109" t="s">
        <v>1359</v>
      </c>
      <c r="D10109" s="21" t="s">
        <v>34</v>
      </c>
      <c r="E10109" s="21" t="s">
        <v>35</v>
      </c>
      <c r="F10109">
        <v>9500025</v>
      </c>
      <c r="G10109" t="s">
        <v>665</v>
      </c>
      <c r="H10109" s="21">
        <v>991.17</v>
      </c>
    </row>
    <row r="10110" spans="1:8" customFormat="1" x14ac:dyDescent="0.25">
      <c r="A10110" t="str">
        <f>"627790"</f>
        <v>627790</v>
      </c>
      <c r="B10110" t="s">
        <v>9967</v>
      </c>
      <c r="C10110" t="s">
        <v>656</v>
      </c>
      <c r="D10110" s="21" t="s">
        <v>34</v>
      </c>
      <c r="E10110" s="21" t="s">
        <v>35</v>
      </c>
      <c r="F10110">
        <v>7620067</v>
      </c>
      <c r="G10110" t="s">
        <v>860</v>
      </c>
      <c r="H10110" s="21">
        <v>991.17</v>
      </c>
    </row>
    <row r="10111" spans="1:8" customFormat="1" x14ac:dyDescent="0.25">
      <c r="A10111" t="str">
        <f>"9533156"</f>
        <v>9533156</v>
      </c>
      <c r="B10111" t="s">
        <v>10294</v>
      </c>
      <c r="C10111" t="s">
        <v>169</v>
      </c>
      <c r="D10111" s="21" t="s">
        <v>34</v>
      </c>
      <c r="E10111" s="21" t="s">
        <v>35</v>
      </c>
      <c r="F10111">
        <v>8950103</v>
      </c>
      <c r="G10111" t="s">
        <v>440</v>
      </c>
      <c r="H10111" s="21">
        <v>990.93</v>
      </c>
    </row>
    <row r="10112" spans="1:8" customFormat="1" x14ac:dyDescent="0.25">
      <c r="A10112" t="str">
        <f>"697704"</f>
        <v>697704</v>
      </c>
      <c r="B10112" t="s">
        <v>12556</v>
      </c>
      <c r="C10112" t="s">
        <v>40</v>
      </c>
      <c r="D10112" s="21" t="s">
        <v>34</v>
      </c>
      <c r="E10112" s="21" t="s">
        <v>254</v>
      </c>
      <c r="F10112">
        <v>1690031</v>
      </c>
      <c r="G10112" t="s">
        <v>2716</v>
      </c>
      <c r="H10112" s="21">
        <v>990.92</v>
      </c>
    </row>
    <row r="10113" spans="1:8" customFormat="1" x14ac:dyDescent="0.25">
      <c r="A10113" t="str">
        <f>"9319805"</f>
        <v>9319805</v>
      </c>
      <c r="B10113" t="s">
        <v>6659</v>
      </c>
      <c r="C10113" t="s">
        <v>10476</v>
      </c>
      <c r="D10113" s="21" t="s">
        <v>34</v>
      </c>
      <c r="E10113" s="21" t="s">
        <v>35</v>
      </c>
      <c r="F10113">
        <v>8930148</v>
      </c>
      <c r="G10113" t="s">
        <v>1915</v>
      </c>
      <c r="H10113" s="21">
        <v>990.81</v>
      </c>
    </row>
    <row r="10114" spans="1:8" customFormat="1" x14ac:dyDescent="0.25">
      <c r="A10114" t="str">
        <f>"9413156"</f>
        <v>9413156</v>
      </c>
      <c r="B10114" t="s">
        <v>10127</v>
      </c>
      <c r="C10114" t="s">
        <v>33</v>
      </c>
      <c r="D10114" s="21" t="s">
        <v>34</v>
      </c>
      <c r="E10114" s="21" t="s">
        <v>35</v>
      </c>
      <c r="F10114">
        <v>8771501</v>
      </c>
      <c r="G10114" t="s">
        <v>10128</v>
      </c>
      <c r="H10114" s="21">
        <v>990.79</v>
      </c>
    </row>
    <row r="10115" spans="1:8" customFormat="1" x14ac:dyDescent="0.25">
      <c r="A10115" t="str">
        <f>"5015697"</f>
        <v>5015697</v>
      </c>
      <c r="B10115" t="s">
        <v>9334</v>
      </c>
      <c r="C10115" t="s">
        <v>328</v>
      </c>
      <c r="D10115" s="21" t="s">
        <v>34</v>
      </c>
      <c r="E10115" s="21" t="s">
        <v>254</v>
      </c>
      <c r="F10115">
        <v>9500010</v>
      </c>
      <c r="G10115" t="s">
        <v>5975</v>
      </c>
      <c r="H10115" s="21">
        <v>990.79</v>
      </c>
    </row>
    <row r="10116" spans="1:8" customFormat="1" x14ac:dyDescent="0.25">
      <c r="A10116" t="str">
        <f>"245265"</f>
        <v>245265</v>
      </c>
      <c r="B10116" t="s">
        <v>146</v>
      </c>
      <c r="C10116" t="s">
        <v>87</v>
      </c>
      <c r="D10116" s="21" t="s">
        <v>34</v>
      </c>
      <c r="E10116" s="21" t="s">
        <v>71</v>
      </c>
      <c r="F10116">
        <v>10240003</v>
      </c>
      <c r="G10116" t="s">
        <v>2940</v>
      </c>
      <c r="H10116" s="21">
        <v>990.67</v>
      </c>
    </row>
    <row r="10117" spans="1:8" customFormat="1" x14ac:dyDescent="0.25">
      <c r="A10117" t="str">
        <f>"2718772"</f>
        <v>2718772</v>
      </c>
      <c r="B10117" t="s">
        <v>7814</v>
      </c>
      <c r="C10117" t="s">
        <v>285</v>
      </c>
      <c r="D10117" s="21" t="s">
        <v>34</v>
      </c>
      <c r="E10117" s="21" t="s">
        <v>35</v>
      </c>
      <c r="F10117">
        <v>9270021</v>
      </c>
      <c r="G10117" t="s">
        <v>4934</v>
      </c>
      <c r="H10117" s="21">
        <v>990.67</v>
      </c>
    </row>
    <row r="10118" spans="1:8" customFormat="1" x14ac:dyDescent="0.25">
      <c r="A10118" t="str">
        <f>"4213498"</f>
        <v>4213498</v>
      </c>
      <c r="B10118" t="s">
        <v>11065</v>
      </c>
      <c r="C10118" t="s">
        <v>564</v>
      </c>
      <c r="D10118" s="21" t="s">
        <v>34</v>
      </c>
      <c r="E10118" s="21" t="s">
        <v>71</v>
      </c>
      <c r="F10118">
        <v>1420070</v>
      </c>
      <c r="G10118" t="s">
        <v>27046</v>
      </c>
      <c r="H10118" s="21">
        <v>990.67</v>
      </c>
    </row>
    <row r="10119" spans="1:8" customFormat="1" x14ac:dyDescent="0.25">
      <c r="A10119" t="str">
        <f>"5720965"</f>
        <v>5720965</v>
      </c>
      <c r="B10119" t="s">
        <v>5972</v>
      </c>
      <c r="C10119" t="s">
        <v>486</v>
      </c>
      <c r="D10119" s="21" t="s">
        <v>34</v>
      </c>
      <c r="E10119" s="21" t="s">
        <v>35</v>
      </c>
      <c r="F10119">
        <v>6540194</v>
      </c>
      <c r="G10119" t="s">
        <v>7171</v>
      </c>
      <c r="H10119" s="21">
        <v>990.67</v>
      </c>
    </row>
    <row r="10120" spans="1:8" customFormat="1" x14ac:dyDescent="0.25">
      <c r="A10120" t="str">
        <f>"805151"</f>
        <v>805151</v>
      </c>
      <c r="B10120" t="s">
        <v>2925</v>
      </c>
      <c r="C10120" t="s">
        <v>462</v>
      </c>
      <c r="D10120" s="21" t="s">
        <v>34</v>
      </c>
      <c r="E10120" s="21" t="s">
        <v>254</v>
      </c>
      <c r="F10120">
        <v>7800126</v>
      </c>
      <c r="G10120" t="s">
        <v>1105</v>
      </c>
      <c r="H10120" s="21">
        <v>990.67</v>
      </c>
    </row>
    <row r="10121" spans="1:8" customFormat="1" x14ac:dyDescent="0.25">
      <c r="A10121" t="str">
        <f>"284739"</f>
        <v>284739</v>
      </c>
      <c r="B10121" t="s">
        <v>9883</v>
      </c>
      <c r="C10121" t="s">
        <v>320</v>
      </c>
      <c r="D10121" s="21" t="s">
        <v>34</v>
      </c>
      <c r="E10121" s="21" t="s">
        <v>254</v>
      </c>
      <c r="F10121">
        <v>4280004</v>
      </c>
      <c r="G10121" t="s">
        <v>91</v>
      </c>
      <c r="H10121" s="21">
        <v>990.67</v>
      </c>
    </row>
    <row r="10122" spans="1:8" customFormat="1" x14ac:dyDescent="0.25">
      <c r="A10122" t="str">
        <f>"8312020"</f>
        <v>8312020</v>
      </c>
      <c r="B10122" t="s">
        <v>9752</v>
      </c>
      <c r="C10122" t="s">
        <v>62</v>
      </c>
      <c r="D10122" s="21" t="s">
        <v>34</v>
      </c>
      <c r="E10122" s="21" t="s">
        <v>35</v>
      </c>
      <c r="F10122">
        <v>13830015</v>
      </c>
      <c r="G10122" t="s">
        <v>4011</v>
      </c>
      <c r="H10122" s="21">
        <v>990.67</v>
      </c>
    </row>
    <row r="10123" spans="1:8" customFormat="1" x14ac:dyDescent="0.25">
      <c r="A10123" t="str">
        <f>"211968"</f>
        <v>211968</v>
      </c>
      <c r="B10123" t="s">
        <v>10022</v>
      </c>
      <c r="C10123" t="s">
        <v>750</v>
      </c>
      <c r="D10123" s="21" t="s">
        <v>34</v>
      </c>
      <c r="E10123" s="21" t="s">
        <v>71</v>
      </c>
      <c r="F10123">
        <v>2210029</v>
      </c>
      <c r="G10123" t="s">
        <v>6983</v>
      </c>
      <c r="H10123" s="21">
        <v>990.67</v>
      </c>
    </row>
    <row r="10124" spans="1:8" customFormat="1" x14ac:dyDescent="0.25">
      <c r="A10124" t="str">
        <f>"07867"</f>
        <v>07867</v>
      </c>
      <c r="B10124" t="s">
        <v>10540</v>
      </c>
      <c r="C10124" t="s">
        <v>169</v>
      </c>
      <c r="D10124" s="21" t="s">
        <v>34</v>
      </c>
      <c r="E10124" s="21" t="s">
        <v>71</v>
      </c>
      <c r="F10124">
        <v>1380045</v>
      </c>
      <c r="G10124" t="s">
        <v>2114</v>
      </c>
      <c r="H10124" s="21">
        <v>990.67</v>
      </c>
    </row>
    <row r="10125" spans="1:8" customFormat="1" x14ac:dyDescent="0.25">
      <c r="A10125" t="str">
        <f>"9754637"</f>
        <v>9754637</v>
      </c>
      <c r="B10125" t="s">
        <v>10238</v>
      </c>
      <c r="C10125" t="s">
        <v>267</v>
      </c>
      <c r="D10125" s="21" t="s">
        <v>34</v>
      </c>
      <c r="E10125" s="21" t="s">
        <v>71</v>
      </c>
      <c r="F10125" t="s">
        <v>10239</v>
      </c>
      <c r="G10125" t="s">
        <v>10240</v>
      </c>
      <c r="H10125" s="21">
        <v>990.67</v>
      </c>
    </row>
    <row r="10126" spans="1:8" customFormat="1" x14ac:dyDescent="0.25">
      <c r="A10126" t="str">
        <f>"5932550"</f>
        <v>5932550</v>
      </c>
      <c r="B10126" t="s">
        <v>10616</v>
      </c>
      <c r="C10126" t="s">
        <v>263</v>
      </c>
      <c r="D10126" s="21" t="s">
        <v>34</v>
      </c>
      <c r="E10126" s="21" t="s">
        <v>254</v>
      </c>
      <c r="F10126">
        <v>7590123</v>
      </c>
      <c r="G10126" t="s">
        <v>85</v>
      </c>
      <c r="H10126" s="21">
        <v>990.67</v>
      </c>
    </row>
    <row r="10127" spans="1:8" customFormat="1" x14ac:dyDescent="0.25">
      <c r="A10127" t="str">
        <f>"3816064"</f>
        <v>3816064</v>
      </c>
      <c r="B10127" t="s">
        <v>9569</v>
      </c>
      <c r="C10127" t="s">
        <v>269</v>
      </c>
      <c r="D10127" s="21" t="s">
        <v>34</v>
      </c>
      <c r="E10127" s="21" t="s">
        <v>71</v>
      </c>
      <c r="F10127">
        <v>1380284</v>
      </c>
      <c r="G10127" t="s">
        <v>300</v>
      </c>
      <c r="H10127" s="21">
        <v>990.42</v>
      </c>
    </row>
    <row r="10128" spans="1:8" customFormat="1" x14ac:dyDescent="0.25">
      <c r="A10128" t="str">
        <f>"58406"</f>
        <v>58406</v>
      </c>
      <c r="B10128" t="s">
        <v>6221</v>
      </c>
      <c r="C10128" t="s">
        <v>1914</v>
      </c>
      <c r="D10128" s="21" t="s">
        <v>34</v>
      </c>
      <c r="E10128" s="21" t="s">
        <v>254</v>
      </c>
      <c r="F10128">
        <v>2580035</v>
      </c>
      <c r="G10128" t="s">
        <v>5991</v>
      </c>
      <c r="H10128" s="21">
        <v>990.17</v>
      </c>
    </row>
    <row r="10129" spans="1:8" customFormat="1" x14ac:dyDescent="0.25">
      <c r="A10129" t="str">
        <f>"5926588"</f>
        <v>5926588</v>
      </c>
      <c r="B10129" t="s">
        <v>14551</v>
      </c>
      <c r="C10129" t="s">
        <v>171</v>
      </c>
      <c r="D10129" s="21" t="s">
        <v>34</v>
      </c>
      <c r="E10129" s="21" t="s">
        <v>71</v>
      </c>
      <c r="F10129">
        <v>7590123</v>
      </c>
      <c r="G10129" t="s">
        <v>85</v>
      </c>
      <c r="H10129" s="21">
        <v>990.17</v>
      </c>
    </row>
    <row r="10130" spans="1:8" customFormat="1" x14ac:dyDescent="0.25">
      <c r="A10130" t="str">
        <f>"296003"</f>
        <v>296003</v>
      </c>
      <c r="B10130" t="s">
        <v>6853</v>
      </c>
      <c r="C10130" t="s">
        <v>124</v>
      </c>
      <c r="D10130" s="21" t="s">
        <v>34</v>
      </c>
      <c r="E10130" s="21" t="s">
        <v>35</v>
      </c>
      <c r="F10130">
        <v>3290208</v>
      </c>
      <c r="G10130" t="s">
        <v>1553</v>
      </c>
      <c r="H10130" s="21">
        <v>990.17</v>
      </c>
    </row>
    <row r="10131" spans="1:8" customFormat="1" x14ac:dyDescent="0.25">
      <c r="A10131" t="str">
        <f>"619722"</f>
        <v>619722</v>
      </c>
      <c r="B10131" t="s">
        <v>27141</v>
      </c>
      <c r="C10131" t="s">
        <v>58</v>
      </c>
      <c r="D10131" s="21" t="s">
        <v>34</v>
      </c>
      <c r="E10131" s="21" t="s">
        <v>35</v>
      </c>
      <c r="F10131">
        <v>9610034</v>
      </c>
      <c r="G10131" t="s">
        <v>11021</v>
      </c>
      <c r="H10131" s="21">
        <v>990.17</v>
      </c>
    </row>
    <row r="10132" spans="1:8" customFormat="1" x14ac:dyDescent="0.25">
      <c r="A10132" t="str">
        <f>"568110"</f>
        <v>568110</v>
      </c>
      <c r="B10132" t="s">
        <v>27142</v>
      </c>
      <c r="C10132" t="s">
        <v>1597</v>
      </c>
      <c r="D10132" s="21" t="s">
        <v>34</v>
      </c>
      <c r="E10132" s="21" t="s">
        <v>71</v>
      </c>
      <c r="F10132">
        <v>3560027</v>
      </c>
      <c r="G10132" t="s">
        <v>27143</v>
      </c>
      <c r="H10132" s="21">
        <v>990.17</v>
      </c>
    </row>
    <row r="10133" spans="1:8" customFormat="1" x14ac:dyDescent="0.25">
      <c r="A10133" t="str">
        <f>"6018327"</f>
        <v>6018327</v>
      </c>
      <c r="B10133" t="s">
        <v>8702</v>
      </c>
      <c r="C10133" t="s">
        <v>1489</v>
      </c>
      <c r="D10133" s="21" t="s">
        <v>34</v>
      </c>
      <c r="E10133" s="21" t="s">
        <v>254</v>
      </c>
      <c r="F10133">
        <v>7600154</v>
      </c>
      <c r="G10133" t="s">
        <v>7836</v>
      </c>
      <c r="H10133" s="21">
        <v>990.17</v>
      </c>
    </row>
    <row r="10134" spans="1:8" customFormat="1" x14ac:dyDescent="0.25">
      <c r="A10134" t="str">
        <f>"863229"</f>
        <v>863229</v>
      </c>
      <c r="B10134" t="s">
        <v>8317</v>
      </c>
      <c r="C10134" t="s">
        <v>98</v>
      </c>
      <c r="D10134" s="21" t="s">
        <v>34</v>
      </c>
      <c r="E10134" s="21" t="s">
        <v>35</v>
      </c>
      <c r="F10134">
        <v>10860038</v>
      </c>
      <c r="G10134" t="s">
        <v>8925</v>
      </c>
      <c r="H10134" s="21">
        <v>990.17</v>
      </c>
    </row>
    <row r="10135" spans="1:8" customFormat="1" x14ac:dyDescent="0.25">
      <c r="A10135" t="str">
        <f>"6711969"</f>
        <v>6711969</v>
      </c>
      <c r="B10135" t="s">
        <v>9519</v>
      </c>
      <c r="C10135" t="s">
        <v>323</v>
      </c>
      <c r="D10135" s="21" t="s">
        <v>34</v>
      </c>
      <c r="E10135" s="21" t="s">
        <v>35</v>
      </c>
      <c r="F10135">
        <v>6670207</v>
      </c>
      <c r="G10135" t="s">
        <v>5419</v>
      </c>
      <c r="H10135" s="21">
        <v>990.17</v>
      </c>
    </row>
    <row r="10136" spans="1:8" customFormat="1" x14ac:dyDescent="0.25">
      <c r="A10136" t="str">
        <f>"9238014"</f>
        <v>9238014</v>
      </c>
      <c r="B10136" t="s">
        <v>9515</v>
      </c>
      <c r="C10136" t="s">
        <v>269</v>
      </c>
      <c r="D10136" s="21" t="s">
        <v>34</v>
      </c>
      <c r="E10136" s="21" t="s">
        <v>35</v>
      </c>
      <c r="F10136">
        <v>8950882</v>
      </c>
      <c r="G10136" t="s">
        <v>9516</v>
      </c>
      <c r="H10136" s="21">
        <v>990.17</v>
      </c>
    </row>
    <row r="10137" spans="1:8" customFormat="1" x14ac:dyDescent="0.25">
      <c r="A10137" t="str">
        <f>"424162"</f>
        <v>424162</v>
      </c>
      <c r="B10137" t="s">
        <v>2423</v>
      </c>
      <c r="C10137" t="s">
        <v>40</v>
      </c>
      <c r="D10137" s="21" t="s">
        <v>34</v>
      </c>
      <c r="E10137" s="21" t="s">
        <v>71</v>
      </c>
      <c r="F10137">
        <v>1420117</v>
      </c>
      <c r="G10137" t="s">
        <v>2649</v>
      </c>
      <c r="H10137" s="21">
        <v>990.17</v>
      </c>
    </row>
    <row r="10138" spans="1:8" customFormat="1" x14ac:dyDescent="0.25">
      <c r="A10138" t="str">
        <f>"9141422"</f>
        <v>9141422</v>
      </c>
      <c r="B10138" t="s">
        <v>11004</v>
      </c>
      <c r="C10138" t="s">
        <v>11005</v>
      </c>
      <c r="D10138" s="21" t="s">
        <v>34</v>
      </c>
      <c r="E10138" s="21" t="s">
        <v>35</v>
      </c>
      <c r="F10138">
        <v>8911334</v>
      </c>
      <c r="G10138" t="s">
        <v>4170</v>
      </c>
      <c r="H10138" s="21">
        <v>990.17</v>
      </c>
    </row>
    <row r="10139" spans="1:8" customFormat="1" x14ac:dyDescent="0.25">
      <c r="A10139" t="str">
        <f>"4520848"</f>
        <v>4520848</v>
      </c>
      <c r="B10139" t="s">
        <v>853</v>
      </c>
      <c r="C10139" t="s">
        <v>60</v>
      </c>
      <c r="D10139" s="21" t="s">
        <v>34</v>
      </c>
      <c r="E10139" s="21" t="s">
        <v>35</v>
      </c>
      <c r="F10139">
        <v>4450759</v>
      </c>
      <c r="G10139" t="s">
        <v>6587</v>
      </c>
      <c r="H10139" s="21">
        <v>990.17</v>
      </c>
    </row>
    <row r="10140" spans="1:8" customFormat="1" x14ac:dyDescent="0.25">
      <c r="A10140" t="str">
        <f>"42333"</f>
        <v>42333</v>
      </c>
      <c r="B10140" t="s">
        <v>7681</v>
      </c>
      <c r="C10140" t="s">
        <v>415</v>
      </c>
      <c r="D10140" s="21" t="s">
        <v>34</v>
      </c>
      <c r="E10140" s="21" t="s">
        <v>1089</v>
      </c>
      <c r="F10140">
        <v>11340067</v>
      </c>
      <c r="G10140" t="s">
        <v>2895</v>
      </c>
      <c r="H10140" s="21">
        <v>990.17</v>
      </c>
    </row>
    <row r="10141" spans="1:8" customFormat="1" x14ac:dyDescent="0.25">
      <c r="A10141" t="str">
        <f>"9129669"</f>
        <v>9129669</v>
      </c>
      <c r="B10141" t="s">
        <v>10208</v>
      </c>
      <c r="C10141" t="s">
        <v>10209</v>
      </c>
      <c r="D10141" s="21" t="s">
        <v>34</v>
      </c>
      <c r="E10141" s="21" t="s">
        <v>1089</v>
      </c>
      <c r="F10141">
        <v>8910359</v>
      </c>
      <c r="G10141" t="s">
        <v>1204</v>
      </c>
      <c r="H10141" s="21">
        <v>990</v>
      </c>
    </row>
    <row r="10142" spans="1:8" customFormat="1" x14ac:dyDescent="0.25">
      <c r="A10142" t="str">
        <f>"174480"</f>
        <v>174480</v>
      </c>
      <c r="B10142" t="s">
        <v>9852</v>
      </c>
      <c r="C10142" t="s">
        <v>9853</v>
      </c>
      <c r="D10142" s="21" t="s">
        <v>34</v>
      </c>
      <c r="E10142" s="21" t="s">
        <v>254</v>
      </c>
      <c r="F10142">
        <v>10170033</v>
      </c>
      <c r="G10142" t="s">
        <v>3756</v>
      </c>
      <c r="H10142" s="21">
        <v>989.92</v>
      </c>
    </row>
    <row r="10143" spans="1:8" customFormat="1" x14ac:dyDescent="0.25">
      <c r="A10143" t="str">
        <f>"608896"</f>
        <v>608896</v>
      </c>
      <c r="B10143" t="s">
        <v>9294</v>
      </c>
      <c r="C10143" t="s">
        <v>236</v>
      </c>
      <c r="D10143" s="21" t="s">
        <v>34</v>
      </c>
      <c r="E10143" s="21" t="s">
        <v>1089</v>
      </c>
      <c r="F10143">
        <v>7600171</v>
      </c>
      <c r="G10143" t="s">
        <v>4705</v>
      </c>
      <c r="H10143" s="21">
        <v>989.92</v>
      </c>
    </row>
    <row r="10144" spans="1:8" customFormat="1" x14ac:dyDescent="0.25">
      <c r="A10144" t="str">
        <f>"59843"</f>
        <v>59843</v>
      </c>
      <c r="B10144" t="s">
        <v>2405</v>
      </c>
      <c r="C10144" t="s">
        <v>879</v>
      </c>
      <c r="D10144" s="21" t="s">
        <v>34</v>
      </c>
      <c r="E10144" s="21" t="s">
        <v>254</v>
      </c>
      <c r="F10144">
        <v>7590044</v>
      </c>
      <c r="G10144" t="s">
        <v>2029</v>
      </c>
      <c r="H10144" s="21">
        <v>989.67</v>
      </c>
    </row>
    <row r="10145" spans="1:8" customFormat="1" x14ac:dyDescent="0.25">
      <c r="A10145" t="str">
        <f>"2919236"</f>
        <v>2919236</v>
      </c>
      <c r="B10145" t="s">
        <v>11863</v>
      </c>
      <c r="C10145" t="s">
        <v>1803</v>
      </c>
      <c r="D10145" s="21" t="s">
        <v>34</v>
      </c>
      <c r="E10145" s="21" t="s">
        <v>35</v>
      </c>
      <c r="F10145">
        <v>3290087</v>
      </c>
      <c r="G10145" t="s">
        <v>364</v>
      </c>
      <c r="H10145" s="21">
        <v>989.67</v>
      </c>
    </row>
    <row r="10146" spans="1:8" customFormat="1" x14ac:dyDescent="0.25">
      <c r="A10146" t="str">
        <f>"612658"</f>
        <v>612658</v>
      </c>
      <c r="B10146" t="s">
        <v>10320</v>
      </c>
      <c r="C10146" t="s">
        <v>926</v>
      </c>
      <c r="D10146" s="21" t="s">
        <v>34</v>
      </c>
      <c r="E10146" s="21" t="s">
        <v>71</v>
      </c>
      <c r="F10146">
        <v>9610040</v>
      </c>
      <c r="G10146" t="s">
        <v>10321</v>
      </c>
      <c r="H10146" s="21">
        <v>989.67</v>
      </c>
    </row>
    <row r="10147" spans="1:8" customFormat="1" x14ac:dyDescent="0.25">
      <c r="A10147" t="str">
        <f>"5916510"</f>
        <v>5916510</v>
      </c>
      <c r="B10147" t="s">
        <v>10643</v>
      </c>
      <c r="C10147" t="s">
        <v>3648</v>
      </c>
      <c r="D10147" s="21" t="s">
        <v>34</v>
      </c>
      <c r="E10147" s="21" t="s">
        <v>1089</v>
      </c>
      <c r="F10147">
        <v>7590080</v>
      </c>
      <c r="G10147" t="s">
        <v>1715</v>
      </c>
      <c r="H10147" s="21">
        <v>989.67</v>
      </c>
    </row>
    <row r="10148" spans="1:8" customFormat="1" x14ac:dyDescent="0.25">
      <c r="A10148" t="str">
        <f>"6210245"</f>
        <v>6210245</v>
      </c>
      <c r="B10148" t="s">
        <v>9824</v>
      </c>
      <c r="C10148" t="s">
        <v>109</v>
      </c>
      <c r="D10148" s="21" t="s">
        <v>34</v>
      </c>
      <c r="E10148" s="21" t="s">
        <v>71</v>
      </c>
      <c r="F10148">
        <v>7620058</v>
      </c>
      <c r="G10148" t="s">
        <v>602</v>
      </c>
      <c r="H10148" s="21">
        <v>989.67</v>
      </c>
    </row>
    <row r="10149" spans="1:8" customFormat="1" x14ac:dyDescent="0.25">
      <c r="A10149" t="str">
        <f>"7510625"</f>
        <v>7510625</v>
      </c>
      <c r="B10149" t="s">
        <v>8236</v>
      </c>
      <c r="C10149" t="s">
        <v>1146</v>
      </c>
      <c r="D10149" s="21" t="s">
        <v>34</v>
      </c>
      <c r="E10149" s="21" t="s">
        <v>71</v>
      </c>
      <c r="F10149">
        <v>8751412</v>
      </c>
      <c r="G10149" t="s">
        <v>3615</v>
      </c>
      <c r="H10149" s="21">
        <v>989.67</v>
      </c>
    </row>
    <row r="10150" spans="1:8" customFormat="1" x14ac:dyDescent="0.25">
      <c r="A10150" t="str">
        <f>"57260"</f>
        <v>57260</v>
      </c>
      <c r="B10150" t="s">
        <v>4545</v>
      </c>
      <c r="C10150" t="s">
        <v>114</v>
      </c>
      <c r="D10150" s="21" t="s">
        <v>34</v>
      </c>
      <c r="E10150" s="21" t="s">
        <v>254</v>
      </c>
      <c r="F10150">
        <v>6570018</v>
      </c>
      <c r="G10150" t="s">
        <v>4546</v>
      </c>
      <c r="H10150" s="21">
        <v>989.67</v>
      </c>
    </row>
    <row r="10151" spans="1:8" customFormat="1" x14ac:dyDescent="0.25">
      <c r="A10151" t="str">
        <f>"395381"</f>
        <v>395381</v>
      </c>
      <c r="B10151" t="s">
        <v>6312</v>
      </c>
      <c r="C10151" t="s">
        <v>87</v>
      </c>
      <c r="D10151" s="21" t="s">
        <v>34</v>
      </c>
      <c r="E10151" s="21" t="s">
        <v>35</v>
      </c>
      <c r="F10151">
        <v>2390082</v>
      </c>
      <c r="G10151" t="s">
        <v>3343</v>
      </c>
      <c r="H10151" s="21">
        <v>989.67</v>
      </c>
    </row>
    <row r="10152" spans="1:8" customFormat="1" x14ac:dyDescent="0.25">
      <c r="A10152" t="str">
        <f>"5314815"</f>
        <v>5314815</v>
      </c>
      <c r="B10152" t="s">
        <v>6024</v>
      </c>
      <c r="C10152" t="s">
        <v>33</v>
      </c>
      <c r="D10152" s="21" t="s">
        <v>34</v>
      </c>
      <c r="E10152" s="21" t="s">
        <v>71</v>
      </c>
      <c r="F10152">
        <v>12530093</v>
      </c>
      <c r="G10152" t="s">
        <v>7865</v>
      </c>
      <c r="H10152" s="21">
        <v>989.67</v>
      </c>
    </row>
    <row r="10153" spans="1:8" customFormat="1" x14ac:dyDescent="0.25">
      <c r="A10153" t="str">
        <f>"72799"</f>
        <v>72799</v>
      </c>
      <c r="B10153" t="s">
        <v>27144</v>
      </c>
      <c r="C10153" t="s">
        <v>2907</v>
      </c>
      <c r="D10153" s="21" t="s">
        <v>34</v>
      </c>
      <c r="E10153" s="21" t="s">
        <v>254</v>
      </c>
      <c r="F10153">
        <v>12720020</v>
      </c>
      <c r="G10153" t="s">
        <v>8402</v>
      </c>
      <c r="H10153" s="21">
        <v>989.67</v>
      </c>
    </row>
    <row r="10154" spans="1:8" customFormat="1" x14ac:dyDescent="0.25">
      <c r="A10154" t="str">
        <f>"8516428"</f>
        <v>8516428</v>
      </c>
      <c r="B10154" t="s">
        <v>9594</v>
      </c>
      <c r="C10154" t="s">
        <v>415</v>
      </c>
      <c r="D10154" s="21" t="s">
        <v>34</v>
      </c>
      <c r="E10154" s="21" t="s">
        <v>35</v>
      </c>
      <c r="F10154">
        <v>12850060</v>
      </c>
      <c r="G10154" t="s">
        <v>2783</v>
      </c>
      <c r="H10154" s="21">
        <v>989.67</v>
      </c>
    </row>
    <row r="10155" spans="1:8" customFormat="1" x14ac:dyDescent="0.25">
      <c r="A10155" t="str">
        <f>"061605"</f>
        <v>061605</v>
      </c>
      <c r="B10155" t="s">
        <v>15014</v>
      </c>
      <c r="C10155" t="s">
        <v>1196</v>
      </c>
      <c r="D10155" s="21" t="s">
        <v>34</v>
      </c>
      <c r="E10155" s="21" t="s">
        <v>35</v>
      </c>
      <c r="F10155">
        <v>13060052</v>
      </c>
      <c r="G10155" t="s">
        <v>6759</v>
      </c>
      <c r="H10155" s="21">
        <v>989.67</v>
      </c>
    </row>
    <row r="10156" spans="1:8" customFormat="1" x14ac:dyDescent="0.25">
      <c r="A10156" t="str">
        <f>"5710087"</f>
        <v>5710087</v>
      </c>
      <c r="B10156" t="s">
        <v>97</v>
      </c>
      <c r="C10156" t="s">
        <v>1146</v>
      </c>
      <c r="D10156" s="21" t="s">
        <v>34</v>
      </c>
      <c r="E10156" s="21" t="s">
        <v>254</v>
      </c>
      <c r="F10156">
        <v>6570027</v>
      </c>
      <c r="G10156" t="s">
        <v>395</v>
      </c>
      <c r="H10156" s="21">
        <v>989.67</v>
      </c>
    </row>
    <row r="10157" spans="1:8" customFormat="1" x14ac:dyDescent="0.25">
      <c r="A10157" t="str">
        <f>"139993"</f>
        <v>139993</v>
      </c>
      <c r="B10157" t="s">
        <v>17650</v>
      </c>
      <c r="C10157" t="s">
        <v>60</v>
      </c>
      <c r="D10157" s="21" t="s">
        <v>34</v>
      </c>
      <c r="E10157" s="21" t="s">
        <v>35</v>
      </c>
      <c r="F10157">
        <v>13840058</v>
      </c>
      <c r="G10157" t="s">
        <v>7032</v>
      </c>
      <c r="H10157" s="21">
        <v>989.5</v>
      </c>
    </row>
    <row r="10158" spans="1:8" customFormat="1" x14ac:dyDescent="0.25">
      <c r="A10158" t="str">
        <f>"331402"</f>
        <v>331402</v>
      </c>
      <c r="B10158" t="s">
        <v>9067</v>
      </c>
      <c r="C10158" t="s">
        <v>236</v>
      </c>
      <c r="D10158" s="21" t="s">
        <v>34</v>
      </c>
      <c r="E10158" s="21" t="s">
        <v>1089</v>
      </c>
      <c r="F10158">
        <v>10330117</v>
      </c>
      <c r="G10158" t="s">
        <v>1942</v>
      </c>
      <c r="H10158" s="21">
        <v>989.42</v>
      </c>
    </row>
    <row r="10159" spans="1:8" customFormat="1" x14ac:dyDescent="0.25">
      <c r="A10159" t="str">
        <f>"9231459"</f>
        <v>9231459</v>
      </c>
      <c r="B10159" t="s">
        <v>623</v>
      </c>
      <c r="C10159" t="s">
        <v>109</v>
      </c>
      <c r="D10159" s="21" t="s">
        <v>34</v>
      </c>
      <c r="E10159" s="21" t="s">
        <v>35</v>
      </c>
      <c r="F10159">
        <v>8920063</v>
      </c>
      <c r="G10159" t="s">
        <v>219</v>
      </c>
      <c r="H10159" s="21">
        <v>989.29</v>
      </c>
    </row>
    <row r="10160" spans="1:8" customFormat="1" x14ac:dyDescent="0.25">
      <c r="A10160" t="str">
        <f>"286883"</f>
        <v>286883</v>
      </c>
      <c r="B10160" t="s">
        <v>10147</v>
      </c>
      <c r="C10160" t="s">
        <v>1914</v>
      </c>
      <c r="D10160" s="21" t="s">
        <v>34</v>
      </c>
      <c r="E10160" s="21" t="s">
        <v>254</v>
      </c>
      <c r="F10160">
        <v>4280617</v>
      </c>
      <c r="G10160" t="s">
        <v>8540</v>
      </c>
      <c r="H10160" s="21">
        <v>989.17</v>
      </c>
    </row>
    <row r="10161" spans="1:8" customFormat="1" x14ac:dyDescent="0.25">
      <c r="A10161" t="str">
        <f>"611029"</f>
        <v>611029</v>
      </c>
      <c r="B10161" t="s">
        <v>10509</v>
      </c>
      <c r="C10161" t="s">
        <v>7687</v>
      </c>
      <c r="D10161" s="21" t="s">
        <v>34</v>
      </c>
      <c r="E10161" s="21" t="s">
        <v>71</v>
      </c>
      <c r="F10161">
        <v>9610101</v>
      </c>
      <c r="G10161" t="s">
        <v>3969</v>
      </c>
      <c r="H10161" s="21">
        <v>989.17</v>
      </c>
    </row>
    <row r="10162" spans="1:8" customFormat="1" x14ac:dyDescent="0.25">
      <c r="A10162" t="str">
        <f>"566750"</f>
        <v>566750</v>
      </c>
      <c r="B10162" t="s">
        <v>2954</v>
      </c>
      <c r="C10162" t="s">
        <v>412</v>
      </c>
      <c r="D10162" s="21" t="s">
        <v>34</v>
      </c>
      <c r="E10162" s="21" t="s">
        <v>1089</v>
      </c>
      <c r="F10162">
        <v>3560002</v>
      </c>
      <c r="G10162" t="s">
        <v>5437</v>
      </c>
      <c r="H10162" s="21">
        <v>989.17</v>
      </c>
    </row>
    <row r="10163" spans="1:8" customFormat="1" x14ac:dyDescent="0.25">
      <c r="A10163" t="str">
        <f>"394207"</f>
        <v>394207</v>
      </c>
      <c r="B10163" t="s">
        <v>10530</v>
      </c>
      <c r="C10163" t="s">
        <v>2520</v>
      </c>
      <c r="D10163" s="21" t="s">
        <v>34</v>
      </c>
      <c r="E10163" s="21" t="s">
        <v>254</v>
      </c>
      <c r="F10163">
        <v>2390091</v>
      </c>
      <c r="G10163" t="s">
        <v>7093</v>
      </c>
      <c r="H10163" s="21">
        <v>989.17</v>
      </c>
    </row>
    <row r="10164" spans="1:8" customFormat="1" x14ac:dyDescent="0.25">
      <c r="A10164" t="str">
        <f>"6916881"</f>
        <v>6916881</v>
      </c>
      <c r="B10164" t="s">
        <v>9534</v>
      </c>
      <c r="C10164" t="s">
        <v>65</v>
      </c>
      <c r="D10164" s="21" t="s">
        <v>34</v>
      </c>
      <c r="E10164" s="21" t="s">
        <v>35</v>
      </c>
      <c r="F10164">
        <v>1690207</v>
      </c>
      <c r="G10164" t="s">
        <v>4232</v>
      </c>
      <c r="H10164" s="21">
        <v>989.17</v>
      </c>
    </row>
    <row r="10165" spans="1:8" customFormat="1" x14ac:dyDescent="0.25">
      <c r="A10165" t="str">
        <f>"807625"</f>
        <v>807625</v>
      </c>
      <c r="B10165" t="s">
        <v>7111</v>
      </c>
      <c r="C10165" t="s">
        <v>269</v>
      </c>
      <c r="D10165" s="21" t="s">
        <v>34</v>
      </c>
      <c r="E10165" s="21" t="s">
        <v>71</v>
      </c>
      <c r="F10165">
        <v>7800061</v>
      </c>
      <c r="G10165" t="s">
        <v>1330</v>
      </c>
      <c r="H10165" s="21">
        <v>989.17</v>
      </c>
    </row>
    <row r="10166" spans="1:8" customFormat="1" x14ac:dyDescent="0.25">
      <c r="A10166" t="str">
        <f>"3323757"</f>
        <v>3323757</v>
      </c>
      <c r="B10166" t="s">
        <v>10695</v>
      </c>
      <c r="C10166" t="s">
        <v>40</v>
      </c>
      <c r="D10166" s="21" t="s">
        <v>34</v>
      </c>
      <c r="E10166" s="21" t="s">
        <v>71</v>
      </c>
      <c r="F10166">
        <v>10330121</v>
      </c>
      <c r="G10166" t="s">
        <v>5145</v>
      </c>
      <c r="H10166" s="21">
        <v>989.17</v>
      </c>
    </row>
    <row r="10167" spans="1:8" customFormat="1" x14ac:dyDescent="0.25">
      <c r="A10167" t="str">
        <f>"5410718"</f>
        <v>5410718</v>
      </c>
      <c r="B10167" t="s">
        <v>9212</v>
      </c>
      <c r="C10167" t="s">
        <v>121</v>
      </c>
      <c r="D10167" s="21" t="s">
        <v>34</v>
      </c>
      <c r="E10167" s="21" t="s">
        <v>71</v>
      </c>
      <c r="F10167">
        <v>6540032</v>
      </c>
      <c r="G10167" t="s">
        <v>63</v>
      </c>
      <c r="H10167" s="21">
        <v>989.17</v>
      </c>
    </row>
    <row r="10168" spans="1:8" customFormat="1" x14ac:dyDescent="0.25">
      <c r="A10168" t="str">
        <f>"4431948"</f>
        <v>4431948</v>
      </c>
      <c r="B10168" t="s">
        <v>9956</v>
      </c>
      <c r="C10168" t="s">
        <v>209</v>
      </c>
      <c r="D10168" s="21" t="s">
        <v>34</v>
      </c>
      <c r="E10168" s="21" t="s">
        <v>71</v>
      </c>
      <c r="F10168">
        <v>12440139</v>
      </c>
      <c r="G10168" t="s">
        <v>2655</v>
      </c>
      <c r="H10168" s="21">
        <v>989.17</v>
      </c>
    </row>
    <row r="10169" spans="1:8" customFormat="1" x14ac:dyDescent="0.25">
      <c r="A10169" t="str">
        <f>"9411207"</f>
        <v>9411207</v>
      </c>
      <c r="B10169" t="s">
        <v>1103</v>
      </c>
      <c r="C10169" t="s">
        <v>124</v>
      </c>
      <c r="D10169" s="21" t="s">
        <v>34</v>
      </c>
      <c r="E10169" s="21" t="s">
        <v>71</v>
      </c>
      <c r="F10169">
        <v>10330003</v>
      </c>
      <c r="G10169" t="s">
        <v>309</v>
      </c>
      <c r="H10169" s="21">
        <v>989.04</v>
      </c>
    </row>
    <row r="10170" spans="1:8" customFormat="1" x14ac:dyDescent="0.25">
      <c r="A10170" t="str">
        <f>"765343"</f>
        <v>765343</v>
      </c>
      <c r="B10170" t="s">
        <v>5949</v>
      </c>
      <c r="C10170" t="s">
        <v>415</v>
      </c>
      <c r="D10170" s="21" t="s">
        <v>34</v>
      </c>
      <c r="E10170" s="21" t="s">
        <v>71</v>
      </c>
      <c r="F10170">
        <v>9760218</v>
      </c>
      <c r="G10170" t="s">
        <v>26836</v>
      </c>
      <c r="H10170" s="21">
        <v>988.92</v>
      </c>
    </row>
    <row r="10171" spans="1:8" customFormat="1" x14ac:dyDescent="0.25">
      <c r="A10171" t="str">
        <f>"2924401"</f>
        <v>2924401</v>
      </c>
      <c r="B10171" t="s">
        <v>3729</v>
      </c>
      <c r="C10171" t="s">
        <v>139</v>
      </c>
      <c r="D10171" s="21" t="s">
        <v>34</v>
      </c>
      <c r="E10171" s="21" t="s">
        <v>35</v>
      </c>
      <c r="F10171">
        <v>3290009</v>
      </c>
      <c r="G10171" t="s">
        <v>4358</v>
      </c>
      <c r="H10171" s="21">
        <v>988.67</v>
      </c>
    </row>
    <row r="10172" spans="1:8" customFormat="1" x14ac:dyDescent="0.25">
      <c r="A10172" t="str">
        <f>"6314581"</f>
        <v>6314581</v>
      </c>
      <c r="B10172" t="s">
        <v>9942</v>
      </c>
      <c r="C10172" t="s">
        <v>204</v>
      </c>
      <c r="D10172" s="21" t="s">
        <v>34</v>
      </c>
      <c r="E10172" s="21" t="s">
        <v>35</v>
      </c>
      <c r="F10172">
        <v>1630317</v>
      </c>
      <c r="G10172" t="s">
        <v>7523</v>
      </c>
      <c r="H10172" s="21">
        <v>988.67</v>
      </c>
    </row>
    <row r="10173" spans="1:8" customFormat="1" x14ac:dyDescent="0.25">
      <c r="A10173" t="str">
        <f>"9112319"</f>
        <v>9112319</v>
      </c>
      <c r="B10173" t="s">
        <v>10461</v>
      </c>
      <c r="C10173" t="s">
        <v>3073</v>
      </c>
      <c r="D10173" s="21" t="s">
        <v>34</v>
      </c>
      <c r="E10173" s="21" t="s">
        <v>71</v>
      </c>
      <c r="F10173">
        <v>8910667</v>
      </c>
      <c r="G10173" t="s">
        <v>2361</v>
      </c>
      <c r="H10173" s="21">
        <v>988.67</v>
      </c>
    </row>
    <row r="10174" spans="1:8" customFormat="1" x14ac:dyDescent="0.25">
      <c r="A10174" t="str">
        <f>"4441294"</f>
        <v>4441294</v>
      </c>
      <c r="B10174" t="s">
        <v>8407</v>
      </c>
      <c r="C10174" t="s">
        <v>3456</v>
      </c>
      <c r="D10174" s="21" t="s">
        <v>34</v>
      </c>
      <c r="E10174" s="21" t="s">
        <v>35</v>
      </c>
      <c r="F10174">
        <v>12440004</v>
      </c>
      <c r="G10174" t="s">
        <v>26530</v>
      </c>
      <c r="H10174" s="21">
        <v>988.67</v>
      </c>
    </row>
    <row r="10175" spans="1:8" customFormat="1" x14ac:dyDescent="0.25">
      <c r="A10175" t="str">
        <f>"941567"</f>
        <v>941567</v>
      </c>
      <c r="B10175" t="s">
        <v>5638</v>
      </c>
      <c r="C10175" t="s">
        <v>156</v>
      </c>
      <c r="D10175" s="21" t="s">
        <v>34</v>
      </c>
      <c r="E10175" s="21" t="s">
        <v>71</v>
      </c>
      <c r="F10175">
        <v>8941100</v>
      </c>
      <c r="G10175" t="s">
        <v>4974</v>
      </c>
      <c r="H10175" s="21">
        <v>988.67</v>
      </c>
    </row>
    <row r="10176" spans="1:8" customFormat="1" x14ac:dyDescent="0.25">
      <c r="A10176" t="str">
        <f>"4920089"</f>
        <v>4920089</v>
      </c>
      <c r="B10176" t="s">
        <v>6656</v>
      </c>
      <c r="C10176" t="s">
        <v>263</v>
      </c>
      <c r="D10176" s="21" t="s">
        <v>34</v>
      </c>
      <c r="E10176" s="21" t="s">
        <v>71</v>
      </c>
      <c r="F10176">
        <v>12850097</v>
      </c>
      <c r="G10176" t="s">
        <v>4111</v>
      </c>
      <c r="H10176" s="21">
        <v>988.67</v>
      </c>
    </row>
    <row r="10177" spans="1:8" customFormat="1" x14ac:dyDescent="0.25">
      <c r="A10177" t="str">
        <f>"5977953"</f>
        <v>5977953</v>
      </c>
      <c r="B10177" t="s">
        <v>14789</v>
      </c>
      <c r="C10177" t="s">
        <v>611</v>
      </c>
      <c r="D10177" s="21" t="s">
        <v>34</v>
      </c>
      <c r="E10177" s="21" t="s">
        <v>35</v>
      </c>
      <c r="F10177">
        <v>7590259</v>
      </c>
      <c r="G10177" t="s">
        <v>6385</v>
      </c>
      <c r="H10177" s="21">
        <v>988.67</v>
      </c>
    </row>
    <row r="10178" spans="1:8" customFormat="1" x14ac:dyDescent="0.25">
      <c r="A10178" t="str">
        <f>"4412977"</f>
        <v>4412977</v>
      </c>
      <c r="B10178" t="s">
        <v>2199</v>
      </c>
      <c r="C10178" t="s">
        <v>40</v>
      </c>
      <c r="D10178" s="21" t="s">
        <v>34</v>
      </c>
      <c r="E10178" s="21" t="s">
        <v>254</v>
      </c>
      <c r="F10178">
        <v>12440056</v>
      </c>
      <c r="G10178" t="s">
        <v>2037</v>
      </c>
      <c r="H10178" s="21">
        <v>988.67</v>
      </c>
    </row>
    <row r="10179" spans="1:8" customFormat="1" x14ac:dyDescent="0.25">
      <c r="A10179" t="str">
        <f>"1421575"</f>
        <v>1421575</v>
      </c>
      <c r="B10179" t="s">
        <v>3582</v>
      </c>
      <c r="C10179" t="s">
        <v>174</v>
      </c>
      <c r="D10179" s="21" t="s">
        <v>34</v>
      </c>
      <c r="E10179" s="21" t="s">
        <v>35</v>
      </c>
      <c r="F10179">
        <v>9140174</v>
      </c>
      <c r="G10179" t="s">
        <v>26738</v>
      </c>
      <c r="H10179" s="21">
        <v>988.67</v>
      </c>
    </row>
    <row r="10180" spans="1:8" customFormat="1" x14ac:dyDescent="0.25">
      <c r="A10180" t="str">
        <f>"4923410"</f>
        <v>4923410</v>
      </c>
      <c r="B10180" t="s">
        <v>8955</v>
      </c>
      <c r="C10180" t="s">
        <v>82</v>
      </c>
      <c r="D10180" s="21" t="s">
        <v>34</v>
      </c>
      <c r="E10180" s="21" t="s">
        <v>35</v>
      </c>
      <c r="F10180">
        <v>12490027</v>
      </c>
      <c r="G10180" t="s">
        <v>766</v>
      </c>
      <c r="H10180" s="21">
        <v>988.55</v>
      </c>
    </row>
    <row r="10181" spans="1:8" customFormat="1" x14ac:dyDescent="0.25">
      <c r="A10181" t="str">
        <f>"171303"</f>
        <v>171303</v>
      </c>
      <c r="B10181" t="s">
        <v>9947</v>
      </c>
      <c r="C10181" t="s">
        <v>381</v>
      </c>
      <c r="D10181" s="21" t="s">
        <v>34</v>
      </c>
      <c r="E10181" s="21" t="s">
        <v>254</v>
      </c>
      <c r="F10181">
        <v>10170026</v>
      </c>
      <c r="G10181" t="s">
        <v>4850</v>
      </c>
      <c r="H10181" s="21">
        <v>988.42</v>
      </c>
    </row>
    <row r="10182" spans="1:8" customFormat="1" x14ac:dyDescent="0.25">
      <c r="A10182" t="str">
        <f>"884918"</f>
        <v>884918</v>
      </c>
      <c r="B10182" t="s">
        <v>9933</v>
      </c>
      <c r="C10182" t="s">
        <v>5861</v>
      </c>
      <c r="D10182" s="21" t="s">
        <v>34</v>
      </c>
      <c r="E10182" s="21" t="s">
        <v>254</v>
      </c>
      <c r="F10182">
        <v>6880002</v>
      </c>
      <c r="G10182" t="s">
        <v>501</v>
      </c>
      <c r="H10182" s="21">
        <v>988.42</v>
      </c>
    </row>
    <row r="10183" spans="1:8" customFormat="1" x14ac:dyDescent="0.25">
      <c r="A10183" t="str">
        <f>"6939760"</f>
        <v>6939760</v>
      </c>
      <c r="B10183" t="s">
        <v>2673</v>
      </c>
      <c r="C10183" t="s">
        <v>174</v>
      </c>
      <c r="D10183" s="21" t="s">
        <v>34</v>
      </c>
      <c r="E10183" s="21" t="s">
        <v>35</v>
      </c>
      <c r="F10183">
        <v>1690197</v>
      </c>
      <c r="G10183" t="s">
        <v>26849</v>
      </c>
      <c r="H10183" s="21">
        <v>988.42</v>
      </c>
    </row>
    <row r="10184" spans="1:8" customFormat="1" x14ac:dyDescent="0.25">
      <c r="A10184" t="str">
        <f>"9533882"</f>
        <v>9533882</v>
      </c>
      <c r="B10184" t="s">
        <v>12740</v>
      </c>
      <c r="C10184" t="s">
        <v>169</v>
      </c>
      <c r="D10184" s="21" t="s">
        <v>34</v>
      </c>
      <c r="E10184" s="21" t="s">
        <v>71</v>
      </c>
      <c r="F10184">
        <v>8950330</v>
      </c>
      <c r="G10184" t="s">
        <v>794</v>
      </c>
      <c r="H10184" s="21">
        <v>988.42</v>
      </c>
    </row>
    <row r="10185" spans="1:8" customFormat="1" x14ac:dyDescent="0.25">
      <c r="A10185" t="str">
        <f>"453851"</f>
        <v>453851</v>
      </c>
      <c r="B10185" t="s">
        <v>10424</v>
      </c>
      <c r="C10185" t="s">
        <v>275</v>
      </c>
      <c r="D10185" s="21" t="s">
        <v>34</v>
      </c>
      <c r="E10185" s="21" t="s">
        <v>35</v>
      </c>
      <c r="F10185">
        <v>4450209</v>
      </c>
      <c r="G10185" t="s">
        <v>10425</v>
      </c>
      <c r="H10185" s="21">
        <v>988.42</v>
      </c>
    </row>
    <row r="10186" spans="1:8" customFormat="1" x14ac:dyDescent="0.25">
      <c r="A10186" t="str">
        <f>"591280"</f>
        <v>591280</v>
      </c>
      <c r="B10186" t="s">
        <v>8362</v>
      </c>
      <c r="C10186" t="s">
        <v>239</v>
      </c>
      <c r="D10186" s="21" t="s">
        <v>34</v>
      </c>
      <c r="E10186" s="21" t="s">
        <v>1089</v>
      </c>
      <c r="F10186">
        <v>7590392</v>
      </c>
      <c r="G10186" t="s">
        <v>154</v>
      </c>
      <c r="H10186" s="21">
        <v>988.42</v>
      </c>
    </row>
    <row r="10187" spans="1:8" customFormat="1" x14ac:dyDescent="0.25">
      <c r="A10187" t="str">
        <f>"697636"</f>
        <v>697636</v>
      </c>
      <c r="B10187" t="s">
        <v>11987</v>
      </c>
      <c r="C10187" t="s">
        <v>233</v>
      </c>
      <c r="D10187" s="21" t="s">
        <v>34</v>
      </c>
      <c r="E10187" s="21" t="s">
        <v>35</v>
      </c>
      <c r="F10187">
        <v>1690221</v>
      </c>
      <c r="G10187" t="s">
        <v>303</v>
      </c>
      <c r="H10187" s="21">
        <v>988.42</v>
      </c>
    </row>
    <row r="10188" spans="1:8" customFormat="1" x14ac:dyDescent="0.25">
      <c r="A10188" t="str">
        <f>"6937237"</f>
        <v>6937237</v>
      </c>
      <c r="B10188" t="s">
        <v>27145</v>
      </c>
      <c r="C10188" t="s">
        <v>1675</v>
      </c>
      <c r="D10188" s="21" t="s">
        <v>34</v>
      </c>
      <c r="E10188" s="21" t="s">
        <v>35</v>
      </c>
      <c r="F10188">
        <v>1690002</v>
      </c>
      <c r="G10188" t="s">
        <v>5604</v>
      </c>
      <c r="H10188" s="21">
        <v>988.17</v>
      </c>
    </row>
    <row r="10189" spans="1:8" customFormat="1" x14ac:dyDescent="0.25">
      <c r="A10189" t="str">
        <f>"3727724"</f>
        <v>3727724</v>
      </c>
      <c r="B10189" t="s">
        <v>12459</v>
      </c>
      <c r="C10189" t="s">
        <v>263</v>
      </c>
      <c r="D10189" s="21" t="s">
        <v>34</v>
      </c>
      <c r="E10189" s="21" t="s">
        <v>254</v>
      </c>
      <c r="F10189">
        <v>4370132</v>
      </c>
      <c r="G10189" t="s">
        <v>2262</v>
      </c>
      <c r="H10189" s="21">
        <v>988.17</v>
      </c>
    </row>
    <row r="10190" spans="1:8" customFormat="1" x14ac:dyDescent="0.25">
      <c r="A10190" t="str">
        <f>"243041"</f>
        <v>243041</v>
      </c>
      <c r="B10190" t="s">
        <v>27146</v>
      </c>
      <c r="C10190" t="s">
        <v>498</v>
      </c>
      <c r="D10190" s="21" t="s">
        <v>34</v>
      </c>
      <c r="E10190" s="21" t="s">
        <v>254</v>
      </c>
      <c r="F10190">
        <v>10240030</v>
      </c>
      <c r="G10190" t="s">
        <v>8997</v>
      </c>
      <c r="H10190" s="21">
        <v>988.17</v>
      </c>
    </row>
    <row r="10191" spans="1:8" customFormat="1" x14ac:dyDescent="0.25">
      <c r="A10191" t="str">
        <f>"91145"</f>
        <v>91145</v>
      </c>
      <c r="B10191" t="s">
        <v>4095</v>
      </c>
      <c r="C10191" t="s">
        <v>453</v>
      </c>
      <c r="D10191" s="21" t="s">
        <v>34</v>
      </c>
      <c r="E10191" s="21" t="s">
        <v>1089</v>
      </c>
      <c r="F10191">
        <v>8910077</v>
      </c>
      <c r="G10191" t="s">
        <v>1380</v>
      </c>
      <c r="H10191" s="21">
        <v>988.17</v>
      </c>
    </row>
    <row r="10192" spans="1:8" customFormat="1" x14ac:dyDescent="0.25">
      <c r="A10192" t="str">
        <f>"491303"</f>
        <v>491303</v>
      </c>
      <c r="B10192" t="s">
        <v>6463</v>
      </c>
      <c r="C10192" t="s">
        <v>269</v>
      </c>
      <c r="D10192" s="21" t="s">
        <v>34</v>
      </c>
      <c r="E10192" s="21" t="s">
        <v>71</v>
      </c>
      <c r="F10192">
        <v>12490061</v>
      </c>
      <c r="G10192" t="s">
        <v>969</v>
      </c>
      <c r="H10192" s="21">
        <v>988.17</v>
      </c>
    </row>
    <row r="10193" spans="1:8" customFormat="1" x14ac:dyDescent="0.25">
      <c r="A10193" t="str">
        <f>"5916569"</f>
        <v>5916569</v>
      </c>
      <c r="B10193" t="s">
        <v>10055</v>
      </c>
      <c r="C10193" t="s">
        <v>109</v>
      </c>
      <c r="D10193" s="21" t="s">
        <v>34</v>
      </c>
      <c r="E10193" s="21" t="s">
        <v>35</v>
      </c>
      <c r="F10193">
        <v>7590414</v>
      </c>
      <c r="G10193" t="s">
        <v>10056</v>
      </c>
      <c r="H10193" s="21">
        <v>988.17</v>
      </c>
    </row>
    <row r="10194" spans="1:8" customFormat="1" x14ac:dyDescent="0.25">
      <c r="A10194" t="str">
        <f>"781529"</f>
        <v>781529</v>
      </c>
      <c r="B10194" t="s">
        <v>9940</v>
      </c>
      <c r="C10194" t="s">
        <v>9941</v>
      </c>
      <c r="D10194" s="21" t="s">
        <v>34</v>
      </c>
      <c r="E10194" s="21" t="s">
        <v>71</v>
      </c>
      <c r="F10194">
        <v>8780529</v>
      </c>
      <c r="G10194" t="s">
        <v>8624</v>
      </c>
      <c r="H10194" s="21">
        <v>988.17</v>
      </c>
    </row>
    <row r="10195" spans="1:8" customFormat="1" x14ac:dyDescent="0.25">
      <c r="A10195" t="str">
        <f>"4934218"</f>
        <v>4934218</v>
      </c>
      <c r="B10195" t="s">
        <v>2938</v>
      </c>
      <c r="C10195" t="s">
        <v>82</v>
      </c>
      <c r="D10195" s="21" t="s">
        <v>34</v>
      </c>
      <c r="E10195" s="21" t="s">
        <v>35</v>
      </c>
      <c r="F10195">
        <v>12490032</v>
      </c>
      <c r="G10195" t="s">
        <v>6233</v>
      </c>
      <c r="H10195" s="21">
        <v>988.04</v>
      </c>
    </row>
    <row r="10196" spans="1:8" customFormat="1" x14ac:dyDescent="0.25">
      <c r="A10196" t="str">
        <f>"3527890"</f>
        <v>3527890</v>
      </c>
      <c r="B10196" t="s">
        <v>1840</v>
      </c>
      <c r="C10196" t="s">
        <v>58</v>
      </c>
      <c r="D10196" s="21" t="s">
        <v>34</v>
      </c>
      <c r="E10196" s="21" t="s">
        <v>71</v>
      </c>
      <c r="F10196">
        <v>3350092</v>
      </c>
      <c r="G10196" t="s">
        <v>26881</v>
      </c>
      <c r="H10196" s="21">
        <v>988</v>
      </c>
    </row>
    <row r="10197" spans="1:8" customFormat="1" x14ac:dyDescent="0.25">
      <c r="A10197" t="str">
        <f>"7827922"</f>
        <v>7827922</v>
      </c>
      <c r="B10197" t="s">
        <v>12216</v>
      </c>
      <c r="C10197" t="s">
        <v>269</v>
      </c>
      <c r="D10197" s="21" t="s">
        <v>34</v>
      </c>
      <c r="E10197" s="21" t="s">
        <v>71</v>
      </c>
      <c r="F10197">
        <v>8781006</v>
      </c>
      <c r="G10197" t="s">
        <v>5376</v>
      </c>
      <c r="H10197" s="21">
        <v>987.92</v>
      </c>
    </row>
    <row r="10198" spans="1:8" customFormat="1" x14ac:dyDescent="0.25">
      <c r="A10198" t="str">
        <f>"3720111"</f>
        <v>3720111</v>
      </c>
      <c r="B10198" t="s">
        <v>10528</v>
      </c>
      <c r="C10198" t="s">
        <v>388</v>
      </c>
      <c r="D10198" s="21" t="s">
        <v>34</v>
      </c>
      <c r="E10198" s="21" t="s">
        <v>35</v>
      </c>
      <c r="F10198">
        <v>4370307</v>
      </c>
      <c r="G10198" t="s">
        <v>7652</v>
      </c>
      <c r="H10198" s="21">
        <v>987.92</v>
      </c>
    </row>
    <row r="10199" spans="1:8" customFormat="1" x14ac:dyDescent="0.25">
      <c r="A10199" t="str">
        <f>"7849363"</f>
        <v>7849363</v>
      </c>
      <c r="B10199" t="s">
        <v>8326</v>
      </c>
      <c r="C10199" t="s">
        <v>469</v>
      </c>
      <c r="D10199" s="21" t="s">
        <v>34</v>
      </c>
      <c r="E10199" s="21" t="s">
        <v>71</v>
      </c>
      <c r="F10199">
        <v>8780585</v>
      </c>
      <c r="G10199" t="s">
        <v>4630</v>
      </c>
      <c r="H10199" s="21">
        <v>987.8</v>
      </c>
    </row>
    <row r="10200" spans="1:8" customFormat="1" x14ac:dyDescent="0.25">
      <c r="A10200" t="str">
        <f>"196129"</f>
        <v>196129</v>
      </c>
      <c r="B10200" t="s">
        <v>9889</v>
      </c>
      <c r="C10200" t="s">
        <v>2305</v>
      </c>
      <c r="D10200" s="21" t="s">
        <v>34</v>
      </c>
      <c r="E10200" s="21" t="s">
        <v>254</v>
      </c>
      <c r="F10200">
        <v>10190147</v>
      </c>
      <c r="G10200" t="s">
        <v>7477</v>
      </c>
      <c r="H10200" s="21">
        <v>987.67</v>
      </c>
    </row>
    <row r="10201" spans="1:8" customFormat="1" x14ac:dyDescent="0.25">
      <c r="A10201" t="str">
        <f>"7514176"</f>
        <v>7514176</v>
      </c>
      <c r="B10201" t="s">
        <v>9998</v>
      </c>
      <c r="C10201" t="s">
        <v>147</v>
      </c>
      <c r="D10201" s="21" t="s">
        <v>34</v>
      </c>
      <c r="E10201" s="21" t="s">
        <v>35</v>
      </c>
      <c r="F10201">
        <v>8751061</v>
      </c>
      <c r="G10201" t="s">
        <v>26628</v>
      </c>
      <c r="H10201" s="21">
        <v>987.67</v>
      </c>
    </row>
    <row r="10202" spans="1:8" customFormat="1" x14ac:dyDescent="0.25">
      <c r="A10202" t="str">
        <f>"7629980"</f>
        <v>7629980</v>
      </c>
      <c r="B10202" t="s">
        <v>10575</v>
      </c>
      <c r="C10202" t="s">
        <v>288</v>
      </c>
      <c r="D10202" s="21" t="s">
        <v>34</v>
      </c>
      <c r="E10202" s="21" t="s">
        <v>35</v>
      </c>
      <c r="F10202">
        <v>9760297</v>
      </c>
      <c r="G10202" t="s">
        <v>27086</v>
      </c>
      <c r="H10202" s="21">
        <v>987.67</v>
      </c>
    </row>
    <row r="10203" spans="1:8" customFormat="1" x14ac:dyDescent="0.25">
      <c r="A10203" t="str">
        <f>"275767"</f>
        <v>275767</v>
      </c>
      <c r="B10203" t="s">
        <v>10077</v>
      </c>
      <c r="C10203" t="s">
        <v>2305</v>
      </c>
      <c r="D10203" s="21" t="s">
        <v>34</v>
      </c>
      <c r="E10203" s="21" t="s">
        <v>254</v>
      </c>
      <c r="F10203">
        <v>9270063</v>
      </c>
      <c r="G10203" t="s">
        <v>808</v>
      </c>
      <c r="H10203" s="21">
        <v>987.67</v>
      </c>
    </row>
    <row r="10204" spans="1:8" customFormat="1" x14ac:dyDescent="0.25">
      <c r="A10204" t="str">
        <f>"5321953"</f>
        <v>5321953</v>
      </c>
      <c r="B10204" t="s">
        <v>582</v>
      </c>
      <c r="C10204" t="s">
        <v>2208</v>
      </c>
      <c r="D10204" s="21" t="s">
        <v>34</v>
      </c>
      <c r="E10204" s="21" t="s">
        <v>35</v>
      </c>
      <c r="F10204">
        <v>12850138</v>
      </c>
      <c r="G10204" t="s">
        <v>6879</v>
      </c>
      <c r="H10204" s="21">
        <v>987.67</v>
      </c>
    </row>
    <row r="10205" spans="1:8" customFormat="1" x14ac:dyDescent="0.25">
      <c r="A10205" t="str">
        <f>"1413418"</f>
        <v>1413418</v>
      </c>
      <c r="B10205" t="s">
        <v>10145</v>
      </c>
      <c r="C10205" t="s">
        <v>198</v>
      </c>
      <c r="D10205" s="21" t="s">
        <v>34</v>
      </c>
      <c r="E10205" s="21" t="s">
        <v>71</v>
      </c>
      <c r="F10205">
        <v>9140179</v>
      </c>
      <c r="G10205" t="s">
        <v>10146</v>
      </c>
      <c r="H10205" s="21">
        <v>987.67</v>
      </c>
    </row>
    <row r="10206" spans="1:8" customFormat="1" x14ac:dyDescent="0.25">
      <c r="A10206" t="str">
        <f>"943931"</f>
        <v>943931</v>
      </c>
      <c r="B10206" t="s">
        <v>9251</v>
      </c>
      <c r="C10206" t="s">
        <v>2520</v>
      </c>
      <c r="D10206" s="21" t="s">
        <v>34</v>
      </c>
      <c r="E10206" s="21" t="s">
        <v>71</v>
      </c>
      <c r="F10206">
        <v>8780585</v>
      </c>
      <c r="G10206" t="s">
        <v>4630</v>
      </c>
      <c r="H10206" s="21">
        <v>987.67</v>
      </c>
    </row>
    <row r="10207" spans="1:8" customFormat="1" x14ac:dyDescent="0.25">
      <c r="A10207" t="str">
        <f>"10388"</f>
        <v>10388</v>
      </c>
      <c r="B10207" t="s">
        <v>9206</v>
      </c>
      <c r="C10207" t="s">
        <v>598</v>
      </c>
      <c r="D10207" s="21" t="s">
        <v>34</v>
      </c>
      <c r="E10207" s="21" t="s">
        <v>254</v>
      </c>
      <c r="F10207">
        <v>6100021</v>
      </c>
      <c r="G10207" t="s">
        <v>7789</v>
      </c>
      <c r="H10207" s="21">
        <v>987.67</v>
      </c>
    </row>
    <row r="10208" spans="1:8" customFormat="1" x14ac:dyDescent="0.25">
      <c r="A10208" t="str">
        <f>"6019810"</f>
        <v>6019810</v>
      </c>
      <c r="B10208" t="s">
        <v>9721</v>
      </c>
      <c r="C10208" t="s">
        <v>33</v>
      </c>
      <c r="D10208" s="21" t="s">
        <v>34</v>
      </c>
      <c r="E10208" s="21" t="s">
        <v>35</v>
      </c>
      <c r="F10208">
        <v>7600024</v>
      </c>
      <c r="G10208" t="s">
        <v>1234</v>
      </c>
      <c r="H10208" s="21">
        <v>987.67</v>
      </c>
    </row>
    <row r="10209" spans="1:8" customFormat="1" x14ac:dyDescent="0.25">
      <c r="A10209" t="str">
        <f>"012265"</f>
        <v>012265</v>
      </c>
      <c r="B10209" t="s">
        <v>9785</v>
      </c>
      <c r="C10209" t="s">
        <v>60</v>
      </c>
      <c r="D10209" s="21" t="s">
        <v>34</v>
      </c>
      <c r="E10209" s="21" t="s">
        <v>35</v>
      </c>
      <c r="F10209">
        <v>1010023</v>
      </c>
      <c r="G10209" t="s">
        <v>2174</v>
      </c>
      <c r="H10209" s="21">
        <v>987.55</v>
      </c>
    </row>
    <row r="10210" spans="1:8" customFormat="1" x14ac:dyDescent="0.25">
      <c r="A10210" t="str">
        <f>"45416"</f>
        <v>45416</v>
      </c>
      <c r="B10210" t="s">
        <v>8072</v>
      </c>
      <c r="C10210" t="s">
        <v>484</v>
      </c>
      <c r="D10210" s="21" t="s">
        <v>34</v>
      </c>
      <c r="E10210" s="21" t="s">
        <v>71</v>
      </c>
      <c r="F10210">
        <v>4450571</v>
      </c>
      <c r="G10210" t="s">
        <v>188</v>
      </c>
      <c r="H10210" s="21">
        <v>987.42</v>
      </c>
    </row>
    <row r="10211" spans="1:8" customFormat="1" x14ac:dyDescent="0.25">
      <c r="A10211" t="str">
        <f>"4439079"</f>
        <v>4439079</v>
      </c>
      <c r="B10211" t="s">
        <v>9725</v>
      </c>
      <c r="C10211" t="s">
        <v>124</v>
      </c>
      <c r="D10211" s="21" t="s">
        <v>34</v>
      </c>
      <c r="E10211" s="21" t="s">
        <v>71</v>
      </c>
      <c r="F10211">
        <v>12440058</v>
      </c>
      <c r="G10211" t="s">
        <v>394</v>
      </c>
      <c r="H10211" s="21">
        <v>987.42</v>
      </c>
    </row>
    <row r="10212" spans="1:8" customFormat="1" x14ac:dyDescent="0.25">
      <c r="A10212" t="str">
        <f>"7628362"</f>
        <v>7628362</v>
      </c>
      <c r="B10212" t="s">
        <v>9711</v>
      </c>
      <c r="C10212" t="s">
        <v>879</v>
      </c>
      <c r="D10212" s="21" t="s">
        <v>34</v>
      </c>
      <c r="E10212" s="21" t="s">
        <v>1089</v>
      </c>
      <c r="F10212">
        <v>9760007</v>
      </c>
      <c r="G10212" t="s">
        <v>7255</v>
      </c>
      <c r="H10212" s="21">
        <v>987.42</v>
      </c>
    </row>
    <row r="10213" spans="1:8" customFormat="1" x14ac:dyDescent="0.25">
      <c r="A10213" t="str">
        <f>"812898"</f>
        <v>812898</v>
      </c>
      <c r="B10213" t="s">
        <v>10284</v>
      </c>
      <c r="C10213" t="s">
        <v>249</v>
      </c>
      <c r="D10213" s="21" t="s">
        <v>34</v>
      </c>
      <c r="E10213" s="21" t="s">
        <v>35</v>
      </c>
      <c r="F10213">
        <v>11810001</v>
      </c>
      <c r="G10213" t="s">
        <v>26998</v>
      </c>
      <c r="H10213" s="21">
        <v>987.42</v>
      </c>
    </row>
    <row r="10214" spans="1:8" customFormat="1" x14ac:dyDescent="0.25">
      <c r="A10214" t="str">
        <f>"7855817"</f>
        <v>7855817</v>
      </c>
      <c r="B10214" t="s">
        <v>11006</v>
      </c>
      <c r="C10214" t="s">
        <v>11007</v>
      </c>
      <c r="D10214" s="21" t="s">
        <v>34</v>
      </c>
      <c r="E10214" s="21" t="s">
        <v>71</v>
      </c>
      <c r="F10214">
        <v>8780130</v>
      </c>
      <c r="G10214" t="s">
        <v>5752</v>
      </c>
      <c r="H10214" s="21">
        <v>987.29</v>
      </c>
    </row>
    <row r="10215" spans="1:8" customFormat="1" x14ac:dyDescent="0.25">
      <c r="A10215" t="str">
        <f>"4435507"</f>
        <v>4435507</v>
      </c>
      <c r="B10215" t="s">
        <v>9848</v>
      </c>
      <c r="C10215" t="s">
        <v>62</v>
      </c>
      <c r="D10215" s="21" t="s">
        <v>34</v>
      </c>
      <c r="E10215" s="21" t="s">
        <v>71</v>
      </c>
      <c r="F10215">
        <v>12440067</v>
      </c>
      <c r="G10215" t="s">
        <v>1723</v>
      </c>
      <c r="H10215" s="21">
        <v>987.17</v>
      </c>
    </row>
    <row r="10216" spans="1:8" customFormat="1" x14ac:dyDescent="0.25">
      <c r="A10216" t="str">
        <f>"105620"</f>
        <v>105620</v>
      </c>
      <c r="B10216" t="s">
        <v>9705</v>
      </c>
      <c r="C10216" t="s">
        <v>1110</v>
      </c>
      <c r="D10216" s="21" t="s">
        <v>34</v>
      </c>
      <c r="E10216" s="21" t="s">
        <v>71</v>
      </c>
      <c r="F10216">
        <v>6100007</v>
      </c>
      <c r="G10216" t="s">
        <v>9706</v>
      </c>
      <c r="H10216" s="21">
        <v>987.17</v>
      </c>
    </row>
    <row r="10217" spans="1:8" customFormat="1" x14ac:dyDescent="0.25">
      <c r="A10217" t="str">
        <f>"428612"</f>
        <v>428612</v>
      </c>
      <c r="B10217" t="s">
        <v>10037</v>
      </c>
      <c r="C10217" t="s">
        <v>1588</v>
      </c>
      <c r="D10217" s="21" t="s">
        <v>34</v>
      </c>
      <c r="E10217" s="21" t="s">
        <v>254</v>
      </c>
      <c r="F10217">
        <v>1420140</v>
      </c>
      <c r="G10217" t="s">
        <v>10038</v>
      </c>
      <c r="H10217" s="21">
        <v>987.17</v>
      </c>
    </row>
    <row r="10218" spans="1:8" customFormat="1" x14ac:dyDescent="0.25">
      <c r="A10218" t="str">
        <f>"509443"</f>
        <v>509443</v>
      </c>
      <c r="B10218" t="s">
        <v>9817</v>
      </c>
      <c r="C10218" t="s">
        <v>60</v>
      </c>
      <c r="D10218" s="21" t="s">
        <v>34</v>
      </c>
      <c r="E10218" s="21" t="s">
        <v>35</v>
      </c>
      <c r="F10218">
        <v>9500164</v>
      </c>
      <c r="G10218" t="s">
        <v>9818</v>
      </c>
      <c r="H10218" s="21">
        <v>987.17</v>
      </c>
    </row>
    <row r="10219" spans="1:8" customFormat="1" x14ac:dyDescent="0.25">
      <c r="A10219" t="str">
        <f>"614543"</f>
        <v>614543</v>
      </c>
      <c r="B10219" t="s">
        <v>9375</v>
      </c>
      <c r="C10219" t="s">
        <v>33</v>
      </c>
      <c r="D10219" s="21" t="s">
        <v>34</v>
      </c>
      <c r="E10219" s="21" t="s">
        <v>71</v>
      </c>
      <c r="F10219">
        <v>9610101</v>
      </c>
      <c r="G10219" t="s">
        <v>3969</v>
      </c>
      <c r="H10219" s="21">
        <v>987.17</v>
      </c>
    </row>
    <row r="10220" spans="1:8" customFormat="1" x14ac:dyDescent="0.25">
      <c r="A10220" t="str">
        <f>"2210838"</f>
        <v>2210838</v>
      </c>
      <c r="B10220" t="s">
        <v>11445</v>
      </c>
      <c r="C10220" t="s">
        <v>576</v>
      </c>
      <c r="D10220" s="21" t="s">
        <v>34</v>
      </c>
      <c r="E10220" s="21" t="s">
        <v>71</v>
      </c>
      <c r="F10220">
        <v>3220127</v>
      </c>
      <c r="G10220" t="s">
        <v>26652</v>
      </c>
      <c r="H10220" s="21">
        <v>987.17</v>
      </c>
    </row>
    <row r="10221" spans="1:8" customFormat="1" x14ac:dyDescent="0.25">
      <c r="A10221" t="str">
        <f>"9530020"</f>
        <v>9530020</v>
      </c>
      <c r="B10221" t="s">
        <v>2957</v>
      </c>
      <c r="C10221" t="s">
        <v>253</v>
      </c>
      <c r="D10221" s="21" t="s">
        <v>34</v>
      </c>
      <c r="E10221" s="21" t="s">
        <v>71</v>
      </c>
      <c r="F10221">
        <v>8951092</v>
      </c>
      <c r="G10221" t="s">
        <v>5801</v>
      </c>
      <c r="H10221" s="21">
        <v>987.17</v>
      </c>
    </row>
    <row r="10222" spans="1:8" customFormat="1" x14ac:dyDescent="0.25">
      <c r="A10222" t="str">
        <f>"026862"</f>
        <v>026862</v>
      </c>
      <c r="B10222" t="s">
        <v>3150</v>
      </c>
      <c r="C10222" t="s">
        <v>90</v>
      </c>
      <c r="D10222" s="21" t="s">
        <v>34</v>
      </c>
      <c r="E10222" s="21" t="s">
        <v>35</v>
      </c>
      <c r="F10222">
        <v>7020036</v>
      </c>
      <c r="G10222" t="s">
        <v>8431</v>
      </c>
      <c r="H10222" s="21">
        <v>987.17</v>
      </c>
    </row>
    <row r="10223" spans="1:8" customFormat="1" x14ac:dyDescent="0.25">
      <c r="A10223" t="str">
        <f>"891030"</f>
        <v>891030</v>
      </c>
      <c r="B10223" t="s">
        <v>10752</v>
      </c>
      <c r="C10223" t="s">
        <v>62</v>
      </c>
      <c r="D10223" s="21" t="s">
        <v>34</v>
      </c>
      <c r="E10223" s="21" t="s">
        <v>35</v>
      </c>
      <c r="F10223">
        <v>4450285</v>
      </c>
      <c r="G10223" t="s">
        <v>7118</v>
      </c>
      <c r="H10223" s="21">
        <v>987.17</v>
      </c>
    </row>
    <row r="10224" spans="1:8" customFormat="1" x14ac:dyDescent="0.25">
      <c r="A10224" t="str">
        <f>"34952"</f>
        <v>34952</v>
      </c>
      <c r="B10224" t="s">
        <v>7114</v>
      </c>
      <c r="C10224" t="s">
        <v>269</v>
      </c>
      <c r="D10224" s="21" t="s">
        <v>34</v>
      </c>
      <c r="E10224" s="21" t="s">
        <v>254</v>
      </c>
      <c r="F10224">
        <v>11340065</v>
      </c>
      <c r="G10224" t="s">
        <v>2022</v>
      </c>
      <c r="H10224" s="21">
        <v>987.17</v>
      </c>
    </row>
    <row r="10225" spans="1:8" customFormat="1" x14ac:dyDescent="0.25">
      <c r="A10225" t="str">
        <f>"7827243"</f>
        <v>7827243</v>
      </c>
      <c r="B10225" t="s">
        <v>8006</v>
      </c>
      <c r="C10225" t="s">
        <v>269</v>
      </c>
      <c r="D10225" s="21" t="s">
        <v>34</v>
      </c>
      <c r="E10225" s="21" t="s">
        <v>71</v>
      </c>
      <c r="F10225">
        <v>8781196</v>
      </c>
      <c r="G10225" t="s">
        <v>8007</v>
      </c>
      <c r="H10225" s="21">
        <v>987.17</v>
      </c>
    </row>
    <row r="10226" spans="1:8" customFormat="1" x14ac:dyDescent="0.25">
      <c r="A10226" t="str">
        <f>"6010767"</f>
        <v>6010767</v>
      </c>
      <c r="B10226" t="s">
        <v>6017</v>
      </c>
      <c r="C10226" t="s">
        <v>269</v>
      </c>
      <c r="D10226" s="21" t="s">
        <v>34</v>
      </c>
      <c r="E10226" s="21" t="s">
        <v>35</v>
      </c>
      <c r="F10226">
        <v>7600081</v>
      </c>
      <c r="G10226" t="s">
        <v>5845</v>
      </c>
      <c r="H10226" s="21">
        <v>987.17</v>
      </c>
    </row>
    <row r="10227" spans="1:8" customFormat="1" x14ac:dyDescent="0.25">
      <c r="A10227" t="str">
        <f>"9320233"</f>
        <v>9320233</v>
      </c>
      <c r="B10227" t="s">
        <v>11309</v>
      </c>
      <c r="C10227" t="s">
        <v>11310</v>
      </c>
      <c r="D10227" s="21" t="s">
        <v>34</v>
      </c>
      <c r="E10227" s="21" t="s">
        <v>35</v>
      </c>
      <c r="F10227">
        <v>8930185</v>
      </c>
      <c r="G10227" t="s">
        <v>3846</v>
      </c>
      <c r="H10227" s="21">
        <v>987.04</v>
      </c>
    </row>
    <row r="10228" spans="1:8" customFormat="1" x14ac:dyDescent="0.25">
      <c r="A10228" t="str">
        <f>"2712123"</f>
        <v>2712123</v>
      </c>
      <c r="B10228" t="s">
        <v>10354</v>
      </c>
      <c r="C10228" t="s">
        <v>236</v>
      </c>
      <c r="D10228" s="21" t="s">
        <v>34</v>
      </c>
      <c r="E10228" s="21" t="s">
        <v>1089</v>
      </c>
      <c r="F10228">
        <v>5980003</v>
      </c>
      <c r="G10228" t="s">
        <v>1746</v>
      </c>
      <c r="H10228" s="21">
        <v>987</v>
      </c>
    </row>
    <row r="10229" spans="1:8" customFormat="1" x14ac:dyDescent="0.25">
      <c r="A10229" t="str">
        <f>"7726764"</f>
        <v>7726764</v>
      </c>
      <c r="B10229" t="s">
        <v>10137</v>
      </c>
      <c r="C10229" t="s">
        <v>209</v>
      </c>
      <c r="D10229" s="21" t="s">
        <v>34</v>
      </c>
      <c r="E10229" s="21" t="s">
        <v>254</v>
      </c>
      <c r="F10229">
        <v>8771394</v>
      </c>
      <c r="G10229" t="s">
        <v>1933</v>
      </c>
      <c r="H10229" s="21">
        <v>986.67</v>
      </c>
    </row>
    <row r="10230" spans="1:8" customFormat="1" x14ac:dyDescent="0.25">
      <c r="A10230" t="str">
        <f>"25559"</f>
        <v>25559</v>
      </c>
      <c r="B10230" t="s">
        <v>10133</v>
      </c>
      <c r="C10230" t="s">
        <v>652</v>
      </c>
      <c r="D10230" s="21" t="s">
        <v>34</v>
      </c>
      <c r="E10230" s="21" t="s">
        <v>6185</v>
      </c>
      <c r="F10230">
        <v>2250021</v>
      </c>
      <c r="G10230" t="s">
        <v>2352</v>
      </c>
      <c r="H10230" s="21">
        <v>986.67</v>
      </c>
    </row>
    <row r="10231" spans="1:8" customFormat="1" x14ac:dyDescent="0.25">
      <c r="A10231" t="str">
        <f>"3531687"</f>
        <v>3531687</v>
      </c>
      <c r="B10231" t="s">
        <v>9969</v>
      </c>
      <c r="C10231" t="s">
        <v>428</v>
      </c>
      <c r="D10231" s="21" t="s">
        <v>34</v>
      </c>
      <c r="E10231" s="21" t="s">
        <v>71</v>
      </c>
      <c r="F10231">
        <v>3350035</v>
      </c>
      <c r="G10231" t="s">
        <v>9970</v>
      </c>
      <c r="H10231" s="21">
        <v>986.67</v>
      </c>
    </row>
    <row r="10232" spans="1:8" customFormat="1" x14ac:dyDescent="0.25">
      <c r="A10232" t="str">
        <f>"274430"</f>
        <v>274430</v>
      </c>
      <c r="B10232" t="s">
        <v>1533</v>
      </c>
      <c r="C10232" t="s">
        <v>127</v>
      </c>
      <c r="D10232" s="21" t="s">
        <v>34</v>
      </c>
      <c r="E10232" s="21" t="s">
        <v>35</v>
      </c>
      <c r="F10232">
        <v>9760025</v>
      </c>
      <c r="G10232" t="s">
        <v>2620</v>
      </c>
      <c r="H10232" s="21">
        <v>986.67</v>
      </c>
    </row>
    <row r="10233" spans="1:8" customFormat="1" x14ac:dyDescent="0.25">
      <c r="A10233" t="str">
        <f>"461215"</f>
        <v>461215</v>
      </c>
      <c r="B10233" t="s">
        <v>9347</v>
      </c>
      <c r="C10233" t="s">
        <v>90</v>
      </c>
      <c r="D10233" s="21" t="s">
        <v>34</v>
      </c>
      <c r="E10233" s="21" t="s">
        <v>35</v>
      </c>
      <c r="F10233">
        <v>11460023</v>
      </c>
      <c r="G10233" t="s">
        <v>5430</v>
      </c>
      <c r="H10233" s="21">
        <v>986.67</v>
      </c>
    </row>
    <row r="10234" spans="1:8" customFormat="1" x14ac:dyDescent="0.25">
      <c r="A10234" t="str">
        <f>"572523"</f>
        <v>572523</v>
      </c>
      <c r="B10234" t="s">
        <v>10149</v>
      </c>
      <c r="C10234" t="s">
        <v>119</v>
      </c>
      <c r="D10234" s="21" t="s">
        <v>34</v>
      </c>
      <c r="E10234" s="21" t="s">
        <v>35</v>
      </c>
      <c r="F10234">
        <v>6570029</v>
      </c>
      <c r="G10234" t="s">
        <v>2977</v>
      </c>
      <c r="H10234" s="21">
        <v>986.67</v>
      </c>
    </row>
    <row r="10235" spans="1:8" customFormat="1" x14ac:dyDescent="0.25">
      <c r="A10235" t="str">
        <f>"7824078"</f>
        <v>7824078</v>
      </c>
      <c r="B10235" t="s">
        <v>8125</v>
      </c>
      <c r="C10235" t="s">
        <v>65</v>
      </c>
      <c r="D10235" s="21" t="s">
        <v>34</v>
      </c>
      <c r="E10235" s="21" t="s">
        <v>35</v>
      </c>
      <c r="F10235">
        <v>1730077</v>
      </c>
      <c r="G10235" t="s">
        <v>1517</v>
      </c>
      <c r="H10235" s="21">
        <v>986.67</v>
      </c>
    </row>
    <row r="10236" spans="1:8" customFormat="1" x14ac:dyDescent="0.25">
      <c r="A10236" t="str">
        <f>"5313629"</f>
        <v>5313629</v>
      </c>
      <c r="B10236" t="s">
        <v>8944</v>
      </c>
      <c r="C10236" t="s">
        <v>249</v>
      </c>
      <c r="D10236" s="21" t="s">
        <v>34</v>
      </c>
      <c r="E10236" s="21" t="s">
        <v>71</v>
      </c>
      <c r="F10236">
        <v>12530087</v>
      </c>
      <c r="G10236" t="s">
        <v>3860</v>
      </c>
      <c r="H10236" s="21">
        <v>986.67</v>
      </c>
    </row>
    <row r="10237" spans="1:8" customFormat="1" x14ac:dyDescent="0.25">
      <c r="A10237" t="str">
        <f>"625887"</f>
        <v>625887</v>
      </c>
      <c r="B10237" t="s">
        <v>4335</v>
      </c>
      <c r="C10237" t="s">
        <v>43</v>
      </c>
      <c r="D10237" s="21" t="s">
        <v>34</v>
      </c>
      <c r="E10237" s="21" t="s">
        <v>35</v>
      </c>
      <c r="F10237">
        <v>7620029</v>
      </c>
      <c r="G10237" t="s">
        <v>7730</v>
      </c>
      <c r="H10237" s="21">
        <v>986.67</v>
      </c>
    </row>
    <row r="10238" spans="1:8" customFormat="1" x14ac:dyDescent="0.25">
      <c r="A10238" t="str">
        <f>"5715264"</f>
        <v>5715264</v>
      </c>
      <c r="B10238" t="s">
        <v>14508</v>
      </c>
      <c r="C10238" t="s">
        <v>1025</v>
      </c>
      <c r="D10238" s="21" t="s">
        <v>34</v>
      </c>
      <c r="E10238" s="21" t="s">
        <v>71</v>
      </c>
      <c r="F10238">
        <v>6570188</v>
      </c>
      <c r="G10238" t="s">
        <v>12145</v>
      </c>
      <c r="H10238" s="21">
        <v>986.67</v>
      </c>
    </row>
    <row r="10239" spans="1:8" customFormat="1" x14ac:dyDescent="0.25">
      <c r="A10239" t="str">
        <f>"507513"</f>
        <v>507513</v>
      </c>
      <c r="B10239" t="s">
        <v>9922</v>
      </c>
      <c r="C10239" t="s">
        <v>486</v>
      </c>
      <c r="D10239" s="21" t="s">
        <v>34</v>
      </c>
      <c r="E10239" s="21" t="s">
        <v>71</v>
      </c>
      <c r="F10239">
        <v>9500059</v>
      </c>
      <c r="G10239" t="s">
        <v>26714</v>
      </c>
      <c r="H10239" s="21">
        <v>986.67</v>
      </c>
    </row>
    <row r="10240" spans="1:8" customFormat="1" x14ac:dyDescent="0.25">
      <c r="A10240" t="str">
        <f>"42327"</f>
        <v>42327</v>
      </c>
      <c r="B10240" t="s">
        <v>9826</v>
      </c>
      <c r="C10240" t="s">
        <v>239</v>
      </c>
      <c r="D10240" s="21" t="s">
        <v>34</v>
      </c>
      <c r="E10240" s="21" t="s">
        <v>254</v>
      </c>
      <c r="F10240">
        <v>1420013</v>
      </c>
      <c r="G10240" t="s">
        <v>2013</v>
      </c>
      <c r="H10240" s="21">
        <v>986.67</v>
      </c>
    </row>
    <row r="10241" spans="1:8" customFormat="1" x14ac:dyDescent="0.25">
      <c r="A10241" t="str">
        <f>"6313609"</f>
        <v>6313609</v>
      </c>
      <c r="B10241" t="s">
        <v>10155</v>
      </c>
      <c r="C10241" t="s">
        <v>209</v>
      </c>
      <c r="D10241" s="21" t="s">
        <v>34</v>
      </c>
      <c r="E10241" s="21" t="s">
        <v>71</v>
      </c>
      <c r="F10241">
        <v>1630307</v>
      </c>
      <c r="G10241" t="s">
        <v>15524</v>
      </c>
      <c r="H10241" s="21">
        <v>986.67</v>
      </c>
    </row>
    <row r="10242" spans="1:8" customFormat="1" x14ac:dyDescent="0.25">
      <c r="A10242" t="str">
        <f>"8511038"</f>
        <v>8511038</v>
      </c>
      <c r="B10242" t="s">
        <v>3179</v>
      </c>
      <c r="C10242" t="s">
        <v>664</v>
      </c>
      <c r="D10242" s="21" t="s">
        <v>34</v>
      </c>
      <c r="E10242" s="21" t="s">
        <v>254</v>
      </c>
      <c r="F10242">
        <v>12850046</v>
      </c>
      <c r="G10242" t="s">
        <v>3136</v>
      </c>
      <c r="H10242" s="21">
        <v>986.43</v>
      </c>
    </row>
    <row r="10243" spans="1:8" customFormat="1" x14ac:dyDescent="0.25">
      <c r="A10243" t="str">
        <f>"7726685"</f>
        <v>7726685</v>
      </c>
      <c r="B10243" t="s">
        <v>1312</v>
      </c>
      <c r="C10243" t="s">
        <v>65</v>
      </c>
      <c r="D10243" s="21" t="s">
        <v>34</v>
      </c>
      <c r="E10243" s="21" t="s">
        <v>35</v>
      </c>
      <c r="F10243">
        <v>8770377</v>
      </c>
      <c r="G10243" t="s">
        <v>4862</v>
      </c>
      <c r="H10243" s="21">
        <v>986.3</v>
      </c>
    </row>
    <row r="10244" spans="1:8" customFormat="1" x14ac:dyDescent="0.25">
      <c r="A10244" t="str">
        <f>"4424022"</f>
        <v>4424022</v>
      </c>
      <c r="B10244" t="s">
        <v>1611</v>
      </c>
      <c r="C10244" t="s">
        <v>87</v>
      </c>
      <c r="D10244" s="21" t="s">
        <v>34</v>
      </c>
      <c r="E10244" s="21" t="s">
        <v>35</v>
      </c>
      <c r="F10244">
        <v>12440076</v>
      </c>
      <c r="G10244" t="s">
        <v>1750</v>
      </c>
      <c r="H10244" s="21">
        <v>986.3</v>
      </c>
    </row>
    <row r="10245" spans="1:8" customFormat="1" x14ac:dyDescent="0.25">
      <c r="A10245" t="str">
        <f>"9744905"</f>
        <v>9744905</v>
      </c>
      <c r="B10245" t="s">
        <v>8890</v>
      </c>
      <c r="C10245" t="s">
        <v>93</v>
      </c>
      <c r="D10245" s="21" t="s">
        <v>34</v>
      </c>
      <c r="E10245" s="21" t="s">
        <v>71</v>
      </c>
      <c r="F10245" t="s">
        <v>1458</v>
      </c>
      <c r="G10245" t="s">
        <v>1459</v>
      </c>
      <c r="H10245" s="21">
        <v>986.18</v>
      </c>
    </row>
    <row r="10246" spans="1:8" customFormat="1" x14ac:dyDescent="0.25">
      <c r="A10246" t="str">
        <f>"5941941"</f>
        <v>5941941</v>
      </c>
      <c r="B10246" t="s">
        <v>10274</v>
      </c>
      <c r="C10246" t="s">
        <v>144</v>
      </c>
      <c r="D10246" s="21" t="s">
        <v>34</v>
      </c>
      <c r="E10246" s="21" t="s">
        <v>71</v>
      </c>
      <c r="F10246">
        <v>7590184</v>
      </c>
      <c r="G10246" t="s">
        <v>6722</v>
      </c>
      <c r="H10246" s="21">
        <v>986.17</v>
      </c>
    </row>
    <row r="10247" spans="1:8" customFormat="1" x14ac:dyDescent="0.25">
      <c r="A10247" t="str">
        <f>"366079"</f>
        <v>366079</v>
      </c>
      <c r="B10247" t="s">
        <v>1833</v>
      </c>
      <c r="C10247" t="s">
        <v>119</v>
      </c>
      <c r="D10247" s="21" t="s">
        <v>34</v>
      </c>
      <c r="E10247" s="21" t="s">
        <v>71</v>
      </c>
      <c r="F10247">
        <v>4360727</v>
      </c>
      <c r="G10247" t="s">
        <v>10026</v>
      </c>
      <c r="H10247" s="21">
        <v>986.17</v>
      </c>
    </row>
    <row r="10248" spans="1:8" customFormat="1" x14ac:dyDescent="0.25">
      <c r="A10248" t="str">
        <f>"9415836"</f>
        <v>9415836</v>
      </c>
      <c r="B10248" t="s">
        <v>11727</v>
      </c>
      <c r="C10248" t="s">
        <v>2525</v>
      </c>
      <c r="D10248" s="21" t="s">
        <v>34</v>
      </c>
      <c r="E10248" s="21" t="s">
        <v>71</v>
      </c>
      <c r="F10248">
        <v>11810033</v>
      </c>
      <c r="G10248" t="s">
        <v>3852</v>
      </c>
      <c r="H10248" s="21">
        <v>986.17</v>
      </c>
    </row>
    <row r="10249" spans="1:8" customFormat="1" x14ac:dyDescent="0.25">
      <c r="A10249" t="str">
        <f>"69967"</f>
        <v>69967</v>
      </c>
      <c r="B10249" t="s">
        <v>2362</v>
      </c>
      <c r="C10249" t="s">
        <v>269</v>
      </c>
      <c r="D10249" s="21" t="s">
        <v>34</v>
      </c>
      <c r="E10249" s="21" t="s">
        <v>71</v>
      </c>
      <c r="F10249">
        <v>1690041</v>
      </c>
      <c r="G10249" t="s">
        <v>7892</v>
      </c>
      <c r="H10249" s="21">
        <v>986.17</v>
      </c>
    </row>
    <row r="10250" spans="1:8" customFormat="1" x14ac:dyDescent="0.25">
      <c r="A10250" t="str">
        <f>"5912767"</f>
        <v>5912767</v>
      </c>
      <c r="B10250" t="s">
        <v>10183</v>
      </c>
      <c r="C10250" t="s">
        <v>263</v>
      </c>
      <c r="D10250" s="21" t="s">
        <v>34</v>
      </c>
      <c r="E10250" s="21" t="s">
        <v>71</v>
      </c>
      <c r="F10250">
        <v>7590228</v>
      </c>
      <c r="G10250" t="s">
        <v>1798</v>
      </c>
      <c r="H10250" s="21">
        <v>986.17</v>
      </c>
    </row>
    <row r="10251" spans="1:8" customFormat="1" x14ac:dyDescent="0.25">
      <c r="A10251" t="str">
        <f>"609631"</f>
        <v>609631</v>
      </c>
      <c r="B10251" t="s">
        <v>2189</v>
      </c>
      <c r="C10251" t="s">
        <v>209</v>
      </c>
      <c r="D10251" s="21" t="s">
        <v>34</v>
      </c>
      <c r="E10251" s="21" t="s">
        <v>71</v>
      </c>
      <c r="F10251">
        <v>7600004</v>
      </c>
      <c r="G10251" t="s">
        <v>848</v>
      </c>
      <c r="H10251" s="21">
        <v>986.17</v>
      </c>
    </row>
    <row r="10252" spans="1:8" customFormat="1" x14ac:dyDescent="0.25">
      <c r="A10252" t="str">
        <f>"2513251"</f>
        <v>2513251</v>
      </c>
      <c r="B10252" t="s">
        <v>1200</v>
      </c>
      <c r="C10252" t="s">
        <v>239</v>
      </c>
      <c r="D10252" s="21" t="s">
        <v>34</v>
      </c>
      <c r="E10252" s="21" t="s">
        <v>71</v>
      </c>
      <c r="F10252">
        <v>2250181</v>
      </c>
      <c r="G10252" t="s">
        <v>494</v>
      </c>
      <c r="H10252" s="21">
        <v>986.17</v>
      </c>
    </row>
    <row r="10253" spans="1:8" customFormat="1" x14ac:dyDescent="0.25">
      <c r="A10253" t="str">
        <f>"7512127"</f>
        <v>7512127</v>
      </c>
      <c r="B10253" t="s">
        <v>9491</v>
      </c>
      <c r="C10253" t="s">
        <v>9492</v>
      </c>
      <c r="D10253" s="21" t="s">
        <v>34</v>
      </c>
      <c r="E10253" s="21" t="s">
        <v>71</v>
      </c>
      <c r="F10253">
        <v>8750141</v>
      </c>
      <c r="G10253" t="s">
        <v>1514</v>
      </c>
      <c r="H10253" s="21">
        <v>986.17</v>
      </c>
    </row>
    <row r="10254" spans="1:8" customFormat="1" x14ac:dyDescent="0.25">
      <c r="A10254" t="str">
        <f>"8521645"</f>
        <v>8521645</v>
      </c>
      <c r="B10254" t="s">
        <v>27147</v>
      </c>
      <c r="C10254" t="s">
        <v>302</v>
      </c>
      <c r="D10254" s="21" t="s">
        <v>34</v>
      </c>
      <c r="E10254" s="21" t="s">
        <v>35</v>
      </c>
      <c r="F10254">
        <v>11300008</v>
      </c>
      <c r="G10254" t="s">
        <v>3165</v>
      </c>
      <c r="H10254" s="21">
        <v>986.17</v>
      </c>
    </row>
    <row r="10255" spans="1:8" customFormat="1" x14ac:dyDescent="0.25">
      <c r="A10255" t="str">
        <f>"6939497"</f>
        <v>6939497</v>
      </c>
      <c r="B10255" t="s">
        <v>1427</v>
      </c>
      <c r="C10255" t="s">
        <v>82</v>
      </c>
      <c r="D10255" s="21" t="s">
        <v>34</v>
      </c>
      <c r="E10255" s="21" t="s">
        <v>35</v>
      </c>
      <c r="F10255">
        <v>1690058</v>
      </c>
      <c r="G10255" t="s">
        <v>1644</v>
      </c>
      <c r="H10255" s="21">
        <v>986.17</v>
      </c>
    </row>
    <row r="10256" spans="1:8" customFormat="1" x14ac:dyDescent="0.25">
      <c r="A10256" t="str">
        <f>"7725514"</f>
        <v>7725514</v>
      </c>
      <c r="B10256" t="s">
        <v>12273</v>
      </c>
      <c r="C10256" t="s">
        <v>55</v>
      </c>
      <c r="D10256" s="21" t="s">
        <v>34</v>
      </c>
      <c r="E10256" s="21" t="s">
        <v>71</v>
      </c>
      <c r="F10256">
        <v>8771518</v>
      </c>
      <c r="G10256" t="s">
        <v>12274</v>
      </c>
      <c r="H10256" s="21">
        <v>986.17</v>
      </c>
    </row>
    <row r="10257" spans="1:8" customFormat="1" x14ac:dyDescent="0.25">
      <c r="A10257" t="str">
        <f>"9411759"</f>
        <v>9411759</v>
      </c>
      <c r="B10257" t="s">
        <v>10204</v>
      </c>
      <c r="C10257" t="s">
        <v>65</v>
      </c>
      <c r="D10257" s="21" t="s">
        <v>34</v>
      </c>
      <c r="E10257" s="21" t="s">
        <v>35</v>
      </c>
      <c r="F10257">
        <v>8940030</v>
      </c>
      <c r="G10257" t="s">
        <v>7068</v>
      </c>
      <c r="H10257" s="21">
        <v>986.17</v>
      </c>
    </row>
    <row r="10258" spans="1:8" customFormat="1" x14ac:dyDescent="0.25">
      <c r="A10258" t="str">
        <f>"188210"</f>
        <v>188210</v>
      </c>
      <c r="B10258" t="s">
        <v>10404</v>
      </c>
      <c r="C10258" t="s">
        <v>169</v>
      </c>
      <c r="D10258" s="21" t="s">
        <v>34</v>
      </c>
      <c r="E10258" s="21" t="s">
        <v>35</v>
      </c>
      <c r="F10258">
        <v>4180696</v>
      </c>
      <c r="G10258" t="s">
        <v>3018</v>
      </c>
      <c r="H10258" s="21">
        <v>986.17</v>
      </c>
    </row>
    <row r="10259" spans="1:8" customFormat="1" x14ac:dyDescent="0.25">
      <c r="A10259" t="str">
        <f>"2921686"</f>
        <v>2921686</v>
      </c>
      <c r="B10259" t="s">
        <v>4124</v>
      </c>
      <c r="C10259" t="s">
        <v>139</v>
      </c>
      <c r="D10259" s="21" t="s">
        <v>34</v>
      </c>
      <c r="E10259" s="21" t="s">
        <v>35</v>
      </c>
      <c r="F10259">
        <v>3290200</v>
      </c>
      <c r="G10259" t="s">
        <v>3488</v>
      </c>
      <c r="H10259" s="21">
        <v>986.17</v>
      </c>
    </row>
    <row r="10260" spans="1:8" customFormat="1" x14ac:dyDescent="0.25">
      <c r="A10260" t="str">
        <f>"732423"</f>
        <v>732423</v>
      </c>
      <c r="B10260" t="s">
        <v>9027</v>
      </c>
      <c r="C10260" t="s">
        <v>124</v>
      </c>
      <c r="D10260" s="21" t="s">
        <v>34</v>
      </c>
      <c r="E10260" s="21" t="s">
        <v>71</v>
      </c>
      <c r="F10260">
        <v>1690008</v>
      </c>
      <c r="G10260" t="s">
        <v>6276</v>
      </c>
      <c r="H10260" s="21">
        <v>985.92</v>
      </c>
    </row>
    <row r="10261" spans="1:8" customFormat="1" x14ac:dyDescent="0.25">
      <c r="A10261" t="str">
        <f>"534366"</f>
        <v>534366</v>
      </c>
      <c r="B10261" t="s">
        <v>8736</v>
      </c>
      <c r="C10261" t="s">
        <v>598</v>
      </c>
      <c r="D10261" s="21" t="s">
        <v>34</v>
      </c>
      <c r="E10261" s="21" t="s">
        <v>1089</v>
      </c>
      <c r="F10261">
        <v>12530079</v>
      </c>
      <c r="G10261" t="s">
        <v>3090</v>
      </c>
      <c r="H10261" s="21">
        <v>985.92</v>
      </c>
    </row>
    <row r="10262" spans="1:8" customFormat="1" x14ac:dyDescent="0.25">
      <c r="A10262" t="str">
        <f>"615613"</f>
        <v>615613</v>
      </c>
      <c r="B10262" t="s">
        <v>9431</v>
      </c>
      <c r="C10262" t="s">
        <v>1199</v>
      </c>
      <c r="D10262" s="21" t="s">
        <v>34</v>
      </c>
      <c r="E10262" s="21" t="s">
        <v>254</v>
      </c>
      <c r="F10262">
        <v>9610097</v>
      </c>
      <c r="G10262" t="s">
        <v>9432</v>
      </c>
      <c r="H10262" s="21">
        <v>985.92</v>
      </c>
    </row>
    <row r="10263" spans="1:8" customFormat="1" x14ac:dyDescent="0.25">
      <c r="A10263" t="str">
        <f>"7855832"</f>
        <v>7855832</v>
      </c>
      <c r="B10263" t="s">
        <v>10850</v>
      </c>
      <c r="C10263" t="s">
        <v>288</v>
      </c>
      <c r="D10263" s="21" t="s">
        <v>34</v>
      </c>
      <c r="E10263" s="21" t="s">
        <v>71</v>
      </c>
      <c r="F10263">
        <v>8781266</v>
      </c>
      <c r="G10263" t="s">
        <v>26704</v>
      </c>
      <c r="H10263" s="21">
        <v>985.92</v>
      </c>
    </row>
    <row r="10264" spans="1:8" customFormat="1" x14ac:dyDescent="0.25">
      <c r="A10264" t="str">
        <f>"748031"</f>
        <v>748031</v>
      </c>
      <c r="B10264" t="s">
        <v>8321</v>
      </c>
      <c r="C10264" t="s">
        <v>33</v>
      </c>
      <c r="D10264" s="21" t="s">
        <v>34</v>
      </c>
      <c r="E10264" s="21" t="s">
        <v>71</v>
      </c>
      <c r="F10264">
        <v>1740011</v>
      </c>
      <c r="G10264" t="s">
        <v>2638</v>
      </c>
      <c r="H10264" s="21">
        <v>985.79</v>
      </c>
    </row>
    <row r="10265" spans="1:8" customFormat="1" x14ac:dyDescent="0.25">
      <c r="A10265" t="str">
        <f>"9228643"</f>
        <v>9228643</v>
      </c>
      <c r="B10265" t="s">
        <v>10721</v>
      </c>
      <c r="C10265" t="s">
        <v>169</v>
      </c>
      <c r="D10265" s="21" t="s">
        <v>34</v>
      </c>
      <c r="E10265" s="21" t="s">
        <v>71</v>
      </c>
      <c r="F10265">
        <v>8940459</v>
      </c>
      <c r="G10265" t="s">
        <v>743</v>
      </c>
      <c r="H10265" s="21">
        <v>985.79</v>
      </c>
    </row>
    <row r="10266" spans="1:8" customFormat="1" x14ac:dyDescent="0.25">
      <c r="A10266" t="str">
        <f>"6811911"</f>
        <v>6811911</v>
      </c>
      <c r="B10266" t="s">
        <v>9807</v>
      </c>
      <c r="C10266" t="s">
        <v>528</v>
      </c>
      <c r="D10266" s="21" t="s">
        <v>34</v>
      </c>
      <c r="E10266" s="21" t="s">
        <v>254</v>
      </c>
      <c r="F10266">
        <v>6680125</v>
      </c>
      <c r="G10266" t="s">
        <v>6543</v>
      </c>
      <c r="H10266" s="21">
        <v>985.67</v>
      </c>
    </row>
    <row r="10267" spans="1:8" customFormat="1" x14ac:dyDescent="0.25">
      <c r="A10267" t="str">
        <f>"2910861"</f>
        <v>2910861</v>
      </c>
      <c r="B10267" t="s">
        <v>1826</v>
      </c>
      <c r="C10267" t="s">
        <v>40</v>
      </c>
      <c r="D10267" s="21" t="s">
        <v>34</v>
      </c>
      <c r="E10267" s="21" t="s">
        <v>71</v>
      </c>
      <c r="F10267">
        <v>3290214</v>
      </c>
      <c r="G10267" t="s">
        <v>10975</v>
      </c>
      <c r="H10267" s="21">
        <v>985.67</v>
      </c>
    </row>
    <row r="10268" spans="1:8" customFormat="1" x14ac:dyDescent="0.25">
      <c r="A10268" t="str">
        <f>"10128"</f>
        <v>10128</v>
      </c>
      <c r="B10268" t="s">
        <v>1883</v>
      </c>
      <c r="C10268" t="s">
        <v>822</v>
      </c>
      <c r="D10268" s="21" t="s">
        <v>34</v>
      </c>
      <c r="E10268" s="21" t="s">
        <v>1089</v>
      </c>
      <c r="F10268">
        <v>6100002</v>
      </c>
      <c r="G10268" t="s">
        <v>1602</v>
      </c>
      <c r="H10268" s="21">
        <v>985.67</v>
      </c>
    </row>
    <row r="10269" spans="1:8" customFormat="1" x14ac:dyDescent="0.25">
      <c r="A10269" t="str">
        <f>"3524846"</f>
        <v>3524846</v>
      </c>
      <c r="B10269" t="s">
        <v>3182</v>
      </c>
      <c r="C10269" t="s">
        <v>2100</v>
      </c>
      <c r="D10269" s="21" t="s">
        <v>34</v>
      </c>
      <c r="E10269" s="21" t="s">
        <v>71</v>
      </c>
      <c r="F10269">
        <v>3350074</v>
      </c>
      <c r="G10269" t="s">
        <v>5432</v>
      </c>
      <c r="H10269" s="21">
        <v>985.67</v>
      </c>
    </row>
    <row r="10270" spans="1:8" customFormat="1" x14ac:dyDescent="0.25">
      <c r="A10270" t="str">
        <f>"197119"</f>
        <v>197119</v>
      </c>
      <c r="B10270" t="s">
        <v>9851</v>
      </c>
      <c r="C10270" t="s">
        <v>33</v>
      </c>
      <c r="D10270" s="21" t="s">
        <v>34</v>
      </c>
      <c r="E10270" s="21" t="s">
        <v>35</v>
      </c>
      <c r="F10270">
        <v>10190108</v>
      </c>
      <c r="G10270" t="s">
        <v>7344</v>
      </c>
      <c r="H10270" s="21">
        <v>985.67</v>
      </c>
    </row>
    <row r="10271" spans="1:8" customFormat="1" x14ac:dyDescent="0.25">
      <c r="A10271" t="str">
        <f>"024144"</f>
        <v>024144</v>
      </c>
      <c r="B10271" t="s">
        <v>4654</v>
      </c>
      <c r="C10271" t="s">
        <v>1199</v>
      </c>
      <c r="D10271" s="21" t="s">
        <v>34</v>
      </c>
      <c r="E10271" s="21" t="s">
        <v>35</v>
      </c>
      <c r="F10271">
        <v>7020080</v>
      </c>
      <c r="G10271" t="s">
        <v>5600</v>
      </c>
      <c r="H10271" s="21">
        <v>985.67</v>
      </c>
    </row>
    <row r="10272" spans="1:8" customFormat="1" x14ac:dyDescent="0.25">
      <c r="A10272" t="str">
        <f>"9517478"</f>
        <v>9517478</v>
      </c>
      <c r="B10272" t="s">
        <v>5484</v>
      </c>
      <c r="C10272" t="s">
        <v>40</v>
      </c>
      <c r="D10272" s="21" t="s">
        <v>34</v>
      </c>
      <c r="E10272" s="21" t="s">
        <v>71</v>
      </c>
      <c r="F10272">
        <v>8950330</v>
      </c>
      <c r="G10272" t="s">
        <v>794</v>
      </c>
      <c r="H10272" s="21">
        <v>985.67</v>
      </c>
    </row>
    <row r="10273" spans="1:8" customFormat="1" x14ac:dyDescent="0.25">
      <c r="A10273" t="str">
        <f>"4523322"</f>
        <v>4523322</v>
      </c>
      <c r="B10273" t="s">
        <v>10175</v>
      </c>
      <c r="C10273" t="s">
        <v>269</v>
      </c>
      <c r="D10273" s="21" t="s">
        <v>34</v>
      </c>
      <c r="E10273" s="21" t="s">
        <v>71</v>
      </c>
      <c r="F10273">
        <v>4450706</v>
      </c>
      <c r="G10273" t="s">
        <v>4482</v>
      </c>
      <c r="H10273" s="21">
        <v>985.67</v>
      </c>
    </row>
    <row r="10274" spans="1:8" customFormat="1" x14ac:dyDescent="0.25">
      <c r="A10274" t="str">
        <f>"926961"</f>
        <v>926961</v>
      </c>
      <c r="B10274" t="s">
        <v>9336</v>
      </c>
      <c r="C10274" t="s">
        <v>2479</v>
      </c>
      <c r="D10274" s="21" t="s">
        <v>34</v>
      </c>
      <c r="E10274" s="21" t="s">
        <v>254</v>
      </c>
      <c r="F10274">
        <v>8750060</v>
      </c>
      <c r="G10274" t="s">
        <v>2821</v>
      </c>
      <c r="H10274" s="21">
        <v>985.67</v>
      </c>
    </row>
    <row r="10275" spans="1:8" customFormat="1" x14ac:dyDescent="0.25">
      <c r="A10275" t="str">
        <f>"6913294"</f>
        <v>6913294</v>
      </c>
      <c r="B10275" t="s">
        <v>8938</v>
      </c>
      <c r="C10275" t="s">
        <v>1110</v>
      </c>
      <c r="D10275" s="21" t="s">
        <v>34</v>
      </c>
      <c r="E10275" s="21" t="s">
        <v>71</v>
      </c>
      <c r="F10275">
        <v>1030299</v>
      </c>
      <c r="G10275" t="s">
        <v>2631</v>
      </c>
      <c r="H10275" s="21">
        <v>985.67</v>
      </c>
    </row>
    <row r="10276" spans="1:8" customFormat="1" x14ac:dyDescent="0.25">
      <c r="A10276" t="str">
        <f>"5949255"</f>
        <v>5949255</v>
      </c>
      <c r="B10276" t="s">
        <v>10789</v>
      </c>
      <c r="C10276" t="s">
        <v>988</v>
      </c>
      <c r="D10276" s="21" t="s">
        <v>34</v>
      </c>
      <c r="E10276" s="21" t="s">
        <v>35</v>
      </c>
      <c r="F10276">
        <v>7590218</v>
      </c>
      <c r="G10276" t="s">
        <v>26769</v>
      </c>
      <c r="H10276" s="21">
        <v>985.67</v>
      </c>
    </row>
    <row r="10277" spans="1:8" customFormat="1" x14ac:dyDescent="0.25">
      <c r="A10277" t="str">
        <f>"23311"</f>
        <v>23311</v>
      </c>
      <c r="B10277" t="s">
        <v>4415</v>
      </c>
      <c r="C10277" t="s">
        <v>462</v>
      </c>
      <c r="D10277" s="21" t="s">
        <v>34</v>
      </c>
      <c r="E10277" s="21" t="s">
        <v>254</v>
      </c>
      <c r="F10277">
        <v>10230105</v>
      </c>
      <c r="G10277" t="s">
        <v>9926</v>
      </c>
      <c r="H10277" s="21">
        <v>985.67</v>
      </c>
    </row>
    <row r="10278" spans="1:8" customFormat="1" x14ac:dyDescent="0.25">
      <c r="A10278" t="str">
        <f>"9138696"</f>
        <v>9138696</v>
      </c>
      <c r="B10278" t="s">
        <v>9479</v>
      </c>
      <c r="C10278" t="s">
        <v>269</v>
      </c>
      <c r="D10278" s="21" t="s">
        <v>34</v>
      </c>
      <c r="E10278" s="21" t="s">
        <v>35</v>
      </c>
      <c r="F10278">
        <v>8910214</v>
      </c>
      <c r="G10278" t="s">
        <v>986</v>
      </c>
      <c r="H10278" s="21">
        <v>985.67</v>
      </c>
    </row>
    <row r="10279" spans="1:8" customFormat="1" x14ac:dyDescent="0.25">
      <c r="A10279" t="str">
        <f>"1610508"</f>
        <v>1610508</v>
      </c>
      <c r="B10279" t="s">
        <v>9342</v>
      </c>
      <c r="C10279" t="s">
        <v>62</v>
      </c>
      <c r="D10279" s="21" t="s">
        <v>34</v>
      </c>
      <c r="E10279" s="21" t="s">
        <v>35</v>
      </c>
      <c r="F10279">
        <v>10160003</v>
      </c>
      <c r="G10279" t="s">
        <v>4692</v>
      </c>
      <c r="H10279" s="21">
        <v>985.67</v>
      </c>
    </row>
    <row r="10280" spans="1:8" customFormat="1" x14ac:dyDescent="0.25">
      <c r="A10280" t="str">
        <f>"621535"</f>
        <v>621535</v>
      </c>
      <c r="B10280" t="s">
        <v>8391</v>
      </c>
      <c r="C10280" t="s">
        <v>4674</v>
      </c>
      <c r="D10280" s="21" t="s">
        <v>34</v>
      </c>
      <c r="E10280" s="21" t="s">
        <v>71</v>
      </c>
      <c r="F10280">
        <v>7620140</v>
      </c>
      <c r="G10280" t="s">
        <v>7454</v>
      </c>
      <c r="H10280" s="21">
        <v>985.67</v>
      </c>
    </row>
    <row r="10281" spans="1:8" customFormat="1" x14ac:dyDescent="0.25">
      <c r="A10281" t="str">
        <f>"873740"</f>
        <v>873740</v>
      </c>
      <c r="B10281" t="s">
        <v>10593</v>
      </c>
      <c r="C10281" t="s">
        <v>49</v>
      </c>
      <c r="D10281" s="21" t="s">
        <v>34</v>
      </c>
      <c r="E10281" s="21" t="s">
        <v>35</v>
      </c>
      <c r="F10281">
        <v>10870031</v>
      </c>
      <c r="G10281" t="s">
        <v>959</v>
      </c>
      <c r="H10281" s="21">
        <v>985.67</v>
      </c>
    </row>
    <row r="10282" spans="1:8" customFormat="1" x14ac:dyDescent="0.25">
      <c r="A10282" t="str">
        <f>"6219696"</f>
        <v>6219696</v>
      </c>
      <c r="B10282" t="s">
        <v>6842</v>
      </c>
      <c r="C10282" t="s">
        <v>469</v>
      </c>
      <c r="D10282" s="21" t="s">
        <v>34</v>
      </c>
      <c r="E10282" s="21" t="s">
        <v>71</v>
      </c>
      <c r="F10282">
        <v>7620131</v>
      </c>
      <c r="G10282" t="s">
        <v>9562</v>
      </c>
      <c r="H10282" s="21">
        <v>985.67</v>
      </c>
    </row>
    <row r="10283" spans="1:8" customFormat="1" x14ac:dyDescent="0.25">
      <c r="A10283" t="str">
        <f>"7625124"</f>
        <v>7625124</v>
      </c>
      <c r="B10283" t="s">
        <v>10118</v>
      </c>
      <c r="C10283" t="s">
        <v>817</v>
      </c>
      <c r="D10283" s="21" t="s">
        <v>34</v>
      </c>
      <c r="E10283" s="21" t="s">
        <v>71</v>
      </c>
      <c r="F10283">
        <v>9760331</v>
      </c>
      <c r="G10283" t="s">
        <v>5134</v>
      </c>
      <c r="H10283" s="21">
        <v>985.54</v>
      </c>
    </row>
    <row r="10284" spans="1:8" customFormat="1" x14ac:dyDescent="0.25">
      <c r="A10284" t="str">
        <f>"5312702"</f>
        <v>5312702</v>
      </c>
      <c r="B10284" t="s">
        <v>9190</v>
      </c>
      <c r="C10284" t="s">
        <v>288</v>
      </c>
      <c r="D10284" s="21" t="s">
        <v>34</v>
      </c>
      <c r="E10284" s="21" t="s">
        <v>71</v>
      </c>
      <c r="F10284">
        <v>12530077</v>
      </c>
      <c r="G10284" t="s">
        <v>9191</v>
      </c>
      <c r="H10284" s="21">
        <v>985.42</v>
      </c>
    </row>
    <row r="10285" spans="1:8" customFormat="1" x14ac:dyDescent="0.25">
      <c r="A10285" t="str">
        <f>"844684"</f>
        <v>844684</v>
      </c>
      <c r="B10285" t="s">
        <v>10138</v>
      </c>
      <c r="C10285" t="s">
        <v>598</v>
      </c>
      <c r="D10285" s="21" t="s">
        <v>34</v>
      </c>
      <c r="E10285" s="21" t="s">
        <v>71</v>
      </c>
      <c r="F10285">
        <v>13840006</v>
      </c>
      <c r="G10285" t="s">
        <v>10139</v>
      </c>
      <c r="H10285" s="21">
        <v>985.42</v>
      </c>
    </row>
    <row r="10286" spans="1:8" customFormat="1" x14ac:dyDescent="0.25">
      <c r="A10286" t="str">
        <f>"5319362"</f>
        <v>5319362</v>
      </c>
      <c r="B10286" t="s">
        <v>8451</v>
      </c>
      <c r="C10286" t="s">
        <v>151</v>
      </c>
      <c r="D10286" s="21" t="s">
        <v>34</v>
      </c>
      <c r="E10286" s="21" t="s">
        <v>71</v>
      </c>
      <c r="F10286">
        <v>12530120</v>
      </c>
      <c r="G10286" t="s">
        <v>26791</v>
      </c>
      <c r="H10286" s="21">
        <v>985.42</v>
      </c>
    </row>
    <row r="10287" spans="1:8" customFormat="1" x14ac:dyDescent="0.25">
      <c r="A10287" t="str">
        <f>"598224"</f>
        <v>598224</v>
      </c>
      <c r="B10287" t="s">
        <v>9035</v>
      </c>
      <c r="C10287" t="s">
        <v>171</v>
      </c>
      <c r="D10287" s="21" t="s">
        <v>34</v>
      </c>
      <c r="E10287" s="21" t="s">
        <v>71</v>
      </c>
      <c r="F10287">
        <v>7590269</v>
      </c>
      <c r="G10287" t="s">
        <v>873</v>
      </c>
      <c r="H10287" s="21">
        <v>985.17</v>
      </c>
    </row>
    <row r="10288" spans="1:8" customFormat="1" x14ac:dyDescent="0.25">
      <c r="A10288" t="str">
        <f>"1312354"</f>
        <v>1312354</v>
      </c>
      <c r="B10288" t="s">
        <v>7792</v>
      </c>
      <c r="C10288" t="s">
        <v>33</v>
      </c>
      <c r="D10288" s="21" t="s">
        <v>34</v>
      </c>
      <c r="E10288" s="21" t="s">
        <v>35</v>
      </c>
      <c r="F10288">
        <v>13130158</v>
      </c>
      <c r="G10288" t="s">
        <v>3215</v>
      </c>
      <c r="H10288" s="21">
        <v>985.17</v>
      </c>
    </row>
    <row r="10289" spans="1:8" customFormat="1" x14ac:dyDescent="0.25">
      <c r="A10289" t="str">
        <f>"85302"</f>
        <v>85302</v>
      </c>
      <c r="B10289" t="s">
        <v>9472</v>
      </c>
      <c r="C10289" t="s">
        <v>55</v>
      </c>
      <c r="D10289" s="21" t="s">
        <v>34</v>
      </c>
      <c r="E10289" s="21" t="s">
        <v>71</v>
      </c>
      <c r="F10289">
        <v>12851011</v>
      </c>
      <c r="G10289" t="s">
        <v>1445</v>
      </c>
      <c r="H10289" s="21">
        <v>985.17</v>
      </c>
    </row>
    <row r="10290" spans="1:8" customFormat="1" x14ac:dyDescent="0.25">
      <c r="A10290" t="str">
        <f>"6931231"</f>
        <v>6931231</v>
      </c>
      <c r="B10290" t="s">
        <v>10798</v>
      </c>
      <c r="C10290" t="s">
        <v>10799</v>
      </c>
      <c r="D10290" s="21" t="s">
        <v>34</v>
      </c>
      <c r="E10290" s="21" t="s">
        <v>35</v>
      </c>
      <c r="F10290">
        <v>1690052</v>
      </c>
      <c r="G10290" t="s">
        <v>273</v>
      </c>
      <c r="H10290" s="21">
        <v>985.17</v>
      </c>
    </row>
    <row r="10291" spans="1:8" customFormat="1" x14ac:dyDescent="0.25">
      <c r="A10291" t="str">
        <f>"413554"</f>
        <v>413554</v>
      </c>
      <c r="B10291" t="s">
        <v>350</v>
      </c>
      <c r="C10291" t="s">
        <v>206</v>
      </c>
      <c r="D10291" s="21" t="s">
        <v>34</v>
      </c>
      <c r="E10291" s="21" t="s">
        <v>35</v>
      </c>
      <c r="F10291">
        <v>4410615</v>
      </c>
      <c r="G10291" t="s">
        <v>4897</v>
      </c>
      <c r="H10291" s="21">
        <v>985.17</v>
      </c>
    </row>
    <row r="10292" spans="1:8" customFormat="1" x14ac:dyDescent="0.25">
      <c r="A10292" t="str">
        <f>"7614947"</f>
        <v>7614947</v>
      </c>
      <c r="B10292" t="s">
        <v>9829</v>
      </c>
      <c r="C10292" t="s">
        <v>269</v>
      </c>
      <c r="D10292" s="21" t="s">
        <v>34</v>
      </c>
      <c r="E10292" s="21" t="s">
        <v>71</v>
      </c>
      <c r="F10292">
        <v>9760036</v>
      </c>
      <c r="G10292" t="s">
        <v>279</v>
      </c>
      <c r="H10292" s="21">
        <v>984.92</v>
      </c>
    </row>
    <row r="10293" spans="1:8" customFormat="1" x14ac:dyDescent="0.25">
      <c r="A10293" t="str">
        <f>"5113278"</f>
        <v>5113278</v>
      </c>
      <c r="B10293" t="s">
        <v>27148</v>
      </c>
      <c r="C10293" t="s">
        <v>96</v>
      </c>
      <c r="D10293" s="21" t="s">
        <v>34</v>
      </c>
      <c r="E10293" s="21" t="s">
        <v>35</v>
      </c>
      <c r="F10293">
        <v>6510018</v>
      </c>
      <c r="G10293" t="s">
        <v>3055</v>
      </c>
      <c r="H10293" s="21">
        <v>984.92</v>
      </c>
    </row>
    <row r="10294" spans="1:8" customFormat="1" x14ac:dyDescent="0.25">
      <c r="A10294" t="str">
        <f>"4923147"</f>
        <v>4923147</v>
      </c>
      <c r="B10294" t="s">
        <v>5341</v>
      </c>
      <c r="C10294" t="s">
        <v>37</v>
      </c>
      <c r="D10294" s="21" t="s">
        <v>34</v>
      </c>
      <c r="E10294" s="21" t="s">
        <v>35</v>
      </c>
      <c r="F10294">
        <v>12490063</v>
      </c>
      <c r="G10294" t="s">
        <v>329</v>
      </c>
      <c r="H10294" s="21">
        <v>984.92</v>
      </c>
    </row>
    <row r="10295" spans="1:8" customFormat="1" x14ac:dyDescent="0.25">
      <c r="A10295" t="str">
        <f>"3411587"</f>
        <v>3411587</v>
      </c>
      <c r="B10295" t="s">
        <v>27149</v>
      </c>
      <c r="C10295" t="s">
        <v>169</v>
      </c>
      <c r="D10295" s="21" t="s">
        <v>34</v>
      </c>
      <c r="E10295" s="21" t="s">
        <v>35</v>
      </c>
      <c r="F10295">
        <v>11660001</v>
      </c>
      <c r="G10295" t="s">
        <v>8203</v>
      </c>
      <c r="H10295" s="21">
        <v>984.92</v>
      </c>
    </row>
    <row r="10296" spans="1:8" customFormat="1" x14ac:dyDescent="0.25">
      <c r="A10296" t="str">
        <f>"7815995"</f>
        <v>7815995</v>
      </c>
      <c r="B10296" t="s">
        <v>5777</v>
      </c>
      <c r="C10296" t="s">
        <v>656</v>
      </c>
      <c r="D10296" s="21" t="s">
        <v>34</v>
      </c>
      <c r="E10296" s="21" t="s">
        <v>35</v>
      </c>
      <c r="F10296">
        <v>8780892</v>
      </c>
      <c r="G10296" t="s">
        <v>3021</v>
      </c>
      <c r="H10296" s="21">
        <v>984.79</v>
      </c>
    </row>
    <row r="10297" spans="1:8" customFormat="1" x14ac:dyDescent="0.25">
      <c r="A10297" t="str">
        <f>"152121"</f>
        <v>152121</v>
      </c>
      <c r="B10297" t="s">
        <v>11757</v>
      </c>
      <c r="C10297" t="s">
        <v>156</v>
      </c>
      <c r="D10297" s="21" t="s">
        <v>34</v>
      </c>
      <c r="E10297" s="21" t="s">
        <v>71</v>
      </c>
      <c r="F10297">
        <v>10190134</v>
      </c>
      <c r="G10297" t="s">
        <v>27150</v>
      </c>
      <c r="H10297" s="21">
        <v>984.67</v>
      </c>
    </row>
    <row r="10298" spans="1:8" customFormat="1" x14ac:dyDescent="0.25">
      <c r="A10298" t="str">
        <f>"8521681"</f>
        <v>8521681</v>
      </c>
      <c r="B10298" t="s">
        <v>9072</v>
      </c>
      <c r="C10298" t="s">
        <v>40</v>
      </c>
      <c r="D10298" s="21" t="s">
        <v>34</v>
      </c>
      <c r="E10298" s="21" t="s">
        <v>71</v>
      </c>
      <c r="F10298">
        <v>12850143</v>
      </c>
      <c r="G10298" t="s">
        <v>1625</v>
      </c>
      <c r="H10298" s="21">
        <v>984.67</v>
      </c>
    </row>
    <row r="10299" spans="1:8" customFormat="1" x14ac:dyDescent="0.25">
      <c r="A10299" t="str">
        <f>"5423631"</f>
        <v>5423631</v>
      </c>
      <c r="B10299" t="s">
        <v>10250</v>
      </c>
      <c r="C10299" t="s">
        <v>1199</v>
      </c>
      <c r="D10299" s="21" t="s">
        <v>34</v>
      </c>
      <c r="E10299" s="21" t="s">
        <v>71</v>
      </c>
      <c r="F10299">
        <v>6540014</v>
      </c>
      <c r="G10299" t="s">
        <v>1483</v>
      </c>
      <c r="H10299" s="21">
        <v>984.67</v>
      </c>
    </row>
    <row r="10300" spans="1:8" customFormat="1" x14ac:dyDescent="0.25">
      <c r="A10300" t="str">
        <f>"5947951"</f>
        <v>5947951</v>
      </c>
      <c r="B10300" t="s">
        <v>6455</v>
      </c>
      <c r="C10300" t="s">
        <v>4842</v>
      </c>
      <c r="D10300" s="21" t="s">
        <v>34</v>
      </c>
      <c r="E10300" s="21" t="s">
        <v>254</v>
      </c>
      <c r="F10300">
        <v>7590058</v>
      </c>
      <c r="G10300" t="s">
        <v>5044</v>
      </c>
      <c r="H10300" s="21">
        <v>984.67</v>
      </c>
    </row>
    <row r="10301" spans="1:8" customFormat="1" x14ac:dyDescent="0.25">
      <c r="A10301" t="str">
        <f>"569334"</f>
        <v>569334</v>
      </c>
      <c r="B10301" t="s">
        <v>877</v>
      </c>
      <c r="C10301" t="s">
        <v>285</v>
      </c>
      <c r="D10301" s="21" t="s">
        <v>34</v>
      </c>
      <c r="E10301" s="21" t="s">
        <v>35</v>
      </c>
      <c r="F10301">
        <v>3560039</v>
      </c>
      <c r="G10301" t="s">
        <v>167</v>
      </c>
      <c r="H10301" s="21">
        <v>984.67</v>
      </c>
    </row>
    <row r="10302" spans="1:8" customFormat="1" x14ac:dyDescent="0.25">
      <c r="A10302" t="str">
        <f>"626198"</f>
        <v>626198</v>
      </c>
      <c r="B10302" t="s">
        <v>11325</v>
      </c>
      <c r="C10302" t="s">
        <v>2053</v>
      </c>
      <c r="D10302" s="21" t="s">
        <v>34</v>
      </c>
      <c r="E10302" s="21" t="s">
        <v>71</v>
      </c>
      <c r="F10302">
        <v>7620048</v>
      </c>
      <c r="G10302" t="s">
        <v>7467</v>
      </c>
      <c r="H10302" s="21">
        <v>984.67</v>
      </c>
    </row>
    <row r="10303" spans="1:8" customFormat="1" x14ac:dyDescent="0.25">
      <c r="A10303" t="str">
        <f>"2617042"</f>
        <v>2617042</v>
      </c>
      <c r="B10303" t="s">
        <v>16365</v>
      </c>
      <c r="C10303" t="s">
        <v>139</v>
      </c>
      <c r="D10303" s="21" t="s">
        <v>34</v>
      </c>
      <c r="E10303" s="21" t="s">
        <v>35</v>
      </c>
      <c r="F10303">
        <v>1260040</v>
      </c>
      <c r="G10303" t="s">
        <v>10768</v>
      </c>
      <c r="H10303" s="21">
        <v>984.67</v>
      </c>
    </row>
    <row r="10304" spans="1:8" customFormat="1" x14ac:dyDescent="0.25">
      <c r="A10304" t="str">
        <f>"651405"</f>
        <v>651405</v>
      </c>
      <c r="B10304" t="s">
        <v>9312</v>
      </c>
      <c r="C10304" t="s">
        <v>269</v>
      </c>
      <c r="D10304" s="21" t="s">
        <v>34</v>
      </c>
      <c r="E10304" s="21" t="s">
        <v>71</v>
      </c>
      <c r="F10304">
        <v>11650014</v>
      </c>
      <c r="G10304" t="s">
        <v>9313</v>
      </c>
      <c r="H10304" s="21">
        <v>984.67</v>
      </c>
    </row>
    <row r="10305" spans="1:8" customFormat="1" x14ac:dyDescent="0.25">
      <c r="A10305" t="str">
        <f>"6310129"</f>
        <v>6310129</v>
      </c>
      <c r="B10305" t="s">
        <v>25254</v>
      </c>
      <c r="C10305" t="s">
        <v>151</v>
      </c>
      <c r="D10305" s="21" t="s">
        <v>34</v>
      </c>
      <c r="E10305" s="21" t="s">
        <v>35</v>
      </c>
      <c r="F10305">
        <v>1630307</v>
      </c>
      <c r="G10305" t="s">
        <v>15524</v>
      </c>
      <c r="H10305" s="21">
        <v>984.67</v>
      </c>
    </row>
    <row r="10306" spans="1:8" customFormat="1" x14ac:dyDescent="0.25">
      <c r="A10306" t="str">
        <f>"305852"</f>
        <v>305852</v>
      </c>
      <c r="B10306" t="s">
        <v>10793</v>
      </c>
      <c r="C10306" t="s">
        <v>1946</v>
      </c>
      <c r="D10306" s="21" t="s">
        <v>34</v>
      </c>
      <c r="E10306" s="21" t="s">
        <v>254</v>
      </c>
      <c r="F10306">
        <v>11300023</v>
      </c>
      <c r="G10306" t="s">
        <v>2679</v>
      </c>
      <c r="H10306" s="21">
        <v>984.54</v>
      </c>
    </row>
    <row r="10307" spans="1:8" customFormat="1" x14ac:dyDescent="0.25">
      <c r="A10307" t="str">
        <f>"662737"</f>
        <v>662737</v>
      </c>
      <c r="B10307" t="s">
        <v>1886</v>
      </c>
      <c r="C10307" t="s">
        <v>60</v>
      </c>
      <c r="D10307" s="21" t="s">
        <v>34</v>
      </c>
      <c r="E10307" s="21" t="s">
        <v>35</v>
      </c>
      <c r="F10307">
        <v>11660016</v>
      </c>
      <c r="G10307" t="s">
        <v>4510</v>
      </c>
      <c r="H10307" s="21">
        <v>984.17</v>
      </c>
    </row>
    <row r="10308" spans="1:8" customFormat="1" x14ac:dyDescent="0.25">
      <c r="A10308" t="str">
        <f>"9142695"</f>
        <v>9142695</v>
      </c>
      <c r="B10308" t="s">
        <v>11744</v>
      </c>
      <c r="C10308" t="s">
        <v>11745</v>
      </c>
      <c r="D10308" s="21" t="s">
        <v>34</v>
      </c>
      <c r="E10308" s="21" t="s">
        <v>35</v>
      </c>
      <c r="F10308">
        <v>8910652</v>
      </c>
      <c r="G10308" t="s">
        <v>6533</v>
      </c>
      <c r="H10308" s="21">
        <v>984.17</v>
      </c>
    </row>
    <row r="10309" spans="1:8" customFormat="1" x14ac:dyDescent="0.25">
      <c r="A10309" t="str">
        <f>"036373"</f>
        <v>036373</v>
      </c>
      <c r="B10309" t="s">
        <v>7667</v>
      </c>
      <c r="C10309" t="s">
        <v>695</v>
      </c>
      <c r="D10309" s="21" t="s">
        <v>34</v>
      </c>
      <c r="E10309" s="21" t="s">
        <v>35</v>
      </c>
      <c r="F10309">
        <v>1030300</v>
      </c>
      <c r="G10309" t="s">
        <v>7676</v>
      </c>
      <c r="H10309" s="21">
        <v>984.17</v>
      </c>
    </row>
    <row r="10310" spans="1:8" customFormat="1" x14ac:dyDescent="0.25">
      <c r="A10310" t="str">
        <f>"6230515"</f>
        <v>6230515</v>
      </c>
      <c r="B10310" t="s">
        <v>10131</v>
      </c>
      <c r="C10310" t="s">
        <v>1474</v>
      </c>
      <c r="D10310" s="21" t="s">
        <v>34</v>
      </c>
      <c r="E10310" s="21" t="s">
        <v>35</v>
      </c>
      <c r="F10310">
        <v>7620183</v>
      </c>
      <c r="G10310" t="s">
        <v>8030</v>
      </c>
      <c r="H10310" s="21">
        <v>984.17</v>
      </c>
    </row>
    <row r="10311" spans="1:8" customFormat="1" x14ac:dyDescent="0.25">
      <c r="A10311" t="str">
        <f>"4431519"</f>
        <v>4431519</v>
      </c>
      <c r="B10311" t="s">
        <v>10429</v>
      </c>
      <c r="C10311" t="s">
        <v>169</v>
      </c>
      <c r="D10311" s="21" t="s">
        <v>34</v>
      </c>
      <c r="E10311" s="21" t="s">
        <v>35</v>
      </c>
      <c r="F10311">
        <v>12440277</v>
      </c>
      <c r="G10311" t="s">
        <v>10430</v>
      </c>
      <c r="H10311" s="21">
        <v>984.17</v>
      </c>
    </row>
    <row r="10312" spans="1:8" customFormat="1" x14ac:dyDescent="0.25">
      <c r="A10312" t="str">
        <f>"721895"</f>
        <v>721895</v>
      </c>
      <c r="B10312" t="s">
        <v>10693</v>
      </c>
      <c r="C10312" t="s">
        <v>2100</v>
      </c>
      <c r="D10312" s="21" t="s">
        <v>34</v>
      </c>
      <c r="E10312" s="21" t="s">
        <v>71</v>
      </c>
      <c r="F10312">
        <v>12720127</v>
      </c>
      <c r="G10312" t="s">
        <v>6528</v>
      </c>
      <c r="H10312" s="21">
        <v>984.17</v>
      </c>
    </row>
    <row r="10313" spans="1:8" customFormat="1" x14ac:dyDescent="0.25">
      <c r="A10313" t="str">
        <f>"628720"</f>
        <v>628720</v>
      </c>
      <c r="B10313" t="s">
        <v>10472</v>
      </c>
      <c r="C10313" t="s">
        <v>415</v>
      </c>
      <c r="D10313" s="21" t="s">
        <v>34</v>
      </c>
      <c r="E10313" s="21" t="s">
        <v>254</v>
      </c>
      <c r="F10313">
        <v>7620049</v>
      </c>
      <c r="G10313" t="s">
        <v>1176</v>
      </c>
      <c r="H10313" s="21">
        <v>984.17</v>
      </c>
    </row>
    <row r="10314" spans="1:8" customFormat="1" x14ac:dyDescent="0.25">
      <c r="A10314" t="str">
        <f>"143926"</f>
        <v>143926</v>
      </c>
      <c r="B10314" t="s">
        <v>9832</v>
      </c>
      <c r="C10314" t="s">
        <v>288</v>
      </c>
      <c r="D10314" s="21" t="s">
        <v>34</v>
      </c>
      <c r="E10314" s="21" t="s">
        <v>35</v>
      </c>
      <c r="F10314">
        <v>9140019</v>
      </c>
      <c r="G10314" t="s">
        <v>3901</v>
      </c>
      <c r="H10314" s="21">
        <v>984.17</v>
      </c>
    </row>
    <row r="10315" spans="1:8" customFormat="1" x14ac:dyDescent="0.25">
      <c r="A10315" t="str">
        <f>"724533"</f>
        <v>724533</v>
      </c>
      <c r="B10315" t="s">
        <v>8278</v>
      </c>
      <c r="C10315" t="s">
        <v>209</v>
      </c>
      <c r="D10315" s="21" t="s">
        <v>34</v>
      </c>
      <c r="E10315" s="21" t="s">
        <v>71</v>
      </c>
      <c r="F10315">
        <v>12720066</v>
      </c>
      <c r="G10315" t="s">
        <v>3571</v>
      </c>
      <c r="H10315" s="21">
        <v>984.17</v>
      </c>
    </row>
    <row r="10316" spans="1:8" customFormat="1" x14ac:dyDescent="0.25">
      <c r="A10316" t="str">
        <f>"6932144"</f>
        <v>6932144</v>
      </c>
      <c r="B10316" t="s">
        <v>2854</v>
      </c>
      <c r="C10316" t="s">
        <v>209</v>
      </c>
      <c r="D10316" s="21" t="s">
        <v>34</v>
      </c>
      <c r="E10316" s="21" t="s">
        <v>35</v>
      </c>
      <c r="F10316">
        <v>1690192</v>
      </c>
      <c r="G10316" t="s">
        <v>3578</v>
      </c>
      <c r="H10316" s="21">
        <v>984.17</v>
      </c>
    </row>
    <row r="10317" spans="1:8" customFormat="1" x14ac:dyDescent="0.25">
      <c r="A10317" t="str">
        <f>"4211339"</f>
        <v>4211339</v>
      </c>
      <c r="B10317" t="s">
        <v>9176</v>
      </c>
      <c r="C10317" t="s">
        <v>1675</v>
      </c>
      <c r="D10317" s="21" t="s">
        <v>34</v>
      </c>
      <c r="E10317" s="21" t="s">
        <v>35</v>
      </c>
      <c r="F10317">
        <v>1420108</v>
      </c>
      <c r="G10317" t="s">
        <v>9177</v>
      </c>
      <c r="H10317" s="21">
        <v>984.17</v>
      </c>
    </row>
    <row r="10318" spans="1:8" customFormat="1" x14ac:dyDescent="0.25">
      <c r="A10318" t="str">
        <f>"8510533"</f>
        <v>8510533</v>
      </c>
      <c r="B10318" t="s">
        <v>9789</v>
      </c>
      <c r="C10318" t="s">
        <v>9790</v>
      </c>
      <c r="D10318" s="21" t="s">
        <v>34</v>
      </c>
      <c r="E10318" s="21" t="s">
        <v>254</v>
      </c>
      <c r="F10318">
        <v>12850148</v>
      </c>
      <c r="G10318" t="s">
        <v>2380</v>
      </c>
      <c r="H10318" s="21">
        <v>984.17</v>
      </c>
    </row>
    <row r="10319" spans="1:8" customFormat="1" x14ac:dyDescent="0.25">
      <c r="A10319" t="str">
        <f>"5314981"</f>
        <v>5314981</v>
      </c>
      <c r="B10319" t="s">
        <v>11120</v>
      </c>
      <c r="C10319" t="s">
        <v>169</v>
      </c>
      <c r="D10319" s="21" t="s">
        <v>34</v>
      </c>
      <c r="E10319" s="21" t="s">
        <v>35</v>
      </c>
      <c r="F10319">
        <v>12530067</v>
      </c>
      <c r="G10319" t="s">
        <v>11121</v>
      </c>
      <c r="H10319" s="21">
        <v>984.17</v>
      </c>
    </row>
    <row r="10320" spans="1:8" customFormat="1" x14ac:dyDescent="0.25">
      <c r="A10320" t="str">
        <f>"851411"</f>
        <v>851411</v>
      </c>
      <c r="B10320" t="s">
        <v>4537</v>
      </c>
      <c r="C10320" t="s">
        <v>33</v>
      </c>
      <c r="D10320" s="21" t="s">
        <v>34</v>
      </c>
      <c r="E10320" s="21" t="s">
        <v>35</v>
      </c>
      <c r="F10320">
        <v>12850043</v>
      </c>
      <c r="G10320" t="s">
        <v>4873</v>
      </c>
      <c r="H10320" s="21">
        <v>984</v>
      </c>
    </row>
    <row r="10321" spans="1:8" customFormat="1" x14ac:dyDescent="0.25">
      <c r="A10321" t="str">
        <f>"133581"</f>
        <v>133581</v>
      </c>
      <c r="B10321" t="s">
        <v>10596</v>
      </c>
      <c r="C10321" t="s">
        <v>40</v>
      </c>
      <c r="D10321" s="21" t="s">
        <v>34</v>
      </c>
      <c r="E10321" s="21" t="s">
        <v>71</v>
      </c>
      <c r="F10321">
        <v>13130170</v>
      </c>
      <c r="G10321" t="s">
        <v>10164</v>
      </c>
      <c r="H10321" s="21">
        <v>983.92</v>
      </c>
    </row>
    <row r="10322" spans="1:8" customFormat="1" x14ac:dyDescent="0.25">
      <c r="A10322" t="str">
        <f>"623370"</f>
        <v>623370</v>
      </c>
      <c r="B10322" t="s">
        <v>10136</v>
      </c>
      <c r="C10322" t="s">
        <v>109</v>
      </c>
      <c r="D10322" s="21" t="s">
        <v>34</v>
      </c>
      <c r="E10322" s="21" t="s">
        <v>71</v>
      </c>
      <c r="F10322">
        <v>7620182</v>
      </c>
      <c r="G10322" t="s">
        <v>11480</v>
      </c>
      <c r="H10322" s="21">
        <v>983.67</v>
      </c>
    </row>
    <row r="10323" spans="1:8" customFormat="1" x14ac:dyDescent="0.25">
      <c r="A10323" t="str">
        <f>"169398"</f>
        <v>169398</v>
      </c>
      <c r="B10323" t="s">
        <v>1820</v>
      </c>
      <c r="C10323" t="s">
        <v>1605</v>
      </c>
      <c r="D10323" s="21" t="s">
        <v>34</v>
      </c>
      <c r="E10323" s="21" t="s">
        <v>71</v>
      </c>
      <c r="F10323">
        <v>10160010</v>
      </c>
      <c r="G10323" t="s">
        <v>5491</v>
      </c>
      <c r="H10323" s="21">
        <v>983.67</v>
      </c>
    </row>
    <row r="10324" spans="1:8" customFormat="1" x14ac:dyDescent="0.25">
      <c r="A10324" t="str">
        <f>"856881"</f>
        <v>856881</v>
      </c>
      <c r="B10324" t="s">
        <v>10098</v>
      </c>
      <c r="C10324" t="s">
        <v>244</v>
      </c>
      <c r="D10324" s="21" t="s">
        <v>34</v>
      </c>
      <c r="E10324" s="21" t="s">
        <v>35</v>
      </c>
      <c r="F10324">
        <v>12850118</v>
      </c>
      <c r="G10324" t="s">
        <v>6811</v>
      </c>
      <c r="H10324" s="21">
        <v>983.67</v>
      </c>
    </row>
    <row r="10325" spans="1:8" customFormat="1" x14ac:dyDescent="0.25">
      <c r="A10325" t="str">
        <f>"7825263"</f>
        <v>7825263</v>
      </c>
      <c r="B10325" t="s">
        <v>12355</v>
      </c>
      <c r="C10325" t="s">
        <v>576</v>
      </c>
      <c r="D10325" s="21" t="s">
        <v>34</v>
      </c>
      <c r="E10325" s="21" t="s">
        <v>71</v>
      </c>
      <c r="F10325">
        <v>8781006</v>
      </c>
      <c r="G10325" t="s">
        <v>5376</v>
      </c>
      <c r="H10325" s="21">
        <v>983.67</v>
      </c>
    </row>
    <row r="10326" spans="1:8" customFormat="1" x14ac:dyDescent="0.25">
      <c r="A10326" t="str">
        <f>"9419851"</f>
        <v>9419851</v>
      </c>
      <c r="B10326" t="s">
        <v>7794</v>
      </c>
      <c r="C10326" t="s">
        <v>109</v>
      </c>
      <c r="D10326" s="21" t="s">
        <v>34</v>
      </c>
      <c r="E10326" s="21" t="s">
        <v>35</v>
      </c>
      <c r="F10326">
        <v>8911285</v>
      </c>
      <c r="G10326" t="s">
        <v>2396</v>
      </c>
      <c r="H10326" s="21">
        <v>983.67</v>
      </c>
    </row>
    <row r="10327" spans="1:8" customFormat="1" x14ac:dyDescent="0.25">
      <c r="A10327" t="str">
        <f>"429324"</f>
        <v>429324</v>
      </c>
      <c r="B10327" t="s">
        <v>5941</v>
      </c>
      <c r="C10327" t="s">
        <v>43</v>
      </c>
      <c r="D10327" s="21" t="s">
        <v>34</v>
      </c>
      <c r="E10327" s="21" t="s">
        <v>35</v>
      </c>
      <c r="F10327">
        <v>12440139</v>
      </c>
      <c r="G10327" t="s">
        <v>2655</v>
      </c>
      <c r="H10327" s="21">
        <v>983.67</v>
      </c>
    </row>
    <row r="10328" spans="1:8" customFormat="1" x14ac:dyDescent="0.25">
      <c r="A10328" t="str">
        <f>"312305"</f>
        <v>312305</v>
      </c>
      <c r="B10328" t="s">
        <v>1661</v>
      </c>
      <c r="C10328" t="s">
        <v>547</v>
      </c>
      <c r="D10328" s="21" t="s">
        <v>34</v>
      </c>
      <c r="E10328" s="21" t="s">
        <v>254</v>
      </c>
      <c r="F10328">
        <v>11310047</v>
      </c>
      <c r="G10328" t="s">
        <v>2188</v>
      </c>
      <c r="H10328" s="21">
        <v>983.67</v>
      </c>
    </row>
    <row r="10329" spans="1:8" customFormat="1" x14ac:dyDescent="0.25">
      <c r="A10329" t="str">
        <f>"624347"</f>
        <v>624347</v>
      </c>
      <c r="B10329" t="s">
        <v>11841</v>
      </c>
      <c r="C10329" t="s">
        <v>249</v>
      </c>
      <c r="D10329" s="21" t="s">
        <v>34</v>
      </c>
      <c r="E10329" s="21" t="s">
        <v>71</v>
      </c>
      <c r="F10329">
        <v>7620060</v>
      </c>
      <c r="G10329" t="s">
        <v>2179</v>
      </c>
      <c r="H10329" s="21">
        <v>983.67</v>
      </c>
    </row>
    <row r="10330" spans="1:8" customFormat="1" x14ac:dyDescent="0.25">
      <c r="A10330" t="str">
        <f>"615385"</f>
        <v>615385</v>
      </c>
      <c r="B10330" t="s">
        <v>11839</v>
      </c>
      <c r="C10330" t="s">
        <v>267</v>
      </c>
      <c r="D10330" s="21" t="s">
        <v>34</v>
      </c>
      <c r="E10330" s="21" t="s">
        <v>254</v>
      </c>
      <c r="F10330">
        <v>9610004</v>
      </c>
      <c r="G10330" t="s">
        <v>1042</v>
      </c>
      <c r="H10330" s="21">
        <v>983.67</v>
      </c>
    </row>
    <row r="10331" spans="1:8" customFormat="1" x14ac:dyDescent="0.25">
      <c r="A10331" t="str">
        <f>"449184"</f>
        <v>449184</v>
      </c>
      <c r="B10331" t="s">
        <v>10874</v>
      </c>
      <c r="C10331" t="s">
        <v>1146</v>
      </c>
      <c r="D10331" s="21" t="s">
        <v>34</v>
      </c>
      <c r="E10331" s="21" t="s">
        <v>1089</v>
      </c>
      <c r="F10331">
        <v>12440008</v>
      </c>
      <c r="G10331" t="s">
        <v>4570</v>
      </c>
      <c r="H10331" s="21">
        <v>983.67</v>
      </c>
    </row>
    <row r="10332" spans="1:8" customFormat="1" x14ac:dyDescent="0.25">
      <c r="A10332" t="str">
        <f>"422249"</f>
        <v>422249</v>
      </c>
      <c r="B10332" t="s">
        <v>1349</v>
      </c>
      <c r="C10332" t="s">
        <v>1110</v>
      </c>
      <c r="D10332" s="21" t="s">
        <v>34</v>
      </c>
      <c r="E10332" s="21" t="s">
        <v>71</v>
      </c>
      <c r="F10332">
        <v>1420080</v>
      </c>
      <c r="G10332" t="s">
        <v>10230</v>
      </c>
      <c r="H10332" s="21">
        <v>983.67</v>
      </c>
    </row>
    <row r="10333" spans="1:8" customFormat="1" x14ac:dyDescent="0.25">
      <c r="A10333" t="str">
        <f>"9141316"</f>
        <v>9141316</v>
      </c>
      <c r="B10333" t="s">
        <v>11416</v>
      </c>
      <c r="C10333" t="s">
        <v>249</v>
      </c>
      <c r="D10333" s="21" t="s">
        <v>34</v>
      </c>
      <c r="E10333" s="21" t="s">
        <v>71</v>
      </c>
      <c r="F10333">
        <v>8910876</v>
      </c>
      <c r="G10333" t="s">
        <v>1721</v>
      </c>
      <c r="H10333" s="21">
        <v>983.67</v>
      </c>
    </row>
    <row r="10334" spans="1:8" customFormat="1" x14ac:dyDescent="0.25">
      <c r="A10334" t="str">
        <f>"1610384"</f>
        <v>1610384</v>
      </c>
      <c r="B10334" t="s">
        <v>1349</v>
      </c>
      <c r="C10334" t="s">
        <v>1146</v>
      </c>
      <c r="D10334" s="21" t="s">
        <v>34</v>
      </c>
      <c r="E10334" s="21" t="s">
        <v>71</v>
      </c>
      <c r="F10334">
        <v>10160085</v>
      </c>
      <c r="G10334" t="s">
        <v>10818</v>
      </c>
      <c r="H10334" s="21">
        <v>983.67</v>
      </c>
    </row>
    <row r="10335" spans="1:8" customFormat="1" x14ac:dyDescent="0.25">
      <c r="A10335" t="str">
        <f>"185318"</f>
        <v>185318</v>
      </c>
      <c r="B10335" t="s">
        <v>9842</v>
      </c>
      <c r="C10335" t="s">
        <v>169</v>
      </c>
      <c r="D10335" s="21" t="s">
        <v>34</v>
      </c>
      <c r="E10335" s="21" t="s">
        <v>71</v>
      </c>
      <c r="F10335">
        <v>1150176</v>
      </c>
      <c r="G10335" t="s">
        <v>9843</v>
      </c>
      <c r="H10335" s="21">
        <v>983.67</v>
      </c>
    </row>
    <row r="10336" spans="1:8" customFormat="1" x14ac:dyDescent="0.25">
      <c r="A10336" t="str">
        <f>"685073"</f>
        <v>685073</v>
      </c>
      <c r="B10336" t="s">
        <v>12367</v>
      </c>
      <c r="C10336" t="s">
        <v>7441</v>
      </c>
      <c r="D10336" s="21" t="s">
        <v>34</v>
      </c>
      <c r="E10336" s="21" t="s">
        <v>71</v>
      </c>
      <c r="F10336">
        <v>6680118</v>
      </c>
      <c r="G10336" t="s">
        <v>4346</v>
      </c>
      <c r="H10336" s="21">
        <v>983.67</v>
      </c>
    </row>
    <row r="10337" spans="1:8" customFormat="1" x14ac:dyDescent="0.25">
      <c r="A10337" t="str">
        <f>"9514432"</f>
        <v>9514432</v>
      </c>
      <c r="B10337" t="s">
        <v>10197</v>
      </c>
      <c r="C10337" t="s">
        <v>564</v>
      </c>
      <c r="D10337" s="21" t="s">
        <v>34</v>
      </c>
      <c r="E10337" s="21" t="s">
        <v>71</v>
      </c>
      <c r="F10337">
        <v>8950262</v>
      </c>
      <c r="G10337" t="s">
        <v>1881</v>
      </c>
      <c r="H10337" s="21">
        <v>983.67</v>
      </c>
    </row>
    <row r="10338" spans="1:8" customFormat="1" x14ac:dyDescent="0.25">
      <c r="A10338" t="str">
        <f>"4443221"</f>
        <v>4443221</v>
      </c>
      <c r="B10338" t="s">
        <v>1349</v>
      </c>
      <c r="C10338" t="s">
        <v>302</v>
      </c>
      <c r="D10338" s="21" t="s">
        <v>34</v>
      </c>
      <c r="E10338" s="21" t="s">
        <v>71</v>
      </c>
      <c r="F10338">
        <v>12440024</v>
      </c>
      <c r="G10338" t="s">
        <v>2205</v>
      </c>
      <c r="H10338" s="21">
        <v>983.67</v>
      </c>
    </row>
    <row r="10339" spans="1:8" customFormat="1" x14ac:dyDescent="0.25">
      <c r="A10339" t="str">
        <f>"181329"</f>
        <v>181329</v>
      </c>
      <c r="B10339" t="s">
        <v>9095</v>
      </c>
      <c r="C10339" t="s">
        <v>428</v>
      </c>
      <c r="D10339" s="21" t="s">
        <v>34</v>
      </c>
      <c r="E10339" s="21" t="s">
        <v>254</v>
      </c>
      <c r="F10339">
        <v>4180485</v>
      </c>
      <c r="G10339" t="s">
        <v>345</v>
      </c>
      <c r="H10339" s="21">
        <v>983.67</v>
      </c>
    </row>
    <row r="10340" spans="1:8" customFormat="1" x14ac:dyDescent="0.25">
      <c r="A10340" t="str">
        <f>"5013326"</f>
        <v>5013326</v>
      </c>
      <c r="B10340" t="s">
        <v>9783</v>
      </c>
      <c r="C10340" t="s">
        <v>55</v>
      </c>
      <c r="D10340" s="21" t="s">
        <v>34</v>
      </c>
      <c r="E10340" s="21" t="s">
        <v>71</v>
      </c>
      <c r="F10340">
        <v>9500058</v>
      </c>
      <c r="G10340" t="s">
        <v>1585</v>
      </c>
      <c r="H10340" s="21">
        <v>983.55</v>
      </c>
    </row>
    <row r="10341" spans="1:8" customFormat="1" x14ac:dyDescent="0.25">
      <c r="A10341" t="str">
        <f>"9520458"</f>
        <v>9520458</v>
      </c>
      <c r="B10341" t="s">
        <v>27151</v>
      </c>
      <c r="C10341" t="s">
        <v>428</v>
      </c>
      <c r="D10341" s="21" t="s">
        <v>34</v>
      </c>
      <c r="E10341" s="21" t="s">
        <v>35</v>
      </c>
      <c r="F10341">
        <v>8950479</v>
      </c>
      <c r="G10341" t="s">
        <v>728</v>
      </c>
      <c r="H10341" s="21">
        <v>983.54</v>
      </c>
    </row>
    <row r="10342" spans="1:8" customFormat="1" x14ac:dyDescent="0.25">
      <c r="A10342" t="str">
        <f>"5956792"</f>
        <v>5956792</v>
      </c>
      <c r="B10342" t="s">
        <v>1331</v>
      </c>
      <c r="C10342" t="s">
        <v>515</v>
      </c>
      <c r="D10342" s="21" t="s">
        <v>34</v>
      </c>
      <c r="E10342" s="21" t="s">
        <v>35</v>
      </c>
      <c r="F10342">
        <v>7590055</v>
      </c>
      <c r="G10342" t="s">
        <v>1573</v>
      </c>
      <c r="H10342" s="21">
        <v>983.5</v>
      </c>
    </row>
    <row r="10343" spans="1:8" customFormat="1" x14ac:dyDescent="0.25">
      <c r="A10343" t="str">
        <f>"218432"</f>
        <v>218432</v>
      </c>
      <c r="B10343" t="s">
        <v>27152</v>
      </c>
      <c r="C10343" t="s">
        <v>867</v>
      </c>
      <c r="D10343" s="21" t="s">
        <v>34</v>
      </c>
      <c r="E10343" s="21" t="s">
        <v>35</v>
      </c>
      <c r="F10343">
        <v>2210059</v>
      </c>
      <c r="G10343" t="s">
        <v>3142</v>
      </c>
      <c r="H10343" s="21">
        <v>983.42</v>
      </c>
    </row>
    <row r="10344" spans="1:8" customFormat="1" x14ac:dyDescent="0.25">
      <c r="A10344" t="str">
        <f>"9535563"</f>
        <v>9535563</v>
      </c>
      <c r="B10344" t="s">
        <v>14208</v>
      </c>
      <c r="C10344" t="s">
        <v>65</v>
      </c>
      <c r="D10344" s="21" t="s">
        <v>34</v>
      </c>
      <c r="E10344" s="21" t="s">
        <v>35</v>
      </c>
      <c r="F10344">
        <v>8950262</v>
      </c>
      <c r="G10344" t="s">
        <v>1881</v>
      </c>
      <c r="H10344" s="21">
        <v>983.29</v>
      </c>
    </row>
    <row r="10345" spans="1:8" customFormat="1" x14ac:dyDescent="0.25">
      <c r="A10345" t="str">
        <f>"4921207"</f>
        <v>4921207</v>
      </c>
      <c r="B10345" t="s">
        <v>1737</v>
      </c>
      <c r="C10345" t="s">
        <v>926</v>
      </c>
      <c r="D10345" s="21" t="s">
        <v>34</v>
      </c>
      <c r="E10345" s="21" t="s">
        <v>71</v>
      </c>
      <c r="F10345">
        <v>12490033</v>
      </c>
      <c r="G10345" t="s">
        <v>3469</v>
      </c>
      <c r="H10345" s="21">
        <v>983.29</v>
      </c>
    </row>
    <row r="10346" spans="1:8" customFormat="1" x14ac:dyDescent="0.25">
      <c r="A10346" t="str">
        <f>"543790"</f>
        <v>543790</v>
      </c>
      <c r="B10346" t="s">
        <v>492</v>
      </c>
      <c r="C10346" t="s">
        <v>418</v>
      </c>
      <c r="D10346" s="21" t="s">
        <v>34</v>
      </c>
      <c r="E10346" s="21" t="s">
        <v>254</v>
      </c>
      <c r="F10346">
        <v>6540040</v>
      </c>
      <c r="G10346" t="s">
        <v>256</v>
      </c>
      <c r="H10346" s="21">
        <v>983.17</v>
      </c>
    </row>
    <row r="10347" spans="1:8" customFormat="1" x14ac:dyDescent="0.25">
      <c r="A10347" t="str">
        <f>"9224863"</f>
        <v>9224863</v>
      </c>
      <c r="B10347" t="s">
        <v>2313</v>
      </c>
      <c r="C10347" t="s">
        <v>854</v>
      </c>
      <c r="D10347" s="21" t="s">
        <v>34</v>
      </c>
      <c r="E10347" s="21" t="s">
        <v>254</v>
      </c>
      <c r="F10347">
        <v>8751412</v>
      </c>
      <c r="G10347" t="s">
        <v>3615</v>
      </c>
      <c r="H10347" s="21">
        <v>983.17</v>
      </c>
    </row>
    <row r="10348" spans="1:8" customFormat="1" x14ac:dyDescent="0.25">
      <c r="A10348" t="str">
        <f>"9119817"</f>
        <v>9119817</v>
      </c>
      <c r="B10348" t="s">
        <v>10382</v>
      </c>
      <c r="C10348" t="s">
        <v>267</v>
      </c>
      <c r="D10348" s="21" t="s">
        <v>34</v>
      </c>
      <c r="E10348" s="21" t="s">
        <v>71</v>
      </c>
      <c r="F10348">
        <v>8910918</v>
      </c>
      <c r="G10348" t="s">
        <v>332</v>
      </c>
      <c r="H10348" s="21">
        <v>983.17</v>
      </c>
    </row>
    <row r="10349" spans="1:8" customFormat="1" x14ac:dyDescent="0.25">
      <c r="A10349" t="str">
        <f>"3512620"</f>
        <v>3512620</v>
      </c>
      <c r="B10349" t="s">
        <v>8969</v>
      </c>
      <c r="C10349" t="s">
        <v>415</v>
      </c>
      <c r="D10349" s="21" t="s">
        <v>34</v>
      </c>
      <c r="E10349" s="21" t="s">
        <v>254</v>
      </c>
      <c r="F10349">
        <v>3350161</v>
      </c>
      <c r="G10349" t="s">
        <v>1507</v>
      </c>
      <c r="H10349" s="21">
        <v>983.17</v>
      </c>
    </row>
    <row r="10350" spans="1:8" customFormat="1" x14ac:dyDescent="0.25">
      <c r="A10350" t="str">
        <f>"8310692"</f>
        <v>8310692</v>
      </c>
      <c r="B10350" t="s">
        <v>2106</v>
      </c>
      <c r="C10350" t="s">
        <v>267</v>
      </c>
      <c r="D10350" s="21" t="s">
        <v>34</v>
      </c>
      <c r="E10350" s="21" t="s">
        <v>254</v>
      </c>
      <c r="F10350">
        <v>13830013</v>
      </c>
      <c r="G10350" t="s">
        <v>3374</v>
      </c>
      <c r="H10350" s="21">
        <v>983.17</v>
      </c>
    </row>
    <row r="10351" spans="1:8" customFormat="1" x14ac:dyDescent="0.25">
      <c r="A10351" t="str">
        <f>"7111431"</f>
        <v>7111431</v>
      </c>
      <c r="B10351" t="s">
        <v>10178</v>
      </c>
      <c r="C10351" t="s">
        <v>462</v>
      </c>
      <c r="D10351" s="21" t="s">
        <v>34</v>
      </c>
      <c r="E10351" s="21" t="s">
        <v>35</v>
      </c>
      <c r="F10351">
        <v>2710023</v>
      </c>
      <c r="G10351" t="s">
        <v>3549</v>
      </c>
      <c r="H10351" s="21">
        <v>983.17</v>
      </c>
    </row>
    <row r="10352" spans="1:8" customFormat="1" x14ac:dyDescent="0.25">
      <c r="A10352" t="str">
        <f>"857399"</f>
        <v>857399</v>
      </c>
      <c r="B10352" t="s">
        <v>9728</v>
      </c>
      <c r="C10352" t="s">
        <v>249</v>
      </c>
      <c r="D10352" s="21" t="s">
        <v>34</v>
      </c>
      <c r="E10352" s="21" t="s">
        <v>35</v>
      </c>
      <c r="F10352">
        <v>12850154</v>
      </c>
      <c r="G10352" t="s">
        <v>7078</v>
      </c>
      <c r="H10352" s="21">
        <v>983.17</v>
      </c>
    </row>
    <row r="10353" spans="1:8" customFormat="1" x14ac:dyDescent="0.25">
      <c r="A10353" t="str">
        <f>"275938"</f>
        <v>275938</v>
      </c>
      <c r="B10353" t="s">
        <v>10717</v>
      </c>
      <c r="C10353" t="s">
        <v>1359</v>
      </c>
      <c r="D10353" s="21" t="s">
        <v>34</v>
      </c>
      <c r="E10353" s="21" t="s">
        <v>35</v>
      </c>
      <c r="F10353">
        <v>9270159</v>
      </c>
      <c r="G10353" t="s">
        <v>5425</v>
      </c>
      <c r="H10353" s="21">
        <v>983.17</v>
      </c>
    </row>
    <row r="10354" spans="1:8" customFormat="1" x14ac:dyDescent="0.25">
      <c r="A10354" t="str">
        <f>"4428072"</f>
        <v>4428072</v>
      </c>
      <c r="B10354" t="s">
        <v>6472</v>
      </c>
      <c r="C10354" t="s">
        <v>65</v>
      </c>
      <c r="D10354" s="21" t="s">
        <v>34</v>
      </c>
      <c r="E10354" s="21" t="s">
        <v>71</v>
      </c>
      <c r="F10354">
        <v>12440160</v>
      </c>
      <c r="G10354" t="s">
        <v>6939</v>
      </c>
      <c r="H10354" s="21">
        <v>983.17</v>
      </c>
    </row>
    <row r="10355" spans="1:8" customFormat="1" x14ac:dyDescent="0.25">
      <c r="A10355" t="str">
        <f>"5011977"</f>
        <v>5011977</v>
      </c>
      <c r="B10355" t="s">
        <v>5283</v>
      </c>
      <c r="C10355" t="s">
        <v>1803</v>
      </c>
      <c r="D10355" s="21" t="s">
        <v>34</v>
      </c>
      <c r="E10355" s="21" t="s">
        <v>35</v>
      </c>
      <c r="F10355">
        <v>9500143</v>
      </c>
      <c r="G10355" t="s">
        <v>2884</v>
      </c>
      <c r="H10355" s="21">
        <v>983.17</v>
      </c>
    </row>
    <row r="10356" spans="1:8" customFormat="1" x14ac:dyDescent="0.25">
      <c r="A10356" t="str">
        <f>"3311371"</f>
        <v>3311371</v>
      </c>
      <c r="B10356" t="s">
        <v>697</v>
      </c>
      <c r="C10356" t="s">
        <v>109</v>
      </c>
      <c r="D10356" s="21" t="s">
        <v>34</v>
      </c>
      <c r="E10356" s="21" t="s">
        <v>35</v>
      </c>
      <c r="F10356">
        <v>10330009</v>
      </c>
      <c r="G10356" t="s">
        <v>2064</v>
      </c>
      <c r="H10356" s="21">
        <v>983.04</v>
      </c>
    </row>
    <row r="10357" spans="1:8" customFormat="1" x14ac:dyDescent="0.25">
      <c r="A10357" t="str">
        <f>"518490"</f>
        <v>518490</v>
      </c>
      <c r="B10357" t="s">
        <v>3001</v>
      </c>
      <c r="C10357" t="s">
        <v>656</v>
      </c>
      <c r="D10357" s="21" t="s">
        <v>34</v>
      </c>
      <c r="E10357" s="21" t="s">
        <v>35</v>
      </c>
      <c r="F10357">
        <v>11320042</v>
      </c>
      <c r="G10357" t="s">
        <v>234</v>
      </c>
      <c r="H10357" s="21">
        <v>983.04</v>
      </c>
    </row>
    <row r="10358" spans="1:8" customFormat="1" x14ac:dyDescent="0.25">
      <c r="A10358" t="str">
        <f>"279987"</f>
        <v>279987</v>
      </c>
      <c r="B10358" t="s">
        <v>2656</v>
      </c>
      <c r="C10358" t="s">
        <v>169</v>
      </c>
      <c r="D10358" s="21" t="s">
        <v>34</v>
      </c>
      <c r="E10358" s="21" t="s">
        <v>35</v>
      </c>
      <c r="F10358">
        <v>9270152</v>
      </c>
      <c r="G10358" t="s">
        <v>1985</v>
      </c>
      <c r="H10358" s="21">
        <v>982.92</v>
      </c>
    </row>
    <row r="10359" spans="1:8" customFormat="1" x14ac:dyDescent="0.25">
      <c r="A10359" t="str">
        <f>"3416670"</f>
        <v>3416670</v>
      </c>
      <c r="B10359" t="s">
        <v>7901</v>
      </c>
      <c r="C10359" t="s">
        <v>60</v>
      </c>
      <c r="D10359" s="21" t="s">
        <v>34</v>
      </c>
      <c r="E10359" s="21" t="s">
        <v>35</v>
      </c>
      <c r="F10359">
        <v>2250216</v>
      </c>
      <c r="G10359" t="s">
        <v>11454</v>
      </c>
      <c r="H10359" s="21">
        <v>982.92</v>
      </c>
    </row>
    <row r="10360" spans="1:8" customFormat="1" x14ac:dyDescent="0.25">
      <c r="A10360" t="str">
        <f>"349330"</f>
        <v>349330</v>
      </c>
      <c r="B10360" t="s">
        <v>10012</v>
      </c>
      <c r="C10360" t="s">
        <v>198</v>
      </c>
      <c r="D10360" s="21" t="s">
        <v>34</v>
      </c>
      <c r="E10360" s="21" t="s">
        <v>71</v>
      </c>
      <c r="F10360">
        <v>11340007</v>
      </c>
      <c r="G10360" t="s">
        <v>2278</v>
      </c>
      <c r="H10360" s="21">
        <v>982.67</v>
      </c>
    </row>
    <row r="10361" spans="1:8" customFormat="1" x14ac:dyDescent="0.25">
      <c r="A10361" t="str">
        <f>"549708"</f>
        <v>549708</v>
      </c>
      <c r="B10361" t="s">
        <v>9079</v>
      </c>
      <c r="C10361" t="s">
        <v>2305</v>
      </c>
      <c r="D10361" s="21" t="s">
        <v>34</v>
      </c>
      <c r="E10361" s="21" t="s">
        <v>1089</v>
      </c>
      <c r="F10361">
        <v>6540055</v>
      </c>
      <c r="G10361" t="s">
        <v>9080</v>
      </c>
      <c r="H10361" s="21">
        <v>982.67</v>
      </c>
    </row>
    <row r="10362" spans="1:8" customFormat="1" x14ac:dyDescent="0.25">
      <c r="A10362" t="str">
        <f>"9422105"</f>
        <v>9422105</v>
      </c>
      <c r="B10362" t="s">
        <v>27153</v>
      </c>
      <c r="C10362" t="s">
        <v>90</v>
      </c>
      <c r="D10362" s="21" t="s">
        <v>34</v>
      </c>
      <c r="E10362" s="21" t="s">
        <v>35</v>
      </c>
      <c r="F10362">
        <v>8940535</v>
      </c>
      <c r="G10362" t="s">
        <v>2628</v>
      </c>
      <c r="H10362" s="21">
        <v>982.67</v>
      </c>
    </row>
    <row r="10363" spans="1:8" customFormat="1" x14ac:dyDescent="0.25">
      <c r="A10363" t="str">
        <f>"2928742"</f>
        <v>2928742</v>
      </c>
      <c r="B10363" t="s">
        <v>3189</v>
      </c>
      <c r="C10363" t="s">
        <v>263</v>
      </c>
      <c r="D10363" s="21" t="s">
        <v>34</v>
      </c>
      <c r="E10363" s="21" t="s">
        <v>254</v>
      </c>
      <c r="F10363">
        <v>3290215</v>
      </c>
      <c r="G10363" t="s">
        <v>5058</v>
      </c>
      <c r="H10363" s="21">
        <v>982.67</v>
      </c>
    </row>
    <row r="10364" spans="1:8" customFormat="1" x14ac:dyDescent="0.25">
      <c r="A10364" t="str">
        <f>"671385"</f>
        <v>671385</v>
      </c>
      <c r="B10364" t="s">
        <v>8603</v>
      </c>
      <c r="C10364" t="s">
        <v>2520</v>
      </c>
      <c r="D10364" s="21" t="s">
        <v>34</v>
      </c>
      <c r="E10364" s="21" t="s">
        <v>254</v>
      </c>
      <c r="F10364">
        <v>3350150</v>
      </c>
      <c r="G10364" t="s">
        <v>6419</v>
      </c>
      <c r="H10364" s="21">
        <v>982.67</v>
      </c>
    </row>
    <row r="10365" spans="1:8" customFormat="1" x14ac:dyDescent="0.25">
      <c r="A10365" t="str">
        <f>"289046"</f>
        <v>289046</v>
      </c>
      <c r="B10365" t="s">
        <v>2054</v>
      </c>
      <c r="C10365" t="s">
        <v>269</v>
      </c>
      <c r="D10365" s="21" t="s">
        <v>34</v>
      </c>
      <c r="E10365" s="21" t="s">
        <v>71</v>
      </c>
      <c r="F10365">
        <v>12720056</v>
      </c>
      <c r="G10365" t="s">
        <v>9231</v>
      </c>
      <c r="H10365" s="21">
        <v>982.67</v>
      </c>
    </row>
    <row r="10366" spans="1:8" customFormat="1" x14ac:dyDescent="0.25">
      <c r="A10366" t="str">
        <f>"2812646"</f>
        <v>2812646</v>
      </c>
      <c r="B10366" t="s">
        <v>10153</v>
      </c>
      <c r="C10366" t="s">
        <v>249</v>
      </c>
      <c r="D10366" s="21" t="s">
        <v>34</v>
      </c>
      <c r="E10366" s="21" t="s">
        <v>254</v>
      </c>
      <c r="F10366">
        <v>4280045</v>
      </c>
      <c r="G10366" t="s">
        <v>787</v>
      </c>
      <c r="H10366" s="21">
        <v>982.67</v>
      </c>
    </row>
    <row r="10367" spans="1:8" customFormat="1" x14ac:dyDescent="0.25">
      <c r="A10367" t="str">
        <f>"351946"</f>
        <v>351946</v>
      </c>
      <c r="B10367" t="s">
        <v>10613</v>
      </c>
      <c r="C10367" t="s">
        <v>269</v>
      </c>
      <c r="D10367" s="21" t="s">
        <v>34</v>
      </c>
      <c r="E10367" s="21" t="s">
        <v>254</v>
      </c>
      <c r="F10367">
        <v>3350127</v>
      </c>
      <c r="G10367" t="s">
        <v>10614</v>
      </c>
      <c r="H10367" s="21">
        <v>982.67</v>
      </c>
    </row>
    <row r="10368" spans="1:8" customFormat="1" x14ac:dyDescent="0.25">
      <c r="A10368" t="str">
        <f>"2922355"</f>
        <v>2922355</v>
      </c>
      <c r="B10368" t="s">
        <v>11485</v>
      </c>
      <c r="C10368" t="s">
        <v>209</v>
      </c>
      <c r="D10368" s="21" t="s">
        <v>34</v>
      </c>
      <c r="E10368" s="21" t="s">
        <v>71</v>
      </c>
      <c r="F10368">
        <v>3290019</v>
      </c>
      <c r="G10368" t="s">
        <v>4452</v>
      </c>
      <c r="H10368" s="21">
        <v>982.42</v>
      </c>
    </row>
    <row r="10369" spans="1:8" customFormat="1" x14ac:dyDescent="0.25">
      <c r="A10369" t="str">
        <f>"639703"</f>
        <v>639703</v>
      </c>
      <c r="B10369" t="s">
        <v>890</v>
      </c>
      <c r="C10369" t="s">
        <v>719</v>
      </c>
      <c r="D10369" s="21" t="s">
        <v>34</v>
      </c>
      <c r="E10369" s="21" t="s">
        <v>35</v>
      </c>
      <c r="F10369">
        <v>10170042</v>
      </c>
      <c r="G10369" t="s">
        <v>5014</v>
      </c>
      <c r="H10369" s="21">
        <v>982.42</v>
      </c>
    </row>
    <row r="10370" spans="1:8" customFormat="1" x14ac:dyDescent="0.25">
      <c r="A10370" t="str">
        <f>"4449997"</f>
        <v>4449997</v>
      </c>
      <c r="B10370" t="s">
        <v>5964</v>
      </c>
      <c r="C10370" t="s">
        <v>82</v>
      </c>
      <c r="D10370" s="21" t="s">
        <v>34</v>
      </c>
      <c r="E10370" s="21" t="s">
        <v>35</v>
      </c>
      <c r="F10370">
        <v>12440093</v>
      </c>
      <c r="G10370" t="s">
        <v>10627</v>
      </c>
      <c r="H10370" s="21">
        <v>982.42</v>
      </c>
    </row>
    <row r="10371" spans="1:8" customFormat="1" x14ac:dyDescent="0.25">
      <c r="A10371" t="str">
        <f>"548825"</f>
        <v>548825</v>
      </c>
      <c r="B10371" t="s">
        <v>9539</v>
      </c>
      <c r="C10371" t="s">
        <v>547</v>
      </c>
      <c r="D10371" s="21" t="s">
        <v>34</v>
      </c>
      <c r="E10371" s="21" t="s">
        <v>254</v>
      </c>
      <c r="F10371">
        <v>10170026</v>
      </c>
      <c r="G10371" t="s">
        <v>4850</v>
      </c>
      <c r="H10371" s="21">
        <v>982.42</v>
      </c>
    </row>
    <row r="10372" spans="1:8" customFormat="1" x14ac:dyDescent="0.25">
      <c r="A10372" t="str">
        <f>"288046"</f>
        <v>288046</v>
      </c>
      <c r="B10372" t="s">
        <v>10193</v>
      </c>
      <c r="C10372" t="s">
        <v>412</v>
      </c>
      <c r="D10372" s="21" t="s">
        <v>34</v>
      </c>
      <c r="E10372" s="21" t="s">
        <v>35</v>
      </c>
      <c r="F10372">
        <v>13060005</v>
      </c>
      <c r="G10372" t="s">
        <v>3609</v>
      </c>
      <c r="H10372" s="21">
        <v>982.42</v>
      </c>
    </row>
    <row r="10373" spans="1:8" customFormat="1" x14ac:dyDescent="0.25">
      <c r="A10373" t="str">
        <f>"501716"</f>
        <v>501716</v>
      </c>
      <c r="B10373" t="s">
        <v>9900</v>
      </c>
      <c r="C10373" t="s">
        <v>40</v>
      </c>
      <c r="D10373" s="21" t="s">
        <v>34</v>
      </c>
      <c r="E10373" s="21" t="s">
        <v>254</v>
      </c>
      <c r="F10373">
        <v>9500015</v>
      </c>
      <c r="G10373" t="s">
        <v>3389</v>
      </c>
      <c r="H10373" s="21">
        <v>982.29</v>
      </c>
    </row>
    <row r="10374" spans="1:8" customFormat="1" x14ac:dyDescent="0.25">
      <c r="A10374" t="str">
        <f>"5112962"</f>
        <v>5112962</v>
      </c>
      <c r="B10374" t="s">
        <v>13037</v>
      </c>
      <c r="C10374" t="s">
        <v>119</v>
      </c>
      <c r="D10374" s="21" t="s">
        <v>34</v>
      </c>
      <c r="E10374" s="21" t="s">
        <v>35</v>
      </c>
      <c r="F10374">
        <v>6510110</v>
      </c>
      <c r="G10374" t="s">
        <v>9011</v>
      </c>
      <c r="H10374" s="21">
        <v>982.17</v>
      </c>
    </row>
    <row r="10375" spans="1:8" customFormat="1" x14ac:dyDescent="0.25">
      <c r="A10375" t="str">
        <f>"538468"</f>
        <v>538468</v>
      </c>
      <c r="B10375" t="s">
        <v>10868</v>
      </c>
      <c r="C10375" t="s">
        <v>114</v>
      </c>
      <c r="D10375" s="21" t="s">
        <v>34</v>
      </c>
      <c r="E10375" s="21" t="s">
        <v>71</v>
      </c>
      <c r="F10375">
        <v>12530074</v>
      </c>
      <c r="G10375" t="s">
        <v>6425</v>
      </c>
      <c r="H10375" s="21">
        <v>982.17</v>
      </c>
    </row>
    <row r="10376" spans="1:8" customFormat="1" x14ac:dyDescent="0.25">
      <c r="A10376" t="str">
        <f>"591950"</f>
        <v>591950</v>
      </c>
      <c r="B10376" t="s">
        <v>1362</v>
      </c>
      <c r="C10376" t="s">
        <v>156</v>
      </c>
      <c r="D10376" s="21" t="s">
        <v>34</v>
      </c>
      <c r="E10376" s="21" t="s">
        <v>254</v>
      </c>
      <c r="F10376">
        <v>7590087</v>
      </c>
      <c r="G10376" t="s">
        <v>2112</v>
      </c>
      <c r="H10376" s="21">
        <v>982.17</v>
      </c>
    </row>
    <row r="10377" spans="1:8" customFormat="1" x14ac:dyDescent="0.25">
      <c r="A10377" t="str">
        <f>"63652"</f>
        <v>63652</v>
      </c>
      <c r="B10377" t="s">
        <v>6328</v>
      </c>
      <c r="C10377" t="s">
        <v>12231</v>
      </c>
      <c r="D10377" s="21" t="s">
        <v>34</v>
      </c>
      <c r="E10377" s="21" t="s">
        <v>254</v>
      </c>
      <c r="F10377">
        <v>1630320</v>
      </c>
      <c r="G10377" t="s">
        <v>4046</v>
      </c>
      <c r="H10377" s="21">
        <v>982.17</v>
      </c>
    </row>
    <row r="10378" spans="1:8" customFormat="1" x14ac:dyDescent="0.25">
      <c r="A10378" t="str">
        <f>"507345"</f>
        <v>507345</v>
      </c>
      <c r="B10378" t="s">
        <v>9652</v>
      </c>
      <c r="C10378" t="s">
        <v>269</v>
      </c>
      <c r="D10378" s="21" t="s">
        <v>34</v>
      </c>
      <c r="E10378" s="21" t="s">
        <v>71</v>
      </c>
      <c r="F10378">
        <v>9500143</v>
      </c>
      <c r="G10378" t="s">
        <v>2884</v>
      </c>
      <c r="H10378" s="21">
        <v>982.17</v>
      </c>
    </row>
    <row r="10379" spans="1:8" customFormat="1" x14ac:dyDescent="0.25">
      <c r="A10379" t="str">
        <f>"694864"</f>
        <v>694864</v>
      </c>
      <c r="B10379" t="s">
        <v>9458</v>
      </c>
      <c r="C10379" t="s">
        <v>209</v>
      </c>
      <c r="D10379" s="21" t="s">
        <v>34</v>
      </c>
      <c r="E10379" s="21" t="s">
        <v>35</v>
      </c>
      <c r="F10379">
        <v>1690123</v>
      </c>
      <c r="G10379" t="s">
        <v>5156</v>
      </c>
      <c r="H10379" s="21">
        <v>982.17</v>
      </c>
    </row>
    <row r="10380" spans="1:8" customFormat="1" x14ac:dyDescent="0.25">
      <c r="A10380" t="str">
        <f>"68821"</f>
        <v>68821</v>
      </c>
      <c r="B10380" t="s">
        <v>7543</v>
      </c>
      <c r="C10380" t="s">
        <v>1841</v>
      </c>
      <c r="D10380" s="21" t="s">
        <v>34</v>
      </c>
      <c r="E10380" s="21" t="s">
        <v>254</v>
      </c>
      <c r="F10380">
        <v>6680082</v>
      </c>
      <c r="G10380" t="s">
        <v>289</v>
      </c>
      <c r="H10380" s="21">
        <v>982.17</v>
      </c>
    </row>
    <row r="10381" spans="1:8" customFormat="1" x14ac:dyDescent="0.25">
      <c r="A10381" t="str">
        <f>"99826"</f>
        <v>99826</v>
      </c>
      <c r="B10381" t="s">
        <v>4355</v>
      </c>
      <c r="C10381" t="s">
        <v>55</v>
      </c>
      <c r="D10381" s="21" t="s">
        <v>34</v>
      </c>
      <c r="E10381" s="21" t="s">
        <v>71</v>
      </c>
      <c r="F10381">
        <v>1630249</v>
      </c>
      <c r="G10381" t="s">
        <v>1237</v>
      </c>
      <c r="H10381" s="21">
        <v>982.17</v>
      </c>
    </row>
    <row r="10382" spans="1:8" customFormat="1" x14ac:dyDescent="0.25">
      <c r="A10382" t="str">
        <f>"043392"</f>
        <v>043392</v>
      </c>
      <c r="B10382" t="s">
        <v>12155</v>
      </c>
      <c r="C10382" t="s">
        <v>239</v>
      </c>
      <c r="D10382" s="21" t="s">
        <v>34</v>
      </c>
      <c r="E10382" s="21" t="s">
        <v>71</v>
      </c>
      <c r="F10382">
        <v>13040023</v>
      </c>
      <c r="G10382" t="s">
        <v>2542</v>
      </c>
      <c r="H10382" s="21">
        <v>982.17</v>
      </c>
    </row>
    <row r="10383" spans="1:8" customFormat="1" x14ac:dyDescent="0.25">
      <c r="A10383" t="str">
        <f>"8017947"</f>
        <v>8017947</v>
      </c>
      <c r="B10383" t="s">
        <v>11321</v>
      </c>
      <c r="C10383" t="s">
        <v>87</v>
      </c>
      <c r="D10383" s="21" t="s">
        <v>34</v>
      </c>
      <c r="E10383" s="21" t="s">
        <v>71</v>
      </c>
      <c r="F10383">
        <v>7800013</v>
      </c>
      <c r="G10383" t="s">
        <v>10778</v>
      </c>
      <c r="H10383" s="21">
        <v>982.17</v>
      </c>
    </row>
    <row r="10384" spans="1:8" customFormat="1" x14ac:dyDescent="0.25">
      <c r="A10384" t="str">
        <f>"519557"</f>
        <v>519557</v>
      </c>
      <c r="B10384" t="s">
        <v>1614</v>
      </c>
      <c r="C10384" t="s">
        <v>305</v>
      </c>
      <c r="D10384" s="21" t="s">
        <v>34</v>
      </c>
      <c r="E10384" s="21" t="s">
        <v>35</v>
      </c>
      <c r="F10384">
        <v>6510054</v>
      </c>
      <c r="G10384" t="s">
        <v>10062</v>
      </c>
      <c r="H10384" s="21">
        <v>982.17</v>
      </c>
    </row>
    <row r="10385" spans="1:8" customFormat="1" x14ac:dyDescent="0.25">
      <c r="A10385" t="str">
        <f>"4932201"</f>
        <v>4932201</v>
      </c>
      <c r="B10385" t="s">
        <v>8784</v>
      </c>
      <c r="C10385" t="s">
        <v>209</v>
      </c>
      <c r="D10385" s="21" t="s">
        <v>34</v>
      </c>
      <c r="E10385" s="21" t="s">
        <v>35</v>
      </c>
      <c r="F10385">
        <v>12490070</v>
      </c>
      <c r="G10385" t="s">
        <v>5091</v>
      </c>
      <c r="H10385" s="21">
        <v>982.17</v>
      </c>
    </row>
    <row r="10386" spans="1:8" customFormat="1" x14ac:dyDescent="0.25">
      <c r="A10386" t="str">
        <f>"9445956"</f>
        <v>9445956</v>
      </c>
      <c r="B10386" t="s">
        <v>12635</v>
      </c>
      <c r="C10386" t="s">
        <v>60</v>
      </c>
      <c r="D10386" s="21" t="s">
        <v>34</v>
      </c>
      <c r="E10386" s="21" t="s">
        <v>35</v>
      </c>
      <c r="F10386">
        <v>8941282</v>
      </c>
      <c r="G10386" t="s">
        <v>5040</v>
      </c>
      <c r="H10386" s="21">
        <v>982.17</v>
      </c>
    </row>
    <row r="10387" spans="1:8" customFormat="1" x14ac:dyDescent="0.25">
      <c r="A10387" t="str">
        <f>"7512410"</f>
        <v>7512410</v>
      </c>
      <c r="B10387" t="s">
        <v>646</v>
      </c>
      <c r="C10387" t="s">
        <v>171</v>
      </c>
      <c r="D10387" s="21" t="s">
        <v>34</v>
      </c>
      <c r="E10387" s="21" t="s">
        <v>35</v>
      </c>
      <c r="F10387">
        <v>8750141</v>
      </c>
      <c r="G10387" t="s">
        <v>1514</v>
      </c>
      <c r="H10387" s="21">
        <v>982.04</v>
      </c>
    </row>
    <row r="10388" spans="1:8" customFormat="1" x14ac:dyDescent="0.25">
      <c r="A10388" t="str">
        <f>"863505"</f>
        <v>863505</v>
      </c>
      <c r="B10388" t="s">
        <v>10801</v>
      </c>
      <c r="C10388" t="s">
        <v>249</v>
      </c>
      <c r="D10388" s="21" t="s">
        <v>34</v>
      </c>
      <c r="E10388" s="21" t="s">
        <v>71</v>
      </c>
      <c r="F10388">
        <v>12440073</v>
      </c>
      <c r="G10388" t="s">
        <v>3492</v>
      </c>
      <c r="H10388" s="21">
        <v>981.92</v>
      </c>
    </row>
    <row r="10389" spans="1:8" customFormat="1" x14ac:dyDescent="0.25">
      <c r="A10389" t="str">
        <f>"4446310"</f>
        <v>4446310</v>
      </c>
      <c r="B10389" t="s">
        <v>3890</v>
      </c>
      <c r="C10389" t="s">
        <v>114</v>
      </c>
      <c r="D10389" s="21" t="s">
        <v>34</v>
      </c>
      <c r="E10389" s="21" t="s">
        <v>71</v>
      </c>
      <c r="F10389">
        <v>12440147</v>
      </c>
      <c r="G10389" t="s">
        <v>5472</v>
      </c>
      <c r="H10389" s="21">
        <v>981.92</v>
      </c>
    </row>
    <row r="10390" spans="1:8" customFormat="1" x14ac:dyDescent="0.25">
      <c r="A10390" t="str">
        <f>"225967"</f>
        <v>225967</v>
      </c>
      <c r="B10390" t="s">
        <v>1667</v>
      </c>
      <c r="C10390" t="s">
        <v>2100</v>
      </c>
      <c r="D10390" s="21" t="s">
        <v>34</v>
      </c>
      <c r="E10390" s="21" t="s">
        <v>35</v>
      </c>
      <c r="F10390">
        <v>3220087</v>
      </c>
      <c r="G10390" t="s">
        <v>3540</v>
      </c>
      <c r="H10390" s="21">
        <v>981.79</v>
      </c>
    </row>
    <row r="10391" spans="1:8" customFormat="1" x14ac:dyDescent="0.25">
      <c r="A10391" t="str">
        <f>"6226920"</f>
        <v>6226920</v>
      </c>
      <c r="B10391" t="s">
        <v>366</v>
      </c>
      <c r="C10391" t="s">
        <v>87</v>
      </c>
      <c r="D10391" s="21" t="s">
        <v>34</v>
      </c>
      <c r="E10391" s="21" t="s">
        <v>35</v>
      </c>
      <c r="F10391">
        <v>7620077</v>
      </c>
      <c r="G10391" t="s">
        <v>4131</v>
      </c>
      <c r="H10391" s="21">
        <v>981.67</v>
      </c>
    </row>
    <row r="10392" spans="1:8" customFormat="1" x14ac:dyDescent="0.25">
      <c r="A10392" t="str">
        <f>"331819"</f>
        <v>331819</v>
      </c>
      <c r="B10392" t="s">
        <v>907</v>
      </c>
      <c r="C10392" t="s">
        <v>822</v>
      </c>
      <c r="D10392" s="21" t="s">
        <v>34</v>
      </c>
      <c r="E10392" s="21" t="s">
        <v>1089</v>
      </c>
      <c r="F10392">
        <v>10330076</v>
      </c>
      <c r="G10392" t="s">
        <v>3769</v>
      </c>
      <c r="H10392" s="21">
        <v>981.67</v>
      </c>
    </row>
    <row r="10393" spans="1:8" customFormat="1" x14ac:dyDescent="0.25">
      <c r="A10393" t="str">
        <f>"265751"</f>
        <v>265751</v>
      </c>
      <c r="B10393" t="s">
        <v>8306</v>
      </c>
      <c r="C10393" t="s">
        <v>239</v>
      </c>
      <c r="D10393" s="21" t="s">
        <v>34</v>
      </c>
      <c r="E10393" s="21" t="s">
        <v>254</v>
      </c>
      <c r="F10393">
        <v>13830083</v>
      </c>
      <c r="G10393" t="s">
        <v>2159</v>
      </c>
      <c r="H10393" s="21">
        <v>981.67</v>
      </c>
    </row>
    <row r="10394" spans="1:8" customFormat="1" x14ac:dyDescent="0.25">
      <c r="A10394" t="str">
        <f>"443956"</f>
        <v>443956</v>
      </c>
      <c r="B10394" t="s">
        <v>3646</v>
      </c>
      <c r="C10394" t="s">
        <v>547</v>
      </c>
      <c r="D10394" s="21" t="s">
        <v>34</v>
      </c>
      <c r="E10394" s="21" t="s">
        <v>254</v>
      </c>
      <c r="F10394">
        <v>12440049</v>
      </c>
      <c r="G10394" t="s">
        <v>3339</v>
      </c>
      <c r="H10394" s="21">
        <v>981.67</v>
      </c>
    </row>
    <row r="10395" spans="1:8" customFormat="1" x14ac:dyDescent="0.25">
      <c r="A10395" t="str">
        <f>"7510704"</f>
        <v>7510704</v>
      </c>
      <c r="B10395" t="s">
        <v>9405</v>
      </c>
      <c r="C10395" t="s">
        <v>9406</v>
      </c>
      <c r="D10395" s="21" t="s">
        <v>34</v>
      </c>
      <c r="E10395" s="21" t="s">
        <v>254</v>
      </c>
      <c r="F10395">
        <v>8751423</v>
      </c>
      <c r="G10395" t="s">
        <v>4556</v>
      </c>
      <c r="H10395" s="21">
        <v>981.67</v>
      </c>
    </row>
    <row r="10396" spans="1:8" customFormat="1" x14ac:dyDescent="0.25">
      <c r="A10396" t="str">
        <f>"5923355"</f>
        <v>5923355</v>
      </c>
      <c r="B10396" t="s">
        <v>4834</v>
      </c>
      <c r="C10396" t="s">
        <v>109</v>
      </c>
      <c r="D10396" s="21" t="s">
        <v>34</v>
      </c>
      <c r="E10396" s="21" t="s">
        <v>71</v>
      </c>
      <c r="F10396">
        <v>7590112</v>
      </c>
      <c r="G10396" t="s">
        <v>3534</v>
      </c>
      <c r="H10396" s="21">
        <v>981.67</v>
      </c>
    </row>
    <row r="10397" spans="1:8" customFormat="1" x14ac:dyDescent="0.25">
      <c r="A10397" t="str">
        <f>"714329"</f>
        <v>714329</v>
      </c>
      <c r="B10397" t="s">
        <v>1415</v>
      </c>
      <c r="C10397" t="s">
        <v>269</v>
      </c>
      <c r="D10397" s="21" t="s">
        <v>34</v>
      </c>
      <c r="E10397" s="21" t="s">
        <v>71</v>
      </c>
      <c r="F10397">
        <v>1690160</v>
      </c>
      <c r="G10397" t="s">
        <v>4599</v>
      </c>
      <c r="H10397" s="21">
        <v>981.67</v>
      </c>
    </row>
    <row r="10398" spans="1:8" customFormat="1" x14ac:dyDescent="0.25">
      <c r="A10398" t="str">
        <f>"944846"</f>
        <v>944846</v>
      </c>
      <c r="B10398" t="s">
        <v>10198</v>
      </c>
      <c r="C10398" t="s">
        <v>119</v>
      </c>
      <c r="D10398" s="21" t="s">
        <v>34</v>
      </c>
      <c r="E10398" s="21" t="s">
        <v>71</v>
      </c>
      <c r="F10398">
        <v>8940459</v>
      </c>
      <c r="G10398" t="s">
        <v>743</v>
      </c>
      <c r="H10398" s="21">
        <v>981.67</v>
      </c>
    </row>
    <row r="10399" spans="1:8" customFormat="1" x14ac:dyDescent="0.25">
      <c r="A10399" t="str">
        <f>"6919842"</f>
        <v>6919842</v>
      </c>
      <c r="B10399" t="s">
        <v>1945</v>
      </c>
      <c r="C10399" t="s">
        <v>198</v>
      </c>
      <c r="D10399" s="21" t="s">
        <v>34</v>
      </c>
      <c r="E10399" s="21" t="s">
        <v>71</v>
      </c>
      <c r="F10399">
        <v>1690064</v>
      </c>
      <c r="G10399" t="s">
        <v>9490</v>
      </c>
      <c r="H10399" s="21">
        <v>981.67</v>
      </c>
    </row>
    <row r="10400" spans="1:8" customFormat="1" x14ac:dyDescent="0.25">
      <c r="A10400" t="str">
        <f>"593085"</f>
        <v>593085</v>
      </c>
      <c r="B10400" t="s">
        <v>10120</v>
      </c>
      <c r="C10400" t="s">
        <v>209</v>
      </c>
      <c r="D10400" s="21" t="s">
        <v>34</v>
      </c>
      <c r="E10400" s="21" t="s">
        <v>71</v>
      </c>
      <c r="F10400">
        <v>7590047</v>
      </c>
      <c r="G10400" t="s">
        <v>5788</v>
      </c>
      <c r="H10400" s="21">
        <v>981.67</v>
      </c>
    </row>
    <row r="10401" spans="1:8" customFormat="1" x14ac:dyDescent="0.25">
      <c r="A10401" t="str">
        <f>"8610190"</f>
        <v>8610190</v>
      </c>
      <c r="B10401" t="s">
        <v>27154</v>
      </c>
      <c r="C10401" t="s">
        <v>5525</v>
      </c>
      <c r="D10401" s="21" t="s">
        <v>34</v>
      </c>
      <c r="E10401" s="21" t="s">
        <v>35</v>
      </c>
      <c r="F10401">
        <v>10860193</v>
      </c>
      <c r="G10401" t="s">
        <v>1603</v>
      </c>
      <c r="H10401" s="21">
        <v>981.67</v>
      </c>
    </row>
    <row r="10402" spans="1:8" customFormat="1" x14ac:dyDescent="0.25">
      <c r="A10402" t="str">
        <f>"725812"</f>
        <v>725812</v>
      </c>
      <c r="B10402" t="s">
        <v>9257</v>
      </c>
      <c r="C10402" t="s">
        <v>209</v>
      </c>
      <c r="D10402" s="21" t="s">
        <v>34</v>
      </c>
      <c r="E10402" s="21" t="s">
        <v>71</v>
      </c>
      <c r="F10402">
        <v>12720104</v>
      </c>
      <c r="G10402" t="s">
        <v>224</v>
      </c>
      <c r="H10402" s="21">
        <v>981.67</v>
      </c>
    </row>
    <row r="10403" spans="1:8" customFormat="1" x14ac:dyDescent="0.25">
      <c r="A10403" t="str">
        <f>"279059"</f>
        <v>279059</v>
      </c>
      <c r="B10403" t="s">
        <v>2598</v>
      </c>
      <c r="C10403" t="s">
        <v>65</v>
      </c>
      <c r="D10403" s="21" t="s">
        <v>34</v>
      </c>
      <c r="E10403" s="21" t="s">
        <v>35</v>
      </c>
      <c r="F10403">
        <v>12851011</v>
      </c>
      <c r="G10403" t="s">
        <v>1445</v>
      </c>
      <c r="H10403" s="21">
        <v>981.67</v>
      </c>
    </row>
    <row r="10404" spans="1:8" customFormat="1" x14ac:dyDescent="0.25">
      <c r="A10404" t="str">
        <f>"664993"</f>
        <v>664993</v>
      </c>
      <c r="B10404" t="s">
        <v>27155</v>
      </c>
      <c r="C10404" t="s">
        <v>269</v>
      </c>
      <c r="D10404" s="21" t="s">
        <v>34</v>
      </c>
      <c r="E10404" s="21" t="s">
        <v>71</v>
      </c>
      <c r="F10404">
        <v>11660007</v>
      </c>
      <c r="G10404" t="s">
        <v>5840</v>
      </c>
      <c r="H10404" s="21">
        <v>981.42</v>
      </c>
    </row>
    <row r="10405" spans="1:8" customFormat="1" x14ac:dyDescent="0.25">
      <c r="A10405" t="str">
        <f>"7712688"</f>
        <v>7712688</v>
      </c>
      <c r="B10405" t="s">
        <v>9221</v>
      </c>
      <c r="C10405" t="s">
        <v>9222</v>
      </c>
      <c r="D10405" s="21" t="s">
        <v>34</v>
      </c>
      <c r="E10405" s="21" t="s">
        <v>71</v>
      </c>
      <c r="F10405">
        <v>8770562</v>
      </c>
      <c r="G10405" t="s">
        <v>4847</v>
      </c>
      <c r="H10405" s="21">
        <v>981.3</v>
      </c>
    </row>
    <row r="10406" spans="1:8" customFormat="1" x14ac:dyDescent="0.25">
      <c r="A10406" t="str">
        <f>"5010564"</f>
        <v>5010564</v>
      </c>
      <c r="B10406" t="s">
        <v>10014</v>
      </c>
      <c r="C10406" t="s">
        <v>1605</v>
      </c>
      <c r="D10406" s="21" t="s">
        <v>34</v>
      </c>
      <c r="E10406" s="21" t="s">
        <v>71</v>
      </c>
      <c r="F10406">
        <v>9500059</v>
      </c>
      <c r="G10406" t="s">
        <v>26714</v>
      </c>
      <c r="H10406" s="21">
        <v>981.17</v>
      </c>
    </row>
    <row r="10407" spans="1:8" customFormat="1" x14ac:dyDescent="0.25">
      <c r="A10407" t="str">
        <f>"4437560"</f>
        <v>4437560</v>
      </c>
      <c r="B10407" t="s">
        <v>11058</v>
      </c>
      <c r="C10407" t="s">
        <v>11059</v>
      </c>
      <c r="D10407" s="21" t="s">
        <v>34</v>
      </c>
      <c r="E10407" s="21" t="s">
        <v>35</v>
      </c>
      <c r="F10407">
        <v>12440025</v>
      </c>
      <c r="G10407" t="s">
        <v>6675</v>
      </c>
      <c r="H10407" s="21">
        <v>981.17</v>
      </c>
    </row>
    <row r="10408" spans="1:8" customFormat="1" x14ac:dyDescent="0.25">
      <c r="A10408" t="str">
        <f>"618755"</f>
        <v>618755</v>
      </c>
      <c r="B10408" t="s">
        <v>9285</v>
      </c>
      <c r="C10408" t="s">
        <v>124</v>
      </c>
      <c r="D10408" s="21" t="s">
        <v>34</v>
      </c>
      <c r="E10408" s="21" t="s">
        <v>254</v>
      </c>
      <c r="F10408">
        <v>9610087</v>
      </c>
      <c r="G10408" t="s">
        <v>2661</v>
      </c>
      <c r="H10408" s="21">
        <v>981.17</v>
      </c>
    </row>
    <row r="10409" spans="1:8" customFormat="1" x14ac:dyDescent="0.25">
      <c r="A10409" t="str">
        <f>"166046"</f>
        <v>166046</v>
      </c>
      <c r="B10409" t="s">
        <v>10181</v>
      </c>
      <c r="C10409" t="s">
        <v>2546</v>
      </c>
      <c r="D10409" s="21" t="s">
        <v>34</v>
      </c>
      <c r="E10409" s="21" t="s">
        <v>71</v>
      </c>
      <c r="F10409">
        <v>10160059</v>
      </c>
      <c r="G10409" t="s">
        <v>6791</v>
      </c>
      <c r="H10409" s="21">
        <v>981.17</v>
      </c>
    </row>
    <row r="10410" spans="1:8" customFormat="1" x14ac:dyDescent="0.25">
      <c r="A10410" t="str">
        <f>"402199"</f>
        <v>402199</v>
      </c>
      <c r="B10410" t="s">
        <v>5098</v>
      </c>
      <c r="C10410" t="s">
        <v>1675</v>
      </c>
      <c r="D10410" s="21" t="s">
        <v>34</v>
      </c>
      <c r="E10410" s="21" t="s">
        <v>35</v>
      </c>
      <c r="F10410">
        <v>10400013</v>
      </c>
      <c r="G10410" t="s">
        <v>6238</v>
      </c>
      <c r="H10410" s="21">
        <v>981.17</v>
      </c>
    </row>
    <row r="10411" spans="1:8" customFormat="1" x14ac:dyDescent="0.25">
      <c r="A10411" t="str">
        <f>"3811000"</f>
        <v>3811000</v>
      </c>
      <c r="B10411" t="s">
        <v>10538</v>
      </c>
      <c r="C10411" t="s">
        <v>249</v>
      </c>
      <c r="D10411" s="21" t="s">
        <v>34</v>
      </c>
      <c r="E10411" s="21" t="s">
        <v>35</v>
      </c>
      <c r="F10411">
        <v>1380262</v>
      </c>
      <c r="G10411" t="s">
        <v>1216</v>
      </c>
      <c r="H10411" s="21">
        <v>981.17</v>
      </c>
    </row>
    <row r="10412" spans="1:8" customFormat="1" x14ac:dyDescent="0.25">
      <c r="A10412" t="str">
        <f>"621414"</f>
        <v>621414</v>
      </c>
      <c r="B10412" t="s">
        <v>11133</v>
      </c>
      <c r="C10412" t="s">
        <v>55</v>
      </c>
      <c r="D10412" s="21" t="s">
        <v>34</v>
      </c>
      <c r="E10412" s="21" t="s">
        <v>71</v>
      </c>
      <c r="F10412">
        <v>7620044</v>
      </c>
      <c r="G10412" t="s">
        <v>2961</v>
      </c>
      <c r="H10412" s="21">
        <v>981.17</v>
      </c>
    </row>
    <row r="10413" spans="1:8" customFormat="1" x14ac:dyDescent="0.25">
      <c r="A10413" t="str">
        <f>"088270"</f>
        <v>088270</v>
      </c>
      <c r="B10413" t="s">
        <v>9158</v>
      </c>
      <c r="C10413" t="s">
        <v>486</v>
      </c>
      <c r="D10413" s="21" t="s">
        <v>34</v>
      </c>
      <c r="E10413" s="21" t="s">
        <v>35</v>
      </c>
      <c r="F10413">
        <v>6080029</v>
      </c>
      <c r="G10413" t="s">
        <v>6788</v>
      </c>
      <c r="H10413" s="21">
        <v>981.17</v>
      </c>
    </row>
    <row r="10414" spans="1:8" customFormat="1" x14ac:dyDescent="0.25">
      <c r="A10414" t="str">
        <f>"1711653"</f>
        <v>1711653</v>
      </c>
      <c r="B10414" t="s">
        <v>8039</v>
      </c>
      <c r="C10414" t="s">
        <v>87</v>
      </c>
      <c r="D10414" s="21" t="s">
        <v>34</v>
      </c>
      <c r="E10414" s="21" t="s">
        <v>35</v>
      </c>
      <c r="F10414">
        <v>3560033</v>
      </c>
      <c r="G10414" t="s">
        <v>4927</v>
      </c>
      <c r="H10414" s="21">
        <v>981.17</v>
      </c>
    </row>
    <row r="10415" spans="1:8" customFormat="1" x14ac:dyDescent="0.25">
      <c r="A10415" t="str">
        <f>"7717025"</f>
        <v>7717025</v>
      </c>
      <c r="B10415" t="s">
        <v>10470</v>
      </c>
      <c r="C10415" t="s">
        <v>926</v>
      </c>
      <c r="D10415" s="21" t="s">
        <v>34</v>
      </c>
      <c r="E10415" s="21" t="s">
        <v>71</v>
      </c>
      <c r="F10415">
        <v>8770202</v>
      </c>
      <c r="G10415" t="s">
        <v>1999</v>
      </c>
      <c r="H10415" s="21">
        <v>981.17</v>
      </c>
    </row>
    <row r="10416" spans="1:8" customFormat="1" x14ac:dyDescent="0.25">
      <c r="A10416" t="str">
        <f>"643066"</f>
        <v>643066</v>
      </c>
      <c r="B10416" t="s">
        <v>1533</v>
      </c>
      <c r="C10416" t="s">
        <v>109</v>
      </c>
      <c r="D10416" s="21" t="s">
        <v>34</v>
      </c>
      <c r="E10416" s="21" t="s">
        <v>71</v>
      </c>
      <c r="F10416">
        <v>10640013</v>
      </c>
      <c r="G10416" t="s">
        <v>4626</v>
      </c>
      <c r="H10416" s="21">
        <v>981.17</v>
      </c>
    </row>
    <row r="10417" spans="1:8" customFormat="1" x14ac:dyDescent="0.25">
      <c r="A10417" t="str">
        <f>"777257"</f>
        <v>777257</v>
      </c>
      <c r="B10417" t="s">
        <v>7008</v>
      </c>
      <c r="C10417" t="s">
        <v>55</v>
      </c>
      <c r="D10417" s="21" t="s">
        <v>34</v>
      </c>
      <c r="E10417" s="21" t="s">
        <v>71</v>
      </c>
      <c r="F10417">
        <v>8770988</v>
      </c>
      <c r="G10417" t="s">
        <v>6334</v>
      </c>
      <c r="H10417" s="21">
        <v>981.17</v>
      </c>
    </row>
    <row r="10418" spans="1:8" customFormat="1" x14ac:dyDescent="0.25">
      <c r="A10418" t="str">
        <f>"4438651"</f>
        <v>4438651</v>
      </c>
      <c r="B10418" t="s">
        <v>12628</v>
      </c>
      <c r="C10418" t="s">
        <v>269</v>
      </c>
      <c r="D10418" s="21" t="s">
        <v>34</v>
      </c>
      <c r="E10418" s="21" t="s">
        <v>35</v>
      </c>
      <c r="F10418">
        <v>12440138</v>
      </c>
      <c r="G10418" t="s">
        <v>562</v>
      </c>
      <c r="H10418" s="21">
        <v>981.17</v>
      </c>
    </row>
    <row r="10419" spans="1:8" customFormat="1" x14ac:dyDescent="0.25">
      <c r="A10419" t="str">
        <f>"2813256"</f>
        <v>2813256</v>
      </c>
      <c r="B10419" t="s">
        <v>12166</v>
      </c>
      <c r="C10419" t="s">
        <v>1063</v>
      </c>
      <c r="D10419" s="21" t="s">
        <v>34</v>
      </c>
      <c r="E10419" s="21" t="s">
        <v>35</v>
      </c>
      <c r="F10419">
        <v>4280005</v>
      </c>
      <c r="G10419" t="s">
        <v>5760</v>
      </c>
      <c r="H10419" s="21">
        <v>980.92</v>
      </c>
    </row>
    <row r="10420" spans="1:8" customFormat="1" x14ac:dyDescent="0.25">
      <c r="A10420" t="str">
        <f>"7852495"</f>
        <v>7852495</v>
      </c>
      <c r="B10420" t="s">
        <v>11155</v>
      </c>
      <c r="C10420" t="s">
        <v>33</v>
      </c>
      <c r="D10420" s="21" t="s">
        <v>34</v>
      </c>
      <c r="E10420" s="21" t="s">
        <v>71</v>
      </c>
      <c r="F10420">
        <v>8780660</v>
      </c>
      <c r="G10420" t="s">
        <v>2801</v>
      </c>
      <c r="H10420" s="21">
        <v>980.67</v>
      </c>
    </row>
    <row r="10421" spans="1:8" customFormat="1" x14ac:dyDescent="0.25">
      <c r="A10421" t="str">
        <f>"731208"</f>
        <v>731208</v>
      </c>
      <c r="B10421" t="s">
        <v>3885</v>
      </c>
      <c r="C10421" t="s">
        <v>246</v>
      </c>
      <c r="D10421" s="21" t="s">
        <v>34</v>
      </c>
      <c r="E10421" s="21" t="s">
        <v>71</v>
      </c>
      <c r="F10421">
        <v>1730083</v>
      </c>
      <c r="G10421" t="s">
        <v>10955</v>
      </c>
      <c r="H10421" s="21">
        <v>980.67</v>
      </c>
    </row>
    <row r="10422" spans="1:8" customFormat="1" x14ac:dyDescent="0.25">
      <c r="A10422" t="str">
        <f>"289118"</f>
        <v>289118</v>
      </c>
      <c r="B10422" t="s">
        <v>9949</v>
      </c>
      <c r="C10422" t="s">
        <v>37</v>
      </c>
      <c r="D10422" s="21" t="s">
        <v>34</v>
      </c>
      <c r="E10422" s="21" t="s">
        <v>35</v>
      </c>
      <c r="F10422">
        <v>4280593</v>
      </c>
      <c r="G10422" t="s">
        <v>4536</v>
      </c>
      <c r="H10422" s="21">
        <v>980.67</v>
      </c>
    </row>
    <row r="10423" spans="1:8" customFormat="1" x14ac:dyDescent="0.25">
      <c r="A10423" t="str">
        <f>"5012704"</f>
        <v>5012704</v>
      </c>
      <c r="B10423" t="s">
        <v>8525</v>
      </c>
      <c r="C10423" t="s">
        <v>269</v>
      </c>
      <c r="D10423" s="21" t="s">
        <v>34</v>
      </c>
      <c r="E10423" s="21" t="s">
        <v>35</v>
      </c>
      <c r="F10423">
        <v>9500063</v>
      </c>
      <c r="G10423" t="s">
        <v>4114</v>
      </c>
      <c r="H10423" s="21">
        <v>980.67</v>
      </c>
    </row>
    <row r="10424" spans="1:8" customFormat="1" x14ac:dyDescent="0.25">
      <c r="A10424" t="str">
        <f>"4526358"</f>
        <v>4526358</v>
      </c>
      <c r="B10424" t="s">
        <v>11997</v>
      </c>
      <c r="C10424" t="s">
        <v>90</v>
      </c>
      <c r="D10424" s="21" t="s">
        <v>34</v>
      </c>
      <c r="E10424" s="21" t="s">
        <v>35</v>
      </c>
      <c r="F10424">
        <v>4450580</v>
      </c>
      <c r="G10424" t="s">
        <v>11998</v>
      </c>
      <c r="H10424" s="21">
        <v>980.67</v>
      </c>
    </row>
    <row r="10425" spans="1:8" customFormat="1" x14ac:dyDescent="0.25">
      <c r="A10425" t="str">
        <f>"7637386"</f>
        <v>7637386</v>
      </c>
      <c r="B10425" t="s">
        <v>6088</v>
      </c>
      <c r="C10425" t="s">
        <v>854</v>
      </c>
      <c r="D10425" s="21" t="s">
        <v>34</v>
      </c>
      <c r="E10425" s="21" t="s">
        <v>35</v>
      </c>
      <c r="F10425">
        <v>9760461</v>
      </c>
      <c r="G10425" t="s">
        <v>6804</v>
      </c>
      <c r="H10425" s="21">
        <v>980.67</v>
      </c>
    </row>
    <row r="10426" spans="1:8" customFormat="1" x14ac:dyDescent="0.25">
      <c r="A10426" t="str">
        <f>"533362"</f>
        <v>533362</v>
      </c>
      <c r="B10426" t="s">
        <v>9747</v>
      </c>
      <c r="C10426" t="s">
        <v>926</v>
      </c>
      <c r="D10426" s="21" t="s">
        <v>34</v>
      </c>
      <c r="E10426" s="21" t="s">
        <v>71</v>
      </c>
      <c r="F10426">
        <v>12530010</v>
      </c>
      <c r="G10426" t="s">
        <v>7994</v>
      </c>
      <c r="H10426" s="21">
        <v>980.67</v>
      </c>
    </row>
    <row r="10427" spans="1:8" customFormat="1" x14ac:dyDescent="0.25">
      <c r="A10427" t="str">
        <f>"5311701"</f>
        <v>5311701</v>
      </c>
      <c r="B10427" t="s">
        <v>509</v>
      </c>
      <c r="C10427" t="s">
        <v>33</v>
      </c>
      <c r="D10427" s="21" t="s">
        <v>34</v>
      </c>
      <c r="E10427" s="21" t="s">
        <v>35</v>
      </c>
      <c r="F10427">
        <v>12530003</v>
      </c>
      <c r="G10427" t="s">
        <v>8260</v>
      </c>
      <c r="H10427" s="21">
        <v>980.67</v>
      </c>
    </row>
    <row r="10428" spans="1:8" customFormat="1" x14ac:dyDescent="0.25">
      <c r="A10428" t="str">
        <f>"7620484"</f>
        <v>7620484</v>
      </c>
      <c r="B10428" t="s">
        <v>9181</v>
      </c>
      <c r="C10428" t="s">
        <v>267</v>
      </c>
      <c r="D10428" s="21" t="s">
        <v>34</v>
      </c>
      <c r="E10428" s="21" t="s">
        <v>1089</v>
      </c>
      <c r="F10428">
        <v>9760100</v>
      </c>
      <c r="G10428" t="s">
        <v>9182</v>
      </c>
      <c r="H10428" s="21">
        <v>980.67</v>
      </c>
    </row>
    <row r="10429" spans="1:8" customFormat="1" x14ac:dyDescent="0.25">
      <c r="A10429" t="str">
        <f>"608395"</f>
        <v>608395</v>
      </c>
      <c r="B10429" t="s">
        <v>8660</v>
      </c>
      <c r="C10429" t="s">
        <v>209</v>
      </c>
      <c r="D10429" s="21" t="s">
        <v>34</v>
      </c>
      <c r="E10429" s="21" t="s">
        <v>71</v>
      </c>
      <c r="F10429">
        <v>7600008</v>
      </c>
      <c r="G10429" t="s">
        <v>4646</v>
      </c>
      <c r="H10429" s="21">
        <v>980.67</v>
      </c>
    </row>
    <row r="10430" spans="1:8" customFormat="1" x14ac:dyDescent="0.25">
      <c r="A10430" t="str">
        <f>"244829"</f>
        <v>244829</v>
      </c>
      <c r="B10430" t="s">
        <v>10905</v>
      </c>
      <c r="C10430" t="s">
        <v>275</v>
      </c>
      <c r="D10430" s="21" t="s">
        <v>34</v>
      </c>
      <c r="E10430" s="21" t="s">
        <v>35</v>
      </c>
      <c r="F10430">
        <v>10240003</v>
      </c>
      <c r="G10430" t="s">
        <v>2940</v>
      </c>
      <c r="H10430" s="21">
        <v>980.67</v>
      </c>
    </row>
    <row r="10431" spans="1:8" customFormat="1" x14ac:dyDescent="0.25">
      <c r="A10431" t="str">
        <f>"9126052"</f>
        <v>9126052</v>
      </c>
      <c r="B10431" t="s">
        <v>7583</v>
      </c>
      <c r="C10431" t="s">
        <v>631</v>
      </c>
      <c r="D10431" s="21" t="s">
        <v>34</v>
      </c>
      <c r="E10431" s="21" t="s">
        <v>35</v>
      </c>
      <c r="F10431">
        <v>8910914</v>
      </c>
      <c r="G10431" t="s">
        <v>3302</v>
      </c>
      <c r="H10431" s="21">
        <v>980.67</v>
      </c>
    </row>
    <row r="10432" spans="1:8" customFormat="1" x14ac:dyDescent="0.25">
      <c r="A10432" t="str">
        <f>"631881"</f>
        <v>631881</v>
      </c>
      <c r="B10432" t="s">
        <v>10010</v>
      </c>
      <c r="C10432" t="s">
        <v>263</v>
      </c>
      <c r="D10432" s="21" t="s">
        <v>34</v>
      </c>
      <c r="E10432" s="21" t="s">
        <v>35</v>
      </c>
      <c r="F10432">
        <v>1630241</v>
      </c>
      <c r="G10432" t="s">
        <v>4519</v>
      </c>
      <c r="H10432" s="21">
        <v>980.67</v>
      </c>
    </row>
    <row r="10433" spans="1:8" customFormat="1" x14ac:dyDescent="0.25">
      <c r="A10433" t="str">
        <f>"922768"</f>
        <v>922768</v>
      </c>
      <c r="B10433" t="s">
        <v>1252</v>
      </c>
      <c r="C10433" t="s">
        <v>156</v>
      </c>
      <c r="D10433" s="21" t="s">
        <v>34</v>
      </c>
      <c r="E10433" s="21" t="s">
        <v>71</v>
      </c>
      <c r="F10433">
        <v>8920234</v>
      </c>
      <c r="G10433" t="s">
        <v>1184</v>
      </c>
      <c r="H10433" s="21">
        <v>980.67</v>
      </c>
    </row>
    <row r="10434" spans="1:8" customFormat="1" x14ac:dyDescent="0.25">
      <c r="A10434" t="str">
        <f>"9129973"</f>
        <v>9129973</v>
      </c>
      <c r="B10434" t="s">
        <v>10745</v>
      </c>
      <c r="C10434" t="s">
        <v>7951</v>
      </c>
      <c r="D10434" s="21" t="s">
        <v>34</v>
      </c>
      <c r="E10434" s="21" t="s">
        <v>71</v>
      </c>
      <c r="F10434">
        <v>8911050</v>
      </c>
      <c r="G10434" t="s">
        <v>1606</v>
      </c>
      <c r="H10434" s="21">
        <v>980.67</v>
      </c>
    </row>
    <row r="10435" spans="1:8" customFormat="1" x14ac:dyDescent="0.25">
      <c r="A10435" t="str">
        <f>"5016915"</f>
        <v>5016915</v>
      </c>
      <c r="B10435" t="s">
        <v>2189</v>
      </c>
      <c r="C10435" t="s">
        <v>65</v>
      </c>
      <c r="D10435" s="21" t="s">
        <v>34</v>
      </c>
      <c r="E10435" s="21" t="s">
        <v>254</v>
      </c>
      <c r="F10435">
        <v>9500111</v>
      </c>
      <c r="G10435" t="s">
        <v>6591</v>
      </c>
      <c r="H10435" s="21">
        <v>980.67</v>
      </c>
    </row>
    <row r="10436" spans="1:8" customFormat="1" x14ac:dyDescent="0.25">
      <c r="A10436" t="str">
        <f>"7846996"</f>
        <v>7846996</v>
      </c>
      <c r="B10436" t="s">
        <v>8236</v>
      </c>
      <c r="C10436" t="s">
        <v>139</v>
      </c>
      <c r="D10436" s="21" t="s">
        <v>34</v>
      </c>
      <c r="E10436" s="21" t="s">
        <v>71</v>
      </c>
      <c r="F10436">
        <v>8780401</v>
      </c>
      <c r="G10436" t="s">
        <v>9116</v>
      </c>
      <c r="H10436" s="21">
        <v>980.55</v>
      </c>
    </row>
    <row r="10437" spans="1:8" customFormat="1" x14ac:dyDescent="0.25">
      <c r="A10437" t="str">
        <f>"916571"</f>
        <v>916571</v>
      </c>
      <c r="B10437" t="s">
        <v>4137</v>
      </c>
      <c r="C10437" t="s">
        <v>55</v>
      </c>
      <c r="D10437" s="21" t="s">
        <v>34</v>
      </c>
      <c r="E10437" s="21" t="s">
        <v>35</v>
      </c>
      <c r="F10437">
        <v>8910881</v>
      </c>
      <c r="G10437" t="s">
        <v>1300</v>
      </c>
      <c r="H10437" s="21">
        <v>980.55</v>
      </c>
    </row>
    <row r="10438" spans="1:8" customFormat="1" x14ac:dyDescent="0.25">
      <c r="A10438" t="str">
        <f>"2913922"</f>
        <v>2913922</v>
      </c>
      <c r="B10438" t="s">
        <v>9931</v>
      </c>
      <c r="C10438" t="s">
        <v>9932</v>
      </c>
      <c r="D10438" s="21" t="s">
        <v>34</v>
      </c>
      <c r="E10438" s="21" t="s">
        <v>35</v>
      </c>
      <c r="F10438">
        <v>3290090</v>
      </c>
      <c r="G10438" t="s">
        <v>1390</v>
      </c>
      <c r="H10438" s="21">
        <v>980.42</v>
      </c>
    </row>
    <row r="10439" spans="1:8" customFormat="1" x14ac:dyDescent="0.25">
      <c r="A10439" t="str">
        <f>"67325"</f>
        <v>67325</v>
      </c>
      <c r="B10439" t="s">
        <v>10073</v>
      </c>
      <c r="C10439" t="s">
        <v>1142</v>
      </c>
      <c r="D10439" s="21" t="s">
        <v>34</v>
      </c>
      <c r="E10439" s="21" t="s">
        <v>254</v>
      </c>
      <c r="F10439">
        <v>6670200</v>
      </c>
      <c r="G10439" t="s">
        <v>27156</v>
      </c>
      <c r="H10439" s="21">
        <v>980.42</v>
      </c>
    </row>
    <row r="10440" spans="1:8" customFormat="1" x14ac:dyDescent="0.25">
      <c r="A10440" t="str">
        <f>"5931326"</f>
        <v>5931326</v>
      </c>
      <c r="B10440" t="s">
        <v>3278</v>
      </c>
      <c r="C10440" t="s">
        <v>719</v>
      </c>
      <c r="D10440" s="21" t="s">
        <v>34</v>
      </c>
      <c r="E10440" s="21" t="s">
        <v>35</v>
      </c>
      <c r="F10440">
        <v>7590131</v>
      </c>
      <c r="G10440" t="s">
        <v>6300</v>
      </c>
      <c r="H10440" s="21">
        <v>980.17</v>
      </c>
    </row>
    <row r="10441" spans="1:8" customFormat="1" x14ac:dyDescent="0.25">
      <c r="A10441" t="str">
        <f>"5614455"</f>
        <v>5614455</v>
      </c>
      <c r="B10441" t="s">
        <v>10883</v>
      </c>
      <c r="C10441" t="s">
        <v>462</v>
      </c>
      <c r="D10441" s="21" t="s">
        <v>34</v>
      </c>
      <c r="E10441" s="21" t="s">
        <v>71</v>
      </c>
      <c r="F10441">
        <v>3560031</v>
      </c>
      <c r="G10441" t="s">
        <v>738</v>
      </c>
      <c r="H10441" s="21">
        <v>980.17</v>
      </c>
    </row>
    <row r="10442" spans="1:8" customFormat="1" x14ac:dyDescent="0.25">
      <c r="A10442" t="str">
        <f>"5323095"</f>
        <v>5323095</v>
      </c>
      <c r="B10442" t="s">
        <v>11276</v>
      </c>
      <c r="C10442" t="s">
        <v>249</v>
      </c>
      <c r="D10442" s="21" t="s">
        <v>34</v>
      </c>
      <c r="E10442" s="21" t="s">
        <v>35</v>
      </c>
      <c r="F10442">
        <v>12530090</v>
      </c>
      <c r="G10442" t="s">
        <v>6132</v>
      </c>
      <c r="H10442" s="21">
        <v>980.17</v>
      </c>
    </row>
    <row r="10443" spans="1:8" customFormat="1" x14ac:dyDescent="0.25">
      <c r="A10443" t="str">
        <f>"73538"</f>
        <v>73538</v>
      </c>
      <c r="B10443" t="s">
        <v>9390</v>
      </c>
      <c r="C10443" t="s">
        <v>109</v>
      </c>
      <c r="D10443" s="21" t="s">
        <v>34</v>
      </c>
      <c r="E10443" s="21" t="s">
        <v>35</v>
      </c>
      <c r="F10443">
        <v>1730033</v>
      </c>
      <c r="G10443" t="s">
        <v>2407</v>
      </c>
      <c r="H10443" s="21">
        <v>980.17</v>
      </c>
    </row>
    <row r="10444" spans="1:8" customFormat="1" x14ac:dyDescent="0.25">
      <c r="A10444" t="str">
        <f>"019459"</f>
        <v>019459</v>
      </c>
      <c r="B10444" t="s">
        <v>10792</v>
      </c>
      <c r="C10444" t="s">
        <v>209</v>
      </c>
      <c r="D10444" s="21" t="s">
        <v>34</v>
      </c>
      <c r="E10444" s="21" t="s">
        <v>35</v>
      </c>
      <c r="F10444">
        <v>1010054</v>
      </c>
      <c r="G10444" t="s">
        <v>8991</v>
      </c>
      <c r="H10444" s="21">
        <v>980.17</v>
      </c>
    </row>
    <row r="10445" spans="1:8" customFormat="1" x14ac:dyDescent="0.25">
      <c r="A10445" t="str">
        <f>"164941"</f>
        <v>164941</v>
      </c>
      <c r="B10445" t="s">
        <v>10259</v>
      </c>
      <c r="C10445" t="s">
        <v>198</v>
      </c>
      <c r="D10445" s="21" t="s">
        <v>34</v>
      </c>
      <c r="E10445" s="21" t="s">
        <v>254</v>
      </c>
      <c r="F10445">
        <v>10160018</v>
      </c>
      <c r="G10445" t="s">
        <v>6900</v>
      </c>
      <c r="H10445" s="21">
        <v>980.17</v>
      </c>
    </row>
    <row r="10446" spans="1:8" customFormat="1" x14ac:dyDescent="0.25">
      <c r="A10446" t="str">
        <f>"292069"</f>
        <v>292069</v>
      </c>
      <c r="B10446" t="s">
        <v>10539</v>
      </c>
      <c r="C10446" t="s">
        <v>412</v>
      </c>
      <c r="D10446" s="21" t="s">
        <v>34</v>
      </c>
      <c r="E10446" s="21" t="s">
        <v>71</v>
      </c>
      <c r="F10446">
        <v>3290031</v>
      </c>
      <c r="G10446" t="s">
        <v>8207</v>
      </c>
      <c r="H10446" s="21">
        <v>980.04</v>
      </c>
    </row>
    <row r="10447" spans="1:8" customFormat="1" x14ac:dyDescent="0.25">
      <c r="A10447" t="str">
        <f>"568175"</f>
        <v>568175</v>
      </c>
      <c r="B10447" t="s">
        <v>2954</v>
      </c>
      <c r="C10447" t="s">
        <v>498</v>
      </c>
      <c r="D10447" s="21" t="s">
        <v>34</v>
      </c>
      <c r="E10447" s="21" t="s">
        <v>71</v>
      </c>
      <c r="F10447">
        <v>3560027</v>
      </c>
      <c r="G10447" t="s">
        <v>27143</v>
      </c>
      <c r="H10447" s="21">
        <v>980</v>
      </c>
    </row>
    <row r="10448" spans="1:8" customFormat="1" x14ac:dyDescent="0.25">
      <c r="A10448" t="str">
        <f>"813250"</f>
        <v>813250</v>
      </c>
      <c r="B10448" t="s">
        <v>9443</v>
      </c>
      <c r="C10448" t="s">
        <v>2475</v>
      </c>
      <c r="D10448" s="21" t="s">
        <v>34</v>
      </c>
      <c r="E10448" s="21" t="s">
        <v>71</v>
      </c>
      <c r="F10448">
        <v>11810013</v>
      </c>
      <c r="G10448" t="s">
        <v>8833</v>
      </c>
      <c r="H10448" s="21">
        <v>979.8</v>
      </c>
    </row>
    <row r="10449" spans="1:8" customFormat="1" x14ac:dyDescent="0.25">
      <c r="A10449" t="str">
        <f>"33201"</f>
        <v>33201</v>
      </c>
      <c r="B10449" t="s">
        <v>8002</v>
      </c>
      <c r="C10449" t="s">
        <v>8003</v>
      </c>
      <c r="D10449" s="21" t="s">
        <v>34</v>
      </c>
      <c r="E10449" s="21" t="s">
        <v>1089</v>
      </c>
      <c r="F10449">
        <v>10330003</v>
      </c>
      <c r="G10449" t="s">
        <v>309</v>
      </c>
      <c r="H10449" s="21">
        <v>979.8</v>
      </c>
    </row>
    <row r="10450" spans="1:8" customFormat="1" x14ac:dyDescent="0.25">
      <c r="A10450" t="str">
        <f>"9532969"</f>
        <v>9532969</v>
      </c>
      <c r="B10450" t="s">
        <v>2981</v>
      </c>
      <c r="C10450" t="s">
        <v>3905</v>
      </c>
      <c r="D10450" s="21" t="s">
        <v>34</v>
      </c>
      <c r="E10450" s="21" t="s">
        <v>254</v>
      </c>
      <c r="F10450">
        <v>8950330</v>
      </c>
      <c r="G10450" t="s">
        <v>794</v>
      </c>
      <c r="H10450" s="21">
        <v>979.8</v>
      </c>
    </row>
    <row r="10451" spans="1:8" customFormat="1" x14ac:dyDescent="0.25">
      <c r="A10451" t="str">
        <f>"91635"</f>
        <v>91635</v>
      </c>
      <c r="B10451" t="s">
        <v>556</v>
      </c>
      <c r="C10451" t="s">
        <v>130</v>
      </c>
      <c r="D10451" s="21" t="s">
        <v>34</v>
      </c>
      <c r="E10451" s="21" t="s">
        <v>254</v>
      </c>
      <c r="F10451">
        <v>8910359</v>
      </c>
      <c r="G10451" t="s">
        <v>1204</v>
      </c>
      <c r="H10451" s="21">
        <v>979.79</v>
      </c>
    </row>
    <row r="10452" spans="1:8" customFormat="1" x14ac:dyDescent="0.25">
      <c r="A10452" t="str">
        <f>"9421599"</f>
        <v>9421599</v>
      </c>
      <c r="B10452" t="s">
        <v>3367</v>
      </c>
      <c r="C10452" t="s">
        <v>598</v>
      </c>
      <c r="D10452" s="21" t="s">
        <v>34</v>
      </c>
      <c r="E10452" s="21" t="s">
        <v>254</v>
      </c>
      <c r="F10452">
        <v>8940894</v>
      </c>
      <c r="G10452" t="s">
        <v>481</v>
      </c>
      <c r="H10452" s="21">
        <v>979.79</v>
      </c>
    </row>
    <row r="10453" spans="1:8" customFormat="1" x14ac:dyDescent="0.25">
      <c r="A10453" t="str">
        <f>"4922122"</f>
        <v>4922122</v>
      </c>
      <c r="B10453" t="s">
        <v>1083</v>
      </c>
      <c r="C10453" t="s">
        <v>37</v>
      </c>
      <c r="D10453" s="21" t="s">
        <v>34</v>
      </c>
      <c r="E10453" s="21" t="s">
        <v>35</v>
      </c>
      <c r="F10453">
        <v>12490032</v>
      </c>
      <c r="G10453" t="s">
        <v>6233</v>
      </c>
      <c r="H10453" s="21">
        <v>979.79</v>
      </c>
    </row>
    <row r="10454" spans="1:8" customFormat="1" x14ac:dyDescent="0.25">
      <c r="A10454" t="str">
        <f>"2214901"</f>
        <v>2214901</v>
      </c>
      <c r="B10454" t="s">
        <v>13055</v>
      </c>
      <c r="C10454" t="s">
        <v>33</v>
      </c>
      <c r="D10454" s="21" t="s">
        <v>34</v>
      </c>
      <c r="E10454" s="21" t="s">
        <v>35</v>
      </c>
      <c r="F10454">
        <v>3220002</v>
      </c>
      <c r="G10454" t="s">
        <v>26727</v>
      </c>
      <c r="H10454" s="21">
        <v>979.79</v>
      </c>
    </row>
    <row r="10455" spans="1:8" customFormat="1" x14ac:dyDescent="0.25">
      <c r="A10455" t="str">
        <f>"5613291"</f>
        <v>5613291</v>
      </c>
      <c r="B10455" t="s">
        <v>9308</v>
      </c>
      <c r="C10455" t="s">
        <v>87</v>
      </c>
      <c r="D10455" s="21" t="s">
        <v>34</v>
      </c>
      <c r="E10455" s="21" t="s">
        <v>35</v>
      </c>
      <c r="F10455">
        <v>3560046</v>
      </c>
      <c r="G10455" t="s">
        <v>9309</v>
      </c>
      <c r="H10455" s="21">
        <v>979.67</v>
      </c>
    </row>
    <row r="10456" spans="1:8" customFormat="1" x14ac:dyDescent="0.25">
      <c r="A10456" t="str">
        <f>"762041"</f>
        <v>762041</v>
      </c>
      <c r="B10456" t="s">
        <v>2189</v>
      </c>
      <c r="C10456" t="s">
        <v>2907</v>
      </c>
      <c r="D10456" s="21" t="s">
        <v>34</v>
      </c>
      <c r="E10456" s="21" t="s">
        <v>254</v>
      </c>
      <c r="F10456">
        <v>9760311</v>
      </c>
      <c r="G10456" t="s">
        <v>3015</v>
      </c>
      <c r="H10456" s="21">
        <v>979.67</v>
      </c>
    </row>
    <row r="10457" spans="1:8" customFormat="1" x14ac:dyDescent="0.25">
      <c r="A10457" t="str">
        <f>"23882"</f>
        <v>23882</v>
      </c>
      <c r="B10457" t="s">
        <v>2690</v>
      </c>
      <c r="C10457" t="s">
        <v>2393</v>
      </c>
      <c r="D10457" s="21" t="s">
        <v>34</v>
      </c>
      <c r="E10457" s="21" t="s">
        <v>35</v>
      </c>
      <c r="F10457">
        <v>10230111</v>
      </c>
      <c r="G10457" t="s">
        <v>1980</v>
      </c>
      <c r="H10457" s="21">
        <v>979.67</v>
      </c>
    </row>
    <row r="10458" spans="1:8" customFormat="1" x14ac:dyDescent="0.25">
      <c r="A10458" t="str">
        <f>"85845"</f>
        <v>85845</v>
      </c>
      <c r="B10458" t="s">
        <v>27157</v>
      </c>
      <c r="C10458" t="s">
        <v>37</v>
      </c>
      <c r="D10458" s="21" t="s">
        <v>34</v>
      </c>
      <c r="E10458" s="21" t="s">
        <v>71</v>
      </c>
      <c r="F10458">
        <v>12850040</v>
      </c>
      <c r="G10458" t="s">
        <v>2074</v>
      </c>
      <c r="H10458" s="21">
        <v>979.67</v>
      </c>
    </row>
    <row r="10459" spans="1:8" customFormat="1" x14ac:dyDescent="0.25">
      <c r="A10459" t="str">
        <f>"9128977"</f>
        <v>9128977</v>
      </c>
      <c r="B10459" t="s">
        <v>12026</v>
      </c>
      <c r="C10459" t="s">
        <v>121</v>
      </c>
      <c r="D10459" s="21" t="s">
        <v>34</v>
      </c>
      <c r="E10459" s="21" t="s">
        <v>71</v>
      </c>
      <c r="F10459">
        <v>12850097</v>
      </c>
      <c r="G10459" t="s">
        <v>4111</v>
      </c>
      <c r="H10459" s="21">
        <v>979.67</v>
      </c>
    </row>
    <row r="10460" spans="1:8" customFormat="1" x14ac:dyDescent="0.25">
      <c r="A10460" t="str">
        <f>"032959"</f>
        <v>032959</v>
      </c>
      <c r="B10460" t="s">
        <v>146</v>
      </c>
      <c r="C10460" t="s">
        <v>1714</v>
      </c>
      <c r="D10460" s="21" t="s">
        <v>34</v>
      </c>
      <c r="E10460" s="21" t="s">
        <v>71</v>
      </c>
      <c r="F10460">
        <v>1030094</v>
      </c>
      <c r="G10460" t="s">
        <v>8523</v>
      </c>
      <c r="H10460" s="21">
        <v>979.67</v>
      </c>
    </row>
    <row r="10461" spans="1:8" customFormat="1" x14ac:dyDescent="0.25">
      <c r="A10461" t="str">
        <f>"534167"</f>
        <v>534167</v>
      </c>
      <c r="B10461" t="s">
        <v>10822</v>
      </c>
      <c r="C10461" t="s">
        <v>2520</v>
      </c>
      <c r="D10461" s="21" t="s">
        <v>34</v>
      </c>
      <c r="E10461" s="21" t="s">
        <v>254</v>
      </c>
      <c r="F10461">
        <v>9270181</v>
      </c>
      <c r="G10461" t="s">
        <v>2952</v>
      </c>
      <c r="H10461" s="21">
        <v>979.67</v>
      </c>
    </row>
    <row r="10462" spans="1:8" customFormat="1" x14ac:dyDescent="0.25">
      <c r="A10462" t="str">
        <f>"3322059"</f>
        <v>3322059</v>
      </c>
      <c r="B10462" t="s">
        <v>7041</v>
      </c>
      <c r="C10462" t="s">
        <v>65</v>
      </c>
      <c r="D10462" s="21" t="s">
        <v>34</v>
      </c>
      <c r="E10462" s="21" t="s">
        <v>71</v>
      </c>
      <c r="F10462">
        <v>10330099</v>
      </c>
      <c r="G10462" t="s">
        <v>10670</v>
      </c>
      <c r="H10462" s="21">
        <v>979.67</v>
      </c>
    </row>
    <row r="10463" spans="1:8" customFormat="1" x14ac:dyDescent="0.25">
      <c r="A10463" t="str">
        <f>"865510"</f>
        <v>865510</v>
      </c>
      <c r="B10463" t="s">
        <v>2082</v>
      </c>
      <c r="C10463" t="s">
        <v>98</v>
      </c>
      <c r="D10463" s="21" t="s">
        <v>34</v>
      </c>
      <c r="E10463" s="21" t="s">
        <v>35</v>
      </c>
      <c r="F10463">
        <v>10860122</v>
      </c>
      <c r="G10463" t="s">
        <v>3800</v>
      </c>
      <c r="H10463" s="21">
        <v>979.67</v>
      </c>
    </row>
    <row r="10464" spans="1:8" customFormat="1" x14ac:dyDescent="0.25">
      <c r="A10464" t="str">
        <f>"6015690"</f>
        <v>6015690</v>
      </c>
      <c r="B10464" t="s">
        <v>10667</v>
      </c>
      <c r="C10464" t="s">
        <v>3784</v>
      </c>
      <c r="D10464" s="21" t="s">
        <v>34</v>
      </c>
      <c r="E10464" s="21" t="s">
        <v>254</v>
      </c>
      <c r="F10464">
        <v>11340017</v>
      </c>
      <c r="G10464" t="s">
        <v>10668</v>
      </c>
      <c r="H10464" s="21">
        <v>979.67</v>
      </c>
    </row>
    <row r="10465" spans="1:8" customFormat="1" x14ac:dyDescent="0.25">
      <c r="A10465" t="str">
        <f>"551511"</f>
        <v>551511</v>
      </c>
      <c r="B10465" t="s">
        <v>8585</v>
      </c>
      <c r="C10465" t="s">
        <v>40</v>
      </c>
      <c r="D10465" s="21" t="s">
        <v>34</v>
      </c>
      <c r="E10465" s="21" t="s">
        <v>71</v>
      </c>
      <c r="F10465">
        <v>6550034</v>
      </c>
      <c r="G10465" t="s">
        <v>6218</v>
      </c>
      <c r="H10465" s="21">
        <v>979.67</v>
      </c>
    </row>
    <row r="10466" spans="1:8" customFormat="1" x14ac:dyDescent="0.25">
      <c r="A10466" t="str">
        <f>"706427"</f>
        <v>706427</v>
      </c>
      <c r="B10466" t="s">
        <v>2583</v>
      </c>
      <c r="C10466" t="s">
        <v>114</v>
      </c>
      <c r="D10466" s="21" t="s">
        <v>34</v>
      </c>
      <c r="E10466" s="21" t="s">
        <v>71</v>
      </c>
      <c r="F10466">
        <v>2700074</v>
      </c>
      <c r="G10466" t="s">
        <v>27108</v>
      </c>
      <c r="H10466" s="21">
        <v>979.67</v>
      </c>
    </row>
    <row r="10467" spans="1:8" customFormat="1" x14ac:dyDescent="0.25">
      <c r="A10467" t="str">
        <f>"797455"</f>
        <v>797455</v>
      </c>
      <c r="B10467" t="s">
        <v>11618</v>
      </c>
      <c r="C10467" t="s">
        <v>951</v>
      </c>
      <c r="D10467" s="21" t="s">
        <v>34</v>
      </c>
      <c r="E10467" s="21" t="s">
        <v>35</v>
      </c>
      <c r="F10467">
        <v>7620078</v>
      </c>
      <c r="G10467" t="s">
        <v>7192</v>
      </c>
      <c r="H10467" s="21">
        <v>979.67</v>
      </c>
    </row>
    <row r="10468" spans="1:8" customFormat="1" x14ac:dyDescent="0.25">
      <c r="A10468" t="str">
        <f>"672037"</f>
        <v>672037</v>
      </c>
      <c r="B10468" t="s">
        <v>1048</v>
      </c>
      <c r="C10468" t="s">
        <v>1665</v>
      </c>
      <c r="D10468" s="21" t="s">
        <v>34</v>
      </c>
      <c r="E10468" s="21" t="s">
        <v>71</v>
      </c>
      <c r="F10468">
        <v>10160003</v>
      </c>
      <c r="G10468" t="s">
        <v>4692</v>
      </c>
      <c r="H10468" s="21">
        <v>979.67</v>
      </c>
    </row>
    <row r="10469" spans="1:8" customFormat="1" x14ac:dyDescent="0.25">
      <c r="A10469" t="str">
        <f>"635702"</f>
        <v>635702</v>
      </c>
      <c r="B10469" t="s">
        <v>255</v>
      </c>
      <c r="C10469" t="s">
        <v>2520</v>
      </c>
      <c r="D10469" s="21" t="s">
        <v>34</v>
      </c>
      <c r="E10469" s="21" t="s">
        <v>254</v>
      </c>
      <c r="F10469">
        <v>1630078</v>
      </c>
      <c r="G10469" t="s">
        <v>326</v>
      </c>
      <c r="H10469" s="21">
        <v>979.67</v>
      </c>
    </row>
    <row r="10470" spans="1:8" customFormat="1" x14ac:dyDescent="0.25">
      <c r="A10470" t="str">
        <f>"177325"</f>
        <v>177325</v>
      </c>
      <c r="B10470" t="s">
        <v>10151</v>
      </c>
      <c r="C10470" t="s">
        <v>209</v>
      </c>
      <c r="D10470" s="21" t="s">
        <v>34</v>
      </c>
      <c r="E10470" s="21" t="s">
        <v>71</v>
      </c>
      <c r="F10470">
        <v>10170046</v>
      </c>
      <c r="G10470" t="s">
        <v>7370</v>
      </c>
      <c r="H10470" s="21">
        <v>979.67</v>
      </c>
    </row>
    <row r="10471" spans="1:8" customFormat="1" x14ac:dyDescent="0.25">
      <c r="A10471" t="str">
        <f>"733101"</f>
        <v>733101</v>
      </c>
      <c r="B10471" t="s">
        <v>6472</v>
      </c>
      <c r="C10471" t="s">
        <v>55</v>
      </c>
      <c r="D10471" s="21" t="s">
        <v>34</v>
      </c>
      <c r="E10471" s="21" t="s">
        <v>35</v>
      </c>
      <c r="F10471">
        <v>1730051</v>
      </c>
      <c r="G10471" t="s">
        <v>5293</v>
      </c>
      <c r="H10471" s="21">
        <v>979.67</v>
      </c>
    </row>
    <row r="10472" spans="1:8" customFormat="1" x14ac:dyDescent="0.25">
      <c r="A10472" t="str">
        <f>"626816"</f>
        <v>626816</v>
      </c>
      <c r="B10472" t="s">
        <v>3089</v>
      </c>
      <c r="C10472" t="s">
        <v>1132</v>
      </c>
      <c r="D10472" s="21" t="s">
        <v>34</v>
      </c>
      <c r="E10472" s="21" t="s">
        <v>71</v>
      </c>
      <c r="F10472">
        <v>7620040</v>
      </c>
      <c r="G10472" t="s">
        <v>1319</v>
      </c>
      <c r="H10472" s="21">
        <v>979.67</v>
      </c>
    </row>
    <row r="10473" spans="1:8" customFormat="1" x14ac:dyDescent="0.25">
      <c r="A10473" t="str">
        <f>"38267"</f>
        <v>38267</v>
      </c>
      <c r="B10473" t="s">
        <v>9028</v>
      </c>
      <c r="C10473" t="s">
        <v>750</v>
      </c>
      <c r="D10473" s="21" t="s">
        <v>34</v>
      </c>
      <c r="E10473" s="21" t="s">
        <v>254</v>
      </c>
      <c r="F10473">
        <v>1380028</v>
      </c>
      <c r="G10473" t="s">
        <v>374</v>
      </c>
      <c r="H10473" s="21">
        <v>979.67</v>
      </c>
    </row>
    <row r="10474" spans="1:8" customFormat="1" x14ac:dyDescent="0.25">
      <c r="A10474" t="str">
        <f>"9214865"</f>
        <v>9214865</v>
      </c>
      <c r="B10474" t="s">
        <v>9599</v>
      </c>
      <c r="C10474" t="s">
        <v>10442</v>
      </c>
      <c r="D10474" s="21" t="s">
        <v>34</v>
      </c>
      <c r="E10474" s="21" t="s">
        <v>254</v>
      </c>
      <c r="F10474">
        <v>8920025</v>
      </c>
      <c r="G10474" t="s">
        <v>159</v>
      </c>
      <c r="H10474" s="21">
        <v>979.54</v>
      </c>
    </row>
    <row r="10475" spans="1:8" customFormat="1" x14ac:dyDescent="0.25">
      <c r="A10475" t="str">
        <f>"9424298"</f>
        <v>9424298</v>
      </c>
      <c r="B10475" t="s">
        <v>9819</v>
      </c>
      <c r="C10475" t="s">
        <v>879</v>
      </c>
      <c r="D10475" s="21" t="s">
        <v>34</v>
      </c>
      <c r="E10475" s="21" t="s">
        <v>71</v>
      </c>
      <c r="F10475">
        <v>8940942</v>
      </c>
      <c r="G10475" t="s">
        <v>8505</v>
      </c>
      <c r="H10475" s="21">
        <v>979.29</v>
      </c>
    </row>
    <row r="10476" spans="1:8" customFormat="1" x14ac:dyDescent="0.25">
      <c r="A10476" t="str">
        <f>"07590"</f>
        <v>07590</v>
      </c>
      <c r="B10476" t="s">
        <v>9159</v>
      </c>
      <c r="C10476" t="s">
        <v>121</v>
      </c>
      <c r="D10476" s="21" t="s">
        <v>34</v>
      </c>
      <c r="E10476" s="21" t="s">
        <v>71</v>
      </c>
      <c r="F10476">
        <v>1260062</v>
      </c>
      <c r="G10476" t="s">
        <v>6156</v>
      </c>
      <c r="H10476" s="21">
        <v>979.17</v>
      </c>
    </row>
    <row r="10477" spans="1:8" customFormat="1" x14ac:dyDescent="0.25">
      <c r="A10477" t="str">
        <f>"536080"</f>
        <v>536080</v>
      </c>
      <c r="B10477" t="s">
        <v>4668</v>
      </c>
      <c r="C10477" t="s">
        <v>712</v>
      </c>
      <c r="D10477" s="21" t="s">
        <v>34</v>
      </c>
      <c r="E10477" s="21" t="s">
        <v>71</v>
      </c>
      <c r="F10477">
        <v>12530087</v>
      </c>
      <c r="G10477" t="s">
        <v>3860</v>
      </c>
      <c r="H10477" s="21">
        <v>979.17</v>
      </c>
    </row>
    <row r="10478" spans="1:8" customFormat="1" x14ac:dyDescent="0.25">
      <c r="A10478" t="str">
        <f>"4511813"</f>
        <v>4511813</v>
      </c>
      <c r="B10478" t="s">
        <v>9325</v>
      </c>
      <c r="C10478" t="s">
        <v>33</v>
      </c>
      <c r="D10478" s="21" t="s">
        <v>34</v>
      </c>
      <c r="E10478" s="21" t="s">
        <v>35</v>
      </c>
      <c r="F10478">
        <v>4450576</v>
      </c>
      <c r="G10478" t="s">
        <v>26857</v>
      </c>
      <c r="H10478" s="21">
        <v>979.17</v>
      </c>
    </row>
    <row r="10479" spans="1:8" customFormat="1" x14ac:dyDescent="0.25">
      <c r="A10479" t="str">
        <f>"941327"</f>
        <v>941327</v>
      </c>
      <c r="B10479" t="s">
        <v>10996</v>
      </c>
      <c r="C10479" t="s">
        <v>2520</v>
      </c>
      <c r="D10479" s="21" t="s">
        <v>34</v>
      </c>
      <c r="E10479" s="21" t="s">
        <v>1089</v>
      </c>
      <c r="F10479">
        <v>8940866</v>
      </c>
      <c r="G10479" t="s">
        <v>519</v>
      </c>
      <c r="H10479" s="21">
        <v>979.17</v>
      </c>
    </row>
    <row r="10480" spans="1:8" customFormat="1" x14ac:dyDescent="0.25">
      <c r="A10480" t="str">
        <f>"5729422"</f>
        <v>5729422</v>
      </c>
      <c r="B10480" t="s">
        <v>12667</v>
      </c>
      <c r="C10480" t="s">
        <v>204</v>
      </c>
      <c r="D10480" s="21" t="s">
        <v>34</v>
      </c>
      <c r="E10480" s="21" t="s">
        <v>35</v>
      </c>
      <c r="F10480">
        <v>6570008</v>
      </c>
      <c r="G10480" t="s">
        <v>899</v>
      </c>
      <c r="H10480" s="21">
        <v>979.17</v>
      </c>
    </row>
    <row r="10481" spans="1:8" customFormat="1" x14ac:dyDescent="0.25">
      <c r="A10481" t="str">
        <f>"258319"</f>
        <v>258319</v>
      </c>
      <c r="B10481" t="s">
        <v>10831</v>
      </c>
      <c r="C10481" t="s">
        <v>2520</v>
      </c>
      <c r="D10481" s="21" t="s">
        <v>34</v>
      </c>
      <c r="E10481" s="21" t="s">
        <v>254</v>
      </c>
      <c r="F10481">
        <v>2250186</v>
      </c>
      <c r="G10481" t="s">
        <v>7290</v>
      </c>
      <c r="H10481" s="21">
        <v>979.17</v>
      </c>
    </row>
    <row r="10482" spans="1:8" customFormat="1" x14ac:dyDescent="0.25">
      <c r="A10482" t="str">
        <f>"286296"</f>
        <v>286296</v>
      </c>
      <c r="B10482" t="s">
        <v>8479</v>
      </c>
      <c r="C10482" t="s">
        <v>114</v>
      </c>
      <c r="D10482" s="21" t="s">
        <v>34</v>
      </c>
      <c r="E10482" s="21" t="s">
        <v>71</v>
      </c>
      <c r="F10482">
        <v>4280104</v>
      </c>
      <c r="G10482" t="s">
        <v>8480</v>
      </c>
      <c r="H10482" s="21">
        <v>979.17</v>
      </c>
    </row>
    <row r="10483" spans="1:8" customFormat="1" x14ac:dyDescent="0.25">
      <c r="A10483" t="str">
        <f>"216608"</f>
        <v>216608</v>
      </c>
      <c r="B10483" t="s">
        <v>8609</v>
      </c>
      <c r="C10483" t="s">
        <v>119</v>
      </c>
      <c r="D10483" s="21" t="s">
        <v>34</v>
      </c>
      <c r="E10483" s="21" t="s">
        <v>35</v>
      </c>
      <c r="F10483">
        <v>2210088</v>
      </c>
      <c r="G10483" t="s">
        <v>2896</v>
      </c>
      <c r="H10483" s="21">
        <v>979.17</v>
      </c>
    </row>
    <row r="10484" spans="1:8" customFormat="1" x14ac:dyDescent="0.25">
      <c r="A10484" t="str">
        <f>"597186"</f>
        <v>597186</v>
      </c>
      <c r="B10484" t="s">
        <v>9647</v>
      </c>
      <c r="C10484" t="s">
        <v>1489</v>
      </c>
      <c r="D10484" s="21" t="s">
        <v>34</v>
      </c>
      <c r="E10484" s="21" t="s">
        <v>254</v>
      </c>
      <c r="F10484">
        <v>7590027</v>
      </c>
      <c r="G10484" t="s">
        <v>629</v>
      </c>
      <c r="H10484" s="21">
        <v>979.17</v>
      </c>
    </row>
    <row r="10485" spans="1:8" customFormat="1" x14ac:dyDescent="0.25">
      <c r="A10485" t="str">
        <f>"5948281"</f>
        <v>5948281</v>
      </c>
      <c r="B10485" t="s">
        <v>3591</v>
      </c>
      <c r="C10485" t="s">
        <v>127</v>
      </c>
      <c r="D10485" s="21" t="s">
        <v>34</v>
      </c>
      <c r="E10485" s="21" t="s">
        <v>35</v>
      </c>
      <c r="F10485">
        <v>7590099</v>
      </c>
      <c r="G10485" t="s">
        <v>5792</v>
      </c>
      <c r="H10485" s="21">
        <v>979.17</v>
      </c>
    </row>
    <row r="10486" spans="1:8" customFormat="1" x14ac:dyDescent="0.25">
      <c r="A10486" t="str">
        <f>"3422403"</f>
        <v>3422403</v>
      </c>
      <c r="B10486" t="s">
        <v>13476</v>
      </c>
      <c r="C10486" t="s">
        <v>87</v>
      </c>
      <c r="D10486" s="21" t="s">
        <v>34</v>
      </c>
      <c r="E10486" s="21" t="s">
        <v>35</v>
      </c>
      <c r="F10486">
        <v>11340033</v>
      </c>
      <c r="G10486" t="s">
        <v>433</v>
      </c>
      <c r="H10486" s="21">
        <v>978.92</v>
      </c>
    </row>
    <row r="10487" spans="1:8" customFormat="1" x14ac:dyDescent="0.25">
      <c r="A10487" t="str">
        <f>"2923149"</f>
        <v>2923149</v>
      </c>
      <c r="B10487" t="s">
        <v>11297</v>
      </c>
      <c r="C10487" t="s">
        <v>598</v>
      </c>
      <c r="D10487" s="21" t="s">
        <v>34</v>
      </c>
      <c r="E10487" s="21" t="s">
        <v>35</v>
      </c>
      <c r="F10487">
        <v>3290047</v>
      </c>
      <c r="G10487" t="s">
        <v>2874</v>
      </c>
      <c r="H10487" s="21">
        <v>978.92</v>
      </c>
    </row>
    <row r="10488" spans="1:8" customFormat="1" x14ac:dyDescent="0.25">
      <c r="A10488" t="str">
        <f>"493147"</f>
        <v>493147</v>
      </c>
      <c r="B10488" t="s">
        <v>10132</v>
      </c>
      <c r="C10488" t="s">
        <v>2730</v>
      </c>
      <c r="D10488" s="21" t="s">
        <v>34</v>
      </c>
      <c r="E10488" s="21" t="s">
        <v>254</v>
      </c>
      <c r="F10488">
        <v>12490030</v>
      </c>
      <c r="G10488" t="s">
        <v>8366</v>
      </c>
      <c r="H10488" s="21">
        <v>978.79</v>
      </c>
    </row>
    <row r="10489" spans="1:8" customFormat="1" x14ac:dyDescent="0.25">
      <c r="A10489" t="str">
        <f>"7640802"</f>
        <v>7640802</v>
      </c>
      <c r="B10489" t="s">
        <v>12888</v>
      </c>
      <c r="C10489" t="s">
        <v>253</v>
      </c>
      <c r="D10489" s="21" t="s">
        <v>34</v>
      </c>
      <c r="E10489" s="21" t="s">
        <v>254</v>
      </c>
      <c r="F10489">
        <v>9760214</v>
      </c>
      <c r="G10489" t="s">
        <v>12889</v>
      </c>
      <c r="H10489" s="21">
        <v>978.67</v>
      </c>
    </row>
    <row r="10490" spans="1:8" customFormat="1" x14ac:dyDescent="0.25">
      <c r="A10490" t="str">
        <f>"0617417"</f>
        <v>0617417</v>
      </c>
      <c r="B10490" t="s">
        <v>877</v>
      </c>
      <c r="C10490" t="s">
        <v>109</v>
      </c>
      <c r="D10490" s="21" t="s">
        <v>34</v>
      </c>
      <c r="E10490" s="21" t="s">
        <v>35</v>
      </c>
      <c r="F10490">
        <v>13060066</v>
      </c>
      <c r="G10490" t="s">
        <v>2556</v>
      </c>
      <c r="H10490" s="21">
        <v>978.67</v>
      </c>
    </row>
    <row r="10491" spans="1:8" customFormat="1" x14ac:dyDescent="0.25">
      <c r="A10491" t="str">
        <f>"768677"</f>
        <v>768677</v>
      </c>
      <c r="B10491" t="s">
        <v>7529</v>
      </c>
      <c r="C10491" t="s">
        <v>98</v>
      </c>
      <c r="D10491" s="21" t="s">
        <v>34</v>
      </c>
      <c r="E10491" s="21" t="s">
        <v>35</v>
      </c>
      <c r="F10491">
        <v>9760007</v>
      </c>
      <c r="G10491" t="s">
        <v>7255</v>
      </c>
      <c r="H10491" s="21">
        <v>978.67</v>
      </c>
    </row>
    <row r="10492" spans="1:8" customFormat="1" x14ac:dyDescent="0.25">
      <c r="A10492" t="str">
        <f>"9523964"</f>
        <v>9523964</v>
      </c>
      <c r="B10492" t="s">
        <v>10449</v>
      </c>
      <c r="C10492" t="s">
        <v>10450</v>
      </c>
      <c r="D10492" s="21" t="s">
        <v>34</v>
      </c>
      <c r="E10492" s="21" t="s">
        <v>35</v>
      </c>
      <c r="F10492">
        <v>8931032</v>
      </c>
      <c r="G10492" t="s">
        <v>10451</v>
      </c>
      <c r="H10492" s="21">
        <v>978.67</v>
      </c>
    </row>
    <row r="10493" spans="1:8" customFormat="1" x14ac:dyDescent="0.25">
      <c r="A10493" t="str">
        <f>"9116152"</f>
        <v>9116152</v>
      </c>
      <c r="B10493" t="s">
        <v>1103</v>
      </c>
      <c r="C10493" t="s">
        <v>269</v>
      </c>
      <c r="D10493" s="21" t="s">
        <v>34</v>
      </c>
      <c r="E10493" s="21" t="s">
        <v>71</v>
      </c>
      <c r="F10493">
        <v>8911132</v>
      </c>
      <c r="G10493" t="s">
        <v>10728</v>
      </c>
      <c r="H10493" s="21">
        <v>978.67</v>
      </c>
    </row>
    <row r="10494" spans="1:8" customFormat="1" x14ac:dyDescent="0.25">
      <c r="A10494" t="str">
        <f>"7720091"</f>
        <v>7720091</v>
      </c>
      <c r="B10494" t="s">
        <v>10036</v>
      </c>
      <c r="C10494" t="s">
        <v>4823</v>
      </c>
      <c r="D10494" s="21" t="s">
        <v>34</v>
      </c>
      <c r="E10494" s="21" t="s">
        <v>35</v>
      </c>
      <c r="F10494">
        <v>13060102</v>
      </c>
      <c r="G10494" t="s">
        <v>2918</v>
      </c>
      <c r="H10494" s="21">
        <v>978.67</v>
      </c>
    </row>
    <row r="10495" spans="1:8" customFormat="1" x14ac:dyDescent="0.25">
      <c r="A10495" t="str">
        <f>"7627998"</f>
        <v>7627998</v>
      </c>
      <c r="B10495" t="s">
        <v>5651</v>
      </c>
      <c r="C10495" t="s">
        <v>239</v>
      </c>
      <c r="D10495" s="21" t="s">
        <v>34</v>
      </c>
      <c r="E10495" s="21" t="s">
        <v>71</v>
      </c>
      <c r="F10495">
        <v>9760014</v>
      </c>
      <c r="G10495" t="s">
        <v>1017</v>
      </c>
      <c r="H10495" s="21">
        <v>978.67</v>
      </c>
    </row>
    <row r="10496" spans="1:8" customFormat="1" x14ac:dyDescent="0.25">
      <c r="A10496" t="str">
        <f>"422359"</f>
        <v>422359</v>
      </c>
      <c r="B10496" t="s">
        <v>2548</v>
      </c>
      <c r="C10496" t="s">
        <v>453</v>
      </c>
      <c r="D10496" s="21" t="s">
        <v>34</v>
      </c>
      <c r="E10496" s="21" t="s">
        <v>254</v>
      </c>
      <c r="F10496">
        <v>1420151</v>
      </c>
      <c r="G10496" t="s">
        <v>6802</v>
      </c>
      <c r="H10496" s="21">
        <v>978.67</v>
      </c>
    </row>
    <row r="10497" spans="1:8" customFormat="1" x14ac:dyDescent="0.25">
      <c r="A10497" t="str">
        <f>"56626"</f>
        <v>56626</v>
      </c>
      <c r="B10497" t="s">
        <v>9820</v>
      </c>
      <c r="C10497" t="s">
        <v>119</v>
      </c>
      <c r="D10497" s="21" t="s">
        <v>34</v>
      </c>
      <c r="E10497" s="21" t="s">
        <v>35</v>
      </c>
      <c r="F10497">
        <v>3560034</v>
      </c>
      <c r="G10497" t="s">
        <v>2220</v>
      </c>
      <c r="H10497" s="21">
        <v>978.67</v>
      </c>
    </row>
    <row r="10498" spans="1:8" customFormat="1" x14ac:dyDescent="0.25">
      <c r="A10498" t="str">
        <f>"5934090"</f>
        <v>5934090</v>
      </c>
      <c r="B10498" t="s">
        <v>4107</v>
      </c>
      <c r="C10498" t="s">
        <v>462</v>
      </c>
      <c r="D10498" s="21" t="s">
        <v>34</v>
      </c>
      <c r="E10498" s="21" t="s">
        <v>71</v>
      </c>
      <c r="F10498">
        <v>7590123</v>
      </c>
      <c r="G10498" t="s">
        <v>85</v>
      </c>
      <c r="H10498" s="21">
        <v>978.67</v>
      </c>
    </row>
    <row r="10499" spans="1:8" customFormat="1" x14ac:dyDescent="0.25">
      <c r="A10499" t="str">
        <f>"3518852"</f>
        <v>3518852</v>
      </c>
      <c r="B10499" t="s">
        <v>5501</v>
      </c>
      <c r="C10499" t="s">
        <v>204</v>
      </c>
      <c r="D10499" s="21" t="s">
        <v>34</v>
      </c>
      <c r="E10499" s="21" t="s">
        <v>35</v>
      </c>
      <c r="F10499">
        <v>3350148</v>
      </c>
      <c r="G10499" t="s">
        <v>7497</v>
      </c>
      <c r="H10499" s="21">
        <v>978.67</v>
      </c>
    </row>
    <row r="10500" spans="1:8" customFormat="1" x14ac:dyDescent="0.25">
      <c r="A10500" t="str">
        <f>"6018300"</f>
        <v>6018300</v>
      </c>
      <c r="B10500" t="s">
        <v>10075</v>
      </c>
      <c r="C10500" t="s">
        <v>139</v>
      </c>
      <c r="D10500" s="21" t="s">
        <v>34</v>
      </c>
      <c r="E10500" s="21" t="s">
        <v>35</v>
      </c>
      <c r="F10500">
        <v>7600112</v>
      </c>
      <c r="G10500" t="s">
        <v>9272</v>
      </c>
      <c r="H10500" s="21">
        <v>978.67</v>
      </c>
    </row>
    <row r="10501" spans="1:8" customFormat="1" x14ac:dyDescent="0.25">
      <c r="A10501" t="str">
        <f>"3325643"</f>
        <v>3325643</v>
      </c>
      <c r="B10501" t="s">
        <v>6805</v>
      </c>
      <c r="C10501" t="s">
        <v>2529</v>
      </c>
      <c r="D10501" s="21" t="s">
        <v>34</v>
      </c>
      <c r="E10501" s="21" t="s">
        <v>71</v>
      </c>
      <c r="F10501">
        <v>10330030</v>
      </c>
      <c r="G10501" t="s">
        <v>2990</v>
      </c>
      <c r="H10501" s="21">
        <v>978.67</v>
      </c>
    </row>
    <row r="10502" spans="1:8" customFormat="1" x14ac:dyDescent="0.25">
      <c r="A10502" t="str">
        <f>"2917351"</f>
        <v>2917351</v>
      </c>
      <c r="B10502" t="s">
        <v>1974</v>
      </c>
      <c r="C10502" t="s">
        <v>1665</v>
      </c>
      <c r="D10502" s="21" t="s">
        <v>34</v>
      </c>
      <c r="E10502" s="21" t="s">
        <v>254</v>
      </c>
      <c r="F10502">
        <v>3290285</v>
      </c>
      <c r="G10502" t="s">
        <v>2234</v>
      </c>
      <c r="H10502" s="21">
        <v>978.55</v>
      </c>
    </row>
    <row r="10503" spans="1:8" customFormat="1" x14ac:dyDescent="0.25">
      <c r="A10503" t="str">
        <f>"9212403"</f>
        <v>9212403</v>
      </c>
      <c r="B10503" t="s">
        <v>11509</v>
      </c>
      <c r="C10503" t="s">
        <v>11510</v>
      </c>
      <c r="D10503" s="21" t="s">
        <v>34</v>
      </c>
      <c r="E10503" s="21" t="s">
        <v>71</v>
      </c>
      <c r="F10503">
        <v>8920049</v>
      </c>
      <c r="G10503" t="s">
        <v>237</v>
      </c>
      <c r="H10503" s="21">
        <v>978.54</v>
      </c>
    </row>
    <row r="10504" spans="1:8" customFormat="1" x14ac:dyDescent="0.25">
      <c r="A10504" t="str">
        <f>"383143"</f>
        <v>383143</v>
      </c>
      <c r="B10504" t="s">
        <v>9541</v>
      </c>
      <c r="C10504" t="s">
        <v>598</v>
      </c>
      <c r="D10504" s="21" t="s">
        <v>34</v>
      </c>
      <c r="E10504" s="21" t="s">
        <v>1089</v>
      </c>
      <c r="F10504">
        <v>1380189</v>
      </c>
      <c r="G10504" t="s">
        <v>8143</v>
      </c>
      <c r="H10504" s="21">
        <v>978.42</v>
      </c>
    </row>
    <row r="10505" spans="1:8" customFormat="1" x14ac:dyDescent="0.25">
      <c r="A10505" t="str">
        <f>"70177"</f>
        <v>70177</v>
      </c>
      <c r="B10505" t="s">
        <v>2362</v>
      </c>
      <c r="C10505" t="s">
        <v>2529</v>
      </c>
      <c r="D10505" s="21" t="s">
        <v>34</v>
      </c>
      <c r="E10505" s="21" t="s">
        <v>254</v>
      </c>
      <c r="F10505">
        <v>2700018</v>
      </c>
      <c r="G10505" t="s">
        <v>3723</v>
      </c>
      <c r="H10505" s="21">
        <v>978.17</v>
      </c>
    </row>
    <row r="10506" spans="1:8" customFormat="1" x14ac:dyDescent="0.25">
      <c r="A10506" t="str">
        <f>"618521"</f>
        <v>618521</v>
      </c>
      <c r="B10506" t="s">
        <v>1462</v>
      </c>
      <c r="C10506" t="s">
        <v>124</v>
      </c>
      <c r="D10506" s="21" t="s">
        <v>34</v>
      </c>
      <c r="E10506" s="21" t="s">
        <v>35</v>
      </c>
      <c r="F10506">
        <v>9610122</v>
      </c>
      <c r="G10506" t="s">
        <v>4349</v>
      </c>
      <c r="H10506" s="21">
        <v>978.17</v>
      </c>
    </row>
    <row r="10507" spans="1:8" customFormat="1" x14ac:dyDescent="0.25">
      <c r="A10507" t="str">
        <f>"185587"</f>
        <v>185587</v>
      </c>
      <c r="B10507" t="s">
        <v>12508</v>
      </c>
      <c r="C10507" t="s">
        <v>187</v>
      </c>
      <c r="D10507" s="21" t="s">
        <v>34</v>
      </c>
      <c r="E10507" s="21" t="s">
        <v>35</v>
      </c>
      <c r="F10507">
        <v>4180727</v>
      </c>
      <c r="G10507" t="s">
        <v>8025</v>
      </c>
      <c r="H10507" s="21">
        <v>978.17</v>
      </c>
    </row>
    <row r="10508" spans="1:8" customFormat="1" x14ac:dyDescent="0.25">
      <c r="A10508" t="str">
        <f>"081044"</f>
        <v>081044</v>
      </c>
      <c r="B10508" t="s">
        <v>11306</v>
      </c>
      <c r="C10508" t="s">
        <v>90</v>
      </c>
      <c r="D10508" s="21" t="s">
        <v>34</v>
      </c>
      <c r="E10508" s="21" t="s">
        <v>71</v>
      </c>
      <c r="F10508">
        <v>6080044</v>
      </c>
      <c r="G10508" t="s">
        <v>7450</v>
      </c>
      <c r="H10508" s="21">
        <v>978.17</v>
      </c>
    </row>
    <row r="10509" spans="1:8" customFormat="1" x14ac:dyDescent="0.25">
      <c r="A10509" t="str">
        <f>"5928317"</f>
        <v>5928317</v>
      </c>
      <c r="B10509" t="s">
        <v>512</v>
      </c>
      <c r="C10509" t="s">
        <v>127</v>
      </c>
      <c r="D10509" s="21" t="s">
        <v>34</v>
      </c>
      <c r="E10509" s="21" t="s">
        <v>35</v>
      </c>
      <c r="F10509">
        <v>7590088</v>
      </c>
      <c r="G10509" t="s">
        <v>11178</v>
      </c>
      <c r="H10509" s="21">
        <v>978.17</v>
      </c>
    </row>
    <row r="10510" spans="1:8" customFormat="1" x14ac:dyDescent="0.25">
      <c r="A10510" t="str">
        <f>"5966305"</f>
        <v>5966305</v>
      </c>
      <c r="B10510" t="s">
        <v>12653</v>
      </c>
      <c r="C10510" t="s">
        <v>33</v>
      </c>
      <c r="D10510" s="21" t="s">
        <v>34</v>
      </c>
      <c r="E10510" s="21" t="s">
        <v>71</v>
      </c>
      <c r="F10510">
        <v>7590100</v>
      </c>
      <c r="G10510" t="s">
        <v>1660</v>
      </c>
      <c r="H10510" s="21">
        <v>978.17</v>
      </c>
    </row>
    <row r="10511" spans="1:8" customFormat="1" x14ac:dyDescent="0.25">
      <c r="A10511" t="str">
        <f>"257562"</f>
        <v>257562</v>
      </c>
      <c r="B10511" t="s">
        <v>4244</v>
      </c>
      <c r="C10511" t="s">
        <v>415</v>
      </c>
      <c r="D10511" s="21" t="s">
        <v>34</v>
      </c>
      <c r="E10511" s="21" t="s">
        <v>1089</v>
      </c>
      <c r="F10511">
        <v>2250024</v>
      </c>
      <c r="G10511" t="s">
        <v>751</v>
      </c>
      <c r="H10511" s="21">
        <v>978.17</v>
      </c>
    </row>
    <row r="10512" spans="1:8" customFormat="1" x14ac:dyDescent="0.25">
      <c r="A10512" t="str">
        <f>"534706"</f>
        <v>534706</v>
      </c>
      <c r="B10512" t="s">
        <v>27158</v>
      </c>
      <c r="C10512" t="s">
        <v>209</v>
      </c>
      <c r="D10512" s="21" t="s">
        <v>34</v>
      </c>
      <c r="E10512" s="21" t="s">
        <v>254</v>
      </c>
      <c r="F10512">
        <v>12851024</v>
      </c>
      <c r="G10512" t="s">
        <v>25858</v>
      </c>
      <c r="H10512" s="21">
        <v>978.17</v>
      </c>
    </row>
    <row r="10513" spans="1:8" customFormat="1" x14ac:dyDescent="0.25">
      <c r="A10513" t="str">
        <f>"801410"</f>
        <v>801410</v>
      </c>
      <c r="B10513" t="s">
        <v>4495</v>
      </c>
      <c r="C10513" t="s">
        <v>1110</v>
      </c>
      <c r="D10513" s="21" t="s">
        <v>34</v>
      </c>
      <c r="E10513" s="21" t="s">
        <v>254</v>
      </c>
      <c r="F10513">
        <v>7800064</v>
      </c>
      <c r="G10513" t="s">
        <v>4496</v>
      </c>
      <c r="H10513" s="21">
        <v>978.17</v>
      </c>
    </row>
    <row r="10514" spans="1:8" customFormat="1" x14ac:dyDescent="0.25">
      <c r="A10514" t="str">
        <f>"5969196"</f>
        <v>5969196</v>
      </c>
      <c r="B10514" t="s">
        <v>10129</v>
      </c>
      <c r="C10514" t="s">
        <v>2730</v>
      </c>
      <c r="D10514" s="21" t="s">
        <v>34</v>
      </c>
      <c r="E10514" s="21" t="s">
        <v>71</v>
      </c>
      <c r="F10514">
        <v>7590003</v>
      </c>
      <c r="G10514" t="s">
        <v>1166</v>
      </c>
      <c r="H10514" s="21">
        <v>978.17</v>
      </c>
    </row>
    <row r="10515" spans="1:8" customFormat="1" x14ac:dyDescent="0.25">
      <c r="A10515" t="str">
        <f>"2810568"</f>
        <v>2810568</v>
      </c>
      <c r="B10515" t="s">
        <v>10561</v>
      </c>
      <c r="C10515" t="s">
        <v>486</v>
      </c>
      <c r="D10515" s="21" t="s">
        <v>34</v>
      </c>
      <c r="E10515" s="21" t="s">
        <v>35</v>
      </c>
      <c r="F10515">
        <v>4280716</v>
      </c>
      <c r="G10515" t="s">
        <v>5281</v>
      </c>
      <c r="H10515" s="21">
        <v>978.17</v>
      </c>
    </row>
    <row r="10516" spans="1:8" customFormat="1" x14ac:dyDescent="0.25">
      <c r="A10516" t="str">
        <f>"5923389"</f>
        <v>5923389</v>
      </c>
      <c r="B10516" t="s">
        <v>27159</v>
      </c>
      <c r="C10516" t="s">
        <v>121</v>
      </c>
      <c r="D10516" s="21" t="s">
        <v>34</v>
      </c>
      <c r="E10516" s="21" t="s">
        <v>35</v>
      </c>
      <c r="F10516">
        <v>7590288</v>
      </c>
      <c r="G10516" t="s">
        <v>6972</v>
      </c>
      <c r="H10516" s="21">
        <v>978.17</v>
      </c>
    </row>
    <row r="10517" spans="1:8" customFormat="1" x14ac:dyDescent="0.25">
      <c r="A10517" t="str">
        <f>"5717151"</f>
        <v>5717151</v>
      </c>
      <c r="B10517" t="s">
        <v>10681</v>
      </c>
      <c r="C10517" t="s">
        <v>328</v>
      </c>
      <c r="D10517" s="21" t="s">
        <v>34</v>
      </c>
      <c r="E10517" s="21" t="s">
        <v>254</v>
      </c>
      <c r="F10517">
        <v>6570200</v>
      </c>
      <c r="G10517" t="s">
        <v>10682</v>
      </c>
      <c r="H10517" s="21">
        <v>978.17</v>
      </c>
    </row>
    <row r="10518" spans="1:8" customFormat="1" x14ac:dyDescent="0.25">
      <c r="A10518" t="str">
        <f>"0112737"</f>
        <v>0112737</v>
      </c>
      <c r="B10518" t="s">
        <v>11796</v>
      </c>
      <c r="C10518" t="s">
        <v>40</v>
      </c>
      <c r="D10518" s="21" t="s">
        <v>34</v>
      </c>
      <c r="E10518" s="21" t="s">
        <v>71</v>
      </c>
      <c r="F10518">
        <v>1010027</v>
      </c>
      <c r="G10518" t="s">
        <v>6318</v>
      </c>
      <c r="H10518" s="21">
        <v>978.17</v>
      </c>
    </row>
    <row r="10519" spans="1:8" customFormat="1" x14ac:dyDescent="0.25">
      <c r="A10519" t="str">
        <f>"06115"</f>
        <v>06115</v>
      </c>
      <c r="B10519" t="s">
        <v>9951</v>
      </c>
      <c r="C10519" t="s">
        <v>453</v>
      </c>
      <c r="D10519" s="21" t="s">
        <v>34</v>
      </c>
      <c r="E10519" s="21" t="s">
        <v>1089</v>
      </c>
      <c r="F10519">
        <v>13060005</v>
      </c>
      <c r="G10519" t="s">
        <v>3609</v>
      </c>
      <c r="H10519" s="21">
        <v>978.04</v>
      </c>
    </row>
    <row r="10520" spans="1:8" customFormat="1" x14ac:dyDescent="0.25">
      <c r="A10520" t="str">
        <f>"86322"</f>
        <v>86322</v>
      </c>
      <c r="B10520" t="s">
        <v>2722</v>
      </c>
      <c r="C10520" t="s">
        <v>209</v>
      </c>
      <c r="D10520" s="21" t="s">
        <v>34</v>
      </c>
      <c r="E10520" s="21" t="s">
        <v>254</v>
      </c>
      <c r="F10520">
        <v>10860017</v>
      </c>
      <c r="G10520" t="s">
        <v>2439</v>
      </c>
      <c r="H10520" s="21">
        <v>978</v>
      </c>
    </row>
    <row r="10521" spans="1:8" customFormat="1" x14ac:dyDescent="0.25">
      <c r="A10521" t="str">
        <f>"674638"</f>
        <v>674638</v>
      </c>
      <c r="B10521" t="s">
        <v>9256</v>
      </c>
      <c r="C10521" t="s">
        <v>2907</v>
      </c>
      <c r="D10521" s="21" t="s">
        <v>34</v>
      </c>
      <c r="E10521" s="21" t="s">
        <v>71</v>
      </c>
      <c r="F10521">
        <v>11340007</v>
      </c>
      <c r="G10521" t="s">
        <v>2278</v>
      </c>
      <c r="H10521" s="21">
        <v>977.92</v>
      </c>
    </row>
    <row r="10522" spans="1:8" customFormat="1" x14ac:dyDescent="0.25">
      <c r="A10522" t="str">
        <f>"4927681"</f>
        <v>4927681</v>
      </c>
      <c r="B10522" t="s">
        <v>1278</v>
      </c>
      <c r="C10522" t="s">
        <v>817</v>
      </c>
      <c r="D10522" s="21" t="s">
        <v>34</v>
      </c>
      <c r="E10522" s="21" t="s">
        <v>71</v>
      </c>
      <c r="F10522">
        <v>12490030</v>
      </c>
      <c r="G10522" t="s">
        <v>8366</v>
      </c>
      <c r="H10522" s="21">
        <v>977.92</v>
      </c>
    </row>
    <row r="10523" spans="1:8" customFormat="1" x14ac:dyDescent="0.25">
      <c r="A10523" t="str">
        <f>"5954252"</f>
        <v>5954252</v>
      </c>
      <c r="B10523" t="s">
        <v>9386</v>
      </c>
      <c r="C10523" t="s">
        <v>62</v>
      </c>
      <c r="D10523" s="21" t="s">
        <v>34</v>
      </c>
      <c r="E10523" s="21" t="s">
        <v>35</v>
      </c>
      <c r="F10523">
        <v>7590080</v>
      </c>
      <c r="G10523" t="s">
        <v>1715</v>
      </c>
      <c r="H10523" s="21">
        <v>977.92</v>
      </c>
    </row>
    <row r="10524" spans="1:8" customFormat="1" x14ac:dyDescent="0.25">
      <c r="A10524" t="str">
        <f>"5935415"</f>
        <v>5935415</v>
      </c>
      <c r="B10524" t="s">
        <v>8062</v>
      </c>
      <c r="C10524" t="s">
        <v>2566</v>
      </c>
      <c r="D10524" s="21" t="s">
        <v>34</v>
      </c>
      <c r="E10524" s="21" t="s">
        <v>71</v>
      </c>
      <c r="F10524">
        <v>7590392</v>
      </c>
      <c r="G10524" t="s">
        <v>154</v>
      </c>
      <c r="H10524" s="21">
        <v>977.92</v>
      </c>
    </row>
    <row r="10525" spans="1:8" customFormat="1" x14ac:dyDescent="0.25">
      <c r="A10525" t="str">
        <f>"7212791"</f>
        <v>7212791</v>
      </c>
      <c r="B10525" t="s">
        <v>6240</v>
      </c>
      <c r="C10525" t="s">
        <v>249</v>
      </c>
      <c r="D10525" s="21" t="s">
        <v>34</v>
      </c>
      <c r="E10525" s="21" t="s">
        <v>35</v>
      </c>
      <c r="F10525">
        <v>12720056</v>
      </c>
      <c r="G10525" t="s">
        <v>9231</v>
      </c>
      <c r="H10525" s="21">
        <v>977.67</v>
      </c>
    </row>
    <row r="10526" spans="1:8" customFormat="1" x14ac:dyDescent="0.25">
      <c r="A10526" t="str">
        <f>"722239"</f>
        <v>722239</v>
      </c>
      <c r="B10526" t="s">
        <v>10070</v>
      </c>
      <c r="C10526" t="s">
        <v>171</v>
      </c>
      <c r="D10526" s="21" t="s">
        <v>34</v>
      </c>
      <c r="E10526" s="21" t="s">
        <v>35</v>
      </c>
      <c r="F10526">
        <v>10870031</v>
      </c>
      <c r="G10526" t="s">
        <v>959</v>
      </c>
      <c r="H10526" s="21">
        <v>977.67</v>
      </c>
    </row>
    <row r="10527" spans="1:8" customFormat="1" x14ac:dyDescent="0.25">
      <c r="A10527" t="str">
        <f>"747877"</f>
        <v>747877</v>
      </c>
      <c r="B10527" t="s">
        <v>2854</v>
      </c>
      <c r="C10527" t="s">
        <v>40</v>
      </c>
      <c r="D10527" s="21" t="s">
        <v>34</v>
      </c>
      <c r="E10527" s="21" t="s">
        <v>71</v>
      </c>
      <c r="F10527">
        <v>1740075</v>
      </c>
      <c r="G10527" t="s">
        <v>10362</v>
      </c>
      <c r="H10527" s="21">
        <v>977.67</v>
      </c>
    </row>
    <row r="10528" spans="1:8" customFormat="1" x14ac:dyDescent="0.25">
      <c r="A10528" t="str">
        <f>"4432127"</f>
        <v>4432127</v>
      </c>
      <c r="B10528" t="s">
        <v>10913</v>
      </c>
      <c r="C10528" t="s">
        <v>65</v>
      </c>
      <c r="D10528" s="21" t="s">
        <v>34</v>
      </c>
      <c r="E10528" s="21" t="s">
        <v>35</v>
      </c>
      <c r="F10528">
        <v>12440262</v>
      </c>
      <c r="G10528" t="s">
        <v>4590</v>
      </c>
      <c r="H10528" s="21">
        <v>977.67</v>
      </c>
    </row>
    <row r="10529" spans="1:8" customFormat="1" x14ac:dyDescent="0.25">
      <c r="A10529" t="str">
        <f>"8011261"</f>
        <v>8011261</v>
      </c>
      <c r="B10529" t="s">
        <v>10777</v>
      </c>
      <c r="C10529" t="s">
        <v>139</v>
      </c>
      <c r="D10529" s="21" t="s">
        <v>34</v>
      </c>
      <c r="E10529" s="21" t="s">
        <v>35</v>
      </c>
      <c r="F10529">
        <v>7800013</v>
      </c>
      <c r="G10529" t="s">
        <v>10778</v>
      </c>
      <c r="H10529" s="21">
        <v>977.67</v>
      </c>
    </row>
    <row r="10530" spans="1:8" customFormat="1" x14ac:dyDescent="0.25">
      <c r="A10530" t="str">
        <f>"5937498"</f>
        <v>5937498</v>
      </c>
      <c r="B10530" t="s">
        <v>1016</v>
      </c>
      <c r="C10530" t="s">
        <v>119</v>
      </c>
      <c r="D10530" s="21" t="s">
        <v>34</v>
      </c>
      <c r="E10530" s="21" t="s">
        <v>35</v>
      </c>
      <c r="F10530">
        <v>7590040</v>
      </c>
      <c r="G10530" t="s">
        <v>104</v>
      </c>
      <c r="H10530" s="21">
        <v>977.67</v>
      </c>
    </row>
    <row r="10531" spans="1:8" customFormat="1" x14ac:dyDescent="0.25">
      <c r="A10531" t="str">
        <f>"195656"</f>
        <v>195656</v>
      </c>
      <c r="B10531" t="s">
        <v>10953</v>
      </c>
      <c r="C10531" t="s">
        <v>926</v>
      </c>
      <c r="D10531" s="21" t="s">
        <v>34</v>
      </c>
      <c r="E10531" s="21" t="s">
        <v>71</v>
      </c>
      <c r="F10531">
        <v>10190145</v>
      </c>
      <c r="G10531" t="s">
        <v>10954</v>
      </c>
      <c r="H10531" s="21">
        <v>977.67</v>
      </c>
    </row>
    <row r="10532" spans="1:8" customFormat="1" x14ac:dyDescent="0.25">
      <c r="A10532" t="str">
        <f>"7519161"</f>
        <v>7519161</v>
      </c>
      <c r="B10532" t="s">
        <v>11986</v>
      </c>
      <c r="C10532" t="s">
        <v>486</v>
      </c>
      <c r="D10532" s="21" t="s">
        <v>34</v>
      </c>
      <c r="E10532" s="21" t="s">
        <v>71</v>
      </c>
      <c r="F10532">
        <v>8750100</v>
      </c>
      <c r="G10532" t="s">
        <v>10521</v>
      </c>
      <c r="H10532" s="21">
        <v>977.67</v>
      </c>
    </row>
    <row r="10533" spans="1:8" customFormat="1" x14ac:dyDescent="0.25">
      <c r="A10533" t="str">
        <f>"2444"</f>
        <v>2444</v>
      </c>
      <c r="B10533" t="s">
        <v>10346</v>
      </c>
      <c r="C10533" t="s">
        <v>239</v>
      </c>
      <c r="D10533" s="21" t="s">
        <v>34</v>
      </c>
      <c r="E10533" s="21" t="s">
        <v>254</v>
      </c>
      <c r="F10533">
        <v>10240002</v>
      </c>
      <c r="G10533" t="s">
        <v>2935</v>
      </c>
      <c r="H10533" s="21">
        <v>977.67</v>
      </c>
    </row>
    <row r="10534" spans="1:8" customFormat="1" x14ac:dyDescent="0.25">
      <c r="A10534" t="str">
        <f>"542604"</f>
        <v>542604</v>
      </c>
      <c r="B10534" t="s">
        <v>9078</v>
      </c>
      <c r="C10534" t="s">
        <v>275</v>
      </c>
      <c r="D10534" s="21" t="s">
        <v>34</v>
      </c>
      <c r="E10534" s="21" t="s">
        <v>35</v>
      </c>
      <c r="F10534">
        <v>6540008</v>
      </c>
      <c r="G10534" t="s">
        <v>3891</v>
      </c>
      <c r="H10534" s="21">
        <v>977.67</v>
      </c>
    </row>
    <row r="10535" spans="1:8" customFormat="1" x14ac:dyDescent="0.25">
      <c r="A10535" t="str">
        <f>"4438457"</f>
        <v>4438457</v>
      </c>
      <c r="B10535" t="s">
        <v>12448</v>
      </c>
      <c r="C10535" t="s">
        <v>171</v>
      </c>
      <c r="D10535" s="21" t="s">
        <v>34</v>
      </c>
      <c r="E10535" s="21" t="s">
        <v>254</v>
      </c>
      <c r="F10535">
        <v>12440038</v>
      </c>
      <c r="G10535" t="s">
        <v>2057</v>
      </c>
      <c r="H10535" s="21">
        <v>977.67</v>
      </c>
    </row>
    <row r="10536" spans="1:8" customFormat="1" x14ac:dyDescent="0.25">
      <c r="A10536" t="str">
        <f>"243808"</f>
        <v>243808</v>
      </c>
      <c r="B10536" t="s">
        <v>27160</v>
      </c>
      <c r="C10536" t="s">
        <v>62</v>
      </c>
      <c r="D10536" s="21" t="s">
        <v>34</v>
      </c>
      <c r="E10536" s="21" t="s">
        <v>35</v>
      </c>
      <c r="F10536">
        <v>10240030</v>
      </c>
      <c r="G10536" t="s">
        <v>8997</v>
      </c>
      <c r="H10536" s="21">
        <v>977.67</v>
      </c>
    </row>
    <row r="10537" spans="1:8" customFormat="1" x14ac:dyDescent="0.25">
      <c r="A10537" t="str">
        <f>"52546"</f>
        <v>52546</v>
      </c>
      <c r="B10537" t="s">
        <v>208</v>
      </c>
      <c r="C10537" t="s">
        <v>156</v>
      </c>
      <c r="D10537" s="21" t="s">
        <v>34</v>
      </c>
      <c r="E10537" s="21" t="s">
        <v>1089</v>
      </c>
      <c r="F10537">
        <v>6520001</v>
      </c>
      <c r="G10537" t="s">
        <v>7318</v>
      </c>
      <c r="H10537" s="21">
        <v>977.67</v>
      </c>
    </row>
    <row r="10538" spans="1:8" customFormat="1" x14ac:dyDescent="0.25">
      <c r="A10538" t="str">
        <f>"5953012"</f>
        <v>5953012</v>
      </c>
      <c r="B10538" t="s">
        <v>10532</v>
      </c>
      <c r="C10538" t="s">
        <v>40</v>
      </c>
      <c r="D10538" s="21" t="s">
        <v>34</v>
      </c>
      <c r="E10538" s="21" t="s">
        <v>71</v>
      </c>
      <c r="F10538">
        <v>7590005</v>
      </c>
      <c r="G10538" t="s">
        <v>540</v>
      </c>
      <c r="H10538" s="21">
        <v>977.5</v>
      </c>
    </row>
    <row r="10539" spans="1:8" customFormat="1" x14ac:dyDescent="0.25">
      <c r="A10539" t="str">
        <f>"252919"</f>
        <v>252919</v>
      </c>
      <c r="B10539" t="s">
        <v>2476</v>
      </c>
      <c r="C10539" t="s">
        <v>33</v>
      </c>
      <c r="D10539" s="21" t="s">
        <v>34</v>
      </c>
      <c r="E10539" s="21" t="s">
        <v>71</v>
      </c>
      <c r="F10539">
        <v>2250154</v>
      </c>
      <c r="G10539" t="s">
        <v>1973</v>
      </c>
      <c r="H10539" s="21">
        <v>977.29</v>
      </c>
    </row>
    <row r="10540" spans="1:8" customFormat="1" x14ac:dyDescent="0.25">
      <c r="A10540" t="str">
        <f>"279084"</f>
        <v>279084</v>
      </c>
      <c r="B10540" t="s">
        <v>1320</v>
      </c>
      <c r="C10540" t="s">
        <v>206</v>
      </c>
      <c r="D10540" s="21" t="s">
        <v>34</v>
      </c>
      <c r="E10540" s="21" t="s">
        <v>35</v>
      </c>
      <c r="F10540">
        <v>9270161</v>
      </c>
      <c r="G10540" t="s">
        <v>10104</v>
      </c>
      <c r="H10540" s="21">
        <v>977.17</v>
      </c>
    </row>
    <row r="10541" spans="1:8" customFormat="1" x14ac:dyDescent="0.25">
      <c r="A10541" t="str">
        <f>"6917463"</f>
        <v>6917463</v>
      </c>
      <c r="B10541" t="s">
        <v>10556</v>
      </c>
      <c r="C10541" t="s">
        <v>33</v>
      </c>
      <c r="D10541" s="21" t="s">
        <v>34</v>
      </c>
      <c r="E10541" s="21" t="s">
        <v>35</v>
      </c>
      <c r="F10541">
        <v>1690156</v>
      </c>
      <c r="G10541" t="s">
        <v>7062</v>
      </c>
      <c r="H10541" s="21">
        <v>977.17</v>
      </c>
    </row>
    <row r="10542" spans="1:8" customFormat="1" x14ac:dyDescent="0.25">
      <c r="A10542" t="str">
        <f>"6217190"</f>
        <v>6217190</v>
      </c>
      <c r="B10542" t="s">
        <v>10780</v>
      </c>
      <c r="C10542" t="s">
        <v>60</v>
      </c>
      <c r="D10542" s="21" t="s">
        <v>34</v>
      </c>
      <c r="E10542" s="21" t="s">
        <v>35</v>
      </c>
      <c r="F10542">
        <v>7620007</v>
      </c>
      <c r="G10542" t="s">
        <v>2133</v>
      </c>
      <c r="H10542" s="21">
        <v>977.17</v>
      </c>
    </row>
    <row r="10543" spans="1:8" customFormat="1" x14ac:dyDescent="0.25">
      <c r="A10543" t="str">
        <f>"9112440"</f>
        <v>9112440</v>
      </c>
      <c r="B10543" t="s">
        <v>10172</v>
      </c>
      <c r="C10543" t="s">
        <v>114</v>
      </c>
      <c r="D10543" s="21" t="s">
        <v>34</v>
      </c>
      <c r="E10543" s="21" t="s">
        <v>35</v>
      </c>
      <c r="F10543">
        <v>10330002</v>
      </c>
      <c r="G10543" t="s">
        <v>53</v>
      </c>
      <c r="H10543" s="21">
        <v>977.17</v>
      </c>
    </row>
    <row r="10544" spans="1:8" customFormat="1" x14ac:dyDescent="0.25">
      <c r="A10544" t="str">
        <f>"5425870"</f>
        <v>5425870</v>
      </c>
      <c r="B10544" t="s">
        <v>10646</v>
      </c>
      <c r="C10544" t="s">
        <v>149</v>
      </c>
      <c r="D10544" s="21" t="s">
        <v>34</v>
      </c>
      <c r="E10544" s="21" t="s">
        <v>35</v>
      </c>
      <c r="F10544">
        <v>13840058</v>
      </c>
      <c r="G10544" t="s">
        <v>7032</v>
      </c>
      <c r="H10544" s="21">
        <v>977.17</v>
      </c>
    </row>
    <row r="10545" spans="1:8" customFormat="1" x14ac:dyDescent="0.25">
      <c r="A10545" t="str">
        <f>"574820"</f>
        <v>574820</v>
      </c>
      <c r="B10545" t="s">
        <v>690</v>
      </c>
      <c r="C10545" t="s">
        <v>2730</v>
      </c>
      <c r="D10545" s="21" t="s">
        <v>34</v>
      </c>
      <c r="E10545" s="21" t="s">
        <v>71</v>
      </c>
      <c r="F10545">
        <v>6670195</v>
      </c>
      <c r="G10545" t="s">
        <v>3974</v>
      </c>
      <c r="H10545" s="21">
        <v>977.17</v>
      </c>
    </row>
    <row r="10546" spans="1:8" customFormat="1" x14ac:dyDescent="0.25">
      <c r="A10546" t="str">
        <f>"7850194"</f>
        <v>7850194</v>
      </c>
      <c r="B10546" t="s">
        <v>11470</v>
      </c>
      <c r="C10546" t="s">
        <v>598</v>
      </c>
      <c r="D10546" s="21" t="s">
        <v>34</v>
      </c>
      <c r="E10546" s="21" t="s">
        <v>35</v>
      </c>
      <c r="F10546">
        <v>11310124</v>
      </c>
      <c r="G10546" t="s">
        <v>7977</v>
      </c>
      <c r="H10546" s="21">
        <v>977.17</v>
      </c>
    </row>
    <row r="10547" spans="1:8" customFormat="1" x14ac:dyDescent="0.25">
      <c r="A10547" t="str">
        <f>"1314448"</f>
        <v>1314448</v>
      </c>
      <c r="B10547" t="s">
        <v>9643</v>
      </c>
      <c r="C10547" t="s">
        <v>2546</v>
      </c>
      <c r="D10547" s="21" t="s">
        <v>34</v>
      </c>
      <c r="E10547" s="21" t="s">
        <v>254</v>
      </c>
      <c r="F10547">
        <v>13130138</v>
      </c>
      <c r="G10547" t="s">
        <v>5409</v>
      </c>
      <c r="H10547" s="21">
        <v>977.17</v>
      </c>
    </row>
    <row r="10548" spans="1:8" customFormat="1" x14ac:dyDescent="0.25">
      <c r="A10548" t="str">
        <f>"5980875"</f>
        <v>5980875</v>
      </c>
      <c r="B10548" t="s">
        <v>16918</v>
      </c>
      <c r="C10548" t="s">
        <v>244</v>
      </c>
      <c r="D10548" s="21" t="s">
        <v>34</v>
      </c>
      <c r="E10548" s="21" t="s">
        <v>35</v>
      </c>
      <c r="F10548">
        <v>7590184</v>
      </c>
      <c r="G10548" t="s">
        <v>6722</v>
      </c>
      <c r="H10548" s="21">
        <v>977.17</v>
      </c>
    </row>
    <row r="10549" spans="1:8" customFormat="1" x14ac:dyDescent="0.25">
      <c r="A10549" t="str">
        <f>"7112389"</f>
        <v>7112389</v>
      </c>
      <c r="B10549" t="s">
        <v>11105</v>
      </c>
      <c r="C10549" t="s">
        <v>209</v>
      </c>
      <c r="D10549" s="21" t="s">
        <v>34</v>
      </c>
      <c r="E10549" s="21" t="s">
        <v>35</v>
      </c>
      <c r="F10549">
        <v>2710035</v>
      </c>
      <c r="G10549" t="s">
        <v>7300</v>
      </c>
      <c r="H10549" s="21">
        <v>977.17</v>
      </c>
    </row>
    <row r="10550" spans="1:8" customFormat="1" x14ac:dyDescent="0.25">
      <c r="A10550" t="str">
        <f>"6311933"</f>
        <v>6311933</v>
      </c>
      <c r="B10550" t="s">
        <v>9665</v>
      </c>
      <c r="C10550" t="s">
        <v>547</v>
      </c>
      <c r="D10550" s="21" t="s">
        <v>34</v>
      </c>
      <c r="E10550" s="21" t="s">
        <v>254</v>
      </c>
      <c r="F10550">
        <v>1630301</v>
      </c>
      <c r="G10550" t="s">
        <v>7897</v>
      </c>
      <c r="H10550" s="21">
        <v>977.17</v>
      </c>
    </row>
    <row r="10551" spans="1:8" customFormat="1" x14ac:dyDescent="0.25">
      <c r="A10551" t="str">
        <f>"6212340"</f>
        <v>6212340</v>
      </c>
      <c r="B10551" t="s">
        <v>465</v>
      </c>
      <c r="C10551" t="s">
        <v>204</v>
      </c>
      <c r="D10551" s="21" t="s">
        <v>34</v>
      </c>
      <c r="E10551" s="21" t="s">
        <v>35</v>
      </c>
      <c r="F10551">
        <v>7620104</v>
      </c>
      <c r="G10551" t="s">
        <v>635</v>
      </c>
      <c r="H10551" s="21">
        <v>977.17</v>
      </c>
    </row>
    <row r="10552" spans="1:8" customFormat="1" x14ac:dyDescent="0.25">
      <c r="A10552" t="str">
        <f>"3518439"</f>
        <v>3518439</v>
      </c>
      <c r="B10552" t="s">
        <v>10193</v>
      </c>
      <c r="C10552" t="s">
        <v>124</v>
      </c>
      <c r="D10552" s="21" t="s">
        <v>34</v>
      </c>
      <c r="E10552" s="21" t="s">
        <v>71</v>
      </c>
      <c r="F10552">
        <v>3350022</v>
      </c>
      <c r="G10552" t="s">
        <v>1287</v>
      </c>
      <c r="H10552" s="21">
        <v>977.17</v>
      </c>
    </row>
    <row r="10553" spans="1:8" customFormat="1" x14ac:dyDescent="0.25">
      <c r="A10553" t="str">
        <f>"846895"</f>
        <v>846895</v>
      </c>
      <c r="B10553" t="s">
        <v>10311</v>
      </c>
      <c r="C10553" t="s">
        <v>598</v>
      </c>
      <c r="D10553" s="21" t="s">
        <v>34</v>
      </c>
      <c r="E10553" s="21" t="s">
        <v>254</v>
      </c>
      <c r="F10553">
        <v>13840004</v>
      </c>
      <c r="G10553" t="s">
        <v>8611</v>
      </c>
      <c r="H10553" s="21">
        <v>977.17</v>
      </c>
    </row>
    <row r="10554" spans="1:8" customFormat="1" x14ac:dyDescent="0.25">
      <c r="A10554" t="str">
        <f>"69222"</f>
        <v>69222</v>
      </c>
      <c r="B10554" t="s">
        <v>4377</v>
      </c>
      <c r="C10554" t="s">
        <v>209</v>
      </c>
      <c r="D10554" s="21" t="s">
        <v>34</v>
      </c>
      <c r="E10554" s="21" t="s">
        <v>254</v>
      </c>
      <c r="F10554">
        <v>1690004</v>
      </c>
      <c r="G10554" t="s">
        <v>12294</v>
      </c>
      <c r="H10554" s="21">
        <v>976.92</v>
      </c>
    </row>
    <row r="10555" spans="1:8" customFormat="1" x14ac:dyDescent="0.25">
      <c r="A10555" t="str">
        <f>"846814"</f>
        <v>846814</v>
      </c>
      <c r="B10555" t="s">
        <v>12926</v>
      </c>
      <c r="C10555" t="s">
        <v>412</v>
      </c>
      <c r="D10555" s="21" t="s">
        <v>34</v>
      </c>
      <c r="E10555" s="21" t="s">
        <v>35</v>
      </c>
      <c r="F10555">
        <v>13840004</v>
      </c>
      <c r="G10555" t="s">
        <v>8611</v>
      </c>
      <c r="H10555" s="21">
        <v>976.92</v>
      </c>
    </row>
    <row r="10556" spans="1:8" customFormat="1" x14ac:dyDescent="0.25">
      <c r="A10556" t="str">
        <f>"7517081"</f>
        <v>7517081</v>
      </c>
      <c r="B10556" t="s">
        <v>11646</v>
      </c>
      <c r="C10556" t="s">
        <v>33</v>
      </c>
      <c r="D10556" s="21" t="s">
        <v>34</v>
      </c>
      <c r="E10556" s="21" t="s">
        <v>35</v>
      </c>
      <c r="F10556">
        <v>8750120</v>
      </c>
      <c r="G10556" t="s">
        <v>838</v>
      </c>
      <c r="H10556" s="21">
        <v>976.92</v>
      </c>
    </row>
    <row r="10557" spans="1:8" customFormat="1" x14ac:dyDescent="0.25">
      <c r="A10557" t="str">
        <f>"9420710"</f>
        <v>9420710</v>
      </c>
      <c r="B10557" t="s">
        <v>10567</v>
      </c>
      <c r="C10557" t="s">
        <v>263</v>
      </c>
      <c r="D10557" s="21" t="s">
        <v>34</v>
      </c>
      <c r="E10557" s="21" t="s">
        <v>71</v>
      </c>
      <c r="F10557">
        <v>8940976</v>
      </c>
      <c r="G10557" t="s">
        <v>615</v>
      </c>
      <c r="H10557" s="21">
        <v>976.92</v>
      </c>
    </row>
    <row r="10558" spans="1:8" customFormat="1" x14ac:dyDescent="0.25">
      <c r="A10558" t="str">
        <f>"4913931"</f>
        <v>4913931</v>
      </c>
      <c r="B10558" t="s">
        <v>11528</v>
      </c>
      <c r="C10558" t="s">
        <v>486</v>
      </c>
      <c r="D10558" s="21" t="s">
        <v>34</v>
      </c>
      <c r="E10558" s="21" t="s">
        <v>35</v>
      </c>
      <c r="F10558">
        <v>12490062</v>
      </c>
      <c r="G10558" t="s">
        <v>9920</v>
      </c>
      <c r="H10558" s="21">
        <v>976.92</v>
      </c>
    </row>
    <row r="10559" spans="1:8" customFormat="1" x14ac:dyDescent="0.25">
      <c r="A10559" t="str">
        <f>"367648"</f>
        <v>367648</v>
      </c>
      <c r="B10559" t="s">
        <v>11179</v>
      </c>
      <c r="C10559" t="s">
        <v>566</v>
      </c>
      <c r="D10559" s="21" t="s">
        <v>34</v>
      </c>
      <c r="E10559" s="21" t="s">
        <v>35</v>
      </c>
      <c r="F10559">
        <v>4360707</v>
      </c>
      <c r="G10559" t="s">
        <v>6621</v>
      </c>
      <c r="H10559" s="21">
        <v>976.92</v>
      </c>
    </row>
    <row r="10560" spans="1:8" customFormat="1" x14ac:dyDescent="0.25">
      <c r="A10560" t="str">
        <f>"217997"</f>
        <v>217997</v>
      </c>
      <c r="B10560" t="s">
        <v>387</v>
      </c>
      <c r="C10560" t="s">
        <v>1705</v>
      </c>
      <c r="D10560" s="21" t="s">
        <v>34</v>
      </c>
      <c r="E10560" s="21" t="s">
        <v>254</v>
      </c>
      <c r="F10560">
        <v>2210126</v>
      </c>
      <c r="G10560" t="s">
        <v>10773</v>
      </c>
      <c r="H10560" s="21">
        <v>976.92</v>
      </c>
    </row>
    <row r="10561" spans="1:8" customFormat="1" x14ac:dyDescent="0.25">
      <c r="A10561" t="str">
        <f>"49382"</f>
        <v>49382</v>
      </c>
      <c r="B10561" t="s">
        <v>9669</v>
      </c>
      <c r="C10561" t="s">
        <v>3010</v>
      </c>
      <c r="D10561" s="21" t="s">
        <v>34</v>
      </c>
      <c r="E10561" s="21" t="s">
        <v>1089</v>
      </c>
      <c r="F10561">
        <v>9500139</v>
      </c>
      <c r="G10561" t="s">
        <v>6892</v>
      </c>
      <c r="H10561" s="21">
        <v>976.67</v>
      </c>
    </row>
    <row r="10562" spans="1:8" customFormat="1" x14ac:dyDescent="0.25">
      <c r="A10562" t="str">
        <f>"1613330"</f>
        <v>1613330</v>
      </c>
      <c r="B10562" t="s">
        <v>4654</v>
      </c>
      <c r="C10562" t="s">
        <v>239</v>
      </c>
      <c r="D10562" s="21" t="s">
        <v>34</v>
      </c>
      <c r="E10562" s="21" t="s">
        <v>71</v>
      </c>
      <c r="F10562">
        <v>10160232</v>
      </c>
      <c r="G10562" t="s">
        <v>2882</v>
      </c>
      <c r="H10562" s="21">
        <v>976.67</v>
      </c>
    </row>
    <row r="10563" spans="1:8" customFormat="1" x14ac:dyDescent="0.25">
      <c r="A10563" t="str">
        <f>"875982"</f>
        <v>875982</v>
      </c>
      <c r="B10563" t="s">
        <v>10158</v>
      </c>
      <c r="C10563" t="s">
        <v>139</v>
      </c>
      <c r="D10563" s="21" t="s">
        <v>34</v>
      </c>
      <c r="E10563" s="21" t="s">
        <v>71</v>
      </c>
      <c r="F10563">
        <v>10870037</v>
      </c>
      <c r="G10563" t="s">
        <v>3554</v>
      </c>
      <c r="H10563" s="21">
        <v>976.67</v>
      </c>
    </row>
    <row r="10564" spans="1:8" customFormat="1" x14ac:dyDescent="0.25">
      <c r="A10564" t="str">
        <f>"678047"</f>
        <v>678047</v>
      </c>
      <c r="B10564" t="s">
        <v>960</v>
      </c>
      <c r="C10564" t="s">
        <v>204</v>
      </c>
      <c r="D10564" s="21" t="s">
        <v>34</v>
      </c>
      <c r="E10564" s="21" t="s">
        <v>35</v>
      </c>
      <c r="F10564">
        <v>6670010</v>
      </c>
      <c r="G10564" t="s">
        <v>721</v>
      </c>
      <c r="H10564" s="21">
        <v>976.67</v>
      </c>
    </row>
    <row r="10565" spans="1:8" customFormat="1" x14ac:dyDescent="0.25">
      <c r="A10565" t="str">
        <f>"723367"</f>
        <v>723367</v>
      </c>
      <c r="B10565" t="s">
        <v>2954</v>
      </c>
      <c r="C10565" t="s">
        <v>156</v>
      </c>
      <c r="D10565" s="21" t="s">
        <v>34</v>
      </c>
      <c r="E10565" s="21" t="s">
        <v>254</v>
      </c>
      <c r="F10565">
        <v>12720052</v>
      </c>
      <c r="G10565" t="s">
        <v>9628</v>
      </c>
      <c r="H10565" s="21">
        <v>976.67</v>
      </c>
    </row>
    <row r="10566" spans="1:8" customFormat="1" x14ac:dyDescent="0.25">
      <c r="A10566" t="str">
        <f>"358873"</f>
        <v>358873</v>
      </c>
      <c r="B10566" t="s">
        <v>7072</v>
      </c>
      <c r="C10566" t="s">
        <v>96</v>
      </c>
      <c r="D10566" s="21" t="s">
        <v>34</v>
      </c>
      <c r="E10566" s="21" t="s">
        <v>35</v>
      </c>
      <c r="F10566">
        <v>3350063</v>
      </c>
      <c r="G10566" t="s">
        <v>14782</v>
      </c>
      <c r="H10566" s="21">
        <v>976.67</v>
      </c>
    </row>
    <row r="10567" spans="1:8" customFormat="1" x14ac:dyDescent="0.25">
      <c r="A10567" t="str">
        <f>"7822335"</f>
        <v>7822335</v>
      </c>
      <c r="B10567" t="s">
        <v>650</v>
      </c>
      <c r="C10567" t="s">
        <v>49</v>
      </c>
      <c r="D10567" s="21" t="s">
        <v>34</v>
      </c>
      <c r="E10567" s="21" t="s">
        <v>35</v>
      </c>
      <c r="F10567">
        <v>8781017</v>
      </c>
      <c r="G10567" t="s">
        <v>2581</v>
      </c>
      <c r="H10567" s="21">
        <v>976.67</v>
      </c>
    </row>
    <row r="10568" spans="1:8" customFormat="1" x14ac:dyDescent="0.25">
      <c r="A10568" t="str">
        <f>"9233623"</f>
        <v>9233623</v>
      </c>
      <c r="B10568" t="s">
        <v>10813</v>
      </c>
      <c r="C10568" t="s">
        <v>10814</v>
      </c>
      <c r="D10568" s="21" t="s">
        <v>34</v>
      </c>
      <c r="E10568" s="21" t="s">
        <v>35</v>
      </c>
      <c r="F10568">
        <v>8781380</v>
      </c>
      <c r="G10568" t="s">
        <v>10815</v>
      </c>
      <c r="H10568" s="21">
        <v>976.67</v>
      </c>
    </row>
    <row r="10569" spans="1:8" customFormat="1" x14ac:dyDescent="0.25">
      <c r="A10569" t="str">
        <f>"5161"</f>
        <v>5161</v>
      </c>
      <c r="B10569" t="s">
        <v>10747</v>
      </c>
      <c r="C10569" t="s">
        <v>269</v>
      </c>
      <c r="D10569" s="21" t="s">
        <v>34</v>
      </c>
      <c r="E10569" s="21" t="s">
        <v>254</v>
      </c>
      <c r="F10569">
        <v>11660009</v>
      </c>
      <c r="G10569" t="s">
        <v>26624</v>
      </c>
      <c r="H10569" s="21">
        <v>976.67</v>
      </c>
    </row>
    <row r="10570" spans="1:8" customFormat="1" x14ac:dyDescent="0.25">
      <c r="A10570" t="str">
        <f>"4928712"</f>
        <v>4928712</v>
      </c>
      <c r="B10570" t="s">
        <v>2938</v>
      </c>
      <c r="C10570" t="s">
        <v>209</v>
      </c>
      <c r="D10570" s="21" t="s">
        <v>34</v>
      </c>
      <c r="E10570" s="21" t="s">
        <v>71</v>
      </c>
      <c r="F10570">
        <v>12490092</v>
      </c>
      <c r="G10570" t="s">
        <v>1854</v>
      </c>
      <c r="H10570" s="21">
        <v>976.67</v>
      </c>
    </row>
    <row r="10571" spans="1:8" customFormat="1" x14ac:dyDescent="0.25">
      <c r="A10571" t="str">
        <f>"6233650"</f>
        <v>6233650</v>
      </c>
      <c r="B10571" t="s">
        <v>13065</v>
      </c>
      <c r="C10571" t="s">
        <v>484</v>
      </c>
      <c r="D10571" s="21" t="s">
        <v>34</v>
      </c>
      <c r="E10571" s="21" t="s">
        <v>35</v>
      </c>
      <c r="F10571">
        <v>7620078</v>
      </c>
      <c r="G10571" t="s">
        <v>7192</v>
      </c>
      <c r="H10571" s="21">
        <v>976.55</v>
      </c>
    </row>
    <row r="10572" spans="1:8" customFormat="1" x14ac:dyDescent="0.25">
      <c r="A10572" t="str">
        <f>"2934806"</f>
        <v>2934806</v>
      </c>
      <c r="B10572" t="s">
        <v>5102</v>
      </c>
      <c r="C10572" t="s">
        <v>55</v>
      </c>
      <c r="D10572" s="21" t="s">
        <v>34</v>
      </c>
      <c r="E10572" s="21" t="s">
        <v>35</v>
      </c>
      <c r="F10572">
        <v>3290029</v>
      </c>
      <c r="G10572" t="s">
        <v>11486</v>
      </c>
      <c r="H10572" s="21">
        <v>976.42</v>
      </c>
    </row>
    <row r="10573" spans="1:8" customFormat="1" x14ac:dyDescent="0.25">
      <c r="A10573" t="str">
        <f>"1711929"</f>
        <v>1711929</v>
      </c>
      <c r="B10573" t="s">
        <v>4261</v>
      </c>
      <c r="C10573" t="s">
        <v>267</v>
      </c>
      <c r="D10573" s="21" t="s">
        <v>34</v>
      </c>
      <c r="E10573" s="21" t="s">
        <v>1089</v>
      </c>
      <c r="F10573">
        <v>10170033</v>
      </c>
      <c r="G10573" t="s">
        <v>3756</v>
      </c>
      <c r="H10573" s="21">
        <v>976.42</v>
      </c>
    </row>
    <row r="10574" spans="1:8" customFormat="1" x14ac:dyDescent="0.25">
      <c r="A10574" t="str">
        <f>"36171"</f>
        <v>36171</v>
      </c>
      <c r="B10574" t="s">
        <v>9664</v>
      </c>
      <c r="C10574" t="s">
        <v>1605</v>
      </c>
      <c r="D10574" s="21" t="s">
        <v>34</v>
      </c>
      <c r="E10574" s="21" t="s">
        <v>254</v>
      </c>
      <c r="F10574">
        <v>4360009</v>
      </c>
      <c r="G10574" t="s">
        <v>6259</v>
      </c>
      <c r="H10574" s="21">
        <v>976.42</v>
      </c>
    </row>
    <row r="10575" spans="1:8" customFormat="1" x14ac:dyDescent="0.25">
      <c r="A10575" t="str">
        <f>"088247"</f>
        <v>088247</v>
      </c>
      <c r="B10575" t="s">
        <v>7326</v>
      </c>
      <c r="C10575" t="s">
        <v>4267</v>
      </c>
      <c r="D10575" s="21" t="s">
        <v>34</v>
      </c>
      <c r="E10575" s="21" t="s">
        <v>254</v>
      </c>
      <c r="F10575">
        <v>6080013</v>
      </c>
      <c r="G10575" t="s">
        <v>1532</v>
      </c>
      <c r="H10575" s="21">
        <v>976.42</v>
      </c>
    </row>
    <row r="10576" spans="1:8" customFormat="1" x14ac:dyDescent="0.25">
      <c r="A10576" t="str">
        <f>"585725"</f>
        <v>585725</v>
      </c>
      <c r="B10576" t="s">
        <v>11336</v>
      </c>
      <c r="C10576" t="s">
        <v>65</v>
      </c>
      <c r="D10576" s="21" t="s">
        <v>34</v>
      </c>
      <c r="E10576" s="21" t="s">
        <v>35</v>
      </c>
      <c r="F10576">
        <v>2580010</v>
      </c>
      <c r="G10576" t="s">
        <v>1965</v>
      </c>
      <c r="H10576" s="21">
        <v>976.29</v>
      </c>
    </row>
    <row r="10577" spans="1:8" customFormat="1" x14ac:dyDescent="0.25">
      <c r="A10577" t="str">
        <f>"0610794"</f>
        <v>0610794</v>
      </c>
      <c r="B10577" t="s">
        <v>10112</v>
      </c>
      <c r="C10577" t="s">
        <v>114</v>
      </c>
      <c r="D10577" s="21" t="s">
        <v>34</v>
      </c>
      <c r="E10577" s="21" t="s">
        <v>254</v>
      </c>
      <c r="F10577">
        <v>13060043</v>
      </c>
      <c r="G10577" t="s">
        <v>4761</v>
      </c>
      <c r="H10577" s="21">
        <v>976.17</v>
      </c>
    </row>
    <row r="10578" spans="1:8" customFormat="1" x14ac:dyDescent="0.25">
      <c r="A10578" t="str">
        <f>"3426867"</f>
        <v>3426867</v>
      </c>
      <c r="B10578" t="s">
        <v>13591</v>
      </c>
      <c r="C10578" t="s">
        <v>13592</v>
      </c>
      <c r="D10578" s="21" t="s">
        <v>34</v>
      </c>
      <c r="E10578" s="21" t="s">
        <v>71</v>
      </c>
      <c r="F10578">
        <v>11340005</v>
      </c>
      <c r="G10578" t="s">
        <v>9837</v>
      </c>
      <c r="H10578" s="21">
        <v>976.17</v>
      </c>
    </row>
    <row r="10579" spans="1:8" customFormat="1" x14ac:dyDescent="0.25">
      <c r="A10579" t="str">
        <f>"509826"</f>
        <v>509826</v>
      </c>
      <c r="B10579" t="s">
        <v>11182</v>
      </c>
      <c r="C10579" t="s">
        <v>209</v>
      </c>
      <c r="D10579" s="21" t="s">
        <v>34</v>
      </c>
      <c r="E10579" s="21" t="s">
        <v>71</v>
      </c>
      <c r="F10579">
        <v>9500082</v>
      </c>
      <c r="G10579" t="s">
        <v>11183</v>
      </c>
      <c r="H10579" s="21">
        <v>976.17</v>
      </c>
    </row>
    <row r="10580" spans="1:8" customFormat="1" x14ac:dyDescent="0.25">
      <c r="A10580" t="str">
        <f>"5014948"</f>
        <v>5014948</v>
      </c>
      <c r="B10580" t="s">
        <v>10781</v>
      </c>
      <c r="C10580" t="s">
        <v>130</v>
      </c>
      <c r="D10580" s="21" t="s">
        <v>34</v>
      </c>
      <c r="E10580" s="21" t="s">
        <v>35</v>
      </c>
      <c r="F10580">
        <v>9500059</v>
      </c>
      <c r="G10580" t="s">
        <v>26714</v>
      </c>
      <c r="H10580" s="21">
        <v>976.17</v>
      </c>
    </row>
    <row r="10581" spans="1:8" customFormat="1" x14ac:dyDescent="0.25">
      <c r="A10581" t="str">
        <f>"151103"</f>
        <v>151103</v>
      </c>
      <c r="B10581" t="s">
        <v>9925</v>
      </c>
      <c r="C10581" t="s">
        <v>40</v>
      </c>
      <c r="D10581" s="21" t="s">
        <v>34</v>
      </c>
      <c r="E10581" s="21" t="s">
        <v>71</v>
      </c>
      <c r="F10581">
        <v>1150148</v>
      </c>
      <c r="G10581" t="s">
        <v>7485</v>
      </c>
      <c r="H10581" s="21">
        <v>976.17</v>
      </c>
    </row>
    <row r="10582" spans="1:8" customFormat="1" x14ac:dyDescent="0.25">
      <c r="A10582" t="str">
        <f>"8815327"</f>
        <v>8815327</v>
      </c>
      <c r="B10582" t="s">
        <v>5418</v>
      </c>
      <c r="C10582" t="s">
        <v>879</v>
      </c>
      <c r="D10582" s="21" t="s">
        <v>34</v>
      </c>
      <c r="E10582" s="21" t="s">
        <v>71</v>
      </c>
      <c r="F10582">
        <v>2700075</v>
      </c>
      <c r="G10582" t="s">
        <v>10511</v>
      </c>
      <c r="H10582" s="21">
        <v>976.17</v>
      </c>
    </row>
    <row r="10583" spans="1:8" customFormat="1" x14ac:dyDescent="0.25">
      <c r="A10583" t="str">
        <f>"6911704"</f>
        <v>6911704</v>
      </c>
      <c r="B10583" t="s">
        <v>10699</v>
      </c>
      <c r="C10583" t="s">
        <v>249</v>
      </c>
      <c r="D10583" s="21" t="s">
        <v>34</v>
      </c>
      <c r="E10583" s="21" t="s">
        <v>71</v>
      </c>
      <c r="F10583">
        <v>6680071</v>
      </c>
      <c r="G10583" t="s">
        <v>2899</v>
      </c>
      <c r="H10583" s="21">
        <v>976.17</v>
      </c>
    </row>
    <row r="10584" spans="1:8" customFormat="1" x14ac:dyDescent="0.25">
      <c r="A10584" t="str">
        <f>"5611415"</f>
        <v>5611415</v>
      </c>
      <c r="B10584" t="s">
        <v>11546</v>
      </c>
      <c r="C10584" t="s">
        <v>33</v>
      </c>
      <c r="D10584" s="21" t="s">
        <v>34</v>
      </c>
      <c r="E10584" s="21" t="s">
        <v>35</v>
      </c>
      <c r="F10584">
        <v>3560038</v>
      </c>
      <c r="G10584" t="s">
        <v>3598</v>
      </c>
      <c r="H10584" s="21">
        <v>976.17</v>
      </c>
    </row>
    <row r="10585" spans="1:8" customFormat="1" x14ac:dyDescent="0.25">
      <c r="A10585" t="str">
        <f>"497223"</f>
        <v>497223</v>
      </c>
      <c r="B10585" t="s">
        <v>6507</v>
      </c>
      <c r="C10585" t="s">
        <v>33</v>
      </c>
      <c r="D10585" s="21" t="s">
        <v>34</v>
      </c>
      <c r="E10585" s="21" t="s">
        <v>35</v>
      </c>
      <c r="F10585">
        <v>12490107</v>
      </c>
      <c r="G10585" t="s">
        <v>715</v>
      </c>
      <c r="H10585" s="21">
        <v>976.17</v>
      </c>
    </row>
    <row r="10586" spans="1:8" customFormat="1" x14ac:dyDescent="0.25">
      <c r="A10586" t="str">
        <f>"5413174"</f>
        <v>5413174</v>
      </c>
      <c r="B10586" t="s">
        <v>11584</v>
      </c>
      <c r="C10586" t="s">
        <v>7951</v>
      </c>
      <c r="D10586" s="21" t="s">
        <v>34</v>
      </c>
      <c r="E10586" s="21" t="s">
        <v>35</v>
      </c>
      <c r="F10586">
        <v>6510054</v>
      </c>
      <c r="G10586" t="s">
        <v>10062</v>
      </c>
      <c r="H10586" s="21">
        <v>976.17</v>
      </c>
    </row>
    <row r="10587" spans="1:8" customFormat="1" x14ac:dyDescent="0.25">
      <c r="A10587" t="str">
        <f>"7219730"</f>
        <v>7219730</v>
      </c>
      <c r="B10587" t="s">
        <v>2207</v>
      </c>
      <c r="C10587" t="s">
        <v>55</v>
      </c>
      <c r="D10587" s="21" t="s">
        <v>34</v>
      </c>
      <c r="E10587" s="21" t="s">
        <v>71</v>
      </c>
      <c r="F10587">
        <v>12720009</v>
      </c>
      <c r="G10587" t="s">
        <v>6928</v>
      </c>
      <c r="H10587" s="21">
        <v>976.17</v>
      </c>
    </row>
    <row r="10588" spans="1:8" customFormat="1" x14ac:dyDescent="0.25">
      <c r="A10588" t="str">
        <f>"6229894"</f>
        <v>6229894</v>
      </c>
      <c r="B10588" t="s">
        <v>27161</v>
      </c>
      <c r="C10588" t="s">
        <v>598</v>
      </c>
      <c r="D10588" s="21" t="s">
        <v>34</v>
      </c>
      <c r="E10588" s="21" t="s">
        <v>35</v>
      </c>
      <c r="F10588">
        <v>7620032</v>
      </c>
      <c r="G10588" t="s">
        <v>11181</v>
      </c>
      <c r="H10588" s="21">
        <v>976.17</v>
      </c>
    </row>
    <row r="10589" spans="1:8" customFormat="1" x14ac:dyDescent="0.25">
      <c r="A10589" t="str">
        <f>"8520420"</f>
        <v>8520420</v>
      </c>
      <c r="B10589" t="s">
        <v>9684</v>
      </c>
      <c r="C10589" t="s">
        <v>119</v>
      </c>
      <c r="D10589" s="21" t="s">
        <v>34</v>
      </c>
      <c r="E10589" s="21" t="s">
        <v>71</v>
      </c>
      <c r="F10589">
        <v>12850097</v>
      </c>
      <c r="G10589" t="s">
        <v>4111</v>
      </c>
      <c r="H10589" s="21">
        <v>976.17</v>
      </c>
    </row>
    <row r="10590" spans="1:8" customFormat="1" x14ac:dyDescent="0.25">
      <c r="A10590" t="str">
        <f>"621755"</f>
        <v>621755</v>
      </c>
      <c r="B10590" t="s">
        <v>11202</v>
      </c>
      <c r="C10590" t="s">
        <v>124</v>
      </c>
      <c r="D10590" s="21" t="s">
        <v>34</v>
      </c>
      <c r="E10590" s="21" t="s">
        <v>71</v>
      </c>
      <c r="F10590">
        <v>7620019</v>
      </c>
      <c r="G10590" t="s">
        <v>723</v>
      </c>
      <c r="H10590" s="21">
        <v>976.17</v>
      </c>
    </row>
    <row r="10591" spans="1:8" customFormat="1" x14ac:dyDescent="0.25">
      <c r="A10591" t="str">
        <f>"173983"</f>
        <v>173983</v>
      </c>
      <c r="B10591" t="s">
        <v>2010</v>
      </c>
      <c r="C10591" t="s">
        <v>9688</v>
      </c>
      <c r="D10591" s="21" t="s">
        <v>34</v>
      </c>
      <c r="E10591" s="21" t="s">
        <v>71</v>
      </c>
      <c r="F10591">
        <v>10170073</v>
      </c>
      <c r="G10591" t="s">
        <v>9689</v>
      </c>
      <c r="H10591" s="21">
        <v>976.17</v>
      </c>
    </row>
    <row r="10592" spans="1:8" customFormat="1" x14ac:dyDescent="0.25">
      <c r="A10592" t="str">
        <f>"177170"</f>
        <v>177170</v>
      </c>
      <c r="B10592" t="s">
        <v>12818</v>
      </c>
      <c r="C10592" t="s">
        <v>305</v>
      </c>
      <c r="D10592" s="21" t="s">
        <v>34</v>
      </c>
      <c r="E10592" s="21" t="s">
        <v>35</v>
      </c>
      <c r="F10592">
        <v>10170150</v>
      </c>
      <c r="G10592" t="s">
        <v>4531</v>
      </c>
      <c r="H10592" s="21">
        <v>976.17</v>
      </c>
    </row>
    <row r="10593" spans="1:8" customFormat="1" x14ac:dyDescent="0.25">
      <c r="A10593" t="str">
        <f>"7838517"</f>
        <v>7838517</v>
      </c>
      <c r="B10593" t="s">
        <v>10846</v>
      </c>
      <c r="C10593" t="s">
        <v>151</v>
      </c>
      <c r="D10593" s="21" t="s">
        <v>34</v>
      </c>
      <c r="E10593" s="21" t="s">
        <v>71</v>
      </c>
      <c r="F10593">
        <v>8780660</v>
      </c>
      <c r="G10593" t="s">
        <v>2801</v>
      </c>
      <c r="H10593" s="21">
        <v>976.04</v>
      </c>
    </row>
    <row r="10594" spans="1:8" customFormat="1" x14ac:dyDescent="0.25">
      <c r="A10594" t="str">
        <f>"9523785"</f>
        <v>9523785</v>
      </c>
      <c r="B10594" t="s">
        <v>12010</v>
      </c>
      <c r="C10594" t="s">
        <v>33</v>
      </c>
      <c r="D10594" s="21" t="s">
        <v>34</v>
      </c>
      <c r="E10594" s="21" t="s">
        <v>71</v>
      </c>
      <c r="F10594">
        <v>8950260</v>
      </c>
      <c r="G10594" t="s">
        <v>8564</v>
      </c>
      <c r="H10594" s="21">
        <v>976.04</v>
      </c>
    </row>
    <row r="10595" spans="1:8" customFormat="1" x14ac:dyDescent="0.25">
      <c r="A10595" t="str">
        <f>"7512912"</f>
        <v>7512912</v>
      </c>
      <c r="B10595" t="s">
        <v>10535</v>
      </c>
      <c r="C10595" t="s">
        <v>10536</v>
      </c>
      <c r="D10595" s="21" t="s">
        <v>34</v>
      </c>
      <c r="E10595" s="21" t="s">
        <v>254</v>
      </c>
      <c r="F10595">
        <v>8750060</v>
      </c>
      <c r="G10595" t="s">
        <v>2821</v>
      </c>
      <c r="H10595" s="21">
        <v>976.04</v>
      </c>
    </row>
    <row r="10596" spans="1:8" customFormat="1" x14ac:dyDescent="0.25">
      <c r="A10596" t="str">
        <f>"2914449"</f>
        <v>2914449</v>
      </c>
      <c r="B10596" t="s">
        <v>10018</v>
      </c>
      <c r="C10596" t="s">
        <v>1665</v>
      </c>
      <c r="D10596" s="21" t="s">
        <v>34</v>
      </c>
      <c r="E10596" s="21" t="s">
        <v>254</v>
      </c>
      <c r="F10596">
        <v>3290009</v>
      </c>
      <c r="G10596" t="s">
        <v>4358</v>
      </c>
      <c r="H10596" s="21">
        <v>976</v>
      </c>
    </row>
    <row r="10597" spans="1:8" customFormat="1" x14ac:dyDescent="0.25">
      <c r="A10597" t="str">
        <f>"3527054"</f>
        <v>3527054</v>
      </c>
      <c r="B10597" t="s">
        <v>11963</v>
      </c>
      <c r="C10597" t="s">
        <v>204</v>
      </c>
      <c r="D10597" s="21" t="s">
        <v>34</v>
      </c>
      <c r="E10597" s="21" t="s">
        <v>35</v>
      </c>
      <c r="F10597">
        <v>3350122</v>
      </c>
      <c r="G10597" t="s">
        <v>3069</v>
      </c>
      <c r="H10597" s="21">
        <v>975.92</v>
      </c>
    </row>
    <row r="10598" spans="1:8" customFormat="1" x14ac:dyDescent="0.25">
      <c r="A10598" t="str">
        <f>"667969"</f>
        <v>667969</v>
      </c>
      <c r="B10598" t="s">
        <v>13040</v>
      </c>
      <c r="C10598" t="s">
        <v>717</v>
      </c>
      <c r="D10598" s="21" t="s">
        <v>34</v>
      </c>
      <c r="E10598" s="21" t="s">
        <v>71</v>
      </c>
      <c r="F10598">
        <v>11660011</v>
      </c>
      <c r="G10598" t="s">
        <v>4641</v>
      </c>
      <c r="H10598" s="21">
        <v>975.92</v>
      </c>
    </row>
    <row r="10599" spans="1:8" customFormat="1" x14ac:dyDescent="0.25">
      <c r="A10599" t="str">
        <f>"618446"</f>
        <v>618446</v>
      </c>
      <c r="B10599" t="s">
        <v>10453</v>
      </c>
      <c r="C10599" t="s">
        <v>576</v>
      </c>
      <c r="D10599" s="21" t="s">
        <v>34</v>
      </c>
      <c r="E10599" s="21" t="s">
        <v>35</v>
      </c>
      <c r="F10599">
        <v>9610077</v>
      </c>
      <c r="G10599" t="s">
        <v>26691</v>
      </c>
      <c r="H10599" s="21">
        <v>975.92</v>
      </c>
    </row>
    <row r="10600" spans="1:8" customFormat="1" x14ac:dyDescent="0.25">
      <c r="A10600" t="str">
        <f>"774275"</f>
        <v>774275</v>
      </c>
      <c r="B10600" t="s">
        <v>9252</v>
      </c>
      <c r="C10600" t="s">
        <v>204</v>
      </c>
      <c r="D10600" s="21" t="s">
        <v>34</v>
      </c>
      <c r="E10600" s="21" t="s">
        <v>71</v>
      </c>
      <c r="F10600">
        <v>8770237</v>
      </c>
      <c r="G10600" t="s">
        <v>128</v>
      </c>
      <c r="H10600" s="21">
        <v>975.79</v>
      </c>
    </row>
    <row r="10601" spans="1:8" customFormat="1" x14ac:dyDescent="0.25">
      <c r="A10601" t="str">
        <f>"7516812"</f>
        <v>7516812</v>
      </c>
      <c r="B10601" t="s">
        <v>11688</v>
      </c>
      <c r="C10601" t="s">
        <v>2479</v>
      </c>
      <c r="D10601" s="21" t="s">
        <v>34</v>
      </c>
      <c r="E10601" s="21" t="s">
        <v>35</v>
      </c>
      <c r="F10601">
        <v>8750536</v>
      </c>
      <c r="G10601" t="s">
        <v>11689</v>
      </c>
      <c r="H10601" s="21">
        <v>975.79</v>
      </c>
    </row>
    <row r="10602" spans="1:8" customFormat="1" x14ac:dyDescent="0.25">
      <c r="A10602" t="str">
        <f>"2515740"</f>
        <v>2515740</v>
      </c>
      <c r="B10602" t="s">
        <v>11268</v>
      </c>
      <c r="C10602" t="s">
        <v>547</v>
      </c>
      <c r="D10602" s="21" t="s">
        <v>34</v>
      </c>
      <c r="E10602" s="21" t="s">
        <v>71</v>
      </c>
      <c r="F10602">
        <v>2250125</v>
      </c>
      <c r="G10602" t="s">
        <v>26911</v>
      </c>
      <c r="H10602" s="21">
        <v>975.67</v>
      </c>
    </row>
    <row r="10603" spans="1:8" customFormat="1" x14ac:dyDescent="0.25">
      <c r="A10603" t="str">
        <f>"794721"</f>
        <v>794721</v>
      </c>
      <c r="B10603" t="s">
        <v>10753</v>
      </c>
      <c r="C10603" t="s">
        <v>302</v>
      </c>
      <c r="D10603" s="21" t="s">
        <v>34</v>
      </c>
      <c r="E10603" s="21" t="s">
        <v>35</v>
      </c>
      <c r="F10603">
        <v>12490064</v>
      </c>
      <c r="G10603" t="s">
        <v>8425</v>
      </c>
      <c r="H10603" s="21">
        <v>975.67</v>
      </c>
    </row>
    <row r="10604" spans="1:8" customFormat="1" x14ac:dyDescent="0.25">
      <c r="A10604" t="str">
        <f>"1716029"</f>
        <v>1716029</v>
      </c>
      <c r="B10604" t="s">
        <v>11676</v>
      </c>
      <c r="C10604" t="s">
        <v>249</v>
      </c>
      <c r="D10604" s="21" t="s">
        <v>34</v>
      </c>
      <c r="E10604" s="21" t="s">
        <v>71</v>
      </c>
      <c r="F10604">
        <v>10170229</v>
      </c>
      <c r="G10604" t="s">
        <v>11677</v>
      </c>
      <c r="H10604" s="21">
        <v>975.67</v>
      </c>
    </row>
    <row r="10605" spans="1:8" customFormat="1" x14ac:dyDescent="0.25">
      <c r="A10605" t="str">
        <f>"31172"</f>
        <v>31172</v>
      </c>
      <c r="B10605" t="s">
        <v>10885</v>
      </c>
      <c r="C10605" t="s">
        <v>598</v>
      </c>
      <c r="D10605" s="21" t="s">
        <v>34</v>
      </c>
      <c r="E10605" s="21" t="s">
        <v>1089</v>
      </c>
      <c r="F10605">
        <v>11310011</v>
      </c>
      <c r="G10605" t="s">
        <v>26586</v>
      </c>
      <c r="H10605" s="21">
        <v>975.67</v>
      </c>
    </row>
    <row r="10606" spans="1:8" customFormat="1" x14ac:dyDescent="0.25">
      <c r="A10606" t="str">
        <f>"443016"</f>
        <v>443016</v>
      </c>
      <c r="B10606" t="s">
        <v>10016</v>
      </c>
      <c r="C10606" t="s">
        <v>825</v>
      </c>
      <c r="D10606" s="21" t="s">
        <v>34</v>
      </c>
      <c r="E10606" s="21" t="s">
        <v>71</v>
      </c>
      <c r="F10606">
        <v>12440059</v>
      </c>
      <c r="G10606" t="s">
        <v>6697</v>
      </c>
      <c r="H10606" s="21">
        <v>975.67</v>
      </c>
    </row>
    <row r="10607" spans="1:8" customFormat="1" x14ac:dyDescent="0.25">
      <c r="A10607" t="str">
        <f>"4410144"</f>
        <v>4410144</v>
      </c>
      <c r="B10607" t="s">
        <v>702</v>
      </c>
      <c r="C10607" t="s">
        <v>204</v>
      </c>
      <c r="D10607" s="21" t="s">
        <v>34</v>
      </c>
      <c r="E10607" s="21" t="s">
        <v>35</v>
      </c>
      <c r="F10607">
        <v>12440073</v>
      </c>
      <c r="G10607" t="s">
        <v>3492</v>
      </c>
      <c r="H10607" s="21">
        <v>975.67</v>
      </c>
    </row>
    <row r="10608" spans="1:8" customFormat="1" x14ac:dyDescent="0.25">
      <c r="A10608" t="str">
        <f>"2512560"</f>
        <v>2512560</v>
      </c>
      <c r="B10608" t="s">
        <v>10065</v>
      </c>
      <c r="C10608" t="s">
        <v>1539</v>
      </c>
      <c r="D10608" s="21" t="s">
        <v>34</v>
      </c>
      <c r="E10608" s="21" t="s">
        <v>254</v>
      </c>
      <c r="F10608">
        <v>2250208</v>
      </c>
      <c r="G10608" t="s">
        <v>10923</v>
      </c>
      <c r="H10608" s="21">
        <v>975.67</v>
      </c>
    </row>
    <row r="10609" spans="1:8" customFormat="1" x14ac:dyDescent="0.25">
      <c r="A10609" t="str">
        <f>"4211732"</f>
        <v>4211732</v>
      </c>
      <c r="B10609" t="s">
        <v>10762</v>
      </c>
      <c r="C10609" t="s">
        <v>87</v>
      </c>
      <c r="D10609" s="21" t="s">
        <v>34</v>
      </c>
      <c r="E10609" s="21" t="s">
        <v>35</v>
      </c>
      <c r="F10609">
        <v>1420148</v>
      </c>
      <c r="G10609" t="s">
        <v>10763</v>
      </c>
      <c r="H10609" s="21">
        <v>975.67</v>
      </c>
    </row>
    <row r="10610" spans="1:8" customFormat="1" x14ac:dyDescent="0.25">
      <c r="A10610" t="str">
        <f>"7828371"</f>
        <v>7828371</v>
      </c>
      <c r="B10610" t="s">
        <v>9545</v>
      </c>
      <c r="C10610" t="s">
        <v>82</v>
      </c>
      <c r="D10610" s="21" t="s">
        <v>34</v>
      </c>
      <c r="E10610" s="21" t="s">
        <v>35</v>
      </c>
      <c r="F10610">
        <v>9140014</v>
      </c>
      <c r="G10610" t="s">
        <v>9546</v>
      </c>
      <c r="H10610" s="21">
        <v>975.67</v>
      </c>
    </row>
    <row r="10611" spans="1:8" customFormat="1" x14ac:dyDescent="0.25">
      <c r="A10611" t="str">
        <f>"7619606"</f>
        <v>7619606</v>
      </c>
      <c r="B10611" t="s">
        <v>10316</v>
      </c>
      <c r="C10611" t="s">
        <v>239</v>
      </c>
      <c r="D10611" s="21" t="s">
        <v>34</v>
      </c>
      <c r="E10611" s="21" t="s">
        <v>254</v>
      </c>
      <c r="F10611">
        <v>9760319</v>
      </c>
      <c r="G10611" t="s">
        <v>3051</v>
      </c>
      <c r="H10611" s="21">
        <v>975.67</v>
      </c>
    </row>
    <row r="10612" spans="1:8" customFormat="1" x14ac:dyDescent="0.25">
      <c r="A10612" t="str">
        <f>"622356"</f>
        <v>622356</v>
      </c>
      <c r="B10612" t="s">
        <v>10375</v>
      </c>
      <c r="C10612" t="s">
        <v>2546</v>
      </c>
      <c r="D10612" s="21" t="s">
        <v>34</v>
      </c>
      <c r="E10612" s="21" t="s">
        <v>1089</v>
      </c>
      <c r="F10612">
        <v>7620027</v>
      </c>
      <c r="G10612" t="s">
        <v>980</v>
      </c>
      <c r="H10612" s="21">
        <v>975.67</v>
      </c>
    </row>
    <row r="10613" spans="1:8" customFormat="1" x14ac:dyDescent="0.25">
      <c r="A10613" t="str">
        <f>"3320765"</f>
        <v>3320765</v>
      </c>
      <c r="B10613" t="s">
        <v>9739</v>
      </c>
      <c r="C10613" t="s">
        <v>33</v>
      </c>
      <c r="D10613" s="21" t="s">
        <v>34</v>
      </c>
      <c r="E10613" s="21" t="s">
        <v>71</v>
      </c>
      <c r="F10613">
        <v>10330086</v>
      </c>
      <c r="G10613" t="s">
        <v>785</v>
      </c>
      <c r="H10613" s="21">
        <v>975.67</v>
      </c>
    </row>
    <row r="10614" spans="1:8" customFormat="1" x14ac:dyDescent="0.25">
      <c r="A10614" t="str">
        <f>"823278"</f>
        <v>823278</v>
      </c>
      <c r="B10614" t="s">
        <v>11453</v>
      </c>
      <c r="C10614" t="s">
        <v>40</v>
      </c>
      <c r="D10614" s="21" t="s">
        <v>34</v>
      </c>
      <c r="E10614" s="21" t="s">
        <v>71</v>
      </c>
      <c r="F10614">
        <v>11820026</v>
      </c>
      <c r="G10614" t="s">
        <v>9372</v>
      </c>
      <c r="H10614" s="21">
        <v>975.54</v>
      </c>
    </row>
    <row r="10615" spans="1:8" customFormat="1" x14ac:dyDescent="0.25">
      <c r="A10615" t="str">
        <f>"186908"</f>
        <v>186908</v>
      </c>
      <c r="B10615" t="s">
        <v>12927</v>
      </c>
      <c r="C10615" t="s">
        <v>415</v>
      </c>
      <c r="D10615" s="21" t="s">
        <v>34</v>
      </c>
      <c r="E10615" s="21" t="s">
        <v>254</v>
      </c>
      <c r="F10615">
        <v>4180613</v>
      </c>
      <c r="G10615" t="s">
        <v>422</v>
      </c>
      <c r="H10615" s="21">
        <v>975.42</v>
      </c>
    </row>
    <row r="10616" spans="1:8" customFormat="1" x14ac:dyDescent="0.25">
      <c r="A10616" t="str">
        <f>"2516268"</f>
        <v>2516268</v>
      </c>
      <c r="B10616" t="s">
        <v>1366</v>
      </c>
      <c r="C10616" t="s">
        <v>288</v>
      </c>
      <c r="D10616" s="21" t="s">
        <v>34</v>
      </c>
      <c r="E10616" s="21" t="s">
        <v>35</v>
      </c>
      <c r="F10616">
        <v>2250137</v>
      </c>
      <c r="G10616" t="s">
        <v>182</v>
      </c>
      <c r="H10616" s="21">
        <v>975.17</v>
      </c>
    </row>
    <row r="10617" spans="1:8" customFormat="1" x14ac:dyDescent="0.25">
      <c r="A10617" t="str">
        <f>"4415375"</f>
        <v>4415375</v>
      </c>
      <c r="B10617" t="s">
        <v>9770</v>
      </c>
      <c r="C10617" t="s">
        <v>1146</v>
      </c>
      <c r="D10617" s="21" t="s">
        <v>34</v>
      </c>
      <c r="E10617" s="21" t="s">
        <v>71</v>
      </c>
      <c r="F10617">
        <v>12440176</v>
      </c>
      <c r="G10617" t="s">
        <v>1020</v>
      </c>
      <c r="H10617" s="21">
        <v>975.17</v>
      </c>
    </row>
    <row r="10618" spans="1:8" customFormat="1" x14ac:dyDescent="0.25">
      <c r="A10618" t="str">
        <f>"7212527"</f>
        <v>7212527</v>
      </c>
      <c r="B10618" t="s">
        <v>6921</v>
      </c>
      <c r="C10618" t="s">
        <v>12304</v>
      </c>
      <c r="D10618" s="21" t="s">
        <v>34</v>
      </c>
      <c r="E10618" s="21" t="s">
        <v>71</v>
      </c>
      <c r="F10618">
        <v>12720067</v>
      </c>
      <c r="G10618" t="s">
        <v>10622</v>
      </c>
      <c r="H10618" s="21">
        <v>975.17</v>
      </c>
    </row>
    <row r="10619" spans="1:8" customFormat="1" x14ac:dyDescent="0.25">
      <c r="A10619" t="str">
        <f>"6910533"</f>
        <v>6910533</v>
      </c>
      <c r="B10619" t="s">
        <v>11995</v>
      </c>
      <c r="C10619" t="s">
        <v>33</v>
      </c>
      <c r="D10619" s="21" t="s">
        <v>34</v>
      </c>
      <c r="E10619" s="21" t="s">
        <v>35</v>
      </c>
      <c r="F10619">
        <v>1690194</v>
      </c>
      <c r="G10619" t="s">
        <v>5285</v>
      </c>
      <c r="H10619" s="21">
        <v>975.17</v>
      </c>
    </row>
    <row r="10620" spans="1:8" customFormat="1" x14ac:dyDescent="0.25">
      <c r="A10620" t="str">
        <f>"227800"</f>
        <v>227800</v>
      </c>
      <c r="B10620" t="s">
        <v>10186</v>
      </c>
      <c r="C10620" t="s">
        <v>320</v>
      </c>
      <c r="D10620" s="21" t="s">
        <v>34</v>
      </c>
      <c r="E10620" s="21" t="s">
        <v>254</v>
      </c>
      <c r="F10620">
        <v>3220033</v>
      </c>
      <c r="G10620" t="s">
        <v>657</v>
      </c>
      <c r="H10620" s="21">
        <v>975.17</v>
      </c>
    </row>
    <row r="10621" spans="1:8" customFormat="1" x14ac:dyDescent="0.25">
      <c r="A10621" t="str">
        <f>"9521997"</f>
        <v>9521997</v>
      </c>
      <c r="B10621" t="s">
        <v>4596</v>
      </c>
      <c r="C10621" t="s">
        <v>10388</v>
      </c>
      <c r="D10621" s="21" t="s">
        <v>34</v>
      </c>
      <c r="E10621" s="21" t="s">
        <v>254</v>
      </c>
      <c r="F10621">
        <v>8951399</v>
      </c>
      <c r="G10621" t="s">
        <v>6745</v>
      </c>
      <c r="H10621" s="21">
        <v>975.17</v>
      </c>
    </row>
    <row r="10622" spans="1:8" customFormat="1" x14ac:dyDescent="0.25">
      <c r="A10622" t="str">
        <f>"3528769"</f>
        <v>3528769</v>
      </c>
      <c r="B10622" t="s">
        <v>9936</v>
      </c>
      <c r="C10622" t="s">
        <v>204</v>
      </c>
      <c r="D10622" s="21" t="s">
        <v>34</v>
      </c>
      <c r="E10622" s="21" t="s">
        <v>35</v>
      </c>
      <c r="F10622">
        <v>3350090</v>
      </c>
      <c r="G10622" t="s">
        <v>9659</v>
      </c>
      <c r="H10622" s="21">
        <v>975.17</v>
      </c>
    </row>
    <row r="10623" spans="1:8" customFormat="1" x14ac:dyDescent="0.25">
      <c r="A10623" t="str">
        <f>"555054"</f>
        <v>555054</v>
      </c>
      <c r="B10623" t="s">
        <v>9787</v>
      </c>
      <c r="C10623" t="s">
        <v>328</v>
      </c>
      <c r="D10623" s="21" t="s">
        <v>34</v>
      </c>
      <c r="E10623" s="21" t="s">
        <v>254</v>
      </c>
      <c r="F10623">
        <v>6550052</v>
      </c>
      <c r="G10623" t="s">
        <v>6028</v>
      </c>
      <c r="H10623" s="21">
        <v>975.17</v>
      </c>
    </row>
    <row r="10624" spans="1:8" customFormat="1" x14ac:dyDescent="0.25">
      <c r="A10624" t="str">
        <f>"08230"</f>
        <v>08230</v>
      </c>
      <c r="B10624" t="s">
        <v>10405</v>
      </c>
      <c r="C10624" t="s">
        <v>598</v>
      </c>
      <c r="D10624" s="21" t="s">
        <v>34</v>
      </c>
      <c r="E10624" s="21" t="s">
        <v>254</v>
      </c>
      <c r="F10624">
        <v>6550009</v>
      </c>
      <c r="G10624" t="s">
        <v>7080</v>
      </c>
      <c r="H10624" s="21">
        <v>975.17</v>
      </c>
    </row>
    <row r="10625" spans="1:8" customFormat="1" x14ac:dyDescent="0.25">
      <c r="A10625" t="str">
        <f>"3332022"</f>
        <v>3332022</v>
      </c>
      <c r="B10625" t="s">
        <v>9256</v>
      </c>
      <c r="C10625" t="s">
        <v>40</v>
      </c>
      <c r="D10625" s="21" t="s">
        <v>34</v>
      </c>
      <c r="E10625" s="21" t="s">
        <v>35</v>
      </c>
      <c r="F10625">
        <v>10330117</v>
      </c>
      <c r="G10625" t="s">
        <v>1942</v>
      </c>
      <c r="H10625" s="21">
        <v>975.17</v>
      </c>
    </row>
    <row r="10626" spans="1:8" customFormat="1" x14ac:dyDescent="0.25">
      <c r="A10626" t="str">
        <f>"686076"</f>
        <v>686076</v>
      </c>
      <c r="B10626" t="s">
        <v>9908</v>
      </c>
      <c r="C10626" t="s">
        <v>267</v>
      </c>
      <c r="D10626" s="21" t="s">
        <v>34</v>
      </c>
      <c r="E10626" s="21" t="s">
        <v>254</v>
      </c>
      <c r="F10626">
        <v>6680080</v>
      </c>
      <c r="G10626" t="s">
        <v>7771</v>
      </c>
      <c r="H10626" s="21">
        <v>975.17</v>
      </c>
    </row>
    <row r="10627" spans="1:8" customFormat="1" x14ac:dyDescent="0.25">
      <c r="A10627" t="str">
        <f>"6213362"</f>
        <v>6213362</v>
      </c>
      <c r="B10627" t="s">
        <v>6446</v>
      </c>
      <c r="C10627" t="s">
        <v>486</v>
      </c>
      <c r="D10627" s="21" t="s">
        <v>34</v>
      </c>
      <c r="E10627" s="21" t="s">
        <v>71</v>
      </c>
      <c r="F10627">
        <v>7620110</v>
      </c>
      <c r="G10627" t="s">
        <v>2681</v>
      </c>
      <c r="H10627" s="21">
        <v>975.17</v>
      </c>
    </row>
    <row r="10628" spans="1:8" customFormat="1" x14ac:dyDescent="0.25">
      <c r="A10628" t="str">
        <f>"2813552"</f>
        <v>2813552</v>
      </c>
      <c r="B10628" t="s">
        <v>3873</v>
      </c>
      <c r="C10628" t="s">
        <v>1819</v>
      </c>
      <c r="D10628" s="21" t="s">
        <v>34</v>
      </c>
      <c r="E10628" s="21" t="s">
        <v>35</v>
      </c>
      <c r="F10628">
        <v>4280005</v>
      </c>
      <c r="G10628" t="s">
        <v>5760</v>
      </c>
      <c r="H10628" s="21">
        <v>974.92</v>
      </c>
    </row>
    <row r="10629" spans="1:8" customFormat="1" x14ac:dyDescent="0.25">
      <c r="A10629" t="str">
        <f>"4437843"</f>
        <v>4437843</v>
      </c>
      <c r="B10629" t="s">
        <v>9952</v>
      </c>
      <c r="C10629" t="s">
        <v>263</v>
      </c>
      <c r="D10629" s="21" t="s">
        <v>34</v>
      </c>
      <c r="E10629" s="21" t="s">
        <v>71</v>
      </c>
      <c r="F10629">
        <v>12440060</v>
      </c>
      <c r="G10629" t="s">
        <v>9953</v>
      </c>
      <c r="H10629" s="21">
        <v>974.92</v>
      </c>
    </row>
    <row r="10630" spans="1:8" customFormat="1" x14ac:dyDescent="0.25">
      <c r="A10630" t="str">
        <f>"781358"</f>
        <v>781358</v>
      </c>
      <c r="B10630" t="s">
        <v>9401</v>
      </c>
      <c r="C10630" t="s">
        <v>1146</v>
      </c>
      <c r="D10630" s="21" t="s">
        <v>34</v>
      </c>
      <c r="E10630" s="21" t="s">
        <v>1089</v>
      </c>
      <c r="F10630">
        <v>8780585</v>
      </c>
      <c r="G10630" t="s">
        <v>4630</v>
      </c>
      <c r="H10630" s="21">
        <v>974.79</v>
      </c>
    </row>
    <row r="10631" spans="1:8" customFormat="1" x14ac:dyDescent="0.25">
      <c r="A10631" t="str">
        <f>"7641345"</f>
        <v>7641345</v>
      </c>
      <c r="B10631" t="s">
        <v>16544</v>
      </c>
      <c r="C10631" t="s">
        <v>16545</v>
      </c>
      <c r="D10631" s="21" t="s">
        <v>34</v>
      </c>
      <c r="E10631" s="21" t="s">
        <v>71</v>
      </c>
      <c r="F10631">
        <v>9760414</v>
      </c>
      <c r="G10631" t="s">
        <v>142</v>
      </c>
      <c r="H10631" s="21">
        <v>974.67</v>
      </c>
    </row>
    <row r="10632" spans="1:8" customFormat="1" x14ac:dyDescent="0.25">
      <c r="A10632" t="str">
        <f>"593449"</f>
        <v>593449</v>
      </c>
      <c r="B10632" t="s">
        <v>4183</v>
      </c>
      <c r="C10632" t="s">
        <v>40</v>
      </c>
      <c r="D10632" s="21" t="s">
        <v>34</v>
      </c>
      <c r="E10632" s="21" t="s">
        <v>254</v>
      </c>
      <c r="F10632">
        <v>7590228</v>
      </c>
      <c r="G10632" t="s">
        <v>1798</v>
      </c>
      <c r="H10632" s="21">
        <v>974.67</v>
      </c>
    </row>
    <row r="10633" spans="1:8" customFormat="1" x14ac:dyDescent="0.25">
      <c r="A10633" t="str">
        <f>"644419"</f>
        <v>644419</v>
      </c>
      <c r="B10633" t="s">
        <v>5077</v>
      </c>
      <c r="C10633" t="s">
        <v>285</v>
      </c>
      <c r="D10633" s="21" t="s">
        <v>34</v>
      </c>
      <c r="E10633" s="21" t="s">
        <v>71</v>
      </c>
      <c r="F10633">
        <v>10640004</v>
      </c>
      <c r="G10633" t="s">
        <v>26618</v>
      </c>
      <c r="H10633" s="21">
        <v>974.67</v>
      </c>
    </row>
    <row r="10634" spans="1:8" customFormat="1" x14ac:dyDescent="0.25">
      <c r="A10634" t="str">
        <f>"7865793"</f>
        <v>7865793</v>
      </c>
      <c r="B10634" t="s">
        <v>10298</v>
      </c>
      <c r="C10634" t="s">
        <v>198</v>
      </c>
      <c r="D10634" s="21" t="s">
        <v>34</v>
      </c>
      <c r="E10634" s="21" t="s">
        <v>71</v>
      </c>
      <c r="F10634">
        <v>8780080</v>
      </c>
      <c r="G10634" t="s">
        <v>865</v>
      </c>
      <c r="H10634" s="21">
        <v>974.67</v>
      </c>
    </row>
    <row r="10635" spans="1:8" customFormat="1" x14ac:dyDescent="0.25">
      <c r="A10635" t="str">
        <f>"216347"</f>
        <v>216347</v>
      </c>
      <c r="B10635" t="s">
        <v>27162</v>
      </c>
      <c r="C10635" t="s">
        <v>249</v>
      </c>
      <c r="D10635" s="21" t="s">
        <v>34</v>
      </c>
      <c r="E10635" s="21" t="s">
        <v>35</v>
      </c>
      <c r="F10635">
        <v>2210059</v>
      </c>
      <c r="G10635" t="s">
        <v>3142</v>
      </c>
      <c r="H10635" s="21">
        <v>974.67</v>
      </c>
    </row>
    <row r="10636" spans="1:8" customFormat="1" x14ac:dyDescent="0.25">
      <c r="A10636" t="str">
        <f>"2937777"</f>
        <v>2937777</v>
      </c>
      <c r="B10636" t="s">
        <v>3313</v>
      </c>
      <c r="C10636" t="s">
        <v>33</v>
      </c>
      <c r="D10636" s="21" t="s">
        <v>34</v>
      </c>
      <c r="E10636" s="21" t="s">
        <v>35</v>
      </c>
      <c r="F10636">
        <v>3290283</v>
      </c>
      <c r="G10636" t="s">
        <v>12108</v>
      </c>
      <c r="H10636" s="21">
        <v>974.67</v>
      </c>
    </row>
    <row r="10637" spans="1:8" customFormat="1" x14ac:dyDescent="0.25">
      <c r="A10637" t="str">
        <f>"541003"</f>
        <v>541003</v>
      </c>
      <c r="B10637" t="s">
        <v>1349</v>
      </c>
      <c r="C10637" t="s">
        <v>10066</v>
      </c>
      <c r="D10637" s="21" t="s">
        <v>34</v>
      </c>
      <c r="E10637" s="21" t="s">
        <v>1089</v>
      </c>
      <c r="F10637">
        <v>6540047</v>
      </c>
      <c r="G10637" t="s">
        <v>5423</v>
      </c>
      <c r="H10637" s="21">
        <v>974.67</v>
      </c>
    </row>
    <row r="10638" spans="1:8" customFormat="1" x14ac:dyDescent="0.25">
      <c r="A10638" t="str">
        <f>"614348"</f>
        <v>614348</v>
      </c>
      <c r="B10638" t="s">
        <v>10887</v>
      </c>
      <c r="C10638" t="s">
        <v>2786</v>
      </c>
      <c r="D10638" s="21" t="s">
        <v>34</v>
      </c>
      <c r="E10638" s="21" t="s">
        <v>35</v>
      </c>
      <c r="F10638">
        <v>9610135</v>
      </c>
      <c r="G10638" t="s">
        <v>8227</v>
      </c>
      <c r="H10638" s="21">
        <v>974.67</v>
      </c>
    </row>
    <row r="10639" spans="1:8" customFormat="1" x14ac:dyDescent="0.25">
      <c r="A10639" t="str">
        <f>"0811798"</f>
        <v>0811798</v>
      </c>
      <c r="B10639" t="s">
        <v>10636</v>
      </c>
      <c r="C10639" t="s">
        <v>60</v>
      </c>
      <c r="D10639" s="21" t="s">
        <v>34</v>
      </c>
      <c r="E10639" s="21" t="s">
        <v>35</v>
      </c>
      <c r="F10639">
        <v>6080057</v>
      </c>
      <c r="G10639" t="s">
        <v>10034</v>
      </c>
      <c r="H10639" s="21">
        <v>974.67</v>
      </c>
    </row>
    <row r="10640" spans="1:8" customFormat="1" x14ac:dyDescent="0.25">
      <c r="A10640" t="str">
        <f>"57964"</f>
        <v>57964</v>
      </c>
      <c r="B10640" t="s">
        <v>8729</v>
      </c>
      <c r="C10640" t="s">
        <v>114</v>
      </c>
      <c r="D10640" s="21" t="s">
        <v>34</v>
      </c>
      <c r="E10640" s="21" t="s">
        <v>71</v>
      </c>
      <c r="F10640">
        <v>6570060</v>
      </c>
      <c r="G10640" t="s">
        <v>4397</v>
      </c>
      <c r="H10640" s="21">
        <v>974.67</v>
      </c>
    </row>
    <row r="10641" spans="1:8" customFormat="1" x14ac:dyDescent="0.25">
      <c r="A10641" t="str">
        <f>"4430115"</f>
        <v>4430115</v>
      </c>
      <c r="B10641" t="s">
        <v>10625</v>
      </c>
      <c r="C10641" t="s">
        <v>65</v>
      </c>
      <c r="D10641" s="21" t="s">
        <v>34</v>
      </c>
      <c r="E10641" s="21" t="s">
        <v>71</v>
      </c>
      <c r="F10641">
        <v>12440197</v>
      </c>
      <c r="G10641" t="s">
        <v>1101</v>
      </c>
      <c r="H10641" s="21">
        <v>974.67</v>
      </c>
    </row>
    <row r="10642" spans="1:8" customFormat="1" x14ac:dyDescent="0.25">
      <c r="A10642" t="str">
        <f>"7611083"</f>
        <v>7611083</v>
      </c>
      <c r="B10642" t="s">
        <v>13262</v>
      </c>
      <c r="C10642" t="s">
        <v>486</v>
      </c>
      <c r="D10642" s="21" t="s">
        <v>34</v>
      </c>
      <c r="E10642" s="21" t="s">
        <v>35</v>
      </c>
      <c r="F10642">
        <v>9760319</v>
      </c>
      <c r="G10642" t="s">
        <v>3051</v>
      </c>
      <c r="H10642" s="21">
        <v>974.55</v>
      </c>
    </row>
    <row r="10643" spans="1:8" customFormat="1" x14ac:dyDescent="0.25">
      <c r="A10643" t="str">
        <f>"7715564"</f>
        <v>7715564</v>
      </c>
      <c r="B10643" t="s">
        <v>10725</v>
      </c>
      <c r="C10643" t="s">
        <v>169</v>
      </c>
      <c r="D10643" s="21" t="s">
        <v>34</v>
      </c>
      <c r="E10643" s="21" t="s">
        <v>35</v>
      </c>
      <c r="F10643">
        <v>1740038</v>
      </c>
      <c r="G10643" t="s">
        <v>26517</v>
      </c>
      <c r="H10643" s="21">
        <v>974.54</v>
      </c>
    </row>
    <row r="10644" spans="1:8" customFormat="1" x14ac:dyDescent="0.25">
      <c r="A10644" t="str">
        <f>"7514070"</f>
        <v>7514070</v>
      </c>
      <c r="B10644" t="s">
        <v>11850</v>
      </c>
      <c r="C10644" t="s">
        <v>1104</v>
      </c>
      <c r="D10644" s="21" t="s">
        <v>34</v>
      </c>
      <c r="E10644" s="21" t="s">
        <v>35</v>
      </c>
      <c r="F10644">
        <v>8750120</v>
      </c>
      <c r="G10644" t="s">
        <v>838</v>
      </c>
      <c r="H10644" s="21">
        <v>974.54</v>
      </c>
    </row>
    <row r="10645" spans="1:8" customFormat="1" x14ac:dyDescent="0.25">
      <c r="A10645" t="str">
        <f>"6210521"</f>
        <v>6210521</v>
      </c>
      <c r="B10645" t="s">
        <v>10999</v>
      </c>
      <c r="C10645" t="s">
        <v>187</v>
      </c>
      <c r="D10645" s="21" t="s">
        <v>34</v>
      </c>
      <c r="E10645" s="21" t="s">
        <v>71</v>
      </c>
      <c r="F10645">
        <v>7620140</v>
      </c>
      <c r="G10645" t="s">
        <v>7454</v>
      </c>
      <c r="H10645" s="21">
        <v>974.29</v>
      </c>
    </row>
    <row r="10646" spans="1:8" customFormat="1" x14ac:dyDescent="0.25">
      <c r="A10646" t="str">
        <f>"704571"</f>
        <v>704571</v>
      </c>
      <c r="B10646" t="s">
        <v>5751</v>
      </c>
      <c r="C10646" t="s">
        <v>206</v>
      </c>
      <c r="D10646" s="21" t="s">
        <v>34</v>
      </c>
      <c r="E10646" s="21" t="s">
        <v>35</v>
      </c>
      <c r="F10646">
        <v>2700015</v>
      </c>
      <c r="G10646" t="s">
        <v>9856</v>
      </c>
      <c r="H10646" s="21">
        <v>974.17</v>
      </c>
    </row>
    <row r="10647" spans="1:8" customFormat="1" x14ac:dyDescent="0.25">
      <c r="A10647" t="str">
        <f>"4428609"</f>
        <v>4428609</v>
      </c>
      <c r="B10647" t="s">
        <v>10959</v>
      </c>
      <c r="C10647" t="s">
        <v>206</v>
      </c>
      <c r="D10647" s="21" t="s">
        <v>34</v>
      </c>
      <c r="E10647" s="21" t="s">
        <v>35</v>
      </c>
      <c r="F10647">
        <v>12440014</v>
      </c>
      <c r="G10647" t="s">
        <v>6767</v>
      </c>
      <c r="H10647" s="21">
        <v>974.17</v>
      </c>
    </row>
    <row r="10648" spans="1:8" customFormat="1" x14ac:dyDescent="0.25">
      <c r="A10648" t="str">
        <f>"334673"</f>
        <v>334673</v>
      </c>
      <c r="B10648" t="s">
        <v>9317</v>
      </c>
      <c r="C10648" t="s">
        <v>236</v>
      </c>
      <c r="D10648" s="21" t="s">
        <v>34</v>
      </c>
      <c r="E10648" s="21" t="s">
        <v>254</v>
      </c>
      <c r="F10648">
        <v>10330032</v>
      </c>
      <c r="G10648" t="s">
        <v>4408</v>
      </c>
      <c r="H10648" s="21">
        <v>974.17</v>
      </c>
    </row>
    <row r="10649" spans="1:8" customFormat="1" x14ac:dyDescent="0.25">
      <c r="A10649" t="str">
        <f>"7821346"</f>
        <v>7821346</v>
      </c>
      <c r="B10649" t="s">
        <v>10660</v>
      </c>
      <c r="C10649" t="s">
        <v>156</v>
      </c>
      <c r="D10649" s="21" t="s">
        <v>34</v>
      </c>
      <c r="E10649" s="21" t="s">
        <v>254</v>
      </c>
      <c r="F10649">
        <v>8780902</v>
      </c>
      <c r="G10649" t="s">
        <v>6390</v>
      </c>
      <c r="H10649" s="21">
        <v>974.17</v>
      </c>
    </row>
    <row r="10650" spans="1:8" customFormat="1" x14ac:dyDescent="0.25">
      <c r="A10650" t="str">
        <f>"607381"</f>
        <v>607381</v>
      </c>
      <c r="B10650" t="s">
        <v>9685</v>
      </c>
      <c r="C10650" t="s">
        <v>33</v>
      </c>
      <c r="D10650" s="21" t="s">
        <v>34</v>
      </c>
      <c r="E10650" s="21" t="s">
        <v>71</v>
      </c>
      <c r="F10650">
        <v>7600017</v>
      </c>
      <c r="G10650" t="s">
        <v>8498</v>
      </c>
      <c r="H10650" s="21">
        <v>974.17</v>
      </c>
    </row>
    <row r="10651" spans="1:8" customFormat="1" x14ac:dyDescent="0.25">
      <c r="A10651" t="str">
        <f>"5946986"</f>
        <v>5946986</v>
      </c>
      <c r="B10651" t="s">
        <v>9196</v>
      </c>
      <c r="C10651" t="s">
        <v>2806</v>
      </c>
      <c r="D10651" s="21" t="s">
        <v>34</v>
      </c>
      <c r="E10651" s="21" t="s">
        <v>71</v>
      </c>
      <c r="F10651">
        <v>7590345</v>
      </c>
      <c r="G10651" t="s">
        <v>3297</v>
      </c>
      <c r="H10651" s="21">
        <v>974.17</v>
      </c>
    </row>
    <row r="10652" spans="1:8" customFormat="1" x14ac:dyDescent="0.25">
      <c r="A10652" t="str">
        <f>"103929"</f>
        <v>103929</v>
      </c>
      <c r="B10652" t="s">
        <v>7896</v>
      </c>
      <c r="C10652" t="s">
        <v>33</v>
      </c>
      <c r="D10652" s="21" t="s">
        <v>34</v>
      </c>
      <c r="E10652" s="21" t="s">
        <v>35</v>
      </c>
      <c r="F10652">
        <v>6100007</v>
      </c>
      <c r="G10652" t="s">
        <v>9706</v>
      </c>
      <c r="H10652" s="21">
        <v>974.17</v>
      </c>
    </row>
    <row r="10653" spans="1:8" customFormat="1" x14ac:dyDescent="0.25">
      <c r="A10653" t="str">
        <f>"3828739"</f>
        <v>3828739</v>
      </c>
      <c r="B10653" t="s">
        <v>11096</v>
      </c>
      <c r="C10653" t="s">
        <v>1812</v>
      </c>
      <c r="D10653" s="21" t="s">
        <v>34</v>
      </c>
      <c r="E10653" s="21" t="s">
        <v>71</v>
      </c>
      <c r="F10653">
        <v>1380296</v>
      </c>
      <c r="G10653" t="s">
        <v>2810</v>
      </c>
      <c r="H10653" s="21">
        <v>974.17</v>
      </c>
    </row>
    <row r="10654" spans="1:8" customFormat="1" x14ac:dyDescent="0.25">
      <c r="A10654" t="str">
        <f>"275908"</f>
        <v>275908</v>
      </c>
      <c r="B10654" t="s">
        <v>2317</v>
      </c>
      <c r="C10654" t="s">
        <v>209</v>
      </c>
      <c r="D10654" s="21" t="s">
        <v>34</v>
      </c>
      <c r="E10654" s="21" t="s">
        <v>71</v>
      </c>
      <c r="F10654">
        <v>9270138</v>
      </c>
      <c r="G10654" t="s">
        <v>6112</v>
      </c>
      <c r="H10654" s="21">
        <v>974.17</v>
      </c>
    </row>
    <row r="10655" spans="1:8" customFormat="1" x14ac:dyDescent="0.25">
      <c r="A10655" t="str">
        <f>"6224090"</f>
        <v>6224090</v>
      </c>
      <c r="B10655" t="s">
        <v>11966</v>
      </c>
      <c r="C10655" t="s">
        <v>33</v>
      </c>
      <c r="D10655" s="21" t="s">
        <v>34</v>
      </c>
      <c r="E10655" s="21" t="s">
        <v>35</v>
      </c>
      <c r="F10655">
        <v>7620061</v>
      </c>
      <c r="G10655" t="s">
        <v>4448</v>
      </c>
      <c r="H10655" s="21">
        <v>974.17</v>
      </c>
    </row>
    <row r="10656" spans="1:8" customFormat="1" x14ac:dyDescent="0.25">
      <c r="A10656" t="str">
        <f>"618586"</f>
        <v>618586</v>
      </c>
      <c r="B10656" t="s">
        <v>7872</v>
      </c>
      <c r="C10656" t="s">
        <v>130</v>
      </c>
      <c r="D10656" s="21" t="s">
        <v>34</v>
      </c>
      <c r="E10656" s="21" t="s">
        <v>71</v>
      </c>
      <c r="F10656">
        <v>9610011</v>
      </c>
      <c r="G10656" t="s">
        <v>6031</v>
      </c>
      <c r="H10656" s="21">
        <v>974.17</v>
      </c>
    </row>
    <row r="10657" spans="1:8" customFormat="1" x14ac:dyDescent="0.25">
      <c r="A10657" t="str">
        <f>"5974767"</f>
        <v>5974767</v>
      </c>
      <c r="B10657" t="s">
        <v>12410</v>
      </c>
      <c r="C10657" t="s">
        <v>130</v>
      </c>
      <c r="D10657" s="21" t="s">
        <v>34</v>
      </c>
      <c r="E10657" s="21" t="s">
        <v>71</v>
      </c>
      <c r="F10657">
        <v>7590402</v>
      </c>
      <c r="G10657" t="s">
        <v>1623</v>
      </c>
      <c r="H10657" s="21">
        <v>974.17</v>
      </c>
    </row>
    <row r="10658" spans="1:8" customFormat="1" x14ac:dyDescent="0.25">
      <c r="A10658" t="str">
        <f>"5711407"</f>
        <v>5711407</v>
      </c>
      <c r="B10658" t="s">
        <v>10991</v>
      </c>
      <c r="C10658" t="s">
        <v>817</v>
      </c>
      <c r="D10658" s="21" t="s">
        <v>34</v>
      </c>
      <c r="E10658" s="21" t="s">
        <v>71</v>
      </c>
      <c r="F10658">
        <v>6570015</v>
      </c>
      <c r="G10658" t="s">
        <v>749</v>
      </c>
      <c r="H10658" s="21">
        <v>974.17</v>
      </c>
    </row>
    <row r="10659" spans="1:8" customFormat="1" x14ac:dyDescent="0.25">
      <c r="A10659" t="str">
        <f>"68934"</f>
        <v>68934</v>
      </c>
      <c r="B10659" t="s">
        <v>1747</v>
      </c>
      <c r="C10659" t="s">
        <v>1812</v>
      </c>
      <c r="D10659" s="21" t="s">
        <v>34</v>
      </c>
      <c r="E10659" s="21" t="s">
        <v>1089</v>
      </c>
      <c r="F10659">
        <v>6680090</v>
      </c>
      <c r="G10659" t="s">
        <v>3129</v>
      </c>
      <c r="H10659" s="21">
        <v>974.17</v>
      </c>
    </row>
    <row r="10660" spans="1:8" customFormat="1" x14ac:dyDescent="0.25">
      <c r="A10660" t="str">
        <f>"7715162"</f>
        <v>7715162</v>
      </c>
      <c r="B10660" t="s">
        <v>10704</v>
      </c>
      <c r="C10660" t="s">
        <v>462</v>
      </c>
      <c r="D10660" s="21" t="s">
        <v>34</v>
      </c>
      <c r="E10660" s="21" t="s">
        <v>71</v>
      </c>
      <c r="F10660">
        <v>8770426</v>
      </c>
      <c r="G10660" t="s">
        <v>1847</v>
      </c>
      <c r="H10660" s="21">
        <v>974.17</v>
      </c>
    </row>
    <row r="10661" spans="1:8" customFormat="1" x14ac:dyDescent="0.25">
      <c r="A10661" t="str">
        <f>"5426585"</f>
        <v>5426585</v>
      </c>
      <c r="B10661" t="s">
        <v>5959</v>
      </c>
      <c r="C10661" t="s">
        <v>33</v>
      </c>
      <c r="D10661" s="21" t="s">
        <v>34</v>
      </c>
      <c r="E10661" s="21" t="s">
        <v>35</v>
      </c>
      <c r="F10661">
        <v>6540019</v>
      </c>
      <c r="G10661" t="s">
        <v>6413</v>
      </c>
      <c r="H10661" s="21">
        <v>974</v>
      </c>
    </row>
    <row r="10662" spans="1:8" customFormat="1" x14ac:dyDescent="0.25">
      <c r="A10662" t="str">
        <f>"4925387"</f>
        <v>4925387</v>
      </c>
      <c r="B10662" t="s">
        <v>11478</v>
      </c>
      <c r="C10662" t="s">
        <v>169</v>
      </c>
      <c r="D10662" s="21" t="s">
        <v>34</v>
      </c>
      <c r="E10662" s="21" t="s">
        <v>35</v>
      </c>
      <c r="F10662">
        <v>12490030</v>
      </c>
      <c r="G10662" t="s">
        <v>8366</v>
      </c>
      <c r="H10662" s="21">
        <v>973.92</v>
      </c>
    </row>
    <row r="10663" spans="1:8" customFormat="1" x14ac:dyDescent="0.25">
      <c r="A10663" t="str">
        <f>"0112112"</f>
        <v>0112112</v>
      </c>
      <c r="B10663" t="s">
        <v>7403</v>
      </c>
      <c r="C10663" t="s">
        <v>33</v>
      </c>
      <c r="D10663" s="21" t="s">
        <v>34</v>
      </c>
      <c r="E10663" s="21" t="s">
        <v>71</v>
      </c>
      <c r="F10663">
        <v>1010004</v>
      </c>
      <c r="G10663" t="s">
        <v>9066</v>
      </c>
      <c r="H10663" s="21">
        <v>973.8</v>
      </c>
    </row>
    <row r="10664" spans="1:8" customFormat="1" x14ac:dyDescent="0.25">
      <c r="A10664" t="str">
        <f>"3727446"</f>
        <v>3727446</v>
      </c>
      <c r="B10664" t="s">
        <v>9293</v>
      </c>
      <c r="C10664" t="s">
        <v>169</v>
      </c>
      <c r="D10664" s="21" t="s">
        <v>34</v>
      </c>
      <c r="E10664" s="21" t="s">
        <v>35</v>
      </c>
      <c r="F10664">
        <v>4370004</v>
      </c>
      <c r="G10664" t="s">
        <v>6049</v>
      </c>
      <c r="H10664" s="21">
        <v>973.79</v>
      </c>
    </row>
    <row r="10665" spans="1:8" customFormat="1" x14ac:dyDescent="0.25">
      <c r="A10665" t="str">
        <f>"883369"</f>
        <v>883369</v>
      </c>
      <c r="B10665" t="s">
        <v>12813</v>
      </c>
      <c r="C10665" t="s">
        <v>611</v>
      </c>
      <c r="D10665" s="21" t="s">
        <v>34</v>
      </c>
      <c r="E10665" s="21" t="s">
        <v>35</v>
      </c>
      <c r="F10665">
        <v>6570070</v>
      </c>
      <c r="G10665" t="s">
        <v>1765</v>
      </c>
      <c r="H10665" s="21">
        <v>973.67</v>
      </c>
    </row>
    <row r="10666" spans="1:8" customFormat="1" x14ac:dyDescent="0.25">
      <c r="A10666" t="str">
        <f>"779322"</f>
        <v>779322</v>
      </c>
      <c r="B10666" t="s">
        <v>17340</v>
      </c>
      <c r="C10666" t="s">
        <v>98</v>
      </c>
      <c r="D10666" s="21" t="s">
        <v>34</v>
      </c>
      <c r="E10666" s="21" t="s">
        <v>35</v>
      </c>
      <c r="F10666">
        <v>1730067</v>
      </c>
      <c r="G10666" t="s">
        <v>15999</v>
      </c>
      <c r="H10666" s="21">
        <v>973.67</v>
      </c>
    </row>
    <row r="10667" spans="1:8" customFormat="1" x14ac:dyDescent="0.25">
      <c r="A10667" t="str">
        <f>"594854"</f>
        <v>594854</v>
      </c>
      <c r="B10667" t="s">
        <v>5247</v>
      </c>
      <c r="C10667" t="s">
        <v>1597</v>
      </c>
      <c r="D10667" s="21" t="s">
        <v>34</v>
      </c>
      <c r="E10667" s="21" t="s">
        <v>1089</v>
      </c>
      <c r="F10667">
        <v>7590310</v>
      </c>
      <c r="G10667" t="s">
        <v>10278</v>
      </c>
      <c r="H10667" s="21">
        <v>973.67</v>
      </c>
    </row>
    <row r="10668" spans="1:8" customFormat="1" x14ac:dyDescent="0.25">
      <c r="A10668" t="str">
        <f>"4423441"</f>
        <v>4423441</v>
      </c>
      <c r="B10668" t="s">
        <v>10390</v>
      </c>
      <c r="C10668" t="s">
        <v>10391</v>
      </c>
      <c r="D10668" s="21" t="s">
        <v>34</v>
      </c>
      <c r="E10668" s="21" t="s">
        <v>71</v>
      </c>
      <c r="F10668">
        <v>12440195</v>
      </c>
      <c r="G10668" t="s">
        <v>3117</v>
      </c>
      <c r="H10668" s="21">
        <v>973.67</v>
      </c>
    </row>
    <row r="10669" spans="1:8" customFormat="1" x14ac:dyDescent="0.25">
      <c r="A10669" t="str">
        <f>"652500"</f>
        <v>652500</v>
      </c>
      <c r="B10669" t="s">
        <v>26009</v>
      </c>
      <c r="C10669" t="s">
        <v>114</v>
      </c>
      <c r="D10669" s="21" t="s">
        <v>34</v>
      </c>
      <c r="E10669" s="21" t="s">
        <v>71</v>
      </c>
      <c r="F10669">
        <v>11650034</v>
      </c>
      <c r="G10669" t="s">
        <v>1989</v>
      </c>
      <c r="H10669" s="21">
        <v>973.67</v>
      </c>
    </row>
    <row r="10670" spans="1:8" customFormat="1" x14ac:dyDescent="0.25">
      <c r="A10670" t="str">
        <f>"947501"</f>
        <v>947501</v>
      </c>
      <c r="B10670" t="s">
        <v>503</v>
      </c>
      <c r="C10670" t="s">
        <v>40</v>
      </c>
      <c r="D10670" s="21" t="s">
        <v>34</v>
      </c>
      <c r="E10670" s="21" t="s">
        <v>1089</v>
      </c>
      <c r="F10670">
        <v>8940070</v>
      </c>
      <c r="G10670" t="s">
        <v>2320</v>
      </c>
      <c r="H10670" s="21">
        <v>973.67</v>
      </c>
    </row>
    <row r="10671" spans="1:8" customFormat="1" x14ac:dyDescent="0.25">
      <c r="A10671" t="str">
        <f>"0114619"</f>
        <v>0114619</v>
      </c>
      <c r="B10671" t="s">
        <v>1295</v>
      </c>
      <c r="C10671" t="s">
        <v>2734</v>
      </c>
      <c r="D10671" s="21" t="s">
        <v>34</v>
      </c>
      <c r="E10671" s="21" t="s">
        <v>35</v>
      </c>
      <c r="F10671">
        <v>1010027</v>
      </c>
      <c r="G10671" t="s">
        <v>6318</v>
      </c>
      <c r="H10671" s="21">
        <v>973.67</v>
      </c>
    </row>
    <row r="10672" spans="1:8" customFormat="1" x14ac:dyDescent="0.25">
      <c r="A10672" t="str">
        <f>"418298"</f>
        <v>418298</v>
      </c>
      <c r="B10672" t="s">
        <v>10241</v>
      </c>
      <c r="C10672" t="s">
        <v>124</v>
      </c>
      <c r="D10672" s="21" t="s">
        <v>34</v>
      </c>
      <c r="E10672" s="21" t="s">
        <v>254</v>
      </c>
      <c r="F10672">
        <v>4410065</v>
      </c>
      <c r="G10672" t="s">
        <v>3841</v>
      </c>
      <c r="H10672" s="21">
        <v>973.67</v>
      </c>
    </row>
    <row r="10673" spans="1:8" customFormat="1" x14ac:dyDescent="0.25">
      <c r="A10673" t="str">
        <f>"4910601"</f>
        <v>4910601</v>
      </c>
      <c r="B10673" t="s">
        <v>7935</v>
      </c>
      <c r="C10673" t="s">
        <v>55</v>
      </c>
      <c r="D10673" s="21" t="s">
        <v>34</v>
      </c>
      <c r="E10673" s="21" t="s">
        <v>71</v>
      </c>
      <c r="F10673">
        <v>12440141</v>
      </c>
      <c r="G10673" t="s">
        <v>3234</v>
      </c>
      <c r="H10673" s="21">
        <v>973.67</v>
      </c>
    </row>
    <row r="10674" spans="1:8" customFormat="1" x14ac:dyDescent="0.25">
      <c r="A10674" t="str">
        <f>"7217221"</f>
        <v>7217221</v>
      </c>
      <c r="B10674" t="s">
        <v>11106</v>
      </c>
      <c r="C10674" t="s">
        <v>455</v>
      </c>
      <c r="D10674" s="21" t="s">
        <v>34</v>
      </c>
      <c r="E10674" s="21" t="s">
        <v>35</v>
      </c>
      <c r="F10674">
        <v>12720110</v>
      </c>
      <c r="G10674" t="s">
        <v>3464</v>
      </c>
      <c r="H10674" s="21">
        <v>973.67</v>
      </c>
    </row>
    <row r="10675" spans="1:8" customFormat="1" x14ac:dyDescent="0.25">
      <c r="A10675" t="str">
        <f>"509471"</f>
        <v>509471</v>
      </c>
      <c r="B10675" t="s">
        <v>9504</v>
      </c>
      <c r="C10675" t="s">
        <v>2734</v>
      </c>
      <c r="D10675" s="21" t="s">
        <v>34</v>
      </c>
      <c r="E10675" s="21" t="s">
        <v>71</v>
      </c>
      <c r="F10675">
        <v>9500124</v>
      </c>
      <c r="G10675" t="s">
        <v>3726</v>
      </c>
      <c r="H10675" s="21">
        <v>973.67</v>
      </c>
    </row>
    <row r="10676" spans="1:8" customFormat="1" x14ac:dyDescent="0.25">
      <c r="A10676" t="str">
        <f>"5316834"</f>
        <v>5316834</v>
      </c>
      <c r="B10676" t="s">
        <v>6187</v>
      </c>
      <c r="C10676" t="s">
        <v>62</v>
      </c>
      <c r="D10676" s="21" t="s">
        <v>34</v>
      </c>
      <c r="E10676" s="21" t="s">
        <v>35</v>
      </c>
      <c r="F10676">
        <v>12530070</v>
      </c>
      <c r="G10676" t="s">
        <v>4905</v>
      </c>
      <c r="H10676" s="21">
        <v>973.67</v>
      </c>
    </row>
    <row r="10677" spans="1:8" customFormat="1" x14ac:dyDescent="0.25">
      <c r="A10677" t="str">
        <f>"847340"</f>
        <v>847340</v>
      </c>
      <c r="B10677" t="s">
        <v>13121</v>
      </c>
      <c r="C10677" t="s">
        <v>302</v>
      </c>
      <c r="D10677" s="21" t="s">
        <v>34</v>
      </c>
      <c r="E10677" s="21" t="s">
        <v>35</v>
      </c>
      <c r="F10677">
        <v>13840012</v>
      </c>
      <c r="G10677" t="s">
        <v>5143</v>
      </c>
      <c r="H10677" s="21">
        <v>973.42</v>
      </c>
    </row>
    <row r="10678" spans="1:8" customFormat="1" x14ac:dyDescent="0.25">
      <c r="A10678" t="str">
        <f>"6932606"</f>
        <v>6932606</v>
      </c>
      <c r="B10678" t="s">
        <v>12126</v>
      </c>
      <c r="C10678" t="s">
        <v>119</v>
      </c>
      <c r="D10678" s="21" t="s">
        <v>34</v>
      </c>
      <c r="E10678" s="21" t="s">
        <v>35</v>
      </c>
      <c r="F10678">
        <v>1690207</v>
      </c>
      <c r="G10678" t="s">
        <v>4232</v>
      </c>
      <c r="H10678" s="21">
        <v>973.17</v>
      </c>
    </row>
    <row r="10679" spans="1:8" customFormat="1" x14ac:dyDescent="0.25">
      <c r="A10679" t="str">
        <f>"454260"</f>
        <v>454260</v>
      </c>
      <c r="B10679" t="s">
        <v>8986</v>
      </c>
      <c r="C10679" t="s">
        <v>55</v>
      </c>
      <c r="D10679" s="21" t="s">
        <v>34</v>
      </c>
      <c r="E10679" s="21" t="s">
        <v>71</v>
      </c>
      <c r="F10679">
        <v>7020055</v>
      </c>
      <c r="G10679" t="s">
        <v>8987</v>
      </c>
      <c r="H10679" s="21">
        <v>973.17</v>
      </c>
    </row>
    <row r="10680" spans="1:8" customFormat="1" x14ac:dyDescent="0.25">
      <c r="A10680" t="str">
        <f>"7517846"</f>
        <v>7517846</v>
      </c>
      <c r="B10680" t="s">
        <v>9238</v>
      </c>
      <c r="C10680" t="s">
        <v>60</v>
      </c>
      <c r="D10680" s="21" t="s">
        <v>34</v>
      </c>
      <c r="E10680" s="21" t="s">
        <v>71</v>
      </c>
      <c r="F10680">
        <v>8751423</v>
      </c>
      <c r="G10680" t="s">
        <v>4556</v>
      </c>
      <c r="H10680" s="21">
        <v>973.17</v>
      </c>
    </row>
    <row r="10681" spans="1:8" customFormat="1" x14ac:dyDescent="0.25">
      <c r="A10681" t="str">
        <f>"5951305"</f>
        <v>5951305</v>
      </c>
      <c r="B10681" t="s">
        <v>1892</v>
      </c>
      <c r="C10681" t="s">
        <v>33</v>
      </c>
      <c r="D10681" s="21" t="s">
        <v>34</v>
      </c>
      <c r="E10681" s="21" t="s">
        <v>35</v>
      </c>
      <c r="F10681">
        <v>7590231</v>
      </c>
      <c r="G10681" t="s">
        <v>207</v>
      </c>
      <c r="H10681" s="21">
        <v>973.17</v>
      </c>
    </row>
    <row r="10682" spans="1:8" customFormat="1" x14ac:dyDescent="0.25">
      <c r="A10682" t="str">
        <f>"4425648"</f>
        <v>4425648</v>
      </c>
      <c r="B10682" t="s">
        <v>14037</v>
      </c>
      <c r="C10682" t="s">
        <v>209</v>
      </c>
      <c r="D10682" s="21" t="s">
        <v>34</v>
      </c>
      <c r="E10682" s="21" t="s">
        <v>35</v>
      </c>
      <c r="F10682">
        <v>10330019</v>
      </c>
      <c r="G10682" t="s">
        <v>1761</v>
      </c>
      <c r="H10682" s="21">
        <v>973.17</v>
      </c>
    </row>
    <row r="10683" spans="1:8" customFormat="1" x14ac:dyDescent="0.25">
      <c r="A10683" t="str">
        <f>"491855"</f>
        <v>491855</v>
      </c>
      <c r="B10683" t="s">
        <v>8901</v>
      </c>
      <c r="C10683" t="s">
        <v>415</v>
      </c>
      <c r="D10683" s="21" t="s">
        <v>34</v>
      </c>
      <c r="E10683" s="21" t="s">
        <v>254</v>
      </c>
      <c r="F10683">
        <v>12490098</v>
      </c>
      <c r="G10683" t="s">
        <v>2670</v>
      </c>
      <c r="H10683" s="21">
        <v>973.17</v>
      </c>
    </row>
    <row r="10684" spans="1:8" customFormat="1" x14ac:dyDescent="0.25">
      <c r="A10684" t="str">
        <f>"72990"</f>
        <v>72990</v>
      </c>
      <c r="B10684" t="s">
        <v>2398</v>
      </c>
      <c r="C10684" t="s">
        <v>119</v>
      </c>
      <c r="D10684" s="21" t="s">
        <v>34</v>
      </c>
      <c r="E10684" s="21" t="s">
        <v>35</v>
      </c>
      <c r="F10684">
        <v>12720028</v>
      </c>
      <c r="G10684" t="s">
        <v>4381</v>
      </c>
      <c r="H10684" s="21">
        <v>973.17</v>
      </c>
    </row>
    <row r="10685" spans="1:8" customFormat="1" x14ac:dyDescent="0.25">
      <c r="A10685" t="str">
        <f>"511893"</f>
        <v>511893</v>
      </c>
      <c r="B10685" t="s">
        <v>10092</v>
      </c>
      <c r="C10685" t="s">
        <v>10093</v>
      </c>
      <c r="D10685" s="21" t="s">
        <v>34</v>
      </c>
      <c r="E10685" s="21" t="s">
        <v>254</v>
      </c>
      <c r="F10685">
        <v>11340067</v>
      </c>
      <c r="G10685" t="s">
        <v>2895</v>
      </c>
      <c r="H10685" s="21">
        <v>973.17</v>
      </c>
    </row>
    <row r="10686" spans="1:8" customFormat="1" x14ac:dyDescent="0.25">
      <c r="A10686" t="str">
        <f>"01538"</f>
        <v>01538</v>
      </c>
      <c r="B10686" t="s">
        <v>3655</v>
      </c>
      <c r="C10686" t="s">
        <v>1110</v>
      </c>
      <c r="D10686" s="21" t="s">
        <v>34</v>
      </c>
      <c r="E10686" s="21" t="s">
        <v>71</v>
      </c>
      <c r="F10686">
        <v>1010023</v>
      </c>
      <c r="G10686" t="s">
        <v>2174</v>
      </c>
      <c r="H10686" s="21">
        <v>973.17</v>
      </c>
    </row>
    <row r="10687" spans="1:8" customFormat="1" x14ac:dyDescent="0.25">
      <c r="A10687" t="str">
        <f>"4419137"</f>
        <v>4419137</v>
      </c>
      <c r="B10687" t="s">
        <v>10071</v>
      </c>
      <c r="C10687" t="s">
        <v>124</v>
      </c>
      <c r="D10687" s="21" t="s">
        <v>34</v>
      </c>
      <c r="E10687" s="21" t="s">
        <v>254</v>
      </c>
      <c r="F10687">
        <v>12440059</v>
      </c>
      <c r="G10687" t="s">
        <v>6697</v>
      </c>
      <c r="H10687" s="21">
        <v>973.17</v>
      </c>
    </row>
    <row r="10688" spans="1:8" customFormat="1" x14ac:dyDescent="0.25">
      <c r="A10688" t="str">
        <f>"608506"</f>
        <v>608506</v>
      </c>
      <c r="B10688" t="s">
        <v>10402</v>
      </c>
      <c r="C10688" t="s">
        <v>547</v>
      </c>
      <c r="D10688" s="21" t="s">
        <v>34</v>
      </c>
      <c r="E10688" s="21" t="s">
        <v>71</v>
      </c>
      <c r="F10688">
        <v>7600134</v>
      </c>
      <c r="G10688" t="s">
        <v>8819</v>
      </c>
      <c r="H10688" s="21">
        <v>973.04</v>
      </c>
    </row>
    <row r="10689" spans="1:8" customFormat="1" x14ac:dyDescent="0.25">
      <c r="A10689" t="str">
        <f>"5617738"</f>
        <v>5617738</v>
      </c>
      <c r="B10689" t="s">
        <v>12058</v>
      </c>
      <c r="C10689" t="s">
        <v>124</v>
      </c>
      <c r="D10689" s="21" t="s">
        <v>34</v>
      </c>
      <c r="E10689" s="21" t="s">
        <v>71</v>
      </c>
      <c r="F10689">
        <v>3560050</v>
      </c>
      <c r="G10689" t="s">
        <v>5322</v>
      </c>
      <c r="H10689" s="21">
        <v>973.04</v>
      </c>
    </row>
    <row r="10690" spans="1:8" customFormat="1" x14ac:dyDescent="0.25">
      <c r="A10690" t="str">
        <f>"412704"</f>
        <v>412704</v>
      </c>
      <c r="B10690" t="s">
        <v>22784</v>
      </c>
      <c r="C10690" t="s">
        <v>263</v>
      </c>
      <c r="D10690" s="21" t="s">
        <v>34</v>
      </c>
      <c r="E10690" s="21" t="s">
        <v>254</v>
      </c>
      <c r="F10690">
        <v>4410015</v>
      </c>
      <c r="G10690" t="s">
        <v>2223</v>
      </c>
      <c r="H10690" s="21">
        <v>973</v>
      </c>
    </row>
    <row r="10691" spans="1:8" customFormat="1" x14ac:dyDescent="0.25">
      <c r="A10691" t="str">
        <f>"7513216"</f>
        <v>7513216</v>
      </c>
      <c r="B10691" t="s">
        <v>5606</v>
      </c>
      <c r="C10691" t="s">
        <v>462</v>
      </c>
      <c r="D10691" s="21" t="s">
        <v>34</v>
      </c>
      <c r="E10691" s="21" t="s">
        <v>35</v>
      </c>
      <c r="F10691">
        <v>8751124</v>
      </c>
      <c r="G10691" t="s">
        <v>1481</v>
      </c>
      <c r="H10691" s="21">
        <v>972.92</v>
      </c>
    </row>
    <row r="10692" spans="1:8" customFormat="1" x14ac:dyDescent="0.25">
      <c r="A10692" t="str">
        <f>"748782"</f>
        <v>748782</v>
      </c>
      <c r="B10692" t="s">
        <v>13820</v>
      </c>
      <c r="C10692" t="s">
        <v>3522</v>
      </c>
      <c r="D10692" s="21" t="s">
        <v>34</v>
      </c>
      <c r="E10692" s="21" t="s">
        <v>254</v>
      </c>
      <c r="F10692">
        <v>1740045</v>
      </c>
      <c r="G10692" t="s">
        <v>9857</v>
      </c>
      <c r="H10692" s="21">
        <v>972.92</v>
      </c>
    </row>
    <row r="10693" spans="1:8" customFormat="1" x14ac:dyDescent="0.25">
      <c r="A10693" t="str">
        <f>"3726451"</f>
        <v>3726451</v>
      </c>
      <c r="B10693" t="s">
        <v>13079</v>
      </c>
      <c r="C10693" t="s">
        <v>2475</v>
      </c>
      <c r="D10693" s="21" t="s">
        <v>34</v>
      </c>
      <c r="E10693" s="21" t="s">
        <v>35</v>
      </c>
      <c r="F10693">
        <v>4370183</v>
      </c>
      <c r="G10693" t="s">
        <v>231</v>
      </c>
      <c r="H10693" s="21">
        <v>972.92</v>
      </c>
    </row>
    <row r="10694" spans="1:8" customFormat="1" x14ac:dyDescent="0.25">
      <c r="A10694" t="str">
        <f>"3518086"</f>
        <v>3518086</v>
      </c>
      <c r="B10694" t="s">
        <v>11333</v>
      </c>
      <c r="C10694" t="s">
        <v>119</v>
      </c>
      <c r="D10694" s="21" t="s">
        <v>34</v>
      </c>
      <c r="E10694" s="21" t="s">
        <v>71</v>
      </c>
      <c r="F10694">
        <v>3350014</v>
      </c>
      <c r="G10694" t="s">
        <v>1078</v>
      </c>
      <c r="H10694" s="21">
        <v>972.92</v>
      </c>
    </row>
    <row r="10695" spans="1:8" customFormat="1" x14ac:dyDescent="0.25">
      <c r="A10695" t="str">
        <f>"035056"</f>
        <v>035056</v>
      </c>
      <c r="B10695" t="s">
        <v>11025</v>
      </c>
      <c r="C10695" t="s">
        <v>498</v>
      </c>
      <c r="D10695" s="21" t="s">
        <v>34</v>
      </c>
      <c r="E10695" s="21" t="s">
        <v>71</v>
      </c>
      <c r="F10695">
        <v>7800102</v>
      </c>
      <c r="G10695" t="s">
        <v>1148</v>
      </c>
      <c r="H10695" s="21">
        <v>972.79</v>
      </c>
    </row>
    <row r="10696" spans="1:8" customFormat="1" x14ac:dyDescent="0.25">
      <c r="A10696" t="str">
        <f>"378010"</f>
        <v>378010</v>
      </c>
      <c r="B10696" t="s">
        <v>8839</v>
      </c>
      <c r="C10696" t="s">
        <v>33</v>
      </c>
      <c r="D10696" s="21" t="s">
        <v>34</v>
      </c>
      <c r="E10696" s="21" t="s">
        <v>35</v>
      </c>
      <c r="F10696">
        <v>4370183</v>
      </c>
      <c r="G10696" t="s">
        <v>231</v>
      </c>
      <c r="H10696" s="21">
        <v>972.67</v>
      </c>
    </row>
    <row r="10697" spans="1:8" customFormat="1" x14ac:dyDescent="0.25">
      <c r="A10697" t="str">
        <f>"3713276"</f>
        <v>3713276</v>
      </c>
      <c r="B10697" t="s">
        <v>1476</v>
      </c>
      <c r="C10697" t="s">
        <v>285</v>
      </c>
      <c r="D10697" s="21" t="s">
        <v>34</v>
      </c>
      <c r="E10697" s="21" t="s">
        <v>35</v>
      </c>
      <c r="F10697">
        <v>4370183</v>
      </c>
      <c r="G10697" t="s">
        <v>231</v>
      </c>
      <c r="H10697" s="21">
        <v>972.67</v>
      </c>
    </row>
    <row r="10698" spans="1:8" customFormat="1" x14ac:dyDescent="0.25">
      <c r="A10698" t="str">
        <f>"498930"</f>
        <v>498930</v>
      </c>
      <c r="B10698" t="s">
        <v>8608</v>
      </c>
      <c r="C10698" t="s">
        <v>202</v>
      </c>
      <c r="D10698" s="21" t="s">
        <v>34</v>
      </c>
      <c r="E10698" s="21" t="s">
        <v>254</v>
      </c>
      <c r="F10698">
        <v>12490030</v>
      </c>
      <c r="G10698" t="s">
        <v>8366</v>
      </c>
      <c r="H10698" s="21">
        <v>972.67</v>
      </c>
    </row>
    <row r="10699" spans="1:8" customFormat="1" x14ac:dyDescent="0.25">
      <c r="A10699" t="str">
        <f>"5322882"</f>
        <v>5322882</v>
      </c>
      <c r="B10699" t="s">
        <v>6908</v>
      </c>
      <c r="C10699" t="s">
        <v>139</v>
      </c>
      <c r="D10699" s="21" t="s">
        <v>34</v>
      </c>
      <c r="E10699" s="21" t="s">
        <v>35</v>
      </c>
      <c r="F10699">
        <v>12538903</v>
      </c>
      <c r="G10699" t="s">
        <v>6439</v>
      </c>
      <c r="H10699" s="21">
        <v>972.67</v>
      </c>
    </row>
    <row r="10700" spans="1:8" customFormat="1" x14ac:dyDescent="0.25">
      <c r="A10700" t="str">
        <f>"6229484"</f>
        <v>6229484</v>
      </c>
      <c r="B10700" t="s">
        <v>6138</v>
      </c>
      <c r="C10700" t="s">
        <v>1474</v>
      </c>
      <c r="D10700" s="21" t="s">
        <v>34</v>
      </c>
      <c r="E10700" s="21" t="s">
        <v>35</v>
      </c>
      <c r="F10700">
        <v>7620015</v>
      </c>
      <c r="G10700" t="s">
        <v>377</v>
      </c>
      <c r="H10700" s="21">
        <v>972.67</v>
      </c>
    </row>
    <row r="10701" spans="1:8" customFormat="1" x14ac:dyDescent="0.25">
      <c r="A10701" t="str">
        <f>"4432563"</f>
        <v>4432563</v>
      </c>
      <c r="B10701" t="s">
        <v>10579</v>
      </c>
      <c r="C10701" t="s">
        <v>40</v>
      </c>
      <c r="D10701" s="21" t="s">
        <v>34</v>
      </c>
      <c r="E10701" s="21" t="s">
        <v>71</v>
      </c>
      <c r="F10701">
        <v>12440134</v>
      </c>
      <c r="G10701" t="s">
        <v>10580</v>
      </c>
      <c r="H10701" s="21">
        <v>972.67</v>
      </c>
    </row>
    <row r="10702" spans="1:8" customFormat="1" x14ac:dyDescent="0.25">
      <c r="A10702" t="str">
        <f>"629750"</f>
        <v>629750</v>
      </c>
      <c r="B10702" t="s">
        <v>11479</v>
      </c>
      <c r="C10702" t="s">
        <v>60</v>
      </c>
      <c r="D10702" s="21" t="s">
        <v>34</v>
      </c>
      <c r="E10702" s="21" t="s">
        <v>71</v>
      </c>
      <c r="F10702">
        <v>7620182</v>
      </c>
      <c r="G10702" t="s">
        <v>11480</v>
      </c>
      <c r="H10702" s="21">
        <v>972.67</v>
      </c>
    </row>
    <row r="10703" spans="1:8" customFormat="1" x14ac:dyDescent="0.25">
      <c r="A10703" t="str">
        <f>"7622031"</f>
        <v>7622031</v>
      </c>
      <c r="B10703" t="s">
        <v>9412</v>
      </c>
      <c r="C10703" t="s">
        <v>121</v>
      </c>
      <c r="D10703" s="21" t="s">
        <v>34</v>
      </c>
      <c r="E10703" s="21" t="s">
        <v>35</v>
      </c>
      <c r="F10703">
        <v>9760014</v>
      </c>
      <c r="G10703" t="s">
        <v>1017</v>
      </c>
      <c r="H10703" s="21">
        <v>972.67</v>
      </c>
    </row>
    <row r="10704" spans="1:8" customFormat="1" x14ac:dyDescent="0.25">
      <c r="A10704" t="str">
        <f>"1714595"</f>
        <v>1714595</v>
      </c>
      <c r="B10704" t="s">
        <v>10771</v>
      </c>
      <c r="C10704" t="s">
        <v>156</v>
      </c>
      <c r="D10704" s="21" t="s">
        <v>34</v>
      </c>
      <c r="E10704" s="21" t="s">
        <v>1089</v>
      </c>
      <c r="F10704">
        <v>10170033</v>
      </c>
      <c r="G10704" t="s">
        <v>3756</v>
      </c>
      <c r="H10704" s="21">
        <v>972.67</v>
      </c>
    </row>
    <row r="10705" spans="1:8" customFormat="1" x14ac:dyDescent="0.25">
      <c r="A10705" t="str">
        <f>"02430"</f>
        <v>02430</v>
      </c>
      <c r="B10705" t="s">
        <v>10291</v>
      </c>
      <c r="C10705" t="s">
        <v>124</v>
      </c>
      <c r="D10705" s="21" t="s">
        <v>34</v>
      </c>
      <c r="E10705" s="21" t="s">
        <v>254</v>
      </c>
      <c r="F10705">
        <v>7020024</v>
      </c>
      <c r="G10705" t="s">
        <v>4860</v>
      </c>
      <c r="H10705" s="21">
        <v>972.67</v>
      </c>
    </row>
    <row r="10706" spans="1:8" customFormat="1" x14ac:dyDescent="0.25">
      <c r="A10706" t="str">
        <f>"8013411"</f>
        <v>8013411</v>
      </c>
      <c r="B10706" t="s">
        <v>11187</v>
      </c>
      <c r="C10706" t="s">
        <v>90</v>
      </c>
      <c r="D10706" s="21" t="s">
        <v>34</v>
      </c>
      <c r="E10706" s="21" t="s">
        <v>35</v>
      </c>
      <c r="F10706">
        <v>7800061</v>
      </c>
      <c r="G10706" t="s">
        <v>1330</v>
      </c>
      <c r="H10706" s="21">
        <v>972.67</v>
      </c>
    </row>
    <row r="10707" spans="1:8" customFormat="1" x14ac:dyDescent="0.25">
      <c r="A10707" t="str">
        <f>"447571"</f>
        <v>447571</v>
      </c>
      <c r="B10707" t="s">
        <v>197</v>
      </c>
      <c r="C10707" t="s">
        <v>60</v>
      </c>
      <c r="D10707" s="21" t="s">
        <v>34</v>
      </c>
      <c r="E10707" s="21" t="s">
        <v>35</v>
      </c>
      <c r="F10707">
        <v>12440075</v>
      </c>
      <c r="G10707" t="s">
        <v>1437</v>
      </c>
      <c r="H10707" s="21">
        <v>972.67</v>
      </c>
    </row>
    <row r="10708" spans="1:8" customFormat="1" x14ac:dyDescent="0.25">
      <c r="A10708" t="str">
        <f>"917296"</f>
        <v>917296</v>
      </c>
      <c r="B10708" t="s">
        <v>10019</v>
      </c>
      <c r="C10708" t="s">
        <v>87</v>
      </c>
      <c r="D10708" s="21" t="s">
        <v>34</v>
      </c>
      <c r="E10708" s="21" t="s">
        <v>35</v>
      </c>
      <c r="F10708">
        <v>8911021</v>
      </c>
      <c r="G10708" t="s">
        <v>4198</v>
      </c>
      <c r="H10708" s="21">
        <v>972.67</v>
      </c>
    </row>
    <row r="10709" spans="1:8" customFormat="1" x14ac:dyDescent="0.25">
      <c r="A10709" t="str">
        <f>"3516629"</f>
        <v>3516629</v>
      </c>
      <c r="B10709" t="s">
        <v>11666</v>
      </c>
      <c r="C10709" t="s">
        <v>428</v>
      </c>
      <c r="D10709" s="21" t="s">
        <v>34</v>
      </c>
      <c r="E10709" s="21" t="s">
        <v>71</v>
      </c>
      <c r="F10709">
        <v>3350022</v>
      </c>
      <c r="G10709" t="s">
        <v>1287</v>
      </c>
      <c r="H10709" s="21">
        <v>972.67</v>
      </c>
    </row>
    <row r="10710" spans="1:8" customFormat="1" x14ac:dyDescent="0.25">
      <c r="A10710" t="str">
        <f>"9A244"</f>
        <v>9A244</v>
      </c>
      <c r="B10710" t="s">
        <v>9302</v>
      </c>
      <c r="C10710" t="s">
        <v>8191</v>
      </c>
      <c r="D10710" s="21" t="s">
        <v>34</v>
      </c>
      <c r="E10710" s="21" t="s">
        <v>35</v>
      </c>
      <c r="F10710" t="s">
        <v>1465</v>
      </c>
      <c r="G10710" t="s">
        <v>1466</v>
      </c>
      <c r="H10710" s="21">
        <v>972.54</v>
      </c>
    </row>
    <row r="10711" spans="1:8" customFormat="1" x14ac:dyDescent="0.25">
      <c r="A10711" t="str">
        <f>"9312280"</f>
        <v>9312280</v>
      </c>
      <c r="B10711" t="s">
        <v>11278</v>
      </c>
      <c r="C10711" t="s">
        <v>253</v>
      </c>
      <c r="D10711" s="21" t="s">
        <v>34</v>
      </c>
      <c r="E10711" s="21" t="s">
        <v>254</v>
      </c>
      <c r="F10711">
        <v>8931358</v>
      </c>
      <c r="G10711" t="s">
        <v>560</v>
      </c>
      <c r="H10711" s="21">
        <v>972.42</v>
      </c>
    </row>
    <row r="10712" spans="1:8" customFormat="1" x14ac:dyDescent="0.25">
      <c r="A10712" t="str">
        <f>"188886"</f>
        <v>188886</v>
      </c>
      <c r="B10712" t="s">
        <v>2023</v>
      </c>
      <c r="C10712" t="s">
        <v>2907</v>
      </c>
      <c r="D10712" s="21" t="s">
        <v>34</v>
      </c>
      <c r="E10712" s="21" t="s">
        <v>71</v>
      </c>
      <c r="F10712">
        <v>4180057</v>
      </c>
      <c r="G10712" t="s">
        <v>9021</v>
      </c>
      <c r="H10712" s="21">
        <v>972.42</v>
      </c>
    </row>
    <row r="10713" spans="1:8" customFormat="1" x14ac:dyDescent="0.25">
      <c r="A10713" t="str">
        <f>"0114930"</f>
        <v>0114930</v>
      </c>
      <c r="B10713" t="s">
        <v>13889</v>
      </c>
      <c r="C10713" t="s">
        <v>812</v>
      </c>
      <c r="D10713" s="21" t="s">
        <v>34</v>
      </c>
      <c r="E10713" s="21" t="s">
        <v>35</v>
      </c>
      <c r="F10713">
        <v>1010061</v>
      </c>
      <c r="G10713" t="s">
        <v>9290</v>
      </c>
      <c r="H10713" s="21">
        <v>972.29</v>
      </c>
    </row>
    <row r="10714" spans="1:8" customFormat="1" x14ac:dyDescent="0.25">
      <c r="A10714" t="str">
        <f>"5926982"</f>
        <v>5926982</v>
      </c>
      <c r="B10714" t="s">
        <v>8874</v>
      </c>
      <c r="C10714" t="s">
        <v>576</v>
      </c>
      <c r="D10714" s="21" t="s">
        <v>34</v>
      </c>
      <c r="E10714" s="21" t="s">
        <v>71</v>
      </c>
      <c r="F10714">
        <v>7590228</v>
      </c>
      <c r="G10714" t="s">
        <v>1798</v>
      </c>
      <c r="H10714" s="21">
        <v>972.17</v>
      </c>
    </row>
    <row r="10715" spans="1:8" customFormat="1" x14ac:dyDescent="0.25">
      <c r="A10715" t="str">
        <f>"598987"</f>
        <v>598987</v>
      </c>
      <c r="B10715" t="s">
        <v>9353</v>
      </c>
      <c r="C10715" t="s">
        <v>33</v>
      </c>
      <c r="D10715" s="21" t="s">
        <v>34</v>
      </c>
      <c r="E10715" s="21" t="s">
        <v>71</v>
      </c>
      <c r="F10715">
        <v>7590171</v>
      </c>
      <c r="G10715" t="s">
        <v>4159</v>
      </c>
      <c r="H10715" s="21">
        <v>972.17</v>
      </c>
    </row>
    <row r="10716" spans="1:8" customFormat="1" x14ac:dyDescent="0.25">
      <c r="A10716" t="str">
        <f>"3419243"</f>
        <v>3419243</v>
      </c>
      <c r="B10716" t="s">
        <v>9934</v>
      </c>
      <c r="C10716" t="s">
        <v>187</v>
      </c>
      <c r="D10716" s="21" t="s">
        <v>34</v>
      </c>
      <c r="E10716" s="21" t="s">
        <v>71</v>
      </c>
      <c r="F10716">
        <v>11340053</v>
      </c>
      <c r="G10716" t="s">
        <v>9935</v>
      </c>
      <c r="H10716" s="21">
        <v>972.17</v>
      </c>
    </row>
    <row r="10717" spans="1:8" customFormat="1" x14ac:dyDescent="0.25">
      <c r="A10717" t="str">
        <f>"8511877"</f>
        <v>8511877</v>
      </c>
      <c r="B10717" t="s">
        <v>1604</v>
      </c>
      <c r="C10717" t="s">
        <v>2479</v>
      </c>
      <c r="D10717" s="21" t="s">
        <v>34</v>
      </c>
      <c r="E10717" s="21" t="s">
        <v>71</v>
      </c>
      <c r="F10717">
        <v>12850138</v>
      </c>
      <c r="G10717" t="s">
        <v>6879</v>
      </c>
      <c r="H10717" s="21">
        <v>972.17</v>
      </c>
    </row>
    <row r="10718" spans="1:8" customFormat="1" x14ac:dyDescent="0.25">
      <c r="A10718" t="str">
        <f>"4429887"</f>
        <v>4429887</v>
      </c>
      <c r="B10718" t="s">
        <v>67</v>
      </c>
      <c r="C10718" t="s">
        <v>4721</v>
      </c>
      <c r="D10718" s="21" t="s">
        <v>34</v>
      </c>
      <c r="E10718" s="21" t="s">
        <v>1089</v>
      </c>
      <c r="F10718">
        <v>12490120</v>
      </c>
      <c r="G10718" t="s">
        <v>2316</v>
      </c>
      <c r="H10718" s="21">
        <v>972.17</v>
      </c>
    </row>
    <row r="10719" spans="1:8" customFormat="1" x14ac:dyDescent="0.25">
      <c r="A10719" t="str">
        <f>"2711411"</f>
        <v>2711411</v>
      </c>
      <c r="B10719" t="s">
        <v>11531</v>
      </c>
      <c r="C10719" t="s">
        <v>109</v>
      </c>
      <c r="D10719" s="21" t="s">
        <v>34</v>
      </c>
      <c r="E10719" s="21" t="s">
        <v>71</v>
      </c>
      <c r="F10719">
        <v>9270159</v>
      </c>
      <c r="G10719" t="s">
        <v>5425</v>
      </c>
      <c r="H10719" s="21">
        <v>972.17</v>
      </c>
    </row>
    <row r="10720" spans="1:8" customFormat="1" x14ac:dyDescent="0.25">
      <c r="A10720" t="str">
        <f>"3331775"</f>
        <v>3331775</v>
      </c>
      <c r="B10720" t="s">
        <v>11258</v>
      </c>
      <c r="C10720" t="s">
        <v>462</v>
      </c>
      <c r="D10720" s="21" t="s">
        <v>34</v>
      </c>
      <c r="E10720" s="21" t="s">
        <v>35</v>
      </c>
      <c r="F10720">
        <v>10330031</v>
      </c>
      <c r="G10720" t="s">
        <v>2452</v>
      </c>
      <c r="H10720" s="21">
        <v>972.17</v>
      </c>
    </row>
    <row r="10721" spans="1:8" customFormat="1" x14ac:dyDescent="0.25">
      <c r="A10721" t="str">
        <f>"7715935"</f>
        <v>7715935</v>
      </c>
      <c r="B10721" t="s">
        <v>1295</v>
      </c>
      <c r="C10721" t="s">
        <v>109</v>
      </c>
      <c r="D10721" s="21" t="s">
        <v>34</v>
      </c>
      <c r="E10721" s="21" t="s">
        <v>71</v>
      </c>
      <c r="F10721">
        <v>6100005</v>
      </c>
      <c r="G10721" t="s">
        <v>855</v>
      </c>
      <c r="H10721" s="21">
        <v>972.04</v>
      </c>
    </row>
    <row r="10722" spans="1:8" customFormat="1" x14ac:dyDescent="0.25">
      <c r="A10722" t="str">
        <f>"251476"</f>
        <v>251476</v>
      </c>
      <c r="B10722" t="s">
        <v>1098</v>
      </c>
      <c r="C10722" t="s">
        <v>90</v>
      </c>
      <c r="D10722" s="21" t="s">
        <v>34</v>
      </c>
      <c r="E10722" s="21" t="s">
        <v>254</v>
      </c>
      <c r="F10722">
        <v>2250213</v>
      </c>
      <c r="G10722" t="s">
        <v>1969</v>
      </c>
      <c r="H10722" s="21">
        <v>971.92</v>
      </c>
    </row>
    <row r="10723" spans="1:8" customFormat="1" x14ac:dyDescent="0.25">
      <c r="A10723" t="str">
        <f>"5946719"</f>
        <v>5946719</v>
      </c>
      <c r="B10723" t="s">
        <v>11372</v>
      </c>
      <c r="C10723" t="s">
        <v>90</v>
      </c>
      <c r="D10723" s="21" t="s">
        <v>34</v>
      </c>
      <c r="E10723" s="21" t="s">
        <v>35</v>
      </c>
      <c r="F10723">
        <v>7590363</v>
      </c>
      <c r="G10723" t="s">
        <v>5167</v>
      </c>
      <c r="H10723" s="21">
        <v>971.92</v>
      </c>
    </row>
    <row r="10724" spans="1:8" customFormat="1" x14ac:dyDescent="0.25">
      <c r="A10724" t="str">
        <f>"7916777"</f>
        <v>7916777</v>
      </c>
      <c r="B10724" t="s">
        <v>10896</v>
      </c>
      <c r="C10724" t="s">
        <v>65</v>
      </c>
      <c r="D10724" s="21" t="s">
        <v>34</v>
      </c>
      <c r="E10724" s="21" t="s">
        <v>71</v>
      </c>
      <c r="F10724">
        <v>10790069</v>
      </c>
      <c r="G10724" t="s">
        <v>689</v>
      </c>
      <c r="H10724" s="21">
        <v>971.92</v>
      </c>
    </row>
    <row r="10725" spans="1:8" customFormat="1" x14ac:dyDescent="0.25">
      <c r="A10725" t="str">
        <f>"767828"</f>
        <v>767828</v>
      </c>
      <c r="B10725" t="s">
        <v>14803</v>
      </c>
      <c r="C10725" t="s">
        <v>269</v>
      </c>
      <c r="D10725" s="21" t="s">
        <v>34</v>
      </c>
      <c r="E10725" s="21" t="s">
        <v>71</v>
      </c>
      <c r="F10725">
        <v>9760007</v>
      </c>
      <c r="G10725" t="s">
        <v>7255</v>
      </c>
      <c r="H10725" s="21">
        <v>971.67</v>
      </c>
    </row>
    <row r="10726" spans="1:8" customFormat="1" x14ac:dyDescent="0.25">
      <c r="A10726" t="str">
        <f>"229587"</f>
        <v>229587</v>
      </c>
      <c r="B10726" t="s">
        <v>10236</v>
      </c>
      <c r="C10726" t="s">
        <v>2322</v>
      </c>
      <c r="D10726" s="21" t="s">
        <v>34</v>
      </c>
      <c r="E10726" s="21" t="s">
        <v>35</v>
      </c>
      <c r="F10726">
        <v>3220001</v>
      </c>
      <c r="G10726" t="s">
        <v>8173</v>
      </c>
      <c r="H10726" s="21">
        <v>971.67</v>
      </c>
    </row>
    <row r="10727" spans="1:8" customFormat="1" x14ac:dyDescent="0.25">
      <c r="A10727" t="str">
        <f>"496160"</f>
        <v>496160</v>
      </c>
      <c r="B10727" t="s">
        <v>10971</v>
      </c>
      <c r="C10727" t="s">
        <v>253</v>
      </c>
      <c r="D10727" s="21" t="s">
        <v>34</v>
      </c>
      <c r="E10727" s="21" t="s">
        <v>254</v>
      </c>
      <c r="F10727">
        <v>12490038</v>
      </c>
      <c r="G10727" t="s">
        <v>467</v>
      </c>
      <c r="H10727" s="21">
        <v>971.67</v>
      </c>
    </row>
    <row r="10728" spans="1:8" customFormat="1" x14ac:dyDescent="0.25">
      <c r="A10728" t="str">
        <f>"856285"</f>
        <v>856285</v>
      </c>
      <c r="B10728" t="s">
        <v>956</v>
      </c>
      <c r="C10728" t="s">
        <v>40</v>
      </c>
      <c r="D10728" s="21" t="s">
        <v>34</v>
      </c>
      <c r="E10728" s="21" t="s">
        <v>254</v>
      </c>
      <c r="F10728">
        <v>12850138</v>
      </c>
      <c r="G10728" t="s">
        <v>6879</v>
      </c>
      <c r="H10728" s="21">
        <v>971.67</v>
      </c>
    </row>
    <row r="10729" spans="1:8" customFormat="1" x14ac:dyDescent="0.25">
      <c r="A10729" t="str">
        <f>"314865"</f>
        <v>314865</v>
      </c>
      <c r="B10729" t="s">
        <v>2540</v>
      </c>
      <c r="C10729" t="s">
        <v>2693</v>
      </c>
      <c r="D10729" s="21" t="s">
        <v>34</v>
      </c>
      <c r="E10729" s="21" t="s">
        <v>71</v>
      </c>
      <c r="F10729">
        <v>11310115</v>
      </c>
      <c r="G10729" t="s">
        <v>10519</v>
      </c>
      <c r="H10729" s="21">
        <v>971.67</v>
      </c>
    </row>
    <row r="10730" spans="1:8" customFormat="1" x14ac:dyDescent="0.25">
      <c r="A10730" t="str">
        <f>"6810712"</f>
        <v>6810712</v>
      </c>
      <c r="B10730" t="s">
        <v>10860</v>
      </c>
      <c r="C10730" t="s">
        <v>40</v>
      </c>
      <c r="D10730" s="21" t="s">
        <v>34</v>
      </c>
      <c r="E10730" s="21" t="s">
        <v>254</v>
      </c>
      <c r="F10730">
        <v>11340013</v>
      </c>
      <c r="G10730" t="s">
        <v>11430</v>
      </c>
      <c r="H10730" s="21">
        <v>971.67</v>
      </c>
    </row>
    <row r="10731" spans="1:8" customFormat="1" x14ac:dyDescent="0.25">
      <c r="A10731" t="str">
        <f>"3823008"</f>
        <v>3823008</v>
      </c>
      <c r="B10731" t="s">
        <v>1028</v>
      </c>
      <c r="C10731" t="s">
        <v>328</v>
      </c>
      <c r="D10731" s="21" t="s">
        <v>34</v>
      </c>
      <c r="E10731" s="21" t="s">
        <v>71</v>
      </c>
      <c r="F10731">
        <v>1380084</v>
      </c>
      <c r="G10731" t="s">
        <v>8218</v>
      </c>
      <c r="H10731" s="21">
        <v>971.67</v>
      </c>
    </row>
    <row r="10732" spans="1:8" customFormat="1" x14ac:dyDescent="0.25">
      <c r="A10732" t="str">
        <f>"703953"</f>
        <v>703953</v>
      </c>
      <c r="B10732" t="s">
        <v>404</v>
      </c>
      <c r="C10732" t="s">
        <v>598</v>
      </c>
      <c r="D10732" s="21" t="s">
        <v>34</v>
      </c>
      <c r="E10732" s="21" t="s">
        <v>1089</v>
      </c>
      <c r="F10732">
        <v>2700089</v>
      </c>
      <c r="G10732" t="s">
        <v>2570</v>
      </c>
      <c r="H10732" s="21">
        <v>971.67</v>
      </c>
    </row>
    <row r="10733" spans="1:8" customFormat="1" x14ac:dyDescent="0.25">
      <c r="A10733" t="str">
        <f>"79849"</f>
        <v>79849</v>
      </c>
      <c r="B10733" t="s">
        <v>890</v>
      </c>
      <c r="C10733" t="s">
        <v>267</v>
      </c>
      <c r="D10733" s="21" t="s">
        <v>34</v>
      </c>
      <c r="E10733" s="21" t="s">
        <v>1089</v>
      </c>
      <c r="F10733">
        <v>10790042</v>
      </c>
      <c r="G10733" t="s">
        <v>2092</v>
      </c>
      <c r="H10733" s="21">
        <v>971.67</v>
      </c>
    </row>
    <row r="10734" spans="1:8" customFormat="1" x14ac:dyDescent="0.25">
      <c r="A10734" t="str">
        <f>"5937160"</f>
        <v>5937160</v>
      </c>
      <c r="B10734" t="s">
        <v>143</v>
      </c>
      <c r="C10734" t="s">
        <v>515</v>
      </c>
      <c r="D10734" s="21" t="s">
        <v>34</v>
      </c>
      <c r="E10734" s="21" t="s">
        <v>35</v>
      </c>
      <c r="F10734">
        <v>7620063</v>
      </c>
      <c r="G10734" t="s">
        <v>1889</v>
      </c>
      <c r="H10734" s="21">
        <v>971.67</v>
      </c>
    </row>
    <row r="10735" spans="1:8" customFormat="1" x14ac:dyDescent="0.25">
      <c r="A10735" t="str">
        <f>"7620786"</f>
        <v>7620786</v>
      </c>
      <c r="B10735" t="s">
        <v>7131</v>
      </c>
      <c r="C10735" t="s">
        <v>55</v>
      </c>
      <c r="D10735" s="21" t="s">
        <v>34</v>
      </c>
      <c r="E10735" s="21" t="s">
        <v>35</v>
      </c>
      <c r="F10735">
        <v>9760286</v>
      </c>
      <c r="G10735" t="s">
        <v>11559</v>
      </c>
      <c r="H10735" s="21">
        <v>971.67</v>
      </c>
    </row>
    <row r="10736" spans="1:8" customFormat="1" x14ac:dyDescent="0.25">
      <c r="A10736" t="str">
        <f>"3519214"</f>
        <v>3519214</v>
      </c>
      <c r="B10736" t="s">
        <v>12094</v>
      </c>
      <c r="C10736" t="s">
        <v>267</v>
      </c>
      <c r="D10736" s="21" t="s">
        <v>34</v>
      </c>
      <c r="E10736" s="21" t="s">
        <v>254</v>
      </c>
      <c r="F10736">
        <v>3350067</v>
      </c>
      <c r="G10736" t="s">
        <v>4439</v>
      </c>
      <c r="H10736" s="21">
        <v>971.67</v>
      </c>
    </row>
    <row r="10737" spans="1:8" customFormat="1" x14ac:dyDescent="0.25">
      <c r="A10737" t="str">
        <f>"722600"</f>
        <v>722600</v>
      </c>
      <c r="B10737" t="s">
        <v>8501</v>
      </c>
      <c r="C10737" t="s">
        <v>412</v>
      </c>
      <c r="D10737" s="21" t="s">
        <v>34</v>
      </c>
      <c r="E10737" s="21" t="s">
        <v>1089</v>
      </c>
      <c r="F10737">
        <v>12720078</v>
      </c>
      <c r="G10737" t="s">
        <v>5085</v>
      </c>
      <c r="H10737" s="21">
        <v>971.67</v>
      </c>
    </row>
    <row r="10738" spans="1:8" customFormat="1" x14ac:dyDescent="0.25">
      <c r="A10738" t="str">
        <f>"1415311"</f>
        <v>1415311</v>
      </c>
      <c r="B10738" t="s">
        <v>27163</v>
      </c>
      <c r="C10738" t="s">
        <v>462</v>
      </c>
      <c r="D10738" s="21" t="s">
        <v>34</v>
      </c>
      <c r="E10738" s="21" t="s">
        <v>71</v>
      </c>
      <c r="F10738">
        <v>9140054</v>
      </c>
      <c r="G10738" t="s">
        <v>3300</v>
      </c>
      <c r="H10738" s="21">
        <v>971.67</v>
      </c>
    </row>
    <row r="10739" spans="1:8" customFormat="1" x14ac:dyDescent="0.25">
      <c r="A10739" t="str">
        <f>"8014133"</f>
        <v>8014133</v>
      </c>
      <c r="B10739" t="s">
        <v>10336</v>
      </c>
      <c r="C10739" t="s">
        <v>428</v>
      </c>
      <c r="D10739" s="21" t="s">
        <v>34</v>
      </c>
      <c r="E10739" s="21" t="s">
        <v>35</v>
      </c>
      <c r="F10739">
        <v>7800106</v>
      </c>
      <c r="G10739" t="s">
        <v>2466</v>
      </c>
      <c r="H10739" s="21">
        <v>971.67</v>
      </c>
    </row>
    <row r="10740" spans="1:8" customFormat="1" x14ac:dyDescent="0.25">
      <c r="A10740" t="str">
        <f>"7912538"</f>
        <v>7912538</v>
      </c>
      <c r="B10740" t="s">
        <v>10464</v>
      </c>
      <c r="C10740" t="s">
        <v>288</v>
      </c>
      <c r="D10740" s="21" t="s">
        <v>34</v>
      </c>
      <c r="E10740" s="21" t="s">
        <v>35</v>
      </c>
      <c r="F10740">
        <v>10790003</v>
      </c>
      <c r="G10740" t="s">
        <v>10465</v>
      </c>
      <c r="H10740" s="21">
        <v>971.67</v>
      </c>
    </row>
    <row r="10741" spans="1:8" customFormat="1" x14ac:dyDescent="0.25">
      <c r="A10741" t="str">
        <f>"418999"</f>
        <v>418999</v>
      </c>
      <c r="B10741" t="s">
        <v>9627</v>
      </c>
      <c r="C10741" t="s">
        <v>867</v>
      </c>
      <c r="D10741" s="21" t="s">
        <v>34</v>
      </c>
      <c r="E10741" s="21" t="s">
        <v>35</v>
      </c>
      <c r="F10741">
        <v>4410016</v>
      </c>
      <c r="G10741" t="s">
        <v>4365</v>
      </c>
      <c r="H10741" s="21">
        <v>971.67</v>
      </c>
    </row>
    <row r="10742" spans="1:8" customFormat="1" x14ac:dyDescent="0.25">
      <c r="A10742" t="str">
        <f>"2513286"</f>
        <v>2513286</v>
      </c>
      <c r="B10742" t="s">
        <v>4013</v>
      </c>
      <c r="C10742" t="s">
        <v>2248</v>
      </c>
      <c r="D10742" s="21" t="s">
        <v>34</v>
      </c>
      <c r="E10742" s="21" t="s">
        <v>71</v>
      </c>
      <c r="F10742">
        <v>2250199</v>
      </c>
      <c r="G10742" t="s">
        <v>8756</v>
      </c>
      <c r="H10742" s="21">
        <v>971.67</v>
      </c>
    </row>
    <row r="10743" spans="1:8" customFormat="1" x14ac:dyDescent="0.25">
      <c r="A10743" t="str">
        <f>"8312158"</f>
        <v>8312158</v>
      </c>
      <c r="B10743" t="s">
        <v>840</v>
      </c>
      <c r="C10743" t="s">
        <v>462</v>
      </c>
      <c r="D10743" s="21" t="s">
        <v>34</v>
      </c>
      <c r="E10743" s="21" t="s">
        <v>35</v>
      </c>
      <c r="F10743">
        <v>13830015</v>
      </c>
      <c r="G10743" t="s">
        <v>4011</v>
      </c>
      <c r="H10743" s="21">
        <v>971.54</v>
      </c>
    </row>
    <row r="10744" spans="1:8" customFormat="1" x14ac:dyDescent="0.25">
      <c r="A10744" t="str">
        <f>"5613729"</f>
        <v>5613729</v>
      </c>
      <c r="B10744" t="s">
        <v>9896</v>
      </c>
      <c r="C10744" t="s">
        <v>262</v>
      </c>
      <c r="D10744" s="21" t="s">
        <v>34</v>
      </c>
      <c r="E10744" s="21" t="s">
        <v>35</v>
      </c>
      <c r="F10744">
        <v>3560028</v>
      </c>
      <c r="G10744" t="s">
        <v>5916</v>
      </c>
      <c r="H10744" s="21">
        <v>971.42</v>
      </c>
    </row>
    <row r="10745" spans="1:8" customFormat="1" x14ac:dyDescent="0.25">
      <c r="A10745" t="str">
        <f>"415695"</f>
        <v>415695</v>
      </c>
      <c r="B10745" t="s">
        <v>9333</v>
      </c>
      <c r="C10745" t="s">
        <v>415</v>
      </c>
      <c r="D10745" s="21" t="s">
        <v>34</v>
      </c>
      <c r="E10745" s="21" t="s">
        <v>1089</v>
      </c>
      <c r="F10745">
        <v>4410015</v>
      </c>
      <c r="G10745" t="s">
        <v>2223</v>
      </c>
      <c r="H10745" s="21">
        <v>971.42</v>
      </c>
    </row>
    <row r="10746" spans="1:8" customFormat="1" x14ac:dyDescent="0.25">
      <c r="A10746" t="str">
        <f>"534342"</f>
        <v>534342</v>
      </c>
      <c r="B10746" t="s">
        <v>9249</v>
      </c>
      <c r="C10746" t="s">
        <v>1841</v>
      </c>
      <c r="D10746" s="21" t="s">
        <v>34</v>
      </c>
      <c r="E10746" s="21" t="s">
        <v>254</v>
      </c>
      <c r="F10746">
        <v>12530016</v>
      </c>
      <c r="G10746" t="s">
        <v>2069</v>
      </c>
      <c r="H10746" s="21">
        <v>971.42</v>
      </c>
    </row>
    <row r="10747" spans="1:8" customFormat="1" x14ac:dyDescent="0.25">
      <c r="A10747" t="str">
        <f>"7837288"</f>
        <v>7837288</v>
      </c>
      <c r="B10747" t="s">
        <v>11679</v>
      </c>
      <c r="C10747" t="s">
        <v>2752</v>
      </c>
      <c r="D10747" s="21" t="s">
        <v>34</v>
      </c>
      <c r="E10747" s="21" t="s">
        <v>35</v>
      </c>
      <c r="F10747">
        <v>8780886</v>
      </c>
      <c r="G10747" t="s">
        <v>3161</v>
      </c>
      <c r="H10747" s="21">
        <v>971.29</v>
      </c>
    </row>
    <row r="10748" spans="1:8" customFormat="1" x14ac:dyDescent="0.25">
      <c r="A10748" t="str">
        <f>"166025"</f>
        <v>166025</v>
      </c>
      <c r="B10748" t="s">
        <v>9916</v>
      </c>
      <c r="C10748" t="s">
        <v>4092</v>
      </c>
      <c r="D10748" s="21" t="s">
        <v>34</v>
      </c>
      <c r="E10748" s="21" t="s">
        <v>71</v>
      </c>
      <c r="F10748">
        <v>10160003</v>
      </c>
      <c r="G10748" t="s">
        <v>4692</v>
      </c>
      <c r="H10748" s="21">
        <v>971.17</v>
      </c>
    </row>
    <row r="10749" spans="1:8" customFormat="1" x14ac:dyDescent="0.25">
      <c r="A10749" t="str">
        <f>"5950807"</f>
        <v>5950807</v>
      </c>
      <c r="B10749" t="s">
        <v>9992</v>
      </c>
      <c r="C10749" t="s">
        <v>2365</v>
      </c>
      <c r="D10749" s="21" t="s">
        <v>34</v>
      </c>
      <c r="E10749" s="21" t="s">
        <v>71</v>
      </c>
      <c r="F10749">
        <v>7590123</v>
      </c>
      <c r="G10749" t="s">
        <v>85</v>
      </c>
      <c r="H10749" s="21">
        <v>971.17</v>
      </c>
    </row>
    <row r="10750" spans="1:8" customFormat="1" x14ac:dyDescent="0.25">
      <c r="A10750" t="str">
        <f>"855274"</f>
        <v>855274</v>
      </c>
      <c r="B10750" t="s">
        <v>17438</v>
      </c>
      <c r="C10750" t="s">
        <v>484</v>
      </c>
      <c r="D10750" s="21" t="s">
        <v>34</v>
      </c>
      <c r="E10750" s="21" t="s">
        <v>35</v>
      </c>
      <c r="F10750">
        <v>10170162</v>
      </c>
      <c r="G10750" t="s">
        <v>2817</v>
      </c>
      <c r="H10750" s="21">
        <v>971.17</v>
      </c>
    </row>
    <row r="10751" spans="1:8" customFormat="1" x14ac:dyDescent="0.25">
      <c r="A10751" t="str">
        <f>"853140"</f>
        <v>853140</v>
      </c>
      <c r="B10751" t="s">
        <v>2143</v>
      </c>
      <c r="C10751" t="s">
        <v>1853</v>
      </c>
      <c r="D10751" s="21" t="s">
        <v>34</v>
      </c>
      <c r="E10751" s="21" t="s">
        <v>71</v>
      </c>
      <c r="F10751">
        <v>12851025</v>
      </c>
      <c r="G10751" t="s">
        <v>26858</v>
      </c>
      <c r="H10751" s="21">
        <v>971.17</v>
      </c>
    </row>
    <row r="10752" spans="1:8" customFormat="1" x14ac:dyDescent="0.25">
      <c r="A10752" t="str">
        <f>"9422937"</f>
        <v>9422937</v>
      </c>
      <c r="B10752" t="s">
        <v>10759</v>
      </c>
      <c r="C10752" t="s">
        <v>130</v>
      </c>
      <c r="D10752" s="21" t="s">
        <v>34</v>
      </c>
      <c r="E10752" s="21" t="s">
        <v>71</v>
      </c>
      <c r="F10752">
        <v>9610087</v>
      </c>
      <c r="G10752" t="s">
        <v>2661</v>
      </c>
      <c r="H10752" s="21">
        <v>971.17</v>
      </c>
    </row>
    <row r="10753" spans="1:8" customFormat="1" x14ac:dyDescent="0.25">
      <c r="A10753" t="str">
        <f>"4422962"</f>
        <v>4422962</v>
      </c>
      <c r="B10753" t="s">
        <v>8901</v>
      </c>
      <c r="C10753" t="s">
        <v>544</v>
      </c>
      <c r="D10753" s="21" t="s">
        <v>34</v>
      </c>
      <c r="E10753" s="21" t="s">
        <v>35</v>
      </c>
      <c r="F10753">
        <v>12440236</v>
      </c>
      <c r="G10753" t="s">
        <v>27164</v>
      </c>
      <c r="H10753" s="21">
        <v>971.17</v>
      </c>
    </row>
    <row r="10754" spans="1:8" customFormat="1" x14ac:dyDescent="0.25">
      <c r="A10754" t="str">
        <f>"452576"</f>
        <v>452576</v>
      </c>
      <c r="B10754" t="s">
        <v>9192</v>
      </c>
      <c r="C10754" t="s">
        <v>198</v>
      </c>
      <c r="D10754" s="21" t="s">
        <v>34</v>
      </c>
      <c r="E10754" s="21" t="s">
        <v>71</v>
      </c>
      <c r="F10754">
        <v>4450295</v>
      </c>
      <c r="G10754" t="s">
        <v>9193</v>
      </c>
      <c r="H10754" s="21">
        <v>971.17</v>
      </c>
    </row>
    <row r="10755" spans="1:8" customFormat="1" x14ac:dyDescent="0.25">
      <c r="A10755" t="str">
        <f>"0610123"</f>
        <v>0610123</v>
      </c>
      <c r="B10755" t="s">
        <v>14654</v>
      </c>
      <c r="C10755" t="s">
        <v>2475</v>
      </c>
      <c r="D10755" s="21" t="s">
        <v>34</v>
      </c>
      <c r="E10755" s="21" t="s">
        <v>35</v>
      </c>
      <c r="F10755">
        <v>13060043</v>
      </c>
      <c r="G10755" t="s">
        <v>4761</v>
      </c>
      <c r="H10755" s="21">
        <v>971.17</v>
      </c>
    </row>
    <row r="10756" spans="1:8" customFormat="1" x14ac:dyDescent="0.25">
      <c r="A10756" t="str">
        <f>"2927701"</f>
        <v>2927701</v>
      </c>
      <c r="B10756" t="s">
        <v>4095</v>
      </c>
      <c r="C10756" t="s">
        <v>209</v>
      </c>
      <c r="D10756" s="21" t="s">
        <v>34</v>
      </c>
      <c r="E10756" s="21" t="s">
        <v>71</v>
      </c>
      <c r="F10756">
        <v>3290266</v>
      </c>
      <c r="G10756" t="s">
        <v>1783</v>
      </c>
      <c r="H10756" s="21">
        <v>971.17</v>
      </c>
    </row>
    <row r="10757" spans="1:8" customFormat="1" x14ac:dyDescent="0.25">
      <c r="A10757" t="str">
        <f>"8513549"</f>
        <v>8513549</v>
      </c>
      <c r="B10757" t="s">
        <v>11092</v>
      </c>
      <c r="C10757" t="s">
        <v>269</v>
      </c>
      <c r="D10757" s="21" t="s">
        <v>34</v>
      </c>
      <c r="E10757" s="21" t="s">
        <v>35</v>
      </c>
      <c r="F10757">
        <v>12850108</v>
      </c>
      <c r="G10757" t="s">
        <v>11093</v>
      </c>
      <c r="H10757" s="21">
        <v>971.17</v>
      </c>
    </row>
    <row r="10758" spans="1:8" customFormat="1" x14ac:dyDescent="0.25">
      <c r="A10758" t="str">
        <f>"11593"</f>
        <v>11593</v>
      </c>
      <c r="B10758" t="s">
        <v>10059</v>
      </c>
      <c r="C10758" t="s">
        <v>621</v>
      </c>
      <c r="D10758" s="21" t="s">
        <v>34</v>
      </c>
      <c r="E10758" s="21" t="s">
        <v>71</v>
      </c>
      <c r="F10758">
        <v>11110015</v>
      </c>
      <c r="G10758" t="s">
        <v>26669</v>
      </c>
      <c r="H10758" s="21">
        <v>971.17</v>
      </c>
    </row>
    <row r="10759" spans="1:8" customFormat="1" x14ac:dyDescent="0.25">
      <c r="A10759" t="str">
        <f>"3416883"</f>
        <v>3416883</v>
      </c>
      <c r="B10759" t="s">
        <v>10393</v>
      </c>
      <c r="C10759" t="s">
        <v>1132</v>
      </c>
      <c r="D10759" s="21" t="s">
        <v>34</v>
      </c>
      <c r="E10759" s="21" t="s">
        <v>35</v>
      </c>
      <c r="F10759">
        <v>11340018</v>
      </c>
      <c r="G10759" t="s">
        <v>2421</v>
      </c>
      <c r="H10759" s="21">
        <v>971.17</v>
      </c>
    </row>
    <row r="10760" spans="1:8" customFormat="1" x14ac:dyDescent="0.25">
      <c r="A10760" t="str">
        <f>"833481"</f>
        <v>833481</v>
      </c>
      <c r="B10760" t="s">
        <v>11315</v>
      </c>
      <c r="C10760" t="s">
        <v>233</v>
      </c>
      <c r="D10760" s="21" t="s">
        <v>34</v>
      </c>
      <c r="E10760" s="21" t="s">
        <v>35</v>
      </c>
      <c r="F10760">
        <v>13830007</v>
      </c>
      <c r="G10760" t="s">
        <v>11316</v>
      </c>
      <c r="H10760" s="21">
        <v>971.17</v>
      </c>
    </row>
    <row r="10761" spans="1:8" customFormat="1" x14ac:dyDescent="0.25">
      <c r="A10761" t="str">
        <f>"169229"</f>
        <v>169229</v>
      </c>
      <c r="B10761" t="s">
        <v>10612</v>
      </c>
      <c r="C10761" t="s">
        <v>239</v>
      </c>
      <c r="D10761" s="21" t="s">
        <v>34</v>
      </c>
      <c r="E10761" s="21" t="s">
        <v>254</v>
      </c>
      <c r="F10761">
        <v>10160024</v>
      </c>
      <c r="G10761" t="s">
        <v>511</v>
      </c>
      <c r="H10761" s="21">
        <v>971.17</v>
      </c>
    </row>
    <row r="10762" spans="1:8" customFormat="1" x14ac:dyDescent="0.25">
      <c r="A10762" t="str">
        <f>"372689"</f>
        <v>372689</v>
      </c>
      <c r="B10762" t="s">
        <v>10708</v>
      </c>
      <c r="C10762" t="s">
        <v>2520</v>
      </c>
      <c r="D10762" s="21" t="s">
        <v>34</v>
      </c>
      <c r="E10762" s="21" t="s">
        <v>6185</v>
      </c>
      <c r="F10762">
        <v>4370533</v>
      </c>
      <c r="G10762" t="s">
        <v>10553</v>
      </c>
      <c r="H10762" s="21">
        <v>971.17</v>
      </c>
    </row>
    <row r="10763" spans="1:8" customFormat="1" x14ac:dyDescent="0.25">
      <c r="A10763" t="str">
        <f>"3334159"</f>
        <v>3334159</v>
      </c>
      <c r="B10763" t="s">
        <v>9754</v>
      </c>
      <c r="C10763" t="s">
        <v>566</v>
      </c>
      <c r="D10763" s="21" t="s">
        <v>34</v>
      </c>
      <c r="E10763" s="21" t="s">
        <v>71</v>
      </c>
      <c r="F10763">
        <v>10330038</v>
      </c>
      <c r="G10763" t="s">
        <v>4280</v>
      </c>
      <c r="H10763" s="21">
        <v>971.05</v>
      </c>
    </row>
    <row r="10764" spans="1:8" customFormat="1" x14ac:dyDescent="0.25">
      <c r="A10764" t="str">
        <f>"019278"</f>
        <v>019278</v>
      </c>
      <c r="B10764" t="s">
        <v>9200</v>
      </c>
      <c r="C10764" t="s">
        <v>249</v>
      </c>
      <c r="D10764" s="21" t="s">
        <v>34</v>
      </c>
      <c r="E10764" s="21" t="s">
        <v>71</v>
      </c>
      <c r="F10764">
        <v>1730089</v>
      </c>
      <c r="G10764" t="s">
        <v>5395</v>
      </c>
      <c r="H10764" s="21">
        <v>971</v>
      </c>
    </row>
    <row r="10765" spans="1:8" customFormat="1" x14ac:dyDescent="0.25">
      <c r="A10765" t="str">
        <f>"9736935"</f>
        <v>9736935</v>
      </c>
      <c r="B10765" t="s">
        <v>9729</v>
      </c>
      <c r="C10765" t="s">
        <v>415</v>
      </c>
      <c r="D10765" s="21" t="s">
        <v>34</v>
      </c>
      <c r="E10765" s="21" t="s">
        <v>1089</v>
      </c>
      <c r="F10765" t="s">
        <v>2126</v>
      </c>
      <c r="G10765" t="s">
        <v>2127</v>
      </c>
      <c r="H10765" s="21">
        <v>970.92</v>
      </c>
    </row>
    <row r="10766" spans="1:8" customFormat="1" x14ac:dyDescent="0.25">
      <c r="A10766" t="str">
        <f>"066550"</f>
        <v>066550</v>
      </c>
      <c r="B10766" t="s">
        <v>10474</v>
      </c>
      <c r="C10766" t="s">
        <v>209</v>
      </c>
      <c r="D10766" s="21" t="s">
        <v>34</v>
      </c>
      <c r="E10766" s="21" t="s">
        <v>71</v>
      </c>
      <c r="F10766">
        <v>10330005</v>
      </c>
      <c r="G10766" t="s">
        <v>3526</v>
      </c>
      <c r="H10766" s="21">
        <v>970.92</v>
      </c>
    </row>
    <row r="10767" spans="1:8" customFormat="1" x14ac:dyDescent="0.25">
      <c r="A10767" t="str">
        <f>"7514384"</f>
        <v>7514384</v>
      </c>
      <c r="B10767" t="s">
        <v>946</v>
      </c>
      <c r="C10767" t="s">
        <v>1605</v>
      </c>
      <c r="D10767" s="21" t="s">
        <v>34</v>
      </c>
      <c r="E10767" s="21" t="s">
        <v>254</v>
      </c>
      <c r="F10767">
        <v>8750060</v>
      </c>
      <c r="G10767" t="s">
        <v>2821</v>
      </c>
      <c r="H10767" s="21">
        <v>970.92</v>
      </c>
    </row>
    <row r="10768" spans="1:8" customFormat="1" x14ac:dyDescent="0.25">
      <c r="A10768" t="str">
        <f>"931545"</f>
        <v>931545</v>
      </c>
      <c r="B10768" t="s">
        <v>10358</v>
      </c>
      <c r="C10768" t="s">
        <v>253</v>
      </c>
      <c r="D10768" s="21" t="s">
        <v>34</v>
      </c>
      <c r="E10768" s="21" t="s">
        <v>1089</v>
      </c>
      <c r="F10768">
        <v>8930452</v>
      </c>
      <c r="G10768" t="s">
        <v>83</v>
      </c>
      <c r="H10768" s="21">
        <v>970.92</v>
      </c>
    </row>
    <row r="10769" spans="1:8" customFormat="1" x14ac:dyDescent="0.25">
      <c r="A10769" t="str">
        <f>"667752"</f>
        <v>667752</v>
      </c>
      <c r="B10769" t="s">
        <v>9380</v>
      </c>
      <c r="C10769" t="s">
        <v>3807</v>
      </c>
      <c r="D10769" s="21" t="s">
        <v>34</v>
      </c>
      <c r="E10769" s="21" t="s">
        <v>35</v>
      </c>
      <c r="F10769">
        <v>11660001</v>
      </c>
      <c r="G10769" t="s">
        <v>8203</v>
      </c>
      <c r="H10769" s="21">
        <v>970.79</v>
      </c>
    </row>
    <row r="10770" spans="1:8" customFormat="1" x14ac:dyDescent="0.25">
      <c r="A10770" t="str">
        <f>"5952743"</f>
        <v>5952743</v>
      </c>
      <c r="B10770" t="s">
        <v>12218</v>
      </c>
      <c r="C10770" t="s">
        <v>253</v>
      </c>
      <c r="D10770" s="21" t="s">
        <v>34</v>
      </c>
      <c r="E10770" s="21" t="s">
        <v>254</v>
      </c>
      <c r="F10770">
        <v>7590392</v>
      </c>
      <c r="G10770" t="s">
        <v>154</v>
      </c>
      <c r="H10770" s="21">
        <v>970.79</v>
      </c>
    </row>
    <row r="10771" spans="1:8" customFormat="1" x14ac:dyDescent="0.25">
      <c r="A10771" t="str">
        <f>"6312446"</f>
        <v>6312446</v>
      </c>
      <c r="B10771" t="s">
        <v>10403</v>
      </c>
      <c r="C10771" t="s">
        <v>1914</v>
      </c>
      <c r="D10771" s="21" t="s">
        <v>34</v>
      </c>
      <c r="E10771" s="21" t="s">
        <v>71</v>
      </c>
      <c r="F10771">
        <v>1630125</v>
      </c>
      <c r="G10771" t="s">
        <v>6858</v>
      </c>
      <c r="H10771" s="21">
        <v>970.79</v>
      </c>
    </row>
    <row r="10772" spans="1:8" customFormat="1" x14ac:dyDescent="0.25">
      <c r="A10772" t="str">
        <f>"015646"</f>
        <v>015646</v>
      </c>
      <c r="B10772" t="s">
        <v>64</v>
      </c>
      <c r="C10772" t="s">
        <v>55</v>
      </c>
      <c r="D10772" s="21" t="s">
        <v>34</v>
      </c>
      <c r="E10772" s="21" t="s">
        <v>35</v>
      </c>
      <c r="F10772">
        <v>1010027</v>
      </c>
      <c r="G10772" t="s">
        <v>6318</v>
      </c>
      <c r="H10772" s="21">
        <v>970.67</v>
      </c>
    </row>
    <row r="10773" spans="1:8" customFormat="1" x14ac:dyDescent="0.25">
      <c r="A10773" t="str">
        <f>"892479"</f>
        <v>892479</v>
      </c>
      <c r="B10773" t="s">
        <v>7863</v>
      </c>
      <c r="C10773" t="s">
        <v>484</v>
      </c>
      <c r="D10773" s="21" t="s">
        <v>34</v>
      </c>
      <c r="E10773" s="21" t="s">
        <v>71</v>
      </c>
      <c r="F10773">
        <v>2890019</v>
      </c>
      <c r="G10773" t="s">
        <v>1857</v>
      </c>
      <c r="H10773" s="21">
        <v>970.67</v>
      </c>
    </row>
    <row r="10774" spans="1:8" customFormat="1" x14ac:dyDescent="0.25">
      <c r="A10774" t="str">
        <f>"904049"</f>
        <v>904049</v>
      </c>
      <c r="B10774" t="s">
        <v>11886</v>
      </c>
      <c r="C10774" t="s">
        <v>11887</v>
      </c>
      <c r="D10774" s="21" t="s">
        <v>34</v>
      </c>
      <c r="E10774" s="21" t="s">
        <v>71</v>
      </c>
      <c r="F10774">
        <v>2900046</v>
      </c>
      <c r="G10774" t="s">
        <v>4101</v>
      </c>
      <c r="H10774" s="21">
        <v>970.67</v>
      </c>
    </row>
    <row r="10775" spans="1:8" customFormat="1" x14ac:dyDescent="0.25">
      <c r="A10775" t="str">
        <f>"8014017"</f>
        <v>8014017</v>
      </c>
      <c r="B10775" t="s">
        <v>7136</v>
      </c>
      <c r="C10775" t="s">
        <v>33</v>
      </c>
      <c r="D10775" s="21" t="s">
        <v>34</v>
      </c>
      <c r="E10775" s="21" t="s">
        <v>35</v>
      </c>
      <c r="F10775">
        <v>7800147</v>
      </c>
      <c r="G10775" t="s">
        <v>10438</v>
      </c>
      <c r="H10775" s="21">
        <v>970.67</v>
      </c>
    </row>
    <row r="10776" spans="1:8" customFormat="1" x14ac:dyDescent="0.25">
      <c r="A10776" t="str">
        <f>"7921313"</f>
        <v>7921313</v>
      </c>
      <c r="B10776" t="s">
        <v>4075</v>
      </c>
      <c r="C10776" t="s">
        <v>328</v>
      </c>
      <c r="D10776" s="21" t="s">
        <v>34</v>
      </c>
      <c r="E10776" s="21" t="s">
        <v>35</v>
      </c>
      <c r="F10776">
        <v>10790229</v>
      </c>
      <c r="G10776" t="s">
        <v>27165</v>
      </c>
      <c r="H10776" s="21">
        <v>970.67</v>
      </c>
    </row>
    <row r="10777" spans="1:8" customFormat="1" x14ac:dyDescent="0.25">
      <c r="A10777" t="str">
        <f>"3920"</f>
        <v>3920</v>
      </c>
      <c r="B10777" t="s">
        <v>10271</v>
      </c>
      <c r="C10777" t="s">
        <v>547</v>
      </c>
      <c r="D10777" s="21" t="s">
        <v>34</v>
      </c>
      <c r="E10777" s="21" t="s">
        <v>254</v>
      </c>
      <c r="F10777">
        <v>2390001</v>
      </c>
      <c r="G10777" t="s">
        <v>6664</v>
      </c>
      <c r="H10777" s="21">
        <v>970.67</v>
      </c>
    </row>
    <row r="10778" spans="1:8" customFormat="1" x14ac:dyDescent="0.25">
      <c r="A10778" t="str">
        <f>"9448385"</f>
        <v>9448385</v>
      </c>
      <c r="B10778" t="s">
        <v>13180</v>
      </c>
      <c r="C10778" t="s">
        <v>169</v>
      </c>
      <c r="D10778" s="21" t="s">
        <v>34</v>
      </c>
      <c r="E10778" s="21" t="s">
        <v>35</v>
      </c>
      <c r="F10778">
        <v>8941282</v>
      </c>
      <c r="G10778" t="s">
        <v>5040</v>
      </c>
      <c r="H10778" s="21">
        <v>970.67</v>
      </c>
    </row>
    <row r="10779" spans="1:8" customFormat="1" x14ac:dyDescent="0.25">
      <c r="A10779" t="str">
        <f>"88227"</f>
        <v>88227</v>
      </c>
      <c r="B10779" t="s">
        <v>1872</v>
      </c>
      <c r="C10779" t="s">
        <v>379</v>
      </c>
      <c r="D10779" s="21" t="s">
        <v>34</v>
      </c>
      <c r="E10779" s="21" t="s">
        <v>1089</v>
      </c>
      <c r="F10779">
        <v>6880010</v>
      </c>
      <c r="G10779" t="s">
        <v>1029</v>
      </c>
      <c r="H10779" s="21">
        <v>970.67</v>
      </c>
    </row>
    <row r="10780" spans="1:8" customFormat="1" x14ac:dyDescent="0.25">
      <c r="A10780" t="str">
        <f>"4445785"</f>
        <v>4445785</v>
      </c>
      <c r="B10780" t="s">
        <v>10937</v>
      </c>
      <c r="C10780" t="s">
        <v>37</v>
      </c>
      <c r="D10780" s="21" t="s">
        <v>34</v>
      </c>
      <c r="E10780" s="21" t="s">
        <v>35</v>
      </c>
      <c r="F10780">
        <v>12440191</v>
      </c>
      <c r="G10780" t="s">
        <v>5822</v>
      </c>
      <c r="H10780" s="21">
        <v>970.67</v>
      </c>
    </row>
    <row r="10781" spans="1:8" customFormat="1" x14ac:dyDescent="0.25">
      <c r="A10781" t="str">
        <f>"3115980"</f>
        <v>3115980</v>
      </c>
      <c r="B10781" t="s">
        <v>13762</v>
      </c>
      <c r="C10781" t="s">
        <v>415</v>
      </c>
      <c r="D10781" s="21" t="s">
        <v>34</v>
      </c>
      <c r="E10781" s="21" t="s">
        <v>71</v>
      </c>
      <c r="F10781">
        <v>11310121</v>
      </c>
      <c r="G10781" t="s">
        <v>578</v>
      </c>
      <c r="H10781" s="21">
        <v>970.67</v>
      </c>
    </row>
    <row r="10782" spans="1:8" customFormat="1" x14ac:dyDescent="0.25">
      <c r="A10782" t="str">
        <f>"6014411"</f>
        <v>6014411</v>
      </c>
      <c r="B10782" t="s">
        <v>3918</v>
      </c>
      <c r="C10782" t="s">
        <v>169</v>
      </c>
      <c r="D10782" s="21" t="s">
        <v>34</v>
      </c>
      <c r="E10782" s="21" t="s">
        <v>71</v>
      </c>
      <c r="F10782">
        <v>7600070</v>
      </c>
      <c r="G10782" t="s">
        <v>542</v>
      </c>
      <c r="H10782" s="21">
        <v>970.67</v>
      </c>
    </row>
    <row r="10783" spans="1:8" customFormat="1" x14ac:dyDescent="0.25">
      <c r="A10783" t="str">
        <f>"533342"</f>
        <v>533342</v>
      </c>
      <c r="B10783" t="s">
        <v>10848</v>
      </c>
      <c r="C10783" t="s">
        <v>82</v>
      </c>
      <c r="D10783" s="21" t="s">
        <v>34</v>
      </c>
      <c r="E10783" s="21" t="s">
        <v>71</v>
      </c>
      <c r="F10783">
        <v>12530106</v>
      </c>
      <c r="G10783" t="s">
        <v>27079</v>
      </c>
      <c r="H10783" s="21">
        <v>970.67</v>
      </c>
    </row>
    <row r="10784" spans="1:8" customFormat="1" x14ac:dyDescent="0.25">
      <c r="A10784" t="str">
        <f>"5012471"</f>
        <v>5012471</v>
      </c>
      <c r="B10784" t="s">
        <v>4796</v>
      </c>
      <c r="C10784" t="s">
        <v>10867</v>
      </c>
      <c r="D10784" s="21" t="s">
        <v>34</v>
      </c>
      <c r="E10784" s="21" t="s">
        <v>71</v>
      </c>
      <c r="F10784">
        <v>9500010</v>
      </c>
      <c r="G10784" t="s">
        <v>5975</v>
      </c>
      <c r="H10784" s="21">
        <v>970.67</v>
      </c>
    </row>
    <row r="10785" spans="1:8" customFormat="1" x14ac:dyDescent="0.25">
      <c r="A10785" t="str">
        <f>"886853"</f>
        <v>886853</v>
      </c>
      <c r="B10785" t="s">
        <v>4128</v>
      </c>
      <c r="C10785" t="s">
        <v>33</v>
      </c>
      <c r="D10785" s="21" t="s">
        <v>34</v>
      </c>
      <c r="E10785" s="21" t="s">
        <v>35</v>
      </c>
      <c r="F10785">
        <v>6880138</v>
      </c>
      <c r="G10785" t="s">
        <v>10053</v>
      </c>
      <c r="H10785" s="21">
        <v>970.54</v>
      </c>
    </row>
    <row r="10786" spans="1:8" customFormat="1" x14ac:dyDescent="0.25">
      <c r="A10786" t="str">
        <f>"69790"</f>
        <v>69790</v>
      </c>
      <c r="B10786" t="s">
        <v>10666</v>
      </c>
      <c r="C10786" t="s">
        <v>598</v>
      </c>
      <c r="D10786" s="21" t="s">
        <v>34</v>
      </c>
      <c r="E10786" s="21" t="s">
        <v>254</v>
      </c>
      <c r="F10786">
        <v>1420165</v>
      </c>
      <c r="G10786" t="s">
        <v>27111</v>
      </c>
      <c r="H10786" s="21">
        <v>970.42</v>
      </c>
    </row>
    <row r="10787" spans="1:8" customFormat="1" x14ac:dyDescent="0.25">
      <c r="A10787" t="str">
        <f>"459146"</f>
        <v>459146</v>
      </c>
      <c r="B10787" t="s">
        <v>9509</v>
      </c>
      <c r="C10787" t="s">
        <v>9510</v>
      </c>
      <c r="D10787" s="21" t="s">
        <v>34</v>
      </c>
      <c r="E10787" s="21" t="s">
        <v>71</v>
      </c>
      <c r="F10787">
        <v>4450663</v>
      </c>
      <c r="G10787" t="s">
        <v>2527</v>
      </c>
      <c r="H10787" s="21">
        <v>970.42</v>
      </c>
    </row>
    <row r="10788" spans="1:8" customFormat="1" x14ac:dyDescent="0.25">
      <c r="A10788" t="str">
        <f>"418508"</f>
        <v>418508</v>
      </c>
      <c r="B10788" t="s">
        <v>10785</v>
      </c>
      <c r="C10788" t="s">
        <v>244</v>
      </c>
      <c r="D10788" s="21" t="s">
        <v>34</v>
      </c>
      <c r="E10788" s="21" t="s">
        <v>35</v>
      </c>
      <c r="F10788">
        <v>4410546</v>
      </c>
      <c r="G10788" t="s">
        <v>5001</v>
      </c>
      <c r="H10788" s="21">
        <v>970.42</v>
      </c>
    </row>
    <row r="10789" spans="1:8" customFormat="1" x14ac:dyDescent="0.25">
      <c r="A10789" t="str">
        <f>"833684"</f>
        <v>833684</v>
      </c>
      <c r="B10789" t="s">
        <v>7586</v>
      </c>
      <c r="C10789" t="s">
        <v>33</v>
      </c>
      <c r="D10789" s="21" t="s">
        <v>34</v>
      </c>
      <c r="E10789" s="21" t="s">
        <v>35</v>
      </c>
      <c r="F10789">
        <v>13830062</v>
      </c>
      <c r="G10789" t="s">
        <v>9074</v>
      </c>
      <c r="H10789" s="21">
        <v>970.29</v>
      </c>
    </row>
    <row r="10790" spans="1:8" customFormat="1" x14ac:dyDescent="0.25">
      <c r="A10790" t="str">
        <f>"321099"</f>
        <v>321099</v>
      </c>
      <c r="B10790" t="s">
        <v>10370</v>
      </c>
      <c r="C10790" t="s">
        <v>239</v>
      </c>
      <c r="D10790" s="21" t="s">
        <v>34</v>
      </c>
      <c r="E10790" s="21" t="s">
        <v>254</v>
      </c>
      <c r="F10790">
        <v>11320027</v>
      </c>
      <c r="G10790" t="s">
        <v>8305</v>
      </c>
      <c r="H10790" s="21">
        <v>970.17</v>
      </c>
    </row>
    <row r="10791" spans="1:8" customFormat="1" x14ac:dyDescent="0.25">
      <c r="A10791" t="str">
        <f>"1313923"</f>
        <v>1313923</v>
      </c>
      <c r="B10791" t="s">
        <v>10123</v>
      </c>
      <c r="C10791" t="s">
        <v>750</v>
      </c>
      <c r="D10791" s="21" t="s">
        <v>34</v>
      </c>
      <c r="E10791" s="21" t="s">
        <v>71</v>
      </c>
      <c r="F10791">
        <v>13130138</v>
      </c>
      <c r="G10791" t="s">
        <v>5409</v>
      </c>
      <c r="H10791" s="21">
        <v>970.17</v>
      </c>
    </row>
    <row r="10792" spans="1:8" customFormat="1" x14ac:dyDescent="0.25">
      <c r="A10792" t="str">
        <f>"027158"</f>
        <v>027158</v>
      </c>
      <c r="B10792" t="s">
        <v>9822</v>
      </c>
      <c r="C10792" t="s">
        <v>415</v>
      </c>
      <c r="D10792" s="21" t="s">
        <v>34</v>
      </c>
      <c r="E10792" s="21" t="s">
        <v>254</v>
      </c>
      <c r="F10792">
        <v>7020065</v>
      </c>
      <c r="G10792" t="s">
        <v>4852</v>
      </c>
      <c r="H10792" s="21">
        <v>970.17</v>
      </c>
    </row>
    <row r="10793" spans="1:8" customFormat="1" x14ac:dyDescent="0.25">
      <c r="A10793" t="str">
        <f>"591108"</f>
        <v>591108</v>
      </c>
      <c r="B10793" t="s">
        <v>27166</v>
      </c>
      <c r="C10793" t="s">
        <v>149</v>
      </c>
      <c r="D10793" s="21" t="s">
        <v>34</v>
      </c>
      <c r="E10793" s="21" t="s">
        <v>35</v>
      </c>
      <c r="F10793">
        <v>7590332</v>
      </c>
      <c r="G10793" t="s">
        <v>6094</v>
      </c>
      <c r="H10793" s="21">
        <v>970.17</v>
      </c>
    </row>
    <row r="10794" spans="1:8" customFormat="1" x14ac:dyDescent="0.25">
      <c r="A10794" t="str">
        <f>"7641551"</f>
        <v>7641551</v>
      </c>
      <c r="B10794" t="s">
        <v>6454</v>
      </c>
      <c r="C10794" t="s">
        <v>239</v>
      </c>
      <c r="D10794" s="21" t="s">
        <v>34</v>
      </c>
      <c r="E10794" s="21" t="s">
        <v>71</v>
      </c>
      <c r="F10794">
        <v>9760041</v>
      </c>
      <c r="G10794" t="s">
        <v>452</v>
      </c>
      <c r="H10794" s="21">
        <v>970.17</v>
      </c>
    </row>
    <row r="10795" spans="1:8" customFormat="1" x14ac:dyDescent="0.25">
      <c r="A10795" t="str">
        <f>"833719"</f>
        <v>833719</v>
      </c>
      <c r="B10795" t="s">
        <v>146</v>
      </c>
      <c r="C10795" t="s">
        <v>3109</v>
      </c>
      <c r="D10795" s="21" t="s">
        <v>34</v>
      </c>
      <c r="E10795" s="21" t="s">
        <v>35</v>
      </c>
      <c r="F10795">
        <v>13830013</v>
      </c>
      <c r="G10795" t="s">
        <v>3374</v>
      </c>
      <c r="H10795" s="21">
        <v>970.17</v>
      </c>
    </row>
    <row r="10796" spans="1:8" customFormat="1" x14ac:dyDescent="0.25">
      <c r="A10796" t="str">
        <f>"7821992"</f>
        <v>7821992</v>
      </c>
      <c r="B10796" t="s">
        <v>11353</v>
      </c>
      <c r="C10796" t="s">
        <v>33</v>
      </c>
      <c r="D10796" s="21" t="s">
        <v>34</v>
      </c>
      <c r="E10796" s="21" t="s">
        <v>35</v>
      </c>
      <c r="F10796">
        <v>8781144</v>
      </c>
      <c r="G10796" t="s">
        <v>4714</v>
      </c>
      <c r="H10796" s="21">
        <v>970.17</v>
      </c>
    </row>
    <row r="10797" spans="1:8" customFormat="1" x14ac:dyDescent="0.25">
      <c r="A10797" t="str">
        <f>"0113934"</f>
        <v>0113934</v>
      </c>
      <c r="B10797" t="s">
        <v>12518</v>
      </c>
      <c r="C10797" t="s">
        <v>60</v>
      </c>
      <c r="D10797" s="21" t="s">
        <v>34</v>
      </c>
      <c r="E10797" s="21" t="s">
        <v>35</v>
      </c>
      <c r="F10797">
        <v>1010054</v>
      </c>
      <c r="G10797" t="s">
        <v>8991</v>
      </c>
      <c r="H10797" s="21">
        <v>970.17</v>
      </c>
    </row>
    <row r="10798" spans="1:8" customFormat="1" x14ac:dyDescent="0.25">
      <c r="A10798" t="str">
        <f>"88958"</f>
        <v>88958</v>
      </c>
      <c r="B10798" t="s">
        <v>10443</v>
      </c>
      <c r="C10798" t="s">
        <v>576</v>
      </c>
      <c r="D10798" s="21" t="s">
        <v>34</v>
      </c>
      <c r="E10798" s="21" t="s">
        <v>35</v>
      </c>
      <c r="F10798">
        <v>6880113</v>
      </c>
      <c r="G10798" t="s">
        <v>11089</v>
      </c>
      <c r="H10798" s="21">
        <v>970.17</v>
      </c>
    </row>
    <row r="10799" spans="1:8" customFormat="1" x14ac:dyDescent="0.25">
      <c r="A10799" t="str">
        <f>"491197"</f>
        <v>491197</v>
      </c>
      <c r="B10799" t="s">
        <v>11084</v>
      </c>
      <c r="C10799" t="s">
        <v>1119</v>
      </c>
      <c r="D10799" s="21" t="s">
        <v>34</v>
      </c>
      <c r="E10799" s="21" t="s">
        <v>254</v>
      </c>
      <c r="F10799">
        <v>12490058</v>
      </c>
      <c r="G10799" t="s">
        <v>6582</v>
      </c>
      <c r="H10799" s="21">
        <v>970.17</v>
      </c>
    </row>
    <row r="10800" spans="1:8" customFormat="1" x14ac:dyDescent="0.25">
      <c r="A10800" t="str">
        <f>"703554"</f>
        <v>703554</v>
      </c>
      <c r="B10800" t="s">
        <v>10832</v>
      </c>
      <c r="C10800" t="s">
        <v>547</v>
      </c>
      <c r="D10800" s="21" t="s">
        <v>34</v>
      </c>
      <c r="E10800" s="21" t="s">
        <v>71</v>
      </c>
      <c r="F10800">
        <v>2700087</v>
      </c>
      <c r="G10800" t="s">
        <v>10833</v>
      </c>
      <c r="H10800" s="21">
        <v>970.17</v>
      </c>
    </row>
    <row r="10801" spans="1:8" customFormat="1" x14ac:dyDescent="0.25">
      <c r="A10801" t="str">
        <f>"4429927"</f>
        <v>4429927</v>
      </c>
      <c r="B10801" t="s">
        <v>10307</v>
      </c>
      <c r="C10801" t="s">
        <v>65</v>
      </c>
      <c r="D10801" s="21" t="s">
        <v>34</v>
      </c>
      <c r="E10801" s="21" t="s">
        <v>35</v>
      </c>
      <c r="F10801">
        <v>12440066</v>
      </c>
      <c r="G10801" t="s">
        <v>7602</v>
      </c>
      <c r="H10801" s="21">
        <v>970.17</v>
      </c>
    </row>
    <row r="10802" spans="1:8" customFormat="1" x14ac:dyDescent="0.25">
      <c r="A10802" t="str">
        <f>"6013610"</f>
        <v>6013610</v>
      </c>
      <c r="B10802" t="s">
        <v>12920</v>
      </c>
      <c r="C10802" t="s">
        <v>14362</v>
      </c>
      <c r="D10802" s="21" t="s">
        <v>34</v>
      </c>
      <c r="E10802" s="21" t="s">
        <v>35</v>
      </c>
      <c r="F10802">
        <v>13060005</v>
      </c>
      <c r="G10802" t="s">
        <v>3609</v>
      </c>
      <c r="H10802" s="21">
        <v>970.17</v>
      </c>
    </row>
    <row r="10803" spans="1:8" customFormat="1" x14ac:dyDescent="0.25">
      <c r="A10803" t="str">
        <f>"2921958"</f>
        <v>2921958</v>
      </c>
      <c r="B10803" t="s">
        <v>10369</v>
      </c>
      <c r="C10803" t="s">
        <v>2208</v>
      </c>
      <c r="D10803" s="21" t="s">
        <v>34</v>
      </c>
      <c r="E10803" s="21" t="s">
        <v>35</v>
      </c>
      <c r="F10803">
        <v>3290011</v>
      </c>
      <c r="G10803" t="s">
        <v>7083</v>
      </c>
      <c r="H10803" s="21">
        <v>970.17</v>
      </c>
    </row>
    <row r="10804" spans="1:8" customFormat="1" x14ac:dyDescent="0.25">
      <c r="A10804" t="str">
        <f>"643735"</f>
        <v>643735</v>
      </c>
      <c r="B10804" t="s">
        <v>6271</v>
      </c>
      <c r="C10804" t="s">
        <v>8106</v>
      </c>
      <c r="D10804" s="21" t="s">
        <v>34</v>
      </c>
      <c r="E10804" s="21" t="s">
        <v>35</v>
      </c>
      <c r="F10804">
        <v>10640019</v>
      </c>
      <c r="G10804" t="s">
        <v>3123</v>
      </c>
      <c r="H10804" s="21">
        <v>970.17</v>
      </c>
    </row>
    <row r="10805" spans="1:8" customFormat="1" x14ac:dyDescent="0.25">
      <c r="A10805" t="str">
        <f>"2514929"</f>
        <v>2514929</v>
      </c>
      <c r="B10805" t="s">
        <v>503</v>
      </c>
      <c r="C10805" t="s">
        <v>43</v>
      </c>
      <c r="D10805" s="21" t="s">
        <v>34</v>
      </c>
      <c r="E10805" s="21" t="s">
        <v>35</v>
      </c>
      <c r="F10805">
        <v>2250125</v>
      </c>
      <c r="G10805" t="s">
        <v>26911</v>
      </c>
      <c r="H10805" s="21">
        <v>970.17</v>
      </c>
    </row>
    <row r="10806" spans="1:8" customFormat="1" x14ac:dyDescent="0.25">
      <c r="A10806" t="str">
        <f>"067013"</f>
        <v>067013</v>
      </c>
      <c r="B10806" t="s">
        <v>16709</v>
      </c>
      <c r="C10806" t="s">
        <v>598</v>
      </c>
      <c r="D10806" s="21" t="s">
        <v>34</v>
      </c>
      <c r="E10806" s="21" t="s">
        <v>35</v>
      </c>
      <c r="F10806">
        <v>13060066</v>
      </c>
      <c r="G10806" t="s">
        <v>2556</v>
      </c>
      <c r="H10806" s="21">
        <v>970.17</v>
      </c>
    </row>
    <row r="10807" spans="1:8" customFormat="1" x14ac:dyDescent="0.25">
      <c r="A10807" t="str">
        <f>"3011818"</f>
        <v>3011818</v>
      </c>
      <c r="B10807" t="s">
        <v>10080</v>
      </c>
      <c r="C10807" t="s">
        <v>130</v>
      </c>
      <c r="D10807" s="21" t="s">
        <v>34</v>
      </c>
      <c r="E10807" s="21" t="s">
        <v>71</v>
      </c>
      <c r="F10807">
        <v>13840001</v>
      </c>
      <c r="G10807" t="s">
        <v>972</v>
      </c>
      <c r="H10807" s="21">
        <v>970.17</v>
      </c>
    </row>
    <row r="10808" spans="1:8" customFormat="1" x14ac:dyDescent="0.25">
      <c r="A10808" t="str">
        <f>"5730026"</f>
        <v>5730026</v>
      </c>
      <c r="B10808" t="s">
        <v>27167</v>
      </c>
      <c r="C10808" t="s">
        <v>27168</v>
      </c>
      <c r="D10808" s="21" t="s">
        <v>34</v>
      </c>
      <c r="E10808" s="21" t="s">
        <v>35</v>
      </c>
      <c r="F10808">
        <v>6570175</v>
      </c>
      <c r="G10808" t="s">
        <v>9707</v>
      </c>
      <c r="H10808" s="21">
        <v>970.17</v>
      </c>
    </row>
    <row r="10809" spans="1:8" customFormat="1" x14ac:dyDescent="0.25">
      <c r="A10809" t="str">
        <f>"591164"</f>
        <v>591164</v>
      </c>
      <c r="B10809" t="s">
        <v>10468</v>
      </c>
      <c r="C10809" t="s">
        <v>233</v>
      </c>
      <c r="D10809" s="21" t="s">
        <v>34</v>
      </c>
      <c r="E10809" s="21" t="s">
        <v>71</v>
      </c>
      <c r="F10809">
        <v>7590204</v>
      </c>
      <c r="G10809" t="s">
        <v>696</v>
      </c>
      <c r="H10809" s="21">
        <v>970.17</v>
      </c>
    </row>
    <row r="10810" spans="1:8" customFormat="1" x14ac:dyDescent="0.25">
      <c r="A10810" t="str">
        <f>"8314141"</f>
        <v>8314141</v>
      </c>
      <c r="B10810" t="s">
        <v>27169</v>
      </c>
      <c r="C10810" t="s">
        <v>453</v>
      </c>
      <c r="D10810" s="21" t="s">
        <v>34</v>
      </c>
      <c r="E10810" s="21" t="s">
        <v>35</v>
      </c>
      <c r="F10810">
        <v>13830071</v>
      </c>
      <c r="G10810" t="s">
        <v>3221</v>
      </c>
      <c r="H10810" s="21">
        <v>970.17</v>
      </c>
    </row>
    <row r="10811" spans="1:8" customFormat="1" x14ac:dyDescent="0.25">
      <c r="A10811" t="str">
        <f>"393819"</f>
        <v>393819</v>
      </c>
      <c r="B10811" t="s">
        <v>2067</v>
      </c>
      <c r="C10811" t="s">
        <v>817</v>
      </c>
      <c r="D10811" s="21" t="s">
        <v>34</v>
      </c>
      <c r="E10811" s="21" t="s">
        <v>71</v>
      </c>
      <c r="F10811">
        <v>2390002</v>
      </c>
      <c r="G10811" t="s">
        <v>9132</v>
      </c>
      <c r="H10811" s="21">
        <v>970.04</v>
      </c>
    </row>
    <row r="10812" spans="1:8" customFormat="1" x14ac:dyDescent="0.25">
      <c r="A10812" t="str">
        <f>"433852"</f>
        <v>433852</v>
      </c>
      <c r="B10812" t="s">
        <v>1320</v>
      </c>
      <c r="C10812" t="s">
        <v>2529</v>
      </c>
      <c r="D10812" s="21" t="s">
        <v>34</v>
      </c>
      <c r="E10812" s="21" t="s">
        <v>71</v>
      </c>
      <c r="F10812">
        <v>1420299</v>
      </c>
      <c r="G10812" t="s">
        <v>8013</v>
      </c>
      <c r="H10812" s="21">
        <v>970.04</v>
      </c>
    </row>
    <row r="10813" spans="1:8" customFormat="1" x14ac:dyDescent="0.25">
      <c r="A10813" t="str">
        <f>"6710667"</f>
        <v>6710667</v>
      </c>
      <c r="B10813" t="s">
        <v>11625</v>
      </c>
      <c r="C10813" t="s">
        <v>1812</v>
      </c>
      <c r="D10813" s="21" t="s">
        <v>34</v>
      </c>
      <c r="E10813" s="21" t="s">
        <v>254</v>
      </c>
      <c r="F10813">
        <v>6570029</v>
      </c>
      <c r="G10813" t="s">
        <v>2977</v>
      </c>
      <c r="H10813" s="21">
        <v>969.92</v>
      </c>
    </row>
    <row r="10814" spans="1:8" customFormat="1" x14ac:dyDescent="0.25">
      <c r="A10814" t="str">
        <f>"585442"</f>
        <v>585442</v>
      </c>
      <c r="B10814" t="s">
        <v>108</v>
      </c>
      <c r="C10814" t="s">
        <v>576</v>
      </c>
      <c r="D10814" s="21" t="s">
        <v>34</v>
      </c>
      <c r="E10814" s="21" t="s">
        <v>35</v>
      </c>
      <c r="F10814">
        <v>2580010</v>
      </c>
      <c r="G10814" t="s">
        <v>1965</v>
      </c>
      <c r="H10814" s="21">
        <v>969.67</v>
      </c>
    </row>
    <row r="10815" spans="1:8" customFormat="1" x14ac:dyDescent="0.25">
      <c r="A10815" t="str">
        <f>"858830"</f>
        <v>858830</v>
      </c>
      <c r="B10815" t="s">
        <v>5473</v>
      </c>
      <c r="C10815" t="s">
        <v>275</v>
      </c>
      <c r="D10815" s="21" t="s">
        <v>34</v>
      </c>
      <c r="E10815" s="21" t="s">
        <v>35</v>
      </c>
      <c r="F10815">
        <v>12850125</v>
      </c>
      <c r="G10815" t="s">
        <v>9898</v>
      </c>
      <c r="H10815" s="21">
        <v>969.67</v>
      </c>
    </row>
    <row r="10816" spans="1:8" customFormat="1" x14ac:dyDescent="0.25">
      <c r="A10816" t="str">
        <f>"5972018"</f>
        <v>5972018</v>
      </c>
      <c r="B10816" t="s">
        <v>12377</v>
      </c>
      <c r="C10816" t="s">
        <v>98</v>
      </c>
      <c r="D10816" s="21" t="s">
        <v>34</v>
      </c>
      <c r="E10816" s="21" t="s">
        <v>35</v>
      </c>
      <c r="F10816">
        <v>7590055</v>
      </c>
      <c r="G10816" t="s">
        <v>1573</v>
      </c>
      <c r="H10816" s="21">
        <v>969.67</v>
      </c>
    </row>
    <row r="10817" spans="1:8" customFormat="1" x14ac:dyDescent="0.25">
      <c r="A10817" t="str">
        <f>"242629"</f>
        <v>242629</v>
      </c>
      <c r="B10817" t="s">
        <v>11191</v>
      </c>
      <c r="C10817" t="s">
        <v>415</v>
      </c>
      <c r="D10817" s="21" t="s">
        <v>34</v>
      </c>
      <c r="E10817" s="21" t="s">
        <v>71</v>
      </c>
      <c r="F10817">
        <v>10240005</v>
      </c>
      <c r="G10817" t="s">
        <v>2496</v>
      </c>
      <c r="H10817" s="21">
        <v>969.67</v>
      </c>
    </row>
    <row r="10818" spans="1:8" customFormat="1" x14ac:dyDescent="0.25">
      <c r="A10818" t="str">
        <f>"901890"</f>
        <v>901890</v>
      </c>
      <c r="B10818" t="s">
        <v>10443</v>
      </c>
      <c r="C10818" t="s">
        <v>415</v>
      </c>
      <c r="D10818" s="21" t="s">
        <v>34</v>
      </c>
      <c r="E10818" s="21" t="s">
        <v>71</v>
      </c>
      <c r="F10818">
        <v>2900042</v>
      </c>
      <c r="G10818" t="s">
        <v>7866</v>
      </c>
      <c r="H10818" s="21">
        <v>969.67</v>
      </c>
    </row>
    <row r="10819" spans="1:8" customFormat="1" x14ac:dyDescent="0.25">
      <c r="A10819" t="str">
        <f>"383358"</f>
        <v>383358</v>
      </c>
      <c r="B10819" t="s">
        <v>3067</v>
      </c>
      <c r="C10819" t="s">
        <v>249</v>
      </c>
      <c r="D10819" s="21" t="s">
        <v>34</v>
      </c>
      <c r="E10819" s="21" t="s">
        <v>254</v>
      </c>
      <c r="F10819">
        <v>1380199</v>
      </c>
      <c r="G10819" t="s">
        <v>321</v>
      </c>
      <c r="H10819" s="21">
        <v>969.67</v>
      </c>
    </row>
    <row r="10820" spans="1:8" customFormat="1" x14ac:dyDescent="0.25">
      <c r="A10820" t="str">
        <f>"42807"</f>
        <v>42807</v>
      </c>
      <c r="B10820" t="s">
        <v>10037</v>
      </c>
      <c r="C10820" t="s">
        <v>269</v>
      </c>
      <c r="D10820" s="21" t="s">
        <v>34</v>
      </c>
      <c r="E10820" s="21" t="s">
        <v>254</v>
      </c>
      <c r="F10820">
        <v>1420014</v>
      </c>
      <c r="G10820" t="s">
        <v>3864</v>
      </c>
      <c r="H10820" s="21">
        <v>969.67</v>
      </c>
    </row>
    <row r="10821" spans="1:8" customFormat="1" x14ac:dyDescent="0.25">
      <c r="A10821" t="str">
        <f>"2915914"</f>
        <v>2915914</v>
      </c>
      <c r="B10821" t="s">
        <v>6146</v>
      </c>
      <c r="C10821" t="s">
        <v>139</v>
      </c>
      <c r="D10821" s="21" t="s">
        <v>34</v>
      </c>
      <c r="E10821" s="21" t="s">
        <v>35</v>
      </c>
      <c r="F10821">
        <v>3290023</v>
      </c>
      <c r="G10821" t="s">
        <v>3883</v>
      </c>
      <c r="H10821" s="21">
        <v>969.67</v>
      </c>
    </row>
    <row r="10822" spans="1:8" customFormat="1" x14ac:dyDescent="0.25">
      <c r="A10822" t="str">
        <f>"387100"</f>
        <v>387100</v>
      </c>
      <c r="B10822" t="s">
        <v>9563</v>
      </c>
      <c r="C10822" t="s">
        <v>285</v>
      </c>
      <c r="D10822" s="21" t="s">
        <v>34</v>
      </c>
      <c r="E10822" s="21" t="s">
        <v>35</v>
      </c>
      <c r="F10822">
        <v>1380045</v>
      </c>
      <c r="G10822" t="s">
        <v>2114</v>
      </c>
      <c r="H10822" s="21">
        <v>969.67</v>
      </c>
    </row>
    <row r="10823" spans="1:8" customFormat="1" x14ac:dyDescent="0.25">
      <c r="A10823" t="str">
        <f>"766008"</f>
        <v>766008</v>
      </c>
      <c r="B10823" t="s">
        <v>10933</v>
      </c>
      <c r="C10823" t="s">
        <v>269</v>
      </c>
      <c r="D10823" s="21" t="s">
        <v>34</v>
      </c>
      <c r="E10823" s="21" t="s">
        <v>35</v>
      </c>
      <c r="F10823">
        <v>9760168</v>
      </c>
      <c r="G10823" t="s">
        <v>179</v>
      </c>
      <c r="H10823" s="21">
        <v>969.67</v>
      </c>
    </row>
    <row r="10824" spans="1:8" customFormat="1" x14ac:dyDescent="0.25">
      <c r="A10824" t="str">
        <f>"357532"</f>
        <v>357532</v>
      </c>
      <c r="B10824" t="s">
        <v>1986</v>
      </c>
      <c r="C10824" t="s">
        <v>96</v>
      </c>
      <c r="D10824" s="21" t="s">
        <v>34</v>
      </c>
      <c r="E10824" s="21" t="s">
        <v>35</v>
      </c>
      <c r="F10824">
        <v>3350074</v>
      </c>
      <c r="G10824" t="s">
        <v>5432</v>
      </c>
      <c r="H10824" s="21">
        <v>969.67</v>
      </c>
    </row>
    <row r="10825" spans="1:8" customFormat="1" x14ac:dyDescent="0.25">
      <c r="A10825" t="str">
        <f>"6458"</f>
        <v>6458</v>
      </c>
      <c r="B10825" t="s">
        <v>9512</v>
      </c>
      <c r="C10825" t="s">
        <v>156</v>
      </c>
      <c r="D10825" s="21" t="s">
        <v>34</v>
      </c>
      <c r="E10825" s="21" t="s">
        <v>6185</v>
      </c>
      <c r="F10825">
        <v>10640008</v>
      </c>
      <c r="G10825" t="s">
        <v>1694</v>
      </c>
      <c r="H10825" s="21">
        <v>969.67</v>
      </c>
    </row>
    <row r="10826" spans="1:8" customFormat="1" x14ac:dyDescent="0.25">
      <c r="A10826" t="str">
        <f>"215023"</f>
        <v>215023</v>
      </c>
      <c r="B10826" t="s">
        <v>1833</v>
      </c>
      <c r="C10826" t="s">
        <v>3073</v>
      </c>
      <c r="D10826" s="21" t="s">
        <v>34</v>
      </c>
      <c r="E10826" s="21" t="s">
        <v>1089</v>
      </c>
      <c r="F10826">
        <v>2210059</v>
      </c>
      <c r="G10826" t="s">
        <v>3142</v>
      </c>
      <c r="H10826" s="21">
        <v>969.67</v>
      </c>
    </row>
    <row r="10827" spans="1:8" customFormat="1" x14ac:dyDescent="0.25">
      <c r="A10827" t="str">
        <f>"6210862"</f>
        <v>6210862</v>
      </c>
      <c r="B10827" t="s">
        <v>10573</v>
      </c>
      <c r="C10827" t="s">
        <v>249</v>
      </c>
      <c r="D10827" s="21" t="s">
        <v>34</v>
      </c>
      <c r="E10827" s="21" t="s">
        <v>71</v>
      </c>
      <c r="F10827">
        <v>7620145</v>
      </c>
      <c r="G10827" t="s">
        <v>2068</v>
      </c>
      <c r="H10827" s="21">
        <v>969.67</v>
      </c>
    </row>
    <row r="10828" spans="1:8" customFormat="1" x14ac:dyDescent="0.25">
      <c r="A10828" t="str">
        <f>"42724"</f>
        <v>42724</v>
      </c>
      <c r="B10828" t="s">
        <v>9444</v>
      </c>
      <c r="C10828" t="s">
        <v>412</v>
      </c>
      <c r="D10828" s="21" t="s">
        <v>34</v>
      </c>
      <c r="E10828" s="21" t="s">
        <v>6185</v>
      </c>
      <c r="F10828">
        <v>1420048</v>
      </c>
      <c r="G10828" t="s">
        <v>745</v>
      </c>
      <c r="H10828" s="21">
        <v>969.67</v>
      </c>
    </row>
    <row r="10829" spans="1:8" customFormat="1" x14ac:dyDescent="0.25">
      <c r="A10829" t="str">
        <f>"586471"</f>
        <v>586471</v>
      </c>
      <c r="B10829" t="s">
        <v>8455</v>
      </c>
      <c r="C10829" t="s">
        <v>1025</v>
      </c>
      <c r="D10829" s="21" t="s">
        <v>34</v>
      </c>
      <c r="E10829" s="21" t="s">
        <v>71</v>
      </c>
      <c r="F10829">
        <v>2580006</v>
      </c>
      <c r="G10829" t="s">
        <v>4813</v>
      </c>
      <c r="H10829" s="21">
        <v>969.54</v>
      </c>
    </row>
    <row r="10830" spans="1:8" customFormat="1" x14ac:dyDescent="0.25">
      <c r="A10830" t="str">
        <f>"774864"</f>
        <v>774864</v>
      </c>
      <c r="B10830" t="s">
        <v>1295</v>
      </c>
      <c r="C10830" t="s">
        <v>253</v>
      </c>
      <c r="D10830" s="21" t="s">
        <v>34</v>
      </c>
      <c r="E10830" s="21" t="s">
        <v>71</v>
      </c>
      <c r="F10830">
        <v>8770955</v>
      </c>
      <c r="G10830" t="s">
        <v>9946</v>
      </c>
      <c r="H10830" s="21">
        <v>969.42</v>
      </c>
    </row>
    <row r="10831" spans="1:8" customFormat="1" x14ac:dyDescent="0.25">
      <c r="A10831" t="str">
        <f>"702070"</f>
        <v>702070</v>
      </c>
      <c r="B10831" t="s">
        <v>10836</v>
      </c>
      <c r="C10831" t="s">
        <v>206</v>
      </c>
      <c r="D10831" s="21" t="s">
        <v>34</v>
      </c>
      <c r="E10831" s="21" t="s">
        <v>35</v>
      </c>
      <c r="F10831">
        <v>6880066</v>
      </c>
      <c r="G10831" t="s">
        <v>4833</v>
      </c>
      <c r="H10831" s="21">
        <v>969.42</v>
      </c>
    </row>
    <row r="10832" spans="1:8" customFormat="1" x14ac:dyDescent="0.25">
      <c r="A10832" t="str">
        <f>"931571"</f>
        <v>931571</v>
      </c>
      <c r="B10832" t="s">
        <v>10004</v>
      </c>
      <c r="C10832" t="s">
        <v>198</v>
      </c>
      <c r="D10832" s="21" t="s">
        <v>34</v>
      </c>
      <c r="E10832" s="21" t="s">
        <v>71</v>
      </c>
      <c r="F10832">
        <v>8930024</v>
      </c>
      <c r="G10832" t="s">
        <v>44</v>
      </c>
      <c r="H10832" s="21">
        <v>969.29</v>
      </c>
    </row>
    <row r="10833" spans="1:8" customFormat="1" x14ac:dyDescent="0.25">
      <c r="A10833" t="str">
        <f>"583381"</f>
        <v>583381</v>
      </c>
      <c r="B10833" t="s">
        <v>9496</v>
      </c>
      <c r="C10833" t="s">
        <v>462</v>
      </c>
      <c r="D10833" s="21" t="s">
        <v>34</v>
      </c>
      <c r="E10833" s="21" t="s">
        <v>71</v>
      </c>
      <c r="F10833">
        <v>2580035</v>
      </c>
      <c r="G10833" t="s">
        <v>5991</v>
      </c>
      <c r="H10833" s="21">
        <v>969.17</v>
      </c>
    </row>
    <row r="10834" spans="1:8" customFormat="1" x14ac:dyDescent="0.25">
      <c r="A10834" t="str">
        <f>"1410814"</f>
        <v>1410814</v>
      </c>
      <c r="B10834" t="s">
        <v>10235</v>
      </c>
      <c r="C10834" t="s">
        <v>712</v>
      </c>
      <c r="D10834" s="21" t="s">
        <v>34</v>
      </c>
      <c r="E10834" s="21" t="s">
        <v>71</v>
      </c>
      <c r="F10834">
        <v>9140162</v>
      </c>
      <c r="G10834" t="s">
        <v>7663</v>
      </c>
      <c r="H10834" s="21">
        <v>969.17</v>
      </c>
    </row>
    <row r="10835" spans="1:8" customFormat="1" x14ac:dyDescent="0.25">
      <c r="A10835" t="str">
        <f>"019303"</f>
        <v>019303</v>
      </c>
      <c r="B10835" t="s">
        <v>9597</v>
      </c>
      <c r="C10835" t="s">
        <v>114</v>
      </c>
      <c r="D10835" s="21" t="s">
        <v>34</v>
      </c>
      <c r="E10835" s="21" t="s">
        <v>35</v>
      </c>
      <c r="F10835">
        <v>1690160</v>
      </c>
      <c r="G10835" t="s">
        <v>4599</v>
      </c>
      <c r="H10835" s="21">
        <v>969.17</v>
      </c>
    </row>
    <row r="10836" spans="1:8" customFormat="1" x14ac:dyDescent="0.25">
      <c r="A10836" t="str">
        <f>"2210371"</f>
        <v>2210371</v>
      </c>
      <c r="B10836" t="s">
        <v>10189</v>
      </c>
      <c r="C10836" t="s">
        <v>7923</v>
      </c>
      <c r="D10836" s="21" t="s">
        <v>34</v>
      </c>
      <c r="E10836" s="21" t="s">
        <v>254</v>
      </c>
      <c r="F10836">
        <v>3560005</v>
      </c>
      <c r="G10836" t="s">
        <v>2101</v>
      </c>
      <c r="H10836" s="21">
        <v>969.17</v>
      </c>
    </row>
    <row r="10837" spans="1:8" customFormat="1" x14ac:dyDescent="0.25">
      <c r="A10837" t="str">
        <f>"49902"</f>
        <v>49902</v>
      </c>
      <c r="B10837" t="s">
        <v>8752</v>
      </c>
      <c r="C10837" t="s">
        <v>2520</v>
      </c>
      <c r="D10837" s="21" t="s">
        <v>34</v>
      </c>
      <c r="E10837" s="21" t="s">
        <v>6185</v>
      </c>
      <c r="F10837">
        <v>12490132</v>
      </c>
      <c r="G10837" t="s">
        <v>1125</v>
      </c>
      <c r="H10837" s="21">
        <v>969.17</v>
      </c>
    </row>
    <row r="10838" spans="1:8" customFormat="1" x14ac:dyDescent="0.25">
      <c r="A10838" t="str">
        <f>"6720135"</f>
        <v>6720135</v>
      </c>
      <c r="B10838" t="s">
        <v>11412</v>
      </c>
      <c r="C10838" t="s">
        <v>608</v>
      </c>
      <c r="D10838" s="21" t="s">
        <v>34</v>
      </c>
      <c r="E10838" s="21" t="s">
        <v>35</v>
      </c>
      <c r="F10838">
        <v>6670261</v>
      </c>
      <c r="G10838" t="s">
        <v>4621</v>
      </c>
      <c r="H10838" s="21">
        <v>969.17</v>
      </c>
    </row>
    <row r="10839" spans="1:8" customFormat="1" x14ac:dyDescent="0.25">
      <c r="A10839" t="str">
        <f>"57567"</f>
        <v>57567</v>
      </c>
      <c r="B10839" t="s">
        <v>2777</v>
      </c>
      <c r="C10839" t="s">
        <v>209</v>
      </c>
      <c r="D10839" s="21" t="s">
        <v>34</v>
      </c>
      <c r="E10839" s="21" t="s">
        <v>71</v>
      </c>
      <c r="F10839">
        <v>6570029</v>
      </c>
      <c r="G10839" t="s">
        <v>2977</v>
      </c>
      <c r="H10839" s="21">
        <v>969.17</v>
      </c>
    </row>
    <row r="10840" spans="1:8" customFormat="1" x14ac:dyDescent="0.25">
      <c r="A10840" t="str">
        <f>"9233480"</f>
        <v>9233480</v>
      </c>
      <c r="B10840" t="s">
        <v>6418</v>
      </c>
      <c r="C10840" t="s">
        <v>1803</v>
      </c>
      <c r="D10840" s="21" t="s">
        <v>34</v>
      </c>
      <c r="E10840" s="21" t="s">
        <v>35</v>
      </c>
      <c r="F10840">
        <v>4410697</v>
      </c>
      <c r="G10840" t="s">
        <v>2490</v>
      </c>
      <c r="H10840" s="21">
        <v>969.04</v>
      </c>
    </row>
    <row r="10841" spans="1:8" customFormat="1" x14ac:dyDescent="0.25">
      <c r="A10841" t="str">
        <f>"2911592"</f>
        <v>2911592</v>
      </c>
      <c r="B10841" t="s">
        <v>9743</v>
      </c>
      <c r="C10841" t="s">
        <v>2546</v>
      </c>
      <c r="D10841" s="21" t="s">
        <v>34</v>
      </c>
      <c r="E10841" s="21" t="s">
        <v>35</v>
      </c>
      <c r="F10841">
        <v>8910442</v>
      </c>
      <c r="G10841" t="s">
        <v>1336</v>
      </c>
      <c r="H10841" s="21">
        <v>969.04</v>
      </c>
    </row>
    <row r="10842" spans="1:8" customFormat="1" x14ac:dyDescent="0.25">
      <c r="A10842" t="str">
        <f>"9239549"</f>
        <v>9239549</v>
      </c>
      <c r="B10842" t="s">
        <v>271</v>
      </c>
      <c r="C10842" t="s">
        <v>1025</v>
      </c>
      <c r="D10842" s="21" t="s">
        <v>34</v>
      </c>
      <c r="E10842" s="21" t="s">
        <v>71</v>
      </c>
      <c r="F10842">
        <v>8920151</v>
      </c>
      <c r="G10842" t="s">
        <v>1434</v>
      </c>
      <c r="H10842" s="21">
        <v>968.92</v>
      </c>
    </row>
    <row r="10843" spans="1:8" customFormat="1" x14ac:dyDescent="0.25">
      <c r="A10843" t="str">
        <f>"1614239"</f>
        <v>1614239</v>
      </c>
      <c r="B10843" t="s">
        <v>10747</v>
      </c>
      <c r="C10843" t="s">
        <v>2779</v>
      </c>
      <c r="D10843" s="21" t="s">
        <v>34</v>
      </c>
      <c r="E10843" s="21" t="s">
        <v>35</v>
      </c>
      <c r="F10843">
        <v>10160196</v>
      </c>
      <c r="G10843" t="s">
        <v>13348</v>
      </c>
      <c r="H10843" s="21">
        <v>968.92</v>
      </c>
    </row>
    <row r="10844" spans="1:8" customFormat="1" x14ac:dyDescent="0.25">
      <c r="A10844" t="str">
        <f>"3419749"</f>
        <v>3419749</v>
      </c>
      <c r="B10844" t="s">
        <v>10411</v>
      </c>
      <c r="C10844" t="s">
        <v>10412</v>
      </c>
      <c r="D10844" s="21" t="s">
        <v>34</v>
      </c>
      <c r="E10844" s="21" t="s">
        <v>71</v>
      </c>
      <c r="F10844">
        <v>11340018</v>
      </c>
      <c r="G10844" t="s">
        <v>2421</v>
      </c>
      <c r="H10844" s="21">
        <v>968.92</v>
      </c>
    </row>
    <row r="10845" spans="1:8" customFormat="1" x14ac:dyDescent="0.25">
      <c r="A10845" t="str">
        <f>"3519152"</f>
        <v>3519152</v>
      </c>
      <c r="B10845" t="s">
        <v>12972</v>
      </c>
      <c r="C10845" t="s">
        <v>486</v>
      </c>
      <c r="D10845" s="21" t="s">
        <v>34</v>
      </c>
      <c r="E10845" s="21" t="s">
        <v>35</v>
      </c>
      <c r="F10845">
        <v>12530035</v>
      </c>
      <c r="G10845" t="s">
        <v>1663</v>
      </c>
      <c r="H10845" s="21">
        <v>968.92</v>
      </c>
    </row>
    <row r="10846" spans="1:8" customFormat="1" x14ac:dyDescent="0.25">
      <c r="A10846" t="str">
        <f>"913850"</f>
        <v>913850</v>
      </c>
      <c r="B10846" t="s">
        <v>1422</v>
      </c>
      <c r="C10846" t="s">
        <v>33</v>
      </c>
      <c r="D10846" s="21" t="s">
        <v>34</v>
      </c>
      <c r="E10846" s="21" t="s">
        <v>35</v>
      </c>
      <c r="F10846">
        <v>8910881</v>
      </c>
      <c r="G10846" t="s">
        <v>1300</v>
      </c>
      <c r="H10846" s="21">
        <v>968.79</v>
      </c>
    </row>
    <row r="10847" spans="1:8" customFormat="1" x14ac:dyDescent="0.25">
      <c r="A10847" t="str">
        <f>"276228"</f>
        <v>276228</v>
      </c>
      <c r="B10847" t="s">
        <v>27170</v>
      </c>
      <c r="C10847" t="s">
        <v>3010</v>
      </c>
      <c r="D10847" s="21" t="s">
        <v>34</v>
      </c>
      <c r="E10847" s="21" t="s">
        <v>254</v>
      </c>
      <c r="F10847">
        <v>9270137</v>
      </c>
      <c r="G10847" t="s">
        <v>3714</v>
      </c>
      <c r="H10847" s="21">
        <v>968.67</v>
      </c>
    </row>
    <row r="10848" spans="1:8" customFormat="1" x14ac:dyDescent="0.25">
      <c r="A10848" t="str">
        <f>"425694"</f>
        <v>425694</v>
      </c>
      <c r="B10848" t="s">
        <v>11012</v>
      </c>
      <c r="C10848" t="s">
        <v>169</v>
      </c>
      <c r="D10848" s="21" t="s">
        <v>34</v>
      </c>
      <c r="E10848" s="21" t="s">
        <v>35</v>
      </c>
      <c r="F10848">
        <v>1690076</v>
      </c>
      <c r="G10848" t="s">
        <v>4049</v>
      </c>
      <c r="H10848" s="21">
        <v>968.67</v>
      </c>
    </row>
    <row r="10849" spans="1:8" customFormat="1" x14ac:dyDescent="0.25">
      <c r="A10849" t="str">
        <f>"4429263"</f>
        <v>4429263</v>
      </c>
      <c r="B10849" t="s">
        <v>27171</v>
      </c>
      <c r="C10849" t="s">
        <v>249</v>
      </c>
      <c r="D10849" s="21" t="s">
        <v>34</v>
      </c>
      <c r="E10849" s="21" t="s">
        <v>254</v>
      </c>
      <c r="F10849">
        <v>12440064</v>
      </c>
      <c r="G10849" t="s">
        <v>9082</v>
      </c>
      <c r="H10849" s="21">
        <v>968.67</v>
      </c>
    </row>
    <row r="10850" spans="1:8" customFormat="1" x14ac:dyDescent="0.25">
      <c r="A10850" t="str">
        <f>"702020"</f>
        <v>702020</v>
      </c>
      <c r="B10850" t="s">
        <v>12188</v>
      </c>
      <c r="C10850" t="s">
        <v>2475</v>
      </c>
      <c r="D10850" s="21" t="s">
        <v>34</v>
      </c>
      <c r="E10850" s="21" t="s">
        <v>71</v>
      </c>
      <c r="F10850">
        <v>2700077</v>
      </c>
      <c r="G10850" t="s">
        <v>9311</v>
      </c>
      <c r="H10850" s="21">
        <v>968.67</v>
      </c>
    </row>
    <row r="10851" spans="1:8" customFormat="1" x14ac:dyDescent="0.25">
      <c r="A10851" t="str">
        <f>"5323957"</f>
        <v>5323957</v>
      </c>
      <c r="B10851" t="s">
        <v>11813</v>
      </c>
      <c r="C10851" t="s">
        <v>239</v>
      </c>
      <c r="D10851" s="21" t="s">
        <v>34</v>
      </c>
      <c r="E10851" s="21" t="s">
        <v>35</v>
      </c>
      <c r="F10851">
        <v>12530055</v>
      </c>
      <c r="G10851" t="s">
        <v>3814</v>
      </c>
      <c r="H10851" s="21">
        <v>968.67</v>
      </c>
    </row>
    <row r="10852" spans="1:8" customFormat="1" x14ac:dyDescent="0.25">
      <c r="A10852" t="str">
        <f>"499151"</f>
        <v>499151</v>
      </c>
      <c r="B10852" t="s">
        <v>11404</v>
      </c>
      <c r="C10852" t="s">
        <v>49</v>
      </c>
      <c r="D10852" s="21" t="s">
        <v>34</v>
      </c>
      <c r="E10852" s="21" t="s">
        <v>35</v>
      </c>
      <c r="F10852">
        <v>12490106</v>
      </c>
      <c r="G10852" t="s">
        <v>4555</v>
      </c>
      <c r="H10852" s="21">
        <v>968.67</v>
      </c>
    </row>
    <row r="10853" spans="1:8" customFormat="1" x14ac:dyDescent="0.25">
      <c r="A10853" t="str">
        <f>"7919243"</f>
        <v>7919243</v>
      </c>
      <c r="B10853" t="s">
        <v>11439</v>
      </c>
      <c r="C10853" t="s">
        <v>33</v>
      </c>
      <c r="D10853" s="21" t="s">
        <v>34</v>
      </c>
      <c r="E10853" s="21" t="s">
        <v>35</v>
      </c>
      <c r="F10853">
        <v>10790204</v>
      </c>
      <c r="G10853" t="s">
        <v>5681</v>
      </c>
      <c r="H10853" s="21">
        <v>968.67</v>
      </c>
    </row>
    <row r="10854" spans="1:8" customFormat="1" x14ac:dyDescent="0.25">
      <c r="A10854" t="str">
        <f>"724455"</f>
        <v>724455</v>
      </c>
      <c r="B10854" t="s">
        <v>2757</v>
      </c>
      <c r="C10854" t="s">
        <v>249</v>
      </c>
      <c r="D10854" s="21" t="s">
        <v>34</v>
      </c>
      <c r="E10854" s="21" t="s">
        <v>71</v>
      </c>
      <c r="F10854">
        <v>12720050</v>
      </c>
      <c r="G10854" t="s">
        <v>5522</v>
      </c>
      <c r="H10854" s="21">
        <v>968.67</v>
      </c>
    </row>
    <row r="10855" spans="1:8" customFormat="1" x14ac:dyDescent="0.25">
      <c r="A10855" t="str">
        <f>"183706"</f>
        <v>183706</v>
      </c>
      <c r="B10855" t="s">
        <v>10611</v>
      </c>
      <c r="C10855" t="s">
        <v>269</v>
      </c>
      <c r="D10855" s="21" t="s">
        <v>34</v>
      </c>
      <c r="E10855" s="21" t="s">
        <v>71</v>
      </c>
      <c r="F10855">
        <v>4450706</v>
      </c>
      <c r="G10855" t="s">
        <v>4482</v>
      </c>
      <c r="H10855" s="21">
        <v>968.67</v>
      </c>
    </row>
    <row r="10856" spans="1:8" customFormat="1" x14ac:dyDescent="0.25">
      <c r="A10856" t="str">
        <f>"685920"</f>
        <v>685920</v>
      </c>
      <c r="B10856" t="s">
        <v>10266</v>
      </c>
      <c r="C10856" t="s">
        <v>8442</v>
      </c>
      <c r="D10856" s="21" t="s">
        <v>34</v>
      </c>
      <c r="E10856" s="21" t="s">
        <v>35</v>
      </c>
      <c r="F10856">
        <v>6680090</v>
      </c>
      <c r="G10856" t="s">
        <v>3129</v>
      </c>
      <c r="H10856" s="21">
        <v>968.67</v>
      </c>
    </row>
    <row r="10857" spans="1:8" customFormat="1" x14ac:dyDescent="0.25">
      <c r="A10857" t="str">
        <f>"5916749"</f>
        <v>5916749</v>
      </c>
      <c r="B10857" t="s">
        <v>11188</v>
      </c>
      <c r="C10857" t="s">
        <v>204</v>
      </c>
      <c r="D10857" s="21" t="s">
        <v>34</v>
      </c>
      <c r="E10857" s="21" t="s">
        <v>71</v>
      </c>
      <c r="F10857">
        <v>7590244</v>
      </c>
      <c r="G10857" t="s">
        <v>5768</v>
      </c>
      <c r="H10857" s="21">
        <v>968.67</v>
      </c>
    </row>
    <row r="10858" spans="1:8" customFormat="1" x14ac:dyDescent="0.25">
      <c r="A10858" t="str">
        <f>"5957964"</f>
        <v>5957964</v>
      </c>
      <c r="B10858" t="s">
        <v>2065</v>
      </c>
      <c r="C10858" t="s">
        <v>121</v>
      </c>
      <c r="D10858" s="21" t="s">
        <v>34</v>
      </c>
      <c r="E10858" s="21" t="s">
        <v>35</v>
      </c>
      <c r="F10858">
        <v>7590194</v>
      </c>
      <c r="G10858" t="s">
        <v>460</v>
      </c>
      <c r="H10858" s="21">
        <v>968.67</v>
      </c>
    </row>
    <row r="10859" spans="1:8" customFormat="1" x14ac:dyDescent="0.25">
      <c r="A10859" t="str">
        <f>"4454206"</f>
        <v>4454206</v>
      </c>
      <c r="B10859" t="s">
        <v>1945</v>
      </c>
      <c r="C10859" t="s">
        <v>55</v>
      </c>
      <c r="D10859" s="21" t="s">
        <v>34</v>
      </c>
      <c r="E10859" s="21" t="s">
        <v>71</v>
      </c>
      <c r="F10859">
        <v>12440176</v>
      </c>
      <c r="G10859" t="s">
        <v>1020</v>
      </c>
      <c r="H10859" s="21">
        <v>968.67</v>
      </c>
    </row>
    <row r="10860" spans="1:8" customFormat="1" x14ac:dyDescent="0.25">
      <c r="A10860" t="str">
        <f>"5310813"</f>
        <v>5310813</v>
      </c>
      <c r="B10860" t="s">
        <v>11138</v>
      </c>
      <c r="C10860" t="s">
        <v>87</v>
      </c>
      <c r="D10860" s="21" t="s">
        <v>34</v>
      </c>
      <c r="E10860" s="21" t="s">
        <v>35</v>
      </c>
      <c r="F10860">
        <v>12530114</v>
      </c>
      <c r="G10860" t="s">
        <v>1342</v>
      </c>
      <c r="H10860" s="21">
        <v>968.67</v>
      </c>
    </row>
    <row r="10861" spans="1:8" customFormat="1" x14ac:dyDescent="0.25">
      <c r="A10861" t="str">
        <f>"9132456"</f>
        <v>9132456</v>
      </c>
      <c r="B10861" t="s">
        <v>646</v>
      </c>
      <c r="C10861" t="s">
        <v>336</v>
      </c>
      <c r="D10861" s="21" t="s">
        <v>34</v>
      </c>
      <c r="E10861" s="21" t="s">
        <v>35</v>
      </c>
      <c r="F10861">
        <v>3560049</v>
      </c>
      <c r="G10861" t="s">
        <v>8021</v>
      </c>
      <c r="H10861" s="21">
        <v>968.42</v>
      </c>
    </row>
    <row r="10862" spans="1:8" customFormat="1" x14ac:dyDescent="0.25">
      <c r="A10862" t="str">
        <f>"6718193"</f>
        <v>6718193</v>
      </c>
      <c r="B10862" t="s">
        <v>12427</v>
      </c>
      <c r="C10862" t="s">
        <v>40</v>
      </c>
      <c r="D10862" s="21" t="s">
        <v>34</v>
      </c>
      <c r="E10862" s="21" t="s">
        <v>254</v>
      </c>
      <c r="F10862">
        <v>6670247</v>
      </c>
      <c r="G10862" t="s">
        <v>7594</v>
      </c>
      <c r="H10862" s="21">
        <v>968.17</v>
      </c>
    </row>
    <row r="10863" spans="1:8" customFormat="1" x14ac:dyDescent="0.25">
      <c r="A10863" t="str">
        <f>"4424655"</f>
        <v>4424655</v>
      </c>
      <c r="B10863" t="s">
        <v>11109</v>
      </c>
      <c r="C10863" t="s">
        <v>43</v>
      </c>
      <c r="D10863" s="21" t="s">
        <v>34</v>
      </c>
      <c r="E10863" s="21" t="s">
        <v>35</v>
      </c>
      <c r="F10863">
        <v>12440039</v>
      </c>
      <c r="G10863" t="s">
        <v>9650</v>
      </c>
      <c r="H10863" s="21">
        <v>968.17</v>
      </c>
    </row>
    <row r="10864" spans="1:8" customFormat="1" x14ac:dyDescent="0.25">
      <c r="A10864" t="str">
        <f>"644414"</f>
        <v>644414</v>
      </c>
      <c r="B10864" t="s">
        <v>11143</v>
      </c>
      <c r="C10864" t="s">
        <v>598</v>
      </c>
      <c r="D10864" s="21" t="s">
        <v>34</v>
      </c>
      <c r="E10864" s="21" t="s">
        <v>71</v>
      </c>
      <c r="F10864">
        <v>10640010</v>
      </c>
      <c r="G10864" t="s">
        <v>9410</v>
      </c>
      <c r="H10864" s="21">
        <v>968.17</v>
      </c>
    </row>
    <row r="10865" spans="1:8" customFormat="1" x14ac:dyDescent="0.25">
      <c r="A10865" t="str">
        <f>"219561"</f>
        <v>219561</v>
      </c>
      <c r="B10865" t="s">
        <v>7809</v>
      </c>
      <c r="C10865" t="s">
        <v>1665</v>
      </c>
      <c r="D10865" s="21" t="s">
        <v>34</v>
      </c>
      <c r="E10865" s="21" t="s">
        <v>71</v>
      </c>
      <c r="F10865">
        <v>2210127</v>
      </c>
      <c r="G10865" t="s">
        <v>3447</v>
      </c>
      <c r="H10865" s="21">
        <v>968.17</v>
      </c>
    </row>
    <row r="10866" spans="1:8" customFormat="1" x14ac:dyDescent="0.25">
      <c r="A10866" t="str">
        <f>"5964651"</f>
        <v>5964651</v>
      </c>
      <c r="B10866" t="s">
        <v>10337</v>
      </c>
      <c r="C10866" t="s">
        <v>65</v>
      </c>
      <c r="D10866" s="21" t="s">
        <v>34</v>
      </c>
      <c r="E10866" s="21" t="s">
        <v>35</v>
      </c>
      <c r="F10866">
        <v>7590363</v>
      </c>
      <c r="G10866" t="s">
        <v>5167</v>
      </c>
      <c r="H10866" s="21">
        <v>968.17</v>
      </c>
    </row>
    <row r="10867" spans="1:8" customFormat="1" x14ac:dyDescent="0.25">
      <c r="A10867" t="str">
        <f>"373270"</f>
        <v>373270</v>
      </c>
      <c r="B10867" t="s">
        <v>10201</v>
      </c>
      <c r="C10867" t="s">
        <v>2479</v>
      </c>
      <c r="D10867" s="21" t="s">
        <v>34</v>
      </c>
      <c r="E10867" s="21" t="s">
        <v>1089</v>
      </c>
      <c r="F10867">
        <v>4370656</v>
      </c>
      <c r="G10867" t="s">
        <v>1127</v>
      </c>
      <c r="H10867" s="21">
        <v>968.17</v>
      </c>
    </row>
    <row r="10868" spans="1:8" customFormat="1" x14ac:dyDescent="0.25">
      <c r="A10868" t="str">
        <f>"633114"</f>
        <v>633114</v>
      </c>
      <c r="B10868" t="s">
        <v>8899</v>
      </c>
      <c r="C10868" t="s">
        <v>156</v>
      </c>
      <c r="D10868" s="21" t="s">
        <v>34</v>
      </c>
      <c r="E10868" s="21" t="s">
        <v>35</v>
      </c>
      <c r="F10868">
        <v>1630289</v>
      </c>
      <c r="G10868" t="s">
        <v>8900</v>
      </c>
      <c r="H10868" s="21">
        <v>968.17</v>
      </c>
    </row>
    <row r="10869" spans="1:8" customFormat="1" x14ac:dyDescent="0.25">
      <c r="A10869" t="str">
        <f>"037280"</f>
        <v>037280</v>
      </c>
      <c r="B10869" t="s">
        <v>10091</v>
      </c>
      <c r="C10869" t="s">
        <v>65</v>
      </c>
      <c r="D10869" s="21" t="s">
        <v>34</v>
      </c>
      <c r="E10869" s="21" t="s">
        <v>35</v>
      </c>
      <c r="F10869">
        <v>1030312</v>
      </c>
      <c r="G10869" t="s">
        <v>7573</v>
      </c>
      <c r="H10869" s="21">
        <v>968.17</v>
      </c>
    </row>
    <row r="10870" spans="1:8" customFormat="1" x14ac:dyDescent="0.25">
      <c r="A10870" t="str">
        <f>"9411669"</f>
        <v>9411669</v>
      </c>
      <c r="B10870" t="s">
        <v>11314</v>
      </c>
      <c r="C10870" t="s">
        <v>528</v>
      </c>
      <c r="D10870" s="21" t="s">
        <v>34</v>
      </c>
      <c r="E10870" s="21" t="s">
        <v>71</v>
      </c>
      <c r="F10870">
        <v>8910102</v>
      </c>
      <c r="G10870" t="s">
        <v>3079</v>
      </c>
      <c r="H10870" s="21">
        <v>968.17</v>
      </c>
    </row>
    <row r="10871" spans="1:8" customFormat="1" x14ac:dyDescent="0.25">
      <c r="A10871" t="str">
        <f>"4415815"</f>
        <v>4415815</v>
      </c>
      <c r="B10871" t="s">
        <v>2285</v>
      </c>
      <c r="C10871" t="s">
        <v>239</v>
      </c>
      <c r="D10871" s="21" t="s">
        <v>34</v>
      </c>
      <c r="E10871" s="21" t="s">
        <v>71</v>
      </c>
      <c r="F10871">
        <v>12440176</v>
      </c>
      <c r="G10871" t="s">
        <v>1020</v>
      </c>
      <c r="H10871" s="21">
        <v>968.17</v>
      </c>
    </row>
    <row r="10872" spans="1:8" customFormat="1" x14ac:dyDescent="0.25">
      <c r="A10872" t="str">
        <f>"5929736"</f>
        <v>5929736</v>
      </c>
      <c r="B10872" t="s">
        <v>10557</v>
      </c>
      <c r="C10872" t="s">
        <v>204</v>
      </c>
      <c r="D10872" s="21" t="s">
        <v>34</v>
      </c>
      <c r="E10872" s="21" t="s">
        <v>35</v>
      </c>
      <c r="F10872">
        <v>7590409</v>
      </c>
      <c r="G10872" t="s">
        <v>2228</v>
      </c>
      <c r="H10872" s="21">
        <v>968.17</v>
      </c>
    </row>
    <row r="10873" spans="1:8" customFormat="1" x14ac:dyDescent="0.25">
      <c r="A10873" t="str">
        <f>"9134384"</f>
        <v>9134384</v>
      </c>
      <c r="B10873" t="s">
        <v>9550</v>
      </c>
      <c r="C10873" t="s">
        <v>198</v>
      </c>
      <c r="D10873" s="21" t="s">
        <v>34</v>
      </c>
      <c r="E10873" s="21" t="s">
        <v>254</v>
      </c>
      <c r="F10873">
        <v>8910214</v>
      </c>
      <c r="G10873" t="s">
        <v>986</v>
      </c>
      <c r="H10873" s="21">
        <v>968.17</v>
      </c>
    </row>
    <row r="10874" spans="1:8" customFormat="1" x14ac:dyDescent="0.25">
      <c r="A10874" t="str">
        <f>"871112"</f>
        <v>871112</v>
      </c>
      <c r="B10874" t="s">
        <v>6455</v>
      </c>
      <c r="C10874" t="s">
        <v>33</v>
      </c>
      <c r="D10874" s="21" t="s">
        <v>34</v>
      </c>
      <c r="E10874" s="21" t="s">
        <v>35</v>
      </c>
      <c r="F10874">
        <v>10870003</v>
      </c>
      <c r="G10874" t="s">
        <v>1187</v>
      </c>
      <c r="H10874" s="21">
        <v>968.17</v>
      </c>
    </row>
    <row r="10875" spans="1:8" customFormat="1" x14ac:dyDescent="0.25">
      <c r="A10875" t="str">
        <f>"4920073"</f>
        <v>4920073</v>
      </c>
      <c r="B10875" t="s">
        <v>10341</v>
      </c>
      <c r="C10875" t="s">
        <v>1665</v>
      </c>
      <c r="D10875" s="21" t="s">
        <v>34</v>
      </c>
      <c r="E10875" s="21" t="s">
        <v>254</v>
      </c>
      <c r="F10875">
        <v>12490124</v>
      </c>
      <c r="G10875" t="s">
        <v>677</v>
      </c>
      <c r="H10875" s="21">
        <v>967.67</v>
      </c>
    </row>
    <row r="10876" spans="1:8" customFormat="1" x14ac:dyDescent="0.25">
      <c r="A10876" t="str">
        <f>"534618"</f>
        <v>534618</v>
      </c>
      <c r="B10876" t="s">
        <v>3775</v>
      </c>
      <c r="C10876" t="s">
        <v>1705</v>
      </c>
      <c r="D10876" s="21" t="s">
        <v>34</v>
      </c>
      <c r="E10876" s="21" t="s">
        <v>254</v>
      </c>
      <c r="F10876">
        <v>12530018</v>
      </c>
      <c r="G10876" t="s">
        <v>8768</v>
      </c>
      <c r="H10876" s="21">
        <v>967.67</v>
      </c>
    </row>
    <row r="10877" spans="1:8" customFormat="1" x14ac:dyDescent="0.25">
      <c r="A10877" t="str">
        <f>"5610442"</f>
        <v>5610442</v>
      </c>
      <c r="B10877" t="s">
        <v>10933</v>
      </c>
      <c r="C10877" t="s">
        <v>87</v>
      </c>
      <c r="D10877" s="21" t="s">
        <v>34</v>
      </c>
      <c r="E10877" s="21" t="s">
        <v>254</v>
      </c>
      <c r="F10877">
        <v>3560013</v>
      </c>
      <c r="G10877" t="s">
        <v>7924</v>
      </c>
      <c r="H10877" s="21">
        <v>967.67</v>
      </c>
    </row>
    <row r="10878" spans="1:8" customFormat="1" x14ac:dyDescent="0.25">
      <c r="A10878" t="str">
        <f>"614152"</f>
        <v>614152</v>
      </c>
      <c r="B10878" t="s">
        <v>10632</v>
      </c>
      <c r="C10878" t="s">
        <v>469</v>
      </c>
      <c r="D10878" s="21" t="s">
        <v>34</v>
      </c>
      <c r="E10878" s="21" t="s">
        <v>71</v>
      </c>
      <c r="F10878">
        <v>9610123</v>
      </c>
      <c r="G10878" t="s">
        <v>10458</v>
      </c>
      <c r="H10878" s="21">
        <v>967.67</v>
      </c>
    </row>
    <row r="10879" spans="1:8" customFormat="1" x14ac:dyDescent="0.25">
      <c r="A10879" t="str">
        <f>"878115"</f>
        <v>878115</v>
      </c>
      <c r="B10879" t="s">
        <v>10972</v>
      </c>
      <c r="C10879" t="s">
        <v>40</v>
      </c>
      <c r="D10879" s="21" t="s">
        <v>34</v>
      </c>
      <c r="E10879" s="21" t="s">
        <v>71</v>
      </c>
      <c r="F10879">
        <v>10870130</v>
      </c>
      <c r="G10879" t="s">
        <v>7564</v>
      </c>
      <c r="H10879" s="21">
        <v>967.67</v>
      </c>
    </row>
    <row r="10880" spans="1:8" customFormat="1" x14ac:dyDescent="0.25">
      <c r="A10880" t="str">
        <f>"361153"</f>
        <v>361153</v>
      </c>
      <c r="B10880" t="s">
        <v>1669</v>
      </c>
      <c r="C10880" t="s">
        <v>879</v>
      </c>
      <c r="D10880" s="21" t="s">
        <v>34</v>
      </c>
      <c r="E10880" s="21" t="s">
        <v>71</v>
      </c>
      <c r="F10880">
        <v>4360124</v>
      </c>
      <c r="G10880" t="s">
        <v>5229</v>
      </c>
      <c r="H10880" s="21">
        <v>967.67</v>
      </c>
    </row>
    <row r="10881" spans="1:8" customFormat="1" x14ac:dyDescent="0.25">
      <c r="A10881" t="str">
        <f>"7511678"</f>
        <v>7511678</v>
      </c>
      <c r="B10881" t="s">
        <v>15582</v>
      </c>
      <c r="C10881" t="s">
        <v>204</v>
      </c>
      <c r="D10881" s="21" t="s">
        <v>34</v>
      </c>
      <c r="E10881" s="21" t="s">
        <v>35</v>
      </c>
      <c r="F10881">
        <v>8910916</v>
      </c>
      <c r="G10881" t="s">
        <v>2251</v>
      </c>
      <c r="H10881" s="21">
        <v>967.67</v>
      </c>
    </row>
    <row r="10882" spans="1:8" customFormat="1" x14ac:dyDescent="0.25">
      <c r="A10882" t="str">
        <f>"174656"</f>
        <v>174656</v>
      </c>
      <c r="B10882" t="s">
        <v>17570</v>
      </c>
      <c r="C10882" t="s">
        <v>2305</v>
      </c>
      <c r="D10882" s="21" t="s">
        <v>34</v>
      </c>
      <c r="E10882" s="21" t="s">
        <v>6185</v>
      </c>
      <c r="F10882">
        <v>10170050</v>
      </c>
      <c r="G10882" t="s">
        <v>2514</v>
      </c>
      <c r="H10882" s="21">
        <v>967.67</v>
      </c>
    </row>
    <row r="10883" spans="1:8" customFormat="1" x14ac:dyDescent="0.25">
      <c r="A10883" t="str">
        <f>"6726035"</f>
        <v>6726035</v>
      </c>
      <c r="B10883" t="s">
        <v>27172</v>
      </c>
      <c r="C10883" t="s">
        <v>114</v>
      </c>
      <c r="D10883" s="21" t="s">
        <v>34</v>
      </c>
      <c r="E10883" s="21" t="s">
        <v>35</v>
      </c>
      <c r="F10883">
        <v>6670178</v>
      </c>
      <c r="G10883" t="s">
        <v>10001</v>
      </c>
      <c r="H10883" s="21">
        <v>967.67</v>
      </c>
    </row>
    <row r="10884" spans="1:8" customFormat="1" x14ac:dyDescent="0.25">
      <c r="A10884" t="str">
        <f>"375469"</f>
        <v>375469</v>
      </c>
      <c r="B10884" t="s">
        <v>2726</v>
      </c>
      <c r="C10884" t="s">
        <v>415</v>
      </c>
      <c r="D10884" s="21" t="s">
        <v>34</v>
      </c>
      <c r="E10884" s="21" t="s">
        <v>254</v>
      </c>
      <c r="F10884">
        <v>4370615</v>
      </c>
      <c r="G10884" t="s">
        <v>7437</v>
      </c>
      <c r="H10884" s="21">
        <v>967.67</v>
      </c>
    </row>
    <row r="10885" spans="1:8" customFormat="1" x14ac:dyDescent="0.25">
      <c r="A10885" t="str">
        <f>"6016032"</f>
        <v>6016032</v>
      </c>
      <c r="B10885" t="s">
        <v>10306</v>
      </c>
      <c r="C10885" t="s">
        <v>139</v>
      </c>
      <c r="D10885" s="21" t="s">
        <v>34</v>
      </c>
      <c r="E10885" s="21" t="s">
        <v>71</v>
      </c>
      <c r="F10885">
        <v>7600044</v>
      </c>
      <c r="G10885" t="s">
        <v>3411</v>
      </c>
      <c r="H10885" s="21">
        <v>967.67</v>
      </c>
    </row>
    <row r="10886" spans="1:8" customFormat="1" x14ac:dyDescent="0.25">
      <c r="A10886" t="str">
        <f>"704612"</f>
        <v>704612</v>
      </c>
      <c r="B10886" t="s">
        <v>10502</v>
      </c>
      <c r="C10886" t="s">
        <v>169</v>
      </c>
      <c r="D10886" s="21" t="s">
        <v>34</v>
      </c>
      <c r="E10886" s="21" t="s">
        <v>71</v>
      </c>
      <c r="F10886">
        <v>2700002</v>
      </c>
      <c r="G10886" t="s">
        <v>953</v>
      </c>
      <c r="H10886" s="21">
        <v>967.42</v>
      </c>
    </row>
    <row r="10887" spans="1:8" customFormat="1" x14ac:dyDescent="0.25">
      <c r="A10887" t="str">
        <f>"618027"</f>
        <v>618027</v>
      </c>
      <c r="B10887" t="s">
        <v>27173</v>
      </c>
      <c r="C10887" t="s">
        <v>288</v>
      </c>
      <c r="D10887" s="21" t="s">
        <v>34</v>
      </c>
      <c r="E10887" s="21" t="s">
        <v>35</v>
      </c>
      <c r="F10887">
        <v>9610056</v>
      </c>
      <c r="G10887" t="s">
        <v>11830</v>
      </c>
      <c r="H10887" s="21">
        <v>967.42</v>
      </c>
    </row>
    <row r="10888" spans="1:8" customFormat="1" x14ac:dyDescent="0.25">
      <c r="A10888" t="str">
        <f>"3425529"</f>
        <v>3425529</v>
      </c>
      <c r="B10888" t="s">
        <v>9333</v>
      </c>
      <c r="C10888" t="s">
        <v>262</v>
      </c>
      <c r="D10888" s="21" t="s">
        <v>34</v>
      </c>
      <c r="E10888" s="21" t="s">
        <v>35</v>
      </c>
      <c r="F10888">
        <v>11340053</v>
      </c>
      <c r="G10888" t="s">
        <v>9935</v>
      </c>
      <c r="H10888" s="21">
        <v>967.29</v>
      </c>
    </row>
    <row r="10889" spans="1:8" customFormat="1" x14ac:dyDescent="0.25">
      <c r="A10889" t="str">
        <f>"293118"</f>
        <v>293118</v>
      </c>
      <c r="B10889" t="s">
        <v>10024</v>
      </c>
      <c r="C10889" t="s">
        <v>2730</v>
      </c>
      <c r="D10889" s="21" t="s">
        <v>34</v>
      </c>
      <c r="E10889" s="21" t="s">
        <v>35</v>
      </c>
      <c r="F10889">
        <v>3290262</v>
      </c>
      <c r="G10889" t="s">
        <v>1139</v>
      </c>
      <c r="H10889" s="21">
        <v>967.17</v>
      </c>
    </row>
    <row r="10890" spans="1:8" customFormat="1" x14ac:dyDescent="0.25">
      <c r="A10890" t="str">
        <f>"162743"</f>
        <v>162743</v>
      </c>
      <c r="B10890" t="s">
        <v>10739</v>
      </c>
      <c r="C10890" t="s">
        <v>2232</v>
      </c>
      <c r="D10890" s="21" t="s">
        <v>34</v>
      </c>
      <c r="E10890" s="21" t="s">
        <v>254</v>
      </c>
      <c r="F10890">
        <v>10160185</v>
      </c>
      <c r="G10890" t="s">
        <v>2035</v>
      </c>
      <c r="H10890" s="21">
        <v>967.17</v>
      </c>
    </row>
    <row r="10891" spans="1:8" customFormat="1" x14ac:dyDescent="0.25">
      <c r="A10891" t="str">
        <f>"5585"</f>
        <v>5585</v>
      </c>
      <c r="B10891" t="s">
        <v>10002</v>
      </c>
      <c r="C10891" t="s">
        <v>2520</v>
      </c>
      <c r="D10891" s="21" t="s">
        <v>34</v>
      </c>
      <c r="E10891" s="21" t="s">
        <v>254</v>
      </c>
      <c r="F10891">
        <v>6550009</v>
      </c>
      <c r="G10891" t="s">
        <v>7080</v>
      </c>
      <c r="H10891" s="21">
        <v>967.17</v>
      </c>
    </row>
    <row r="10892" spans="1:8" customFormat="1" x14ac:dyDescent="0.25">
      <c r="A10892" t="str">
        <f>"857519"</f>
        <v>857519</v>
      </c>
      <c r="B10892" t="s">
        <v>22240</v>
      </c>
      <c r="C10892" t="s">
        <v>62</v>
      </c>
      <c r="D10892" s="21" t="s">
        <v>34</v>
      </c>
      <c r="E10892" s="21" t="s">
        <v>35</v>
      </c>
      <c r="F10892">
        <v>12850095</v>
      </c>
      <c r="G10892" t="s">
        <v>13112</v>
      </c>
      <c r="H10892" s="21">
        <v>967.17</v>
      </c>
    </row>
    <row r="10893" spans="1:8" customFormat="1" x14ac:dyDescent="0.25">
      <c r="A10893" t="str">
        <f>"706070"</f>
        <v>706070</v>
      </c>
      <c r="B10893" t="s">
        <v>10718</v>
      </c>
      <c r="C10893" t="s">
        <v>1299</v>
      </c>
      <c r="D10893" s="21" t="s">
        <v>34</v>
      </c>
      <c r="E10893" s="21" t="s">
        <v>35</v>
      </c>
      <c r="F10893">
        <v>2700077</v>
      </c>
      <c r="G10893" t="s">
        <v>9311</v>
      </c>
      <c r="H10893" s="21">
        <v>967.17</v>
      </c>
    </row>
    <row r="10894" spans="1:8" customFormat="1" x14ac:dyDescent="0.25">
      <c r="A10894" t="str">
        <f>"176105"</f>
        <v>176105</v>
      </c>
      <c r="B10894" t="s">
        <v>3179</v>
      </c>
      <c r="C10894" t="s">
        <v>60</v>
      </c>
      <c r="D10894" s="21" t="s">
        <v>34</v>
      </c>
      <c r="E10894" s="21" t="s">
        <v>35</v>
      </c>
      <c r="F10894">
        <v>12440139</v>
      </c>
      <c r="G10894" t="s">
        <v>2655</v>
      </c>
      <c r="H10894" s="21">
        <v>967.17</v>
      </c>
    </row>
    <row r="10895" spans="1:8" customFormat="1" x14ac:dyDescent="0.25">
      <c r="A10895" t="str">
        <f>"5726803"</f>
        <v>5726803</v>
      </c>
      <c r="B10895" t="s">
        <v>11807</v>
      </c>
      <c r="C10895" t="s">
        <v>5595</v>
      </c>
      <c r="D10895" s="21" t="s">
        <v>34</v>
      </c>
      <c r="E10895" s="21" t="s">
        <v>254</v>
      </c>
      <c r="F10895">
        <v>6570016</v>
      </c>
      <c r="G10895" t="s">
        <v>11808</v>
      </c>
      <c r="H10895" s="21">
        <v>967.17</v>
      </c>
    </row>
    <row r="10896" spans="1:8" customFormat="1" x14ac:dyDescent="0.25">
      <c r="A10896" t="str">
        <f>"6219291"</f>
        <v>6219291</v>
      </c>
      <c r="B10896" t="s">
        <v>6129</v>
      </c>
      <c r="C10896" t="s">
        <v>147</v>
      </c>
      <c r="D10896" s="21" t="s">
        <v>34</v>
      </c>
      <c r="E10896" s="21" t="s">
        <v>35</v>
      </c>
      <c r="F10896">
        <v>9760331</v>
      </c>
      <c r="G10896" t="s">
        <v>5134</v>
      </c>
      <c r="H10896" s="21">
        <v>967.17</v>
      </c>
    </row>
    <row r="10897" spans="1:8" customFormat="1" x14ac:dyDescent="0.25">
      <c r="A10897" t="str">
        <f>"4513313"</f>
        <v>4513313</v>
      </c>
      <c r="B10897" t="s">
        <v>7609</v>
      </c>
      <c r="C10897" t="s">
        <v>169</v>
      </c>
      <c r="D10897" s="21" t="s">
        <v>34</v>
      </c>
      <c r="E10897" s="21" t="s">
        <v>71</v>
      </c>
      <c r="F10897">
        <v>4450616</v>
      </c>
      <c r="G10897" t="s">
        <v>3254</v>
      </c>
      <c r="H10897" s="21">
        <v>967.17</v>
      </c>
    </row>
    <row r="10898" spans="1:8" customFormat="1" x14ac:dyDescent="0.25">
      <c r="A10898" t="str">
        <f>"2689"</f>
        <v>2689</v>
      </c>
      <c r="B10898" t="s">
        <v>2962</v>
      </c>
      <c r="C10898" t="s">
        <v>156</v>
      </c>
      <c r="D10898" s="21" t="s">
        <v>34</v>
      </c>
      <c r="E10898" s="21" t="s">
        <v>254</v>
      </c>
      <c r="F10898">
        <v>1260006</v>
      </c>
      <c r="G10898" t="s">
        <v>790</v>
      </c>
      <c r="H10898" s="21">
        <v>967.17</v>
      </c>
    </row>
    <row r="10899" spans="1:8" customFormat="1" x14ac:dyDescent="0.25">
      <c r="A10899" t="str">
        <f>"7923371"</f>
        <v>7923371</v>
      </c>
      <c r="B10899" t="s">
        <v>4926</v>
      </c>
      <c r="C10899" t="s">
        <v>611</v>
      </c>
      <c r="D10899" s="21" t="s">
        <v>34</v>
      </c>
      <c r="E10899" s="21" t="s">
        <v>35</v>
      </c>
      <c r="F10899">
        <v>10790043</v>
      </c>
      <c r="G10899" t="s">
        <v>2828</v>
      </c>
      <c r="H10899" s="21">
        <v>966.92</v>
      </c>
    </row>
    <row r="10900" spans="1:8" customFormat="1" x14ac:dyDescent="0.25">
      <c r="A10900" t="str">
        <f>"7870229"</f>
        <v>7870229</v>
      </c>
      <c r="B10900" t="s">
        <v>11078</v>
      </c>
      <c r="C10900" t="s">
        <v>656</v>
      </c>
      <c r="D10900" s="21" t="s">
        <v>34</v>
      </c>
      <c r="E10900" s="21" t="s">
        <v>35</v>
      </c>
      <c r="F10900">
        <v>8780440</v>
      </c>
      <c r="G10900" t="s">
        <v>6629</v>
      </c>
      <c r="H10900" s="21">
        <v>966.92</v>
      </c>
    </row>
    <row r="10901" spans="1:8" customFormat="1" x14ac:dyDescent="0.25">
      <c r="A10901" t="str">
        <f>"4454159"</f>
        <v>4454159</v>
      </c>
      <c r="B10901" t="s">
        <v>5335</v>
      </c>
      <c r="C10901" t="s">
        <v>269</v>
      </c>
      <c r="D10901" s="21" t="s">
        <v>34</v>
      </c>
      <c r="E10901" s="21" t="s">
        <v>35</v>
      </c>
      <c r="F10901">
        <v>12440139</v>
      </c>
      <c r="G10901" t="s">
        <v>2655</v>
      </c>
      <c r="H10901" s="21">
        <v>966.92</v>
      </c>
    </row>
    <row r="10902" spans="1:8" customFormat="1" x14ac:dyDescent="0.25">
      <c r="A10902" t="str">
        <f>"2718169"</f>
        <v>2718169</v>
      </c>
      <c r="B10902" t="s">
        <v>12327</v>
      </c>
      <c r="C10902" t="s">
        <v>12328</v>
      </c>
      <c r="D10902" s="21" t="s">
        <v>34</v>
      </c>
      <c r="E10902" s="21" t="s">
        <v>35</v>
      </c>
      <c r="F10902">
        <v>9270015</v>
      </c>
      <c r="G10902" t="s">
        <v>8095</v>
      </c>
      <c r="H10902" s="21">
        <v>966.92</v>
      </c>
    </row>
    <row r="10903" spans="1:8" customFormat="1" x14ac:dyDescent="0.25">
      <c r="A10903" t="str">
        <f>"7514493"</f>
        <v>7514493</v>
      </c>
      <c r="B10903" t="s">
        <v>10523</v>
      </c>
      <c r="C10903" t="s">
        <v>204</v>
      </c>
      <c r="D10903" s="21" t="s">
        <v>34</v>
      </c>
      <c r="E10903" s="21" t="s">
        <v>35</v>
      </c>
      <c r="F10903">
        <v>8750074</v>
      </c>
      <c r="G10903" t="s">
        <v>698</v>
      </c>
      <c r="H10903" s="21">
        <v>966.67</v>
      </c>
    </row>
    <row r="10904" spans="1:8" customFormat="1" x14ac:dyDescent="0.25">
      <c r="A10904" t="str">
        <f>"14725"</f>
        <v>14725</v>
      </c>
      <c r="B10904" t="s">
        <v>1908</v>
      </c>
      <c r="C10904" t="s">
        <v>415</v>
      </c>
      <c r="D10904" s="21" t="s">
        <v>34</v>
      </c>
      <c r="E10904" s="21" t="s">
        <v>254</v>
      </c>
      <c r="F10904">
        <v>9140071</v>
      </c>
      <c r="G10904" t="s">
        <v>1775</v>
      </c>
      <c r="H10904" s="21">
        <v>966.67</v>
      </c>
    </row>
    <row r="10905" spans="1:8" customFormat="1" x14ac:dyDescent="0.25">
      <c r="A10905" t="str">
        <f>"1715126"</f>
        <v>1715126</v>
      </c>
      <c r="B10905" t="s">
        <v>10194</v>
      </c>
      <c r="C10905" t="s">
        <v>453</v>
      </c>
      <c r="D10905" s="21" t="s">
        <v>34</v>
      </c>
      <c r="E10905" s="21" t="s">
        <v>254</v>
      </c>
      <c r="F10905">
        <v>10170009</v>
      </c>
      <c r="G10905" t="s">
        <v>3810</v>
      </c>
      <c r="H10905" s="21">
        <v>966.67</v>
      </c>
    </row>
    <row r="10906" spans="1:8" customFormat="1" x14ac:dyDescent="0.25">
      <c r="A10906" t="str">
        <f>"4449247"</f>
        <v>4449247</v>
      </c>
      <c r="B10906" t="s">
        <v>10939</v>
      </c>
      <c r="C10906" t="s">
        <v>486</v>
      </c>
      <c r="D10906" s="21" t="s">
        <v>34</v>
      </c>
      <c r="E10906" s="21" t="s">
        <v>35</v>
      </c>
      <c r="F10906">
        <v>12440032</v>
      </c>
      <c r="G10906" t="s">
        <v>9296</v>
      </c>
      <c r="H10906" s="21">
        <v>966.67</v>
      </c>
    </row>
    <row r="10907" spans="1:8" customFormat="1" x14ac:dyDescent="0.25">
      <c r="A10907" t="str">
        <f>"3111270"</f>
        <v>3111270</v>
      </c>
      <c r="B10907" t="s">
        <v>6503</v>
      </c>
      <c r="C10907" t="s">
        <v>1812</v>
      </c>
      <c r="D10907" s="21" t="s">
        <v>34</v>
      </c>
      <c r="E10907" s="21" t="s">
        <v>35</v>
      </c>
      <c r="F10907">
        <v>1420151</v>
      </c>
      <c r="G10907" t="s">
        <v>6802</v>
      </c>
      <c r="H10907" s="21">
        <v>966.67</v>
      </c>
    </row>
    <row r="10908" spans="1:8" customFormat="1" x14ac:dyDescent="0.25">
      <c r="A10908" t="str">
        <f>"4514375"</f>
        <v>4514375</v>
      </c>
      <c r="B10908" t="s">
        <v>27174</v>
      </c>
      <c r="C10908" t="s">
        <v>269</v>
      </c>
      <c r="D10908" s="21" t="s">
        <v>34</v>
      </c>
      <c r="E10908" s="21" t="s">
        <v>71</v>
      </c>
      <c r="F10908">
        <v>4450659</v>
      </c>
      <c r="G10908" t="s">
        <v>27175</v>
      </c>
      <c r="H10908" s="21">
        <v>966.67</v>
      </c>
    </row>
    <row r="10909" spans="1:8" customFormat="1" x14ac:dyDescent="0.25">
      <c r="A10909" t="str">
        <f>"5711643"</f>
        <v>5711643</v>
      </c>
      <c r="B10909" t="s">
        <v>10554</v>
      </c>
      <c r="C10909" t="s">
        <v>9626</v>
      </c>
      <c r="D10909" s="21" t="s">
        <v>34</v>
      </c>
      <c r="E10909" s="21" t="s">
        <v>254</v>
      </c>
      <c r="F10909">
        <v>6570014</v>
      </c>
      <c r="G10909" t="s">
        <v>72</v>
      </c>
      <c r="H10909" s="21">
        <v>966.67</v>
      </c>
    </row>
    <row r="10910" spans="1:8" customFormat="1" x14ac:dyDescent="0.25">
      <c r="A10910" t="str">
        <f>"6940452"</f>
        <v>6940452</v>
      </c>
      <c r="B10910" t="s">
        <v>2434</v>
      </c>
      <c r="C10910" t="s">
        <v>119</v>
      </c>
      <c r="D10910" s="21" t="s">
        <v>34</v>
      </c>
      <c r="E10910" s="21" t="s">
        <v>71</v>
      </c>
      <c r="F10910">
        <v>1690199</v>
      </c>
      <c r="G10910" t="s">
        <v>12608</v>
      </c>
      <c r="H10910" s="21">
        <v>966.67</v>
      </c>
    </row>
    <row r="10911" spans="1:8" customFormat="1" x14ac:dyDescent="0.25">
      <c r="A10911" t="str">
        <f>"6313057"</f>
        <v>6313057</v>
      </c>
      <c r="B10911" t="s">
        <v>9483</v>
      </c>
      <c r="C10911" t="s">
        <v>151</v>
      </c>
      <c r="D10911" s="21" t="s">
        <v>34</v>
      </c>
      <c r="E10911" s="21" t="s">
        <v>71</v>
      </c>
      <c r="F10911">
        <v>1630184</v>
      </c>
      <c r="G10911" t="s">
        <v>26702</v>
      </c>
      <c r="H10911" s="21">
        <v>966.67</v>
      </c>
    </row>
    <row r="10912" spans="1:8" customFormat="1" x14ac:dyDescent="0.25">
      <c r="A10912" t="str">
        <f>"312070"</f>
        <v>312070</v>
      </c>
      <c r="B10912" t="s">
        <v>5359</v>
      </c>
      <c r="C10912" t="s">
        <v>187</v>
      </c>
      <c r="D10912" s="21" t="s">
        <v>34</v>
      </c>
      <c r="E10912" s="21" t="s">
        <v>35</v>
      </c>
      <c r="F10912">
        <v>11310076</v>
      </c>
      <c r="G10912" t="s">
        <v>5782</v>
      </c>
      <c r="H10912" s="21">
        <v>966.67</v>
      </c>
    </row>
    <row r="10913" spans="1:8" customFormat="1" x14ac:dyDescent="0.25">
      <c r="A10913" t="str">
        <f>"779265"</f>
        <v>779265</v>
      </c>
      <c r="B10913" t="s">
        <v>8499</v>
      </c>
      <c r="C10913" t="s">
        <v>253</v>
      </c>
      <c r="D10913" s="21" t="s">
        <v>34</v>
      </c>
      <c r="E10913" s="21" t="s">
        <v>1089</v>
      </c>
      <c r="F10913">
        <v>4360124</v>
      </c>
      <c r="G10913" t="s">
        <v>5229</v>
      </c>
      <c r="H10913" s="21">
        <v>966.67</v>
      </c>
    </row>
    <row r="10914" spans="1:8" customFormat="1" x14ac:dyDescent="0.25">
      <c r="A10914" t="str">
        <f>"8013512"</f>
        <v>8013512</v>
      </c>
      <c r="B10914" t="s">
        <v>10017</v>
      </c>
      <c r="C10914" t="s">
        <v>130</v>
      </c>
      <c r="D10914" s="21" t="s">
        <v>34</v>
      </c>
      <c r="E10914" s="21" t="s">
        <v>71</v>
      </c>
      <c r="F10914">
        <v>9760294</v>
      </c>
      <c r="G10914" t="s">
        <v>8313</v>
      </c>
      <c r="H10914" s="21">
        <v>966.67</v>
      </c>
    </row>
    <row r="10915" spans="1:8" customFormat="1" x14ac:dyDescent="0.25">
      <c r="A10915" t="str">
        <f>"501263"</f>
        <v>501263</v>
      </c>
      <c r="B10915" t="s">
        <v>4143</v>
      </c>
      <c r="C10915" t="s">
        <v>412</v>
      </c>
      <c r="D10915" s="21" t="s">
        <v>34</v>
      </c>
      <c r="E10915" s="21" t="s">
        <v>254</v>
      </c>
      <c r="F10915">
        <v>9500015</v>
      </c>
      <c r="G10915" t="s">
        <v>3389</v>
      </c>
      <c r="H10915" s="21">
        <v>966.67</v>
      </c>
    </row>
    <row r="10916" spans="1:8" customFormat="1" x14ac:dyDescent="0.25">
      <c r="A10916" t="str">
        <f>"624054"</f>
        <v>624054</v>
      </c>
      <c r="B10916" t="s">
        <v>9971</v>
      </c>
      <c r="C10916" t="s">
        <v>55</v>
      </c>
      <c r="D10916" s="21" t="s">
        <v>34</v>
      </c>
      <c r="E10916" s="21" t="s">
        <v>71</v>
      </c>
      <c r="F10916">
        <v>7620092</v>
      </c>
      <c r="G10916" t="s">
        <v>9874</v>
      </c>
      <c r="H10916" s="21">
        <v>966.67</v>
      </c>
    </row>
    <row r="10917" spans="1:8" customFormat="1" x14ac:dyDescent="0.25">
      <c r="A10917" t="str">
        <f>"537205"</f>
        <v>537205</v>
      </c>
      <c r="B10917" t="s">
        <v>11949</v>
      </c>
      <c r="C10917" t="s">
        <v>269</v>
      </c>
      <c r="D10917" s="21" t="s">
        <v>34</v>
      </c>
      <c r="E10917" s="21" t="s">
        <v>35</v>
      </c>
      <c r="F10917">
        <v>12530003</v>
      </c>
      <c r="G10917" t="s">
        <v>8260</v>
      </c>
      <c r="H10917" s="21">
        <v>966.67</v>
      </c>
    </row>
    <row r="10918" spans="1:8" customFormat="1" x14ac:dyDescent="0.25">
      <c r="A10918" t="str">
        <f>"7516866"</f>
        <v>7516866</v>
      </c>
      <c r="B10918" t="s">
        <v>9530</v>
      </c>
      <c r="C10918" t="s">
        <v>269</v>
      </c>
      <c r="D10918" s="21" t="s">
        <v>34</v>
      </c>
      <c r="E10918" s="21" t="s">
        <v>254</v>
      </c>
      <c r="F10918">
        <v>8751423</v>
      </c>
      <c r="G10918" t="s">
        <v>4556</v>
      </c>
      <c r="H10918" s="21">
        <v>966.67</v>
      </c>
    </row>
    <row r="10919" spans="1:8" customFormat="1" x14ac:dyDescent="0.25">
      <c r="A10919" t="str">
        <f>"5921530"</f>
        <v>5921530</v>
      </c>
      <c r="B10919" t="s">
        <v>27176</v>
      </c>
      <c r="C10919" t="s">
        <v>320</v>
      </c>
      <c r="D10919" s="21" t="s">
        <v>34</v>
      </c>
      <c r="E10919" s="21" t="s">
        <v>35</v>
      </c>
      <c r="F10919">
        <v>7590162</v>
      </c>
      <c r="G10919" t="s">
        <v>7211</v>
      </c>
      <c r="H10919" s="21">
        <v>966.67</v>
      </c>
    </row>
    <row r="10920" spans="1:8" customFormat="1" x14ac:dyDescent="0.25">
      <c r="A10920" t="str">
        <f>"4917866"</f>
        <v>4917866</v>
      </c>
      <c r="B10920" t="s">
        <v>2920</v>
      </c>
      <c r="C10920" t="s">
        <v>98</v>
      </c>
      <c r="D10920" s="21" t="s">
        <v>34</v>
      </c>
      <c r="E10920" s="21" t="s">
        <v>35</v>
      </c>
      <c r="F10920">
        <v>12490002</v>
      </c>
      <c r="G10920" t="s">
        <v>1875</v>
      </c>
      <c r="H10920" s="21">
        <v>966.67</v>
      </c>
    </row>
    <row r="10921" spans="1:8" customFormat="1" x14ac:dyDescent="0.25">
      <c r="A10921" t="str">
        <f>"9429399"</f>
        <v>9429399</v>
      </c>
      <c r="B10921" t="s">
        <v>650</v>
      </c>
      <c r="C10921" t="s">
        <v>305</v>
      </c>
      <c r="D10921" s="21" t="s">
        <v>34</v>
      </c>
      <c r="E10921" s="21" t="s">
        <v>35</v>
      </c>
      <c r="F10921">
        <v>8940524</v>
      </c>
      <c r="G10921" t="s">
        <v>6176</v>
      </c>
      <c r="H10921" s="21">
        <v>966.67</v>
      </c>
    </row>
    <row r="10922" spans="1:8" customFormat="1" x14ac:dyDescent="0.25">
      <c r="A10922" t="str">
        <f>"3533228"</f>
        <v>3533228</v>
      </c>
      <c r="B10922" t="s">
        <v>7653</v>
      </c>
      <c r="C10922" t="s">
        <v>269</v>
      </c>
      <c r="D10922" s="21" t="s">
        <v>34</v>
      </c>
      <c r="E10922" s="21" t="s">
        <v>71</v>
      </c>
      <c r="F10922">
        <v>3350011</v>
      </c>
      <c r="G10922" t="s">
        <v>2404</v>
      </c>
      <c r="H10922" s="21">
        <v>966.54</v>
      </c>
    </row>
    <row r="10923" spans="1:8" customFormat="1" x14ac:dyDescent="0.25">
      <c r="A10923" t="str">
        <f>"7846940"</f>
        <v>7846940</v>
      </c>
      <c r="B10923" t="s">
        <v>11283</v>
      </c>
      <c r="C10923" t="s">
        <v>204</v>
      </c>
      <c r="D10923" s="21" t="s">
        <v>34</v>
      </c>
      <c r="E10923" s="21" t="s">
        <v>35</v>
      </c>
      <c r="F10923">
        <v>8781290</v>
      </c>
      <c r="G10923" t="s">
        <v>2927</v>
      </c>
      <c r="H10923" s="21">
        <v>966.29</v>
      </c>
    </row>
    <row r="10924" spans="1:8" customFormat="1" x14ac:dyDescent="0.25">
      <c r="A10924" t="str">
        <f>"6111238"</f>
        <v>6111238</v>
      </c>
      <c r="B10924" t="s">
        <v>9370</v>
      </c>
      <c r="C10924" t="s">
        <v>1812</v>
      </c>
      <c r="D10924" s="21" t="s">
        <v>34</v>
      </c>
      <c r="E10924" s="21" t="s">
        <v>71</v>
      </c>
      <c r="F10924">
        <v>9610011</v>
      </c>
      <c r="G10924" t="s">
        <v>6031</v>
      </c>
      <c r="H10924" s="21">
        <v>966.17</v>
      </c>
    </row>
    <row r="10925" spans="1:8" customFormat="1" x14ac:dyDescent="0.25">
      <c r="A10925" t="str">
        <f>"2714934"</f>
        <v>2714934</v>
      </c>
      <c r="B10925" t="s">
        <v>9671</v>
      </c>
      <c r="C10925" t="s">
        <v>209</v>
      </c>
      <c r="D10925" s="21" t="s">
        <v>34</v>
      </c>
      <c r="E10925" s="21" t="s">
        <v>71</v>
      </c>
      <c r="F10925">
        <v>9270181</v>
      </c>
      <c r="G10925" t="s">
        <v>2952</v>
      </c>
      <c r="H10925" s="21">
        <v>966.17</v>
      </c>
    </row>
    <row r="10926" spans="1:8" customFormat="1" x14ac:dyDescent="0.25">
      <c r="A10926" t="str">
        <f>"7815429"</f>
        <v>7815429</v>
      </c>
      <c r="B10926" t="s">
        <v>10952</v>
      </c>
      <c r="C10926" t="s">
        <v>486</v>
      </c>
      <c r="D10926" s="21" t="s">
        <v>34</v>
      </c>
      <c r="E10926" s="21" t="s">
        <v>35</v>
      </c>
      <c r="F10926">
        <v>8780935</v>
      </c>
      <c r="G10926" t="s">
        <v>1944</v>
      </c>
      <c r="H10926" s="21">
        <v>966.17</v>
      </c>
    </row>
    <row r="10927" spans="1:8" customFormat="1" x14ac:dyDescent="0.25">
      <c r="A10927" t="str">
        <f>"545676"</f>
        <v>545676</v>
      </c>
      <c r="B10927" t="s">
        <v>8452</v>
      </c>
      <c r="C10927" t="s">
        <v>114</v>
      </c>
      <c r="D10927" s="21" t="s">
        <v>34</v>
      </c>
      <c r="E10927" s="21" t="s">
        <v>71</v>
      </c>
      <c r="F10927">
        <v>6540008</v>
      </c>
      <c r="G10927" t="s">
        <v>3891</v>
      </c>
      <c r="H10927" s="21">
        <v>966.17</v>
      </c>
    </row>
    <row r="10928" spans="1:8" customFormat="1" x14ac:dyDescent="0.25">
      <c r="A10928" t="str">
        <f>"174481"</f>
        <v>174481</v>
      </c>
      <c r="B10928" t="s">
        <v>27177</v>
      </c>
      <c r="C10928" t="s">
        <v>43</v>
      </c>
      <c r="D10928" s="21" t="s">
        <v>34</v>
      </c>
      <c r="E10928" s="21" t="s">
        <v>35</v>
      </c>
      <c r="F10928">
        <v>10240014</v>
      </c>
      <c r="G10928" t="s">
        <v>5445</v>
      </c>
      <c r="H10928" s="21">
        <v>966.17</v>
      </c>
    </row>
    <row r="10929" spans="1:8" customFormat="1" x14ac:dyDescent="0.25">
      <c r="A10929" t="str">
        <f>"6217153"</f>
        <v>6217153</v>
      </c>
      <c r="B10929" t="s">
        <v>465</v>
      </c>
      <c r="C10929" t="s">
        <v>209</v>
      </c>
      <c r="D10929" s="21" t="s">
        <v>34</v>
      </c>
      <c r="E10929" s="21" t="s">
        <v>71</v>
      </c>
      <c r="F10929">
        <v>7620162</v>
      </c>
      <c r="G10929" t="s">
        <v>3134</v>
      </c>
      <c r="H10929" s="21">
        <v>966.17</v>
      </c>
    </row>
    <row r="10930" spans="1:8" customFormat="1" x14ac:dyDescent="0.25">
      <c r="A10930" t="str">
        <f>"842631"</f>
        <v>842631</v>
      </c>
      <c r="B10930" t="s">
        <v>213</v>
      </c>
      <c r="C10930" t="s">
        <v>65</v>
      </c>
      <c r="D10930" s="21" t="s">
        <v>34</v>
      </c>
      <c r="E10930" s="21" t="s">
        <v>35</v>
      </c>
      <c r="F10930">
        <v>13840006</v>
      </c>
      <c r="G10930" t="s">
        <v>10139</v>
      </c>
      <c r="H10930" s="21">
        <v>966.17</v>
      </c>
    </row>
    <row r="10931" spans="1:8" customFormat="1" x14ac:dyDescent="0.25">
      <c r="A10931" t="str">
        <f>"064292"</f>
        <v>064292</v>
      </c>
      <c r="B10931" t="s">
        <v>27178</v>
      </c>
      <c r="C10931" t="s">
        <v>33</v>
      </c>
      <c r="D10931" s="21" t="s">
        <v>34</v>
      </c>
      <c r="E10931" s="21" t="s">
        <v>35</v>
      </c>
      <c r="F10931">
        <v>13060052</v>
      </c>
      <c r="G10931" t="s">
        <v>6759</v>
      </c>
      <c r="H10931" s="21">
        <v>966.17</v>
      </c>
    </row>
    <row r="10932" spans="1:8" customFormat="1" x14ac:dyDescent="0.25">
      <c r="A10932" t="str">
        <f>"854774"</f>
        <v>854774</v>
      </c>
      <c r="B10932" t="s">
        <v>509</v>
      </c>
      <c r="C10932" t="s">
        <v>1803</v>
      </c>
      <c r="D10932" s="21" t="s">
        <v>34</v>
      </c>
      <c r="E10932" s="21" t="s">
        <v>35</v>
      </c>
      <c r="F10932">
        <v>12850128</v>
      </c>
      <c r="G10932" t="s">
        <v>3656</v>
      </c>
      <c r="H10932" s="21">
        <v>966.17</v>
      </c>
    </row>
    <row r="10933" spans="1:8" customFormat="1" x14ac:dyDescent="0.25">
      <c r="A10933" t="str">
        <f>"7838"</f>
        <v>7838</v>
      </c>
      <c r="B10933" t="s">
        <v>3848</v>
      </c>
      <c r="C10933" t="s">
        <v>486</v>
      </c>
      <c r="D10933" s="21" t="s">
        <v>34</v>
      </c>
      <c r="E10933" s="21" t="s">
        <v>71</v>
      </c>
      <c r="F10933">
        <v>8780002</v>
      </c>
      <c r="G10933" t="s">
        <v>2196</v>
      </c>
      <c r="H10933" s="21">
        <v>966.17</v>
      </c>
    </row>
    <row r="10934" spans="1:8" customFormat="1" x14ac:dyDescent="0.25">
      <c r="A10934" t="str">
        <f>"5322352"</f>
        <v>5322352</v>
      </c>
      <c r="B10934" t="s">
        <v>2549</v>
      </c>
      <c r="C10934" t="s">
        <v>33</v>
      </c>
      <c r="D10934" s="21" t="s">
        <v>34</v>
      </c>
      <c r="E10934" s="21" t="s">
        <v>71</v>
      </c>
      <c r="F10934">
        <v>12530033</v>
      </c>
      <c r="G10934" t="s">
        <v>10046</v>
      </c>
      <c r="H10934" s="21">
        <v>966.17</v>
      </c>
    </row>
    <row r="10935" spans="1:8" customFormat="1" x14ac:dyDescent="0.25">
      <c r="A10935" t="str">
        <f>"441209"</f>
        <v>441209</v>
      </c>
      <c r="B10935" t="s">
        <v>9834</v>
      </c>
      <c r="C10935" t="s">
        <v>130</v>
      </c>
      <c r="D10935" s="21" t="s">
        <v>34</v>
      </c>
      <c r="E10935" s="21" t="s">
        <v>71</v>
      </c>
      <c r="F10935">
        <v>12440033</v>
      </c>
      <c r="G10935" t="s">
        <v>1638</v>
      </c>
      <c r="H10935" s="21">
        <v>966.17</v>
      </c>
    </row>
    <row r="10936" spans="1:8" customFormat="1" x14ac:dyDescent="0.25">
      <c r="A10936" t="str">
        <f>"6813917"</f>
        <v>6813917</v>
      </c>
      <c r="B10936" t="s">
        <v>10439</v>
      </c>
      <c r="C10936" t="s">
        <v>1299</v>
      </c>
      <c r="D10936" s="21" t="s">
        <v>34</v>
      </c>
      <c r="E10936" s="21" t="s">
        <v>35</v>
      </c>
      <c r="F10936">
        <v>6680071</v>
      </c>
      <c r="G10936" t="s">
        <v>2899</v>
      </c>
      <c r="H10936" s="21">
        <v>966.17</v>
      </c>
    </row>
    <row r="10937" spans="1:8" customFormat="1" x14ac:dyDescent="0.25">
      <c r="A10937" t="str">
        <f>"619468"</f>
        <v>619468</v>
      </c>
      <c r="B10937" t="s">
        <v>8857</v>
      </c>
      <c r="C10937" t="s">
        <v>275</v>
      </c>
      <c r="D10937" s="21" t="s">
        <v>34</v>
      </c>
      <c r="E10937" s="21" t="s">
        <v>35</v>
      </c>
      <c r="F10937">
        <v>9610087</v>
      </c>
      <c r="G10937" t="s">
        <v>2661</v>
      </c>
      <c r="H10937" s="21">
        <v>966.17</v>
      </c>
    </row>
    <row r="10938" spans="1:8" customFormat="1" x14ac:dyDescent="0.25">
      <c r="A10938" t="str">
        <f>"7259"</f>
        <v>7259</v>
      </c>
      <c r="B10938" t="s">
        <v>9979</v>
      </c>
      <c r="C10938" t="s">
        <v>263</v>
      </c>
      <c r="D10938" s="21" t="s">
        <v>34</v>
      </c>
      <c r="E10938" s="21" t="s">
        <v>71</v>
      </c>
      <c r="F10938">
        <v>12720027</v>
      </c>
      <c r="G10938" t="s">
        <v>3562</v>
      </c>
      <c r="H10938" s="21">
        <v>966.17</v>
      </c>
    </row>
    <row r="10939" spans="1:8" customFormat="1" x14ac:dyDescent="0.25">
      <c r="A10939" t="str">
        <f>"213828"</f>
        <v>213828</v>
      </c>
      <c r="B10939" t="s">
        <v>3066</v>
      </c>
      <c r="C10939" t="s">
        <v>204</v>
      </c>
      <c r="D10939" s="21" t="s">
        <v>34</v>
      </c>
      <c r="E10939" s="21" t="s">
        <v>35</v>
      </c>
      <c r="F10939">
        <v>2210059</v>
      </c>
      <c r="G10939" t="s">
        <v>3142</v>
      </c>
      <c r="H10939" s="21">
        <v>966.04</v>
      </c>
    </row>
    <row r="10940" spans="1:8" customFormat="1" x14ac:dyDescent="0.25">
      <c r="A10940" t="str">
        <f>"4412992"</f>
        <v>4412992</v>
      </c>
      <c r="B10940" t="s">
        <v>10928</v>
      </c>
      <c r="C10940" t="s">
        <v>598</v>
      </c>
      <c r="D10940" s="21" t="s">
        <v>34</v>
      </c>
      <c r="E10940" s="21" t="s">
        <v>71</v>
      </c>
      <c r="F10940">
        <v>12440152</v>
      </c>
      <c r="G10940" t="s">
        <v>5481</v>
      </c>
      <c r="H10940" s="21">
        <v>965.67</v>
      </c>
    </row>
    <row r="10941" spans="1:8" customFormat="1" x14ac:dyDescent="0.25">
      <c r="A10941" t="str">
        <f>"9227852"</f>
        <v>9227852</v>
      </c>
      <c r="B10941" t="s">
        <v>9373</v>
      </c>
      <c r="C10941" t="s">
        <v>121</v>
      </c>
      <c r="D10941" s="21" t="s">
        <v>34</v>
      </c>
      <c r="E10941" s="21" t="s">
        <v>35</v>
      </c>
      <c r="F10941">
        <v>8950479</v>
      </c>
      <c r="G10941" t="s">
        <v>728</v>
      </c>
      <c r="H10941" s="21">
        <v>965.67</v>
      </c>
    </row>
    <row r="10942" spans="1:8" customFormat="1" x14ac:dyDescent="0.25">
      <c r="A10942" t="str">
        <f>"44580"</f>
        <v>44580</v>
      </c>
      <c r="B10942" t="s">
        <v>9849</v>
      </c>
      <c r="C10942" t="s">
        <v>209</v>
      </c>
      <c r="D10942" s="21" t="s">
        <v>34</v>
      </c>
      <c r="E10942" s="21" t="s">
        <v>71</v>
      </c>
      <c r="F10942">
        <v>12440013</v>
      </c>
      <c r="G10942" t="s">
        <v>9850</v>
      </c>
      <c r="H10942" s="21">
        <v>965.67</v>
      </c>
    </row>
    <row r="10943" spans="1:8" customFormat="1" x14ac:dyDescent="0.25">
      <c r="A10943" t="str">
        <f>"584505"</f>
        <v>584505</v>
      </c>
      <c r="B10943" t="s">
        <v>5187</v>
      </c>
      <c r="C10943" t="s">
        <v>209</v>
      </c>
      <c r="D10943" s="21" t="s">
        <v>34</v>
      </c>
      <c r="E10943" s="21" t="s">
        <v>71</v>
      </c>
      <c r="F10943">
        <v>2580035</v>
      </c>
      <c r="G10943" t="s">
        <v>5991</v>
      </c>
      <c r="H10943" s="21">
        <v>965.67</v>
      </c>
    </row>
    <row r="10944" spans="1:8" customFormat="1" x14ac:dyDescent="0.25">
      <c r="A10944" t="str">
        <f>"7512569"</f>
        <v>7512569</v>
      </c>
      <c r="B10944" t="s">
        <v>10784</v>
      </c>
      <c r="C10944" t="s">
        <v>412</v>
      </c>
      <c r="D10944" s="21" t="s">
        <v>34</v>
      </c>
      <c r="E10944" s="21" t="s">
        <v>71</v>
      </c>
      <c r="F10944">
        <v>8751249</v>
      </c>
      <c r="G10944" t="s">
        <v>2803</v>
      </c>
      <c r="H10944" s="21">
        <v>965.67</v>
      </c>
    </row>
    <row r="10945" spans="1:8" customFormat="1" x14ac:dyDescent="0.25">
      <c r="A10945" t="str">
        <f>"4432710"</f>
        <v>4432710</v>
      </c>
      <c r="B10945" t="s">
        <v>10956</v>
      </c>
      <c r="C10945" t="s">
        <v>462</v>
      </c>
      <c r="D10945" s="21" t="s">
        <v>34</v>
      </c>
      <c r="E10945" s="21" t="s">
        <v>71</v>
      </c>
      <c r="F10945">
        <v>12440075</v>
      </c>
      <c r="G10945" t="s">
        <v>1437</v>
      </c>
      <c r="H10945" s="21">
        <v>965.67</v>
      </c>
    </row>
    <row r="10946" spans="1:8" customFormat="1" x14ac:dyDescent="0.25">
      <c r="A10946" t="str">
        <f>"5923017"</f>
        <v>5923017</v>
      </c>
      <c r="B10946" t="s">
        <v>8916</v>
      </c>
      <c r="C10946" t="s">
        <v>656</v>
      </c>
      <c r="D10946" s="21" t="s">
        <v>34</v>
      </c>
      <c r="E10946" s="21" t="s">
        <v>35</v>
      </c>
      <c r="F10946">
        <v>7590281</v>
      </c>
      <c r="G10946" t="s">
        <v>7165</v>
      </c>
      <c r="H10946" s="21">
        <v>965.67</v>
      </c>
    </row>
    <row r="10947" spans="1:8" customFormat="1" x14ac:dyDescent="0.25">
      <c r="A10947" t="str">
        <f>"30257"</f>
        <v>30257</v>
      </c>
      <c r="B10947" t="s">
        <v>11044</v>
      </c>
      <c r="C10947" t="s">
        <v>87</v>
      </c>
      <c r="D10947" s="21" t="s">
        <v>34</v>
      </c>
      <c r="E10947" s="21" t="s">
        <v>71</v>
      </c>
      <c r="F10947">
        <v>11300014</v>
      </c>
      <c r="G10947" t="s">
        <v>2345</v>
      </c>
      <c r="H10947" s="21">
        <v>965.67</v>
      </c>
    </row>
    <row r="10948" spans="1:8" customFormat="1" x14ac:dyDescent="0.25">
      <c r="A10948" t="str">
        <f>"611273"</f>
        <v>611273</v>
      </c>
      <c r="B10948" t="s">
        <v>8239</v>
      </c>
      <c r="C10948" t="s">
        <v>209</v>
      </c>
      <c r="D10948" s="21" t="s">
        <v>34</v>
      </c>
      <c r="E10948" s="21" t="s">
        <v>254</v>
      </c>
      <c r="F10948">
        <v>9610009</v>
      </c>
      <c r="G10948" t="s">
        <v>282</v>
      </c>
      <c r="H10948" s="21">
        <v>965.67</v>
      </c>
    </row>
    <row r="10949" spans="1:8" customFormat="1" x14ac:dyDescent="0.25">
      <c r="A10949" t="str">
        <f>"27540"</f>
        <v>27540</v>
      </c>
      <c r="B10949" t="s">
        <v>1609</v>
      </c>
      <c r="C10949" t="s">
        <v>415</v>
      </c>
      <c r="D10949" s="21" t="s">
        <v>34</v>
      </c>
      <c r="E10949" s="21" t="s">
        <v>1089</v>
      </c>
      <c r="F10949">
        <v>9270028</v>
      </c>
      <c r="G10949" t="s">
        <v>6091</v>
      </c>
      <c r="H10949" s="21">
        <v>965.67</v>
      </c>
    </row>
    <row r="10950" spans="1:8" customFormat="1" x14ac:dyDescent="0.25">
      <c r="A10950" t="str">
        <f>"4915463"</f>
        <v>4915463</v>
      </c>
      <c r="B10950" t="s">
        <v>9587</v>
      </c>
      <c r="C10950" t="s">
        <v>249</v>
      </c>
      <c r="D10950" s="21" t="s">
        <v>34</v>
      </c>
      <c r="E10950" s="21" t="s">
        <v>71</v>
      </c>
      <c r="F10950">
        <v>12490038</v>
      </c>
      <c r="G10950" t="s">
        <v>467</v>
      </c>
      <c r="H10950" s="21">
        <v>965.67</v>
      </c>
    </row>
    <row r="10951" spans="1:8" customFormat="1" x14ac:dyDescent="0.25">
      <c r="A10951" t="str">
        <f>"455707"</f>
        <v>455707</v>
      </c>
      <c r="B10951" t="s">
        <v>2557</v>
      </c>
      <c r="C10951" t="s">
        <v>253</v>
      </c>
      <c r="D10951" s="21" t="s">
        <v>34</v>
      </c>
      <c r="E10951" s="21" t="s">
        <v>254</v>
      </c>
      <c r="F10951">
        <v>4450024</v>
      </c>
      <c r="G10951" t="s">
        <v>9786</v>
      </c>
      <c r="H10951" s="21">
        <v>965.67</v>
      </c>
    </row>
    <row r="10952" spans="1:8" customFormat="1" x14ac:dyDescent="0.25">
      <c r="A10952" t="str">
        <f>"102084"</f>
        <v>102084</v>
      </c>
      <c r="B10952" t="s">
        <v>4010</v>
      </c>
      <c r="C10952" t="s">
        <v>262</v>
      </c>
      <c r="D10952" s="21" t="s">
        <v>34</v>
      </c>
      <c r="E10952" s="21" t="s">
        <v>35</v>
      </c>
      <c r="F10952">
        <v>6100040</v>
      </c>
      <c r="G10952" t="s">
        <v>5313</v>
      </c>
      <c r="H10952" s="21">
        <v>965.67</v>
      </c>
    </row>
    <row r="10953" spans="1:8" customFormat="1" x14ac:dyDescent="0.25">
      <c r="A10953" t="str">
        <f>"545726"</f>
        <v>545726</v>
      </c>
      <c r="B10953" t="s">
        <v>10352</v>
      </c>
      <c r="C10953" t="s">
        <v>209</v>
      </c>
      <c r="D10953" s="21" t="s">
        <v>34</v>
      </c>
      <c r="E10953" s="21" t="s">
        <v>71</v>
      </c>
      <c r="F10953">
        <v>6540088</v>
      </c>
      <c r="G10953" t="s">
        <v>2108</v>
      </c>
      <c r="H10953" s="21">
        <v>965.67</v>
      </c>
    </row>
    <row r="10954" spans="1:8" customFormat="1" x14ac:dyDescent="0.25">
      <c r="A10954" t="str">
        <f>"5929988"</f>
        <v>5929988</v>
      </c>
      <c r="B10954" t="s">
        <v>2417</v>
      </c>
      <c r="C10954" t="s">
        <v>9453</v>
      </c>
      <c r="D10954" s="21" t="s">
        <v>34</v>
      </c>
      <c r="E10954" s="21" t="s">
        <v>1089</v>
      </c>
      <c r="F10954">
        <v>7590132</v>
      </c>
      <c r="G10954" t="s">
        <v>3204</v>
      </c>
      <c r="H10954" s="21">
        <v>965.67</v>
      </c>
    </row>
    <row r="10955" spans="1:8" customFormat="1" x14ac:dyDescent="0.25">
      <c r="A10955" t="str">
        <f>"2716820"</f>
        <v>2716820</v>
      </c>
      <c r="B10955" t="s">
        <v>11651</v>
      </c>
      <c r="C10955" t="s">
        <v>139</v>
      </c>
      <c r="D10955" s="21" t="s">
        <v>34</v>
      </c>
      <c r="E10955" s="21" t="s">
        <v>35</v>
      </c>
      <c r="F10955">
        <v>9270151</v>
      </c>
      <c r="G10955" t="s">
        <v>626</v>
      </c>
      <c r="H10955" s="21">
        <v>965.54</v>
      </c>
    </row>
    <row r="10956" spans="1:8" customFormat="1" x14ac:dyDescent="0.25">
      <c r="A10956" t="str">
        <f>"7833866"</f>
        <v>7833866</v>
      </c>
      <c r="B10956" t="s">
        <v>10013</v>
      </c>
      <c r="C10956" t="s">
        <v>156</v>
      </c>
      <c r="D10956" s="21" t="s">
        <v>34</v>
      </c>
      <c r="E10956" s="21" t="s">
        <v>71</v>
      </c>
      <c r="F10956">
        <v>8780447</v>
      </c>
      <c r="G10956" t="s">
        <v>9215</v>
      </c>
      <c r="H10956" s="21">
        <v>965.54</v>
      </c>
    </row>
    <row r="10957" spans="1:8" customFormat="1" x14ac:dyDescent="0.25">
      <c r="A10957" t="str">
        <f>"319014"</f>
        <v>319014</v>
      </c>
      <c r="B10957" t="s">
        <v>9411</v>
      </c>
      <c r="C10957" t="s">
        <v>156</v>
      </c>
      <c r="D10957" s="21" t="s">
        <v>34</v>
      </c>
      <c r="E10957" s="21" t="s">
        <v>1089</v>
      </c>
      <c r="F10957">
        <v>11660020</v>
      </c>
      <c r="G10957" t="s">
        <v>10247</v>
      </c>
      <c r="H10957" s="21">
        <v>965.42</v>
      </c>
    </row>
    <row r="10958" spans="1:8" customFormat="1" x14ac:dyDescent="0.25">
      <c r="A10958" t="str">
        <f>"5941620"</f>
        <v>5941620</v>
      </c>
      <c r="B10958" t="s">
        <v>12013</v>
      </c>
      <c r="C10958" t="s">
        <v>484</v>
      </c>
      <c r="D10958" s="21" t="s">
        <v>34</v>
      </c>
      <c r="E10958" s="21" t="s">
        <v>35</v>
      </c>
      <c r="F10958">
        <v>7590017</v>
      </c>
      <c r="G10958" t="s">
        <v>1316</v>
      </c>
      <c r="H10958" s="21">
        <v>965.42</v>
      </c>
    </row>
    <row r="10959" spans="1:8" customFormat="1" x14ac:dyDescent="0.25">
      <c r="A10959" t="str">
        <f>"5959181"</f>
        <v>5959181</v>
      </c>
      <c r="B10959" t="s">
        <v>503</v>
      </c>
      <c r="C10959" t="s">
        <v>40</v>
      </c>
      <c r="D10959" s="21" t="s">
        <v>34</v>
      </c>
      <c r="E10959" s="21" t="s">
        <v>71</v>
      </c>
      <c r="F10959">
        <v>7590417</v>
      </c>
      <c r="G10959" t="s">
        <v>10387</v>
      </c>
      <c r="H10959" s="21">
        <v>965.17</v>
      </c>
    </row>
    <row r="10960" spans="1:8" customFormat="1" x14ac:dyDescent="0.25">
      <c r="A10960" t="str">
        <f>"425273"</f>
        <v>425273</v>
      </c>
      <c r="B10960" t="s">
        <v>27179</v>
      </c>
      <c r="C10960" t="s">
        <v>1142</v>
      </c>
      <c r="D10960" s="21" t="s">
        <v>34</v>
      </c>
      <c r="E10960" s="21" t="s">
        <v>254</v>
      </c>
      <c r="F10960">
        <v>1420138</v>
      </c>
      <c r="G10960" t="s">
        <v>27002</v>
      </c>
      <c r="H10960" s="21">
        <v>965.17</v>
      </c>
    </row>
    <row r="10961" spans="1:8" customFormat="1" x14ac:dyDescent="0.25">
      <c r="A10961" t="str">
        <f>"5419262"</f>
        <v>5419262</v>
      </c>
      <c r="B10961" t="s">
        <v>10426</v>
      </c>
      <c r="C10961" t="s">
        <v>263</v>
      </c>
      <c r="D10961" s="21" t="s">
        <v>34</v>
      </c>
      <c r="E10961" s="21" t="s">
        <v>71</v>
      </c>
      <c r="F10961">
        <v>6540001</v>
      </c>
      <c r="G10961" t="s">
        <v>5886</v>
      </c>
      <c r="H10961" s="21">
        <v>965.17</v>
      </c>
    </row>
    <row r="10962" spans="1:8" customFormat="1" x14ac:dyDescent="0.25">
      <c r="A10962" t="str">
        <f>"253741"</f>
        <v>253741</v>
      </c>
      <c r="B10962" t="s">
        <v>10903</v>
      </c>
      <c r="C10962" t="s">
        <v>239</v>
      </c>
      <c r="D10962" s="21" t="s">
        <v>34</v>
      </c>
      <c r="E10962" s="21" t="s">
        <v>35</v>
      </c>
      <c r="F10962">
        <v>2250059</v>
      </c>
      <c r="G10962" t="s">
        <v>10904</v>
      </c>
      <c r="H10962" s="21">
        <v>965.17</v>
      </c>
    </row>
    <row r="10963" spans="1:8" customFormat="1" x14ac:dyDescent="0.25">
      <c r="A10963" t="str">
        <f>"5970226"</f>
        <v>5970226</v>
      </c>
      <c r="B10963" t="s">
        <v>27180</v>
      </c>
      <c r="C10963" t="s">
        <v>62</v>
      </c>
      <c r="D10963" s="21" t="s">
        <v>34</v>
      </c>
      <c r="E10963" s="21" t="s">
        <v>35</v>
      </c>
      <c r="F10963">
        <v>7590175</v>
      </c>
      <c r="G10963" t="s">
        <v>3063</v>
      </c>
      <c r="H10963" s="21">
        <v>965.17</v>
      </c>
    </row>
    <row r="10964" spans="1:8" customFormat="1" x14ac:dyDescent="0.25">
      <c r="A10964" t="str">
        <f>"034781"</f>
        <v>034781</v>
      </c>
      <c r="B10964" t="s">
        <v>3183</v>
      </c>
      <c r="C10964" t="s">
        <v>462</v>
      </c>
      <c r="D10964" s="21" t="s">
        <v>34</v>
      </c>
      <c r="E10964" s="21" t="s">
        <v>71</v>
      </c>
      <c r="F10964">
        <v>1030108</v>
      </c>
      <c r="G10964" t="s">
        <v>26724</v>
      </c>
      <c r="H10964" s="21">
        <v>965.17</v>
      </c>
    </row>
    <row r="10965" spans="1:8" customFormat="1" x14ac:dyDescent="0.25">
      <c r="A10965" t="str">
        <f>"624463"</f>
        <v>624463</v>
      </c>
      <c r="B10965" t="s">
        <v>10983</v>
      </c>
      <c r="C10965" t="s">
        <v>601</v>
      </c>
      <c r="D10965" s="21" t="s">
        <v>34</v>
      </c>
      <c r="E10965" s="21" t="s">
        <v>71</v>
      </c>
      <c r="F10965">
        <v>7620100</v>
      </c>
      <c r="G10965" t="s">
        <v>145</v>
      </c>
      <c r="H10965" s="21">
        <v>965.17</v>
      </c>
    </row>
    <row r="10966" spans="1:8" customFormat="1" x14ac:dyDescent="0.25">
      <c r="A10966" t="str">
        <f>"258050"</f>
        <v>258050</v>
      </c>
      <c r="B10966" t="s">
        <v>10774</v>
      </c>
      <c r="C10966" t="s">
        <v>415</v>
      </c>
      <c r="D10966" s="21" t="s">
        <v>34</v>
      </c>
      <c r="E10966" s="21" t="s">
        <v>254</v>
      </c>
      <c r="F10966">
        <v>2250137</v>
      </c>
      <c r="G10966" t="s">
        <v>182</v>
      </c>
      <c r="H10966" s="21">
        <v>965.17</v>
      </c>
    </row>
    <row r="10967" spans="1:8" customFormat="1" x14ac:dyDescent="0.25">
      <c r="A10967" t="str">
        <f>"6314872"</f>
        <v>6314872</v>
      </c>
      <c r="B10967" t="s">
        <v>10035</v>
      </c>
      <c r="C10967" t="s">
        <v>60</v>
      </c>
      <c r="D10967" s="21" t="s">
        <v>34</v>
      </c>
      <c r="E10967" s="21" t="s">
        <v>35</v>
      </c>
      <c r="F10967">
        <v>1630261</v>
      </c>
      <c r="G10967" t="s">
        <v>1382</v>
      </c>
      <c r="H10967" s="21">
        <v>965.17</v>
      </c>
    </row>
    <row r="10968" spans="1:8" customFormat="1" x14ac:dyDescent="0.25">
      <c r="A10968" t="str">
        <f>"5922694"</f>
        <v>5922694</v>
      </c>
      <c r="B10968" t="s">
        <v>9555</v>
      </c>
      <c r="C10968" t="s">
        <v>43</v>
      </c>
      <c r="D10968" s="21" t="s">
        <v>34</v>
      </c>
      <c r="E10968" s="21" t="s">
        <v>35</v>
      </c>
      <c r="F10968">
        <v>7590351</v>
      </c>
      <c r="G10968" t="s">
        <v>8495</v>
      </c>
      <c r="H10968" s="21">
        <v>965.17</v>
      </c>
    </row>
    <row r="10969" spans="1:8" customFormat="1" x14ac:dyDescent="0.25">
      <c r="A10969" t="str">
        <f>"5431089"</f>
        <v>5431089</v>
      </c>
      <c r="B10969" t="s">
        <v>4261</v>
      </c>
      <c r="C10969" t="s">
        <v>209</v>
      </c>
      <c r="D10969" s="21" t="s">
        <v>34</v>
      </c>
      <c r="E10969" s="21" t="s">
        <v>71</v>
      </c>
      <c r="F10969">
        <v>6540187</v>
      </c>
      <c r="G10969" t="s">
        <v>4563</v>
      </c>
      <c r="H10969" s="21">
        <v>965.17</v>
      </c>
    </row>
    <row r="10970" spans="1:8" customFormat="1" x14ac:dyDescent="0.25">
      <c r="A10970" t="str">
        <f>"5920902"</f>
        <v>5920902</v>
      </c>
      <c r="B10970" t="s">
        <v>10219</v>
      </c>
      <c r="C10970" t="s">
        <v>10220</v>
      </c>
      <c r="D10970" s="21" t="s">
        <v>34</v>
      </c>
      <c r="E10970" s="21" t="s">
        <v>35</v>
      </c>
      <c r="F10970">
        <v>7590016</v>
      </c>
      <c r="G10970" t="s">
        <v>5653</v>
      </c>
      <c r="H10970" s="21">
        <v>965.17</v>
      </c>
    </row>
    <row r="10971" spans="1:8" customFormat="1" x14ac:dyDescent="0.25">
      <c r="A10971" t="str">
        <f>"575163"</f>
        <v>575163</v>
      </c>
      <c r="B10971" t="s">
        <v>11501</v>
      </c>
      <c r="C10971" t="s">
        <v>249</v>
      </c>
      <c r="D10971" s="21" t="s">
        <v>34</v>
      </c>
      <c r="E10971" s="21" t="s">
        <v>71</v>
      </c>
      <c r="F10971">
        <v>6570070</v>
      </c>
      <c r="G10971" t="s">
        <v>1765</v>
      </c>
      <c r="H10971" s="21">
        <v>965.17</v>
      </c>
    </row>
    <row r="10972" spans="1:8" customFormat="1" x14ac:dyDescent="0.25">
      <c r="A10972" t="str">
        <f>"7629134"</f>
        <v>7629134</v>
      </c>
      <c r="B10972" t="s">
        <v>9909</v>
      </c>
      <c r="C10972" t="s">
        <v>130</v>
      </c>
      <c r="D10972" s="21" t="s">
        <v>34</v>
      </c>
      <c r="E10972" s="21" t="s">
        <v>254</v>
      </c>
      <c r="F10972">
        <v>9760129</v>
      </c>
      <c r="G10972" t="s">
        <v>6147</v>
      </c>
      <c r="H10972" s="21">
        <v>965.17</v>
      </c>
    </row>
    <row r="10973" spans="1:8" customFormat="1" x14ac:dyDescent="0.25">
      <c r="A10973" t="str">
        <f>"372045"</f>
        <v>372045</v>
      </c>
      <c r="B10973" t="s">
        <v>6696</v>
      </c>
      <c r="C10973" t="s">
        <v>40</v>
      </c>
      <c r="D10973" s="21" t="s">
        <v>34</v>
      </c>
      <c r="E10973" s="21" t="s">
        <v>254</v>
      </c>
      <c r="F10973">
        <v>4370682</v>
      </c>
      <c r="G10973" t="s">
        <v>10454</v>
      </c>
      <c r="H10973" s="21">
        <v>965.17</v>
      </c>
    </row>
    <row r="10974" spans="1:8" customFormat="1" x14ac:dyDescent="0.25">
      <c r="A10974" t="str">
        <f>"518778"</f>
        <v>518778</v>
      </c>
      <c r="B10974" t="s">
        <v>11123</v>
      </c>
      <c r="C10974" t="s">
        <v>169</v>
      </c>
      <c r="D10974" s="21" t="s">
        <v>34</v>
      </c>
      <c r="E10974" s="21" t="s">
        <v>71</v>
      </c>
      <c r="F10974">
        <v>6510008</v>
      </c>
      <c r="G10974" t="s">
        <v>26622</v>
      </c>
      <c r="H10974" s="21">
        <v>965.17</v>
      </c>
    </row>
    <row r="10975" spans="1:8" customFormat="1" x14ac:dyDescent="0.25">
      <c r="A10975" t="str">
        <f>"168639"</f>
        <v>168639</v>
      </c>
      <c r="B10975" t="s">
        <v>10262</v>
      </c>
      <c r="C10975" t="s">
        <v>249</v>
      </c>
      <c r="D10975" s="21" t="s">
        <v>34</v>
      </c>
      <c r="E10975" s="21" t="s">
        <v>71</v>
      </c>
      <c r="F10975">
        <v>10160225</v>
      </c>
      <c r="G10975" t="s">
        <v>2865</v>
      </c>
      <c r="H10975" s="21">
        <v>964.92</v>
      </c>
    </row>
    <row r="10976" spans="1:8" customFormat="1" x14ac:dyDescent="0.25">
      <c r="A10976" t="str">
        <f>"9416676"</f>
        <v>9416676</v>
      </c>
      <c r="B10976" t="s">
        <v>197</v>
      </c>
      <c r="C10976" t="s">
        <v>263</v>
      </c>
      <c r="D10976" s="21" t="s">
        <v>34</v>
      </c>
      <c r="E10976" s="21" t="s">
        <v>71</v>
      </c>
      <c r="F10976">
        <v>8940033</v>
      </c>
      <c r="G10976" t="s">
        <v>1376</v>
      </c>
      <c r="H10976" s="21">
        <v>964.79</v>
      </c>
    </row>
    <row r="10977" spans="1:8" customFormat="1" x14ac:dyDescent="0.25">
      <c r="A10977" t="str">
        <f>"186554"</f>
        <v>186554</v>
      </c>
      <c r="B10977" t="s">
        <v>1490</v>
      </c>
      <c r="C10977" t="s">
        <v>269</v>
      </c>
      <c r="D10977" s="21" t="s">
        <v>34</v>
      </c>
      <c r="E10977" s="21" t="s">
        <v>71</v>
      </c>
      <c r="F10977">
        <v>4360726</v>
      </c>
      <c r="G10977" t="s">
        <v>5506</v>
      </c>
      <c r="H10977" s="21">
        <v>964.67</v>
      </c>
    </row>
    <row r="10978" spans="1:8" customFormat="1" x14ac:dyDescent="0.25">
      <c r="A10978" t="str">
        <f>"5317485"</f>
        <v>5317485</v>
      </c>
      <c r="B10978" t="s">
        <v>6507</v>
      </c>
      <c r="C10978" t="s">
        <v>1803</v>
      </c>
      <c r="D10978" s="21" t="s">
        <v>34</v>
      </c>
      <c r="E10978" s="21" t="s">
        <v>35</v>
      </c>
      <c r="F10978">
        <v>12530023</v>
      </c>
      <c r="G10978" t="s">
        <v>5879</v>
      </c>
      <c r="H10978" s="21">
        <v>964.67</v>
      </c>
    </row>
    <row r="10979" spans="1:8" customFormat="1" x14ac:dyDescent="0.25">
      <c r="A10979" t="str">
        <f>"9532044"</f>
        <v>9532044</v>
      </c>
      <c r="B10979" t="s">
        <v>10376</v>
      </c>
      <c r="C10979" t="s">
        <v>144</v>
      </c>
      <c r="D10979" s="21" t="s">
        <v>34</v>
      </c>
      <c r="E10979" s="21" t="s">
        <v>35</v>
      </c>
      <c r="F10979">
        <v>12440020</v>
      </c>
      <c r="G10979" t="s">
        <v>4606</v>
      </c>
      <c r="H10979" s="21">
        <v>964.67</v>
      </c>
    </row>
    <row r="10980" spans="1:8" customFormat="1" x14ac:dyDescent="0.25">
      <c r="A10980" t="str">
        <f>"761471"</f>
        <v>761471</v>
      </c>
      <c r="B10980" t="s">
        <v>5874</v>
      </c>
      <c r="C10980" t="s">
        <v>8345</v>
      </c>
      <c r="D10980" s="21" t="s">
        <v>34</v>
      </c>
      <c r="E10980" s="21" t="s">
        <v>71</v>
      </c>
      <c r="F10980">
        <v>9760425</v>
      </c>
      <c r="G10980" t="s">
        <v>5012</v>
      </c>
      <c r="H10980" s="21">
        <v>964.67</v>
      </c>
    </row>
    <row r="10981" spans="1:8" customFormat="1" x14ac:dyDescent="0.25">
      <c r="A10981" t="str">
        <f>"28259"</f>
        <v>28259</v>
      </c>
      <c r="B10981" t="s">
        <v>3546</v>
      </c>
      <c r="C10981" t="s">
        <v>598</v>
      </c>
      <c r="D10981" s="21" t="s">
        <v>34</v>
      </c>
      <c r="E10981" s="21" t="s">
        <v>254</v>
      </c>
      <c r="F10981">
        <v>4280038</v>
      </c>
      <c r="G10981" t="s">
        <v>2526</v>
      </c>
      <c r="H10981" s="21">
        <v>964.67</v>
      </c>
    </row>
    <row r="10982" spans="1:8" customFormat="1" x14ac:dyDescent="0.25">
      <c r="A10982" t="str">
        <f>"2215522"</f>
        <v>2215522</v>
      </c>
      <c r="B10982" t="s">
        <v>10353</v>
      </c>
      <c r="C10982" t="s">
        <v>62</v>
      </c>
      <c r="D10982" s="21" t="s">
        <v>34</v>
      </c>
      <c r="E10982" s="21" t="s">
        <v>35</v>
      </c>
      <c r="F10982">
        <v>3220008</v>
      </c>
      <c r="G10982" t="s">
        <v>6845</v>
      </c>
      <c r="H10982" s="21">
        <v>964.67</v>
      </c>
    </row>
    <row r="10983" spans="1:8" customFormat="1" x14ac:dyDescent="0.25">
      <c r="A10983" t="str">
        <f>"515942"</f>
        <v>515942</v>
      </c>
      <c r="B10983" t="s">
        <v>11380</v>
      </c>
      <c r="C10983" t="s">
        <v>879</v>
      </c>
      <c r="D10983" s="21" t="s">
        <v>34</v>
      </c>
      <c r="E10983" s="21" t="s">
        <v>71</v>
      </c>
      <c r="F10983">
        <v>6510112</v>
      </c>
      <c r="G10983" t="s">
        <v>588</v>
      </c>
      <c r="H10983" s="21">
        <v>964.67</v>
      </c>
    </row>
    <row r="10984" spans="1:8" customFormat="1" x14ac:dyDescent="0.25">
      <c r="A10984" t="str">
        <f>"4447091"</f>
        <v>4447091</v>
      </c>
      <c r="B10984" t="s">
        <v>765</v>
      </c>
      <c r="C10984" t="s">
        <v>415</v>
      </c>
      <c r="D10984" s="21" t="s">
        <v>34</v>
      </c>
      <c r="E10984" s="21" t="s">
        <v>254</v>
      </c>
      <c r="F10984">
        <v>12440073</v>
      </c>
      <c r="G10984" t="s">
        <v>3492</v>
      </c>
      <c r="H10984" s="21">
        <v>964.67</v>
      </c>
    </row>
    <row r="10985" spans="1:8" customFormat="1" x14ac:dyDescent="0.25">
      <c r="A10985" t="str">
        <f>"88278"</f>
        <v>88278</v>
      </c>
      <c r="B10985" t="s">
        <v>9404</v>
      </c>
      <c r="C10985" t="s">
        <v>262</v>
      </c>
      <c r="D10985" s="21" t="s">
        <v>34</v>
      </c>
      <c r="E10985" s="21" t="s">
        <v>35</v>
      </c>
      <c r="F10985">
        <v>6540008</v>
      </c>
      <c r="G10985" t="s">
        <v>3891</v>
      </c>
      <c r="H10985" s="21">
        <v>964.67</v>
      </c>
    </row>
    <row r="10986" spans="1:8" customFormat="1" x14ac:dyDescent="0.25">
      <c r="A10986" t="str">
        <f>"375844"</f>
        <v>375844</v>
      </c>
      <c r="B10986" t="s">
        <v>208</v>
      </c>
      <c r="C10986" t="s">
        <v>336</v>
      </c>
      <c r="D10986" s="21" t="s">
        <v>34</v>
      </c>
      <c r="E10986" s="21" t="s">
        <v>71</v>
      </c>
      <c r="F10986">
        <v>4370596</v>
      </c>
      <c r="G10986" t="s">
        <v>9270</v>
      </c>
      <c r="H10986" s="21">
        <v>964.67</v>
      </c>
    </row>
    <row r="10987" spans="1:8" customFormat="1" x14ac:dyDescent="0.25">
      <c r="A10987" t="str">
        <f>"867912"</f>
        <v>867912</v>
      </c>
      <c r="B10987" t="s">
        <v>10356</v>
      </c>
      <c r="C10987" t="s">
        <v>209</v>
      </c>
      <c r="D10987" s="21" t="s">
        <v>34</v>
      </c>
      <c r="E10987" s="21" t="s">
        <v>71</v>
      </c>
      <c r="F10987">
        <v>10860035</v>
      </c>
      <c r="G10987" t="s">
        <v>4019</v>
      </c>
      <c r="H10987" s="21">
        <v>964.67</v>
      </c>
    </row>
    <row r="10988" spans="1:8" customFormat="1" x14ac:dyDescent="0.25">
      <c r="A10988" t="str">
        <f>"5620250"</f>
        <v>5620250</v>
      </c>
      <c r="B10988" t="s">
        <v>10309</v>
      </c>
      <c r="C10988" t="s">
        <v>169</v>
      </c>
      <c r="D10988" s="21" t="s">
        <v>34</v>
      </c>
      <c r="E10988" s="21" t="s">
        <v>71</v>
      </c>
      <c r="F10988">
        <v>3560053</v>
      </c>
      <c r="G10988" t="s">
        <v>298</v>
      </c>
      <c r="H10988" s="21">
        <v>964.67</v>
      </c>
    </row>
    <row r="10989" spans="1:8" customFormat="1" x14ac:dyDescent="0.25">
      <c r="A10989" t="str">
        <f>"6715559"</f>
        <v>6715559</v>
      </c>
      <c r="B10989" t="s">
        <v>11376</v>
      </c>
      <c r="C10989" t="s">
        <v>656</v>
      </c>
      <c r="D10989" s="21" t="s">
        <v>34</v>
      </c>
      <c r="E10989" s="21" t="s">
        <v>35</v>
      </c>
      <c r="F10989">
        <v>6670149</v>
      </c>
      <c r="G10989" t="s">
        <v>4404</v>
      </c>
      <c r="H10989" s="21">
        <v>964.67</v>
      </c>
    </row>
    <row r="10990" spans="1:8" customFormat="1" x14ac:dyDescent="0.25">
      <c r="A10990" t="str">
        <f>"807168"</f>
        <v>807168</v>
      </c>
      <c r="B10990" t="s">
        <v>27181</v>
      </c>
      <c r="C10990" t="s">
        <v>576</v>
      </c>
      <c r="D10990" s="21" t="s">
        <v>34</v>
      </c>
      <c r="E10990" s="21" t="s">
        <v>71</v>
      </c>
      <c r="F10990">
        <v>7800147</v>
      </c>
      <c r="G10990" t="s">
        <v>10438</v>
      </c>
      <c r="H10990" s="21">
        <v>964.67</v>
      </c>
    </row>
    <row r="10991" spans="1:8" customFormat="1" x14ac:dyDescent="0.25">
      <c r="A10991" t="str">
        <f>"6110354"</f>
        <v>6110354</v>
      </c>
      <c r="B10991" t="s">
        <v>1601</v>
      </c>
      <c r="C10991" t="s">
        <v>246</v>
      </c>
      <c r="D10991" s="21" t="s">
        <v>34</v>
      </c>
      <c r="E10991" s="21" t="s">
        <v>35</v>
      </c>
      <c r="F10991">
        <v>9610004</v>
      </c>
      <c r="G10991" t="s">
        <v>1042</v>
      </c>
      <c r="H10991" s="21">
        <v>964.67</v>
      </c>
    </row>
    <row r="10992" spans="1:8" customFormat="1" x14ac:dyDescent="0.25">
      <c r="A10992" t="str">
        <f>"868979"</f>
        <v>868979</v>
      </c>
      <c r="B10992" t="s">
        <v>1976</v>
      </c>
      <c r="C10992" t="s">
        <v>96</v>
      </c>
      <c r="D10992" s="21" t="s">
        <v>34</v>
      </c>
      <c r="E10992" s="21" t="s">
        <v>35</v>
      </c>
      <c r="F10992">
        <v>10860231</v>
      </c>
      <c r="G10992" t="s">
        <v>7294</v>
      </c>
      <c r="H10992" s="21">
        <v>964.67</v>
      </c>
    </row>
    <row r="10993" spans="1:8" customFormat="1" x14ac:dyDescent="0.25">
      <c r="A10993" t="str">
        <f>"167231"</f>
        <v>167231</v>
      </c>
      <c r="B10993" t="s">
        <v>2481</v>
      </c>
      <c r="C10993" t="s">
        <v>2529</v>
      </c>
      <c r="D10993" s="21" t="s">
        <v>34</v>
      </c>
      <c r="E10993" s="21" t="s">
        <v>71</v>
      </c>
      <c r="F10993">
        <v>10160069</v>
      </c>
      <c r="G10993" t="s">
        <v>5379</v>
      </c>
      <c r="H10993" s="21">
        <v>964.67</v>
      </c>
    </row>
    <row r="10994" spans="1:8" customFormat="1" x14ac:dyDescent="0.25">
      <c r="A10994" t="str">
        <f>"45583"</f>
        <v>45583</v>
      </c>
      <c r="B10994" t="s">
        <v>27182</v>
      </c>
      <c r="C10994" t="s">
        <v>415</v>
      </c>
      <c r="D10994" s="21" t="s">
        <v>34</v>
      </c>
      <c r="E10994" s="21" t="s">
        <v>254</v>
      </c>
      <c r="F10994">
        <v>4180485</v>
      </c>
      <c r="G10994" t="s">
        <v>345</v>
      </c>
      <c r="H10994" s="21">
        <v>964.67</v>
      </c>
    </row>
    <row r="10995" spans="1:8" customFormat="1" x14ac:dyDescent="0.25">
      <c r="A10995" t="str">
        <f>"384565"</f>
        <v>384565</v>
      </c>
      <c r="B10995" t="s">
        <v>10599</v>
      </c>
      <c r="C10995" t="s">
        <v>109</v>
      </c>
      <c r="D10995" s="21" t="s">
        <v>34</v>
      </c>
      <c r="E10995" s="21" t="s">
        <v>71</v>
      </c>
      <c r="F10995">
        <v>1380293</v>
      </c>
      <c r="G10995" t="s">
        <v>2103</v>
      </c>
      <c r="H10995" s="21">
        <v>964.67</v>
      </c>
    </row>
    <row r="10996" spans="1:8" customFormat="1" x14ac:dyDescent="0.25">
      <c r="A10996" t="str">
        <f>"36193"</f>
        <v>36193</v>
      </c>
      <c r="B10996" t="s">
        <v>928</v>
      </c>
      <c r="C10996" t="s">
        <v>169</v>
      </c>
      <c r="D10996" s="21" t="s">
        <v>34</v>
      </c>
      <c r="E10996" s="21" t="s">
        <v>71</v>
      </c>
      <c r="F10996">
        <v>4360009</v>
      </c>
      <c r="G10996" t="s">
        <v>6259</v>
      </c>
      <c r="H10996" s="21">
        <v>964.67</v>
      </c>
    </row>
    <row r="10997" spans="1:8" customFormat="1" x14ac:dyDescent="0.25">
      <c r="A10997" t="str">
        <f>"7619519"</f>
        <v>7619519</v>
      </c>
      <c r="B10997" t="s">
        <v>9864</v>
      </c>
      <c r="C10997" t="s">
        <v>2520</v>
      </c>
      <c r="D10997" s="21" t="s">
        <v>34</v>
      </c>
      <c r="E10997" s="21" t="s">
        <v>1089</v>
      </c>
      <c r="F10997">
        <v>9760004</v>
      </c>
      <c r="G10997" t="s">
        <v>56</v>
      </c>
      <c r="H10997" s="21">
        <v>964.67</v>
      </c>
    </row>
    <row r="10998" spans="1:8" customFormat="1" x14ac:dyDescent="0.25">
      <c r="A10998" t="str">
        <f>"881500"</f>
        <v>881500</v>
      </c>
      <c r="B10998" t="s">
        <v>10203</v>
      </c>
      <c r="C10998" t="s">
        <v>412</v>
      </c>
      <c r="D10998" s="21" t="s">
        <v>34</v>
      </c>
      <c r="E10998" s="21" t="s">
        <v>71</v>
      </c>
      <c r="F10998">
        <v>6880140</v>
      </c>
      <c r="G10998" t="s">
        <v>4827</v>
      </c>
      <c r="H10998" s="21">
        <v>964.54</v>
      </c>
    </row>
    <row r="10999" spans="1:8" customFormat="1" x14ac:dyDescent="0.25">
      <c r="A10999" t="str">
        <f>"9512126"</f>
        <v>9512126</v>
      </c>
      <c r="B10999" t="s">
        <v>12320</v>
      </c>
      <c r="C10999" t="s">
        <v>209</v>
      </c>
      <c r="D10999" s="21" t="s">
        <v>34</v>
      </c>
      <c r="E10999" s="21" t="s">
        <v>35</v>
      </c>
      <c r="F10999">
        <v>9500011</v>
      </c>
      <c r="G10999" t="s">
        <v>4903</v>
      </c>
      <c r="H10999" s="21">
        <v>964.54</v>
      </c>
    </row>
    <row r="11000" spans="1:8" customFormat="1" x14ac:dyDescent="0.25">
      <c r="A11000" t="str">
        <f>"217911"</f>
        <v>217911</v>
      </c>
      <c r="B11000" t="s">
        <v>11230</v>
      </c>
      <c r="C11000" t="s">
        <v>1025</v>
      </c>
      <c r="D11000" s="21" t="s">
        <v>34</v>
      </c>
      <c r="E11000" s="21" t="s">
        <v>35</v>
      </c>
      <c r="F11000">
        <v>2210123</v>
      </c>
      <c r="G11000" t="s">
        <v>11231</v>
      </c>
      <c r="H11000" s="21">
        <v>964.42</v>
      </c>
    </row>
    <row r="11001" spans="1:8" customFormat="1" x14ac:dyDescent="0.25">
      <c r="A11001" t="str">
        <f>"7817204"</f>
        <v>7817204</v>
      </c>
      <c r="B11001" t="s">
        <v>11605</v>
      </c>
      <c r="C11001" t="s">
        <v>144</v>
      </c>
      <c r="D11001" s="21" t="s">
        <v>34</v>
      </c>
      <c r="E11001" s="21" t="s">
        <v>71</v>
      </c>
      <c r="F11001">
        <v>8780016</v>
      </c>
      <c r="G11001" t="s">
        <v>3153</v>
      </c>
      <c r="H11001" s="21">
        <v>964.42</v>
      </c>
    </row>
    <row r="11002" spans="1:8" customFormat="1" x14ac:dyDescent="0.25">
      <c r="A11002" t="str">
        <f>"2922476"</f>
        <v>2922476</v>
      </c>
      <c r="B11002" t="s">
        <v>12021</v>
      </c>
      <c r="C11002" t="s">
        <v>2907</v>
      </c>
      <c r="D11002" s="21" t="s">
        <v>34</v>
      </c>
      <c r="E11002" s="21" t="s">
        <v>35</v>
      </c>
      <c r="F11002">
        <v>3290019</v>
      </c>
      <c r="G11002" t="s">
        <v>4452</v>
      </c>
      <c r="H11002" s="21">
        <v>964.42</v>
      </c>
    </row>
    <row r="11003" spans="1:8" customFormat="1" x14ac:dyDescent="0.25">
      <c r="A11003" t="str">
        <f>"124243"</f>
        <v>124243</v>
      </c>
      <c r="B11003" t="s">
        <v>11241</v>
      </c>
      <c r="C11003" t="s">
        <v>5701</v>
      </c>
      <c r="D11003" s="21" t="s">
        <v>34</v>
      </c>
      <c r="E11003" s="21" t="s">
        <v>71</v>
      </c>
      <c r="F11003">
        <v>11120043</v>
      </c>
      <c r="G11003" t="s">
        <v>9111</v>
      </c>
      <c r="H11003" s="21">
        <v>964.29</v>
      </c>
    </row>
    <row r="11004" spans="1:8" customFormat="1" x14ac:dyDescent="0.25">
      <c r="A11004" t="str">
        <f>"495818"</f>
        <v>495818</v>
      </c>
      <c r="B11004" t="s">
        <v>9180</v>
      </c>
      <c r="C11004" t="s">
        <v>82</v>
      </c>
      <c r="D11004" s="21" t="s">
        <v>34</v>
      </c>
      <c r="E11004" s="21" t="s">
        <v>35</v>
      </c>
      <c r="F11004">
        <v>12490024</v>
      </c>
      <c r="G11004" t="s">
        <v>9869</v>
      </c>
      <c r="H11004" s="21">
        <v>964.17</v>
      </c>
    </row>
    <row r="11005" spans="1:8" customFormat="1" x14ac:dyDescent="0.25">
      <c r="A11005" t="str">
        <f>"163455"</f>
        <v>163455</v>
      </c>
      <c r="B11005" t="s">
        <v>4352</v>
      </c>
      <c r="C11005" t="s">
        <v>43</v>
      </c>
      <c r="D11005" s="21" t="s">
        <v>34</v>
      </c>
      <c r="E11005" s="21" t="s">
        <v>35</v>
      </c>
      <c r="F11005">
        <v>10160044</v>
      </c>
      <c r="G11005" t="s">
        <v>4941</v>
      </c>
      <c r="H11005" s="21">
        <v>964.17</v>
      </c>
    </row>
    <row r="11006" spans="1:8" customFormat="1" x14ac:dyDescent="0.25">
      <c r="A11006" t="str">
        <f>"9527796"</f>
        <v>9527796</v>
      </c>
      <c r="B11006" t="s">
        <v>8817</v>
      </c>
      <c r="C11006" t="s">
        <v>285</v>
      </c>
      <c r="D11006" s="21" t="s">
        <v>34</v>
      </c>
      <c r="E11006" s="21" t="s">
        <v>35</v>
      </c>
      <c r="F11006">
        <v>10400015</v>
      </c>
      <c r="G11006" t="s">
        <v>1095</v>
      </c>
      <c r="H11006" s="21">
        <v>964.17</v>
      </c>
    </row>
    <row r="11007" spans="1:8" customFormat="1" x14ac:dyDescent="0.25">
      <c r="A11007" t="str">
        <f>"4447655"</f>
        <v>4447655</v>
      </c>
      <c r="B11007" t="s">
        <v>11945</v>
      </c>
      <c r="C11007" t="s">
        <v>119</v>
      </c>
      <c r="D11007" s="21" t="s">
        <v>34</v>
      </c>
      <c r="E11007" s="21" t="s">
        <v>35</v>
      </c>
      <c r="F11007">
        <v>12440033</v>
      </c>
      <c r="G11007" t="s">
        <v>1638</v>
      </c>
      <c r="H11007" s="21">
        <v>964.17</v>
      </c>
    </row>
    <row r="11008" spans="1:8" customFormat="1" x14ac:dyDescent="0.25">
      <c r="A11008" t="str">
        <f>"091341"</f>
        <v>091341</v>
      </c>
      <c r="B11008" t="s">
        <v>6455</v>
      </c>
      <c r="C11008" t="s">
        <v>119</v>
      </c>
      <c r="D11008" s="21" t="s">
        <v>34</v>
      </c>
      <c r="E11008" s="21" t="s">
        <v>35</v>
      </c>
      <c r="F11008">
        <v>11090002</v>
      </c>
      <c r="G11008" t="s">
        <v>901</v>
      </c>
      <c r="H11008" s="21">
        <v>964.17</v>
      </c>
    </row>
    <row r="11009" spans="1:8" customFormat="1" x14ac:dyDescent="0.25">
      <c r="A11009" t="str">
        <f>"5939053"</f>
        <v>5939053</v>
      </c>
      <c r="B11009" t="s">
        <v>1885</v>
      </c>
      <c r="C11009" t="s">
        <v>428</v>
      </c>
      <c r="D11009" s="21" t="s">
        <v>34</v>
      </c>
      <c r="E11009" s="21" t="s">
        <v>35</v>
      </c>
      <c r="F11009">
        <v>7590428</v>
      </c>
      <c r="G11009" t="s">
        <v>27183</v>
      </c>
      <c r="H11009" s="21">
        <v>964.17</v>
      </c>
    </row>
    <row r="11010" spans="1:8" customFormat="1" x14ac:dyDescent="0.25">
      <c r="A11010" t="str">
        <f>"496718"</f>
        <v>496718</v>
      </c>
      <c r="B11010" t="s">
        <v>10820</v>
      </c>
      <c r="C11010" t="s">
        <v>4267</v>
      </c>
      <c r="D11010" s="21" t="s">
        <v>34</v>
      </c>
      <c r="E11010" s="21" t="s">
        <v>254</v>
      </c>
      <c r="F11010">
        <v>12490106</v>
      </c>
      <c r="G11010" t="s">
        <v>4555</v>
      </c>
      <c r="H11010" s="21">
        <v>964.17</v>
      </c>
    </row>
    <row r="11011" spans="1:8" customFormat="1" x14ac:dyDescent="0.25">
      <c r="A11011" t="str">
        <f>"591795"</f>
        <v>591795</v>
      </c>
      <c r="B11011" t="s">
        <v>7918</v>
      </c>
      <c r="C11011" t="s">
        <v>462</v>
      </c>
      <c r="D11011" s="21" t="s">
        <v>34</v>
      </c>
      <c r="E11011" s="21" t="s">
        <v>71</v>
      </c>
      <c r="F11011">
        <v>7620103</v>
      </c>
      <c r="G11011" t="s">
        <v>1107</v>
      </c>
      <c r="H11011" s="21">
        <v>964.17</v>
      </c>
    </row>
    <row r="11012" spans="1:8" customFormat="1" x14ac:dyDescent="0.25">
      <c r="A11012" t="str">
        <f>"263529"</f>
        <v>263529</v>
      </c>
      <c r="B11012" t="s">
        <v>10332</v>
      </c>
      <c r="C11012" t="s">
        <v>249</v>
      </c>
      <c r="D11012" s="21" t="s">
        <v>34</v>
      </c>
      <c r="E11012" s="21" t="s">
        <v>71</v>
      </c>
      <c r="F11012">
        <v>1260054</v>
      </c>
      <c r="G11012" t="s">
        <v>358</v>
      </c>
      <c r="H11012" s="21">
        <v>964.17</v>
      </c>
    </row>
    <row r="11013" spans="1:8" customFormat="1" x14ac:dyDescent="0.25">
      <c r="A11013" t="str">
        <f>"4923097"</f>
        <v>4923097</v>
      </c>
      <c r="B11013" t="s">
        <v>3209</v>
      </c>
      <c r="C11013" t="s">
        <v>621</v>
      </c>
      <c r="D11013" s="21" t="s">
        <v>34</v>
      </c>
      <c r="E11013" s="21" t="s">
        <v>35</v>
      </c>
      <c r="F11013">
        <v>12490027</v>
      </c>
      <c r="G11013" t="s">
        <v>766</v>
      </c>
      <c r="H11013" s="21">
        <v>964.17</v>
      </c>
    </row>
    <row r="11014" spans="1:8" customFormat="1" x14ac:dyDescent="0.25">
      <c r="A11014" t="str">
        <f>"679334"</f>
        <v>679334</v>
      </c>
      <c r="B11014" t="s">
        <v>2835</v>
      </c>
      <c r="C11014" t="s">
        <v>269</v>
      </c>
      <c r="D11014" s="21" t="s">
        <v>34</v>
      </c>
      <c r="E11014" s="21" t="s">
        <v>71</v>
      </c>
      <c r="F11014">
        <v>11460029</v>
      </c>
      <c r="G11014" t="s">
        <v>10606</v>
      </c>
      <c r="H11014" s="21">
        <v>964.17</v>
      </c>
    </row>
    <row r="11015" spans="1:8" customFormat="1" x14ac:dyDescent="0.25">
      <c r="A11015" t="str">
        <f>"6021787"</f>
        <v>6021787</v>
      </c>
      <c r="B11015" t="s">
        <v>14836</v>
      </c>
      <c r="C11015" t="s">
        <v>486</v>
      </c>
      <c r="D11015" s="21" t="s">
        <v>34</v>
      </c>
      <c r="E11015" s="21" t="s">
        <v>35</v>
      </c>
      <c r="F11015">
        <v>7600037</v>
      </c>
      <c r="G11015" t="s">
        <v>7185</v>
      </c>
      <c r="H11015" s="21">
        <v>964.04</v>
      </c>
    </row>
    <row r="11016" spans="1:8" customFormat="1" x14ac:dyDescent="0.25">
      <c r="A11016" t="str">
        <f>"7923796"</f>
        <v>7923796</v>
      </c>
      <c r="B11016" t="s">
        <v>480</v>
      </c>
      <c r="C11016" t="s">
        <v>43</v>
      </c>
      <c r="D11016" s="21" t="s">
        <v>34</v>
      </c>
      <c r="E11016" s="21" t="s">
        <v>35</v>
      </c>
      <c r="F11016">
        <v>10790234</v>
      </c>
      <c r="G11016" t="s">
        <v>13166</v>
      </c>
      <c r="H11016" s="21">
        <v>963.92</v>
      </c>
    </row>
    <row r="11017" spans="1:8" customFormat="1" x14ac:dyDescent="0.25">
      <c r="A11017" t="str">
        <f>"1319830"</f>
        <v>1319830</v>
      </c>
      <c r="B11017" t="s">
        <v>9415</v>
      </c>
      <c r="C11017" t="s">
        <v>147</v>
      </c>
      <c r="D11017" s="21" t="s">
        <v>34</v>
      </c>
      <c r="E11017" s="21" t="s">
        <v>35</v>
      </c>
      <c r="F11017">
        <v>13130004</v>
      </c>
      <c r="G11017" t="s">
        <v>942</v>
      </c>
      <c r="H11017" s="21">
        <v>963.92</v>
      </c>
    </row>
    <row r="11018" spans="1:8" customFormat="1" x14ac:dyDescent="0.25">
      <c r="A11018" t="str">
        <f>"7523151"</f>
        <v>7523151</v>
      </c>
      <c r="B11018" t="s">
        <v>15699</v>
      </c>
      <c r="C11018" t="s">
        <v>62</v>
      </c>
      <c r="D11018" s="21" t="s">
        <v>34</v>
      </c>
      <c r="E11018" s="21" t="s">
        <v>35</v>
      </c>
      <c r="F11018">
        <v>8750249</v>
      </c>
      <c r="G11018" t="s">
        <v>15700</v>
      </c>
      <c r="H11018" s="21">
        <v>963.79</v>
      </c>
    </row>
    <row r="11019" spans="1:8" customFormat="1" x14ac:dyDescent="0.25">
      <c r="A11019" t="str">
        <f>"06342"</f>
        <v>06342</v>
      </c>
      <c r="B11019" t="s">
        <v>11567</v>
      </c>
      <c r="C11019" t="s">
        <v>11568</v>
      </c>
      <c r="D11019" s="21" t="s">
        <v>34</v>
      </c>
      <c r="E11019" s="21" t="s">
        <v>1089</v>
      </c>
      <c r="F11019">
        <v>13060029</v>
      </c>
      <c r="G11019" t="s">
        <v>1345</v>
      </c>
      <c r="H11019" s="21">
        <v>963.79</v>
      </c>
    </row>
    <row r="11020" spans="1:8" customFormat="1" x14ac:dyDescent="0.25">
      <c r="A11020" t="str">
        <f>"6110794"</f>
        <v>6110794</v>
      </c>
      <c r="B11020" t="s">
        <v>2625</v>
      </c>
      <c r="C11020" t="s">
        <v>263</v>
      </c>
      <c r="D11020" s="21" t="s">
        <v>34</v>
      </c>
      <c r="E11020" s="21" t="s">
        <v>71</v>
      </c>
      <c r="F11020">
        <v>9610093</v>
      </c>
      <c r="G11020" t="s">
        <v>8231</v>
      </c>
      <c r="H11020" s="21">
        <v>963.79</v>
      </c>
    </row>
    <row r="11021" spans="1:8" customFormat="1" x14ac:dyDescent="0.25">
      <c r="A11021" t="str">
        <f>"10136"</f>
        <v>10136</v>
      </c>
      <c r="B11021" t="s">
        <v>8882</v>
      </c>
      <c r="C11021" t="s">
        <v>239</v>
      </c>
      <c r="D11021" s="21" t="s">
        <v>34</v>
      </c>
      <c r="E11021" s="21" t="s">
        <v>1089</v>
      </c>
      <c r="F11021">
        <v>6100005</v>
      </c>
      <c r="G11021" t="s">
        <v>855</v>
      </c>
      <c r="H11021" s="21">
        <v>963.67</v>
      </c>
    </row>
    <row r="11022" spans="1:8" customFormat="1" x14ac:dyDescent="0.25">
      <c r="A11022" t="str">
        <f>"5424284"</f>
        <v>5424284</v>
      </c>
      <c r="B11022" t="s">
        <v>9251</v>
      </c>
      <c r="C11022" t="s">
        <v>879</v>
      </c>
      <c r="D11022" s="21" t="s">
        <v>34</v>
      </c>
      <c r="E11022" s="21" t="s">
        <v>71</v>
      </c>
      <c r="F11022">
        <v>6540028</v>
      </c>
      <c r="G11022" t="s">
        <v>3201</v>
      </c>
      <c r="H11022" s="21">
        <v>963.67</v>
      </c>
    </row>
    <row r="11023" spans="1:8" customFormat="1" x14ac:dyDescent="0.25">
      <c r="A11023" t="str">
        <f>"47151"</f>
        <v>47151</v>
      </c>
      <c r="B11023" t="s">
        <v>10378</v>
      </c>
      <c r="C11023" t="s">
        <v>209</v>
      </c>
      <c r="D11023" s="21" t="s">
        <v>34</v>
      </c>
      <c r="E11023" s="21" t="s">
        <v>71</v>
      </c>
      <c r="F11023">
        <v>10470007</v>
      </c>
      <c r="G11023" t="s">
        <v>3049</v>
      </c>
      <c r="H11023" s="21">
        <v>963.67</v>
      </c>
    </row>
    <row r="11024" spans="1:8" customFormat="1" x14ac:dyDescent="0.25">
      <c r="A11024" t="str">
        <f>"592344"</f>
        <v>592344</v>
      </c>
      <c r="B11024" t="s">
        <v>9968</v>
      </c>
      <c r="C11024" t="s">
        <v>462</v>
      </c>
      <c r="D11024" s="21" t="s">
        <v>34</v>
      </c>
      <c r="E11024" s="21" t="s">
        <v>254</v>
      </c>
      <c r="F11024">
        <v>7590127</v>
      </c>
      <c r="G11024" t="s">
        <v>214</v>
      </c>
      <c r="H11024" s="21">
        <v>963.67</v>
      </c>
    </row>
    <row r="11025" spans="1:8" customFormat="1" x14ac:dyDescent="0.25">
      <c r="A11025" t="str">
        <f>"67261"</f>
        <v>67261</v>
      </c>
      <c r="B11025" t="s">
        <v>760</v>
      </c>
      <c r="C11025" t="s">
        <v>1025</v>
      </c>
      <c r="D11025" s="21" t="s">
        <v>34</v>
      </c>
      <c r="E11025" s="21" t="s">
        <v>254</v>
      </c>
      <c r="F11025">
        <v>6670011</v>
      </c>
      <c r="G11025" t="s">
        <v>5493</v>
      </c>
      <c r="H11025" s="21">
        <v>963.67</v>
      </c>
    </row>
    <row r="11026" spans="1:8" customFormat="1" x14ac:dyDescent="0.25">
      <c r="A11026" t="str">
        <f>"5938515"</f>
        <v>5938515</v>
      </c>
      <c r="B11026" t="s">
        <v>12714</v>
      </c>
      <c r="C11026" t="s">
        <v>55</v>
      </c>
      <c r="D11026" s="21" t="s">
        <v>34</v>
      </c>
      <c r="E11026" s="21" t="s">
        <v>71</v>
      </c>
      <c r="F11026">
        <v>7590051</v>
      </c>
      <c r="G11026" t="s">
        <v>3831</v>
      </c>
      <c r="H11026" s="21">
        <v>963.67</v>
      </c>
    </row>
    <row r="11027" spans="1:8" customFormat="1" x14ac:dyDescent="0.25">
      <c r="A11027" t="str">
        <f>"6716025"</f>
        <v>6716025</v>
      </c>
      <c r="B11027" t="s">
        <v>12096</v>
      </c>
      <c r="C11027" t="s">
        <v>399</v>
      </c>
      <c r="D11027" s="21" t="s">
        <v>34</v>
      </c>
      <c r="E11027" s="21" t="s">
        <v>35</v>
      </c>
      <c r="F11027">
        <v>6670141</v>
      </c>
      <c r="G11027" t="s">
        <v>5030</v>
      </c>
      <c r="H11027" s="21">
        <v>963.67</v>
      </c>
    </row>
    <row r="11028" spans="1:8" customFormat="1" x14ac:dyDescent="0.25">
      <c r="A11028" t="str">
        <f>"9128703"</f>
        <v>9128703</v>
      </c>
      <c r="B11028" t="s">
        <v>10132</v>
      </c>
      <c r="C11028" t="s">
        <v>879</v>
      </c>
      <c r="D11028" s="21" t="s">
        <v>34</v>
      </c>
      <c r="E11028" s="21" t="s">
        <v>1089</v>
      </c>
      <c r="F11028">
        <v>8911439</v>
      </c>
      <c r="G11028" t="s">
        <v>3953</v>
      </c>
      <c r="H11028" s="21">
        <v>963.67</v>
      </c>
    </row>
    <row r="11029" spans="1:8" customFormat="1" x14ac:dyDescent="0.25">
      <c r="A11029" t="str">
        <f>"59249"</f>
        <v>59249</v>
      </c>
      <c r="B11029" t="s">
        <v>11153</v>
      </c>
      <c r="C11029" t="s">
        <v>65</v>
      </c>
      <c r="D11029" s="21" t="s">
        <v>34</v>
      </c>
      <c r="E11029" s="21" t="s">
        <v>35</v>
      </c>
      <c r="F11029">
        <v>7590065</v>
      </c>
      <c r="G11029" t="s">
        <v>1598</v>
      </c>
      <c r="H11029" s="21">
        <v>963.67</v>
      </c>
    </row>
    <row r="11030" spans="1:8" customFormat="1" x14ac:dyDescent="0.25">
      <c r="A11030" t="str">
        <f>"9520664"</f>
        <v>9520664</v>
      </c>
      <c r="B11030" t="s">
        <v>10592</v>
      </c>
      <c r="C11030" t="s">
        <v>1605</v>
      </c>
      <c r="D11030" s="21" t="s">
        <v>34</v>
      </c>
      <c r="E11030" s="21" t="s">
        <v>71</v>
      </c>
      <c r="F11030">
        <v>8951451</v>
      </c>
      <c r="G11030" t="s">
        <v>3909</v>
      </c>
      <c r="H11030" s="21">
        <v>963.67</v>
      </c>
    </row>
    <row r="11031" spans="1:8" customFormat="1" x14ac:dyDescent="0.25">
      <c r="A11031" t="str">
        <f>"5945947"</f>
        <v>5945947</v>
      </c>
      <c r="B11031" t="s">
        <v>890</v>
      </c>
      <c r="C11031" t="s">
        <v>412</v>
      </c>
      <c r="D11031" s="21" t="s">
        <v>34</v>
      </c>
      <c r="E11031" s="21" t="s">
        <v>254</v>
      </c>
      <c r="F11031">
        <v>7590331</v>
      </c>
      <c r="G11031" t="s">
        <v>4882</v>
      </c>
      <c r="H11031" s="21">
        <v>963.67</v>
      </c>
    </row>
    <row r="11032" spans="1:8" customFormat="1" x14ac:dyDescent="0.25">
      <c r="A11032" t="str">
        <f>"7217850"</f>
        <v>7217850</v>
      </c>
      <c r="B11032" t="s">
        <v>1593</v>
      </c>
      <c r="C11032" t="s">
        <v>87</v>
      </c>
      <c r="D11032" s="21" t="s">
        <v>34</v>
      </c>
      <c r="E11032" s="21" t="s">
        <v>35</v>
      </c>
      <c r="F11032">
        <v>12720042</v>
      </c>
      <c r="G11032" t="s">
        <v>922</v>
      </c>
      <c r="H11032" s="21">
        <v>963.67</v>
      </c>
    </row>
    <row r="11033" spans="1:8" customFormat="1" x14ac:dyDescent="0.25">
      <c r="A11033" t="str">
        <f>"72296"</f>
        <v>72296</v>
      </c>
      <c r="B11033" t="s">
        <v>1611</v>
      </c>
      <c r="C11033" t="s">
        <v>3784</v>
      </c>
      <c r="D11033" s="21" t="s">
        <v>34</v>
      </c>
      <c r="E11033" s="21" t="s">
        <v>254</v>
      </c>
      <c r="F11033">
        <v>12720048</v>
      </c>
      <c r="G11033" t="s">
        <v>3264</v>
      </c>
      <c r="H11033" s="21">
        <v>963.67</v>
      </c>
    </row>
    <row r="11034" spans="1:8" customFormat="1" x14ac:dyDescent="0.25">
      <c r="A11034" t="str">
        <f>"8818127"</f>
        <v>8818127</v>
      </c>
      <c r="B11034" t="s">
        <v>10719</v>
      </c>
      <c r="C11034" t="s">
        <v>328</v>
      </c>
      <c r="D11034" s="21" t="s">
        <v>34</v>
      </c>
      <c r="E11034" s="21" t="s">
        <v>35</v>
      </c>
      <c r="F11034">
        <v>6880064</v>
      </c>
      <c r="G11034" t="s">
        <v>7090</v>
      </c>
      <c r="H11034" s="21">
        <v>963.67</v>
      </c>
    </row>
    <row r="11035" spans="1:8" customFormat="1" x14ac:dyDescent="0.25">
      <c r="A11035" t="str">
        <f>"6922970"</f>
        <v>6922970</v>
      </c>
      <c r="B11035" t="s">
        <v>10084</v>
      </c>
      <c r="C11035" t="s">
        <v>33</v>
      </c>
      <c r="D11035" s="21" t="s">
        <v>34</v>
      </c>
      <c r="E11035" s="21" t="s">
        <v>35</v>
      </c>
      <c r="F11035">
        <v>1690102</v>
      </c>
      <c r="G11035" t="s">
        <v>2081</v>
      </c>
      <c r="H11035" s="21">
        <v>963.67</v>
      </c>
    </row>
    <row r="11036" spans="1:8" customFormat="1" x14ac:dyDescent="0.25">
      <c r="A11036" t="str">
        <f>"5943008"</f>
        <v>5943008</v>
      </c>
      <c r="B11036" t="s">
        <v>3133</v>
      </c>
      <c r="C11036" t="s">
        <v>236</v>
      </c>
      <c r="D11036" s="21" t="s">
        <v>34</v>
      </c>
      <c r="E11036" s="21" t="s">
        <v>254</v>
      </c>
      <c r="F11036">
        <v>7590027</v>
      </c>
      <c r="G11036" t="s">
        <v>629</v>
      </c>
      <c r="H11036" s="21">
        <v>963.67</v>
      </c>
    </row>
    <row r="11037" spans="1:8" customFormat="1" x14ac:dyDescent="0.25">
      <c r="A11037" t="str">
        <f>"679402"</f>
        <v>679402</v>
      </c>
      <c r="B11037" t="s">
        <v>850</v>
      </c>
      <c r="C11037" t="s">
        <v>2907</v>
      </c>
      <c r="D11037" s="21" t="s">
        <v>34</v>
      </c>
      <c r="E11037" s="21" t="s">
        <v>71</v>
      </c>
      <c r="F11037">
        <v>6670221</v>
      </c>
      <c r="G11037" t="s">
        <v>3742</v>
      </c>
      <c r="H11037" s="21">
        <v>963.67</v>
      </c>
    </row>
    <row r="11038" spans="1:8" customFormat="1" x14ac:dyDescent="0.25">
      <c r="A11038" t="str">
        <f>"3322366"</f>
        <v>3322366</v>
      </c>
      <c r="B11038" t="s">
        <v>11805</v>
      </c>
      <c r="C11038" t="s">
        <v>1665</v>
      </c>
      <c r="D11038" s="21" t="s">
        <v>34</v>
      </c>
      <c r="E11038" s="21" t="s">
        <v>71</v>
      </c>
      <c r="F11038">
        <v>10330084</v>
      </c>
      <c r="G11038" t="s">
        <v>1124</v>
      </c>
      <c r="H11038" s="21">
        <v>963.54</v>
      </c>
    </row>
    <row r="11039" spans="1:8" customFormat="1" x14ac:dyDescent="0.25">
      <c r="A11039" t="str">
        <f>"172428"</f>
        <v>172428</v>
      </c>
      <c r="B11039" t="s">
        <v>1885</v>
      </c>
      <c r="C11039" t="s">
        <v>9098</v>
      </c>
      <c r="D11039" s="21" t="s">
        <v>34</v>
      </c>
      <c r="E11039" s="21" t="s">
        <v>35</v>
      </c>
      <c r="F11039">
        <v>10170214</v>
      </c>
      <c r="G11039" t="s">
        <v>5533</v>
      </c>
      <c r="H11039" s="21">
        <v>963.42</v>
      </c>
    </row>
    <row r="11040" spans="1:8" customFormat="1" x14ac:dyDescent="0.25">
      <c r="A11040" t="str">
        <f>"3316082"</f>
        <v>3316082</v>
      </c>
      <c r="B11040" t="s">
        <v>11530</v>
      </c>
      <c r="C11040" t="s">
        <v>712</v>
      </c>
      <c r="D11040" s="21" t="s">
        <v>34</v>
      </c>
      <c r="E11040" s="21" t="s">
        <v>71</v>
      </c>
      <c r="F11040">
        <v>10330098</v>
      </c>
      <c r="G11040" t="s">
        <v>8299</v>
      </c>
      <c r="H11040" s="21">
        <v>963.42</v>
      </c>
    </row>
    <row r="11041" spans="1:8" customFormat="1" x14ac:dyDescent="0.25">
      <c r="A11041" t="str">
        <f>"5937156"</f>
        <v>5937156</v>
      </c>
      <c r="B11041" t="s">
        <v>11669</v>
      </c>
      <c r="C11041" t="s">
        <v>459</v>
      </c>
      <c r="D11041" s="21" t="s">
        <v>34</v>
      </c>
      <c r="E11041" s="21" t="s">
        <v>35</v>
      </c>
      <c r="F11041">
        <v>10330121</v>
      </c>
      <c r="G11041" t="s">
        <v>5145</v>
      </c>
      <c r="H11041" s="21">
        <v>963.29</v>
      </c>
    </row>
    <row r="11042" spans="1:8" customFormat="1" x14ac:dyDescent="0.25">
      <c r="A11042" t="str">
        <f>"499157"</f>
        <v>499157</v>
      </c>
      <c r="B11042" t="s">
        <v>11968</v>
      </c>
      <c r="C11042" t="s">
        <v>269</v>
      </c>
      <c r="D11042" s="21" t="s">
        <v>34</v>
      </c>
      <c r="E11042" s="21" t="s">
        <v>71</v>
      </c>
      <c r="F11042">
        <v>12490002</v>
      </c>
      <c r="G11042" t="s">
        <v>1875</v>
      </c>
      <c r="H11042" s="21">
        <v>963.17</v>
      </c>
    </row>
    <row r="11043" spans="1:8" customFormat="1" x14ac:dyDescent="0.25">
      <c r="A11043" t="str">
        <f>"6915995"</f>
        <v>6915995</v>
      </c>
      <c r="B11043" t="s">
        <v>11844</v>
      </c>
      <c r="C11043" t="s">
        <v>412</v>
      </c>
      <c r="D11043" s="21" t="s">
        <v>34</v>
      </c>
      <c r="E11043" s="21" t="s">
        <v>71</v>
      </c>
      <c r="F11043">
        <v>1690147</v>
      </c>
      <c r="G11043" t="s">
        <v>7245</v>
      </c>
      <c r="H11043" s="21">
        <v>963.17</v>
      </c>
    </row>
    <row r="11044" spans="1:8" customFormat="1" x14ac:dyDescent="0.25">
      <c r="A11044" t="str">
        <f>"5955824"</f>
        <v>5955824</v>
      </c>
      <c r="B11044" t="s">
        <v>8441</v>
      </c>
      <c r="C11044" t="s">
        <v>8442</v>
      </c>
      <c r="D11044" s="21" t="s">
        <v>34</v>
      </c>
      <c r="E11044" s="21" t="s">
        <v>35</v>
      </c>
      <c r="F11044">
        <v>7590047</v>
      </c>
      <c r="G11044" t="s">
        <v>5788</v>
      </c>
      <c r="H11044" s="21">
        <v>963.17</v>
      </c>
    </row>
    <row r="11045" spans="1:8" customFormat="1" x14ac:dyDescent="0.25">
      <c r="A11045" t="str">
        <f>"2514642"</f>
        <v>2514642</v>
      </c>
      <c r="B11045" t="s">
        <v>11947</v>
      </c>
      <c r="C11045" t="s">
        <v>2520</v>
      </c>
      <c r="D11045" s="21" t="s">
        <v>34</v>
      </c>
      <c r="E11045" s="21" t="s">
        <v>71</v>
      </c>
      <c r="F11045">
        <v>2250137</v>
      </c>
      <c r="G11045" t="s">
        <v>182</v>
      </c>
      <c r="H11045" s="21">
        <v>963.17</v>
      </c>
    </row>
    <row r="11046" spans="1:8" customFormat="1" x14ac:dyDescent="0.25">
      <c r="A11046" t="str">
        <f>"756034"</f>
        <v>756034</v>
      </c>
      <c r="B11046" t="s">
        <v>9947</v>
      </c>
      <c r="C11046" t="s">
        <v>1146</v>
      </c>
      <c r="D11046" s="21" t="s">
        <v>34</v>
      </c>
      <c r="E11046" s="21" t="s">
        <v>254</v>
      </c>
      <c r="F11046">
        <v>8771154</v>
      </c>
      <c r="G11046" t="s">
        <v>3625</v>
      </c>
      <c r="H11046" s="21">
        <v>963.17</v>
      </c>
    </row>
    <row r="11047" spans="1:8" customFormat="1" x14ac:dyDescent="0.25">
      <c r="A11047" t="str">
        <f>"5966354"</f>
        <v>5966354</v>
      </c>
      <c r="B11047" t="s">
        <v>582</v>
      </c>
      <c r="C11047" t="s">
        <v>55</v>
      </c>
      <c r="D11047" s="21" t="s">
        <v>34</v>
      </c>
      <c r="E11047" s="21" t="s">
        <v>35</v>
      </c>
      <c r="F11047">
        <v>7590093</v>
      </c>
      <c r="G11047" t="s">
        <v>7957</v>
      </c>
      <c r="H11047" s="21">
        <v>963.17</v>
      </c>
    </row>
    <row r="11048" spans="1:8" customFormat="1" x14ac:dyDescent="0.25">
      <c r="A11048" t="str">
        <f>"5928892"</f>
        <v>5928892</v>
      </c>
      <c r="B11048" t="s">
        <v>9794</v>
      </c>
      <c r="C11048" t="s">
        <v>90</v>
      </c>
      <c r="D11048" s="21" t="s">
        <v>34</v>
      </c>
      <c r="E11048" s="21" t="s">
        <v>35</v>
      </c>
      <c r="F11048">
        <v>8751163</v>
      </c>
      <c r="G11048" t="s">
        <v>80</v>
      </c>
      <c r="H11048" s="21">
        <v>963.17</v>
      </c>
    </row>
    <row r="11049" spans="1:8" customFormat="1" x14ac:dyDescent="0.25">
      <c r="A11049" t="str">
        <f>"5419214"</f>
        <v>5419214</v>
      </c>
      <c r="B11049" t="s">
        <v>10608</v>
      </c>
      <c r="C11049" t="s">
        <v>462</v>
      </c>
      <c r="D11049" s="21" t="s">
        <v>34</v>
      </c>
      <c r="E11049" s="21" t="s">
        <v>71</v>
      </c>
      <c r="F11049">
        <v>6540082</v>
      </c>
      <c r="G11049" t="s">
        <v>9816</v>
      </c>
      <c r="H11049" s="21">
        <v>963.17</v>
      </c>
    </row>
    <row r="11050" spans="1:8" customFormat="1" x14ac:dyDescent="0.25">
      <c r="A11050" t="str">
        <f>"289774"</f>
        <v>289774</v>
      </c>
      <c r="B11050" t="s">
        <v>11700</v>
      </c>
      <c r="C11050" t="s">
        <v>209</v>
      </c>
      <c r="D11050" s="21" t="s">
        <v>34</v>
      </c>
      <c r="E11050" s="21" t="s">
        <v>35</v>
      </c>
      <c r="F11050">
        <v>4280048</v>
      </c>
      <c r="G11050" t="s">
        <v>3053</v>
      </c>
      <c r="H11050" s="21">
        <v>963.17</v>
      </c>
    </row>
    <row r="11051" spans="1:8" customFormat="1" x14ac:dyDescent="0.25">
      <c r="A11051" t="str">
        <f>"4448186"</f>
        <v>4448186</v>
      </c>
      <c r="B11051" t="s">
        <v>11654</v>
      </c>
      <c r="C11051" t="s">
        <v>269</v>
      </c>
      <c r="D11051" s="21" t="s">
        <v>34</v>
      </c>
      <c r="E11051" s="21" t="s">
        <v>71</v>
      </c>
      <c r="F11051">
        <v>12440073</v>
      </c>
      <c r="G11051" t="s">
        <v>3492</v>
      </c>
      <c r="H11051" s="21">
        <v>963.17</v>
      </c>
    </row>
    <row r="11052" spans="1:8" customFormat="1" x14ac:dyDescent="0.25">
      <c r="A11052" t="str">
        <f>"6015230"</f>
        <v>6015230</v>
      </c>
      <c r="B11052" t="s">
        <v>14887</v>
      </c>
      <c r="C11052" t="s">
        <v>269</v>
      </c>
      <c r="D11052" s="21" t="s">
        <v>34</v>
      </c>
      <c r="E11052" s="21" t="s">
        <v>71</v>
      </c>
      <c r="F11052">
        <v>7600027</v>
      </c>
      <c r="G11052" t="s">
        <v>2137</v>
      </c>
      <c r="H11052" s="21">
        <v>963.17</v>
      </c>
    </row>
    <row r="11053" spans="1:8" customFormat="1" x14ac:dyDescent="0.25">
      <c r="A11053" t="str">
        <f>"4517548"</f>
        <v>4517548</v>
      </c>
      <c r="B11053" t="s">
        <v>27184</v>
      </c>
      <c r="C11053" t="s">
        <v>285</v>
      </c>
      <c r="D11053" s="21" t="s">
        <v>34</v>
      </c>
      <c r="E11053" s="21" t="s">
        <v>35</v>
      </c>
      <c r="F11053">
        <v>4450762</v>
      </c>
      <c r="G11053" t="s">
        <v>8632</v>
      </c>
      <c r="H11053" s="21">
        <v>963.04</v>
      </c>
    </row>
    <row r="11054" spans="1:8" customFormat="1" x14ac:dyDescent="0.25">
      <c r="A11054" t="str">
        <f>"366620"</f>
        <v>366620</v>
      </c>
      <c r="B11054" t="s">
        <v>9860</v>
      </c>
      <c r="C11054" t="s">
        <v>576</v>
      </c>
      <c r="D11054" s="21" t="s">
        <v>34</v>
      </c>
      <c r="E11054" s="21" t="s">
        <v>71</v>
      </c>
      <c r="F11054">
        <v>4360707</v>
      </c>
      <c r="G11054" t="s">
        <v>6621</v>
      </c>
      <c r="H11054" s="21">
        <v>962.92</v>
      </c>
    </row>
    <row r="11055" spans="1:8" customFormat="1" x14ac:dyDescent="0.25">
      <c r="A11055" t="str">
        <f>"3332446"</f>
        <v>3332446</v>
      </c>
      <c r="B11055" t="s">
        <v>12385</v>
      </c>
      <c r="C11055" t="s">
        <v>267</v>
      </c>
      <c r="D11055" s="21" t="s">
        <v>34</v>
      </c>
      <c r="E11055" s="21" t="s">
        <v>71</v>
      </c>
      <c r="F11055">
        <v>10330043</v>
      </c>
      <c r="G11055" t="s">
        <v>1703</v>
      </c>
      <c r="H11055" s="21">
        <v>962.92</v>
      </c>
    </row>
    <row r="11056" spans="1:8" customFormat="1" x14ac:dyDescent="0.25">
      <c r="A11056" t="str">
        <f>"9133249"</f>
        <v>9133249</v>
      </c>
      <c r="B11056" t="s">
        <v>5098</v>
      </c>
      <c r="C11056" t="s">
        <v>249</v>
      </c>
      <c r="D11056" s="21" t="s">
        <v>34</v>
      </c>
      <c r="E11056" s="21" t="s">
        <v>71</v>
      </c>
      <c r="F11056">
        <v>8910077</v>
      </c>
      <c r="G11056" t="s">
        <v>1380</v>
      </c>
      <c r="H11056" s="21">
        <v>962.67</v>
      </c>
    </row>
    <row r="11057" spans="1:8" customFormat="1" x14ac:dyDescent="0.25">
      <c r="A11057" t="str">
        <f>"2616205"</f>
        <v>2616205</v>
      </c>
      <c r="B11057" t="s">
        <v>2613</v>
      </c>
      <c r="C11057" t="s">
        <v>2250</v>
      </c>
      <c r="D11057" s="21" t="s">
        <v>34</v>
      </c>
      <c r="E11057" s="21" t="s">
        <v>71</v>
      </c>
      <c r="F11057">
        <v>1260005</v>
      </c>
      <c r="G11057" t="s">
        <v>10654</v>
      </c>
      <c r="H11057" s="21">
        <v>962.67</v>
      </c>
    </row>
    <row r="11058" spans="1:8" customFormat="1" x14ac:dyDescent="0.25">
      <c r="A11058" t="str">
        <f>"5927099"</f>
        <v>5927099</v>
      </c>
      <c r="B11058" t="s">
        <v>11749</v>
      </c>
      <c r="C11058" t="s">
        <v>1142</v>
      </c>
      <c r="D11058" s="21" t="s">
        <v>34</v>
      </c>
      <c r="E11058" s="21" t="s">
        <v>254</v>
      </c>
      <c r="F11058">
        <v>7590194</v>
      </c>
      <c r="G11058" t="s">
        <v>460</v>
      </c>
      <c r="H11058" s="21">
        <v>962.67</v>
      </c>
    </row>
    <row r="11059" spans="1:8" customFormat="1" x14ac:dyDescent="0.25">
      <c r="A11059" t="str">
        <f>"3525760"</f>
        <v>3525760</v>
      </c>
      <c r="B11059" t="s">
        <v>1986</v>
      </c>
      <c r="C11059" t="s">
        <v>204</v>
      </c>
      <c r="D11059" s="21" t="s">
        <v>34</v>
      </c>
      <c r="E11059" s="21" t="s">
        <v>35</v>
      </c>
      <c r="F11059">
        <v>3350183</v>
      </c>
      <c r="G11059" t="s">
        <v>2572</v>
      </c>
      <c r="H11059" s="21">
        <v>962.67</v>
      </c>
    </row>
    <row r="11060" spans="1:8" customFormat="1" x14ac:dyDescent="0.25">
      <c r="A11060" t="str">
        <f>"3534335"</f>
        <v>3534335</v>
      </c>
      <c r="B11060" t="s">
        <v>11319</v>
      </c>
      <c r="C11060" t="s">
        <v>90</v>
      </c>
      <c r="D11060" s="21" t="s">
        <v>34</v>
      </c>
      <c r="E11060" s="21" t="s">
        <v>35</v>
      </c>
      <c r="F11060">
        <v>3350027</v>
      </c>
      <c r="G11060" t="s">
        <v>2760</v>
      </c>
      <c r="H11060" s="21">
        <v>962.67</v>
      </c>
    </row>
    <row r="11061" spans="1:8" customFormat="1" x14ac:dyDescent="0.25">
      <c r="A11061" t="str">
        <f>"4434233"</f>
        <v>4434233</v>
      </c>
      <c r="B11061" t="s">
        <v>11157</v>
      </c>
      <c r="C11061" t="s">
        <v>60</v>
      </c>
      <c r="D11061" s="21" t="s">
        <v>34</v>
      </c>
      <c r="E11061" s="21" t="s">
        <v>35</v>
      </c>
      <c r="F11061">
        <v>12440239</v>
      </c>
      <c r="G11061" t="s">
        <v>11158</v>
      </c>
      <c r="H11061" s="21">
        <v>962.67</v>
      </c>
    </row>
    <row r="11062" spans="1:8" customFormat="1" x14ac:dyDescent="0.25">
      <c r="A11062" t="str">
        <f>"5926963"</f>
        <v>5926963</v>
      </c>
      <c r="B11062" t="s">
        <v>7468</v>
      </c>
      <c r="C11062" t="s">
        <v>33</v>
      </c>
      <c r="D11062" s="21" t="s">
        <v>34</v>
      </c>
      <c r="E11062" s="21" t="s">
        <v>71</v>
      </c>
      <c r="F11062">
        <v>7590153</v>
      </c>
      <c r="G11062" t="s">
        <v>9484</v>
      </c>
      <c r="H11062" s="21">
        <v>962.67</v>
      </c>
    </row>
    <row r="11063" spans="1:8" customFormat="1" x14ac:dyDescent="0.25">
      <c r="A11063" t="str">
        <f>"7620790"</f>
        <v>7620790</v>
      </c>
      <c r="B11063" t="s">
        <v>11189</v>
      </c>
      <c r="C11063" t="s">
        <v>169</v>
      </c>
      <c r="D11063" s="21" t="s">
        <v>34</v>
      </c>
      <c r="E11063" s="21" t="s">
        <v>71</v>
      </c>
      <c r="F11063">
        <v>9760157</v>
      </c>
      <c r="G11063" t="s">
        <v>3412</v>
      </c>
      <c r="H11063" s="21">
        <v>962.67</v>
      </c>
    </row>
    <row r="11064" spans="1:8" customFormat="1" x14ac:dyDescent="0.25">
      <c r="A11064" t="str">
        <f>"9512261"</f>
        <v>9512261</v>
      </c>
      <c r="B11064" t="s">
        <v>3197</v>
      </c>
      <c r="C11064" t="s">
        <v>62</v>
      </c>
      <c r="D11064" s="21" t="s">
        <v>34</v>
      </c>
      <c r="E11064" s="21" t="s">
        <v>35</v>
      </c>
      <c r="F11064">
        <v>9610136</v>
      </c>
      <c r="G11064" t="s">
        <v>6052</v>
      </c>
      <c r="H11064" s="21">
        <v>962.67</v>
      </c>
    </row>
    <row r="11065" spans="1:8" customFormat="1" x14ac:dyDescent="0.25">
      <c r="A11065" t="str">
        <f>"859275"</f>
        <v>859275</v>
      </c>
      <c r="B11065" t="s">
        <v>2645</v>
      </c>
      <c r="C11065" t="s">
        <v>462</v>
      </c>
      <c r="D11065" s="21" t="s">
        <v>34</v>
      </c>
      <c r="E11065" s="21" t="s">
        <v>71</v>
      </c>
      <c r="F11065">
        <v>12850057</v>
      </c>
      <c r="G11065" t="s">
        <v>1291</v>
      </c>
      <c r="H11065" s="21">
        <v>962.67</v>
      </c>
    </row>
    <row r="11066" spans="1:8" customFormat="1" x14ac:dyDescent="0.25">
      <c r="A11066" t="str">
        <f>"608974"</f>
        <v>608974</v>
      </c>
      <c r="B11066" t="s">
        <v>5150</v>
      </c>
      <c r="C11066" t="s">
        <v>288</v>
      </c>
      <c r="D11066" s="21" t="s">
        <v>34</v>
      </c>
      <c r="E11066" s="21" t="s">
        <v>35</v>
      </c>
      <c r="F11066">
        <v>7600035</v>
      </c>
      <c r="G11066" t="s">
        <v>4737</v>
      </c>
      <c r="H11066" s="21">
        <v>962.67</v>
      </c>
    </row>
    <row r="11067" spans="1:8" customFormat="1" x14ac:dyDescent="0.25">
      <c r="A11067" t="str">
        <f>"7714219"</f>
        <v>7714219</v>
      </c>
      <c r="B11067" t="s">
        <v>837</v>
      </c>
      <c r="C11067" t="s">
        <v>486</v>
      </c>
      <c r="D11067" s="21" t="s">
        <v>34</v>
      </c>
      <c r="E11067" s="21" t="s">
        <v>35</v>
      </c>
      <c r="F11067">
        <v>8771029</v>
      </c>
      <c r="G11067" t="s">
        <v>4447</v>
      </c>
      <c r="H11067" s="21">
        <v>962.67</v>
      </c>
    </row>
    <row r="11068" spans="1:8" customFormat="1" x14ac:dyDescent="0.25">
      <c r="A11068" t="str">
        <f>"865979"</f>
        <v>865979</v>
      </c>
      <c r="B11068" t="s">
        <v>10638</v>
      </c>
      <c r="C11068" t="s">
        <v>121</v>
      </c>
      <c r="D11068" s="21" t="s">
        <v>34</v>
      </c>
      <c r="E11068" s="21" t="s">
        <v>71</v>
      </c>
      <c r="F11068">
        <v>10860024</v>
      </c>
      <c r="G11068" t="s">
        <v>1770</v>
      </c>
      <c r="H11068" s="21">
        <v>962.67</v>
      </c>
    </row>
    <row r="11069" spans="1:8" customFormat="1" x14ac:dyDescent="0.25">
      <c r="A11069" t="str">
        <f>"696581"</f>
        <v>696581</v>
      </c>
      <c r="B11069" t="s">
        <v>10110</v>
      </c>
      <c r="C11069" t="s">
        <v>198</v>
      </c>
      <c r="D11069" s="21" t="s">
        <v>34</v>
      </c>
      <c r="E11069" s="21" t="s">
        <v>71</v>
      </c>
      <c r="F11069">
        <v>1690064</v>
      </c>
      <c r="G11069" t="s">
        <v>9490</v>
      </c>
      <c r="H11069" s="21">
        <v>962.67</v>
      </c>
    </row>
    <row r="11070" spans="1:8" customFormat="1" x14ac:dyDescent="0.25">
      <c r="A11070" t="str">
        <f>"5934399"</f>
        <v>5934399</v>
      </c>
      <c r="B11070" t="s">
        <v>10604</v>
      </c>
      <c r="C11070" t="s">
        <v>253</v>
      </c>
      <c r="D11070" s="21" t="s">
        <v>34</v>
      </c>
      <c r="E11070" s="21" t="s">
        <v>71</v>
      </c>
      <c r="F11070">
        <v>7590071</v>
      </c>
      <c r="G11070" t="s">
        <v>2602</v>
      </c>
      <c r="H11070" s="21">
        <v>962.67</v>
      </c>
    </row>
    <row r="11071" spans="1:8" customFormat="1" x14ac:dyDescent="0.25">
      <c r="A11071" t="str">
        <f>"101156"</f>
        <v>101156</v>
      </c>
      <c r="B11071" t="s">
        <v>9696</v>
      </c>
      <c r="C11071" t="s">
        <v>109</v>
      </c>
      <c r="D11071" s="21" t="s">
        <v>34</v>
      </c>
      <c r="E11071" s="21" t="s">
        <v>71</v>
      </c>
      <c r="F11071">
        <v>6100033</v>
      </c>
      <c r="G11071" t="s">
        <v>9697</v>
      </c>
      <c r="H11071" s="21">
        <v>962.67</v>
      </c>
    </row>
    <row r="11072" spans="1:8" customFormat="1" x14ac:dyDescent="0.25">
      <c r="A11072" t="str">
        <f>"7637445"</f>
        <v>7637445</v>
      </c>
      <c r="B11072" t="s">
        <v>4330</v>
      </c>
      <c r="C11072" t="s">
        <v>33</v>
      </c>
      <c r="D11072" s="21" t="s">
        <v>34</v>
      </c>
      <c r="E11072" s="21" t="s">
        <v>35</v>
      </c>
      <c r="F11072">
        <v>9760319</v>
      </c>
      <c r="G11072" t="s">
        <v>3051</v>
      </c>
      <c r="H11072" s="21">
        <v>962.67</v>
      </c>
    </row>
    <row r="11073" spans="1:8" customFormat="1" x14ac:dyDescent="0.25">
      <c r="A11073" t="str">
        <f>"521504"</f>
        <v>521504</v>
      </c>
      <c r="B11073" t="s">
        <v>27185</v>
      </c>
      <c r="C11073" t="s">
        <v>415</v>
      </c>
      <c r="D11073" s="21" t="s">
        <v>34</v>
      </c>
      <c r="E11073" s="21" t="s">
        <v>254</v>
      </c>
      <c r="F11073">
        <v>6520003</v>
      </c>
      <c r="G11073" t="s">
        <v>571</v>
      </c>
      <c r="H11073" s="21">
        <v>962.67</v>
      </c>
    </row>
    <row r="11074" spans="1:8" customFormat="1" x14ac:dyDescent="0.25">
      <c r="A11074" t="str">
        <f>"9531123"</f>
        <v>9531123</v>
      </c>
      <c r="B11074" t="s">
        <v>12256</v>
      </c>
      <c r="C11074" t="s">
        <v>60</v>
      </c>
      <c r="D11074" s="21" t="s">
        <v>34</v>
      </c>
      <c r="E11074" s="21" t="s">
        <v>35</v>
      </c>
      <c r="F11074">
        <v>8950092</v>
      </c>
      <c r="G11074" t="s">
        <v>2039</v>
      </c>
      <c r="H11074" s="21">
        <v>962.67</v>
      </c>
    </row>
    <row r="11075" spans="1:8" customFormat="1" x14ac:dyDescent="0.25">
      <c r="A11075" t="str">
        <f>"8510112"</f>
        <v>8510112</v>
      </c>
      <c r="B11075" t="s">
        <v>9340</v>
      </c>
      <c r="C11075" t="s">
        <v>249</v>
      </c>
      <c r="D11075" s="21" t="s">
        <v>34</v>
      </c>
      <c r="E11075" s="21" t="s">
        <v>254</v>
      </c>
      <c r="F11075">
        <v>12850131</v>
      </c>
      <c r="G11075" t="s">
        <v>4392</v>
      </c>
      <c r="H11075" s="21">
        <v>962.67</v>
      </c>
    </row>
    <row r="11076" spans="1:8" customFormat="1" x14ac:dyDescent="0.25">
      <c r="A11076" t="str">
        <f>"9521927"</f>
        <v>9521927</v>
      </c>
      <c r="B11076" t="s">
        <v>9644</v>
      </c>
      <c r="C11076" t="s">
        <v>249</v>
      </c>
      <c r="D11076" s="21" t="s">
        <v>34</v>
      </c>
      <c r="E11076" s="21" t="s">
        <v>71</v>
      </c>
      <c r="F11076">
        <v>8951092</v>
      </c>
      <c r="G11076" t="s">
        <v>5801</v>
      </c>
      <c r="H11076" s="21">
        <v>962.29</v>
      </c>
    </row>
    <row r="11077" spans="1:8" customFormat="1" x14ac:dyDescent="0.25">
      <c r="A11077" t="str">
        <f>"364733"</f>
        <v>364733</v>
      </c>
      <c r="B11077" t="s">
        <v>27186</v>
      </c>
      <c r="C11077" t="s">
        <v>98</v>
      </c>
      <c r="D11077" s="21" t="s">
        <v>34</v>
      </c>
      <c r="E11077" s="21" t="s">
        <v>35</v>
      </c>
      <c r="F11077">
        <v>4360721</v>
      </c>
      <c r="G11077" t="s">
        <v>11172</v>
      </c>
      <c r="H11077" s="21">
        <v>962.29</v>
      </c>
    </row>
    <row r="11078" spans="1:8" customFormat="1" x14ac:dyDescent="0.25">
      <c r="A11078" t="str">
        <f>"2915859"</f>
        <v>2915859</v>
      </c>
      <c r="B11078" t="s">
        <v>2954</v>
      </c>
      <c r="C11078" t="s">
        <v>598</v>
      </c>
      <c r="D11078" s="21" t="s">
        <v>34</v>
      </c>
      <c r="E11078" s="21" t="s">
        <v>71</v>
      </c>
      <c r="F11078">
        <v>3290268</v>
      </c>
      <c r="G11078" t="s">
        <v>9878</v>
      </c>
      <c r="H11078" s="21">
        <v>962.17</v>
      </c>
    </row>
    <row r="11079" spans="1:8" customFormat="1" x14ac:dyDescent="0.25">
      <c r="A11079" t="str">
        <f>"58586"</f>
        <v>58586</v>
      </c>
      <c r="B11079" t="s">
        <v>3591</v>
      </c>
      <c r="C11079" t="s">
        <v>412</v>
      </c>
      <c r="D11079" s="21" t="s">
        <v>34</v>
      </c>
      <c r="E11079" s="21" t="s">
        <v>71</v>
      </c>
      <c r="F11079">
        <v>2580006</v>
      </c>
      <c r="G11079" t="s">
        <v>4813</v>
      </c>
      <c r="H11079" s="21">
        <v>962.17</v>
      </c>
    </row>
    <row r="11080" spans="1:8" customFormat="1" x14ac:dyDescent="0.25">
      <c r="A11080" t="str">
        <f>"5949728"</f>
        <v>5949728</v>
      </c>
      <c r="B11080" t="s">
        <v>108</v>
      </c>
      <c r="C11080" t="s">
        <v>109</v>
      </c>
      <c r="D11080" s="21" t="s">
        <v>34</v>
      </c>
      <c r="E11080" s="21" t="s">
        <v>35</v>
      </c>
      <c r="F11080">
        <v>7590047</v>
      </c>
      <c r="G11080" t="s">
        <v>5788</v>
      </c>
      <c r="H11080" s="21">
        <v>962.17</v>
      </c>
    </row>
    <row r="11081" spans="1:8" customFormat="1" x14ac:dyDescent="0.25">
      <c r="A11081" t="str">
        <f>"784707"</f>
        <v>784707</v>
      </c>
      <c r="B11081" t="s">
        <v>10900</v>
      </c>
      <c r="C11081" t="s">
        <v>639</v>
      </c>
      <c r="D11081" s="21" t="s">
        <v>34</v>
      </c>
      <c r="E11081" s="21" t="s">
        <v>71</v>
      </c>
      <c r="F11081">
        <v>9610135</v>
      </c>
      <c r="G11081" t="s">
        <v>8227</v>
      </c>
      <c r="H11081" s="21">
        <v>962.17</v>
      </c>
    </row>
    <row r="11082" spans="1:8" customFormat="1" x14ac:dyDescent="0.25">
      <c r="A11082" t="str">
        <f>"5320863"</f>
        <v>5320863</v>
      </c>
      <c r="B11082" t="s">
        <v>10720</v>
      </c>
      <c r="C11082" t="s">
        <v>544</v>
      </c>
      <c r="D11082" s="21" t="s">
        <v>34</v>
      </c>
      <c r="E11082" s="21" t="s">
        <v>71</v>
      </c>
      <c r="F11082">
        <v>12530011</v>
      </c>
      <c r="G11082" t="s">
        <v>7610</v>
      </c>
      <c r="H11082" s="21">
        <v>962.17</v>
      </c>
    </row>
    <row r="11083" spans="1:8" customFormat="1" x14ac:dyDescent="0.25">
      <c r="A11083" t="str">
        <f>"6710728"</f>
        <v>6710728</v>
      </c>
      <c r="B11083" t="s">
        <v>10664</v>
      </c>
      <c r="C11083" t="s">
        <v>209</v>
      </c>
      <c r="D11083" s="21" t="s">
        <v>34</v>
      </c>
      <c r="E11083" s="21" t="s">
        <v>254</v>
      </c>
      <c r="F11083">
        <v>6670003</v>
      </c>
      <c r="G11083" t="s">
        <v>1520</v>
      </c>
      <c r="H11083" s="21">
        <v>962.17</v>
      </c>
    </row>
    <row r="11084" spans="1:8" customFormat="1" x14ac:dyDescent="0.25">
      <c r="A11084" t="str">
        <f>"3535165"</f>
        <v>3535165</v>
      </c>
      <c r="B11084" t="s">
        <v>5734</v>
      </c>
      <c r="C11084" t="s">
        <v>55</v>
      </c>
      <c r="D11084" s="21" t="s">
        <v>34</v>
      </c>
      <c r="E11084" s="21" t="s">
        <v>35</v>
      </c>
      <c r="F11084">
        <v>3350035</v>
      </c>
      <c r="G11084" t="s">
        <v>9970</v>
      </c>
      <c r="H11084" s="21">
        <v>962.17</v>
      </c>
    </row>
    <row r="11085" spans="1:8" customFormat="1" x14ac:dyDescent="0.25">
      <c r="A11085" t="str">
        <f>"102726"</f>
        <v>102726</v>
      </c>
      <c r="B11085" t="s">
        <v>10373</v>
      </c>
      <c r="C11085" t="s">
        <v>926</v>
      </c>
      <c r="D11085" s="21" t="s">
        <v>34</v>
      </c>
      <c r="E11085" s="21" t="s">
        <v>254</v>
      </c>
      <c r="F11085">
        <v>6100002</v>
      </c>
      <c r="G11085" t="s">
        <v>1602</v>
      </c>
      <c r="H11085" s="21">
        <v>962.17</v>
      </c>
    </row>
    <row r="11086" spans="1:8" customFormat="1" x14ac:dyDescent="0.25">
      <c r="A11086" t="str">
        <f>"5937284"</f>
        <v>5937284</v>
      </c>
      <c r="B11086" t="s">
        <v>9341</v>
      </c>
      <c r="C11086" t="s">
        <v>119</v>
      </c>
      <c r="D11086" s="21" t="s">
        <v>34</v>
      </c>
      <c r="E11086" s="21" t="s">
        <v>35</v>
      </c>
      <c r="F11086">
        <v>7800006</v>
      </c>
      <c r="G11086" t="s">
        <v>6365</v>
      </c>
      <c r="H11086" s="21">
        <v>962.17</v>
      </c>
    </row>
    <row r="11087" spans="1:8" customFormat="1" x14ac:dyDescent="0.25">
      <c r="A11087" t="str">
        <f>"851159"</f>
        <v>851159</v>
      </c>
      <c r="B11087" t="s">
        <v>4264</v>
      </c>
      <c r="C11087" t="s">
        <v>528</v>
      </c>
      <c r="D11087" s="21" t="s">
        <v>34</v>
      </c>
      <c r="E11087" s="21" t="s">
        <v>254</v>
      </c>
      <c r="F11087">
        <v>12850033</v>
      </c>
      <c r="G11087" t="s">
        <v>703</v>
      </c>
      <c r="H11087" s="21">
        <v>962.17</v>
      </c>
    </row>
    <row r="11088" spans="1:8" customFormat="1" x14ac:dyDescent="0.25">
      <c r="A11088" t="str">
        <f>"4916009"</f>
        <v>4916009</v>
      </c>
      <c r="B11088" t="s">
        <v>3847</v>
      </c>
      <c r="C11088" t="s">
        <v>33</v>
      </c>
      <c r="D11088" s="21" t="s">
        <v>34</v>
      </c>
      <c r="E11088" s="21" t="s">
        <v>71</v>
      </c>
      <c r="F11088">
        <v>12490003</v>
      </c>
      <c r="G11088" t="s">
        <v>7348</v>
      </c>
      <c r="H11088" s="21">
        <v>962.17</v>
      </c>
    </row>
    <row r="11089" spans="1:8" customFormat="1" x14ac:dyDescent="0.25">
      <c r="A11089" t="str">
        <f>"426049"</f>
        <v>426049</v>
      </c>
      <c r="B11089" t="s">
        <v>9602</v>
      </c>
      <c r="C11089" t="s">
        <v>60</v>
      </c>
      <c r="D11089" s="21" t="s">
        <v>34</v>
      </c>
      <c r="E11089" s="21" t="s">
        <v>35</v>
      </c>
      <c r="F11089">
        <v>1420144</v>
      </c>
      <c r="G11089" t="s">
        <v>9603</v>
      </c>
      <c r="H11089" s="21">
        <v>962.17</v>
      </c>
    </row>
    <row r="11090" spans="1:8" customFormat="1" x14ac:dyDescent="0.25">
      <c r="A11090" t="str">
        <f>"50625"</f>
        <v>50625</v>
      </c>
      <c r="B11090" t="s">
        <v>11866</v>
      </c>
      <c r="C11090" t="s">
        <v>209</v>
      </c>
      <c r="D11090" s="21" t="s">
        <v>34</v>
      </c>
      <c r="E11090" s="21" t="s">
        <v>254</v>
      </c>
      <c r="F11090">
        <v>9500130</v>
      </c>
      <c r="G11090" t="s">
        <v>5326</v>
      </c>
      <c r="H11090" s="21">
        <v>962.17</v>
      </c>
    </row>
    <row r="11091" spans="1:8" customFormat="1" x14ac:dyDescent="0.25">
      <c r="A11091" t="str">
        <f>"01108"</f>
        <v>01108</v>
      </c>
      <c r="B11091" t="s">
        <v>9740</v>
      </c>
      <c r="C11091" t="s">
        <v>2232</v>
      </c>
      <c r="D11091" s="21" t="s">
        <v>34</v>
      </c>
      <c r="E11091" s="21" t="s">
        <v>254</v>
      </c>
      <c r="F11091">
        <v>1010023</v>
      </c>
      <c r="G11091" t="s">
        <v>2174</v>
      </c>
      <c r="H11091" s="21">
        <v>962.04</v>
      </c>
    </row>
    <row r="11092" spans="1:8" customFormat="1" x14ac:dyDescent="0.25">
      <c r="A11092" t="str">
        <f>"578207"</f>
        <v>578207</v>
      </c>
      <c r="B11092" t="s">
        <v>10477</v>
      </c>
      <c r="C11092" t="s">
        <v>879</v>
      </c>
      <c r="D11092" s="21" t="s">
        <v>34</v>
      </c>
      <c r="E11092" s="21" t="s">
        <v>71</v>
      </c>
      <c r="F11092">
        <v>6570024</v>
      </c>
      <c r="G11092" t="s">
        <v>464</v>
      </c>
      <c r="H11092" s="21">
        <v>962</v>
      </c>
    </row>
    <row r="11093" spans="1:8" customFormat="1" x14ac:dyDescent="0.25">
      <c r="A11093" t="str">
        <f>"9316568"</f>
        <v>9316568</v>
      </c>
      <c r="B11093" t="s">
        <v>11613</v>
      </c>
      <c r="C11093" t="s">
        <v>119</v>
      </c>
      <c r="D11093" s="21" t="s">
        <v>34</v>
      </c>
      <c r="E11093" s="21" t="s">
        <v>35</v>
      </c>
      <c r="F11093">
        <v>11340067</v>
      </c>
      <c r="G11093" t="s">
        <v>2895</v>
      </c>
      <c r="H11093" s="21">
        <v>961.92</v>
      </c>
    </row>
    <row r="11094" spans="1:8" customFormat="1" x14ac:dyDescent="0.25">
      <c r="A11094" t="str">
        <f>"753934"</f>
        <v>753934</v>
      </c>
      <c r="B11094" t="s">
        <v>465</v>
      </c>
      <c r="C11094" t="s">
        <v>169</v>
      </c>
      <c r="D11094" s="21" t="s">
        <v>34</v>
      </c>
      <c r="E11094" s="21" t="s">
        <v>71</v>
      </c>
      <c r="F11094">
        <v>11340010</v>
      </c>
      <c r="G11094" t="s">
        <v>66</v>
      </c>
      <c r="H11094" s="21">
        <v>961.92</v>
      </c>
    </row>
    <row r="11095" spans="1:8" customFormat="1" x14ac:dyDescent="0.25">
      <c r="A11095" t="str">
        <f>"6110208"</f>
        <v>6110208</v>
      </c>
      <c r="B11095" t="s">
        <v>11385</v>
      </c>
      <c r="C11095" t="s">
        <v>11386</v>
      </c>
      <c r="D11095" s="21" t="s">
        <v>34</v>
      </c>
      <c r="E11095" s="21" t="s">
        <v>35</v>
      </c>
      <c r="F11095">
        <v>9610093</v>
      </c>
      <c r="G11095" t="s">
        <v>8231</v>
      </c>
      <c r="H11095" s="21">
        <v>961.79</v>
      </c>
    </row>
    <row r="11096" spans="1:8" customFormat="1" x14ac:dyDescent="0.25">
      <c r="A11096" t="str">
        <f>"9221693"</f>
        <v>9221693</v>
      </c>
      <c r="B11096" t="s">
        <v>10385</v>
      </c>
      <c r="C11096" t="s">
        <v>459</v>
      </c>
      <c r="D11096" s="21" t="s">
        <v>34</v>
      </c>
      <c r="E11096" s="21" t="s">
        <v>71</v>
      </c>
      <c r="F11096">
        <v>8920312</v>
      </c>
      <c r="G11096" t="s">
        <v>1026</v>
      </c>
      <c r="H11096" s="21">
        <v>961.67</v>
      </c>
    </row>
    <row r="11097" spans="1:8" customFormat="1" x14ac:dyDescent="0.25">
      <c r="A11097" t="str">
        <f>"919736"</f>
        <v>919736</v>
      </c>
      <c r="B11097" t="s">
        <v>727</v>
      </c>
      <c r="C11097" t="s">
        <v>269</v>
      </c>
      <c r="D11097" s="21" t="s">
        <v>34</v>
      </c>
      <c r="E11097" s="21" t="s">
        <v>71</v>
      </c>
      <c r="F11097">
        <v>8910876</v>
      </c>
      <c r="G11097" t="s">
        <v>1721</v>
      </c>
      <c r="H11097" s="21">
        <v>961.67</v>
      </c>
    </row>
    <row r="11098" spans="1:8" customFormat="1" x14ac:dyDescent="0.25">
      <c r="A11098" t="str">
        <f>"5945775"</f>
        <v>5945775</v>
      </c>
      <c r="B11098" t="s">
        <v>9887</v>
      </c>
      <c r="C11098" t="s">
        <v>9888</v>
      </c>
      <c r="D11098" s="21" t="s">
        <v>34</v>
      </c>
      <c r="E11098" s="21" t="s">
        <v>35</v>
      </c>
      <c r="F11098">
        <v>7590005</v>
      </c>
      <c r="G11098" t="s">
        <v>540</v>
      </c>
      <c r="H11098" s="21">
        <v>961.67</v>
      </c>
    </row>
    <row r="11099" spans="1:8" customFormat="1" x14ac:dyDescent="0.25">
      <c r="A11099" t="str">
        <f>"344285"</f>
        <v>344285</v>
      </c>
      <c r="B11099" t="s">
        <v>27187</v>
      </c>
      <c r="C11099" t="s">
        <v>204</v>
      </c>
      <c r="D11099" s="21" t="s">
        <v>34</v>
      </c>
      <c r="E11099" s="21" t="s">
        <v>35</v>
      </c>
      <c r="F11099">
        <v>11340067</v>
      </c>
      <c r="G11099" t="s">
        <v>2895</v>
      </c>
      <c r="H11099" s="21">
        <v>961.67</v>
      </c>
    </row>
    <row r="11100" spans="1:8" customFormat="1" x14ac:dyDescent="0.25">
      <c r="A11100" t="str">
        <f>"255127"</f>
        <v>255127</v>
      </c>
      <c r="B11100" t="s">
        <v>2746</v>
      </c>
      <c r="C11100" t="s">
        <v>236</v>
      </c>
      <c r="D11100" s="21" t="s">
        <v>34</v>
      </c>
      <c r="E11100" s="21" t="s">
        <v>254</v>
      </c>
      <c r="F11100">
        <v>2250185</v>
      </c>
      <c r="G11100" t="s">
        <v>9399</v>
      </c>
      <c r="H11100" s="21">
        <v>961.67</v>
      </c>
    </row>
    <row r="11101" spans="1:8" customFormat="1" x14ac:dyDescent="0.25">
      <c r="A11101" t="str">
        <f>"808456"</f>
        <v>808456</v>
      </c>
      <c r="B11101" t="s">
        <v>11081</v>
      </c>
      <c r="C11101" t="s">
        <v>119</v>
      </c>
      <c r="D11101" s="21" t="s">
        <v>34</v>
      </c>
      <c r="E11101" s="21" t="s">
        <v>35</v>
      </c>
      <c r="F11101">
        <v>7800126</v>
      </c>
      <c r="G11101" t="s">
        <v>1105</v>
      </c>
      <c r="H11101" s="21">
        <v>961.67</v>
      </c>
    </row>
    <row r="11102" spans="1:8" customFormat="1" x14ac:dyDescent="0.25">
      <c r="A11102" t="str">
        <f>"6020005"</f>
        <v>6020005</v>
      </c>
      <c r="B11102" t="s">
        <v>12996</v>
      </c>
      <c r="C11102" t="s">
        <v>43</v>
      </c>
      <c r="D11102" s="21" t="s">
        <v>34</v>
      </c>
      <c r="E11102" s="21" t="s">
        <v>35</v>
      </c>
      <c r="F11102">
        <v>7600040</v>
      </c>
      <c r="G11102" t="s">
        <v>6757</v>
      </c>
      <c r="H11102" s="21">
        <v>961.67</v>
      </c>
    </row>
    <row r="11103" spans="1:8" customFormat="1" x14ac:dyDescent="0.25">
      <c r="A11103" t="str">
        <f>"5111373"</f>
        <v>5111373</v>
      </c>
      <c r="B11103" t="s">
        <v>10576</v>
      </c>
      <c r="C11103" t="s">
        <v>288</v>
      </c>
      <c r="D11103" s="21" t="s">
        <v>34</v>
      </c>
      <c r="E11103" s="21" t="s">
        <v>71</v>
      </c>
      <c r="F11103">
        <v>6510002</v>
      </c>
      <c r="G11103" t="s">
        <v>4588</v>
      </c>
      <c r="H11103" s="21">
        <v>961.67</v>
      </c>
    </row>
    <row r="11104" spans="1:8" customFormat="1" x14ac:dyDescent="0.25">
      <c r="A11104" t="str">
        <f>"3518880"</f>
        <v>3518880</v>
      </c>
      <c r="B11104" t="s">
        <v>824</v>
      </c>
      <c r="C11104" t="s">
        <v>87</v>
      </c>
      <c r="D11104" s="21" t="s">
        <v>34</v>
      </c>
      <c r="E11104" s="21" t="s">
        <v>35</v>
      </c>
      <c r="F11104">
        <v>3350095</v>
      </c>
      <c r="G11104" t="s">
        <v>5813</v>
      </c>
      <c r="H11104" s="21">
        <v>961.67</v>
      </c>
    </row>
    <row r="11105" spans="1:8" customFormat="1" x14ac:dyDescent="0.25">
      <c r="A11105" t="str">
        <f>"162789"</f>
        <v>162789</v>
      </c>
      <c r="B11105" t="s">
        <v>9015</v>
      </c>
      <c r="C11105" t="s">
        <v>428</v>
      </c>
      <c r="D11105" s="21" t="s">
        <v>34</v>
      </c>
      <c r="E11105" s="21" t="s">
        <v>35</v>
      </c>
      <c r="F11105">
        <v>10160044</v>
      </c>
      <c r="G11105" t="s">
        <v>4941</v>
      </c>
      <c r="H11105" s="21">
        <v>961.67</v>
      </c>
    </row>
    <row r="11106" spans="1:8" customFormat="1" x14ac:dyDescent="0.25">
      <c r="A11106" t="str">
        <f>"7850213"</f>
        <v>7850213</v>
      </c>
      <c r="B11106" t="s">
        <v>8882</v>
      </c>
      <c r="C11106" t="s">
        <v>576</v>
      </c>
      <c r="D11106" s="21" t="s">
        <v>34</v>
      </c>
      <c r="E11106" s="21" t="s">
        <v>35</v>
      </c>
      <c r="F11106">
        <v>11310047</v>
      </c>
      <c r="G11106" t="s">
        <v>2188</v>
      </c>
      <c r="H11106" s="21">
        <v>961.67</v>
      </c>
    </row>
    <row r="11107" spans="1:8" customFormat="1" x14ac:dyDescent="0.25">
      <c r="A11107" t="str">
        <f>"679629"</f>
        <v>679629</v>
      </c>
      <c r="B11107" t="s">
        <v>1349</v>
      </c>
      <c r="C11107" t="s">
        <v>1539</v>
      </c>
      <c r="D11107" s="21" t="s">
        <v>34</v>
      </c>
      <c r="E11107" s="21" t="s">
        <v>71</v>
      </c>
      <c r="F11107">
        <v>6670045</v>
      </c>
      <c r="G11107" t="s">
        <v>707</v>
      </c>
      <c r="H11107" s="21">
        <v>961.67</v>
      </c>
    </row>
    <row r="11108" spans="1:8" customFormat="1" x14ac:dyDescent="0.25">
      <c r="A11108" t="str">
        <f>"49425"</f>
        <v>49425</v>
      </c>
      <c r="B11108" t="s">
        <v>5337</v>
      </c>
      <c r="C11108" t="s">
        <v>598</v>
      </c>
      <c r="D11108" s="21" t="s">
        <v>34</v>
      </c>
      <c r="E11108" s="21" t="s">
        <v>1089</v>
      </c>
      <c r="F11108">
        <v>12490132</v>
      </c>
      <c r="G11108" t="s">
        <v>1125</v>
      </c>
      <c r="H11108" s="21">
        <v>961.67</v>
      </c>
    </row>
    <row r="11109" spans="1:8" customFormat="1" x14ac:dyDescent="0.25">
      <c r="A11109" t="str">
        <f>"142033"</f>
        <v>142033</v>
      </c>
      <c r="B11109" t="s">
        <v>8803</v>
      </c>
      <c r="C11109" t="s">
        <v>253</v>
      </c>
      <c r="D11109" s="21" t="s">
        <v>34</v>
      </c>
      <c r="E11109" s="21" t="s">
        <v>1089</v>
      </c>
      <c r="F11109">
        <v>9140123</v>
      </c>
      <c r="G11109" t="s">
        <v>661</v>
      </c>
      <c r="H11109" s="21">
        <v>961.67</v>
      </c>
    </row>
    <row r="11110" spans="1:8" customFormat="1" x14ac:dyDescent="0.25">
      <c r="A11110" t="str">
        <f>"5722977"</f>
        <v>5722977</v>
      </c>
      <c r="B11110" t="s">
        <v>27188</v>
      </c>
      <c r="C11110" t="s">
        <v>1782</v>
      </c>
      <c r="D11110" s="21" t="s">
        <v>34</v>
      </c>
      <c r="E11110" s="21" t="s">
        <v>35</v>
      </c>
      <c r="F11110">
        <v>6570132</v>
      </c>
      <c r="G11110" t="s">
        <v>26746</v>
      </c>
      <c r="H11110" s="21">
        <v>961.67</v>
      </c>
    </row>
    <row r="11111" spans="1:8" customFormat="1" x14ac:dyDescent="0.25">
      <c r="A11111" t="str">
        <f>"7511047"</f>
        <v>7511047</v>
      </c>
      <c r="B11111" t="s">
        <v>8829</v>
      </c>
      <c r="C11111" t="s">
        <v>10105</v>
      </c>
      <c r="D11111" s="21" t="s">
        <v>34</v>
      </c>
      <c r="E11111" s="21" t="s">
        <v>35</v>
      </c>
      <c r="F11111">
        <v>8781462</v>
      </c>
      <c r="G11111" t="s">
        <v>5796</v>
      </c>
      <c r="H11111" s="21">
        <v>961.67</v>
      </c>
    </row>
    <row r="11112" spans="1:8" customFormat="1" x14ac:dyDescent="0.25">
      <c r="A11112" t="str">
        <f>"6216775"</f>
        <v>6216775</v>
      </c>
      <c r="B11112" t="s">
        <v>3016</v>
      </c>
      <c r="C11112" t="s">
        <v>547</v>
      </c>
      <c r="D11112" s="21" t="s">
        <v>34</v>
      </c>
      <c r="E11112" s="21" t="s">
        <v>254</v>
      </c>
      <c r="F11112">
        <v>7620183</v>
      </c>
      <c r="G11112" t="s">
        <v>8030</v>
      </c>
      <c r="H11112" s="21">
        <v>961.54</v>
      </c>
    </row>
    <row r="11113" spans="1:8" customFormat="1" x14ac:dyDescent="0.25">
      <c r="A11113" t="str">
        <f>"563127"</f>
        <v>563127</v>
      </c>
      <c r="B11113" t="s">
        <v>10663</v>
      </c>
      <c r="C11113" t="s">
        <v>2907</v>
      </c>
      <c r="D11113" s="21" t="s">
        <v>34</v>
      </c>
      <c r="E11113" s="21" t="s">
        <v>254</v>
      </c>
      <c r="F11113">
        <v>3560038</v>
      </c>
      <c r="G11113" t="s">
        <v>3598</v>
      </c>
      <c r="H11113" s="21">
        <v>961.5</v>
      </c>
    </row>
    <row r="11114" spans="1:8" customFormat="1" x14ac:dyDescent="0.25">
      <c r="A11114" t="str">
        <f>"5928333"</f>
        <v>5928333</v>
      </c>
      <c r="B11114" t="s">
        <v>3197</v>
      </c>
      <c r="C11114" t="s">
        <v>124</v>
      </c>
      <c r="D11114" s="21" t="s">
        <v>34</v>
      </c>
      <c r="E11114" s="21" t="s">
        <v>71</v>
      </c>
      <c r="F11114">
        <v>7590392</v>
      </c>
      <c r="G11114" t="s">
        <v>154</v>
      </c>
      <c r="H11114" s="21">
        <v>961.43</v>
      </c>
    </row>
    <row r="11115" spans="1:8" customFormat="1" x14ac:dyDescent="0.25">
      <c r="A11115" t="str">
        <f>"794333"</f>
        <v>794333</v>
      </c>
      <c r="B11115" t="s">
        <v>10709</v>
      </c>
      <c r="C11115" t="s">
        <v>2520</v>
      </c>
      <c r="D11115" s="21" t="s">
        <v>34</v>
      </c>
      <c r="E11115" s="21" t="s">
        <v>254</v>
      </c>
      <c r="F11115">
        <v>10790150</v>
      </c>
      <c r="G11115" t="s">
        <v>6205</v>
      </c>
      <c r="H11115" s="21">
        <v>961.42</v>
      </c>
    </row>
    <row r="11116" spans="1:8" customFormat="1" x14ac:dyDescent="0.25">
      <c r="A11116" t="str">
        <f>"3411331"</f>
        <v>3411331</v>
      </c>
      <c r="B11116" t="s">
        <v>10464</v>
      </c>
      <c r="C11116" t="s">
        <v>285</v>
      </c>
      <c r="D11116" s="21" t="s">
        <v>34</v>
      </c>
      <c r="E11116" s="21" t="s">
        <v>35</v>
      </c>
      <c r="F11116">
        <v>11340035</v>
      </c>
      <c r="G11116" t="s">
        <v>10724</v>
      </c>
      <c r="H11116" s="21">
        <v>961.17</v>
      </c>
    </row>
    <row r="11117" spans="1:8" customFormat="1" x14ac:dyDescent="0.25">
      <c r="A11117" t="str">
        <f>"702918"</f>
        <v>702918</v>
      </c>
      <c r="B11117" t="s">
        <v>146</v>
      </c>
      <c r="C11117" t="s">
        <v>263</v>
      </c>
      <c r="D11117" s="21" t="s">
        <v>34</v>
      </c>
      <c r="E11117" s="21" t="s">
        <v>35</v>
      </c>
      <c r="F11117">
        <v>2700015</v>
      </c>
      <c r="G11117" t="s">
        <v>9856</v>
      </c>
      <c r="H11117" s="21">
        <v>961.17</v>
      </c>
    </row>
    <row r="11118" spans="1:8" customFormat="1" x14ac:dyDescent="0.25">
      <c r="A11118" t="str">
        <f>"2921325"</f>
        <v>2921325</v>
      </c>
      <c r="B11118" t="s">
        <v>11052</v>
      </c>
      <c r="C11118" t="s">
        <v>55</v>
      </c>
      <c r="D11118" s="21" t="s">
        <v>34</v>
      </c>
      <c r="E11118" s="21" t="s">
        <v>71</v>
      </c>
      <c r="F11118">
        <v>3290087</v>
      </c>
      <c r="G11118" t="s">
        <v>364</v>
      </c>
      <c r="H11118" s="21">
        <v>961.17</v>
      </c>
    </row>
    <row r="11119" spans="1:8" customFormat="1" x14ac:dyDescent="0.25">
      <c r="A11119" t="str">
        <f>"9137166"</f>
        <v>9137166</v>
      </c>
      <c r="B11119" t="s">
        <v>1021</v>
      </c>
      <c r="C11119" t="s">
        <v>11746</v>
      </c>
      <c r="D11119" s="21" t="s">
        <v>34</v>
      </c>
      <c r="E11119" s="21" t="s">
        <v>35</v>
      </c>
      <c r="F11119">
        <v>8910077</v>
      </c>
      <c r="G11119" t="s">
        <v>1380</v>
      </c>
      <c r="H11119" s="21">
        <v>961.17</v>
      </c>
    </row>
    <row r="11120" spans="1:8" customFormat="1" x14ac:dyDescent="0.25">
      <c r="A11120" t="str">
        <f>"6722471"</f>
        <v>6722471</v>
      </c>
      <c r="B11120" t="s">
        <v>11586</v>
      </c>
      <c r="C11120" t="s">
        <v>269</v>
      </c>
      <c r="D11120" s="21" t="s">
        <v>34</v>
      </c>
      <c r="E11120" s="21" t="s">
        <v>35</v>
      </c>
      <c r="F11120">
        <v>6670269</v>
      </c>
      <c r="G11120" t="s">
        <v>11587</v>
      </c>
      <c r="H11120" s="21">
        <v>961.17</v>
      </c>
    </row>
    <row r="11121" spans="1:8" customFormat="1" x14ac:dyDescent="0.25">
      <c r="A11121" t="str">
        <f>"5969113"</f>
        <v>5969113</v>
      </c>
      <c r="B11121" t="s">
        <v>11173</v>
      </c>
      <c r="C11121" t="s">
        <v>98</v>
      </c>
      <c r="D11121" s="21" t="s">
        <v>34</v>
      </c>
      <c r="E11121" s="21" t="s">
        <v>35</v>
      </c>
      <c r="F11121">
        <v>7590031</v>
      </c>
      <c r="G11121" t="s">
        <v>27189</v>
      </c>
      <c r="H11121" s="21">
        <v>961.17</v>
      </c>
    </row>
    <row r="11122" spans="1:8" customFormat="1" x14ac:dyDescent="0.25">
      <c r="A11122" t="str">
        <f>"639288"</f>
        <v>639288</v>
      </c>
      <c r="B11122" t="s">
        <v>12497</v>
      </c>
      <c r="C11122" t="s">
        <v>812</v>
      </c>
      <c r="D11122" s="21" t="s">
        <v>34</v>
      </c>
      <c r="E11122" s="21" t="s">
        <v>35</v>
      </c>
      <c r="F11122">
        <v>10330082</v>
      </c>
      <c r="G11122" t="s">
        <v>5564</v>
      </c>
      <c r="H11122" s="21">
        <v>961.17</v>
      </c>
    </row>
    <row r="11123" spans="1:8" customFormat="1" x14ac:dyDescent="0.25">
      <c r="A11123" t="str">
        <f>"9137609"</f>
        <v>9137609</v>
      </c>
      <c r="B11123" t="s">
        <v>11112</v>
      </c>
      <c r="C11123" t="s">
        <v>204</v>
      </c>
      <c r="D11123" s="21" t="s">
        <v>34</v>
      </c>
      <c r="E11123" s="21" t="s">
        <v>35</v>
      </c>
      <c r="F11123">
        <v>8910077</v>
      </c>
      <c r="G11123" t="s">
        <v>1380</v>
      </c>
      <c r="H11123" s="21">
        <v>961.17</v>
      </c>
    </row>
    <row r="11124" spans="1:8" customFormat="1" x14ac:dyDescent="0.25">
      <c r="A11124" t="str">
        <f>"905038"</f>
        <v>905038</v>
      </c>
      <c r="B11124" t="s">
        <v>12473</v>
      </c>
      <c r="C11124" t="s">
        <v>412</v>
      </c>
      <c r="D11124" s="21" t="s">
        <v>34</v>
      </c>
      <c r="E11124" s="21" t="s">
        <v>71</v>
      </c>
      <c r="F11124">
        <v>2900030</v>
      </c>
      <c r="G11124" t="s">
        <v>10237</v>
      </c>
      <c r="H11124" s="21">
        <v>961.17</v>
      </c>
    </row>
    <row r="11125" spans="1:8" customFormat="1" x14ac:dyDescent="0.25">
      <c r="A11125" t="str">
        <f>"895351"</f>
        <v>895351</v>
      </c>
      <c r="B11125" t="s">
        <v>10049</v>
      </c>
      <c r="C11125" t="s">
        <v>121</v>
      </c>
      <c r="D11125" s="21" t="s">
        <v>34</v>
      </c>
      <c r="E11125" s="21" t="s">
        <v>35</v>
      </c>
      <c r="F11125">
        <v>2710042</v>
      </c>
      <c r="G11125" t="s">
        <v>1997</v>
      </c>
      <c r="H11125" s="21">
        <v>961.17</v>
      </c>
    </row>
    <row r="11126" spans="1:8" customFormat="1" x14ac:dyDescent="0.25">
      <c r="A11126" t="str">
        <f>"176948"</f>
        <v>176948</v>
      </c>
      <c r="B11126" t="s">
        <v>9031</v>
      </c>
      <c r="C11126" t="s">
        <v>249</v>
      </c>
      <c r="D11126" s="21" t="s">
        <v>34</v>
      </c>
      <c r="E11126" s="21" t="s">
        <v>71</v>
      </c>
      <c r="F11126">
        <v>10170024</v>
      </c>
      <c r="G11126" t="s">
        <v>16864</v>
      </c>
      <c r="H11126" s="21">
        <v>961.17</v>
      </c>
    </row>
    <row r="11127" spans="1:8" customFormat="1" x14ac:dyDescent="0.25">
      <c r="A11127" t="str">
        <f>"443881"</f>
        <v>443881</v>
      </c>
      <c r="B11127" t="s">
        <v>8691</v>
      </c>
      <c r="C11127" t="s">
        <v>608</v>
      </c>
      <c r="D11127" s="21" t="s">
        <v>34</v>
      </c>
      <c r="E11127" s="21" t="s">
        <v>71</v>
      </c>
      <c r="F11127">
        <v>12440142</v>
      </c>
      <c r="G11127" t="s">
        <v>3285</v>
      </c>
      <c r="H11127" s="21">
        <v>961.17</v>
      </c>
    </row>
    <row r="11128" spans="1:8" customFormat="1" x14ac:dyDescent="0.25">
      <c r="A11128" t="str">
        <f>"5930438"</f>
        <v>5930438</v>
      </c>
      <c r="B11128" t="s">
        <v>1533</v>
      </c>
      <c r="C11128" t="s">
        <v>233</v>
      </c>
      <c r="D11128" s="21" t="s">
        <v>34</v>
      </c>
      <c r="E11128" s="21" t="s">
        <v>35</v>
      </c>
      <c r="F11128">
        <v>7590006</v>
      </c>
      <c r="G11128" t="s">
        <v>4165</v>
      </c>
      <c r="H11128" s="21">
        <v>961.17</v>
      </c>
    </row>
    <row r="11129" spans="1:8" customFormat="1" x14ac:dyDescent="0.25">
      <c r="A11129" t="str">
        <f>"7850466"</f>
        <v>7850466</v>
      </c>
      <c r="B11129" t="s">
        <v>11444</v>
      </c>
      <c r="C11129" t="s">
        <v>209</v>
      </c>
      <c r="D11129" s="21" t="s">
        <v>34</v>
      </c>
      <c r="E11129" s="21" t="s">
        <v>35</v>
      </c>
      <c r="F11129">
        <v>8780886</v>
      </c>
      <c r="G11129" t="s">
        <v>3161</v>
      </c>
      <c r="H11129" s="21">
        <v>961.04</v>
      </c>
    </row>
    <row r="11130" spans="1:8" customFormat="1" x14ac:dyDescent="0.25">
      <c r="A11130" t="str">
        <f>"5015597"</f>
        <v>5015597</v>
      </c>
      <c r="B11130" t="s">
        <v>2627</v>
      </c>
      <c r="C11130" t="s">
        <v>462</v>
      </c>
      <c r="D11130" s="21" t="s">
        <v>34</v>
      </c>
      <c r="E11130" s="21" t="s">
        <v>35</v>
      </c>
      <c r="F11130">
        <v>9500157</v>
      </c>
      <c r="G11130" t="s">
        <v>5074</v>
      </c>
      <c r="H11130" s="21">
        <v>960.92</v>
      </c>
    </row>
    <row r="11131" spans="1:8" customFormat="1" x14ac:dyDescent="0.25">
      <c r="A11131" t="str">
        <f>"4916943"</f>
        <v>4916943</v>
      </c>
      <c r="B11131" t="s">
        <v>9875</v>
      </c>
      <c r="C11131" t="s">
        <v>2529</v>
      </c>
      <c r="D11131" s="21" t="s">
        <v>34</v>
      </c>
      <c r="E11131" s="21" t="s">
        <v>254</v>
      </c>
      <c r="F11131">
        <v>12490017</v>
      </c>
      <c r="G11131" t="s">
        <v>9393</v>
      </c>
      <c r="H11131" s="21">
        <v>960.92</v>
      </c>
    </row>
    <row r="11132" spans="1:8" customFormat="1" x14ac:dyDescent="0.25">
      <c r="A11132" t="str">
        <f>"903602"</f>
        <v>903602</v>
      </c>
      <c r="B11132" t="s">
        <v>7015</v>
      </c>
      <c r="C11132" t="s">
        <v>169</v>
      </c>
      <c r="D11132" s="21" t="s">
        <v>34</v>
      </c>
      <c r="E11132" s="21" t="s">
        <v>71</v>
      </c>
      <c r="F11132">
        <v>2900028</v>
      </c>
      <c r="G11132" t="s">
        <v>1541</v>
      </c>
      <c r="H11132" s="21">
        <v>960.92</v>
      </c>
    </row>
    <row r="11133" spans="1:8" customFormat="1" x14ac:dyDescent="0.25">
      <c r="A11133" t="str">
        <f>"2211139"</f>
        <v>2211139</v>
      </c>
      <c r="B11133" t="s">
        <v>8971</v>
      </c>
      <c r="C11133" t="s">
        <v>576</v>
      </c>
      <c r="D11133" s="21" t="s">
        <v>34</v>
      </c>
      <c r="E11133" s="21" t="s">
        <v>35</v>
      </c>
      <c r="F11133">
        <v>3290284</v>
      </c>
      <c r="G11133" t="s">
        <v>8972</v>
      </c>
      <c r="H11133" s="21">
        <v>960.79</v>
      </c>
    </row>
    <row r="11134" spans="1:8" customFormat="1" x14ac:dyDescent="0.25">
      <c r="A11134" t="str">
        <f>"774968"</f>
        <v>774968</v>
      </c>
      <c r="B11134" t="s">
        <v>24430</v>
      </c>
      <c r="C11134" t="s">
        <v>127</v>
      </c>
      <c r="D11134" s="21" t="s">
        <v>34</v>
      </c>
      <c r="E11134" s="21" t="s">
        <v>35</v>
      </c>
      <c r="F11134">
        <v>8770202</v>
      </c>
      <c r="G11134" t="s">
        <v>1999</v>
      </c>
      <c r="H11134" s="21">
        <v>960.67</v>
      </c>
    </row>
    <row r="11135" spans="1:8" customFormat="1" x14ac:dyDescent="0.25">
      <c r="A11135" t="str">
        <f>"265191"</f>
        <v>265191</v>
      </c>
      <c r="B11135" t="s">
        <v>19786</v>
      </c>
      <c r="C11135" t="s">
        <v>198</v>
      </c>
      <c r="D11135" s="21" t="s">
        <v>34</v>
      </c>
      <c r="E11135" s="21" t="s">
        <v>35</v>
      </c>
      <c r="F11135">
        <v>1150291</v>
      </c>
      <c r="G11135" t="s">
        <v>17865</v>
      </c>
      <c r="H11135" s="21">
        <v>960.67</v>
      </c>
    </row>
    <row r="11136" spans="1:8" customFormat="1" x14ac:dyDescent="0.25">
      <c r="A11136" t="str">
        <f>"2210398"</f>
        <v>2210398</v>
      </c>
      <c r="B11136" t="s">
        <v>11909</v>
      </c>
      <c r="C11136" t="s">
        <v>11910</v>
      </c>
      <c r="D11136" s="21" t="s">
        <v>34</v>
      </c>
      <c r="E11136" s="21" t="s">
        <v>35</v>
      </c>
      <c r="F11136">
        <v>13130152</v>
      </c>
      <c r="G11136" t="s">
        <v>906</v>
      </c>
      <c r="H11136" s="21">
        <v>960.67</v>
      </c>
    </row>
    <row r="11137" spans="1:8" customFormat="1" x14ac:dyDescent="0.25">
      <c r="A11137" t="str">
        <f>"164640"</f>
        <v>164640</v>
      </c>
      <c r="B11137" t="s">
        <v>6566</v>
      </c>
      <c r="C11137" t="s">
        <v>2904</v>
      </c>
      <c r="D11137" s="21" t="s">
        <v>34</v>
      </c>
      <c r="E11137" s="21" t="s">
        <v>71</v>
      </c>
      <c r="F11137">
        <v>10160069</v>
      </c>
      <c r="G11137" t="s">
        <v>5379</v>
      </c>
      <c r="H11137" s="21">
        <v>960.67</v>
      </c>
    </row>
    <row r="11138" spans="1:8" customFormat="1" x14ac:dyDescent="0.25">
      <c r="A11138" t="str">
        <f>"638696"</f>
        <v>638696</v>
      </c>
      <c r="B11138" t="s">
        <v>10305</v>
      </c>
      <c r="C11138" t="s">
        <v>1072</v>
      </c>
      <c r="D11138" s="21" t="s">
        <v>34</v>
      </c>
      <c r="E11138" s="21" t="s">
        <v>71</v>
      </c>
      <c r="F11138">
        <v>1630009</v>
      </c>
      <c r="G11138" t="s">
        <v>6021</v>
      </c>
      <c r="H11138" s="21">
        <v>960.67</v>
      </c>
    </row>
    <row r="11139" spans="1:8" customFormat="1" x14ac:dyDescent="0.25">
      <c r="A11139" t="str">
        <f>"627601"</f>
        <v>627601</v>
      </c>
      <c r="B11139" t="s">
        <v>3363</v>
      </c>
      <c r="C11139" t="s">
        <v>415</v>
      </c>
      <c r="D11139" s="21" t="s">
        <v>34</v>
      </c>
      <c r="E11139" s="21" t="s">
        <v>71</v>
      </c>
      <c r="F11139">
        <v>7620080</v>
      </c>
      <c r="G11139" t="s">
        <v>6056</v>
      </c>
      <c r="H11139" s="21">
        <v>960.67</v>
      </c>
    </row>
    <row r="11140" spans="1:8" customFormat="1" x14ac:dyDescent="0.25">
      <c r="A11140" t="str">
        <f>"153665"</f>
        <v>153665</v>
      </c>
      <c r="B11140" t="s">
        <v>11160</v>
      </c>
      <c r="C11140" t="s">
        <v>2529</v>
      </c>
      <c r="D11140" s="21" t="s">
        <v>34</v>
      </c>
      <c r="E11140" s="21" t="s">
        <v>71</v>
      </c>
      <c r="F11140">
        <v>1150159</v>
      </c>
      <c r="G11140" t="s">
        <v>7433</v>
      </c>
      <c r="H11140" s="21">
        <v>960.67</v>
      </c>
    </row>
    <row r="11141" spans="1:8" customFormat="1" x14ac:dyDescent="0.25">
      <c r="A11141" t="str">
        <f>"036455"</f>
        <v>036455</v>
      </c>
      <c r="B11141" t="s">
        <v>10718</v>
      </c>
      <c r="C11141" t="s">
        <v>55</v>
      </c>
      <c r="D11141" s="21" t="s">
        <v>34</v>
      </c>
      <c r="E11141" s="21" t="s">
        <v>71</v>
      </c>
      <c r="F11141">
        <v>1030308</v>
      </c>
      <c r="G11141" t="s">
        <v>1485</v>
      </c>
      <c r="H11141" s="21">
        <v>960.67</v>
      </c>
    </row>
    <row r="11142" spans="1:8" customFormat="1" x14ac:dyDescent="0.25">
      <c r="A11142" t="str">
        <f>"4518429"</f>
        <v>4518429</v>
      </c>
      <c r="B11142" t="s">
        <v>9805</v>
      </c>
      <c r="C11142" t="s">
        <v>209</v>
      </c>
      <c r="D11142" s="21" t="s">
        <v>34</v>
      </c>
      <c r="E11142" s="21" t="s">
        <v>71</v>
      </c>
      <c r="F11142">
        <v>4450757</v>
      </c>
      <c r="G11142" t="s">
        <v>3829</v>
      </c>
      <c r="H11142" s="21">
        <v>960.67</v>
      </c>
    </row>
    <row r="11143" spans="1:8" customFormat="1" x14ac:dyDescent="0.25">
      <c r="A11143" t="str">
        <f>"4520297"</f>
        <v>4520297</v>
      </c>
      <c r="B11143" t="s">
        <v>10159</v>
      </c>
      <c r="C11143" t="s">
        <v>119</v>
      </c>
      <c r="D11143" s="21" t="s">
        <v>34</v>
      </c>
      <c r="E11143" s="21" t="s">
        <v>71</v>
      </c>
      <c r="F11143">
        <v>4450754</v>
      </c>
      <c r="G11143" t="s">
        <v>2695</v>
      </c>
      <c r="H11143" s="21">
        <v>960.67</v>
      </c>
    </row>
    <row r="11144" spans="1:8" customFormat="1" x14ac:dyDescent="0.25">
      <c r="A11144" t="str">
        <f>"569720"</f>
        <v>569720</v>
      </c>
      <c r="B11144" t="s">
        <v>3576</v>
      </c>
      <c r="C11144" t="s">
        <v>253</v>
      </c>
      <c r="D11144" s="21" t="s">
        <v>34</v>
      </c>
      <c r="E11144" s="21" t="s">
        <v>254</v>
      </c>
      <c r="F11144">
        <v>3560044</v>
      </c>
      <c r="G11144" t="s">
        <v>4890</v>
      </c>
      <c r="H11144" s="21">
        <v>960.67</v>
      </c>
    </row>
    <row r="11145" spans="1:8" customFormat="1" x14ac:dyDescent="0.25">
      <c r="A11145" t="str">
        <f>"5611044"</f>
        <v>5611044</v>
      </c>
      <c r="B11145" t="s">
        <v>10395</v>
      </c>
      <c r="C11145" t="s">
        <v>1231</v>
      </c>
      <c r="D11145" s="21" t="s">
        <v>34</v>
      </c>
      <c r="E11145" s="21" t="s">
        <v>35</v>
      </c>
      <c r="F11145">
        <v>3560028</v>
      </c>
      <c r="G11145" t="s">
        <v>5916</v>
      </c>
      <c r="H11145" s="21">
        <v>960.67</v>
      </c>
    </row>
    <row r="11146" spans="1:8" customFormat="1" x14ac:dyDescent="0.25">
      <c r="A11146" t="str">
        <f>"84428"</f>
        <v>84428</v>
      </c>
      <c r="B11146" t="s">
        <v>10826</v>
      </c>
      <c r="C11146" t="s">
        <v>453</v>
      </c>
      <c r="D11146" s="21" t="s">
        <v>34</v>
      </c>
      <c r="E11146" s="21" t="s">
        <v>254</v>
      </c>
      <c r="F11146">
        <v>13840037</v>
      </c>
      <c r="G11146" t="s">
        <v>2019</v>
      </c>
      <c r="H11146" s="21">
        <v>960.67</v>
      </c>
    </row>
    <row r="11147" spans="1:8" customFormat="1" x14ac:dyDescent="0.25">
      <c r="A11147" t="str">
        <f>"3714824"</f>
        <v>3714824</v>
      </c>
      <c r="B11147" t="s">
        <v>11795</v>
      </c>
      <c r="C11147" t="s">
        <v>169</v>
      </c>
      <c r="D11147" s="21" t="s">
        <v>34</v>
      </c>
      <c r="E11147" s="21" t="s">
        <v>35</v>
      </c>
      <c r="F11147">
        <v>4370001</v>
      </c>
      <c r="G11147" t="s">
        <v>957</v>
      </c>
      <c r="H11147" s="21">
        <v>960.67</v>
      </c>
    </row>
    <row r="11148" spans="1:8" customFormat="1" x14ac:dyDescent="0.25">
      <c r="A11148" t="str">
        <f>"838742"</f>
        <v>838742</v>
      </c>
      <c r="B11148" t="s">
        <v>10042</v>
      </c>
      <c r="C11148" t="s">
        <v>60</v>
      </c>
      <c r="D11148" s="21" t="s">
        <v>34</v>
      </c>
      <c r="E11148" s="21" t="s">
        <v>35</v>
      </c>
      <c r="F11148">
        <v>13830091</v>
      </c>
      <c r="G11148" t="s">
        <v>7389</v>
      </c>
      <c r="H11148" s="21">
        <v>960.67</v>
      </c>
    </row>
    <row r="11149" spans="1:8" customFormat="1" x14ac:dyDescent="0.25">
      <c r="A11149" t="str">
        <f>"9112270"</f>
        <v>9112270</v>
      </c>
      <c r="B11149" t="s">
        <v>11398</v>
      </c>
      <c r="C11149" t="s">
        <v>124</v>
      </c>
      <c r="D11149" s="21" t="s">
        <v>34</v>
      </c>
      <c r="E11149" s="21" t="s">
        <v>1089</v>
      </c>
      <c r="F11149">
        <v>8910285</v>
      </c>
      <c r="G11149" t="s">
        <v>26604</v>
      </c>
      <c r="H11149" s="21">
        <v>960.67</v>
      </c>
    </row>
    <row r="11150" spans="1:8" customFormat="1" x14ac:dyDescent="0.25">
      <c r="A11150" t="str">
        <f>"6219199"</f>
        <v>6219199</v>
      </c>
      <c r="B11150" t="s">
        <v>11387</v>
      </c>
      <c r="C11150" t="s">
        <v>147</v>
      </c>
      <c r="D11150" s="21" t="s">
        <v>34</v>
      </c>
      <c r="E11150" s="21" t="s">
        <v>35</v>
      </c>
      <c r="F11150">
        <v>7620015</v>
      </c>
      <c r="G11150" t="s">
        <v>377</v>
      </c>
      <c r="H11150" s="21">
        <v>960.67</v>
      </c>
    </row>
    <row r="11151" spans="1:8" customFormat="1" x14ac:dyDescent="0.25">
      <c r="A11151" t="str">
        <f>"743935"</f>
        <v>743935</v>
      </c>
      <c r="B11151" t="s">
        <v>10134</v>
      </c>
      <c r="C11151" t="s">
        <v>1675</v>
      </c>
      <c r="D11151" s="21" t="s">
        <v>34</v>
      </c>
      <c r="E11151" s="21" t="s">
        <v>71</v>
      </c>
      <c r="F11151">
        <v>1740003</v>
      </c>
      <c r="G11151" t="s">
        <v>982</v>
      </c>
      <c r="H11151" s="21">
        <v>960.54</v>
      </c>
    </row>
    <row r="11152" spans="1:8" customFormat="1" x14ac:dyDescent="0.25">
      <c r="A11152" t="str">
        <f>"9524492"</f>
        <v>9524492</v>
      </c>
      <c r="B11152" t="s">
        <v>22388</v>
      </c>
      <c r="C11152" t="s">
        <v>1359</v>
      </c>
      <c r="D11152" s="21" t="s">
        <v>34</v>
      </c>
      <c r="E11152" s="21" t="s">
        <v>35</v>
      </c>
      <c r="F11152">
        <v>7600169</v>
      </c>
      <c r="G11152" t="s">
        <v>9768</v>
      </c>
      <c r="H11152" s="21">
        <v>960.54</v>
      </c>
    </row>
    <row r="11153" spans="1:8" customFormat="1" x14ac:dyDescent="0.25">
      <c r="A11153" t="str">
        <f>"139387"</f>
        <v>139387</v>
      </c>
      <c r="B11153" t="s">
        <v>6262</v>
      </c>
      <c r="C11153" t="s">
        <v>236</v>
      </c>
      <c r="D11153" s="21" t="s">
        <v>34</v>
      </c>
      <c r="E11153" s="21" t="s">
        <v>71</v>
      </c>
      <c r="F11153">
        <v>11650018</v>
      </c>
      <c r="G11153" t="s">
        <v>6247</v>
      </c>
      <c r="H11153" s="21">
        <v>960.42</v>
      </c>
    </row>
    <row r="11154" spans="1:8" customFormat="1" x14ac:dyDescent="0.25">
      <c r="A11154" t="str">
        <f>"6232134"</f>
        <v>6232134</v>
      </c>
      <c r="B11154" t="s">
        <v>17511</v>
      </c>
      <c r="C11154" t="s">
        <v>576</v>
      </c>
      <c r="D11154" s="21" t="s">
        <v>34</v>
      </c>
      <c r="E11154" s="21" t="s">
        <v>35</v>
      </c>
      <c r="F11154">
        <v>7620088</v>
      </c>
      <c r="G11154" t="s">
        <v>3342</v>
      </c>
      <c r="H11154" s="21">
        <v>960.29</v>
      </c>
    </row>
    <row r="11155" spans="1:8" customFormat="1" x14ac:dyDescent="0.25">
      <c r="A11155" t="str">
        <f>"192604"</f>
        <v>192604</v>
      </c>
      <c r="B11155" t="s">
        <v>11343</v>
      </c>
      <c r="C11155" t="s">
        <v>33</v>
      </c>
      <c r="D11155" s="21" t="s">
        <v>34</v>
      </c>
      <c r="E11155" s="21" t="s">
        <v>71</v>
      </c>
      <c r="F11155">
        <v>10190080</v>
      </c>
      <c r="G11155" t="s">
        <v>1726</v>
      </c>
      <c r="H11155" s="21">
        <v>960.17</v>
      </c>
    </row>
    <row r="11156" spans="1:8" customFormat="1" x14ac:dyDescent="0.25">
      <c r="A11156" t="str">
        <f>"7724469"</f>
        <v>7724469</v>
      </c>
      <c r="B11156" t="s">
        <v>10057</v>
      </c>
      <c r="C11156" t="s">
        <v>302</v>
      </c>
      <c r="D11156" s="21" t="s">
        <v>34</v>
      </c>
      <c r="E11156" s="21" t="s">
        <v>35</v>
      </c>
      <c r="F11156">
        <v>8771514</v>
      </c>
      <c r="G11156" t="s">
        <v>10058</v>
      </c>
      <c r="H11156" s="21">
        <v>960.17</v>
      </c>
    </row>
    <row r="11157" spans="1:8" customFormat="1" x14ac:dyDescent="0.25">
      <c r="A11157" t="str">
        <f>"168907"</f>
        <v>168907</v>
      </c>
      <c r="B11157" t="s">
        <v>4723</v>
      </c>
      <c r="C11157" t="s">
        <v>239</v>
      </c>
      <c r="D11157" s="21" t="s">
        <v>34</v>
      </c>
      <c r="E11157" s="21" t="s">
        <v>254</v>
      </c>
      <c r="F11157">
        <v>10160029</v>
      </c>
      <c r="G11157" t="s">
        <v>896</v>
      </c>
      <c r="H11157" s="21">
        <v>960.17</v>
      </c>
    </row>
    <row r="11158" spans="1:8" customFormat="1" x14ac:dyDescent="0.25">
      <c r="A11158" t="str">
        <f>"2712620"</f>
        <v>2712620</v>
      </c>
      <c r="B11158" t="s">
        <v>9758</v>
      </c>
      <c r="C11158" t="s">
        <v>114</v>
      </c>
      <c r="D11158" s="21" t="s">
        <v>34</v>
      </c>
      <c r="E11158" s="21" t="s">
        <v>71</v>
      </c>
      <c r="F11158">
        <v>9270097</v>
      </c>
      <c r="G11158" t="s">
        <v>9759</v>
      </c>
      <c r="H11158" s="21">
        <v>960.17</v>
      </c>
    </row>
    <row r="11159" spans="1:8" customFormat="1" x14ac:dyDescent="0.25">
      <c r="A11159" t="str">
        <f>"7510472"</f>
        <v>7510472</v>
      </c>
      <c r="B11159" t="s">
        <v>10766</v>
      </c>
      <c r="C11159" t="s">
        <v>87</v>
      </c>
      <c r="D11159" s="21" t="s">
        <v>34</v>
      </c>
      <c r="E11159" s="21" t="s">
        <v>35</v>
      </c>
      <c r="F11159">
        <v>13060066</v>
      </c>
      <c r="G11159" t="s">
        <v>2556</v>
      </c>
      <c r="H11159" s="21">
        <v>960.17</v>
      </c>
    </row>
    <row r="11160" spans="1:8" customFormat="1" x14ac:dyDescent="0.25">
      <c r="A11160" t="str">
        <f>"33652"</f>
        <v>33652</v>
      </c>
      <c r="B11160" t="s">
        <v>11405</v>
      </c>
      <c r="C11160" t="s">
        <v>1665</v>
      </c>
      <c r="D11160" s="21" t="s">
        <v>34</v>
      </c>
      <c r="E11160" s="21" t="s">
        <v>254</v>
      </c>
      <c r="F11160">
        <v>10330022</v>
      </c>
      <c r="G11160" t="s">
        <v>1830</v>
      </c>
      <c r="H11160" s="21">
        <v>960.17</v>
      </c>
    </row>
    <row r="11161" spans="1:8" customFormat="1" x14ac:dyDescent="0.25">
      <c r="A11161" t="str">
        <f>"5935585"</f>
        <v>5935585</v>
      </c>
      <c r="B11161" t="s">
        <v>853</v>
      </c>
      <c r="C11161" t="s">
        <v>2072</v>
      </c>
      <c r="D11161" s="21" t="s">
        <v>34</v>
      </c>
      <c r="E11161" s="21" t="s">
        <v>254</v>
      </c>
      <c r="F11161">
        <v>7590345</v>
      </c>
      <c r="G11161" t="s">
        <v>3297</v>
      </c>
      <c r="H11161" s="21">
        <v>960.17</v>
      </c>
    </row>
    <row r="11162" spans="1:8" customFormat="1" x14ac:dyDescent="0.25">
      <c r="A11162" t="str">
        <f>"6920321"</f>
        <v>6920321</v>
      </c>
      <c r="B11162" t="s">
        <v>4564</v>
      </c>
      <c r="C11162" t="s">
        <v>144</v>
      </c>
      <c r="D11162" s="21" t="s">
        <v>34</v>
      </c>
      <c r="E11162" s="21" t="s">
        <v>35</v>
      </c>
      <c r="F11162">
        <v>10330117</v>
      </c>
      <c r="G11162" t="s">
        <v>1942</v>
      </c>
      <c r="H11162" s="21">
        <v>960.17</v>
      </c>
    </row>
    <row r="11163" spans="1:8" customFormat="1" x14ac:dyDescent="0.25">
      <c r="A11163" t="str">
        <f>"733321"</f>
        <v>733321</v>
      </c>
      <c r="B11163" t="s">
        <v>11417</v>
      </c>
      <c r="C11163" t="s">
        <v>1705</v>
      </c>
      <c r="D11163" s="21" t="s">
        <v>34</v>
      </c>
      <c r="E11163" s="21" t="s">
        <v>254</v>
      </c>
      <c r="F11163">
        <v>1730077</v>
      </c>
      <c r="G11163" t="s">
        <v>1517</v>
      </c>
      <c r="H11163" s="21">
        <v>960.17</v>
      </c>
    </row>
    <row r="11164" spans="1:8" customFormat="1" x14ac:dyDescent="0.25">
      <c r="A11164" t="str">
        <f>"876075"</f>
        <v>876075</v>
      </c>
      <c r="B11164" t="s">
        <v>11049</v>
      </c>
      <c r="C11164" t="s">
        <v>11050</v>
      </c>
      <c r="D11164" s="21" t="s">
        <v>34</v>
      </c>
      <c r="E11164" s="21" t="s">
        <v>71</v>
      </c>
      <c r="F11164">
        <v>9760014</v>
      </c>
      <c r="G11164" t="s">
        <v>1017</v>
      </c>
      <c r="H11164" s="21">
        <v>960.17</v>
      </c>
    </row>
    <row r="11165" spans="1:8" customFormat="1" x14ac:dyDescent="0.25">
      <c r="A11165" t="str">
        <f>"44155"</f>
        <v>44155</v>
      </c>
      <c r="B11165" t="s">
        <v>11222</v>
      </c>
      <c r="C11165" t="s">
        <v>428</v>
      </c>
      <c r="D11165" s="21" t="s">
        <v>34</v>
      </c>
      <c r="E11165" s="21" t="s">
        <v>254</v>
      </c>
      <c r="F11165">
        <v>12440004</v>
      </c>
      <c r="G11165" t="s">
        <v>26530</v>
      </c>
      <c r="H11165" s="21">
        <v>960.17</v>
      </c>
    </row>
    <row r="11166" spans="1:8" customFormat="1" x14ac:dyDescent="0.25">
      <c r="A11166" t="str">
        <f>"6014738"</f>
        <v>6014738</v>
      </c>
      <c r="B11166" t="s">
        <v>22953</v>
      </c>
      <c r="C11166" t="s">
        <v>415</v>
      </c>
      <c r="D11166" s="21" t="s">
        <v>34</v>
      </c>
      <c r="E11166" s="21" t="s">
        <v>71</v>
      </c>
      <c r="F11166">
        <v>7600088</v>
      </c>
      <c r="G11166" t="s">
        <v>334</v>
      </c>
      <c r="H11166" s="21">
        <v>960.17</v>
      </c>
    </row>
    <row r="11167" spans="1:8" customFormat="1" x14ac:dyDescent="0.25">
      <c r="A11167" t="str">
        <f>"5318781"</f>
        <v>5318781</v>
      </c>
      <c r="B11167" t="s">
        <v>4352</v>
      </c>
      <c r="C11167" t="s">
        <v>209</v>
      </c>
      <c r="D11167" s="21" t="s">
        <v>34</v>
      </c>
      <c r="E11167" s="21" t="s">
        <v>71</v>
      </c>
      <c r="F11167">
        <v>12530093</v>
      </c>
      <c r="G11167" t="s">
        <v>7865</v>
      </c>
      <c r="H11167" s="21">
        <v>960.17</v>
      </c>
    </row>
    <row r="11168" spans="1:8" customFormat="1" x14ac:dyDescent="0.25">
      <c r="A11168" t="str">
        <f>"852101"</f>
        <v>852101</v>
      </c>
      <c r="B11168" t="s">
        <v>11629</v>
      </c>
      <c r="C11168" t="s">
        <v>33</v>
      </c>
      <c r="D11168" s="21" t="s">
        <v>34</v>
      </c>
      <c r="E11168" s="21" t="s">
        <v>35</v>
      </c>
      <c r="F11168">
        <v>12850138</v>
      </c>
      <c r="G11168" t="s">
        <v>6879</v>
      </c>
      <c r="H11168" s="21">
        <v>960.17</v>
      </c>
    </row>
    <row r="11169" spans="1:8" customFormat="1" x14ac:dyDescent="0.25">
      <c r="A11169" t="str">
        <f>"5017524"</f>
        <v>5017524</v>
      </c>
      <c r="B11169" t="s">
        <v>11060</v>
      </c>
      <c r="C11169" t="s">
        <v>249</v>
      </c>
      <c r="D11169" s="21" t="s">
        <v>34</v>
      </c>
      <c r="E11169" s="21" t="s">
        <v>71</v>
      </c>
      <c r="F11169">
        <v>9500143</v>
      </c>
      <c r="G11169" t="s">
        <v>2884</v>
      </c>
      <c r="H11169" s="21">
        <v>960.05</v>
      </c>
    </row>
    <row r="11170" spans="1:8" customFormat="1" x14ac:dyDescent="0.25">
      <c r="A11170" t="str">
        <f>"6924429"</f>
        <v>6924429</v>
      </c>
      <c r="B11170" t="s">
        <v>12686</v>
      </c>
      <c r="C11170" t="s">
        <v>127</v>
      </c>
      <c r="D11170" s="21" t="s">
        <v>34</v>
      </c>
      <c r="E11170" s="21" t="s">
        <v>35</v>
      </c>
      <c r="F11170">
        <v>2710051</v>
      </c>
      <c r="G11170" t="s">
        <v>4811</v>
      </c>
      <c r="H11170" s="21">
        <v>959.92</v>
      </c>
    </row>
    <row r="11171" spans="1:8" customFormat="1" x14ac:dyDescent="0.25">
      <c r="A11171" t="str">
        <f>"4525013"</f>
        <v>4525013</v>
      </c>
      <c r="B11171" t="s">
        <v>1577</v>
      </c>
      <c r="C11171" t="s">
        <v>269</v>
      </c>
      <c r="D11171" s="21" t="s">
        <v>34</v>
      </c>
      <c r="E11171" s="21" t="s">
        <v>71</v>
      </c>
      <c r="F11171">
        <v>4450108</v>
      </c>
      <c r="G11171" t="s">
        <v>2354</v>
      </c>
      <c r="H11171" s="21">
        <v>959.79</v>
      </c>
    </row>
    <row r="11172" spans="1:8" customFormat="1" x14ac:dyDescent="0.25">
      <c r="A11172" t="str">
        <f>"4910745"</f>
        <v>4910745</v>
      </c>
      <c r="B11172" t="s">
        <v>7257</v>
      </c>
      <c r="C11172" t="s">
        <v>486</v>
      </c>
      <c r="D11172" s="21" t="s">
        <v>34</v>
      </c>
      <c r="E11172" s="21" t="s">
        <v>71</v>
      </c>
      <c r="F11172">
        <v>12490117</v>
      </c>
      <c r="G11172" t="s">
        <v>10141</v>
      </c>
      <c r="H11172" s="21">
        <v>959.67</v>
      </c>
    </row>
    <row r="11173" spans="1:8" customFormat="1" x14ac:dyDescent="0.25">
      <c r="A11173" t="str">
        <f>"7623573"</f>
        <v>7623573</v>
      </c>
      <c r="B11173" t="s">
        <v>11066</v>
      </c>
      <c r="C11173" t="s">
        <v>8680</v>
      </c>
      <c r="D11173" s="21" t="s">
        <v>34</v>
      </c>
      <c r="E11173" s="21" t="s">
        <v>71</v>
      </c>
      <c r="F11173">
        <v>9760291</v>
      </c>
      <c r="G11173" t="s">
        <v>26611</v>
      </c>
      <c r="H11173" s="21">
        <v>959.67</v>
      </c>
    </row>
    <row r="11174" spans="1:8" customFormat="1" x14ac:dyDescent="0.25">
      <c r="A11174" t="str">
        <f>"678036"</f>
        <v>678036</v>
      </c>
      <c r="B11174" t="s">
        <v>10513</v>
      </c>
      <c r="C11174" t="s">
        <v>65</v>
      </c>
      <c r="D11174" s="21" t="s">
        <v>34</v>
      </c>
      <c r="E11174" s="21" t="s">
        <v>35</v>
      </c>
      <c r="F11174">
        <v>6670115</v>
      </c>
      <c r="G11174" t="s">
        <v>3798</v>
      </c>
      <c r="H11174" s="21">
        <v>959.67</v>
      </c>
    </row>
    <row r="11175" spans="1:8" customFormat="1" x14ac:dyDescent="0.25">
      <c r="A11175" t="str">
        <f>"189329"</f>
        <v>189329</v>
      </c>
      <c r="B11175" t="s">
        <v>15187</v>
      </c>
      <c r="C11175" t="s">
        <v>127</v>
      </c>
      <c r="D11175" s="21" t="s">
        <v>34</v>
      </c>
      <c r="E11175" s="21" t="s">
        <v>35</v>
      </c>
      <c r="F11175">
        <v>4180727</v>
      </c>
      <c r="G11175" t="s">
        <v>8025</v>
      </c>
      <c r="H11175" s="21">
        <v>959.67</v>
      </c>
    </row>
    <row r="11176" spans="1:8" customFormat="1" x14ac:dyDescent="0.25">
      <c r="A11176" t="str">
        <f>"851713"</f>
        <v>851713</v>
      </c>
      <c r="B11176" t="s">
        <v>2746</v>
      </c>
      <c r="C11176" t="s">
        <v>4721</v>
      </c>
      <c r="D11176" s="21" t="s">
        <v>34</v>
      </c>
      <c r="E11176" s="21" t="s">
        <v>1089</v>
      </c>
      <c r="F11176">
        <v>12850063</v>
      </c>
      <c r="G11176" t="s">
        <v>10302</v>
      </c>
      <c r="H11176" s="21">
        <v>959.67</v>
      </c>
    </row>
    <row r="11177" spans="1:8" customFormat="1" x14ac:dyDescent="0.25">
      <c r="A11177" t="str">
        <f>"8813655"</f>
        <v>8813655</v>
      </c>
      <c r="B11177" t="s">
        <v>5301</v>
      </c>
      <c r="C11177" t="s">
        <v>8417</v>
      </c>
      <c r="D11177" s="21" t="s">
        <v>34</v>
      </c>
      <c r="E11177" s="21" t="s">
        <v>35</v>
      </c>
      <c r="F11177">
        <v>12850020</v>
      </c>
      <c r="G11177" t="s">
        <v>725</v>
      </c>
      <c r="H11177" s="21">
        <v>959.67</v>
      </c>
    </row>
    <row r="11178" spans="1:8" customFormat="1" x14ac:dyDescent="0.25">
      <c r="A11178" t="str">
        <f>"493165"</f>
        <v>493165</v>
      </c>
      <c r="B11178" t="s">
        <v>10588</v>
      </c>
      <c r="C11178" t="s">
        <v>119</v>
      </c>
      <c r="D11178" s="21" t="s">
        <v>34</v>
      </c>
      <c r="E11178" s="21" t="s">
        <v>35</v>
      </c>
      <c r="F11178">
        <v>12490035</v>
      </c>
      <c r="G11178" t="s">
        <v>9242</v>
      </c>
      <c r="H11178" s="21">
        <v>959.67</v>
      </c>
    </row>
    <row r="11179" spans="1:8" customFormat="1" x14ac:dyDescent="0.25">
      <c r="A11179" t="str">
        <f>"121170"</f>
        <v>121170</v>
      </c>
      <c r="B11179" t="s">
        <v>4723</v>
      </c>
      <c r="C11179" t="s">
        <v>65</v>
      </c>
      <c r="D11179" s="21" t="s">
        <v>34</v>
      </c>
      <c r="E11179" s="21" t="s">
        <v>35</v>
      </c>
      <c r="F11179">
        <v>11120044</v>
      </c>
      <c r="G11179" t="s">
        <v>15823</v>
      </c>
      <c r="H11179" s="21">
        <v>959.67</v>
      </c>
    </row>
    <row r="11180" spans="1:8" customFormat="1" x14ac:dyDescent="0.25">
      <c r="A11180" t="str">
        <f>"3324693"</f>
        <v>3324693</v>
      </c>
      <c r="B11180" t="s">
        <v>13879</v>
      </c>
      <c r="C11180" t="s">
        <v>169</v>
      </c>
      <c r="D11180" s="21" t="s">
        <v>34</v>
      </c>
      <c r="E11180" s="21" t="s">
        <v>35</v>
      </c>
      <c r="F11180">
        <v>10330037</v>
      </c>
      <c r="G11180" t="s">
        <v>5960</v>
      </c>
      <c r="H11180" s="21">
        <v>959.67</v>
      </c>
    </row>
    <row r="11181" spans="1:8" customFormat="1" x14ac:dyDescent="0.25">
      <c r="A11181" t="str">
        <f>"422262"</f>
        <v>422262</v>
      </c>
      <c r="B11181" t="s">
        <v>10716</v>
      </c>
      <c r="C11181" t="s">
        <v>263</v>
      </c>
      <c r="D11181" s="21" t="s">
        <v>34</v>
      </c>
      <c r="E11181" s="21" t="s">
        <v>254</v>
      </c>
      <c r="F11181">
        <v>1420156</v>
      </c>
      <c r="G11181" t="s">
        <v>5635</v>
      </c>
      <c r="H11181" s="21">
        <v>959.67</v>
      </c>
    </row>
    <row r="11182" spans="1:8" customFormat="1" x14ac:dyDescent="0.25">
      <c r="A11182" t="str">
        <f>"8517373"</f>
        <v>8517373</v>
      </c>
      <c r="B11182" t="s">
        <v>2644</v>
      </c>
      <c r="C11182" t="s">
        <v>676</v>
      </c>
      <c r="D11182" s="21" t="s">
        <v>34</v>
      </c>
      <c r="E11182" s="21" t="s">
        <v>71</v>
      </c>
      <c r="F11182">
        <v>12850037</v>
      </c>
      <c r="G11182" t="s">
        <v>2787</v>
      </c>
      <c r="H11182" s="21">
        <v>959.67</v>
      </c>
    </row>
    <row r="11183" spans="1:8" customFormat="1" x14ac:dyDescent="0.25">
      <c r="A11183" t="str">
        <f>"623838"</f>
        <v>623838</v>
      </c>
      <c r="B11183" t="s">
        <v>10122</v>
      </c>
      <c r="C11183" t="s">
        <v>926</v>
      </c>
      <c r="D11183" s="21" t="s">
        <v>34</v>
      </c>
      <c r="E11183" s="21" t="s">
        <v>254</v>
      </c>
      <c r="F11183">
        <v>7620044</v>
      </c>
      <c r="G11183" t="s">
        <v>2961</v>
      </c>
      <c r="H11183" s="21">
        <v>959.67</v>
      </c>
    </row>
    <row r="11184" spans="1:8" customFormat="1" x14ac:dyDescent="0.25">
      <c r="A11184" t="str">
        <f>"27967"</f>
        <v>27967</v>
      </c>
      <c r="B11184" t="s">
        <v>12239</v>
      </c>
      <c r="C11184" t="s">
        <v>1605</v>
      </c>
      <c r="D11184" s="21" t="s">
        <v>34</v>
      </c>
      <c r="E11184" s="21" t="s">
        <v>254</v>
      </c>
      <c r="F11184">
        <v>9270152</v>
      </c>
      <c r="G11184" t="s">
        <v>1985</v>
      </c>
      <c r="H11184" s="21">
        <v>959.67</v>
      </c>
    </row>
    <row r="11185" spans="1:8" customFormat="1" x14ac:dyDescent="0.25">
      <c r="A11185" t="str">
        <f>"3516529"</f>
        <v>3516529</v>
      </c>
      <c r="B11185" t="s">
        <v>12230</v>
      </c>
      <c r="C11185" t="s">
        <v>608</v>
      </c>
      <c r="D11185" s="21" t="s">
        <v>34</v>
      </c>
      <c r="E11185" s="21" t="s">
        <v>71</v>
      </c>
      <c r="F11185">
        <v>3350016</v>
      </c>
      <c r="G11185" t="s">
        <v>133</v>
      </c>
      <c r="H11185" s="21">
        <v>959.67</v>
      </c>
    </row>
    <row r="11186" spans="1:8" customFormat="1" x14ac:dyDescent="0.25">
      <c r="A11186" t="str">
        <f>"877496"</f>
        <v>877496</v>
      </c>
      <c r="B11186" t="s">
        <v>11419</v>
      </c>
      <c r="C11186" t="s">
        <v>611</v>
      </c>
      <c r="D11186" s="21" t="s">
        <v>34</v>
      </c>
      <c r="E11186" s="21" t="s">
        <v>35</v>
      </c>
      <c r="F11186">
        <v>10870081</v>
      </c>
      <c r="G11186" t="s">
        <v>6698</v>
      </c>
      <c r="H11186" s="21">
        <v>959.67</v>
      </c>
    </row>
    <row r="11187" spans="1:8" customFormat="1" x14ac:dyDescent="0.25">
      <c r="A11187" t="str">
        <f>"844334"</f>
        <v>844334</v>
      </c>
      <c r="B11187" t="s">
        <v>11851</v>
      </c>
      <c r="C11187" t="s">
        <v>11852</v>
      </c>
      <c r="D11187" s="21" t="s">
        <v>34</v>
      </c>
      <c r="E11187" s="21" t="s">
        <v>35</v>
      </c>
      <c r="F11187">
        <v>1260055</v>
      </c>
      <c r="G11187" t="s">
        <v>8460</v>
      </c>
      <c r="H11187" s="21">
        <v>959.67</v>
      </c>
    </row>
    <row r="11188" spans="1:8" customFormat="1" x14ac:dyDescent="0.25">
      <c r="A11188" t="str">
        <f>"4448663"</f>
        <v>4448663</v>
      </c>
      <c r="B11188" t="s">
        <v>1027</v>
      </c>
      <c r="C11188" t="s">
        <v>1914</v>
      </c>
      <c r="D11188" s="21" t="s">
        <v>34</v>
      </c>
      <c r="E11188" s="21" t="s">
        <v>254</v>
      </c>
      <c r="F11188">
        <v>12850143</v>
      </c>
      <c r="G11188" t="s">
        <v>1625</v>
      </c>
      <c r="H11188" s="21">
        <v>959.67</v>
      </c>
    </row>
    <row r="11189" spans="1:8" customFormat="1" x14ac:dyDescent="0.25">
      <c r="A11189" t="str">
        <f>"6933364"</f>
        <v>6933364</v>
      </c>
      <c r="B11189" t="s">
        <v>10940</v>
      </c>
      <c r="C11189" t="s">
        <v>187</v>
      </c>
      <c r="D11189" s="21" t="s">
        <v>34</v>
      </c>
      <c r="E11189" s="21" t="s">
        <v>71</v>
      </c>
      <c r="F11189">
        <v>1420165</v>
      </c>
      <c r="G11189" t="s">
        <v>27111</v>
      </c>
      <c r="H11189" s="21">
        <v>959.67</v>
      </c>
    </row>
    <row r="11190" spans="1:8" customFormat="1" x14ac:dyDescent="0.25">
      <c r="A11190" t="str">
        <f>"3512720"</f>
        <v>3512720</v>
      </c>
      <c r="B11190" t="s">
        <v>23794</v>
      </c>
      <c r="C11190" t="s">
        <v>1665</v>
      </c>
      <c r="D11190" s="21" t="s">
        <v>34</v>
      </c>
      <c r="E11190" s="21" t="s">
        <v>254</v>
      </c>
      <c r="F11190">
        <v>12490029</v>
      </c>
      <c r="G11190" t="s">
        <v>3485</v>
      </c>
      <c r="H11190" s="21">
        <v>959.67</v>
      </c>
    </row>
    <row r="11191" spans="1:8" customFormat="1" x14ac:dyDescent="0.25">
      <c r="A11191" t="str">
        <f>"9530744"</f>
        <v>9530744</v>
      </c>
      <c r="B11191" t="s">
        <v>27190</v>
      </c>
      <c r="C11191" t="s">
        <v>608</v>
      </c>
      <c r="D11191" s="21" t="s">
        <v>34</v>
      </c>
      <c r="E11191" s="21" t="s">
        <v>35</v>
      </c>
      <c r="F11191">
        <v>8920075</v>
      </c>
      <c r="G11191" t="s">
        <v>317</v>
      </c>
      <c r="H11191" s="21">
        <v>959.67</v>
      </c>
    </row>
    <row r="11192" spans="1:8" customFormat="1" x14ac:dyDescent="0.25">
      <c r="A11192" t="str">
        <f>"4444085"</f>
        <v>4444085</v>
      </c>
      <c r="B11192" t="s">
        <v>10941</v>
      </c>
      <c r="C11192" t="s">
        <v>65</v>
      </c>
      <c r="D11192" s="21" t="s">
        <v>34</v>
      </c>
      <c r="E11192" s="21" t="s">
        <v>35</v>
      </c>
      <c r="F11192">
        <v>12850136</v>
      </c>
      <c r="G11192" t="s">
        <v>2536</v>
      </c>
      <c r="H11192" s="21">
        <v>959.67</v>
      </c>
    </row>
    <row r="11193" spans="1:8" customFormat="1" x14ac:dyDescent="0.25">
      <c r="A11193" t="str">
        <f>"217924"</f>
        <v>217924</v>
      </c>
      <c r="B11193" t="s">
        <v>503</v>
      </c>
      <c r="C11193" t="s">
        <v>428</v>
      </c>
      <c r="D11193" s="21" t="s">
        <v>34</v>
      </c>
      <c r="E11193" s="21" t="s">
        <v>35</v>
      </c>
      <c r="F11193">
        <v>2210123</v>
      </c>
      <c r="G11193" t="s">
        <v>11231</v>
      </c>
      <c r="H11193" s="21">
        <v>959.67</v>
      </c>
    </row>
    <row r="11194" spans="1:8" customFormat="1" x14ac:dyDescent="0.25">
      <c r="A11194" t="str">
        <f>"781526"</f>
        <v>781526</v>
      </c>
      <c r="B11194" t="s">
        <v>27191</v>
      </c>
      <c r="C11194" t="s">
        <v>169</v>
      </c>
      <c r="D11194" s="21" t="s">
        <v>34</v>
      </c>
      <c r="E11194" s="21" t="s">
        <v>71</v>
      </c>
      <c r="F11194">
        <v>8780660</v>
      </c>
      <c r="G11194" t="s">
        <v>2801</v>
      </c>
      <c r="H11194" s="21">
        <v>959.67</v>
      </c>
    </row>
    <row r="11195" spans="1:8" customFormat="1" x14ac:dyDescent="0.25">
      <c r="A11195" t="str">
        <f>"5917179"</f>
        <v>5917179</v>
      </c>
      <c r="B11195" t="s">
        <v>11627</v>
      </c>
      <c r="C11195" t="s">
        <v>144</v>
      </c>
      <c r="D11195" s="21" t="s">
        <v>34</v>
      </c>
      <c r="E11195" s="21" t="s">
        <v>35</v>
      </c>
      <c r="F11195">
        <v>7590175</v>
      </c>
      <c r="G11195" t="s">
        <v>3063</v>
      </c>
      <c r="H11195" s="21">
        <v>959.67</v>
      </c>
    </row>
    <row r="11196" spans="1:8" customFormat="1" x14ac:dyDescent="0.25">
      <c r="A11196" t="str">
        <f>"69344"</f>
        <v>69344</v>
      </c>
      <c r="B11196" t="s">
        <v>9954</v>
      </c>
      <c r="C11196" t="s">
        <v>3010</v>
      </c>
      <c r="D11196" s="21" t="s">
        <v>34</v>
      </c>
      <c r="E11196" s="21" t="s">
        <v>1089</v>
      </c>
      <c r="F11196">
        <v>1010069</v>
      </c>
      <c r="G11196" t="s">
        <v>1707</v>
      </c>
      <c r="H11196" s="21">
        <v>959.17</v>
      </c>
    </row>
    <row r="11197" spans="1:8" customFormat="1" x14ac:dyDescent="0.25">
      <c r="A11197" t="str">
        <f>"3325634"</f>
        <v>3325634</v>
      </c>
      <c r="B11197" t="s">
        <v>4183</v>
      </c>
      <c r="C11197" t="s">
        <v>486</v>
      </c>
      <c r="D11197" s="21" t="s">
        <v>34</v>
      </c>
      <c r="E11197" s="21" t="s">
        <v>35</v>
      </c>
      <c r="F11197">
        <v>10330002</v>
      </c>
      <c r="G11197" t="s">
        <v>53</v>
      </c>
      <c r="H11197" s="21">
        <v>959.17</v>
      </c>
    </row>
    <row r="11198" spans="1:8" customFormat="1" x14ac:dyDescent="0.25">
      <c r="A11198" t="str">
        <f>"4930384"</f>
        <v>4930384</v>
      </c>
      <c r="B11198" t="s">
        <v>10934</v>
      </c>
      <c r="C11198" t="s">
        <v>187</v>
      </c>
      <c r="D11198" s="21" t="s">
        <v>34</v>
      </c>
      <c r="E11198" s="21" t="s">
        <v>35</v>
      </c>
      <c r="F11198">
        <v>12490010</v>
      </c>
      <c r="G11198" t="s">
        <v>4838</v>
      </c>
      <c r="H11198" s="21">
        <v>959.17</v>
      </c>
    </row>
    <row r="11199" spans="1:8" customFormat="1" x14ac:dyDescent="0.25">
      <c r="A11199" t="str">
        <f>"165258"</f>
        <v>165258</v>
      </c>
      <c r="B11199" t="s">
        <v>8766</v>
      </c>
      <c r="C11199" t="s">
        <v>249</v>
      </c>
      <c r="D11199" s="21" t="s">
        <v>34</v>
      </c>
      <c r="E11199" s="21" t="s">
        <v>71</v>
      </c>
      <c r="F11199">
        <v>10160044</v>
      </c>
      <c r="G11199" t="s">
        <v>4941</v>
      </c>
      <c r="H11199" s="21">
        <v>959.17</v>
      </c>
    </row>
    <row r="11200" spans="1:8" customFormat="1" x14ac:dyDescent="0.25">
      <c r="A11200" t="str">
        <f>"3815317"</f>
        <v>3815317</v>
      </c>
      <c r="B11200" t="s">
        <v>9251</v>
      </c>
      <c r="C11200" t="s">
        <v>171</v>
      </c>
      <c r="D11200" s="21" t="s">
        <v>34</v>
      </c>
      <c r="E11200" s="21" t="s">
        <v>71</v>
      </c>
      <c r="F11200">
        <v>1380057</v>
      </c>
      <c r="G11200" t="s">
        <v>26700</v>
      </c>
      <c r="H11200" s="21">
        <v>959.17</v>
      </c>
    </row>
    <row r="11201" spans="1:8" customFormat="1" x14ac:dyDescent="0.25">
      <c r="A11201" t="str">
        <f>"3721711"</f>
        <v>3721711</v>
      </c>
      <c r="B11201" t="s">
        <v>4151</v>
      </c>
      <c r="C11201" t="s">
        <v>288</v>
      </c>
      <c r="D11201" s="21" t="s">
        <v>34</v>
      </c>
      <c r="E11201" s="21" t="s">
        <v>35</v>
      </c>
      <c r="F11201">
        <v>4370001</v>
      </c>
      <c r="G11201" t="s">
        <v>957</v>
      </c>
      <c r="H11201" s="21">
        <v>959.17</v>
      </c>
    </row>
    <row r="11202" spans="1:8" customFormat="1" x14ac:dyDescent="0.25">
      <c r="A11202" t="str">
        <f>"9115229"</f>
        <v>9115229</v>
      </c>
      <c r="B11202" t="s">
        <v>10087</v>
      </c>
      <c r="C11202" t="s">
        <v>269</v>
      </c>
      <c r="D11202" s="21" t="s">
        <v>34</v>
      </c>
      <c r="E11202" s="21" t="s">
        <v>71</v>
      </c>
      <c r="F11202">
        <v>4180682</v>
      </c>
      <c r="G11202" t="s">
        <v>5261</v>
      </c>
      <c r="H11202" s="21">
        <v>959.17</v>
      </c>
    </row>
    <row r="11203" spans="1:8" customFormat="1" x14ac:dyDescent="0.25">
      <c r="A11203" t="str">
        <f>"4912952"</f>
        <v>4912952</v>
      </c>
      <c r="B11203" t="s">
        <v>6472</v>
      </c>
      <c r="C11203" t="s">
        <v>598</v>
      </c>
      <c r="D11203" s="21" t="s">
        <v>34</v>
      </c>
      <c r="E11203" s="21" t="s">
        <v>71</v>
      </c>
      <c r="F11203">
        <v>12490107</v>
      </c>
      <c r="G11203" t="s">
        <v>715</v>
      </c>
      <c r="H11203" s="21">
        <v>959.17</v>
      </c>
    </row>
    <row r="11204" spans="1:8" customFormat="1" x14ac:dyDescent="0.25">
      <c r="A11204" t="str">
        <f>"8015790"</f>
        <v>8015790</v>
      </c>
      <c r="B11204" t="s">
        <v>213</v>
      </c>
      <c r="C11204" t="s">
        <v>263</v>
      </c>
      <c r="D11204" s="21" t="s">
        <v>34</v>
      </c>
      <c r="E11204" s="21" t="s">
        <v>71</v>
      </c>
      <c r="F11204">
        <v>7800011</v>
      </c>
      <c r="G11204" t="s">
        <v>2253</v>
      </c>
      <c r="H11204" s="21">
        <v>959.17</v>
      </c>
    </row>
    <row r="11205" spans="1:8" customFormat="1" x14ac:dyDescent="0.25">
      <c r="A11205" t="str">
        <f>"5014795"</f>
        <v>5014795</v>
      </c>
      <c r="B11205" t="s">
        <v>7847</v>
      </c>
      <c r="C11205" t="s">
        <v>1841</v>
      </c>
      <c r="D11205" s="21" t="s">
        <v>34</v>
      </c>
      <c r="E11205" s="21" t="s">
        <v>254</v>
      </c>
      <c r="F11205">
        <v>3290221</v>
      </c>
      <c r="G11205" t="s">
        <v>3544</v>
      </c>
      <c r="H11205" s="21">
        <v>959.17</v>
      </c>
    </row>
    <row r="11206" spans="1:8" customFormat="1" x14ac:dyDescent="0.25">
      <c r="A11206" t="str">
        <f>"1312263"</f>
        <v>1312263</v>
      </c>
      <c r="B11206" t="s">
        <v>933</v>
      </c>
      <c r="C11206" t="s">
        <v>288</v>
      </c>
      <c r="D11206" s="21" t="s">
        <v>34</v>
      </c>
      <c r="E11206" s="21" t="s">
        <v>35</v>
      </c>
      <c r="F11206">
        <v>10330129</v>
      </c>
      <c r="G11206" t="s">
        <v>5977</v>
      </c>
      <c r="H11206" s="21">
        <v>959.04</v>
      </c>
    </row>
    <row r="11207" spans="1:8" customFormat="1" x14ac:dyDescent="0.25">
      <c r="A11207" t="str">
        <f>"721594"</f>
        <v>721594</v>
      </c>
      <c r="B11207" t="s">
        <v>16002</v>
      </c>
      <c r="C11207" t="s">
        <v>139</v>
      </c>
      <c r="D11207" s="21" t="s">
        <v>34</v>
      </c>
      <c r="E11207" s="21" t="s">
        <v>35</v>
      </c>
      <c r="F11207">
        <v>12490064</v>
      </c>
      <c r="G11207" t="s">
        <v>8425</v>
      </c>
      <c r="H11207" s="21">
        <v>959.04</v>
      </c>
    </row>
    <row r="11208" spans="1:8" customFormat="1" x14ac:dyDescent="0.25">
      <c r="A11208" t="str">
        <f>"3727767"</f>
        <v>3727767</v>
      </c>
      <c r="B11208" t="s">
        <v>6613</v>
      </c>
      <c r="C11208" t="s">
        <v>9894</v>
      </c>
      <c r="D11208" s="21" t="s">
        <v>34</v>
      </c>
      <c r="E11208" s="21" t="s">
        <v>35</v>
      </c>
      <c r="F11208">
        <v>6570159</v>
      </c>
      <c r="G11208" t="s">
        <v>7565</v>
      </c>
      <c r="H11208" s="21">
        <v>959</v>
      </c>
    </row>
    <row r="11209" spans="1:8" customFormat="1" x14ac:dyDescent="0.25">
      <c r="A11209" t="str">
        <f>"9413917"</f>
        <v>9413917</v>
      </c>
      <c r="B11209" t="s">
        <v>12129</v>
      </c>
      <c r="C11209" t="s">
        <v>288</v>
      </c>
      <c r="D11209" s="21" t="s">
        <v>34</v>
      </c>
      <c r="E11209" s="21" t="s">
        <v>35</v>
      </c>
      <c r="F11209">
        <v>8910876</v>
      </c>
      <c r="G11209" t="s">
        <v>1721</v>
      </c>
      <c r="H11209" s="21">
        <v>958.92</v>
      </c>
    </row>
    <row r="11210" spans="1:8" customFormat="1" x14ac:dyDescent="0.25">
      <c r="A11210" t="str">
        <f>"7869448"</f>
        <v>7869448</v>
      </c>
      <c r="B11210" t="s">
        <v>946</v>
      </c>
      <c r="C11210" t="s">
        <v>209</v>
      </c>
      <c r="D11210" s="21" t="s">
        <v>34</v>
      </c>
      <c r="E11210" s="21" t="s">
        <v>71</v>
      </c>
      <c r="F11210">
        <v>8780128</v>
      </c>
      <c r="G11210" t="s">
        <v>4201</v>
      </c>
      <c r="H11210" s="21">
        <v>958.92</v>
      </c>
    </row>
    <row r="11211" spans="1:8" customFormat="1" x14ac:dyDescent="0.25">
      <c r="A11211" t="str">
        <f>"8010408"</f>
        <v>8010408</v>
      </c>
      <c r="B11211" t="s">
        <v>9333</v>
      </c>
      <c r="C11211" t="s">
        <v>2365</v>
      </c>
      <c r="D11211" s="21" t="s">
        <v>34</v>
      </c>
      <c r="E11211" s="21" t="s">
        <v>71</v>
      </c>
      <c r="F11211">
        <v>7800015</v>
      </c>
      <c r="G11211" t="s">
        <v>8701</v>
      </c>
      <c r="H11211" s="21">
        <v>958.79</v>
      </c>
    </row>
    <row r="11212" spans="1:8" customFormat="1" x14ac:dyDescent="0.25">
      <c r="A11212" t="str">
        <f>"881963"</f>
        <v>881963</v>
      </c>
      <c r="B11212" t="s">
        <v>11730</v>
      </c>
      <c r="C11212" t="s">
        <v>202</v>
      </c>
      <c r="D11212" s="21" t="s">
        <v>34</v>
      </c>
      <c r="E11212" s="21" t="s">
        <v>254</v>
      </c>
      <c r="F11212">
        <v>6880022</v>
      </c>
      <c r="G11212" t="s">
        <v>339</v>
      </c>
      <c r="H11212" s="21">
        <v>958.67</v>
      </c>
    </row>
    <row r="11213" spans="1:8" customFormat="1" x14ac:dyDescent="0.25">
      <c r="A11213" t="str">
        <f>"1414738"</f>
        <v>1414738</v>
      </c>
      <c r="B11213" t="s">
        <v>8233</v>
      </c>
      <c r="C11213" t="s">
        <v>151</v>
      </c>
      <c r="D11213" s="21" t="s">
        <v>34</v>
      </c>
      <c r="E11213" s="21" t="s">
        <v>35</v>
      </c>
      <c r="F11213">
        <v>3290024</v>
      </c>
      <c r="G11213" t="s">
        <v>5690</v>
      </c>
      <c r="H11213" s="21">
        <v>958.67</v>
      </c>
    </row>
    <row r="11214" spans="1:8" customFormat="1" x14ac:dyDescent="0.25">
      <c r="A11214" t="str">
        <f>"3527141"</f>
        <v>3527141</v>
      </c>
      <c r="B11214" t="s">
        <v>3947</v>
      </c>
      <c r="C11214" t="s">
        <v>576</v>
      </c>
      <c r="D11214" s="21" t="s">
        <v>34</v>
      </c>
      <c r="E11214" s="21" t="s">
        <v>35</v>
      </c>
      <c r="F11214">
        <v>3350210</v>
      </c>
      <c r="G11214" t="s">
        <v>12171</v>
      </c>
      <c r="H11214" s="21">
        <v>958.67</v>
      </c>
    </row>
    <row r="11215" spans="1:8" customFormat="1" x14ac:dyDescent="0.25">
      <c r="A11215" t="str">
        <f>"6311569"</f>
        <v>6311569</v>
      </c>
      <c r="B11215" t="s">
        <v>5795</v>
      </c>
      <c r="C11215" t="s">
        <v>239</v>
      </c>
      <c r="D11215" s="21" t="s">
        <v>34</v>
      </c>
      <c r="E11215" s="21" t="s">
        <v>1089</v>
      </c>
      <c r="F11215">
        <v>1630014</v>
      </c>
      <c r="G11215" t="s">
        <v>10488</v>
      </c>
      <c r="H11215" s="21">
        <v>958.67</v>
      </c>
    </row>
    <row r="11216" spans="1:8" customFormat="1" x14ac:dyDescent="0.25">
      <c r="A11216" t="str">
        <f>"927606"</f>
        <v>927606</v>
      </c>
      <c r="B11216" t="s">
        <v>19300</v>
      </c>
      <c r="C11216" t="s">
        <v>27192</v>
      </c>
      <c r="D11216" s="21" t="s">
        <v>34</v>
      </c>
      <c r="E11216" s="21" t="s">
        <v>71</v>
      </c>
      <c r="F11216">
        <v>8951222</v>
      </c>
      <c r="G11216" t="s">
        <v>3746</v>
      </c>
      <c r="H11216" s="21">
        <v>958.67</v>
      </c>
    </row>
    <row r="11217" spans="1:8" customFormat="1" x14ac:dyDescent="0.25">
      <c r="A11217" t="str">
        <f>"913097"</f>
        <v>913097</v>
      </c>
      <c r="B11217" t="s">
        <v>5150</v>
      </c>
      <c r="C11217" t="s">
        <v>2651</v>
      </c>
      <c r="D11217" s="21" t="s">
        <v>34</v>
      </c>
      <c r="E11217" s="21" t="s">
        <v>35</v>
      </c>
      <c r="F11217">
        <v>8911285</v>
      </c>
      <c r="G11217" t="s">
        <v>2396</v>
      </c>
      <c r="H11217" s="21">
        <v>958.67</v>
      </c>
    </row>
    <row r="11218" spans="1:8" customFormat="1" x14ac:dyDescent="0.25">
      <c r="A11218" t="str">
        <f>"7217977"</f>
        <v>7217977</v>
      </c>
      <c r="B11218" t="s">
        <v>10621</v>
      </c>
      <c r="C11218" t="s">
        <v>2053</v>
      </c>
      <c r="D11218" s="21" t="s">
        <v>34</v>
      </c>
      <c r="E11218" s="21" t="s">
        <v>35</v>
      </c>
      <c r="F11218">
        <v>12720067</v>
      </c>
      <c r="G11218" t="s">
        <v>10622</v>
      </c>
      <c r="H11218" s="21">
        <v>958.67</v>
      </c>
    </row>
    <row r="11219" spans="1:8" customFormat="1" x14ac:dyDescent="0.25">
      <c r="A11219" t="str">
        <f>"3530150"</f>
        <v>3530150</v>
      </c>
      <c r="B11219" t="s">
        <v>10392</v>
      </c>
      <c r="C11219" t="s">
        <v>1812</v>
      </c>
      <c r="D11219" s="21" t="s">
        <v>34</v>
      </c>
      <c r="E11219" s="21" t="s">
        <v>71</v>
      </c>
      <c r="F11219">
        <v>3350060</v>
      </c>
      <c r="G11219" t="s">
        <v>38</v>
      </c>
      <c r="H11219" s="21">
        <v>958.67</v>
      </c>
    </row>
    <row r="11220" spans="1:8" customFormat="1" x14ac:dyDescent="0.25">
      <c r="A11220" t="str">
        <f>"9423427"</f>
        <v>9423427</v>
      </c>
      <c r="B11220" t="s">
        <v>1886</v>
      </c>
      <c r="C11220" t="s">
        <v>269</v>
      </c>
      <c r="D11220" s="21" t="s">
        <v>34</v>
      </c>
      <c r="E11220" s="21" t="s">
        <v>71</v>
      </c>
      <c r="F11220">
        <v>8940458</v>
      </c>
      <c r="G11220" t="s">
        <v>26774</v>
      </c>
      <c r="H11220" s="21">
        <v>958.67</v>
      </c>
    </row>
    <row r="11221" spans="1:8" customFormat="1" x14ac:dyDescent="0.25">
      <c r="A11221" t="str">
        <f>"545674"</f>
        <v>545674</v>
      </c>
      <c r="B11221" t="s">
        <v>616</v>
      </c>
      <c r="C11221" t="s">
        <v>547</v>
      </c>
      <c r="D11221" s="21" t="s">
        <v>34</v>
      </c>
      <c r="E11221" s="21" t="s">
        <v>71</v>
      </c>
      <c r="F11221">
        <v>6540028</v>
      </c>
      <c r="G11221" t="s">
        <v>3201</v>
      </c>
      <c r="H11221" s="21">
        <v>958.67</v>
      </c>
    </row>
    <row r="11222" spans="1:8" customFormat="1" x14ac:dyDescent="0.25">
      <c r="A11222" t="str">
        <f>"181549"</f>
        <v>181549</v>
      </c>
      <c r="B11222" t="s">
        <v>3972</v>
      </c>
      <c r="C11222" t="s">
        <v>1705</v>
      </c>
      <c r="D11222" s="21" t="s">
        <v>34</v>
      </c>
      <c r="E11222" s="21" t="s">
        <v>254</v>
      </c>
      <c r="F11222">
        <v>4180613</v>
      </c>
      <c r="G11222" t="s">
        <v>422</v>
      </c>
      <c r="H11222" s="21">
        <v>958.67</v>
      </c>
    </row>
    <row r="11223" spans="1:8" customFormat="1" x14ac:dyDescent="0.25">
      <c r="A11223" t="str">
        <f>"2611028"</f>
        <v>2611028</v>
      </c>
      <c r="B11223" t="s">
        <v>11029</v>
      </c>
      <c r="C11223" t="s">
        <v>169</v>
      </c>
      <c r="D11223" s="21" t="s">
        <v>34</v>
      </c>
      <c r="E11223" s="21" t="s">
        <v>35</v>
      </c>
      <c r="F11223">
        <v>1260005</v>
      </c>
      <c r="G11223" t="s">
        <v>10654</v>
      </c>
      <c r="H11223" s="21">
        <v>958.67</v>
      </c>
    </row>
    <row r="11224" spans="1:8" customFormat="1" x14ac:dyDescent="0.25">
      <c r="A11224" t="str">
        <f>"2712491"</f>
        <v>2712491</v>
      </c>
      <c r="B11224" t="s">
        <v>11660</v>
      </c>
      <c r="C11224" t="s">
        <v>198</v>
      </c>
      <c r="D11224" s="21" t="s">
        <v>34</v>
      </c>
      <c r="E11224" s="21" t="s">
        <v>71</v>
      </c>
      <c r="F11224">
        <v>9270150</v>
      </c>
      <c r="G11224" t="s">
        <v>11661</v>
      </c>
      <c r="H11224" s="21">
        <v>958.67</v>
      </c>
    </row>
    <row r="11225" spans="1:8" customFormat="1" x14ac:dyDescent="0.25">
      <c r="A11225" t="str">
        <f>"4211160"</f>
        <v>4211160</v>
      </c>
      <c r="B11225" t="s">
        <v>11384</v>
      </c>
      <c r="C11225" t="s">
        <v>2305</v>
      </c>
      <c r="D11225" s="21" t="s">
        <v>34</v>
      </c>
      <c r="E11225" s="21" t="s">
        <v>71</v>
      </c>
      <c r="F11225">
        <v>1420006</v>
      </c>
      <c r="G11225" t="s">
        <v>6019</v>
      </c>
      <c r="H11225" s="21">
        <v>958.67</v>
      </c>
    </row>
    <row r="11226" spans="1:8" customFormat="1" x14ac:dyDescent="0.25">
      <c r="A11226" t="str">
        <f>"7513660"</f>
        <v>7513660</v>
      </c>
      <c r="B11226" t="s">
        <v>10938</v>
      </c>
      <c r="C11226" t="s">
        <v>486</v>
      </c>
      <c r="D11226" s="21" t="s">
        <v>34</v>
      </c>
      <c r="E11226" s="21" t="s">
        <v>71</v>
      </c>
      <c r="F11226">
        <v>8940052</v>
      </c>
      <c r="G11226" t="s">
        <v>190</v>
      </c>
      <c r="H11226" s="21">
        <v>958.67</v>
      </c>
    </row>
    <row r="11227" spans="1:8" customFormat="1" x14ac:dyDescent="0.25">
      <c r="A11227" t="str">
        <f>"9448106"</f>
        <v>9448106</v>
      </c>
      <c r="B11227" t="s">
        <v>509</v>
      </c>
      <c r="C11227" t="s">
        <v>33</v>
      </c>
      <c r="D11227" s="21" t="s">
        <v>34</v>
      </c>
      <c r="E11227" s="21" t="s">
        <v>71</v>
      </c>
      <c r="F11227">
        <v>8751058</v>
      </c>
      <c r="G11227" t="s">
        <v>4202</v>
      </c>
      <c r="H11227" s="21">
        <v>958.67</v>
      </c>
    </row>
    <row r="11228" spans="1:8" customFormat="1" x14ac:dyDescent="0.25">
      <c r="A11228" t="str">
        <f>"9422806"</f>
        <v>9422806</v>
      </c>
      <c r="B11228" t="s">
        <v>9911</v>
      </c>
      <c r="C11228" t="s">
        <v>2907</v>
      </c>
      <c r="D11228" s="21" t="s">
        <v>34</v>
      </c>
      <c r="E11228" s="21" t="s">
        <v>71</v>
      </c>
      <c r="F11228">
        <v>8940459</v>
      </c>
      <c r="G11228" t="s">
        <v>743</v>
      </c>
      <c r="H11228" s="21">
        <v>958.54</v>
      </c>
    </row>
    <row r="11229" spans="1:8" customFormat="1" x14ac:dyDescent="0.25">
      <c r="A11229" t="str">
        <f>"365065"</f>
        <v>365065</v>
      </c>
      <c r="B11229" t="s">
        <v>11171</v>
      </c>
      <c r="C11229" t="s">
        <v>249</v>
      </c>
      <c r="D11229" s="21" t="s">
        <v>34</v>
      </c>
      <c r="E11229" s="21" t="s">
        <v>35</v>
      </c>
      <c r="F11229">
        <v>4360721</v>
      </c>
      <c r="G11229" t="s">
        <v>11172</v>
      </c>
      <c r="H11229" s="21">
        <v>958.54</v>
      </c>
    </row>
    <row r="11230" spans="1:8" customFormat="1" x14ac:dyDescent="0.25">
      <c r="A11230" t="str">
        <f>"9434799"</f>
        <v>9434799</v>
      </c>
      <c r="B11230" t="s">
        <v>9897</v>
      </c>
      <c r="C11230" t="s">
        <v>130</v>
      </c>
      <c r="D11230" s="21" t="s">
        <v>34</v>
      </c>
      <c r="E11230" s="21" t="s">
        <v>71</v>
      </c>
      <c r="F11230">
        <v>8940524</v>
      </c>
      <c r="G11230" t="s">
        <v>6176</v>
      </c>
      <c r="H11230" s="21">
        <v>958.42</v>
      </c>
    </row>
    <row r="11231" spans="1:8" customFormat="1" x14ac:dyDescent="0.25">
      <c r="A11231" t="str">
        <f>"7824508"</f>
        <v>7824508</v>
      </c>
      <c r="B11231" t="s">
        <v>8843</v>
      </c>
      <c r="C11231" t="s">
        <v>236</v>
      </c>
      <c r="D11231" s="21" t="s">
        <v>34</v>
      </c>
      <c r="E11231" s="21" t="s">
        <v>71</v>
      </c>
      <c r="F11231">
        <v>8780108</v>
      </c>
      <c r="G11231" t="s">
        <v>4329</v>
      </c>
      <c r="H11231" s="21">
        <v>958.3</v>
      </c>
    </row>
    <row r="11232" spans="1:8" customFormat="1" x14ac:dyDescent="0.25">
      <c r="A11232" t="str">
        <f>"639203"</f>
        <v>639203</v>
      </c>
      <c r="B11232" t="s">
        <v>27193</v>
      </c>
      <c r="C11232" t="s">
        <v>156</v>
      </c>
      <c r="D11232" s="21" t="s">
        <v>34</v>
      </c>
      <c r="E11232" s="21" t="s">
        <v>35</v>
      </c>
      <c r="F11232">
        <v>1630289</v>
      </c>
      <c r="G11232" t="s">
        <v>8900</v>
      </c>
      <c r="H11232" s="21">
        <v>958.29</v>
      </c>
    </row>
    <row r="11233" spans="1:8" customFormat="1" x14ac:dyDescent="0.25">
      <c r="A11233" t="str">
        <f>"5710004"</f>
        <v>5710004</v>
      </c>
      <c r="B11233" t="s">
        <v>8882</v>
      </c>
      <c r="C11233" t="s">
        <v>249</v>
      </c>
      <c r="D11233" s="21" t="s">
        <v>34</v>
      </c>
      <c r="E11233" s="21" t="s">
        <v>71</v>
      </c>
      <c r="F11233">
        <v>6570107</v>
      </c>
      <c r="G11233" t="s">
        <v>5598</v>
      </c>
      <c r="H11233" s="21">
        <v>958.29</v>
      </c>
    </row>
    <row r="11234" spans="1:8" customFormat="1" x14ac:dyDescent="0.25">
      <c r="A11234" t="str">
        <f>"9243152"</f>
        <v>9243152</v>
      </c>
      <c r="B11234" t="s">
        <v>11743</v>
      </c>
      <c r="C11234" t="s">
        <v>169</v>
      </c>
      <c r="D11234" s="21" t="s">
        <v>34</v>
      </c>
      <c r="E11234" s="21" t="s">
        <v>71</v>
      </c>
      <c r="F11234">
        <v>8921182</v>
      </c>
      <c r="G11234" t="s">
        <v>26954</v>
      </c>
      <c r="H11234" s="21">
        <v>958.29</v>
      </c>
    </row>
    <row r="11235" spans="1:8" customFormat="1" x14ac:dyDescent="0.25">
      <c r="A11235" t="str">
        <f>"605536"</f>
        <v>605536</v>
      </c>
      <c r="B11235" t="s">
        <v>27194</v>
      </c>
      <c r="C11235" t="s">
        <v>27195</v>
      </c>
      <c r="D11235" s="21" t="s">
        <v>34</v>
      </c>
      <c r="E11235" s="21" t="s">
        <v>71</v>
      </c>
      <c r="F11235">
        <v>7600167</v>
      </c>
      <c r="G11235" t="s">
        <v>12431</v>
      </c>
      <c r="H11235" s="21">
        <v>958.17</v>
      </c>
    </row>
    <row r="11236" spans="1:8" customFormat="1" x14ac:dyDescent="0.25">
      <c r="A11236" t="str">
        <f>"1612982"</f>
        <v>1612982</v>
      </c>
      <c r="B11236" t="s">
        <v>11601</v>
      </c>
      <c r="C11236" t="s">
        <v>171</v>
      </c>
      <c r="D11236" s="21" t="s">
        <v>34</v>
      </c>
      <c r="E11236" s="21" t="s">
        <v>35</v>
      </c>
      <c r="F11236">
        <v>10160236</v>
      </c>
      <c r="G11236" t="s">
        <v>7202</v>
      </c>
      <c r="H11236" s="21">
        <v>958.17</v>
      </c>
    </row>
    <row r="11237" spans="1:8" customFormat="1" x14ac:dyDescent="0.25">
      <c r="A11237" t="str">
        <f>"704376"</f>
        <v>704376</v>
      </c>
      <c r="B11237" t="s">
        <v>6442</v>
      </c>
      <c r="C11237" t="s">
        <v>1887</v>
      </c>
      <c r="D11237" s="21" t="s">
        <v>34</v>
      </c>
      <c r="E11237" s="21" t="s">
        <v>71</v>
      </c>
      <c r="F11237">
        <v>2700014</v>
      </c>
      <c r="G11237" t="s">
        <v>7714</v>
      </c>
      <c r="H11237" s="21">
        <v>958.17</v>
      </c>
    </row>
    <row r="11238" spans="1:8" customFormat="1" x14ac:dyDescent="0.25">
      <c r="A11238" t="str">
        <f>"181736"</f>
        <v>181736</v>
      </c>
      <c r="B11238" t="s">
        <v>3498</v>
      </c>
      <c r="C11238" t="s">
        <v>65</v>
      </c>
      <c r="D11238" s="21" t="s">
        <v>34</v>
      </c>
      <c r="E11238" s="21" t="s">
        <v>35</v>
      </c>
      <c r="F11238">
        <v>4180696</v>
      </c>
      <c r="G11238" t="s">
        <v>3018</v>
      </c>
      <c r="H11238" s="21">
        <v>958.17</v>
      </c>
    </row>
    <row r="11239" spans="1:8" customFormat="1" x14ac:dyDescent="0.25">
      <c r="A11239" t="str">
        <f>"9239981"</f>
        <v>9239981</v>
      </c>
      <c r="B11239" t="s">
        <v>10212</v>
      </c>
      <c r="C11239" t="s">
        <v>114</v>
      </c>
      <c r="D11239" s="21" t="s">
        <v>34</v>
      </c>
      <c r="E11239" s="21" t="s">
        <v>71</v>
      </c>
      <c r="F11239">
        <v>8920151</v>
      </c>
      <c r="G11239" t="s">
        <v>1434</v>
      </c>
      <c r="H11239" s="21">
        <v>958.17</v>
      </c>
    </row>
    <row r="11240" spans="1:8" customFormat="1" x14ac:dyDescent="0.25">
      <c r="A11240" t="str">
        <f>"9423257"</f>
        <v>9423257</v>
      </c>
      <c r="B11240" t="s">
        <v>6328</v>
      </c>
      <c r="C11240" t="s">
        <v>87</v>
      </c>
      <c r="D11240" s="21" t="s">
        <v>34</v>
      </c>
      <c r="E11240" s="21" t="s">
        <v>35</v>
      </c>
      <c r="F11240">
        <v>8750292</v>
      </c>
      <c r="G11240" t="s">
        <v>9069</v>
      </c>
      <c r="H11240" s="21">
        <v>958.04</v>
      </c>
    </row>
    <row r="11241" spans="1:8" customFormat="1" x14ac:dyDescent="0.25">
      <c r="A11241" t="str">
        <f>"5951562"</f>
        <v>5951562</v>
      </c>
      <c r="B11241" t="s">
        <v>11577</v>
      </c>
      <c r="C11241" t="s">
        <v>1665</v>
      </c>
      <c r="D11241" s="21" t="s">
        <v>34</v>
      </c>
      <c r="E11241" s="21" t="s">
        <v>71</v>
      </c>
      <c r="F11241">
        <v>7590069</v>
      </c>
      <c r="G11241" t="s">
        <v>7225</v>
      </c>
      <c r="H11241" s="21">
        <v>957.92</v>
      </c>
    </row>
    <row r="11242" spans="1:8" customFormat="1" x14ac:dyDescent="0.25">
      <c r="A11242" t="str">
        <f>"8512296"</f>
        <v>8512296</v>
      </c>
      <c r="B11242" t="s">
        <v>27196</v>
      </c>
      <c r="C11242" t="s">
        <v>288</v>
      </c>
      <c r="D11242" s="21" t="s">
        <v>34</v>
      </c>
      <c r="E11242" s="21" t="s">
        <v>35</v>
      </c>
      <c r="F11242">
        <v>12850118</v>
      </c>
      <c r="G11242" t="s">
        <v>6811</v>
      </c>
      <c r="H11242" s="21">
        <v>957.92</v>
      </c>
    </row>
    <row r="11243" spans="1:8" customFormat="1" x14ac:dyDescent="0.25">
      <c r="A11243" t="str">
        <f>"6111039"</f>
        <v>6111039</v>
      </c>
      <c r="B11243" t="s">
        <v>10286</v>
      </c>
      <c r="C11243" t="s">
        <v>40</v>
      </c>
      <c r="D11243" s="21" t="s">
        <v>34</v>
      </c>
      <c r="E11243" s="21" t="s">
        <v>71</v>
      </c>
      <c r="F11243">
        <v>9610148</v>
      </c>
      <c r="G11243" t="s">
        <v>8163</v>
      </c>
      <c r="H11243" s="21">
        <v>957.68</v>
      </c>
    </row>
    <row r="11244" spans="1:8" customFormat="1" x14ac:dyDescent="0.25">
      <c r="A11244" t="str">
        <f>"794465"</f>
        <v>794465</v>
      </c>
      <c r="B11244" t="s">
        <v>11573</v>
      </c>
      <c r="C11244" t="s">
        <v>269</v>
      </c>
      <c r="D11244" s="21" t="s">
        <v>34</v>
      </c>
      <c r="E11244" s="21" t="s">
        <v>35</v>
      </c>
      <c r="F11244">
        <v>10790020</v>
      </c>
      <c r="G11244" t="s">
        <v>10221</v>
      </c>
      <c r="H11244" s="21">
        <v>957.67</v>
      </c>
    </row>
    <row r="11245" spans="1:8" customFormat="1" x14ac:dyDescent="0.25">
      <c r="A11245" t="str">
        <f>"652764"</f>
        <v>652764</v>
      </c>
      <c r="B11245" t="s">
        <v>10515</v>
      </c>
      <c r="C11245" t="s">
        <v>598</v>
      </c>
      <c r="D11245" s="21" t="s">
        <v>34</v>
      </c>
      <c r="E11245" s="21" t="s">
        <v>71</v>
      </c>
      <c r="F11245">
        <v>11650004</v>
      </c>
      <c r="G11245" t="s">
        <v>382</v>
      </c>
      <c r="H11245" s="21">
        <v>957.67</v>
      </c>
    </row>
    <row r="11246" spans="1:8" customFormat="1" x14ac:dyDescent="0.25">
      <c r="A11246" t="str">
        <f>"5915620"</f>
        <v>5915620</v>
      </c>
      <c r="B11246" t="s">
        <v>10466</v>
      </c>
      <c r="C11246" t="s">
        <v>60</v>
      </c>
      <c r="D11246" s="21" t="s">
        <v>34</v>
      </c>
      <c r="E11246" s="21" t="s">
        <v>35</v>
      </c>
      <c r="F11246">
        <v>7590082</v>
      </c>
      <c r="G11246" t="s">
        <v>10063</v>
      </c>
      <c r="H11246" s="21">
        <v>957.67</v>
      </c>
    </row>
    <row r="11247" spans="1:8" customFormat="1" x14ac:dyDescent="0.25">
      <c r="A11247" t="str">
        <f>"6813018"</f>
        <v>6813018</v>
      </c>
      <c r="B11247" t="s">
        <v>8098</v>
      </c>
      <c r="C11247" t="s">
        <v>4526</v>
      </c>
      <c r="D11247" s="21" t="s">
        <v>34</v>
      </c>
      <c r="E11247" s="21" t="s">
        <v>35</v>
      </c>
      <c r="F11247">
        <v>6680071</v>
      </c>
      <c r="G11247" t="s">
        <v>2899</v>
      </c>
      <c r="H11247" s="21">
        <v>957.67</v>
      </c>
    </row>
    <row r="11248" spans="1:8" customFormat="1" x14ac:dyDescent="0.25">
      <c r="A11248" t="str">
        <f>"668012"</f>
        <v>668012</v>
      </c>
      <c r="B11248" t="s">
        <v>168</v>
      </c>
      <c r="C11248" t="s">
        <v>109</v>
      </c>
      <c r="D11248" s="21" t="s">
        <v>34</v>
      </c>
      <c r="E11248" s="21" t="s">
        <v>35</v>
      </c>
      <c r="F11248">
        <v>11660003</v>
      </c>
      <c r="G11248" t="s">
        <v>5188</v>
      </c>
      <c r="H11248" s="21">
        <v>957.67</v>
      </c>
    </row>
    <row r="11249" spans="1:8" customFormat="1" x14ac:dyDescent="0.25">
      <c r="A11249" t="str">
        <f>"5427069"</f>
        <v>5427069</v>
      </c>
      <c r="B11249" t="s">
        <v>10119</v>
      </c>
      <c r="C11249" t="s">
        <v>621</v>
      </c>
      <c r="D11249" s="21" t="s">
        <v>34</v>
      </c>
      <c r="E11249" s="21" t="s">
        <v>71</v>
      </c>
      <c r="F11249">
        <v>6540047</v>
      </c>
      <c r="G11249" t="s">
        <v>5423</v>
      </c>
      <c r="H11249" s="21">
        <v>957.67</v>
      </c>
    </row>
    <row r="11250" spans="1:8" customFormat="1" x14ac:dyDescent="0.25">
      <c r="A11250" t="str">
        <f>"02410"</f>
        <v>02410</v>
      </c>
      <c r="B11250" t="s">
        <v>10277</v>
      </c>
      <c r="C11250" t="s">
        <v>40</v>
      </c>
      <c r="D11250" s="21" t="s">
        <v>34</v>
      </c>
      <c r="E11250" s="21" t="s">
        <v>254</v>
      </c>
      <c r="F11250">
        <v>7020062</v>
      </c>
      <c r="G11250" t="s">
        <v>1505</v>
      </c>
      <c r="H11250" s="21">
        <v>957.67</v>
      </c>
    </row>
    <row r="11251" spans="1:8" customFormat="1" x14ac:dyDescent="0.25">
      <c r="A11251" t="str">
        <f>"568105"</f>
        <v>568105</v>
      </c>
      <c r="B11251" t="s">
        <v>146</v>
      </c>
      <c r="C11251" t="s">
        <v>320</v>
      </c>
      <c r="D11251" s="21" t="s">
        <v>34</v>
      </c>
      <c r="E11251" s="21" t="s">
        <v>254</v>
      </c>
      <c r="F11251">
        <v>3560034</v>
      </c>
      <c r="G11251" t="s">
        <v>2220</v>
      </c>
      <c r="H11251" s="21">
        <v>957.67</v>
      </c>
    </row>
    <row r="11252" spans="1:8" customFormat="1" x14ac:dyDescent="0.25">
      <c r="A11252" t="str">
        <f>"9513839"</f>
        <v>9513839</v>
      </c>
      <c r="B11252" t="s">
        <v>12048</v>
      </c>
      <c r="C11252" t="s">
        <v>62</v>
      </c>
      <c r="D11252" s="21" t="s">
        <v>34</v>
      </c>
      <c r="E11252" s="21" t="s">
        <v>35</v>
      </c>
      <c r="F11252">
        <v>8951273</v>
      </c>
      <c r="G11252" t="s">
        <v>2382</v>
      </c>
      <c r="H11252" s="21">
        <v>957.67</v>
      </c>
    </row>
    <row r="11253" spans="1:8" customFormat="1" x14ac:dyDescent="0.25">
      <c r="A11253" t="str">
        <f>"4934021"</f>
        <v>4934021</v>
      </c>
      <c r="B11253" t="s">
        <v>9164</v>
      </c>
      <c r="C11253" t="s">
        <v>246</v>
      </c>
      <c r="D11253" s="21" t="s">
        <v>34</v>
      </c>
      <c r="E11253" s="21" t="s">
        <v>254</v>
      </c>
      <c r="F11253">
        <v>12490017</v>
      </c>
      <c r="G11253" t="s">
        <v>9393</v>
      </c>
      <c r="H11253" s="21">
        <v>957.67</v>
      </c>
    </row>
    <row r="11254" spans="1:8" customFormat="1" x14ac:dyDescent="0.25">
      <c r="A11254" t="str">
        <f>"3720491"</f>
        <v>3720491</v>
      </c>
      <c r="B11254" t="s">
        <v>136</v>
      </c>
      <c r="C11254" t="s">
        <v>87</v>
      </c>
      <c r="D11254" s="21" t="s">
        <v>34</v>
      </c>
      <c r="E11254" s="21" t="s">
        <v>35</v>
      </c>
      <c r="F11254">
        <v>4370548</v>
      </c>
      <c r="G11254" t="s">
        <v>7106</v>
      </c>
      <c r="H11254" s="21">
        <v>957.67</v>
      </c>
    </row>
    <row r="11255" spans="1:8" customFormat="1" x14ac:dyDescent="0.25">
      <c r="A11255" t="str">
        <f>"2810994"</f>
        <v>2810994</v>
      </c>
      <c r="B11255" t="s">
        <v>11136</v>
      </c>
      <c r="C11255" t="s">
        <v>11137</v>
      </c>
      <c r="D11255" s="21" t="s">
        <v>34</v>
      </c>
      <c r="E11255" s="21" t="s">
        <v>71</v>
      </c>
      <c r="F11255">
        <v>4280529</v>
      </c>
      <c r="G11255" t="s">
        <v>2970</v>
      </c>
      <c r="H11255" s="21">
        <v>957.54</v>
      </c>
    </row>
    <row r="11256" spans="1:8" customFormat="1" x14ac:dyDescent="0.25">
      <c r="A11256" t="str">
        <f>"461066"</f>
        <v>461066</v>
      </c>
      <c r="B11256" t="s">
        <v>10870</v>
      </c>
      <c r="C11256" t="s">
        <v>169</v>
      </c>
      <c r="D11256" s="21" t="s">
        <v>34</v>
      </c>
      <c r="E11256" s="21" t="s">
        <v>71</v>
      </c>
      <c r="F11256">
        <v>11460024</v>
      </c>
      <c r="G11256" t="s">
        <v>14804</v>
      </c>
      <c r="H11256" s="21">
        <v>957.42</v>
      </c>
    </row>
    <row r="11257" spans="1:8" customFormat="1" x14ac:dyDescent="0.25">
      <c r="A11257" t="str">
        <f>"5959184"</f>
        <v>5959184</v>
      </c>
      <c r="B11257" t="s">
        <v>760</v>
      </c>
      <c r="C11257" t="s">
        <v>58</v>
      </c>
      <c r="D11257" s="21" t="s">
        <v>34</v>
      </c>
      <c r="E11257" s="21" t="s">
        <v>35</v>
      </c>
      <c r="F11257">
        <v>7590259</v>
      </c>
      <c r="G11257" t="s">
        <v>6385</v>
      </c>
      <c r="H11257" s="21">
        <v>957.42</v>
      </c>
    </row>
    <row r="11258" spans="1:8" customFormat="1" x14ac:dyDescent="0.25">
      <c r="A11258" t="str">
        <f>"387779"</f>
        <v>387779</v>
      </c>
      <c r="B11258" t="s">
        <v>8502</v>
      </c>
      <c r="C11258" t="s">
        <v>305</v>
      </c>
      <c r="D11258" s="21" t="s">
        <v>34</v>
      </c>
      <c r="E11258" s="21" t="s">
        <v>35</v>
      </c>
      <c r="F11258">
        <v>1380189</v>
      </c>
      <c r="G11258" t="s">
        <v>8143</v>
      </c>
      <c r="H11258" s="21">
        <v>957.42</v>
      </c>
    </row>
    <row r="11259" spans="1:8" customFormat="1" x14ac:dyDescent="0.25">
      <c r="A11259" t="str">
        <f>"319118"</f>
        <v>319118</v>
      </c>
      <c r="B11259" t="s">
        <v>9862</v>
      </c>
      <c r="C11259" t="s">
        <v>98</v>
      </c>
      <c r="D11259" s="21" t="s">
        <v>34</v>
      </c>
      <c r="E11259" s="21" t="s">
        <v>35</v>
      </c>
      <c r="F11259">
        <v>11310129</v>
      </c>
      <c r="G11259" t="s">
        <v>4672</v>
      </c>
      <c r="H11259" s="21">
        <v>957.42</v>
      </c>
    </row>
    <row r="11260" spans="1:8" customFormat="1" x14ac:dyDescent="0.25">
      <c r="A11260" t="str">
        <f>"7514179"</f>
        <v>7514179</v>
      </c>
      <c r="B11260" t="s">
        <v>12700</v>
      </c>
      <c r="C11260" t="s">
        <v>12701</v>
      </c>
      <c r="D11260" s="21" t="s">
        <v>34</v>
      </c>
      <c r="E11260" s="21" t="s">
        <v>35</v>
      </c>
      <c r="F11260">
        <v>8750120</v>
      </c>
      <c r="G11260" t="s">
        <v>838</v>
      </c>
      <c r="H11260" s="21">
        <v>957.17</v>
      </c>
    </row>
    <row r="11261" spans="1:8" customFormat="1" x14ac:dyDescent="0.25">
      <c r="A11261" t="str">
        <f>"807128"</f>
        <v>807128</v>
      </c>
      <c r="B11261" t="s">
        <v>9243</v>
      </c>
      <c r="C11261" t="s">
        <v>98</v>
      </c>
      <c r="D11261" s="21" t="s">
        <v>34</v>
      </c>
      <c r="E11261" s="21" t="s">
        <v>35</v>
      </c>
      <c r="F11261">
        <v>8771025</v>
      </c>
      <c r="G11261" t="s">
        <v>5469</v>
      </c>
      <c r="H11261" s="21">
        <v>957.17</v>
      </c>
    </row>
    <row r="11262" spans="1:8" customFormat="1" x14ac:dyDescent="0.25">
      <c r="A11262" t="str">
        <f>"4428060"</f>
        <v>4428060</v>
      </c>
      <c r="B11262" t="s">
        <v>12266</v>
      </c>
      <c r="C11262" t="s">
        <v>926</v>
      </c>
      <c r="D11262" s="21" t="s">
        <v>34</v>
      </c>
      <c r="E11262" s="21" t="s">
        <v>254</v>
      </c>
      <c r="F11262">
        <v>12490027</v>
      </c>
      <c r="G11262" t="s">
        <v>766</v>
      </c>
      <c r="H11262" s="21">
        <v>957.17</v>
      </c>
    </row>
    <row r="11263" spans="1:8" customFormat="1" x14ac:dyDescent="0.25">
      <c r="A11263" t="str">
        <f>"507069"</f>
        <v>507069</v>
      </c>
      <c r="B11263" t="s">
        <v>10289</v>
      </c>
      <c r="C11263" t="s">
        <v>608</v>
      </c>
      <c r="D11263" s="21" t="s">
        <v>34</v>
      </c>
      <c r="E11263" s="21" t="s">
        <v>254</v>
      </c>
      <c r="F11263">
        <v>9610122</v>
      </c>
      <c r="G11263" t="s">
        <v>4349</v>
      </c>
      <c r="H11263" s="21">
        <v>957.17</v>
      </c>
    </row>
    <row r="11264" spans="1:8" customFormat="1" x14ac:dyDescent="0.25">
      <c r="A11264" t="str">
        <f>"028597"</f>
        <v>028597</v>
      </c>
      <c r="B11264" t="s">
        <v>2842</v>
      </c>
      <c r="C11264" t="s">
        <v>187</v>
      </c>
      <c r="D11264" s="21" t="s">
        <v>34</v>
      </c>
      <c r="E11264" s="21" t="s">
        <v>35</v>
      </c>
      <c r="F11264">
        <v>7021005</v>
      </c>
      <c r="G11264" t="s">
        <v>5996</v>
      </c>
      <c r="H11264" s="21">
        <v>957.17</v>
      </c>
    </row>
    <row r="11265" spans="1:8" customFormat="1" x14ac:dyDescent="0.25">
      <c r="A11265" t="str">
        <f>"089434"</f>
        <v>089434</v>
      </c>
      <c r="B11265" t="s">
        <v>11091</v>
      </c>
      <c r="C11265" t="s">
        <v>8442</v>
      </c>
      <c r="D11265" s="21" t="s">
        <v>34</v>
      </c>
      <c r="E11265" s="21" t="s">
        <v>35</v>
      </c>
      <c r="F11265">
        <v>6080092</v>
      </c>
      <c r="G11265" t="s">
        <v>7668</v>
      </c>
      <c r="H11265" s="21">
        <v>957.17</v>
      </c>
    </row>
    <row r="11266" spans="1:8" customFormat="1" x14ac:dyDescent="0.25">
      <c r="A11266" t="str">
        <f>"3113899"</f>
        <v>3113899</v>
      </c>
      <c r="B11266" t="s">
        <v>10355</v>
      </c>
      <c r="C11266" t="s">
        <v>109</v>
      </c>
      <c r="D11266" s="21" t="s">
        <v>34</v>
      </c>
      <c r="E11266" s="21" t="s">
        <v>35</v>
      </c>
      <c r="F11266">
        <v>11310006</v>
      </c>
      <c r="G11266" t="s">
        <v>419</v>
      </c>
      <c r="H11266" s="21">
        <v>957.17</v>
      </c>
    </row>
    <row r="11267" spans="1:8" customFormat="1" x14ac:dyDescent="0.25">
      <c r="A11267" t="str">
        <f>"665400"</f>
        <v>665400</v>
      </c>
      <c r="B11267" t="s">
        <v>12341</v>
      </c>
      <c r="C11267" t="s">
        <v>33</v>
      </c>
      <c r="D11267" s="21" t="s">
        <v>34</v>
      </c>
      <c r="E11267" s="21" t="s">
        <v>35</v>
      </c>
      <c r="F11267">
        <v>11660001</v>
      </c>
      <c r="G11267" t="s">
        <v>8203</v>
      </c>
      <c r="H11267" s="21">
        <v>957.17</v>
      </c>
    </row>
    <row r="11268" spans="1:8" customFormat="1" x14ac:dyDescent="0.25">
      <c r="A11268" t="str">
        <f>"8517129"</f>
        <v>8517129</v>
      </c>
      <c r="B11268" t="s">
        <v>21280</v>
      </c>
      <c r="C11268" t="s">
        <v>60</v>
      </c>
      <c r="D11268" s="21" t="s">
        <v>34</v>
      </c>
      <c r="E11268" s="21" t="s">
        <v>35</v>
      </c>
      <c r="F11268">
        <v>12850057</v>
      </c>
      <c r="G11268" t="s">
        <v>1291</v>
      </c>
      <c r="H11268" s="21">
        <v>957.17</v>
      </c>
    </row>
    <row r="11269" spans="1:8" customFormat="1" x14ac:dyDescent="0.25">
      <c r="A11269" t="str">
        <f>"229429"</f>
        <v>229429</v>
      </c>
      <c r="B11269" t="s">
        <v>9692</v>
      </c>
      <c r="C11269" t="s">
        <v>2520</v>
      </c>
      <c r="D11269" s="21" t="s">
        <v>34</v>
      </c>
      <c r="E11269" s="21" t="s">
        <v>254</v>
      </c>
      <c r="F11269">
        <v>3220048</v>
      </c>
      <c r="G11269" t="s">
        <v>26532</v>
      </c>
      <c r="H11269" s="21">
        <v>957.17</v>
      </c>
    </row>
    <row r="11270" spans="1:8" customFormat="1" x14ac:dyDescent="0.25">
      <c r="A11270" t="str">
        <f>"2936311"</f>
        <v>2936311</v>
      </c>
      <c r="B11270" t="s">
        <v>9102</v>
      </c>
      <c r="C11270" t="s">
        <v>209</v>
      </c>
      <c r="D11270" s="21" t="s">
        <v>34</v>
      </c>
      <c r="E11270" s="21" t="s">
        <v>71</v>
      </c>
      <c r="F11270">
        <v>3290285</v>
      </c>
      <c r="G11270" t="s">
        <v>2234</v>
      </c>
      <c r="H11270" s="21">
        <v>957.04</v>
      </c>
    </row>
    <row r="11271" spans="1:8" customFormat="1" x14ac:dyDescent="0.25">
      <c r="A11271" t="str">
        <f>"432177"</f>
        <v>432177</v>
      </c>
      <c r="B11271" t="s">
        <v>6964</v>
      </c>
      <c r="C11271" t="s">
        <v>169</v>
      </c>
      <c r="D11271" s="21" t="s">
        <v>34</v>
      </c>
      <c r="E11271" s="21" t="s">
        <v>35</v>
      </c>
      <c r="F11271">
        <v>1420299</v>
      </c>
      <c r="G11271" t="s">
        <v>8013</v>
      </c>
      <c r="H11271" s="21">
        <v>957</v>
      </c>
    </row>
    <row r="11272" spans="1:8" customFormat="1" x14ac:dyDescent="0.25">
      <c r="A11272" t="str">
        <f>"919"</f>
        <v>919</v>
      </c>
      <c r="B11272" t="s">
        <v>9251</v>
      </c>
      <c r="C11272" t="s">
        <v>547</v>
      </c>
      <c r="D11272" s="21" t="s">
        <v>34</v>
      </c>
      <c r="E11272" s="21" t="s">
        <v>254</v>
      </c>
      <c r="F11272">
        <v>8911083</v>
      </c>
      <c r="G11272" t="s">
        <v>7357</v>
      </c>
      <c r="H11272" s="21">
        <v>956.92</v>
      </c>
    </row>
    <row r="11273" spans="1:8" customFormat="1" x14ac:dyDescent="0.25">
      <c r="A11273" t="str">
        <f>"364331"</f>
        <v>364331</v>
      </c>
      <c r="B11273" t="s">
        <v>11776</v>
      </c>
      <c r="C11273" t="s">
        <v>428</v>
      </c>
      <c r="D11273" s="21" t="s">
        <v>34</v>
      </c>
      <c r="E11273" s="21" t="s">
        <v>71</v>
      </c>
      <c r="F11273">
        <v>4360009</v>
      </c>
      <c r="G11273" t="s">
        <v>6259</v>
      </c>
      <c r="H11273" s="21">
        <v>956.92</v>
      </c>
    </row>
    <row r="11274" spans="1:8" customFormat="1" x14ac:dyDescent="0.25">
      <c r="A11274" t="str">
        <f>"881490"</f>
        <v>881490</v>
      </c>
      <c r="B11274" t="s">
        <v>650</v>
      </c>
      <c r="C11274" t="s">
        <v>822</v>
      </c>
      <c r="D11274" s="21" t="s">
        <v>34</v>
      </c>
      <c r="E11274" s="21" t="s">
        <v>1089</v>
      </c>
      <c r="F11274">
        <v>6880116</v>
      </c>
      <c r="G11274" t="s">
        <v>2465</v>
      </c>
      <c r="H11274" s="21">
        <v>956.92</v>
      </c>
    </row>
    <row r="11275" spans="1:8" customFormat="1" x14ac:dyDescent="0.25">
      <c r="A11275" t="str">
        <f>"5717532"</f>
        <v>5717532</v>
      </c>
      <c r="B11275" t="s">
        <v>11452</v>
      </c>
      <c r="C11275" t="s">
        <v>1146</v>
      </c>
      <c r="D11275" s="21" t="s">
        <v>34</v>
      </c>
      <c r="E11275" s="21" t="s">
        <v>1089</v>
      </c>
      <c r="F11275">
        <v>6570008</v>
      </c>
      <c r="G11275" t="s">
        <v>899</v>
      </c>
      <c r="H11275" s="21">
        <v>956.67</v>
      </c>
    </row>
    <row r="11276" spans="1:8" customFormat="1" x14ac:dyDescent="0.25">
      <c r="A11276" t="str">
        <f>"3812480"</f>
        <v>3812480</v>
      </c>
      <c r="B11276" t="s">
        <v>2922</v>
      </c>
      <c r="C11276" t="s">
        <v>233</v>
      </c>
      <c r="D11276" s="21" t="s">
        <v>34</v>
      </c>
      <c r="E11276" s="21" t="s">
        <v>71</v>
      </c>
      <c r="F11276">
        <v>1380173</v>
      </c>
      <c r="G11276" t="s">
        <v>9553</v>
      </c>
      <c r="H11276" s="21">
        <v>956.67</v>
      </c>
    </row>
    <row r="11277" spans="1:8" customFormat="1" x14ac:dyDescent="0.25">
      <c r="A11277" t="str">
        <f>"149271"</f>
        <v>149271</v>
      </c>
      <c r="B11277" t="s">
        <v>6902</v>
      </c>
      <c r="C11277" t="s">
        <v>1539</v>
      </c>
      <c r="D11277" s="21" t="s">
        <v>34</v>
      </c>
      <c r="E11277" s="21" t="s">
        <v>71</v>
      </c>
      <c r="F11277">
        <v>9140227</v>
      </c>
      <c r="G11277" t="s">
        <v>5130</v>
      </c>
      <c r="H11277" s="21">
        <v>956.67</v>
      </c>
    </row>
    <row r="11278" spans="1:8" customFormat="1" x14ac:dyDescent="0.25">
      <c r="A11278" t="str">
        <f>"59560"</f>
        <v>59560</v>
      </c>
      <c r="B11278" t="s">
        <v>8679</v>
      </c>
      <c r="C11278" t="s">
        <v>1665</v>
      </c>
      <c r="D11278" s="21" t="s">
        <v>34</v>
      </c>
      <c r="E11278" s="21" t="s">
        <v>254</v>
      </c>
      <c r="F11278">
        <v>7590021</v>
      </c>
      <c r="G11278" t="s">
        <v>4910</v>
      </c>
      <c r="H11278" s="21">
        <v>956.67</v>
      </c>
    </row>
    <row r="11279" spans="1:8" customFormat="1" x14ac:dyDescent="0.25">
      <c r="A11279" t="str">
        <f>"9527385"</f>
        <v>9527385</v>
      </c>
      <c r="B11279" t="s">
        <v>3503</v>
      </c>
      <c r="C11279" t="s">
        <v>1474</v>
      </c>
      <c r="D11279" s="21" t="s">
        <v>34</v>
      </c>
      <c r="E11279" s="21" t="s">
        <v>35</v>
      </c>
      <c r="F11279">
        <v>4450571</v>
      </c>
      <c r="G11279" t="s">
        <v>188</v>
      </c>
      <c r="H11279" s="21">
        <v>956.67</v>
      </c>
    </row>
    <row r="11280" spans="1:8" customFormat="1" x14ac:dyDescent="0.25">
      <c r="A11280" t="str">
        <f>"7718350"</f>
        <v>7718350</v>
      </c>
      <c r="B11280" t="s">
        <v>10228</v>
      </c>
      <c r="C11280" t="s">
        <v>187</v>
      </c>
      <c r="D11280" s="21" t="s">
        <v>34</v>
      </c>
      <c r="E11280" s="21" t="s">
        <v>71</v>
      </c>
      <c r="F11280">
        <v>8770166</v>
      </c>
      <c r="G11280" t="s">
        <v>653</v>
      </c>
      <c r="H11280" s="21">
        <v>956.67</v>
      </c>
    </row>
    <row r="11281" spans="1:8" customFormat="1" x14ac:dyDescent="0.25">
      <c r="A11281" t="str">
        <f>"458749"</f>
        <v>458749</v>
      </c>
      <c r="B11281" t="s">
        <v>10979</v>
      </c>
      <c r="C11281" t="s">
        <v>198</v>
      </c>
      <c r="D11281" s="21" t="s">
        <v>34</v>
      </c>
      <c r="E11281" s="21" t="s">
        <v>71</v>
      </c>
      <c r="F11281">
        <v>4450753</v>
      </c>
      <c r="G11281" t="s">
        <v>8786</v>
      </c>
      <c r="H11281" s="21">
        <v>956.67</v>
      </c>
    </row>
    <row r="11282" spans="1:8" customFormat="1" x14ac:dyDescent="0.25">
      <c r="A11282" t="str">
        <f>"7214910"</f>
        <v>7214910</v>
      </c>
      <c r="B11282" t="s">
        <v>10854</v>
      </c>
      <c r="C11282" t="s">
        <v>2168</v>
      </c>
      <c r="D11282" s="21" t="s">
        <v>34</v>
      </c>
      <c r="E11282" s="21" t="s">
        <v>35</v>
      </c>
      <c r="F11282">
        <v>12720042</v>
      </c>
      <c r="G11282" t="s">
        <v>922</v>
      </c>
      <c r="H11282" s="21">
        <v>956.67</v>
      </c>
    </row>
    <row r="11283" spans="1:8" customFormat="1" x14ac:dyDescent="0.25">
      <c r="A11283" t="str">
        <f>"2517105"</f>
        <v>2517105</v>
      </c>
      <c r="B11283" t="s">
        <v>11711</v>
      </c>
      <c r="C11283" t="s">
        <v>60</v>
      </c>
      <c r="D11283" s="21" t="s">
        <v>34</v>
      </c>
      <c r="E11283" s="21" t="s">
        <v>35</v>
      </c>
      <c r="F11283">
        <v>2250154</v>
      </c>
      <c r="G11283" t="s">
        <v>1973</v>
      </c>
      <c r="H11283" s="21">
        <v>956.67</v>
      </c>
    </row>
    <row r="11284" spans="1:8" customFormat="1" x14ac:dyDescent="0.25">
      <c r="A11284" t="str">
        <f>"2924971"</f>
        <v>2924971</v>
      </c>
      <c r="B11284" t="s">
        <v>12878</v>
      </c>
      <c r="C11284" t="s">
        <v>49</v>
      </c>
      <c r="D11284" s="21" t="s">
        <v>34</v>
      </c>
      <c r="E11284" s="21" t="s">
        <v>35</v>
      </c>
      <c r="F11284">
        <v>3290026</v>
      </c>
      <c r="G11284" t="s">
        <v>7421</v>
      </c>
      <c r="H11284" s="21">
        <v>956.67</v>
      </c>
    </row>
    <row r="11285" spans="1:8" customFormat="1" x14ac:dyDescent="0.25">
      <c r="A11285" t="str">
        <f>"1410063"</f>
        <v>1410063</v>
      </c>
      <c r="B11285" t="s">
        <v>9804</v>
      </c>
      <c r="C11285" t="s">
        <v>139</v>
      </c>
      <c r="D11285" s="21" t="s">
        <v>34</v>
      </c>
      <c r="E11285" s="21" t="s">
        <v>35</v>
      </c>
      <c r="F11285">
        <v>9140128</v>
      </c>
      <c r="G11285" t="s">
        <v>2798</v>
      </c>
      <c r="H11285" s="21">
        <v>956.67</v>
      </c>
    </row>
    <row r="11286" spans="1:8" customFormat="1" x14ac:dyDescent="0.25">
      <c r="A11286" t="str">
        <f>"9135692"</f>
        <v>9135692</v>
      </c>
      <c r="B11286" t="s">
        <v>3978</v>
      </c>
      <c r="C11286" t="s">
        <v>608</v>
      </c>
      <c r="D11286" s="21" t="s">
        <v>34</v>
      </c>
      <c r="E11286" s="21" t="s">
        <v>35</v>
      </c>
      <c r="F11286">
        <v>3350161</v>
      </c>
      <c r="G11286" t="s">
        <v>1507</v>
      </c>
      <c r="H11286" s="21">
        <v>956.67</v>
      </c>
    </row>
    <row r="11287" spans="1:8" customFormat="1" x14ac:dyDescent="0.25">
      <c r="A11287" t="str">
        <f>"5013725"</f>
        <v>5013725</v>
      </c>
      <c r="B11287" t="s">
        <v>6472</v>
      </c>
      <c r="C11287" t="s">
        <v>60</v>
      </c>
      <c r="D11287" s="21" t="s">
        <v>34</v>
      </c>
      <c r="E11287" s="21" t="s">
        <v>71</v>
      </c>
      <c r="F11287">
        <v>9500013</v>
      </c>
      <c r="G11287" t="s">
        <v>992</v>
      </c>
      <c r="H11287" s="21">
        <v>956.67</v>
      </c>
    </row>
    <row r="11288" spans="1:8" customFormat="1" x14ac:dyDescent="0.25">
      <c r="A11288" t="str">
        <f>"2931372"</f>
        <v>2931372</v>
      </c>
      <c r="B11288" t="s">
        <v>1263</v>
      </c>
      <c r="C11288" t="s">
        <v>2322</v>
      </c>
      <c r="D11288" s="21" t="s">
        <v>34</v>
      </c>
      <c r="E11288" s="21" t="s">
        <v>35</v>
      </c>
      <c r="F11288">
        <v>3290087</v>
      </c>
      <c r="G11288" t="s">
        <v>364</v>
      </c>
      <c r="H11288" s="21">
        <v>956.67</v>
      </c>
    </row>
    <row r="11289" spans="1:8" customFormat="1" x14ac:dyDescent="0.25">
      <c r="A11289" t="str">
        <f>"185503"</f>
        <v>185503</v>
      </c>
      <c r="B11289" t="s">
        <v>4282</v>
      </c>
      <c r="C11289" t="s">
        <v>40</v>
      </c>
      <c r="D11289" s="21" t="s">
        <v>34</v>
      </c>
      <c r="E11289" s="21" t="s">
        <v>71</v>
      </c>
      <c r="F11289">
        <v>4180716</v>
      </c>
      <c r="G11289" t="s">
        <v>7669</v>
      </c>
      <c r="H11289" s="21">
        <v>956.67</v>
      </c>
    </row>
    <row r="11290" spans="1:8" customFormat="1" x14ac:dyDescent="0.25">
      <c r="A11290" t="str">
        <f>"7633809"</f>
        <v>7633809</v>
      </c>
      <c r="B11290" t="s">
        <v>10409</v>
      </c>
      <c r="C11290" t="s">
        <v>151</v>
      </c>
      <c r="D11290" s="21" t="s">
        <v>34</v>
      </c>
      <c r="E11290" s="21" t="s">
        <v>254</v>
      </c>
      <c r="F11290">
        <v>9760320</v>
      </c>
      <c r="G11290" t="s">
        <v>4917</v>
      </c>
      <c r="H11290" s="21">
        <v>956.67</v>
      </c>
    </row>
    <row r="11291" spans="1:8" customFormat="1" x14ac:dyDescent="0.25">
      <c r="A11291" t="str">
        <f>"287097"</f>
        <v>287097</v>
      </c>
      <c r="B11291" t="s">
        <v>9649</v>
      </c>
      <c r="C11291" t="s">
        <v>1142</v>
      </c>
      <c r="D11291" s="21" t="s">
        <v>34</v>
      </c>
      <c r="E11291" s="21" t="s">
        <v>71</v>
      </c>
      <c r="F11291">
        <v>4280121</v>
      </c>
      <c r="G11291" t="s">
        <v>4565</v>
      </c>
      <c r="H11291" s="21">
        <v>956.67</v>
      </c>
    </row>
    <row r="11292" spans="1:8" customFormat="1" x14ac:dyDescent="0.25">
      <c r="A11292" t="str">
        <f>"70258"</f>
        <v>70258</v>
      </c>
      <c r="B11292" t="s">
        <v>9980</v>
      </c>
      <c r="C11292" t="s">
        <v>253</v>
      </c>
      <c r="D11292" s="21" t="s">
        <v>34</v>
      </c>
      <c r="E11292" s="21" t="s">
        <v>254</v>
      </c>
      <c r="F11292">
        <v>2700030</v>
      </c>
      <c r="G11292" t="s">
        <v>9981</v>
      </c>
      <c r="H11292" s="21">
        <v>956.67</v>
      </c>
    </row>
    <row r="11293" spans="1:8" customFormat="1" x14ac:dyDescent="0.25">
      <c r="A11293" t="str">
        <f>"831420"</f>
        <v>831420</v>
      </c>
      <c r="B11293" t="s">
        <v>27197</v>
      </c>
      <c r="C11293" t="s">
        <v>2232</v>
      </c>
      <c r="D11293" s="21" t="s">
        <v>34</v>
      </c>
      <c r="E11293" s="21" t="s">
        <v>1089</v>
      </c>
      <c r="F11293">
        <v>13830088</v>
      </c>
      <c r="G11293" t="s">
        <v>17664</v>
      </c>
      <c r="H11293" s="21">
        <v>956.54</v>
      </c>
    </row>
    <row r="11294" spans="1:8" customFormat="1" x14ac:dyDescent="0.25">
      <c r="A11294" t="str">
        <f>"9139416"</f>
        <v>9139416</v>
      </c>
      <c r="B11294" t="s">
        <v>11690</v>
      </c>
      <c r="C11294" t="s">
        <v>249</v>
      </c>
      <c r="D11294" s="21" t="s">
        <v>34</v>
      </c>
      <c r="E11294" s="21" t="s">
        <v>35</v>
      </c>
      <c r="F11294">
        <v>8911334</v>
      </c>
      <c r="G11294" t="s">
        <v>4170</v>
      </c>
      <c r="H11294" s="21">
        <v>956.54</v>
      </c>
    </row>
    <row r="11295" spans="1:8" customFormat="1" x14ac:dyDescent="0.25">
      <c r="A11295" t="str">
        <f>"256237"</f>
        <v>256237</v>
      </c>
      <c r="B11295" t="s">
        <v>1506</v>
      </c>
      <c r="C11295" t="s">
        <v>65</v>
      </c>
      <c r="D11295" s="21" t="s">
        <v>34</v>
      </c>
      <c r="E11295" s="21" t="s">
        <v>35</v>
      </c>
      <c r="F11295">
        <v>2250083</v>
      </c>
      <c r="G11295" t="s">
        <v>3808</v>
      </c>
      <c r="H11295" s="21">
        <v>956.42</v>
      </c>
    </row>
    <row r="11296" spans="1:8" customFormat="1" x14ac:dyDescent="0.25">
      <c r="A11296" t="str">
        <f>"786094"</f>
        <v>786094</v>
      </c>
      <c r="B11296" t="s">
        <v>4428</v>
      </c>
      <c r="C11296" t="s">
        <v>269</v>
      </c>
      <c r="D11296" s="21" t="s">
        <v>34</v>
      </c>
      <c r="E11296" s="21" t="s">
        <v>71</v>
      </c>
      <c r="F11296">
        <v>8781144</v>
      </c>
      <c r="G11296" t="s">
        <v>4714</v>
      </c>
      <c r="H11296" s="21">
        <v>956.29</v>
      </c>
    </row>
    <row r="11297" spans="1:8" customFormat="1" x14ac:dyDescent="0.25">
      <c r="A11297" t="str">
        <f>"9522201"</f>
        <v>9522201</v>
      </c>
      <c r="B11297" t="s">
        <v>7016</v>
      </c>
      <c r="C11297" t="s">
        <v>1132</v>
      </c>
      <c r="D11297" s="21" t="s">
        <v>34</v>
      </c>
      <c r="E11297" s="21" t="s">
        <v>71</v>
      </c>
      <c r="F11297">
        <v>8950978</v>
      </c>
      <c r="G11297" t="s">
        <v>1164</v>
      </c>
      <c r="H11297" s="21">
        <v>956.29</v>
      </c>
    </row>
    <row r="11298" spans="1:8" customFormat="1" x14ac:dyDescent="0.25">
      <c r="A11298" t="str">
        <f>"7514340"</f>
        <v>7514340</v>
      </c>
      <c r="B11298" t="s">
        <v>78</v>
      </c>
      <c r="C11298" t="s">
        <v>11592</v>
      </c>
      <c r="D11298" s="21" t="s">
        <v>34</v>
      </c>
      <c r="E11298" s="21" t="s">
        <v>71</v>
      </c>
      <c r="F11298">
        <v>8940655</v>
      </c>
      <c r="G11298" t="s">
        <v>10168</v>
      </c>
      <c r="H11298" s="21">
        <v>956.17</v>
      </c>
    </row>
    <row r="11299" spans="1:8" customFormat="1" x14ac:dyDescent="0.25">
      <c r="A11299" t="str">
        <f>"45857"</f>
        <v>45857</v>
      </c>
      <c r="B11299" t="s">
        <v>10023</v>
      </c>
      <c r="C11299" t="s">
        <v>130</v>
      </c>
      <c r="D11299" s="21" t="s">
        <v>34</v>
      </c>
      <c r="E11299" s="21" t="s">
        <v>71</v>
      </c>
      <c r="F11299">
        <v>4450209</v>
      </c>
      <c r="G11299" t="s">
        <v>10425</v>
      </c>
      <c r="H11299" s="21">
        <v>956.17</v>
      </c>
    </row>
    <row r="11300" spans="1:8" customFormat="1" x14ac:dyDescent="0.25">
      <c r="A11300" t="str">
        <f>"9535030"</f>
        <v>9535030</v>
      </c>
      <c r="B11300" t="s">
        <v>1471</v>
      </c>
      <c r="C11300" t="s">
        <v>3309</v>
      </c>
      <c r="D11300" s="21" t="s">
        <v>34</v>
      </c>
      <c r="E11300" s="21" t="s">
        <v>35</v>
      </c>
      <c r="F11300">
        <v>8951331</v>
      </c>
      <c r="G11300" t="s">
        <v>1134</v>
      </c>
      <c r="H11300" s="21">
        <v>956.17</v>
      </c>
    </row>
    <row r="11301" spans="1:8" customFormat="1" x14ac:dyDescent="0.25">
      <c r="A11301" t="str">
        <f>"2933651"</f>
        <v>2933651</v>
      </c>
      <c r="B11301" t="s">
        <v>1661</v>
      </c>
      <c r="C11301" t="s">
        <v>462</v>
      </c>
      <c r="D11301" s="21" t="s">
        <v>34</v>
      </c>
      <c r="E11301" s="21" t="s">
        <v>35</v>
      </c>
      <c r="F11301">
        <v>3290281</v>
      </c>
      <c r="G11301" t="s">
        <v>11077</v>
      </c>
      <c r="H11301" s="21">
        <v>956.17</v>
      </c>
    </row>
    <row r="11302" spans="1:8" customFormat="1" x14ac:dyDescent="0.25">
      <c r="A11302" t="str">
        <f>"5957825"</f>
        <v>5957825</v>
      </c>
      <c r="B11302" t="s">
        <v>9547</v>
      </c>
      <c r="C11302" t="s">
        <v>109</v>
      </c>
      <c r="D11302" s="21" t="s">
        <v>34</v>
      </c>
      <c r="E11302" s="21" t="s">
        <v>71</v>
      </c>
      <c r="F11302">
        <v>7590047</v>
      </c>
      <c r="G11302" t="s">
        <v>5788</v>
      </c>
      <c r="H11302" s="21">
        <v>956.17</v>
      </c>
    </row>
    <row r="11303" spans="1:8" customFormat="1" x14ac:dyDescent="0.25">
      <c r="A11303" t="str">
        <f>"7517010"</f>
        <v>7517010</v>
      </c>
      <c r="B11303" t="s">
        <v>3675</v>
      </c>
      <c r="C11303" t="s">
        <v>60</v>
      </c>
      <c r="D11303" s="21" t="s">
        <v>34</v>
      </c>
      <c r="E11303" s="21" t="s">
        <v>35</v>
      </c>
      <c r="F11303">
        <v>3220013</v>
      </c>
      <c r="G11303" t="s">
        <v>27198</v>
      </c>
      <c r="H11303" s="21">
        <v>956.17</v>
      </c>
    </row>
    <row r="11304" spans="1:8" customFormat="1" x14ac:dyDescent="0.25">
      <c r="A11304" t="str">
        <f>"934285"</f>
        <v>934285</v>
      </c>
      <c r="B11304" t="s">
        <v>10797</v>
      </c>
      <c r="C11304" t="s">
        <v>5778</v>
      </c>
      <c r="D11304" s="21" t="s">
        <v>34</v>
      </c>
      <c r="E11304" s="21" t="s">
        <v>71</v>
      </c>
      <c r="F11304">
        <v>8930490</v>
      </c>
      <c r="G11304" t="s">
        <v>1563</v>
      </c>
      <c r="H11304" s="21">
        <v>956.17</v>
      </c>
    </row>
    <row r="11305" spans="1:8" customFormat="1" x14ac:dyDescent="0.25">
      <c r="A11305" t="str">
        <f>"0767"</f>
        <v>0767</v>
      </c>
      <c r="B11305" t="s">
        <v>10563</v>
      </c>
      <c r="C11305" t="s">
        <v>55</v>
      </c>
      <c r="D11305" s="21" t="s">
        <v>34</v>
      </c>
      <c r="E11305" s="21" t="s">
        <v>254</v>
      </c>
      <c r="F11305">
        <v>1260056</v>
      </c>
      <c r="G11305" t="s">
        <v>6519</v>
      </c>
      <c r="H11305" s="21">
        <v>956.17</v>
      </c>
    </row>
    <row r="11306" spans="1:8" customFormat="1" x14ac:dyDescent="0.25">
      <c r="A11306" t="str">
        <f>"4438413"</f>
        <v>4438413</v>
      </c>
      <c r="B11306" t="s">
        <v>1312</v>
      </c>
      <c r="C11306" t="s">
        <v>206</v>
      </c>
      <c r="D11306" s="21" t="s">
        <v>34</v>
      </c>
      <c r="E11306" s="21" t="s">
        <v>35</v>
      </c>
      <c r="F11306">
        <v>3350130</v>
      </c>
      <c r="G11306" t="s">
        <v>7335</v>
      </c>
      <c r="H11306" s="21">
        <v>956.17</v>
      </c>
    </row>
    <row r="11307" spans="1:8" customFormat="1" x14ac:dyDescent="0.25">
      <c r="A11307" t="str">
        <f>"5317989"</f>
        <v>5317989</v>
      </c>
      <c r="B11307" t="s">
        <v>9142</v>
      </c>
      <c r="C11307" t="s">
        <v>1559</v>
      </c>
      <c r="D11307" s="21" t="s">
        <v>34</v>
      </c>
      <c r="E11307" s="21" t="s">
        <v>71</v>
      </c>
      <c r="F11307">
        <v>12530078</v>
      </c>
      <c r="G11307" t="s">
        <v>3677</v>
      </c>
      <c r="H11307" s="21">
        <v>956.17</v>
      </c>
    </row>
    <row r="11308" spans="1:8" customFormat="1" x14ac:dyDescent="0.25">
      <c r="A11308" t="str">
        <f>"3422281"</f>
        <v>3422281</v>
      </c>
      <c r="B11308" t="s">
        <v>12068</v>
      </c>
      <c r="C11308" t="s">
        <v>3010</v>
      </c>
      <c r="D11308" s="21" t="s">
        <v>34</v>
      </c>
      <c r="E11308" s="21" t="s">
        <v>254</v>
      </c>
      <c r="F11308">
        <v>11340005</v>
      </c>
      <c r="G11308" t="s">
        <v>9837</v>
      </c>
      <c r="H11308" s="21">
        <v>956.17</v>
      </c>
    </row>
    <row r="11309" spans="1:8" customFormat="1" x14ac:dyDescent="0.25">
      <c r="A11309" t="str">
        <f>"9231861"</f>
        <v>9231861</v>
      </c>
      <c r="B11309" t="s">
        <v>10889</v>
      </c>
      <c r="C11309" t="s">
        <v>547</v>
      </c>
      <c r="D11309" s="21" t="s">
        <v>34</v>
      </c>
      <c r="E11309" s="21" t="s">
        <v>71</v>
      </c>
      <c r="F11309">
        <v>8920140</v>
      </c>
      <c r="G11309" t="s">
        <v>3762</v>
      </c>
      <c r="H11309" s="21">
        <v>956.04</v>
      </c>
    </row>
    <row r="11310" spans="1:8" customFormat="1" x14ac:dyDescent="0.25">
      <c r="A11310" t="str">
        <f>"3813507"</f>
        <v>3813507</v>
      </c>
      <c r="B11310" t="s">
        <v>12811</v>
      </c>
      <c r="C11310" t="s">
        <v>2479</v>
      </c>
      <c r="D11310" s="21" t="s">
        <v>34</v>
      </c>
      <c r="E11310" s="21" t="s">
        <v>254</v>
      </c>
      <c r="F11310">
        <v>1380117</v>
      </c>
      <c r="G11310" t="s">
        <v>6062</v>
      </c>
      <c r="H11310" s="21">
        <v>955.92</v>
      </c>
    </row>
    <row r="11311" spans="1:8" customFormat="1" x14ac:dyDescent="0.25">
      <c r="A11311" t="str">
        <f>"664845"</f>
        <v>664845</v>
      </c>
      <c r="B11311" t="s">
        <v>3274</v>
      </c>
      <c r="C11311" t="s">
        <v>269</v>
      </c>
      <c r="D11311" s="21" t="s">
        <v>34</v>
      </c>
      <c r="E11311" s="21" t="s">
        <v>71</v>
      </c>
      <c r="F11311">
        <v>11660020</v>
      </c>
      <c r="G11311" t="s">
        <v>10247</v>
      </c>
      <c r="H11311" s="21">
        <v>955.92</v>
      </c>
    </row>
    <row r="11312" spans="1:8" customFormat="1" x14ac:dyDescent="0.25">
      <c r="A11312" t="str">
        <f>"275866"</f>
        <v>275866</v>
      </c>
      <c r="B11312" t="s">
        <v>10734</v>
      </c>
      <c r="C11312" t="s">
        <v>249</v>
      </c>
      <c r="D11312" s="21" t="s">
        <v>34</v>
      </c>
      <c r="E11312" s="21" t="s">
        <v>71</v>
      </c>
      <c r="F11312">
        <v>9270087</v>
      </c>
      <c r="G11312" t="s">
        <v>7014</v>
      </c>
      <c r="H11312" s="21">
        <v>955.67</v>
      </c>
    </row>
    <row r="11313" spans="1:8" customFormat="1" x14ac:dyDescent="0.25">
      <c r="A11313" t="str">
        <f>"7714063"</f>
        <v>7714063</v>
      </c>
      <c r="B11313" t="s">
        <v>1574</v>
      </c>
      <c r="C11313" t="s">
        <v>576</v>
      </c>
      <c r="D11313" s="21" t="s">
        <v>34</v>
      </c>
      <c r="E11313" s="21" t="s">
        <v>35</v>
      </c>
      <c r="F11313">
        <v>3350050</v>
      </c>
      <c r="G11313" t="s">
        <v>6931</v>
      </c>
      <c r="H11313" s="21">
        <v>955.67</v>
      </c>
    </row>
    <row r="11314" spans="1:8" customFormat="1" x14ac:dyDescent="0.25">
      <c r="A11314" t="str">
        <f>"537987"</f>
        <v>537987</v>
      </c>
      <c r="B11314" t="s">
        <v>2295</v>
      </c>
      <c r="C11314" t="s">
        <v>2135</v>
      </c>
      <c r="D11314" s="21" t="s">
        <v>34</v>
      </c>
      <c r="E11314" s="21" t="s">
        <v>71</v>
      </c>
      <c r="F11314">
        <v>12530035</v>
      </c>
      <c r="G11314" t="s">
        <v>1663</v>
      </c>
      <c r="H11314" s="21">
        <v>955.67</v>
      </c>
    </row>
    <row r="11315" spans="1:8" customFormat="1" x14ac:dyDescent="0.25">
      <c r="A11315" t="str">
        <f>"186954"</f>
        <v>186954</v>
      </c>
      <c r="B11315" t="s">
        <v>11169</v>
      </c>
      <c r="C11315" t="s">
        <v>43</v>
      </c>
      <c r="D11315" s="21" t="s">
        <v>34</v>
      </c>
      <c r="E11315" s="21" t="s">
        <v>35</v>
      </c>
      <c r="F11315">
        <v>4180157</v>
      </c>
      <c r="G11315" t="s">
        <v>11170</v>
      </c>
      <c r="H11315" s="21">
        <v>955.67</v>
      </c>
    </row>
    <row r="11316" spans="1:8" customFormat="1" x14ac:dyDescent="0.25">
      <c r="A11316" t="str">
        <f>"6918636"</f>
        <v>6918636</v>
      </c>
      <c r="B11316" t="s">
        <v>10559</v>
      </c>
      <c r="C11316" t="s">
        <v>60</v>
      </c>
      <c r="D11316" s="21" t="s">
        <v>34</v>
      </c>
      <c r="E11316" s="21" t="s">
        <v>35</v>
      </c>
      <c r="F11316">
        <v>1690030</v>
      </c>
      <c r="G11316" t="s">
        <v>432</v>
      </c>
      <c r="H11316" s="21">
        <v>955.67</v>
      </c>
    </row>
    <row r="11317" spans="1:8" customFormat="1" x14ac:dyDescent="0.25">
      <c r="A11317" t="str">
        <f>"3113345"</f>
        <v>3113345</v>
      </c>
      <c r="B11317" t="s">
        <v>3582</v>
      </c>
      <c r="C11317" t="s">
        <v>33</v>
      </c>
      <c r="D11317" s="21" t="s">
        <v>34</v>
      </c>
      <c r="E11317" s="21" t="s">
        <v>35</v>
      </c>
      <c r="F11317">
        <v>11310121</v>
      </c>
      <c r="G11317" t="s">
        <v>578</v>
      </c>
      <c r="H11317" s="21">
        <v>955.67</v>
      </c>
    </row>
    <row r="11318" spans="1:8" customFormat="1" x14ac:dyDescent="0.25">
      <c r="A11318" t="str">
        <f>"4217121"</f>
        <v>4217121</v>
      </c>
      <c r="B11318" t="s">
        <v>12510</v>
      </c>
      <c r="C11318" t="s">
        <v>121</v>
      </c>
      <c r="D11318" s="21" t="s">
        <v>34</v>
      </c>
      <c r="E11318" s="21" t="s">
        <v>35</v>
      </c>
      <c r="F11318">
        <v>1420166</v>
      </c>
      <c r="G11318" t="s">
        <v>26873</v>
      </c>
      <c r="H11318" s="21">
        <v>955.67</v>
      </c>
    </row>
    <row r="11319" spans="1:8" customFormat="1" x14ac:dyDescent="0.25">
      <c r="A11319" t="str">
        <f>"247124"</f>
        <v>247124</v>
      </c>
      <c r="B11319" t="s">
        <v>27199</v>
      </c>
      <c r="C11319" t="s">
        <v>608</v>
      </c>
      <c r="D11319" s="21" t="s">
        <v>34</v>
      </c>
      <c r="E11319" s="21" t="s">
        <v>35</v>
      </c>
      <c r="F11319">
        <v>10240007</v>
      </c>
      <c r="G11319" t="s">
        <v>2326</v>
      </c>
      <c r="H11319" s="21">
        <v>955.67</v>
      </c>
    </row>
    <row r="11320" spans="1:8" customFormat="1" x14ac:dyDescent="0.25">
      <c r="A11320" t="str">
        <f>"643297"</f>
        <v>643297</v>
      </c>
      <c r="B11320" t="s">
        <v>9666</v>
      </c>
      <c r="C11320" t="s">
        <v>43</v>
      </c>
      <c r="D11320" s="21" t="s">
        <v>34</v>
      </c>
      <c r="E11320" s="21" t="s">
        <v>35</v>
      </c>
      <c r="F11320">
        <v>10640006</v>
      </c>
      <c r="G11320" t="s">
        <v>3872</v>
      </c>
      <c r="H11320" s="21">
        <v>955.67</v>
      </c>
    </row>
    <row r="11321" spans="1:8" customFormat="1" x14ac:dyDescent="0.25">
      <c r="A11321" t="str">
        <f>"3336348"</f>
        <v>3336348</v>
      </c>
      <c r="B11321" t="s">
        <v>12100</v>
      </c>
      <c r="C11321" t="s">
        <v>263</v>
      </c>
      <c r="D11321" s="21" t="s">
        <v>34</v>
      </c>
      <c r="E11321" s="21" t="s">
        <v>71</v>
      </c>
      <c r="F11321">
        <v>10330123</v>
      </c>
      <c r="G11321" t="s">
        <v>12101</v>
      </c>
      <c r="H11321" s="21">
        <v>955.67</v>
      </c>
    </row>
    <row r="11322" spans="1:8" customFormat="1" x14ac:dyDescent="0.25">
      <c r="A11322" t="str">
        <f>"3117261"</f>
        <v>3117261</v>
      </c>
      <c r="B11322" t="s">
        <v>10749</v>
      </c>
      <c r="C11322" t="s">
        <v>275</v>
      </c>
      <c r="D11322" s="21" t="s">
        <v>34</v>
      </c>
      <c r="E11322" s="21" t="s">
        <v>35</v>
      </c>
      <c r="F11322">
        <v>11310129</v>
      </c>
      <c r="G11322" t="s">
        <v>4672</v>
      </c>
      <c r="H11322" s="21">
        <v>955.67</v>
      </c>
    </row>
    <row r="11323" spans="1:8" customFormat="1" x14ac:dyDescent="0.25">
      <c r="A11323" t="str">
        <f>"85409"</f>
        <v>85409</v>
      </c>
      <c r="B11323" t="s">
        <v>6355</v>
      </c>
      <c r="C11323" t="s">
        <v>96</v>
      </c>
      <c r="D11323" s="21" t="s">
        <v>34</v>
      </c>
      <c r="E11323" s="21" t="s">
        <v>35</v>
      </c>
      <c r="F11323">
        <v>12850012</v>
      </c>
      <c r="G11323" t="s">
        <v>1229</v>
      </c>
      <c r="H11323" s="21">
        <v>955.67</v>
      </c>
    </row>
    <row r="11324" spans="1:8" customFormat="1" x14ac:dyDescent="0.25">
      <c r="A11324" t="str">
        <f>"5942657"</f>
        <v>5942657</v>
      </c>
      <c r="B11324" t="s">
        <v>2146</v>
      </c>
      <c r="C11324" t="s">
        <v>204</v>
      </c>
      <c r="D11324" s="21" t="s">
        <v>34</v>
      </c>
      <c r="E11324" s="21" t="s">
        <v>35</v>
      </c>
      <c r="F11324">
        <v>13830014</v>
      </c>
      <c r="G11324" t="s">
        <v>5757</v>
      </c>
      <c r="H11324" s="21">
        <v>955.67</v>
      </c>
    </row>
    <row r="11325" spans="1:8" customFormat="1" x14ac:dyDescent="0.25">
      <c r="A11325" t="str">
        <f>"9529091"</f>
        <v>9529091</v>
      </c>
      <c r="B11325" t="s">
        <v>12097</v>
      </c>
      <c r="C11325" t="s">
        <v>1665</v>
      </c>
      <c r="D11325" s="21" t="s">
        <v>34</v>
      </c>
      <c r="E11325" s="21" t="s">
        <v>35</v>
      </c>
      <c r="F11325">
        <v>8950424</v>
      </c>
      <c r="G11325" t="s">
        <v>12098</v>
      </c>
      <c r="H11325" s="21">
        <v>955.67</v>
      </c>
    </row>
    <row r="11326" spans="1:8" customFormat="1" x14ac:dyDescent="0.25">
      <c r="A11326" t="str">
        <f>"9532925"</f>
        <v>9532925</v>
      </c>
      <c r="B11326" t="s">
        <v>11406</v>
      </c>
      <c r="C11326" t="s">
        <v>249</v>
      </c>
      <c r="D11326" s="21" t="s">
        <v>34</v>
      </c>
      <c r="E11326" s="21" t="s">
        <v>35</v>
      </c>
      <c r="F11326">
        <v>8951092</v>
      </c>
      <c r="G11326" t="s">
        <v>5801</v>
      </c>
      <c r="H11326" s="21">
        <v>955.54</v>
      </c>
    </row>
    <row r="11327" spans="1:8" customFormat="1" x14ac:dyDescent="0.25">
      <c r="A11327" t="str">
        <f>"2516388"</f>
        <v>2516388</v>
      </c>
      <c r="B11327" t="s">
        <v>11549</v>
      </c>
      <c r="C11327" t="s">
        <v>209</v>
      </c>
      <c r="D11327" s="21" t="s">
        <v>34</v>
      </c>
      <c r="E11327" s="21" t="s">
        <v>71</v>
      </c>
      <c r="F11327">
        <v>2250001</v>
      </c>
      <c r="G11327" t="s">
        <v>424</v>
      </c>
      <c r="H11327" s="21">
        <v>955.54</v>
      </c>
    </row>
    <row r="11328" spans="1:8" customFormat="1" x14ac:dyDescent="0.25">
      <c r="A11328" t="str">
        <f>"7724834"</f>
        <v>7724834</v>
      </c>
      <c r="B11328" t="s">
        <v>11489</v>
      </c>
      <c r="C11328" t="s">
        <v>169</v>
      </c>
      <c r="D11328" s="21" t="s">
        <v>34</v>
      </c>
      <c r="E11328" s="21" t="s">
        <v>35</v>
      </c>
      <c r="F11328">
        <v>8771184</v>
      </c>
      <c r="G11328" t="s">
        <v>137</v>
      </c>
      <c r="H11328" s="21">
        <v>955.29</v>
      </c>
    </row>
    <row r="11329" spans="1:8" customFormat="1" x14ac:dyDescent="0.25">
      <c r="A11329" t="str">
        <f>"5934269"</f>
        <v>5934269</v>
      </c>
      <c r="B11329" t="s">
        <v>2538</v>
      </c>
      <c r="C11329" t="s">
        <v>267</v>
      </c>
      <c r="D11329" s="21" t="s">
        <v>34</v>
      </c>
      <c r="E11329" s="21" t="s">
        <v>71</v>
      </c>
      <c r="F11329">
        <v>7590149</v>
      </c>
      <c r="G11329" t="s">
        <v>11632</v>
      </c>
      <c r="H11329" s="21">
        <v>955.17</v>
      </c>
    </row>
    <row r="11330" spans="1:8" customFormat="1" x14ac:dyDescent="0.25">
      <c r="A11330" t="str">
        <f>"6724059"</f>
        <v>6724059</v>
      </c>
      <c r="B11330" t="s">
        <v>10546</v>
      </c>
      <c r="C11330" t="s">
        <v>1605</v>
      </c>
      <c r="D11330" s="21" t="s">
        <v>34</v>
      </c>
      <c r="E11330" s="21" t="s">
        <v>35</v>
      </c>
      <c r="F11330">
        <v>6670257</v>
      </c>
      <c r="G11330" t="s">
        <v>26708</v>
      </c>
      <c r="H11330" s="21">
        <v>955.17</v>
      </c>
    </row>
    <row r="11331" spans="1:8" customFormat="1" x14ac:dyDescent="0.25">
      <c r="A11331" t="str">
        <f>"5610170"</f>
        <v>5610170</v>
      </c>
      <c r="B11331" t="s">
        <v>10786</v>
      </c>
      <c r="C11331" t="s">
        <v>967</v>
      </c>
      <c r="D11331" s="21" t="s">
        <v>34</v>
      </c>
      <c r="E11331" s="21" t="s">
        <v>254</v>
      </c>
      <c r="F11331">
        <v>3560060</v>
      </c>
      <c r="G11331" t="s">
        <v>8368</v>
      </c>
      <c r="H11331" s="21">
        <v>955.17</v>
      </c>
    </row>
    <row r="11332" spans="1:8" customFormat="1" x14ac:dyDescent="0.25">
      <c r="A11332" t="str">
        <f>"4438707"</f>
        <v>4438707</v>
      </c>
      <c r="B11332" t="s">
        <v>11576</v>
      </c>
      <c r="C11332" t="s">
        <v>65</v>
      </c>
      <c r="D11332" s="21" t="s">
        <v>34</v>
      </c>
      <c r="E11332" s="21" t="s">
        <v>35</v>
      </c>
      <c r="F11332">
        <v>12440058</v>
      </c>
      <c r="G11332" t="s">
        <v>394</v>
      </c>
      <c r="H11332" s="21">
        <v>955.17</v>
      </c>
    </row>
    <row r="11333" spans="1:8" customFormat="1" x14ac:dyDescent="0.25">
      <c r="A11333" t="str">
        <f>"5731691"</f>
        <v>5731691</v>
      </c>
      <c r="B11333" t="s">
        <v>7616</v>
      </c>
      <c r="C11333" t="s">
        <v>598</v>
      </c>
      <c r="D11333" s="21" t="s">
        <v>34</v>
      </c>
      <c r="E11333" s="21" t="s">
        <v>35</v>
      </c>
      <c r="F11333">
        <v>6570146</v>
      </c>
      <c r="G11333" t="s">
        <v>1556</v>
      </c>
      <c r="H11333" s="21">
        <v>955.17</v>
      </c>
    </row>
    <row r="11334" spans="1:8" customFormat="1" x14ac:dyDescent="0.25">
      <c r="A11334" t="str">
        <f>"80974"</f>
        <v>80974</v>
      </c>
      <c r="B11334" t="s">
        <v>10852</v>
      </c>
      <c r="C11334" t="s">
        <v>93</v>
      </c>
      <c r="D11334" s="21" t="s">
        <v>34</v>
      </c>
      <c r="E11334" s="21" t="s">
        <v>71</v>
      </c>
      <c r="F11334">
        <v>7800040</v>
      </c>
      <c r="G11334" t="s">
        <v>1448</v>
      </c>
      <c r="H11334" s="21">
        <v>955.17</v>
      </c>
    </row>
    <row r="11335" spans="1:8" customFormat="1" x14ac:dyDescent="0.25">
      <c r="A11335" t="str">
        <f>"5913062"</f>
        <v>5913062</v>
      </c>
      <c r="B11335" t="s">
        <v>27200</v>
      </c>
      <c r="C11335" t="s">
        <v>719</v>
      </c>
      <c r="D11335" s="21" t="s">
        <v>34</v>
      </c>
      <c r="E11335" s="21" t="s">
        <v>35</v>
      </c>
      <c r="F11335">
        <v>7590195</v>
      </c>
      <c r="G11335" t="s">
        <v>5332</v>
      </c>
      <c r="H11335" s="21">
        <v>955.17</v>
      </c>
    </row>
    <row r="11336" spans="1:8" customFormat="1" x14ac:dyDescent="0.25">
      <c r="A11336" t="str">
        <f>"05842"</f>
        <v>05842</v>
      </c>
      <c r="B11336" t="s">
        <v>12321</v>
      </c>
      <c r="C11336" t="s">
        <v>169</v>
      </c>
      <c r="D11336" s="21" t="s">
        <v>34</v>
      </c>
      <c r="E11336" s="21" t="s">
        <v>35</v>
      </c>
      <c r="F11336">
        <v>13050008</v>
      </c>
      <c r="G11336" t="s">
        <v>12322</v>
      </c>
      <c r="H11336" s="21">
        <v>955.04</v>
      </c>
    </row>
    <row r="11337" spans="1:8" customFormat="1" x14ac:dyDescent="0.25">
      <c r="A11337" t="str">
        <f>"5972075"</f>
        <v>5972075</v>
      </c>
      <c r="B11337" t="s">
        <v>11809</v>
      </c>
      <c r="C11337" t="s">
        <v>1146</v>
      </c>
      <c r="D11337" s="21" t="s">
        <v>34</v>
      </c>
      <c r="E11337" s="21" t="s">
        <v>35</v>
      </c>
      <c r="F11337">
        <v>7590173</v>
      </c>
      <c r="G11337" t="s">
        <v>5675</v>
      </c>
      <c r="H11337" s="21">
        <v>954.92</v>
      </c>
    </row>
    <row r="11338" spans="1:8" customFormat="1" x14ac:dyDescent="0.25">
      <c r="A11338" t="str">
        <f>"303220"</f>
        <v>303220</v>
      </c>
      <c r="B11338" t="s">
        <v>8175</v>
      </c>
      <c r="C11338" t="s">
        <v>528</v>
      </c>
      <c r="D11338" s="21" t="s">
        <v>34</v>
      </c>
      <c r="E11338" s="21" t="s">
        <v>71</v>
      </c>
      <c r="F11338">
        <v>11300014</v>
      </c>
      <c r="G11338" t="s">
        <v>2345</v>
      </c>
      <c r="H11338" s="21">
        <v>954.92</v>
      </c>
    </row>
    <row r="11339" spans="1:8" customFormat="1" x14ac:dyDescent="0.25">
      <c r="A11339" t="str">
        <f>"7621892"</f>
        <v>7621892</v>
      </c>
      <c r="B11339" t="s">
        <v>2561</v>
      </c>
      <c r="C11339" t="s">
        <v>156</v>
      </c>
      <c r="D11339" s="21" t="s">
        <v>34</v>
      </c>
      <c r="E11339" s="21" t="s">
        <v>254</v>
      </c>
      <c r="F11339">
        <v>9760011</v>
      </c>
      <c r="G11339" t="s">
        <v>2562</v>
      </c>
      <c r="H11339" s="21">
        <v>954.92</v>
      </c>
    </row>
    <row r="11340" spans="1:8" customFormat="1" x14ac:dyDescent="0.25">
      <c r="A11340" t="str">
        <f>"5322812"</f>
        <v>5322812</v>
      </c>
      <c r="B11340" t="s">
        <v>12022</v>
      </c>
      <c r="C11340" t="s">
        <v>4060</v>
      </c>
      <c r="D11340" s="21" t="s">
        <v>34</v>
      </c>
      <c r="E11340" s="21" t="s">
        <v>35</v>
      </c>
      <c r="F11340">
        <v>12538903</v>
      </c>
      <c r="G11340" t="s">
        <v>6439</v>
      </c>
      <c r="H11340" s="21">
        <v>954.92</v>
      </c>
    </row>
    <row r="11341" spans="1:8" customFormat="1" x14ac:dyDescent="0.25">
      <c r="A11341" t="str">
        <f>"2714284"</f>
        <v>2714284</v>
      </c>
      <c r="B11341" t="s">
        <v>11747</v>
      </c>
      <c r="C11341" t="s">
        <v>62</v>
      </c>
      <c r="D11341" s="21" t="s">
        <v>34</v>
      </c>
      <c r="E11341" s="21" t="s">
        <v>35</v>
      </c>
      <c r="F11341">
        <v>9270183</v>
      </c>
      <c r="G11341" t="s">
        <v>9801</v>
      </c>
      <c r="H11341" s="21">
        <v>954.8</v>
      </c>
    </row>
    <row r="11342" spans="1:8" customFormat="1" x14ac:dyDescent="0.25">
      <c r="A11342" t="str">
        <f>"7625862"</f>
        <v>7625862</v>
      </c>
      <c r="B11342" t="s">
        <v>11461</v>
      </c>
      <c r="C11342" t="s">
        <v>233</v>
      </c>
      <c r="D11342" s="21" t="s">
        <v>34</v>
      </c>
      <c r="E11342" s="21" t="s">
        <v>35</v>
      </c>
      <c r="F11342">
        <v>9760415</v>
      </c>
      <c r="G11342" t="s">
        <v>4541</v>
      </c>
      <c r="H11342" s="21">
        <v>954.67</v>
      </c>
    </row>
    <row r="11343" spans="1:8" customFormat="1" x14ac:dyDescent="0.25">
      <c r="A11343" t="str">
        <f>"258779"</f>
        <v>258779</v>
      </c>
      <c r="B11343" t="s">
        <v>10733</v>
      </c>
      <c r="C11343" t="s">
        <v>33</v>
      </c>
      <c r="D11343" s="21" t="s">
        <v>34</v>
      </c>
      <c r="E11343" s="21" t="s">
        <v>35</v>
      </c>
      <c r="F11343">
        <v>2250015</v>
      </c>
      <c r="G11343" t="s">
        <v>4776</v>
      </c>
      <c r="H11343" s="21">
        <v>954.67</v>
      </c>
    </row>
    <row r="11344" spans="1:8" customFormat="1" x14ac:dyDescent="0.25">
      <c r="A11344" t="str">
        <f>"302816"</f>
        <v>302816</v>
      </c>
      <c r="B11344" t="s">
        <v>6609</v>
      </c>
      <c r="C11344" t="s">
        <v>415</v>
      </c>
      <c r="D11344" s="21" t="s">
        <v>34</v>
      </c>
      <c r="E11344" s="21" t="s">
        <v>1089</v>
      </c>
      <c r="F11344">
        <v>11300019</v>
      </c>
      <c r="G11344" t="s">
        <v>27201</v>
      </c>
      <c r="H11344" s="21">
        <v>954.67</v>
      </c>
    </row>
    <row r="11345" spans="1:8" customFormat="1" x14ac:dyDescent="0.25">
      <c r="A11345" t="str">
        <f>"606732"</f>
        <v>606732</v>
      </c>
      <c r="B11345" t="s">
        <v>9480</v>
      </c>
      <c r="C11345" t="s">
        <v>169</v>
      </c>
      <c r="D11345" s="21" t="s">
        <v>34</v>
      </c>
      <c r="E11345" s="21" t="s">
        <v>35</v>
      </c>
      <c r="F11345">
        <v>7600081</v>
      </c>
      <c r="G11345" t="s">
        <v>5845</v>
      </c>
      <c r="H11345" s="21">
        <v>954.67</v>
      </c>
    </row>
    <row r="11346" spans="1:8" customFormat="1" x14ac:dyDescent="0.25">
      <c r="A11346" t="str">
        <f>"568365"</f>
        <v>568365</v>
      </c>
      <c r="B11346" t="s">
        <v>12223</v>
      </c>
      <c r="C11346" t="s">
        <v>253</v>
      </c>
      <c r="D11346" s="21" t="s">
        <v>34</v>
      </c>
      <c r="E11346" s="21" t="s">
        <v>71</v>
      </c>
      <c r="F11346">
        <v>3560060</v>
      </c>
      <c r="G11346" t="s">
        <v>8368</v>
      </c>
      <c r="H11346" s="21">
        <v>954.67</v>
      </c>
    </row>
    <row r="11347" spans="1:8" customFormat="1" x14ac:dyDescent="0.25">
      <c r="A11347" t="str">
        <f>"4413880"</f>
        <v>4413880</v>
      </c>
      <c r="B11347" t="s">
        <v>482</v>
      </c>
      <c r="C11347" t="s">
        <v>121</v>
      </c>
      <c r="D11347" s="21" t="s">
        <v>34</v>
      </c>
      <c r="E11347" s="21" t="s">
        <v>35</v>
      </c>
      <c r="F11347">
        <v>4450417</v>
      </c>
      <c r="G11347" t="s">
        <v>2284</v>
      </c>
      <c r="H11347" s="21">
        <v>954.67</v>
      </c>
    </row>
    <row r="11348" spans="1:8" customFormat="1" x14ac:dyDescent="0.25">
      <c r="A11348" t="str">
        <f>"633166"</f>
        <v>633166</v>
      </c>
      <c r="B11348" t="s">
        <v>9905</v>
      </c>
      <c r="C11348" t="s">
        <v>236</v>
      </c>
      <c r="D11348" s="21" t="s">
        <v>34</v>
      </c>
      <c r="E11348" s="21" t="s">
        <v>6185</v>
      </c>
      <c r="F11348">
        <v>1630287</v>
      </c>
      <c r="G11348" t="s">
        <v>9906</v>
      </c>
      <c r="H11348" s="21">
        <v>954.67</v>
      </c>
    </row>
    <row r="11349" spans="1:8" customFormat="1" x14ac:dyDescent="0.25">
      <c r="A11349" t="str">
        <f>"331257"</f>
        <v>331257</v>
      </c>
      <c r="B11349" t="s">
        <v>1693</v>
      </c>
      <c r="C11349" t="s">
        <v>209</v>
      </c>
      <c r="D11349" s="21" t="s">
        <v>34</v>
      </c>
      <c r="E11349" s="21" t="s">
        <v>254</v>
      </c>
      <c r="F11349">
        <v>10330050</v>
      </c>
      <c r="G11349" t="s">
        <v>2488</v>
      </c>
      <c r="H11349" s="21">
        <v>954.67</v>
      </c>
    </row>
    <row r="11350" spans="1:8" customFormat="1" x14ac:dyDescent="0.25">
      <c r="A11350" t="str">
        <f>"508868"</f>
        <v>508868</v>
      </c>
      <c r="B11350" t="s">
        <v>11185</v>
      </c>
      <c r="C11350" t="s">
        <v>40</v>
      </c>
      <c r="D11350" s="21" t="s">
        <v>34</v>
      </c>
      <c r="E11350" s="21" t="s">
        <v>71</v>
      </c>
      <c r="F11350">
        <v>9500131</v>
      </c>
      <c r="G11350" t="s">
        <v>1073</v>
      </c>
      <c r="H11350" s="21">
        <v>954.67</v>
      </c>
    </row>
    <row r="11351" spans="1:8" customFormat="1" x14ac:dyDescent="0.25">
      <c r="A11351" t="str">
        <f>"038040"</f>
        <v>038040</v>
      </c>
      <c r="B11351" t="s">
        <v>10061</v>
      </c>
      <c r="C11351" t="s">
        <v>209</v>
      </c>
      <c r="D11351" s="21" t="s">
        <v>34</v>
      </c>
      <c r="E11351" s="21" t="s">
        <v>35</v>
      </c>
      <c r="F11351">
        <v>1030035</v>
      </c>
      <c r="G11351" t="s">
        <v>2343</v>
      </c>
      <c r="H11351" s="21">
        <v>954.67</v>
      </c>
    </row>
    <row r="11352" spans="1:8" customFormat="1" x14ac:dyDescent="0.25">
      <c r="A11352" t="str">
        <f>"715409"</f>
        <v>715409</v>
      </c>
      <c r="B11352" t="s">
        <v>4147</v>
      </c>
      <c r="C11352" t="s">
        <v>236</v>
      </c>
      <c r="D11352" s="21" t="s">
        <v>34</v>
      </c>
      <c r="E11352" s="21" t="s">
        <v>254</v>
      </c>
      <c r="F11352">
        <v>2710048</v>
      </c>
      <c r="G11352" t="s">
        <v>2225</v>
      </c>
      <c r="H11352" s="21">
        <v>954.54</v>
      </c>
    </row>
    <row r="11353" spans="1:8" customFormat="1" x14ac:dyDescent="0.25">
      <c r="A11353" t="str">
        <f>"136122"</f>
        <v>136122</v>
      </c>
      <c r="B11353" t="s">
        <v>13107</v>
      </c>
      <c r="C11353" t="s">
        <v>547</v>
      </c>
      <c r="D11353" s="21" t="s">
        <v>34</v>
      </c>
      <c r="E11353" s="21" t="s">
        <v>35</v>
      </c>
      <c r="F11353">
        <v>13130022</v>
      </c>
      <c r="G11353" t="s">
        <v>2666</v>
      </c>
      <c r="H11353" s="21">
        <v>954.42</v>
      </c>
    </row>
    <row r="11354" spans="1:8" customFormat="1" x14ac:dyDescent="0.25">
      <c r="A11354" t="str">
        <f>"291332"</f>
        <v>291332</v>
      </c>
      <c r="B11354" t="s">
        <v>12883</v>
      </c>
      <c r="C11354" t="s">
        <v>2730</v>
      </c>
      <c r="D11354" s="21" t="s">
        <v>34</v>
      </c>
      <c r="E11354" s="21" t="s">
        <v>254</v>
      </c>
      <c r="F11354">
        <v>3290262</v>
      </c>
      <c r="G11354" t="s">
        <v>1139</v>
      </c>
      <c r="H11354" s="21">
        <v>954.42</v>
      </c>
    </row>
    <row r="11355" spans="1:8" customFormat="1" x14ac:dyDescent="0.25">
      <c r="A11355" t="str">
        <f>"9140911"</f>
        <v>9140911</v>
      </c>
      <c r="B11355" t="s">
        <v>10623</v>
      </c>
      <c r="C11355" t="s">
        <v>249</v>
      </c>
      <c r="D11355" s="21" t="s">
        <v>34</v>
      </c>
      <c r="E11355" s="21" t="s">
        <v>71</v>
      </c>
      <c r="F11355">
        <v>8910434</v>
      </c>
      <c r="G11355" t="s">
        <v>681</v>
      </c>
      <c r="H11355" s="21">
        <v>954.42</v>
      </c>
    </row>
    <row r="11356" spans="1:8" customFormat="1" x14ac:dyDescent="0.25">
      <c r="A11356" t="str">
        <f>"9225549"</f>
        <v>9225549</v>
      </c>
      <c r="B11356" t="s">
        <v>1490</v>
      </c>
      <c r="C11356" t="s">
        <v>239</v>
      </c>
      <c r="D11356" s="21" t="s">
        <v>34</v>
      </c>
      <c r="E11356" s="21" t="s">
        <v>71</v>
      </c>
      <c r="F11356">
        <v>8780080</v>
      </c>
      <c r="G11356" t="s">
        <v>865</v>
      </c>
      <c r="H11356" s="21">
        <v>954.29</v>
      </c>
    </row>
    <row r="11357" spans="1:8" customFormat="1" x14ac:dyDescent="0.25">
      <c r="A11357" t="str">
        <f>"197797"</f>
        <v>197797</v>
      </c>
      <c r="B11357" t="s">
        <v>13426</v>
      </c>
      <c r="C11357" t="s">
        <v>2693</v>
      </c>
      <c r="D11357" s="21" t="s">
        <v>34</v>
      </c>
      <c r="E11357" s="21" t="s">
        <v>254</v>
      </c>
      <c r="F11357">
        <v>10190120</v>
      </c>
      <c r="G11357" t="s">
        <v>4616</v>
      </c>
      <c r="H11357" s="21">
        <v>954.17</v>
      </c>
    </row>
    <row r="11358" spans="1:8" customFormat="1" x14ac:dyDescent="0.25">
      <c r="A11358" t="str">
        <f>"033999"</f>
        <v>033999</v>
      </c>
      <c r="B11358" t="s">
        <v>9924</v>
      </c>
      <c r="C11358" t="s">
        <v>114</v>
      </c>
      <c r="D11358" s="21" t="s">
        <v>34</v>
      </c>
      <c r="E11358" s="21" t="s">
        <v>71</v>
      </c>
      <c r="F11358">
        <v>1030042</v>
      </c>
      <c r="G11358" t="s">
        <v>7798</v>
      </c>
      <c r="H11358" s="21">
        <v>954.17</v>
      </c>
    </row>
    <row r="11359" spans="1:8" customFormat="1" x14ac:dyDescent="0.25">
      <c r="A11359" t="str">
        <f>"012672"</f>
        <v>012672</v>
      </c>
      <c r="B11359" t="s">
        <v>11431</v>
      </c>
      <c r="C11359" t="s">
        <v>239</v>
      </c>
      <c r="D11359" s="21" t="s">
        <v>34</v>
      </c>
      <c r="E11359" s="21" t="s">
        <v>71</v>
      </c>
      <c r="F11359">
        <v>1380225</v>
      </c>
      <c r="G11359" t="s">
        <v>4441</v>
      </c>
      <c r="H11359" s="21">
        <v>954.17</v>
      </c>
    </row>
    <row r="11360" spans="1:8" customFormat="1" x14ac:dyDescent="0.25">
      <c r="A11360" t="str">
        <f>"954028"</f>
        <v>954028</v>
      </c>
      <c r="B11360" t="s">
        <v>10775</v>
      </c>
      <c r="C11360" t="s">
        <v>269</v>
      </c>
      <c r="D11360" s="21" t="s">
        <v>34</v>
      </c>
      <c r="E11360" s="21" t="s">
        <v>71</v>
      </c>
      <c r="F11360">
        <v>8950553</v>
      </c>
      <c r="G11360" t="s">
        <v>1058</v>
      </c>
      <c r="H11360" s="21">
        <v>954.17</v>
      </c>
    </row>
    <row r="11361" spans="1:8" customFormat="1" x14ac:dyDescent="0.25">
      <c r="A11361" t="str">
        <f>"4422646"</f>
        <v>4422646</v>
      </c>
      <c r="B11361" t="s">
        <v>8757</v>
      </c>
      <c r="C11361" t="s">
        <v>121</v>
      </c>
      <c r="D11361" s="21" t="s">
        <v>34</v>
      </c>
      <c r="E11361" s="21" t="s">
        <v>35</v>
      </c>
      <c r="F11361">
        <v>12850136</v>
      </c>
      <c r="G11361" t="s">
        <v>2536</v>
      </c>
      <c r="H11361" s="21">
        <v>954.17</v>
      </c>
    </row>
    <row r="11362" spans="1:8" customFormat="1" x14ac:dyDescent="0.25">
      <c r="A11362" t="str">
        <f>"518749"</f>
        <v>518749</v>
      </c>
      <c r="B11362" t="s">
        <v>10811</v>
      </c>
      <c r="C11362" t="s">
        <v>204</v>
      </c>
      <c r="D11362" s="21" t="s">
        <v>34</v>
      </c>
      <c r="E11362" s="21" t="s">
        <v>71</v>
      </c>
      <c r="F11362">
        <v>6510077</v>
      </c>
      <c r="G11362" t="s">
        <v>756</v>
      </c>
      <c r="H11362" s="21">
        <v>954.17</v>
      </c>
    </row>
    <row r="11363" spans="1:8" customFormat="1" x14ac:dyDescent="0.25">
      <c r="A11363" t="str">
        <f>"626582"</f>
        <v>626582</v>
      </c>
      <c r="B11363" t="s">
        <v>10518</v>
      </c>
      <c r="C11363" t="s">
        <v>33</v>
      </c>
      <c r="D11363" s="21" t="s">
        <v>34</v>
      </c>
      <c r="E11363" s="21" t="s">
        <v>35</v>
      </c>
      <c r="F11363">
        <v>7620024</v>
      </c>
      <c r="G11363" t="s">
        <v>2975</v>
      </c>
      <c r="H11363" s="21">
        <v>954.17</v>
      </c>
    </row>
    <row r="11364" spans="1:8" customFormat="1" x14ac:dyDescent="0.25">
      <c r="A11364" t="str">
        <f>"4210665"</f>
        <v>4210665</v>
      </c>
      <c r="B11364" t="s">
        <v>11298</v>
      </c>
      <c r="C11364" t="s">
        <v>9895</v>
      </c>
      <c r="D11364" s="21" t="s">
        <v>34</v>
      </c>
      <c r="E11364" s="21" t="s">
        <v>35</v>
      </c>
      <c r="F11364">
        <v>1420138</v>
      </c>
      <c r="G11364" t="s">
        <v>27002</v>
      </c>
      <c r="H11364" s="21">
        <v>954.17</v>
      </c>
    </row>
    <row r="11365" spans="1:8" customFormat="1" x14ac:dyDescent="0.25">
      <c r="A11365" t="str">
        <f>"1715000"</f>
        <v>1715000</v>
      </c>
      <c r="B11365" t="s">
        <v>11046</v>
      </c>
      <c r="C11365" t="s">
        <v>1887</v>
      </c>
      <c r="D11365" s="21" t="s">
        <v>34</v>
      </c>
      <c r="E11365" s="21" t="s">
        <v>254</v>
      </c>
      <c r="F11365">
        <v>10170028</v>
      </c>
      <c r="G11365" t="s">
        <v>649</v>
      </c>
      <c r="H11365" s="21">
        <v>953.92</v>
      </c>
    </row>
    <row r="11366" spans="1:8" customFormat="1" x14ac:dyDescent="0.25">
      <c r="A11366" t="str">
        <f>"5419787"</f>
        <v>5419787</v>
      </c>
      <c r="B11366" t="s">
        <v>12428</v>
      </c>
      <c r="C11366" t="s">
        <v>55</v>
      </c>
      <c r="D11366" s="21" t="s">
        <v>34</v>
      </c>
      <c r="E11366" s="21" t="s">
        <v>35</v>
      </c>
      <c r="F11366">
        <v>6540008</v>
      </c>
      <c r="G11366" t="s">
        <v>3891</v>
      </c>
      <c r="H11366" s="21">
        <v>953.92</v>
      </c>
    </row>
    <row r="11367" spans="1:8" customFormat="1" x14ac:dyDescent="0.25">
      <c r="A11367" t="str">
        <f>"5314123"</f>
        <v>5314123</v>
      </c>
      <c r="B11367" t="s">
        <v>2398</v>
      </c>
      <c r="C11367" t="s">
        <v>462</v>
      </c>
      <c r="D11367" s="21" t="s">
        <v>34</v>
      </c>
      <c r="E11367" s="21" t="s">
        <v>35</v>
      </c>
      <c r="F11367">
        <v>12530016</v>
      </c>
      <c r="G11367" t="s">
        <v>2069</v>
      </c>
      <c r="H11367" s="21">
        <v>953.8</v>
      </c>
    </row>
    <row r="11368" spans="1:8" customFormat="1" x14ac:dyDescent="0.25">
      <c r="A11368" t="str">
        <f>"615100"</f>
        <v>615100</v>
      </c>
      <c r="B11368" t="s">
        <v>10542</v>
      </c>
      <c r="C11368" t="s">
        <v>249</v>
      </c>
      <c r="D11368" s="21" t="s">
        <v>34</v>
      </c>
      <c r="E11368" s="21" t="s">
        <v>254</v>
      </c>
      <c r="F11368">
        <v>9610148</v>
      </c>
      <c r="G11368" t="s">
        <v>8163</v>
      </c>
      <c r="H11368" s="21">
        <v>953.67</v>
      </c>
    </row>
    <row r="11369" spans="1:8" customFormat="1" x14ac:dyDescent="0.25">
      <c r="A11369" t="str">
        <f>"945365"</f>
        <v>945365</v>
      </c>
      <c r="B11369" t="s">
        <v>11433</v>
      </c>
      <c r="C11369" t="s">
        <v>156</v>
      </c>
      <c r="D11369" s="21" t="s">
        <v>34</v>
      </c>
      <c r="E11369" s="21" t="s">
        <v>1089</v>
      </c>
      <c r="F11369">
        <v>4280722</v>
      </c>
      <c r="G11369" t="s">
        <v>8251</v>
      </c>
      <c r="H11369" s="21">
        <v>953.67</v>
      </c>
    </row>
    <row r="11370" spans="1:8" customFormat="1" x14ac:dyDescent="0.25">
      <c r="A11370" t="str">
        <f>"6312414"</f>
        <v>6312414</v>
      </c>
      <c r="B11370" t="s">
        <v>2362</v>
      </c>
      <c r="C11370" t="s">
        <v>209</v>
      </c>
      <c r="D11370" s="21" t="s">
        <v>34</v>
      </c>
      <c r="E11370" s="21" t="s">
        <v>71</v>
      </c>
      <c r="F11370">
        <v>1630298</v>
      </c>
      <c r="G11370" t="s">
        <v>7247</v>
      </c>
      <c r="H11370" s="21">
        <v>953.67</v>
      </c>
    </row>
    <row r="11371" spans="1:8" customFormat="1" x14ac:dyDescent="0.25">
      <c r="A11371" t="str">
        <f>"567450"</f>
        <v>567450</v>
      </c>
      <c r="B11371" t="s">
        <v>6518</v>
      </c>
      <c r="C11371" t="s">
        <v>2520</v>
      </c>
      <c r="D11371" s="21" t="s">
        <v>34</v>
      </c>
      <c r="E11371" s="21" t="s">
        <v>254</v>
      </c>
      <c r="F11371">
        <v>3560085</v>
      </c>
      <c r="G11371" t="s">
        <v>11473</v>
      </c>
      <c r="H11371" s="21">
        <v>953.67</v>
      </c>
    </row>
    <row r="11372" spans="1:8" customFormat="1" x14ac:dyDescent="0.25">
      <c r="A11372" t="str">
        <f>"883166"</f>
        <v>883166</v>
      </c>
      <c r="B11372" t="s">
        <v>10228</v>
      </c>
      <c r="C11372" t="s">
        <v>169</v>
      </c>
      <c r="D11372" s="21" t="s">
        <v>34</v>
      </c>
      <c r="E11372" s="21" t="s">
        <v>35</v>
      </c>
      <c r="F11372">
        <v>11340059</v>
      </c>
      <c r="G11372" t="s">
        <v>10368</v>
      </c>
      <c r="H11372" s="21">
        <v>953.67</v>
      </c>
    </row>
    <row r="11373" spans="1:8" customFormat="1" x14ac:dyDescent="0.25">
      <c r="A11373" t="str">
        <f>"5972814"</f>
        <v>5972814</v>
      </c>
      <c r="B11373" t="s">
        <v>23590</v>
      </c>
      <c r="C11373" t="s">
        <v>121</v>
      </c>
      <c r="D11373" s="21" t="s">
        <v>34</v>
      </c>
      <c r="E11373" s="21" t="s">
        <v>35</v>
      </c>
      <c r="F11373">
        <v>7590074</v>
      </c>
      <c r="G11373" t="s">
        <v>1992</v>
      </c>
      <c r="H11373" s="21">
        <v>953.67</v>
      </c>
    </row>
    <row r="11374" spans="1:8" customFormat="1" x14ac:dyDescent="0.25">
      <c r="A11374" t="str">
        <f>"458308"</f>
        <v>458308</v>
      </c>
      <c r="B11374" t="s">
        <v>5662</v>
      </c>
      <c r="C11374" t="s">
        <v>169</v>
      </c>
      <c r="D11374" s="21" t="s">
        <v>34</v>
      </c>
      <c r="E11374" s="21" t="s">
        <v>71</v>
      </c>
      <c r="F11374">
        <v>4450706</v>
      </c>
      <c r="G11374" t="s">
        <v>4482</v>
      </c>
      <c r="H11374" s="21">
        <v>953.67</v>
      </c>
    </row>
    <row r="11375" spans="1:8" customFormat="1" x14ac:dyDescent="0.25">
      <c r="A11375" t="str">
        <f>"6111571"</f>
        <v>6111571</v>
      </c>
      <c r="B11375" t="s">
        <v>392</v>
      </c>
      <c r="C11375" t="s">
        <v>275</v>
      </c>
      <c r="D11375" s="21" t="s">
        <v>34</v>
      </c>
      <c r="E11375" s="21" t="s">
        <v>35</v>
      </c>
      <c r="F11375">
        <v>9610077</v>
      </c>
      <c r="G11375" t="s">
        <v>26691</v>
      </c>
      <c r="H11375" s="21">
        <v>953.67</v>
      </c>
    </row>
    <row r="11376" spans="1:8" customFormat="1" x14ac:dyDescent="0.25">
      <c r="A11376" t="str">
        <f>"3524559"</f>
        <v>3524559</v>
      </c>
      <c r="B11376" t="s">
        <v>12873</v>
      </c>
      <c r="C11376" t="s">
        <v>415</v>
      </c>
      <c r="D11376" s="21" t="s">
        <v>34</v>
      </c>
      <c r="E11376" s="21" t="s">
        <v>71</v>
      </c>
      <c r="F11376">
        <v>3350001</v>
      </c>
      <c r="G11376" t="s">
        <v>17502</v>
      </c>
      <c r="H11376" s="21">
        <v>953.67</v>
      </c>
    </row>
    <row r="11377" spans="1:8" customFormat="1" x14ac:dyDescent="0.25">
      <c r="A11377" t="str">
        <f>"395482"</f>
        <v>395482</v>
      </c>
      <c r="B11377" t="s">
        <v>10677</v>
      </c>
      <c r="C11377" t="s">
        <v>171</v>
      </c>
      <c r="D11377" s="21" t="s">
        <v>34</v>
      </c>
      <c r="E11377" s="21" t="s">
        <v>35</v>
      </c>
      <c r="F11377">
        <v>2390095</v>
      </c>
      <c r="G11377" t="s">
        <v>2676</v>
      </c>
      <c r="H11377" s="21">
        <v>953.67</v>
      </c>
    </row>
    <row r="11378" spans="1:8" customFormat="1" x14ac:dyDescent="0.25">
      <c r="A11378" t="str">
        <f>"334790"</f>
        <v>334790</v>
      </c>
      <c r="B11378" t="s">
        <v>6701</v>
      </c>
      <c r="C11378" t="s">
        <v>10767</v>
      </c>
      <c r="D11378" s="21" t="s">
        <v>34</v>
      </c>
      <c r="E11378" s="21" t="s">
        <v>71</v>
      </c>
      <c r="F11378">
        <v>10330002</v>
      </c>
      <c r="G11378" t="s">
        <v>53</v>
      </c>
      <c r="H11378" s="21">
        <v>953.67</v>
      </c>
    </row>
    <row r="11379" spans="1:8" customFormat="1" x14ac:dyDescent="0.25">
      <c r="A11379" t="str">
        <f>"545404"</f>
        <v>545404</v>
      </c>
      <c r="B11379" t="s">
        <v>11599</v>
      </c>
      <c r="C11379" t="s">
        <v>249</v>
      </c>
      <c r="D11379" s="21" t="s">
        <v>34</v>
      </c>
      <c r="E11379" s="21" t="s">
        <v>71</v>
      </c>
      <c r="F11379">
        <v>6540028</v>
      </c>
      <c r="G11379" t="s">
        <v>3201</v>
      </c>
      <c r="H11379" s="21">
        <v>953.67</v>
      </c>
    </row>
    <row r="11380" spans="1:8" customFormat="1" x14ac:dyDescent="0.25">
      <c r="A11380" t="str">
        <f>"3726647"</f>
        <v>3726647</v>
      </c>
      <c r="B11380" t="s">
        <v>10871</v>
      </c>
      <c r="C11380" t="s">
        <v>1100</v>
      </c>
      <c r="D11380" s="21" t="s">
        <v>34</v>
      </c>
      <c r="E11380" s="21" t="s">
        <v>35</v>
      </c>
      <c r="F11380">
        <v>4370498</v>
      </c>
      <c r="G11380" t="s">
        <v>10872</v>
      </c>
      <c r="H11380" s="21">
        <v>953.67</v>
      </c>
    </row>
    <row r="11381" spans="1:8" customFormat="1" x14ac:dyDescent="0.25">
      <c r="A11381" t="str">
        <f>"4439167"</f>
        <v>4439167</v>
      </c>
      <c r="B11381" t="s">
        <v>11410</v>
      </c>
      <c r="C11381" t="s">
        <v>879</v>
      </c>
      <c r="D11381" s="21" t="s">
        <v>34</v>
      </c>
      <c r="E11381" s="21" t="s">
        <v>254</v>
      </c>
      <c r="F11381">
        <v>12440024</v>
      </c>
      <c r="G11381" t="s">
        <v>2205</v>
      </c>
      <c r="H11381" s="21">
        <v>953.67</v>
      </c>
    </row>
    <row r="11382" spans="1:8" customFormat="1" x14ac:dyDescent="0.25">
      <c r="A11382" t="str">
        <f>"799990"</f>
        <v>799990</v>
      </c>
      <c r="B11382" t="s">
        <v>3961</v>
      </c>
      <c r="C11382" t="s">
        <v>415</v>
      </c>
      <c r="D11382" s="21" t="s">
        <v>34</v>
      </c>
      <c r="E11382" s="21" t="s">
        <v>35</v>
      </c>
      <c r="F11382">
        <v>10790150</v>
      </c>
      <c r="G11382" t="s">
        <v>6205</v>
      </c>
      <c r="H11382" s="21">
        <v>953.67</v>
      </c>
    </row>
    <row r="11383" spans="1:8" customFormat="1" x14ac:dyDescent="0.25">
      <c r="A11383" t="str">
        <f>"541722"</f>
        <v>541722</v>
      </c>
      <c r="B11383" t="s">
        <v>10533</v>
      </c>
      <c r="C11383" t="s">
        <v>55</v>
      </c>
      <c r="D11383" s="21" t="s">
        <v>34</v>
      </c>
      <c r="E11383" s="21" t="s">
        <v>254</v>
      </c>
      <c r="F11383">
        <v>6540028</v>
      </c>
      <c r="G11383" t="s">
        <v>3201</v>
      </c>
      <c r="H11383" s="21">
        <v>953.54</v>
      </c>
    </row>
    <row r="11384" spans="1:8" customFormat="1" x14ac:dyDescent="0.25">
      <c r="A11384" t="str">
        <f>"4924086"</f>
        <v>4924086</v>
      </c>
      <c r="B11384" t="s">
        <v>8348</v>
      </c>
      <c r="C11384" t="s">
        <v>124</v>
      </c>
      <c r="D11384" s="21" t="s">
        <v>34</v>
      </c>
      <c r="E11384" s="21" t="s">
        <v>71</v>
      </c>
      <c r="F11384">
        <v>12440147</v>
      </c>
      <c r="G11384" t="s">
        <v>5472</v>
      </c>
      <c r="H11384" s="21">
        <v>953.42</v>
      </c>
    </row>
    <row r="11385" spans="1:8" customFormat="1" x14ac:dyDescent="0.25">
      <c r="A11385" t="str">
        <f>"105148"</f>
        <v>105148</v>
      </c>
      <c r="B11385" t="s">
        <v>8631</v>
      </c>
      <c r="C11385" t="s">
        <v>2907</v>
      </c>
      <c r="D11385" s="21" t="s">
        <v>34</v>
      </c>
      <c r="E11385" s="21" t="s">
        <v>254</v>
      </c>
      <c r="F11385">
        <v>6100002</v>
      </c>
      <c r="G11385" t="s">
        <v>1602</v>
      </c>
      <c r="H11385" s="21">
        <v>953.3</v>
      </c>
    </row>
    <row r="11386" spans="1:8" customFormat="1" x14ac:dyDescent="0.25">
      <c r="A11386" t="str">
        <f>"754065"</f>
        <v>754065</v>
      </c>
      <c r="B11386" t="s">
        <v>3587</v>
      </c>
      <c r="C11386" t="s">
        <v>55</v>
      </c>
      <c r="D11386" s="21" t="s">
        <v>34</v>
      </c>
      <c r="E11386" s="21" t="s">
        <v>71</v>
      </c>
      <c r="F11386">
        <v>8750060</v>
      </c>
      <c r="G11386" t="s">
        <v>2821</v>
      </c>
      <c r="H11386" s="21">
        <v>953.29</v>
      </c>
    </row>
    <row r="11387" spans="1:8" customFormat="1" x14ac:dyDescent="0.25">
      <c r="A11387" t="str">
        <f>"607372"</f>
        <v>607372</v>
      </c>
      <c r="B11387" t="s">
        <v>9048</v>
      </c>
      <c r="C11387" t="s">
        <v>121</v>
      </c>
      <c r="D11387" s="21" t="s">
        <v>34</v>
      </c>
      <c r="E11387" s="21" t="s">
        <v>71</v>
      </c>
      <c r="F11387">
        <v>7600027</v>
      </c>
      <c r="G11387" t="s">
        <v>2137</v>
      </c>
      <c r="H11387" s="21">
        <v>953.17</v>
      </c>
    </row>
    <row r="11388" spans="1:8" customFormat="1" x14ac:dyDescent="0.25">
      <c r="A11388" t="str">
        <f>"939996"</f>
        <v>939996</v>
      </c>
      <c r="B11388" t="s">
        <v>10835</v>
      </c>
      <c r="C11388" t="s">
        <v>98</v>
      </c>
      <c r="D11388" s="21" t="s">
        <v>34</v>
      </c>
      <c r="E11388" s="21" t="s">
        <v>71</v>
      </c>
      <c r="F11388">
        <v>8930928</v>
      </c>
      <c r="G11388" t="s">
        <v>606</v>
      </c>
      <c r="H11388" s="21">
        <v>953.17</v>
      </c>
    </row>
    <row r="11389" spans="1:8" customFormat="1" x14ac:dyDescent="0.25">
      <c r="A11389" t="str">
        <f>"9112387"</f>
        <v>9112387</v>
      </c>
      <c r="B11389" t="s">
        <v>11466</v>
      </c>
      <c r="C11389" t="s">
        <v>239</v>
      </c>
      <c r="D11389" s="21" t="s">
        <v>34</v>
      </c>
      <c r="E11389" s="21" t="s">
        <v>254</v>
      </c>
      <c r="F11389">
        <v>8910028</v>
      </c>
      <c r="G11389" t="s">
        <v>2634</v>
      </c>
      <c r="H11389" s="21">
        <v>953.17</v>
      </c>
    </row>
    <row r="11390" spans="1:8" customFormat="1" x14ac:dyDescent="0.25">
      <c r="A11390" t="str">
        <f>"617793"</f>
        <v>617793</v>
      </c>
      <c r="B11390" t="s">
        <v>6965</v>
      </c>
      <c r="C11390" t="s">
        <v>2546</v>
      </c>
      <c r="D11390" s="21" t="s">
        <v>34</v>
      </c>
      <c r="E11390" s="21" t="s">
        <v>71</v>
      </c>
      <c r="F11390">
        <v>9610073</v>
      </c>
      <c r="G11390" t="s">
        <v>8382</v>
      </c>
      <c r="H11390" s="21">
        <v>953.17</v>
      </c>
    </row>
    <row r="11391" spans="1:8" customFormat="1" x14ac:dyDescent="0.25">
      <c r="A11391" t="str">
        <f>"5723029"</f>
        <v>5723029</v>
      </c>
      <c r="B11391" t="s">
        <v>2886</v>
      </c>
      <c r="C11391" t="s">
        <v>55</v>
      </c>
      <c r="D11391" s="21" t="s">
        <v>34</v>
      </c>
      <c r="E11391" s="21" t="s">
        <v>71</v>
      </c>
      <c r="F11391">
        <v>6570111</v>
      </c>
      <c r="G11391" t="s">
        <v>99</v>
      </c>
      <c r="H11391" s="21">
        <v>953.17</v>
      </c>
    </row>
    <row r="11392" spans="1:8" customFormat="1" x14ac:dyDescent="0.25">
      <c r="A11392" t="str">
        <f>"7212546"</f>
        <v>7212546</v>
      </c>
      <c r="B11392" t="s">
        <v>10516</v>
      </c>
      <c r="C11392" t="s">
        <v>305</v>
      </c>
      <c r="D11392" s="21" t="s">
        <v>34</v>
      </c>
      <c r="E11392" s="21" t="s">
        <v>35</v>
      </c>
      <c r="F11392">
        <v>12720049</v>
      </c>
      <c r="G11392" t="s">
        <v>1627</v>
      </c>
      <c r="H11392" s="21">
        <v>953.17</v>
      </c>
    </row>
    <row r="11393" spans="1:8" customFormat="1" x14ac:dyDescent="0.25">
      <c r="A11393" t="str">
        <f>"724396"</f>
        <v>724396</v>
      </c>
      <c r="B11393" t="s">
        <v>18482</v>
      </c>
      <c r="C11393" t="s">
        <v>49</v>
      </c>
      <c r="D11393" s="21" t="s">
        <v>34</v>
      </c>
      <c r="E11393" s="21" t="s">
        <v>35</v>
      </c>
      <c r="F11393">
        <v>12720008</v>
      </c>
      <c r="G11393" t="s">
        <v>753</v>
      </c>
      <c r="H11393" s="21">
        <v>953.17</v>
      </c>
    </row>
    <row r="11394" spans="1:8" customFormat="1" x14ac:dyDescent="0.25">
      <c r="A11394" t="str">
        <f>"714775"</f>
        <v>714775</v>
      </c>
      <c r="B11394" t="s">
        <v>27202</v>
      </c>
      <c r="C11394" t="s">
        <v>262</v>
      </c>
      <c r="D11394" s="21" t="s">
        <v>34</v>
      </c>
      <c r="E11394" s="21" t="s">
        <v>35</v>
      </c>
      <c r="F11394">
        <v>1690109</v>
      </c>
      <c r="G11394" t="s">
        <v>3028</v>
      </c>
      <c r="H11394" s="21">
        <v>953.17</v>
      </c>
    </row>
    <row r="11395" spans="1:8" customFormat="1" x14ac:dyDescent="0.25">
      <c r="A11395" t="str">
        <f>"4421115"</f>
        <v>4421115</v>
      </c>
      <c r="B11395" t="s">
        <v>2203</v>
      </c>
      <c r="C11395" t="s">
        <v>249</v>
      </c>
      <c r="D11395" s="21" t="s">
        <v>34</v>
      </c>
      <c r="E11395" s="21" t="s">
        <v>254</v>
      </c>
      <c r="F11395">
        <v>12440094</v>
      </c>
      <c r="G11395" t="s">
        <v>892</v>
      </c>
      <c r="H11395" s="21">
        <v>953.17</v>
      </c>
    </row>
    <row r="11396" spans="1:8" customFormat="1" x14ac:dyDescent="0.25">
      <c r="A11396" t="str">
        <f>"603641"</f>
        <v>603641</v>
      </c>
      <c r="B11396" t="s">
        <v>4107</v>
      </c>
      <c r="C11396" t="s">
        <v>87</v>
      </c>
      <c r="D11396" s="21" t="s">
        <v>34</v>
      </c>
      <c r="E11396" s="21" t="s">
        <v>35</v>
      </c>
      <c r="F11396">
        <v>7600008</v>
      </c>
      <c r="G11396" t="s">
        <v>4646</v>
      </c>
      <c r="H11396" s="21">
        <v>953.17</v>
      </c>
    </row>
    <row r="11397" spans="1:8" customFormat="1" x14ac:dyDescent="0.25">
      <c r="A11397" t="str">
        <f>"6225984"</f>
        <v>6225984</v>
      </c>
      <c r="B11397" t="s">
        <v>11379</v>
      </c>
      <c r="C11397" t="s">
        <v>204</v>
      </c>
      <c r="D11397" s="21" t="s">
        <v>34</v>
      </c>
      <c r="E11397" s="21" t="s">
        <v>35</v>
      </c>
      <c r="F11397">
        <v>7620139</v>
      </c>
      <c r="G11397" t="s">
        <v>2061</v>
      </c>
      <c r="H11397" s="21">
        <v>953.17</v>
      </c>
    </row>
    <row r="11398" spans="1:8" customFormat="1" x14ac:dyDescent="0.25">
      <c r="A11398" t="str">
        <f>"2921421"</f>
        <v>2921421</v>
      </c>
      <c r="B11398" t="s">
        <v>6320</v>
      </c>
      <c r="C11398" t="s">
        <v>1705</v>
      </c>
      <c r="D11398" s="21" t="s">
        <v>34</v>
      </c>
      <c r="E11398" s="21" t="s">
        <v>71</v>
      </c>
      <c r="F11398">
        <v>3290023</v>
      </c>
      <c r="G11398" t="s">
        <v>3883</v>
      </c>
      <c r="H11398" s="21">
        <v>952.92</v>
      </c>
    </row>
    <row r="11399" spans="1:8" customFormat="1" x14ac:dyDescent="0.25">
      <c r="A11399" t="str">
        <f>"177349"</f>
        <v>177349</v>
      </c>
      <c r="B11399" t="s">
        <v>10406</v>
      </c>
      <c r="C11399" t="s">
        <v>462</v>
      </c>
      <c r="D11399" s="21" t="s">
        <v>34</v>
      </c>
      <c r="E11399" s="21" t="s">
        <v>71</v>
      </c>
      <c r="F11399">
        <v>10170031</v>
      </c>
      <c r="G11399" t="s">
        <v>2921</v>
      </c>
      <c r="H11399" s="21">
        <v>952.92</v>
      </c>
    </row>
    <row r="11400" spans="1:8" customFormat="1" x14ac:dyDescent="0.25">
      <c r="A11400" t="str">
        <f>"6923613"</f>
        <v>6923613</v>
      </c>
      <c r="B11400" t="s">
        <v>9326</v>
      </c>
      <c r="C11400" t="s">
        <v>9327</v>
      </c>
      <c r="D11400" s="21" t="s">
        <v>34</v>
      </c>
      <c r="E11400" s="21" t="s">
        <v>71</v>
      </c>
      <c r="F11400">
        <v>1690090</v>
      </c>
      <c r="G11400" t="s">
        <v>6286</v>
      </c>
      <c r="H11400" s="21">
        <v>952.79</v>
      </c>
    </row>
    <row r="11401" spans="1:8" customFormat="1" x14ac:dyDescent="0.25">
      <c r="A11401" t="str">
        <f>"5954269"</f>
        <v>5954269</v>
      </c>
      <c r="B11401" t="s">
        <v>11009</v>
      </c>
      <c r="C11401" t="s">
        <v>60</v>
      </c>
      <c r="D11401" s="21" t="s">
        <v>34</v>
      </c>
      <c r="E11401" s="21" t="s">
        <v>35</v>
      </c>
      <c r="F11401">
        <v>11120043</v>
      </c>
      <c r="G11401" t="s">
        <v>9111</v>
      </c>
      <c r="H11401" s="21">
        <v>952.79</v>
      </c>
    </row>
    <row r="11402" spans="1:8" customFormat="1" x14ac:dyDescent="0.25">
      <c r="A11402" t="str">
        <f>"456321"</f>
        <v>456321</v>
      </c>
      <c r="B11402" t="s">
        <v>5416</v>
      </c>
      <c r="C11402" t="s">
        <v>198</v>
      </c>
      <c r="D11402" s="21" t="s">
        <v>34</v>
      </c>
      <c r="E11402" s="21" t="s">
        <v>35</v>
      </c>
      <c r="F11402">
        <v>4450773</v>
      </c>
      <c r="G11402" t="s">
        <v>26903</v>
      </c>
      <c r="H11402" s="21">
        <v>952.79</v>
      </c>
    </row>
    <row r="11403" spans="1:8" customFormat="1" x14ac:dyDescent="0.25">
      <c r="A11403" t="str">
        <f>"4917441"</f>
        <v>4917441</v>
      </c>
      <c r="B11403" t="s">
        <v>8044</v>
      </c>
      <c r="C11403" t="s">
        <v>608</v>
      </c>
      <c r="D11403" s="21" t="s">
        <v>34</v>
      </c>
      <c r="E11403" s="21" t="s">
        <v>71</v>
      </c>
      <c r="F11403">
        <v>12490029</v>
      </c>
      <c r="G11403" t="s">
        <v>3485</v>
      </c>
      <c r="H11403" s="21">
        <v>952.67</v>
      </c>
    </row>
    <row r="11404" spans="1:8" customFormat="1" x14ac:dyDescent="0.25">
      <c r="A11404" t="str">
        <f>"066511"</f>
        <v>066511</v>
      </c>
      <c r="B11404" t="s">
        <v>2189</v>
      </c>
      <c r="C11404" t="s">
        <v>130</v>
      </c>
      <c r="D11404" s="21" t="s">
        <v>34</v>
      </c>
      <c r="E11404" s="21" t="s">
        <v>35</v>
      </c>
      <c r="F11404">
        <v>11820008</v>
      </c>
      <c r="G11404" t="s">
        <v>294</v>
      </c>
      <c r="H11404" s="21">
        <v>952.67</v>
      </c>
    </row>
    <row r="11405" spans="1:8" customFormat="1" x14ac:dyDescent="0.25">
      <c r="A11405" t="str">
        <f>"651112"</f>
        <v>651112</v>
      </c>
      <c r="B11405" t="s">
        <v>3978</v>
      </c>
      <c r="C11405" t="s">
        <v>55</v>
      </c>
      <c r="D11405" s="21" t="s">
        <v>34</v>
      </c>
      <c r="E11405" s="21" t="s">
        <v>71</v>
      </c>
      <c r="F11405">
        <v>11650034</v>
      </c>
      <c r="G11405" t="s">
        <v>1989</v>
      </c>
      <c r="H11405" s="21">
        <v>952.67</v>
      </c>
    </row>
    <row r="11406" spans="1:8" customFormat="1" x14ac:dyDescent="0.25">
      <c r="A11406" t="str">
        <f>"794441"</f>
        <v>794441</v>
      </c>
      <c r="B11406" t="s">
        <v>10803</v>
      </c>
      <c r="C11406" t="s">
        <v>65</v>
      </c>
      <c r="D11406" s="21" t="s">
        <v>34</v>
      </c>
      <c r="E11406" s="21" t="s">
        <v>71</v>
      </c>
      <c r="F11406">
        <v>10790043</v>
      </c>
      <c r="G11406" t="s">
        <v>2828</v>
      </c>
      <c r="H11406" s="21">
        <v>952.67</v>
      </c>
    </row>
    <row r="11407" spans="1:8" customFormat="1" x14ac:dyDescent="0.25">
      <c r="A11407" t="str">
        <f>"5716082"</f>
        <v>5716082</v>
      </c>
      <c r="B11407" t="s">
        <v>11668</v>
      </c>
      <c r="C11407" t="s">
        <v>1271</v>
      </c>
      <c r="D11407" s="21" t="s">
        <v>34</v>
      </c>
      <c r="E11407" s="21" t="s">
        <v>254</v>
      </c>
      <c r="F11407">
        <v>6570078</v>
      </c>
      <c r="G11407" t="s">
        <v>6852</v>
      </c>
      <c r="H11407" s="21">
        <v>952.67</v>
      </c>
    </row>
    <row r="11408" spans="1:8" customFormat="1" x14ac:dyDescent="0.25">
      <c r="A11408" t="str">
        <f>"6213445"</f>
        <v>6213445</v>
      </c>
      <c r="B11408" t="s">
        <v>8713</v>
      </c>
      <c r="C11408" t="s">
        <v>244</v>
      </c>
      <c r="D11408" s="21" t="s">
        <v>34</v>
      </c>
      <c r="E11408" s="21" t="s">
        <v>35</v>
      </c>
      <c r="F11408">
        <v>7590033</v>
      </c>
      <c r="G11408" t="s">
        <v>6329</v>
      </c>
      <c r="H11408" s="21">
        <v>952.67</v>
      </c>
    </row>
    <row r="11409" spans="1:8" customFormat="1" x14ac:dyDescent="0.25">
      <c r="A11409" t="str">
        <f>"834665"</f>
        <v>834665</v>
      </c>
      <c r="B11409" t="s">
        <v>1413</v>
      </c>
      <c r="C11409" t="s">
        <v>253</v>
      </c>
      <c r="D11409" s="21" t="s">
        <v>34</v>
      </c>
      <c r="E11409" s="21" t="s">
        <v>254</v>
      </c>
      <c r="F11409">
        <v>13830022</v>
      </c>
      <c r="G11409" t="s">
        <v>633</v>
      </c>
      <c r="H11409" s="21">
        <v>952.67</v>
      </c>
    </row>
    <row r="11410" spans="1:8" customFormat="1" x14ac:dyDescent="0.25">
      <c r="A11410" t="str">
        <f>"6810741"</f>
        <v>6810741</v>
      </c>
      <c r="B11410" t="s">
        <v>1882</v>
      </c>
      <c r="C11410" t="s">
        <v>43</v>
      </c>
      <c r="D11410" s="21" t="s">
        <v>34</v>
      </c>
      <c r="E11410" s="21" t="s">
        <v>35</v>
      </c>
      <c r="F11410">
        <v>6680105</v>
      </c>
      <c r="G11410" t="s">
        <v>403</v>
      </c>
      <c r="H11410" s="21">
        <v>952.67</v>
      </c>
    </row>
    <row r="11411" spans="1:8" customFormat="1" x14ac:dyDescent="0.25">
      <c r="A11411" t="str">
        <f>"85827"</f>
        <v>85827</v>
      </c>
      <c r="B11411" t="s">
        <v>4282</v>
      </c>
      <c r="C11411" t="s">
        <v>151</v>
      </c>
      <c r="D11411" s="21" t="s">
        <v>34</v>
      </c>
      <c r="E11411" s="21" t="s">
        <v>71</v>
      </c>
      <c r="F11411">
        <v>12850023</v>
      </c>
      <c r="G11411" t="s">
        <v>3121</v>
      </c>
      <c r="H11411" s="21">
        <v>952.67</v>
      </c>
    </row>
    <row r="11412" spans="1:8" customFormat="1" x14ac:dyDescent="0.25">
      <c r="A11412" t="str">
        <f>"774628"</f>
        <v>774628</v>
      </c>
      <c r="B11412" t="s">
        <v>11765</v>
      </c>
      <c r="C11412" t="s">
        <v>547</v>
      </c>
      <c r="D11412" s="21" t="s">
        <v>34</v>
      </c>
      <c r="E11412" s="21" t="s">
        <v>1089</v>
      </c>
      <c r="F11412">
        <v>10470003</v>
      </c>
      <c r="G11412" t="s">
        <v>2148</v>
      </c>
      <c r="H11412" s="21">
        <v>952.67</v>
      </c>
    </row>
    <row r="11413" spans="1:8" customFormat="1" x14ac:dyDescent="0.25">
      <c r="A11413" t="str">
        <f>"592861"</f>
        <v>592861</v>
      </c>
      <c r="B11413" t="s">
        <v>11307</v>
      </c>
      <c r="C11413" t="s">
        <v>55</v>
      </c>
      <c r="D11413" s="21" t="s">
        <v>34</v>
      </c>
      <c r="E11413" s="21" t="s">
        <v>71</v>
      </c>
      <c r="F11413">
        <v>7590126</v>
      </c>
      <c r="G11413" t="s">
        <v>4749</v>
      </c>
      <c r="H11413" s="21">
        <v>952.67</v>
      </c>
    </row>
    <row r="11414" spans="1:8" customFormat="1" x14ac:dyDescent="0.25">
      <c r="A11414" t="str">
        <f>"926574"</f>
        <v>926574</v>
      </c>
      <c r="B11414" t="s">
        <v>3947</v>
      </c>
      <c r="C11414" t="s">
        <v>267</v>
      </c>
      <c r="D11414" s="21" t="s">
        <v>34</v>
      </c>
      <c r="E11414" s="21" t="s">
        <v>71</v>
      </c>
      <c r="F11414">
        <v>8920505</v>
      </c>
      <c r="G11414" t="s">
        <v>12288</v>
      </c>
      <c r="H11414" s="21">
        <v>952.67</v>
      </c>
    </row>
    <row r="11415" spans="1:8" customFormat="1" x14ac:dyDescent="0.25">
      <c r="A11415" t="str">
        <f>"5937"</f>
        <v>5937</v>
      </c>
      <c r="B11415" t="s">
        <v>9032</v>
      </c>
      <c r="C11415" t="s">
        <v>2100</v>
      </c>
      <c r="D11415" s="21" t="s">
        <v>34</v>
      </c>
      <c r="E11415" s="21" t="s">
        <v>35</v>
      </c>
      <c r="F11415">
        <v>7590403</v>
      </c>
      <c r="G11415" t="s">
        <v>2545</v>
      </c>
      <c r="H11415" s="21">
        <v>952.67</v>
      </c>
    </row>
    <row r="11416" spans="1:8" customFormat="1" x14ac:dyDescent="0.25">
      <c r="A11416" t="str">
        <f>"538788"</f>
        <v>538788</v>
      </c>
      <c r="B11416" t="s">
        <v>11118</v>
      </c>
      <c r="C11416" t="s">
        <v>40</v>
      </c>
      <c r="D11416" s="21" t="s">
        <v>34</v>
      </c>
      <c r="E11416" s="21" t="s">
        <v>71</v>
      </c>
      <c r="F11416">
        <v>12530038</v>
      </c>
      <c r="G11416" t="s">
        <v>4955</v>
      </c>
      <c r="H11416" s="21">
        <v>952.67</v>
      </c>
    </row>
    <row r="11417" spans="1:8" customFormat="1" x14ac:dyDescent="0.25">
      <c r="A11417" t="str">
        <f>"851510"</f>
        <v>851510</v>
      </c>
      <c r="B11417" t="s">
        <v>3951</v>
      </c>
      <c r="C11417" t="s">
        <v>412</v>
      </c>
      <c r="D11417" s="21" t="s">
        <v>34</v>
      </c>
      <c r="E11417" s="21" t="s">
        <v>71</v>
      </c>
      <c r="F11417">
        <v>12850046</v>
      </c>
      <c r="G11417" t="s">
        <v>3136</v>
      </c>
      <c r="H11417" s="21">
        <v>952.67</v>
      </c>
    </row>
    <row r="11418" spans="1:8" customFormat="1" x14ac:dyDescent="0.25">
      <c r="A11418" t="str">
        <f>"72886"</f>
        <v>72886</v>
      </c>
      <c r="B11418" t="s">
        <v>9985</v>
      </c>
      <c r="C11418" t="s">
        <v>40</v>
      </c>
      <c r="D11418" s="21" t="s">
        <v>34</v>
      </c>
      <c r="E11418" s="21" t="s">
        <v>254</v>
      </c>
      <c r="F11418">
        <v>12720023</v>
      </c>
      <c r="G11418" t="s">
        <v>1898</v>
      </c>
      <c r="H11418" s="21">
        <v>952.42</v>
      </c>
    </row>
    <row r="11419" spans="1:8" customFormat="1" x14ac:dyDescent="0.25">
      <c r="A11419" t="str">
        <f>"8520761"</f>
        <v>8520761</v>
      </c>
      <c r="B11419" t="s">
        <v>7910</v>
      </c>
      <c r="C11419" t="s">
        <v>147</v>
      </c>
      <c r="D11419" s="21" t="s">
        <v>34</v>
      </c>
      <c r="E11419" s="21" t="s">
        <v>35</v>
      </c>
      <c r="F11419">
        <v>12850091</v>
      </c>
      <c r="G11419" t="s">
        <v>4233</v>
      </c>
      <c r="H11419" s="21">
        <v>952.42</v>
      </c>
    </row>
    <row r="11420" spans="1:8" customFormat="1" x14ac:dyDescent="0.25">
      <c r="A11420" t="str">
        <f>"6716227"</f>
        <v>6716227</v>
      </c>
      <c r="B11420" t="s">
        <v>6312</v>
      </c>
      <c r="C11420" t="s">
        <v>37</v>
      </c>
      <c r="D11420" s="21" t="s">
        <v>34</v>
      </c>
      <c r="E11420" s="21" t="s">
        <v>35</v>
      </c>
      <c r="F11420">
        <v>6670045</v>
      </c>
      <c r="G11420" t="s">
        <v>707</v>
      </c>
      <c r="H11420" s="21">
        <v>952.29</v>
      </c>
    </row>
    <row r="11421" spans="1:8" customFormat="1" x14ac:dyDescent="0.25">
      <c r="A11421" t="str">
        <f>"7210808"</f>
        <v>7210808</v>
      </c>
      <c r="B11421" t="s">
        <v>4211</v>
      </c>
      <c r="C11421" t="s">
        <v>1803</v>
      </c>
      <c r="D11421" s="21" t="s">
        <v>34</v>
      </c>
      <c r="E11421" s="21" t="s">
        <v>35</v>
      </c>
      <c r="F11421">
        <v>12720004</v>
      </c>
      <c r="G11421" t="s">
        <v>2328</v>
      </c>
      <c r="H11421" s="21">
        <v>952.17</v>
      </c>
    </row>
    <row r="11422" spans="1:8" customFormat="1" x14ac:dyDescent="0.25">
      <c r="A11422" t="str">
        <f>"112501"</f>
        <v>112501</v>
      </c>
      <c r="B11422" t="s">
        <v>11156</v>
      </c>
      <c r="C11422" t="s">
        <v>486</v>
      </c>
      <c r="D11422" s="21" t="s">
        <v>34</v>
      </c>
      <c r="E11422" s="21" t="s">
        <v>35</v>
      </c>
      <c r="F11422">
        <v>11110009</v>
      </c>
      <c r="G11422" t="s">
        <v>6231</v>
      </c>
      <c r="H11422" s="21">
        <v>952.17</v>
      </c>
    </row>
    <row r="11423" spans="1:8" customFormat="1" x14ac:dyDescent="0.25">
      <c r="A11423" t="str">
        <f>"638695"</f>
        <v>638695</v>
      </c>
      <c r="B11423" t="s">
        <v>1028</v>
      </c>
      <c r="C11423" t="s">
        <v>33</v>
      </c>
      <c r="D11423" s="21" t="s">
        <v>34</v>
      </c>
      <c r="E11423" s="21" t="s">
        <v>71</v>
      </c>
      <c r="F11423">
        <v>1630009</v>
      </c>
      <c r="G11423" t="s">
        <v>6021</v>
      </c>
      <c r="H11423" s="21">
        <v>952.17</v>
      </c>
    </row>
    <row r="11424" spans="1:8" customFormat="1" x14ac:dyDescent="0.25">
      <c r="A11424" t="str">
        <f>"809849"</f>
        <v>809849</v>
      </c>
      <c r="B11424" t="s">
        <v>18716</v>
      </c>
      <c r="C11424" t="s">
        <v>49</v>
      </c>
      <c r="D11424" s="21" t="s">
        <v>34</v>
      </c>
      <c r="E11424" s="21" t="s">
        <v>35</v>
      </c>
      <c r="F11424">
        <v>7800147</v>
      </c>
      <c r="G11424" t="s">
        <v>10438</v>
      </c>
      <c r="H11424" s="21">
        <v>952.17</v>
      </c>
    </row>
    <row r="11425" spans="1:8" customFormat="1" x14ac:dyDescent="0.25">
      <c r="A11425" t="str">
        <f>"434255"</f>
        <v>434255</v>
      </c>
      <c r="B11425" t="s">
        <v>10165</v>
      </c>
      <c r="C11425" t="s">
        <v>2520</v>
      </c>
      <c r="D11425" s="21" t="s">
        <v>34</v>
      </c>
      <c r="E11425" s="21" t="s">
        <v>254</v>
      </c>
      <c r="F11425">
        <v>1420149</v>
      </c>
      <c r="G11425" t="s">
        <v>818</v>
      </c>
      <c r="H11425" s="21">
        <v>952.17</v>
      </c>
    </row>
    <row r="11426" spans="1:8" customFormat="1" x14ac:dyDescent="0.25">
      <c r="A11426" t="str">
        <f>"1422629"</f>
        <v>1422629</v>
      </c>
      <c r="B11426" t="s">
        <v>11836</v>
      </c>
      <c r="C11426" t="s">
        <v>3073</v>
      </c>
      <c r="D11426" s="21" t="s">
        <v>34</v>
      </c>
      <c r="E11426" s="21" t="s">
        <v>1089</v>
      </c>
      <c r="F11426">
        <v>9140128</v>
      </c>
      <c r="G11426" t="s">
        <v>2798</v>
      </c>
      <c r="H11426" s="21">
        <v>952.17</v>
      </c>
    </row>
    <row r="11427" spans="1:8" customFormat="1" x14ac:dyDescent="0.25">
      <c r="A11427" t="str">
        <f>"873604"</f>
        <v>873604</v>
      </c>
      <c r="B11427" t="s">
        <v>12637</v>
      </c>
      <c r="C11427" t="s">
        <v>204</v>
      </c>
      <c r="D11427" s="21" t="s">
        <v>34</v>
      </c>
      <c r="E11427" s="21" t="s">
        <v>35</v>
      </c>
      <c r="F11427">
        <v>10870081</v>
      </c>
      <c r="G11427" t="s">
        <v>6698</v>
      </c>
      <c r="H11427" s="21">
        <v>952.17</v>
      </c>
    </row>
    <row r="11428" spans="1:8" customFormat="1" x14ac:dyDescent="0.25">
      <c r="A11428" t="str">
        <f>"7623926"</f>
        <v>7623926</v>
      </c>
      <c r="B11428" t="s">
        <v>556</v>
      </c>
      <c r="C11428" t="s">
        <v>40</v>
      </c>
      <c r="D11428" s="21" t="s">
        <v>34</v>
      </c>
      <c r="E11428" s="21" t="s">
        <v>254</v>
      </c>
      <c r="F11428">
        <v>9760108</v>
      </c>
      <c r="G11428" t="s">
        <v>1636</v>
      </c>
      <c r="H11428" s="21">
        <v>952.17</v>
      </c>
    </row>
    <row r="11429" spans="1:8" customFormat="1" x14ac:dyDescent="0.25">
      <c r="A11429" t="str">
        <f>"515678"</f>
        <v>515678</v>
      </c>
      <c r="B11429" t="s">
        <v>5577</v>
      </c>
      <c r="C11429" t="s">
        <v>1146</v>
      </c>
      <c r="D11429" s="21" t="s">
        <v>34</v>
      </c>
      <c r="E11429" s="21" t="s">
        <v>71</v>
      </c>
      <c r="F11429">
        <v>6510053</v>
      </c>
      <c r="G11429" t="s">
        <v>27203</v>
      </c>
      <c r="H11429" s="21">
        <v>952.17</v>
      </c>
    </row>
    <row r="11430" spans="1:8" customFormat="1" x14ac:dyDescent="0.25">
      <c r="A11430" t="str">
        <f>"1711212"</f>
        <v>1711212</v>
      </c>
      <c r="B11430" t="s">
        <v>5077</v>
      </c>
      <c r="C11430" t="s">
        <v>10958</v>
      </c>
      <c r="D11430" s="21" t="s">
        <v>34</v>
      </c>
      <c r="E11430" s="21" t="s">
        <v>71</v>
      </c>
      <c r="F11430">
        <v>10170162</v>
      </c>
      <c r="G11430" t="s">
        <v>2817</v>
      </c>
      <c r="H11430" s="21">
        <v>952.17</v>
      </c>
    </row>
    <row r="11431" spans="1:8" customFormat="1" x14ac:dyDescent="0.25">
      <c r="A11431" t="str">
        <f>"029134"</f>
        <v>029134</v>
      </c>
      <c r="B11431" t="s">
        <v>11294</v>
      </c>
      <c r="C11431" t="s">
        <v>269</v>
      </c>
      <c r="D11431" s="21" t="s">
        <v>34</v>
      </c>
      <c r="E11431" s="21" t="s">
        <v>71</v>
      </c>
      <c r="F11431">
        <v>7020019</v>
      </c>
      <c r="G11431" t="s">
        <v>7912</v>
      </c>
      <c r="H11431" s="21">
        <v>952.17</v>
      </c>
    </row>
    <row r="11432" spans="1:8" customFormat="1" x14ac:dyDescent="0.25">
      <c r="A11432" t="str">
        <f>"2513771"</f>
        <v>2513771</v>
      </c>
      <c r="B11432" t="s">
        <v>13552</v>
      </c>
      <c r="C11432" t="s">
        <v>209</v>
      </c>
      <c r="D11432" s="21" t="s">
        <v>34</v>
      </c>
      <c r="E11432" s="21" t="s">
        <v>35</v>
      </c>
      <c r="F11432">
        <v>2250137</v>
      </c>
      <c r="G11432" t="s">
        <v>182</v>
      </c>
      <c r="H11432" s="21">
        <v>952.17</v>
      </c>
    </row>
    <row r="11433" spans="1:8" customFormat="1" x14ac:dyDescent="0.25">
      <c r="A11433" t="str">
        <f>"02468"</f>
        <v>02468</v>
      </c>
      <c r="B11433" t="s">
        <v>27204</v>
      </c>
      <c r="C11433" t="s">
        <v>236</v>
      </c>
      <c r="D11433" s="21" t="s">
        <v>34</v>
      </c>
      <c r="E11433" s="21" t="s">
        <v>71</v>
      </c>
      <c r="F11433">
        <v>7020003</v>
      </c>
      <c r="G11433" t="s">
        <v>7268</v>
      </c>
      <c r="H11433" s="21">
        <v>952.17</v>
      </c>
    </row>
    <row r="11434" spans="1:8" customFormat="1" x14ac:dyDescent="0.25">
      <c r="A11434" t="str">
        <f>"4440229"</f>
        <v>4440229</v>
      </c>
      <c r="B11434" t="s">
        <v>10637</v>
      </c>
      <c r="C11434" t="s">
        <v>87</v>
      </c>
      <c r="D11434" s="21" t="s">
        <v>34</v>
      </c>
      <c r="E11434" s="21" t="s">
        <v>35</v>
      </c>
      <c r="F11434">
        <v>12440004</v>
      </c>
      <c r="G11434" t="s">
        <v>26530</v>
      </c>
      <c r="H11434" s="21">
        <v>952.17</v>
      </c>
    </row>
    <row r="11435" spans="1:8" customFormat="1" x14ac:dyDescent="0.25">
      <c r="A11435" t="str">
        <f>"844617"</f>
        <v>844617</v>
      </c>
      <c r="B11435" t="s">
        <v>10566</v>
      </c>
      <c r="C11435" t="s">
        <v>285</v>
      </c>
      <c r="D11435" s="21" t="s">
        <v>34</v>
      </c>
      <c r="E11435" s="21" t="s">
        <v>35</v>
      </c>
      <c r="F11435">
        <v>13840025</v>
      </c>
      <c r="G11435" t="s">
        <v>7580</v>
      </c>
      <c r="H11435" s="21">
        <v>952.17</v>
      </c>
    </row>
    <row r="11436" spans="1:8" customFormat="1" x14ac:dyDescent="0.25">
      <c r="A11436" t="str">
        <f>"7636152"</f>
        <v>7636152</v>
      </c>
      <c r="B11436" t="s">
        <v>11544</v>
      </c>
      <c r="C11436" t="s">
        <v>285</v>
      </c>
      <c r="D11436" s="21" t="s">
        <v>34</v>
      </c>
      <c r="E11436" s="21" t="s">
        <v>35</v>
      </c>
      <c r="F11436">
        <v>9760034</v>
      </c>
      <c r="G11436" t="s">
        <v>1242</v>
      </c>
      <c r="H11436" s="21">
        <v>952.17</v>
      </c>
    </row>
    <row r="11437" spans="1:8" customFormat="1" x14ac:dyDescent="0.25">
      <c r="A11437" t="str">
        <f>"7634608"</f>
        <v>7634608</v>
      </c>
      <c r="B11437" t="s">
        <v>11338</v>
      </c>
      <c r="C11437" t="s">
        <v>33</v>
      </c>
      <c r="D11437" s="21" t="s">
        <v>34</v>
      </c>
      <c r="E11437" s="21" t="s">
        <v>35</v>
      </c>
      <c r="F11437">
        <v>9760428</v>
      </c>
      <c r="G11437" t="s">
        <v>5081</v>
      </c>
      <c r="H11437" s="21">
        <v>952.04</v>
      </c>
    </row>
    <row r="11438" spans="1:8" customFormat="1" x14ac:dyDescent="0.25">
      <c r="A11438" t="str">
        <f>"6020548"</f>
        <v>6020548</v>
      </c>
      <c r="B11438" t="s">
        <v>10276</v>
      </c>
      <c r="C11438" t="s">
        <v>40</v>
      </c>
      <c r="D11438" s="21" t="s">
        <v>34</v>
      </c>
      <c r="E11438" s="21" t="s">
        <v>71</v>
      </c>
      <c r="F11438">
        <v>7600126</v>
      </c>
      <c r="G11438" t="s">
        <v>2516</v>
      </c>
      <c r="H11438" s="21">
        <v>952.04</v>
      </c>
    </row>
    <row r="11439" spans="1:8" customFormat="1" x14ac:dyDescent="0.25">
      <c r="A11439" t="str">
        <f>"9231437"</f>
        <v>9231437</v>
      </c>
      <c r="B11439" t="s">
        <v>11010</v>
      </c>
      <c r="C11439" t="s">
        <v>2479</v>
      </c>
      <c r="D11439" s="21" t="s">
        <v>34</v>
      </c>
      <c r="E11439" s="21" t="s">
        <v>71</v>
      </c>
      <c r="F11439">
        <v>12440141</v>
      </c>
      <c r="G11439" t="s">
        <v>3234</v>
      </c>
      <c r="H11439" s="21">
        <v>951.92</v>
      </c>
    </row>
    <row r="11440" spans="1:8" customFormat="1" x14ac:dyDescent="0.25">
      <c r="A11440" t="str">
        <f>"507422"</f>
        <v>507422</v>
      </c>
      <c r="B11440" t="s">
        <v>10329</v>
      </c>
      <c r="C11440" t="s">
        <v>2520</v>
      </c>
      <c r="D11440" s="21" t="s">
        <v>34</v>
      </c>
      <c r="E11440" s="21" t="s">
        <v>71</v>
      </c>
      <c r="F11440">
        <v>9500143</v>
      </c>
      <c r="G11440" t="s">
        <v>2884</v>
      </c>
      <c r="H11440" s="21">
        <v>951.92</v>
      </c>
    </row>
    <row r="11441" spans="1:8" customFormat="1" x14ac:dyDescent="0.25">
      <c r="A11441" t="str">
        <f>"5946534"</f>
        <v>5946534</v>
      </c>
      <c r="B11441" t="s">
        <v>10106</v>
      </c>
      <c r="C11441" t="s">
        <v>462</v>
      </c>
      <c r="D11441" s="21" t="s">
        <v>34</v>
      </c>
      <c r="E11441" s="21" t="s">
        <v>71</v>
      </c>
      <c r="F11441">
        <v>7590393</v>
      </c>
      <c r="G11441" t="s">
        <v>7754</v>
      </c>
      <c r="H11441" s="21">
        <v>951.79</v>
      </c>
    </row>
    <row r="11442" spans="1:8" customFormat="1" x14ac:dyDescent="0.25">
      <c r="A11442" t="str">
        <f>"7511068"</f>
        <v>7511068</v>
      </c>
      <c r="B11442" t="s">
        <v>3576</v>
      </c>
      <c r="C11442" t="s">
        <v>9381</v>
      </c>
      <c r="D11442" s="21" t="s">
        <v>34</v>
      </c>
      <c r="E11442" s="21" t="s">
        <v>35</v>
      </c>
      <c r="F11442">
        <v>8750400</v>
      </c>
      <c r="G11442" t="s">
        <v>2804</v>
      </c>
      <c r="H11442" s="21">
        <v>951.67</v>
      </c>
    </row>
    <row r="11443" spans="1:8" customFormat="1" x14ac:dyDescent="0.25">
      <c r="A11443" t="str">
        <f>"929786"</f>
        <v>929786</v>
      </c>
      <c r="B11443" t="s">
        <v>67</v>
      </c>
      <c r="C11443" t="s">
        <v>87</v>
      </c>
      <c r="D11443" s="21" t="s">
        <v>34</v>
      </c>
      <c r="E11443" s="21" t="s">
        <v>71</v>
      </c>
      <c r="F11443">
        <v>8920111</v>
      </c>
      <c r="G11443" t="s">
        <v>1064</v>
      </c>
      <c r="H11443" s="21">
        <v>951.67</v>
      </c>
    </row>
    <row r="11444" spans="1:8" customFormat="1" x14ac:dyDescent="0.25">
      <c r="A11444" t="str">
        <f>"085893"</f>
        <v>085893</v>
      </c>
      <c r="B11444" t="s">
        <v>11199</v>
      </c>
      <c r="C11444" t="s">
        <v>328</v>
      </c>
      <c r="D11444" s="21" t="s">
        <v>34</v>
      </c>
      <c r="E11444" s="21" t="s">
        <v>35</v>
      </c>
      <c r="F11444">
        <v>6080043</v>
      </c>
      <c r="G11444" t="s">
        <v>961</v>
      </c>
      <c r="H11444" s="21">
        <v>951.67</v>
      </c>
    </row>
    <row r="11445" spans="1:8" customFormat="1" x14ac:dyDescent="0.25">
      <c r="A11445" t="str">
        <f>"859500"</f>
        <v>859500</v>
      </c>
      <c r="B11445" t="s">
        <v>2746</v>
      </c>
      <c r="C11445" t="s">
        <v>275</v>
      </c>
      <c r="D11445" s="21" t="s">
        <v>34</v>
      </c>
      <c r="E11445" s="21" t="s">
        <v>35</v>
      </c>
      <c r="F11445">
        <v>12850118</v>
      </c>
      <c r="G11445" t="s">
        <v>6811</v>
      </c>
      <c r="H11445" s="21">
        <v>951.67</v>
      </c>
    </row>
    <row r="11446" spans="1:8" customFormat="1" x14ac:dyDescent="0.25">
      <c r="A11446" t="str">
        <f>"22262"</f>
        <v>22262</v>
      </c>
      <c r="B11446" t="s">
        <v>10890</v>
      </c>
      <c r="C11446" t="s">
        <v>415</v>
      </c>
      <c r="D11446" s="21" t="s">
        <v>34</v>
      </c>
      <c r="E11446" s="21" t="s">
        <v>254</v>
      </c>
      <c r="F11446">
        <v>3220139</v>
      </c>
      <c r="G11446" t="s">
        <v>27114</v>
      </c>
      <c r="H11446" s="21">
        <v>951.67</v>
      </c>
    </row>
    <row r="11447" spans="1:8" customFormat="1" x14ac:dyDescent="0.25">
      <c r="A11447" t="str">
        <f>"685727"</f>
        <v>685727</v>
      </c>
      <c r="B11447" t="s">
        <v>10843</v>
      </c>
      <c r="C11447" t="s">
        <v>5464</v>
      </c>
      <c r="D11447" s="21" t="s">
        <v>34</v>
      </c>
      <c r="E11447" s="21" t="s">
        <v>35</v>
      </c>
      <c r="F11447">
        <v>6680116</v>
      </c>
      <c r="G11447" t="s">
        <v>5205</v>
      </c>
      <c r="H11447" s="21">
        <v>951.67</v>
      </c>
    </row>
    <row r="11448" spans="1:8" customFormat="1" x14ac:dyDescent="0.25">
      <c r="A11448" t="str">
        <f>"7215076"</f>
        <v>7215076</v>
      </c>
      <c r="B11448" t="s">
        <v>10807</v>
      </c>
      <c r="C11448" t="s">
        <v>87</v>
      </c>
      <c r="D11448" s="21" t="s">
        <v>34</v>
      </c>
      <c r="E11448" s="21" t="s">
        <v>71</v>
      </c>
      <c r="F11448">
        <v>12720102</v>
      </c>
      <c r="G11448" t="s">
        <v>4469</v>
      </c>
      <c r="H11448" s="21">
        <v>951.67</v>
      </c>
    </row>
    <row r="11449" spans="1:8" customFormat="1" x14ac:dyDescent="0.25">
      <c r="A11449" t="str">
        <f>"5014451"</f>
        <v>5014451</v>
      </c>
      <c r="B11449" t="s">
        <v>11846</v>
      </c>
      <c r="C11449" t="s">
        <v>187</v>
      </c>
      <c r="D11449" s="21" t="s">
        <v>34</v>
      </c>
      <c r="E11449" s="21" t="s">
        <v>35</v>
      </c>
      <c r="F11449">
        <v>9500053</v>
      </c>
      <c r="G11449" t="s">
        <v>11847</v>
      </c>
      <c r="H11449" s="21">
        <v>951.67</v>
      </c>
    </row>
    <row r="11450" spans="1:8" customFormat="1" x14ac:dyDescent="0.25">
      <c r="A11450" t="str">
        <f>"625295"</f>
        <v>625295</v>
      </c>
      <c r="B11450" t="s">
        <v>10776</v>
      </c>
      <c r="C11450" t="s">
        <v>3905</v>
      </c>
      <c r="D11450" s="21" t="s">
        <v>34</v>
      </c>
      <c r="E11450" s="21" t="s">
        <v>71</v>
      </c>
      <c r="F11450">
        <v>7620108</v>
      </c>
      <c r="G11450" t="s">
        <v>3035</v>
      </c>
      <c r="H11450" s="21">
        <v>951.67</v>
      </c>
    </row>
    <row r="11451" spans="1:8" customFormat="1" x14ac:dyDescent="0.25">
      <c r="A11451" t="str">
        <f>"548038"</f>
        <v>548038</v>
      </c>
      <c r="B11451" t="s">
        <v>10673</v>
      </c>
      <c r="C11451" t="s">
        <v>40</v>
      </c>
      <c r="D11451" s="21" t="s">
        <v>34</v>
      </c>
      <c r="E11451" s="21" t="s">
        <v>254</v>
      </c>
      <c r="F11451">
        <v>6540040</v>
      </c>
      <c r="G11451" t="s">
        <v>256</v>
      </c>
      <c r="H11451" s="21">
        <v>951.67</v>
      </c>
    </row>
    <row r="11452" spans="1:8" customFormat="1" x14ac:dyDescent="0.25">
      <c r="A11452" t="str">
        <f>"185783"</f>
        <v>185783</v>
      </c>
      <c r="B11452" t="s">
        <v>16960</v>
      </c>
      <c r="C11452" t="s">
        <v>263</v>
      </c>
      <c r="D11452" s="21" t="s">
        <v>34</v>
      </c>
      <c r="E11452" s="21" t="s">
        <v>35</v>
      </c>
      <c r="F11452">
        <v>4180238</v>
      </c>
      <c r="G11452" t="s">
        <v>7304</v>
      </c>
      <c r="H11452" s="21">
        <v>951.67</v>
      </c>
    </row>
    <row r="11453" spans="1:8" customFormat="1" x14ac:dyDescent="0.25">
      <c r="A11453" t="str">
        <f>"5016813"</f>
        <v>5016813</v>
      </c>
      <c r="B11453" t="s">
        <v>11063</v>
      </c>
      <c r="C11453" t="s">
        <v>2546</v>
      </c>
      <c r="D11453" s="21" t="s">
        <v>34</v>
      </c>
      <c r="E11453" s="21" t="s">
        <v>71</v>
      </c>
      <c r="F11453">
        <v>9500163</v>
      </c>
      <c r="G11453" t="s">
        <v>2750</v>
      </c>
      <c r="H11453" s="21">
        <v>951.67</v>
      </c>
    </row>
    <row r="11454" spans="1:8" customFormat="1" x14ac:dyDescent="0.25">
      <c r="A11454" t="str">
        <f>"9518673"</f>
        <v>9518673</v>
      </c>
      <c r="B11454" t="s">
        <v>14755</v>
      </c>
      <c r="C11454" t="s">
        <v>14756</v>
      </c>
      <c r="D11454" s="21" t="s">
        <v>34</v>
      </c>
      <c r="E11454" s="21" t="s">
        <v>35</v>
      </c>
      <c r="F11454">
        <v>8950553</v>
      </c>
      <c r="G11454" t="s">
        <v>1058</v>
      </c>
      <c r="H11454" s="21">
        <v>951.67</v>
      </c>
    </row>
    <row r="11455" spans="1:8" customFormat="1" x14ac:dyDescent="0.25">
      <c r="A11455" t="str">
        <f>"2717344"</f>
        <v>2717344</v>
      </c>
      <c r="B11455" t="s">
        <v>10669</v>
      </c>
      <c r="C11455" t="s">
        <v>55</v>
      </c>
      <c r="D11455" s="21" t="s">
        <v>34</v>
      </c>
      <c r="E11455" s="21" t="s">
        <v>35</v>
      </c>
      <c r="F11455">
        <v>9270015</v>
      </c>
      <c r="G11455" t="s">
        <v>8095</v>
      </c>
      <c r="H11455" s="21">
        <v>951.67</v>
      </c>
    </row>
    <row r="11456" spans="1:8" customFormat="1" x14ac:dyDescent="0.25">
      <c r="A11456" t="str">
        <f>"153568"</f>
        <v>153568</v>
      </c>
      <c r="B11456" t="s">
        <v>946</v>
      </c>
      <c r="C11456" t="s">
        <v>40</v>
      </c>
      <c r="D11456" s="21" t="s">
        <v>34</v>
      </c>
      <c r="E11456" s="21" t="s">
        <v>71</v>
      </c>
      <c r="F11456">
        <v>1150148</v>
      </c>
      <c r="G11456" t="s">
        <v>7485</v>
      </c>
      <c r="H11456" s="21">
        <v>951.67</v>
      </c>
    </row>
    <row r="11457" spans="1:8" customFormat="1" x14ac:dyDescent="0.25">
      <c r="A11457" t="str">
        <f>"344222"</f>
        <v>344222</v>
      </c>
      <c r="B11457" t="s">
        <v>10427</v>
      </c>
      <c r="C11457" t="s">
        <v>33</v>
      </c>
      <c r="D11457" s="21" t="s">
        <v>34</v>
      </c>
      <c r="E11457" s="21" t="s">
        <v>35</v>
      </c>
      <c r="F11457">
        <v>11340018</v>
      </c>
      <c r="G11457" t="s">
        <v>2421</v>
      </c>
      <c r="H11457" s="21">
        <v>951.67</v>
      </c>
    </row>
    <row r="11458" spans="1:8" customFormat="1" x14ac:dyDescent="0.25">
      <c r="A11458" t="str">
        <f>"9320005"</f>
        <v>9320005</v>
      </c>
      <c r="B11458" t="s">
        <v>146</v>
      </c>
      <c r="C11458" t="s">
        <v>204</v>
      </c>
      <c r="D11458" s="21" t="s">
        <v>34</v>
      </c>
      <c r="E11458" s="21" t="s">
        <v>35</v>
      </c>
      <c r="F11458">
        <v>8930928</v>
      </c>
      <c r="G11458" t="s">
        <v>606</v>
      </c>
      <c r="H11458" s="21">
        <v>951.54</v>
      </c>
    </row>
    <row r="11459" spans="1:8" customFormat="1" x14ac:dyDescent="0.25">
      <c r="A11459" t="str">
        <f>"7713333"</f>
        <v>7713333</v>
      </c>
      <c r="B11459" t="s">
        <v>10377</v>
      </c>
      <c r="C11459" t="s">
        <v>124</v>
      </c>
      <c r="D11459" s="21" t="s">
        <v>34</v>
      </c>
      <c r="E11459" s="21" t="s">
        <v>254</v>
      </c>
      <c r="F11459">
        <v>8771154</v>
      </c>
      <c r="G11459" t="s">
        <v>3625</v>
      </c>
      <c r="H11459" s="21">
        <v>951.42</v>
      </c>
    </row>
    <row r="11460" spans="1:8" customFormat="1" x14ac:dyDescent="0.25">
      <c r="A11460" t="str">
        <f>"69754"</f>
        <v>69754</v>
      </c>
      <c r="B11460" t="s">
        <v>10090</v>
      </c>
      <c r="C11460" t="s">
        <v>6285</v>
      </c>
      <c r="D11460" s="21" t="s">
        <v>34</v>
      </c>
      <c r="E11460" s="21" t="s">
        <v>254</v>
      </c>
      <c r="F11460">
        <v>1690031</v>
      </c>
      <c r="G11460" t="s">
        <v>2716</v>
      </c>
      <c r="H11460" s="21">
        <v>951.42</v>
      </c>
    </row>
    <row r="11461" spans="1:8" customFormat="1" x14ac:dyDescent="0.25">
      <c r="A11461" t="str">
        <f>"4931735"</f>
        <v>4931735</v>
      </c>
      <c r="B11461" t="s">
        <v>13054</v>
      </c>
      <c r="C11461" t="s">
        <v>1468</v>
      </c>
      <c r="D11461" s="21" t="s">
        <v>34</v>
      </c>
      <c r="E11461" s="21" t="s">
        <v>35</v>
      </c>
      <c r="F11461">
        <v>12490006</v>
      </c>
      <c r="G11461" t="s">
        <v>1480</v>
      </c>
      <c r="H11461" s="21">
        <v>951.29</v>
      </c>
    </row>
    <row r="11462" spans="1:8" customFormat="1" x14ac:dyDescent="0.25">
      <c r="A11462" t="str">
        <f>"644381"</f>
        <v>644381</v>
      </c>
      <c r="B11462" t="s">
        <v>10603</v>
      </c>
      <c r="C11462" t="s">
        <v>415</v>
      </c>
      <c r="D11462" s="21" t="s">
        <v>34</v>
      </c>
      <c r="E11462" s="21" t="s">
        <v>35</v>
      </c>
      <c r="F11462">
        <v>10640013</v>
      </c>
      <c r="G11462" t="s">
        <v>4626</v>
      </c>
      <c r="H11462" s="21">
        <v>951.17</v>
      </c>
    </row>
    <row r="11463" spans="1:8" customFormat="1" x14ac:dyDescent="0.25">
      <c r="A11463" t="str">
        <f>"084588"</f>
        <v>084588</v>
      </c>
      <c r="B11463" t="s">
        <v>11247</v>
      </c>
      <c r="C11463" t="s">
        <v>11248</v>
      </c>
      <c r="D11463" s="21" t="s">
        <v>34</v>
      </c>
      <c r="E11463" s="21" t="s">
        <v>254</v>
      </c>
      <c r="F11463">
        <v>6080057</v>
      </c>
      <c r="G11463" t="s">
        <v>10034</v>
      </c>
      <c r="H11463" s="21">
        <v>951.17</v>
      </c>
    </row>
    <row r="11464" spans="1:8" customFormat="1" x14ac:dyDescent="0.25">
      <c r="A11464" t="str">
        <f>"5940425"</f>
        <v>5940425</v>
      </c>
      <c r="B11464" t="s">
        <v>8821</v>
      </c>
      <c r="C11464" t="s">
        <v>1132</v>
      </c>
      <c r="D11464" s="21" t="s">
        <v>34</v>
      </c>
      <c r="E11464" s="21" t="s">
        <v>71</v>
      </c>
      <c r="F11464">
        <v>7590170</v>
      </c>
      <c r="G11464" t="s">
        <v>868</v>
      </c>
      <c r="H11464" s="21">
        <v>951.17</v>
      </c>
    </row>
    <row r="11465" spans="1:8" customFormat="1" x14ac:dyDescent="0.25">
      <c r="A11465" t="str">
        <f>"4923797"</f>
        <v>4923797</v>
      </c>
      <c r="B11465" t="s">
        <v>3209</v>
      </c>
      <c r="C11465" t="s">
        <v>33</v>
      </c>
      <c r="D11465" s="21" t="s">
        <v>34</v>
      </c>
      <c r="E11465" s="21" t="s">
        <v>35</v>
      </c>
      <c r="F11465">
        <v>12490027</v>
      </c>
      <c r="G11465" t="s">
        <v>766</v>
      </c>
      <c r="H11465" s="21">
        <v>951.17</v>
      </c>
    </row>
    <row r="11466" spans="1:8" customFormat="1" x14ac:dyDescent="0.25">
      <c r="A11466" t="str">
        <f>"067063"</f>
        <v>067063</v>
      </c>
      <c r="B11466" t="s">
        <v>11838</v>
      </c>
      <c r="C11466" t="s">
        <v>1714</v>
      </c>
      <c r="D11466" s="21" t="s">
        <v>34</v>
      </c>
      <c r="E11466" s="21" t="s">
        <v>254</v>
      </c>
      <c r="F11466">
        <v>13060072</v>
      </c>
      <c r="G11466" t="s">
        <v>6685</v>
      </c>
      <c r="H11466" s="21">
        <v>951.17</v>
      </c>
    </row>
    <row r="11467" spans="1:8" customFormat="1" x14ac:dyDescent="0.25">
      <c r="A11467" t="str">
        <f>"5320437"</f>
        <v>5320437</v>
      </c>
      <c r="B11467" t="s">
        <v>4151</v>
      </c>
      <c r="C11467" t="s">
        <v>576</v>
      </c>
      <c r="D11467" s="21" t="s">
        <v>34</v>
      </c>
      <c r="E11467" s="21" t="s">
        <v>35</v>
      </c>
      <c r="F11467">
        <v>12530055</v>
      </c>
      <c r="G11467" t="s">
        <v>3814</v>
      </c>
      <c r="H11467" s="21">
        <v>951.17</v>
      </c>
    </row>
    <row r="11468" spans="1:8" customFormat="1" x14ac:dyDescent="0.25">
      <c r="A11468" t="str">
        <f>"564437"</f>
        <v>564437</v>
      </c>
      <c r="B11468" t="s">
        <v>10490</v>
      </c>
      <c r="C11468" t="s">
        <v>62</v>
      </c>
      <c r="D11468" s="21" t="s">
        <v>34</v>
      </c>
      <c r="E11468" s="21" t="s">
        <v>35</v>
      </c>
      <c r="F11468">
        <v>3560037</v>
      </c>
      <c r="G11468" t="s">
        <v>10491</v>
      </c>
      <c r="H11468" s="21">
        <v>951.17</v>
      </c>
    </row>
    <row r="11469" spans="1:8" customFormat="1" x14ac:dyDescent="0.25">
      <c r="A11469" t="str">
        <f>"42534"</f>
        <v>42534</v>
      </c>
      <c r="B11469" t="s">
        <v>10873</v>
      </c>
      <c r="C11469" t="s">
        <v>253</v>
      </c>
      <c r="D11469" s="21" t="s">
        <v>34</v>
      </c>
      <c r="E11469" s="21" t="s">
        <v>71</v>
      </c>
      <c r="F11469">
        <v>1420166</v>
      </c>
      <c r="G11469" t="s">
        <v>26873</v>
      </c>
      <c r="H11469" s="21">
        <v>951.17</v>
      </c>
    </row>
    <row r="11470" spans="1:8" customFormat="1" x14ac:dyDescent="0.25">
      <c r="A11470" t="str">
        <f>"5913218"</f>
        <v>5913218</v>
      </c>
      <c r="B11470" t="s">
        <v>7041</v>
      </c>
      <c r="C11470" t="s">
        <v>253</v>
      </c>
      <c r="D11470" s="21" t="s">
        <v>34</v>
      </c>
      <c r="E11470" s="21" t="s">
        <v>71</v>
      </c>
      <c r="F11470">
        <v>7590072</v>
      </c>
      <c r="G11470" t="s">
        <v>4059</v>
      </c>
      <c r="H11470" s="21">
        <v>951.17</v>
      </c>
    </row>
    <row r="11471" spans="1:8" customFormat="1" x14ac:dyDescent="0.25">
      <c r="A11471" t="str">
        <f>"5924650"</f>
        <v>5924650</v>
      </c>
      <c r="B11471" t="s">
        <v>27205</v>
      </c>
      <c r="C11471" t="s">
        <v>43</v>
      </c>
      <c r="D11471" s="21" t="s">
        <v>34</v>
      </c>
      <c r="E11471" s="21" t="s">
        <v>35</v>
      </c>
      <c r="F11471">
        <v>7590058</v>
      </c>
      <c r="G11471" t="s">
        <v>5044</v>
      </c>
      <c r="H11471" s="21">
        <v>951.17</v>
      </c>
    </row>
    <row r="11472" spans="1:8" customFormat="1" x14ac:dyDescent="0.25">
      <c r="A11472" t="str">
        <f>"375360"</f>
        <v>375360</v>
      </c>
      <c r="B11472" t="s">
        <v>9269</v>
      </c>
      <c r="C11472" t="s">
        <v>55</v>
      </c>
      <c r="D11472" s="21" t="s">
        <v>34</v>
      </c>
      <c r="E11472" s="21" t="s">
        <v>71</v>
      </c>
      <c r="F11472">
        <v>4370596</v>
      </c>
      <c r="G11472" t="s">
        <v>9270</v>
      </c>
      <c r="H11472" s="21">
        <v>951.17</v>
      </c>
    </row>
    <row r="11473" spans="1:8" customFormat="1" x14ac:dyDescent="0.25">
      <c r="A11473" t="str">
        <f>"3513473"</f>
        <v>3513473</v>
      </c>
      <c r="B11473" t="s">
        <v>27206</v>
      </c>
      <c r="C11473" t="s">
        <v>867</v>
      </c>
      <c r="D11473" s="21" t="s">
        <v>34</v>
      </c>
      <c r="E11473" s="21" t="s">
        <v>35</v>
      </c>
      <c r="F11473">
        <v>3350110</v>
      </c>
      <c r="G11473" t="s">
        <v>7790</v>
      </c>
      <c r="H11473" s="21">
        <v>951.17</v>
      </c>
    </row>
    <row r="11474" spans="1:8" customFormat="1" x14ac:dyDescent="0.25">
      <c r="A11474" t="str">
        <f>"7412429"</f>
        <v>7412429</v>
      </c>
      <c r="B11474" t="s">
        <v>641</v>
      </c>
      <c r="C11474" t="s">
        <v>239</v>
      </c>
      <c r="D11474" s="21" t="s">
        <v>34</v>
      </c>
      <c r="E11474" s="21" t="s">
        <v>71</v>
      </c>
      <c r="F11474">
        <v>1740001</v>
      </c>
      <c r="G11474" t="s">
        <v>347</v>
      </c>
      <c r="H11474" s="21">
        <v>951.04</v>
      </c>
    </row>
    <row r="11475" spans="1:8" customFormat="1" x14ac:dyDescent="0.25">
      <c r="A11475" t="str">
        <f>"7869681"</f>
        <v>7869681</v>
      </c>
      <c r="B11475" t="s">
        <v>15270</v>
      </c>
      <c r="C11475" t="s">
        <v>55</v>
      </c>
      <c r="D11475" s="21" t="s">
        <v>34</v>
      </c>
      <c r="E11475" s="21" t="s">
        <v>35</v>
      </c>
      <c r="F11475">
        <v>8781380</v>
      </c>
      <c r="G11475" t="s">
        <v>10815</v>
      </c>
      <c r="H11475" s="21">
        <v>950.92</v>
      </c>
    </row>
    <row r="11476" spans="1:8" customFormat="1" x14ac:dyDescent="0.25">
      <c r="A11476" t="str">
        <f>"833345"</f>
        <v>833345</v>
      </c>
      <c r="B11476" t="s">
        <v>146</v>
      </c>
      <c r="C11476" t="s">
        <v>209</v>
      </c>
      <c r="D11476" s="21" t="s">
        <v>34</v>
      </c>
      <c r="E11476" s="21" t="s">
        <v>71</v>
      </c>
      <c r="F11476">
        <v>13830083</v>
      </c>
      <c r="G11476" t="s">
        <v>2159</v>
      </c>
      <c r="H11476" s="21">
        <v>950.92</v>
      </c>
    </row>
    <row r="11477" spans="1:8" customFormat="1" x14ac:dyDescent="0.25">
      <c r="A11477" t="str">
        <f>"5415555"</f>
        <v>5415555</v>
      </c>
      <c r="B11477" t="s">
        <v>14264</v>
      </c>
      <c r="C11477" t="s">
        <v>2208</v>
      </c>
      <c r="D11477" s="21" t="s">
        <v>34</v>
      </c>
      <c r="E11477" s="21" t="s">
        <v>35</v>
      </c>
      <c r="F11477">
        <v>6540157</v>
      </c>
      <c r="G11477" t="s">
        <v>10647</v>
      </c>
      <c r="H11477" s="21">
        <v>950.79</v>
      </c>
    </row>
    <row r="11478" spans="1:8" customFormat="1" x14ac:dyDescent="0.25">
      <c r="A11478" t="str">
        <f>"02670"</f>
        <v>02670</v>
      </c>
      <c r="B11478" t="s">
        <v>6990</v>
      </c>
      <c r="C11478" t="s">
        <v>269</v>
      </c>
      <c r="D11478" s="21" t="s">
        <v>34</v>
      </c>
      <c r="E11478" s="21" t="s">
        <v>71</v>
      </c>
      <c r="F11478">
        <v>7020030</v>
      </c>
      <c r="G11478" t="s">
        <v>1796</v>
      </c>
      <c r="H11478" s="21">
        <v>950.79</v>
      </c>
    </row>
    <row r="11479" spans="1:8" customFormat="1" x14ac:dyDescent="0.25">
      <c r="A11479" t="str">
        <f>"761168"</f>
        <v>761168</v>
      </c>
      <c r="B11479" t="s">
        <v>5712</v>
      </c>
      <c r="C11479" t="s">
        <v>1119</v>
      </c>
      <c r="D11479" s="21" t="s">
        <v>34</v>
      </c>
      <c r="E11479" s="21" t="s">
        <v>1089</v>
      </c>
      <c r="F11479">
        <v>9760025</v>
      </c>
      <c r="G11479" t="s">
        <v>2620</v>
      </c>
      <c r="H11479" s="21">
        <v>950.75</v>
      </c>
    </row>
    <row r="11480" spans="1:8" customFormat="1" x14ac:dyDescent="0.25">
      <c r="A11480" t="str">
        <f>"4924318"</f>
        <v>4924318</v>
      </c>
      <c r="B11480" t="s">
        <v>10140</v>
      </c>
      <c r="C11480" t="s">
        <v>33</v>
      </c>
      <c r="D11480" s="21" t="s">
        <v>34</v>
      </c>
      <c r="E11480" s="21" t="s">
        <v>71</v>
      </c>
      <c r="F11480">
        <v>12490117</v>
      </c>
      <c r="G11480" t="s">
        <v>10141</v>
      </c>
      <c r="H11480" s="21">
        <v>950.67</v>
      </c>
    </row>
    <row r="11481" spans="1:8" customFormat="1" x14ac:dyDescent="0.25">
      <c r="A11481" t="str">
        <f>"1420"</f>
        <v>1420</v>
      </c>
      <c r="B11481" t="s">
        <v>10179</v>
      </c>
      <c r="C11481" t="s">
        <v>40</v>
      </c>
      <c r="D11481" s="21" t="s">
        <v>34</v>
      </c>
      <c r="E11481" s="21" t="s">
        <v>71</v>
      </c>
      <c r="F11481">
        <v>9140167</v>
      </c>
      <c r="G11481" t="s">
        <v>5116</v>
      </c>
      <c r="H11481" s="21">
        <v>950.67</v>
      </c>
    </row>
    <row r="11482" spans="1:8" customFormat="1" x14ac:dyDescent="0.25">
      <c r="A11482" t="str">
        <f>"724930"</f>
        <v>724930</v>
      </c>
      <c r="B11482" t="s">
        <v>6921</v>
      </c>
      <c r="C11482" t="s">
        <v>269</v>
      </c>
      <c r="D11482" s="21" t="s">
        <v>34</v>
      </c>
      <c r="E11482" s="21" t="s">
        <v>71</v>
      </c>
      <c r="F11482">
        <v>12720102</v>
      </c>
      <c r="G11482" t="s">
        <v>4469</v>
      </c>
      <c r="H11482" s="21">
        <v>950.67</v>
      </c>
    </row>
    <row r="11483" spans="1:8" customFormat="1" x14ac:dyDescent="0.25">
      <c r="A11483" t="str">
        <f>"52185"</f>
        <v>52185</v>
      </c>
      <c r="B11483" t="s">
        <v>10897</v>
      </c>
      <c r="C11483" t="s">
        <v>1675</v>
      </c>
      <c r="D11483" s="21" t="s">
        <v>34</v>
      </c>
      <c r="E11483" s="21" t="s">
        <v>71</v>
      </c>
      <c r="F11483">
        <v>13060052</v>
      </c>
      <c r="G11483" t="s">
        <v>6759</v>
      </c>
      <c r="H11483" s="21">
        <v>950.67</v>
      </c>
    </row>
    <row r="11484" spans="1:8" customFormat="1" x14ac:dyDescent="0.25">
      <c r="A11484" t="str">
        <f>"2712679"</f>
        <v>2712679</v>
      </c>
      <c r="B11484" t="s">
        <v>12309</v>
      </c>
      <c r="C11484" t="s">
        <v>547</v>
      </c>
      <c r="D11484" s="21" t="s">
        <v>34</v>
      </c>
      <c r="E11484" s="21" t="s">
        <v>35</v>
      </c>
      <c r="F11484">
        <v>9270156</v>
      </c>
      <c r="G11484" t="s">
        <v>3751</v>
      </c>
      <c r="H11484" s="21">
        <v>950.67</v>
      </c>
    </row>
    <row r="11485" spans="1:8" customFormat="1" x14ac:dyDescent="0.25">
      <c r="A11485" t="str">
        <f>"6311101"</f>
        <v>6311101</v>
      </c>
      <c r="B11485" t="s">
        <v>11293</v>
      </c>
      <c r="C11485" t="s">
        <v>712</v>
      </c>
      <c r="D11485" s="21" t="s">
        <v>34</v>
      </c>
      <c r="E11485" s="21" t="s">
        <v>35</v>
      </c>
      <c r="F11485">
        <v>1630320</v>
      </c>
      <c r="G11485" t="s">
        <v>4046</v>
      </c>
      <c r="H11485" s="21">
        <v>950.67</v>
      </c>
    </row>
    <row r="11486" spans="1:8" customFormat="1" x14ac:dyDescent="0.25">
      <c r="A11486" t="str">
        <f>"7222334"</f>
        <v>7222334</v>
      </c>
      <c r="B11486" t="s">
        <v>4291</v>
      </c>
      <c r="C11486" t="s">
        <v>62</v>
      </c>
      <c r="D11486" s="21" t="s">
        <v>34</v>
      </c>
      <c r="E11486" s="21" t="s">
        <v>35</v>
      </c>
      <c r="F11486">
        <v>12720021</v>
      </c>
      <c r="G11486" t="s">
        <v>3329</v>
      </c>
      <c r="H11486" s="21">
        <v>950.67</v>
      </c>
    </row>
    <row r="11487" spans="1:8" customFormat="1" x14ac:dyDescent="0.25">
      <c r="A11487" t="str">
        <f>"936255"</f>
        <v>936255</v>
      </c>
      <c r="B11487" t="s">
        <v>11154</v>
      </c>
      <c r="C11487" t="s">
        <v>40</v>
      </c>
      <c r="D11487" s="21" t="s">
        <v>34</v>
      </c>
      <c r="E11487" s="21" t="s">
        <v>35</v>
      </c>
      <c r="F11487">
        <v>8940535</v>
      </c>
      <c r="G11487" t="s">
        <v>2628</v>
      </c>
      <c r="H11487" s="21">
        <v>950.67</v>
      </c>
    </row>
    <row r="11488" spans="1:8" customFormat="1" x14ac:dyDescent="0.25">
      <c r="A11488" t="str">
        <f>"284452"</f>
        <v>284452</v>
      </c>
      <c r="B11488" t="s">
        <v>11001</v>
      </c>
      <c r="C11488" t="s">
        <v>124</v>
      </c>
      <c r="D11488" s="21" t="s">
        <v>34</v>
      </c>
      <c r="E11488" s="21" t="s">
        <v>71</v>
      </c>
      <c r="F11488">
        <v>4280045</v>
      </c>
      <c r="G11488" t="s">
        <v>787</v>
      </c>
      <c r="H11488" s="21">
        <v>950.67</v>
      </c>
    </row>
    <row r="11489" spans="1:8" customFormat="1" x14ac:dyDescent="0.25">
      <c r="A11489" t="str">
        <f>"781655"</f>
        <v>781655</v>
      </c>
      <c r="B11489" t="s">
        <v>25466</v>
      </c>
      <c r="C11489" t="s">
        <v>65</v>
      </c>
      <c r="D11489" s="21" t="s">
        <v>34</v>
      </c>
      <c r="E11489" s="21" t="s">
        <v>254</v>
      </c>
      <c r="F11489">
        <v>8780674</v>
      </c>
      <c r="G11489" t="s">
        <v>26585</v>
      </c>
      <c r="H11489" s="21">
        <v>950.67</v>
      </c>
    </row>
    <row r="11490" spans="1:8" customFormat="1" x14ac:dyDescent="0.25">
      <c r="A11490" t="str">
        <f>"304774"</f>
        <v>304774</v>
      </c>
      <c r="B11490" t="s">
        <v>17495</v>
      </c>
      <c r="C11490" t="s">
        <v>109</v>
      </c>
      <c r="D11490" s="21" t="s">
        <v>34</v>
      </c>
      <c r="E11490" s="21" t="s">
        <v>35</v>
      </c>
      <c r="F11490">
        <v>13840021</v>
      </c>
      <c r="G11490" t="s">
        <v>3946</v>
      </c>
      <c r="H11490" s="21">
        <v>950.67</v>
      </c>
    </row>
    <row r="11491" spans="1:8" customFormat="1" x14ac:dyDescent="0.25">
      <c r="A11491" t="str">
        <f>"026023"</f>
        <v>026023</v>
      </c>
      <c r="B11491" t="s">
        <v>1531</v>
      </c>
      <c r="C11491" t="s">
        <v>239</v>
      </c>
      <c r="D11491" s="21" t="s">
        <v>34</v>
      </c>
      <c r="E11491" s="21" t="s">
        <v>1089</v>
      </c>
      <c r="F11491">
        <v>7020055</v>
      </c>
      <c r="G11491" t="s">
        <v>8987</v>
      </c>
      <c r="H11491" s="21">
        <v>950.67</v>
      </c>
    </row>
    <row r="11492" spans="1:8" customFormat="1" x14ac:dyDescent="0.25">
      <c r="A11492" t="str">
        <f>"258619"</f>
        <v>258619</v>
      </c>
      <c r="B11492" t="s">
        <v>10343</v>
      </c>
      <c r="C11492" t="s">
        <v>40</v>
      </c>
      <c r="D11492" s="21" t="s">
        <v>34</v>
      </c>
      <c r="E11492" s="21" t="s">
        <v>71</v>
      </c>
      <c r="F11492">
        <v>2250021</v>
      </c>
      <c r="G11492" t="s">
        <v>2352</v>
      </c>
      <c r="H11492" s="21">
        <v>950.67</v>
      </c>
    </row>
    <row r="11493" spans="1:8" customFormat="1" x14ac:dyDescent="0.25">
      <c r="A11493" t="str">
        <f>"028809"</f>
        <v>028809</v>
      </c>
      <c r="B11493" t="s">
        <v>11838</v>
      </c>
      <c r="C11493" t="s">
        <v>12080</v>
      </c>
      <c r="D11493" s="21" t="s">
        <v>34</v>
      </c>
      <c r="E11493" s="21" t="s">
        <v>1089</v>
      </c>
      <c r="F11493">
        <v>7020055</v>
      </c>
      <c r="G11493" t="s">
        <v>8987</v>
      </c>
      <c r="H11493" s="21">
        <v>950.67</v>
      </c>
    </row>
    <row r="11494" spans="1:8" customFormat="1" x14ac:dyDescent="0.25">
      <c r="A11494" t="str">
        <f>"808185"</f>
        <v>808185</v>
      </c>
      <c r="B11494" t="s">
        <v>5300</v>
      </c>
      <c r="C11494" t="s">
        <v>2730</v>
      </c>
      <c r="D11494" s="21" t="s">
        <v>34</v>
      </c>
      <c r="E11494" s="21" t="s">
        <v>254</v>
      </c>
      <c r="F11494">
        <v>7800011</v>
      </c>
      <c r="G11494" t="s">
        <v>2253</v>
      </c>
      <c r="H11494" s="21">
        <v>950.54</v>
      </c>
    </row>
    <row r="11495" spans="1:8" customFormat="1" x14ac:dyDescent="0.25">
      <c r="A11495" t="str">
        <f>"3342735"</f>
        <v>3342735</v>
      </c>
      <c r="B11495" t="s">
        <v>9983</v>
      </c>
      <c r="C11495" t="s">
        <v>246</v>
      </c>
      <c r="D11495" s="21" t="s">
        <v>34</v>
      </c>
      <c r="E11495" s="21" t="s">
        <v>71</v>
      </c>
      <c r="F11495">
        <v>10330002</v>
      </c>
      <c r="G11495" t="s">
        <v>53</v>
      </c>
      <c r="H11495" s="21">
        <v>950.54</v>
      </c>
    </row>
    <row r="11496" spans="1:8" customFormat="1" x14ac:dyDescent="0.25">
      <c r="A11496" t="str">
        <f>"895442"</f>
        <v>895442</v>
      </c>
      <c r="B11496" t="s">
        <v>12292</v>
      </c>
      <c r="C11496" t="s">
        <v>87</v>
      </c>
      <c r="D11496" s="21" t="s">
        <v>34</v>
      </c>
      <c r="E11496" s="21" t="s">
        <v>35</v>
      </c>
      <c r="F11496">
        <v>4450184</v>
      </c>
      <c r="G11496" t="s">
        <v>3956</v>
      </c>
      <c r="H11496" s="21">
        <v>950.42</v>
      </c>
    </row>
    <row r="11497" spans="1:8" customFormat="1" x14ac:dyDescent="0.25">
      <c r="A11497" t="str">
        <f>"726212"</f>
        <v>726212</v>
      </c>
      <c r="B11497" t="s">
        <v>11849</v>
      </c>
      <c r="C11497" t="s">
        <v>209</v>
      </c>
      <c r="D11497" s="21" t="s">
        <v>34</v>
      </c>
      <c r="E11497" s="21" t="s">
        <v>35</v>
      </c>
      <c r="F11497">
        <v>12720143</v>
      </c>
      <c r="G11497" t="s">
        <v>3881</v>
      </c>
      <c r="H11497" s="21">
        <v>950.42</v>
      </c>
    </row>
    <row r="11498" spans="1:8" customFormat="1" x14ac:dyDescent="0.25">
      <c r="A11498" t="str">
        <f>"6111905"</f>
        <v>6111905</v>
      </c>
      <c r="B11498" t="s">
        <v>13147</v>
      </c>
      <c r="C11498" t="s">
        <v>98</v>
      </c>
      <c r="D11498" s="21" t="s">
        <v>34</v>
      </c>
      <c r="E11498" s="21" t="s">
        <v>35</v>
      </c>
      <c r="F11498">
        <v>9610122</v>
      </c>
      <c r="G11498" t="s">
        <v>4349</v>
      </c>
      <c r="H11498" s="21">
        <v>950.42</v>
      </c>
    </row>
    <row r="11499" spans="1:8" customFormat="1" x14ac:dyDescent="0.25">
      <c r="A11499" t="str">
        <f>"2719879"</f>
        <v>2719879</v>
      </c>
      <c r="B11499" t="s">
        <v>11305</v>
      </c>
      <c r="C11499" t="s">
        <v>114</v>
      </c>
      <c r="D11499" s="21" t="s">
        <v>34</v>
      </c>
      <c r="E11499" s="21" t="s">
        <v>71</v>
      </c>
      <c r="F11499">
        <v>9270137</v>
      </c>
      <c r="G11499" t="s">
        <v>3714</v>
      </c>
      <c r="H11499" s="21">
        <v>950.17</v>
      </c>
    </row>
    <row r="11500" spans="1:8" customFormat="1" x14ac:dyDescent="0.25">
      <c r="A11500" t="str">
        <f>"6015183"</f>
        <v>6015183</v>
      </c>
      <c r="B11500" t="s">
        <v>4414</v>
      </c>
      <c r="C11500" t="s">
        <v>926</v>
      </c>
      <c r="D11500" s="21" t="s">
        <v>34</v>
      </c>
      <c r="E11500" s="21" t="s">
        <v>71</v>
      </c>
      <c r="F11500">
        <v>7600086</v>
      </c>
      <c r="G11500" t="s">
        <v>2399</v>
      </c>
      <c r="H11500" s="21">
        <v>950.17</v>
      </c>
    </row>
    <row r="11501" spans="1:8" customFormat="1" x14ac:dyDescent="0.25">
      <c r="A11501" t="str">
        <f>"1682"</f>
        <v>1682</v>
      </c>
      <c r="B11501" t="s">
        <v>3057</v>
      </c>
      <c r="C11501" t="s">
        <v>5861</v>
      </c>
      <c r="D11501" s="21" t="s">
        <v>34</v>
      </c>
      <c r="E11501" s="21" t="s">
        <v>254</v>
      </c>
      <c r="F11501">
        <v>10160010</v>
      </c>
      <c r="G11501" t="s">
        <v>5491</v>
      </c>
      <c r="H11501" s="21">
        <v>950.17</v>
      </c>
    </row>
    <row r="11502" spans="1:8" customFormat="1" x14ac:dyDescent="0.25">
      <c r="A11502" t="str">
        <f>"2514564"</f>
        <v>2514564</v>
      </c>
      <c r="B11502" t="s">
        <v>11710</v>
      </c>
      <c r="C11502" t="s">
        <v>114</v>
      </c>
      <c r="D11502" s="21" t="s">
        <v>34</v>
      </c>
      <c r="E11502" s="21" t="s">
        <v>71</v>
      </c>
      <c r="F11502">
        <v>2250002</v>
      </c>
      <c r="G11502" t="s">
        <v>2745</v>
      </c>
      <c r="H11502" s="21">
        <v>950.17</v>
      </c>
    </row>
    <row r="11503" spans="1:8" customFormat="1" x14ac:dyDescent="0.25">
      <c r="A11503" t="str">
        <f>"4929345"</f>
        <v>4929345</v>
      </c>
      <c r="B11503" t="s">
        <v>6174</v>
      </c>
      <c r="C11503" t="s">
        <v>817</v>
      </c>
      <c r="D11503" s="21" t="s">
        <v>34</v>
      </c>
      <c r="E11503" s="21" t="s">
        <v>71</v>
      </c>
      <c r="F11503">
        <v>12490024</v>
      </c>
      <c r="G11503" t="s">
        <v>9869</v>
      </c>
      <c r="H11503" s="21">
        <v>950.17</v>
      </c>
    </row>
    <row r="11504" spans="1:8" customFormat="1" x14ac:dyDescent="0.25">
      <c r="A11504" t="str">
        <f>"7717621"</f>
        <v>7717621</v>
      </c>
      <c r="B11504" t="s">
        <v>11397</v>
      </c>
      <c r="C11504" t="s">
        <v>55</v>
      </c>
      <c r="D11504" s="21" t="s">
        <v>34</v>
      </c>
      <c r="E11504" s="21" t="s">
        <v>71</v>
      </c>
      <c r="F11504">
        <v>6100002</v>
      </c>
      <c r="G11504" t="s">
        <v>1602</v>
      </c>
      <c r="H11504" s="21">
        <v>950.17</v>
      </c>
    </row>
    <row r="11505" spans="1:8" customFormat="1" x14ac:dyDescent="0.25">
      <c r="A11505" t="str">
        <f>"5926241"</f>
        <v>5926241</v>
      </c>
      <c r="B11505" t="s">
        <v>11664</v>
      </c>
      <c r="C11505" t="s">
        <v>169</v>
      </c>
      <c r="D11505" s="21" t="s">
        <v>34</v>
      </c>
      <c r="E11505" s="21" t="s">
        <v>71</v>
      </c>
      <c r="F11505">
        <v>7590106</v>
      </c>
      <c r="G11505" t="s">
        <v>4790</v>
      </c>
      <c r="H11505" s="21">
        <v>950.17</v>
      </c>
    </row>
    <row r="11506" spans="1:8" customFormat="1" x14ac:dyDescent="0.25">
      <c r="A11506" t="str">
        <f>"3720164"</f>
        <v>3720164</v>
      </c>
      <c r="B11506" t="s">
        <v>11488</v>
      </c>
      <c r="C11506" t="s">
        <v>87</v>
      </c>
      <c r="D11506" s="21" t="s">
        <v>34</v>
      </c>
      <c r="E11506" s="21" t="s">
        <v>35</v>
      </c>
      <c r="F11506">
        <v>4370709</v>
      </c>
      <c r="G11506" t="s">
        <v>5714</v>
      </c>
      <c r="H11506" s="21">
        <v>950.17</v>
      </c>
    </row>
    <row r="11507" spans="1:8" customFormat="1" x14ac:dyDescent="0.25">
      <c r="A11507" t="str">
        <f>"625729"</f>
        <v>625729</v>
      </c>
      <c r="B11507" t="s">
        <v>6230</v>
      </c>
      <c r="C11507" t="s">
        <v>3109</v>
      </c>
      <c r="D11507" s="21" t="s">
        <v>34</v>
      </c>
      <c r="E11507" s="21" t="s">
        <v>35</v>
      </c>
      <c r="F11507">
        <v>7620058</v>
      </c>
      <c r="G11507" t="s">
        <v>602</v>
      </c>
      <c r="H11507" s="21">
        <v>950.17</v>
      </c>
    </row>
    <row r="11508" spans="1:8" customFormat="1" x14ac:dyDescent="0.25">
      <c r="A11508" t="str">
        <f>"4431781"</f>
        <v>4431781</v>
      </c>
      <c r="B11508" t="s">
        <v>10389</v>
      </c>
      <c r="C11508" t="s">
        <v>171</v>
      </c>
      <c r="D11508" s="21" t="s">
        <v>34</v>
      </c>
      <c r="E11508" s="21" t="s">
        <v>35</v>
      </c>
      <c r="F11508">
        <v>12440031</v>
      </c>
      <c r="G11508" t="s">
        <v>3603</v>
      </c>
      <c r="H11508" s="21">
        <v>950.17</v>
      </c>
    </row>
    <row r="11509" spans="1:8" customFormat="1" x14ac:dyDescent="0.25">
      <c r="A11509" t="str">
        <f>"705104"</f>
        <v>705104</v>
      </c>
      <c r="B11509" t="s">
        <v>11681</v>
      </c>
      <c r="C11509" t="s">
        <v>90</v>
      </c>
      <c r="D11509" s="21" t="s">
        <v>34</v>
      </c>
      <c r="E11509" s="21" t="s">
        <v>71</v>
      </c>
      <c r="F11509">
        <v>2700089</v>
      </c>
      <c r="G11509" t="s">
        <v>2570</v>
      </c>
      <c r="H11509" s="21">
        <v>950.17</v>
      </c>
    </row>
    <row r="11510" spans="1:8" customFormat="1" x14ac:dyDescent="0.25">
      <c r="A11510" t="str">
        <f>"359535"</f>
        <v>359535</v>
      </c>
      <c r="B11510" t="s">
        <v>10478</v>
      </c>
      <c r="C11510" t="s">
        <v>320</v>
      </c>
      <c r="D11510" s="21" t="s">
        <v>34</v>
      </c>
      <c r="E11510" s="21" t="s">
        <v>71</v>
      </c>
      <c r="F11510">
        <v>3350021</v>
      </c>
      <c r="G11510" t="s">
        <v>1758</v>
      </c>
      <c r="H11510" s="21">
        <v>950.17</v>
      </c>
    </row>
    <row r="11511" spans="1:8" customFormat="1" x14ac:dyDescent="0.25">
      <c r="A11511" t="str">
        <f>"498283"</f>
        <v>498283</v>
      </c>
      <c r="B11511" t="s">
        <v>10862</v>
      </c>
      <c r="C11511" t="s">
        <v>33</v>
      </c>
      <c r="D11511" s="21" t="s">
        <v>34</v>
      </c>
      <c r="E11511" s="21" t="s">
        <v>71</v>
      </c>
      <c r="F11511">
        <v>12490088</v>
      </c>
      <c r="G11511" t="s">
        <v>10688</v>
      </c>
      <c r="H11511" s="21">
        <v>950.17</v>
      </c>
    </row>
    <row r="11512" spans="1:8" customFormat="1" x14ac:dyDescent="0.25">
      <c r="A11512" t="str">
        <f>"623719"</f>
        <v>623719</v>
      </c>
      <c r="B11512" t="s">
        <v>11673</v>
      </c>
      <c r="C11512" t="s">
        <v>11674</v>
      </c>
      <c r="D11512" s="21" t="s">
        <v>34</v>
      </c>
      <c r="E11512" s="21" t="s">
        <v>71</v>
      </c>
      <c r="F11512">
        <v>7620108</v>
      </c>
      <c r="G11512" t="s">
        <v>3035</v>
      </c>
      <c r="H11512" s="21">
        <v>950.17</v>
      </c>
    </row>
    <row r="11513" spans="1:8" customFormat="1" x14ac:dyDescent="0.25">
      <c r="A11513" t="str">
        <f>"279568"</f>
        <v>279568</v>
      </c>
      <c r="B11513" t="s">
        <v>2106</v>
      </c>
      <c r="C11513" t="s">
        <v>119</v>
      </c>
      <c r="D11513" s="21" t="s">
        <v>34</v>
      </c>
      <c r="E11513" s="21" t="s">
        <v>71</v>
      </c>
      <c r="F11513">
        <v>9760351</v>
      </c>
      <c r="G11513" t="s">
        <v>5898</v>
      </c>
      <c r="H11513" s="21">
        <v>950.17</v>
      </c>
    </row>
    <row r="11514" spans="1:8" customFormat="1" x14ac:dyDescent="0.25">
      <c r="A11514" t="str">
        <f>"5971002"</f>
        <v>5971002</v>
      </c>
      <c r="B11514" t="s">
        <v>197</v>
      </c>
      <c r="C11514" t="s">
        <v>249</v>
      </c>
      <c r="D11514" s="21" t="s">
        <v>34</v>
      </c>
      <c r="E11514" s="21" t="s">
        <v>71</v>
      </c>
      <c r="F11514">
        <v>7590372</v>
      </c>
      <c r="G11514" t="s">
        <v>3638</v>
      </c>
      <c r="H11514" s="21">
        <v>950.17</v>
      </c>
    </row>
    <row r="11515" spans="1:8" customFormat="1" x14ac:dyDescent="0.25">
      <c r="A11515" t="str">
        <f>"844034"</f>
        <v>844034</v>
      </c>
      <c r="B11515" t="s">
        <v>2656</v>
      </c>
      <c r="C11515" t="s">
        <v>236</v>
      </c>
      <c r="D11515" s="21" t="s">
        <v>34</v>
      </c>
      <c r="E11515" s="21" t="s">
        <v>254</v>
      </c>
      <c r="F11515">
        <v>13840006</v>
      </c>
      <c r="G11515" t="s">
        <v>10139</v>
      </c>
      <c r="H11515" s="21">
        <v>950.17</v>
      </c>
    </row>
    <row r="11516" spans="1:8" customFormat="1" x14ac:dyDescent="0.25">
      <c r="A11516" t="str">
        <f>"382794"</f>
        <v>382794</v>
      </c>
      <c r="B11516" t="s">
        <v>5283</v>
      </c>
      <c r="C11516" t="s">
        <v>55</v>
      </c>
      <c r="D11516" s="21" t="s">
        <v>34</v>
      </c>
      <c r="E11516" s="21" t="s">
        <v>71</v>
      </c>
      <c r="F11516">
        <v>1380068</v>
      </c>
      <c r="G11516" t="s">
        <v>12680</v>
      </c>
      <c r="H11516" s="21">
        <v>950.04</v>
      </c>
    </row>
    <row r="11517" spans="1:8" customFormat="1" x14ac:dyDescent="0.25">
      <c r="A11517" t="str">
        <f>"7220352"</f>
        <v>7220352</v>
      </c>
      <c r="B11517" t="s">
        <v>11295</v>
      </c>
      <c r="C11517" t="s">
        <v>926</v>
      </c>
      <c r="D11517" s="21" t="s">
        <v>34</v>
      </c>
      <c r="E11517" s="21" t="s">
        <v>35</v>
      </c>
      <c r="F11517">
        <v>12720141</v>
      </c>
      <c r="G11517" t="s">
        <v>12632</v>
      </c>
      <c r="H11517" s="21">
        <v>950.04</v>
      </c>
    </row>
    <row r="11518" spans="1:8" customFormat="1" x14ac:dyDescent="0.25">
      <c r="A11518" t="str">
        <f>"856201"</f>
        <v>856201</v>
      </c>
      <c r="B11518" t="s">
        <v>2240</v>
      </c>
      <c r="C11518" t="s">
        <v>169</v>
      </c>
      <c r="D11518" s="21" t="s">
        <v>34</v>
      </c>
      <c r="E11518" s="21" t="s">
        <v>35</v>
      </c>
      <c r="F11518">
        <v>12850040</v>
      </c>
      <c r="G11518" t="s">
        <v>2074</v>
      </c>
      <c r="H11518" s="21">
        <v>949.92</v>
      </c>
    </row>
    <row r="11519" spans="1:8" customFormat="1" x14ac:dyDescent="0.25">
      <c r="A11519" t="str">
        <f>"322018"</f>
        <v>322018</v>
      </c>
      <c r="B11519" t="s">
        <v>10881</v>
      </c>
      <c r="C11519" t="s">
        <v>598</v>
      </c>
      <c r="D11519" s="21" t="s">
        <v>34</v>
      </c>
      <c r="E11519" s="21" t="s">
        <v>35</v>
      </c>
      <c r="F11519">
        <v>11320033</v>
      </c>
      <c r="G11519" t="s">
        <v>8133</v>
      </c>
      <c r="H11519" s="21">
        <v>949.67</v>
      </c>
    </row>
    <row r="11520" spans="1:8" customFormat="1" x14ac:dyDescent="0.25">
      <c r="A11520" t="str">
        <f>"7843881"</f>
        <v>7843881</v>
      </c>
      <c r="B11520" t="s">
        <v>11436</v>
      </c>
      <c r="C11520" t="s">
        <v>412</v>
      </c>
      <c r="D11520" s="21" t="s">
        <v>34</v>
      </c>
      <c r="E11520" s="21" t="s">
        <v>254</v>
      </c>
      <c r="F11520">
        <v>8780890</v>
      </c>
      <c r="G11520" t="s">
        <v>6456</v>
      </c>
      <c r="H11520" s="21">
        <v>949.67</v>
      </c>
    </row>
    <row r="11521" spans="1:8" customFormat="1" x14ac:dyDescent="0.25">
      <c r="A11521" t="str">
        <f>"8815328"</f>
        <v>8815328</v>
      </c>
      <c r="B11521" t="s">
        <v>10973</v>
      </c>
      <c r="C11521" t="s">
        <v>33</v>
      </c>
      <c r="D11521" s="21" t="s">
        <v>34</v>
      </c>
      <c r="E11521" s="21" t="s">
        <v>35</v>
      </c>
      <c r="F11521">
        <v>6880002</v>
      </c>
      <c r="G11521" t="s">
        <v>501</v>
      </c>
      <c r="H11521" s="21">
        <v>949.67</v>
      </c>
    </row>
    <row r="11522" spans="1:8" customFormat="1" x14ac:dyDescent="0.25">
      <c r="A11522" t="str">
        <f>"7642155"</f>
        <v>7642155</v>
      </c>
      <c r="B11522" t="s">
        <v>4419</v>
      </c>
      <c r="C11522" t="s">
        <v>174</v>
      </c>
      <c r="D11522" s="21" t="s">
        <v>34</v>
      </c>
      <c r="E11522" s="21" t="s">
        <v>35</v>
      </c>
      <c r="F11522">
        <v>9760129</v>
      </c>
      <c r="G11522" t="s">
        <v>6147</v>
      </c>
      <c r="H11522" s="21">
        <v>949.67</v>
      </c>
    </row>
    <row r="11523" spans="1:8" customFormat="1" x14ac:dyDescent="0.25">
      <c r="A11523" t="str">
        <f>"5411696"</f>
        <v>5411696</v>
      </c>
      <c r="B11523" t="s">
        <v>11100</v>
      </c>
      <c r="C11523" t="s">
        <v>879</v>
      </c>
      <c r="D11523" s="21" t="s">
        <v>34</v>
      </c>
      <c r="E11523" s="21" t="s">
        <v>71</v>
      </c>
      <c r="F11523">
        <v>6540034</v>
      </c>
      <c r="G11523" t="s">
        <v>2211</v>
      </c>
      <c r="H11523" s="21">
        <v>949.67</v>
      </c>
    </row>
    <row r="11524" spans="1:8" customFormat="1" x14ac:dyDescent="0.25">
      <c r="A11524" t="str">
        <f>"7633126"</f>
        <v>7633126</v>
      </c>
      <c r="B11524" t="s">
        <v>7667</v>
      </c>
      <c r="C11524" t="s">
        <v>246</v>
      </c>
      <c r="D11524" s="21" t="s">
        <v>34</v>
      </c>
      <c r="E11524" s="21" t="s">
        <v>35</v>
      </c>
      <c r="F11524">
        <v>9760034</v>
      </c>
      <c r="G11524" t="s">
        <v>1242</v>
      </c>
      <c r="H11524" s="21">
        <v>949.67</v>
      </c>
    </row>
    <row r="11525" spans="1:8" customFormat="1" x14ac:dyDescent="0.25">
      <c r="A11525" t="str">
        <f>"297188"</f>
        <v>297188</v>
      </c>
      <c r="B11525" t="s">
        <v>6678</v>
      </c>
      <c r="C11525" t="s">
        <v>2322</v>
      </c>
      <c r="D11525" s="21" t="s">
        <v>34</v>
      </c>
      <c r="E11525" s="21" t="s">
        <v>35</v>
      </c>
      <c r="F11525">
        <v>3290037</v>
      </c>
      <c r="G11525" t="s">
        <v>11628</v>
      </c>
      <c r="H11525" s="21">
        <v>949.67</v>
      </c>
    </row>
    <row r="11526" spans="1:8" customFormat="1" x14ac:dyDescent="0.25">
      <c r="A11526" t="str">
        <f>"615444"</f>
        <v>615444</v>
      </c>
      <c r="B11526" t="s">
        <v>1349</v>
      </c>
      <c r="C11526" t="s">
        <v>462</v>
      </c>
      <c r="D11526" s="21" t="s">
        <v>34</v>
      </c>
      <c r="E11526" s="21" t="s">
        <v>71</v>
      </c>
      <c r="F11526">
        <v>9610040</v>
      </c>
      <c r="G11526" t="s">
        <v>10321</v>
      </c>
      <c r="H11526" s="21">
        <v>949.67</v>
      </c>
    </row>
    <row r="11527" spans="1:8" customFormat="1" x14ac:dyDescent="0.25">
      <c r="A11527" t="str">
        <f>"7723519"</f>
        <v>7723519</v>
      </c>
      <c r="B11527" t="s">
        <v>11994</v>
      </c>
      <c r="C11527" t="s">
        <v>65</v>
      </c>
      <c r="D11527" s="21" t="s">
        <v>34</v>
      </c>
      <c r="E11527" s="21" t="s">
        <v>35</v>
      </c>
      <c r="F11527">
        <v>8771426</v>
      </c>
      <c r="G11527" t="s">
        <v>844</v>
      </c>
      <c r="H11527" s="21">
        <v>949.67</v>
      </c>
    </row>
    <row r="11528" spans="1:8" customFormat="1" x14ac:dyDescent="0.25">
      <c r="A11528" t="str">
        <f>"305553"</f>
        <v>305553</v>
      </c>
      <c r="B11528" t="s">
        <v>10177</v>
      </c>
      <c r="C11528" t="s">
        <v>469</v>
      </c>
      <c r="D11528" s="21" t="s">
        <v>34</v>
      </c>
      <c r="E11528" s="21" t="s">
        <v>71</v>
      </c>
      <c r="F11528">
        <v>11300016</v>
      </c>
      <c r="G11528" t="s">
        <v>157</v>
      </c>
      <c r="H11528" s="21">
        <v>949.67</v>
      </c>
    </row>
    <row r="11529" spans="1:8" customFormat="1" x14ac:dyDescent="0.25">
      <c r="A11529" t="str">
        <f>"2513029"</f>
        <v>2513029</v>
      </c>
      <c r="B11529" t="s">
        <v>12199</v>
      </c>
      <c r="C11529" t="s">
        <v>62</v>
      </c>
      <c r="D11529" s="21" t="s">
        <v>34</v>
      </c>
      <c r="E11529" s="21" t="s">
        <v>71</v>
      </c>
      <c r="F11529">
        <v>2250229</v>
      </c>
      <c r="G11529" t="s">
        <v>5004</v>
      </c>
      <c r="H11529" s="21">
        <v>949.67</v>
      </c>
    </row>
    <row r="11530" spans="1:8" customFormat="1" x14ac:dyDescent="0.25">
      <c r="A11530" t="str">
        <f>"70179"</f>
        <v>70179</v>
      </c>
      <c r="B11530" t="s">
        <v>10748</v>
      </c>
      <c r="C11530" t="s">
        <v>2475</v>
      </c>
      <c r="D11530" s="21" t="s">
        <v>34</v>
      </c>
      <c r="E11530" s="21" t="s">
        <v>254</v>
      </c>
      <c r="F11530">
        <v>2700018</v>
      </c>
      <c r="G11530" t="s">
        <v>3723</v>
      </c>
      <c r="H11530" s="21">
        <v>949.67</v>
      </c>
    </row>
    <row r="11531" spans="1:8" customFormat="1" x14ac:dyDescent="0.25">
      <c r="A11531" t="str">
        <f>"379275"</f>
        <v>379275</v>
      </c>
      <c r="B11531" t="s">
        <v>10255</v>
      </c>
      <c r="C11531" t="s">
        <v>598</v>
      </c>
      <c r="D11531" s="21" t="s">
        <v>34</v>
      </c>
      <c r="E11531" s="21" t="s">
        <v>254</v>
      </c>
      <c r="F11531">
        <v>4370002</v>
      </c>
      <c r="G11531" t="s">
        <v>112</v>
      </c>
      <c r="H11531" s="21">
        <v>949.67</v>
      </c>
    </row>
    <row r="11532" spans="1:8" customFormat="1" x14ac:dyDescent="0.25">
      <c r="A11532" t="str">
        <f>"6931525"</f>
        <v>6931525</v>
      </c>
      <c r="B11532" t="s">
        <v>11521</v>
      </c>
      <c r="C11532" t="s">
        <v>119</v>
      </c>
      <c r="D11532" s="21" t="s">
        <v>34</v>
      </c>
      <c r="E11532" s="21" t="s">
        <v>71</v>
      </c>
      <c r="F11532">
        <v>1690184</v>
      </c>
      <c r="G11532" t="s">
        <v>4992</v>
      </c>
      <c r="H11532" s="21">
        <v>949.67</v>
      </c>
    </row>
    <row r="11533" spans="1:8" customFormat="1" x14ac:dyDescent="0.25">
      <c r="A11533" t="str">
        <f>"6716934"</f>
        <v>6716934</v>
      </c>
      <c r="B11533" t="s">
        <v>11800</v>
      </c>
      <c r="C11533" t="s">
        <v>87</v>
      </c>
      <c r="D11533" s="21" t="s">
        <v>34</v>
      </c>
      <c r="E11533" s="21" t="s">
        <v>35</v>
      </c>
      <c r="F11533">
        <v>6670201</v>
      </c>
      <c r="G11533" t="s">
        <v>8483</v>
      </c>
      <c r="H11533" s="21">
        <v>949.67</v>
      </c>
    </row>
    <row r="11534" spans="1:8" customFormat="1" x14ac:dyDescent="0.25">
      <c r="A11534" t="str">
        <f>"6021035"</f>
        <v>6021035</v>
      </c>
      <c r="B11534" t="s">
        <v>11144</v>
      </c>
      <c r="C11534" t="s">
        <v>2546</v>
      </c>
      <c r="D11534" s="21" t="s">
        <v>34</v>
      </c>
      <c r="E11534" s="21" t="s">
        <v>71</v>
      </c>
      <c r="F11534">
        <v>7600161</v>
      </c>
      <c r="G11534" t="s">
        <v>6023</v>
      </c>
      <c r="H11534" s="21">
        <v>949.54</v>
      </c>
    </row>
    <row r="11535" spans="1:8" customFormat="1" x14ac:dyDescent="0.25">
      <c r="A11535" t="str">
        <f>"9531008"</f>
        <v>9531008</v>
      </c>
      <c r="B11535" t="s">
        <v>27207</v>
      </c>
      <c r="C11535" t="s">
        <v>33</v>
      </c>
      <c r="D11535" s="21" t="s">
        <v>34</v>
      </c>
      <c r="E11535" s="21" t="s">
        <v>35</v>
      </c>
      <c r="F11535">
        <v>8951222</v>
      </c>
      <c r="G11535" t="s">
        <v>3746</v>
      </c>
      <c r="H11535" s="21">
        <v>949.5</v>
      </c>
    </row>
    <row r="11536" spans="1:8" customFormat="1" x14ac:dyDescent="0.25">
      <c r="A11536" t="str">
        <f>"782094"</f>
        <v>782094</v>
      </c>
      <c r="B11536" t="s">
        <v>10605</v>
      </c>
      <c r="C11536" t="s">
        <v>267</v>
      </c>
      <c r="D11536" s="21" t="s">
        <v>34</v>
      </c>
      <c r="E11536" s="21" t="s">
        <v>254</v>
      </c>
      <c r="F11536">
        <v>8781017</v>
      </c>
      <c r="G11536" t="s">
        <v>2581</v>
      </c>
      <c r="H11536" s="21">
        <v>949.17</v>
      </c>
    </row>
    <row r="11537" spans="1:8" customFormat="1" x14ac:dyDescent="0.25">
      <c r="A11537" t="str">
        <f>"747374"</f>
        <v>747374</v>
      </c>
      <c r="B11537" t="s">
        <v>2607</v>
      </c>
      <c r="C11537" t="s">
        <v>65</v>
      </c>
      <c r="D11537" s="21" t="s">
        <v>34</v>
      </c>
      <c r="E11537" s="21" t="s">
        <v>35</v>
      </c>
      <c r="F11537">
        <v>1740003</v>
      </c>
      <c r="G11537" t="s">
        <v>982</v>
      </c>
      <c r="H11537" s="21">
        <v>949.17</v>
      </c>
    </row>
    <row r="11538" spans="1:8" customFormat="1" x14ac:dyDescent="0.25">
      <c r="A11538" t="str">
        <f>"243558"</f>
        <v>243558</v>
      </c>
      <c r="B11538" t="s">
        <v>10232</v>
      </c>
      <c r="C11538" t="s">
        <v>462</v>
      </c>
      <c r="D11538" s="21" t="s">
        <v>34</v>
      </c>
      <c r="E11538" s="21" t="s">
        <v>254</v>
      </c>
      <c r="F11538">
        <v>10240001</v>
      </c>
      <c r="G11538" t="s">
        <v>10102</v>
      </c>
      <c r="H11538" s="21">
        <v>949.17</v>
      </c>
    </row>
    <row r="11539" spans="1:8" customFormat="1" x14ac:dyDescent="0.25">
      <c r="A11539" t="str">
        <f>"355896"</f>
        <v>355896</v>
      </c>
      <c r="B11539" t="s">
        <v>10361</v>
      </c>
      <c r="C11539" t="s">
        <v>1665</v>
      </c>
      <c r="D11539" s="21" t="s">
        <v>34</v>
      </c>
      <c r="E11539" s="21" t="s">
        <v>71</v>
      </c>
      <c r="F11539">
        <v>3350067</v>
      </c>
      <c r="G11539" t="s">
        <v>4439</v>
      </c>
      <c r="H11539" s="21">
        <v>949.17</v>
      </c>
    </row>
    <row r="11540" spans="1:8" customFormat="1" x14ac:dyDescent="0.25">
      <c r="A11540" t="str">
        <f>"562474"</f>
        <v>562474</v>
      </c>
      <c r="B11540" t="s">
        <v>10662</v>
      </c>
      <c r="C11540" t="s">
        <v>2907</v>
      </c>
      <c r="D11540" s="21" t="s">
        <v>34</v>
      </c>
      <c r="E11540" s="21" t="s">
        <v>71</v>
      </c>
      <c r="F11540">
        <v>3560066</v>
      </c>
      <c r="G11540" t="s">
        <v>1156</v>
      </c>
      <c r="H11540" s="21">
        <v>949.17</v>
      </c>
    </row>
    <row r="11541" spans="1:8" customFormat="1" x14ac:dyDescent="0.25">
      <c r="A11541" t="str">
        <f>"4213312"</f>
        <v>4213312</v>
      </c>
      <c r="B11541" t="s">
        <v>11205</v>
      </c>
      <c r="C11541" t="s">
        <v>11206</v>
      </c>
      <c r="D11541" s="21" t="s">
        <v>34</v>
      </c>
      <c r="E11541" s="21" t="s">
        <v>35</v>
      </c>
      <c r="F11541">
        <v>7600167</v>
      </c>
      <c r="G11541" t="s">
        <v>12431</v>
      </c>
      <c r="H11541" s="21">
        <v>949.17</v>
      </c>
    </row>
    <row r="11542" spans="1:8" customFormat="1" x14ac:dyDescent="0.25">
      <c r="A11542" t="str">
        <f>"172754"</f>
        <v>172754</v>
      </c>
      <c r="B11542" t="s">
        <v>10314</v>
      </c>
      <c r="C11542" t="s">
        <v>320</v>
      </c>
      <c r="D11542" s="21" t="s">
        <v>34</v>
      </c>
      <c r="E11542" s="21" t="s">
        <v>254</v>
      </c>
      <c r="F11542">
        <v>10170026</v>
      </c>
      <c r="G11542" t="s">
        <v>4850</v>
      </c>
      <c r="H11542" s="21">
        <v>949.17</v>
      </c>
    </row>
    <row r="11543" spans="1:8" customFormat="1" x14ac:dyDescent="0.25">
      <c r="A11543" t="str">
        <f>"3711201"</f>
        <v>3711201</v>
      </c>
      <c r="B11543" t="s">
        <v>10816</v>
      </c>
      <c r="C11543" t="s">
        <v>114</v>
      </c>
      <c r="D11543" s="21" t="s">
        <v>34</v>
      </c>
      <c r="E11543" s="21" t="s">
        <v>35</v>
      </c>
      <c r="F11543">
        <v>4370307</v>
      </c>
      <c r="G11543" t="s">
        <v>7652</v>
      </c>
      <c r="H11543" s="21">
        <v>949.17</v>
      </c>
    </row>
    <row r="11544" spans="1:8" customFormat="1" x14ac:dyDescent="0.25">
      <c r="A11544" t="str">
        <f>"279621"</f>
        <v>279621</v>
      </c>
      <c r="B11544" t="s">
        <v>11139</v>
      </c>
      <c r="C11544" t="s">
        <v>149</v>
      </c>
      <c r="D11544" s="21" t="s">
        <v>34</v>
      </c>
      <c r="E11544" s="21" t="s">
        <v>35</v>
      </c>
      <c r="F11544">
        <v>9760403</v>
      </c>
      <c r="G11544" t="s">
        <v>11140</v>
      </c>
      <c r="H11544" s="21">
        <v>949.17</v>
      </c>
    </row>
    <row r="11545" spans="1:8" customFormat="1" x14ac:dyDescent="0.25">
      <c r="A11545" t="str">
        <f>"027519"</f>
        <v>027519</v>
      </c>
      <c r="B11545" t="s">
        <v>27208</v>
      </c>
      <c r="C11545" t="s">
        <v>65</v>
      </c>
      <c r="D11545" s="21" t="s">
        <v>34</v>
      </c>
      <c r="E11545" s="21" t="s">
        <v>35</v>
      </c>
      <c r="F11545">
        <v>7590182</v>
      </c>
      <c r="G11545" t="s">
        <v>172</v>
      </c>
      <c r="H11545" s="21">
        <v>949.17</v>
      </c>
    </row>
    <row r="11546" spans="1:8" customFormat="1" x14ac:dyDescent="0.25">
      <c r="A11546" t="str">
        <f>"088301"</f>
        <v>088301</v>
      </c>
      <c r="B11546" t="s">
        <v>11692</v>
      </c>
      <c r="C11546" t="s">
        <v>156</v>
      </c>
      <c r="D11546" s="21" t="s">
        <v>34</v>
      </c>
      <c r="E11546" s="21" t="s">
        <v>254</v>
      </c>
      <c r="F11546">
        <v>6080064</v>
      </c>
      <c r="G11546" t="s">
        <v>5825</v>
      </c>
      <c r="H11546" s="21">
        <v>949.17</v>
      </c>
    </row>
    <row r="11547" spans="1:8" customFormat="1" x14ac:dyDescent="0.25">
      <c r="A11547" t="str">
        <f>"3710657"</f>
        <v>3710657</v>
      </c>
      <c r="B11547" t="s">
        <v>7872</v>
      </c>
      <c r="C11547" t="s">
        <v>269</v>
      </c>
      <c r="D11547" s="21" t="s">
        <v>34</v>
      </c>
      <c r="E11547" s="21" t="s">
        <v>71</v>
      </c>
      <c r="F11547">
        <v>4370608</v>
      </c>
      <c r="G11547" t="s">
        <v>11068</v>
      </c>
      <c r="H11547" s="21">
        <v>949.17</v>
      </c>
    </row>
    <row r="11548" spans="1:8" customFormat="1" x14ac:dyDescent="0.25">
      <c r="A11548" t="str">
        <f>"217946"</f>
        <v>217946</v>
      </c>
      <c r="B11548" t="s">
        <v>10960</v>
      </c>
      <c r="C11548" t="s">
        <v>1110</v>
      </c>
      <c r="D11548" s="21" t="s">
        <v>34</v>
      </c>
      <c r="E11548" s="21" t="s">
        <v>254</v>
      </c>
      <c r="F11548">
        <v>2210029</v>
      </c>
      <c r="G11548" t="s">
        <v>6983</v>
      </c>
      <c r="H11548" s="21">
        <v>948.92</v>
      </c>
    </row>
    <row r="11549" spans="1:8" customFormat="1" x14ac:dyDescent="0.25">
      <c r="A11549" t="str">
        <f>"3716362"</f>
        <v>3716362</v>
      </c>
      <c r="B11549" t="s">
        <v>11131</v>
      </c>
      <c r="C11549" t="s">
        <v>3109</v>
      </c>
      <c r="D11549" s="21" t="s">
        <v>34</v>
      </c>
      <c r="E11549" s="21" t="s">
        <v>254</v>
      </c>
      <c r="F11549">
        <v>4370002</v>
      </c>
      <c r="G11549" t="s">
        <v>112</v>
      </c>
      <c r="H11549" s="21">
        <v>948.92</v>
      </c>
    </row>
    <row r="11550" spans="1:8" customFormat="1" x14ac:dyDescent="0.25">
      <c r="A11550" t="str">
        <f>"91376"</f>
        <v>91376</v>
      </c>
      <c r="B11550" t="s">
        <v>890</v>
      </c>
      <c r="C11550" t="s">
        <v>1110</v>
      </c>
      <c r="D11550" s="21" t="s">
        <v>34</v>
      </c>
      <c r="E11550" s="21" t="s">
        <v>254</v>
      </c>
      <c r="F11550">
        <v>12440023</v>
      </c>
      <c r="G11550" t="s">
        <v>3507</v>
      </c>
      <c r="H11550" s="21">
        <v>948.79</v>
      </c>
    </row>
    <row r="11551" spans="1:8" customFormat="1" x14ac:dyDescent="0.25">
      <c r="A11551" t="str">
        <f>"1413340"</f>
        <v>1413340</v>
      </c>
      <c r="B11551" t="s">
        <v>3587</v>
      </c>
      <c r="C11551" t="s">
        <v>249</v>
      </c>
      <c r="D11551" s="21" t="s">
        <v>34</v>
      </c>
      <c r="E11551" s="21" t="s">
        <v>35</v>
      </c>
      <c r="F11551">
        <v>9140083</v>
      </c>
      <c r="G11551" t="s">
        <v>8440</v>
      </c>
      <c r="H11551" s="21">
        <v>948.67</v>
      </c>
    </row>
    <row r="11552" spans="1:8" customFormat="1" x14ac:dyDescent="0.25">
      <c r="A11552" t="str">
        <f>"9714857"</f>
        <v>9714857</v>
      </c>
      <c r="B11552" t="s">
        <v>27209</v>
      </c>
      <c r="C11552" t="s">
        <v>772</v>
      </c>
      <c r="D11552" s="21" t="s">
        <v>34</v>
      </c>
      <c r="E11552" s="21" t="s">
        <v>254</v>
      </c>
      <c r="F11552" t="s">
        <v>2871</v>
      </c>
      <c r="G11552" t="s">
        <v>2872</v>
      </c>
      <c r="H11552" s="21">
        <v>948.67</v>
      </c>
    </row>
    <row r="11553" spans="1:8" customFormat="1" x14ac:dyDescent="0.25">
      <c r="A11553" t="str">
        <f>"864107"</f>
        <v>864107</v>
      </c>
      <c r="B11553" t="s">
        <v>9741</v>
      </c>
      <c r="C11553" t="s">
        <v>109</v>
      </c>
      <c r="D11553" s="21" t="s">
        <v>34</v>
      </c>
      <c r="E11553" s="21" t="s">
        <v>35</v>
      </c>
      <c r="F11553">
        <v>10860084</v>
      </c>
      <c r="G11553" t="s">
        <v>7471</v>
      </c>
      <c r="H11553" s="21">
        <v>948.67</v>
      </c>
    </row>
    <row r="11554" spans="1:8" customFormat="1" x14ac:dyDescent="0.25">
      <c r="A11554" t="str">
        <f>"122510"</f>
        <v>122510</v>
      </c>
      <c r="B11554" t="s">
        <v>22716</v>
      </c>
      <c r="C11554" t="s">
        <v>926</v>
      </c>
      <c r="D11554" s="21" t="s">
        <v>34</v>
      </c>
      <c r="E11554" s="21" t="s">
        <v>71</v>
      </c>
      <c r="F11554">
        <v>10330002</v>
      </c>
      <c r="G11554" t="s">
        <v>53</v>
      </c>
      <c r="H11554" s="21">
        <v>948.67</v>
      </c>
    </row>
    <row r="11555" spans="1:8" customFormat="1" x14ac:dyDescent="0.25">
      <c r="A11555" t="str">
        <f>"9522728"</f>
        <v>9522728</v>
      </c>
      <c r="B11555" t="s">
        <v>11327</v>
      </c>
      <c r="C11555" t="s">
        <v>2322</v>
      </c>
      <c r="D11555" s="21" t="s">
        <v>34</v>
      </c>
      <c r="E11555" s="21" t="s">
        <v>35</v>
      </c>
      <c r="F11555">
        <v>12530095</v>
      </c>
      <c r="G11555" t="s">
        <v>5381</v>
      </c>
      <c r="H11555" s="21">
        <v>948.67</v>
      </c>
    </row>
    <row r="11556" spans="1:8" customFormat="1" x14ac:dyDescent="0.25">
      <c r="A11556" t="str">
        <f>"542953"</f>
        <v>542953</v>
      </c>
      <c r="B11556" t="s">
        <v>983</v>
      </c>
      <c r="C11556" t="s">
        <v>209</v>
      </c>
      <c r="D11556" s="21" t="s">
        <v>34</v>
      </c>
      <c r="E11556" s="21" t="s">
        <v>35</v>
      </c>
      <c r="F11556">
        <v>6510008</v>
      </c>
      <c r="G11556" t="s">
        <v>26622</v>
      </c>
      <c r="H11556" s="21">
        <v>948.67</v>
      </c>
    </row>
    <row r="11557" spans="1:8" customFormat="1" x14ac:dyDescent="0.25">
      <c r="A11557" t="str">
        <f>"621420"</f>
        <v>621420</v>
      </c>
      <c r="B11557" t="s">
        <v>10882</v>
      </c>
      <c r="C11557" t="s">
        <v>1665</v>
      </c>
      <c r="D11557" s="21" t="s">
        <v>34</v>
      </c>
      <c r="E11557" s="21" t="s">
        <v>254</v>
      </c>
      <c r="F11557">
        <v>7620058</v>
      </c>
      <c r="G11557" t="s">
        <v>602</v>
      </c>
      <c r="H11557" s="21">
        <v>948.67</v>
      </c>
    </row>
    <row r="11558" spans="1:8" customFormat="1" x14ac:dyDescent="0.25">
      <c r="A11558" t="str">
        <f>"622904"</f>
        <v>622904</v>
      </c>
      <c r="B11558" t="s">
        <v>5245</v>
      </c>
      <c r="C11558" t="s">
        <v>119</v>
      </c>
      <c r="D11558" s="21" t="s">
        <v>34</v>
      </c>
      <c r="E11558" s="21" t="s">
        <v>71</v>
      </c>
      <c r="F11558">
        <v>7620058</v>
      </c>
      <c r="G11558" t="s">
        <v>602</v>
      </c>
      <c r="H11558" s="21">
        <v>948.67</v>
      </c>
    </row>
    <row r="11559" spans="1:8" customFormat="1" x14ac:dyDescent="0.25">
      <c r="A11559" t="str">
        <f>"213264"</f>
        <v>213264</v>
      </c>
      <c r="B11559" t="s">
        <v>3664</v>
      </c>
      <c r="C11559" t="s">
        <v>144</v>
      </c>
      <c r="D11559" s="21" t="s">
        <v>34</v>
      </c>
      <c r="E11559" s="21" t="s">
        <v>71</v>
      </c>
      <c r="F11559">
        <v>2210101</v>
      </c>
      <c r="G11559" t="s">
        <v>1374</v>
      </c>
      <c r="H11559" s="21">
        <v>948.67</v>
      </c>
    </row>
    <row r="11560" spans="1:8" customFormat="1" x14ac:dyDescent="0.25">
      <c r="A11560" t="str">
        <f>"807144"</f>
        <v>807144</v>
      </c>
      <c r="B11560" t="s">
        <v>10918</v>
      </c>
      <c r="C11560" t="s">
        <v>462</v>
      </c>
      <c r="D11560" s="21" t="s">
        <v>34</v>
      </c>
      <c r="E11560" s="21" t="s">
        <v>35</v>
      </c>
      <c r="F11560">
        <v>7800072</v>
      </c>
      <c r="G11560" t="s">
        <v>10919</v>
      </c>
      <c r="H11560" s="21">
        <v>948.67</v>
      </c>
    </row>
    <row r="11561" spans="1:8" customFormat="1" x14ac:dyDescent="0.25">
      <c r="A11561" t="str">
        <f>"037660"</f>
        <v>037660</v>
      </c>
      <c r="B11561" t="s">
        <v>24179</v>
      </c>
      <c r="C11561" t="s">
        <v>328</v>
      </c>
      <c r="D11561" s="21" t="s">
        <v>34</v>
      </c>
      <c r="E11561" s="21" t="s">
        <v>35</v>
      </c>
      <c r="F11561">
        <v>1030094</v>
      </c>
      <c r="G11561" t="s">
        <v>8523</v>
      </c>
      <c r="H11561" s="21">
        <v>948.67</v>
      </c>
    </row>
    <row r="11562" spans="1:8" customFormat="1" x14ac:dyDescent="0.25">
      <c r="A11562" t="str">
        <f>"3515973"</f>
        <v>3515973</v>
      </c>
      <c r="B11562" t="s">
        <v>4865</v>
      </c>
      <c r="C11562" t="s">
        <v>109</v>
      </c>
      <c r="D11562" s="21" t="s">
        <v>34</v>
      </c>
      <c r="E11562" s="21" t="s">
        <v>35</v>
      </c>
      <c r="F11562">
        <v>3350095</v>
      </c>
      <c r="G11562" t="s">
        <v>5813</v>
      </c>
      <c r="H11562" s="21">
        <v>948.67</v>
      </c>
    </row>
    <row r="11563" spans="1:8" customFormat="1" x14ac:dyDescent="0.25">
      <c r="A11563" t="str">
        <f>"5428782"</f>
        <v>5428782</v>
      </c>
      <c r="B11563" t="s">
        <v>11588</v>
      </c>
      <c r="C11563" t="s">
        <v>598</v>
      </c>
      <c r="D11563" s="21" t="s">
        <v>34</v>
      </c>
      <c r="E11563" s="21" t="s">
        <v>35</v>
      </c>
      <c r="F11563">
        <v>6540088</v>
      </c>
      <c r="G11563" t="s">
        <v>2108</v>
      </c>
      <c r="H11563" s="21">
        <v>948.42</v>
      </c>
    </row>
    <row r="11564" spans="1:8" customFormat="1" x14ac:dyDescent="0.25">
      <c r="A11564" t="str">
        <f>"4414660"</f>
        <v>4414660</v>
      </c>
      <c r="B11564" t="s">
        <v>3936</v>
      </c>
      <c r="C11564" t="s">
        <v>825</v>
      </c>
      <c r="D11564" s="21" t="s">
        <v>34</v>
      </c>
      <c r="E11564" s="21" t="s">
        <v>71</v>
      </c>
      <c r="F11564">
        <v>12440012</v>
      </c>
      <c r="G11564" t="s">
        <v>807</v>
      </c>
      <c r="H11564" s="21">
        <v>948.42</v>
      </c>
    </row>
    <row r="11565" spans="1:8" customFormat="1" x14ac:dyDescent="0.25">
      <c r="A11565" t="str">
        <f>"625835"</f>
        <v>625835</v>
      </c>
      <c r="B11565" t="s">
        <v>11150</v>
      </c>
      <c r="C11565" t="s">
        <v>124</v>
      </c>
      <c r="D11565" s="21" t="s">
        <v>34</v>
      </c>
      <c r="E11565" s="21" t="s">
        <v>71</v>
      </c>
      <c r="F11565">
        <v>4360725</v>
      </c>
      <c r="G11565" t="s">
        <v>11151</v>
      </c>
      <c r="H11565" s="21">
        <v>948.42</v>
      </c>
    </row>
    <row r="11566" spans="1:8" customFormat="1" x14ac:dyDescent="0.25">
      <c r="A11566" t="str">
        <f>"3514935"</f>
        <v>3514935</v>
      </c>
      <c r="B11566" t="s">
        <v>10416</v>
      </c>
      <c r="C11566" t="s">
        <v>65</v>
      </c>
      <c r="D11566" s="21" t="s">
        <v>34</v>
      </c>
      <c r="E11566" s="21" t="s">
        <v>71</v>
      </c>
      <c r="F11566">
        <v>3350169</v>
      </c>
      <c r="G11566" t="s">
        <v>735</v>
      </c>
      <c r="H11566" s="21">
        <v>948.42</v>
      </c>
    </row>
    <row r="11567" spans="1:8" customFormat="1" x14ac:dyDescent="0.25">
      <c r="A11567" t="str">
        <f>"5618613"</f>
        <v>5618613</v>
      </c>
      <c r="B11567" t="s">
        <v>946</v>
      </c>
      <c r="C11567" t="s">
        <v>119</v>
      </c>
      <c r="D11567" s="21" t="s">
        <v>34</v>
      </c>
      <c r="E11567" s="21" t="s">
        <v>35</v>
      </c>
      <c r="F11567">
        <v>3560054</v>
      </c>
      <c r="G11567" t="s">
        <v>10188</v>
      </c>
      <c r="H11567" s="21">
        <v>948.29</v>
      </c>
    </row>
    <row r="11568" spans="1:8" customFormat="1" x14ac:dyDescent="0.25">
      <c r="A11568" t="str">
        <f>"247074"</f>
        <v>247074</v>
      </c>
      <c r="B11568" t="s">
        <v>1349</v>
      </c>
      <c r="C11568" t="s">
        <v>82</v>
      </c>
      <c r="D11568" s="21" t="s">
        <v>34</v>
      </c>
      <c r="E11568" s="21" t="s">
        <v>71</v>
      </c>
      <c r="F11568">
        <v>10240005</v>
      </c>
      <c r="G11568" t="s">
        <v>2496</v>
      </c>
      <c r="H11568" s="21">
        <v>948.29</v>
      </c>
    </row>
    <row r="11569" spans="1:8" customFormat="1" x14ac:dyDescent="0.25">
      <c r="A11569" t="str">
        <f>"482675"</f>
        <v>482675</v>
      </c>
      <c r="B11569" t="s">
        <v>8695</v>
      </c>
      <c r="C11569" t="s">
        <v>114</v>
      </c>
      <c r="D11569" s="21" t="s">
        <v>34</v>
      </c>
      <c r="E11569" s="21" t="s">
        <v>71</v>
      </c>
      <c r="F11569">
        <v>11480020</v>
      </c>
      <c r="G11569" t="s">
        <v>5221</v>
      </c>
      <c r="H11569" s="21">
        <v>948.29</v>
      </c>
    </row>
    <row r="11570" spans="1:8" customFormat="1" x14ac:dyDescent="0.25">
      <c r="A11570" t="str">
        <f>"8511100"</f>
        <v>8511100</v>
      </c>
      <c r="B11570" t="s">
        <v>4352</v>
      </c>
      <c r="C11570" t="s">
        <v>459</v>
      </c>
      <c r="D11570" s="21" t="s">
        <v>34</v>
      </c>
      <c r="E11570" s="21" t="s">
        <v>71</v>
      </c>
      <c r="F11570">
        <v>12851011</v>
      </c>
      <c r="G11570" t="s">
        <v>1445</v>
      </c>
      <c r="H11570" s="21">
        <v>948.17</v>
      </c>
    </row>
    <row r="11571" spans="1:8" customFormat="1" x14ac:dyDescent="0.25">
      <c r="A11571" t="str">
        <f>"835013"</f>
        <v>835013</v>
      </c>
      <c r="B11571" t="s">
        <v>1158</v>
      </c>
      <c r="C11571" t="s">
        <v>305</v>
      </c>
      <c r="D11571" s="21" t="s">
        <v>34</v>
      </c>
      <c r="E11571" s="21" t="s">
        <v>35</v>
      </c>
      <c r="F11571">
        <v>6540011</v>
      </c>
      <c r="G11571" t="s">
        <v>6084</v>
      </c>
      <c r="H11571" s="21">
        <v>948.17</v>
      </c>
    </row>
    <row r="11572" spans="1:8" customFormat="1" x14ac:dyDescent="0.25">
      <c r="A11572" t="str">
        <f>"6214613"</f>
        <v>6214613</v>
      </c>
      <c r="B11572" t="s">
        <v>11255</v>
      </c>
      <c r="C11572" t="s">
        <v>528</v>
      </c>
      <c r="D11572" s="21" t="s">
        <v>34</v>
      </c>
      <c r="E11572" s="21" t="s">
        <v>35</v>
      </c>
      <c r="F11572">
        <v>7620139</v>
      </c>
      <c r="G11572" t="s">
        <v>2061</v>
      </c>
      <c r="H11572" s="21">
        <v>948.17</v>
      </c>
    </row>
    <row r="11573" spans="1:8" customFormat="1" x14ac:dyDescent="0.25">
      <c r="A11573" t="str">
        <f>"6312457"</f>
        <v>6312457</v>
      </c>
      <c r="B11573" t="s">
        <v>12138</v>
      </c>
      <c r="C11573" t="s">
        <v>60</v>
      </c>
      <c r="D11573" s="21" t="s">
        <v>34</v>
      </c>
      <c r="E11573" s="21" t="s">
        <v>35</v>
      </c>
      <c r="F11573">
        <v>1630301</v>
      </c>
      <c r="G11573" t="s">
        <v>7897</v>
      </c>
      <c r="H11573" s="21">
        <v>948.17</v>
      </c>
    </row>
    <row r="11574" spans="1:8" customFormat="1" x14ac:dyDescent="0.25">
      <c r="A11574" t="str">
        <f>"5322204"</f>
        <v>5322204</v>
      </c>
      <c r="B11574" t="s">
        <v>556</v>
      </c>
      <c r="C11574" t="s">
        <v>712</v>
      </c>
      <c r="D11574" s="21" t="s">
        <v>34</v>
      </c>
      <c r="E11574" s="21" t="s">
        <v>35</v>
      </c>
      <c r="F11574">
        <v>12530065</v>
      </c>
      <c r="G11574" t="s">
        <v>10009</v>
      </c>
      <c r="H11574" s="21">
        <v>948.17</v>
      </c>
    </row>
    <row r="11575" spans="1:8" customFormat="1" x14ac:dyDescent="0.25">
      <c r="A11575" t="str">
        <f>"911372"</f>
        <v>911372</v>
      </c>
      <c r="B11575" t="s">
        <v>3179</v>
      </c>
      <c r="C11575" t="s">
        <v>40</v>
      </c>
      <c r="D11575" s="21" t="s">
        <v>34</v>
      </c>
      <c r="E11575" s="21" t="s">
        <v>71</v>
      </c>
      <c r="F11575">
        <v>8910442</v>
      </c>
      <c r="G11575" t="s">
        <v>1336</v>
      </c>
      <c r="H11575" s="21">
        <v>948.17</v>
      </c>
    </row>
    <row r="11576" spans="1:8" customFormat="1" x14ac:dyDescent="0.25">
      <c r="A11576" t="str">
        <f>"495635"</f>
        <v>495635</v>
      </c>
      <c r="B11576" t="s">
        <v>10304</v>
      </c>
      <c r="C11576" t="s">
        <v>462</v>
      </c>
      <c r="D11576" s="21" t="s">
        <v>34</v>
      </c>
      <c r="E11576" s="21" t="s">
        <v>71</v>
      </c>
      <c r="F11576">
        <v>12490098</v>
      </c>
      <c r="G11576" t="s">
        <v>2670</v>
      </c>
      <c r="H11576" s="21">
        <v>947.92</v>
      </c>
    </row>
    <row r="11577" spans="1:8" customFormat="1" x14ac:dyDescent="0.25">
      <c r="A11577" t="str">
        <f>"02783"</f>
        <v>02783</v>
      </c>
      <c r="B11577" t="s">
        <v>1766</v>
      </c>
      <c r="C11577" t="s">
        <v>2479</v>
      </c>
      <c r="D11577" s="21" t="s">
        <v>34</v>
      </c>
      <c r="E11577" s="21" t="s">
        <v>71</v>
      </c>
      <c r="F11577">
        <v>7020036</v>
      </c>
      <c r="G11577" t="s">
        <v>8431</v>
      </c>
      <c r="H11577" s="21">
        <v>947.67</v>
      </c>
    </row>
    <row r="11578" spans="1:8" customFormat="1" x14ac:dyDescent="0.25">
      <c r="A11578" t="str">
        <f>"3419885"</f>
        <v>3419885</v>
      </c>
      <c r="B11578" t="s">
        <v>11443</v>
      </c>
      <c r="C11578" t="s">
        <v>239</v>
      </c>
      <c r="D11578" s="21" t="s">
        <v>34</v>
      </c>
      <c r="E11578" s="21" t="s">
        <v>254</v>
      </c>
      <c r="F11578">
        <v>11340012</v>
      </c>
      <c r="G11578" t="s">
        <v>10413</v>
      </c>
      <c r="H11578" s="21">
        <v>947.67</v>
      </c>
    </row>
    <row r="11579" spans="1:8" customFormat="1" x14ac:dyDescent="0.25">
      <c r="A11579" t="str">
        <f>"7723512"</f>
        <v>7723512</v>
      </c>
      <c r="B11579" t="s">
        <v>11893</v>
      </c>
      <c r="C11579" t="s">
        <v>169</v>
      </c>
      <c r="D11579" s="21" t="s">
        <v>34</v>
      </c>
      <c r="E11579" s="21" t="s">
        <v>35</v>
      </c>
      <c r="F11579">
        <v>8771085</v>
      </c>
      <c r="G11579" t="s">
        <v>11894</v>
      </c>
      <c r="H11579" s="21">
        <v>947.67</v>
      </c>
    </row>
    <row r="11580" spans="1:8" customFormat="1" x14ac:dyDescent="0.25">
      <c r="A11580" t="str">
        <f>"5111867"</f>
        <v>5111867</v>
      </c>
      <c r="B11580" t="s">
        <v>4278</v>
      </c>
      <c r="C11580" t="s">
        <v>198</v>
      </c>
      <c r="D11580" s="21" t="s">
        <v>34</v>
      </c>
      <c r="E11580" s="21" t="s">
        <v>71</v>
      </c>
      <c r="F11580">
        <v>6510071</v>
      </c>
      <c r="G11580" t="s">
        <v>3031</v>
      </c>
      <c r="H11580" s="21">
        <v>947.67</v>
      </c>
    </row>
    <row r="11581" spans="1:8" customFormat="1" x14ac:dyDescent="0.25">
      <c r="A11581" t="str">
        <f>"836464"</f>
        <v>836464</v>
      </c>
      <c r="B11581" t="s">
        <v>11031</v>
      </c>
      <c r="C11581" t="s">
        <v>209</v>
      </c>
      <c r="D11581" s="21" t="s">
        <v>34</v>
      </c>
      <c r="E11581" s="21" t="s">
        <v>71</v>
      </c>
      <c r="F11581">
        <v>13830014</v>
      </c>
      <c r="G11581" t="s">
        <v>5757</v>
      </c>
      <c r="H11581" s="21">
        <v>947.67</v>
      </c>
    </row>
    <row r="11582" spans="1:8" customFormat="1" x14ac:dyDescent="0.25">
      <c r="A11582" t="str">
        <f>"628644"</f>
        <v>628644</v>
      </c>
      <c r="B11582" t="s">
        <v>12601</v>
      </c>
      <c r="C11582" t="s">
        <v>130</v>
      </c>
      <c r="D11582" s="21" t="s">
        <v>34</v>
      </c>
      <c r="E11582" s="21" t="s">
        <v>71</v>
      </c>
      <c r="F11582">
        <v>7620062</v>
      </c>
      <c r="G11582" t="s">
        <v>12602</v>
      </c>
      <c r="H11582" s="21">
        <v>947.67</v>
      </c>
    </row>
    <row r="11583" spans="1:8" customFormat="1" x14ac:dyDescent="0.25">
      <c r="A11583" t="str">
        <f>"5714038"</f>
        <v>5714038</v>
      </c>
      <c r="B11583" t="s">
        <v>11141</v>
      </c>
      <c r="C11583" t="s">
        <v>198</v>
      </c>
      <c r="D11583" s="21" t="s">
        <v>34</v>
      </c>
      <c r="E11583" s="21" t="s">
        <v>35</v>
      </c>
      <c r="F11583">
        <v>6570024</v>
      </c>
      <c r="G11583" t="s">
        <v>464</v>
      </c>
      <c r="H11583" s="21">
        <v>947.67</v>
      </c>
    </row>
    <row r="11584" spans="1:8" customFormat="1" x14ac:dyDescent="0.25">
      <c r="A11584" t="str">
        <f>"3337794"</f>
        <v>3337794</v>
      </c>
      <c r="B11584" t="s">
        <v>13632</v>
      </c>
      <c r="C11584" t="s">
        <v>415</v>
      </c>
      <c r="D11584" s="21" t="s">
        <v>34</v>
      </c>
      <c r="E11584" s="21" t="s">
        <v>35</v>
      </c>
      <c r="F11584">
        <v>10330080</v>
      </c>
      <c r="G11584" t="s">
        <v>5634</v>
      </c>
      <c r="H11584" s="21">
        <v>947.67</v>
      </c>
    </row>
    <row r="11585" spans="1:8" customFormat="1" x14ac:dyDescent="0.25">
      <c r="A11585" t="str">
        <f>"5710036"</f>
        <v>5710036</v>
      </c>
      <c r="B11585" t="s">
        <v>814</v>
      </c>
      <c r="C11585" t="s">
        <v>267</v>
      </c>
      <c r="D11585" s="21" t="s">
        <v>34</v>
      </c>
      <c r="E11585" s="21" t="s">
        <v>35</v>
      </c>
      <c r="F11585">
        <v>6570132</v>
      </c>
      <c r="G11585" t="s">
        <v>26746</v>
      </c>
      <c r="H11585" s="21">
        <v>947.67</v>
      </c>
    </row>
    <row r="11586" spans="1:8" customFormat="1" x14ac:dyDescent="0.25">
      <c r="A11586" t="str">
        <f>"1419170"</f>
        <v>1419170</v>
      </c>
      <c r="B11586" t="s">
        <v>12225</v>
      </c>
      <c r="C11586" t="s">
        <v>82</v>
      </c>
      <c r="D11586" s="21" t="s">
        <v>34</v>
      </c>
      <c r="E11586" s="21" t="s">
        <v>71</v>
      </c>
      <c r="F11586">
        <v>9140156</v>
      </c>
      <c r="G11586" t="s">
        <v>645</v>
      </c>
      <c r="H11586" s="21">
        <v>947.67</v>
      </c>
    </row>
    <row r="11587" spans="1:8" customFormat="1" x14ac:dyDescent="0.25">
      <c r="A11587" t="str">
        <f>"5315628"</f>
        <v>5315628</v>
      </c>
      <c r="B11587" t="s">
        <v>8091</v>
      </c>
      <c r="C11587" t="s">
        <v>33</v>
      </c>
      <c r="D11587" s="21" t="s">
        <v>34</v>
      </c>
      <c r="E11587" s="21" t="s">
        <v>35</v>
      </c>
      <c r="F11587">
        <v>9610119</v>
      </c>
      <c r="G11587" t="s">
        <v>6655</v>
      </c>
      <c r="H11587" s="21">
        <v>947.67</v>
      </c>
    </row>
    <row r="11588" spans="1:8" customFormat="1" x14ac:dyDescent="0.25">
      <c r="A11588" t="str">
        <f>"91100"</f>
        <v>91100</v>
      </c>
      <c r="B11588" t="s">
        <v>10192</v>
      </c>
      <c r="C11588" t="s">
        <v>2479</v>
      </c>
      <c r="D11588" s="21" t="s">
        <v>34</v>
      </c>
      <c r="E11588" s="21" t="s">
        <v>254</v>
      </c>
      <c r="F11588">
        <v>8910102</v>
      </c>
      <c r="G11588" t="s">
        <v>3079</v>
      </c>
      <c r="H11588" s="21">
        <v>947.67</v>
      </c>
    </row>
    <row r="11589" spans="1:8" customFormat="1" x14ac:dyDescent="0.25">
      <c r="A11589" t="str">
        <f>"751753"</f>
        <v>751753</v>
      </c>
      <c r="B11589" t="s">
        <v>10640</v>
      </c>
      <c r="C11589" t="s">
        <v>2529</v>
      </c>
      <c r="D11589" s="21" t="s">
        <v>34</v>
      </c>
      <c r="E11589" s="21" t="s">
        <v>71</v>
      </c>
      <c r="F11589">
        <v>8751260</v>
      </c>
      <c r="G11589" t="s">
        <v>10641</v>
      </c>
      <c r="H11589" s="21">
        <v>947.67</v>
      </c>
    </row>
    <row r="11590" spans="1:8" customFormat="1" x14ac:dyDescent="0.25">
      <c r="A11590" t="str">
        <f>"614149"</f>
        <v>614149</v>
      </c>
      <c r="B11590" t="s">
        <v>2082</v>
      </c>
      <c r="C11590" t="s">
        <v>98</v>
      </c>
      <c r="D11590" s="21" t="s">
        <v>34</v>
      </c>
      <c r="E11590" s="21" t="s">
        <v>35</v>
      </c>
      <c r="F11590">
        <v>9610011</v>
      </c>
      <c r="G11590" t="s">
        <v>6031</v>
      </c>
      <c r="H11590" s="21">
        <v>947.5</v>
      </c>
    </row>
    <row r="11591" spans="1:8" customFormat="1" x14ac:dyDescent="0.25">
      <c r="A11591" t="str">
        <f>"3830944"</f>
        <v>3830944</v>
      </c>
      <c r="B11591" t="s">
        <v>12017</v>
      </c>
      <c r="C11591" t="s">
        <v>12018</v>
      </c>
      <c r="D11591" s="21" t="s">
        <v>34</v>
      </c>
      <c r="E11591" s="21" t="s">
        <v>71</v>
      </c>
      <c r="F11591">
        <v>1380056</v>
      </c>
      <c r="G11591" t="s">
        <v>846</v>
      </c>
      <c r="H11591" s="21">
        <v>947.42</v>
      </c>
    </row>
    <row r="11592" spans="1:8" customFormat="1" x14ac:dyDescent="0.25">
      <c r="A11592" t="str">
        <f>"5916154"</f>
        <v>5916154</v>
      </c>
      <c r="B11592" t="s">
        <v>11232</v>
      </c>
      <c r="C11592" t="s">
        <v>11233</v>
      </c>
      <c r="D11592" s="21" t="s">
        <v>34</v>
      </c>
      <c r="E11592" s="21" t="s">
        <v>35</v>
      </c>
      <c r="F11592">
        <v>7590069</v>
      </c>
      <c r="G11592" t="s">
        <v>7225</v>
      </c>
      <c r="H11592" s="21">
        <v>947.42</v>
      </c>
    </row>
    <row r="11593" spans="1:8" customFormat="1" x14ac:dyDescent="0.25">
      <c r="A11593" t="str">
        <f>"6919904"</f>
        <v>6919904</v>
      </c>
      <c r="B11593" t="s">
        <v>12642</v>
      </c>
      <c r="C11593" t="s">
        <v>311</v>
      </c>
      <c r="D11593" s="21" t="s">
        <v>34</v>
      </c>
      <c r="E11593" s="21" t="s">
        <v>35</v>
      </c>
      <c r="F11593">
        <v>1420160</v>
      </c>
      <c r="G11593" t="s">
        <v>5488</v>
      </c>
      <c r="H11593" s="21">
        <v>947.29</v>
      </c>
    </row>
    <row r="11594" spans="1:8" customFormat="1" x14ac:dyDescent="0.25">
      <c r="A11594" t="str">
        <f>"9516607"</f>
        <v>9516607</v>
      </c>
      <c r="B11594" t="s">
        <v>10044</v>
      </c>
      <c r="C11594" t="s">
        <v>20929</v>
      </c>
      <c r="D11594" s="21" t="s">
        <v>34</v>
      </c>
      <c r="E11594" s="21" t="s">
        <v>71</v>
      </c>
      <c r="F11594">
        <v>8950531</v>
      </c>
      <c r="G11594" t="s">
        <v>7983</v>
      </c>
      <c r="H11594" s="21">
        <v>947.29</v>
      </c>
    </row>
    <row r="11595" spans="1:8" customFormat="1" x14ac:dyDescent="0.25">
      <c r="A11595" t="str">
        <f>"554709"</f>
        <v>554709</v>
      </c>
      <c r="B11595" t="s">
        <v>8976</v>
      </c>
      <c r="C11595" t="s">
        <v>139</v>
      </c>
      <c r="D11595" s="21" t="s">
        <v>34</v>
      </c>
      <c r="E11595" s="21" t="s">
        <v>71</v>
      </c>
      <c r="F11595">
        <v>6550007</v>
      </c>
      <c r="G11595" t="s">
        <v>1688</v>
      </c>
      <c r="H11595" s="21">
        <v>947.17</v>
      </c>
    </row>
    <row r="11596" spans="1:8" customFormat="1" x14ac:dyDescent="0.25">
      <c r="A11596" t="str">
        <f>"3412"</f>
        <v>3412</v>
      </c>
      <c r="B11596" t="s">
        <v>10661</v>
      </c>
      <c r="C11596" t="s">
        <v>547</v>
      </c>
      <c r="D11596" s="21" t="s">
        <v>34</v>
      </c>
      <c r="E11596" s="21" t="s">
        <v>254</v>
      </c>
      <c r="F11596">
        <v>11340010</v>
      </c>
      <c r="G11596" t="s">
        <v>66</v>
      </c>
      <c r="H11596" s="21">
        <v>947.17</v>
      </c>
    </row>
    <row r="11597" spans="1:8" customFormat="1" x14ac:dyDescent="0.25">
      <c r="A11597" t="str">
        <f>"713619"</f>
        <v>713619</v>
      </c>
      <c r="B11597" t="s">
        <v>8791</v>
      </c>
      <c r="C11597" t="s">
        <v>453</v>
      </c>
      <c r="D11597" s="21" t="s">
        <v>34</v>
      </c>
      <c r="E11597" s="21" t="s">
        <v>254</v>
      </c>
      <c r="F11597">
        <v>2710041</v>
      </c>
      <c r="G11597" t="s">
        <v>389</v>
      </c>
      <c r="H11597" s="21">
        <v>947.17</v>
      </c>
    </row>
    <row r="11598" spans="1:8" customFormat="1" x14ac:dyDescent="0.25">
      <c r="A11598" t="str">
        <f>"766385"</f>
        <v>766385</v>
      </c>
      <c r="B11598" t="s">
        <v>6166</v>
      </c>
      <c r="C11598" t="s">
        <v>263</v>
      </c>
      <c r="D11598" s="21" t="s">
        <v>34</v>
      </c>
      <c r="E11598" s="21" t="s">
        <v>254</v>
      </c>
      <c r="F11598">
        <v>9760270</v>
      </c>
      <c r="G11598" t="s">
        <v>4167</v>
      </c>
      <c r="H11598" s="21">
        <v>947.17</v>
      </c>
    </row>
    <row r="11599" spans="1:8" customFormat="1" x14ac:dyDescent="0.25">
      <c r="A11599" t="str">
        <f>"137376"</f>
        <v>137376</v>
      </c>
      <c r="B11599" t="s">
        <v>10855</v>
      </c>
      <c r="C11599" t="s">
        <v>269</v>
      </c>
      <c r="D11599" s="21" t="s">
        <v>34</v>
      </c>
      <c r="E11599" s="21" t="s">
        <v>71</v>
      </c>
      <c r="F11599">
        <v>13130067</v>
      </c>
      <c r="G11599" t="s">
        <v>1420</v>
      </c>
      <c r="H11599" s="21">
        <v>947.17</v>
      </c>
    </row>
    <row r="11600" spans="1:8" customFormat="1" x14ac:dyDescent="0.25">
      <c r="A11600" t="str">
        <f>"3311851"</f>
        <v>3311851</v>
      </c>
      <c r="B11600" t="s">
        <v>9052</v>
      </c>
      <c r="C11600" t="s">
        <v>415</v>
      </c>
      <c r="D11600" s="21" t="s">
        <v>34</v>
      </c>
      <c r="E11600" s="21" t="s">
        <v>254</v>
      </c>
      <c r="F11600">
        <v>10330077</v>
      </c>
      <c r="G11600" t="s">
        <v>4274</v>
      </c>
      <c r="H11600" s="21">
        <v>947.17</v>
      </c>
    </row>
    <row r="11601" spans="1:8" customFormat="1" x14ac:dyDescent="0.25">
      <c r="A11601" t="str">
        <f>"681630"</f>
        <v>681630</v>
      </c>
      <c r="B11601" t="s">
        <v>8982</v>
      </c>
      <c r="C11601" t="s">
        <v>109</v>
      </c>
      <c r="D11601" s="21" t="s">
        <v>34</v>
      </c>
      <c r="E11601" s="21" t="s">
        <v>35</v>
      </c>
      <c r="F11601">
        <v>6680071</v>
      </c>
      <c r="G11601" t="s">
        <v>2899</v>
      </c>
      <c r="H11601" s="21">
        <v>947.17</v>
      </c>
    </row>
    <row r="11602" spans="1:8" customFormat="1" x14ac:dyDescent="0.25">
      <c r="A11602" t="str">
        <f>"322746"</f>
        <v>322746</v>
      </c>
      <c r="B11602" t="s">
        <v>10589</v>
      </c>
      <c r="C11602" t="s">
        <v>8546</v>
      </c>
      <c r="D11602" s="21" t="s">
        <v>34</v>
      </c>
      <c r="E11602" s="21" t="s">
        <v>35</v>
      </c>
      <c r="F11602">
        <v>11320042</v>
      </c>
      <c r="G11602" t="s">
        <v>234</v>
      </c>
      <c r="H11602" s="21">
        <v>947.17</v>
      </c>
    </row>
    <row r="11603" spans="1:8" customFormat="1" x14ac:dyDescent="0.25">
      <c r="A11603" t="str">
        <f>"3810246"</f>
        <v>3810246</v>
      </c>
      <c r="B11603" t="s">
        <v>11500</v>
      </c>
      <c r="C11603" t="s">
        <v>55</v>
      </c>
      <c r="D11603" s="21" t="s">
        <v>34</v>
      </c>
      <c r="E11603" s="21" t="s">
        <v>71</v>
      </c>
      <c r="F11603">
        <v>1380290</v>
      </c>
      <c r="G11603" t="s">
        <v>619</v>
      </c>
      <c r="H11603" s="21">
        <v>947.17</v>
      </c>
    </row>
    <row r="11604" spans="1:8" customFormat="1" x14ac:dyDescent="0.25">
      <c r="A11604" t="str">
        <f>"5916935"</f>
        <v>5916935</v>
      </c>
      <c r="B11604" t="s">
        <v>17721</v>
      </c>
      <c r="C11604" t="s">
        <v>43</v>
      </c>
      <c r="D11604" s="21" t="s">
        <v>34</v>
      </c>
      <c r="E11604" s="21" t="s">
        <v>35</v>
      </c>
      <c r="F11604">
        <v>7590048</v>
      </c>
      <c r="G11604" t="s">
        <v>4608</v>
      </c>
      <c r="H11604" s="21">
        <v>947.17</v>
      </c>
    </row>
    <row r="11605" spans="1:8" customFormat="1" x14ac:dyDescent="0.25">
      <c r="A11605" t="str">
        <f>"1412200"</f>
        <v>1412200</v>
      </c>
      <c r="B11605" t="s">
        <v>10697</v>
      </c>
      <c r="C11605" t="s">
        <v>119</v>
      </c>
      <c r="D11605" s="21" t="s">
        <v>34</v>
      </c>
      <c r="E11605" s="21" t="s">
        <v>35</v>
      </c>
      <c r="F11605">
        <v>9140055</v>
      </c>
      <c r="G11605" t="s">
        <v>344</v>
      </c>
      <c r="H11605" s="21">
        <v>947.17</v>
      </c>
    </row>
    <row r="11606" spans="1:8" customFormat="1" x14ac:dyDescent="0.25">
      <c r="A11606" t="str">
        <f>"7516774"</f>
        <v>7516774</v>
      </c>
      <c r="B11606" t="s">
        <v>10744</v>
      </c>
      <c r="C11606" t="s">
        <v>285</v>
      </c>
      <c r="D11606" s="21" t="s">
        <v>34</v>
      </c>
      <c r="E11606" s="21" t="s">
        <v>35</v>
      </c>
      <c r="F11606">
        <v>8751124</v>
      </c>
      <c r="G11606" t="s">
        <v>1481</v>
      </c>
      <c r="H11606" s="21">
        <v>947.04</v>
      </c>
    </row>
    <row r="11607" spans="1:8" customFormat="1" x14ac:dyDescent="0.25">
      <c r="A11607" t="str">
        <f>"7620290"</f>
        <v>7620290</v>
      </c>
      <c r="B11607" t="s">
        <v>8736</v>
      </c>
      <c r="C11607" t="s">
        <v>87</v>
      </c>
      <c r="D11607" s="21" t="s">
        <v>34</v>
      </c>
      <c r="E11607" s="21" t="s">
        <v>71</v>
      </c>
      <c r="F11607">
        <v>9760108</v>
      </c>
      <c r="G11607" t="s">
        <v>1636</v>
      </c>
      <c r="H11607" s="21">
        <v>947</v>
      </c>
    </row>
    <row r="11608" spans="1:8" customFormat="1" x14ac:dyDescent="0.25">
      <c r="A11608" t="str">
        <f>"9523497"</f>
        <v>9523497</v>
      </c>
      <c r="B11608" t="s">
        <v>67</v>
      </c>
      <c r="C11608" t="s">
        <v>2150</v>
      </c>
      <c r="D11608" s="21" t="s">
        <v>34</v>
      </c>
      <c r="E11608" s="21" t="s">
        <v>71</v>
      </c>
      <c r="F11608">
        <v>8951386</v>
      </c>
      <c r="G11608" t="s">
        <v>7765</v>
      </c>
      <c r="H11608" s="21">
        <v>946.79</v>
      </c>
    </row>
    <row r="11609" spans="1:8" customFormat="1" x14ac:dyDescent="0.25">
      <c r="A11609" t="str">
        <f>"1315258"</f>
        <v>1315258</v>
      </c>
      <c r="B11609" t="s">
        <v>11494</v>
      </c>
      <c r="C11609" t="s">
        <v>55</v>
      </c>
      <c r="D11609" s="21" t="s">
        <v>34</v>
      </c>
      <c r="E11609" s="21" t="s">
        <v>254</v>
      </c>
      <c r="F11609">
        <v>13830051</v>
      </c>
      <c r="G11609" t="s">
        <v>2031</v>
      </c>
      <c r="H11609" s="21">
        <v>946.67</v>
      </c>
    </row>
    <row r="11610" spans="1:8" customFormat="1" x14ac:dyDescent="0.25">
      <c r="A11610" t="str">
        <f>"9241128"</f>
        <v>9241128</v>
      </c>
      <c r="B11610" t="s">
        <v>11522</v>
      </c>
      <c r="C11610" t="s">
        <v>11523</v>
      </c>
      <c r="D11610" s="21" t="s">
        <v>34</v>
      </c>
      <c r="E11610" s="21" t="s">
        <v>71</v>
      </c>
      <c r="F11610">
        <v>8920309</v>
      </c>
      <c r="G11610" t="s">
        <v>1894</v>
      </c>
      <c r="H11610" s="21">
        <v>946.67</v>
      </c>
    </row>
    <row r="11611" spans="1:8" customFormat="1" x14ac:dyDescent="0.25">
      <c r="A11611" t="str">
        <f>"671792"</f>
        <v>671792</v>
      </c>
      <c r="B11611" t="s">
        <v>11853</v>
      </c>
      <c r="C11611" t="s">
        <v>3987</v>
      </c>
      <c r="D11611" s="21" t="s">
        <v>34</v>
      </c>
      <c r="E11611" s="21" t="s">
        <v>254</v>
      </c>
      <c r="F11611">
        <v>6670203</v>
      </c>
      <c r="G11611" t="s">
        <v>2371</v>
      </c>
      <c r="H11611" s="21">
        <v>946.67</v>
      </c>
    </row>
    <row r="11612" spans="1:8" customFormat="1" x14ac:dyDescent="0.25">
      <c r="A11612" t="str">
        <f>"4410667"</f>
        <v>4410667</v>
      </c>
      <c r="B11612" t="s">
        <v>9092</v>
      </c>
      <c r="C11612" t="s">
        <v>388</v>
      </c>
      <c r="D11612" s="21" t="s">
        <v>34</v>
      </c>
      <c r="E11612" s="21" t="s">
        <v>71</v>
      </c>
      <c r="F11612">
        <v>12440042</v>
      </c>
      <c r="G11612" t="s">
        <v>10312</v>
      </c>
      <c r="H11612" s="21">
        <v>946.67</v>
      </c>
    </row>
    <row r="11613" spans="1:8" customFormat="1" x14ac:dyDescent="0.25">
      <c r="A11613" t="str">
        <f>"385556"</f>
        <v>385556</v>
      </c>
      <c r="B11613" t="s">
        <v>11116</v>
      </c>
      <c r="C11613" t="s">
        <v>33</v>
      </c>
      <c r="D11613" s="21" t="s">
        <v>34</v>
      </c>
      <c r="E11613" s="21" t="s">
        <v>71</v>
      </c>
      <c r="F11613">
        <v>1380181</v>
      </c>
      <c r="G11613" t="s">
        <v>11117</v>
      </c>
      <c r="H11613" s="21">
        <v>946.67</v>
      </c>
    </row>
    <row r="11614" spans="1:8" customFormat="1" x14ac:dyDescent="0.25">
      <c r="A11614" t="str">
        <f>"112159"</f>
        <v>112159</v>
      </c>
      <c r="B11614" t="s">
        <v>2125</v>
      </c>
      <c r="C11614" t="s">
        <v>87</v>
      </c>
      <c r="D11614" s="21" t="s">
        <v>34</v>
      </c>
      <c r="E11614" s="21" t="s">
        <v>35</v>
      </c>
      <c r="F11614">
        <v>11660011</v>
      </c>
      <c r="G11614" t="s">
        <v>4641</v>
      </c>
      <c r="H11614" s="21">
        <v>946.67</v>
      </c>
    </row>
    <row r="11615" spans="1:8" customFormat="1" x14ac:dyDescent="0.25">
      <c r="A11615" t="str">
        <f>"561672"</f>
        <v>561672</v>
      </c>
      <c r="B11615" t="s">
        <v>10186</v>
      </c>
      <c r="C11615" t="s">
        <v>1887</v>
      </c>
      <c r="D11615" s="21" t="s">
        <v>34</v>
      </c>
      <c r="E11615" s="21" t="s">
        <v>71</v>
      </c>
      <c r="F11615">
        <v>3560060</v>
      </c>
      <c r="G11615" t="s">
        <v>8368</v>
      </c>
      <c r="H11615" s="21">
        <v>946.67</v>
      </c>
    </row>
    <row r="11616" spans="1:8" customFormat="1" x14ac:dyDescent="0.25">
      <c r="A11616" t="str">
        <f>"7510786"</f>
        <v>7510786</v>
      </c>
      <c r="B11616" t="s">
        <v>9927</v>
      </c>
      <c r="C11616" t="s">
        <v>462</v>
      </c>
      <c r="D11616" s="21" t="s">
        <v>34</v>
      </c>
      <c r="E11616" s="21" t="s">
        <v>35</v>
      </c>
      <c r="F11616">
        <v>4370132</v>
      </c>
      <c r="G11616" t="s">
        <v>2262</v>
      </c>
      <c r="H11616" s="21">
        <v>946.67</v>
      </c>
    </row>
    <row r="11617" spans="1:8" customFormat="1" x14ac:dyDescent="0.25">
      <c r="A11617" t="str">
        <f>"424228"</f>
        <v>424228</v>
      </c>
      <c r="B11617" t="s">
        <v>11789</v>
      </c>
      <c r="C11617" t="s">
        <v>206</v>
      </c>
      <c r="D11617" s="21" t="s">
        <v>34</v>
      </c>
      <c r="E11617" s="21" t="s">
        <v>35</v>
      </c>
      <c r="F11617">
        <v>1420112</v>
      </c>
      <c r="G11617" t="s">
        <v>5465</v>
      </c>
      <c r="H11617" s="21">
        <v>946.67</v>
      </c>
    </row>
    <row r="11618" spans="1:8" customFormat="1" x14ac:dyDescent="0.25">
      <c r="A11618" t="str">
        <f>"5929119"</f>
        <v>5929119</v>
      </c>
      <c r="B11618" t="s">
        <v>2218</v>
      </c>
      <c r="C11618" t="s">
        <v>2479</v>
      </c>
      <c r="D11618" s="21" t="s">
        <v>34</v>
      </c>
      <c r="E11618" s="21" t="s">
        <v>71</v>
      </c>
      <c r="F11618">
        <v>7590409</v>
      </c>
      <c r="G11618" t="s">
        <v>2228</v>
      </c>
      <c r="H11618" s="21">
        <v>946.67</v>
      </c>
    </row>
    <row r="11619" spans="1:8" customFormat="1" x14ac:dyDescent="0.25">
      <c r="A11619" t="str">
        <f>"46510"</f>
        <v>46510</v>
      </c>
      <c r="B11619" t="s">
        <v>6352</v>
      </c>
      <c r="C11619" t="s">
        <v>171</v>
      </c>
      <c r="D11619" s="21" t="s">
        <v>34</v>
      </c>
      <c r="E11619" s="21" t="s">
        <v>35</v>
      </c>
      <c r="F11619">
        <v>11820007</v>
      </c>
      <c r="G11619" t="s">
        <v>532</v>
      </c>
      <c r="H11619" s="21">
        <v>946.67</v>
      </c>
    </row>
    <row r="11620" spans="1:8" customFormat="1" x14ac:dyDescent="0.25">
      <c r="A11620" t="str">
        <f>"517378"</f>
        <v>517378</v>
      </c>
      <c r="B11620" t="s">
        <v>10492</v>
      </c>
      <c r="C11620" t="s">
        <v>879</v>
      </c>
      <c r="D11620" s="21" t="s">
        <v>34</v>
      </c>
      <c r="E11620" s="21" t="s">
        <v>254</v>
      </c>
      <c r="F11620">
        <v>7021010</v>
      </c>
      <c r="G11620" t="s">
        <v>10493</v>
      </c>
      <c r="H11620" s="21">
        <v>946.67</v>
      </c>
    </row>
    <row r="11621" spans="1:8" customFormat="1" x14ac:dyDescent="0.25">
      <c r="A11621" t="str">
        <f>"9516805"</f>
        <v>9516805</v>
      </c>
      <c r="B11621" t="s">
        <v>11014</v>
      </c>
      <c r="C11621" t="s">
        <v>65</v>
      </c>
      <c r="D11621" s="21" t="s">
        <v>34</v>
      </c>
      <c r="E11621" s="21" t="s">
        <v>35</v>
      </c>
      <c r="F11621">
        <v>8950088</v>
      </c>
      <c r="G11621" t="s">
        <v>11015</v>
      </c>
      <c r="H11621" s="21">
        <v>946.67</v>
      </c>
    </row>
    <row r="11622" spans="1:8" customFormat="1" x14ac:dyDescent="0.25">
      <c r="A11622" t="str">
        <f>"1710195"</f>
        <v>1710195</v>
      </c>
      <c r="B11622" t="s">
        <v>11003</v>
      </c>
      <c r="C11622" t="s">
        <v>528</v>
      </c>
      <c r="D11622" s="21" t="s">
        <v>34</v>
      </c>
      <c r="E11622" s="21" t="s">
        <v>71</v>
      </c>
      <c r="F11622">
        <v>10170026</v>
      </c>
      <c r="G11622" t="s">
        <v>4850</v>
      </c>
      <c r="H11622" s="21">
        <v>946.67</v>
      </c>
    </row>
    <row r="11623" spans="1:8" customFormat="1" x14ac:dyDescent="0.25">
      <c r="A11623" t="str">
        <f>"4413746"</f>
        <v>4413746</v>
      </c>
      <c r="B11623" t="s">
        <v>11843</v>
      </c>
      <c r="C11623" t="s">
        <v>144</v>
      </c>
      <c r="D11623" s="21" t="s">
        <v>34</v>
      </c>
      <c r="E11623" s="21" t="s">
        <v>71</v>
      </c>
      <c r="F11623">
        <v>12440013</v>
      </c>
      <c r="G11623" t="s">
        <v>9850</v>
      </c>
      <c r="H11623" s="21">
        <v>946.67</v>
      </c>
    </row>
    <row r="11624" spans="1:8" customFormat="1" x14ac:dyDescent="0.25">
      <c r="A11624" t="str">
        <f>"5324229"</f>
        <v>5324229</v>
      </c>
      <c r="B11624" t="s">
        <v>12298</v>
      </c>
      <c r="C11624" t="s">
        <v>49</v>
      </c>
      <c r="D11624" s="21" t="s">
        <v>34</v>
      </c>
      <c r="E11624" s="21" t="s">
        <v>35</v>
      </c>
      <c r="F11624">
        <v>12530067</v>
      </c>
      <c r="G11624" t="s">
        <v>11121</v>
      </c>
      <c r="H11624" s="21">
        <v>946.67</v>
      </c>
    </row>
    <row r="11625" spans="1:8" customFormat="1" x14ac:dyDescent="0.25">
      <c r="A11625" t="str">
        <f>"1310351"</f>
        <v>1310351</v>
      </c>
      <c r="B11625" t="s">
        <v>12496</v>
      </c>
      <c r="C11625" t="s">
        <v>267</v>
      </c>
      <c r="D11625" s="21" t="s">
        <v>34</v>
      </c>
      <c r="E11625" s="21" t="s">
        <v>71</v>
      </c>
      <c r="F11625">
        <v>13130026</v>
      </c>
      <c r="G11625" t="s">
        <v>3792</v>
      </c>
      <c r="H11625" s="21">
        <v>946.67</v>
      </c>
    </row>
    <row r="11626" spans="1:8" customFormat="1" x14ac:dyDescent="0.25">
      <c r="A11626" t="str">
        <f>"275627"</f>
        <v>275627</v>
      </c>
      <c r="B11626" t="s">
        <v>27210</v>
      </c>
      <c r="C11626" t="s">
        <v>320</v>
      </c>
      <c r="D11626" s="21" t="s">
        <v>34</v>
      </c>
      <c r="E11626" s="21" t="s">
        <v>35</v>
      </c>
      <c r="F11626">
        <v>9270156</v>
      </c>
      <c r="G11626" t="s">
        <v>3751</v>
      </c>
      <c r="H11626" s="21">
        <v>946.67</v>
      </c>
    </row>
    <row r="11627" spans="1:8" customFormat="1" x14ac:dyDescent="0.25">
      <c r="A11627" t="str">
        <f>"833938"</f>
        <v>833938</v>
      </c>
      <c r="B11627" t="s">
        <v>11114</v>
      </c>
      <c r="C11627" t="s">
        <v>233</v>
      </c>
      <c r="D11627" s="21" t="s">
        <v>34</v>
      </c>
      <c r="E11627" s="21" t="s">
        <v>35</v>
      </c>
      <c r="F11627">
        <v>13830031</v>
      </c>
      <c r="G11627" t="s">
        <v>8301</v>
      </c>
      <c r="H11627" s="21">
        <v>946.67</v>
      </c>
    </row>
    <row r="11628" spans="1:8" customFormat="1" x14ac:dyDescent="0.25">
      <c r="A11628" t="str">
        <f>"5969254"</f>
        <v>5969254</v>
      </c>
      <c r="B11628" t="s">
        <v>12582</v>
      </c>
      <c r="C11628" t="s">
        <v>169</v>
      </c>
      <c r="D11628" s="21" t="s">
        <v>34</v>
      </c>
      <c r="E11628" s="21" t="s">
        <v>35</v>
      </c>
      <c r="F11628">
        <v>7590080</v>
      </c>
      <c r="G11628" t="s">
        <v>1715</v>
      </c>
      <c r="H11628" s="21">
        <v>946.54</v>
      </c>
    </row>
    <row r="11629" spans="1:8" customFormat="1" x14ac:dyDescent="0.25">
      <c r="A11629" t="str">
        <f>"724792"</f>
        <v>724792</v>
      </c>
      <c r="B11629" t="s">
        <v>9224</v>
      </c>
      <c r="C11629" t="s">
        <v>119</v>
      </c>
      <c r="D11629" s="21" t="s">
        <v>34</v>
      </c>
      <c r="E11629" s="21" t="s">
        <v>71</v>
      </c>
      <c r="F11629">
        <v>12720041</v>
      </c>
      <c r="G11629" t="s">
        <v>4240</v>
      </c>
      <c r="H11629" s="21">
        <v>946.42</v>
      </c>
    </row>
    <row r="11630" spans="1:8" customFormat="1" x14ac:dyDescent="0.25">
      <c r="A11630" t="str">
        <f>"223656"</f>
        <v>223656</v>
      </c>
      <c r="B11630" t="s">
        <v>9250</v>
      </c>
      <c r="C11630" t="s">
        <v>119</v>
      </c>
      <c r="D11630" s="21" t="s">
        <v>34</v>
      </c>
      <c r="E11630" s="21" t="s">
        <v>35</v>
      </c>
      <c r="F11630">
        <v>3290005</v>
      </c>
      <c r="G11630" t="s">
        <v>1253</v>
      </c>
      <c r="H11630" s="21">
        <v>946.17</v>
      </c>
    </row>
    <row r="11631" spans="1:8" customFormat="1" x14ac:dyDescent="0.25">
      <c r="A11631" t="str">
        <f>"517936"</f>
        <v>517936</v>
      </c>
      <c r="B11631" t="s">
        <v>10788</v>
      </c>
      <c r="C11631" t="s">
        <v>55</v>
      </c>
      <c r="D11631" s="21" t="s">
        <v>34</v>
      </c>
      <c r="E11631" s="21" t="s">
        <v>71</v>
      </c>
      <c r="F11631">
        <v>6510077</v>
      </c>
      <c r="G11631" t="s">
        <v>756</v>
      </c>
      <c r="H11631" s="21">
        <v>946.17</v>
      </c>
    </row>
    <row r="11632" spans="1:8" customFormat="1" x14ac:dyDescent="0.25">
      <c r="A11632" t="str">
        <f>"3535239"</f>
        <v>3535239</v>
      </c>
      <c r="B11632" t="s">
        <v>2317</v>
      </c>
      <c r="C11632" t="s">
        <v>40</v>
      </c>
      <c r="D11632" s="21" t="s">
        <v>34</v>
      </c>
      <c r="E11632" s="21" t="s">
        <v>71</v>
      </c>
      <c r="F11632">
        <v>3350087</v>
      </c>
      <c r="G11632" t="s">
        <v>7430</v>
      </c>
      <c r="H11632" s="21">
        <v>946.17</v>
      </c>
    </row>
    <row r="11633" spans="1:8" customFormat="1" x14ac:dyDescent="0.25">
      <c r="A11633" t="str">
        <f>"9231447"</f>
        <v>9231447</v>
      </c>
      <c r="B11633" t="s">
        <v>10655</v>
      </c>
      <c r="C11633" t="s">
        <v>10656</v>
      </c>
      <c r="D11633" s="21" t="s">
        <v>34</v>
      </c>
      <c r="E11633" s="21" t="s">
        <v>254</v>
      </c>
      <c r="F11633">
        <v>8780447</v>
      </c>
      <c r="G11633" t="s">
        <v>9215</v>
      </c>
      <c r="H11633" s="21">
        <v>946.17</v>
      </c>
    </row>
    <row r="11634" spans="1:8" customFormat="1" x14ac:dyDescent="0.25">
      <c r="A11634" t="str">
        <f>"7716930"</f>
        <v>7716930</v>
      </c>
      <c r="B11634" t="s">
        <v>12881</v>
      </c>
      <c r="C11634" t="s">
        <v>12882</v>
      </c>
      <c r="D11634" s="21" t="s">
        <v>34</v>
      </c>
      <c r="E11634" s="21" t="s">
        <v>71</v>
      </c>
      <c r="F11634">
        <v>8771401</v>
      </c>
      <c r="G11634" t="s">
        <v>6636</v>
      </c>
      <c r="H11634" s="21">
        <v>946.17</v>
      </c>
    </row>
    <row r="11635" spans="1:8" customFormat="1" x14ac:dyDescent="0.25">
      <c r="A11635" t="str">
        <f>"7841505"</f>
        <v>7841505</v>
      </c>
      <c r="B11635" t="s">
        <v>2518</v>
      </c>
      <c r="C11635" t="s">
        <v>249</v>
      </c>
      <c r="D11635" s="21" t="s">
        <v>34</v>
      </c>
      <c r="E11635" s="21" t="s">
        <v>71</v>
      </c>
      <c r="F11635">
        <v>8780678</v>
      </c>
      <c r="G11635" t="s">
        <v>8556</v>
      </c>
      <c r="H11635" s="21">
        <v>946.17</v>
      </c>
    </row>
    <row r="11636" spans="1:8" customFormat="1" x14ac:dyDescent="0.25">
      <c r="A11636" t="str">
        <f>"8011752"</f>
        <v>8011752</v>
      </c>
      <c r="B11636" t="s">
        <v>8239</v>
      </c>
      <c r="C11636" t="s">
        <v>926</v>
      </c>
      <c r="D11636" s="21" t="s">
        <v>34</v>
      </c>
      <c r="E11636" s="21" t="s">
        <v>35</v>
      </c>
      <c r="F11636">
        <v>7800062</v>
      </c>
      <c r="G11636" t="s">
        <v>5176</v>
      </c>
      <c r="H11636" s="21">
        <v>946.17</v>
      </c>
    </row>
    <row r="11637" spans="1:8" customFormat="1" x14ac:dyDescent="0.25">
      <c r="A11637" t="str">
        <f>"213243"</f>
        <v>213243</v>
      </c>
      <c r="B11637" t="s">
        <v>10801</v>
      </c>
      <c r="C11637" t="s">
        <v>171</v>
      </c>
      <c r="D11637" s="21" t="s">
        <v>34</v>
      </c>
      <c r="E11637" s="21" t="s">
        <v>254</v>
      </c>
      <c r="F11637">
        <v>2210005</v>
      </c>
      <c r="G11637" t="s">
        <v>5020</v>
      </c>
      <c r="H11637" s="21">
        <v>946.17</v>
      </c>
    </row>
    <row r="11638" spans="1:8" customFormat="1" x14ac:dyDescent="0.25">
      <c r="A11638" t="str">
        <f>"618757"</f>
        <v>618757</v>
      </c>
      <c r="B11638" t="s">
        <v>12552</v>
      </c>
      <c r="C11638" t="s">
        <v>139</v>
      </c>
      <c r="D11638" s="21" t="s">
        <v>34</v>
      </c>
      <c r="E11638" s="21" t="s">
        <v>71</v>
      </c>
      <c r="F11638">
        <v>9610087</v>
      </c>
      <c r="G11638" t="s">
        <v>2661</v>
      </c>
      <c r="H11638" s="21">
        <v>946.17</v>
      </c>
    </row>
    <row r="11639" spans="1:8" customFormat="1" x14ac:dyDescent="0.25">
      <c r="A11639" t="str">
        <f>"911598"</f>
        <v>911598</v>
      </c>
      <c r="B11639" t="s">
        <v>10043</v>
      </c>
      <c r="C11639" t="s">
        <v>5861</v>
      </c>
      <c r="D11639" s="21" t="s">
        <v>34</v>
      </c>
      <c r="E11639" s="21" t="s">
        <v>6185</v>
      </c>
      <c r="F11639">
        <v>8911323</v>
      </c>
      <c r="G11639" t="s">
        <v>555</v>
      </c>
      <c r="H11639" s="21">
        <v>946.17</v>
      </c>
    </row>
    <row r="11640" spans="1:8" customFormat="1" x14ac:dyDescent="0.25">
      <c r="A11640" t="str">
        <f>"8011084"</f>
        <v>8011084</v>
      </c>
      <c r="B11640" t="s">
        <v>12749</v>
      </c>
      <c r="C11640" t="s">
        <v>12750</v>
      </c>
      <c r="D11640" s="21" t="s">
        <v>34</v>
      </c>
      <c r="E11640" s="21" t="s">
        <v>254</v>
      </c>
      <c r="F11640">
        <v>7800032</v>
      </c>
      <c r="G11640" t="s">
        <v>8629</v>
      </c>
      <c r="H11640" s="21">
        <v>946.17</v>
      </c>
    </row>
    <row r="11641" spans="1:8" customFormat="1" x14ac:dyDescent="0.25">
      <c r="A11641" t="str">
        <f>"4441344"</f>
        <v>4441344</v>
      </c>
      <c r="B11641" t="s">
        <v>11235</v>
      </c>
      <c r="C11641" t="s">
        <v>119</v>
      </c>
      <c r="D11641" s="21" t="s">
        <v>34</v>
      </c>
      <c r="E11641" s="21" t="s">
        <v>35</v>
      </c>
      <c r="F11641">
        <v>12440197</v>
      </c>
      <c r="G11641" t="s">
        <v>1101</v>
      </c>
      <c r="H11641" s="21">
        <v>946.17</v>
      </c>
    </row>
    <row r="11642" spans="1:8" customFormat="1" x14ac:dyDescent="0.25">
      <c r="A11642" t="str">
        <f>"4933634"</f>
        <v>4933634</v>
      </c>
      <c r="B11642" t="s">
        <v>12197</v>
      </c>
      <c r="C11642" t="s">
        <v>262</v>
      </c>
      <c r="D11642" s="21" t="s">
        <v>34</v>
      </c>
      <c r="E11642" s="21" t="s">
        <v>35</v>
      </c>
      <c r="F11642">
        <v>12490080</v>
      </c>
      <c r="G11642" t="s">
        <v>5692</v>
      </c>
      <c r="H11642" s="21">
        <v>946.17</v>
      </c>
    </row>
    <row r="11643" spans="1:8" customFormat="1" x14ac:dyDescent="0.25">
      <c r="A11643" t="str">
        <f>"831700"</f>
        <v>831700</v>
      </c>
      <c r="B11643" t="s">
        <v>27211</v>
      </c>
      <c r="C11643" t="s">
        <v>249</v>
      </c>
      <c r="D11643" s="21" t="s">
        <v>34</v>
      </c>
      <c r="E11643" s="21" t="s">
        <v>71</v>
      </c>
      <c r="F11643">
        <v>13060064</v>
      </c>
      <c r="G11643" t="s">
        <v>976</v>
      </c>
      <c r="H11643" s="21">
        <v>946.17</v>
      </c>
    </row>
    <row r="11644" spans="1:8" customFormat="1" x14ac:dyDescent="0.25">
      <c r="A11644" t="str">
        <f>"351029"</f>
        <v>351029</v>
      </c>
      <c r="B11644" t="s">
        <v>9094</v>
      </c>
      <c r="C11644" t="s">
        <v>269</v>
      </c>
      <c r="D11644" s="21" t="s">
        <v>34</v>
      </c>
      <c r="E11644" s="21" t="s">
        <v>71</v>
      </c>
      <c r="F11644">
        <v>3350041</v>
      </c>
      <c r="G11644" t="s">
        <v>1589</v>
      </c>
      <c r="H11644" s="21">
        <v>946.17</v>
      </c>
    </row>
    <row r="11645" spans="1:8" customFormat="1" x14ac:dyDescent="0.25">
      <c r="A11645" t="str">
        <f>"956604"</f>
        <v>956604</v>
      </c>
      <c r="B11645" t="s">
        <v>3146</v>
      </c>
      <c r="C11645" t="s">
        <v>469</v>
      </c>
      <c r="D11645" s="21" t="s">
        <v>34</v>
      </c>
      <c r="E11645" s="21" t="s">
        <v>254</v>
      </c>
      <c r="F11645">
        <v>8950479</v>
      </c>
      <c r="G11645" t="s">
        <v>728</v>
      </c>
      <c r="H11645" s="21">
        <v>946.17</v>
      </c>
    </row>
    <row r="11646" spans="1:8" customFormat="1" x14ac:dyDescent="0.25">
      <c r="A11646" t="str">
        <f>"454884"</f>
        <v>454884</v>
      </c>
      <c r="B11646" t="s">
        <v>9100</v>
      </c>
      <c r="C11646" t="s">
        <v>11163</v>
      </c>
      <c r="D11646" s="21" t="s">
        <v>34</v>
      </c>
      <c r="E11646" s="21" t="s">
        <v>71</v>
      </c>
      <c r="F11646">
        <v>4450757</v>
      </c>
      <c r="G11646" t="s">
        <v>3829</v>
      </c>
      <c r="H11646" s="21">
        <v>946.17</v>
      </c>
    </row>
    <row r="11647" spans="1:8" customFormat="1" x14ac:dyDescent="0.25">
      <c r="A11647" t="str">
        <f>"034237"</f>
        <v>034237</v>
      </c>
      <c r="B11647" t="s">
        <v>10398</v>
      </c>
      <c r="C11647" t="s">
        <v>209</v>
      </c>
      <c r="D11647" s="21" t="s">
        <v>34</v>
      </c>
      <c r="E11647" s="21" t="s">
        <v>35</v>
      </c>
      <c r="F11647">
        <v>1030308</v>
      </c>
      <c r="G11647" t="s">
        <v>1485</v>
      </c>
      <c r="H11647" s="21">
        <v>946.17</v>
      </c>
    </row>
    <row r="11648" spans="1:8" customFormat="1" x14ac:dyDescent="0.25">
      <c r="A11648" t="str">
        <f>"5012360"</f>
        <v>5012360</v>
      </c>
      <c r="B11648" t="s">
        <v>11101</v>
      </c>
      <c r="C11648" t="s">
        <v>269</v>
      </c>
      <c r="D11648" s="21" t="s">
        <v>34</v>
      </c>
      <c r="E11648" s="21" t="s">
        <v>71</v>
      </c>
      <c r="F11648">
        <v>9500159</v>
      </c>
      <c r="G11648" t="s">
        <v>11102</v>
      </c>
      <c r="H11648" s="21">
        <v>946.17</v>
      </c>
    </row>
    <row r="11649" spans="1:8" customFormat="1" x14ac:dyDescent="0.25">
      <c r="A11649" t="str">
        <f>"18208"</f>
        <v>18208</v>
      </c>
      <c r="B11649" t="s">
        <v>11670</v>
      </c>
      <c r="C11649" t="s">
        <v>55</v>
      </c>
      <c r="D11649" s="21" t="s">
        <v>34</v>
      </c>
      <c r="E11649" s="21" t="s">
        <v>71</v>
      </c>
      <c r="F11649">
        <v>10160010</v>
      </c>
      <c r="G11649" t="s">
        <v>5491</v>
      </c>
      <c r="H11649" s="21">
        <v>946.17</v>
      </c>
    </row>
    <row r="11650" spans="1:8" customFormat="1" x14ac:dyDescent="0.25">
      <c r="A11650" t="str">
        <f>"16594"</f>
        <v>16594</v>
      </c>
      <c r="B11650" t="s">
        <v>10177</v>
      </c>
      <c r="C11650" t="s">
        <v>121</v>
      </c>
      <c r="D11650" s="21" t="s">
        <v>34</v>
      </c>
      <c r="E11650" s="21" t="s">
        <v>254</v>
      </c>
      <c r="F11650">
        <v>10160040</v>
      </c>
      <c r="G11650" t="s">
        <v>1131</v>
      </c>
      <c r="H11650" s="21">
        <v>946.17</v>
      </c>
    </row>
    <row r="11651" spans="1:8" customFormat="1" x14ac:dyDescent="0.25">
      <c r="A11651" t="str">
        <f>"2718765"</f>
        <v>2718765</v>
      </c>
      <c r="B11651" t="s">
        <v>7330</v>
      </c>
      <c r="C11651" t="s">
        <v>43</v>
      </c>
      <c r="D11651" s="21" t="s">
        <v>34</v>
      </c>
      <c r="E11651" s="21" t="s">
        <v>35</v>
      </c>
      <c r="F11651">
        <v>9760351</v>
      </c>
      <c r="G11651" t="s">
        <v>5898</v>
      </c>
      <c r="H11651" s="21">
        <v>946.04</v>
      </c>
    </row>
    <row r="11652" spans="1:8" customFormat="1" x14ac:dyDescent="0.25">
      <c r="A11652" t="str">
        <f>"9442753"</f>
        <v>9442753</v>
      </c>
      <c r="B11652" t="s">
        <v>623</v>
      </c>
      <c r="C11652" t="s">
        <v>114</v>
      </c>
      <c r="D11652" s="21" t="s">
        <v>34</v>
      </c>
      <c r="E11652" s="21" t="s">
        <v>35</v>
      </c>
      <c r="F11652">
        <v>8941180</v>
      </c>
      <c r="G11652" t="s">
        <v>5544</v>
      </c>
      <c r="H11652" s="21">
        <v>945.92</v>
      </c>
    </row>
    <row r="11653" spans="1:8" customFormat="1" x14ac:dyDescent="0.25">
      <c r="A11653" t="str">
        <f>"9744891"</f>
        <v>9744891</v>
      </c>
      <c r="B11653" t="s">
        <v>10327</v>
      </c>
      <c r="C11653" t="s">
        <v>10328</v>
      </c>
      <c r="D11653" s="21" t="s">
        <v>34</v>
      </c>
      <c r="E11653" s="21" t="s">
        <v>35</v>
      </c>
      <c r="F11653" t="s">
        <v>1458</v>
      </c>
      <c r="G11653" t="s">
        <v>1459</v>
      </c>
      <c r="H11653" s="21">
        <v>945.92</v>
      </c>
    </row>
    <row r="11654" spans="1:8" customFormat="1" x14ac:dyDescent="0.25">
      <c r="A11654" t="str">
        <f>"3413759"</f>
        <v>3413759</v>
      </c>
      <c r="B11654" t="s">
        <v>12960</v>
      </c>
      <c r="C11654" t="s">
        <v>263</v>
      </c>
      <c r="D11654" s="21" t="s">
        <v>34</v>
      </c>
      <c r="E11654" s="21" t="s">
        <v>35</v>
      </c>
      <c r="F11654">
        <v>11300010</v>
      </c>
      <c r="G11654" t="s">
        <v>6282</v>
      </c>
      <c r="H11654" s="21">
        <v>945.79</v>
      </c>
    </row>
    <row r="11655" spans="1:8" customFormat="1" x14ac:dyDescent="0.25">
      <c r="A11655" t="str">
        <f>"375378"</f>
        <v>375378</v>
      </c>
      <c r="B11655" t="s">
        <v>12389</v>
      </c>
      <c r="C11655" t="s">
        <v>269</v>
      </c>
      <c r="D11655" s="21" t="s">
        <v>34</v>
      </c>
      <c r="E11655" s="21" t="s">
        <v>71</v>
      </c>
      <c r="F11655">
        <v>4370533</v>
      </c>
      <c r="G11655" t="s">
        <v>10553</v>
      </c>
      <c r="H11655" s="21">
        <v>945.67</v>
      </c>
    </row>
    <row r="11656" spans="1:8" customFormat="1" x14ac:dyDescent="0.25">
      <c r="A11656" t="str">
        <f>"6229333"</f>
        <v>6229333</v>
      </c>
      <c r="B11656" t="s">
        <v>7483</v>
      </c>
      <c r="C11656" t="s">
        <v>60</v>
      </c>
      <c r="D11656" s="21" t="s">
        <v>34</v>
      </c>
      <c r="E11656" s="21" t="s">
        <v>71</v>
      </c>
      <c r="F11656">
        <v>7620177</v>
      </c>
      <c r="G11656" t="s">
        <v>11932</v>
      </c>
      <c r="H11656" s="21">
        <v>945.67</v>
      </c>
    </row>
    <row r="11657" spans="1:8" customFormat="1" x14ac:dyDescent="0.25">
      <c r="A11657" t="str">
        <f>"5610284"</f>
        <v>5610284</v>
      </c>
      <c r="B11657" t="s">
        <v>9255</v>
      </c>
      <c r="C11657" t="s">
        <v>263</v>
      </c>
      <c r="D11657" s="21" t="s">
        <v>34</v>
      </c>
      <c r="E11657" s="21" t="s">
        <v>71</v>
      </c>
      <c r="F11657">
        <v>3560091</v>
      </c>
      <c r="G11657" t="s">
        <v>27212</v>
      </c>
      <c r="H11657" s="21">
        <v>945.67</v>
      </c>
    </row>
    <row r="11658" spans="1:8" customFormat="1" x14ac:dyDescent="0.25">
      <c r="A11658" t="str">
        <f>"424220"</f>
        <v>424220</v>
      </c>
      <c r="B11658" t="s">
        <v>14428</v>
      </c>
      <c r="C11658" t="s">
        <v>169</v>
      </c>
      <c r="D11658" s="21" t="s">
        <v>34</v>
      </c>
      <c r="E11658" s="21" t="s">
        <v>35</v>
      </c>
      <c r="F11658">
        <v>1420078</v>
      </c>
      <c r="G11658" t="s">
        <v>4287</v>
      </c>
      <c r="H11658" s="21">
        <v>945.67</v>
      </c>
    </row>
    <row r="11659" spans="1:8" customFormat="1" x14ac:dyDescent="0.25">
      <c r="A11659" t="str">
        <f>"3711940"</f>
        <v>3711940</v>
      </c>
      <c r="B11659" t="s">
        <v>11793</v>
      </c>
      <c r="C11659" t="s">
        <v>269</v>
      </c>
      <c r="D11659" s="21" t="s">
        <v>34</v>
      </c>
      <c r="E11659" s="21" t="s">
        <v>71</v>
      </c>
      <c r="F11659">
        <v>4370478</v>
      </c>
      <c r="G11659" t="s">
        <v>4735</v>
      </c>
      <c r="H11659" s="21">
        <v>945.67</v>
      </c>
    </row>
    <row r="11660" spans="1:8" customFormat="1" x14ac:dyDescent="0.25">
      <c r="A11660" t="str">
        <f>"4910218"</f>
        <v>4910218</v>
      </c>
      <c r="B11660" t="s">
        <v>10186</v>
      </c>
      <c r="C11660" t="s">
        <v>253</v>
      </c>
      <c r="D11660" s="21" t="s">
        <v>34</v>
      </c>
      <c r="E11660" s="21" t="s">
        <v>1089</v>
      </c>
      <c r="F11660">
        <v>12490037</v>
      </c>
      <c r="G11660" t="s">
        <v>8892</v>
      </c>
      <c r="H11660" s="21">
        <v>945.67</v>
      </c>
    </row>
    <row r="11661" spans="1:8" customFormat="1" x14ac:dyDescent="0.25">
      <c r="A11661" t="str">
        <f>"568361"</f>
        <v>568361</v>
      </c>
      <c r="B11661" t="s">
        <v>1886</v>
      </c>
      <c r="C11661" t="s">
        <v>109</v>
      </c>
      <c r="D11661" s="21" t="s">
        <v>34</v>
      </c>
      <c r="E11661" s="21" t="s">
        <v>71</v>
      </c>
      <c r="F11661">
        <v>3560012</v>
      </c>
      <c r="G11661" t="s">
        <v>3857</v>
      </c>
      <c r="H11661" s="21">
        <v>945.67</v>
      </c>
    </row>
    <row r="11662" spans="1:8" customFormat="1" x14ac:dyDescent="0.25">
      <c r="A11662" t="str">
        <f>"6213591"</f>
        <v>6213591</v>
      </c>
      <c r="B11662" t="s">
        <v>10025</v>
      </c>
      <c r="C11662" t="s">
        <v>415</v>
      </c>
      <c r="D11662" s="21" t="s">
        <v>34</v>
      </c>
      <c r="E11662" s="21" t="s">
        <v>1089</v>
      </c>
      <c r="F11662">
        <v>7620036</v>
      </c>
      <c r="G11662" t="s">
        <v>8154</v>
      </c>
      <c r="H11662" s="21">
        <v>945.67</v>
      </c>
    </row>
    <row r="11663" spans="1:8" customFormat="1" x14ac:dyDescent="0.25">
      <c r="A11663" t="str">
        <f>"19724"</f>
        <v>19724</v>
      </c>
      <c r="B11663" t="s">
        <v>1098</v>
      </c>
      <c r="C11663" t="s">
        <v>453</v>
      </c>
      <c r="D11663" s="21" t="s">
        <v>34</v>
      </c>
      <c r="E11663" s="21" t="s">
        <v>71</v>
      </c>
      <c r="F11663">
        <v>10190096</v>
      </c>
      <c r="G11663" t="s">
        <v>3949</v>
      </c>
      <c r="H11663" s="21">
        <v>945.67</v>
      </c>
    </row>
    <row r="11664" spans="1:8" customFormat="1" x14ac:dyDescent="0.25">
      <c r="A11664" t="str">
        <f>"921447"</f>
        <v>921447</v>
      </c>
      <c r="B11664" t="s">
        <v>1133</v>
      </c>
      <c r="C11664" t="s">
        <v>598</v>
      </c>
      <c r="D11664" s="21" t="s">
        <v>34</v>
      </c>
      <c r="E11664" s="21" t="s">
        <v>254</v>
      </c>
      <c r="F11664">
        <v>8920140</v>
      </c>
      <c r="G11664" t="s">
        <v>3762</v>
      </c>
      <c r="H11664" s="21">
        <v>945.67</v>
      </c>
    </row>
    <row r="11665" spans="1:8" customFormat="1" x14ac:dyDescent="0.25">
      <c r="A11665" t="str">
        <f>"29225"</f>
        <v>29225</v>
      </c>
      <c r="B11665" t="s">
        <v>9761</v>
      </c>
      <c r="C11665" t="s">
        <v>812</v>
      </c>
      <c r="D11665" s="21" t="s">
        <v>34</v>
      </c>
      <c r="E11665" s="21" t="s">
        <v>254</v>
      </c>
      <c r="F11665">
        <v>3290205</v>
      </c>
      <c r="G11665" t="s">
        <v>26882</v>
      </c>
      <c r="H11665" s="21">
        <v>945.67</v>
      </c>
    </row>
    <row r="11666" spans="1:8" customFormat="1" x14ac:dyDescent="0.25">
      <c r="A11666" t="str">
        <f>"595093"</f>
        <v>595093</v>
      </c>
      <c r="B11666" t="s">
        <v>10401</v>
      </c>
      <c r="C11666" t="s">
        <v>144</v>
      </c>
      <c r="D11666" s="21" t="s">
        <v>34</v>
      </c>
      <c r="E11666" s="21" t="s">
        <v>35</v>
      </c>
      <c r="F11666">
        <v>7590332</v>
      </c>
      <c r="G11666" t="s">
        <v>6094</v>
      </c>
      <c r="H11666" s="21">
        <v>945.67</v>
      </c>
    </row>
    <row r="11667" spans="1:8" customFormat="1" x14ac:dyDescent="0.25">
      <c r="A11667" t="str">
        <f>"686616"</f>
        <v>686616</v>
      </c>
      <c r="B11667" t="s">
        <v>10574</v>
      </c>
      <c r="C11667" t="s">
        <v>469</v>
      </c>
      <c r="D11667" s="21" t="s">
        <v>34</v>
      </c>
      <c r="E11667" s="21" t="s">
        <v>71</v>
      </c>
      <c r="F11667">
        <v>6680139</v>
      </c>
      <c r="G11667" t="s">
        <v>8652</v>
      </c>
      <c r="H11667" s="21">
        <v>945.67</v>
      </c>
    </row>
    <row r="11668" spans="1:8" customFormat="1" x14ac:dyDescent="0.25">
      <c r="A11668" t="str">
        <f>"729631"</f>
        <v>729631</v>
      </c>
      <c r="B11668" t="s">
        <v>11073</v>
      </c>
      <c r="C11668" t="s">
        <v>62</v>
      </c>
      <c r="D11668" s="21" t="s">
        <v>34</v>
      </c>
      <c r="E11668" s="21" t="s">
        <v>35</v>
      </c>
      <c r="F11668">
        <v>12720023</v>
      </c>
      <c r="G11668" t="s">
        <v>1898</v>
      </c>
      <c r="H11668" s="21">
        <v>945.67</v>
      </c>
    </row>
    <row r="11669" spans="1:8" customFormat="1" x14ac:dyDescent="0.25">
      <c r="A11669" t="str">
        <f>"7837243"</f>
        <v>7837243</v>
      </c>
      <c r="B11669" t="s">
        <v>9736</v>
      </c>
      <c r="C11669" t="s">
        <v>40</v>
      </c>
      <c r="D11669" s="21" t="s">
        <v>34</v>
      </c>
      <c r="E11669" s="21" t="s">
        <v>71</v>
      </c>
      <c r="F11669">
        <v>8780016</v>
      </c>
      <c r="G11669" t="s">
        <v>3153</v>
      </c>
      <c r="H11669" s="21">
        <v>945.55</v>
      </c>
    </row>
    <row r="11670" spans="1:8" customFormat="1" x14ac:dyDescent="0.25">
      <c r="A11670" t="str">
        <f>"5413720"</f>
        <v>5413720</v>
      </c>
      <c r="B11670" t="s">
        <v>11524</v>
      </c>
      <c r="C11670" t="s">
        <v>209</v>
      </c>
      <c r="D11670" s="21" t="s">
        <v>34</v>
      </c>
      <c r="E11670" s="21" t="s">
        <v>254</v>
      </c>
      <c r="F11670">
        <v>6540199</v>
      </c>
      <c r="G11670" t="s">
        <v>8888</v>
      </c>
      <c r="H11670" s="21">
        <v>945.54</v>
      </c>
    </row>
    <row r="11671" spans="1:8" customFormat="1" x14ac:dyDescent="0.25">
      <c r="A11671" t="str">
        <f>"943003"</f>
        <v>943003</v>
      </c>
      <c r="B11671" t="s">
        <v>11035</v>
      </c>
      <c r="C11671" t="s">
        <v>253</v>
      </c>
      <c r="D11671" s="21" t="s">
        <v>34</v>
      </c>
      <c r="E11671" s="21" t="s">
        <v>1089</v>
      </c>
      <c r="F11671">
        <v>8940012</v>
      </c>
      <c r="G11671" t="s">
        <v>1648</v>
      </c>
      <c r="H11671" s="21">
        <v>945.54</v>
      </c>
    </row>
    <row r="11672" spans="1:8" customFormat="1" x14ac:dyDescent="0.25">
      <c r="A11672" t="str">
        <f>"7519832"</f>
        <v>7519832</v>
      </c>
      <c r="B11672" t="s">
        <v>10577</v>
      </c>
      <c r="C11672" t="s">
        <v>109</v>
      </c>
      <c r="D11672" s="21" t="s">
        <v>34</v>
      </c>
      <c r="E11672" s="21" t="s">
        <v>71</v>
      </c>
      <c r="F11672">
        <v>8750100</v>
      </c>
      <c r="G11672" t="s">
        <v>10521</v>
      </c>
      <c r="H11672" s="21">
        <v>945.42</v>
      </c>
    </row>
    <row r="11673" spans="1:8" customFormat="1" x14ac:dyDescent="0.25">
      <c r="A11673" t="str">
        <f>"781666"</f>
        <v>781666</v>
      </c>
      <c r="B11673" t="s">
        <v>2386</v>
      </c>
      <c r="C11673" t="s">
        <v>302</v>
      </c>
      <c r="D11673" s="21" t="s">
        <v>34</v>
      </c>
      <c r="E11673" s="21" t="s">
        <v>71</v>
      </c>
      <c r="F11673">
        <v>8780674</v>
      </c>
      <c r="G11673" t="s">
        <v>26585</v>
      </c>
      <c r="H11673" s="21">
        <v>945.29</v>
      </c>
    </row>
    <row r="11674" spans="1:8" customFormat="1" x14ac:dyDescent="0.25">
      <c r="A11674" t="str">
        <f>"5019443"</f>
        <v>5019443</v>
      </c>
      <c r="B11674" t="s">
        <v>9336</v>
      </c>
      <c r="C11674" t="s">
        <v>119</v>
      </c>
      <c r="D11674" s="21" t="s">
        <v>34</v>
      </c>
      <c r="E11674" s="21" t="s">
        <v>71</v>
      </c>
      <c r="F11674">
        <v>9500030</v>
      </c>
      <c r="G11674" t="s">
        <v>2166</v>
      </c>
      <c r="H11674" s="21">
        <v>945.17</v>
      </c>
    </row>
    <row r="11675" spans="1:8" customFormat="1" x14ac:dyDescent="0.25">
      <c r="A11675" t="str">
        <f>"9143427"</f>
        <v>9143427</v>
      </c>
      <c r="B11675" t="s">
        <v>6324</v>
      </c>
      <c r="C11675" t="s">
        <v>139</v>
      </c>
      <c r="D11675" s="21" t="s">
        <v>34</v>
      </c>
      <c r="E11675" s="21" t="s">
        <v>35</v>
      </c>
      <c r="F11675">
        <v>4280617</v>
      </c>
      <c r="G11675" t="s">
        <v>8540</v>
      </c>
      <c r="H11675" s="21">
        <v>945.17</v>
      </c>
    </row>
    <row r="11676" spans="1:8" customFormat="1" x14ac:dyDescent="0.25">
      <c r="A11676" t="str">
        <f>"271053"</f>
        <v>271053</v>
      </c>
      <c r="B11676" t="s">
        <v>14073</v>
      </c>
      <c r="C11676" t="s">
        <v>267</v>
      </c>
      <c r="D11676" s="21" t="s">
        <v>34</v>
      </c>
      <c r="E11676" s="21" t="s">
        <v>1089</v>
      </c>
      <c r="F11676">
        <v>9270152</v>
      </c>
      <c r="G11676" t="s">
        <v>1985</v>
      </c>
      <c r="H11676" s="21">
        <v>945.17</v>
      </c>
    </row>
    <row r="11677" spans="1:8" customFormat="1" x14ac:dyDescent="0.25">
      <c r="A11677" t="str">
        <f>"2710229"</f>
        <v>2710229</v>
      </c>
      <c r="B11677" t="s">
        <v>3750</v>
      </c>
      <c r="C11677" t="s">
        <v>60</v>
      </c>
      <c r="D11677" s="21" t="s">
        <v>34</v>
      </c>
      <c r="E11677" s="21" t="s">
        <v>35</v>
      </c>
      <c r="F11677">
        <v>9270177</v>
      </c>
      <c r="G11677" t="s">
        <v>10384</v>
      </c>
      <c r="H11677" s="21">
        <v>945.17</v>
      </c>
    </row>
    <row r="11678" spans="1:8" customFormat="1" x14ac:dyDescent="0.25">
      <c r="A11678" t="str">
        <f>"9116148"</f>
        <v>9116148</v>
      </c>
      <c r="B11678" t="s">
        <v>10045</v>
      </c>
      <c r="C11678" t="s">
        <v>2168</v>
      </c>
      <c r="D11678" s="21" t="s">
        <v>34</v>
      </c>
      <c r="E11678" s="21" t="s">
        <v>35</v>
      </c>
      <c r="F11678">
        <v>8911083</v>
      </c>
      <c r="G11678" t="s">
        <v>7357</v>
      </c>
      <c r="H11678" s="21">
        <v>945.17</v>
      </c>
    </row>
    <row r="11679" spans="1:8" customFormat="1" x14ac:dyDescent="0.25">
      <c r="A11679" t="str">
        <f>"636862"</f>
        <v>636862</v>
      </c>
      <c r="B11679" t="s">
        <v>10986</v>
      </c>
      <c r="C11679" t="s">
        <v>1271</v>
      </c>
      <c r="D11679" s="21" t="s">
        <v>34</v>
      </c>
      <c r="E11679" s="21" t="s">
        <v>254</v>
      </c>
      <c r="F11679">
        <v>1630078</v>
      </c>
      <c r="G11679" t="s">
        <v>326</v>
      </c>
      <c r="H11679" s="21">
        <v>945.17</v>
      </c>
    </row>
    <row r="11680" spans="1:8" customFormat="1" x14ac:dyDescent="0.25">
      <c r="A11680" t="str">
        <f>"271272"</f>
        <v>271272</v>
      </c>
      <c r="B11680" t="s">
        <v>577</v>
      </c>
      <c r="C11680" t="s">
        <v>253</v>
      </c>
      <c r="D11680" s="21" t="s">
        <v>34</v>
      </c>
      <c r="E11680" s="21" t="s">
        <v>254</v>
      </c>
      <c r="F11680">
        <v>9270112</v>
      </c>
      <c r="G11680" t="s">
        <v>5124</v>
      </c>
      <c r="H11680" s="21">
        <v>945.17</v>
      </c>
    </row>
    <row r="11681" spans="1:8" customFormat="1" x14ac:dyDescent="0.25">
      <c r="A11681" t="str">
        <f>"627936"</f>
        <v>627936</v>
      </c>
      <c r="B11681" t="s">
        <v>11180</v>
      </c>
      <c r="C11681" t="s">
        <v>1812</v>
      </c>
      <c r="D11681" s="21" t="s">
        <v>34</v>
      </c>
      <c r="E11681" s="21" t="s">
        <v>71</v>
      </c>
      <c r="F11681">
        <v>7620032</v>
      </c>
      <c r="G11681" t="s">
        <v>11181</v>
      </c>
      <c r="H11681" s="21">
        <v>945.17</v>
      </c>
    </row>
    <row r="11682" spans="1:8" customFormat="1" x14ac:dyDescent="0.25">
      <c r="A11682" t="str">
        <f>"902733"</f>
        <v>902733</v>
      </c>
      <c r="B11682" t="s">
        <v>10909</v>
      </c>
      <c r="C11682" t="s">
        <v>130</v>
      </c>
      <c r="D11682" s="21" t="s">
        <v>34</v>
      </c>
      <c r="E11682" s="21" t="s">
        <v>71</v>
      </c>
      <c r="F11682">
        <v>2900046</v>
      </c>
      <c r="G11682" t="s">
        <v>4101</v>
      </c>
      <c r="H11682" s="21">
        <v>945.17</v>
      </c>
    </row>
    <row r="11683" spans="1:8" customFormat="1" x14ac:dyDescent="0.25">
      <c r="A11683" t="str">
        <f>"253502"</f>
        <v>253502</v>
      </c>
      <c r="B11683" t="s">
        <v>10383</v>
      </c>
      <c r="C11683" t="s">
        <v>2475</v>
      </c>
      <c r="D11683" s="21" t="s">
        <v>34</v>
      </c>
      <c r="E11683" s="21" t="s">
        <v>35</v>
      </c>
      <c r="F11683">
        <v>2250162</v>
      </c>
      <c r="G11683" t="s">
        <v>7388</v>
      </c>
      <c r="H11683" s="21">
        <v>945.17</v>
      </c>
    </row>
    <row r="11684" spans="1:8" customFormat="1" x14ac:dyDescent="0.25">
      <c r="A11684" t="str">
        <f>"6927384"</f>
        <v>6927384</v>
      </c>
      <c r="B11684" t="s">
        <v>12696</v>
      </c>
      <c r="C11684" t="s">
        <v>209</v>
      </c>
      <c r="D11684" s="21" t="s">
        <v>34</v>
      </c>
      <c r="E11684" s="21" t="s">
        <v>71</v>
      </c>
      <c r="F11684">
        <v>1690107</v>
      </c>
      <c r="G11684" t="s">
        <v>4163</v>
      </c>
      <c r="H11684" s="21">
        <v>945.17</v>
      </c>
    </row>
    <row r="11685" spans="1:8" customFormat="1" x14ac:dyDescent="0.25">
      <c r="A11685" t="str">
        <f>"2110047"</f>
        <v>2110047</v>
      </c>
      <c r="B11685" t="s">
        <v>185</v>
      </c>
      <c r="C11685" t="s">
        <v>27213</v>
      </c>
      <c r="D11685" s="21" t="s">
        <v>34</v>
      </c>
      <c r="E11685" s="21" t="s">
        <v>35</v>
      </c>
      <c r="F11685">
        <v>2210081</v>
      </c>
      <c r="G11685" t="s">
        <v>1365</v>
      </c>
      <c r="H11685" s="21">
        <v>945.04</v>
      </c>
    </row>
    <row r="11686" spans="1:8" customFormat="1" x14ac:dyDescent="0.25">
      <c r="A11686" t="str">
        <f>"512459"</f>
        <v>512459</v>
      </c>
      <c r="B11686" t="s">
        <v>3559</v>
      </c>
      <c r="C11686" t="s">
        <v>239</v>
      </c>
      <c r="D11686" s="21" t="s">
        <v>34</v>
      </c>
      <c r="E11686" s="21" t="s">
        <v>71</v>
      </c>
      <c r="F11686">
        <v>6510061</v>
      </c>
      <c r="G11686" t="s">
        <v>7426</v>
      </c>
      <c r="H11686" s="21">
        <v>944.92</v>
      </c>
    </row>
    <row r="11687" spans="1:8" customFormat="1" x14ac:dyDescent="0.25">
      <c r="A11687" t="str">
        <f>"9133529"</f>
        <v>9133529</v>
      </c>
      <c r="B11687" t="s">
        <v>13255</v>
      </c>
      <c r="C11687" t="s">
        <v>209</v>
      </c>
      <c r="D11687" s="21" t="s">
        <v>34</v>
      </c>
      <c r="E11687" s="21" t="s">
        <v>71</v>
      </c>
      <c r="F11687">
        <v>8911323</v>
      </c>
      <c r="G11687" t="s">
        <v>555</v>
      </c>
      <c r="H11687" s="21">
        <v>944.92</v>
      </c>
    </row>
    <row r="11688" spans="1:8" customFormat="1" x14ac:dyDescent="0.25">
      <c r="A11688" t="str">
        <f>"9427139"</f>
        <v>9427139</v>
      </c>
      <c r="B11688" t="s">
        <v>10607</v>
      </c>
      <c r="C11688" t="s">
        <v>328</v>
      </c>
      <c r="D11688" s="21" t="s">
        <v>34</v>
      </c>
      <c r="E11688" s="21" t="s">
        <v>71</v>
      </c>
      <c r="F11688">
        <v>8940482</v>
      </c>
      <c r="G11688" t="s">
        <v>2560</v>
      </c>
      <c r="H11688" s="21">
        <v>944.92</v>
      </c>
    </row>
    <row r="11689" spans="1:8" customFormat="1" x14ac:dyDescent="0.25">
      <c r="A11689" t="str">
        <f>"5932063"</f>
        <v>5932063</v>
      </c>
      <c r="B11689" t="s">
        <v>12575</v>
      </c>
      <c r="C11689" t="s">
        <v>459</v>
      </c>
      <c r="D11689" s="21" t="s">
        <v>34</v>
      </c>
      <c r="E11689" s="21" t="s">
        <v>35</v>
      </c>
      <c r="F11689">
        <v>7590021</v>
      </c>
      <c r="G11689" t="s">
        <v>4910</v>
      </c>
      <c r="H11689" s="21">
        <v>944.92</v>
      </c>
    </row>
    <row r="11690" spans="1:8" customFormat="1" x14ac:dyDescent="0.25">
      <c r="A11690" t="str">
        <f>"6932550"</f>
        <v>6932550</v>
      </c>
      <c r="B11690" t="s">
        <v>1604</v>
      </c>
      <c r="C11690" t="s">
        <v>33</v>
      </c>
      <c r="D11690" s="21" t="s">
        <v>34</v>
      </c>
      <c r="E11690" s="21" t="s">
        <v>35</v>
      </c>
      <c r="F11690">
        <v>1010063</v>
      </c>
      <c r="G11690" t="s">
        <v>5215</v>
      </c>
      <c r="H11690" s="21">
        <v>944.92</v>
      </c>
    </row>
    <row r="11691" spans="1:8" customFormat="1" x14ac:dyDescent="0.25">
      <c r="A11691" t="str">
        <f>"775942"</f>
        <v>775942</v>
      </c>
      <c r="B11691" t="s">
        <v>12343</v>
      </c>
      <c r="C11691" t="s">
        <v>1146</v>
      </c>
      <c r="D11691" s="21" t="s">
        <v>34</v>
      </c>
      <c r="E11691" s="21" t="s">
        <v>1089</v>
      </c>
      <c r="F11691">
        <v>8770865</v>
      </c>
      <c r="G11691" t="s">
        <v>1426</v>
      </c>
      <c r="H11691" s="21">
        <v>944.67</v>
      </c>
    </row>
    <row r="11692" spans="1:8" customFormat="1" x14ac:dyDescent="0.25">
      <c r="A11692" t="str">
        <f>"537688"</f>
        <v>537688</v>
      </c>
      <c r="B11692" t="s">
        <v>9813</v>
      </c>
      <c r="C11692" t="s">
        <v>269</v>
      </c>
      <c r="D11692" s="21" t="s">
        <v>34</v>
      </c>
      <c r="E11692" s="21" t="s">
        <v>35</v>
      </c>
      <c r="F11692">
        <v>12530106</v>
      </c>
      <c r="G11692" t="s">
        <v>27079</v>
      </c>
      <c r="H11692" s="21">
        <v>944.67</v>
      </c>
    </row>
    <row r="11693" spans="1:8" customFormat="1" x14ac:dyDescent="0.25">
      <c r="A11693" t="str">
        <f>"6211023"</f>
        <v>6211023</v>
      </c>
      <c r="B11693" t="s">
        <v>10691</v>
      </c>
      <c r="C11693" t="s">
        <v>719</v>
      </c>
      <c r="D11693" s="21" t="s">
        <v>34</v>
      </c>
      <c r="E11693" s="21" t="s">
        <v>35</v>
      </c>
      <c r="F11693">
        <v>13840005</v>
      </c>
      <c r="G11693" t="s">
        <v>2145</v>
      </c>
      <c r="H11693" s="21">
        <v>944.67</v>
      </c>
    </row>
    <row r="11694" spans="1:8" customFormat="1" x14ac:dyDescent="0.25">
      <c r="A11694" t="str">
        <f>"6211033"</f>
        <v>6211033</v>
      </c>
      <c r="B11694" t="s">
        <v>12081</v>
      </c>
      <c r="C11694" t="s">
        <v>209</v>
      </c>
      <c r="D11694" s="21" t="s">
        <v>34</v>
      </c>
      <c r="E11694" s="21" t="s">
        <v>71</v>
      </c>
      <c r="F11694">
        <v>7620060</v>
      </c>
      <c r="G11694" t="s">
        <v>2179</v>
      </c>
      <c r="H11694" s="21">
        <v>944.67</v>
      </c>
    </row>
    <row r="11695" spans="1:8" customFormat="1" x14ac:dyDescent="0.25">
      <c r="A11695" t="str">
        <f>"414336"</f>
        <v>414336</v>
      </c>
      <c r="B11695" t="s">
        <v>1661</v>
      </c>
      <c r="C11695" t="s">
        <v>9626</v>
      </c>
      <c r="D11695" s="21" t="s">
        <v>34</v>
      </c>
      <c r="E11695" s="21" t="s">
        <v>254</v>
      </c>
      <c r="F11695">
        <v>4410080</v>
      </c>
      <c r="G11695" t="s">
        <v>135</v>
      </c>
      <c r="H11695" s="21">
        <v>944.67</v>
      </c>
    </row>
    <row r="11696" spans="1:8" customFormat="1" x14ac:dyDescent="0.25">
      <c r="A11696" t="str">
        <f>"2926"</f>
        <v>2926</v>
      </c>
      <c r="B11696" t="s">
        <v>9921</v>
      </c>
      <c r="C11696" t="s">
        <v>2322</v>
      </c>
      <c r="D11696" s="21" t="s">
        <v>34</v>
      </c>
      <c r="E11696" s="21" t="s">
        <v>71</v>
      </c>
      <c r="F11696">
        <v>3290244</v>
      </c>
      <c r="G11696" t="s">
        <v>573</v>
      </c>
      <c r="H11696" s="21">
        <v>944.67</v>
      </c>
    </row>
    <row r="11697" spans="1:8" customFormat="1" x14ac:dyDescent="0.25">
      <c r="A11697" t="str">
        <f>"8012642"</f>
        <v>8012642</v>
      </c>
      <c r="B11697" t="s">
        <v>11557</v>
      </c>
      <c r="C11697" t="s">
        <v>87</v>
      </c>
      <c r="D11697" s="21" t="s">
        <v>34</v>
      </c>
      <c r="E11697" s="21" t="s">
        <v>71</v>
      </c>
      <c r="F11697">
        <v>7800128</v>
      </c>
      <c r="G11697" t="s">
        <v>3147</v>
      </c>
      <c r="H11697" s="21">
        <v>944.67</v>
      </c>
    </row>
    <row r="11698" spans="1:8" customFormat="1" x14ac:dyDescent="0.25">
      <c r="A11698" t="str">
        <f>"77709"</f>
        <v>77709</v>
      </c>
      <c r="B11698" t="s">
        <v>4494</v>
      </c>
      <c r="C11698" t="s">
        <v>750</v>
      </c>
      <c r="D11698" s="21" t="s">
        <v>34</v>
      </c>
      <c r="E11698" s="21" t="s">
        <v>71</v>
      </c>
      <c r="F11698">
        <v>8771170</v>
      </c>
      <c r="G11698" t="s">
        <v>50</v>
      </c>
      <c r="H11698" s="21">
        <v>944.67</v>
      </c>
    </row>
    <row r="11699" spans="1:8" customFormat="1" x14ac:dyDescent="0.25">
      <c r="A11699" t="str">
        <f>"37494"</f>
        <v>37494</v>
      </c>
      <c r="B11699" t="s">
        <v>11127</v>
      </c>
      <c r="C11699" t="s">
        <v>2520</v>
      </c>
      <c r="D11699" s="21" t="s">
        <v>34</v>
      </c>
      <c r="E11699" s="21" t="s">
        <v>254</v>
      </c>
      <c r="F11699">
        <v>4370024</v>
      </c>
      <c r="G11699" t="s">
        <v>1718</v>
      </c>
      <c r="H11699" s="21">
        <v>944.67</v>
      </c>
    </row>
    <row r="11700" spans="1:8" customFormat="1" x14ac:dyDescent="0.25">
      <c r="A11700" t="str">
        <f>"40232"</f>
        <v>40232</v>
      </c>
      <c r="B11700" t="s">
        <v>11175</v>
      </c>
      <c r="C11700" t="s">
        <v>598</v>
      </c>
      <c r="D11700" s="21" t="s">
        <v>34</v>
      </c>
      <c r="E11700" s="21" t="s">
        <v>71</v>
      </c>
      <c r="F11700">
        <v>10400010</v>
      </c>
      <c r="G11700" t="s">
        <v>2446</v>
      </c>
      <c r="H11700" s="21">
        <v>944.67</v>
      </c>
    </row>
    <row r="11701" spans="1:8" customFormat="1" x14ac:dyDescent="0.25">
      <c r="A11701" t="str">
        <f>"6011011"</f>
        <v>6011011</v>
      </c>
      <c r="B11701" t="s">
        <v>9032</v>
      </c>
      <c r="C11701" t="s">
        <v>239</v>
      </c>
      <c r="D11701" s="21" t="s">
        <v>34</v>
      </c>
      <c r="E11701" s="21" t="s">
        <v>254</v>
      </c>
      <c r="F11701">
        <v>9760004</v>
      </c>
      <c r="G11701" t="s">
        <v>56</v>
      </c>
      <c r="H11701" s="21">
        <v>944.67</v>
      </c>
    </row>
    <row r="11702" spans="1:8" customFormat="1" x14ac:dyDescent="0.25">
      <c r="A11702" t="str">
        <f>"725123"</f>
        <v>725123</v>
      </c>
      <c r="B11702" t="s">
        <v>509</v>
      </c>
      <c r="C11702" t="s">
        <v>62</v>
      </c>
      <c r="D11702" s="21" t="s">
        <v>34</v>
      </c>
      <c r="E11702" s="21" t="s">
        <v>35</v>
      </c>
      <c r="F11702">
        <v>12720029</v>
      </c>
      <c r="G11702" t="s">
        <v>11575</v>
      </c>
      <c r="H11702" s="21">
        <v>944.67</v>
      </c>
    </row>
    <row r="11703" spans="1:8" customFormat="1" x14ac:dyDescent="0.25">
      <c r="A11703" t="str">
        <f>"301773"</f>
        <v>301773</v>
      </c>
      <c r="B11703" t="s">
        <v>10679</v>
      </c>
      <c r="C11703" t="s">
        <v>2053</v>
      </c>
      <c r="D11703" s="21" t="s">
        <v>34</v>
      </c>
      <c r="E11703" s="21" t="s">
        <v>71</v>
      </c>
      <c r="F11703">
        <v>11300039</v>
      </c>
      <c r="G11703" t="s">
        <v>10680</v>
      </c>
      <c r="H11703" s="21">
        <v>944.67</v>
      </c>
    </row>
    <row r="11704" spans="1:8" customFormat="1" x14ac:dyDescent="0.25">
      <c r="A11704" t="str">
        <f>"4917895"</f>
        <v>4917895</v>
      </c>
      <c r="B11704" t="s">
        <v>27214</v>
      </c>
      <c r="C11704" t="s">
        <v>1100</v>
      </c>
      <c r="D11704" s="21" t="s">
        <v>34</v>
      </c>
      <c r="E11704" s="21" t="s">
        <v>71</v>
      </c>
      <c r="F11704">
        <v>12490092</v>
      </c>
      <c r="G11704" t="s">
        <v>1854</v>
      </c>
      <c r="H11704" s="21">
        <v>944.67</v>
      </c>
    </row>
    <row r="11705" spans="1:8" customFormat="1" x14ac:dyDescent="0.25">
      <c r="A11705" t="str">
        <f>"4414990"</f>
        <v>4414990</v>
      </c>
      <c r="B11705" t="s">
        <v>10233</v>
      </c>
      <c r="C11705" t="s">
        <v>114</v>
      </c>
      <c r="D11705" s="21" t="s">
        <v>34</v>
      </c>
      <c r="E11705" s="21" t="s">
        <v>71</v>
      </c>
      <c r="F11705">
        <v>12440024</v>
      </c>
      <c r="G11705" t="s">
        <v>2205</v>
      </c>
      <c r="H11705" s="21">
        <v>944.67</v>
      </c>
    </row>
    <row r="11706" spans="1:8" customFormat="1" x14ac:dyDescent="0.25">
      <c r="A11706" t="str">
        <f>"212268"</f>
        <v>212268</v>
      </c>
      <c r="B11706" t="s">
        <v>9975</v>
      </c>
      <c r="C11706" t="s">
        <v>1841</v>
      </c>
      <c r="D11706" s="21" t="s">
        <v>34</v>
      </c>
      <c r="E11706" s="21" t="s">
        <v>1089</v>
      </c>
      <c r="F11706">
        <v>2210101</v>
      </c>
      <c r="G11706" t="s">
        <v>1374</v>
      </c>
      <c r="H11706" s="21">
        <v>944.42</v>
      </c>
    </row>
    <row r="11707" spans="1:8" customFormat="1" x14ac:dyDescent="0.25">
      <c r="A11707" t="str">
        <f>"571130"</f>
        <v>571130</v>
      </c>
      <c r="B11707" t="s">
        <v>4301</v>
      </c>
      <c r="C11707" t="s">
        <v>239</v>
      </c>
      <c r="D11707" s="21" t="s">
        <v>34</v>
      </c>
      <c r="E11707" s="21" t="s">
        <v>71</v>
      </c>
      <c r="F11707">
        <v>6570078</v>
      </c>
      <c r="G11707" t="s">
        <v>6852</v>
      </c>
      <c r="H11707" s="21">
        <v>944.42</v>
      </c>
    </row>
    <row r="11708" spans="1:8" customFormat="1" x14ac:dyDescent="0.25">
      <c r="A11708" t="str">
        <f>"2935172"</f>
        <v>2935172</v>
      </c>
      <c r="B11708" t="s">
        <v>8655</v>
      </c>
      <c r="C11708" t="s">
        <v>486</v>
      </c>
      <c r="D11708" s="21" t="s">
        <v>34</v>
      </c>
      <c r="E11708" s="21" t="s">
        <v>35</v>
      </c>
      <c r="F11708">
        <v>3290277</v>
      </c>
      <c r="G11708" t="s">
        <v>1671</v>
      </c>
      <c r="H11708" s="21">
        <v>944.42</v>
      </c>
    </row>
    <row r="11709" spans="1:8" customFormat="1" x14ac:dyDescent="0.25">
      <c r="A11709" t="str">
        <f>"278971"</f>
        <v>278971</v>
      </c>
      <c r="B11709" t="s">
        <v>12630</v>
      </c>
      <c r="C11709" t="s">
        <v>156</v>
      </c>
      <c r="D11709" s="21" t="s">
        <v>34</v>
      </c>
      <c r="E11709" s="21" t="s">
        <v>71</v>
      </c>
      <c r="F11709">
        <v>9500162</v>
      </c>
      <c r="G11709" t="s">
        <v>11252</v>
      </c>
      <c r="H11709" s="21">
        <v>944.17</v>
      </c>
    </row>
    <row r="11710" spans="1:8" customFormat="1" x14ac:dyDescent="0.25">
      <c r="A11710" t="str">
        <f>"942402"</f>
        <v>942402</v>
      </c>
      <c r="B11710" t="s">
        <v>11733</v>
      </c>
      <c r="C11710" t="s">
        <v>236</v>
      </c>
      <c r="D11710" s="21" t="s">
        <v>34</v>
      </c>
      <c r="E11710" s="21" t="s">
        <v>71</v>
      </c>
      <c r="F11710">
        <v>8940459</v>
      </c>
      <c r="G11710" t="s">
        <v>743</v>
      </c>
      <c r="H11710" s="21">
        <v>944.17</v>
      </c>
    </row>
    <row r="11711" spans="1:8" customFormat="1" x14ac:dyDescent="0.25">
      <c r="A11711" t="str">
        <f>"695749"</f>
        <v>695749</v>
      </c>
      <c r="B11711" t="s">
        <v>10683</v>
      </c>
      <c r="C11711" t="s">
        <v>285</v>
      </c>
      <c r="D11711" s="21" t="s">
        <v>34</v>
      </c>
      <c r="E11711" s="21" t="s">
        <v>35</v>
      </c>
      <c r="F11711">
        <v>1690041</v>
      </c>
      <c r="G11711" t="s">
        <v>7892</v>
      </c>
      <c r="H11711" s="21">
        <v>944.17</v>
      </c>
    </row>
    <row r="11712" spans="1:8" customFormat="1" x14ac:dyDescent="0.25">
      <c r="A11712" t="str">
        <f>"6945874"</f>
        <v>6945874</v>
      </c>
      <c r="B11712" t="s">
        <v>14777</v>
      </c>
      <c r="C11712" t="s">
        <v>14778</v>
      </c>
      <c r="D11712" s="21" t="s">
        <v>34</v>
      </c>
      <c r="E11712" s="21" t="s">
        <v>35</v>
      </c>
      <c r="F11712">
        <v>1690030</v>
      </c>
      <c r="G11712" t="s">
        <v>432</v>
      </c>
      <c r="H11712" s="21">
        <v>944.17</v>
      </c>
    </row>
    <row r="11713" spans="1:8" customFormat="1" x14ac:dyDescent="0.25">
      <c r="A11713" t="str">
        <f>"904213"</f>
        <v>904213</v>
      </c>
      <c r="B11713" t="s">
        <v>12446</v>
      </c>
      <c r="C11713" t="s">
        <v>486</v>
      </c>
      <c r="D11713" s="21" t="s">
        <v>34</v>
      </c>
      <c r="E11713" s="21" t="s">
        <v>71</v>
      </c>
      <c r="F11713">
        <v>2900038</v>
      </c>
      <c r="G11713" t="s">
        <v>6415</v>
      </c>
      <c r="H11713" s="21">
        <v>944.17</v>
      </c>
    </row>
    <row r="11714" spans="1:8" customFormat="1" x14ac:dyDescent="0.25">
      <c r="A11714" t="str">
        <f>"6218452"</f>
        <v>6218452</v>
      </c>
      <c r="B11714" t="s">
        <v>5638</v>
      </c>
      <c r="C11714" t="s">
        <v>817</v>
      </c>
      <c r="D11714" s="21" t="s">
        <v>34</v>
      </c>
      <c r="E11714" s="21" t="s">
        <v>71</v>
      </c>
      <c r="F11714">
        <v>7620178</v>
      </c>
      <c r="G11714" t="s">
        <v>11090</v>
      </c>
      <c r="H11714" s="21">
        <v>944.17</v>
      </c>
    </row>
    <row r="11715" spans="1:8" customFormat="1" x14ac:dyDescent="0.25">
      <c r="A11715" t="str">
        <f>"9311918"</f>
        <v>9311918</v>
      </c>
      <c r="B11715" t="s">
        <v>7102</v>
      </c>
      <c r="C11715" t="s">
        <v>169</v>
      </c>
      <c r="D11715" s="21" t="s">
        <v>34</v>
      </c>
      <c r="E11715" s="21" t="s">
        <v>35</v>
      </c>
      <c r="F11715">
        <v>8931320</v>
      </c>
      <c r="G11715" t="s">
        <v>1537</v>
      </c>
      <c r="H11715" s="21">
        <v>944.17</v>
      </c>
    </row>
    <row r="11716" spans="1:8" customFormat="1" x14ac:dyDescent="0.25">
      <c r="A11716" t="str">
        <f>"729682"</f>
        <v>729682</v>
      </c>
      <c r="B11716" t="s">
        <v>27215</v>
      </c>
      <c r="C11716" t="s">
        <v>493</v>
      </c>
      <c r="D11716" s="21" t="s">
        <v>34</v>
      </c>
      <c r="E11716" s="21" t="s">
        <v>35</v>
      </c>
      <c r="F11716">
        <v>12720067</v>
      </c>
      <c r="G11716" t="s">
        <v>10622</v>
      </c>
      <c r="H11716" s="21">
        <v>944.17</v>
      </c>
    </row>
    <row r="11717" spans="1:8" customFormat="1" x14ac:dyDescent="0.25">
      <c r="A11717" t="str">
        <f>"905484"</f>
        <v>905484</v>
      </c>
      <c r="B11717" t="s">
        <v>12208</v>
      </c>
      <c r="C11717" t="s">
        <v>55</v>
      </c>
      <c r="D11717" s="21" t="s">
        <v>34</v>
      </c>
      <c r="E11717" s="21" t="s">
        <v>71</v>
      </c>
      <c r="F11717">
        <v>2900038</v>
      </c>
      <c r="G11717" t="s">
        <v>6415</v>
      </c>
      <c r="H11717" s="21">
        <v>944.17</v>
      </c>
    </row>
    <row r="11718" spans="1:8" customFormat="1" x14ac:dyDescent="0.25">
      <c r="A11718" t="str">
        <f>"9120560"</f>
        <v>9120560</v>
      </c>
      <c r="B11718" t="s">
        <v>10107</v>
      </c>
      <c r="C11718" t="s">
        <v>967</v>
      </c>
      <c r="D11718" s="21" t="s">
        <v>34</v>
      </c>
      <c r="E11718" s="21" t="s">
        <v>35</v>
      </c>
      <c r="F11718">
        <v>8911395</v>
      </c>
      <c r="G11718" t="s">
        <v>8758</v>
      </c>
      <c r="H11718" s="21">
        <v>944.17</v>
      </c>
    </row>
    <row r="11719" spans="1:8" customFormat="1" x14ac:dyDescent="0.25">
      <c r="A11719" t="str">
        <f>"291104"</f>
        <v>291104</v>
      </c>
      <c r="B11719" t="s">
        <v>10928</v>
      </c>
      <c r="C11719" t="s">
        <v>40</v>
      </c>
      <c r="D11719" s="21" t="s">
        <v>34</v>
      </c>
      <c r="E11719" s="21" t="s">
        <v>254</v>
      </c>
      <c r="F11719">
        <v>3290255</v>
      </c>
      <c r="G11719" t="s">
        <v>2852</v>
      </c>
      <c r="H11719" s="21">
        <v>943.92</v>
      </c>
    </row>
    <row r="11720" spans="1:8" customFormat="1" x14ac:dyDescent="0.25">
      <c r="A11720" t="str">
        <f>"534878"</f>
        <v>534878</v>
      </c>
      <c r="B11720" t="s">
        <v>11610</v>
      </c>
      <c r="C11720" t="s">
        <v>3905</v>
      </c>
      <c r="D11720" s="21" t="s">
        <v>34</v>
      </c>
      <c r="E11720" s="21" t="s">
        <v>71</v>
      </c>
      <c r="F11720">
        <v>12530098</v>
      </c>
      <c r="G11720" t="s">
        <v>8852</v>
      </c>
      <c r="H11720" s="21">
        <v>943.92</v>
      </c>
    </row>
    <row r="11721" spans="1:8" customFormat="1" x14ac:dyDescent="0.25">
      <c r="A11721" t="str">
        <f>"8525340"</f>
        <v>8525340</v>
      </c>
      <c r="B11721" t="s">
        <v>6957</v>
      </c>
      <c r="C11721" t="s">
        <v>500</v>
      </c>
      <c r="D11721" s="21" t="s">
        <v>34</v>
      </c>
      <c r="E11721" s="21" t="s">
        <v>35</v>
      </c>
      <c r="F11721">
        <v>12851016</v>
      </c>
      <c r="G11721" t="s">
        <v>1862</v>
      </c>
      <c r="H11721" s="21">
        <v>943.92</v>
      </c>
    </row>
    <row r="11722" spans="1:8" customFormat="1" x14ac:dyDescent="0.25">
      <c r="A11722" t="str">
        <f>"781544"</f>
        <v>781544</v>
      </c>
      <c r="B11722" t="s">
        <v>10152</v>
      </c>
      <c r="C11722" t="s">
        <v>156</v>
      </c>
      <c r="D11722" s="21" t="s">
        <v>34</v>
      </c>
      <c r="E11722" s="21" t="s">
        <v>254</v>
      </c>
      <c r="F11722">
        <v>8780660</v>
      </c>
      <c r="G11722" t="s">
        <v>2801</v>
      </c>
      <c r="H11722" s="21">
        <v>943.8</v>
      </c>
    </row>
    <row r="11723" spans="1:8" customFormat="1" x14ac:dyDescent="0.25">
      <c r="A11723" t="str">
        <f>"5321062"</f>
        <v>5321062</v>
      </c>
      <c r="B11723" t="s">
        <v>12708</v>
      </c>
      <c r="C11723" t="s">
        <v>60</v>
      </c>
      <c r="D11723" s="21" t="s">
        <v>34</v>
      </c>
      <c r="E11723" s="21" t="s">
        <v>35</v>
      </c>
      <c r="F11723">
        <v>12530070</v>
      </c>
      <c r="G11723" t="s">
        <v>4905</v>
      </c>
      <c r="H11723" s="21">
        <v>943.67</v>
      </c>
    </row>
    <row r="11724" spans="1:8" customFormat="1" x14ac:dyDescent="0.25">
      <c r="A11724" t="str">
        <f>"57708"</f>
        <v>57708</v>
      </c>
      <c r="B11724" t="s">
        <v>12113</v>
      </c>
      <c r="C11724" t="s">
        <v>263</v>
      </c>
      <c r="D11724" s="21" t="s">
        <v>34</v>
      </c>
      <c r="E11724" s="21" t="s">
        <v>71</v>
      </c>
      <c r="F11724">
        <v>9500160</v>
      </c>
      <c r="G11724" t="s">
        <v>11418</v>
      </c>
      <c r="H11724" s="21">
        <v>943.67</v>
      </c>
    </row>
    <row r="11725" spans="1:8" customFormat="1" x14ac:dyDescent="0.25">
      <c r="A11725" t="str">
        <f>"47100"</f>
        <v>47100</v>
      </c>
      <c r="B11725" t="s">
        <v>10859</v>
      </c>
      <c r="C11725" t="s">
        <v>2520</v>
      </c>
      <c r="D11725" s="21" t="s">
        <v>34</v>
      </c>
      <c r="E11725" s="21" t="s">
        <v>71</v>
      </c>
      <c r="F11725">
        <v>10470007</v>
      </c>
      <c r="G11725" t="s">
        <v>3049</v>
      </c>
      <c r="H11725" s="21">
        <v>943.67</v>
      </c>
    </row>
    <row r="11726" spans="1:8" customFormat="1" x14ac:dyDescent="0.25">
      <c r="A11726" t="str">
        <f>"29585"</f>
        <v>29585</v>
      </c>
      <c r="B11726" t="s">
        <v>9832</v>
      </c>
      <c r="C11726" t="s">
        <v>253</v>
      </c>
      <c r="D11726" s="21" t="s">
        <v>34</v>
      </c>
      <c r="E11726" s="21" t="s">
        <v>254</v>
      </c>
      <c r="F11726">
        <v>3290222</v>
      </c>
      <c r="G11726" t="s">
        <v>2259</v>
      </c>
      <c r="H11726" s="21">
        <v>943.67</v>
      </c>
    </row>
    <row r="11727" spans="1:8" customFormat="1" x14ac:dyDescent="0.25">
      <c r="A11727" t="str">
        <f>"0611837"</f>
        <v>0611837</v>
      </c>
      <c r="B11727" t="s">
        <v>11332</v>
      </c>
      <c r="C11727" t="s">
        <v>147</v>
      </c>
      <c r="D11727" s="21" t="s">
        <v>34</v>
      </c>
      <c r="E11727" s="21" t="s">
        <v>71</v>
      </c>
      <c r="F11727">
        <v>13060114</v>
      </c>
      <c r="G11727" t="s">
        <v>4501</v>
      </c>
      <c r="H11727" s="21">
        <v>943.67</v>
      </c>
    </row>
    <row r="11728" spans="1:8" customFormat="1" x14ac:dyDescent="0.25">
      <c r="A11728" t="str">
        <f>"5928870"</f>
        <v>5928870</v>
      </c>
      <c r="B11728" t="s">
        <v>10875</v>
      </c>
      <c r="C11728" t="s">
        <v>33</v>
      </c>
      <c r="D11728" s="21" t="s">
        <v>34</v>
      </c>
      <c r="E11728" s="21" t="s">
        <v>71</v>
      </c>
      <c r="F11728">
        <v>7590006</v>
      </c>
      <c r="G11728" t="s">
        <v>4165</v>
      </c>
      <c r="H11728" s="21">
        <v>943.67</v>
      </c>
    </row>
    <row r="11729" spans="1:8" customFormat="1" x14ac:dyDescent="0.25">
      <c r="A11729" t="str">
        <f>"377752"</f>
        <v>377752</v>
      </c>
      <c r="B11729" t="s">
        <v>8441</v>
      </c>
      <c r="C11729" t="s">
        <v>239</v>
      </c>
      <c r="D11729" s="21" t="s">
        <v>34</v>
      </c>
      <c r="E11729" s="21" t="s">
        <v>254</v>
      </c>
      <c r="F11729">
        <v>7590131</v>
      </c>
      <c r="G11729" t="s">
        <v>6300</v>
      </c>
      <c r="H11729" s="21">
        <v>943.67</v>
      </c>
    </row>
    <row r="11730" spans="1:8" customFormat="1" x14ac:dyDescent="0.25">
      <c r="A11730" t="str">
        <f>"5921745"</f>
        <v>5921745</v>
      </c>
      <c r="B11730" t="s">
        <v>9218</v>
      </c>
      <c r="C11730" t="s">
        <v>124</v>
      </c>
      <c r="D11730" s="21" t="s">
        <v>34</v>
      </c>
      <c r="E11730" s="21" t="s">
        <v>254</v>
      </c>
      <c r="F11730">
        <v>7590347</v>
      </c>
      <c r="G11730" t="s">
        <v>6041</v>
      </c>
      <c r="H11730" s="21">
        <v>943.67</v>
      </c>
    </row>
    <row r="11731" spans="1:8" customFormat="1" x14ac:dyDescent="0.25">
      <c r="A11731" t="str">
        <f>"63391"</f>
        <v>63391</v>
      </c>
      <c r="B11731" t="s">
        <v>9338</v>
      </c>
      <c r="C11731" t="s">
        <v>109</v>
      </c>
      <c r="D11731" s="21" t="s">
        <v>34</v>
      </c>
      <c r="E11731" s="21" t="s">
        <v>71</v>
      </c>
      <c r="F11731">
        <v>1630059</v>
      </c>
      <c r="G11731" t="s">
        <v>2486</v>
      </c>
      <c r="H11731" s="21">
        <v>943.67</v>
      </c>
    </row>
    <row r="11732" spans="1:8" customFormat="1" x14ac:dyDescent="0.25">
      <c r="A11732" t="str">
        <f>"675698"</f>
        <v>675698</v>
      </c>
      <c r="B11732" t="s">
        <v>27216</v>
      </c>
      <c r="C11732" t="s">
        <v>4842</v>
      </c>
      <c r="D11732" s="21" t="s">
        <v>34</v>
      </c>
      <c r="E11732" s="21" t="s">
        <v>254</v>
      </c>
      <c r="F11732">
        <v>6670045</v>
      </c>
      <c r="G11732" t="s">
        <v>707</v>
      </c>
      <c r="H11732" s="21">
        <v>943.67</v>
      </c>
    </row>
    <row r="11733" spans="1:8" customFormat="1" x14ac:dyDescent="0.25">
      <c r="A11733" t="str">
        <f>"215159"</f>
        <v>215159</v>
      </c>
      <c r="B11733" t="s">
        <v>690</v>
      </c>
      <c r="C11733" t="s">
        <v>249</v>
      </c>
      <c r="D11733" s="21" t="s">
        <v>34</v>
      </c>
      <c r="E11733" s="21" t="s">
        <v>71</v>
      </c>
      <c r="F11733">
        <v>2210088</v>
      </c>
      <c r="G11733" t="s">
        <v>2896</v>
      </c>
      <c r="H11733" s="21">
        <v>943.54</v>
      </c>
    </row>
    <row r="11734" spans="1:8" customFormat="1" x14ac:dyDescent="0.25">
      <c r="A11734" t="str">
        <f>"067382"</f>
        <v>067382</v>
      </c>
      <c r="B11734" t="s">
        <v>11715</v>
      </c>
      <c r="C11734" t="s">
        <v>37</v>
      </c>
      <c r="D11734" s="21" t="s">
        <v>34</v>
      </c>
      <c r="E11734" s="21" t="s">
        <v>35</v>
      </c>
      <c r="F11734">
        <v>1420003</v>
      </c>
      <c r="G11734" t="s">
        <v>11716</v>
      </c>
      <c r="H11734" s="21">
        <v>943.42</v>
      </c>
    </row>
    <row r="11735" spans="1:8" customFormat="1" x14ac:dyDescent="0.25">
      <c r="A11735" t="str">
        <f>"3831260"</f>
        <v>3831260</v>
      </c>
      <c r="B11735" t="s">
        <v>11240</v>
      </c>
      <c r="C11735" t="s">
        <v>293</v>
      </c>
      <c r="D11735" s="21" t="s">
        <v>34</v>
      </c>
      <c r="E11735" s="21" t="s">
        <v>35</v>
      </c>
      <c r="F11735">
        <v>1380005</v>
      </c>
      <c r="G11735" t="s">
        <v>3119</v>
      </c>
      <c r="H11735" s="21">
        <v>943.42</v>
      </c>
    </row>
    <row r="11736" spans="1:8" customFormat="1" x14ac:dyDescent="0.25">
      <c r="A11736" t="str">
        <f>"4920597"</f>
        <v>4920597</v>
      </c>
      <c r="B11736" t="s">
        <v>10976</v>
      </c>
      <c r="C11736" t="s">
        <v>198</v>
      </c>
      <c r="D11736" s="21" t="s">
        <v>34</v>
      </c>
      <c r="E11736" s="21" t="s">
        <v>254</v>
      </c>
      <c r="F11736">
        <v>12490076</v>
      </c>
      <c r="G11736" t="s">
        <v>2086</v>
      </c>
      <c r="H11736" s="21">
        <v>943.29</v>
      </c>
    </row>
    <row r="11737" spans="1:8" customFormat="1" x14ac:dyDescent="0.25">
      <c r="A11737" t="str">
        <f>"9142068"</f>
        <v>9142068</v>
      </c>
      <c r="B11737" t="s">
        <v>6957</v>
      </c>
      <c r="C11737" t="s">
        <v>462</v>
      </c>
      <c r="D11737" s="21" t="s">
        <v>34</v>
      </c>
      <c r="E11737" s="21" t="s">
        <v>71</v>
      </c>
      <c r="F11737">
        <v>8911050</v>
      </c>
      <c r="G11737" t="s">
        <v>1606</v>
      </c>
      <c r="H11737" s="21">
        <v>943.17</v>
      </c>
    </row>
    <row r="11738" spans="1:8" customFormat="1" x14ac:dyDescent="0.25">
      <c r="A11738" t="str">
        <f>"6932102"</f>
        <v>6932102</v>
      </c>
      <c r="B11738" t="s">
        <v>11767</v>
      </c>
      <c r="C11738" t="s">
        <v>1588</v>
      </c>
      <c r="D11738" s="21" t="s">
        <v>34</v>
      </c>
      <c r="E11738" s="21" t="s">
        <v>71</v>
      </c>
      <c r="F11738">
        <v>1690112</v>
      </c>
      <c r="G11738" t="s">
        <v>4084</v>
      </c>
      <c r="H11738" s="21">
        <v>943.17</v>
      </c>
    </row>
    <row r="11739" spans="1:8" customFormat="1" x14ac:dyDescent="0.25">
      <c r="A11739" t="str">
        <f>"16749"</f>
        <v>16749</v>
      </c>
      <c r="B11739" t="s">
        <v>9753</v>
      </c>
      <c r="C11739" t="s">
        <v>822</v>
      </c>
      <c r="D11739" s="21" t="s">
        <v>34</v>
      </c>
      <c r="E11739" s="21" t="s">
        <v>254</v>
      </c>
      <c r="F11739">
        <v>10160040</v>
      </c>
      <c r="G11739" t="s">
        <v>1131</v>
      </c>
      <c r="H11739" s="21">
        <v>943.17</v>
      </c>
    </row>
    <row r="11740" spans="1:8" customFormat="1" x14ac:dyDescent="0.25">
      <c r="A11740" t="str">
        <f>"6942550"</f>
        <v>6942550</v>
      </c>
      <c r="B11740" t="s">
        <v>7008</v>
      </c>
      <c r="C11740" t="s">
        <v>87</v>
      </c>
      <c r="D11740" s="21" t="s">
        <v>34</v>
      </c>
      <c r="E11740" s="21" t="s">
        <v>35</v>
      </c>
      <c r="F11740">
        <v>1690047</v>
      </c>
      <c r="G11740" t="s">
        <v>4223</v>
      </c>
      <c r="H11740" s="21">
        <v>943.17</v>
      </c>
    </row>
    <row r="11741" spans="1:8" customFormat="1" x14ac:dyDescent="0.25">
      <c r="A11741" t="str">
        <f>"6718949"</f>
        <v>6718949</v>
      </c>
      <c r="B11741" t="s">
        <v>10698</v>
      </c>
      <c r="C11741" t="s">
        <v>428</v>
      </c>
      <c r="D11741" s="21" t="s">
        <v>34</v>
      </c>
      <c r="E11741" s="21" t="s">
        <v>35</v>
      </c>
      <c r="F11741">
        <v>6670122</v>
      </c>
      <c r="G11741" t="s">
        <v>3126</v>
      </c>
      <c r="H11741" s="21">
        <v>943.17</v>
      </c>
    </row>
    <row r="11742" spans="1:8" customFormat="1" x14ac:dyDescent="0.25">
      <c r="A11742" t="str">
        <f>"9128912"</f>
        <v>9128912</v>
      </c>
      <c r="B11742" t="s">
        <v>23660</v>
      </c>
      <c r="C11742" t="s">
        <v>124</v>
      </c>
      <c r="D11742" s="21" t="s">
        <v>34</v>
      </c>
      <c r="E11742" s="21" t="s">
        <v>71</v>
      </c>
      <c r="F11742">
        <v>1380164</v>
      </c>
      <c r="G11742" t="s">
        <v>2728</v>
      </c>
      <c r="H11742" s="21">
        <v>943.17</v>
      </c>
    </row>
    <row r="11743" spans="1:8" customFormat="1" x14ac:dyDescent="0.25">
      <c r="A11743" t="str">
        <f>"1423314"</f>
        <v>1423314</v>
      </c>
      <c r="B11743" t="s">
        <v>10528</v>
      </c>
      <c r="C11743" t="s">
        <v>275</v>
      </c>
      <c r="D11743" s="21" t="s">
        <v>34</v>
      </c>
      <c r="E11743" s="21" t="s">
        <v>35</v>
      </c>
      <c r="F11743">
        <v>9140012</v>
      </c>
      <c r="G11743" t="s">
        <v>26518</v>
      </c>
      <c r="H11743" s="21">
        <v>943.17</v>
      </c>
    </row>
    <row r="11744" spans="1:8" customFormat="1" x14ac:dyDescent="0.25">
      <c r="A11744" t="str">
        <f>"3515126"</f>
        <v>3515126</v>
      </c>
      <c r="B11744" t="s">
        <v>7122</v>
      </c>
      <c r="C11744" t="s">
        <v>484</v>
      </c>
      <c r="D11744" s="21" t="s">
        <v>34</v>
      </c>
      <c r="E11744" s="21" t="s">
        <v>35</v>
      </c>
      <c r="F11744">
        <v>3350212</v>
      </c>
      <c r="G11744" t="s">
        <v>5154</v>
      </c>
      <c r="H11744" s="21">
        <v>943.17</v>
      </c>
    </row>
    <row r="11745" spans="1:8" customFormat="1" x14ac:dyDescent="0.25">
      <c r="A11745" t="str">
        <f>"5950242"</f>
        <v>5950242</v>
      </c>
      <c r="B11745" t="s">
        <v>10048</v>
      </c>
      <c r="C11745" t="s">
        <v>867</v>
      </c>
      <c r="D11745" s="21" t="s">
        <v>34</v>
      </c>
      <c r="E11745" s="21" t="s">
        <v>35</v>
      </c>
      <c r="F11745">
        <v>7590127</v>
      </c>
      <c r="G11745" t="s">
        <v>214</v>
      </c>
      <c r="H11745" s="21">
        <v>943.17</v>
      </c>
    </row>
    <row r="11746" spans="1:8" customFormat="1" x14ac:dyDescent="0.25">
      <c r="A11746" t="str">
        <f>"6012714"</f>
        <v>6012714</v>
      </c>
      <c r="B11746" t="s">
        <v>2868</v>
      </c>
      <c r="C11746" t="s">
        <v>269</v>
      </c>
      <c r="D11746" s="21" t="s">
        <v>34</v>
      </c>
      <c r="E11746" s="21" t="s">
        <v>71</v>
      </c>
      <c r="F11746">
        <v>7600114</v>
      </c>
      <c r="G11746" t="s">
        <v>4584</v>
      </c>
      <c r="H11746" s="21">
        <v>943.17</v>
      </c>
    </row>
    <row r="11747" spans="1:8" customFormat="1" x14ac:dyDescent="0.25">
      <c r="A11747" t="str">
        <f>"535181"</f>
        <v>535181</v>
      </c>
      <c r="B11747" t="s">
        <v>67</v>
      </c>
      <c r="C11747" t="s">
        <v>412</v>
      </c>
      <c r="D11747" s="21" t="s">
        <v>34</v>
      </c>
      <c r="E11747" s="21" t="s">
        <v>1089</v>
      </c>
      <c r="F11747">
        <v>12530022</v>
      </c>
      <c r="G11747" t="s">
        <v>914</v>
      </c>
      <c r="H11747" s="21">
        <v>943.17</v>
      </c>
    </row>
    <row r="11748" spans="1:8" customFormat="1" x14ac:dyDescent="0.25">
      <c r="A11748" t="str">
        <f>"852031"</f>
        <v>852031</v>
      </c>
      <c r="B11748" t="s">
        <v>2315</v>
      </c>
      <c r="C11748" t="s">
        <v>547</v>
      </c>
      <c r="D11748" s="21" t="s">
        <v>34</v>
      </c>
      <c r="E11748" s="21" t="s">
        <v>71</v>
      </c>
      <c r="F11748">
        <v>12850093</v>
      </c>
      <c r="G11748" t="s">
        <v>3371</v>
      </c>
      <c r="H11748" s="21">
        <v>943.17</v>
      </c>
    </row>
    <row r="11749" spans="1:8" customFormat="1" x14ac:dyDescent="0.25">
      <c r="A11749" t="str">
        <f>"732280"</f>
        <v>732280</v>
      </c>
      <c r="B11749" t="s">
        <v>7407</v>
      </c>
      <c r="C11749" t="s">
        <v>1708</v>
      </c>
      <c r="D11749" s="21" t="s">
        <v>34</v>
      </c>
      <c r="E11749" s="21" t="s">
        <v>35</v>
      </c>
      <c r="F11749">
        <v>1730077</v>
      </c>
      <c r="G11749" t="s">
        <v>1517</v>
      </c>
      <c r="H11749" s="21">
        <v>943.17</v>
      </c>
    </row>
    <row r="11750" spans="1:8" customFormat="1" x14ac:dyDescent="0.25">
      <c r="A11750" t="str">
        <f>"765351"</f>
        <v>765351</v>
      </c>
      <c r="B11750" t="s">
        <v>10517</v>
      </c>
      <c r="C11750" t="s">
        <v>2132</v>
      </c>
      <c r="D11750" s="21" t="s">
        <v>34</v>
      </c>
      <c r="E11750" s="21" t="s">
        <v>35</v>
      </c>
      <c r="F11750">
        <v>9760461</v>
      </c>
      <c r="G11750" t="s">
        <v>6804</v>
      </c>
      <c r="H11750" s="21">
        <v>943.17</v>
      </c>
    </row>
    <row r="11751" spans="1:8" customFormat="1" x14ac:dyDescent="0.25">
      <c r="A11751" t="str">
        <f>"1310475"</f>
        <v>1310475</v>
      </c>
      <c r="B11751" t="s">
        <v>10163</v>
      </c>
      <c r="C11751" t="s">
        <v>926</v>
      </c>
      <c r="D11751" s="21" t="s">
        <v>34</v>
      </c>
      <c r="E11751" s="21" t="s">
        <v>35</v>
      </c>
      <c r="F11751">
        <v>13130170</v>
      </c>
      <c r="G11751" t="s">
        <v>10164</v>
      </c>
      <c r="H11751" s="21">
        <v>943.17</v>
      </c>
    </row>
    <row r="11752" spans="1:8" customFormat="1" x14ac:dyDescent="0.25">
      <c r="A11752" t="str">
        <f>"5732456"</f>
        <v>5732456</v>
      </c>
      <c r="B11752" t="s">
        <v>2777</v>
      </c>
      <c r="C11752" t="s">
        <v>2072</v>
      </c>
      <c r="D11752" s="21" t="s">
        <v>34</v>
      </c>
      <c r="E11752" s="21" t="s">
        <v>254</v>
      </c>
      <c r="F11752">
        <v>6570154</v>
      </c>
      <c r="G11752" t="s">
        <v>3935</v>
      </c>
      <c r="H11752" s="21">
        <v>943.17</v>
      </c>
    </row>
    <row r="11753" spans="1:8" customFormat="1" x14ac:dyDescent="0.25">
      <c r="A11753" t="str">
        <f>"24289"</f>
        <v>24289</v>
      </c>
      <c r="B11753" t="s">
        <v>27217</v>
      </c>
      <c r="C11753" t="s">
        <v>1631</v>
      </c>
      <c r="D11753" s="21" t="s">
        <v>34</v>
      </c>
      <c r="E11753" s="21" t="s">
        <v>71</v>
      </c>
      <c r="F11753">
        <v>10240003</v>
      </c>
      <c r="G11753" t="s">
        <v>2940</v>
      </c>
      <c r="H11753" s="21">
        <v>943.12</v>
      </c>
    </row>
    <row r="11754" spans="1:8" customFormat="1" x14ac:dyDescent="0.25">
      <c r="A11754" t="str">
        <f>"173572"</f>
        <v>173572</v>
      </c>
      <c r="B11754" t="s">
        <v>10995</v>
      </c>
      <c r="C11754" t="s">
        <v>43</v>
      </c>
      <c r="D11754" s="21" t="s">
        <v>34</v>
      </c>
      <c r="E11754" s="21" t="s">
        <v>35</v>
      </c>
      <c r="F11754">
        <v>10170005</v>
      </c>
      <c r="G11754" t="s">
        <v>4290</v>
      </c>
      <c r="H11754" s="21">
        <v>943.04</v>
      </c>
    </row>
    <row r="11755" spans="1:8" customFormat="1" x14ac:dyDescent="0.25">
      <c r="A11755" t="str">
        <f>"262923"</f>
        <v>262923</v>
      </c>
      <c r="B11755" t="s">
        <v>1824</v>
      </c>
      <c r="C11755" t="s">
        <v>174</v>
      </c>
      <c r="D11755" s="21" t="s">
        <v>34</v>
      </c>
      <c r="E11755" s="21" t="s">
        <v>71</v>
      </c>
      <c r="F11755">
        <v>1260040</v>
      </c>
      <c r="G11755" t="s">
        <v>10768</v>
      </c>
      <c r="H11755" s="21">
        <v>943.04</v>
      </c>
    </row>
    <row r="11756" spans="1:8" customFormat="1" x14ac:dyDescent="0.25">
      <c r="A11756" t="str">
        <f>"413173"</f>
        <v>413173</v>
      </c>
      <c r="B11756" t="s">
        <v>8135</v>
      </c>
      <c r="C11756" t="s">
        <v>33</v>
      </c>
      <c r="D11756" s="21" t="s">
        <v>34</v>
      </c>
      <c r="E11756" s="21" t="s">
        <v>35</v>
      </c>
      <c r="F11756">
        <v>4410065</v>
      </c>
      <c r="G11756" t="s">
        <v>3841</v>
      </c>
      <c r="H11756" s="21">
        <v>942.92</v>
      </c>
    </row>
    <row r="11757" spans="1:8" customFormat="1" x14ac:dyDescent="0.25">
      <c r="A11757" t="str">
        <f>"3311421"</f>
        <v>3311421</v>
      </c>
      <c r="B11757" t="s">
        <v>14118</v>
      </c>
      <c r="C11757" t="s">
        <v>109</v>
      </c>
      <c r="D11757" s="21" t="s">
        <v>34</v>
      </c>
      <c r="E11757" s="21" t="s">
        <v>35</v>
      </c>
      <c r="F11757">
        <v>10330093</v>
      </c>
      <c r="G11757" t="s">
        <v>8324</v>
      </c>
      <c r="H11757" s="21">
        <v>942.79</v>
      </c>
    </row>
    <row r="11758" spans="1:8" customFormat="1" x14ac:dyDescent="0.25">
      <c r="A11758" t="str">
        <f>"821609"</f>
        <v>821609</v>
      </c>
      <c r="B11758" t="s">
        <v>11313</v>
      </c>
      <c r="C11758" t="s">
        <v>209</v>
      </c>
      <c r="D11758" s="21" t="s">
        <v>34</v>
      </c>
      <c r="E11758" s="21" t="s">
        <v>71</v>
      </c>
      <c r="F11758">
        <v>11820026</v>
      </c>
      <c r="G11758" t="s">
        <v>9372</v>
      </c>
      <c r="H11758" s="21">
        <v>942.67</v>
      </c>
    </row>
    <row r="11759" spans="1:8" customFormat="1" x14ac:dyDescent="0.25">
      <c r="A11759" t="str">
        <f>"621879"</f>
        <v>621879</v>
      </c>
      <c r="B11759" t="s">
        <v>12287</v>
      </c>
      <c r="C11759" t="s">
        <v>33</v>
      </c>
      <c r="D11759" s="21" t="s">
        <v>34</v>
      </c>
      <c r="E11759" s="21" t="s">
        <v>71</v>
      </c>
      <c r="F11759">
        <v>7620110</v>
      </c>
      <c r="G11759" t="s">
        <v>2681</v>
      </c>
      <c r="H11759" s="21">
        <v>942.67</v>
      </c>
    </row>
    <row r="11760" spans="1:8" customFormat="1" x14ac:dyDescent="0.25">
      <c r="A11760" t="str">
        <f>"289168"</f>
        <v>289168</v>
      </c>
      <c r="B11760" t="s">
        <v>6856</v>
      </c>
      <c r="C11760" t="s">
        <v>293</v>
      </c>
      <c r="D11760" s="21" t="s">
        <v>34</v>
      </c>
      <c r="E11760" s="21" t="s">
        <v>35</v>
      </c>
      <c r="F11760">
        <v>3350113</v>
      </c>
      <c r="G11760" t="s">
        <v>7631</v>
      </c>
      <c r="H11760" s="21">
        <v>942.67</v>
      </c>
    </row>
    <row r="11761" spans="1:8" customFormat="1" x14ac:dyDescent="0.25">
      <c r="A11761" t="str">
        <f>"46850"</f>
        <v>46850</v>
      </c>
      <c r="B11761" t="s">
        <v>6677</v>
      </c>
      <c r="C11761" t="s">
        <v>269</v>
      </c>
      <c r="D11761" s="21" t="s">
        <v>34</v>
      </c>
      <c r="E11761" s="21" t="s">
        <v>71</v>
      </c>
      <c r="F11761">
        <v>11460017</v>
      </c>
      <c r="G11761" t="s">
        <v>7665</v>
      </c>
      <c r="H11761" s="21">
        <v>942.67</v>
      </c>
    </row>
    <row r="11762" spans="1:8" customFormat="1" x14ac:dyDescent="0.25">
      <c r="A11762" t="str">
        <f>"9128655"</f>
        <v>9128655</v>
      </c>
      <c r="B11762" t="s">
        <v>9674</v>
      </c>
      <c r="C11762" t="s">
        <v>2529</v>
      </c>
      <c r="D11762" s="21" t="s">
        <v>34</v>
      </c>
      <c r="E11762" s="21" t="s">
        <v>71</v>
      </c>
      <c r="F11762">
        <v>8911454</v>
      </c>
      <c r="G11762" t="s">
        <v>8016</v>
      </c>
      <c r="H11762" s="21">
        <v>942.67</v>
      </c>
    </row>
    <row r="11763" spans="1:8" customFormat="1" x14ac:dyDescent="0.25">
      <c r="A11763" t="str">
        <f>"8013376"</f>
        <v>8013376</v>
      </c>
      <c r="B11763" t="s">
        <v>651</v>
      </c>
      <c r="C11763" t="s">
        <v>12027</v>
      </c>
      <c r="D11763" s="21" t="s">
        <v>34</v>
      </c>
      <c r="E11763" s="21" t="s">
        <v>1089</v>
      </c>
      <c r="F11763">
        <v>7800008</v>
      </c>
      <c r="G11763" t="s">
        <v>842</v>
      </c>
      <c r="H11763" s="21">
        <v>942.67</v>
      </c>
    </row>
    <row r="11764" spans="1:8" customFormat="1" x14ac:dyDescent="0.25">
      <c r="A11764" t="str">
        <f>"2111268"</f>
        <v>2111268</v>
      </c>
      <c r="B11764" t="s">
        <v>12693</v>
      </c>
      <c r="C11764" t="s">
        <v>328</v>
      </c>
      <c r="D11764" s="21" t="s">
        <v>34</v>
      </c>
      <c r="E11764" s="21" t="s">
        <v>35</v>
      </c>
      <c r="F11764">
        <v>2210081</v>
      </c>
      <c r="G11764" t="s">
        <v>1365</v>
      </c>
      <c r="H11764" s="21">
        <v>942.67</v>
      </c>
    </row>
    <row r="11765" spans="1:8" customFormat="1" x14ac:dyDescent="0.25">
      <c r="A11765" t="str">
        <f>"861170"</f>
        <v>861170</v>
      </c>
      <c r="B11765" t="s">
        <v>461</v>
      </c>
      <c r="C11765" t="s">
        <v>109</v>
      </c>
      <c r="D11765" s="21" t="s">
        <v>34</v>
      </c>
      <c r="E11765" s="21" t="s">
        <v>35</v>
      </c>
      <c r="F11765">
        <v>10860225</v>
      </c>
      <c r="G11765" t="s">
        <v>2473</v>
      </c>
      <c r="H11765" s="21">
        <v>942.67</v>
      </c>
    </row>
    <row r="11766" spans="1:8" customFormat="1" x14ac:dyDescent="0.25">
      <c r="A11766" t="str">
        <f>"5715587"</f>
        <v>5715587</v>
      </c>
      <c r="B11766" t="s">
        <v>27218</v>
      </c>
      <c r="C11766" t="s">
        <v>209</v>
      </c>
      <c r="D11766" s="21" t="s">
        <v>34</v>
      </c>
      <c r="E11766" s="21" t="s">
        <v>71</v>
      </c>
      <c r="F11766">
        <v>6570008</v>
      </c>
      <c r="G11766" t="s">
        <v>899</v>
      </c>
      <c r="H11766" s="21">
        <v>942.67</v>
      </c>
    </row>
    <row r="11767" spans="1:8" customFormat="1" x14ac:dyDescent="0.25">
      <c r="A11767" t="str">
        <f>"421440"</f>
        <v>421440</v>
      </c>
      <c r="B11767" t="s">
        <v>11174</v>
      </c>
      <c r="C11767" t="s">
        <v>60</v>
      </c>
      <c r="D11767" s="21" t="s">
        <v>34</v>
      </c>
      <c r="E11767" s="21" t="s">
        <v>35</v>
      </c>
      <c r="F11767">
        <v>1420088</v>
      </c>
      <c r="G11767" t="s">
        <v>7613</v>
      </c>
      <c r="H11767" s="21">
        <v>942.67</v>
      </c>
    </row>
    <row r="11768" spans="1:8" customFormat="1" x14ac:dyDescent="0.25">
      <c r="A11768" t="str">
        <f>"802939"</f>
        <v>802939</v>
      </c>
      <c r="B11768" t="s">
        <v>4438</v>
      </c>
      <c r="C11768" t="s">
        <v>1110</v>
      </c>
      <c r="D11768" s="21" t="s">
        <v>34</v>
      </c>
      <c r="E11768" s="21" t="s">
        <v>254</v>
      </c>
      <c r="F11768">
        <v>7800098</v>
      </c>
      <c r="G11768" t="s">
        <v>8445</v>
      </c>
      <c r="H11768" s="21">
        <v>942.67</v>
      </c>
    </row>
    <row r="11769" spans="1:8" customFormat="1" x14ac:dyDescent="0.25">
      <c r="A11769" t="str">
        <f>"396095"</f>
        <v>396095</v>
      </c>
      <c r="B11769" t="s">
        <v>11529</v>
      </c>
      <c r="C11769" t="s">
        <v>285</v>
      </c>
      <c r="D11769" s="21" t="s">
        <v>34</v>
      </c>
      <c r="E11769" s="21" t="s">
        <v>35</v>
      </c>
      <c r="F11769">
        <v>2390007</v>
      </c>
      <c r="G11769" t="s">
        <v>3365</v>
      </c>
      <c r="H11769" s="21">
        <v>942.67</v>
      </c>
    </row>
    <row r="11770" spans="1:8" customFormat="1" x14ac:dyDescent="0.25">
      <c r="A11770" t="str">
        <f>"852869"</f>
        <v>852869</v>
      </c>
      <c r="B11770" t="s">
        <v>11604</v>
      </c>
      <c r="C11770" t="s">
        <v>750</v>
      </c>
      <c r="D11770" s="21" t="s">
        <v>34</v>
      </c>
      <c r="E11770" s="21" t="s">
        <v>71</v>
      </c>
      <c r="F11770">
        <v>12850063</v>
      </c>
      <c r="G11770" t="s">
        <v>10302</v>
      </c>
      <c r="H11770" s="21">
        <v>942.67</v>
      </c>
    </row>
    <row r="11771" spans="1:8" customFormat="1" x14ac:dyDescent="0.25">
      <c r="A11771" t="str">
        <f>"537579"</f>
        <v>537579</v>
      </c>
      <c r="B11771" t="s">
        <v>6507</v>
      </c>
      <c r="C11771" t="s">
        <v>151</v>
      </c>
      <c r="D11771" s="21" t="s">
        <v>34</v>
      </c>
      <c r="E11771" s="21" t="s">
        <v>71</v>
      </c>
      <c r="F11771">
        <v>12530049</v>
      </c>
      <c r="G11771" t="s">
        <v>9306</v>
      </c>
      <c r="H11771" s="21">
        <v>942.67</v>
      </c>
    </row>
    <row r="11772" spans="1:8" customFormat="1" x14ac:dyDescent="0.25">
      <c r="A11772" t="str">
        <f>"78781"</f>
        <v>78781</v>
      </c>
      <c r="B11772" t="s">
        <v>13404</v>
      </c>
      <c r="C11772" t="s">
        <v>249</v>
      </c>
      <c r="D11772" s="21" t="s">
        <v>34</v>
      </c>
      <c r="E11772" s="21" t="s">
        <v>71</v>
      </c>
      <c r="F11772">
        <v>8780338</v>
      </c>
      <c r="G11772" t="s">
        <v>4145</v>
      </c>
      <c r="H11772" s="21">
        <v>942.67</v>
      </c>
    </row>
    <row r="11773" spans="1:8" customFormat="1" x14ac:dyDescent="0.25">
      <c r="A11773" t="str">
        <f>"679400"</f>
        <v>679400</v>
      </c>
      <c r="B11773" t="s">
        <v>11434</v>
      </c>
      <c r="C11773" t="s">
        <v>121</v>
      </c>
      <c r="D11773" s="21" t="s">
        <v>34</v>
      </c>
      <c r="E11773" s="21" t="s">
        <v>71</v>
      </c>
      <c r="F11773">
        <v>6670221</v>
      </c>
      <c r="G11773" t="s">
        <v>3742</v>
      </c>
      <c r="H11773" s="21">
        <v>942.67</v>
      </c>
    </row>
    <row r="11774" spans="1:8" customFormat="1" x14ac:dyDescent="0.25">
      <c r="A11774" t="str">
        <f>"138435"</f>
        <v>138435</v>
      </c>
      <c r="B11774" t="s">
        <v>11064</v>
      </c>
      <c r="C11774" t="s">
        <v>2479</v>
      </c>
      <c r="D11774" s="21" t="s">
        <v>34</v>
      </c>
      <c r="E11774" s="21" t="s">
        <v>71</v>
      </c>
      <c r="F11774">
        <v>13130067</v>
      </c>
      <c r="G11774" t="s">
        <v>1420</v>
      </c>
      <c r="H11774" s="21">
        <v>942.67</v>
      </c>
    </row>
    <row r="11775" spans="1:8" customFormat="1" x14ac:dyDescent="0.25">
      <c r="A11775" t="str">
        <f>"6233442"</f>
        <v>6233442</v>
      </c>
      <c r="B11775" t="s">
        <v>3930</v>
      </c>
      <c r="C11775" t="s">
        <v>462</v>
      </c>
      <c r="D11775" s="21" t="s">
        <v>34</v>
      </c>
      <c r="E11775" s="21" t="s">
        <v>71</v>
      </c>
      <c r="F11775">
        <v>7620184</v>
      </c>
      <c r="G11775" t="s">
        <v>4436</v>
      </c>
      <c r="H11775" s="21">
        <v>942.67</v>
      </c>
    </row>
    <row r="11776" spans="1:8" customFormat="1" x14ac:dyDescent="0.25">
      <c r="A11776" t="str">
        <f>"769442"</f>
        <v>769442</v>
      </c>
      <c r="B11776" t="s">
        <v>1852</v>
      </c>
      <c r="C11776" t="s">
        <v>187</v>
      </c>
      <c r="D11776" s="21" t="s">
        <v>34</v>
      </c>
      <c r="E11776" s="21" t="s">
        <v>71</v>
      </c>
      <c r="F11776">
        <v>9760291</v>
      </c>
      <c r="G11776" t="s">
        <v>26611</v>
      </c>
      <c r="H11776" s="21">
        <v>942.67</v>
      </c>
    </row>
    <row r="11777" spans="1:8" customFormat="1" x14ac:dyDescent="0.25">
      <c r="A11777" t="str">
        <f>"959824"</f>
        <v>959824</v>
      </c>
      <c r="B11777" t="s">
        <v>12088</v>
      </c>
      <c r="C11777" t="s">
        <v>1841</v>
      </c>
      <c r="D11777" s="21" t="s">
        <v>34</v>
      </c>
      <c r="E11777" s="21" t="s">
        <v>254</v>
      </c>
      <c r="F11777">
        <v>8950330</v>
      </c>
      <c r="G11777" t="s">
        <v>794</v>
      </c>
      <c r="H11777" s="21">
        <v>942.67</v>
      </c>
    </row>
    <row r="11778" spans="1:8" customFormat="1" x14ac:dyDescent="0.25">
      <c r="A11778" t="str">
        <f>"0812160"</f>
        <v>0812160</v>
      </c>
      <c r="B11778" t="s">
        <v>2089</v>
      </c>
      <c r="C11778" t="s">
        <v>1025</v>
      </c>
      <c r="D11778" s="21" t="s">
        <v>34</v>
      </c>
      <c r="E11778" s="21" t="s">
        <v>35</v>
      </c>
      <c r="F11778">
        <v>6080047</v>
      </c>
      <c r="G11778" t="s">
        <v>4632</v>
      </c>
      <c r="H11778" s="21">
        <v>942.42</v>
      </c>
    </row>
    <row r="11779" spans="1:8" customFormat="1" x14ac:dyDescent="0.25">
      <c r="A11779" t="str">
        <f>"273529"</f>
        <v>273529</v>
      </c>
      <c r="B11779" t="s">
        <v>11253</v>
      </c>
      <c r="C11779" t="s">
        <v>87</v>
      </c>
      <c r="D11779" s="21" t="s">
        <v>34</v>
      </c>
      <c r="E11779" s="21" t="s">
        <v>71</v>
      </c>
      <c r="F11779">
        <v>9270176</v>
      </c>
      <c r="G11779" t="s">
        <v>5799</v>
      </c>
      <c r="H11779" s="21">
        <v>942.42</v>
      </c>
    </row>
    <row r="11780" spans="1:8" customFormat="1" x14ac:dyDescent="0.25">
      <c r="A11780" t="str">
        <f>"45685"</f>
        <v>45685</v>
      </c>
      <c r="B11780" t="s">
        <v>2189</v>
      </c>
      <c r="C11780" t="s">
        <v>720</v>
      </c>
      <c r="D11780" s="21" t="s">
        <v>34</v>
      </c>
      <c r="E11780" s="21" t="s">
        <v>1089</v>
      </c>
      <c r="F11780">
        <v>4450184</v>
      </c>
      <c r="G11780" t="s">
        <v>3956</v>
      </c>
      <c r="H11780" s="21">
        <v>942.29</v>
      </c>
    </row>
    <row r="11781" spans="1:8" customFormat="1" x14ac:dyDescent="0.25">
      <c r="A11781" t="str">
        <f>"878618"</f>
        <v>878618</v>
      </c>
      <c r="B11781" t="s">
        <v>5621</v>
      </c>
      <c r="C11781" t="s">
        <v>547</v>
      </c>
      <c r="D11781" s="21" t="s">
        <v>34</v>
      </c>
      <c r="E11781" s="21" t="s">
        <v>71</v>
      </c>
      <c r="F11781">
        <v>10870037</v>
      </c>
      <c r="G11781" t="s">
        <v>3554</v>
      </c>
      <c r="H11781" s="21">
        <v>942.29</v>
      </c>
    </row>
    <row r="11782" spans="1:8" customFormat="1" x14ac:dyDescent="0.25">
      <c r="A11782" t="str">
        <f>"8522881"</f>
        <v>8522881</v>
      </c>
      <c r="B11782" t="s">
        <v>12686</v>
      </c>
      <c r="C11782" t="s">
        <v>151</v>
      </c>
      <c r="D11782" s="21" t="s">
        <v>34</v>
      </c>
      <c r="E11782" s="21" t="s">
        <v>35</v>
      </c>
      <c r="F11782">
        <v>12850136</v>
      </c>
      <c r="G11782" t="s">
        <v>2536</v>
      </c>
      <c r="H11782" s="21">
        <v>942.17</v>
      </c>
    </row>
    <row r="11783" spans="1:8" customFormat="1" x14ac:dyDescent="0.25">
      <c r="A11783" t="str">
        <f>"8519457"</f>
        <v>8519457</v>
      </c>
      <c r="B11783" t="s">
        <v>4204</v>
      </c>
      <c r="C11783" t="s">
        <v>1597</v>
      </c>
      <c r="D11783" s="21" t="s">
        <v>34</v>
      </c>
      <c r="E11783" s="21" t="s">
        <v>1089</v>
      </c>
      <c r="F11783">
        <v>12850001</v>
      </c>
      <c r="G11783" t="s">
        <v>1197</v>
      </c>
      <c r="H11783" s="21">
        <v>942.17</v>
      </c>
    </row>
    <row r="11784" spans="1:8" customFormat="1" x14ac:dyDescent="0.25">
      <c r="A11784" t="str">
        <f>"6311947"</f>
        <v>6311947</v>
      </c>
      <c r="B11784" t="s">
        <v>27219</v>
      </c>
      <c r="C11784" t="s">
        <v>6774</v>
      </c>
      <c r="D11784" s="21" t="s">
        <v>34</v>
      </c>
      <c r="E11784" s="21" t="s">
        <v>35</v>
      </c>
      <c r="F11784">
        <v>2710002</v>
      </c>
      <c r="G11784" t="s">
        <v>6838</v>
      </c>
      <c r="H11784" s="21">
        <v>942.17</v>
      </c>
    </row>
    <row r="11785" spans="1:8" customFormat="1" x14ac:dyDescent="0.25">
      <c r="A11785" t="str">
        <f>"4432198"</f>
        <v>4432198</v>
      </c>
      <c r="B11785" t="s">
        <v>14827</v>
      </c>
      <c r="C11785" t="s">
        <v>40</v>
      </c>
      <c r="D11785" s="21" t="s">
        <v>34</v>
      </c>
      <c r="E11785" s="21" t="s">
        <v>35</v>
      </c>
      <c r="F11785">
        <v>12440054</v>
      </c>
      <c r="G11785" t="s">
        <v>5474</v>
      </c>
      <c r="H11785" s="21">
        <v>942.17</v>
      </c>
    </row>
    <row r="11786" spans="1:8" customFormat="1" x14ac:dyDescent="0.25">
      <c r="A11786" t="str">
        <f>"6810945"</f>
        <v>6810945</v>
      </c>
      <c r="B11786" t="s">
        <v>11281</v>
      </c>
      <c r="C11786" t="s">
        <v>239</v>
      </c>
      <c r="D11786" s="21" t="s">
        <v>34</v>
      </c>
      <c r="E11786" s="21" t="s">
        <v>71</v>
      </c>
      <c r="F11786">
        <v>6680059</v>
      </c>
      <c r="G11786" t="s">
        <v>11282</v>
      </c>
      <c r="H11786" s="21">
        <v>942.17</v>
      </c>
    </row>
    <row r="11787" spans="1:8" customFormat="1" x14ac:dyDescent="0.25">
      <c r="A11787" t="str">
        <f>"89413"</f>
        <v>89413</v>
      </c>
      <c r="B11787" t="s">
        <v>3072</v>
      </c>
      <c r="C11787" t="s">
        <v>1605</v>
      </c>
      <c r="D11787" s="21" t="s">
        <v>34</v>
      </c>
      <c r="E11787" s="21" t="s">
        <v>254</v>
      </c>
      <c r="F11787">
        <v>2890010</v>
      </c>
      <c r="G11787" t="s">
        <v>3790</v>
      </c>
      <c r="H11787" s="21">
        <v>942.17</v>
      </c>
    </row>
    <row r="11788" spans="1:8" customFormat="1" x14ac:dyDescent="0.25">
      <c r="A11788" t="str">
        <f>"678115"</f>
        <v>678115</v>
      </c>
      <c r="B11788" t="s">
        <v>12186</v>
      </c>
      <c r="C11788" t="s">
        <v>109</v>
      </c>
      <c r="D11788" s="21" t="s">
        <v>34</v>
      </c>
      <c r="E11788" s="21" t="s">
        <v>35</v>
      </c>
      <c r="F11788">
        <v>6670216</v>
      </c>
      <c r="G11788" t="s">
        <v>2194</v>
      </c>
      <c r="H11788" s="21">
        <v>942.17</v>
      </c>
    </row>
    <row r="11789" spans="1:8" customFormat="1" x14ac:dyDescent="0.25">
      <c r="A11789" t="str">
        <f>"5929078"</f>
        <v>5929078</v>
      </c>
      <c r="B11789" t="s">
        <v>8655</v>
      </c>
      <c r="C11789" t="s">
        <v>124</v>
      </c>
      <c r="D11789" s="21" t="s">
        <v>34</v>
      </c>
      <c r="E11789" s="21" t="s">
        <v>71</v>
      </c>
      <c r="F11789">
        <v>7590352</v>
      </c>
      <c r="G11789" t="s">
        <v>9634</v>
      </c>
      <c r="H11789" s="21">
        <v>942.17</v>
      </c>
    </row>
    <row r="11790" spans="1:8" customFormat="1" x14ac:dyDescent="0.25">
      <c r="A11790" t="str">
        <f>"724933"</f>
        <v>724933</v>
      </c>
      <c r="B11790" t="s">
        <v>11891</v>
      </c>
      <c r="C11790" t="s">
        <v>33</v>
      </c>
      <c r="D11790" s="21" t="s">
        <v>34</v>
      </c>
      <c r="E11790" s="21" t="s">
        <v>71</v>
      </c>
      <c r="F11790">
        <v>4370464</v>
      </c>
      <c r="G11790" t="s">
        <v>5348</v>
      </c>
      <c r="H11790" s="21">
        <v>942.17</v>
      </c>
    </row>
    <row r="11791" spans="1:8" customFormat="1" x14ac:dyDescent="0.25">
      <c r="A11791" t="str">
        <f>"8521299"</f>
        <v>8521299</v>
      </c>
      <c r="B11791" t="s">
        <v>12221</v>
      </c>
      <c r="C11791" t="s">
        <v>62</v>
      </c>
      <c r="D11791" s="21" t="s">
        <v>34</v>
      </c>
      <c r="E11791" s="21" t="s">
        <v>35</v>
      </c>
      <c r="F11791">
        <v>12850037</v>
      </c>
      <c r="G11791" t="s">
        <v>2787</v>
      </c>
      <c r="H11791" s="21">
        <v>942.17</v>
      </c>
    </row>
    <row r="11792" spans="1:8" customFormat="1" x14ac:dyDescent="0.25">
      <c r="A11792" t="str">
        <f>"9419480"</f>
        <v>9419480</v>
      </c>
      <c r="B11792" t="s">
        <v>10633</v>
      </c>
      <c r="C11792" t="s">
        <v>269</v>
      </c>
      <c r="D11792" s="21" t="s">
        <v>34</v>
      </c>
      <c r="E11792" s="21" t="s">
        <v>35</v>
      </c>
      <c r="F11792">
        <v>11110027</v>
      </c>
      <c r="G11792" t="s">
        <v>713</v>
      </c>
      <c r="H11792" s="21">
        <v>941.92</v>
      </c>
    </row>
    <row r="11793" spans="1:8" customFormat="1" x14ac:dyDescent="0.25">
      <c r="A11793" t="str">
        <f>"309052"</f>
        <v>309052</v>
      </c>
      <c r="B11793" t="s">
        <v>27220</v>
      </c>
      <c r="C11793" t="s">
        <v>96</v>
      </c>
      <c r="D11793" s="21" t="s">
        <v>34</v>
      </c>
      <c r="E11793" s="21" t="s">
        <v>35</v>
      </c>
      <c r="F11793">
        <v>11300047</v>
      </c>
      <c r="G11793" t="s">
        <v>9549</v>
      </c>
      <c r="H11793" s="21">
        <v>941.92</v>
      </c>
    </row>
    <row r="11794" spans="1:8" customFormat="1" x14ac:dyDescent="0.25">
      <c r="A11794" t="str">
        <f>"853850"</f>
        <v>853850</v>
      </c>
      <c r="B11794" t="s">
        <v>5077</v>
      </c>
      <c r="C11794" t="s">
        <v>119</v>
      </c>
      <c r="D11794" s="21" t="s">
        <v>34</v>
      </c>
      <c r="E11794" s="21" t="s">
        <v>71</v>
      </c>
      <c r="F11794">
        <v>12850104</v>
      </c>
      <c r="G11794" t="s">
        <v>6556</v>
      </c>
      <c r="H11794" s="21">
        <v>941.67</v>
      </c>
    </row>
    <row r="11795" spans="1:8" customFormat="1" x14ac:dyDescent="0.25">
      <c r="A11795" t="str">
        <f>"067021"</f>
        <v>067021</v>
      </c>
      <c r="B11795" t="s">
        <v>694</v>
      </c>
      <c r="C11795" t="s">
        <v>1714</v>
      </c>
      <c r="D11795" s="21" t="s">
        <v>34</v>
      </c>
      <c r="E11795" s="21" t="s">
        <v>254</v>
      </c>
      <c r="F11795">
        <v>13060064</v>
      </c>
      <c r="G11795" t="s">
        <v>976</v>
      </c>
      <c r="H11795" s="21">
        <v>941.67</v>
      </c>
    </row>
    <row r="11796" spans="1:8" customFormat="1" x14ac:dyDescent="0.25">
      <c r="A11796" t="str">
        <f>"41113"</f>
        <v>41113</v>
      </c>
      <c r="B11796" t="s">
        <v>11261</v>
      </c>
      <c r="C11796" t="s">
        <v>156</v>
      </c>
      <c r="D11796" s="21" t="s">
        <v>34</v>
      </c>
      <c r="E11796" s="21" t="s">
        <v>6185</v>
      </c>
      <c r="F11796">
        <v>4410016</v>
      </c>
      <c r="G11796" t="s">
        <v>4365</v>
      </c>
      <c r="H11796" s="21">
        <v>941.67</v>
      </c>
    </row>
    <row r="11797" spans="1:8" customFormat="1" x14ac:dyDescent="0.25">
      <c r="A11797" t="str">
        <f>"56174"</f>
        <v>56174</v>
      </c>
      <c r="B11797" t="s">
        <v>12403</v>
      </c>
      <c r="C11797" t="s">
        <v>1110</v>
      </c>
      <c r="D11797" s="21" t="s">
        <v>34</v>
      </c>
      <c r="E11797" s="21" t="s">
        <v>254</v>
      </c>
      <c r="F11797">
        <v>3560006</v>
      </c>
      <c r="G11797" t="s">
        <v>2708</v>
      </c>
      <c r="H11797" s="21">
        <v>941.67</v>
      </c>
    </row>
    <row r="11798" spans="1:8" customFormat="1" x14ac:dyDescent="0.25">
      <c r="A11798" t="str">
        <f>"508823"</f>
        <v>508823</v>
      </c>
      <c r="B11798" t="s">
        <v>11280</v>
      </c>
      <c r="C11798" t="s">
        <v>198</v>
      </c>
      <c r="D11798" s="21" t="s">
        <v>34</v>
      </c>
      <c r="E11798" s="21" t="s">
        <v>71</v>
      </c>
      <c r="F11798">
        <v>9500009</v>
      </c>
      <c r="G11798" t="s">
        <v>2230</v>
      </c>
      <c r="H11798" s="21">
        <v>941.67</v>
      </c>
    </row>
    <row r="11799" spans="1:8" customFormat="1" x14ac:dyDescent="0.25">
      <c r="A11799" t="str">
        <f>"947679"</f>
        <v>947679</v>
      </c>
      <c r="B11799" t="s">
        <v>10893</v>
      </c>
      <c r="C11799" t="s">
        <v>119</v>
      </c>
      <c r="D11799" s="21" t="s">
        <v>34</v>
      </c>
      <c r="E11799" s="21" t="s">
        <v>35</v>
      </c>
      <c r="F11799">
        <v>8940459</v>
      </c>
      <c r="G11799" t="s">
        <v>743</v>
      </c>
      <c r="H11799" s="21">
        <v>941.67</v>
      </c>
    </row>
    <row r="11800" spans="1:8" customFormat="1" x14ac:dyDescent="0.25">
      <c r="A11800" t="str">
        <f>"785486"</f>
        <v>785486</v>
      </c>
      <c r="B11800" t="s">
        <v>6357</v>
      </c>
      <c r="C11800" t="s">
        <v>415</v>
      </c>
      <c r="D11800" s="21" t="s">
        <v>34</v>
      </c>
      <c r="E11800" s="21" t="s">
        <v>71</v>
      </c>
      <c r="F11800">
        <v>8780338</v>
      </c>
      <c r="G11800" t="s">
        <v>4145</v>
      </c>
      <c r="H11800" s="21">
        <v>941.67</v>
      </c>
    </row>
    <row r="11801" spans="1:8" customFormat="1" x14ac:dyDescent="0.25">
      <c r="A11801" t="str">
        <f>"721233"</f>
        <v>721233</v>
      </c>
      <c r="B11801" t="s">
        <v>10132</v>
      </c>
      <c r="C11801" t="s">
        <v>598</v>
      </c>
      <c r="D11801" s="21" t="s">
        <v>34</v>
      </c>
      <c r="E11801" s="21" t="s">
        <v>254</v>
      </c>
      <c r="F11801">
        <v>12720041</v>
      </c>
      <c r="G11801" t="s">
        <v>4240</v>
      </c>
      <c r="H11801" s="21">
        <v>941.67</v>
      </c>
    </row>
    <row r="11802" spans="1:8" customFormat="1" x14ac:dyDescent="0.25">
      <c r="A11802" t="str">
        <f>"4111460"</f>
        <v>4111460</v>
      </c>
      <c r="B11802" t="s">
        <v>10791</v>
      </c>
      <c r="C11802" t="s">
        <v>40</v>
      </c>
      <c r="D11802" s="21" t="s">
        <v>34</v>
      </c>
      <c r="E11802" s="21" t="s">
        <v>254</v>
      </c>
      <c r="F11802">
        <v>4410726</v>
      </c>
      <c r="G11802" t="s">
        <v>7298</v>
      </c>
      <c r="H11802" s="21">
        <v>941.67</v>
      </c>
    </row>
    <row r="11803" spans="1:8" customFormat="1" x14ac:dyDescent="0.25">
      <c r="A11803" t="str">
        <f>"5945195"</f>
        <v>5945195</v>
      </c>
      <c r="B11803" t="s">
        <v>12876</v>
      </c>
      <c r="C11803" t="s">
        <v>43</v>
      </c>
      <c r="D11803" s="21" t="s">
        <v>34</v>
      </c>
      <c r="E11803" s="21" t="s">
        <v>35</v>
      </c>
      <c r="F11803">
        <v>7590023</v>
      </c>
      <c r="G11803" t="s">
        <v>7058</v>
      </c>
      <c r="H11803" s="21">
        <v>941.67</v>
      </c>
    </row>
    <row r="11804" spans="1:8" customFormat="1" x14ac:dyDescent="0.25">
      <c r="A11804" t="str">
        <f>"7511379"</f>
        <v>7511379</v>
      </c>
      <c r="B11804" t="s">
        <v>9917</v>
      </c>
      <c r="C11804" t="s">
        <v>4721</v>
      </c>
      <c r="D11804" s="21" t="s">
        <v>34</v>
      </c>
      <c r="E11804" s="21" t="s">
        <v>1089</v>
      </c>
      <c r="F11804">
        <v>8751423</v>
      </c>
      <c r="G11804" t="s">
        <v>4556</v>
      </c>
      <c r="H11804" s="21">
        <v>941.67</v>
      </c>
    </row>
    <row r="11805" spans="1:8" customFormat="1" x14ac:dyDescent="0.25">
      <c r="A11805" t="str">
        <f>"1412762"</f>
        <v>1412762</v>
      </c>
      <c r="B11805" t="s">
        <v>11456</v>
      </c>
      <c r="C11805" t="s">
        <v>198</v>
      </c>
      <c r="D11805" s="21" t="s">
        <v>34</v>
      </c>
      <c r="E11805" s="21" t="s">
        <v>71</v>
      </c>
      <c r="F11805">
        <v>9610040</v>
      </c>
      <c r="G11805" t="s">
        <v>10321</v>
      </c>
      <c r="H11805" s="21">
        <v>941.67</v>
      </c>
    </row>
    <row r="11806" spans="1:8" customFormat="1" x14ac:dyDescent="0.25">
      <c r="A11806" t="str">
        <f>"1711310"</f>
        <v>1711310</v>
      </c>
      <c r="B11806" t="s">
        <v>9784</v>
      </c>
      <c r="C11806" t="s">
        <v>55</v>
      </c>
      <c r="D11806" s="21" t="s">
        <v>34</v>
      </c>
      <c r="E11806" s="21" t="s">
        <v>71</v>
      </c>
      <c r="F11806">
        <v>10170223</v>
      </c>
      <c r="G11806" t="s">
        <v>7057</v>
      </c>
      <c r="H11806" s="21">
        <v>941.67</v>
      </c>
    </row>
    <row r="11807" spans="1:8" customFormat="1" x14ac:dyDescent="0.25">
      <c r="A11807" t="str">
        <f>"2931525"</f>
        <v>2931525</v>
      </c>
      <c r="B11807" t="s">
        <v>11043</v>
      </c>
      <c r="C11807" t="s">
        <v>1199</v>
      </c>
      <c r="D11807" s="21" t="s">
        <v>34</v>
      </c>
      <c r="E11807" s="21" t="s">
        <v>254</v>
      </c>
      <c r="F11807">
        <v>3290275</v>
      </c>
      <c r="G11807" t="s">
        <v>4762</v>
      </c>
      <c r="H11807" s="21">
        <v>941.67</v>
      </c>
    </row>
    <row r="11808" spans="1:8" customFormat="1" x14ac:dyDescent="0.25">
      <c r="A11808" t="str">
        <f>"5010990"</f>
        <v>5010990</v>
      </c>
      <c r="B11808" t="s">
        <v>11125</v>
      </c>
      <c r="C11808" t="s">
        <v>90</v>
      </c>
      <c r="D11808" s="21" t="s">
        <v>34</v>
      </c>
      <c r="E11808" s="21" t="s">
        <v>35</v>
      </c>
      <c r="F11808">
        <v>9500031</v>
      </c>
      <c r="G11808" t="s">
        <v>11126</v>
      </c>
      <c r="H11808" s="21">
        <v>941.67</v>
      </c>
    </row>
    <row r="11809" spans="1:8" customFormat="1" x14ac:dyDescent="0.25">
      <c r="A11809" t="str">
        <f>"2516625"</f>
        <v>2516625</v>
      </c>
      <c r="B11809" t="s">
        <v>27221</v>
      </c>
      <c r="C11809" t="s">
        <v>1705</v>
      </c>
      <c r="D11809" s="21" t="s">
        <v>34</v>
      </c>
      <c r="E11809" s="21" t="s">
        <v>71</v>
      </c>
      <c r="F11809">
        <v>2250125</v>
      </c>
      <c r="G11809" t="s">
        <v>26911</v>
      </c>
      <c r="H11809" s="21">
        <v>941.54</v>
      </c>
    </row>
    <row r="11810" spans="1:8" customFormat="1" x14ac:dyDescent="0.25">
      <c r="A11810" t="str">
        <f>"5320506"</f>
        <v>5320506</v>
      </c>
      <c r="B11810" t="s">
        <v>10310</v>
      </c>
      <c r="C11810" t="s">
        <v>253</v>
      </c>
      <c r="D11810" s="21" t="s">
        <v>34</v>
      </c>
      <c r="E11810" s="21" t="s">
        <v>254</v>
      </c>
      <c r="F11810">
        <v>12530077</v>
      </c>
      <c r="G11810" t="s">
        <v>9191</v>
      </c>
      <c r="H11810" s="21">
        <v>941.5</v>
      </c>
    </row>
    <row r="11811" spans="1:8" customFormat="1" x14ac:dyDescent="0.25">
      <c r="A11811" t="str">
        <f>"787546"</f>
        <v>787546</v>
      </c>
      <c r="B11811" t="s">
        <v>1258</v>
      </c>
      <c r="C11811" t="s">
        <v>27222</v>
      </c>
      <c r="D11811" s="21" t="s">
        <v>34</v>
      </c>
      <c r="E11811" s="21" t="s">
        <v>71</v>
      </c>
      <c r="F11811">
        <v>8780871</v>
      </c>
      <c r="G11811" t="s">
        <v>3405</v>
      </c>
      <c r="H11811" s="21">
        <v>941.5</v>
      </c>
    </row>
    <row r="11812" spans="1:8" customFormat="1" x14ac:dyDescent="0.25">
      <c r="A11812" t="str">
        <f>"4414945"</f>
        <v>4414945</v>
      </c>
      <c r="B11812" t="s">
        <v>10626</v>
      </c>
      <c r="C11812" t="s">
        <v>209</v>
      </c>
      <c r="D11812" s="21" t="s">
        <v>34</v>
      </c>
      <c r="E11812" s="21" t="s">
        <v>71</v>
      </c>
      <c r="F11812">
        <v>12440093</v>
      </c>
      <c r="G11812" t="s">
        <v>10627</v>
      </c>
      <c r="H11812" s="21">
        <v>941.42</v>
      </c>
    </row>
    <row r="11813" spans="1:8" customFormat="1" x14ac:dyDescent="0.25">
      <c r="A11813" t="str">
        <f>"7810976"</f>
        <v>7810976</v>
      </c>
      <c r="B11813" t="s">
        <v>7469</v>
      </c>
      <c r="C11813" t="s">
        <v>817</v>
      </c>
      <c r="D11813" s="21" t="s">
        <v>34</v>
      </c>
      <c r="E11813" s="21" t="s">
        <v>35</v>
      </c>
      <c r="F11813">
        <v>8780886</v>
      </c>
      <c r="G11813" t="s">
        <v>3161</v>
      </c>
      <c r="H11813" s="21">
        <v>941.29</v>
      </c>
    </row>
    <row r="11814" spans="1:8" customFormat="1" x14ac:dyDescent="0.25">
      <c r="A11814" t="str">
        <f>"6213635"</f>
        <v>6213635</v>
      </c>
      <c r="B11814" t="s">
        <v>10000</v>
      </c>
      <c r="C11814" t="s">
        <v>209</v>
      </c>
      <c r="D11814" s="21" t="s">
        <v>34</v>
      </c>
      <c r="E11814" s="21" t="s">
        <v>254</v>
      </c>
      <c r="F11814">
        <v>7620147</v>
      </c>
      <c r="G11814" t="s">
        <v>4455</v>
      </c>
      <c r="H11814" s="21">
        <v>941.17</v>
      </c>
    </row>
    <row r="11815" spans="1:8" customFormat="1" x14ac:dyDescent="0.25">
      <c r="A11815" t="str">
        <f>"4412519"</f>
        <v>4412519</v>
      </c>
      <c r="B11815" t="s">
        <v>11277</v>
      </c>
      <c r="C11815" t="s">
        <v>249</v>
      </c>
      <c r="D11815" s="21" t="s">
        <v>34</v>
      </c>
      <c r="E11815" s="21" t="s">
        <v>71</v>
      </c>
      <c r="F11815">
        <v>12440125</v>
      </c>
      <c r="G11815" t="s">
        <v>8347</v>
      </c>
      <c r="H11815" s="21">
        <v>941.17</v>
      </c>
    </row>
    <row r="11816" spans="1:8" customFormat="1" x14ac:dyDescent="0.25">
      <c r="A11816" t="str">
        <f>"519096"</f>
        <v>519096</v>
      </c>
      <c r="B11816" t="s">
        <v>10761</v>
      </c>
      <c r="C11816" t="s">
        <v>926</v>
      </c>
      <c r="D11816" s="21" t="s">
        <v>34</v>
      </c>
      <c r="E11816" s="21" t="s">
        <v>71</v>
      </c>
      <c r="F11816">
        <v>6510114</v>
      </c>
      <c r="G11816" t="s">
        <v>14120</v>
      </c>
      <c r="H11816" s="21">
        <v>941.17</v>
      </c>
    </row>
    <row r="11817" spans="1:8" customFormat="1" x14ac:dyDescent="0.25">
      <c r="A11817" t="str">
        <f>"475984"</f>
        <v>475984</v>
      </c>
      <c r="B11817" t="s">
        <v>11698</v>
      </c>
      <c r="C11817" t="s">
        <v>239</v>
      </c>
      <c r="D11817" s="21" t="s">
        <v>34</v>
      </c>
      <c r="E11817" s="21" t="s">
        <v>71</v>
      </c>
      <c r="F11817">
        <v>10470026</v>
      </c>
      <c r="G11817" t="s">
        <v>27223</v>
      </c>
      <c r="H11817" s="21">
        <v>941.17</v>
      </c>
    </row>
    <row r="11818" spans="1:8" customFormat="1" x14ac:dyDescent="0.25">
      <c r="A11818" t="str">
        <f>"1423024"</f>
        <v>1423024</v>
      </c>
      <c r="B11818" t="s">
        <v>1593</v>
      </c>
      <c r="C11818" t="s">
        <v>82</v>
      </c>
      <c r="D11818" s="21" t="s">
        <v>34</v>
      </c>
      <c r="E11818" s="21" t="s">
        <v>35</v>
      </c>
      <c r="F11818">
        <v>9140115</v>
      </c>
      <c r="G11818" t="s">
        <v>26590</v>
      </c>
      <c r="H11818" s="21">
        <v>941.17</v>
      </c>
    </row>
    <row r="11819" spans="1:8" customFormat="1" x14ac:dyDescent="0.25">
      <c r="A11819" t="str">
        <f>"0110655"</f>
        <v>0110655</v>
      </c>
      <c r="B11819" t="s">
        <v>11146</v>
      </c>
      <c r="C11819" t="s">
        <v>267</v>
      </c>
      <c r="D11819" s="21" t="s">
        <v>34</v>
      </c>
      <c r="E11819" s="21" t="s">
        <v>1089</v>
      </c>
      <c r="F11819">
        <v>1010069</v>
      </c>
      <c r="G11819" t="s">
        <v>1707</v>
      </c>
      <c r="H11819" s="21">
        <v>941.17</v>
      </c>
    </row>
    <row r="11820" spans="1:8" customFormat="1" x14ac:dyDescent="0.25">
      <c r="A11820" t="str">
        <f>"62788"</f>
        <v>62788</v>
      </c>
      <c r="B11820" t="s">
        <v>10555</v>
      </c>
      <c r="C11820" t="s">
        <v>156</v>
      </c>
      <c r="D11820" s="21" t="s">
        <v>34</v>
      </c>
      <c r="E11820" s="21" t="s">
        <v>71</v>
      </c>
      <c r="F11820">
        <v>7620067</v>
      </c>
      <c r="G11820" t="s">
        <v>860</v>
      </c>
      <c r="H11820" s="21">
        <v>941.17</v>
      </c>
    </row>
    <row r="11821" spans="1:8" customFormat="1" x14ac:dyDescent="0.25">
      <c r="A11821" t="str">
        <f>"4433341"</f>
        <v>4433341</v>
      </c>
      <c r="B11821" t="s">
        <v>10524</v>
      </c>
      <c r="C11821" t="s">
        <v>96</v>
      </c>
      <c r="D11821" s="21" t="s">
        <v>34</v>
      </c>
      <c r="E11821" s="21" t="s">
        <v>35</v>
      </c>
      <c r="F11821">
        <v>12440138</v>
      </c>
      <c r="G11821" t="s">
        <v>562</v>
      </c>
      <c r="H11821" s="21">
        <v>941.17</v>
      </c>
    </row>
    <row r="11822" spans="1:8" customFormat="1" x14ac:dyDescent="0.25">
      <c r="A11822" t="str">
        <f>"394064"</f>
        <v>394064</v>
      </c>
      <c r="B11822" t="s">
        <v>12854</v>
      </c>
      <c r="C11822" t="s">
        <v>1588</v>
      </c>
      <c r="D11822" s="21" t="s">
        <v>34</v>
      </c>
      <c r="E11822" s="21" t="s">
        <v>254</v>
      </c>
      <c r="F11822">
        <v>2390007</v>
      </c>
      <c r="G11822" t="s">
        <v>3365</v>
      </c>
      <c r="H11822" s="21">
        <v>941.17</v>
      </c>
    </row>
    <row r="11823" spans="1:8" customFormat="1" x14ac:dyDescent="0.25">
      <c r="A11823" t="str">
        <f>"7710189"</f>
        <v>7710189</v>
      </c>
      <c r="B11823" t="s">
        <v>9100</v>
      </c>
      <c r="C11823" t="s">
        <v>11707</v>
      </c>
      <c r="D11823" s="21" t="s">
        <v>34</v>
      </c>
      <c r="E11823" s="21" t="s">
        <v>254</v>
      </c>
      <c r="F11823">
        <v>8770562</v>
      </c>
      <c r="G11823" t="s">
        <v>4847</v>
      </c>
      <c r="H11823" s="21">
        <v>941.04</v>
      </c>
    </row>
    <row r="11824" spans="1:8" customFormat="1" x14ac:dyDescent="0.25">
      <c r="A11824" t="str">
        <f>"8610584"</f>
        <v>8610584</v>
      </c>
      <c r="B11824" t="s">
        <v>11317</v>
      </c>
      <c r="C11824" t="s">
        <v>87</v>
      </c>
      <c r="D11824" s="21" t="s">
        <v>34</v>
      </c>
      <c r="E11824" s="21" t="s">
        <v>35</v>
      </c>
      <c r="F11824">
        <v>10860122</v>
      </c>
      <c r="G11824" t="s">
        <v>3800</v>
      </c>
      <c r="H11824" s="21">
        <v>941.04</v>
      </c>
    </row>
    <row r="11825" spans="1:8" customFormat="1" x14ac:dyDescent="0.25">
      <c r="A11825" t="str">
        <f>"3322140"</f>
        <v>3322140</v>
      </c>
      <c r="B11825" t="s">
        <v>1094</v>
      </c>
      <c r="C11825" t="s">
        <v>428</v>
      </c>
      <c r="D11825" s="21" t="s">
        <v>34</v>
      </c>
      <c r="E11825" s="21" t="s">
        <v>71</v>
      </c>
      <c r="F11825">
        <v>10330050</v>
      </c>
      <c r="G11825" t="s">
        <v>2488</v>
      </c>
      <c r="H11825" s="21">
        <v>940.79</v>
      </c>
    </row>
    <row r="11826" spans="1:8" customFormat="1" x14ac:dyDescent="0.25">
      <c r="A11826" t="str">
        <f>"4420753"</f>
        <v>4420753</v>
      </c>
      <c r="B11826" t="s">
        <v>907</v>
      </c>
      <c r="C11826" t="s">
        <v>130</v>
      </c>
      <c r="D11826" s="21" t="s">
        <v>34</v>
      </c>
      <c r="E11826" s="21" t="s">
        <v>71</v>
      </c>
      <c r="F11826">
        <v>12440033</v>
      </c>
      <c r="G11826" t="s">
        <v>1638</v>
      </c>
      <c r="H11826" s="21">
        <v>940.67</v>
      </c>
    </row>
    <row r="11827" spans="1:8" customFormat="1" x14ac:dyDescent="0.25">
      <c r="A11827" t="str">
        <f>"685654"</f>
        <v>685654</v>
      </c>
      <c r="B11827" t="s">
        <v>9506</v>
      </c>
      <c r="C11827" t="s">
        <v>40</v>
      </c>
      <c r="D11827" s="21" t="s">
        <v>34</v>
      </c>
      <c r="E11827" s="21" t="s">
        <v>254</v>
      </c>
      <c r="F11827">
        <v>6680071</v>
      </c>
      <c r="G11827" t="s">
        <v>2899</v>
      </c>
      <c r="H11827" s="21">
        <v>940.67</v>
      </c>
    </row>
    <row r="11828" spans="1:8" customFormat="1" x14ac:dyDescent="0.25">
      <c r="A11828" t="str">
        <f>"7852632"</f>
        <v>7852632</v>
      </c>
      <c r="B11828" t="s">
        <v>10322</v>
      </c>
      <c r="C11828" t="s">
        <v>10323</v>
      </c>
      <c r="D11828" s="21" t="s">
        <v>34</v>
      </c>
      <c r="E11828" s="21" t="s">
        <v>35</v>
      </c>
      <c r="F11828">
        <v>1690166</v>
      </c>
      <c r="G11828" t="s">
        <v>3886</v>
      </c>
      <c r="H11828" s="21">
        <v>940.67</v>
      </c>
    </row>
    <row r="11829" spans="1:8" customFormat="1" x14ac:dyDescent="0.25">
      <c r="A11829" t="str">
        <f>"5962760"</f>
        <v>5962760</v>
      </c>
      <c r="B11829" t="s">
        <v>108</v>
      </c>
      <c r="C11829" t="s">
        <v>60</v>
      </c>
      <c r="D11829" s="21" t="s">
        <v>34</v>
      </c>
      <c r="E11829" s="21" t="s">
        <v>71</v>
      </c>
      <c r="F11829">
        <v>7590123</v>
      </c>
      <c r="G11829" t="s">
        <v>85</v>
      </c>
      <c r="H11829" s="21">
        <v>940.67</v>
      </c>
    </row>
    <row r="11830" spans="1:8" customFormat="1" x14ac:dyDescent="0.25">
      <c r="A11830" t="str">
        <f>"9714806"</f>
        <v>9714806</v>
      </c>
      <c r="B11830" t="s">
        <v>9940</v>
      </c>
      <c r="C11830" t="s">
        <v>10921</v>
      </c>
      <c r="D11830" s="21" t="s">
        <v>34</v>
      </c>
      <c r="E11830" s="21" t="s">
        <v>254</v>
      </c>
      <c r="F11830" t="s">
        <v>731</v>
      </c>
      <c r="G11830" t="s">
        <v>732</v>
      </c>
      <c r="H11830" s="21">
        <v>940.67</v>
      </c>
    </row>
    <row r="11831" spans="1:8" customFormat="1" x14ac:dyDescent="0.25">
      <c r="A11831" t="str">
        <f>"185200"</f>
        <v>185200</v>
      </c>
      <c r="B11831" t="s">
        <v>10997</v>
      </c>
      <c r="C11831" t="s">
        <v>65</v>
      </c>
      <c r="D11831" s="21" t="s">
        <v>34</v>
      </c>
      <c r="E11831" s="21" t="s">
        <v>35</v>
      </c>
      <c r="F11831">
        <v>4180726</v>
      </c>
      <c r="G11831" t="s">
        <v>10998</v>
      </c>
      <c r="H11831" s="21">
        <v>940.67</v>
      </c>
    </row>
    <row r="11832" spans="1:8" customFormat="1" x14ac:dyDescent="0.25">
      <c r="A11832" t="str">
        <f>"769263"</f>
        <v>769263</v>
      </c>
      <c r="B11832" t="s">
        <v>6157</v>
      </c>
      <c r="C11832" t="s">
        <v>825</v>
      </c>
      <c r="D11832" s="21" t="s">
        <v>34</v>
      </c>
      <c r="E11832" s="21" t="s">
        <v>71</v>
      </c>
      <c r="F11832">
        <v>9760034</v>
      </c>
      <c r="G11832" t="s">
        <v>1242</v>
      </c>
      <c r="H11832" s="21">
        <v>940.67</v>
      </c>
    </row>
    <row r="11833" spans="1:8" customFormat="1" x14ac:dyDescent="0.25">
      <c r="A11833" t="str">
        <f>"2922906"</f>
        <v>2922906</v>
      </c>
      <c r="B11833" t="s">
        <v>7544</v>
      </c>
      <c r="C11833" t="s">
        <v>269</v>
      </c>
      <c r="D11833" s="21" t="s">
        <v>34</v>
      </c>
      <c r="E11833" s="21" t="s">
        <v>71</v>
      </c>
      <c r="F11833">
        <v>3290275</v>
      </c>
      <c r="G11833" t="s">
        <v>4762</v>
      </c>
      <c r="H11833" s="21">
        <v>940.67</v>
      </c>
    </row>
    <row r="11834" spans="1:8" customFormat="1" x14ac:dyDescent="0.25">
      <c r="A11834" t="str">
        <f>"6910528"</f>
        <v>6910528</v>
      </c>
      <c r="B11834" t="s">
        <v>11908</v>
      </c>
      <c r="C11834" t="s">
        <v>269</v>
      </c>
      <c r="D11834" s="21" t="s">
        <v>34</v>
      </c>
      <c r="E11834" s="21" t="s">
        <v>35</v>
      </c>
      <c r="F11834">
        <v>1690162</v>
      </c>
      <c r="G11834" t="s">
        <v>7358</v>
      </c>
      <c r="H11834" s="21">
        <v>940.67</v>
      </c>
    </row>
    <row r="11835" spans="1:8" customFormat="1" x14ac:dyDescent="0.25">
      <c r="A11835" t="str">
        <f>"404799"</f>
        <v>404799</v>
      </c>
      <c r="B11835" t="s">
        <v>12292</v>
      </c>
      <c r="C11835" t="s">
        <v>87</v>
      </c>
      <c r="D11835" s="21" t="s">
        <v>34</v>
      </c>
      <c r="E11835" s="21" t="s">
        <v>35</v>
      </c>
      <c r="F11835">
        <v>10400016</v>
      </c>
      <c r="G11835" t="s">
        <v>9271</v>
      </c>
      <c r="H11835" s="21">
        <v>940.67</v>
      </c>
    </row>
    <row r="11836" spans="1:8" customFormat="1" x14ac:dyDescent="0.25">
      <c r="A11836" t="str">
        <f>"6010396"</f>
        <v>6010396</v>
      </c>
      <c r="B11836" t="s">
        <v>10506</v>
      </c>
      <c r="C11836" t="s">
        <v>285</v>
      </c>
      <c r="D11836" s="21" t="s">
        <v>34</v>
      </c>
      <c r="E11836" s="21" t="s">
        <v>35</v>
      </c>
      <c r="F11836">
        <v>7600016</v>
      </c>
      <c r="G11836" t="s">
        <v>6215</v>
      </c>
      <c r="H11836" s="21">
        <v>940.67</v>
      </c>
    </row>
    <row r="11837" spans="1:8" customFormat="1" x14ac:dyDescent="0.25">
      <c r="A11837" t="str">
        <f>"412453"</f>
        <v>412453</v>
      </c>
      <c r="B11837" t="s">
        <v>15042</v>
      </c>
      <c r="C11837" t="s">
        <v>27224</v>
      </c>
      <c r="D11837" s="21" t="s">
        <v>34</v>
      </c>
      <c r="E11837" s="21" t="s">
        <v>35</v>
      </c>
      <c r="F11837">
        <v>4410543</v>
      </c>
      <c r="G11837" t="s">
        <v>14950</v>
      </c>
      <c r="H11837" s="21">
        <v>940.42</v>
      </c>
    </row>
    <row r="11838" spans="1:8" customFormat="1" x14ac:dyDescent="0.25">
      <c r="A11838" t="str">
        <f>"2924575"</f>
        <v>2924575</v>
      </c>
      <c r="B11838" t="s">
        <v>9723</v>
      </c>
      <c r="C11838" t="s">
        <v>1605</v>
      </c>
      <c r="D11838" s="21" t="s">
        <v>34</v>
      </c>
      <c r="E11838" s="21" t="s">
        <v>35</v>
      </c>
      <c r="F11838">
        <v>3290255</v>
      </c>
      <c r="G11838" t="s">
        <v>2852</v>
      </c>
      <c r="H11838" s="21">
        <v>940.42</v>
      </c>
    </row>
    <row r="11839" spans="1:8" customFormat="1" x14ac:dyDescent="0.25">
      <c r="A11839" t="str">
        <f>"4446195"</f>
        <v>4446195</v>
      </c>
      <c r="B11839" t="s">
        <v>12394</v>
      </c>
      <c r="C11839" t="s">
        <v>204</v>
      </c>
      <c r="D11839" s="21" t="s">
        <v>34</v>
      </c>
      <c r="E11839" s="21" t="s">
        <v>35</v>
      </c>
      <c r="F11839">
        <v>12850026</v>
      </c>
      <c r="G11839" t="s">
        <v>1400</v>
      </c>
      <c r="H11839" s="21">
        <v>940.42</v>
      </c>
    </row>
    <row r="11840" spans="1:8" customFormat="1" x14ac:dyDescent="0.25">
      <c r="A11840" t="str">
        <f>"911232"</f>
        <v>911232</v>
      </c>
      <c r="B11840" t="s">
        <v>889</v>
      </c>
      <c r="C11840" t="s">
        <v>598</v>
      </c>
      <c r="D11840" s="21" t="s">
        <v>34</v>
      </c>
      <c r="E11840" s="21" t="s">
        <v>254</v>
      </c>
      <c r="F11840">
        <v>8910042</v>
      </c>
      <c r="G11840" t="s">
        <v>4009</v>
      </c>
      <c r="H11840" s="21">
        <v>940.29</v>
      </c>
    </row>
    <row r="11841" spans="1:8" customFormat="1" x14ac:dyDescent="0.25">
      <c r="A11841" t="str">
        <f>"573321"</f>
        <v>573321</v>
      </c>
      <c r="B11841" t="s">
        <v>11129</v>
      </c>
      <c r="C11841" t="s">
        <v>209</v>
      </c>
      <c r="D11841" s="21" t="s">
        <v>34</v>
      </c>
      <c r="E11841" s="21" t="s">
        <v>35</v>
      </c>
      <c r="F11841">
        <v>6570073</v>
      </c>
      <c r="G11841" t="s">
        <v>952</v>
      </c>
      <c r="H11841" s="21">
        <v>940.17</v>
      </c>
    </row>
    <row r="11842" spans="1:8" customFormat="1" x14ac:dyDescent="0.25">
      <c r="A11842" t="str">
        <f>"807321"</f>
        <v>807321</v>
      </c>
      <c r="B11842" t="s">
        <v>8976</v>
      </c>
      <c r="C11842" t="s">
        <v>239</v>
      </c>
      <c r="D11842" s="21" t="s">
        <v>34</v>
      </c>
      <c r="E11842" s="21" t="s">
        <v>71</v>
      </c>
      <c r="F11842">
        <v>7800061</v>
      </c>
      <c r="G11842" t="s">
        <v>1330</v>
      </c>
      <c r="H11842" s="21">
        <v>940.17</v>
      </c>
    </row>
    <row r="11843" spans="1:8" customFormat="1" x14ac:dyDescent="0.25">
      <c r="A11843" t="str">
        <f>"6314485"</f>
        <v>6314485</v>
      </c>
      <c r="B11843" t="s">
        <v>11301</v>
      </c>
      <c r="C11843" t="s">
        <v>11302</v>
      </c>
      <c r="D11843" s="21" t="s">
        <v>34</v>
      </c>
      <c r="E11843" s="21" t="s">
        <v>35</v>
      </c>
      <c r="F11843">
        <v>1630191</v>
      </c>
      <c r="G11843" t="s">
        <v>11303</v>
      </c>
      <c r="H11843" s="21">
        <v>940.17</v>
      </c>
    </row>
    <row r="11844" spans="1:8" customFormat="1" x14ac:dyDescent="0.25">
      <c r="A11844" t="str">
        <f>"3518951"</f>
        <v>3518951</v>
      </c>
      <c r="B11844" t="s">
        <v>4878</v>
      </c>
      <c r="C11844" t="s">
        <v>246</v>
      </c>
      <c r="D11844" s="21" t="s">
        <v>34</v>
      </c>
      <c r="E11844" s="21" t="s">
        <v>71</v>
      </c>
      <c r="F11844">
        <v>3350014</v>
      </c>
      <c r="G11844" t="s">
        <v>1078</v>
      </c>
      <c r="H11844" s="21">
        <v>940.17</v>
      </c>
    </row>
    <row r="11845" spans="1:8" customFormat="1" x14ac:dyDescent="0.25">
      <c r="A11845" t="str">
        <f>"7641757"</f>
        <v>7641757</v>
      </c>
      <c r="B11845" t="s">
        <v>10977</v>
      </c>
      <c r="C11845" t="s">
        <v>43</v>
      </c>
      <c r="D11845" s="21" t="s">
        <v>34</v>
      </c>
      <c r="E11845" s="21" t="s">
        <v>71</v>
      </c>
      <c r="F11845">
        <v>9760221</v>
      </c>
      <c r="G11845" t="s">
        <v>1306</v>
      </c>
      <c r="H11845" s="21">
        <v>940.17</v>
      </c>
    </row>
    <row r="11846" spans="1:8" customFormat="1" x14ac:dyDescent="0.25">
      <c r="A11846" t="str">
        <f>"308327"</f>
        <v>308327</v>
      </c>
      <c r="B11846" t="s">
        <v>10359</v>
      </c>
      <c r="C11846" t="s">
        <v>60</v>
      </c>
      <c r="D11846" s="21" t="s">
        <v>34</v>
      </c>
      <c r="E11846" s="21" t="s">
        <v>35</v>
      </c>
      <c r="F11846">
        <v>3560059</v>
      </c>
      <c r="G11846" t="s">
        <v>2033</v>
      </c>
      <c r="H11846" s="21">
        <v>940.17</v>
      </c>
    </row>
    <row r="11847" spans="1:8" customFormat="1" x14ac:dyDescent="0.25">
      <c r="A11847" t="str">
        <f>"564966"</f>
        <v>564966</v>
      </c>
      <c r="B11847" t="s">
        <v>12002</v>
      </c>
      <c r="C11847" t="s">
        <v>1271</v>
      </c>
      <c r="D11847" s="21" t="s">
        <v>34</v>
      </c>
      <c r="E11847" s="21" t="s">
        <v>254</v>
      </c>
      <c r="F11847">
        <v>3560036</v>
      </c>
      <c r="G11847" t="s">
        <v>910</v>
      </c>
      <c r="H11847" s="21">
        <v>940.17</v>
      </c>
    </row>
    <row r="11848" spans="1:8" customFormat="1" x14ac:dyDescent="0.25">
      <c r="A11848" t="str">
        <f>"594917"</f>
        <v>594917</v>
      </c>
      <c r="B11848" t="s">
        <v>10758</v>
      </c>
      <c r="C11848" t="s">
        <v>109</v>
      </c>
      <c r="D11848" s="21" t="s">
        <v>34</v>
      </c>
      <c r="E11848" s="21" t="s">
        <v>35</v>
      </c>
      <c r="F11848">
        <v>7590338</v>
      </c>
      <c r="G11848" t="s">
        <v>682</v>
      </c>
      <c r="H11848" s="21">
        <v>939.92</v>
      </c>
    </row>
    <row r="11849" spans="1:8" customFormat="1" x14ac:dyDescent="0.25">
      <c r="A11849" t="str">
        <f>"6915503"</f>
        <v>6915503</v>
      </c>
      <c r="B11849" t="s">
        <v>8129</v>
      </c>
      <c r="C11849" t="s">
        <v>1841</v>
      </c>
      <c r="D11849" s="21" t="s">
        <v>34</v>
      </c>
      <c r="E11849" s="21" t="s">
        <v>254</v>
      </c>
      <c r="F11849">
        <v>1690185</v>
      </c>
      <c r="G11849" t="s">
        <v>10841</v>
      </c>
      <c r="H11849" s="21">
        <v>939.92</v>
      </c>
    </row>
    <row r="11850" spans="1:8" customFormat="1" x14ac:dyDescent="0.25">
      <c r="A11850" t="str">
        <f>"7724786"</f>
        <v>7724786</v>
      </c>
      <c r="B11850" t="s">
        <v>12133</v>
      </c>
      <c r="C11850" t="s">
        <v>187</v>
      </c>
      <c r="D11850" s="21" t="s">
        <v>34</v>
      </c>
      <c r="E11850" s="21" t="s">
        <v>35</v>
      </c>
      <c r="F11850">
        <v>8771236</v>
      </c>
      <c r="G11850" t="s">
        <v>386</v>
      </c>
      <c r="H11850" s="21">
        <v>939.79</v>
      </c>
    </row>
    <row r="11851" spans="1:8" customFormat="1" x14ac:dyDescent="0.25">
      <c r="A11851" t="str">
        <f>"7844825"</f>
        <v>7844825</v>
      </c>
      <c r="B11851" t="s">
        <v>14014</v>
      </c>
      <c r="C11851" t="s">
        <v>40</v>
      </c>
      <c r="D11851" s="21" t="s">
        <v>34</v>
      </c>
      <c r="E11851" s="21" t="s">
        <v>71</v>
      </c>
      <c r="F11851">
        <v>8781471</v>
      </c>
      <c r="G11851" t="s">
        <v>9616</v>
      </c>
      <c r="H11851" s="21">
        <v>939.79</v>
      </c>
    </row>
    <row r="11852" spans="1:8" customFormat="1" x14ac:dyDescent="0.25">
      <c r="A11852" t="str">
        <f>"9426125"</f>
        <v>9426125</v>
      </c>
      <c r="B11852" t="s">
        <v>2405</v>
      </c>
      <c r="C11852" t="s">
        <v>43</v>
      </c>
      <c r="D11852" s="21" t="s">
        <v>34</v>
      </c>
      <c r="E11852" s="21" t="s">
        <v>35</v>
      </c>
      <c r="F11852">
        <v>8940096</v>
      </c>
      <c r="G11852" t="s">
        <v>5453</v>
      </c>
      <c r="H11852" s="21">
        <v>939.79</v>
      </c>
    </row>
    <row r="11853" spans="1:8" customFormat="1" x14ac:dyDescent="0.25">
      <c r="A11853" t="str">
        <f>"4927035"</f>
        <v>4927035</v>
      </c>
      <c r="B11853" t="s">
        <v>12477</v>
      </c>
      <c r="C11853" t="s">
        <v>2356</v>
      </c>
      <c r="D11853" s="21" t="s">
        <v>34</v>
      </c>
      <c r="E11853" s="21" t="s">
        <v>35</v>
      </c>
      <c r="F11853">
        <v>12490046</v>
      </c>
      <c r="G11853" t="s">
        <v>9773</v>
      </c>
      <c r="H11853" s="21">
        <v>939.79</v>
      </c>
    </row>
    <row r="11854" spans="1:8" customFormat="1" x14ac:dyDescent="0.25">
      <c r="A11854" t="str">
        <f>"8311190"</f>
        <v>8311190</v>
      </c>
      <c r="B11854" t="s">
        <v>11262</v>
      </c>
      <c r="C11854" t="s">
        <v>11263</v>
      </c>
      <c r="D11854" s="21" t="s">
        <v>34</v>
      </c>
      <c r="E11854" s="21" t="s">
        <v>71</v>
      </c>
      <c r="F11854">
        <v>13830087</v>
      </c>
      <c r="G11854" t="s">
        <v>11264</v>
      </c>
      <c r="H11854" s="21">
        <v>939.67</v>
      </c>
    </row>
    <row r="11855" spans="1:8" customFormat="1" x14ac:dyDescent="0.25">
      <c r="A11855" t="str">
        <f>"149"</f>
        <v>149</v>
      </c>
      <c r="B11855" t="s">
        <v>877</v>
      </c>
      <c r="C11855" t="s">
        <v>2520</v>
      </c>
      <c r="D11855" s="21" t="s">
        <v>34</v>
      </c>
      <c r="E11855" s="21" t="s">
        <v>254</v>
      </c>
      <c r="F11855">
        <v>9140111</v>
      </c>
      <c r="G11855" t="s">
        <v>3601</v>
      </c>
      <c r="H11855" s="21">
        <v>939.67</v>
      </c>
    </row>
    <row r="11856" spans="1:8" customFormat="1" x14ac:dyDescent="0.25">
      <c r="A11856" t="str">
        <f>"431569"</f>
        <v>431569</v>
      </c>
      <c r="B11856" t="s">
        <v>5476</v>
      </c>
      <c r="C11856" t="s">
        <v>269</v>
      </c>
      <c r="D11856" s="21" t="s">
        <v>34</v>
      </c>
      <c r="E11856" s="21" t="s">
        <v>71</v>
      </c>
      <c r="F11856">
        <v>1420309</v>
      </c>
      <c r="G11856" t="s">
        <v>26798</v>
      </c>
      <c r="H11856" s="21">
        <v>939.67</v>
      </c>
    </row>
    <row r="11857" spans="1:8" customFormat="1" x14ac:dyDescent="0.25">
      <c r="A11857" t="str">
        <f>"3533290"</f>
        <v>3533290</v>
      </c>
      <c r="B11857" t="s">
        <v>5674</v>
      </c>
      <c r="C11857" t="s">
        <v>1199</v>
      </c>
      <c r="D11857" s="21" t="s">
        <v>34</v>
      </c>
      <c r="E11857" s="21" t="s">
        <v>254</v>
      </c>
      <c r="F11857">
        <v>3350074</v>
      </c>
      <c r="G11857" t="s">
        <v>5432</v>
      </c>
      <c r="H11857" s="21">
        <v>939.67</v>
      </c>
    </row>
    <row r="11858" spans="1:8" customFormat="1" x14ac:dyDescent="0.25">
      <c r="A11858" t="str">
        <f>"8512644"</f>
        <v>8512644</v>
      </c>
      <c r="B11858" t="s">
        <v>1388</v>
      </c>
      <c r="C11858" t="s">
        <v>249</v>
      </c>
      <c r="D11858" s="21" t="s">
        <v>34</v>
      </c>
      <c r="E11858" s="21" t="s">
        <v>71</v>
      </c>
      <c r="F11858">
        <v>10790002</v>
      </c>
      <c r="G11858" t="s">
        <v>6612</v>
      </c>
      <c r="H11858" s="21">
        <v>939.67</v>
      </c>
    </row>
    <row r="11859" spans="1:8" customFormat="1" x14ac:dyDescent="0.25">
      <c r="A11859" t="str">
        <f>"636284"</f>
        <v>636284</v>
      </c>
      <c r="B11859" t="s">
        <v>10268</v>
      </c>
      <c r="C11859" t="s">
        <v>462</v>
      </c>
      <c r="D11859" s="21" t="s">
        <v>34</v>
      </c>
      <c r="E11859" s="21" t="s">
        <v>71</v>
      </c>
      <c r="F11859">
        <v>1630114</v>
      </c>
      <c r="G11859" t="s">
        <v>10269</v>
      </c>
      <c r="H11859" s="21">
        <v>939.67</v>
      </c>
    </row>
    <row r="11860" spans="1:8" customFormat="1" x14ac:dyDescent="0.25">
      <c r="A11860" t="str">
        <f>"902071"</f>
        <v>902071</v>
      </c>
      <c r="B11860" t="s">
        <v>27225</v>
      </c>
      <c r="C11860" t="s">
        <v>263</v>
      </c>
      <c r="D11860" s="21" t="s">
        <v>34</v>
      </c>
      <c r="E11860" s="21" t="s">
        <v>71</v>
      </c>
      <c r="F11860">
        <v>2900039</v>
      </c>
      <c r="G11860" t="s">
        <v>26615</v>
      </c>
      <c r="H11860" s="21">
        <v>939.67</v>
      </c>
    </row>
    <row r="11861" spans="1:8" customFormat="1" x14ac:dyDescent="0.25">
      <c r="A11861" t="str">
        <f>"5416421"</f>
        <v>5416421</v>
      </c>
      <c r="B11861" t="s">
        <v>10804</v>
      </c>
      <c r="C11861" t="s">
        <v>3784</v>
      </c>
      <c r="D11861" s="21" t="s">
        <v>34</v>
      </c>
      <c r="E11861" s="21" t="s">
        <v>71</v>
      </c>
      <c r="F11861">
        <v>6540128</v>
      </c>
      <c r="G11861" t="s">
        <v>1249</v>
      </c>
      <c r="H11861" s="21">
        <v>939.67</v>
      </c>
    </row>
    <row r="11862" spans="1:8" customFormat="1" x14ac:dyDescent="0.25">
      <c r="A11862" t="str">
        <f>"5312749"</f>
        <v>5312749</v>
      </c>
      <c r="B11862" t="s">
        <v>10709</v>
      </c>
      <c r="C11862" t="s">
        <v>55</v>
      </c>
      <c r="D11862" s="21" t="s">
        <v>34</v>
      </c>
      <c r="E11862" s="21" t="s">
        <v>71</v>
      </c>
      <c r="F11862">
        <v>12530059</v>
      </c>
      <c r="G11862" t="s">
        <v>4062</v>
      </c>
      <c r="H11862" s="21">
        <v>939.67</v>
      </c>
    </row>
    <row r="11863" spans="1:8" customFormat="1" x14ac:dyDescent="0.25">
      <c r="A11863" t="str">
        <f>"3727067"</f>
        <v>3727067</v>
      </c>
      <c r="B11863" t="s">
        <v>946</v>
      </c>
      <c r="C11863" t="s">
        <v>462</v>
      </c>
      <c r="D11863" s="21" t="s">
        <v>34</v>
      </c>
      <c r="E11863" s="21" t="s">
        <v>254</v>
      </c>
      <c r="F11863">
        <v>4370596</v>
      </c>
      <c r="G11863" t="s">
        <v>9270</v>
      </c>
      <c r="H11863" s="21">
        <v>939.67</v>
      </c>
    </row>
    <row r="11864" spans="1:8" customFormat="1" x14ac:dyDescent="0.25">
      <c r="A11864" t="str">
        <f>"5932120"</f>
        <v>5932120</v>
      </c>
      <c r="B11864" t="s">
        <v>11250</v>
      </c>
      <c r="C11864" t="s">
        <v>4842</v>
      </c>
      <c r="D11864" s="21" t="s">
        <v>34</v>
      </c>
      <c r="E11864" s="21" t="s">
        <v>254</v>
      </c>
      <c r="F11864">
        <v>7590071</v>
      </c>
      <c r="G11864" t="s">
        <v>2602</v>
      </c>
      <c r="H11864" s="21">
        <v>939.67</v>
      </c>
    </row>
    <row r="11865" spans="1:8" customFormat="1" x14ac:dyDescent="0.25">
      <c r="A11865" t="str">
        <f>"6212046"</f>
        <v>6212046</v>
      </c>
      <c r="B11865" t="s">
        <v>11369</v>
      </c>
      <c r="C11865" t="s">
        <v>187</v>
      </c>
      <c r="D11865" s="21" t="s">
        <v>34</v>
      </c>
      <c r="E11865" s="21" t="s">
        <v>71</v>
      </c>
      <c r="F11865">
        <v>7620077</v>
      </c>
      <c r="G11865" t="s">
        <v>4131</v>
      </c>
      <c r="H11865" s="21">
        <v>939.67</v>
      </c>
    </row>
    <row r="11866" spans="1:8" customFormat="1" x14ac:dyDescent="0.25">
      <c r="A11866" t="str">
        <f>"4912808"</f>
        <v>4912808</v>
      </c>
      <c r="B11866" t="s">
        <v>9879</v>
      </c>
      <c r="C11866" t="s">
        <v>302</v>
      </c>
      <c r="D11866" s="21" t="s">
        <v>34</v>
      </c>
      <c r="E11866" s="21" t="s">
        <v>35</v>
      </c>
      <c r="F11866">
        <v>12490052</v>
      </c>
      <c r="G11866" t="s">
        <v>2732</v>
      </c>
      <c r="H11866" s="21">
        <v>939.67</v>
      </c>
    </row>
    <row r="11867" spans="1:8" customFormat="1" x14ac:dyDescent="0.25">
      <c r="A11867" t="str">
        <f>"166967"</f>
        <v>166967</v>
      </c>
      <c r="B11867" t="s">
        <v>11589</v>
      </c>
      <c r="C11867" t="s">
        <v>611</v>
      </c>
      <c r="D11867" s="21" t="s">
        <v>34</v>
      </c>
      <c r="E11867" s="21" t="s">
        <v>35</v>
      </c>
      <c r="F11867">
        <v>10640003</v>
      </c>
      <c r="G11867" t="s">
        <v>1594</v>
      </c>
      <c r="H11867" s="21">
        <v>939.67</v>
      </c>
    </row>
    <row r="11868" spans="1:8" customFormat="1" x14ac:dyDescent="0.25">
      <c r="A11868" t="str">
        <f>"336781"</f>
        <v>336781</v>
      </c>
      <c r="B11868" t="s">
        <v>2854</v>
      </c>
      <c r="C11868" t="s">
        <v>1142</v>
      </c>
      <c r="D11868" s="21" t="s">
        <v>34</v>
      </c>
      <c r="E11868" s="21" t="s">
        <v>254</v>
      </c>
      <c r="F11868">
        <v>10330010</v>
      </c>
      <c r="G11868" t="s">
        <v>2831</v>
      </c>
      <c r="H11868" s="21">
        <v>939.67</v>
      </c>
    </row>
    <row r="11869" spans="1:8" customFormat="1" x14ac:dyDescent="0.25">
      <c r="A11869" t="str">
        <f>"446622"</f>
        <v>446622</v>
      </c>
      <c r="B11869" t="s">
        <v>11856</v>
      </c>
      <c r="C11869" t="s">
        <v>124</v>
      </c>
      <c r="D11869" s="21" t="s">
        <v>34</v>
      </c>
      <c r="E11869" s="21" t="s">
        <v>71</v>
      </c>
      <c r="F11869">
        <v>12720102</v>
      </c>
      <c r="G11869" t="s">
        <v>4469</v>
      </c>
      <c r="H11869" s="21">
        <v>939.67</v>
      </c>
    </row>
    <row r="11870" spans="1:8" customFormat="1" x14ac:dyDescent="0.25">
      <c r="A11870" t="str">
        <f>"0810148"</f>
        <v>0810148</v>
      </c>
      <c r="B11870" t="s">
        <v>10651</v>
      </c>
      <c r="C11870" t="s">
        <v>951</v>
      </c>
      <c r="D11870" s="21" t="s">
        <v>34</v>
      </c>
      <c r="E11870" s="21" t="s">
        <v>35</v>
      </c>
      <c r="F11870">
        <v>11810033</v>
      </c>
      <c r="G11870" t="s">
        <v>3852</v>
      </c>
      <c r="H11870" s="21">
        <v>939.67</v>
      </c>
    </row>
    <row r="11871" spans="1:8" customFormat="1" x14ac:dyDescent="0.25">
      <c r="A11871" t="str">
        <f>"162264"</f>
        <v>162264</v>
      </c>
      <c r="B11871" t="s">
        <v>27226</v>
      </c>
      <c r="C11871" t="s">
        <v>236</v>
      </c>
      <c r="D11871" s="21" t="s">
        <v>34</v>
      </c>
      <c r="E11871" s="21" t="s">
        <v>254</v>
      </c>
      <c r="F11871">
        <v>10160010</v>
      </c>
      <c r="G11871" t="s">
        <v>5491</v>
      </c>
      <c r="H11871" s="21">
        <v>939.67</v>
      </c>
    </row>
    <row r="11872" spans="1:8" customFormat="1" x14ac:dyDescent="0.25">
      <c r="A11872" t="str">
        <f>"733596"</f>
        <v>733596</v>
      </c>
      <c r="B11872" t="s">
        <v>10678</v>
      </c>
      <c r="C11872" t="s">
        <v>124</v>
      </c>
      <c r="D11872" s="21" t="s">
        <v>34</v>
      </c>
      <c r="E11872" s="21" t="s">
        <v>71</v>
      </c>
      <c r="F11872">
        <v>1730007</v>
      </c>
      <c r="G11872" t="s">
        <v>6989</v>
      </c>
      <c r="H11872" s="21">
        <v>939.54</v>
      </c>
    </row>
    <row r="11873" spans="1:8" customFormat="1" x14ac:dyDescent="0.25">
      <c r="A11873" t="str">
        <f>"516296"</f>
        <v>516296</v>
      </c>
      <c r="B11873" t="s">
        <v>11011</v>
      </c>
      <c r="C11873" t="s">
        <v>269</v>
      </c>
      <c r="D11873" s="21" t="s">
        <v>34</v>
      </c>
      <c r="E11873" s="21" t="s">
        <v>71</v>
      </c>
      <c r="F11873">
        <v>6510058</v>
      </c>
      <c r="G11873" t="s">
        <v>6780</v>
      </c>
      <c r="H11873" s="21">
        <v>939.42</v>
      </c>
    </row>
    <row r="11874" spans="1:8" customFormat="1" x14ac:dyDescent="0.25">
      <c r="A11874" t="str">
        <f>"9234733"</f>
        <v>9234733</v>
      </c>
      <c r="B11874" t="s">
        <v>8934</v>
      </c>
      <c r="C11874" t="s">
        <v>1914</v>
      </c>
      <c r="D11874" s="21" t="s">
        <v>34</v>
      </c>
      <c r="E11874" s="21" t="s">
        <v>1089</v>
      </c>
      <c r="F11874">
        <v>8780130</v>
      </c>
      <c r="G11874" t="s">
        <v>5752</v>
      </c>
      <c r="H11874" s="21">
        <v>939.42</v>
      </c>
    </row>
    <row r="11875" spans="1:8" customFormat="1" x14ac:dyDescent="0.25">
      <c r="A11875" t="str">
        <f>"539998"</f>
        <v>539998</v>
      </c>
      <c r="B11875" t="s">
        <v>11683</v>
      </c>
      <c r="C11875" t="s">
        <v>60</v>
      </c>
      <c r="D11875" s="21" t="s">
        <v>34</v>
      </c>
      <c r="E11875" s="21" t="s">
        <v>35</v>
      </c>
      <c r="F11875">
        <v>12530049</v>
      </c>
      <c r="G11875" t="s">
        <v>9306</v>
      </c>
      <c r="H11875" s="21">
        <v>939.42</v>
      </c>
    </row>
    <row r="11876" spans="1:8" customFormat="1" x14ac:dyDescent="0.25">
      <c r="A11876" t="str">
        <f>"9525120"</f>
        <v>9525120</v>
      </c>
      <c r="B11876" t="s">
        <v>11526</v>
      </c>
      <c r="C11876" t="s">
        <v>33</v>
      </c>
      <c r="D11876" s="21" t="s">
        <v>34</v>
      </c>
      <c r="E11876" s="21" t="s">
        <v>35</v>
      </c>
      <c r="F11876">
        <v>8950531</v>
      </c>
      <c r="G11876" t="s">
        <v>7983</v>
      </c>
      <c r="H11876" s="21">
        <v>939.29</v>
      </c>
    </row>
    <row r="11877" spans="1:8" customFormat="1" x14ac:dyDescent="0.25">
      <c r="A11877" t="str">
        <f>"933384"</f>
        <v>933384</v>
      </c>
      <c r="B11877" t="s">
        <v>11554</v>
      </c>
      <c r="C11877" t="s">
        <v>1142</v>
      </c>
      <c r="D11877" s="21" t="s">
        <v>34</v>
      </c>
      <c r="E11877" s="21" t="s">
        <v>71</v>
      </c>
      <c r="F11877">
        <v>8930185</v>
      </c>
      <c r="G11877" t="s">
        <v>3846</v>
      </c>
      <c r="H11877" s="21">
        <v>939.29</v>
      </c>
    </row>
    <row r="11878" spans="1:8" customFormat="1" x14ac:dyDescent="0.25">
      <c r="A11878" t="str">
        <f>"7879969"</f>
        <v>7879969</v>
      </c>
      <c r="B11878" t="s">
        <v>12841</v>
      </c>
      <c r="C11878" t="s">
        <v>204</v>
      </c>
      <c r="D11878" s="21" t="s">
        <v>34</v>
      </c>
      <c r="E11878" s="21" t="s">
        <v>35</v>
      </c>
      <c r="F11878">
        <v>8780016</v>
      </c>
      <c r="G11878" t="s">
        <v>3153</v>
      </c>
      <c r="H11878" s="21">
        <v>939.17</v>
      </c>
    </row>
    <row r="11879" spans="1:8" customFormat="1" x14ac:dyDescent="0.25">
      <c r="A11879" t="str">
        <f>"149168"</f>
        <v>149168</v>
      </c>
      <c r="B11879" t="s">
        <v>4199</v>
      </c>
      <c r="C11879" t="s">
        <v>147</v>
      </c>
      <c r="D11879" s="21" t="s">
        <v>34</v>
      </c>
      <c r="E11879" s="21" t="s">
        <v>35</v>
      </c>
      <c r="F11879">
        <v>6550001</v>
      </c>
      <c r="G11879" t="s">
        <v>8790</v>
      </c>
      <c r="H11879" s="21">
        <v>939.17</v>
      </c>
    </row>
    <row r="11880" spans="1:8" customFormat="1" x14ac:dyDescent="0.25">
      <c r="A11880" t="str">
        <f>"945169"</f>
        <v>945169</v>
      </c>
      <c r="B11880" t="s">
        <v>10899</v>
      </c>
      <c r="C11880" t="s">
        <v>285</v>
      </c>
      <c r="D11880" s="21" t="s">
        <v>34</v>
      </c>
      <c r="E11880" s="21" t="s">
        <v>35</v>
      </c>
      <c r="F11880">
        <v>8940033</v>
      </c>
      <c r="G11880" t="s">
        <v>1376</v>
      </c>
      <c r="H11880" s="21">
        <v>939.17</v>
      </c>
    </row>
    <row r="11881" spans="1:8" customFormat="1" x14ac:dyDescent="0.25">
      <c r="A11881" t="str">
        <f>"2923371"</f>
        <v>2923371</v>
      </c>
      <c r="B11881" t="s">
        <v>11630</v>
      </c>
      <c r="C11881" t="s">
        <v>547</v>
      </c>
      <c r="D11881" s="21" t="s">
        <v>34</v>
      </c>
      <c r="E11881" s="21" t="s">
        <v>254</v>
      </c>
      <c r="F11881">
        <v>3290026</v>
      </c>
      <c r="G11881" t="s">
        <v>7421</v>
      </c>
      <c r="H11881" s="21">
        <v>939.17</v>
      </c>
    </row>
    <row r="11882" spans="1:8" customFormat="1" x14ac:dyDescent="0.25">
      <c r="A11882" t="str">
        <f>"6950054"</f>
        <v>6950054</v>
      </c>
      <c r="B11882" t="s">
        <v>27227</v>
      </c>
      <c r="C11882" t="s">
        <v>209</v>
      </c>
      <c r="D11882" s="21" t="s">
        <v>34</v>
      </c>
      <c r="E11882" s="21" t="s">
        <v>71</v>
      </c>
      <c r="F11882">
        <v>1690090</v>
      </c>
      <c r="G11882" t="s">
        <v>6286</v>
      </c>
      <c r="H11882" s="21">
        <v>939.17</v>
      </c>
    </row>
    <row r="11883" spans="1:8" customFormat="1" x14ac:dyDescent="0.25">
      <c r="A11883" t="str">
        <f>"5948864"</f>
        <v>5948864</v>
      </c>
      <c r="B11883" t="s">
        <v>11038</v>
      </c>
      <c r="C11883" t="s">
        <v>11039</v>
      </c>
      <c r="D11883" s="21" t="s">
        <v>34</v>
      </c>
      <c r="E11883" s="21" t="s">
        <v>71</v>
      </c>
      <c r="F11883">
        <v>7590049</v>
      </c>
      <c r="G11883" t="s">
        <v>11040</v>
      </c>
      <c r="H11883" s="21">
        <v>939.17</v>
      </c>
    </row>
    <row r="11884" spans="1:8" customFormat="1" x14ac:dyDescent="0.25">
      <c r="A11884" t="str">
        <f>"74267"</f>
        <v>74267</v>
      </c>
      <c r="B11884" t="s">
        <v>10696</v>
      </c>
      <c r="C11884" t="s">
        <v>2365</v>
      </c>
      <c r="D11884" s="21" t="s">
        <v>34</v>
      </c>
      <c r="E11884" s="21" t="s">
        <v>1089</v>
      </c>
      <c r="F11884">
        <v>1740020</v>
      </c>
      <c r="G11884" t="s">
        <v>881</v>
      </c>
      <c r="H11884" s="21">
        <v>939.17</v>
      </c>
    </row>
    <row r="11885" spans="1:8" customFormat="1" x14ac:dyDescent="0.25">
      <c r="A11885" t="str">
        <f>"93584"</f>
        <v>93584</v>
      </c>
      <c r="B11885" t="s">
        <v>146</v>
      </c>
      <c r="C11885" t="s">
        <v>459</v>
      </c>
      <c r="D11885" s="21" t="s">
        <v>34</v>
      </c>
      <c r="E11885" s="21" t="s">
        <v>71</v>
      </c>
      <c r="F11885">
        <v>8930185</v>
      </c>
      <c r="G11885" t="s">
        <v>3846</v>
      </c>
      <c r="H11885" s="21">
        <v>939.04</v>
      </c>
    </row>
    <row r="11886" spans="1:8" customFormat="1" x14ac:dyDescent="0.25">
      <c r="A11886" t="str">
        <f>"286230"</f>
        <v>286230</v>
      </c>
      <c r="B11886" t="s">
        <v>12011</v>
      </c>
      <c r="C11886" t="s">
        <v>269</v>
      </c>
      <c r="D11886" s="21" t="s">
        <v>34</v>
      </c>
      <c r="E11886" s="21" t="s">
        <v>71</v>
      </c>
      <c r="F11886">
        <v>4280664</v>
      </c>
      <c r="G11886" t="s">
        <v>12012</v>
      </c>
      <c r="H11886" s="21">
        <v>939.04</v>
      </c>
    </row>
    <row r="11887" spans="1:8" customFormat="1" x14ac:dyDescent="0.25">
      <c r="A11887" t="str">
        <f>"6710313"</f>
        <v>6710313</v>
      </c>
      <c r="B11887" t="s">
        <v>12871</v>
      </c>
      <c r="C11887" t="s">
        <v>156</v>
      </c>
      <c r="D11887" s="21" t="s">
        <v>34</v>
      </c>
      <c r="E11887" s="21" t="s">
        <v>254</v>
      </c>
      <c r="F11887">
        <v>3220047</v>
      </c>
      <c r="G11887" t="s">
        <v>131</v>
      </c>
      <c r="H11887" s="21">
        <v>939.04</v>
      </c>
    </row>
    <row r="11888" spans="1:8" customFormat="1" x14ac:dyDescent="0.25">
      <c r="A11888" t="str">
        <f>"7516169"</f>
        <v>7516169</v>
      </c>
      <c r="B11888" t="s">
        <v>27228</v>
      </c>
      <c r="C11888" t="s">
        <v>209</v>
      </c>
      <c r="D11888" s="21" t="s">
        <v>34</v>
      </c>
      <c r="E11888" s="21" t="s">
        <v>35</v>
      </c>
      <c r="F11888">
        <v>8750487</v>
      </c>
      <c r="G11888" t="s">
        <v>6793</v>
      </c>
      <c r="H11888" s="21">
        <v>938.67</v>
      </c>
    </row>
    <row r="11889" spans="1:8" customFormat="1" x14ac:dyDescent="0.25">
      <c r="A11889" t="str">
        <f>"5937801"</f>
        <v>5937801</v>
      </c>
      <c r="B11889" t="s">
        <v>12090</v>
      </c>
      <c r="C11889" t="s">
        <v>149</v>
      </c>
      <c r="D11889" s="21" t="s">
        <v>34</v>
      </c>
      <c r="E11889" s="21" t="s">
        <v>35</v>
      </c>
      <c r="F11889">
        <v>7590281</v>
      </c>
      <c r="G11889" t="s">
        <v>7165</v>
      </c>
      <c r="H11889" s="21">
        <v>938.67</v>
      </c>
    </row>
    <row r="11890" spans="1:8" customFormat="1" x14ac:dyDescent="0.25">
      <c r="A11890" t="str">
        <f>"552048"</f>
        <v>552048</v>
      </c>
      <c r="B11890" t="s">
        <v>12910</v>
      </c>
      <c r="C11890" t="s">
        <v>288</v>
      </c>
      <c r="D11890" s="21" t="s">
        <v>34</v>
      </c>
      <c r="E11890" s="21" t="s">
        <v>35</v>
      </c>
      <c r="F11890">
        <v>6550020</v>
      </c>
      <c r="G11890" t="s">
        <v>7526</v>
      </c>
      <c r="H11890" s="21">
        <v>938.67</v>
      </c>
    </row>
    <row r="11891" spans="1:8" customFormat="1" x14ac:dyDescent="0.25">
      <c r="A11891" t="str">
        <f>"089097"</f>
        <v>089097</v>
      </c>
      <c r="B11891" t="s">
        <v>727</v>
      </c>
      <c r="C11891" t="s">
        <v>415</v>
      </c>
      <c r="D11891" s="21" t="s">
        <v>34</v>
      </c>
      <c r="E11891" s="21" t="s">
        <v>1089</v>
      </c>
      <c r="F11891">
        <v>6080087</v>
      </c>
      <c r="G11891" t="s">
        <v>7405</v>
      </c>
      <c r="H11891" s="21">
        <v>938.67</v>
      </c>
    </row>
    <row r="11892" spans="1:8" customFormat="1" x14ac:dyDescent="0.25">
      <c r="A11892" t="str">
        <f>"588131"</f>
        <v>588131</v>
      </c>
      <c r="B11892" t="s">
        <v>15750</v>
      </c>
      <c r="C11892" t="s">
        <v>311</v>
      </c>
      <c r="D11892" s="21" t="s">
        <v>34</v>
      </c>
      <c r="E11892" s="21" t="s">
        <v>35</v>
      </c>
      <c r="F11892">
        <v>11320042</v>
      </c>
      <c r="G11892" t="s">
        <v>234</v>
      </c>
      <c r="H11892" s="21">
        <v>938.67</v>
      </c>
    </row>
    <row r="11893" spans="1:8" customFormat="1" x14ac:dyDescent="0.25">
      <c r="A11893" t="str">
        <f>"2812071"</f>
        <v>2812071</v>
      </c>
      <c r="B11893" t="s">
        <v>11221</v>
      </c>
      <c r="C11893" t="s">
        <v>62</v>
      </c>
      <c r="D11893" s="21" t="s">
        <v>34</v>
      </c>
      <c r="E11893" s="21" t="s">
        <v>35</v>
      </c>
      <c r="F11893">
        <v>4280632</v>
      </c>
      <c r="G11893" t="s">
        <v>6825</v>
      </c>
      <c r="H11893" s="21">
        <v>938.67</v>
      </c>
    </row>
    <row r="11894" spans="1:8" customFormat="1" x14ac:dyDescent="0.25">
      <c r="A11894" t="str">
        <f>"6721694"</f>
        <v>6721694</v>
      </c>
      <c r="B11894" t="s">
        <v>13357</v>
      </c>
      <c r="C11894" t="s">
        <v>547</v>
      </c>
      <c r="D11894" s="21" t="s">
        <v>34</v>
      </c>
      <c r="E11894" s="21" t="s">
        <v>71</v>
      </c>
      <c r="F11894">
        <v>6670203</v>
      </c>
      <c r="G11894" t="s">
        <v>2371</v>
      </c>
      <c r="H11894" s="21">
        <v>938.67</v>
      </c>
    </row>
    <row r="11895" spans="1:8" customFormat="1" x14ac:dyDescent="0.25">
      <c r="A11895" t="str">
        <f>"7216647"</f>
        <v>7216647</v>
      </c>
      <c r="B11895" t="s">
        <v>12443</v>
      </c>
      <c r="C11895" t="s">
        <v>576</v>
      </c>
      <c r="D11895" s="21" t="s">
        <v>34</v>
      </c>
      <c r="E11895" s="21" t="s">
        <v>35</v>
      </c>
      <c r="F11895">
        <v>12720062</v>
      </c>
      <c r="G11895" t="s">
        <v>4026</v>
      </c>
      <c r="H11895" s="21">
        <v>938.67</v>
      </c>
    </row>
    <row r="11896" spans="1:8" customFormat="1" x14ac:dyDescent="0.25">
      <c r="A11896" t="str">
        <f>"88655"</f>
        <v>88655</v>
      </c>
      <c r="B11896" t="s">
        <v>3072</v>
      </c>
      <c r="C11896" t="s">
        <v>412</v>
      </c>
      <c r="D11896" s="21" t="s">
        <v>34</v>
      </c>
      <c r="E11896" s="21" t="s">
        <v>1089</v>
      </c>
      <c r="F11896">
        <v>6880050</v>
      </c>
      <c r="G11896" t="s">
        <v>9344</v>
      </c>
      <c r="H11896" s="21">
        <v>938.67</v>
      </c>
    </row>
    <row r="11897" spans="1:8" customFormat="1" x14ac:dyDescent="0.25">
      <c r="A11897" t="str">
        <f>"2717050"</f>
        <v>2717050</v>
      </c>
      <c r="B11897" t="s">
        <v>11366</v>
      </c>
      <c r="C11897" t="s">
        <v>60</v>
      </c>
      <c r="D11897" s="21" t="s">
        <v>34</v>
      </c>
      <c r="E11897" s="21" t="s">
        <v>35</v>
      </c>
      <c r="F11897">
        <v>9270060</v>
      </c>
      <c r="G11897" t="s">
        <v>1982</v>
      </c>
      <c r="H11897" s="21">
        <v>938.67</v>
      </c>
    </row>
    <row r="11898" spans="1:8" customFormat="1" x14ac:dyDescent="0.25">
      <c r="A11898" t="str">
        <f>"9133368"</f>
        <v>9133368</v>
      </c>
      <c r="B11898" t="s">
        <v>11414</v>
      </c>
      <c r="C11898" t="s">
        <v>249</v>
      </c>
      <c r="D11898" s="21" t="s">
        <v>34</v>
      </c>
      <c r="E11898" s="21" t="s">
        <v>71</v>
      </c>
      <c r="F11898">
        <v>8910578</v>
      </c>
      <c r="G11898" t="s">
        <v>5776</v>
      </c>
      <c r="H11898" s="21">
        <v>938.67</v>
      </c>
    </row>
    <row r="11899" spans="1:8" customFormat="1" x14ac:dyDescent="0.25">
      <c r="A11899" t="str">
        <f>"592022"</f>
        <v>592022</v>
      </c>
      <c r="B11899" t="s">
        <v>12065</v>
      </c>
      <c r="C11899" t="s">
        <v>156</v>
      </c>
      <c r="D11899" s="21" t="s">
        <v>34</v>
      </c>
      <c r="E11899" s="21" t="s">
        <v>71</v>
      </c>
      <c r="F11899">
        <v>7590048</v>
      </c>
      <c r="G11899" t="s">
        <v>4608</v>
      </c>
      <c r="H11899" s="21">
        <v>938.67</v>
      </c>
    </row>
    <row r="11900" spans="1:8" customFormat="1" x14ac:dyDescent="0.25">
      <c r="A11900" t="str">
        <f>"716495"</f>
        <v>716495</v>
      </c>
      <c r="B11900" t="s">
        <v>2222</v>
      </c>
      <c r="C11900" t="s">
        <v>114</v>
      </c>
      <c r="D11900" s="21" t="s">
        <v>34</v>
      </c>
      <c r="E11900" s="21" t="s">
        <v>35</v>
      </c>
      <c r="F11900">
        <v>2710048</v>
      </c>
      <c r="G11900" t="s">
        <v>2225</v>
      </c>
      <c r="H11900" s="21">
        <v>938.67</v>
      </c>
    </row>
    <row r="11901" spans="1:8" customFormat="1" x14ac:dyDescent="0.25">
      <c r="A11901" t="str">
        <f>"8612211"</f>
        <v>8612211</v>
      </c>
      <c r="B11901" t="s">
        <v>5345</v>
      </c>
      <c r="C11901" t="s">
        <v>156</v>
      </c>
      <c r="D11901" s="21" t="s">
        <v>34</v>
      </c>
      <c r="E11901" s="21" t="s">
        <v>35</v>
      </c>
      <c r="F11901">
        <v>10860084</v>
      </c>
      <c r="G11901" t="s">
        <v>7471</v>
      </c>
      <c r="H11901" s="21">
        <v>938.67</v>
      </c>
    </row>
    <row r="11902" spans="1:8" customFormat="1" x14ac:dyDescent="0.25">
      <c r="A11902" t="str">
        <f>"2612356"</f>
        <v>2612356</v>
      </c>
      <c r="B11902" t="s">
        <v>11928</v>
      </c>
      <c r="C11902" t="s">
        <v>62</v>
      </c>
      <c r="D11902" s="21" t="s">
        <v>34</v>
      </c>
      <c r="E11902" s="21" t="s">
        <v>35</v>
      </c>
      <c r="F11902">
        <v>1260054</v>
      </c>
      <c r="G11902" t="s">
        <v>358</v>
      </c>
      <c r="H11902" s="21">
        <v>938.54</v>
      </c>
    </row>
    <row r="11903" spans="1:8" customFormat="1" x14ac:dyDescent="0.25">
      <c r="A11903" t="str">
        <f>"7830333"</f>
        <v>7830333</v>
      </c>
      <c r="B11903" t="s">
        <v>11271</v>
      </c>
      <c r="C11903" t="s">
        <v>323</v>
      </c>
      <c r="D11903" s="21" t="s">
        <v>34</v>
      </c>
      <c r="E11903" s="21" t="s">
        <v>35</v>
      </c>
      <c r="F11903">
        <v>8781462</v>
      </c>
      <c r="G11903" t="s">
        <v>5796</v>
      </c>
      <c r="H11903" s="21">
        <v>938.54</v>
      </c>
    </row>
    <row r="11904" spans="1:8" customFormat="1" x14ac:dyDescent="0.25">
      <c r="A11904" t="str">
        <f>"5713627"</f>
        <v>5713627</v>
      </c>
      <c r="B11904" t="s">
        <v>12378</v>
      </c>
      <c r="C11904" t="s">
        <v>249</v>
      </c>
      <c r="D11904" s="21" t="s">
        <v>34</v>
      </c>
      <c r="E11904" s="21" t="s">
        <v>35</v>
      </c>
      <c r="F11904">
        <v>6570018</v>
      </c>
      <c r="G11904" t="s">
        <v>4546</v>
      </c>
      <c r="H11904" s="21">
        <v>938.42</v>
      </c>
    </row>
    <row r="11905" spans="1:8" customFormat="1" x14ac:dyDescent="0.25">
      <c r="A11905" t="str">
        <f>"3335810"</f>
        <v>3335810</v>
      </c>
      <c r="B11905" t="s">
        <v>13491</v>
      </c>
      <c r="C11905" t="s">
        <v>98</v>
      </c>
      <c r="D11905" s="21" t="s">
        <v>34</v>
      </c>
      <c r="E11905" s="21" t="s">
        <v>35</v>
      </c>
      <c r="F11905">
        <v>10330121</v>
      </c>
      <c r="G11905" t="s">
        <v>5145</v>
      </c>
      <c r="H11905" s="21">
        <v>938.42</v>
      </c>
    </row>
    <row r="11906" spans="1:8" customFormat="1" x14ac:dyDescent="0.25">
      <c r="A11906" t="str">
        <f>"253304"</f>
        <v>253304</v>
      </c>
      <c r="B11906" t="s">
        <v>11780</v>
      </c>
      <c r="C11906" t="s">
        <v>2305</v>
      </c>
      <c r="D11906" s="21" t="s">
        <v>34</v>
      </c>
      <c r="E11906" s="21" t="s">
        <v>71</v>
      </c>
      <c r="F11906">
        <v>2250070</v>
      </c>
      <c r="G11906" t="s">
        <v>3923</v>
      </c>
      <c r="H11906" s="21">
        <v>938.42</v>
      </c>
    </row>
    <row r="11907" spans="1:8" customFormat="1" x14ac:dyDescent="0.25">
      <c r="A11907" t="str">
        <f>"381547"</f>
        <v>381547</v>
      </c>
      <c r="B11907" t="s">
        <v>10275</v>
      </c>
      <c r="C11907" t="s">
        <v>462</v>
      </c>
      <c r="D11907" s="21" t="s">
        <v>34</v>
      </c>
      <c r="E11907" s="21" t="s">
        <v>1089</v>
      </c>
      <c r="F11907">
        <v>1380284</v>
      </c>
      <c r="G11907" t="s">
        <v>300</v>
      </c>
      <c r="H11907" s="21">
        <v>938.29</v>
      </c>
    </row>
    <row r="11908" spans="1:8" customFormat="1" x14ac:dyDescent="0.25">
      <c r="A11908" t="str">
        <f>"4434572"</f>
        <v>4434572</v>
      </c>
      <c r="B11908" t="s">
        <v>27229</v>
      </c>
      <c r="C11908" t="s">
        <v>58</v>
      </c>
      <c r="D11908" s="21" t="s">
        <v>34</v>
      </c>
      <c r="E11908" s="21" t="s">
        <v>35</v>
      </c>
      <c r="F11908">
        <v>12440049</v>
      </c>
      <c r="G11908" t="s">
        <v>3339</v>
      </c>
      <c r="H11908" s="21">
        <v>938.17</v>
      </c>
    </row>
    <row r="11909" spans="1:8" customFormat="1" x14ac:dyDescent="0.25">
      <c r="A11909" t="str">
        <f>"2212843"</f>
        <v>2212843</v>
      </c>
      <c r="B11909" t="s">
        <v>11245</v>
      </c>
      <c r="C11909" t="s">
        <v>151</v>
      </c>
      <c r="D11909" s="21" t="s">
        <v>34</v>
      </c>
      <c r="E11909" s="21" t="s">
        <v>71</v>
      </c>
      <c r="F11909">
        <v>3560093</v>
      </c>
      <c r="G11909" t="s">
        <v>11246</v>
      </c>
      <c r="H11909" s="21">
        <v>938.17</v>
      </c>
    </row>
    <row r="11910" spans="1:8" customFormat="1" x14ac:dyDescent="0.25">
      <c r="A11910" t="str">
        <f>"8520460"</f>
        <v>8520460</v>
      </c>
      <c r="B11910" t="s">
        <v>4013</v>
      </c>
      <c r="C11910" t="s">
        <v>2305</v>
      </c>
      <c r="D11910" s="21" t="s">
        <v>34</v>
      </c>
      <c r="E11910" s="21" t="s">
        <v>1089</v>
      </c>
      <c r="F11910">
        <v>12850091</v>
      </c>
      <c r="G11910" t="s">
        <v>4233</v>
      </c>
      <c r="H11910" s="21">
        <v>938.17</v>
      </c>
    </row>
    <row r="11911" spans="1:8" customFormat="1" x14ac:dyDescent="0.25">
      <c r="A11911" t="str">
        <f>"934114"</f>
        <v>934114</v>
      </c>
      <c r="B11911" t="s">
        <v>11982</v>
      </c>
      <c r="C11911" t="s">
        <v>262</v>
      </c>
      <c r="D11911" s="21" t="s">
        <v>34</v>
      </c>
      <c r="E11911" s="21" t="s">
        <v>35</v>
      </c>
      <c r="F11911">
        <v>8931032</v>
      </c>
      <c r="G11911" t="s">
        <v>10451</v>
      </c>
      <c r="H11911" s="21">
        <v>938.17</v>
      </c>
    </row>
    <row r="11912" spans="1:8" customFormat="1" x14ac:dyDescent="0.25">
      <c r="A11912" t="str">
        <f>"786640"</f>
        <v>786640</v>
      </c>
      <c r="B11912" t="s">
        <v>3904</v>
      </c>
      <c r="C11912" t="s">
        <v>267</v>
      </c>
      <c r="D11912" s="21" t="s">
        <v>34</v>
      </c>
      <c r="E11912" s="21" t="s">
        <v>1089</v>
      </c>
      <c r="F11912">
        <v>3220048</v>
      </c>
      <c r="G11912" t="s">
        <v>26532</v>
      </c>
      <c r="H11912" s="21">
        <v>938.17</v>
      </c>
    </row>
    <row r="11913" spans="1:8" customFormat="1" x14ac:dyDescent="0.25">
      <c r="A11913" t="str">
        <f>"021808"</f>
        <v>021808</v>
      </c>
      <c r="B11913" t="s">
        <v>10808</v>
      </c>
      <c r="C11913" t="s">
        <v>109</v>
      </c>
      <c r="D11913" s="21" t="s">
        <v>34</v>
      </c>
      <c r="E11913" s="21" t="s">
        <v>35</v>
      </c>
      <c r="F11913">
        <v>7020009</v>
      </c>
      <c r="G11913" t="s">
        <v>3362</v>
      </c>
      <c r="H11913" s="21">
        <v>938.17</v>
      </c>
    </row>
    <row r="11914" spans="1:8" customFormat="1" x14ac:dyDescent="0.25">
      <c r="A11914" t="str">
        <f>"13462"</f>
        <v>13462</v>
      </c>
      <c r="B11914" t="s">
        <v>11229</v>
      </c>
      <c r="C11914" t="s">
        <v>263</v>
      </c>
      <c r="D11914" s="21" t="s">
        <v>34</v>
      </c>
      <c r="E11914" s="21" t="s">
        <v>254</v>
      </c>
      <c r="F11914">
        <v>13130004</v>
      </c>
      <c r="G11914" t="s">
        <v>942</v>
      </c>
      <c r="H11914" s="21">
        <v>938.17</v>
      </c>
    </row>
    <row r="11915" spans="1:8" customFormat="1" x14ac:dyDescent="0.25">
      <c r="A11915" t="str">
        <f>"8015729"</f>
        <v>8015729</v>
      </c>
      <c r="B11915" t="s">
        <v>3645</v>
      </c>
      <c r="C11915" t="s">
        <v>171</v>
      </c>
      <c r="D11915" s="21" t="s">
        <v>34</v>
      </c>
      <c r="E11915" s="21" t="s">
        <v>35</v>
      </c>
      <c r="F11915">
        <v>7800020</v>
      </c>
      <c r="G11915" t="s">
        <v>11608</v>
      </c>
      <c r="H11915" s="21">
        <v>938.17</v>
      </c>
    </row>
    <row r="11916" spans="1:8" customFormat="1" x14ac:dyDescent="0.25">
      <c r="A11916" t="str">
        <f>"5424872"</f>
        <v>5424872</v>
      </c>
      <c r="B11916" t="s">
        <v>12685</v>
      </c>
      <c r="C11916" t="s">
        <v>1588</v>
      </c>
      <c r="D11916" s="21" t="s">
        <v>34</v>
      </c>
      <c r="E11916" s="21" t="s">
        <v>71</v>
      </c>
      <c r="F11916">
        <v>6540128</v>
      </c>
      <c r="G11916" t="s">
        <v>1249</v>
      </c>
      <c r="H11916" s="21">
        <v>937.92</v>
      </c>
    </row>
    <row r="11917" spans="1:8" customFormat="1" x14ac:dyDescent="0.25">
      <c r="A11917" t="str">
        <f>"795752"</f>
        <v>795752</v>
      </c>
      <c r="B11917" t="s">
        <v>12277</v>
      </c>
      <c r="C11917" t="s">
        <v>40</v>
      </c>
      <c r="D11917" s="21" t="s">
        <v>34</v>
      </c>
      <c r="E11917" s="21" t="s">
        <v>71</v>
      </c>
      <c r="F11917">
        <v>10790042</v>
      </c>
      <c r="G11917" t="s">
        <v>2092</v>
      </c>
      <c r="H11917" s="21">
        <v>937.92</v>
      </c>
    </row>
    <row r="11918" spans="1:8" customFormat="1" x14ac:dyDescent="0.25">
      <c r="A11918" t="str">
        <f>"7612439"</f>
        <v>7612439</v>
      </c>
      <c r="B11918" t="s">
        <v>4014</v>
      </c>
      <c r="C11918" t="s">
        <v>233</v>
      </c>
      <c r="D11918" s="21" t="s">
        <v>34</v>
      </c>
      <c r="E11918" s="21" t="s">
        <v>71</v>
      </c>
      <c r="F11918">
        <v>9760201</v>
      </c>
      <c r="G11918" t="s">
        <v>11358</v>
      </c>
      <c r="H11918" s="21">
        <v>937.67</v>
      </c>
    </row>
    <row r="11919" spans="1:8" customFormat="1" x14ac:dyDescent="0.25">
      <c r="A11919" t="str">
        <f>"911721"</f>
        <v>911721</v>
      </c>
      <c r="B11919" t="s">
        <v>10498</v>
      </c>
      <c r="C11919" t="s">
        <v>1665</v>
      </c>
      <c r="D11919" s="21" t="s">
        <v>34</v>
      </c>
      <c r="E11919" s="21" t="s">
        <v>254</v>
      </c>
      <c r="F11919">
        <v>8911439</v>
      </c>
      <c r="G11919" t="s">
        <v>3953</v>
      </c>
      <c r="H11919" s="21">
        <v>937.67</v>
      </c>
    </row>
    <row r="11920" spans="1:8" customFormat="1" x14ac:dyDescent="0.25">
      <c r="A11920" t="str">
        <f>"99552"</f>
        <v>99552</v>
      </c>
      <c r="B11920" t="s">
        <v>11224</v>
      </c>
      <c r="C11920" t="s">
        <v>2730</v>
      </c>
      <c r="D11920" s="21" t="s">
        <v>34</v>
      </c>
      <c r="E11920" s="21" t="s">
        <v>254</v>
      </c>
      <c r="F11920">
        <v>5990014</v>
      </c>
      <c r="G11920" t="s">
        <v>11225</v>
      </c>
      <c r="H11920" s="21">
        <v>937.67</v>
      </c>
    </row>
    <row r="11921" spans="1:8" customFormat="1" x14ac:dyDescent="0.25">
      <c r="A11921" t="str">
        <f>"7625248"</f>
        <v>7625248</v>
      </c>
      <c r="B11921" t="s">
        <v>1103</v>
      </c>
      <c r="C11921" t="s">
        <v>320</v>
      </c>
      <c r="D11921" s="21" t="s">
        <v>34</v>
      </c>
      <c r="E11921" s="21" t="s">
        <v>35</v>
      </c>
      <c r="F11921">
        <v>9760344</v>
      </c>
      <c r="G11921" t="s">
        <v>2523</v>
      </c>
      <c r="H11921" s="21">
        <v>937.67</v>
      </c>
    </row>
    <row r="11922" spans="1:8" customFormat="1" x14ac:dyDescent="0.25">
      <c r="A11922" t="str">
        <f>"261776"</f>
        <v>261776</v>
      </c>
      <c r="B11922" t="s">
        <v>9369</v>
      </c>
      <c r="C11922" t="s">
        <v>817</v>
      </c>
      <c r="D11922" s="21" t="s">
        <v>34</v>
      </c>
      <c r="E11922" s="21" t="s">
        <v>71</v>
      </c>
      <c r="F11922">
        <v>1260026</v>
      </c>
      <c r="G11922" t="s">
        <v>516</v>
      </c>
      <c r="H11922" s="21">
        <v>937.67</v>
      </c>
    </row>
    <row r="11923" spans="1:8" customFormat="1" x14ac:dyDescent="0.25">
      <c r="A11923" t="str">
        <f>"6946546"</f>
        <v>6946546</v>
      </c>
      <c r="B11923" t="s">
        <v>1945</v>
      </c>
      <c r="C11923" t="s">
        <v>7740</v>
      </c>
      <c r="D11923" s="21" t="s">
        <v>34</v>
      </c>
      <c r="E11923" s="21" t="s">
        <v>254</v>
      </c>
      <c r="F11923">
        <v>1690218</v>
      </c>
      <c r="G11923" t="s">
        <v>3637</v>
      </c>
      <c r="H11923" s="21">
        <v>937.67</v>
      </c>
    </row>
    <row r="11924" spans="1:8" customFormat="1" x14ac:dyDescent="0.25">
      <c r="A11924" t="str">
        <f>"169832"</f>
        <v>169832</v>
      </c>
      <c r="B11924" t="s">
        <v>12962</v>
      </c>
      <c r="C11924" t="s">
        <v>130</v>
      </c>
      <c r="D11924" s="21" t="s">
        <v>34</v>
      </c>
      <c r="E11924" s="21" t="s">
        <v>35</v>
      </c>
      <c r="F11924">
        <v>10160013</v>
      </c>
      <c r="G11924" t="s">
        <v>12672</v>
      </c>
      <c r="H11924" s="21">
        <v>937.67</v>
      </c>
    </row>
    <row r="11925" spans="1:8" customFormat="1" x14ac:dyDescent="0.25">
      <c r="A11925" t="str">
        <f>"6212312"</f>
        <v>6212312</v>
      </c>
      <c r="B11925" t="s">
        <v>27230</v>
      </c>
      <c r="C11925" t="s">
        <v>719</v>
      </c>
      <c r="D11925" s="21" t="s">
        <v>34</v>
      </c>
      <c r="E11925" s="21" t="s">
        <v>35</v>
      </c>
      <c r="F11925">
        <v>7620150</v>
      </c>
      <c r="G11925" t="s">
        <v>7141</v>
      </c>
      <c r="H11925" s="21">
        <v>937.67</v>
      </c>
    </row>
    <row r="11926" spans="1:8" customFormat="1" x14ac:dyDescent="0.25">
      <c r="A11926" t="str">
        <f>"36572"</f>
        <v>36572</v>
      </c>
      <c r="B11926" t="s">
        <v>1886</v>
      </c>
      <c r="C11926" t="s">
        <v>202</v>
      </c>
      <c r="D11926" s="21" t="s">
        <v>34</v>
      </c>
      <c r="E11926" s="21" t="s">
        <v>71</v>
      </c>
      <c r="F11926">
        <v>4360009</v>
      </c>
      <c r="G11926" t="s">
        <v>6259</v>
      </c>
      <c r="H11926" s="21">
        <v>937.67</v>
      </c>
    </row>
    <row r="11927" spans="1:8" customFormat="1" x14ac:dyDescent="0.25">
      <c r="A11927" t="str">
        <f>"762540"</f>
        <v>762540</v>
      </c>
      <c r="B11927" t="s">
        <v>4936</v>
      </c>
      <c r="C11927" t="s">
        <v>1841</v>
      </c>
      <c r="D11927" s="21" t="s">
        <v>34</v>
      </c>
      <c r="E11927" s="21" t="s">
        <v>1089</v>
      </c>
      <c r="F11927">
        <v>9760168</v>
      </c>
      <c r="G11927" t="s">
        <v>179</v>
      </c>
      <c r="H11927" s="21">
        <v>937.67</v>
      </c>
    </row>
    <row r="11928" spans="1:8" customFormat="1" x14ac:dyDescent="0.25">
      <c r="A11928" t="str">
        <f>"405086"</f>
        <v>405086</v>
      </c>
      <c r="B11928" t="s">
        <v>12683</v>
      </c>
      <c r="C11928" t="s">
        <v>209</v>
      </c>
      <c r="D11928" s="21" t="s">
        <v>34</v>
      </c>
      <c r="E11928" s="21" t="s">
        <v>71</v>
      </c>
      <c r="F11928">
        <v>10640008</v>
      </c>
      <c r="G11928" t="s">
        <v>1694</v>
      </c>
      <c r="H11928" s="21">
        <v>937.67</v>
      </c>
    </row>
    <row r="11929" spans="1:8" customFormat="1" x14ac:dyDescent="0.25">
      <c r="A11929" t="str">
        <f>"73241"</f>
        <v>73241</v>
      </c>
      <c r="B11929" t="s">
        <v>10484</v>
      </c>
      <c r="C11929" t="s">
        <v>4721</v>
      </c>
      <c r="D11929" s="21" t="s">
        <v>34</v>
      </c>
      <c r="E11929" s="21" t="s">
        <v>35</v>
      </c>
      <c r="F11929">
        <v>1730033</v>
      </c>
      <c r="G11929" t="s">
        <v>2407</v>
      </c>
      <c r="H11929" s="21">
        <v>937.67</v>
      </c>
    </row>
    <row r="11930" spans="1:8" customFormat="1" x14ac:dyDescent="0.25">
      <c r="A11930" t="str">
        <f>"197132"</f>
        <v>197132</v>
      </c>
      <c r="B11930" t="s">
        <v>872</v>
      </c>
      <c r="C11930" t="s">
        <v>415</v>
      </c>
      <c r="D11930" s="21" t="s">
        <v>34</v>
      </c>
      <c r="E11930" s="21" t="s">
        <v>1089</v>
      </c>
      <c r="F11930">
        <v>10190146</v>
      </c>
      <c r="G11930" t="s">
        <v>6303</v>
      </c>
      <c r="H11930" s="21">
        <v>937.67</v>
      </c>
    </row>
    <row r="11931" spans="1:8" customFormat="1" x14ac:dyDescent="0.25">
      <c r="A11931" t="str">
        <f>"9131187"</f>
        <v>9131187</v>
      </c>
      <c r="B11931" t="s">
        <v>3091</v>
      </c>
      <c r="C11931" t="s">
        <v>249</v>
      </c>
      <c r="D11931" s="21" t="s">
        <v>34</v>
      </c>
      <c r="E11931" s="21" t="s">
        <v>71</v>
      </c>
      <c r="F11931">
        <v>8910916</v>
      </c>
      <c r="G11931" t="s">
        <v>2251</v>
      </c>
      <c r="H11931" s="21">
        <v>937.67</v>
      </c>
    </row>
    <row r="11932" spans="1:8" customFormat="1" x14ac:dyDescent="0.25">
      <c r="A11932" t="str">
        <f>"337888"</f>
        <v>337888</v>
      </c>
      <c r="B11932" t="s">
        <v>1422</v>
      </c>
      <c r="C11932" t="s">
        <v>564</v>
      </c>
      <c r="D11932" s="21" t="s">
        <v>34</v>
      </c>
      <c r="E11932" s="21" t="s">
        <v>71</v>
      </c>
      <c r="F11932">
        <v>10330020</v>
      </c>
      <c r="G11932" t="s">
        <v>7481</v>
      </c>
      <c r="H11932" s="21">
        <v>937.67</v>
      </c>
    </row>
    <row r="11933" spans="1:8" customFormat="1" x14ac:dyDescent="0.25">
      <c r="A11933" t="str">
        <f>"352492"</f>
        <v>352492</v>
      </c>
      <c r="B11933" t="s">
        <v>2199</v>
      </c>
      <c r="C11933" t="s">
        <v>130</v>
      </c>
      <c r="D11933" s="21" t="s">
        <v>34</v>
      </c>
      <c r="E11933" s="21" t="s">
        <v>71</v>
      </c>
      <c r="F11933">
        <v>3290232</v>
      </c>
      <c r="G11933" t="s">
        <v>9588</v>
      </c>
      <c r="H11933" s="21">
        <v>937.67</v>
      </c>
    </row>
    <row r="11934" spans="1:8" customFormat="1" x14ac:dyDescent="0.25">
      <c r="A11934" t="str">
        <f>"3340831"</f>
        <v>3340831</v>
      </c>
      <c r="B11934" t="s">
        <v>12023</v>
      </c>
      <c r="C11934" t="s">
        <v>60</v>
      </c>
      <c r="D11934" s="21" t="s">
        <v>34</v>
      </c>
      <c r="E11934" s="21" t="s">
        <v>35</v>
      </c>
      <c r="F11934">
        <v>10330074</v>
      </c>
      <c r="G11934" t="s">
        <v>12024</v>
      </c>
      <c r="H11934" s="21">
        <v>937.54</v>
      </c>
    </row>
    <row r="11935" spans="1:8" customFormat="1" x14ac:dyDescent="0.25">
      <c r="A11935" t="str">
        <f>"568798"</f>
        <v>568798</v>
      </c>
      <c r="B11935" t="s">
        <v>12034</v>
      </c>
      <c r="C11935" t="s">
        <v>33</v>
      </c>
      <c r="D11935" s="21" t="s">
        <v>34</v>
      </c>
      <c r="E11935" s="21" t="s">
        <v>35</v>
      </c>
      <c r="F11935">
        <v>3560020</v>
      </c>
      <c r="G11935" t="s">
        <v>426</v>
      </c>
      <c r="H11935" s="21">
        <v>937.42</v>
      </c>
    </row>
    <row r="11936" spans="1:8" customFormat="1" x14ac:dyDescent="0.25">
      <c r="A11936" t="str">
        <f>"392788"</f>
        <v>392788</v>
      </c>
      <c r="B11936" t="s">
        <v>12053</v>
      </c>
      <c r="C11936" t="s">
        <v>119</v>
      </c>
      <c r="D11936" s="21" t="s">
        <v>34</v>
      </c>
      <c r="E11936" s="21" t="s">
        <v>35</v>
      </c>
      <c r="F11936">
        <v>2390002</v>
      </c>
      <c r="G11936" t="s">
        <v>9132</v>
      </c>
      <c r="H11936" s="21">
        <v>937.42</v>
      </c>
    </row>
    <row r="11937" spans="1:8" customFormat="1" x14ac:dyDescent="0.25">
      <c r="A11937" t="str">
        <f>"536381"</f>
        <v>536381</v>
      </c>
      <c r="B11937" t="s">
        <v>2645</v>
      </c>
      <c r="C11937" t="s">
        <v>267</v>
      </c>
      <c r="D11937" s="21" t="s">
        <v>34</v>
      </c>
      <c r="E11937" s="21" t="s">
        <v>71</v>
      </c>
      <c r="F11937">
        <v>12530054</v>
      </c>
      <c r="G11937" t="s">
        <v>354</v>
      </c>
      <c r="H11937" s="21">
        <v>937.42</v>
      </c>
    </row>
    <row r="11938" spans="1:8" customFormat="1" x14ac:dyDescent="0.25">
      <c r="A11938" t="str">
        <f>"4430183"</f>
        <v>4430183</v>
      </c>
      <c r="B11938" t="s">
        <v>11284</v>
      </c>
      <c r="C11938" t="s">
        <v>1868</v>
      </c>
      <c r="D11938" s="21" t="s">
        <v>34</v>
      </c>
      <c r="E11938" s="21" t="s">
        <v>254</v>
      </c>
      <c r="F11938">
        <v>12440001</v>
      </c>
      <c r="G11938" t="s">
        <v>6999</v>
      </c>
      <c r="H11938" s="21">
        <v>937.42</v>
      </c>
    </row>
    <row r="11939" spans="1:8" customFormat="1" x14ac:dyDescent="0.25">
      <c r="A11939" t="str">
        <f>"4110770"</f>
        <v>4110770</v>
      </c>
      <c r="B11939" t="s">
        <v>8360</v>
      </c>
      <c r="C11939" t="s">
        <v>33</v>
      </c>
      <c r="D11939" s="21" t="s">
        <v>34</v>
      </c>
      <c r="E11939" s="21" t="s">
        <v>71</v>
      </c>
      <c r="F11939">
        <v>4410083</v>
      </c>
      <c r="G11939" t="s">
        <v>2333</v>
      </c>
      <c r="H11939" s="21">
        <v>937.17</v>
      </c>
    </row>
    <row r="11940" spans="1:8" customFormat="1" x14ac:dyDescent="0.25">
      <c r="A11940" t="str">
        <f>"934701"</f>
        <v>934701</v>
      </c>
      <c r="B11940" t="s">
        <v>12488</v>
      </c>
      <c r="C11940" t="s">
        <v>62</v>
      </c>
      <c r="D11940" s="21" t="s">
        <v>34</v>
      </c>
      <c r="E11940" s="21" t="s">
        <v>35</v>
      </c>
      <c r="F11940">
        <v>13830013</v>
      </c>
      <c r="G11940" t="s">
        <v>3374</v>
      </c>
      <c r="H11940" s="21">
        <v>937.17</v>
      </c>
    </row>
    <row r="11941" spans="1:8" customFormat="1" x14ac:dyDescent="0.25">
      <c r="A11941" t="str">
        <f>"4211270"</f>
        <v>4211270</v>
      </c>
      <c r="B11941" t="s">
        <v>12140</v>
      </c>
      <c r="C11941" t="s">
        <v>1675</v>
      </c>
      <c r="D11941" s="21" t="s">
        <v>34</v>
      </c>
      <c r="E11941" s="21" t="s">
        <v>35</v>
      </c>
      <c r="F11941">
        <v>1420012</v>
      </c>
      <c r="G11941" t="s">
        <v>12141</v>
      </c>
      <c r="H11941" s="21">
        <v>937.17</v>
      </c>
    </row>
    <row r="11942" spans="1:8" customFormat="1" x14ac:dyDescent="0.25">
      <c r="A11942" t="str">
        <f>"7512511"</f>
        <v>7512511</v>
      </c>
      <c r="B11942" t="s">
        <v>12594</v>
      </c>
      <c r="C11942" t="s">
        <v>198</v>
      </c>
      <c r="D11942" s="21" t="s">
        <v>34</v>
      </c>
      <c r="E11942" s="21" t="s">
        <v>35</v>
      </c>
      <c r="F11942">
        <v>8940070</v>
      </c>
      <c r="G11942" t="s">
        <v>2320</v>
      </c>
      <c r="H11942" s="21">
        <v>937.17</v>
      </c>
    </row>
    <row r="11943" spans="1:8" customFormat="1" x14ac:dyDescent="0.25">
      <c r="A11943" t="str">
        <f>"851387"</f>
        <v>851387</v>
      </c>
      <c r="B11943" t="s">
        <v>11515</v>
      </c>
      <c r="C11943" t="s">
        <v>1110</v>
      </c>
      <c r="D11943" s="21" t="s">
        <v>34</v>
      </c>
      <c r="E11943" s="21" t="s">
        <v>254</v>
      </c>
      <c r="F11943">
        <v>12850042</v>
      </c>
      <c r="G11943" t="s">
        <v>5342</v>
      </c>
      <c r="H11943" s="21">
        <v>937.17</v>
      </c>
    </row>
    <row r="11944" spans="1:8" customFormat="1" x14ac:dyDescent="0.25">
      <c r="A11944" t="str">
        <f>"443753"</f>
        <v>443753</v>
      </c>
      <c r="B11944" t="s">
        <v>2438</v>
      </c>
      <c r="C11944" t="s">
        <v>817</v>
      </c>
      <c r="D11944" s="21" t="s">
        <v>34</v>
      </c>
      <c r="E11944" s="21" t="s">
        <v>71</v>
      </c>
      <c r="F11944">
        <v>12440140</v>
      </c>
      <c r="G11944" t="s">
        <v>11783</v>
      </c>
      <c r="H11944" s="21">
        <v>937.17</v>
      </c>
    </row>
    <row r="11945" spans="1:8" customFormat="1" x14ac:dyDescent="0.25">
      <c r="A11945" t="str">
        <f>"608975"</f>
        <v>608975</v>
      </c>
      <c r="B11945" t="s">
        <v>853</v>
      </c>
      <c r="C11945" t="s">
        <v>1803</v>
      </c>
      <c r="D11945" s="21" t="s">
        <v>34</v>
      </c>
      <c r="E11945" s="21" t="s">
        <v>35</v>
      </c>
      <c r="F11945">
        <v>7600039</v>
      </c>
      <c r="G11945" t="s">
        <v>3151</v>
      </c>
      <c r="H11945" s="21">
        <v>937.17</v>
      </c>
    </row>
    <row r="11946" spans="1:8" customFormat="1" x14ac:dyDescent="0.25">
      <c r="A11946" t="str">
        <f>"7918703"</f>
        <v>7918703</v>
      </c>
      <c r="B11946" t="s">
        <v>10694</v>
      </c>
      <c r="C11946" t="s">
        <v>87</v>
      </c>
      <c r="D11946" s="21" t="s">
        <v>34</v>
      </c>
      <c r="E11946" s="21" t="s">
        <v>35</v>
      </c>
      <c r="F11946">
        <v>10790020</v>
      </c>
      <c r="G11946" t="s">
        <v>10221</v>
      </c>
      <c r="H11946" s="21">
        <v>937.17</v>
      </c>
    </row>
    <row r="11947" spans="1:8" customFormat="1" x14ac:dyDescent="0.25">
      <c r="A11947" t="str">
        <f>"037036"</f>
        <v>037036</v>
      </c>
      <c r="B11947" t="s">
        <v>509</v>
      </c>
      <c r="C11947" t="s">
        <v>9882</v>
      </c>
      <c r="D11947" s="21" t="s">
        <v>34</v>
      </c>
      <c r="E11947" s="21" t="s">
        <v>35</v>
      </c>
      <c r="F11947">
        <v>1030128</v>
      </c>
      <c r="G11947" t="s">
        <v>7355</v>
      </c>
      <c r="H11947" s="21">
        <v>937.17</v>
      </c>
    </row>
    <row r="11948" spans="1:8" customFormat="1" x14ac:dyDescent="0.25">
      <c r="A11948" t="str">
        <f>"765439"</f>
        <v>765439</v>
      </c>
      <c r="B11948" t="s">
        <v>1838</v>
      </c>
      <c r="C11948" t="s">
        <v>33</v>
      </c>
      <c r="D11948" s="21" t="s">
        <v>34</v>
      </c>
      <c r="E11948" s="21" t="s">
        <v>71</v>
      </c>
      <c r="F11948">
        <v>9760377</v>
      </c>
      <c r="G11948" t="s">
        <v>6631</v>
      </c>
      <c r="H11948" s="21">
        <v>937.17</v>
      </c>
    </row>
    <row r="11949" spans="1:8" customFormat="1" x14ac:dyDescent="0.25">
      <c r="A11949" t="str">
        <f>"3816479"</f>
        <v>3816479</v>
      </c>
      <c r="B11949" t="s">
        <v>11184</v>
      </c>
      <c r="C11949" t="s">
        <v>462</v>
      </c>
      <c r="D11949" s="21" t="s">
        <v>34</v>
      </c>
      <c r="E11949" s="21" t="s">
        <v>71</v>
      </c>
      <c r="F11949">
        <v>1380236</v>
      </c>
      <c r="G11949" t="s">
        <v>2876</v>
      </c>
      <c r="H11949" s="21">
        <v>937.17</v>
      </c>
    </row>
    <row r="11950" spans="1:8" customFormat="1" x14ac:dyDescent="0.25">
      <c r="A11950" t="str">
        <f>"52423"</f>
        <v>52423</v>
      </c>
      <c r="B11950" t="s">
        <v>11903</v>
      </c>
      <c r="C11950" t="s">
        <v>926</v>
      </c>
      <c r="D11950" s="21" t="s">
        <v>34</v>
      </c>
      <c r="E11950" s="21" t="s">
        <v>71</v>
      </c>
      <c r="F11950">
        <v>6520004</v>
      </c>
      <c r="G11950" t="s">
        <v>5152</v>
      </c>
      <c r="H11950" s="21">
        <v>937.17</v>
      </c>
    </row>
    <row r="11951" spans="1:8" customFormat="1" x14ac:dyDescent="0.25">
      <c r="A11951" t="str">
        <f>"9113912"</f>
        <v>9113912</v>
      </c>
      <c r="B11951" t="s">
        <v>11871</v>
      </c>
      <c r="C11951" t="s">
        <v>55</v>
      </c>
      <c r="D11951" s="21" t="s">
        <v>34</v>
      </c>
      <c r="E11951" s="21" t="s">
        <v>71</v>
      </c>
      <c r="F11951">
        <v>3290229</v>
      </c>
      <c r="G11951" t="s">
        <v>408</v>
      </c>
      <c r="H11951" s="21">
        <v>937.17</v>
      </c>
    </row>
    <row r="11952" spans="1:8" customFormat="1" x14ac:dyDescent="0.25">
      <c r="A11952" t="str">
        <f>"101663"</f>
        <v>101663</v>
      </c>
      <c r="B11952" t="s">
        <v>1692</v>
      </c>
      <c r="C11952" t="s">
        <v>60</v>
      </c>
      <c r="D11952" s="21" t="s">
        <v>34</v>
      </c>
      <c r="E11952" s="21" t="s">
        <v>71</v>
      </c>
      <c r="F11952">
        <v>6100007</v>
      </c>
      <c r="G11952" t="s">
        <v>9706</v>
      </c>
      <c r="H11952" s="21">
        <v>937.17</v>
      </c>
    </row>
    <row r="11953" spans="1:8" customFormat="1" x14ac:dyDescent="0.25">
      <c r="A11953" t="str">
        <f>"6012145"</f>
        <v>6012145</v>
      </c>
      <c r="B11953" t="s">
        <v>1522</v>
      </c>
      <c r="C11953" t="s">
        <v>211</v>
      </c>
      <c r="D11953" s="21" t="s">
        <v>34</v>
      </c>
      <c r="E11953" s="21" t="s">
        <v>71</v>
      </c>
      <c r="F11953">
        <v>9270069</v>
      </c>
      <c r="G11953" t="s">
        <v>3509</v>
      </c>
      <c r="H11953" s="21">
        <v>937.04</v>
      </c>
    </row>
    <row r="11954" spans="1:8" customFormat="1" x14ac:dyDescent="0.25">
      <c r="A11954" t="str">
        <f>"7840377"</f>
        <v>7840377</v>
      </c>
      <c r="B11954" t="s">
        <v>10153</v>
      </c>
      <c r="C11954" t="s">
        <v>249</v>
      </c>
      <c r="D11954" s="21" t="s">
        <v>34</v>
      </c>
      <c r="E11954" s="21" t="s">
        <v>35</v>
      </c>
      <c r="F11954">
        <v>8780890</v>
      </c>
      <c r="G11954" t="s">
        <v>6456</v>
      </c>
      <c r="H11954" s="21">
        <v>937.04</v>
      </c>
    </row>
    <row r="11955" spans="1:8" customFormat="1" x14ac:dyDescent="0.25">
      <c r="A11955" t="str">
        <f>"814581"</f>
        <v>814581</v>
      </c>
      <c r="B11955" t="s">
        <v>15945</v>
      </c>
      <c r="C11955" t="s">
        <v>712</v>
      </c>
      <c r="D11955" s="21" t="s">
        <v>34</v>
      </c>
      <c r="E11955" s="21" t="s">
        <v>35</v>
      </c>
      <c r="F11955">
        <v>11810033</v>
      </c>
      <c r="G11955" t="s">
        <v>3852</v>
      </c>
      <c r="H11955" s="21">
        <v>937.04</v>
      </c>
    </row>
    <row r="11956" spans="1:8" customFormat="1" x14ac:dyDescent="0.25">
      <c r="A11956" t="str">
        <f>"371768"</f>
        <v>371768</v>
      </c>
      <c r="B11956" t="s">
        <v>11465</v>
      </c>
      <c r="C11956" t="s">
        <v>415</v>
      </c>
      <c r="D11956" s="21" t="s">
        <v>34</v>
      </c>
      <c r="E11956" s="21" t="s">
        <v>254</v>
      </c>
      <c r="F11956">
        <v>4370596</v>
      </c>
      <c r="G11956" t="s">
        <v>9270</v>
      </c>
      <c r="H11956" s="21">
        <v>936.92</v>
      </c>
    </row>
    <row r="11957" spans="1:8" customFormat="1" x14ac:dyDescent="0.25">
      <c r="A11957" t="str">
        <f>"7830508"</f>
        <v>7830508</v>
      </c>
      <c r="B11957" t="s">
        <v>13056</v>
      </c>
      <c r="C11957" t="s">
        <v>87</v>
      </c>
      <c r="D11957" s="21" t="s">
        <v>34</v>
      </c>
      <c r="E11957" s="21" t="s">
        <v>71</v>
      </c>
      <c r="F11957">
        <v>8780130</v>
      </c>
      <c r="G11957" t="s">
        <v>5752</v>
      </c>
      <c r="H11957" s="21">
        <v>936.92</v>
      </c>
    </row>
    <row r="11958" spans="1:8" customFormat="1" x14ac:dyDescent="0.25">
      <c r="A11958" t="str">
        <f>"624402"</f>
        <v>624402</v>
      </c>
      <c r="B11958" t="s">
        <v>10529</v>
      </c>
      <c r="C11958" t="s">
        <v>1705</v>
      </c>
      <c r="D11958" s="21" t="s">
        <v>34</v>
      </c>
      <c r="E11958" s="21" t="s">
        <v>254</v>
      </c>
      <c r="F11958">
        <v>7620038</v>
      </c>
      <c r="G11958" t="s">
        <v>5049</v>
      </c>
      <c r="H11958" s="21">
        <v>936.79</v>
      </c>
    </row>
    <row r="11959" spans="1:8" customFormat="1" x14ac:dyDescent="0.25">
      <c r="A11959" t="str">
        <f>"685051"</f>
        <v>685051</v>
      </c>
      <c r="B11959" t="s">
        <v>11888</v>
      </c>
      <c r="C11959" t="s">
        <v>239</v>
      </c>
      <c r="D11959" s="21" t="s">
        <v>34</v>
      </c>
      <c r="E11959" s="21" t="s">
        <v>71</v>
      </c>
      <c r="F11959">
        <v>6680128</v>
      </c>
      <c r="G11959" t="s">
        <v>341</v>
      </c>
      <c r="H11959" s="21">
        <v>936.67</v>
      </c>
    </row>
    <row r="11960" spans="1:8" customFormat="1" x14ac:dyDescent="0.25">
      <c r="A11960" t="str">
        <f>"105004"</f>
        <v>105004</v>
      </c>
      <c r="B11960" t="s">
        <v>12761</v>
      </c>
      <c r="C11960" t="s">
        <v>246</v>
      </c>
      <c r="D11960" s="21" t="s">
        <v>34</v>
      </c>
      <c r="E11960" s="21" t="s">
        <v>71</v>
      </c>
      <c r="F11960">
        <v>6100016</v>
      </c>
      <c r="G11960" t="s">
        <v>7558</v>
      </c>
      <c r="H11960" s="21">
        <v>936.67</v>
      </c>
    </row>
    <row r="11961" spans="1:8" customFormat="1" x14ac:dyDescent="0.25">
      <c r="A11961" t="str">
        <f>"492191"</f>
        <v>492191</v>
      </c>
      <c r="B11961" t="s">
        <v>10618</v>
      </c>
      <c r="C11961" t="s">
        <v>267</v>
      </c>
      <c r="D11961" s="21" t="s">
        <v>34</v>
      </c>
      <c r="E11961" s="21" t="s">
        <v>254</v>
      </c>
      <c r="F11961">
        <v>12490010</v>
      </c>
      <c r="G11961" t="s">
        <v>4838</v>
      </c>
      <c r="H11961" s="21">
        <v>936.67</v>
      </c>
    </row>
    <row r="11962" spans="1:8" customFormat="1" x14ac:dyDescent="0.25">
      <c r="A11962" t="str">
        <f>"222678"</f>
        <v>222678</v>
      </c>
      <c r="B11962" t="s">
        <v>1456</v>
      </c>
      <c r="C11962" t="s">
        <v>1605</v>
      </c>
      <c r="D11962" s="21" t="s">
        <v>34</v>
      </c>
      <c r="E11962" s="21" t="s">
        <v>71</v>
      </c>
      <c r="F11962">
        <v>3220041</v>
      </c>
      <c r="G11962" t="s">
        <v>27133</v>
      </c>
      <c r="H11962" s="21">
        <v>936.67</v>
      </c>
    </row>
    <row r="11963" spans="1:8" customFormat="1" x14ac:dyDescent="0.25">
      <c r="A11963" t="str">
        <f>"676696"</f>
        <v>676696</v>
      </c>
      <c r="B11963" t="s">
        <v>16827</v>
      </c>
      <c r="C11963" t="s">
        <v>60</v>
      </c>
      <c r="D11963" s="21" t="s">
        <v>34</v>
      </c>
      <c r="E11963" s="21" t="s">
        <v>35</v>
      </c>
      <c r="F11963">
        <v>6670129</v>
      </c>
      <c r="G11963" t="s">
        <v>12249</v>
      </c>
      <c r="H11963" s="21">
        <v>936.67</v>
      </c>
    </row>
    <row r="11964" spans="1:8" customFormat="1" x14ac:dyDescent="0.25">
      <c r="A11964" t="str">
        <f>"4443913"</f>
        <v>4443913</v>
      </c>
      <c r="B11964" t="s">
        <v>8637</v>
      </c>
      <c r="C11964" t="s">
        <v>763</v>
      </c>
      <c r="D11964" s="21" t="s">
        <v>34</v>
      </c>
      <c r="E11964" s="21" t="s">
        <v>71</v>
      </c>
      <c r="F11964">
        <v>1010063</v>
      </c>
      <c r="G11964" t="s">
        <v>5215</v>
      </c>
      <c r="H11964" s="21">
        <v>936.67</v>
      </c>
    </row>
    <row r="11965" spans="1:8" customFormat="1" x14ac:dyDescent="0.25">
      <c r="A11965" t="str">
        <f>"616292"</f>
        <v>616292</v>
      </c>
      <c r="B11965" t="s">
        <v>10457</v>
      </c>
      <c r="C11965" t="s">
        <v>62</v>
      </c>
      <c r="D11965" s="21" t="s">
        <v>34</v>
      </c>
      <c r="E11965" s="21" t="s">
        <v>35</v>
      </c>
      <c r="F11965">
        <v>9610123</v>
      </c>
      <c r="G11965" t="s">
        <v>10458</v>
      </c>
      <c r="H11965" s="21">
        <v>936.67</v>
      </c>
    </row>
    <row r="11966" spans="1:8" customFormat="1" x14ac:dyDescent="0.25">
      <c r="A11966" t="str">
        <f>"4512263"</f>
        <v>4512263</v>
      </c>
      <c r="B11966" t="s">
        <v>7114</v>
      </c>
      <c r="C11966" t="s">
        <v>114</v>
      </c>
      <c r="D11966" s="21" t="s">
        <v>34</v>
      </c>
      <c r="E11966" s="21" t="s">
        <v>71</v>
      </c>
      <c r="F11966">
        <v>10470002</v>
      </c>
      <c r="G11966" t="s">
        <v>13066</v>
      </c>
      <c r="H11966" s="21">
        <v>936.67</v>
      </c>
    </row>
    <row r="11967" spans="1:8" customFormat="1" x14ac:dyDescent="0.25">
      <c r="A11967" t="str">
        <f>"171901"</f>
        <v>171901</v>
      </c>
      <c r="B11967" t="s">
        <v>2722</v>
      </c>
      <c r="C11967" t="s">
        <v>55</v>
      </c>
      <c r="D11967" s="21" t="s">
        <v>34</v>
      </c>
      <c r="E11967" s="21" t="s">
        <v>71</v>
      </c>
      <c r="F11967">
        <v>10170064</v>
      </c>
      <c r="G11967" t="s">
        <v>1900</v>
      </c>
      <c r="H11967" s="21">
        <v>936.67</v>
      </c>
    </row>
    <row r="11968" spans="1:8" customFormat="1" x14ac:dyDescent="0.25">
      <c r="A11968" t="str">
        <f>"725518"</f>
        <v>725518</v>
      </c>
      <c r="B11968" t="s">
        <v>9356</v>
      </c>
      <c r="C11968" t="s">
        <v>169</v>
      </c>
      <c r="D11968" s="21" t="s">
        <v>34</v>
      </c>
      <c r="E11968" s="21" t="s">
        <v>35</v>
      </c>
      <c r="F11968">
        <v>12720023</v>
      </c>
      <c r="G11968" t="s">
        <v>1898</v>
      </c>
      <c r="H11968" s="21">
        <v>936.67</v>
      </c>
    </row>
    <row r="11969" spans="1:8" customFormat="1" x14ac:dyDescent="0.25">
      <c r="A11969" t="str">
        <f>"8012892"</f>
        <v>8012892</v>
      </c>
      <c r="B11969" t="s">
        <v>12423</v>
      </c>
      <c r="C11969" t="s">
        <v>10083</v>
      </c>
      <c r="D11969" s="21" t="s">
        <v>34</v>
      </c>
      <c r="E11969" s="21" t="s">
        <v>35</v>
      </c>
      <c r="F11969">
        <v>9760156</v>
      </c>
      <c r="G11969" t="s">
        <v>26731</v>
      </c>
      <c r="H11969" s="21">
        <v>936.67</v>
      </c>
    </row>
    <row r="11970" spans="1:8" customFormat="1" x14ac:dyDescent="0.25">
      <c r="A11970" t="str">
        <f>"62825"</f>
        <v>62825</v>
      </c>
      <c r="B11970" t="s">
        <v>11132</v>
      </c>
      <c r="C11970" t="s">
        <v>3648</v>
      </c>
      <c r="D11970" s="21" t="s">
        <v>34</v>
      </c>
      <c r="E11970" s="21" t="s">
        <v>254</v>
      </c>
      <c r="F11970">
        <v>7620044</v>
      </c>
      <c r="G11970" t="s">
        <v>2961</v>
      </c>
      <c r="H11970" s="21">
        <v>936.67</v>
      </c>
    </row>
    <row r="11971" spans="1:8" customFormat="1" x14ac:dyDescent="0.25">
      <c r="A11971" t="str">
        <f>"034134"</f>
        <v>034134</v>
      </c>
      <c r="B11971" t="s">
        <v>4711</v>
      </c>
      <c r="C11971" t="s">
        <v>598</v>
      </c>
      <c r="D11971" s="21" t="s">
        <v>34</v>
      </c>
      <c r="E11971" s="21" t="s">
        <v>71</v>
      </c>
      <c r="F11971">
        <v>1030299</v>
      </c>
      <c r="G11971" t="s">
        <v>2631</v>
      </c>
      <c r="H11971" s="21">
        <v>936.67</v>
      </c>
    </row>
    <row r="11972" spans="1:8" customFormat="1" x14ac:dyDescent="0.25">
      <c r="A11972" t="str">
        <f>"8526559"</f>
        <v>8526559</v>
      </c>
      <c r="B11972" t="s">
        <v>19792</v>
      </c>
      <c r="C11972" t="s">
        <v>33</v>
      </c>
      <c r="D11972" s="21" t="s">
        <v>34</v>
      </c>
      <c r="E11972" s="21" t="s">
        <v>35</v>
      </c>
      <c r="F11972">
        <v>12490040</v>
      </c>
      <c r="G11972" t="s">
        <v>94</v>
      </c>
      <c r="H11972" s="21">
        <v>936.67</v>
      </c>
    </row>
    <row r="11973" spans="1:8" customFormat="1" x14ac:dyDescent="0.25">
      <c r="A11973" t="str">
        <f>"184972"</f>
        <v>184972</v>
      </c>
      <c r="B11973" t="s">
        <v>765</v>
      </c>
      <c r="C11973" t="s">
        <v>209</v>
      </c>
      <c r="D11973" s="21" t="s">
        <v>34</v>
      </c>
      <c r="E11973" s="21" t="s">
        <v>35</v>
      </c>
      <c r="F11973">
        <v>12490076</v>
      </c>
      <c r="G11973" t="s">
        <v>2086</v>
      </c>
      <c r="H11973" s="21">
        <v>936.67</v>
      </c>
    </row>
    <row r="11974" spans="1:8" customFormat="1" x14ac:dyDescent="0.25">
      <c r="A11974" t="str">
        <f>"905416"</f>
        <v>905416</v>
      </c>
      <c r="B11974" t="s">
        <v>14145</v>
      </c>
      <c r="C11974" t="s">
        <v>109</v>
      </c>
      <c r="D11974" s="21" t="s">
        <v>34</v>
      </c>
      <c r="E11974" s="21" t="s">
        <v>35</v>
      </c>
      <c r="F11974">
        <v>2900046</v>
      </c>
      <c r="G11974" t="s">
        <v>4101</v>
      </c>
      <c r="H11974" s="21">
        <v>936.67</v>
      </c>
    </row>
    <row r="11975" spans="1:8" customFormat="1" x14ac:dyDescent="0.25">
      <c r="A11975" t="str">
        <f>"331244"</f>
        <v>331244</v>
      </c>
      <c r="B11975" t="s">
        <v>10029</v>
      </c>
      <c r="C11975" t="s">
        <v>269</v>
      </c>
      <c r="D11975" s="21" t="s">
        <v>34</v>
      </c>
      <c r="E11975" s="21" t="s">
        <v>71</v>
      </c>
      <c r="F11975">
        <v>8910028</v>
      </c>
      <c r="G11975" t="s">
        <v>2634</v>
      </c>
      <c r="H11975" s="21">
        <v>936.67</v>
      </c>
    </row>
    <row r="11976" spans="1:8" customFormat="1" x14ac:dyDescent="0.25">
      <c r="A11976" t="str">
        <f>"043802"</f>
        <v>043802</v>
      </c>
      <c r="B11976" t="s">
        <v>14830</v>
      </c>
      <c r="C11976" t="s">
        <v>109</v>
      </c>
      <c r="D11976" s="21" t="s">
        <v>34</v>
      </c>
      <c r="E11976" s="21" t="s">
        <v>35</v>
      </c>
      <c r="F11976">
        <v>13040024</v>
      </c>
      <c r="G11976" t="s">
        <v>5900</v>
      </c>
      <c r="H11976" s="21">
        <v>936.67</v>
      </c>
    </row>
    <row r="11977" spans="1:8" customFormat="1" x14ac:dyDescent="0.25">
      <c r="A11977" t="str">
        <f>"775579"</f>
        <v>775579</v>
      </c>
      <c r="B11977" t="s">
        <v>1551</v>
      </c>
      <c r="C11977" t="s">
        <v>209</v>
      </c>
      <c r="D11977" s="21" t="s">
        <v>34</v>
      </c>
      <c r="E11977" s="21" t="s">
        <v>71</v>
      </c>
      <c r="F11977">
        <v>8771025</v>
      </c>
      <c r="G11977" t="s">
        <v>5469</v>
      </c>
      <c r="H11977" s="21">
        <v>936.67</v>
      </c>
    </row>
    <row r="11978" spans="1:8" customFormat="1" x14ac:dyDescent="0.25">
      <c r="A11978" t="str">
        <f>"7914072"</f>
        <v>7914072</v>
      </c>
      <c r="B11978" t="s">
        <v>630</v>
      </c>
      <c r="C11978" t="s">
        <v>249</v>
      </c>
      <c r="D11978" s="21" t="s">
        <v>34</v>
      </c>
      <c r="E11978" s="21" t="s">
        <v>71</v>
      </c>
      <c r="F11978">
        <v>10170162</v>
      </c>
      <c r="G11978" t="s">
        <v>2817</v>
      </c>
      <c r="H11978" s="21">
        <v>936.67</v>
      </c>
    </row>
    <row r="11979" spans="1:8" customFormat="1" x14ac:dyDescent="0.25">
      <c r="A11979" t="str">
        <f>"5719846"</f>
        <v>5719846</v>
      </c>
      <c r="B11979" t="s">
        <v>27231</v>
      </c>
      <c r="C11979" t="s">
        <v>288</v>
      </c>
      <c r="D11979" s="21" t="s">
        <v>34</v>
      </c>
      <c r="E11979" s="21" t="s">
        <v>35</v>
      </c>
      <c r="F11979">
        <v>10640004</v>
      </c>
      <c r="G11979" t="s">
        <v>26618</v>
      </c>
      <c r="H11979" s="21">
        <v>936.67</v>
      </c>
    </row>
    <row r="11980" spans="1:8" customFormat="1" x14ac:dyDescent="0.25">
      <c r="A11980" t="str">
        <f>"7210636"</f>
        <v>7210636</v>
      </c>
      <c r="B11980" t="s">
        <v>7872</v>
      </c>
      <c r="C11980" t="s">
        <v>169</v>
      </c>
      <c r="D11980" s="21" t="s">
        <v>34</v>
      </c>
      <c r="E11980" s="21" t="s">
        <v>35</v>
      </c>
      <c r="F11980">
        <v>12720049</v>
      </c>
      <c r="G11980" t="s">
        <v>1627</v>
      </c>
      <c r="H11980" s="21">
        <v>936.67</v>
      </c>
    </row>
    <row r="11981" spans="1:8" customFormat="1" x14ac:dyDescent="0.25">
      <c r="A11981" t="str">
        <f>"4430374"</f>
        <v>4430374</v>
      </c>
      <c r="B11981" t="s">
        <v>11564</v>
      </c>
      <c r="C11981" t="s">
        <v>608</v>
      </c>
      <c r="D11981" s="21" t="s">
        <v>34</v>
      </c>
      <c r="E11981" s="21" t="s">
        <v>254</v>
      </c>
      <c r="F11981">
        <v>4450417</v>
      </c>
      <c r="G11981" t="s">
        <v>2284</v>
      </c>
      <c r="H11981" s="21">
        <v>936.67</v>
      </c>
    </row>
    <row r="11982" spans="1:8" customFormat="1" x14ac:dyDescent="0.25">
      <c r="A11982" t="str">
        <f>"418480"</f>
        <v>418480</v>
      </c>
      <c r="B11982" t="s">
        <v>9000</v>
      </c>
      <c r="C11982" t="s">
        <v>114</v>
      </c>
      <c r="D11982" s="21" t="s">
        <v>34</v>
      </c>
      <c r="E11982" s="21" t="s">
        <v>35</v>
      </c>
      <c r="F11982">
        <v>4410083</v>
      </c>
      <c r="G11982" t="s">
        <v>2333</v>
      </c>
      <c r="H11982" s="21">
        <v>936.67</v>
      </c>
    </row>
    <row r="11983" spans="1:8" customFormat="1" x14ac:dyDescent="0.25">
      <c r="A11983" t="str">
        <f>"458264"</f>
        <v>458264</v>
      </c>
      <c r="B11983" t="s">
        <v>9425</v>
      </c>
      <c r="C11983" t="s">
        <v>547</v>
      </c>
      <c r="D11983" s="21" t="s">
        <v>34</v>
      </c>
      <c r="E11983" s="21" t="s">
        <v>71</v>
      </c>
      <c r="F11983">
        <v>10790069</v>
      </c>
      <c r="G11983" t="s">
        <v>689</v>
      </c>
      <c r="H11983" s="21">
        <v>936.42</v>
      </c>
    </row>
    <row r="11984" spans="1:8" customFormat="1" x14ac:dyDescent="0.25">
      <c r="A11984" t="str">
        <f>"1612141"</f>
        <v>1612141</v>
      </c>
      <c r="B11984" t="s">
        <v>12597</v>
      </c>
      <c r="C11984" t="s">
        <v>187</v>
      </c>
      <c r="D11984" s="21" t="s">
        <v>34</v>
      </c>
      <c r="E11984" s="21" t="s">
        <v>35</v>
      </c>
      <c r="F11984">
        <v>10160226</v>
      </c>
      <c r="G11984" t="s">
        <v>8751</v>
      </c>
      <c r="H11984" s="21">
        <v>936.42</v>
      </c>
    </row>
    <row r="11985" spans="1:8" customFormat="1" x14ac:dyDescent="0.25">
      <c r="A11985" t="str">
        <f>"6720792"</f>
        <v>6720792</v>
      </c>
      <c r="B11985" t="s">
        <v>2124</v>
      </c>
      <c r="C11985" t="s">
        <v>1119</v>
      </c>
      <c r="D11985" s="21" t="s">
        <v>34</v>
      </c>
      <c r="E11985" s="21" t="s">
        <v>35</v>
      </c>
      <c r="F11985">
        <v>6670014</v>
      </c>
      <c r="G11985" t="s">
        <v>4258</v>
      </c>
      <c r="H11985" s="21">
        <v>936.42</v>
      </c>
    </row>
    <row r="11986" spans="1:8" customFormat="1" x14ac:dyDescent="0.25">
      <c r="A11986" t="str">
        <f>"5729414"</f>
        <v>5729414</v>
      </c>
      <c r="B11986" t="s">
        <v>690</v>
      </c>
      <c r="C11986" t="s">
        <v>65</v>
      </c>
      <c r="D11986" s="21" t="s">
        <v>34</v>
      </c>
      <c r="E11986" s="21" t="s">
        <v>35</v>
      </c>
      <c r="F11986">
        <v>6570132</v>
      </c>
      <c r="G11986" t="s">
        <v>26746</v>
      </c>
      <c r="H11986" s="21">
        <v>936.42</v>
      </c>
    </row>
    <row r="11987" spans="1:8" customFormat="1" x14ac:dyDescent="0.25">
      <c r="A11987" t="str">
        <f>"7220761"</f>
        <v>7220761</v>
      </c>
      <c r="B11987" t="s">
        <v>13614</v>
      </c>
      <c r="C11987" t="s">
        <v>275</v>
      </c>
      <c r="D11987" s="21" t="s">
        <v>34</v>
      </c>
      <c r="E11987" s="21" t="s">
        <v>35</v>
      </c>
      <c r="F11987">
        <v>4280048</v>
      </c>
      <c r="G11987" t="s">
        <v>3053</v>
      </c>
      <c r="H11987" s="21">
        <v>936.17</v>
      </c>
    </row>
    <row r="11988" spans="1:8" customFormat="1" x14ac:dyDescent="0.25">
      <c r="A11988" t="str">
        <f>"5922706"</f>
        <v>5922706</v>
      </c>
      <c r="B11988" t="s">
        <v>4124</v>
      </c>
      <c r="C11988" t="s">
        <v>469</v>
      </c>
      <c r="D11988" s="21" t="s">
        <v>34</v>
      </c>
      <c r="E11988" s="21" t="s">
        <v>35</v>
      </c>
      <c r="F11988">
        <v>7590102</v>
      </c>
      <c r="G11988" t="s">
        <v>1091</v>
      </c>
      <c r="H11988" s="21">
        <v>936.17</v>
      </c>
    </row>
    <row r="11989" spans="1:8" customFormat="1" x14ac:dyDescent="0.25">
      <c r="A11989" t="str">
        <f>"572483"</f>
        <v>572483</v>
      </c>
      <c r="B11989" t="s">
        <v>10365</v>
      </c>
      <c r="C11989" t="s">
        <v>547</v>
      </c>
      <c r="D11989" s="21" t="s">
        <v>34</v>
      </c>
      <c r="E11989" s="21" t="s">
        <v>254</v>
      </c>
      <c r="F11989">
        <v>6570075</v>
      </c>
      <c r="G11989" t="s">
        <v>3008</v>
      </c>
      <c r="H11989" s="21">
        <v>936.17</v>
      </c>
    </row>
    <row r="11990" spans="1:8" customFormat="1" x14ac:dyDescent="0.25">
      <c r="A11990" t="str">
        <f>"4215499"</f>
        <v>4215499</v>
      </c>
      <c r="B11990" t="s">
        <v>11527</v>
      </c>
      <c r="C11990" t="s">
        <v>98</v>
      </c>
      <c r="D11990" s="21" t="s">
        <v>34</v>
      </c>
      <c r="E11990" s="21" t="s">
        <v>35</v>
      </c>
      <c r="F11990">
        <v>1420149</v>
      </c>
      <c r="G11990" t="s">
        <v>818</v>
      </c>
      <c r="H11990" s="21">
        <v>936.17</v>
      </c>
    </row>
    <row r="11991" spans="1:8" customFormat="1" x14ac:dyDescent="0.25">
      <c r="A11991" t="str">
        <f>"9526389"</f>
        <v>9526389</v>
      </c>
      <c r="B11991" t="s">
        <v>11370</v>
      </c>
      <c r="C11991" t="s">
        <v>169</v>
      </c>
      <c r="D11991" s="21" t="s">
        <v>34</v>
      </c>
      <c r="E11991" s="21" t="s">
        <v>35</v>
      </c>
      <c r="F11991">
        <v>8950348</v>
      </c>
      <c r="G11991" t="s">
        <v>491</v>
      </c>
      <c r="H11991" s="21">
        <v>936.17</v>
      </c>
    </row>
    <row r="11992" spans="1:8" customFormat="1" x14ac:dyDescent="0.25">
      <c r="A11992" t="str">
        <f>"07602"</f>
        <v>07602</v>
      </c>
      <c r="B11992" t="s">
        <v>10851</v>
      </c>
      <c r="C11992" t="s">
        <v>2305</v>
      </c>
      <c r="D11992" s="21" t="s">
        <v>34</v>
      </c>
      <c r="E11992" s="21" t="s">
        <v>1089</v>
      </c>
      <c r="F11992">
        <v>1260065</v>
      </c>
      <c r="G11992" t="s">
        <v>1958</v>
      </c>
      <c r="H11992" s="21">
        <v>936.17</v>
      </c>
    </row>
    <row r="11993" spans="1:8" customFormat="1" x14ac:dyDescent="0.25">
      <c r="A11993" t="str">
        <f>"364591"</f>
        <v>364591</v>
      </c>
      <c r="B11993" t="s">
        <v>10257</v>
      </c>
      <c r="C11993" t="s">
        <v>87</v>
      </c>
      <c r="D11993" s="21" t="s">
        <v>34</v>
      </c>
      <c r="E11993" s="21" t="s">
        <v>35</v>
      </c>
      <c r="F11993">
        <v>4180057</v>
      </c>
      <c r="G11993" t="s">
        <v>9021</v>
      </c>
      <c r="H11993" s="21">
        <v>936.17</v>
      </c>
    </row>
    <row r="11994" spans="1:8" customFormat="1" x14ac:dyDescent="0.25">
      <c r="A11994" t="str">
        <f>"084234"</f>
        <v>084234</v>
      </c>
      <c r="B11994" t="s">
        <v>2403</v>
      </c>
      <c r="C11994" t="s">
        <v>90</v>
      </c>
      <c r="D11994" s="21" t="s">
        <v>34</v>
      </c>
      <c r="E11994" s="21" t="s">
        <v>71</v>
      </c>
      <c r="F11994">
        <v>6080043</v>
      </c>
      <c r="G11994" t="s">
        <v>961</v>
      </c>
      <c r="H11994" s="21">
        <v>936.17</v>
      </c>
    </row>
    <row r="11995" spans="1:8" customFormat="1" x14ac:dyDescent="0.25">
      <c r="A11995" t="str">
        <f>"591875"</f>
        <v>591875</v>
      </c>
      <c r="B11995" t="s">
        <v>10000</v>
      </c>
      <c r="C11995" t="s">
        <v>269</v>
      </c>
      <c r="D11995" s="21" t="s">
        <v>34</v>
      </c>
      <c r="E11995" s="21" t="s">
        <v>254</v>
      </c>
      <c r="F11995">
        <v>7590089</v>
      </c>
      <c r="G11995" t="s">
        <v>1418</v>
      </c>
      <c r="H11995" s="21">
        <v>936.17</v>
      </c>
    </row>
    <row r="11996" spans="1:8" customFormat="1" x14ac:dyDescent="0.25">
      <c r="A11996" t="str">
        <f>"152367"</f>
        <v>152367</v>
      </c>
      <c r="B11996" t="s">
        <v>8882</v>
      </c>
      <c r="C11996" t="s">
        <v>169</v>
      </c>
      <c r="D11996" s="21" t="s">
        <v>34</v>
      </c>
      <c r="E11996" s="21" t="s">
        <v>35</v>
      </c>
      <c r="F11996">
        <v>1150307</v>
      </c>
      <c r="G11996" t="s">
        <v>26826</v>
      </c>
      <c r="H11996" s="21">
        <v>936</v>
      </c>
    </row>
    <row r="11997" spans="1:8" customFormat="1" x14ac:dyDescent="0.25">
      <c r="A11997" t="str">
        <f>"339295"</f>
        <v>339295</v>
      </c>
      <c r="B11997" t="s">
        <v>12261</v>
      </c>
      <c r="C11997" t="s">
        <v>784</v>
      </c>
      <c r="D11997" s="21" t="s">
        <v>34</v>
      </c>
      <c r="E11997" s="21" t="s">
        <v>71</v>
      </c>
      <c r="F11997">
        <v>10330084</v>
      </c>
      <c r="G11997" t="s">
        <v>1124</v>
      </c>
      <c r="H11997" s="21">
        <v>935.92</v>
      </c>
    </row>
    <row r="11998" spans="1:8" customFormat="1" x14ac:dyDescent="0.25">
      <c r="A11998" t="str">
        <f>"8520081"</f>
        <v>8520081</v>
      </c>
      <c r="B11998" t="s">
        <v>5927</v>
      </c>
      <c r="C11998" t="s">
        <v>82</v>
      </c>
      <c r="D11998" s="21" t="s">
        <v>34</v>
      </c>
      <c r="E11998" s="21" t="s">
        <v>35</v>
      </c>
      <c r="F11998">
        <v>12850016</v>
      </c>
      <c r="G11998" t="s">
        <v>26554</v>
      </c>
      <c r="H11998" s="21">
        <v>935.92</v>
      </c>
    </row>
    <row r="11999" spans="1:8" customFormat="1" x14ac:dyDescent="0.25">
      <c r="A11999" t="str">
        <f>"3730387"</f>
        <v>3730387</v>
      </c>
      <c r="B11999" t="s">
        <v>27232</v>
      </c>
      <c r="C11999" t="s">
        <v>656</v>
      </c>
      <c r="D11999" s="21" t="s">
        <v>34</v>
      </c>
      <c r="E11999" s="21" t="s">
        <v>35</v>
      </c>
      <c r="F11999">
        <v>4370729</v>
      </c>
      <c r="G11999" t="s">
        <v>15423</v>
      </c>
      <c r="H11999" s="21">
        <v>935.79</v>
      </c>
    </row>
    <row r="12000" spans="1:8" customFormat="1" x14ac:dyDescent="0.25">
      <c r="A12000" t="str">
        <f>"6924242"</f>
        <v>6924242</v>
      </c>
      <c r="B12000" t="s">
        <v>11702</v>
      </c>
      <c r="C12000" t="s">
        <v>209</v>
      </c>
      <c r="D12000" s="21" t="s">
        <v>34</v>
      </c>
      <c r="E12000" s="21" t="s">
        <v>254</v>
      </c>
      <c r="F12000">
        <v>13840045</v>
      </c>
      <c r="G12000" t="s">
        <v>11703</v>
      </c>
      <c r="H12000" s="21">
        <v>935.67</v>
      </c>
    </row>
    <row r="12001" spans="1:8" customFormat="1" x14ac:dyDescent="0.25">
      <c r="A12001" t="str">
        <f>"278472"</f>
        <v>278472</v>
      </c>
      <c r="B12001" t="s">
        <v>11128</v>
      </c>
      <c r="C12001" t="s">
        <v>263</v>
      </c>
      <c r="D12001" s="21" t="s">
        <v>34</v>
      </c>
      <c r="E12001" s="21" t="s">
        <v>71</v>
      </c>
      <c r="F12001">
        <v>9270159</v>
      </c>
      <c r="G12001" t="s">
        <v>5425</v>
      </c>
      <c r="H12001" s="21">
        <v>935.67</v>
      </c>
    </row>
    <row r="12002" spans="1:8" customFormat="1" x14ac:dyDescent="0.25">
      <c r="A12002" t="str">
        <f>"4436179"</f>
        <v>4436179</v>
      </c>
      <c r="B12002" t="s">
        <v>7620</v>
      </c>
      <c r="C12002" t="s">
        <v>65</v>
      </c>
      <c r="D12002" s="21" t="s">
        <v>34</v>
      </c>
      <c r="E12002" s="21" t="s">
        <v>35</v>
      </c>
      <c r="F12002">
        <v>12440139</v>
      </c>
      <c r="G12002" t="s">
        <v>2655</v>
      </c>
      <c r="H12002" s="21">
        <v>935.67</v>
      </c>
    </row>
    <row r="12003" spans="1:8" customFormat="1" x14ac:dyDescent="0.25">
      <c r="A12003" t="str">
        <f>"4449608"</f>
        <v>4449608</v>
      </c>
      <c r="B12003" t="s">
        <v>1826</v>
      </c>
      <c r="C12003" t="s">
        <v>2904</v>
      </c>
      <c r="D12003" s="21" t="s">
        <v>34</v>
      </c>
      <c r="E12003" s="21" t="s">
        <v>71</v>
      </c>
      <c r="F12003">
        <v>12440074</v>
      </c>
      <c r="G12003" t="s">
        <v>2436</v>
      </c>
      <c r="H12003" s="21">
        <v>935.67</v>
      </c>
    </row>
    <row r="12004" spans="1:8" customFormat="1" x14ac:dyDescent="0.25">
      <c r="A12004" t="str">
        <f>"179143"</f>
        <v>179143</v>
      </c>
      <c r="B12004" t="s">
        <v>11614</v>
      </c>
      <c r="C12004" t="s">
        <v>598</v>
      </c>
      <c r="D12004" s="21" t="s">
        <v>34</v>
      </c>
      <c r="E12004" s="21" t="s">
        <v>254</v>
      </c>
      <c r="F12004">
        <v>10170016</v>
      </c>
      <c r="G12004" t="s">
        <v>88</v>
      </c>
      <c r="H12004" s="21">
        <v>935.67</v>
      </c>
    </row>
    <row r="12005" spans="1:8" customFormat="1" x14ac:dyDescent="0.25">
      <c r="A12005" t="str">
        <f>"2929203"</f>
        <v>2929203</v>
      </c>
      <c r="B12005" t="s">
        <v>679</v>
      </c>
      <c r="C12005" t="s">
        <v>323</v>
      </c>
      <c r="D12005" s="21" t="s">
        <v>34</v>
      </c>
      <c r="E12005" s="21" t="s">
        <v>71</v>
      </c>
      <c r="F12005">
        <v>3290010</v>
      </c>
      <c r="G12005" t="s">
        <v>1453</v>
      </c>
      <c r="H12005" s="21">
        <v>935.67</v>
      </c>
    </row>
    <row r="12006" spans="1:8" customFormat="1" x14ac:dyDescent="0.25">
      <c r="A12006" t="str">
        <f>"5725995"</f>
        <v>5725995</v>
      </c>
      <c r="B12006" t="s">
        <v>10615</v>
      </c>
      <c r="C12006" t="s">
        <v>209</v>
      </c>
      <c r="D12006" s="21" t="s">
        <v>34</v>
      </c>
      <c r="E12006" s="21" t="s">
        <v>35</v>
      </c>
      <c r="F12006">
        <v>6570173</v>
      </c>
      <c r="G12006" t="s">
        <v>9959</v>
      </c>
      <c r="H12006" s="21">
        <v>935.67</v>
      </c>
    </row>
    <row r="12007" spans="1:8" customFormat="1" x14ac:dyDescent="0.25">
      <c r="A12007" t="str">
        <f>"512811"</f>
        <v>512811</v>
      </c>
      <c r="B12007" t="s">
        <v>11387</v>
      </c>
      <c r="C12007" t="s">
        <v>453</v>
      </c>
      <c r="D12007" s="21" t="s">
        <v>34</v>
      </c>
      <c r="E12007" s="21" t="s">
        <v>254</v>
      </c>
      <c r="F12007">
        <v>6510019</v>
      </c>
      <c r="G12007" t="s">
        <v>11388</v>
      </c>
      <c r="H12007" s="21">
        <v>935.67</v>
      </c>
    </row>
    <row r="12008" spans="1:8" customFormat="1" x14ac:dyDescent="0.25">
      <c r="A12008" t="str">
        <f>"661208"</f>
        <v>661208</v>
      </c>
      <c r="B12008" t="s">
        <v>3001</v>
      </c>
      <c r="C12008" t="s">
        <v>269</v>
      </c>
      <c r="D12008" s="21" t="s">
        <v>34</v>
      </c>
      <c r="E12008" s="21" t="s">
        <v>71</v>
      </c>
      <c r="F12008">
        <v>11660009</v>
      </c>
      <c r="G12008" t="s">
        <v>26624</v>
      </c>
      <c r="H12008" s="21">
        <v>935.67</v>
      </c>
    </row>
    <row r="12009" spans="1:8" customFormat="1" x14ac:dyDescent="0.25">
      <c r="A12009" t="str">
        <f>"335655"</f>
        <v>335655</v>
      </c>
      <c r="B12009" t="s">
        <v>10303</v>
      </c>
      <c r="C12009" t="s">
        <v>267</v>
      </c>
      <c r="D12009" s="21" t="s">
        <v>34</v>
      </c>
      <c r="E12009" s="21" t="s">
        <v>71</v>
      </c>
      <c r="F12009">
        <v>10330077</v>
      </c>
      <c r="G12009" t="s">
        <v>4274</v>
      </c>
      <c r="H12009" s="21">
        <v>935.67</v>
      </c>
    </row>
    <row r="12010" spans="1:8" customFormat="1" x14ac:dyDescent="0.25">
      <c r="A12010" t="str">
        <f>"74325"</f>
        <v>74325</v>
      </c>
      <c r="B12010" t="s">
        <v>9755</v>
      </c>
      <c r="C12010" t="s">
        <v>263</v>
      </c>
      <c r="D12010" s="21" t="s">
        <v>34</v>
      </c>
      <c r="E12010" s="21" t="s">
        <v>254</v>
      </c>
      <c r="F12010">
        <v>1740038</v>
      </c>
      <c r="G12010" t="s">
        <v>26517</v>
      </c>
      <c r="H12010" s="21">
        <v>935.67</v>
      </c>
    </row>
    <row r="12011" spans="1:8" customFormat="1" x14ac:dyDescent="0.25">
      <c r="A12011" t="str">
        <f>"5945275"</f>
        <v>5945275</v>
      </c>
      <c r="B12011" t="s">
        <v>11696</v>
      </c>
      <c r="C12011" t="s">
        <v>204</v>
      </c>
      <c r="D12011" s="21" t="s">
        <v>34</v>
      </c>
      <c r="E12011" s="21" t="s">
        <v>71</v>
      </c>
      <c r="F12011">
        <v>7590263</v>
      </c>
      <c r="G12011" t="s">
        <v>895</v>
      </c>
      <c r="H12011" s="21">
        <v>935.67</v>
      </c>
    </row>
    <row r="12012" spans="1:8" customFormat="1" x14ac:dyDescent="0.25">
      <c r="A12012" t="str">
        <f>"4431946"</f>
        <v>4431946</v>
      </c>
      <c r="B12012" t="s">
        <v>1185</v>
      </c>
      <c r="C12012" t="s">
        <v>874</v>
      </c>
      <c r="D12012" s="21" t="s">
        <v>34</v>
      </c>
      <c r="E12012" s="21" t="s">
        <v>35</v>
      </c>
      <c r="F12012">
        <v>12440199</v>
      </c>
      <c r="G12012" t="s">
        <v>4653</v>
      </c>
      <c r="H12012" s="21">
        <v>935.67</v>
      </c>
    </row>
    <row r="12013" spans="1:8" customFormat="1" x14ac:dyDescent="0.25">
      <c r="A12013" t="str">
        <f>"8521461"</f>
        <v>8521461</v>
      </c>
      <c r="B12013" t="s">
        <v>10911</v>
      </c>
      <c r="C12013" t="s">
        <v>119</v>
      </c>
      <c r="D12013" s="21" t="s">
        <v>34</v>
      </c>
      <c r="E12013" s="21" t="s">
        <v>71</v>
      </c>
      <c r="F12013">
        <v>12851016</v>
      </c>
      <c r="G12013" t="s">
        <v>1862</v>
      </c>
      <c r="H12013" s="21">
        <v>935.67</v>
      </c>
    </row>
    <row r="12014" spans="1:8" customFormat="1" x14ac:dyDescent="0.25">
      <c r="A12014" t="str">
        <f>"2612805"</f>
        <v>2612805</v>
      </c>
      <c r="B12014" t="s">
        <v>435</v>
      </c>
      <c r="C12014" t="s">
        <v>269</v>
      </c>
      <c r="D12014" s="21" t="s">
        <v>34</v>
      </c>
      <c r="E12014" s="21" t="s">
        <v>71</v>
      </c>
      <c r="F12014">
        <v>1260040</v>
      </c>
      <c r="G12014" t="s">
        <v>10768</v>
      </c>
      <c r="H12014" s="21">
        <v>935.67</v>
      </c>
    </row>
    <row r="12015" spans="1:8" customFormat="1" x14ac:dyDescent="0.25">
      <c r="A12015" t="str">
        <f>"345703"</f>
        <v>345703</v>
      </c>
      <c r="B12015" t="s">
        <v>8787</v>
      </c>
      <c r="C12015" t="s">
        <v>124</v>
      </c>
      <c r="D12015" s="21" t="s">
        <v>34</v>
      </c>
      <c r="E12015" s="21" t="s">
        <v>254</v>
      </c>
      <c r="F12015">
        <v>11340035</v>
      </c>
      <c r="G12015" t="s">
        <v>10724</v>
      </c>
      <c r="H12015" s="21">
        <v>935.67</v>
      </c>
    </row>
    <row r="12016" spans="1:8" customFormat="1" x14ac:dyDescent="0.25">
      <c r="A12016" t="str">
        <f>"8816007"</f>
        <v>8816007</v>
      </c>
      <c r="B12016" t="s">
        <v>12373</v>
      </c>
      <c r="C12016" t="s">
        <v>33</v>
      </c>
      <c r="D12016" s="21" t="s">
        <v>34</v>
      </c>
      <c r="E12016" s="21" t="s">
        <v>35</v>
      </c>
      <c r="F12016">
        <v>6880022</v>
      </c>
      <c r="G12016" t="s">
        <v>339</v>
      </c>
      <c r="H12016" s="21">
        <v>935.67</v>
      </c>
    </row>
    <row r="12017" spans="1:8" customFormat="1" x14ac:dyDescent="0.25">
      <c r="A12017" t="str">
        <f>"9416494"</f>
        <v>9416494</v>
      </c>
      <c r="B12017" t="s">
        <v>9735</v>
      </c>
      <c r="C12017" t="s">
        <v>2479</v>
      </c>
      <c r="D12017" s="21" t="s">
        <v>34</v>
      </c>
      <c r="E12017" s="21" t="s">
        <v>71</v>
      </c>
      <c r="F12017">
        <v>8941180</v>
      </c>
      <c r="G12017" t="s">
        <v>5544</v>
      </c>
      <c r="H12017" s="21">
        <v>935.54</v>
      </c>
    </row>
    <row r="12018" spans="1:8" customFormat="1" x14ac:dyDescent="0.25">
      <c r="A12018" t="str">
        <f>"837696"</f>
        <v>837696</v>
      </c>
      <c r="B12018" t="s">
        <v>7653</v>
      </c>
      <c r="C12018" t="s">
        <v>656</v>
      </c>
      <c r="D12018" s="21" t="s">
        <v>34</v>
      </c>
      <c r="E12018" s="21" t="s">
        <v>35</v>
      </c>
      <c r="F12018">
        <v>8920067</v>
      </c>
      <c r="G12018" t="s">
        <v>258</v>
      </c>
      <c r="H12018" s="21">
        <v>935.42</v>
      </c>
    </row>
    <row r="12019" spans="1:8" customFormat="1" x14ac:dyDescent="0.25">
      <c r="A12019" t="str">
        <f>"9422770"</f>
        <v>9422770</v>
      </c>
      <c r="B12019" t="s">
        <v>2118</v>
      </c>
      <c r="C12019" t="s">
        <v>2305</v>
      </c>
      <c r="D12019" s="21" t="s">
        <v>34</v>
      </c>
      <c r="E12019" s="21" t="s">
        <v>254</v>
      </c>
      <c r="F12019">
        <v>8770499</v>
      </c>
      <c r="G12019" t="s">
        <v>447</v>
      </c>
      <c r="H12019" s="21">
        <v>935.42</v>
      </c>
    </row>
    <row r="12020" spans="1:8" customFormat="1" x14ac:dyDescent="0.25">
      <c r="A12020" t="str">
        <f>"7627162"</f>
        <v>7627162</v>
      </c>
      <c r="B12020" t="s">
        <v>11390</v>
      </c>
      <c r="C12020" t="s">
        <v>169</v>
      </c>
      <c r="D12020" s="21" t="s">
        <v>34</v>
      </c>
      <c r="E12020" s="21" t="s">
        <v>35</v>
      </c>
      <c r="F12020">
        <v>9270047</v>
      </c>
      <c r="G12020" t="s">
        <v>4420</v>
      </c>
      <c r="H12020" s="21">
        <v>935.42</v>
      </c>
    </row>
    <row r="12021" spans="1:8" customFormat="1" x14ac:dyDescent="0.25">
      <c r="A12021" t="str">
        <f>"802085"</f>
        <v>802085</v>
      </c>
      <c r="B12021" t="s">
        <v>1748</v>
      </c>
      <c r="C12021" t="s">
        <v>1812</v>
      </c>
      <c r="D12021" s="21" t="s">
        <v>34</v>
      </c>
      <c r="E12021" s="21" t="s">
        <v>1089</v>
      </c>
      <c r="F12021">
        <v>7800011</v>
      </c>
      <c r="G12021" t="s">
        <v>2253</v>
      </c>
      <c r="H12021" s="21">
        <v>935.17</v>
      </c>
    </row>
    <row r="12022" spans="1:8" customFormat="1" x14ac:dyDescent="0.25">
      <c r="A12022" t="str">
        <f>"9357"</f>
        <v>9357</v>
      </c>
      <c r="B12022" t="s">
        <v>7512</v>
      </c>
      <c r="C12022" t="s">
        <v>598</v>
      </c>
      <c r="D12022" s="21" t="s">
        <v>34</v>
      </c>
      <c r="E12022" s="21" t="s">
        <v>1089</v>
      </c>
      <c r="F12022">
        <v>8930185</v>
      </c>
      <c r="G12022" t="s">
        <v>3846</v>
      </c>
      <c r="H12022" s="21">
        <v>935.17</v>
      </c>
    </row>
    <row r="12023" spans="1:8" customFormat="1" x14ac:dyDescent="0.25">
      <c r="A12023" t="str">
        <f>"2513274"</f>
        <v>2513274</v>
      </c>
      <c r="B12023" t="s">
        <v>11984</v>
      </c>
      <c r="C12023" t="s">
        <v>249</v>
      </c>
      <c r="D12023" s="21" t="s">
        <v>34</v>
      </c>
      <c r="E12023" s="21" t="s">
        <v>71</v>
      </c>
      <c r="F12023">
        <v>2250002</v>
      </c>
      <c r="G12023" t="s">
        <v>2745</v>
      </c>
      <c r="H12023" s="21">
        <v>935.17</v>
      </c>
    </row>
    <row r="12024" spans="1:8" customFormat="1" x14ac:dyDescent="0.25">
      <c r="A12024" t="str">
        <f>"1415332"</f>
        <v>1415332</v>
      </c>
      <c r="B12024" t="s">
        <v>2656</v>
      </c>
      <c r="C12024" t="s">
        <v>598</v>
      </c>
      <c r="D12024" s="21" t="s">
        <v>34</v>
      </c>
      <c r="E12024" s="21" t="s">
        <v>254</v>
      </c>
      <c r="F12024">
        <v>9140078</v>
      </c>
      <c r="G12024" t="s">
        <v>1920</v>
      </c>
      <c r="H12024" s="21">
        <v>935.17</v>
      </c>
    </row>
    <row r="12025" spans="1:8" customFormat="1" x14ac:dyDescent="0.25">
      <c r="A12025" t="str">
        <f>"8512647"</f>
        <v>8512647</v>
      </c>
      <c r="B12025" t="s">
        <v>10741</v>
      </c>
      <c r="C12025" t="s">
        <v>1025</v>
      </c>
      <c r="D12025" s="21" t="s">
        <v>34</v>
      </c>
      <c r="E12025" s="21" t="s">
        <v>35</v>
      </c>
      <c r="F12025">
        <v>12850167</v>
      </c>
      <c r="G12025" t="s">
        <v>7617</v>
      </c>
      <c r="H12025" s="21">
        <v>935.17</v>
      </c>
    </row>
    <row r="12026" spans="1:8" customFormat="1" x14ac:dyDescent="0.25">
      <c r="A12026" t="str">
        <f>"4911426"</f>
        <v>4911426</v>
      </c>
      <c r="B12026" t="s">
        <v>1525</v>
      </c>
      <c r="C12026" t="s">
        <v>1605</v>
      </c>
      <c r="D12026" s="21" t="s">
        <v>34</v>
      </c>
      <c r="E12026" s="21" t="s">
        <v>35</v>
      </c>
      <c r="F12026">
        <v>12490035</v>
      </c>
      <c r="G12026" t="s">
        <v>9242</v>
      </c>
      <c r="H12026" s="21">
        <v>935.17</v>
      </c>
    </row>
    <row r="12027" spans="1:8" customFormat="1" x14ac:dyDescent="0.25">
      <c r="A12027" t="str">
        <f>"7211839"</f>
        <v>7211839</v>
      </c>
      <c r="B12027" t="s">
        <v>12412</v>
      </c>
      <c r="C12027" t="s">
        <v>169</v>
      </c>
      <c r="D12027" s="21" t="s">
        <v>34</v>
      </c>
      <c r="E12027" s="21" t="s">
        <v>35</v>
      </c>
      <c r="F12027">
        <v>12720005</v>
      </c>
      <c r="G12027" t="s">
        <v>999</v>
      </c>
      <c r="H12027" s="21">
        <v>935.17</v>
      </c>
    </row>
    <row r="12028" spans="1:8" customFormat="1" x14ac:dyDescent="0.25">
      <c r="A12028" t="str">
        <f>"112305"</f>
        <v>112305</v>
      </c>
      <c r="B12028" t="s">
        <v>9281</v>
      </c>
      <c r="C12028" t="s">
        <v>124</v>
      </c>
      <c r="D12028" s="21" t="s">
        <v>34</v>
      </c>
      <c r="E12028" s="21" t="s">
        <v>71</v>
      </c>
      <c r="F12028">
        <v>11110001</v>
      </c>
      <c r="G12028" t="s">
        <v>11560</v>
      </c>
      <c r="H12028" s="21">
        <v>935.17</v>
      </c>
    </row>
    <row r="12029" spans="1:8" customFormat="1" x14ac:dyDescent="0.25">
      <c r="A12029" t="str">
        <f>"607376"</f>
        <v>607376</v>
      </c>
      <c r="B12029" t="s">
        <v>11177</v>
      </c>
      <c r="C12029" t="s">
        <v>130</v>
      </c>
      <c r="D12029" s="21" t="s">
        <v>34</v>
      </c>
      <c r="E12029" s="21" t="s">
        <v>254</v>
      </c>
      <c r="F12029">
        <v>7600114</v>
      </c>
      <c r="G12029" t="s">
        <v>4584</v>
      </c>
      <c r="H12029" s="21">
        <v>935.17</v>
      </c>
    </row>
    <row r="12030" spans="1:8" customFormat="1" x14ac:dyDescent="0.25">
      <c r="A12030" t="str">
        <f>"4410110"</f>
        <v>4410110</v>
      </c>
      <c r="B12030" t="s">
        <v>765</v>
      </c>
      <c r="C12030" t="s">
        <v>55</v>
      </c>
      <c r="D12030" s="21" t="s">
        <v>34</v>
      </c>
      <c r="E12030" s="21" t="s">
        <v>71</v>
      </c>
      <c r="F12030">
        <v>12440049</v>
      </c>
      <c r="G12030" t="s">
        <v>3339</v>
      </c>
      <c r="H12030" s="21">
        <v>935.17</v>
      </c>
    </row>
    <row r="12031" spans="1:8" customFormat="1" x14ac:dyDescent="0.25">
      <c r="A12031" t="str">
        <f>"71609"</f>
        <v>71609</v>
      </c>
      <c r="B12031" t="s">
        <v>10347</v>
      </c>
      <c r="C12031" t="s">
        <v>2520</v>
      </c>
      <c r="D12031" s="21" t="s">
        <v>34</v>
      </c>
      <c r="E12031" s="21" t="s">
        <v>1089</v>
      </c>
      <c r="F12031">
        <v>2710041</v>
      </c>
      <c r="G12031" t="s">
        <v>389</v>
      </c>
      <c r="H12031" s="21">
        <v>935.17</v>
      </c>
    </row>
    <row r="12032" spans="1:8" customFormat="1" x14ac:dyDescent="0.25">
      <c r="A12032" t="str">
        <f>"8520676"</f>
        <v>8520676</v>
      </c>
      <c r="B12032" t="s">
        <v>26878</v>
      </c>
      <c r="C12032" t="s">
        <v>929</v>
      </c>
      <c r="D12032" s="21" t="s">
        <v>34</v>
      </c>
      <c r="E12032" s="21" t="s">
        <v>35</v>
      </c>
      <c r="F12032">
        <v>12850109</v>
      </c>
      <c r="G12032" t="s">
        <v>2714</v>
      </c>
      <c r="H12032" s="21">
        <v>935.17</v>
      </c>
    </row>
    <row r="12033" spans="1:8" customFormat="1" x14ac:dyDescent="0.25">
      <c r="A12033" t="str">
        <f>"541226"</f>
        <v>541226</v>
      </c>
      <c r="B12033" t="s">
        <v>2023</v>
      </c>
      <c r="C12033" t="s">
        <v>1110</v>
      </c>
      <c r="D12033" s="21" t="s">
        <v>34</v>
      </c>
      <c r="E12033" s="21" t="s">
        <v>254</v>
      </c>
      <c r="F12033">
        <v>6540192</v>
      </c>
      <c r="G12033" t="s">
        <v>3644</v>
      </c>
      <c r="H12033" s="21">
        <v>935.17</v>
      </c>
    </row>
    <row r="12034" spans="1:8" customFormat="1" x14ac:dyDescent="0.25">
      <c r="A12034" t="str">
        <f>"5428096"</f>
        <v>5428096</v>
      </c>
      <c r="B12034" t="s">
        <v>10371</v>
      </c>
      <c r="C12034" t="s">
        <v>486</v>
      </c>
      <c r="D12034" s="21" t="s">
        <v>34</v>
      </c>
      <c r="E12034" s="21" t="s">
        <v>35</v>
      </c>
      <c r="F12034">
        <v>6540001</v>
      </c>
      <c r="G12034" t="s">
        <v>5886</v>
      </c>
      <c r="H12034" s="21">
        <v>935.17</v>
      </c>
    </row>
    <row r="12035" spans="1:8" customFormat="1" x14ac:dyDescent="0.25">
      <c r="A12035" t="str">
        <f>"6225698"</f>
        <v>6225698</v>
      </c>
      <c r="B12035" t="s">
        <v>12043</v>
      </c>
      <c r="C12035" t="s">
        <v>209</v>
      </c>
      <c r="D12035" s="21" t="s">
        <v>34</v>
      </c>
      <c r="E12035" s="21" t="s">
        <v>71</v>
      </c>
      <c r="F12035">
        <v>7620069</v>
      </c>
      <c r="G12035" t="s">
        <v>5442</v>
      </c>
      <c r="H12035" s="21">
        <v>935.17</v>
      </c>
    </row>
    <row r="12036" spans="1:8" customFormat="1" x14ac:dyDescent="0.25">
      <c r="A12036" t="str">
        <f>"9234039"</f>
        <v>9234039</v>
      </c>
      <c r="B12036" t="s">
        <v>1852</v>
      </c>
      <c r="C12036" t="s">
        <v>249</v>
      </c>
      <c r="D12036" s="21" t="s">
        <v>34</v>
      </c>
      <c r="E12036" s="21" t="s">
        <v>71</v>
      </c>
      <c r="F12036">
        <v>2210005</v>
      </c>
      <c r="G12036" t="s">
        <v>5020</v>
      </c>
      <c r="H12036" s="21">
        <v>935.04</v>
      </c>
    </row>
    <row r="12037" spans="1:8" customFormat="1" x14ac:dyDescent="0.25">
      <c r="A12037" t="str">
        <f>"2930191"</f>
        <v>2930191</v>
      </c>
      <c r="B12037" t="s">
        <v>7512</v>
      </c>
      <c r="C12037" t="s">
        <v>11542</v>
      </c>
      <c r="D12037" s="21" t="s">
        <v>34</v>
      </c>
      <c r="E12037" s="21" t="s">
        <v>71</v>
      </c>
      <c r="F12037">
        <v>3290047</v>
      </c>
      <c r="G12037" t="s">
        <v>2874</v>
      </c>
      <c r="H12037" s="21">
        <v>934.92</v>
      </c>
    </row>
    <row r="12038" spans="1:8" customFormat="1" x14ac:dyDescent="0.25">
      <c r="A12038" t="str">
        <f>"76576"</f>
        <v>76576</v>
      </c>
      <c r="B12038" t="s">
        <v>11166</v>
      </c>
      <c r="C12038" t="s">
        <v>598</v>
      </c>
      <c r="D12038" s="21" t="s">
        <v>34</v>
      </c>
      <c r="E12038" s="21" t="s">
        <v>1089</v>
      </c>
      <c r="F12038">
        <v>9760374</v>
      </c>
      <c r="G12038" t="s">
        <v>6867</v>
      </c>
      <c r="H12038" s="21">
        <v>934.92</v>
      </c>
    </row>
    <row r="12039" spans="1:8" customFormat="1" x14ac:dyDescent="0.25">
      <c r="A12039" t="str">
        <f>"3338628"</f>
        <v>3338628</v>
      </c>
      <c r="B12039" t="s">
        <v>6828</v>
      </c>
      <c r="C12039" t="s">
        <v>412</v>
      </c>
      <c r="D12039" s="21" t="s">
        <v>34</v>
      </c>
      <c r="E12039" s="21" t="s">
        <v>254</v>
      </c>
      <c r="F12039">
        <v>10330034</v>
      </c>
      <c r="G12039" t="s">
        <v>6011</v>
      </c>
      <c r="H12039" s="21">
        <v>934.92</v>
      </c>
    </row>
    <row r="12040" spans="1:8" customFormat="1" x14ac:dyDescent="0.25">
      <c r="A12040" t="str">
        <f>"9118721"</f>
        <v>9118721</v>
      </c>
      <c r="B12040" t="s">
        <v>803</v>
      </c>
      <c r="C12040" t="s">
        <v>139</v>
      </c>
      <c r="D12040" s="21" t="s">
        <v>34</v>
      </c>
      <c r="E12040" s="21" t="s">
        <v>35</v>
      </c>
      <c r="F12040">
        <v>8750098</v>
      </c>
      <c r="G12040" t="s">
        <v>11606</v>
      </c>
      <c r="H12040" s="21">
        <v>934.92</v>
      </c>
    </row>
    <row r="12041" spans="1:8" customFormat="1" x14ac:dyDescent="0.25">
      <c r="A12041" t="str">
        <f>"835"</f>
        <v>835</v>
      </c>
      <c r="B12041" t="s">
        <v>11503</v>
      </c>
      <c r="C12041" t="s">
        <v>9063</v>
      </c>
      <c r="D12041" s="21" t="s">
        <v>34</v>
      </c>
      <c r="E12041" s="21" t="s">
        <v>1089</v>
      </c>
      <c r="F12041">
        <v>13830083</v>
      </c>
      <c r="G12041" t="s">
        <v>2159</v>
      </c>
      <c r="H12041" s="21">
        <v>934.67</v>
      </c>
    </row>
    <row r="12042" spans="1:8" customFormat="1" x14ac:dyDescent="0.25">
      <c r="A12042" t="str">
        <f>"5714761"</f>
        <v>5714761</v>
      </c>
      <c r="B12042" t="s">
        <v>12075</v>
      </c>
      <c r="C12042" t="s">
        <v>87</v>
      </c>
      <c r="D12042" s="21" t="s">
        <v>34</v>
      </c>
      <c r="E12042" s="21" t="s">
        <v>71</v>
      </c>
      <c r="F12042">
        <v>6570107</v>
      </c>
      <c r="G12042" t="s">
        <v>5598</v>
      </c>
      <c r="H12042" s="21">
        <v>934.67</v>
      </c>
    </row>
    <row r="12043" spans="1:8" customFormat="1" x14ac:dyDescent="0.25">
      <c r="A12043" t="str">
        <f>"2935465"</f>
        <v>2935465</v>
      </c>
      <c r="B12043" t="s">
        <v>11801</v>
      </c>
      <c r="C12043" t="s">
        <v>269</v>
      </c>
      <c r="D12043" s="21" t="s">
        <v>34</v>
      </c>
      <c r="E12043" s="21" t="s">
        <v>71</v>
      </c>
      <c r="F12043">
        <v>3290047</v>
      </c>
      <c r="G12043" t="s">
        <v>2874</v>
      </c>
      <c r="H12043" s="21">
        <v>934.67</v>
      </c>
    </row>
    <row r="12044" spans="1:8" customFormat="1" x14ac:dyDescent="0.25">
      <c r="A12044" t="str">
        <f>"423868"</f>
        <v>423868</v>
      </c>
      <c r="B12044" t="s">
        <v>11067</v>
      </c>
      <c r="C12044" t="s">
        <v>822</v>
      </c>
      <c r="D12044" s="21" t="s">
        <v>34</v>
      </c>
      <c r="E12044" s="21" t="s">
        <v>1089</v>
      </c>
      <c r="F12044">
        <v>1420070</v>
      </c>
      <c r="G12044" t="s">
        <v>27046</v>
      </c>
      <c r="H12044" s="21">
        <v>934.67</v>
      </c>
    </row>
    <row r="12045" spans="1:8" customFormat="1" x14ac:dyDescent="0.25">
      <c r="A12045" t="str">
        <f>"635666"</f>
        <v>635666</v>
      </c>
      <c r="B12045" t="s">
        <v>8685</v>
      </c>
      <c r="C12045" t="s">
        <v>3784</v>
      </c>
      <c r="D12045" s="21" t="s">
        <v>34</v>
      </c>
      <c r="E12045" s="21" t="s">
        <v>71</v>
      </c>
      <c r="F12045">
        <v>1630261</v>
      </c>
      <c r="G12045" t="s">
        <v>1382</v>
      </c>
      <c r="H12045" s="21">
        <v>934.67</v>
      </c>
    </row>
    <row r="12046" spans="1:8" customFormat="1" x14ac:dyDescent="0.25">
      <c r="A12046" t="str">
        <f>"6718418"</f>
        <v>6718418</v>
      </c>
      <c r="B12046" t="s">
        <v>4380</v>
      </c>
      <c r="C12046" t="s">
        <v>598</v>
      </c>
      <c r="D12046" s="21" t="s">
        <v>34</v>
      </c>
      <c r="E12046" s="21" t="s">
        <v>71</v>
      </c>
      <c r="F12046">
        <v>6670216</v>
      </c>
      <c r="G12046" t="s">
        <v>2194</v>
      </c>
      <c r="H12046" s="21">
        <v>934.67</v>
      </c>
    </row>
    <row r="12047" spans="1:8" customFormat="1" x14ac:dyDescent="0.25">
      <c r="A12047" t="str">
        <f>"185264"</f>
        <v>185264</v>
      </c>
      <c r="B12047" t="s">
        <v>877</v>
      </c>
      <c r="C12047" t="s">
        <v>198</v>
      </c>
      <c r="D12047" s="21" t="s">
        <v>34</v>
      </c>
      <c r="E12047" s="21" t="s">
        <v>71</v>
      </c>
      <c r="F12047">
        <v>4180737</v>
      </c>
      <c r="G12047" t="s">
        <v>26856</v>
      </c>
      <c r="H12047" s="21">
        <v>934.67</v>
      </c>
    </row>
    <row r="12048" spans="1:8" customFormat="1" x14ac:dyDescent="0.25">
      <c r="A12048" t="str">
        <f>"3340281"</f>
        <v>3340281</v>
      </c>
      <c r="B12048" t="s">
        <v>4686</v>
      </c>
      <c r="C12048" t="s">
        <v>33</v>
      </c>
      <c r="D12048" s="21" t="s">
        <v>34</v>
      </c>
      <c r="E12048" s="21" t="s">
        <v>35</v>
      </c>
      <c r="F12048">
        <v>10330032</v>
      </c>
      <c r="G12048" t="s">
        <v>4408</v>
      </c>
      <c r="H12048" s="21">
        <v>934.67</v>
      </c>
    </row>
    <row r="12049" spans="1:8" customFormat="1" x14ac:dyDescent="0.25">
      <c r="A12049" t="str">
        <f>"5926734"</f>
        <v>5926734</v>
      </c>
      <c r="B12049" t="s">
        <v>10779</v>
      </c>
      <c r="C12049" t="s">
        <v>1410</v>
      </c>
      <c r="D12049" s="21" t="s">
        <v>34</v>
      </c>
      <c r="E12049" s="21" t="s">
        <v>35</v>
      </c>
      <c r="F12049">
        <v>7590014</v>
      </c>
      <c r="G12049" t="s">
        <v>1326</v>
      </c>
      <c r="H12049" s="21">
        <v>934.67</v>
      </c>
    </row>
    <row r="12050" spans="1:8" customFormat="1" x14ac:dyDescent="0.25">
      <c r="A12050" t="str">
        <f>"5319155"</f>
        <v>5319155</v>
      </c>
      <c r="B12050" t="s">
        <v>14301</v>
      </c>
      <c r="C12050" t="s">
        <v>1803</v>
      </c>
      <c r="D12050" s="21" t="s">
        <v>34</v>
      </c>
      <c r="E12050" s="21" t="s">
        <v>35</v>
      </c>
      <c r="F12050">
        <v>12530114</v>
      </c>
      <c r="G12050" t="s">
        <v>1342</v>
      </c>
      <c r="H12050" s="21">
        <v>934.67</v>
      </c>
    </row>
    <row r="12051" spans="1:8" customFormat="1" x14ac:dyDescent="0.25">
      <c r="A12051" t="str">
        <f>"3337122"</f>
        <v>3337122</v>
      </c>
      <c r="B12051" t="s">
        <v>1341</v>
      </c>
      <c r="C12051" t="s">
        <v>576</v>
      </c>
      <c r="D12051" s="21" t="s">
        <v>34</v>
      </c>
      <c r="E12051" s="21" t="s">
        <v>71</v>
      </c>
      <c r="F12051">
        <v>10330086</v>
      </c>
      <c r="G12051" t="s">
        <v>785</v>
      </c>
      <c r="H12051" s="21">
        <v>934.67</v>
      </c>
    </row>
    <row r="12052" spans="1:8" customFormat="1" x14ac:dyDescent="0.25">
      <c r="A12052" t="str">
        <f>"184276"</f>
        <v>184276</v>
      </c>
      <c r="B12052" t="s">
        <v>3645</v>
      </c>
      <c r="C12052" t="s">
        <v>1146</v>
      </c>
      <c r="D12052" s="21" t="s">
        <v>34</v>
      </c>
      <c r="E12052" s="21" t="s">
        <v>71</v>
      </c>
      <c r="F12052">
        <v>4180718</v>
      </c>
      <c r="G12052" t="s">
        <v>8518</v>
      </c>
      <c r="H12052" s="21">
        <v>934.67</v>
      </c>
    </row>
    <row r="12053" spans="1:8" customFormat="1" x14ac:dyDescent="0.25">
      <c r="A12053" t="str">
        <f>"9440496"</f>
        <v>9440496</v>
      </c>
      <c r="B12053" t="s">
        <v>12241</v>
      </c>
      <c r="C12053" t="s">
        <v>1665</v>
      </c>
      <c r="D12053" s="21" t="s">
        <v>34</v>
      </c>
      <c r="E12053" s="21" t="s">
        <v>254</v>
      </c>
      <c r="F12053">
        <v>8940524</v>
      </c>
      <c r="G12053" t="s">
        <v>6176</v>
      </c>
      <c r="H12053" s="21">
        <v>934.67</v>
      </c>
    </row>
    <row r="12054" spans="1:8" customFormat="1" x14ac:dyDescent="0.25">
      <c r="A12054" t="str">
        <f>"726227"</f>
        <v>726227</v>
      </c>
      <c r="B12054" t="s">
        <v>8193</v>
      </c>
      <c r="C12054" t="s">
        <v>124</v>
      </c>
      <c r="D12054" s="21" t="s">
        <v>34</v>
      </c>
      <c r="E12054" s="21" t="s">
        <v>71</v>
      </c>
      <c r="F12054">
        <v>12720141</v>
      </c>
      <c r="G12054" t="s">
        <v>12632</v>
      </c>
      <c r="H12054" s="21">
        <v>934.67</v>
      </c>
    </row>
    <row r="12055" spans="1:8" customFormat="1" x14ac:dyDescent="0.25">
      <c r="A12055" t="str">
        <f>"623125"</f>
        <v>623125</v>
      </c>
      <c r="B12055" t="s">
        <v>9391</v>
      </c>
      <c r="C12055" t="s">
        <v>156</v>
      </c>
      <c r="D12055" s="21" t="s">
        <v>34</v>
      </c>
      <c r="E12055" s="21" t="s">
        <v>71</v>
      </c>
      <c r="F12055">
        <v>7620049</v>
      </c>
      <c r="G12055" t="s">
        <v>1176</v>
      </c>
      <c r="H12055" s="21">
        <v>934.67</v>
      </c>
    </row>
    <row r="12056" spans="1:8" customFormat="1" x14ac:dyDescent="0.25">
      <c r="A12056" t="str">
        <f>"5713620"</f>
        <v>5713620</v>
      </c>
      <c r="B12056" t="s">
        <v>10263</v>
      </c>
      <c r="C12056" t="s">
        <v>239</v>
      </c>
      <c r="D12056" s="21" t="s">
        <v>34</v>
      </c>
      <c r="E12056" s="21" t="s">
        <v>254</v>
      </c>
      <c r="F12056">
        <v>6540007</v>
      </c>
      <c r="G12056" t="s">
        <v>10264</v>
      </c>
      <c r="H12056" s="21">
        <v>934.54</v>
      </c>
    </row>
    <row r="12057" spans="1:8" customFormat="1" x14ac:dyDescent="0.25">
      <c r="A12057" t="str">
        <f>"533304"</f>
        <v>533304</v>
      </c>
      <c r="B12057" t="s">
        <v>5546</v>
      </c>
      <c r="C12057" t="s">
        <v>462</v>
      </c>
      <c r="D12057" s="21" t="s">
        <v>34</v>
      </c>
      <c r="E12057" s="21" t="s">
        <v>35</v>
      </c>
      <c r="F12057">
        <v>12530061</v>
      </c>
      <c r="G12057" t="s">
        <v>9463</v>
      </c>
      <c r="H12057" s="21">
        <v>934.42</v>
      </c>
    </row>
    <row r="12058" spans="1:8" customFormat="1" x14ac:dyDescent="0.25">
      <c r="A12058" t="str">
        <f>"0613979"</f>
        <v>0613979</v>
      </c>
      <c r="B12058" t="s">
        <v>12649</v>
      </c>
      <c r="C12058" t="s">
        <v>130</v>
      </c>
      <c r="D12058" s="21" t="s">
        <v>34</v>
      </c>
      <c r="E12058" s="21" t="s">
        <v>35</v>
      </c>
      <c r="F12058">
        <v>13060110</v>
      </c>
      <c r="G12058" t="s">
        <v>3268</v>
      </c>
      <c r="H12058" s="21">
        <v>934.42</v>
      </c>
    </row>
    <row r="12059" spans="1:8" customFormat="1" x14ac:dyDescent="0.25">
      <c r="A12059" t="str">
        <f>"9445596"</f>
        <v>9445596</v>
      </c>
      <c r="B12059" t="s">
        <v>4207</v>
      </c>
      <c r="C12059" t="s">
        <v>11842</v>
      </c>
      <c r="D12059" s="21" t="s">
        <v>34</v>
      </c>
      <c r="E12059" s="21" t="s">
        <v>35</v>
      </c>
      <c r="F12059">
        <v>8940448</v>
      </c>
      <c r="G12059" t="s">
        <v>1691</v>
      </c>
      <c r="H12059" s="21">
        <v>934.29</v>
      </c>
    </row>
    <row r="12060" spans="1:8" customFormat="1" x14ac:dyDescent="0.25">
      <c r="A12060" t="str">
        <f>"6019806"</f>
        <v>6019806</v>
      </c>
      <c r="B12060" t="s">
        <v>8854</v>
      </c>
      <c r="C12060" t="s">
        <v>60</v>
      </c>
      <c r="D12060" s="21" t="s">
        <v>34</v>
      </c>
      <c r="E12060" s="21" t="s">
        <v>35</v>
      </c>
      <c r="F12060">
        <v>7600163</v>
      </c>
      <c r="G12060" t="s">
        <v>12203</v>
      </c>
      <c r="H12060" s="21">
        <v>934.17</v>
      </c>
    </row>
    <row r="12061" spans="1:8" customFormat="1" x14ac:dyDescent="0.25">
      <c r="A12061" t="str">
        <f>"664230"</f>
        <v>664230</v>
      </c>
      <c r="B12061" t="s">
        <v>6725</v>
      </c>
      <c r="C12061" t="s">
        <v>528</v>
      </c>
      <c r="D12061" s="21" t="s">
        <v>34</v>
      </c>
      <c r="E12061" s="21" t="s">
        <v>71</v>
      </c>
      <c r="F12061">
        <v>11660001</v>
      </c>
      <c r="G12061" t="s">
        <v>8203</v>
      </c>
      <c r="H12061" s="21">
        <v>934.17</v>
      </c>
    </row>
    <row r="12062" spans="1:8" customFormat="1" x14ac:dyDescent="0.25">
      <c r="A12062" t="str">
        <f>"7856196"</f>
        <v>7856196</v>
      </c>
      <c r="B12062" t="s">
        <v>11355</v>
      </c>
      <c r="C12062" t="s">
        <v>40</v>
      </c>
      <c r="D12062" s="21" t="s">
        <v>34</v>
      </c>
      <c r="E12062" s="21" t="s">
        <v>71</v>
      </c>
      <c r="F12062">
        <v>9140012</v>
      </c>
      <c r="G12062" t="s">
        <v>26518</v>
      </c>
      <c r="H12062" s="21">
        <v>934.17</v>
      </c>
    </row>
    <row r="12063" spans="1:8" customFormat="1" x14ac:dyDescent="0.25">
      <c r="A12063" t="str">
        <f>"4428352"</f>
        <v>4428352</v>
      </c>
      <c r="B12063" t="s">
        <v>697</v>
      </c>
      <c r="C12063" t="s">
        <v>119</v>
      </c>
      <c r="D12063" s="21" t="s">
        <v>34</v>
      </c>
      <c r="E12063" s="21" t="s">
        <v>71</v>
      </c>
      <c r="F12063">
        <v>12440060</v>
      </c>
      <c r="G12063" t="s">
        <v>9953</v>
      </c>
      <c r="H12063" s="21">
        <v>934.17</v>
      </c>
    </row>
    <row r="12064" spans="1:8" customFormat="1" x14ac:dyDescent="0.25">
      <c r="A12064" t="str">
        <f>"3720199"</f>
        <v>3720199</v>
      </c>
      <c r="B12064" t="s">
        <v>11275</v>
      </c>
      <c r="C12064" t="s">
        <v>415</v>
      </c>
      <c r="D12064" s="21" t="s">
        <v>34</v>
      </c>
      <c r="E12064" s="21" t="s">
        <v>71</v>
      </c>
      <c r="F12064">
        <v>4370183</v>
      </c>
      <c r="G12064" t="s">
        <v>231</v>
      </c>
      <c r="H12064" s="21">
        <v>934.17</v>
      </c>
    </row>
    <row r="12065" spans="1:8" customFormat="1" x14ac:dyDescent="0.25">
      <c r="A12065" t="str">
        <f>"4425918"</f>
        <v>4425918</v>
      </c>
      <c r="B12065" t="s">
        <v>2010</v>
      </c>
      <c r="C12065" t="s">
        <v>249</v>
      </c>
      <c r="D12065" s="21" t="s">
        <v>34</v>
      </c>
      <c r="E12065" s="21" t="s">
        <v>71</v>
      </c>
      <c r="F12065">
        <v>12440048</v>
      </c>
      <c r="G12065" t="s">
        <v>2090</v>
      </c>
      <c r="H12065" s="21">
        <v>934.17</v>
      </c>
    </row>
    <row r="12066" spans="1:8" customFormat="1" x14ac:dyDescent="0.25">
      <c r="A12066" t="str">
        <f>"822199"</f>
        <v>822199</v>
      </c>
      <c r="B12066" t="s">
        <v>11827</v>
      </c>
      <c r="C12066" t="s">
        <v>55</v>
      </c>
      <c r="D12066" s="21" t="s">
        <v>34</v>
      </c>
      <c r="E12066" s="21" t="s">
        <v>35</v>
      </c>
      <c r="F12066">
        <v>11820011</v>
      </c>
      <c r="G12066" t="s">
        <v>2611</v>
      </c>
      <c r="H12066" s="21">
        <v>934.17</v>
      </c>
    </row>
    <row r="12067" spans="1:8" customFormat="1" x14ac:dyDescent="0.25">
      <c r="A12067" t="str">
        <f>"722449"</f>
        <v>722449</v>
      </c>
      <c r="B12067" t="s">
        <v>11363</v>
      </c>
      <c r="C12067" t="s">
        <v>2479</v>
      </c>
      <c r="D12067" s="21" t="s">
        <v>34</v>
      </c>
      <c r="E12067" s="21" t="s">
        <v>254</v>
      </c>
      <c r="F12067">
        <v>9610087</v>
      </c>
      <c r="G12067" t="s">
        <v>2661</v>
      </c>
      <c r="H12067" s="21">
        <v>934.17</v>
      </c>
    </row>
    <row r="12068" spans="1:8" customFormat="1" x14ac:dyDescent="0.25">
      <c r="A12068" t="str">
        <f>"168075"</f>
        <v>168075</v>
      </c>
      <c r="B12068" t="s">
        <v>1531</v>
      </c>
      <c r="C12068" t="s">
        <v>139</v>
      </c>
      <c r="D12068" s="21" t="s">
        <v>34</v>
      </c>
      <c r="E12068" s="21" t="s">
        <v>35</v>
      </c>
      <c r="F12068">
        <v>10160223</v>
      </c>
      <c r="G12068" t="s">
        <v>5750</v>
      </c>
      <c r="H12068" s="21">
        <v>934.17</v>
      </c>
    </row>
    <row r="12069" spans="1:8" customFormat="1" x14ac:dyDescent="0.25">
      <c r="A12069" t="str">
        <f>"7412398"</f>
        <v>7412398</v>
      </c>
      <c r="B12069" t="s">
        <v>10920</v>
      </c>
      <c r="C12069" t="s">
        <v>40</v>
      </c>
      <c r="D12069" s="21" t="s">
        <v>34</v>
      </c>
      <c r="E12069" s="21" t="s">
        <v>254</v>
      </c>
      <c r="F12069">
        <v>1740001</v>
      </c>
      <c r="G12069" t="s">
        <v>347</v>
      </c>
      <c r="H12069" s="21">
        <v>934.17</v>
      </c>
    </row>
    <row r="12070" spans="1:8" customFormat="1" x14ac:dyDescent="0.25">
      <c r="A12070" t="str">
        <f>"51322"</f>
        <v>51322</v>
      </c>
      <c r="B12070" t="s">
        <v>3140</v>
      </c>
      <c r="C12070" t="s">
        <v>253</v>
      </c>
      <c r="D12070" s="21" t="s">
        <v>34</v>
      </c>
      <c r="E12070" s="21" t="s">
        <v>1089</v>
      </c>
      <c r="F12070">
        <v>6510019</v>
      </c>
      <c r="G12070" t="s">
        <v>11388</v>
      </c>
      <c r="H12070" s="21">
        <v>934.17</v>
      </c>
    </row>
    <row r="12071" spans="1:8" customFormat="1" x14ac:dyDescent="0.25">
      <c r="A12071" t="str">
        <f>"3412718"</f>
        <v>3412718</v>
      </c>
      <c r="B12071" t="s">
        <v>3000</v>
      </c>
      <c r="C12071" t="s">
        <v>249</v>
      </c>
      <c r="D12071" s="21" t="s">
        <v>34</v>
      </c>
      <c r="E12071" s="21" t="s">
        <v>71</v>
      </c>
      <c r="F12071">
        <v>11340010</v>
      </c>
      <c r="G12071" t="s">
        <v>66</v>
      </c>
      <c r="H12071" s="21">
        <v>934.17</v>
      </c>
    </row>
    <row r="12072" spans="1:8" customFormat="1" x14ac:dyDescent="0.25">
      <c r="A12072" t="str">
        <f>"9519688"</f>
        <v>9519688</v>
      </c>
      <c r="B12072" t="s">
        <v>10455</v>
      </c>
      <c r="C12072" t="s">
        <v>285</v>
      </c>
      <c r="D12072" s="21" t="s">
        <v>34</v>
      </c>
      <c r="E12072" s="21" t="s">
        <v>71</v>
      </c>
      <c r="F12072">
        <v>8950978</v>
      </c>
      <c r="G12072" t="s">
        <v>1164</v>
      </c>
      <c r="H12072" s="21">
        <v>934.17</v>
      </c>
    </row>
    <row r="12073" spans="1:8" customFormat="1" x14ac:dyDescent="0.25">
      <c r="A12073" t="str">
        <f>"723435"</f>
        <v>723435</v>
      </c>
      <c r="B12073" t="s">
        <v>10894</v>
      </c>
      <c r="C12073" t="s">
        <v>879</v>
      </c>
      <c r="D12073" s="21" t="s">
        <v>34</v>
      </c>
      <c r="E12073" s="21" t="s">
        <v>254</v>
      </c>
      <c r="F12073">
        <v>12720091</v>
      </c>
      <c r="G12073" t="s">
        <v>10895</v>
      </c>
      <c r="H12073" s="21">
        <v>934.17</v>
      </c>
    </row>
    <row r="12074" spans="1:8" customFormat="1" x14ac:dyDescent="0.25">
      <c r="A12074" t="str">
        <f>"7623634"</f>
        <v>7623634</v>
      </c>
      <c r="B12074" t="s">
        <v>2824</v>
      </c>
      <c r="C12074" t="s">
        <v>2475</v>
      </c>
      <c r="D12074" s="21" t="s">
        <v>34</v>
      </c>
      <c r="E12074" s="21" t="s">
        <v>35</v>
      </c>
      <c r="F12074">
        <v>8920075</v>
      </c>
      <c r="G12074" t="s">
        <v>317</v>
      </c>
      <c r="H12074" s="21">
        <v>934.04</v>
      </c>
    </row>
    <row r="12075" spans="1:8" customFormat="1" x14ac:dyDescent="0.25">
      <c r="A12075" t="str">
        <f>"6937130"</f>
        <v>6937130</v>
      </c>
      <c r="B12075" t="s">
        <v>1695</v>
      </c>
      <c r="C12075" t="s">
        <v>269</v>
      </c>
      <c r="D12075" s="21" t="s">
        <v>34</v>
      </c>
      <c r="E12075" s="21" t="s">
        <v>71</v>
      </c>
      <c r="F12075">
        <v>1730007</v>
      </c>
      <c r="G12075" t="s">
        <v>6989</v>
      </c>
      <c r="H12075" s="21">
        <v>934.04</v>
      </c>
    </row>
    <row r="12076" spans="1:8" customFormat="1" x14ac:dyDescent="0.25">
      <c r="A12076" t="str">
        <f>"244119"</f>
        <v>244119</v>
      </c>
      <c r="B12076" t="s">
        <v>14572</v>
      </c>
      <c r="C12076" t="s">
        <v>209</v>
      </c>
      <c r="D12076" s="21" t="s">
        <v>34</v>
      </c>
      <c r="E12076" s="21" t="s">
        <v>71</v>
      </c>
      <c r="F12076">
        <v>10240026</v>
      </c>
      <c r="G12076" t="s">
        <v>11667</v>
      </c>
      <c r="H12076" s="21">
        <v>934</v>
      </c>
    </row>
    <row r="12077" spans="1:8" customFormat="1" x14ac:dyDescent="0.25">
      <c r="A12077" t="str">
        <f>"6214862"</f>
        <v>6214862</v>
      </c>
      <c r="B12077" t="s">
        <v>11571</v>
      </c>
      <c r="C12077" t="s">
        <v>528</v>
      </c>
      <c r="D12077" s="21" t="s">
        <v>34</v>
      </c>
      <c r="E12077" s="21" t="s">
        <v>71</v>
      </c>
      <c r="F12077">
        <v>7590293</v>
      </c>
      <c r="G12077" t="s">
        <v>2431</v>
      </c>
      <c r="H12077" s="21">
        <v>933.92</v>
      </c>
    </row>
    <row r="12078" spans="1:8" customFormat="1" x14ac:dyDescent="0.25">
      <c r="A12078" t="str">
        <f>"9456157"</f>
        <v>9456157</v>
      </c>
      <c r="B12078" t="s">
        <v>11190</v>
      </c>
      <c r="C12078" t="s">
        <v>3010</v>
      </c>
      <c r="D12078" s="21" t="s">
        <v>34</v>
      </c>
      <c r="E12078" s="21" t="s">
        <v>71</v>
      </c>
      <c r="F12078">
        <v>8941461</v>
      </c>
      <c r="G12078" t="s">
        <v>10447</v>
      </c>
      <c r="H12078" s="21">
        <v>933.92</v>
      </c>
    </row>
    <row r="12079" spans="1:8" customFormat="1" x14ac:dyDescent="0.25">
      <c r="A12079" t="str">
        <f>"44700"</f>
        <v>44700</v>
      </c>
      <c r="B12079" t="s">
        <v>9892</v>
      </c>
      <c r="C12079" t="s">
        <v>1914</v>
      </c>
      <c r="D12079" s="21" t="s">
        <v>34</v>
      </c>
      <c r="E12079" s="21" t="s">
        <v>1089</v>
      </c>
      <c r="F12079">
        <v>12440021</v>
      </c>
      <c r="G12079" t="s">
        <v>429</v>
      </c>
      <c r="H12079" s="21">
        <v>933.92</v>
      </c>
    </row>
    <row r="12080" spans="1:8" customFormat="1" x14ac:dyDescent="0.25">
      <c r="A12080" t="str">
        <f>"394070"</f>
        <v>394070</v>
      </c>
      <c r="B12080" t="s">
        <v>10710</v>
      </c>
      <c r="C12080" t="s">
        <v>33</v>
      </c>
      <c r="D12080" s="21" t="s">
        <v>34</v>
      </c>
      <c r="E12080" s="21" t="s">
        <v>35</v>
      </c>
      <c r="F12080">
        <v>2250070</v>
      </c>
      <c r="G12080" t="s">
        <v>3923</v>
      </c>
      <c r="H12080" s="21">
        <v>933.67</v>
      </c>
    </row>
    <row r="12081" spans="1:8" customFormat="1" x14ac:dyDescent="0.25">
      <c r="A12081" t="str">
        <f>"5016974"</f>
        <v>5016974</v>
      </c>
      <c r="B12081" t="s">
        <v>12730</v>
      </c>
      <c r="C12081" t="s">
        <v>476</v>
      </c>
      <c r="D12081" s="21" t="s">
        <v>34</v>
      </c>
      <c r="E12081" s="21" t="s">
        <v>35</v>
      </c>
      <c r="F12081">
        <v>9500030</v>
      </c>
      <c r="G12081" t="s">
        <v>2166</v>
      </c>
      <c r="H12081" s="21">
        <v>933.67</v>
      </c>
    </row>
    <row r="12082" spans="1:8" customFormat="1" x14ac:dyDescent="0.25">
      <c r="A12082" t="str">
        <f>"7711403"</f>
        <v>7711403</v>
      </c>
      <c r="B12082" t="s">
        <v>11512</v>
      </c>
      <c r="C12082" t="s">
        <v>87</v>
      </c>
      <c r="D12082" s="21" t="s">
        <v>34</v>
      </c>
      <c r="E12082" s="21" t="s">
        <v>71</v>
      </c>
      <c r="F12082">
        <v>8910652</v>
      </c>
      <c r="G12082" t="s">
        <v>6533</v>
      </c>
      <c r="H12082" s="21">
        <v>933.67</v>
      </c>
    </row>
    <row r="12083" spans="1:8" customFormat="1" x14ac:dyDescent="0.25">
      <c r="A12083" t="str">
        <f>"5957375"</f>
        <v>5957375</v>
      </c>
      <c r="B12083" t="s">
        <v>12213</v>
      </c>
      <c r="C12083" t="s">
        <v>87</v>
      </c>
      <c r="D12083" s="21" t="s">
        <v>34</v>
      </c>
      <c r="E12083" s="21" t="s">
        <v>35</v>
      </c>
      <c r="F12083">
        <v>7590050</v>
      </c>
      <c r="G12083" t="s">
        <v>473</v>
      </c>
      <c r="H12083" s="21">
        <v>933.67</v>
      </c>
    </row>
    <row r="12084" spans="1:8" customFormat="1" x14ac:dyDescent="0.25">
      <c r="A12084" t="str">
        <f>"312892"</f>
        <v>312892</v>
      </c>
      <c r="B12084" t="s">
        <v>11447</v>
      </c>
      <c r="C12084" t="s">
        <v>2100</v>
      </c>
      <c r="D12084" s="21" t="s">
        <v>34</v>
      </c>
      <c r="E12084" s="21" t="s">
        <v>254</v>
      </c>
      <c r="F12084">
        <v>11310121</v>
      </c>
      <c r="G12084" t="s">
        <v>578</v>
      </c>
      <c r="H12084" s="21">
        <v>933.67</v>
      </c>
    </row>
    <row r="12085" spans="1:8" customFormat="1" x14ac:dyDescent="0.25">
      <c r="A12085" t="str">
        <f>"9218735"</f>
        <v>9218735</v>
      </c>
      <c r="B12085" t="s">
        <v>12442</v>
      </c>
      <c r="C12085" t="s">
        <v>33</v>
      </c>
      <c r="D12085" s="21" t="s">
        <v>34</v>
      </c>
      <c r="E12085" s="21" t="s">
        <v>71</v>
      </c>
      <c r="F12085">
        <v>8920049</v>
      </c>
      <c r="G12085" t="s">
        <v>237</v>
      </c>
      <c r="H12085" s="21">
        <v>933.67</v>
      </c>
    </row>
    <row r="12086" spans="1:8" customFormat="1" x14ac:dyDescent="0.25">
      <c r="A12086" t="str">
        <f>"6911366"</f>
        <v>6911366</v>
      </c>
      <c r="B12086" t="s">
        <v>12289</v>
      </c>
      <c r="C12086" t="s">
        <v>1196</v>
      </c>
      <c r="D12086" s="21" t="s">
        <v>34</v>
      </c>
      <c r="E12086" s="21" t="s">
        <v>35</v>
      </c>
      <c r="F12086">
        <v>1690156</v>
      </c>
      <c r="G12086" t="s">
        <v>7062</v>
      </c>
      <c r="H12086" s="21">
        <v>933.67</v>
      </c>
    </row>
    <row r="12087" spans="1:8" customFormat="1" x14ac:dyDescent="0.25">
      <c r="A12087" t="str">
        <f>"764564"</f>
        <v>764564</v>
      </c>
      <c r="B12087" t="s">
        <v>64</v>
      </c>
      <c r="C12087" t="s">
        <v>269</v>
      </c>
      <c r="D12087" s="21" t="s">
        <v>34</v>
      </c>
      <c r="E12087" s="21" t="s">
        <v>71</v>
      </c>
      <c r="F12087">
        <v>9760396</v>
      </c>
      <c r="G12087" t="s">
        <v>3875</v>
      </c>
      <c r="H12087" s="21">
        <v>933.67</v>
      </c>
    </row>
    <row r="12088" spans="1:8" customFormat="1" x14ac:dyDescent="0.25">
      <c r="A12088" t="str">
        <f>"6814225"</f>
        <v>6814225</v>
      </c>
      <c r="B12088" t="s">
        <v>11365</v>
      </c>
      <c r="C12088" t="s">
        <v>249</v>
      </c>
      <c r="D12088" s="21" t="s">
        <v>34</v>
      </c>
      <c r="E12088" s="21" t="s">
        <v>35</v>
      </c>
      <c r="F12088">
        <v>6680138</v>
      </c>
      <c r="G12088" t="s">
        <v>10497</v>
      </c>
      <c r="H12088" s="21">
        <v>933.67</v>
      </c>
    </row>
    <row r="12089" spans="1:8" customFormat="1" x14ac:dyDescent="0.25">
      <c r="A12089" t="str">
        <f>"371704"</f>
        <v>371704</v>
      </c>
      <c r="B12089" t="s">
        <v>10645</v>
      </c>
      <c r="C12089" t="s">
        <v>236</v>
      </c>
      <c r="D12089" s="21" t="s">
        <v>34</v>
      </c>
      <c r="E12089" s="21" t="s">
        <v>71</v>
      </c>
      <c r="F12089">
        <v>4370132</v>
      </c>
      <c r="G12089" t="s">
        <v>2262</v>
      </c>
      <c r="H12089" s="21">
        <v>933.67</v>
      </c>
    </row>
    <row r="12090" spans="1:8" customFormat="1" x14ac:dyDescent="0.25">
      <c r="A12090" t="str">
        <f>"02432"</f>
        <v>02432</v>
      </c>
      <c r="B12090" t="s">
        <v>10291</v>
      </c>
      <c r="C12090" t="s">
        <v>415</v>
      </c>
      <c r="D12090" s="21" t="s">
        <v>34</v>
      </c>
      <c r="E12090" s="21" t="s">
        <v>254</v>
      </c>
      <c r="F12090">
        <v>7020024</v>
      </c>
      <c r="G12090" t="s">
        <v>4860</v>
      </c>
      <c r="H12090" s="21">
        <v>933.67</v>
      </c>
    </row>
    <row r="12091" spans="1:8" customFormat="1" x14ac:dyDescent="0.25">
      <c r="A12091" t="str">
        <f>"50824"</f>
        <v>50824</v>
      </c>
      <c r="B12091" t="s">
        <v>5649</v>
      </c>
      <c r="C12091" t="s">
        <v>156</v>
      </c>
      <c r="D12091" s="21" t="s">
        <v>34</v>
      </c>
      <c r="E12091" s="21" t="s">
        <v>254</v>
      </c>
      <c r="F12091">
        <v>9500131</v>
      </c>
      <c r="G12091" t="s">
        <v>1073</v>
      </c>
      <c r="H12091" s="21">
        <v>933.67</v>
      </c>
    </row>
    <row r="12092" spans="1:8" customFormat="1" x14ac:dyDescent="0.25">
      <c r="A12092" t="str">
        <f>"3529815"</f>
        <v>3529815</v>
      </c>
      <c r="B12092" t="s">
        <v>11287</v>
      </c>
      <c r="C12092" t="s">
        <v>169</v>
      </c>
      <c r="D12092" s="21" t="s">
        <v>34</v>
      </c>
      <c r="E12092" s="21" t="s">
        <v>71</v>
      </c>
      <c r="F12092">
        <v>3350122</v>
      </c>
      <c r="G12092" t="s">
        <v>3069</v>
      </c>
      <c r="H12092" s="21">
        <v>933.67</v>
      </c>
    </row>
    <row r="12093" spans="1:8" customFormat="1" x14ac:dyDescent="0.25">
      <c r="A12093" t="str">
        <f>"786078"</f>
        <v>786078</v>
      </c>
      <c r="B12093" t="s">
        <v>11382</v>
      </c>
      <c r="C12093" t="s">
        <v>2475</v>
      </c>
      <c r="D12093" s="21" t="s">
        <v>34</v>
      </c>
      <c r="E12093" s="21" t="s">
        <v>71</v>
      </c>
      <c r="F12093">
        <v>8780023</v>
      </c>
      <c r="G12093" t="s">
        <v>1496</v>
      </c>
      <c r="H12093" s="21">
        <v>933.67</v>
      </c>
    </row>
    <row r="12094" spans="1:8" customFormat="1" x14ac:dyDescent="0.25">
      <c r="A12094" t="str">
        <f>"08798"</f>
        <v>08798</v>
      </c>
      <c r="B12094" t="s">
        <v>10028</v>
      </c>
      <c r="C12094" t="s">
        <v>130</v>
      </c>
      <c r="D12094" s="21" t="s">
        <v>34</v>
      </c>
      <c r="E12094" s="21" t="s">
        <v>254</v>
      </c>
      <c r="F12094">
        <v>6080064</v>
      </c>
      <c r="G12094" t="s">
        <v>5825</v>
      </c>
      <c r="H12094" s="21">
        <v>933.54</v>
      </c>
    </row>
    <row r="12095" spans="1:8" customFormat="1" x14ac:dyDescent="0.25">
      <c r="A12095" t="str">
        <f>"958558"</f>
        <v>958558</v>
      </c>
      <c r="B12095" t="s">
        <v>2093</v>
      </c>
      <c r="C12095" t="s">
        <v>285</v>
      </c>
      <c r="D12095" s="21" t="s">
        <v>34</v>
      </c>
      <c r="E12095" s="21" t="s">
        <v>35</v>
      </c>
      <c r="F12095">
        <v>8780128</v>
      </c>
      <c r="G12095" t="s">
        <v>4201</v>
      </c>
      <c r="H12095" s="21">
        <v>933.54</v>
      </c>
    </row>
    <row r="12096" spans="1:8" customFormat="1" x14ac:dyDescent="0.25">
      <c r="A12096" t="str">
        <f>"9516605"</f>
        <v>9516605</v>
      </c>
      <c r="B12096" t="s">
        <v>11215</v>
      </c>
      <c r="C12096" t="s">
        <v>1119</v>
      </c>
      <c r="D12096" s="21" t="s">
        <v>34</v>
      </c>
      <c r="E12096" s="21" t="s">
        <v>71</v>
      </c>
      <c r="F12096">
        <v>8950531</v>
      </c>
      <c r="G12096" t="s">
        <v>7983</v>
      </c>
      <c r="H12096" s="21">
        <v>933.54</v>
      </c>
    </row>
    <row r="12097" spans="1:8" customFormat="1" x14ac:dyDescent="0.25">
      <c r="A12097" t="str">
        <f>"2920706"</f>
        <v>2920706</v>
      </c>
      <c r="B12097" t="s">
        <v>11723</v>
      </c>
      <c r="C12097" t="s">
        <v>82</v>
      </c>
      <c r="D12097" s="21" t="s">
        <v>34</v>
      </c>
      <c r="E12097" s="21" t="s">
        <v>35</v>
      </c>
      <c r="F12097">
        <v>3290003</v>
      </c>
      <c r="G12097" t="s">
        <v>3764</v>
      </c>
      <c r="H12097" s="21">
        <v>933.42</v>
      </c>
    </row>
    <row r="12098" spans="1:8" customFormat="1" x14ac:dyDescent="0.25">
      <c r="A12098" t="str">
        <f>"183220"</f>
        <v>183220</v>
      </c>
      <c r="B12098" t="s">
        <v>2386</v>
      </c>
      <c r="C12098" t="s">
        <v>263</v>
      </c>
      <c r="D12098" s="21" t="s">
        <v>34</v>
      </c>
      <c r="E12098" s="21" t="s">
        <v>71</v>
      </c>
      <c r="F12098">
        <v>4180485</v>
      </c>
      <c r="G12098" t="s">
        <v>345</v>
      </c>
      <c r="H12098" s="21">
        <v>933.42</v>
      </c>
    </row>
    <row r="12099" spans="1:8" customFormat="1" x14ac:dyDescent="0.25">
      <c r="A12099" t="str">
        <f>"5962795"</f>
        <v>5962795</v>
      </c>
      <c r="B12099" t="s">
        <v>12524</v>
      </c>
      <c r="C12099" t="s">
        <v>486</v>
      </c>
      <c r="D12099" s="21" t="s">
        <v>34</v>
      </c>
      <c r="E12099" s="21" t="s">
        <v>35</v>
      </c>
      <c r="F12099">
        <v>7590093</v>
      </c>
      <c r="G12099" t="s">
        <v>7957</v>
      </c>
      <c r="H12099" s="21">
        <v>933.42</v>
      </c>
    </row>
    <row r="12100" spans="1:8" customFormat="1" x14ac:dyDescent="0.25">
      <c r="A12100" t="str">
        <f>"9516523"</f>
        <v>9516523</v>
      </c>
      <c r="B12100" t="s">
        <v>11831</v>
      </c>
      <c r="C12100" t="s">
        <v>11832</v>
      </c>
      <c r="D12100" s="21" t="s">
        <v>34</v>
      </c>
      <c r="E12100" s="21" t="s">
        <v>35</v>
      </c>
      <c r="F12100">
        <v>7600146</v>
      </c>
      <c r="G12100" t="s">
        <v>8647</v>
      </c>
      <c r="H12100" s="21">
        <v>933.17</v>
      </c>
    </row>
    <row r="12101" spans="1:8" customFormat="1" x14ac:dyDescent="0.25">
      <c r="A12101" t="str">
        <f>"423562"</f>
        <v>423562</v>
      </c>
      <c r="B12101" t="s">
        <v>11914</v>
      </c>
      <c r="C12101" t="s">
        <v>209</v>
      </c>
      <c r="D12101" s="21" t="s">
        <v>34</v>
      </c>
      <c r="E12101" s="21" t="s">
        <v>35</v>
      </c>
      <c r="F12101">
        <v>1420128</v>
      </c>
      <c r="G12101" t="s">
        <v>449</v>
      </c>
      <c r="H12101" s="21">
        <v>933.17</v>
      </c>
    </row>
    <row r="12102" spans="1:8" customFormat="1" x14ac:dyDescent="0.25">
      <c r="A12102" t="str">
        <f>"3712324"</f>
        <v>3712324</v>
      </c>
      <c r="B12102" t="s">
        <v>10595</v>
      </c>
      <c r="C12102" t="s">
        <v>65</v>
      </c>
      <c r="D12102" s="21" t="s">
        <v>34</v>
      </c>
      <c r="E12102" s="21" t="s">
        <v>71</v>
      </c>
      <c r="F12102">
        <v>4370656</v>
      </c>
      <c r="G12102" t="s">
        <v>1127</v>
      </c>
      <c r="H12102" s="21">
        <v>933.17</v>
      </c>
    </row>
    <row r="12103" spans="1:8" customFormat="1" x14ac:dyDescent="0.25">
      <c r="A12103" t="str">
        <f>"7629407"</f>
        <v>7629407</v>
      </c>
      <c r="B12103" t="s">
        <v>11934</v>
      </c>
      <c r="C12103" t="s">
        <v>2734</v>
      </c>
      <c r="D12103" s="21" t="s">
        <v>34</v>
      </c>
      <c r="E12103" s="21" t="s">
        <v>35</v>
      </c>
      <c r="F12103">
        <v>9760403</v>
      </c>
      <c r="G12103" t="s">
        <v>11140</v>
      </c>
      <c r="H12103" s="21">
        <v>933.17</v>
      </c>
    </row>
    <row r="12104" spans="1:8" customFormat="1" x14ac:dyDescent="0.25">
      <c r="A12104" t="str">
        <f>"5939402"</f>
        <v>5939402</v>
      </c>
      <c r="B12104" t="s">
        <v>11989</v>
      </c>
      <c r="C12104" t="s">
        <v>269</v>
      </c>
      <c r="D12104" s="21" t="s">
        <v>34</v>
      </c>
      <c r="E12104" s="21" t="s">
        <v>71</v>
      </c>
      <c r="F12104">
        <v>10160010</v>
      </c>
      <c r="G12104" t="s">
        <v>5491</v>
      </c>
      <c r="H12104" s="21">
        <v>933.17</v>
      </c>
    </row>
    <row r="12105" spans="1:8" customFormat="1" x14ac:dyDescent="0.25">
      <c r="A12105" t="str">
        <f>"693951"</f>
        <v>693951</v>
      </c>
      <c r="B12105" t="s">
        <v>4574</v>
      </c>
      <c r="C12105" t="s">
        <v>1271</v>
      </c>
      <c r="D12105" s="21" t="s">
        <v>34</v>
      </c>
      <c r="E12105" s="21" t="s">
        <v>71</v>
      </c>
      <c r="F12105">
        <v>1690166</v>
      </c>
      <c r="G12105" t="s">
        <v>3886</v>
      </c>
      <c r="H12105" s="21">
        <v>933.17</v>
      </c>
    </row>
    <row r="12106" spans="1:8" customFormat="1" x14ac:dyDescent="0.25">
      <c r="A12106" t="str">
        <f>"014219"</f>
        <v>014219</v>
      </c>
      <c r="B12106" t="s">
        <v>12929</v>
      </c>
      <c r="C12106" t="s">
        <v>87</v>
      </c>
      <c r="D12106" s="21" t="s">
        <v>34</v>
      </c>
      <c r="E12106" s="21" t="s">
        <v>35</v>
      </c>
      <c r="F12106">
        <v>1010001</v>
      </c>
      <c r="G12106" t="s">
        <v>2161</v>
      </c>
      <c r="H12106" s="21">
        <v>933.17</v>
      </c>
    </row>
    <row r="12107" spans="1:8" customFormat="1" x14ac:dyDescent="0.25">
      <c r="A12107" t="str">
        <f>"384611"</f>
        <v>384611</v>
      </c>
      <c r="B12107" t="s">
        <v>10828</v>
      </c>
      <c r="C12107" t="s">
        <v>1801</v>
      </c>
      <c r="D12107" s="21" t="s">
        <v>34</v>
      </c>
      <c r="E12107" s="21" t="s">
        <v>35</v>
      </c>
      <c r="F12107">
        <v>1380290</v>
      </c>
      <c r="G12107" t="s">
        <v>619</v>
      </c>
      <c r="H12107" s="21">
        <v>933.17</v>
      </c>
    </row>
    <row r="12108" spans="1:8" customFormat="1" x14ac:dyDescent="0.25">
      <c r="A12108" t="str">
        <f>"4512936"</f>
        <v>4512936</v>
      </c>
      <c r="B12108" t="s">
        <v>12251</v>
      </c>
      <c r="C12108" t="s">
        <v>65</v>
      </c>
      <c r="D12108" s="21" t="s">
        <v>34</v>
      </c>
      <c r="E12108" s="21" t="s">
        <v>35</v>
      </c>
      <c r="F12108">
        <v>4450417</v>
      </c>
      <c r="G12108" t="s">
        <v>2284</v>
      </c>
      <c r="H12108" s="21">
        <v>933.17</v>
      </c>
    </row>
    <row r="12109" spans="1:8" customFormat="1" x14ac:dyDescent="0.25">
      <c r="A12109" t="str">
        <f>"9423121"</f>
        <v>9423121</v>
      </c>
      <c r="B12109" t="s">
        <v>12028</v>
      </c>
      <c r="C12109" t="s">
        <v>12029</v>
      </c>
      <c r="D12109" s="21" t="s">
        <v>34</v>
      </c>
      <c r="E12109" s="21" t="s">
        <v>35</v>
      </c>
      <c r="F12109">
        <v>8940073</v>
      </c>
      <c r="G12109" t="s">
        <v>1085</v>
      </c>
      <c r="H12109" s="21">
        <v>933.17</v>
      </c>
    </row>
    <row r="12110" spans="1:8" customFormat="1" x14ac:dyDescent="0.25">
      <c r="A12110" t="str">
        <f>"538011"</f>
        <v>538011</v>
      </c>
      <c r="B12110" t="s">
        <v>10495</v>
      </c>
      <c r="C12110" t="s">
        <v>209</v>
      </c>
      <c r="D12110" s="21" t="s">
        <v>34</v>
      </c>
      <c r="E12110" s="21" t="s">
        <v>71</v>
      </c>
      <c r="F12110">
        <v>12530046</v>
      </c>
      <c r="G12110" t="s">
        <v>10191</v>
      </c>
      <c r="H12110" s="21">
        <v>933.17</v>
      </c>
    </row>
    <row r="12111" spans="1:8" customFormat="1" x14ac:dyDescent="0.25">
      <c r="A12111" t="str">
        <f>"722265"</f>
        <v>722265</v>
      </c>
      <c r="B12111" t="s">
        <v>3957</v>
      </c>
      <c r="C12111" t="s">
        <v>2132</v>
      </c>
      <c r="D12111" s="21" t="s">
        <v>34</v>
      </c>
      <c r="E12111" s="21" t="s">
        <v>35</v>
      </c>
      <c r="F12111">
        <v>12720091</v>
      </c>
      <c r="G12111" t="s">
        <v>10895</v>
      </c>
      <c r="H12111" s="21">
        <v>933.17</v>
      </c>
    </row>
    <row r="12112" spans="1:8" customFormat="1" x14ac:dyDescent="0.25">
      <c r="A12112" t="str">
        <f>"9212774"</f>
        <v>9212774</v>
      </c>
      <c r="B12112" t="s">
        <v>10957</v>
      </c>
      <c r="C12112" t="s">
        <v>130</v>
      </c>
      <c r="D12112" s="21" t="s">
        <v>34</v>
      </c>
      <c r="E12112" s="21" t="s">
        <v>254</v>
      </c>
      <c r="F12112">
        <v>8920646</v>
      </c>
      <c r="G12112" t="s">
        <v>2864</v>
      </c>
      <c r="H12112" s="21">
        <v>933.04</v>
      </c>
    </row>
    <row r="12113" spans="1:8" customFormat="1" x14ac:dyDescent="0.25">
      <c r="A12113" t="str">
        <f>"4429715"</f>
        <v>4429715</v>
      </c>
      <c r="B12113" t="s">
        <v>1908</v>
      </c>
      <c r="C12113" t="s">
        <v>1914</v>
      </c>
      <c r="D12113" s="21" t="s">
        <v>34</v>
      </c>
      <c r="E12113" s="21" t="s">
        <v>71</v>
      </c>
      <c r="F12113">
        <v>12440084</v>
      </c>
      <c r="G12113" t="s">
        <v>1014</v>
      </c>
      <c r="H12113" s="21">
        <v>932.92</v>
      </c>
    </row>
    <row r="12114" spans="1:8" customFormat="1" x14ac:dyDescent="0.25">
      <c r="A12114" t="str">
        <f>"7853795"</f>
        <v>7853795</v>
      </c>
      <c r="B12114" t="s">
        <v>12688</v>
      </c>
      <c r="C12114" t="s">
        <v>33</v>
      </c>
      <c r="D12114" s="21" t="s">
        <v>34</v>
      </c>
      <c r="E12114" s="21" t="s">
        <v>71</v>
      </c>
      <c r="F12114">
        <v>8781266</v>
      </c>
      <c r="G12114" t="s">
        <v>26704</v>
      </c>
      <c r="H12114" s="21">
        <v>932.92</v>
      </c>
    </row>
    <row r="12115" spans="1:8" customFormat="1" x14ac:dyDescent="0.25">
      <c r="A12115" t="str">
        <f>"9137315"</f>
        <v>9137315</v>
      </c>
      <c r="B12115" t="s">
        <v>12781</v>
      </c>
      <c r="C12115" t="s">
        <v>12782</v>
      </c>
      <c r="D12115" s="21" t="s">
        <v>34</v>
      </c>
      <c r="E12115" s="21" t="s">
        <v>35</v>
      </c>
      <c r="F12115">
        <v>8910881</v>
      </c>
      <c r="G12115" t="s">
        <v>1300</v>
      </c>
      <c r="H12115" s="21">
        <v>932.92</v>
      </c>
    </row>
    <row r="12116" spans="1:8" customFormat="1" x14ac:dyDescent="0.25">
      <c r="A12116" t="str">
        <f>"839294"</f>
        <v>839294</v>
      </c>
      <c r="B12116" t="s">
        <v>11409</v>
      </c>
      <c r="C12116" t="s">
        <v>2546</v>
      </c>
      <c r="D12116" s="21" t="s">
        <v>34</v>
      </c>
      <c r="E12116" s="21" t="s">
        <v>71</v>
      </c>
      <c r="F12116">
        <v>13830091</v>
      </c>
      <c r="G12116" t="s">
        <v>7389</v>
      </c>
      <c r="H12116" s="21">
        <v>932.67</v>
      </c>
    </row>
    <row r="12117" spans="1:8" customFormat="1" x14ac:dyDescent="0.25">
      <c r="A12117" t="str">
        <f>"2917970"</f>
        <v>2917970</v>
      </c>
      <c r="B12117" t="s">
        <v>1151</v>
      </c>
      <c r="C12117" t="s">
        <v>204</v>
      </c>
      <c r="D12117" s="21" t="s">
        <v>34</v>
      </c>
      <c r="E12117" s="21" t="s">
        <v>35</v>
      </c>
      <c r="F12117">
        <v>3290090</v>
      </c>
      <c r="G12117" t="s">
        <v>1390</v>
      </c>
      <c r="H12117" s="21">
        <v>932.67</v>
      </c>
    </row>
    <row r="12118" spans="1:8" customFormat="1" x14ac:dyDescent="0.25">
      <c r="A12118" t="str">
        <f>"514012"</f>
        <v>514012</v>
      </c>
      <c r="B12118" t="s">
        <v>4834</v>
      </c>
      <c r="C12118" t="s">
        <v>263</v>
      </c>
      <c r="D12118" s="21" t="s">
        <v>34</v>
      </c>
      <c r="E12118" s="21" t="s">
        <v>71</v>
      </c>
      <c r="F12118">
        <v>6510110</v>
      </c>
      <c r="G12118" t="s">
        <v>9011</v>
      </c>
      <c r="H12118" s="21">
        <v>932.67</v>
      </c>
    </row>
    <row r="12119" spans="1:8" customFormat="1" x14ac:dyDescent="0.25">
      <c r="A12119" t="str">
        <f>"3411190"</f>
        <v>3411190</v>
      </c>
      <c r="B12119" t="s">
        <v>11108</v>
      </c>
      <c r="C12119" t="s">
        <v>109</v>
      </c>
      <c r="D12119" s="21" t="s">
        <v>34</v>
      </c>
      <c r="E12119" s="21" t="s">
        <v>71</v>
      </c>
      <c r="F12119">
        <v>11340060</v>
      </c>
      <c r="G12119" t="s">
        <v>1275</v>
      </c>
      <c r="H12119" s="21">
        <v>932.67</v>
      </c>
    </row>
    <row r="12120" spans="1:8" customFormat="1" x14ac:dyDescent="0.25">
      <c r="A12120" t="str">
        <f>"68121"</f>
        <v>68121</v>
      </c>
      <c r="B12120" t="s">
        <v>7963</v>
      </c>
      <c r="C12120" t="s">
        <v>2520</v>
      </c>
      <c r="D12120" s="21" t="s">
        <v>34</v>
      </c>
      <c r="E12120" s="21" t="s">
        <v>254</v>
      </c>
      <c r="F12120">
        <v>6670160</v>
      </c>
      <c r="G12120" t="s">
        <v>908</v>
      </c>
      <c r="H12120" s="21">
        <v>932.67</v>
      </c>
    </row>
    <row r="12121" spans="1:8" customFormat="1" x14ac:dyDescent="0.25">
      <c r="A12121" t="str">
        <f>"3814271"</f>
        <v>3814271</v>
      </c>
      <c r="B12121" t="s">
        <v>6518</v>
      </c>
      <c r="C12121" t="s">
        <v>1914</v>
      </c>
      <c r="D12121" s="21" t="s">
        <v>34</v>
      </c>
      <c r="E12121" s="21" t="s">
        <v>35</v>
      </c>
      <c r="F12121">
        <v>1380045</v>
      </c>
      <c r="G12121" t="s">
        <v>2114</v>
      </c>
      <c r="H12121" s="21">
        <v>932.67</v>
      </c>
    </row>
    <row r="12122" spans="1:8" customFormat="1" x14ac:dyDescent="0.25">
      <c r="A12122" t="str">
        <f>"357027"</f>
        <v>357027</v>
      </c>
      <c r="B12122" t="s">
        <v>10111</v>
      </c>
      <c r="C12122" t="s">
        <v>209</v>
      </c>
      <c r="D12122" s="21" t="s">
        <v>34</v>
      </c>
      <c r="E12122" s="21" t="s">
        <v>254</v>
      </c>
      <c r="F12122">
        <v>3350065</v>
      </c>
      <c r="G12122" t="s">
        <v>5910</v>
      </c>
      <c r="H12122" s="21">
        <v>932.67</v>
      </c>
    </row>
    <row r="12123" spans="1:8" customFormat="1" x14ac:dyDescent="0.25">
      <c r="A12123" t="str">
        <f>"605510"</f>
        <v>605510</v>
      </c>
      <c r="B12123" t="s">
        <v>10737</v>
      </c>
      <c r="C12123" t="s">
        <v>285</v>
      </c>
      <c r="D12123" s="21" t="s">
        <v>34</v>
      </c>
      <c r="E12123" s="21" t="s">
        <v>35</v>
      </c>
      <c r="F12123">
        <v>7800149</v>
      </c>
      <c r="G12123" t="s">
        <v>12618</v>
      </c>
      <c r="H12123" s="21">
        <v>932.67</v>
      </c>
    </row>
    <row r="12124" spans="1:8" customFormat="1" x14ac:dyDescent="0.25">
      <c r="A12124" t="str">
        <f>"6233704"</f>
        <v>6233704</v>
      </c>
      <c r="B12124" t="s">
        <v>1696</v>
      </c>
      <c r="C12124" t="s">
        <v>453</v>
      </c>
      <c r="D12124" s="21" t="s">
        <v>34</v>
      </c>
      <c r="E12124" s="21" t="s">
        <v>1089</v>
      </c>
      <c r="F12124">
        <v>7620079</v>
      </c>
      <c r="G12124" t="s">
        <v>9718</v>
      </c>
      <c r="H12124" s="21">
        <v>932.67</v>
      </c>
    </row>
    <row r="12125" spans="1:8" customFormat="1" x14ac:dyDescent="0.25">
      <c r="A12125" t="str">
        <f>"3726056"</f>
        <v>3726056</v>
      </c>
      <c r="B12125" t="s">
        <v>5431</v>
      </c>
      <c r="C12125" t="s">
        <v>462</v>
      </c>
      <c r="D12125" s="21" t="s">
        <v>34</v>
      </c>
      <c r="E12125" s="21" t="s">
        <v>71</v>
      </c>
      <c r="F12125">
        <v>4370533</v>
      </c>
      <c r="G12125" t="s">
        <v>10553</v>
      </c>
      <c r="H12125" s="21">
        <v>932.67</v>
      </c>
    </row>
    <row r="12126" spans="1:8" customFormat="1" x14ac:dyDescent="0.25">
      <c r="A12126" t="str">
        <f>"3012731"</f>
        <v>3012731</v>
      </c>
      <c r="B12126" t="s">
        <v>13116</v>
      </c>
      <c r="C12126" t="s">
        <v>13117</v>
      </c>
      <c r="D12126" s="21" t="s">
        <v>34</v>
      </c>
      <c r="E12126" s="21" t="s">
        <v>254</v>
      </c>
      <c r="F12126">
        <v>11300025</v>
      </c>
      <c r="G12126" t="s">
        <v>1211</v>
      </c>
      <c r="H12126" s="21">
        <v>932.67</v>
      </c>
    </row>
    <row r="12127" spans="1:8" customFormat="1" x14ac:dyDescent="0.25">
      <c r="A12127" t="str">
        <f>"729055"</f>
        <v>729055</v>
      </c>
      <c r="B12127" t="s">
        <v>10812</v>
      </c>
      <c r="C12127" t="s">
        <v>598</v>
      </c>
      <c r="D12127" s="21" t="s">
        <v>34</v>
      </c>
      <c r="E12127" s="21" t="s">
        <v>71</v>
      </c>
      <c r="F12127">
        <v>12720006</v>
      </c>
      <c r="G12127" t="s">
        <v>4022</v>
      </c>
      <c r="H12127" s="21">
        <v>932.42</v>
      </c>
    </row>
    <row r="12128" spans="1:8" customFormat="1" x14ac:dyDescent="0.25">
      <c r="A12128" t="str">
        <f>"5810290"</f>
        <v>5810290</v>
      </c>
      <c r="B12128" t="s">
        <v>16879</v>
      </c>
      <c r="C12128" t="s">
        <v>101</v>
      </c>
      <c r="D12128" s="21" t="s">
        <v>34</v>
      </c>
      <c r="E12128" s="21" t="s">
        <v>35</v>
      </c>
      <c r="F12128">
        <v>2580012</v>
      </c>
      <c r="G12128" t="s">
        <v>1144</v>
      </c>
      <c r="H12128" s="21">
        <v>932.42</v>
      </c>
    </row>
    <row r="12129" spans="1:8" customFormat="1" x14ac:dyDescent="0.25">
      <c r="A12129" t="str">
        <f>"9420122"</f>
        <v>9420122</v>
      </c>
      <c r="B12129" t="s">
        <v>12529</v>
      </c>
      <c r="C12129" t="s">
        <v>209</v>
      </c>
      <c r="D12129" s="21" t="s">
        <v>34</v>
      </c>
      <c r="E12129" s="21" t="s">
        <v>71</v>
      </c>
      <c r="F12129">
        <v>8940459</v>
      </c>
      <c r="G12129" t="s">
        <v>743</v>
      </c>
      <c r="H12129" s="21">
        <v>932.29</v>
      </c>
    </row>
    <row r="12130" spans="1:8" customFormat="1" x14ac:dyDescent="0.25">
      <c r="A12130" t="str">
        <f>"589701"</f>
        <v>589701</v>
      </c>
      <c r="B12130" t="s">
        <v>4128</v>
      </c>
      <c r="C12130" t="s">
        <v>33</v>
      </c>
      <c r="D12130" s="21" t="s">
        <v>34</v>
      </c>
      <c r="E12130" s="21" t="s">
        <v>71</v>
      </c>
      <c r="F12130">
        <v>2580091</v>
      </c>
      <c r="G12130" t="s">
        <v>13057</v>
      </c>
      <c r="H12130" s="21">
        <v>932.29</v>
      </c>
    </row>
    <row r="12131" spans="1:8" customFormat="1" x14ac:dyDescent="0.25">
      <c r="A12131" t="str">
        <f>"703039"</f>
        <v>703039</v>
      </c>
      <c r="B12131" t="s">
        <v>11457</v>
      </c>
      <c r="C12131" t="s">
        <v>285</v>
      </c>
      <c r="D12131" s="21" t="s">
        <v>34</v>
      </c>
      <c r="E12131" s="21" t="s">
        <v>35</v>
      </c>
      <c r="F12131">
        <v>2700014</v>
      </c>
      <c r="G12131" t="s">
        <v>7714</v>
      </c>
      <c r="H12131" s="21">
        <v>932.29</v>
      </c>
    </row>
    <row r="12132" spans="1:8" customFormat="1" x14ac:dyDescent="0.25">
      <c r="A12132" t="str">
        <f>"5423724"</f>
        <v>5423724</v>
      </c>
      <c r="B12132" t="s">
        <v>12376</v>
      </c>
      <c r="C12132" t="s">
        <v>1812</v>
      </c>
      <c r="D12132" s="21" t="s">
        <v>34</v>
      </c>
      <c r="E12132" s="21" t="s">
        <v>71</v>
      </c>
      <c r="F12132">
        <v>6540192</v>
      </c>
      <c r="G12132" t="s">
        <v>3644</v>
      </c>
      <c r="H12132" s="21">
        <v>932.17</v>
      </c>
    </row>
    <row r="12133" spans="1:8" customFormat="1" x14ac:dyDescent="0.25">
      <c r="A12133" t="str">
        <f>"7816300"</f>
        <v>7816300</v>
      </c>
      <c r="B12133" t="s">
        <v>10392</v>
      </c>
      <c r="C12133" t="s">
        <v>60</v>
      </c>
      <c r="D12133" s="21" t="s">
        <v>34</v>
      </c>
      <c r="E12133" s="21" t="s">
        <v>35</v>
      </c>
      <c r="F12133">
        <v>8780632</v>
      </c>
      <c r="G12133" t="s">
        <v>1571</v>
      </c>
      <c r="H12133" s="21">
        <v>932.17</v>
      </c>
    </row>
    <row r="12134" spans="1:8" customFormat="1" x14ac:dyDescent="0.25">
      <c r="A12134" t="str">
        <f>"8010525"</f>
        <v>8010525</v>
      </c>
      <c r="B12134" t="s">
        <v>3620</v>
      </c>
      <c r="C12134" t="s">
        <v>169</v>
      </c>
      <c r="D12134" s="21" t="s">
        <v>34</v>
      </c>
      <c r="E12134" s="21" t="s">
        <v>35</v>
      </c>
      <c r="F12134">
        <v>7800074</v>
      </c>
      <c r="G12134" t="s">
        <v>7104</v>
      </c>
      <c r="H12134" s="21">
        <v>932.17</v>
      </c>
    </row>
    <row r="12135" spans="1:8" customFormat="1" x14ac:dyDescent="0.25">
      <c r="A12135" t="str">
        <f>"5415653"</f>
        <v>5415653</v>
      </c>
      <c r="B12135" t="s">
        <v>12433</v>
      </c>
      <c r="C12135" t="s">
        <v>2135</v>
      </c>
      <c r="D12135" s="21" t="s">
        <v>34</v>
      </c>
      <c r="E12135" s="21" t="s">
        <v>35</v>
      </c>
      <c r="F12135">
        <v>6540097</v>
      </c>
      <c r="G12135" t="s">
        <v>12434</v>
      </c>
      <c r="H12135" s="21">
        <v>932.17</v>
      </c>
    </row>
    <row r="12136" spans="1:8" customFormat="1" x14ac:dyDescent="0.25">
      <c r="A12136" t="str">
        <f>"80476"</f>
        <v>80476</v>
      </c>
      <c r="B12136" t="s">
        <v>11098</v>
      </c>
      <c r="C12136" t="s">
        <v>3648</v>
      </c>
      <c r="D12136" s="21" t="s">
        <v>34</v>
      </c>
      <c r="E12136" s="21" t="s">
        <v>254</v>
      </c>
      <c r="F12136">
        <v>7800141</v>
      </c>
      <c r="G12136" t="s">
        <v>9939</v>
      </c>
      <c r="H12136" s="21">
        <v>932.17</v>
      </c>
    </row>
    <row r="12137" spans="1:8" customFormat="1" x14ac:dyDescent="0.25">
      <c r="A12137" t="str">
        <f>"805581"</f>
        <v>805581</v>
      </c>
      <c r="B12137" t="s">
        <v>10415</v>
      </c>
      <c r="C12137" t="s">
        <v>2276</v>
      </c>
      <c r="D12137" s="21" t="s">
        <v>34</v>
      </c>
      <c r="E12137" s="21" t="s">
        <v>71</v>
      </c>
      <c r="F12137">
        <v>7600111</v>
      </c>
      <c r="G12137" t="s">
        <v>6914</v>
      </c>
      <c r="H12137" s="21">
        <v>932.17</v>
      </c>
    </row>
    <row r="12138" spans="1:8" customFormat="1" x14ac:dyDescent="0.25">
      <c r="A12138" t="str">
        <f>"7510920"</f>
        <v>7510920</v>
      </c>
      <c r="B12138" t="s">
        <v>27233</v>
      </c>
      <c r="C12138" t="s">
        <v>2227</v>
      </c>
      <c r="D12138" s="21" t="s">
        <v>34</v>
      </c>
      <c r="E12138" s="21" t="s">
        <v>35</v>
      </c>
      <c r="F12138">
        <v>7600114</v>
      </c>
      <c r="G12138" t="s">
        <v>4584</v>
      </c>
      <c r="H12138" s="21">
        <v>932.17</v>
      </c>
    </row>
    <row r="12139" spans="1:8" customFormat="1" x14ac:dyDescent="0.25">
      <c r="A12139" t="str">
        <f>"3514632"</f>
        <v>3514632</v>
      </c>
      <c r="B12139" t="s">
        <v>3114</v>
      </c>
      <c r="C12139" t="s">
        <v>415</v>
      </c>
      <c r="D12139" s="21" t="s">
        <v>34</v>
      </c>
      <c r="E12139" s="21" t="s">
        <v>71</v>
      </c>
      <c r="F12139">
        <v>3350009</v>
      </c>
      <c r="G12139" t="s">
        <v>1823</v>
      </c>
      <c r="H12139" s="21">
        <v>932.04</v>
      </c>
    </row>
    <row r="12140" spans="1:8" customFormat="1" x14ac:dyDescent="0.25">
      <c r="A12140" t="str">
        <f>"9212188"</f>
        <v>9212188</v>
      </c>
      <c r="B12140" t="s">
        <v>7627</v>
      </c>
      <c r="C12140" t="s">
        <v>2907</v>
      </c>
      <c r="D12140" s="21" t="s">
        <v>34</v>
      </c>
      <c r="E12140" s="21" t="s">
        <v>71</v>
      </c>
      <c r="F12140">
        <v>8750064</v>
      </c>
      <c r="G12140" t="s">
        <v>10471</v>
      </c>
      <c r="H12140" s="21">
        <v>932.04</v>
      </c>
    </row>
    <row r="12141" spans="1:8" customFormat="1" x14ac:dyDescent="0.25">
      <c r="A12141" t="str">
        <f>"0210577"</f>
        <v>0210577</v>
      </c>
      <c r="B12141" t="s">
        <v>11736</v>
      </c>
      <c r="C12141" t="s">
        <v>43</v>
      </c>
      <c r="D12141" s="21" t="s">
        <v>34</v>
      </c>
      <c r="E12141" s="21" t="s">
        <v>71</v>
      </c>
      <c r="F12141">
        <v>7020015</v>
      </c>
      <c r="G12141" t="s">
        <v>1289</v>
      </c>
      <c r="H12141" s="21">
        <v>931.79</v>
      </c>
    </row>
    <row r="12142" spans="1:8" customFormat="1" x14ac:dyDescent="0.25">
      <c r="A12142" t="str">
        <f>"9321246"</f>
        <v>9321246</v>
      </c>
      <c r="B12142" t="s">
        <v>20955</v>
      </c>
      <c r="C12142" t="s">
        <v>209</v>
      </c>
      <c r="D12142" s="21" t="s">
        <v>34</v>
      </c>
      <c r="E12142" s="21" t="s">
        <v>71</v>
      </c>
      <c r="F12142">
        <v>8931011</v>
      </c>
      <c r="G12142" t="s">
        <v>530</v>
      </c>
      <c r="H12142" s="21">
        <v>931.79</v>
      </c>
    </row>
    <row r="12143" spans="1:8" customFormat="1" x14ac:dyDescent="0.25">
      <c r="A12143" t="str">
        <f>"3719409"</f>
        <v>3719409</v>
      </c>
      <c r="B12143" t="s">
        <v>12035</v>
      </c>
      <c r="C12143" t="s">
        <v>285</v>
      </c>
      <c r="D12143" s="21" t="s">
        <v>34</v>
      </c>
      <c r="E12143" s="21" t="s">
        <v>35</v>
      </c>
      <c r="F12143">
        <v>4370691</v>
      </c>
      <c r="G12143" t="s">
        <v>12036</v>
      </c>
      <c r="H12143" s="21">
        <v>931.67</v>
      </c>
    </row>
    <row r="12144" spans="1:8" customFormat="1" x14ac:dyDescent="0.25">
      <c r="A12144" t="str">
        <f>"9125021"</f>
        <v>9125021</v>
      </c>
      <c r="B12144" t="s">
        <v>11574</v>
      </c>
      <c r="C12144" t="s">
        <v>119</v>
      </c>
      <c r="D12144" s="21" t="s">
        <v>34</v>
      </c>
      <c r="E12144" s="21" t="s">
        <v>35</v>
      </c>
      <c r="F12144">
        <v>8911161</v>
      </c>
      <c r="G12144" t="s">
        <v>599</v>
      </c>
      <c r="H12144" s="21">
        <v>931.67</v>
      </c>
    </row>
    <row r="12145" spans="1:8" customFormat="1" x14ac:dyDescent="0.25">
      <c r="A12145" t="str">
        <f>"9535624"</f>
        <v>9535624</v>
      </c>
      <c r="B12145" t="s">
        <v>16173</v>
      </c>
      <c r="C12145" t="s">
        <v>11441</v>
      </c>
      <c r="D12145" s="21" t="s">
        <v>34</v>
      </c>
      <c r="E12145" s="21" t="s">
        <v>71</v>
      </c>
      <c r="F12145">
        <v>8950262</v>
      </c>
      <c r="G12145" t="s">
        <v>1881</v>
      </c>
      <c r="H12145" s="21">
        <v>931.67</v>
      </c>
    </row>
    <row r="12146" spans="1:8" customFormat="1" x14ac:dyDescent="0.25">
      <c r="A12146" t="str">
        <f>"4424817"</f>
        <v>4424817</v>
      </c>
      <c r="B12146" t="s">
        <v>138</v>
      </c>
      <c r="C12146" t="s">
        <v>43</v>
      </c>
      <c r="D12146" s="21" t="s">
        <v>34</v>
      </c>
      <c r="E12146" s="21" t="s">
        <v>35</v>
      </c>
      <c r="F12146">
        <v>12440071</v>
      </c>
      <c r="G12146" t="s">
        <v>11350</v>
      </c>
      <c r="H12146" s="21">
        <v>931.67</v>
      </c>
    </row>
    <row r="12147" spans="1:8" customFormat="1" x14ac:dyDescent="0.25">
      <c r="A12147" t="str">
        <f>"2920664"</f>
        <v>2920664</v>
      </c>
      <c r="B12147" t="s">
        <v>363</v>
      </c>
      <c r="C12147" t="s">
        <v>239</v>
      </c>
      <c r="D12147" s="21" t="s">
        <v>34</v>
      </c>
      <c r="E12147" s="21" t="s">
        <v>71</v>
      </c>
      <c r="F12147">
        <v>3290036</v>
      </c>
      <c r="G12147" t="s">
        <v>3903</v>
      </c>
      <c r="H12147" s="21">
        <v>931.67</v>
      </c>
    </row>
    <row r="12148" spans="1:8" customFormat="1" x14ac:dyDescent="0.25">
      <c r="A12148" t="str">
        <f>"347292"</f>
        <v>347292</v>
      </c>
      <c r="B12148" t="s">
        <v>7469</v>
      </c>
      <c r="C12148" t="s">
        <v>87</v>
      </c>
      <c r="D12148" s="21" t="s">
        <v>34</v>
      </c>
      <c r="E12148" s="21" t="s">
        <v>71</v>
      </c>
      <c r="F12148">
        <v>11340067</v>
      </c>
      <c r="G12148" t="s">
        <v>2895</v>
      </c>
      <c r="H12148" s="21">
        <v>931.67</v>
      </c>
    </row>
    <row r="12149" spans="1:8" customFormat="1" x14ac:dyDescent="0.25">
      <c r="A12149" t="str">
        <f>"0811261"</f>
        <v>0811261</v>
      </c>
      <c r="B12149" t="s">
        <v>11898</v>
      </c>
      <c r="C12149" t="s">
        <v>951</v>
      </c>
      <c r="D12149" s="21" t="s">
        <v>34</v>
      </c>
      <c r="E12149" s="21" t="s">
        <v>71</v>
      </c>
      <c r="F12149">
        <v>6080003</v>
      </c>
      <c r="G12149" t="s">
        <v>11899</v>
      </c>
      <c r="H12149" s="21">
        <v>931.67</v>
      </c>
    </row>
    <row r="12150" spans="1:8" customFormat="1" x14ac:dyDescent="0.25">
      <c r="A12150" t="str">
        <f>"8519473"</f>
        <v>8519473</v>
      </c>
      <c r="B12150" t="s">
        <v>2645</v>
      </c>
      <c r="C12150" t="s">
        <v>1199</v>
      </c>
      <c r="D12150" s="21" t="s">
        <v>34</v>
      </c>
      <c r="E12150" s="21" t="s">
        <v>71</v>
      </c>
      <c r="F12150">
        <v>12850016</v>
      </c>
      <c r="G12150" t="s">
        <v>26554</v>
      </c>
      <c r="H12150" s="21">
        <v>931.67</v>
      </c>
    </row>
    <row r="12151" spans="1:8" customFormat="1" x14ac:dyDescent="0.25">
      <c r="A12151" t="str">
        <f>"928792"</f>
        <v>928792</v>
      </c>
      <c r="B12151" t="s">
        <v>623</v>
      </c>
      <c r="C12151" t="s">
        <v>415</v>
      </c>
      <c r="D12151" s="21" t="s">
        <v>34</v>
      </c>
      <c r="E12151" s="21" t="s">
        <v>254</v>
      </c>
      <c r="F12151">
        <v>1150159</v>
      </c>
      <c r="G12151" t="s">
        <v>7433</v>
      </c>
      <c r="H12151" s="21">
        <v>931.67</v>
      </c>
    </row>
    <row r="12152" spans="1:8" customFormat="1" x14ac:dyDescent="0.25">
      <c r="A12152" t="str">
        <f>"087916"</f>
        <v>087916</v>
      </c>
      <c r="B12152" t="s">
        <v>7833</v>
      </c>
      <c r="C12152" t="s">
        <v>1025</v>
      </c>
      <c r="D12152" s="21" t="s">
        <v>34</v>
      </c>
      <c r="E12152" s="21" t="s">
        <v>71</v>
      </c>
      <c r="F12152">
        <v>6080059</v>
      </c>
      <c r="G12152" t="s">
        <v>4242</v>
      </c>
      <c r="H12152" s="21">
        <v>931.67</v>
      </c>
    </row>
    <row r="12153" spans="1:8" customFormat="1" x14ac:dyDescent="0.25">
      <c r="A12153" t="str">
        <f>"7636354"</f>
        <v>7636354</v>
      </c>
      <c r="B12153" t="s">
        <v>12187</v>
      </c>
      <c r="C12153" t="s">
        <v>55</v>
      </c>
      <c r="D12153" s="21" t="s">
        <v>34</v>
      </c>
      <c r="E12153" s="21" t="s">
        <v>71</v>
      </c>
      <c r="F12153">
        <v>9760414</v>
      </c>
      <c r="G12153" t="s">
        <v>142</v>
      </c>
      <c r="H12153" s="21">
        <v>931.67</v>
      </c>
    </row>
    <row r="12154" spans="1:8" customFormat="1" x14ac:dyDescent="0.25">
      <c r="A12154" t="str">
        <f>"428066"</f>
        <v>428066</v>
      </c>
      <c r="B12154" t="s">
        <v>11697</v>
      </c>
      <c r="C12154" t="s">
        <v>2907</v>
      </c>
      <c r="D12154" s="21" t="s">
        <v>34</v>
      </c>
      <c r="E12154" s="21" t="s">
        <v>254</v>
      </c>
      <c r="F12154">
        <v>1420160</v>
      </c>
      <c r="G12154" t="s">
        <v>5488</v>
      </c>
      <c r="H12154" s="21">
        <v>931.67</v>
      </c>
    </row>
    <row r="12155" spans="1:8" customFormat="1" x14ac:dyDescent="0.25">
      <c r="A12155" t="str">
        <f>"3313877"</f>
        <v>3313877</v>
      </c>
      <c r="B12155" t="s">
        <v>3510</v>
      </c>
      <c r="C12155" t="s">
        <v>415</v>
      </c>
      <c r="D12155" s="21" t="s">
        <v>34</v>
      </c>
      <c r="E12155" s="21" t="s">
        <v>71</v>
      </c>
      <c r="F12155">
        <v>10330067</v>
      </c>
      <c r="G12155" t="s">
        <v>125</v>
      </c>
      <c r="H12155" s="21">
        <v>931.67</v>
      </c>
    </row>
    <row r="12156" spans="1:8" customFormat="1" x14ac:dyDescent="0.25">
      <c r="A12156" t="str">
        <f>"587335"</f>
        <v>587335</v>
      </c>
      <c r="B12156" t="s">
        <v>10245</v>
      </c>
      <c r="C12156" t="s">
        <v>209</v>
      </c>
      <c r="D12156" s="21" t="s">
        <v>34</v>
      </c>
      <c r="E12156" s="21" t="s">
        <v>254</v>
      </c>
      <c r="F12156">
        <v>2580017</v>
      </c>
      <c r="G12156" t="s">
        <v>7044</v>
      </c>
      <c r="H12156" s="21">
        <v>931.54</v>
      </c>
    </row>
    <row r="12157" spans="1:8" customFormat="1" x14ac:dyDescent="0.25">
      <c r="A12157" t="str">
        <f>"3817035"</f>
        <v>3817035</v>
      </c>
      <c r="B12157" t="s">
        <v>11504</v>
      </c>
      <c r="C12157" t="s">
        <v>4721</v>
      </c>
      <c r="D12157" s="21" t="s">
        <v>34</v>
      </c>
      <c r="E12157" s="21" t="s">
        <v>71</v>
      </c>
      <c r="F12157">
        <v>1380181</v>
      </c>
      <c r="G12157" t="s">
        <v>11117</v>
      </c>
      <c r="H12157" s="21">
        <v>931.5</v>
      </c>
    </row>
    <row r="12158" spans="1:8" customFormat="1" x14ac:dyDescent="0.25">
      <c r="A12158" t="str">
        <f>"73226"</f>
        <v>73226</v>
      </c>
      <c r="B12158" t="s">
        <v>9532</v>
      </c>
      <c r="C12158" t="s">
        <v>598</v>
      </c>
      <c r="D12158" s="21" t="s">
        <v>34</v>
      </c>
      <c r="E12158" s="21" t="s">
        <v>1089</v>
      </c>
      <c r="F12158">
        <v>1730076</v>
      </c>
      <c r="G12158" t="s">
        <v>936</v>
      </c>
      <c r="H12158" s="21">
        <v>931.17</v>
      </c>
    </row>
    <row r="12159" spans="1:8" customFormat="1" x14ac:dyDescent="0.25">
      <c r="A12159" t="str">
        <f>"6229382"</f>
        <v>6229382</v>
      </c>
      <c r="B12159" t="s">
        <v>11296</v>
      </c>
      <c r="C12159" t="s">
        <v>1146</v>
      </c>
      <c r="D12159" s="21" t="s">
        <v>34</v>
      </c>
      <c r="E12159" s="21" t="s">
        <v>254</v>
      </c>
      <c r="F12159">
        <v>7620110</v>
      </c>
      <c r="G12159" t="s">
        <v>2681</v>
      </c>
      <c r="H12159" s="21">
        <v>931.17</v>
      </c>
    </row>
    <row r="12160" spans="1:8" customFormat="1" x14ac:dyDescent="0.25">
      <c r="A12160" t="str">
        <f>"594575"</f>
        <v>594575</v>
      </c>
      <c r="B12160" t="s">
        <v>10459</v>
      </c>
      <c r="C12160" t="s">
        <v>33</v>
      </c>
      <c r="D12160" s="21" t="s">
        <v>34</v>
      </c>
      <c r="E12160" s="21" t="s">
        <v>71</v>
      </c>
      <c r="F12160">
        <v>7590281</v>
      </c>
      <c r="G12160" t="s">
        <v>7165</v>
      </c>
      <c r="H12160" s="21">
        <v>931.17</v>
      </c>
    </row>
    <row r="12161" spans="1:8" customFormat="1" x14ac:dyDescent="0.25">
      <c r="A12161" t="str">
        <f>"677979"</f>
        <v>677979</v>
      </c>
      <c r="B12161" t="s">
        <v>11699</v>
      </c>
      <c r="C12161" t="s">
        <v>55</v>
      </c>
      <c r="D12161" s="21" t="s">
        <v>34</v>
      </c>
      <c r="E12161" s="21" t="s">
        <v>71</v>
      </c>
      <c r="F12161">
        <v>6670160</v>
      </c>
      <c r="G12161" t="s">
        <v>908</v>
      </c>
      <c r="H12161" s="21">
        <v>931.17</v>
      </c>
    </row>
    <row r="12162" spans="1:8" customFormat="1" x14ac:dyDescent="0.25">
      <c r="A12162" t="str">
        <f>"072247"</f>
        <v>072247</v>
      </c>
      <c r="B12162" t="s">
        <v>5811</v>
      </c>
      <c r="C12162" t="s">
        <v>198</v>
      </c>
      <c r="D12162" s="21" t="s">
        <v>34</v>
      </c>
      <c r="E12162" s="21" t="s">
        <v>71</v>
      </c>
      <c r="F12162">
        <v>1260035</v>
      </c>
      <c r="G12162" t="s">
        <v>9835</v>
      </c>
      <c r="H12162" s="21">
        <v>931.17</v>
      </c>
    </row>
    <row r="12163" spans="1:8" customFormat="1" x14ac:dyDescent="0.25">
      <c r="A12163" t="str">
        <f>"539673"</f>
        <v>539673</v>
      </c>
      <c r="B12163" t="s">
        <v>12452</v>
      </c>
      <c r="C12163" t="s">
        <v>43</v>
      </c>
      <c r="D12163" s="21" t="s">
        <v>34</v>
      </c>
      <c r="E12163" s="21" t="s">
        <v>35</v>
      </c>
      <c r="F12163">
        <v>9500112</v>
      </c>
      <c r="G12163" t="s">
        <v>1668</v>
      </c>
      <c r="H12163" s="21">
        <v>931.17</v>
      </c>
    </row>
    <row r="12164" spans="1:8" customFormat="1" x14ac:dyDescent="0.25">
      <c r="A12164" t="str">
        <f>"275923"</f>
        <v>275923</v>
      </c>
      <c r="B12164" t="s">
        <v>11354</v>
      </c>
      <c r="C12164" t="s">
        <v>462</v>
      </c>
      <c r="D12164" s="21" t="s">
        <v>34</v>
      </c>
      <c r="E12164" s="21" t="s">
        <v>254</v>
      </c>
      <c r="F12164">
        <v>9270148</v>
      </c>
      <c r="G12164" t="s">
        <v>8058</v>
      </c>
      <c r="H12164" s="21">
        <v>931.17</v>
      </c>
    </row>
    <row r="12165" spans="1:8" customFormat="1" x14ac:dyDescent="0.25">
      <c r="A12165" t="str">
        <f>"9D876"</f>
        <v>9D876</v>
      </c>
      <c r="B12165" t="s">
        <v>1533</v>
      </c>
      <c r="C12165" t="s">
        <v>1110</v>
      </c>
      <c r="D12165" s="21" t="s">
        <v>34</v>
      </c>
      <c r="E12165" s="21" t="s">
        <v>254</v>
      </c>
      <c r="F12165" t="s">
        <v>5881</v>
      </c>
      <c r="G12165" t="s">
        <v>5882</v>
      </c>
      <c r="H12165" s="21">
        <v>931.17</v>
      </c>
    </row>
    <row r="12166" spans="1:8" customFormat="1" x14ac:dyDescent="0.25">
      <c r="A12166" t="str">
        <f>"033523"</f>
        <v>033523</v>
      </c>
      <c r="B12166" t="s">
        <v>11467</v>
      </c>
      <c r="C12166" t="s">
        <v>40</v>
      </c>
      <c r="D12166" s="21" t="s">
        <v>34</v>
      </c>
      <c r="E12166" s="21" t="s">
        <v>71</v>
      </c>
      <c r="F12166">
        <v>1150148</v>
      </c>
      <c r="G12166" t="s">
        <v>7485</v>
      </c>
      <c r="H12166" s="21">
        <v>931.17</v>
      </c>
    </row>
    <row r="12167" spans="1:8" customFormat="1" x14ac:dyDescent="0.25">
      <c r="A12167" t="str">
        <f>"4451193"</f>
        <v>4451193</v>
      </c>
      <c r="B12167" t="s">
        <v>11234</v>
      </c>
      <c r="C12167" t="s">
        <v>267</v>
      </c>
      <c r="D12167" s="21" t="s">
        <v>34</v>
      </c>
      <c r="E12167" s="21" t="s">
        <v>1089</v>
      </c>
      <c r="F12167">
        <v>12440049</v>
      </c>
      <c r="G12167" t="s">
        <v>3339</v>
      </c>
      <c r="H12167" s="21">
        <v>931.17</v>
      </c>
    </row>
    <row r="12168" spans="1:8" customFormat="1" x14ac:dyDescent="0.25">
      <c r="A12168" t="str">
        <f>"257662"</f>
        <v>257662</v>
      </c>
      <c r="B12168" t="s">
        <v>6997</v>
      </c>
      <c r="C12168" t="s">
        <v>269</v>
      </c>
      <c r="D12168" s="21" t="s">
        <v>34</v>
      </c>
      <c r="E12168" s="21" t="s">
        <v>71</v>
      </c>
      <c r="F12168">
        <v>2250211</v>
      </c>
      <c r="G12168" t="s">
        <v>9174</v>
      </c>
      <c r="H12168" s="21">
        <v>931.17</v>
      </c>
    </row>
    <row r="12169" spans="1:8" customFormat="1" x14ac:dyDescent="0.25">
      <c r="A12169" t="str">
        <f>"703984"</f>
        <v>703984</v>
      </c>
      <c r="B12169" t="s">
        <v>10086</v>
      </c>
      <c r="C12169" t="s">
        <v>9063</v>
      </c>
      <c r="D12169" s="21" t="s">
        <v>34</v>
      </c>
      <c r="E12169" s="21" t="s">
        <v>1089</v>
      </c>
      <c r="F12169">
        <v>2700089</v>
      </c>
      <c r="G12169" t="s">
        <v>2570</v>
      </c>
      <c r="H12169" s="21">
        <v>931.17</v>
      </c>
    </row>
    <row r="12170" spans="1:8" customFormat="1" x14ac:dyDescent="0.25">
      <c r="A12170" t="str">
        <f>"2517346"</f>
        <v>2517346</v>
      </c>
      <c r="B12170" t="s">
        <v>27234</v>
      </c>
      <c r="C12170" t="s">
        <v>33</v>
      </c>
      <c r="D12170" s="21" t="s">
        <v>34</v>
      </c>
      <c r="E12170" s="21" t="s">
        <v>35</v>
      </c>
      <c r="F12170">
        <v>2250208</v>
      </c>
      <c r="G12170" t="s">
        <v>10923</v>
      </c>
      <c r="H12170" s="21">
        <v>931.04</v>
      </c>
    </row>
    <row r="12171" spans="1:8" customFormat="1" x14ac:dyDescent="0.25">
      <c r="A12171" t="str">
        <f>"261199"</f>
        <v>261199</v>
      </c>
      <c r="B12171" t="s">
        <v>2189</v>
      </c>
      <c r="C12171" t="s">
        <v>547</v>
      </c>
      <c r="D12171" s="21" t="s">
        <v>34</v>
      </c>
      <c r="E12171" s="21" t="s">
        <v>254</v>
      </c>
      <c r="F12171">
        <v>1260065</v>
      </c>
      <c r="G12171" t="s">
        <v>1958</v>
      </c>
      <c r="H12171" s="21">
        <v>931.04</v>
      </c>
    </row>
    <row r="12172" spans="1:8" customFormat="1" x14ac:dyDescent="0.25">
      <c r="A12172" t="str">
        <f>"176199"</f>
        <v>176199</v>
      </c>
      <c r="B12172" t="s">
        <v>12678</v>
      </c>
      <c r="C12172" t="s">
        <v>209</v>
      </c>
      <c r="D12172" s="21" t="s">
        <v>34</v>
      </c>
      <c r="E12172" s="21" t="s">
        <v>71</v>
      </c>
      <c r="F12172">
        <v>10170214</v>
      </c>
      <c r="G12172" t="s">
        <v>5533</v>
      </c>
      <c r="H12172" s="21">
        <v>930.92</v>
      </c>
    </row>
    <row r="12173" spans="1:8" customFormat="1" x14ac:dyDescent="0.25">
      <c r="A12173" t="str">
        <f>"2926338"</f>
        <v>2926338</v>
      </c>
      <c r="B12173" t="s">
        <v>9563</v>
      </c>
      <c r="C12173" t="s">
        <v>275</v>
      </c>
      <c r="D12173" s="21" t="s">
        <v>34</v>
      </c>
      <c r="E12173" s="21" t="s">
        <v>35</v>
      </c>
      <c r="F12173">
        <v>3290214</v>
      </c>
      <c r="G12173" t="s">
        <v>10975</v>
      </c>
      <c r="H12173" s="21">
        <v>930.92</v>
      </c>
    </row>
    <row r="12174" spans="1:8" customFormat="1" x14ac:dyDescent="0.25">
      <c r="A12174" t="str">
        <f>"306264"</f>
        <v>306264</v>
      </c>
      <c r="B12174" t="s">
        <v>11152</v>
      </c>
      <c r="C12174" t="s">
        <v>664</v>
      </c>
      <c r="D12174" s="21" t="s">
        <v>34</v>
      </c>
      <c r="E12174" s="21" t="s">
        <v>254</v>
      </c>
      <c r="F12174">
        <v>11300023</v>
      </c>
      <c r="G12174" t="s">
        <v>2679</v>
      </c>
      <c r="H12174" s="21">
        <v>930.79</v>
      </c>
    </row>
    <row r="12175" spans="1:8" customFormat="1" x14ac:dyDescent="0.25">
      <c r="A12175" t="str">
        <f>"764759"</f>
        <v>764759</v>
      </c>
      <c r="B12175" t="s">
        <v>11558</v>
      </c>
      <c r="C12175" t="s">
        <v>598</v>
      </c>
      <c r="D12175" s="21" t="s">
        <v>34</v>
      </c>
      <c r="E12175" s="21" t="s">
        <v>71</v>
      </c>
      <c r="F12175">
        <v>9760286</v>
      </c>
      <c r="G12175" t="s">
        <v>11559</v>
      </c>
      <c r="H12175" s="21">
        <v>930.67</v>
      </c>
    </row>
    <row r="12176" spans="1:8" customFormat="1" x14ac:dyDescent="0.25">
      <c r="A12176" t="str">
        <f>"2923206"</f>
        <v>2923206</v>
      </c>
      <c r="B12176" t="s">
        <v>27235</v>
      </c>
      <c r="C12176" t="s">
        <v>58</v>
      </c>
      <c r="D12176" s="21" t="s">
        <v>34</v>
      </c>
      <c r="E12176" s="21" t="s">
        <v>35</v>
      </c>
      <c r="F12176">
        <v>3290226</v>
      </c>
      <c r="G12176" t="s">
        <v>4637</v>
      </c>
      <c r="H12176" s="21">
        <v>930.67</v>
      </c>
    </row>
    <row r="12177" spans="1:8" customFormat="1" x14ac:dyDescent="0.25">
      <c r="A12177" t="str">
        <f>"2216203"</f>
        <v>2216203</v>
      </c>
      <c r="B12177" t="s">
        <v>2138</v>
      </c>
      <c r="C12177" t="s">
        <v>249</v>
      </c>
      <c r="D12177" s="21" t="s">
        <v>34</v>
      </c>
      <c r="E12177" s="21" t="s">
        <v>35</v>
      </c>
      <c r="F12177">
        <v>3220013</v>
      </c>
      <c r="G12177" t="s">
        <v>27198</v>
      </c>
      <c r="H12177" s="21">
        <v>930.67</v>
      </c>
    </row>
    <row r="12178" spans="1:8" customFormat="1" x14ac:dyDescent="0.25">
      <c r="A12178" t="str">
        <f>"012530"</f>
        <v>012530</v>
      </c>
      <c r="B12178" t="s">
        <v>1533</v>
      </c>
      <c r="C12178" t="s">
        <v>114</v>
      </c>
      <c r="D12178" s="21" t="s">
        <v>34</v>
      </c>
      <c r="E12178" s="21" t="s">
        <v>71</v>
      </c>
      <c r="F12178">
        <v>1010069</v>
      </c>
      <c r="G12178" t="s">
        <v>1707</v>
      </c>
      <c r="H12178" s="21">
        <v>930.67</v>
      </c>
    </row>
    <row r="12179" spans="1:8" customFormat="1" x14ac:dyDescent="0.25">
      <c r="A12179" t="str">
        <f>"5981677"</f>
        <v>5981677</v>
      </c>
      <c r="B12179" t="s">
        <v>12531</v>
      </c>
      <c r="C12179" t="s">
        <v>139</v>
      </c>
      <c r="D12179" s="21" t="s">
        <v>34</v>
      </c>
      <c r="E12179" s="21" t="s">
        <v>35</v>
      </c>
      <c r="F12179">
        <v>7590271</v>
      </c>
      <c r="G12179" t="s">
        <v>3163</v>
      </c>
      <c r="H12179" s="21">
        <v>930.67</v>
      </c>
    </row>
    <row r="12180" spans="1:8" customFormat="1" x14ac:dyDescent="0.25">
      <c r="A12180" t="str">
        <f>"4924778"</f>
        <v>4924778</v>
      </c>
      <c r="B12180" t="s">
        <v>10687</v>
      </c>
      <c r="C12180" t="s">
        <v>209</v>
      </c>
      <c r="D12180" s="21" t="s">
        <v>34</v>
      </c>
      <c r="E12180" s="21" t="s">
        <v>71</v>
      </c>
      <c r="F12180">
        <v>12490088</v>
      </c>
      <c r="G12180" t="s">
        <v>10688</v>
      </c>
      <c r="H12180" s="21">
        <v>930.67</v>
      </c>
    </row>
    <row r="12181" spans="1:8" customFormat="1" x14ac:dyDescent="0.25">
      <c r="A12181" t="str">
        <f>"179844"</f>
        <v>179844</v>
      </c>
      <c r="B12181" t="s">
        <v>10583</v>
      </c>
      <c r="C12181" t="s">
        <v>209</v>
      </c>
      <c r="D12181" s="21" t="s">
        <v>34</v>
      </c>
      <c r="E12181" s="21" t="s">
        <v>71</v>
      </c>
      <c r="F12181">
        <v>10170051</v>
      </c>
      <c r="G12181" t="s">
        <v>826</v>
      </c>
      <c r="H12181" s="21">
        <v>930.67</v>
      </c>
    </row>
    <row r="12182" spans="1:8" customFormat="1" x14ac:dyDescent="0.25">
      <c r="A12182" t="str">
        <f>"49457"</f>
        <v>49457</v>
      </c>
      <c r="B12182" t="s">
        <v>6472</v>
      </c>
      <c r="C12182" t="s">
        <v>236</v>
      </c>
      <c r="D12182" s="21" t="s">
        <v>34</v>
      </c>
      <c r="E12182" s="21" t="s">
        <v>1089</v>
      </c>
      <c r="F12182">
        <v>12490132</v>
      </c>
      <c r="G12182" t="s">
        <v>1125</v>
      </c>
      <c r="H12182" s="21">
        <v>930.67</v>
      </c>
    </row>
    <row r="12183" spans="1:8" customFormat="1" x14ac:dyDescent="0.25">
      <c r="A12183" t="str">
        <f>"8812748"</f>
        <v>8812748</v>
      </c>
      <c r="B12183" t="s">
        <v>9802</v>
      </c>
      <c r="C12183" t="s">
        <v>55</v>
      </c>
      <c r="D12183" s="21" t="s">
        <v>34</v>
      </c>
      <c r="E12183" s="21" t="s">
        <v>71</v>
      </c>
      <c r="F12183">
        <v>6880113</v>
      </c>
      <c r="G12183" t="s">
        <v>11089</v>
      </c>
      <c r="H12183" s="21">
        <v>930.67</v>
      </c>
    </row>
    <row r="12184" spans="1:8" customFormat="1" x14ac:dyDescent="0.25">
      <c r="A12184" t="str">
        <f>"394602"</f>
        <v>394602</v>
      </c>
      <c r="B12184" t="s">
        <v>2505</v>
      </c>
      <c r="C12184" t="s">
        <v>267</v>
      </c>
      <c r="D12184" s="21" t="s">
        <v>34</v>
      </c>
      <c r="E12184" s="21" t="s">
        <v>254</v>
      </c>
      <c r="F12184">
        <v>2250070</v>
      </c>
      <c r="G12184" t="s">
        <v>3923</v>
      </c>
      <c r="H12184" s="21">
        <v>930.54</v>
      </c>
    </row>
    <row r="12185" spans="1:8" customFormat="1" x14ac:dyDescent="0.25">
      <c r="A12185" t="str">
        <f>"809248"</f>
        <v>809248</v>
      </c>
      <c r="B12185" t="s">
        <v>11890</v>
      </c>
      <c r="C12185" t="s">
        <v>33</v>
      </c>
      <c r="D12185" s="21" t="s">
        <v>34</v>
      </c>
      <c r="E12185" s="21" t="s">
        <v>35</v>
      </c>
      <c r="F12185">
        <v>7800061</v>
      </c>
      <c r="G12185" t="s">
        <v>1330</v>
      </c>
      <c r="H12185" s="21">
        <v>930.54</v>
      </c>
    </row>
    <row r="12186" spans="1:8" customFormat="1" x14ac:dyDescent="0.25">
      <c r="A12186" t="str">
        <f>"7712288"</f>
        <v>7712288</v>
      </c>
      <c r="B12186" t="s">
        <v>9609</v>
      </c>
      <c r="C12186" t="s">
        <v>2305</v>
      </c>
      <c r="D12186" s="21" t="s">
        <v>34</v>
      </c>
      <c r="E12186" s="21" t="s">
        <v>71</v>
      </c>
      <c r="F12186">
        <v>8770865</v>
      </c>
      <c r="G12186" t="s">
        <v>1426</v>
      </c>
      <c r="H12186" s="21">
        <v>930.54</v>
      </c>
    </row>
    <row r="12187" spans="1:8" customFormat="1" x14ac:dyDescent="0.25">
      <c r="A12187" t="str">
        <f>"7716629"</f>
        <v>7716629</v>
      </c>
      <c r="B12187" t="s">
        <v>14380</v>
      </c>
      <c r="C12187" t="s">
        <v>14381</v>
      </c>
      <c r="D12187" s="21" t="s">
        <v>34</v>
      </c>
      <c r="E12187" s="21" t="s">
        <v>35</v>
      </c>
      <c r="F12187">
        <v>8770937</v>
      </c>
      <c r="G12187" t="s">
        <v>2119</v>
      </c>
      <c r="H12187" s="21">
        <v>930.54</v>
      </c>
    </row>
    <row r="12188" spans="1:8" customFormat="1" x14ac:dyDescent="0.25">
      <c r="A12188" t="str">
        <f>"4431618"</f>
        <v>4431618</v>
      </c>
      <c r="B12188" t="s">
        <v>2645</v>
      </c>
      <c r="C12188" t="s">
        <v>65</v>
      </c>
      <c r="D12188" s="21" t="s">
        <v>34</v>
      </c>
      <c r="E12188" s="21" t="s">
        <v>35</v>
      </c>
      <c r="F12188">
        <v>12440262</v>
      </c>
      <c r="G12188" t="s">
        <v>4590</v>
      </c>
      <c r="H12188" s="21">
        <v>930.42</v>
      </c>
    </row>
    <row r="12189" spans="1:8" customFormat="1" x14ac:dyDescent="0.25">
      <c r="A12189" t="str">
        <f>"9137624"</f>
        <v>9137624</v>
      </c>
      <c r="B12189" t="s">
        <v>11449</v>
      </c>
      <c r="C12189" t="s">
        <v>139</v>
      </c>
      <c r="D12189" s="21" t="s">
        <v>34</v>
      </c>
      <c r="E12189" s="21" t="s">
        <v>71</v>
      </c>
      <c r="F12189">
        <v>8910442</v>
      </c>
      <c r="G12189" t="s">
        <v>1336</v>
      </c>
      <c r="H12189" s="21">
        <v>930.42</v>
      </c>
    </row>
    <row r="12190" spans="1:8" customFormat="1" x14ac:dyDescent="0.25">
      <c r="A12190" t="str">
        <f>"042145"</f>
        <v>042145</v>
      </c>
      <c r="B12190" t="s">
        <v>10937</v>
      </c>
      <c r="C12190" t="s">
        <v>87</v>
      </c>
      <c r="D12190" s="21" t="s">
        <v>34</v>
      </c>
      <c r="E12190" s="21" t="s">
        <v>71</v>
      </c>
      <c r="F12190">
        <v>13040024</v>
      </c>
      <c r="G12190" t="s">
        <v>5900</v>
      </c>
      <c r="H12190" s="21">
        <v>930.29</v>
      </c>
    </row>
    <row r="12191" spans="1:8" customFormat="1" x14ac:dyDescent="0.25">
      <c r="A12191" t="str">
        <f>"755931"</f>
        <v>755931</v>
      </c>
      <c r="B12191" t="s">
        <v>10591</v>
      </c>
      <c r="C12191" t="s">
        <v>202</v>
      </c>
      <c r="D12191" s="21" t="s">
        <v>34</v>
      </c>
      <c r="E12191" s="21" t="s">
        <v>71</v>
      </c>
      <c r="F12191">
        <v>8750209</v>
      </c>
      <c r="G12191" t="s">
        <v>5541</v>
      </c>
      <c r="H12191" s="21">
        <v>930.29</v>
      </c>
    </row>
    <row r="12192" spans="1:8" customFormat="1" x14ac:dyDescent="0.25">
      <c r="A12192" t="str">
        <f>"176008"</f>
        <v>176008</v>
      </c>
      <c r="B12192" t="s">
        <v>11961</v>
      </c>
      <c r="C12192" t="s">
        <v>187</v>
      </c>
      <c r="D12192" s="21" t="s">
        <v>34</v>
      </c>
      <c r="E12192" s="21" t="s">
        <v>71</v>
      </c>
      <c r="F12192">
        <v>10170005</v>
      </c>
      <c r="G12192" t="s">
        <v>4290</v>
      </c>
      <c r="H12192" s="21">
        <v>930.17</v>
      </c>
    </row>
    <row r="12193" spans="1:8" customFormat="1" x14ac:dyDescent="0.25">
      <c r="A12193" t="str">
        <f>"7624839"</f>
        <v>7624839</v>
      </c>
      <c r="B12193" t="s">
        <v>12379</v>
      </c>
      <c r="C12193" t="s">
        <v>269</v>
      </c>
      <c r="D12193" s="21" t="s">
        <v>34</v>
      </c>
      <c r="E12193" s="21" t="s">
        <v>71</v>
      </c>
      <c r="F12193">
        <v>9760428</v>
      </c>
      <c r="G12193" t="s">
        <v>5081</v>
      </c>
      <c r="H12193" s="21">
        <v>930.17</v>
      </c>
    </row>
    <row r="12194" spans="1:8" customFormat="1" x14ac:dyDescent="0.25">
      <c r="A12194" t="str">
        <f>"5310799"</f>
        <v>5310799</v>
      </c>
      <c r="B12194" t="s">
        <v>5463</v>
      </c>
      <c r="C12194" t="s">
        <v>486</v>
      </c>
      <c r="D12194" s="21" t="s">
        <v>34</v>
      </c>
      <c r="E12194" s="21" t="s">
        <v>35</v>
      </c>
      <c r="F12194">
        <v>12530005</v>
      </c>
      <c r="G12194" t="s">
        <v>6076</v>
      </c>
      <c r="H12194" s="21">
        <v>930.17</v>
      </c>
    </row>
    <row r="12195" spans="1:8" customFormat="1" x14ac:dyDescent="0.25">
      <c r="A12195" t="str">
        <f>"678026"</f>
        <v>678026</v>
      </c>
      <c r="B12195" t="s">
        <v>11061</v>
      </c>
      <c r="C12195" t="s">
        <v>11062</v>
      </c>
      <c r="D12195" s="21" t="s">
        <v>34</v>
      </c>
      <c r="E12195" s="21" t="s">
        <v>71</v>
      </c>
      <c r="F12195">
        <v>6670212</v>
      </c>
      <c r="G12195" t="s">
        <v>2769</v>
      </c>
      <c r="H12195" s="21">
        <v>930.17</v>
      </c>
    </row>
    <row r="12196" spans="1:8" customFormat="1" x14ac:dyDescent="0.25">
      <c r="A12196" t="str">
        <f>"91641"</f>
        <v>91641</v>
      </c>
      <c r="B12196" t="s">
        <v>4298</v>
      </c>
      <c r="C12196" t="s">
        <v>40</v>
      </c>
      <c r="D12196" s="21" t="s">
        <v>34</v>
      </c>
      <c r="E12196" s="21" t="s">
        <v>71</v>
      </c>
      <c r="F12196">
        <v>8910359</v>
      </c>
      <c r="G12196" t="s">
        <v>1204</v>
      </c>
      <c r="H12196" s="21">
        <v>930.17</v>
      </c>
    </row>
    <row r="12197" spans="1:8" customFormat="1" x14ac:dyDescent="0.25">
      <c r="A12197" t="str">
        <f>"625104"</f>
        <v>625104</v>
      </c>
      <c r="B12197" t="s">
        <v>27236</v>
      </c>
      <c r="C12197" t="s">
        <v>631</v>
      </c>
      <c r="D12197" s="21" t="s">
        <v>34</v>
      </c>
      <c r="E12197" s="21" t="s">
        <v>35</v>
      </c>
      <c r="F12197">
        <v>7620064</v>
      </c>
      <c r="G12197" t="s">
        <v>2266</v>
      </c>
      <c r="H12197" s="21">
        <v>930.17</v>
      </c>
    </row>
    <row r="12198" spans="1:8" customFormat="1" x14ac:dyDescent="0.25">
      <c r="A12198" t="str">
        <f>"7521866"</f>
        <v>7521866</v>
      </c>
      <c r="B12198" t="s">
        <v>12816</v>
      </c>
      <c r="C12198" t="s">
        <v>879</v>
      </c>
      <c r="D12198" s="21" t="s">
        <v>34</v>
      </c>
      <c r="E12198" s="21" t="s">
        <v>35</v>
      </c>
      <c r="F12198">
        <v>8750120</v>
      </c>
      <c r="G12198" t="s">
        <v>838</v>
      </c>
      <c r="H12198" s="21">
        <v>930.17</v>
      </c>
    </row>
    <row r="12199" spans="1:8" customFormat="1" x14ac:dyDescent="0.25">
      <c r="A12199" t="str">
        <f>"594410"</f>
        <v>594410</v>
      </c>
      <c r="B12199" t="s">
        <v>7634</v>
      </c>
      <c r="C12199" t="s">
        <v>239</v>
      </c>
      <c r="D12199" s="21" t="s">
        <v>34</v>
      </c>
      <c r="E12199" s="21" t="s">
        <v>254</v>
      </c>
      <c r="F12199">
        <v>7590113</v>
      </c>
      <c r="G12199" t="s">
        <v>7808</v>
      </c>
      <c r="H12199" s="21">
        <v>930.17</v>
      </c>
    </row>
    <row r="12200" spans="1:8" customFormat="1" x14ac:dyDescent="0.25">
      <c r="A12200" t="str">
        <f>"592031"</f>
        <v>592031</v>
      </c>
      <c r="B12200" t="s">
        <v>10594</v>
      </c>
      <c r="C12200" t="s">
        <v>249</v>
      </c>
      <c r="D12200" s="21" t="s">
        <v>34</v>
      </c>
      <c r="E12200" s="21" t="s">
        <v>71</v>
      </c>
      <c r="F12200">
        <v>7590351</v>
      </c>
      <c r="G12200" t="s">
        <v>8495</v>
      </c>
      <c r="H12200" s="21">
        <v>930.17</v>
      </c>
    </row>
    <row r="12201" spans="1:8" customFormat="1" x14ac:dyDescent="0.25">
      <c r="A12201" t="str">
        <f>"46593"</f>
        <v>46593</v>
      </c>
      <c r="B12201" t="s">
        <v>9677</v>
      </c>
      <c r="C12201" t="s">
        <v>239</v>
      </c>
      <c r="D12201" s="21" t="s">
        <v>34</v>
      </c>
      <c r="E12201" s="21" t="s">
        <v>71</v>
      </c>
      <c r="F12201">
        <v>11810028</v>
      </c>
      <c r="G12201" t="s">
        <v>5817</v>
      </c>
      <c r="H12201" s="21">
        <v>930.04</v>
      </c>
    </row>
    <row r="12202" spans="1:8" customFormat="1" x14ac:dyDescent="0.25">
      <c r="A12202" t="str">
        <f>"419721"</f>
        <v>419721</v>
      </c>
      <c r="B12202" t="s">
        <v>1749</v>
      </c>
      <c r="C12202" t="s">
        <v>169</v>
      </c>
      <c r="D12202" s="21" t="s">
        <v>34</v>
      </c>
      <c r="E12202" s="21" t="s">
        <v>71</v>
      </c>
      <c r="F12202">
        <v>4450706</v>
      </c>
      <c r="G12202" t="s">
        <v>4482</v>
      </c>
      <c r="H12202" s="21">
        <v>929.92</v>
      </c>
    </row>
    <row r="12203" spans="1:8" customFormat="1" x14ac:dyDescent="0.25">
      <c r="A12203" t="str">
        <f>"7713899"</f>
        <v>7713899</v>
      </c>
      <c r="B12203" t="s">
        <v>6387</v>
      </c>
      <c r="C12203" t="s">
        <v>712</v>
      </c>
      <c r="D12203" s="21" t="s">
        <v>34</v>
      </c>
      <c r="E12203" s="21" t="s">
        <v>35</v>
      </c>
      <c r="F12203">
        <v>12440227</v>
      </c>
      <c r="G12203" t="s">
        <v>19150</v>
      </c>
      <c r="H12203" s="21">
        <v>929.92</v>
      </c>
    </row>
    <row r="12204" spans="1:8" customFormat="1" x14ac:dyDescent="0.25">
      <c r="A12204" t="str">
        <f>"5317398"</f>
        <v>5317398</v>
      </c>
      <c r="B12204" t="s">
        <v>4061</v>
      </c>
      <c r="C12204" t="s">
        <v>58</v>
      </c>
      <c r="D12204" s="21" t="s">
        <v>34</v>
      </c>
      <c r="E12204" s="21" t="s">
        <v>35</v>
      </c>
      <c r="F12204">
        <v>12530084</v>
      </c>
      <c r="G12204" t="s">
        <v>5766</v>
      </c>
      <c r="H12204" s="21">
        <v>929.92</v>
      </c>
    </row>
    <row r="12205" spans="1:8" customFormat="1" x14ac:dyDescent="0.25">
      <c r="A12205" t="str">
        <f>"9130386"</f>
        <v>9130386</v>
      </c>
      <c r="B12205" t="s">
        <v>11602</v>
      </c>
      <c r="C12205" t="s">
        <v>462</v>
      </c>
      <c r="D12205" s="21" t="s">
        <v>34</v>
      </c>
      <c r="E12205" s="21" t="s">
        <v>254</v>
      </c>
      <c r="F12205">
        <v>3290221</v>
      </c>
      <c r="G12205" t="s">
        <v>3544</v>
      </c>
      <c r="H12205" s="21">
        <v>929.92</v>
      </c>
    </row>
    <row r="12206" spans="1:8" customFormat="1" x14ac:dyDescent="0.25">
      <c r="A12206" t="str">
        <f>"09732"</f>
        <v>09732</v>
      </c>
      <c r="B12206" t="s">
        <v>2403</v>
      </c>
      <c r="C12206" t="s">
        <v>253</v>
      </c>
      <c r="D12206" s="21" t="s">
        <v>34</v>
      </c>
      <c r="E12206" s="21" t="s">
        <v>35</v>
      </c>
      <c r="F12206">
        <v>11090001</v>
      </c>
      <c r="G12206" t="s">
        <v>4829</v>
      </c>
      <c r="H12206" s="21">
        <v>929.79</v>
      </c>
    </row>
    <row r="12207" spans="1:8" customFormat="1" x14ac:dyDescent="0.25">
      <c r="A12207" t="str">
        <f>"9245902"</f>
        <v>9245902</v>
      </c>
      <c r="B12207" t="s">
        <v>13274</v>
      </c>
      <c r="C12207" t="s">
        <v>2529</v>
      </c>
      <c r="D12207" s="21" t="s">
        <v>34</v>
      </c>
      <c r="E12207" s="21" t="s">
        <v>71</v>
      </c>
      <c r="F12207">
        <v>8921190</v>
      </c>
      <c r="G12207" t="s">
        <v>810</v>
      </c>
      <c r="H12207" s="21">
        <v>929.79</v>
      </c>
    </row>
    <row r="12208" spans="1:8" customFormat="1" x14ac:dyDescent="0.25">
      <c r="A12208" t="str">
        <f>"6230"</f>
        <v>6230</v>
      </c>
      <c r="B12208" t="s">
        <v>1198</v>
      </c>
      <c r="C12208" t="s">
        <v>1665</v>
      </c>
      <c r="D12208" s="21" t="s">
        <v>34</v>
      </c>
      <c r="E12208" s="21" t="s">
        <v>1089</v>
      </c>
      <c r="F12208">
        <v>7620027</v>
      </c>
      <c r="G12208" t="s">
        <v>980</v>
      </c>
      <c r="H12208" s="21">
        <v>929.67</v>
      </c>
    </row>
    <row r="12209" spans="1:8" customFormat="1" x14ac:dyDescent="0.25">
      <c r="A12209" t="str">
        <f>"512967"</f>
        <v>512967</v>
      </c>
      <c r="B12209" t="s">
        <v>11979</v>
      </c>
      <c r="C12209" t="s">
        <v>825</v>
      </c>
      <c r="D12209" s="21" t="s">
        <v>34</v>
      </c>
      <c r="E12209" s="21" t="s">
        <v>254</v>
      </c>
      <c r="F12209">
        <v>7021010</v>
      </c>
      <c r="G12209" t="s">
        <v>10493</v>
      </c>
      <c r="H12209" s="21">
        <v>929.67</v>
      </c>
    </row>
    <row r="12210" spans="1:8" customFormat="1" x14ac:dyDescent="0.25">
      <c r="A12210" t="str">
        <f>"8311764"</f>
        <v>8311764</v>
      </c>
      <c r="B12210" t="s">
        <v>16213</v>
      </c>
      <c r="C12210" t="s">
        <v>33</v>
      </c>
      <c r="D12210" s="21" t="s">
        <v>34</v>
      </c>
      <c r="E12210" s="21" t="s">
        <v>35</v>
      </c>
      <c r="F12210">
        <v>13830083</v>
      </c>
      <c r="G12210" t="s">
        <v>2159</v>
      </c>
      <c r="H12210" s="21">
        <v>929.67</v>
      </c>
    </row>
    <row r="12211" spans="1:8" customFormat="1" x14ac:dyDescent="0.25">
      <c r="A12211" t="str">
        <f>"393274"</f>
        <v>393274</v>
      </c>
      <c r="B12211" t="s">
        <v>10379</v>
      </c>
      <c r="C12211" t="s">
        <v>263</v>
      </c>
      <c r="D12211" s="21" t="s">
        <v>34</v>
      </c>
      <c r="E12211" s="21" t="s">
        <v>71</v>
      </c>
      <c r="F12211">
        <v>2390027</v>
      </c>
      <c r="G12211" t="s">
        <v>3605</v>
      </c>
      <c r="H12211" s="21">
        <v>929.67</v>
      </c>
    </row>
    <row r="12212" spans="1:8" customFormat="1" x14ac:dyDescent="0.25">
      <c r="A12212" t="str">
        <f>"503724"</f>
        <v>503724</v>
      </c>
      <c r="B12212" t="s">
        <v>650</v>
      </c>
      <c r="C12212" t="s">
        <v>198</v>
      </c>
      <c r="D12212" s="21" t="s">
        <v>34</v>
      </c>
      <c r="E12212" s="21" t="s">
        <v>254</v>
      </c>
      <c r="F12212">
        <v>9500160</v>
      </c>
      <c r="G12212" t="s">
        <v>11418</v>
      </c>
      <c r="H12212" s="21">
        <v>929.67</v>
      </c>
    </row>
    <row r="12213" spans="1:8" customFormat="1" x14ac:dyDescent="0.25">
      <c r="A12213" t="str">
        <f>"1316238"</f>
        <v>1316238</v>
      </c>
      <c r="B12213" t="s">
        <v>3759</v>
      </c>
      <c r="C12213" t="s">
        <v>109</v>
      </c>
      <c r="D12213" s="21" t="s">
        <v>34</v>
      </c>
      <c r="E12213" s="21" t="s">
        <v>35</v>
      </c>
      <c r="F12213">
        <v>13130067</v>
      </c>
      <c r="G12213" t="s">
        <v>1420</v>
      </c>
      <c r="H12213" s="21">
        <v>929.67</v>
      </c>
    </row>
    <row r="12214" spans="1:8" customFormat="1" x14ac:dyDescent="0.25">
      <c r="A12214" t="str">
        <f>"775881"</f>
        <v>775881</v>
      </c>
      <c r="B12214" t="s">
        <v>10864</v>
      </c>
      <c r="C12214" t="s">
        <v>547</v>
      </c>
      <c r="D12214" s="21" t="s">
        <v>34</v>
      </c>
      <c r="E12214" s="21" t="s">
        <v>254</v>
      </c>
      <c r="F12214">
        <v>8770562</v>
      </c>
      <c r="G12214" t="s">
        <v>4847</v>
      </c>
      <c r="H12214" s="21">
        <v>929.67</v>
      </c>
    </row>
    <row r="12215" spans="1:8" customFormat="1" x14ac:dyDescent="0.25">
      <c r="A12215" t="str">
        <f>"5725112"</f>
        <v>5725112</v>
      </c>
      <c r="B12215" t="s">
        <v>12271</v>
      </c>
      <c r="C12215" t="s">
        <v>926</v>
      </c>
      <c r="D12215" s="21" t="s">
        <v>34</v>
      </c>
      <c r="E12215" s="21" t="s">
        <v>35</v>
      </c>
      <c r="F12215">
        <v>6540088</v>
      </c>
      <c r="G12215" t="s">
        <v>2108</v>
      </c>
      <c r="H12215" s="21">
        <v>929.67</v>
      </c>
    </row>
    <row r="12216" spans="1:8" customFormat="1" x14ac:dyDescent="0.25">
      <c r="A12216" t="str">
        <f>"4447657"</f>
        <v>4447657</v>
      </c>
      <c r="B12216" t="s">
        <v>1759</v>
      </c>
      <c r="C12216" t="s">
        <v>926</v>
      </c>
      <c r="D12216" s="21" t="s">
        <v>34</v>
      </c>
      <c r="E12216" s="21" t="s">
        <v>71</v>
      </c>
      <c r="F12216">
        <v>12440197</v>
      </c>
      <c r="G12216" t="s">
        <v>1101</v>
      </c>
      <c r="H12216" s="21">
        <v>929.67</v>
      </c>
    </row>
    <row r="12217" spans="1:8" customFormat="1" x14ac:dyDescent="0.25">
      <c r="A12217" t="str">
        <f>"9C687"</f>
        <v>9C687</v>
      </c>
      <c r="B12217" t="s">
        <v>11420</v>
      </c>
      <c r="C12217" t="s">
        <v>328</v>
      </c>
      <c r="D12217" s="21" t="s">
        <v>34</v>
      </c>
      <c r="E12217" s="21" t="s">
        <v>35</v>
      </c>
      <c r="F12217" t="s">
        <v>2871</v>
      </c>
      <c r="G12217" t="s">
        <v>2872</v>
      </c>
      <c r="H12217" s="21">
        <v>929.67</v>
      </c>
    </row>
    <row r="12218" spans="1:8" customFormat="1" x14ac:dyDescent="0.25">
      <c r="A12218" t="str">
        <f>"957060"</f>
        <v>957060</v>
      </c>
      <c r="B12218" t="s">
        <v>10987</v>
      </c>
      <c r="C12218" t="s">
        <v>269</v>
      </c>
      <c r="D12218" s="21" t="s">
        <v>34</v>
      </c>
      <c r="E12218" s="21" t="s">
        <v>71</v>
      </c>
      <c r="F12218">
        <v>8951092</v>
      </c>
      <c r="G12218" t="s">
        <v>5801</v>
      </c>
      <c r="H12218" s="21">
        <v>929.67</v>
      </c>
    </row>
    <row r="12219" spans="1:8" customFormat="1" x14ac:dyDescent="0.25">
      <c r="A12219" t="str">
        <f>"186399"</f>
        <v>186399</v>
      </c>
      <c r="B12219" t="s">
        <v>10920</v>
      </c>
      <c r="C12219" t="s">
        <v>598</v>
      </c>
      <c r="D12219" s="21" t="s">
        <v>34</v>
      </c>
      <c r="E12219" s="21" t="s">
        <v>254</v>
      </c>
      <c r="F12219">
        <v>4180716</v>
      </c>
      <c r="G12219" t="s">
        <v>7669</v>
      </c>
      <c r="H12219" s="21">
        <v>929.67</v>
      </c>
    </row>
    <row r="12220" spans="1:8" customFormat="1" x14ac:dyDescent="0.25">
      <c r="A12220" t="str">
        <f>"5945834"</f>
        <v>5945834</v>
      </c>
      <c r="B12220" t="s">
        <v>12105</v>
      </c>
      <c r="C12220" t="s">
        <v>239</v>
      </c>
      <c r="D12220" s="21" t="s">
        <v>34</v>
      </c>
      <c r="E12220" s="21" t="s">
        <v>35</v>
      </c>
      <c r="F12220">
        <v>7590173</v>
      </c>
      <c r="G12220" t="s">
        <v>5675</v>
      </c>
      <c r="H12220" s="21">
        <v>929.67</v>
      </c>
    </row>
    <row r="12221" spans="1:8" customFormat="1" x14ac:dyDescent="0.25">
      <c r="A12221" t="str">
        <f>"5323367"</f>
        <v>5323367</v>
      </c>
      <c r="B12221" t="s">
        <v>3664</v>
      </c>
      <c r="C12221" t="s">
        <v>33</v>
      </c>
      <c r="D12221" s="21" t="s">
        <v>34</v>
      </c>
      <c r="E12221" s="21" t="s">
        <v>71</v>
      </c>
      <c r="F12221">
        <v>12530064</v>
      </c>
      <c r="G12221" t="s">
        <v>3699</v>
      </c>
      <c r="H12221" s="21">
        <v>929.55</v>
      </c>
    </row>
    <row r="12222" spans="1:8" customFormat="1" x14ac:dyDescent="0.25">
      <c r="A12222" t="str">
        <f>"7716929"</f>
        <v>7716929</v>
      </c>
      <c r="B12222" t="s">
        <v>10684</v>
      </c>
      <c r="C12222" t="s">
        <v>7596</v>
      </c>
      <c r="D12222" s="21" t="s">
        <v>34</v>
      </c>
      <c r="E12222" s="21" t="s">
        <v>71</v>
      </c>
      <c r="F12222">
        <v>8771519</v>
      </c>
      <c r="G12222" t="s">
        <v>10685</v>
      </c>
      <c r="H12222" s="21">
        <v>929.54</v>
      </c>
    </row>
    <row r="12223" spans="1:8" customFormat="1" x14ac:dyDescent="0.25">
      <c r="A12223" t="str">
        <f>"256918"</f>
        <v>256918</v>
      </c>
      <c r="B12223" t="s">
        <v>6317</v>
      </c>
      <c r="C12223" t="s">
        <v>33</v>
      </c>
      <c r="D12223" s="21" t="s">
        <v>34</v>
      </c>
      <c r="E12223" s="21" t="s">
        <v>71</v>
      </c>
      <c r="F12223">
        <v>2250197</v>
      </c>
      <c r="G12223" t="s">
        <v>12054</v>
      </c>
      <c r="H12223" s="21">
        <v>929.54</v>
      </c>
    </row>
    <row r="12224" spans="1:8" customFormat="1" x14ac:dyDescent="0.25">
      <c r="A12224" t="str">
        <f>"778729"</f>
        <v>778729</v>
      </c>
      <c r="B12224" t="s">
        <v>9412</v>
      </c>
      <c r="C12224" t="s">
        <v>10617</v>
      </c>
      <c r="D12224" s="21" t="s">
        <v>34</v>
      </c>
      <c r="E12224" s="21" t="s">
        <v>71</v>
      </c>
      <c r="F12224">
        <v>8770937</v>
      </c>
      <c r="G12224" t="s">
        <v>2119</v>
      </c>
      <c r="H12224" s="21">
        <v>929.42</v>
      </c>
    </row>
    <row r="12225" spans="1:8" customFormat="1" x14ac:dyDescent="0.25">
      <c r="A12225" t="str">
        <f>"7520550"</f>
        <v>7520550</v>
      </c>
      <c r="B12225" t="s">
        <v>15426</v>
      </c>
      <c r="C12225" t="s">
        <v>149</v>
      </c>
      <c r="D12225" s="21" t="s">
        <v>34</v>
      </c>
      <c r="E12225" s="21" t="s">
        <v>35</v>
      </c>
      <c r="F12225">
        <v>8750117</v>
      </c>
      <c r="G12225" t="s">
        <v>3516</v>
      </c>
      <c r="H12225" s="21">
        <v>929.29</v>
      </c>
    </row>
    <row r="12226" spans="1:8" customFormat="1" x14ac:dyDescent="0.25">
      <c r="A12226" t="str">
        <f>"8614442"</f>
        <v>8614442</v>
      </c>
      <c r="B12226" t="s">
        <v>2050</v>
      </c>
      <c r="C12226" t="s">
        <v>33</v>
      </c>
      <c r="D12226" s="21" t="s">
        <v>34</v>
      </c>
      <c r="E12226" s="21" t="s">
        <v>35</v>
      </c>
      <c r="F12226">
        <v>10860187</v>
      </c>
      <c r="G12226" t="s">
        <v>9991</v>
      </c>
      <c r="H12226" s="21">
        <v>929.17</v>
      </c>
    </row>
    <row r="12227" spans="1:8" customFormat="1" x14ac:dyDescent="0.25">
      <c r="A12227" t="str">
        <f>"5964150"</f>
        <v>5964150</v>
      </c>
      <c r="B12227" t="s">
        <v>11763</v>
      </c>
      <c r="C12227" t="s">
        <v>11764</v>
      </c>
      <c r="D12227" s="21" t="s">
        <v>34</v>
      </c>
      <c r="E12227" s="21" t="s">
        <v>35</v>
      </c>
      <c r="F12227">
        <v>7590127</v>
      </c>
      <c r="G12227" t="s">
        <v>214</v>
      </c>
      <c r="H12227" s="21">
        <v>929.17</v>
      </c>
    </row>
    <row r="12228" spans="1:8" customFormat="1" x14ac:dyDescent="0.25">
      <c r="A12228" t="str">
        <f>"7211822"</f>
        <v>7211822</v>
      </c>
      <c r="B12228" t="s">
        <v>11671</v>
      </c>
      <c r="C12228" t="s">
        <v>656</v>
      </c>
      <c r="D12228" s="21" t="s">
        <v>34</v>
      </c>
      <c r="E12228" s="21" t="s">
        <v>35</v>
      </c>
      <c r="F12228">
        <v>4370724</v>
      </c>
      <c r="G12228" t="s">
        <v>11672</v>
      </c>
      <c r="H12228" s="21">
        <v>929.17</v>
      </c>
    </row>
    <row r="12229" spans="1:8" customFormat="1" x14ac:dyDescent="0.25">
      <c r="A12229" t="str">
        <f>"7914308"</f>
        <v>7914308</v>
      </c>
      <c r="B12229" t="s">
        <v>12723</v>
      </c>
      <c r="C12229" t="s">
        <v>236</v>
      </c>
      <c r="D12229" s="21" t="s">
        <v>34</v>
      </c>
      <c r="E12229" s="21" t="s">
        <v>71</v>
      </c>
      <c r="F12229">
        <v>10790234</v>
      </c>
      <c r="G12229" t="s">
        <v>13166</v>
      </c>
      <c r="H12229" s="21">
        <v>929.17</v>
      </c>
    </row>
    <row r="12230" spans="1:8" customFormat="1" x14ac:dyDescent="0.25">
      <c r="A12230" t="str">
        <f>"843400"</f>
        <v>843400</v>
      </c>
      <c r="B12230" t="s">
        <v>13574</v>
      </c>
      <c r="C12230" t="s">
        <v>121</v>
      </c>
      <c r="D12230" s="21" t="s">
        <v>34</v>
      </c>
      <c r="E12230" s="21" t="s">
        <v>35</v>
      </c>
      <c r="F12230">
        <v>13840025</v>
      </c>
      <c r="G12230" t="s">
        <v>7580</v>
      </c>
      <c r="H12230" s="21">
        <v>929.17</v>
      </c>
    </row>
    <row r="12231" spans="1:8" customFormat="1" x14ac:dyDescent="0.25">
      <c r="A12231" t="str">
        <f>"275395"</f>
        <v>275395</v>
      </c>
      <c r="B12231" t="s">
        <v>11291</v>
      </c>
      <c r="C12231" t="s">
        <v>198</v>
      </c>
      <c r="D12231" s="21" t="s">
        <v>34</v>
      </c>
      <c r="E12231" s="21" t="s">
        <v>35</v>
      </c>
      <c r="F12231">
        <v>9270188</v>
      </c>
      <c r="G12231" t="s">
        <v>11292</v>
      </c>
      <c r="H12231" s="21">
        <v>929.17</v>
      </c>
    </row>
    <row r="12232" spans="1:8" customFormat="1" x14ac:dyDescent="0.25">
      <c r="A12232" t="str">
        <f>"913817"</f>
        <v>913817</v>
      </c>
      <c r="B12232" t="s">
        <v>10074</v>
      </c>
      <c r="C12232" t="s">
        <v>249</v>
      </c>
      <c r="D12232" s="21" t="s">
        <v>34</v>
      </c>
      <c r="E12232" s="21" t="s">
        <v>35</v>
      </c>
      <c r="F12232">
        <v>8910402</v>
      </c>
      <c r="G12232" t="s">
        <v>1371</v>
      </c>
      <c r="H12232" s="21">
        <v>929.17</v>
      </c>
    </row>
    <row r="12233" spans="1:8" customFormat="1" x14ac:dyDescent="0.25">
      <c r="A12233" t="str">
        <f>"01138"</f>
        <v>01138</v>
      </c>
      <c r="B12233" t="s">
        <v>11965</v>
      </c>
      <c r="C12233" t="s">
        <v>547</v>
      </c>
      <c r="D12233" s="21" t="s">
        <v>34</v>
      </c>
      <c r="E12233" s="21" t="s">
        <v>254</v>
      </c>
      <c r="F12233">
        <v>1010001</v>
      </c>
      <c r="G12233" t="s">
        <v>2161</v>
      </c>
      <c r="H12233" s="21">
        <v>929.17</v>
      </c>
    </row>
    <row r="12234" spans="1:8" customFormat="1" x14ac:dyDescent="0.25">
      <c r="A12234" t="str">
        <f>"627723"</f>
        <v>627723</v>
      </c>
      <c r="B12234" t="s">
        <v>8779</v>
      </c>
      <c r="C12234" t="s">
        <v>462</v>
      </c>
      <c r="D12234" s="21" t="s">
        <v>34</v>
      </c>
      <c r="E12234" s="21" t="s">
        <v>71</v>
      </c>
      <c r="F12234">
        <v>7620018</v>
      </c>
      <c r="G12234" t="s">
        <v>6568</v>
      </c>
      <c r="H12234" s="21">
        <v>929.17</v>
      </c>
    </row>
    <row r="12235" spans="1:8" customFormat="1" x14ac:dyDescent="0.25">
      <c r="A12235" t="str">
        <f>"8521592"</f>
        <v>8521592</v>
      </c>
      <c r="B12235" t="s">
        <v>4282</v>
      </c>
      <c r="C12235" t="s">
        <v>817</v>
      </c>
      <c r="D12235" s="21" t="s">
        <v>34</v>
      </c>
      <c r="E12235" s="21" t="s">
        <v>71</v>
      </c>
      <c r="F12235">
        <v>12850093</v>
      </c>
      <c r="G12235" t="s">
        <v>3371</v>
      </c>
      <c r="H12235" s="21">
        <v>929.17</v>
      </c>
    </row>
    <row r="12236" spans="1:8" customFormat="1" x14ac:dyDescent="0.25">
      <c r="A12236" t="str">
        <f>"626389"</f>
        <v>626389</v>
      </c>
      <c r="B12236" t="s">
        <v>3930</v>
      </c>
      <c r="C12236" t="s">
        <v>547</v>
      </c>
      <c r="D12236" s="21" t="s">
        <v>34</v>
      </c>
      <c r="E12236" s="21" t="s">
        <v>71</v>
      </c>
      <c r="F12236">
        <v>11660031</v>
      </c>
      <c r="G12236" t="s">
        <v>12617</v>
      </c>
      <c r="H12236" s="21">
        <v>929.17</v>
      </c>
    </row>
    <row r="12237" spans="1:8" customFormat="1" x14ac:dyDescent="0.25">
      <c r="A12237" t="str">
        <f>"443442"</f>
        <v>443442</v>
      </c>
      <c r="B12237" t="s">
        <v>10794</v>
      </c>
      <c r="C12237" t="s">
        <v>144</v>
      </c>
      <c r="D12237" s="21" t="s">
        <v>34</v>
      </c>
      <c r="E12237" s="21" t="s">
        <v>71</v>
      </c>
      <c r="F12237">
        <v>12440125</v>
      </c>
      <c r="G12237" t="s">
        <v>8347</v>
      </c>
      <c r="H12237" s="21">
        <v>929.17</v>
      </c>
    </row>
    <row r="12238" spans="1:8" customFormat="1" x14ac:dyDescent="0.25">
      <c r="A12238" t="str">
        <f>"685075"</f>
        <v>685075</v>
      </c>
      <c r="B12238" t="s">
        <v>10698</v>
      </c>
      <c r="C12238" t="s">
        <v>267</v>
      </c>
      <c r="D12238" s="21" t="s">
        <v>34</v>
      </c>
      <c r="E12238" s="21" t="s">
        <v>35</v>
      </c>
      <c r="F12238">
        <v>11340022</v>
      </c>
      <c r="G12238" t="s">
        <v>4663</v>
      </c>
      <c r="H12238" s="21">
        <v>929.17</v>
      </c>
    </row>
    <row r="12239" spans="1:8" customFormat="1" x14ac:dyDescent="0.25">
      <c r="A12239" t="str">
        <f>"8613658"</f>
        <v>8613658</v>
      </c>
      <c r="B12239" t="s">
        <v>11819</v>
      </c>
      <c r="C12239" t="s">
        <v>263</v>
      </c>
      <c r="D12239" s="21" t="s">
        <v>34</v>
      </c>
      <c r="E12239" s="21" t="s">
        <v>35</v>
      </c>
      <c r="F12239">
        <v>10860017</v>
      </c>
      <c r="G12239" t="s">
        <v>2439</v>
      </c>
      <c r="H12239" s="21">
        <v>929.17</v>
      </c>
    </row>
    <row r="12240" spans="1:8" customFormat="1" x14ac:dyDescent="0.25">
      <c r="A12240" t="str">
        <f>"9511504"</f>
        <v>9511504</v>
      </c>
      <c r="B12240" t="s">
        <v>2854</v>
      </c>
      <c r="C12240" t="s">
        <v>249</v>
      </c>
      <c r="D12240" s="21" t="s">
        <v>34</v>
      </c>
      <c r="E12240" s="21" t="s">
        <v>71</v>
      </c>
      <c r="F12240">
        <v>8951312</v>
      </c>
      <c r="G12240" t="s">
        <v>1007</v>
      </c>
      <c r="H12240" s="21">
        <v>929.04</v>
      </c>
    </row>
    <row r="12241" spans="1:8" customFormat="1" x14ac:dyDescent="0.25">
      <c r="A12241" t="str">
        <f>"748030"</f>
        <v>748030</v>
      </c>
      <c r="B12241" t="s">
        <v>8239</v>
      </c>
      <c r="C12241" t="s">
        <v>62</v>
      </c>
      <c r="D12241" s="21" t="s">
        <v>34</v>
      </c>
      <c r="E12241" s="21" t="s">
        <v>35</v>
      </c>
      <c r="F12241">
        <v>13060043</v>
      </c>
      <c r="G12241" t="s">
        <v>4761</v>
      </c>
      <c r="H12241" s="21">
        <v>928.92</v>
      </c>
    </row>
    <row r="12242" spans="1:8" customFormat="1" x14ac:dyDescent="0.25">
      <c r="A12242" t="str">
        <f>"228104"</f>
        <v>228104</v>
      </c>
      <c r="B12242" t="s">
        <v>1180</v>
      </c>
      <c r="C12242" t="s">
        <v>253</v>
      </c>
      <c r="D12242" s="21" t="s">
        <v>34</v>
      </c>
      <c r="E12242" s="21" t="s">
        <v>35</v>
      </c>
      <c r="F12242">
        <v>3350060</v>
      </c>
      <c r="G12242" t="s">
        <v>38</v>
      </c>
      <c r="H12242" s="21">
        <v>928.92</v>
      </c>
    </row>
    <row r="12243" spans="1:8" customFormat="1" x14ac:dyDescent="0.25">
      <c r="A12243" t="str">
        <f>"2615743"</f>
        <v>2615743</v>
      </c>
      <c r="B12243" t="s">
        <v>11130</v>
      </c>
      <c r="C12243" t="s">
        <v>169</v>
      </c>
      <c r="D12243" s="21" t="s">
        <v>34</v>
      </c>
      <c r="E12243" s="21" t="s">
        <v>71</v>
      </c>
      <c r="F12243">
        <v>11340067</v>
      </c>
      <c r="G12243" t="s">
        <v>2895</v>
      </c>
      <c r="H12243" s="21">
        <v>928.79</v>
      </c>
    </row>
    <row r="12244" spans="1:8" customFormat="1" x14ac:dyDescent="0.25">
      <c r="A12244" t="str">
        <f>"3716897"</f>
        <v>3716897</v>
      </c>
      <c r="B12244" t="s">
        <v>10512</v>
      </c>
      <c r="C12244" t="s">
        <v>209</v>
      </c>
      <c r="D12244" s="21" t="s">
        <v>34</v>
      </c>
      <c r="E12244" s="21" t="s">
        <v>71</v>
      </c>
      <c r="F12244">
        <v>4370002</v>
      </c>
      <c r="G12244" t="s">
        <v>112</v>
      </c>
      <c r="H12244" s="21">
        <v>928.67</v>
      </c>
    </row>
    <row r="12245" spans="1:8" customFormat="1" x14ac:dyDescent="0.25">
      <c r="A12245" t="str">
        <f>"85586"</f>
        <v>85586</v>
      </c>
      <c r="B12245" t="s">
        <v>9594</v>
      </c>
      <c r="C12245" t="s">
        <v>239</v>
      </c>
      <c r="D12245" s="21" t="s">
        <v>34</v>
      </c>
      <c r="E12245" s="21" t="s">
        <v>254</v>
      </c>
      <c r="F12245">
        <v>12850026</v>
      </c>
      <c r="G12245" t="s">
        <v>1400</v>
      </c>
      <c r="H12245" s="21">
        <v>928.67</v>
      </c>
    </row>
    <row r="12246" spans="1:8" customFormat="1" x14ac:dyDescent="0.25">
      <c r="A12246" t="str">
        <f>"272520"</f>
        <v>272520</v>
      </c>
      <c r="B12246" t="s">
        <v>6120</v>
      </c>
      <c r="C12246" t="s">
        <v>515</v>
      </c>
      <c r="D12246" s="21" t="s">
        <v>34</v>
      </c>
      <c r="E12246" s="21" t="s">
        <v>35</v>
      </c>
      <c r="F12246">
        <v>9270169</v>
      </c>
      <c r="G12246" t="s">
        <v>6217</v>
      </c>
      <c r="H12246" s="21">
        <v>928.67</v>
      </c>
    </row>
    <row r="12247" spans="1:8" customFormat="1" x14ac:dyDescent="0.25">
      <c r="A12247" t="str">
        <f>"177564"</f>
        <v>177564</v>
      </c>
      <c r="B12247" t="s">
        <v>4013</v>
      </c>
      <c r="C12247" t="s">
        <v>598</v>
      </c>
      <c r="D12247" s="21" t="s">
        <v>34</v>
      </c>
      <c r="E12247" s="21" t="s">
        <v>71</v>
      </c>
      <c r="F12247">
        <v>10170004</v>
      </c>
      <c r="G12247" t="s">
        <v>12405</v>
      </c>
      <c r="H12247" s="21">
        <v>928.67</v>
      </c>
    </row>
    <row r="12248" spans="1:8" customFormat="1" x14ac:dyDescent="0.25">
      <c r="A12248" t="str">
        <f>"2211212"</f>
        <v>2211212</v>
      </c>
      <c r="B12248" t="s">
        <v>11631</v>
      </c>
      <c r="C12248" t="s">
        <v>2907</v>
      </c>
      <c r="D12248" s="21" t="s">
        <v>34</v>
      </c>
      <c r="E12248" s="21" t="s">
        <v>71</v>
      </c>
      <c r="F12248">
        <v>3220033</v>
      </c>
      <c r="G12248" t="s">
        <v>657</v>
      </c>
      <c r="H12248" s="21">
        <v>928.67</v>
      </c>
    </row>
    <row r="12249" spans="1:8" customFormat="1" x14ac:dyDescent="0.25">
      <c r="A12249" t="str">
        <f>"7610660"</f>
        <v>7610660</v>
      </c>
      <c r="B12249" t="s">
        <v>10715</v>
      </c>
      <c r="C12249" t="s">
        <v>204</v>
      </c>
      <c r="D12249" s="21" t="s">
        <v>34</v>
      </c>
      <c r="E12249" s="21" t="s">
        <v>71</v>
      </c>
      <c r="F12249">
        <v>9760382</v>
      </c>
      <c r="G12249" t="s">
        <v>2737</v>
      </c>
      <c r="H12249" s="21">
        <v>928.67</v>
      </c>
    </row>
    <row r="12250" spans="1:8" customFormat="1" x14ac:dyDescent="0.25">
      <c r="A12250" t="str">
        <f>"6227236"</f>
        <v>6227236</v>
      </c>
      <c r="B12250" t="s">
        <v>8394</v>
      </c>
      <c r="C12250" t="s">
        <v>55</v>
      </c>
      <c r="D12250" s="21" t="s">
        <v>34</v>
      </c>
      <c r="E12250" s="21" t="s">
        <v>71</v>
      </c>
      <c r="F12250">
        <v>7620017</v>
      </c>
      <c r="G12250" t="s">
        <v>6559</v>
      </c>
      <c r="H12250" s="21">
        <v>928.67</v>
      </c>
    </row>
    <row r="12251" spans="1:8" customFormat="1" x14ac:dyDescent="0.25">
      <c r="A12251" t="str">
        <f>"2922800"</f>
        <v>2922800</v>
      </c>
      <c r="B12251" t="s">
        <v>11389</v>
      </c>
      <c r="C12251" t="s">
        <v>3098</v>
      </c>
      <c r="D12251" s="21" t="s">
        <v>34</v>
      </c>
      <c r="E12251" s="21" t="s">
        <v>35</v>
      </c>
      <c r="F12251">
        <v>3290200</v>
      </c>
      <c r="G12251" t="s">
        <v>3488</v>
      </c>
      <c r="H12251" s="21">
        <v>928.67</v>
      </c>
    </row>
    <row r="12252" spans="1:8" customFormat="1" x14ac:dyDescent="0.25">
      <c r="A12252" t="str">
        <f>"903943"</f>
        <v>903943</v>
      </c>
      <c r="B12252" t="s">
        <v>12102</v>
      </c>
      <c r="C12252" t="s">
        <v>12103</v>
      </c>
      <c r="D12252" s="21" t="s">
        <v>34</v>
      </c>
      <c r="E12252" s="21" t="s">
        <v>71</v>
      </c>
      <c r="F12252">
        <v>2900003</v>
      </c>
      <c r="G12252" t="s">
        <v>1742</v>
      </c>
      <c r="H12252" s="21">
        <v>928.67</v>
      </c>
    </row>
    <row r="12253" spans="1:8" customFormat="1" x14ac:dyDescent="0.25">
      <c r="A12253" t="str">
        <f>"9134764"</f>
        <v>9134764</v>
      </c>
      <c r="B12253" t="s">
        <v>10248</v>
      </c>
      <c r="C12253" t="s">
        <v>169</v>
      </c>
      <c r="D12253" s="21" t="s">
        <v>34</v>
      </c>
      <c r="E12253" s="21" t="s">
        <v>71</v>
      </c>
      <c r="F12253">
        <v>8910310</v>
      </c>
      <c r="G12253" t="s">
        <v>6645</v>
      </c>
      <c r="H12253" s="21">
        <v>928.67</v>
      </c>
    </row>
    <row r="12254" spans="1:8" customFormat="1" x14ac:dyDescent="0.25">
      <c r="A12254" t="str">
        <f>"1410857"</f>
        <v>1410857</v>
      </c>
      <c r="B12254" t="s">
        <v>10830</v>
      </c>
      <c r="C12254" t="s">
        <v>598</v>
      </c>
      <c r="D12254" s="21" t="s">
        <v>34</v>
      </c>
      <c r="E12254" s="21" t="s">
        <v>71</v>
      </c>
      <c r="F12254">
        <v>9140078</v>
      </c>
      <c r="G12254" t="s">
        <v>1920</v>
      </c>
      <c r="H12254" s="21">
        <v>928.67</v>
      </c>
    </row>
    <row r="12255" spans="1:8" customFormat="1" x14ac:dyDescent="0.25">
      <c r="A12255" t="str">
        <f>"515627"</f>
        <v>515627</v>
      </c>
      <c r="B12255" t="s">
        <v>10108</v>
      </c>
      <c r="C12255" t="s">
        <v>55</v>
      </c>
      <c r="D12255" s="21" t="s">
        <v>34</v>
      </c>
      <c r="E12255" s="21" t="s">
        <v>71</v>
      </c>
      <c r="F12255">
        <v>6540199</v>
      </c>
      <c r="G12255" t="s">
        <v>8888</v>
      </c>
      <c r="H12255" s="21">
        <v>928.67</v>
      </c>
    </row>
    <row r="12256" spans="1:8" customFormat="1" x14ac:dyDescent="0.25">
      <c r="A12256" t="str">
        <f>"5911712"</f>
        <v>5911712</v>
      </c>
      <c r="B12256" t="s">
        <v>11161</v>
      </c>
      <c r="C12256" t="s">
        <v>43</v>
      </c>
      <c r="D12256" s="21" t="s">
        <v>34</v>
      </c>
      <c r="E12256" s="21" t="s">
        <v>35</v>
      </c>
      <c r="F12256">
        <v>7590263</v>
      </c>
      <c r="G12256" t="s">
        <v>895</v>
      </c>
      <c r="H12256" s="21">
        <v>928.67</v>
      </c>
    </row>
    <row r="12257" spans="1:8" customFormat="1" x14ac:dyDescent="0.25">
      <c r="A12257" t="str">
        <f>"836334"</f>
        <v>836334</v>
      </c>
      <c r="B12257" t="s">
        <v>16221</v>
      </c>
      <c r="C12257" t="s">
        <v>209</v>
      </c>
      <c r="D12257" s="21" t="s">
        <v>34</v>
      </c>
      <c r="E12257" s="21" t="s">
        <v>71</v>
      </c>
      <c r="F12257">
        <v>13830016</v>
      </c>
      <c r="G12257" t="s">
        <v>12055</v>
      </c>
      <c r="H12257" s="21">
        <v>928.67</v>
      </c>
    </row>
    <row r="12258" spans="1:8" customFormat="1" x14ac:dyDescent="0.25">
      <c r="A12258" t="str">
        <f>"6224197"</f>
        <v>6224197</v>
      </c>
      <c r="B12258" t="s">
        <v>2298</v>
      </c>
      <c r="C12258" t="s">
        <v>114</v>
      </c>
      <c r="D12258" s="21" t="s">
        <v>34</v>
      </c>
      <c r="E12258" s="21" t="s">
        <v>71</v>
      </c>
      <c r="F12258">
        <v>7620017</v>
      </c>
      <c r="G12258" t="s">
        <v>6559</v>
      </c>
      <c r="H12258" s="21">
        <v>928.67</v>
      </c>
    </row>
    <row r="12259" spans="1:8" customFormat="1" x14ac:dyDescent="0.25">
      <c r="A12259" t="str">
        <f>"623942"</f>
        <v>623942</v>
      </c>
      <c r="B12259" t="s">
        <v>7493</v>
      </c>
      <c r="C12259" t="s">
        <v>320</v>
      </c>
      <c r="D12259" s="21" t="s">
        <v>34</v>
      </c>
      <c r="E12259" s="21" t="s">
        <v>35</v>
      </c>
      <c r="F12259">
        <v>7620018</v>
      </c>
      <c r="G12259" t="s">
        <v>6568</v>
      </c>
      <c r="H12259" s="21">
        <v>928.67</v>
      </c>
    </row>
    <row r="12260" spans="1:8" customFormat="1" x14ac:dyDescent="0.25">
      <c r="A12260" t="str">
        <f>"614657"</f>
        <v>614657</v>
      </c>
      <c r="B12260" t="s">
        <v>1048</v>
      </c>
      <c r="C12260" t="s">
        <v>82</v>
      </c>
      <c r="D12260" s="21" t="s">
        <v>34</v>
      </c>
      <c r="E12260" s="21" t="s">
        <v>35</v>
      </c>
      <c r="F12260">
        <v>9610037</v>
      </c>
      <c r="G12260" t="s">
        <v>12283</v>
      </c>
      <c r="H12260" s="21">
        <v>928.67</v>
      </c>
    </row>
    <row r="12261" spans="1:8" customFormat="1" x14ac:dyDescent="0.25">
      <c r="A12261" t="str">
        <f>"3728093"</f>
        <v>3728093</v>
      </c>
      <c r="B12261" t="s">
        <v>13294</v>
      </c>
      <c r="C12261" t="s">
        <v>1474</v>
      </c>
      <c r="D12261" s="21" t="s">
        <v>34</v>
      </c>
      <c r="E12261" s="21" t="s">
        <v>35</v>
      </c>
      <c r="F12261">
        <v>4370533</v>
      </c>
      <c r="G12261" t="s">
        <v>10553</v>
      </c>
      <c r="H12261" s="21">
        <v>928.67</v>
      </c>
    </row>
    <row r="12262" spans="1:8" customFormat="1" x14ac:dyDescent="0.25">
      <c r="A12262" t="str">
        <f>"756372"</f>
        <v>756372</v>
      </c>
      <c r="B12262" t="s">
        <v>10849</v>
      </c>
      <c r="C12262" t="s">
        <v>652</v>
      </c>
      <c r="D12262" s="21" t="s">
        <v>34</v>
      </c>
      <c r="E12262" s="21" t="s">
        <v>1089</v>
      </c>
      <c r="F12262">
        <v>8920076</v>
      </c>
      <c r="G12262" t="s">
        <v>2281</v>
      </c>
      <c r="H12262" s="21">
        <v>928.54</v>
      </c>
    </row>
    <row r="12263" spans="1:8" customFormat="1" x14ac:dyDescent="0.25">
      <c r="A12263" t="str">
        <f>"7636743"</f>
        <v>7636743</v>
      </c>
      <c r="B12263" t="s">
        <v>2851</v>
      </c>
      <c r="C12263" t="s">
        <v>288</v>
      </c>
      <c r="D12263" s="21" t="s">
        <v>34</v>
      </c>
      <c r="E12263" s="21" t="s">
        <v>71</v>
      </c>
      <c r="F12263">
        <v>9760414</v>
      </c>
      <c r="G12263" t="s">
        <v>142</v>
      </c>
      <c r="H12263" s="21">
        <v>928.54</v>
      </c>
    </row>
    <row r="12264" spans="1:8" customFormat="1" x14ac:dyDescent="0.25">
      <c r="A12264" t="str">
        <f>"641211"</f>
        <v>641211</v>
      </c>
      <c r="B12264" t="s">
        <v>12479</v>
      </c>
      <c r="C12264" t="s">
        <v>2365</v>
      </c>
      <c r="D12264" s="21" t="s">
        <v>34</v>
      </c>
      <c r="E12264" s="21" t="s">
        <v>71</v>
      </c>
      <c r="F12264">
        <v>10640015</v>
      </c>
      <c r="G12264" t="s">
        <v>10196</v>
      </c>
      <c r="H12264" s="21">
        <v>928.42</v>
      </c>
    </row>
    <row r="12265" spans="1:8" customFormat="1" x14ac:dyDescent="0.25">
      <c r="A12265" t="str">
        <f>"2711527"</f>
        <v>2711527</v>
      </c>
      <c r="B12265" t="s">
        <v>392</v>
      </c>
      <c r="C12265" t="s">
        <v>209</v>
      </c>
      <c r="D12265" s="21" t="s">
        <v>34</v>
      </c>
      <c r="E12265" s="21" t="s">
        <v>71</v>
      </c>
      <c r="F12265">
        <v>9270151</v>
      </c>
      <c r="G12265" t="s">
        <v>626</v>
      </c>
      <c r="H12265" s="21">
        <v>928.29</v>
      </c>
    </row>
    <row r="12266" spans="1:8" customFormat="1" x14ac:dyDescent="0.25">
      <c r="A12266" t="str">
        <f>"6233415"</f>
        <v>6233415</v>
      </c>
      <c r="B12266" t="s">
        <v>10834</v>
      </c>
      <c r="C12266" t="s">
        <v>209</v>
      </c>
      <c r="D12266" s="21" t="s">
        <v>34</v>
      </c>
      <c r="E12266" s="21" t="s">
        <v>71</v>
      </c>
      <c r="F12266">
        <v>7620140</v>
      </c>
      <c r="G12266" t="s">
        <v>7454</v>
      </c>
      <c r="H12266" s="21">
        <v>928.17</v>
      </c>
    </row>
    <row r="12267" spans="1:8" customFormat="1" x14ac:dyDescent="0.25">
      <c r="A12267" t="str">
        <f>"5613765"</f>
        <v>5613765</v>
      </c>
      <c r="B12267" t="s">
        <v>11642</v>
      </c>
      <c r="C12267" t="s">
        <v>249</v>
      </c>
      <c r="D12267" s="21" t="s">
        <v>34</v>
      </c>
      <c r="E12267" s="21" t="s">
        <v>71</v>
      </c>
      <c r="F12267">
        <v>3560059</v>
      </c>
      <c r="G12267" t="s">
        <v>2033</v>
      </c>
      <c r="H12267" s="21">
        <v>928.17</v>
      </c>
    </row>
    <row r="12268" spans="1:8" customFormat="1" x14ac:dyDescent="0.25">
      <c r="A12268" t="str">
        <f>"9534651"</f>
        <v>9534651</v>
      </c>
      <c r="B12268" t="s">
        <v>1103</v>
      </c>
      <c r="C12268" t="s">
        <v>249</v>
      </c>
      <c r="D12268" s="21" t="s">
        <v>34</v>
      </c>
      <c r="E12268" s="21" t="s">
        <v>71</v>
      </c>
      <c r="F12268">
        <v>8950092</v>
      </c>
      <c r="G12268" t="s">
        <v>2039</v>
      </c>
      <c r="H12268" s="21">
        <v>928.17</v>
      </c>
    </row>
    <row r="12269" spans="1:8" customFormat="1" x14ac:dyDescent="0.25">
      <c r="A12269" t="str">
        <f>"9122104"</f>
        <v>9122104</v>
      </c>
      <c r="B12269" t="s">
        <v>10334</v>
      </c>
      <c r="C12269" t="s">
        <v>130</v>
      </c>
      <c r="D12269" s="21" t="s">
        <v>34</v>
      </c>
      <c r="E12269" s="21" t="s">
        <v>35</v>
      </c>
      <c r="F12269">
        <v>8911009</v>
      </c>
      <c r="G12269" t="s">
        <v>2177</v>
      </c>
      <c r="H12269" s="21">
        <v>928.17</v>
      </c>
    </row>
    <row r="12270" spans="1:8" customFormat="1" x14ac:dyDescent="0.25">
      <c r="A12270" t="str">
        <f>"366616"</f>
        <v>366616</v>
      </c>
      <c r="B12270" t="s">
        <v>12831</v>
      </c>
      <c r="C12270" t="s">
        <v>233</v>
      </c>
      <c r="D12270" s="21" t="s">
        <v>34</v>
      </c>
      <c r="E12270" s="21" t="s">
        <v>71</v>
      </c>
      <c r="F12270">
        <v>4360728</v>
      </c>
      <c r="G12270" t="s">
        <v>12735</v>
      </c>
      <c r="H12270" s="21">
        <v>928.17</v>
      </c>
    </row>
    <row r="12271" spans="1:8" customFormat="1" x14ac:dyDescent="0.25">
      <c r="A12271" t="str">
        <f>"34315"</f>
        <v>34315</v>
      </c>
      <c r="B12271" t="s">
        <v>11159</v>
      </c>
      <c r="C12271" t="s">
        <v>1271</v>
      </c>
      <c r="D12271" s="21" t="s">
        <v>34</v>
      </c>
      <c r="E12271" s="21" t="s">
        <v>254</v>
      </c>
      <c r="F12271">
        <v>11340067</v>
      </c>
      <c r="G12271" t="s">
        <v>2895</v>
      </c>
      <c r="H12271" s="21">
        <v>928.17</v>
      </c>
    </row>
    <row r="12272" spans="1:8" customFormat="1" x14ac:dyDescent="0.25">
      <c r="A12272" t="str">
        <f>"039052"</f>
        <v>039052</v>
      </c>
      <c r="B12272" t="s">
        <v>6472</v>
      </c>
      <c r="C12272" t="s">
        <v>198</v>
      </c>
      <c r="D12272" s="21" t="s">
        <v>34</v>
      </c>
      <c r="E12272" s="21" t="s">
        <v>35</v>
      </c>
      <c r="F12272">
        <v>1030108</v>
      </c>
      <c r="G12272" t="s">
        <v>26724</v>
      </c>
      <c r="H12272" s="21">
        <v>928.17</v>
      </c>
    </row>
    <row r="12273" spans="1:8" customFormat="1" x14ac:dyDescent="0.25">
      <c r="A12273" t="str">
        <f>"1421658"</f>
        <v>1421658</v>
      </c>
      <c r="B12273" t="s">
        <v>5487</v>
      </c>
      <c r="C12273" t="s">
        <v>27237</v>
      </c>
      <c r="D12273" s="21" t="s">
        <v>34</v>
      </c>
      <c r="E12273" s="21" t="s">
        <v>35</v>
      </c>
      <c r="F12273">
        <v>9140014</v>
      </c>
      <c r="G12273" t="s">
        <v>9546</v>
      </c>
      <c r="H12273" s="21">
        <v>928.17</v>
      </c>
    </row>
    <row r="12274" spans="1:8" customFormat="1" x14ac:dyDescent="0.25">
      <c r="A12274" t="str">
        <f>"5419248"</f>
        <v>5419248</v>
      </c>
      <c r="B12274" t="s">
        <v>11578</v>
      </c>
      <c r="C12274" t="s">
        <v>2100</v>
      </c>
      <c r="D12274" s="21" t="s">
        <v>34</v>
      </c>
      <c r="E12274" s="21" t="s">
        <v>71</v>
      </c>
      <c r="F12274">
        <v>8920075</v>
      </c>
      <c r="G12274" t="s">
        <v>317</v>
      </c>
      <c r="H12274" s="21">
        <v>928.17</v>
      </c>
    </row>
    <row r="12275" spans="1:8" customFormat="1" x14ac:dyDescent="0.25">
      <c r="A12275" t="str">
        <f>"639398"</f>
        <v>639398</v>
      </c>
      <c r="B12275" t="s">
        <v>4147</v>
      </c>
      <c r="C12275" t="s">
        <v>40</v>
      </c>
      <c r="D12275" s="21" t="s">
        <v>34</v>
      </c>
      <c r="E12275" s="21" t="s">
        <v>35</v>
      </c>
      <c r="F12275">
        <v>1630303</v>
      </c>
      <c r="G12275" t="s">
        <v>8915</v>
      </c>
      <c r="H12275" s="21">
        <v>928.17</v>
      </c>
    </row>
    <row r="12276" spans="1:8" customFormat="1" x14ac:dyDescent="0.25">
      <c r="A12276" t="str">
        <f>"6011180"</f>
        <v>6011180</v>
      </c>
      <c r="B12276" t="s">
        <v>10398</v>
      </c>
      <c r="C12276" t="s">
        <v>2546</v>
      </c>
      <c r="D12276" s="21" t="s">
        <v>34</v>
      </c>
      <c r="E12276" s="21" t="s">
        <v>1089</v>
      </c>
      <c r="F12276">
        <v>7600040</v>
      </c>
      <c r="G12276" t="s">
        <v>6757</v>
      </c>
      <c r="H12276" s="21">
        <v>928.17</v>
      </c>
    </row>
    <row r="12277" spans="1:8" customFormat="1" x14ac:dyDescent="0.25">
      <c r="A12277" t="str">
        <f>"3714228"</f>
        <v>3714228</v>
      </c>
      <c r="B12277" t="s">
        <v>5416</v>
      </c>
      <c r="C12277" t="s">
        <v>62</v>
      </c>
      <c r="D12277" s="21" t="s">
        <v>34</v>
      </c>
      <c r="E12277" s="21" t="s">
        <v>71</v>
      </c>
      <c r="F12277">
        <v>4370102</v>
      </c>
      <c r="G12277" t="s">
        <v>10707</v>
      </c>
      <c r="H12277" s="21">
        <v>928.17</v>
      </c>
    </row>
    <row r="12278" spans="1:8" customFormat="1" x14ac:dyDescent="0.25">
      <c r="A12278" t="str">
        <f>"4412312"</f>
        <v>4412312</v>
      </c>
      <c r="B12278" t="s">
        <v>136</v>
      </c>
      <c r="C12278" t="s">
        <v>109</v>
      </c>
      <c r="D12278" s="21" t="s">
        <v>34</v>
      </c>
      <c r="E12278" s="21" t="s">
        <v>35</v>
      </c>
      <c r="F12278">
        <v>9500073</v>
      </c>
      <c r="G12278" t="s">
        <v>5393</v>
      </c>
      <c r="H12278" s="21">
        <v>928.17</v>
      </c>
    </row>
    <row r="12279" spans="1:8" customFormat="1" x14ac:dyDescent="0.25">
      <c r="A12279" t="str">
        <f>"459959"</f>
        <v>459959</v>
      </c>
      <c r="B12279" t="s">
        <v>2711</v>
      </c>
      <c r="C12279" t="s">
        <v>174</v>
      </c>
      <c r="D12279" s="21" t="s">
        <v>34</v>
      </c>
      <c r="E12279" s="21" t="s">
        <v>35</v>
      </c>
      <c r="F12279">
        <v>6510105</v>
      </c>
      <c r="G12279" t="s">
        <v>11107</v>
      </c>
      <c r="H12279" s="21">
        <v>928.17</v>
      </c>
    </row>
    <row r="12280" spans="1:8" customFormat="1" x14ac:dyDescent="0.25">
      <c r="A12280" t="str">
        <f>"7215757"</f>
        <v>7215757</v>
      </c>
      <c r="B12280" t="s">
        <v>7664</v>
      </c>
      <c r="C12280" t="s">
        <v>275</v>
      </c>
      <c r="D12280" s="21" t="s">
        <v>34</v>
      </c>
      <c r="E12280" s="21" t="s">
        <v>35</v>
      </c>
      <c r="F12280">
        <v>12720050</v>
      </c>
      <c r="G12280" t="s">
        <v>5522</v>
      </c>
      <c r="H12280" s="21">
        <v>928.04</v>
      </c>
    </row>
    <row r="12281" spans="1:8" customFormat="1" x14ac:dyDescent="0.25">
      <c r="A12281" t="str">
        <f>"5947828"</f>
        <v>5947828</v>
      </c>
      <c r="B12281" t="s">
        <v>22134</v>
      </c>
      <c r="C12281" t="s">
        <v>12772</v>
      </c>
      <c r="D12281" s="21" t="s">
        <v>34</v>
      </c>
      <c r="E12281" s="21" t="s">
        <v>35</v>
      </c>
      <c r="F12281">
        <v>7620049</v>
      </c>
      <c r="G12281" t="s">
        <v>1176</v>
      </c>
      <c r="H12281" s="21">
        <v>928.04</v>
      </c>
    </row>
    <row r="12282" spans="1:8" customFormat="1" x14ac:dyDescent="0.25">
      <c r="A12282" t="str">
        <f>"443817"</f>
        <v>443817</v>
      </c>
      <c r="B12282" t="s">
        <v>10827</v>
      </c>
      <c r="C12282" t="s">
        <v>7923</v>
      </c>
      <c r="D12282" s="21" t="s">
        <v>34</v>
      </c>
      <c r="E12282" s="21" t="s">
        <v>254</v>
      </c>
      <c r="F12282">
        <v>12440141</v>
      </c>
      <c r="G12282" t="s">
        <v>3234</v>
      </c>
      <c r="H12282" s="21">
        <v>927.92</v>
      </c>
    </row>
    <row r="12283" spans="1:8" customFormat="1" x14ac:dyDescent="0.25">
      <c r="A12283" t="str">
        <f>"7730044"</f>
        <v>7730044</v>
      </c>
      <c r="B12283" t="s">
        <v>2189</v>
      </c>
      <c r="C12283" t="s">
        <v>87</v>
      </c>
      <c r="D12283" s="21" t="s">
        <v>34</v>
      </c>
      <c r="E12283" s="21" t="s">
        <v>35</v>
      </c>
      <c r="F12283">
        <v>8770562</v>
      </c>
      <c r="G12283" t="s">
        <v>4847</v>
      </c>
      <c r="H12283" s="21">
        <v>927.92</v>
      </c>
    </row>
    <row r="12284" spans="1:8" customFormat="1" x14ac:dyDescent="0.25">
      <c r="A12284" t="str">
        <f>"8814129"</f>
        <v>8814129</v>
      </c>
      <c r="B12284" t="s">
        <v>12268</v>
      </c>
      <c r="C12284" t="s">
        <v>598</v>
      </c>
      <c r="D12284" s="21" t="s">
        <v>34</v>
      </c>
      <c r="E12284" s="21" t="s">
        <v>254</v>
      </c>
      <c r="F12284">
        <v>6880050</v>
      </c>
      <c r="G12284" t="s">
        <v>9344</v>
      </c>
      <c r="H12284" s="21">
        <v>927.92</v>
      </c>
    </row>
    <row r="12285" spans="1:8" customFormat="1" x14ac:dyDescent="0.25">
      <c r="A12285" t="str">
        <f>"171772"</f>
        <v>171772</v>
      </c>
      <c r="B12285" t="s">
        <v>11895</v>
      </c>
      <c r="C12285" t="s">
        <v>246</v>
      </c>
      <c r="D12285" s="21" t="s">
        <v>34</v>
      </c>
      <c r="E12285" s="21" t="s">
        <v>254</v>
      </c>
      <c r="F12285">
        <v>10170024</v>
      </c>
      <c r="G12285" t="s">
        <v>16864</v>
      </c>
      <c r="H12285" s="21">
        <v>927.92</v>
      </c>
    </row>
    <row r="12286" spans="1:8" customFormat="1" x14ac:dyDescent="0.25">
      <c r="A12286" t="str">
        <f>"8313967"</f>
        <v>8313967</v>
      </c>
      <c r="B12286" t="s">
        <v>727</v>
      </c>
      <c r="C12286" t="s">
        <v>288</v>
      </c>
      <c r="D12286" s="21" t="s">
        <v>34</v>
      </c>
      <c r="E12286" s="21" t="s">
        <v>71</v>
      </c>
      <c r="F12286">
        <v>13830068</v>
      </c>
      <c r="G12286" t="s">
        <v>6181</v>
      </c>
      <c r="H12286" s="21">
        <v>927.79</v>
      </c>
    </row>
    <row r="12287" spans="1:8" customFormat="1" x14ac:dyDescent="0.25">
      <c r="A12287" t="str">
        <f>"6013715"</f>
        <v>6013715</v>
      </c>
      <c r="B12287" t="s">
        <v>1534</v>
      </c>
      <c r="C12287" t="s">
        <v>60</v>
      </c>
      <c r="D12287" s="21" t="s">
        <v>34</v>
      </c>
      <c r="E12287" s="21" t="s">
        <v>35</v>
      </c>
      <c r="F12287">
        <v>10470001</v>
      </c>
      <c r="G12287" t="s">
        <v>391</v>
      </c>
      <c r="H12287" s="21">
        <v>927.79</v>
      </c>
    </row>
    <row r="12288" spans="1:8" customFormat="1" x14ac:dyDescent="0.25">
      <c r="A12288" t="str">
        <f>"7210060"</f>
        <v>7210060</v>
      </c>
      <c r="B12288" t="s">
        <v>1028</v>
      </c>
      <c r="C12288" t="s">
        <v>82</v>
      </c>
      <c r="D12288" s="21" t="s">
        <v>34</v>
      </c>
      <c r="E12288" s="21" t="s">
        <v>35</v>
      </c>
      <c r="F12288">
        <v>12720005</v>
      </c>
      <c r="G12288" t="s">
        <v>999</v>
      </c>
      <c r="H12288" s="21">
        <v>927.79</v>
      </c>
    </row>
    <row r="12289" spans="1:8" customFormat="1" x14ac:dyDescent="0.25">
      <c r="A12289" t="str">
        <f>"3414691"</f>
        <v>3414691</v>
      </c>
      <c r="B12289" t="s">
        <v>6462</v>
      </c>
      <c r="C12289" t="s">
        <v>87</v>
      </c>
      <c r="D12289" s="21" t="s">
        <v>34</v>
      </c>
      <c r="E12289" s="21" t="s">
        <v>35</v>
      </c>
      <c r="F12289">
        <v>11340040</v>
      </c>
      <c r="G12289" t="s">
        <v>5695</v>
      </c>
      <c r="H12289" s="21">
        <v>927.79</v>
      </c>
    </row>
    <row r="12290" spans="1:8" customFormat="1" x14ac:dyDescent="0.25">
      <c r="A12290" t="str">
        <f>"8515590"</f>
        <v>8515590</v>
      </c>
      <c r="B12290" t="s">
        <v>27238</v>
      </c>
      <c r="C12290" t="s">
        <v>96</v>
      </c>
      <c r="D12290" s="21" t="s">
        <v>34</v>
      </c>
      <c r="E12290" s="21" t="s">
        <v>35</v>
      </c>
      <c r="F12290">
        <v>12850031</v>
      </c>
      <c r="G12290" t="s">
        <v>3180</v>
      </c>
      <c r="H12290" s="21">
        <v>927.67</v>
      </c>
    </row>
    <row r="12291" spans="1:8" customFormat="1" x14ac:dyDescent="0.25">
      <c r="A12291" t="str">
        <f>"605803"</f>
        <v>605803</v>
      </c>
      <c r="B12291" t="s">
        <v>12045</v>
      </c>
      <c r="C12291" t="s">
        <v>139</v>
      </c>
      <c r="D12291" s="21" t="s">
        <v>34</v>
      </c>
      <c r="E12291" s="21" t="s">
        <v>35</v>
      </c>
      <c r="F12291">
        <v>7600111</v>
      </c>
      <c r="G12291" t="s">
        <v>6914</v>
      </c>
      <c r="H12291" s="21">
        <v>927.67</v>
      </c>
    </row>
    <row r="12292" spans="1:8" customFormat="1" x14ac:dyDescent="0.25">
      <c r="A12292" t="str">
        <f>"196542"</f>
        <v>196542</v>
      </c>
      <c r="B12292" t="s">
        <v>589</v>
      </c>
      <c r="C12292" t="s">
        <v>87</v>
      </c>
      <c r="D12292" s="21" t="s">
        <v>34</v>
      </c>
      <c r="E12292" s="21" t="s">
        <v>71</v>
      </c>
      <c r="F12292">
        <v>10190108</v>
      </c>
      <c r="G12292" t="s">
        <v>7344</v>
      </c>
      <c r="H12292" s="21">
        <v>927.67</v>
      </c>
    </row>
    <row r="12293" spans="1:8" customFormat="1" x14ac:dyDescent="0.25">
      <c r="A12293" t="str">
        <f>"60278"</f>
        <v>60278</v>
      </c>
      <c r="B12293" t="s">
        <v>3997</v>
      </c>
      <c r="C12293" t="s">
        <v>169</v>
      </c>
      <c r="D12293" s="21" t="s">
        <v>34</v>
      </c>
      <c r="E12293" s="21" t="s">
        <v>71</v>
      </c>
      <c r="F12293">
        <v>7600009</v>
      </c>
      <c r="G12293" t="s">
        <v>11824</v>
      </c>
      <c r="H12293" s="21">
        <v>927.67</v>
      </c>
    </row>
    <row r="12294" spans="1:8" customFormat="1" x14ac:dyDescent="0.25">
      <c r="A12294" t="str">
        <f>"615128"</f>
        <v>615128</v>
      </c>
      <c r="B12294" t="s">
        <v>13299</v>
      </c>
      <c r="C12294" t="s">
        <v>2356</v>
      </c>
      <c r="D12294" s="21" t="s">
        <v>34</v>
      </c>
      <c r="E12294" s="21" t="s">
        <v>35</v>
      </c>
      <c r="F12294">
        <v>10640011</v>
      </c>
      <c r="G12294" t="s">
        <v>13300</v>
      </c>
      <c r="H12294" s="21">
        <v>927.67</v>
      </c>
    </row>
    <row r="12295" spans="1:8" customFormat="1" x14ac:dyDescent="0.25">
      <c r="A12295" t="str">
        <f>"806801"</f>
        <v>806801</v>
      </c>
      <c r="B12295" t="s">
        <v>3848</v>
      </c>
      <c r="C12295" t="s">
        <v>926</v>
      </c>
      <c r="D12295" s="21" t="s">
        <v>34</v>
      </c>
      <c r="E12295" s="21" t="s">
        <v>254</v>
      </c>
      <c r="F12295">
        <v>7800032</v>
      </c>
      <c r="G12295" t="s">
        <v>8629</v>
      </c>
      <c r="H12295" s="21">
        <v>927.67</v>
      </c>
    </row>
    <row r="12296" spans="1:8" customFormat="1" x14ac:dyDescent="0.25">
      <c r="A12296" t="str">
        <f>"442235"</f>
        <v>442235</v>
      </c>
      <c r="B12296" t="s">
        <v>4278</v>
      </c>
      <c r="C12296" t="s">
        <v>1468</v>
      </c>
      <c r="D12296" s="21" t="s">
        <v>34</v>
      </c>
      <c r="E12296" s="21" t="s">
        <v>35</v>
      </c>
      <c r="F12296">
        <v>13130164</v>
      </c>
      <c r="G12296" t="s">
        <v>15351</v>
      </c>
      <c r="H12296" s="21">
        <v>927.67</v>
      </c>
    </row>
    <row r="12297" spans="1:8" customFormat="1" x14ac:dyDescent="0.25">
      <c r="A12297" t="str">
        <f>"015305"</f>
        <v>015305</v>
      </c>
      <c r="B12297" t="s">
        <v>10297</v>
      </c>
      <c r="C12297" t="s">
        <v>3010</v>
      </c>
      <c r="D12297" s="21" t="s">
        <v>34</v>
      </c>
      <c r="E12297" s="21" t="s">
        <v>1089</v>
      </c>
      <c r="F12297">
        <v>1010001</v>
      </c>
      <c r="G12297" t="s">
        <v>2161</v>
      </c>
      <c r="H12297" s="21">
        <v>927.67</v>
      </c>
    </row>
    <row r="12298" spans="1:8" customFormat="1" x14ac:dyDescent="0.25">
      <c r="A12298" t="str">
        <f>"6718940"</f>
        <v>6718940</v>
      </c>
      <c r="B12298" t="s">
        <v>27239</v>
      </c>
      <c r="C12298" t="s">
        <v>55</v>
      </c>
      <c r="D12298" s="21" t="s">
        <v>34</v>
      </c>
      <c r="E12298" s="21" t="s">
        <v>35</v>
      </c>
      <c r="F12298">
        <v>6670041</v>
      </c>
      <c r="G12298" t="s">
        <v>1971</v>
      </c>
      <c r="H12298" s="21">
        <v>927.67</v>
      </c>
    </row>
    <row r="12299" spans="1:8" customFormat="1" x14ac:dyDescent="0.25">
      <c r="A12299" t="str">
        <f>"4449539"</f>
        <v>4449539</v>
      </c>
      <c r="B12299" t="s">
        <v>11834</v>
      </c>
      <c r="C12299" t="s">
        <v>244</v>
      </c>
      <c r="D12299" s="21" t="s">
        <v>34</v>
      </c>
      <c r="E12299" s="21" t="s">
        <v>35</v>
      </c>
      <c r="F12299">
        <v>12440015</v>
      </c>
      <c r="G12299" t="s">
        <v>8421</v>
      </c>
      <c r="H12299" s="21">
        <v>927.67</v>
      </c>
    </row>
    <row r="12300" spans="1:8" customFormat="1" x14ac:dyDescent="0.25">
      <c r="A12300" t="str">
        <f>"7828732"</f>
        <v>7828732</v>
      </c>
      <c r="B12300" t="s">
        <v>9879</v>
      </c>
      <c r="C12300" t="s">
        <v>263</v>
      </c>
      <c r="D12300" s="21" t="s">
        <v>34</v>
      </c>
      <c r="E12300" s="21" t="s">
        <v>71</v>
      </c>
      <c r="F12300">
        <v>8781006</v>
      </c>
      <c r="G12300" t="s">
        <v>5376</v>
      </c>
      <c r="H12300" s="21">
        <v>927.67</v>
      </c>
    </row>
    <row r="12301" spans="1:8" customFormat="1" x14ac:dyDescent="0.25">
      <c r="A12301" t="str">
        <f>"6013710"</f>
        <v>6013710</v>
      </c>
      <c r="B12301" t="s">
        <v>12563</v>
      </c>
      <c r="C12301" t="s">
        <v>664</v>
      </c>
      <c r="D12301" s="21" t="s">
        <v>34</v>
      </c>
      <c r="E12301" s="21" t="s">
        <v>35</v>
      </c>
      <c r="F12301">
        <v>7600074</v>
      </c>
      <c r="G12301" t="s">
        <v>1912</v>
      </c>
      <c r="H12301" s="21">
        <v>927.67</v>
      </c>
    </row>
    <row r="12302" spans="1:8" customFormat="1" x14ac:dyDescent="0.25">
      <c r="A12302" t="str">
        <f>"9426123"</f>
        <v>9426123</v>
      </c>
      <c r="B12302" t="s">
        <v>9114</v>
      </c>
      <c r="C12302" t="s">
        <v>233</v>
      </c>
      <c r="D12302" s="21" t="s">
        <v>34</v>
      </c>
      <c r="E12302" s="21" t="s">
        <v>71</v>
      </c>
      <c r="F12302">
        <v>8940096</v>
      </c>
      <c r="G12302" t="s">
        <v>5453</v>
      </c>
      <c r="H12302" s="21">
        <v>927.54</v>
      </c>
    </row>
    <row r="12303" spans="1:8" customFormat="1" x14ac:dyDescent="0.25">
      <c r="A12303" t="str">
        <f>"621529"</f>
        <v>621529</v>
      </c>
      <c r="B12303" t="s">
        <v>8050</v>
      </c>
      <c r="C12303" t="s">
        <v>10481</v>
      </c>
      <c r="D12303" s="21" t="s">
        <v>34</v>
      </c>
      <c r="E12303" s="21" t="s">
        <v>254</v>
      </c>
      <c r="F12303">
        <v>7620038</v>
      </c>
      <c r="G12303" t="s">
        <v>5049</v>
      </c>
      <c r="H12303" s="21">
        <v>927.42</v>
      </c>
    </row>
    <row r="12304" spans="1:8" customFormat="1" x14ac:dyDescent="0.25">
      <c r="A12304" t="str">
        <f>"403742"</f>
        <v>403742</v>
      </c>
      <c r="B12304" t="s">
        <v>10795</v>
      </c>
      <c r="C12304" t="s">
        <v>275</v>
      </c>
      <c r="D12304" s="21" t="s">
        <v>34</v>
      </c>
      <c r="E12304" s="21" t="s">
        <v>35</v>
      </c>
      <c r="F12304">
        <v>10330099</v>
      </c>
      <c r="G12304" t="s">
        <v>10670</v>
      </c>
      <c r="H12304" s="21">
        <v>927.42</v>
      </c>
    </row>
    <row r="12305" spans="1:8" customFormat="1" x14ac:dyDescent="0.25">
      <c r="A12305" t="str">
        <f>"814590"</f>
        <v>814590</v>
      </c>
      <c r="B12305" t="s">
        <v>4649</v>
      </c>
      <c r="C12305" t="s">
        <v>547</v>
      </c>
      <c r="D12305" s="21" t="s">
        <v>34</v>
      </c>
      <c r="E12305" s="21" t="s">
        <v>35</v>
      </c>
      <c r="F12305">
        <v>11810015</v>
      </c>
      <c r="G12305" t="s">
        <v>9678</v>
      </c>
      <c r="H12305" s="21">
        <v>927.29</v>
      </c>
    </row>
    <row r="12306" spans="1:8" customFormat="1" x14ac:dyDescent="0.25">
      <c r="A12306" t="str">
        <f>"78823"</f>
        <v>78823</v>
      </c>
      <c r="B12306" t="s">
        <v>423</v>
      </c>
      <c r="C12306" t="s">
        <v>209</v>
      </c>
      <c r="D12306" s="21" t="s">
        <v>34</v>
      </c>
      <c r="E12306" s="21" t="s">
        <v>71</v>
      </c>
      <c r="F12306">
        <v>8780496</v>
      </c>
      <c r="G12306" t="s">
        <v>2477</v>
      </c>
      <c r="H12306" s="21">
        <v>927.29</v>
      </c>
    </row>
    <row r="12307" spans="1:8" customFormat="1" x14ac:dyDescent="0.25">
      <c r="A12307" t="str">
        <f>"776034"</f>
        <v>776034</v>
      </c>
      <c r="B12307" t="s">
        <v>3942</v>
      </c>
      <c r="C12307" t="s">
        <v>202</v>
      </c>
      <c r="D12307" s="21" t="s">
        <v>34</v>
      </c>
      <c r="E12307" s="21" t="s">
        <v>254</v>
      </c>
      <c r="F12307">
        <v>8771229</v>
      </c>
      <c r="G12307" t="s">
        <v>26815</v>
      </c>
      <c r="H12307" s="21">
        <v>927.17</v>
      </c>
    </row>
    <row r="12308" spans="1:8" customFormat="1" x14ac:dyDescent="0.25">
      <c r="A12308" t="str">
        <f>"62314"</f>
        <v>62314</v>
      </c>
      <c r="B12308" t="s">
        <v>11408</v>
      </c>
      <c r="C12308" t="s">
        <v>239</v>
      </c>
      <c r="D12308" s="21" t="s">
        <v>34</v>
      </c>
      <c r="E12308" s="21" t="s">
        <v>254</v>
      </c>
      <c r="F12308">
        <v>7620017</v>
      </c>
      <c r="G12308" t="s">
        <v>6559</v>
      </c>
      <c r="H12308" s="21">
        <v>927.17</v>
      </c>
    </row>
    <row r="12309" spans="1:8" customFormat="1" x14ac:dyDescent="0.25">
      <c r="A12309" t="str">
        <f>"38678"</f>
        <v>38678</v>
      </c>
      <c r="B12309" t="s">
        <v>10727</v>
      </c>
      <c r="C12309" t="s">
        <v>547</v>
      </c>
      <c r="D12309" s="21" t="s">
        <v>34</v>
      </c>
      <c r="E12309" s="21" t="s">
        <v>1089</v>
      </c>
      <c r="F12309">
        <v>1380290</v>
      </c>
      <c r="G12309" t="s">
        <v>619</v>
      </c>
      <c r="H12309" s="21">
        <v>927.17</v>
      </c>
    </row>
    <row r="12310" spans="1:8" customFormat="1" x14ac:dyDescent="0.25">
      <c r="A12310" t="str">
        <f>"6718205"</f>
        <v>6718205</v>
      </c>
      <c r="B12310" t="s">
        <v>12244</v>
      </c>
      <c r="C12310" t="s">
        <v>1946</v>
      </c>
      <c r="D12310" s="21" t="s">
        <v>34</v>
      </c>
      <c r="E12310" s="21" t="s">
        <v>71</v>
      </c>
      <c r="F12310">
        <v>6670066</v>
      </c>
      <c r="G12310" t="s">
        <v>12245</v>
      </c>
      <c r="H12310" s="21">
        <v>927.17</v>
      </c>
    </row>
    <row r="12311" spans="1:8" customFormat="1" x14ac:dyDescent="0.25">
      <c r="A12311" t="str">
        <f>"804018"</f>
        <v>804018</v>
      </c>
      <c r="B12311" t="s">
        <v>6719</v>
      </c>
      <c r="C12311" t="s">
        <v>2520</v>
      </c>
      <c r="D12311" s="21" t="s">
        <v>34</v>
      </c>
      <c r="E12311" s="21" t="s">
        <v>1089</v>
      </c>
      <c r="F12311">
        <v>7800001</v>
      </c>
      <c r="G12311" t="s">
        <v>176</v>
      </c>
      <c r="H12311" s="21">
        <v>927.17</v>
      </c>
    </row>
    <row r="12312" spans="1:8" customFormat="1" x14ac:dyDescent="0.25">
      <c r="A12312" t="str">
        <f>"2921609"</f>
        <v>2921609</v>
      </c>
      <c r="B12312" t="s">
        <v>11257</v>
      </c>
      <c r="C12312" t="s">
        <v>486</v>
      </c>
      <c r="D12312" s="21" t="s">
        <v>34</v>
      </c>
      <c r="E12312" s="21" t="s">
        <v>71</v>
      </c>
      <c r="F12312">
        <v>3290255</v>
      </c>
      <c r="G12312" t="s">
        <v>2852</v>
      </c>
      <c r="H12312" s="21">
        <v>927.17</v>
      </c>
    </row>
    <row r="12313" spans="1:8" customFormat="1" x14ac:dyDescent="0.25">
      <c r="A12313" t="str">
        <f>"60829"</f>
        <v>60829</v>
      </c>
      <c r="B12313" t="s">
        <v>9993</v>
      </c>
      <c r="C12313" t="s">
        <v>2907</v>
      </c>
      <c r="D12313" s="21" t="s">
        <v>34</v>
      </c>
      <c r="E12313" s="21" t="s">
        <v>71</v>
      </c>
      <c r="F12313">
        <v>7600035</v>
      </c>
      <c r="G12313" t="s">
        <v>4737</v>
      </c>
      <c r="H12313" s="21">
        <v>927.17</v>
      </c>
    </row>
    <row r="12314" spans="1:8" customFormat="1" x14ac:dyDescent="0.25">
      <c r="A12314" t="str">
        <f>"4443416"</f>
        <v>4443416</v>
      </c>
      <c r="B12314" t="s">
        <v>11773</v>
      </c>
      <c r="C12314" t="s">
        <v>462</v>
      </c>
      <c r="D12314" s="21" t="s">
        <v>34</v>
      </c>
      <c r="E12314" s="21" t="s">
        <v>71</v>
      </c>
      <c r="F12314">
        <v>12440058</v>
      </c>
      <c r="G12314" t="s">
        <v>394</v>
      </c>
      <c r="H12314" s="21">
        <v>927.17</v>
      </c>
    </row>
    <row r="12315" spans="1:8" customFormat="1" x14ac:dyDescent="0.25">
      <c r="A12315" t="str">
        <f>"6813463"</f>
        <v>6813463</v>
      </c>
      <c r="B12315" t="s">
        <v>8553</v>
      </c>
      <c r="C12315" t="s">
        <v>11477</v>
      </c>
      <c r="D12315" s="21" t="s">
        <v>34</v>
      </c>
      <c r="E12315" s="21" t="s">
        <v>71</v>
      </c>
      <c r="F12315">
        <v>6680125</v>
      </c>
      <c r="G12315" t="s">
        <v>6543</v>
      </c>
      <c r="H12315" s="21">
        <v>927.17</v>
      </c>
    </row>
    <row r="12316" spans="1:8" customFormat="1" x14ac:dyDescent="0.25">
      <c r="A12316" t="str">
        <f>"9141539"</f>
        <v>9141539</v>
      </c>
      <c r="B12316" t="s">
        <v>14580</v>
      </c>
      <c r="C12316" t="s">
        <v>82</v>
      </c>
      <c r="D12316" s="21" t="s">
        <v>34</v>
      </c>
      <c r="E12316" s="21" t="s">
        <v>35</v>
      </c>
      <c r="F12316">
        <v>8911132</v>
      </c>
      <c r="G12316" t="s">
        <v>10728</v>
      </c>
      <c r="H12316" s="21">
        <v>927.17</v>
      </c>
    </row>
    <row r="12317" spans="1:8" customFormat="1" x14ac:dyDescent="0.25">
      <c r="A12317" t="str">
        <f>"881333"</f>
        <v>881333</v>
      </c>
      <c r="B12317" t="s">
        <v>11341</v>
      </c>
      <c r="C12317" t="s">
        <v>124</v>
      </c>
      <c r="D12317" s="21" t="s">
        <v>34</v>
      </c>
      <c r="E12317" s="21" t="s">
        <v>71</v>
      </c>
      <c r="F12317">
        <v>6880017</v>
      </c>
      <c r="G12317" t="s">
        <v>5061</v>
      </c>
      <c r="H12317" s="21">
        <v>927.17</v>
      </c>
    </row>
    <row r="12318" spans="1:8" customFormat="1" x14ac:dyDescent="0.25">
      <c r="A12318" t="str">
        <f>"021398"</f>
        <v>021398</v>
      </c>
      <c r="B12318" t="s">
        <v>12152</v>
      </c>
      <c r="C12318" t="s">
        <v>121</v>
      </c>
      <c r="D12318" s="21" t="s">
        <v>34</v>
      </c>
      <c r="E12318" s="21" t="s">
        <v>35</v>
      </c>
      <c r="F12318">
        <v>7020064</v>
      </c>
      <c r="G12318" t="s">
        <v>8396</v>
      </c>
      <c r="H12318" s="21">
        <v>927.17</v>
      </c>
    </row>
    <row r="12319" spans="1:8" customFormat="1" x14ac:dyDescent="0.25">
      <c r="A12319" t="str">
        <f>"661363"</f>
        <v>661363</v>
      </c>
      <c r="B12319" t="s">
        <v>10884</v>
      </c>
      <c r="C12319" t="s">
        <v>7175</v>
      </c>
      <c r="D12319" s="21" t="s">
        <v>34</v>
      </c>
      <c r="E12319" s="21" t="s">
        <v>71</v>
      </c>
      <c r="F12319">
        <v>11660032</v>
      </c>
      <c r="G12319" t="s">
        <v>3232</v>
      </c>
      <c r="H12319" s="21">
        <v>927.17</v>
      </c>
    </row>
    <row r="12320" spans="1:8" customFormat="1" x14ac:dyDescent="0.25">
      <c r="A12320" t="str">
        <f>"24413"</f>
        <v>24413</v>
      </c>
      <c r="B12320" t="s">
        <v>10280</v>
      </c>
      <c r="C12320" t="s">
        <v>209</v>
      </c>
      <c r="D12320" s="21" t="s">
        <v>34</v>
      </c>
      <c r="E12320" s="21" t="s">
        <v>254</v>
      </c>
      <c r="F12320">
        <v>10240007</v>
      </c>
      <c r="G12320" t="s">
        <v>2326</v>
      </c>
      <c r="H12320" s="21">
        <v>927.17</v>
      </c>
    </row>
    <row r="12321" spans="1:8" customFormat="1" x14ac:dyDescent="0.25">
      <c r="A12321" t="str">
        <f>"9530970"</f>
        <v>9530970</v>
      </c>
      <c r="B12321" t="s">
        <v>11427</v>
      </c>
      <c r="C12321" t="s">
        <v>127</v>
      </c>
      <c r="D12321" s="21" t="s">
        <v>34</v>
      </c>
      <c r="E12321" s="21" t="s">
        <v>35</v>
      </c>
      <c r="F12321">
        <v>8950882</v>
      </c>
      <c r="G12321" t="s">
        <v>9516</v>
      </c>
      <c r="H12321" s="21">
        <v>927.17</v>
      </c>
    </row>
    <row r="12322" spans="1:8" customFormat="1" x14ac:dyDescent="0.25">
      <c r="A12322" t="str">
        <f>"50972"</f>
        <v>50972</v>
      </c>
      <c r="B12322" t="s">
        <v>3303</v>
      </c>
      <c r="C12322" t="s">
        <v>119</v>
      </c>
      <c r="D12322" s="21" t="s">
        <v>34</v>
      </c>
      <c r="E12322" s="21" t="s">
        <v>71</v>
      </c>
      <c r="F12322">
        <v>12440259</v>
      </c>
      <c r="G12322" t="s">
        <v>833</v>
      </c>
      <c r="H12322" s="21">
        <v>927.17</v>
      </c>
    </row>
    <row r="12323" spans="1:8" customFormat="1" x14ac:dyDescent="0.25">
      <c r="A12323" t="str">
        <f>"7813781"</f>
        <v>7813781</v>
      </c>
      <c r="B12323" t="s">
        <v>3781</v>
      </c>
      <c r="C12323" t="s">
        <v>87</v>
      </c>
      <c r="D12323" s="21" t="s">
        <v>34</v>
      </c>
      <c r="E12323" s="21" t="s">
        <v>71</v>
      </c>
      <c r="F12323">
        <v>8780632</v>
      </c>
      <c r="G12323" t="s">
        <v>1571</v>
      </c>
      <c r="H12323" s="21">
        <v>927.17</v>
      </c>
    </row>
    <row r="12324" spans="1:8" customFormat="1" x14ac:dyDescent="0.25">
      <c r="A12324" t="str">
        <f>"615766"</f>
        <v>615766</v>
      </c>
      <c r="B12324" t="s">
        <v>10713</v>
      </c>
      <c r="C12324" t="s">
        <v>55</v>
      </c>
      <c r="D12324" s="21" t="s">
        <v>34</v>
      </c>
      <c r="E12324" s="21" t="s">
        <v>71</v>
      </c>
      <c r="F12324">
        <v>9610148</v>
      </c>
      <c r="G12324" t="s">
        <v>8163</v>
      </c>
      <c r="H12324" s="21">
        <v>927.17</v>
      </c>
    </row>
    <row r="12325" spans="1:8" customFormat="1" x14ac:dyDescent="0.25">
      <c r="A12325" t="str">
        <f>"9213105"</f>
        <v>9213105</v>
      </c>
      <c r="B12325" t="s">
        <v>2306</v>
      </c>
      <c r="C12325" t="s">
        <v>2072</v>
      </c>
      <c r="D12325" s="21" t="s">
        <v>34</v>
      </c>
      <c r="E12325" s="21" t="s">
        <v>71</v>
      </c>
      <c r="F12325">
        <v>4450561</v>
      </c>
      <c r="G12325" t="s">
        <v>10125</v>
      </c>
      <c r="H12325" s="21">
        <v>927.17</v>
      </c>
    </row>
    <row r="12326" spans="1:8" customFormat="1" x14ac:dyDescent="0.25">
      <c r="A12326" t="str">
        <f>"61953"</f>
        <v>61953</v>
      </c>
      <c r="B12326" t="s">
        <v>5050</v>
      </c>
      <c r="C12326" t="s">
        <v>564</v>
      </c>
      <c r="D12326" s="21" t="s">
        <v>34</v>
      </c>
      <c r="E12326" s="21" t="s">
        <v>1089</v>
      </c>
      <c r="F12326">
        <v>9500063</v>
      </c>
      <c r="G12326" t="s">
        <v>4114</v>
      </c>
      <c r="H12326" s="21">
        <v>927.17</v>
      </c>
    </row>
    <row r="12327" spans="1:8" customFormat="1" x14ac:dyDescent="0.25">
      <c r="A12327" t="str">
        <f>"497078"</f>
        <v>497078</v>
      </c>
      <c r="B12327" t="s">
        <v>3847</v>
      </c>
      <c r="C12327" t="s">
        <v>239</v>
      </c>
      <c r="D12327" s="21" t="s">
        <v>34</v>
      </c>
      <c r="E12327" s="21" t="s">
        <v>254</v>
      </c>
      <c r="F12327">
        <v>12490003</v>
      </c>
      <c r="G12327" t="s">
        <v>7348</v>
      </c>
      <c r="H12327" s="21">
        <v>927.17</v>
      </c>
    </row>
    <row r="12328" spans="1:8" customFormat="1" x14ac:dyDescent="0.25">
      <c r="A12328" t="str">
        <f>"7612317"</f>
        <v>7612317</v>
      </c>
      <c r="B12328" t="s">
        <v>526</v>
      </c>
      <c r="C12328" t="s">
        <v>109</v>
      </c>
      <c r="D12328" s="21" t="s">
        <v>34</v>
      </c>
      <c r="E12328" s="21" t="s">
        <v>35</v>
      </c>
      <c r="F12328">
        <v>9760416</v>
      </c>
      <c r="G12328" t="s">
        <v>4614</v>
      </c>
      <c r="H12328" s="21">
        <v>927.04</v>
      </c>
    </row>
    <row r="12329" spans="1:8" customFormat="1" x14ac:dyDescent="0.25">
      <c r="A12329" t="str">
        <f>"2914311"</f>
        <v>2914311</v>
      </c>
      <c r="B12329" t="s">
        <v>10974</v>
      </c>
      <c r="C12329" t="s">
        <v>2520</v>
      </c>
      <c r="D12329" s="21" t="s">
        <v>34</v>
      </c>
      <c r="E12329" s="21" t="s">
        <v>71</v>
      </c>
      <c r="F12329">
        <v>3290214</v>
      </c>
      <c r="G12329" t="s">
        <v>10975</v>
      </c>
      <c r="H12329" s="21">
        <v>926.92</v>
      </c>
    </row>
    <row r="12330" spans="1:8" customFormat="1" x14ac:dyDescent="0.25">
      <c r="A12330" t="str">
        <f>"7517019"</f>
        <v>7517019</v>
      </c>
      <c r="B12330" t="s">
        <v>2023</v>
      </c>
      <c r="C12330" t="s">
        <v>239</v>
      </c>
      <c r="D12330" s="21" t="s">
        <v>34</v>
      </c>
      <c r="E12330" s="21" t="s">
        <v>71</v>
      </c>
      <c r="F12330">
        <v>8751271</v>
      </c>
      <c r="G12330" t="s">
        <v>1067</v>
      </c>
      <c r="H12330" s="21">
        <v>926.79</v>
      </c>
    </row>
    <row r="12331" spans="1:8" customFormat="1" x14ac:dyDescent="0.25">
      <c r="A12331" t="str">
        <f>"1313097"</f>
        <v>1313097</v>
      </c>
      <c r="B12331" t="s">
        <v>6807</v>
      </c>
      <c r="C12331" t="s">
        <v>130</v>
      </c>
      <c r="D12331" s="21" t="s">
        <v>34</v>
      </c>
      <c r="E12331" s="21" t="s">
        <v>254</v>
      </c>
      <c r="F12331">
        <v>13060008</v>
      </c>
      <c r="G12331" t="s">
        <v>36</v>
      </c>
      <c r="H12331" s="21">
        <v>926.67</v>
      </c>
    </row>
    <row r="12332" spans="1:8" customFormat="1" x14ac:dyDescent="0.25">
      <c r="A12332" t="str">
        <f>"168856"</f>
        <v>168856</v>
      </c>
      <c r="B12332" t="s">
        <v>1576</v>
      </c>
      <c r="C12332" t="s">
        <v>40</v>
      </c>
      <c r="D12332" s="21" t="s">
        <v>34</v>
      </c>
      <c r="E12332" s="21" t="s">
        <v>71</v>
      </c>
      <c r="F12332">
        <v>10160003</v>
      </c>
      <c r="G12332" t="s">
        <v>4692</v>
      </c>
      <c r="H12332" s="21">
        <v>926.67</v>
      </c>
    </row>
    <row r="12333" spans="1:8" customFormat="1" x14ac:dyDescent="0.25">
      <c r="A12333" t="str">
        <f>"4444568"</f>
        <v>4444568</v>
      </c>
      <c r="B12333" t="s">
        <v>27240</v>
      </c>
      <c r="C12333" t="s">
        <v>7923</v>
      </c>
      <c r="D12333" s="21" t="s">
        <v>34</v>
      </c>
      <c r="E12333" s="21" t="s">
        <v>35</v>
      </c>
      <c r="F12333">
        <v>12850063</v>
      </c>
      <c r="G12333" t="s">
        <v>10302</v>
      </c>
      <c r="H12333" s="21">
        <v>926.67</v>
      </c>
    </row>
    <row r="12334" spans="1:8" customFormat="1" x14ac:dyDescent="0.25">
      <c r="A12334" t="str">
        <f>"9424051"</f>
        <v>9424051</v>
      </c>
      <c r="B12334" t="s">
        <v>27241</v>
      </c>
      <c r="C12334" t="s">
        <v>2520</v>
      </c>
      <c r="D12334" s="21" t="s">
        <v>34</v>
      </c>
      <c r="E12334" s="21" t="s">
        <v>1089</v>
      </c>
      <c r="F12334">
        <v>8780902</v>
      </c>
      <c r="G12334" t="s">
        <v>6390</v>
      </c>
      <c r="H12334" s="21">
        <v>926.67</v>
      </c>
    </row>
    <row r="12335" spans="1:8" customFormat="1" x14ac:dyDescent="0.25">
      <c r="A12335" t="str">
        <f>"8524715"</f>
        <v>8524715</v>
      </c>
      <c r="B12335" t="s">
        <v>13042</v>
      </c>
      <c r="C12335" t="s">
        <v>49</v>
      </c>
      <c r="D12335" s="21" t="s">
        <v>34</v>
      </c>
      <c r="E12335" s="21" t="s">
        <v>35</v>
      </c>
      <c r="F12335">
        <v>12850165</v>
      </c>
      <c r="G12335" t="s">
        <v>9632</v>
      </c>
      <c r="H12335" s="21">
        <v>926.67</v>
      </c>
    </row>
    <row r="12336" spans="1:8" customFormat="1" x14ac:dyDescent="0.25">
      <c r="A12336" t="str">
        <f>"4110476"</f>
        <v>4110476</v>
      </c>
      <c r="B12336" t="s">
        <v>10988</v>
      </c>
      <c r="C12336" t="s">
        <v>328</v>
      </c>
      <c r="D12336" s="21" t="s">
        <v>34</v>
      </c>
      <c r="E12336" s="21" t="s">
        <v>35</v>
      </c>
      <c r="F12336">
        <v>4450751</v>
      </c>
      <c r="G12336" t="s">
        <v>442</v>
      </c>
      <c r="H12336" s="21">
        <v>926.67</v>
      </c>
    </row>
    <row r="12337" spans="1:8" customFormat="1" x14ac:dyDescent="0.25">
      <c r="A12337" t="str">
        <f>"019026"</f>
        <v>019026</v>
      </c>
      <c r="B12337" t="s">
        <v>970</v>
      </c>
      <c r="C12337" t="s">
        <v>3010</v>
      </c>
      <c r="D12337" s="21" t="s">
        <v>34</v>
      </c>
      <c r="E12337" s="21" t="s">
        <v>1089</v>
      </c>
      <c r="F12337">
        <v>10400004</v>
      </c>
      <c r="G12337" t="s">
        <v>2929</v>
      </c>
      <c r="H12337" s="21">
        <v>926.67</v>
      </c>
    </row>
    <row r="12338" spans="1:8" customFormat="1" x14ac:dyDescent="0.25">
      <c r="A12338" t="str">
        <f>"069902"</f>
        <v>069902</v>
      </c>
      <c r="B12338" t="s">
        <v>11516</v>
      </c>
      <c r="C12338" t="s">
        <v>55</v>
      </c>
      <c r="D12338" s="21" t="s">
        <v>34</v>
      </c>
      <c r="E12338" s="21" t="s">
        <v>35</v>
      </c>
      <c r="F12338">
        <v>13060110</v>
      </c>
      <c r="G12338" t="s">
        <v>3268</v>
      </c>
      <c r="H12338" s="21">
        <v>926.67</v>
      </c>
    </row>
    <row r="12339" spans="1:8" customFormat="1" x14ac:dyDescent="0.25">
      <c r="A12339" t="str">
        <f>"7847383"</f>
        <v>7847383</v>
      </c>
      <c r="B12339" t="s">
        <v>11256</v>
      </c>
      <c r="C12339" t="s">
        <v>275</v>
      </c>
      <c r="D12339" s="21" t="s">
        <v>34</v>
      </c>
      <c r="E12339" s="21" t="s">
        <v>35</v>
      </c>
      <c r="F12339">
        <v>8780108</v>
      </c>
      <c r="G12339" t="s">
        <v>4329</v>
      </c>
      <c r="H12339" s="21">
        <v>926.67</v>
      </c>
    </row>
    <row r="12340" spans="1:8" customFormat="1" x14ac:dyDescent="0.25">
      <c r="A12340" t="str">
        <f>"5951923"</f>
        <v>5951923</v>
      </c>
      <c r="B12340" t="s">
        <v>503</v>
      </c>
      <c r="C12340" t="s">
        <v>55</v>
      </c>
      <c r="D12340" s="21" t="s">
        <v>34</v>
      </c>
      <c r="E12340" s="21" t="s">
        <v>35</v>
      </c>
      <c r="F12340">
        <v>7590417</v>
      </c>
      <c r="G12340" t="s">
        <v>10387</v>
      </c>
      <c r="H12340" s="21">
        <v>926.67</v>
      </c>
    </row>
    <row r="12341" spans="1:8" customFormat="1" x14ac:dyDescent="0.25">
      <c r="A12341" t="str">
        <f>"303763"</f>
        <v>303763</v>
      </c>
      <c r="B12341" t="s">
        <v>2082</v>
      </c>
      <c r="C12341" t="s">
        <v>144</v>
      </c>
      <c r="D12341" s="21" t="s">
        <v>34</v>
      </c>
      <c r="E12341" s="21" t="s">
        <v>71</v>
      </c>
      <c r="F12341">
        <v>11300008</v>
      </c>
      <c r="G12341" t="s">
        <v>3165</v>
      </c>
      <c r="H12341" s="21">
        <v>926.67</v>
      </c>
    </row>
    <row r="12342" spans="1:8" customFormat="1" x14ac:dyDescent="0.25">
      <c r="A12342" t="str">
        <f>"6713271"</f>
        <v>6713271</v>
      </c>
      <c r="B12342" t="s">
        <v>10418</v>
      </c>
      <c r="C12342" t="s">
        <v>236</v>
      </c>
      <c r="D12342" s="21" t="s">
        <v>34</v>
      </c>
      <c r="E12342" s="21" t="s">
        <v>71</v>
      </c>
      <c r="F12342">
        <v>6670272</v>
      </c>
      <c r="G12342" t="s">
        <v>26568</v>
      </c>
      <c r="H12342" s="21">
        <v>926.67</v>
      </c>
    </row>
    <row r="12343" spans="1:8" customFormat="1" x14ac:dyDescent="0.25">
      <c r="A12343" t="str">
        <f>"28404"</f>
        <v>28404</v>
      </c>
      <c r="B12343" t="s">
        <v>3958</v>
      </c>
      <c r="C12343" t="s">
        <v>510</v>
      </c>
      <c r="D12343" s="21" t="s">
        <v>34</v>
      </c>
      <c r="E12343" s="21" t="s">
        <v>254</v>
      </c>
      <c r="F12343">
        <v>4280617</v>
      </c>
      <c r="G12343" t="s">
        <v>8540</v>
      </c>
      <c r="H12343" s="21">
        <v>926.67</v>
      </c>
    </row>
    <row r="12344" spans="1:8" customFormat="1" x14ac:dyDescent="0.25">
      <c r="A12344" t="str">
        <f>"477435"</f>
        <v>477435</v>
      </c>
      <c r="B12344" t="s">
        <v>11714</v>
      </c>
      <c r="C12344" t="s">
        <v>249</v>
      </c>
      <c r="D12344" s="21" t="s">
        <v>34</v>
      </c>
      <c r="E12344" s="21" t="s">
        <v>71</v>
      </c>
      <c r="F12344">
        <v>10470005</v>
      </c>
      <c r="G12344" t="s">
        <v>4216</v>
      </c>
      <c r="H12344" s="21">
        <v>926.54</v>
      </c>
    </row>
    <row r="12345" spans="1:8" customFormat="1" x14ac:dyDescent="0.25">
      <c r="A12345" t="str">
        <f>"4443158"</f>
        <v>4443158</v>
      </c>
      <c r="B12345" t="s">
        <v>13178</v>
      </c>
      <c r="C12345" t="s">
        <v>2072</v>
      </c>
      <c r="D12345" s="21" t="s">
        <v>34</v>
      </c>
      <c r="E12345" s="21" t="s">
        <v>35</v>
      </c>
      <c r="F12345">
        <v>12440023</v>
      </c>
      <c r="G12345" t="s">
        <v>3507</v>
      </c>
      <c r="H12345" s="21">
        <v>926.54</v>
      </c>
    </row>
    <row r="12346" spans="1:8" customFormat="1" x14ac:dyDescent="0.25">
      <c r="A12346" t="str">
        <f>"9447917"</f>
        <v>9447917</v>
      </c>
      <c r="B12346" t="s">
        <v>14933</v>
      </c>
      <c r="C12346" t="s">
        <v>124</v>
      </c>
      <c r="D12346" s="21" t="s">
        <v>34</v>
      </c>
      <c r="E12346" s="21" t="s">
        <v>35</v>
      </c>
      <c r="F12346">
        <v>8940458</v>
      </c>
      <c r="G12346" t="s">
        <v>26774</v>
      </c>
      <c r="H12346" s="21">
        <v>926.42</v>
      </c>
    </row>
    <row r="12347" spans="1:8" customFormat="1" x14ac:dyDescent="0.25">
      <c r="A12347" t="str">
        <f>"728799"</f>
        <v>728799</v>
      </c>
      <c r="B12347" t="s">
        <v>14450</v>
      </c>
      <c r="C12347" t="s">
        <v>267</v>
      </c>
      <c r="D12347" s="21" t="s">
        <v>34</v>
      </c>
      <c r="E12347" s="21" t="s">
        <v>1089</v>
      </c>
      <c r="F12347">
        <v>9610087</v>
      </c>
      <c r="G12347" t="s">
        <v>2661</v>
      </c>
      <c r="H12347" s="21">
        <v>926.42</v>
      </c>
    </row>
    <row r="12348" spans="1:8" customFormat="1" x14ac:dyDescent="0.25">
      <c r="A12348" t="str">
        <f>"6918247"</f>
        <v>6918247</v>
      </c>
      <c r="B12348" t="s">
        <v>11406</v>
      </c>
      <c r="C12348" t="s">
        <v>269</v>
      </c>
      <c r="D12348" s="21" t="s">
        <v>34</v>
      </c>
      <c r="E12348" s="21" t="s">
        <v>71</v>
      </c>
      <c r="F12348">
        <v>1690008</v>
      </c>
      <c r="G12348" t="s">
        <v>6276</v>
      </c>
      <c r="H12348" s="21">
        <v>926.42</v>
      </c>
    </row>
    <row r="12349" spans="1:8" customFormat="1" x14ac:dyDescent="0.25">
      <c r="A12349" t="str">
        <f>"4431237"</f>
        <v>4431237</v>
      </c>
      <c r="B12349" t="s">
        <v>8854</v>
      </c>
      <c r="C12349" t="s">
        <v>60</v>
      </c>
      <c r="D12349" s="21" t="s">
        <v>34</v>
      </c>
      <c r="E12349" s="21" t="s">
        <v>35</v>
      </c>
      <c r="F12349">
        <v>12440266</v>
      </c>
      <c r="G12349" t="s">
        <v>924</v>
      </c>
      <c r="H12349" s="21">
        <v>926.42</v>
      </c>
    </row>
    <row r="12350" spans="1:8" customFormat="1" x14ac:dyDescent="0.25">
      <c r="A12350" t="str">
        <f>"3316156"</f>
        <v>3316156</v>
      </c>
      <c r="B12350" t="s">
        <v>11741</v>
      </c>
      <c r="C12350" t="s">
        <v>33</v>
      </c>
      <c r="D12350" s="21" t="s">
        <v>34</v>
      </c>
      <c r="E12350" s="21" t="s">
        <v>35</v>
      </c>
      <c r="F12350">
        <v>10330121</v>
      </c>
      <c r="G12350" t="s">
        <v>5145</v>
      </c>
      <c r="H12350" s="21">
        <v>926.17</v>
      </c>
    </row>
    <row r="12351" spans="1:8" customFormat="1" x14ac:dyDescent="0.25">
      <c r="A12351" t="str">
        <f>"674274"</f>
        <v>674274</v>
      </c>
      <c r="B12351" t="s">
        <v>2614</v>
      </c>
      <c r="C12351" t="s">
        <v>598</v>
      </c>
      <c r="D12351" s="21" t="s">
        <v>34</v>
      </c>
      <c r="E12351" s="21" t="s">
        <v>71</v>
      </c>
      <c r="F12351">
        <v>6670045</v>
      </c>
      <c r="G12351" t="s">
        <v>707</v>
      </c>
      <c r="H12351" s="21">
        <v>926.17</v>
      </c>
    </row>
    <row r="12352" spans="1:8" customFormat="1" x14ac:dyDescent="0.25">
      <c r="A12352" t="str">
        <f>"869248"</f>
        <v>869248</v>
      </c>
      <c r="B12352" t="s">
        <v>10931</v>
      </c>
      <c r="C12352" t="s">
        <v>1146</v>
      </c>
      <c r="D12352" s="21" t="s">
        <v>34</v>
      </c>
      <c r="E12352" s="21" t="s">
        <v>1089</v>
      </c>
      <c r="F12352">
        <v>10860006</v>
      </c>
      <c r="G12352" t="s">
        <v>3004</v>
      </c>
      <c r="H12352" s="21">
        <v>926.17</v>
      </c>
    </row>
    <row r="12353" spans="1:8" customFormat="1" x14ac:dyDescent="0.25">
      <c r="A12353" t="str">
        <f>"259991"</f>
        <v>259991</v>
      </c>
      <c r="B12353" t="s">
        <v>7769</v>
      </c>
      <c r="C12353" t="s">
        <v>2305</v>
      </c>
      <c r="D12353" s="21" t="s">
        <v>34</v>
      </c>
      <c r="E12353" s="21" t="s">
        <v>1089</v>
      </c>
      <c r="F12353">
        <v>2250066</v>
      </c>
      <c r="G12353" t="s">
        <v>5321</v>
      </c>
      <c r="H12353" s="21">
        <v>926.17</v>
      </c>
    </row>
    <row r="12354" spans="1:8" customFormat="1" x14ac:dyDescent="0.25">
      <c r="A12354" t="str">
        <f>"2911183"</f>
        <v>2911183</v>
      </c>
      <c r="B12354" t="s">
        <v>11991</v>
      </c>
      <c r="C12354" t="s">
        <v>3397</v>
      </c>
      <c r="D12354" s="21" t="s">
        <v>34</v>
      </c>
      <c r="E12354" s="21" t="s">
        <v>35</v>
      </c>
      <c r="F12354">
        <v>3350113</v>
      </c>
      <c r="G12354" t="s">
        <v>7631</v>
      </c>
      <c r="H12354" s="21">
        <v>926.17</v>
      </c>
    </row>
    <row r="12355" spans="1:8" customFormat="1" x14ac:dyDescent="0.25">
      <c r="A12355" t="str">
        <f>"4431701"</f>
        <v>4431701</v>
      </c>
      <c r="B12355" t="s">
        <v>12463</v>
      </c>
      <c r="C12355" t="s">
        <v>1142</v>
      </c>
      <c r="D12355" s="21" t="s">
        <v>34</v>
      </c>
      <c r="E12355" s="21" t="s">
        <v>254</v>
      </c>
      <c r="F12355">
        <v>12440136</v>
      </c>
      <c r="G12355" t="s">
        <v>3271</v>
      </c>
      <c r="H12355" s="21">
        <v>926.17</v>
      </c>
    </row>
    <row r="12356" spans="1:8" customFormat="1" x14ac:dyDescent="0.25">
      <c r="A12356" t="str">
        <f>"863065"</f>
        <v>863065</v>
      </c>
      <c r="B12356" t="s">
        <v>3679</v>
      </c>
      <c r="C12356" t="s">
        <v>879</v>
      </c>
      <c r="D12356" s="21" t="s">
        <v>34</v>
      </c>
      <c r="E12356" s="21" t="s">
        <v>254</v>
      </c>
      <c r="F12356">
        <v>10860015</v>
      </c>
      <c r="G12356" t="s">
        <v>3680</v>
      </c>
      <c r="H12356" s="21">
        <v>926.17</v>
      </c>
    </row>
    <row r="12357" spans="1:8" customFormat="1" x14ac:dyDescent="0.25">
      <c r="A12357" t="str">
        <f>"381482"</f>
        <v>381482</v>
      </c>
      <c r="B12357" t="s">
        <v>11911</v>
      </c>
      <c r="C12357" t="s">
        <v>269</v>
      </c>
      <c r="D12357" s="21" t="s">
        <v>34</v>
      </c>
      <c r="E12357" s="21" t="s">
        <v>254</v>
      </c>
      <c r="F12357">
        <v>1380164</v>
      </c>
      <c r="G12357" t="s">
        <v>2728</v>
      </c>
      <c r="H12357" s="21">
        <v>926.17</v>
      </c>
    </row>
    <row r="12358" spans="1:8" customFormat="1" x14ac:dyDescent="0.25">
      <c r="A12358" t="str">
        <f>"564863"</f>
        <v>564863</v>
      </c>
      <c r="B12358" t="s">
        <v>8525</v>
      </c>
      <c r="C12358" t="s">
        <v>3010</v>
      </c>
      <c r="D12358" s="21" t="s">
        <v>34</v>
      </c>
      <c r="E12358" s="21" t="s">
        <v>6185</v>
      </c>
      <c r="F12358">
        <v>3290217</v>
      </c>
      <c r="G12358" t="s">
        <v>6770</v>
      </c>
      <c r="H12358" s="21">
        <v>926.17</v>
      </c>
    </row>
    <row r="12359" spans="1:8" customFormat="1" x14ac:dyDescent="0.25">
      <c r="A12359" t="str">
        <f>"5959973"</f>
        <v>5959973</v>
      </c>
      <c r="B12359" t="s">
        <v>679</v>
      </c>
      <c r="C12359" t="s">
        <v>109</v>
      </c>
      <c r="D12359" s="21" t="s">
        <v>34</v>
      </c>
      <c r="E12359" s="21" t="s">
        <v>71</v>
      </c>
      <c r="F12359">
        <v>7590093</v>
      </c>
      <c r="G12359" t="s">
        <v>7957</v>
      </c>
      <c r="H12359" s="21">
        <v>926.17</v>
      </c>
    </row>
    <row r="12360" spans="1:8" customFormat="1" x14ac:dyDescent="0.25">
      <c r="A12360" t="str">
        <f>"772830"</f>
        <v>772830</v>
      </c>
      <c r="B12360" t="s">
        <v>1506</v>
      </c>
      <c r="C12360" t="s">
        <v>40</v>
      </c>
      <c r="D12360" s="21" t="s">
        <v>34</v>
      </c>
      <c r="E12360" s="21" t="s">
        <v>71</v>
      </c>
      <c r="F12360">
        <v>3220132</v>
      </c>
      <c r="G12360" t="s">
        <v>27242</v>
      </c>
      <c r="H12360" s="21">
        <v>926.17</v>
      </c>
    </row>
    <row r="12361" spans="1:8" customFormat="1" x14ac:dyDescent="0.25">
      <c r="A12361" t="str">
        <f>"4420585"</f>
        <v>4420585</v>
      </c>
      <c r="B12361" t="s">
        <v>10949</v>
      </c>
      <c r="C12361" t="s">
        <v>198</v>
      </c>
      <c r="D12361" s="21" t="s">
        <v>34</v>
      </c>
      <c r="E12361" s="21" t="s">
        <v>71</v>
      </c>
      <c r="F12361">
        <v>12440039</v>
      </c>
      <c r="G12361" t="s">
        <v>9650</v>
      </c>
      <c r="H12361" s="21">
        <v>926.17</v>
      </c>
    </row>
    <row r="12362" spans="1:8" customFormat="1" x14ac:dyDescent="0.25">
      <c r="A12362" t="str">
        <f>"02302"</f>
        <v>02302</v>
      </c>
      <c r="B12362" t="s">
        <v>12066</v>
      </c>
      <c r="C12362" t="s">
        <v>2276</v>
      </c>
      <c r="D12362" s="21" t="s">
        <v>34</v>
      </c>
      <c r="E12362" s="21" t="s">
        <v>254</v>
      </c>
      <c r="F12362">
        <v>7020015</v>
      </c>
      <c r="G12362" t="s">
        <v>1289</v>
      </c>
      <c r="H12362" s="21">
        <v>926.17</v>
      </c>
    </row>
    <row r="12363" spans="1:8" customFormat="1" x14ac:dyDescent="0.25">
      <c r="A12363" t="str">
        <f>"491864"</f>
        <v>491864</v>
      </c>
      <c r="B12363" t="s">
        <v>10672</v>
      </c>
      <c r="C12363" t="s">
        <v>2730</v>
      </c>
      <c r="D12363" s="21" t="s">
        <v>34</v>
      </c>
      <c r="E12363" s="21" t="s">
        <v>1089</v>
      </c>
      <c r="F12363">
        <v>12440029</v>
      </c>
      <c r="G12363" t="s">
        <v>567</v>
      </c>
      <c r="H12363" s="21">
        <v>926.17</v>
      </c>
    </row>
    <row r="12364" spans="1:8" customFormat="1" x14ac:dyDescent="0.25">
      <c r="A12364" t="str">
        <f>"913713"</f>
        <v>913713</v>
      </c>
      <c r="B12364" t="s">
        <v>8862</v>
      </c>
      <c r="C12364" t="s">
        <v>328</v>
      </c>
      <c r="D12364" s="21" t="s">
        <v>34</v>
      </c>
      <c r="E12364" s="21" t="s">
        <v>35</v>
      </c>
      <c r="F12364">
        <v>12440160</v>
      </c>
      <c r="G12364" t="s">
        <v>6939</v>
      </c>
      <c r="H12364" s="21">
        <v>926.17</v>
      </c>
    </row>
    <row r="12365" spans="1:8" customFormat="1" x14ac:dyDescent="0.25">
      <c r="A12365" t="str">
        <f>"7636379"</f>
        <v>7636379</v>
      </c>
      <c r="B12365" t="s">
        <v>17323</v>
      </c>
      <c r="C12365" t="s">
        <v>98</v>
      </c>
      <c r="D12365" s="21" t="s">
        <v>34</v>
      </c>
      <c r="E12365" s="21" t="s">
        <v>35</v>
      </c>
      <c r="F12365">
        <v>9760428</v>
      </c>
      <c r="G12365" t="s">
        <v>5081</v>
      </c>
      <c r="H12365" s="21">
        <v>926.17</v>
      </c>
    </row>
    <row r="12366" spans="1:8" customFormat="1" x14ac:dyDescent="0.25">
      <c r="A12366" t="str">
        <f>"6216986"</f>
        <v>6216986</v>
      </c>
      <c r="B12366" t="s">
        <v>4229</v>
      </c>
      <c r="C12366" t="s">
        <v>65</v>
      </c>
      <c r="D12366" s="21" t="s">
        <v>34</v>
      </c>
      <c r="E12366" s="21" t="s">
        <v>35</v>
      </c>
      <c r="F12366">
        <v>7620044</v>
      </c>
      <c r="G12366" t="s">
        <v>2961</v>
      </c>
      <c r="H12366" s="21">
        <v>926.17</v>
      </c>
    </row>
    <row r="12367" spans="1:8" customFormat="1" x14ac:dyDescent="0.25">
      <c r="A12367" t="str">
        <f>"5312804"</f>
        <v>5312804</v>
      </c>
      <c r="B12367" t="s">
        <v>10303</v>
      </c>
      <c r="C12367" t="s">
        <v>139</v>
      </c>
      <c r="D12367" s="21" t="s">
        <v>34</v>
      </c>
      <c r="E12367" s="21" t="s">
        <v>35</v>
      </c>
      <c r="F12367">
        <v>12530068</v>
      </c>
      <c r="G12367" t="s">
        <v>5165</v>
      </c>
      <c r="H12367" s="21">
        <v>925.92</v>
      </c>
    </row>
    <row r="12368" spans="1:8" customFormat="1" x14ac:dyDescent="0.25">
      <c r="A12368" t="str">
        <f>"7715065"</f>
        <v>7715065</v>
      </c>
      <c r="B12368" t="s">
        <v>11539</v>
      </c>
      <c r="C12368" t="s">
        <v>239</v>
      </c>
      <c r="D12368" s="21" t="s">
        <v>34</v>
      </c>
      <c r="E12368" s="21" t="s">
        <v>35</v>
      </c>
      <c r="F12368">
        <v>8771448</v>
      </c>
      <c r="G12368" t="s">
        <v>11540</v>
      </c>
      <c r="H12368" s="21">
        <v>925.92</v>
      </c>
    </row>
    <row r="12369" spans="1:8" customFormat="1" x14ac:dyDescent="0.25">
      <c r="A12369" t="str">
        <f>"6942233"</f>
        <v>6942233</v>
      </c>
      <c r="B12369" t="s">
        <v>7443</v>
      </c>
      <c r="C12369" t="s">
        <v>109</v>
      </c>
      <c r="D12369" s="21" t="s">
        <v>34</v>
      </c>
      <c r="E12369" s="21" t="s">
        <v>35</v>
      </c>
      <c r="F12369">
        <v>1690004</v>
      </c>
      <c r="G12369" t="s">
        <v>12294</v>
      </c>
      <c r="H12369" s="21">
        <v>925.92</v>
      </c>
    </row>
    <row r="12370" spans="1:8" customFormat="1" x14ac:dyDescent="0.25">
      <c r="A12370" t="str">
        <f>"5612823"</f>
        <v>5612823</v>
      </c>
      <c r="B12370" t="s">
        <v>136</v>
      </c>
      <c r="C12370" t="s">
        <v>151</v>
      </c>
      <c r="D12370" s="21" t="s">
        <v>34</v>
      </c>
      <c r="E12370" s="21" t="s">
        <v>254</v>
      </c>
      <c r="F12370">
        <v>3560092</v>
      </c>
      <c r="G12370" t="s">
        <v>10630</v>
      </c>
      <c r="H12370" s="21">
        <v>925.67</v>
      </c>
    </row>
    <row r="12371" spans="1:8" customFormat="1" x14ac:dyDescent="0.25">
      <c r="A12371" t="str">
        <f>"3727417"</f>
        <v>3727417</v>
      </c>
      <c r="B12371" t="s">
        <v>14948</v>
      </c>
      <c r="C12371" t="s">
        <v>2072</v>
      </c>
      <c r="D12371" s="21" t="s">
        <v>34</v>
      </c>
      <c r="E12371" s="21" t="s">
        <v>35</v>
      </c>
      <c r="F12371">
        <v>4370002</v>
      </c>
      <c r="G12371" t="s">
        <v>112</v>
      </c>
      <c r="H12371" s="21">
        <v>925.67</v>
      </c>
    </row>
    <row r="12372" spans="1:8" customFormat="1" x14ac:dyDescent="0.25">
      <c r="A12372" t="str">
        <f>"4211485"</f>
        <v>4211485</v>
      </c>
      <c r="B12372" t="s">
        <v>11308</v>
      </c>
      <c r="C12372" t="s">
        <v>1665</v>
      </c>
      <c r="D12372" s="21" t="s">
        <v>34</v>
      </c>
      <c r="E12372" s="21" t="s">
        <v>35</v>
      </c>
      <c r="F12372">
        <v>1420018</v>
      </c>
      <c r="G12372" t="s">
        <v>9778</v>
      </c>
      <c r="H12372" s="21">
        <v>925.67</v>
      </c>
    </row>
    <row r="12373" spans="1:8" customFormat="1" x14ac:dyDescent="0.25">
      <c r="A12373" t="str">
        <f>"349304"</f>
        <v>349304</v>
      </c>
      <c r="B12373" t="s">
        <v>5935</v>
      </c>
      <c r="C12373" t="s">
        <v>1665</v>
      </c>
      <c r="D12373" s="21" t="s">
        <v>34</v>
      </c>
      <c r="E12373" s="21" t="s">
        <v>254</v>
      </c>
      <c r="F12373">
        <v>11340014</v>
      </c>
      <c r="G12373" t="s">
        <v>1455</v>
      </c>
      <c r="H12373" s="21">
        <v>925.67</v>
      </c>
    </row>
    <row r="12374" spans="1:8" customFormat="1" x14ac:dyDescent="0.25">
      <c r="A12374" t="str">
        <f>"471472"</f>
        <v>471472</v>
      </c>
      <c r="B12374" t="s">
        <v>11279</v>
      </c>
      <c r="C12374" t="s">
        <v>695</v>
      </c>
      <c r="D12374" s="21" t="s">
        <v>34</v>
      </c>
      <c r="E12374" s="21" t="s">
        <v>71</v>
      </c>
      <c r="F12374">
        <v>10470001</v>
      </c>
      <c r="G12374" t="s">
        <v>391</v>
      </c>
      <c r="H12374" s="21">
        <v>925.67</v>
      </c>
    </row>
    <row r="12375" spans="1:8" customFormat="1" x14ac:dyDescent="0.25">
      <c r="A12375" t="str">
        <f>"5938190"</f>
        <v>5938190</v>
      </c>
      <c r="B12375" t="s">
        <v>9535</v>
      </c>
      <c r="C12375" t="s">
        <v>43</v>
      </c>
      <c r="D12375" s="21" t="s">
        <v>34</v>
      </c>
      <c r="E12375" s="21" t="s">
        <v>35</v>
      </c>
      <c r="F12375">
        <v>7590112</v>
      </c>
      <c r="G12375" t="s">
        <v>3534</v>
      </c>
      <c r="H12375" s="21">
        <v>925.67</v>
      </c>
    </row>
    <row r="12376" spans="1:8" customFormat="1" x14ac:dyDescent="0.25">
      <c r="A12376" t="str">
        <f>"61476"</f>
        <v>61476</v>
      </c>
      <c r="B12376" t="s">
        <v>11020</v>
      </c>
      <c r="C12376" t="s">
        <v>87</v>
      </c>
      <c r="D12376" s="21" t="s">
        <v>34</v>
      </c>
      <c r="E12376" s="21" t="s">
        <v>71</v>
      </c>
      <c r="F12376">
        <v>9610034</v>
      </c>
      <c r="G12376" t="s">
        <v>11021</v>
      </c>
      <c r="H12376" s="21">
        <v>925.67</v>
      </c>
    </row>
    <row r="12377" spans="1:8" customFormat="1" x14ac:dyDescent="0.25">
      <c r="A12377" t="str">
        <f>"629652"</f>
        <v>629652</v>
      </c>
      <c r="B12377" t="s">
        <v>10544</v>
      </c>
      <c r="C12377" t="s">
        <v>10545</v>
      </c>
      <c r="D12377" s="21" t="s">
        <v>34</v>
      </c>
      <c r="E12377" s="21" t="s">
        <v>1089</v>
      </c>
      <c r="F12377">
        <v>7620005</v>
      </c>
      <c r="G12377" t="s">
        <v>200</v>
      </c>
      <c r="H12377" s="21">
        <v>925.67</v>
      </c>
    </row>
    <row r="12378" spans="1:8" customFormat="1" x14ac:dyDescent="0.25">
      <c r="A12378" t="str">
        <f>"519163"</f>
        <v>519163</v>
      </c>
      <c r="B12378" t="s">
        <v>12270</v>
      </c>
      <c r="C12378" t="s">
        <v>60</v>
      </c>
      <c r="D12378" s="21" t="s">
        <v>34</v>
      </c>
      <c r="E12378" s="21" t="s">
        <v>35</v>
      </c>
      <c r="F12378">
        <v>8771506</v>
      </c>
      <c r="G12378" t="s">
        <v>7314</v>
      </c>
      <c r="H12378" s="21">
        <v>925.67</v>
      </c>
    </row>
    <row r="12379" spans="1:8" customFormat="1" x14ac:dyDescent="0.25">
      <c r="A12379" t="str">
        <f>"4924680"</f>
        <v>4924680</v>
      </c>
      <c r="B12379" t="s">
        <v>9388</v>
      </c>
      <c r="C12379" t="s">
        <v>169</v>
      </c>
      <c r="D12379" s="21" t="s">
        <v>34</v>
      </c>
      <c r="E12379" s="21" t="s">
        <v>71</v>
      </c>
      <c r="F12379">
        <v>12490120</v>
      </c>
      <c r="G12379" t="s">
        <v>2316</v>
      </c>
      <c r="H12379" s="21">
        <v>925.67</v>
      </c>
    </row>
    <row r="12380" spans="1:8" customFormat="1" x14ac:dyDescent="0.25">
      <c r="A12380" t="str">
        <f>"9128159"</f>
        <v>9128159</v>
      </c>
      <c r="B12380" t="s">
        <v>10494</v>
      </c>
      <c r="C12380" t="s">
        <v>249</v>
      </c>
      <c r="D12380" s="21" t="s">
        <v>34</v>
      </c>
      <c r="E12380" s="21" t="s">
        <v>71</v>
      </c>
      <c r="F12380">
        <v>8911430</v>
      </c>
      <c r="G12380" t="s">
        <v>3523</v>
      </c>
      <c r="H12380" s="21">
        <v>925.67</v>
      </c>
    </row>
    <row r="12381" spans="1:8" customFormat="1" x14ac:dyDescent="0.25">
      <c r="A12381" t="str">
        <f>"259488"</f>
        <v>259488</v>
      </c>
      <c r="B12381" t="s">
        <v>10600</v>
      </c>
      <c r="C12381" t="s">
        <v>87</v>
      </c>
      <c r="D12381" s="21" t="s">
        <v>34</v>
      </c>
      <c r="E12381" s="21" t="s">
        <v>35</v>
      </c>
      <c r="F12381">
        <v>2250024</v>
      </c>
      <c r="G12381" t="s">
        <v>751</v>
      </c>
      <c r="H12381" s="21">
        <v>925.67</v>
      </c>
    </row>
    <row r="12382" spans="1:8" customFormat="1" x14ac:dyDescent="0.25">
      <c r="A12382" t="str">
        <f>"4429313"</f>
        <v>4429313</v>
      </c>
      <c r="B12382" t="s">
        <v>11762</v>
      </c>
      <c r="C12382" t="s">
        <v>127</v>
      </c>
      <c r="D12382" s="21" t="s">
        <v>34</v>
      </c>
      <c r="E12382" s="21" t="s">
        <v>35</v>
      </c>
      <c r="F12382">
        <v>12440073</v>
      </c>
      <c r="G12382" t="s">
        <v>3492</v>
      </c>
      <c r="H12382" s="21">
        <v>925.67</v>
      </c>
    </row>
    <row r="12383" spans="1:8" customFormat="1" x14ac:dyDescent="0.25">
      <c r="A12383" t="str">
        <f>"9143569"</f>
        <v>9143569</v>
      </c>
      <c r="B12383" t="s">
        <v>13600</v>
      </c>
      <c r="C12383" t="s">
        <v>3115</v>
      </c>
      <c r="D12383" s="21" t="s">
        <v>34</v>
      </c>
      <c r="E12383" s="21" t="s">
        <v>71</v>
      </c>
      <c r="F12383">
        <v>8910042</v>
      </c>
      <c r="G12383" t="s">
        <v>4009</v>
      </c>
      <c r="H12383" s="21">
        <v>925.67</v>
      </c>
    </row>
    <row r="12384" spans="1:8" customFormat="1" x14ac:dyDescent="0.25">
      <c r="A12384" t="str">
        <f>"043815"</f>
        <v>043815</v>
      </c>
      <c r="B12384" t="s">
        <v>15894</v>
      </c>
      <c r="C12384" t="s">
        <v>33</v>
      </c>
      <c r="D12384" s="21" t="s">
        <v>34</v>
      </c>
      <c r="E12384" s="21" t="s">
        <v>35</v>
      </c>
      <c r="F12384">
        <v>13040030</v>
      </c>
      <c r="G12384" t="s">
        <v>1903</v>
      </c>
      <c r="H12384" s="21">
        <v>925.54</v>
      </c>
    </row>
    <row r="12385" spans="1:8" customFormat="1" x14ac:dyDescent="0.25">
      <c r="A12385" t="str">
        <f>"954733"</f>
        <v>954733</v>
      </c>
      <c r="B12385" t="s">
        <v>461</v>
      </c>
      <c r="C12385" t="s">
        <v>2356</v>
      </c>
      <c r="D12385" s="21" t="s">
        <v>34</v>
      </c>
      <c r="E12385" s="21" t="s">
        <v>71</v>
      </c>
      <c r="F12385">
        <v>8950262</v>
      </c>
      <c r="G12385" t="s">
        <v>1881</v>
      </c>
      <c r="H12385" s="21">
        <v>925.54</v>
      </c>
    </row>
    <row r="12386" spans="1:8" customFormat="1" x14ac:dyDescent="0.25">
      <c r="A12386" t="str">
        <f>"319079"</f>
        <v>319079</v>
      </c>
      <c r="B12386" t="s">
        <v>10927</v>
      </c>
      <c r="C12386" t="s">
        <v>90</v>
      </c>
      <c r="D12386" s="21" t="s">
        <v>34</v>
      </c>
      <c r="E12386" s="21" t="s">
        <v>35</v>
      </c>
      <c r="F12386">
        <v>11810030</v>
      </c>
      <c r="G12386" t="s">
        <v>27055</v>
      </c>
      <c r="H12386" s="21">
        <v>925.29</v>
      </c>
    </row>
    <row r="12387" spans="1:8" customFormat="1" x14ac:dyDescent="0.25">
      <c r="A12387" t="str">
        <f>"9319732"</f>
        <v>9319732</v>
      </c>
      <c r="B12387" t="s">
        <v>11483</v>
      </c>
      <c r="C12387" t="s">
        <v>4238</v>
      </c>
      <c r="D12387" s="21" t="s">
        <v>34</v>
      </c>
      <c r="E12387" s="21" t="s">
        <v>35</v>
      </c>
      <c r="F12387">
        <v>8930024</v>
      </c>
      <c r="G12387" t="s">
        <v>44</v>
      </c>
      <c r="H12387" s="21">
        <v>925.29</v>
      </c>
    </row>
    <row r="12388" spans="1:8" customFormat="1" x14ac:dyDescent="0.25">
      <c r="A12388" t="str">
        <f>"3512750"</f>
        <v>3512750</v>
      </c>
      <c r="B12388" t="s">
        <v>11393</v>
      </c>
      <c r="C12388" t="s">
        <v>87</v>
      </c>
      <c r="D12388" s="21" t="s">
        <v>34</v>
      </c>
      <c r="E12388" s="21" t="s">
        <v>71</v>
      </c>
      <c r="F12388">
        <v>3350095</v>
      </c>
      <c r="G12388" t="s">
        <v>5813</v>
      </c>
      <c r="H12388" s="21">
        <v>925.17</v>
      </c>
    </row>
    <row r="12389" spans="1:8" customFormat="1" x14ac:dyDescent="0.25">
      <c r="A12389" t="str">
        <f>"594139"</f>
        <v>594139</v>
      </c>
      <c r="B12389" t="s">
        <v>4516</v>
      </c>
      <c r="C12389" t="s">
        <v>453</v>
      </c>
      <c r="D12389" s="21" t="s">
        <v>34</v>
      </c>
      <c r="E12389" s="21" t="s">
        <v>71</v>
      </c>
      <c r="F12389">
        <v>7590054</v>
      </c>
      <c r="G12389" t="s">
        <v>12599</v>
      </c>
      <c r="H12389" s="21">
        <v>925.17</v>
      </c>
    </row>
    <row r="12390" spans="1:8" customFormat="1" x14ac:dyDescent="0.25">
      <c r="A12390" t="str">
        <f>"0835"</f>
        <v>0835</v>
      </c>
      <c r="B12390" t="s">
        <v>3133</v>
      </c>
      <c r="C12390" t="s">
        <v>253</v>
      </c>
      <c r="D12390" s="21" t="s">
        <v>34</v>
      </c>
      <c r="E12390" s="21" t="s">
        <v>254</v>
      </c>
      <c r="F12390">
        <v>13830013</v>
      </c>
      <c r="G12390" t="s">
        <v>3374</v>
      </c>
      <c r="H12390" s="21">
        <v>925.17</v>
      </c>
    </row>
    <row r="12391" spans="1:8" customFormat="1" x14ac:dyDescent="0.25">
      <c r="A12391" t="str">
        <f>"492470"</f>
        <v>492470</v>
      </c>
      <c r="B12391" t="s">
        <v>11980</v>
      </c>
      <c r="C12391" t="s">
        <v>664</v>
      </c>
      <c r="D12391" s="21" t="s">
        <v>34</v>
      </c>
      <c r="E12391" s="21" t="s">
        <v>71</v>
      </c>
      <c r="F12391">
        <v>12490134</v>
      </c>
      <c r="G12391" t="s">
        <v>4880</v>
      </c>
      <c r="H12391" s="21">
        <v>925.17</v>
      </c>
    </row>
    <row r="12392" spans="1:8" customFormat="1" x14ac:dyDescent="0.25">
      <c r="A12392" t="str">
        <f>"6016997"</f>
        <v>6016997</v>
      </c>
      <c r="B12392" t="s">
        <v>10482</v>
      </c>
      <c r="C12392" t="s">
        <v>249</v>
      </c>
      <c r="D12392" s="21" t="s">
        <v>34</v>
      </c>
      <c r="E12392" s="21" t="s">
        <v>71</v>
      </c>
      <c r="F12392">
        <v>7600009</v>
      </c>
      <c r="G12392" t="s">
        <v>11824</v>
      </c>
      <c r="H12392" s="21">
        <v>925.17</v>
      </c>
    </row>
    <row r="12393" spans="1:8" customFormat="1" x14ac:dyDescent="0.25">
      <c r="A12393" t="str">
        <f>"9525951"</f>
        <v>9525951</v>
      </c>
      <c r="B12393" t="s">
        <v>10214</v>
      </c>
      <c r="C12393" t="s">
        <v>236</v>
      </c>
      <c r="D12393" s="21" t="s">
        <v>34</v>
      </c>
      <c r="E12393" s="21" t="s">
        <v>71</v>
      </c>
      <c r="F12393">
        <v>8950083</v>
      </c>
      <c r="G12393" t="s">
        <v>405</v>
      </c>
      <c r="H12393" s="21">
        <v>925.17</v>
      </c>
    </row>
    <row r="12394" spans="1:8" customFormat="1" x14ac:dyDescent="0.25">
      <c r="A12394" t="str">
        <f>"08789"</f>
        <v>08789</v>
      </c>
      <c r="B12394" t="s">
        <v>13487</v>
      </c>
      <c r="C12394" t="s">
        <v>428</v>
      </c>
      <c r="D12394" s="21" t="s">
        <v>34</v>
      </c>
      <c r="E12394" s="21" t="s">
        <v>71</v>
      </c>
      <c r="F12394">
        <v>6080035</v>
      </c>
      <c r="G12394" t="s">
        <v>583</v>
      </c>
      <c r="H12394" s="21">
        <v>925.17</v>
      </c>
    </row>
    <row r="12395" spans="1:8" customFormat="1" x14ac:dyDescent="0.25">
      <c r="A12395" t="str">
        <f>"2915329"</f>
        <v>2915329</v>
      </c>
      <c r="B12395" t="s">
        <v>12089</v>
      </c>
      <c r="C12395" t="s">
        <v>239</v>
      </c>
      <c r="D12395" s="21" t="s">
        <v>34</v>
      </c>
      <c r="E12395" s="21" t="s">
        <v>254</v>
      </c>
      <c r="F12395">
        <v>3290266</v>
      </c>
      <c r="G12395" t="s">
        <v>1783</v>
      </c>
      <c r="H12395" s="21">
        <v>925.17</v>
      </c>
    </row>
    <row r="12396" spans="1:8" customFormat="1" x14ac:dyDescent="0.25">
      <c r="A12396" t="str">
        <f>"6938344"</f>
        <v>6938344</v>
      </c>
      <c r="B12396" t="s">
        <v>11088</v>
      </c>
      <c r="C12396" t="s">
        <v>598</v>
      </c>
      <c r="D12396" s="21" t="s">
        <v>34</v>
      </c>
      <c r="E12396" s="21" t="s">
        <v>254</v>
      </c>
      <c r="F12396">
        <v>1690030</v>
      </c>
      <c r="G12396" t="s">
        <v>432</v>
      </c>
      <c r="H12396" s="21">
        <v>925.17</v>
      </c>
    </row>
    <row r="12397" spans="1:8" customFormat="1" x14ac:dyDescent="0.25">
      <c r="A12397" t="str">
        <f>"617320"</f>
        <v>617320</v>
      </c>
      <c r="B12397" t="s">
        <v>11505</v>
      </c>
      <c r="C12397" t="s">
        <v>40</v>
      </c>
      <c r="D12397" s="21" t="s">
        <v>34</v>
      </c>
      <c r="E12397" s="21" t="s">
        <v>71</v>
      </c>
      <c r="F12397">
        <v>9610129</v>
      </c>
      <c r="G12397" t="s">
        <v>11506</v>
      </c>
      <c r="H12397" s="21">
        <v>925.17</v>
      </c>
    </row>
    <row r="12398" spans="1:8" customFormat="1" x14ac:dyDescent="0.25">
      <c r="A12398" t="str">
        <f>"4514723"</f>
        <v>4514723</v>
      </c>
      <c r="B12398" t="s">
        <v>12738</v>
      </c>
      <c r="C12398" t="s">
        <v>82</v>
      </c>
      <c r="D12398" s="21" t="s">
        <v>34</v>
      </c>
      <c r="E12398" s="21" t="s">
        <v>35</v>
      </c>
      <c r="F12398">
        <v>4450768</v>
      </c>
      <c r="G12398" t="s">
        <v>12739</v>
      </c>
      <c r="H12398" s="21">
        <v>925.17</v>
      </c>
    </row>
    <row r="12399" spans="1:8" customFormat="1" x14ac:dyDescent="0.25">
      <c r="A12399" t="str">
        <f>"77801"</f>
        <v>77801</v>
      </c>
      <c r="B12399" t="s">
        <v>10050</v>
      </c>
      <c r="C12399" t="s">
        <v>1146</v>
      </c>
      <c r="D12399" s="21" t="s">
        <v>34</v>
      </c>
      <c r="E12399" s="21" t="s">
        <v>1089</v>
      </c>
      <c r="F12399">
        <v>8770865</v>
      </c>
      <c r="G12399" t="s">
        <v>1426</v>
      </c>
      <c r="H12399" s="21">
        <v>925.17</v>
      </c>
    </row>
    <row r="12400" spans="1:8" customFormat="1" x14ac:dyDescent="0.25">
      <c r="A12400" t="str">
        <f>"82969"</f>
        <v>82969</v>
      </c>
      <c r="B12400" t="s">
        <v>27243</v>
      </c>
      <c r="C12400" t="s">
        <v>62</v>
      </c>
      <c r="D12400" s="21" t="s">
        <v>34</v>
      </c>
      <c r="E12400" s="21" t="s">
        <v>35</v>
      </c>
      <c r="F12400">
        <v>11460021</v>
      </c>
      <c r="G12400" t="s">
        <v>6727</v>
      </c>
      <c r="H12400" s="21">
        <v>925.17</v>
      </c>
    </row>
    <row r="12401" spans="1:8" customFormat="1" x14ac:dyDescent="0.25">
      <c r="A12401" t="str">
        <f>"5972099"</f>
        <v>5972099</v>
      </c>
      <c r="B12401" t="s">
        <v>1147</v>
      </c>
      <c r="C12401" t="s">
        <v>484</v>
      </c>
      <c r="D12401" s="21" t="s">
        <v>34</v>
      </c>
      <c r="E12401" s="21" t="s">
        <v>35</v>
      </c>
      <c r="F12401">
        <v>7590194</v>
      </c>
      <c r="G12401" t="s">
        <v>460</v>
      </c>
      <c r="H12401" s="21">
        <v>925.17</v>
      </c>
    </row>
    <row r="12402" spans="1:8" customFormat="1" x14ac:dyDescent="0.25">
      <c r="A12402" t="str">
        <f>"5725266"</f>
        <v>5725266</v>
      </c>
      <c r="B12402" t="s">
        <v>11074</v>
      </c>
      <c r="C12402" t="s">
        <v>267</v>
      </c>
      <c r="D12402" s="21" t="s">
        <v>34</v>
      </c>
      <c r="E12402" s="21" t="s">
        <v>71</v>
      </c>
      <c r="F12402">
        <v>6570057</v>
      </c>
      <c r="G12402" t="s">
        <v>8333</v>
      </c>
      <c r="H12402" s="21">
        <v>925.17</v>
      </c>
    </row>
    <row r="12403" spans="1:8" customFormat="1" x14ac:dyDescent="0.25">
      <c r="A12403" t="str">
        <f>"4516470"</f>
        <v>4516470</v>
      </c>
      <c r="B12403" t="s">
        <v>5476</v>
      </c>
      <c r="C12403" t="s">
        <v>328</v>
      </c>
      <c r="D12403" s="21" t="s">
        <v>34</v>
      </c>
      <c r="E12403" s="21" t="s">
        <v>71</v>
      </c>
      <c r="F12403">
        <v>4450108</v>
      </c>
      <c r="G12403" t="s">
        <v>2354</v>
      </c>
      <c r="H12403" s="21">
        <v>925.04</v>
      </c>
    </row>
    <row r="12404" spans="1:8" customFormat="1" x14ac:dyDescent="0.25">
      <c r="A12404" t="str">
        <f>"9316924"</f>
        <v>9316924</v>
      </c>
      <c r="B12404" t="s">
        <v>10462</v>
      </c>
      <c r="C12404" t="s">
        <v>9039</v>
      </c>
      <c r="D12404" s="21" t="s">
        <v>34</v>
      </c>
      <c r="E12404" s="21" t="s">
        <v>254</v>
      </c>
      <c r="F12404">
        <v>8930148</v>
      </c>
      <c r="G12404" t="s">
        <v>1915</v>
      </c>
      <c r="H12404" s="21">
        <v>925.04</v>
      </c>
    </row>
    <row r="12405" spans="1:8" customFormat="1" x14ac:dyDescent="0.25">
      <c r="A12405" t="str">
        <f>"939043"</f>
        <v>939043</v>
      </c>
      <c r="B12405" t="s">
        <v>2386</v>
      </c>
      <c r="C12405" t="s">
        <v>929</v>
      </c>
      <c r="D12405" s="21" t="s">
        <v>34</v>
      </c>
      <c r="E12405" s="21" t="s">
        <v>35</v>
      </c>
      <c r="F12405">
        <v>11340010</v>
      </c>
      <c r="G12405" t="s">
        <v>66</v>
      </c>
      <c r="H12405" s="21">
        <v>925</v>
      </c>
    </row>
    <row r="12406" spans="1:8" customFormat="1" x14ac:dyDescent="0.25">
      <c r="A12406" t="str">
        <f>"5424969"</f>
        <v>5424969</v>
      </c>
      <c r="B12406" t="s">
        <v>10676</v>
      </c>
      <c r="C12406" t="s">
        <v>209</v>
      </c>
      <c r="D12406" s="21" t="s">
        <v>34</v>
      </c>
      <c r="E12406" s="21" t="s">
        <v>35</v>
      </c>
      <c r="F12406">
        <v>6570201</v>
      </c>
      <c r="G12406" t="s">
        <v>3296</v>
      </c>
      <c r="H12406" s="21">
        <v>924.92</v>
      </c>
    </row>
    <row r="12407" spans="1:8" customFormat="1" x14ac:dyDescent="0.25">
      <c r="A12407" t="str">
        <f>"2218077"</f>
        <v>2218077</v>
      </c>
      <c r="B12407" t="s">
        <v>13661</v>
      </c>
      <c r="C12407" t="s">
        <v>65</v>
      </c>
      <c r="D12407" s="21" t="s">
        <v>34</v>
      </c>
      <c r="E12407" s="21" t="s">
        <v>35</v>
      </c>
      <c r="F12407">
        <v>3220008</v>
      </c>
      <c r="G12407" t="s">
        <v>6845</v>
      </c>
      <c r="H12407" s="21">
        <v>924.92</v>
      </c>
    </row>
    <row r="12408" spans="1:8" customFormat="1" x14ac:dyDescent="0.25">
      <c r="A12408" t="str">
        <f>"6725419"</f>
        <v>6725419</v>
      </c>
      <c r="B12408" t="s">
        <v>12651</v>
      </c>
      <c r="C12408" t="s">
        <v>12652</v>
      </c>
      <c r="D12408" s="21" t="s">
        <v>34</v>
      </c>
      <c r="E12408" s="21" t="s">
        <v>71</v>
      </c>
      <c r="F12408">
        <v>6670072</v>
      </c>
      <c r="G12408" t="s">
        <v>4154</v>
      </c>
      <c r="H12408" s="21">
        <v>924.79</v>
      </c>
    </row>
    <row r="12409" spans="1:8" customFormat="1" x14ac:dyDescent="0.25">
      <c r="A12409" t="str">
        <f>"506141"</f>
        <v>506141</v>
      </c>
      <c r="B12409" t="s">
        <v>4199</v>
      </c>
      <c r="C12409" t="s">
        <v>239</v>
      </c>
      <c r="D12409" s="21" t="s">
        <v>34</v>
      </c>
      <c r="E12409" s="21" t="s">
        <v>254</v>
      </c>
      <c r="F12409">
        <v>9500014</v>
      </c>
      <c r="G12409" t="s">
        <v>12474</v>
      </c>
      <c r="H12409" s="21">
        <v>924.67</v>
      </c>
    </row>
    <row r="12410" spans="1:8" customFormat="1" x14ac:dyDescent="0.25">
      <c r="A12410" t="str">
        <f>"724531"</f>
        <v>724531</v>
      </c>
      <c r="B12410" t="s">
        <v>8220</v>
      </c>
      <c r="C12410" t="s">
        <v>209</v>
      </c>
      <c r="D12410" s="21" t="s">
        <v>34</v>
      </c>
      <c r="E12410" s="21" t="s">
        <v>71</v>
      </c>
      <c r="F12410">
        <v>12720067</v>
      </c>
      <c r="G12410" t="s">
        <v>10622</v>
      </c>
      <c r="H12410" s="21">
        <v>924.67</v>
      </c>
    </row>
    <row r="12411" spans="1:8" customFormat="1" x14ac:dyDescent="0.25">
      <c r="A12411" t="str">
        <f>"522822"</f>
        <v>522822</v>
      </c>
      <c r="B12411" t="s">
        <v>10487</v>
      </c>
      <c r="C12411" t="s">
        <v>269</v>
      </c>
      <c r="D12411" s="21" t="s">
        <v>34</v>
      </c>
      <c r="E12411" s="21" t="s">
        <v>71</v>
      </c>
      <c r="F12411">
        <v>6520004</v>
      </c>
      <c r="G12411" t="s">
        <v>5152</v>
      </c>
      <c r="H12411" s="21">
        <v>924.67</v>
      </c>
    </row>
    <row r="12412" spans="1:8" customFormat="1" x14ac:dyDescent="0.25">
      <c r="A12412" t="str">
        <f>"8517754"</f>
        <v>8517754</v>
      </c>
      <c r="B12412" t="s">
        <v>6985</v>
      </c>
      <c r="C12412" t="s">
        <v>267</v>
      </c>
      <c r="D12412" s="21" t="s">
        <v>34</v>
      </c>
      <c r="E12412" s="21" t="s">
        <v>1089</v>
      </c>
      <c r="F12412">
        <v>12850016</v>
      </c>
      <c r="G12412" t="s">
        <v>26554</v>
      </c>
      <c r="H12412" s="21">
        <v>924.67</v>
      </c>
    </row>
    <row r="12413" spans="1:8" customFormat="1" x14ac:dyDescent="0.25">
      <c r="A12413" t="str">
        <f>"6111750"</f>
        <v>6111750</v>
      </c>
      <c r="B12413" t="s">
        <v>12052</v>
      </c>
      <c r="C12413" t="s">
        <v>302</v>
      </c>
      <c r="D12413" s="21" t="s">
        <v>34</v>
      </c>
      <c r="E12413" s="21" t="s">
        <v>35</v>
      </c>
      <c r="F12413">
        <v>9610119</v>
      </c>
      <c r="G12413" t="s">
        <v>6655</v>
      </c>
      <c r="H12413" s="21">
        <v>924.67</v>
      </c>
    </row>
    <row r="12414" spans="1:8" customFormat="1" x14ac:dyDescent="0.25">
      <c r="A12414" t="str">
        <f>"2922717"</f>
        <v>2922717</v>
      </c>
      <c r="B12414" t="s">
        <v>11878</v>
      </c>
      <c r="C12414" t="s">
        <v>269</v>
      </c>
      <c r="D12414" s="21" t="s">
        <v>34</v>
      </c>
      <c r="E12414" s="21" t="s">
        <v>71</v>
      </c>
      <c r="F12414">
        <v>3290036</v>
      </c>
      <c r="G12414" t="s">
        <v>3903</v>
      </c>
      <c r="H12414" s="21">
        <v>924.67</v>
      </c>
    </row>
    <row r="12415" spans="1:8" customFormat="1" x14ac:dyDescent="0.25">
      <c r="A12415" t="str">
        <f>"6314405"</f>
        <v>6314405</v>
      </c>
      <c r="B12415" t="s">
        <v>12095</v>
      </c>
      <c r="C12415" t="s">
        <v>209</v>
      </c>
      <c r="D12415" s="21" t="s">
        <v>34</v>
      </c>
      <c r="E12415" s="21" t="s">
        <v>71</v>
      </c>
      <c r="F12415">
        <v>1030035</v>
      </c>
      <c r="G12415" t="s">
        <v>2343</v>
      </c>
      <c r="H12415" s="21">
        <v>924.67</v>
      </c>
    </row>
    <row r="12416" spans="1:8" customFormat="1" x14ac:dyDescent="0.25">
      <c r="A12416" t="str">
        <f>"4425686"</f>
        <v>4425686</v>
      </c>
      <c r="B12416" t="s">
        <v>6232</v>
      </c>
      <c r="C12416" t="s">
        <v>1665</v>
      </c>
      <c r="D12416" s="21" t="s">
        <v>34</v>
      </c>
      <c r="E12416" s="21" t="s">
        <v>254</v>
      </c>
      <c r="F12416">
        <v>12440239</v>
      </c>
      <c r="G12416" t="s">
        <v>11158</v>
      </c>
      <c r="H12416" s="21">
        <v>924.67</v>
      </c>
    </row>
    <row r="12417" spans="1:8" customFormat="1" x14ac:dyDescent="0.25">
      <c r="A12417" t="str">
        <f>"5976574"</f>
        <v>5976574</v>
      </c>
      <c r="B12417" t="s">
        <v>3089</v>
      </c>
      <c r="C12417" t="s">
        <v>285</v>
      </c>
      <c r="D12417" s="21" t="s">
        <v>34</v>
      </c>
      <c r="E12417" s="21" t="s">
        <v>35</v>
      </c>
      <c r="F12417">
        <v>7590336</v>
      </c>
      <c r="G12417" t="s">
        <v>2341</v>
      </c>
      <c r="H12417" s="21">
        <v>924.67</v>
      </c>
    </row>
    <row r="12418" spans="1:8" customFormat="1" x14ac:dyDescent="0.25">
      <c r="A12418" t="str">
        <f>"5944593"</f>
        <v>5944593</v>
      </c>
      <c r="B12418" t="s">
        <v>11436</v>
      </c>
      <c r="C12418" t="s">
        <v>269</v>
      </c>
      <c r="D12418" s="21" t="s">
        <v>34</v>
      </c>
      <c r="E12418" s="21" t="s">
        <v>71</v>
      </c>
      <c r="F12418">
        <v>7590400</v>
      </c>
      <c r="G12418" t="s">
        <v>26692</v>
      </c>
      <c r="H12418" s="21">
        <v>924.67</v>
      </c>
    </row>
    <row r="12419" spans="1:8" customFormat="1" x14ac:dyDescent="0.25">
      <c r="A12419" t="str">
        <f>"6110035"</f>
        <v>6110035</v>
      </c>
      <c r="B12419" t="s">
        <v>11020</v>
      </c>
      <c r="C12419" t="s">
        <v>58</v>
      </c>
      <c r="D12419" s="21" t="s">
        <v>34</v>
      </c>
      <c r="E12419" s="21" t="s">
        <v>35</v>
      </c>
      <c r="F12419">
        <v>9610012</v>
      </c>
      <c r="G12419" t="s">
        <v>5316</v>
      </c>
      <c r="H12419" s="21">
        <v>924.67</v>
      </c>
    </row>
    <row r="12420" spans="1:8" customFormat="1" x14ac:dyDescent="0.25">
      <c r="A12420" t="str">
        <f>"594833"</f>
        <v>594833</v>
      </c>
      <c r="B12420" t="s">
        <v>4560</v>
      </c>
      <c r="C12420" t="s">
        <v>1812</v>
      </c>
      <c r="D12420" s="21" t="s">
        <v>34</v>
      </c>
      <c r="E12420" s="21" t="s">
        <v>254</v>
      </c>
      <c r="F12420">
        <v>7590011</v>
      </c>
      <c r="G12420" t="s">
        <v>2147</v>
      </c>
      <c r="H12420" s="21">
        <v>924.67</v>
      </c>
    </row>
    <row r="12421" spans="1:8" customFormat="1" x14ac:dyDescent="0.25">
      <c r="A12421" t="str">
        <f>"7827253"</f>
        <v>7827253</v>
      </c>
      <c r="B12421" t="s">
        <v>2557</v>
      </c>
      <c r="C12421" t="s">
        <v>12304</v>
      </c>
      <c r="D12421" s="21" t="s">
        <v>34</v>
      </c>
      <c r="E12421" s="21" t="s">
        <v>254</v>
      </c>
      <c r="F12421">
        <v>9500059</v>
      </c>
      <c r="G12421" t="s">
        <v>26714</v>
      </c>
      <c r="H12421" s="21">
        <v>924.67</v>
      </c>
    </row>
    <row r="12422" spans="1:8" customFormat="1" x14ac:dyDescent="0.25">
      <c r="A12422" t="str">
        <f>"8610342"</f>
        <v>8610342</v>
      </c>
      <c r="B12422" t="s">
        <v>2023</v>
      </c>
      <c r="C12422" t="s">
        <v>65</v>
      </c>
      <c r="D12422" s="21" t="s">
        <v>34</v>
      </c>
      <c r="E12422" s="21" t="s">
        <v>71</v>
      </c>
      <c r="F12422">
        <v>10860015</v>
      </c>
      <c r="G12422" t="s">
        <v>3680</v>
      </c>
      <c r="H12422" s="21">
        <v>924.67</v>
      </c>
    </row>
    <row r="12423" spans="1:8" customFormat="1" x14ac:dyDescent="0.25">
      <c r="A12423" t="str">
        <f>"6224814"</f>
        <v>6224814</v>
      </c>
      <c r="B12423" t="s">
        <v>14733</v>
      </c>
      <c r="C12423" t="s">
        <v>119</v>
      </c>
      <c r="D12423" s="21" t="s">
        <v>34</v>
      </c>
      <c r="E12423" s="21" t="s">
        <v>71</v>
      </c>
      <c r="F12423">
        <v>7620069</v>
      </c>
      <c r="G12423" t="s">
        <v>5442</v>
      </c>
      <c r="H12423" s="21">
        <v>924.67</v>
      </c>
    </row>
    <row r="12424" spans="1:8" customFormat="1" x14ac:dyDescent="0.25">
      <c r="A12424" t="str">
        <f>"3113082"</f>
        <v>3113082</v>
      </c>
      <c r="B12424" t="s">
        <v>27244</v>
      </c>
      <c r="C12424" t="s">
        <v>33</v>
      </c>
      <c r="D12424" s="21" t="s">
        <v>34</v>
      </c>
      <c r="E12424" s="21" t="s">
        <v>35</v>
      </c>
      <c r="F12424">
        <v>11310064</v>
      </c>
      <c r="G12424" t="s">
        <v>931</v>
      </c>
      <c r="H12424" s="21">
        <v>924.67</v>
      </c>
    </row>
    <row r="12425" spans="1:8" customFormat="1" x14ac:dyDescent="0.25">
      <c r="A12425" t="str">
        <f>"37385"</f>
        <v>37385</v>
      </c>
      <c r="B12425" t="s">
        <v>2983</v>
      </c>
      <c r="C12425" t="s">
        <v>985</v>
      </c>
      <c r="D12425" s="21" t="s">
        <v>34</v>
      </c>
      <c r="E12425" s="21" t="s">
        <v>254</v>
      </c>
      <c r="F12425">
        <v>4370464</v>
      </c>
      <c r="G12425" t="s">
        <v>5348</v>
      </c>
      <c r="H12425" s="21">
        <v>924.67</v>
      </c>
    </row>
    <row r="12426" spans="1:8" customFormat="1" x14ac:dyDescent="0.25">
      <c r="A12426" t="str">
        <f>"76907"</f>
        <v>76907</v>
      </c>
      <c r="B12426" t="s">
        <v>12514</v>
      </c>
      <c r="C12426" t="s">
        <v>12515</v>
      </c>
      <c r="D12426" s="21" t="s">
        <v>34</v>
      </c>
      <c r="E12426" s="21" t="s">
        <v>71</v>
      </c>
      <c r="F12426">
        <v>9760041</v>
      </c>
      <c r="G12426" t="s">
        <v>452</v>
      </c>
      <c r="H12426" s="21">
        <v>924.67</v>
      </c>
    </row>
    <row r="12427" spans="1:8" customFormat="1" x14ac:dyDescent="0.25">
      <c r="A12427" t="str">
        <f>"644523"</f>
        <v>644523</v>
      </c>
      <c r="B12427" t="s">
        <v>15686</v>
      </c>
      <c r="C12427" t="s">
        <v>147</v>
      </c>
      <c r="D12427" s="21" t="s">
        <v>34</v>
      </c>
      <c r="E12427" s="21" t="s">
        <v>35</v>
      </c>
      <c r="F12427">
        <v>10640004</v>
      </c>
      <c r="G12427" t="s">
        <v>26618</v>
      </c>
      <c r="H12427" s="21">
        <v>924.54</v>
      </c>
    </row>
    <row r="12428" spans="1:8" customFormat="1" x14ac:dyDescent="0.25">
      <c r="A12428" t="str">
        <f>"026801"</f>
        <v>026801</v>
      </c>
      <c r="B12428" t="s">
        <v>12922</v>
      </c>
      <c r="C12428" t="s">
        <v>187</v>
      </c>
      <c r="D12428" s="21" t="s">
        <v>34</v>
      </c>
      <c r="E12428" s="21" t="s">
        <v>254</v>
      </c>
      <c r="F12428">
        <v>7020019</v>
      </c>
      <c r="G12428" t="s">
        <v>7912</v>
      </c>
      <c r="H12428" s="21">
        <v>924.42</v>
      </c>
    </row>
    <row r="12429" spans="1:8" customFormat="1" x14ac:dyDescent="0.25">
      <c r="A12429" t="str">
        <f>"4913966"</f>
        <v>4913966</v>
      </c>
      <c r="B12429" t="s">
        <v>3930</v>
      </c>
      <c r="C12429" t="s">
        <v>547</v>
      </c>
      <c r="D12429" s="21" t="s">
        <v>34</v>
      </c>
      <c r="E12429" s="21" t="s">
        <v>254</v>
      </c>
      <c r="F12429">
        <v>12490073</v>
      </c>
      <c r="G12429" t="s">
        <v>296</v>
      </c>
      <c r="H12429" s="21">
        <v>924.42</v>
      </c>
    </row>
    <row r="12430" spans="1:8" customFormat="1" x14ac:dyDescent="0.25">
      <c r="A12430" t="str">
        <f>"3518773"</f>
        <v>3518773</v>
      </c>
      <c r="B12430" t="s">
        <v>13035</v>
      </c>
      <c r="C12430" t="s">
        <v>269</v>
      </c>
      <c r="D12430" s="21" t="s">
        <v>34</v>
      </c>
      <c r="E12430" s="21" t="s">
        <v>71</v>
      </c>
      <c r="F12430">
        <v>3350022</v>
      </c>
      <c r="G12430" t="s">
        <v>1287</v>
      </c>
      <c r="H12430" s="21">
        <v>924.29</v>
      </c>
    </row>
    <row r="12431" spans="1:8" customFormat="1" x14ac:dyDescent="0.25">
      <c r="A12431" t="str">
        <f>"6211458"</f>
        <v>6211458</v>
      </c>
      <c r="B12431" t="s">
        <v>9027</v>
      </c>
      <c r="C12431" t="s">
        <v>65</v>
      </c>
      <c r="D12431" s="21" t="s">
        <v>34</v>
      </c>
      <c r="E12431" s="21" t="s">
        <v>35</v>
      </c>
      <c r="F12431">
        <v>7620064</v>
      </c>
      <c r="G12431" t="s">
        <v>2266</v>
      </c>
      <c r="H12431" s="21">
        <v>924.17</v>
      </c>
    </row>
    <row r="12432" spans="1:8" customFormat="1" x14ac:dyDescent="0.25">
      <c r="A12432" t="str">
        <f>"9142263"</f>
        <v>9142263</v>
      </c>
      <c r="B12432" t="s">
        <v>3197</v>
      </c>
      <c r="C12432" t="s">
        <v>267</v>
      </c>
      <c r="D12432" s="21" t="s">
        <v>34</v>
      </c>
      <c r="E12432" s="21" t="s">
        <v>35</v>
      </c>
      <c r="F12432">
        <v>8911323</v>
      </c>
      <c r="G12432" t="s">
        <v>555</v>
      </c>
      <c r="H12432" s="21">
        <v>924.17</v>
      </c>
    </row>
    <row r="12433" spans="1:8" customFormat="1" x14ac:dyDescent="0.25">
      <c r="A12433" t="str">
        <f>"492473"</f>
        <v>492473</v>
      </c>
      <c r="B12433" t="s">
        <v>10516</v>
      </c>
      <c r="C12433" t="s">
        <v>40</v>
      </c>
      <c r="D12433" s="21" t="s">
        <v>34</v>
      </c>
      <c r="E12433" s="21" t="s">
        <v>71</v>
      </c>
      <c r="F12433">
        <v>12490134</v>
      </c>
      <c r="G12433" t="s">
        <v>4880</v>
      </c>
      <c r="H12433" s="21">
        <v>924.17</v>
      </c>
    </row>
    <row r="12434" spans="1:8" customFormat="1" x14ac:dyDescent="0.25">
      <c r="A12434" t="str">
        <f>"4416469"</f>
        <v>4416469</v>
      </c>
      <c r="B12434" t="s">
        <v>27245</v>
      </c>
      <c r="C12434" t="s">
        <v>43</v>
      </c>
      <c r="D12434" s="21" t="s">
        <v>34</v>
      </c>
      <c r="E12434" s="21" t="s">
        <v>35</v>
      </c>
      <c r="F12434">
        <v>12440009</v>
      </c>
      <c r="G12434" t="s">
        <v>1983</v>
      </c>
      <c r="H12434" s="21">
        <v>924.17</v>
      </c>
    </row>
    <row r="12435" spans="1:8" customFormat="1" x14ac:dyDescent="0.25">
      <c r="A12435" t="str">
        <f>"2811543"</f>
        <v>2811543</v>
      </c>
      <c r="B12435" t="s">
        <v>8281</v>
      </c>
      <c r="C12435" t="s">
        <v>55</v>
      </c>
      <c r="D12435" s="21" t="s">
        <v>34</v>
      </c>
      <c r="E12435" s="21" t="s">
        <v>35</v>
      </c>
      <c r="F12435">
        <v>4280322</v>
      </c>
      <c r="G12435" t="s">
        <v>265</v>
      </c>
      <c r="H12435" s="21">
        <v>924.17</v>
      </c>
    </row>
    <row r="12436" spans="1:8" customFormat="1" x14ac:dyDescent="0.25">
      <c r="A12436" t="str">
        <f>"3519246"</f>
        <v>3519246</v>
      </c>
      <c r="B12436" t="s">
        <v>4978</v>
      </c>
      <c r="C12436" t="s">
        <v>253</v>
      </c>
      <c r="D12436" s="21" t="s">
        <v>34</v>
      </c>
      <c r="E12436" s="21" t="s">
        <v>254</v>
      </c>
      <c r="F12436">
        <v>3350183</v>
      </c>
      <c r="G12436" t="s">
        <v>2572</v>
      </c>
      <c r="H12436" s="21">
        <v>924.17</v>
      </c>
    </row>
    <row r="12437" spans="1:8" customFormat="1" x14ac:dyDescent="0.25">
      <c r="A12437" t="str">
        <f>"594040"</f>
        <v>594040</v>
      </c>
      <c r="B12437" t="s">
        <v>6847</v>
      </c>
      <c r="C12437" t="s">
        <v>598</v>
      </c>
      <c r="D12437" s="21" t="s">
        <v>34</v>
      </c>
      <c r="E12437" s="21" t="s">
        <v>254</v>
      </c>
      <c r="F12437">
        <v>7590231</v>
      </c>
      <c r="G12437" t="s">
        <v>207</v>
      </c>
      <c r="H12437" s="21">
        <v>924.17</v>
      </c>
    </row>
    <row r="12438" spans="1:8" customFormat="1" x14ac:dyDescent="0.25">
      <c r="A12438" t="str">
        <f>"3414035"</f>
        <v>3414035</v>
      </c>
      <c r="B12438" t="s">
        <v>11320</v>
      </c>
      <c r="C12438" t="s">
        <v>60</v>
      </c>
      <c r="D12438" s="21" t="s">
        <v>34</v>
      </c>
      <c r="E12438" s="21" t="s">
        <v>71</v>
      </c>
      <c r="F12438">
        <v>11340003</v>
      </c>
      <c r="G12438" t="s">
        <v>3326</v>
      </c>
      <c r="H12438" s="21">
        <v>924.17</v>
      </c>
    </row>
    <row r="12439" spans="1:8" customFormat="1" x14ac:dyDescent="0.25">
      <c r="A12439" t="str">
        <f>"323322"</f>
        <v>323322</v>
      </c>
      <c r="B12439" t="s">
        <v>12360</v>
      </c>
      <c r="C12439" t="s">
        <v>3807</v>
      </c>
      <c r="D12439" s="21" t="s">
        <v>34</v>
      </c>
      <c r="E12439" s="21" t="s">
        <v>71</v>
      </c>
      <c r="F12439">
        <v>11320041</v>
      </c>
      <c r="G12439" t="s">
        <v>4802</v>
      </c>
      <c r="H12439" s="21">
        <v>924.17</v>
      </c>
    </row>
    <row r="12440" spans="1:8" customFormat="1" x14ac:dyDescent="0.25">
      <c r="A12440" t="str">
        <f>"5012817"</f>
        <v>5012817</v>
      </c>
      <c r="B12440" t="s">
        <v>2873</v>
      </c>
      <c r="C12440" t="s">
        <v>40</v>
      </c>
      <c r="D12440" s="21" t="s">
        <v>34</v>
      </c>
      <c r="E12440" s="21" t="s">
        <v>71</v>
      </c>
      <c r="F12440">
        <v>9500131</v>
      </c>
      <c r="G12440" t="s">
        <v>1073</v>
      </c>
      <c r="H12440" s="21">
        <v>924.17</v>
      </c>
    </row>
    <row r="12441" spans="1:8" customFormat="1" x14ac:dyDescent="0.25">
      <c r="A12441" t="str">
        <f>"722882"</f>
        <v>722882</v>
      </c>
      <c r="B12441" t="s">
        <v>10551</v>
      </c>
      <c r="C12441" t="s">
        <v>139</v>
      </c>
      <c r="D12441" s="21" t="s">
        <v>34</v>
      </c>
      <c r="E12441" s="21" t="s">
        <v>35</v>
      </c>
      <c r="F12441">
        <v>12720041</v>
      </c>
      <c r="G12441" t="s">
        <v>4240</v>
      </c>
      <c r="H12441" s="21">
        <v>924.17</v>
      </c>
    </row>
    <row r="12442" spans="1:8" customFormat="1" x14ac:dyDescent="0.25">
      <c r="A12442" t="str">
        <f>"622354"</f>
        <v>622354</v>
      </c>
      <c r="B12442" t="s">
        <v>12207</v>
      </c>
      <c r="C12442" t="s">
        <v>415</v>
      </c>
      <c r="D12442" s="21" t="s">
        <v>34</v>
      </c>
      <c r="E12442" s="21" t="s">
        <v>254</v>
      </c>
      <c r="F12442">
        <v>7620016</v>
      </c>
      <c r="G12442" t="s">
        <v>6850</v>
      </c>
      <c r="H12442" s="21">
        <v>924.17</v>
      </c>
    </row>
    <row r="12443" spans="1:8" customFormat="1" x14ac:dyDescent="0.25">
      <c r="A12443" t="str">
        <f>"01230"</f>
        <v>01230</v>
      </c>
      <c r="B12443" t="s">
        <v>6317</v>
      </c>
      <c r="C12443" t="s">
        <v>267</v>
      </c>
      <c r="D12443" s="21" t="s">
        <v>34</v>
      </c>
      <c r="E12443" s="21" t="s">
        <v>254</v>
      </c>
      <c r="F12443">
        <v>1010027</v>
      </c>
      <c r="G12443" t="s">
        <v>6318</v>
      </c>
      <c r="H12443" s="21">
        <v>924.17</v>
      </c>
    </row>
    <row r="12444" spans="1:8" customFormat="1" x14ac:dyDescent="0.25">
      <c r="A12444" t="str">
        <f>"9222468"</f>
        <v>9222468</v>
      </c>
      <c r="B12444" t="s">
        <v>12087</v>
      </c>
      <c r="C12444" t="s">
        <v>305</v>
      </c>
      <c r="D12444" s="21" t="s">
        <v>34</v>
      </c>
      <c r="E12444" s="21" t="s">
        <v>35</v>
      </c>
      <c r="F12444">
        <v>8951331</v>
      </c>
      <c r="G12444" t="s">
        <v>1134</v>
      </c>
      <c r="H12444" s="21">
        <v>923.92</v>
      </c>
    </row>
    <row r="12445" spans="1:8" customFormat="1" x14ac:dyDescent="0.25">
      <c r="A12445" t="str">
        <f>"452895"</f>
        <v>452895</v>
      </c>
      <c r="B12445" t="s">
        <v>10866</v>
      </c>
      <c r="C12445" t="s">
        <v>124</v>
      </c>
      <c r="D12445" s="21" t="s">
        <v>34</v>
      </c>
      <c r="E12445" s="21" t="s">
        <v>71</v>
      </c>
      <c r="F12445">
        <v>4450108</v>
      </c>
      <c r="G12445" t="s">
        <v>2354</v>
      </c>
      <c r="H12445" s="21">
        <v>923.92</v>
      </c>
    </row>
    <row r="12446" spans="1:8" customFormat="1" x14ac:dyDescent="0.25">
      <c r="A12446" t="str">
        <f>"7712622"</f>
        <v>7712622</v>
      </c>
      <c r="B12446" t="s">
        <v>10829</v>
      </c>
      <c r="C12446" t="s">
        <v>6285</v>
      </c>
      <c r="D12446" s="21" t="s">
        <v>34</v>
      </c>
      <c r="E12446" s="21" t="s">
        <v>254</v>
      </c>
      <c r="F12446">
        <v>8770865</v>
      </c>
      <c r="G12446" t="s">
        <v>1426</v>
      </c>
      <c r="H12446" s="21">
        <v>923.92</v>
      </c>
    </row>
    <row r="12447" spans="1:8" customFormat="1" x14ac:dyDescent="0.25">
      <c r="A12447" t="str">
        <f>"5314908"</f>
        <v>5314908</v>
      </c>
      <c r="B12447" t="s">
        <v>2274</v>
      </c>
      <c r="C12447" t="s">
        <v>151</v>
      </c>
      <c r="D12447" s="21" t="s">
        <v>34</v>
      </c>
      <c r="E12447" s="21" t="s">
        <v>35</v>
      </c>
      <c r="F12447">
        <v>3350169</v>
      </c>
      <c r="G12447" t="s">
        <v>735</v>
      </c>
      <c r="H12447" s="21">
        <v>923.92</v>
      </c>
    </row>
    <row r="12448" spans="1:8" customFormat="1" x14ac:dyDescent="0.25">
      <c r="A12448" t="str">
        <f>"584239"</f>
        <v>584239</v>
      </c>
      <c r="B12448" t="s">
        <v>1867</v>
      </c>
      <c r="C12448" t="s">
        <v>40</v>
      </c>
      <c r="D12448" s="21" t="s">
        <v>34</v>
      </c>
      <c r="E12448" s="21" t="s">
        <v>71</v>
      </c>
      <c r="F12448">
        <v>2580012</v>
      </c>
      <c r="G12448" t="s">
        <v>1144</v>
      </c>
      <c r="H12448" s="21">
        <v>923.67</v>
      </c>
    </row>
    <row r="12449" spans="1:8" customFormat="1" x14ac:dyDescent="0.25">
      <c r="A12449" t="str">
        <f>"5933163"</f>
        <v>5933163</v>
      </c>
      <c r="B12449" t="s">
        <v>2337</v>
      </c>
      <c r="C12449" t="s">
        <v>269</v>
      </c>
      <c r="D12449" s="21" t="s">
        <v>34</v>
      </c>
      <c r="E12449" s="21" t="s">
        <v>71</v>
      </c>
      <c r="F12449">
        <v>7590011</v>
      </c>
      <c r="G12449" t="s">
        <v>2147</v>
      </c>
      <c r="H12449" s="21">
        <v>923.67</v>
      </c>
    </row>
    <row r="12450" spans="1:8" customFormat="1" x14ac:dyDescent="0.25">
      <c r="A12450" t="str">
        <f>"3326928"</f>
        <v>3326928</v>
      </c>
      <c r="B12450" t="s">
        <v>11242</v>
      </c>
      <c r="C12450" t="s">
        <v>462</v>
      </c>
      <c r="D12450" s="21" t="s">
        <v>34</v>
      </c>
      <c r="E12450" s="21" t="s">
        <v>71</v>
      </c>
      <c r="F12450">
        <v>10330125</v>
      </c>
      <c r="G12450" t="s">
        <v>3753</v>
      </c>
      <c r="H12450" s="21">
        <v>923.67</v>
      </c>
    </row>
    <row r="12451" spans="1:8" customFormat="1" x14ac:dyDescent="0.25">
      <c r="A12451" t="str">
        <f>"5920874"</f>
        <v>5920874</v>
      </c>
      <c r="B12451" t="s">
        <v>11822</v>
      </c>
      <c r="C12451" t="s">
        <v>171</v>
      </c>
      <c r="D12451" s="21" t="s">
        <v>34</v>
      </c>
      <c r="E12451" s="21" t="s">
        <v>71</v>
      </c>
      <c r="F12451">
        <v>7590048</v>
      </c>
      <c r="G12451" t="s">
        <v>4608</v>
      </c>
      <c r="H12451" s="21">
        <v>923.67</v>
      </c>
    </row>
    <row r="12452" spans="1:8" customFormat="1" x14ac:dyDescent="0.25">
      <c r="A12452" t="str">
        <f>"406490"</f>
        <v>406490</v>
      </c>
      <c r="B12452" t="s">
        <v>11594</v>
      </c>
      <c r="C12452" t="s">
        <v>2520</v>
      </c>
      <c r="D12452" s="21" t="s">
        <v>34</v>
      </c>
      <c r="E12452" s="21" t="s">
        <v>71</v>
      </c>
      <c r="F12452">
        <v>10400027</v>
      </c>
      <c r="G12452" t="s">
        <v>11595</v>
      </c>
      <c r="H12452" s="21">
        <v>923.67</v>
      </c>
    </row>
    <row r="12453" spans="1:8" customFormat="1" x14ac:dyDescent="0.25">
      <c r="A12453" t="str">
        <f>"5430541"</f>
        <v>5430541</v>
      </c>
      <c r="B12453" t="s">
        <v>1737</v>
      </c>
      <c r="C12453" t="s">
        <v>415</v>
      </c>
      <c r="D12453" s="21" t="s">
        <v>34</v>
      </c>
      <c r="E12453" s="21" t="s">
        <v>254</v>
      </c>
      <c r="F12453">
        <v>6540034</v>
      </c>
      <c r="G12453" t="s">
        <v>2211</v>
      </c>
      <c r="H12453" s="21">
        <v>923.67</v>
      </c>
    </row>
    <row r="12454" spans="1:8" customFormat="1" x14ac:dyDescent="0.25">
      <c r="A12454" t="str">
        <f>"606465"</f>
        <v>606465</v>
      </c>
      <c r="B12454" t="s">
        <v>11244</v>
      </c>
      <c r="C12454" t="s">
        <v>169</v>
      </c>
      <c r="D12454" s="21" t="s">
        <v>34</v>
      </c>
      <c r="E12454" s="21" t="s">
        <v>35</v>
      </c>
      <c r="F12454">
        <v>7600111</v>
      </c>
      <c r="G12454" t="s">
        <v>6914</v>
      </c>
      <c r="H12454" s="21">
        <v>923.67</v>
      </c>
    </row>
    <row r="12455" spans="1:8" customFormat="1" x14ac:dyDescent="0.25">
      <c r="A12455" t="str">
        <f>"663289"</f>
        <v>663289</v>
      </c>
      <c r="B12455" t="s">
        <v>13105</v>
      </c>
      <c r="C12455" t="s">
        <v>204</v>
      </c>
      <c r="D12455" s="21" t="s">
        <v>34</v>
      </c>
      <c r="E12455" s="21" t="s">
        <v>35</v>
      </c>
      <c r="F12455">
        <v>11660032</v>
      </c>
      <c r="G12455" t="s">
        <v>3232</v>
      </c>
      <c r="H12455" s="21">
        <v>923.67</v>
      </c>
    </row>
    <row r="12456" spans="1:8" customFormat="1" x14ac:dyDescent="0.25">
      <c r="A12456" t="str">
        <f>"2717129"</f>
        <v>2717129</v>
      </c>
      <c r="B12456" t="s">
        <v>11518</v>
      </c>
      <c r="C12456" t="s">
        <v>1914</v>
      </c>
      <c r="D12456" s="21" t="s">
        <v>34</v>
      </c>
      <c r="E12456" s="21" t="s">
        <v>254</v>
      </c>
      <c r="F12456">
        <v>9270021</v>
      </c>
      <c r="G12456" t="s">
        <v>4934</v>
      </c>
      <c r="H12456" s="21">
        <v>923.67</v>
      </c>
    </row>
    <row r="12457" spans="1:8" customFormat="1" x14ac:dyDescent="0.25">
      <c r="A12457" t="str">
        <f>"012473"</f>
        <v>012473</v>
      </c>
      <c r="B12457" t="s">
        <v>1094</v>
      </c>
      <c r="C12457" t="s">
        <v>1665</v>
      </c>
      <c r="D12457" s="21" t="s">
        <v>34</v>
      </c>
      <c r="E12457" s="21" t="s">
        <v>1089</v>
      </c>
      <c r="F12457">
        <v>1010017</v>
      </c>
      <c r="G12457" t="s">
        <v>6502</v>
      </c>
      <c r="H12457" s="21">
        <v>923.67</v>
      </c>
    </row>
    <row r="12458" spans="1:8" customFormat="1" x14ac:dyDescent="0.25">
      <c r="A12458" t="str">
        <f>"4920077"</f>
        <v>4920077</v>
      </c>
      <c r="B12458" t="s">
        <v>11016</v>
      </c>
      <c r="C12458" t="s">
        <v>2907</v>
      </c>
      <c r="D12458" s="21" t="s">
        <v>34</v>
      </c>
      <c r="E12458" s="21" t="s">
        <v>71</v>
      </c>
      <c r="F12458">
        <v>12490098</v>
      </c>
      <c r="G12458" t="s">
        <v>2670</v>
      </c>
      <c r="H12458" s="21">
        <v>923.67</v>
      </c>
    </row>
    <row r="12459" spans="1:8" customFormat="1" x14ac:dyDescent="0.25">
      <c r="A12459" t="str">
        <f>"5313879"</f>
        <v>5313879</v>
      </c>
      <c r="B12459" t="s">
        <v>3880</v>
      </c>
      <c r="C12459" t="s">
        <v>121</v>
      </c>
      <c r="D12459" s="21" t="s">
        <v>34</v>
      </c>
      <c r="E12459" s="21" t="s">
        <v>35</v>
      </c>
      <c r="F12459">
        <v>12530077</v>
      </c>
      <c r="G12459" t="s">
        <v>9191</v>
      </c>
      <c r="H12459" s="21">
        <v>923.67</v>
      </c>
    </row>
    <row r="12460" spans="1:8" customFormat="1" x14ac:dyDescent="0.25">
      <c r="A12460" t="str">
        <f>"1425240"</f>
        <v>1425240</v>
      </c>
      <c r="B12460" t="s">
        <v>13482</v>
      </c>
      <c r="C12460" t="s">
        <v>249</v>
      </c>
      <c r="D12460" s="21" t="s">
        <v>34</v>
      </c>
      <c r="E12460" s="21" t="s">
        <v>35</v>
      </c>
      <c r="F12460">
        <v>9140156</v>
      </c>
      <c r="G12460" t="s">
        <v>645</v>
      </c>
      <c r="H12460" s="21">
        <v>923.54</v>
      </c>
    </row>
    <row r="12461" spans="1:8" customFormat="1" x14ac:dyDescent="0.25">
      <c r="A12461" t="str">
        <f>"7865242"</f>
        <v>7865242</v>
      </c>
      <c r="B12461" t="s">
        <v>12069</v>
      </c>
      <c r="C12461" t="s">
        <v>415</v>
      </c>
      <c r="D12461" s="21" t="s">
        <v>34</v>
      </c>
      <c r="E12461" s="21" t="s">
        <v>71</v>
      </c>
      <c r="F12461">
        <v>8781248</v>
      </c>
      <c r="G12461" t="s">
        <v>2005</v>
      </c>
      <c r="H12461" s="21">
        <v>923.54</v>
      </c>
    </row>
    <row r="12462" spans="1:8" customFormat="1" x14ac:dyDescent="0.25">
      <c r="A12462" t="str">
        <f>"7625010"</f>
        <v>7625010</v>
      </c>
      <c r="B12462" t="s">
        <v>7681</v>
      </c>
      <c r="C12462" t="s">
        <v>40</v>
      </c>
      <c r="D12462" s="21" t="s">
        <v>34</v>
      </c>
      <c r="E12462" s="21" t="s">
        <v>71</v>
      </c>
      <c r="F12462">
        <v>9760351</v>
      </c>
      <c r="G12462" t="s">
        <v>5898</v>
      </c>
      <c r="H12462" s="21">
        <v>923.42</v>
      </c>
    </row>
    <row r="12463" spans="1:8" customFormat="1" x14ac:dyDescent="0.25">
      <c r="A12463" t="str">
        <f>"8522608"</f>
        <v>8522608</v>
      </c>
      <c r="B12463" t="s">
        <v>882</v>
      </c>
      <c r="C12463" t="s">
        <v>249</v>
      </c>
      <c r="D12463" s="21" t="s">
        <v>34</v>
      </c>
      <c r="E12463" s="21" t="s">
        <v>71</v>
      </c>
      <c r="F12463">
        <v>12851018</v>
      </c>
      <c r="G12463" t="s">
        <v>8085</v>
      </c>
      <c r="H12463" s="21">
        <v>923.29</v>
      </c>
    </row>
    <row r="12464" spans="1:8" customFormat="1" x14ac:dyDescent="0.25">
      <c r="A12464" t="str">
        <f>"5728580"</f>
        <v>5728580</v>
      </c>
      <c r="B12464" t="s">
        <v>12426</v>
      </c>
      <c r="C12464" t="s">
        <v>1474</v>
      </c>
      <c r="D12464" s="21" t="s">
        <v>34</v>
      </c>
      <c r="E12464" s="21" t="s">
        <v>35</v>
      </c>
      <c r="F12464">
        <v>6570014</v>
      </c>
      <c r="G12464" t="s">
        <v>72</v>
      </c>
      <c r="H12464" s="21">
        <v>923.29</v>
      </c>
    </row>
    <row r="12465" spans="1:8" customFormat="1" x14ac:dyDescent="0.25">
      <c r="A12465" t="str">
        <f>"0811754"</f>
        <v>0811754</v>
      </c>
      <c r="B12465" t="s">
        <v>14839</v>
      </c>
      <c r="C12465" t="s">
        <v>656</v>
      </c>
      <c r="D12465" s="21" t="s">
        <v>34</v>
      </c>
      <c r="E12465" s="21" t="s">
        <v>35</v>
      </c>
      <c r="F12465">
        <v>6080057</v>
      </c>
      <c r="G12465" t="s">
        <v>10034</v>
      </c>
      <c r="H12465" s="21">
        <v>923.29</v>
      </c>
    </row>
    <row r="12466" spans="1:8" customFormat="1" x14ac:dyDescent="0.25">
      <c r="A12466" t="str">
        <f>"89146"</f>
        <v>89146</v>
      </c>
      <c r="B12466" t="s">
        <v>11514</v>
      </c>
      <c r="C12466" t="s">
        <v>415</v>
      </c>
      <c r="D12466" s="21" t="s">
        <v>34</v>
      </c>
      <c r="E12466" s="21" t="s">
        <v>254</v>
      </c>
      <c r="F12466">
        <v>2890023</v>
      </c>
      <c r="G12466" t="s">
        <v>1995</v>
      </c>
      <c r="H12466" s="21">
        <v>923.17</v>
      </c>
    </row>
    <row r="12467" spans="1:8" customFormat="1" x14ac:dyDescent="0.25">
      <c r="A12467" t="str">
        <f>"861301"</f>
        <v>861301</v>
      </c>
      <c r="B12467" t="s">
        <v>13990</v>
      </c>
      <c r="C12467" t="s">
        <v>33</v>
      </c>
      <c r="D12467" s="21" t="s">
        <v>34</v>
      </c>
      <c r="E12467" s="21" t="s">
        <v>71</v>
      </c>
      <c r="F12467">
        <v>10860038</v>
      </c>
      <c r="G12467" t="s">
        <v>8925</v>
      </c>
      <c r="H12467" s="21">
        <v>923.17</v>
      </c>
    </row>
    <row r="12468" spans="1:8" customFormat="1" x14ac:dyDescent="0.25">
      <c r="A12468" t="str">
        <f>"7623235"</f>
        <v>7623235</v>
      </c>
      <c r="B12468" t="s">
        <v>1794</v>
      </c>
      <c r="C12468" t="s">
        <v>119</v>
      </c>
      <c r="D12468" s="21" t="s">
        <v>34</v>
      </c>
      <c r="E12468" s="21" t="s">
        <v>35</v>
      </c>
      <c r="F12468">
        <v>8920067</v>
      </c>
      <c r="G12468" t="s">
        <v>258</v>
      </c>
      <c r="H12468" s="21">
        <v>923.17</v>
      </c>
    </row>
    <row r="12469" spans="1:8" customFormat="1" x14ac:dyDescent="0.25">
      <c r="A12469" t="str">
        <f>"8525899"</f>
        <v>8525899</v>
      </c>
      <c r="B12469" t="s">
        <v>6455</v>
      </c>
      <c r="C12469" t="s">
        <v>988</v>
      </c>
      <c r="D12469" s="21" t="s">
        <v>34</v>
      </c>
      <c r="E12469" s="21" t="s">
        <v>71</v>
      </c>
      <c r="F12469">
        <v>12850032</v>
      </c>
      <c r="G12469" t="s">
        <v>6589</v>
      </c>
      <c r="H12469" s="21">
        <v>923.17</v>
      </c>
    </row>
    <row r="12470" spans="1:8" customFormat="1" x14ac:dyDescent="0.25">
      <c r="A12470" t="str">
        <f>"8315951"</f>
        <v>8315951</v>
      </c>
      <c r="B12470" t="s">
        <v>11498</v>
      </c>
      <c r="C12470" t="s">
        <v>43</v>
      </c>
      <c r="D12470" s="21" t="s">
        <v>34</v>
      </c>
      <c r="E12470" s="21" t="s">
        <v>35</v>
      </c>
      <c r="F12470">
        <v>13830035</v>
      </c>
      <c r="G12470" t="s">
        <v>8309</v>
      </c>
      <c r="H12470" s="21">
        <v>923.17</v>
      </c>
    </row>
    <row r="12471" spans="1:8" customFormat="1" x14ac:dyDescent="0.25">
      <c r="A12471" t="str">
        <f>"5942125"</f>
        <v>5942125</v>
      </c>
      <c r="B12471" t="s">
        <v>12172</v>
      </c>
      <c r="C12471" t="s">
        <v>119</v>
      </c>
      <c r="D12471" s="21" t="s">
        <v>34</v>
      </c>
      <c r="E12471" s="21" t="s">
        <v>35</v>
      </c>
      <c r="F12471">
        <v>7590404</v>
      </c>
      <c r="G12471" t="s">
        <v>12173</v>
      </c>
      <c r="H12471" s="21">
        <v>923.17</v>
      </c>
    </row>
    <row r="12472" spans="1:8" customFormat="1" x14ac:dyDescent="0.25">
      <c r="A12472" t="str">
        <f>"0611336"</f>
        <v>0611336</v>
      </c>
      <c r="B12472" t="s">
        <v>7469</v>
      </c>
      <c r="C12472" t="s">
        <v>147</v>
      </c>
      <c r="D12472" s="21" t="s">
        <v>34</v>
      </c>
      <c r="E12472" s="21" t="s">
        <v>71</v>
      </c>
      <c r="F12472">
        <v>13060064</v>
      </c>
      <c r="G12472" t="s">
        <v>976</v>
      </c>
      <c r="H12472" s="21">
        <v>923.17</v>
      </c>
    </row>
    <row r="12473" spans="1:8" customFormat="1" x14ac:dyDescent="0.25">
      <c r="A12473" t="str">
        <f>"4512547"</f>
        <v>4512547</v>
      </c>
      <c r="B12473" t="s">
        <v>12993</v>
      </c>
      <c r="C12473" t="s">
        <v>656</v>
      </c>
      <c r="D12473" s="21" t="s">
        <v>34</v>
      </c>
      <c r="E12473" s="21" t="s">
        <v>35</v>
      </c>
      <c r="F12473">
        <v>1690090</v>
      </c>
      <c r="G12473" t="s">
        <v>6286</v>
      </c>
      <c r="H12473" s="21">
        <v>923.17</v>
      </c>
    </row>
    <row r="12474" spans="1:8" customFormat="1" x14ac:dyDescent="0.25">
      <c r="A12474" t="str">
        <f>"835411"</f>
        <v>835411</v>
      </c>
      <c r="B12474" t="s">
        <v>11482</v>
      </c>
      <c r="C12474" t="s">
        <v>124</v>
      </c>
      <c r="D12474" s="21" t="s">
        <v>34</v>
      </c>
      <c r="E12474" s="21" t="s">
        <v>71</v>
      </c>
      <c r="F12474">
        <v>13830059</v>
      </c>
      <c r="G12474" t="s">
        <v>5440</v>
      </c>
      <c r="H12474" s="21">
        <v>923.17</v>
      </c>
    </row>
    <row r="12475" spans="1:8" customFormat="1" x14ac:dyDescent="0.25">
      <c r="A12475" t="str">
        <f>"579010"</f>
        <v>579010</v>
      </c>
      <c r="B12475" t="s">
        <v>7616</v>
      </c>
      <c r="C12475" t="s">
        <v>3522</v>
      </c>
      <c r="D12475" s="21" t="s">
        <v>34</v>
      </c>
      <c r="E12475" s="21" t="s">
        <v>71</v>
      </c>
      <c r="F12475">
        <v>6570200</v>
      </c>
      <c r="G12475" t="s">
        <v>10682</v>
      </c>
      <c r="H12475" s="21">
        <v>923.17</v>
      </c>
    </row>
    <row r="12476" spans="1:8" customFormat="1" x14ac:dyDescent="0.25">
      <c r="A12476" t="str">
        <f>"8523394"</f>
        <v>8523394</v>
      </c>
      <c r="B12476" t="s">
        <v>4605</v>
      </c>
      <c r="C12476" t="s">
        <v>82</v>
      </c>
      <c r="D12476" s="21" t="s">
        <v>34</v>
      </c>
      <c r="E12476" s="21" t="s">
        <v>35</v>
      </c>
      <c r="F12476">
        <v>12850154</v>
      </c>
      <c r="G12476" t="s">
        <v>7078</v>
      </c>
      <c r="H12476" s="21">
        <v>923.17</v>
      </c>
    </row>
    <row r="12477" spans="1:8" customFormat="1" x14ac:dyDescent="0.25">
      <c r="A12477" t="str">
        <f>"7721607"</f>
        <v>7721607</v>
      </c>
      <c r="B12477" t="s">
        <v>641</v>
      </c>
      <c r="C12477" t="s">
        <v>302</v>
      </c>
      <c r="D12477" s="21" t="s">
        <v>34</v>
      </c>
      <c r="E12477" s="21" t="s">
        <v>71</v>
      </c>
      <c r="F12477">
        <v>10330089</v>
      </c>
      <c r="G12477" t="s">
        <v>3705</v>
      </c>
      <c r="H12477" s="21">
        <v>922.92</v>
      </c>
    </row>
    <row r="12478" spans="1:8" customFormat="1" x14ac:dyDescent="0.25">
      <c r="A12478" t="str">
        <f>"185254"</f>
        <v>185254</v>
      </c>
      <c r="B12478" t="s">
        <v>12047</v>
      </c>
      <c r="C12478" t="s">
        <v>2100</v>
      </c>
      <c r="D12478" s="21" t="s">
        <v>34</v>
      </c>
      <c r="E12478" s="21" t="s">
        <v>35</v>
      </c>
      <c r="F12478">
        <v>4180486</v>
      </c>
      <c r="G12478" t="s">
        <v>5295</v>
      </c>
      <c r="H12478" s="21">
        <v>922.67</v>
      </c>
    </row>
    <row r="12479" spans="1:8" customFormat="1" x14ac:dyDescent="0.25">
      <c r="A12479" t="str">
        <f>"6720799"</f>
        <v>6720799</v>
      </c>
      <c r="B12479" t="s">
        <v>13319</v>
      </c>
      <c r="C12479" t="s">
        <v>13320</v>
      </c>
      <c r="D12479" s="21" t="s">
        <v>34</v>
      </c>
      <c r="E12479" s="21" t="s">
        <v>71</v>
      </c>
      <c r="F12479">
        <v>6670078</v>
      </c>
      <c r="G12479" t="s">
        <v>11329</v>
      </c>
      <c r="H12479" s="21">
        <v>922.67</v>
      </c>
    </row>
    <row r="12480" spans="1:8" customFormat="1" x14ac:dyDescent="0.25">
      <c r="A12480" t="str">
        <f>"5932787"</f>
        <v>5932787</v>
      </c>
      <c r="B12480" t="s">
        <v>27246</v>
      </c>
      <c r="C12480" t="s">
        <v>4842</v>
      </c>
      <c r="D12480" s="21" t="s">
        <v>34</v>
      </c>
      <c r="E12480" s="21" t="s">
        <v>6185</v>
      </c>
      <c r="F12480">
        <v>7590127</v>
      </c>
      <c r="G12480" t="s">
        <v>214</v>
      </c>
      <c r="H12480" s="21">
        <v>922.67</v>
      </c>
    </row>
    <row r="12481" spans="1:8" customFormat="1" x14ac:dyDescent="0.25">
      <c r="A12481" t="str">
        <f>"417223"</f>
        <v>417223</v>
      </c>
      <c r="B12481" t="s">
        <v>6372</v>
      </c>
      <c r="C12481" t="s">
        <v>209</v>
      </c>
      <c r="D12481" s="21" t="s">
        <v>34</v>
      </c>
      <c r="E12481" s="21" t="s">
        <v>35</v>
      </c>
      <c r="F12481">
        <v>4410697</v>
      </c>
      <c r="G12481" t="s">
        <v>2490</v>
      </c>
      <c r="H12481" s="21">
        <v>922.67</v>
      </c>
    </row>
    <row r="12482" spans="1:8" customFormat="1" x14ac:dyDescent="0.25">
      <c r="A12482" t="str">
        <f>"061393"</f>
        <v>061393</v>
      </c>
      <c r="B12482" t="s">
        <v>27247</v>
      </c>
      <c r="C12482" t="s">
        <v>598</v>
      </c>
      <c r="D12482" s="21" t="s">
        <v>34</v>
      </c>
      <c r="E12482" s="21" t="s">
        <v>254</v>
      </c>
      <c r="F12482">
        <v>13060005</v>
      </c>
      <c r="G12482" t="s">
        <v>3609</v>
      </c>
      <c r="H12482" s="21">
        <v>922.67</v>
      </c>
    </row>
    <row r="12483" spans="1:8" customFormat="1" x14ac:dyDescent="0.25">
      <c r="A12483" t="str">
        <f>"72725"</f>
        <v>72725</v>
      </c>
      <c r="B12483" t="s">
        <v>2564</v>
      </c>
      <c r="C12483" t="s">
        <v>269</v>
      </c>
      <c r="D12483" s="21" t="s">
        <v>34</v>
      </c>
      <c r="E12483" s="21" t="s">
        <v>71</v>
      </c>
      <c r="F12483">
        <v>12720052</v>
      </c>
      <c r="G12483" t="s">
        <v>9628</v>
      </c>
      <c r="H12483" s="21">
        <v>922.67</v>
      </c>
    </row>
    <row r="12484" spans="1:8" customFormat="1" x14ac:dyDescent="0.25">
      <c r="A12484" t="str">
        <f>"9419319"</f>
        <v>9419319</v>
      </c>
      <c r="B12484" t="s">
        <v>392</v>
      </c>
      <c r="C12484" t="s">
        <v>1146</v>
      </c>
      <c r="D12484" s="21" t="s">
        <v>34</v>
      </c>
      <c r="E12484" s="21" t="s">
        <v>254</v>
      </c>
      <c r="F12484">
        <v>8940033</v>
      </c>
      <c r="G12484" t="s">
        <v>1376</v>
      </c>
      <c r="H12484" s="21">
        <v>922.67</v>
      </c>
    </row>
    <row r="12485" spans="1:8" customFormat="1" x14ac:dyDescent="0.25">
      <c r="A12485" t="str">
        <f>"2814529"</f>
        <v>2814529</v>
      </c>
      <c r="B12485" t="s">
        <v>8812</v>
      </c>
      <c r="C12485" t="s">
        <v>476</v>
      </c>
      <c r="D12485" s="21" t="s">
        <v>34</v>
      </c>
      <c r="E12485" s="21" t="s">
        <v>35</v>
      </c>
      <c r="F12485">
        <v>4280045</v>
      </c>
      <c r="G12485" t="s">
        <v>787</v>
      </c>
      <c r="H12485" s="21">
        <v>922.67</v>
      </c>
    </row>
    <row r="12486" spans="1:8" customFormat="1" x14ac:dyDescent="0.25">
      <c r="A12486" t="str">
        <f>"4418551"</f>
        <v>4418551</v>
      </c>
      <c r="B12486" t="s">
        <v>13386</v>
      </c>
      <c r="C12486" t="s">
        <v>87</v>
      </c>
      <c r="D12486" s="21" t="s">
        <v>34</v>
      </c>
      <c r="E12486" s="21" t="s">
        <v>71</v>
      </c>
      <c r="F12486">
        <v>12440199</v>
      </c>
      <c r="G12486" t="s">
        <v>4653</v>
      </c>
      <c r="H12486" s="21">
        <v>922.67</v>
      </c>
    </row>
    <row r="12487" spans="1:8" customFormat="1" x14ac:dyDescent="0.25">
      <c r="A12487" t="str">
        <f>"7217041"</f>
        <v>7217041</v>
      </c>
      <c r="B12487" t="s">
        <v>1087</v>
      </c>
      <c r="C12487" t="s">
        <v>139</v>
      </c>
      <c r="D12487" s="21" t="s">
        <v>34</v>
      </c>
      <c r="E12487" s="21" t="s">
        <v>35</v>
      </c>
      <c r="F12487">
        <v>12720029</v>
      </c>
      <c r="G12487" t="s">
        <v>11575</v>
      </c>
      <c r="H12487" s="21">
        <v>922.67</v>
      </c>
    </row>
    <row r="12488" spans="1:8" customFormat="1" x14ac:dyDescent="0.25">
      <c r="A12488" t="str">
        <f>"7725600"</f>
        <v>7725600</v>
      </c>
      <c r="B12488" t="s">
        <v>13036</v>
      </c>
      <c r="C12488" t="s">
        <v>206</v>
      </c>
      <c r="D12488" s="21" t="s">
        <v>34</v>
      </c>
      <c r="E12488" s="21" t="s">
        <v>35</v>
      </c>
      <c r="F12488">
        <v>8771446</v>
      </c>
      <c r="G12488" t="s">
        <v>830</v>
      </c>
      <c r="H12488" s="21">
        <v>922.54</v>
      </c>
    </row>
    <row r="12489" spans="1:8" customFormat="1" x14ac:dyDescent="0.25">
      <c r="A12489" t="str">
        <f>"2211310"</f>
        <v>2211310</v>
      </c>
      <c r="B12489" t="s">
        <v>10132</v>
      </c>
      <c r="C12489" t="s">
        <v>576</v>
      </c>
      <c r="D12489" s="21" t="s">
        <v>34</v>
      </c>
      <c r="E12489" s="21" t="s">
        <v>35</v>
      </c>
      <c r="F12489">
        <v>3220008</v>
      </c>
      <c r="G12489" t="s">
        <v>6845</v>
      </c>
      <c r="H12489" s="21">
        <v>922.54</v>
      </c>
    </row>
    <row r="12490" spans="1:8" customFormat="1" x14ac:dyDescent="0.25">
      <c r="A12490" t="str">
        <f>"771248"</f>
        <v>771248</v>
      </c>
      <c r="B12490" t="s">
        <v>10011</v>
      </c>
      <c r="C12490" t="s">
        <v>1110</v>
      </c>
      <c r="D12490" s="21" t="s">
        <v>34</v>
      </c>
      <c r="E12490" s="21" t="s">
        <v>254</v>
      </c>
      <c r="F12490">
        <v>8770202</v>
      </c>
      <c r="G12490" t="s">
        <v>1999</v>
      </c>
      <c r="H12490" s="21">
        <v>922.54</v>
      </c>
    </row>
    <row r="12491" spans="1:8" customFormat="1" x14ac:dyDescent="0.25">
      <c r="A12491" t="str">
        <f>"012282"</f>
        <v>012282</v>
      </c>
      <c r="B12491" t="s">
        <v>12585</v>
      </c>
      <c r="C12491" t="s">
        <v>149</v>
      </c>
      <c r="D12491" s="21" t="s">
        <v>34</v>
      </c>
      <c r="E12491" s="21" t="s">
        <v>35</v>
      </c>
      <c r="F12491">
        <v>1730051</v>
      </c>
      <c r="G12491" t="s">
        <v>5293</v>
      </c>
      <c r="H12491" s="21">
        <v>922.42</v>
      </c>
    </row>
    <row r="12492" spans="1:8" customFormat="1" x14ac:dyDescent="0.25">
      <c r="A12492" t="str">
        <f>"3717491"</f>
        <v>3717491</v>
      </c>
      <c r="B12492" t="s">
        <v>11652</v>
      </c>
      <c r="C12492" t="s">
        <v>43</v>
      </c>
      <c r="D12492" s="21" t="s">
        <v>34</v>
      </c>
      <c r="E12492" s="21" t="s">
        <v>71</v>
      </c>
      <c r="F12492">
        <v>4370637</v>
      </c>
      <c r="G12492" t="s">
        <v>3941</v>
      </c>
      <c r="H12492" s="21">
        <v>922.42</v>
      </c>
    </row>
    <row r="12493" spans="1:8" customFormat="1" x14ac:dyDescent="0.25">
      <c r="A12493" t="str">
        <f>"4430177"</f>
        <v>4430177</v>
      </c>
      <c r="B12493" t="s">
        <v>11754</v>
      </c>
      <c r="C12493" t="s">
        <v>114</v>
      </c>
      <c r="D12493" s="21" t="s">
        <v>34</v>
      </c>
      <c r="E12493" s="21" t="s">
        <v>71</v>
      </c>
      <c r="F12493">
        <v>12440129</v>
      </c>
      <c r="G12493" t="s">
        <v>11755</v>
      </c>
      <c r="H12493" s="21">
        <v>922.42</v>
      </c>
    </row>
    <row r="12494" spans="1:8" customFormat="1" x14ac:dyDescent="0.25">
      <c r="A12494" t="str">
        <f>"2810759"</f>
        <v>2810759</v>
      </c>
      <c r="B12494" t="s">
        <v>12019</v>
      </c>
      <c r="C12494" t="s">
        <v>1812</v>
      </c>
      <c r="D12494" s="21" t="s">
        <v>34</v>
      </c>
      <c r="E12494" s="21" t="s">
        <v>71</v>
      </c>
      <c r="F12494">
        <v>4280681</v>
      </c>
      <c r="G12494" t="s">
        <v>1656</v>
      </c>
      <c r="H12494" s="21">
        <v>922.29</v>
      </c>
    </row>
    <row r="12495" spans="1:8" customFormat="1" x14ac:dyDescent="0.25">
      <c r="A12495" t="str">
        <f>"6923651"</f>
        <v>6923651</v>
      </c>
      <c r="B12495" t="s">
        <v>387</v>
      </c>
      <c r="C12495" t="s">
        <v>124</v>
      </c>
      <c r="D12495" s="21" t="s">
        <v>34</v>
      </c>
      <c r="E12495" s="21" t="s">
        <v>35</v>
      </c>
      <c r="F12495">
        <v>1690141</v>
      </c>
      <c r="G12495" t="s">
        <v>7448</v>
      </c>
      <c r="H12495" s="21">
        <v>922.17</v>
      </c>
    </row>
    <row r="12496" spans="1:8" customFormat="1" x14ac:dyDescent="0.25">
      <c r="A12496" t="str">
        <f>"421762"</f>
        <v>421762</v>
      </c>
      <c r="B12496" t="s">
        <v>3347</v>
      </c>
      <c r="C12496" t="s">
        <v>249</v>
      </c>
      <c r="D12496" s="21" t="s">
        <v>34</v>
      </c>
      <c r="E12496" s="21" t="s">
        <v>35</v>
      </c>
      <c r="F12496">
        <v>1420018</v>
      </c>
      <c r="G12496" t="s">
        <v>9778</v>
      </c>
      <c r="H12496" s="21">
        <v>922.17</v>
      </c>
    </row>
    <row r="12497" spans="1:8" customFormat="1" x14ac:dyDescent="0.25">
      <c r="A12497" t="str">
        <f>"666137"</f>
        <v>666137</v>
      </c>
      <c r="B12497" t="s">
        <v>7407</v>
      </c>
      <c r="C12497" t="s">
        <v>169</v>
      </c>
      <c r="D12497" s="21" t="s">
        <v>34</v>
      </c>
      <c r="E12497" s="21" t="s">
        <v>35</v>
      </c>
      <c r="F12497">
        <v>11660019</v>
      </c>
      <c r="G12497" t="s">
        <v>6292</v>
      </c>
      <c r="H12497" s="21">
        <v>922.17</v>
      </c>
    </row>
    <row r="12498" spans="1:8" customFormat="1" x14ac:dyDescent="0.25">
      <c r="A12498" t="str">
        <f>"5318745"</f>
        <v>5318745</v>
      </c>
      <c r="B12498" t="s">
        <v>27248</v>
      </c>
      <c r="C12498" t="s">
        <v>49</v>
      </c>
      <c r="D12498" s="21" t="s">
        <v>34</v>
      </c>
      <c r="E12498" s="21" t="s">
        <v>35</v>
      </c>
      <c r="F12498">
        <v>12530011</v>
      </c>
      <c r="G12498" t="s">
        <v>7610</v>
      </c>
      <c r="H12498" s="21">
        <v>922.17</v>
      </c>
    </row>
    <row r="12499" spans="1:8" customFormat="1" x14ac:dyDescent="0.25">
      <c r="A12499" t="str">
        <f>"5912909"</f>
        <v>5912909</v>
      </c>
      <c r="B12499" t="s">
        <v>12205</v>
      </c>
      <c r="C12499" t="s">
        <v>3648</v>
      </c>
      <c r="D12499" s="21" t="s">
        <v>34</v>
      </c>
      <c r="E12499" s="21" t="s">
        <v>71</v>
      </c>
      <c r="F12499">
        <v>7590127</v>
      </c>
      <c r="G12499" t="s">
        <v>214</v>
      </c>
      <c r="H12499" s="21">
        <v>922.17</v>
      </c>
    </row>
    <row r="12500" spans="1:8" customFormat="1" x14ac:dyDescent="0.25">
      <c r="A12500" t="str">
        <f>"3511238"</f>
        <v>3511238</v>
      </c>
      <c r="B12500" t="s">
        <v>12006</v>
      </c>
      <c r="C12500" t="s">
        <v>62</v>
      </c>
      <c r="D12500" s="21" t="s">
        <v>34</v>
      </c>
      <c r="E12500" s="21" t="s">
        <v>35</v>
      </c>
      <c r="F12500">
        <v>12440031</v>
      </c>
      <c r="G12500" t="s">
        <v>3603</v>
      </c>
      <c r="H12500" s="21">
        <v>922.17</v>
      </c>
    </row>
    <row r="12501" spans="1:8" customFormat="1" x14ac:dyDescent="0.25">
      <c r="A12501" t="str">
        <f>"7869117"</f>
        <v>7869117</v>
      </c>
      <c r="B12501" t="s">
        <v>2866</v>
      </c>
      <c r="C12501" t="s">
        <v>484</v>
      </c>
      <c r="D12501" s="21" t="s">
        <v>34</v>
      </c>
      <c r="E12501" s="21" t="s">
        <v>35</v>
      </c>
      <c r="F12501">
        <v>7800008</v>
      </c>
      <c r="G12501" t="s">
        <v>842</v>
      </c>
      <c r="H12501" s="21">
        <v>922.17</v>
      </c>
    </row>
    <row r="12502" spans="1:8" customFormat="1" x14ac:dyDescent="0.25">
      <c r="A12502" t="str">
        <f>"764240"</f>
        <v>764240</v>
      </c>
      <c r="B12502" t="s">
        <v>11120</v>
      </c>
      <c r="C12502" t="s">
        <v>267</v>
      </c>
      <c r="D12502" s="21" t="s">
        <v>34</v>
      </c>
      <c r="E12502" s="21" t="s">
        <v>71</v>
      </c>
      <c r="F12502">
        <v>9760377</v>
      </c>
      <c r="G12502" t="s">
        <v>6631</v>
      </c>
      <c r="H12502" s="21">
        <v>922.17</v>
      </c>
    </row>
    <row r="12503" spans="1:8" customFormat="1" x14ac:dyDescent="0.25">
      <c r="A12503" t="str">
        <f>"3819565"</f>
        <v>3819565</v>
      </c>
      <c r="B12503" t="s">
        <v>13334</v>
      </c>
      <c r="C12503" t="s">
        <v>253</v>
      </c>
      <c r="D12503" s="21" t="s">
        <v>34</v>
      </c>
      <c r="E12503" s="21" t="s">
        <v>71</v>
      </c>
      <c r="F12503">
        <v>1380267</v>
      </c>
      <c r="G12503" t="s">
        <v>1002</v>
      </c>
      <c r="H12503" s="21">
        <v>921.79</v>
      </c>
    </row>
    <row r="12504" spans="1:8" customFormat="1" x14ac:dyDescent="0.25">
      <c r="A12504" t="str">
        <f>"9119305"</f>
        <v>9119305</v>
      </c>
      <c r="B12504" t="s">
        <v>2165</v>
      </c>
      <c r="C12504" t="s">
        <v>415</v>
      </c>
      <c r="D12504" s="21" t="s">
        <v>34</v>
      </c>
      <c r="E12504" s="21" t="s">
        <v>71</v>
      </c>
      <c r="F12504">
        <v>2580010</v>
      </c>
      <c r="G12504" t="s">
        <v>1965</v>
      </c>
      <c r="H12504" s="21">
        <v>921.79</v>
      </c>
    </row>
    <row r="12505" spans="1:8" customFormat="1" x14ac:dyDescent="0.25">
      <c r="A12505" t="str">
        <f>"7514064"</f>
        <v>7514064</v>
      </c>
      <c r="B12505" t="s">
        <v>2313</v>
      </c>
      <c r="C12505" t="s">
        <v>10783</v>
      </c>
      <c r="D12505" s="21" t="s">
        <v>34</v>
      </c>
      <c r="E12505" s="21" t="s">
        <v>71</v>
      </c>
      <c r="F12505">
        <v>8751412</v>
      </c>
      <c r="G12505" t="s">
        <v>3615</v>
      </c>
      <c r="H12505" s="21">
        <v>921.79</v>
      </c>
    </row>
    <row r="12506" spans="1:8" customFormat="1" x14ac:dyDescent="0.25">
      <c r="A12506" t="str">
        <f>"751081"</f>
        <v>751081</v>
      </c>
      <c r="B12506" t="s">
        <v>13058</v>
      </c>
      <c r="C12506" t="s">
        <v>13059</v>
      </c>
      <c r="D12506" s="21" t="s">
        <v>34</v>
      </c>
      <c r="E12506" s="21" t="s">
        <v>1089</v>
      </c>
      <c r="F12506">
        <v>8750060</v>
      </c>
      <c r="G12506" t="s">
        <v>2821</v>
      </c>
      <c r="H12506" s="21">
        <v>921.79</v>
      </c>
    </row>
    <row r="12507" spans="1:8" customFormat="1" x14ac:dyDescent="0.25">
      <c r="A12507" t="str">
        <f>"5419494"</f>
        <v>5419494</v>
      </c>
      <c r="B12507" t="s">
        <v>12077</v>
      </c>
      <c r="C12507" t="s">
        <v>119</v>
      </c>
      <c r="D12507" s="21" t="s">
        <v>34</v>
      </c>
      <c r="E12507" s="21" t="s">
        <v>35</v>
      </c>
      <c r="F12507">
        <v>6540151</v>
      </c>
      <c r="G12507" t="s">
        <v>12078</v>
      </c>
      <c r="H12507" s="21">
        <v>921.67</v>
      </c>
    </row>
    <row r="12508" spans="1:8" customFormat="1" x14ac:dyDescent="0.25">
      <c r="A12508" t="str">
        <f>"952840"</f>
        <v>952840</v>
      </c>
      <c r="B12508" t="s">
        <v>27249</v>
      </c>
      <c r="C12508" t="s">
        <v>263</v>
      </c>
      <c r="D12508" s="21" t="s">
        <v>34</v>
      </c>
      <c r="E12508" s="21" t="s">
        <v>254</v>
      </c>
      <c r="F12508">
        <v>8950974</v>
      </c>
      <c r="G12508" t="s">
        <v>6615</v>
      </c>
      <c r="H12508" s="21">
        <v>921.67</v>
      </c>
    </row>
    <row r="12509" spans="1:8" customFormat="1" x14ac:dyDescent="0.25">
      <c r="A12509" t="str">
        <f>"623371"</f>
        <v>623371</v>
      </c>
      <c r="B12509" t="s">
        <v>11774</v>
      </c>
      <c r="C12509" t="s">
        <v>236</v>
      </c>
      <c r="D12509" s="21" t="s">
        <v>34</v>
      </c>
      <c r="E12509" s="21" t="s">
        <v>71</v>
      </c>
      <c r="F12509">
        <v>7620031</v>
      </c>
      <c r="G12509" t="s">
        <v>2182</v>
      </c>
      <c r="H12509" s="21">
        <v>921.67</v>
      </c>
    </row>
    <row r="12510" spans="1:8" customFormat="1" x14ac:dyDescent="0.25">
      <c r="A12510" t="str">
        <f>"954353"</f>
        <v>954353</v>
      </c>
      <c r="B12510" t="s">
        <v>10658</v>
      </c>
      <c r="C12510" t="s">
        <v>455</v>
      </c>
      <c r="D12510" s="21" t="s">
        <v>34</v>
      </c>
      <c r="E12510" s="21" t="s">
        <v>35</v>
      </c>
      <c r="F12510">
        <v>8950479</v>
      </c>
      <c r="G12510" t="s">
        <v>728</v>
      </c>
      <c r="H12510" s="21">
        <v>921.67</v>
      </c>
    </row>
    <row r="12511" spans="1:8" customFormat="1" x14ac:dyDescent="0.25">
      <c r="A12511" t="str">
        <f>"153553"</f>
        <v>153553</v>
      </c>
      <c r="B12511" t="s">
        <v>7619</v>
      </c>
      <c r="C12511" t="s">
        <v>2520</v>
      </c>
      <c r="D12511" s="21" t="s">
        <v>34</v>
      </c>
      <c r="E12511" s="21" t="s">
        <v>71</v>
      </c>
      <c r="F12511">
        <v>1150148</v>
      </c>
      <c r="G12511" t="s">
        <v>7485</v>
      </c>
      <c r="H12511" s="21">
        <v>921.67</v>
      </c>
    </row>
    <row r="12512" spans="1:8" customFormat="1" x14ac:dyDescent="0.25">
      <c r="A12512" t="str">
        <f>"788434"</f>
        <v>788434</v>
      </c>
      <c r="B12512" t="s">
        <v>9799</v>
      </c>
      <c r="C12512" t="s">
        <v>598</v>
      </c>
      <c r="D12512" s="21" t="s">
        <v>34</v>
      </c>
      <c r="E12512" s="21" t="s">
        <v>71</v>
      </c>
      <c r="F12512">
        <v>8781290</v>
      </c>
      <c r="G12512" t="s">
        <v>2927</v>
      </c>
      <c r="H12512" s="21">
        <v>921.67</v>
      </c>
    </row>
    <row r="12513" spans="1:8" customFormat="1" x14ac:dyDescent="0.25">
      <c r="A12513" t="str">
        <f>"5973608"</f>
        <v>5973608</v>
      </c>
      <c r="B12513" t="s">
        <v>2835</v>
      </c>
      <c r="C12513" t="s">
        <v>1110</v>
      </c>
      <c r="D12513" s="21" t="s">
        <v>34</v>
      </c>
      <c r="E12513" s="21" t="s">
        <v>254</v>
      </c>
      <c r="F12513">
        <v>7590033</v>
      </c>
      <c r="G12513" t="s">
        <v>6329</v>
      </c>
      <c r="H12513" s="21">
        <v>921.67</v>
      </c>
    </row>
    <row r="12514" spans="1:8" customFormat="1" x14ac:dyDescent="0.25">
      <c r="A12514" t="str">
        <f>"703565"</f>
        <v>703565</v>
      </c>
      <c r="B12514" t="s">
        <v>12316</v>
      </c>
      <c r="C12514" t="s">
        <v>1146</v>
      </c>
      <c r="D12514" s="21" t="s">
        <v>34</v>
      </c>
      <c r="E12514" s="21" t="s">
        <v>71</v>
      </c>
      <c r="F12514">
        <v>10160044</v>
      </c>
      <c r="G12514" t="s">
        <v>4941</v>
      </c>
      <c r="H12514" s="21">
        <v>921.67</v>
      </c>
    </row>
    <row r="12515" spans="1:8" customFormat="1" x14ac:dyDescent="0.25">
      <c r="A12515" t="str">
        <f>"6214987"</f>
        <v>6214987</v>
      </c>
      <c r="B12515" t="s">
        <v>10722</v>
      </c>
      <c r="C12515" t="s">
        <v>2479</v>
      </c>
      <c r="D12515" s="21" t="s">
        <v>34</v>
      </c>
      <c r="E12515" s="21" t="s">
        <v>71</v>
      </c>
      <c r="F12515">
        <v>7590271</v>
      </c>
      <c r="G12515" t="s">
        <v>3163</v>
      </c>
      <c r="H12515" s="21">
        <v>921.67</v>
      </c>
    </row>
    <row r="12516" spans="1:8" customFormat="1" x14ac:dyDescent="0.25">
      <c r="A12516" t="str">
        <f>"3111623"</f>
        <v>3111623</v>
      </c>
      <c r="B12516" t="s">
        <v>27250</v>
      </c>
      <c r="C12516" t="s">
        <v>55</v>
      </c>
      <c r="D12516" s="21" t="s">
        <v>34</v>
      </c>
      <c r="E12516" s="21" t="s">
        <v>71</v>
      </c>
      <c r="F12516">
        <v>13060008</v>
      </c>
      <c r="G12516" t="s">
        <v>36</v>
      </c>
      <c r="H12516" s="21">
        <v>921.67</v>
      </c>
    </row>
    <row r="12517" spans="1:8" customFormat="1" x14ac:dyDescent="0.25">
      <c r="A12517" t="str">
        <f>"253500"</f>
        <v>253500</v>
      </c>
      <c r="B12517" t="s">
        <v>12291</v>
      </c>
      <c r="C12517" t="s">
        <v>598</v>
      </c>
      <c r="D12517" s="21" t="s">
        <v>34</v>
      </c>
      <c r="E12517" s="21" t="s">
        <v>254</v>
      </c>
      <c r="F12517">
        <v>2250137</v>
      </c>
      <c r="G12517" t="s">
        <v>182</v>
      </c>
      <c r="H12517" s="21">
        <v>921.67</v>
      </c>
    </row>
    <row r="12518" spans="1:8" customFormat="1" x14ac:dyDescent="0.25">
      <c r="A12518" t="str">
        <f>"881394"</f>
        <v>881394</v>
      </c>
      <c r="B12518" t="s">
        <v>11368</v>
      </c>
      <c r="C12518" t="s">
        <v>169</v>
      </c>
      <c r="D12518" s="21" t="s">
        <v>34</v>
      </c>
      <c r="E12518" s="21" t="s">
        <v>35</v>
      </c>
      <c r="F12518">
        <v>6880022</v>
      </c>
      <c r="G12518" t="s">
        <v>339</v>
      </c>
      <c r="H12518" s="21">
        <v>921.67</v>
      </c>
    </row>
    <row r="12519" spans="1:8" customFormat="1" x14ac:dyDescent="0.25">
      <c r="A12519" t="str">
        <f>"4334"</f>
        <v>4334</v>
      </c>
      <c r="B12519" t="s">
        <v>10878</v>
      </c>
      <c r="C12519" t="s">
        <v>1271</v>
      </c>
      <c r="D12519" s="21" t="s">
        <v>34</v>
      </c>
      <c r="E12519" s="21" t="s">
        <v>254</v>
      </c>
      <c r="F12519">
        <v>1420307</v>
      </c>
      <c r="G12519" t="s">
        <v>26676</v>
      </c>
      <c r="H12519" s="21">
        <v>921.67</v>
      </c>
    </row>
    <row r="12520" spans="1:8" customFormat="1" x14ac:dyDescent="0.25">
      <c r="A12520" t="str">
        <f>"6810113"</f>
        <v>6810113</v>
      </c>
      <c r="B12520" t="s">
        <v>814</v>
      </c>
      <c r="C12520" t="s">
        <v>263</v>
      </c>
      <c r="D12520" s="21" t="s">
        <v>34</v>
      </c>
      <c r="E12520" s="21" t="s">
        <v>71</v>
      </c>
      <c r="F12520">
        <v>6680071</v>
      </c>
      <c r="G12520" t="s">
        <v>2899</v>
      </c>
      <c r="H12520" s="21">
        <v>921.67</v>
      </c>
    </row>
    <row r="12521" spans="1:8" customFormat="1" x14ac:dyDescent="0.25">
      <c r="A12521" t="str">
        <f>"351379"</f>
        <v>351379</v>
      </c>
      <c r="B12521" t="s">
        <v>7886</v>
      </c>
      <c r="C12521" t="s">
        <v>598</v>
      </c>
      <c r="D12521" s="21" t="s">
        <v>34</v>
      </c>
      <c r="E12521" s="21" t="s">
        <v>254</v>
      </c>
      <c r="F12521">
        <v>3350025</v>
      </c>
      <c r="G12521" t="s">
        <v>11920</v>
      </c>
      <c r="H12521" s="21">
        <v>921.67</v>
      </c>
    </row>
    <row r="12522" spans="1:8" customFormat="1" x14ac:dyDescent="0.25">
      <c r="A12522" t="str">
        <f>"4920248"</f>
        <v>4920248</v>
      </c>
      <c r="B12522" t="s">
        <v>10877</v>
      </c>
      <c r="C12522" t="s">
        <v>33</v>
      </c>
      <c r="D12522" s="21" t="s">
        <v>34</v>
      </c>
      <c r="E12522" s="21" t="s">
        <v>35</v>
      </c>
      <c r="F12522">
        <v>12440195</v>
      </c>
      <c r="G12522" t="s">
        <v>3117</v>
      </c>
      <c r="H12522" s="21">
        <v>921.67</v>
      </c>
    </row>
    <row r="12523" spans="1:8" customFormat="1" x14ac:dyDescent="0.25">
      <c r="A12523" t="str">
        <f>"768806"</f>
        <v>768806</v>
      </c>
      <c r="B12523" t="s">
        <v>10281</v>
      </c>
      <c r="C12523" t="s">
        <v>121</v>
      </c>
      <c r="D12523" s="21" t="s">
        <v>34</v>
      </c>
      <c r="E12523" s="21" t="s">
        <v>35</v>
      </c>
      <c r="F12523">
        <v>9760269</v>
      </c>
      <c r="G12523" t="s">
        <v>10282</v>
      </c>
      <c r="H12523" s="21">
        <v>921.67</v>
      </c>
    </row>
    <row r="12524" spans="1:8" customFormat="1" x14ac:dyDescent="0.25">
      <c r="A12524" t="str">
        <f>"9124235"</f>
        <v>9124235</v>
      </c>
      <c r="B12524" t="s">
        <v>3942</v>
      </c>
      <c r="C12524" t="s">
        <v>812</v>
      </c>
      <c r="D12524" s="21" t="s">
        <v>34</v>
      </c>
      <c r="E12524" s="21" t="s">
        <v>254</v>
      </c>
      <c r="F12524">
        <v>8920140</v>
      </c>
      <c r="G12524" t="s">
        <v>3762</v>
      </c>
      <c r="H12524" s="21">
        <v>921.54</v>
      </c>
    </row>
    <row r="12525" spans="1:8" customFormat="1" x14ac:dyDescent="0.25">
      <c r="A12525" t="str">
        <f>"5317220"</f>
        <v>5317220</v>
      </c>
      <c r="B12525" t="s">
        <v>3671</v>
      </c>
      <c r="C12525" t="s">
        <v>598</v>
      </c>
      <c r="D12525" s="21" t="s">
        <v>34</v>
      </c>
      <c r="E12525" s="21" t="s">
        <v>71</v>
      </c>
      <c r="F12525">
        <v>12530119</v>
      </c>
      <c r="G12525" t="s">
        <v>9943</v>
      </c>
      <c r="H12525" s="21">
        <v>921.42</v>
      </c>
    </row>
    <row r="12526" spans="1:8" customFormat="1" x14ac:dyDescent="0.25">
      <c r="A12526" t="str">
        <f>"537113"</f>
        <v>537113</v>
      </c>
      <c r="B12526" t="s">
        <v>10499</v>
      </c>
      <c r="C12526" t="s">
        <v>10500</v>
      </c>
      <c r="D12526" s="21" t="s">
        <v>34</v>
      </c>
      <c r="E12526" s="21" t="s">
        <v>71</v>
      </c>
      <c r="F12526">
        <v>12530147</v>
      </c>
      <c r="G12526" t="s">
        <v>1851</v>
      </c>
      <c r="H12526" s="21">
        <v>921.42</v>
      </c>
    </row>
    <row r="12527" spans="1:8" customFormat="1" x14ac:dyDescent="0.25">
      <c r="A12527" t="str">
        <f>"6217124"</f>
        <v>6217124</v>
      </c>
      <c r="B12527" t="s">
        <v>4622</v>
      </c>
      <c r="C12527" t="s">
        <v>60</v>
      </c>
      <c r="D12527" s="21" t="s">
        <v>34</v>
      </c>
      <c r="E12527" s="21" t="s">
        <v>35</v>
      </c>
      <c r="F12527">
        <v>7620162</v>
      </c>
      <c r="G12527" t="s">
        <v>3134</v>
      </c>
      <c r="H12527" s="21">
        <v>921.17</v>
      </c>
    </row>
    <row r="12528" spans="1:8" customFormat="1" x14ac:dyDescent="0.25">
      <c r="A12528" t="str">
        <f>"6950077"</f>
        <v>6950077</v>
      </c>
      <c r="B12528" t="s">
        <v>4071</v>
      </c>
      <c r="C12528" t="s">
        <v>428</v>
      </c>
      <c r="D12528" s="21" t="s">
        <v>34</v>
      </c>
      <c r="E12528" s="21" t="s">
        <v>35</v>
      </c>
      <c r="F12528">
        <v>1690211</v>
      </c>
      <c r="G12528" t="s">
        <v>9152</v>
      </c>
      <c r="H12528" s="21">
        <v>921.17</v>
      </c>
    </row>
    <row r="12529" spans="1:8" customFormat="1" x14ac:dyDescent="0.25">
      <c r="A12529" t="str">
        <f>"5411774"</f>
        <v>5411774</v>
      </c>
      <c r="B12529" t="s">
        <v>27251</v>
      </c>
      <c r="C12529" t="s">
        <v>119</v>
      </c>
      <c r="D12529" s="21" t="s">
        <v>34</v>
      </c>
      <c r="E12529" s="21" t="s">
        <v>35</v>
      </c>
      <c r="F12529">
        <v>1380273</v>
      </c>
      <c r="G12529" t="s">
        <v>7554</v>
      </c>
      <c r="H12529" s="21">
        <v>921.17</v>
      </c>
    </row>
    <row r="12530" spans="1:8" customFormat="1" x14ac:dyDescent="0.25">
      <c r="A12530" t="str">
        <f>"514544"</f>
        <v>514544</v>
      </c>
      <c r="B12530" t="s">
        <v>11423</v>
      </c>
      <c r="C12530" t="s">
        <v>55</v>
      </c>
      <c r="D12530" s="21" t="s">
        <v>34</v>
      </c>
      <c r="E12530" s="21" t="s">
        <v>254</v>
      </c>
      <c r="F12530">
        <v>6510112</v>
      </c>
      <c r="G12530" t="s">
        <v>588</v>
      </c>
      <c r="H12530" s="21">
        <v>921.17</v>
      </c>
    </row>
    <row r="12531" spans="1:8" customFormat="1" x14ac:dyDescent="0.25">
      <c r="A12531" t="str">
        <f>"169820"</f>
        <v>169820</v>
      </c>
      <c r="B12531" t="s">
        <v>10910</v>
      </c>
      <c r="C12531" t="s">
        <v>249</v>
      </c>
      <c r="D12531" s="21" t="s">
        <v>34</v>
      </c>
      <c r="E12531" s="21" t="s">
        <v>35</v>
      </c>
      <c r="F12531">
        <v>10160226</v>
      </c>
      <c r="G12531" t="s">
        <v>8751</v>
      </c>
      <c r="H12531" s="21">
        <v>921.17</v>
      </c>
    </row>
    <row r="12532" spans="1:8" customFormat="1" x14ac:dyDescent="0.25">
      <c r="A12532" t="str">
        <f>"4213513"</f>
        <v>4213513</v>
      </c>
      <c r="B12532" t="s">
        <v>11495</v>
      </c>
      <c r="C12532" t="s">
        <v>109</v>
      </c>
      <c r="D12532" s="21" t="s">
        <v>34</v>
      </c>
      <c r="E12532" s="21" t="s">
        <v>35</v>
      </c>
      <c r="F12532">
        <v>1420151</v>
      </c>
      <c r="G12532" t="s">
        <v>6802</v>
      </c>
      <c r="H12532" s="21">
        <v>921.17</v>
      </c>
    </row>
    <row r="12533" spans="1:8" customFormat="1" x14ac:dyDescent="0.25">
      <c r="A12533" t="str">
        <f>"808602"</f>
        <v>808602</v>
      </c>
      <c r="B12533" t="s">
        <v>13337</v>
      </c>
      <c r="C12533" t="s">
        <v>239</v>
      </c>
      <c r="D12533" s="21" t="s">
        <v>34</v>
      </c>
      <c r="E12533" s="21" t="s">
        <v>254</v>
      </c>
      <c r="F12533">
        <v>7800098</v>
      </c>
      <c r="G12533" t="s">
        <v>8445</v>
      </c>
      <c r="H12533" s="21">
        <v>921.17</v>
      </c>
    </row>
    <row r="12534" spans="1:8" customFormat="1" x14ac:dyDescent="0.25">
      <c r="A12534" t="str">
        <f>"791078"</f>
        <v>791078</v>
      </c>
      <c r="B12534" t="s">
        <v>10252</v>
      </c>
      <c r="C12534" t="s">
        <v>1110</v>
      </c>
      <c r="D12534" s="21" t="s">
        <v>34</v>
      </c>
      <c r="E12534" s="21" t="s">
        <v>254</v>
      </c>
      <c r="F12534">
        <v>10790150</v>
      </c>
      <c r="G12534" t="s">
        <v>6205</v>
      </c>
      <c r="H12534" s="21">
        <v>921.17</v>
      </c>
    </row>
    <row r="12535" spans="1:8" customFormat="1" x14ac:dyDescent="0.25">
      <c r="A12535" t="str">
        <f>"50440"</f>
        <v>50440</v>
      </c>
      <c r="B12535" t="s">
        <v>2883</v>
      </c>
      <c r="C12535" t="s">
        <v>27252</v>
      </c>
      <c r="D12535" s="21" t="s">
        <v>34</v>
      </c>
      <c r="E12535" s="21" t="s">
        <v>35</v>
      </c>
      <c r="F12535">
        <v>9140007</v>
      </c>
      <c r="G12535" t="s">
        <v>434</v>
      </c>
      <c r="H12535" s="21">
        <v>921.17</v>
      </c>
    </row>
    <row r="12536" spans="1:8" customFormat="1" x14ac:dyDescent="0.25">
      <c r="A12536" t="str">
        <f>"72724"</f>
        <v>72724</v>
      </c>
      <c r="B12536" t="s">
        <v>4095</v>
      </c>
      <c r="C12536" t="s">
        <v>267</v>
      </c>
      <c r="D12536" s="21" t="s">
        <v>34</v>
      </c>
      <c r="E12536" s="21" t="s">
        <v>254</v>
      </c>
      <c r="F12536">
        <v>12720027</v>
      </c>
      <c r="G12536" t="s">
        <v>3562</v>
      </c>
      <c r="H12536" s="21">
        <v>921.17</v>
      </c>
    </row>
    <row r="12537" spans="1:8" customFormat="1" x14ac:dyDescent="0.25">
      <c r="A12537" t="str">
        <f>"5721496"</f>
        <v>5721496</v>
      </c>
      <c r="B12537" t="s">
        <v>27253</v>
      </c>
      <c r="C12537" t="s">
        <v>96</v>
      </c>
      <c r="D12537" s="21" t="s">
        <v>34</v>
      </c>
      <c r="E12537" s="21" t="s">
        <v>35</v>
      </c>
      <c r="F12537">
        <v>6570146</v>
      </c>
      <c r="G12537" t="s">
        <v>1556</v>
      </c>
      <c r="H12537" s="21">
        <v>921.17</v>
      </c>
    </row>
    <row r="12538" spans="1:8" customFormat="1" x14ac:dyDescent="0.25">
      <c r="A12538" t="str">
        <f>"4421437"</f>
        <v>4421437</v>
      </c>
      <c r="B12538" t="s">
        <v>10006</v>
      </c>
      <c r="C12538" t="s">
        <v>269</v>
      </c>
      <c r="D12538" s="21" t="s">
        <v>34</v>
      </c>
      <c r="E12538" s="21" t="s">
        <v>254</v>
      </c>
      <c r="F12538">
        <v>12440147</v>
      </c>
      <c r="G12538" t="s">
        <v>5472</v>
      </c>
      <c r="H12538" s="21">
        <v>921.17</v>
      </c>
    </row>
    <row r="12539" spans="1:8" customFormat="1" x14ac:dyDescent="0.25">
      <c r="A12539" t="str">
        <f>"5416079"</f>
        <v>5416079</v>
      </c>
      <c r="B12539" t="s">
        <v>11207</v>
      </c>
      <c r="C12539" t="s">
        <v>288</v>
      </c>
      <c r="D12539" s="21" t="s">
        <v>34</v>
      </c>
      <c r="E12539" s="21" t="s">
        <v>71</v>
      </c>
      <c r="F12539">
        <v>6540040</v>
      </c>
      <c r="G12539" t="s">
        <v>256</v>
      </c>
      <c r="H12539" s="21">
        <v>921.04</v>
      </c>
    </row>
    <row r="12540" spans="1:8" customFormat="1" x14ac:dyDescent="0.25">
      <c r="A12540" t="str">
        <f>"1412333"</f>
        <v>1412333</v>
      </c>
      <c r="B12540" t="s">
        <v>9517</v>
      </c>
      <c r="C12540" t="s">
        <v>4721</v>
      </c>
      <c r="D12540" s="21" t="s">
        <v>34</v>
      </c>
      <c r="E12540" s="21" t="s">
        <v>1089</v>
      </c>
      <c r="F12540">
        <v>9140019</v>
      </c>
      <c r="G12540" t="s">
        <v>3901</v>
      </c>
      <c r="H12540" s="21">
        <v>920.92</v>
      </c>
    </row>
    <row r="12541" spans="1:8" customFormat="1" x14ac:dyDescent="0.25">
      <c r="A12541" t="str">
        <f>"894402"</f>
        <v>894402</v>
      </c>
      <c r="B12541" t="s">
        <v>431</v>
      </c>
      <c r="C12541" t="s">
        <v>328</v>
      </c>
      <c r="D12541" s="21" t="s">
        <v>34</v>
      </c>
      <c r="E12541" s="21" t="s">
        <v>35</v>
      </c>
      <c r="F12541">
        <v>2890010</v>
      </c>
      <c r="G12541" t="s">
        <v>3790</v>
      </c>
      <c r="H12541" s="21">
        <v>920.92</v>
      </c>
    </row>
    <row r="12542" spans="1:8" customFormat="1" x14ac:dyDescent="0.25">
      <c r="A12542" t="str">
        <f>"1314756"</f>
        <v>1314756</v>
      </c>
      <c r="B12542" t="s">
        <v>15275</v>
      </c>
      <c r="C12542" t="s">
        <v>169</v>
      </c>
      <c r="D12542" s="21" t="s">
        <v>34</v>
      </c>
      <c r="E12542" s="21" t="s">
        <v>71</v>
      </c>
      <c r="F12542">
        <v>13130138</v>
      </c>
      <c r="G12542" t="s">
        <v>5409</v>
      </c>
      <c r="H12542" s="21">
        <v>920.79</v>
      </c>
    </row>
    <row r="12543" spans="1:8" customFormat="1" x14ac:dyDescent="0.25">
      <c r="A12543" t="str">
        <f>"9436727"</f>
        <v>9436727</v>
      </c>
      <c r="B12543" t="s">
        <v>11463</v>
      </c>
      <c r="C12543" t="s">
        <v>55</v>
      </c>
      <c r="D12543" s="21" t="s">
        <v>34</v>
      </c>
      <c r="E12543" s="21" t="s">
        <v>35</v>
      </c>
      <c r="F12543">
        <v>8940976</v>
      </c>
      <c r="G12543" t="s">
        <v>615</v>
      </c>
      <c r="H12543" s="21">
        <v>920.67</v>
      </c>
    </row>
    <row r="12544" spans="1:8" customFormat="1" x14ac:dyDescent="0.25">
      <c r="A12544" t="str">
        <f>"78178"</f>
        <v>78178</v>
      </c>
      <c r="B12544" t="s">
        <v>11394</v>
      </c>
      <c r="C12544" t="s">
        <v>209</v>
      </c>
      <c r="D12544" s="21" t="s">
        <v>34</v>
      </c>
      <c r="E12544" s="21" t="s">
        <v>254</v>
      </c>
      <c r="F12544">
        <v>8780078</v>
      </c>
      <c r="G12544" t="s">
        <v>229</v>
      </c>
      <c r="H12544" s="21">
        <v>920.67</v>
      </c>
    </row>
    <row r="12545" spans="1:8" customFormat="1" x14ac:dyDescent="0.25">
      <c r="A12545" t="str">
        <f>"902591"</f>
        <v>902591</v>
      </c>
      <c r="B12545" t="s">
        <v>11719</v>
      </c>
      <c r="C12545" t="s">
        <v>879</v>
      </c>
      <c r="D12545" s="21" t="s">
        <v>34</v>
      </c>
      <c r="E12545" s="21" t="s">
        <v>1089</v>
      </c>
      <c r="F12545">
        <v>2900039</v>
      </c>
      <c r="G12545" t="s">
        <v>26615</v>
      </c>
      <c r="H12545" s="21">
        <v>920.67</v>
      </c>
    </row>
    <row r="12546" spans="1:8" customFormat="1" x14ac:dyDescent="0.25">
      <c r="A12546" t="str">
        <f>"534632"</f>
        <v>534632</v>
      </c>
      <c r="B12546" t="s">
        <v>4387</v>
      </c>
      <c r="C12546" t="s">
        <v>598</v>
      </c>
      <c r="D12546" s="21" t="s">
        <v>34</v>
      </c>
      <c r="E12546" s="21" t="s">
        <v>1089</v>
      </c>
      <c r="F12546">
        <v>12530018</v>
      </c>
      <c r="G12546" t="s">
        <v>8768</v>
      </c>
      <c r="H12546" s="21">
        <v>920.67</v>
      </c>
    </row>
    <row r="12547" spans="1:8" customFormat="1" x14ac:dyDescent="0.25">
      <c r="A12547" t="str">
        <f>"8012498"</f>
        <v>8012498</v>
      </c>
      <c r="B12547" t="s">
        <v>11769</v>
      </c>
      <c r="C12547" t="s">
        <v>40</v>
      </c>
      <c r="D12547" s="21" t="s">
        <v>34</v>
      </c>
      <c r="E12547" s="21" t="s">
        <v>254</v>
      </c>
      <c r="F12547">
        <v>7800106</v>
      </c>
      <c r="G12547" t="s">
        <v>2466</v>
      </c>
      <c r="H12547" s="21">
        <v>920.67</v>
      </c>
    </row>
    <row r="12548" spans="1:8" customFormat="1" x14ac:dyDescent="0.25">
      <c r="A12548" t="str">
        <f>"2919411"</f>
        <v>2919411</v>
      </c>
      <c r="B12548" t="s">
        <v>12196</v>
      </c>
      <c r="C12548" t="s">
        <v>926</v>
      </c>
      <c r="D12548" s="21" t="s">
        <v>34</v>
      </c>
      <c r="E12548" s="21" t="s">
        <v>35</v>
      </c>
      <c r="F12548">
        <v>3290015</v>
      </c>
      <c r="G12548" t="s">
        <v>3040</v>
      </c>
      <c r="H12548" s="21">
        <v>920.67</v>
      </c>
    </row>
    <row r="12549" spans="1:8" customFormat="1" x14ac:dyDescent="0.25">
      <c r="A12549" t="str">
        <f>"2915482"</f>
        <v>2915482</v>
      </c>
      <c r="B12549" t="s">
        <v>11900</v>
      </c>
      <c r="C12549" t="s">
        <v>151</v>
      </c>
      <c r="D12549" s="21" t="s">
        <v>34</v>
      </c>
      <c r="E12549" s="21" t="s">
        <v>71</v>
      </c>
      <c r="F12549">
        <v>3290255</v>
      </c>
      <c r="G12549" t="s">
        <v>2852</v>
      </c>
      <c r="H12549" s="21">
        <v>920.67</v>
      </c>
    </row>
    <row r="12550" spans="1:8" customFormat="1" x14ac:dyDescent="0.25">
      <c r="A12550" t="str">
        <f>"4212938"</f>
        <v>4212938</v>
      </c>
      <c r="B12550" t="s">
        <v>11753</v>
      </c>
      <c r="C12550" t="s">
        <v>267</v>
      </c>
      <c r="D12550" s="21" t="s">
        <v>34</v>
      </c>
      <c r="E12550" s="21" t="s">
        <v>254</v>
      </c>
      <c r="F12550">
        <v>1420151</v>
      </c>
      <c r="G12550" t="s">
        <v>6802</v>
      </c>
      <c r="H12550" s="21">
        <v>920.67</v>
      </c>
    </row>
    <row r="12551" spans="1:8" customFormat="1" x14ac:dyDescent="0.25">
      <c r="A12551" t="str">
        <f>"1417208"</f>
        <v>1417208</v>
      </c>
      <c r="B12551" t="s">
        <v>10888</v>
      </c>
      <c r="C12551" t="s">
        <v>87</v>
      </c>
      <c r="D12551" s="21" t="s">
        <v>34</v>
      </c>
      <c r="E12551" s="21" t="s">
        <v>35</v>
      </c>
      <c r="F12551">
        <v>9140179</v>
      </c>
      <c r="G12551" t="s">
        <v>10146</v>
      </c>
      <c r="H12551" s="21">
        <v>920.67</v>
      </c>
    </row>
    <row r="12552" spans="1:8" customFormat="1" x14ac:dyDescent="0.25">
      <c r="A12552" t="str">
        <f>"58402"</f>
        <v>58402</v>
      </c>
      <c r="B12552" t="s">
        <v>11392</v>
      </c>
      <c r="C12552" t="s">
        <v>1132</v>
      </c>
      <c r="D12552" s="21" t="s">
        <v>34</v>
      </c>
      <c r="E12552" s="21" t="s">
        <v>254</v>
      </c>
      <c r="F12552">
        <v>2580052</v>
      </c>
      <c r="G12552" t="s">
        <v>1813</v>
      </c>
      <c r="H12552" s="21">
        <v>920.67</v>
      </c>
    </row>
    <row r="12553" spans="1:8" customFormat="1" x14ac:dyDescent="0.25">
      <c r="A12553" t="str">
        <f>"7853071"</f>
        <v>7853071</v>
      </c>
      <c r="B12553" t="s">
        <v>8982</v>
      </c>
      <c r="C12553" t="s">
        <v>263</v>
      </c>
      <c r="D12553" s="21" t="s">
        <v>34</v>
      </c>
      <c r="E12553" s="21" t="s">
        <v>35</v>
      </c>
      <c r="F12553">
        <v>9270127</v>
      </c>
      <c r="G12553" t="s">
        <v>16351</v>
      </c>
      <c r="H12553" s="21">
        <v>920.67</v>
      </c>
    </row>
    <row r="12554" spans="1:8" customFormat="1" x14ac:dyDescent="0.25">
      <c r="A12554" t="str">
        <f>"5949103"</f>
        <v>5949103</v>
      </c>
      <c r="B12554" t="s">
        <v>11237</v>
      </c>
      <c r="C12554" t="s">
        <v>2479</v>
      </c>
      <c r="D12554" s="21" t="s">
        <v>34</v>
      </c>
      <c r="E12554" s="21" t="s">
        <v>254</v>
      </c>
      <c r="F12554">
        <v>7590017</v>
      </c>
      <c r="G12554" t="s">
        <v>1316</v>
      </c>
      <c r="H12554" s="21">
        <v>920.67</v>
      </c>
    </row>
    <row r="12555" spans="1:8" customFormat="1" x14ac:dyDescent="0.25">
      <c r="A12555" t="str">
        <f>"5944004"</f>
        <v>5944004</v>
      </c>
      <c r="B12555" t="s">
        <v>12240</v>
      </c>
      <c r="C12555" t="s">
        <v>598</v>
      </c>
      <c r="D12555" s="21" t="s">
        <v>34</v>
      </c>
      <c r="E12555" s="21" t="s">
        <v>71</v>
      </c>
      <c r="F12555">
        <v>10470001</v>
      </c>
      <c r="G12555" t="s">
        <v>391</v>
      </c>
      <c r="H12555" s="21">
        <v>920.67</v>
      </c>
    </row>
    <row r="12556" spans="1:8" customFormat="1" x14ac:dyDescent="0.25">
      <c r="A12556" t="str">
        <f>"7723555"</f>
        <v>7723555</v>
      </c>
      <c r="B12556" t="s">
        <v>13036</v>
      </c>
      <c r="C12556" t="s">
        <v>55</v>
      </c>
      <c r="D12556" s="21" t="s">
        <v>34</v>
      </c>
      <c r="E12556" s="21" t="s">
        <v>71</v>
      </c>
      <c r="F12556">
        <v>8771446</v>
      </c>
      <c r="G12556" t="s">
        <v>830</v>
      </c>
      <c r="H12556" s="21">
        <v>920.54</v>
      </c>
    </row>
    <row r="12557" spans="1:8" customFormat="1" x14ac:dyDescent="0.25">
      <c r="A12557" t="str">
        <f>"5316314"</f>
        <v>5316314</v>
      </c>
      <c r="B12557" t="s">
        <v>12640</v>
      </c>
      <c r="C12557" t="s">
        <v>263</v>
      </c>
      <c r="D12557" s="21" t="s">
        <v>34</v>
      </c>
      <c r="E12557" s="21" t="s">
        <v>254</v>
      </c>
      <c r="F12557">
        <v>12530087</v>
      </c>
      <c r="G12557" t="s">
        <v>3860</v>
      </c>
      <c r="H12557" s="21">
        <v>920.42</v>
      </c>
    </row>
    <row r="12558" spans="1:8" customFormat="1" x14ac:dyDescent="0.25">
      <c r="A12558" t="str">
        <f>"771147"</f>
        <v>771147</v>
      </c>
      <c r="B12558" t="s">
        <v>9713</v>
      </c>
      <c r="C12558" t="s">
        <v>9714</v>
      </c>
      <c r="D12558" s="21" t="s">
        <v>34</v>
      </c>
      <c r="E12558" s="21" t="s">
        <v>1089</v>
      </c>
      <c r="F12558">
        <v>8771087</v>
      </c>
      <c r="G12558" t="s">
        <v>9715</v>
      </c>
      <c r="H12558" s="21">
        <v>920.42</v>
      </c>
    </row>
    <row r="12559" spans="1:8" customFormat="1" x14ac:dyDescent="0.25">
      <c r="A12559" t="str">
        <f>"5927304"</f>
        <v>5927304</v>
      </c>
      <c r="B12559" t="s">
        <v>108</v>
      </c>
      <c r="C12559" t="s">
        <v>269</v>
      </c>
      <c r="D12559" s="21" t="s">
        <v>34</v>
      </c>
      <c r="E12559" s="21" t="s">
        <v>71</v>
      </c>
      <c r="F12559">
        <v>7590345</v>
      </c>
      <c r="G12559" t="s">
        <v>3297</v>
      </c>
      <c r="H12559" s="21">
        <v>920.42</v>
      </c>
    </row>
    <row r="12560" spans="1:8" customFormat="1" x14ac:dyDescent="0.25">
      <c r="A12560" t="str">
        <f>"7217113"</f>
        <v>7217113</v>
      </c>
      <c r="B12560" t="s">
        <v>27254</v>
      </c>
      <c r="C12560" t="s">
        <v>96</v>
      </c>
      <c r="D12560" s="21" t="s">
        <v>34</v>
      </c>
      <c r="E12560" s="21" t="s">
        <v>35</v>
      </c>
      <c r="F12560">
        <v>12720049</v>
      </c>
      <c r="G12560" t="s">
        <v>1627</v>
      </c>
      <c r="H12560" s="21">
        <v>920.29</v>
      </c>
    </row>
    <row r="12561" spans="1:8" customFormat="1" x14ac:dyDescent="0.25">
      <c r="A12561" t="str">
        <f>"5310001"</f>
        <v>5310001</v>
      </c>
      <c r="B12561" t="s">
        <v>111</v>
      </c>
      <c r="C12561" t="s">
        <v>249</v>
      </c>
      <c r="D12561" s="21" t="s">
        <v>34</v>
      </c>
      <c r="E12561" s="21" t="s">
        <v>71</v>
      </c>
      <c r="F12561">
        <v>12530117</v>
      </c>
      <c r="G12561" t="s">
        <v>1209</v>
      </c>
      <c r="H12561" s="21">
        <v>920.17</v>
      </c>
    </row>
    <row r="12562" spans="1:8" customFormat="1" x14ac:dyDescent="0.25">
      <c r="A12562" t="str">
        <f>"5725359"</f>
        <v>5725359</v>
      </c>
      <c r="B12562" t="s">
        <v>27255</v>
      </c>
      <c r="C12562" t="s">
        <v>87</v>
      </c>
      <c r="D12562" s="21" t="s">
        <v>34</v>
      </c>
      <c r="E12562" s="21" t="s">
        <v>35</v>
      </c>
      <c r="F12562">
        <v>6570168</v>
      </c>
      <c r="G12562" t="s">
        <v>152</v>
      </c>
      <c r="H12562" s="21">
        <v>920.17</v>
      </c>
    </row>
    <row r="12563" spans="1:8" customFormat="1" x14ac:dyDescent="0.25">
      <c r="A12563" t="str">
        <f>"6713652"</f>
        <v>6713652</v>
      </c>
      <c r="B12563" t="s">
        <v>11476</v>
      </c>
      <c r="C12563" t="s">
        <v>209</v>
      </c>
      <c r="D12563" s="21" t="s">
        <v>34</v>
      </c>
      <c r="E12563" s="21" t="s">
        <v>254</v>
      </c>
      <c r="F12563">
        <v>6670160</v>
      </c>
      <c r="G12563" t="s">
        <v>908</v>
      </c>
      <c r="H12563" s="21">
        <v>920.17</v>
      </c>
    </row>
    <row r="12564" spans="1:8" customFormat="1" x14ac:dyDescent="0.25">
      <c r="A12564" t="str">
        <f>"6917182"</f>
        <v>6917182</v>
      </c>
      <c r="B12564" t="s">
        <v>2313</v>
      </c>
      <c r="C12564" t="s">
        <v>10714</v>
      </c>
      <c r="D12564" s="21" t="s">
        <v>34</v>
      </c>
      <c r="E12564" s="21" t="s">
        <v>71</v>
      </c>
      <c r="F12564">
        <v>1690090</v>
      </c>
      <c r="G12564" t="s">
        <v>6286</v>
      </c>
      <c r="H12564" s="21">
        <v>920.17</v>
      </c>
    </row>
    <row r="12565" spans="1:8" customFormat="1" x14ac:dyDescent="0.25">
      <c r="A12565" t="str">
        <f>"1610972"</f>
        <v>1610972</v>
      </c>
      <c r="B12565" t="s">
        <v>4224</v>
      </c>
      <c r="C12565" t="s">
        <v>65</v>
      </c>
      <c r="D12565" s="21" t="s">
        <v>34</v>
      </c>
      <c r="E12565" s="21" t="s">
        <v>35</v>
      </c>
      <c r="F12565">
        <v>10160085</v>
      </c>
      <c r="G12565" t="s">
        <v>10818</v>
      </c>
      <c r="H12565" s="21">
        <v>920.17</v>
      </c>
    </row>
    <row r="12566" spans="1:8" customFormat="1" x14ac:dyDescent="0.25">
      <c r="A12566" t="str">
        <f>"7716251"</f>
        <v>7716251</v>
      </c>
      <c r="B12566" t="s">
        <v>582</v>
      </c>
      <c r="C12566" t="s">
        <v>204</v>
      </c>
      <c r="D12566" s="21" t="s">
        <v>34</v>
      </c>
      <c r="E12566" s="21" t="s">
        <v>71</v>
      </c>
      <c r="F12566">
        <v>8771394</v>
      </c>
      <c r="G12566" t="s">
        <v>1933</v>
      </c>
      <c r="H12566" s="21">
        <v>920.17</v>
      </c>
    </row>
    <row r="12567" spans="1:8" customFormat="1" x14ac:dyDescent="0.25">
      <c r="A12567" t="str">
        <f>"617770"</f>
        <v>617770</v>
      </c>
      <c r="B12567" t="s">
        <v>10119</v>
      </c>
      <c r="C12567" t="s">
        <v>40</v>
      </c>
      <c r="D12567" s="21" t="s">
        <v>34</v>
      </c>
      <c r="E12567" s="21" t="s">
        <v>71</v>
      </c>
      <c r="F12567">
        <v>9610002</v>
      </c>
      <c r="G12567" t="s">
        <v>75</v>
      </c>
      <c r="H12567" s="21">
        <v>920.17</v>
      </c>
    </row>
    <row r="12568" spans="1:8" customFormat="1" x14ac:dyDescent="0.25">
      <c r="A12568" t="str">
        <f>"904114"</f>
        <v>904114</v>
      </c>
      <c r="B12568" t="s">
        <v>12062</v>
      </c>
      <c r="C12568" t="s">
        <v>82</v>
      </c>
      <c r="D12568" s="21" t="s">
        <v>34</v>
      </c>
      <c r="E12568" s="21" t="s">
        <v>35</v>
      </c>
      <c r="F12568">
        <v>2900042</v>
      </c>
      <c r="G12568" t="s">
        <v>7866</v>
      </c>
      <c r="H12568" s="21">
        <v>920.17</v>
      </c>
    </row>
    <row r="12569" spans="1:8" customFormat="1" x14ac:dyDescent="0.25">
      <c r="A12569" t="str">
        <f>"3111412"</f>
        <v>3111412</v>
      </c>
      <c r="B12569" t="s">
        <v>7572</v>
      </c>
      <c r="C12569" t="s">
        <v>12801</v>
      </c>
      <c r="D12569" s="21" t="s">
        <v>34</v>
      </c>
      <c r="E12569" s="21" t="s">
        <v>71</v>
      </c>
      <c r="F12569">
        <v>11310124</v>
      </c>
      <c r="G12569" t="s">
        <v>7977</v>
      </c>
      <c r="H12569" s="21">
        <v>920.17</v>
      </c>
    </row>
    <row r="12570" spans="1:8" customFormat="1" x14ac:dyDescent="0.25">
      <c r="A12570" t="str">
        <f>"8515225"</f>
        <v>8515225</v>
      </c>
      <c r="B12570" t="s">
        <v>1885</v>
      </c>
      <c r="C12570" t="s">
        <v>253</v>
      </c>
      <c r="D12570" s="21" t="s">
        <v>34</v>
      </c>
      <c r="E12570" s="21" t="s">
        <v>35</v>
      </c>
      <c r="F12570">
        <v>12850051</v>
      </c>
      <c r="G12570" t="s">
        <v>5185</v>
      </c>
      <c r="H12570" s="21">
        <v>920.17</v>
      </c>
    </row>
    <row r="12571" spans="1:8" customFormat="1" x14ac:dyDescent="0.25">
      <c r="A12571" t="str">
        <f>"5412930"</f>
        <v>5412930</v>
      </c>
      <c r="B12571" t="s">
        <v>12247</v>
      </c>
      <c r="C12571" t="s">
        <v>2904</v>
      </c>
      <c r="D12571" s="21" t="s">
        <v>34</v>
      </c>
      <c r="E12571" s="21" t="s">
        <v>35</v>
      </c>
      <c r="F12571">
        <v>6540157</v>
      </c>
      <c r="G12571" t="s">
        <v>10647</v>
      </c>
      <c r="H12571" s="21">
        <v>920.17</v>
      </c>
    </row>
    <row r="12572" spans="1:8" customFormat="1" x14ac:dyDescent="0.25">
      <c r="A12572" t="str">
        <f>"534968"</f>
        <v>534968</v>
      </c>
      <c r="B12572" t="s">
        <v>551</v>
      </c>
      <c r="C12572" t="s">
        <v>2520</v>
      </c>
      <c r="D12572" s="21" t="s">
        <v>34</v>
      </c>
      <c r="E12572" s="21" t="s">
        <v>254</v>
      </c>
      <c r="F12572">
        <v>12530008</v>
      </c>
      <c r="G12572" t="s">
        <v>7920</v>
      </c>
      <c r="H12572" s="21">
        <v>920.17</v>
      </c>
    </row>
    <row r="12573" spans="1:8" customFormat="1" x14ac:dyDescent="0.25">
      <c r="A12573" t="str">
        <f>"8521319"</f>
        <v>8521319</v>
      </c>
      <c r="B12573" t="s">
        <v>5337</v>
      </c>
      <c r="C12573" t="s">
        <v>772</v>
      </c>
      <c r="D12573" s="21" t="s">
        <v>34</v>
      </c>
      <c r="E12573" s="21" t="s">
        <v>35</v>
      </c>
      <c r="F12573">
        <v>12850143</v>
      </c>
      <c r="G12573" t="s">
        <v>1625</v>
      </c>
      <c r="H12573" s="21">
        <v>920.17</v>
      </c>
    </row>
    <row r="12574" spans="1:8" customFormat="1" x14ac:dyDescent="0.25">
      <c r="A12574" t="str">
        <f>"69403"</f>
        <v>69403</v>
      </c>
      <c r="B12574" t="s">
        <v>3904</v>
      </c>
      <c r="C12574" t="s">
        <v>1914</v>
      </c>
      <c r="D12574" s="21" t="s">
        <v>34</v>
      </c>
      <c r="E12574" s="21" t="s">
        <v>71</v>
      </c>
      <c r="F12574">
        <v>1690104</v>
      </c>
      <c r="G12574" t="s">
        <v>3501</v>
      </c>
      <c r="H12574" s="21">
        <v>920.17</v>
      </c>
    </row>
    <row r="12575" spans="1:8" customFormat="1" x14ac:dyDescent="0.25">
      <c r="A12575" t="str">
        <f>"9213205"</f>
        <v>9213205</v>
      </c>
      <c r="B12575" t="s">
        <v>11766</v>
      </c>
      <c r="C12575" t="s">
        <v>528</v>
      </c>
      <c r="D12575" s="21" t="s">
        <v>34</v>
      </c>
      <c r="E12575" s="21" t="s">
        <v>71</v>
      </c>
      <c r="F12575">
        <v>8920309</v>
      </c>
      <c r="G12575" t="s">
        <v>1894</v>
      </c>
      <c r="H12575" s="21">
        <v>920.04</v>
      </c>
    </row>
    <row r="12576" spans="1:8" customFormat="1" x14ac:dyDescent="0.25">
      <c r="A12576" t="str">
        <f>"617951"</f>
        <v>617951</v>
      </c>
      <c r="B12576" t="s">
        <v>22724</v>
      </c>
      <c r="C12576" t="s">
        <v>249</v>
      </c>
      <c r="D12576" s="21" t="s">
        <v>34</v>
      </c>
      <c r="E12576" s="21" t="s">
        <v>71</v>
      </c>
      <c r="F12576">
        <v>9610122</v>
      </c>
      <c r="G12576" t="s">
        <v>4349</v>
      </c>
      <c r="H12576" s="21">
        <v>920</v>
      </c>
    </row>
    <row r="12577" spans="1:8" customFormat="1" x14ac:dyDescent="0.25">
      <c r="A12577" t="str">
        <f>"5613436"</f>
        <v>5613436</v>
      </c>
      <c r="B12577" t="s">
        <v>12600</v>
      </c>
      <c r="C12577" t="s">
        <v>3073</v>
      </c>
      <c r="D12577" s="21" t="s">
        <v>34</v>
      </c>
      <c r="E12577" s="21" t="s">
        <v>254</v>
      </c>
      <c r="F12577">
        <v>3560049</v>
      </c>
      <c r="G12577" t="s">
        <v>8021</v>
      </c>
      <c r="H12577" s="21">
        <v>919.92</v>
      </c>
    </row>
    <row r="12578" spans="1:8" customFormat="1" x14ac:dyDescent="0.25">
      <c r="A12578" t="str">
        <f>"9411660"</f>
        <v>9411660</v>
      </c>
      <c r="B12578" t="s">
        <v>9487</v>
      </c>
      <c r="C12578" t="s">
        <v>1142</v>
      </c>
      <c r="D12578" s="21" t="s">
        <v>34</v>
      </c>
      <c r="E12578" s="21" t="s">
        <v>1089</v>
      </c>
      <c r="F12578">
        <v>8941180</v>
      </c>
      <c r="G12578" t="s">
        <v>5544</v>
      </c>
      <c r="H12578" s="21">
        <v>919.92</v>
      </c>
    </row>
    <row r="12579" spans="1:8" customFormat="1" x14ac:dyDescent="0.25">
      <c r="A12579" t="str">
        <f>"6926851"</f>
        <v>6926851</v>
      </c>
      <c r="B12579" t="s">
        <v>4652</v>
      </c>
      <c r="C12579" t="s">
        <v>40</v>
      </c>
      <c r="D12579" s="21" t="s">
        <v>34</v>
      </c>
      <c r="E12579" s="21" t="s">
        <v>71</v>
      </c>
      <c r="F12579">
        <v>1690207</v>
      </c>
      <c r="G12579" t="s">
        <v>4232</v>
      </c>
      <c r="H12579" s="21">
        <v>919.92</v>
      </c>
    </row>
    <row r="12580" spans="1:8" customFormat="1" x14ac:dyDescent="0.25">
      <c r="A12580" t="str">
        <f>"763356"</f>
        <v>763356</v>
      </c>
      <c r="B12580" t="s">
        <v>9814</v>
      </c>
      <c r="C12580" t="s">
        <v>2529</v>
      </c>
      <c r="D12580" s="21" t="s">
        <v>34</v>
      </c>
      <c r="E12580" s="21" t="s">
        <v>254</v>
      </c>
      <c r="F12580">
        <v>9760425</v>
      </c>
      <c r="G12580" t="s">
        <v>5012</v>
      </c>
      <c r="H12580" s="21">
        <v>919.92</v>
      </c>
    </row>
    <row r="12581" spans="1:8" customFormat="1" x14ac:dyDescent="0.25">
      <c r="A12581" t="str">
        <f>"6315036"</f>
        <v>6315036</v>
      </c>
      <c r="B12581" t="s">
        <v>13604</v>
      </c>
      <c r="C12581" t="s">
        <v>33</v>
      </c>
      <c r="D12581" s="21" t="s">
        <v>34</v>
      </c>
      <c r="E12581" s="21" t="s">
        <v>71</v>
      </c>
      <c r="F12581">
        <v>1630078</v>
      </c>
      <c r="G12581" t="s">
        <v>326</v>
      </c>
      <c r="H12581" s="21">
        <v>919.79</v>
      </c>
    </row>
    <row r="12582" spans="1:8" customFormat="1" x14ac:dyDescent="0.25">
      <c r="A12582" t="str">
        <f>"7211462"</f>
        <v>7211462</v>
      </c>
      <c r="B12582" t="s">
        <v>4978</v>
      </c>
      <c r="C12582" t="s">
        <v>2529</v>
      </c>
      <c r="D12582" s="21" t="s">
        <v>34</v>
      </c>
      <c r="E12582" s="21" t="s">
        <v>71</v>
      </c>
      <c r="F12582">
        <v>12720005</v>
      </c>
      <c r="G12582" t="s">
        <v>999</v>
      </c>
      <c r="H12582" s="21">
        <v>919.67</v>
      </c>
    </row>
    <row r="12583" spans="1:8" customFormat="1" x14ac:dyDescent="0.25">
      <c r="A12583" t="str">
        <f>"308789"</f>
        <v>308789</v>
      </c>
      <c r="B12583" t="s">
        <v>10165</v>
      </c>
      <c r="C12583" t="s">
        <v>269</v>
      </c>
      <c r="D12583" s="21" t="s">
        <v>34</v>
      </c>
      <c r="E12583" s="21" t="s">
        <v>35</v>
      </c>
      <c r="F12583">
        <v>11340007</v>
      </c>
      <c r="G12583" t="s">
        <v>2278</v>
      </c>
      <c r="H12583" s="21">
        <v>919.67</v>
      </c>
    </row>
    <row r="12584" spans="1:8" customFormat="1" x14ac:dyDescent="0.25">
      <c r="A12584" t="str">
        <f>"6211138"</f>
        <v>6211138</v>
      </c>
      <c r="B12584" t="s">
        <v>12483</v>
      </c>
      <c r="C12584" t="s">
        <v>263</v>
      </c>
      <c r="D12584" s="21" t="s">
        <v>34</v>
      </c>
      <c r="E12584" s="21" t="s">
        <v>35</v>
      </c>
      <c r="F12584">
        <v>7620048</v>
      </c>
      <c r="G12584" t="s">
        <v>7467</v>
      </c>
      <c r="H12584" s="21">
        <v>919.67</v>
      </c>
    </row>
    <row r="12585" spans="1:8" customFormat="1" x14ac:dyDescent="0.25">
      <c r="A12585" t="str">
        <f>"4929741"</f>
        <v>4929741</v>
      </c>
      <c r="B12585" t="s">
        <v>13394</v>
      </c>
      <c r="C12585" t="s">
        <v>40</v>
      </c>
      <c r="D12585" s="21" t="s">
        <v>34</v>
      </c>
      <c r="E12585" s="21" t="s">
        <v>71</v>
      </c>
      <c r="F12585">
        <v>12490106</v>
      </c>
      <c r="G12585" t="s">
        <v>4555</v>
      </c>
      <c r="H12585" s="21">
        <v>919.67</v>
      </c>
    </row>
    <row r="12586" spans="1:8" customFormat="1" x14ac:dyDescent="0.25">
      <c r="A12586" t="str">
        <f>"9232865"</f>
        <v>9232865</v>
      </c>
      <c r="B12586" t="s">
        <v>10308</v>
      </c>
      <c r="C12586" t="s">
        <v>249</v>
      </c>
      <c r="D12586" s="21" t="s">
        <v>34</v>
      </c>
      <c r="E12586" s="21" t="s">
        <v>71</v>
      </c>
      <c r="F12586">
        <v>8950978</v>
      </c>
      <c r="G12586" t="s">
        <v>1164</v>
      </c>
      <c r="H12586" s="21">
        <v>919.67</v>
      </c>
    </row>
    <row r="12587" spans="1:8" customFormat="1" x14ac:dyDescent="0.25">
      <c r="A12587" t="str">
        <f>"7715069"</f>
        <v>7715069</v>
      </c>
      <c r="B12587" t="s">
        <v>12638</v>
      </c>
      <c r="C12587" t="s">
        <v>12639</v>
      </c>
      <c r="D12587" s="21" t="s">
        <v>34</v>
      </c>
      <c r="E12587" s="21" t="s">
        <v>35</v>
      </c>
      <c r="F12587">
        <v>8770895</v>
      </c>
      <c r="G12587" t="s">
        <v>4795</v>
      </c>
      <c r="H12587" s="21">
        <v>919.67</v>
      </c>
    </row>
    <row r="12588" spans="1:8" customFormat="1" x14ac:dyDescent="0.25">
      <c r="A12588" t="str">
        <f>"56402"</f>
        <v>56402</v>
      </c>
      <c r="B12588" t="s">
        <v>12284</v>
      </c>
      <c r="C12588" t="s">
        <v>171</v>
      </c>
      <c r="D12588" s="21" t="s">
        <v>34</v>
      </c>
      <c r="E12588" s="21" t="s">
        <v>1089</v>
      </c>
      <c r="F12588">
        <v>3560072</v>
      </c>
      <c r="G12588" t="s">
        <v>12285</v>
      </c>
      <c r="H12588" s="21">
        <v>919.67</v>
      </c>
    </row>
    <row r="12589" spans="1:8" customFormat="1" x14ac:dyDescent="0.25">
      <c r="A12589" t="str">
        <f>"029844"</f>
        <v>029844</v>
      </c>
      <c r="B12589" t="s">
        <v>623</v>
      </c>
      <c r="C12589" t="s">
        <v>139</v>
      </c>
      <c r="D12589" s="21" t="s">
        <v>34</v>
      </c>
      <c r="E12589" s="21" t="s">
        <v>35</v>
      </c>
      <c r="F12589">
        <v>7021009</v>
      </c>
      <c r="G12589" t="s">
        <v>2739</v>
      </c>
      <c r="H12589" s="21">
        <v>919.67</v>
      </c>
    </row>
    <row r="12590" spans="1:8" customFormat="1" x14ac:dyDescent="0.25">
      <c r="A12590" t="str">
        <f>"501328"</f>
        <v>501328</v>
      </c>
      <c r="B12590" t="s">
        <v>6659</v>
      </c>
      <c r="C12590" t="s">
        <v>253</v>
      </c>
      <c r="D12590" s="21" t="s">
        <v>34</v>
      </c>
      <c r="E12590" s="21" t="s">
        <v>71</v>
      </c>
      <c r="F12590">
        <v>9500117</v>
      </c>
      <c r="G12590" t="s">
        <v>247</v>
      </c>
      <c r="H12590" s="21">
        <v>919.67</v>
      </c>
    </row>
    <row r="12591" spans="1:8" customFormat="1" x14ac:dyDescent="0.25">
      <c r="A12591" t="str">
        <f>"7819280"</f>
        <v>7819280</v>
      </c>
      <c r="B12591" t="s">
        <v>10993</v>
      </c>
      <c r="C12591" t="s">
        <v>581</v>
      </c>
      <c r="D12591" s="21" t="s">
        <v>34</v>
      </c>
      <c r="E12591" s="21" t="s">
        <v>35</v>
      </c>
      <c r="F12591">
        <v>8780108</v>
      </c>
      <c r="G12591" t="s">
        <v>4329</v>
      </c>
      <c r="H12591" s="21">
        <v>919.67</v>
      </c>
    </row>
    <row r="12592" spans="1:8" customFormat="1" x14ac:dyDescent="0.25">
      <c r="A12592" t="str">
        <f>"7511589"</f>
        <v>7511589</v>
      </c>
      <c r="B12592" t="s">
        <v>10796</v>
      </c>
      <c r="C12592" t="s">
        <v>87</v>
      </c>
      <c r="D12592" s="21" t="s">
        <v>34</v>
      </c>
      <c r="E12592" s="21" t="s">
        <v>35</v>
      </c>
      <c r="F12592">
        <v>8750074</v>
      </c>
      <c r="G12592" t="s">
        <v>698</v>
      </c>
      <c r="H12592" s="21">
        <v>919.67</v>
      </c>
    </row>
    <row r="12593" spans="1:8" customFormat="1" x14ac:dyDescent="0.25">
      <c r="A12593" t="str">
        <f>"5719744"</f>
        <v>5719744</v>
      </c>
      <c r="B12593" t="s">
        <v>10836</v>
      </c>
      <c r="C12593" t="s">
        <v>2520</v>
      </c>
      <c r="D12593" s="21" t="s">
        <v>34</v>
      </c>
      <c r="E12593" s="21" t="s">
        <v>254</v>
      </c>
      <c r="F12593">
        <v>6570154</v>
      </c>
      <c r="G12593" t="s">
        <v>3935</v>
      </c>
      <c r="H12593" s="21">
        <v>919.67</v>
      </c>
    </row>
    <row r="12594" spans="1:8" customFormat="1" x14ac:dyDescent="0.25">
      <c r="A12594" t="str">
        <f>"8313812"</f>
        <v>8313812</v>
      </c>
      <c r="B12594" t="s">
        <v>5039</v>
      </c>
      <c r="C12594" t="s">
        <v>60</v>
      </c>
      <c r="D12594" s="21" t="s">
        <v>34</v>
      </c>
      <c r="E12594" s="21" t="s">
        <v>35</v>
      </c>
      <c r="F12594">
        <v>13830059</v>
      </c>
      <c r="G12594" t="s">
        <v>5440</v>
      </c>
      <c r="H12594" s="21">
        <v>919.54</v>
      </c>
    </row>
    <row r="12595" spans="1:8" customFormat="1" x14ac:dyDescent="0.25">
      <c r="A12595" t="str">
        <f>"9313638"</f>
        <v>9313638</v>
      </c>
      <c r="B12595" t="s">
        <v>27256</v>
      </c>
      <c r="C12595" t="s">
        <v>217</v>
      </c>
      <c r="D12595" s="21" t="s">
        <v>34</v>
      </c>
      <c r="E12595" s="21" t="s">
        <v>35</v>
      </c>
      <c r="F12595">
        <v>8781094</v>
      </c>
      <c r="G12595" t="s">
        <v>7875</v>
      </c>
      <c r="H12595" s="21">
        <v>919.5</v>
      </c>
    </row>
    <row r="12596" spans="1:8" customFormat="1" x14ac:dyDescent="0.25">
      <c r="A12596" t="str">
        <f>"9423446"</f>
        <v>9423446</v>
      </c>
      <c r="B12596" t="s">
        <v>6894</v>
      </c>
      <c r="C12596" t="s">
        <v>124</v>
      </c>
      <c r="D12596" s="21" t="s">
        <v>34</v>
      </c>
      <c r="E12596" s="21" t="s">
        <v>71</v>
      </c>
      <c r="F12596">
        <v>8940482</v>
      </c>
      <c r="G12596" t="s">
        <v>2560</v>
      </c>
      <c r="H12596" s="21">
        <v>919.42</v>
      </c>
    </row>
    <row r="12597" spans="1:8" customFormat="1" x14ac:dyDescent="0.25">
      <c r="A12597" t="str">
        <f>"685166"</f>
        <v>685166</v>
      </c>
      <c r="B12597" t="s">
        <v>12506</v>
      </c>
      <c r="C12597" t="s">
        <v>109</v>
      </c>
      <c r="D12597" s="21" t="s">
        <v>34</v>
      </c>
      <c r="E12597" s="21" t="s">
        <v>71</v>
      </c>
      <c r="F12597">
        <v>6570060</v>
      </c>
      <c r="G12597" t="s">
        <v>4397</v>
      </c>
      <c r="H12597" s="21">
        <v>919.42</v>
      </c>
    </row>
    <row r="12598" spans="1:8" customFormat="1" x14ac:dyDescent="0.25">
      <c r="A12598" t="str">
        <f>"755732"</f>
        <v>755732</v>
      </c>
      <c r="B12598" t="s">
        <v>10581</v>
      </c>
      <c r="C12598" t="s">
        <v>147</v>
      </c>
      <c r="D12598" s="21" t="s">
        <v>34</v>
      </c>
      <c r="E12598" s="21" t="s">
        <v>71</v>
      </c>
      <c r="F12598">
        <v>8751371</v>
      </c>
      <c r="G12598" t="s">
        <v>6605</v>
      </c>
      <c r="H12598" s="21">
        <v>919.29</v>
      </c>
    </row>
    <row r="12599" spans="1:8" customFormat="1" x14ac:dyDescent="0.25">
      <c r="A12599" t="str">
        <f>"877725"</f>
        <v>877725</v>
      </c>
      <c r="B12599" t="s">
        <v>12387</v>
      </c>
      <c r="C12599" t="s">
        <v>415</v>
      </c>
      <c r="D12599" s="21" t="s">
        <v>34</v>
      </c>
      <c r="E12599" s="21" t="s">
        <v>71</v>
      </c>
      <c r="F12599">
        <v>10870128</v>
      </c>
      <c r="G12599" t="s">
        <v>9710</v>
      </c>
      <c r="H12599" s="21">
        <v>919.29</v>
      </c>
    </row>
    <row r="12600" spans="1:8" customFormat="1" x14ac:dyDescent="0.25">
      <c r="A12600" t="str">
        <f>"105560"</f>
        <v>105560</v>
      </c>
      <c r="B12600" t="s">
        <v>11799</v>
      </c>
      <c r="C12600" t="s">
        <v>2479</v>
      </c>
      <c r="D12600" s="21" t="s">
        <v>34</v>
      </c>
      <c r="E12600" s="21" t="s">
        <v>254</v>
      </c>
      <c r="F12600">
        <v>6100002</v>
      </c>
      <c r="G12600" t="s">
        <v>1602</v>
      </c>
      <c r="H12600" s="21">
        <v>919.29</v>
      </c>
    </row>
    <row r="12601" spans="1:8" customFormat="1" x14ac:dyDescent="0.25">
      <c r="A12601" t="str">
        <f>"178332"</f>
        <v>178332</v>
      </c>
      <c r="B12601" t="s">
        <v>15171</v>
      </c>
      <c r="C12601" t="s">
        <v>109</v>
      </c>
      <c r="D12601" s="21" t="s">
        <v>34</v>
      </c>
      <c r="E12601" s="21" t="s">
        <v>35</v>
      </c>
      <c r="F12601">
        <v>10170050</v>
      </c>
      <c r="G12601" t="s">
        <v>2514</v>
      </c>
      <c r="H12601" s="21">
        <v>919.17</v>
      </c>
    </row>
    <row r="12602" spans="1:8" customFormat="1" x14ac:dyDescent="0.25">
      <c r="A12602" t="str">
        <f>"5319297"</f>
        <v>5319297</v>
      </c>
      <c r="B12602" t="s">
        <v>11600</v>
      </c>
      <c r="C12602" t="s">
        <v>139</v>
      </c>
      <c r="D12602" s="21" t="s">
        <v>34</v>
      </c>
      <c r="E12602" s="21" t="s">
        <v>71</v>
      </c>
      <c r="F12602">
        <v>12530120</v>
      </c>
      <c r="G12602" t="s">
        <v>26791</v>
      </c>
      <c r="H12602" s="21">
        <v>919.17</v>
      </c>
    </row>
    <row r="12603" spans="1:8" customFormat="1" x14ac:dyDescent="0.25">
      <c r="A12603" t="str">
        <f>"103971"</f>
        <v>103971</v>
      </c>
      <c r="B12603" t="s">
        <v>10123</v>
      </c>
      <c r="C12603" t="s">
        <v>462</v>
      </c>
      <c r="D12603" s="21" t="s">
        <v>34</v>
      </c>
      <c r="E12603" s="21" t="s">
        <v>71</v>
      </c>
      <c r="F12603">
        <v>6520001</v>
      </c>
      <c r="G12603" t="s">
        <v>7318</v>
      </c>
      <c r="H12603" s="21">
        <v>919.17</v>
      </c>
    </row>
    <row r="12604" spans="1:8" customFormat="1" x14ac:dyDescent="0.25">
      <c r="A12604" t="str">
        <f>"6015811"</f>
        <v>6015811</v>
      </c>
      <c r="B12604" t="s">
        <v>650</v>
      </c>
      <c r="C12604" t="s">
        <v>275</v>
      </c>
      <c r="D12604" s="21" t="s">
        <v>34</v>
      </c>
      <c r="E12604" s="21" t="s">
        <v>35</v>
      </c>
      <c r="F12604">
        <v>7600017</v>
      </c>
      <c r="G12604" t="s">
        <v>8498</v>
      </c>
      <c r="H12604" s="21">
        <v>919.17</v>
      </c>
    </row>
    <row r="12605" spans="1:8" customFormat="1" x14ac:dyDescent="0.25">
      <c r="A12605" t="str">
        <f>"903783"</f>
        <v>903783</v>
      </c>
      <c r="B12605" t="s">
        <v>7963</v>
      </c>
      <c r="C12605" t="s">
        <v>187</v>
      </c>
      <c r="D12605" s="21" t="s">
        <v>34</v>
      </c>
      <c r="E12605" s="21" t="s">
        <v>35</v>
      </c>
      <c r="F12605">
        <v>2900042</v>
      </c>
      <c r="G12605" t="s">
        <v>7866</v>
      </c>
      <c r="H12605" s="21">
        <v>919.17</v>
      </c>
    </row>
    <row r="12606" spans="1:8" customFormat="1" x14ac:dyDescent="0.25">
      <c r="A12606" t="str">
        <f>"261195"</f>
        <v>261195</v>
      </c>
      <c r="B12606" t="s">
        <v>4449</v>
      </c>
      <c r="C12606" t="s">
        <v>412</v>
      </c>
      <c r="D12606" s="21" t="s">
        <v>34</v>
      </c>
      <c r="E12606" s="21" t="s">
        <v>254</v>
      </c>
      <c r="F12606">
        <v>1260040</v>
      </c>
      <c r="G12606" t="s">
        <v>10768</v>
      </c>
      <c r="H12606" s="21">
        <v>919.17</v>
      </c>
    </row>
    <row r="12607" spans="1:8" customFormat="1" x14ac:dyDescent="0.25">
      <c r="A12607" t="str">
        <f>"5420102"</f>
        <v>5420102</v>
      </c>
      <c r="B12607" t="s">
        <v>27257</v>
      </c>
      <c r="C12607" t="s">
        <v>37</v>
      </c>
      <c r="D12607" s="21" t="s">
        <v>34</v>
      </c>
      <c r="E12607" s="21" t="s">
        <v>35</v>
      </c>
      <c r="F12607">
        <v>6540047</v>
      </c>
      <c r="G12607" t="s">
        <v>5423</v>
      </c>
      <c r="H12607" s="21">
        <v>919.17</v>
      </c>
    </row>
    <row r="12608" spans="1:8" customFormat="1" x14ac:dyDescent="0.25">
      <c r="A12608" t="str">
        <f>"5010994"</f>
        <v>5010994</v>
      </c>
      <c r="B12608" t="s">
        <v>10440</v>
      </c>
      <c r="C12608" t="s">
        <v>209</v>
      </c>
      <c r="D12608" s="21" t="s">
        <v>34</v>
      </c>
      <c r="E12608" s="21" t="s">
        <v>71</v>
      </c>
      <c r="F12608">
        <v>12440193</v>
      </c>
      <c r="G12608" t="s">
        <v>3786</v>
      </c>
      <c r="H12608" s="21">
        <v>919.17</v>
      </c>
    </row>
    <row r="12609" spans="1:8" customFormat="1" x14ac:dyDescent="0.25">
      <c r="A12609" t="str">
        <f>"6226880"</f>
        <v>6226880</v>
      </c>
      <c r="B12609" t="s">
        <v>13288</v>
      </c>
      <c r="C12609" t="s">
        <v>209</v>
      </c>
      <c r="D12609" s="21" t="s">
        <v>34</v>
      </c>
      <c r="E12609" s="21" t="s">
        <v>71</v>
      </c>
      <c r="F12609">
        <v>7620040</v>
      </c>
      <c r="G12609" t="s">
        <v>1319</v>
      </c>
      <c r="H12609" s="21">
        <v>919.17</v>
      </c>
    </row>
    <row r="12610" spans="1:8" customFormat="1" x14ac:dyDescent="0.25">
      <c r="A12610" t="str">
        <f>"019977"</f>
        <v>019977</v>
      </c>
      <c r="B12610" t="s">
        <v>12358</v>
      </c>
      <c r="C12610" t="s">
        <v>204</v>
      </c>
      <c r="D12610" s="21" t="s">
        <v>34</v>
      </c>
      <c r="E12610" s="21" t="s">
        <v>35</v>
      </c>
      <c r="F12610">
        <v>1010068</v>
      </c>
      <c r="G12610" t="s">
        <v>4755</v>
      </c>
      <c r="H12610" s="21">
        <v>919.17</v>
      </c>
    </row>
    <row r="12611" spans="1:8" customFormat="1" x14ac:dyDescent="0.25">
      <c r="A12611" t="str">
        <f>"7921155"</f>
        <v>7921155</v>
      </c>
      <c r="B12611" t="s">
        <v>1473</v>
      </c>
      <c r="C12611" t="s">
        <v>328</v>
      </c>
      <c r="D12611" s="21" t="s">
        <v>34</v>
      </c>
      <c r="E12611" s="21" t="s">
        <v>35</v>
      </c>
      <c r="F12611">
        <v>10790024</v>
      </c>
      <c r="G12611" t="s">
        <v>8674</v>
      </c>
      <c r="H12611" s="21">
        <v>919.17</v>
      </c>
    </row>
    <row r="12612" spans="1:8" customFormat="1" x14ac:dyDescent="0.25">
      <c r="A12612" t="str">
        <f>"6315253"</f>
        <v>6315253</v>
      </c>
      <c r="B12612" t="s">
        <v>350</v>
      </c>
      <c r="C12612" t="s">
        <v>139</v>
      </c>
      <c r="D12612" s="21" t="s">
        <v>34</v>
      </c>
      <c r="E12612" s="21" t="s">
        <v>35</v>
      </c>
      <c r="F12612">
        <v>1630015</v>
      </c>
      <c r="G12612" t="s">
        <v>2097</v>
      </c>
      <c r="H12612" s="21">
        <v>919.04</v>
      </c>
    </row>
    <row r="12613" spans="1:8" customFormat="1" x14ac:dyDescent="0.25">
      <c r="A12613" t="str">
        <f>"3534379"</f>
        <v>3534379</v>
      </c>
      <c r="B12613" t="s">
        <v>13769</v>
      </c>
      <c r="C12613" t="s">
        <v>269</v>
      </c>
      <c r="D12613" s="21" t="s">
        <v>34</v>
      </c>
      <c r="E12613" s="21" t="s">
        <v>35</v>
      </c>
      <c r="F12613">
        <v>3350224</v>
      </c>
      <c r="G12613" t="s">
        <v>3826</v>
      </c>
      <c r="H12613" s="21">
        <v>919.04</v>
      </c>
    </row>
    <row r="12614" spans="1:8" customFormat="1" x14ac:dyDescent="0.25">
      <c r="A12614" t="str">
        <f>"737644"</f>
        <v>737644</v>
      </c>
      <c r="B12614" t="s">
        <v>15587</v>
      </c>
      <c r="C12614" t="s">
        <v>209</v>
      </c>
      <c r="D12614" s="21" t="s">
        <v>34</v>
      </c>
      <c r="E12614" s="21" t="s">
        <v>35</v>
      </c>
      <c r="F12614">
        <v>1730076</v>
      </c>
      <c r="G12614" t="s">
        <v>936</v>
      </c>
      <c r="H12614" s="21">
        <v>919.04</v>
      </c>
    </row>
    <row r="12615" spans="1:8" customFormat="1" x14ac:dyDescent="0.25">
      <c r="A12615" t="str">
        <f>"6926568"</f>
        <v>6926568</v>
      </c>
      <c r="B12615" t="s">
        <v>10929</v>
      </c>
      <c r="C12615" t="s">
        <v>239</v>
      </c>
      <c r="D12615" s="21" t="s">
        <v>34</v>
      </c>
      <c r="E12615" s="21" t="s">
        <v>71</v>
      </c>
      <c r="F12615">
        <v>1690109</v>
      </c>
      <c r="G12615" t="s">
        <v>3028</v>
      </c>
      <c r="H12615" s="21">
        <v>919.04</v>
      </c>
    </row>
    <row r="12616" spans="1:8" customFormat="1" x14ac:dyDescent="0.25">
      <c r="A12616" t="str">
        <f>"5936742"</f>
        <v>5936742</v>
      </c>
      <c r="B12616" t="s">
        <v>8046</v>
      </c>
      <c r="C12616" t="s">
        <v>169</v>
      </c>
      <c r="D12616" s="21" t="s">
        <v>34</v>
      </c>
      <c r="E12616" s="21" t="s">
        <v>35</v>
      </c>
      <c r="F12616">
        <v>7590315</v>
      </c>
      <c r="G12616" t="s">
        <v>11823</v>
      </c>
      <c r="H12616" s="21">
        <v>918.92</v>
      </c>
    </row>
    <row r="12617" spans="1:8" customFormat="1" x14ac:dyDescent="0.25">
      <c r="A12617" t="str">
        <f>"5323098"</f>
        <v>5323098</v>
      </c>
      <c r="B12617" t="s">
        <v>3930</v>
      </c>
      <c r="C12617" t="s">
        <v>144</v>
      </c>
      <c r="D12617" s="21" t="s">
        <v>34</v>
      </c>
      <c r="E12617" s="21" t="s">
        <v>35</v>
      </c>
      <c r="F12617">
        <v>12530106</v>
      </c>
      <c r="G12617" t="s">
        <v>27079</v>
      </c>
      <c r="H12617" s="21">
        <v>918.92</v>
      </c>
    </row>
    <row r="12618" spans="1:8" customFormat="1" x14ac:dyDescent="0.25">
      <c r="A12618" t="str">
        <f>"0113608"</f>
        <v>0113608</v>
      </c>
      <c r="B12618" t="s">
        <v>11272</v>
      </c>
      <c r="C12618" t="s">
        <v>415</v>
      </c>
      <c r="D12618" s="21" t="s">
        <v>34</v>
      </c>
      <c r="E12618" s="21" t="s">
        <v>254</v>
      </c>
      <c r="F12618">
        <v>1010071</v>
      </c>
      <c r="G12618" t="s">
        <v>8104</v>
      </c>
      <c r="H12618" s="21">
        <v>918.79</v>
      </c>
    </row>
    <row r="12619" spans="1:8" customFormat="1" x14ac:dyDescent="0.25">
      <c r="A12619" t="str">
        <f>"393958"</f>
        <v>393958</v>
      </c>
      <c r="B12619" t="s">
        <v>10569</v>
      </c>
      <c r="C12619" t="s">
        <v>1146</v>
      </c>
      <c r="D12619" s="21" t="s">
        <v>34</v>
      </c>
      <c r="E12619" s="21" t="s">
        <v>1089</v>
      </c>
      <c r="F12619">
        <v>2390001</v>
      </c>
      <c r="G12619" t="s">
        <v>6664</v>
      </c>
      <c r="H12619" s="21">
        <v>918.67</v>
      </c>
    </row>
    <row r="12620" spans="1:8" customFormat="1" x14ac:dyDescent="0.25">
      <c r="A12620" t="str">
        <f>"7722759"</f>
        <v>7722759</v>
      </c>
      <c r="B12620" t="s">
        <v>27258</v>
      </c>
      <c r="C12620" t="s">
        <v>1675</v>
      </c>
      <c r="D12620" s="21" t="s">
        <v>34</v>
      </c>
      <c r="E12620" s="21" t="s">
        <v>35</v>
      </c>
      <c r="F12620">
        <v>8771025</v>
      </c>
      <c r="G12620" t="s">
        <v>5469</v>
      </c>
      <c r="H12620" s="21">
        <v>918.67</v>
      </c>
    </row>
    <row r="12621" spans="1:8" customFormat="1" x14ac:dyDescent="0.25">
      <c r="A12621" t="str">
        <f>"4912524"</f>
        <v>4912524</v>
      </c>
      <c r="B12621" t="s">
        <v>1604</v>
      </c>
      <c r="C12621" t="s">
        <v>608</v>
      </c>
      <c r="D12621" s="21" t="s">
        <v>34</v>
      </c>
      <c r="E12621" s="21" t="s">
        <v>254</v>
      </c>
      <c r="F12621">
        <v>12490037</v>
      </c>
      <c r="G12621" t="s">
        <v>8892</v>
      </c>
      <c r="H12621" s="21">
        <v>918.67</v>
      </c>
    </row>
    <row r="12622" spans="1:8" customFormat="1" x14ac:dyDescent="0.25">
      <c r="A12622" t="str">
        <f>"546623"</f>
        <v>546623</v>
      </c>
      <c r="B12622" t="s">
        <v>11432</v>
      </c>
      <c r="C12622" t="s">
        <v>139</v>
      </c>
      <c r="D12622" s="21" t="s">
        <v>34</v>
      </c>
      <c r="E12622" s="21" t="s">
        <v>35</v>
      </c>
      <c r="F12622">
        <v>6540104</v>
      </c>
      <c r="G12622" t="s">
        <v>10448</v>
      </c>
      <c r="H12622" s="21">
        <v>918.67</v>
      </c>
    </row>
    <row r="12623" spans="1:8" customFormat="1" x14ac:dyDescent="0.25">
      <c r="A12623" t="str">
        <f>"3823658"</f>
        <v>3823658</v>
      </c>
      <c r="B12623" t="s">
        <v>13267</v>
      </c>
      <c r="C12623" t="s">
        <v>415</v>
      </c>
      <c r="D12623" s="21" t="s">
        <v>34</v>
      </c>
      <c r="E12623" s="21" t="s">
        <v>71</v>
      </c>
      <c r="F12623">
        <v>7590228</v>
      </c>
      <c r="G12623" t="s">
        <v>1798</v>
      </c>
      <c r="H12623" s="21">
        <v>918.67</v>
      </c>
    </row>
    <row r="12624" spans="1:8" customFormat="1" x14ac:dyDescent="0.25">
      <c r="A12624" t="str">
        <f>"4932736"</f>
        <v>4932736</v>
      </c>
      <c r="B12624" t="s">
        <v>5084</v>
      </c>
      <c r="C12624" t="s">
        <v>87</v>
      </c>
      <c r="D12624" s="21" t="s">
        <v>34</v>
      </c>
      <c r="E12624" s="21" t="s">
        <v>71</v>
      </c>
      <c r="F12624">
        <v>11090019</v>
      </c>
      <c r="G12624" t="s">
        <v>5591</v>
      </c>
      <c r="H12624" s="21">
        <v>918.67</v>
      </c>
    </row>
    <row r="12625" spans="1:8" customFormat="1" x14ac:dyDescent="0.25">
      <c r="A12625" t="str">
        <f>"028646"</f>
        <v>028646</v>
      </c>
      <c r="B12625" t="s">
        <v>4010</v>
      </c>
      <c r="C12625" t="s">
        <v>130</v>
      </c>
      <c r="D12625" s="21" t="s">
        <v>34</v>
      </c>
      <c r="E12625" s="21" t="s">
        <v>71</v>
      </c>
      <c r="F12625">
        <v>7020001</v>
      </c>
      <c r="G12625" t="s">
        <v>3854</v>
      </c>
      <c r="H12625" s="21">
        <v>918.67</v>
      </c>
    </row>
    <row r="12626" spans="1:8" customFormat="1" x14ac:dyDescent="0.25">
      <c r="A12626" t="str">
        <f>"672367"</f>
        <v>672367</v>
      </c>
      <c r="B12626" t="s">
        <v>12106</v>
      </c>
      <c r="C12626" t="s">
        <v>639</v>
      </c>
      <c r="D12626" s="21" t="s">
        <v>34</v>
      </c>
      <c r="E12626" s="21" t="s">
        <v>254</v>
      </c>
      <c r="F12626">
        <v>6670045</v>
      </c>
      <c r="G12626" t="s">
        <v>707</v>
      </c>
      <c r="H12626" s="21">
        <v>918.67</v>
      </c>
    </row>
    <row r="12627" spans="1:8" customFormat="1" x14ac:dyDescent="0.25">
      <c r="A12627" t="str">
        <f>"3515724"</f>
        <v>3515724</v>
      </c>
      <c r="B12627" t="s">
        <v>8155</v>
      </c>
      <c r="C12627" t="s">
        <v>1588</v>
      </c>
      <c r="D12627" s="21" t="s">
        <v>34</v>
      </c>
      <c r="E12627" s="21" t="s">
        <v>71</v>
      </c>
      <c r="F12627">
        <v>3350035</v>
      </c>
      <c r="G12627" t="s">
        <v>9970</v>
      </c>
      <c r="H12627" s="21">
        <v>918.67</v>
      </c>
    </row>
    <row r="12628" spans="1:8" customFormat="1" x14ac:dyDescent="0.25">
      <c r="A12628" t="str">
        <f>"7920203"</f>
        <v>7920203</v>
      </c>
      <c r="B12628" t="s">
        <v>13165</v>
      </c>
      <c r="C12628" t="s">
        <v>547</v>
      </c>
      <c r="D12628" s="21" t="s">
        <v>34</v>
      </c>
      <c r="E12628" s="21" t="s">
        <v>71</v>
      </c>
      <c r="F12628">
        <v>10790234</v>
      </c>
      <c r="G12628" t="s">
        <v>13166</v>
      </c>
      <c r="H12628" s="21">
        <v>918.67</v>
      </c>
    </row>
    <row r="12629" spans="1:8" customFormat="1" x14ac:dyDescent="0.25">
      <c r="A12629" t="str">
        <f>"811691"</f>
        <v>811691</v>
      </c>
      <c r="B12629" t="s">
        <v>27259</v>
      </c>
      <c r="C12629" t="s">
        <v>40</v>
      </c>
      <c r="D12629" s="21" t="s">
        <v>34</v>
      </c>
      <c r="E12629" s="21" t="s">
        <v>254</v>
      </c>
      <c r="F12629">
        <v>11810001</v>
      </c>
      <c r="G12629" t="s">
        <v>26998</v>
      </c>
      <c r="H12629" s="21">
        <v>918.54</v>
      </c>
    </row>
    <row r="12630" spans="1:8" customFormat="1" x14ac:dyDescent="0.25">
      <c r="A12630" t="str">
        <f>"707237"</f>
        <v>707237</v>
      </c>
      <c r="B12630" t="s">
        <v>3089</v>
      </c>
      <c r="C12630" t="s">
        <v>269</v>
      </c>
      <c r="D12630" s="21" t="s">
        <v>34</v>
      </c>
      <c r="E12630" s="21" t="s">
        <v>71</v>
      </c>
      <c r="F12630">
        <v>2700002</v>
      </c>
      <c r="G12630" t="s">
        <v>953</v>
      </c>
      <c r="H12630" s="21">
        <v>918.54</v>
      </c>
    </row>
    <row r="12631" spans="1:8" customFormat="1" x14ac:dyDescent="0.25">
      <c r="A12631" t="str">
        <f>"7511576"</f>
        <v>7511576</v>
      </c>
      <c r="B12631" t="s">
        <v>13629</v>
      </c>
      <c r="C12631" t="s">
        <v>12639</v>
      </c>
      <c r="D12631" s="21" t="s">
        <v>34</v>
      </c>
      <c r="E12631" s="21" t="s">
        <v>71</v>
      </c>
      <c r="F12631">
        <v>8750007</v>
      </c>
      <c r="G12631" t="s">
        <v>775</v>
      </c>
      <c r="H12631" s="21">
        <v>918.54</v>
      </c>
    </row>
    <row r="12632" spans="1:8" customFormat="1" x14ac:dyDescent="0.25">
      <c r="A12632" t="str">
        <f>"6921798"</f>
        <v>6921798</v>
      </c>
      <c r="B12632" t="s">
        <v>12179</v>
      </c>
      <c r="C12632" t="s">
        <v>40</v>
      </c>
      <c r="D12632" s="21" t="s">
        <v>34</v>
      </c>
      <c r="E12632" s="21" t="s">
        <v>71</v>
      </c>
      <c r="F12632">
        <v>1690105</v>
      </c>
      <c r="G12632" t="s">
        <v>9580</v>
      </c>
      <c r="H12632" s="21">
        <v>918.42</v>
      </c>
    </row>
    <row r="12633" spans="1:8" customFormat="1" x14ac:dyDescent="0.25">
      <c r="A12633" t="str">
        <f>"719435"</f>
        <v>719435</v>
      </c>
      <c r="B12633" t="s">
        <v>13511</v>
      </c>
      <c r="C12633" t="s">
        <v>5848</v>
      </c>
      <c r="D12633" s="21" t="s">
        <v>34</v>
      </c>
      <c r="E12633" s="21" t="s">
        <v>35</v>
      </c>
      <c r="F12633">
        <v>2710067</v>
      </c>
      <c r="G12633" t="s">
        <v>284</v>
      </c>
      <c r="H12633" s="21">
        <v>918.42</v>
      </c>
    </row>
    <row r="12634" spans="1:8" customFormat="1" x14ac:dyDescent="0.25">
      <c r="A12634" t="str">
        <f>"5017881"</f>
        <v>5017881</v>
      </c>
      <c r="B12634" t="s">
        <v>11982</v>
      </c>
      <c r="C12634" t="s">
        <v>750</v>
      </c>
      <c r="D12634" s="21" t="s">
        <v>34</v>
      </c>
      <c r="E12634" s="21" t="s">
        <v>71</v>
      </c>
      <c r="F12634">
        <v>9500003</v>
      </c>
      <c r="G12634" t="s">
        <v>545</v>
      </c>
      <c r="H12634" s="21">
        <v>918.42</v>
      </c>
    </row>
    <row r="12635" spans="1:8" customFormat="1" x14ac:dyDescent="0.25">
      <c r="A12635" t="str">
        <f>"089079"</f>
        <v>089079</v>
      </c>
      <c r="B12635" t="s">
        <v>11829</v>
      </c>
      <c r="C12635" t="s">
        <v>269</v>
      </c>
      <c r="D12635" s="21" t="s">
        <v>34</v>
      </c>
      <c r="E12635" s="21" t="s">
        <v>254</v>
      </c>
      <c r="F12635">
        <v>6080092</v>
      </c>
      <c r="G12635" t="s">
        <v>7668</v>
      </c>
      <c r="H12635" s="21">
        <v>918.29</v>
      </c>
    </row>
    <row r="12636" spans="1:8" customFormat="1" x14ac:dyDescent="0.25">
      <c r="A12636" t="str">
        <f>"281220"</f>
        <v>281220</v>
      </c>
      <c r="B12636" t="s">
        <v>12182</v>
      </c>
      <c r="C12636" t="s">
        <v>1665</v>
      </c>
      <c r="D12636" s="21" t="s">
        <v>34</v>
      </c>
      <c r="E12636" s="21" t="s">
        <v>254</v>
      </c>
      <c r="F12636">
        <v>12490036</v>
      </c>
      <c r="G12636" t="s">
        <v>6557</v>
      </c>
      <c r="H12636" s="21">
        <v>918.29</v>
      </c>
    </row>
    <row r="12637" spans="1:8" customFormat="1" x14ac:dyDescent="0.25">
      <c r="A12637" t="str">
        <f>"169773"</f>
        <v>169773</v>
      </c>
      <c r="B12637" t="s">
        <v>630</v>
      </c>
      <c r="C12637" t="s">
        <v>462</v>
      </c>
      <c r="D12637" s="21" t="s">
        <v>34</v>
      </c>
      <c r="E12637" s="21" t="s">
        <v>71</v>
      </c>
      <c r="F12637">
        <v>10160023</v>
      </c>
      <c r="G12637" t="s">
        <v>2246</v>
      </c>
      <c r="H12637" s="21">
        <v>918.17</v>
      </c>
    </row>
    <row r="12638" spans="1:8" customFormat="1" x14ac:dyDescent="0.25">
      <c r="A12638" t="str">
        <f>"768759"</f>
        <v>768759</v>
      </c>
      <c r="B12638" t="s">
        <v>11364</v>
      </c>
      <c r="C12638" t="s">
        <v>2904</v>
      </c>
      <c r="D12638" s="21" t="s">
        <v>34</v>
      </c>
      <c r="E12638" s="21" t="s">
        <v>71</v>
      </c>
      <c r="F12638">
        <v>9760382</v>
      </c>
      <c r="G12638" t="s">
        <v>2737</v>
      </c>
      <c r="H12638" s="21">
        <v>918.17</v>
      </c>
    </row>
    <row r="12639" spans="1:8" customFormat="1" x14ac:dyDescent="0.25">
      <c r="A12639" t="str">
        <f>"873267"</f>
        <v>873267</v>
      </c>
      <c r="B12639" t="s">
        <v>11935</v>
      </c>
      <c r="C12639" t="s">
        <v>55</v>
      </c>
      <c r="D12639" s="21" t="s">
        <v>34</v>
      </c>
      <c r="E12639" s="21" t="s">
        <v>71</v>
      </c>
      <c r="F12639">
        <v>10870028</v>
      </c>
      <c r="G12639" t="s">
        <v>2689</v>
      </c>
      <c r="H12639" s="21">
        <v>918.17</v>
      </c>
    </row>
    <row r="12640" spans="1:8" customFormat="1" x14ac:dyDescent="0.25">
      <c r="A12640" t="str">
        <f>"103887"</f>
        <v>103887</v>
      </c>
      <c r="B12640" t="s">
        <v>11421</v>
      </c>
      <c r="C12640" t="s">
        <v>43</v>
      </c>
      <c r="D12640" s="21" t="s">
        <v>34</v>
      </c>
      <c r="E12640" s="21" t="s">
        <v>35</v>
      </c>
      <c r="F12640">
        <v>6100005</v>
      </c>
      <c r="G12640" t="s">
        <v>855</v>
      </c>
      <c r="H12640" s="21">
        <v>918.17</v>
      </c>
    </row>
    <row r="12641" spans="1:8" customFormat="1" x14ac:dyDescent="0.25">
      <c r="A12641" t="str">
        <f>"5010876"</f>
        <v>5010876</v>
      </c>
      <c r="B12641" t="s">
        <v>482</v>
      </c>
      <c r="C12641" t="s">
        <v>462</v>
      </c>
      <c r="D12641" s="21" t="s">
        <v>34</v>
      </c>
      <c r="E12641" s="21" t="s">
        <v>254</v>
      </c>
      <c r="F12641">
        <v>9500139</v>
      </c>
      <c r="G12641" t="s">
        <v>6892</v>
      </c>
      <c r="H12641" s="21">
        <v>918.17</v>
      </c>
    </row>
    <row r="12642" spans="1:8" customFormat="1" x14ac:dyDescent="0.25">
      <c r="A12642" t="str">
        <f>"762236"</f>
        <v>762236</v>
      </c>
      <c r="B12642" t="s">
        <v>11013</v>
      </c>
      <c r="C12642" t="s">
        <v>547</v>
      </c>
      <c r="D12642" s="21" t="s">
        <v>34</v>
      </c>
      <c r="E12642" s="21" t="s">
        <v>1089</v>
      </c>
      <c r="F12642">
        <v>9760256</v>
      </c>
      <c r="G12642" t="s">
        <v>4655</v>
      </c>
      <c r="H12642" s="21">
        <v>918.17</v>
      </c>
    </row>
    <row r="12643" spans="1:8" customFormat="1" x14ac:dyDescent="0.25">
      <c r="A12643" t="str">
        <f>"1416337"</f>
        <v>1416337</v>
      </c>
      <c r="B12643" t="s">
        <v>12349</v>
      </c>
      <c r="C12643" t="s">
        <v>169</v>
      </c>
      <c r="D12643" s="21" t="s">
        <v>34</v>
      </c>
      <c r="E12643" s="21" t="s">
        <v>35</v>
      </c>
      <c r="F12643">
        <v>9140083</v>
      </c>
      <c r="G12643" t="s">
        <v>8440</v>
      </c>
      <c r="H12643" s="21">
        <v>918.17</v>
      </c>
    </row>
    <row r="12644" spans="1:8" customFormat="1" x14ac:dyDescent="0.25">
      <c r="A12644" t="str">
        <f>"309033"</f>
        <v>309033</v>
      </c>
      <c r="B12644" t="s">
        <v>2605</v>
      </c>
      <c r="C12644" t="s">
        <v>249</v>
      </c>
      <c r="D12644" s="21" t="s">
        <v>34</v>
      </c>
      <c r="E12644" s="21" t="s">
        <v>35</v>
      </c>
      <c r="F12644">
        <v>1260060</v>
      </c>
      <c r="G12644" t="s">
        <v>3403</v>
      </c>
      <c r="H12644" s="21">
        <v>918.17</v>
      </c>
    </row>
    <row r="12645" spans="1:8" customFormat="1" x14ac:dyDescent="0.25">
      <c r="A12645" t="str">
        <f>"6710306"</f>
        <v>6710306</v>
      </c>
      <c r="B12645" t="s">
        <v>4330</v>
      </c>
      <c r="C12645" t="s">
        <v>1119</v>
      </c>
      <c r="D12645" s="21" t="s">
        <v>34</v>
      </c>
      <c r="E12645" s="21" t="s">
        <v>1089</v>
      </c>
      <c r="F12645">
        <v>6670122</v>
      </c>
      <c r="G12645" t="s">
        <v>3126</v>
      </c>
      <c r="H12645" s="21">
        <v>918.17</v>
      </c>
    </row>
    <row r="12646" spans="1:8" customFormat="1" x14ac:dyDescent="0.25">
      <c r="A12646" t="str">
        <f>"7824147"</f>
        <v>7824147</v>
      </c>
      <c r="B12646" t="s">
        <v>10408</v>
      </c>
      <c r="C12646" t="s">
        <v>169</v>
      </c>
      <c r="D12646" s="21" t="s">
        <v>34</v>
      </c>
      <c r="E12646" s="21" t="s">
        <v>35</v>
      </c>
      <c r="F12646">
        <v>8910102</v>
      </c>
      <c r="G12646" t="s">
        <v>3079</v>
      </c>
      <c r="H12646" s="21">
        <v>918.17</v>
      </c>
    </row>
    <row r="12647" spans="1:8" customFormat="1" x14ac:dyDescent="0.25">
      <c r="A12647" t="str">
        <f>"22363"</f>
        <v>22363</v>
      </c>
      <c r="B12647" t="s">
        <v>11511</v>
      </c>
      <c r="C12647" t="s">
        <v>1271</v>
      </c>
      <c r="D12647" s="21" t="s">
        <v>34</v>
      </c>
      <c r="E12647" s="21" t="s">
        <v>71</v>
      </c>
      <c r="F12647">
        <v>3220041</v>
      </c>
      <c r="G12647" t="s">
        <v>27133</v>
      </c>
      <c r="H12647" s="21">
        <v>918.17</v>
      </c>
    </row>
    <row r="12648" spans="1:8" customFormat="1" x14ac:dyDescent="0.25">
      <c r="A12648" t="str">
        <f>"6030"</f>
        <v>6030</v>
      </c>
      <c r="B12648" t="s">
        <v>1911</v>
      </c>
      <c r="C12648" t="s">
        <v>547</v>
      </c>
      <c r="D12648" s="21" t="s">
        <v>34</v>
      </c>
      <c r="E12648" s="21" t="s">
        <v>254</v>
      </c>
      <c r="F12648">
        <v>7600134</v>
      </c>
      <c r="G12648" t="s">
        <v>8819</v>
      </c>
      <c r="H12648" s="21">
        <v>918.17</v>
      </c>
    </row>
    <row r="12649" spans="1:8" customFormat="1" x14ac:dyDescent="0.25">
      <c r="A12649" t="str">
        <f>"95282"</f>
        <v>95282</v>
      </c>
      <c r="B12649" t="s">
        <v>9696</v>
      </c>
      <c r="C12649" t="s">
        <v>1271</v>
      </c>
      <c r="D12649" s="21" t="s">
        <v>34</v>
      </c>
      <c r="E12649" s="21" t="s">
        <v>1089</v>
      </c>
      <c r="F12649">
        <v>8950978</v>
      </c>
      <c r="G12649" t="s">
        <v>1164</v>
      </c>
      <c r="H12649" s="21">
        <v>918.17</v>
      </c>
    </row>
    <row r="12650" spans="1:8" customFormat="1" x14ac:dyDescent="0.25">
      <c r="A12650" t="str">
        <f>"289057"</f>
        <v>289057</v>
      </c>
      <c r="B12650" t="s">
        <v>13508</v>
      </c>
      <c r="C12650" t="s">
        <v>486</v>
      </c>
      <c r="D12650" s="21" t="s">
        <v>34</v>
      </c>
      <c r="E12650" s="21" t="s">
        <v>71</v>
      </c>
      <c r="F12650">
        <v>4280202</v>
      </c>
      <c r="G12650" t="s">
        <v>2945</v>
      </c>
      <c r="H12650" s="21">
        <v>918.17</v>
      </c>
    </row>
    <row r="12651" spans="1:8" customFormat="1" x14ac:dyDescent="0.25">
      <c r="A12651" t="str">
        <f>"2513692"</f>
        <v>2513692</v>
      </c>
      <c r="B12651" t="s">
        <v>11962</v>
      </c>
      <c r="C12651" t="s">
        <v>601</v>
      </c>
      <c r="D12651" s="21" t="s">
        <v>34</v>
      </c>
      <c r="E12651" s="21" t="s">
        <v>35</v>
      </c>
      <c r="F12651">
        <v>2250229</v>
      </c>
      <c r="G12651" t="s">
        <v>5004</v>
      </c>
      <c r="H12651" s="21">
        <v>918.17</v>
      </c>
    </row>
    <row r="12652" spans="1:8" customFormat="1" x14ac:dyDescent="0.25">
      <c r="A12652" t="str">
        <f>"4926655"</f>
        <v>4926655</v>
      </c>
      <c r="B12652" t="s">
        <v>1522</v>
      </c>
      <c r="C12652" t="s">
        <v>415</v>
      </c>
      <c r="D12652" s="21" t="s">
        <v>34</v>
      </c>
      <c r="E12652" s="21" t="s">
        <v>254</v>
      </c>
      <c r="F12652">
        <v>12490029</v>
      </c>
      <c r="G12652" t="s">
        <v>3485</v>
      </c>
      <c r="H12652" s="21">
        <v>918.04</v>
      </c>
    </row>
    <row r="12653" spans="1:8" customFormat="1" x14ac:dyDescent="0.25">
      <c r="A12653" t="str">
        <f>"178941"</f>
        <v>178941</v>
      </c>
      <c r="B12653" t="s">
        <v>12692</v>
      </c>
      <c r="C12653" t="s">
        <v>209</v>
      </c>
      <c r="D12653" s="21" t="s">
        <v>34</v>
      </c>
      <c r="E12653" s="21" t="s">
        <v>71</v>
      </c>
      <c r="F12653">
        <v>10170028</v>
      </c>
      <c r="G12653" t="s">
        <v>649</v>
      </c>
      <c r="H12653" s="21">
        <v>918</v>
      </c>
    </row>
    <row r="12654" spans="1:8" customFormat="1" x14ac:dyDescent="0.25">
      <c r="A12654" t="str">
        <f>"281518"</f>
        <v>281518</v>
      </c>
      <c r="B12654" t="s">
        <v>11426</v>
      </c>
      <c r="C12654" t="s">
        <v>415</v>
      </c>
      <c r="D12654" s="21" t="s">
        <v>34</v>
      </c>
      <c r="E12654" s="21" t="s">
        <v>71</v>
      </c>
      <c r="F12654">
        <v>4280121</v>
      </c>
      <c r="G12654" t="s">
        <v>4565</v>
      </c>
      <c r="H12654" s="21">
        <v>917.92</v>
      </c>
    </row>
    <row r="12655" spans="1:8" customFormat="1" x14ac:dyDescent="0.25">
      <c r="A12655" t="str">
        <f>"7414469"</f>
        <v>7414469</v>
      </c>
      <c r="B12655" t="s">
        <v>8281</v>
      </c>
      <c r="C12655" t="s">
        <v>109</v>
      </c>
      <c r="D12655" s="21" t="s">
        <v>34</v>
      </c>
      <c r="E12655" s="21" t="s">
        <v>35</v>
      </c>
      <c r="F12655">
        <v>1740038</v>
      </c>
      <c r="G12655" t="s">
        <v>26517</v>
      </c>
      <c r="H12655" s="21">
        <v>917.92</v>
      </c>
    </row>
    <row r="12656" spans="1:8" customFormat="1" x14ac:dyDescent="0.25">
      <c r="A12656" t="str">
        <f>"17334"</f>
        <v>17334</v>
      </c>
      <c r="B12656" t="s">
        <v>11094</v>
      </c>
      <c r="C12656" t="s">
        <v>2529</v>
      </c>
      <c r="D12656" s="21" t="s">
        <v>34</v>
      </c>
      <c r="E12656" s="21" t="s">
        <v>254</v>
      </c>
      <c r="F12656">
        <v>10170003</v>
      </c>
      <c r="G12656" t="s">
        <v>10432</v>
      </c>
      <c r="H12656" s="21">
        <v>917.67</v>
      </c>
    </row>
    <row r="12657" spans="1:8" customFormat="1" x14ac:dyDescent="0.25">
      <c r="A12657" t="str">
        <f>"7723480"</f>
        <v>7723480</v>
      </c>
      <c r="B12657" t="s">
        <v>11882</v>
      </c>
      <c r="C12657" t="s">
        <v>493</v>
      </c>
      <c r="D12657" s="21" t="s">
        <v>34</v>
      </c>
      <c r="E12657" s="21" t="s">
        <v>35</v>
      </c>
      <c r="F12657">
        <v>8771514</v>
      </c>
      <c r="G12657" t="s">
        <v>10058</v>
      </c>
      <c r="H12657" s="21">
        <v>917.67</v>
      </c>
    </row>
    <row r="12658" spans="1:8" customFormat="1" x14ac:dyDescent="0.25">
      <c r="A12658" t="str">
        <f>"693132"</f>
        <v>693132</v>
      </c>
      <c r="B12658" t="s">
        <v>9781</v>
      </c>
      <c r="C12658" t="s">
        <v>608</v>
      </c>
      <c r="D12658" s="21" t="s">
        <v>34</v>
      </c>
      <c r="E12658" s="21" t="s">
        <v>35</v>
      </c>
      <c r="F12658">
        <v>1690155</v>
      </c>
      <c r="G12658" t="s">
        <v>11464</v>
      </c>
      <c r="H12658" s="21">
        <v>917.67</v>
      </c>
    </row>
    <row r="12659" spans="1:8" customFormat="1" x14ac:dyDescent="0.25">
      <c r="A12659" t="str">
        <f>"5724245"</f>
        <v>5724245</v>
      </c>
      <c r="B12659" t="s">
        <v>11334</v>
      </c>
      <c r="C12659" t="s">
        <v>11335</v>
      </c>
      <c r="D12659" s="21" t="s">
        <v>34</v>
      </c>
      <c r="E12659" s="21" t="s">
        <v>35</v>
      </c>
      <c r="F12659">
        <v>6570180</v>
      </c>
      <c r="G12659" t="s">
        <v>456</v>
      </c>
      <c r="H12659" s="21">
        <v>917.67</v>
      </c>
    </row>
    <row r="12660" spans="1:8" customFormat="1" x14ac:dyDescent="0.25">
      <c r="A12660" t="str">
        <f>"263212"</f>
        <v>263212</v>
      </c>
      <c r="B12660" t="s">
        <v>11616</v>
      </c>
      <c r="C12660" t="s">
        <v>127</v>
      </c>
      <c r="D12660" s="21" t="s">
        <v>34</v>
      </c>
      <c r="E12660" s="21" t="s">
        <v>35</v>
      </c>
      <c r="F12660">
        <v>1260026</v>
      </c>
      <c r="G12660" t="s">
        <v>516</v>
      </c>
      <c r="H12660" s="21">
        <v>917.67</v>
      </c>
    </row>
    <row r="12661" spans="1:8" customFormat="1" x14ac:dyDescent="0.25">
      <c r="A12661" t="str">
        <f>"7623077"</f>
        <v>7623077</v>
      </c>
      <c r="B12661" t="s">
        <v>9863</v>
      </c>
      <c r="C12661" t="s">
        <v>288</v>
      </c>
      <c r="D12661" s="21" t="s">
        <v>34</v>
      </c>
      <c r="E12661" s="21" t="s">
        <v>71</v>
      </c>
      <c r="F12661">
        <v>9760382</v>
      </c>
      <c r="G12661" t="s">
        <v>2737</v>
      </c>
      <c r="H12661" s="21">
        <v>917.67</v>
      </c>
    </row>
    <row r="12662" spans="1:8" customFormat="1" x14ac:dyDescent="0.25">
      <c r="A12662" t="str">
        <f>"3330607"</f>
        <v>3330607</v>
      </c>
      <c r="B12662" t="s">
        <v>11864</v>
      </c>
      <c r="C12662" t="s">
        <v>169</v>
      </c>
      <c r="D12662" s="21" t="s">
        <v>34</v>
      </c>
      <c r="E12662" s="21" t="s">
        <v>71</v>
      </c>
      <c r="F12662">
        <v>10330123</v>
      </c>
      <c r="G12662" t="s">
        <v>12101</v>
      </c>
      <c r="H12662" s="21">
        <v>917.67</v>
      </c>
    </row>
    <row r="12663" spans="1:8" customFormat="1" x14ac:dyDescent="0.25">
      <c r="A12663" t="str">
        <f>"4429449"</f>
        <v>4429449</v>
      </c>
      <c r="B12663" t="s">
        <v>11768</v>
      </c>
      <c r="C12663" t="s">
        <v>124</v>
      </c>
      <c r="D12663" s="21" t="s">
        <v>34</v>
      </c>
      <c r="E12663" s="21" t="s">
        <v>254</v>
      </c>
      <c r="F12663">
        <v>12440144</v>
      </c>
      <c r="G12663" t="s">
        <v>3702</v>
      </c>
      <c r="H12663" s="21">
        <v>917.67</v>
      </c>
    </row>
    <row r="12664" spans="1:8" customFormat="1" x14ac:dyDescent="0.25">
      <c r="A12664" t="str">
        <f>"595297"</f>
        <v>595297</v>
      </c>
      <c r="B12664" t="s">
        <v>7274</v>
      </c>
      <c r="C12664" t="s">
        <v>263</v>
      </c>
      <c r="D12664" s="21" t="s">
        <v>34</v>
      </c>
      <c r="E12664" s="21" t="s">
        <v>1089</v>
      </c>
      <c r="F12664">
        <v>11340014</v>
      </c>
      <c r="G12664" t="s">
        <v>1455</v>
      </c>
      <c r="H12664" s="21">
        <v>917.67</v>
      </c>
    </row>
    <row r="12665" spans="1:8" customFormat="1" x14ac:dyDescent="0.25">
      <c r="A12665" t="str">
        <f>"7722375"</f>
        <v>7722375</v>
      </c>
      <c r="B12665" t="s">
        <v>13400</v>
      </c>
      <c r="C12665" t="s">
        <v>87</v>
      </c>
      <c r="D12665" s="21" t="s">
        <v>34</v>
      </c>
      <c r="E12665" s="21" t="s">
        <v>35</v>
      </c>
      <c r="F12665">
        <v>8770955</v>
      </c>
      <c r="G12665" t="s">
        <v>9946</v>
      </c>
      <c r="H12665" s="21">
        <v>917.67</v>
      </c>
    </row>
    <row r="12666" spans="1:8" customFormat="1" x14ac:dyDescent="0.25">
      <c r="A12666" t="str">
        <f>"168004"</f>
        <v>168004</v>
      </c>
      <c r="B12666" t="s">
        <v>10847</v>
      </c>
      <c r="C12666" t="s">
        <v>198</v>
      </c>
      <c r="D12666" s="21" t="s">
        <v>34</v>
      </c>
      <c r="E12666" s="21" t="s">
        <v>35</v>
      </c>
      <c r="F12666">
        <v>10160186</v>
      </c>
      <c r="G12666" t="s">
        <v>4819</v>
      </c>
      <c r="H12666" s="21">
        <v>917.67</v>
      </c>
    </row>
    <row r="12667" spans="1:8" customFormat="1" x14ac:dyDescent="0.25">
      <c r="A12667" t="str">
        <f>"905493"</f>
        <v>905493</v>
      </c>
      <c r="B12667" t="s">
        <v>2549</v>
      </c>
      <c r="C12667" t="s">
        <v>209</v>
      </c>
      <c r="D12667" s="21" t="s">
        <v>34</v>
      </c>
      <c r="E12667" s="21" t="s">
        <v>35</v>
      </c>
      <c r="F12667">
        <v>2900047</v>
      </c>
      <c r="G12667" t="s">
        <v>6819</v>
      </c>
      <c r="H12667" s="21">
        <v>917.67</v>
      </c>
    </row>
    <row r="12668" spans="1:8" customFormat="1" x14ac:dyDescent="0.25">
      <c r="A12668" t="str">
        <f>"721020"</f>
        <v>721020</v>
      </c>
      <c r="B12668" t="s">
        <v>431</v>
      </c>
      <c r="C12668" t="s">
        <v>598</v>
      </c>
      <c r="D12668" s="21" t="s">
        <v>34</v>
      </c>
      <c r="E12668" s="21" t="s">
        <v>1089</v>
      </c>
      <c r="F12668">
        <v>12720029</v>
      </c>
      <c r="G12668" t="s">
        <v>11575</v>
      </c>
      <c r="H12668" s="21">
        <v>917.67</v>
      </c>
    </row>
    <row r="12669" spans="1:8" customFormat="1" x14ac:dyDescent="0.25">
      <c r="A12669" t="str">
        <f>"0110219"</f>
        <v>0110219</v>
      </c>
      <c r="B12669" t="s">
        <v>5516</v>
      </c>
      <c r="C12669" t="s">
        <v>246</v>
      </c>
      <c r="D12669" s="21" t="s">
        <v>34</v>
      </c>
      <c r="E12669" s="21" t="s">
        <v>71</v>
      </c>
      <c r="F12669">
        <v>1030082</v>
      </c>
      <c r="G12669" t="s">
        <v>26828</v>
      </c>
      <c r="H12669" s="21">
        <v>917.67</v>
      </c>
    </row>
    <row r="12670" spans="1:8" customFormat="1" x14ac:dyDescent="0.25">
      <c r="A12670" t="str">
        <f>"5716065"</f>
        <v>5716065</v>
      </c>
      <c r="B12670" t="s">
        <v>11917</v>
      </c>
      <c r="C12670" t="s">
        <v>1887</v>
      </c>
      <c r="D12670" s="21" t="s">
        <v>34</v>
      </c>
      <c r="E12670" s="21" t="s">
        <v>254</v>
      </c>
      <c r="F12670">
        <v>6570005</v>
      </c>
      <c r="G12670" t="s">
        <v>351</v>
      </c>
      <c r="H12670" s="21">
        <v>917.54</v>
      </c>
    </row>
    <row r="12671" spans="1:8" customFormat="1" x14ac:dyDescent="0.25">
      <c r="A12671" t="str">
        <f>"802704"</f>
        <v>802704</v>
      </c>
      <c r="B12671" t="s">
        <v>299</v>
      </c>
      <c r="C12671" t="s">
        <v>198</v>
      </c>
      <c r="D12671" s="21" t="s">
        <v>34</v>
      </c>
      <c r="E12671" s="21" t="s">
        <v>71</v>
      </c>
      <c r="F12671">
        <v>7800005</v>
      </c>
      <c r="G12671" t="s">
        <v>6547</v>
      </c>
      <c r="H12671" s="21">
        <v>917.42</v>
      </c>
    </row>
    <row r="12672" spans="1:8" customFormat="1" x14ac:dyDescent="0.25">
      <c r="A12672" t="str">
        <f>"83939"</f>
        <v>83939</v>
      </c>
      <c r="B12672" t="s">
        <v>11593</v>
      </c>
      <c r="C12672" t="s">
        <v>269</v>
      </c>
      <c r="D12672" s="21" t="s">
        <v>34</v>
      </c>
      <c r="E12672" s="21" t="s">
        <v>71</v>
      </c>
      <c r="F12672">
        <v>13830044</v>
      </c>
      <c r="G12672" t="s">
        <v>945</v>
      </c>
      <c r="H12672" s="21">
        <v>917.42</v>
      </c>
    </row>
    <row r="12673" spans="1:8" customFormat="1" x14ac:dyDescent="0.25">
      <c r="A12673" t="str">
        <f>"177574"</f>
        <v>177574</v>
      </c>
      <c r="B12673" t="s">
        <v>10801</v>
      </c>
      <c r="C12673" t="s">
        <v>462</v>
      </c>
      <c r="D12673" s="21" t="s">
        <v>34</v>
      </c>
      <c r="E12673" s="21" t="s">
        <v>35</v>
      </c>
      <c r="F12673">
        <v>10170029</v>
      </c>
      <c r="G12673" t="s">
        <v>9383</v>
      </c>
      <c r="H12673" s="21">
        <v>917.42</v>
      </c>
    </row>
    <row r="12674" spans="1:8" customFormat="1" x14ac:dyDescent="0.25">
      <c r="A12674" t="str">
        <f>"5019280"</f>
        <v>5019280</v>
      </c>
      <c r="B12674" t="s">
        <v>3952</v>
      </c>
      <c r="C12674" t="s">
        <v>139</v>
      </c>
      <c r="D12674" s="21" t="s">
        <v>34</v>
      </c>
      <c r="E12674" s="21" t="s">
        <v>35</v>
      </c>
      <c r="F12674">
        <v>9500139</v>
      </c>
      <c r="G12674" t="s">
        <v>6892</v>
      </c>
      <c r="H12674" s="21">
        <v>917.17</v>
      </c>
    </row>
    <row r="12675" spans="1:8" customFormat="1" x14ac:dyDescent="0.25">
      <c r="A12675" t="str">
        <f>"7717840"</f>
        <v>7717840</v>
      </c>
      <c r="B12675" t="s">
        <v>12484</v>
      </c>
      <c r="C12675" t="s">
        <v>87</v>
      </c>
      <c r="D12675" s="21" t="s">
        <v>34</v>
      </c>
      <c r="E12675" s="21" t="s">
        <v>35</v>
      </c>
      <c r="F12675">
        <v>8771427</v>
      </c>
      <c r="G12675" t="s">
        <v>6564</v>
      </c>
      <c r="H12675" s="21">
        <v>917.17</v>
      </c>
    </row>
    <row r="12676" spans="1:8" customFormat="1" x14ac:dyDescent="0.25">
      <c r="A12676" t="str">
        <f>"452578"</f>
        <v>452578</v>
      </c>
      <c r="B12676" t="s">
        <v>11411</v>
      </c>
      <c r="C12676" t="s">
        <v>124</v>
      </c>
      <c r="D12676" s="21" t="s">
        <v>34</v>
      </c>
      <c r="E12676" s="21" t="s">
        <v>254</v>
      </c>
      <c r="F12676">
        <v>4450417</v>
      </c>
      <c r="G12676" t="s">
        <v>2284</v>
      </c>
      <c r="H12676" s="21">
        <v>917.17</v>
      </c>
    </row>
    <row r="12677" spans="1:8" customFormat="1" x14ac:dyDescent="0.25">
      <c r="A12677" t="str">
        <f>"1419634"</f>
        <v>1419634</v>
      </c>
      <c r="B12677" t="s">
        <v>3387</v>
      </c>
      <c r="C12677" t="s">
        <v>288</v>
      </c>
      <c r="D12677" s="21" t="s">
        <v>34</v>
      </c>
      <c r="E12677" s="21" t="s">
        <v>35</v>
      </c>
      <c r="F12677">
        <v>9140111</v>
      </c>
      <c r="G12677" t="s">
        <v>3601</v>
      </c>
      <c r="H12677" s="21">
        <v>917.17</v>
      </c>
    </row>
    <row r="12678" spans="1:8" customFormat="1" x14ac:dyDescent="0.25">
      <c r="A12678" t="str">
        <f>"012969"</f>
        <v>012969</v>
      </c>
      <c r="B12678" t="s">
        <v>7894</v>
      </c>
      <c r="C12678" t="s">
        <v>415</v>
      </c>
      <c r="D12678" s="21" t="s">
        <v>34</v>
      </c>
      <c r="E12678" s="21" t="s">
        <v>35</v>
      </c>
      <c r="F12678">
        <v>1010001</v>
      </c>
      <c r="G12678" t="s">
        <v>2161</v>
      </c>
      <c r="H12678" s="21">
        <v>917.17</v>
      </c>
    </row>
    <row r="12679" spans="1:8" customFormat="1" x14ac:dyDescent="0.25">
      <c r="A12679" t="str">
        <f>"388223"</f>
        <v>388223</v>
      </c>
      <c r="B12679" t="s">
        <v>10994</v>
      </c>
      <c r="C12679" t="s">
        <v>198</v>
      </c>
      <c r="D12679" s="21" t="s">
        <v>34</v>
      </c>
      <c r="E12679" s="21" t="s">
        <v>35</v>
      </c>
      <c r="F12679">
        <v>1380262</v>
      </c>
      <c r="G12679" t="s">
        <v>1216</v>
      </c>
      <c r="H12679" s="21">
        <v>917.17</v>
      </c>
    </row>
    <row r="12680" spans="1:8" customFormat="1" x14ac:dyDescent="0.25">
      <c r="A12680" t="str">
        <f>"9512365"</f>
        <v>9512365</v>
      </c>
      <c r="B12680" t="s">
        <v>11650</v>
      </c>
      <c r="C12680" t="s">
        <v>3456</v>
      </c>
      <c r="D12680" s="21" t="s">
        <v>34</v>
      </c>
      <c r="E12680" s="21" t="s">
        <v>71</v>
      </c>
      <c r="F12680">
        <v>10470021</v>
      </c>
      <c r="G12680" t="s">
        <v>1034</v>
      </c>
      <c r="H12680" s="21">
        <v>917.17</v>
      </c>
    </row>
    <row r="12681" spans="1:8" customFormat="1" x14ac:dyDescent="0.25">
      <c r="A12681" t="str">
        <f>"595111"</f>
        <v>595111</v>
      </c>
      <c r="B12681" t="s">
        <v>11413</v>
      </c>
      <c r="C12681" t="s">
        <v>415</v>
      </c>
      <c r="D12681" s="21" t="s">
        <v>34</v>
      </c>
      <c r="E12681" s="21" t="s">
        <v>71</v>
      </c>
      <c r="F12681">
        <v>7590088</v>
      </c>
      <c r="G12681" t="s">
        <v>11178</v>
      </c>
      <c r="H12681" s="21">
        <v>917.17</v>
      </c>
    </row>
    <row r="12682" spans="1:8" customFormat="1" x14ac:dyDescent="0.25">
      <c r="A12682" t="str">
        <f>"854928"</f>
        <v>854928</v>
      </c>
      <c r="B12682" t="s">
        <v>26230</v>
      </c>
      <c r="C12682" t="s">
        <v>139</v>
      </c>
      <c r="D12682" s="21" t="s">
        <v>34</v>
      </c>
      <c r="E12682" s="21" t="s">
        <v>35</v>
      </c>
      <c r="F12682">
        <v>12850143</v>
      </c>
      <c r="G12682" t="s">
        <v>1625</v>
      </c>
      <c r="H12682" s="21">
        <v>917.17</v>
      </c>
    </row>
    <row r="12683" spans="1:8" customFormat="1" x14ac:dyDescent="0.25">
      <c r="A12683" t="str">
        <f>"5926115"</f>
        <v>5926115</v>
      </c>
      <c r="B12683" t="s">
        <v>10686</v>
      </c>
      <c r="C12683" t="s">
        <v>10481</v>
      </c>
      <c r="D12683" s="21" t="s">
        <v>34</v>
      </c>
      <c r="E12683" s="21" t="s">
        <v>71</v>
      </c>
      <c r="F12683">
        <v>7620015</v>
      </c>
      <c r="G12683" t="s">
        <v>377</v>
      </c>
      <c r="H12683" s="21">
        <v>917.17</v>
      </c>
    </row>
    <row r="12684" spans="1:8" customFormat="1" x14ac:dyDescent="0.25">
      <c r="A12684" t="str">
        <f>"5954085"</f>
        <v>5954085</v>
      </c>
      <c r="B12684" t="s">
        <v>27260</v>
      </c>
      <c r="C12684" t="s">
        <v>415</v>
      </c>
      <c r="D12684" s="21" t="s">
        <v>34</v>
      </c>
      <c r="E12684" s="21" t="s">
        <v>71</v>
      </c>
      <c r="F12684">
        <v>7590402</v>
      </c>
      <c r="G12684" t="s">
        <v>1623</v>
      </c>
      <c r="H12684" s="21">
        <v>917.17</v>
      </c>
    </row>
    <row r="12685" spans="1:8" customFormat="1" x14ac:dyDescent="0.25">
      <c r="A12685" t="str">
        <f>"8521216"</f>
        <v>8521216</v>
      </c>
      <c r="B12685" t="s">
        <v>3367</v>
      </c>
      <c r="C12685" t="s">
        <v>87</v>
      </c>
      <c r="D12685" s="21" t="s">
        <v>34</v>
      </c>
      <c r="E12685" s="21" t="s">
        <v>71</v>
      </c>
      <c r="F12685">
        <v>12850007</v>
      </c>
      <c r="G12685" t="s">
        <v>7649</v>
      </c>
      <c r="H12685" s="21">
        <v>917.17</v>
      </c>
    </row>
    <row r="12686" spans="1:8" customFormat="1" x14ac:dyDescent="0.25">
      <c r="A12686" t="str">
        <f>"9418970"</f>
        <v>9418970</v>
      </c>
      <c r="B12686" t="s">
        <v>12985</v>
      </c>
      <c r="C12686" t="s">
        <v>412</v>
      </c>
      <c r="D12686" s="21" t="s">
        <v>34</v>
      </c>
      <c r="E12686" s="21" t="s">
        <v>254</v>
      </c>
      <c r="F12686">
        <v>8940976</v>
      </c>
      <c r="G12686" t="s">
        <v>615</v>
      </c>
      <c r="H12686" s="21">
        <v>917.17</v>
      </c>
    </row>
    <row r="12687" spans="1:8" customFormat="1" x14ac:dyDescent="0.25">
      <c r="A12687" t="str">
        <f>"366861"</f>
        <v>366861</v>
      </c>
      <c r="B12687" t="s">
        <v>4642</v>
      </c>
      <c r="C12687" t="s">
        <v>87</v>
      </c>
      <c r="D12687" s="21" t="s">
        <v>34</v>
      </c>
      <c r="E12687" s="21" t="s">
        <v>35</v>
      </c>
      <c r="F12687">
        <v>4360726</v>
      </c>
      <c r="G12687" t="s">
        <v>5506</v>
      </c>
      <c r="H12687" s="21">
        <v>917.04</v>
      </c>
    </row>
    <row r="12688" spans="1:8" customFormat="1" x14ac:dyDescent="0.25">
      <c r="A12688" t="str">
        <f>"72345"</f>
        <v>72345</v>
      </c>
      <c r="B12688" t="s">
        <v>6729</v>
      </c>
      <c r="C12688" t="s">
        <v>40</v>
      </c>
      <c r="D12688" s="21" t="s">
        <v>34</v>
      </c>
      <c r="E12688" s="21" t="s">
        <v>71</v>
      </c>
      <c r="F12688">
        <v>12720056</v>
      </c>
      <c r="G12688" t="s">
        <v>9231</v>
      </c>
      <c r="H12688" s="21">
        <v>917.04</v>
      </c>
    </row>
    <row r="12689" spans="1:8" customFormat="1" x14ac:dyDescent="0.25">
      <c r="A12689" t="str">
        <f>"2938285"</f>
        <v>2938285</v>
      </c>
      <c r="B12689" t="s">
        <v>6644</v>
      </c>
      <c r="C12689" t="s">
        <v>1803</v>
      </c>
      <c r="D12689" s="21" t="s">
        <v>34</v>
      </c>
      <c r="E12689" s="21" t="s">
        <v>35</v>
      </c>
      <c r="F12689">
        <v>3290263</v>
      </c>
      <c r="G12689" t="s">
        <v>4108</v>
      </c>
      <c r="H12689" s="21">
        <v>917.04</v>
      </c>
    </row>
    <row r="12690" spans="1:8" customFormat="1" x14ac:dyDescent="0.25">
      <c r="A12690" t="str">
        <f>"7844662"</f>
        <v>7844662</v>
      </c>
      <c r="B12690" t="s">
        <v>461</v>
      </c>
      <c r="C12690" t="s">
        <v>926</v>
      </c>
      <c r="D12690" s="21" t="s">
        <v>34</v>
      </c>
      <c r="E12690" s="21" t="s">
        <v>35</v>
      </c>
      <c r="F12690">
        <v>3560006</v>
      </c>
      <c r="G12690" t="s">
        <v>2708</v>
      </c>
      <c r="H12690" s="21">
        <v>916.92</v>
      </c>
    </row>
    <row r="12691" spans="1:8" customFormat="1" x14ac:dyDescent="0.25">
      <c r="A12691" t="str">
        <f>"8522204"</f>
        <v>8522204</v>
      </c>
      <c r="B12691" t="s">
        <v>11543</v>
      </c>
      <c r="C12691" t="s">
        <v>87</v>
      </c>
      <c r="D12691" s="21" t="s">
        <v>34</v>
      </c>
      <c r="E12691" s="21" t="s">
        <v>71</v>
      </c>
      <c r="F12691">
        <v>12440025</v>
      </c>
      <c r="G12691" t="s">
        <v>6675</v>
      </c>
      <c r="H12691" s="21">
        <v>916.92</v>
      </c>
    </row>
    <row r="12692" spans="1:8" customFormat="1" x14ac:dyDescent="0.25">
      <c r="A12692" t="str">
        <f>"6810700"</f>
        <v>6810700</v>
      </c>
      <c r="B12692" t="s">
        <v>12501</v>
      </c>
      <c r="C12692" t="s">
        <v>156</v>
      </c>
      <c r="D12692" s="21" t="s">
        <v>34</v>
      </c>
      <c r="E12692" s="21" t="s">
        <v>35</v>
      </c>
      <c r="F12692">
        <v>6680090</v>
      </c>
      <c r="G12692" t="s">
        <v>3129</v>
      </c>
      <c r="H12692" s="21">
        <v>916.92</v>
      </c>
    </row>
    <row r="12693" spans="1:8" customFormat="1" x14ac:dyDescent="0.25">
      <c r="A12693" t="str">
        <f>"213986"</f>
        <v>213986</v>
      </c>
      <c r="B12693" t="s">
        <v>10417</v>
      </c>
      <c r="C12693" t="s">
        <v>415</v>
      </c>
      <c r="D12693" s="21" t="s">
        <v>34</v>
      </c>
      <c r="E12693" s="21" t="s">
        <v>254</v>
      </c>
      <c r="F12693">
        <v>2210029</v>
      </c>
      <c r="G12693" t="s">
        <v>6983</v>
      </c>
      <c r="H12693" s="21">
        <v>916.92</v>
      </c>
    </row>
    <row r="12694" spans="1:8" customFormat="1" x14ac:dyDescent="0.25">
      <c r="A12694" t="str">
        <f>"3319140"</f>
        <v>3319140</v>
      </c>
      <c r="B12694" t="s">
        <v>146</v>
      </c>
      <c r="C12694" t="s">
        <v>10961</v>
      </c>
      <c r="D12694" s="21" t="s">
        <v>34</v>
      </c>
      <c r="E12694" s="21" t="s">
        <v>35</v>
      </c>
      <c r="F12694">
        <v>10330035</v>
      </c>
      <c r="G12694" t="s">
        <v>3457</v>
      </c>
      <c r="H12694" s="21">
        <v>916.92</v>
      </c>
    </row>
    <row r="12695" spans="1:8" customFormat="1" x14ac:dyDescent="0.25">
      <c r="A12695" t="str">
        <f>"429590"</f>
        <v>429590</v>
      </c>
      <c r="B12695" t="s">
        <v>11779</v>
      </c>
      <c r="C12695" t="s">
        <v>119</v>
      </c>
      <c r="D12695" s="21" t="s">
        <v>34</v>
      </c>
      <c r="E12695" s="21" t="s">
        <v>71</v>
      </c>
      <c r="F12695">
        <v>1420138</v>
      </c>
      <c r="G12695" t="s">
        <v>27002</v>
      </c>
      <c r="H12695" s="21">
        <v>916.92</v>
      </c>
    </row>
    <row r="12696" spans="1:8" customFormat="1" x14ac:dyDescent="0.25">
      <c r="A12696" t="str">
        <f>"5958051"</f>
        <v>5958051</v>
      </c>
      <c r="B12696" t="s">
        <v>13431</v>
      </c>
      <c r="C12696" t="s">
        <v>60</v>
      </c>
      <c r="D12696" s="21" t="s">
        <v>34</v>
      </c>
      <c r="E12696" s="21" t="s">
        <v>35</v>
      </c>
      <c r="F12696">
        <v>7590184</v>
      </c>
      <c r="G12696" t="s">
        <v>6722</v>
      </c>
      <c r="H12696" s="21">
        <v>916.92</v>
      </c>
    </row>
    <row r="12697" spans="1:8" customFormat="1" x14ac:dyDescent="0.25">
      <c r="A12697" t="str">
        <f>"5416447"</f>
        <v>5416447</v>
      </c>
      <c r="B12697" t="s">
        <v>12836</v>
      </c>
      <c r="C12697" t="s">
        <v>879</v>
      </c>
      <c r="D12697" s="21" t="s">
        <v>34</v>
      </c>
      <c r="E12697" s="21" t="s">
        <v>71</v>
      </c>
      <c r="F12697">
        <v>6540055</v>
      </c>
      <c r="G12697" t="s">
        <v>9080</v>
      </c>
      <c r="H12697" s="21">
        <v>916.92</v>
      </c>
    </row>
    <row r="12698" spans="1:8" customFormat="1" x14ac:dyDescent="0.25">
      <c r="A12698" t="str">
        <f>"2925268"</f>
        <v>2925268</v>
      </c>
      <c r="B12698" t="s">
        <v>10236</v>
      </c>
      <c r="C12698" t="s">
        <v>415</v>
      </c>
      <c r="D12698" s="21" t="s">
        <v>34</v>
      </c>
      <c r="E12698" s="21" t="s">
        <v>254</v>
      </c>
      <c r="F12698">
        <v>3290263</v>
      </c>
      <c r="G12698" t="s">
        <v>4108</v>
      </c>
      <c r="H12698" s="21">
        <v>916.92</v>
      </c>
    </row>
    <row r="12699" spans="1:8" customFormat="1" x14ac:dyDescent="0.25">
      <c r="A12699" t="str">
        <f>"769561"</f>
        <v>769561</v>
      </c>
      <c r="B12699" t="s">
        <v>12344</v>
      </c>
      <c r="C12699" t="s">
        <v>169</v>
      </c>
      <c r="D12699" s="21" t="s">
        <v>34</v>
      </c>
      <c r="E12699" s="21" t="s">
        <v>71</v>
      </c>
      <c r="F12699">
        <v>9760315</v>
      </c>
      <c r="G12699" t="s">
        <v>12345</v>
      </c>
      <c r="H12699" s="21">
        <v>916.79</v>
      </c>
    </row>
    <row r="12700" spans="1:8" customFormat="1" x14ac:dyDescent="0.25">
      <c r="A12700" t="str">
        <f>"7214826"</f>
        <v>7214826</v>
      </c>
      <c r="B12700" t="s">
        <v>623</v>
      </c>
      <c r="C12700" t="s">
        <v>2546</v>
      </c>
      <c r="D12700" s="21" t="s">
        <v>34</v>
      </c>
      <c r="E12700" s="21" t="s">
        <v>71</v>
      </c>
      <c r="F12700">
        <v>12720084</v>
      </c>
      <c r="G12700" t="s">
        <v>7532</v>
      </c>
      <c r="H12700" s="21">
        <v>916.67</v>
      </c>
    </row>
    <row r="12701" spans="1:8" customFormat="1" x14ac:dyDescent="0.25">
      <c r="A12701" t="str">
        <f>"504529"</f>
        <v>504529</v>
      </c>
      <c r="B12701" t="s">
        <v>11974</v>
      </c>
      <c r="C12701" t="s">
        <v>1803</v>
      </c>
      <c r="D12701" s="21" t="s">
        <v>34</v>
      </c>
      <c r="E12701" s="21" t="s">
        <v>35</v>
      </c>
      <c r="F12701">
        <v>9500009</v>
      </c>
      <c r="G12701" t="s">
        <v>2230</v>
      </c>
      <c r="H12701" s="21">
        <v>916.67</v>
      </c>
    </row>
    <row r="12702" spans="1:8" customFormat="1" x14ac:dyDescent="0.25">
      <c r="A12702" t="str">
        <f>"5720613"</f>
        <v>5720613</v>
      </c>
      <c r="B12702" t="s">
        <v>12449</v>
      </c>
      <c r="C12702" t="s">
        <v>33</v>
      </c>
      <c r="D12702" s="21" t="s">
        <v>34</v>
      </c>
      <c r="E12702" s="21" t="s">
        <v>35</v>
      </c>
      <c r="F12702">
        <v>6570015</v>
      </c>
      <c r="G12702" t="s">
        <v>749</v>
      </c>
      <c r="H12702" s="21">
        <v>916.67</v>
      </c>
    </row>
    <row r="12703" spans="1:8" customFormat="1" x14ac:dyDescent="0.25">
      <c r="A12703" t="str">
        <f>"5926098"</f>
        <v>5926098</v>
      </c>
      <c r="B12703" t="s">
        <v>27261</v>
      </c>
      <c r="C12703" t="s">
        <v>60</v>
      </c>
      <c r="D12703" s="21" t="s">
        <v>34</v>
      </c>
      <c r="E12703" s="21" t="s">
        <v>35</v>
      </c>
      <c r="F12703">
        <v>7590194</v>
      </c>
      <c r="G12703" t="s">
        <v>460</v>
      </c>
      <c r="H12703" s="21">
        <v>916.67</v>
      </c>
    </row>
    <row r="12704" spans="1:8" customFormat="1" x14ac:dyDescent="0.25">
      <c r="A12704" t="str">
        <f>"083058"</f>
        <v>083058</v>
      </c>
      <c r="B12704" t="s">
        <v>8509</v>
      </c>
      <c r="C12704" t="s">
        <v>879</v>
      </c>
      <c r="D12704" s="21" t="s">
        <v>34</v>
      </c>
      <c r="E12704" s="21" t="s">
        <v>71</v>
      </c>
      <c r="F12704">
        <v>6080074</v>
      </c>
      <c r="G12704" t="s">
        <v>13069</v>
      </c>
      <c r="H12704" s="21">
        <v>916.67</v>
      </c>
    </row>
    <row r="12705" spans="1:8" customFormat="1" x14ac:dyDescent="0.25">
      <c r="A12705" t="str">
        <f>"3819302"</f>
        <v>3819302</v>
      </c>
      <c r="B12705" t="s">
        <v>10856</v>
      </c>
      <c r="C12705" t="s">
        <v>1146</v>
      </c>
      <c r="D12705" s="21" t="s">
        <v>34</v>
      </c>
      <c r="E12705" s="21" t="s">
        <v>71</v>
      </c>
      <c r="F12705">
        <v>1380275</v>
      </c>
      <c r="G12705" t="s">
        <v>8042</v>
      </c>
      <c r="H12705" s="21">
        <v>916.67</v>
      </c>
    </row>
    <row r="12706" spans="1:8" customFormat="1" x14ac:dyDescent="0.25">
      <c r="A12706" t="str">
        <f>"9126905"</f>
        <v>9126905</v>
      </c>
      <c r="B12706" t="s">
        <v>16366</v>
      </c>
      <c r="C12706" t="s">
        <v>60</v>
      </c>
      <c r="D12706" s="21" t="s">
        <v>34</v>
      </c>
      <c r="E12706" s="21" t="s">
        <v>35</v>
      </c>
      <c r="F12706">
        <v>8910861</v>
      </c>
      <c r="G12706" t="s">
        <v>1120</v>
      </c>
      <c r="H12706" s="21">
        <v>916.67</v>
      </c>
    </row>
    <row r="12707" spans="1:8" customFormat="1" x14ac:dyDescent="0.25">
      <c r="A12707" t="str">
        <f>"7858659"</f>
        <v>7858659</v>
      </c>
      <c r="B12707" t="s">
        <v>27262</v>
      </c>
      <c r="C12707" t="s">
        <v>37</v>
      </c>
      <c r="D12707" s="21" t="s">
        <v>34</v>
      </c>
      <c r="E12707" s="21" t="s">
        <v>35</v>
      </c>
      <c r="F12707">
        <v>8781290</v>
      </c>
      <c r="G12707" t="s">
        <v>2927</v>
      </c>
      <c r="H12707" s="21">
        <v>916.67</v>
      </c>
    </row>
    <row r="12708" spans="1:8" customFormat="1" x14ac:dyDescent="0.25">
      <c r="A12708" t="str">
        <f>"5322959"</f>
        <v>5322959</v>
      </c>
      <c r="B12708" t="s">
        <v>11295</v>
      </c>
      <c r="C12708" t="s">
        <v>1110</v>
      </c>
      <c r="D12708" s="21" t="s">
        <v>34</v>
      </c>
      <c r="E12708" s="21" t="s">
        <v>35</v>
      </c>
      <c r="F12708">
        <v>12530001</v>
      </c>
      <c r="G12708" t="s">
        <v>6349</v>
      </c>
      <c r="H12708" s="21">
        <v>916.67</v>
      </c>
    </row>
    <row r="12709" spans="1:8" customFormat="1" x14ac:dyDescent="0.25">
      <c r="A12709" t="str">
        <f>"57399"</f>
        <v>57399</v>
      </c>
      <c r="B12709" t="s">
        <v>11820</v>
      </c>
      <c r="C12709" t="s">
        <v>926</v>
      </c>
      <c r="D12709" s="21" t="s">
        <v>34</v>
      </c>
      <c r="E12709" s="21" t="s">
        <v>254</v>
      </c>
      <c r="F12709">
        <v>6570022</v>
      </c>
      <c r="G12709" t="s">
        <v>3870</v>
      </c>
      <c r="H12709" s="21">
        <v>916.67</v>
      </c>
    </row>
    <row r="12710" spans="1:8" customFormat="1" x14ac:dyDescent="0.25">
      <c r="A12710" t="str">
        <f>"5926127"</f>
        <v>5926127</v>
      </c>
      <c r="B12710" t="s">
        <v>646</v>
      </c>
      <c r="C12710" t="s">
        <v>3109</v>
      </c>
      <c r="D12710" s="21" t="s">
        <v>34</v>
      </c>
      <c r="E12710" s="21" t="s">
        <v>71</v>
      </c>
      <c r="F12710">
        <v>7590044</v>
      </c>
      <c r="G12710" t="s">
        <v>2029</v>
      </c>
      <c r="H12710" s="21">
        <v>916.67</v>
      </c>
    </row>
    <row r="12711" spans="1:8" customFormat="1" x14ac:dyDescent="0.25">
      <c r="A12711" t="str">
        <f>"852459"</f>
        <v>852459</v>
      </c>
      <c r="B12711" t="s">
        <v>10130</v>
      </c>
      <c r="C12711" t="s">
        <v>209</v>
      </c>
      <c r="D12711" s="21" t="s">
        <v>34</v>
      </c>
      <c r="E12711" s="21" t="s">
        <v>254</v>
      </c>
      <c r="F12711">
        <v>12850118</v>
      </c>
      <c r="G12711" t="s">
        <v>6811</v>
      </c>
      <c r="H12711" s="21">
        <v>916.67</v>
      </c>
    </row>
    <row r="12712" spans="1:8" customFormat="1" x14ac:dyDescent="0.25">
      <c r="A12712" t="str">
        <f>"2211388"</f>
        <v>2211388</v>
      </c>
      <c r="B12712" t="s">
        <v>3847</v>
      </c>
      <c r="C12712" t="s">
        <v>40</v>
      </c>
      <c r="D12712" s="21" t="s">
        <v>34</v>
      </c>
      <c r="E12712" s="21" t="s">
        <v>71</v>
      </c>
      <c r="F12712">
        <v>3220038</v>
      </c>
      <c r="G12712" t="s">
        <v>27039</v>
      </c>
      <c r="H12712" s="21">
        <v>916.67</v>
      </c>
    </row>
    <row r="12713" spans="1:8" customFormat="1" x14ac:dyDescent="0.25">
      <c r="A12713" t="str">
        <f>"3510332"</f>
        <v>3510332</v>
      </c>
      <c r="B12713" t="s">
        <v>12040</v>
      </c>
      <c r="C12713" t="s">
        <v>114</v>
      </c>
      <c r="D12713" s="21" t="s">
        <v>34</v>
      </c>
      <c r="E12713" s="21" t="s">
        <v>35</v>
      </c>
      <c r="F12713">
        <v>3350044</v>
      </c>
      <c r="G12713" t="s">
        <v>12041</v>
      </c>
      <c r="H12713" s="21">
        <v>916.67</v>
      </c>
    </row>
    <row r="12714" spans="1:8" customFormat="1" x14ac:dyDescent="0.25">
      <c r="A12714" t="str">
        <f>"9523015"</f>
        <v>9523015</v>
      </c>
      <c r="B12714" t="s">
        <v>12237</v>
      </c>
      <c r="C12714" t="s">
        <v>249</v>
      </c>
      <c r="D12714" s="21" t="s">
        <v>34</v>
      </c>
      <c r="E12714" s="21" t="s">
        <v>35</v>
      </c>
      <c r="F12714">
        <v>13840006</v>
      </c>
      <c r="G12714" t="s">
        <v>10139</v>
      </c>
      <c r="H12714" s="21">
        <v>916.67</v>
      </c>
    </row>
    <row r="12715" spans="1:8" customFormat="1" x14ac:dyDescent="0.25">
      <c r="A12715" t="str">
        <f>"4515870"</f>
        <v>4515870</v>
      </c>
      <c r="B12715" t="s">
        <v>27263</v>
      </c>
      <c r="C12715" t="s">
        <v>96</v>
      </c>
      <c r="D12715" s="21" t="s">
        <v>34</v>
      </c>
      <c r="E12715" s="21" t="s">
        <v>35</v>
      </c>
      <c r="F12715">
        <v>4450144</v>
      </c>
      <c r="G12715" t="s">
        <v>6941</v>
      </c>
      <c r="H12715" s="21">
        <v>916.67</v>
      </c>
    </row>
    <row r="12716" spans="1:8" customFormat="1" x14ac:dyDescent="0.25">
      <c r="A12716" t="str">
        <f>"4927923"</f>
        <v>4927923</v>
      </c>
      <c r="B12716" t="s">
        <v>11113</v>
      </c>
      <c r="C12716" t="s">
        <v>412</v>
      </c>
      <c r="D12716" s="21" t="s">
        <v>34</v>
      </c>
      <c r="E12716" s="21" t="s">
        <v>71</v>
      </c>
      <c r="F12716">
        <v>12490092</v>
      </c>
      <c r="G12716" t="s">
        <v>1854</v>
      </c>
      <c r="H12716" s="21">
        <v>916.67</v>
      </c>
    </row>
    <row r="12717" spans="1:8" customFormat="1" x14ac:dyDescent="0.25">
      <c r="A12717" t="str">
        <f>"4519335"</f>
        <v>4519335</v>
      </c>
      <c r="B12717" t="s">
        <v>853</v>
      </c>
      <c r="C12717" t="s">
        <v>11797</v>
      </c>
      <c r="D12717" s="21" t="s">
        <v>34</v>
      </c>
      <c r="E12717" s="21" t="s">
        <v>35</v>
      </c>
      <c r="F12717">
        <v>4450737</v>
      </c>
      <c r="G12717" t="s">
        <v>11798</v>
      </c>
      <c r="H12717" s="21">
        <v>916.67</v>
      </c>
    </row>
    <row r="12718" spans="1:8" customFormat="1" x14ac:dyDescent="0.25">
      <c r="A12718" t="str">
        <f>"8525286"</f>
        <v>8525286</v>
      </c>
      <c r="B12718" t="s">
        <v>13578</v>
      </c>
      <c r="C12718" t="s">
        <v>139</v>
      </c>
      <c r="D12718" s="21" t="s">
        <v>34</v>
      </c>
      <c r="E12718" s="21" t="s">
        <v>35</v>
      </c>
      <c r="F12718">
        <v>12850037</v>
      </c>
      <c r="G12718" t="s">
        <v>2787</v>
      </c>
      <c r="H12718" s="21">
        <v>916.54</v>
      </c>
    </row>
    <row r="12719" spans="1:8" customFormat="1" x14ac:dyDescent="0.25">
      <c r="A12719" t="str">
        <f>"59126"</f>
        <v>59126</v>
      </c>
      <c r="B12719" t="s">
        <v>11585</v>
      </c>
      <c r="C12719" t="s">
        <v>652</v>
      </c>
      <c r="D12719" s="21" t="s">
        <v>34</v>
      </c>
      <c r="E12719" s="21" t="s">
        <v>254</v>
      </c>
      <c r="F12719">
        <v>7590419</v>
      </c>
      <c r="G12719" t="s">
        <v>8051</v>
      </c>
      <c r="H12719" s="21">
        <v>916.42</v>
      </c>
    </row>
    <row r="12720" spans="1:8" customFormat="1" x14ac:dyDescent="0.25">
      <c r="A12720" t="str">
        <f>"5110"</f>
        <v>5110</v>
      </c>
      <c r="B12720" t="s">
        <v>20448</v>
      </c>
      <c r="C12720" t="s">
        <v>695</v>
      </c>
      <c r="D12720" s="21" t="s">
        <v>34</v>
      </c>
      <c r="E12720" s="21" t="s">
        <v>1089</v>
      </c>
      <c r="F12720">
        <v>6510112</v>
      </c>
      <c r="G12720" t="s">
        <v>588</v>
      </c>
      <c r="H12720" s="21">
        <v>916.42</v>
      </c>
    </row>
    <row r="12721" spans="1:8" customFormat="1" x14ac:dyDescent="0.25">
      <c r="A12721" t="str">
        <f>"3719487"</f>
        <v>3719487</v>
      </c>
      <c r="B12721" t="s">
        <v>3259</v>
      </c>
      <c r="C12721" t="s">
        <v>2734</v>
      </c>
      <c r="D12721" s="21" t="s">
        <v>34</v>
      </c>
      <c r="E12721" s="21" t="s">
        <v>35</v>
      </c>
      <c r="F12721">
        <v>4370478</v>
      </c>
      <c r="G12721" t="s">
        <v>4735</v>
      </c>
      <c r="H12721" s="21">
        <v>916.17</v>
      </c>
    </row>
    <row r="12722" spans="1:8" customFormat="1" x14ac:dyDescent="0.25">
      <c r="A12722" t="str">
        <f>"298655"</f>
        <v>298655</v>
      </c>
      <c r="B12722" t="s">
        <v>9049</v>
      </c>
      <c r="C12722" t="s">
        <v>139</v>
      </c>
      <c r="D12722" s="21" t="s">
        <v>34</v>
      </c>
      <c r="E12722" s="21" t="s">
        <v>35</v>
      </c>
      <c r="F12722">
        <v>3290208</v>
      </c>
      <c r="G12722" t="s">
        <v>1553</v>
      </c>
      <c r="H12722" s="21">
        <v>916.17</v>
      </c>
    </row>
    <row r="12723" spans="1:8" customFormat="1" x14ac:dyDescent="0.25">
      <c r="A12723" t="str">
        <f>"2416"</f>
        <v>2416</v>
      </c>
      <c r="B12723" t="s">
        <v>10101</v>
      </c>
      <c r="C12723" t="s">
        <v>1914</v>
      </c>
      <c r="D12723" s="21" t="s">
        <v>34</v>
      </c>
      <c r="E12723" s="21" t="s">
        <v>254</v>
      </c>
      <c r="F12723">
        <v>10240001</v>
      </c>
      <c r="G12723" t="s">
        <v>10102</v>
      </c>
      <c r="H12723" s="21">
        <v>916.17</v>
      </c>
    </row>
    <row r="12724" spans="1:8" customFormat="1" x14ac:dyDescent="0.25">
      <c r="A12724" t="str">
        <f>"9127855"</f>
        <v>9127855</v>
      </c>
      <c r="B12724" t="s">
        <v>9994</v>
      </c>
      <c r="C12724" t="s">
        <v>9995</v>
      </c>
      <c r="D12724" s="21" t="s">
        <v>34</v>
      </c>
      <c r="E12724" s="21" t="s">
        <v>1089</v>
      </c>
      <c r="F12724">
        <v>8920031</v>
      </c>
      <c r="G12724" t="s">
        <v>552</v>
      </c>
      <c r="H12724" s="21">
        <v>916.17</v>
      </c>
    </row>
    <row r="12725" spans="1:8" customFormat="1" x14ac:dyDescent="0.25">
      <c r="A12725" t="str">
        <f>"135593"</f>
        <v>135593</v>
      </c>
      <c r="B12725" t="s">
        <v>10855</v>
      </c>
      <c r="C12725" t="s">
        <v>695</v>
      </c>
      <c r="D12725" s="21" t="s">
        <v>34</v>
      </c>
      <c r="E12725" s="21" t="s">
        <v>254</v>
      </c>
      <c r="F12725">
        <v>13130067</v>
      </c>
      <c r="G12725" t="s">
        <v>1420</v>
      </c>
      <c r="H12725" s="21">
        <v>916.17</v>
      </c>
    </row>
    <row r="12726" spans="1:8" customFormat="1" x14ac:dyDescent="0.25">
      <c r="A12726" t="str">
        <f>"6232696"</f>
        <v>6232696</v>
      </c>
      <c r="B12726" t="s">
        <v>8029</v>
      </c>
      <c r="C12726" t="s">
        <v>267</v>
      </c>
      <c r="D12726" s="21" t="s">
        <v>34</v>
      </c>
      <c r="E12726" s="21" t="s">
        <v>71</v>
      </c>
      <c r="F12726">
        <v>7620183</v>
      </c>
      <c r="G12726" t="s">
        <v>8030</v>
      </c>
      <c r="H12726" s="21">
        <v>916.17</v>
      </c>
    </row>
    <row r="12727" spans="1:8" customFormat="1" x14ac:dyDescent="0.25">
      <c r="A12727" t="str">
        <f>"2813131"</f>
        <v>2813131</v>
      </c>
      <c r="B12727" t="s">
        <v>12441</v>
      </c>
      <c r="C12727" t="s">
        <v>486</v>
      </c>
      <c r="D12727" s="21" t="s">
        <v>34</v>
      </c>
      <c r="E12727" s="21" t="s">
        <v>71</v>
      </c>
      <c r="F12727">
        <v>4280593</v>
      </c>
      <c r="G12727" t="s">
        <v>4536</v>
      </c>
      <c r="H12727" s="21">
        <v>916.17</v>
      </c>
    </row>
    <row r="12728" spans="1:8" customFormat="1" x14ac:dyDescent="0.25">
      <c r="A12728" t="str">
        <f>"169372"</f>
        <v>169372</v>
      </c>
      <c r="B12728" t="s">
        <v>27264</v>
      </c>
      <c r="C12728" t="s">
        <v>3475</v>
      </c>
      <c r="D12728" s="21" t="s">
        <v>34</v>
      </c>
      <c r="E12728" s="21" t="s">
        <v>71</v>
      </c>
      <c r="F12728">
        <v>10160226</v>
      </c>
      <c r="G12728" t="s">
        <v>8751</v>
      </c>
      <c r="H12728" s="21">
        <v>916.17</v>
      </c>
    </row>
    <row r="12729" spans="1:8" customFormat="1" x14ac:dyDescent="0.25">
      <c r="A12729" t="str">
        <f>"537601"</f>
        <v>537601</v>
      </c>
      <c r="B12729" t="s">
        <v>387</v>
      </c>
      <c r="C12729" t="s">
        <v>2520</v>
      </c>
      <c r="D12729" s="21" t="s">
        <v>34</v>
      </c>
      <c r="E12729" s="21" t="s">
        <v>71</v>
      </c>
      <c r="F12729">
        <v>12530063</v>
      </c>
      <c r="G12729" t="s">
        <v>4313</v>
      </c>
      <c r="H12729" s="21">
        <v>916.17</v>
      </c>
    </row>
    <row r="12730" spans="1:8" customFormat="1" x14ac:dyDescent="0.25">
      <c r="A12730" t="str">
        <f>"535146"</f>
        <v>535146</v>
      </c>
      <c r="B12730" t="s">
        <v>10099</v>
      </c>
      <c r="C12730" t="s">
        <v>33</v>
      </c>
      <c r="D12730" s="21" t="s">
        <v>34</v>
      </c>
      <c r="E12730" s="21" t="s">
        <v>71</v>
      </c>
      <c r="F12730">
        <v>12530119</v>
      </c>
      <c r="G12730" t="s">
        <v>9943</v>
      </c>
      <c r="H12730" s="21">
        <v>916.17</v>
      </c>
    </row>
    <row r="12731" spans="1:8" customFormat="1" x14ac:dyDescent="0.25">
      <c r="A12731" t="str">
        <f>"8311723"</f>
        <v>8311723</v>
      </c>
      <c r="B12731" t="s">
        <v>12351</v>
      </c>
      <c r="C12731" t="s">
        <v>204</v>
      </c>
      <c r="D12731" s="21" t="s">
        <v>34</v>
      </c>
      <c r="E12731" s="21" t="s">
        <v>71</v>
      </c>
      <c r="F12731">
        <v>13830059</v>
      </c>
      <c r="G12731" t="s">
        <v>5440</v>
      </c>
      <c r="H12731" s="21">
        <v>916.17</v>
      </c>
    </row>
    <row r="12732" spans="1:8" customFormat="1" x14ac:dyDescent="0.25">
      <c r="A12732" t="str">
        <f>"3326502"</f>
        <v>3326502</v>
      </c>
      <c r="B12732" t="s">
        <v>27265</v>
      </c>
      <c r="C12732" t="s">
        <v>55</v>
      </c>
      <c r="D12732" s="21" t="s">
        <v>34</v>
      </c>
      <c r="E12732" s="21" t="s">
        <v>71</v>
      </c>
      <c r="F12732">
        <v>10330032</v>
      </c>
      <c r="G12732" t="s">
        <v>4408</v>
      </c>
      <c r="H12732" s="21">
        <v>916.17</v>
      </c>
    </row>
    <row r="12733" spans="1:8" customFormat="1" x14ac:dyDescent="0.25">
      <c r="A12733" t="str">
        <f>"8017391"</f>
        <v>8017391</v>
      </c>
      <c r="B12733" t="s">
        <v>12989</v>
      </c>
      <c r="C12733" t="s">
        <v>328</v>
      </c>
      <c r="D12733" s="21" t="s">
        <v>34</v>
      </c>
      <c r="E12733" s="21" t="s">
        <v>35</v>
      </c>
      <c r="F12733">
        <v>7800035</v>
      </c>
      <c r="G12733" t="s">
        <v>12990</v>
      </c>
      <c r="H12733" s="21">
        <v>916.17</v>
      </c>
    </row>
    <row r="12734" spans="1:8" customFormat="1" x14ac:dyDescent="0.25">
      <c r="A12734" t="str">
        <f>"9530353"</f>
        <v>9530353</v>
      </c>
      <c r="B12734" t="s">
        <v>11360</v>
      </c>
      <c r="C12734" t="s">
        <v>812</v>
      </c>
      <c r="D12734" s="21" t="s">
        <v>34</v>
      </c>
      <c r="E12734" s="21" t="s">
        <v>35</v>
      </c>
      <c r="F12734">
        <v>8950083</v>
      </c>
      <c r="G12734" t="s">
        <v>405</v>
      </c>
      <c r="H12734" s="21">
        <v>916.04</v>
      </c>
    </row>
    <row r="12735" spans="1:8" customFormat="1" x14ac:dyDescent="0.25">
      <c r="A12735" t="str">
        <f>"581785"</f>
        <v>581785</v>
      </c>
      <c r="B12735" t="s">
        <v>3900</v>
      </c>
      <c r="C12735" t="s">
        <v>169</v>
      </c>
      <c r="D12735" s="21" t="s">
        <v>34</v>
      </c>
      <c r="E12735" s="21" t="s">
        <v>35</v>
      </c>
      <c r="F12735">
        <v>2580052</v>
      </c>
      <c r="G12735" t="s">
        <v>1813</v>
      </c>
      <c r="H12735" s="21">
        <v>916.04</v>
      </c>
    </row>
    <row r="12736" spans="1:8" customFormat="1" x14ac:dyDescent="0.25">
      <c r="A12736" t="str">
        <f>"751202"</f>
        <v>751202</v>
      </c>
      <c r="B12736" t="s">
        <v>10725</v>
      </c>
      <c r="C12736" t="s">
        <v>598</v>
      </c>
      <c r="D12736" s="21" t="s">
        <v>34</v>
      </c>
      <c r="E12736" s="21" t="s">
        <v>1089</v>
      </c>
      <c r="F12736">
        <v>8750007</v>
      </c>
      <c r="G12736" t="s">
        <v>775</v>
      </c>
      <c r="H12736" s="21">
        <v>915.92</v>
      </c>
    </row>
    <row r="12737" spans="1:8" customFormat="1" x14ac:dyDescent="0.25">
      <c r="A12737" t="str">
        <f>"7713775"</f>
        <v>7713775</v>
      </c>
      <c r="B12737" t="s">
        <v>11619</v>
      </c>
      <c r="C12737" t="s">
        <v>462</v>
      </c>
      <c r="D12737" s="21" t="s">
        <v>34</v>
      </c>
      <c r="E12737" s="21" t="s">
        <v>71</v>
      </c>
      <c r="F12737">
        <v>4410612</v>
      </c>
      <c r="G12737" t="s">
        <v>815</v>
      </c>
      <c r="H12737" s="21">
        <v>915.79</v>
      </c>
    </row>
    <row r="12738" spans="1:8" customFormat="1" x14ac:dyDescent="0.25">
      <c r="A12738" t="str">
        <f>"3013740"</f>
        <v>3013740</v>
      </c>
      <c r="B12738" t="s">
        <v>15630</v>
      </c>
      <c r="C12738" t="s">
        <v>269</v>
      </c>
      <c r="D12738" s="21" t="s">
        <v>34</v>
      </c>
      <c r="E12738" s="21" t="s">
        <v>71</v>
      </c>
      <c r="F12738">
        <v>13840037</v>
      </c>
      <c r="G12738" t="s">
        <v>2019</v>
      </c>
      <c r="H12738" s="21">
        <v>915.79</v>
      </c>
    </row>
    <row r="12739" spans="1:8" customFormat="1" x14ac:dyDescent="0.25">
      <c r="A12739" t="str">
        <f>"856428"</f>
        <v>856428</v>
      </c>
      <c r="B12739" t="s">
        <v>824</v>
      </c>
      <c r="C12739" t="s">
        <v>1665</v>
      </c>
      <c r="D12739" s="21" t="s">
        <v>34</v>
      </c>
      <c r="E12739" s="21" t="s">
        <v>1089</v>
      </c>
      <c r="F12739">
        <v>12850020</v>
      </c>
      <c r="G12739" t="s">
        <v>725</v>
      </c>
      <c r="H12739" s="21">
        <v>915.79</v>
      </c>
    </row>
    <row r="12740" spans="1:8" customFormat="1" x14ac:dyDescent="0.25">
      <c r="A12740" t="str">
        <f>"6013548"</f>
        <v>6013548</v>
      </c>
      <c r="B12740" t="s">
        <v>9386</v>
      </c>
      <c r="C12740" t="s">
        <v>544</v>
      </c>
      <c r="D12740" s="21" t="s">
        <v>34</v>
      </c>
      <c r="E12740" s="21" t="s">
        <v>71</v>
      </c>
      <c r="F12740">
        <v>7600146</v>
      </c>
      <c r="G12740" t="s">
        <v>8647</v>
      </c>
      <c r="H12740" s="21">
        <v>915.67</v>
      </c>
    </row>
    <row r="12741" spans="1:8" customFormat="1" x14ac:dyDescent="0.25">
      <c r="A12741" t="str">
        <f>"534088"</f>
        <v>534088</v>
      </c>
      <c r="B12741" t="s">
        <v>12553</v>
      </c>
      <c r="C12741" t="s">
        <v>156</v>
      </c>
      <c r="D12741" s="21" t="s">
        <v>34</v>
      </c>
      <c r="E12741" s="21" t="s">
        <v>254</v>
      </c>
      <c r="F12741">
        <v>12530106</v>
      </c>
      <c r="G12741" t="s">
        <v>27079</v>
      </c>
      <c r="H12741" s="21">
        <v>915.67</v>
      </c>
    </row>
    <row r="12742" spans="1:8" customFormat="1" x14ac:dyDescent="0.25">
      <c r="A12742" t="str">
        <f>"5318969"</f>
        <v>5318969</v>
      </c>
      <c r="B12742" t="s">
        <v>10392</v>
      </c>
      <c r="C12742" t="s">
        <v>576</v>
      </c>
      <c r="D12742" s="21" t="s">
        <v>34</v>
      </c>
      <c r="E12742" s="21" t="s">
        <v>35</v>
      </c>
      <c r="F12742">
        <v>12530062</v>
      </c>
      <c r="G12742" t="s">
        <v>1116</v>
      </c>
      <c r="H12742" s="21">
        <v>915.67</v>
      </c>
    </row>
    <row r="12743" spans="1:8" customFormat="1" x14ac:dyDescent="0.25">
      <c r="A12743" t="str">
        <f>"4514821"</f>
        <v>4514821</v>
      </c>
      <c r="B12743" t="s">
        <v>1113</v>
      </c>
      <c r="C12743" t="s">
        <v>65</v>
      </c>
      <c r="D12743" s="21" t="s">
        <v>34</v>
      </c>
      <c r="E12743" s="21" t="s">
        <v>71</v>
      </c>
      <c r="F12743">
        <v>4450573</v>
      </c>
      <c r="G12743" t="s">
        <v>4106</v>
      </c>
      <c r="H12743" s="21">
        <v>915.67</v>
      </c>
    </row>
    <row r="12744" spans="1:8" customFormat="1" x14ac:dyDescent="0.25">
      <c r="A12744" t="str">
        <f>"185807"</f>
        <v>185807</v>
      </c>
      <c r="B12744" t="s">
        <v>27266</v>
      </c>
      <c r="C12744" t="s">
        <v>267</v>
      </c>
      <c r="D12744" s="21" t="s">
        <v>34</v>
      </c>
      <c r="E12744" s="21" t="s">
        <v>254</v>
      </c>
      <c r="F12744">
        <v>4180157</v>
      </c>
      <c r="G12744" t="s">
        <v>11170</v>
      </c>
      <c r="H12744" s="21">
        <v>915.67</v>
      </c>
    </row>
    <row r="12745" spans="1:8" customFormat="1" x14ac:dyDescent="0.25">
      <c r="A12745" t="str">
        <f>"574325"</f>
        <v>574325</v>
      </c>
      <c r="B12745" t="s">
        <v>11918</v>
      </c>
      <c r="C12745" t="s">
        <v>269</v>
      </c>
      <c r="D12745" s="21" t="s">
        <v>34</v>
      </c>
      <c r="E12745" s="21" t="s">
        <v>254</v>
      </c>
      <c r="F12745">
        <v>6570132</v>
      </c>
      <c r="G12745" t="s">
        <v>26746</v>
      </c>
      <c r="H12745" s="21">
        <v>915.67</v>
      </c>
    </row>
    <row r="12746" spans="1:8" customFormat="1" x14ac:dyDescent="0.25">
      <c r="A12746" t="str">
        <f>"8521822"</f>
        <v>8521822</v>
      </c>
      <c r="B12746" t="s">
        <v>18408</v>
      </c>
      <c r="C12746" t="s">
        <v>581</v>
      </c>
      <c r="D12746" s="21" t="s">
        <v>34</v>
      </c>
      <c r="E12746" s="21" t="s">
        <v>35</v>
      </c>
      <c r="F12746">
        <v>12850172</v>
      </c>
      <c r="G12746" t="s">
        <v>4919</v>
      </c>
      <c r="H12746" s="21">
        <v>915.67</v>
      </c>
    </row>
    <row r="12747" spans="1:8" customFormat="1" x14ac:dyDescent="0.25">
      <c r="A12747" t="str">
        <f>"644406"</f>
        <v>644406</v>
      </c>
      <c r="B12747" t="s">
        <v>8635</v>
      </c>
      <c r="C12747" t="s">
        <v>65</v>
      </c>
      <c r="D12747" s="21" t="s">
        <v>34</v>
      </c>
      <c r="E12747" s="21" t="s">
        <v>35</v>
      </c>
      <c r="F12747">
        <v>10640006</v>
      </c>
      <c r="G12747" t="s">
        <v>3872</v>
      </c>
      <c r="H12747" s="21">
        <v>915.67</v>
      </c>
    </row>
    <row r="12748" spans="1:8" customFormat="1" x14ac:dyDescent="0.25">
      <c r="A12748" t="str">
        <f>"6231700"</f>
        <v>6231700</v>
      </c>
      <c r="B12748" t="s">
        <v>12445</v>
      </c>
      <c r="C12748" t="s">
        <v>43</v>
      </c>
      <c r="D12748" s="21" t="s">
        <v>34</v>
      </c>
      <c r="E12748" s="21" t="s">
        <v>35</v>
      </c>
      <c r="F12748">
        <v>7620184</v>
      </c>
      <c r="G12748" t="s">
        <v>4436</v>
      </c>
      <c r="H12748" s="21">
        <v>915.67</v>
      </c>
    </row>
    <row r="12749" spans="1:8" customFormat="1" x14ac:dyDescent="0.25">
      <c r="A12749" t="str">
        <f>"724962"</f>
        <v>724962</v>
      </c>
      <c r="B12749" t="s">
        <v>11026</v>
      </c>
      <c r="C12749" t="s">
        <v>263</v>
      </c>
      <c r="D12749" s="21" t="s">
        <v>34</v>
      </c>
      <c r="E12749" s="21" t="s">
        <v>71</v>
      </c>
      <c r="F12749">
        <v>12720028</v>
      </c>
      <c r="G12749" t="s">
        <v>4381</v>
      </c>
      <c r="H12749" s="21">
        <v>915.67</v>
      </c>
    </row>
    <row r="12750" spans="1:8" customFormat="1" x14ac:dyDescent="0.25">
      <c r="A12750" t="str">
        <f>"83174"</f>
        <v>83174</v>
      </c>
      <c r="B12750" t="s">
        <v>820</v>
      </c>
      <c r="C12750" t="s">
        <v>484</v>
      </c>
      <c r="D12750" s="21" t="s">
        <v>34</v>
      </c>
      <c r="E12750" s="21" t="s">
        <v>1089</v>
      </c>
      <c r="F12750">
        <v>13830092</v>
      </c>
      <c r="G12750" t="s">
        <v>3632</v>
      </c>
      <c r="H12750" s="21">
        <v>915.67</v>
      </c>
    </row>
    <row r="12751" spans="1:8" customFormat="1" x14ac:dyDescent="0.25">
      <c r="A12751" t="str">
        <f>"4511418"</f>
        <v>4511418</v>
      </c>
      <c r="B12751" t="s">
        <v>12056</v>
      </c>
      <c r="C12751" t="s">
        <v>87</v>
      </c>
      <c r="D12751" s="21" t="s">
        <v>34</v>
      </c>
      <c r="E12751" s="21" t="s">
        <v>35</v>
      </c>
      <c r="F12751">
        <v>4280045</v>
      </c>
      <c r="G12751" t="s">
        <v>787</v>
      </c>
      <c r="H12751" s="21">
        <v>915.54</v>
      </c>
    </row>
    <row r="12752" spans="1:8" customFormat="1" x14ac:dyDescent="0.25">
      <c r="A12752" t="str">
        <f>"137117"</f>
        <v>137117</v>
      </c>
      <c r="B12752" t="s">
        <v>25965</v>
      </c>
      <c r="C12752" t="s">
        <v>269</v>
      </c>
      <c r="D12752" s="21" t="s">
        <v>34</v>
      </c>
      <c r="E12752" s="21" t="s">
        <v>35</v>
      </c>
      <c r="F12752">
        <v>13130137</v>
      </c>
      <c r="G12752" t="s">
        <v>6996</v>
      </c>
      <c r="H12752" s="21">
        <v>915.5</v>
      </c>
    </row>
    <row r="12753" spans="1:8" customFormat="1" x14ac:dyDescent="0.25">
      <c r="A12753" t="str">
        <f>"61680"</f>
        <v>61680</v>
      </c>
      <c r="B12753" t="s">
        <v>12542</v>
      </c>
      <c r="C12753" t="s">
        <v>253</v>
      </c>
      <c r="D12753" s="21" t="s">
        <v>34</v>
      </c>
      <c r="E12753" s="21" t="s">
        <v>254</v>
      </c>
      <c r="F12753">
        <v>9610073</v>
      </c>
      <c r="G12753" t="s">
        <v>8382</v>
      </c>
      <c r="H12753" s="21">
        <v>915.42</v>
      </c>
    </row>
    <row r="12754" spans="1:8" customFormat="1" x14ac:dyDescent="0.25">
      <c r="A12754" t="str">
        <f>"4447823"</f>
        <v>4447823</v>
      </c>
      <c r="B12754" t="s">
        <v>12875</v>
      </c>
      <c r="C12754" t="s">
        <v>55</v>
      </c>
      <c r="D12754" s="21" t="s">
        <v>34</v>
      </c>
      <c r="E12754" s="21" t="s">
        <v>35</v>
      </c>
      <c r="F12754">
        <v>12440017</v>
      </c>
      <c r="G12754" t="s">
        <v>7683</v>
      </c>
      <c r="H12754" s="21">
        <v>915.42</v>
      </c>
    </row>
    <row r="12755" spans="1:8" customFormat="1" x14ac:dyDescent="0.25">
      <c r="A12755" t="str">
        <f>"304977"</f>
        <v>304977</v>
      </c>
      <c r="B12755" t="s">
        <v>1643</v>
      </c>
      <c r="C12755" t="s">
        <v>269</v>
      </c>
      <c r="D12755" s="21" t="s">
        <v>34</v>
      </c>
      <c r="E12755" s="21" t="s">
        <v>35</v>
      </c>
      <c r="F12755">
        <v>11300040</v>
      </c>
      <c r="G12755" t="s">
        <v>13373</v>
      </c>
      <c r="H12755" s="21">
        <v>915.42</v>
      </c>
    </row>
    <row r="12756" spans="1:8" customFormat="1" x14ac:dyDescent="0.25">
      <c r="A12756" t="str">
        <f>"3821064"</f>
        <v>3821064</v>
      </c>
      <c r="B12756" t="s">
        <v>6958</v>
      </c>
      <c r="C12756" t="s">
        <v>2365</v>
      </c>
      <c r="D12756" s="21" t="s">
        <v>34</v>
      </c>
      <c r="E12756" s="21" t="s">
        <v>71</v>
      </c>
      <c r="F12756">
        <v>1380057</v>
      </c>
      <c r="G12756" t="s">
        <v>26700</v>
      </c>
      <c r="H12756" s="21">
        <v>915.17</v>
      </c>
    </row>
    <row r="12757" spans="1:8" customFormat="1" x14ac:dyDescent="0.25">
      <c r="A12757" t="str">
        <f>"4937967"</f>
        <v>4937967</v>
      </c>
      <c r="B12757" t="s">
        <v>5811</v>
      </c>
      <c r="C12757" t="s">
        <v>60</v>
      </c>
      <c r="D12757" s="21" t="s">
        <v>34</v>
      </c>
      <c r="E12757" s="21" t="s">
        <v>35</v>
      </c>
      <c r="F12757">
        <v>12490063</v>
      </c>
      <c r="G12757" t="s">
        <v>329</v>
      </c>
      <c r="H12757" s="21">
        <v>915.17</v>
      </c>
    </row>
    <row r="12758" spans="1:8" customFormat="1" x14ac:dyDescent="0.25">
      <c r="A12758" t="str">
        <f>"6230489"</f>
        <v>6230489</v>
      </c>
      <c r="B12758" t="s">
        <v>650</v>
      </c>
      <c r="C12758" t="s">
        <v>43</v>
      </c>
      <c r="D12758" s="21" t="s">
        <v>34</v>
      </c>
      <c r="E12758" s="21" t="s">
        <v>35</v>
      </c>
      <c r="F12758">
        <v>7620178</v>
      </c>
      <c r="G12758" t="s">
        <v>11090</v>
      </c>
      <c r="H12758" s="21">
        <v>915.17</v>
      </c>
    </row>
    <row r="12759" spans="1:8" customFormat="1" x14ac:dyDescent="0.25">
      <c r="A12759" t="str">
        <f>"44520"</f>
        <v>44520</v>
      </c>
      <c r="B12759" t="s">
        <v>10970</v>
      </c>
      <c r="C12759" t="s">
        <v>109</v>
      </c>
      <c r="D12759" s="21" t="s">
        <v>34</v>
      </c>
      <c r="E12759" s="21" t="s">
        <v>35</v>
      </c>
      <c r="F12759">
        <v>12440017</v>
      </c>
      <c r="G12759" t="s">
        <v>7683</v>
      </c>
      <c r="H12759" s="21">
        <v>915.17</v>
      </c>
    </row>
    <row r="12760" spans="1:8" customFormat="1" x14ac:dyDescent="0.25">
      <c r="A12760" t="str">
        <f>"751250"</f>
        <v>751250</v>
      </c>
      <c r="B12760" t="s">
        <v>10924</v>
      </c>
      <c r="C12760" t="s">
        <v>750</v>
      </c>
      <c r="D12760" s="21" t="s">
        <v>34</v>
      </c>
      <c r="E12760" s="21" t="s">
        <v>71</v>
      </c>
      <c r="F12760">
        <v>8940975</v>
      </c>
      <c r="G12760" t="s">
        <v>7959</v>
      </c>
      <c r="H12760" s="21">
        <v>915.17</v>
      </c>
    </row>
    <row r="12761" spans="1:8" customFormat="1" x14ac:dyDescent="0.25">
      <c r="A12761" t="str">
        <f>"5410881"</f>
        <v>5410881</v>
      </c>
      <c r="B12761" t="s">
        <v>4335</v>
      </c>
      <c r="C12761" t="s">
        <v>11941</v>
      </c>
      <c r="D12761" s="21" t="s">
        <v>34</v>
      </c>
      <c r="E12761" s="21" t="s">
        <v>35</v>
      </c>
      <c r="F12761">
        <v>6540190</v>
      </c>
      <c r="G12761" t="s">
        <v>9727</v>
      </c>
      <c r="H12761" s="21">
        <v>915.17</v>
      </c>
    </row>
    <row r="12762" spans="1:8" customFormat="1" x14ac:dyDescent="0.25">
      <c r="A12762" t="str">
        <f>"768934"</f>
        <v>768934</v>
      </c>
      <c r="B12762" t="s">
        <v>11322</v>
      </c>
      <c r="C12762" t="s">
        <v>65</v>
      </c>
      <c r="D12762" s="21" t="s">
        <v>34</v>
      </c>
      <c r="E12762" s="21" t="s">
        <v>35</v>
      </c>
      <c r="F12762">
        <v>9140227</v>
      </c>
      <c r="G12762" t="s">
        <v>5130</v>
      </c>
      <c r="H12762" s="21">
        <v>915.17</v>
      </c>
    </row>
    <row r="12763" spans="1:8" customFormat="1" x14ac:dyDescent="0.25">
      <c r="A12763" t="str">
        <f>"9127651"</f>
        <v>9127651</v>
      </c>
      <c r="B12763" t="s">
        <v>2342</v>
      </c>
      <c r="C12763" t="s">
        <v>169</v>
      </c>
      <c r="D12763" s="21" t="s">
        <v>34</v>
      </c>
      <c r="E12763" s="21" t="s">
        <v>35</v>
      </c>
      <c r="F12763">
        <v>11320039</v>
      </c>
      <c r="G12763" t="s">
        <v>14674</v>
      </c>
      <c r="H12763" s="21">
        <v>915.04</v>
      </c>
    </row>
    <row r="12764" spans="1:8" customFormat="1" x14ac:dyDescent="0.25">
      <c r="A12764" t="str">
        <f>"594025"</f>
        <v>594025</v>
      </c>
      <c r="B12764" t="s">
        <v>11210</v>
      </c>
      <c r="C12764" t="s">
        <v>65</v>
      </c>
      <c r="D12764" s="21" t="s">
        <v>34</v>
      </c>
      <c r="E12764" s="21" t="s">
        <v>254</v>
      </c>
      <c r="F12764">
        <v>7590050</v>
      </c>
      <c r="G12764" t="s">
        <v>473</v>
      </c>
      <c r="H12764" s="21">
        <v>915</v>
      </c>
    </row>
    <row r="12765" spans="1:8" customFormat="1" x14ac:dyDescent="0.25">
      <c r="A12765" t="str">
        <f>"3328114"</f>
        <v>3328114</v>
      </c>
      <c r="B12765" t="s">
        <v>13194</v>
      </c>
      <c r="C12765" t="s">
        <v>209</v>
      </c>
      <c r="D12765" s="21" t="s">
        <v>34</v>
      </c>
      <c r="E12765" s="21" t="s">
        <v>71</v>
      </c>
      <c r="F12765">
        <v>10330009</v>
      </c>
      <c r="G12765" t="s">
        <v>2064</v>
      </c>
      <c r="H12765" s="21">
        <v>914.92</v>
      </c>
    </row>
    <row r="12766" spans="1:8" customFormat="1" x14ac:dyDescent="0.25">
      <c r="A12766" t="str">
        <f>"6018550"</f>
        <v>6018550</v>
      </c>
      <c r="B12766" t="s">
        <v>13325</v>
      </c>
      <c r="C12766" t="s">
        <v>2520</v>
      </c>
      <c r="D12766" s="21" t="s">
        <v>34</v>
      </c>
      <c r="E12766" s="21" t="s">
        <v>71</v>
      </c>
      <c r="F12766">
        <v>7600031</v>
      </c>
      <c r="G12766" t="s">
        <v>3283</v>
      </c>
      <c r="H12766" s="21">
        <v>914.79</v>
      </c>
    </row>
    <row r="12767" spans="1:8" customFormat="1" x14ac:dyDescent="0.25">
      <c r="A12767" t="str">
        <f>"3111118"</f>
        <v>3111118</v>
      </c>
      <c r="B12767" t="s">
        <v>12846</v>
      </c>
      <c r="C12767" t="s">
        <v>204</v>
      </c>
      <c r="D12767" s="21" t="s">
        <v>34</v>
      </c>
      <c r="E12767" s="21" t="s">
        <v>35</v>
      </c>
      <c r="F12767">
        <v>11310115</v>
      </c>
      <c r="G12767" t="s">
        <v>10519</v>
      </c>
      <c r="H12767" s="21">
        <v>914.68</v>
      </c>
    </row>
    <row r="12768" spans="1:8" customFormat="1" x14ac:dyDescent="0.25">
      <c r="A12768" t="str">
        <f>"6315522"</f>
        <v>6315522</v>
      </c>
      <c r="B12768" t="s">
        <v>1295</v>
      </c>
      <c r="C12768" t="s">
        <v>462</v>
      </c>
      <c r="D12768" s="21" t="s">
        <v>34</v>
      </c>
      <c r="E12768" s="21" t="s">
        <v>35</v>
      </c>
      <c r="F12768">
        <v>1630327</v>
      </c>
      <c r="G12768" t="s">
        <v>13353</v>
      </c>
      <c r="H12768" s="21">
        <v>914.67</v>
      </c>
    </row>
    <row r="12769" spans="1:8" customFormat="1" x14ac:dyDescent="0.25">
      <c r="A12769" t="str">
        <f>"7869097"</f>
        <v>7869097</v>
      </c>
      <c r="B12769" t="s">
        <v>14377</v>
      </c>
      <c r="C12769" t="s">
        <v>82</v>
      </c>
      <c r="D12769" s="21" t="s">
        <v>34</v>
      </c>
      <c r="E12769" s="21" t="s">
        <v>35</v>
      </c>
      <c r="F12769">
        <v>2890010</v>
      </c>
      <c r="G12769" t="s">
        <v>3790</v>
      </c>
      <c r="H12769" s="21">
        <v>914.67</v>
      </c>
    </row>
    <row r="12770" spans="1:8" customFormat="1" x14ac:dyDescent="0.25">
      <c r="A12770" t="str">
        <f>"5010816"</f>
        <v>5010816</v>
      </c>
      <c r="B12770" t="s">
        <v>11870</v>
      </c>
      <c r="C12770" t="s">
        <v>40</v>
      </c>
      <c r="D12770" s="21" t="s">
        <v>34</v>
      </c>
      <c r="E12770" s="21" t="s">
        <v>6185</v>
      </c>
      <c r="F12770">
        <v>9500117</v>
      </c>
      <c r="G12770" t="s">
        <v>247</v>
      </c>
      <c r="H12770" s="21">
        <v>914.67</v>
      </c>
    </row>
    <row r="12771" spans="1:8" customFormat="1" x14ac:dyDescent="0.25">
      <c r="A12771" t="str">
        <f>"6226884"</f>
        <v>6226884</v>
      </c>
      <c r="B12771" t="s">
        <v>739</v>
      </c>
      <c r="C12771" t="s">
        <v>109</v>
      </c>
      <c r="D12771" s="21" t="s">
        <v>34</v>
      </c>
      <c r="E12771" s="21" t="s">
        <v>71</v>
      </c>
      <c r="F12771">
        <v>7620178</v>
      </c>
      <c r="G12771" t="s">
        <v>11090</v>
      </c>
      <c r="H12771" s="21">
        <v>914.67</v>
      </c>
    </row>
    <row r="12772" spans="1:8" customFormat="1" x14ac:dyDescent="0.25">
      <c r="A12772" t="str">
        <f>"785484"</f>
        <v>785484</v>
      </c>
      <c r="B12772" t="s">
        <v>11440</v>
      </c>
      <c r="C12772" t="s">
        <v>11441</v>
      </c>
      <c r="D12772" s="21" t="s">
        <v>34</v>
      </c>
      <c r="E12772" s="21" t="s">
        <v>35</v>
      </c>
      <c r="F12772">
        <v>8781471</v>
      </c>
      <c r="G12772" t="s">
        <v>9616</v>
      </c>
      <c r="H12772" s="21">
        <v>914.67</v>
      </c>
    </row>
    <row r="12773" spans="1:8" customFormat="1" x14ac:dyDescent="0.25">
      <c r="A12773" t="str">
        <f>"7211926"</f>
        <v>7211926</v>
      </c>
      <c r="B12773" t="s">
        <v>11626</v>
      </c>
      <c r="C12773" t="s">
        <v>547</v>
      </c>
      <c r="D12773" s="21" t="s">
        <v>34</v>
      </c>
      <c r="E12773" s="21" t="s">
        <v>254</v>
      </c>
      <c r="F12773">
        <v>12720147</v>
      </c>
      <c r="G12773" t="s">
        <v>27267</v>
      </c>
      <c r="H12773" s="21">
        <v>914.67</v>
      </c>
    </row>
    <row r="12774" spans="1:8" customFormat="1" x14ac:dyDescent="0.25">
      <c r="A12774" t="str">
        <f>"6928509"</f>
        <v>6928509</v>
      </c>
      <c r="B12774" t="s">
        <v>12774</v>
      </c>
      <c r="C12774" t="s">
        <v>1605</v>
      </c>
      <c r="D12774" s="21" t="s">
        <v>34</v>
      </c>
      <c r="E12774" s="21" t="s">
        <v>71</v>
      </c>
      <c r="F12774">
        <v>1690169</v>
      </c>
      <c r="G12774" t="s">
        <v>10963</v>
      </c>
      <c r="H12774" s="21">
        <v>914.67</v>
      </c>
    </row>
    <row r="12775" spans="1:8" customFormat="1" x14ac:dyDescent="0.25">
      <c r="A12775" t="str">
        <f>"729781"</f>
        <v>729781</v>
      </c>
      <c r="B12775" t="s">
        <v>8803</v>
      </c>
      <c r="C12775" t="s">
        <v>269</v>
      </c>
      <c r="D12775" s="21" t="s">
        <v>34</v>
      </c>
      <c r="E12775" s="21" t="s">
        <v>71</v>
      </c>
      <c r="F12775">
        <v>12720020</v>
      </c>
      <c r="G12775" t="s">
        <v>8402</v>
      </c>
      <c r="H12775" s="21">
        <v>914.67</v>
      </c>
    </row>
    <row r="12776" spans="1:8" customFormat="1" x14ac:dyDescent="0.25">
      <c r="A12776" t="str">
        <f>"37990"</f>
        <v>37990</v>
      </c>
      <c r="B12776" t="s">
        <v>9203</v>
      </c>
      <c r="C12776" t="s">
        <v>1605</v>
      </c>
      <c r="D12776" s="21" t="s">
        <v>34</v>
      </c>
      <c r="E12776" s="21" t="s">
        <v>1089</v>
      </c>
      <c r="F12776">
        <v>4370681</v>
      </c>
      <c r="G12776" t="s">
        <v>4508</v>
      </c>
      <c r="H12776" s="21">
        <v>914.67</v>
      </c>
    </row>
    <row r="12777" spans="1:8" customFormat="1" x14ac:dyDescent="0.25">
      <c r="A12777" t="str">
        <f>"743798"</f>
        <v>743798</v>
      </c>
      <c r="B12777" t="s">
        <v>11106</v>
      </c>
      <c r="C12777" t="s">
        <v>269</v>
      </c>
      <c r="D12777" s="21" t="s">
        <v>34</v>
      </c>
      <c r="E12777" s="21" t="s">
        <v>71</v>
      </c>
      <c r="F12777">
        <v>1740047</v>
      </c>
      <c r="G12777" t="s">
        <v>4512</v>
      </c>
      <c r="H12777" s="21">
        <v>914.67</v>
      </c>
    </row>
    <row r="12778" spans="1:8" customFormat="1" x14ac:dyDescent="0.25">
      <c r="A12778" t="str">
        <f>"09185"</f>
        <v>09185</v>
      </c>
      <c r="B12778" t="s">
        <v>11097</v>
      </c>
      <c r="C12778" t="s">
        <v>55</v>
      </c>
      <c r="D12778" s="21" t="s">
        <v>34</v>
      </c>
      <c r="E12778" s="21" t="s">
        <v>35</v>
      </c>
      <c r="F12778">
        <v>11090001</v>
      </c>
      <c r="G12778" t="s">
        <v>4829</v>
      </c>
      <c r="H12778" s="21">
        <v>914.67</v>
      </c>
    </row>
    <row r="12779" spans="1:8" customFormat="1" x14ac:dyDescent="0.25">
      <c r="A12779" t="str">
        <f>"62909"</f>
        <v>62909</v>
      </c>
      <c r="B12779" t="s">
        <v>3759</v>
      </c>
      <c r="C12779" t="s">
        <v>2520</v>
      </c>
      <c r="D12779" s="21" t="s">
        <v>34</v>
      </c>
      <c r="E12779" s="21" t="s">
        <v>71</v>
      </c>
      <c r="F12779">
        <v>7620091</v>
      </c>
      <c r="G12779" t="s">
        <v>11533</v>
      </c>
      <c r="H12779" s="21">
        <v>914.67</v>
      </c>
    </row>
    <row r="12780" spans="1:8" customFormat="1" x14ac:dyDescent="0.25">
      <c r="A12780" t="str">
        <f>"8012009"</f>
        <v>8012009</v>
      </c>
      <c r="B12780" t="s">
        <v>12461</v>
      </c>
      <c r="C12780" t="s">
        <v>2479</v>
      </c>
      <c r="D12780" s="21" t="s">
        <v>34</v>
      </c>
      <c r="E12780" s="21" t="s">
        <v>71</v>
      </c>
      <c r="F12780">
        <v>7800071</v>
      </c>
      <c r="G12780" t="s">
        <v>9109</v>
      </c>
      <c r="H12780" s="21">
        <v>914.67</v>
      </c>
    </row>
    <row r="12781" spans="1:8" customFormat="1" x14ac:dyDescent="0.25">
      <c r="A12781" t="str">
        <f>"519119"</f>
        <v>519119</v>
      </c>
      <c r="B12781" t="s">
        <v>11854</v>
      </c>
      <c r="C12781" t="s">
        <v>263</v>
      </c>
      <c r="D12781" s="21" t="s">
        <v>34</v>
      </c>
      <c r="E12781" s="21" t="s">
        <v>254</v>
      </c>
      <c r="F12781">
        <v>6510009</v>
      </c>
      <c r="G12781" t="s">
        <v>26950</v>
      </c>
      <c r="H12781" s="21">
        <v>914.67</v>
      </c>
    </row>
    <row r="12782" spans="1:8" customFormat="1" x14ac:dyDescent="0.25">
      <c r="A12782" t="str">
        <f>"167454"</f>
        <v>167454</v>
      </c>
      <c r="B12782" t="s">
        <v>1724</v>
      </c>
      <c r="C12782" t="s">
        <v>1132</v>
      </c>
      <c r="D12782" s="21" t="s">
        <v>34</v>
      </c>
      <c r="E12782" s="21" t="s">
        <v>71</v>
      </c>
      <c r="F12782">
        <v>10160051</v>
      </c>
      <c r="G12782" t="s">
        <v>7167</v>
      </c>
      <c r="H12782" s="21">
        <v>914.67</v>
      </c>
    </row>
    <row r="12783" spans="1:8" customFormat="1" x14ac:dyDescent="0.25">
      <c r="A12783" t="str">
        <f>"608123"</f>
        <v>608123</v>
      </c>
      <c r="B12783" t="s">
        <v>11142</v>
      </c>
      <c r="C12783" t="s">
        <v>3010</v>
      </c>
      <c r="D12783" s="21" t="s">
        <v>34</v>
      </c>
      <c r="E12783" s="21" t="s">
        <v>71</v>
      </c>
      <c r="F12783">
        <v>7600146</v>
      </c>
      <c r="G12783" t="s">
        <v>8647</v>
      </c>
      <c r="H12783" s="21">
        <v>914.67</v>
      </c>
    </row>
    <row r="12784" spans="1:8" customFormat="1" x14ac:dyDescent="0.25">
      <c r="A12784" t="str">
        <f>"794708"</f>
        <v>794708</v>
      </c>
      <c r="B12784" t="s">
        <v>12886</v>
      </c>
      <c r="C12784" t="s">
        <v>285</v>
      </c>
      <c r="D12784" s="21" t="s">
        <v>34</v>
      </c>
      <c r="E12784" s="21" t="s">
        <v>35</v>
      </c>
      <c r="F12784">
        <v>11340007</v>
      </c>
      <c r="G12784" t="s">
        <v>2278</v>
      </c>
      <c r="H12784" s="21">
        <v>914.67</v>
      </c>
    </row>
    <row r="12785" spans="1:8" customFormat="1" x14ac:dyDescent="0.25">
      <c r="A12785" t="str">
        <f>"772061"</f>
        <v>772061</v>
      </c>
      <c r="B12785" t="s">
        <v>10372</v>
      </c>
      <c r="C12785" t="s">
        <v>233</v>
      </c>
      <c r="D12785" s="21" t="s">
        <v>34</v>
      </c>
      <c r="E12785" s="21" t="s">
        <v>71</v>
      </c>
      <c r="F12785">
        <v>8770169</v>
      </c>
      <c r="G12785" t="s">
        <v>1001</v>
      </c>
      <c r="H12785" s="21">
        <v>914.67</v>
      </c>
    </row>
    <row r="12786" spans="1:8" customFormat="1" x14ac:dyDescent="0.25">
      <c r="A12786" t="str">
        <f>"174969"</f>
        <v>174969</v>
      </c>
      <c r="B12786" t="s">
        <v>11472</v>
      </c>
      <c r="C12786" t="s">
        <v>2529</v>
      </c>
      <c r="D12786" s="21" t="s">
        <v>34</v>
      </c>
      <c r="E12786" s="21" t="s">
        <v>254</v>
      </c>
      <c r="F12786">
        <v>10170050</v>
      </c>
      <c r="G12786" t="s">
        <v>2514</v>
      </c>
      <c r="H12786" s="21">
        <v>914.42</v>
      </c>
    </row>
    <row r="12787" spans="1:8" customFormat="1" x14ac:dyDescent="0.25">
      <c r="A12787" t="str">
        <f>"9313850"</f>
        <v>9313850</v>
      </c>
      <c r="B12787" t="s">
        <v>4865</v>
      </c>
      <c r="C12787" t="s">
        <v>124</v>
      </c>
      <c r="D12787" s="21" t="s">
        <v>34</v>
      </c>
      <c r="E12787" s="21" t="s">
        <v>35</v>
      </c>
      <c r="F12787">
        <v>8770955</v>
      </c>
      <c r="G12787" t="s">
        <v>9946</v>
      </c>
      <c r="H12787" s="21">
        <v>914.42</v>
      </c>
    </row>
    <row r="12788" spans="1:8" customFormat="1" x14ac:dyDescent="0.25">
      <c r="A12788" t="str">
        <f>"9D882"</f>
        <v>9D882</v>
      </c>
      <c r="B12788" t="s">
        <v>7512</v>
      </c>
      <c r="C12788" t="s">
        <v>1812</v>
      </c>
      <c r="D12788" s="21" t="s">
        <v>34</v>
      </c>
      <c r="E12788" s="21" t="s">
        <v>71</v>
      </c>
      <c r="F12788" t="s">
        <v>13222</v>
      </c>
      <c r="G12788" t="s">
        <v>13223</v>
      </c>
      <c r="H12788" s="21">
        <v>914.42</v>
      </c>
    </row>
    <row r="12789" spans="1:8" customFormat="1" x14ac:dyDescent="0.25">
      <c r="A12789" t="str">
        <f>"365926"</f>
        <v>365926</v>
      </c>
      <c r="B12789" t="s">
        <v>11103</v>
      </c>
      <c r="C12789" t="s">
        <v>249</v>
      </c>
      <c r="D12789" s="21" t="s">
        <v>34</v>
      </c>
      <c r="E12789" s="21" t="s">
        <v>71</v>
      </c>
      <c r="F12789">
        <v>4360707</v>
      </c>
      <c r="G12789" t="s">
        <v>6621</v>
      </c>
      <c r="H12789" s="21">
        <v>914.42</v>
      </c>
    </row>
    <row r="12790" spans="1:8" customFormat="1" x14ac:dyDescent="0.25">
      <c r="A12790" t="str">
        <f>"2812053"</f>
        <v>2812053</v>
      </c>
      <c r="B12790" t="s">
        <v>12392</v>
      </c>
      <c r="C12790" t="s">
        <v>130</v>
      </c>
      <c r="D12790" s="21" t="s">
        <v>34</v>
      </c>
      <c r="E12790" s="21" t="s">
        <v>35</v>
      </c>
      <c r="F12790">
        <v>4280718</v>
      </c>
      <c r="G12790" t="s">
        <v>12393</v>
      </c>
      <c r="H12790" s="21">
        <v>914.29</v>
      </c>
    </row>
    <row r="12791" spans="1:8" customFormat="1" x14ac:dyDescent="0.25">
      <c r="A12791" t="str">
        <f>"7517107"</f>
        <v>7517107</v>
      </c>
      <c r="B12791" t="s">
        <v>11944</v>
      </c>
      <c r="C12791" t="s">
        <v>65</v>
      </c>
      <c r="D12791" s="21" t="s">
        <v>34</v>
      </c>
      <c r="E12791" s="21" t="s">
        <v>35</v>
      </c>
      <c r="F12791">
        <v>8751249</v>
      </c>
      <c r="G12791" t="s">
        <v>2803</v>
      </c>
      <c r="H12791" s="21">
        <v>914.17</v>
      </c>
    </row>
    <row r="12792" spans="1:8" customFormat="1" x14ac:dyDescent="0.25">
      <c r="A12792" t="str">
        <f>"5732716"</f>
        <v>5732716</v>
      </c>
      <c r="B12792" t="s">
        <v>12144</v>
      </c>
      <c r="C12792" t="s">
        <v>33</v>
      </c>
      <c r="D12792" s="21" t="s">
        <v>34</v>
      </c>
      <c r="E12792" s="21" t="s">
        <v>35</v>
      </c>
      <c r="F12792">
        <v>6570188</v>
      </c>
      <c r="G12792" t="s">
        <v>12145</v>
      </c>
      <c r="H12792" s="21">
        <v>914.17</v>
      </c>
    </row>
    <row r="12793" spans="1:8" customFormat="1" x14ac:dyDescent="0.25">
      <c r="A12793" t="str">
        <f>"8514304"</f>
        <v>8514304</v>
      </c>
      <c r="B12793" t="s">
        <v>3367</v>
      </c>
      <c r="C12793" t="s">
        <v>2168</v>
      </c>
      <c r="D12793" s="21" t="s">
        <v>34</v>
      </c>
      <c r="E12793" s="21" t="s">
        <v>35</v>
      </c>
      <c r="F12793">
        <v>12850171</v>
      </c>
      <c r="G12793" t="s">
        <v>2687</v>
      </c>
      <c r="H12793" s="21">
        <v>914.17</v>
      </c>
    </row>
    <row r="12794" spans="1:8" customFormat="1" x14ac:dyDescent="0.25">
      <c r="A12794" t="str">
        <f>"6938457"</f>
        <v>6938457</v>
      </c>
      <c r="B12794" t="s">
        <v>14147</v>
      </c>
      <c r="C12794" t="s">
        <v>462</v>
      </c>
      <c r="D12794" s="21" t="s">
        <v>34</v>
      </c>
      <c r="E12794" s="21" t="s">
        <v>254</v>
      </c>
      <c r="F12794">
        <v>1690002</v>
      </c>
      <c r="G12794" t="s">
        <v>5604</v>
      </c>
      <c r="H12794" s="21">
        <v>914.17</v>
      </c>
    </row>
    <row r="12795" spans="1:8" customFormat="1" x14ac:dyDescent="0.25">
      <c r="A12795" t="str">
        <f>"179837"</f>
        <v>179837</v>
      </c>
      <c r="B12795" t="s">
        <v>11055</v>
      </c>
      <c r="C12795" t="s">
        <v>547</v>
      </c>
      <c r="D12795" s="21" t="s">
        <v>34</v>
      </c>
      <c r="E12795" s="21" t="s">
        <v>1089</v>
      </c>
      <c r="F12795">
        <v>10170064</v>
      </c>
      <c r="G12795" t="s">
        <v>1900</v>
      </c>
      <c r="H12795" s="21">
        <v>914.17</v>
      </c>
    </row>
    <row r="12796" spans="1:8" customFormat="1" x14ac:dyDescent="0.25">
      <c r="A12796" t="str">
        <f>"431481"</f>
        <v>431481</v>
      </c>
      <c r="B12796" t="s">
        <v>10293</v>
      </c>
      <c r="C12796" t="s">
        <v>598</v>
      </c>
      <c r="D12796" s="21" t="s">
        <v>34</v>
      </c>
      <c r="E12796" s="21" t="s">
        <v>71</v>
      </c>
      <c r="F12796">
        <v>1420307</v>
      </c>
      <c r="G12796" t="s">
        <v>26676</v>
      </c>
      <c r="H12796" s="21">
        <v>914.17</v>
      </c>
    </row>
    <row r="12797" spans="1:8" customFormat="1" x14ac:dyDescent="0.25">
      <c r="A12797" t="str">
        <f>"31824"</f>
        <v>31824</v>
      </c>
      <c r="B12797" t="s">
        <v>11904</v>
      </c>
      <c r="C12797" t="s">
        <v>209</v>
      </c>
      <c r="D12797" s="21" t="s">
        <v>34</v>
      </c>
      <c r="E12797" s="21" t="s">
        <v>71</v>
      </c>
      <c r="F12797">
        <v>11310047</v>
      </c>
      <c r="G12797" t="s">
        <v>2188</v>
      </c>
      <c r="H12797" s="21">
        <v>914.17</v>
      </c>
    </row>
    <row r="12798" spans="1:8" customFormat="1" x14ac:dyDescent="0.25">
      <c r="A12798" t="str">
        <f>"916674"</f>
        <v>916674</v>
      </c>
      <c r="B12798" t="s">
        <v>6678</v>
      </c>
      <c r="C12798" t="s">
        <v>1812</v>
      </c>
      <c r="D12798" s="21" t="s">
        <v>34</v>
      </c>
      <c r="E12798" s="21" t="s">
        <v>71</v>
      </c>
      <c r="F12798">
        <v>8911334</v>
      </c>
      <c r="G12798" t="s">
        <v>4170</v>
      </c>
      <c r="H12798" s="21">
        <v>914.17</v>
      </c>
    </row>
    <row r="12799" spans="1:8" customFormat="1" x14ac:dyDescent="0.25">
      <c r="A12799" t="str">
        <f>"2811561"</f>
        <v>2811561</v>
      </c>
      <c r="B12799" t="s">
        <v>11880</v>
      </c>
      <c r="C12799" t="s">
        <v>2132</v>
      </c>
      <c r="D12799" s="21" t="s">
        <v>34</v>
      </c>
      <c r="E12799" s="21" t="s">
        <v>35</v>
      </c>
      <c r="F12799">
        <v>4280322</v>
      </c>
      <c r="G12799" t="s">
        <v>265</v>
      </c>
      <c r="H12799" s="21">
        <v>914.17</v>
      </c>
    </row>
    <row r="12800" spans="1:8" customFormat="1" x14ac:dyDescent="0.25">
      <c r="A12800" t="str">
        <f>"55175"</f>
        <v>55175</v>
      </c>
      <c r="B12800" t="s">
        <v>11196</v>
      </c>
      <c r="C12800" t="s">
        <v>239</v>
      </c>
      <c r="D12800" s="21" t="s">
        <v>34</v>
      </c>
      <c r="E12800" s="21" t="s">
        <v>254</v>
      </c>
      <c r="F12800">
        <v>6550001</v>
      </c>
      <c r="G12800" t="s">
        <v>8790</v>
      </c>
      <c r="H12800" s="21">
        <v>914.17</v>
      </c>
    </row>
    <row r="12801" spans="1:8" customFormat="1" x14ac:dyDescent="0.25">
      <c r="A12801" t="str">
        <f>"8516533"</f>
        <v>8516533</v>
      </c>
      <c r="B12801" t="s">
        <v>1833</v>
      </c>
      <c r="C12801" t="s">
        <v>139</v>
      </c>
      <c r="D12801" s="21" t="s">
        <v>34</v>
      </c>
      <c r="E12801" s="21" t="s">
        <v>35</v>
      </c>
      <c r="F12801">
        <v>12850170</v>
      </c>
      <c r="G12801" t="s">
        <v>3349</v>
      </c>
      <c r="H12801" s="21">
        <v>914.17</v>
      </c>
    </row>
    <row r="12802" spans="1:8" customFormat="1" x14ac:dyDescent="0.25">
      <c r="A12802" t="str">
        <f>"9519211"</f>
        <v>9519211</v>
      </c>
      <c r="B12802" t="s">
        <v>12059</v>
      </c>
      <c r="C12802" t="s">
        <v>33</v>
      </c>
      <c r="D12802" s="21" t="s">
        <v>34</v>
      </c>
      <c r="E12802" s="21" t="s">
        <v>35</v>
      </c>
      <c r="F12802">
        <v>12530112</v>
      </c>
      <c r="G12802" t="s">
        <v>4617</v>
      </c>
      <c r="H12802" s="21">
        <v>914.17</v>
      </c>
    </row>
    <row r="12803" spans="1:8" customFormat="1" x14ac:dyDescent="0.25">
      <c r="A12803" t="str">
        <f>"183668"</f>
        <v>183668</v>
      </c>
      <c r="B12803" t="s">
        <v>11438</v>
      </c>
      <c r="C12803" t="s">
        <v>812</v>
      </c>
      <c r="D12803" s="21" t="s">
        <v>34</v>
      </c>
      <c r="E12803" s="21" t="s">
        <v>35</v>
      </c>
      <c r="F12803">
        <v>4180313</v>
      </c>
      <c r="G12803" t="s">
        <v>10486</v>
      </c>
      <c r="H12803" s="21">
        <v>914.17</v>
      </c>
    </row>
    <row r="12804" spans="1:8" customFormat="1" x14ac:dyDescent="0.25">
      <c r="A12804" t="str">
        <f>"3311613"</f>
        <v>3311613</v>
      </c>
      <c r="B12804" t="s">
        <v>12046</v>
      </c>
      <c r="C12804" t="s">
        <v>2546</v>
      </c>
      <c r="D12804" s="21" t="s">
        <v>34</v>
      </c>
      <c r="E12804" s="21" t="s">
        <v>71</v>
      </c>
      <c r="F12804">
        <v>10330002</v>
      </c>
      <c r="G12804" t="s">
        <v>53</v>
      </c>
      <c r="H12804" s="21">
        <v>914.17</v>
      </c>
    </row>
    <row r="12805" spans="1:8" customFormat="1" x14ac:dyDescent="0.25">
      <c r="A12805" t="str">
        <f>"2910138"</f>
        <v>2910138</v>
      </c>
      <c r="B12805" t="s">
        <v>12419</v>
      </c>
      <c r="C12805" t="s">
        <v>2479</v>
      </c>
      <c r="D12805" s="21" t="s">
        <v>34</v>
      </c>
      <c r="E12805" s="21" t="s">
        <v>71</v>
      </c>
      <c r="F12805">
        <v>3290222</v>
      </c>
      <c r="G12805" t="s">
        <v>2259</v>
      </c>
      <c r="H12805" s="21">
        <v>914.17</v>
      </c>
    </row>
    <row r="12806" spans="1:8" customFormat="1" x14ac:dyDescent="0.25">
      <c r="A12806" t="str">
        <f>"493310"</f>
        <v>493310</v>
      </c>
      <c r="B12806" t="s">
        <v>3984</v>
      </c>
      <c r="C12806" t="s">
        <v>1588</v>
      </c>
      <c r="D12806" s="21" t="s">
        <v>34</v>
      </c>
      <c r="E12806" s="21" t="s">
        <v>71</v>
      </c>
      <c r="F12806">
        <v>12490066</v>
      </c>
      <c r="G12806" t="s">
        <v>1051</v>
      </c>
      <c r="H12806" s="21">
        <v>914.17</v>
      </c>
    </row>
    <row r="12807" spans="1:8" customFormat="1" x14ac:dyDescent="0.25">
      <c r="A12807" t="str">
        <f>"776977"</f>
        <v>776977</v>
      </c>
      <c r="B12807" t="s">
        <v>11777</v>
      </c>
      <c r="C12807" t="s">
        <v>2529</v>
      </c>
      <c r="D12807" s="21" t="s">
        <v>34</v>
      </c>
      <c r="E12807" s="21" t="s">
        <v>71</v>
      </c>
      <c r="F12807">
        <v>8770426</v>
      </c>
      <c r="G12807" t="s">
        <v>1847</v>
      </c>
      <c r="H12807" s="21">
        <v>914</v>
      </c>
    </row>
    <row r="12808" spans="1:8" customFormat="1" x14ac:dyDescent="0.25">
      <c r="A12808" t="str">
        <f>"665122"</f>
        <v>665122</v>
      </c>
      <c r="B12808" t="s">
        <v>4335</v>
      </c>
      <c r="C12808" t="s">
        <v>263</v>
      </c>
      <c r="D12808" s="21" t="s">
        <v>34</v>
      </c>
      <c r="E12808" s="21" t="s">
        <v>254</v>
      </c>
      <c r="F12808">
        <v>11660007</v>
      </c>
      <c r="G12808" t="s">
        <v>5840</v>
      </c>
      <c r="H12808" s="21">
        <v>914</v>
      </c>
    </row>
    <row r="12809" spans="1:8" customFormat="1" x14ac:dyDescent="0.25">
      <c r="A12809" t="str">
        <f>"3518554"</f>
        <v>3518554</v>
      </c>
      <c r="B12809" t="s">
        <v>22178</v>
      </c>
      <c r="C12809" t="s">
        <v>5009</v>
      </c>
      <c r="D12809" s="21" t="s">
        <v>34</v>
      </c>
      <c r="E12809" s="21" t="s">
        <v>35</v>
      </c>
      <c r="F12809">
        <v>3350055</v>
      </c>
      <c r="G12809" t="s">
        <v>6720</v>
      </c>
      <c r="H12809" s="21">
        <v>914</v>
      </c>
    </row>
    <row r="12810" spans="1:8" customFormat="1" x14ac:dyDescent="0.25">
      <c r="A12810" t="str">
        <f>"6225641"</f>
        <v>6225641</v>
      </c>
      <c r="B12810" t="s">
        <v>13171</v>
      </c>
      <c r="C12810" t="s">
        <v>33</v>
      </c>
      <c r="D12810" s="21" t="s">
        <v>34</v>
      </c>
      <c r="E12810" s="21" t="s">
        <v>71</v>
      </c>
      <c r="F12810">
        <v>7620015</v>
      </c>
      <c r="G12810" t="s">
        <v>377</v>
      </c>
      <c r="H12810" s="21">
        <v>913.92</v>
      </c>
    </row>
    <row r="12811" spans="1:8" customFormat="1" x14ac:dyDescent="0.25">
      <c r="A12811" t="str">
        <f>"8511918"</f>
        <v>8511918</v>
      </c>
      <c r="B12811" t="s">
        <v>8634</v>
      </c>
      <c r="C12811" t="s">
        <v>2100</v>
      </c>
      <c r="D12811" s="21" t="s">
        <v>34</v>
      </c>
      <c r="E12811" s="21" t="s">
        <v>254</v>
      </c>
      <c r="F12811">
        <v>12850172</v>
      </c>
      <c r="G12811" t="s">
        <v>4919</v>
      </c>
      <c r="H12811" s="21">
        <v>913.92</v>
      </c>
    </row>
    <row r="12812" spans="1:8" customFormat="1" x14ac:dyDescent="0.25">
      <c r="A12812" t="str">
        <f>"831694"</f>
        <v>831694</v>
      </c>
      <c r="B12812" t="s">
        <v>11926</v>
      </c>
      <c r="C12812" t="s">
        <v>817</v>
      </c>
      <c r="D12812" s="21" t="s">
        <v>34</v>
      </c>
      <c r="E12812" s="21" t="s">
        <v>71</v>
      </c>
      <c r="F12812">
        <v>11820018</v>
      </c>
      <c r="G12812" t="s">
        <v>2503</v>
      </c>
      <c r="H12812" s="21">
        <v>913.92</v>
      </c>
    </row>
    <row r="12813" spans="1:8" customFormat="1" x14ac:dyDescent="0.25">
      <c r="A12813" t="str">
        <f>"1425962"</f>
        <v>1425962</v>
      </c>
      <c r="B12813" t="s">
        <v>136</v>
      </c>
      <c r="C12813" t="s">
        <v>263</v>
      </c>
      <c r="D12813" s="21" t="s">
        <v>34</v>
      </c>
      <c r="E12813" s="21" t="s">
        <v>35</v>
      </c>
      <c r="F12813">
        <v>9140115</v>
      </c>
      <c r="G12813" t="s">
        <v>26590</v>
      </c>
      <c r="H12813" s="21">
        <v>913.67</v>
      </c>
    </row>
    <row r="12814" spans="1:8" customFormat="1" x14ac:dyDescent="0.25">
      <c r="A12814" t="str">
        <f>"443919"</f>
        <v>443919</v>
      </c>
      <c r="B12814" t="s">
        <v>2705</v>
      </c>
      <c r="C12814" t="s">
        <v>209</v>
      </c>
      <c r="D12814" s="21" t="s">
        <v>34</v>
      </c>
      <c r="E12814" s="21" t="s">
        <v>254</v>
      </c>
      <c r="F12814">
        <v>12440144</v>
      </c>
      <c r="G12814" t="s">
        <v>3702</v>
      </c>
      <c r="H12814" s="21">
        <v>913.67</v>
      </c>
    </row>
    <row r="12815" spans="1:8" customFormat="1" x14ac:dyDescent="0.25">
      <c r="A12815" t="str">
        <f>"405823"</f>
        <v>405823</v>
      </c>
      <c r="B12815" t="s">
        <v>11897</v>
      </c>
      <c r="C12815" t="s">
        <v>121</v>
      </c>
      <c r="D12815" s="21" t="s">
        <v>34</v>
      </c>
      <c r="E12815" s="21" t="s">
        <v>35</v>
      </c>
      <c r="F12815">
        <v>10640001</v>
      </c>
      <c r="G12815" t="s">
        <v>2419</v>
      </c>
      <c r="H12815" s="21">
        <v>913.67</v>
      </c>
    </row>
    <row r="12816" spans="1:8" customFormat="1" x14ac:dyDescent="0.25">
      <c r="A12816" t="str">
        <f>"5415471"</f>
        <v>5415471</v>
      </c>
      <c r="B12816" t="s">
        <v>8791</v>
      </c>
      <c r="C12816" t="s">
        <v>119</v>
      </c>
      <c r="D12816" s="21" t="s">
        <v>34</v>
      </c>
      <c r="E12816" s="21" t="s">
        <v>71</v>
      </c>
      <c r="F12816">
        <v>6540157</v>
      </c>
      <c r="G12816" t="s">
        <v>10647</v>
      </c>
      <c r="H12816" s="21">
        <v>913.67</v>
      </c>
    </row>
    <row r="12817" spans="1:8" customFormat="1" x14ac:dyDescent="0.25">
      <c r="A12817" t="str">
        <f>"839854"</f>
        <v>839854</v>
      </c>
      <c r="B12817" t="s">
        <v>27268</v>
      </c>
      <c r="C12817" t="s">
        <v>33</v>
      </c>
      <c r="D12817" s="21" t="s">
        <v>34</v>
      </c>
      <c r="E12817" s="21" t="s">
        <v>35</v>
      </c>
      <c r="F12817">
        <v>13830085</v>
      </c>
      <c r="G12817" t="s">
        <v>478</v>
      </c>
      <c r="H12817" s="21">
        <v>913.67</v>
      </c>
    </row>
    <row r="12818" spans="1:8" customFormat="1" x14ac:dyDescent="0.25">
      <c r="A12818" t="str">
        <f>"811762"</f>
        <v>811762</v>
      </c>
      <c r="B12818" t="s">
        <v>11735</v>
      </c>
      <c r="C12818" t="s">
        <v>926</v>
      </c>
      <c r="D12818" s="21" t="s">
        <v>34</v>
      </c>
      <c r="E12818" s="21" t="s">
        <v>35</v>
      </c>
      <c r="F12818">
        <v>11810015</v>
      </c>
      <c r="G12818" t="s">
        <v>9678</v>
      </c>
      <c r="H12818" s="21">
        <v>913.67</v>
      </c>
    </row>
    <row r="12819" spans="1:8" customFormat="1" x14ac:dyDescent="0.25">
      <c r="A12819" t="str">
        <f>"417822"</f>
        <v>417822</v>
      </c>
      <c r="B12819" t="s">
        <v>13391</v>
      </c>
      <c r="C12819" t="s">
        <v>412</v>
      </c>
      <c r="D12819" s="21" t="s">
        <v>34</v>
      </c>
      <c r="E12819" s="21" t="s">
        <v>254</v>
      </c>
      <c r="F12819">
        <v>4410017</v>
      </c>
      <c r="G12819" t="s">
        <v>2363</v>
      </c>
      <c r="H12819" s="21">
        <v>913.67</v>
      </c>
    </row>
    <row r="12820" spans="1:8" customFormat="1" x14ac:dyDescent="0.25">
      <c r="A12820" t="str">
        <f>"2937415"</f>
        <v>2937415</v>
      </c>
      <c r="B12820" t="s">
        <v>13934</v>
      </c>
      <c r="C12820" t="s">
        <v>211</v>
      </c>
      <c r="D12820" s="21" t="s">
        <v>34</v>
      </c>
      <c r="E12820" s="21" t="s">
        <v>35</v>
      </c>
      <c r="F12820">
        <v>3290215</v>
      </c>
      <c r="G12820" t="s">
        <v>5058</v>
      </c>
      <c r="H12820" s="21">
        <v>913.67</v>
      </c>
    </row>
    <row r="12821" spans="1:8" customFormat="1" x14ac:dyDescent="0.25">
      <c r="A12821" t="str">
        <f>"7860007"</f>
        <v>7860007</v>
      </c>
      <c r="B12821" t="s">
        <v>13192</v>
      </c>
      <c r="C12821" t="s">
        <v>5574</v>
      </c>
      <c r="D12821" s="21" t="s">
        <v>34</v>
      </c>
      <c r="E12821" s="21" t="s">
        <v>35</v>
      </c>
      <c r="F12821">
        <v>8780674</v>
      </c>
      <c r="G12821" t="s">
        <v>26585</v>
      </c>
      <c r="H12821" s="21">
        <v>913.67</v>
      </c>
    </row>
    <row r="12822" spans="1:8" customFormat="1" x14ac:dyDescent="0.25">
      <c r="A12822" t="str">
        <f>"799474"</f>
        <v>799474</v>
      </c>
      <c r="B12822" t="s">
        <v>11499</v>
      </c>
      <c r="C12822" t="s">
        <v>169</v>
      </c>
      <c r="D12822" s="21" t="s">
        <v>34</v>
      </c>
      <c r="E12822" s="21" t="s">
        <v>35</v>
      </c>
      <c r="F12822">
        <v>10790009</v>
      </c>
      <c r="G12822" t="s">
        <v>1155</v>
      </c>
      <c r="H12822" s="21">
        <v>913.67</v>
      </c>
    </row>
    <row r="12823" spans="1:8" customFormat="1" x14ac:dyDescent="0.25">
      <c r="A12823" t="str">
        <f>"5960199"</f>
        <v>5960199</v>
      </c>
      <c r="B12823" t="s">
        <v>11208</v>
      </c>
      <c r="C12823" t="s">
        <v>825</v>
      </c>
      <c r="D12823" s="21" t="s">
        <v>34</v>
      </c>
      <c r="E12823" s="21" t="s">
        <v>35</v>
      </c>
      <c r="F12823">
        <v>7590182</v>
      </c>
      <c r="G12823" t="s">
        <v>172</v>
      </c>
      <c r="H12823" s="21">
        <v>913.67</v>
      </c>
    </row>
    <row r="12824" spans="1:8" customFormat="1" x14ac:dyDescent="0.25">
      <c r="A12824" t="str">
        <f>"7513618"</f>
        <v>7513618</v>
      </c>
      <c r="B12824" t="s">
        <v>13590</v>
      </c>
      <c r="C12824" t="s">
        <v>130</v>
      </c>
      <c r="D12824" s="21" t="s">
        <v>34</v>
      </c>
      <c r="E12824" s="21" t="s">
        <v>254</v>
      </c>
      <c r="F12824">
        <v>8751260</v>
      </c>
      <c r="G12824" t="s">
        <v>10641</v>
      </c>
      <c r="H12824" s="21">
        <v>913.54</v>
      </c>
    </row>
    <row r="12825" spans="1:8" customFormat="1" x14ac:dyDescent="0.25">
      <c r="A12825" t="str">
        <f>"845454"</f>
        <v>845454</v>
      </c>
      <c r="B12825" t="s">
        <v>1094</v>
      </c>
      <c r="C12825" t="s">
        <v>130</v>
      </c>
      <c r="D12825" s="21" t="s">
        <v>34</v>
      </c>
      <c r="E12825" s="21" t="s">
        <v>35</v>
      </c>
      <c r="F12825">
        <v>13840025</v>
      </c>
      <c r="G12825" t="s">
        <v>7580</v>
      </c>
      <c r="H12825" s="21">
        <v>913.5</v>
      </c>
    </row>
    <row r="12826" spans="1:8" customFormat="1" x14ac:dyDescent="0.25">
      <c r="A12826" t="str">
        <f>"615771"</f>
        <v>615771</v>
      </c>
      <c r="B12826" t="s">
        <v>13224</v>
      </c>
      <c r="C12826" t="s">
        <v>253</v>
      </c>
      <c r="D12826" s="21" t="s">
        <v>34</v>
      </c>
      <c r="E12826" s="21" t="s">
        <v>71</v>
      </c>
      <c r="F12826">
        <v>9610004</v>
      </c>
      <c r="G12826" t="s">
        <v>1042</v>
      </c>
      <c r="H12826" s="21">
        <v>913.42</v>
      </c>
    </row>
    <row r="12827" spans="1:8" customFormat="1" x14ac:dyDescent="0.25">
      <c r="A12827" t="str">
        <f>"5810377"</f>
        <v>5810377</v>
      </c>
      <c r="B12827" t="s">
        <v>18226</v>
      </c>
      <c r="C12827" t="s">
        <v>124</v>
      </c>
      <c r="D12827" s="21" t="s">
        <v>34</v>
      </c>
      <c r="E12827" s="21" t="s">
        <v>71</v>
      </c>
      <c r="F12827">
        <v>2580017</v>
      </c>
      <c r="G12827" t="s">
        <v>7044</v>
      </c>
      <c r="H12827" s="21">
        <v>913.29</v>
      </c>
    </row>
    <row r="12828" spans="1:8" customFormat="1" x14ac:dyDescent="0.25">
      <c r="A12828" t="str">
        <f>"027231"</f>
        <v>027231</v>
      </c>
      <c r="B12828" t="s">
        <v>6681</v>
      </c>
      <c r="C12828" t="s">
        <v>547</v>
      </c>
      <c r="D12828" s="21" t="s">
        <v>34</v>
      </c>
      <c r="E12828" s="21" t="s">
        <v>71</v>
      </c>
      <c r="F12828">
        <v>7020037</v>
      </c>
      <c r="G12828" t="s">
        <v>4701</v>
      </c>
      <c r="H12828" s="21">
        <v>913.17</v>
      </c>
    </row>
    <row r="12829" spans="1:8" customFormat="1" x14ac:dyDescent="0.25">
      <c r="A12829" t="str">
        <f>"6810103"</f>
        <v>6810103</v>
      </c>
      <c r="B12829" t="s">
        <v>18713</v>
      </c>
      <c r="C12829" t="s">
        <v>96</v>
      </c>
      <c r="D12829" s="21" t="s">
        <v>34</v>
      </c>
      <c r="E12829" s="21" t="s">
        <v>35</v>
      </c>
      <c r="F12829">
        <v>6680111</v>
      </c>
      <c r="G12829" t="s">
        <v>3422</v>
      </c>
      <c r="H12829" s="21">
        <v>913.17</v>
      </c>
    </row>
    <row r="12830" spans="1:8" customFormat="1" x14ac:dyDescent="0.25">
      <c r="A12830" t="str">
        <f>"4426714"</f>
        <v>4426714</v>
      </c>
      <c r="B12830" t="s">
        <v>10578</v>
      </c>
      <c r="C12830" t="s">
        <v>1887</v>
      </c>
      <c r="D12830" s="21" t="s">
        <v>34</v>
      </c>
      <c r="E12830" s="21" t="s">
        <v>254</v>
      </c>
      <c r="F12830">
        <v>10330050</v>
      </c>
      <c r="G12830" t="s">
        <v>2488</v>
      </c>
      <c r="H12830" s="21">
        <v>913.17</v>
      </c>
    </row>
    <row r="12831" spans="1:8" customFormat="1" x14ac:dyDescent="0.25">
      <c r="A12831" t="str">
        <f>"4431703"</f>
        <v>4431703</v>
      </c>
      <c r="B12831" t="s">
        <v>105</v>
      </c>
      <c r="C12831" t="s">
        <v>119</v>
      </c>
      <c r="D12831" s="21" t="s">
        <v>34</v>
      </c>
      <c r="E12831" s="21" t="s">
        <v>71</v>
      </c>
      <c r="F12831">
        <v>12440142</v>
      </c>
      <c r="G12831" t="s">
        <v>3285</v>
      </c>
      <c r="H12831" s="21">
        <v>913.17</v>
      </c>
    </row>
    <row r="12832" spans="1:8" customFormat="1" x14ac:dyDescent="0.25">
      <c r="A12832" t="str">
        <f>"3415125"</f>
        <v>3415125</v>
      </c>
      <c r="B12832" t="s">
        <v>27269</v>
      </c>
      <c r="C12832" t="s">
        <v>37</v>
      </c>
      <c r="D12832" s="21" t="s">
        <v>34</v>
      </c>
      <c r="E12832" s="21" t="s">
        <v>35</v>
      </c>
      <c r="F12832">
        <v>11340014</v>
      </c>
      <c r="G12832" t="s">
        <v>1455</v>
      </c>
      <c r="H12832" s="21">
        <v>913.17</v>
      </c>
    </row>
    <row r="12833" spans="1:8" customFormat="1" x14ac:dyDescent="0.25">
      <c r="A12833" t="str">
        <f>"6018313"</f>
        <v>6018313</v>
      </c>
      <c r="B12833" t="s">
        <v>4453</v>
      </c>
      <c r="C12833" t="s">
        <v>65</v>
      </c>
      <c r="D12833" s="21" t="s">
        <v>34</v>
      </c>
      <c r="E12833" s="21" t="s">
        <v>35</v>
      </c>
      <c r="F12833">
        <v>7600088</v>
      </c>
      <c r="G12833" t="s">
        <v>334</v>
      </c>
      <c r="H12833" s="21">
        <v>913.17</v>
      </c>
    </row>
    <row r="12834" spans="1:8" customFormat="1" x14ac:dyDescent="0.25">
      <c r="A12834" t="str">
        <f>"9516293"</f>
        <v>9516293</v>
      </c>
      <c r="B12834" t="s">
        <v>14414</v>
      </c>
      <c r="C12834" t="s">
        <v>1146</v>
      </c>
      <c r="D12834" s="21" t="s">
        <v>34</v>
      </c>
      <c r="E12834" s="21" t="s">
        <v>254</v>
      </c>
      <c r="F12834">
        <v>10240007</v>
      </c>
      <c r="G12834" t="s">
        <v>2326</v>
      </c>
      <c r="H12834" s="21">
        <v>913.17</v>
      </c>
    </row>
    <row r="12835" spans="1:8" customFormat="1" x14ac:dyDescent="0.25">
      <c r="A12835" t="str">
        <f>"6725621"</f>
        <v>6725621</v>
      </c>
      <c r="B12835" t="s">
        <v>3140</v>
      </c>
      <c r="C12835" t="s">
        <v>269</v>
      </c>
      <c r="D12835" s="21" t="s">
        <v>34</v>
      </c>
      <c r="E12835" s="21" t="s">
        <v>71</v>
      </c>
      <c r="F12835">
        <v>6670092</v>
      </c>
      <c r="G12835" t="s">
        <v>10845</v>
      </c>
      <c r="H12835" s="21">
        <v>913.17</v>
      </c>
    </row>
    <row r="12836" spans="1:8" customFormat="1" x14ac:dyDescent="0.25">
      <c r="A12836" t="str">
        <f>"5920878"</f>
        <v>5920878</v>
      </c>
      <c r="B12836" t="s">
        <v>6877</v>
      </c>
      <c r="C12836" t="s">
        <v>37</v>
      </c>
      <c r="D12836" s="21" t="s">
        <v>34</v>
      </c>
      <c r="E12836" s="21" t="s">
        <v>35</v>
      </c>
      <c r="F12836">
        <v>7620176</v>
      </c>
      <c r="G12836" t="s">
        <v>3111</v>
      </c>
      <c r="H12836" s="21">
        <v>913.17</v>
      </c>
    </row>
    <row r="12837" spans="1:8" customFormat="1" x14ac:dyDescent="0.25">
      <c r="A12837" t="str">
        <f>"86837"</f>
        <v>86837</v>
      </c>
      <c r="B12837" t="s">
        <v>1886</v>
      </c>
      <c r="C12837" t="s">
        <v>415</v>
      </c>
      <c r="D12837" s="21" t="s">
        <v>34</v>
      </c>
      <c r="E12837" s="21" t="s">
        <v>71</v>
      </c>
      <c r="F12837">
        <v>10860024</v>
      </c>
      <c r="G12837" t="s">
        <v>1770</v>
      </c>
      <c r="H12837" s="21">
        <v>913.17</v>
      </c>
    </row>
    <row r="12838" spans="1:8" customFormat="1" x14ac:dyDescent="0.25">
      <c r="A12838" t="str">
        <f>"367393"</f>
        <v>367393</v>
      </c>
      <c r="B12838" t="s">
        <v>12734</v>
      </c>
      <c r="C12838" t="s">
        <v>305</v>
      </c>
      <c r="D12838" s="21" t="s">
        <v>34</v>
      </c>
      <c r="E12838" s="21" t="s">
        <v>35</v>
      </c>
      <c r="F12838">
        <v>4360728</v>
      </c>
      <c r="G12838" t="s">
        <v>12735</v>
      </c>
      <c r="H12838" s="21">
        <v>913.17</v>
      </c>
    </row>
    <row r="12839" spans="1:8" customFormat="1" x14ac:dyDescent="0.25">
      <c r="A12839" t="str">
        <f>"4437577"</f>
        <v>4437577</v>
      </c>
      <c r="B12839" t="s">
        <v>13603</v>
      </c>
      <c r="C12839" t="s">
        <v>462</v>
      </c>
      <c r="D12839" s="21" t="s">
        <v>34</v>
      </c>
      <c r="E12839" s="21" t="s">
        <v>71</v>
      </c>
      <c r="F12839">
        <v>12440094</v>
      </c>
      <c r="G12839" t="s">
        <v>892</v>
      </c>
      <c r="H12839" s="21">
        <v>913.17</v>
      </c>
    </row>
    <row r="12840" spans="1:8" customFormat="1" x14ac:dyDescent="0.25">
      <c r="A12840" t="str">
        <f>"8522355"</f>
        <v>8522355</v>
      </c>
      <c r="B12840" t="s">
        <v>2438</v>
      </c>
      <c r="C12840" t="s">
        <v>547</v>
      </c>
      <c r="D12840" s="21" t="s">
        <v>34</v>
      </c>
      <c r="E12840" s="21" t="s">
        <v>254</v>
      </c>
      <c r="F12840">
        <v>12850093</v>
      </c>
      <c r="G12840" t="s">
        <v>3371</v>
      </c>
      <c r="H12840" s="21">
        <v>913.17</v>
      </c>
    </row>
    <row r="12841" spans="1:8" customFormat="1" x14ac:dyDescent="0.25">
      <c r="A12841" t="str">
        <f>"442884"</f>
        <v>442884</v>
      </c>
      <c r="B12841" t="s">
        <v>1611</v>
      </c>
      <c r="C12841" t="s">
        <v>1914</v>
      </c>
      <c r="D12841" s="21" t="s">
        <v>34</v>
      </c>
      <c r="E12841" s="21" t="s">
        <v>71</v>
      </c>
      <c r="F12841">
        <v>12440160</v>
      </c>
      <c r="G12841" t="s">
        <v>6939</v>
      </c>
      <c r="H12841" s="21">
        <v>913.17</v>
      </c>
    </row>
    <row r="12842" spans="1:8" customFormat="1" x14ac:dyDescent="0.25">
      <c r="A12842" t="str">
        <f>"905654"</f>
        <v>905654</v>
      </c>
      <c r="B12842" t="s">
        <v>14363</v>
      </c>
      <c r="C12842" t="s">
        <v>293</v>
      </c>
      <c r="D12842" s="21" t="s">
        <v>34</v>
      </c>
      <c r="E12842" s="21" t="s">
        <v>71</v>
      </c>
      <c r="F12842">
        <v>2900042</v>
      </c>
      <c r="G12842" t="s">
        <v>7866</v>
      </c>
      <c r="H12842" s="21">
        <v>912.92</v>
      </c>
    </row>
    <row r="12843" spans="1:8" customFormat="1" x14ac:dyDescent="0.25">
      <c r="A12843" t="str">
        <f>"112934"</f>
        <v>112934</v>
      </c>
      <c r="B12843" t="s">
        <v>13468</v>
      </c>
      <c r="C12843" t="s">
        <v>124</v>
      </c>
      <c r="D12843" s="21" t="s">
        <v>34</v>
      </c>
      <c r="E12843" s="21" t="s">
        <v>35</v>
      </c>
      <c r="F12843">
        <v>11110013</v>
      </c>
      <c r="G12843" t="s">
        <v>640</v>
      </c>
      <c r="H12843" s="21">
        <v>912.92</v>
      </c>
    </row>
    <row r="12844" spans="1:8" customFormat="1" x14ac:dyDescent="0.25">
      <c r="A12844" t="str">
        <f>"9526383"</f>
        <v>9526383</v>
      </c>
      <c r="B12844" t="s">
        <v>1522</v>
      </c>
      <c r="C12844" t="s">
        <v>211</v>
      </c>
      <c r="D12844" s="21" t="s">
        <v>34</v>
      </c>
      <c r="E12844" s="21" t="s">
        <v>71</v>
      </c>
      <c r="F12844">
        <v>8950481</v>
      </c>
      <c r="G12844" t="s">
        <v>1472</v>
      </c>
      <c r="H12844" s="21">
        <v>912.79</v>
      </c>
    </row>
    <row r="12845" spans="1:8" customFormat="1" x14ac:dyDescent="0.25">
      <c r="A12845" t="str">
        <f>"5933969"</f>
        <v>5933969</v>
      </c>
      <c r="B12845" t="s">
        <v>11378</v>
      </c>
      <c r="C12845" t="s">
        <v>285</v>
      </c>
      <c r="D12845" s="21" t="s">
        <v>34</v>
      </c>
      <c r="E12845" s="21" t="s">
        <v>71</v>
      </c>
      <c r="F12845">
        <v>7590137</v>
      </c>
      <c r="G12845" t="s">
        <v>4246</v>
      </c>
      <c r="H12845" s="21">
        <v>912.67</v>
      </c>
    </row>
    <row r="12846" spans="1:8" customFormat="1" x14ac:dyDescent="0.25">
      <c r="A12846" t="str">
        <f>"7512489"</f>
        <v>7512489</v>
      </c>
      <c r="B12846" t="s">
        <v>9724</v>
      </c>
      <c r="C12846" t="s">
        <v>2338</v>
      </c>
      <c r="D12846" s="21" t="s">
        <v>34</v>
      </c>
      <c r="E12846" s="21" t="s">
        <v>71</v>
      </c>
      <c r="F12846">
        <v>8750141</v>
      </c>
      <c r="G12846" t="s">
        <v>1514</v>
      </c>
      <c r="H12846" s="21">
        <v>912.67</v>
      </c>
    </row>
    <row r="12847" spans="1:8" customFormat="1" x14ac:dyDescent="0.25">
      <c r="A12847" t="str">
        <f>"5018012"</f>
        <v>5018012</v>
      </c>
      <c r="B12847" t="s">
        <v>5416</v>
      </c>
      <c r="C12847" t="s">
        <v>249</v>
      </c>
      <c r="D12847" s="21" t="s">
        <v>34</v>
      </c>
      <c r="E12847" s="21" t="s">
        <v>71</v>
      </c>
      <c r="F12847">
        <v>9500063</v>
      </c>
      <c r="G12847" t="s">
        <v>4114</v>
      </c>
      <c r="H12847" s="21">
        <v>912.67</v>
      </c>
    </row>
    <row r="12848" spans="1:8" customFormat="1" x14ac:dyDescent="0.25">
      <c r="A12848" t="str">
        <f>"4442250"</f>
        <v>4442250</v>
      </c>
      <c r="B12848" t="s">
        <v>27245</v>
      </c>
      <c r="C12848" t="s">
        <v>121</v>
      </c>
      <c r="D12848" s="21" t="s">
        <v>34</v>
      </c>
      <c r="E12848" s="21" t="s">
        <v>35</v>
      </c>
      <c r="F12848">
        <v>12440263</v>
      </c>
      <c r="G12848" t="s">
        <v>9503</v>
      </c>
      <c r="H12848" s="21">
        <v>912.67</v>
      </c>
    </row>
    <row r="12849" spans="1:8" customFormat="1" x14ac:dyDescent="0.25">
      <c r="A12849" t="str">
        <f>"024415"</f>
        <v>024415</v>
      </c>
      <c r="B12849" t="s">
        <v>11682</v>
      </c>
      <c r="C12849" t="s">
        <v>60</v>
      </c>
      <c r="D12849" s="21" t="s">
        <v>34</v>
      </c>
      <c r="E12849" s="21" t="s">
        <v>35</v>
      </c>
      <c r="F12849">
        <v>7020001</v>
      </c>
      <c r="G12849" t="s">
        <v>3854</v>
      </c>
      <c r="H12849" s="21">
        <v>912.67</v>
      </c>
    </row>
    <row r="12850" spans="1:8" customFormat="1" x14ac:dyDescent="0.25">
      <c r="A12850" t="str">
        <f>"7629578"</f>
        <v>7629578</v>
      </c>
      <c r="B12850" t="s">
        <v>2093</v>
      </c>
      <c r="C12850" t="s">
        <v>37</v>
      </c>
      <c r="D12850" s="21" t="s">
        <v>34</v>
      </c>
      <c r="E12850" s="21" t="s">
        <v>35</v>
      </c>
      <c r="F12850">
        <v>9760415</v>
      </c>
      <c r="G12850" t="s">
        <v>4541</v>
      </c>
      <c r="H12850" s="21">
        <v>912.67</v>
      </c>
    </row>
    <row r="12851" spans="1:8" customFormat="1" x14ac:dyDescent="0.25">
      <c r="A12851" t="str">
        <f>"541715"</f>
        <v>541715</v>
      </c>
      <c r="B12851" t="s">
        <v>11615</v>
      </c>
      <c r="C12851" t="s">
        <v>608</v>
      </c>
      <c r="D12851" s="21" t="s">
        <v>34</v>
      </c>
      <c r="E12851" s="21" t="s">
        <v>254</v>
      </c>
      <c r="F12851">
        <v>6540008</v>
      </c>
      <c r="G12851" t="s">
        <v>3891</v>
      </c>
      <c r="H12851" s="21">
        <v>912.67</v>
      </c>
    </row>
    <row r="12852" spans="1:8" customFormat="1" x14ac:dyDescent="0.25">
      <c r="A12852" t="str">
        <f>"789790"</f>
        <v>789790</v>
      </c>
      <c r="B12852" t="s">
        <v>3634</v>
      </c>
      <c r="C12852" t="s">
        <v>40</v>
      </c>
      <c r="D12852" s="21" t="s">
        <v>34</v>
      </c>
      <c r="E12852" s="21" t="s">
        <v>254</v>
      </c>
      <c r="F12852">
        <v>4370349</v>
      </c>
      <c r="G12852" t="s">
        <v>2287</v>
      </c>
      <c r="H12852" s="21">
        <v>912.67</v>
      </c>
    </row>
    <row r="12853" spans="1:8" customFormat="1" x14ac:dyDescent="0.25">
      <c r="A12853" t="str">
        <f>"0110718"</f>
        <v>0110718</v>
      </c>
      <c r="B12853" t="s">
        <v>11469</v>
      </c>
      <c r="C12853" t="s">
        <v>285</v>
      </c>
      <c r="D12853" s="21" t="s">
        <v>34</v>
      </c>
      <c r="E12853" s="21" t="s">
        <v>35</v>
      </c>
      <c r="F12853">
        <v>1010023</v>
      </c>
      <c r="G12853" t="s">
        <v>2174</v>
      </c>
      <c r="H12853" s="21">
        <v>912.67</v>
      </c>
    </row>
    <row r="12854" spans="1:8" customFormat="1" x14ac:dyDescent="0.25">
      <c r="A12854" t="str">
        <f>"592888"</f>
        <v>592888</v>
      </c>
      <c r="B12854" t="s">
        <v>4296</v>
      </c>
      <c r="C12854" t="s">
        <v>253</v>
      </c>
      <c r="D12854" s="21" t="s">
        <v>34</v>
      </c>
      <c r="E12854" s="21" t="s">
        <v>1089</v>
      </c>
      <c r="F12854">
        <v>7590170</v>
      </c>
      <c r="G12854" t="s">
        <v>868</v>
      </c>
      <c r="H12854" s="21">
        <v>912.67</v>
      </c>
    </row>
    <row r="12855" spans="1:8" customFormat="1" x14ac:dyDescent="0.25">
      <c r="A12855" t="str">
        <f>"667725"</f>
        <v>667725</v>
      </c>
      <c r="B12855" t="s">
        <v>12902</v>
      </c>
      <c r="C12855" t="s">
        <v>43</v>
      </c>
      <c r="D12855" s="21" t="s">
        <v>34</v>
      </c>
      <c r="E12855" s="21" t="s">
        <v>35</v>
      </c>
      <c r="F12855">
        <v>11660032</v>
      </c>
      <c r="G12855" t="s">
        <v>3232</v>
      </c>
      <c r="H12855" s="21">
        <v>912.67</v>
      </c>
    </row>
    <row r="12856" spans="1:8" customFormat="1" x14ac:dyDescent="0.25">
      <c r="A12856" t="str">
        <f>"2914837"</f>
        <v>2914837</v>
      </c>
      <c r="B12856" t="s">
        <v>12732</v>
      </c>
      <c r="C12856" t="s">
        <v>320</v>
      </c>
      <c r="D12856" s="21" t="s">
        <v>34</v>
      </c>
      <c r="E12856" s="21" t="s">
        <v>254</v>
      </c>
      <c r="F12856">
        <v>3290081</v>
      </c>
      <c r="G12856" t="s">
        <v>3819</v>
      </c>
      <c r="H12856" s="21">
        <v>912.67</v>
      </c>
    </row>
    <row r="12857" spans="1:8" customFormat="1" x14ac:dyDescent="0.25">
      <c r="A12857" t="str">
        <f>"9321885"</f>
        <v>9321885</v>
      </c>
      <c r="B12857" t="s">
        <v>904</v>
      </c>
      <c r="C12857" t="s">
        <v>119</v>
      </c>
      <c r="D12857" s="21" t="s">
        <v>34</v>
      </c>
      <c r="E12857" s="21" t="s">
        <v>35</v>
      </c>
      <c r="F12857">
        <v>8931320</v>
      </c>
      <c r="G12857" t="s">
        <v>1537</v>
      </c>
      <c r="H12857" s="21">
        <v>912.54</v>
      </c>
    </row>
    <row r="12858" spans="1:8" customFormat="1" x14ac:dyDescent="0.25">
      <c r="A12858" t="str">
        <f>"737837"</f>
        <v>737837</v>
      </c>
      <c r="B12858" t="s">
        <v>16606</v>
      </c>
      <c r="C12858" t="s">
        <v>263</v>
      </c>
      <c r="D12858" s="21" t="s">
        <v>34</v>
      </c>
      <c r="E12858" s="21" t="s">
        <v>35</v>
      </c>
      <c r="F12858">
        <v>1730089</v>
      </c>
      <c r="G12858" t="s">
        <v>5395</v>
      </c>
      <c r="H12858" s="21">
        <v>912.42</v>
      </c>
    </row>
    <row r="12859" spans="1:8" customFormat="1" x14ac:dyDescent="0.25">
      <c r="A12859" t="str">
        <f>"792883"</f>
        <v>792883</v>
      </c>
      <c r="B12859" t="s">
        <v>13618</v>
      </c>
      <c r="C12859" t="s">
        <v>209</v>
      </c>
      <c r="D12859" s="21" t="s">
        <v>34</v>
      </c>
      <c r="E12859" s="21" t="s">
        <v>35</v>
      </c>
      <c r="F12859">
        <v>10790150</v>
      </c>
      <c r="G12859" t="s">
        <v>6205</v>
      </c>
      <c r="H12859" s="21">
        <v>912.42</v>
      </c>
    </row>
    <row r="12860" spans="1:8" customFormat="1" x14ac:dyDescent="0.25">
      <c r="A12860" t="str">
        <f>"9413829"</f>
        <v>9413829</v>
      </c>
      <c r="B12860" t="s">
        <v>9321</v>
      </c>
      <c r="C12860" t="s">
        <v>65</v>
      </c>
      <c r="D12860" s="21" t="s">
        <v>34</v>
      </c>
      <c r="E12860" s="21" t="s">
        <v>71</v>
      </c>
      <c r="F12860">
        <v>8940577</v>
      </c>
      <c r="G12860" t="s">
        <v>3774</v>
      </c>
      <c r="H12860" s="21">
        <v>912.29</v>
      </c>
    </row>
    <row r="12861" spans="1:8" customFormat="1" x14ac:dyDescent="0.25">
      <c r="A12861" t="str">
        <f>"182945"</f>
        <v>182945</v>
      </c>
      <c r="B12861" t="s">
        <v>5927</v>
      </c>
      <c r="C12861" t="s">
        <v>65</v>
      </c>
      <c r="D12861" s="21" t="s">
        <v>34</v>
      </c>
      <c r="E12861" s="21" t="s">
        <v>35</v>
      </c>
      <c r="F12861">
        <v>4180737</v>
      </c>
      <c r="G12861" t="s">
        <v>26856</v>
      </c>
      <c r="H12861" s="21">
        <v>912.17</v>
      </c>
    </row>
    <row r="12862" spans="1:8" customFormat="1" x14ac:dyDescent="0.25">
      <c r="A12862" t="str">
        <f>"8526295"</f>
        <v>8526295</v>
      </c>
      <c r="B12862" t="s">
        <v>13281</v>
      </c>
      <c r="C12862" t="s">
        <v>13282</v>
      </c>
      <c r="D12862" s="21" t="s">
        <v>34</v>
      </c>
      <c r="E12862" s="21" t="s">
        <v>35</v>
      </c>
      <c r="F12862">
        <v>12850093</v>
      </c>
      <c r="G12862" t="s">
        <v>3371</v>
      </c>
      <c r="H12862" s="21">
        <v>912.17</v>
      </c>
    </row>
    <row r="12863" spans="1:8" customFormat="1" x14ac:dyDescent="0.25">
      <c r="A12863" t="str">
        <f>"7917564"</f>
        <v>7917564</v>
      </c>
      <c r="B12863" t="s">
        <v>12136</v>
      </c>
      <c r="C12863" t="s">
        <v>239</v>
      </c>
      <c r="D12863" s="21" t="s">
        <v>34</v>
      </c>
      <c r="E12863" s="21" t="s">
        <v>71</v>
      </c>
      <c r="F12863">
        <v>10790025</v>
      </c>
      <c r="G12863" t="s">
        <v>1218</v>
      </c>
      <c r="H12863" s="21">
        <v>912.17</v>
      </c>
    </row>
    <row r="12864" spans="1:8" customFormat="1" x14ac:dyDescent="0.25">
      <c r="A12864" t="str">
        <f>"6220050"</f>
        <v>6220050</v>
      </c>
      <c r="B12864" t="s">
        <v>3904</v>
      </c>
      <c r="C12864" t="s">
        <v>263</v>
      </c>
      <c r="D12864" s="21" t="s">
        <v>34</v>
      </c>
      <c r="E12864" s="21" t="s">
        <v>71</v>
      </c>
      <c r="F12864">
        <v>7620011</v>
      </c>
      <c r="G12864" t="s">
        <v>10839</v>
      </c>
      <c r="H12864" s="21">
        <v>912.17</v>
      </c>
    </row>
    <row r="12865" spans="1:8" customFormat="1" x14ac:dyDescent="0.25">
      <c r="A12865" t="str">
        <f>"8015437"</f>
        <v>8015437</v>
      </c>
      <c r="B12865" t="s">
        <v>12422</v>
      </c>
      <c r="C12865" t="s">
        <v>60</v>
      </c>
      <c r="D12865" s="21" t="s">
        <v>34</v>
      </c>
      <c r="E12865" s="21" t="s">
        <v>71</v>
      </c>
      <c r="F12865">
        <v>7800149</v>
      </c>
      <c r="G12865" t="s">
        <v>12618</v>
      </c>
      <c r="H12865" s="21">
        <v>912.17</v>
      </c>
    </row>
    <row r="12866" spans="1:8" customFormat="1" x14ac:dyDescent="0.25">
      <c r="A12866" t="str">
        <f>"4445397"</f>
        <v>4445397</v>
      </c>
      <c r="B12866" t="s">
        <v>7122</v>
      </c>
      <c r="C12866" t="s">
        <v>156</v>
      </c>
      <c r="D12866" s="21" t="s">
        <v>34</v>
      </c>
      <c r="E12866" s="21" t="s">
        <v>35</v>
      </c>
      <c r="F12866">
        <v>12440030</v>
      </c>
      <c r="G12866" t="s">
        <v>5524</v>
      </c>
      <c r="H12866" s="21">
        <v>912.17</v>
      </c>
    </row>
    <row r="12867" spans="1:8" customFormat="1" x14ac:dyDescent="0.25">
      <c r="A12867" t="str">
        <f>"5929180"</f>
        <v>5929180</v>
      </c>
      <c r="B12867" t="s">
        <v>27270</v>
      </c>
      <c r="C12867" t="s">
        <v>87</v>
      </c>
      <c r="D12867" s="21" t="s">
        <v>34</v>
      </c>
      <c r="E12867" s="21" t="s">
        <v>71</v>
      </c>
      <c r="F12867">
        <v>7590058</v>
      </c>
      <c r="G12867" t="s">
        <v>5044</v>
      </c>
      <c r="H12867" s="21">
        <v>912.17</v>
      </c>
    </row>
    <row r="12868" spans="1:8" customFormat="1" x14ac:dyDescent="0.25">
      <c r="A12868" t="str">
        <f>"9526287"</f>
        <v>9526287</v>
      </c>
      <c r="B12868" t="s">
        <v>10602</v>
      </c>
      <c r="C12868" t="s">
        <v>730</v>
      </c>
      <c r="D12868" s="21" t="s">
        <v>34</v>
      </c>
      <c r="E12868" s="21" t="s">
        <v>71</v>
      </c>
      <c r="F12868">
        <v>8950260</v>
      </c>
      <c r="G12868" t="s">
        <v>8564</v>
      </c>
      <c r="H12868" s="21">
        <v>912.17</v>
      </c>
    </row>
    <row r="12869" spans="1:8" customFormat="1" x14ac:dyDescent="0.25">
      <c r="A12869" t="str">
        <f>"9514195"</f>
        <v>9514195</v>
      </c>
      <c r="B12869" t="s">
        <v>11437</v>
      </c>
      <c r="C12869" t="s">
        <v>415</v>
      </c>
      <c r="D12869" s="21" t="s">
        <v>34</v>
      </c>
      <c r="E12869" s="21" t="s">
        <v>35</v>
      </c>
      <c r="F12869">
        <v>8950882</v>
      </c>
      <c r="G12869" t="s">
        <v>9516</v>
      </c>
      <c r="H12869" s="21">
        <v>912.17</v>
      </c>
    </row>
    <row r="12870" spans="1:8" customFormat="1" x14ac:dyDescent="0.25">
      <c r="A12870" t="str">
        <f>"6715362"</f>
        <v>6715362</v>
      </c>
      <c r="B12870" t="s">
        <v>12154</v>
      </c>
      <c r="C12870" t="s">
        <v>1271</v>
      </c>
      <c r="D12870" s="21" t="s">
        <v>34</v>
      </c>
      <c r="E12870" s="21" t="s">
        <v>254</v>
      </c>
      <c r="F12870">
        <v>6670257</v>
      </c>
      <c r="G12870" t="s">
        <v>26708</v>
      </c>
      <c r="H12870" s="21">
        <v>912.17</v>
      </c>
    </row>
    <row r="12871" spans="1:8" customFormat="1" x14ac:dyDescent="0.25">
      <c r="A12871" t="str">
        <f>"393842"</f>
        <v>393842</v>
      </c>
      <c r="B12871" t="s">
        <v>27271</v>
      </c>
      <c r="C12871" t="s">
        <v>611</v>
      </c>
      <c r="D12871" s="21" t="s">
        <v>34</v>
      </c>
      <c r="E12871" s="21" t="s">
        <v>71</v>
      </c>
      <c r="F12871">
        <v>2390027</v>
      </c>
      <c r="G12871" t="s">
        <v>3605</v>
      </c>
      <c r="H12871" s="21">
        <v>912.17</v>
      </c>
    </row>
    <row r="12872" spans="1:8" customFormat="1" x14ac:dyDescent="0.25">
      <c r="A12872" t="str">
        <f>"9424545"</f>
        <v>9424545</v>
      </c>
      <c r="B12872" t="s">
        <v>11375</v>
      </c>
      <c r="C12872" t="s">
        <v>253</v>
      </c>
      <c r="D12872" s="21" t="s">
        <v>34</v>
      </c>
      <c r="E12872" s="21" t="s">
        <v>254</v>
      </c>
      <c r="F12872">
        <v>8940524</v>
      </c>
      <c r="G12872" t="s">
        <v>6176</v>
      </c>
      <c r="H12872" s="21">
        <v>912.17</v>
      </c>
    </row>
    <row r="12873" spans="1:8" customFormat="1" x14ac:dyDescent="0.25">
      <c r="A12873" t="str">
        <f>"2920630"</f>
        <v>2920630</v>
      </c>
      <c r="B12873" t="s">
        <v>8926</v>
      </c>
      <c r="C12873" t="s">
        <v>1457</v>
      </c>
      <c r="D12873" s="21" t="s">
        <v>34</v>
      </c>
      <c r="E12873" s="21" t="s">
        <v>35</v>
      </c>
      <c r="F12873">
        <v>3290019</v>
      </c>
      <c r="G12873" t="s">
        <v>4452</v>
      </c>
      <c r="H12873" s="21">
        <v>912</v>
      </c>
    </row>
    <row r="12874" spans="1:8" customFormat="1" x14ac:dyDescent="0.25">
      <c r="A12874" t="str">
        <f>"652121"</f>
        <v>652121</v>
      </c>
      <c r="B12874" t="s">
        <v>12821</v>
      </c>
      <c r="C12874" t="s">
        <v>469</v>
      </c>
      <c r="D12874" s="21" t="s">
        <v>34</v>
      </c>
      <c r="E12874" s="21" t="s">
        <v>35</v>
      </c>
      <c r="F12874">
        <v>11650016</v>
      </c>
      <c r="G12874" t="s">
        <v>9559</v>
      </c>
      <c r="H12874" s="21">
        <v>911.79</v>
      </c>
    </row>
    <row r="12875" spans="1:8" customFormat="1" x14ac:dyDescent="0.25">
      <c r="A12875" t="str">
        <f>"7623970"</f>
        <v>7623970</v>
      </c>
      <c r="B12875" t="s">
        <v>2134</v>
      </c>
      <c r="C12875" t="s">
        <v>598</v>
      </c>
      <c r="D12875" s="21" t="s">
        <v>34</v>
      </c>
      <c r="E12875" s="21" t="s">
        <v>254</v>
      </c>
      <c r="F12875">
        <v>9270095</v>
      </c>
      <c r="G12875" t="s">
        <v>1681</v>
      </c>
      <c r="H12875" s="21">
        <v>911.79</v>
      </c>
    </row>
    <row r="12876" spans="1:8" customFormat="1" x14ac:dyDescent="0.25">
      <c r="A12876" t="str">
        <f>"36601"</f>
        <v>36601</v>
      </c>
      <c r="B12876" t="s">
        <v>1081</v>
      </c>
      <c r="C12876" t="s">
        <v>1054</v>
      </c>
      <c r="D12876" s="21" t="s">
        <v>34</v>
      </c>
      <c r="E12876" s="21" t="s">
        <v>254</v>
      </c>
      <c r="F12876">
        <v>4360454</v>
      </c>
      <c r="G12876" t="s">
        <v>637</v>
      </c>
      <c r="H12876" s="21">
        <v>911.67</v>
      </c>
    </row>
    <row r="12877" spans="1:8" customFormat="1" x14ac:dyDescent="0.25">
      <c r="A12877" t="str">
        <f>"672669"</f>
        <v>672669</v>
      </c>
      <c r="B12877" t="s">
        <v>11708</v>
      </c>
      <c r="C12877" t="s">
        <v>209</v>
      </c>
      <c r="D12877" s="21" t="s">
        <v>34</v>
      </c>
      <c r="E12877" s="21" t="s">
        <v>254</v>
      </c>
      <c r="F12877">
        <v>6670045</v>
      </c>
      <c r="G12877" t="s">
        <v>707</v>
      </c>
      <c r="H12877" s="21">
        <v>911.67</v>
      </c>
    </row>
    <row r="12878" spans="1:8" customFormat="1" x14ac:dyDescent="0.25">
      <c r="A12878" t="str">
        <f>"574925"</f>
        <v>574925</v>
      </c>
      <c r="B12878" t="s">
        <v>11590</v>
      </c>
      <c r="C12878" t="s">
        <v>720</v>
      </c>
      <c r="D12878" s="21" t="s">
        <v>34</v>
      </c>
      <c r="E12878" s="21" t="s">
        <v>254</v>
      </c>
      <c r="F12878">
        <v>6570132</v>
      </c>
      <c r="G12878" t="s">
        <v>26746</v>
      </c>
      <c r="H12878" s="21">
        <v>911.67</v>
      </c>
    </row>
    <row r="12879" spans="1:8" customFormat="1" x14ac:dyDescent="0.25">
      <c r="A12879" t="str">
        <f>"345413"</f>
        <v>345413</v>
      </c>
      <c r="B12879" t="s">
        <v>12265</v>
      </c>
      <c r="C12879" t="s">
        <v>40</v>
      </c>
      <c r="D12879" s="21" t="s">
        <v>34</v>
      </c>
      <c r="E12879" s="21" t="s">
        <v>71</v>
      </c>
      <c r="F12879">
        <v>11340003</v>
      </c>
      <c r="G12879" t="s">
        <v>3326</v>
      </c>
      <c r="H12879" s="21">
        <v>911.67</v>
      </c>
    </row>
    <row r="12880" spans="1:8" customFormat="1" x14ac:dyDescent="0.25">
      <c r="A12880" t="str">
        <f>"089438"</f>
        <v>089438</v>
      </c>
      <c r="B12880" t="s">
        <v>12200</v>
      </c>
      <c r="C12880" t="s">
        <v>65</v>
      </c>
      <c r="D12880" s="21" t="s">
        <v>34</v>
      </c>
      <c r="E12880" s="21" t="s">
        <v>35</v>
      </c>
      <c r="F12880">
        <v>6080045</v>
      </c>
      <c r="G12880" t="s">
        <v>5632</v>
      </c>
      <c r="H12880" s="21">
        <v>911.67</v>
      </c>
    </row>
    <row r="12881" spans="1:8" customFormat="1" x14ac:dyDescent="0.25">
      <c r="A12881" t="str">
        <f>"5969212"</f>
        <v>5969212</v>
      </c>
      <c r="B12881" t="s">
        <v>14484</v>
      </c>
      <c r="C12881" t="s">
        <v>7338</v>
      </c>
      <c r="D12881" s="21" t="s">
        <v>34</v>
      </c>
      <c r="E12881" s="21" t="s">
        <v>35</v>
      </c>
      <c r="F12881">
        <v>7590223</v>
      </c>
      <c r="G12881" t="s">
        <v>5218</v>
      </c>
      <c r="H12881" s="21">
        <v>911.67</v>
      </c>
    </row>
    <row r="12882" spans="1:8" customFormat="1" x14ac:dyDescent="0.25">
      <c r="A12882" t="str">
        <f>"2513085"</f>
        <v>2513085</v>
      </c>
      <c r="B12882" t="s">
        <v>13265</v>
      </c>
      <c r="C12882" t="s">
        <v>43</v>
      </c>
      <c r="D12882" s="21" t="s">
        <v>34</v>
      </c>
      <c r="E12882" s="21" t="s">
        <v>35</v>
      </c>
      <c r="F12882">
        <v>2250229</v>
      </c>
      <c r="G12882" t="s">
        <v>5004</v>
      </c>
      <c r="H12882" s="21">
        <v>911.67</v>
      </c>
    </row>
    <row r="12883" spans="1:8" customFormat="1" x14ac:dyDescent="0.25">
      <c r="A12883" t="str">
        <f>"784220"</f>
        <v>784220</v>
      </c>
      <c r="B12883" t="s">
        <v>27272</v>
      </c>
      <c r="C12883" t="s">
        <v>16390</v>
      </c>
      <c r="D12883" s="21" t="s">
        <v>34</v>
      </c>
      <c r="E12883" s="21" t="s">
        <v>1089</v>
      </c>
      <c r="F12883">
        <v>2250213</v>
      </c>
      <c r="G12883" t="s">
        <v>1969</v>
      </c>
      <c r="H12883" s="21">
        <v>911.67</v>
      </c>
    </row>
    <row r="12884" spans="1:8" customFormat="1" x14ac:dyDescent="0.25">
      <c r="A12884" t="str">
        <f>"591975"</f>
        <v>591975</v>
      </c>
      <c r="B12884" t="s">
        <v>3830</v>
      </c>
      <c r="C12884" t="s">
        <v>263</v>
      </c>
      <c r="D12884" s="21" t="s">
        <v>34</v>
      </c>
      <c r="E12884" s="21" t="s">
        <v>254</v>
      </c>
      <c r="F12884">
        <v>7590051</v>
      </c>
      <c r="G12884" t="s">
        <v>3831</v>
      </c>
      <c r="H12884" s="21">
        <v>911.67</v>
      </c>
    </row>
    <row r="12885" spans="1:8" customFormat="1" x14ac:dyDescent="0.25">
      <c r="A12885" t="str">
        <f>"5714682"</f>
        <v>5714682</v>
      </c>
      <c r="B12885" t="s">
        <v>1056</v>
      </c>
      <c r="C12885" t="s">
        <v>2529</v>
      </c>
      <c r="D12885" s="21" t="s">
        <v>34</v>
      </c>
      <c r="E12885" s="21" t="s">
        <v>71</v>
      </c>
      <c r="F12885">
        <v>6570159</v>
      </c>
      <c r="G12885" t="s">
        <v>7565</v>
      </c>
      <c r="H12885" s="21">
        <v>911.67</v>
      </c>
    </row>
    <row r="12886" spans="1:8" customFormat="1" x14ac:dyDescent="0.25">
      <c r="A12886" t="str">
        <f>"1417845"</f>
        <v>1417845</v>
      </c>
      <c r="B12886" t="s">
        <v>11580</v>
      </c>
      <c r="C12886" t="s">
        <v>37</v>
      </c>
      <c r="D12886" s="21" t="s">
        <v>34</v>
      </c>
      <c r="E12886" s="21" t="s">
        <v>35</v>
      </c>
      <c r="F12886">
        <v>9140072</v>
      </c>
      <c r="G12886" t="s">
        <v>4810</v>
      </c>
      <c r="H12886" s="21">
        <v>911.67</v>
      </c>
    </row>
    <row r="12887" spans="1:8" customFormat="1" x14ac:dyDescent="0.25">
      <c r="A12887" t="str">
        <f>"7413469"</f>
        <v>7413469</v>
      </c>
      <c r="B12887" t="s">
        <v>15296</v>
      </c>
      <c r="C12887" t="s">
        <v>812</v>
      </c>
      <c r="D12887" s="21" t="s">
        <v>34</v>
      </c>
      <c r="E12887" s="21" t="s">
        <v>35</v>
      </c>
      <c r="F12887">
        <v>1740060</v>
      </c>
      <c r="G12887" t="s">
        <v>4907</v>
      </c>
      <c r="H12887" s="21">
        <v>911.67</v>
      </c>
    </row>
    <row r="12888" spans="1:8" customFormat="1" x14ac:dyDescent="0.25">
      <c r="A12888" t="str">
        <f>"7718151"</f>
        <v>7718151</v>
      </c>
      <c r="B12888" t="s">
        <v>10824</v>
      </c>
      <c r="C12888" t="s">
        <v>236</v>
      </c>
      <c r="D12888" s="21" t="s">
        <v>34</v>
      </c>
      <c r="E12888" s="21" t="s">
        <v>71</v>
      </c>
      <c r="F12888">
        <v>8771025</v>
      </c>
      <c r="G12888" t="s">
        <v>5469</v>
      </c>
      <c r="H12888" s="21">
        <v>911.67</v>
      </c>
    </row>
    <row r="12889" spans="1:8" customFormat="1" x14ac:dyDescent="0.25">
      <c r="A12889" t="str">
        <f>"1612737"</f>
        <v>1612737</v>
      </c>
      <c r="B12889" t="s">
        <v>13792</v>
      </c>
      <c r="C12889" t="s">
        <v>87</v>
      </c>
      <c r="D12889" s="21" t="s">
        <v>34</v>
      </c>
      <c r="E12889" s="21" t="s">
        <v>35</v>
      </c>
      <c r="F12889">
        <v>10160029</v>
      </c>
      <c r="G12889" t="s">
        <v>896</v>
      </c>
      <c r="H12889" s="21">
        <v>911.67</v>
      </c>
    </row>
    <row r="12890" spans="1:8" customFormat="1" x14ac:dyDescent="0.25">
      <c r="A12890" t="str">
        <f>"253889"</f>
        <v>253889</v>
      </c>
      <c r="B12890" t="s">
        <v>3576</v>
      </c>
      <c r="C12890" t="s">
        <v>267</v>
      </c>
      <c r="D12890" s="21" t="s">
        <v>34</v>
      </c>
      <c r="E12890" s="21" t="s">
        <v>254</v>
      </c>
      <c r="F12890">
        <v>2250033</v>
      </c>
      <c r="G12890" t="s">
        <v>4951</v>
      </c>
      <c r="H12890" s="21">
        <v>911.67</v>
      </c>
    </row>
    <row r="12891" spans="1:8" customFormat="1" x14ac:dyDescent="0.25">
      <c r="A12891" t="str">
        <f>"5934152"</f>
        <v>5934152</v>
      </c>
      <c r="B12891" t="s">
        <v>7709</v>
      </c>
      <c r="C12891" t="s">
        <v>11502</v>
      </c>
      <c r="D12891" s="21" t="s">
        <v>34</v>
      </c>
      <c r="E12891" s="21" t="s">
        <v>35</v>
      </c>
      <c r="F12891">
        <v>7590018</v>
      </c>
      <c r="G12891" t="s">
        <v>2807</v>
      </c>
      <c r="H12891" s="21">
        <v>911.67</v>
      </c>
    </row>
    <row r="12892" spans="1:8" customFormat="1" x14ac:dyDescent="0.25">
      <c r="A12892" t="str">
        <f>"442984"</f>
        <v>442984</v>
      </c>
      <c r="B12892" t="s">
        <v>431</v>
      </c>
      <c r="C12892" t="s">
        <v>246</v>
      </c>
      <c r="D12892" s="21" t="s">
        <v>34</v>
      </c>
      <c r="E12892" s="21" t="s">
        <v>254</v>
      </c>
      <c r="F12892">
        <v>12440260</v>
      </c>
      <c r="G12892" t="s">
        <v>26759</v>
      </c>
      <c r="H12892" s="21">
        <v>911.67</v>
      </c>
    </row>
    <row r="12893" spans="1:8" customFormat="1" x14ac:dyDescent="0.25">
      <c r="A12893" t="str">
        <f>"5419500"</f>
        <v>5419500</v>
      </c>
      <c r="B12893" t="s">
        <v>7626</v>
      </c>
      <c r="C12893" t="s">
        <v>249</v>
      </c>
      <c r="D12893" s="21" t="s">
        <v>34</v>
      </c>
      <c r="E12893" s="21" t="s">
        <v>71</v>
      </c>
      <c r="F12893">
        <v>10640003</v>
      </c>
      <c r="G12893" t="s">
        <v>1594</v>
      </c>
      <c r="H12893" s="21">
        <v>911.67</v>
      </c>
    </row>
    <row r="12894" spans="1:8" customFormat="1" x14ac:dyDescent="0.25">
      <c r="A12894" t="str">
        <f>"3714564"</f>
        <v>3714564</v>
      </c>
      <c r="B12894" t="s">
        <v>6588</v>
      </c>
      <c r="C12894" t="s">
        <v>598</v>
      </c>
      <c r="D12894" s="21" t="s">
        <v>34</v>
      </c>
      <c r="E12894" s="21" t="s">
        <v>35</v>
      </c>
      <c r="F12894">
        <v>11320032</v>
      </c>
      <c r="G12894" t="s">
        <v>5722</v>
      </c>
      <c r="H12894" s="21">
        <v>911.67</v>
      </c>
    </row>
    <row r="12895" spans="1:8" customFormat="1" x14ac:dyDescent="0.25">
      <c r="A12895" t="str">
        <f>"786474"</f>
        <v>786474</v>
      </c>
      <c r="B12895" t="s">
        <v>11835</v>
      </c>
      <c r="C12895" t="s">
        <v>233</v>
      </c>
      <c r="D12895" s="21" t="s">
        <v>34</v>
      </c>
      <c r="E12895" s="21" t="s">
        <v>254</v>
      </c>
      <c r="F12895">
        <v>8780571</v>
      </c>
      <c r="G12895" t="s">
        <v>2336</v>
      </c>
      <c r="H12895" s="21">
        <v>911.67</v>
      </c>
    </row>
    <row r="12896" spans="1:8" customFormat="1" x14ac:dyDescent="0.25">
      <c r="A12896" t="str">
        <f>"1715738"</f>
        <v>1715738</v>
      </c>
      <c r="B12896" t="s">
        <v>12779</v>
      </c>
      <c r="C12896" t="s">
        <v>288</v>
      </c>
      <c r="D12896" s="21" t="s">
        <v>34</v>
      </c>
      <c r="E12896" s="21" t="s">
        <v>35</v>
      </c>
      <c r="F12896">
        <v>10170046</v>
      </c>
      <c r="G12896" t="s">
        <v>7370</v>
      </c>
      <c r="H12896" s="21">
        <v>911.67</v>
      </c>
    </row>
    <row r="12897" spans="1:8" customFormat="1" x14ac:dyDescent="0.25">
      <c r="A12897" t="str">
        <f>"281331"</f>
        <v>281331</v>
      </c>
      <c r="B12897" t="s">
        <v>3270</v>
      </c>
      <c r="C12897" t="s">
        <v>2479</v>
      </c>
      <c r="D12897" s="21" t="s">
        <v>34</v>
      </c>
      <c r="E12897" s="21" t="s">
        <v>71</v>
      </c>
      <c r="F12897">
        <v>4280593</v>
      </c>
      <c r="G12897" t="s">
        <v>4536</v>
      </c>
      <c r="H12897" s="21">
        <v>911.67</v>
      </c>
    </row>
    <row r="12898" spans="1:8" customFormat="1" x14ac:dyDescent="0.25">
      <c r="A12898" t="str">
        <f>"1311380"</f>
        <v>1311380</v>
      </c>
      <c r="B12898" t="s">
        <v>10601</v>
      </c>
      <c r="C12898" t="s">
        <v>867</v>
      </c>
      <c r="D12898" s="21" t="s">
        <v>34</v>
      </c>
      <c r="E12898" s="21" t="s">
        <v>35</v>
      </c>
      <c r="F12898">
        <v>13130154</v>
      </c>
      <c r="G12898" t="s">
        <v>5503</v>
      </c>
      <c r="H12898" s="21">
        <v>911.67</v>
      </c>
    </row>
    <row r="12899" spans="1:8" customFormat="1" x14ac:dyDescent="0.25">
      <c r="A12899" t="str">
        <f>"294367"</f>
        <v>294367</v>
      </c>
      <c r="B12899" t="s">
        <v>3654</v>
      </c>
      <c r="C12899" t="s">
        <v>1812</v>
      </c>
      <c r="D12899" s="21" t="s">
        <v>34</v>
      </c>
      <c r="E12899" s="21" t="s">
        <v>1089</v>
      </c>
      <c r="F12899">
        <v>3290029</v>
      </c>
      <c r="G12899" t="s">
        <v>11486</v>
      </c>
      <c r="H12899" s="21">
        <v>911.67</v>
      </c>
    </row>
    <row r="12900" spans="1:8" customFormat="1" x14ac:dyDescent="0.25">
      <c r="A12900" t="str">
        <f>"145361"</f>
        <v>145361</v>
      </c>
      <c r="B12900" t="s">
        <v>12555</v>
      </c>
      <c r="C12900" t="s">
        <v>547</v>
      </c>
      <c r="D12900" s="21" t="s">
        <v>34</v>
      </c>
      <c r="E12900" s="21" t="s">
        <v>254</v>
      </c>
      <c r="F12900">
        <v>9140167</v>
      </c>
      <c r="G12900" t="s">
        <v>5116</v>
      </c>
      <c r="H12900" s="21">
        <v>911.67</v>
      </c>
    </row>
    <row r="12901" spans="1:8" customFormat="1" x14ac:dyDescent="0.25">
      <c r="A12901" t="str">
        <f>"4513456"</f>
        <v>4513456</v>
      </c>
      <c r="B12901" t="s">
        <v>14004</v>
      </c>
      <c r="C12901" t="s">
        <v>33</v>
      </c>
      <c r="D12901" s="21" t="s">
        <v>34</v>
      </c>
      <c r="E12901" s="21" t="s">
        <v>71</v>
      </c>
      <c r="F12901">
        <v>4450571</v>
      </c>
      <c r="G12901" t="s">
        <v>188</v>
      </c>
      <c r="H12901" s="21">
        <v>911.54</v>
      </c>
    </row>
    <row r="12902" spans="1:8" customFormat="1" x14ac:dyDescent="0.25">
      <c r="A12902" t="str">
        <f>"9520025"</f>
        <v>9520025</v>
      </c>
      <c r="B12902" t="s">
        <v>739</v>
      </c>
      <c r="C12902" t="s">
        <v>13895</v>
      </c>
      <c r="D12902" s="21" t="s">
        <v>34</v>
      </c>
      <c r="E12902" s="21" t="s">
        <v>71</v>
      </c>
      <c r="F12902">
        <v>8950083</v>
      </c>
      <c r="G12902" t="s">
        <v>405</v>
      </c>
      <c r="H12902" s="21">
        <v>911.54</v>
      </c>
    </row>
    <row r="12903" spans="1:8" customFormat="1" x14ac:dyDescent="0.25">
      <c r="A12903" t="str">
        <f>"533528"</f>
        <v>533528</v>
      </c>
      <c r="B12903" t="s">
        <v>12863</v>
      </c>
      <c r="C12903" t="s">
        <v>267</v>
      </c>
      <c r="D12903" s="21" t="s">
        <v>34</v>
      </c>
      <c r="E12903" s="21" t="s">
        <v>71</v>
      </c>
      <c r="F12903">
        <v>12530120</v>
      </c>
      <c r="G12903" t="s">
        <v>26791</v>
      </c>
      <c r="H12903" s="21">
        <v>911.42</v>
      </c>
    </row>
    <row r="12904" spans="1:8" customFormat="1" x14ac:dyDescent="0.25">
      <c r="A12904" t="str">
        <f>"7710882"</f>
        <v>7710882</v>
      </c>
      <c r="B12904" t="s">
        <v>13143</v>
      </c>
      <c r="C12904" t="s">
        <v>156</v>
      </c>
      <c r="D12904" s="21" t="s">
        <v>34</v>
      </c>
      <c r="E12904" s="21" t="s">
        <v>71</v>
      </c>
      <c r="F12904">
        <v>11650034</v>
      </c>
      <c r="G12904" t="s">
        <v>1989</v>
      </c>
      <c r="H12904" s="21">
        <v>911.42</v>
      </c>
    </row>
    <row r="12905" spans="1:8" customFormat="1" x14ac:dyDescent="0.25">
      <c r="A12905" t="str">
        <f>"083738"</f>
        <v>083738</v>
      </c>
      <c r="B12905" t="s">
        <v>1147</v>
      </c>
      <c r="C12905" t="s">
        <v>269</v>
      </c>
      <c r="D12905" s="21" t="s">
        <v>34</v>
      </c>
      <c r="E12905" s="21" t="s">
        <v>71</v>
      </c>
      <c r="F12905">
        <v>6080029</v>
      </c>
      <c r="G12905" t="s">
        <v>6788</v>
      </c>
      <c r="H12905" s="21">
        <v>911.29</v>
      </c>
    </row>
    <row r="12906" spans="1:8" customFormat="1" x14ac:dyDescent="0.25">
      <c r="A12906" t="str">
        <f>"503355"</f>
        <v>503355</v>
      </c>
      <c r="B12906" t="s">
        <v>2656</v>
      </c>
      <c r="C12906" t="s">
        <v>486</v>
      </c>
      <c r="D12906" s="21" t="s">
        <v>34</v>
      </c>
      <c r="E12906" s="21" t="s">
        <v>35</v>
      </c>
      <c r="F12906">
        <v>9500122</v>
      </c>
      <c r="G12906" t="s">
        <v>6164</v>
      </c>
      <c r="H12906" s="21">
        <v>911.17</v>
      </c>
    </row>
    <row r="12907" spans="1:8" customFormat="1" x14ac:dyDescent="0.25">
      <c r="A12907" t="str">
        <f>"349315"</f>
        <v>349315</v>
      </c>
      <c r="B12907" t="s">
        <v>12416</v>
      </c>
      <c r="C12907" t="s">
        <v>12417</v>
      </c>
      <c r="D12907" s="21" t="s">
        <v>34</v>
      </c>
      <c r="E12907" s="21" t="s">
        <v>254</v>
      </c>
      <c r="F12907">
        <v>11340040</v>
      </c>
      <c r="G12907" t="s">
        <v>5695</v>
      </c>
      <c r="H12907" s="21">
        <v>911.17</v>
      </c>
    </row>
    <row r="12908" spans="1:8" customFormat="1" x14ac:dyDescent="0.25">
      <c r="A12908" t="str">
        <f>"673459"</f>
        <v>673459</v>
      </c>
      <c r="B12908" t="s">
        <v>11328</v>
      </c>
      <c r="C12908" t="s">
        <v>124</v>
      </c>
      <c r="D12908" s="21" t="s">
        <v>34</v>
      </c>
      <c r="E12908" s="21" t="s">
        <v>71</v>
      </c>
      <c r="F12908">
        <v>6670078</v>
      </c>
      <c r="G12908" t="s">
        <v>11329</v>
      </c>
      <c r="H12908" s="21">
        <v>911.17</v>
      </c>
    </row>
    <row r="12909" spans="1:8" customFormat="1" x14ac:dyDescent="0.25">
      <c r="A12909" t="str">
        <f>"5615057"</f>
        <v>5615057</v>
      </c>
      <c r="B12909" t="s">
        <v>11654</v>
      </c>
      <c r="C12909" t="s">
        <v>65</v>
      </c>
      <c r="D12909" s="21" t="s">
        <v>34</v>
      </c>
      <c r="E12909" s="21" t="s">
        <v>35</v>
      </c>
      <c r="F12909">
        <v>3560038</v>
      </c>
      <c r="G12909" t="s">
        <v>3598</v>
      </c>
      <c r="H12909" s="21">
        <v>911.17</v>
      </c>
    </row>
    <row r="12910" spans="1:8" customFormat="1" x14ac:dyDescent="0.25">
      <c r="A12910" t="str">
        <f>"227572"</f>
        <v>227572</v>
      </c>
      <c r="B12910" t="s">
        <v>4124</v>
      </c>
      <c r="C12910" t="s">
        <v>598</v>
      </c>
      <c r="D12910" s="21" t="s">
        <v>34</v>
      </c>
      <c r="E12910" s="21" t="s">
        <v>71</v>
      </c>
      <c r="F12910">
        <v>3290087</v>
      </c>
      <c r="G12910" t="s">
        <v>364</v>
      </c>
      <c r="H12910" s="21">
        <v>911.17</v>
      </c>
    </row>
    <row r="12911" spans="1:8" customFormat="1" x14ac:dyDescent="0.25">
      <c r="A12911" t="str">
        <f>"14215"</f>
        <v>14215</v>
      </c>
      <c r="B12911" t="s">
        <v>11591</v>
      </c>
      <c r="C12911" t="s">
        <v>209</v>
      </c>
      <c r="D12911" s="21" t="s">
        <v>34</v>
      </c>
      <c r="E12911" s="21" t="s">
        <v>254</v>
      </c>
      <c r="F12911">
        <v>9140128</v>
      </c>
      <c r="G12911" t="s">
        <v>2798</v>
      </c>
      <c r="H12911" s="21">
        <v>911.17</v>
      </c>
    </row>
    <row r="12912" spans="1:8" customFormat="1" x14ac:dyDescent="0.25">
      <c r="A12912" t="str">
        <f>"5926877"</f>
        <v>5926877</v>
      </c>
      <c r="B12912" t="s">
        <v>2625</v>
      </c>
      <c r="C12912" t="s">
        <v>10481</v>
      </c>
      <c r="D12912" s="21" t="s">
        <v>34</v>
      </c>
      <c r="E12912" s="21" t="s">
        <v>35</v>
      </c>
      <c r="F12912">
        <v>7590400</v>
      </c>
      <c r="G12912" t="s">
        <v>26692</v>
      </c>
      <c r="H12912" s="21">
        <v>911.17</v>
      </c>
    </row>
    <row r="12913" spans="1:8" customFormat="1" x14ac:dyDescent="0.25">
      <c r="A12913" t="str">
        <f>"81985"</f>
        <v>81985</v>
      </c>
      <c r="B12913" t="s">
        <v>11658</v>
      </c>
      <c r="C12913" t="s">
        <v>171</v>
      </c>
      <c r="D12913" s="21" t="s">
        <v>34</v>
      </c>
      <c r="E12913" s="21" t="s">
        <v>71</v>
      </c>
      <c r="F12913">
        <v>11810001</v>
      </c>
      <c r="G12913" t="s">
        <v>26998</v>
      </c>
      <c r="H12913" s="21">
        <v>911.17</v>
      </c>
    </row>
    <row r="12914" spans="1:8" customFormat="1" x14ac:dyDescent="0.25">
      <c r="A12914" t="str">
        <f>"285796"</f>
        <v>285796</v>
      </c>
      <c r="B12914" t="s">
        <v>1263</v>
      </c>
      <c r="C12914" t="s">
        <v>209</v>
      </c>
      <c r="D12914" s="21" t="s">
        <v>34</v>
      </c>
      <c r="E12914" s="21" t="s">
        <v>71</v>
      </c>
      <c r="F12914">
        <v>4280705</v>
      </c>
      <c r="G12914" t="s">
        <v>4088</v>
      </c>
      <c r="H12914" s="21">
        <v>911.17</v>
      </c>
    </row>
    <row r="12915" spans="1:8" customFormat="1" x14ac:dyDescent="0.25">
      <c r="A12915" t="str">
        <f>"5942115"</f>
        <v>5942115</v>
      </c>
      <c r="B12915" t="s">
        <v>17931</v>
      </c>
      <c r="C12915" t="s">
        <v>147</v>
      </c>
      <c r="D12915" s="21" t="s">
        <v>34</v>
      </c>
      <c r="E12915" s="21" t="s">
        <v>35</v>
      </c>
      <c r="F12915">
        <v>7590251</v>
      </c>
      <c r="G12915" t="s">
        <v>9254</v>
      </c>
      <c r="H12915" s="21">
        <v>911.17</v>
      </c>
    </row>
    <row r="12916" spans="1:8" customFormat="1" x14ac:dyDescent="0.25">
      <c r="A12916" t="str">
        <f>"763340"</f>
        <v>763340</v>
      </c>
      <c r="B12916" t="s">
        <v>8239</v>
      </c>
      <c r="C12916" t="s">
        <v>462</v>
      </c>
      <c r="D12916" s="21" t="s">
        <v>34</v>
      </c>
      <c r="E12916" s="21" t="s">
        <v>35</v>
      </c>
      <c r="F12916">
        <v>9760082</v>
      </c>
      <c r="G12916" t="s">
        <v>2387</v>
      </c>
      <c r="H12916" s="21">
        <v>911.17</v>
      </c>
    </row>
    <row r="12917" spans="1:8" customFormat="1" x14ac:dyDescent="0.25">
      <c r="A12917" t="str">
        <f>"864730"</f>
        <v>864730</v>
      </c>
      <c r="B12917" t="s">
        <v>10019</v>
      </c>
      <c r="C12917" t="s">
        <v>87</v>
      </c>
      <c r="D12917" s="21" t="s">
        <v>34</v>
      </c>
      <c r="E12917" s="21" t="s">
        <v>35</v>
      </c>
      <c r="F12917">
        <v>10860187</v>
      </c>
      <c r="G12917" t="s">
        <v>9991</v>
      </c>
      <c r="H12917" s="21">
        <v>911.17</v>
      </c>
    </row>
    <row r="12918" spans="1:8" customFormat="1" x14ac:dyDescent="0.25">
      <c r="A12918" t="str">
        <f>"163621"</f>
        <v>163621</v>
      </c>
      <c r="B12918" t="s">
        <v>13172</v>
      </c>
      <c r="C12918" t="s">
        <v>202</v>
      </c>
      <c r="D12918" s="21" t="s">
        <v>34</v>
      </c>
      <c r="E12918" s="21" t="s">
        <v>71</v>
      </c>
      <c r="F12918">
        <v>10160030</v>
      </c>
      <c r="G12918" t="s">
        <v>13173</v>
      </c>
      <c r="H12918" s="21">
        <v>911.17</v>
      </c>
    </row>
    <row r="12919" spans="1:8" customFormat="1" x14ac:dyDescent="0.25">
      <c r="A12919" t="str">
        <f>"7632516"</f>
        <v>7632516</v>
      </c>
      <c r="B12919" t="s">
        <v>3528</v>
      </c>
      <c r="C12919" t="s">
        <v>1914</v>
      </c>
      <c r="D12919" s="21" t="s">
        <v>34</v>
      </c>
      <c r="E12919" s="21" t="s">
        <v>71</v>
      </c>
      <c r="F12919">
        <v>9760428</v>
      </c>
      <c r="G12919" t="s">
        <v>5081</v>
      </c>
      <c r="H12919" s="21">
        <v>911.17</v>
      </c>
    </row>
    <row r="12920" spans="1:8" customFormat="1" x14ac:dyDescent="0.25">
      <c r="A12920" t="str">
        <f>"9241720"</f>
        <v>9241720</v>
      </c>
      <c r="B12920" t="s">
        <v>17480</v>
      </c>
      <c r="C12920" t="s">
        <v>15362</v>
      </c>
      <c r="D12920" s="21" t="s">
        <v>34</v>
      </c>
      <c r="E12920" s="21" t="s">
        <v>35</v>
      </c>
      <c r="F12920">
        <v>8920505</v>
      </c>
      <c r="G12920" t="s">
        <v>12288</v>
      </c>
      <c r="H12920" s="21">
        <v>911.04</v>
      </c>
    </row>
    <row r="12921" spans="1:8" customFormat="1" x14ac:dyDescent="0.25">
      <c r="A12921" t="str">
        <f>"5324671"</f>
        <v>5324671</v>
      </c>
      <c r="B12921" t="s">
        <v>12603</v>
      </c>
      <c r="C12921" t="s">
        <v>87</v>
      </c>
      <c r="D12921" s="21" t="s">
        <v>34</v>
      </c>
      <c r="E12921" s="21" t="s">
        <v>35</v>
      </c>
      <c r="F12921">
        <v>12538907</v>
      </c>
      <c r="G12921" t="s">
        <v>9299</v>
      </c>
      <c r="H12921" s="21">
        <v>910.92</v>
      </c>
    </row>
    <row r="12922" spans="1:8" customFormat="1" x14ac:dyDescent="0.25">
      <c r="A12922" t="str">
        <f>"317370"</f>
        <v>317370</v>
      </c>
      <c r="B12922" t="s">
        <v>12800</v>
      </c>
      <c r="C12922" t="s">
        <v>233</v>
      </c>
      <c r="D12922" s="21" t="s">
        <v>34</v>
      </c>
      <c r="E12922" s="21" t="s">
        <v>35</v>
      </c>
      <c r="F12922">
        <v>11310064</v>
      </c>
      <c r="G12922" t="s">
        <v>931</v>
      </c>
      <c r="H12922" s="21">
        <v>910.92</v>
      </c>
    </row>
    <row r="12923" spans="1:8" customFormat="1" x14ac:dyDescent="0.25">
      <c r="A12923" t="str">
        <f>"5727300"</f>
        <v>5727300</v>
      </c>
      <c r="B12923" t="s">
        <v>11598</v>
      </c>
      <c r="C12923" t="s">
        <v>926</v>
      </c>
      <c r="D12923" s="21" t="s">
        <v>34</v>
      </c>
      <c r="E12923" s="21" t="s">
        <v>71</v>
      </c>
      <c r="F12923">
        <v>6570057</v>
      </c>
      <c r="G12923" t="s">
        <v>8333</v>
      </c>
      <c r="H12923" s="21">
        <v>910.92</v>
      </c>
    </row>
    <row r="12924" spans="1:8" customFormat="1" x14ac:dyDescent="0.25">
      <c r="A12924" t="str">
        <f>"593435"</f>
        <v>593435</v>
      </c>
      <c r="B12924" t="s">
        <v>10681</v>
      </c>
      <c r="C12924" t="s">
        <v>209</v>
      </c>
      <c r="D12924" s="21" t="s">
        <v>34</v>
      </c>
      <c r="E12924" s="21" t="s">
        <v>71</v>
      </c>
      <c r="F12924">
        <v>7590381</v>
      </c>
      <c r="G12924" t="s">
        <v>11048</v>
      </c>
      <c r="H12924" s="21">
        <v>910.67</v>
      </c>
    </row>
    <row r="12925" spans="1:8" customFormat="1" x14ac:dyDescent="0.25">
      <c r="A12925" t="str">
        <f>"3320613"</f>
        <v>3320613</v>
      </c>
      <c r="B12925" t="s">
        <v>697</v>
      </c>
      <c r="C12925" t="s">
        <v>462</v>
      </c>
      <c r="D12925" s="21" t="s">
        <v>34</v>
      </c>
      <c r="E12925" s="21" t="s">
        <v>71</v>
      </c>
      <c r="F12925">
        <v>10330050</v>
      </c>
      <c r="G12925" t="s">
        <v>2488</v>
      </c>
      <c r="H12925" s="21">
        <v>910.67</v>
      </c>
    </row>
    <row r="12926" spans="1:8" customFormat="1" x14ac:dyDescent="0.25">
      <c r="A12926" t="str">
        <f>"611074"</f>
        <v>611074</v>
      </c>
      <c r="B12926" t="s">
        <v>12330</v>
      </c>
      <c r="C12926" t="s">
        <v>328</v>
      </c>
      <c r="D12926" s="21" t="s">
        <v>34</v>
      </c>
      <c r="E12926" s="21" t="s">
        <v>71</v>
      </c>
      <c r="F12926">
        <v>9610104</v>
      </c>
      <c r="G12926" t="s">
        <v>7197</v>
      </c>
      <c r="H12926" s="21">
        <v>910.67</v>
      </c>
    </row>
    <row r="12927" spans="1:8" customFormat="1" x14ac:dyDescent="0.25">
      <c r="A12927" t="str">
        <f>"5947484"</f>
        <v>5947484</v>
      </c>
      <c r="B12927" t="s">
        <v>11566</v>
      </c>
      <c r="C12927" t="s">
        <v>415</v>
      </c>
      <c r="D12927" s="21" t="s">
        <v>34</v>
      </c>
      <c r="E12927" s="21" t="s">
        <v>71</v>
      </c>
      <c r="F12927">
        <v>7620119</v>
      </c>
      <c r="G12927" t="s">
        <v>5233</v>
      </c>
      <c r="H12927" s="21">
        <v>910.67</v>
      </c>
    </row>
    <row r="12928" spans="1:8" customFormat="1" x14ac:dyDescent="0.25">
      <c r="A12928" t="str">
        <f>"77385"</f>
        <v>77385</v>
      </c>
      <c r="B12928" t="s">
        <v>11633</v>
      </c>
      <c r="C12928" t="s">
        <v>124</v>
      </c>
      <c r="D12928" s="21" t="s">
        <v>34</v>
      </c>
      <c r="E12928" s="21" t="s">
        <v>35</v>
      </c>
      <c r="F12928">
        <v>8770377</v>
      </c>
      <c r="G12928" t="s">
        <v>4862</v>
      </c>
      <c r="H12928" s="21">
        <v>910.67</v>
      </c>
    </row>
    <row r="12929" spans="1:8" customFormat="1" x14ac:dyDescent="0.25">
      <c r="A12929" t="str">
        <f>"901207"</f>
        <v>901207</v>
      </c>
      <c r="B12929" t="s">
        <v>10732</v>
      </c>
      <c r="C12929" t="s">
        <v>2730</v>
      </c>
      <c r="D12929" s="21" t="s">
        <v>34</v>
      </c>
      <c r="E12929" s="21" t="s">
        <v>71</v>
      </c>
      <c r="F12929">
        <v>2900038</v>
      </c>
      <c r="G12929" t="s">
        <v>6415</v>
      </c>
      <c r="H12929" s="21">
        <v>910.67</v>
      </c>
    </row>
    <row r="12930" spans="1:8" customFormat="1" x14ac:dyDescent="0.25">
      <c r="A12930" t="str">
        <f>"2712033"</f>
        <v>2712033</v>
      </c>
      <c r="B12930" t="s">
        <v>11607</v>
      </c>
      <c r="C12930" t="s">
        <v>2305</v>
      </c>
      <c r="D12930" s="21" t="s">
        <v>34</v>
      </c>
      <c r="E12930" s="21" t="s">
        <v>254</v>
      </c>
      <c r="F12930">
        <v>9270110</v>
      </c>
      <c r="G12930" t="s">
        <v>7417</v>
      </c>
      <c r="H12930" s="21">
        <v>910.67</v>
      </c>
    </row>
    <row r="12931" spans="1:8" customFormat="1" x14ac:dyDescent="0.25">
      <c r="A12931" t="str">
        <f>"4922121"</f>
        <v>4922121</v>
      </c>
      <c r="B12931" t="s">
        <v>3486</v>
      </c>
      <c r="C12931" t="s">
        <v>139</v>
      </c>
      <c r="D12931" s="21" t="s">
        <v>34</v>
      </c>
      <c r="E12931" s="21" t="s">
        <v>35</v>
      </c>
      <c r="F12931">
        <v>12490036</v>
      </c>
      <c r="G12931" t="s">
        <v>6557</v>
      </c>
      <c r="H12931" s="21">
        <v>910.67</v>
      </c>
    </row>
    <row r="12932" spans="1:8" customFormat="1" x14ac:dyDescent="0.25">
      <c r="A12932" t="str">
        <f>"5914947"</f>
        <v>5914947</v>
      </c>
      <c r="B12932" t="s">
        <v>27273</v>
      </c>
      <c r="C12932" t="s">
        <v>285</v>
      </c>
      <c r="D12932" s="21" t="s">
        <v>34</v>
      </c>
      <c r="E12932" s="21" t="s">
        <v>35</v>
      </c>
      <c r="F12932">
        <v>7590027</v>
      </c>
      <c r="G12932" t="s">
        <v>629</v>
      </c>
      <c r="H12932" s="21">
        <v>910.67</v>
      </c>
    </row>
    <row r="12933" spans="1:8" customFormat="1" x14ac:dyDescent="0.25">
      <c r="A12933" t="str">
        <f>"6312504"</f>
        <v>6312504</v>
      </c>
      <c r="B12933" t="s">
        <v>12616</v>
      </c>
      <c r="C12933" t="s">
        <v>87</v>
      </c>
      <c r="D12933" s="21" t="s">
        <v>34</v>
      </c>
      <c r="E12933" s="21" t="s">
        <v>35</v>
      </c>
      <c r="F12933">
        <v>1630015</v>
      </c>
      <c r="G12933" t="s">
        <v>2097</v>
      </c>
      <c r="H12933" s="21">
        <v>910.67</v>
      </c>
    </row>
    <row r="12934" spans="1:8" customFormat="1" x14ac:dyDescent="0.25">
      <c r="A12934" t="str">
        <f>"67329"</f>
        <v>67329</v>
      </c>
      <c r="B12934" t="s">
        <v>14204</v>
      </c>
      <c r="C12934" t="s">
        <v>239</v>
      </c>
      <c r="D12934" s="21" t="s">
        <v>34</v>
      </c>
      <c r="E12934" s="21" t="s">
        <v>71</v>
      </c>
      <c r="F12934">
        <v>6670014</v>
      </c>
      <c r="G12934" t="s">
        <v>4258</v>
      </c>
      <c r="H12934" s="21">
        <v>910.67</v>
      </c>
    </row>
    <row r="12935" spans="1:8" customFormat="1" x14ac:dyDescent="0.25">
      <c r="A12935" t="str">
        <f>"323235"</f>
        <v>323235</v>
      </c>
      <c r="B12935" t="s">
        <v>12363</v>
      </c>
      <c r="C12935" t="s">
        <v>547</v>
      </c>
      <c r="D12935" s="21" t="s">
        <v>34</v>
      </c>
      <c r="E12935" s="21" t="s">
        <v>254</v>
      </c>
      <c r="F12935">
        <v>11320042</v>
      </c>
      <c r="G12935" t="s">
        <v>234</v>
      </c>
      <c r="H12935" s="21">
        <v>910.67</v>
      </c>
    </row>
    <row r="12936" spans="1:8" customFormat="1" x14ac:dyDescent="0.25">
      <c r="A12936" t="str">
        <f>"494898"</f>
        <v>494898</v>
      </c>
      <c r="B12936" t="s">
        <v>11948</v>
      </c>
      <c r="C12936" t="s">
        <v>781</v>
      </c>
      <c r="D12936" s="21" t="s">
        <v>34</v>
      </c>
      <c r="E12936" s="21" t="s">
        <v>71</v>
      </c>
      <c r="F12936">
        <v>12490036</v>
      </c>
      <c r="G12936" t="s">
        <v>6557</v>
      </c>
      <c r="H12936" s="21">
        <v>910.67</v>
      </c>
    </row>
    <row r="12937" spans="1:8" customFormat="1" x14ac:dyDescent="0.25">
      <c r="A12937" t="str">
        <f>"881758"</f>
        <v>881758</v>
      </c>
      <c r="B12937" t="s">
        <v>11821</v>
      </c>
      <c r="C12937" t="s">
        <v>263</v>
      </c>
      <c r="D12937" s="21" t="s">
        <v>34</v>
      </c>
      <c r="E12937" s="21" t="s">
        <v>254</v>
      </c>
      <c r="F12937">
        <v>6880002</v>
      </c>
      <c r="G12937" t="s">
        <v>501</v>
      </c>
      <c r="H12937" s="21">
        <v>910.67</v>
      </c>
    </row>
    <row r="12938" spans="1:8" customFormat="1" x14ac:dyDescent="0.25">
      <c r="A12938" t="str">
        <f>"3529382"</f>
        <v>3529382</v>
      </c>
      <c r="B12938" t="s">
        <v>824</v>
      </c>
      <c r="C12938" t="s">
        <v>139</v>
      </c>
      <c r="D12938" s="21" t="s">
        <v>34</v>
      </c>
      <c r="E12938" s="21" t="s">
        <v>35</v>
      </c>
      <c r="F12938">
        <v>3350027</v>
      </c>
      <c r="G12938" t="s">
        <v>2760</v>
      </c>
      <c r="H12938" s="21">
        <v>910.29</v>
      </c>
    </row>
    <row r="12939" spans="1:8" customFormat="1" x14ac:dyDescent="0.25">
      <c r="A12939" t="str">
        <f>"5962793"</f>
        <v>5962793</v>
      </c>
      <c r="B12939" t="s">
        <v>11912</v>
      </c>
      <c r="C12939" t="s">
        <v>263</v>
      </c>
      <c r="D12939" s="21" t="s">
        <v>34</v>
      </c>
      <c r="E12939" s="21" t="s">
        <v>71</v>
      </c>
      <c r="F12939">
        <v>7590260</v>
      </c>
      <c r="G12939" t="s">
        <v>3043</v>
      </c>
      <c r="H12939" s="21">
        <v>910.17</v>
      </c>
    </row>
    <row r="12940" spans="1:8" customFormat="1" x14ac:dyDescent="0.25">
      <c r="A12940" t="str">
        <f>"30880"</f>
        <v>30880</v>
      </c>
      <c r="B12940" t="s">
        <v>11662</v>
      </c>
      <c r="C12940" t="s">
        <v>87</v>
      </c>
      <c r="D12940" s="21" t="s">
        <v>34</v>
      </c>
      <c r="E12940" s="21" t="s">
        <v>35</v>
      </c>
      <c r="F12940">
        <v>11300014</v>
      </c>
      <c r="G12940" t="s">
        <v>2345</v>
      </c>
      <c r="H12940" s="21">
        <v>910.17</v>
      </c>
    </row>
    <row r="12941" spans="1:8" customFormat="1" x14ac:dyDescent="0.25">
      <c r="A12941" t="str">
        <f>"4924052"</f>
        <v>4924052</v>
      </c>
      <c r="B12941" t="s">
        <v>1533</v>
      </c>
      <c r="C12941" t="s">
        <v>621</v>
      </c>
      <c r="D12941" s="21" t="s">
        <v>34</v>
      </c>
      <c r="E12941" s="21" t="s">
        <v>35</v>
      </c>
      <c r="F12941">
        <v>12490131</v>
      </c>
      <c r="G12941" t="s">
        <v>12847</v>
      </c>
      <c r="H12941" s="21">
        <v>910.17</v>
      </c>
    </row>
    <row r="12942" spans="1:8" customFormat="1" x14ac:dyDescent="0.25">
      <c r="A12942" t="str">
        <f>"606076"</f>
        <v>606076</v>
      </c>
      <c r="B12942" t="s">
        <v>7784</v>
      </c>
      <c r="C12942" t="s">
        <v>40</v>
      </c>
      <c r="D12942" s="21" t="s">
        <v>34</v>
      </c>
      <c r="E12942" s="21" t="s">
        <v>254</v>
      </c>
      <c r="F12942">
        <v>7600044</v>
      </c>
      <c r="G12942" t="s">
        <v>3411</v>
      </c>
      <c r="H12942" s="21">
        <v>910.17</v>
      </c>
    </row>
    <row r="12943" spans="1:8" customFormat="1" x14ac:dyDescent="0.25">
      <c r="A12943" t="str">
        <f>"7219830"</f>
        <v>7219830</v>
      </c>
      <c r="B12943" t="s">
        <v>402</v>
      </c>
      <c r="C12943" t="s">
        <v>2100</v>
      </c>
      <c r="D12943" s="21" t="s">
        <v>34</v>
      </c>
      <c r="E12943" s="21" t="s">
        <v>254</v>
      </c>
      <c r="F12943">
        <v>12720052</v>
      </c>
      <c r="G12943" t="s">
        <v>9628</v>
      </c>
      <c r="H12943" s="21">
        <v>910.17</v>
      </c>
    </row>
    <row r="12944" spans="1:8" customFormat="1" x14ac:dyDescent="0.25">
      <c r="A12944" t="str">
        <f>"6910525"</f>
        <v>6910525</v>
      </c>
      <c r="B12944" t="s">
        <v>13260</v>
      </c>
      <c r="C12944" t="s">
        <v>825</v>
      </c>
      <c r="D12944" s="21" t="s">
        <v>34</v>
      </c>
      <c r="E12944" s="21" t="s">
        <v>71</v>
      </c>
      <c r="F12944">
        <v>1690162</v>
      </c>
      <c r="G12944" t="s">
        <v>7358</v>
      </c>
      <c r="H12944" s="21">
        <v>910.17</v>
      </c>
    </row>
    <row r="12945" spans="1:8" customFormat="1" x14ac:dyDescent="0.25">
      <c r="A12945" t="str">
        <f>"853991"</f>
        <v>853991</v>
      </c>
      <c r="B12945" t="s">
        <v>13159</v>
      </c>
      <c r="C12945" t="s">
        <v>817</v>
      </c>
      <c r="D12945" s="21" t="s">
        <v>34</v>
      </c>
      <c r="E12945" s="21" t="s">
        <v>71</v>
      </c>
      <c r="F12945">
        <v>12850104</v>
      </c>
      <c r="G12945" t="s">
        <v>6556</v>
      </c>
      <c r="H12945" s="21">
        <v>910.17</v>
      </c>
    </row>
    <row r="12946" spans="1:8" customFormat="1" x14ac:dyDescent="0.25">
      <c r="A12946" t="str">
        <f>"228588"</f>
        <v>228588</v>
      </c>
      <c r="B12946" t="s">
        <v>690</v>
      </c>
      <c r="C12946" t="s">
        <v>124</v>
      </c>
      <c r="D12946" s="21" t="s">
        <v>34</v>
      </c>
      <c r="E12946" s="21" t="s">
        <v>71</v>
      </c>
      <c r="F12946">
        <v>3220087</v>
      </c>
      <c r="G12946" t="s">
        <v>3540</v>
      </c>
      <c r="H12946" s="21">
        <v>910.17</v>
      </c>
    </row>
    <row r="12947" spans="1:8" customFormat="1" x14ac:dyDescent="0.25">
      <c r="A12947" t="str">
        <f>"633163"</f>
        <v>633163</v>
      </c>
      <c r="B12947" t="s">
        <v>12539</v>
      </c>
      <c r="C12947" t="s">
        <v>412</v>
      </c>
      <c r="D12947" s="21" t="s">
        <v>34</v>
      </c>
      <c r="E12947" s="21" t="s">
        <v>254</v>
      </c>
      <c r="F12947">
        <v>1630287</v>
      </c>
      <c r="G12947" t="s">
        <v>9906</v>
      </c>
      <c r="H12947" s="21">
        <v>910.17</v>
      </c>
    </row>
    <row r="12948" spans="1:8" customFormat="1" x14ac:dyDescent="0.25">
      <c r="A12948" t="str">
        <f>"015149"</f>
        <v>015149</v>
      </c>
      <c r="B12948" t="s">
        <v>11964</v>
      </c>
      <c r="C12948" t="s">
        <v>109</v>
      </c>
      <c r="D12948" s="21" t="s">
        <v>34</v>
      </c>
      <c r="E12948" s="21" t="s">
        <v>35</v>
      </c>
      <c r="F12948">
        <v>1010054</v>
      </c>
      <c r="G12948" t="s">
        <v>8991</v>
      </c>
      <c r="H12948" s="21">
        <v>910.17</v>
      </c>
    </row>
    <row r="12949" spans="1:8" customFormat="1" x14ac:dyDescent="0.25">
      <c r="A12949" t="str">
        <f>"6711806"</f>
        <v>6711806</v>
      </c>
      <c r="B12949" t="s">
        <v>12590</v>
      </c>
      <c r="C12949" t="s">
        <v>4857</v>
      </c>
      <c r="D12949" s="21" t="s">
        <v>34</v>
      </c>
      <c r="E12949" s="21" t="s">
        <v>71</v>
      </c>
      <c r="F12949">
        <v>6670183</v>
      </c>
      <c r="G12949" t="s">
        <v>670</v>
      </c>
      <c r="H12949" s="21">
        <v>910.17</v>
      </c>
    </row>
    <row r="12950" spans="1:8" customFormat="1" x14ac:dyDescent="0.25">
      <c r="A12950" t="str">
        <f>"6310595"</f>
        <v>6310595</v>
      </c>
      <c r="B12950" t="s">
        <v>11862</v>
      </c>
      <c r="C12950" t="s">
        <v>267</v>
      </c>
      <c r="D12950" s="21" t="s">
        <v>34</v>
      </c>
      <c r="E12950" s="21" t="s">
        <v>35</v>
      </c>
      <c r="F12950" t="s">
        <v>6169</v>
      </c>
      <c r="G12950" t="s">
        <v>6170</v>
      </c>
      <c r="H12950" s="21">
        <v>910.17</v>
      </c>
    </row>
    <row r="12951" spans="1:8" customFormat="1" x14ac:dyDescent="0.25">
      <c r="A12951" t="str">
        <f>"2510927"</f>
        <v>2510927</v>
      </c>
      <c r="B12951" t="s">
        <v>8244</v>
      </c>
      <c r="C12951" t="s">
        <v>462</v>
      </c>
      <c r="D12951" s="21" t="s">
        <v>34</v>
      </c>
      <c r="E12951" s="21" t="s">
        <v>71</v>
      </c>
      <c r="F12951">
        <v>2250024</v>
      </c>
      <c r="G12951" t="s">
        <v>751</v>
      </c>
      <c r="H12951" s="21">
        <v>910.17</v>
      </c>
    </row>
    <row r="12952" spans="1:8" customFormat="1" x14ac:dyDescent="0.25">
      <c r="A12952" t="str">
        <f>"036828"</f>
        <v>036828</v>
      </c>
      <c r="B12952" t="s">
        <v>10441</v>
      </c>
      <c r="C12952" t="s">
        <v>119</v>
      </c>
      <c r="D12952" s="21" t="s">
        <v>34</v>
      </c>
      <c r="E12952" s="21" t="s">
        <v>71</v>
      </c>
      <c r="F12952">
        <v>1030212</v>
      </c>
      <c r="G12952" t="s">
        <v>3479</v>
      </c>
      <c r="H12952" s="21">
        <v>910.17</v>
      </c>
    </row>
    <row r="12953" spans="1:8" customFormat="1" x14ac:dyDescent="0.25">
      <c r="A12953" t="str">
        <f>"5613775"</f>
        <v>5613775</v>
      </c>
      <c r="B12953" t="s">
        <v>4301</v>
      </c>
      <c r="C12953" t="s">
        <v>169</v>
      </c>
      <c r="D12953" s="21" t="s">
        <v>34</v>
      </c>
      <c r="E12953" s="21" t="s">
        <v>35</v>
      </c>
      <c r="F12953">
        <v>3560007</v>
      </c>
      <c r="G12953" t="s">
        <v>10211</v>
      </c>
      <c r="H12953" s="21">
        <v>909.92</v>
      </c>
    </row>
    <row r="12954" spans="1:8" customFormat="1" x14ac:dyDescent="0.25">
      <c r="A12954" t="str">
        <f>"3329741"</f>
        <v>3329741</v>
      </c>
      <c r="B12954" t="s">
        <v>23373</v>
      </c>
      <c r="C12954" t="s">
        <v>60</v>
      </c>
      <c r="D12954" s="21" t="s">
        <v>34</v>
      </c>
      <c r="E12954" s="21" t="s">
        <v>35</v>
      </c>
      <c r="F12954">
        <v>10330125</v>
      </c>
      <c r="G12954" t="s">
        <v>3753</v>
      </c>
      <c r="H12954" s="21">
        <v>909.92</v>
      </c>
    </row>
    <row r="12955" spans="1:8" customFormat="1" x14ac:dyDescent="0.25">
      <c r="A12955" t="str">
        <f>"5946145"</f>
        <v>5946145</v>
      </c>
      <c r="B12955" t="s">
        <v>13270</v>
      </c>
      <c r="C12955" t="s">
        <v>124</v>
      </c>
      <c r="D12955" s="21" t="s">
        <v>34</v>
      </c>
      <c r="E12955" s="21" t="s">
        <v>254</v>
      </c>
      <c r="F12955">
        <v>7590087</v>
      </c>
      <c r="G12955" t="s">
        <v>2112</v>
      </c>
      <c r="H12955" s="21">
        <v>909.92</v>
      </c>
    </row>
    <row r="12956" spans="1:8" customFormat="1" x14ac:dyDescent="0.25">
      <c r="A12956" t="str">
        <f>"9135963"</f>
        <v>9135963</v>
      </c>
      <c r="B12956" t="s">
        <v>11643</v>
      </c>
      <c r="C12956" t="s">
        <v>109</v>
      </c>
      <c r="D12956" s="21" t="s">
        <v>34</v>
      </c>
      <c r="E12956" s="21" t="s">
        <v>71</v>
      </c>
      <c r="F12956">
        <v>8910652</v>
      </c>
      <c r="G12956" t="s">
        <v>6533</v>
      </c>
      <c r="H12956" s="21">
        <v>909.67</v>
      </c>
    </row>
    <row r="12957" spans="1:8" customFormat="1" x14ac:dyDescent="0.25">
      <c r="A12957" t="str">
        <f>"6211100"</f>
        <v>6211100</v>
      </c>
      <c r="B12957" t="s">
        <v>11396</v>
      </c>
      <c r="C12957" t="s">
        <v>10915</v>
      </c>
      <c r="D12957" s="21" t="s">
        <v>34</v>
      </c>
      <c r="E12957" s="21" t="s">
        <v>1089</v>
      </c>
      <c r="F12957">
        <v>7620169</v>
      </c>
      <c r="G12957" t="s">
        <v>7116</v>
      </c>
      <c r="H12957" s="21">
        <v>909.67</v>
      </c>
    </row>
    <row r="12958" spans="1:8" customFormat="1" x14ac:dyDescent="0.25">
      <c r="A12958" t="str">
        <f>"4518114"</f>
        <v>4518114</v>
      </c>
      <c r="B12958" t="s">
        <v>1892</v>
      </c>
      <c r="C12958" t="s">
        <v>33</v>
      </c>
      <c r="D12958" s="21" t="s">
        <v>34</v>
      </c>
      <c r="E12958" s="21" t="s">
        <v>71</v>
      </c>
      <c r="F12958">
        <v>4450295</v>
      </c>
      <c r="G12958" t="s">
        <v>9193</v>
      </c>
      <c r="H12958" s="21">
        <v>909.67</v>
      </c>
    </row>
    <row r="12959" spans="1:8" customFormat="1" x14ac:dyDescent="0.25">
      <c r="A12959" t="str">
        <f>"292584"</f>
        <v>292584</v>
      </c>
      <c r="B12959" t="s">
        <v>7752</v>
      </c>
      <c r="C12959" t="s">
        <v>598</v>
      </c>
      <c r="D12959" s="21" t="s">
        <v>34</v>
      </c>
      <c r="E12959" s="21" t="s">
        <v>254</v>
      </c>
      <c r="F12959">
        <v>3290047</v>
      </c>
      <c r="G12959" t="s">
        <v>2874</v>
      </c>
      <c r="H12959" s="21">
        <v>909.67</v>
      </c>
    </row>
    <row r="12960" spans="1:8" customFormat="1" x14ac:dyDescent="0.25">
      <c r="A12960" t="str">
        <f>"641316"</f>
        <v>641316</v>
      </c>
      <c r="B12960" t="s">
        <v>2082</v>
      </c>
      <c r="C12960" t="s">
        <v>453</v>
      </c>
      <c r="D12960" s="21" t="s">
        <v>34</v>
      </c>
      <c r="E12960" s="21" t="s">
        <v>71</v>
      </c>
      <c r="F12960">
        <v>10640014</v>
      </c>
      <c r="G12960" t="s">
        <v>3327</v>
      </c>
      <c r="H12960" s="21">
        <v>909.67</v>
      </c>
    </row>
    <row r="12961" spans="1:8" customFormat="1" x14ac:dyDescent="0.25">
      <c r="A12961" t="str">
        <f>"7712865"</f>
        <v>7712865</v>
      </c>
      <c r="B12961" t="s">
        <v>12867</v>
      </c>
      <c r="C12961" t="s">
        <v>12868</v>
      </c>
      <c r="D12961" s="21" t="s">
        <v>34</v>
      </c>
      <c r="E12961" s="21" t="s">
        <v>71</v>
      </c>
      <c r="F12961">
        <v>8770237</v>
      </c>
      <c r="G12961" t="s">
        <v>128</v>
      </c>
      <c r="H12961" s="21">
        <v>909.67</v>
      </c>
    </row>
    <row r="12962" spans="1:8" customFormat="1" x14ac:dyDescent="0.25">
      <c r="A12962" t="str">
        <f>"025141"</f>
        <v>025141</v>
      </c>
      <c r="B12962" t="s">
        <v>5606</v>
      </c>
      <c r="C12962" t="s">
        <v>98</v>
      </c>
      <c r="D12962" s="21" t="s">
        <v>34</v>
      </c>
      <c r="E12962" s="21" t="s">
        <v>35</v>
      </c>
      <c r="F12962">
        <v>3350092</v>
      </c>
      <c r="G12962" t="s">
        <v>26881</v>
      </c>
      <c r="H12962" s="21">
        <v>909.67</v>
      </c>
    </row>
    <row r="12963" spans="1:8" customFormat="1" x14ac:dyDescent="0.25">
      <c r="A12963" t="str">
        <f>"5931186"</f>
        <v>5931186</v>
      </c>
      <c r="B12963" t="s">
        <v>9717</v>
      </c>
      <c r="C12963" t="s">
        <v>204</v>
      </c>
      <c r="D12963" s="21" t="s">
        <v>34</v>
      </c>
      <c r="E12963" s="21" t="s">
        <v>35</v>
      </c>
      <c r="F12963">
        <v>7620079</v>
      </c>
      <c r="G12963" t="s">
        <v>9718</v>
      </c>
      <c r="H12963" s="21">
        <v>909.67</v>
      </c>
    </row>
    <row r="12964" spans="1:8" customFormat="1" x14ac:dyDescent="0.25">
      <c r="A12964" t="str">
        <f>"5962984"</f>
        <v>5962984</v>
      </c>
      <c r="B12964" t="s">
        <v>13345</v>
      </c>
      <c r="C12964" t="s">
        <v>98</v>
      </c>
      <c r="D12964" s="21" t="s">
        <v>34</v>
      </c>
      <c r="E12964" s="21" t="s">
        <v>35</v>
      </c>
      <c r="F12964">
        <v>6570190</v>
      </c>
      <c r="G12964" t="s">
        <v>622</v>
      </c>
      <c r="H12964" s="21">
        <v>909.67</v>
      </c>
    </row>
    <row r="12965" spans="1:8" customFormat="1" x14ac:dyDescent="0.25">
      <c r="A12965" t="str">
        <f>"013501"</f>
        <v>013501</v>
      </c>
      <c r="B12965" t="s">
        <v>5118</v>
      </c>
      <c r="C12965" t="s">
        <v>2479</v>
      </c>
      <c r="D12965" s="21" t="s">
        <v>34</v>
      </c>
      <c r="E12965" s="21" t="s">
        <v>254</v>
      </c>
      <c r="F12965">
        <v>1420164</v>
      </c>
      <c r="G12965" t="s">
        <v>11644</v>
      </c>
      <c r="H12965" s="21">
        <v>909.67</v>
      </c>
    </row>
    <row r="12966" spans="1:8" customFormat="1" x14ac:dyDescent="0.25">
      <c r="A12966" t="str">
        <f>"86700"</f>
        <v>86700</v>
      </c>
      <c r="B12966" t="s">
        <v>3288</v>
      </c>
      <c r="C12966" t="s">
        <v>144</v>
      </c>
      <c r="D12966" s="21" t="s">
        <v>34</v>
      </c>
      <c r="E12966" s="21" t="s">
        <v>71</v>
      </c>
      <c r="F12966">
        <v>10860231</v>
      </c>
      <c r="G12966" t="s">
        <v>7294</v>
      </c>
      <c r="H12966" s="21">
        <v>909.67</v>
      </c>
    </row>
    <row r="12967" spans="1:8" customFormat="1" x14ac:dyDescent="0.25">
      <c r="A12967" t="str">
        <f>"2713828"</f>
        <v>2713828</v>
      </c>
      <c r="B12967" t="s">
        <v>1236</v>
      </c>
      <c r="C12967" t="s">
        <v>3662</v>
      </c>
      <c r="D12967" s="21" t="s">
        <v>34</v>
      </c>
      <c r="E12967" s="21" t="s">
        <v>71</v>
      </c>
      <c r="F12967">
        <v>9270089</v>
      </c>
      <c r="G12967" t="s">
        <v>1009</v>
      </c>
      <c r="H12967" s="21">
        <v>909.67</v>
      </c>
    </row>
    <row r="12968" spans="1:8" customFormat="1" x14ac:dyDescent="0.25">
      <c r="A12968" t="str">
        <f>"364044"</f>
        <v>364044</v>
      </c>
      <c r="B12968" t="s">
        <v>10802</v>
      </c>
      <c r="C12968" t="s">
        <v>65</v>
      </c>
      <c r="D12968" s="21" t="s">
        <v>34</v>
      </c>
      <c r="E12968" s="21" t="s">
        <v>35</v>
      </c>
      <c r="F12968">
        <v>4360341</v>
      </c>
      <c r="G12968" t="s">
        <v>4912</v>
      </c>
      <c r="H12968" s="21">
        <v>909.67</v>
      </c>
    </row>
    <row r="12969" spans="1:8" customFormat="1" x14ac:dyDescent="0.25">
      <c r="A12969" t="str">
        <f>"4438605"</f>
        <v>4438605</v>
      </c>
      <c r="B12969" t="s">
        <v>6337</v>
      </c>
      <c r="C12969" t="s">
        <v>1271</v>
      </c>
      <c r="D12969" s="21" t="s">
        <v>34</v>
      </c>
      <c r="E12969" s="21" t="s">
        <v>71</v>
      </c>
      <c r="F12969">
        <v>12440274</v>
      </c>
      <c r="G12969" t="s">
        <v>3459</v>
      </c>
      <c r="H12969" s="21">
        <v>909.67</v>
      </c>
    </row>
    <row r="12970" spans="1:8" customFormat="1" x14ac:dyDescent="0.25">
      <c r="A12970" t="str">
        <f>"9516266"</f>
        <v>9516266</v>
      </c>
      <c r="B12970" t="s">
        <v>6309</v>
      </c>
      <c r="C12970" t="s">
        <v>598</v>
      </c>
      <c r="D12970" s="21" t="s">
        <v>34</v>
      </c>
      <c r="E12970" s="21" t="s">
        <v>71</v>
      </c>
      <c r="F12970">
        <v>8950088</v>
      </c>
      <c r="G12970" t="s">
        <v>11015</v>
      </c>
      <c r="H12970" s="21">
        <v>909.67</v>
      </c>
    </row>
    <row r="12971" spans="1:8" customFormat="1" x14ac:dyDescent="0.25">
      <c r="A12971" t="str">
        <f>"2718326"</f>
        <v>2718326</v>
      </c>
      <c r="B12971" t="s">
        <v>556</v>
      </c>
      <c r="C12971" t="s">
        <v>55</v>
      </c>
      <c r="D12971" s="21" t="s">
        <v>34</v>
      </c>
      <c r="E12971" s="21" t="s">
        <v>35</v>
      </c>
      <c r="F12971">
        <v>9270139</v>
      </c>
      <c r="G12971" t="s">
        <v>6955</v>
      </c>
      <c r="H12971" s="21">
        <v>909.67</v>
      </c>
    </row>
    <row r="12972" spans="1:8" customFormat="1" x14ac:dyDescent="0.25">
      <c r="A12972" t="str">
        <f>"124988"</f>
        <v>124988</v>
      </c>
      <c r="B12972" t="s">
        <v>2125</v>
      </c>
      <c r="C12972" t="s">
        <v>1782</v>
      </c>
      <c r="D12972" s="21" t="s">
        <v>34</v>
      </c>
      <c r="E12972" s="21" t="s">
        <v>35</v>
      </c>
      <c r="F12972">
        <v>11120004</v>
      </c>
      <c r="G12972" t="s">
        <v>2311</v>
      </c>
      <c r="H12972" s="21">
        <v>909.54</v>
      </c>
    </row>
    <row r="12973" spans="1:8" customFormat="1" x14ac:dyDescent="0.25">
      <c r="A12973" t="str">
        <f>"723324"</f>
        <v>723324</v>
      </c>
      <c r="B12973" t="s">
        <v>2775</v>
      </c>
      <c r="C12973" t="s">
        <v>267</v>
      </c>
      <c r="D12973" s="21" t="s">
        <v>34</v>
      </c>
      <c r="E12973" s="21" t="s">
        <v>71</v>
      </c>
      <c r="F12973">
        <v>12850063</v>
      </c>
      <c r="G12973" t="s">
        <v>10302</v>
      </c>
      <c r="H12973" s="21">
        <v>909.5</v>
      </c>
    </row>
    <row r="12974" spans="1:8" customFormat="1" x14ac:dyDescent="0.25">
      <c r="A12974" t="str">
        <f>"5611226"</f>
        <v>5611226</v>
      </c>
      <c r="B12974" t="s">
        <v>3760</v>
      </c>
      <c r="C12974" t="s">
        <v>428</v>
      </c>
      <c r="D12974" s="21" t="s">
        <v>34</v>
      </c>
      <c r="E12974" s="21" t="s">
        <v>35</v>
      </c>
      <c r="F12974">
        <v>3560019</v>
      </c>
      <c r="G12974" t="s">
        <v>13051</v>
      </c>
      <c r="H12974" s="21">
        <v>909.42</v>
      </c>
    </row>
    <row r="12975" spans="1:8" customFormat="1" x14ac:dyDescent="0.25">
      <c r="A12975" t="str">
        <f>"6315116"</f>
        <v>6315116</v>
      </c>
      <c r="B12975" t="s">
        <v>5339</v>
      </c>
      <c r="C12975" t="s">
        <v>130</v>
      </c>
      <c r="D12975" s="21" t="s">
        <v>34</v>
      </c>
      <c r="E12975" s="21" t="s">
        <v>35</v>
      </c>
      <c r="F12975">
        <v>1630289</v>
      </c>
      <c r="G12975" t="s">
        <v>8900</v>
      </c>
      <c r="H12975" s="21">
        <v>909.29</v>
      </c>
    </row>
    <row r="12976" spans="1:8" customFormat="1" x14ac:dyDescent="0.25">
      <c r="A12976" t="str">
        <f>"372061"</f>
        <v>372061</v>
      </c>
      <c r="B12976" t="s">
        <v>12719</v>
      </c>
      <c r="C12976" t="s">
        <v>2520</v>
      </c>
      <c r="D12976" s="21" t="s">
        <v>34</v>
      </c>
      <c r="E12976" s="21" t="s">
        <v>254</v>
      </c>
      <c r="F12976">
        <v>12850046</v>
      </c>
      <c r="G12976" t="s">
        <v>3136</v>
      </c>
      <c r="H12976" s="21">
        <v>909.17</v>
      </c>
    </row>
    <row r="12977" spans="1:8" customFormat="1" x14ac:dyDescent="0.25">
      <c r="A12977" t="str">
        <f>"7849624"</f>
        <v>7849624</v>
      </c>
      <c r="B12977" t="s">
        <v>11148</v>
      </c>
      <c r="C12977" t="s">
        <v>55</v>
      </c>
      <c r="D12977" s="21" t="s">
        <v>34</v>
      </c>
      <c r="E12977" s="21" t="s">
        <v>71</v>
      </c>
      <c r="F12977">
        <v>8780585</v>
      </c>
      <c r="G12977" t="s">
        <v>4630</v>
      </c>
      <c r="H12977" s="21">
        <v>909.17</v>
      </c>
    </row>
    <row r="12978" spans="1:8" customFormat="1" x14ac:dyDescent="0.25">
      <c r="A12978" t="str">
        <f>"69434"</f>
        <v>69434</v>
      </c>
      <c r="B12978" t="s">
        <v>11326</v>
      </c>
      <c r="C12978" t="s">
        <v>130</v>
      </c>
      <c r="D12978" s="21" t="s">
        <v>34</v>
      </c>
      <c r="E12978" s="21" t="s">
        <v>1089</v>
      </c>
      <c r="F12978">
        <v>1690112</v>
      </c>
      <c r="G12978" t="s">
        <v>4084</v>
      </c>
      <c r="H12978" s="21">
        <v>909.17</v>
      </c>
    </row>
    <row r="12979" spans="1:8" customFormat="1" x14ac:dyDescent="0.25">
      <c r="A12979" t="str">
        <f>"213933"</f>
        <v>213933</v>
      </c>
      <c r="B12979" t="s">
        <v>11858</v>
      </c>
      <c r="C12979" t="s">
        <v>40</v>
      </c>
      <c r="D12979" s="21" t="s">
        <v>34</v>
      </c>
      <c r="E12979" s="21" t="s">
        <v>71</v>
      </c>
      <c r="F12979">
        <v>2210127</v>
      </c>
      <c r="G12979" t="s">
        <v>3447</v>
      </c>
      <c r="H12979" s="21">
        <v>909.17</v>
      </c>
    </row>
    <row r="12980" spans="1:8" customFormat="1" x14ac:dyDescent="0.25">
      <c r="A12980" t="str">
        <f>"5930365"</f>
        <v>5930365</v>
      </c>
      <c r="B12980" t="s">
        <v>12139</v>
      </c>
      <c r="C12980" t="s">
        <v>428</v>
      </c>
      <c r="D12980" s="21" t="s">
        <v>34</v>
      </c>
      <c r="E12980" s="21" t="s">
        <v>71</v>
      </c>
      <c r="F12980">
        <v>7590105</v>
      </c>
      <c r="G12980" t="s">
        <v>887</v>
      </c>
      <c r="H12980" s="21">
        <v>909.17</v>
      </c>
    </row>
    <row r="12981" spans="1:8" customFormat="1" x14ac:dyDescent="0.25">
      <c r="A12981" t="str">
        <f>"5916813"</f>
        <v>5916813</v>
      </c>
      <c r="B12981" t="s">
        <v>10967</v>
      </c>
      <c r="C12981" t="s">
        <v>55</v>
      </c>
      <c r="D12981" s="21" t="s">
        <v>34</v>
      </c>
      <c r="E12981" s="21" t="s">
        <v>71</v>
      </c>
      <c r="F12981">
        <v>7620119</v>
      </c>
      <c r="G12981" t="s">
        <v>5233</v>
      </c>
      <c r="H12981" s="21">
        <v>909.17</v>
      </c>
    </row>
    <row r="12982" spans="1:8" customFormat="1" x14ac:dyDescent="0.25">
      <c r="A12982" t="str">
        <f>"508575"</f>
        <v>508575</v>
      </c>
      <c r="B12982" t="s">
        <v>12943</v>
      </c>
      <c r="C12982" t="s">
        <v>7923</v>
      </c>
      <c r="D12982" s="21" t="s">
        <v>34</v>
      </c>
      <c r="E12982" s="21" t="s">
        <v>35</v>
      </c>
      <c r="F12982">
        <v>9500117</v>
      </c>
      <c r="G12982" t="s">
        <v>247</v>
      </c>
      <c r="H12982" s="21">
        <v>909.17</v>
      </c>
    </row>
    <row r="12983" spans="1:8" customFormat="1" x14ac:dyDescent="0.25">
      <c r="A12983" t="str">
        <f>"722768"</f>
        <v>722768</v>
      </c>
      <c r="B12983" t="s">
        <v>6326</v>
      </c>
      <c r="C12983" t="s">
        <v>328</v>
      </c>
      <c r="D12983" s="21" t="s">
        <v>34</v>
      </c>
      <c r="E12983" s="21" t="s">
        <v>71</v>
      </c>
      <c r="F12983">
        <v>12720120</v>
      </c>
      <c r="G12983" t="s">
        <v>2509</v>
      </c>
      <c r="H12983" s="21">
        <v>909.17</v>
      </c>
    </row>
    <row r="12984" spans="1:8" customFormat="1" x14ac:dyDescent="0.25">
      <c r="A12984" t="str">
        <f>"687851"</f>
        <v>687851</v>
      </c>
      <c r="B12984" t="s">
        <v>2816</v>
      </c>
      <c r="C12984" t="s">
        <v>415</v>
      </c>
      <c r="D12984" s="21" t="s">
        <v>34</v>
      </c>
      <c r="E12984" s="21" t="s">
        <v>254</v>
      </c>
      <c r="F12984">
        <v>6680130</v>
      </c>
      <c r="G12984" t="s">
        <v>26772</v>
      </c>
      <c r="H12984" s="21">
        <v>909.17</v>
      </c>
    </row>
    <row r="12985" spans="1:8" customFormat="1" x14ac:dyDescent="0.25">
      <c r="A12985" t="str">
        <f>"2211070"</f>
        <v>2211070</v>
      </c>
      <c r="B12985" t="s">
        <v>3189</v>
      </c>
      <c r="C12985" t="s">
        <v>58</v>
      </c>
      <c r="D12985" s="21" t="s">
        <v>34</v>
      </c>
      <c r="E12985" s="21" t="s">
        <v>35</v>
      </c>
      <c r="F12985">
        <v>3220037</v>
      </c>
      <c r="G12985" t="s">
        <v>13306</v>
      </c>
      <c r="H12985" s="21">
        <v>909.17</v>
      </c>
    </row>
    <row r="12986" spans="1:8" customFormat="1" x14ac:dyDescent="0.25">
      <c r="A12986" t="str">
        <f>"5934201"</f>
        <v>5934201</v>
      </c>
      <c r="B12986" t="s">
        <v>10869</v>
      </c>
      <c r="C12986" t="s">
        <v>3109</v>
      </c>
      <c r="D12986" s="21" t="s">
        <v>34</v>
      </c>
      <c r="E12986" s="21" t="s">
        <v>254</v>
      </c>
      <c r="F12986">
        <v>7590231</v>
      </c>
      <c r="G12986" t="s">
        <v>207</v>
      </c>
      <c r="H12986" s="21">
        <v>909.17</v>
      </c>
    </row>
    <row r="12987" spans="1:8" customFormat="1" x14ac:dyDescent="0.25">
      <c r="A12987" t="str">
        <f>"1312482"</f>
        <v>1312482</v>
      </c>
      <c r="B12987" t="s">
        <v>14861</v>
      </c>
      <c r="C12987" t="s">
        <v>109</v>
      </c>
      <c r="D12987" s="21" t="s">
        <v>34</v>
      </c>
      <c r="E12987" s="21" t="s">
        <v>35</v>
      </c>
      <c r="F12987">
        <v>6510110</v>
      </c>
      <c r="G12987" t="s">
        <v>9011</v>
      </c>
      <c r="H12987" s="21">
        <v>909.04</v>
      </c>
    </row>
    <row r="12988" spans="1:8" customFormat="1" x14ac:dyDescent="0.25">
      <c r="A12988" t="str">
        <f>"5936708"</f>
        <v>5936708</v>
      </c>
      <c r="B12988" t="s">
        <v>12293</v>
      </c>
      <c r="C12988" t="s">
        <v>2365</v>
      </c>
      <c r="D12988" s="21" t="s">
        <v>34</v>
      </c>
      <c r="E12988" s="21" t="s">
        <v>35</v>
      </c>
      <c r="F12988">
        <v>7590087</v>
      </c>
      <c r="G12988" t="s">
        <v>2112</v>
      </c>
      <c r="H12988" s="21">
        <v>909.04</v>
      </c>
    </row>
    <row r="12989" spans="1:8" customFormat="1" x14ac:dyDescent="0.25">
      <c r="A12989" t="str">
        <f>"7513076"</f>
        <v>7513076</v>
      </c>
      <c r="B12989" t="s">
        <v>12835</v>
      </c>
      <c r="C12989" t="s">
        <v>328</v>
      </c>
      <c r="D12989" s="21" t="s">
        <v>34</v>
      </c>
      <c r="E12989" s="21" t="s">
        <v>35</v>
      </c>
      <c r="F12989">
        <v>12440176</v>
      </c>
      <c r="G12989" t="s">
        <v>1020</v>
      </c>
      <c r="H12989" s="21">
        <v>908.92</v>
      </c>
    </row>
    <row r="12990" spans="1:8" customFormat="1" x14ac:dyDescent="0.25">
      <c r="A12990" t="str">
        <f>"792495"</f>
        <v>792495</v>
      </c>
      <c r="B12990" t="s">
        <v>882</v>
      </c>
      <c r="C12990" t="s">
        <v>269</v>
      </c>
      <c r="D12990" s="21" t="s">
        <v>34</v>
      </c>
      <c r="E12990" s="21" t="s">
        <v>71</v>
      </c>
      <c r="F12990">
        <v>10790043</v>
      </c>
      <c r="G12990" t="s">
        <v>2828</v>
      </c>
      <c r="H12990" s="21">
        <v>908.92</v>
      </c>
    </row>
    <row r="12991" spans="1:8" customFormat="1" x14ac:dyDescent="0.25">
      <c r="A12991" t="str">
        <f>"919784"</f>
        <v>919784</v>
      </c>
      <c r="B12991" t="s">
        <v>11359</v>
      </c>
      <c r="C12991" t="s">
        <v>498</v>
      </c>
      <c r="D12991" s="21" t="s">
        <v>34</v>
      </c>
      <c r="E12991" s="21" t="s">
        <v>1089</v>
      </c>
      <c r="F12991">
        <v>4450295</v>
      </c>
      <c r="G12991" t="s">
        <v>9193</v>
      </c>
      <c r="H12991" s="21">
        <v>908.92</v>
      </c>
    </row>
    <row r="12992" spans="1:8" customFormat="1" x14ac:dyDescent="0.25">
      <c r="A12992" t="str">
        <f>"198099"</f>
        <v>198099</v>
      </c>
      <c r="B12992" t="s">
        <v>7725</v>
      </c>
      <c r="C12992" t="s">
        <v>926</v>
      </c>
      <c r="D12992" s="21" t="s">
        <v>34</v>
      </c>
      <c r="E12992" s="21" t="s">
        <v>71</v>
      </c>
      <c r="F12992">
        <v>10190144</v>
      </c>
      <c r="G12992" t="s">
        <v>8165</v>
      </c>
      <c r="H12992" s="21">
        <v>908.67</v>
      </c>
    </row>
    <row r="12993" spans="1:8" customFormat="1" x14ac:dyDescent="0.25">
      <c r="A12993" t="str">
        <f>"13384"</f>
        <v>13384</v>
      </c>
      <c r="B12993" t="s">
        <v>12532</v>
      </c>
      <c r="C12993" t="s">
        <v>40</v>
      </c>
      <c r="D12993" s="21" t="s">
        <v>34</v>
      </c>
      <c r="E12993" s="21" t="s">
        <v>71</v>
      </c>
      <c r="F12993">
        <v>13130022</v>
      </c>
      <c r="G12993" t="s">
        <v>2666</v>
      </c>
      <c r="H12993" s="21">
        <v>908.67</v>
      </c>
    </row>
    <row r="12994" spans="1:8" customFormat="1" x14ac:dyDescent="0.25">
      <c r="A12994" t="str">
        <f>"285792"</f>
        <v>285792</v>
      </c>
      <c r="B12994" t="s">
        <v>11685</v>
      </c>
      <c r="C12994" t="s">
        <v>598</v>
      </c>
      <c r="D12994" s="21" t="s">
        <v>34</v>
      </c>
      <c r="E12994" s="21" t="s">
        <v>254</v>
      </c>
      <c r="F12994">
        <v>4280705</v>
      </c>
      <c r="G12994" t="s">
        <v>4088</v>
      </c>
      <c r="H12994" s="21">
        <v>908.67</v>
      </c>
    </row>
    <row r="12995" spans="1:8" customFormat="1" x14ac:dyDescent="0.25">
      <c r="A12995" t="str">
        <f>"6020160"</f>
        <v>6020160</v>
      </c>
      <c r="B12995" t="s">
        <v>13243</v>
      </c>
      <c r="C12995" t="s">
        <v>4769</v>
      </c>
      <c r="D12995" s="21" t="s">
        <v>34</v>
      </c>
      <c r="E12995" s="21" t="s">
        <v>71</v>
      </c>
      <c r="F12995">
        <v>7600027</v>
      </c>
      <c r="G12995" t="s">
        <v>2137</v>
      </c>
      <c r="H12995" s="21">
        <v>908.67</v>
      </c>
    </row>
    <row r="12996" spans="1:8" customFormat="1" x14ac:dyDescent="0.25">
      <c r="A12996" t="str">
        <f>"957345"</f>
        <v>957345</v>
      </c>
      <c r="B12996" t="s">
        <v>11873</v>
      </c>
      <c r="C12996" t="s">
        <v>269</v>
      </c>
      <c r="D12996" s="21" t="s">
        <v>34</v>
      </c>
      <c r="E12996" s="21" t="s">
        <v>71</v>
      </c>
      <c r="F12996">
        <v>8951451</v>
      </c>
      <c r="G12996" t="s">
        <v>3909</v>
      </c>
      <c r="H12996" s="21">
        <v>908.67</v>
      </c>
    </row>
    <row r="12997" spans="1:8" customFormat="1" x14ac:dyDescent="0.25">
      <c r="A12997" t="str">
        <f>"1425029"</f>
        <v>1425029</v>
      </c>
      <c r="B12997" t="s">
        <v>14093</v>
      </c>
      <c r="C12997" t="s">
        <v>156</v>
      </c>
      <c r="D12997" s="21" t="s">
        <v>34</v>
      </c>
      <c r="E12997" s="21" t="s">
        <v>35</v>
      </c>
      <c r="F12997">
        <v>9140174</v>
      </c>
      <c r="G12997" t="s">
        <v>26738</v>
      </c>
      <c r="H12997" s="21">
        <v>908.67</v>
      </c>
    </row>
    <row r="12998" spans="1:8" customFormat="1" x14ac:dyDescent="0.25">
      <c r="A12998" t="str">
        <f>"634753"</f>
        <v>634753</v>
      </c>
      <c r="B12998" t="s">
        <v>11720</v>
      </c>
      <c r="C12998" t="s">
        <v>2520</v>
      </c>
      <c r="D12998" s="21" t="s">
        <v>34</v>
      </c>
      <c r="E12998" s="21" t="s">
        <v>254</v>
      </c>
      <c r="F12998">
        <v>1630184</v>
      </c>
      <c r="G12998" t="s">
        <v>26702</v>
      </c>
      <c r="H12998" s="21">
        <v>908.67</v>
      </c>
    </row>
    <row r="12999" spans="1:8" customFormat="1" x14ac:dyDescent="0.25">
      <c r="A12999" t="str">
        <f>"5956829"</f>
        <v>5956829</v>
      </c>
      <c r="B12999" t="s">
        <v>12240</v>
      </c>
      <c r="C12999" t="s">
        <v>121</v>
      </c>
      <c r="D12999" s="21" t="s">
        <v>34</v>
      </c>
      <c r="E12999" s="21" t="s">
        <v>35</v>
      </c>
      <c r="F12999">
        <v>7590112</v>
      </c>
      <c r="G12999" t="s">
        <v>3534</v>
      </c>
      <c r="H12999" s="21">
        <v>908.67</v>
      </c>
    </row>
    <row r="13000" spans="1:8" customFormat="1" x14ac:dyDescent="0.25">
      <c r="A13000" t="str">
        <f>"67702"</f>
        <v>67702</v>
      </c>
      <c r="B13000" t="s">
        <v>1737</v>
      </c>
      <c r="C13000" t="s">
        <v>1142</v>
      </c>
      <c r="D13000" s="21" t="s">
        <v>34</v>
      </c>
      <c r="E13000" s="21" t="s">
        <v>254</v>
      </c>
      <c r="F13000">
        <v>6670202</v>
      </c>
      <c r="G13000" t="s">
        <v>605</v>
      </c>
      <c r="H13000" s="21">
        <v>908.67</v>
      </c>
    </row>
    <row r="13001" spans="1:8" customFormat="1" x14ac:dyDescent="0.25">
      <c r="A13001" t="str">
        <f>"925686"</f>
        <v>925686</v>
      </c>
      <c r="B13001" t="s">
        <v>11691</v>
      </c>
      <c r="C13001" t="s">
        <v>169</v>
      </c>
      <c r="D13001" s="21" t="s">
        <v>34</v>
      </c>
      <c r="E13001" s="21" t="s">
        <v>71</v>
      </c>
      <c r="F13001">
        <v>12440141</v>
      </c>
      <c r="G13001" t="s">
        <v>3234</v>
      </c>
      <c r="H13001" s="21">
        <v>908.67</v>
      </c>
    </row>
    <row r="13002" spans="1:8" customFormat="1" x14ac:dyDescent="0.25">
      <c r="A13002" t="str">
        <f>"6110827"</f>
        <v>6110827</v>
      </c>
      <c r="B13002" t="s">
        <v>12193</v>
      </c>
      <c r="C13002" t="s">
        <v>55</v>
      </c>
      <c r="D13002" s="21" t="s">
        <v>34</v>
      </c>
      <c r="E13002" s="21" t="s">
        <v>71</v>
      </c>
      <c r="F13002">
        <v>9610017</v>
      </c>
      <c r="G13002" t="s">
        <v>12194</v>
      </c>
      <c r="H13002" s="21">
        <v>908.67</v>
      </c>
    </row>
    <row r="13003" spans="1:8" customFormat="1" x14ac:dyDescent="0.25">
      <c r="A13003" t="str">
        <f>"7210420"</f>
        <v>7210420</v>
      </c>
      <c r="B13003" t="s">
        <v>1886</v>
      </c>
      <c r="C13003" t="s">
        <v>144</v>
      </c>
      <c r="D13003" s="21" t="s">
        <v>34</v>
      </c>
      <c r="E13003" s="21" t="s">
        <v>71</v>
      </c>
      <c r="F13003">
        <v>12720050</v>
      </c>
      <c r="G13003" t="s">
        <v>5522</v>
      </c>
      <c r="H13003" s="21">
        <v>908.67</v>
      </c>
    </row>
    <row r="13004" spans="1:8" customFormat="1" x14ac:dyDescent="0.25">
      <c r="A13004" t="str">
        <f>"67887"</f>
        <v>67887</v>
      </c>
      <c r="B13004" t="s">
        <v>3392</v>
      </c>
      <c r="C13004" t="s">
        <v>239</v>
      </c>
      <c r="D13004" s="21" t="s">
        <v>34</v>
      </c>
      <c r="E13004" s="21" t="s">
        <v>254</v>
      </c>
      <c r="F13004">
        <v>6670272</v>
      </c>
      <c r="G13004" t="s">
        <v>26568</v>
      </c>
      <c r="H13004" s="21">
        <v>908.67</v>
      </c>
    </row>
    <row r="13005" spans="1:8" customFormat="1" x14ac:dyDescent="0.25">
      <c r="A13005" t="str">
        <f>"2924791"</f>
        <v>2924791</v>
      </c>
      <c r="B13005" t="s">
        <v>12903</v>
      </c>
      <c r="C13005" t="s">
        <v>87</v>
      </c>
      <c r="D13005" s="21" t="s">
        <v>34</v>
      </c>
      <c r="E13005" s="21" t="s">
        <v>71</v>
      </c>
      <c r="F13005">
        <v>3290214</v>
      </c>
      <c r="G13005" t="s">
        <v>10975</v>
      </c>
      <c r="H13005" s="21">
        <v>908.67</v>
      </c>
    </row>
    <row r="13006" spans="1:8" customFormat="1" x14ac:dyDescent="0.25">
      <c r="A13006" t="str">
        <f>"85482"</f>
        <v>85482</v>
      </c>
      <c r="B13006" t="s">
        <v>3000</v>
      </c>
      <c r="C13006" t="s">
        <v>263</v>
      </c>
      <c r="D13006" s="21" t="s">
        <v>34</v>
      </c>
      <c r="E13006" s="21" t="s">
        <v>254</v>
      </c>
      <c r="F13006">
        <v>12850014</v>
      </c>
      <c r="G13006" t="s">
        <v>10467</v>
      </c>
      <c r="H13006" s="21">
        <v>908.67</v>
      </c>
    </row>
    <row r="13007" spans="1:8" customFormat="1" x14ac:dyDescent="0.25">
      <c r="A13007" t="str">
        <f>"7636047"</f>
        <v>7636047</v>
      </c>
      <c r="B13007" t="s">
        <v>2851</v>
      </c>
      <c r="C13007" t="s">
        <v>43</v>
      </c>
      <c r="D13007" s="21" t="s">
        <v>34</v>
      </c>
      <c r="E13007" s="21" t="s">
        <v>35</v>
      </c>
      <c r="F13007">
        <v>9760270</v>
      </c>
      <c r="G13007" t="s">
        <v>4167</v>
      </c>
      <c r="H13007" s="21">
        <v>908.67</v>
      </c>
    </row>
    <row r="13008" spans="1:8" customFormat="1" x14ac:dyDescent="0.25">
      <c r="A13008" t="str">
        <f>"3526960"</f>
        <v>3526960</v>
      </c>
      <c r="B13008" t="s">
        <v>14190</v>
      </c>
      <c r="C13008" t="s">
        <v>462</v>
      </c>
      <c r="D13008" s="21" t="s">
        <v>34</v>
      </c>
      <c r="E13008" s="21" t="s">
        <v>71</v>
      </c>
      <c r="F13008">
        <v>3350199</v>
      </c>
      <c r="G13008" t="s">
        <v>5603</v>
      </c>
      <c r="H13008" s="21">
        <v>908.67</v>
      </c>
    </row>
    <row r="13009" spans="1:8" customFormat="1" x14ac:dyDescent="0.25">
      <c r="A13009" t="str">
        <f>"1862"</f>
        <v>1862</v>
      </c>
      <c r="B13009" t="s">
        <v>12407</v>
      </c>
      <c r="C13009" t="s">
        <v>171</v>
      </c>
      <c r="D13009" s="21" t="s">
        <v>34</v>
      </c>
      <c r="E13009" s="21" t="s">
        <v>71</v>
      </c>
      <c r="F13009">
        <v>4180057</v>
      </c>
      <c r="G13009" t="s">
        <v>9021</v>
      </c>
      <c r="H13009" s="21">
        <v>908.67</v>
      </c>
    </row>
    <row r="13010" spans="1:8" customFormat="1" x14ac:dyDescent="0.25">
      <c r="A13010" t="str">
        <f>"444624"</f>
        <v>444624</v>
      </c>
      <c r="B13010" t="s">
        <v>12198</v>
      </c>
      <c r="C13010" t="s">
        <v>498</v>
      </c>
      <c r="D13010" s="21" t="s">
        <v>34</v>
      </c>
      <c r="E13010" s="21" t="s">
        <v>71</v>
      </c>
      <c r="F13010">
        <v>12440024</v>
      </c>
      <c r="G13010" t="s">
        <v>2205</v>
      </c>
      <c r="H13010" s="21">
        <v>908.67</v>
      </c>
    </row>
    <row r="13011" spans="1:8" customFormat="1" x14ac:dyDescent="0.25">
      <c r="A13011" t="str">
        <f>"614946"</f>
        <v>614946</v>
      </c>
      <c r="B13011" t="s">
        <v>5037</v>
      </c>
      <c r="C13011" t="s">
        <v>2907</v>
      </c>
      <c r="D13011" s="21" t="s">
        <v>34</v>
      </c>
      <c r="E13011" s="21" t="s">
        <v>254</v>
      </c>
      <c r="F13011">
        <v>9610056</v>
      </c>
      <c r="G13011" t="s">
        <v>11830</v>
      </c>
      <c r="H13011" s="21">
        <v>908.42</v>
      </c>
    </row>
    <row r="13012" spans="1:8" customFormat="1" x14ac:dyDescent="0.25">
      <c r="A13012" t="str">
        <f>"7514844"</f>
        <v>7514844</v>
      </c>
      <c r="B13012" t="s">
        <v>13477</v>
      </c>
      <c r="C13012" t="s">
        <v>1665</v>
      </c>
      <c r="D13012" s="21" t="s">
        <v>34</v>
      </c>
      <c r="E13012" s="21" t="s">
        <v>35</v>
      </c>
      <c r="F13012">
        <v>8751061</v>
      </c>
      <c r="G13012" t="s">
        <v>26628</v>
      </c>
      <c r="H13012" s="21">
        <v>908.42</v>
      </c>
    </row>
    <row r="13013" spans="1:8" customFormat="1" x14ac:dyDescent="0.25">
      <c r="A13013" t="str">
        <f>"9250032"</f>
        <v>9250032</v>
      </c>
      <c r="B13013" t="s">
        <v>16038</v>
      </c>
      <c r="C13013" t="s">
        <v>2479</v>
      </c>
      <c r="D13013" s="21" t="s">
        <v>34</v>
      </c>
      <c r="E13013" s="21" t="s">
        <v>71</v>
      </c>
      <c r="F13013">
        <v>8920211</v>
      </c>
      <c r="G13013" t="s">
        <v>13258</v>
      </c>
      <c r="H13013" s="21">
        <v>908.42</v>
      </c>
    </row>
    <row r="13014" spans="1:8" customFormat="1" x14ac:dyDescent="0.25">
      <c r="A13014" t="str">
        <f>"776153"</f>
        <v>776153</v>
      </c>
      <c r="B13014" t="s">
        <v>12063</v>
      </c>
      <c r="C13014" t="s">
        <v>269</v>
      </c>
      <c r="D13014" s="21" t="s">
        <v>34</v>
      </c>
      <c r="E13014" s="21" t="s">
        <v>71</v>
      </c>
      <c r="F13014">
        <v>8770250</v>
      </c>
      <c r="G13014" t="s">
        <v>2595</v>
      </c>
      <c r="H13014" s="21">
        <v>908.42</v>
      </c>
    </row>
    <row r="13015" spans="1:8" customFormat="1" x14ac:dyDescent="0.25">
      <c r="A13015" t="str">
        <f>"5016864"</f>
        <v>5016864</v>
      </c>
      <c r="B13015" t="s">
        <v>12583</v>
      </c>
      <c r="C13015" t="s">
        <v>156</v>
      </c>
      <c r="D13015" s="21" t="s">
        <v>34</v>
      </c>
      <c r="E13015" s="21" t="s">
        <v>35</v>
      </c>
      <c r="F13015">
        <v>9500025</v>
      </c>
      <c r="G13015" t="s">
        <v>665</v>
      </c>
      <c r="H13015" s="21">
        <v>908.17</v>
      </c>
    </row>
    <row r="13016" spans="1:8" customFormat="1" x14ac:dyDescent="0.25">
      <c r="A13016" t="str">
        <f>"8518923"</f>
        <v>8518923</v>
      </c>
      <c r="B13016" t="s">
        <v>10345</v>
      </c>
      <c r="C13016" t="s">
        <v>144</v>
      </c>
      <c r="D13016" s="21" t="s">
        <v>34</v>
      </c>
      <c r="E13016" s="21" t="s">
        <v>254</v>
      </c>
      <c r="F13016">
        <v>12850008</v>
      </c>
      <c r="G13016" t="s">
        <v>4248</v>
      </c>
      <c r="H13016" s="21">
        <v>908.17</v>
      </c>
    </row>
    <row r="13017" spans="1:8" customFormat="1" x14ac:dyDescent="0.25">
      <c r="A13017" t="str">
        <f>"491320"</f>
        <v>491320</v>
      </c>
      <c r="B13017" t="s">
        <v>11915</v>
      </c>
      <c r="C13017" t="s">
        <v>3073</v>
      </c>
      <c r="D13017" s="21" t="s">
        <v>34</v>
      </c>
      <c r="E13017" s="21" t="s">
        <v>1089</v>
      </c>
      <c r="F13017">
        <v>12850021</v>
      </c>
      <c r="G13017" t="s">
        <v>4760</v>
      </c>
      <c r="H13017" s="21">
        <v>908.17</v>
      </c>
    </row>
    <row r="13018" spans="1:8" customFormat="1" x14ac:dyDescent="0.25">
      <c r="A13018" t="str">
        <f>"5967143"</f>
        <v>5967143</v>
      </c>
      <c r="B13018" t="s">
        <v>10590</v>
      </c>
      <c r="C13018" t="s">
        <v>5384</v>
      </c>
      <c r="D13018" s="21" t="s">
        <v>34</v>
      </c>
      <c r="E13018" s="21" t="s">
        <v>71</v>
      </c>
      <c r="F13018">
        <v>7590120</v>
      </c>
      <c r="G13018" t="s">
        <v>5351</v>
      </c>
      <c r="H13018" s="21">
        <v>908.17</v>
      </c>
    </row>
    <row r="13019" spans="1:8" customFormat="1" x14ac:dyDescent="0.25">
      <c r="A13019" t="str">
        <f>"4511134"</f>
        <v>4511134</v>
      </c>
      <c r="B13019" t="s">
        <v>14214</v>
      </c>
      <c r="C13019" t="s">
        <v>14215</v>
      </c>
      <c r="D13019" s="21" t="s">
        <v>34</v>
      </c>
      <c r="E13019" s="21" t="s">
        <v>35</v>
      </c>
      <c r="F13019">
        <v>4450663</v>
      </c>
      <c r="G13019" t="s">
        <v>2527</v>
      </c>
      <c r="H13019" s="21">
        <v>908.17</v>
      </c>
    </row>
    <row r="13020" spans="1:8" customFormat="1" x14ac:dyDescent="0.25">
      <c r="A13020" t="str">
        <f>"7212511"</f>
        <v>7212511</v>
      </c>
      <c r="B13020" t="s">
        <v>11402</v>
      </c>
      <c r="C13020" t="s">
        <v>263</v>
      </c>
      <c r="D13020" s="21" t="s">
        <v>34</v>
      </c>
      <c r="E13020" s="21" t="s">
        <v>71</v>
      </c>
      <c r="F13020">
        <v>12720005</v>
      </c>
      <c r="G13020" t="s">
        <v>999</v>
      </c>
      <c r="H13020" s="21">
        <v>908.17</v>
      </c>
    </row>
    <row r="13021" spans="1:8" customFormat="1" x14ac:dyDescent="0.25">
      <c r="A13021" t="str">
        <f>"67309"</f>
        <v>67309</v>
      </c>
      <c r="B13021" t="s">
        <v>12127</v>
      </c>
      <c r="C13021" t="s">
        <v>3010</v>
      </c>
      <c r="D13021" s="21" t="s">
        <v>34</v>
      </c>
      <c r="E13021" s="21" t="s">
        <v>1089</v>
      </c>
      <c r="F13021">
        <v>6670011</v>
      </c>
      <c r="G13021" t="s">
        <v>5493</v>
      </c>
      <c r="H13021" s="21">
        <v>908.17</v>
      </c>
    </row>
    <row r="13022" spans="1:8" customFormat="1" x14ac:dyDescent="0.25">
      <c r="A13022" t="str">
        <f>"3415113"</f>
        <v>3415113</v>
      </c>
      <c r="B13022" t="s">
        <v>5953</v>
      </c>
      <c r="C13022" t="s">
        <v>249</v>
      </c>
      <c r="D13022" s="21" t="s">
        <v>34</v>
      </c>
      <c r="E13022" s="21" t="s">
        <v>71</v>
      </c>
      <c r="F13022">
        <v>11340049</v>
      </c>
      <c r="G13022" t="s">
        <v>13479</v>
      </c>
      <c r="H13022" s="21">
        <v>908.17</v>
      </c>
    </row>
    <row r="13023" spans="1:8" customFormat="1" x14ac:dyDescent="0.25">
      <c r="A13023" t="str">
        <f>"3714017"</f>
        <v>3714017</v>
      </c>
      <c r="B13023" t="s">
        <v>9789</v>
      </c>
      <c r="C13023" t="s">
        <v>484</v>
      </c>
      <c r="D13023" s="21" t="s">
        <v>34</v>
      </c>
      <c r="E13023" s="21" t="s">
        <v>35</v>
      </c>
      <c r="F13023">
        <v>12490055</v>
      </c>
      <c r="G13023" t="s">
        <v>12099</v>
      </c>
      <c r="H13023" s="21">
        <v>908.17</v>
      </c>
    </row>
    <row r="13024" spans="1:8" customFormat="1" x14ac:dyDescent="0.25">
      <c r="A13024" t="str">
        <f>"4930351"</f>
        <v>4930351</v>
      </c>
      <c r="B13024" t="s">
        <v>7374</v>
      </c>
      <c r="C13024" t="s">
        <v>428</v>
      </c>
      <c r="D13024" s="21" t="s">
        <v>34</v>
      </c>
      <c r="E13024" s="21" t="s">
        <v>71</v>
      </c>
      <c r="F13024">
        <v>12490107</v>
      </c>
      <c r="G13024" t="s">
        <v>715</v>
      </c>
      <c r="H13024" s="21">
        <v>908.04</v>
      </c>
    </row>
    <row r="13025" spans="1:8" customFormat="1" x14ac:dyDescent="0.25">
      <c r="A13025" t="str">
        <f>"151250"</f>
        <v>151250</v>
      </c>
      <c r="B13025" t="s">
        <v>1347</v>
      </c>
      <c r="C13025" t="s">
        <v>2479</v>
      </c>
      <c r="D13025" s="21" t="s">
        <v>34</v>
      </c>
      <c r="E13025" s="21" t="s">
        <v>254</v>
      </c>
      <c r="F13025">
        <v>1150303</v>
      </c>
      <c r="G13025" t="s">
        <v>5809</v>
      </c>
      <c r="H13025" s="21">
        <v>908.04</v>
      </c>
    </row>
    <row r="13026" spans="1:8" customFormat="1" x14ac:dyDescent="0.25">
      <c r="A13026" t="str">
        <f>"133191"</f>
        <v>133191</v>
      </c>
      <c r="B13026" t="s">
        <v>11195</v>
      </c>
      <c r="C13026" t="s">
        <v>4842</v>
      </c>
      <c r="D13026" s="21" t="s">
        <v>34</v>
      </c>
      <c r="E13026" s="21" t="s">
        <v>254</v>
      </c>
      <c r="F13026">
        <v>13130152</v>
      </c>
      <c r="G13026" t="s">
        <v>906</v>
      </c>
      <c r="H13026" s="21">
        <v>908.04</v>
      </c>
    </row>
    <row r="13027" spans="1:8" customFormat="1" x14ac:dyDescent="0.25">
      <c r="A13027" t="str">
        <f>"9526243"</f>
        <v>9526243</v>
      </c>
      <c r="B13027" t="s">
        <v>9666</v>
      </c>
      <c r="C13027" t="s">
        <v>33</v>
      </c>
      <c r="D13027" s="21" t="s">
        <v>34</v>
      </c>
      <c r="E13027" s="21" t="s">
        <v>35</v>
      </c>
      <c r="F13027">
        <v>8951366</v>
      </c>
      <c r="G13027" t="s">
        <v>3708</v>
      </c>
      <c r="H13027" s="21">
        <v>908.04</v>
      </c>
    </row>
    <row r="13028" spans="1:8" customFormat="1" x14ac:dyDescent="0.25">
      <c r="A13028" t="str">
        <f>"434188"</f>
        <v>434188</v>
      </c>
      <c r="B13028" t="s">
        <v>27274</v>
      </c>
      <c r="C13028" t="s">
        <v>328</v>
      </c>
      <c r="D13028" s="21" t="s">
        <v>34</v>
      </c>
      <c r="E13028" s="21" t="s">
        <v>35</v>
      </c>
      <c r="F13028">
        <v>1420210</v>
      </c>
      <c r="G13028" t="s">
        <v>7943</v>
      </c>
      <c r="H13028" s="21">
        <v>907.92</v>
      </c>
    </row>
    <row r="13029" spans="1:8" customFormat="1" x14ac:dyDescent="0.25">
      <c r="A13029" t="str">
        <f>"561375"</f>
        <v>561375</v>
      </c>
      <c r="B13029" t="s">
        <v>10950</v>
      </c>
      <c r="C13029" t="s">
        <v>2520</v>
      </c>
      <c r="D13029" s="21" t="s">
        <v>34</v>
      </c>
      <c r="E13029" s="21" t="s">
        <v>254</v>
      </c>
      <c r="F13029">
        <v>3560044</v>
      </c>
      <c r="G13029" t="s">
        <v>4890</v>
      </c>
      <c r="H13029" s="21">
        <v>907.92</v>
      </c>
    </row>
    <row r="13030" spans="1:8" customFormat="1" x14ac:dyDescent="0.25">
      <c r="A13030" t="str">
        <f>"1414784"</f>
        <v>1414784</v>
      </c>
      <c r="B13030" t="s">
        <v>11147</v>
      </c>
      <c r="C13030" t="s">
        <v>55</v>
      </c>
      <c r="D13030" s="21" t="s">
        <v>34</v>
      </c>
      <c r="E13030" s="21" t="s">
        <v>35</v>
      </c>
      <c r="F13030">
        <v>9140054</v>
      </c>
      <c r="G13030" t="s">
        <v>3300</v>
      </c>
      <c r="H13030" s="21">
        <v>907.92</v>
      </c>
    </row>
    <row r="13031" spans="1:8" customFormat="1" x14ac:dyDescent="0.25">
      <c r="A13031" t="str">
        <f>"102981"</f>
        <v>102981</v>
      </c>
      <c r="B13031" t="s">
        <v>11693</v>
      </c>
      <c r="C13031" t="s">
        <v>124</v>
      </c>
      <c r="D13031" s="21" t="s">
        <v>34</v>
      </c>
      <c r="E13031" s="21" t="s">
        <v>254</v>
      </c>
      <c r="F13031">
        <v>6100017</v>
      </c>
      <c r="G13031" t="s">
        <v>11694</v>
      </c>
      <c r="H13031" s="21">
        <v>907.67</v>
      </c>
    </row>
    <row r="13032" spans="1:8" customFormat="1" x14ac:dyDescent="0.25">
      <c r="A13032" t="str">
        <f>"3522502"</f>
        <v>3522502</v>
      </c>
      <c r="B13032" t="s">
        <v>11975</v>
      </c>
      <c r="C13032" t="s">
        <v>486</v>
      </c>
      <c r="D13032" s="21" t="s">
        <v>34</v>
      </c>
      <c r="E13032" s="21" t="s">
        <v>35</v>
      </c>
      <c r="F13032">
        <v>3350044</v>
      </c>
      <c r="G13032" t="s">
        <v>12041</v>
      </c>
      <c r="H13032" s="21">
        <v>907.67</v>
      </c>
    </row>
    <row r="13033" spans="1:8" customFormat="1" x14ac:dyDescent="0.25">
      <c r="A13033" t="str">
        <f>"507663"</f>
        <v>507663</v>
      </c>
      <c r="B13033" t="s">
        <v>4027</v>
      </c>
      <c r="C13033" t="s">
        <v>2907</v>
      </c>
      <c r="D13033" s="21" t="s">
        <v>34</v>
      </c>
      <c r="E13033" s="21" t="s">
        <v>254</v>
      </c>
      <c r="F13033">
        <v>1030299</v>
      </c>
      <c r="G13033" t="s">
        <v>2631</v>
      </c>
      <c r="H13033" s="21">
        <v>907.67</v>
      </c>
    </row>
    <row r="13034" spans="1:8" customFormat="1" x14ac:dyDescent="0.25">
      <c r="A13034" t="str">
        <f>"473487"</f>
        <v>473487</v>
      </c>
      <c r="B13034" t="s">
        <v>5441</v>
      </c>
      <c r="C13034" t="s">
        <v>169</v>
      </c>
      <c r="D13034" s="21" t="s">
        <v>34</v>
      </c>
      <c r="E13034" s="21" t="s">
        <v>35</v>
      </c>
      <c r="F13034">
        <v>10240020</v>
      </c>
      <c r="G13034" t="s">
        <v>870</v>
      </c>
      <c r="H13034" s="21">
        <v>907.67</v>
      </c>
    </row>
    <row r="13035" spans="1:8" customFormat="1" x14ac:dyDescent="0.25">
      <c r="A13035" t="str">
        <f>"087392"</f>
        <v>087392</v>
      </c>
      <c r="B13035" t="s">
        <v>12606</v>
      </c>
      <c r="C13035" t="s">
        <v>119</v>
      </c>
      <c r="D13035" s="21" t="s">
        <v>34</v>
      </c>
      <c r="E13035" s="21" t="s">
        <v>71</v>
      </c>
      <c r="F13035">
        <v>6080013</v>
      </c>
      <c r="G13035" t="s">
        <v>1532</v>
      </c>
      <c r="H13035" s="21">
        <v>907.67</v>
      </c>
    </row>
    <row r="13036" spans="1:8" customFormat="1" x14ac:dyDescent="0.25">
      <c r="A13036" t="str">
        <f>"8512863"</f>
        <v>8512863</v>
      </c>
      <c r="B13036" t="s">
        <v>12180</v>
      </c>
      <c r="C13036" t="s">
        <v>87</v>
      </c>
      <c r="D13036" s="21" t="s">
        <v>34</v>
      </c>
      <c r="E13036" s="21" t="s">
        <v>35</v>
      </c>
      <c r="F13036">
        <v>12850107</v>
      </c>
      <c r="G13036" t="s">
        <v>12181</v>
      </c>
      <c r="H13036" s="21">
        <v>907.67</v>
      </c>
    </row>
    <row r="13037" spans="1:8" customFormat="1" x14ac:dyDescent="0.25">
      <c r="A13037" t="str">
        <f>"947206"</f>
        <v>947206</v>
      </c>
      <c r="B13037" t="s">
        <v>1490</v>
      </c>
      <c r="C13037" t="s">
        <v>209</v>
      </c>
      <c r="D13037" s="21" t="s">
        <v>34</v>
      </c>
      <c r="E13037" s="21" t="s">
        <v>254</v>
      </c>
      <c r="F13037">
        <v>8940326</v>
      </c>
      <c r="G13037" t="s">
        <v>659</v>
      </c>
      <c r="H13037" s="21">
        <v>907.67</v>
      </c>
    </row>
    <row r="13038" spans="1:8" customFormat="1" x14ac:dyDescent="0.25">
      <c r="A13038" t="str">
        <f>"6910581"</f>
        <v>6910581</v>
      </c>
      <c r="B13038" t="s">
        <v>11770</v>
      </c>
      <c r="C13038" t="s">
        <v>187</v>
      </c>
      <c r="D13038" s="21" t="s">
        <v>34</v>
      </c>
      <c r="E13038" s="21" t="s">
        <v>71</v>
      </c>
      <c r="F13038">
        <v>1690001</v>
      </c>
      <c r="G13038" t="s">
        <v>3275</v>
      </c>
      <c r="H13038" s="21">
        <v>907.67</v>
      </c>
    </row>
    <row r="13039" spans="1:8" customFormat="1" x14ac:dyDescent="0.25">
      <c r="A13039" t="str">
        <f>"636262"</f>
        <v>636262</v>
      </c>
      <c r="B13039" t="s">
        <v>11742</v>
      </c>
      <c r="C13039" t="s">
        <v>812</v>
      </c>
      <c r="D13039" s="21" t="s">
        <v>34</v>
      </c>
      <c r="E13039" s="21" t="s">
        <v>71</v>
      </c>
      <c r="F13039">
        <v>1630054</v>
      </c>
      <c r="G13039" t="s">
        <v>2512</v>
      </c>
      <c r="H13039" s="21">
        <v>907.67</v>
      </c>
    </row>
    <row r="13040" spans="1:8" customFormat="1" x14ac:dyDescent="0.25">
      <c r="A13040" t="str">
        <f>"491874"</f>
        <v>491874</v>
      </c>
      <c r="B13040" t="s">
        <v>12670</v>
      </c>
      <c r="C13040" t="s">
        <v>1588</v>
      </c>
      <c r="D13040" s="21" t="s">
        <v>34</v>
      </c>
      <c r="E13040" s="21" t="s">
        <v>254</v>
      </c>
      <c r="F13040">
        <v>12490080</v>
      </c>
      <c r="G13040" t="s">
        <v>5692</v>
      </c>
      <c r="H13040" s="21">
        <v>907.67</v>
      </c>
    </row>
    <row r="13041" spans="1:8" customFormat="1" x14ac:dyDescent="0.25">
      <c r="A13041" t="str">
        <f>"312466"</f>
        <v>312466</v>
      </c>
      <c r="B13041" t="s">
        <v>13085</v>
      </c>
      <c r="C13041" t="s">
        <v>156</v>
      </c>
      <c r="D13041" s="21" t="s">
        <v>34</v>
      </c>
      <c r="E13041" s="21" t="s">
        <v>35</v>
      </c>
      <c r="F13041">
        <v>11310076</v>
      </c>
      <c r="G13041" t="s">
        <v>5782</v>
      </c>
      <c r="H13041" s="21">
        <v>907.67</v>
      </c>
    </row>
    <row r="13042" spans="1:8" customFormat="1" x14ac:dyDescent="0.25">
      <c r="A13042" t="str">
        <f>"4511036"</f>
        <v>4511036</v>
      </c>
      <c r="B13042" t="s">
        <v>10812</v>
      </c>
      <c r="C13042" t="s">
        <v>43</v>
      </c>
      <c r="D13042" s="21" t="s">
        <v>34</v>
      </c>
      <c r="E13042" s="21" t="s">
        <v>35</v>
      </c>
      <c r="F13042">
        <v>9270089</v>
      </c>
      <c r="G13042" t="s">
        <v>1009</v>
      </c>
      <c r="H13042" s="21">
        <v>907.67</v>
      </c>
    </row>
    <row r="13043" spans="1:8" customFormat="1" x14ac:dyDescent="0.25">
      <c r="A13043" t="str">
        <f>"7621973"</f>
        <v>7621973</v>
      </c>
      <c r="B13043" t="s">
        <v>17296</v>
      </c>
      <c r="C13043" t="s">
        <v>121</v>
      </c>
      <c r="D13043" s="21" t="s">
        <v>34</v>
      </c>
      <c r="E13043" s="21" t="s">
        <v>35</v>
      </c>
      <c r="F13043">
        <v>9760420</v>
      </c>
      <c r="G13043" t="s">
        <v>11290</v>
      </c>
      <c r="H13043" s="21">
        <v>907.67</v>
      </c>
    </row>
    <row r="13044" spans="1:8" customFormat="1" x14ac:dyDescent="0.25">
      <c r="A13044" t="str">
        <f>"2912713"</f>
        <v>2912713</v>
      </c>
      <c r="B13044" t="s">
        <v>7257</v>
      </c>
      <c r="C13044" t="s">
        <v>2730</v>
      </c>
      <c r="D13044" s="21" t="s">
        <v>34</v>
      </c>
      <c r="E13044" s="21" t="s">
        <v>254</v>
      </c>
      <c r="F13044">
        <v>3290018</v>
      </c>
      <c r="G13044" t="s">
        <v>1706</v>
      </c>
      <c r="H13044" s="21">
        <v>907.67</v>
      </c>
    </row>
    <row r="13045" spans="1:8" customFormat="1" x14ac:dyDescent="0.25">
      <c r="A13045" t="str">
        <f>"7510875"</f>
        <v>7510875</v>
      </c>
      <c r="B13045" t="s">
        <v>12793</v>
      </c>
      <c r="C13045" t="s">
        <v>1222</v>
      </c>
      <c r="D13045" s="21" t="s">
        <v>34</v>
      </c>
      <c r="E13045" s="21" t="s">
        <v>254</v>
      </c>
      <c r="F13045">
        <v>1010059</v>
      </c>
      <c r="G13045" t="s">
        <v>15570</v>
      </c>
      <c r="H13045" s="21">
        <v>907.5</v>
      </c>
    </row>
    <row r="13046" spans="1:8" customFormat="1" x14ac:dyDescent="0.25">
      <c r="A13046" t="str">
        <f>"365463"</f>
        <v>365463</v>
      </c>
      <c r="B13046" t="s">
        <v>1547</v>
      </c>
      <c r="C13046" t="s">
        <v>484</v>
      </c>
      <c r="D13046" s="21" t="s">
        <v>34</v>
      </c>
      <c r="E13046" s="21" t="s">
        <v>71</v>
      </c>
      <c r="F13046">
        <v>4360005</v>
      </c>
      <c r="G13046" t="s">
        <v>11227</v>
      </c>
      <c r="H13046" s="21">
        <v>907.42</v>
      </c>
    </row>
    <row r="13047" spans="1:8" customFormat="1" x14ac:dyDescent="0.25">
      <c r="A13047" t="str">
        <f>"7711252"</f>
        <v>7711252</v>
      </c>
      <c r="B13047" t="s">
        <v>13205</v>
      </c>
      <c r="C13047" t="s">
        <v>87</v>
      </c>
      <c r="D13047" s="21" t="s">
        <v>34</v>
      </c>
      <c r="E13047" s="21" t="s">
        <v>71</v>
      </c>
      <c r="F13047">
        <v>8771394</v>
      </c>
      <c r="G13047" t="s">
        <v>1933</v>
      </c>
      <c r="H13047" s="21">
        <v>907.42</v>
      </c>
    </row>
    <row r="13048" spans="1:8" customFormat="1" x14ac:dyDescent="0.25">
      <c r="A13048" t="str">
        <f>"123013"</f>
        <v>123013</v>
      </c>
      <c r="B13048" t="s">
        <v>4321</v>
      </c>
      <c r="C13048" t="s">
        <v>822</v>
      </c>
      <c r="D13048" s="21" t="s">
        <v>34</v>
      </c>
      <c r="E13048" s="21" t="s">
        <v>35</v>
      </c>
      <c r="F13048">
        <v>11120024</v>
      </c>
      <c r="G13048" t="s">
        <v>12259</v>
      </c>
      <c r="H13048" s="21">
        <v>907.29</v>
      </c>
    </row>
    <row r="13049" spans="1:8" customFormat="1" x14ac:dyDescent="0.25">
      <c r="A13049" t="str">
        <f>"623940"</f>
        <v>623940</v>
      </c>
      <c r="B13049" t="s">
        <v>11640</v>
      </c>
      <c r="C13049" t="s">
        <v>2135</v>
      </c>
      <c r="D13049" s="21" t="s">
        <v>34</v>
      </c>
      <c r="E13049" s="21" t="s">
        <v>35</v>
      </c>
      <c r="F13049">
        <v>7620018</v>
      </c>
      <c r="G13049" t="s">
        <v>6568</v>
      </c>
      <c r="H13049" s="21">
        <v>907.17</v>
      </c>
    </row>
    <row r="13050" spans="1:8" customFormat="1" x14ac:dyDescent="0.25">
      <c r="A13050" t="str">
        <f>"3714410"</f>
        <v>3714410</v>
      </c>
      <c r="B13050" t="s">
        <v>18613</v>
      </c>
      <c r="C13050" t="s">
        <v>87</v>
      </c>
      <c r="D13050" s="21" t="s">
        <v>34</v>
      </c>
      <c r="E13050" s="21" t="s">
        <v>35</v>
      </c>
      <c r="F13050">
        <v>4370269</v>
      </c>
      <c r="G13050" t="s">
        <v>4277</v>
      </c>
      <c r="H13050" s="21">
        <v>907.17</v>
      </c>
    </row>
    <row r="13051" spans="1:8" customFormat="1" x14ac:dyDescent="0.25">
      <c r="A13051" t="str">
        <f>"229149"</f>
        <v>229149</v>
      </c>
      <c r="B13051" t="s">
        <v>11778</v>
      </c>
      <c r="C13051" t="s">
        <v>1841</v>
      </c>
      <c r="D13051" s="21" t="s">
        <v>34</v>
      </c>
      <c r="E13051" s="21" t="s">
        <v>254</v>
      </c>
      <c r="F13051">
        <v>3220052</v>
      </c>
      <c r="G13051" t="s">
        <v>27058</v>
      </c>
      <c r="H13051" s="21">
        <v>907.17</v>
      </c>
    </row>
    <row r="13052" spans="1:8" customFormat="1" x14ac:dyDescent="0.25">
      <c r="A13052" t="str">
        <f>"9121305"</f>
        <v>9121305</v>
      </c>
      <c r="B13052" t="s">
        <v>6509</v>
      </c>
      <c r="C13052" t="s">
        <v>156</v>
      </c>
      <c r="D13052" s="21" t="s">
        <v>34</v>
      </c>
      <c r="E13052" s="21" t="s">
        <v>254</v>
      </c>
      <c r="F13052">
        <v>10160029</v>
      </c>
      <c r="G13052" t="s">
        <v>896</v>
      </c>
      <c r="H13052" s="21">
        <v>907.17</v>
      </c>
    </row>
    <row r="13053" spans="1:8" customFormat="1" x14ac:dyDescent="0.25">
      <c r="A13053" t="str">
        <f>"606451"</f>
        <v>606451</v>
      </c>
      <c r="B13053" t="s">
        <v>11079</v>
      </c>
      <c r="C13053" t="s">
        <v>576</v>
      </c>
      <c r="D13053" s="21" t="s">
        <v>34</v>
      </c>
      <c r="E13053" s="21" t="s">
        <v>35</v>
      </c>
      <c r="F13053">
        <v>7600130</v>
      </c>
      <c r="G13053" t="s">
        <v>11080</v>
      </c>
      <c r="H13053" s="21">
        <v>907.17</v>
      </c>
    </row>
    <row r="13054" spans="1:8" customFormat="1" x14ac:dyDescent="0.25">
      <c r="A13054" t="str">
        <f>"0611743"</f>
        <v>0611743</v>
      </c>
      <c r="B13054" t="s">
        <v>12005</v>
      </c>
      <c r="C13054" t="s">
        <v>65</v>
      </c>
      <c r="D13054" s="21" t="s">
        <v>34</v>
      </c>
      <c r="E13054" s="21" t="s">
        <v>71</v>
      </c>
      <c r="F13054">
        <v>13060043</v>
      </c>
      <c r="G13054" t="s">
        <v>4761</v>
      </c>
      <c r="H13054" s="21">
        <v>907.17</v>
      </c>
    </row>
    <row r="13055" spans="1:8" customFormat="1" x14ac:dyDescent="0.25">
      <c r="A13055" t="str">
        <f>"9417846"</f>
        <v>9417846</v>
      </c>
      <c r="B13055" t="s">
        <v>11883</v>
      </c>
      <c r="C13055" t="s">
        <v>96</v>
      </c>
      <c r="D13055" s="21" t="s">
        <v>34</v>
      </c>
      <c r="E13055" s="21" t="s">
        <v>35</v>
      </c>
      <c r="F13055">
        <v>9760291</v>
      </c>
      <c r="G13055" t="s">
        <v>26611</v>
      </c>
      <c r="H13055" s="21">
        <v>907.17</v>
      </c>
    </row>
    <row r="13056" spans="1:8" customFormat="1" x14ac:dyDescent="0.25">
      <c r="A13056" t="str">
        <f>"7722898"</f>
        <v>7722898</v>
      </c>
      <c r="B13056" t="s">
        <v>14660</v>
      </c>
      <c r="C13056" t="s">
        <v>2529</v>
      </c>
      <c r="D13056" s="21" t="s">
        <v>34</v>
      </c>
      <c r="E13056" s="21" t="s">
        <v>71</v>
      </c>
      <c r="F13056">
        <v>8770250</v>
      </c>
      <c r="G13056" t="s">
        <v>2595</v>
      </c>
      <c r="H13056" s="21">
        <v>907.17</v>
      </c>
    </row>
    <row r="13057" spans="1:8" customFormat="1" x14ac:dyDescent="0.25">
      <c r="A13057" t="str">
        <f>"2611104"</f>
        <v>2611104</v>
      </c>
      <c r="B13057" t="s">
        <v>10912</v>
      </c>
      <c r="C13057" t="s">
        <v>3475</v>
      </c>
      <c r="D13057" s="21" t="s">
        <v>34</v>
      </c>
      <c r="E13057" s="21" t="s">
        <v>254</v>
      </c>
      <c r="F13057">
        <v>1260005</v>
      </c>
      <c r="G13057" t="s">
        <v>10654</v>
      </c>
      <c r="H13057" s="21">
        <v>907.17</v>
      </c>
    </row>
    <row r="13058" spans="1:8" customFormat="1" x14ac:dyDescent="0.25">
      <c r="A13058" t="str">
        <f>"442995"</f>
        <v>442995</v>
      </c>
      <c r="B13058" t="s">
        <v>638</v>
      </c>
      <c r="C13058" t="s">
        <v>781</v>
      </c>
      <c r="D13058" s="21" t="s">
        <v>34</v>
      </c>
      <c r="E13058" s="21" t="s">
        <v>71</v>
      </c>
      <c r="F13058">
        <v>12440260</v>
      </c>
      <c r="G13058" t="s">
        <v>26759</v>
      </c>
      <c r="H13058" s="21">
        <v>907.17</v>
      </c>
    </row>
    <row r="13059" spans="1:8" customFormat="1" x14ac:dyDescent="0.25">
      <c r="A13059" t="str">
        <f>"4111820"</f>
        <v>4111820</v>
      </c>
      <c r="B13059" t="s">
        <v>6098</v>
      </c>
      <c r="C13059" t="s">
        <v>462</v>
      </c>
      <c r="D13059" s="21" t="s">
        <v>34</v>
      </c>
      <c r="E13059" s="21" t="s">
        <v>35</v>
      </c>
      <c r="F13059">
        <v>4410612</v>
      </c>
      <c r="G13059" t="s">
        <v>815</v>
      </c>
      <c r="H13059" s="21">
        <v>907.17</v>
      </c>
    </row>
    <row r="13060" spans="1:8" customFormat="1" x14ac:dyDescent="0.25">
      <c r="A13060" t="str">
        <f>"4426786"</f>
        <v>4426786</v>
      </c>
      <c r="B13060" t="s">
        <v>7122</v>
      </c>
      <c r="C13060" t="s">
        <v>1110</v>
      </c>
      <c r="D13060" s="21" t="s">
        <v>34</v>
      </c>
      <c r="E13060" s="21" t="s">
        <v>1089</v>
      </c>
      <c r="F13060">
        <v>12440084</v>
      </c>
      <c r="G13060" t="s">
        <v>1014</v>
      </c>
      <c r="H13060" s="21">
        <v>907.17</v>
      </c>
    </row>
    <row r="13061" spans="1:8" customFormat="1" x14ac:dyDescent="0.25">
      <c r="A13061" t="str">
        <f>"3518771"</f>
        <v>3518771</v>
      </c>
      <c r="B13061" t="s">
        <v>10917</v>
      </c>
      <c r="C13061" t="s">
        <v>576</v>
      </c>
      <c r="D13061" s="21" t="s">
        <v>34</v>
      </c>
      <c r="E13061" s="21" t="s">
        <v>35</v>
      </c>
      <c r="F13061">
        <v>3350183</v>
      </c>
      <c r="G13061" t="s">
        <v>2572</v>
      </c>
      <c r="H13061" s="21">
        <v>907.17</v>
      </c>
    </row>
    <row r="13062" spans="1:8" customFormat="1" x14ac:dyDescent="0.25">
      <c r="A13062" t="str">
        <f>"104170"</f>
        <v>104170</v>
      </c>
      <c r="B13062" t="s">
        <v>11249</v>
      </c>
      <c r="C13062" t="s">
        <v>98</v>
      </c>
      <c r="D13062" s="21" t="s">
        <v>34</v>
      </c>
      <c r="E13062" s="21" t="s">
        <v>35</v>
      </c>
      <c r="F13062">
        <v>6100035</v>
      </c>
      <c r="G13062" t="s">
        <v>26807</v>
      </c>
      <c r="H13062" s="21">
        <v>907.17</v>
      </c>
    </row>
    <row r="13063" spans="1:8" customFormat="1" x14ac:dyDescent="0.25">
      <c r="A13063" t="str">
        <f>"4511691"</f>
        <v>4511691</v>
      </c>
      <c r="B13063" t="s">
        <v>2863</v>
      </c>
      <c r="C13063" t="s">
        <v>817</v>
      </c>
      <c r="D13063" s="21" t="s">
        <v>34</v>
      </c>
      <c r="E13063" s="21" t="s">
        <v>254</v>
      </c>
      <c r="F13063">
        <v>4450417</v>
      </c>
      <c r="G13063" t="s">
        <v>2284</v>
      </c>
      <c r="H13063" s="21">
        <v>907.17</v>
      </c>
    </row>
    <row r="13064" spans="1:8" customFormat="1" x14ac:dyDescent="0.25">
      <c r="A13064" t="str">
        <f>"8014867"</f>
        <v>8014867</v>
      </c>
      <c r="B13064" t="s">
        <v>589</v>
      </c>
      <c r="C13064" t="s">
        <v>55</v>
      </c>
      <c r="D13064" s="21" t="s">
        <v>34</v>
      </c>
      <c r="E13064" s="21" t="s">
        <v>71</v>
      </c>
      <c r="F13064">
        <v>7800071</v>
      </c>
      <c r="G13064" t="s">
        <v>9109</v>
      </c>
      <c r="H13064" s="21">
        <v>907.17</v>
      </c>
    </row>
    <row r="13065" spans="1:8" customFormat="1" x14ac:dyDescent="0.25">
      <c r="A13065" t="str">
        <f>"628823"</f>
        <v>628823</v>
      </c>
      <c r="B13065" t="s">
        <v>12195</v>
      </c>
      <c r="C13065" t="s">
        <v>156</v>
      </c>
      <c r="D13065" s="21" t="s">
        <v>34</v>
      </c>
      <c r="E13065" s="21" t="s">
        <v>1089</v>
      </c>
      <c r="F13065">
        <v>7620005</v>
      </c>
      <c r="G13065" t="s">
        <v>200</v>
      </c>
      <c r="H13065" s="21">
        <v>907.17</v>
      </c>
    </row>
    <row r="13066" spans="1:8" customFormat="1" x14ac:dyDescent="0.25">
      <c r="A13066" t="str">
        <f>"65998"</f>
        <v>65998</v>
      </c>
      <c r="B13066" t="s">
        <v>11429</v>
      </c>
      <c r="C13066" t="s">
        <v>2479</v>
      </c>
      <c r="D13066" s="21" t="s">
        <v>34</v>
      </c>
      <c r="E13066" s="21" t="s">
        <v>254</v>
      </c>
      <c r="F13066">
        <v>11650014</v>
      </c>
      <c r="G13066" t="s">
        <v>9313</v>
      </c>
      <c r="H13066" s="21">
        <v>907.17</v>
      </c>
    </row>
    <row r="13067" spans="1:8" customFormat="1" x14ac:dyDescent="0.25">
      <c r="A13067" t="str">
        <f>"8010909"</f>
        <v>8010909</v>
      </c>
      <c r="B13067" t="s">
        <v>1886</v>
      </c>
      <c r="C13067" t="s">
        <v>1196</v>
      </c>
      <c r="D13067" s="21" t="s">
        <v>34</v>
      </c>
      <c r="E13067" s="21" t="s">
        <v>35</v>
      </c>
      <c r="F13067">
        <v>9760201</v>
      </c>
      <c r="G13067" t="s">
        <v>11358</v>
      </c>
      <c r="H13067" s="21">
        <v>907.17</v>
      </c>
    </row>
    <row r="13068" spans="1:8" customFormat="1" x14ac:dyDescent="0.25">
      <c r="A13068" t="str">
        <f>"6957"</f>
        <v>6957</v>
      </c>
      <c r="B13068" t="s">
        <v>10514</v>
      </c>
      <c r="C13068" t="s">
        <v>236</v>
      </c>
      <c r="D13068" s="21" t="s">
        <v>34</v>
      </c>
      <c r="E13068" s="21" t="s">
        <v>254</v>
      </c>
      <c r="F13068">
        <v>1690090</v>
      </c>
      <c r="G13068" t="s">
        <v>6286</v>
      </c>
      <c r="H13068" s="21">
        <v>907.17</v>
      </c>
    </row>
    <row r="13069" spans="1:8" customFormat="1" x14ac:dyDescent="0.25">
      <c r="A13069" t="str">
        <f>"946777"</f>
        <v>946777</v>
      </c>
      <c r="B13069" t="s">
        <v>11930</v>
      </c>
      <c r="C13069" t="s">
        <v>2479</v>
      </c>
      <c r="D13069" s="21" t="s">
        <v>34</v>
      </c>
      <c r="E13069" s="21" t="s">
        <v>1089</v>
      </c>
      <c r="F13069">
        <v>3220048</v>
      </c>
      <c r="G13069" t="s">
        <v>26532</v>
      </c>
      <c r="H13069" s="21">
        <v>907.17</v>
      </c>
    </row>
    <row r="13070" spans="1:8" customFormat="1" x14ac:dyDescent="0.25">
      <c r="A13070" t="str">
        <f>"536176"</f>
        <v>536176</v>
      </c>
      <c r="B13070" t="s">
        <v>431</v>
      </c>
      <c r="C13070" t="s">
        <v>664</v>
      </c>
      <c r="D13070" s="21" t="s">
        <v>34</v>
      </c>
      <c r="E13070" s="21" t="s">
        <v>254</v>
      </c>
      <c r="F13070">
        <v>12530098</v>
      </c>
      <c r="G13070" t="s">
        <v>8852</v>
      </c>
      <c r="H13070" s="21">
        <v>907.17</v>
      </c>
    </row>
    <row r="13071" spans="1:8" customFormat="1" x14ac:dyDescent="0.25">
      <c r="A13071" t="str">
        <f>"9247186"</f>
        <v>9247186</v>
      </c>
      <c r="B13071" t="s">
        <v>14456</v>
      </c>
      <c r="C13071" t="s">
        <v>305</v>
      </c>
      <c r="D13071" s="21" t="s">
        <v>34</v>
      </c>
      <c r="E13071" s="21" t="s">
        <v>35</v>
      </c>
      <c r="F13071">
        <v>8920067</v>
      </c>
      <c r="G13071" t="s">
        <v>258</v>
      </c>
      <c r="H13071" s="21">
        <v>907.04</v>
      </c>
    </row>
    <row r="13072" spans="1:8" customFormat="1" x14ac:dyDescent="0.25">
      <c r="A13072" t="str">
        <f>"3413815"</f>
        <v>3413815</v>
      </c>
      <c r="B13072" t="s">
        <v>11806</v>
      </c>
      <c r="C13072" t="s">
        <v>2276</v>
      </c>
      <c r="D13072" s="21" t="s">
        <v>34</v>
      </c>
      <c r="E13072" s="21" t="s">
        <v>254</v>
      </c>
      <c r="F13072">
        <v>11340018</v>
      </c>
      <c r="G13072" t="s">
        <v>2421</v>
      </c>
      <c r="H13072" s="21">
        <v>906.92</v>
      </c>
    </row>
    <row r="13073" spans="1:8" customFormat="1" x14ac:dyDescent="0.25">
      <c r="A13073" t="str">
        <f>"6939599"</f>
        <v>6939599</v>
      </c>
      <c r="B13073" t="s">
        <v>27275</v>
      </c>
      <c r="C13073" t="s">
        <v>236</v>
      </c>
      <c r="D13073" s="21" t="s">
        <v>34</v>
      </c>
      <c r="E13073" s="21" t="s">
        <v>71</v>
      </c>
      <c r="F13073">
        <v>1690223</v>
      </c>
      <c r="G13073" t="s">
        <v>26579</v>
      </c>
      <c r="H13073" s="21">
        <v>906.92</v>
      </c>
    </row>
    <row r="13074" spans="1:8" customFormat="1" x14ac:dyDescent="0.25">
      <c r="A13074" t="str">
        <f>"5966185"</f>
        <v>5966185</v>
      </c>
      <c r="B13074" t="s">
        <v>2985</v>
      </c>
      <c r="C13074" t="s">
        <v>311</v>
      </c>
      <c r="D13074" s="21" t="s">
        <v>34</v>
      </c>
      <c r="E13074" s="21" t="s">
        <v>35</v>
      </c>
      <c r="F13074">
        <v>7590392</v>
      </c>
      <c r="G13074" t="s">
        <v>154</v>
      </c>
      <c r="H13074" s="21">
        <v>906.92</v>
      </c>
    </row>
    <row r="13075" spans="1:8" customFormat="1" x14ac:dyDescent="0.25">
      <c r="A13075" t="str">
        <f>"5976166"</f>
        <v>5976166</v>
      </c>
      <c r="B13075" t="s">
        <v>1113</v>
      </c>
      <c r="C13075" t="s">
        <v>187</v>
      </c>
      <c r="D13075" s="21" t="s">
        <v>34</v>
      </c>
      <c r="E13075" s="21" t="s">
        <v>35</v>
      </c>
      <c r="F13075">
        <v>7590089</v>
      </c>
      <c r="G13075" t="s">
        <v>1418</v>
      </c>
      <c r="H13075" s="21">
        <v>906.92</v>
      </c>
    </row>
    <row r="13076" spans="1:8" customFormat="1" x14ac:dyDescent="0.25">
      <c r="A13076" t="str">
        <f>"3118634"</f>
        <v>3118634</v>
      </c>
      <c r="B13076" t="s">
        <v>16428</v>
      </c>
      <c r="C13076" t="s">
        <v>187</v>
      </c>
      <c r="D13076" s="21" t="s">
        <v>34</v>
      </c>
      <c r="E13076" s="21" t="s">
        <v>71</v>
      </c>
      <c r="F13076">
        <v>11310005</v>
      </c>
      <c r="G13076" t="s">
        <v>6980</v>
      </c>
      <c r="H13076" s="21">
        <v>906.92</v>
      </c>
    </row>
    <row r="13077" spans="1:8" customFormat="1" x14ac:dyDescent="0.25">
      <c r="A13077" t="str">
        <f>"3425567"</f>
        <v>3425567</v>
      </c>
      <c r="B13077" t="s">
        <v>15004</v>
      </c>
      <c r="C13077" t="s">
        <v>236</v>
      </c>
      <c r="D13077" s="21" t="s">
        <v>34</v>
      </c>
      <c r="E13077" s="21" t="s">
        <v>71</v>
      </c>
      <c r="F13077">
        <v>11340073</v>
      </c>
      <c r="G13077" t="s">
        <v>15005</v>
      </c>
      <c r="H13077" s="21">
        <v>906.79</v>
      </c>
    </row>
    <row r="13078" spans="1:8" customFormat="1" x14ac:dyDescent="0.25">
      <c r="A13078" t="str">
        <f>"386580"</f>
        <v>386580</v>
      </c>
      <c r="B13078" t="s">
        <v>11701</v>
      </c>
      <c r="C13078" t="s">
        <v>209</v>
      </c>
      <c r="D13078" s="21" t="s">
        <v>34</v>
      </c>
      <c r="E13078" s="21" t="s">
        <v>35</v>
      </c>
      <c r="F13078">
        <v>1380262</v>
      </c>
      <c r="G13078" t="s">
        <v>1216</v>
      </c>
      <c r="H13078" s="21">
        <v>906.67</v>
      </c>
    </row>
    <row r="13079" spans="1:8" customFormat="1" x14ac:dyDescent="0.25">
      <c r="A13079" t="str">
        <f>"198686"</f>
        <v>198686</v>
      </c>
      <c r="B13079" t="s">
        <v>11695</v>
      </c>
      <c r="C13079" t="s">
        <v>156</v>
      </c>
      <c r="D13079" s="21" t="s">
        <v>34</v>
      </c>
      <c r="E13079" s="21" t="s">
        <v>1089</v>
      </c>
      <c r="F13079">
        <v>10190147</v>
      </c>
      <c r="G13079" t="s">
        <v>7477</v>
      </c>
      <c r="H13079" s="21">
        <v>906.67</v>
      </c>
    </row>
    <row r="13080" spans="1:8" customFormat="1" x14ac:dyDescent="0.25">
      <c r="A13080" t="str">
        <f>"5920184"</f>
        <v>5920184</v>
      </c>
      <c r="B13080" t="s">
        <v>12147</v>
      </c>
      <c r="C13080" t="s">
        <v>926</v>
      </c>
      <c r="D13080" s="21" t="s">
        <v>34</v>
      </c>
      <c r="E13080" s="21" t="s">
        <v>35</v>
      </c>
      <c r="F13080">
        <v>7590044</v>
      </c>
      <c r="G13080" t="s">
        <v>2029</v>
      </c>
      <c r="H13080" s="21">
        <v>906.67</v>
      </c>
    </row>
    <row r="13081" spans="1:8" customFormat="1" x14ac:dyDescent="0.25">
      <c r="A13081" t="str">
        <f>"822596"</f>
        <v>822596</v>
      </c>
      <c r="B13081" t="s">
        <v>5118</v>
      </c>
      <c r="C13081" t="s">
        <v>55</v>
      </c>
      <c r="D13081" s="21" t="s">
        <v>34</v>
      </c>
      <c r="E13081" s="21" t="s">
        <v>71</v>
      </c>
      <c r="F13081">
        <v>11820008</v>
      </c>
      <c r="G13081" t="s">
        <v>294</v>
      </c>
      <c r="H13081" s="21">
        <v>906.67</v>
      </c>
    </row>
    <row r="13082" spans="1:8" customFormat="1" x14ac:dyDescent="0.25">
      <c r="A13082" t="str">
        <f>"141814"</f>
        <v>141814</v>
      </c>
      <c r="B13082" t="s">
        <v>12262</v>
      </c>
      <c r="C13082" t="s">
        <v>462</v>
      </c>
      <c r="D13082" s="21" t="s">
        <v>34</v>
      </c>
      <c r="E13082" s="21" t="s">
        <v>71</v>
      </c>
      <c r="F13082">
        <v>9500111</v>
      </c>
      <c r="G13082" t="s">
        <v>6591</v>
      </c>
      <c r="H13082" s="21">
        <v>906.67</v>
      </c>
    </row>
    <row r="13083" spans="1:8" customFormat="1" x14ac:dyDescent="0.25">
      <c r="A13083" t="str">
        <f>"10398"</f>
        <v>10398</v>
      </c>
      <c r="B13083" t="s">
        <v>6817</v>
      </c>
      <c r="C13083" t="s">
        <v>1665</v>
      </c>
      <c r="D13083" s="21" t="s">
        <v>34</v>
      </c>
      <c r="E13083" s="21" t="s">
        <v>71</v>
      </c>
      <c r="F13083">
        <v>6100021</v>
      </c>
      <c r="G13083" t="s">
        <v>7789</v>
      </c>
      <c r="H13083" s="21">
        <v>906.67</v>
      </c>
    </row>
    <row r="13084" spans="1:8" customFormat="1" x14ac:dyDescent="0.25">
      <c r="A13084" t="str">
        <f>"692639"</f>
        <v>692639</v>
      </c>
      <c r="B13084" t="s">
        <v>10886</v>
      </c>
      <c r="C13084" t="s">
        <v>40</v>
      </c>
      <c r="D13084" s="21" t="s">
        <v>34</v>
      </c>
      <c r="E13084" s="21" t="s">
        <v>254</v>
      </c>
      <c r="F13084">
        <v>1690013</v>
      </c>
      <c r="G13084" t="s">
        <v>26900</v>
      </c>
      <c r="H13084" s="21">
        <v>906.67</v>
      </c>
    </row>
    <row r="13085" spans="1:8" customFormat="1" x14ac:dyDescent="0.25">
      <c r="A13085" t="str">
        <f>"665928"</f>
        <v>665928</v>
      </c>
      <c r="B13085" t="s">
        <v>12930</v>
      </c>
      <c r="C13085" t="s">
        <v>236</v>
      </c>
      <c r="D13085" s="21" t="s">
        <v>34</v>
      </c>
      <c r="E13085" s="21" t="s">
        <v>71</v>
      </c>
      <c r="F13085">
        <v>11660007</v>
      </c>
      <c r="G13085" t="s">
        <v>5840</v>
      </c>
      <c r="H13085" s="21">
        <v>906.67</v>
      </c>
    </row>
    <row r="13086" spans="1:8" customFormat="1" x14ac:dyDescent="0.25">
      <c r="A13086" t="str">
        <f>"621513"</f>
        <v>621513</v>
      </c>
      <c r="B13086" t="s">
        <v>7940</v>
      </c>
      <c r="C13086" t="s">
        <v>2479</v>
      </c>
      <c r="D13086" s="21" t="s">
        <v>34</v>
      </c>
      <c r="E13086" s="21" t="s">
        <v>254</v>
      </c>
      <c r="F13086">
        <v>7620046</v>
      </c>
      <c r="G13086" t="s">
        <v>242</v>
      </c>
      <c r="H13086" s="21">
        <v>906.67</v>
      </c>
    </row>
    <row r="13087" spans="1:8" customFormat="1" x14ac:dyDescent="0.25">
      <c r="A13087" t="str">
        <f>"886876"</f>
        <v>886876</v>
      </c>
      <c r="B13087" t="s">
        <v>11042</v>
      </c>
      <c r="C13087" t="s">
        <v>139</v>
      </c>
      <c r="D13087" s="21" t="s">
        <v>34</v>
      </c>
      <c r="E13087" s="21" t="s">
        <v>35</v>
      </c>
      <c r="F13087">
        <v>6880022</v>
      </c>
      <c r="G13087" t="s">
        <v>339</v>
      </c>
      <c r="H13087" s="21">
        <v>906.67</v>
      </c>
    </row>
    <row r="13088" spans="1:8" customFormat="1" x14ac:dyDescent="0.25">
      <c r="A13088" t="str">
        <f>"103245"</f>
        <v>103245</v>
      </c>
      <c r="B13088" t="s">
        <v>27276</v>
      </c>
      <c r="C13088" t="s">
        <v>7001</v>
      </c>
      <c r="D13088" s="21" t="s">
        <v>34</v>
      </c>
      <c r="E13088" s="21" t="s">
        <v>35</v>
      </c>
      <c r="F13088">
        <v>6100035</v>
      </c>
      <c r="G13088" t="s">
        <v>26807</v>
      </c>
      <c r="H13088" s="21">
        <v>906.67</v>
      </c>
    </row>
    <row r="13089" spans="1:8" customFormat="1" x14ac:dyDescent="0.25">
      <c r="A13089" t="str">
        <f>"864424"</f>
        <v>864424</v>
      </c>
      <c r="B13089" t="s">
        <v>10951</v>
      </c>
      <c r="C13089" t="s">
        <v>260</v>
      </c>
      <c r="D13089" s="21" t="s">
        <v>34</v>
      </c>
      <c r="E13089" s="21" t="s">
        <v>35</v>
      </c>
      <c r="F13089">
        <v>10860044</v>
      </c>
      <c r="G13089" t="s">
        <v>4984</v>
      </c>
      <c r="H13089" s="21">
        <v>906.67</v>
      </c>
    </row>
    <row r="13090" spans="1:8" customFormat="1" x14ac:dyDescent="0.25">
      <c r="A13090" t="str">
        <f>"618387"</f>
        <v>618387</v>
      </c>
      <c r="B13090" t="s">
        <v>11905</v>
      </c>
      <c r="C13090" t="s">
        <v>3073</v>
      </c>
      <c r="D13090" s="21" t="s">
        <v>34</v>
      </c>
      <c r="E13090" s="21" t="s">
        <v>71</v>
      </c>
      <c r="F13090">
        <v>9610015</v>
      </c>
      <c r="G13090" t="s">
        <v>3690</v>
      </c>
      <c r="H13090" s="21">
        <v>906.67</v>
      </c>
    </row>
    <row r="13091" spans="1:8" customFormat="1" x14ac:dyDescent="0.25">
      <c r="A13091" t="str">
        <f>"225729"</f>
        <v>225729</v>
      </c>
      <c r="B13091" t="s">
        <v>7731</v>
      </c>
      <c r="C13091" t="s">
        <v>156</v>
      </c>
      <c r="D13091" s="21" t="s">
        <v>34</v>
      </c>
      <c r="E13091" s="21" t="s">
        <v>1089</v>
      </c>
      <c r="F13091">
        <v>3220033</v>
      </c>
      <c r="G13091" t="s">
        <v>657</v>
      </c>
      <c r="H13091" s="21">
        <v>906.67</v>
      </c>
    </row>
    <row r="13092" spans="1:8" customFormat="1" x14ac:dyDescent="0.25">
      <c r="A13092" t="str">
        <f>"271146"</f>
        <v>271146</v>
      </c>
      <c r="B13092" t="s">
        <v>11684</v>
      </c>
      <c r="C13092" t="s">
        <v>263</v>
      </c>
      <c r="D13092" s="21" t="s">
        <v>34</v>
      </c>
      <c r="E13092" s="21" t="s">
        <v>71</v>
      </c>
      <c r="F13092">
        <v>9270097</v>
      </c>
      <c r="G13092" t="s">
        <v>9759</v>
      </c>
      <c r="H13092" s="21">
        <v>906.67</v>
      </c>
    </row>
    <row r="13093" spans="1:8" customFormat="1" x14ac:dyDescent="0.25">
      <c r="A13093" t="str">
        <f>"289642"</f>
        <v>289642</v>
      </c>
      <c r="B13093" t="s">
        <v>2082</v>
      </c>
      <c r="C13093" t="s">
        <v>40</v>
      </c>
      <c r="D13093" s="21" t="s">
        <v>34</v>
      </c>
      <c r="E13093" s="21" t="s">
        <v>35</v>
      </c>
      <c r="F13093">
        <v>8780585</v>
      </c>
      <c r="G13093" t="s">
        <v>4630</v>
      </c>
      <c r="H13093" s="21">
        <v>906.67</v>
      </c>
    </row>
    <row r="13094" spans="1:8" customFormat="1" x14ac:dyDescent="0.25">
      <c r="A13094" t="str">
        <f>"552901"</f>
        <v>552901</v>
      </c>
      <c r="B13094" t="s">
        <v>11953</v>
      </c>
      <c r="C13094" t="s">
        <v>379</v>
      </c>
      <c r="D13094" s="21" t="s">
        <v>34</v>
      </c>
      <c r="E13094" s="21" t="s">
        <v>254</v>
      </c>
      <c r="F13094">
        <v>6550003</v>
      </c>
      <c r="G13094" t="s">
        <v>7721</v>
      </c>
      <c r="H13094" s="21">
        <v>906.67</v>
      </c>
    </row>
    <row r="13095" spans="1:8" customFormat="1" x14ac:dyDescent="0.25">
      <c r="A13095" t="str">
        <f>"1417122"</f>
        <v>1417122</v>
      </c>
      <c r="B13095" t="s">
        <v>3972</v>
      </c>
      <c r="C13095" t="s">
        <v>40</v>
      </c>
      <c r="D13095" s="21" t="s">
        <v>34</v>
      </c>
      <c r="E13095" s="21" t="s">
        <v>71</v>
      </c>
      <c r="F13095">
        <v>9140123</v>
      </c>
      <c r="G13095" t="s">
        <v>661</v>
      </c>
      <c r="H13095" s="21">
        <v>906.67</v>
      </c>
    </row>
    <row r="13096" spans="1:8" customFormat="1" x14ac:dyDescent="0.25">
      <c r="A13096" t="str">
        <f>"1312079"</f>
        <v>1312079</v>
      </c>
      <c r="B13096" t="s">
        <v>10534</v>
      </c>
      <c r="C13096" t="s">
        <v>988</v>
      </c>
      <c r="D13096" s="21" t="s">
        <v>34</v>
      </c>
      <c r="E13096" s="21" t="s">
        <v>71</v>
      </c>
      <c r="F13096">
        <v>13130026</v>
      </c>
      <c r="G13096" t="s">
        <v>3792</v>
      </c>
      <c r="H13096" s="21">
        <v>906.67</v>
      </c>
    </row>
    <row r="13097" spans="1:8" customFormat="1" x14ac:dyDescent="0.25">
      <c r="A13097" t="str">
        <f>"295231"</f>
        <v>295231</v>
      </c>
      <c r="B13097" t="s">
        <v>3986</v>
      </c>
      <c r="C13097" t="s">
        <v>3905</v>
      </c>
      <c r="D13097" s="21" t="s">
        <v>34</v>
      </c>
      <c r="E13097" s="21" t="s">
        <v>254</v>
      </c>
      <c r="F13097">
        <v>3290014</v>
      </c>
      <c r="G13097" t="s">
        <v>10174</v>
      </c>
      <c r="H13097" s="21">
        <v>906.67</v>
      </c>
    </row>
    <row r="13098" spans="1:8" customFormat="1" x14ac:dyDescent="0.25">
      <c r="A13098" t="str">
        <f>"591619"</f>
        <v>591619</v>
      </c>
      <c r="B13098" t="s">
        <v>872</v>
      </c>
      <c r="C13098" t="s">
        <v>453</v>
      </c>
      <c r="D13098" s="21" t="s">
        <v>34</v>
      </c>
      <c r="E13098" s="21" t="s">
        <v>1089</v>
      </c>
      <c r="F13098">
        <v>1260072</v>
      </c>
      <c r="G13098" t="s">
        <v>12420</v>
      </c>
      <c r="H13098" s="21">
        <v>906.67</v>
      </c>
    </row>
    <row r="13099" spans="1:8" customFormat="1" x14ac:dyDescent="0.25">
      <c r="A13099" t="str">
        <f>"276622"</f>
        <v>276622</v>
      </c>
      <c r="B13099" t="s">
        <v>12353</v>
      </c>
      <c r="C13099" t="s">
        <v>267</v>
      </c>
      <c r="D13099" s="21" t="s">
        <v>34</v>
      </c>
      <c r="E13099" s="21" t="s">
        <v>71</v>
      </c>
      <c r="F13099">
        <v>9270136</v>
      </c>
      <c r="G13099" t="s">
        <v>5896</v>
      </c>
      <c r="H13099" s="21">
        <v>906.67</v>
      </c>
    </row>
    <row r="13100" spans="1:8" customFormat="1" x14ac:dyDescent="0.25">
      <c r="A13100" t="str">
        <f>"303959"</f>
        <v>303959</v>
      </c>
      <c r="B13100" t="s">
        <v>10386</v>
      </c>
      <c r="C13100" t="s">
        <v>2072</v>
      </c>
      <c r="D13100" s="21" t="s">
        <v>34</v>
      </c>
      <c r="E13100" s="21" t="s">
        <v>35</v>
      </c>
      <c r="F13100">
        <v>11300023</v>
      </c>
      <c r="G13100" t="s">
        <v>2679</v>
      </c>
      <c r="H13100" s="21">
        <v>906.42</v>
      </c>
    </row>
    <row r="13101" spans="1:8" customFormat="1" x14ac:dyDescent="0.25">
      <c r="A13101" t="str">
        <f>"731280"</f>
        <v>731280</v>
      </c>
      <c r="B13101" t="s">
        <v>5077</v>
      </c>
      <c r="C13101" t="s">
        <v>1786</v>
      </c>
      <c r="D13101" s="21" t="s">
        <v>34</v>
      </c>
      <c r="E13101" s="21" t="s">
        <v>35</v>
      </c>
      <c r="F13101">
        <v>1730077</v>
      </c>
      <c r="G13101" t="s">
        <v>1517</v>
      </c>
      <c r="H13101" s="21">
        <v>906.42</v>
      </c>
    </row>
    <row r="13102" spans="1:8" customFormat="1" x14ac:dyDescent="0.25">
      <c r="A13102" t="str">
        <f>"6228139"</f>
        <v>6228139</v>
      </c>
      <c r="B13102" t="s">
        <v>11726</v>
      </c>
      <c r="C13102" t="s">
        <v>206</v>
      </c>
      <c r="D13102" s="21" t="s">
        <v>34</v>
      </c>
      <c r="E13102" s="21" t="s">
        <v>35</v>
      </c>
      <c r="F13102">
        <v>7620145</v>
      </c>
      <c r="G13102" t="s">
        <v>2068</v>
      </c>
      <c r="H13102" s="21">
        <v>906.42</v>
      </c>
    </row>
    <row r="13103" spans="1:8" customFormat="1" x14ac:dyDescent="0.25">
      <c r="A13103" t="str">
        <f>"5947758"</f>
        <v>5947758</v>
      </c>
      <c r="B13103" t="s">
        <v>213</v>
      </c>
      <c r="C13103" t="s">
        <v>412</v>
      </c>
      <c r="D13103" s="21" t="s">
        <v>34</v>
      </c>
      <c r="E13103" s="21" t="s">
        <v>35</v>
      </c>
      <c r="F13103">
        <v>7590427</v>
      </c>
      <c r="G13103" t="s">
        <v>4746</v>
      </c>
      <c r="H13103" s="21">
        <v>906.29</v>
      </c>
    </row>
    <row r="13104" spans="1:8" customFormat="1" x14ac:dyDescent="0.25">
      <c r="A13104" t="str">
        <f>"4516714"</f>
        <v>4516714</v>
      </c>
      <c r="B13104" t="s">
        <v>11269</v>
      </c>
      <c r="C13104" t="s">
        <v>11270</v>
      </c>
      <c r="D13104" s="21" t="s">
        <v>34</v>
      </c>
      <c r="E13104" s="21" t="s">
        <v>71</v>
      </c>
      <c r="F13104">
        <v>4450561</v>
      </c>
      <c r="G13104" t="s">
        <v>10125</v>
      </c>
      <c r="H13104" s="21">
        <v>906.17</v>
      </c>
    </row>
    <row r="13105" spans="1:8" customFormat="1" x14ac:dyDescent="0.25">
      <c r="A13105" t="str">
        <f>"1422731"</f>
        <v>1422731</v>
      </c>
      <c r="B13105" t="s">
        <v>14141</v>
      </c>
      <c r="C13105" t="s">
        <v>462</v>
      </c>
      <c r="D13105" s="21" t="s">
        <v>34</v>
      </c>
      <c r="E13105" s="21" t="s">
        <v>35</v>
      </c>
      <c r="F13105">
        <v>9140147</v>
      </c>
      <c r="G13105" t="s">
        <v>7584</v>
      </c>
      <c r="H13105" s="21">
        <v>906.17</v>
      </c>
    </row>
    <row r="13106" spans="1:8" customFormat="1" x14ac:dyDescent="0.25">
      <c r="A13106" t="str">
        <f>"722892"</f>
        <v>722892</v>
      </c>
      <c r="B13106" t="s">
        <v>1824</v>
      </c>
      <c r="C13106" t="s">
        <v>253</v>
      </c>
      <c r="D13106" s="21" t="s">
        <v>34</v>
      </c>
      <c r="E13106" s="21" t="s">
        <v>1089</v>
      </c>
      <c r="F13106">
        <v>12720120</v>
      </c>
      <c r="G13106" t="s">
        <v>2509</v>
      </c>
      <c r="H13106" s="21">
        <v>906.17</v>
      </c>
    </row>
    <row r="13107" spans="1:8" customFormat="1" x14ac:dyDescent="0.25">
      <c r="A13107" t="str">
        <f>"066443"</f>
        <v>066443</v>
      </c>
      <c r="B13107" t="s">
        <v>13658</v>
      </c>
      <c r="C13107" t="s">
        <v>249</v>
      </c>
      <c r="D13107" s="21" t="s">
        <v>34</v>
      </c>
      <c r="E13107" s="21" t="s">
        <v>35</v>
      </c>
      <c r="F13107">
        <v>13060082</v>
      </c>
      <c r="G13107" t="s">
        <v>11729</v>
      </c>
      <c r="H13107" s="21">
        <v>906.17</v>
      </c>
    </row>
    <row r="13108" spans="1:8" customFormat="1" x14ac:dyDescent="0.25">
      <c r="A13108" t="str">
        <f>"282926"</f>
        <v>282926</v>
      </c>
      <c r="B13108" t="s">
        <v>3529</v>
      </c>
      <c r="C13108" t="s">
        <v>124</v>
      </c>
      <c r="D13108" s="21" t="s">
        <v>34</v>
      </c>
      <c r="E13108" s="21" t="s">
        <v>71</v>
      </c>
      <c r="F13108">
        <v>4280722</v>
      </c>
      <c r="G13108" t="s">
        <v>8251</v>
      </c>
      <c r="H13108" s="21">
        <v>906.17</v>
      </c>
    </row>
    <row r="13109" spans="1:8" customFormat="1" x14ac:dyDescent="0.25">
      <c r="A13109" t="str">
        <f>"6937679"</f>
        <v>6937679</v>
      </c>
      <c r="B13109" t="s">
        <v>12278</v>
      </c>
      <c r="C13109" t="s">
        <v>601</v>
      </c>
      <c r="D13109" s="21" t="s">
        <v>34</v>
      </c>
      <c r="E13109" s="21" t="s">
        <v>71</v>
      </c>
      <c r="F13109">
        <v>1690215</v>
      </c>
      <c r="G13109" t="s">
        <v>1080</v>
      </c>
      <c r="H13109" s="21">
        <v>906.17</v>
      </c>
    </row>
    <row r="13110" spans="1:8" customFormat="1" x14ac:dyDescent="0.25">
      <c r="A13110" t="str">
        <f>"1612634"</f>
        <v>1612634</v>
      </c>
      <c r="B13110" t="s">
        <v>890</v>
      </c>
      <c r="C13110" t="s">
        <v>7244</v>
      </c>
      <c r="D13110" s="21" t="s">
        <v>34</v>
      </c>
      <c r="E13110" s="21" t="s">
        <v>254</v>
      </c>
      <c r="F13110">
        <v>10160085</v>
      </c>
      <c r="G13110" t="s">
        <v>10818</v>
      </c>
      <c r="H13110" s="21">
        <v>906.17</v>
      </c>
    </row>
    <row r="13111" spans="1:8" customFormat="1" x14ac:dyDescent="0.25">
      <c r="A13111" t="str">
        <f>"3421675"</f>
        <v>3421675</v>
      </c>
      <c r="B13111" t="s">
        <v>11519</v>
      </c>
      <c r="C13111" t="s">
        <v>11520</v>
      </c>
      <c r="D13111" s="21" t="s">
        <v>34</v>
      </c>
      <c r="E13111" s="21" t="s">
        <v>71</v>
      </c>
      <c r="F13111">
        <v>11340059</v>
      </c>
      <c r="G13111" t="s">
        <v>10368</v>
      </c>
      <c r="H13111" s="21">
        <v>906.17</v>
      </c>
    </row>
    <row r="13112" spans="1:8" customFormat="1" x14ac:dyDescent="0.25">
      <c r="A13112" t="str">
        <f>"5942353"</f>
        <v>5942353</v>
      </c>
      <c r="B13112" t="s">
        <v>11946</v>
      </c>
      <c r="C13112" t="s">
        <v>33</v>
      </c>
      <c r="D13112" s="21" t="s">
        <v>34</v>
      </c>
      <c r="E13112" s="21" t="s">
        <v>35</v>
      </c>
      <c r="F13112">
        <v>7590228</v>
      </c>
      <c r="G13112" t="s">
        <v>1798</v>
      </c>
      <c r="H13112" s="21">
        <v>906.17</v>
      </c>
    </row>
    <row r="13113" spans="1:8" customFormat="1" x14ac:dyDescent="0.25">
      <c r="A13113" t="str">
        <f>"8011718"</f>
        <v>8011718</v>
      </c>
      <c r="B13113" t="s">
        <v>12030</v>
      </c>
      <c r="C13113" t="s">
        <v>598</v>
      </c>
      <c r="D13113" s="21" t="s">
        <v>34</v>
      </c>
      <c r="E13113" s="21" t="s">
        <v>35</v>
      </c>
      <c r="F13113">
        <v>3220041</v>
      </c>
      <c r="G13113" t="s">
        <v>27133</v>
      </c>
      <c r="H13113" s="21">
        <v>906.17</v>
      </c>
    </row>
    <row r="13114" spans="1:8" customFormat="1" x14ac:dyDescent="0.25">
      <c r="A13114" t="str">
        <f>"081578"</f>
        <v>081578</v>
      </c>
      <c r="B13114" t="s">
        <v>10817</v>
      </c>
      <c r="C13114" t="s">
        <v>267</v>
      </c>
      <c r="D13114" s="21" t="s">
        <v>34</v>
      </c>
      <c r="E13114" s="21" t="s">
        <v>254</v>
      </c>
      <c r="F13114">
        <v>6080064</v>
      </c>
      <c r="G13114" t="s">
        <v>5825</v>
      </c>
      <c r="H13114" s="21">
        <v>906.17</v>
      </c>
    </row>
    <row r="13115" spans="1:8" customFormat="1" x14ac:dyDescent="0.25">
      <c r="A13115" t="str">
        <f>"6312875"</f>
        <v>6312875</v>
      </c>
      <c r="B13115" t="s">
        <v>5887</v>
      </c>
      <c r="C13115" t="s">
        <v>209</v>
      </c>
      <c r="D13115" s="21" t="s">
        <v>34</v>
      </c>
      <c r="E13115" s="21" t="s">
        <v>71</v>
      </c>
      <c r="F13115">
        <v>1630320</v>
      </c>
      <c r="G13115" t="s">
        <v>4046</v>
      </c>
      <c r="H13115" s="21">
        <v>906.17</v>
      </c>
    </row>
    <row r="13116" spans="1:8" customFormat="1" x14ac:dyDescent="0.25">
      <c r="A13116" t="str">
        <f>"034315"</f>
        <v>034315</v>
      </c>
      <c r="B13116" t="s">
        <v>5220</v>
      </c>
      <c r="C13116" t="s">
        <v>249</v>
      </c>
      <c r="D13116" s="21" t="s">
        <v>34</v>
      </c>
      <c r="E13116" s="21" t="s">
        <v>71</v>
      </c>
      <c r="F13116">
        <v>1030035</v>
      </c>
      <c r="G13116" t="s">
        <v>2343</v>
      </c>
      <c r="H13116" s="21">
        <v>906.17</v>
      </c>
    </row>
    <row r="13117" spans="1:8" customFormat="1" x14ac:dyDescent="0.25">
      <c r="A13117" t="str">
        <f>"276865"</f>
        <v>276865</v>
      </c>
      <c r="B13117" t="s">
        <v>2010</v>
      </c>
      <c r="C13117" t="s">
        <v>209</v>
      </c>
      <c r="D13117" s="21" t="s">
        <v>34</v>
      </c>
      <c r="E13117" s="21" t="s">
        <v>254</v>
      </c>
      <c r="F13117">
        <v>9270077</v>
      </c>
      <c r="G13117" t="s">
        <v>3228</v>
      </c>
      <c r="H13117" s="21">
        <v>906.17</v>
      </c>
    </row>
    <row r="13118" spans="1:8" customFormat="1" x14ac:dyDescent="0.25">
      <c r="A13118" t="str">
        <f>"5711512"</f>
        <v>5711512</v>
      </c>
      <c r="B13118" t="s">
        <v>12711</v>
      </c>
      <c r="C13118" t="s">
        <v>236</v>
      </c>
      <c r="D13118" s="21" t="s">
        <v>34</v>
      </c>
      <c r="E13118" s="21" t="s">
        <v>35</v>
      </c>
      <c r="F13118">
        <v>6570030</v>
      </c>
      <c r="G13118" t="s">
        <v>851</v>
      </c>
      <c r="H13118" s="21">
        <v>906.17</v>
      </c>
    </row>
    <row r="13119" spans="1:8" customFormat="1" x14ac:dyDescent="0.25">
      <c r="A13119" t="str">
        <f>"4518455"</f>
        <v>4518455</v>
      </c>
      <c r="B13119" t="s">
        <v>11864</v>
      </c>
      <c r="C13119" t="s">
        <v>926</v>
      </c>
      <c r="D13119" s="21" t="s">
        <v>34</v>
      </c>
      <c r="E13119" s="21" t="s">
        <v>71</v>
      </c>
      <c r="F13119">
        <v>4450573</v>
      </c>
      <c r="G13119" t="s">
        <v>4106</v>
      </c>
      <c r="H13119" s="21">
        <v>906.17</v>
      </c>
    </row>
    <row r="13120" spans="1:8" customFormat="1" x14ac:dyDescent="0.25">
      <c r="A13120" t="str">
        <f>"7615133"</f>
        <v>7615133</v>
      </c>
      <c r="B13120" t="s">
        <v>12429</v>
      </c>
      <c r="C13120" t="s">
        <v>2904</v>
      </c>
      <c r="D13120" s="21" t="s">
        <v>34</v>
      </c>
      <c r="E13120" s="21" t="s">
        <v>1089</v>
      </c>
      <c r="F13120">
        <v>9760382</v>
      </c>
      <c r="G13120" t="s">
        <v>2737</v>
      </c>
      <c r="H13120" s="21">
        <v>906.04</v>
      </c>
    </row>
    <row r="13121" spans="1:8" customFormat="1" x14ac:dyDescent="0.25">
      <c r="A13121" t="str">
        <f>"8521679"</f>
        <v>8521679</v>
      </c>
      <c r="B13121" t="s">
        <v>11942</v>
      </c>
      <c r="C13121" t="s">
        <v>62</v>
      </c>
      <c r="D13121" s="21" t="s">
        <v>34</v>
      </c>
      <c r="E13121" s="21" t="s">
        <v>35</v>
      </c>
      <c r="F13121">
        <v>12850046</v>
      </c>
      <c r="G13121" t="s">
        <v>3136</v>
      </c>
      <c r="H13121" s="21">
        <v>906.04</v>
      </c>
    </row>
    <row r="13122" spans="1:8" customFormat="1" x14ac:dyDescent="0.25">
      <c r="A13122" t="str">
        <f>"671542"</f>
        <v>671542</v>
      </c>
      <c r="B13122" t="s">
        <v>27277</v>
      </c>
      <c r="C13122" t="s">
        <v>547</v>
      </c>
      <c r="D13122" s="21" t="s">
        <v>34</v>
      </c>
      <c r="E13122" s="21" t="s">
        <v>71</v>
      </c>
      <c r="F13122">
        <v>6670149</v>
      </c>
      <c r="G13122" t="s">
        <v>4404</v>
      </c>
      <c r="H13122" s="21">
        <v>906</v>
      </c>
    </row>
    <row r="13123" spans="1:8" customFormat="1" x14ac:dyDescent="0.25">
      <c r="A13123" t="str">
        <f>"729595"</f>
        <v>729595</v>
      </c>
      <c r="B13123" t="s">
        <v>6898</v>
      </c>
      <c r="C13123" t="s">
        <v>209</v>
      </c>
      <c r="D13123" s="21" t="s">
        <v>34</v>
      </c>
      <c r="E13123" s="21" t="s">
        <v>71</v>
      </c>
      <c r="F13123">
        <v>12720016</v>
      </c>
      <c r="G13123" t="s">
        <v>11791</v>
      </c>
      <c r="H13123" s="21">
        <v>905.92</v>
      </c>
    </row>
    <row r="13124" spans="1:8" customFormat="1" x14ac:dyDescent="0.25">
      <c r="A13124" t="str">
        <f>"647207"</f>
        <v>647207</v>
      </c>
      <c r="B13124" t="s">
        <v>14824</v>
      </c>
      <c r="C13124" t="s">
        <v>60</v>
      </c>
      <c r="D13124" s="21" t="s">
        <v>34</v>
      </c>
      <c r="E13124" s="21" t="s">
        <v>35</v>
      </c>
      <c r="F13124">
        <v>11320041</v>
      </c>
      <c r="G13124" t="s">
        <v>4802</v>
      </c>
      <c r="H13124" s="21">
        <v>905.92</v>
      </c>
    </row>
    <row r="13125" spans="1:8" customFormat="1" x14ac:dyDescent="0.25">
      <c r="A13125" t="str">
        <f>"685994"</f>
        <v>685994</v>
      </c>
      <c r="B13125" t="s">
        <v>13517</v>
      </c>
      <c r="C13125" t="s">
        <v>812</v>
      </c>
      <c r="D13125" s="21" t="s">
        <v>34</v>
      </c>
      <c r="E13125" s="21" t="s">
        <v>254</v>
      </c>
      <c r="F13125">
        <v>6680128</v>
      </c>
      <c r="G13125" t="s">
        <v>341</v>
      </c>
      <c r="H13125" s="21">
        <v>905.67</v>
      </c>
    </row>
    <row r="13126" spans="1:8" customFormat="1" x14ac:dyDescent="0.25">
      <c r="A13126" t="str">
        <f>"5973797"</f>
        <v>5973797</v>
      </c>
      <c r="B13126" t="s">
        <v>13354</v>
      </c>
      <c r="C13126" t="s">
        <v>49</v>
      </c>
      <c r="D13126" s="21" t="s">
        <v>34</v>
      </c>
      <c r="E13126" s="21" t="s">
        <v>35</v>
      </c>
      <c r="F13126">
        <v>7590049</v>
      </c>
      <c r="G13126" t="s">
        <v>11040</v>
      </c>
      <c r="H13126" s="21">
        <v>905.67</v>
      </c>
    </row>
    <row r="13127" spans="1:8" customFormat="1" x14ac:dyDescent="0.25">
      <c r="A13127" t="str">
        <f>"4433009"</f>
        <v>4433009</v>
      </c>
      <c r="B13127" t="s">
        <v>7750</v>
      </c>
      <c r="C13127" t="s">
        <v>55</v>
      </c>
      <c r="D13127" s="21" t="s">
        <v>34</v>
      </c>
      <c r="E13127" s="21" t="s">
        <v>35</v>
      </c>
      <c r="F13127">
        <v>12440032</v>
      </c>
      <c r="G13127" t="s">
        <v>9296</v>
      </c>
      <c r="H13127" s="21">
        <v>905.67</v>
      </c>
    </row>
    <row r="13128" spans="1:8" customFormat="1" x14ac:dyDescent="0.25">
      <c r="A13128" t="str">
        <f>"577325"</f>
        <v>577325</v>
      </c>
      <c r="B13128" t="s">
        <v>13096</v>
      </c>
      <c r="C13128" t="s">
        <v>5861</v>
      </c>
      <c r="D13128" s="21" t="s">
        <v>34</v>
      </c>
      <c r="E13128" s="21" t="s">
        <v>254</v>
      </c>
      <c r="F13128">
        <v>6570005</v>
      </c>
      <c r="G13128" t="s">
        <v>351</v>
      </c>
      <c r="H13128" s="21">
        <v>905.67</v>
      </c>
    </row>
    <row r="13129" spans="1:8" customFormat="1" x14ac:dyDescent="0.25">
      <c r="A13129" t="str">
        <f>"6713282"</f>
        <v>6713282</v>
      </c>
      <c r="B13129" t="s">
        <v>13210</v>
      </c>
      <c r="C13129" t="s">
        <v>269</v>
      </c>
      <c r="D13129" s="21" t="s">
        <v>34</v>
      </c>
      <c r="E13129" s="21" t="s">
        <v>71</v>
      </c>
      <c r="F13129">
        <v>6670002</v>
      </c>
      <c r="G13129" t="s">
        <v>5740</v>
      </c>
      <c r="H13129" s="21">
        <v>905.67</v>
      </c>
    </row>
    <row r="13130" spans="1:8" customFormat="1" x14ac:dyDescent="0.25">
      <c r="A13130" t="str">
        <f>"5610478"</f>
        <v>5610478</v>
      </c>
      <c r="B13130" t="s">
        <v>15669</v>
      </c>
      <c r="C13130" t="s">
        <v>2276</v>
      </c>
      <c r="D13130" s="21" t="s">
        <v>34</v>
      </c>
      <c r="E13130" s="21" t="s">
        <v>254</v>
      </c>
      <c r="F13130">
        <v>3560049</v>
      </c>
      <c r="G13130" t="s">
        <v>8021</v>
      </c>
      <c r="H13130" s="21">
        <v>905.67</v>
      </c>
    </row>
    <row r="13131" spans="1:8" customFormat="1" x14ac:dyDescent="0.25">
      <c r="A13131" t="str">
        <f>"2929951"</f>
        <v>2929951</v>
      </c>
      <c r="B13131" t="s">
        <v>12462</v>
      </c>
      <c r="C13131" t="s">
        <v>305</v>
      </c>
      <c r="D13131" s="21" t="s">
        <v>34</v>
      </c>
      <c r="E13131" s="21" t="s">
        <v>71</v>
      </c>
      <c r="F13131">
        <v>3560053</v>
      </c>
      <c r="G13131" t="s">
        <v>298</v>
      </c>
      <c r="H13131" s="21">
        <v>905.67</v>
      </c>
    </row>
    <row r="13132" spans="1:8" customFormat="1" x14ac:dyDescent="0.25">
      <c r="A13132" t="str">
        <f>"4927735"</f>
        <v>4927735</v>
      </c>
      <c r="B13132" t="s">
        <v>13073</v>
      </c>
      <c r="C13132" t="s">
        <v>65</v>
      </c>
      <c r="D13132" s="21" t="s">
        <v>34</v>
      </c>
      <c r="E13132" s="21" t="s">
        <v>71</v>
      </c>
      <c r="F13132">
        <v>12490029</v>
      </c>
      <c r="G13132" t="s">
        <v>3485</v>
      </c>
      <c r="H13132" s="21">
        <v>905.67</v>
      </c>
    </row>
    <row r="13133" spans="1:8" customFormat="1" x14ac:dyDescent="0.25">
      <c r="A13133" t="str">
        <f>"7110851"</f>
        <v>7110851</v>
      </c>
      <c r="B13133" t="s">
        <v>12347</v>
      </c>
      <c r="C13133" t="s">
        <v>12348</v>
      </c>
      <c r="D13133" s="21" t="s">
        <v>34</v>
      </c>
      <c r="E13133" s="21" t="s">
        <v>35</v>
      </c>
      <c r="F13133">
        <v>2710042</v>
      </c>
      <c r="G13133" t="s">
        <v>1997</v>
      </c>
      <c r="H13133" s="21">
        <v>905.67</v>
      </c>
    </row>
    <row r="13134" spans="1:8" customFormat="1" x14ac:dyDescent="0.25">
      <c r="A13134" t="str">
        <f>"4438642"</f>
        <v>4438642</v>
      </c>
      <c r="B13134" t="s">
        <v>12807</v>
      </c>
      <c r="C13134" t="s">
        <v>206</v>
      </c>
      <c r="D13134" s="21" t="s">
        <v>34</v>
      </c>
      <c r="E13134" s="21" t="s">
        <v>35</v>
      </c>
      <c r="F13134">
        <v>12440158</v>
      </c>
      <c r="G13134" t="s">
        <v>9695</v>
      </c>
      <c r="H13134" s="21">
        <v>905.67</v>
      </c>
    </row>
    <row r="13135" spans="1:8" customFormat="1" x14ac:dyDescent="0.25">
      <c r="A13135" t="str">
        <f>"576406"</f>
        <v>576406</v>
      </c>
      <c r="B13135" t="s">
        <v>12845</v>
      </c>
      <c r="C13135" t="s">
        <v>40</v>
      </c>
      <c r="D13135" s="21" t="s">
        <v>34</v>
      </c>
      <c r="E13135" s="21" t="s">
        <v>254</v>
      </c>
      <c r="F13135">
        <v>6570019</v>
      </c>
      <c r="G13135" t="s">
        <v>1510</v>
      </c>
      <c r="H13135" s="21">
        <v>905.67</v>
      </c>
    </row>
    <row r="13136" spans="1:8" customFormat="1" x14ac:dyDescent="0.25">
      <c r="A13136" t="str">
        <f>"593133"</f>
        <v>593133</v>
      </c>
      <c r="B13136" t="s">
        <v>12070</v>
      </c>
      <c r="C13136" t="s">
        <v>209</v>
      </c>
      <c r="D13136" s="21" t="s">
        <v>34</v>
      </c>
      <c r="E13136" s="21" t="s">
        <v>254</v>
      </c>
      <c r="F13136">
        <v>7590184</v>
      </c>
      <c r="G13136" t="s">
        <v>6722</v>
      </c>
      <c r="H13136" s="21">
        <v>905.67</v>
      </c>
    </row>
    <row r="13137" spans="1:8" customFormat="1" x14ac:dyDescent="0.25">
      <c r="A13137" t="str">
        <f>"9138346"</f>
        <v>9138346</v>
      </c>
      <c r="B13137" t="s">
        <v>10947</v>
      </c>
      <c r="C13137" t="s">
        <v>119</v>
      </c>
      <c r="D13137" s="21" t="s">
        <v>34</v>
      </c>
      <c r="E13137" s="21" t="s">
        <v>35</v>
      </c>
      <c r="F13137">
        <v>8910567</v>
      </c>
      <c r="G13137" t="s">
        <v>5111</v>
      </c>
      <c r="H13137" s="21">
        <v>905.67</v>
      </c>
    </row>
    <row r="13138" spans="1:8" customFormat="1" x14ac:dyDescent="0.25">
      <c r="A13138" t="str">
        <f>"6018659"</f>
        <v>6018659</v>
      </c>
      <c r="B13138" t="s">
        <v>12202</v>
      </c>
      <c r="C13138" t="s">
        <v>328</v>
      </c>
      <c r="D13138" s="21" t="s">
        <v>34</v>
      </c>
      <c r="E13138" s="21" t="s">
        <v>35</v>
      </c>
      <c r="F13138">
        <v>8930598</v>
      </c>
      <c r="G13138" t="s">
        <v>445</v>
      </c>
      <c r="H13138" s="21">
        <v>905.54</v>
      </c>
    </row>
    <row r="13139" spans="1:8" customFormat="1" x14ac:dyDescent="0.25">
      <c r="A13139" t="str">
        <f>"442801"</f>
        <v>442801</v>
      </c>
      <c r="B13139" t="s">
        <v>2261</v>
      </c>
      <c r="C13139" t="s">
        <v>253</v>
      </c>
      <c r="D13139" s="21" t="s">
        <v>34</v>
      </c>
      <c r="E13139" s="21" t="s">
        <v>254</v>
      </c>
      <c r="F13139">
        <v>12440092</v>
      </c>
      <c r="G13139" t="s">
        <v>8475</v>
      </c>
      <c r="H13139" s="21">
        <v>905.17</v>
      </c>
    </row>
    <row r="13140" spans="1:8" customFormat="1" x14ac:dyDescent="0.25">
      <c r="A13140" t="str">
        <f>"581092"</f>
        <v>581092</v>
      </c>
      <c r="B13140" t="s">
        <v>7929</v>
      </c>
      <c r="C13140" t="s">
        <v>1231</v>
      </c>
      <c r="D13140" s="21" t="s">
        <v>34</v>
      </c>
      <c r="E13140" s="21" t="s">
        <v>1089</v>
      </c>
      <c r="F13140">
        <v>2580012</v>
      </c>
      <c r="G13140" t="s">
        <v>1144</v>
      </c>
      <c r="H13140" s="21">
        <v>905.17</v>
      </c>
    </row>
    <row r="13141" spans="1:8" customFormat="1" x14ac:dyDescent="0.25">
      <c r="A13141" t="str">
        <f>"174682"</f>
        <v>174682</v>
      </c>
      <c r="B13141" t="s">
        <v>6435</v>
      </c>
      <c r="C13141" t="s">
        <v>119</v>
      </c>
      <c r="D13141" s="21" t="s">
        <v>34</v>
      </c>
      <c r="E13141" s="21" t="s">
        <v>71</v>
      </c>
      <c r="F13141">
        <v>10170050</v>
      </c>
      <c r="G13141" t="s">
        <v>2514</v>
      </c>
      <c r="H13141" s="21">
        <v>905.17</v>
      </c>
    </row>
    <row r="13142" spans="1:8" customFormat="1" x14ac:dyDescent="0.25">
      <c r="A13142" t="str">
        <f>"8012826"</f>
        <v>8012826</v>
      </c>
      <c r="B13142" t="s">
        <v>2218</v>
      </c>
      <c r="C13142" t="s">
        <v>328</v>
      </c>
      <c r="D13142" s="21" t="s">
        <v>34</v>
      </c>
      <c r="E13142" s="21" t="s">
        <v>35</v>
      </c>
      <c r="F13142">
        <v>7800149</v>
      </c>
      <c r="G13142" t="s">
        <v>12618</v>
      </c>
      <c r="H13142" s="21">
        <v>905.17</v>
      </c>
    </row>
    <row r="13143" spans="1:8" customFormat="1" x14ac:dyDescent="0.25">
      <c r="A13143" t="str">
        <f>"5932285"</f>
        <v>5932285</v>
      </c>
      <c r="B13143" t="s">
        <v>12880</v>
      </c>
      <c r="C13143" t="s">
        <v>576</v>
      </c>
      <c r="D13143" s="21" t="s">
        <v>34</v>
      </c>
      <c r="E13143" s="21" t="s">
        <v>35</v>
      </c>
      <c r="F13143">
        <v>7590237</v>
      </c>
      <c r="G13143" t="s">
        <v>3600</v>
      </c>
      <c r="H13143" s="21">
        <v>905.17</v>
      </c>
    </row>
    <row r="13144" spans="1:8" customFormat="1" x14ac:dyDescent="0.25">
      <c r="A13144" t="str">
        <f>"4518407"</f>
        <v>4518407</v>
      </c>
      <c r="B13144" t="s">
        <v>27278</v>
      </c>
      <c r="C13144" t="s">
        <v>206</v>
      </c>
      <c r="D13144" s="21" t="s">
        <v>34</v>
      </c>
      <c r="E13144" s="21" t="s">
        <v>35</v>
      </c>
      <c r="F13144">
        <v>4450702</v>
      </c>
      <c r="G13144" t="s">
        <v>1772</v>
      </c>
      <c r="H13144" s="21">
        <v>905.17</v>
      </c>
    </row>
    <row r="13145" spans="1:8" customFormat="1" x14ac:dyDescent="0.25">
      <c r="A13145" t="str">
        <f>"3310480"</f>
        <v>3310480</v>
      </c>
      <c r="B13145" t="s">
        <v>27279</v>
      </c>
      <c r="C13145" t="s">
        <v>867</v>
      </c>
      <c r="D13145" s="21" t="s">
        <v>34</v>
      </c>
      <c r="E13145" s="21" t="s">
        <v>35</v>
      </c>
      <c r="F13145">
        <v>7590017</v>
      </c>
      <c r="G13145" t="s">
        <v>1316</v>
      </c>
      <c r="H13145" s="21">
        <v>905.17</v>
      </c>
    </row>
    <row r="13146" spans="1:8" customFormat="1" x14ac:dyDescent="0.25">
      <c r="A13146" t="str">
        <f>"5318595"</f>
        <v>5318595</v>
      </c>
      <c r="B13146" t="s">
        <v>8695</v>
      </c>
      <c r="C13146" t="s">
        <v>817</v>
      </c>
      <c r="D13146" s="21" t="s">
        <v>34</v>
      </c>
      <c r="E13146" s="21" t="s">
        <v>71</v>
      </c>
      <c r="F13146">
        <v>12530114</v>
      </c>
      <c r="G13146" t="s">
        <v>1342</v>
      </c>
      <c r="H13146" s="21">
        <v>905.17</v>
      </c>
    </row>
    <row r="13147" spans="1:8" customFormat="1" x14ac:dyDescent="0.25">
      <c r="A13147" t="str">
        <f>"033206"</f>
        <v>033206</v>
      </c>
      <c r="B13147" t="s">
        <v>12411</v>
      </c>
      <c r="C13147" t="s">
        <v>262</v>
      </c>
      <c r="D13147" s="21" t="s">
        <v>34</v>
      </c>
      <c r="E13147" s="21" t="s">
        <v>35</v>
      </c>
      <c r="F13147">
        <v>1740038</v>
      </c>
      <c r="G13147" t="s">
        <v>26517</v>
      </c>
      <c r="H13147" s="21">
        <v>905.17</v>
      </c>
    </row>
    <row r="13148" spans="1:8" customFormat="1" x14ac:dyDescent="0.25">
      <c r="A13148" t="str">
        <f>"4215125"</f>
        <v>4215125</v>
      </c>
      <c r="B13148" t="s">
        <v>27280</v>
      </c>
      <c r="C13148" t="s">
        <v>209</v>
      </c>
      <c r="D13148" s="21" t="s">
        <v>34</v>
      </c>
      <c r="E13148" s="21" t="s">
        <v>71</v>
      </c>
      <c r="F13148">
        <v>1420124</v>
      </c>
      <c r="G13148" t="s">
        <v>3195</v>
      </c>
      <c r="H13148" s="21">
        <v>905.17</v>
      </c>
    </row>
    <row r="13149" spans="1:8" customFormat="1" x14ac:dyDescent="0.25">
      <c r="A13149" t="str">
        <f>"9243033"</f>
        <v>9243033</v>
      </c>
      <c r="B13149" t="s">
        <v>1031</v>
      </c>
      <c r="C13149" t="s">
        <v>12325</v>
      </c>
      <c r="D13149" s="21" t="s">
        <v>34</v>
      </c>
      <c r="E13149" s="21" t="s">
        <v>71</v>
      </c>
      <c r="F13149">
        <v>8921316</v>
      </c>
      <c r="G13149" t="s">
        <v>12326</v>
      </c>
      <c r="H13149" s="21">
        <v>905.04</v>
      </c>
    </row>
    <row r="13150" spans="1:8" customFormat="1" x14ac:dyDescent="0.25">
      <c r="A13150" t="str">
        <f>"535016"</f>
        <v>535016</v>
      </c>
      <c r="B13150" t="s">
        <v>11331</v>
      </c>
      <c r="C13150" t="s">
        <v>4721</v>
      </c>
      <c r="D13150" s="21" t="s">
        <v>34</v>
      </c>
      <c r="E13150" s="21" t="s">
        <v>1089</v>
      </c>
      <c r="F13150">
        <v>12530060</v>
      </c>
      <c r="G13150" t="s">
        <v>1356</v>
      </c>
      <c r="H13150" s="21">
        <v>904.92</v>
      </c>
    </row>
    <row r="13151" spans="1:8" customFormat="1" x14ac:dyDescent="0.25">
      <c r="A13151" t="str">
        <f>"026093"</f>
        <v>026093</v>
      </c>
      <c r="B13151" t="s">
        <v>12751</v>
      </c>
      <c r="C13151" t="s">
        <v>139</v>
      </c>
      <c r="D13151" s="21" t="s">
        <v>34</v>
      </c>
      <c r="E13151" s="21" t="s">
        <v>71</v>
      </c>
      <c r="F13151">
        <v>10170004</v>
      </c>
      <c r="G13151" t="s">
        <v>12405</v>
      </c>
      <c r="H13151" s="21">
        <v>904.67</v>
      </c>
    </row>
    <row r="13152" spans="1:8" customFormat="1" x14ac:dyDescent="0.25">
      <c r="A13152" t="str">
        <f>"87327"</f>
        <v>87327</v>
      </c>
      <c r="B13152" t="s">
        <v>11919</v>
      </c>
      <c r="C13152" t="s">
        <v>236</v>
      </c>
      <c r="D13152" s="21" t="s">
        <v>34</v>
      </c>
      <c r="E13152" s="21" t="s">
        <v>254</v>
      </c>
      <c r="F13152">
        <v>10870109</v>
      </c>
      <c r="G13152" t="s">
        <v>5199</v>
      </c>
      <c r="H13152" s="21">
        <v>904.67</v>
      </c>
    </row>
    <row r="13153" spans="1:8" customFormat="1" x14ac:dyDescent="0.25">
      <c r="A13153" t="str">
        <f>"5937501"</f>
        <v>5937501</v>
      </c>
      <c r="B13153" t="s">
        <v>3062</v>
      </c>
      <c r="C13153" t="s">
        <v>209</v>
      </c>
      <c r="D13153" s="21" t="s">
        <v>34</v>
      </c>
      <c r="E13153" s="21" t="s">
        <v>71</v>
      </c>
      <c r="F13153">
        <v>7590080</v>
      </c>
      <c r="G13153" t="s">
        <v>1715</v>
      </c>
      <c r="H13153" s="21">
        <v>904.67</v>
      </c>
    </row>
    <row r="13154" spans="1:8" customFormat="1" x14ac:dyDescent="0.25">
      <c r="A13154" t="str">
        <f>"7616264"</f>
        <v>7616264</v>
      </c>
      <c r="B13154" t="s">
        <v>8432</v>
      </c>
      <c r="C13154" t="s">
        <v>249</v>
      </c>
      <c r="D13154" s="21" t="s">
        <v>34</v>
      </c>
      <c r="E13154" s="21" t="s">
        <v>71</v>
      </c>
      <c r="F13154">
        <v>9760425</v>
      </c>
      <c r="G13154" t="s">
        <v>5012</v>
      </c>
      <c r="H13154" s="21">
        <v>904.67</v>
      </c>
    </row>
    <row r="13155" spans="1:8" customFormat="1" x14ac:dyDescent="0.25">
      <c r="A13155" t="str">
        <f>"304160"</f>
        <v>304160</v>
      </c>
      <c r="B13155" t="s">
        <v>11054</v>
      </c>
      <c r="C13155" t="s">
        <v>169</v>
      </c>
      <c r="D13155" s="21" t="s">
        <v>34</v>
      </c>
      <c r="E13155" s="21" t="s">
        <v>71</v>
      </c>
      <c r="F13155">
        <v>11300008</v>
      </c>
      <c r="G13155" t="s">
        <v>3165</v>
      </c>
      <c r="H13155" s="21">
        <v>904.67</v>
      </c>
    </row>
    <row r="13156" spans="1:8" customFormat="1" x14ac:dyDescent="0.25">
      <c r="A13156" t="str">
        <f>"804323"</f>
        <v>804323</v>
      </c>
      <c r="B13156" t="s">
        <v>10200</v>
      </c>
      <c r="C13156" t="s">
        <v>486</v>
      </c>
      <c r="D13156" s="21" t="s">
        <v>34</v>
      </c>
      <c r="E13156" s="21" t="s">
        <v>71</v>
      </c>
      <c r="F13156">
        <v>7800088</v>
      </c>
      <c r="G13156" t="s">
        <v>1899</v>
      </c>
      <c r="H13156" s="21">
        <v>904.67</v>
      </c>
    </row>
    <row r="13157" spans="1:8" customFormat="1" x14ac:dyDescent="0.25">
      <c r="A13157" t="str">
        <f>"3814504"</f>
        <v>3814504</v>
      </c>
      <c r="B13157" t="s">
        <v>10018</v>
      </c>
      <c r="C13157" t="s">
        <v>1325</v>
      </c>
      <c r="D13157" s="21" t="s">
        <v>34</v>
      </c>
      <c r="E13157" s="21" t="s">
        <v>35</v>
      </c>
      <c r="F13157">
        <v>1380297</v>
      </c>
      <c r="G13157" t="s">
        <v>12031</v>
      </c>
      <c r="H13157" s="21">
        <v>904.67</v>
      </c>
    </row>
    <row r="13158" spans="1:8" customFormat="1" x14ac:dyDescent="0.25">
      <c r="A13158" t="str">
        <f>"1611331"</f>
        <v>1611331</v>
      </c>
      <c r="B13158" t="s">
        <v>12224</v>
      </c>
      <c r="C13158" t="s">
        <v>412</v>
      </c>
      <c r="D13158" s="21" t="s">
        <v>34</v>
      </c>
      <c r="E13158" s="21" t="s">
        <v>254</v>
      </c>
      <c r="F13158">
        <v>10160237</v>
      </c>
      <c r="G13158" t="s">
        <v>8818</v>
      </c>
      <c r="H13158" s="21">
        <v>904.67</v>
      </c>
    </row>
    <row r="13159" spans="1:8" customFormat="1" x14ac:dyDescent="0.25">
      <c r="A13159" t="str">
        <f>"7221169"</f>
        <v>7221169</v>
      </c>
      <c r="B13159" t="s">
        <v>15496</v>
      </c>
      <c r="C13159" t="s">
        <v>58</v>
      </c>
      <c r="D13159" s="21" t="s">
        <v>34</v>
      </c>
      <c r="E13159" s="21" t="s">
        <v>35</v>
      </c>
      <c r="F13159">
        <v>12720005</v>
      </c>
      <c r="G13159" t="s">
        <v>999</v>
      </c>
      <c r="H13159" s="21">
        <v>904.67</v>
      </c>
    </row>
    <row r="13160" spans="1:8" customFormat="1" x14ac:dyDescent="0.25">
      <c r="A13160" t="str">
        <f>"189265"</f>
        <v>189265</v>
      </c>
      <c r="B13160" t="s">
        <v>27281</v>
      </c>
      <c r="C13160" t="s">
        <v>323</v>
      </c>
      <c r="D13160" s="21" t="s">
        <v>34</v>
      </c>
      <c r="E13160" s="21" t="s">
        <v>35</v>
      </c>
      <c r="F13160">
        <v>4180732</v>
      </c>
      <c r="G13160" t="s">
        <v>14645</v>
      </c>
      <c r="H13160" s="21">
        <v>904.67</v>
      </c>
    </row>
    <row r="13161" spans="1:8" customFormat="1" x14ac:dyDescent="0.25">
      <c r="A13161" t="str">
        <f>"309086"</f>
        <v>309086</v>
      </c>
      <c r="B13161" t="s">
        <v>970</v>
      </c>
      <c r="C13161" t="s">
        <v>147</v>
      </c>
      <c r="D13161" s="21" t="s">
        <v>34</v>
      </c>
      <c r="E13161" s="21" t="s">
        <v>35</v>
      </c>
      <c r="F13161">
        <v>11300008</v>
      </c>
      <c r="G13161" t="s">
        <v>3165</v>
      </c>
      <c r="H13161" s="21">
        <v>904.67</v>
      </c>
    </row>
    <row r="13162" spans="1:8" customFormat="1" x14ac:dyDescent="0.25">
      <c r="A13162" t="str">
        <f>"087864"</f>
        <v>087864</v>
      </c>
      <c r="B13162" t="s">
        <v>582</v>
      </c>
      <c r="C13162" t="s">
        <v>285</v>
      </c>
      <c r="D13162" s="21" t="s">
        <v>34</v>
      </c>
      <c r="E13162" s="21" t="s">
        <v>35</v>
      </c>
      <c r="F13162">
        <v>6080072</v>
      </c>
      <c r="G13162" t="s">
        <v>6765</v>
      </c>
      <c r="H13162" s="21">
        <v>904.67</v>
      </c>
    </row>
    <row r="13163" spans="1:8" customFormat="1" x14ac:dyDescent="0.25">
      <c r="A13163" t="str">
        <f>"9424997"</f>
        <v>9424997</v>
      </c>
      <c r="B13163" t="s">
        <v>11758</v>
      </c>
      <c r="C13163" t="s">
        <v>598</v>
      </c>
      <c r="D13163" s="21" t="s">
        <v>34</v>
      </c>
      <c r="E13163" s="21" t="s">
        <v>254</v>
      </c>
      <c r="F13163">
        <v>8940033</v>
      </c>
      <c r="G13163" t="s">
        <v>1376</v>
      </c>
      <c r="H13163" s="21">
        <v>904.67</v>
      </c>
    </row>
    <row r="13164" spans="1:8" customFormat="1" x14ac:dyDescent="0.25">
      <c r="A13164" t="str">
        <f>"2514177"</f>
        <v>2514177</v>
      </c>
      <c r="B13164" t="s">
        <v>1462</v>
      </c>
      <c r="C13164" t="s">
        <v>109</v>
      </c>
      <c r="D13164" s="21" t="s">
        <v>34</v>
      </c>
      <c r="E13164" s="21" t="s">
        <v>35</v>
      </c>
      <c r="F13164">
        <v>2250017</v>
      </c>
      <c r="G13164" t="s">
        <v>521</v>
      </c>
      <c r="H13164" s="21">
        <v>904.67</v>
      </c>
    </row>
    <row r="13165" spans="1:8" customFormat="1" x14ac:dyDescent="0.25">
      <c r="A13165" t="str">
        <f>"394517"</f>
        <v>394517</v>
      </c>
      <c r="B13165" t="s">
        <v>27282</v>
      </c>
      <c r="C13165" t="s">
        <v>263</v>
      </c>
      <c r="D13165" s="21" t="s">
        <v>34</v>
      </c>
      <c r="E13165" s="21" t="s">
        <v>35</v>
      </c>
      <c r="F13165">
        <v>2390010</v>
      </c>
      <c r="G13165" t="s">
        <v>27283</v>
      </c>
      <c r="H13165" s="21">
        <v>904.67</v>
      </c>
    </row>
    <row r="13166" spans="1:8" customFormat="1" x14ac:dyDescent="0.25">
      <c r="A13166" t="str">
        <f>"773441"</f>
        <v>773441</v>
      </c>
      <c r="B13166" t="s">
        <v>4285</v>
      </c>
      <c r="C13166" t="s">
        <v>121</v>
      </c>
      <c r="D13166" s="21" t="s">
        <v>34</v>
      </c>
      <c r="E13166" s="21" t="s">
        <v>71</v>
      </c>
      <c r="F13166">
        <v>8771508</v>
      </c>
      <c r="G13166" t="s">
        <v>4072</v>
      </c>
      <c r="H13166" s="21">
        <v>904.67</v>
      </c>
    </row>
    <row r="13167" spans="1:8" customFormat="1" x14ac:dyDescent="0.25">
      <c r="A13167" t="str">
        <f>"365385"</f>
        <v>365385</v>
      </c>
      <c r="B13167" t="s">
        <v>13708</v>
      </c>
      <c r="C13167" t="s">
        <v>412</v>
      </c>
      <c r="D13167" s="21" t="s">
        <v>34</v>
      </c>
      <c r="E13167" s="21" t="s">
        <v>71</v>
      </c>
      <c r="F13167">
        <v>4360009</v>
      </c>
      <c r="G13167" t="s">
        <v>6259</v>
      </c>
      <c r="H13167" s="21">
        <v>904.54</v>
      </c>
    </row>
    <row r="13168" spans="1:8" customFormat="1" x14ac:dyDescent="0.25">
      <c r="A13168" t="str">
        <f>"149441"</f>
        <v>149441</v>
      </c>
      <c r="B13168" t="s">
        <v>1048</v>
      </c>
      <c r="C13168" t="s">
        <v>209</v>
      </c>
      <c r="D13168" s="21" t="s">
        <v>34</v>
      </c>
      <c r="E13168" s="21" t="s">
        <v>254</v>
      </c>
      <c r="F13168">
        <v>11810001</v>
      </c>
      <c r="G13168" t="s">
        <v>26998</v>
      </c>
      <c r="H13168" s="21">
        <v>904.54</v>
      </c>
    </row>
    <row r="13169" spans="1:8" customFormat="1" x14ac:dyDescent="0.25">
      <c r="A13169" t="str">
        <f>"584762"</f>
        <v>584762</v>
      </c>
      <c r="B13169" t="s">
        <v>10819</v>
      </c>
      <c r="C13169" t="s">
        <v>249</v>
      </c>
      <c r="D13169" s="21" t="s">
        <v>34</v>
      </c>
      <c r="E13169" s="21" t="s">
        <v>254</v>
      </c>
      <c r="F13169">
        <v>2580010</v>
      </c>
      <c r="G13169" t="s">
        <v>1965</v>
      </c>
      <c r="H13169" s="21">
        <v>904.42</v>
      </c>
    </row>
    <row r="13170" spans="1:8" customFormat="1" x14ac:dyDescent="0.25">
      <c r="A13170" t="str">
        <f>"48867"</f>
        <v>48867</v>
      </c>
      <c r="B13170" t="s">
        <v>11027</v>
      </c>
      <c r="C13170" t="s">
        <v>2232</v>
      </c>
      <c r="D13170" s="21" t="s">
        <v>34</v>
      </c>
      <c r="E13170" s="21" t="s">
        <v>71</v>
      </c>
      <c r="F13170">
        <v>11480019</v>
      </c>
      <c r="G13170" t="s">
        <v>11028</v>
      </c>
      <c r="H13170" s="21">
        <v>904.42</v>
      </c>
    </row>
    <row r="13171" spans="1:8" customFormat="1" x14ac:dyDescent="0.25">
      <c r="A13171" t="str">
        <f>"1311684"</f>
        <v>1311684</v>
      </c>
      <c r="B13171" t="s">
        <v>12233</v>
      </c>
      <c r="C13171" t="s">
        <v>12234</v>
      </c>
      <c r="D13171" s="21" t="s">
        <v>34</v>
      </c>
      <c r="E13171" s="21" t="s">
        <v>71</v>
      </c>
      <c r="F13171">
        <v>13130152</v>
      </c>
      <c r="G13171" t="s">
        <v>906</v>
      </c>
      <c r="H13171" s="21">
        <v>904.42</v>
      </c>
    </row>
    <row r="13172" spans="1:8" customFormat="1" x14ac:dyDescent="0.25">
      <c r="A13172" t="str">
        <f>"5317994"</f>
        <v>5317994</v>
      </c>
      <c r="B13172" t="s">
        <v>11400</v>
      </c>
      <c r="C13172" t="s">
        <v>263</v>
      </c>
      <c r="D13172" s="21" t="s">
        <v>34</v>
      </c>
      <c r="E13172" s="21" t="s">
        <v>71</v>
      </c>
      <c r="F13172">
        <v>12530093</v>
      </c>
      <c r="G13172" t="s">
        <v>7865</v>
      </c>
      <c r="H13172" s="21">
        <v>904.42</v>
      </c>
    </row>
    <row r="13173" spans="1:8" customFormat="1" x14ac:dyDescent="0.25">
      <c r="A13173" t="str">
        <f>"5320693"</f>
        <v>5320693</v>
      </c>
      <c r="B13173" t="s">
        <v>27284</v>
      </c>
      <c r="C13173" t="s">
        <v>82</v>
      </c>
      <c r="D13173" s="21" t="s">
        <v>34</v>
      </c>
      <c r="E13173" s="21" t="s">
        <v>35</v>
      </c>
      <c r="F13173">
        <v>12530105</v>
      </c>
      <c r="G13173" t="s">
        <v>4136</v>
      </c>
      <c r="H13173" s="21">
        <v>904.42</v>
      </c>
    </row>
    <row r="13174" spans="1:8" customFormat="1" x14ac:dyDescent="0.25">
      <c r="A13174" t="str">
        <f>"7632090"</f>
        <v>7632090</v>
      </c>
      <c r="B13174" t="s">
        <v>13737</v>
      </c>
      <c r="C13174" t="s">
        <v>13738</v>
      </c>
      <c r="D13174" s="21" t="s">
        <v>34</v>
      </c>
      <c r="E13174" s="21" t="s">
        <v>35</v>
      </c>
      <c r="F13174">
        <v>9270095</v>
      </c>
      <c r="G13174" t="s">
        <v>1681</v>
      </c>
      <c r="H13174" s="21">
        <v>904.29</v>
      </c>
    </row>
    <row r="13175" spans="1:8" customFormat="1" x14ac:dyDescent="0.25">
      <c r="A13175" t="str">
        <f>"606117"</f>
        <v>606117</v>
      </c>
      <c r="B13175" t="s">
        <v>10930</v>
      </c>
      <c r="C13175" t="s">
        <v>2520</v>
      </c>
      <c r="D13175" s="21" t="s">
        <v>34</v>
      </c>
      <c r="E13175" s="21" t="s">
        <v>254</v>
      </c>
      <c r="F13175">
        <v>7600070</v>
      </c>
      <c r="G13175" t="s">
        <v>542</v>
      </c>
      <c r="H13175" s="21">
        <v>904.29</v>
      </c>
    </row>
    <row r="13176" spans="1:8" customFormat="1" x14ac:dyDescent="0.25">
      <c r="A13176" t="str">
        <f>"29791"</f>
        <v>29791</v>
      </c>
      <c r="B13176" t="s">
        <v>12757</v>
      </c>
      <c r="C13176" t="s">
        <v>12758</v>
      </c>
      <c r="D13176" s="21" t="s">
        <v>34</v>
      </c>
      <c r="E13176" s="21" t="s">
        <v>254</v>
      </c>
      <c r="F13176">
        <v>3290232</v>
      </c>
      <c r="G13176" t="s">
        <v>9588</v>
      </c>
      <c r="H13176" s="21">
        <v>904.17</v>
      </c>
    </row>
    <row r="13177" spans="1:8" customFormat="1" x14ac:dyDescent="0.25">
      <c r="A13177" t="str">
        <f>"851691"</f>
        <v>851691</v>
      </c>
      <c r="B13177" t="s">
        <v>11346</v>
      </c>
      <c r="C13177" t="s">
        <v>11347</v>
      </c>
      <c r="D13177" s="21" t="s">
        <v>34</v>
      </c>
      <c r="E13177" s="21" t="s">
        <v>254</v>
      </c>
      <c r="F13177">
        <v>12850026</v>
      </c>
      <c r="G13177" t="s">
        <v>1400</v>
      </c>
      <c r="H13177" s="21">
        <v>904.17</v>
      </c>
    </row>
    <row r="13178" spans="1:8" customFormat="1" x14ac:dyDescent="0.25">
      <c r="A13178" t="str">
        <f>"7510966"</f>
        <v>7510966</v>
      </c>
      <c r="B13178" t="s">
        <v>13802</v>
      </c>
      <c r="C13178" t="s">
        <v>33</v>
      </c>
      <c r="D13178" s="21" t="s">
        <v>34</v>
      </c>
      <c r="E13178" s="21" t="s">
        <v>71</v>
      </c>
      <c r="F13178">
        <v>8750007</v>
      </c>
      <c r="G13178" t="s">
        <v>775</v>
      </c>
      <c r="H13178" s="21">
        <v>904.17</v>
      </c>
    </row>
    <row r="13179" spans="1:8" customFormat="1" x14ac:dyDescent="0.25">
      <c r="A13179" t="str">
        <f>"924948"</f>
        <v>924948</v>
      </c>
      <c r="B13179" t="s">
        <v>10936</v>
      </c>
      <c r="C13179" t="s">
        <v>169</v>
      </c>
      <c r="D13179" s="21" t="s">
        <v>34</v>
      </c>
      <c r="E13179" s="21" t="s">
        <v>35</v>
      </c>
      <c r="F13179">
        <v>8920312</v>
      </c>
      <c r="G13179" t="s">
        <v>1026</v>
      </c>
      <c r="H13179" s="21">
        <v>904.17</v>
      </c>
    </row>
    <row r="13180" spans="1:8" customFormat="1" x14ac:dyDescent="0.25">
      <c r="A13180" t="str">
        <f>"642758"</f>
        <v>642758</v>
      </c>
      <c r="B13180" t="s">
        <v>461</v>
      </c>
      <c r="C13180" t="s">
        <v>209</v>
      </c>
      <c r="D13180" s="21" t="s">
        <v>34</v>
      </c>
      <c r="E13180" s="21" t="s">
        <v>71</v>
      </c>
      <c r="F13180">
        <v>10640019</v>
      </c>
      <c r="G13180" t="s">
        <v>3123</v>
      </c>
      <c r="H13180" s="21">
        <v>904.17</v>
      </c>
    </row>
    <row r="13181" spans="1:8" customFormat="1" x14ac:dyDescent="0.25">
      <c r="A13181" t="str">
        <f>"767586"</f>
        <v>767586</v>
      </c>
      <c r="B13181" t="s">
        <v>12545</v>
      </c>
      <c r="C13181" t="s">
        <v>415</v>
      </c>
      <c r="D13181" s="21" t="s">
        <v>34</v>
      </c>
      <c r="E13181" s="21" t="s">
        <v>254</v>
      </c>
      <c r="F13181">
        <v>9760039</v>
      </c>
      <c r="G13181" t="s">
        <v>9501</v>
      </c>
      <c r="H13181" s="21">
        <v>904.17</v>
      </c>
    </row>
    <row r="13182" spans="1:8" customFormat="1" x14ac:dyDescent="0.25">
      <c r="A13182" t="str">
        <f>"4436092"</f>
        <v>4436092</v>
      </c>
      <c r="B13182" t="s">
        <v>11092</v>
      </c>
      <c r="C13182" t="s">
        <v>12969</v>
      </c>
      <c r="D13182" s="21" t="s">
        <v>34</v>
      </c>
      <c r="E13182" s="21" t="s">
        <v>71</v>
      </c>
      <c r="F13182">
        <v>12440094</v>
      </c>
      <c r="G13182" t="s">
        <v>892</v>
      </c>
      <c r="H13182" s="21">
        <v>904.17</v>
      </c>
    </row>
    <row r="13183" spans="1:8" customFormat="1" x14ac:dyDescent="0.25">
      <c r="A13183" t="str">
        <f>"7628474"</f>
        <v>7628474</v>
      </c>
      <c r="B13183" t="s">
        <v>482</v>
      </c>
      <c r="C13183" t="s">
        <v>124</v>
      </c>
      <c r="D13183" s="21" t="s">
        <v>34</v>
      </c>
      <c r="E13183" s="21" t="s">
        <v>35</v>
      </c>
      <c r="F13183">
        <v>9760259</v>
      </c>
      <c r="G13183" t="s">
        <v>6926</v>
      </c>
      <c r="H13183" s="21">
        <v>904.17</v>
      </c>
    </row>
    <row r="13184" spans="1:8" customFormat="1" x14ac:dyDescent="0.25">
      <c r="A13184" t="str">
        <f>"5974625"</f>
        <v>5974625</v>
      </c>
      <c r="B13184" t="s">
        <v>12528</v>
      </c>
      <c r="C13184" t="s">
        <v>428</v>
      </c>
      <c r="D13184" s="21" t="s">
        <v>34</v>
      </c>
      <c r="E13184" s="21" t="s">
        <v>35</v>
      </c>
      <c r="F13184">
        <v>7590259</v>
      </c>
      <c r="G13184" t="s">
        <v>6385</v>
      </c>
      <c r="H13184" s="21">
        <v>904.17</v>
      </c>
    </row>
    <row r="13185" spans="1:8" customFormat="1" x14ac:dyDescent="0.25">
      <c r="A13185" t="str">
        <f>"2922751"</f>
        <v>2922751</v>
      </c>
      <c r="B13185" t="s">
        <v>11562</v>
      </c>
      <c r="C13185" t="s">
        <v>547</v>
      </c>
      <c r="D13185" s="21" t="s">
        <v>34</v>
      </c>
      <c r="E13185" s="21" t="s">
        <v>35</v>
      </c>
      <c r="F13185">
        <v>11310070</v>
      </c>
      <c r="G13185" t="s">
        <v>11563</v>
      </c>
      <c r="H13185" s="21">
        <v>904.17</v>
      </c>
    </row>
    <row r="13186" spans="1:8" customFormat="1" x14ac:dyDescent="0.25">
      <c r="A13186" t="str">
        <f>"9213257"</f>
        <v>9213257</v>
      </c>
      <c r="B13186" t="s">
        <v>12668</v>
      </c>
      <c r="C13186" t="s">
        <v>233</v>
      </c>
      <c r="D13186" s="21" t="s">
        <v>34</v>
      </c>
      <c r="E13186" s="21" t="s">
        <v>71</v>
      </c>
      <c r="F13186">
        <v>8921458</v>
      </c>
      <c r="G13186" t="s">
        <v>162</v>
      </c>
      <c r="H13186" s="21">
        <v>904.17</v>
      </c>
    </row>
    <row r="13187" spans="1:8" customFormat="1" x14ac:dyDescent="0.25">
      <c r="A13187" t="str">
        <f>"143332"</f>
        <v>143332</v>
      </c>
      <c r="B13187" t="s">
        <v>9789</v>
      </c>
      <c r="C13187" t="s">
        <v>87</v>
      </c>
      <c r="D13187" s="21" t="s">
        <v>34</v>
      </c>
      <c r="E13187" s="21" t="s">
        <v>71</v>
      </c>
      <c r="F13187">
        <v>9140147</v>
      </c>
      <c r="G13187" t="s">
        <v>7584</v>
      </c>
      <c r="H13187" s="21">
        <v>904.17</v>
      </c>
    </row>
    <row r="13188" spans="1:8" customFormat="1" x14ac:dyDescent="0.25">
      <c r="A13188" t="str">
        <f>"3530803"</f>
        <v>3530803</v>
      </c>
      <c r="B13188" t="s">
        <v>10935</v>
      </c>
      <c r="C13188" t="s">
        <v>576</v>
      </c>
      <c r="D13188" s="21" t="s">
        <v>34</v>
      </c>
      <c r="E13188" s="21" t="s">
        <v>71</v>
      </c>
      <c r="F13188">
        <v>3350087</v>
      </c>
      <c r="G13188" t="s">
        <v>7430</v>
      </c>
      <c r="H13188" s="21">
        <v>904.17</v>
      </c>
    </row>
    <row r="13189" spans="1:8" customFormat="1" x14ac:dyDescent="0.25">
      <c r="A13189" t="str">
        <f>"026747"</f>
        <v>026747</v>
      </c>
      <c r="B13189" t="s">
        <v>13501</v>
      </c>
      <c r="C13189" t="s">
        <v>462</v>
      </c>
      <c r="D13189" s="21" t="s">
        <v>34</v>
      </c>
      <c r="E13189" s="21" t="s">
        <v>71</v>
      </c>
      <c r="F13189">
        <v>7020055</v>
      </c>
      <c r="G13189" t="s">
        <v>8987</v>
      </c>
      <c r="H13189" s="21">
        <v>904.17</v>
      </c>
    </row>
    <row r="13190" spans="1:8" customFormat="1" x14ac:dyDescent="0.25">
      <c r="A13190" t="str">
        <f>"447732"</f>
        <v>447732</v>
      </c>
      <c r="B13190" t="s">
        <v>6266</v>
      </c>
      <c r="C13190" t="s">
        <v>267</v>
      </c>
      <c r="D13190" s="21" t="s">
        <v>34</v>
      </c>
      <c r="E13190" s="21" t="s">
        <v>254</v>
      </c>
      <c r="F13190">
        <v>12440195</v>
      </c>
      <c r="G13190" t="s">
        <v>3117</v>
      </c>
      <c r="H13190" s="21">
        <v>904.17</v>
      </c>
    </row>
    <row r="13191" spans="1:8" customFormat="1" x14ac:dyDescent="0.25">
      <c r="A13191" t="str">
        <f>"5719584"</f>
        <v>5719584</v>
      </c>
      <c r="B13191" t="s">
        <v>10215</v>
      </c>
      <c r="C13191" t="s">
        <v>204</v>
      </c>
      <c r="D13191" s="21" t="s">
        <v>34</v>
      </c>
      <c r="E13191" s="21" t="s">
        <v>35</v>
      </c>
      <c r="F13191">
        <v>6570146</v>
      </c>
      <c r="G13191" t="s">
        <v>1556</v>
      </c>
      <c r="H13191" s="21">
        <v>903.92</v>
      </c>
    </row>
    <row r="13192" spans="1:8" customFormat="1" x14ac:dyDescent="0.25">
      <c r="A13192" t="str">
        <f>"0112484"</f>
        <v>0112484</v>
      </c>
      <c r="B13192" t="s">
        <v>6472</v>
      </c>
      <c r="C13192" t="s">
        <v>412</v>
      </c>
      <c r="D13192" s="21" t="s">
        <v>34</v>
      </c>
      <c r="E13192" s="21" t="s">
        <v>71</v>
      </c>
      <c r="F13192">
        <v>1010027</v>
      </c>
      <c r="G13192" t="s">
        <v>6318</v>
      </c>
      <c r="H13192" s="21">
        <v>903.92</v>
      </c>
    </row>
    <row r="13193" spans="1:8" customFormat="1" x14ac:dyDescent="0.25">
      <c r="A13193" t="str">
        <f>"9420794"</f>
        <v>9420794</v>
      </c>
      <c r="B13193" t="s">
        <v>11070</v>
      </c>
      <c r="C13193" t="s">
        <v>249</v>
      </c>
      <c r="D13193" s="21" t="s">
        <v>34</v>
      </c>
      <c r="E13193" s="21" t="s">
        <v>71</v>
      </c>
      <c r="F13193">
        <v>8940535</v>
      </c>
      <c r="G13193" t="s">
        <v>2628</v>
      </c>
      <c r="H13193" s="21">
        <v>903.92</v>
      </c>
    </row>
    <row r="13194" spans="1:8" customFormat="1" x14ac:dyDescent="0.25">
      <c r="A13194" t="str">
        <f>"3314327"</f>
        <v>3314327</v>
      </c>
      <c r="B13194" t="s">
        <v>13819</v>
      </c>
      <c r="C13194" t="s">
        <v>55</v>
      </c>
      <c r="D13194" s="21" t="s">
        <v>34</v>
      </c>
      <c r="E13194" s="21" t="s">
        <v>71</v>
      </c>
      <c r="F13194">
        <v>10330037</v>
      </c>
      <c r="G13194" t="s">
        <v>5960</v>
      </c>
      <c r="H13194" s="21">
        <v>903.79</v>
      </c>
    </row>
    <row r="13195" spans="1:8" customFormat="1" x14ac:dyDescent="0.25">
      <c r="A13195" t="str">
        <f>"589335"</f>
        <v>589335</v>
      </c>
      <c r="B13195" t="s">
        <v>13018</v>
      </c>
      <c r="C13195" t="s">
        <v>486</v>
      </c>
      <c r="D13195" s="21" t="s">
        <v>34</v>
      </c>
      <c r="E13195" s="21" t="s">
        <v>35</v>
      </c>
      <c r="F13195">
        <v>2580035</v>
      </c>
      <c r="G13195" t="s">
        <v>5991</v>
      </c>
      <c r="H13195" s="21">
        <v>903.67</v>
      </c>
    </row>
    <row r="13196" spans="1:8" customFormat="1" x14ac:dyDescent="0.25">
      <c r="A13196" t="str">
        <f>"432142"</f>
        <v>432142</v>
      </c>
      <c r="B13196" t="s">
        <v>12682</v>
      </c>
      <c r="C13196" t="s">
        <v>239</v>
      </c>
      <c r="D13196" s="21" t="s">
        <v>34</v>
      </c>
      <c r="E13196" s="21" t="s">
        <v>254</v>
      </c>
      <c r="F13196">
        <v>1630325</v>
      </c>
      <c r="G13196" t="s">
        <v>10751</v>
      </c>
      <c r="H13196" s="21">
        <v>903.67</v>
      </c>
    </row>
    <row r="13197" spans="1:8" customFormat="1" x14ac:dyDescent="0.25">
      <c r="A13197" t="str">
        <f>"401846"</f>
        <v>401846</v>
      </c>
      <c r="B13197" t="s">
        <v>726</v>
      </c>
      <c r="C13197" t="s">
        <v>40</v>
      </c>
      <c r="D13197" s="21" t="s">
        <v>34</v>
      </c>
      <c r="E13197" s="21" t="s">
        <v>254</v>
      </c>
      <c r="F13197">
        <v>10400015</v>
      </c>
      <c r="G13197" t="s">
        <v>1095</v>
      </c>
      <c r="H13197" s="21">
        <v>903.67</v>
      </c>
    </row>
    <row r="13198" spans="1:8" customFormat="1" x14ac:dyDescent="0.25">
      <c r="A13198" t="str">
        <f>"0112725"</f>
        <v>0112725</v>
      </c>
      <c r="B13198" t="s">
        <v>11855</v>
      </c>
      <c r="C13198" t="s">
        <v>854</v>
      </c>
      <c r="D13198" s="21" t="s">
        <v>34</v>
      </c>
      <c r="E13198" s="21" t="s">
        <v>35</v>
      </c>
      <c r="F13198">
        <v>1010061</v>
      </c>
      <c r="G13198" t="s">
        <v>9290</v>
      </c>
      <c r="H13198" s="21">
        <v>903.67</v>
      </c>
    </row>
    <row r="13199" spans="1:8" customFormat="1" x14ac:dyDescent="0.25">
      <c r="A13199" t="str">
        <f>"0612519"</f>
        <v>0612519</v>
      </c>
      <c r="B13199" t="s">
        <v>14018</v>
      </c>
      <c r="C13199" t="s">
        <v>328</v>
      </c>
      <c r="D13199" s="21" t="s">
        <v>34</v>
      </c>
      <c r="E13199" s="21" t="s">
        <v>35</v>
      </c>
      <c r="F13199">
        <v>13060031</v>
      </c>
      <c r="G13199" t="s">
        <v>9379</v>
      </c>
      <c r="H13199" s="21">
        <v>903.67</v>
      </c>
    </row>
    <row r="13200" spans="1:8" customFormat="1" x14ac:dyDescent="0.25">
      <c r="A13200" t="str">
        <f>"4216511"</f>
        <v>4216511</v>
      </c>
      <c r="B13200" t="s">
        <v>760</v>
      </c>
      <c r="C13200" t="s">
        <v>65</v>
      </c>
      <c r="D13200" s="21" t="s">
        <v>34</v>
      </c>
      <c r="E13200" s="21" t="s">
        <v>35</v>
      </c>
      <c r="F13200">
        <v>1420048</v>
      </c>
      <c r="G13200" t="s">
        <v>745</v>
      </c>
      <c r="H13200" s="21">
        <v>903.67</v>
      </c>
    </row>
    <row r="13201" spans="1:8" customFormat="1" x14ac:dyDescent="0.25">
      <c r="A13201" t="str">
        <f>"422353"</f>
        <v>422353</v>
      </c>
      <c r="B13201" t="s">
        <v>11788</v>
      </c>
      <c r="C13201" t="s">
        <v>209</v>
      </c>
      <c r="D13201" s="21" t="s">
        <v>34</v>
      </c>
      <c r="E13201" s="21" t="s">
        <v>71</v>
      </c>
      <c r="F13201">
        <v>1420014</v>
      </c>
      <c r="G13201" t="s">
        <v>3864</v>
      </c>
      <c r="H13201" s="21">
        <v>903.67</v>
      </c>
    </row>
    <row r="13202" spans="1:8" customFormat="1" x14ac:dyDescent="0.25">
      <c r="A13202" t="str">
        <f>"7911991"</f>
        <v>7911991</v>
      </c>
      <c r="B13202" t="s">
        <v>14013</v>
      </c>
      <c r="C13202" t="s">
        <v>515</v>
      </c>
      <c r="D13202" s="21" t="s">
        <v>34</v>
      </c>
      <c r="E13202" s="21" t="s">
        <v>35</v>
      </c>
      <c r="F13202">
        <v>10790038</v>
      </c>
      <c r="G13202" t="s">
        <v>5857</v>
      </c>
      <c r="H13202" s="21">
        <v>903.67</v>
      </c>
    </row>
    <row r="13203" spans="1:8" customFormat="1" x14ac:dyDescent="0.25">
      <c r="A13203" t="str">
        <f>"392124"</f>
        <v>392124</v>
      </c>
      <c r="B13203" t="s">
        <v>1533</v>
      </c>
      <c r="C13203" t="s">
        <v>428</v>
      </c>
      <c r="D13203" s="21" t="s">
        <v>34</v>
      </c>
      <c r="E13203" s="21" t="s">
        <v>35</v>
      </c>
      <c r="F13203">
        <v>2390082</v>
      </c>
      <c r="G13203" t="s">
        <v>3343</v>
      </c>
      <c r="H13203" s="21">
        <v>903.67</v>
      </c>
    </row>
    <row r="13204" spans="1:8" customFormat="1" x14ac:dyDescent="0.25">
      <c r="A13204" t="str">
        <f>"312779"</f>
        <v>312779</v>
      </c>
      <c r="B13204" t="s">
        <v>8654</v>
      </c>
      <c r="C13204" t="s">
        <v>547</v>
      </c>
      <c r="D13204" s="21" t="s">
        <v>34</v>
      </c>
      <c r="E13204" s="21" t="s">
        <v>254</v>
      </c>
      <c r="F13204">
        <v>11310075</v>
      </c>
      <c r="G13204" t="s">
        <v>2531</v>
      </c>
      <c r="H13204" s="21">
        <v>903.67</v>
      </c>
    </row>
    <row r="13205" spans="1:8" customFormat="1" x14ac:dyDescent="0.25">
      <c r="A13205" t="str">
        <f>"687107"</f>
        <v>687107</v>
      </c>
      <c r="B13205" t="s">
        <v>11265</v>
      </c>
      <c r="C13205" t="s">
        <v>2907</v>
      </c>
      <c r="D13205" s="21" t="s">
        <v>34</v>
      </c>
      <c r="E13205" s="21" t="s">
        <v>254</v>
      </c>
      <c r="F13205">
        <v>6680118</v>
      </c>
      <c r="G13205" t="s">
        <v>4346</v>
      </c>
      <c r="H13205" s="21">
        <v>903.67</v>
      </c>
    </row>
    <row r="13206" spans="1:8" customFormat="1" x14ac:dyDescent="0.25">
      <c r="A13206" t="str">
        <f>"7827311"</f>
        <v>7827311</v>
      </c>
      <c r="B13206" t="s">
        <v>9905</v>
      </c>
      <c r="C13206" t="s">
        <v>33</v>
      </c>
      <c r="D13206" s="21" t="s">
        <v>34</v>
      </c>
      <c r="E13206" s="21" t="s">
        <v>35</v>
      </c>
      <c r="F13206">
        <v>8911280</v>
      </c>
      <c r="G13206" t="s">
        <v>3417</v>
      </c>
      <c r="H13206" s="21">
        <v>903.67</v>
      </c>
    </row>
    <row r="13207" spans="1:8" customFormat="1" x14ac:dyDescent="0.25">
      <c r="A13207" t="str">
        <f>"7728834"</f>
        <v>7728834</v>
      </c>
      <c r="B13207" t="s">
        <v>8277</v>
      </c>
      <c r="C13207" t="s">
        <v>209</v>
      </c>
      <c r="D13207" s="21" t="s">
        <v>34</v>
      </c>
      <c r="E13207" s="21" t="s">
        <v>71</v>
      </c>
      <c r="F13207">
        <v>2890005</v>
      </c>
      <c r="G13207" t="s">
        <v>2889</v>
      </c>
      <c r="H13207" s="21">
        <v>903.67</v>
      </c>
    </row>
    <row r="13208" spans="1:8" customFormat="1" x14ac:dyDescent="0.25">
      <c r="A13208" t="str">
        <f>"149833"</f>
        <v>149833</v>
      </c>
      <c r="B13208" t="s">
        <v>11781</v>
      </c>
      <c r="C13208" t="s">
        <v>10052</v>
      </c>
      <c r="D13208" s="21" t="s">
        <v>34</v>
      </c>
      <c r="E13208" s="21" t="s">
        <v>71</v>
      </c>
      <c r="F13208">
        <v>9500003</v>
      </c>
      <c r="G13208" t="s">
        <v>545</v>
      </c>
      <c r="H13208" s="21">
        <v>903.67</v>
      </c>
    </row>
    <row r="13209" spans="1:8" customFormat="1" x14ac:dyDescent="0.25">
      <c r="A13209" t="str">
        <f>"279002"</f>
        <v>279002</v>
      </c>
      <c r="B13209" t="s">
        <v>3942</v>
      </c>
      <c r="C13209" t="s">
        <v>1110</v>
      </c>
      <c r="D13209" s="21" t="s">
        <v>34</v>
      </c>
      <c r="E13209" s="21" t="s">
        <v>254</v>
      </c>
      <c r="F13209">
        <v>9270030</v>
      </c>
      <c r="G13209" t="s">
        <v>5853</v>
      </c>
      <c r="H13209" s="21">
        <v>903.42</v>
      </c>
    </row>
    <row r="13210" spans="1:8" customFormat="1" x14ac:dyDescent="0.25">
      <c r="A13210" t="str">
        <f>"8011563"</f>
        <v>8011563</v>
      </c>
      <c r="B13210" t="s">
        <v>6120</v>
      </c>
      <c r="C13210" t="s">
        <v>87</v>
      </c>
      <c r="D13210" s="21" t="s">
        <v>34</v>
      </c>
      <c r="E13210" s="21" t="s">
        <v>35</v>
      </c>
      <c r="F13210">
        <v>13130139</v>
      </c>
      <c r="G13210" t="s">
        <v>11785</v>
      </c>
      <c r="H13210" s="21">
        <v>903.42</v>
      </c>
    </row>
    <row r="13211" spans="1:8" customFormat="1" x14ac:dyDescent="0.25">
      <c r="A13211" t="str">
        <f>"3524625"</f>
        <v>3524625</v>
      </c>
      <c r="B13211" t="s">
        <v>14077</v>
      </c>
      <c r="C13211" t="s">
        <v>462</v>
      </c>
      <c r="D13211" s="21" t="s">
        <v>34</v>
      </c>
      <c r="E13211" s="21" t="s">
        <v>71</v>
      </c>
      <c r="F13211">
        <v>3560053</v>
      </c>
      <c r="G13211" t="s">
        <v>298</v>
      </c>
      <c r="H13211" s="21">
        <v>903.42</v>
      </c>
    </row>
    <row r="13212" spans="1:8" customFormat="1" x14ac:dyDescent="0.25">
      <c r="A13212" t="str">
        <f>"46387"</f>
        <v>46387</v>
      </c>
      <c r="B13212" t="s">
        <v>12968</v>
      </c>
      <c r="C13212" t="s">
        <v>415</v>
      </c>
      <c r="D13212" s="21" t="s">
        <v>34</v>
      </c>
      <c r="E13212" s="21" t="s">
        <v>254</v>
      </c>
      <c r="F13212">
        <v>11120043</v>
      </c>
      <c r="G13212" t="s">
        <v>9111</v>
      </c>
      <c r="H13212" s="21">
        <v>903.42</v>
      </c>
    </row>
    <row r="13213" spans="1:8" customFormat="1" x14ac:dyDescent="0.25">
      <c r="A13213" t="str">
        <f>"4515571"</f>
        <v>4515571</v>
      </c>
      <c r="B13213" t="s">
        <v>4515</v>
      </c>
      <c r="C13213" t="s">
        <v>90</v>
      </c>
      <c r="D13213" s="21" t="s">
        <v>34</v>
      </c>
      <c r="E13213" s="21" t="s">
        <v>35</v>
      </c>
      <c r="F13213">
        <v>4450759</v>
      </c>
      <c r="G13213" t="s">
        <v>6587</v>
      </c>
      <c r="H13213" s="21">
        <v>903.42</v>
      </c>
    </row>
    <row r="13214" spans="1:8" customFormat="1" x14ac:dyDescent="0.25">
      <c r="A13214" t="str">
        <f>"3818720"</f>
        <v>3818720</v>
      </c>
      <c r="B13214" t="s">
        <v>1682</v>
      </c>
      <c r="C13214" t="s">
        <v>267</v>
      </c>
      <c r="D13214" s="21" t="s">
        <v>34</v>
      </c>
      <c r="E13214" s="21" t="s">
        <v>254</v>
      </c>
      <c r="F13214">
        <v>1380130</v>
      </c>
      <c r="G13214" t="s">
        <v>6667</v>
      </c>
      <c r="H13214" s="21">
        <v>903.42</v>
      </c>
    </row>
    <row r="13215" spans="1:8" customFormat="1" x14ac:dyDescent="0.25">
      <c r="A13215" t="str">
        <f>"7876878"</f>
        <v>7876878</v>
      </c>
      <c r="B13215" t="s">
        <v>11803</v>
      </c>
      <c r="C13215" t="s">
        <v>336</v>
      </c>
      <c r="D13215" s="21" t="s">
        <v>34</v>
      </c>
      <c r="E13215" s="21" t="s">
        <v>35</v>
      </c>
      <c r="F13215">
        <v>8781176</v>
      </c>
      <c r="G13215" t="s">
        <v>3659</v>
      </c>
      <c r="H13215" s="21">
        <v>903.29</v>
      </c>
    </row>
    <row r="13216" spans="1:8" customFormat="1" x14ac:dyDescent="0.25">
      <c r="A13216" t="str">
        <f>"6944471"</f>
        <v>6944471</v>
      </c>
      <c r="B13216" t="s">
        <v>15775</v>
      </c>
      <c r="C13216" t="s">
        <v>8198</v>
      </c>
      <c r="D13216" s="21" t="s">
        <v>34</v>
      </c>
      <c r="E13216" s="21" t="s">
        <v>35</v>
      </c>
      <c r="F13216">
        <v>1690031</v>
      </c>
      <c r="G13216" t="s">
        <v>2716</v>
      </c>
      <c r="H13216" s="21">
        <v>903.29</v>
      </c>
    </row>
    <row r="13217" spans="1:8" customFormat="1" x14ac:dyDescent="0.25">
      <c r="A13217" t="str">
        <f>"919875"</f>
        <v>919875</v>
      </c>
      <c r="B13217" t="s">
        <v>853</v>
      </c>
      <c r="C13217" t="s">
        <v>1832</v>
      </c>
      <c r="D13217" s="21" t="s">
        <v>34</v>
      </c>
      <c r="E13217" s="21" t="s">
        <v>35</v>
      </c>
      <c r="F13217">
        <v>11650034</v>
      </c>
      <c r="G13217" t="s">
        <v>1989</v>
      </c>
      <c r="H13217" s="21">
        <v>903.29</v>
      </c>
    </row>
    <row r="13218" spans="1:8" customFormat="1" x14ac:dyDescent="0.25">
      <c r="A13218" t="str">
        <f>"4217680"</f>
        <v>4217680</v>
      </c>
      <c r="B13218" t="s">
        <v>14246</v>
      </c>
      <c r="C13218" t="s">
        <v>462</v>
      </c>
      <c r="D13218" s="21" t="s">
        <v>34</v>
      </c>
      <c r="E13218" s="21" t="s">
        <v>35</v>
      </c>
      <c r="F13218">
        <v>1420070</v>
      </c>
      <c r="G13218" t="s">
        <v>27046</v>
      </c>
      <c r="H13218" s="21">
        <v>903.17</v>
      </c>
    </row>
    <row r="13219" spans="1:8" customFormat="1" x14ac:dyDescent="0.25">
      <c r="A13219" t="str">
        <f>"72665"</f>
        <v>72665</v>
      </c>
      <c r="B13219" t="s">
        <v>11860</v>
      </c>
      <c r="C13219" t="s">
        <v>328</v>
      </c>
      <c r="D13219" s="21" t="s">
        <v>34</v>
      </c>
      <c r="E13219" s="21" t="s">
        <v>35</v>
      </c>
      <c r="F13219">
        <v>12720078</v>
      </c>
      <c r="G13219" t="s">
        <v>5085</v>
      </c>
      <c r="H13219" s="21">
        <v>903.17</v>
      </c>
    </row>
    <row r="13220" spans="1:8" customFormat="1" x14ac:dyDescent="0.25">
      <c r="A13220" t="str">
        <f>"179826"</f>
        <v>179826</v>
      </c>
      <c r="B13220" t="s">
        <v>13078</v>
      </c>
      <c r="C13220" t="s">
        <v>40</v>
      </c>
      <c r="D13220" s="21" t="s">
        <v>34</v>
      </c>
      <c r="E13220" s="21" t="s">
        <v>71</v>
      </c>
      <c r="F13220">
        <v>10170073</v>
      </c>
      <c r="G13220" t="s">
        <v>9689</v>
      </c>
      <c r="H13220" s="21">
        <v>903.17</v>
      </c>
    </row>
    <row r="13221" spans="1:8" customFormat="1" x14ac:dyDescent="0.25">
      <c r="A13221" t="str">
        <f>"4434711"</f>
        <v>4434711</v>
      </c>
      <c r="B13221" t="s">
        <v>2010</v>
      </c>
      <c r="C13221" t="s">
        <v>55</v>
      </c>
      <c r="D13221" s="21" t="s">
        <v>34</v>
      </c>
      <c r="E13221" s="21" t="s">
        <v>71</v>
      </c>
      <c r="F13221">
        <v>12440141</v>
      </c>
      <c r="G13221" t="s">
        <v>3234</v>
      </c>
      <c r="H13221" s="21">
        <v>903.17</v>
      </c>
    </row>
    <row r="13222" spans="1:8" customFormat="1" x14ac:dyDescent="0.25">
      <c r="A13222" t="str">
        <f>"6814433"</f>
        <v>6814433</v>
      </c>
      <c r="B13222" t="s">
        <v>3563</v>
      </c>
      <c r="C13222" t="s">
        <v>1110</v>
      </c>
      <c r="D13222" s="21" t="s">
        <v>34</v>
      </c>
      <c r="E13222" s="21" t="s">
        <v>71</v>
      </c>
      <c r="F13222">
        <v>6680118</v>
      </c>
      <c r="G13222" t="s">
        <v>4346</v>
      </c>
      <c r="H13222" s="21">
        <v>903.17</v>
      </c>
    </row>
    <row r="13223" spans="1:8" customFormat="1" x14ac:dyDescent="0.25">
      <c r="A13223" t="str">
        <f>"7721019"</f>
        <v>7721019</v>
      </c>
      <c r="B13223" t="s">
        <v>12937</v>
      </c>
      <c r="C13223" t="s">
        <v>119</v>
      </c>
      <c r="D13223" s="21" t="s">
        <v>34</v>
      </c>
      <c r="E13223" s="21" t="s">
        <v>35</v>
      </c>
      <c r="F13223">
        <v>8770377</v>
      </c>
      <c r="G13223" t="s">
        <v>4862</v>
      </c>
      <c r="H13223" s="21">
        <v>903.17</v>
      </c>
    </row>
    <row r="13224" spans="1:8" customFormat="1" x14ac:dyDescent="0.25">
      <c r="A13224" t="str">
        <f>"7219329"</f>
        <v>7219329</v>
      </c>
      <c r="B13224" t="s">
        <v>3782</v>
      </c>
      <c r="C13224" t="s">
        <v>37</v>
      </c>
      <c r="D13224" s="21" t="s">
        <v>34</v>
      </c>
      <c r="E13224" s="21" t="s">
        <v>35</v>
      </c>
      <c r="F13224">
        <v>12720067</v>
      </c>
      <c r="G13224" t="s">
        <v>10622</v>
      </c>
      <c r="H13224" s="21">
        <v>903.17</v>
      </c>
    </row>
    <row r="13225" spans="1:8" customFormat="1" x14ac:dyDescent="0.25">
      <c r="A13225" t="str">
        <f>"4110033"</f>
        <v>4110033</v>
      </c>
      <c r="B13225" t="s">
        <v>5107</v>
      </c>
      <c r="C13225" t="s">
        <v>11802</v>
      </c>
      <c r="D13225" s="21" t="s">
        <v>34</v>
      </c>
      <c r="E13225" s="21" t="s">
        <v>35</v>
      </c>
      <c r="F13225">
        <v>4410586</v>
      </c>
      <c r="G13225" t="s">
        <v>7672</v>
      </c>
      <c r="H13225" s="21">
        <v>903.17</v>
      </c>
    </row>
    <row r="13226" spans="1:8" customFormat="1" x14ac:dyDescent="0.25">
      <c r="A13226" t="str">
        <f>"6921595"</f>
        <v>6921595</v>
      </c>
      <c r="B13226" t="s">
        <v>760</v>
      </c>
      <c r="C13226" t="s">
        <v>40</v>
      </c>
      <c r="D13226" s="21" t="s">
        <v>34</v>
      </c>
      <c r="E13226" s="21" t="s">
        <v>71</v>
      </c>
      <c r="F13226">
        <v>1690192</v>
      </c>
      <c r="G13226" t="s">
        <v>3578</v>
      </c>
      <c r="H13226" s="21">
        <v>903.17</v>
      </c>
    </row>
    <row r="13227" spans="1:8" customFormat="1" x14ac:dyDescent="0.25">
      <c r="A13227" t="str">
        <f>"5955422"</f>
        <v>5955422</v>
      </c>
      <c r="B13227" t="s">
        <v>11611</v>
      </c>
      <c r="C13227" t="s">
        <v>11612</v>
      </c>
      <c r="D13227" s="21" t="s">
        <v>34</v>
      </c>
      <c r="E13227" s="21" t="s">
        <v>35</v>
      </c>
      <c r="F13227">
        <v>7590235</v>
      </c>
      <c r="G13227" t="s">
        <v>5121</v>
      </c>
      <c r="H13227" s="21">
        <v>903.17</v>
      </c>
    </row>
    <row r="13228" spans="1:8" customFormat="1" x14ac:dyDescent="0.25">
      <c r="A13228" t="str">
        <f>"13257"</f>
        <v>13257</v>
      </c>
      <c r="B13228" t="s">
        <v>12083</v>
      </c>
      <c r="C13228" t="s">
        <v>209</v>
      </c>
      <c r="D13228" s="21" t="s">
        <v>34</v>
      </c>
      <c r="E13228" s="21" t="s">
        <v>35</v>
      </c>
      <c r="F13228">
        <v>13130170</v>
      </c>
      <c r="G13228" t="s">
        <v>10164</v>
      </c>
      <c r="H13228" s="21">
        <v>903.17</v>
      </c>
    </row>
    <row r="13229" spans="1:8" customFormat="1" x14ac:dyDescent="0.25">
      <c r="A13229" t="str">
        <f>"516818"</f>
        <v>516818</v>
      </c>
      <c r="B13229" t="s">
        <v>1885</v>
      </c>
      <c r="C13229" t="s">
        <v>87</v>
      </c>
      <c r="D13229" s="21" t="s">
        <v>34</v>
      </c>
      <c r="E13229" s="21" t="s">
        <v>35</v>
      </c>
      <c r="F13229">
        <v>6510053</v>
      </c>
      <c r="G13229" t="s">
        <v>27203</v>
      </c>
      <c r="H13229" s="21">
        <v>903.17</v>
      </c>
    </row>
    <row r="13230" spans="1:8" customFormat="1" x14ac:dyDescent="0.25">
      <c r="A13230" t="str">
        <f>"3518820"</f>
        <v>3518820</v>
      </c>
      <c r="B13230" t="s">
        <v>10285</v>
      </c>
      <c r="C13230" t="s">
        <v>109</v>
      </c>
      <c r="D13230" s="21" t="s">
        <v>34</v>
      </c>
      <c r="E13230" s="21" t="s">
        <v>35</v>
      </c>
      <c r="F13230">
        <v>3350011</v>
      </c>
      <c r="G13230" t="s">
        <v>2404</v>
      </c>
      <c r="H13230" s="21">
        <v>903.17</v>
      </c>
    </row>
    <row r="13231" spans="1:8" customFormat="1" x14ac:dyDescent="0.25">
      <c r="A13231" t="str">
        <f>"9228557"</f>
        <v>9228557</v>
      </c>
      <c r="B13231" t="s">
        <v>27285</v>
      </c>
      <c r="C13231" t="s">
        <v>96</v>
      </c>
      <c r="D13231" s="21" t="s">
        <v>34</v>
      </c>
      <c r="E13231" s="21" t="s">
        <v>35</v>
      </c>
      <c r="F13231">
        <v>9500030</v>
      </c>
      <c r="G13231" t="s">
        <v>2166</v>
      </c>
      <c r="H13231" s="21">
        <v>903.17</v>
      </c>
    </row>
    <row r="13232" spans="1:8" customFormat="1" x14ac:dyDescent="0.25">
      <c r="A13232" t="str">
        <f>"26527"</f>
        <v>26527</v>
      </c>
      <c r="B13232" t="s">
        <v>11220</v>
      </c>
      <c r="C13232" t="s">
        <v>2520</v>
      </c>
      <c r="D13232" s="21" t="s">
        <v>34</v>
      </c>
      <c r="E13232" s="21" t="s">
        <v>254</v>
      </c>
      <c r="F13232">
        <v>1260026</v>
      </c>
      <c r="G13232" t="s">
        <v>516</v>
      </c>
      <c r="H13232" s="21">
        <v>903.17</v>
      </c>
    </row>
    <row r="13233" spans="1:8" customFormat="1" x14ac:dyDescent="0.25">
      <c r="A13233" t="str">
        <f>"364782"</f>
        <v>364782</v>
      </c>
      <c r="B13233" t="s">
        <v>11226</v>
      </c>
      <c r="C13233" t="s">
        <v>1446</v>
      </c>
      <c r="D13233" s="21" t="s">
        <v>34</v>
      </c>
      <c r="E13233" s="21" t="s">
        <v>71</v>
      </c>
      <c r="F13233">
        <v>4360005</v>
      </c>
      <c r="G13233" t="s">
        <v>11227</v>
      </c>
      <c r="H13233" s="21">
        <v>903.17</v>
      </c>
    </row>
    <row r="13234" spans="1:8" customFormat="1" x14ac:dyDescent="0.25">
      <c r="A13234" t="str">
        <f>"2719324"</f>
        <v>2719324</v>
      </c>
      <c r="B13234" t="s">
        <v>2824</v>
      </c>
      <c r="C13234" t="s">
        <v>60</v>
      </c>
      <c r="D13234" s="21" t="s">
        <v>34</v>
      </c>
      <c r="E13234" s="21" t="s">
        <v>35</v>
      </c>
      <c r="F13234">
        <v>9270126</v>
      </c>
      <c r="G13234" t="s">
        <v>7569</v>
      </c>
      <c r="H13234" s="21">
        <v>902.92</v>
      </c>
    </row>
    <row r="13235" spans="1:8" customFormat="1" x14ac:dyDescent="0.25">
      <c r="A13235" t="str">
        <f>"5322322"</f>
        <v>5322322</v>
      </c>
      <c r="B13235" t="s">
        <v>11217</v>
      </c>
      <c r="C13235" t="s">
        <v>244</v>
      </c>
      <c r="D13235" s="21" t="s">
        <v>34</v>
      </c>
      <c r="E13235" s="21" t="s">
        <v>35</v>
      </c>
      <c r="F13235">
        <v>12530114</v>
      </c>
      <c r="G13235" t="s">
        <v>1342</v>
      </c>
      <c r="H13235" s="21">
        <v>902.92</v>
      </c>
    </row>
    <row r="13236" spans="1:8" customFormat="1" x14ac:dyDescent="0.25">
      <c r="A13236" t="str">
        <f>"153521"</f>
        <v>153521</v>
      </c>
      <c r="B13236" t="s">
        <v>6350</v>
      </c>
      <c r="C13236" t="s">
        <v>6285</v>
      </c>
      <c r="D13236" s="21" t="s">
        <v>34</v>
      </c>
      <c r="E13236" s="21" t="s">
        <v>254</v>
      </c>
      <c r="F13236">
        <v>1150303</v>
      </c>
      <c r="G13236" t="s">
        <v>5809</v>
      </c>
      <c r="H13236" s="21">
        <v>902.92</v>
      </c>
    </row>
    <row r="13237" spans="1:8" customFormat="1" x14ac:dyDescent="0.25">
      <c r="A13237" t="str">
        <f>"599163"</f>
        <v>599163</v>
      </c>
      <c r="B13237" t="s">
        <v>12204</v>
      </c>
      <c r="C13237" t="s">
        <v>7441</v>
      </c>
      <c r="D13237" s="21" t="s">
        <v>34</v>
      </c>
      <c r="E13237" s="21" t="s">
        <v>254</v>
      </c>
      <c r="F13237">
        <v>7590057</v>
      </c>
      <c r="G13237" t="s">
        <v>7575</v>
      </c>
      <c r="H13237" s="21">
        <v>902.79</v>
      </c>
    </row>
    <row r="13238" spans="1:8" customFormat="1" x14ac:dyDescent="0.25">
      <c r="A13238" t="str">
        <f>"6713368"</f>
        <v>6713368</v>
      </c>
      <c r="B13238" t="s">
        <v>2976</v>
      </c>
      <c r="C13238" t="s">
        <v>40</v>
      </c>
      <c r="D13238" s="21" t="s">
        <v>34</v>
      </c>
      <c r="E13238" s="21" t="s">
        <v>254</v>
      </c>
      <c r="F13238">
        <v>6670233</v>
      </c>
      <c r="G13238" t="s">
        <v>13421</v>
      </c>
      <c r="H13238" s="21">
        <v>902.67</v>
      </c>
    </row>
    <row r="13239" spans="1:8" customFormat="1" x14ac:dyDescent="0.25">
      <c r="A13239" t="str">
        <f>"902285"</f>
        <v>902285</v>
      </c>
      <c r="B13239" t="s">
        <v>8553</v>
      </c>
      <c r="C13239" t="s">
        <v>198</v>
      </c>
      <c r="D13239" s="21" t="s">
        <v>34</v>
      </c>
      <c r="E13239" s="21" t="s">
        <v>71</v>
      </c>
      <c r="F13239">
        <v>2900003</v>
      </c>
      <c r="G13239" t="s">
        <v>1742</v>
      </c>
      <c r="H13239" s="21">
        <v>902.67</v>
      </c>
    </row>
    <row r="13240" spans="1:8" customFormat="1" x14ac:dyDescent="0.25">
      <c r="A13240" t="str">
        <f>"357111"</f>
        <v>357111</v>
      </c>
      <c r="B13240" t="s">
        <v>12264</v>
      </c>
      <c r="C13240" t="s">
        <v>156</v>
      </c>
      <c r="D13240" s="21" t="s">
        <v>34</v>
      </c>
      <c r="E13240" s="21" t="s">
        <v>254</v>
      </c>
      <c r="F13240">
        <v>3350203</v>
      </c>
      <c r="G13240" t="s">
        <v>11973</v>
      </c>
      <c r="H13240" s="21">
        <v>902.67</v>
      </c>
    </row>
    <row r="13241" spans="1:8" customFormat="1" x14ac:dyDescent="0.25">
      <c r="A13241" t="str">
        <f>"9244816"</f>
        <v>9244816</v>
      </c>
      <c r="B13241" t="s">
        <v>11828</v>
      </c>
      <c r="C13241" t="s">
        <v>817</v>
      </c>
      <c r="D13241" s="21" t="s">
        <v>34</v>
      </c>
      <c r="E13241" s="21" t="s">
        <v>254</v>
      </c>
      <c r="F13241">
        <v>8750141</v>
      </c>
      <c r="G13241" t="s">
        <v>1514</v>
      </c>
      <c r="H13241" s="21">
        <v>902.67</v>
      </c>
    </row>
    <row r="13242" spans="1:8" customFormat="1" x14ac:dyDescent="0.25">
      <c r="A13242" t="str">
        <f>"3118293"</f>
        <v>3118293</v>
      </c>
      <c r="B13242" t="s">
        <v>15345</v>
      </c>
      <c r="C13242" t="s">
        <v>87</v>
      </c>
      <c r="D13242" s="21" t="s">
        <v>34</v>
      </c>
      <c r="E13242" s="21" t="s">
        <v>71</v>
      </c>
      <c r="F13242">
        <v>11310019</v>
      </c>
      <c r="G13242" t="s">
        <v>3099</v>
      </c>
      <c r="H13242" s="21">
        <v>902.67</v>
      </c>
    </row>
    <row r="13243" spans="1:8" customFormat="1" x14ac:dyDescent="0.25">
      <c r="A13243" t="str">
        <f>"885083"</f>
        <v>885083</v>
      </c>
      <c r="B13243" t="s">
        <v>12161</v>
      </c>
      <c r="C13243" t="s">
        <v>3648</v>
      </c>
      <c r="D13243" s="21" t="s">
        <v>34</v>
      </c>
      <c r="E13243" s="21" t="s">
        <v>1089</v>
      </c>
      <c r="F13243">
        <v>6880002</v>
      </c>
      <c r="G13243" t="s">
        <v>501</v>
      </c>
      <c r="H13243" s="21">
        <v>902.67</v>
      </c>
    </row>
    <row r="13244" spans="1:8" customFormat="1" x14ac:dyDescent="0.25">
      <c r="A13244" t="str">
        <f>"729763"</f>
        <v>729763</v>
      </c>
      <c r="B13244" t="s">
        <v>1538</v>
      </c>
      <c r="C13244" t="s">
        <v>169</v>
      </c>
      <c r="D13244" s="21" t="s">
        <v>34</v>
      </c>
      <c r="E13244" s="21" t="s">
        <v>71</v>
      </c>
      <c r="F13244">
        <v>12720104</v>
      </c>
      <c r="G13244" t="s">
        <v>224</v>
      </c>
      <c r="H13244" s="21">
        <v>902.67</v>
      </c>
    </row>
    <row r="13245" spans="1:8" customFormat="1" x14ac:dyDescent="0.25">
      <c r="A13245" t="str">
        <f>"5967665"</f>
        <v>5967665</v>
      </c>
      <c r="B13245" t="s">
        <v>14977</v>
      </c>
      <c r="C13245" t="s">
        <v>60</v>
      </c>
      <c r="D13245" s="21" t="s">
        <v>34</v>
      </c>
      <c r="E13245" s="21" t="s">
        <v>35</v>
      </c>
      <c r="F13245">
        <v>7590413</v>
      </c>
      <c r="G13245" t="s">
        <v>6848</v>
      </c>
      <c r="H13245" s="21">
        <v>902.67</v>
      </c>
    </row>
    <row r="13246" spans="1:8" customFormat="1" x14ac:dyDescent="0.25">
      <c r="A13246" t="str">
        <f>"4521838"</f>
        <v>4521838</v>
      </c>
      <c r="B13246" t="s">
        <v>1576</v>
      </c>
      <c r="C13246" t="s">
        <v>40</v>
      </c>
      <c r="D13246" s="21" t="s">
        <v>34</v>
      </c>
      <c r="E13246" s="21" t="s">
        <v>71</v>
      </c>
      <c r="F13246">
        <v>4450413</v>
      </c>
      <c r="G13246" t="s">
        <v>11734</v>
      </c>
      <c r="H13246" s="21">
        <v>902.67</v>
      </c>
    </row>
    <row r="13247" spans="1:8" customFormat="1" x14ac:dyDescent="0.25">
      <c r="A13247" t="str">
        <f>"4210002"</f>
        <v>4210002</v>
      </c>
      <c r="B13247" t="s">
        <v>2058</v>
      </c>
      <c r="C13247" t="s">
        <v>130</v>
      </c>
      <c r="D13247" s="21" t="s">
        <v>34</v>
      </c>
      <c r="E13247" s="21" t="s">
        <v>35</v>
      </c>
      <c r="F13247">
        <v>1420110</v>
      </c>
      <c r="G13247" t="s">
        <v>3928</v>
      </c>
      <c r="H13247" s="21">
        <v>902.67</v>
      </c>
    </row>
    <row r="13248" spans="1:8" customFormat="1" x14ac:dyDescent="0.25">
      <c r="A13248" t="str">
        <f>"5970731"</f>
        <v>5970731</v>
      </c>
      <c r="B13248" t="s">
        <v>10008</v>
      </c>
      <c r="C13248" t="s">
        <v>253</v>
      </c>
      <c r="D13248" s="21" t="s">
        <v>34</v>
      </c>
      <c r="E13248" s="21" t="s">
        <v>71</v>
      </c>
      <c r="F13248">
        <v>7590176</v>
      </c>
      <c r="G13248" t="s">
        <v>4079</v>
      </c>
      <c r="H13248" s="21">
        <v>902.67</v>
      </c>
    </row>
    <row r="13249" spans="1:8" customFormat="1" x14ac:dyDescent="0.25">
      <c r="A13249" t="str">
        <f>"501023"</f>
        <v>501023</v>
      </c>
      <c r="B13249" t="s">
        <v>2023</v>
      </c>
      <c r="C13249" t="s">
        <v>174</v>
      </c>
      <c r="D13249" s="21" t="s">
        <v>34</v>
      </c>
      <c r="E13249" s="21" t="s">
        <v>35</v>
      </c>
      <c r="F13249">
        <v>9500163</v>
      </c>
      <c r="G13249" t="s">
        <v>2750</v>
      </c>
      <c r="H13249" s="21">
        <v>902.67</v>
      </c>
    </row>
    <row r="13250" spans="1:8" customFormat="1" x14ac:dyDescent="0.25">
      <c r="A13250" t="str">
        <f>"3320050"</f>
        <v>3320050</v>
      </c>
      <c r="B13250" t="s">
        <v>5076</v>
      </c>
      <c r="C13250" t="s">
        <v>269</v>
      </c>
      <c r="D13250" s="21" t="s">
        <v>34</v>
      </c>
      <c r="E13250" s="21" t="s">
        <v>35</v>
      </c>
      <c r="F13250">
        <v>10330002</v>
      </c>
      <c r="G13250" t="s">
        <v>53</v>
      </c>
      <c r="H13250" s="21">
        <v>902.67</v>
      </c>
    </row>
    <row r="13251" spans="1:8" customFormat="1" x14ac:dyDescent="0.25">
      <c r="A13251" t="str">
        <f>"5320485"</f>
        <v>5320485</v>
      </c>
      <c r="B13251" t="s">
        <v>1500</v>
      </c>
      <c r="C13251" t="s">
        <v>119</v>
      </c>
      <c r="D13251" s="21" t="s">
        <v>34</v>
      </c>
      <c r="E13251" s="21" t="s">
        <v>71</v>
      </c>
      <c r="F13251">
        <v>12530099</v>
      </c>
      <c r="G13251" t="s">
        <v>3569</v>
      </c>
      <c r="H13251" s="21">
        <v>902.67</v>
      </c>
    </row>
    <row r="13252" spans="1:8" customFormat="1" x14ac:dyDescent="0.25">
      <c r="A13252" t="str">
        <f>"178991"</f>
        <v>178991</v>
      </c>
      <c r="B13252" t="s">
        <v>10629</v>
      </c>
      <c r="C13252" t="s">
        <v>608</v>
      </c>
      <c r="D13252" s="21" t="s">
        <v>34</v>
      </c>
      <c r="E13252" s="21" t="s">
        <v>71</v>
      </c>
      <c r="F13252">
        <v>3560092</v>
      </c>
      <c r="G13252" t="s">
        <v>10630</v>
      </c>
      <c r="H13252" s="21">
        <v>902.17</v>
      </c>
    </row>
    <row r="13253" spans="1:8" customFormat="1" x14ac:dyDescent="0.25">
      <c r="A13253" t="str">
        <f>"5923000"</f>
        <v>5923000</v>
      </c>
      <c r="B13253" t="s">
        <v>2032</v>
      </c>
      <c r="C13253" t="s">
        <v>1132</v>
      </c>
      <c r="D13253" s="21" t="s">
        <v>34</v>
      </c>
      <c r="E13253" s="21" t="s">
        <v>71</v>
      </c>
      <c r="F13253">
        <v>7590162</v>
      </c>
      <c r="G13253" t="s">
        <v>7211</v>
      </c>
      <c r="H13253" s="21">
        <v>902.17</v>
      </c>
    </row>
    <row r="13254" spans="1:8" customFormat="1" x14ac:dyDescent="0.25">
      <c r="A13254" t="str">
        <f>"507397"</f>
        <v>507397</v>
      </c>
      <c r="B13254" t="s">
        <v>12386</v>
      </c>
      <c r="C13254" t="s">
        <v>130</v>
      </c>
      <c r="D13254" s="21" t="s">
        <v>34</v>
      </c>
      <c r="E13254" s="21" t="s">
        <v>254</v>
      </c>
      <c r="F13254">
        <v>9500063</v>
      </c>
      <c r="G13254" t="s">
        <v>4114</v>
      </c>
      <c r="H13254" s="21">
        <v>902.17</v>
      </c>
    </row>
    <row r="13255" spans="1:8" customFormat="1" x14ac:dyDescent="0.25">
      <c r="A13255" t="str">
        <f>"728825"</f>
        <v>728825</v>
      </c>
      <c r="B13255" t="s">
        <v>27286</v>
      </c>
      <c r="C13255" t="s">
        <v>7506</v>
      </c>
      <c r="D13255" s="21" t="s">
        <v>34</v>
      </c>
      <c r="E13255" s="21" t="s">
        <v>35</v>
      </c>
      <c r="F13255">
        <v>12720108</v>
      </c>
      <c r="G13255" t="s">
        <v>27287</v>
      </c>
      <c r="H13255" s="21">
        <v>902.17</v>
      </c>
    </row>
    <row r="13256" spans="1:8" customFormat="1" x14ac:dyDescent="0.25">
      <c r="A13256" t="str">
        <f>"905250"</f>
        <v>905250</v>
      </c>
      <c r="B13256" t="s">
        <v>13521</v>
      </c>
      <c r="C13256" t="s">
        <v>209</v>
      </c>
      <c r="D13256" s="21" t="s">
        <v>34</v>
      </c>
      <c r="E13256" s="21" t="s">
        <v>35</v>
      </c>
      <c r="F13256">
        <v>2900030</v>
      </c>
      <c r="G13256" t="s">
        <v>10237</v>
      </c>
      <c r="H13256" s="21">
        <v>902.17</v>
      </c>
    </row>
    <row r="13257" spans="1:8" customFormat="1" x14ac:dyDescent="0.25">
      <c r="A13257" t="str">
        <f>"9521122"</f>
        <v>9521122</v>
      </c>
      <c r="B13257" t="s">
        <v>8940</v>
      </c>
      <c r="C13257" t="s">
        <v>302</v>
      </c>
      <c r="D13257" s="21" t="s">
        <v>34</v>
      </c>
      <c r="E13257" s="21" t="s">
        <v>35</v>
      </c>
      <c r="F13257">
        <v>8951273</v>
      </c>
      <c r="G13257" t="s">
        <v>2382</v>
      </c>
      <c r="H13257" s="21">
        <v>902.17</v>
      </c>
    </row>
    <row r="13258" spans="1:8" customFormat="1" x14ac:dyDescent="0.25">
      <c r="A13258" t="str">
        <f>"788481"</f>
        <v>788481</v>
      </c>
      <c r="B13258" t="s">
        <v>10946</v>
      </c>
      <c r="C13258" t="s">
        <v>40</v>
      </c>
      <c r="D13258" s="21" t="s">
        <v>34</v>
      </c>
      <c r="E13258" s="21" t="s">
        <v>71</v>
      </c>
      <c r="F13258">
        <v>8780632</v>
      </c>
      <c r="G13258" t="s">
        <v>1571</v>
      </c>
      <c r="H13258" s="21">
        <v>902.17</v>
      </c>
    </row>
    <row r="13259" spans="1:8" customFormat="1" x14ac:dyDescent="0.25">
      <c r="A13259" t="str">
        <f>"685991"</f>
        <v>685991</v>
      </c>
      <c r="B13259" t="s">
        <v>12857</v>
      </c>
      <c r="C13259" t="s">
        <v>967</v>
      </c>
      <c r="D13259" s="21" t="s">
        <v>34</v>
      </c>
      <c r="E13259" s="21" t="s">
        <v>254</v>
      </c>
      <c r="F13259">
        <v>6680128</v>
      </c>
      <c r="G13259" t="s">
        <v>341</v>
      </c>
      <c r="H13259" s="21">
        <v>902.17</v>
      </c>
    </row>
    <row r="13260" spans="1:8" customFormat="1" x14ac:dyDescent="0.25">
      <c r="A13260" t="str">
        <f>"592443"</f>
        <v>592443</v>
      </c>
      <c r="B13260" t="s">
        <v>11724</v>
      </c>
      <c r="C13260" t="s">
        <v>2546</v>
      </c>
      <c r="D13260" s="21" t="s">
        <v>34</v>
      </c>
      <c r="E13260" s="21" t="s">
        <v>1089</v>
      </c>
      <c r="F13260">
        <v>7590112</v>
      </c>
      <c r="G13260" t="s">
        <v>3534</v>
      </c>
      <c r="H13260" s="21">
        <v>902.17</v>
      </c>
    </row>
    <row r="13261" spans="1:8" customFormat="1" x14ac:dyDescent="0.25">
      <c r="A13261" t="str">
        <f>"882752"</f>
        <v>882752</v>
      </c>
      <c r="B13261" t="s">
        <v>3519</v>
      </c>
      <c r="C13261" t="s">
        <v>269</v>
      </c>
      <c r="D13261" s="21" t="s">
        <v>34</v>
      </c>
      <c r="E13261" s="21" t="s">
        <v>254</v>
      </c>
      <c r="F13261">
        <v>6880146</v>
      </c>
      <c r="G13261" t="s">
        <v>3520</v>
      </c>
      <c r="H13261" s="21">
        <v>902.17</v>
      </c>
    </row>
    <row r="13262" spans="1:8" customFormat="1" x14ac:dyDescent="0.25">
      <c r="A13262" t="str">
        <f>"905488"</f>
        <v>905488</v>
      </c>
      <c r="B13262" t="s">
        <v>14269</v>
      </c>
      <c r="C13262" t="s">
        <v>269</v>
      </c>
      <c r="D13262" s="21" t="s">
        <v>34</v>
      </c>
      <c r="E13262" s="21" t="s">
        <v>71</v>
      </c>
      <c r="F13262">
        <v>2900047</v>
      </c>
      <c r="G13262" t="s">
        <v>6819</v>
      </c>
      <c r="H13262" s="21">
        <v>902.17</v>
      </c>
    </row>
    <row r="13263" spans="1:8" customFormat="1" x14ac:dyDescent="0.25">
      <c r="A13263" t="str">
        <f>"138329"</f>
        <v>138329</v>
      </c>
      <c r="B13263" t="s">
        <v>13233</v>
      </c>
      <c r="C13263" t="s">
        <v>601</v>
      </c>
      <c r="D13263" s="21" t="s">
        <v>34</v>
      </c>
      <c r="E13263" s="21" t="s">
        <v>35</v>
      </c>
      <c r="F13263">
        <v>13130013</v>
      </c>
      <c r="G13263" t="s">
        <v>13234</v>
      </c>
      <c r="H13263" s="21">
        <v>902.17</v>
      </c>
    </row>
    <row r="13264" spans="1:8" customFormat="1" x14ac:dyDescent="0.25">
      <c r="A13264" t="str">
        <f>"404210"</f>
        <v>404210</v>
      </c>
      <c r="B13264" t="s">
        <v>12163</v>
      </c>
      <c r="C13264" t="s">
        <v>1714</v>
      </c>
      <c r="D13264" s="21" t="s">
        <v>34</v>
      </c>
      <c r="E13264" s="21" t="s">
        <v>254</v>
      </c>
      <c r="F13264">
        <v>10400004</v>
      </c>
      <c r="G13264" t="s">
        <v>2929</v>
      </c>
      <c r="H13264" s="21">
        <v>902.17</v>
      </c>
    </row>
    <row r="13265" spans="1:8" customFormat="1" x14ac:dyDescent="0.25">
      <c r="A13265" t="str">
        <f>"6111306"</f>
        <v>6111306</v>
      </c>
      <c r="B13265" t="s">
        <v>392</v>
      </c>
      <c r="C13265" t="s">
        <v>33</v>
      </c>
      <c r="D13265" s="21" t="s">
        <v>34</v>
      </c>
      <c r="E13265" s="21" t="s">
        <v>35</v>
      </c>
      <c r="F13265">
        <v>9610077</v>
      </c>
      <c r="G13265" t="s">
        <v>26691</v>
      </c>
      <c r="H13265" s="21">
        <v>902.17</v>
      </c>
    </row>
    <row r="13266" spans="1:8" customFormat="1" x14ac:dyDescent="0.25">
      <c r="A13266" t="str">
        <f>"5951710"</f>
        <v>5951710</v>
      </c>
      <c r="B13266" t="s">
        <v>27288</v>
      </c>
      <c r="C13266" t="s">
        <v>55</v>
      </c>
      <c r="D13266" s="21" t="s">
        <v>34</v>
      </c>
      <c r="E13266" s="21" t="s">
        <v>71</v>
      </c>
      <c r="F13266">
        <v>7590162</v>
      </c>
      <c r="G13266" t="s">
        <v>7211</v>
      </c>
      <c r="H13266" s="21">
        <v>902.17</v>
      </c>
    </row>
    <row r="13267" spans="1:8" customFormat="1" x14ac:dyDescent="0.25">
      <c r="A13267" t="str">
        <f>"6724129"</f>
        <v>6724129</v>
      </c>
      <c r="B13267" t="s">
        <v>11022</v>
      </c>
      <c r="C13267" t="s">
        <v>87</v>
      </c>
      <c r="D13267" s="21" t="s">
        <v>34</v>
      </c>
      <c r="E13267" s="21" t="s">
        <v>35</v>
      </c>
      <c r="F13267">
        <v>6670267</v>
      </c>
      <c r="G13267" t="s">
        <v>2244</v>
      </c>
      <c r="H13267" s="21">
        <v>902.17</v>
      </c>
    </row>
    <row r="13268" spans="1:8" customFormat="1" x14ac:dyDescent="0.25">
      <c r="A13268" t="str">
        <f>"5112887"</f>
        <v>5112887</v>
      </c>
      <c r="B13268" t="s">
        <v>5696</v>
      </c>
      <c r="C13268" t="s">
        <v>249</v>
      </c>
      <c r="D13268" s="21" t="s">
        <v>34</v>
      </c>
      <c r="E13268" s="21" t="s">
        <v>71</v>
      </c>
      <c r="F13268">
        <v>6510009</v>
      </c>
      <c r="G13268" t="s">
        <v>26950</v>
      </c>
      <c r="H13268" s="21">
        <v>902.17</v>
      </c>
    </row>
    <row r="13269" spans="1:8" customFormat="1" x14ac:dyDescent="0.25">
      <c r="A13269" t="str">
        <f>"8310713"</f>
        <v>8310713</v>
      </c>
      <c r="B13269" t="s">
        <v>12354</v>
      </c>
      <c r="C13269" t="s">
        <v>1665</v>
      </c>
      <c r="D13269" s="21" t="s">
        <v>34</v>
      </c>
      <c r="E13269" s="21" t="s">
        <v>71</v>
      </c>
      <c r="F13269">
        <v>13830092</v>
      </c>
      <c r="G13269" t="s">
        <v>3632</v>
      </c>
      <c r="H13269" s="21">
        <v>902.17</v>
      </c>
    </row>
    <row r="13270" spans="1:8" customFormat="1" x14ac:dyDescent="0.25">
      <c r="A13270" t="str">
        <f>"3341510"</f>
        <v>3341510</v>
      </c>
      <c r="B13270" t="s">
        <v>15145</v>
      </c>
      <c r="C13270" t="s">
        <v>528</v>
      </c>
      <c r="D13270" s="21" t="s">
        <v>34</v>
      </c>
      <c r="E13270" s="21" t="s">
        <v>35</v>
      </c>
      <c r="F13270">
        <v>10330031</v>
      </c>
      <c r="G13270" t="s">
        <v>2452</v>
      </c>
      <c r="H13270" s="21">
        <v>902.04</v>
      </c>
    </row>
    <row r="13271" spans="1:8" customFormat="1" x14ac:dyDescent="0.25">
      <c r="A13271" t="str">
        <f>"936107"</f>
        <v>936107</v>
      </c>
      <c r="B13271" t="s">
        <v>7015</v>
      </c>
      <c r="C13271" t="s">
        <v>33</v>
      </c>
      <c r="D13271" s="21" t="s">
        <v>34</v>
      </c>
      <c r="E13271" s="21" t="s">
        <v>35</v>
      </c>
      <c r="F13271">
        <v>8931057</v>
      </c>
      <c r="G13271" t="s">
        <v>1011</v>
      </c>
      <c r="H13271" s="21">
        <v>902.04</v>
      </c>
    </row>
    <row r="13272" spans="1:8" customFormat="1" x14ac:dyDescent="0.25">
      <c r="A13272" t="str">
        <f>"4420192"</f>
        <v>4420192</v>
      </c>
      <c r="B13272" t="s">
        <v>11976</v>
      </c>
      <c r="C13272" t="s">
        <v>415</v>
      </c>
      <c r="D13272" s="21" t="s">
        <v>34</v>
      </c>
      <c r="E13272" s="21" t="s">
        <v>71</v>
      </c>
      <c r="F13272">
        <v>3560034</v>
      </c>
      <c r="G13272" t="s">
        <v>2220</v>
      </c>
      <c r="H13272" s="21">
        <v>902.04</v>
      </c>
    </row>
    <row r="13273" spans="1:8" customFormat="1" x14ac:dyDescent="0.25">
      <c r="A13273" t="str">
        <f>"951064"</f>
        <v>951064</v>
      </c>
      <c r="B13273" t="s">
        <v>8179</v>
      </c>
      <c r="C13273" t="s">
        <v>87</v>
      </c>
      <c r="D13273" s="21" t="s">
        <v>34</v>
      </c>
      <c r="E13273" s="21" t="s">
        <v>71</v>
      </c>
      <c r="F13273">
        <v>8950531</v>
      </c>
      <c r="G13273" t="s">
        <v>7983</v>
      </c>
      <c r="H13273" s="21">
        <v>901.92</v>
      </c>
    </row>
    <row r="13274" spans="1:8" customFormat="1" x14ac:dyDescent="0.25">
      <c r="A13274" t="str">
        <f>"5721501"</f>
        <v>5721501</v>
      </c>
      <c r="B13274" t="s">
        <v>11959</v>
      </c>
      <c r="C13274" t="s">
        <v>11960</v>
      </c>
      <c r="D13274" s="21" t="s">
        <v>34</v>
      </c>
      <c r="E13274" s="21" t="s">
        <v>71</v>
      </c>
      <c r="F13274">
        <v>6570168</v>
      </c>
      <c r="G13274" t="s">
        <v>152</v>
      </c>
      <c r="H13274" s="21">
        <v>901.92</v>
      </c>
    </row>
    <row r="13275" spans="1:8" customFormat="1" x14ac:dyDescent="0.25">
      <c r="A13275" t="str">
        <f>"1412345"</f>
        <v>1412345</v>
      </c>
      <c r="B13275" t="s">
        <v>734</v>
      </c>
      <c r="C13275" t="s">
        <v>598</v>
      </c>
      <c r="D13275" s="21" t="s">
        <v>34</v>
      </c>
      <c r="E13275" s="21" t="s">
        <v>254</v>
      </c>
      <c r="F13275">
        <v>9140147</v>
      </c>
      <c r="G13275" t="s">
        <v>7584</v>
      </c>
      <c r="H13275" s="21">
        <v>901.67</v>
      </c>
    </row>
    <row r="13276" spans="1:8" customFormat="1" x14ac:dyDescent="0.25">
      <c r="A13276" t="str">
        <f>"746218"</f>
        <v>746218</v>
      </c>
      <c r="B13276" t="s">
        <v>11825</v>
      </c>
      <c r="C13276" t="s">
        <v>114</v>
      </c>
      <c r="D13276" s="21" t="s">
        <v>34</v>
      </c>
      <c r="E13276" s="21" t="s">
        <v>6185</v>
      </c>
      <c r="F13276">
        <v>1740001</v>
      </c>
      <c r="G13276" t="s">
        <v>347</v>
      </c>
      <c r="H13276" s="21">
        <v>901.67</v>
      </c>
    </row>
    <row r="13277" spans="1:8" customFormat="1" x14ac:dyDescent="0.25">
      <c r="A13277" t="str">
        <f>"7724797"</f>
        <v>7724797</v>
      </c>
      <c r="B13277" t="s">
        <v>14365</v>
      </c>
      <c r="C13277" t="s">
        <v>415</v>
      </c>
      <c r="D13277" s="21" t="s">
        <v>34</v>
      </c>
      <c r="E13277" s="21" t="s">
        <v>71</v>
      </c>
      <c r="F13277">
        <v>8771501</v>
      </c>
      <c r="G13277" t="s">
        <v>10128</v>
      </c>
      <c r="H13277" s="21">
        <v>901.67</v>
      </c>
    </row>
    <row r="13278" spans="1:8" customFormat="1" x14ac:dyDescent="0.25">
      <c r="A13278" t="str">
        <f>"1310846"</f>
        <v>1310846</v>
      </c>
      <c r="B13278" t="s">
        <v>27289</v>
      </c>
      <c r="C13278" t="s">
        <v>87</v>
      </c>
      <c r="D13278" s="21" t="s">
        <v>34</v>
      </c>
      <c r="E13278" s="21" t="s">
        <v>35</v>
      </c>
      <c r="F13278">
        <v>13130022</v>
      </c>
      <c r="G13278" t="s">
        <v>2666</v>
      </c>
      <c r="H13278" s="21">
        <v>901.67</v>
      </c>
    </row>
    <row r="13279" spans="1:8" customFormat="1" x14ac:dyDescent="0.25">
      <c r="A13279" t="str">
        <f>"4422905"</f>
        <v>4422905</v>
      </c>
      <c r="B13279" t="s">
        <v>14067</v>
      </c>
      <c r="C13279" t="s">
        <v>114</v>
      </c>
      <c r="D13279" s="21" t="s">
        <v>34</v>
      </c>
      <c r="E13279" s="21" t="s">
        <v>71</v>
      </c>
      <c r="F13279">
        <v>12440013</v>
      </c>
      <c r="G13279" t="s">
        <v>9850</v>
      </c>
      <c r="H13279" s="21">
        <v>901.67</v>
      </c>
    </row>
    <row r="13280" spans="1:8" customFormat="1" x14ac:dyDescent="0.25">
      <c r="A13280" t="str">
        <f>"276078"</f>
        <v>276078</v>
      </c>
      <c r="B13280" t="s">
        <v>12067</v>
      </c>
      <c r="C13280" t="s">
        <v>598</v>
      </c>
      <c r="D13280" s="21" t="s">
        <v>34</v>
      </c>
      <c r="E13280" s="21" t="s">
        <v>71</v>
      </c>
      <c r="F13280">
        <v>9270021</v>
      </c>
      <c r="G13280" t="s">
        <v>4934</v>
      </c>
      <c r="H13280" s="21">
        <v>901.67</v>
      </c>
    </row>
    <row r="13281" spans="1:8" customFormat="1" x14ac:dyDescent="0.25">
      <c r="A13281" t="str">
        <f>"792135"</f>
        <v>792135</v>
      </c>
      <c r="B13281" t="s">
        <v>11811</v>
      </c>
      <c r="C13281" t="s">
        <v>2693</v>
      </c>
      <c r="D13281" s="21" t="s">
        <v>34</v>
      </c>
      <c r="E13281" s="21" t="s">
        <v>71</v>
      </c>
      <c r="F13281">
        <v>10790022</v>
      </c>
      <c r="G13281" t="s">
        <v>7916</v>
      </c>
      <c r="H13281" s="21">
        <v>901.67</v>
      </c>
    </row>
    <row r="13282" spans="1:8" customFormat="1" x14ac:dyDescent="0.25">
      <c r="A13282" t="str">
        <f>"627923"</f>
        <v>627923</v>
      </c>
      <c r="B13282" t="s">
        <v>12305</v>
      </c>
      <c r="C13282" t="s">
        <v>879</v>
      </c>
      <c r="D13282" s="21" t="s">
        <v>34</v>
      </c>
      <c r="E13282" s="21" t="s">
        <v>35</v>
      </c>
      <c r="F13282">
        <v>7620028</v>
      </c>
      <c r="G13282" t="s">
        <v>7217</v>
      </c>
      <c r="H13282" s="21">
        <v>901.67</v>
      </c>
    </row>
    <row r="13283" spans="1:8" customFormat="1" x14ac:dyDescent="0.25">
      <c r="A13283" t="str">
        <f>"852528"</f>
        <v>852528</v>
      </c>
      <c r="B13283" t="s">
        <v>2032</v>
      </c>
      <c r="C13283" t="s">
        <v>462</v>
      </c>
      <c r="D13283" s="21" t="s">
        <v>34</v>
      </c>
      <c r="E13283" s="21" t="s">
        <v>71</v>
      </c>
      <c r="F13283">
        <v>12850032</v>
      </c>
      <c r="G13283" t="s">
        <v>6589</v>
      </c>
      <c r="H13283" s="21">
        <v>901.67</v>
      </c>
    </row>
    <row r="13284" spans="1:8" customFormat="1" x14ac:dyDescent="0.25">
      <c r="A13284" t="str">
        <f>"454468"</f>
        <v>454468</v>
      </c>
      <c r="B13284" t="s">
        <v>27290</v>
      </c>
      <c r="C13284" t="s">
        <v>1887</v>
      </c>
      <c r="D13284" s="21" t="s">
        <v>34</v>
      </c>
      <c r="E13284" s="21" t="s">
        <v>71</v>
      </c>
      <c r="F13284">
        <v>4450210</v>
      </c>
      <c r="G13284" t="s">
        <v>5249</v>
      </c>
      <c r="H13284" s="21">
        <v>901.67</v>
      </c>
    </row>
    <row r="13285" spans="1:8" customFormat="1" x14ac:dyDescent="0.25">
      <c r="A13285" t="str">
        <f>"7413346"</f>
        <v>7413346</v>
      </c>
      <c r="B13285" t="s">
        <v>11451</v>
      </c>
      <c r="C13285" t="s">
        <v>462</v>
      </c>
      <c r="D13285" s="21" t="s">
        <v>34</v>
      </c>
      <c r="E13285" s="21" t="s">
        <v>35</v>
      </c>
      <c r="F13285">
        <v>1740047</v>
      </c>
      <c r="G13285" t="s">
        <v>4512</v>
      </c>
      <c r="H13285" s="21">
        <v>901.67</v>
      </c>
    </row>
    <row r="13286" spans="1:8" customFormat="1" x14ac:dyDescent="0.25">
      <c r="A13286" t="str">
        <f>"6233778"</f>
        <v>6233778</v>
      </c>
      <c r="B13286" t="s">
        <v>27291</v>
      </c>
      <c r="C13286" t="s">
        <v>40</v>
      </c>
      <c r="D13286" s="21" t="s">
        <v>34</v>
      </c>
      <c r="E13286" s="21" t="s">
        <v>35</v>
      </c>
      <c r="F13286">
        <v>7620082</v>
      </c>
      <c r="G13286" t="s">
        <v>4939</v>
      </c>
      <c r="H13286" s="21">
        <v>901.67</v>
      </c>
    </row>
    <row r="13287" spans="1:8" customFormat="1" x14ac:dyDescent="0.25">
      <c r="A13287" t="str">
        <f>"652836"</f>
        <v>652836</v>
      </c>
      <c r="B13287" t="s">
        <v>27292</v>
      </c>
      <c r="C13287" t="s">
        <v>60</v>
      </c>
      <c r="D13287" s="21" t="s">
        <v>34</v>
      </c>
      <c r="E13287" s="21" t="s">
        <v>35</v>
      </c>
      <c r="F13287">
        <v>11650026</v>
      </c>
      <c r="G13287" t="s">
        <v>13114</v>
      </c>
      <c r="H13287" s="21">
        <v>901.67</v>
      </c>
    </row>
    <row r="13288" spans="1:8" customFormat="1" x14ac:dyDescent="0.25">
      <c r="A13288" t="str">
        <f>"147017"</f>
        <v>147017</v>
      </c>
      <c r="B13288" t="s">
        <v>11721</v>
      </c>
      <c r="C13288" t="s">
        <v>124</v>
      </c>
      <c r="D13288" s="21" t="s">
        <v>34</v>
      </c>
      <c r="E13288" s="21" t="s">
        <v>71</v>
      </c>
      <c r="F13288">
        <v>9140009</v>
      </c>
      <c r="G13288" t="s">
        <v>3530</v>
      </c>
      <c r="H13288" s="21">
        <v>901.67</v>
      </c>
    </row>
    <row r="13289" spans="1:8" customFormat="1" x14ac:dyDescent="0.25">
      <c r="A13289" t="str">
        <f>"591207"</f>
        <v>591207</v>
      </c>
      <c r="B13289" t="s">
        <v>146</v>
      </c>
      <c r="C13289" t="s">
        <v>40</v>
      </c>
      <c r="D13289" s="21" t="s">
        <v>34</v>
      </c>
      <c r="E13289" s="21" t="s">
        <v>254</v>
      </c>
      <c r="F13289">
        <v>7590361</v>
      </c>
      <c r="G13289" t="s">
        <v>3071</v>
      </c>
      <c r="H13289" s="21">
        <v>901.67</v>
      </c>
    </row>
    <row r="13290" spans="1:8" customFormat="1" x14ac:dyDescent="0.25">
      <c r="A13290" t="str">
        <f>"8520668"</f>
        <v>8520668</v>
      </c>
      <c r="B13290" t="s">
        <v>11381</v>
      </c>
      <c r="C13290" t="s">
        <v>121</v>
      </c>
      <c r="D13290" s="21" t="s">
        <v>34</v>
      </c>
      <c r="E13290" s="21" t="s">
        <v>71</v>
      </c>
      <c r="F13290">
        <v>12850078</v>
      </c>
      <c r="G13290" t="s">
        <v>5639</v>
      </c>
      <c r="H13290" s="21">
        <v>901.67</v>
      </c>
    </row>
    <row r="13291" spans="1:8" customFormat="1" x14ac:dyDescent="0.25">
      <c r="A13291" t="str">
        <f>"6927305"</f>
        <v>6927305</v>
      </c>
      <c r="B13291" t="s">
        <v>14305</v>
      </c>
      <c r="C13291" t="s">
        <v>269</v>
      </c>
      <c r="D13291" s="21" t="s">
        <v>34</v>
      </c>
      <c r="E13291" s="21" t="s">
        <v>35</v>
      </c>
      <c r="F13291">
        <v>1690201</v>
      </c>
      <c r="G13291" t="s">
        <v>11274</v>
      </c>
      <c r="H13291" s="21">
        <v>901.17</v>
      </c>
    </row>
    <row r="13292" spans="1:8" customFormat="1" x14ac:dyDescent="0.25">
      <c r="A13292" t="str">
        <f>"44720"</f>
        <v>44720</v>
      </c>
      <c r="B13292" t="s">
        <v>11507</v>
      </c>
      <c r="C13292" t="s">
        <v>209</v>
      </c>
      <c r="D13292" s="21" t="s">
        <v>34</v>
      </c>
      <c r="E13292" s="21" t="s">
        <v>71</v>
      </c>
      <c r="F13292">
        <v>12440021</v>
      </c>
      <c r="G13292" t="s">
        <v>429</v>
      </c>
      <c r="H13292" s="21">
        <v>901.17</v>
      </c>
    </row>
    <row r="13293" spans="1:8" customFormat="1" x14ac:dyDescent="0.25">
      <c r="A13293" t="str">
        <f>"33305"</f>
        <v>33305</v>
      </c>
      <c r="B13293" t="s">
        <v>5617</v>
      </c>
      <c r="C13293" t="s">
        <v>209</v>
      </c>
      <c r="D13293" s="21" t="s">
        <v>34</v>
      </c>
      <c r="E13293" s="21" t="s">
        <v>1089</v>
      </c>
      <c r="F13293">
        <v>10330050</v>
      </c>
      <c r="G13293" t="s">
        <v>2488</v>
      </c>
      <c r="H13293" s="21">
        <v>901.17</v>
      </c>
    </row>
    <row r="13294" spans="1:8" customFormat="1" x14ac:dyDescent="0.25">
      <c r="A13294" t="str">
        <f>"8516173"</f>
        <v>8516173</v>
      </c>
      <c r="B13294" t="s">
        <v>12833</v>
      </c>
      <c r="C13294" t="s">
        <v>139</v>
      </c>
      <c r="D13294" s="21" t="s">
        <v>34</v>
      </c>
      <c r="E13294" s="21" t="s">
        <v>35</v>
      </c>
      <c r="F13294">
        <v>12850118</v>
      </c>
      <c r="G13294" t="s">
        <v>6811</v>
      </c>
      <c r="H13294" s="21">
        <v>901.17</v>
      </c>
    </row>
    <row r="13295" spans="1:8" customFormat="1" x14ac:dyDescent="0.25">
      <c r="A13295" t="str">
        <f>"403527"</f>
        <v>403527</v>
      </c>
      <c r="B13295" t="s">
        <v>13333</v>
      </c>
      <c r="C13295" t="s">
        <v>2365</v>
      </c>
      <c r="D13295" s="21" t="s">
        <v>34</v>
      </c>
      <c r="E13295" s="21" t="s">
        <v>71</v>
      </c>
      <c r="F13295">
        <v>10400027</v>
      </c>
      <c r="G13295" t="s">
        <v>11595</v>
      </c>
      <c r="H13295" s="21">
        <v>901.17</v>
      </c>
    </row>
    <row r="13296" spans="1:8" customFormat="1" x14ac:dyDescent="0.25">
      <c r="A13296" t="str">
        <f>"677991"</f>
        <v>677991</v>
      </c>
      <c r="B13296" t="s">
        <v>9809</v>
      </c>
      <c r="C13296" t="s">
        <v>124</v>
      </c>
      <c r="D13296" s="21" t="s">
        <v>34</v>
      </c>
      <c r="E13296" s="21" t="s">
        <v>71</v>
      </c>
      <c r="F13296">
        <v>6670202</v>
      </c>
      <c r="G13296" t="s">
        <v>605</v>
      </c>
      <c r="H13296" s="21">
        <v>901.17</v>
      </c>
    </row>
    <row r="13297" spans="1:8" customFormat="1" x14ac:dyDescent="0.25">
      <c r="A13297" t="str">
        <f>"3716692"</f>
        <v>3716692</v>
      </c>
      <c r="B13297" t="s">
        <v>10635</v>
      </c>
      <c r="C13297" t="s">
        <v>204</v>
      </c>
      <c r="D13297" s="21" t="s">
        <v>34</v>
      </c>
      <c r="E13297" s="21" t="s">
        <v>35</v>
      </c>
      <c r="F13297">
        <v>4370033</v>
      </c>
      <c r="G13297" t="s">
        <v>7556</v>
      </c>
      <c r="H13297" s="21">
        <v>901.17</v>
      </c>
    </row>
    <row r="13298" spans="1:8" customFormat="1" x14ac:dyDescent="0.25">
      <c r="A13298" t="str">
        <f>"503919"</f>
        <v>503919</v>
      </c>
      <c r="B13298" t="s">
        <v>12123</v>
      </c>
      <c r="C13298" t="s">
        <v>62</v>
      </c>
      <c r="D13298" s="21" t="s">
        <v>34</v>
      </c>
      <c r="E13298" s="21" t="s">
        <v>35</v>
      </c>
      <c r="F13298">
        <v>3350209</v>
      </c>
      <c r="G13298" t="s">
        <v>3023</v>
      </c>
      <c r="H13298" s="21">
        <v>901.17</v>
      </c>
    </row>
    <row r="13299" spans="1:8" customFormat="1" x14ac:dyDescent="0.25">
      <c r="A13299" t="str">
        <f>"3331553"</f>
        <v>3331553</v>
      </c>
      <c r="B13299" t="s">
        <v>13026</v>
      </c>
      <c r="C13299" t="s">
        <v>33</v>
      </c>
      <c r="D13299" s="21" t="s">
        <v>34</v>
      </c>
      <c r="E13299" s="21" t="s">
        <v>71</v>
      </c>
      <c r="F13299">
        <v>10330121</v>
      </c>
      <c r="G13299" t="s">
        <v>5145</v>
      </c>
      <c r="H13299" s="21">
        <v>901.17</v>
      </c>
    </row>
    <row r="13300" spans="1:8" customFormat="1" x14ac:dyDescent="0.25">
      <c r="A13300" t="str">
        <f>"51492"</f>
        <v>51492</v>
      </c>
      <c r="B13300" t="s">
        <v>12121</v>
      </c>
      <c r="C13300" t="s">
        <v>1146</v>
      </c>
      <c r="D13300" s="21" t="s">
        <v>34</v>
      </c>
      <c r="E13300" s="21" t="s">
        <v>1089</v>
      </c>
      <c r="F13300">
        <v>6510040</v>
      </c>
      <c r="G13300" t="s">
        <v>9113</v>
      </c>
      <c r="H13300" s="21">
        <v>901.17</v>
      </c>
    </row>
    <row r="13301" spans="1:8" customFormat="1" x14ac:dyDescent="0.25">
      <c r="A13301" t="str">
        <f>"534108"</f>
        <v>534108</v>
      </c>
      <c r="B13301" t="s">
        <v>9875</v>
      </c>
      <c r="C13301" t="s">
        <v>3010</v>
      </c>
      <c r="D13301" s="21" t="s">
        <v>34</v>
      </c>
      <c r="E13301" s="21" t="s">
        <v>254</v>
      </c>
      <c r="F13301">
        <v>9610087</v>
      </c>
      <c r="G13301" t="s">
        <v>2661</v>
      </c>
      <c r="H13301" s="21">
        <v>901.17</v>
      </c>
    </row>
    <row r="13302" spans="1:8" customFormat="1" x14ac:dyDescent="0.25">
      <c r="A13302" t="str">
        <f>"278669"</f>
        <v>278669</v>
      </c>
      <c r="B13302" t="s">
        <v>6105</v>
      </c>
      <c r="C13302" t="s">
        <v>249</v>
      </c>
      <c r="D13302" s="21" t="s">
        <v>34</v>
      </c>
      <c r="E13302" s="21" t="s">
        <v>71</v>
      </c>
      <c r="F13302">
        <v>9270156</v>
      </c>
      <c r="G13302" t="s">
        <v>3751</v>
      </c>
      <c r="H13302" s="21">
        <v>901.17</v>
      </c>
    </row>
    <row r="13303" spans="1:8" customFormat="1" x14ac:dyDescent="0.25">
      <c r="A13303" t="str">
        <f>"7914332"</f>
        <v>7914332</v>
      </c>
      <c r="B13303" t="s">
        <v>630</v>
      </c>
      <c r="C13303" t="s">
        <v>249</v>
      </c>
      <c r="D13303" s="21" t="s">
        <v>34</v>
      </c>
      <c r="E13303" s="21" t="s">
        <v>71</v>
      </c>
      <c r="F13303">
        <v>10790043</v>
      </c>
      <c r="G13303" t="s">
        <v>2828</v>
      </c>
      <c r="H13303" s="21">
        <v>901.17</v>
      </c>
    </row>
    <row r="13304" spans="1:8" customFormat="1" x14ac:dyDescent="0.25">
      <c r="A13304" t="str">
        <f>"7721806"</f>
        <v>7721806</v>
      </c>
      <c r="B13304" t="s">
        <v>7586</v>
      </c>
      <c r="C13304" t="s">
        <v>3905</v>
      </c>
      <c r="D13304" s="21" t="s">
        <v>34</v>
      </c>
      <c r="E13304" s="21" t="s">
        <v>71</v>
      </c>
      <c r="F13304">
        <v>8770426</v>
      </c>
      <c r="G13304" t="s">
        <v>1847</v>
      </c>
      <c r="H13304" s="21">
        <v>901.17</v>
      </c>
    </row>
    <row r="13305" spans="1:8" customFormat="1" x14ac:dyDescent="0.25">
      <c r="A13305" t="str">
        <f>"441996"</f>
        <v>441996</v>
      </c>
      <c r="B13305" t="s">
        <v>11124</v>
      </c>
      <c r="C13305" t="s">
        <v>249</v>
      </c>
      <c r="D13305" s="21" t="s">
        <v>34</v>
      </c>
      <c r="E13305" s="21" t="s">
        <v>71</v>
      </c>
      <c r="F13305">
        <v>12440144</v>
      </c>
      <c r="G13305" t="s">
        <v>3702</v>
      </c>
      <c r="H13305" s="21">
        <v>901.17</v>
      </c>
    </row>
    <row r="13306" spans="1:8" customFormat="1" x14ac:dyDescent="0.25">
      <c r="A13306" t="str">
        <f>"1423968"</f>
        <v>1423968</v>
      </c>
      <c r="B13306" t="s">
        <v>13034</v>
      </c>
      <c r="C13306" t="s">
        <v>114</v>
      </c>
      <c r="D13306" s="21" t="s">
        <v>34</v>
      </c>
      <c r="E13306" s="21" t="s">
        <v>71</v>
      </c>
      <c r="F13306">
        <v>9140071</v>
      </c>
      <c r="G13306" t="s">
        <v>1775</v>
      </c>
      <c r="H13306" s="21">
        <v>901.17</v>
      </c>
    </row>
    <row r="13307" spans="1:8" customFormat="1" x14ac:dyDescent="0.25">
      <c r="A13307" t="str">
        <f>"4912641"</f>
        <v>4912641</v>
      </c>
      <c r="B13307" t="s">
        <v>12890</v>
      </c>
      <c r="C13307" t="s">
        <v>33</v>
      </c>
      <c r="D13307" s="21" t="s">
        <v>34</v>
      </c>
      <c r="E13307" s="21" t="s">
        <v>35</v>
      </c>
      <c r="F13307">
        <v>12490020</v>
      </c>
      <c r="G13307" t="s">
        <v>5370</v>
      </c>
      <c r="H13307" s="21">
        <v>901.17</v>
      </c>
    </row>
    <row r="13308" spans="1:8" customFormat="1" x14ac:dyDescent="0.25">
      <c r="A13308" t="str">
        <f>"6044"</f>
        <v>6044</v>
      </c>
      <c r="B13308" t="s">
        <v>8695</v>
      </c>
      <c r="C13308" t="s">
        <v>2479</v>
      </c>
      <c r="D13308" s="21" t="s">
        <v>34</v>
      </c>
      <c r="E13308" s="21" t="s">
        <v>1089</v>
      </c>
      <c r="F13308">
        <v>7600031</v>
      </c>
      <c r="G13308" t="s">
        <v>3283</v>
      </c>
      <c r="H13308" s="21">
        <v>901.04</v>
      </c>
    </row>
    <row r="13309" spans="1:8" customFormat="1" x14ac:dyDescent="0.25">
      <c r="A13309" t="str">
        <f>"6221339"</f>
        <v>6221339</v>
      </c>
      <c r="B13309" t="s">
        <v>11579</v>
      </c>
      <c r="C13309" t="s">
        <v>33</v>
      </c>
      <c r="D13309" s="21" t="s">
        <v>34</v>
      </c>
      <c r="E13309" s="21" t="s">
        <v>35</v>
      </c>
      <c r="F13309">
        <v>7620104</v>
      </c>
      <c r="G13309" t="s">
        <v>635</v>
      </c>
      <c r="H13309" s="21">
        <v>901.04</v>
      </c>
    </row>
    <row r="13310" spans="1:8" customFormat="1" x14ac:dyDescent="0.25">
      <c r="A13310" t="str">
        <f>"891015"</f>
        <v>891015</v>
      </c>
      <c r="B13310" t="s">
        <v>4212</v>
      </c>
      <c r="C13310" t="s">
        <v>1665</v>
      </c>
      <c r="D13310" s="21" t="s">
        <v>34</v>
      </c>
      <c r="E13310" s="21" t="s">
        <v>1089</v>
      </c>
      <c r="F13310">
        <v>2890010</v>
      </c>
      <c r="G13310" t="s">
        <v>3790</v>
      </c>
      <c r="H13310" s="21">
        <v>900.92</v>
      </c>
    </row>
    <row r="13311" spans="1:8" customFormat="1" x14ac:dyDescent="0.25">
      <c r="A13311" t="str">
        <f>"4455948"</f>
        <v>4455948</v>
      </c>
      <c r="B13311" t="s">
        <v>14138</v>
      </c>
      <c r="C13311" t="s">
        <v>209</v>
      </c>
      <c r="D13311" s="21" t="s">
        <v>34</v>
      </c>
      <c r="E13311" s="21" t="s">
        <v>71</v>
      </c>
      <c r="F13311">
        <v>12440016</v>
      </c>
      <c r="G13311" t="s">
        <v>7288</v>
      </c>
      <c r="H13311" s="21">
        <v>900.92</v>
      </c>
    </row>
    <row r="13312" spans="1:8" customFormat="1" x14ac:dyDescent="0.25">
      <c r="A13312" t="str">
        <f>"9420189"</f>
        <v>9420189</v>
      </c>
      <c r="B13312" t="s">
        <v>13120</v>
      </c>
      <c r="C13312" t="s">
        <v>204</v>
      </c>
      <c r="D13312" s="21" t="s">
        <v>34</v>
      </c>
      <c r="E13312" s="21" t="s">
        <v>71</v>
      </c>
      <c r="F13312">
        <v>4360481</v>
      </c>
      <c r="G13312" t="s">
        <v>12957</v>
      </c>
      <c r="H13312" s="21">
        <v>900.92</v>
      </c>
    </row>
    <row r="13313" spans="1:8" customFormat="1" x14ac:dyDescent="0.25">
      <c r="A13313" t="str">
        <f>"9143156"</f>
        <v>9143156</v>
      </c>
      <c r="B13313" t="s">
        <v>14908</v>
      </c>
      <c r="C13313" t="s">
        <v>43</v>
      </c>
      <c r="D13313" s="21" t="s">
        <v>34</v>
      </c>
      <c r="E13313" s="21" t="s">
        <v>35</v>
      </c>
      <c r="F13313">
        <v>8911083</v>
      </c>
      <c r="G13313" t="s">
        <v>7357</v>
      </c>
      <c r="H13313" s="21">
        <v>900.79</v>
      </c>
    </row>
    <row r="13314" spans="1:8" customFormat="1" x14ac:dyDescent="0.25">
      <c r="A13314" t="str">
        <f>"54767"</f>
        <v>54767</v>
      </c>
      <c r="B13314" t="s">
        <v>556</v>
      </c>
      <c r="C13314" t="s">
        <v>2520</v>
      </c>
      <c r="D13314" s="21" t="s">
        <v>34</v>
      </c>
      <c r="E13314" s="21" t="s">
        <v>71</v>
      </c>
      <c r="F13314">
        <v>6540036</v>
      </c>
      <c r="G13314" t="s">
        <v>3612</v>
      </c>
      <c r="H13314" s="21">
        <v>900.67</v>
      </c>
    </row>
    <row r="13315" spans="1:8" customFormat="1" x14ac:dyDescent="0.25">
      <c r="A13315" t="str">
        <f>"56364"</f>
        <v>56364</v>
      </c>
      <c r="B13315" t="s">
        <v>11634</v>
      </c>
      <c r="C13315" t="s">
        <v>239</v>
      </c>
      <c r="D13315" s="21" t="s">
        <v>34</v>
      </c>
      <c r="E13315" s="21" t="s">
        <v>254</v>
      </c>
      <c r="F13315">
        <v>3560043</v>
      </c>
      <c r="G13315" t="s">
        <v>11635</v>
      </c>
      <c r="H13315" s="21">
        <v>900.67</v>
      </c>
    </row>
    <row r="13316" spans="1:8" customFormat="1" x14ac:dyDescent="0.25">
      <c r="A13316" t="str">
        <f>"7627246"</f>
        <v>7627246</v>
      </c>
      <c r="B13316" t="s">
        <v>556</v>
      </c>
      <c r="C13316" t="s">
        <v>55</v>
      </c>
      <c r="D13316" s="21" t="s">
        <v>34</v>
      </c>
      <c r="E13316" s="21" t="s">
        <v>71</v>
      </c>
      <c r="F13316">
        <v>9760448</v>
      </c>
      <c r="G13316" t="s">
        <v>11345</v>
      </c>
      <c r="H13316" s="21">
        <v>900.67</v>
      </c>
    </row>
    <row r="13317" spans="1:8" customFormat="1" x14ac:dyDescent="0.25">
      <c r="A13317" t="str">
        <f>"6918887"</f>
        <v>6918887</v>
      </c>
      <c r="B13317" t="s">
        <v>12762</v>
      </c>
      <c r="C13317" t="s">
        <v>156</v>
      </c>
      <c r="D13317" s="21" t="s">
        <v>34</v>
      </c>
      <c r="E13317" s="21" t="s">
        <v>71</v>
      </c>
      <c r="F13317">
        <v>1690185</v>
      </c>
      <c r="G13317" t="s">
        <v>10841</v>
      </c>
      <c r="H13317" s="21">
        <v>900.67</v>
      </c>
    </row>
    <row r="13318" spans="1:8" customFormat="1" x14ac:dyDescent="0.25">
      <c r="A13318" t="str">
        <f>"113318"</f>
        <v>113318</v>
      </c>
      <c r="B13318" t="s">
        <v>13296</v>
      </c>
      <c r="C13318" t="s">
        <v>33</v>
      </c>
      <c r="D13318" s="21" t="s">
        <v>34</v>
      </c>
      <c r="E13318" s="21" t="s">
        <v>71</v>
      </c>
      <c r="F13318">
        <v>11110001</v>
      </c>
      <c r="G13318" t="s">
        <v>11560</v>
      </c>
      <c r="H13318" s="21">
        <v>900.67</v>
      </c>
    </row>
    <row r="13319" spans="1:8" customFormat="1" x14ac:dyDescent="0.25">
      <c r="A13319" t="str">
        <f>"51474"</f>
        <v>51474</v>
      </c>
      <c r="B13319" t="s">
        <v>11532</v>
      </c>
      <c r="C13319" t="s">
        <v>412</v>
      </c>
      <c r="D13319" s="21" t="s">
        <v>34</v>
      </c>
      <c r="E13319" s="21" t="s">
        <v>1089</v>
      </c>
      <c r="F13319">
        <v>6510036</v>
      </c>
      <c r="G13319" t="s">
        <v>2902</v>
      </c>
      <c r="H13319" s="21">
        <v>900.67</v>
      </c>
    </row>
    <row r="13320" spans="1:8" customFormat="1" x14ac:dyDescent="0.25">
      <c r="A13320" t="str">
        <f>"841180"</f>
        <v>841180</v>
      </c>
      <c r="B13320" t="s">
        <v>11752</v>
      </c>
      <c r="C13320" t="s">
        <v>2546</v>
      </c>
      <c r="D13320" s="21" t="s">
        <v>34</v>
      </c>
      <c r="E13320" s="21" t="s">
        <v>254</v>
      </c>
      <c r="F13320">
        <v>13840006</v>
      </c>
      <c r="G13320" t="s">
        <v>10139</v>
      </c>
      <c r="H13320" s="21">
        <v>900.67</v>
      </c>
    </row>
    <row r="13321" spans="1:8" customFormat="1" x14ac:dyDescent="0.25">
      <c r="A13321" t="str">
        <f>"414269"</f>
        <v>414269</v>
      </c>
      <c r="B13321" t="s">
        <v>12450</v>
      </c>
      <c r="C13321" t="s">
        <v>263</v>
      </c>
      <c r="D13321" s="21" t="s">
        <v>34</v>
      </c>
      <c r="E13321" s="21" t="s">
        <v>254</v>
      </c>
      <c r="F13321">
        <v>4410612</v>
      </c>
      <c r="G13321" t="s">
        <v>815</v>
      </c>
      <c r="H13321" s="21">
        <v>900.67</v>
      </c>
    </row>
    <row r="13322" spans="1:8" customFormat="1" x14ac:dyDescent="0.25">
      <c r="A13322" t="str">
        <f>"8584"</f>
        <v>8584</v>
      </c>
      <c r="B13322" t="s">
        <v>11128</v>
      </c>
      <c r="C13322" t="s">
        <v>263</v>
      </c>
      <c r="D13322" s="21" t="s">
        <v>34</v>
      </c>
      <c r="E13322" s="21" t="s">
        <v>71</v>
      </c>
      <c r="F13322">
        <v>12851011</v>
      </c>
      <c r="G13322" t="s">
        <v>1445</v>
      </c>
      <c r="H13322" s="21">
        <v>900.67</v>
      </c>
    </row>
    <row r="13323" spans="1:8" customFormat="1" x14ac:dyDescent="0.25">
      <c r="A13323" t="str">
        <f>"601404"</f>
        <v>601404</v>
      </c>
      <c r="B13323" t="s">
        <v>11845</v>
      </c>
      <c r="C13323" t="s">
        <v>119</v>
      </c>
      <c r="D13323" s="21" t="s">
        <v>34</v>
      </c>
      <c r="E13323" s="21" t="s">
        <v>71</v>
      </c>
      <c r="F13323">
        <v>7600037</v>
      </c>
      <c r="G13323" t="s">
        <v>7185</v>
      </c>
      <c r="H13323" s="21">
        <v>900.67</v>
      </c>
    </row>
    <row r="13324" spans="1:8" customFormat="1" x14ac:dyDescent="0.25">
      <c r="A13324" t="str">
        <f>"95573"</f>
        <v>95573</v>
      </c>
      <c r="B13324" t="s">
        <v>990</v>
      </c>
      <c r="C13324" t="s">
        <v>267</v>
      </c>
      <c r="D13324" s="21" t="s">
        <v>34</v>
      </c>
      <c r="E13324" s="21" t="s">
        <v>254</v>
      </c>
      <c r="F13324">
        <v>9270069</v>
      </c>
      <c r="G13324" t="s">
        <v>3509</v>
      </c>
      <c r="H13324" s="21">
        <v>900.67</v>
      </c>
    </row>
    <row r="13325" spans="1:8" customFormat="1" x14ac:dyDescent="0.25">
      <c r="A13325" t="str">
        <f>"9450438"</f>
        <v>9450438</v>
      </c>
      <c r="B13325" t="s">
        <v>12395</v>
      </c>
      <c r="C13325" t="s">
        <v>7441</v>
      </c>
      <c r="D13325" s="21" t="s">
        <v>34</v>
      </c>
      <c r="E13325" s="21" t="s">
        <v>254</v>
      </c>
      <c r="F13325">
        <v>8940975</v>
      </c>
      <c r="G13325" t="s">
        <v>7959</v>
      </c>
      <c r="H13325" s="21">
        <v>900.67</v>
      </c>
    </row>
    <row r="13326" spans="1:8" customFormat="1" x14ac:dyDescent="0.25">
      <c r="A13326" t="str">
        <f>"3326954"</f>
        <v>3326954</v>
      </c>
      <c r="B13326" t="s">
        <v>12301</v>
      </c>
      <c r="C13326" t="s">
        <v>209</v>
      </c>
      <c r="D13326" s="21" t="s">
        <v>34</v>
      </c>
      <c r="E13326" s="21" t="s">
        <v>71</v>
      </c>
      <c r="F13326">
        <v>10330084</v>
      </c>
      <c r="G13326" t="s">
        <v>1124</v>
      </c>
      <c r="H13326" s="21">
        <v>900.67</v>
      </c>
    </row>
    <row r="13327" spans="1:8" customFormat="1" x14ac:dyDescent="0.25">
      <c r="A13327" t="str">
        <f>"5011075"</f>
        <v>5011075</v>
      </c>
      <c r="B13327" t="s">
        <v>12540</v>
      </c>
      <c r="C13327" t="s">
        <v>598</v>
      </c>
      <c r="D13327" s="21" t="s">
        <v>34</v>
      </c>
      <c r="E13327" s="21" t="s">
        <v>254</v>
      </c>
      <c r="F13327">
        <v>9500121</v>
      </c>
      <c r="G13327" t="s">
        <v>7360</v>
      </c>
      <c r="H13327" s="21">
        <v>900.67</v>
      </c>
    </row>
    <row r="13328" spans="1:8" customFormat="1" x14ac:dyDescent="0.25">
      <c r="A13328" t="str">
        <f>"5410679"</f>
        <v>5410679</v>
      </c>
      <c r="B13328" t="s">
        <v>12699</v>
      </c>
      <c r="C13328" t="s">
        <v>65</v>
      </c>
      <c r="D13328" s="21" t="s">
        <v>34</v>
      </c>
      <c r="E13328" s="21" t="s">
        <v>35</v>
      </c>
      <c r="F13328">
        <v>6540108</v>
      </c>
      <c r="G13328" t="s">
        <v>4340</v>
      </c>
      <c r="H13328" s="21">
        <v>900.67</v>
      </c>
    </row>
    <row r="13329" spans="1:8" customFormat="1" x14ac:dyDescent="0.25">
      <c r="A13329" t="str">
        <f>"3113794"</f>
        <v>3113794</v>
      </c>
      <c r="B13329" t="s">
        <v>27293</v>
      </c>
      <c r="C13329" t="s">
        <v>239</v>
      </c>
      <c r="D13329" s="21" t="s">
        <v>34</v>
      </c>
      <c r="E13329" s="21" t="s">
        <v>71</v>
      </c>
      <c r="F13329">
        <v>11310011</v>
      </c>
      <c r="G13329" t="s">
        <v>26586</v>
      </c>
      <c r="H13329" s="21">
        <v>900.42</v>
      </c>
    </row>
    <row r="13330" spans="1:8" customFormat="1" x14ac:dyDescent="0.25">
      <c r="A13330" t="str">
        <f>"538360"</f>
        <v>538360</v>
      </c>
      <c r="B13330" t="s">
        <v>3758</v>
      </c>
      <c r="C13330" t="s">
        <v>547</v>
      </c>
      <c r="D13330" s="21" t="s">
        <v>34</v>
      </c>
      <c r="E13330" s="21" t="s">
        <v>254</v>
      </c>
      <c r="F13330">
        <v>12530144</v>
      </c>
      <c r="G13330" t="s">
        <v>10892</v>
      </c>
      <c r="H13330" s="21">
        <v>900.42</v>
      </c>
    </row>
    <row r="13331" spans="1:8" customFormat="1" x14ac:dyDescent="0.25">
      <c r="A13331" t="str">
        <f>"8522085"</f>
        <v>8522085</v>
      </c>
      <c r="B13331" t="s">
        <v>14865</v>
      </c>
      <c r="C13331" t="s">
        <v>750</v>
      </c>
      <c r="D13331" s="21" t="s">
        <v>34</v>
      </c>
      <c r="E13331" s="21" t="s">
        <v>35</v>
      </c>
      <c r="F13331">
        <v>12850136</v>
      </c>
      <c r="G13331" t="s">
        <v>2536</v>
      </c>
      <c r="H13331" s="21">
        <v>900.42</v>
      </c>
    </row>
    <row r="13332" spans="1:8" customFormat="1" x14ac:dyDescent="0.25">
      <c r="A13332" t="str">
        <f>"4937116"</f>
        <v>4937116</v>
      </c>
      <c r="B13332" t="s">
        <v>12219</v>
      </c>
      <c r="C13332" t="s">
        <v>453</v>
      </c>
      <c r="D13332" s="21" t="s">
        <v>34</v>
      </c>
      <c r="E13332" s="21" t="s">
        <v>71</v>
      </c>
      <c r="F13332">
        <v>12490092</v>
      </c>
      <c r="G13332" t="s">
        <v>1854</v>
      </c>
      <c r="H13332" s="21">
        <v>900.17</v>
      </c>
    </row>
    <row r="13333" spans="1:8" customFormat="1" x14ac:dyDescent="0.25">
      <c r="A13333" t="str">
        <f>"8525584"</f>
        <v>8525584</v>
      </c>
      <c r="B13333" t="s">
        <v>2231</v>
      </c>
      <c r="C13333" t="s">
        <v>1887</v>
      </c>
      <c r="D13333" s="21" t="s">
        <v>34</v>
      </c>
      <c r="E13333" s="21" t="s">
        <v>71</v>
      </c>
      <c r="F13333">
        <v>12850001</v>
      </c>
      <c r="G13333" t="s">
        <v>1197</v>
      </c>
      <c r="H13333" s="21">
        <v>900.17</v>
      </c>
    </row>
    <row r="13334" spans="1:8" customFormat="1" x14ac:dyDescent="0.25">
      <c r="A13334" t="str">
        <f>"9535746"</f>
        <v>9535746</v>
      </c>
      <c r="B13334" t="s">
        <v>13932</v>
      </c>
      <c r="C13334" t="s">
        <v>13933</v>
      </c>
      <c r="D13334" s="21" t="s">
        <v>34</v>
      </c>
      <c r="E13334" s="21" t="s">
        <v>35</v>
      </c>
      <c r="F13334">
        <v>8950570</v>
      </c>
      <c r="G13334" t="s">
        <v>3226</v>
      </c>
      <c r="H13334" s="21">
        <v>900.17</v>
      </c>
    </row>
    <row r="13335" spans="1:8" customFormat="1" x14ac:dyDescent="0.25">
      <c r="A13335" t="str">
        <f>"904360"</f>
        <v>904360</v>
      </c>
      <c r="B13335" t="s">
        <v>12307</v>
      </c>
      <c r="C13335" t="s">
        <v>1665</v>
      </c>
      <c r="D13335" s="21" t="s">
        <v>34</v>
      </c>
      <c r="E13335" s="21" t="s">
        <v>35</v>
      </c>
      <c r="F13335">
        <v>2900028</v>
      </c>
      <c r="G13335" t="s">
        <v>1541</v>
      </c>
      <c r="H13335" s="21">
        <v>900.17</v>
      </c>
    </row>
    <row r="13336" spans="1:8" customFormat="1" x14ac:dyDescent="0.25">
      <c r="A13336" t="str">
        <f>"2814364"</f>
        <v>2814364</v>
      </c>
      <c r="B13336" t="s">
        <v>11508</v>
      </c>
      <c r="C13336" t="s">
        <v>1559</v>
      </c>
      <c r="D13336" s="21" t="s">
        <v>34</v>
      </c>
      <c r="E13336" s="21" t="s">
        <v>35</v>
      </c>
      <c r="F13336">
        <v>4280617</v>
      </c>
      <c r="G13336" t="s">
        <v>8540</v>
      </c>
      <c r="H13336" s="21">
        <v>900.17</v>
      </c>
    </row>
    <row r="13337" spans="1:8" customFormat="1" x14ac:dyDescent="0.25">
      <c r="A13337" t="str">
        <f>"348"</f>
        <v>348</v>
      </c>
      <c r="B13337" t="s">
        <v>11901</v>
      </c>
      <c r="C13337" t="s">
        <v>253</v>
      </c>
      <c r="D13337" s="21" t="s">
        <v>34</v>
      </c>
      <c r="E13337" s="21" t="s">
        <v>1089</v>
      </c>
      <c r="F13337">
        <v>11340013</v>
      </c>
      <c r="G13337" t="s">
        <v>11430</v>
      </c>
      <c r="H13337" s="21">
        <v>900.17</v>
      </c>
    </row>
    <row r="13338" spans="1:8" customFormat="1" x14ac:dyDescent="0.25">
      <c r="A13338" t="str">
        <f>"6813915"</f>
        <v>6813915</v>
      </c>
      <c r="B13338" t="s">
        <v>12306</v>
      </c>
      <c r="C13338" t="s">
        <v>879</v>
      </c>
      <c r="D13338" s="21" t="s">
        <v>34</v>
      </c>
      <c r="E13338" s="21" t="s">
        <v>1089</v>
      </c>
      <c r="F13338">
        <v>6680138</v>
      </c>
      <c r="G13338" t="s">
        <v>10497</v>
      </c>
      <c r="H13338" s="21">
        <v>900.17</v>
      </c>
    </row>
    <row r="13339" spans="1:8" customFormat="1" x14ac:dyDescent="0.25">
      <c r="A13339" t="str">
        <f>"8017926"</f>
        <v>8017926</v>
      </c>
      <c r="B13339" t="s">
        <v>8525</v>
      </c>
      <c r="C13339" t="s">
        <v>263</v>
      </c>
      <c r="D13339" s="21" t="s">
        <v>34</v>
      </c>
      <c r="E13339" s="21" t="s">
        <v>71</v>
      </c>
      <c r="F13339">
        <v>7800149</v>
      </c>
      <c r="G13339" t="s">
        <v>12618</v>
      </c>
      <c r="H13339" s="21">
        <v>900.17</v>
      </c>
    </row>
    <row r="13340" spans="1:8" customFormat="1" x14ac:dyDescent="0.25">
      <c r="A13340" t="str">
        <f>"951730"</f>
        <v>951730</v>
      </c>
      <c r="B13340" t="s">
        <v>11713</v>
      </c>
      <c r="C13340" t="s">
        <v>2305</v>
      </c>
      <c r="D13340" s="21" t="s">
        <v>34</v>
      </c>
      <c r="E13340" s="21" t="s">
        <v>254</v>
      </c>
      <c r="F13340">
        <v>7590016</v>
      </c>
      <c r="G13340" t="s">
        <v>5653</v>
      </c>
      <c r="H13340" s="21">
        <v>900.17</v>
      </c>
    </row>
    <row r="13341" spans="1:8" customFormat="1" x14ac:dyDescent="0.25">
      <c r="A13341" t="str">
        <f>"2718354"</f>
        <v>2718354</v>
      </c>
      <c r="B13341" t="s">
        <v>12318</v>
      </c>
      <c r="C13341" t="s">
        <v>109</v>
      </c>
      <c r="D13341" s="21" t="s">
        <v>34</v>
      </c>
      <c r="E13341" s="21" t="s">
        <v>71</v>
      </c>
      <c r="F13341">
        <v>9270151</v>
      </c>
      <c r="G13341" t="s">
        <v>626</v>
      </c>
      <c r="H13341" s="21">
        <v>900.17</v>
      </c>
    </row>
    <row r="13342" spans="1:8" customFormat="1" x14ac:dyDescent="0.25">
      <c r="A13342" t="str">
        <f>"5937111"</f>
        <v>5937111</v>
      </c>
      <c r="B13342" t="s">
        <v>9640</v>
      </c>
      <c r="C13342" t="s">
        <v>187</v>
      </c>
      <c r="D13342" s="21" t="s">
        <v>34</v>
      </c>
      <c r="E13342" s="21" t="s">
        <v>71</v>
      </c>
      <c r="F13342">
        <v>7590075</v>
      </c>
      <c r="G13342" t="s">
        <v>6459</v>
      </c>
      <c r="H13342" s="21">
        <v>900.17</v>
      </c>
    </row>
    <row r="13343" spans="1:8" customFormat="1" x14ac:dyDescent="0.25">
      <c r="A13343" t="str">
        <f>"1312190"</f>
        <v>1312190</v>
      </c>
      <c r="B13343" t="s">
        <v>11538</v>
      </c>
      <c r="C13343" t="s">
        <v>239</v>
      </c>
      <c r="D13343" s="21" t="s">
        <v>34</v>
      </c>
      <c r="E13343" s="21" t="s">
        <v>71</v>
      </c>
      <c r="F13343">
        <v>13130158</v>
      </c>
      <c r="G13343" t="s">
        <v>3215</v>
      </c>
      <c r="H13343" s="21">
        <v>900.17</v>
      </c>
    </row>
    <row r="13344" spans="1:8" customFormat="1" x14ac:dyDescent="0.25">
      <c r="A13344" t="str">
        <f>"2510182"</f>
        <v>2510182</v>
      </c>
      <c r="B13344" t="s">
        <v>12074</v>
      </c>
      <c r="C13344" t="s">
        <v>204</v>
      </c>
      <c r="D13344" s="21" t="s">
        <v>34</v>
      </c>
      <c r="E13344" s="21" t="s">
        <v>71</v>
      </c>
      <c r="F13344">
        <v>2250095</v>
      </c>
      <c r="G13344" t="s">
        <v>6394</v>
      </c>
      <c r="H13344" s="21">
        <v>900.17</v>
      </c>
    </row>
    <row r="13345" spans="1:8" customFormat="1" x14ac:dyDescent="0.25">
      <c r="A13345" t="str">
        <f>"5944265"</f>
        <v>5944265</v>
      </c>
      <c r="B13345" t="s">
        <v>4745</v>
      </c>
      <c r="C13345" t="s">
        <v>209</v>
      </c>
      <c r="D13345" s="21" t="s">
        <v>34</v>
      </c>
      <c r="E13345" s="21" t="s">
        <v>71</v>
      </c>
      <c r="F13345">
        <v>7590182</v>
      </c>
      <c r="G13345" t="s">
        <v>172</v>
      </c>
      <c r="H13345" s="21">
        <v>900.17</v>
      </c>
    </row>
    <row r="13346" spans="1:8" customFormat="1" x14ac:dyDescent="0.25">
      <c r="A13346" t="str">
        <f>"5315758"</f>
        <v>5315758</v>
      </c>
      <c r="B13346" t="s">
        <v>402</v>
      </c>
      <c r="C13346" t="s">
        <v>547</v>
      </c>
      <c r="D13346" s="21" t="s">
        <v>34</v>
      </c>
      <c r="E13346" s="21" t="s">
        <v>1089</v>
      </c>
      <c r="F13346">
        <v>11650014</v>
      </c>
      <c r="G13346" t="s">
        <v>9313</v>
      </c>
      <c r="H13346" s="21">
        <v>900</v>
      </c>
    </row>
    <row r="13347" spans="1:8" customFormat="1" x14ac:dyDescent="0.25">
      <c r="A13347" t="str">
        <f>"7832374"</f>
        <v>7832374</v>
      </c>
      <c r="B13347" t="s">
        <v>4095</v>
      </c>
      <c r="C13347" t="s">
        <v>576</v>
      </c>
      <c r="D13347" s="21" t="s">
        <v>34</v>
      </c>
      <c r="E13347" s="21" t="s">
        <v>35</v>
      </c>
      <c r="F13347">
        <v>8780108</v>
      </c>
      <c r="G13347" t="s">
        <v>4329</v>
      </c>
      <c r="H13347" s="21">
        <v>899.92</v>
      </c>
    </row>
    <row r="13348" spans="1:8" customFormat="1" x14ac:dyDescent="0.25">
      <c r="A13348" t="str">
        <f>"5324326"</f>
        <v>5324326</v>
      </c>
      <c r="B13348" t="s">
        <v>11401</v>
      </c>
      <c r="C13348" t="s">
        <v>37</v>
      </c>
      <c r="D13348" s="21" t="s">
        <v>34</v>
      </c>
      <c r="E13348" s="21" t="s">
        <v>35</v>
      </c>
      <c r="F13348">
        <v>12530090</v>
      </c>
      <c r="G13348" t="s">
        <v>6132</v>
      </c>
      <c r="H13348" s="21">
        <v>899.92</v>
      </c>
    </row>
    <row r="13349" spans="1:8" customFormat="1" x14ac:dyDescent="0.25">
      <c r="A13349" t="str">
        <f>"37198"</f>
        <v>37198</v>
      </c>
      <c r="B13349" t="s">
        <v>25566</v>
      </c>
      <c r="C13349" t="s">
        <v>156</v>
      </c>
      <c r="D13349" s="21" t="s">
        <v>34</v>
      </c>
      <c r="E13349" s="21" t="s">
        <v>254</v>
      </c>
      <c r="F13349">
        <v>4370548</v>
      </c>
      <c r="G13349" t="s">
        <v>7106</v>
      </c>
      <c r="H13349" s="21">
        <v>899.67</v>
      </c>
    </row>
    <row r="13350" spans="1:8" customFormat="1" x14ac:dyDescent="0.25">
      <c r="A13350" t="str">
        <f>"798230"</f>
        <v>798230</v>
      </c>
      <c r="B13350" t="s">
        <v>465</v>
      </c>
      <c r="C13350" t="s">
        <v>302</v>
      </c>
      <c r="D13350" s="21" t="s">
        <v>34</v>
      </c>
      <c r="E13350" s="21" t="s">
        <v>35</v>
      </c>
      <c r="F13350">
        <v>10790162</v>
      </c>
      <c r="G13350" t="s">
        <v>6039</v>
      </c>
      <c r="H13350" s="21">
        <v>899.67</v>
      </c>
    </row>
    <row r="13351" spans="1:8" customFormat="1" x14ac:dyDescent="0.25">
      <c r="A13351" t="str">
        <f>"8310906"</f>
        <v>8310906</v>
      </c>
      <c r="B13351" t="s">
        <v>4038</v>
      </c>
      <c r="C13351" t="s">
        <v>1597</v>
      </c>
      <c r="D13351" s="21" t="s">
        <v>34</v>
      </c>
      <c r="E13351" s="21" t="s">
        <v>1089</v>
      </c>
      <c r="F13351">
        <v>13830016</v>
      </c>
      <c r="G13351" t="s">
        <v>12055</v>
      </c>
      <c r="H13351" s="21">
        <v>899.67</v>
      </c>
    </row>
    <row r="13352" spans="1:8" customFormat="1" x14ac:dyDescent="0.25">
      <c r="A13352" t="str">
        <f>"227430"</f>
        <v>227430</v>
      </c>
      <c r="B13352" t="s">
        <v>11551</v>
      </c>
      <c r="C13352" t="s">
        <v>462</v>
      </c>
      <c r="D13352" s="21" t="s">
        <v>34</v>
      </c>
      <c r="E13352" s="21" t="s">
        <v>71</v>
      </c>
      <c r="F13352">
        <v>3220005</v>
      </c>
      <c r="G13352" t="s">
        <v>26718</v>
      </c>
      <c r="H13352" s="21">
        <v>899.67</v>
      </c>
    </row>
    <row r="13353" spans="1:8" customFormat="1" x14ac:dyDescent="0.25">
      <c r="A13353" t="str">
        <f>"774302"</f>
        <v>774302</v>
      </c>
      <c r="B13353" t="s">
        <v>1103</v>
      </c>
      <c r="C13353" t="s">
        <v>269</v>
      </c>
      <c r="D13353" s="21" t="s">
        <v>34</v>
      </c>
      <c r="E13353" s="21" t="s">
        <v>71</v>
      </c>
      <c r="F13353">
        <v>8780902</v>
      </c>
      <c r="G13353" t="s">
        <v>6390</v>
      </c>
      <c r="H13353" s="21">
        <v>899.67</v>
      </c>
    </row>
    <row r="13354" spans="1:8" customFormat="1" x14ac:dyDescent="0.25">
      <c r="A13354" t="str">
        <f>"939545"</f>
        <v>939545</v>
      </c>
      <c r="B13354" t="s">
        <v>13551</v>
      </c>
      <c r="C13354" t="s">
        <v>209</v>
      </c>
      <c r="D13354" s="21" t="s">
        <v>34</v>
      </c>
      <c r="E13354" s="21" t="s">
        <v>254</v>
      </c>
      <c r="F13354">
        <v>11810028</v>
      </c>
      <c r="G13354" t="s">
        <v>5817</v>
      </c>
      <c r="H13354" s="21">
        <v>899.67</v>
      </c>
    </row>
    <row r="13355" spans="1:8" customFormat="1" x14ac:dyDescent="0.25">
      <c r="A13355" t="str">
        <f>"3325758"</f>
        <v>3325758</v>
      </c>
      <c r="B13355" t="s">
        <v>13978</v>
      </c>
      <c r="C13355" t="s">
        <v>119</v>
      </c>
      <c r="D13355" s="21" t="s">
        <v>34</v>
      </c>
      <c r="E13355" s="21" t="s">
        <v>71</v>
      </c>
      <c r="F13355">
        <v>10330020</v>
      </c>
      <c r="G13355" t="s">
        <v>7481</v>
      </c>
      <c r="H13355" s="21">
        <v>899.67</v>
      </c>
    </row>
    <row r="13356" spans="1:8" customFormat="1" x14ac:dyDescent="0.25">
      <c r="A13356" t="str">
        <f>"5317706"</f>
        <v>5317706</v>
      </c>
      <c r="B13356" t="s">
        <v>7653</v>
      </c>
      <c r="C13356" t="s">
        <v>2907</v>
      </c>
      <c r="D13356" s="21" t="s">
        <v>34</v>
      </c>
      <c r="E13356" s="21" t="s">
        <v>35</v>
      </c>
      <c r="F13356">
        <v>12530146</v>
      </c>
      <c r="G13356" t="s">
        <v>10916</v>
      </c>
      <c r="H13356" s="21">
        <v>899.67</v>
      </c>
    </row>
    <row r="13357" spans="1:8" customFormat="1" x14ac:dyDescent="0.25">
      <c r="A13357" t="str">
        <f>"4451106"</f>
        <v>4451106</v>
      </c>
      <c r="B13357" t="s">
        <v>12359</v>
      </c>
      <c r="C13357" t="s">
        <v>1812</v>
      </c>
      <c r="D13357" s="21" t="s">
        <v>34</v>
      </c>
      <c r="E13357" s="21" t="s">
        <v>71</v>
      </c>
      <c r="F13357">
        <v>12440020</v>
      </c>
      <c r="G13357" t="s">
        <v>4606</v>
      </c>
      <c r="H13357" s="21">
        <v>899.67</v>
      </c>
    </row>
    <row r="13358" spans="1:8" customFormat="1" x14ac:dyDescent="0.25">
      <c r="A13358" t="str">
        <f>"6221230"</f>
        <v>6221230</v>
      </c>
      <c r="B13358" t="s">
        <v>1212</v>
      </c>
      <c r="C13358" t="s">
        <v>60</v>
      </c>
      <c r="D13358" s="21" t="s">
        <v>34</v>
      </c>
      <c r="E13358" s="21" t="s">
        <v>71</v>
      </c>
      <c r="F13358">
        <v>7620007</v>
      </c>
      <c r="G13358" t="s">
        <v>2133</v>
      </c>
      <c r="H13358" s="21">
        <v>899.67</v>
      </c>
    </row>
    <row r="13359" spans="1:8" customFormat="1" x14ac:dyDescent="0.25">
      <c r="A13359" t="str">
        <f>"3320547"</f>
        <v>3320547</v>
      </c>
      <c r="B13359" t="s">
        <v>821</v>
      </c>
      <c r="C13359" t="s">
        <v>3115</v>
      </c>
      <c r="D13359" s="21" t="s">
        <v>34</v>
      </c>
      <c r="E13359" s="21" t="s">
        <v>71</v>
      </c>
      <c r="F13359">
        <v>12440176</v>
      </c>
      <c r="G13359" t="s">
        <v>1020</v>
      </c>
      <c r="H13359" s="21">
        <v>899.67</v>
      </c>
    </row>
    <row r="13360" spans="1:8" customFormat="1" x14ac:dyDescent="0.25">
      <c r="A13360" t="str">
        <f>"3112202"</f>
        <v>3112202</v>
      </c>
      <c r="B13360" t="s">
        <v>136</v>
      </c>
      <c r="C13360" t="s">
        <v>320</v>
      </c>
      <c r="D13360" s="21" t="s">
        <v>34</v>
      </c>
      <c r="E13360" s="21" t="s">
        <v>35</v>
      </c>
      <c r="F13360">
        <v>11310064</v>
      </c>
      <c r="G13360" t="s">
        <v>931</v>
      </c>
      <c r="H13360" s="21">
        <v>899.67</v>
      </c>
    </row>
    <row r="13361" spans="1:8" customFormat="1" x14ac:dyDescent="0.25">
      <c r="A13361" t="str">
        <f>"195240"</f>
        <v>195240</v>
      </c>
      <c r="B13361" t="s">
        <v>11032</v>
      </c>
      <c r="C13361" t="s">
        <v>209</v>
      </c>
      <c r="D13361" s="21" t="s">
        <v>34</v>
      </c>
      <c r="E13361" s="21" t="s">
        <v>71</v>
      </c>
      <c r="F13361">
        <v>10870117</v>
      </c>
      <c r="G13361" t="s">
        <v>3139</v>
      </c>
      <c r="H13361" s="21">
        <v>899.67</v>
      </c>
    </row>
    <row r="13362" spans="1:8" customFormat="1" x14ac:dyDescent="0.25">
      <c r="A13362" t="str">
        <f>"5727907"</f>
        <v>5727907</v>
      </c>
      <c r="B13362" t="s">
        <v>11647</v>
      </c>
      <c r="C13362" t="s">
        <v>1025</v>
      </c>
      <c r="D13362" s="21" t="s">
        <v>34</v>
      </c>
      <c r="E13362" s="21" t="s">
        <v>35</v>
      </c>
      <c r="F13362">
        <v>6570107</v>
      </c>
      <c r="G13362" t="s">
        <v>5598</v>
      </c>
      <c r="H13362" s="21">
        <v>899.67</v>
      </c>
    </row>
    <row r="13363" spans="1:8" customFormat="1" x14ac:dyDescent="0.25">
      <c r="A13363" t="str">
        <f>"957680"</f>
        <v>957680</v>
      </c>
      <c r="B13363" t="s">
        <v>765</v>
      </c>
      <c r="C13363" t="s">
        <v>1914</v>
      </c>
      <c r="D13363" s="21" t="s">
        <v>34</v>
      </c>
      <c r="E13363" s="21" t="s">
        <v>254</v>
      </c>
      <c r="F13363">
        <v>8951273</v>
      </c>
      <c r="G13363" t="s">
        <v>2382</v>
      </c>
      <c r="H13363" s="21">
        <v>899.67</v>
      </c>
    </row>
    <row r="13364" spans="1:8" customFormat="1" x14ac:dyDescent="0.25">
      <c r="A13364" t="str">
        <f>"42911"</f>
        <v>42911</v>
      </c>
      <c r="B13364" t="s">
        <v>2809</v>
      </c>
      <c r="C13364" t="s">
        <v>1620</v>
      </c>
      <c r="D13364" s="21" t="s">
        <v>34</v>
      </c>
      <c r="E13364" s="21" t="s">
        <v>254</v>
      </c>
      <c r="F13364">
        <v>1420070</v>
      </c>
      <c r="G13364" t="s">
        <v>27046</v>
      </c>
      <c r="H13364" s="21">
        <v>899.67</v>
      </c>
    </row>
    <row r="13365" spans="1:8" customFormat="1" x14ac:dyDescent="0.25">
      <c r="A13365" t="str">
        <f>"8526305"</f>
        <v>8526305</v>
      </c>
      <c r="B13365" t="s">
        <v>13368</v>
      </c>
      <c r="C13365" t="s">
        <v>169</v>
      </c>
      <c r="D13365" s="21" t="s">
        <v>34</v>
      </c>
      <c r="E13365" s="21" t="s">
        <v>71</v>
      </c>
      <c r="F13365">
        <v>12850148</v>
      </c>
      <c r="G13365" t="s">
        <v>2380</v>
      </c>
      <c r="H13365" s="21">
        <v>899.67</v>
      </c>
    </row>
    <row r="13366" spans="1:8" customFormat="1" x14ac:dyDescent="0.25">
      <c r="A13366" t="str">
        <f>"2713851"</f>
        <v>2713851</v>
      </c>
      <c r="B13366" t="s">
        <v>13438</v>
      </c>
      <c r="C13366" t="s">
        <v>462</v>
      </c>
      <c r="D13366" s="21" t="s">
        <v>34</v>
      </c>
      <c r="E13366" s="21" t="s">
        <v>71</v>
      </c>
      <c r="F13366">
        <v>9270005</v>
      </c>
      <c r="G13366" t="s">
        <v>1255</v>
      </c>
      <c r="H13366" s="21">
        <v>899.67</v>
      </c>
    </row>
    <row r="13367" spans="1:8" customFormat="1" x14ac:dyDescent="0.25">
      <c r="A13367" t="str">
        <f>"679366"</f>
        <v>679366</v>
      </c>
      <c r="B13367" t="s">
        <v>8695</v>
      </c>
      <c r="C13367" t="s">
        <v>311</v>
      </c>
      <c r="D13367" s="21" t="s">
        <v>34</v>
      </c>
      <c r="E13367" s="21" t="s">
        <v>35</v>
      </c>
      <c r="F13367">
        <v>6670207</v>
      </c>
      <c r="G13367" t="s">
        <v>5419</v>
      </c>
      <c r="H13367" s="21">
        <v>899.67</v>
      </c>
    </row>
    <row r="13368" spans="1:8" customFormat="1" x14ac:dyDescent="0.25">
      <c r="A13368" t="str">
        <f>"3714417"</f>
        <v>3714417</v>
      </c>
      <c r="B13368" t="s">
        <v>12086</v>
      </c>
      <c r="C13368" t="s">
        <v>33</v>
      </c>
      <c r="D13368" s="21" t="s">
        <v>34</v>
      </c>
      <c r="E13368" s="21" t="s">
        <v>35</v>
      </c>
      <c r="F13368">
        <v>4370442</v>
      </c>
      <c r="G13368" t="s">
        <v>7869</v>
      </c>
      <c r="H13368" s="21">
        <v>899.67</v>
      </c>
    </row>
    <row r="13369" spans="1:8" customFormat="1" x14ac:dyDescent="0.25">
      <c r="A13369" t="str">
        <f>"171679"</f>
        <v>171679</v>
      </c>
      <c r="B13369" t="s">
        <v>6856</v>
      </c>
      <c r="C13369" t="s">
        <v>415</v>
      </c>
      <c r="D13369" s="21" t="s">
        <v>34</v>
      </c>
      <c r="E13369" s="21" t="s">
        <v>254</v>
      </c>
      <c r="F13369">
        <v>10170223</v>
      </c>
      <c r="G13369" t="s">
        <v>7057</v>
      </c>
      <c r="H13369" s="21">
        <v>899.67</v>
      </c>
    </row>
    <row r="13370" spans="1:8" customFormat="1" x14ac:dyDescent="0.25">
      <c r="A13370" t="str">
        <f>"945579"</f>
        <v>945579</v>
      </c>
      <c r="B13370" t="s">
        <v>7719</v>
      </c>
      <c r="C13370" t="s">
        <v>5861</v>
      </c>
      <c r="D13370" s="21" t="s">
        <v>34</v>
      </c>
      <c r="E13370" s="21" t="s">
        <v>1089</v>
      </c>
      <c r="F13370">
        <v>13830092</v>
      </c>
      <c r="G13370" t="s">
        <v>3632</v>
      </c>
      <c r="H13370" s="21">
        <v>899.54</v>
      </c>
    </row>
    <row r="13371" spans="1:8" customFormat="1" x14ac:dyDescent="0.25">
      <c r="A13371" t="str">
        <f>"913258"</f>
        <v>913258</v>
      </c>
      <c r="B13371" t="s">
        <v>6957</v>
      </c>
      <c r="C13371" t="s">
        <v>598</v>
      </c>
      <c r="D13371" s="21" t="s">
        <v>34</v>
      </c>
      <c r="E13371" s="21" t="s">
        <v>1089</v>
      </c>
      <c r="F13371">
        <v>8910004</v>
      </c>
      <c r="G13371" t="s">
        <v>9637</v>
      </c>
      <c r="H13371" s="21">
        <v>899.42</v>
      </c>
    </row>
    <row r="13372" spans="1:8" customFormat="1" x14ac:dyDescent="0.25">
      <c r="A13372" t="str">
        <f>"952921"</f>
        <v>952921</v>
      </c>
      <c r="B13372" t="s">
        <v>11192</v>
      </c>
      <c r="C13372" t="s">
        <v>124</v>
      </c>
      <c r="D13372" s="21" t="s">
        <v>34</v>
      </c>
      <c r="E13372" s="21" t="s">
        <v>254</v>
      </c>
      <c r="F13372">
        <v>8781469</v>
      </c>
      <c r="G13372" t="s">
        <v>4779</v>
      </c>
      <c r="H13372" s="21">
        <v>899.42</v>
      </c>
    </row>
    <row r="13373" spans="1:8" customFormat="1" x14ac:dyDescent="0.25">
      <c r="A13373" t="str">
        <f>"026901"</f>
        <v>026901</v>
      </c>
      <c r="B13373" t="s">
        <v>12810</v>
      </c>
      <c r="C13373" t="s">
        <v>127</v>
      </c>
      <c r="D13373" s="21" t="s">
        <v>34</v>
      </c>
      <c r="E13373" s="21" t="s">
        <v>35</v>
      </c>
      <c r="F13373">
        <v>1380076</v>
      </c>
      <c r="G13373" t="s">
        <v>8543</v>
      </c>
      <c r="H13373" s="21">
        <v>899.29</v>
      </c>
    </row>
    <row r="13374" spans="1:8" customFormat="1" x14ac:dyDescent="0.25">
      <c r="A13374" t="str">
        <f>"178013"</f>
        <v>178013</v>
      </c>
      <c r="B13374" t="s">
        <v>2189</v>
      </c>
      <c r="C13374" t="s">
        <v>269</v>
      </c>
      <c r="D13374" s="21" t="s">
        <v>34</v>
      </c>
      <c r="E13374" s="21" t="s">
        <v>35</v>
      </c>
      <c r="F13374">
        <v>4370694</v>
      </c>
      <c r="G13374" t="s">
        <v>989</v>
      </c>
      <c r="H13374" s="21">
        <v>899.17</v>
      </c>
    </row>
    <row r="13375" spans="1:8" customFormat="1" x14ac:dyDescent="0.25">
      <c r="A13375" t="str">
        <f>"167390"</f>
        <v>167390</v>
      </c>
      <c r="B13375" t="s">
        <v>11876</v>
      </c>
      <c r="C13375" t="s">
        <v>2520</v>
      </c>
      <c r="D13375" s="21" t="s">
        <v>34</v>
      </c>
      <c r="E13375" s="21" t="s">
        <v>1089</v>
      </c>
      <c r="F13375">
        <v>10160042</v>
      </c>
      <c r="G13375" t="s">
        <v>7461</v>
      </c>
      <c r="H13375" s="21">
        <v>899.17</v>
      </c>
    </row>
    <row r="13376" spans="1:8" customFormat="1" x14ac:dyDescent="0.25">
      <c r="A13376" t="str">
        <f>"4431061"</f>
        <v>4431061</v>
      </c>
      <c r="B13376" t="s">
        <v>10731</v>
      </c>
      <c r="C13376" t="s">
        <v>891</v>
      </c>
      <c r="D13376" s="21" t="s">
        <v>34</v>
      </c>
      <c r="E13376" s="21" t="s">
        <v>71</v>
      </c>
      <c r="F13376">
        <v>12440084</v>
      </c>
      <c r="G13376" t="s">
        <v>1014</v>
      </c>
      <c r="H13376" s="21">
        <v>899.17</v>
      </c>
    </row>
    <row r="13377" spans="1:8" customFormat="1" x14ac:dyDescent="0.25">
      <c r="A13377" t="str">
        <f>"4925639"</f>
        <v>4925639</v>
      </c>
      <c r="B13377" t="s">
        <v>9875</v>
      </c>
      <c r="C13377" t="s">
        <v>453</v>
      </c>
      <c r="D13377" s="21" t="s">
        <v>34</v>
      </c>
      <c r="E13377" s="21" t="s">
        <v>254</v>
      </c>
      <c r="F13377">
        <v>12490006</v>
      </c>
      <c r="G13377" t="s">
        <v>1480</v>
      </c>
      <c r="H13377" s="21">
        <v>899.17</v>
      </c>
    </row>
    <row r="13378" spans="1:8" customFormat="1" x14ac:dyDescent="0.25">
      <c r="A13378" t="str">
        <f>"2714962"</f>
        <v>2714962</v>
      </c>
      <c r="B13378" t="s">
        <v>1826</v>
      </c>
      <c r="C13378" t="s">
        <v>9895</v>
      </c>
      <c r="D13378" s="21" t="s">
        <v>34</v>
      </c>
      <c r="E13378" s="21" t="s">
        <v>35</v>
      </c>
      <c r="F13378">
        <v>9270156</v>
      </c>
      <c r="G13378" t="s">
        <v>3751</v>
      </c>
      <c r="H13378" s="21">
        <v>899.17</v>
      </c>
    </row>
    <row r="13379" spans="1:8" customFormat="1" x14ac:dyDescent="0.25">
      <c r="A13379" t="str">
        <f>"122559"</f>
        <v>122559</v>
      </c>
      <c r="B13379" t="s">
        <v>27294</v>
      </c>
      <c r="C13379" t="s">
        <v>388</v>
      </c>
      <c r="D13379" s="21" t="s">
        <v>34</v>
      </c>
      <c r="E13379" s="21" t="s">
        <v>35</v>
      </c>
      <c r="F13379">
        <v>11120004</v>
      </c>
      <c r="G13379" t="s">
        <v>2311</v>
      </c>
      <c r="H13379" s="21">
        <v>899.17</v>
      </c>
    </row>
    <row r="13380" spans="1:8" customFormat="1" x14ac:dyDescent="0.25">
      <c r="A13380" t="str">
        <f>"7865297"</f>
        <v>7865297</v>
      </c>
      <c r="B13380" t="s">
        <v>13420</v>
      </c>
      <c r="C13380" t="s">
        <v>486</v>
      </c>
      <c r="D13380" s="21" t="s">
        <v>34</v>
      </c>
      <c r="E13380" s="21" t="s">
        <v>35</v>
      </c>
      <c r="F13380">
        <v>8780023</v>
      </c>
      <c r="G13380" t="s">
        <v>1496</v>
      </c>
      <c r="H13380" s="21">
        <v>899.17</v>
      </c>
    </row>
    <row r="13381" spans="1:8" customFormat="1" x14ac:dyDescent="0.25">
      <c r="A13381" t="str">
        <f>"6111385"</f>
        <v>6111385</v>
      </c>
      <c r="B13381" t="s">
        <v>12747</v>
      </c>
      <c r="C13381" t="s">
        <v>169</v>
      </c>
      <c r="D13381" s="21" t="s">
        <v>34</v>
      </c>
      <c r="E13381" s="21" t="s">
        <v>71</v>
      </c>
      <c r="F13381">
        <v>9610009</v>
      </c>
      <c r="G13381" t="s">
        <v>282</v>
      </c>
      <c r="H13381" s="21">
        <v>899.17</v>
      </c>
    </row>
    <row r="13382" spans="1:8" customFormat="1" x14ac:dyDescent="0.25">
      <c r="A13382" t="str">
        <f>"632154"</f>
        <v>632154</v>
      </c>
      <c r="B13382" t="s">
        <v>11475</v>
      </c>
      <c r="C13382" t="s">
        <v>926</v>
      </c>
      <c r="D13382" s="21" t="s">
        <v>34</v>
      </c>
      <c r="E13382" s="21" t="s">
        <v>35</v>
      </c>
      <c r="F13382">
        <v>1630320</v>
      </c>
      <c r="G13382" t="s">
        <v>4046</v>
      </c>
      <c r="H13382" s="21">
        <v>899.17</v>
      </c>
    </row>
    <row r="13383" spans="1:8" customFormat="1" x14ac:dyDescent="0.25">
      <c r="A13383" t="str">
        <f>"501571"</f>
        <v>501571</v>
      </c>
      <c r="B13383" t="s">
        <v>11239</v>
      </c>
      <c r="C13383" t="s">
        <v>267</v>
      </c>
      <c r="D13383" s="21" t="s">
        <v>34</v>
      </c>
      <c r="E13383" s="21" t="s">
        <v>71</v>
      </c>
      <c r="F13383">
        <v>9500030</v>
      </c>
      <c r="G13383" t="s">
        <v>2166</v>
      </c>
      <c r="H13383" s="21">
        <v>899.17</v>
      </c>
    </row>
    <row r="13384" spans="1:8" customFormat="1" x14ac:dyDescent="0.25">
      <c r="A13384" t="str">
        <f>"68813"</f>
        <v>68813</v>
      </c>
      <c r="B13384" t="s">
        <v>12374</v>
      </c>
      <c r="C13384" t="s">
        <v>55</v>
      </c>
      <c r="D13384" s="21" t="s">
        <v>34</v>
      </c>
      <c r="E13384" s="21" t="s">
        <v>71</v>
      </c>
      <c r="F13384">
        <v>6680080</v>
      </c>
      <c r="G13384" t="s">
        <v>7771</v>
      </c>
      <c r="H13384" s="21">
        <v>899.17</v>
      </c>
    </row>
    <row r="13385" spans="1:8" customFormat="1" x14ac:dyDescent="0.25">
      <c r="A13385" t="str">
        <f>"496181"</f>
        <v>496181</v>
      </c>
      <c r="B13385" t="s">
        <v>890</v>
      </c>
      <c r="C13385" t="s">
        <v>114</v>
      </c>
      <c r="D13385" s="21" t="s">
        <v>34</v>
      </c>
      <c r="E13385" s="21" t="s">
        <v>254</v>
      </c>
      <c r="F13385">
        <v>12490038</v>
      </c>
      <c r="G13385" t="s">
        <v>467</v>
      </c>
      <c r="H13385" s="21">
        <v>899.17</v>
      </c>
    </row>
    <row r="13386" spans="1:8" customFormat="1" x14ac:dyDescent="0.25">
      <c r="A13386" t="str">
        <f>"027396"</f>
        <v>027396</v>
      </c>
      <c r="B13386" t="s">
        <v>11403</v>
      </c>
      <c r="C13386" t="s">
        <v>328</v>
      </c>
      <c r="D13386" s="21" t="s">
        <v>34</v>
      </c>
      <c r="E13386" s="21" t="s">
        <v>71</v>
      </c>
      <c r="F13386">
        <v>7020019</v>
      </c>
      <c r="G13386" t="s">
        <v>7912</v>
      </c>
      <c r="H13386" s="21">
        <v>899.17</v>
      </c>
    </row>
    <row r="13387" spans="1:8" customFormat="1" x14ac:dyDescent="0.25">
      <c r="A13387" t="str">
        <f>"346951"</f>
        <v>346951</v>
      </c>
      <c r="B13387" t="s">
        <v>12977</v>
      </c>
      <c r="C13387" t="s">
        <v>33</v>
      </c>
      <c r="D13387" s="21" t="s">
        <v>34</v>
      </c>
      <c r="E13387" s="21" t="s">
        <v>35</v>
      </c>
      <c r="F13387">
        <v>11340061</v>
      </c>
      <c r="G13387" t="s">
        <v>6763</v>
      </c>
      <c r="H13387" s="21">
        <v>899</v>
      </c>
    </row>
    <row r="13388" spans="1:8" customFormat="1" x14ac:dyDescent="0.25">
      <c r="A13388" t="str">
        <f>"32800"</f>
        <v>32800</v>
      </c>
      <c r="B13388" t="s">
        <v>13662</v>
      </c>
      <c r="C13388" t="s">
        <v>288</v>
      </c>
      <c r="D13388" s="21" t="s">
        <v>34</v>
      </c>
      <c r="E13388" s="21" t="s">
        <v>35</v>
      </c>
      <c r="F13388">
        <v>11320033</v>
      </c>
      <c r="G13388" t="s">
        <v>8133</v>
      </c>
      <c r="H13388" s="21">
        <v>898.92</v>
      </c>
    </row>
    <row r="13389" spans="1:8" customFormat="1" x14ac:dyDescent="0.25">
      <c r="A13389" t="str">
        <f>"7610714"</f>
        <v>7610714</v>
      </c>
      <c r="B13389" t="s">
        <v>11289</v>
      </c>
      <c r="C13389" t="s">
        <v>784</v>
      </c>
      <c r="D13389" s="21" t="s">
        <v>34</v>
      </c>
      <c r="E13389" s="21" t="s">
        <v>35</v>
      </c>
      <c r="F13389">
        <v>9760420</v>
      </c>
      <c r="G13389" t="s">
        <v>11290</v>
      </c>
      <c r="H13389" s="21">
        <v>898.67</v>
      </c>
    </row>
    <row r="13390" spans="1:8" customFormat="1" x14ac:dyDescent="0.25">
      <c r="A13390" t="str">
        <f>"691088"</f>
        <v>691088</v>
      </c>
      <c r="B13390" t="s">
        <v>12183</v>
      </c>
      <c r="C13390" t="s">
        <v>750</v>
      </c>
      <c r="D13390" s="21" t="s">
        <v>34</v>
      </c>
      <c r="E13390" s="21" t="s">
        <v>254</v>
      </c>
      <c r="F13390">
        <v>1690112</v>
      </c>
      <c r="G13390" t="s">
        <v>4084</v>
      </c>
      <c r="H13390" s="21">
        <v>898.67</v>
      </c>
    </row>
    <row r="13391" spans="1:8" customFormat="1" x14ac:dyDescent="0.25">
      <c r="A13391" t="str">
        <f>"3532080"</f>
        <v>3532080</v>
      </c>
      <c r="B13391" t="s">
        <v>12153</v>
      </c>
      <c r="C13391" t="s">
        <v>139</v>
      </c>
      <c r="D13391" s="21" t="s">
        <v>34</v>
      </c>
      <c r="E13391" s="21" t="s">
        <v>35</v>
      </c>
      <c r="F13391">
        <v>3350050</v>
      </c>
      <c r="G13391" t="s">
        <v>6931</v>
      </c>
      <c r="H13391" s="21">
        <v>898.67</v>
      </c>
    </row>
    <row r="13392" spans="1:8" customFormat="1" x14ac:dyDescent="0.25">
      <c r="A13392" t="str">
        <f>"506155"</f>
        <v>506155</v>
      </c>
      <c r="B13392" t="s">
        <v>10648</v>
      </c>
      <c r="C13392" t="s">
        <v>169</v>
      </c>
      <c r="D13392" s="21" t="s">
        <v>34</v>
      </c>
      <c r="E13392" s="21" t="s">
        <v>35</v>
      </c>
      <c r="F13392">
        <v>9500112</v>
      </c>
      <c r="G13392" t="s">
        <v>1668</v>
      </c>
      <c r="H13392" s="21">
        <v>898.67</v>
      </c>
    </row>
    <row r="13393" spans="1:8" customFormat="1" x14ac:dyDescent="0.25">
      <c r="A13393" t="str">
        <f>"2936851"</f>
        <v>2936851</v>
      </c>
      <c r="B13393" t="s">
        <v>2308</v>
      </c>
      <c r="C13393" t="s">
        <v>263</v>
      </c>
      <c r="D13393" s="21" t="s">
        <v>34</v>
      </c>
      <c r="E13393" s="21" t="s">
        <v>71</v>
      </c>
      <c r="F13393">
        <v>3290283</v>
      </c>
      <c r="G13393" t="s">
        <v>12108</v>
      </c>
      <c r="H13393" s="21">
        <v>898.67</v>
      </c>
    </row>
    <row r="13394" spans="1:8" customFormat="1" x14ac:dyDescent="0.25">
      <c r="A13394" t="str">
        <f>"15402"</f>
        <v>15402</v>
      </c>
      <c r="B13394" t="s">
        <v>12465</v>
      </c>
      <c r="C13394" t="s">
        <v>236</v>
      </c>
      <c r="D13394" s="21" t="s">
        <v>34</v>
      </c>
      <c r="E13394" s="21" t="s">
        <v>71</v>
      </c>
      <c r="F13394">
        <v>1420299</v>
      </c>
      <c r="G13394" t="s">
        <v>8013</v>
      </c>
      <c r="H13394" s="21">
        <v>898.67</v>
      </c>
    </row>
    <row r="13395" spans="1:8" customFormat="1" x14ac:dyDescent="0.25">
      <c r="A13395" t="str">
        <f>"756800"</f>
        <v>756800</v>
      </c>
      <c r="B13395" t="s">
        <v>12085</v>
      </c>
      <c r="C13395" t="s">
        <v>3073</v>
      </c>
      <c r="D13395" s="21" t="s">
        <v>34</v>
      </c>
      <c r="E13395" s="21" t="s">
        <v>254</v>
      </c>
      <c r="F13395">
        <v>8750292</v>
      </c>
      <c r="G13395" t="s">
        <v>9069</v>
      </c>
      <c r="H13395" s="21">
        <v>898.67</v>
      </c>
    </row>
    <row r="13396" spans="1:8" customFormat="1" x14ac:dyDescent="0.25">
      <c r="A13396" t="str">
        <f>"6225530"</f>
        <v>6225530</v>
      </c>
      <c r="B13396" t="s">
        <v>14677</v>
      </c>
      <c r="C13396" t="s">
        <v>601</v>
      </c>
      <c r="D13396" s="21" t="s">
        <v>34</v>
      </c>
      <c r="E13396" s="21" t="s">
        <v>35</v>
      </c>
      <c r="F13396">
        <v>7620058</v>
      </c>
      <c r="G13396" t="s">
        <v>602</v>
      </c>
      <c r="H13396" s="21">
        <v>898.67</v>
      </c>
    </row>
    <row r="13397" spans="1:8" customFormat="1" x14ac:dyDescent="0.25">
      <c r="A13397" t="str">
        <f>"143118"</f>
        <v>143118</v>
      </c>
      <c r="B13397" t="s">
        <v>5889</v>
      </c>
      <c r="C13397" t="s">
        <v>267</v>
      </c>
      <c r="D13397" s="21" t="s">
        <v>34</v>
      </c>
      <c r="E13397" s="21" t="s">
        <v>254</v>
      </c>
      <c r="F13397">
        <v>9140014</v>
      </c>
      <c r="G13397" t="s">
        <v>9546</v>
      </c>
      <c r="H13397" s="21">
        <v>898.67</v>
      </c>
    </row>
    <row r="13398" spans="1:8" customFormat="1" x14ac:dyDescent="0.25">
      <c r="A13398" t="str">
        <f>"5931634"</f>
        <v>5931634</v>
      </c>
      <c r="B13398" t="s">
        <v>3307</v>
      </c>
      <c r="C13398" t="s">
        <v>1325</v>
      </c>
      <c r="D13398" s="21" t="s">
        <v>34</v>
      </c>
      <c r="E13398" s="21" t="s">
        <v>254</v>
      </c>
      <c r="F13398">
        <v>7590005</v>
      </c>
      <c r="G13398" t="s">
        <v>540</v>
      </c>
      <c r="H13398" s="21">
        <v>898.67</v>
      </c>
    </row>
    <row r="13399" spans="1:8" customFormat="1" x14ac:dyDescent="0.25">
      <c r="A13399" t="str">
        <f>"4429556"</f>
        <v>4429556</v>
      </c>
      <c r="B13399" t="s">
        <v>702</v>
      </c>
      <c r="C13399" t="s">
        <v>14859</v>
      </c>
      <c r="D13399" s="21" t="s">
        <v>34</v>
      </c>
      <c r="E13399" s="21" t="s">
        <v>35</v>
      </c>
      <c r="F13399">
        <v>1010044</v>
      </c>
      <c r="G13399" t="s">
        <v>4603</v>
      </c>
      <c r="H13399" s="21">
        <v>898.67</v>
      </c>
    </row>
    <row r="13400" spans="1:8" customFormat="1" x14ac:dyDescent="0.25">
      <c r="A13400" t="str">
        <f>"196838"</f>
        <v>196838</v>
      </c>
      <c r="B13400" t="s">
        <v>2131</v>
      </c>
      <c r="C13400" t="s">
        <v>60</v>
      </c>
      <c r="D13400" s="21" t="s">
        <v>34</v>
      </c>
      <c r="E13400" s="21" t="s">
        <v>35</v>
      </c>
      <c r="F13400">
        <v>10190134</v>
      </c>
      <c r="G13400" t="s">
        <v>27150</v>
      </c>
      <c r="H13400" s="21">
        <v>898.67</v>
      </c>
    </row>
    <row r="13401" spans="1:8" customFormat="1" x14ac:dyDescent="0.25">
      <c r="A13401" t="str">
        <f>"187204"</f>
        <v>187204</v>
      </c>
      <c r="B13401" t="s">
        <v>11933</v>
      </c>
      <c r="C13401" t="s">
        <v>2520</v>
      </c>
      <c r="D13401" s="21" t="s">
        <v>34</v>
      </c>
      <c r="E13401" s="21" t="s">
        <v>71</v>
      </c>
      <c r="F13401">
        <v>4180613</v>
      </c>
      <c r="G13401" t="s">
        <v>422</v>
      </c>
      <c r="H13401" s="21">
        <v>898.67</v>
      </c>
    </row>
    <row r="13402" spans="1:8" customFormat="1" x14ac:dyDescent="0.25">
      <c r="A13402" t="str">
        <f>"8593"</f>
        <v>8593</v>
      </c>
      <c r="B13402" t="s">
        <v>6463</v>
      </c>
      <c r="C13402" t="s">
        <v>2730</v>
      </c>
      <c r="D13402" s="21" t="s">
        <v>34</v>
      </c>
      <c r="E13402" s="21" t="s">
        <v>254</v>
      </c>
      <c r="F13402">
        <v>12851011</v>
      </c>
      <c r="G13402" t="s">
        <v>1445</v>
      </c>
      <c r="H13402" s="21">
        <v>898.67</v>
      </c>
    </row>
    <row r="13403" spans="1:8" customFormat="1" x14ac:dyDescent="0.25">
      <c r="A13403" t="str">
        <f>"5314888"</f>
        <v>5314888</v>
      </c>
      <c r="B13403" t="s">
        <v>3978</v>
      </c>
      <c r="C13403" t="s">
        <v>204</v>
      </c>
      <c r="D13403" s="21" t="s">
        <v>34</v>
      </c>
      <c r="E13403" s="21" t="s">
        <v>35</v>
      </c>
      <c r="F13403">
        <v>12530016</v>
      </c>
      <c r="G13403" t="s">
        <v>2069</v>
      </c>
      <c r="H13403" s="21">
        <v>898.67</v>
      </c>
    </row>
    <row r="13404" spans="1:8" customFormat="1" x14ac:dyDescent="0.25">
      <c r="A13404" t="str">
        <f>"542205"</f>
        <v>542205</v>
      </c>
      <c r="B13404" t="s">
        <v>11884</v>
      </c>
      <c r="C13404" t="s">
        <v>2393</v>
      </c>
      <c r="D13404" s="21" t="s">
        <v>34</v>
      </c>
      <c r="E13404" s="21" t="s">
        <v>35</v>
      </c>
      <c r="F13404">
        <v>6540010</v>
      </c>
      <c r="G13404" t="s">
        <v>7832</v>
      </c>
      <c r="H13404" s="21">
        <v>898.67</v>
      </c>
    </row>
    <row r="13405" spans="1:8" customFormat="1" x14ac:dyDescent="0.25">
      <c r="A13405" t="str">
        <f>"564976"</f>
        <v>564976</v>
      </c>
      <c r="B13405" t="s">
        <v>11548</v>
      </c>
      <c r="C13405" t="s">
        <v>1841</v>
      </c>
      <c r="D13405" s="21" t="s">
        <v>34</v>
      </c>
      <c r="E13405" s="21" t="s">
        <v>254</v>
      </c>
      <c r="F13405">
        <v>3560053</v>
      </c>
      <c r="G13405" t="s">
        <v>298</v>
      </c>
      <c r="H13405" s="21">
        <v>898.67</v>
      </c>
    </row>
    <row r="13406" spans="1:8" customFormat="1" x14ac:dyDescent="0.25">
      <c r="A13406" t="str">
        <f>"3342889"</f>
        <v>3342889</v>
      </c>
      <c r="B13406" t="s">
        <v>13669</v>
      </c>
      <c r="C13406" t="s">
        <v>4842</v>
      </c>
      <c r="D13406" s="21" t="s">
        <v>34</v>
      </c>
      <c r="E13406" s="21" t="s">
        <v>35</v>
      </c>
      <c r="F13406">
        <v>10330128</v>
      </c>
      <c r="G13406" t="s">
        <v>13670</v>
      </c>
      <c r="H13406" s="21">
        <v>898.67</v>
      </c>
    </row>
    <row r="13407" spans="1:8" customFormat="1" x14ac:dyDescent="0.25">
      <c r="A13407" t="str">
        <f>"7880359"</f>
        <v>7880359</v>
      </c>
      <c r="B13407" t="s">
        <v>23124</v>
      </c>
      <c r="C13407" t="s">
        <v>109</v>
      </c>
      <c r="D13407" s="21" t="s">
        <v>34</v>
      </c>
      <c r="E13407" s="21" t="s">
        <v>35</v>
      </c>
      <c r="F13407">
        <v>8781471</v>
      </c>
      <c r="G13407" t="s">
        <v>9616</v>
      </c>
      <c r="H13407" s="21">
        <v>898.54</v>
      </c>
    </row>
    <row r="13408" spans="1:8" customFormat="1" x14ac:dyDescent="0.25">
      <c r="A13408" t="str">
        <f>"4220491"</f>
        <v>4220491</v>
      </c>
      <c r="B13408" t="s">
        <v>27295</v>
      </c>
      <c r="C13408" t="s">
        <v>144</v>
      </c>
      <c r="D13408" s="21" t="s">
        <v>34</v>
      </c>
      <c r="E13408" s="21" t="s">
        <v>35</v>
      </c>
      <c r="F13408">
        <v>1420017</v>
      </c>
      <c r="G13408" t="s">
        <v>1296</v>
      </c>
      <c r="H13408" s="21">
        <v>898.42</v>
      </c>
    </row>
    <row r="13409" spans="1:8" customFormat="1" x14ac:dyDescent="0.25">
      <c r="A13409" t="str">
        <f>"5325862"</f>
        <v>5325862</v>
      </c>
      <c r="B13409" t="s">
        <v>2210</v>
      </c>
      <c r="C13409" t="s">
        <v>17819</v>
      </c>
      <c r="D13409" s="21" t="s">
        <v>34</v>
      </c>
      <c r="E13409" s="21" t="s">
        <v>35</v>
      </c>
      <c r="F13409">
        <v>12530059</v>
      </c>
      <c r="G13409" t="s">
        <v>4062</v>
      </c>
      <c r="H13409" s="21">
        <v>898.42</v>
      </c>
    </row>
    <row r="13410" spans="1:8" customFormat="1" x14ac:dyDescent="0.25">
      <c r="A13410" t="str">
        <f>"4211387"</f>
        <v>4211387</v>
      </c>
      <c r="B13410" t="s">
        <v>12499</v>
      </c>
      <c r="C13410" t="s">
        <v>87</v>
      </c>
      <c r="D13410" s="21" t="s">
        <v>34</v>
      </c>
      <c r="E13410" s="21" t="s">
        <v>35</v>
      </c>
      <c r="F13410">
        <v>13060090</v>
      </c>
      <c r="G13410" t="s">
        <v>1363</v>
      </c>
      <c r="H13410" s="21">
        <v>898.17</v>
      </c>
    </row>
    <row r="13411" spans="1:8" customFormat="1" x14ac:dyDescent="0.25">
      <c r="A13411" t="str">
        <f>"3416835"</f>
        <v>3416835</v>
      </c>
      <c r="B13411" t="s">
        <v>3610</v>
      </c>
      <c r="C13411" t="s">
        <v>127</v>
      </c>
      <c r="D13411" s="21" t="s">
        <v>34</v>
      </c>
      <c r="E13411" s="21" t="s">
        <v>35</v>
      </c>
      <c r="F13411">
        <v>11340066</v>
      </c>
      <c r="G13411" t="s">
        <v>8390</v>
      </c>
      <c r="H13411" s="21">
        <v>898.17</v>
      </c>
    </row>
    <row r="13412" spans="1:8" customFormat="1" x14ac:dyDescent="0.25">
      <c r="A13412" t="str">
        <f>"1418915"</f>
        <v>1418915</v>
      </c>
      <c r="B13412" t="s">
        <v>3328</v>
      </c>
      <c r="C13412" t="s">
        <v>750</v>
      </c>
      <c r="D13412" s="21" t="s">
        <v>34</v>
      </c>
      <c r="E13412" s="21" t="s">
        <v>71</v>
      </c>
      <c r="F13412">
        <v>9140052</v>
      </c>
      <c r="G13412" t="s">
        <v>26563</v>
      </c>
      <c r="H13412" s="21">
        <v>898.17</v>
      </c>
    </row>
    <row r="13413" spans="1:8" customFormat="1" x14ac:dyDescent="0.25">
      <c r="A13413" t="str">
        <f>"9136101"</f>
        <v>9136101</v>
      </c>
      <c r="B13413" t="s">
        <v>10744</v>
      </c>
      <c r="C13413" t="s">
        <v>209</v>
      </c>
      <c r="D13413" s="21" t="s">
        <v>34</v>
      </c>
      <c r="E13413" s="21" t="s">
        <v>71</v>
      </c>
      <c r="F13413">
        <v>8911132</v>
      </c>
      <c r="G13413" t="s">
        <v>10728</v>
      </c>
      <c r="H13413" s="21">
        <v>898.17</v>
      </c>
    </row>
    <row r="13414" spans="1:8" customFormat="1" x14ac:dyDescent="0.25">
      <c r="A13414" t="str">
        <f>"264503"</f>
        <v>264503</v>
      </c>
      <c r="B13414" t="s">
        <v>7363</v>
      </c>
      <c r="C13414" t="s">
        <v>1665</v>
      </c>
      <c r="D13414" s="21" t="s">
        <v>34</v>
      </c>
      <c r="E13414" s="21" t="s">
        <v>254</v>
      </c>
      <c r="F13414">
        <v>1260071</v>
      </c>
      <c r="G13414" t="s">
        <v>798</v>
      </c>
      <c r="H13414" s="21">
        <v>898.17</v>
      </c>
    </row>
    <row r="13415" spans="1:8" customFormat="1" x14ac:dyDescent="0.25">
      <c r="A13415" t="str">
        <f>"1425230"</f>
        <v>1425230</v>
      </c>
      <c r="B13415" t="s">
        <v>13725</v>
      </c>
      <c r="C13415" t="s">
        <v>263</v>
      </c>
      <c r="D13415" s="21" t="s">
        <v>34</v>
      </c>
      <c r="E13415" s="21" t="s">
        <v>35</v>
      </c>
      <c r="F13415">
        <v>9140202</v>
      </c>
      <c r="G13415" t="s">
        <v>2011</v>
      </c>
      <c r="H13415" s="21">
        <v>898.17</v>
      </c>
    </row>
    <row r="13416" spans="1:8" customFormat="1" x14ac:dyDescent="0.25">
      <c r="A13416" t="str">
        <f>"4216794"</f>
        <v>4216794</v>
      </c>
      <c r="B13416" t="s">
        <v>12481</v>
      </c>
      <c r="C13416" t="s">
        <v>1110</v>
      </c>
      <c r="D13416" s="21" t="s">
        <v>34</v>
      </c>
      <c r="E13416" s="21" t="s">
        <v>254</v>
      </c>
      <c r="F13416">
        <v>1420166</v>
      </c>
      <c r="G13416" t="s">
        <v>26873</v>
      </c>
      <c r="H13416" s="21">
        <v>898.17</v>
      </c>
    </row>
    <row r="13417" spans="1:8" customFormat="1" x14ac:dyDescent="0.25">
      <c r="A13417" t="str">
        <f>"457429"</f>
        <v>457429</v>
      </c>
      <c r="B13417" t="s">
        <v>11367</v>
      </c>
      <c r="C13417" t="s">
        <v>1914</v>
      </c>
      <c r="D13417" s="21" t="s">
        <v>34</v>
      </c>
      <c r="E13417" s="21" t="s">
        <v>254</v>
      </c>
      <c r="F13417">
        <v>4450026</v>
      </c>
      <c r="G13417" t="s">
        <v>291</v>
      </c>
      <c r="H13417" s="21">
        <v>898.17</v>
      </c>
    </row>
    <row r="13418" spans="1:8" customFormat="1" x14ac:dyDescent="0.25">
      <c r="A13418" t="str">
        <f>"7214882"</f>
        <v>7214882</v>
      </c>
      <c r="B13418" t="s">
        <v>9119</v>
      </c>
      <c r="C13418" t="s">
        <v>33</v>
      </c>
      <c r="D13418" s="21" t="s">
        <v>34</v>
      </c>
      <c r="E13418" s="21" t="s">
        <v>71</v>
      </c>
      <c r="F13418">
        <v>12720104</v>
      </c>
      <c r="G13418" t="s">
        <v>224</v>
      </c>
      <c r="H13418" s="21">
        <v>898.17</v>
      </c>
    </row>
    <row r="13419" spans="1:8" customFormat="1" x14ac:dyDescent="0.25">
      <c r="A13419" t="str">
        <f>"428224"</f>
        <v>428224</v>
      </c>
      <c r="B13419" t="s">
        <v>12918</v>
      </c>
      <c r="C13419" t="s">
        <v>4842</v>
      </c>
      <c r="D13419" s="21" t="s">
        <v>34</v>
      </c>
      <c r="E13419" s="21" t="s">
        <v>254</v>
      </c>
      <c r="F13419">
        <v>1420151</v>
      </c>
      <c r="G13419" t="s">
        <v>6802</v>
      </c>
      <c r="H13419" s="21">
        <v>898.17</v>
      </c>
    </row>
    <row r="13420" spans="1:8" customFormat="1" x14ac:dyDescent="0.25">
      <c r="A13420" t="str">
        <f>"7912850"</f>
        <v>7912850</v>
      </c>
      <c r="B13420" t="s">
        <v>13461</v>
      </c>
      <c r="C13420" t="s">
        <v>109</v>
      </c>
      <c r="D13420" s="21" t="s">
        <v>34</v>
      </c>
      <c r="E13420" s="21" t="s">
        <v>35</v>
      </c>
      <c r="F13420">
        <v>10790204</v>
      </c>
      <c r="G13420" t="s">
        <v>5681</v>
      </c>
      <c r="H13420" s="21">
        <v>897.92</v>
      </c>
    </row>
    <row r="13421" spans="1:8" customFormat="1" x14ac:dyDescent="0.25">
      <c r="A13421" t="str">
        <f>"9754128"</f>
        <v>9754128</v>
      </c>
      <c r="B13421" t="s">
        <v>11678</v>
      </c>
      <c r="C13421" t="s">
        <v>1819</v>
      </c>
      <c r="D13421" s="21" t="s">
        <v>34</v>
      </c>
      <c r="E13421" s="21" t="s">
        <v>71</v>
      </c>
      <c r="F13421" t="s">
        <v>10239</v>
      </c>
      <c r="G13421" t="s">
        <v>10240</v>
      </c>
      <c r="H13421" s="21">
        <v>897.79</v>
      </c>
    </row>
    <row r="13422" spans="1:8" customFormat="1" x14ac:dyDescent="0.25">
      <c r="A13422" t="str">
        <f>"124601"</f>
        <v>124601</v>
      </c>
      <c r="B13422" t="s">
        <v>15666</v>
      </c>
      <c r="C13422" t="s">
        <v>187</v>
      </c>
      <c r="D13422" s="21" t="s">
        <v>34</v>
      </c>
      <c r="E13422" s="21" t="s">
        <v>35</v>
      </c>
      <c r="F13422">
        <v>11120024</v>
      </c>
      <c r="G13422" t="s">
        <v>12259</v>
      </c>
      <c r="H13422" s="21">
        <v>897.67</v>
      </c>
    </row>
    <row r="13423" spans="1:8" customFormat="1" x14ac:dyDescent="0.25">
      <c r="A13423" t="str">
        <f>"694693"</f>
        <v>694693</v>
      </c>
      <c r="B13423" t="s">
        <v>12675</v>
      </c>
      <c r="C13423" t="s">
        <v>209</v>
      </c>
      <c r="D13423" s="21" t="s">
        <v>34</v>
      </c>
      <c r="E13423" s="21" t="s">
        <v>35</v>
      </c>
      <c r="F13423">
        <v>1010068</v>
      </c>
      <c r="G13423" t="s">
        <v>4755</v>
      </c>
      <c r="H13423" s="21">
        <v>897.67</v>
      </c>
    </row>
    <row r="13424" spans="1:8" customFormat="1" x14ac:dyDescent="0.25">
      <c r="A13424" t="str">
        <f>"265219"</f>
        <v>265219</v>
      </c>
      <c r="B13424" t="s">
        <v>679</v>
      </c>
      <c r="C13424" t="s">
        <v>598</v>
      </c>
      <c r="D13424" s="21" t="s">
        <v>34</v>
      </c>
      <c r="E13424" s="21" t="s">
        <v>71</v>
      </c>
      <c r="F13424">
        <v>1260026</v>
      </c>
      <c r="G13424" t="s">
        <v>516</v>
      </c>
      <c r="H13424" s="21">
        <v>897.67</v>
      </c>
    </row>
    <row r="13425" spans="1:8" customFormat="1" x14ac:dyDescent="0.25">
      <c r="A13425" t="str">
        <f>"593345"</f>
        <v>593345</v>
      </c>
      <c r="B13425" t="s">
        <v>12877</v>
      </c>
      <c r="C13425" t="s">
        <v>130</v>
      </c>
      <c r="D13425" s="21" t="s">
        <v>34</v>
      </c>
      <c r="E13425" s="21" t="s">
        <v>71</v>
      </c>
      <c r="F13425">
        <v>7590003</v>
      </c>
      <c r="G13425" t="s">
        <v>1166</v>
      </c>
      <c r="H13425" s="21">
        <v>897.67</v>
      </c>
    </row>
    <row r="13426" spans="1:8" customFormat="1" x14ac:dyDescent="0.25">
      <c r="A13426" t="str">
        <f>"6225724"</f>
        <v>6225724</v>
      </c>
      <c r="B13426" t="s">
        <v>12272</v>
      </c>
      <c r="C13426" t="s">
        <v>187</v>
      </c>
      <c r="D13426" s="21" t="s">
        <v>34</v>
      </c>
      <c r="E13426" s="21" t="s">
        <v>35</v>
      </c>
      <c r="F13426">
        <v>7620153</v>
      </c>
      <c r="G13426" t="s">
        <v>5104</v>
      </c>
      <c r="H13426" s="21">
        <v>897.67</v>
      </c>
    </row>
    <row r="13427" spans="1:8" customFormat="1" x14ac:dyDescent="0.25">
      <c r="A13427" t="str">
        <f>"5957543"</f>
        <v>5957543</v>
      </c>
      <c r="B13427" t="s">
        <v>108</v>
      </c>
      <c r="C13427" t="s">
        <v>1468</v>
      </c>
      <c r="D13427" s="21" t="s">
        <v>34</v>
      </c>
      <c r="E13427" s="21" t="s">
        <v>35</v>
      </c>
      <c r="F13427">
        <v>7590003</v>
      </c>
      <c r="G13427" t="s">
        <v>1166</v>
      </c>
      <c r="H13427" s="21">
        <v>897.67</v>
      </c>
    </row>
    <row r="13428" spans="1:8" customFormat="1" x14ac:dyDescent="0.25">
      <c r="A13428" t="str">
        <f>"2912499"</f>
        <v>2912499</v>
      </c>
      <c r="B13428" t="s">
        <v>27296</v>
      </c>
      <c r="C13428" t="s">
        <v>2520</v>
      </c>
      <c r="D13428" s="21" t="s">
        <v>34</v>
      </c>
      <c r="E13428" s="21" t="s">
        <v>35</v>
      </c>
      <c r="F13428">
        <v>3290244</v>
      </c>
      <c r="G13428" t="s">
        <v>573</v>
      </c>
      <c r="H13428" s="21">
        <v>897.67</v>
      </c>
    </row>
    <row r="13429" spans="1:8" customFormat="1" x14ac:dyDescent="0.25">
      <c r="A13429" t="str">
        <f>"6315080"</f>
        <v>6315080</v>
      </c>
      <c r="B13429" t="s">
        <v>12571</v>
      </c>
      <c r="C13429" t="s">
        <v>33</v>
      </c>
      <c r="D13429" s="21" t="s">
        <v>34</v>
      </c>
      <c r="E13429" s="21" t="s">
        <v>35</v>
      </c>
      <c r="F13429">
        <v>1630317</v>
      </c>
      <c r="G13429" t="s">
        <v>7523</v>
      </c>
      <c r="H13429" s="21">
        <v>897.67</v>
      </c>
    </row>
    <row r="13430" spans="1:8" customFormat="1" x14ac:dyDescent="0.25">
      <c r="A13430" t="str">
        <f>"673019"</f>
        <v>673019</v>
      </c>
      <c r="B13430" t="s">
        <v>12079</v>
      </c>
      <c r="C13430" t="s">
        <v>381</v>
      </c>
      <c r="D13430" s="21" t="s">
        <v>34</v>
      </c>
      <c r="E13430" s="21" t="s">
        <v>254</v>
      </c>
      <c r="F13430">
        <v>6670114</v>
      </c>
      <c r="G13430" t="s">
        <v>3084</v>
      </c>
      <c r="H13430" s="21">
        <v>897.67</v>
      </c>
    </row>
    <row r="13431" spans="1:8" customFormat="1" x14ac:dyDescent="0.25">
      <c r="A13431" t="str">
        <f>"7911919"</f>
        <v>7911919</v>
      </c>
      <c r="B13431" t="s">
        <v>11259</v>
      </c>
      <c r="C13431" t="s">
        <v>1615</v>
      </c>
      <c r="D13431" s="21" t="s">
        <v>34</v>
      </c>
      <c r="E13431" s="21" t="s">
        <v>71</v>
      </c>
      <c r="F13431">
        <v>10790038</v>
      </c>
      <c r="G13431" t="s">
        <v>5857</v>
      </c>
      <c r="H13431" s="21">
        <v>897.67</v>
      </c>
    </row>
    <row r="13432" spans="1:8" customFormat="1" x14ac:dyDescent="0.25">
      <c r="A13432" t="str">
        <f>"212495"</f>
        <v>212495</v>
      </c>
      <c r="B13432" t="s">
        <v>4654</v>
      </c>
      <c r="C13432" t="s">
        <v>253</v>
      </c>
      <c r="D13432" s="21" t="s">
        <v>34</v>
      </c>
      <c r="E13432" s="21" t="s">
        <v>1089</v>
      </c>
      <c r="F13432">
        <v>2210029</v>
      </c>
      <c r="G13432" t="s">
        <v>6983</v>
      </c>
      <c r="H13432" s="21">
        <v>897.67</v>
      </c>
    </row>
    <row r="13433" spans="1:8" customFormat="1" x14ac:dyDescent="0.25">
      <c r="A13433" t="str">
        <f>"5013482"</f>
        <v>5013482</v>
      </c>
      <c r="B13433" t="s">
        <v>1826</v>
      </c>
      <c r="C13433" t="s">
        <v>1665</v>
      </c>
      <c r="D13433" s="21" t="s">
        <v>34</v>
      </c>
      <c r="E13433" s="21" t="s">
        <v>71</v>
      </c>
      <c r="F13433">
        <v>9500131</v>
      </c>
      <c r="G13433" t="s">
        <v>1073</v>
      </c>
      <c r="H13433" s="21">
        <v>897.67</v>
      </c>
    </row>
    <row r="13434" spans="1:8" customFormat="1" x14ac:dyDescent="0.25">
      <c r="A13434" t="str">
        <f>"3112441"</f>
        <v>3112441</v>
      </c>
      <c r="B13434" t="s">
        <v>27297</v>
      </c>
      <c r="C13434" t="s">
        <v>27298</v>
      </c>
      <c r="D13434" s="21" t="s">
        <v>34</v>
      </c>
      <c r="E13434" s="21" t="s">
        <v>1089</v>
      </c>
      <c r="F13434">
        <v>11310123</v>
      </c>
      <c r="G13434" t="s">
        <v>3915</v>
      </c>
      <c r="H13434" s="21">
        <v>897.5</v>
      </c>
    </row>
    <row r="13435" spans="1:8" customFormat="1" x14ac:dyDescent="0.25">
      <c r="A13435" t="str">
        <f>"7875398"</f>
        <v>7875398</v>
      </c>
      <c r="B13435" t="s">
        <v>13285</v>
      </c>
      <c r="C13435" t="s">
        <v>260</v>
      </c>
      <c r="D13435" s="21" t="s">
        <v>34</v>
      </c>
      <c r="E13435" s="21" t="s">
        <v>35</v>
      </c>
      <c r="F13435">
        <v>8780080</v>
      </c>
      <c r="G13435" t="s">
        <v>865</v>
      </c>
      <c r="H13435" s="21">
        <v>897.42</v>
      </c>
    </row>
    <row r="13436" spans="1:8" customFormat="1" x14ac:dyDescent="0.25">
      <c r="A13436" t="str">
        <f>"5618979"</f>
        <v>5618979</v>
      </c>
      <c r="B13436" t="s">
        <v>12666</v>
      </c>
      <c r="C13436" t="s">
        <v>302</v>
      </c>
      <c r="D13436" s="21" t="s">
        <v>34</v>
      </c>
      <c r="E13436" s="21" t="s">
        <v>35</v>
      </c>
      <c r="F13436">
        <v>3560055</v>
      </c>
      <c r="G13436" t="s">
        <v>8371</v>
      </c>
      <c r="H13436" s="21">
        <v>897.42</v>
      </c>
    </row>
    <row r="13437" spans="1:8" customFormat="1" x14ac:dyDescent="0.25">
      <c r="A13437" t="str">
        <f>"9221635"</f>
        <v>9221635</v>
      </c>
      <c r="B13437" t="s">
        <v>5431</v>
      </c>
      <c r="C13437" t="s">
        <v>40</v>
      </c>
      <c r="D13437" s="21" t="s">
        <v>34</v>
      </c>
      <c r="E13437" s="21" t="s">
        <v>71</v>
      </c>
      <c r="F13437">
        <v>8951411</v>
      </c>
      <c r="G13437" t="s">
        <v>416</v>
      </c>
      <c r="H13437" s="21">
        <v>897.42</v>
      </c>
    </row>
    <row r="13438" spans="1:8" customFormat="1" x14ac:dyDescent="0.25">
      <c r="A13438" t="str">
        <f>"151917"</f>
        <v>151917</v>
      </c>
      <c r="B13438" t="s">
        <v>1951</v>
      </c>
      <c r="C13438" t="s">
        <v>209</v>
      </c>
      <c r="D13438" s="21" t="s">
        <v>34</v>
      </c>
      <c r="E13438" s="21" t="s">
        <v>71</v>
      </c>
      <c r="F13438">
        <v>1150303</v>
      </c>
      <c r="G13438" t="s">
        <v>5809</v>
      </c>
      <c r="H13438" s="21">
        <v>897.42</v>
      </c>
    </row>
    <row r="13439" spans="1:8" customFormat="1" x14ac:dyDescent="0.25">
      <c r="A13439" t="str">
        <f>"4410427"</f>
        <v>4410427</v>
      </c>
      <c r="B13439" t="s">
        <v>11371</v>
      </c>
      <c r="C13439" t="s">
        <v>598</v>
      </c>
      <c r="D13439" s="21" t="s">
        <v>34</v>
      </c>
      <c r="E13439" s="21" t="s">
        <v>1089</v>
      </c>
      <c r="F13439">
        <v>12440259</v>
      </c>
      <c r="G13439" t="s">
        <v>833</v>
      </c>
      <c r="H13439" s="21">
        <v>897.42</v>
      </c>
    </row>
    <row r="13440" spans="1:8" customFormat="1" x14ac:dyDescent="0.25">
      <c r="A13440" t="str">
        <f>"72970"</f>
        <v>72970</v>
      </c>
      <c r="B13440" t="s">
        <v>7521</v>
      </c>
      <c r="C13440" t="s">
        <v>40</v>
      </c>
      <c r="D13440" s="21" t="s">
        <v>34</v>
      </c>
      <c r="E13440" s="21" t="s">
        <v>254</v>
      </c>
      <c r="F13440">
        <v>12720028</v>
      </c>
      <c r="G13440" t="s">
        <v>4381</v>
      </c>
      <c r="H13440" s="21">
        <v>897.42</v>
      </c>
    </row>
    <row r="13441" spans="1:8" customFormat="1" x14ac:dyDescent="0.25">
      <c r="A13441" t="str">
        <f>"222320"</f>
        <v>222320</v>
      </c>
      <c r="B13441" t="s">
        <v>9250</v>
      </c>
      <c r="C13441" t="s">
        <v>43</v>
      </c>
      <c r="D13441" s="21" t="s">
        <v>34</v>
      </c>
      <c r="E13441" s="21" t="s">
        <v>35</v>
      </c>
      <c r="F13441">
        <v>3220005</v>
      </c>
      <c r="G13441" t="s">
        <v>26718</v>
      </c>
      <c r="H13441" s="21">
        <v>897.17</v>
      </c>
    </row>
    <row r="13442" spans="1:8" customFormat="1" x14ac:dyDescent="0.25">
      <c r="A13442" t="str">
        <f>"7622284"</f>
        <v>7622284</v>
      </c>
      <c r="B13442" t="s">
        <v>4577</v>
      </c>
      <c r="C13442" t="s">
        <v>43</v>
      </c>
      <c r="D13442" s="21" t="s">
        <v>34</v>
      </c>
      <c r="E13442" s="21" t="s">
        <v>35</v>
      </c>
      <c r="F13442">
        <v>9760428</v>
      </c>
      <c r="G13442" t="s">
        <v>5081</v>
      </c>
      <c r="H13442" s="21">
        <v>897.17</v>
      </c>
    </row>
    <row r="13443" spans="1:8" customFormat="1" x14ac:dyDescent="0.25">
      <c r="A13443" t="str">
        <f>"806090"</f>
        <v>806090</v>
      </c>
      <c r="B13443" t="s">
        <v>11906</v>
      </c>
      <c r="C13443" t="s">
        <v>275</v>
      </c>
      <c r="D13443" s="21" t="s">
        <v>34</v>
      </c>
      <c r="E13443" s="21" t="s">
        <v>35</v>
      </c>
      <c r="F13443">
        <v>7020065</v>
      </c>
      <c r="G13443" t="s">
        <v>4852</v>
      </c>
      <c r="H13443" s="21">
        <v>897.17</v>
      </c>
    </row>
    <row r="13444" spans="1:8" customFormat="1" x14ac:dyDescent="0.25">
      <c r="A13444" t="str">
        <f>"365854"</f>
        <v>365854</v>
      </c>
      <c r="B13444" t="s">
        <v>7114</v>
      </c>
      <c r="C13444" t="s">
        <v>65</v>
      </c>
      <c r="D13444" s="21" t="s">
        <v>34</v>
      </c>
      <c r="E13444" s="21" t="s">
        <v>35</v>
      </c>
      <c r="F13444">
        <v>4360002</v>
      </c>
      <c r="G13444" t="s">
        <v>222</v>
      </c>
      <c r="H13444" s="21">
        <v>897.17</v>
      </c>
    </row>
    <row r="13445" spans="1:8" customFormat="1" x14ac:dyDescent="0.25">
      <c r="A13445" t="str">
        <f>"5426850"</f>
        <v>5426850</v>
      </c>
      <c r="B13445" t="s">
        <v>12346</v>
      </c>
      <c r="C13445" t="s">
        <v>209</v>
      </c>
      <c r="D13445" s="21" t="s">
        <v>34</v>
      </c>
      <c r="E13445" s="21" t="s">
        <v>71</v>
      </c>
      <c r="F13445">
        <v>6540034</v>
      </c>
      <c r="G13445" t="s">
        <v>2211</v>
      </c>
      <c r="H13445" s="21">
        <v>897.17</v>
      </c>
    </row>
    <row r="13446" spans="1:8" customFormat="1" x14ac:dyDescent="0.25">
      <c r="A13446" t="str">
        <f>"4211939"</f>
        <v>4211939</v>
      </c>
      <c r="B13446" t="s">
        <v>208</v>
      </c>
      <c r="C13446" t="s">
        <v>267</v>
      </c>
      <c r="D13446" s="21" t="s">
        <v>34</v>
      </c>
      <c r="E13446" s="21" t="s">
        <v>71</v>
      </c>
      <c r="F13446">
        <v>1420153</v>
      </c>
      <c r="G13446" t="s">
        <v>8897</v>
      </c>
      <c r="H13446" s="21">
        <v>897.17</v>
      </c>
    </row>
    <row r="13447" spans="1:8" customFormat="1" x14ac:dyDescent="0.25">
      <c r="A13447" t="str">
        <f>"9315629"</f>
        <v>9315629</v>
      </c>
      <c r="B13447" t="s">
        <v>1577</v>
      </c>
      <c r="C13447" t="s">
        <v>139</v>
      </c>
      <c r="D13447" s="21" t="s">
        <v>34</v>
      </c>
      <c r="E13447" s="21" t="s">
        <v>35</v>
      </c>
      <c r="F13447">
        <v>8930452</v>
      </c>
      <c r="G13447" t="s">
        <v>83</v>
      </c>
      <c r="H13447" s="21">
        <v>897.17</v>
      </c>
    </row>
    <row r="13448" spans="1:8" customFormat="1" x14ac:dyDescent="0.25">
      <c r="A13448" t="str">
        <f>"5310009"</f>
        <v>5310009</v>
      </c>
      <c r="B13448" t="s">
        <v>12072</v>
      </c>
      <c r="C13448" t="s">
        <v>1110</v>
      </c>
      <c r="D13448" s="21" t="s">
        <v>34</v>
      </c>
      <c r="E13448" s="21" t="s">
        <v>6185</v>
      </c>
      <c r="F13448">
        <v>12530058</v>
      </c>
      <c r="G13448" t="s">
        <v>3128</v>
      </c>
      <c r="H13448" s="21">
        <v>897.17</v>
      </c>
    </row>
    <row r="13449" spans="1:8" customFormat="1" x14ac:dyDescent="0.25">
      <c r="A13449" t="str">
        <f>"923100"</f>
        <v>923100</v>
      </c>
      <c r="B13449" t="s">
        <v>11492</v>
      </c>
      <c r="C13449" t="s">
        <v>11493</v>
      </c>
      <c r="D13449" s="21" t="s">
        <v>34</v>
      </c>
      <c r="E13449" s="21" t="s">
        <v>254</v>
      </c>
      <c r="F13449">
        <v>8920312</v>
      </c>
      <c r="G13449" t="s">
        <v>1026</v>
      </c>
      <c r="H13449" s="21">
        <v>897.17</v>
      </c>
    </row>
    <row r="13450" spans="1:8" customFormat="1" x14ac:dyDescent="0.25">
      <c r="A13450" t="str">
        <f>"162524"</f>
        <v>162524</v>
      </c>
      <c r="B13450" t="s">
        <v>12116</v>
      </c>
      <c r="C13450" t="s">
        <v>40</v>
      </c>
      <c r="D13450" s="21" t="s">
        <v>34</v>
      </c>
      <c r="E13450" s="21" t="s">
        <v>71</v>
      </c>
      <c r="F13450">
        <v>10160049</v>
      </c>
      <c r="G13450" t="s">
        <v>12117</v>
      </c>
      <c r="H13450" s="21">
        <v>897.17</v>
      </c>
    </row>
    <row r="13451" spans="1:8" customFormat="1" x14ac:dyDescent="0.25">
      <c r="A13451" t="str">
        <f>"1413779"</f>
        <v>1413779</v>
      </c>
      <c r="B13451" t="s">
        <v>27299</v>
      </c>
      <c r="C13451" t="s">
        <v>3456</v>
      </c>
      <c r="D13451" s="21" t="s">
        <v>34</v>
      </c>
      <c r="E13451" s="21" t="s">
        <v>254</v>
      </c>
      <c r="F13451">
        <v>9140014</v>
      </c>
      <c r="G13451" t="s">
        <v>9546</v>
      </c>
      <c r="H13451" s="21">
        <v>897.17</v>
      </c>
    </row>
    <row r="13452" spans="1:8" customFormat="1" x14ac:dyDescent="0.25">
      <c r="A13452" t="str">
        <f>"4925741"</f>
        <v>4925741</v>
      </c>
      <c r="B13452" t="s">
        <v>14193</v>
      </c>
      <c r="C13452" t="s">
        <v>58</v>
      </c>
      <c r="D13452" s="21" t="s">
        <v>34</v>
      </c>
      <c r="E13452" s="21" t="s">
        <v>35</v>
      </c>
      <c r="F13452">
        <v>12490004</v>
      </c>
      <c r="G13452" t="s">
        <v>6198</v>
      </c>
      <c r="H13452" s="21">
        <v>897.17</v>
      </c>
    </row>
    <row r="13453" spans="1:8" customFormat="1" x14ac:dyDescent="0.25">
      <c r="A13453" t="str">
        <f>"8014073"</f>
        <v>8014073</v>
      </c>
      <c r="B13453" t="s">
        <v>1263</v>
      </c>
      <c r="C13453" t="s">
        <v>9507</v>
      </c>
      <c r="D13453" s="21" t="s">
        <v>34</v>
      </c>
      <c r="E13453" s="21" t="s">
        <v>35</v>
      </c>
      <c r="F13453">
        <v>7800147</v>
      </c>
      <c r="G13453" t="s">
        <v>10438</v>
      </c>
      <c r="H13453" s="21">
        <v>897.17</v>
      </c>
    </row>
    <row r="13454" spans="1:8" customFormat="1" x14ac:dyDescent="0.25">
      <c r="A13454" t="str">
        <f>"3523790"</f>
        <v>3523790</v>
      </c>
      <c r="B13454" t="s">
        <v>402</v>
      </c>
      <c r="C13454" t="s">
        <v>1110</v>
      </c>
      <c r="D13454" s="21" t="s">
        <v>34</v>
      </c>
      <c r="E13454" s="21" t="s">
        <v>71</v>
      </c>
      <c r="F13454">
        <v>3350060</v>
      </c>
      <c r="G13454" t="s">
        <v>38</v>
      </c>
      <c r="H13454" s="21">
        <v>897.17</v>
      </c>
    </row>
    <row r="13455" spans="1:8" customFormat="1" x14ac:dyDescent="0.25">
      <c r="A13455" t="str">
        <f>"2720724"</f>
        <v>2720724</v>
      </c>
      <c r="B13455" t="s">
        <v>17274</v>
      </c>
      <c r="C13455" t="s">
        <v>302</v>
      </c>
      <c r="D13455" s="21" t="s">
        <v>34</v>
      </c>
      <c r="E13455" s="21" t="s">
        <v>35</v>
      </c>
      <c r="F13455">
        <v>9270005</v>
      </c>
      <c r="G13455" t="s">
        <v>1255</v>
      </c>
      <c r="H13455" s="21">
        <v>896.92</v>
      </c>
    </row>
    <row r="13456" spans="1:8" customFormat="1" x14ac:dyDescent="0.25">
      <c r="A13456" t="str">
        <f>"3517794"</f>
        <v>3517794</v>
      </c>
      <c r="B13456" t="s">
        <v>7886</v>
      </c>
      <c r="C13456" t="s">
        <v>263</v>
      </c>
      <c r="D13456" s="21" t="s">
        <v>34</v>
      </c>
      <c r="E13456" s="21" t="s">
        <v>254</v>
      </c>
      <c r="F13456">
        <v>12530090</v>
      </c>
      <c r="G13456" t="s">
        <v>6132</v>
      </c>
      <c r="H13456" s="21">
        <v>896.92</v>
      </c>
    </row>
    <row r="13457" spans="1:8" customFormat="1" x14ac:dyDescent="0.25">
      <c r="A13457" t="str">
        <f>"9225526"</f>
        <v>9225526</v>
      </c>
      <c r="B13457" t="s">
        <v>12936</v>
      </c>
      <c r="C13457" t="s">
        <v>1104</v>
      </c>
      <c r="D13457" s="21" t="s">
        <v>34</v>
      </c>
      <c r="E13457" s="21" t="s">
        <v>35</v>
      </c>
      <c r="F13457" t="s">
        <v>3911</v>
      </c>
      <c r="G13457" t="s">
        <v>3912</v>
      </c>
      <c r="H13457" s="21">
        <v>896.79</v>
      </c>
    </row>
    <row r="13458" spans="1:8" customFormat="1" x14ac:dyDescent="0.25">
      <c r="A13458" t="str">
        <f>"591320"</f>
        <v>591320</v>
      </c>
      <c r="B13458" t="s">
        <v>12482</v>
      </c>
      <c r="C13458" t="s">
        <v>1665</v>
      </c>
      <c r="D13458" s="21" t="s">
        <v>34</v>
      </c>
      <c r="E13458" s="21" t="s">
        <v>254</v>
      </c>
      <c r="F13458">
        <v>7590194</v>
      </c>
      <c r="G13458" t="s">
        <v>460</v>
      </c>
      <c r="H13458" s="21">
        <v>896.67</v>
      </c>
    </row>
    <row r="13459" spans="1:8" customFormat="1" x14ac:dyDescent="0.25">
      <c r="A13459" t="str">
        <f>"6229331"</f>
        <v>6229331</v>
      </c>
      <c r="B13459" t="s">
        <v>11931</v>
      </c>
      <c r="C13459" t="s">
        <v>263</v>
      </c>
      <c r="D13459" s="21" t="s">
        <v>34</v>
      </c>
      <c r="E13459" s="21" t="s">
        <v>71</v>
      </c>
      <c r="F13459">
        <v>7620177</v>
      </c>
      <c r="G13459" t="s">
        <v>11932</v>
      </c>
      <c r="H13459" s="21">
        <v>896.67</v>
      </c>
    </row>
    <row r="13460" spans="1:8" customFormat="1" x14ac:dyDescent="0.25">
      <c r="A13460" t="str">
        <f>"166535"</f>
        <v>166535</v>
      </c>
      <c r="B13460" t="s">
        <v>9781</v>
      </c>
      <c r="C13460" t="s">
        <v>11636</v>
      </c>
      <c r="D13460" s="21" t="s">
        <v>34</v>
      </c>
      <c r="E13460" s="21" t="s">
        <v>254</v>
      </c>
      <c r="F13460">
        <v>10160029</v>
      </c>
      <c r="G13460" t="s">
        <v>896</v>
      </c>
      <c r="H13460" s="21">
        <v>896.67</v>
      </c>
    </row>
    <row r="13461" spans="1:8" customFormat="1" x14ac:dyDescent="0.25">
      <c r="A13461" t="str">
        <f>"7865376"</f>
        <v>7865376</v>
      </c>
      <c r="B13461" t="s">
        <v>11737</v>
      </c>
      <c r="C13461" t="s">
        <v>11738</v>
      </c>
      <c r="D13461" s="21" t="s">
        <v>34</v>
      </c>
      <c r="E13461" s="21" t="s">
        <v>71</v>
      </c>
      <c r="F13461">
        <v>8780529</v>
      </c>
      <c r="G13461" t="s">
        <v>8624</v>
      </c>
      <c r="H13461" s="21">
        <v>896.67</v>
      </c>
    </row>
    <row r="13462" spans="1:8" customFormat="1" x14ac:dyDescent="0.25">
      <c r="A13462" t="str">
        <f>"284527"</f>
        <v>284527</v>
      </c>
      <c r="B13462" t="s">
        <v>10113</v>
      </c>
      <c r="C13462" t="s">
        <v>10114</v>
      </c>
      <c r="D13462" s="21" t="s">
        <v>34</v>
      </c>
      <c r="E13462" s="21" t="s">
        <v>254</v>
      </c>
      <c r="F13462">
        <v>4280004</v>
      </c>
      <c r="G13462" t="s">
        <v>91</v>
      </c>
      <c r="H13462" s="21">
        <v>896.67</v>
      </c>
    </row>
    <row r="13463" spans="1:8" customFormat="1" x14ac:dyDescent="0.25">
      <c r="A13463" t="str">
        <f>"302659"</f>
        <v>302659</v>
      </c>
      <c r="B13463" t="s">
        <v>13734</v>
      </c>
      <c r="C13463" t="s">
        <v>40</v>
      </c>
      <c r="D13463" s="21" t="s">
        <v>34</v>
      </c>
      <c r="E13463" s="21" t="s">
        <v>254</v>
      </c>
      <c r="F13463">
        <v>11300003</v>
      </c>
      <c r="G13463" t="s">
        <v>7949</v>
      </c>
      <c r="H13463" s="21">
        <v>896.67</v>
      </c>
    </row>
    <row r="13464" spans="1:8" customFormat="1" x14ac:dyDescent="0.25">
      <c r="A13464" t="str">
        <f>"7511177"</f>
        <v>7511177</v>
      </c>
      <c r="B13464" t="s">
        <v>15022</v>
      </c>
      <c r="C13464" t="s">
        <v>127</v>
      </c>
      <c r="D13464" s="21" t="s">
        <v>34</v>
      </c>
      <c r="E13464" s="21" t="s">
        <v>35</v>
      </c>
      <c r="F13464">
        <v>8940096</v>
      </c>
      <c r="G13464" t="s">
        <v>5453</v>
      </c>
      <c r="H13464" s="21">
        <v>896.67</v>
      </c>
    </row>
    <row r="13465" spans="1:8" customFormat="1" x14ac:dyDescent="0.25">
      <c r="A13465" t="str">
        <f>"449113"</f>
        <v>449113</v>
      </c>
      <c r="B13465" t="s">
        <v>12180</v>
      </c>
      <c r="C13465" t="s">
        <v>144</v>
      </c>
      <c r="D13465" s="21" t="s">
        <v>34</v>
      </c>
      <c r="E13465" s="21" t="s">
        <v>71</v>
      </c>
      <c r="F13465">
        <v>12440140</v>
      </c>
      <c r="G13465" t="s">
        <v>11783</v>
      </c>
      <c r="H13465" s="21">
        <v>896.67</v>
      </c>
    </row>
    <row r="13466" spans="1:8" customFormat="1" x14ac:dyDescent="0.25">
      <c r="A13466" t="str">
        <f>"7510268"</f>
        <v>7510268</v>
      </c>
      <c r="B13466" t="s">
        <v>12643</v>
      </c>
      <c r="C13466" t="s">
        <v>598</v>
      </c>
      <c r="D13466" s="21" t="s">
        <v>34</v>
      </c>
      <c r="E13466" s="21" t="s">
        <v>35</v>
      </c>
      <c r="F13466">
        <v>8770202</v>
      </c>
      <c r="G13466" t="s">
        <v>1999</v>
      </c>
      <c r="H13466" s="21">
        <v>896.67</v>
      </c>
    </row>
    <row r="13467" spans="1:8" customFormat="1" x14ac:dyDescent="0.25">
      <c r="A13467" t="str">
        <f>"37549"</f>
        <v>37549</v>
      </c>
      <c r="B13467" t="s">
        <v>577</v>
      </c>
      <c r="C13467" t="s">
        <v>209</v>
      </c>
      <c r="D13467" s="21" t="s">
        <v>34</v>
      </c>
      <c r="E13467" s="21" t="s">
        <v>254</v>
      </c>
      <c r="F13467">
        <v>4370004</v>
      </c>
      <c r="G13467" t="s">
        <v>6049</v>
      </c>
      <c r="H13467" s="21">
        <v>896.67</v>
      </c>
    </row>
    <row r="13468" spans="1:8" customFormat="1" x14ac:dyDescent="0.25">
      <c r="A13468" t="str">
        <f>"614933"</f>
        <v>614933</v>
      </c>
      <c r="B13468" t="s">
        <v>11988</v>
      </c>
      <c r="C13468" t="s">
        <v>2370</v>
      </c>
      <c r="D13468" s="21" t="s">
        <v>34</v>
      </c>
      <c r="E13468" s="21" t="s">
        <v>35</v>
      </c>
      <c r="F13468">
        <v>9610122</v>
      </c>
      <c r="G13468" t="s">
        <v>4349</v>
      </c>
      <c r="H13468" s="21">
        <v>896.67</v>
      </c>
    </row>
    <row r="13469" spans="1:8" customFormat="1" x14ac:dyDescent="0.25">
      <c r="A13469" t="str">
        <f>"8011030"</f>
        <v>8011030</v>
      </c>
      <c r="B13469" t="s">
        <v>6085</v>
      </c>
      <c r="C13469" t="s">
        <v>1665</v>
      </c>
      <c r="D13469" s="21" t="s">
        <v>34</v>
      </c>
      <c r="E13469" s="21" t="s">
        <v>71</v>
      </c>
      <c r="F13469">
        <v>7600003</v>
      </c>
      <c r="G13469" t="s">
        <v>3515</v>
      </c>
      <c r="H13469" s="21">
        <v>896.67</v>
      </c>
    </row>
    <row r="13470" spans="1:8" customFormat="1" x14ac:dyDescent="0.25">
      <c r="A13470" t="str">
        <f>"6718219"</f>
        <v>6718219</v>
      </c>
      <c r="B13470" t="s">
        <v>12361</v>
      </c>
      <c r="C13470" t="s">
        <v>12362</v>
      </c>
      <c r="D13470" s="21" t="s">
        <v>34</v>
      </c>
      <c r="E13470" s="21" t="s">
        <v>71</v>
      </c>
      <c r="F13470">
        <v>6670058</v>
      </c>
      <c r="G13470" t="s">
        <v>2551</v>
      </c>
      <c r="H13470" s="21">
        <v>896.67</v>
      </c>
    </row>
    <row r="13471" spans="1:8" customFormat="1" x14ac:dyDescent="0.25">
      <c r="A13471" t="str">
        <f>"537944"</f>
        <v>537944</v>
      </c>
      <c r="B13471" t="s">
        <v>4211</v>
      </c>
      <c r="C13471" t="s">
        <v>415</v>
      </c>
      <c r="D13471" s="21" t="s">
        <v>34</v>
      </c>
      <c r="E13471" s="21" t="s">
        <v>71</v>
      </c>
      <c r="F13471">
        <v>12530098</v>
      </c>
      <c r="G13471" t="s">
        <v>8852</v>
      </c>
      <c r="H13471" s="21">
        <v>896.67</v>
      </c>
    </row>
    <row r="13472" spans="1:8" customFormat="1" x14ac:dyDescent="0.25">
      <c r="A13472" t="str">
        <f>"494513"</f>
        <v>494513</v>
      </c>
      <c r="B13472" t="s">
        <v>6024</v>
      </c>
      <c r="C13472" t="s">
        <v>60</v>
      </c>
      <c r="D13472" s="21" t="s">
        <v>34</v>
      </c>
      <c r="E13472" s="21" t="s">
        <v>71</v>
      </c>
      <c r="F13472">
        <v>12490073</v>
      </c>
      <c r="G13472" t="s">
        <v>296</v>
      </c>
      <c r="H13472" s="21">
        <v>896.67</v>
      </c>
    </row>
    <row r="13473" spans="1:8" customFormat="1" x14ac:dyDescent="0.25">
      <c r="A13473" t="str">
        <f>"287705"</f>
        <v>287705</v>
      </c>
      <c r="B13473" t="s">
        <v>7072</v>
      </c>
      <c r="C13473" t="s">
        <v>2305</v>
      </c>
      <c r="D13473" s="21" t="s">
        <v>34</v>
      </c>
      <c r="E13473" s="21" t="s">
        <v>1089</v>
      </c>
      <c r="F13473">
        <v>3350227</v>
      </c>
      <c r="G13473" t="s">
        <v>9187</v>
      </c>
      <c r="H13473" s="21">
        <v>896.67</v>
      </c>
    </row>
    <row r="13474" spans="1:8" customFormat="1" x14ac:dyDescent="0.25">
      <c r="A13474" t="str">
        <f>"4214132"</f>
        <v>4214132</v>
      </c>
      <c r="B13474" t="s">
        <v>27300</v>
      </c>
      <c r="C13474" t="s">
        <v>169</v>
      </c>
      <c r="D13474" s="21" t="s">
        <v>34</v>
      </c>
      <c r="E13474" s="21" t="s">
        <v>71</v>
      </c>
      <c r="F13474">
        <v>1420088</v>
      </c>
      <c r="G13474" t="s">
        <v>7613</v>
      </c>
      <c r="H13474" s="21">
        <v>896.67</v>
      </c>
    </row>
    <row r="13475" spans="1:8" customFormat="1" x14ac:dyDescent="0.25">
      <c r="A13475" t="str">
        <f>"0617030"</f>
        <v>0617030</v>
      </c>
      <c r="B13475" t="s">
        <v>19154</v>
      </c>
      <c r="C13475" t="s">
        <v>87</v>
      </c>
      <c r="D13475" s="21" t="s">
        <v>34</v>
      </c>
      <c r="E13475" s="21" t="s">
        <v>35</v>
      </c>
      <c r="F13475">
        <v>13060005</v>
      </c>
      <c r="G13475" t="s">
        <v>3609</v>
      </c>
      <c r="H13475" s="21">
        <v>896.67</v>
      </c>
    </row>
    <row r="13476" spans="1:8" customFormat="1" x14ac:dyDescent="0.25">
      <c r="A13476" t="str">
        <f>"9A209"</f>
        <v>9A209</v>
      </c>
      <c r="B13476" t="s">
        <v>10861</v>
      </c>
      <c r="C13476" t="s">
        <v>2520</v>
      </c>
      <c r="D13476" s="21" t="s">
        <v>34</v>
      </c>
      <c r="E13476" s="21" t="s">
        <v>71</v>
      </c>
      <c r="F13476" t="s">
        <v>2849</v>
      </c>
      <c r="G13476" t="s">
        <v>2850</v>
      </c>
      <c r="H13476" s="21">
        <v>896.54</v>
      </c>
    </row>
    <row r="13477" spans="1:8" customFormat="1" x14ac:dyDescent="0.25">
      <c r="A13477" t="str">
        <f>"9520812"</f>
        <v>9520812</v>
      </c>
      <c r="B13477" t="s">
        <v>1574</v>
      </c>
      <c r="C13477" t="s">
        <v>288</v>
      </c>
      <c r="D13477" s="21" t="s">
        <v>34</v>
      </c>
      <c r="E13477" s="21" t="s">
        <v>35</v>
      </c>
      <c r="F13477">
        <v>8950531</v>
      </c>
      <c r="G13477" t="s">
        <v>7983</v>
      </c>
      <c r="H13477" s="21">
        <v>896.42</v>
      </c>
    </row>
    <row r="13478" spans="1:8" customFormat="1" x14ac:dyDescent="0.25">
      <c r="A13478" t="str">
        <f>"81547"</f>
        <v>81547</v>
      </c>
      <c r="B13478" t="s">
        <v>877</v>
      </c>
      <c r="C13478" t="s">
        <v>415</v>
      </c>
      <c r="D13478" s="21" t="s">
        <v>34</v>
      </c>
      <c r="E13478" s="21" t="s">
        <v>254</v>
      </c>
      <c r="F13478">
        <v>11810024</v>
      </c>
      <c r="G13478" t="s">
        <v>2095</v>
      </c>
      <c r="H13478" s="21">
        <v>896.29</v>
      </c>
    </row>
    <row r="13479" spans="1:8" customFormat="1" x14ac:dyDescent="0.25">
      <c r="A13479" t="str">
        <f>"517333"</f>
        <v>517333</v>
      </c>
      <c r="B13479" t="s">
        <v>11923</v>
      </c>
      <c r="C13479" t="s">
        <v>33</v>
      </c>
      <c r="D13479" s="21" t="s">
        <v>34</v>
      </c>
      <c r="E13479" s="21" t="s">
        <v>35</v>
      </c>
      <c r="F13479">
        <v>6510090</v>
      </c>
      <c r="G13479" t="s">
        <v>11924</v>
      </c>
      <c r="H13479" s="21">
        <v>896.17</v>
      </c>
    </row>
    <row r="13480" spans="1:8" customFormat="1" x14ac:dyDescent="0.25">
      <c r="A13480" t="str">
        <f>"8817406"</f>
        <v>8817406</v>
      </c>
      <c r="B13480" t="s">
        <v>13809</v>
      </c>
      <c r="C13480" t="s">
        <v>109</v>
      </c>
      <c r="D13480" s="21" t="s">
        <v>34</v>
      </c>
      <c r="E13480" s="21" t="s">
        <v>35</v>
      </c>
      <c r="F13480">
        <v>6880073</v>
      </c>
      <c r="G13480" t="s">
        <v>6648</v>
      </c>
      <c r="H13480" s="21">
        <v>896.17</v>
      </c>
    </row>
    <row r="13481" spans="1:8" customFormat="1" x14ac:dyDescent="0.25">
      <c r="A13481" t="str">
        <f>"25923"</f>
        <v>25923</v>
      </c>
      <c r="B13481" t="s">
        <v>12191</v>
      </c>
      <c r="C13481" t="s">
        <v>720</v>
      </c>
      <c r="D13481" s="21" t="s">
        <v>34</v>
      </c>
      <c r="E13481" s="21" t="s">
        <v>1089</v>
      </c>
      <c r="F13481">
        <v>2250001</v>
      </c>
      <c r="G13481" t="s">
        <v>424</v>
      </c>
      <c r="H13481" s="21">
        <v>896.17</v>
      </c>
    </row>
    <row r="13482" spans="1:8" customFormat="1" x14ac:dyDescent="0.25">
      <c r="A13482" t="str">
        <f>"219409"</f>
        <v>219409</v>
      </c>
      <c r="B13482" t="s">
        <v>11967</v>
      </c>
      <c r="C13482" t="s">
        <v>198</v>
      </c>
      <c r="D13482" s="21" t="s">
        <v>34</v>
      </c>
      <c r="E13482" s="21" t="s">
        <v>254</v>
      </c>
      <c r="F13482">
        <v>2210126</v>
      </c>
      <c r="G13482" t="s">
        <v>10773</v>
      </c>
      <c r="H13482" s="21">
        <v>896.17</v>
      </c>
    </row>
    <row r="13483" spans="1:8" customFormat="1" x14ac:dyDescent="0.25">
      <c r="A13483" t="str">
        <f>"5322216"</f>
        <v>5322216</v>
      </c>
      <c r="B13483" t="s">
        <v>10848</v>
      </c>
      <c r="C13483" t="s">
        <v>486</v>
      </c>
      <c r="D13483" s="21" t="s">
        <v>34</v>
      </c>
      <c r="E13483" s="21" t="s">
        <v>35</v>
      </c>
      <c r="F13483">
        <v>12530136</v>
      </c>
      <c r="G13483" t="s">
        <v>4866</v>
      </c>
      <c r="H13483" s="21">
        <v>896.17</v>
      </c>
    </row>
    <row r="13484" spans="1:8" customFormat="1" x14ac:dyDescent="0.25">
      <c r="A13484" t="str">
        <f>"723120"</f>
        <v>723120</v>
      </c>
      <c r="B13484" t="s">
        <v>10947</v>
      </c>
      <c r="C13484" t="s">
        <v>462</v>
      </c>
      <c r="D13484" s="21" t="s">
        <v>34</v>
      </c>
      <c r="E13484" s="21" t="s">
        <v>35</v>
      </c>
      <c r="F13484">
        <v>12720023</v>
      </c>
      <c r="G13484" t="s">
        <v>1898</v>
      </c>
      <c r="H13484" s="21">
        <v>896.17</v>
      </c>
    </row>
    <row r="13485" spans="1:8" customFormat="1" x14ac:dyDescent="0.25">
      <c r="A13485" t="str">
        <f>"385287"</f>
        <v>385287</v>
      </c>
      <c r="B13485" t="s">
        <v>10653</v>
      </c>
      <c r="C13485" t="s">
        <v>124</v>
      </c>
      <c r="D13485" s="21" t="s">
        <v>34</v>
      </c>
      <c r="E13485" s="21" t="s">
        <v>35</v>
      </c>
      <c r="F13485">
        <v>1260005</v>
      </c>
      <c r="G13485" t="s">
        <v>10654</v>
      </c>
      <c r="H13485" s="21">
        <v>896.17</v>
      </c>
    </row>
    <row r="13486" spans="1:8" customFormat="1" x14ac:dyDescent="0.25">
      <c r="A13486" t="str">
        <f>"89733"</f>
        <v>89733</v>
      </c>
      <c r="B13486" t="s">
        <v>14766</v>
      </c>
      <c r="C13486" t="s">
        <v>82</v>
      </c>
      <c r="D13486" s="21" t="s">
        <v>34</v>
      </c>
      <c r="E13486" s="21" t="s">
        <v>35</v>
      </c>
      <c r="F13486">
        <v>2890023</v>
      </c>
      <c r="G13486" t="s">
        <v>1995</v>
      </c>
      <c r="H13486" s="21">
        <v>896.17</v>
      </c>
    </row>
    <row r="13487" spans="1:8" customFormat="1" x14ac:dyDescent="0.25">
      <c r="A13487" t="str">
        <f>"6943415"</f>
        <v>6943415</v>
      </c>
      <c r="B13487" t="s">
        <v>1393</v>
      </c>
      <c r="C13487" t="s">
        <v>1812</v>
      </c>
      <c r="D13487" s="21" t="s">
        <v>34</v>
      </c>
      <c r="E13487" s="21" t="s">
        <v>35</v>
      </c>
      <c r="F13487">
        <v>1690160</v>
      </c>
      <c r="G13487" t="s">
        <v>4599</v>
      </c>
      <c r="H13487" s="21">
        <v>896.17</v>
      </c>
    </row>
    <row r="13488" spans="1:8" customFormat="1" x14ac:dyDescent="0.25">
      <c r="A13488" t="str">
        <f>"161989"</f>
        <v>161989</v>
      </c>
      <c r="B13488" t="s">
        <v>12765</v>
      </c>
      <c r="C13488" t="s">
        <v>415</v>
      </c>
      <c r="D13488" s="21" t="s">
        <v>34</v>
      </c>
      <c r="E13488" s="21" t="s">
        <v>254</v>
      </c>
      <c r="F13488">
        <v>10160010</v>
      </c>
      <c r="G13488" t="s">
        <v>5491</v>
      </c>
      <c r="H13488" s="21">
        <v>896.17</v>
      </c>
    </row>
    <row r="13489" spans="1:8" customFormat="1" x14ac:dyDescent="0.25">
      <c r="A13489" t="str">
        <f>"148999"</f>
        <v>148999</v>
      </c>
      <c r="B13489" t="s">
        <v>1012</v>
      </c>
      <c r="C13489" t="s">
        <v>415</v>
      </c>
      <c r="D13489" s="21" t="s">
        <v>34</v>
      </c>
      <c r="E13489" s="21" t="s">
        <v>71</v>
      </c>
      <c r="F13489">
        <v>9500087</v>
      </c>
      <c r="G13489" t="s">
        <v>12569</v>
      </c>
      <c r="H13489" s="21">
        <v>896.17</v>
      </c>
    </row>
    <row r="13490" spans="1:8" customFormat="1" x14ac:dyDescent="0.25">
      <c r="A13490" t="str">
        <f>"886361"</f>
        <v>886361</v>
      </c>
      <c r="B13490" t="s">
        <v>9251</v>
      </c>
      <c r="C13490" t="s">
        <v>124</v>
      </c>
      <c r="D13490" s="21" t="s">
        <v>34</v>
      </c>
      <c r="E13490" s="21" t="s">
        <v>35</v>
      </c>
      <c r="F13490">
        <v>6880073</v>
      </c>
      <c r="G13490" t="s">
        <v>6648</v>
      </c>
      <c r="H13490" s="21">
        <v>896.17</v>
      </c>
    </row>
    <row r="13491" spans="1:8" customFormat="1" x14ac:dyDescent="0.25">
      <c r="A13491" t="str">
        <f>"714065"</f>
        <v>714065</v>
      </c>
      <c r="B13491" t="s">
        <v>2648</v>
      </c>
      <c r="C13491" t="s">
        <v>484</v>
      </c>
      <c r="D13491" s="21" t="s">
        <v>34</v>
      </c>
      <c r="E13491" s="21" t="s">
        <v>35</v>
      </c>
      <c r="F13491">
        <v>2710036</v>
      </c>
      <c r="G13491" t="s">
        <v>11095</v>
      </c>
      <c r="H13491" s="21">
        <v>896.17</v>
      </c>
    </row>
    <row r="13492" spans="1:8" customFormat="1" x14ac:dyDescent="0.25">
      <c r="A13492" t="str">
        <f>"5324321"</f>
        <v>5324321</v>
      </c>
      <c r="B13492" t="s">
        <v>5222</v>
      </c>
      <c r="C13492" t="s">
        <v>139</v>
      </c>
      <c r="D13492" s="21" t="s">
        <v>34</v>
      </c>
      <c r="E13492" s="21" t="s">
        <v>35</v>
      </c>
      <c r="F13492">
        <v>12530072</v>
      </c>
      <c r="G13492" t="s">
        <v>7342</v>
      </c>
      <c r="H13492" s="21">
        <v>896.17</v>
      </c>
    </row>
    <row r="13493" spans="1:8" customFormat="1" x14ac:dyDescent="0.25">
      <c r="A13493" t="str">
        <f>"518738"</f>
        <v>518738</v>
      </c>
      <c r="B13493" t="s">
        <v>7583</v>
      </c>
      <c r="C13493" t="s">
        <v>55</v>
      </c>
      <c r="D13493" s="21" t="s">
        <v>34</v>
      </c>
      <c r="E13493" s="21" t="s">
        <v>71</v>
      </c>
      <c r="F13493">
        <v>6510082</v>
      </c>
      <c r="G13493" t="s">
        <v>11761</v>
      </c>
      <c r="H13493" s="21">
        <v>896.17</v>
      </c>
    </row>
    <row r="13494" spans="1:8" customFormat="1" x14ac:dyDescent="0.25">
      <c r="A13494" t="str">
        <f>"412209"</f>
        <v>412209</v>
      </c>
      <c r="B13494" t="s">
        <v>3958</v>
      </c>
      <c r="C13494" t="s">
        <v>8893</v>
      </c>
      <c r="D13494" s="21" t="s">
        <v>34</v>
      </c>
      <c r="E13494" s="21" t="s">
        <v>35</v>
      </c>
      <c r="F13494">
        <v>4410537</v>
      </c>
      <c r="G13494" t="s">
        <v>6515</v>
      </c>
      <c r="H13494" s="21">
        <v>896.17</v>
      </c>
    </row>
    <row r="13495" spans="1:8" customFormat="1" x14ac:dyDescent="0.25">
      <c r="A13495" t="str">
        <f>"5960756"</f>
        <v>5960756</v>
      </c>
      <c r="B13495" t="s">
        <v>12177</v>
      </c>
      <c r="C13495" t="s">
        <v>149</v>
      </c>
      <c r="D13495" s="21" t="s">
        <v>34</v>
      </c>
      <c r="E13495" s="21" t="s">
        <v>35</v>
      </c>
      <c r="F13495">
        <v>7590354</v>
      </c>
      <c r="G13495" t="s">
        <v>5786</v>
      </c>
      <c r="H13495" s="21">
        <v>896.17</v>
      </c>
    </row>
    <row r="13496" spans="1:8" customFormat="1" x14ac:dyDescent="0.25">
      <c r="A13496" t="str">
        <f>"946961"</f>
        <v>946961</v>
      </c>
      <c r="B13496" t="s">
        <v>11340</v>
      </c>
      <c r="C13496" t="s">
        <v>462</v>
      </c>
      <c r="D13496" s="21" t="s">
        <v>34</v>
      </c>
      <c r="E13496" s="21" t="s">
        <v>35</v>
      </c>
      <c r="F13496">
        <v>8940459</v>
      </c>
      <c r="G13496" t="s">
        <v>743</v>
      </c>
      <c r="H13496" s="21">
        <v>896.04</v>
      </c>
    </row>
    <row r="13497" spans="1:8" customFormat="1" x14ac:dyDescent="0.25">
      <c r="A13497" t="str">
        <f>"419362"</f>
        <v>419362</v>
      </c>
      <c r="B13497" t="s">
        <v>13994</v>
      </c>
      <c r="C13497" t="s">
        <v>171</v>
      </c>
      <c r="D13497" s="21" t="s">
        <v>34</v>
      </c>
      <c r="E13497" s="21" t="s">
        <v>71</v>
      </c>
      <c r="F13497">
        <v>4410696</v>
      </c>
      <c r="G13497" t="s">
        <v>5909</v>
      </c>
      <c r="H13497" s="21">
        <v>895.92</v>
      </c>
    </row>
    <row r="13498" spans="1:8" customFormat="1" x14ac:dyDescent="0.25">
      <c r="A13498" t="str">
        <f>"346170"</f>
        <v>346170</v>
      </c>
      <c r="B13498" t="s">
        <v>78</v>
      </c>
      <c r="C13498" t="s">
        <v>11583</v>
      </c>
      <c r="D13498" s="21" t="s">
        <v>34</v>
      </c>
      <c r="E13498" s="21" t="s">
        <v>254</v>
      </c>
      <c r="F13498">
        <v>11340010</v>
      </c>
      <c r="G13498" t="s">
        <v>66</v>
      </c>
      <c r="H13498" s="21">
        <v>895.92</v>
      </c>
    </row>
    <row r="13499" spans="1:8" customFormat="1" x14ac:dyDescent="0.25">
      <c r="A13499" t="str">
        <f>"3320538"</f>
        <v>3320538</v>
      </c>
      <c r="B13499" t="s">
        <v>10342</v>
      </c>
      <c r="C13499" t="s">
        <v>87</v>
      </c>
      <c r="D13499" s="21" t="s">
        <v>34</v>
      </c>
      <c r="E13499" s="21" t="s">
        <v>35</v>
      </c>
      <c r="F13499">
        <v>10470009</v>
      </c>
      <c r="G13499" t="s">
        <v>4915</v>
      </c>
      <c r="H13499" s="21">
        <v>895.92</v>
      </c>
    </row>
    <row r="13500" spans="1:8" customFormat="1" x14ac:dyDescent="0.25">
      <c r="A13500" t="str">
        <f>"338555"</f>
        <v>338555</v>
      </c>
      <c r="B13500" t="s">
        <v>27301</v>
      </c>
      <c r="C13500" t="s">
        <v>209</v>
      </c>
      <c r="D13500" s="21" t="s">
        <v>34</v>
      </c>
      <c r="E13500" s="21" t="s">
        <v>71</v>
      </c>
      <c r="F13500">
        <v>10330045</v>
      </c>
      <c r="G13500" t="s">
        <v>4506</v>
      </c>
      <c r="H13500" s="21">
        <v>895.67</v>
      </c>
    </row>
    <row r="13501" spans="1:8" customFormat="1" x14ac:dyDescent="0.25">
      <c r="A13501" t="str">
        <f>"592756"</f>
        <v>592756</v>
      </c>
      <c r="B13501" t="s">
        <v>8860</v>
      </c>
      <c r="C13501" t="s">
        <v>269</v>
      </c>
      <c r="D13501" s="21" t="s">
        <v>34</v>
      </c>
      <c r="E13501" s="21" t="s">
        <v>35</v>
      </c>
      <c r="F13501">
        <v>7590392</v>
      </c>
      <c r="G13501" t="s">
        <v>154</v>
      </c>
      <c r="H13501" s="21">
        <v>895.67</v>
      </c>
    </row>
    <row r="13502" spans="1:8" customFormat="1" x14ac:dyDescent="0.25">
      <c r="A13502" t="str">
        <f>"7626210"</f>
        <v>7626210</v>
      </c>
      <c r="B13502" t="s">
        <v>27302</v>
      </c>
      <c r="C13502" t="s">
        <v>55</v>
      </c>
      <c r="D13502" s="21" t="s">
        <v>34</v>
      </c>
      <c r="E13502" s="21" t="s">
        <v>35</v>
      </c>
      <c r="F13502">
        <v>9760419</v>
      </c>
      <c r="G13502" t="s">
        <v>8549</v>
      </c>
      <c r="H13502" s="21">
        <v>895.67</v>
      </c>
    </row>
    <row r="13503" spans="1:8" customFormat="1" x14ac:dyDescent="0.25">
      <c r="A13503" t="str">
        <f>"412119"</f>
        <v>412119</v>
      </c>
      <c r="B13503" t="s">
        <v>12209</v>
      </c>
      <c r="C13503" t="s">
        <v>462</v>
      </c>
      <c r="D13503" s="21" t="s">
        <v>34</v>
      </c>
      <c r="E13503" s="21" t="s">
        <v>35</v>
      </c>
      <c r="F13503">
        <v>4410390</v>
      </c>
      <c r="G13503" t="s">
        <v>12210</v>
      </c>
      <c r="H13503" s="21">
        <v>895.67</v>
      </c>
    </row>
    <row r="13504" spans="1:8" customFormat="1" x14ac:dyDescent="0.25">
      <c r="A13504" t="str">
        <f>"35820"</f>
        <v>35820</v>
      </c>
      <c r="B13504" t="s">
        <v>12460</v>
      </c>
      <c r="C13504" t="s">
        <v>2529</v>
      </c>
      <c r="D13504" s="21" t="s">
        <v>34</v>
      </c>
      <c r="E13504" s="21" t="s">
        <v>71</v>
      </c>
      <c r="F13504">
        <v>3350074</v>
      </c>
      <c r="G13504" t="s">
        <v>5432</v>
      </c>
      <c r="H13504" s="21">
        <v>895.67</v>
      </c>
    </row>
    <row r="13505" spans="1:8" customFormat="1" x14ac:dyDescent="0.25">
      <c r="A13505" t="str">
        <f>"7612448"</f>
        <v>7612448</v>
      </c>
      <c r="B13505" t="s">
        <v>11848</v>
      </c>
      <c r="C13505" t="s">
        <v>1063</v>
      </c>
      <c r="D13505" s="21" t="s">
        <v>34</v>
      </c>
      <c r="E13505" s="21" t="s">
        <v>35</v>
      </c>
      <c r="F13505">
        <v>9760442</v>
      </c>
      <c r="G13505" t="s">
        <v>5753</v>
      </c>
      <c r="H13505" s="21">
        <v>895.67</v>
      </c>
    </row>
    <row r="13506" spans="1:8" customFormat="1" x14ac:dyDescent="0.25">
      <c r="A13506" t="str">
        <f>"7920589"</f>
        <v>7920589</v>
      </c>
      <c r="B13506" t="s">
        <v>12577</v>
      </c>
      <c r="C13506" t="s">
        <v>328</v>
      </c>
      <c r="D13506" s="21" t="s">
        <v>34</v>
      </c>
      <c r="E13506" s="21" t="s">
        <v>35</v>
      </c>
      <c r="F13506">
        <v>10790163</v>
      </c>
      <c r="G13506" t="s">
        <v>2015</v>
      </c>
      <c r="H13506" s="21">
        <v>895.67</v>
      </c>
    </row>
    <row r="13507" spans="1:8" customFormat="1" x14ac:dyDescent="0.25">
      <c r="A13507" t="str">
        <f>"3313205"</f>
        <v>3313205</v>
      </c>
      <c r="B13507" t="s">
        <v>11056</v>
      </c>
      <c r="C13507" t="s">
        <v>114</v>
      </c>
      <c r="D13507" s="21" t="s">
        <v>34</v>
      </c>
      <c r="E13507" s="21" t="s">
        <v>35</v>
      </c>
      <c r="F13507">
        <v>10330067</v>
      </c>
      <c r="G13507" t="s">
        <v>125</v>
      </c>
      <c r="H13507" s="21">
        <v>895.67</v>
      </c>
    </row>
    <row r="13508" spans="1:8" customFormat="1" x14ac:dyDescent="0.25">
      <c r="A13508" t="str">
        <f>"429477"</f>
        <v>429477</v>
      </c>
      <c r="B13508" t="s">
        <v>11881</v>
      </c>
      <c r="C13508" t="s">
        <v>233</v>
      </c>
      <c r="D13508" s="21" t="s">
        <v>34</v>
      </c>
      <c r="E13508" s="21" t="s">
        <v>71</v>
      </c>
      <c r="F13508">
        <v>1420148</v>
      </c>
      <c r="G13508" t="s">
        <v>10763</v>
      </c>
      <c r="H13508" s="21">
        <v>895.67</v>
      </c>
    </row>
    <row r="13509" spans="1:8" customFormat="1" x14ac:dyDescent="0.25">
      <c r="A13509" t="str">
        <f>"4922338"</f>
        <v>4922338</v>
      </c>
      <c r="B13509" t="s">
        <v>10948</v>
      </c>
      <c r="C13509" t="s">
        <v>37</v>
      </c>
      <c r="D13509" s="21" t="s">
        <v>34</v>
      </c>
      <c r="E13509" s="21" t="s">
        <v>35</v>
      </c>
      <c r="F13509">
        <v>12490048</v>
      </c>
      <c r="G13509" t="s">
        <v>4228</v>
      </c>
      <c r="H13509" s="21">
        <v>895.67</v>
      </c>
    </row>
    <row r="13510" spans="1:8" customFormat="1" x14ac:dyDescent="0.25">
      <c r="A13510" t="str">
        <f>"4514880"</f>
        <v>4514880</v>
      </c>
      <c r="B13510" t="s">
        <v>12169</v>
      </c>
      <c r="C13510" t="s">
        <v>12170</v>
      </c>
      <c r="D13510" s="21" t="s">
        <v>34</v>
      </c>
      <c r="E13510" s="21" t="s">
        <v>71</v>
      </c>
      <c r="F13510">
        <v>4450417</v>
      </c>
      <c r="G13510" t="s">
        <v>2284</v>
      </c>
      <c r="H13510" s="21">
        <v>895.67</v>
      </c>
    </row>
    <row r="13511" spans="1:8" customFormat="1" x14ac:dyDescent="0.25">
      <c r="A13511" t="str">
        <f>"7638221"</f>
        <v>7638221</v>
      </c>
      <c r="B13511" t="s">
        <v>6219</v>
      </c>
      <c r="C13511" t="s">
        <v>98</v>
      </c>
      <c r="D13511" s="21" t="s">
        <v>34</v>
      </c>
      <c r="E13511" s="21" t="s">
        <v>35</v>
      </c>
      <c r="F13511">
        <v>9760082</v>
      </c>
      <c r="G13511" t="s">
        <v>2387</v>
      </c>
      <c r="H13511" s="21">
        <v>895.67</v>
      </c>
    </row>
    <row r="13512" spans="1:8" customFormat="1" x14ac:dyDescent="0.25">
      <c r="A13512" t="str">
        <f>"745330"</f>
        <v>745330</v>
      </c>
      <c r="B13512" t="s">
        <v>3634</v>
      </c>
      <c r="C13512" t="s">
        <v>305</v>
      </c>
      <c r="D13512" s="21" t="s">
        <v>34</v>
      </c>
      <c r="E13512" s="21" t="s">
        <v>71</v>
      </c>
      <c r="F13512">
        <v>1740060</v>
      </c>
      <c r="G13512" t="s">
        <v>4907</v>
      </c>
      <c r="H13512" s="21">
        <v>895.67</v>
      </c>
    </row>
    <row r="13513" spans="1:8" customFormat="1" x14ac:dyDescent="0.25">
      <c r="A13513" t="str">
        <f>"706364"</f>
        <v>706364</v>
      </c>
      <c r="B13513" t="s">
        <v>1601</v>
      </c>
      <c r="C13513" t="s">
        <v>204</v>
      </c>
      <c r="D13513" s="21" t="s">
        <v>34</v>
      </c>
      <c r="E13513" s="21" t="s">
        <v>35</v>
      </c>
      <c r="F13513">
        <v>2900041</v>
      </c>
      <c r="G13513" t="s">
        <v>4635</v>
      </c>
      <c r="H13513" s="21">
        <v>895.67</v>
      </c>
    </row>
    <row r="13514" spans="1:8" customFormat="1" x14ac:dyDescent="0.25">
      <c r="A13514" t="str">
        <f>"1716809"</f>
        <v>1716809</v>
      </c>
      <c r="B13514" t="s">
        <v>14467</v>
      </c>
      <c r="C13514" t="s">
        <v>209</v>
      </c>
      <c r="D13514" s="21" t="s">
        <v>34</v>
      </c>
      <c r="E13514" s="21" t="s">
        <v>71</v>
      </c>
      <c r="F13514">
        <v>10170009</v>
      </c>
      <c r="G13514" t="s">
        <v>3810</v>
      </c>
      <c r="H13514" s="21">
        <v>895.67</v>
      </c>
    </row>
    <row r="13515" spans="1:8" customFormat="1" x14ac:dyDescent="0.25">
      <c r="A13515" t="str">
        <f>"494126"</f>
        <v>494126</v>
      </c>
      <c r="B13515" t="s">
        <v>13139</v>
      </c>
      <c r="C13515" t="s">
        <v>462</v>
      </c>
      <c r="D13515" s="21" t="s">
        <v>34</v>
      </c>
      <c r="E13515" s="21" t="s">
        <v>254</v>
      </c>
      <c r="F13515">
        <v>12490061</v>
      </c>
      <c r="G13515" t="s">
        <v>969</v>
      </c>
      <c r="H13515" s="21">
        <v>895.67</v>
      </c>
    </row>
    <row r="13516" spans="1:8" customFormat="1" x14ac:dyDescent="0.25">
      <c r="A13516" t="str">
        <f>"904165"</f>
        <v>904165</v>
      </c>
      <c r="B13516" t="s">
        <v>12615</v>
      </c>
      <c r="C13516" t="s">
        <v>171</v>
      </c>
      <c r="D13516" s="21" t="s">
        <v>34</v>
      </c>
      <c r="E13516" s="21" t="s">
        <v>35</v>
      </c>
      <c r="F13516">
        <v>2900046</v>
      </c>
      <c r="G13516" t="s">
        <v>4101</v>
      </c>
      <c r="H13516" s="21">
        <v>895.67</v>
      </c>
    </row>
    <row r="13517" spans="1:8" customFormat="1" x14ac:dyDescent="0.25">
      <c r="A13517" t="str">
        <f>"879304"</f>
        <v>879304</v>
      </c>
      <c r="B13517" t="s">
        <v>1476</v>
      </c>
      <c r="C13517" t="s">
        <v>33</v>
      </c>
      <c r="D13517" s="21" t="s">
        <v>34</v>
      </c>
      <c r="E13517" s="21" t="s">
        <v>35</v>
      </c>
      <c r="F13517">
        <v>10870109</v>
      </c>
      <c r="G13517" t="s">
        <v>5199</v>
      </c>
      <c r="H13517" s="21">
        <v>895.67</v>
      </c>
    </row>
    <row r="13518" spans="1:8" customFormat="1" x14ac:dyDescent="0.25">
      <c r="A13518" t="str">
        <f>"2922417"</f>
        <v>2922417</v>
      </c>
      <c r="B13518" t="s">
        <v>11383</v>
      </c>
      <c r="C13518" t="s">
        <v>293</v>
      </c>
      <c r="D13518" s="21" t="s">
        <v>34</v>
      </c>
      <c r="E13518" s="21" t="s">
        <v>35</v>
      </c>
      <c r="F13518">
        <v>3290284</v>
      </c>
      <c r="G13518" t="s">
        <v>8972</v>
      </c>
      <c r="H13518" s="21">
        <v>895.67</v>
      </c>
    </row>
    <row r="13519" spans="1:8" customFormat="1" x14ac:dyDescent="0.25">
      <c r="A13519" t="str">
        <f>"104002"</f>
        <v>104002</v>
      </c>
      <c r="B13519" t="s">
        <v>27303</v>
      </c>
      <c r="C13519" t="s">
        <v>33</v>
      </c>
      <c r="D13519" s="21" t="s">
        <v>34</v>
      </c>
      <c r="E13519" s="21" t="s">
        <v>35</v>
      </c>
      <c r="F13519">
        <v>6540016</v>
      </c>
      <c r="G13519" t="s">
        <v>14523</v>
      </c>
      <c r="H13519" s="21">
        <v>895.67</v>
      </c>
    </row>
    <row r="13520" spans="1:8" customFormat="1" x14ac:dyDescent="0.25">
      <c r="A13520" t="str">
        <f>"566742"</f>
        <v>566742</v>
      </c>
      <c r="B13520" t="s">
        <v>7700</v>
      </c>
      <c r="C13520" t="s">
        <v>124</v>
      </c>
      <c r="D13520" s="21" t="s">
        <v>34</v>
      </c>
      <c r="E13520" s="21" t="s">
        <v>35</v>
      </c>
      <c r="F13520">
        <v>3560049</v>
      </c>
      <c r="G13520" t="s">
        <v>8021</v>
      </c>
      <c r="H13520" s="21">
        <v>895.67</v>
      </c>
    </row>
    <row r="13521" spans="1:8" customFormat="1" x14ac:dyDescent="0.25">
      <c r="A13521" t="str">
        <f>"167548"</f>
        <v>167548</v>
      </c>
      <c r="B13521" t="s">
        <v>13181</v>
      </c>
      <c r="C13521" t="s">
        <v>209</v>
      </c>
      <c r="D13521" s="21" t="s">
        <v>34</v>
      </c>
      <c r="E13521" s="21" t="s">
        <v>71</v>
      </c>
      <c r="F13521">
        <v>10160185</v>
      </c>
      <c r="G13521" t="s">
        <v>2035</v>
      </c>
      <c r="H13521" s="21">
        <v>895.67</v>
      </c>
    </row>
    <row r="13522" spans="1:8" customFormat="1" x14ac:dyDescent="0.25">
      <c r="A13522" t="str">
        <f>"12637"</f>
        <v>12637</v>
      </c>
      <c r="B13522" t="s">
        <v>4825</v>
      </c>
      <c r="C13522" t="s">
        <v>209</v>
      </c>
      <c r="D13522" s="21" t="s">
        <v>34</v>
      </c>
      <c r="E13522" s="21" t="s">
        <v>35</v>
      </c>
      <c r="F13522">
        <v>11120026</v>
      </c>
      <c r="G13522" t="s">
        <v>9107</v>
      </c>
      <c r="H13522" s="21">
        <v>895.54</v>
      </c>
    </row>
    <row r="13523" spans="1:8" customFormat="1" x14ac:dyDescent="0.25">
      <c r="A13523" t="str">
        <f>"903190"</f>
        <v>903190</v>
      </c>
      <c r="B13523" t="s">
        <v>15070</v>
      </c>
      <c r="C13523" t="s">
        <v>305</v>
      </c>
      <c r="D13523" s="21" t="s">
        <v>34</v>
      </c>
      <c r="E13523" s="21" t="s">
        <v>35</v>
      </c>
      <c r="F13523">
        <v>2900039</v>
      </c>
      <c r="G13523" t="s">
        <v>26615</v>
      </c>
      <c r="H13523" s="21">
        <v>895.54</v>
      </c>
    </row>
    <row r="13524" spans="1:8" customFormat="1" x14ac:dyDescent="0.25">
      <c r="A13524" t="str">
        <f>"7518991"</f>
        <v>7518991</v>
      </c>
      <c r="B13524" t="s">
        <v>12418</v>
      </c>
      <c r="C13524" t="s">
        <v>528</v>
      </c>
      <c r="D13524" s="21" t="s">
        <v>34</v>
      </c>
      <c r="E13524" s="21" t="s">
        <v>71</v>
      </c>
      <c r="F13524">
        <v>8750120</v>
      </c>
      <c r="G13524" t="s">
        <v>838</v>
      </c>
      <c r="H13524" s="21">
        <v>895.42</v>
      </c>
    </row>
    <row r="13525" spans="1:8" customFormat="1" x14ac:dyDescent="0.25">
      <c r="A13525" t="str">
        <f>"091465"</f>
        <v>091465</v>
      </c>
      <c r="B13525" t="s">
        <v>14812</v>
      </c>
      <c r="C13525" t="s">
        <v>144</v>
      </c>
      <c r="D13525" s="21" t="s">
        <v>34</v>
      </c>
      <c r="E13525" s="21" t="s">
        <v>35</v>
      </c>
      <c r="F13525">
        <v>11090019</v>
      </c>
      <c r="G13525" t="s">
        <v>5591</v>
      </c>
      <c r="H13525" s="21">
        <v>895.42</v>
      </c>
    </row>
    <row r="13526" spans="1:8" customFormat="1" x14ac:dyDescent="0.25">
      <c r="A13526" t="str">
        <f>"895347"</f>
        <v>895347</v>
      </c>
      <c r="B13526" t="s">
        <v>12082</v>
      </c>
      <c r="C13526" t="s">
        <v>169</v>
      </c>
      <c r="D13526" s="21" t="s">
        <v>34</v>
      </c>
      <c r="E13526" s="21" t="s">
        <v>35</v>
      </c>
      <c r="F13526">
        <v>2890023</v>
      </c>
      <c r="G13526" t="s">
        <v>1995</v>
      </c>
      <c r="H13526" s="21">
        <v>895.42</v>
      </c>
    </row>
    <row r="13527" spans="1:8" customFormat="1" x14ac:dyDescent="0.25">
      <c r="A13527" t="str">
        <f>"591622"</f>
        <v>591622</v>
      </c>
      <c r="B13527" t="s">
        <v>12558</v>
      </c>
      <c r="C13527" t="s">
        <v>124</v>
      </c>
      <c r="D13527" s="21" t="s">
        <v>34</v>
      </c>
      <c r="E13527" s="21" t="s">
        <v>254</v>
      </c>
      <c r="F13527">
        <v>1420078</v>
      </c>
      <c r="G13527" t="s">
        <v>4287</v>
      </c>
      <c r="H13527" s="21">
        <v>895.42</v>
      </c>
    </row>
    <row r="13528" spans="1:8" customFormat="1" x14ac:dyDescent="0.25">
      <c r="A13528" t="str">
        <f>"9424547"</f>
        <v>9424547</v>
      </c>
      <c r="B13528" t="s">
        <v>10700</v>
      </c>
      <c r="C13528" t="s">
        <v>65</v>
      </c>
      <c r="D13528" s="21" t="s">
        <v>34</v>
      </c>
      <c r="E13528" s="21" t="s">
        <v>35</v>
      </c>
      <c r="F13528">
        <v>1690186</v>
      </c>
      <c r="G13528" t="s">
        <v>438</v>
      </c>
      <c r="H13528" s="21">
        <v>895.42</v>
      </c>
    </row>
    <row r="13529" spans="1:8" customFormat="1" x14ac:dyDescent="0.25">
      <c r="A13529" t="str">
        <f>"5320274"</f>
        <v>5320274</v>
      </c>
      <c r="B13529" t="s">
        <v>12397</v>
      </c>
      <c r="C13529" t="s">
        <v>1142</v>
      </c>
      <c r="D13529" s="21" t="s">
        <v>34</v>
      </c>
      <c r="E13529" s="21" t="s">
        <v>254</v>
      </c>
      <c r="F13529">
        <v>12530010</v>
      </c>
      <c r="G13529" t="s">
        <v>7994</v>
      </c>
      <c r="H13529" s="21">
        <v>895.17</v>
      </c>
    </row>
    <row r="13530" spans="1:8" customFormat="1" x14ac:dyDescent="0.25">
      <c r="A13530" t="str">
        <f>"765335"</f>
        <v>765335</v>
      </c>
      <c r="B13530" t="s">
        <v>11784</v>
      </c>
      <c r="C13530" t="s">
        <v>65</v>
      </c>
      <c r="D13530" s="21" t="s">
        <v>34</v>
      </c>
      <c r="E13530" s="21" t="s">
        <v>71</v>
      </c>
      <c r="F13530">
        <v>9760342</v>
      </c>
      <c r="G13530" t="s">
        <v>3619</v>
      </c>
      <c r="H13530" s="21">
        <v>895.17</v>
      </c>
    </row>
    <row r="13531" spans="1:8" customFormat="1" x14ac:dyDescent="0.25">
      <c r="A13531" t="str">
        <f>"955551"</f>
        <v>955551</v>
      </c>
      <c r="B13531" t="s">
        <v>11978</v>
      </c>
      <c r="C13531" t="s">
        <v>288</v>
      </c>
      <c r="D13531" s="21" t="s">
        <v>34</v>
      </c>
      <c r="E13531" s="21" t="s">
        <v>71</v>
      </c>
      <c r="F13531">
        <v>8950978</v>
      </c>
      <c r="G13531" t="s">
        <v>1164</v>
      </c>
      <c r="H13531" s="21">
        <v>895.17</v>
      </c>
    </row>
    <row r="13532" spans="1:8" customFormat="1" x14ac:dyDescent="0.25">
      <c r="A13532" t="str">
        <f>"0610548"</f>
        <v>0610548</v>
      </c>
      <c r="B13532" t="s">
        <v>4188</v>
      </c>
      <c r="C13532" t="s">
        <v>233</v>
      </c>
      <c r="D13532" s="21" t="s">
        <v>34</v>
      </c>
      <c r="E13532" s="21" t="s">
        <v>71</v>
      </c>
      <c r="F13532">
        <v>13060063</v>
      </c>
      <c r="G13532" t="s">
        <v>2001</v>
      </c>
      <c r="H13532" s="21">
        <v>895.17</v>
      </c>
    </row>
    <row r="13533" spans="1:8" customFormat="1" x14ac:dyDescent="0.25">
      <c r="A13533" t="str">
        <f>"798128"</f>
        <v>798128</v>
      </c>
      <c r="B13533" t="s">
        <v>7035</v>
      </c>
      <c r="C13533" t="s">
        <v>288</v>
      </c>
      <c r="D13533" s="21" t="s">
        <v>34</v>
      </c>
      <c r="E13533" s="21" t="s">
        <v>71</v>
      </c>
      <c r="F13533">
        <v>10640014</v>
      </c>
      <c r="G13533" t="s">
        <v>3327</v>
      </c>
      <c r="H13533" s="21">
        <v>895.17</v>
      </c>
    </row>
    <row r="13534" spans="1:8" customFormat="1" x14ac:dyDescent="0.25">
      <c r="A13534" t="str">
        <f>"5621379"</f>
        <v>5621379</v>
      </c>
      <c r="B13534" t="s">
        <v>11203</v>
      </c>
      <c r="C13534" t="s">
        <v>1665</v>
      </c>
      <c r="D13534" s="21" t="s">
        <v>34</v>
      </c>
      <c r="E13534" s="21" t="s">
        <v>254</v>
      </c>
      <c r="F13534">
        <v>3560005</v>
      </c>
      <c r="G13534" t="s">
        <v>2101</v>
      </c>
      <c r="H13534" s="21">
        <v>895.17</v>
      </c>
    </row>
    <row r="13535" spans="1:8" customFormat="1" x14ac:dyDescent="0.25">
      <c r="A13535" t="str">
        <f>"567155"</f>
        <v>567155</v>
      </c>
      <c r="B13535" t="s">
        <v>13232</v>
      </c>
      <c r="C13535" t="s">
        <v>817</v>
      </c>
      <c r="D13535" s="21" t="s">
        <v>34</v>
      </c>
      <c r="E13535" s="21" t="s">
        <v>254</v>
      </c>
      <c r="F13535">
        <v>3560006</v>
      </c>
      <c r="G13535" t="s">
        <v>2708</v>
      </c>
      <c r="H13535" s="21">
        <v>895.17</v>
      </c>
    </row>
    <row r="13536" spans="1:8" customFormat="1" x14ac:dyDescent="0.25">
      <c r="A13536" t="str">
        <f>"3517875"</f>
        <v>3517875</v>
      </c>
      <c r="B13536" t="s">
        <v>27304</v>
      </c>
      <c r="C13536" t="s">
        <v>171</v>
      </c>
      <c r="D13536" s="21" t="s">
        <v>34</v>
      </c>
      <c r="E13536" s="21" t="s">
        <v>71</v>
      </c>
      <c r="F13536">
        <v>3350031</v>
      </c>
      <c r="G13536" t="s">
        <v>13199</v>
      </c>
      <c r="H13536" s="21">
        <v>895.17</v>
      </c>
    </row>
    <row r="13537" spans="1:8" customFormat="1" x14ac:dyDescent="0.25">
      <c r="A13537" t="str">
        <f>"5934020"</f>
        <v>5934020</v>
      </c>
      <c r="B13537" t="s">
        <v>392</v>
      </c>
      <c r="C13537" t="s">
        <v>267</v>
      </c>
      <c r="D13537" s="21" t="s">
        <v>34</v>
      </c>
      <c r="E13537" s="21" t="s">
        <v>35</v>
      </c>
      <c r="F13537">
        <v>7590415</v>
      </c>
      <c r="G13537" t="s">
        <v>15668</v>
      </c>
      <c r="H13537" s="21">
        <v>895.17</v>
      </c>
    </row>
    <row r="13538" spans="1:8" customFormat="1" x14ac:dyDescent="0.25">
      <c r="A13538" t="str">
        <f>"9423757"</f>
        <v>9423757</v>
      </c>
      <c r="B13538" t="s">
        <v>2964</v>
      </c>
      <c r="C13538" t="s">
        <v>233</v>
      </c>
      <c r="D13538" s="21" t="s">
        <v>34</v>
      </c>
      <c r="E13538" s="21" t="s">
        <v>254</v>
      </c>
      <c r="F13538">
        <v>8940459</v>
      </c>
      <c r="G13538" t="s">
        <v>743</v>
      </c>
      <c r="H13538" s="21">
        <v>895.17</v>
      </c>
    </row>
    <row r="13539" spans="1:8" customFormat="1" x14ac:dyDescent="0.25">
      <c r="A13539" t="str">
        <f>"187022"</f>
        <v>187022</v>
      </c>
      <c r="B13539" t="s">
        <v>4654</v>
      </c>
      <c r="C13539" t="s">
        <v>202</v>
      </c>
      <c r="D13539" s="21" t="s">
        <v>34</v>
      </c>
      <c r="E13539" s="21" t="s">
        <v>254</v>
      </c>
      <c r="F13539">
        <v>4180057</v>
      </c>
      <c r="G13539" t="s">
        <v>9021</v>
      </c>
      <c r="H13539" s="21">
        <v>895.17</v>
      </c>
    </row>
    <row r="13540" spans="1:8" customFormat="1" x14ac:dyDescent="0.25">
      <c r="A13540" t="str">
        <f>"185670"</f>
        <v>185670</v>
      </c>
      <c r="B13540" t="s">
        <v>12676</v>
      </c>
      <c r="C13540" t="s">
        <v>285</v>
      </c>
      <c r="D13540" s="21" t="s">
        <v>34</v>
      </c>
      <c r="E13540" s="21" t="s">
        <v>35</v>
      </c>
      <c r="F13540">
        <v>4180727</v>
      </c>
      <c r="G13540" t="s">
        <v>8025</v>
      </c>
      <c r="H13540" s="21">
        <v>895.17</v>
      </c>
    </row>
    <row r="13541" spans="1:8" customFormat="1" x14ac:dyDescent="0.25">
      <c r="A13541" t="str">
        <f>"7215267"</f>
        <v>7215267</v>
      </c>
      <c r="B13541" t="s">
        <v>12162</v>
      </c>
      <c r="C13541" t="s">
        <v>82</v>
      </c>
      <c r="D13541" s="21" t="s">
        <v>34</v>
      </c>
      <c r="E13541" s="21" t="s">
        <v>35</v>
      </c>
      <c r="F13541">
        <v>12720104</v>
      </c>
      <c r="G13541" t="s">
        <v>224</v>
      </c>
      <c r="H13541" s="21">
        <v>895.17</v>
      </c>
    </row>
    <row r="13542" spans="1:8" customFormat="1" x14ac:dyDescent="0.25">
      <c r="A13542" t="str">
        <f>"402527"</f>
        <v>402527</v>
      </c>
      <c r="B13542" t="s">
        <v>12517</v>
      </c>
      <c r="C13542" t="s">
        <v>55</v>
      </c>
      <c r="D13542" s="21" t="s">
        <v>34</v>
      </c>
      <c r="E13542" s="21" t="s">
        <v>35</v>
      </c>
      <c r="F13542">
        <v>10400003</v>
      </c>
      <c r="G13542" t="s">
        <v>5110</v>
      </c>
      <c r="H13542" s="21">
        <v>895.17</v>
      </c>
    </row>
    <row r="13543" spans="1:8" customFormat="1" x14ac:dyDescent="0.25">
      <c r="A13543" t="str">
        <f>"2926700"</f>
        <v>2926700</v>
      </c>
      <c r="B13543" t="s">
        <v>12504</v>
      </c>
      <c r="C13543" t="s">
        <v>269</v>
      </c>
      <c r="D13543" s="21" t="s">
        <v>34</v>
      </c>
      <c r="E13543" s="21" t="s">
        <v>35</v>
      </c>
      <c r="F13543">
        <v>3290282</v>
      </c>
      <c r="G13543" t="s">
        <v>4855</v>
      </c>
      <c r="H13543" s="21">
        <v>895.17</v>
      </c>
    </row>
    <row r="13544" spans="1:8" customFormat="1" x14ac:dyDescent="0.25">
      <c r="A13544" t="str">
        <f>"9536284"</f>
        <v>9536284</v>
      </c>
      <c r="B13544" t="s">
        <v>5573</v>
      </c>
      <c r="C13544" t="s">
        <v>16984</v>
      </c>
      <c r="D13544" s="21" t="s">
        <v>34</v>
      </c>
      <c r="E13544" s="21" t="s">
        <v>71</v>
      </c>
      <c r="F13544">
        <v>8950083</v>
      </c>
      <c r="G13544" t="s">
        <v>405</v>
      </c>
      <c r="H13544" s="21">
        <v>895.04</v>
      </c>
    </row>
    <row r="13545" spans="1:8" customFormat="1" x14ac:dyDescent="0.25">
      <c r="A13545" t="str">
        <f>"504872"</f>
        <v>504872</v>
      </c>
      <c r="B13545" t="s">
        <v>470</v>
      </c>
      <c r="C13545" t="s">
        <v>187</v>
      </c>
      <c r="D13545" s="21" t="s">
        <v>34</v>
      </c>
      <c r="E13545" s="21" t="s">
        <v>35</v>
      </c>
      <c r="F13545">
        <v>2250193</v>
      </c>
      <c r="G13545" t="s">
        <v>2584</v>
      </c>
      <c r="H13545" s="21">
        <v>894.92</v>
      </c>
    </row>
    <row r="13546" spans="1:8" customFormat="1" x14ac:dyDescent="0.25">
      <c r="A13546" t="str">
        <f>"453077"</f>
        <v>453077</v>
      </c>
      <c r="B13546" t="s">
        <v>2549</v>
      </c>
      <c r="C13546" t="s">
        <v>879</v>
      </c>
      <c r="D13546" s="21" t="s">
        <v>34</v>
      </c>
      <c r="E13546" s="21" t="s">
        <v>35</v>
      </c>
      <c r="F13546">
        <v>4450036</v>
      </c>
      <c r="G13546" t="s">
        <v>4179</v>
      </c>
      <c r="H13546" s="21">
        <v>894.92</v>
      </c>
    </row>
    <row r="13547" spans="1:8" customFormat="1" x14ac:dyDescent="0.25">
      <c r="A13547" t="str">
        <f>"7859494"</f>
        <v>7859494</v>
      </c>
      <c r="B13547" t="s">
        <v>11639</v>
      </c>
      <c r="C13547" t="s">
        <v>415</v>
      </c>
      <c r="D13547" s="21" t="s">
        <v>34</v>
      </c>
      <c r="E13547" s="21" t="s">
        <v>71</v>
      </c>
      <c r="F13547">
        <v>8780485</v>
      </c>
      <c r="G13547" t="s">
        <v>1279</v>
      </c>
      <c r="H13547" s="21">
        <v>894.79</v>
      </c>
    </row>
    <row r="13548" spans="1:8" customFormat="1" x14ac:dyDescent="0.25">
      <c r="A13548" t="str">
        <f>"3832796"</f>
        <v>3832796</v>
      </c>
      <c r="B13548" t="s">
        <v>18664</v>
      </c>
      <c r="C13548" t="s">
        <v>209</v>
      </c>
      <c r="D13548" s="21" t="s">
        <v>34</v>
      </c>
      <c r="E13548" s="21" t="s">
        <v>71</v>
      </c>
      <c r="F13548">
        <v>1380056</v>
      </c>
      <c r="G13548" t="s">
        <v>846</v>
      </c>
      <c r="H13548" s="21">
        <v>894.79</v>
      </c>
    </row>
    <row r="13549" spans="1:8" customFormat="1" x14ac:dyDescent="0.25">
      <c r="A13549" t="str">
        <f>"638242"</f>
        <v>638242</v>
      </c>
      <c r="B13549" t="s">
        <v>12372</v>
      </c>
      <c r="C13549" t="s">
        <v>65</v>
      </c>
      <c r="D13549" s="21" t="s">
        <v>34</v>
      </c>
      <c r="E13549" s="21" t="s">
        <v>35</v>
      </c>
      <c r="F13549">
        <v>1630005</v>
      </c>
      <c r="G13549" t="s">
        <v>8825</v>
      </c>
      <c r="H13549" s="21">
        <v>894.67</v>
      </c>
    </row>
    <row r="13550" spans="1:8" customFormat="1" x14ac:dyDescent="0.25">
      <c r="A13550" t="str">
        <f>"275500"</f>
        <v>275500</v>
      </c>
      <c r="B13550" t="s">
        <v>1807</v>
      </c>
      <c r="C13550" t="s">
        <v>40</v>
      </c>
      <c r="D13550" s="21" t="s">
        <v>34</v>
      </c>
      <c r="E13550" s="21" t="s">
        <v>254</v>
      </c>
      <c r="F13550">
        <v>9760034</v>
      </c>
      <c r="G13550" t="s">
        <v>1242</v>
      </c>
      <c r="H13550" s="21">
        <v>894.67</v>
      </c>
    </row>
    <row r="13551" spans="1:8" customFormat="1" x14ac:dyDescent="0.25">
      <c r="A13551" t="str">
        <f>"403200"</f>
        <v>403200</v>
      </c>
      <c r="B13551" t="s">
        <v>987</v>
      </c>
      <c r="C13551" t="s">
        <v>269</v>
      </c>
      <c r="D13551" s="21" t="s">
        <v>34</v>
      </c>
      <c r="E13551" s="21" t="s">
        <v>35</v>
      </c>
      <c r="F13551">
        <v>10400021</v>
      </c>
      <c r="G13551" t="s">
        <v>12111</v>
      </c>
      <c r="H13551" s="21">
        <v>894.67</v>
      </c>
    </row>
    <row r="13552" spans="1:8" customFormat="1" x14ac:dyDescent="0.25">
      <c r="A13552" t="str">
        <f>"214904"</f>
        <v>214904</v>
      </c>
      <c r="B13552" t="s">
        <v>4071</v>
      </c>
      <c r="C13552" t="s">
        <v>2520</v>
      </c>
      <c r="D13552" s="21" t="s">
        <v>34</v>
      </c>
      <c r="E13552" s="21" t="s">
        <v>254</v>
      </c>
      <c r="F13552">
        <v>2210052</v>
      </c>
      <c r="G13552" t="s">
        <v>1070</v>
      </c>
      <c r="H13552" s="21">
        <v>894.67</v>
      </c>
    </row>
    <row r="13553" spans="1:8" customFormat="1" x14ac:dyDescent="0.25">
      <c r="A13553" t="str">
        <f>"50534"</f>
        <v>50534</v>
      </c>
      <c r="B13553" t="s">
        <v>11975</v>
      </c>
      <c r="C13553" t="s">
        <v>169</v>
      </c>
      <c r="D13553" s="21" t="s">
        <v>34</v>
      </c>
      <c r="E13553" s="21" t="s">
        <v>71</v>
      </c>
      <c r="F13553">
        <v>9500025</v>
      </c>
      <c r="G13553" t="s">
        <v>665</v>
      </c>
      <c r="H13553" s="21">
        <v>894.67</v>
      </c>
    </row>
    <row r="13554" spans="1:8" customFormat="1" x14ac:dyDescent="0.25">
      <c r="A13554" t="str">
        <f>"697492"</f>
        <v>697492</v>
      </c>
      <c r="B13554" t="s">
        <v>14196</v>
      </c>
      <c r="C13554" t="s">
        <v>55</v>
      </c>
      <c r="D13554" s="21" t="s">
        <v>34</v>
      </c>
      <c r="E13554" s="21" t="s">
        <v>71</v>
      </c>
      <c r="F13554">
        <v>1690090</v>
      </c>
      <c r="G13554" t="s">
        <v>6286</v>
      </c>
      <c r="H13554" s="21">
        <v>894.67</v>
      </c>
    </row>
    <row r="13555" spans="1:8" customFormat="1" x14ac:dyDescent="0.25">
      <c r="A13555" t="str">
        <f>"9518159"</f>
        <v>9518159</v>
      </c>
      <c r="B13555" t="s">
        <v>24160</v>
      </c>
      <c r="C13555" t="s">
        <v>27305</v>
      </c>
      <c r="D13555" s="21" t="s">
        <v>34</v>
      </c>
      <c r="E13555" s="21" t="s">
        <v>35</v>
      </c>
      <c r="F13555">
        <v>8950330</v>
      </c>
      <c r="G13555" t="s">
        <v>794</v>
      </c>
      <c r="H13555" s="21">
        <v>894.67</v>
      </c>
    </row>
    <row r="13556" spans="1:8" customFormat="1" x14ac:dyDescent="0.25">
      <c r="A13556" t="str">
        <f>"406743"</f>
        <v>406743</v>
      </c>
      <c r="B13556" t="s">
        <v>12250</v>
      </c>
      <c r="C13556" t="s">
        <v>262</v>
      </c>
      <c r="D13556" s="21" t="s">
        <v>34</v>
      </c>
      <c r="E13556" s="21" t="s">
        <v>35</v>
      </c>
      <c r="F13556">
        <v>10400013</v>
      </c>
      <c r="G13556" t="s">
        <v>6238</v>
      </c>
      <c r="H13556" s="21">
        <v>894.67</v>
      </c>
    </row>
    <row r="13557" spans="1:8" customFormat="1" x14ac:dyDescent="0.25">
      <c r="A13557" t="str">
        <f>"5621003"</f>
        <v>5621003</v>
      </c>
      <c r="B13557" t="s">
        <v>14903</v>
      </c>
      <c r="C13557" t="s">
        <v>40</v>
      </c>
      <c r="D13557" s="21" t="s">
        <v>34</v>
      </c>
      <c r="E13557" s="21" t="s">
        <v>35</v>
      </c>
      <c r="F13557">
        <v>3560039</v>
      </c>
      <c r="G13557" t="s">
        <v>167</v>
      </c>
      <c r="H13557" s="21">
        <v>894.67</v>
      </c>
    </row>
    <row r="13558" spans="1:8" customFormat="1" x14ac:dyDescent="0.25">
      <c r="A13558" t="str">
        <f>"694525"</f>
        <v>694525</v>
      </c>
      <c r="B13558" t="s">
        <v>11869</v>
      </c>
      <c r="C13558" t="s">
        <v>453</v>
      </c>
      <c r="D13558" s="21" t="s">
        <v>34</v>
      </c>
      <c r="E13558" s="21" t="s">
        <v>254</v>
      </c>
      <c r="F13558">
        <v>1690107</v>
      </c>
      <c r="G13558" t="s">
        <v>4163</v>
      </c>
      <c r="H13558" s="21">
        <v>894.67</v>
      </c>
    </row>
    <row r="13559" spans="1:8" customFormat="1" x14ac:dyDescent="0.25">
      <c r="A13559" t="str">
        <f>"921122"</f>
        <v>921122</v>
      </c>
      <c r="B13559" t="s">
        <v>11425</v>
      </c>
      <c r="C13559" t="s">
        <v>249</v>
      </c>
      <c r="D13559" s="21" t="s">
        <v>34</v>
      </c>
      <c r="E13559" s="21" t="s">
        <v>254</v>
      </c>
      <c r="F13559">
        <v>8780128</v>
      </c>
      <c r="G13559" t="s">
        <v>4201</v>
      </c>
      <c r="H13559" s="21">
        <v>894.67</v>
      </c>
    </row>
    <row r="13560" spans="1:8" customFormat="1" x14ac:dyDescent="0.25">
      <c r="A13560" t="str">
        <f>"7622061"</f>
        <v>7622061</v>
      </c>
      <c r="B13560" t="s">
        <v>13395</v>
      </c>
      <c r="C13560" t="s">
        <v>462</v>
      </c>
      <c r="D13560" s="21" t="s">
        <v>34</v>
      </c>
      <c r="E13560" s="21" t="s">
        <v>71</v>
      </c>
      <c r="F13560">
        <v>9760342</v>
      </c>
      <c r="G13560" t="s">
        <v>3619</v>
      </c>
      <c r="H13560" s="21">
        <v>894.67</v>
      </c>
    </row>
    <row r="13561" spans="1:8" customFormat="1" x14ac:dyDescent="0.25">
      <c r="A13561" t="str">
        <f>"2810380"</f>
        <v>2810380</v>
      </c>
      <c r="B13561" t="s">
        <v>11871</v>
      </c>
      <c r="C13561" t="s">
        <v>1931</v>
      </c>
      <c r="D13561" s="21" t="s">
        <v>34</v>
      </c>
      <c r="E13561" s="21" t="s">
        <v>35</v>
      </c>
      <c r="F13561">
        <v>4280038</v>
      </c>
      <c r="G13561" t="s">
        <v>2526</v>
      </c>
      <c r="H13561" s="21">
        <v>894.67</v>
      </c>
    </row>
    <row r="13562" spans="1:8" customFormat="1" x14ac:dyDescent="0.25">
      <c r="A13562" t="str">
        <f>"8524615"</f>
        <v>8524615</v>
      </c>
      <c r="B13562" t="s">
        <v>2717</v>
      </c>
      <c r="C13562" t="s">
        <v>33</v>
      </c>
      <c r="D13562" s="21" t="s">
        <v>34</v>
      </c>
      <c r="E13562" s="21" t="s">
        <v>35</v>
      </c>
      <c r="F13562">
        <v>12850057</v>
      </c>
      <c r="G13562" t="s">
        <v>1291</v>
      </c>
      <c r="H13562" s="21">
        <v>894.67</v>
      </c>
    </row>
    <row r="13563" spans="1:8" customFormat="1" x14ac:dyDescent="0.25">
      <c r="A13563" t="str">
        <f>"9316319"</f>
        <v>9316319</v>
      </c>
      <c r="B13563" t="s">
        <v>3613</v>
      </c>
      <c r="C13563" t="s">
        <v>169</v>
      </c>
      <c r="D13563" s="21" t="s">
        <v>34</v>
      </c>
      <c r="E13563" s="21" t="s">
        <v>71</v>
      </c>
      <c r="F13563">
        <v>8931032</v>
      </c>
      <c r="G13563" t="s">
        <v>10451</v>
      </c>
      <c r="H13563" s="21">
        <v>894.54</v>
      </c>
    </row>
    <row r="13564" spans="1:8" customFormat="1" x14ac:dyDescent="0.25">
      <c r="A13564" t="str">
        <f>"897755"</f>
        <v>897755</v>
      </c>
      <c r="B13564" t="s">
        <v>13054</v>
      </c>
      <c r="C13564" t="s">
        <v>209</v>
      </c>
      <c r="D13564" s="21" t="s">
        <v>34</v>
      </c>
      <c r="E13564" s="21" t="s">
        <v>254</v>
      </c>
      <c r="F13564">
        <v>2890023</v>
      </c>
      <c r="G13564" t="s">
        <v>1995</v>
      </c>
      <c r="H13564" s="21">
        <v>894.42</v>
      </c>
    </row>
    <row r="13565" spans="1:8" customFormat="1" x14ac:dyDescent="0.25">
      <c r="A13565" t="str">
        <f>"9130007"</f>
        <v>9130007</v>
      </c>
      <c r="B13565" t="s">
        <v>4499</v>
      </c>
      <c r="C13565" t="s">
        <v>608</v>
      </c>
      <c r="D13565" s="21" t="s">
        <v>34</v>
      </c>
      <c r="E13565" s="21" t="s">
        <v>71</v>
      </c>
      <c r="F13565">
        <v>8920063</v>
      </c>
      <c r="G13565" t="s">
        <v>219</v>
      </c>
      <c r="H13565" s="21">
        <v>894.17</v>
      </c>
    </row>
    <row r="13566" spans="1:8" customFormat="1" x14ac:dyDescent="0.25">
      <c r="A13566" t="str">
        <f>"9229936"</f>
        <v>9229936</v>
      </c>
      <c r="B13566" t="s">
        <v>146</v>
      </c>
      <c r="C13566" t="s">
        <v>55</v>
      </c>
      <c r="D13566" s="21" t="s">
        <v>34</v>
      </c>
      <c r="E13566" s="21" t="s">
        <v>71</v>
      </c>
      <c r="F13566">
        <v>8920137</v>
      </c>
      <c r="G13566" t="s">
        <v>6082</v>
      </c>
      <c r="H13566" s="21">
        <v>894.17</v>
      </c>
    </row>
    <row r="13567" spans="1:8" customFormat="1" x14ac:dyDescent="0.25">
      <c r="A13567" t="str">
        <f>"495984"</f>
        <v>495984</v>
      </c>
      <c r="B13567" t="s">
        <v>1355</v>
      </c>
      <c r="C13567" t="s">
        <v>262</v>
      </c>
      <c r="D13567" s="21" t="s">
        <v>34</v>
      </c>
      <c r="E13567" s="21" t="s">
        <v>35</v>
      </c>
      <c r="F13567">
        <v>12490030</v>
      </c>
      <c r="G13567" t="s">
        <v>8366</v>
      </c>
      <c r="H13567" s="21">
        <v>894.17</v>
      </c>
    </row>
    <row r="13568" spans="1:8" customFormat="1" x14ac:dyDescent="0.25">
      <c r="A13568" t="str">
        <f>"5011875"</f>
        <v>5011875</v>
      </c>
      <c r="B13568" t="s">
        <v>4728</v>
      </c>
      <c r="C13568" t="s">
        <v>462</v>
      </c>
      <c r="D13568" s="21" t="s">
        <v>34</v>
      </c>
      <c r="E13568" s="21" t="s">
        <v>71</v>
      </c>
      <c r="F13568">
        <v>9500131</v>
      </c>
      <c r="G13568" t="s">
        <v>1073</v>
      </c>
      <c r="H13568" s="21">
        <v>894.17</v>
      </c>
    </row>
    <row r="13569" spans="1:8" customFormat="1" x14ac:dyDescent="0.25">
      <c r="A13569" t="str">
        <f>"3341489"</f>
        <v>3341489</v>
      </c>
      <c r="B13569" t="s">
        <v>14239</v>
      </c>
      <c r="C13569" t="s">
        <v>1931</v>
      </c>
      <c r="D13569" s="21" t="s">
        <v>34</v>
      </c>
      <c r="E13569" s="21" t="s">
        <v>35</v>
      </c>
      <c r="F13569">
        <v>10330002</v>
      </c>
      <c r="G13569" t="s">
        <v>53</v>
      </c>
      <c r="H13569" s="21">
        <v>894.17</v>
      </c>
    </row>
    <row r="13570" spans="1:8" customFormat="1" x14ac:dyDescent="0.25">
      <c r="A13570" t="str">
        <f>"4935000"</f>
        <v>4935000</v>
      </c>
      <c r="B13570" t="s">
        <v>5674</v>
      </c>
      <c r="C13570" t="s">
        <v>812</v>
      </c>
      <c r="D13570" s="21" t="s">
        <v>34</v>
      </c>
      <c r="E13570" s="21" t="s">
        <v>35</v>
      </c>
      <c r="F13570">
        <v>12490043</v>
      </c>
      <c r="G13570" t="s">
        <v>6008</v>
      </c>
      <c r="H13570" s="21">
        <v>894.17</v>
      </c>
    </row>
    <row r="13571" spans="1:8" customFormat="1" x14ac:dyDescent="0.25">
      <c r="A13571" t="str">
        <f>"8527657"</f>
        <v>8527657</v>
      </c>
      <c r="B13571" t="s">
        <v>14460</v>
      </c>
      <c r="C13571" t="s">
        <v>58</v>
      </c>
      <c r="D13571" s="21" t="s">
        <v>34</v>
      </c>
      <c r="E13571" s="21" t="s">
        <v>35</v>
      </c>
      <c r="F13571">
        <v>12850032</v>
      </c>
      <c r="G13571" t="s">
        <v>6589</v>
      </c>
      <c r="H13571" s="21">
        <v>894.17</v>
      </c>
    </row>
    <row r="13572" spans="1:8" customFormat="1" x14ac:dyDescent="0.25">
      <c r="A13572" t="str">
        <f>"688342"</f>
        <v>688342</v>
      </c>
      <c r="B13572" t="s">
        <v>2012</v>
      </c>
      <c r="C13572" t="s">
        <v>1946</v>
      </c>
      <c r="D13572" s="21" t="s">
        <v>34</v>
      </c>
      <c r="E13572" s="21" t="s">
        <v>71</v>
      </c>
      <c r="F13572">
        <v>6680120</v>
      </c>
      <c r="G13572" t="s">
        <v>11122</v>
      </c>
      <c r="H13572" s="21">
        <v>894.17</v>
      </c>
    </row>
    <row r="13573" spans="1:8" customFormat="1" x14ac:dyDescent="0.25">
      <c r="A13573" t="str">
        <f>"761194"</f>
        <v>761194</v>
      </c>
      <c r="B13573" t="s">
        <v>11759</v>
      </c>
      <c r="C13573" t="s">
        <v>11760</v>
      </c>
      <c r="D13573" s="21" t="s">
        <v>34</v>
      </c>
      <c r="E13573" s="21" t="s">
        <v>254</v>
      </c>
      <c r="F13573">
        <v>9760070</v>
      </c>
      <c r="G13573" t="s">
        <v>6226</v>
      </c>
      <c r="H13573" s="21">
        <v>894.17</v>
      </c>
    </row>
    <row r="13574" spans="1:8" customFormat="1" x14ac:dyDescent="0.25">
      <c r="A13574" t="str">
        <f>"15620"</f>
        <v>15620</v>
      </c>
      <c r="B13574" t="s">
        <v>9428</v>
      </c>
      <c r="C13574" t="s">
        <v>253</v>
      </c>
      <c r="D13574" s="21" t="s">
        <v>34</v>
      </c>
      <c r="E13574" s="21" t="s">
        <v>1089</v>
      </c>
      <c r="F13574">
        <v>1150303</v>
      </c>
      <c r="G13574" t="s">
        <v>5809</v>
      </c>
      <c r="H13574" s="21">
        <v>894.04</v>
      </c>
    </row>
    <row r="13575" spans="1:8" customFormat="1" x14ac:dyDescent="0.25">
      <c r="A13575" t="str">
        <f>"5324819"</f>
        <v>5324819</v>
      </c>
      <c r="B13575" t="s">
        <v>13680</v>
      </c>
      <c r="C13575" t="s">
        <v>249</v>
      </c>
      <c r="D13575" s="21" t="s">
        <v>34</v>
      </c>
      <c r="E13575" s="21" t="s">
        <v>35</v>
      </c>
      <c r="F13575">
        <v>12530020</v>
      </c>
      <c r="G13575" t="s">
        <v>12755</v>
      </c>
      <c r="H13575" s="21">
        <v>893.92</v>
      </c>
    </row>
    <row r="13576" spans="1:8" customFormat="1" x14ac:dyDescent="0.25">
      <c r="A13576" t="str">
        <f>"677572"</f>
        <v>677572</v>
      </c>
      <c r="B13576" t="s">
        <v>11954</v>
      </c>
      <c r="C13576" t="s">
        <v>1665</v>
      </c>
      <c r="D13576" s="21" t="s">
        <v>34</v>
      </c>
      <c r="E13576" s="21" t="s">
        <v>71</v>
      </c>
      <c r="F13576">
        <v>6670221</v>
      </c>
      <c r="G13576" t="s">
        <v>3742</v>
      </c>
      <c r="H13576" s="21">
        <v>893.92</v>
      </c>
    </row>
    <row r="13577" spans="1:8" customFormat="1" x14ac:dyDescent="0.25">
      <c r="A13577" t="str">
        <f>"4431226"</f>
        <v>4431226</v>
      </c>
      <c r="B13577" t="s">
        <v>556</v>
      </c>
      <c r="C13577" t="s">
        <v>55</v>
      </c>
      <c r="D13577" s="21" t="s">
        <v>34</v>
      </c>
      <c r="E13577" s="21" t="s">
        <v>71</v>
      </c>
      <c r="F13577">
        <v>12440001</v>
      </c>
      <c r="G13577" t="s">
        <v>6999</v>
      </c>
      <c r="H13577" s="21">
        <v>893.92</v>
      </c>
    </row>
    <row r="13578" spans="1:8" customFormat="1" x14ac:dyDescent="0.25">
      <c r="A13578" t="str">
        <f>"95233"</f>
        <v>95233</v>
      </c>
      <c r="B13578" t="s">
        <v>10460</v>
      </c>
      <c r="C13578" t="s">
        <v>267</v>
      </c>
      <c r="D13578" s="21" t="s">
        <v>34</v>
      </c>
      <c r="E13578" s="21" t="s">
        <v>254</v>
      </c>
      <c r="F13578">
        <v>12850046</v>
      </c>
      <c r="G13578" t="s">
        <v>3136</v>
      </c>
      <c r="H13578" s="21">
        <v>893.92</v>
      </c>
    </row>
    <row r="13579" spans="1:8" customFormat="1" x14ac:dyDescent="0.25">
      <c r="A13579" t="str">
        <f>"4426353"</f>
        <v>4426353</v>
      </c>
      <c r="B13579" t="s">
        <v>837</v>
      </c>
      <c r="C13579" t="s">
        <v>639</v>
      </c>
      <c r="D13579" s="21" t="s">
        <v>34</v>
      </c>
      <c r="E13579" s="21" t="s">
        <v>71</v>
      </c>
      <c r="F13579">
        <v>12440105</v>
      </c>
      <c r="G13579" t="s">
        <v>594</v>
      </c>
      <c r="H13579" s="21">
        <v>893.92</v>
      </c>
    </row>
    <row r="13580" spans="1:8" customFormat="1" x14ac:dyDescent="0.25">
      <c r="A13580" t="str">
        <f>"9315229"</f>
        <v>9315229</v>
      </c>
      <c r="B13580" t="s">
        <v>13538</v>
      </c>
      <c r="C13580" t="s">
        <v>55</v>
      </c>
      <c r="D13580" s="21" t="s">
        <v>34</v>
      </c>
      <c r="E13580" s="21" t="s">
        <v>71</v>
      </c>
      <c r="F13580">
        <v>8931320</v>
      </c>
      <c r="G13580" t="s">
        <v>1537</v>
      </c>
      <c r="H13580" s="21">
        <v>893.79</v>
      </c>
    </row>
    <row r="13581" spans="1:8" customFormat="1" x14ac:dyDescent="0.25">
      <c r="A13581" t="str">
        <f>"6015303"</f>
        <v>6015303</v>
      </c>
      <c r="B13581" t="s">
        <v>12382</v>
      </c>
      <c r="C13581" t="s">
        <v>60</v>
      </c>
      <c r="D13581" s="21" t="s">
        <v>34</v>
      </c>
      <c r="E13581" s="21" t="s">
        <v>35</v>
      </c>
      <c r="F13581">
        <v>7600054</v>
      </c>
      <c r="G13581" t="s">
        <v>1352</v>
      </c>
      <c r="H13581" s="21">
        <v>893.79</v>
      </c>
    </row>
    <row r="13582" spans="1:8" customFormat="1" x14ac:dyDescent="0.25">
      <c r="A13582" t="str">
        <f>"9122206"</f>
        <v>9122206</v>
      </c>
      <c r="B13582" t="s">
        <v>14199</v>
      </c>
      <c r="C13582" t="s">
        <v>288</v>
      </c>
      <c r="D13582" s="21" t="s">
        <v>34</v>
      </c>
      <c r="E13582" s="21" t="s">
        <v>35</v>
      </c>
      <c r="F13582">
        <v>10330084</v>
      </c>
      <c r="G13582" t="s">
        <v>1124</v>
      </c>
      <c r="H13582" s="21">
        <v>893.67</v>
      </c>
    </row>
    <row r="13583" spans="1:8" customFormat="1" x14ac:dyDescent="0.25">
      <c r="A13583" t="str">
        <f>"9129372"</f>
        <v>9129372</v>
      </c>
      <c r="B13583" t="s">
        <v>650</v>
      </c>
      <c r="C13583" t="s">
        <v>60</v>
      </c>
      <c r="D13583" s="21" t="s">
        <v>34</v>
      </c>
      <c r="E13583" s="21" t="s">
        <v>71</v>
      </c>
      <c r="F13583">
        <v>4280359</v>
      </c>
      <c r="G13583" t="s">
        <v>7997</v>
      </c>
      <c r="H13583" s="21">
        <v>893.67</v>
      </c>
    </row>
    <row r="13584" spans="1:8" customFormat="1" x14ac:dyDescent="0.25">
      <c r="A13584" t="str">
        <f>"777901"</f>
        <v>777901</v>
      </c>
      <c r="B13584" t="s">
        <v>12192</v>
      </c>
      <c r="C13584" t="s">
        <v>55</v>
      </c>
      <c r="D13584" s="21" t="s">
        <v>34</v>
      </c>
      <c r="E13584" s="21" t="s">
        <v>71</v>
      </c>
      <c r="F13584">
        <v>13060082</v>
      </c>
      <c r="G13584" t="s">
        <v>11729</v>
      </c>
      <c r="H13584" s="21">
        <v>893.67</v>
      </c>
    </row>
    <row r="13585" spans="1:8" customFormat="1" x14ac:dyDescent="0.25">
      <c r="A13585" t="str">
        <f>"278447"</f>
        <v>278447</v>
      </c>
      <c r="B13585" t="s">
        <v>12179</v>
      </c>
      <c r="C13585" t="s">
        <v>415</v>
      </c>
      <c r="D13585" s="21" t="s">
        <v>34</v>
      </c>
      <c r="E13585" s="21" t="s">
        <v>71</v>
      </c>
      <c r="F13585">
        <v>9270126</v>
      </c>
      <c r="G13585" t="s">
        <v>7569</v>
      </c>
      <c r="H13585" s="21">
        <v>893.67</v>
      </c>
    </row>
    <row r="13586" spans="1:8" customFormat="1" x14ac:dyDescent="0.25">
      <c r="A13586" t="str">
        <f>"7717727"</f>
        <v>7717727</v>
      </c>
      <c r="B13586" t="s">
        <v>13149</v>
      </c>
      <c r="C13586" t="s">
        <v>267</v>
      </c>
      <c r="D13586" s="21" t="s">
        <v>34</v>
      </c>
      <c r="E13586" s="21" t="s">
        <v>71</v>
      </c>
      <c r="F13586">
        <v>8771315</v>
      </c>
      <c r="G13586" t="s">
        <v>7070</v>
      </c>
      <c r="H13586" s="21">
        <v>893.67</v>
      </c>
    </row>
    <row r="13587" spans="1:8" customFormat="1" x14ac:dyDescent="0.25">
      <c r="A13587" t="str">
        <f>"8017729"</f>
        <v>8017729</v>
      </c>
      <c r="B13587" t="s">
        <v>2298</v>
      </c>
      <c r="C13587" t="s">
        <v>12406</v>
      </c>
      <c r="D13587" s="21" t="s">
        <v>34</v>
      </c>
      <c r="E13587" s="21" t="s">
        <v>71</v>
      </c>
      <c r="F13587">
        <v>7800008</v>
      </c>
      <c r="G13587" t="s">
        <v>842</v>
      </c>
      <c r="H13587" s="21">
        <v>893.67</v>
      </c>
    </row>
    <row r="13588" spans="1:8" customFormat="1" x14ac:dyDescent="0.25">
      <c r="A13588" t="str">
        <f>"3524191"</f>
        <v>3524191</v>
      </c>
      <c r="B13588" t="s">
        <v>2711</v>
      </c>
      <c r="C13588" t="s">
        <v>55</v>
      </c>
      <c r="D13588" s="21" t="s">
        <v>34</v>
      </c>
      <c r="E13588" s="21" t="s">
        <v>71</v>
      </c>
      <c r="F13588">
        <v>12440083</v>
      </c>
      <c r="G13588" t="s">
        <v>7694</v>
      </c>
      <c r="H13588" s="21">
        <v>893.67</v>
      </c>
    </row>
    <row r="13589" spans="1:8" customFormat="1" x14ac:dyDescent="0.25">
      <c r="A13589" t="str">
        <f>"216917"</f>
        <v>216917</v>
      </c>
      <c r="B13589" t="s">
        <v>1974</v>
      </c>
      <c r="C13589" t="s">
        <v>3905</v>
      </c>
      <c r="D13589" s="21" t="s">
        <v>34</v>
      </c>
      <c r="E13589" s="21" t="s">
        <v>254</v>
      </c>
      <c r="F13589">
        <v>2210126</v>
      </c>
      <c r="G13589" t="s">
        <v>10773</v>
      </c>
      <c r="H13589" s="21">
        <v>893.67</v>
      </c>
    </row>
    <row r="13590" spans="1:8" customFormat="1" x14ac:dyDescent="0.25">
      <c r="A13590" t="str">
        <f>"101231"</f>
        <v>101231</v>
      </c>
      <c r="B13590" t="s">
        <v>12220</v>
      </c>
      <c r="C13590" t="s">
        <v>40</v>
      </c>
      <c r="D13590" s="21" t="s">
        <v>34</v>
      </c>
      <c r="E13590" s="21" t="s">
        <v>71</v>
      </c>
      <c r="F13590">
        <v>6100015</v>
      </c>
      <c r="G13590" t="s">
        <v>6173</v>
      </c>
      <c r="H13590" s="21">
        <v>893.67</v>
      </c>
    </row>
    <row r="13591" spans="1:8" customFormat="1" x14ac:dyDescent="0.25">
      <c r="A13591" t="str">
        <f>"5961115"</f>
        <v>5961115</v>
      </c>
      <c r="B13591" t="s">
        <v>208</v>
      </c>
      <c r="C13591" t="s">
        <v>87</v>
      </c>
      <c r="D13591" s="21" t="s">
        <v>34</v>
      </c>
      <c r="E13591" s="21" t="s">
        <v>35</v>
      </c>
      <c r="F13591">
        <v>7590244</v>
      </c>
      <c r="G13591" t="s">
        <v>5768</v>
      </c>
      <c r="H13591" s="21">
        <v>893.67</v>
      </c>
    </row>
    <row r="13592" spans="1:8" customFormat="1" x14ac:dyDescent="0.25">
      <c r="A13592" t="str">
        <f>"63315"</f>
        <v>63315</v>
      </c>
      <c r="B13592" t="s">
        <v>3957</v>
      </c>
      <c r="C13592" t="s">
        <v>1665</v>
      </c>
      <c r="D13592" s="21" t="s">
        <v>34</v>
      </c>
      <c r="E13592" s="21" t="s">
        <v>254</v>
      </c>
      <c r="F13592">
        <v>1630281</v>
      </c>
      <c r="G13592" t="s">
        <v>1190</v>
      </c>
      <c r="H13592" s="21">
        <v>893.67</v>
      </c>
    </row>
    <row r="13593" spans="1:8" customFormat="1" x14ac:dyDescent="0.25">
      <c r="A13593" t="str">
        <f>"9753348"</f>
        <v>9753348</v>
      </c>
      <c r="B13593" t="s">
        <v>11085</v>
      </c>
      <c r="C13593" t="s">
        <v>11086</v>
      </c>
      <c r="D13593" s="21" t="s">
        <v>34</v>
      </c>
      <c r="E13593" s="21" t="s">
        <v>71</v>
      </c>
      <c r="F13593" t="s">
        <v>5520</v>
      </c>
      <c r="G13593" t="s">
        <v>5521</v>
      </c>
      <c r="H13593" s="21">
        <v>893.54</v>
      </c>
    </row>
    <row r="13594" spans="1:8" customFormat="1" x14ac:dyDescent="0.25">
      <c r="A13594" t="str">
        <f>"9311970"</f>
        <v>9311970</v>
      </c>
      <c r="B13594" t="s">
        <v>10019</v>
      </c>
      <c r="C13594" t="s">
        <v>428</v>
      </c>
      <c r="D13594" s="21" t="s">
        <v>34</v>
      </c>
      <c r="E13594" s="21" t="s">
        <v>71</v>
      </c>
      <c r="F13594">
        <v>9500013</v>
      </c>
      <c r="G13594" t="s">
        <v>992</v>
      </c>
      <c r="H13594" s="21">
        <v>893.42</v>
      </c>
    </row>
    <row r="13595" spans="1:8" customFormat="1" x14ac:dyDescent="0.25">
      <c r="A13595" t="str">
        <f>"5318123"</f>
        <v>5318123</v>
      </c>
      <c r="B13595" t="s">
        <v>8736</v>
      </c>
      <c r="C13595" t="s">
        <v>263</v>
      </c>
      <c r="D13595" s="21" t="s">
        <v>34</v>
      </c>
      <c r="E13595" s="21" t="s">
        <v>71</v>
      </c>
      <c r="F13595">
        <v>12530079</v>
      </c>
      <c r="G13595" t="s">
        <v>3090</v>
      </c>
      <c r="H13595" s="21">
        <v>893.42</v>
      </c>
    </row>
    <row r="13596" spans="1:8" customFormat="1" x14ac:dyDescent="0.25">
      <c r="A13596" t="str">
        <f>"4440224"</f>
        <v>4440224</v>
      </c>
      <c r="B13596" t="s">
        <v>2010</v>
      </c>
      <c r="C13596" t="s">
        <v>817</v>
      </c>
      <c r="D13596" s="21" t="s">
        <v>34</v>
      </c>
      <c r="E13596" s="21" t="s">
        <v>71</v>
      </c>
      <c r="F13596">
        <v>12440030</v>
      </c>
      <c r="G13596" t="s">
        <v>5524</v>
      </c>
      <c r="H13596" s="21">
        <v>893.17</v>
      </c>
    </row>
    <row r="13597" spans="1:8" customFormat="1" x14ac:dyDescent="0.25">
      <c r="A13597" t="str">
        <f>"417559"</f>
        <v>417559</v>
      </c>
      <c r="B13597" t="s">
        <v>2747</v>
      </c>
      <c r="C13597" t="s">
        <v>109</v>
      </c>
      <c r="D13597" s="21" t="s">
        <v>34</v>
      </c>
      <c r="E13597" s="21" t="s">
        <v>35</v>
      </c>
      <c r="F13597">
        <v>4450759</v>
      </c>
      <c r="G13597" t="s">
        <v>6587</v>
      </c>
      <c r="H13597" s="21">
        <v>893.17</v>
      </c>
    </row>
    <row r="13598" spans="1:8" customFormat="1" x14ac:dyDescent="0.25">
      <c r="A13598" t="str">
        <f>"5934314"</f>
        <v>5934314</v>
      </c>
      <c r="B13598" t="s">
        <v>12282</v>
      </c>
      <c r="C13598" t="s">
        <v>127</v>
      </c>
      <c r="D13598" s="21" t="s">
        <v>34</v>
      </c>
      <c r="E13598" s="21" t="s">
        <v>35</v>
      </c>
      <c r="F13598">
        <v>7590011</v>
      </c>
      <c r="G13598" t="s">
        <v>2147</v>
      </c>
      <c r="H13598" s="21">
        <v>893.17</v>
      </c>
    </row>
    <row r="13599" spans="1:8" customFormat="1" x14ac:dyDescent="0.25">
      <c r="A13599" t="str">
        <f>"087645"</f>
        <v>087645</v>
      </c>
      <c r="B13599" t="s">
        <v>12595</v>
      </c>
      <c r="C13599" t="s">
        <v>11760</v>
      </c>
      <c r="D13599" s="21" t="s">
        <v>34</v>
      </c>
      <c r="E13599" s="21" t="s">
        <v>71</v>
      </c>
      <c r="F13599">
        <v>6080044</v>
      </c>
      <c r="G13599" t="s">
        <v>7450</v>
      </c>
      <c r="H13599" s="21">
        <v>893.17</v>
      </c>
    </row>
    <row r="13600" spans="1:8" customFormat="1" x14ac:dyDescent="0.25">
      <c r="A13600" t="str">
        <f>"3524624"</f>
        <v>3524624</v>
      </c>
      <c r="B13600" t="s">
        <v>7283</v>
      </c>
      <c r="C13600" t="s">
        <v>90</v>
      </c>
      <c r="D13600" s="21" t="s">
        <v>34</v>
      </c>
      <c r="E13600" s="21" t="s">
        <v>71</v>
      </c>
      <c r="F13600">
        <v>3350102</v>
      </c>
      <c r="G13600" t="s">
        <v>4942</v>
      </c>
      <c r="H13600" s="21">
        <v>893.17</v>
      </c>
    </row>
    <row r="13601" spans="1:8" customFormat="1" x14ac:dyDescent="0.25">
      <c r="A13601" t="str">
        <f>"7837066"</f>
        <v>7837066</v>
      </c>
      <c r="B13601" t="s">
        <v>11649</v>
      </c>
      <c r="C13601" t="s">
        <v>169</v>
      </c>
      <c r="D13601" s="21" t="s">
        <v>34</v>
      </c>
      <c r="E13601" s="21" t="s">
        <v>71</v>
      </c>
      <c r="F13601">
        <v>8780130</v>
      </c>
      <c r="G13601" t="s">
        <v>5752</v>
      </c>
      <c r="H13601" s="21">
        <v>893.17</v>
      </c>
    </row>
    <row r="13602" spans="1:8" customFormat="1" x14ac:dyDescent="0.25">
      <c r="A13602" t="str">
        <f>"5320362"</f>
        <v>5320362</v>
      </c>
      <c r="B13602" t="s">
        <v>6734</v>
      </c>
      <c r="C13602" t="s">
        <v>1119</v>
      </c>
      <c r="D13602" s="21" t="s">
        <v>34</v>
      </c>
      <c r="E13602" s="21" t="s">
        <v>71</v>
      </c>
      <c r="F13602">
        <v>12530079</v>
      </c>
      <c r="G13602" t="s">
        <v>3090</v>
      </c>
      <c r="H13602" s="21">
        <v>893.17</v>
      </c>
    </row>
    <row r="13603" spans="1:8" customFormat="1" x14ac:dyDescent="0.25">
      <c r="A13603" t="str">
        <f>"1319056"</f>
        <v>1319056</v>
      </c>
      <c r="B13603" t="s">
        <v>12408</v>
      </c>
      <c r="C13603" t="s">
        <v>263</v>
      </c>
      <c r="D13603" s="21" t="s">
        <v>34</v>
      </c>
      <c r="E13603" s="21" t="s">
        <v>71</v>
      </c>
      <c r="F13603">
        <v>13130170</v>
      </c>
      <c r="G13603" t="s">
        <v>10164</v>
      </c>
      <c r="H13603" s="21">
        <v>893.17</v>
      </c>
    </row>
    <row r="13604" spans="1:8" customFormat="1" x14ac:dyDescent="0.25">
      <c r="A13604" t="str">
        <f>"913952"</f>
        <v>913952</v>
      </c>
      <c r="B13604" t="s">
        <v>3104</v>
      </c>
      <c r="C13604" t="s">
        <v>2276</v>
      </c>
      <c r="D13604" s="21" t="s">
        <v>34</v>
      </c>
      <c r="E13604" s="21" t="s">
        <v>254</v>
      </c>
      <c r="F13604">
        <v>8910077</v>
      </c>
      <c r="G13604" t="s">
        <v>1380</v>
      </c>
      <c r="H13604" s="21">
        <v>893.17</v>
      </c>
    </row>
    <row r="13605" spans="1:8" customFormat="1" x14ac:dyDescent="0.25">
      <c r="A13605" t="str">
        <f>"7215956"</f>
        <v>7215956</v>
      </c>
      <c r="B13605" t="s">
        <v>12076</v>
      </c>
      <c r="C13605" t="s">
        <v>169</v>
      </c>
      <c r="D13605" s="21" t="s">
        <v>34</v>
      </c>
      <c r="E13605" s="21" t="s">
        <v>71</v>
      </c>
      <c r="F13605">
        <v>12720052</v>
      </c>
      <c r="G13605" t="s">
        <v>9628</v>
      </c>
      <c r="H13605" s="21">
        <v>893.17</v>
      </c>
    </row>
    <row r="13606" spans="1:8" customFormat="1" x14ac:dyDescent="0.25">
      <c r="A13606" t="str">
        <f>"2716724"</f>
        <v>2716724</v>
      </c>
      <c r="B13606" t="s">
        <v>14435</v>
      </c>
      <c r="C13606" t="s">
        <v>239</v>
      </c>
      <c r="D13606" s="21" t="s">
        <v>34</v>
      </c>
      <c r="E13606" s="21" t="s">
        <v>71</v>
      </c>
      <c r="F13606">
        <v>9270060</v>
      </c>
      <c r="G13606" t="s">
        <v>1982</v>
      </c>
      <c r="H13606" s="21">
        <v>893.17</v>
      </c>
    </row>
    <row r="13607" spans="1:8" customFormat="1" x14ac:dyDescent="0.25">
      <c r="A13607" t="str">
        <f>"165295"</f>
        <v>165295</v>
      </c>
      <c r="B13607" t="s">
        <v>12713</v>
      </c>
      <c r="C13607" t="s">
        <v>169</v>
      </c>
      <c r="D13607" s="21" t="s">
        <v>34</v>
      </c>
      <c r="E13607" s="21" t="s">
        <v>71</v>
      </c>
      <c r="F13607">
        <v>10160049</v>
      </c>
      <c r="G13607" t="s">
        <v>12117</v>
      </c>
      <c r="H13607" s="21">
        <v>893.17</v>
      </c>
    </row>
    <row r="13608" spans="1:8" customFormat="1" x14ac:dyDescent="0.25">
      <c r="A13608" t="str">
        <f>"495161"</f>
        <v>495161</v>
      </c>
      <c r="B13608" t="s">
        <v>9555</v>
      </c>
      <c r="C13608" t="s">
        <v>544</v>
      </c>
      <c r="D13608" s="21" t="s">
        <v>34</v>
      </c>
      <c r="E13608" s="21" t="s">
        <v>35</v>
      </c>
      <c r="F13608">
        <v>12490002</v>
      </c>
      <c r="G13608" t="s">
        <v>1875</v>
      </c>
      <c r="H13608" s="21">
        <v>893.17</v>
      </c>
    </row>
    <row r="13609" spans="1:8" customFormat="1" x14ac:dyDescent="0.25">
      <c r="A13609" t="str">
        <f>"504938"</f>
        <v>504938</v>
      </c>
      <c r="B13609" t="s">
        <v>12568</v>
      </c>
      <c r="C13609" t="s">
        <v>40</v>
      </c>
      <c r="D13609" s="21" t="s">
        <v>34</v>
      </c>
      <c r="E13609" s="21" t="s">
        <v>71</v>
      </c>
      <c r="F13609">
        <v>9500087</v>
      </c>
      <c r="G13609" t="s">
        <v>12569</v>
      </c>
      <c r="H13609" s="21">
        <v>893.17</v>
      </c>
    </row>
    <row r="13610" spans="1:8" customFormat="1" x14ac:dyDescent="0.25">
      <c r="A13610" t="str">
        <f>"4435949"</f>
        <v>4435949</v>
      </c>
      <c r="B13610" t="s">
        <v>11837</v>
      </c>
      <c r="C13610" t="s">
        <v>4721</v>
      </c>
      <c r="D13610" s="21" t="s">
        <v>34</v>
      </c>
      <c r="E13610" s="21" t="s">
        <v>254</v>
      </c>
      <c r="F13610">
        <v>12440154</v>
      </c>
      <c r="G13610" t="s">
        <v>7124</v>
      </c>
      <c r="H13610" s="21">
        <v>893.17</v>
      </c>
    </row>
    <row r="13611" spans="1:8" customFormat="1" x14ac:dyDescent="0.25">
      <c r="A13611" t="str">
        <f>"622974"</f>
        <v>622974</v>
      </c>
      <c r="B13611" t="s">
        <v>12944</v>
      </c>
      <c r="C13611" t="s">
        <v>2520</v>
      </c>
      <c r="D13611" s="21" t="s">
        <v>34</v>
      </c>
      <c r="E13611" s="21" t="s">
        <v>254</v>
      </c>
      <c r="F13611">
        <v>7620049</v>
      </c>
      <c r="G13611" t="s">
        <v>1176</v>
      </c>
      <c r="H13611" s="21">
        <v>893.17</v>
      </c>
    </row>
    <row r="13612" spans="1:8" customFormat="1" x14ac:dyDescent="0.25">
      <c r="A13612" t="str">
        <f>"5977694"</f>
        <v>5977694</v>
      </c>
      <c r="B13612" t="s">
        <v>15367</v>
      </c>
      <c r="C13612" t="s">
        <v>206</v>
      </c>
      <c r="D13612" s="21" t="s">
        <v>34</v>
      </c>
      <c r="E13612" s="21" t="s">
        <v>35</v>
      </c>
      <c r="F13612">
        <v>7590331</v>
      </c>
      <c r="G13612" t="s">
        <v>4882</v>
      </c>
      <c r="H13612" s="21">
        <v>893.17</v>
      </c>
    </row>
    <row r="13613" spans="1:8" customFormat="1" x14ac:dyDescent="0.25">
      <c r="A13613" t="str">
        <f>"51297"</f>
        <v>51297</v>
      </c>
      <c r="B13613" t="s">
        <v>5461</v>
      </c>
      <c r="C13613" t="s">
        <v>926</v>
      </c>
      <c r="D13613" s="21" t="s">
        <v>34</v>
      </c>
      <c r="E13613" s="21" t="s">
        <v>71</v>
      </c>
      <c r="F13613">
        <v>6510015</v>
      </c>
      <c r="G13613" t="s">
        <v>5462</v>
      </c>
      <c r="H13613" s="21">
        <v>893.17</v>
      </c>
    </row>
    <row r="13614" spans="1:8" customFormat="1" x14ac:dyDescent="0.25">
      <c r="A13614" t="str">
        <f>"281261"</f>
        <v>281261</v>
      </c>
      <c r="B13614" t="s">
        <v>4978</v>
      </c>
      <c r="C13614" t="s">
        <v>13466</v>
      </c>
      <c r="D13614" s="21" t="s">
        <v>34</v>
      </c>
      <c r="E13614" s="21" t="s">
        <v>35</v>
      </c>
      <c r="F13614">
        <v>4280404</v>
      </c>
      <c r="G13614" t="s">
        <v>13467</v>
      </c>
      <c r="H13614" s="21">
        <v>893.04</v>
      </c>
    </row>
    <row r="13615" spans="1:8" customFormat="1" x14ac:dyDescent="0.25">
      <c r="A13615" t="str">
        <f>"7510149"</f>
        <v>7510149</v>
      </c>
      <c r="B13615" t="s">
        <v>12014</v>
      </c>
      <c r="C13615" t="s">
        <v>239</v>
      </c>
      <c r="D13615" s="21" t="s">
        <v>34</v>
      </c>
      <c r="E13615" s="21" t="s">
        <v>254</v>
      </c>
      <c r="F13615">
        <v>8751163</v>
      </c>
      <c r="G13615" t="s">
        <v>80</v>
      </c>
      <c r="H13615" s="21">
        <v>893.04</v>
      </c>
    </row>
    <row r="13616" spans="1:8" customFormat="1" x14ac:dyDescent="0.25">
      <c r="A13616" t="str">
        <f>"534245"</f>
        <v>534245</v>
      </c>
      <c r="B13616" t="s">
        <v>12687</v>
      </c>
      <c r="C13616" t="s">
        <v>1665</v>
      </c>
      <c r="D13616" s="21" t="s">
        <v>34</v>
      </c>
      <c r="E13616" s="21" t="s">
        <v>254</v>
      </c>
      <c r="F13616">
        <v>12530049</v>
      </c>
      <c r="G13616" t="s">
        <v>9306</v>
      </c>
      <c r="H13616" s="21">
        <v>892.92</v>
      </c>
    </row>
    <row r="13617" spans="1:8" customFormat="1" x14ac:dyDescent="0.25">
      <c r="A13617" t="str">
        <f>"5917143"</f>
        <v>5917143</v>
      </c>
      <c r="B13617" t="s">
        <v>12842</v>
      </c>
      <c r="C13617" t="s">
        <v>121</v>
      </c>
      <c r="D13617" s="21" t="s">
        <v>34</v>
      </c>
      <c r="E13617" s="21" t="s">
        <v>35</v>
      </c>
      <c r="F13617">
        <v>7590338</v>
      </c>
      <c r="G13617" t="s">
        <v>682</v>
      </c>
      <c r="H13617" s="21">
        <v>892.67</v>
      </c>
    </row>
    <row r="13618" spans="1:8" customFormat="1" x14ac:dyDescent="0.25">
      <c r="A13618" t="str">
        <f>"2216587"</f>
        <v>2216587</v>
      </c>
      <c r="B13618" t="s">
        <v>7228</v>
      </c>
      <c r="C13618" t="s">
        <v>121</v>
      </c>
      <c r="D13618" s="21" t="s">
        <v>34</v>
      </c>
      <c r="E13618" s="21" t="s">
        <v>35</v>
      </c>
      <c r="F13618">
        <v>3220005</v>
      </c>
      <c r="G13618" t="s">
        <v>26718</v>
      </c>
      <c r="H13618" s="21">
        <v>892.67</v>
      </c>
    </row>
    <row r="13619" spans="1:8" customFormat="1" x14ac:dyDescent="0.25">
      <c r="A13619" t="str">
        <f>"954677"</f>
        <v>954677</v>
      </c>
      <c r="B13619" t="s">
        <v>12037</v>
      </c>
      <c r="C13619" t="s">
        <v>547</v>
      </c>
      <c r="D13619" s="21" t="s">
        <v>34</v>
      </c>
      <c r="E13619" s="21" t="s">
        <v>6185</v>
      </c>
      <c r="F13619">
        <v>8950330</v>
      </c>
      <c r="G13619" t="s">
        <v>794</v>
      </c>
      <c r="H13619" s="21">
        <v>892.67</v>
      </c>
    </row>
    <row r="13620" spans="1:8" customFormat="1" x14ac:dyDescent="0.25">
      <c r="A13620" t="str">
        <f>"6216310"</f>
        <v>6216310</v>
      </c>
      <c r="B13620" t="s">
        <v>14230</v>
      </c>
      <c r="C13620" t="s">
        <v>27306</v>
      </c>
      <c r="D13620" s="21" t="s">
        <v>34</v>
      </c>
      <c r="E13620" s="21" t="s">
        <v>35</v>
      </c>
      <c r="F13620">
        <v>7620010</v>
      </c>
      <c r="G13620" t="s">
        <v>504</v>
      </c>
      <c r="H13620" s="21">
        <v>892.67</v>
      </c>
    </row>
    <row r="13621" spans="1:8" customFormat="1" x14ac:dyDescent="0.25">
      <c r="A13621" t="str">
        <f>"5910806"</f>
        <v>5910806</v>
      </c>
      <c r="B13621" t="s">
        <v>3168</v>
      </c>
      <c r="C13621" t="s">
        <v>822</v>
      </c>
      <c r="D13621" s="21" t="s">
        <v>34</v>
      </c>
      <c r="E13621" s="21" t="s">
        <v>71</v>
      </c>
      <c r="F13621">
        <v>7590003</v>
      </c>
      <c r="G13621" t="s">
        <v>1166</v>
      </c>
      <c r="H13621" s="21">
        <v>892.67</v>
      </c>
    </row>
    <row r="13622" spans="1:8" customFormat="1" x14ac:dyDescent="0.25">
      <c r="A13622" t="str">
        <f>"3524253"</f>
        <v>3524253</v>
      </c>
      <c r="B13622" t="s">
        <v>12400</v>
      </c>
      <c r="C13622" t="s">
        <v>55</v>
      </c>
      <c r="D13622" s="21" t="s">
        <v>34</v>
      </c>
      <c r="E13622" s="21" t="s">
        <v>71</v>
      </c>
      <c r="F13622">
        <v>3350023</v>
      </c>
      <c r="G13622" t="s">
        <v>12401</v>
      </c>
      <c r="H13622" s="21">
        <v>892.67</v>
      </c>
    </row>
    <row r="13623" spans="1:8" customFormat="1" x14ac:dyDescent="0.25">
      <c r="A13623" t="str">
        <f>"377523"</f>
        <v>377523</v>
      </c>
      <c r="B13623" t="s">
        <v>12032</v>
      </c>
      <c r="C13623" t="s">
        <v>1588</v>
      </c>
      <c r="D13623" s="21" t="s">
        <v>34</v>
      </c>
      <c r="E13623" s="21" t="s">
        <v>71</v>
      </c>
      <c r="F13623">
        <v>4370038</v>
      </c>
      <c r="G13623" t="s">
        <v>1045</v>
      </c>
      <c r="H13623" s="21">
        <v>892.67</v>
      </c>
    </row>
    <row r="13624" spans="1:8" customFormat="1" x14ac:dyDescent="0.25">
      <c r="A13624" t="str">
        <f>"80216"</f>
        <v>80216</v>
      </c>
      <c r="B13624" t="s">
        <v>2337</v>
      </c>
      <c r="C13624" t="s">
        <v>239</v>
      </c>
      <c r="D13624" s="21" t="s">
        <v>34</v>
      </c>
      <c r="E13624" s="21" t="s">
        <v>254</v>
      </c>
      <c r="F13624">
        <v>7800040</v>
      </c>
      <c r="G13624" t="s">
        <v>1448</v>
      </c>
      <c r="H13624" s="21">
        <v>892.67</v>
      </c>
    </row>
    <row r="13625" spans="1:8" customFormat="1" x14ac:dyDescent="0.25">
      <c r="A13625" t="str">
        <f>"2516463"</f>
        <v>2516463</v>
      </c>
      <c r="B13625" t="s">
        <v>1892</v>
      </c>
      <c r="C13625" t="s">
        <v>3115</v>
      </c>
      <c r="D13625" s="21" t="s">
        <v>34</v>
      </c>
      <c r="E13625" s="21" t="s">
        <v>35</v>
      </c>
      <c r="F13625">
        <v>2250070</v>
      </c>
      <c r="G13625" t="s">
        <v>3923</v>
      </c>
      <c r="H13625" s="21">
        <v>892.67</v>
      </c>
    </row>
    <row r="13626" spans="1:8" customFormat="1" x14ac:dyDescent="0.25">
      <c r="A13626" t="str">
        <f>"193755"</f>
        <v>193755</v>
      </c>
      <c r="B13626" t="s">
        <v>11299</v>
      </c>
      <c r="C13626" t="s">
        <v>6486</v>
      </c>
      <c r="D13626" s="21" t="s">
        <v>34</v>
      </c>
      <c r="E13626" s="21" t="s">
        <v>1089</v>
      </c>
      <c r="F13626">
        <v>10190054</v>
      </c>
      <c r="G13626" t="s">
        <v>4189</v>
      </c>
      <c r="H13626" s="21">
        <v>892.67</v>
      </c>
    </row>
    <row r="13627" spans="1:8" customFormat="1" x14ac:dyDescent="0.25">
      <c r="A13627" t="str">
        <f>"6917178"</f>
        <v>6917178</v>
      </c>
      <c r="B13627" t="s">
        <v>1856</v>
      </c>
      <c r="C13627" t="s">
        <v>209</v>
      </c>
      <c r="D13627" s="21" t="s">
        <v>34</v>
      </c>
      <c r="E13627" s="21" t="s">
        <v>71</v>
      </c>
      <c r="F13627">
        <v>1690215</v>
      </c>
      <c r="G13627" t="s">
        <v>1080</v>
      </c>
      <c r="H13627" s="21">
        <v>892.67</v>
      </c>
    </row>
    <row r="13628" spans="1:8" customFormat="1" x14ac:dyDescent="0.25">
      <c r="A13628" t="str">
        <f>"181526"</f>
        <v>181526</v>
      </c>
      <c r="B13628" t="s">
        <v>1590</v>
      </c>
      <c r="C13628" t="s">
        <v>415</v>
      </c>
      <c r="D13628" s="21" t="s">
        <v>34</v>
      </c>
      <c r="E13628" s="21" t="s">
        <v>71</v>
      </c>
      <c r="F13628">
        <v>4180486</v>
      </c>
      <c r="G13628" t="s">
        <v>5295</v>
      </c>
      <c r="H13628" s="21">
        <v>892.67</v>
      </c>
    </row>
    <row r="13629" spans="1:8" customFormat="1" x14ac:dyDescent="0.25">
      <c r="A13629" t="str">
        <f>"5967298"</f>
        <v>5967298</v>
      </c>
      <c r="B13629" t="s">
        <v>12368</v>
      </c>
      <c r="C13629" t="s">
        <v>275</v>
      </c>
      <c r="D13629" s="21" t="s">
        <v>34</v>
      </c>
      <c r="E13629" s="21" t="s">
        <v>35</v>
      </c>
      <c r="F13629">
        <v>7590288</v>
      </c>
      <c r="G13629" t="s">
        <v>6972</v>
      </c>
      <c r="H13629" s="21">
        <v>892.67</v>
      </c>
    </row>
    <row r="13630" spans="1:8" customFormat="1" x14ac:dyDescent="0.25">
      <c r="A13630" t="str">
        <f>"433632"</f>
        <v>433632</v>
      </c>
      <c r="B13630" t="s">
        <v>13230</v>
      </c>
      <c r="C13630" t="s">
        <v>62</v>
      </c>
      <c r="D13630" s="21" t="s">
        <v>34</v>
      </c>
      <c r="E13630" s="21" t="s">
        <v>35</v>
      </c>
      <c r="F13630">
        <v>1420291</v>
      </c>
      <c r="G13630" t="s">
        <v>13231</v>
      </c>
      <c r="H13630" s="21">
        <v>892.54</v>
      </c>
    </row>
    <row r="13631" spans="1:8" customFormat="1" x14ac:dyDescent="0.25">
      <c r="A13631" t="str">
        <f>"767795"</f>
        <v>767795</v>
      </c>
      <c r="B13631" t="s">
        <v>6609</v>
      </c>
      <c r="C13631" t="s">
        <v>4721</v>
      </c>
      <c r="D13631" s="21" t="s">
        <v>34</v>
      </c>
      <c r="E13631" s="21" t="s">
        <v>1089</v>
      </c>
      <c r="F13631">
        <v>9760319</v>
      </c>
      <c r="G13631" t="s">
        <v>3051</v>
      </c>
      <c r="H13631" s="21">
        <v>892.42</v>
      </c>
    </row>
    <row r="13632" spans="1:8" customFormat="1" x14ac:dyDescent="0.25">
      <c r="A13632" t="str">
        <f>"4424615"</f>
        <v>4424615</v>
      </c>
      <c r="B13632" t="s">
        <v>13527</v>
      </c>
      <c r="C13632" t="s">
        <v>87</v>
      </c>
      <c r="D13632" s="21" t="s">
        <v>34</v>
      </c>
      <c r="E13632" s="21" t="s">
        <v>35</v>
      </c>
      <c r="F13632">
        <v>12440064</v>
      </c>
      <c r="G13632" t="s">
        <v>9082</v>
      </c>
      <c r="H13632" s="21">
        <v>892.42</v>
      </c>
    </row>
    <row r="13633" spans="1:8" customFormat="1" x14ac:dyDescent="0.25">
      <c r="A13633" t="str">
        <f>"699051"</f>
        <v>699051</v>
      </c>
      <c r="B13633" t="s">
        <v>12275</v>
      </c>
      <c r="C13633" t="s">
        <v>453</v>
      </c>
      <c r="D13633" s="21" t="s">
        <v>34</v>
      </c>
      <c r="E13633" s="21" t="s">
        <v>254</v>
      </c>
      <c r="F13633">
        <v>1690104</v>
      </c>
      <c r="G13633" t="s">
        <v>3501</v>
      </c>
      <c r="H13633" s="21">
        <v>892.42</v>
      </c>
    </row>
    <row r="13634" spans="1:8" customFormat="1" x14ac:dyDescent="0.25">
      <c r="A13634" t="str">
        <f>"194260"</f>
        <v>194260</v>
      </c>
      <c r="B13634" t="s">
        <v>11135</v>
      </c>
      <c r="C13634" t="s">
        <v>288</v>
      </c>
      <c r="D13634" s="21" t="s">
        <v>34</v>
      </c>
      <c r="E13634" s="21" t="s">
        <v>35</v>
      </c>
      <c r="F13634">
        <v>4180041</v>
      </c>
      <c r="G13634" t="s">
        <v>1740</v>
      </c>
      <c r="H13634" s="21">
        <v>892.17</v>
      </c>
    </row>
    <row r="13635" spans="1:8" customFormat="1" x14ac:dyDescent="0.25">
      <c r="A13635" t="str">
        <f>"9F1335"</f>
        <v>9F1335</v>
      </c>
      <c r="B13635" t="s">
        <v>10909</v>
      </c>
      <c r="C13635" t="s">
        <v>209</v>
      </c>
      <c r="D13635" s="21" t="s">
        <v>34</v>
      </c>
      <c r="E13635" s="21" t="s">
        <v>71</v>
      </c>
      <c r="F13635" t="s">
        <v>2591</v>
      </c>
      <c r="G13635" t="s">
        <v>2592</v>
      </c>
      <c r="H13635" s="21">
        <v>892.17</v>
      </c>
    </row>
    <row r="13636" spans="1:8" customFormat="1" x14ac:dyDescent="0.25">
      <c r="A13636" t="str">
        <f>"145336"</f>
        <v>145336</v>
      </c>
      <c r="B13636" t="s">
        <v>10736</v>
      </c>
      <c r="C13636" t="s">
        <v>720</v>
      </c>
      <c r="D13636" s="21" t="s">
        <v>34</v>
      </c>
      <c r="E13636" s="21" t="s">
        <v>254</v>
      </c>
      <c r="F13636">
        <v>9140007</v>
      </c>
      <c r="G13636" t="s">
        <v>434</v>
      </c>
      <c r="H13636" s="21">
        <v>892.17</v>
      </c>
    </row>
    <row r="13637" spans="1:8" customFormat="1" x14ac:dyDescent="0.25">
      <c r="A13637" t="str">
        <f>"7863194"</f>
        <v>7863194</v>
      </c>
      <c r="B13637" t="s">
        <v>12049</v>
      </c>
      <c r="C13637" t="s">
        <v>96</v>
      </c>
      <c r="D13637" s="21" t="s">
        <v>34</v>
      </c>
      <c r="E13637" s="21" t="s">
        <v>35</v>
      </c>
      <c r="F13637">
        <v>8780107</v>
      </c>
      <c r="G13637" t="s">
        <v>4186</v>
      </c>
      <c r="H13637" s="21">
        <v>892.17</v>
      </c>
    </row>
    <row r="13638" spans="1:8" customFormat="1" x14ac:dyDescent="0.25">
      <c r="A13638" t="str">
        <f>"174476"</f>
        <v>174476</v>
      </c>
      <c r="B13638" t="s">
        <v>11609</v>
      </c>
      <c r="C13638" t="s">
        <v>187</v>
      </c>
      <c r="D13638" s="21" t="s">
        <v>34</v>
      </c>
      <c r="E13638" s="21" t="s">
        <v>254</v>
      </c>
      <c r="F13638">
        <v>10170016</v>
      </c>
      <c r="G13638" t="s">
        <v>88</v>
      </c>
      <c r="H13638" s="21">
        <v>892.17</v>
      </c>
    </row>
    <row r="13639" spans="1:8" customFormat="1" x14ac:dyDescent="0.25">
      <c r="A13639" t="str">
        <f>"9528570"</f>
        <v>9528570</v>
      </c>
      <c r="B13639" t="s">
        <v>3189</v>
      </c>
      <c r="C13639" t="s">
        <v>2232</v>
      </c>
      <c r="D13639" s="21" t="s">
        <v>34</v>
      </c>
      <c r="E13639" s="21" t="s">
        <v>71</v>
      </c>
      <c r="F13639">
        <v>8950978</v>
      </c>
      <c r="G13639" t="s">
        <v>1164</v>
      </c>
      <c r="H13639" s="21">
        <v>892.17</v>
      </c>
    </row>
    <row r="13640" spans="1:8" customFormat="1" x14ac:dyDescent="0.25">
      <c r="A13640" t="str">
        <f>"243956"</f>
        <v>243956</v>
      </c>
      <c r="B13640" t="s">
        <v>11027</v>
      </c>
      <c r="C13640" t="s">
        <v>233</v>
      </c>
      <c r="D13640" s="21" t="s">
        <v>34</v>
      </c>
      <c r="E13640" s="21" t="s">
        <v>71</v>
      </c>
      <c r="F13640">
        <v>10240014</v>
      </c>
      <c r="G13640" t="s">
        <v>5445</v>
      </c>
      <c r="H13640" s="21">
        <v>892.17</v>
      </c>
    </row>
    <row r="13641" spans="1:8" customFormat="1" x14ac:dyDescent="0.25">
      <c r="A13641" t="str">
        <f>"9130997"</f>
        <v>9130997</v>
      </c>
      <c r="B13641" t="s">
        <v>11620</v>
      </c>
      <c r="C13641" t="s">
        <v>1588</v>
      </c>
      <c r="D13641" s="21" t="s">
        <v>34</v>
      </c>
      <c r="E13641" s="21" t="s">
        <v>254</v>
      </c>
      <c r="F13641">
        <v>8911064</v>
      </c>
      <c r="G13641" t="s">
        <v>2209</v>
      </c>
      <c r="H13641" s="21">
        <v>892.17</v>
      </c>
    </row>
    <row r="13642" spans="1:8" customFormat="1" x14ac:dyDescent="0.25">
      <c r="A13642" t="str">
        <f>"5963064"</f>
        <v>5963064</v>
      </c>
      <c r="B13642" t="s">
        <v>8050</v>
      </c>
      <c r="C13642" t="s">
        <v>249</v>
      </c>
      <c r="D13642" s="21" t="s">
        <v>34</v>
      </c>
      <c r="E13642" s="21" t="s">
        <v>35</v>
      </c>
      <c r="F13642">
        <v>7590250</v>
      </c>
      <c r="G13642" t="s">
        <v>13017</v>
      </c>
      <c r="H13642" s="21">
        <v>892.17</v>
      </c>
    </row>
    <row r="13643" spans="1:8" customFormat="1" x14ac:dyDescent="0.25">
      <c r="A13643" t="str">
        <f>"042600"</f>
        <v>042600</v>
      </c>
      <c r="B13643" t="s">
        <v>12627</v>
      </c>
      <c r="C13643" t="s">
        <v>130</v>
      </c>
      <c r="D13643" s="21" t="s">
        <v>34</v>
      </c>
      <c r="E13643" s="21" t="s">
        <v>71</v>
      </c>
      <c r="F13643">
        <v>13040005</v>
      </c>
      <c r="G13643" t="s">
        <v>7115</v>
      </c>
      <c r="H13643" s="21">
        <v>892.17</v>
      </c>
    </row>
    <row r="13644" spans="1:8" customFormat="1" x14ac:dyDescent="0.25">
      <c r="A13644" t="str">
        <f>"417116"</f>
        <v>417116</v>
      </c>
      <c r="B13644" t="s">
        <v>4872</v>
      </c>
      <c r="C13644" t="s">
        <v>233</v>
      </c>
      <c r="D13644" s="21" t="s">
        <v>34</v>
      </c>
      <c r="E13644" s="21" t="s">
        <v>71</v>
      </c>
      <c r="F13644">
        <v>10860024</v>
      </c>
      <c r="G13644" t="s">
        <v>1770</v>
      </c>
      <c r="H13644" s="21">
        <v>892.17</v>
      </c>
    </row>
    <row r="13645" spans="1:8" customFormat="1" x14ac:dyDescent="0.25">
      <c r="A13645" t="str">
        <f>"491460"</f>
        <v>491460</v>
      </c>
      <c r="B13645" t="s">
        <v>11543</v>
      </c>
      <c r="C13645" t="s">
        <v>926</v>
      </c>
      <c r="D13645" s="21" t="s">
        <v>34</v>
      </c>
      <c r="E13645" s="21" t="s">
        <v>254</v>
      </c>
      <c r="F13645">
        <v>12490064</v>
      </c>
      <c r="G13645" t="s">
        <v>8425</v>
      </c>
      <c r="H13645" s="21">
        <v>892.04</v>
      </c>
    </row>
    <row r="13646" spans="1:8" customFormat="1" x14ac:dyDescent="0.25">
      <c r="A13646" t="str">
        <f>"3315801"</f>
        <v>3315801</v>
      </c>
      <c r="B13646" t="s">
        <v>10925</v>
      </c>
      <c r="C13646" t="s">
        <v>65</v>
      </c>
      <c r="D13646" s="21" t="s">
        <v>34</v>
      </c>
      <c r="E13646" s="21" t="s">
        <v>35</v>
      </c>
      <c r="F13646">
        <v>10330046</v>
      </c>
      <c r="G13646" t="s">
        <v>1787</v>
      </c>
      <c r="H13646" s="21">
        <v>892.04</v>
      </c>
    </row>
    <row r="13647" spans="1:8" customFormat="1" x14ac:dyDescent="0.25">
      <c r="A13647" t="str">
        <f>"153933"</f>
        <v>153933</v>
      </c>
      <c r="B13647" t="s">
        <v>14327</v>
      </c>
      <c r="C13647" t="s">
        <v>55</v>
      </c>
      <c r="D13647" s="21" t="s">
        <v>34</v>
      </c>
      <c r="E13647" s="21" t="s">
        <v>35</v>
      </c>
      <c r="F13647">
        <v>1150159</v>
      </c>
      <c r="G13647" t="s">
        <v>7433</v>
      </c>
      <c r="H13647" s="21">
        <v>892.04</v>
      </c>
    </row>
    <row r="13648" spans="1:8" customFormat="1" x14ac:dyDescent="0.25">
      <c r="A13648" t="str">
        <f>"3327800"</f>
        <v>3327800</v>
      </c>
      <c r="B13648" t="s">
        <v>11640</v>
      </c>
      <c r="C13648" t="s">
        <v>121</v>
      </c>
      <c r="D13648" s="21" t="s">
        <v>34</v>
      </c>
      <c r="E13648" s="21" t="s">
        <v>71</v>
      </c>
      <c r="F13648">
        <v>10330020</v>
      </c>
      <c r="G13648" t="s">
        <v>7481</v>
      </c>
      <c r="H13648" s="21">
        <v>891.92</v>
      </c>
    </row>
    <row r="13649" spans="1:8" customFormat="1" x14ac:dyDescent="0.25">
      <c r="A13649" t="str">
        <f>"902903"</f>
        <v>902903</v>
      </c>
      <c r="B13649" t="s">
        <v>12252</v>
      </c>
      <c r="C13649" t="s">
        <v>62</v>
      </c>
      <c r="D13649" s="21" t="s">
        <v>34</v>
      </c>
      <c r="E13649" s="21" t="s">
        <v>71</v>
      </c>
      <c r="F13649">
        <v>4450661</v>
      </c>
      <c r="G13649" t="s">
        <v>12253</v>
      </c>
      <c r="H13649" s="21">
        <v>891.92</v>
      </c>
    </row>
    <row r="13650" spans="1:8" customFormat="1" x14ac:dyDescent="0.25">
      <c r="A13650" t="str">
        <f>"066362"</f>
        <v>066362</v>
      </c>
      <c r="B13650" t="s">
        <v>4138</v>
      </c>
      <c r="C13650" t="s">
        <v>412</v>
      </c>
      <c r="D13650" s="21" t="s">
        <v>34</v>
      </c>
      <c r="E13650" s="21" t="s">
        <v>6185</v>
      </c>
      <c r="F13650">
        <v>13060066</v>
      </c>
      <c r="G13650" t="s">
        <v>2556</v>
      </c>
      <c r="H13650" s="21">
        <v>891.92</v>
      </c>
    </row>
    <row r="13651" spans="1:8" customFormat="1" x14ac:dyDescent="0.25">
      <c r="A13651" t="str">
        <f>"767085"</f>
        <v>767085</v>
      </c>
      <c r="B13651" t="s">
        <v>10977</v>
      </c>
      <c r="C13651" t="s">
        <v>10978</v>
      </c>
      <c r="D13651" s="21" t="s">
        <v>34</v>
      </c>
      <c r="E13651" s="21" t="s">
        <v>71</v>
      </c>
      <c r="F13651">
        <v>9760272</v>
      </c>
      <c r="G13651" t="s">
        <v>5526</v>
      </c>
      <c r="H13651" s="21">
        <v>891.92</v>
      </c>
    </row>
    <row r="13652" spans="1:8" customFormat="1" x14ac:dyDescent="0.25">
      <c r="A13652" t="str">
        <f>"764331"</f>
        <v>764331</v>
      </c>
      <c r="B13652" t="s">
        <v>5649</v>
      </c>
      <c r="C13652" t="s">
        <v>267</v>
      </c>
      <c r="D13652" s="21" t="s">
        <v>34</v>
      </c>
      <c r="E13652" s="21" t="s">
        <v>1089</v>
      </c>
      <c r="F13652">
        <v>9760070</v>
      </c>
      <c r="G13652" t="s">
        <v>6226</v>
      </c>
      <c r="H13652" s="21">
        <v>891.67</v>
      </c>
    </row>
    <row r="13653" spans="1:8" customFormat="1" x14ac:dyDescent="0.25">
      <c r="A13653" t="str">
        <f>"4434137"</f>
        <v>4434137</v>
      </c>
      <c r="B13653" t="s">
        <v>4124</v>
      </c>
      <c r="C13653" t="s">
        <v>302</v>
      </c>
      <c r="D13653" s="21" t="s">
        <v>34</v>
      </c>
      <c r="E13653" s="21" t="s">
        <v>35</v>
      </c>
      <c r="F13653">
        <v>12440060</v>
      </c>
      <c r="G13653" t="s">
        <v>9953</v>
      </c>
      <c r="H13653" s="21">
        <v>891.67</v>
      </c>
    </row>
    <row r="13654" spans="1:8" customFormat="1" x14ac:dyDescent="0.25">
      <c r="A13654" t="str">
        <f>"851106"</f>
        <v>851106</v>
      </c>
      <c r="B13654" t="s">
        <v>6719</v>
      </c>
      <c r="C13654" t="s">
        <v>528</v>
      </c>
      <c r="D13654" s="21" t="s">
        <v>34</v>
      </c>
      <c r="E13654" s="21" t="s">
        <v>254</v>
      </c>
      <c r="F13654">
        <v>12850032</v>
      </c>
      <c r="G13654" t="s">
        <v>6589</v>
      </c>
      <c r="H13654" s="21">
        <v>891.67</v>
      </c>
    </row>
    <row r="13655" spans="1:8" customFormat="1" x14ac:dyDescent="0.25">
      <c r="A13655" t="str">
        <f>"0110760"</f>
        <v>0110760</v>
      </c>
      <c r="B13655" t="s">
        <v>4147</v>
      </c>
      <c r="C13655" t="s">
        <v>1468</v>
      </c>
      <c r="D13655" s="21" t="s">
        <v>34</v>
      </c>
      <c r="E13655" s="21" t="s">
        <v>71</v>
      </c>
      <c r="F13655">
        <v>1010044</v>
      </c>
      <c r="G13655" t="s">
        <v>4603</v>
      </c>
      <c r="H13655" s="21">
        <v>891.67</v>
      </c>
    </row>
    <row r="13656" spans="1:8" customFormat="1" x14ac:dyDescent="0.25">
      <c r="A13656" t="str">
        <f>"78509"</f>
        <v>78509</v>
      </c>
      <c r="B13656" t="s">
        <v>12051</v>
      </c>
      <c r="C13656" t="s">
        <v>55</v>
      </c>
      <c r="D13656" s="21" t="s">
        <v>34</v>
      </c>
      <c r="E13656" s="21" t="s">
        <v>254</v>
      </c>
      <c r="F13656">
        <v>8780627</v>
      </c>
      <c r="G13656" t="s">
        <v>6097</v>
      </c>
      <c r="H13656" s="21">
        <v>891.67</v>
      </c>
    </row>
    <row r="13657" spans="1:8" customFormat="1" x14ac:dyDescent="0.25">
      <c r="A13657" t="str">
        <f>"597706"</f>
        <v>597706</v>
      </c>
      <c r="B13657" t="s">
        <v>4757</v>
      </c>
      <c r="C13657" t="s">
        <v>2100</v>
      </c>
      <c r="D13657" s="21" t="s">
        <v>34</v>
      </c>
      <c r="E13657" s="21" t="s">
        <v>254</v>
      </c>
      <c r="F13657">
        <v>7590177</v>
      </c>
      <c r="G13657" t="s">
        <v>10380</v>
      </c>
      <c r="H13657" s="21">
        <v>891.67</v>
      </c>
    </row>
    <row r="13658" spans="1:8" customFormat="1" x14ac:dyDescent="0.25">
      <c r="A13658" t="str">
        <f>"831179"</f>
        <v>831179</v>
      </c>
      <c r="B13658" t="s">
        <v>12260</v>
      </c>
      <c r="C13658" t="s">
        <v>43</v>
      </c>
      <c r="D13658" s="21" t="s">
        <v>34</v>
      </c>
      <c r="E13658" s="21" t="s">
        <v>35</v>
      </c>
      <c r="F13658">
        <v>13830044</v>
      </c>
      <c r="G13658" t="s">
        <v>945</v>
      </c>
      <c r="H13658" s="21">
        <v>891.67</v>
      </c>
    </row>
    <row r="13659" spans="1:8" customFormat="1" x14ac:dyDescent="0.25">
      <c r="A13659" t="str">
        <f>"581765"</f>
        <v>581765</v>
      </c>
      <c r="B13659" t="s">
        <v>11496</v>
      </c>
      <c r="C13659" t="s">
        <v>109</v>
      </c>
      <c r="D13659" s="21" t="s">
        <v>34</v>
      </c>
      <c r="E13659" s="21" t="s">
        <v>35</v>
      </c>
      <c r="F13659">
        <v>2580019</v>
      </c>
      <c r="G13659" t="s">
        <v>8527</v>
      </c>
      <c r="H13659" s="21">
        <v>891.67</v>
      </c>
    </row>
    <row r="13660" spans="1:8" customFormat="1" x14ac:dyDescent="0.25">
      <c r="A13660" t="str">
        <f>"4424109"</f>
        <v>4424109</v>
      </c>
      <c r="B13660" t="s">
        <v>12475</v>
      </c>
      <c r="C13660" t="s">
        <v>169</v>
      </c>
      <c r="D13660" s="21" t="s">
        <v>34</v>
      </c>
      <c r="E13660" s="21" t="s">
        <v>35</v>
      </c>
      <c r="F13660">
        <v>12440185</v>
      </c>
      <c r="G13660" t="s">
        <v>12476</v>
      </c>
      <c r="H13660" s="21">
        <v>891.67</v>
      </c>
    </row>
    <row r="13661" spans="1:8" customFormat="1" x14ac:dyDescent="0.25">
      <c r="A13661" t="str">
        <f>"5013978"</f>
        <v>5013978</v>
      </c>
      <c r="B13661" t="s">
        <v>3555</v>
      </c>
      <c r="C13661" t="s">
        <v>33</v>
      </c>
      <c r="D13661" s="21" t="s">
        <v>34</v>
      </c>
      <c r="E13661" s="21" t="s">
        <v>71</v>
      </c>
      <c r="F13661">
        <v>9500121</v>
      </c>
      <c r="G13661" t="s">
        <v>7360</v>
      </c>
      <c r="H13661" s="21">
        <v>891.67</v>
      </c>
    </row>
    <row r="13662" spans="1:8" customFormat="1" x14ac:dyDescent="0.25">
      <c r="A13662" t="str">
        <f>"9521648"</f>
        <v>9521648</v>
      </c>
      <c r="B13662" t="s">
        <v>1349</v>
      </c>
      <c r="C13662" t="s">
        <v>15353</v>
      </c>
      <c r="D13662" s="21" t="s">
        <v>34</v>
      </c>
      <c r="E13662" s="21" t="s">
        <v>35</v>
      </c>
      <c r="F13662">
        <v>8950479</v>
      </c>
      <c r="G13662" t="s">
        <v>728</v>
      </c>
      <c r="H13662" s="21">
        <v>891.67</v>
      </c>
    </row>
    <row r="13663" spans="1:8" customFormat="1" x14ac:dyDescent="0.25">
      <c r="A13663" t="str">
        <f>"7628011"</f>
        <v>7628011</v>
      </c>
      <c r="B13663" t="s">
        <v>14462</v>
      </c>
      <c r="C13663" t="s">
        <v>576</v>
      </c>
      <c r="D13663" s="21" t="s">
        <v>34</v>
      </c>
      <c r="E13663" s="21" t="s">
        <v>35</v>
      </c>
      <c r="F13663">
        <v>9760291</v>
      </c>
      <c r="G13663" t="s">
        <v>26611</v>
      </c>
      <c r="H13663" s="21">
        <v>891.67</v>
      </c>
    </row>
    <row r="13664" spans="1:8" customFormat="1" x14ac:dyDescent="0.25">
      <c r="A13664" t="str">
        <f>"254630"</f>
        <v>254630</v>
      </c>
      <c r="B13664" t="s">
        <v>1341</v>
      </c>
      <c r="C13664" t="s">
        <v>2520</v>
      </c>
      <c r="D13664" s="21" t="s">
        <v>34</v>
      </c>
      <c r="E13664" s="21" t="s">
        <v>71</v>
      </c>
      <c r="F13664">
        <v>2250049</v>
      </c>
      <c r="G13664" t="s">
        <v>9590</v>
      </c>
      <c r="H13664" s="21">
        <v>891.67</v>
      </c>
    </row>
    <row r="13665" spans="1:8" customFormat="1" x14ac:dyDescent="0.25">
      <c r="A13665" t="str">
        <f>"831693"</f>
        <v>831693</v>
      </c>
      <c r="B13665" t="s">
        <v>12150</v>
      </c>
      <c r="C13665" t="s">
        <v>812</v>
      </c>
      <c r="D13665" s="21" t="s">
        <v>34</v>
      </c>
      <c r="E13665" s="21" t="s">
        <v>254</v>
      </c>
      <c r="F13665">
        <v>13830088</v>
      </c>
      <c r="G13665" t="s">
        <v>17664</v>
      </c>
      <c r="H13665" s="21">
        <v>891.67</v>
      </c>
    </row>
    <row r="13666" spans="1:8" customFormat="1" x14ac:dyDescent="0.25">
      <c r="A13666" t="str">
        <f>"9517973"</f>
        <v>9517973</v>
      </c>
      <c r="B13666" t="s">
        <v>295</v>
      </c>
      <c r="C13666" t="s">
        <v>130</v>
      </c>
      <c r="D13666" s="21" t="s">
        <v>34</v>
      </c>
      <c r="E13666" s="21" t="s">
        <v>254</v>
      </c>
      <c r="F13666">
        <v>3220048</v>
      </c>
      <c r="G13666" t="s">
        <v>26532</v>
      </c>
      <c r="H13666" s="21">
        <v>891.67</v>
      </c>
    </row>
    <row r="13667" spans="1:8" customFormat="1" x14ac:dyDescent="0.25">
      <c r="A13667" t="str">
        <f>"6110071"</f>
        <v>6110071</v>
      </c>
      <c r="B13667" t="s">
        <v>5337</v>
      </c>
      <c r="C13667" t="s">
        <v>98</v>
      </c>
      <c r="D13667" s="21" t="s">
        <v>34</v>
      </c>
      <c r="E13667" s="21" t="s">
        <v>35</v>
      </c>
      <c r="F13667">
        <v>9610122</v>
      </c>
      <c r="G13667" t="s">
        <v>4349</v>
      </c>
      <c r="H13667" s="21">
        <v>891.67</v>
      </c>
    </row>
    <row r="13668" spans="1:8" customFormat="1" x14ac:dyDescent="0.25">
      <c r="A13668" t="str">
        <f>"5316716"</f>
        <v>5316716</v>
      </c>
      <c r="B13668" t="s">
        <v>1500</v>
      </c>
      <c r="C13668" t="s">
        <v>49</v>
      </c>
      <c r="D13668" s="21" t="s">
        <v>34</v>
      </c>
      <c r="E13668" s="21" t="s">
        <v>35</v>
      </c>
      <c r="F13668">
        <v>12530146</v>
      </c>
      <c r="G13668" t="s">
        <v>10916</v>
      </c>
      <c r="H13668" s="21">
        <v>891.67</v>
      </c>
    </row>
    <row r="13669" spans="1:8" customFormat="1" x14ac:dyDescent="0.25">
      <c r="A13669" t="str">
        <f>"9533143"</f>
        <v>9533143</v>
      </c>
      <c r="B13669" t="s">
        <v>271</v>
      </c>
      <c r="C13669" t="s">
        <v>13109</v>
      </c>
      <c r="D13669" s="21" t="s">
        <v>34</v>
      </c>
      <c r="E13669" s="21" t="s">
        <v>35</v>
      </c>
      <c r="F13669">
        <v>8950553</v>
      </c>
      <c r="G13669" t="s">
        <v>1058</v>
      </c>
      <c r="H13669" s="21">
        <v>891.54</v>
      </c>
    </row>
    <row r="13670" spans="1:8" customFormat="1" x14ac:dyDescent="0.25">
      <c r="A13670" t="str">
        <f>"9218472"</f>
        <v>9218472</v>
      </c>
      <c r="B13670" t="s">
        <v>27307</v>
      </c>
      <c r="C13670" t="s">
        <v>171</v>
      </c>
      <c r="D13670" s="21" t="s">
        <v>34</v>
      </c>
      <c r="E13670" s="21" t="s">
        <v>71</v>
      </c>
      <c r="F13670">
        <v>8780016</v>
      </c>
      <c r="G13670" t="s">
        <v>3153</v>
      </c>
      <c r="H13670" s="21">
        <v>891.54</v>
      </c>
    </row>
    <row r="13671" spans="1:8" customFormat="1" x14ac:dyDescent="0.25">
      <c r="A13671" t="str">
        <f>"775131"</f>
        <v>775131</v>
      </c>
      <c r="B13671" t="s">
        <v>4805</v>
      </c>
      <c r="C13671" t="s">
        <v>269</v>
      </c>
      <c r="D13671" s="21" t="s">
        <v>34</v>
      </c>
      <c r="E13671" s="21" t="s">
        <v>254</v>
      </c>
      <c r="F13671">
        <v>8771085</v>
      </c>
      <c r="G13671" t="s">
        <v>11894</v>
      </c>
      <c r="H13671" s="21">
        <v>891.42</v>
      </c>
    </row>
    <row r="13672" spans="1:8" customFormat="1" x14ac:dyDescent="0.25">
      <c r="A13672" t="str">
        <f>"5722774"</f>
        <v>5722774</v>
      </c>
      <c r="B13672" t="s">
        <v>3279</v>
      </c>
      <c r="C13672" t="s">
        <v>40</v>
      </c>
      <c r="D13672" s="21" t="s">
        <v>34</v>
      </c>
      <c r="E13672" s="21" t="s">
        <v>254</v>
      </c>
      <c r="F13672">
        <v>6570140</v>
      </c>
      <c r="G13672" t="s">
        <v>813</v>
      </c>
      <c r="H13672" s="21">
        <v>891.42</v>
      </c>
    </row>
    <row r="13673" spans="1:8" customFormat="1" x14ac:dyDescent="0.25">
      <c r="A13673" t="str">
        <f>"4433657"</f>
        <v>4433657</v>
      </c>
      <c r="B13673" t="s">
        <v>12645</v>
      </c>
      <c r="C13673" t="s">
        <v>498</v>
      </c>
      <c r="D13673" s="21" t="s">
        <v>34</v>
      </c>
      <c r="E13673" s="21" t="s">
        <v>35</v>
      </c>
      <c r="F13673">
        <v>12440094</v>
      </c>
      <c r="G13673" t="s">
        <v>892</v>
      </c>
      <c r="H13673" s="21">
        <v>891.42</v>
      </c>
    </row>
    <row r="13674" spans="1:8" customFormat="1" x14ac:dyDescent="0.25">
      <c r="A13674" t="str">
        <f>"915005"</f>
        <v>915005</v>
      </c>
      <c r="B13674" t="s">
        <v>11969</v>
      </c>
      <c r="C13674" t="s">
        <v>2520</v>
      </c>
      <c r="D13674" s="21" t="s">
        <v>34</v>
      </c>
      <c r="E13674" s="21" t="s">
        <v>254</v>
      </c>
      <c r="F13674">
        <v>8911395</v>
      </c>
      <c r="G13674" t="s">
        <v>8758</v>
      </c>
      <c r="H13674" s="21">
        <v>891.29</v>
      </c>
    </row>
    <row r="13675" spans="1:8" customFormat="1" x14ac:dyDescent="0.25">
      <c r="A13675" t="str">
        <f>"5918806"</f>
        <v>5918806</v>
      </c>
      <c r="B13675" t="s">
        <v>12596</v>
      </c>
      <c r="C13675" t="s">
        <v>43</v>
      </c>
      <c r="D13675" s="21" t="s">
        <v>34</v>
      </c>
      <c r="E13675" s="21" t="s">
        <v>35</v>
      </c>
      <c r="F13675">
        <v>7590043</v>
      </c>
      <c r="G13675" t="s">
        <v>10565</v>
      </c>
      <c r="H13675" s="21">
        <v>891.17</v>
      </c>
    </row>
    <row r="13676" spans="1:8" customFormat="1" x14ac:dyDescent="0.25">
      <c r="A13676" t="str">
        <f>"385208"</f>
        <v>385208</v>
      </c>
      <c r="B13676" t="s">
        <v>13916</v>
      </c>
      <c r="C13676" t="s">
        <v>156</v>
      </c>
      <c r="D13676" s="21" t="s">
        <v>34</v>
      </c>
      <c r="E13676" s="21" t="s">
        <v>71</v>
      </c>
      <c r="F13676">
        <v>1380298</v>
      </c>
      <c r="G13676" t="s">
        <v>5868</v>
      </c>
      <c r="H13676" s="21">
        <v>891.17</v>
      </c>
    </row>
    <row r="13677" spans="1:8" customFormat="1" x14ac:dyDescent="0.25">
      <c r="A13677" t="str">
        <f>"5942093"</f>
        <v>5942093</v>
      </c>
      <c r="B13677" t="s">
        <v>575</v>
      </c>
      <c r="C13677" t="s">
        <v>608</v>
      </c>
      <c r="D13677" s="21" t="s">
        <v>34</v>
      </c>
      <c r="E13677" s="21" t="s">
        <v>35</v>
      </c>
      <c r="F13677">
        <v>7590269</v>
      </c>
      <c r="G13677" t="s">
        <v>873</v>
      </c>
      <c r="H13677" s="21">
        <v>891.17</v>
      </c>
    </row>
    <row r="13678" spans="1:8" customFormat="1" x14ac:dyDescent="0.25">
      <c r="A13678" t="str">
        <f>"717629"</f>
        <v>717629</v>
      </c>
      <c r="B13678" t="s">
        <v>11913</v>
      </c>
      <c r="C13678" t="s">
        <v>209</v>
      </c>
      <c r="D13678" s="21" t="s">
        <v>34</v>
      </c>
      <c r="E13678" s="21" t="s">
        <v>35</v>
      </c>
      <c r="F13678">
        <v>2710036</v>
      </c>
      <c r="G13678" t="s">
        <v>11095</v>
      </c>
      <c r="H13678" s="21">
        <v>891.17</v>
      </c>
    </row>
    <row r="13679" spans="1:8" customFormat="1" x14ac:dyDescent="0.25">
      <c r="A13679" t="str">
        <f>"6925983"</f>
        <v>6925983</v>
      </c>
      <c r="B13679" t="s">
        <v>8850</v>
      </c>
      <c r="C13679" t="s">
        <v>119</v>
      </c>
      <c r="D13679" s="21" t="s">
        <v>34</v>
      </c>
      <c r="E13679" s="21" t="s">
        <v>35</v>
      </c>
      <c r="F13679">
        <v>1690029</v>
      </c>
      <c r="G13679" t="s">
        <v>6554</v>
      </c>
      <c r="H13679" s="21">
        <v>891.17</v>
      </c>
    </row>
    <row r="13680" spans="1:8" customFormat="1" x14ac:dyDescent="0.25">
      <c r="A13680" t="str">
        <f>"8013928"</f>
        <v>8013928</v>
      </c>
      <c r="B13680" t="s">
        <v>4665</v>
      </c>
      <c r="C13680" t="s">
        <v>90</v>
      </c>
      <c r="D13680" s="21" t="s">
        <v>34</v>
      </c>
      <c r="E13680" s="21" t="s">
        <v>35</v>
      </c>
      <c r="F13680">
        <v>7800020</v>
      </c>
      <c r="G13680" t="s">
        <v>11608</v>
      </c>
      <c r="H13680" s="21">
        <v>891.17</v>
      </c>
    </row>
    <row r="13681" spans="1:8" customFormat="1" x14ac:dyDescent="0.25">
      <c r="A13681" t="str">
        <f>"6020154"</f>
        <v>6020154</v>
      </c>
      <c r="B13681" t="s">
        <v>12229</v>
      </c>
      <c r="C13681" t="s">
        <v>65</v>
      </c>
      <c r="D13681" s="21" t="s">
        <v>34</v>
      </c>
      <c r="E13681" s="21" t="s">
        <v>35</v>
      </c>
      <c r="F13681">
        <v>7600004</v>
      </c>
      <c r="G13681" t="s">
        <v>848</v>
      </c>
      <c r="H13681" s="21">
        <v>891.17</v>
      </c>
    </row>
    <row r="13682" spans="1:8" customFormat="1" x14ac:dyDescent="0.25">
      <c r="A13682" t="str">
        <f>"402380"</f>
        <v>402380</v>
      </c>
      <c r="B13682" t="s">
        <v>12112</v>
      </c>
      <c r="C13682" t="s">
        <v>1705</v>
      </c>
      <c r="D13682" s="21" t="s">
        <v>34</v>
      </c>
      <c r="E13682" s="21" t="s">
        <v>71</v>
      </c>
      <c r="F13682">
        <v>4450571</v>
      </c>
      <c r="G13682" t="s">
        <v>188</v>
      </c>
      <c r="H13682" s="21">
        <v>891.17</v>
      </c>
    </row>
    <row r="13683" spans="1:8" customFormat="1" x14ac:dyDescent="0.25">
      <c r="A13683" t="str">
        <f>"6933209"</f>
        <v>6933209</v>
      </c>
      <c r="B13683" t="s">
        <v>1614</v>
      </c>
      <c r="C13683" t="s">
        <v>144</v>
      </c>
      <c r="D13683" s="21" t="s">
        <v>34</v>
      </c>
      <c r="E13683" s="21" t="s">
        <v>71</v>
      </c>
      <c r="F13683">
        <v>1690221</v>
      </c>
      <c r="G13683" t="s">
        <v>303</v>
      </c>
      <c r="H13683" s="21">
        <v>891.17</v>
      </c>
    </row>
    <row r="13684" spans="1:8" customFormat="1" x14ac:dyDescent="0.25">
      <c r="A13684" t="str">
        <f>"888428"</f>
        <v>888428</v>
      </c>
      <c r="B13684" t="s">
        <v>11596</v>
      </c>
      <c r="C13684" t="s">
        <v>2132</v>
      </c>
      <c r="D13684" s="21" t="s">
        <v>34</v>
      </c>
      <c r="E13684" s="21" t="s">
        <v>35</v>
      </c>
      <c r="F13684">
        <v>6880140</v>
      </c>
      <c r="G13684" t="s">
        <v>4827</v>
      </c>
      <c r="H13684" s="21">
        <v>891.04</v>
      </c>
    </row>
    <row r="13685" spans="1:8" customFormat="1" x14ac:dyDescent="0.25">
      <c r="A13685" t="str">
        <f>"5316284"</f>
        <v>5316284</v>
      </c>
      <c r="B13685" t="s">
        <v>4352</v>
      </c>
      <c r="C13685" t="s">
        <v>87</v>
      </c>
      <c r="D13685" s="21" t="s">
        <v>34</v>
      </c>
      <c r="E13685" s="21" t="s">
        <v>35</v>
      </c>
      <c r="F13685">
        <v>10870007</v>
      </c>
      <c r="G13685" t="s">
        <v>8903</v>
      </c>
      <c r="H13685" s="21">
        <v>890.92</v>
      </c>
    </row>
    <row r="13686" spans="1:8" customFormat="1" x14ac:dyDescent="0.25">
      <c r="A13686" t="str">
        <f>"111443"</f>
        <v>111443</v>
      </c>
      <c r="B13686" t="s">
        <v>8236</v>
      </c>
      <c r="C13686" t="s">
        <v>664</v>
      </c>
      <c r="D13686" s="21" t="s">
        <v>34</v>
      </c>
      <c r="E13686" s="21" t="s">
        <v>254</v>
      </c>
      <c r="F13686">
        <v>11110024</v>
      </c>
      <c r="G13686" t="s">
        <v>3378</v>
      </c>
      <c r="H13686" s="21">
        <v>890.92</v>
      </c>
    </row>
    <row r="13687" spans="1:8" customFormat="1" x14ac:dyDescent="0.25">
      <c r="A13687" t="str">
        <f>"9135916"</f>
        <v>9135916</v>
      </c>
      <c r="B13687" t="s">
        <v>3587</v>
      </c>
      <c r="C13687" t="s">
        <v>453</v>
      </c>
      <c r="D13687" s="21" t="s">
        <v>34</v>
      </c>
      <c r="E13687" s="21" t="s">
        <v>254</v>
      </c>
      <c r="F13687">
        <v>8911280</v>
      </c>
      <c r="G13687" t="s">
        <v>3417</v>
      </c>
      <c r="H13687" s="21">
        <v>890.79</v>
      </c>
    </row>
    <row r="13688" spans="1:8" customFormat="1" x14ac:dyDescent="0.25">
      <c r="A13688" t="str">
        <f>"37547"</f>
        <v>37547</v>
      </c>
      <c r="B13688" t="s">
        <v>5833</v>
      </c>
      <c r="C13688" t="s">
        <v>598</v>
      </c>
      <c r="D13688" s="21" t="s">
        <v>34</v>
      </c>
      <c r="E13688" s="21" t="s">
        <v>1089</v>
      </c>
      <c r="F13688">
        <v>4370656</v>
      </c>
      <c r="G13688" t="s">
        <v>1127</v>
      </c>
      <c r="H13688" s="21">
        <v>890.67</v>
      </c>
    </row>
    <row r="13689" spans="1:8" customFormat="1" x14ac:dyDescent="0.25">
      <c r="A13689" t="str">
        <f>"5416356"</f>
        <v>5416356</v>
      </c>
      <c r="B13689" t="s">
        <v>11892</v>
      </c>
      <c r="C13689" t="s">
        <v>547</v>
      </c>
      <c r="D13689" s="21" t="s">
        <v>34</v>
      </c>
      <c r="E13689" s="21" t="s">
        <v>254</v>
      </c>
      <c r="F13689">
        <v>6540008</v>
      </c>
      <c r="G13689" t="s">
        <v>3891</v>
      </c>
      <c r="H13689" s="21">
        <v>890.67</v>
      </c>
    </row>
    <row r="13690" spans="1:8" customFormat="1" x14ac:dyDescent="0.25">
      <c r="A13690" t="str">
        <f>"715946"</f>
        <v>715946</v>
      </c>
      <c r="B13690" t="s">
        <v>9405</v>
      </c>
      <c r="C13690" t="s">
        <v>27308</v>
      </c>
      <c r="D13690" s="21" t="s">
        <v>34</v>
      </c>
      <c r="E13690" s="21" t="s">
        <v>71</v>
      </c>
      <c r="F13690">
        <v>2710042</v>
      </c>
      <c r="G13690" t="s">
        <v>1997</v>
      </c>
      <c r="H13690" s="21">
        <v>890.67</v>
      </c>
    </row>
    <row r="13691" spans="1:8" customFormat="1" x14ac:dyDescent="0.25">
      <c r="A13691" t="str">
        <f>"806145"</f>
        <v>806145</v>
      </c>
      <c r="B13691" t="s">
        <v>12920</v>
      </c>
      <c r="C13691" t="s">
        <v>151</v>
      </c>
      <c r="D13691" s="21" t="s">
        <v>34</v>
      </c>
      <c r="E13691" s="21" t="s">
        <v>254</v>
      </c>
      <c r="F13691">
        <v>7800003</v>
      </c>
      <c r="G13691" t="s">
        <v>276</v>
      </c>
      <c r="H13691" s="21">
        <v>890.67</v>
      </c>
    </row>
    <row r="13692" spans="1:8" customFormat="1" x14ac:dyDescent="0.25">
      <c r="A13692" t="str">
        <f>"5322403"</f>
        <v>5322403</v>
      </c>
      <c r="B13692" t="s">
        <v>13951</v>
      </c>
      <c r="C13692" t="s">
        <v>139</v>
      </c>
      <c r="D13692" s="21" t="s">
        <v>34</v>
      </c>
      <c r="E13692" s="21" t="s">
        <v>35</v>
      </c>
      <c r="F13692">
        <v>12530081</v>
      </c>
      <c r="G13692" t="s">
        <v>13952</v>
      </c>
      <c r="H13692" s="21">
        <v>890.67</v>
      </c>
    </row>
    <row r="13693" spans="1:8" customFormat="1" x14ac:dyDescent="0.25">
      <c r="A13693" t="str">
        <f>"5949958"</f>
        <v>5949958</v>
      </c>
      <c r="B13693" t="s">
        <v>12986</v>
      </c>
      <c r="C13693" t="s">
        <v>302</v>
      </c>
      <c r="D13693" s="21" t="s">
        <v>34</v>
      </c>
      <c r="E13693" s="21" t="s">
        <v>35</v>
      </c>
      <c r="F13693">
        <v>7590047</v>
      </c>
      <c r="G13693" t="s">
        <v>5788</v>
      </c>
      <c r="H13693" s="21">
        <v>890.67</v>
      </c>
    </row>
    <row r="13694" spans="1:8" customFormat="1" x14ac:dyDescent="0.25">
      <c r="A13694" t="str">
        <f>"305292"</f>
        <v>305292</v>
      </c>
      <c r="B13694" t="s">
        <v>12003</v>
      </c>
      <c r="C13694" t="s">
        <v>204</v>
      </c>
      <c r="D13694" s="21" t="s">
        <v>34</v>
      </c>
      <c r="E13694" s="21" t="s">
        <v>35</v>
      </c>
      <c r="F13694">
        <v>11300012</v>
      </c>
      <c r="G13694" t="s">
        <v>5958</v>
      </c>
      <c r="H13694" s="21">
        <v>890.67</v>
      </c>
    </row>
    <row r="13695" spans="1:8" customFormat="1" x14ac:dyDescent="0.25">
      <c r="A13695" t="str">
        <f>"2211638"</f>
        <v>2211638</v>
      </c>
      <c r="B13695" t="s">
        <v>6644</v>
      </c>
      <c r="C13695" t="s">
        <v>926</v>
      </c>
      <c r="D13695" s="21" t="s">
        <v>34</v>
      </c>
      <c r="E13695" s="21" t="s">
        <v>71</v>
      </c>
      <c r="F13695">
        <v>3220064</v>
      </c>
      <c r="G13695" t="s">
        <v>26559</v>
      </c>
      <c r="H13695" s="21">
        <v>890.67</v>
      </c>
    </row>
    <row r="13696" spans="1:8" customFormat="1" x14ac:dyDescent="0.25">
      <c r="A13696" t="str">
        <f>"0610881"</f>
        <v>0610881</v>
      </c>
      <c r="B13696" t="s">
        <v>10744</v>
      </c>
      <c r="C13696" t="s">
        <v>812</v>
      </c>
      <c r="D13696" s="21" t="s">
        <v>34</v>
      </c>
      <c r="E13696" s="21" t="s">
        <v>1089</v>
      </c>
      <c r="F13696">
        <v>13060110</v>
      </c>
      <c r="G13696" t="s">
        <v>3268</v>
      </c>
      <c r="H13696" s="21">
        <v>890.29</v>
      </c>
    </row>
    <row r="13697" spans="1:8" customFormat="1" x14ac:dyDescent="0.25">
      <c r="A13697" t="str">
        <f>"905385"</f>
        <v>905385</v>
      </c>
      <c r="B13697" t="s">
        <v>11602</v>
      </c>
      <c r="C13697" t="s">
        <v>13254</v>
      </c>
      <c r="D13697" s="21" t="s">
        <v>34</v>
      </c>
      <c r="E13697" s="21" t="s">
        <v>35</v>
      </c>
      <c r="F13697">
        <v>2900046</v>
      </c>
      <c r="G13697" t="s">
        <v>4101</v>
      </c>
      <c r="H13697" s="21">
        <v>890.17</v>
      </c>
    </row>
    <row r="13698" spans="1:8" customFormat="1" x14ac:dyDescent="0.25">
      <c r="A13698" t="str">
        <f>"542325"</f>
        <v>542325</v>
      </c>
      <c r="B13698" t="s">
        <v>12060</v>
      </c>
      <c r="C13698" t="s">
        <v>2904</v>
      </c>
      <c r="D13698" s="21" t="s">
        <v>34</v>
      </c>
      <c r="E13698" s="21" t="s">
        <v>254</v>
      </c>
      <c r="F13698">
        <v>6540075</v>
      </c>
      <c r="G13698" t="s">
        <v>12061</v>
      </c>
      <c r="H13698" s="21">
        <v>890.17</v>
      </c>
    </row>
    <row r="13699" spans="1:8" customFormat="1" x14ac:dyDescent="0.25">
      <c r="A13699" t="str">
        <f>"5010622"</f>
        <v>5010622</v>
      </c>
      <c r="B13699" t="s">
        <v>11794</v>
      </c>
      <c r="C13699" t="s">
        <v>249</v>
      </c>
      <c r="D13699" s="21" t="s">
        <v>34</v>
      </c>
      <c r="E13699" s="21" t="s">
        <v>71</v>
      </c>
      <c r="F13699">
        <v>9500013</v>
      </c>
      <c r="G13699" t="s">
        <v>992</v>
      </c>
      <c r="H13699" s="21">
        <v>890.17</v>
      </c>
    </row>
    <row r="13700" spans="1:8" customFormat="1" x14ac:dyDescent="0.25">
      <c r="A13700" t="str">
        <f>"702240"</f>
        <v>702240</v>
      </c>
      <c r="B13700" t="s">
        <v>12716</v>
      </c>
      <c r="C13700" t="s">
        <v>4729</v>
      </c>
      <c r="D13700" s="21" t="s">
        <v>34</v>
      </c>
      <c r="E13700" s="21" t="s">
        <v>254</v>
      </c>
      <c r="F13700">
        <v>2700046</v>
      </c>
      <c r="G13700" t="s">
        <v>12717</v>
      </c>
      <c r="H13700" s="21">
        <v>890.17</v>
      </c>
    </row>
    <row r="13701" spans="1:8" customFormat="1" x14ac:dyDescent="0.25">
      <c r="A13701" t="str">
        <f>"8015575"</f>
        <v>8015575</v>
      </c>
      <c r="B13701" t="s">
        <v>2111</v>
      </c>
      <c r="C13701" t="s">
        <v>33</v>
      </c>
      <c r="D13701" s="21" t="s">
        <v>34</v>
      </c>
      <c r="E13701" s="21" t="s">
        <v>71</v>
      </c>
      <c r="F13701">
        <v>7800098</v>
      </c>
      <c r="G13701" t="s">
        <v>8445</v>
      </c>
      <c r="H13701" s="21">
        <v>890.17</v>
      </c>
    </row>
    <row r="13702" spans="1:8" customFormat="1" x14ac:dyDescent="0.25">
      <c r="A13702" t="str">
        <f>"6711847"</f>
        <v>6711847</v>
      </c>
      <c r="B13702" t="s">
        <v>146</v>
      </c>
      <c r="C13702" t="s">
        <v>10481</v>
      </c>
      <c r="D13702" s="21" t="s">
        <v>34</v>
      </c>
      <c r="E13702" s="21" t="s">
        <v>71</v>
      </c>
      <c r="F13702">
        <v>6670045</v>
      </c>
      <c r="G13702" t="s">
        <v>707</v>
      </c>
      <c r="H13702" s="21">
        <v>890.17</v>
      </c>
    </row>
    <row r="13703" spans="1:8" customFormat="1" x14ac:dyDescent="0.25">
      <c r="A13703" t="str">
        <f>"5016109"</f>
        <v>5016109</v>
      </c>
      <c r="B13703" t="s">
        <v>12215</v>
      </c>
      <c r="C13703" t="s">
        <v>209</v>
      </c>
      <c r="D13703" s="21" t="s">
        <v>34</v>
      </c>
      <c r="E13703" s="21" t="s">
        <v>35</v>
      </c>
      <c r="F13703">
        <v>9500082</v>
      </c>
      <c r="G13703" t="s">
        <v>11183</v>
      </c>
      <c r="H13703" s="21">
        <v>890.17</v>
      </c>
    </row>
    <row r="13704" spans="1:8" customFormat="1" x14ac:dyDescent="0.25">
      <c r="A13704" t="str">
        <f>"5980250"</f>
        <v>5980250</v>
      </c>
      <c r="B13704" t="s">
        <v>12492</v>
      </c>
      <c r="C13704" t="s">
        <v>174</v>
      </c>
      <c r="D13704" s="21" t="s">
        <v>34</v>
      </c>
      <c r="E13704" s="21" t="s">
        <v>35</v>
      </c>
      <c r="F13704">
        <v>7590425</v>
      </c>
      <c r="G13704" t="s">
        <v>12493</v>
      </c>
      <c r="H13704" s="21">
        <v>890.17</v>
      </c>
    </row>
    <row r="13705" spans="1:8" customFormat="1" x14ac:dyDescent="0.25">
      <c r="A13705" t="str">
        <f>"429497"</f>
        <v>429497</v>
      </c>
      <c r="B13705" t="s">
        <v>12787</v>
      </c>
      <c r="C13705" t="s">
        <v>750</v>
      </c>
      <c r="D13705" s="21" t="s">
        <v>34</v>
      </c>
      <c r="E13705" s="21" t="s">
        <v>71</v>
      </c>
      <c r="F13705">
        <v>1420155</v>
      </c>
      <c r="G13705" t="s">
        <v>12788</v>
      </c>
      <c r="H13705" s="21">
        <v>890.17</v>
      </c>
    </row>
    <row r="13706" spans="1:8" customFormat="1" x14ac:dyDescent="0.25">
      <c r="A13706" t="str">
        <f>"2511358"</f>
        <v>2511358</v>
      </c>
      <c r="B13706" t="s">
        <v>146</v>
      </c>
      <c r="C13706" t="s">
        <v>33</v>
      </c>
      <c r="D13706" s="21" t="s">
        <v>34</v>
      </c>
      <c r="E13706" s="21" t="s">
        <v>35</v>
      </c>
      <c r="F13706">
        <v>2250002</v>
      </c>
      <c r="G13706" t="s">
        <v>2745</v>
      </c>
      <c r="H13706" s="21">
        <v>890.17</v>
      </c>
    </row>
    <row r="13707" spans="1:8" customFormat="1" x14ac:dyDescent="0.25">
      <c r="A13707" t="str">
        <f>"6933843"</f>
        <v>6933843</v>
      </c>
      <c r="B13707" t="s">
        <v>14244</v>
      </c>
      <c r="C13707" t="s">
        <v>8546</v>
      </c>
      <c r="D13707" s="21" t="s">
        <v>34</v>
      </c>
      <c r="E13707" s="21" t="s">
        <v>35</v>
      </c>
      <c r="F13707">
        <v>1690112</v>
      </c>
      <c r="G13707" t="s">
        <v>4084</v>
      </c>
      <c r="H13707" s="21">
        <v>890.17</v>
      </c>
    </row>
    <row r="13708" spans="1:8" customFormat="1" x14ac:dyDescent="0.25">
      <c r="A13708" t="str">
        <f>"3514117"</f>
        <v>3514117</v>
      </c>
      <c r="B13708" t="s">
        <v>11877</v>
      </c>
      <c r="C13708" t="s">
        <v>114</v>
      </c>
      <c r="D13708" s="21" t="s">
        <v>34</v>
      </c>
      <c r="E13708" s="21" t="s">
        <v>71</v>
      </c>
      <c r="F13708">
        <v>3560055</v>
      </c>
      <c r="G13708" t="s">
        <v>8371</v>
      </c>
      <c r="H13708" s="21">
        <v>890.17</v>
      </c>
    </row>
    <row r="13709" spans="1:8" customFormat="1" x14ac:dyDescent="0.25">
      <c r="A13709" t="str">
        <f>"1319975"</f>
        <v>1319975</v>
      </c>
      <c r="B13709" t="s">
        <v>556</v>
      </c>
      <c r="C13709" t="s">
        <v>285</v>
      </c>
      <c r="D13709" s="21" t="s">
        <v>34</v>
      </c>
      <c r="E13709" s="21" t="s">
        <v>35</v>
      </c>
      <c r="F13709">
        <v>13130158</v>
      </c>
      <c r="G13709" t="s">
        <v>3215</v>
      </c>
      <c r="H13709" s="21">
        <v>890.17</v>
      </c>
    </row>
    <row r="13710" spans="1:8" customFormat="1" x14ac:dyDescent="0.25">
      <c r="A13710" t="str">
        <f>"2211423"</f>
        <v>2211423</v>
      </c>
      <c r="B13710" t="s">
        <v>3167</v>
      </c>
      <c r="C13710" t="s">
        <v>1271</v>
      </c>
      <c r="D13710" s="21" t="s">
        <v>34</v>
      </c>
      <c r="E13710" s="21" t="s">
        <v>71</v>
      </c>
      <c r="F13710">
        <v>3220030</v>
      </c>
      <c r="G13710" t="s">
        <v>26821</v>
      </c>
      <c r="H13710" s="21">
        <v>890.17</v>
      </c>
    </row>
    <row r="13711" spans="1:8" customFormat="1" x14ac:dyDescent="0.25">
      <c r="A13711" t="str">
        <f>"7718843"</f>
        <v>7718843</v>
      </c>
      <c r="B13711" t="s">
        <v>2613</v>
      </c>
      <c r="C13711" t="s">
        <v>269</v>
      </c>
      <c r="D13711" s="21" t="s">
        <v>34</v>
      </c>
      <c r="E13711" s="21" t="s">
        <v>35</v>
      </c>
      <c r="F13711">
        <v>8770988</v>
      </c>
      <c r="G13711" t="s">
        <v>6334</v>
      </c>
      <c r="H13711" s="21">
        <v>889.92</v>
      </c>
    </row>
    <row r="13712" spans="1:8" customFormat="1" x14ac:dyDescent="0.25">
      <c r="A13712" t="str">
        <f>"59967"</f>
        <v>59967</v>
      </c>
      <c r="B13712" t="s">
        <v>11057</v>
      </c>
      <c r="C13712" t="s">
        <v>40</v>
      </c>
      <c r="D13712" s="21" t="s">
        <v>34</v>
      </c>
      <c r="E13712" s="21" t="s">
        <v>254</v>
      </c>
      <c r="F13712">
        <v>7590051</v>
      </c>
      <c r="G13712" t="s">
        <v>3831</v>
      </c>
      <c r="H13712" s="21">
        <v>889.92</v>
      </c>
    </row>
    <row r="13713" spans="1:8" customFormat="1" x14ac:dyDescent="0.25">
      <c r="A13713" t="str">
        <f>"7846617"</f>
        <v>7846617</v>
      </c>
      <c r="B13713" t="s">
        <v>12535</v>
      </c>
      <c r="C13713" t="s">
        <v>415</v>
      </c>
      <c r="D13713" s="21" t="s">
        <v>34</v>
      </c>
      <c r="E13713" s="21" t="s">
        <v>254</v>
      </c>
      <c r="F13713">
        <v>8780571</v>
      </c>
      <c r="G13713" t="s">
        <v>2336</v>
      </c>
      <c r="H13713" s="21">
        <v>889.92</v>
      </c>
    </row>
    <row r="13714" spans="1:8" customFormat="1" x14ac:dyDescent="0.25">
      <c r="A13714" t="str">
        <f>"5733767"</f>
        <v>5733767</v>
      </c>
      <c r="B13714" t="s">
        <v>19840</v>
      </c>
      <c r="C13714" t="s">
        <v>1812</v>
      </c>
      <c r="D13714" s="21" t="s">
        <v>34</v>
      </c>
      <c r="E13714" s="21" t="s">
        <v>35</v>
      </c>
      <c r="F13714">
        <v>6570060</v>
      </c>
      <c r="G13714" t="s">
        <v>4397</v>
      </c>
      <c r="H13714" s="21">
        <v>889.92</v>
      </c>
    </row>
    <row r="13715" spans="1:8" customFormat="1" x14ac:dyDescent="0.25">
      <c r="A13715" t="str">
        <f>"4412356"</f>
        <v>4412356</v>
      </c>
      <c r="B13715" t="s">
        <v>697</v>
      </c>
      <c r="C13715" t="s">
        <v>1146</v>
      </c>
      <c r="D13715" s="21" t="s">
        <v>34</v>
      </c>
      <c r="E13715" s="21" t="s">
        <v>71</v>
      </c>
      <c r="F13715">
        <v>12440008</v>
      </c>
      <c r="G13715" t="s">
        <v>4570</v>
      </c>
      <c r="H13715" s="21">
        <v>889.67</v>
      </c>
    </row>
    <row r="13716" spans="1:8" customFormat="1" x14ac:dyDescent="0.25">
      <c r="A13716" t="str">
        <f>"592048"</f>
        <v>592048</v>
      </c>
      <c r="B13716" t="s">
        <v>2405</v>
      </c>
      <c r="C13716" t="s">
        <v>2546</v>
      </c>
      <c r="D13716" s="21" t="s">
        <v>34</v>
      </c>
      <c r="E13716" s="21" t="s">
        <v>254</v>
      </c>
      <c r="F13716">
        <v>7590123</v>
      </c>
      <c r="G13716" t="s">
        <v>85</v>
      </c>
      <c r="H13716" s="21">
        <v>889.67</v>
      </c>
    </row>
    <row r="13717" spans="1:8" customFormat="1" x14ac:dyDescent="0.25">
      <c r="A13717" t="str">
        <f>"594473"</f>
        <v>594473</v>
      </c>
      <c r="B13717" t="s">
        <v>11561</v>
      </c>
      <c r="C13717" t="s">
        <v>253</v>
      </c>
      <c r="D13717" s="21" t="s">
        <v>34</v>
      </c>
      <c r="E13717" s="21" t="s">
        <v>1089</v>
      </c>
      <c r="F13717">
        <v>7620018</v>
      </c>
      <c r="G13717" t="s">
        <v>6568</v>
      </c>
      <c r="H13717" s="21">
        <v>889.67</v>
      </c>
    </row>
    <row r="13718" spans="1:8" customFormat="1" x14ac:dyDescent="0.25">
      <c r="A13718" t="str">
        <f>"9128914"</f>
        <v>9128914</v>
      </c>
      <c r="B13718" t="s">
        <v>13163</v>
      </c>
      <c r="C13718" t="s">
        <v>13164</v>
      </c>
      <c r="D13718" s="21" t="s">
        <v>34</v>
      </c>
      <c r="E13718" s="21" t="s">
        <v>71</v>
      </c>
      <c r="F13718">
        <v>8911009</v>
      </c>
      <c r="G13718" t="s">
        <v>2177</v>
      </c>
      <c r="H13718" s="21">
        <v>889.67</v>
      </c>
    </row>
    <row r="13719" spans="1:8" customFormat="1" x14ac:dyDescent="0.25">
      <c r="A13719" t="str">
        <f>"9136486"</f>
        <v>9136486</v>
      </c>
      <c r="B13719" t="s">
        <v>12091</v>
      </c>
      <c r="C13719" t="s">
        <v>8680</v>
      </c>
      <c r="D13719" s="21" t="s">
        <v>34</v>
      </c>
      <c r="E13719" s="21" t="s">
        <v>71</v>
      </c>
      <c r="F13719">
        <v>8780529</v>
      </c>
      <c r="G13719" t="s">
        <v>8624</v>
      </c>
      <c r="H13719" s="21">
        <v>889.67</v>
      </c>
    </row>
    <row r="13720" spans="1:8" customFormat="1" x14ac:dyDescent="0.25">
      <c r="A13720" t="str">
        <f>"6218617"</f>
        <v>6218617</v>
      </c>
      <c r="B13720" t="s">
        <v>3032</v>
      </c>
      <c r="C13720" t="s">
        <v>2072</v>
      </c>
      <c r="D13720" s="21" t="s">
        <v>34</v>
      </c>
      <c r="E13720" s="21" t="s">
        <v>71</v>
      </c>
      <c r="F13720">
        <v>7620011</v>
      </c>
      <c r="G13720" t="s">
        <v>10839</v>
      </c>
      <c r="H13720" s="21">
        <v>889.67</v>
      </c>
    </row>
    <row r="13721" spans="1:8" customFormat="1" x14ac:dyDescent="0.25">
      <c r="A13721" t="str">
        <f>"062279"</f>
        <v>062279</v>
      </c>
      <c r="B13721" t="s">
        <v>12612</v>
      </c>
      <c r="C13721" t="s">
        <v>781</v>
      </c>
      <c r="D13721" s="21" t="s">
        <v>34</v>
      </c>
      <c r="E13721" s="21" t="s">
        <v>71</v>
      </c>
      <c r="F13721">
        <v>13060063</v>
      </c>
      <c r="G13721" t="s">
        <v>2001</v>
      </c>
      <c r="H13721" s="21">
        <v>889.67</v>
      </c>
    </row>
    <row r="13722" spans="1:8" customFormat="1" x14ac:dyDescent="0.25">
      <c r="A13722" t="str">
        <f>"7715652"</f>
        <v>7715652</v>
      </c>
      <c r="B13722" t="s">
        <v>13922</v>
      </c>
      <c r="C13722" t="s">
        <v>198</v>
      </c>
      <c r="D13722" s="21" t="s">
        <v>34</v>
      </c>
      <c r="E13722" s="21" t="s">
        <v>71</v>
      </c>
      <c r="F13722">
        <v>8771427</v>
      </c>
      <c r="G13722" t="s">
        <v>6564</v>
      </c>
      <c r="H13722" s="21">
        <v>889.67</v>
      </c>
    </row>
    <row r="13723" spans="1:8" customFormat="1" x14ac:dyDescent="0.25">
      <c r="A13723" t="str">
        <f>"4431161"</f>
        <v>4431161</v>
      </c>
      <c r="B13723" t="s">
        <v>6064</v>
      </c>
      <c r="C13723" t="s">
        <v>2529</v>
      </c>
      <c r="D13723" s="21" t="s">
        <v>34</v>
      </c>
      <c r="E13723" s="21" t="s">
        <v>254</v>
      </c>
      <c r="F13723">
        <v>12440141</v>
      </c>
      <c r="G13723" t="s">
        <v>3234</v>
      </c>
      <c r="H13723" s="21">
        <v>889.67</v>
      </c>
    </row>
    <row r="13724" spans="1:8" customFormat="1" x14ac:dyDescent="0.25">
      <c r="A13724" t="str">
        <f>"6111643"</f>
        <v>6111643</v>
      </c>
      <c r="B13724" t="s">
        <v>14643</v>
      </c>
      <c r="C13724" t="s">
        <v>60</v>
      </c>
      <c r="D13724" s="21" t="s">
        <v>34</v>
      </c>
      <c r="E13724" s="21" t="s">
        <v>35</v>
      </c>
      <c r="F13724">
        <v>9610093</v>
      </c>
      <c r="G13724" t="s">
        <v>8231</v>
      </c>
      <c r="H13724" s="21">
        <v>889.67</v>
      </c>
    </row>
    <row r="13725" spans="1:8" customFormat="1" x14ac:dyDescent="0.25">
      <c r="A13725" t="str">
        <f>"623409"</f>
        <v>623409</v>
      </c>
      <c r="B13725" t="s">
        <v>12020</v>
      </c>
      <c r="C13725" t="s">
        <v>119</v>
      </c>
      <c r="D13725" s="21" t="s">
        <v>34</v>
      </c>
      <c r="E13725" s="21" t="s">
        <v>35</v>
      </c>
      <c r="F13725">
        <v>7620119</v>
      </c>
      <c r="G13725" t="s">
        <v>5233</v>
      </c>
      <c r="H13725" s="21">
        <v>889.67</v>
      </c>
    </row>
    <row r="13726" spans="1:8" customFormat="1" x14ac:dyDescent="0.25">
      <c r="A13726" t="str">
        <f>"5112744"</f>
        <v>5112744</v>
      </c>
      <c r="B13726" t="s">
        <v>12799</v>
      </c>
      <c r="C13726" t="s">
        <v>11214</v>
      </c>
      <c r="D13726" s="21" t="s">
        <v>34</v>
      </c>
      <c r="E13726" s="21" t="s">
        <v>35</v>
      </c>
      <c r="F13726">
        <v>6510009</v>
      </c>
      <c r="G13726" t="s">
        <v>26950</v>
      </c>
      <c r="H13726" s="21">
        <v>889.67</v>
      </c>
    </row>
    <row r="13727" spans="1:8" customFormat="1" x14ac:dyDescent="0.25">
      <c r="A13727" t="str">
        <f>"172348"</f>
        <v>172348</v>
      </c>
      <c r="B13727" t="s">
        <v>15055</v>
      </c>
      <c r="C13727" t="s">
        <v>43</v>
      </c>
      <c r="D13727" s="21" t="s">
        <v>34</v>
      </c>
      <c r="E13727" s="21" t="s">
        <v>35</v>
      </c>
      <c r="F13727">
        <v>10170004</v>
      </c>
      <c r="G13727" t="s">
        <v>12405</v>
      </c>
      <c r="H13727" s="21">
        <v>889.67</v>
      </c>
    </row>
    <row r="13728" spans="1:8" customFormat="1" x14ac:dyDescent="0.25">
      <c r="A13728" t="str">
        <f>"7720905"</f>
        <v>7720905</v>
      </c>
      <c r="B13728" t="s">
        <v>12398</v>
      </c>
      <c r="C13728" t="s">
        <v>305</v>
      </c>
      <c r="D13728" s="21" t="s">
        <v>34</v>
      </c>
      <c r="E13728" s="21" t="s">
        <v>35</v>
      </c>
      <c r="F13728">
        <v>8770377</v>
      </c>
      <c r="G13728" t="s">
        <v>4862</v>
      </c>
      <c r="H13728" s="21">
        <v>889.67</v>
      </c>
    </row>
    <row r="13729" spans="1:8" customFormat="1" x14ac:dyDescent="0.25">
      <c r="A13729" t="str">
        <f>"8013306"</f>
        <v>8013306</v>
      </c>
      <c r="B13729" t="s">
        <v>13588</v>
      </c>
      <c r="C13729" t="s">
        <v>65</v>
      </c>
      <c r="D13729" s="21" t="s">
        <v>34</v>
      </c>
      <c r="E13729" s="21" t="s">
        <v>35</v>
      </c>
      <c r="F13729">
        <v>7800030</v>
      </c>
      <c r="G13729" t="s">
        <v>13589</v>
      </c>
      <c r="H13729" s="21">
        <v>889.67</v>
      </c>
    </row>
    <row r="13730" spans="1:8" customFormat="1" x14ac:dyDescent="0.25">
      <c r="A13730" t="str">
        <f>"9521833"</f>
        <v>9521833</v>
      </c>
      <c r="B13730" t="s">
        <v>12242</v>
      </c>
      <c r="C13730" t="s">
        <v>267</v>
      </c>
      <c r="D13730" s="21" t="s">
        <v>34</v>
      </c>
      <c r="E13730" s="21" t="s">
        <v>71</v>
      </c>
      <c r="F13730">
        <v>8951366</v>
      </c>
      <c r="G13730" t="s">
        <v>3708</v>
      </c>
      <c r="H13730" s="21">
        <v>889.67</v>
      </c>
    </row>
    <row r="13731" spans="1:8" customFormat="1" x14ac:dyDescent="0.25">
      <c r="A13731" t="str">
        <f>"6922588"</f>
        <v>6922588</v>
      </c>
      <c r="B13731" t="s">
        <v>4872</v>
      </c>
      <c r="C13731" t="s">
        <v>169</v>
      </c>
      <c r="D13731" s="21" t="s">
        <v>34</v>
      </c>
      <c r="E13731" s="21" t="s">
        <v>71</v>
      </c>
      <c r="F13731">
        <v>1690147</v>
      </c>
      <c r="G13731" t="s">
        <v>7245</v>
      </c>
      <c r="H13731" s="21">
        <v>889.67</v>
      </c>
    </row>
    <row r="13732" spans="1:8" customFormat="1" x14ac:dyDescent="0.25">
      <c r="A13732" t="str">
        <f>"677241"</f>
        <v>677241</v>
      </c>
      <c r="B13732" t="s">
        <v>4335</v>
      </c>
      <c r="C13732" t="s">
        <v>547</v>
      </c>
      <c r="D13732" s="21" t="s">
        <v>34</v>
      </c>
      <c r="E13732" s="21" t="s">
        <v>71</v>
      </c>
      <c r="F13732">
        <v>6670141</v>
      </c>
      <c r="G13732" t="s">
        <v>5030</v>
      </c>
      <c r="H13732" s="21">
        <v>889.67</v>
      </c>
    </row>
    <row r="13733" spans="1:8" customFormat="1" x14ac:dyDescent="0.25">
      <c r="A13733" t="str">
        <f>"759475"</f>
        <v>759475</v>
      </c>
      <c r="B13733" t="s">
        <v>11817</v>
      </c>
      <c r="C13733" t="s">
        <v>3905</v>
      </c>
      <c r="D13733" s="21" t="s">
        <v>34</v>
      </c>
      <c r="E13733" s="21" t="s">
        <v>71</v>
      </c>
      <c r="F13733">
        <v>8751311</v>
      </c>
      <c r="G13733" t="s">
        <v>11818</v>
      </c>
      <c r="H13733" s="21">
        <v>889.54</v>
      </c>
    </row>
    <row r="13734" spans="1:8" customFormat="1" x14ac:dyDescent="0.25">
      <c r="A13734" t="str">
        <f>"636885"</f>
        <v>636885</v>
      </c>
      <c r="B13734" t="s">
        <v>146</v>
      </c>
      <c r="C13734" t="s">
        <v>5384</v>
      </c>
      <c r="D13734" s="21" t="s">
        <v>34</v>
      </c>
      <c r="E13734" s="21" t="s">
        <v>71</v>
      </c>
      <c r="F13734">
        <v>1630185</v>
      </c>
      <c r="G13734" t="s">
        <v>858</v>
      </c>
      <c r="H13734" s="21">
        <v>889.17</v>
      </c>
    </row>
    <row r="13735" spans="1:8" customFormat="1" x14ac:dyDescent="0.25">
      <c r="A13735" t="str">
        <f>"4110930"</f>
        <v>4110930</v>
      </c>
      <c r="B13735" t="s">
        <v>1094</v>
      </c>
      <c r="C13735" t="s">
        <v>13047</v>
      </c>
      <c r="D13735" s="21" t="s">
        <v>34</v>
      </c>
      <c r="E13735" s="21" t="s">
        <v>35</v>
      </c>
      <c r="F13735">
        <v>4410615</v>
      </c>
      <c r="G13735" t="s">
        <v>4897</v>
      </c>
      <c r="H13735" s="21">
        <v>889.17</v>
      </c>
    </row>
    <row r="13736" spans="1:8" customFormat="1" x14ac:dyDescent="0.25">
      <c r="A13736" t="str">
        <f>"7825927"</f>
        <v>7825927</v>
      </c>
      <c r="B13736" t="s">
        <v>17203</v>
      </c>
      <c r="C13736" t="s">
        <v>2520</v>
      </c>
      <c r="D13736" s="21" t="s">
        <v>34</v>
      </c>
      <c r="E13736" s="21" t="s">
        <v>35</v>
      </c>
      <c r="F13736">
        <v>8780674</v>
      </c>
      <c r="G13736" t="s">
        <v>26585</v>
      </c>
      <c r="H13736" s="21">
        <v>889.17</v>
      </c>
    </row>
    <row r="13737" spans="1:8" customFormat="1" x14ac:dyDescent="0.25">
      <c r="A13737" t="str">
        <f>"4423210"</f>
        <v>4423210</v>
      </c>
      <c r="B13737" t="s">
        <v>27309</v>
      </c>
      <c r="C13737" t="s">
        <v>415</v>
      </c>
      <c r="D13737" s="21" t="s">
        <v>34</v>
      </c>
      <c r="E13737" s="21" t="s">
        <v>71</v>
      </c>
      <c r="F13737">
        <v>12440076</v>
      </c>
      <c r="G13737" t="s">
        <v>1750</v>
      </c>
      <c r="H13737" s="21">
        <v>889.17</v>
      </c>
    </row>
    <row r="13738" spans="1:8" customFormat="1" x14ac:dyDescent="0.25">
      <c r="A13738" t="str">
        <f>"6224904"</f>
        <v>6224904</v>
      </c>
      <c r="B13738" t="s">
        <v>15040</v>
      </c>
      <c r="C13738" t="s">
        <v>98</v>
      </c>
      <c r="D13738" s="21" t="s">
        <v>34</v>
      </c>
      <c r="E13738" s="21" t="s">
        <v>35</v>
      </c>
      <c r="F13738">
        <v>7620090</v>
      </c>
      <c r="G13738" t="s">
        <v>15041</v>
      </c>
      <c r="H13738" s="21">
        <v>889.17</v>
      </c>
    </row>
    <row r="13739" spans="1:8" customFormat="1" x14ac:dyDescent="0.25">
      <c r="A13739" t="str">
        <f>"8511961"</f>
        <v>8511961</v>
      </c>
      <c r="B13739" t="s">
        <v>11552</v>
      </c>
      <c r="C13739" t="s">
        <v>275</v>
      </c>
      <c r="D13739" s="21" t="s">
        <v>34</v>
      </c>
      <c r="E13739" s="21" t="s">
        <v>35</v>
      </c>
      <c r="F13739">
        <v>12850057</v>
      </c>
      <c r="G13739" t="s">
        <v>1291</v>
      </c>
      <c r="H13739" s="21">
        <v>889.17</v>
      </c>
    </row>
    <row r="13740" spans="1:8" customFormat="1" x14ac:dyDescent="0.25">
      <c r="A13740" t="str">
        <f>"9112466"</f>
        <v>9112466</v>
      </c>
      <c r="B13740" t="s">
        <v>2824</v>
      </c>
      <c r="C13740" t="s">
        <v>204</v>
      </c>
      <c r="D13740" s="21" t="s">
        <v>34</v>
      </c>
      <c r="E13740" s="21" t="s">
        <v>71</v>
      </c>
      <c r="F13740">
        <v>8911334</v>
      </c>
      <c r="G13740" t="s">
        <v>4170</v>
      </c>
      <c r="H13740" s="21">
        <v>889.17</v>
      </c>
    </row>
    <row r="13741" spans="1:8" customFormat="1" x14ac:dyDescent="0.25">
      <c r="A13741" t="str">
        <f>"8525318"</f>
        <v>8525318</v>
      </c>
      <c r="B13741" t="s">
        <v>12444</v>
      </c>
      <c r="C13741" t="s">
        <v>415</v>
      </c>
      <c r="D13741" s="21" t="s">
        <v>34</v>
      </c>
      <c r="E13741" s="21" t="s">
        <v>71</v>
      </c>
      <c r="F13741">
        <v>12850134</v>
      </c>
      <c r="G13741" t="s">
        <v>2359</v>
      </c>
      <c r="H13741" s="21">
        <v>889.17</v>
      </c>
    </row>
    <row r="13742" spans="1:8" customFormat="1" x14ac:dyDescent="0.25">
      <c r="A13742" t="str">
        <f>"564155"</f>
        <v>564155</v>
      </c>
      <c r="B13742" t="s">
        <v>11722</v>
      </c>
      <c r="C13742" t="s">
        <v>171</v>
      </c>
      <c r="D13742" s="21" t="s">
        <v>34</v>
      </c>
      <c r="E13742" s="21" t="s">
        <v>71</v>
      </c>
      <c r="F13742">
        <v>3560059</v>
      </c>
      <c r="G13742" t="s">
        <v>2033</v>
      </c>
      <c r="H13742" s="21">
        <v>889.17</v>
      </c>
    </row>
    <row r="13743" spans="1:8" customFormat="1" x14ac:dyDescent="0.25">
      <c r="A13743" t="str">
        <f>"6918963"</f>
        <v>6918963</v>
      </c>
      <c r="B13743" t="s">
        <v>5742</v>
      </c>
      <c r="C13743" t="s">
        <v>209</v>
      </c>
      <c r="D13743" s="21" t="s">
        <v>34</v>
      </c>
      <c r="E13743" s="21" t="s">
        <v>254</v>
      </c>
      <c r="F13743">
        <v>2210052</v>
      </c>
      <c r="G13743" t="s">
        <v>1070</v>
      </c>
      <c r="H13743" s="21">
        <v>889.17</v>
      </c>
    </row>
    <row r="13744" spans="1:8" customFormat="1" x14ac:dyDescent="0.25">
      <c r="A13744" t="str">
        <f>"1315994"</f>
        <v>1315994</v>
      </c>
      <c r="B13744" t="s">
        <v>13294</v>
      </c>
      <c r="C13744" t="s">
        <v>121</v>
      </c>
      <c r="D13744" s="21" t="s">
        <v>34</v>
      </c>
      <c r="E13744" s="21" t="s">
        <v>35</v>
      </c>
      <c r="F13744">
        <v>13130049</v>
      </c>
      <c r="G13744" t="s">
        <v>13169</v>
      </c>
      <c r="H13744" s="21">
        <v>889.04</v>
      </c>
    </row>
    <row r="13745" spans="1:8" customFormat="1" x14ac:dyDescent="0.25">
      <c r="A13745" t="str">
        <f>"8517205"</f>
        <v>8517205</v>
      </c>
      <c r="B13745" t="s">
        <v>14139</v>
      </c>
      <c r="C13745" t="s">
        <v>263</v>
      </c>
      <c r="D13745" s="21" t="s">
        <v>34</v>
      </c>
      <c r="E13745" s="21" t="s">
        <v>35</v>
      </c>
      <c r="F13745">
        <v>12850024</v>
      </c>
      <c r="G13745" t="s">
        <v>140</v>
      </c>
      <c r="H13745" s="21">
        <v>889.04</v>
      </c>
    </row>
    <row r="13746" spans="1:8" customFormat="1" x14ac:dyDescent="0.25">
      <c r="A13746" t="str">
        <f>"5925713"</f>
        <v>5925713</v>
      </c>
      <c r="B13746" t="s">
        <v>12573</v>
      </c>
      <c r="C13746" t="s">
        <v>12574</v>
      </c>
      <c r="D13746" s="21" t="s">
        <v>34</v>
      </c>
      <c r="E13746" s="21" t="s">
        <v>71</v>
      </c>
      <c r="F13746">
        <v>7590072</v>
      </c>
      <c r="G13746" t="s">
        <v>4059</v>
      </c>
      <c r="H13746" s="21">
        <v>889</v>
      </c>
    </row>
    <row r="13747" spans="1:8" customFormat="1" x14ac:dyDescent="0.25">
      <c r="A13747" t="str">
        <f>"9525183"</f>
        <v>9525183</v>
      </c>
      <c r="B13747" t="s">
        <v>3942</v>
      </c>
      <c r="C13747" t="s">
        <v>2479</v>
      </c>
      <c r="D13747" s="21" t="s">
        <v>34</v>
      </c>
      <c r="E13747" s="21" t="s">
        <v>71</v>
      </c>
      <c r="F13747">
        <v>8951092</v>
      </c>
      <c r="G13747" t="s">
        <v>5801</v>
      </c>
      <c r="H13747" s="21">
        <v>888.92</v>
      </c>
    </row>
    <row r="13748" spans="1:8" customFormat="1" x14ac:dyDescent="0.25">
      <c r="A13748" t="str">
        <f>"0811272"</f>
        <v>0811272</v>
      </c>
      <c r="B13748" t="s">
        <v>13828</v>
      </c>
      <c r="C13748" t="s">
        <v>169</v>
      </c>
      <c r="D13748" s="21" t="s">
        <v>34</v>
      </c>
      <c r="E13748" s="21" t="s">
        <v>35</v>
      </c>
      <c r="F13748">
        <v>6080029</v>
      </c>
      <c r="G13748" t="s">
        <v>6788</v>
      </c>
      <c r="H13748" s="21">
        <v>888.92</v>
      </c>
    </row>
    <row r="13749" spans="1:8" customFormat="1" x14ac:dyDescent="0.25">
      <c r="A13749" t="str">
        <f>"242844"</f>
        <v>242844</v>
      </c>
      <c r="B13749" t="s">
        <v>5492</v>
      </c>
      <c r="C13749" t="s">
        <v>453</v>
      </c>
      <c r="D13749" s="21" t="s">
        <v>34</v>
      </c>
      <c r="E13749" s="21" t="s">
        <v>254</v>
      </c>
      <c r="F13749">
        <v>10240005</v>
      </c>
      <c r="G13749" t="s">
        <v>2496</v>
      </c>
      <c r="H13749" s="21">
        <v>888.67</v>
      </c>
    </row>
    <row r="13750" spans="1:8" customFormat="1" x14ac:dyDescent="0.25">
      <c r="A13750" t="str">
        <f>"3830418"</f>
        <v>3830418</v>
      </c>
      <c r="B13750" t="s">
        <v>1840</v>
      </c>
      <c r="C13750" t="s">
        <v>2546</v>
      </c>
      <c r="D13750" s="21" t="s">
        <v>34</v>
      </c>
      <c r="E13750" s="21" t="s">
        <v>254</v>
      </c>
      <c r="F13750">
        <v>1380117</v>
      </c>
      <c r="G13750" t="s">
        <v>6062</v>
      </c>
      <c r="H13750" s="21">
        <v>888.67</v>
      </c>
    </row>
    <row r="13751" spans="1:8" customFormat="1" x14ac:dyDescent="0.25">
      <c r="A13751" t="str">
        <f>"4921454"</f>
        <v>4921454</v>
      </c>
      <c r="B13751" t="s">
        <v>11352</v>
      </c>
      <c r="C13751" t="s">
        <v>275</v>
      </c>
      <c r="D13751" s="21" t="s">
        <v>34</v>
      </c>
      <c r="E13751" s="21" t="s">
        <v>35</v>
      </c>
      <c r="F13751">
        <v>12490088</v>
      </c>
      <c r="G13751" t="s">
        <v>10688</v>
      </c>
      <c r="H13751" s="21">
        <v>888.67</v>
      </c>
    </row>
    <row r="13752" spans="1:8" customFormat="1" x14ac:dyDescent="0.25">
      <c r="A13752" t="str">
        <f>"2931776"</f>
        <v>2931776</v>
      </c>
      <c r="B13752" t="s">
        <v>1827</v>
      </c>
      <c r="C13752" t="s">
        <v>209</v>
      </c>
      <c r="D13752" s="21" t="s">
        <v>34</v>
      </c>
      <c r="E13752" s="21" t="s">
        <v>35</v>
      </c>
      <c r="F13752">
        <v>3290282</v>
      </c>
      <c r="G13752" t="s">
        <v>4855</v>
      </c>
      <c r="H13752" s="21">
        <v>888.67</v>
      </c>
    </row>
    <row r="13753" spans="1:8" customFormat="1" x14ac:dyDescent="0.25">
      <c r="A13753" t="str">
        <f>"139127"</f>
        <v>139127</v>
      </c>
      <c r="B13753" t="s">
        <v>7625</v>
      </c>
      <c r="C13753" t="s">
        <v>285</v>
      </c>
      <c r="D13753" s="21" t="s">
        <v>34</v>
      </c>
      <c r="E13753" s="21" t="s">
        <v>35</v>
      </c>
      <c r="F13753">
        <v>13130138</v>
      </c>
      <c r="G13753" t="s">
        <v>5409</v>
      </c>
      <c r="H13753" s="21">
        <v>888.67</v>
      </c>
    </row>
    <row r="13754" spans="1:8" customFormat="1" x14ac:dyDescent="0.25">
      <c r="A13754" t="str">
        <f>"95255"</f>
        <v>95255</v>
      </c>
      <c r="B13754" t="s">
        <v>12157</v>
      </c>
      <c r="C13754" t="s">
        <v>2520</v>
      </c>
      <c r="D13754" s="21" t="s">
        <v>34</v>
      </c>
      <c r="E13754" s="21" t="s">
        <v>254</v>
      </c>
      <c r="F13754">
        <v>8950103</v>
      </c>
      <c r="G13754" t="s">
        <v>440</v>
      </c>
      <c r="H13754" s="21">
        <v>888.67</v>
      </c>
    </row>
    <row r="13755" spans="1:8" customFormat="1" x14ac:dyDescent="0.25">
      <c r="A13755" t="str">
        <f>"423256"</f>
        <v>423256</v>
      </c>
      <c r="B13755" t="s">
        <v>23586</v>
      </c>
      <c r="C13755" t="s">
        <v>4842</v>
      </c>
      <c r="D13755" s="21" t="s">
        <v>34</v>
      </c>
      <c r="E13755" s="21" t="s">
        <v>254</v>
      </c>
      <c r="F13755">
        <v>1420070</v>
      </c>
      <c r="G13755" t="s">
        <v>27046</v>
      </c>
      <c r="H13755" s="21">
        <v>888.67</v>
      </c>
    </row>
    <row r="13756" spans="1:8" customFormat="1" x14ac:dyDescent="0.25">
      <c r="A13756" t="str">
        <f>"403713"</f>
        <v>403713</v>
      </c>
      <c r="B13756" t="s">
        <v>12131</v>
      </c>
      <c r="C13756" t="s">
        <v>598</v>
      </c>
      <c r="D13756" s="21" t="s">
        <v>34</v>
      </c>
      <c r="E13756" s="21" t="s">
        <v>1089</v>
      </c>
      <c r="F13756">
        <v>10400024</v>
      </c>
      <c r="G13756" t="s">
        <v>4680</v>
      </c>
      <c r="H13756" s="21">
        <v>888.67</v>
      </c>
    </row>
    <row r="13757" spans="1:8" customFormat="1" x14ac:dyDescent="0.25">
      <c r="A13757" t="str">
        <f>"4448060"</f>
        <v>4448060</v>
      </c>
      <c r="B13757" t="s">
        <v>11569</v>
      </c>
      <c r="C13757" t="s">
        <v>719</v>
      </c>
      <c r="D13757" s="21" t="s">
        <v>34</v>
      </c>
      <c r="E13757" s="21" t="s">
        <v>35</v>
      </c>
      <c r="F13757">
        <v>12440001</v>
      </c>
      <c r="G13757" t="s">
        <v>6999</v>
      </c>
      <c r="H13757" s="21">
        <v>888.67</v>
      </c>
    </row>
    <row r="13758" spans="1:8" customFormat="1" x14ac:dyDescent="0.25">
      <c r="A13758" t="str">
        <f>"5963303"</f>
        <v>5963303</v>
      </c>
      <c r="B13758" t="s">
        <v>1558</v>
      </c>
      <c r="C13758" t="s">
        <v>305</v>
      </c>
      <c r="D13758" s="21" t="s">
        <v>34</v>
      </c>
      <c r="E13758" s="21" t="s">
        <v>35</v>
      </c>
      <c r="F13758">
        <v>7590044</v>
      </c>
      <c r="G13758" t="s">
        <v>2029</v>
      </c>
      <c r="H13758" s="21">
        <v>888.67</v>
      </c>
    </row>
    <row r="13759" spans="1:8" customFormat="1" x14ac:dyDescent="0.25">
      <c r="A13759" t="str">
        <f>"5613777"</f>
        <v>5613777</v>
      </c>
      <c r="B13759" t="s">
        <v>12340</v>
      </c>
      <c r="C13759" t="s">
        <v>33</v>
      </c>
      <c r="D13759" s="21" t="s">
        <v>34</v>
      </c>
      <c r="E13759" s="21" t="s">
        <v>71</v>
      </c>
      <c r="F13759">
        <v>3560020</v>
      </c>
      <c r="G13759" t="s">
        <v>426</v>
      </c>
      <c r="H13759" s="21">
        <v>888.67</v>
      </c>
    </row>
    <row r="13760" spans="1:8" customFormat="1" x14ac:dyDescent="0.25">
      <c r="A13760" t="str">
        <f>"269203"</f>
        <v>269203</v>
      </c>
      <c r="B13760" t="s">
        <v>12767</v>
      </c>
      <c r="C13760" t="s">
        <v>453</v>
      </c>
      <c r="D13760" s="21" t="s">
        <v>34</v>
      </c>
      <c r="E13760" s="21" t="s">
        <v>71</v>
      </c>
      <c r="F13760">
        <v>1260055</v>
      </c>
      <c r="G13760" t="s">
        <v>8460</v>
      </c>
      <c r="H13760" s="21">
        <v>888.67</v>
      </c>
    </row>
    <row r="13761" spans="1:8" customFormat="1" x14ac:dyDescent="0.25">
      <c r="A13761" t="str">
        <f>"5712892"</f>
        <v>5712892</v>
      </c>
      <c r="B13761" t="s">
        <v>10922</v>
      </c>
      <c r="C13761" t="s">
        <v>253</v>
      </c>
      <c r="D13761" s="21" t="s">
        <v>34</v>
      </c>
      <c r="E13761" s="21" t="s">
        <v>71</v>
      </c>
      <c r="F13761">
        <v>6570008</v>
      </c>
      <c r="G13761" t="s">
        <v>899</v>
      </c>
      <c r="H13761" s="21">
        <v>888.67</v>
      </c>
    </row>
    <row r="13762" spans="1:8" customFormat="1" x14ac:dyDescent="0.25">
      <c r="A13762" t="str">
        <f>"6314437"</f>
        <v>6314437</v>
      </c>
      <c r="B13762" t="s">
        <v>13546</v>
      </c>
      <c r="C13762" t="s">
        <v>139</v>
      </c>
      <c r="D13762" s="21" t="s">
        <v>34</v>
      </c>
      <c r="E13762" s="21" t="s">
        <v>35</v>
      </c>
      <c r="F13762">
        <v>1630310</v>
      </c>
      <c r="G13762" t="s">
        <v>6314</v>
      </c>
      <c r="H13762" s="21">
        <v>888.67</v>
      </c>
    </row>
    <row r="13763" spans="1:8" customFormat="1" x14ac:dyDescent="0.25">
      <c r="A13763" t="str">
        <f>"5612200"</f>
        <v>5612200</v>
      </c>
      <c r="B13763" t="s">
        <v>12896</v>
      </c>
      <c r="C13763" t="s">
        <v>598</v>
      </c>
      <c r="D13763" s="21" t="s">
        <v>34</v>
      </c>
      <c r="E13763" s="21" t="s">
        <v>254</v>
      </c>
      <c r="F13763">
        <v>3560006</v>
      </c>
      <c r="G13763" t="s">
        <v>2708</v>
      </c>
      <c r="H13763" s="21">
        <v>888.67</v>
      </c>
    </row>
    <row r="13764" spans="1:8" customFormat="1" x14ac:dyDescent="0.25">
      <c r="A13764" t="str">
        <f>"904693"</f>
        <v>904693</v>
      </c>
      <c r="B13764" t="s">
        <v>12238</v>
      </c>
      <c r="C13764" t="s">
        <v>58</v>
      </c>
      <c r="D13764" s="21" t="s">
        <v>34</v>
      </c>
      <c r="E13764" s="21" t="s">
        <v>35</v>
      </c>
      <c r="F13764">
        <v>2900042</v>
      </c>
      <c r="G13764" t="s">
        <v>7866</v>
      </c>
      <c r="H13764" s="21">
        <v>888.67</v>
      </c>
    </row>
    <row r="13765" spans="1:8" customFormat="1" x14ac:dyDescent="0.25">
      <c r="A13765" t="str">
        <f>"381524"</f>
        <v>381524</v>
      </c>
      <c r="B13765" t="s">
        <v>10587</v>
      </c>
      <c r="C13765" t="s">
        <v>462</v>
      </c>
      <c r="D13765" s="21" t="s">
        <v>34</v>
      </c>
      <c r="E13765" s="21" t="s">
        <v>1089</v>
      </c>
      <c r="F13765">
        <v>1380056</v>
      </c>
      <c r="G13765" t="s">
        <v>846</v>
      </c>
      <c r="H13765" s="21">
        <v>888.67</v>
      </c>
    </row>
    <row r="13766" spans="1:8" customFormat="1" x14ac:dyDescent="0.25">
      <c r="A13766" t="str">
        <f>"153563"</f>
        <v>153563</v>
      </c>
      <c r="B13766" t="s">
        <v>13831</v>
      </c>
      <c r="C13766" t="s">
        <v>124</v>
      </c>
      <c r="D13766" s="21" t="s">
        <v>34</v>
      </c>
      <c r="E13766" s="21" t="s">
        <v>35</v>
      </c>
      <c r="F13766">
        <v>1150304</v>
      </c>
      <c r="G13766" t="s">
        <v>5647</v>
      </c>
      <c r="H13766" s="21">
        <v>888.67</v>
      </c>
    </row>
    <row r="13767" spans="1:8" customFormat="1" x14ac:dyDescent="0.25">
      <c r="A13767" t="str">
        <f>"662073"</f>
        <v>662073</v>
      </c>
      <c r="B13767" t="s">
        <v>12340</v>
      </c>
      <c r="C13767" t="s">
        <v>249</v>
      </c>
      <c r="D13767" s="21" t="s">
        <v>34</v>
      </c>
      <c r="E13767" s="21" t="s">
        <v>71</v>
      </c>
      <c r="F13767">
        <v>11650017</v>
      </c>
      <c r="G13767" t="s">
        <v>13273</v>
      </c>
      <c r="H13767" s="21">
        <v>888.67</v>
      </c>
    </row>
    <row r="13768" spans="1:8" customFormat="1" x14ac:dyDescent="0.25">
      <c r="A13768" t="str">
        <f>"393469"</f>
        <v>393469</v>
      </c>
      <c r="B13768" t="s">
        <v>12120</v>
      </c>
      <c r="C13768" t="s">
        <v>169</v>
      </c>
      <c r="D13768" s="21" t="s">
        <v>34</v>
      </c>
      <c r="E13768" s="21" t="s">
        <v>35</v>
      </c>
      <c r="F13768">
        <v>2390091</v>
      </c>
      <c r="G13768" t="s">
        <v>7093</v>
      </c>
      <c r="H13768" s="21">
        <v>888.67</v>
      </c>
    </row>
    <row r="13769" spans="1:8" customFormat="1" x14ac:dyDescent="0.25">
      <c r="A13769" t="str">
        <f>"3718762"</f>
        <v>3718762</v>
      </c>
      <c r="B13769" t="s">
        <v>12546</v>
      </c>
      <c r="C13769" t="s">
        <v>171</v>
      </c>
      <c r="D13769" s="21" t="s">
        <v>34</v>
      </c>
      <c r="E13769" s="21" t="s">
        <v>254</v>
      </c>
      <c r="F13769">
        <v>4370698</v>
      </c>
      <c r="G13769" t="s">
        <v>12547</v>
      </c>
      <c r="H13769" s="21">
        <v>888.67</v>
      </c>
    </row>
    <row r="13770" spans="1:8" customFormat="1" x14ac:dyDescent="0.25">
      <c r="A13770" t="str">
        <f>"2719569"</f>
        <v>2719569</v>
      </c>
      <c r="B13770" t="s">
        <v>14059</v>
      </c>
      <c r="C13770" t="s">
        <v>144</v>
      </c>
      <c r="D13770" s="21" t="s">
        <v>34</v>
      </c>
      <c r="E13770" s="21" t="s">
        <v>35</v>
      </c>
      <c r="F13770">
        <v>9270005</v>
      </c>
      <c r="G13770" t="s">
        <v>1255</v>
      </c>
      <c r="H13770" s="21">
        <v>888.67</v>
      </c>
    </row>
    <row r="13771" spans="1:8" customFormat="1" x14ac:dyDescent="0.25">
      <c r="A13771" t="str">
        <f>"8517306"</f>
        <v>8517306</v>
      </c>
      <c r="B13771" t="s">
        <v>3629</v>
      </c>
      <c r="C13771" t="s">
        <v>2730</v>
      </c>
      <c r="D13771" s="21" t="s">
        <v>34</v>
      </c>
      <c r="E13771" s="21" t="s">
        <v>254</v>
      </c>
      <c r="F13771">
        <v>12850042</v>
      </c>
      <c r="G13771" t="s">
        <v>5342</v>
      </c>
      <c r="H13771" s="21">
        <v>888.67</v>
      </c>
    </row>
    <row r="13772" spans="1:8" customFormat="1" x14ac:dyDescent="0.25">
      <c r="A13772" t="str">
        <f>"707037"</f>
        <v>707037</v>
      </c>
      <c r="B13772" t="s">
        <v>12769</v>
      </c>
      <c r="C13772" t="s">
        <v>144</v>
      </c>
      <c r="D13772" s="21" t="s">
        <v>34</v>
      </c>
      <c r="E13772" s="21" t="s">
        <v>35</v>
      </c>
      <c r="F13772">
        <v>2700030</v>
      </c>
      <c r="G13772" t="s">
        <v>9981</v>
      </c>
      <c r="H13772" s="21">
        <v>888.67</v>
      </c>
    </row>
    <row r="13773" spans="1:8" customFormat="1" x14ac:dyDescent="0.25">
      <c r="A13773" t="str">
        <f>"42257"</f>
        <v>42257</v>
      </c>
      <c r="B13773" t="s">
        <v>1295</v>
      </c>
      <c r="C13773" t="s">
        <v>253</v>
      </c>
      <c r="D13773" s="21" t="s">
        <v>34</v>
      </c>
      <c r="E13773" s="21" t="s">
        <v>254</v>
      </c>
      <c r="F13773">
        <v>1420017</v>
      </c>
      <c r="G13773" t="s">
        <v>1296</v>
      </c>
      <c r="H13773" s="21">
        <v>888.67</v>
      </c>
    </row>
    <row r="13774" spans="1:8" customFormat="1" x14ac:dyDescent="0.25">
      <c r="A13774" t="str">
        <f>"9132236"</f>
        <v>9132236</v>
      </c>
      <c r="B13774" t="s">
        <v>14101</v>
      </c>
      <c r="C13774" t="s">
        <v>65</v>
      </c>
      <c r="D13774" s="21" t="s">
        <v>34</v>
      </c>
      <c r="E13774" s="21" t="s">
        <v>35</v>
      </c>
      <c r="F13774">
        <v>8910916</v>
      </c>
      <c r="G13774" t="s">
        <v>2251</v>
      </c>
      <c r="H13774" s="21">
        <v>888.54</v>
      </c>
    </row>
    <row r="13775" spans="1:8" customFormat="1" x14ac:dyDescent="0.25">
      <c r="A13775" t="str">
        <f>"682879"</f>
        <v>682879</v>
      </c>
      <c r="B13775" t="s">
        <v>13610</v>
      </c>
      <c r="C13775" t="s">
        <v>33</v>
      </c>
      <c r="D13775" s="21" t="s">
        <v>34</v>
      </c>
      <c r="E13775" s="21" t="s">
        <v>35</v>
      </c>
      <c r="F13775">
        <v>6680082</v>
      </c>
      <c r="G13775" t="s">
        <v>289</v>
      </c>
      <c r="H13775" s="21">
        <v>888.54</v>
      </c>
    </row>
    <row r="13776" spans="1:8" customFormat="1" x14ac:dyDescent="0.25">
      <c r="A13776" t="str">
        <f>"4512537"</f>
        <v>4512537</v>
      </c>
      <c r="B13776" t="s">
        <v>13158</v>
      </c>
      <c r="C13776" t="s">
        <v>288</v>
      </c>
      <c r="D13776" s="21" t="s">
        <v>34</v>
      </c>
      <c r="E13776" s="21" t="s">
        <v>35</v>
      </c>
      <c r="F13776">
        <v>4450706</v>
      </c>
      <c r="G13776" t="s">
        <v>4482</v>
      </c>
      <c r="H13776" s="21">
        <v>888.42</v>
      </c>
    </row>
    <row r="13777" spans="1:8" customFormat="1" x14ac:dyDescent="0.25">
      <c r="A13777" t="str">
        <f>"533085"</f>
        <v>533085</v>
      </c>
      <c r="B13777" t="s">
        <v>13238</v>
      </c>
      <c r="C13777" t="s">
        <v>1853</v>
      </c>
      <c r="D13777" s="21" t="s">
        <v>34</v>
      </c>
      <c r="E13777" s="21" t="s">
        <v>254</v>
      </c>
      <c r="F13777">
        <v>12530036</v>
      </c>
      <c r="G13777" t="s">
        <v>2200</v>
      </c>
      <c r="H13777" s="21">
        <v>888.42</v>
      </c>
    </row>
    <row r="13778" spans="1:8" customFormat="1" x14ac:dyDescent="0.25">
      <c r="A13778" t="str">
        <f>"4916661"</f>
        <v>4916661</v>
      </c>
      <c r="B13778" t="s">
        <v>12570</v>
      </c>
      <c r="C13778" t="s">
        <v>598</v>
      </c>
      <c r="D13778" s="21" t="s">
        <v>34</v>
      </c>
      <c r="E13778" s="21" t="s">
        <v>254</v>
      </c>
      <c r="F13778">
        <v>12530144</v>
      </c>
      <c r="G13778" t="s">
        <v>10892</v>
      </c>
      <c r="H13778" s="21">
        <v>888.42</v>
      </c>
    </row>
    <row r="13779" spans="1:8" customFormat="1" x14ac:dyDescent="0.25">
      <c r="A13779" t="str">
        <f>"9533879"</f>
        <v>9533879</v>
      </c>
      <c r="B13779" t="s">
        <v>13240</v>
      </c>
      <c r="C13779" t="s">
        <v>547</v>
      </c>
      <c r="D13779" s="21" t="s">
        <v>34</v>
      </c>
      <c r="E13779" s="21" t="s">
        <v>35</v>
      </c>
      <c r="F13779">
        <v>8951312</v>
      </c>
      <c r="G13779" t="s">
        <v>1007</v>
      </c>
      <c r="H13779" s="21">
        <v>888.29</v>
      </c>
    </row>
    <row r="13780" spans="1:8" customFormat="1" x14ac:dyDescent="0.25">
      <c r="A13780" t="str">
        <f>"3424288"</f>
        <v>3424288</v>
      </c>
      <c r="B13780" t="s">
        <v>14980</v>
      </c>
      <c r="C13780" t="s">
        <v>60</v>
      </c>
      <c r="D13780" s="21" t="s">
        <v>34</v>
      </c>
      <c r="E13780" s="21" t="s">
        <v>35</v>
      </c>
      <c r="F13780">
        <v>11340047</v>
      </c>
      <c r="G13780" t="s">
        <v>4303</v>
      </c>
      <c r="H13780" s="21">
        <v>888.17</v>
      </c>
    </row>
    <row r="13781" spans="1:8" customFormat="1" x14ac:dyDescent="0.25">
      <c r="A13781" t="str">
        <f>"43737"</f>
        <v>43737</v>
      </c>
      <c r="B13781" t="s">
        <v>1422</v>
      </c>
      <c r="C13781" t="s">
        <v>428</v>
      </c>
      <c r="D13781" s="21" t="s">
        <v>34</v>
      </c>
      <c r="E13781" s="21" t="s">
        <v>71</v>
      </c>
      <c r="F13781">
        <v>1420009</v>
      </c>
      <c r="G13781" t="s">
        <v>3113</v>
      </c>
      <c r="H13781" s="21">
        <v>888.17</v>
      </c>
    </row>
    <row r="13782" spans="1:8" customFormat="1" x14ac:dyDescent="0.25">
      <c r="A13782" t="str">
        <f>"367084"</f>
        <v>367084</v>
      </c>
      <c r="B13782" t="s">
        <v>3108</v>
      </c>
      <c r="C13782" t="s">
        <v>1119</v>
      </c>
      <c r="D13782" s="21" t="s">
        <v>34</v>
      </c>
      <c r="E13782" s="21" t="s">
        <v>71</v>
      </c>
      <c r="F13782">
        <v>4360315</v>
      </c>
      <c r="G13782" t="s">
        <v>6888</v>
      </c>
      <c r="H13782" s="21">
        <v>888.17</v>
      </c>
    </row>
    <row r="13783" spans="1:8" customFormat="1" x14ac:dyDescent="0.25">
      <c r="A13783" t="str">
        <f>"3724971"</f>
        <v>3724971</v>
      </c>
      <c r="B13783" t="s">
        <v>13272</v>
      </c>
      <c r="C13783" t="s">
        <v>65</v>
      </c>
      <c r="D13783" s="21" t="s">
        <v>34</v>
      </c>
      <c r="E13783" s="21" t="s">
        <v>35</v>
      </c>
      <c r="F13783">
        <v>4370183</v>
      </c>
      <c r="G13783" t="s">
        <v>231</v>
      </c>
      <c r="H13783" s="21">
        <v>888.17</v>
      </c>
    </row>
    <row r="13784" spans="1:8" customFormat="1" x14ac:dyDescent="0.25">
      <c r="A13784" t="str">
        <f>"5614412"</f>
        <v>5614412</v>
      </c>
      <c r="B13784" t="s">
        <v>10132</v>
      </c>
      <c r="C13784" t="s">
        <v>49</v>
      </c>
      <c r="D13784" s="21" t="s">
        <v>34</v>
      </c>
      <c r="E13784" s="21" t="s">
        <v>35</v>
      </c>
      <c r="F13784">
        <v>3560002</v>
      </c>
      <c r="G13784" t="s">
        <v>5437</v>
      </c>
      <c r="H13784" s="21">
        <v>888.17</v>
      </c>
    </row>
    <row r="13785" spans="1:8" customFormat="1" x14ac:dyDescent="0.25">
      <c r="A13785" t="str">
        <f>"6014187"</f>
        <v>6014187</v>
      </c>
      <c r="B13785" t="s">
        <v>2317</v>
      </c>
      <c r="C13785" t="s">
        <v>2356</v>
      </c>
      <c r="D13785" s="21" t="s">
        <v>34</v>
      </c>
      <c r="E13785" s="21" t="s">
        <v>71</v>
      </c>
      <c r="F13785">
        <v>7600157</v>
      </c>
      <c r="G13785" t="s">
        <v>12263</v>
      </c>
      <c r="H13785" s="21">
        <v>888.17</v>
      </c>
    </row>
    <row r="13786" spans="1:8" customFormat="1" x14ac:dyDescent="0.25">
      <c r="A13786" t="str">
        <f>"5710459"</f>
        <v>5710459</v>
      </c>
      <c r="B13786" t="s">
        <v>12297</v>
      </c>
      <c r="C13786" t="s">
        <v>204</v>
      </c>
      <c r="D13786" s="21" t="s">
        <v>34</v>
      </c>
      <c r="E13786" s="21" t="s">
        <v>35</v>
      </c>
      <c r="F13786">
        <v>6570075</v>
      </c>
      <c r="G13786" t="s">
        <v>3008</v>
      </c>
      <c r="H13786" s="21">
        <v>888.17</v>
      </c>
    </row>
    <row r="13787" spans="1:8" customFormat="1" x14ac:dyDescent="0.25">
      <c r="A13787" t="str">
        <f>"5614545"</f>
        <v>5614545</v>
      </c>
      <c r="B13787" t="s">
        <v>12705</v>
      </c>
      <c r="C13787" t="s">
        <v>62</v>
      </c>
      <c r="D13787" s="21" t="s">
        <v>34</v>
      </c>
      <c r="E13787" s="21" t="s">
        <v>71</v>
      </c>
      <c r="F13787">
        <v>3560039</v>
      </c>
      <c r="G13787" t="s">
        <v>167</v>
      </c>
      <c r="H13787" s="21">
        <v>888.17</v>
      </c>
    </row>
    <row r="13788" spans="1:8" customFormat="1" x14ac:dyDescent="0.25">
      <c r="A13788" t="str">
        <f>"628770"</f>
        <v>628770</v>
      </c>
      <c r="B13788" t="s">
        <v>2291</v>
      </c>
      <c r="C13788" t="s">
        <v>249</v>
      </c>
      <c r="D13788" s="21" t="s">
        <v>34</v>
      </c>
      <c r="E13788" s="21" t="s">
        <v>71</v>
      </c>
      <c r="F13788">
        <v>7620029</v>
      </c>
      <c r="G13788" t="s">
        <v>7730</v>
      </c>
      <c r="H13788" s="21">
        <v>888.17</v>
      </c>
    </row>
    <row r="13789" spans="1:8" customFormat="1" x14ac:dyDescent="0.25">
      <c r="A13789" t="str">
        <f>"449943"</f>
        <v>449943</v>
      </c>
      <c r="B13789" t="s">
        <v>1574</v>
      </c>
      <c r="C13789" t="s">
        <v>269</v>
      </c>
      <c r="D13789" s="21" t="s">
        <v>34</v>
      </c>
      <c r="E13789" s="21" t="s">
        <v>71</v>
      </c>
      <c r="F13789">
        <v>12440176</v>
      </c>
      <c r="G13789" t="s">
        <v>1020</v>
      </c>
      <c r="H13789" s="21">
        <v>888.17</v>
      </c>
    </row>
    <row r="13790" spans="1:8" customFormat="1" x14ac:dyDescent="0.25">
      <c r="A13790" t="str">
        <f>"5313037"</f>
        <v>5313037</v>
      </c>
      <c r="B13790" t="s">
        <v>27310</v>
      </c>
      <c r="C13790" t="s">
        <v>121</v>
      </c>
      <c r="D13790" s="21" t="s">
        <v>34</v>
      </c>
      <c r="E13790" s="21" t="s">
        <v>35</v>
      </c>
      <c r="F13790">
        <v>12490066</v>
      </c>
      <c r="G13790" t="s">
        <v>1051</v>
      </c>
      <c r="H13790" s="21">
        <v>888.17</v>
      </c>
    </row>
    <row r="13791" spans="1:8" customFormat="1" x14ac:dyDescent="0.25">
      <c r="A13791" t="str">
        <f>"809890"</f>
        <v>809890</v>
      </c>
      <c r="B13791" t="s">
        <v>11572</v>
      </c>
      <c r="C13791" t="s">
        <v>415</v>
      </c>
      <c r="D13791" s="21" t="s">
        <v>34</v>
      </c>
      <c r="E13791" s="21" t="s">
        <v>254</v>
      </c>
      <c r="F13791">
        <v>9760168</v>
      </c>
      <c r="G13791" t="s">
        <v>179</v>
      </c>
      <c r="H13791" s="21">
        <v>888.17</v>
      </c>
    </row>
    <row r="13792" spans="1:8" customFormat="1" x14ac:dyDescent="0.25">
      <c r="A13792" t="str">
        <f>"193790"</f>
        <v>193790</v>
      </c>
      <c r="B13792" t="s">
        <v>12281</v>
      </c>
      <c r="C13792" t="s">
        <v>4267</v>
      </c>
      <c r="D13792" s="21" t="s">
        <v>34</v>
      </c>
      <c r="E13792" s="21" t="s">
        <v>71</v>
      </c>
      <c r="F13792">
        <v>10190096</v>
      </c>
      <c r="G13792" t="s">
        <v>3949</v>
      </c>
      <c r="H13792" s="21">
        <v>887.92</v>
      </c>
    </row>
    <row r="13793" spans="1:8" customFormat="1" x14ac:dyDescent="0.25">
      <c r="A13793" t="str">
        <f>"3329786"</f>
        <v>3329786</v>
      </c>
      <c r="B13793" t="s">
        <v>5098</v>
      </c>
      <c r="C13793" t="s">
        <v>1597</v>
      </c>
      <c r="D13793" s="21" t="s">
        <v>34</v>
      </c>
      <c r="E13793" s="21" t="s">
        <v>71</v>
      </c>
      <c r="F13793">
        <v>10330050</v>
      </c>
      <c r="G13793" t="s">
        <v>2488</v>
      </c>
      <c r="H13793" s="21">
        <v>887.92</v>
      </c>
    </row>
    <row r="13794" spans="1:8" customFormat="1" x14ac:dyDescent="0.25">
      <c r="A13794" t="str">
        <f>"5714839"</f>
        <v>5714839</v>
      </c>
      <c r="B13794" t="s">
        <v>5098</v>
      </c>
      <c r="C13794" t="s">
        <v>1946</v>
      </c>
      <c r="D13794" s="21" t="s">
        <v>34</v>
      </c>
      <c r="E13794" s="21" t="s">
        <v>35</v>
      </c>
      <c r="F13794">
        <v>6570158</v>
      </c>
      <c r="G13794" t="s">
        <v>2391</v>
      </c>
      <c r="H13794" s="21">
        <v>887.92</v>
      </c>
    </row>
    <row r="13795" spans="1:8" customFormat="1" x14ac:dyDescent="0.25">
      <c r="A13795" t="str">
        <f>"9454832"</f>
        <v>9454832</v>
      </c>
      <c r="B13795" t="s">
        <v>17252</v>
      </c>
      <c r="C13795" t="s">
        <v>1025</v>
      </c>
      <c r="D13795" s="21" t="s">
        <v>34</v>
      </c>
      <c r="E13795" s="21" t="s">
        <v>71</v>
      </c>
      <c r="F13795">
        <v>8940482</v>
      </c>
      <c r="G13795" t="s">
        <v>2560</v>
      </c>
      <c r="H13795" s="21">
        <v>887.79</v>
      </c>
    </row>
    <row r="13796" spans="1:8" customFormat="1" x14ac:dyDescent="0.25">
      <c r="A13796" t="str">
        <f>"1423082"</f>
        <v>1423082</v>
      </c>
      <c r="B13796" t="s">
        <v>19540</v>
      </c>
      <c r="C13796" t="s">
        <v>244</v>
      </c>
      <c r="D13796" s="21" t="s">
        <v>34</v>
      </c>
      <c r="E13796" s="21" t="s">
        <v>35</v>
      </c>
      <c r="F13796">
        <v>9140009</v>
      </c>
      <c r="G13796" t="s">
        <v>3530</v>
      </c>
      <c r="H13796" s="21">
        <v>887.79</v>
      </c>
    </row>
    <row r="13797" spans="1:8" customFormat="1" x14ac:dyDescent="0.25">
      <c r="A13797" t="str">
        <f>"0811884"</f>
        <v>0811884</v>
      </c>
      <c r="B13797" t="s">
        <v>27311</v>
      </c>
      <c r="C13797" t="s">
        <v>311</v>
      </c>
      <c r="D13797" s="21" t="s">
        <v>34</v>
      </c>
      <c r="E13797" s="21" t="s">
        <v>35</v>
      </c>
      <c r="F13797">
        <v>6080015</v>
      </c>
      <c r="G13797" t="s">
        <v>15205</v>
      </c>
      <c r="H13797" s="21">
        <v>887.79</v>
      </c>
    </row>
    <row r="13798" spans="1:8" customFormat="1" x14ac:dyDescent="0.25">
      <c r="A13798" t="str">
        <f>"7512121"</f>
        <v>7512121</v>
      </c>
      <c r="B13798" t="s">
        <v>11422</v>
      </c>
      <c r="C13798" t="s">
        <v>60</v>
      </c>
      <c r="D13798" s="21" t="s">
        <v>34</v>
      </c>
      <c r="E13798" s="21" t="s">
        <v>35</v>
      </c>
      <c r="F13798">
        <v>7600004</v>
      </c>
      <c r="G13798" t="s">
        <v>848</v>
      </c>
      <c r="H13798" s="21">
        <v>887.67</v>
      </c>
    </row>
    <row r="13799" spans="1:8" customFormat="1" x14ac:dyDescent="0.25">
      <c r="A13799" t="str">
        <f>"1415435"</f>
        <v>1415435</v>
      </c>
      <c r="B13799" t="s">
        <v>11176</v>
      </c>
      <c r="C13799" t="s">
        <v>249</v>
      </c>
      <c r="D13799" s="21" t="s">
        <v>34</v>
      </c>
      <c r="E13799" s="21" t="s">
        <v>71</v>
      </c>
      <c r="F13799">
        <v>9140162</v>
      </c>
      <c r="G13799" t="s">
        <v>7663</v>
      </c>
      <c r="H13799" s="21">
        <v>887.67</v>
      </c>
    </row>
    <row r="13800" spans="1:8" customFormat="1" x14ac:dyDescent="0.25">
      <c r="A13800" t="str">
        <f>"5322274"</f>
        <v>5322274</v>
      </c>
      <c r="B13800" t="s">
        <v>2938</v>
      </c>
      <c r="C13800" t="s">
        <v>1853</v>
      </c>
      <c r="D13800" s="21" t="s">
        <v>34</v>
      </c>
      <c r="E13800" s="21" t="s">
        <v>71</v>
      </c>
      <c r="F13800">
        <v>12530064</v>
      </c>
      <c r="G13800" t="s">
        <v>3699</v>
      </c>
      <c r="H13800" s="21">
        <v>887.67</v>
      </c>
    </row>
    <row r="13801" spans="1:8" customFormat="1" x14ac:dyDescent="0.25">
      <c r="A13801" t="str">
        <f>"957295"</f>
        <v>957295</v>
      </c>
      <c r="B13801" t="s">
        <v>27312</v>
      </c>
      <c r="C13801" t="s">
        <v>15006</v>
      </c>
      <c r="D13801" s="21" t="s">
        <v>34</v>
      </c>
      <c r="E13801" s="21" t="s">
        <v>35</v>
      </c>
      <c r="F13801">
        <v>8950330</v>
      </c>
      <c r="G13801" t="s">
        <v>794</v>
      </c>
      <c r="H13801" s="21">
        <v>887.67</v>
      </c>
    </row>
    <row r="13802" spans="1:8" customFormat="1" x14ac:dyDescent="0.25">
      <c r="A13802" t="str">
        <f>"544307"</f>
        <v>544307</v>
      </c>
      <c r="B13802" t="s">
        <v>12311</v>
      </c>
      <c r="C13802" t="s">
        <v>1489</v>
      </c>
      <c r="D13802" s="21" t="s">
        <v>34</v>
      </c>
      <c r="E13802" s="21" t="s">
        <v>254</v>
      </c>
      <c r="F13802">
        <v>6540056</v>
      </c>
      <c r="G13802" t="s">
        <v>1136</v>
      </c>
      <c r="H13802" s="21">
        <v>887.67</v>
      </c>
    </row>
    <row r="13803" spans="1:8" customFormat="1" x14ac:dyDescent="0.25">
      <c r="A13803" t="str">
        <f>"7823988"</f>
        <v>7823988</v>
      </c>
      <c r="B13803" t="s">
        <v>12503</v>
      </c>
      <c r="C13803" t="s">
        <v>33</v>
      </c>
      <c r="D13803" s="21" t="s">
        <v>34</v>
      </c>
      <c r="E13803" s="21" t="s">
        <v>71</v>
      </c>
      <c r="F13803">
        <v>8780114</v>
      </c>
      <c r="G13803" t="s">
        <v>927</v>
      </c>
      <c r="H13803" s="21">
        <v>887.67</v>
      </c>
    </row>
    <row r="13804" spans="1:8" customFormat="1" x14ac:dyDescent="0.25">
      <c r="A13804" t="str">
        <f>"1418289"</f>
        <v>1418289</v>
      </c>
      <c r="B13804" t="s">
        <v>11739</v>
      </c>
      <c r="C13804" t="s">
        <v>412</v>
      </c>
      <c r="D13804" s="21" t="s">
        <v>34</v>
      </c>
      <c r="E13804" s="21" t="s">
        <v>71</v>
      </c>
      <c r="F13804">
        <v>9140216</v>
      </c>
      <c r="G13804" t="s">
        <v>11740</v>
      </c>
      <c r="H13804" s="21">
        <v>887.67</v>
      </c>
    </row>
    <row r="13805" spans="1:8" customFormat="1" x14ac:dyDescent="0.25">
      <c r="A13805" t="str">
        <f>"3335940"</f>
        <v>3335940</v>
      </c>
      <c r="B13805" t="s">
        <v>12725</v>
      </c>
      <c r="C13805" t="s">
        <v>2479</v>
      </c>
      <c r="D13805" s="21" t="s">
        <v>34</v>
      </c>
      <c r="E13805" s="21" t="s">
        <v>35</v>
      </c>
      <c r="F13805">
        <v>10330030</v>
      </c>
      <c r="G13805" t="s">
        <v>2990</v>
      </c>
      <c r="H13805" s="21">
        <v>887.54</v>
      </c>
    </row>
    <row r="13806" spans="1:8" customFormat="1" x14ac:dyDescent="0.25">
      <c r="A13806" t="str">
        <f>"2921976"</f>
        <v>2921976</v>
      </c>
      <c r="B13806" t="s">
        <v>1670</v>
      </c>
      <c r="C13806" t="s">
        <v>114</v>
      </c>
      <c r="D13806" s="21" t="s">
        <v>34</v>
      </c>
      <c r="E13806" s="21" t="s">
        <v>254</v>
      </c>
      <c r="F13806">
        <v>3290222</v>
      </c>
      <c r="G13806" t="s">
        <v>2259</v>
      </c>
      <c r="H13806" s="21">
        <v>887.42</v>
      </c>
    </row>
    <row r="13807" spans="1:8" customFormat="1" x14ac:dyDescent="0.25">
      <c r="A13807" t="str">
        <f>"845475"</f>
        <v>845475</v>
      </c>
      <c r="B13807" t="s">
        <v>2313</v>
      </c>
      <c r="C13807" t="s">
        <v>12812</v>
      </c>
      <c r="D13807" s="21" t="s">
        <v>34</v>
      </c>
      <c r="E13807" s="21" t="s">
        <v>71</v>
      </c>
      <c r="F13807">
        <v>13840058</v>
      </c>
      <c r="G13807" t="s">
        <v>7032</v>
      </c>
      <c r="H13807" s="21">
        <v>887.42</v>
      </c>
    </row>
    <row r="13808" spans="1:8" customFormat="1" x14ac:dyDescent="0.25">
      <c r="A13808" t="str">
        <f>"9421642"</f>
        <v>9421642</v>
      </c>
      <c r="B13808" t="s">
        <v>10508</v>
      </c>
      <c r="C13808" t="s">
        <v>1714</v>
      </c>
      <c r="D13808" s="21" t="s">
        <v>34</v>
      </c>
      <c r="E13808" s="21" t="s">
        <v>35</v>
      </c>
      <c r="F13808">
        <v>8941180</v>
      </c>
      <c r="G13808" t="s">
        <v>5544</v>
      </c>
      <c r="H13808" s="21">
        <v>887.42</v>
      </c>
    </row>
    <row r="13809" spans="1:8" customFormat="1" x14ac:dyDescent="0.25">
      <c r="A13809" t="str">
        <f>"422525"</f>
        <v>422525</v>
      </c>
      <c r="B13809" t="s">
        <v>11428</v>
      </c>
      <c r="C13809" t="s">
        <v>12352</v>
      </c>
      <c r="D13809" s="21" t="s">
        <v>34</v>
      </c>
      <c r="E13809" s="21" t="s">
        <v>71</v>
      </c>
      <c r="F13809">
        <v>1420106</v>
      </c>
      <c r="G13809" t="s">
        <v>6244</v>
      </c>
      <c r="H13809" s="21">
        <v>887.29</v>
      </c>
    </row>
    <row r="13810" spans="1:8" customFormat="1" x14ac:dyDescent="0.25">
      <c r="A13810" t="str">
        <f>"4414902"</f>
        <v>4414902</v>
      </c>
      <c r="B13810" t="s">
        <v>5833</v>
      </c>
      <c r="C13810" t="s">
        <v>608</v>
      </c>
      <c r="D13810" s="21" t="s">
        <v>34</v>
      </c>
      <c r="E13810" s="21" t="s">
        <v>71</v>
      </c>
      <c r="F13810">
        <v>12440042</v>
      </c>
      <c r="G13810" t="s">
        <v>10312</v>
      </c>
      <c r="H13810" s="21">
        <v>887.17</v>
      </c>
    </row>
    <row r="13811" spans="1:8" customFormat="1" x14ac:dyDescent="0.25">
      <c r="A13811" t="str">
        <f>"6810721"</f>
        <v>6810721</v>
      </c>
      <c r="B13811" t="s">
        <v>11047</v>
      </c>
      <c r="C13811" t="s">
        <v>246</v>
      </c>
      <c r="D13811" s="21" t="s">
        <v>34</v>
      </c>
      <c r="E13811" s="21" t="s">
        <v>71</v>
      </c>
      <c r="F13811">
        <v>6680091</v>
      </c>
      <c r="G13811" t="s">
        <v>693</v>
      </c>
      <c r="H13811" s="21">
        <v>887.17</v>
      </c>
    </row>
    <row r="13812" spans="1:8" customFormat="1" x14ac:dyDescent="0.25">
      <c r="A13812" t="str">
        <f>"7521358"</f>
        <v>7521358</v>
      </c>
      <c r="B13812" t="s">
        <v>14860</v>
      </c>
      <c r="C13812" t="s">
        <v>139</v>
      </c>
      <c r="D13812" s="21" t="s">
        <v>34</v>
      </c>
      <c r="E13812" s="21" t="s">
        <v>71</v>
      </c>
      <c r="F13812">
        <v>8751456</v>
      </c>
      <c r="G13812" t="s">
        <v>2683</v>
      </c>
      <c r="H13812" s="21">
        <v>887.04</v>
      </c>
    </row>
    <row r="13813" spans="1:8" customFormat="1" x14ac:dyDescent="0.25">
      <c r="A13813" t="str">
        <f>"7219852"</f>
        <v>7219852</v>
      </c>
      <c r="B13813" t="s">
        <v>13385</v>
      </c>
      <c r="C13813" t="s">
        <v>87</v>
      </c>
      <c r="D13813" s="21" t="s">
        <v>34</v>
      </c>
      <c r="E13813" s="21" t="s">
        <v>35</v>
      </c>
      <c r="F13813">
        <v>12720104</v>
      </c>
      <c r="G13813" t="s">
        <v>224</v>
      </c>
      <c r="H13813" s="21">
        <v>886.67</v>
      </c>
    </row>
    <row r="13814" spans="1:8" customFormat="1" x14ac:dyDescent="0.25">
      <c r="A13814" t="str">
        <f>"6910780"</f>
        <v>6910780</v>
      </c>
      <c r="B13814" t="s">
        <v>5973</v>
      </c>
      <c r="C13814" t="s">
        <v>239</v>
      </c>
      <c r="D13814" s="21" t="s">
        <v>34</v>
      </c>
      <c r="E13814" s="21" t="s">
        <v>254</v>
      </c>
      <c r="F13814">
        <v>1010073</v>
      </c>
      <c r="G13814" t="s">
        <v>11810</v>
      </c>
      <c r="H13814" s="21">
        <v>886.67</v>
      </c>
    </row>
    <row r="13815" spans="1:8" customFormat="1" x14ac:dyDescent="0.25">
      <c r="A13815" t="str">
        <f>"3724903"</f>
        <v>3724903</v>
      </c>
      <c r="B13815" t="s">
        <v>726</v>
      </c>
      <c r="C13815" t="s">
        <v>119</v>
      </c>
      <c r="D13815" s="21" t="s">
        <v>34</v>
      </c>
      <c r="E13815" s="21" t="s">
        <v>35</v>
      </c>
      <c r="F13815">
        <v>4370183</v>
      </c>
      <c r="G13815" t="s">
        <v>231</v>
      </c>
      <c r="H13815" s="21">
        <v>886.67</v>
      </c>
    </row>
    <row r="13816" spans="1:8" customFormat="1" x14ac:dyDescent="0.25">
      <c r="A13816" t="str">
        <f>"6111628"</f>
        <v>6111628</v>
      </c>
      <c r="B13816" t="s">
        <v>1500</v>
      </c>
      <c r="C13816" t="s">
        <v>275</v>
      </c>
      <c r="D13816" s="21" t="s">
        <v>34</v>
      </c>
      <c r="E13816" s="21" t="s">
        <v>35</v>
      </c>
      <c r="F13816">
        <v>9610011</v>
      </c>
      <c r="G13816" t="s">
        <v>6031</v>
      </c>
      <c r="H13816" s="21">
        <v>886.67</v>
      </c>
    </row>
    <row r="13817" spans="1:8" customFormat="1" x14ac:dyDescent="0.25">
      <c r="A13817" t="str">
        <f>"413962"</f>
        <v>413962</v>
      </c>
      <c r="B13817" t="s">
        <v>12160</v>
      </c>
      <c r="C13817" t="s">
        <v>169</v>
      </c>
      <c r="D13817" s="21" t="s">
        <v>34</v>
      </c>
      <c r="E13817" s="21" t="s">
        <v>71</v>
      </c>
      <c r="F13817">
        <v>4410017</v>
      </c>
      <c r="G13817" t="s">
        <v>2363</v>
      </c>
      <c r="H13817" s="21">
        <v>886.67</v>
      </c>
    </row>
    <row r="13818" spans="1:8" customFormat="1" x14ac:dyDescent="0.25">
      <c r="A13818" t="str">
        <f>"6226101"</f>
        <v>6226101</v>
      </c>
      <c r="B13818" t="s">
        <v>19567</v>
      </c>
      <c r="C13818" t="s">
        <v>576</v>
      </c>
      <c r="D13818" s="21" t="s">
        <v>34</v>
      </c>
      <c r="E13818" s="21" t="s">
        <v>35</v>
      </c>
      <c r="F13818">
        <v>7620047</v>
      </c>
      <c r="G13818" t="s">
        <v>16200</v>
      </c>
      <c r="H13818" s="21">
        <v>886.67</v>
      </c>
    </row>
    <row r="13819" spans="1:8" customFormat="1" x14ac:dyDescent="0.25">
      <c r="A13819" t="str">
        <f>"5315008"</f>
        <v>5315008</v>
      </c>
      <c r="B13819" t="s">
        <v>5674</v>
      </c>
      <c r="C13819" t="s">
        <v>1812</v>
      </c>
      <c r="D13819" s="21" t="s">
        <v>34</v>
      </c>
      <c r="E13819" s="21" t="s">
        <v>71</v>
      </c>
      <c r="F13819">
        <v>9500124</v>
      </c>
      <c r="G13819" t="s">
        <v>3726</v>
      </c>
      <c r="H13819" s="21">
        <v>886.67</v>
      </c>
    </row>
    <row r="13820" spans="1:8" customFormat="1" x14ac:dyDescent="0.25">
      <c r="A13820" t="str">
        <f>"5916922"</f>
        <v>5916922</v>
      </c>
      <c r="B13820" t="s">
        <v>27313</v>
      </c>
      <c r="C13820" t="s">
        <v>60</v>
      </c>
      <c r="D13820" s="21" t="s">
        <v>34</v>
      </c>
      <c r="E13820" s="21" t="s">
        <v>35</v>
      </c>
      <c r="F13820">
        <v>8910652</v>
      </c>
      <c r="G13820" t="s">
        <v>6533</v>
      </c>
      <c r="H13820" s="21">
        <v>886.67</v>
      </c>
    </row>
    <row r="13821" spans="1:8" customFormat="1" x14ac:dyDescent="0.25">
      <c r="A13821" t="str">
        <f>"1841"</f>
        <v>1841</v>
      </c>
      <c r="B13821" t="s">
        <v>12168</v>
      </c>
      <c r="C13821" t="s">
        <v>267</v>
      </c>
      <c r="D13821" s="21" t="s">
        <v>34</v>
      </c>
      <c r="E13821" s="21" t="s">
        <v>71</v>
      </c>
      <c r="F13821">
        <v>4180041</v>
      </c>
      <c r="G13821" t="s">
        <v>1740</v>
      </c>
      <c r="H13821" s="21">
        <v>886.67</v>
      </c>
    </row>
    <row r="13822" spans="1:8" customFormat="1" x14ac:dyDescent="0.25">
      <c r="A13822" t="str">
        <f>"5967939"</f>
        <v>5967939</v>
      </c>
      <c r="B13822" t="s">
        <v>1349</v>
      </c>
      <c r="C13822" t="s">
        <v>211</v>
      </c>
      <c r="D13822" s="21" t="s">
        <v>34</v>
      </c>
      <c r="E13822" s="21" t="s">
        <v>254</v>
      </c>
      <c r="F13822">
        <v>10400027</v>
      </c>
      <c r="G13822" t="s">
        <v>11595</v>
      </c>
      <c r="H13822" s="21">
        <v>886.67</v>
      </c>
    </row>
    <row r="13823" spans="1:8" customFormat="1" x14ac:dyDescent="0.25">
      <c r="A13823" t="str">
        <f>"6923155"</f>
        <v>6923155</v>
      </c>
      <c r="B13823" t="s">
        <v>8655</v>
      </c>
      <c r="C13823" t="s">
        <v>109</v>
      </c>
      <c r="D13823" s="21" t="s">
        <v>34</v>
      </c>
      <c r="E13823" s="21" t="s">
        <v>35</v>
      </c>
      <c r="F13823">
        <v>1690192</v>
      </c>
      <c r="G13823" t="s">
        <v>3578</v>
      </c>
      <c r="H13823" s="21">
        <v>886.67</v>
      </c>
    </row>
    <row r="13824" spans="1:8" customFormat="1" x14ac:dyDescent="0.25">
      <c r="A13824" t="str">
        <f>"4920910"</f>
        <v>4920910</v>
      </c>
      <c r="B13824" t="s">
        <v>7122</v>
      </c>
      <c r="C13824" t="s">
        <v>114</v>
      </c>
      <c r="D13824" s="21" t="s">
        <v>34</v>
      </c>
      <c r="E13824" s="21" t="s">
        <v>71</v>
      </c>
      <c r="F13824">
        <v>12490120</v>
      </c>
      <c r="G13824" t="s">
        <v>2316</v>
      </c>
      <c r="H13824" s="21">
        <v>886.67</v>
      </c>
    </row>
    <row r="13825" spans="1:8" customFormat="1" x14ac:dyDescent="0.25">
      <c r="A13825" t="str">
        <f>"871214"</f>
        <v>871214</v>
      </c>
      <c r="B13825" t="s">
        <v>12388</v>
      </c>
      <c r="C13825" t="s">
        <v>598</v>
      </c>
      <c r="D13825" s="21" t="s">
        <v>34</v>
      </c>
      <c r="E13825" s="21" t="s">
        <v>254</v>
      </c>
      <c r="F13825">
        <v>10870003</v>
      </c>
      <c r="G13825" t="s">
        <v>1187</v>
      </c>
      <c r="H13825" s="21">
        <v>886.67</v>
      </c>
    </row>
    <row r="13826" spans="1:8" customFormat="1" x14ac:dyDescent="0.25">
      <c r="A13826" t="str">
        <f>"59965"</f>
        <v>59965</v>
      </c>
      <c r="B13826" t="s">
        <v>3966</v>
      </c>
      <c r="C13826" t="s">
        <v>55</v>
      </c>
      <c r="D13826" s="21" t="s">
        <v>34</v>
      </c>
      <c r="E13826" s="21" t="s">
        <v>254</v>
      </c>
      <c r="F13826">
        <v>7590051</v>
      </c>
      <c r="G13826" t="s">
        <v>3831</v>
      </c>
      <c r="H13826" s="21">
        <v>886.42</v>
      </c>
    </row>
    <row r="13827" spans="1:8" customFormat="1" x14ac:dyDescent="0.25">
      <c r="A13827" t="str">
        <f>"5613888"</f>
        <v>5613888</v>
      </c>
      <c r="B13827" t="s">
        <v>13144</v>
      </c>
      <c r="C13827" t="s">
        <v>611</v>
      </c>
      <c r="D13827" s="21" t="s">
        <v>34</v>
      </c>
      <c r="E13827" s="21" t="s">
        <v>71</v>
      </c>
      <c r="F13827">
        <v>3560039</v>
      </c>
      <c r="G13827" t="s">
        <v>167</v>
      </c>
      <c r="H13827" s="21">
        <v>886.42</v>
      </c>
    </row>
    <row r="13828" spans="1:8" customFormat="1" x14ac:dyDescent="0.25">
      <c r="A13828" t="str">
        <f>"37775"</f>
        <v>37775</v>
      </c>
      <c r="B13828" t="s">
        <v>11145</v>
      </c>
      <c r="C13828" t="s">
        <v>598</v>
      </c>
      <c r="D13828" s="21" t="s">
        <v>34</v>
      </c>
      <c r="E13828" s="21" t="s">
        <v>1089</v>
      </c>
      <c r="F13828">
        <v>4370151</v>
      </c>
      <c r="G13828" t="s">
        <v>5304</v>
      </c>
      <c r="H13828" s="21">
        <v>886.42</v>
      </c>
    </row>
    <row r="13829" spans="1:8" customFormat="1" x14ac:dyDescent="0.25">
      <c r="A13829" t="str">
        <f>"7727817"</f>
        <v>7727817</v>
      </c>
      <c r="B13829" t="s">
        <v>27314</v>
      </c>
      <c r="C13829" t="s">
        <v>719</v>
      </c>
      <c r="D13829" s="21" t="s">
        <v>34</v>
      </c>
      <c r="E13829" s="21" t="s">
        <v>35</v>
      </c>
      <c r="F13829">
        <v>8771501</v>
      </c>
      <c r="G13829" t="s">
        <v>10128</v>
      </c>
      <c r="H13829" s="21">
        <v>886.42</v>
      </c>
    </row>
    <row r="13830" spans="1:8" customFormat="1" x14ac:dyDescent="0.25">
      <c r="A13830" t="str">
        <f>"218529"</f>
        <v>218529</v>
      </c>
      <c r="B13830" t="s">
        <v>6312</v>
      </c>
      <c r="C13830" t="s">
        <v>2529</v>
      </c>
      <c r="D13830" s="21" t="s">
        <v>34</v>
      </c>
      <c r="E13830" s="21" t="s">
        <v>254</v>
      </c>
      <c r="F13830">
        <v>2210029</v>
      </c>
      <c r="G13830" t="s">
        <v>6983</v>
      </c>
      <c r="H13830" s="21">
        <v>886.42</v>
      </c>
    </row>
    <row r="13831" spans="1:8" customFormat="1" x14ac:dyDescent="0.25">
      <c r="A13831" t="str">
        <f>"8810611"</f>
        <v>8810611</v>
      </c>
      <c r="B13831" t="s">
        <v>8046</v>
      </c>
      <c r="C13831" t="s">
        <v>169</v>
      </c>
      <c r="D13831" s="21" t="s">
        <v>34</v>
      </c>
      <c r="E13831" s="21" t="s">
        <v>35</v>
      </c>
      <c r="F13831">
        <v>6880157</v>
      </c>
      <c r="G13831" t="s">
        <v>19530</v>
      </c>
      <c r="H13831" s="21">
        <v>886.29</v>
      </c>
    </row>
    <row r="13832" spans="1:8" customFormat="1" x14ac:dyDescent="0.25">
      <c r="A13832" t="str">
        <f>"877845"</f>
        <v>877845</v>
      </c>
      <c r="B13832" t="s">
        <v>13061</v>
      </c>
      <c r="C13832" t="s">
        <v>198</v>
      </c>
      <c r="D13832" s="21" t="s">
        <v>34</v>
      </c>
      <c r="E13832" s="21" t="s">
        <v>71</v>
      </c>
      <c r="F13832">
        <v>10870101</v>
      </c>
      <c r="G13832" t="s">
        <v>6607</v>
      </c>
      <c r="H13832" s="21">
        <v>886.17</v>
      </c>
    </row>
    <row r="13833" spans="1:8" customFormat="1" x14ac:dyDescent="0.25">
      <c r="A13833" t="str">
        <f>"753162"</f>
        <v>753162</v>
      </c>
      <c r="B13833" t="s">
        <v>11922</v>
      </c>
      <c r="C13833" t="s">
        <v>55</v>
      </c>
      <c r="D13833" s="21" t="s">
        <v>34</v>
      </c>
      <c r="E13833" s="21" t="s">
        <v>71</v>
      </c>
      <c r="F13833">
        <v>11340018</v>
      </c>
      <c r="G13833" t="s">
        <v>2421</v>
      </c>
      <c r="H13833" s="21">
        <v>886.17</v>
      </c>
    </row>
    <row r="13834" spans="1:8" customFormat="1" x14ac:dyDescent="0.25">
      <c r="A13834" t="str">
        <f>"3326573"</f>
        <v>3326573</v>
      </c>
      <c r="B13834" t="s">
        <v>13283</v>
      </c>
      <c r="C13834" t="s">
        <v>13284</v>
      </c>
      <c r="D13834" s="21" t="s">
        <v>34</v>
      </c>
      <c r="E13834" s="21" t="s">
        <v>71</v>
      </c>
      <c r="F13834">
        <v>8911009</v>
      </c>
      <c r="G13834" t="s">
        <v>2177</v>
      </c>
      <c r="H13834" s="21">
        <v>886.17</v>
      </c>
    </row>
    <row r="13835" spans="1:8" customFormat="1" x14ac:dyDescent="0.25">
      <c r="A13835" t="str">
        <f>"9526284"</f>
        <v>9526284</v>
      </c>
      <c r="B13835" t="s">
        <v>11782</v>
      </c>
      <c r="C13835" t="s">
        <v>209</v>
      </c>
      <c r="D13835" s="21" t="s">
        <v>34</v>
      </c>
      <c r="E13835" s="21" t="s">
        <v>71</v>
      </c>
      <c r="F13835">
        <v>8950119</v>
      </c>
      <c r="G13835" t="s">
        <v>8174</v>
      </c>
      <c r="H13835" s="21">
        <v>886.17</v>
      </c>
    </row>
    <row r="13836" spans="1:8" customFormat="1" x14ac:dyDescent="0.25">
      <c r="A13836" t="str">
        <f>"7726495"</f>
        <v>7726495</v>
      </c>
      <c r="B13836" t="s">
        <v>12661</v>
      </c>
      <c r="C13836" t="s">
        <v>87</v>
      </c>
      <c r="D13836" s="21" t="s">
        <v>34</v>
      </c>
      <c r="E13836" s="21" t="s">
        <v>35</v>
      </c>
      <c r="F13836">
        <v>8771025</v>
      </c>
      <c r="G13836" t="s">
        <v>5469</v>
      </c>
      <c r="H13836" s="21">
        <v>886.17</v>
      </c>
    </row>
    <row r="13837" spans="1:8" customFormat="1" x14ac:dyDescent="0.25">
      <c r="A13837" t="str">
        <f>"9F1112"</f>
        <v>9F1112</v>
      </c>
      <c r="B13837" t="s">
        <v>13072</v>
      </c>
      <c r="C13837" t="s">
        <v>209</v>
      </c>
      <c r="D13837" s="21" t="s">
        <v>34</v>
      </c>
      <c r="E13837" s="21" t="s">
        <v>71</v>
      </c>
      <c r="F13837" t="s">
        <v>2591</v>
      </c>
      <c r="G13837" t="s">
        <v>2592</v>
      </c>
      <c r="H13837" s="21">
        <v>886.17</v>
      </c>
    </row>
    <row r="13838" spans="1:8" customFormat="1" x14ac:dyDescent="0.25">
      <c r="A13838" t="str">
        <f>"2610940"</f>
        <v>2610940</v>
      </c>
      <c r="B13838" t="s">
        <v>5688</v>
      </c>
      <c r="C13838" t="s">
        <v>33</v>
      </c>
      <c r="D13838" s="21" t="s">
        <v>34</v>
      </c>
      <c r="E13838" s="21" t="s">
        <v>35</v>
      </c>
      <c r="F13838">
        <v>1260068</v>
      </c>
      <c r="G13838" t="s">
        <v>6531</v>
      </c>
      <c r="H13838" s="21">
        <v>886.17</v>
      </c>
    </row>
    <row r="13839" spans="1:8" customFormat="1" x14ac:dyDescent="0.25">
      <c r="A13839" t="str">
        <f>"852411"</f>
        <v>852411</v>
      </c>
      <c r="B13839" t="s">
        <v>13750</v>
      </c>
      <c r="C13839" t="s">
        <v>293</v>
      </c>
      <c r="D13839" s="21" t="s">
        <v>34</v>
      </c>
      <c r="E13839" s="21" t="s">
        <v>71</v>
      </c>
      <c r="F13839">
        <v>12850093</v>
      </c>
      <c r="G13839" t="s">
        <v>3371</v>
      </c>
      <c r="H13839" s="21">
        <v>886.17</v>
      </c>
    </row>
    <row r="13840" spans="1:8" customFormat="1" x14ac:dyDescent="0.25">
      <c r="A13840" t="str">
        <f>"42416"</f>
        <v>42416</v>
      </c>
      <c r="B13840" t="s">
        <v>11212</v>
      </c>
      <c r="C13840" t="s">
        <v>1271</v>
      </c>
      <c r="D13840" s="21" t="s">
        <v>34</v>
      </c>
      <c r="E13840" s="21" t="s">
        <v>254</v>
      </c>
      <c r="F13840">
        <v>1420025</v>
      </c>
      <c r="G13840" t="s">
        <v>5981</v>
      </c>
      <c r="H13840" s="21">
        <v>886.17</v>
      </c>
    </row>
    <row r="13841" spans="1:8" customFormat="1" x14ac:dyDescent="0.25">
      <c r="A13841" t="str">
        <f>"7629378"</f>
        <v>7629378</v>
      </c>
      <c r="B13841" t="s">
        <v>12934</v>
      </c>
      <c r="C13841" t="s">
        <v>209</v>
      </c>
      <c r="D13841" s="21" t="s">
        <v>34</v>
      </c>
      <c r="E13841" s="21" t="s">
        <v>71</v>
      </c>
      <c r="F13841">
        <v>9760004</v>
      </c>
      <c r="G13841" t="s">
        <v>56</v>
      </c>
      <c r="H13841" s="21">
        <v>886.17</v>
      </c>
    </row>
    <row r="13842" spans="1:8" customFormat="1" x14ac:dyDescent="0.25">
      <c r="A13842" t="str">
        <f>"027713"</f>
        <v>027713</v>
      </c>
      <c r="B13842" t="s">
        <v>27315</v>
      </c>
      <c r="C13842" t="s">
        <v>27316</v>
      </c>
      <c r="D13842" s="21" t="s">
        <v>34</v>
      </c>
      <c r="E13842" s="21" t="s">
        <v>35</v>
      </c>
      <c r="F13842">
        <v>9140235</v>
      </c>
      <c r="G13842" t="s">
        <v>165</v>
      </c>
      <c r="H13842" s="21">
        <v>886.17</v>
      </c>
    </row>
    <row r="13843" spans="1:8" customFormat="1" x14ac:dyDescent="0.25">
      <c r="A13843" t="str">
        <f>"955477"</f>
        <v>955477</v>
      </c>
      <c r="B13843" t="s">
        <v>5457</v>
      </c>
      <c r="C13843" t="s">
        <v>1914</v>
      </c>
      <c r="D13843" s="21" t="s">
        <v>34</v>
      </c>
      <c r="E13843" s="21" t="s">
        <v>254</v>
      </c>
      <c r="F13843">
        <v>8950564</v>
      </c>
      <c r="G13843" t="s">
        <v>9523</v>
      </c>
      <c r="H13843" s="21">
        <v>886.17</v>
      </c>
    </row>
    <row r="13844" spans="1:8" customFormat="1" x14ac:dyDescent="0.25">
      <c r="A13844" t="str">
        <f>"2812025"</f>
        <v>2812025</v>
      </c>
      <c r="B13844" t="s">
        <v>6260</v>
      </c>
      <c r="C13844" t="s">
        <v>631</v>
      </c>
      <c r="D13844" s="21" t="s">
        <v>34</v>
      </c>
      <c r="E13844" s="21" t="s">
        <v>35</v>
      </c>
      <c r="F13844">
        <v>4280121</v>
      </c>
      <c r="G13844" t="s">
        <v>4565</v>
      </c>
      <c r="H13844" s="21">
        <v>886.17</v>
      </c>
    </row>
    <row r="13845" spans="1:8" customFormat="1" x14ac:dyDescent="0.25">
      <c r="A13845" t="str">
        <f>"9515640"</f>
        <v>9515640</v>
      </c>
      <c r="B13845" t="s">
        <v>6387</v>
      </c>
      <c r="C13845" t="s">
        <v>11099</v>
      </c>
      <c r="D13845" s="21" t="s">
        <v>34</v>
      </c>
      <c r="E13845" s="21" t="s">
        <v>35</v>
      </c>
      <c r="F13845">
        <v>8940926</v>
      </c>
      <c r="G13845" t="s">
        <v>4065</v>
      </c>
      <c r="H13845" s="21">
        <v>885.92</v>
      </c>
    </row>
    <row r="13846" spans="1:8" customFormat="1" x14ac:dyDescent="0.25">
      <c r="A13846" t="str">
        <f>"902068"</f>
        <v>902068</v>
      </c>
      <c r="B13846" t="s">
        <v>13620</v>
      </c>
      <c r="C13846" t="s">
        <v>3784</v>
      </c>
      <c r="D13846" s="21" t="s">
        <v>34</v>
      </c>
      <c r="E13846" s="21" t="s">
        <v>71</v>
      </c>
      <c r="F13846">
        <v>2900030</v>
      </c>
      <c r="G13846" t="s">
        <v>10237</v>
      </c>
      <c r="H13846" s="21">
        <v>885.79</v>
      </c>
    </row>
    <row r="13847" spans="1:8" customFormat="1" x14ac:dyDescent="0.25">
      <c r="A13847" t="str">
        <f>"49129"</f>
        <v>49129</v>
      </c>
      <c r="B13847" t="s">
        <v>12468</v>
      </c>
      <c r="C13847" t="s">
        <v>33</v>
      </c>
      <c r="D13847" s="21" t="s">
        <v>34</v>
      </c>
      <c r="E13847" s="21" t="s">
        <v>71</v>
      </c>
      <c r="F13847">
        <v>12490040</v>
      </c>
      <c r="G13847" t="s">
        <v>94</v>
      </c>
      <c r="H13847" s="21">
        <v>885.67</v>
      </c>
    </row>
    <row r="13848" spans="1:8" customFormat="1" x14ac:dyDescent="0.25">
      <c r="A13848" t="str">
        <f>"5015404"</f>
        <v>5015404</v>
      </c>
      <c r="B13848" t="s">
        <v>12561</v>
      </c>
      <c r="C13848" t="s">
        <v>926</v>
      </c>
      <c r="D13848" s="21" t="s">
        <v>34</v>
      </c>
      <c r="E13848" s="21" t="s">
        <v>35</v>
      </c>
      <c r="F13848">
        <v>9500009</v>
      </c>
      <c r="G13848" t="s">
        <v>2230</v>
      </c>
      <c r="H13848" s="21">
        <v>885.67</v>
      </c>
    </row>
    <row r="13849" spans="1:8" customFormat="1" x14ac:dyDescent="0.25">
      <c r="A13849" t="str">
        <f>"5713788"</f>
        <v>5713788</v>
      </c>
      <c r="B13849" t="s">
        <v>3958</v>
      </c>
      <c r="C13849" t="s">
        <v>37</v>
      </c>
      <c r="D13849" s="21" t="s">
        <v>34</v>
      </c>
      <c r="E13849" s="21" t="s">
        <v>35</v>
      </c>
      <c r="F13849">
        <v>6570158</v>
      </c>
      <c r="G13849" t="s">
        <v>2391</v>
      </c>
      <c r="H13849" s="21">
        <v>885.67</v>
      </c>
    </row>
    <row r="13850" spans="1:8" customFormat="1" x14ac:dyDescent="0.25">
      <c r="A13850" t="str">
        <f>"3114220"</f>
        <v>3114220</v>
      </c>
      <c r="B13850" t="s">
        <v>12104</v>
      </c>
      <c r="C13850" t="s">
        <v>55</v>
      </c>
      <c r="D13850" s="21" t="s">
        <v>34</v>
      </c>
      <c r="E13850" s="21" t="s">
        <v>71</v>
      </c>
      <c r="F13850">
        <v>11310121</v>
      </c>
      <c r="G13850" t="s">
        <v>578</v>
      </c>
      <c r="H13850" s="21">
        <v>885.67</v>
      </c>
    </row>
    <row r="13851" spans="1:8" customFormat="1" x14ac:dyDescent="0.25">
      <c r="A13851" t="str">
        <f>"808544"</f>
        <v>808544</v>
      </c>
      <c r="B13851" t="s">
        <v>12290</v>
      </c>
      <c r="C13851" t="s">
        <v>2479</v>
      </c>
      <c r="D13851" s="21" t="s">
        <v>34</v>
      </c>
      <c r="E13851" s="21" t="s">
        <v>254</v>
      </c>
      <c r="F13851">
        <v>7800128</v>
      </c>
      <c r="G13851" t="s">
        <v>3147</v>
      </c>
      <c r="H13851" s="21">
        <v>885.67</v>
      </c>
    </row>
    <row r="13852" spans="1:8" customFormat="1" x14ac:dyDescent="0.25">
      <c r="A13852" t="str">
        <f>"3513619"</f>
        <v>3513619</v>
      </c>
      <c r="B13852" t="s">
        <v>27147</v>
      </c>
      <c r="C13852" t="s">
        <v>1539</v>
      </c>
      <c r="D13852" s="21" t="s">
        <v>34</v>
      </c>
      <c r="E13852" s="21" t="s">
        <v>71</v>
      </c>
      <c r="F13852">
        <v>3350142</v>
      </c>
      <c r="G13852" t="s">
        <v>19817</v>
      </c>
      <c r="H13852" s="21">
        <v>885.67</v>
      </c>
    </row>
    <row r="13853" spans="1:8" customFormat="1" x14ac:dyDescent="0.25">
      <c r="A13853" t="str">
        <f>"196821"</f>
        <v>196821</v>
      </c>
      <c r="B13853" t="s">
        <v>12619</v>
      </c>
      <c r="C13853" t="s">
        <v>415</v>
      </c>
      <c r="D13853" s="21" t="s">
        <v>34</v>
      </c>
      <c r="E13853" s="21" t="s">
        <v>71</v>
      </c>
      <c r="F13853">
        <v>10190054</v>
      </c>
      <c r="G13853" t="s">
        <v>4189</v>
      </c>
      <c r="H13853" s="21">
        <v>885.67</v>
      </c>
    </row>
    <row r="13854" spans="1:8" customFormat="1" x14ac:dyDescent="0.25">
      <c r="A13854" t="str">
        <f>"253130"</f>
        <v>253130</v>
      </c>
      <c r="B13854" t="s">
        <v>11956</v>
      </c>
      <c r="C13854" t="s">
        <v>453</v>
      </c>
      <c r="D13854" s="21" t="s">
        <v>34</v>
      </c>
      <c r="E13854" s="21" t="s">
        <v>1089</v>
      </c>
      <c r="F13854">
        <v>2250083</v>
      </c>
      <c r="G13854" t="s">
        <v>3808</v>
      </c>
      <c r="H13854" s="21">
        <v>885.67</v>
      </c>
    </row>
    <row r="13855" spans="1:8" customFormat="1" x14ac:dyDescent="0.25">
      <c r="A13855" t="str">
        <f>"4427951"</f>
        <v>4427951</v>
      </c>
      <c r="B13855" t="s">
        <v>12629</v>
      </c>
      <c r="C13855" t="s">
        <v>119</v>
      </c>
      <c r="D13855" s="21" t="s">
        <v>34</v>
      </c>
      <c r="E13855" s="21" t="s">
        <v>35</v>
      </c>
      <c r="F13855">
        <v>12440225</v>
      </c>
      <c r="G13855" t="s">
        <v>3094</v>
      </c>
      <c r="H13855" s="21">
        <v>885.67</v>
      </c>
    </row>
    <row r="13856" spans="1:8" customFormat="1" x14ac:dyDescent="0.25">
      <c r="A13856" t="str">
        <f>"674177"</f>
        <v>674177</v>
      </c>
      <c r="B13856" t="s">
        <v>10876</v>
      </c>
      <c r="C13856" t="s">
        <v>121</v>
      </c>
      <c r="D13856" s="21" t="s">
        <v>34</v>
      </c>
      <c r="E13856" s="21" t="s">
        <v>35</v>
      </c>
      <c r="F13856">
        <v>6670149</v>
      </c>
      <c r="G13856" t="s">
        <v>4404</v>
      </c>
      <c r="H13856" s="21">
        <v>885.67</v>
      </c>
    </row>
    <row r="13857" spans="1:8" customFormat="1" x14ac:dyDescent="0.25">
      <c r="A13857" t="str">
        <f>"1314829"</f>
        <v>1314829</v>
      </c>
      <c r="B13857" t="s">
        <v>10208</v>
      </c>
      <c r="C13857" t="s">
        <v>12332</v>
      </c>
      <c r="D13857" s="21" t="s">
        <v>34</v>
      </c>
      <c r="E13857" s="21" t="s">
        <v>71</v>
      </c>
      <c r="F13857">
        <v>13130133</v>
      </c>
      <c r="G13857" t="s">
        <v>12333</v>
      </c>
      <c r="H13857" s="21">
        <v>885.67</v>
      </c>
    </row>
    <row r="13858" spans="1:8" customFormat="1" x14ac:dyDescent="0.25">
      <c r="A13858" t="str">
        <f>"0210754"</f>
        <v>0210754</v>
      </c>
      <c r="B13858" t="s">
        <v>6487</v>
      </c>
      <c r="C13858" t="s">
        <v>43</v>
      </c>
      <c r="D13858" s="21" t="s">
        <v>34</v>
      </c>
      <c r="E13858" s="21" t="s">
        <v>35</v>
      </c>
      <c r="F13858">
        <v>7600037</v>
      </c>
      <c r="G13858" t="s">
        <v>7185</v>
      </c>
      <c r="H13858" s="21">
        <v>885.67</v>
      </c>
    </row>
    <row r="13859" spans="1:8" customFormat="1" x14ac:dyDescent="0.25">
      <c r="A13859" t="str">
        <f>"803743"</f>
        <v>803743</v>
      </c>
      <c r="B13859" t="s">
        <v>11803</v>
      </c>
      <c r="C13859" t="s">
        <v>124</v>
      </c>
      <c r="D13859" s="21" t="s">
        <v>34</v>
      </c>
      <c r="E13859" s="21" t="s">
        <v>254</v>
      </c>
      <c r="F13859">
        <v>7800061</v>
      </c>
      <c r="G13859" t="s">
        <v>1330</v>
      </c>
      <c r="H13859" s="21">
        <v>885.67</v>
      </c>
    </row>
    <row r="13860" spans="1:8" customFormat="1" x14ac:dyDescent="0.25">
      <c r="A13860" t="str">
        <f>"4425549"</f>
        <v>4425549</v>
      </c>
      <c r="B13860" t="s">
        <v>461</v>
      </c>
      <c r="C13860" t="s">
        <v>462</v>
      </c>
      <c r="D13860" s="21" t="s">
        <v>34</v>
      </c>
      <c r="E13860" s="21" t="s">
        <v>71</v>
      </c>
      <c r="F13860">
        <v>12440001</v>
      </c>
      <c r="G13860" t="s">
        <v>6999</v>
      </c>
      <c r="H13860" s="21">
        <v>885.67</v>
      </c>
    </row>
    <row r="13861" spans="1:8" customFormat="1" x14ac:dyDescent="0.25">
      <c r="A13861" t="str">
        <f>"6312250"</f>
        <v>6312250</v>
      </c>
      <c r="B13861" t="s">
        <v>12126</v>
      </c>
      <c r="C13861" t="s">
        <v>114</v>
      </c>
      <c r="D13861" s="21" t="s">
        <v>34</v>
      </c>
      <c r="E13861" s="21" t="s">
        <v>71</v>
      </c>
      <c r="F13861">
        <v>1630331</v>
      </c>
      <c r="G13861" t="s">
        <v>12919</v>
      </c>
      <c r="H13861" s="21">
        <v>885.67</v>
      </c>
    </row>
    <row r="13862" spans="1:8" customFormat="1" x14ac:dyDescent="0.25">
      <c r="A13862" t="str">
        <f>"4425283"</f>
        <v>4425283</v>
      </c>
      <c r="B13862" t="s">
        <v>13248</v>
      </c>
      <c r="C13862" t="s">
        <v>43</v>
      </c>
      <c r="D13862" s="21" t="s">
        <v>34</v>
      </c>
      <c r="E13862" s="21" t="s">
        <v>35</v>
      </c>
      <c r="F13862">
        <v>12440112</v>
      </c>
      <c r="G13862" t="s">
        <v>9188</v>
      </c>
      <c r="H13862" s="21">
        <v>885.42</v>
      </c>
    </row>
    <row r="13863" spans="1:8" customFormat="1" x14ac:dyDescent="0.25">
      <c r="A13863" t="str">
        <f>"9B615"</f>
        <v>9B615</v>
      </c>
      <c r="B13863" t="s">
        <v>15081</v>
      </c>
      <c r="C13863" t="s">
        <v>87</v>
      </c>
      <c r="D13863" s="21" t="s">
        <v>34</v>
      </c>
      <c r="E13863" s="21" t="s">
        <v>35</v>
      </c>
      <c r="F13863" t="s">
        <v>1906</v>
      </c>
      <c r="G13863" t="s">
        <v>26625</v>
      </c>
      <c r="H13863" s="21">
        <v>885.29</v>
      </c>
    </row>
    <row r="13864" spans="1:8" customFormat="1" x14ac:dyDescent="0.25">
      <c r="A13864" t="str">
        <f>"5613058"</f>
        <v>5613058</v>
      </c>
      <c r="B13864" t="s">
        <v>6472</v>
      </c>
      <c r="C13864" t="s">
        <v>263</v>
      </c>
      <c r="D13864" s="21" t="s">
        <v>34</v>
      </c>
      <c r="E13864" s="21" t="s">
        <v>1089</v>
      </c>
      <c r="F13864">
        <v>3560005</v>
      </c>
      <c r="G13864" t="s">
        <v>2101</v>
      </c>
      <c r="H13864" s="21">
        <v>885.17</v>
      </c>
    </row>
    <row r="13865" spans="1:8" customFormat="1" x14ac:dyDescent="0.25">
      <c r="A13865" t="str">
        <f>"897510"</f>
        <v>897510</v>
      </c>
      <c r="B13865" t="s">
        <v>13101</v>
      </c>
      <c r="C13865" t="s">
        <v>151</v>
      </c>
      <c r="D13865" s="21" t="s">
        <v>34</v>
      </c>
      <c r="E13865" s="21" t="s">
        <v>71</v>
      </c>
      <c r="F13865">
        <v>2890058</v>
      </c>
      <c r="G13865" t="s">
        <v>13102</v>
      </c>
      <c r="H13865" s="21">
        <v>885.17</v>
      </c>
    </row>
    <row r="13866" spans="1:8" customFormat="1" x14ac:dyDescent="0.25">
      <c r="A13866" t="str">
        <f>"6214416"</f>
        <v>6214416</v>
      </c>
      <c r="B13866" t="s">
        <v>11838</v>
      </c>
      <c r="C13866" t="s">
        <v>109</v>
      </c>
      <c r="D13866" s="21" t="s">
        <v>34</v>
      </c>
      <c r="E13866" s="21" t="s">
        <v>35</v>
      </c>
      <c r="F13866">
        <v>7620018</v>
      </c>
      <c r="G13866" t="s">
        <v>6568</v>
      </c>
      <c r="H13866" s="21">
        <v>885.17</v>
      </c>
    </row>
    <row r="13867" spans="1:8" customFormat="1" x14ac:dyDescent="0.25">
      <c r="A13867" t="str">
        <f>"291709"</f>
        <v>291709</v>
      </c>
      <c r="B13867" t="s">
        <v>10906</v>
      </c>
      <c r="C13867" t="s">
        <v>10907</v>
      </c>
      <c r="D13867" s="21" t="s">
        <v>34</v>
      </c>
      <c r="E13867" s="21" t="s">
        <v>254</v>
      </c>
      <c r="F13867">
        <v>3290010</v>
      </c>
      <c r="G13867" t="s">
        <v>1453</v>
      </c>
      <c r="H13867" s="21">
        <v>885.17</v>
      </c>
    </row>
    <row r="13868" spans="1:8" customFormat="1" x14ac:dyDescent="0.25">
      <c r="A13868" t="str">
        <f>"043534"</f>
        <v>043534</v>
      </c>
      <c r="B13868" t="s">
        <v>7016</v>
      </c>
      <c r="C13868" t="s">
        <v>246</v>
      </c>
      <c r="D13868" s="21" t="s">
        <v>34</v>
      </c>
      <c r="E13868" s="21" t="s">
        <v>71</v>
      </c>
      <c r="F13868">
        <v>13040005</v>
      </c>
      <c r="G13868" t="s">
        <v>7115</v>
      </c>
      <c r="H13868" s="21">
        <v>885.17</v>
      </c>
    </row>
    <row r="13869" spans="1:8" customFormat="1" x14ac:dyDescent="0.25">
      <c r="A13869" t="str">
        <f>"932805"</f>
        <v>932805</v>
      </c>
      <c r="B13869" t="s">
        <v>1501</v>
      </c>
      <c r="C13869" t="s">
        <v>269</v>
      </c>
      <c r="D13869" s="21" t="s">
        <v>34</v>
      </c>
      <c r="E13869" s="21" t="s">
        <v>71</v>
      </c>
      <c r="F13869">
        <v>8930003</v>
      </c>
      <c r="G13869" t="s">
        <v>13083</v>
      </c>
      <c r="H13869" s="21">
        <v>885.17</v>
      </c>
    </row>
    <row r="13870" spans="1:8" customFormat="1" x14ac:dyDescent="0.25">
      <c r="A13870" t="str">
        <f>"3532455"</f>
        <v>3532455</v>
      </c>
      <c r="B13870" t="s">
        <v>474</v>
      </c>
      <c r="C13870" t="s">
        <v>65</v>
      </c>
      <c r="D13870" s="21" t="s">
        <v>34</v>
      </c>
      <c r="E13870" s="21" t="s">
        <v>35</v>
      </c>
      <c r="F13870">
        <v>3350183</v>
      </c>
      <c r="G13870" t="s">
        <v>2572</v>
      </c>
      <c r="H13870" s="21">
        <v>885.17</v>
      </c>
    </row>
    <row r="13871" spans="1:8" customFormat="1" x14ac:dyDescent="0.25">
      <c r="A13871" t="str">
        <f>"147390"</f>
        <v>147390</v>
      </c>
      <c r="B13871" t="s">
        <v>13140</v>
      </c>
      <c r="C13871" t="s">
        <v>267</v>
      </c>
      <c r="D13871" s="21" t="s">
        <v>34</v>
      </c>
      <c r="E13871" s="21" t="s">
        <v>1089</v>
      </c>
      <c r="F13871">
        <v>9140019</v>
      </c>
      <c r="G13871" t="s">
        <v>3901</v>
      </c>
      <c r="H13871" s="21">
        <v>885.17</v>
      </c>
    </row>
    <row r="13872" spans="1:8" customFormat="1" x14ac:dyDescent="0.25">
      <c r="A13872" t="str">
        <f>"3516213"</f>
        <v>3516213</v>
      </c>
      <c r="B13872" t="s">
        <v>5431</v>
      </c>
      <c r="C13872" t="s">
        <v>87</v>
      </c>
      <c r="D13872" s="21" t="s">
        <v>34</v>
      </c>
      <c r="E13872" s="21" t="s">
        <v>71</v>
      </c>
      <c r="F13872">
        <v>3350092</v>
      </c>
      <c r="G13872" t="s">
        <v>26881</v>
      </c>
      <c r="H13872" s="21">
        <v>885.17</v>
      </c>
    </row>
    <row r="13873" spans="1:8" customFormat="1" x14ac:dyDescent="0.25">
      <c r="A13873" t="str">
        <f>"7414511"</f>
        <v>7414511</v>
      </c>
      <c r="B13873" t="s">
        <v>13914</v>
      </c>
      <c r="C13873" t="s">
        <v>484</v>
      </c>
      <c r="D13873" s="21" t="s">
        <v>34</v>
      </c>
      <c r="E13873" s="21" t="s">
        <v>35</v>
      </c>
      <c r="F13873">
        <v>1740069</v>
      </c>
      <c r="G13873" t="s">
        <v>8151</v>
      </c>
      <c r="H13873" s="21">
        <v>885.17</v>
      </c>
    </row>
    <row r="13874" spans="1:8" customFormat="1" x14ac:dyDescent="0.25">
      <c r="A13874" t="str">
        <f>"823101"</f>
        <v>823101</v>
      </c>
      <c r="B13874" t="s">
        <v>27317</v>
      </c>
      <c r="C13874" t="s">
        <v>812</v>
      </c>
      <c r="D13874" s="21" t="s">
        <v>34</v>
      </c>
      <c r="E13874" s="21" t="s">
        <v>35</v>
      </c>
      <c r="F13874">
        <v>11820007</v>
      </c>
      <c r="G13874" t="s">
        <v>532</v>
      </c>
      <c r="H13874" s="21">
        <v>885.17</v>
      </c>
    </row>
    <row r="13875" spans="1:8" customFormat="1" x14ac:dyDescent="0.25">
      <c r="A13875" t="str">
        <f>"518746"</f>
        <v>518746</v>
      </c>
      <c r="B13875" t="s">
        <v>1547</v>
      </c>
      <c r="C13875" t="s">
        <v>1605</v>
      </c>
      <c r="D13875" s="21" t="s">
        <v>34</v>
      </c>
      <c r="E13875" s="21" t="s">
        <v>254</v>
      </c>
      <c r="F13875">
        <v>6510040</v>
      </c>
      <c r="G13875" t="s">
        <v>9113</v>
      </c>
      <c r="H13875" s="21">
        <v>885.17</v>
      </c>
    </row>
    <row r="13876" spans="1:8" customFormat="1" x14ac:dyDescent="0.25">
      <c r="A13876" t="str">
        <f>"8014899"</f>
        <v>8014899</v>
      </c>
      <c r="B13876" t="s">
        <v>27318</v>
      </c>
      <c r="C13876" t="s">
        <v>1474</v>
      </c>
      <c r="D13876" s="21" t="s">
        <v>34</v>
      </c>
      <c r="E13876" s="21" t="s">
        <v>35</v>
      </c>
      <c r="F13876">
        <v>7800011</v>
      </c>
      <c r="G13876" t="s">
        <v>2253</v>
      </c>
      <c r="H13876" s="21">
        <v>885.17</v>
      </c>
    </row>
    <row r="13877" spans="1:8" customFormat="1" x14ac:dyDescent="0.25">
      <c r="A13877" t="str">
        <f>"6212692"</f>
        <v>6212692</v>
      </c>
      <c r="B13877" t="s">
        <v>11731</v>
      </c>
      <c r="C13877" t="s">
        <v>90</v>
      </c>
      <c r="D13877" s="21" t="s">
        <v>34</v>
      </c>
      <c r="E13877" s="21" t="s">
        <v>71</v>
      </c>
      <c r="F13877">
        <v>7620176</v>
      </c>
      <c r="G13877" t="s">
        <v>3111</v>
      </c>
      <c r="H13877" s="21">
        <v>885.17</v>
      </c>
    </row>
    <row r="13878" spans="1:8" customFormat="1" x14ac:dyDescent="0.25">
      <c r="A13878" t="str">
        <f>"7717200"</f>
        <v>7717200</v>
      </c>
      <c r="B13878" t="s">
        <v>12906</v>
      </c>
      <c r="C13878" t="s">
        <v>147</v>
      </c>
      <c r="D13878" s="21" t="s">
        <v>34</v>
      </c>
      <c r="E13878" s="21" t="s">
        <v>71</v>
      </c>
      <c r="F13878">
        <v>8770865</v>
      </c>
      <c r="G13878" t="s">
        <v>1426</v>
      </c>
      <c r="H13878" s="21">
        <v>885.17</v>
      </c>
    </row>
    <row r="13879" spans="1:8" customFormat="1" x14ac:dyDescent="0.25">
      <c r="A13879" t="str">
        <f>"4113885"</f>
        <v>4113885</v>
      </c>
      <c r="B13879" t="s">
        <v>27319</v>
      </c>
      <c r="C13879" t="s">
        <v>60</v>
      </c>
      <c r="D13879" s="21" t="s">
        <v>34</v>
      </c>
      <c r="E13879" s="21" t="s">
        <v>35</v>
      </c>
      <c r="F13879">
        <v>4410594</v>
      </c>
      <c r="G13879" t="s">
        <v>10169</v>
      </c>
      <c r="H13879" s="21">
        <v>885.17</v>
      </c>
    </row>
    <row r="13880" spans="1:8" customFormat="1" x14ac:dyDescent="0.25">
      <c r="A13880" t="str">
        <f>"5924244"</f>
        <v>5924244</v>
      </c>
      <c r="B13880" t="s">
        <v>1087</v>
      </c>
      <c r="C13880" t="s">
        <v>55</v>
      </c>
      <c r="D13880" s="21" t="s">
        <v>34</v>
      </c>
      <c r="E13880" s="21" t="s">
        <v>254</v>
      </c>
      <c r="F13880">
        <v>7590068</v>
      </c>
      <c r="G13880" t="s">
        <v>1005</v>
      </c>
      <c r="H13880" s="21">
        <v>885.17</v>
      </c>
    </row>
    <row r="13881" spans="1:8" customFormat="1" x14ac:dyDescent="0.25">
      <c r="A13881" t="str">
        <f>"5949143"</f>
        <v>5949143</v>
      </c>
      <c r="B13881" t="s">
        <v>12323</v>
      </c>
      <c r="C13881" t="s">
        <v>239</v>
      </c>
      <c r="D13881" s="21" t="s">
        <v>34</v>
      </c>
      <c r="E13881" s="21" t="s">
        <v>35</v>
      </c>
      <c r="F13881">
        <v>7590046</v>
      </c>
      <c r="G13881" t="s">
        <v>12324</v>
      </c>
      <c r="H13881" s="21">
        <v>884.92</v>
      </c>
    </row>
    <row r="13882" spans="1:8" customFormat="1" x14ac:dyDescent="0.25">
      <c r="A13882" t="str">
        <f>"7838675"</f>
        <v>7838675</v>
      </c>
      <c r="B13882" t="s">
        <v>13764</v>
      </c>
      <c r="C13882" t="s">
        <v>4267</v>
      </c>
      <c r="D13882" s="21" t="s">
        <v>34</v>
      </c>
      <c r="E13882" s="21" t="s">
        <v>71</v>
      </c>
      <c r="F13882">
        <v>8780401</v>
      </c>
      <c r="G13882" t="s">
        <v>9116</v>
      </c>
      <c r="H13882" s="21">
        <v>884.92</v>
      </c>
    </row>
    <row r="13883" spans="1:8" customFormat="1" x14ac:dyDescent="0.25">
      <c r="A13883" t="str">
        <f>"9310651"</f>
        <v>9310651</v>
      </c>
      <c r="B13883" t="s">
        <v>7079</v>
      </c>
      <c r="C13883" t="s">
        <v>209</v>
      </c>
      <c r="D13883" s="21" t="s">
        <v>34</v>
      </c>
      <c r="E13883" s="21" t="s">
        <v>254</v>
      </c>
      <c r="F13883">
        <v>8920309</v>
      </c>
      <c r="G13883" t="s">
        <v>1894</v>
      </c>
      <c r="H13883" s="21">
        <v>884.79</v>
      </c>
    </row>
    <row r="13884" spans="1:8" customFormat="1" x14ac:dyDescent="0.25">
      <c r="A13884" t="str">
        <f>"2111930"</f>
        <v>2111930</v>
      </c>
      <c r="B13884" t="s">
        <v>16381</v>
      </c>
      <c r="C13884" t="s">
        <v>139</v>
      </c>
      <c r="D13884" s="21" t="s">
        <v>34</v>
      </c>
      <c r="E13884" s="21" t="s">
        <v>35</v>
      </c>
      <c r="F13884">
        <v>2210029</v>
      </c>
      <c r="G13884" t="s">
        <v>6983</v>
      </c>
      <c r="H13884" s="21">
        <v>884.67</v>
      </c>
    </row>
    <row r="13885" spans="1:8" customFormat="1" x14ac:dyDescent="0.25">
      <c r="A13885" t="str">
        <f>"7716519"</f>
        <v>7716519</v>
      </c>
      <c r="B13885" t="s">
        <v>12834</v>
      </c>
      <c r="C13885" t="s">
        <v>62</v>
      </c>
      <c r="D13885" s="21" t="s">
        <v>34</v>
      </c>
      <c r="E13885" s="21" t="s">
        <v>35</v>
      </c>
      <c r="F13885">
        <v>8771446</v>
      </c>
      <c r="G13885" t="s">
        <v>830</v>
      </c>
      <c r="H13885" s="21">
        <v>884.67</v>
      </c>
    </row>
    <row r="13886" spans="1:8" customFormat="1" x14ac:dyDescent="0.25">
      <c r="A13886" t="str">
        <f>"2925477"</f>
        <v>2925477</v>
      </c>
      <c r="B13886" t="s">
        <v>2690</v>
      </c>
      <c r="C13886" t="s">
        <v>7441</v>
      </c>
      <c r="D13886" s="21" t="s">
        <v>34</v>
      </c>
      <c r="E13886" s="21" t="s">
        <v>35</v>
      </c>
      <c r="F13886">
        <v>3290023</v>
      </c>
      <c r="G13886" t="s">
        <v>3883</v>
      </c>
      <c r="H13886" s="21">
        <v>884.67</v>
      </c>
    </row>
    <row r="13887" spans="1:8" customFormat="1" x14ac:dyDescent="0.25">
      <c r="A13887" t="str">
        <f>"7639159"</f>
        <v>7639159</v>
      </c>
      <c r="B13887" t="s">
        <v>13746</v>
      </c>
      <c r="C13887" t="s">
        <v>249</v>
      </c>
      <c r="D13887" s="21" t="s">
        <v>34</v>
      </c>
      <c r="E13887" s="21" t="s">
        <v>71</v>
      </c>
      <c r="F13887">
        <v>9760129</v>
      </c>
      <c r="G13887" t="s">
        <v>6147</v>
      </c>
      <c r="H13887" s="21">
        <v>884.67</v>
      </c>
    </row>
    <row r="13888" spans="1:8" customFormat="1" x14ac:dyDescent="0.25">
      <c r="A13888" t="str">
        <f>"9315434"</f>
        <v>9315434</v>
      </c>
      <c r="B13888" t="s">
        <v>11939</v>
      </c>
      <c r="C13888" t="s">
        <v>11940</v>
      </c>
      <c r="D13888" s="21" t="s">
        <v>34</v>
      </c>
      <c r="E13888" s="21" t="s">
        <v>71</v>
      </c>
      <c r="F13888">
        <v>8950481</v>
      </c>
      <c r="G13888" t="s">
        <v>1472</v>
      </c>
      <c r="H13888" s="21">
        <v>884.67</v>
      </c>
    </row>
    <row r="13889" spans="1:8" customFormat="1" x14ac:dyDescent="0.25">
      <c r="A13889" t="str">
        <f>"4917807"</f>
        <v>4917807</v>
      </c>
      <c r="B13889" t="s">
        <v>904</v>
      </c>
      <c r="C13889" t="s">
        <v>269</v>
      </c>
      <c r="D13889" s="21" t="s">
        <v>34</v>
      </c>
      <c r="E13889" s="21" t="s">
        <v>71</v>
      </c>
      <c r="F13889">
        <v>12490021</v>
      </c>
      <c r="G13889" t="s">
        <v>4592</v>
      </c>
      <c r="H13889" s="21">
        <v>884.67</v>
      </c>
    </row>
    <row r="13890" spans="1:8" customFormat="1" x14ac:dyDescent="0.25">
      <c r="A13890" t="str">
        <f>"4912229"</f>
        <v>4912229</v>
      </c>
      <c r="B13890" t="s">
        <v>1855</v>
      </c>
      <c r="C13890" t="s">
        <v>267</v>
      </c>
      <c r="D13890" s="21" t="s">
        <v>34</v>
      </c>
      <c r="E13890" s="21" t="s">
        <v>71</v>
      </c>
      <c r="F13890">
        <v>12490129</v>
      </c>
      <c r="G13890" t="s">
        <v>7607</v>
      </c>
      <c r="H13890" s="21">
        <v>884.67</v>
      </c>
    </row>
    <row r="13891" spans="1:8" customFormat="1" x14ac:dyDescent="0.25">
      <c r="A13891" t="str">
        <f>"317443"</f>
        <v>317443</v>
      </c>
      <c r="B13891" t="s">
        <v>12524</v>
      </c>
      <c r="C13891" t="s">
        <v>249</v>
      </c>
      <c r="D13891" s="21" t="s">
        <v>34</v>
      </c>
      <c r="E13891" s="21" t="s">
        <v>35</v>
      </c>
      <c r="F13891">
        <v>11310060</v>
      </c>
      <c r="G13891" t="s">
        <v>2448</v>
      </c>
      <c r="H13891" s="21">
        <v>884.67</v>
      </c>
    </row>
    <row r="13892" spans="1:8" customFormat="1" x14ac:dyDescent="0.25">
      <c r="A13892" t="str">
        <f>"5313028"</f>
        <v>5313028</v>
      </c>
      <c r="B13892" t="s">
        <v>12092</v>
      </c>
      <c r="C13892" t="s">
        <v>151</v>
      </c>
      <c r="D13892" s="21" t="s">
        <v>34</v>
      </c>
      <c r="E13892" s="21" t="s">
        <v>71</v>
      </c>
      <c r="F13892">
        <v>12530070</v>
      </c>
      <c r="G13892" t="s">
        <v>4905</v>
      </c>
      <c r="H13892" s="21">
        <v>884.67</v>
      </c>
    </row>
    <row r="13893" spans="1:8" customFormat="1" x14ac:dyDescent="0.25">
      <c r="A13893" t="str">
        <f>"9518116"</f>
        <v>9518116</v>
      </c>
      <c r="B13893" t="s">
        <v>8713</v>
      </c>
      <c r="C13893" t="s">
        <v>253</v>
      </c>
      <c r="D13893" s="21" t="s">
        <v>34</v>
      </c>
      <c r="E13893" s="21" t="s">
        <v>71</v>
      </c>
      <c r="F13893">
        <v>8951411</v>
      </c>
      <c r="G13893" t="s">
        <v>416</v>
      </c>
      <c r="H13893" s="21">
        <v>884.67</v>
      </c>
    </row>
    <row r="13894" spans="1:8" customFormat="1" x14ac:dyDescent="0.25">
      <c r="A13894" t="str">
        <f>"4928198"</f>
        <v>4928198</v>
      </c>
      <c r="B13894" t="s">
        <v>12897</v>
      </c>
      <c r="C13894" t="s">
        <v>60</v>
      </c>
      <c r="D13894" s="21" t="s">
        <v>34</v>
      </c>
      <c r="E13894" s="21" t="s">
        <v>35</v>
      </c>
      <c r="F13894">
        <v>12490127</v>
      </c>
      <c r="G13894" t="s">
        <v>4034</v>
      </c>
      <c r="H13894" s="21">
        <v>884.67</v>
      </c>
    </row>
    <row r="13895" spans="1:8" customFormat="1" x14ac:dyDescent="0.25">
      <c r="A13895" t="str">
        <f>"4211941"</f>
        <v>4211941</v>
      </c>
      <c r="B13895" t="s">
        <v>13962</v>
      </c>
      <c r="C13895" t="s">
        <v>267</v>
      </c>
      <c r="D13895" s="21" t="s">
        <v>34</v>
      </c>
      <c r="E13895" s="21" t="s">
        <v>71</v>
      </c>
      <c r="F13895">
        <v>1420080</v>
      </c>
      <c r="G13895" t="s">
        <v>10230</v>
      </c>
      <c r="H13895" s="21">
        <v>884.67</v>
      </c>
    </row>
    <row r="13896" spans="1:8" customFormat="1" x14ac:dyDescent="0.25">
      <c r="A13896" t="str">
        <f>"75429"</f>
        <v>75429</v>
      </c>
      <c r="B13896" t="s">
        <v>12625</v>
      </c>
      <c r="C13896" t="s">
        <v>12626</v>
      </c>
      <c r="D13896" s="21" t="s">
        <v>34</v>
      </c>
      <c r="E13896" s="21" t="s">
        <v>254</v>
      </c>
      <c r="F13896">
        <v>8750074</v>
      </c>
      <c r="G13896" t="s">
        <v>698</v>
      </c>
      <c r="H13896" s="21">
        <v>884.67</v>
      </c>
    </row>
    <row r="13897" spans="1:8" customFormat="1" x14ac:dyDescent="0.25">
      <c r="A13897" t="str">
        <f>"9112277"</f>
        <v>9112277</v>
      </c>
      <c r="B13897" t="s">
        <v>6225</v>
      </c>
      <c r="C13897" t="s">
        <v>209</v>
      </c>
      <c r="D13897" s="21" t="s">
        <v>34</v>
      </c>
      <c r="E13897" s="21" t="s">
        <v>71</v>
      </c>
      <c r="F13897">
        <v>8911368</v>
      </c>
      <c r="G13897" t="s">
        <v>12227</v>
      </c>
      <c r="H13897" s="21">
        <v>884.67</v>
      </c>
    </row>
    <row r="13898" spans="1:8" customFormat="1" x14ac:dyDescent="0.25">
      <c r="A13898" t="str">
        <f>"50953"</f>
        <v>50953</v>
      </c>
      <c r="B13898" t="s">
        <v>11348</v>
      </c>
      <c r="C13898" t="s">
        <v>55</v>
      </c>
      <c r="D13898" s="21" t="s">
        <v>34</v>
      </c>
      <c r="E13898" s="21" t="s">
        <v>71</v>
      </c>
      <c r="F13898">
        <v>9500046</v>
      </c>
      <c r="G13898" t="s">
        <v>11349</v>
      </c>
      <c r="H13898" s="21">
        <v>884.67</v>
      </c>
    </row>
    <row r="13899" spans="1:8" customFormat="1" x14ac:dyDescent="0.25">
      <c r="A13899" t="str">
        <f>"8523136"</f>
        <v>8523136</v>
      </c>
      <c r="B13899" t="s">
        <v>877</v>
      </c>
      <c r="C13899" t="s">
        <v>712</v>
      </c>
      <c r="D13899" s="21" t="s">
        <v>34</v>
      </c>
      <c r="E13899" s="21" t="s">
        <v>35</v>
      </c>
      <c r="F13899">
        <v>12850032</v>
      </c>
      <c r="G13899" t="s">
        <v>6589</v>
      </c>
      <c r="H13899" s="21">
        <v>884.67</v>
      </c>
    </row>
    <row r="13900" spans="1:8" customFormat="1" x14ac:dyDescent="0.25">
      <c r="A13900" t="str">
        <f>"676352"</f>
        <v>676352</v>
      </c>
      <c r="B13900" t="s">
        <v>3392</v>
      </c>
      <c r="C13900" t="s">
        <v>55</v>
      </c>
      <c r="D13900" s="21" t="s">
        <v>34</v>
      </c>
      <c r="E13900" s="21" t="s">
        <v>71</v>
      </c>
      <c r="F13900">
        <v>6670207</v>
      </c>
      <c r="G13900" t="s">
        <v>5419</v>
      </c>
      <c r="H13900" s="21">
        <v>884.67</v>
      </c>
    </row>
    <row r="13901" spans="1:8" customFormat="1" x14ac:dyDescent="0.25">
      <c r="A13901" t="str">
        <f>"3414101"</f>
        <v>3414101</v>
      </c>
      <c r="B13901" t="s">
        <v>12295</v>
      </c>
      <c r="C13901" t="s">
        <v>12296</v>
      </c>
      <c r="D13901" s="21" t="s">
        <v>34</v>
      </c>
      <c r="E13901" s="21" t="s">
        <v>1089</v>
      </c>
      <c r="F13901">
        <v>11120004</v>
      </c>
      <c r="G13901" t="s">
        <v>2311</v>
      </c>
      <c r="H13901" s="21">
        <v>884.67</v>
      </c>
    </row>
    <row r="13902" spans="1:8" customFormat="1" x14ac:dyDescent="0.25">
      <c r="A13902" t="str">
        <f>"493616"</f>
        <v>493616</v>
      </c>
      <c r="B13902" t="s">
        <v>12222</v>
      </c>
      <c r="C13902" t="s">
        <v>3073</v>
      </c>
      <c r="D13902" s="21" t="s">
        <v>34</v>
      </c>
      <c r="E13902" s="21" t="s">
        <v>71</v>
      </c>
      <c r="F13902">
        <v>12490073</v>
      </c>
      <c r="G13902" t="s">
        <v>296</v>
      </c>
      <c r="H13902" s="21">
        <v>884.67</v>
      </c>
    </row>
    <row r="13903" spans="1:8" customFormat="1" x14ac:dyDescent="0.25">
      <c r="A13903" t="str">
        <f>"3419887"</f>
        <v>3419887</v>
      </c>
      <c r="B13903" t="s">
        <v>13473</v>
      </c>
      <c r="C13903" t="s">
        <v>415</v>
      </c>
      <c r="D13903" s="21" t="s">
        <v>34</v>
      </c>
      <c r="E13903" s="21" t="s">
        <v>35</v>
      </c>
      <c r="F13903">
        <v>11340076</v>
      </c>
      <c r="G13903" t="s">
        <v>26665</v>
      </c>
      <c r="H13903" s="21">
        <v>884.67</v>
      </c>
    </row>
    <row r="13904" spans="1:8" customFormat="1" x14ac:dyDescent="0.25">
      <c r="A13904" t="str">
        <f>"9126428"</f>
        <v>9126428</v>
      </c>
      <c r="B13904" t="s">
        <v>27320</v>
      </c>
      <c r="C13904" t="s">
        <v>3574</v>
      </c>
      <c r="D13904" s="21" t="s">
        <v>34</v>
      </c>
      <c r="E13904" s="21" t="s">
        <v>35</v>
      </c>
      <c r="F13904">
        <v>8751231</v>
      </c>
      <c r="G13904" t="s">
        <v>12843</v>
      </c>
      <c r="H13904" s="21">
        <v>884.67</v>
      </c>
    </row>
    <row r="13905" spans="1:8" customFormat="1" x14ac:dyDescent="0.25">
      <c r="A13905" t="str">
        <f>"718048"</f>
        <v>718048</v>
      </c>
      <c r="B13905" t="s">
        <v>11597</v>
      </c>
      <c r="C13905" t="s">
        <v>293</v>
      </c>
      <c r="D13905" s="21" t="s">
        <v>34</v>
      </c>
      <c r="E13905" s="21" t="s">
        <v>71</v>
      </c>
      <c r="F13905">
        <v>2710048</v>
      </c>
      <c r="G13905" t="s">
        <v>2225</v>
      </c>
      <c r="H13905" s="21">
        <v>884.42</v>
      </c>
    </row>
    <row r="13906" spans="1:8" customFormat="1" x14ac:dyDescent="0.25">
      <c r="A13906" t="str">
        <f>"6938124"</f>
        <v>6938124</v>
      </c>
      <c r="B13906" t="s">
        <v>13220</v>
      </c>
      <c r="C13906" t="s">
        <v>11775</v>
      </c>
      <c r="D13906" s="21" t="s">
        <v>34</v>
      </c>
      <c r="E13906" s="21" t="s">
        <v>35</v>
      </c>
      <c r="F13906">
        <v>1690194</v>
      </c>
      <c r="G13906" t="s">
        <v>5285</v>
      </c>
      <c r="H13906" s="21">
        <v>884.42</v>
      </c>
    </row>
    <row r="13907" spans="1:8" customFormat="1" x14ac:dyDescent="0.25">
      <c r="A13907" t="str">
        <f>"541303"</f>
        <v>541303</v>
      </c>
      <c r="B13907" t="s">
        <v>3140</v>
      </c>
      <c r="C13907" t="s">
        <v>1271</v>
      </c>
      <c r="D13907" s="21" t="s">
        <v>34</v>
      </c>
      <c r="E13907" s="21" t="s">
        <v>254</v>
      </c>
      <c r="F13907">
        <v>6540088</v>
      </c>
      <c r="G13907" t="s">
        <v>2108</v>
      </c>
      <c r="H13907" s="21">
        <v>884.17</v>
      </c>
    </row>
    <row r="13908" spans="1:8" customFormat="1" x14ac:dyDescent="0.25">
      <c r="A13908" t="str">
        <f>"547333"</f>
        <v>547333</v>
      </c>
      <c r="B13908" t="s">
        <v>14560</v>
      </c>
      <c r="C13908" t="s">
        <v>598</v>
      </c>
      <c r="D13908" s="21" t="s">
        <v>34</v>
      </c>
      <c r="E13908" s="21" t="s">
        <v>254</v>
      </c>
      <c r="F13908">
        <v>6540014</v>
      </c>
      <c r="G13908" t="s">
        <v>1483</v>
      </c>
      <c r="H13908" s="21">
        <v>884.17</v>
      </c>
    </row>
    <row r="13909" spans="1:8" customFormat="1" x14ac:dyDescent="0.25">
      <c r="A13909" t="str">
        <f>"534638"</f>
        <v>534638</v>
      </c>
      <c r="B13909" t="s">
        <v>6454</v>
      </c>
      <c r="C13909" t="s">
        <v>11062</v>
      </c>
      <c r="D13909" s="21" t="s">
        <v>34</v>
      </c>
      <c r="E13909" s="21" t="s">
        <v>254</v>
      </c>
      <c r="F13909">
        <v>12530022</v>
      </c>
      <c r="G13909" t="s">
        <v>914</v>
      </c>
      <c r="H13909" s="21">
        <v>884.17</v>
      </c>
    </row>
    <row r="13910" spans="1:8" customFormat="1" x14ac:dyDescent="0.25">
      <c r="A13910" t="str">
        <f>"2922901"</f>
        <v>2922901</v>
      </c>
      <c r="B13910" t="s">
        <v>21959</v>
      </c>
      <c r="C13910" t="s">
        <v>249</v>
      </c>
      <c r="D13910" s="21" t="s">
        <v>34</v>
      </c>
      <c r="E13910" s="21" t="s">
        <v>35</v>
      </c>
      <c r="F13910">
        <v>3290280</v>
      </c>
      <c r="G13910" t="s">
        <v>4913</v>
      </c>
      <c r="H13910" s="21">
        <v>884.17</v>
      </c>
    </row>
    <row r="13911" spans="1:8" customFormat="1" x14ac:dyDescent="0.25">
      <c r="A13911" t="str">
        <f>"59702"</f>
        <v>59702</v>
      </c>
      <c r="B13911" t="s">
        <v>760</v>
      </c>
      <c r="C13911" t="s">
        <v>428</v>
      </c>
      <c r="D13911" s="21" t="s">
        <v>34</v>
      </c>
      <c r="E13911" s="21" t="s">
        <v>1089</v>
      </c>
      <c r="F13911">
        <v>7590177</v>
      </c>
      <c r="G13911" t="s">
        <v>10380</v>
      </c>
      <c r="H13911" s="21">
        <v>884.17</v>
      </c>
    </row>
    <row r="13912" spans="1:8" customFormat="1" x14ac:dyDescent="0.25">
      <c r="A13912" t="str">
        <f>"50264"</f>
        <v>50264</v>
      </c>
      <c r="B13912" t="s">
        <v>10197</v>
      </c>
      <c r="C13912" t="s">
        <v>1803</v>
      </c>
      <c r="D13912" s="21" t="s">
        <v>34</v>
      </c>
      <c r="E13912" s="21" t="s">
        <v>35</v>
      </c>
      <c r="F13912">
        <v>9500022</v>
      </c>
      <c r="G13912" t="s">
        <v>4324</v>
      </c>
      <c r="H13912" s="21">
        <v>884.17</v>
      </c>
    </row>
    <row r="13913" spans="1:8" customFormat="1" x14ac:dyDescent="0.25">
      <c r="A13913" t="str">
        <f>"5423313"</f>
        <v>5423313</v>
      </c>
      <c r="B13913" t="s">
        <v>1607</v>
      </c>
      <c r="C13913" t="s">
        <v>263</v>
      </c>
      <c r="D13913" s="21" t="s">
        <v>34</v>
      </c>
      <c r="E13913" s="21" t="s">
        <v>71</v>
      </c>
      <c r="F13913">
        <v>6540192</v>
      </c>
      <c r="G13913" t="s">
        <v>3644</v>
      </c>
      <c r="H13913" s="21">
        <v>884.17</v>
      </c>
    </row>
    <row r="13914" spans="1:8" customFormat="1" x14ac:dyDescent="0.25">
      <c r="A13914" t="str">
        <f>"9527303"</f>
        <v>9527303</v>
      </c>
      <c r="B13914" t="s">
        <v>9821</v>
      </c>
      <c r="C13914" t="s">
        <v>33</v>
      </c>
      <c r="D13914" s="21" t="s">
        <v>34</v>
      </c>
      <c r="E13914" s="21" t="s">
        <v>35</v>
      </c>
      <c r="F13914">
        <v>8950348</v>
      </c>
      <c r="G13914" t="s">
        <v>491</v>
      </c>
      <c r="H13914" s="21">
        <v>884.17</v>
      </c>
    </row>
    <row r="13915" spans="1:8" customFormat="1" x14ac:dyDescent="0.25">
      <c r="A13915" t="str">
        <f>"4515707"</f>
        <v>4515707</v>
      </c>
      <c r="B13915" t="s">
        <v>2403</v>
      </c>
      <c r="C13915" t="s">
        <v>867</v>
      </c>
      <c r="D13915" s="21" t="s">
        <v>34</v>
      </c>
      <c r="E13915" s="21" t="s">
        <v>35</v>
      </c>
      <c r="F13915">
        <v>9140167</v>
      </c>
      <c r="G13915" t="s">
        <v>5116</v>
      </c>
      <c r="H13915" s="21">
        <v>884.17</v>
      </c>
    </row>
    <row r="13916" spans="1:8" customFormat="1" x14ac:dyDescent="0.25">
      <c r="A13916" t="str">
        <f>"641498"</f>
        <v>641498</v>
      </c>
      <c r="B13916" t="s">
        <v>12390</v>
      </c>
      <c r="C13916" t="s">
        <v>817</v>
      </c>
      <c r="D13916" s="21" t="s">
        <v>34</v>
      </c>
      <c r="E13916" s="21" t="s">
        <v>71</v>
      </c>
      <c r="F13916">
        <v>10640014</v>
      </c>
      <c r="G13916" t="s">
        <v>3327</v>
      </c>
      <c r="H13916" s="21">
        <v>884.17</v>
      </c>
    </row>
    <row r="13917" spans="1:8" customFormat="1" x14ac:dyDescent="0.25">
      <c r="A13917" t="str">
        <f>"441818"</f>
        <v>441818</v>
      </c>
      <c r="B13917" t="s">
        <v>9340</v>
      </c>
      <c r="C13917" t="s">
        <v>822</v>
      </c>
      <c r="D13917" s="21" t="s">
        <v>34</v>
      </c>
      <c r="E13917" s="21" t="s">
        <v>1089</v>
      </c>
      <c r="F13917">
        <v>12440056</v>
      </c>
      <c r="G13917" t="s">
        <v>2037</v>
      </c>
      <c r="H13917" s="21">
        <v>884.17</v>
      </c>
    </row>
    <row r="13918" spans="1:8" customFormat="1" x14ac:dyDescent="0.25">
      <c r="A13918" t="str">
        <f>"3114792"</f>
        <v>3114792</v>
      </c>
      <c r="B13918" t="s">
        <v>3848</v>
      </c>
      <c r="C13918" t="s">
        <v>1025</v>
      </c>
      <c r="D13918" s="21" t="s">
        <v>34</v>
      </c>
      <c r="E13918" s="21" t="s">
        <v>71</v>
      </c>
      <c r="F13918">
        <v>11310006</v>
      </c>
      <c r="G13918" t="s">
        <v>419</v>
      </c>
      <c r="H13918" s="21">
        <v>884.17</v>
      </c>
    </row>
    <row r="13919" spans="1:8" customFormat="1" x14ac:dyDescent="0.25">
      <c r="A13919" t="str">
        <f>"7513597"</f>
        <v>7513597</v>
      </c>
      <c r="B13919" t="s">
        <v>12921</v>
      </c>
      <c r="C13919" t="s">
        <v>65</v>
      </c>
      <c r="D13919" s="21" t="s">
        <v>34</v>
      </c>
      <c r="E13919" s="21" t="s">
        <v>35</v>
      </c>
      <c r="F13919">
        <v>8751124</v>
      </c>
      <c r="G13919" t="s">
        <v>1481</v>
      </c>
      <c r="H13919" s="21">
        <v>884.04</v>
      </c>
    </row>
    <row r="13920" spans="1:8" customFormat="1" x14ac:dyDescent="0.25">
      <c r="A13920" t="str">
        <f>"508866"</f>
        <v>508866</v>
      </c>
      <c r="B13920" t="s">
        <v>11168</v>
      </c>
      <c r="C13920" t="s">
        <v>209</v>
      </c>
      <c r="D13920" s="21" t="s">
        <v>34</v>
      </c>
      <c r="E13920" s="21" t="s">
        <v>71</v>
      </c>
      <c r="F13920">
        <v>9500015</v>
      </c>
      <c r="G13920" t="s">
        <v>3389</v>
      </c>
      <c r="H13920" s="21">
        <v>883.92</v>
      </c>
    </row>
    <row r="13921" spans="1:8" customFormat="1" x14ac:dyDescent="0.25">
      <c r="A13921" t="str">
        <f>"9130514"</f>
        <v>9130514</v>
      </c>
      <c r="B13921" t="s">
        <v>12164</v>
      </c>
      <c r="C13921" t="s">
        <v>412</v>
      </c>
      <c r="D13921" s="21" t="s">
        <v>34</v>
      </c>
      <c r="E13921" s="21" t="s">
        <v>71</v>
      </c>
      <c r="F13921">
        <v>8910881</v>
      </c>
      <c r="G13921" t="s">
        <v>1300</v>
      </c>
      <c r="H13921" s="21">
        <v>883.92</v>
      </c>
    </row>
    <row r="13922" spans="1:8" customFormat="1" x14ac:dyDescent="0.25">
      <c r="A13922" t="str">
        <f>"365648"</f>
        <v>365648</v>
      </c>
      <c r="B13922" t="s">
        <v>15069</v>
      </c>
      <c r="C13922" t="s">
        <v>260</v>
      </c>
      <c r="D13922" s="21" t="s">
        <v>34</v>
      </c>
      <c r="E13922" s="21" t="s">
        <v>35</v>
      </c>
      <c r="F13922">
        <v>4360005</v>
      </c>
      <c r="G13922" t="s">
        <v>11227</v>
      </c>
      <c r="H13922" s="21">
        <v>883.92</v>
      </c>
    </row>
    <row r="13923" spans="1:8" customFormat="1" x14ac:dyDescent="0.25">
      <c r="A13923" t="str">
        <f>"346935"</f>
        <v>346935</v>
      </c>
      <c r="B13923" t="s">
        <v>1347</v>
      </c>
      <c r="C13923" t="s">
        <v>82</v>
      </c>
      <c r="D13923" s="21" t="s">
        <v>34</v>
      </c>
      <c r="E13923" s="21" t="s">
        <v>35</v>
      </c>
      <c r="F13923">
        <v>8780585</v>
      </c>
      <c r="G13923" t="s">
        <v>4630</v>
      </c>
      <c r="H13923" s="21">
        <v>883.79</v>
      </c>
    </row>
    <row r="13924" spans="1:8" customFormat="1" x14ac:dyDescent="0.25">
      <c r="A13924" t="str">
        <f>"2932584"</f>
        <v>2932584</v>
      </c>
      <c r="B13924" t="s">
        <v>1531</v>
      </c>
      <c r="C13924" t="s">
        <v>204</v>
      </c>
      <c r="D13924" s="21" t="s">
        <v>34</v>
      </c>
      <c r="E13924" s="21" t="s">
        <v>35</v>
      </c>
      <c r="F13924">
        <v>3290006</v>
      </c>
      <c r="G13924" t="s">
        <v>13009</v>
      </c>
      <c r="H13924" s="21">
        <v>883.79</v>
      </c>
    </row>
    <row r="13925" spans="1:8" customFormat="1" x14ac:dyDescent="0.25">
      <c r="A13925" t="str">
        <f>"1412905"</f>
        <v>1412905</v>
      </c>
      <c r="B13925" t="s">
        <v>12698</v>
      </c>
      <c r="C13925" t="s">
        <v>253</v>
      </c>
      <c r="D13925" s="21" t="s">
        <v>34</v>
      </c>
      <c r="E13925" s="21" t="s">
        <v>254</v>
      </c>
      <c r="F13925">
        <v>9140235</v>
      </c>
      <c r="G13925" t="s">
        <v>165</v>
      </c>
      <c r="H13925" s="21">
        <v>883.67</v>
      </c>
    </row>
    <row r="13926" spans="1:8" customFormat="1" x14ac:dyDescent="0.25">
      <c r="A13926" t="str">
        <f>"625122"</f>
        <v>625122</v>
      </c>
      <c r="B13926" t="s">
        <v>4014</v>
      </c>
      <c r="C13926" t="s">
        <v>204</v>
      </c>
      <c r="D13926" s="21" t="s">
        <v>34</v>
      </c>
      <c r="E13926" s="21" t="s">
        <v>71</v>
      </c>
      <c r="F13926">
        <v>7620051</v>
      </c>
      <c r="G13926" t="s">
        <v>2741</v>
      </c>
      <c r="H13926" s="21">
        <v>883.67</v>
      </c>
    </row>
    <row r="13927" spans="1:8" customFormat="1" x14ac:dyDescent="0.25">
      <c r="A13927" t="str">
        <f>"545008"</f>
        <v>545008</v>
      </c>
      <c r="B13927" t="s">
        <v>4834</v>
      </c>
      <c r="C13927" t="s">
        <v>55</v>
      </c>
      <c r="D13927" s="21" t="s">
        <v>34</v>
      </c>
      <c r="E13927" s="21" t="s">
        <v>35</v>
      </c>
      <c r="F13927">
        <v>6540010</v>
      </c>
      <c r="G13927" t="s">
        <v>7832</v>
      </c>
      <c r="H13927" s="21">
        <v>883.67</v>
      </c>
    </row>
    <row r="13928" spans="1:8" customFormat="1" x14ac:dyDescent="0.25">
      <c r="A13928" t="str">
        <f>"2935319"</f>
        <v>2935319</v>
      </c>
      <c r="B13928" t="s">
        <v>4024</v>
      </c>
      <c r="C13928" t="s">
        <v>124</v>
      </c>
      <c r="D13928" s="21" t="s">
        <v>34</v>
      </c>
      <c r="E13928" s="21" t="s">
        <v>35</v>
      </c>
      <c r="F13928">
        <v>3290215</v>
      </c>
      <c r="G13928" t="s">
        <v>5058</v>
      </c>
      <c r="H13928" s="21">
        <v>883.67</v>
      </c>
    </row>
    <row r="13929" spans="1:8" customFormat="1" x14ac:dyDescent="0.25">
      <c r="A13929" t="str">
        <f>"59982"</f>
        <v>59982</v>
      </c>
      <c r="B13929" t="s">
        <v>12246</v>
      </c>
      <c r="C13929" t="s">
        <v>40</v>
      </c>
      <c r="D13929" s="21" t="s">
        <v>34</v>
      </c>
      <c r="E13929" s="21" t="s">
        <v>254</v>
      </c>
      <c r="F13929">
        <v>7590065</v>
      </c>
      <c r="G13929" t="s">
        <v>1598</v>
      </c>
      <c r="H13929" s="21">
        <v>883.67</v>
      </c>
    </row>
    <row r="13930" spans="1:8" customFormat="1" x14ac:dyDescent="0.25">
      <c r="A13930" t="str">
        <f>"905914"</f>
        <v>905914</v>
      </c>
      <c r="B13930" t="s">
        <v>6338</v>
      </c>
      <c r="C13930" t="s">
        <v>204</v>
      </c>
      <c r="D13930" s="21" t="s">
        <v>34</v>
      </c>
      <c r="E13930" s="21" t="s">
        <v>35</v>
      </c>
      <c r="F13930">
        <v>2900003</v>
      </c>
      <c r="G13930" t="s">
        <v>1742</v>
      </c>
      <c r="H13930" s="21">
        <v>883.67</v>
      </c>
    </row>
    <row r="13931" spans="1:8" customFormat="1" x14ac:dyDescent="0.25">
      <c r="A13931" t="str">
        <f>"7714190"</f>
        <v>7714190</v>
      </c>
      <c r="B13931" t="s">
        <v>14981</v>
      </c>
      <c r="C13931" t="s">
        <v>1146</v>
      </c>
      <c r="D13931" s="21" t="s">
        <v>34</v>
      </c>
      <c r="E13931" s="21" t="s">
        <v>71</v>
      </c>
      <c r="F13931">
        <v>8770937</v>
      </c>
      <c r="G13931" t="s">
        <v>2119</v>
      </c>
      <c r="H13931" s="21">
        <v>883.67</v>
      </c>
    </row>
    <row r="13932" spans="1:8" customFormat="1" x14ac:dyDescent="0.25">
      <c r="A13932" t="str">
        <f>"582725"</f>
        <v>582725</v>
      </c>
      <c r="B13932" t="s">
        <v>13094</v>
      </c>
      <c r="C13932" t="s">
        <v>233</v>
      </c>
      <c r="D13932" s="21" t="s">
        <v>34</v>
      </c>
      <c r="E13932" s="21" t="s">
        <v>1089</v>
      </c>
      <c r="F13932">
        <v>2580012</v>
      </c>
      <c r="G13932" t="s">
        <v>1144</v>
      </c>
      <c r="H13932" s="21">
        <v>883.67</v>
      </c>
    </row>
    <row r="13933" spans="1:8" customFormat="1" x14ac:dyDescent="0.25">
      <c r="A13933" t="str">
        <f>"2712078"</f>
        <v>2712078</v>
      </c>
      <c r="B13933" t="s">
        <v>11027</v>
      </c>
      <c r="C13933" t="s">
        <v>65</v>
      </c>
      <c r="D13933" s="21" t="s">
        <v>34</v>
      </c>
      <c r="E13933" s="21" t="s">
        <v>35</v>
      </c>
      <c r="F13933">
        <v>9270006</v>
      </c>
      <c r="G13933" t="s">
        <v>780</v>
      </c>
      <c r="H13933" s="21">
        <v>883.67</v>
      </c>
    </row>
    <row r="13934" spans="1:8" customFormat="1" x14ac:dyDescent="0.25">
      <c r="A13934" t="str">
        <f>"848335"</f>
        <v>848335</v>
      </c>
      <c r="B13934" t="s">
        <v>17829</v>
      </c>
      <c r="C13934" t="s">
        <v>576</v>
      </c>
      <c r="D13934" s="21" t="s">
        <v>34</v>
      </c>
      <c r="E13934" s="21" t="s">
        <v>35</v>
      </c>
      <c r="F13934">
        <v>13840037</v>
      </c>
      <c r="G13934" t="s">
        <v>2019</v>
      </c>
      <c r="H13934" s="21">
        <v>883.67</v>
      </c>
    </row>
    <row r="13935" spans="1:8" customFormat="1" x14ac:dyDescent="0.25">
      <c r="A13935" t="str">
        <f>"836614"</f>
        <v>836614</v>
      </c>
      <c r="B13935" t="s">
        <v>12727</v>
      </c>
      <c r="C13935" t="s">
        <v>2529</v>
      </c>
      <c r="D13935" s="21" t="s">
        <v>34</v>
      </c>
      <c r="E13935" s="21" t="s">
        <v>71</v>
      </c>
      <c r="F13935">
        <v>6670149</v>
      </c>
      <c r="G13935" t="s">
        <v>4404</v>
      </c>
      <c r="H13935" s="21">
        <v>883.67</v>
      </c>
    </row>
    <row r="13936" spans="1:8" customFormat="1" x14ac:dyDescent="0.25">
      <c r="A13936" t="str">
        <f>"9218475"</f>
        <v>9218475</v>
      </c>
      <c r="B13936" t="s">
        <v>10539</v>
      </c>
      <c r="C13936" t="s">
        <v>1446</v>
      </c>
      <c r="D13936" s="21" t="s">
        <v>34</v>
      </c>
      <c r="E13936" s="21" t="s">
        <v>71</v>
      </c>
      <c r="F13936">
        <v>8920211</v>
      </c>
      <c r="G13936" t="s">
        <v>13258</v>
      </c>
      <c r="H13936" s="21">
        <v>883.67</v>
      </c>
    </row>
    <row r="13937" spans="1:8" customFormat="1" x14ac:dyDescent="0.25">
      <c r="A13937" t="str">
        <f>"2924266"</f>
        <v>2924266</v>
      </c>
      <c r="B13937" t="s">
        <v>3890</v>
      </c>
      <c r="C13937" t="s">
        <v>139</v>
      </c>
      <c r="D13937" s="21" t="s">
        <v>34</v>
      </c>
      <c r="E13937" s="21" t="s">
        <v>35</v>
      </c>
      <c r="F13937">
        <v>3290024</v>
      </c>
      <c r="G13937" t="s">
        <v>5690</v>
      </c>
      <c r="H13937" s="21">
        <v>883.67</v>
      </c>
    </row>
    <row r="13938" spans="1:8" customFormat="1" x14ac:dyDescent="0.25">
      <c r="A13938" t="str">
        <f>"4428433"</f>
        <v>4428433</v>
      </c>
      <c r="B13938" t="s">
        <v>11658</v>
      </c>
      <c r="C13938" t="s">
        <v>249</v>
      </c>
      <c r="D13938" s="21" t="s">
        <v>34</v>
      </c>
      <c r="E13938" s="21" t="s">
        <v>71</v>
      </c>
      <c r="F13938">
        <v>12440020</v>
      </c>
      <c r="G13938" t="s">
        <v>4606</v>
      </c>
      <c r="H13938" s="21">
        <v>883.67</v>
      </c>
    </row>
    <row r="13939" spans="1:8" customFormat="1" x14ac:dyDescent="0.25">
      <c r="A13939" t="str">
        <f>"6019300"</f>
        <v>6019300</v>
      </c>
      <c r="B13939" t="s">
        <v>11833</v>
      </c>
      <c r="C13939" t="s">
        <v>187</v>
      </c>
      <c r="D13939" s="21" t="s">
        <v>34</v>
      </c>
      <c r="E13939" s="21" t="s">
        <v>35</v>
      </c>
      <c r="F13939">
        <v>7600063</v>
      </c>
      <c r="G13939" t="s">
        <v>2506</v>
      </c>
      <c r="H13939" s="21">
        <v>883.54</v>
      </c>
    </row>
    <row r="13940" spans="1:8" customFormat="1" x14ac:dyDescent="0.25">
      <c r="A13940" t="str">
        <f>"7871985"</f>
        <v>7871985</v>
      </c>
      <c r="B13940" t="s">
        <v>15244</v>
      </c>
      <c r="C13940" t="s">
        <v>55</v>
      </c>
      <c r="D13940" s="21" t="s">
        <v>34</v>
      </c>
      <c r="E13940" s="21" t="s">
        <v>35</v>
      </c>
      <c r="F13940">
        <v>8781473</v>
      </c>
      <c r="G13940" t="s">
        <v>1097</v>
      </c>
      <c r="H13940" s="21">
        <v>883.42</v>
      </c>
    </row>
    <row r="13941" spans="1:8" customFormat="1" x14ac:dyDescent="0.25">
      <c r="A13941" t="str">
        <f>"2614696"</f>
        <v>2614696</v>
      </c>
      <c r="B13941" t="s">
        <v>12044</v>
      </c>
      <c r="C13941" t="s">
        <v>60</v>
      </c>
      <c r="D13941" s="21" t="s">
        <v>34</v>
      </c>
      <c r="E13941" s="21" t="s">
        <v>35</v>
      </c>
      <c r="F13941">
        <v>1260065</v>
      </c>
      <c r="G13941" t="s">
        <v>1958</v>
      </c>
      <c r="H13941" s="21">
        <v>883.42</v>
      </c>
    </row>
    <row r="13942" spans="1:8" customFormat="1" x14ac:dyDescent="0.25">
      <c r="A13942" t="str">
        <f>"2712504"</f>
        <v>2712504</v>
      </c>
      <c r="B13942" t="s">
        <v>6901</v>
      </c>
      <c r="C13942" t="s">
        <v>249</v>
      </c>
      <c r="D13942" s="21" t="s">
        <v>34</v>
      </c>
      <c r="E13942" s="21" t="s">
        <v>35</v>
      </c>
      <c r="F13942">
        <v>9270112</v>
      </c>
      <c r="G13942" t="s">
        <v>5124</v>
      </c>
      <c r="H13942" s="21">
        <v>883.42</v>
      </c>
    </row>
    <row r="13943" spans="1:8" customFormat="1" x14ac:dyDescent="0.25">
      <c r="A13943" t="str">
        <f>"7517553"</f>
        <v>7517553</v>
      </c>
      <c r="B13943" t="s">
        <v>14166</v>
      </c>
      <c r="C13943" t="s">
        <v>96</v>
      </c>
      <c r="D13943" s="21" t="s">
        <v>34</v>
      </c>
      <c r="E13943" s="21" t="s">
        <v>35</v>
      </c>
      <c r="F13943">
        <v>12440004</v>
      </c>
      <c r="G13943" t="s">
        <v>26530</v>
      </c>
      <c r="H13943" s="21">
        <v>883.42</v>
      </c>
    </row>
    <row r="13944" spans="1:8" customFormat="1" x14ac:dyDescent="0.25">
      <c r="A13944" t="str">
        <f>"4427548"</f>
        <v>4427548</v>
      </c>
      <c r="B13944" t="s">
        <v>13218</v>
      </c>
      <c r="C13944" t="s">
        <v>209</v>
      </c>
      <c r="D13944" s="21" t="s">
        <v>34</v>
      </c>
      <c r="E13944" s="21" t="s">
        <v>71</v>
      </c>
      <c r="F13944">
        <v>12440038</v>
      </c>
      <c r="G13944" t="s">
        <v>2057</v>
      </c>
      <c r="H13944" s="21">
        <v>883.42</v>
      </c>
    </row>
    <row r="13945" spans="1:8" customFormat="1" x14ac:dyDescent="0.25">
      <c r="A13945" t="str">
        <f>"6216208"</f>
        <v>6216208</v>
      </c>
      <c r="B13945" t="s">
        <v>10518</v>
      </c>
      <c r="C13945" t="s">
        <v>462</v>
      </c>
      <c r="D13945" s="21" t="s">
        <v>34</v>
      </c>
      <c r="E13945" s="21" t="s">
        <v>71</v>
      </c>
      <c r="F13945">
        <v>7620185</v>
      </c>
      <c r="G13945" t="s">
        <v>1561</v>
      </c>
      <c r="H13945" s="21">
        <v>883.17</v>
      </c>
    </row>
    <row r="13946" spans="1:8" customFormat="1" x14ac:dyDescent="0.25">
      <c r="A13946" t="str">
        <f>"322492"</f>
        <v>322492</v>
      </c>
      <c r="B13946" t="s">
        <v>27321</v>
      </c>
      <c r="C13946" t="s">
        <v>719</v>
      </c>
      <c r="D13946" s="21" t="s">
        <v>34</v>
      </c>
      <c r="E13946" s="21" t="s">
        <v>35</v>
      </c>
      <c r="F13946">
        <v>11320032</v>
      </c>
      <c r="G13946" t="s">
        <v>5722</v>
      </c>
      <c r="H13946" s="21">
        <v>883.17</v>
      </c>
    </row>
    <row r="13947" spans="1:8" customFormat="1" x14ac:dyDescent="0.25">
      <c r="A13947" t="str">
        <f>"6310184"</f>
        <v>6310184</v>
      </c>
      <c r="B13947" t="s">
        <v>12566</v>
      </c>
      <c r="C13947" t="s">
        <v>109</v>
      </c>
      <c r="D13947" s="21" t="s">
        <v>34</v>
      </c>
      <c r="E13947" s="21" t="s">
        <v>71</v>
      </c>
      <c r="F13947">
        <v>1630281</v>
      </c>
      <c r="G13947" t="s">
        <v>1190</v>
      </c>
      <c r="H13947" s="21">
        <v>883.17</v>
      </c>
    </row>
    <row r="13948" spans="1:8" customFormat="1" x14ac:dyDescent="0.25">
      <c r="A13948" t="str">
        <f>"3521575"</f>
        <v>3521575</v>
      </c>
      <c r="B13948" t="s">
        <v>1885</v>
      </c>
      <c r="C13948" t="s">
        <v>209</v>
      </c>
      <c r="D13948" s="21" t="s">
        <v>34</v>
      </c>
      <c r="E13948" s="21" t="s">
        <v>71</v>
      </c>
      <c r="F13948">
        <v>3350122</v>
      </c>
      <c r="G13948" t="s">
        <v>3069</v>
      </c>
      <c r="H13948" s="21">
        <v>883.17</v>
      </c>
    </row>
    <row r="13949" spans="1:8" customFormat="1" x14ac:dyDescent="0.25">
      <c r="A13949" t="str">
        <f>"6917383"</f>
        <v>6917383</v>
      </c>
      <c r="B13949" t="s">
        <v>7443</v>
      </c>
      <c r="C13949" t="s">
        <v>209</v>
      </c>
      <c r="D13949" s="21" t="s">
        <v>34</v>
      </c>
      <c r="E13949" s="21" t="s">
        <v>71</v>
      </c>
      <c r="F13949">
        <v>1380293</v>
      </c>
      <c r="G13949" t="s">
        <v>2103</v>
      </c>
      <c r="H13949" s="21">
        <v>883.17</v>
      </c>
    </row>
    <row r="13950" spans="1:8" customFormat="1" x14ac:dyDescent="0.25">
      <c r="A13950" t="str">
        <f>"839978"</f>
        <v>839978</v>
      </c>
      <c r="B13950" t="s">
        <v>12336</v>
      </c>
      <c r="C13950" t="s">
        <v>812</v>
      </c>
      <c r="D13950" s="21" t="s">
        <v>34</v>
      </c>
      <c r="E13950" s="21" t="s">
        <v>71</v>
      </c>
      <c r="F13950">
        <v>13830071</v>
      </c>
      <c r="G13950" t="s">
        <v>3221</v>
      </c>
      <c r="H13950" s="21">
        <v>883.17</v>
      </c>
    </row>
    <row r="13951" spans="1:8" customFormat="1" x14ac:dyDescent="0.25">
      <c r="A13951" t="str">
        <f>"548135"</f>
        <v>548135</v>
      </c>
      <c r="B13951" t="s">
        <v>7757</v>
      </c>
      <c r="C13951" t="s">
        <v>462</v>
      </c>
      <c r="D13951" s="21" t="s">
        <v>34</v>
      </c>
      <c r="E13951" s="21" t="s">
        <v>71</v>
      </c>
      <c r="F13951">
        <v>6540184</v>
      </c>
      <c r="G13951" t="s">
        <v>4395</v>
      </c>
      <c r="H13951" s="21">
        <v>883.17</v>
      </c>
    </row>
    <row r="13952" spans="1:8" customFormat="1" x14ac:dyDescent="0.25">
      <c r="A13952" t="str">
        <f>"441969"</f>
        <v>441969</v>
      </c>
      <c r="B13952" t="s">
        <v>10441</v>
      </c>
      <c r="C13952" t="s">
        <v>114</v>
      </c>
      <c r="D13952" s="21" t="s">
        <v>34</v>
      </c>
      <c r="E13952" s="21" t="s">
        <v>71</v>
      </c>
      <c r="F13952">
        <v>12440014</v>
      </c>
      <c r="G13952" t="s">
        <v>6767</v>
      </c>
      <c r="H13952" s="21">
        <v>883.17</v>
      </c>
    </row>
    <row r="13953" spans="1:8" customFormat="1" x14ac:dyDescent="0.25">
      <c r="A13953" t="str">
        <f>"91104"</f>
        <v>91104</v>
      </c>
      <c r="B13953" t="s">
        <v>1348</v>
      </c>
      <c r="C13953" t="s">
        <v>130</v>
      </c>
      <c r="D13953" s="21" t="s">
        <v>34</v>
      </c>
      <c r="E13953" s="21" t="s">
        <v>71</v>
      </c>
      <c r="F13953">
        <v>8910102</v>
      </c>
      <c r="G13953" t="s">
        <v>3079</v>
      </c>
      <c r="H13953" s="21">
        <v>883.17</v>
      </c>
    </row>
    <row r="13954" spans="1:8" customFormat="1" x14ac:dyDescent="0.25">
      <c r="A13954" t="str">
        <f>"6214131"</f>
        <v>6214131</v>
      </c>
      <c r="B13954" t="s">
        <v>5731</v>
      </c>
      <c r="C13954" t="s">
        <v>33</v>
      </c>
      <c r="D13954" s="21" t="s">
        <v>34</v>
      </c>
      <c r="E13954" s="21" t="s">
        <v>35</v>
      </c>
      <c r="F13954">
        <v>7620058</v>
      </c>
      <c r="G13954" t="s">
        <v>602</v>
      </c>
      <c r="H13954" s="21">
        <v>883.17</v>
      </c>
    </row>
    <row r="13955" spans="1:8" customFormat="1" x14ac:dyDescent="0.25">
      <c r="A13955" t="str">
        <f>"4417351"</f>
        <v>4417351</v>
      </c>
      <c r="B13955" t="s">
        <v>7725</v>
      </c>
      <c r="C13955" t="s">
        <v>2529</v>
      </c>
      <c r="D13955" s="21" t="s">
        <v>34</v>
      </c>
      <c r="E13955" s="21" t="s">
        <v>71</v>
      </c>
      <c r="F13955">
        <v>12440084</v>
      </c>
      <c r="G13955" t="s">
        <v>1014</v>
      </c>
      <c r="H13955" s="21">
        <v>883.17</v>
      </c>
    </row>
    <row r="13956" spans="1:8" customFormat="1" x14ac:dyDescent="0.25">
      <c r="A13956" t="str">
        <f>"6923369"</f>
        <v>6923369</v>
      </c>
      <c r="B13956" t="s">
        <v>16118</v>
      </c>
      <c r="C13956" t="s">
        <v>2227</v>
      </c>
      <c r="D13956" s="21" t="s">
        <v>34</v>
      </c>
      <c r="E13956" s="21" t="s">
        <v>35</v>
      </c>
      <c r="F13956">
        <v>1690218</v>
      </c>
      <c r="G13956" t="s">
        <v>3637</v>
      </c>
      <c r="H13956" s="21">
        <v>883.17</v>
      </c>
    </row>
    <row r="13957" spans="1:8" customFormat="1" x14ac:dyDescent="0.25">
      <c r="A13957" t="str">
        <f>"514444"</f>
        <v>514444</v>
      </c>
      <c r="B13957" t="s">
        <v>461</v>
      </c>
      <c r="C13957" t="s">
        <v>87</v>
      </c>
      <c r="D13957" s="21" t="s">
        <v>34</v>
      </c>
      <c r="E13957" s="21" t="s">
        <v>35</v>
      </c>
      <c r="F13957">
        <v>6510008</v>
      </c>
      <c r="G13957" t="s">
        <v>26622</v>
      </c>
      <c r="H13957" s="21">
        <v>883</v>
      </c>
    </row>
    <row r="13958" spans="1:8" customFormat="1" x14ac:dyDescent="0.25">
      <c r="A13958" t="str">
        <f>"814619"</f>
        <v>814619</v>
      </c>
      <c r="B13958" t="s">
        <v>13685</v>
      </c>
      <c r="C13958" t="s">
        <v>121</v>
      </c>
      <c r="D13958" s="21" t="s">
        <v>34</v>
      </c>
      <c r="E13958" s="21" t="s">
        <v>35</v>
      </c>
      <c r="F13958">
        <v>11810032</v>
      </c>
      <c r="G13958" t="s">
        <v>7859</v>
      </c>
      <c r="H13958" s="21">
        <v>882.92</v>
      </c>
    </row>
    <row r="13959" spans="1:8" customFormat="1" x14ac:dyDescent="0.25">
      <c r="A13959" t="str">
        <f>"084539"</f>
        <v>084539</v>
      </c>
      <c r="B13959" t="s">
        <v>10898</v>
      </c>
      <c r="C13959" t="s">
        <v>267</v>
      </c>
      <c r="D13959" s="21" t="s">
        <v>34</v>
      </c>
      <c r="E13959" s="21" t="s">
        <v>71</v>
      </c>
      <c r="F13959">
        <v>6080082</v>
      </c>
      <c r="G13959" t="s">
        <v>2401</v>
      </c>
      <c r="H13959" s="21">
        <v>882.92</v>
      </c>
    </row>
    <row r="13960" spans="1:8" customFormat="1" x14ac:dyDescent="0.25">
      <c r="A13960" t="str">
        <f>"43478"</f>
        <v>43478</v>
      </c>
      <c r="B13960" t="s">
        <v>13201</v>
      </c>
      <c r="C13960" t="s">
        <v>246</v>
      </c>
      <c r="D13960" s="21" t="s">
        <v>34</v>
      </c>
      <c r="E13960" s="21" t="s">
        <v>71</v>
      </c>
      <c r="F13960">
        <v>1420237</v>
      </c>
      <c r="G13960" t="s">
        <v>8284</v>
      </c>
      <c r="H13960" s="21">
        <v>882.79</v>
      </c>
    </row>
    <row r="13961" spans="1:8" customFormat="1" x14ac:dyDescent="0.25">
      <c r="A13961" t="str">
        <f>"749711"</f>
        <v>749711</v>
      </c>
      <c r="B13961" t="s">
        <v>14229</v>
      </c>
      <c r="C13961" t="s">
        <v>151</v>
      </c>
      <c r="D13961" s="21" t="s">
        <v>34</v>
      </c>
      <c r="E13961" s="21" t="s">
        <v>71</v>
      </c>
      <c r="F13961">
        <v>1740020</v>
      </c>
      <c r="G13961" t="s">
        <v>881</v>
      </c>
      <c r="H13961" s="21">
        <v>882.79</v>
      </c>
    </row>
    <row r="13962" spans="1:8" customFormat="1" x14ac:dyDescent="0.25">
      <c r="A13962" t="str">
        <f>"891623"</f>
        <v>891623</v>
      </c>
      <c r="B13962" t="s">
        <v>27322</v>
      </c>
      <c r="C13962" t="s">
        <v>209</v>
      </c>
      <c r="D13962" s="21" t="s">
        <v>34</v>
      </c>
      <c r="E13962" s="21" t="s">
        <v>35</v>
      </c>
      <c r="F13962">
        <v>2890005</v>
      </c>
      <c r="G13962" t="s">
        <v>2889</v>
      </c>
      <c r="H13962" s="21">
        <v>882.67</v>
      </c>
    </row>
    <row r="13963" spans="1:8" customFormat="1" x14ac:dyDescent="0.25">
      <c r="A13963" t="str">
        <f>"8523996"</f>
        <v>8523996</v>
      </c>
      <c r="B13963" t="s">
        <v>11092</v>
      </c>
      <c r="C13963" t="s">
        <v>124</v>
      </c>
      <c r="D13963" s="21" t="s">
        <v>34</v>
      </c>
      <c r="E13963" s="21" t="s">
        <v>71</v>
      </c>
      <c r="F13963">
        <v>12850165</v>
      </c>
      <c r="G13963" t="s">
        <v>9632</v>
      </c>
      <c r="H13963" s="21">
        <v>882.67</v>
      </c>
    </row>
    <row r="13964" spans="1:8" customFormat="1" x14ac:dyDescent="0.25">
      <c r="A13964" t="str">
        <f>"3310659"</f>
        <v>3310659</v>
      </c>
      <c r="B13964" t="s">
        <v>14082</v>
      </c>
      <c r="C13964" t="s">
        <v>40</v>
      </c>
      <c r="D13964" s="21" t="s">
        <v>34</v>
      </c>
      <c r="E13964" s="21" t="s">
        <v>71</v>
      </c>
      <c r="F13964">
        <v>10330129</v>
      </c>
      <c r="G13964" t="s">
        <v>5977</v>
      </c>
      <c r="H13964" s="21">
        <v>882.67</v>
      </c>
    </row>
    <row r="13965" spans="1:8" customFormat="1" x14ac:dyDescent="0.25">
      <c r="A13965" t="str">
        <f>"4217757"</f>
        <v>4217757</v>
      </c>
      <c r="B13965" t="s">
        <v>14053</v>
      </c>
      <c r="C13965" t="s">
        <v>139</v>
      </c>
      <c r="D13965" s="21" t="s">
        <v>34</v>
      </c>
      <c r="E13965" s="21" t="s">
        <v>35</v>
      </c>
      <c r="F13965">
        <v>1420166</v>
      </c>
      <c r="G13965" t="s">
        <v>26873</v>
      </c>
      <c r="H13965" s="21">
        <v>882.67</v>
      </c>
    </row>
    <row r="13966" spans="1:8" customFormat="1" x14ac:dyDescent="0.25">
      <c r="A13966" t="str">
        <f>"9225683"</f>
        <v>9225683</v>
      </c>
      <c r="B13966" t="s">
        <v>3942</v>
      </c>
      <c r="C13966" t="s">
        <v>55</v>
      </c>
      <c r="D13966" s="21" t="s">
        <v>34</v>
      </c>
      <c r="E13966" s="21" t="s">
        <v>35</v>
      </c>
      <c r="F13966">
        <v>8910310</v>
      </c>
      <c r="G13966" t="s">
        <v>6645</v>
      </c>
      <c r="H13966" s="21">
        <v>882.67</v>
      </c>
    </row>
    <row r="13967" spans="1:8" customFormat="1" x14ac:dyDescent="0.25">
      <c r="A13967" t="str">
        <f>"5939919"</f>
        <v>5939919</v>
      </c>
      <c r="B13967" t="s">
        <v>1349</v>
      </c>
      <c r="C13967" t="s">
        <v>1468</v>
      </c>
      <c r="D13967" s="21" t="s">
        <v>34</v>
      </c>
      <c r="E13967" s="21" t="s">
        <v>35</v>
      </c>
      <c r="F13967">
        <v>7590177</v>
      </c>
      <c r="G13967" t="s">
        <v>10380</v>
      </c>
      <c r="H13967" s="21">
        <v>882.67</v>
      </c>
    </row>
    <row r="13968" spans="1:8" customFormat="1" x14ac:dyDescent="0.25">
      <c r="A13968" t="str">
        <f>"5011490"</f>
        <v>5011490</v>
      </c>
      <c r="B13968" t="s">
        <v>11115</v>
      </c>
      <c r="C13968" t="s">
        <v>1853</v>
      </c>
      <c r="D13968" s="21" t="s">
        <v>34</v>
      </c>
      <c r="E13968" s="21" t="s">
        <v>35</v>
      </c>
      <c r="F13968">
        <v>13830051</v>
      </c>
      <c r="G13968" t="s">
        <v>2031</v>
      </c>
      <c r="H13968" s="21">
        <v>882.67</v>
      </c>
    </row>
    <row r="13969" spans="1:8" customFormat="1" x14ac:dyDescent="0.25">
      <c r="A13969" t="str">
        <f>"08765"</f>
        <v>08765</v>
      </c>
      <c r="B13969" t="s">
        <v>13649</v>
      </c>
      <c r="C13969" t="s">
        <v>1914</v>
      </c>
      <c r="D13969" s="21" t="s">
        <v>34</v>
      </c>
      <c r="E13969" s="21" t="s">
        <v>254</v>
      </c>
      <c r="F13969">
        <v>11340066</v>
      </c>
      <c r="G13969" t="s">
        <v>8390</v>
      </c>
      <c r="H13969" s="21">
        <v>882.67</v>
      </c>
    </row>
    <row r="13970" spans="1:8" customFormat="1" x14ac:dyDescent="0.25">
      <c r="A13970" t="str">
        <f>"8520924"</f>
        <v>8520924</v>
      </c>
      <c r="B13970" t="s">
        <v>27323</v>
      </c>
      <c r="C13970" t="s">
        <v>263</v>
      </c>
      <c r="D13970" s="21" t="s">
        <v>34</v>
      </c>
      <c r="E13970" s="21" t="s">
        <v>35</v>
      </c>
      <c r="F13970">
        <v>12850031</v>
      </c>
      <c r="G13970" t="s">
        <v>3180</v>
      </c>
      <c r="H13970" s="21">
        <v>882.67</v>
      </c>
    </row>
    <row r="13971" spans="1:8" customFormat="1" x14ac:dyDescent="0.25">
      <c r="A13971" t="str">
        <f>"498485"</f>
        <v>498485</v>
      </c>
      <c r="B13971" t="s">
        <v>2630</v>
      </c>
      <c r="C13971" t="s">
        <v>1119</v>
      </c>
      <c r="D13971" s="21" t="s">
        <v>34</v>
      </c>
      <c r="E13971" s="21" t="s">
        <v>1089</v>
      </c>
      <c r="F13971">
        <v>12490029</v>
      </c>
      <c r="G13971" t="s">
        <v>3485</v>
      </c>
      <c r="H13971" s="21">
        <v>882.67</v>
      </c>
    </row>
    <row r="13972" spans="1:8" customFormat="1" x14ac:dyDescent="0.25">
      <c r="A13972" t="str">
        <f>"22158"</f>
        <v>22158</v>
      </c>
      <c r="B13972" t="s">
        <v>3039</v>
      </c>
      <c r="C13972" t="s">
        <v>825</v>
      </c>
      <c r="D13972" s="21" t="s">
        <v>34</v>
      </c>
      <c r="E13972" s="21" t="s">
        <v>71</v>
      </c>
      <c r="F13972">
        <v>3220047</v>
      </c>
      <c r="G13972" t="s">
        <v>131</v>
      </c>
      <c r="H13972" s="21">
        <v>882.67</v>
      </c>
    </row>
    <row r="13973" spans="1:8" customFormat="1" x14ac:dyDescent="0.25">
      <c r="A13973" t="str">
        <f>"187117"</f>
        <v>187117</v>
      </c>
      <c r="B13973" t="s">
        <v>12269</v>
      </c>
      <c r="C13973" t="s">
        <v>249</v>
      </c>
      <c r="D13973" s="21" t="s">
        <v>34</v>
      </c>
      <c r="E13973" s="21" t="s">
        <v>35</v>
      </c>
      <c r="F13973">
        <v>4180174</v>
      </c>
      <c r="G13973" t="s">
        <v>3046</v>
      </c>
      <c r="H13973" s="21">
        <v>882.67</v>
      </c>
    </row>
    <row r="13974" spans="1:8" customFormat="1" x14ac:dyDescent="0.25">
      <c r="A13974" t="str">
        <f>"8520205"</f>
        <v>8520205</v>
      </c>
      <c r="B13974" t="s">
        <v>12818</v>
      </c>
      <c r="C13974" t="s">
        <v>239</v>
      </c>
      <c r="D13974" s="21" t="s">
        <v>34</v>
      </c>
      <c r="E13974" s="21" t="s">
        <v>254</v>
      </c>
      <c r="F13974">
        <v>12850108</v>
      </c>
      <c r="G13974" t="s">
        <v>11093</v>
      </c>
      <c r="H13974" s="21">
        <v>882.67</v>
      </c>
    </row>
    <row r="13975" spans="1:8" customFormat="1" x14ac:dyDescent="0.25">
      <c r="A13975" t="str">
        <f>"887524"</f>
        <v>887524</v>
      </c>
      <c r="B13975" t="s">
        <v>11717</v>
      </c>
      <c r="C13975" t="s">
        <v>119</v>
      </c>
      <c r="D13975" s="21" t="s">
        <v>34</v>
      </c>
      <c r="E13975" s="21" t="s">
        <v>35</v>
      </c>
      <c r="F13975">
        <v>6880022</v>
      </c>
      <c r="G13975" t="s">
        <v>339</v>
      </c>
      <c r="H13975" s="21">
        <v>882.67</v>
      </c>
    </row>
    <row r="13976" spans="1:8" customFormat="1" x14ac:dyDescent="0.25">
      <c r="A13976" t="str">
        <f>"681127"</f>
        <v>681127</v>
      </c>
      <c r="B13976" t="s">
        <v>3660</v>
      </c>
      <c r="C13976" t="s">
        <v>608</v>
      </c>
      <c r="D13976" s="21" t="s">
        <v>34</v>
      </c>
      <c r="E13976" s="21" t="s">
        <v>71</v>
      </c>
      <c r="F13976">
        <v>6680118</v>
      </c>
      <c r="G13976" t="s">
        <v>4346</v>
      </c>
      <c r="H13976" s="21">
        <v>882.67</v>
      </c>
    </row>
    <row r="13977" spans="1:8" customFormat="1" x14ac:dyDescent="0.25">
      <c r="A13977" t="str">
        <f>"4914263"</f>
        <v>4914263</v>
      </c>
      <c r="B13977" t="s">
        <v>9288</v>
      </c>
      <c r="C13977" t="s">
        <v>253</v>
      </c>
      <c r="D13977" s="21" t="s">
        <v>34</v>
      </c>
      <c r="E13977" s="21" t="s">
        <v>254</v>
      </c>
      <c r="F13977">
        <v>12530025</v>
      </c>
      <c r="G13977" t="s">
        <v>5589</v>
      </c>
      <c r="H13977" s="21">
        <v>882.67</v>
      </c>
    </row>
    <row r="13978" spans="1:8" customFormat="1" x14ac:dyDescent="0.25">
      <c r="A13978" t="str">
        <f>"173817"</f>
        <v>173817</v>
      </c>
      <c r="B13978" t="s">
        <v>12580</v>
      </c>
      <c r="C13978" t="s">
        <v>40</v>
      </c>
      <c r="D13978" s="21" t="s">
        <v>34</v>
      </c>
      <c r="E13978" s="21" t="s">
        <v>71</v>
      </c>
      <c r="F13978">
        <v>10170007</v>
      </c>
      <c r="G13978" t="s">
        <v>12581</v>
      </c>
      <c r="H13978" s="21">
        <v>882.67</v>
      </c>
    </row>
    <row r="13979" spans="1:8" customFormat="1" x14ac:dyDescent="0.25">
      <c r="A13979" t="str">
        <f>"954375"</f>
        <v>954375</v>
      </c>
      <c r="B13979" t="s">
        <v>6507</v>
      </c>
      <c r="C13979" t="s">
        <v>1146</v>
      </c>
      <c r="D13979" s="21" t="s">
        <v>34</v>
      </c>
      <c r="E13979" s="21" t="s">
        <v>35</v>
      </c>
      <c r="F13979">
        <v>8950262</v>
      </c>
      <c r="G13979" t="s">
        <v>1881</v>
      </c>
      <c r="H13979" s="21">
        <v>882.67</v>
      </c>
    </row>
    <row r="13980" spans="1:8" customFormat="1" x14ac:dyDescent="0.25">
      <c r="A13980" t="str">
        <f>"59425"</f>
        <v>59425</v>
      </c>
      <c r="B13980" t="s">
        <v>5345</v>
      </c>
      <c r="C13980" t="s">
        <v>462</v>
      </c>
      <c r="D13980" s="21" t="s">
        <v>34</v>
      </c>
      <c r="E13980" s="21" t="s">
        <v>71</v>
      </c>
      <c r="F13980">
        <v>7590014</v>
      </c>
      <c r="G13980" t="s">
        <v>1326</v>
      </c>
      <c r="H13980" s="21">
        <v>882.67</v>
      </c>
    </row>
    <row r="13981" spans="1:8" customFormat="1" x14ac:dyDescent="0.25">
      <c r="A13981" t="str">
        <f>"225020"</f>
        <v>225020</v>
      </c>
      <c r="B13981" t="s">
        <v>12267</v>
      </c>
      <c r="C13981" t="s">
        <v>1119</v>
      </c>
      <c r="D13981" s="21" t="s">
        <v>34</v>
      </c>
      <c r="E13981" s="21" t="s">
        <v>1089</v>
      </c>
      <c r="F13981">
        <v>3220033</v>
      </c>
      <c r="G13981" t="s">
        <v>657</v>
      </c>
      <c r="H13981" s="21">
        <v>882.67</v>
      </c>
    </row>
    <row r="13982" spans="1:8" customFormat="1" x14ac:dyDescent="0.25">
      <c r="A13982" t="str">
        <f>"3416627"</f>
        <v>3416627</v>
      </c>
      <c r="B13982" t="s">
        <v>12365</v>
      </c>
      <c r="C13982" t="s">
        <v>1142</v>
      </c>
      <c r="D13982" s="21" t="s">
        <v>34</v>
      </c>
      <c r="E13982" s="21" t="s">
        <v>254</v>
      </c>
      <c r="F13982">
        <v>11340010</v>
      </c>
      <c r="G13982" t="s">
        <v>66</v>
      </c>
      <c r="H13982" s="21">
        <v>882.67</v>
      </c>
    </row>
    <row r="13983" spans="1:8" customFormat="1" x14ac:dyDescent="0.25">
      <c r="A13983" t="str">
        <f>"8013941"</f>
        <v>8013941</v>
      </c>
      <c r="B13983" t="s">
        <v>14869</v>
      </c>
      <c r="C13983" t="s">
        <v>249</v>
      </c>
      <c r="D13983" s="21" t="s">
        <v>34</v>
      </c>
      <c r="E13983" s="21" t="s">
        <v>71</v>
      </c>
      <c r="F13983">
        <v>7800128</v>
      </c>
      <c r="G13983" t="s">
        <v>3147</v>
      </c>
      <c r="H13983" s="21">
        <v>882.67</v>
      </c>
    </row>
    <row r="13984" spans="1:8" customFormat="1" x14ac:dyDescent="0.25">
      <c r="A13984" t="str">
        <f>"9440583"</f>
        <v>9440583</v>
      </c>
      <c r="B13984" t="s">
        <v>13263</v>
      </c>
      <c r="C13984" t="s">
        <v>13264</v>
      </c>
      <c r="D13984" s="21" t="s">
        <v>34</v>
      </c>
      <c r="E13984" s="21" t="s">
        <v>71</v>
      </c>
      <c r="F13984">
        <v>8940894</v>
      </c>
      <c r="G13984" t="s">
        <v>481</v>
      </c>
      <c r="H13984" s="21">
        <v>882.67</v>
      </c>
    </row>
    <row r="13985" spans="1:8" customFormat="1" x14ac:dyDescent="0.25">
      <c r="A13985" t="str">
        <f>"091549"</f>
        <v>091549</v>
      </c>
      <c r="B13985" t="s">
        <v>13697</v>
      </c>
      <c r="C13985" t="s">
        <v>43</v>
      </c>
      <c r="D13985" s="21" t="s">
        <v>34</v>
      </c>
      <c r="E13985" s="21" t="s">
        <v>35</v>
      </c>
      <c r="F13985">
        <v>11090001</v>
      </c>
      <c r="G13985" t="s">
        <v>4829</v>
      </c>
      <c r="H13985" s="21">
        <v>882.54</v>
      </c>
    </row>
    <row r="13986" spans="1:8" customFormat="1" x14ac:dyDescent="0.25">
      <c r="A13986" t="str">
        <f>"7111276"</f>
        <v>7111276</v>
      </c>
      <c r="B13986" t="s">
        <v>12981</v>
      </c>
      <c r="C13986" t="s">
        <v>484</v>
      </c>
      <c r="D13986" s="21" t="s">
        <v>34</v>
      </c>
      <c r="E13986" s="21" t="s">
        <v>35</v>
      </c>
      <c r="F13986">
        <v>2710072</v>
      </c>
      <c r="G13986" t="s">
        <v>1461</v>
      </c>
      <c r="H13986" s="21">
        <v>882.54</v>
      </c>
    </row>
    <row r="13987" spans="1:8" customFormat="1" x14ac:dyDescent="0.25">
      <c r="A13987" t="str">
        <f>"813930"</f>
        <v>813930</v>
      </c>
      <c r="B13987" t="s">
        <v>1834</v>
      </c>
      <c r="C13987" t="s">
        <v>233</v>
      </c>
      <c r="D13987" s="21" t="s">
        <v>34</v>
      </c>
      <c r="E13987" s="21" t="s">
        <v>254</v>
      </c>
      <c r="F13987">
        <v>11810028</v>
      </c>
      <c r="G13987" t="s">
        <v>5817</v>
      </c>
      <c r="H13987" s="21">
        <v>882.54</v>
      </c>
    </row>
    <row r="13988" spans="1:8" customFormat="1" x14ac:dyDescent="0.25">
      <c r="A13988" t="str">
        <f>"6714438"</f>
        <v>6714438</v>
      </c>
      <c r="B13988" t="s">
        <v>9360</v>
      </c>
      <c r="C13988" t="s">
        <v>453</v>
      </c>
      <c r="D13988" s="21" t="s">
        <v>34</v>
      </c>
      <c r="E13988" s="21" t="s">
        <v>254</v>
      </c>
      <c r="F13988">
        <v>6670115</v>
      </c>
      <c r="G13988" t="s">
        <v>3798</v>
      </c>
      <c r="H13988" s="21">
        <v>882.5</v>
      </c>
    </row>
    <row r="13989" spans="1:8" customFormat="1" x14ac:dyDescent="0.25">
      <c r="A13989" t="str">
        <f>"3419750"</f>
        <v>3419750</v>
      </c>
      <c r="B13989" t="s">
        <v>6375</v>
      </c>
      <c r="C13989" t="s">
        <v>1119</v>
      </c>
      <c r="D13989" s="21" t="s">
        <v>34</v>
      </c>
      <c r="E13989" s="21" t="s">
        <v>71</v>
      </c>
      <c r="F13989">
        <v>11340018</v>
      </c>
      <c r="G13989" t="s">
        <v>2421</v>
      </c>
      <c r="H13989" s="21">
        <v>882.42</v>
      </c>
    </row>
    <row r="13990" spans="1:8" customFormat="1" x14ac:dyDescent="0.25">
      <c r="A13990" t="str">
        <f>"741148"</f>
        <v>741148</v>
      </c>
      <c r="B13990" t="s">
        <v>14459</v>
      </c>
      <c r="C13990" t="s">
        <v>269</v>
      </c>
      <c r="D13990" s="21" t="s">
        <v>34</v>
      </c>
      <c r="E13990" s="21" t="s">
        <v>71</v>
      </c>
      <c r="F13990">
        <v>1740069</v>
      </c>
      <c r="G13990" t="s">
        <v>8151</v>
      </c>
      <c r="H13990" s="21">
        <v>882.42</v>
      </c>
    </row>
    <row r="13991" spans="1:8" customFormat="1" x14ac:dyDescent="0.25">
      <c r="A13991" t="str">
        <f>"3118730"</f>
        <v>3118730</v>
      </c>
      <c r="B13991" t="s">
        <v>20490</v>
      </c>
      <c r="C13991" t="s">
        <v>20491</v>
      </c>
      <c r="D13991" s="21" t="s">
        <v>34</v>
      </c>
      <c r="E13991" s="21" t="s">
        <v>35</v>
      </c>
      <c r="F13991">
        <v>11310064</v>
      </c>
      <c r="G13991" t="s">
        <v>931</v>
      </c>
      <c r="H13991" s="21">
        <v>882.29</v>
      </c>
    </row>
    <row r="13992" spans="1:8" customFormat="1" x14ac:dyDescent="0.25">
      <c r="A13992" t="str">
        <f>"443173"</f>
        <v>443173</v>
      </c>
      <c r="B13992" t="s">
        <v>11927</v>
      </c>
      <c r="C13992" t="s">
        <v>822</v>
      </c>
      <c r="D13992" s="21" t="s">
        <v>34</v>
      </c>
      <c r="E13992" s="21" t="s">
        <v>1089</v>
      </c>
      <c r="F13992">
        <v>12440029</v>
      </c>
      <c r="G13992" t="s">
        <v>567</v>
      </c>
      <c r="H13992" s="21">
        <v>882.17</v>
      </c>
    </row>
    <row r="13993" spans="1:8" customFormat="1" x14ac:dyDescent="0.25">
      <c r="A13993" t="str">
        <f>"4915976"</f>
        <v>4915976</v>
      </c>
      <c r="B13993" t="s">
        <v>12380</v>
      </c>
      <c r="C13993" t="s">
        <v>62</v>
      </c>
      <c r="D13993" s="21" t="s">
        <v>34</v>
      </c>
      <c r="E13993" s="21" t="s">
        <v>35</v>
      </c>
      <c r="F13993">
        <v>12490088</v>
      </c>
      <c r="G13993" t="s">
        <v>10688</v>
      </c>
      <c r="H13993" s="21">
        <v>882.17</v>
      </c>
    </row>
    <row r="13994" spans="1:8" customFormat="1" x14ac:dyDescent="0.25">
      <c r="A13994" t="str">
        <f>"6228116"</f>
        <v>6228116</v>
      </c>
      <c r="B13994" t="s">
        <v>9828</v>
      </c>
      <c r="C13994" t="s">
        <v>1294</v>
      </c>
      <c r="D13994" s="21" t="s">
        <v>34</v>
      </c>
      <c r="E13994" s="21" t="s">
        <v>71</v>
      </c>
      <c r="F13994">
        <v>7620173</v>
      </c>
      <c r="G13994" t="s">
        <v>12940</v>
      </c>
      <c r="H13994" s="21">
        <v>882.17</v>
      </c>
    </row>
    <row r="13995" spans="1:8" customFormat="1" x14ac:dyDescent="0.25">
      <c r="A13995" t="str">
        <f>"7632527"</f>
        <v>7632527</v>
      </c>
      <c r="B13995" t="s">
        <v>14283</v>
      </c>
      <c r="C13995" t="s">
        <v>608</v>
      </c>
      <c r="D13995" s="21" t="s">
        <v>34</v>
      </c>
      <c r="E13995" s="21" t="s">
        <v>35</v>
      </c>
      <c r="F13995">
        <v>9760004</v>
      </c>
      <c r="G13995" t="s">
        <v>56</v>
      </c>
      <c r="H13995" s="21">
        <v>882.17</v>
      </c>
    </row>
    <row r="13996" spans="1:8" customFormat="1" x14ac:dyDescent="0.25">
      <c r="A13996" t="str">
        <f>"4527109"</f>
        <v>4527109</v>
      </c>
      <c r="B13996" t="s">
        <v>2930</v>
      </c>
      <c r="C13996" t="s">
        <v>1468</v>
      </c>
      <c r="D13996" s="21" t="s">
        <v>34</v>
      </c>
      <c r="E13996" s="21" t="s">
        <v>71</v>
      </c>
      <c r="F13996">
        <v>4450754</v>
      </c>
      <c r="G13996" t="s">
        <v>2695</v>
      </c>
      <c r="H13996" s="21">
        <v>882.17</v>
      </c>
    </row>
    <row r="13997" spans="1:8" customFormat="1" x14ac:dyDescent="0.25">
      <c r="A13997" t="str">
        <f>"3715785"</f>
        <v>3715785</v>
      </c>
      <c r="B13997" t="s">
        <v>1759</v>
      </c>
      <c r="C13997" t="s">
        <v>124</v>
      </c>
      <c r="D13997" s="21" t="s">
        <v>34</v>
      </c>
      <c r="E13997" s="21" t="s">
        <v>71</v>
      </c>
      <c r="F13997">
        <v>4370694</v>
      </c>
      <c r="G13997" t="s">
        <v>989</v>
      </c>
      <c r="H13997" s="21">
        <v>882.17</v>
      </c>
    </row>
    <row r="13998" spans="1:8" customFormat="1" x14ac:dyDescent="0.25">
      <c r="A13998" t="str">
        <f>"7619093"</f>
        <v>7619093</v>
      </c>
      <c r="B13998" t="s">
        <v>14042</v>
      </c>
      <c r="C13998" t="s">
        <v>209</v>
      </c>
      <c r="D13998" s="21" t="s">
        <v>34</v>
      </c>
      <c r="E13998" s="21" t="s">
        <v>71</v>
      </c>
      <c r="F13998">
        <v>9760461</v>
      </c>
      <c r="G13998" t="s">
        <v>6804</v>
      </c>
      <c r="H13998" s="21">
        <v>882.17</v>
      </c>
    </row>
    <row r="13999" spans="1:8" customFormat="1" x14ac:dyDescent="0.25">
      <c r="A13999" t="str">
        <f>"3013023"</f>
        <v>3013023</v>
      </c>
      <c r="B13999" t="s">
        <v>15830</v>
      </c>
      <c r="C13999" t="s">
        <v>3456</v>
      </c>
      <c r="D13999" s="21" t="s">
        <v>34</v>
      </c>
      <c r="E13999" s="21" t="s">
        <v>71</v>
      </c>
      <c r="F13999">
        <v>11300003</v>
      </c>
      <c r="G13999" t="s">
        <v>7949</v>
      </c>
      <c r="H13999" s="21">
        <v>882.17</v>
      </c>
    </row>
    <row r="14000" spans="1:8" customFormat="1" x14ac:dyDescent="0.25">
      <c r="A14000" t="str">
        <f>"3533663"</f>
        <v>3533663</v>
      </c>
      <c r="B14000" t="s">
        <v>13198</v>
      </c>
      <c r="C14000" t="s">
        <v>1803</v>
      </c>
      <c r="D14000" s="21" t="s">
        <v>34</v>
      </c>
      <c r="E14000" s="21" t="s">
        <v>35</v>
      </c>
      <c r="F14000">
        <v>3350031</v>
      </c>
      <c r="G14000" t="s">
        <v>13199</v>
      </c>
      <c r="H14000" s="21">
        <v>882.17</v>
      </c>
    </row>
    <row r="14001" spans="1:8" customFormat="1" x14ac:dyDescent="0.25">
      <c r="A14001" t="str">
        <f>"704044"</f>
        <v>704044</v>
      </c>
      <c r="B14001" t="s">
        <v>1366</v>
      </c>
      <c r="C14001" t="s">
        <v>484</v>
      </c>
      <c r="D14001" s="21" t="s">
        <v>34</v>
      </c>
      <c r="E14001" s="21" t="s">
        <v>35</v>
      </c>
      <c r="F14001">
        <v>2700089</v>
      </c>
      <c r="G14001" t="s">
        <v>2570</v>
      </c>
      <c r="H14001" s="21">
        <v>882.17</v>
      </c>
    </row>
    <row r="14002" spans="1:8" customFormat="1" x14ac:dyDescent="0.25">
      <c r="A14002" t="str">
        <f>"9447673"</f>
        <v>9447673</v>
      </c>
      <c r="B14002" t="s">
        <v>8500</v>
      </c>
      <c r="C14002" t="s">
        <v>269</v>
      </c>
      <c r="D14002" s="21" t="s">
        <v>34</v>
      </c>
      <c r="E14002" s="21" t="s">
        <v>35</v>
      </c>
      <c r="F14002">
        <v>8940976</v>
      </c>
      <c r="G14002" t="s">
        <v>615</v>
      </c>
      <c r="H14002" s="21">
        <v>882.17</v>
      </c>
    </row>
    <row r="14003" spans="1:8" customFormat="1" x14ac:dyDescent="0.25">
      <c r="A14003" t="str">
        <f>"2985"</f>
        <v>2985</v>
      </c>
      <c r="B14003" t="s">
        <v>9149</v>
      </c>
      <c r="C14003" t="s">
        <v>151</v>
      </c>
      <c r="D14003" s="21" t="s">
        <v>34</v>
      </c>
      <c r="E14003" s="21" t="s">
        <v>1089</v>
      </c>
      <c r="F14003">
        <v>3290200</v>
      </c>
      <c r="G14003" t="s">
        <v>3488</v>
      </c>
      <c r="H14003" s="21">
        <v>882.17</v>
      </c>
    </row>
    <row r="14004" spans="1:8" customFormat="1" x14ac:dyDescent="0.25">
      <c r="A14004" t="str">
        <f>"3310268"</f>
        <v>3310268</v>
      </c>
      <c r="B14004" t="s">
        <v>12763</v>
      </c>
      <c r="C14004" t="s">
        <v>267</v>
      </c>
      <c r="D14004" s="21" t="s">
        <v>34</v>
      </c>
      <c r="E14004" s="21" t="s">
        <v>254</v>
      </c>
      <c r="F14004">
        <v>10330117</v>
      </c>
      <c r="G14004" t="s">
        <v>1942</v>
      </c>
      <c r="H14004" s="21">
        <v>882.17</v>
      </c>
    </row>
    <row r="14005" spans="1:8" customFormat="1" x14ac:dyDescent="0.25">
      <c r="A14005" t="str">
        <f>"7618739"</f>
        <v>7618739</v>
      </c>
      <c r="B14005" t="s">
        <v>7375</v>
      </c>
      <c r="C14005" t="s">
        <v>169</v>
      </c>
      <c r="D14005" s="21" t="s">
        <v>34</v>
      </c>
      <c r="E14005" s="21" t="s">
        <v>71</v>
      </c>
      <c r="F14005">
        <v>9760230</v>
      </c>
      <c r="G14005" t="s">
        <v>12511</v>
      </c>
      <c r="H14005" s="21">
        <v>882.17</v>
      </c>
    </row>
    <row r="14006" spans="1:8" customFormat="1" x14ac:dyDescent="0.25">
      <c r="A14006" t="str">
        <f>"8518775"</f>
        <v>8518775</v>
      </c>
      <c r="B14006" t="s">
        <v>1048</v>
      </c>
      <c r="C14006" t="s">
        <v>249</v>
      </c>
      <c r="D14006" s="21" t="s">
        <v>34</v>
      </c>
      <c r="E14006" s="21" t="s">
        <v>71</v>
      </c>
      <c r="F14006">
        <v>12851016</v>
      </c>
      <c r="G14006" t="s">
        <v>1862</v>
      </c>
      <c r="H14006" s="21">
        <v>882.17</v>
      </c>
    </row>
    <row r="14007" spans="1:8" customFormat="1" x14ac:dyDescent="0.25">
      <c r="A14007" t="str">
        <f>"445037"</f>
        <v>445037</v>
      </c>
      <c r="B14007" t="s">
        <v>12631</v>
      </c>
      <c r="C14007" t="s">
        <v>263</v>
      </c>
      <c r="D14007" s="21" t="s">
        <v>34</v>
      </c>
      <c r="E14007" s="21" t="s">
        <v>254</v>
      </c>
      <c r="F14007">
        <v>12440056</v>
      </c>
      <c r="G14007" t="s">
        <v>2037</v>
      </c>
      <c r="H14007" s="21">
        <v>882.17</v>
      </c>
    </row>
    <row r="14008" spans="1:8" customFormat="1" x14ac:dyDescent="0.25">
      <c r="A14008" t="str">
        <f>"401809"</f>
        <v>401809</v>
      </c>
      <c r="B14008" t="s">
        <v>12149</v>
      </c>
      <c r="C14008" t="s">
        <v>156</v>
      </c>
      <c r="D14008" s="21" t="s">
        <v>34</v>
      </c>
      <c r="E14008" s="21" t="s">
        <v>1089</v>
      </c>
      <c r="F14008">
        <v>10400024</v>
      </c>
      <c r="G14008" t="s">
        <v>4680</v>
      </c>
      <c r="H14008" s="21">
        <v>882</v>
      </c>
    </row>
    <row r="14009" spans="1:8" customFormat="1" x14ac:dyDescent="0.25">
      <c r="A14009" t="str">
        <f>"536012"</f>
        <v>536012</v>
      </c>
      <c r="B14009" t="s">
        <v>13136</v>
      </c>
      <c r="C14009" t="s">
        <v>263</v>
      </c>
      <c r="D14009" s="21" t="s">
        <v>34</v>
      </c>
      <c r="E14009" s="21" t="s">
        <v>71</v>
      </c>
      <c r="F14009">
        <v>12530046</v>
      </c>
      <c r="G14009" t="s">
        <v>10191</v>
      </c>
      <c r="H14009" s="21">
        <v>881.92</v>
      </c>
    </row>
    <row r="14010" spans="1:8" customFormat="1" x14ac:dyDescent="0.25">
      <c r="A14010" t="str">
        <f>"025216"</f>
        <v>025216</v>
      </c>
      <c r="B14010" t="s">
        <v>10000</v>
      </c>
      <c r="C14010" t="s">
        <v>712</v>
      </c>
      <c r="D14010" s="21" t="s">
        <v>34</v>
      </c>
      <c r="E14010" s="21" t="s">
        <v>71</v>
      </c>
      <c r="F14010">
        <v>8920309</v>
      </c>
      <c r="G14010" t="s">
        <v>1894</v>
      </c>
      <c r="H14010" s="21">
        <v>881.92</v>
      </c>
    </row>
    <row r="14011" spans="1:8" customFormat="1" x14ac:dyDescent="0.25">
      <c r="A14011" t="str">
        <f>"942965"</f>
        <v>942965</v>
      </c>
      <c r="B14011" t="s">
        <v>11653</v>
      </c>
      <c r="C14011" t="s">
        <v>130</v>
      </c>
      <c r="D14011" s="21" t="s">
        <v>34</v>
      </c>
      <c r="E14011" s="21" t="s">
        <v>254</v>
      </c>
      <c r="F14011">
        <v>8940096</v>
      </c>
      <c r="G14011" t="s">
        <v>5453</v>
      </c>
      <c r="H14011" s="21">
        <v>881.92</v>
      </c>
    </row>
    <row r="14012" spans="1:8" customFormat="1" x14ac:dyDescent="0.25">
      <c r="A14012" t="str">
        <f>"3818860"</f>
        <v>3818860</v>
      </c>
      <c r="B14012" t="s">
        <v>13760</v>
      </c>
      <c r="C14012" t="s">
        <v>547</v>
      </c>
      <c r="D14012" s="21" t="s">
        <v>34</v>
      </c>
      <c r="E14012" s="21" t="s">
        <v>254</v>
      </c>
      <c r="F14012">
        <v>1380290</v>
      </c>
      <c r="G14012" t="s">
        <v>619</v>
      </c>
      <c r="H14012" s="21">
        <v>881.67</v>
      </c>
    </row>
    <row r="14013" spans="1:8" customFormat="1" x14ac:dyDescent="0.25">
      <c r="A14013" t="str">
        <f>"8520364"</f>
        <v>8520364</v>
      </c>
      <c r="B14013" t="s">
        <v>13039</v>
      </c>
      <c r="C14013" t="s">
        <v>55</v>
      </c>
      <c r="D14013" s="21" t="s">
        <v>34</v>
      </c>
      <c r="E14013" s="21" t="s">
        <v>71</v>
      </c>
      <c r="F14013">
        <v>12850008</v>
      </c>
      <c r="G14013" t="s">
        <v>4248</v>
      </c>
      <c r="H14013" s="21">
        <v>881.67</v>
      </c>
    </row>
    <row r="14014" spans="1:8" customFormat="1" x14ac:dyDescent="0.25">
      <c r="A14014" t="str">
        <f>"5910098"</f>
        <v>5910098</v>
      </c>
      <c r="B14014" t="s">
        <v>10643</v>
      </c>
      <c r="C14014" t="s">
        <v>608</v>
      </c>
      <c r="D14014" s="21" t="s">
        <v>34</v>
      </c>
      <c r="E14014" s="21" t="s">
        <v>35</v>
      </c>
      <c r="F14014">
        <v>7590080</v>
      </c>
      <c r="G14014" t="s">
        <v>1715</v>
      </c>
      <c r="H14014" s="21">
        <v>881.67</v>
      </c>
    </row>
    <row r="14015" spans="1:8" customFormat="1" x14ac:dyDescent="0.25">
      <c r="A14015" t="str">
        <f>"874675"</f>
        <v>874675</v>
      </c>
      <c r="B14015" t="s">
        <v>3347</v>
      </c>
      <c r="C14015" t="s">
        <v>249</v>
      </c>
      <c r="D14015" s="21" t="s">
        <v>34</v>
      </c>
      <c r="E14015" s="21" t="s">
        <v>71</v>
      </c>
      <c r="F14015">
        <v>10870081</v>
      </c>
      <c r="G14015" t="s">
        <v>6698</v>
      </c>
      <c r="H14015" s="21">
        <v>881.67</v>
      </c>
    </row>
    <row r="14016" spans="1:8" customFormat="1" x14ac:dyDescent="0.25">
      <c r="A14016" t="str">
        <f>"06544"</f>
        <v>06544</v>
      </c>
      <c r="B14016" t="s">
        <v>7388</v>
      </c>
      <c r="C14016" t="s">
        <v>2232</v>
      </c>
      <c r="D14016" s="21" t="s">
        <v>34</v>
      </c>
      <c r="E14016" s="21" t="s">
        <v>71</v>
      </c>
      <c r="F14016">
        <v>13060064</v>
      </c>
      <c r="G14016" t="s">
        <v>976</v>
      </c>
      <c r="H14016" s="21">
        <v>881.67</v>
      </c>
    </row>
    <row r="14017" spans="1:8" customFormat="1" x14ac:dyDescent="0.25">
      <c r="A14017" t="str">
        <f>"597759"</f>
        <v>597759</v>
      </c>
      <c r="B14017" t="s">
        <v>11902</v>
      </c>
      <c r="C14017" t="s">
        <v>124</v>
      </c>
      <c r="D14017" s="21" t="s">
        <v>34</v>
      </c>
      <c r="E14017" s="21" t="s">
        <v>71</v>
      </c>
      <c r="F14017">
        <v>7590336</v>
      </c>
      <c r="G14017" t="s">
        <v>2341</v>
      </c>
      <c r="H14017" s="21">
        <v>881.67</v>
      </c>
    </row>
    <row r="14018" spans="1:8" customFormat="1" x14ac:dyDescent="0.25">
      <c r="A14018" t="str">
        <f>"3511174"</f>
        <v>3511174</v>
      </c>
      <c r="B14018" t="s">
        <v>16330</v>
      </c>
      <c r="C14018" t="s">
        <v>412</v>
      </c>
      <c r="D14018" s="21" t="s">
        <v>34</v>
      </c>
      <c r="E14018" s="21" t="s">
        <v>254</v>
      </c>
      <c r="F14018">
        <v>3350014</v>
      </c>
      <c r="G14018" t="s">
        <v>1078</v>
      </c>
      <c r="H14018" s="21">
        <v>881.67</v>
      </c>
    </row>
    <row r="14019" spans="1:8" customFormat="1" x14ac:dyDescent="0.25">
      <c r="A14019" t="str">
        <f>"5430196"</f>
        <v>5430196</v>
      </c>
      <c r="B14019" t="s">
        <v>4959</v>
      </c>
      <c r="C14019" t="s">
        <v>544</v>
      </c>
      <c r="D14019" s="21" t="s">
        <v>34</v>
      </c>
      <c r="E14019" s="21" t="s">
        <v>35</v>
      </c>
      <c r="F14019">
        <v>6540001</v>
      </c>
      <c r="G14019" t="s">
        <v>5886</v>
      </c>
      <c r="H14019" s="21">
        <v>881.67</v>
      </c>
    </row>
    <row r="14020" spans="1:8" customFormat="1" x14ac:dyDescent="0.25">
      <c r="A14020" t="str">
        <f>"8013293"</f>
        <v>8013293</v>
      </c>
      <c r="B14020" t="s">
        <v>10779</v>
      </c>
      <c r="C14020" t="s">
        <v>169</v>
      </c>
      <c r="D14020" s="21" t="s">
        <v>34</v>
      </c>
      <c r="E14020" s="21" t="s">
        <v>35</v>
      </c>
      <c r="F14020">
        <v>7800040</v>
      </c>
      <c r="G14020" t="s">
        <v>1448</v>
      </c>
      <c r="H14020" s="21">
        <v>881.67</v>
      </c>
    </row>
    <row r="14021" spans="1:8" customFormat="1" x14ac:dyDescent="0.25">
      <c r="A14021" t="str">
        <f>"3115750"</f>
        <v>3115750</v>
      </c>
      <c r="B14021" t="s">
        <v>10802</v>
      </c>
      <c r="C14021" t="s">
        <v>285</v>
      </c>
      <c r="D14021" s="21" t="s">
        <v>34</v>
      </c>
      <c r="E14021" s="21" t="s">
        <v>71</v>
      </c>
      <c r="F14021">
        <v>11310060</v>
      </c>
      <c r="G14021" t="s">
        <v>2448</v>
      </c>
      <c r="H14021" s="21">
        <v>881.67</v>
      </c>
    </row>
    <row r="14022" spans="1:8" customFormat="1" x14ac:dyDescent="0.25">
      <c r="A14022" t="str">
        <f>"9238542"</f>
        <v>9238542</v>
      </c>
      <c r="B14022" t="s">
        <v>2459</v>
      </c>
      <c r="C14022" t="s">
        <v>60</v>
      </c>
      <c r="D14022" s="21" t="s">
        <v>34</v>
      </c>
      <c r="E14022" s="21" t="s">
        <v>35</v>
      </c>
      <c r="F14022">
        <v>8920503</v>
      </c>
      <c r="G14022" t="s">
        <v>9047</v>
      </c>
      <c r="H14022" s="21">
        <v>881.67</v>
      </c>
    </row>
    <row r="14023" spans="1:8" customFormat="1" x14ac:dyDescent="0.25">
      <c r="A14023" t="str">
        <f>"013204"</f>
        <v>013204</v>
      </c>
      <c r="B14023" t="s">
        <v>1094</v>
      </c>
      <c r="C14023" t="s">
        <v>119</v>
      </c>
      <c r="D14023" s="21" t="s">
        <v>34</v>
      </c>
      <c r="E14023" s="21" t="s">
        <v>71</v>
      </c>
      <c r="F14023">
        <v>1010054</v>
      </c>
      <c r="G14023" t="s">
        <v>8991</v>
      </c>
      <c r="H14023" s="21">
        <v>881.67</v>
      </c>
    </row>
    <row r="14024" spans="1:8" customFormat="1" x14ac:dyDescent="0.25">
      <c r="A14024" t="str">
        <f>"7515729"</f>
        <v>7515729</v>
      </c>
      <c r="B14024" t="s">
        <v>4754</v>
      </c>
      <c r="C14024" t="s">
        <v>12829</v>
      </c>
      <c r="D14024" s="21" t="s">
        <v>34</v>
      </c>
      <c r="E14024" s="21" t="s">
        <v>71</v>
      </c>
      <c r="F14024">
        <v>8751412</v>
      </c>
      <c r="G14024" t="s">
        <v>3615</v>
      </c>
      <c r="H14024" s="21">
        <v>881.67</v>
      </c>
    </row>
    <row r="14025" spans="1:8" customFormat="1" x14ac:dyDescent="0.25">
      <c r="A14025" t="str">
        <f>"4933269"</f>
        <v>4933269</v>
      </c>
      <c r="B14025" t="s">
        <v>6691</v>
      </c>
      <c r="C14025" t="s">
        <v>211</v>
      </c>
      <c r="D14025" s="21" t="s">
        <v>34</v>
      </c>
      <c r="E14025" s="21" t="s">
        <v>35</v>
      </c>
      <c r="F14025">
        <v>12490120</v>
      </c>
      <c r="G14025" t="s">
        <v>2316</v>
      </c>
      <c r="H14025" s="21">
        <v>881.67</v>
      </c>
    </row>
    <row r="14026" spans="1:8" customFormat="1" x14ac:dyDescent="0.25">
      <c r="A14026" t="str">
        <f>"8610094"</f>
        <v>8610094</v>
      </c>
      <c r="B14026" t="s">
        <v>12338</v>
      </c>
      <c r="C14026" t="s">
        <v>239</v>
      </c>
      <c r="D14026" s="21" t="s">
        <v>34</v>
      </c>
      <c r="E14026" s="21" t="s">
        <v>71</v>
      </c>
      <c r="F14026">
        <v>10860044</v>
      </c>
      <c r="G14026" t="s">
        <v>4984</v>
      </c>
      <c r="H14026" s="21">
        <v>881.54</v>
      </c>
    </row>
    <row r="14027" spans="1:8" customFormat="1" x14ac:dyDescent="0.25">
      <c r="A14027" t="str">
        <f>"9216266"</f>
        <v>9216266</v>
      </c>
      <c r="B14027" t="s">
        <v>1351</v>
      </c>
      <c r="C14027" t="s">
        <v>486</v>
      </c>
      <c r="D14027" s="21" t="s">
        <v>34</v>
      </c>
      <c r="E14027" s="21" t="s">
        <v>71</v>
      </c>
      <c r="F14027">
        <v>8780529</v>
      </c>
      <c r="G14027" t="s">
        <v>8624</v>
      </c>
      <c r="H14027" s="21">
        <v>881.54</v>
      </c>
    </row>
    <row r="14028" spans="1:8" customFormat="1" x14ac:dyDescent="0.25">
      <c r="A14028" t="str">
        <f>"3725207"</f>
        <v>3725207</v>
      </c>
      <c r="B14028" t="s">
        <v>12633</v>
      </c>
      <c r="C14028" t="s">
        <v>249</v>
      </c>
      <c r="D14028" s="21" t="s">
        <v>34</v>
      </c>
      <c r="E14028" s="21" t="s">
        <v>35</v>
      </c>
      <c r="F14028">
        <v>4370425</v>
      </c>
      <c r="G14028" t="s">
        <v>7812</v>
      </c>
      <c r="H14028" s="21">
        <v>881.54</v>
      </c>
    </row>
    <row r="14029" spans="1:8" customFormat="1" x14ac:dyDescent="0.25">
      <c r="A14029" t="str">
        <f>"754852"</f>
        <v>754852</v>
      </c>
      <c r="B14029" t="s">
        <v>10825</v>
      </c>
      <c r="C14029" t="s">
        <v>253</v>
      </c>
      <c r="D14029" s="21" t="s">
        <v>34</v>
      </c>
      <c r="E14029" s="21" t="s">
        <v>254</v>
      </c>
      <c r="F14029">
        <v>8750292</v>
      </c>
      <c r="G14029" t="s">
        <v>9069</v>
      </c>
      <c r="H14029" s="21">
        <v>881.54</v>
      </c>
    </row>
    <row r="14030" spans="1:8" customFormat="1" x14ac:dyDescent="0.25">
      <c r="A14030" t="str">
        <f>"2511343"</f>
        <v>2511343</v>
      </c>
      <c r="B14030" t="s">
        <v>27324</v>
      </c>
      <c r="C14030" t="s">
        <v>2904</v>
      </c>
      <c r="D14030" s="21" t="s">
        <v>34</v>
      </c>
      <c r="E14030" s="21" t="s">
        <v>71</v>
      </c>
      <c r="F14030">
        <v>2250024</v>
      </c>
      <c r="G14030" t="s">
        <v>751</v>
      </c>
      <c r="H14030" s="21">
        <v>881.42</v>
      </c>
    </row>
    <row r="14031" spans="1:8" customFormat="1" x14ac:dyDescent="0.25">
      <c r="A14031" t="str">
        <f>"638076"</f>
        <v>638076</v>
      </c>
      <c r="B14031" t="s">
        <v>12784</v>
      </c>
      <c r="C14031" t="s">
        <v>109</v>
      </c>
      <c r="D14031" s="21" t="s">
        <v>34</v>
      </c>
      <c r="E14031" s="21" t="s">
        <v>71</v>
      </c>
      <c r="F14031">
        <v>1630298</v>
      </c>
      <c r="G14031" t="s">
        <v>7247</v>
      </c>
      <c r="H14031" s="21">
        <v>881.42</v>
      </c>
    </row>
    <row r="14032" spans="1:8" customFormat="1" x14ac:dyDescent="0.25">
      <c r="A14032" t="str">
        <f>"123180"</f>
        <v>123180</v>
      </c>
      <c r="B14032" t="s">
        <v>12385</v>
      </c>
      <c r="C14032" t="s">
        <v>598</v>
      </c>
      <c r="D14032" s="21" t="s">
        <v>34</v>
      </c>
      <c r="E14032" s="21" t="s">
        <v>35</v>
      </c>
      <c r="F14032">
        <v>11120026</v>
      </c>
      <c r="G14032" t="s">
        <v>9107</v>
      </c>
      <c r="H14032" s="21">
        <v>881.42</v>
      </c>
    </row>
    <row r="14033" spans="1:8" customFormat="1" x14ac:dyDescent="0.25">
      <c r="A14033" t="str">
        <f>"842836"</f>
        <v>842836</v>
      </c>
      <c r="B14033" t="s">
        <v>11984</v>
      </c>
      <c r="C14033" t="s">
        <v>202</v>
      </c>
      <c r="D14033" s="21" t="s">
        <v>34</v>
      </c>
      <c r="E14033" s="21" t="s">
        <v>254</v>
      </c>
      <c r="F14033">
        <v>13840038</v>
      </c>
      <c r="G14033" t="s">
        <v>8931</v>
      </c>
      <c r="H14033" s="21">
        <v>881.42</v>
      </c>
    </row>
    <row r="14034" spans="1:8" customFormat="1" x14ac:dyDescent="0.25">
      <c r="A14034" t="str">
        <f>"9141110"</f>
        <v>9141110</v>
      </c>
      <c r="B14034" t="s">
        <v>2313</v>
      </c>
      <c r="C14034" t="s">
        <v>13374</v>
      </c>
      <c r="D14034" s="21" t="s">
        <v>34</v>
      </c>
      <c r="E14034" s="21" t="s">
        <v>71</v>
      </c>
      <c r="F14034">
        <v>8911461</v>
      </c>
      <c r="G14034" t="s">
        <v>6705</v>
      </c>
      <c r="H14034" s="21">
        <v>881.29</v>
      </c>
    </row>
    <row r="14035" spans="1:8" customFormat="1" x14ac:dyDescent="0.25">
      <c r="A14035" t="str">
        <f>"323339"</f>
        <v>323339</v>
      </c>
      <c r="B14035" t="s">
        <v>27325</v>
      </c>
      <c r="C14035" t="s">
        <v>55</v>
      </c>
      <c r="D14035" s="21" t="s">
        <v>34</v>
      </c>
      <c r="E14035" s="21" t="s">
        <v>71</v>
      </c>
      <c r="F14035">
        <v>11320045</v>
      </c>
      <c r="G14035" t="s">
        <v>27117</v>
      </c>
      <c r="H14035" s="21">
        <v>881.17</v>
      </c>
    </row>
    <row r="14036" spans="1:8" customFormat="1" x14ac:dyDescent="0.25">
      <c r="A14036" t="str">
        <f>"844650"</f>
        <v>844650</v>
      </c>
      <c r="B14036" t="s">
        <v>13967</v>
      </c>
      <c r="C14036" t="s">
        <v>211</v>
      </c>
      <c r="D14036" s="21" t="s">
        <v>34</v>
      </c>
      <c r="E14036" s="21" t="s">
        <v>71</v>
      </c>
      <c r="F14036">
        <v>13840058</v>
      </c>
      <c r="G14036" t="s">
        <v>7032</v>
      </c>
      <c r="H14036" s="21">
        <v>881.17</v>
      </c>
    </row>
    <row r="14037" spans="1:8" customFormat="1" x14ac:dyDescent="0.25">
      <c r="A14037" t="str">
        <f>"553035"</f>
        <v>553035</v>
      </c>
      <c r="B14037" t="s">
        <v>3591</v>
      </c>
      <c r="C14037" t="s">
        <v>236</v>
      </c>
      <c r="D14037" s="21" t="s">
        <v>34</v>
      </c>
      <c r="E14037" s="21" t="s">
        <v>71</v>
      </c>
      <c r="F14037">
        <v>6550003</v>
      </c>
      <c r="G14037" t="s">
        <v>7721</v>
      </c>
      <c r="H14037" s="21">
        <v>881.17</v>
      </c>
    </row>
    <row r="14038" spans="1:8" customFormat="1" x14ac:dyDescent="0.25">
      <c r="A14038" t="str">
        <f>"9243570"</f>
        <v>9243570</v>
      </c>
      <c r="B14038" t="s">
        <v>27326</v>
      </c>
      <c r="C14038" t="s">
        <v>43</v>
      </c>
      <c r="D14038" s="21" t="s">
        <v>34</v>
      </c>
      <c r="E14038" s="21" t="s">
        <v>35</v>
      </c>
      <c r="F14038">
        <v>8920067</v>
      </c>
      <c r="G14038" t="s">
        <v>258</v>
      </c>
      <c r="H14038" s="21">
        <v>881.17</v>
      </c>
    </row>
    <row r="14039" spans="1:8" customFormat="1" x14ac:dyDescent="0.25">
      <c r="A14039" t="str">
        <f>"067814"</f>
        <v>067814</v>
      </c>
      <c r="B14039" t="s">
        <v>6889</v>
      </c>
      <c r="C14039" t="s">
        <v>1914</v>
      </c>
      <c r="D14039" s="21" t="s">
        <v>34</v>
      </c>
      <c r="E14039" s="21" t="s">
        <v>35</v>
      </c>
      <c r="F14039">
        <v>13060090</v>
      </c>
      <c r="G14039" t="s">
        <v>1363</v>
      </c>
      <c r="H14039" s="21">
        <v>881.17</v>
      </c>
    </row>
    <row r="14040" spans="1:8" customFormat="1" x14ac:dyDescent="0.25">
      <c r="A14040" t="str">
        <f>"593464"</f>
        <v>593464</v>
      </c>
      <c r="B14040" t="s">
        <v>10605</v>
      </c>
      <c r="C14040" t="s">
        <v>249</v>
      </c>
      <c r="D14040" s="21" t="s">
        <v>34</v>
      </c>
      <c r="E14040" s="21" t="s">
        <v>71</v>
      </c>
      <c r="F14040">
        <v>7590400</v>
      </c>
      <c r="G14040" t="s">
        <v>26692</v>
      </c>
      <c r="H14040" s="21">
        <v>881.17</v>
      </c>
    </row>
    <row r="14041" spans="1:8" customFormat="1" x14ac:dyDescent="0.25">
      <c r="A14041" t="str">
        <f>"517788"</f>
        <v>517788</v>
      </c>
      <c r="B14041" t="s">
        <v>12746</v>
      </c>
      <c r="C14041" t="s">
        <v>1812</v>
      </c>
      <c r="D14041" s="21" t="s">
        <v>34</v>
      </c>
      <c r="E14041" s="21" t="s">
        <v>254</v>
      </c>
      <c r="F14041">
        <v>6510064</v>
      </c>
      <c r="G14041" t="s">
        <v>6183</v>
      </c>
      <c r="H14041" s="21">
        <v>881.17</v>
      </c>
    </row>
    <row r="14042" spans="1:8" customFormat="1" x14ac:dyDescent="0.25">
      <c r="A14042" t="str">
        <f>"6716910"</f>
        <v>6716910</v>
      </c>
      <c r="B14042" t="s">
        <v>13619</v>
      </c>
      <c r="C14042" t="s">
        <v>33</v>
      </c>
      <c r="D14042" s="21" t="s">
        <v>34</v>
      </c>
      <c r="E14042" s="21" t="s">
        <v>35</v>
      </c>
      <c r="F14042">
        <v>6670043</v>
      </c>
      <c r="G14042" t="s">
        <v>5658</v>
      </c>
      <c r="H14042" s="21">
        <v>881.17</v>
      </c>
    </row>
    <row r="14043" spans="1:8" customFormat="1" x14ac:dyDescent="0.25">
      <c r="A14043" t="str">
        <f>"8515378"</f>
        <v>8515378</v>
      </c>
      <c r="B14043" t="s">
        <v>474</v>
      </c>
      <c r="C14043" t="s">
        <v>2276</v>
      </c>
      <c r="D14043" s="21" t="s">
        <v>34</v>
      </c>
      <c r="E14043" s="21" t="s">
        <v>71</v>
      </c>
      <c r="F14043">
        <v>12850138</v>
      </c>
      <c r="G14043" t="s">
        <v>6879</v>
      </c>
      <c r="H14043" s="21">
        <v>881.17</v>
      </c>
    </row>
    <row r="14044" spans="1:8" customFormat="1" x14ac:dyDescent="0.25">
      <c r="A14044" t="str">
        <f>"352535"</f>
        <v>352535</v>
      </c>
      <c r="B14044" t="s">
        <v>12331</v>
      </c>
      <c r="C14044" t="s">
        <v>720</v>
      </c>
      <c r="D14044" s="21" t="s">
        <v>34</v>
      </c>
      <c r="E14044" s="21" t="s">
        <v>1089</v>
      </c>
      <c r="F14044">
        <v>3350122</v>
      </c>
      <c r="G14044" t="s">
        <v>3069</v>
      </c>
      <c r="H14044" s="21">
        <v>881.17</v>
      </c>
    </row>
    <row r="14045" spans="1:8" customFormat="1" x14ac:dyDescent="0.25">
      <c r="A14045" t="str">
        <f>"1418649"</f>
        <v>1418649</v>
      </c>
      <c r="B14045" t="s">
        <v>10802</v>
      </c>
      <c r="C14045" t="s">
        <v>209</v>
      </c>
      <c r="D14045" s="21" t="s">
        <v>34</v>
      </c>
      <c r="E14045" s="21" t="s">
        <v>254</v>
      </c>
      <c r="F14045">
        <v>9140147</v>
      </c>
      <c r="G14045" t="s">
        <v>7584</v>
      </c>
      <c r="H14045" s="21">
        <v>881.17</v>
      </c>
    </row>
    <row r="14046" spans="1:8" customFormat="1" x14ac:dyDescent="0.25">
      <c r="A14046" t="str">
        <f>"5111004"</f>
        <v>5111004</v>
      </c>
      <c r="B14046" t="s">
        <v>12836</v>
      </c>
      <c r="C14046" t="s">
        <v>415</v>
      </c>
      <c r="D14046" s="21" t="s">
        <v>34</v>
      </c>
      <c r="E14046" s="21" t="s">
        <v>71</v>
      </c>
      <c r="F14046">
        <v>6510002</v>
      </c>
      <c r="G14046" t="s">
        <v>4588</v>
      </c>
      <c r="H14046" s="21">
        <v>881.17</v>
      </c>
    </row>
    <row r="14047" spans="1:8" customFormat="1" x14ac:dyDescent="0.25">
      <c r="A14047" t="str">
        <f>"379871"</f>
        <v>379871</v>
      </c>
      <c r="B14047" t="s">
        <v>7583</v>
      </c>
      <c r="C14047" t="s">
        <v>249</v>
      </c>
      <c r="D14047" s="21" t="s">
        <v>34</v>
      </c>
      <c r="E14047" s="21" t="s">
        <v>35</v>
      </c>
      <c r="F14047">
        <v>4370102</v>
      </c>
      <c r="G14047" t="s">
        <v>10707</v>
      </c>
      <c r="H14047" s="21">
        <v>881.17</v>
      </c>
    </row>
    <row r="14048" spans="1:8" customFormat="1" x14ac:dyDescent="0.25">
      <c r="A14048" t="str">
        <f>"7847402"</f>
        <v>7847402</v>
      </c>
      <c r="B14048" t="s">
        <v>12694</v>
      </c>
      <c r="C14048" t="s">
        <v>82</v>
      </c>
      <c r="D14048" s="21" t="s">
        <v>34</v>
      </c>
      <c r="E14048" s="21" t="s">
        <v>35</v>
      </c>
      <c r="F14048">
        <v>4280045</v>
      </c>
      <c r="G14048" t="s">
        <v>787</v>
      </c>
      <c r="H14048" s="21">
        <v>881.17</v>
      </c>
    </row>
    <row r="14049" spans="1:8" customFormat="1" x14ac:dyDescent="0.25">
      <c r="A14049" t="str">
        <f>"619023"</f>
        <v>619023</v>
      </c>
      <c r="B14049" t="s">
        <v>8880</v>
      </c>
      <c r="C14049" t="s">
        <v>209</v>
      </c>
      <c r="D14049" s="21" t="s">
        <v>34</v>
      </c>
      <c r="E14049" s="21" t="s">
        <v>71</v>
      </c>
      <c r="F14049">
        <v>9610144</v>
      </c>
      <c r="G14049" t="s">
        <v>6311</v>
      </c>
      <c r="H14049" s="21">
        <v>881.17</v>
      </c>
    </row>
    <row r="14050" spans="1:8" customFormat="1" x14ac:dyDescent="0.25">
      <c r="A14050" t="str">
        <f>"3420046"</f>
        <v>3420046</v>
      </c>
      <c r="B14050" t="s">
        <v>11569</v>
      </c>
      <c r="C14050" t="s">
        <v>263</v>
      </c>
      <c r="D14050" s="21" t="s">
        <v>34</v>
      </c>
      <c r="E14050" s="21" t="s">
        <v>254</v>
      </c>
      <c r="F14050">
        <v>11340053</v>
      </c>
      <c r="G14050" t="s">
        <v>9935</v>
      </c>
      <c r="H14050" s="21">
        <v>880.92</v>
      </c>
    </row>
    <row r="14051" spans="1:8" customFormat="1" x14ac:dyDescent="0.25">
      <c r="A14051" t="str">
        <f>"3413848"</f>
        <v>3413848</v>
      </c>
      <c r="B14051" t="s">
        <v>9060</v>
      </c>
      <c r="C14051" t="s">
        <v>7441</v>
      </c>
      <c r="D14051" s="21" t="s">
        <v>34</v>
      </c>
      <c r="E14051" s="21" t="s">
        <v>35</v>
      </c>
      <c r="F14051">
        <v>13840005</v>
      </c>
      <c r="G14051" t="s">
        <v>2145</v>
      </c>
      <c r="H14051" s="21">
        <v>880.92</v>
      </c>
    </row>
    <row r="14052" spans="1:8" customFormat="1" x14ac:dyDescent="0.25">
      <c r="A14052" t="str">
        <f>"8310690"</f>
        <v>8310690</v>
      </c>
      <c r="B14052" t="s">
        <v>12033</v>
      </c>
      <c r="C14052" t="s">
        <v>7488</v>
      </c>
      <c r="D14052" s="21" t="s">
        <v>34</v>
      </c>
      <c r="E14052" s="21" t="s">
        <v>35</v>
      </c>
      <c r="F14052">
        <v>13830029</v>
      </c>
      <c r="G14052" t="s">
        <v>315</v>
      </c>
      <c r="H14052" s="21">
        <v>880.92</v>
      </c>
    </row>
    <row r="14053" spans="1:8" customFormat="1" x14ac:dyDescent="0.25">
      <c r="A14053" t="str">
        <f>"5318653"</f>
        <v>5318653</v>
      </c>
      <c r="B14053" t="s">
        <v>2973</v>
      </c>
      <c r="C14053" t="s">
        <v>121</v>
      </c>
      <c r="D14053" s="21" t="s">
        <v>34</v>
      </c>
      <c r="E14053" s="21" t="s">
        <v>35</v>
      </c>
      <c r="F14053">
        <v>12440141</v>
      </c>
      <c r="G14053" t="s">
        <v>3234</v>
      </c>
      <c r="H14053" s="21">
        <v>880.92</v>
      </c>
    </row>
    <row r="14054" spans="1:8" customFormat="1" x14ac:dyDescent="0.25">
      <c r="A14054" t="str">
        <f>"8518721"</f>
        <v>8518721</v>
      </c>
      <c r="B14054" t="s">
        <v>1205</v>
      </c>
      <c r="C14054" t="s">
        <v>1489</v>
      </c>
      <c r="D14054" s="21" t="s">
        <v>34</v>
      </c>
      <c r="E14054" s="21" t="s">
        <v>71</v>
      </c>
      <c r="F14054">
        <v>12850001</v>
      </c>
      <c r="G14054" t="s">
        <v>1197</v>
      </c>
      <c r="H14054" s="21">
        <v>880.67</v>
      </c>
    </row>
    <row r="14055" spans="1:8" customFormat="1" x14ac:dyDescent="0.25">
      <c r="A14055" t="str">
        <f>"758387"</f>
        <v>758387</v>
      </c>
      <c r="B14055" t="s">
        <v>5144</v>
      </c>
      <c r="C14055" t="s">
        <v>415</v>
      </c>
      <c r="D14055" s="21" t="s">
        <v>34</v>
      </c>
      <c r="E14055" s="21" t="s">
        <v>254</v>
      </c>
      <c r="F14055">
        <v>10330017</v>
      </c>
      <c r="G14055" t="s">
        <v>2754</v>
      </c>
      <c r="H14055" s="21">
        <v>880.67</v>
      </c>
    </row>
    <row r="14056" spans="1:8" customFormat="1" x14ac:dyDescent="0.25">
      <c r="A14056" t="str">
        <f>"8520623"</f>
        <v>8520623</v>
      </c>
      <c r="B14056" t="s">
        <v>12189</v>
      </c>
      <c r="C14056" t="s">
        <v>33</v>
      </c>
      <c r="D14056" s="21" t="s">
        <v>34</v>
      </c>
      <c r="E14056" s="21" t="s">
        <v>35</v>
      </c>
      <c r="F14056">
        <v>12850033</v>
      </c>
      <c r="G14056" t="s">
        <v>703</v>
      </c>
      <c r="H14056" s="21">
        <v>880.67</v>
      </c>
    </row>
    <row r="14057" spans="1:8" customFormat="1" x14ac:dyDescent="0.25">
      <c r="A14057" t="str">
        <f>"172388"</f>
        <v>172388</v>
      </c>
      <c r="B14057" t="s">
        <v>12895</v>
      </c>
      <c r="C14057" t="s">
        <v>825</v>
      </c>
      <c r="D14057" s="21" t="s">
        <v>34</v>
      </c>
      <c r="E14057" s="21" t="s">
        <v>71</v>
      </c>
      <c r="F14057">
        <v>10170033</v>
      </c>
      <c r="G14057" t="s">
        <v>3756</v>
      </c>
      <c r="H14057" s="21">
        <v>880.67</v>
      </c>
    </row>
    <row r="14058" spans="1:8" customFormat="1" x14ac:dyDescent="0.25">
      <c r="A14058" t="str">
        <f>"611031"</f>
        <v>611031</v>
      </c>
      <c r="B14058" t="s">
        <v>4199</v>
      </c>
      <c r="C14058" t="s">
        <v>2907</v>
      </c>
      <c r="D14058" s="21" t="s">
        <v>34</v>
      </c>
      <c r="E14058" s="21" t="s">
        <v>71</v>
      </c>
      <c r="F14058">
        <v>9610056</v>
      </c>
      <c r="G14058" t="s">
        <v>11830</v>
      </c>
      <c r="H14058" s="21">
        <v>880.67</v>
      </c>
    </row>
    <row r="14059" spans="1:8" customFormat="1" x14ac:dyDescent="0.25">
      <c r="A14059" t="str">
        <f>"217910"</f>
        <v>217910</v>
      </c>
      <c r="B14059" t="s">
        <v>12856</v>
      </c>
      <c r="C14059" t="s">
        <v>139</v>
      </c>
      <c r="D14059" s="21" t="s">
        <v>34</v>
      </c>
      <c r="E14059" s="21" t="s">
        <v>71</v>
      </c>
      <c r="F14059">
        <v>2210123</v>
      </c>
      <c r="G14059" t="s">
        <v>11231</v>
      </c>
      <c r="H14059" s="21">
        <v>880.67</v>
      </c>
    </row>
    <row r="14060" spans="1:8" customFormat="1" x14ac:dyDescent="0.25">
      <c r="A14060" t="str">
        <f>"637568"</f>
        <v>637568</v>
      </c>
      <c r="B14060" t="s">
        <v>12814</v>
      </c>
      <c r="C14060" t="s">
        <v>239</v>
      </c>
      <c r="D14060" s="21" t="s">
        <v>34</v>
      </c>
      <c r="E14060" s="21" t="s">
        <v>71</v>
      </c>
      <c r="F14060">
        <v>1630332</v>
      </c>
      <c r="G14060" t="s">
        <v>27136</v>
      </c>
      <c r="H14060" s="21">
        <v>880.67</v>
      </c>
    </row>
    <row r="14061" spans="1:8" customFormat="1" x14ac:dyDescent="0.25">
      <c r="A14061" t="str">
        <f>"259831"</f>
        <v>259831</v>
      </c>
      <c r="B14061" t="s">
        <v>12399</v>
      </c>
      <c r="C14061" t="s">
        <v>879</v>
      </c>
      <c r="D14061" s="21" t="s">
        <v>34</v>
      </c>
      <c r="E14061" s="21" t="s">
        <v>71</v>
      </c>
      <c r="F14061">
        <v>2250217</v>
      </c>
      <c r="G14061" t="s">
        <v>11815</v>
      </c>
      <c r="H14061" s="21">
        <v>880.67</v>
      </c>
    </row>
    <row r="14062" spans="1:8" customFormat="1" x14ac:dyDescent="0.25">
      <c r="A14062" t="str">
        <f>"682084"</f>
        <v>682084</v>
      </c>
      <c r="B14062" t="s">
        <v>12458</v>
      </c>
      <c r="C14062" t="s">
        <v>879</v>
      </c>
      <c r="D14062" s="21" t="s">
        <v>34</v>
      </c>
      <c r="E14062" s="21" t="s">
        <v>254</v>
      </c>
      <c r="F14062">
        <v>6680102</v>
      </c>
      <c r="G14062" t="s">
        <v>1232</v>
      </c>
      <c r="H14062" s="21">
        <v>880.67</v>
      </c>
    </row>
    <row r="14063" spans="1:8" customFormat="1" x14ac:dyDescent="0.25">
      <c r="A14063" t="str">
        <f>"37785"</f>
        <v>37785</v>
      </c>
      <c r="B14063" t="s">
        <v>10835</v>
      </c>
      <c r="C14063" t="s">
        <v>598</v>
      </c>
      <c r="D14063" s="21" t="s">
        <v>34</v>
      </c>
      <c r="E14063" s="21" t="s">
        <v>71</v>
      </c>
      <c r="F14063">
        <v>4410015</v>
      </c>
      <c r="G14063" t="s">
        <v>2223</v>
      </c>
      <c r="H14063" s="21">
        <v>880.67</v>
      </c>
    </row>
    <row r="14064" spans="1:8" customFormat="1" x14ac:dyDescent="0.25">
      <c r="A14064" t="str">
        <f>"627628"</f>
        <v>627628</v>
      </c>
      <c r="B14064" t="s">
        <v>13518</v>
      </c>
      <c r="C14064" t="s">
        <v>13519</v>
      </c>
      <c r="D14064" s="21" t="s">
        <v>34</v>
      </c>
      <c r="E14064" s="21" t="s">
        <v>35</v>
      </c>
      <c r="F14064">
        <v>7620040</v>
      </c>
      <c r="G14064" t="s">
        <v>1319</v>
      </c>
      <c r="H14064" s="21">
        <v>880.67</v>
      </c>
    </row>
    <row r="14065" spans="1:8" customFormat="1" x14ac:dyDescent="0.25">
      <c r="A14065" t="str">
        <f>"9527493"</f>
        <v>9527493</v>
      </c>
      <c r="B14065" t="s">
        <v>27327</v>
      </c>
      <c r="C14065" t="s">
        <v>27328</v>
      </c>
      <c r="D14065" s="21" t="s">
        <v>34</v>
      </c>
      <c r="E14065" s="21" t="s">
        <v>35</v>
      </c>
      <c r="F14065">
        <v>8950330</v>
      </c>
      <c r="G14065" t="s">
        <v>794</v>
      </c>
      <c r="H14065" s="21">
        <v>880.67</v>
      </c>
    </row>
    <row r="14066" spans="1:8" customFormat="1" x14ac:dyDescent="0.25">
      <c r="A14066" t="str">
        <f>"2511306"</f>
        <v>2511306</v>
      </c>
      <c r="B14066" t="s">
        <v>12469</v>
      </c>
      <c r="C14066" t="s">
        <v>879</v>
      </c>
      <c r="D14066" s="21" t="s">
        <v>34</v>
      </c>
      <c r="E14066" s="21" t="s">
        <v>254</v>
      </c>
      <c r="F14066">
        <v>2250017</v>
      </c>
      <c r="G14066" t="s">
        <v>521</v>
      </c>
      <c r="H14066" s="21">
        <v>880.67</v>
      </c>
    </row>
    <row r="14067" spans="1:8" customFormat="1" x14ac:dyDescent="0.25">
      <c r="A14067" t="str">
        <f>"7639957"</f>
        <v>7639957</v>
      </c>
      <c r="B14067" t="s">
        <v>14630</v>
      </c>
      <c r="C14067" t="s">
        <v>209</v>
      </c>
      <c r="D14067" s="21" t="s">
        <v>34</v>
      </c>
      <c r="E14067" s="21" t="s">
        <v>35</v>
      </c>
      <c r="F14067">
        <v>9760015</v>
      </c>
      <c r="G14067" t="s">
        <v>5277</v>
      </c>
      <c r="H14067" s="21">
        <v>880.67</v>
      </c>
    </row>
    <row r="14068" spans="1:8" customFormat="1" x14ac:dyDescent="0.25">
      <c r="A14068" t="str">
        <f>"722930"</f>
        <v>722930</v>
      </c>
      <c r="B14068" t="s">
        <v>1802</v>
      </c>
      <c r="C14068" t="s">
        <v>879</v>
      </c>
      <c r="D14068" s="21" t="s">
        <v>34</v>
      </c>
      <c r="E14068" s="21" t="s">
        <v>71</v>
      </c>
      <c r="F14068">
        <v>12720005</v>
      </c>
      <c r="G14068" t="s">
        <v>999</v>
      </c>
      <c r="H14068" s="21">
        <v>880.67</v>
      </c>
    </row>
    <row r="14069" spans="1:8" customFormat="1" x14ac:dyDescent="0.25">
      <c r="A14069" t="str">
        <f>"6716300"</f>
        <v>6716300</v>
      </c>
      <c r="B14069" t="s">
        <v>14347</v>
      </c>
      <c r="C14069" t="s">
        <v>712</v>
      </c>
      <c r="D14069" s="21" t="s">
        <v>34</v>
      </c>
      <c r="E14069" s="21" t="s">
        <v>71</v>
      </c>
      <c r="F14069">
        <v>6670256</v>
      </c>
      <c r="G14069" t="s">
        <v>14348</v>
      </c>
      <c r="H14069" s="21">
        <v>880.67</v>
      </c>
    </row>
    <row r="14070" spans="1:8" customFormat="1" x14ac:dyDescent="0.25">
      <c r="A14070" t="str">
        <f>"9517824"</f>
        <v>9517824</v>
      </c>
      <c r="B14070" t="s">
        <v>12928</v>
      </c>
      <c r="C14070" t="s">
        <v>169</v>
      </c>
      <c r="D14070" s="21" t="s">
        <v>34</v>
      </c>
      <c r="E14070" s="21" t="s">
        <v>71</v>
      </c>
      <c r="F14070">
        <v>8950262</v>
      </c>
      <c r="G14070" t="s">
        <v>1881</v>
      </c>
      <c r="H14070" s="21">
        <v>880.67</v>
      </c>
    </row>
    <row r="14071" spans="1:8" customFormat="1" x14ac:dyDescent="0.25">
      <c r="A14071" t="str">
        <f>"5913189"</f>
        <v>5913189</v>
      </c>
      <c r="B14071" t="s">
        <v>11985</v>
      </c>
      <c r="C14071" t="s">
        <v>209</v>
      </c>
      <c r="D14071" s="21" t="s">
        <v>34</v>
      </c>
      <c r="E14071" s="21" t="s">
        <v>254</v>
      </c>
      <c r="F14071">
        <v>7590204</v>
      </c>
      <c r="G14071" t="s">
        <v>696</v>
      </c>
      <c r="H14071" s="21">
        <v>880.67</v>
      </c>
    </row>
    <row r="14072" spans="1:8" customFormat="1" x14ac:dyDescent="0.25">
      <c r="A14072" t="str">
        <f>"9111024"</f>
        <v>9111024</v>
      </c>
      <c r="B14072" t="s">
        <v>13303</v>
      </c>
      <c r="C14072" t="s">
        <v>13304</v>
      </c>
      <c r="D14072" s="21" t="s">
        <v>34</v>
      </c>
      <c r="E14072" s="21" t="s">
        <v>71</v>
      </c>
      <c r="F14072">
        <v>8910285</v>
      </c>
      <c r="G14072" t="s">
        <v>26604</v>
      </c>
      <c r="H14072" s="21">
        <v>880.67</v>
      </c>
    </row>
    <row r="14073" spans="1:8" customFormat="1" x14ac:dyDescent="0.25">
      <c r="A14073" t="str">
        <f>"89428"</f>
        <v>89428</v>
      </c>
      <c r="B14073" t="s">
        <v>11907</v>
      </c>
      <c r="C14073" t="s">
        <v>825</v>
      </c>
      <c r="D14073" s="21" t="s">
        <v>34</v>
      </c>
      <c r="E14073" s="21" t="s">
        <v>35</v>
      </c>
      <c r="F14073">
        <v>2890005</v>
      </c>
      <c r="G14073" t="s">
        <v>2889</v>
      </c>
      <c r="H14073" s="21">
        <v>880.67</v>
      </c>
    </row>
    <row r="14074" spans="1:8" customFormat="1" x14ac:dyDescent="0.25">
      <c r="A14074" t="str">
        <f>"172668"</f>
        <v>172668</v>
      </c>
      <c r="B14074" t="s">
        <v>12364</v>
      </c>
      <c r="C14074" t="s">
        <v>249</v>
      </c>
      <c r="D14074" s="21" t="s">
        <v>34</v>
      </c>
      <c r="E14074" s="21" t="s">
        <v>71</v>
      </c>
      <c r="F14074">
        <v>10170218</v>
      </c>
      <c r="G14074" t="s">
        <v>8381</v>
      </c>
      <c r="H14074" s="21">
        <v>880.67</v>
      </c>
    </row>
    <row r="14075" spans="1:8" customFormat="1" x14ac:dyDescent="0.25">
      <c r="A14075" t="str">
        <f>"252892"</f>
        <v>252892</v>
      </c>
      <c r="B14075" t="s">
        <v>12254</v>
      </c>
      <c r="C14075" t="s">
        <v>547</v>
      </c>
      <c r="D14075" s="21" t="s">
        <v>34</v>
      </c>
      <c r="E14075" s="21" t="s">
        <v>254</v>
      </c>
      <c r="F14075">
        <v>2250031</v>
      </c>
      <c r="G14075" t="s">
        <v>3011</v>
      </c>
      <c r="H14075" s="21">
        <v>880.67</v>
      </c>
    </row>
    <row r="14076" spans="1:8" customFormat="1" x14ac:dyDescent="0.25">
      <c r="A14076" t="str">
        <f>"6930935"</f>
        <v>6930935</v>
      </c>
      <c r="B14076" t="s">
        <v>12756</v>
      </c>
      <c r="C14076" t="s">
        <v>33</v>
      </c>
      <c r="D14076" s="21" t="s">
        <v>34</v>
      </c>
      <c r="E14076" s="21" t="s">
        <v>35</v>
      </c>
      <c r="F14076">
        <v>1690103</v>
      </c>
      <c r="G14076" t="s">
        <v>5411</v>
      </c>
      <c r="H14076" s="21">
        <v>880.67</v>
      </c>
    </row>
    <row r="14077" spans="1:8" customFormat="1" x14ac:dyDescent="0.25">
      <c r="A14077" t="str">
        <f>"7831008"</f>
        <v>7831008</v>
      </c>
      <c r="B14077" t="s">
        <v>6558</v>
      </c>
      <c r="C14077" t="s">
        <v>119</v>
      </c>
      <c r="D14077" s="21" t="s">
        <v>34</v>
      </c>
      <c r="E14077" s="21" t="s">
        <v>35</v>
      </c>
      <c r="F14077">
        <v>8780571</v>
      </c>
      <c r="G14077" t="s">
        <v>2336</v>
      </c>
      <c r="H14077" s="21">
        <v>880.67</v>
      </c>
    </row>
    <row r="14078" spans="1:8" customFormat="1" x14ac:dyDescent="0.25">
      <c r="A14078" t="str">
        <f>"5017879"</f>
        <v>5017879</v>
      </c>
      <c r="B14078" t="s">
        <v>3709</v>
      </c>
      <c r="C14078" t="s">
        <v>2529</v>
      </c>
      <c r="D14078" s="21" t="s">
        <v>34</v>
      </c>
      <c r="E14078" s="21" t="s">
        <v>35</v>
      </c>
      <c r="F14078">
        <v>9500031</v>
      </c>
      <c r="G14078" t="s">
        <v>11126</v>
      </c>
      <c r="H14078" s="21">
        <v>880.67</v>
      </c>
    </row>
    <row r="14079" spans="1:8" customFormat="1" x14ac:dyDescent="0.25">
      <c r="A14079" t="str">
        <f>"627646"</f>
        <v>627646</v>
      </c>
      <c r="B14079" t="s">
        <v>2637</v>
      </c>
      <c r="C14079" t="s">
        <v>7952</v>
      </c>
      <c r="D14079" s="21" t="s">
        <v>34</v>
      </c>
      <c r="E14079" s="21" t="s">
        <v>35</v>
      </c>
      <c r="F14079">
        <v>7620092</v>
      </c>
      <c r="G14079" t="s">
        <v>9874</v>
      </c>
      <c r="H14079" s="21">
        <v>880.67</v>
      </c>
    </row>
    <row r="14080" spans="1:8" customFormat="1" x14ac:dyDescent="0.25">
      <c r="A14080" t="str">
        <f>"4920062"</f>
        <v>4920062</v>
      </c>
      <c r="B14080" t="s">
        <v>7653</v>
      </c>
      <c r="C14080" t="s">
        <v>1110</v>
      </c>
      <c r="D14080" s="21" t="s">
        <v>34</v>
      </c>
      <c r="E14080" s="21" t="s">
        <v>254</v>
      </c>
      <c r="F14080">
        <v>12490063</v>
      </c>
      <c r="G14080" t="s">
        <v>329</v>
      </c>
      <c r="H14080" s="21">
        <v>880.67</v>
      </c>
    </row>
    <row r="14081" spans="1:8" customFormat="1" x14ac:dyDescent="0.25">
      <c r="A14081" t="str">
        <f>"9531308"</f>
        <v>9531308</v>
      </c>
      <c r="B14081" t="s">
        <v>461</v>
      </c>
      <c r="C14081" t="s">
        <v>43</v>
      </c>
      <c r="D14081" s="21" t="s">
        <v>34</v>
      </c>
      <c r="E14081" s="21" t="s">
        <v>35</v>
      </c>
      <c r="F14081">
        <v>8950435</v>
      </c>
      <c r="G14081" t="s">
        <v>6404</v>
      </c>
      <c r="H14081" s="21">
        <v>880.67</v>
      </c>
    </row>
    <row r="14082" spans="1:8" customFormat="1" x14ac:dyDescent="0.25">
      <c r="A14082" t="str">
        <f>"9448514"</f>
        <v>9448514</v>
      </c>
      <c r="B14082" t="s">
        <v>8669</v>
      </c>
      <c r="C14082" t="s">
        <v>124</v>
      </c>
      <c r="D14082" s="21" t="s">
        <v>34</v>
      </c>
      <c r="E14082" s="21" t="s">
        <v>35</v>
      </c>
      <c r="F14082">
        <v>8940482</v>
      </c>
      <c r="G14082" t="s">
        <v>2560</v>
      </c>
      <c r="H14082" s="21">
        <v>880.17</v>
      </c>
    </row>
    <row r="14083" spans="1:8" customFormat="1" x14ac:dyDescent="0.25">
      <c r="A14083" t="str">
        <f>"7620896"</f>
        <v>7620896</v>
      </c>
      <c r="B14083" t="s">
        <v>13893</v>
      </c>
      <c r="C14083" t="s">
        <v>65</v>
      </c>
      <c r="D14083" s="21" t="s">
        <v>34</v>
      </c>
      <c r="E14083" s="21" t="s">
        <v>71</v>
      </c>
      <c r="F14083">
        <v>9760403</v>
      </c>
      <c r="G14083" t="s">
        <v>11140</v>
      </c>
      <c r="H14083" s="21">
        <v>880.17</v>
      </c>
    </row>
    <row r="14084" spans="1:8" customFormat="1" x14ac:dyDescent="0.25">
      <c r="A14084" t="str">
        <f>"317656"</f>
        <v>317656</v>
      </c>
      <c r="B14084" t="s">
        <v>8800</v>
      </c>
      <c r="C14084" t="s">
        <v>926</v>
      </c>
      <c r="D14084" s="21" t="s">
        <v>34</v>
      </c>
      <c r="E14084" s="21" t="s">
        <v>254</v>
      </c>
      <c r="F14084">
        <v>11310047</v>
      </c>
      <c r="G14084" t="s">
        <v>2188</v>
      </c>
      <c r="H14084" s="21">
        <v>880.17</v>
      </c>
    </row>
    <row r="14085" spans="1:8" customFormat="1" x14ac:dyDescent="0.25">
      <c r="A14085" t="str">
        <f>"3113792"</f>
        <v>3113792</v>
      </c>
      <c r="B14085" t="s">
        <v>12560</v>
      </c>
      <c r="C14085" t="s">
        <v>33</v>
      </c>
      <c r="D14085" s="21" t="s">
        <v>34</v>
      </c>
      <c r="E14085" s="21" t="s">
        <v>35</v>
      </c>
      <c r="F14085">
        <v>11310011</v>
      </c>
      <c r="G14085" t="s">
        <v>26586</v>
      </c>
      <c r="H14085" s="21">
        <v>880.17</v>
      </c>
    </row>
    <row r="14086" spans="1:8" customFormat="1" x14ac:dyDescent="0.25">
      <c r="A14086" t="str">
        <f>"806895"</f>
        <v>806895</v>
      </c>
      <c r="B14086" t="s">
        <v>6868</v>
      </c>
      <c r="C14086" t="s">
        <v>174</v>
      </c>
      <c r="D14086" s="21" t="s">
        <v>34</v>
      </c>
      <c r="E14086" s="21" t="s">
        <v>35</v>
      </c>
      <c r="F14086">
        <v>9760374</v>
      </c>
      <c r="G14086" t="s">
        <v>6867</v>
      </c>
      <c r="H14086" s="21">
        <v>880.17</v>
      </c>
    </row>
    <row r="14087" spans="1:8" customFormat="1" x14ac:dyDescent="0.25">
      <c r="A14087" t="str">
        <f>"7622882"</f>
        <v>7622882</v>
      </c>
      <c r="B14087" t="s">
        <v>13974</v>
      </c>
      <c r="C14087" t="s">
        <v>114</v>
      </c>
      <c r="D14087" s="21" t="s">
        <v>34</v>
      </c>
      <c r="E14087" s="21" t="s">
        <v>254</v>
      </c>
      <c r="F14087">
        <v>9760269</v>
      </c>
      <c r="G14087" t="s">
        <v>10282</v>
      </c>
      <c r="H14087" s="21">
        <v>880.17</v>
      </c>
    </row>
    <row r="14088" spans="1:8" customFormat="1" x14ac:dyDescent="0.25">
      <c r="A14088" t="str">
        <f>"188365"</f>
        <v>188365</v>
      </c>
      <c r="B14088" t="s">
        <v>5135</v>
      </c>
      <c r="C14088" t="s">
        <v>462</v>
      </c>
      <c r="D14088" s="21" t="s">
        <v>34</v>
      </c>
      <c r="E14088" s="21" t="s">
        <v>35</v>
      </c>
      <c r="F14088">
        <v>4180313</v>
      </c>
      <c r="G14088" t="s">
        <v>10486</v>
      </c>
      <c r="H14088" s="21">
        <v>880.17</v>
      </c>
    </row>
    <row r="14089" spans="1:8" customFormat="1" x14ac:dyDescent="0.25">
      <c r="A14089" t="str">
        <f>"533183"</f>
        <v>533183</v>
      </c>
      <c r="B14089" t="s">
        <v>138</v>
      </c>
      <c r="C14089" t="s">
        <v>40</v>
      </c>
      <c r="D14089" s="21" t="s">
        <v>34</v>
      </c>
      <c r="E14089" s="21" t="s">
        <v>254</v>
      </c>
      <c r="F14089">
        <v>12530065</v>
      </c>
      <c r="G14089" t="s">
        <v>10009</v>
      </c>
      <c r="H14089" s="21">
        <v>880.17</v>
      </c>
    </row>
    <row r="14090" spans="1:8" customFormat="1" x14ac:dyDescent="0.25">
      <c r="A14090" t="str">
        <f>"685968"</f>
        <v>685968</v>
      </c>
      <c r="B14090" t="s">
        <v>13302</v>
      </c>
      <c r="C14090" t="s">
        <v>267</v>
      </c>
      <c r="D14090" s="21" t="s">
        <v>34</v>
      </c>
      <c r="E14090" s="21" t="s">
        <v>71</v>
      </c>
      <c r="F14090">
        <v>6680080</v>
      </c>
      <c r="G14090" t="s">
        <v>7771</v>
      </c>
      <c r="H14090" s="21">
        <v>880.17</v>
      </c>
    </row>
    <row r="14091" spans="1:8" customFormat="1" x14ac:dyDescent="0.25">
      <c r="A14091" t="str">
        <f>"5937092"</f>
        <v>5937092</v>
      </c>
      <c r="B14091" t="s">
        <v>11468</v>
      </c>
      <c r="C14091" t="s">
        <v>62</v>
      </c>
      <c r="D14091" s="21" t="s">
        <v>34</v>
      </c>
      <c r="E14091" s="21" t="s">
        <v>35</v>
      </c>
      <c r="F14091">
        <v>7590058</v>
      </c>
      <c r="G14091" t="s">
        <v>5044</v>
      </c>
      <c r="H14091" s="21">
        <v>880.17</v>
      </c>
    </row>
    <row r="14092" spans="1:8" customFormat="1" x14ac:dyDescent="0.25">
      <c r="A14092" t="str">
        <f>"011289"</f>
        <v>011289</v>
      </c>
      <c r="B14092" t="s">
        <v>2438</v>
      </c>
      <c r="C14092" t="s">
        <v>269</v>
      </c>
      <c r="D14092" s="21" t="s">
        <v>34</v>
      </c>
      <c r="E14092" s="21" t="s">
        <v>71</v>
      </c>
      <c r="F14092">
        <v>1010034</v>
      </c>
      <c r="G14092" t="s">
        <v>10420</v>
      </c>
      <c r="H14092" s="21">
        <v>880.17</v>
      </c>
    </row>
    <row r="14093" spans="1:8" customFormat="1" x14ac:dyDescent="0.25">
      <c r="A14093" t="str">
        <f>"803705"</f>
        <v>803705</v>
      </c>
      <c r="B14093" t="s">
        <v>11958</v>
      </c>
      <c r="C14093" t="s">
        <v>598</v>
      </c>
      <c r="D14093" s="21" t="s">
        <v>34</v>
      </c>
      <c r="E14093" s="21" t="s">
        <v>1089</v>
      </c>
      <c r="F14093">
        <v>7800011</v>
      </c>
      <c r="G14093" t="s">
        <v>2253</v>
      </c>
      <c r="H14093" s="21">
        <v>880.17</v>
      </c>
    </row>
    <row r="14094" spans="1:8" customFormat="1" x14ac:dyDescent="0.25">
      <c r="A14094" t="str">
        <f>"4210335"</f>
        <v>4210335</v>
      </c>
      <c r="B14094" t="s">
        <v>13635</v>
      </c>
      <c r="C14094" t="s">
        <v>33</v>
      </c>
      <c r="D14094" s="21" t="s">
        <v>34</v>
      </c>
      <c r="E14094" s="21" t="s">
        <v>71</v>
      </c>
      <c r="F14094">
        <v>1420151</v>
      </c>
      <c r="G14094" t="s">
        <v>6802</v>
      </c>
      <c r="H14094" s="21">
        <v>880.17</v>
      </c>
    </row>
    <row r="14095" spans="1:8" customFormat="1" x14ac:dyDescent="0.25">
      <c r="A14095" t="str">
        <f>"6220994"</f>
        <v>6220994</v>
      </c>
      <c r="B14095" t="s">
        <v>2846</v>
      </c>
      <c r="C14095" t="s">
        <v>60</v>
      </c>
      <c r="D14095" s="21" t="s">
        <v>34</v>
      </c>
      <c r="E14095" s="21" t="s">
        <v>35</v>
      </c>
      <c r="F14095">
        <v>7620044</v>
      </c>
      <c r="G14095" t="s">
        <v>2961</v>
      </c>
      <c r="H14095" s="21">
        <v>880.17</v>
      </c>
    </row>
    <row r="14096" spans="1:8" customFormat="1" x14ac:dyDescent="0.25">
      <c r="A14096" t="str">
        <f>"73326"</f>
        <v>73326</v>
      </c>
      <c r="B14096" t="s">
        <v>13049</v>
      </c>
      <c r="C14096" t="s">
        <v>453</v>
      </c>
      <c r="D14096" s="21" t="s">
        <v>34</v>
      </c>
      <c r="E14096" s="21" t="s">
        <v>254</v>
      </c>
      <c r="F14096">
        <v>1730048</v>
      </c>
      <c r="G14096" t="s">
        <v>3173</v>
      </c>
      <c r="H14096" s="21">
        <v>880.17</v>
      </c>
    </row>
    <row r="14097" spans="1:8" customFormat="1" x14ac:dyDescent="0.25">
      <c r="A14097" t="str">
        <f>"733663"</f>
        <v>733663</v>
      </c>
      <c r="B14097" t="s">
        <v>13275</v>
      </c>
      <c r="C14097" t="s">
        <v>249</v>
      </c>
      <c r="D14097" s="21" t="s">
        <v>34</v>
      </c>
      <c r="E14097" s="21" t="s">
        <v>35</v>
      </c>
      <c r="F14097">
        <v>1730048</v>
      </c>
      <c r="G14097" t="s">
        <v>3173</v>
      </c>
      <c r="H14097" s="21">
        <v>880.04</v>
      </c>
    </row>
    <row r="14098" spans="1:8" customFormat="1" x14ac:dyDescent="0.25">
      <c r="A14098" t="str">
        <f>"473835"</f>
        <v>473835</v>
      </c>
      <c r="B14098" t="s">
        <v>5119</v>
      </c>
      <c r="C14098" t="s">
        <v>109</v>
      </c>
      <c r="D14098" s="21" t="s">
        <v>34</v>
      </c>
      <c r="E14098" s="21" t="s">
        <v>35</v>
      </c>
      <c r="F14098">
        <v>10470002</v>
      </c>
      <c r="G14098" t="s">
        <v>13066</v>
      </c>
      <c r="H14098" s="21">
        <v>880</v>
      </c>
    </row>
    <row r="14099" spans="1:8" customFormat="1" x14ac:dyDescent="0.25">
      <c r="A14099" t="str">
        <f>"5323371"</f>
        <v>5323371</v>
      </c>
      <c r="B14099" t="s">
        <v>6634</v>
      </c>
      <c r="C14099" t="s">
        <v>151</v>
      </c>
      <c r="D14099" s="21" t="s">
        <v>34</v>
      </c>
      <c r="E14099" s="21" t="s">
        <v>35</v>
      </c>
      <c r="F14099">
        <v>12530064</v>
      </c>
      <c r="G14099" t="s">
        <v>3699</v>
      </c>
      <c r="H14099" s="21">
        <v>879.92</v>
      </c>
    </row>
    <row r="14100" spans="1:8" customFormat="1" x14ac:dyDescent="0.25">
      <c r="A14100" t="str">
        <f>"9419216"</f>
        <v>9419216</v>
      </c>
      <c r="B14100" t="s">
        <v>13203</v>
      </c>
      <c r="C14100" t="s">
        <v>13204</v>
      </c>
      <c r="D14100" s="21" t="s">
        <v>34</v>
      </c>
      <c r="E14100" s="21" t="s">
        <v>254</v>
      </c>
      <c r="F14100">
        <v>8940482</v>
      </c>
      <c r="G14100" t="s">
        <v>2560</v>
      </c>
      <c r="H14100" s="21">
        <v>879.79</v>
      </c>
    </row>
    <row r="14101" spans="1:8" customFormat="1" x14ac:dyDescent="0.25">
      <c r="A14101" t="str">
        <f>"306508"</f>
        <v>306508</v>
      </c>
      <c r="B14101" t="s">
        <v>12243</v>
      </c>
      <c r="C14101" t="s">
        <v>2276</v>
      </c>
      <c r="D14101" s="21" t="s">
        <v>34</v>
      </c>
      <c r="E14101" s="21" t="s">
        <v>71</v>
      </c>
      <c r="F14101">
        <v>11300008</v>
      </c>
      <c r="G14101" t="s">
        <v>3165</v>
      </c>
      <c r="H14101" s="21">
        <v>879.67</v>
      </c>
    </row>
    <row r="14102" spans="1:8" customFormat="1" x14ac:dyDescent="0.25">
      <c r="A14102" t="str">
        <f>"6215443"</f>
        <v>6215443</v>
      </c>
      <c r="B14102" t="s">
        <v>12745</v>
      </c>
      <c r="C14102" t="s">
        <v>879</v>
      </c>
      <c r="D14102" s="21" t="s">
        <v>34</v>
      </c>
      <c r="E14102" s="21" t="s">
        <v>71</v>
      </c>
      <c r="F14102">
        <v>7620044</v>
      </c>
      <c r="G14102" t="s">
        <v>2961</v>
      </c>
      <c r="H14102" s="21">
        <v>879.67</v>
      </c>
    </row>
    <row r="14103" spans="1:8" customFormat="1" x14ac:dyDescent="0.25">
      <c r="A14103" t="str">
        <f>"8312837"</f>
        <v>8312837</v>
      </c>
      <c r="B14103" t="s">
        <v>4494</v>
      </c>
      <c r="C14103" t="s">
        <v>12891</v>
      </c>
      <c r="D14103" s="21" t="s">
        <v>34</v>
      </c>
      <c r="E14103" s="21" t="s">
        <v>71</v>
      </c>
      <c r="F14103">
        <v>13830066</v>
      </c>
      <c r="G14103" t="s">
        <v>7148</v>
      </c>
      <c r="H14103" s="21">
        <v>879.67</v>
      </c>
    </row>
    <row r="14104" spans="1:8" customFormat="1" x14ac:dyDescent="0.25">
      <c r="A14104" t="str">
        <f>"153907"</f>
        <v>153907</v>
      </c>
      <c r="B14104" t="s">
        <v>1422</v>
      </c>
      <c r="C14104" t="s">
        <v>1868</v>
      </c>
      <c r="D14104" s="21" t="s">
        <v>34</v>
      </c>
      <c r="E14104" s="21" t="s">
        <v>35</v>
      </c>
      <c r="F14104">
        <v>1150304</v>
      </c>
      <c r="G14104" t="s">
        <v>5647</v>
      </c>
      <c r="H14104" s="21">
        <v>879.67</v>
      </c>
    </row>
    <row r="14105" spans="1:8" customFormat="1" x14ac:dyDescent="0.25">
      <c r="A14105" t="str">
        <f>"958365"</f>
        <v>958365</v>
      </c>
      <c r="B14105" t="s">
        <v>12369</v>
      </c>
      <c r="C14105" t="s">
        <v>453</v>
      </c>
      <c r="D14105" s="21" t="s">
        <v>34</v>
      </c>
      <c r="E14105" s="21" t="s">
        <v>71</v>
      </c>
      <c r="F14105">
        <v>8951386</v>
      </c>
      <c r="G14105" t="s">
        <v>7765</v>
      </c>
      <c r="H14105" s="21">
        <v>879.67</v>
      </c>
    </row>
    <row r="14106" spans="1:8" customFormat="1" x14ac:dyDescent="0.25">
      <c r="A14106" t="str">
        <f>"3818383"</f>
        <v>3818383</v>
      </c>
      <c r="B14106" t="s">
        <v>12371</v>
      </c>
      <c r="C14106" t="s">
        <v>1025</v>
      </c>
      <c r="D14106" s="21" t="s">
        <v>34</v>
      </c>
      <c r="E14106" s="21" t="s">
        <v>35</v>
      </c>
      <c r="F14106">
        <v>1380267</v>
      </c>
      <c r="G14106" t="s">
        <v>1002</v>
      </c>
      <c r="H14106" s="21">
        <v>879.67</v>
      </c>
    </row>
    <row r="14107" spans="1:8" customFormat="1" x14ac:dyDescent="0.25">
      <c r="A14107" t="str">
        <f>"859148"</f>
        <v>859148</v>
      </c>
      <c r="B14107" t="s">
        <v>12824</v>
      </c>
      <c r="C14107" t="s">
        <v>528</v>
      </c>
      <c r="D14107" s="21" t="s">
        <v>34</v>
      </c>
      <c r="E14107" s="21" t="s">
        <v>254</v>
      </c>
      <c r="F14107">
        <v>10790235</v>
      </c>
      <c r="G14107" t="s">
        <v>413</v>
      </c>
      <c r="H14107" s="21">
        <v>879.67</v>
      </c>
    </row>
    <row r="14108" spans="1:8" customFormat="1" x14ac:dyDescent="0.25">
      <c r="A14108" t="str">
        <f>"792945"</f>
        <v>792945</v>
      </c>
      <c r="B14108" t="s">
        <v>1349</v>
      </c>
      <c r="C14108" t="s">
        <v>40</v>
      </c>
      <c r="D14108" s="21" t="s">
        <v>34</v>
      </c>
      <c r="E14108" s="21" t="s">
        <v>71</v>
      </c>
      <c r="F14108">
        <v>10790058</v>
      </c>
      <c r="G14108" t="s">
        <v>6512</v>
      </c>
      <c r="H14108" s="21">
        <v>879.67</v>
      </c>
    </row>
    <row r="14109" spans="1:8" customFormat="1" x14ac:dyDescent="0.25">
      <c r="A14109" t="str">
        <f>"7625542"</f>
        <v>7625542</v>
      </c>
      <c r="B14109" t="s">
        <v>1341</v>
      </c>
      <c r="C14109" t="s">
        <v>822</v>
      </c>
      <c r="D14109" s="21" t="s">
        <v>34</v>
      </c>
      <c r="E14109" s="21" t="s">
        <v>71</v>
      </c>
      <c r="F14109">
        <v>9760414</v>
      </c>
      <c r="G14109" t="s">
        <v>142</v>
      </c>
      <c r="H14109" s="21">
        <v>879.67</v>
      </c>
    </row>
    <row r="14110" spans="1:8" customFormat="1" x14ac:dyDescent="0.25">
      <c r="A14110" t="str">
        <f>"3823979"</f>
        <v>3823979</v>
      </c>
      <c r="B14110" t="s">
        <v>6906</v>
      </c>
      <c r="C14110" t="s">
        <v>33</v>
      </c>
      <c r="D14110" s="21" t="s">
        <v>34</v>
      </c>
      <c r="E14110" s="21" t="s">
        <v>71</v>
      </c>
      <c r="F14110">
        <v>1380275</v>
      </c>
      <c r="G14110" t="s">
        <v>8042</v>
      </c>
      <c r="H14110" s="21">
        <v>879.67</v>
      </c>
    </row>
    <row r="14111" spans="1:8" customFormat="1" x14ac:dyDescent="0.25">
      <c r="A14111" t="str">
        <f>"639944"</f>
        <v>639944</v>
      </c>
      <c r="B14111" t="s">
        <v>3660</v>
      </c>
      <c r="C14111" t="s">
        <v>11786</v>
      </c>
      <c r="D14111" s="21" t="s">
        <v>34</v>
      </c>
      <c r="E14111" s="21" t="s">
        <v>71</v>
      </c>
      <c r="F14111">
        <v>1630134</v>
      </c>
      <c r="G14111" t="s">
        <v>11787</v>
      </c>
      <c r="H14111" s="21">
        <v>879.67</v>
      </c>
    </row>
    <row r="14112" spans="1:8" customFormat="1" x14ac:dyDescent="0.25">
      <c r="A14112" t="str">
        <f>"2918676"</f>
        <v>2918676</v>
      </c>
      <c r="B14112" t="s">
        <v>5416</v>
      </c>
      <c r="C14112" t="s">
        <v>40</v>
      </c>
      <c r="D14112" s="21" t="s">
        <v>34</v>
      </c>
      <c r="E14112" s="21" t="s">
        <v>35</v>
      </c>
      <c r="F14112">
        <v>3290090</v>
      </c>
      <c r="G14112" t="s">
        <v>1390</v>
      </c>
      <c r="H14112" s="21">
        <v>879.54</v>
      </c>
    </row>
    <row r="14113" spans="1:8" customFormat="1" x14ac:dyDescent="0.25">
      <c r="A14113" t="str">
        <f>"589657"</f>
        <v>589657</v>
      </c>
      <c r="B14113" t="s">
        <v>461</v>
      </c>
      <c r="C14113" t="s">
        <v>1812</v>
      </c>
      <c r="D14113" s="21" t="s">
        <v>34</v>
      </c>
      <c r="E14113" s="21" t="s">
        <v>35</v>
      </c>
      <c r="F14113">
        <v>2580091</v>
      </c>
      <c r="G14113" t="s">
        <v>13057</v>
      </c>
      <c r="H14113" s="21">
        <v>879.29</v>
      </c>
    </row>
    <row r="14114" spans="1:8" customFormat="1" x14ac:dyDescent="0.25">
      <c r="A14114" t="str">
        <f>"7828374"</f>
        <v>7828374</v>
      </c>
      <c r="B14114" t="s">
        <v>517</v>
      </c>
      <c r="C14114" t="s">
        <v>1605</v>
      </c>
      <c r="D14114" s="21" t="s">
        <v>34</v>
      </c>
      <c r="E14114" s="21" t="s">
        <v>254</v>
      </c>
      <c r="F14114">
        <v>4410083</v>
      </c>
      <c r="G14114" t="s">
        <v>2333</v>
      </c>
      <c r="H14114" s="21">
        <v>879.29</v>
      </c>
    </row>
    <row r="14115" spans="1:8" customFormat="1" x14ac:dyDescent="0.25">
      <c r="A14115" t="str">
        <f>"585928"</f>
        <v>585928</v>
      </c>
      <c r="B14115" t="s">
        <v>13833</v>
      </c>
      <c r="C14115" t="s">
        <v>239</v>
      </c>
      <c r="D14115" s="21" t="s">
        <v>34</v>
      </c>
      <c r="E14115" s="21" t="s">
        <v>71</v>
      </c>
      <c r="F14115">
        <v>2580078</v>
      </c>
      <c r="G14115" t="s">
        <v>4432</v>
      </c>
      <c r="H14115" s="21">
        <v>879.29</v>
      </c>
    </row>
    <row r="14116" spans="1:8" customFormat="1" x14ac:dyDescent="0.25">
      <c r="A14116" t="str">
        <f>"4437069"</f>
        <v>4437069</v>
      </c>
      <c r="B14116" t="s">
        <v>12502</v>
      </c>
      <c r="C14116" t="s">
        <v>204</v>
      </c>
      <c r="D14116" s="21" t="s">
        <v>34</v>
      </c>
      <c r="E14116" s="21" t="s">
        <v>35</v>
      </c>
      <c r="F14116">
        <v>12440191</v>
      </c>
      <c r="G14116" t="s">
        <v>5822</v>
      </c>
      <c r="H14116" s="21">
        <v>879.17</v>
      </c>
    </row>
    <row r="14117" spans="1:8" customFormat="1" x14ac:dyDescent="0.25">
      <c r="A14117" t="str">
        <f>"7216661"</f>
        <v>7216661</v>
      </c>
      <c r="B14117" t="s">
        <v>10609</v>
      </c>
      <c r="C14117" t="s">
        <v>601</v>
      </c>
      <c r="D14117" s="21" t="s">
        <v>34</v>
      </c>
      <c r="E14117" s="21" t="s">
        <v>35</v>
      </c>
      <c r="F14117">
        <v>12720070</v>
      </c>
      <c r="G14117" t="s">
        <v>2348</v>
      </c>
      <c r="H14117" s="21">
        <v>879.17</v>
      </c>
    </row>
    <row r="14118" spans="1:8" customFormat="1" x14ac:dyDescent="0.25">
      <c r="A14118" t="str">
        <f>"7723487"</f>
        <v>7723487</v>
      </c>
      <c r="B14118" t="s">
        <v>14170</v>
      </c>
      <c r="C14118" t="s">
        <v>14171</v>
      </c>
      <c r="D14118" s="21" t="s">
        <v>34</v>
      </c>
      <c r="E14118" s="21" t="s">
        <v>71</v>
      </c>
      <c r="F14118">
        <v>8771314</v>
      </c>
      <c r="G14118" t="s">
        <v>14172</v>
      </c>
      <c r="H14118" s="21">
        <v>879.17</v>
      </c>
    </row>
    <row r="14119" spans="1:8" customFormat="1" x14ac:dyDescent="0.25">
      <c r="A14119" t="str">
        <f>"9123945"</f>
        <v>9123945</v>
      </c>
      <c r="B14119" t="s">
        <v>12826</v>
      </c>
      <c r="C14119" t="s">
        <v>12827</v>
      </c>
      <c r="D14119" s="21" t="s">
        <v>34</v>
      </c>
      <c r="E14119" s="21" t="s">
        <v>71</v>
      </c>
      <c r="F14119">
        <v>1740065</v>
      </c>
      <c r="G14119" t="s">
        <v>5226</v>
      </c>
      <c r="H14119" s="21">
        <v>879.17</v>
      </c>
    </row>
    <row r="14120" spans="1:8" customFormat="1" x14ac:dyDescent="0.25">
      <c r="A14120" t="str">
        <f>"762155"</f>
        <v>762155</v>
      </c>
      <c r="B14120" t="s">
        <v>3532</v>
      </c>
      <c r="C14120" t="s">
        <v>598</v>
      </c>
      <c r="D14120" s="21" t="s">
        <v>34</v>
      </c>
      <c r="E14120" s="21" t="s">
        <v>1089</v>
      </c>
      <c r="F14120">
        <v>9760014</v>
      </c>
      <c r="G14120" t="s">
        <v>1017</v>
      </c>
      <c r="H14120" s="21">
        <v>879.17</v>
      </c>
    </row>
    <row r="14121" spans="1:8" customFormat="1" x14ac:dyDescent="0.25">
      <c r="A14121" t="str">
        <f>"1413765"</f>
        <v>1413765</v>
      </c>
      <c r="B14121" t="s">
        <v>13986</v>
      </c>
      <c r="C14121" t="s">
        <v>3073</v>
      </c>
      <c r="D14121" s="21" t="s">
        <v>34</v>
      </c>
      <c r="E14121" s="21" t="s">
        <v>254</v>
      </c>
      <c r="F14121">
        <v>9140115</v>
      </c>
      <c r="G14121" t="s">
        <v>26590</v>
      </c>
      <c r="H14121" s="21">
        <v>879.17</v>
      </c>
    </row>
    <row r="14122" spans="1:8" customFormat="1" x14ac:dyDescent="0.25">
      <c r="A14122" t="str">
        <f>"3514619"</f>
        <v>3514619</v>
      </c>
      <c r="B14122" t="s">
        <v>1264</v>
      </c>
      <c r="C14122" t="s">
        <v>124</v>
      </c>
      <c r="D14122" s="21" t="s">
        <v>34</v>
      </c>
      <c r="E14122" s="21" t="s">
        <v>254</v>
      </c>
      <c r="F14122">
        <v>3350212</v>
      </c>
      <c r="G14122" t="s">
        <v>5154</v>
      </c>
      <c r="H14122" s="21">
        <v>879.17</v>
      </c>
    </row>
    <row r="14123" spans="1:8" customFormat="1" x14ac:dyDescent="0.25">
      <c r="A14123" t="str">
        <f>"776631"</f>
        <v>776631</v>
      </c>
      <c r="B14123" t="s">
        <v>4071</v>
      </c>
      <c r="C14123" t="s">
        <v>169</v>
      </c>
      <c r="D14123" s="21" t="s">
        <v>34</v>
      </c>
      <c r="E14123" s="21" t="s">
        <v>71</v>
      </c>
      <c r="F14123">
        <v>8770665</v>
      </c>
      <c r="G14123" t="s">
        <v>903</v>
      </c>
      <c r="H14123" s="21">
        <v>879.17</v>
      </c>
    </row>
    <row r="14124" spans="1:8" customFormat="1" x14ac:dyDescent="0.25">
      <c r="A14124" t="str">
        <f>"7623739"</f>
        <v>7623739</v>
      </c>
      <c r="B14124" t="s">
        <v>1442</v>
      </c>
      <c r="C14124" t="s">
        <v>750</v>
      </c>
      <c r="D14124" s="21" t="s">
        <v>34</v>
      </c>
      <c r="E14124" s="21" t="s">
        <v>35</v>
      </c>
      <c r="F14124">
        <v>9140127</v>
      </c>
      <c r="G14124" t="s">
        <v>6641</v>
      </c>
      <c r="H14124" s="21">
        <v>879.17</v>
      </c>
    </row>
    <row r="14125" spans="1:8" customFormat="1" x14ac:dyDescent="0.25">
      <c r="A14125" t="str">
        <f>"904879"</f>
        <v>904879</v>
      </c>
      <c r="B14125" t="s">
        <v>9569</v>
      </c>
      <c r="C14125" t="s">
        <v>462</v>
      </c>
      <c r="D14125" s="21" t="s">
        <v>34</v>
      </c>
      <c r="E14125" s="21" t="s">
        <v>35</v>
      </c>
      <c r="F14125">
        <v>2900003</v>
      </c>
      <c r="G14125" t="s">
        <v>1742</v>
      </c>
      <c r="H14125" s="21">
        <v>879.17</v>
      </c>
    </row>
    <row r="14126" spans="1:8" customFormat="1" x14ac:dyDescent="0.25">
      <c r="A14126" t="str">
        <f>"50276"</f>
        <v>50276</v>
      </c>
      <c r="B14126" t="s">
        <v>482</v>
      </c>
      <c r="C14126" t="s">
        <v>664</v>
      </c>
      <c r="D14126" s="21" t="s">
        <v>34</v>
      </c>
      <c r="E14126" s="21" t="s">
        <v>254</v>
      </c>
      <c r="F14126">
        <v>9500132</v>
      </c>
      <c r="G14126" t="s">
        <v>11167</v>
      </c>
      <c r="H14126" s="21">
        <v>879.17</v>
      </c>
    </row>
    <row r="14127" spans="1:8" customFormat="1" x14ac:dyDescent="0.25">
      <c r="A14127" t="str">
        <f>"6210493"</f>
        <v>6210493</v>
      </c>
      <c r="B14127" t="s">
        <v>13019</v>
      </c>
      <c r="C14127" t="s">
        <v>2132</v>
      </c>
      <c r="D14127" s="21" t="s">
        <v>34</v>
      </c>
      <c r="E14127" s="21" t="s">
        <v>35</v>
      </c>
      <c r="F14127">
        <v>1260026</v>
      </c>
      <c r="G14127" t="s">
        <v>516</v>
      </c>
      <c r="H14127" s="21">
        <v>879.17</v>
      </c>
    </row>
    <row r="14128" spans="1:8" customFormat="1" x14ac:dyDescent="0.25">
      <c r="A14128" t="str">
        <f>"029857"</f>
        <v>029857</v>
      </c>
      <c r="B14128" t="s">
        <v>7661</v>
      </c>
      <c r="C14128" t="s">
        <v>33</v>
      </c>
      <c r="D14128" s="21" t="s">
        <v>34</v>
      </c>
      <c r="E14128" s="21" t="s">
        <v>35</v>
      </c>
      <c r="F14128">
        <v>7020001</v>
      </c>
      <c r="G14128" t="s">
        <v>3854</v>
      </c>
      <c r="H14128" s="21">
        <v>879.17</v>
      </c>
    </row>
    <row r="14129" spans="1:8" customFormat="1" x14ac:dyDescent="0.25">
      <c r="A14129" t="str">
        <f>"626685"</f>
        <v>626685</v>
      </c>
      <c r="B14129" t="s">
        <v>13598</v>
      </c>
      <c r="C14129" t="s">
        <v>55</v>
      </c>
      <c r="D14129" s="21" t="s">
        <v>34</v>
      </c>
      <c r="E14129" s="21" t="s">
        <v>71</v>
      </c>
      <c r="F14129">
        <v>13830064</v>
      </c>
      <c r="G14129" t="s">
        <v>8410</v>
      </c>
      <c r="H14129" s="21">
        <v>879.17</v>
      </c>
    </row>
    <row r="14130" spans="1:8" customFormat="1" x14ac:dyDescent="0.25">
      <c r="A14130" t="str">
        <f>"496667"</f>
        <v>496667</v>
      </c>
      <c r="B14130" t="s">
        <v>13007</v>
      </c>
      <c r="C14130" t="s">
        <v>209</v>
      </c>
      <c r="D14130" s="21" t="s">
        <v>34</v>
      </c>
      <c r="E14130" s="21" t="s">
        <v>35</v>
      </c>
      <c r="F14130">
        <v>12490052</v>
      </c>
      <c r="G14130" t="s">
        <v>2732</v>
      </c>
      <c r="H14130" s="21">
        <v>879.04</v>
      </c>
    </row>
    <row r="14131" spans="1:8" customFormat="1" x14ac:dyDescent="0.25">
      <c r="A14131" t="str">
        <f>"356298"</f>
        <v>356298</v>
      </c>
      <c r="B14131" t="s">
        <v>13070</v>
      </c>
      <c r="C14131" t="s">
        <v>1665</v>
      </c>
      <c r="D14131" s="21" t="s">
        <v>34</v>
      </c>
      <c r="E14131" s="21" t="s">
        <v>254</v>
      </c>
      <c r="F14131">
        <v>3350048</v>
      </c>
      <c r="G14131" t="s">
        <v>2303</v>
      </c>
      <c r="H14131" s="21">
        <v>879.04</v>
      </c>
    </row>
    <row r="14132" spans="1:8" customFormat="1" x14ac:dyDescent="0.25">
      <c r="A14132" t="str">
        <f>"3338049"</f>
        <v>3338049</v>
      </c>
      <c r="B14132" t="s">
        <v>11550</v>
      </c>
      <c r="C14132" t="s">
        <v>55</v>
      </c>
      <c r="D14132" s="21" t="s">
        <v>34</v>
      </c>
      <c r="E14132" s="21" t="s">
        <v>71</v>
      </c>
      <c r="F14132">
        <v>10330028</v>
      </c>
      <c r="G14132" t="s">
        <v>4553</v>
      </c>
      <c r="H14132" s="21">
        <v>878.92</v>
      </c>
    </row>
    <row r="14133" spans="1:8" customFormat="1" x14ac:dyDescent="0.25">
      <c r="A14133" t="str">
        <f>"7519030"</f>
        <v>7519030</v>
      </c>
      <c r="B14133" t="s">
        <v>14409</v>
      </c>
      <c r="C14133" t="s">
        <v>62</v>
      </c>
      <c r="D14133" s="21" t="s">
        <v>34</v>
      </c>
      <c r="E14133" s="21" t="s">
        <v>35</v>
      </c>
      <c r="F14133">
        <v>8750141</v>
      </c>
      <c r="G14133" t="s">
        <v>1514</v>
      </c>
      <c r="H14133" s="21">
        <v>878.92</v>
      </c>
    </row>
    <row r="14134" spans="1:8" customFormat="1" x14ac:dyDescent="0.25">
      <c r="A14134" t="str">
        <f>"5956013"</f>
        <v>5956013</v>
      </c>
      <c r="B14134" t="s">
        <v>13401</v>
      </c>
      <c r="C14134" t="s">
        <v>428</v>
      </c>
      <c r="D14134" s="21" t="s">
        <v>34</v>
      </c>
      <c r="E14134" s="21" t="s">
        <v>35</v>
      </c>
      <c r="F14134">
        <v>7590352</v>
      </c>
      <c r="G14134" t="s">
        <v>9634</v>
      </c>
      <c r="H14134" s="21">
        <v>878.92</v>
      </c>
    </row>
    <row r="14135" spans="1:8" customFormat="1" x14ac:dyDescent="0.25">
      <c r="A14135" t="str">
        <f>"5949461"</f>
        <v>5949461</v>
      </c>
      <c r="B14135" t="s">
        <v>8176</v>
      </c>
      <c r="C14135" t="s">
        <v>209</v>
      </c>
      <c r="D14135" s="21" t="s">
        <v>34</v>
      </c>
      <c r="E14135" s="21" t="s">
        <v>35</v>
      </c>
      <c r="F14135">
        <v>7590175</v>
      </c>
      <c r="G14135" t="s">
        <v>3063</v>
      </c>
      <c r="H14135" s="21">
        <v>878.79</v>
      </c>
    </row>
    <row r="14136" spans="1:8" customFormat="1" x14ac:dyDescent="0.25">
      <c r="A14136" t="str">
        <f>"775130"</f>
        <v>775130</v>
      </c>
      <c r="B14136" t="s">
        <v>12822</v>
      </c>
      <c r="C14136" t="s">
        <v>3905</v>
      </c>
      <c r="D14136" s="21" t="s">
        <v>34</v>
      </c>
      <c r="E14136" s="21" t="s">
        <v>1089</v>
      </c>
      <c r="F14136">
        <v>8770865</v>
      </c>
      <c r="G14136" t="s">
        <v>1426</v>
      </c>
      <c r="H14136" s="21">
        <v>878.79</v>
      </c>
    </row>
    <row r="14137" spans="1:8" customFormat="1" x14ac:dyDescent="0.25">
      <c r="A14137" t="str">
        <f>"2720754"</f>
        <v>2720754</v>
      </c>
      <c r="B14137" t="s">
        <v>19295</v>
      </c>
      <c r="C14137" t="s">
        <v>55</v>
      </c>
      <c r="D14137" s="21" t="s">
        <v>34</v>
      </c>
      <c r="E14137" s="21" t="s">
        <v>35</v>
      </c>
      <c r="F14137">
        <v>9270188</v>
      </c>
      <c r="G14137" t="s">
        <v>11292</v>
      </c>
      <c r="H14137" s="21">
        <v>878.79</v>
      </c>
    </row>
    <row r="14138" spans="1:8" customFormat="1" x14ac:dyDescent="0.25">
      <c r="A14138" t="str">
        <f>"8315469"</f>
        <v>8315469</v>
      </c>
      <c r="B14138" t="s">
        <v>15679</v>
      </c>
      <c r="C14138" t="s">
        <v>209</v>
      </c>
      <c r="D14138" s="21" t="s">
        <v>34</v>
      </c>
      <c r="E14138" s="21" t="s">
        <v>35</v>
      </c>
      <c r="F14138">
        <v>13830031</v>
      </c>
      <c r="G14138" t="s">
        <v>8301</v>
      </c>
      <c r="H14138" s="21">
        <v>878.79</v>
      </c>
    </row>
    <row r="14139" spans="1:8" customFormat="1" x14ac:dyDescent="0.25">
      <c r="A14139" t="str">
        <f>"8526968"</f>
        <v>8526968</v>
      </c>
      <c r="B14139" t="s">
        <v>3952</v>
      </c>
      <c r="C14139" t="s">
        <v>209</v>
      </c>
      <c r="D14139" s="21" t="s">
        <v>34</v>
      </c>
      <c r="E14139" s="21" t="s">
        <v>35</v>
      </c>
      <c r="F14139">
        <v>12850060</v>
      </c>
      <c r="G14139" t="s">
        <v>2783</v>
      </c>
      <c r="H14139" s="21">
        <v>878.67</v>
      </c>
    </row>
    <row r="14140" spans="1:8" customFormat="1" x14ac:dyDescent="0.25">
      <c r="A14140" t="str">
        <f>"395618"</f>
        <v>395618</v>
      </c>
      <c r="B14140" t="s">
        <v>12797</v>
      </c>
      <c r="C14140" t="s">
        <v>249</v>
      </c>
      <c r="D14140" s="21" t="s">
        <v>34</v>
      </c>
      <c r="E14140" s="21" t="s">
        <v>35</v>
      </c>
      <c r="F14140">
        <v>2390007</v>
      </c>
      <c r="G14140" t="s">
        <v>3365</v>
      </c>
      <c r="H14140" s="21">
        <v>878.67</v>
      </c>
    </row>
    <row r="14141" spans="1:8" customFormat="1" x14ac:dyDescent="0.25">
      <c r="A14141" t="str">
        <f>"6219097"</f>
        <v>6219097</v>
      </c>
      <c r="B14141" t="s">
        <v>12201</v>
      </c>
      <c r="C14141" t="s">
        <v>55</v>
      </c>
      <c r="D14141" s="21" t="s">
        <v>34</v>
      </c>
      <c r="E14141" s="21" t="s">
        <v>71</v>
      </c>
      <c r="F14141">
        <v>7620092</v>
      </c>
      <c r="G14141" t="s">
        <v>9874</v>
      </c>
      <c r="H14141" s="21">
        <v>878.67</v>
      </c>
    </row>
    <row r="14142" spans="1:8" customFormat="1" x14ac:dyDescent="0.25">
      <c r="A14142" t="str">
        <f>"2933468"</f>
        <v>2933468</v>
      </c>
      <c r="B14142" t="s">
        <v>1413</v>
      </c>
      <c r="C14142" t="s">
        <v>139</v>
      </c>
      <c r="D14142" s="21" t="s">
        <v>34</v>
      </c>
      <c r="E14142" s="21" t="s">
        <v>35</v>
      </c>
      <c r="F14142">
        <v>3290281</v>
      </c>
      <c r="G14142" t="s">
        <v>11077</v>
      </c>
      <c r="H14142" s="21">
        <v>878.67</v>
      </c>
    </row>
    <row r="14143" spans="1:8" customFormat="1" x14ac:dyDescent="0.25">
      <c r="A14143" t="str">
        <f>"5721833"</f>
        <v>5721833</v>
      </c>
      <c r="B14143" t="s">
        <v>12815</v>
      </c>
      <c r="C14143" t="s">
        <v>926</v>
      </c>
      <c r="D14143" s="21" t="s">
        <v>34</v>
      </c>
      <c r="E14143" s="21" t="s">
        <v>254</v>
      </c>
      <c r="F14143">
        <v>6570167</v>
      </c>
      <c r="G14143" t="s">
        <v>1174</v>
      </c>
      <c r="H14143" s="21">
        <v>878.67</v>
      </c>
    </row>
    <row r="14144" spans="1:8" customFormat="1" x14ac:dyDescent="0.25">
      <c r="A14144" t="str">
        <f>"3328433"</f>
        <v>3328433</v>
      </c>
      <c r="B14144" t="s">
        <v>12137</v>
      </c>
      <c r="C14144" t="s">
        <v>1705</v>
      </c>
      <c r="D14144" s="21" t="s">
        <v>34</v>
      </c>
      <c r="E14144" s="21" t="s">
        <v>71</v>
      </c>
      <c r="F14144">
        <v>10330084</v>
      </c>
      <c r="G14144" t="s">
        <v>1124</v>
      </c>
      <c r="H14144" s="21">
        <v>878.67</v>
      </c>
    </row>
    <row r="14145" spans="1:8" customFormat="1" x14ac:dyDescent="0.25">
      <c r="A14145" t="str">
        <f>"5020559"</f>
        <v>5020559</v>
      </c>
      <c r="B14145" t="s">
        <v>20872</v>
      </c>
      <c r="C14145" t="s">
        <v>1782</v>
      </c>
      <c r="D14145" s="21" t="s">
        <v>34</v>
      </c>
      <c r="E14145" s="21" t="s">
        <v>35</v>
      </c>
      <c r="F14145">
        <v>9500022</v>
      </c>
      <c r="G14145" t="s">
        <v>4324</v>
      </c>
      <c r="H14145" s="21">
        <v>878.67</v>
      </c>
    </row>
    <row r="14146" spans="1:8" customFormat="1" x14ac:dyDescent="0.25">
      <c r="A14146" t="str">
        <f>"87957"</f>
        <v>87957</v>
      </c>
      <c r="B14146" t="s">
        <v>2688</v>
      </c>
      <c r="C14146" t="s">
        <v>12721</v>
      </c>
      <c r="D14146" s="21" t="s">
        <v>34</v>
      </c>
      <c r="E14146" s="21" t="s">
        <v>71</v>
      </c>
      <c r="F14146">
        <v>10870028</v>
      </c>
      <c r="G14146" t="s">
        <v>2689</v>
      </c>
      <c r="H14146" s="21">
        <v>878.67</v>
      </c>
    </row>
    <row r="14147" spans="1:8" customFormat="1" x14ac:dyDescent="0.25">
      <c r="A14147" t="str">
        <f>"6016412"</f>
        <v>6016412</v>
      </c>
      <c r="B14147" t="s">
        <v>12572</v>
      </c>
      <c r="C14147" t="s">
        <v>40</v>
      </c>
      <c r="D14147" s="21" t="s">
        <v>34</v>
      </c>
      <c r="E14147" s="21" t="s">
        <v>71</v>
      </c>
      <c r="F14147">
        <v>7600024</v>
      </c>
      <c r="G14147" t="s">
        <v>1234</v>
      </c>
      <c r="H14147" s="21">
        <v>878.67</v>
      </c>
    </row>
    <row r="14148" spans="1:8" customFormat="1" x14ac:dyDescent="0.25">
      <c r="A14148" t="str">
        <f>"4438899"</f>
        <v>4438899</v>
      </c>
      <c r="B14148" t="s">
        <v>97</v>
      </c>
      <c r="C14148" t="s">
        <v>206</v>
      </c>
      <c r="D14148" s="21" t="s">
        <v>34</v>
      </c>
      <c r="E14148" s="21" t="s">
        <v>35</v>
      </c>
      <c r="F14148">
        <v>12440206</v>
      </c>
      <c r="G14148" t="s">
        <v>10374</v>
      </c>
      <c r="H14148" s="21">
        <v>878.67</v>
      </c>
    </row>
    <row r="14149" spans="1:8" customFormat="1" x14ac:dyDescent="0.25">
      <c r="A14149" t="str">
        <f>"2214939"</f>
        <v>2214939</v>
      </c>
      <c r="B14149" t="s">
        <v>765</v>
      </c>
      <c r="C14149" t="s">
        <v>2305</v>
      </c>
      <c r="D14149" s="21" t="s">
        <v>34</v>
      </c>
      <c r="E14149" s="21" t="s">
        <v>71</v>
      </c>
      <c r="F14149">
        <v>3220008</v>
      </c>
      <c r="G14149" t="s">
        <v>6845</v>
      </c>
      <c r="H14149" s="21">
        <v>878.67</v>
      </c>
    </row>
    <row r="14150" spans="1:8" customFormat="1" x14ac:dyDescent="0.25">
      <c r="A14150" t="str">
        <f>"086681"</f>
        <v>086681</v>
      </c>
      <c r="B14150" t="s">
        <v>11654</v>
      </c>
      <c r="C14150" t="s">
        <v>1299</v>
      </c>
      <c r="D14150" s="21" t="s">
        <v>34</v>
      </c>
      <c r="E14150" s="21" t="s">
        <v>71</v>
      </c>
      <c r="F14150">
        <v>6080035</v>
      </c>
      <c r="G14150" t="s">
        <v>583</v>
      </c>
      <c r="H14150" s="21">
        <v>878.67</v>
      </c>
    </row>
    <row r="14151" spans="1:8" customFormat="1" x14ac:dyDescent="0.25">
      <c r="A14151" t="str">
        <f>"633985"</f>
        <v>633985</v>
      </c>
      <c r="B14151" t="s">
        <v>15608</v>
      </c>
      <c r="C14151" t="s">
        <v>2479</v>
      </c>
      <c r="D14151" s="21" t="s">
        <v>34</v>
      </c>
      <c r="E14151" s="21" t="s">
        <v>35</v>
      </c>
      <c r="F14151" t="s">
        <v>5881</v>
      </c>
      <c r="G14151" t="s">
        <v>5882</v>
      </c>
      <c r="H14151" s="21">
        <v>878.67</v>
      </c>
    </row>
    <row r="14152" spans="1:8" customFormat="1" x14ac:dyDescent="0.25">
      <c r="A14152" t="str">
        <f>"605170"</f>
        <v>605170</v>
      </c>
      <c r="B14152" t="s">
        <v>13212</v>
      </c>
      <c r="C14152" t="s">
        <v>127</v>
      </c>
      <c r="D14152" s="21" t="s">
        <v>34</v>
      </c>
      <c r="E14152" s="21" t="s">
        <v>35</v>
      </c>
      <c r="F14152">
        <v>7600070</v>
      </c>
      <c r="G14152" t="s">
        <v>542</v>
      </c>
      <c r="H14152" s="21">
        <v>878.67</v>
      </c>
    </row>
    <row r="14153" spans="1:8" customFormat="1" x14ac:dyDescent="0.25">
      <c r="A14153" t="str">
        <f>"6923394"</f>
        <v>6923394</v>
      </c>
      <c r="B14153" t="s">
        <v>12636</v>
      </c>
      <c r="C14153" t="s">
        <v>40</v>
      </c>
      <c r="D14153" s="21" t="s">
        <v>34</v>
      </c>
      <c r="E14153" s="21" t="s">
        <v>35</v>
      </c>
      <c r="F14153">
        <v>1380298</v>
      </c>
      <c r="G14153" t="s">
        <v>5868</v>
      </c>
      <c r="H14153" s="21">
        <v>878.67</v>
      </c>
    </row>
    <row r="14154" spans="1:8" customFormat="1" x14ac:dyDescent="0.25">
      <c r="A14154" t="str">
        <f>"069536"</f>
        <v>069536</v>
      </c>
      <c r="B14154" t="s">
        <v>13429</v>
      </c>
      <c r="C14154" t="s">
        <v>124</v>
      </c>
      <c r="D14154" s="21" t="s">
        <v>34</v>
      </c>
      <c r="E14154" s="21" t="s">
        <v>71</v>
      </c>
      <c r="F14154">
        <v>13060064</v>
      </c>
      <c r="G14154" t="s">
        <v>976</v>
      </c>
      <c r="H14154" s="21">
        <v>878.67</v>
      </c>
    </row>
    <row r="14155" spans="1:8" customFormat="1" x14ac:dyDescent="0.25">
      <c r="A14155" t="str">
        <f>"50338"</f>
        <v>50338</v>
      </c>
      <c r="B14155" t="s">
        <v>11041</v>
      </c>
      <c r="C14155" t="s">
        <v>547</v>
      </c>
      <c r="D14155" s="21" t="s">
        <v>34</v>
      </c>
      <c r="E14155" s="21" t="s">
        <v>1089</v>
      </c>
      <c r="F14155">
        <v>9500117</v>
      </c>
      <c r="G14155" t="s">
        <v>247</v>
      </c>
      <c r="H14155" s="21">
        <v>878.67</v>
      </c>
    </row>
    <row r="14156" spans="1:8" customFormat="1" x14ac:dyDescent="0.25">
      <c r="A14156" t="str">
        <f>"852550"</f>
        <v>852550</v>
      </c>
      <c r="B14156" t="s">
        <v>10087</v>
      </c>
      <c r="C14156" t="s">
        <v>547</v>
      </c>
      <c r="D14156" s="21" t="s">
        <v>34</v>
      </c>
      <c r="E14156" s="21" t="s">
        <v>254</v>
      </c>
      <c r="F14156">
        <v>12850125</v>
      </c>
      <c r="G14156" t="s">
        <v>9898</v>
      </c>
      <c r="H14156" s="21">
        <v>878.67</v>
      </c>
    </row>
    <row r="14157" spans="1:8" customFormat="1" x14ac:dyDescent="0.25">
      <c r="A14157" t="str">
        <f>"57577"</f>
        <v>57577</v>
      </c>
      <c r="B14157" t="s">
        <v>12226</v>
      </c>
      <c r="C14157" t="s">
        <v>4350</v>
      </c>
      <c r="D14157" s="21" t="s">
        <v>34</v>
      </c>
      <c r="E14157" s="21" t="s">
        <v>254</v>
      </c>
      <c r="F14157">
        <v>6570029</v>
      </c>
      <c r="G14157" t="s">
        <v>2977</v>
      </c>
      <c r="H14157" s="21">
        <v>878.67</v>
      </c>
    </row>
    <row r="14158" spans="1:8" customFormat="1" x14ac:dyDescent="0.25">
      <c r="A14158" t="str">
        <f>"2918721"</f>
        <v>2918721</v>
      </c>
      <c r="B14158" t="s">
        <v>4124</v>
      </c>
      <c r="C14158" t="s">
        <v>2730</v>
      </c>
      <c r="D14158" s="21" t="s">
        <v>34</v>
      </c>
      <c r="E14158" s="21" t="s">
        <v>254</v>
      </c>
      <c r="F14158">
        <v>3290090</v>
      </c>
      <c r="G14158" t="s">
        <v>1390</v>
      </c>
      <c r="H14158" s="21">
        <v>878.42</v>
      </c>
    </row>
    <row r="14159" spans="1:8" customFormat="1" x14ac:dyDescent="0.25">
      <c r="A14159" t="str">
        <f>"493246"</f>
        <v>493246</v>
      </c>
      <c r="B14159" t="s">
        <v>4865</v>
      </c>
      <c r="C14159" t="s">
        <v>2904</v>
      </c>
      <c r="D14159" s="21" t="s">
        <v>34</v>
      </c>
      <c r="E14159" s="21" t="s">
        <v>254</v>
      </c>
      <c r="F14159">
        <v>12490039</v>
      </c>
      <c r="G14159" t="s">
        <v>3453</v>
      </c>
      <c r="H14159" s="21">
        <v>878.29</v>
      </c>
    </row>
    <row r="14160" spans="1:8" customFormat="1" x14ac:dyDescent="0.25">
      <c r="A14160" t="str">
        <f>"9427663"</f>
        <v>9427663</v>
      </c>
      <c r="B14160" t="s">
        <v>10784</v>
      </c>
      <c r="C14160" t="s">
        <v>10962</v>
      </c>
      <c r="D14160" s="21" t="s">
        <v>34</v>
      </c>
      <c r="E14160" s="21" t="s">
        <v>71</v>
      </c>
      <c r="F14160">
        <v>8940535</v>
      </c>
      <c r="G14160" t="s">
        <v>2628</v>
      </c>
      <c r="H14160" s="21">
        <v>878.29</v>
      </c>
    </row>
    <row r="14161" spans="1:8" customFormat="1" x14ac:dyDescent="0.25">
      <c r="A14161" t="str">
        <f>"5722525"</f>
        <v>5722525</v>
      </c>
      <c r="B14161" t="s">
        <v>12453</v>
      </c>
      <c r="C14161" t="s">
        <v>1946</v>
      </c>
      <c r="D14161" s="21" t="s">
        <v>34</v>
      </c>
      <c r="E14161" s="21" t="s">
        <v>71</v>
      </c>
      <c r="F14161">
        <v>6570174</v>
      </c>
      <c r="G14161" t="s">
        <v>12454</v>
      </c>
      <c r="H14161" s="21">
        <v>878.29</v>
      </c>
    </row>
    <row r="14162" spans="1:8" customFormat="1" x14ac:dyDescent="0.25">
      <c r="A14162" t="str">
        <f>"5935124"</f>
        <v>5935124</v>
      </c>
      <c r="B14162" t="s">
        <v>13048</v>
      </c>
      <c r="C14162" t="s">
        <v>1110</v>
      </c>
      <c r="D14162" s="21" t="s">
        <v>34</v>
      </c>
      <c r="E14162" s="21" t="s">
        <v>71</v>
      </c>
      <c r="F14162">
        <v>4370637</v>
      </c>
      <c r="G14162" t="s">
        <v>3941</v>
      </c>
      <c r="H14162" s="21">
        <v>878.17</v>
      </c>
    </row>
    <row r="14163" spans="1:8" customFormat="1" x14ac:dyDescent="0.25">
      <c r="A14163" t="str">
        <f>"8518066"</f>
        <v>8518066</v>
      </c>
      <c r="B14163" t="s">
        <v>8826</v>
      </c>
      <c r="C14163" t="s">
        <v>249</v>
      </c>
      <c r="D14163" s="21" t="s">
        <v>34</v>
      </c>
      <c r="E14163" s="21" t="s">
        <v>71</v>
      </c>
      <c r="F14163">
        <v>12850125</v>
      </c>
      <c r="G14163" t="s">
        <v>9898</v>
      </c>
      <c r="H14163" s="21">
        <v>878.17</v>
      </c>
    </row>
    <row r="14164" spans="1:8" customFormat="1" x14ac:dyDescent="0.25">
      <c r="A14164" t="str">
        <f>"8015865"</f>
        <v>8015865</v>
      </c>
      <c r="B14164" t="s">
        <v>11513</v>
      </c>
      <c r="C14164" t="s">
        <v>204</v>
      </c>
      <c r="D14164" s="21" t="s">
        <v>34</v>
      </c>
      <c r="E14164" s="21" t="s">
        <v>35</v>
      </c>
      <c r="F14164">
        <v>7800147</v>
      </c>
      <c r="G14164" t="s">
        <v>10438</v>
      </c>
      <c r="H14164" s="21">
        <v>878.17</v>
      </c>
    </row>
    <row r="14165" spans="1:8" customFormat="1" x14ac:dyDescent="0.25">
      <c r="A14165" t="str">
        <f>"5114080"</f>
        <v>5114080</v>
      </c>
      <c r="B14165" t="s">
        <v>1604</v>
      </c>
      <c r="C14165" t="s">
        <v>576</v>
      </c>
      <c r="D14165" s="21" t="s">
        <v>34</v>
      </c>
      <c r="E14165" s="21" t="s">
        <v>35</v>
      </c>
      <c r="F14165">
        <v>6510115</v>
      </c>
      <c r="G14165" t="s">
        <v>27329</v>
      </c>
      <c r="H14165" s="21">
        <v>878.17</v>
      </c>
    </row>
    <row r="14166" spans="1:8" customFormat="1" x14ac:dyDescent="0.25">
      <c r="A14166" t="str">
        <f>"7911697"</f>
        <v>7911697</v>
      </c>
      <c r="B14166" t="s">
        <v>14022</v>
      </c>
      <c r="C14166" t="s">
        <v>336</v>
      </c>
      <c r="D14166" s="21" t="s">
        <v>34</v>
      </c>
      <c r="E14166" s="21" t="s">
        <v>254</v>
      </c>
      <c r="F14166">
        <v>10790024</v>
      </c>
      <c r="G14166" t="s">
        <v>8674</v>
      </c>
      <c r="H14166" s="21">
        <v>878.17</v>
      </c>
    </row>
    <row r="14167" spans="1:8" customFormat="1" x14ac:dyDescent="0.25">
      <c r="A14167" t="str">
        <f>"535628"</f>
        <v>535628</v>
      </c>
      <c r="B14167" t="s">
        <v>11490</v>
      </c>
      <c r="C14167" t="s">
        <v>2276</v>
      </c>
      <c r="D14167" s="21" t="s">
        <v>34</v>
      </c>
      <c r="E14167" s="21" t="s">
        <v>254</v>
      </c>
      <c r="F14167">
        <v>12530007</v>
      </c>
      <c r="G14167" t="s">
        <v>2966</v>
      </c>
      <c r="H14167" s="21">
        <v>878.17</v>
      </c>
    </row>
    <row r="14168" spans="1:8" customFormat="1" x14ac:dyDescent="0.25">
      <c r="A14168" t="str">
        <f>"4935175"</f>
        <v>4935175</v>
      </c>
      <c r="B14168" t="s">
        <v>13039</v>
      </c>
      <c r="C14168" t="s">
        <v>1675</v>
      </c>
      <c r="D14168" s="21" t="s">
        <v>34</v>
      </c>
      <c r="E14168" s="21" t="s">
        <v>35</v>
      </c>
      <c r="F14168">
        <v>12490088</v>
      </c>
      <c r="G14168" t="s">
        <v>10688</v>
      </c>
      <c r="H14168" s="21">
        <v>878.17</v>
      </c>
    </row>
    <row r="14169" spans="1:8" customFormat="1" x14ac:dyDescent="0.25">
      <c r="A14169" t="str">
        <f>"8519797"</f>
        <v>8519797</v>
      </c>
      <c r="B14169" t="s">
        <v>7163</v>
      </c>
      <c r="C14169" t="s">
        <v>328</v>
      </c>
      <c r="D14169" s="21" t="s">
        <v>34</v>
      </c>
      <c r="E14169" s="21" t="s">
        <v>35</v>
      </c>
      <c r="F14169">
        <v>12850016</v>
      </c>
      <c r="G14169" t="s">
        <v>26554</v>
      </c>
      <c r="H14169" s="21">
        <v>878.17</v>
      </c>
    </row>
    <row r="14170" spans="1:8" customFormat="1" x14ac:dyDescent="0.25">
      <c r="A14170" t="str">
        <f>"2922181"</f>
        <v>2922181</v>
      </c>
      <c r="B14170" t="s">
        <v>3039</v>
      </c>
      <c r="C14170" t="s">
        <v>139</v>
      </c>
      <c r="D14170" s="21" t="s">
        <v>34</v>
      </c>
      <c r="E14170" s="21" t="s">
        <v>35</v>
      </c>
      <c r="F14170">
        <v>3290226</v>
      </c>
      <c r="G14170" t="s">
        <v>4637</v>
      </c>
      <c r="H14170" s="21">
        <v>878.17</v>
      </c>
    </row>
    <row r="14171" spans="1:8" customFormat="1" x14ac:dyDescent="0.25">
      <c r="A14171" t="str">
        <f>"9239338"</f>
        <v>9239338</v>
      </c>
      <c r="B14171" t="s">
        <v>15536</v>
      </c>
      <c r="C14171" t="s">
        <v>2734</v>
      </c>
      <c r="D14171" s="21" t="s">
        <v>34</v>
      </c>
      <c r="E14171" s="21" t="s">
        <v>71</v>
      </c>
      <c r="F14171">
        <v>8920111</v>
      </c>
      <c r="G14171" t="s">
        <v>1064</v>
      </c>
      <c r="H14171" s="21">
        <v>878.17</v>
      </c>
    </row>
    <row r="14172" spans="1:8" customFormat="1" x14ac:dyDescent="0.25">
      <c r="A14172" t="str">
        <f>"9145542"</f>
        <v>9145542</v>
      </c>
      <c r="B14172" t="s">
        <v>14858</v>
      </c>
      <c r="C14172" t="s">
        <v>459</v>
      </c>
      <c r="D14172" s="21" t="s">
        <v>34</v>
      </c>
      <c r="E14172" s="21" t="s">
        <v>71</v>
      </c>
      <c r="F14172">
        <v>8910914</v>
      </c>
      <c r="G14172" t="s">
        <v>3302</v>
      </c>
      <c r="H14172" s="21">
        <v>878.17</v>
      </c>
    </row>
    <row r="14173" spans="1:8" customFormat="1" x14ac:dyDescent="0.25">
      <c r="A14173" t="str">
        <f>"7410608"</f>
        <v>7410608</v>
      </c>
      <c r="B14173" t="s">
        <v>13414</v>
      </c>
      <c r="C14173" t="s">
        <v>55</v>
      </c>
      <c r="D14173" s="21" t="s">
        <v>34</v>
      </c>
      <c r="E14173" s="21" t="s">
        <v>35</v>
      </c>
      <c r="F14173">
        <v>1740045</v>
      </c>
      <c r="G14173" t="s">
        <v>9857</v>
      </c>
      <c r="H14173" s="21">
        <v>878.17</v>
      </c>
    </row>
    <row r="14174" spans="1:8" customFormat="1" x14ac:dyDescent="0.25">
      <c r="A14174" t="str">
        <f>"4528745"</f>
        <v>4528745</v>
      </c>
      <c r="B14174" t="s">
        <v>13402</v>
      </c>
      <c r="C14174" t="s">
        <v>879</v>
      </c>
      <c r="D14174" s="21" t="s">
        <v>34</v>
      </c>
      <c r="E14174" s="21" t="s">
        <v>254</v>
      </c>
      <c r="F14174">
        <v>4450750</v>
      </c>
      <c r="G14174" t="s">
        <v>6572</v>
      </c>
      <c r="H14174" s="21">
        <v>878.17</v>
      </c>
    </row>
    <row r="14175" spans="1:8" customFormat="1" x14ac:dyDescent="0.25">
      <c r="A14175" t="str">
        <f>"403338"</f>
        <v>403338</v>
      </c>
      <c r="B14175" t="s">
        <v>12897</v>
      </c>
      <c r="C14175" t="s">
        <v>211</v>
      </c>
      <c r="D14175" s="21" t="s">
        <v>34</v>
      </c>
      <c r="E14175" s="21" t="s">
        <v>35</v>
      </c>
      <c r="F14175">
        <v>10400018</v>
      </c>
      <c r="G14175" t="s">
        <v>12851</v>
      </c>
      <c r="H14175" s="21">
        <v>878.17</v>
      </c>
    </row>
    <row r="14176" spans="1:8" customFormat="1" x14ac:dyDescent="0.25">
      <c r="A14176" t="str">
        <f>"2712026"</f>
        <v>2712026</v>
      </c>
      <c r="B14176" t="s">
        <v>10199</v>
      </c>
      <c r="C14176" t="s">
        <v>246</v>
      </c>
      <c r="D14176" s="21" t="s">
        <v>34</v>
      </c>
      <c r="E14176" s="21" t="s">
        <v>71</v>
      </c>
      <c r="F14176">
        <v>9270136</v>
      </c>
      <c r="G14176" t="s">
        <v>5896</v>
      </c>
      <c r="H14176" s="21">
        <v>878.17</v>
      </c>
    </row>
    <row r="14177" spans="1:8" customFormat="1" x14ac:dyDescent="0.25">
      <c r="A14177" t="str">
        <f>"9426662"</f>
        <v>9426662</v>
      </c>
      <c r="B14177" t="s">
        <v>13408</v>
      </c>
      <c r="C14177" t="s">
        <v>55</v>
      </c>
      <c r="D14177" s="21" t="s">
        <v>34</v>
      </c>
      <c r="E14177" s="21" t="s">
        <v>35</v>
      </c>
      <c r="F14177">
        <v>8940976</v>
      </c>
      <c r="G14177" t="s">
        <v>615</v>
      </c>
      <c r="H14177" s="21">
        <v>878.17</v>
      </c>
    </row>
    <row r="14178" spans="1:8" customFormat="1" x14ac:dyDescent="0.25">
      <c r="A14178" t="str">
        <f>"283906"</f>
        <v>283906</v>
      </c>
      <c r="B14178" t="s">
        <v>15042</v>
      </c>
      <c r="C14178" t="s">
        <v>27330</v>
      </c>
      <c r="D14178" s="21" t="s">
        <v>34</v>
      </c>
      <c r="E14178" s="21" t="s">
        <v>35</v>
      </c>
      <c r="F14178">
        <v>8751260</v>
      </c>
      <c r="G14178" t="s">
        <v>10641</v>
      </c>
      <c r="H14178" s="21">
        <v>878.17</v>
      </c>
    </row>
    <row r="14179" spans="1:8" customFormat="1" x14ac:dyDescent="0.25">
      <c r="A14179" t="str">
        <f>"9139245"</f>
        <v>9139245</v>
      </c>
      <c r="B14179" t="s">
        <v>1867</v>
      </c>
      <c r="C14179" t="s">
        <v>87</v>
      </c>
      <c r="D14179" s="21" t="s">
        <v>34</v>
      </c>
      <c r="E14179" s="21" t="s">
        <v>35</v>
      </c>
      <c r="F14179">
        <v>8911430</v>
      </c>
      <c r="G14179" t="s">
        <v>3523</v>
      </c>
      <c r="H14179" s="21">
        <v>878.17</v>
      </c>
    </row>
    <row r="14180" spans="1:8" customFormat="1" x14ac:dyDescent="0.25">
      <c r="A14180" t="str">
        <f>"7639346"</f>
        <v>7639346</v>
      </c>
      <c r="B14180" t="s">
        <v>6918</v>
      </c>
      <c r="C14180" t="s">
        <v>62</v>
      </c>
      <c r="D14180" s="21" t="s">
        <v>34</v>
      </c>
      <c r="E14180" s="21" t="s">
        <v>35</v>
      </c>
      <c r="F14180">
        <v>9760007</v>
      </c>
      <c r="G14180" t="s">
        <v>7255</v>
      </c>
      <c r="H14180" s="21">
        <v>878.17</v>
      </c>
    </row>
    <row r="14181" spans="1:8" customFormat="1" x14ac:dyDescent="0.25">
      <c r="A14181" t="str">
        <f>"2921566"</f>
        <v>2921566</v>
      </c>
      <c r="B14181" t="s">
        <v>10804</v>
      </c>
      <c r="C14181" t="s">
        <v>1705</v>
      </c>
      <c r="D14181" s="21" t="s">
        <v>34</v>
      </c>
      <c r="E14181" s="21" t="s">
        <v>71</v>
      </c>
      <c r="F14181">
        <v>3290081</v>
      </c>
      <c r="G14181" t="s">
        <v>3819</v>
      </c>
      <c r="H14181" s="21">
        <v>878.17</v>
      </c>
    </row>
    <row r="14182" spans="1:8" customFormat="1" x14ac:dyDescent="0.25">
      <c r="A14182" t="str">
        <f>"425753"</f>
        <v>425753</v>
      </c>
      <c r="B14182" t="s">
        <v>7867</v>
      </c>
      <c r="C14182" t="s">
        <v>415</v>
      </c>
      <c r="D14182" s="21" t="s">
        <v>34</v>
      </c>
      <c r="E14182" s="21" t="s">
        <v>1089</v>
      </c>
      <c r="F14182">
        <v>1420140</v>
      </c>
      <c r="G14182" t="s">
        <v>10038</v>
      </c>
      <c r="H14182" s="21">
        <v>878.17</v>
      </c>
    </row>
    <row r="14183" spans="1:8" customFormat="1" x14ac:dyDescent="0.25">
      <c r="A14183" t="str">
        <f>"5937458"</f>
        <v>5937458</v>
      </c>
      <c r="B14183" t="s">
        <v>890</v>
      </c>
      <c r="C14183" t="s">
        <v>209</v>
      </c>
      <c r="D14183" s="21" t="s">
        <v>34</v>
      </c>
      <c r="E14183" s="21" t="s">
        <v>71</v>
      </c>
      <c r="F14183">
        <v>7590269</v>
      </c>
      <c r="G14183" t="s">
        <v>873</v>
      </c>
      <c r="H14183" s="21">
        <v>878.17</v>
      </c>
    </row>
    <row r="14184" spans="1:8" customFormat="1" x14ac:dyDescent="0.25">
      <c r="A14184" t="str">
        <f>"6216175"</f>
        <v>6216175</v>
      </c>
      <c r="B14184" t="s">
        <v>13216</v>
      </c>
      <c r="C14184" t="s">
        <v>55</v>
      </c>
      <c r="D14184" s="21" t="s">
        <v>34</v>
      </c>
      <c r="E14184" s="21" t="s">
        <v>71</v>
      </c>
      <c r="F14184">
        <v>7590004</v>
      </c>
      <c r="G14184" t="s">
        <v>4816</v>
      </c>
      <c r="H14184" s="21">
        <v>877.92</v>
      </c>
    </row>
    <row r="14185" spans="1:8" customFormat="1" x14ac:dyDescent="0.25">
      <c r="A14185" t="str">
        <f>"74154"</f>
        <v>74154</v>
      </c>
      <c r="B14185" t="s">
        <v>11717</v>
      </c>
      <c r="C14185" t="s">
        <v>1539</v>
      </c>
      <c r="D14185" s="21" t="s">
        <v>34</v>
      </c>
      <c r="E14185" s="21" t="s">
        <v>6185</v>
      </c>
      <c r="F14185">
        <v>1740003</v>
      </c>
      <c r="G14185" t="s">
        <v>982</v>
      </c>
      <c r="H14185" s="21">
        <v>877.92</v>
      </c>
    </row>
    <row r="14186" spans="1:8" customFormat="1" x14ac:dyDescent="0.25">
      <c r="A14186" t="str">
        <f>"1711732"</f>
        <v>1711732</v>
      </c>
      <c r="B14186" t="s">
        <v>14570</v>
      </c>
      <c r="C14186" t="s">
        <v>14571</v>
      </c>
      <c r="D14186" s="21" t="s">
        <v>34</v>
      </c>
      <c r="E14186" s="21" t="s">
        <v>71</v>
      </c>
      <c r="F14186">
        <v>10170050</v>
      </c>
      <c r="G14186" t="s">
        <v>2514</v>
      </c>
      <c r="H14186" s="21">
        <v>877.92</v>
      </c>
    </row>
    <row r="14187" spans="1:8" customFormat="1" x14ac:dyDescent="0.25">
      <c r="A14187" t="str">
        <f>"335087"</f>
        <v>335087</v>
      </c>
      <c r="B14187" t="s">
        <v>13167</v>
      </c>
      <c r="C14187" t="s">
        <v>1615</v>
      </c>
      <c r="D14187" s="21" t="s">
        <v>34</v>
      </c>
      <c r="E14187" s="21" t="s">
        <v>35</v>
      </c>
      <c r="F14187">
        <v>10330003</v>
      </c>
      <c r="G14187" t="s">
        <v>309</v>
      </c>
      <c r="H14187" s="21">
        <v>877.92</v>
      </c>
    </row>
    <row r="14188" spans="1:8" customFormat="1" x14ac:dyDescent="0.25">
      <c r="A14188" t="str">
        <f>"442856"</f>
        <v>442856</v>
      </c>
      <c r="B14188" t="s">
        <v>25187</v>
      </c>
      <c r="C14188" t="s">
        <v>2529</v>
      </c>
      <c r="D14188" s="21" t="s">
        <v>34</v>
      </c>
      <c r="E14188" s="21" t="s">
        <v>71</v>
      </c>
      <c r="F14188">
        <v>12440094</v>
      </c>
      <c r="G14188" t="s">
        <v>892</v>
      </c>
      <c r="H14188" s="21">
        <v>877.67</v>
      </c>
    </row>
    <row r="14189" spans="1:8" customFormat="1" x14ac:dyDescent="0.25">
      <c r="A14189" t="str">
        <f>"518770"</f>
        <v>518770</v>
      </c>
      <c r="B14189" t="s">
        <v>17617</v>
      </c>
      <c r="C14189" t="s">
        <v>2533</v>
      </c>
      <c r="D14189" s="21" t="s">
        <v>34</v>
      </c>
      <c r="E14189" s="21" t="s">
        <v>35</v>
      </c>
      <c r="F14189">
        <v>6510082</v>
      </c>
      <c r="G14189" t="s">
        <v>11761</v>
      </c>
      <c r="H14189" s="21">
        <v>877.67</v>
      </c>
    </row>
    <row r="14190" spans="1:8" customFormat="1" x14ac:dyDescent="0.25">
      <c r="A14190" t="str">
        <f>"508935"</f>
        <v>508935</v>
      </c>
      <c r="B14190" t="s">
        <v>5197</v>
      </c>
      <c r="C14190" t="s">
        <v>33</v>
      </c>
      <c r="D14190" s="21" t="s">
        <v>34</v>
      </c>
      <c r="E14190" s="21" t="s">
        <v>71</v>
      </c>
      <c r="F14190">
        <v>9500015</v>
      </c>
      <c r="G14190" t="s">
        <v>3389</v>
      </c>
      <c r="H14190" s="21">
        <v>877.67</v>
      </c>
    </row>
    <row r="14191" spans="1:8" customFormat="1" x14ac:dyDescent="0.25">
      <c r="A14191" t="str">
        <f>"026000"</f>
        <v>026000</v>
      </c>
      <c r="B14191" t="s">
        <v>8784</v>
      </c>
      <c r="C14191" t="s">
        <v>1271</v>
      </c>
      <c r="D14191" s="21" t="s">
        <v>34</v>
      </c>
      <c r="E14191" s="21" t="s">
        <v>254</v>
      </c>
      <c r="F14191">
        <v>7020062</v>
      </c>
      <c r="G14191" t="s">
        <v>1505</v>
      </c>
      <c r="H14191" s="21">
        <v>877.67</v>
      </c>
    </row>
    <row r="14192" spans="1:8" customFormat="1" x14ac:dyDescent="0.25">
      <c r="A14192" t="str">
        <f>"676252"</f>
        <v>676252</v>
      </c>
      <c r="B14192" t="s">
        <v>12624</v>
      </c>
      <c r="C14192" t="s">
        <v>239</v>
      </c>
      <c r="D14192" s="21" t="s">
        <v>34</v>
      </c>
      <c r="E14192" s="21" t="s">
        <v>71</v>
      </c>
      <c r="F14192">
        <v>6670058</v>
      </c>
      <c r="G14192" t="s">
        <v>2551</v>
      </c>
      <c r="H14192" s="21">
        <v>877.67</v>
      </c>
    </row>
    <row r="14193" spans="1:8" customFormat="1" x14ac:dyDescent="0.25">
      <c r="A14193" t="str">
        <f>"762440"</f>
        <v>762440</v>
      </c>
      <c r="B14193" t="s">
        <v>13044</v>
      </c>
      <c r="C14193" t="s">
        <v>13045</v>
      </c>
      <c r="D14193" s="21" t="s">
        <v>34</v>
      </c>
      <c r="E14193" s="21" t="s">
        <v>71</v>
      </c>
      <c r="F14193">
        <v>9760206</v>
      </c>
      <c r="G14193" t="s">
        <v>13046</v>
      </c>
      <c r="H14193" s="21">
        <v>877.67</v>
      </c>
    </row>
    <row r="14194" spans="1:8" customFormat="1" x14ac:dyDescent="0.25">
      <c r="A14194" t="str">
        <f>"3715575"</f>
        <v>3715575</v>
      </c>
      <c r="B14194" t="s">
        <v>14452</v>
      </c>
      <c r="C14194" t="s">
        <v>139</v>
      </c>
      <c r="D14194" s="21" t="s">
        <v>34</v>
      </c>
      <c r="E14194" s="21" t="s">
        <v>35</v>
      </c>
      <c r="F14194">
        <v>4370498</v>
      </c>
      <c r="G14194" t="s">
        <v>10872</v>
      </c>
      <c r="H14194" s="21">
        <v>877.67</v>
      </c>
    </row>
    <row r="14195" spans="1:8" customFormat="1" x14ac:dyDescent="0.25">
      <c r="A14195" t="str">
        <f>"501428"</f>
        <v>501428</v>
      </c>
      <c r="B14195" t="s">
        <v>13253</v>
      </c>
      <c r="C14195" t="s">
        <v>3648</v>
      </c>
      <c r="D14195" s="21" t="s">
        <v>34</v>
      </c>
      <c r="E14195" s="21" t="s">
        <v>1089</v>
      </c>
      <c r="F14195">
        <v>9500022</v>
      </c>
      <c r="G14195" t="s">
        <v>4324</v>
      </c>
      <c r="H14195" s="21">
        <v>877.67</v>
      </c>
    </row>
    <row r="14196" spans="1:8" customFormat="1" x14ac:dyDescent="0.25">
      <c r="A14196" t="str">
        <f>"621022"</f>
        <v>621022</v>
      </c>
      <c r="B14196" t="s">
        <v>6458</v>
      </c>
      <c r="C14196" t="s">
        <v>263</v>
      </c>
      <c r="D14196" s="21" t="s">
        <v>34</v>
      </c>
      <c r="E14196" s="21" t="s">
        <v>254</v>
      </c>
      <c r="F14196">
        <v>7620103</v>
      </c>
      <c r="G14196" t="s">
        <v>1107</v>
      </c>
      <c r="H14196" s="21">
        <v>877.67</v>
      </c>
    </row>
    <row r="14197" spans="1:8" customFormat="1" x14ac:dyDescent="0.25">
      <c r="A14197" t="str">
        <f>"715963"</f>
        <v>715963</v>
      </c>
      <c r="B14197" t="s">
        <v>9392</v>
      </c>
      <c r="C14197" t="s">
        <v>2475</v>
      </c>
      <c r="D14197" s="21" t="s">
        <v>34</v>
      </c>
      <c r="E14197" s="21" t="s">
        <v>254</v>
      </c>
      <c r="F14197">
        <v>2710067</v>
      </c>
      <c r="G14197" t="s">
        <v>284</v>
      </c>
      <c r="H14197" s="21">
        <v>877.67</v>
      </c>
    </row>
    <row r="14198" spans="1:8" customFormat="1" x14ac:dyDescent="0.25">
      <c r="A14198" t="str">
        <f>"3825425"</f>
        <v>3825425</v>
      </c>
      <c r="B14198" t="s">
        <v>11704</v>
      </c>
      <c r="C14198" t="s">
        <v>1025</v>
      </c>
      <c r="D14198" s="21" t="s">
        <v>34</v>
      </c>
      <c r="E14198" s="21" t="s">
        <v>71</v>
      </c>
      <c r="F14198">
        <v>1380084</v>
      </c>
      <c r="G14198" t="s">
        <v>8218</v>
      </c>
      <c r="H14198" s="21">
        <v>877.67</v>
      </c>
    </row>
    <row r="14199" spans="1:8" customFormat="1" x14ac:dyDescent="0.25">
      <c r="A14199" t="str">
        <f>"3531376"</f>
        <v>3531376</v>
      </c>
      <c r="B14199" t="s">
        <v>12057</v>
      </c>
      <c r="C14199" t="s">
        <v>249</v>
      </c>
      <c r="D14199" s="21" t="s">
        <v>34</v>
      </c>
      <c r="E14199" s="21" t="s">
        <v>35</v>
      </c>
      <c r="F14199">
        <v>3350203</v>
      </c>
      <c r="G14199" t="s">
        <v>11973</v>
      </c>
      <c r="H14199" s="21">
        <v>877.67</v>
      </c>
    </row>
    <row r="14200" spans="1:8" customFormat="1" x14ac:dyDescent="0.25">
      <c r="A14200" t="str">
        <f>"9514071"</f>
        <v>9514071</v>
      </c>
      <c r="B14200" t="s">
        <v>14802</v>
      </c>
      <c r="C14200" t="s">
        <v>130</v>
      </c>
      <c r="D14200" s="21" t="s">
        <v>34</v>
      </c>
      <c r="E14200" s="21" t="s">
        <v>71</v>
      </c>
      <c r="F14200">
        <v>12850020</v>
      </c>
      <c r="G14200" t="s">
        <v>725</v>
      </c>
      <c r="H14200" s="21">
        <v>877.67</v>
      </c>
    </row>
    <row r="14201" spans="1:8" customFormat="1" x14ac:dyDescent="0.25">
      <c r="A14201" t="str">
        <f>"4420573"</f>
        <v>4420573</v>
      </c>
      <c r="B14201" t="s">
        <v>12866</v>
      </c>
      <c r="C14201" t="s">
        <v>2053</v>
      </c>
      <c r="D14201" s="21" t="s">
        <v>34</v>
      </c>
      <c r="E14201" s="21" t="s">
        <v>71</v>
      </c>
      <c r="F14201">
        <v>12440151</v>
      </c>
      <c r="G14201" t="s">
        <v>1327</v>
      </c>
      <c r="H14201" s="21">
        <v>877.67</v>
      </c>
    </row>
    <row r="14202" spans="1:8" customFormat="1" x14ac:dyDescent="0.25">
      <c r="A14202" t="str">
        <f>"2938521"</f>
        <v>2938521</v>
      </c>
      <c r="B14202" t="s">
        <v>13307</v>
      </c>
      <c r="C14202" t="s">
        <v>1146</v>
      </c>
      <c r="D14202" s="21" t="s">
        <v>34</v>
      </c>
      <c r="E14202" s="21" t="s">
        <v>71</v>
      </c>
      <c r="F14202">
        <v>3290026</v>
      </c>
      <c r="G14202" t="s">
        <v>7421</v>
      </c>
      <c r="H14202" s="21">
        <v>877.67</v>
      </c>
    </row>
    <row r="14203" spans="1:8" customFormat="1" x14ac:dyDescent="0.25">
      <c r="A14203" t="str">
        <f>"586295"</f>
        <v>586295</v>
      </c>
      <c r="B14203" t="s">
        <v>12992</v>
      </c>
      <c r="C14203" t="s">
        <v>130</v>
      </c>
      <c r="D14203" s="21" t="s">
        <v>34</v>
      </c>
      <c r="E14203" s="21" t="s">
        <v>71</v>
      </c>
      <c r="F14203">
        <v>2580019</v>
      </c>
      <c r="G14203" t="s">
        <v>8527</v>
      </c>
      <c r="H14203" s="21">
        <v>877.67</v>
      </c>
    </row>
    <row r="14204" spans="1:8" customFormat="1" x14ac:dyDescent="0.25">
      <c r="A14204" t="str">
        <f>"724125"</f>
        <v>724125</v>
      </c>
      <c r="B14204" t="s">
        <v>11330</v>
      </c>
      <c r="C14204" t="s">
        <v>812</v>
      </c>
      <c r="D14204" s="21" t="s">
        <v>34</v>
      </c>
      <c r="E14204" s="21" t="s">
        <v>35</v>
      </c>
      <c r="F14204">
        <v>12720023</v>
      </c>
      <c r="G14204" t="s">
        <v>1898</v>
      </c>
      <c r="H14204" s="21">
        <v>877.67</v>
      </c>
    </row>
    <row r="14205" spans="1:8" customFormat="1" x14ac:dyDescent="0.25">
      <c r="A14205" t="str">
        <f>"2716765"</f>
        <v>2716765</v>
      </c>
      <c r="B14205" t="s">
        <v>12770</v>
      </c>
      <c r="C14205" t="s">
        <v>60</v>
      </c>
      <c r="D14205" s="21" t="s">
        <v>34</v>
      </c>
      <c r="E14205" s="21" t="s">
        <v>35</v>
      </c>
      <c r="F14205">
        <v>9270112</v>
      </c>
      <c r="G14205" t="s">
        <v>5124</v>
      </c>
      <c r="H14205" s="21">
        <v>877.67</v>
      </c>
    </row>
    <row r="14206" spans="1:8" customFormat="1" x14ac:dyDescent="0.25">
      <c r="A14206" t="str">
        <f>"3711104"</f>
        <v>3711104</v>
      </c>
      <c r="B14206" t="s">
        <v>11809</v>
      </c>
      <c r="C14206" t="s">
        <v>263</v>
      </c>
      <c r="D14206" s="21" t="s">
        <v>34</v>
      </c>
      <c r="E14206" s="21" t="s">
        <v>71</v>
      </c>
      <c r="F14206">
        <v>4370307</v>
      </c>
      <c r="G14206" t="s">
        <v>7652</v>
      </c>
      <c r="H14206" s="21">
        <v>877.67</v>
      </c>
    </row>
    <row r="14207" spans="1:8" customFormat="1" x14ac:dyDescent="0.25">
      <c r="A14207" t="str">
        <f>"542566"</f>
        <v>542566</v>
      </c>
      <c r="B14207" t="s">
        <v>13693</v>
      </c>
      <c r="C14207" t="s">
        <v>1025</v>
      </c>
      <c r="D14207" s="21" t="s">
        <v>34</v>
      </c>
      <c r="E14207" s="21" t="s">
        <v>35</v>
      </c>
      <c r="F14207">
        <v>6540028</v>
      </c>
      <c r="G14207" t="s">
        <v>3201</v>
      </c>
      <c r="H14207" s="21">
        <v>877.67</v>
      </c>
    </row>
    <row r="14208" spans="1:8" customFormat="1" x14ac:dyDescent="0.25">
      <c r="A14208" t="str">
        <f>"7213237"</f>
        <v>7213237</v>
      </c>
      <c r="B14208" t="s">
        <v>1574</v>
      </c>
      <c r="C14208" t="s">
        <v>244</v>
      </c>
      <c r="D14208" s="21" t="s">
        <v>34</v>
      </c>
      <c r="E14208" s="21" t="s">
        <v>35</v>
      </c>
      <c r="F14208">
        <v>12720041</v>
      </c>
      <c r="G14208" t="s">
        <v>4240</v>
      </c>
      <c r="H14208" s="21">
        <v>877.67</v>
      </c>
    </row>
    <row r="14209" spans="1:8" customFormat="1" x14ac:dyDescent="0.25">
      <c r="A14209" t="str">
        <f>"61284"</f>
        <v>61284</v>
      </c>
      <c r="B14209" t="s">
        <v>2489</v>
      </c>
      <c r="C14209" t="s">
        <v>239</v>
      </c>
      <c r="D14209" s="21" t="s">
        <v>34</v>
      </c>
      <c r="E14209" s="21" t="s">
        <v>254</v>
      </c>
      <c r="F14209">
        <v>9610011</v>
      </c>
      <c r="G14209" t="s">
        <v>6031</v>
      </c>
      <c r="H14209" s="21">
        <v>877.67</v>
      </c>
    </row>
    <row r="14210" spans="1:8" customFormat="1" x14ac:dyDescent="0.25">
      <c r="A14210" t="str">
        <f>"63690"</f>
        <v>63690</v>
      </c>
      <c r="B14210" t="s">
        <v>6462</v>
      </c>
      <c r="C14210" t="s">
        <v>233</v>
      </c>
      <c r="D14210" s="21" t="s">
        <v>34</v>
      </c>
      <c r="E14210" s="21" t="s">
        <v>71</v>
      </c>
      <c r="F14210">
        <v>1630054</v>
      </c>
      <c r="G14210" t="s">
        <v>2512</v>
      </c>
      <c r="H14210" s="21">
        <v>877.67</v>
      </c>
    </row>
    <row r="14211" spans="1:8" customFormat="1" x14ac:dyDescent="0.25">
      <c r="A14211" t="str">
        <f>"1713953"</f>
        <v>1713953</v>
      </c>
      <c r="B14211" t="s">
        <v>3653</v>
      </c>
      <c r="C14211" t="s">
        <v>1605</v>
      </c>
      <c r="D14211" s="21" t="s">
        <v>34</v>
      </c>
      <c r="E14211" s="21" t="s">
        <v>254</v>
      </c>
      <c r="F14211">
        <v>10170073</v>
      </c>
      <c r="G14211" t="s">
        <v>9689</v>
      </c>
      <c r="H14211" s="21">
        <v>877.67</v>
      </c>
    </row>
    <row r="14212" spans="1:8" customFormat="1" x14ac:dyDescent="0.25">
      <c r="A14212" t="str">
        <f>"7844479"</f>
        <v>7844479</v>
      </c>
      <c r="B14212" t="s">
        <v>12146</v>
      </c>
      <c r="C14212" t="s">
        <v>209</v>
      </c>
      <c r="D14212" s="21" t="s">
        <v>34</v>
      </c>
      <c r="E14212" s="21" t="s">
        <v>71</v>
      </c>
      <c r="F14212">
        <v>8781006</v>
      </c>
      <c r="G14212" t="s">
        <v>5376</v>
      </c>
      <c r="H14212" s="21">
        <v>877.54</v>
      </c>
    </row>
    <row r="14213" spans="1:8" customFormat="1" x14ac:dyDescent="0.25">
      <c r="A14213" t="str">
        <f>"6930879"</f>
        <v>6930879</v>
      </c>
      <c r="B14213" t="s">
        <v>13462</v>
      </c>
      <c r="C14213" t="s">
        <v>598</v>
      </c>
      <c r="D14213" s="21" t="s">
        <v>34</v>
      </c>
      <c r="E14213" s="21" t="s">
        <v>254</v>
      </c>
      <c r="F14213">
        <v>1690194</v>
      </c>
      <c r="G14213" t="s">
        <v>5285</v>
      </c>
      <c r="H14213" s="21">
        <v>877.42</v>
      </c>
    </row>
    <row r="14214" spans="1:8" customFormat="1" x14ac:dyDescent="0.25">
      <c r="A14214" t="str">
        <f>"0810542"</f>
        <v>0810542</v>
      </c>
      <c r="B14214" t="s">
        <v>9251</v>
      </c>
      <c r="C14214" t="s">
        <v>1025</v>
      </c>
      <c r="D14214" s="21" t="s">
        <v>34</v>
      </c>
      <c r="E14214" s="21" t="s">
        <v>254</v>
      </c>
      <c r="F14214">
        <v>6080006</v>
      </c>
      <c r="G14214" t="s">
        <v>4295</v>
      </c>
      <c r="H14214" s="21">
        <v>877.29</v>
      </c>
    </row>
    <row r="14215" spans="1:8" customFormat="1" x14ac:dyDescent="0.25">
      <c r="A14215" t="str">
        <f>"9A322"</f>
        <v>9A322</v>
      </c>
      <c r="B14215" t="s">
        <v>8378</v>
      </c>
      <c r="C14215" t="s">
        <v>469</v>
      </c>
      <c r="D14215" s="21" t="s">
        <v>34</v>
      </c>
      <c r="E14215" s="21" t="s">
        <v>35</v>
      </c>
      <c r="F14215" t="s">
        <v>2849</v>
      </c>
      <c r="G14215" t="s">
        <v>2850</v>
      </c>
      <c r="H14215" s="21">
        <v>877.29</v>
      </c>
    </row>
    <row r="14216" spans="1:8" customFormat="1" x14ac:dyDescent="0.25">
      <c r="A14216" t="str">
        <f>"3515063"</f>
        <v>3515063</v>
      </c>
      <c r="B14216" t="s">
        <v>5374</v>
      </c>
      <c r="C14216" t="s">
        <v>320</v>
      </c>
      <c r="D14216" s="21" t="s">
        <v>34</v>
      </c>
      <c r="E14216" s="21" t="s">
        <v>71</v>
      </c>
      <c r="F14216">
        <v>3350091</v>
      </c>
      <c r="G14216" t="s">
        <v>5864</v>
      </c>
      <c r="H14216" s="21">
        <v>877.17</v>
      </c>
    </row>
    <row r="14217" spans="1:8" customFormat="1" x14ac:dyDescent="0.25">
      <c r="A14217" t="str">
        <f>"59189"</f>
        <v>59189</v>
      </c>
      <c r="B14217" t="s">
        <v>11826</v>
      </c>
      <c r="C14217" t="s">
        <v>171</v>
      </c>
      <c r="D14217" s="21" t="s">
        <v>34</v>
      </c>
      <c r="E14217" s="21" t="s">
        <v>254</v>
      </c>
      <c r="F14217">
        <v>7590008</v>
      </c>
      <c r="G14217" t="s">
        <v>110</v>
      </c>
      <c r="H14217" s="21">
        <v>877.17</v>
      </c>
    </row>
    <row r="14218" spans="1:8" customFormat="1" x14ac:dyDescent="0.25">
      <c r="A14218" t="str">
        <f>"592675"</f>
        <v>592675</v>
      </c>
      <c r="B14218" t="s">
        <v>6223</v>
      </c>
      <c r="C14218" t="s">
        <v>130</v>
      </c>
      <c r="D14218" s="21" t="s">
        <v>34</v>
      </c>
      <c r="E14218" s="21" t="s">
        <v>254</v>
      </c>
      <c r="F14218">
        <v>11340053</v>
      </c>
      <c r="G14218" t="s">
        <v>9935</v>
      </c>
      <c r="H14218" s="21">
        <v>877.17</v>
      </c>
    </row>
    <row r="14219" spans="1:8" customFormat="1" x14ac:dyDescent="0.25">
      <c r="A14219" t="str">
        <f>"666557"</f>
        <v>666557</v>
      </c>
      <c r="B14219" t="s">
        <v>6444</v>
      </c>
      <c r="C14219" t="s">
        <v>13131</v>
      </c>
      <c r="D14219" s="21" t="s">
        <v>34</v>
      </c>
      <c r="E14219" s="21" t="s">
        <v>254</v>
      </c>
      <c r="F14219">
        <v>11660032</v>
      </c>
      <c r="G14219" t="s">
        <v>3232</v>
      </c>
      <c r="H14219" s="21">
        <v>877.17</v>
      </c>
    </row>
    <row r="14220" spans="1:8" customFormat="1" x14ac:dyDescent="0.25">
      <c r="A14220" t="str">
        <f>"7913930"</f>
        <v>7913930</v>
      </c>
      <c r="B14220" t="s">
        <v>726</v>
      </c>
      <c r="C14220" t="s">
        <v>874</v>
      </c>
      <c r="D14220" s="21" t="s">
        <v>34</v>
      </c>
      <c r="E14220" s="21" t="s">
        <v>35</v>
      </c>
      <c r="F14220">
        <v>10790069</v>
      </c>
      <c r="G14220" t="s">
        <v>689</v>
      </c>
      <c r="H14220" s="21">
        <v>877.17</v>
      </c>
    </row>
    <row r="14221" spans="1:8" customFormat="1" x14ac:dyDescent="0.25">
      <c r="A14221" t="str">
        <f>"924352"</f>
        <v>924352</v>
      </c>
      <c r="B14221" t="s">
        <v>12134</v>
      </c>
      <c r="C14221" t="s">
        <v>1665</v>
      </c>
      <c r="D14221" s="21" t="s">
        <v>34</v>
      </c>
      <c r="E14221" s="21" t="s">
        <v>254</v>
      </c>
      <c r="F14221">
        <v>11320032</v>
      </c>
      <c r="G14221" t="s">
        <v>5722</v>
      </c>
      <c r="H14221" s="21">
        <v>877.17</v>
      </c>
    </row>
    <row r="14222" spans="1:8" customFormat="1" x14ac:dyDescent="0.25">
      <c r="A14222" t="str">
        <f>"6913833"</f>
        <v>6913833</v>
      </c>
      <c r="B14222" t="s">
        <v>12536</v>
      </c>
      <c r="C14222" t="s">
        <v>60</v>
      </c>
      <c r="D14222" s="21" t="s">
        <v>34</v>
      </c>
      <c r="E14222" s="21" t="s">
        <v>35</v>
      </c>
      <c r="F14222">
        <v>1690107</v>
      </c>
      <c r="G14222" t="s">
        <v>4163</v>
      </c>
      <c r="H14222" s="21">
        <v>877.17</v>
      </c>
    </row>
    <row r="14223" spans="1:8" customFormat="1" x14ac:dyDescent="0.25">
      <c r="A14223" t="str">
        <f>"8519531"</f>
        <v>8519531</v>
      </c>
      <c r="B14223" t="s">
        <v>13382</v>
      </c>
      <c r="C14223" t="s">
        <v>236</v>
      </c>
      <c r="D14223" s="21" t="s">
        <v>34</v>
      </c>
      <c r="E14223" s="21" t="s">
        <v>254</v>
      </c>
      <c r="F14223">
        <v>12850033</v>
      </c>
      <c r="G14223" t="s">
        <v>703</v>
      </c>
      <c r="H14223" s="21">
        <v>877.17</v>
      </c>
    </row>
    <row r="14224" spans="1:8" customFormat="1" x14ac:dyDescent="0.25">
      <c r="A14224" t="str">
        <f>"7837123"</f>
        <v>7837123</v>
      </c>
      <c r="B14224" t="s">
        <v>12783</v>
      </c>
      <c r="C14224" t="s">
        <v>82</v>
      </c>
      <c r="D14224" s="21" t="s">
        <v>34</v>
      </c>
      <c r="E14224" s="21" t="s">
        <v>71</v>
      </c>
      <c r="F14224">
        <v>8781432</v>
      </c>
      <c r="G14224" t="s">
        <v>9227</v>
      </c>
      <c r="H14224" s="21">
        <v>877.17</v>
      </c>
    </row>
    <row r="14225" spans="1:8" customFormat="1" x14ac:dyDescent="0.25">
      <c r="A14225" t="str">
        <f>"6811921"</f>
        <v>6811921</v>
      </c>
      <c r="B14225" t="s">
        <v>15364</v>
      </c>
      <c r="C14225" t="s">
        <v>147</v>
      </c>
      <c r="D14225" s="21" t="s">
        <v>34</v>
      </c>
      <c r="E14225" s="21" t="s">
        <v>35</v>
      </c>
      <c r="F14225">
        <v>6680006</v>
      </c>
      <c r="G14225" t="s">
        <v>5266</v>
      </c>
      <c r="H14225" s="21">
        <v>877.17</v>
      </c>
    </row>
    <row r="14226" spans="1:8" customFormat="1" x14ac:dyDescent="0.25">
      <c r="A14226" t="str">
        <f>"7821727"</f>
        <v>7821727</v>
      </c>
      <c r="B14226" t="s">
        <v>12912</v>
      </c>
      <c r="C14226" t="s">
        <v>87</v>
      </c>
      <c r="D14226" s="21" t="s">
        <v>34</v>
      </c>
      <c r="E14226" s="21" t="s">
        <v>254</v>
      </c>
      <c r="F14226">
        <v>8780224</v>
      </c>
      <c r="G14226" t="s">
        <v>8599</v>
      </c>
      <c r="H14226" s="21">
        <v>877.17</v>
      </c>
    </row>
    <row r="14227" spans="1:8" customFormat="1" x14ac:dyDescent="0.25">
      <c r="A14227" t="str">
        <f>"278265"</f>
        <v>278265</v>
      </c>
      <c r="B14227" t="s">
        <v>12939</v>
      </c>
      <c r="C14227" t="s">
        <v>90</v>
      </c>
      <c r="D14227" s="21" t="s">
        <v>34</v>
      </c>
      <c r="E14227" s="21" t="s">
        <v>71</v>
      </c>
      <c r="F14227">
        <v>8911430</v>
      </c>
      <c r="G14227" t="s">
        <v>3523</v>
      </c>
      <c r="H14227" s="21">
        <v>877.17</v>
      </c>
    </row>
    <row r="14228" spans="1:8" customFormat="1" x14ac:dyDescent="0.25">
      <c r="A14228" t="str">
        <f>"9132290"</f>
        <v>9132290</v>
      </c>
      <c r="B14228" t="s">
        <v>13459</v>
      </c>
      <c r="C14228" t="s">
        <v>239</v>
      </c>
      <c r="D14228" s="21" t="s">
        <v>34</v>
      </c>
      <c r="E14228" s="21" t="s">
        <v>71</v>
      </c>
      <c r="F14228">
        <v>11340010</v>
      </c>
      <c r="G14228" t="s">
        <v>66</v>
      </c>
      <c r="H14228" s="21">
        <v>877.17</v>
      </c>
    </row>
    <row r="14229" spans="1:8" customFormat="1" x14ac:dyDescent="0.25">
      <c r="A14229" t="str">
        <f>"759179"</f>
        <v>759179</v>
      </c>
      <c r="B14229" t="s">
        <v>12780</v>
      </c>
      <c r="C14229" t="s">
        <v>169</v>
      </c>
      <c r="D14229" s="21" t="s">
        <v>34</v>
      </c>
      <c r="E14229" s="21" t="s">
        <v>35</v>
      </c>
      <c r="F14229">
        <v>8921182</v>
      </c>
      <c r="G14229" t="s">
        <v>26954</v>
      </c>
      <c r="H14229" s="21">
        <v>877.17</v>
      </c>
    </row>
    <row r="14230" spans="1:8" customFormat="1" x14ac:dyDescent="0.25">
      <c r="A14230" t="str">
        <f>"3339444"</f>
        <v>3339444</v>
      </c>
      <c r="B14230" t="s">
        <v>13682</v>
      </c>
      <c r="C14230" t="s">
        <v>156</v>
      </c>
      <c r="D14230" s="21" t="s">
        <v>34</v>
      </c>
      <c r="E14230" s="21" t="s">
        <v>71</v>
      </c>
      <c r="F14230">
        <v>10330086</v>
      </c>
      <c r="G14230" t="s">
        <v>785</v>
      </c>
      <c r="H14230" s="21">
        <v>877.17</v>
      </c>
    </row>
    <row r="14231" spans="1:8" customFormat="1" x14ac:dyDescent="0.25">
      <c r="A14231" t="str">
        <f>"4912730"</f>
        <v>4912730</v>
      </c>
      <c r="B14231" t="s">
        <v>11391</v>
      </c>
      <c r="C14231" t="s">
        <v>712</v>
      </c>
      <c r="D14231" s="21" t="s">
        <v>34</v>
      </c>
      <c r="E14231" s="21" t="s">
        <v>71</v>
      </c>
      <c r="F14231">
        <v>12490018</v>
      </c>
      <c r="G14231" t="s">
        <v>2269</v>
      </c>
      <c r="H14231" s="21">
        <v>877.17</v>
      </c>
    </row>
    <row r="14232" spans="1:8" customFormat="1" x14ac:dyDescent="0.25">
      <c r="A14232" t="str">
        <f>"7515170"</f>
        <v>7515170</v>
      </c>
      <c r="B14232" t="s">
        <v>8753</v>
      </c>
      <c r="C14232" t="s">
        <v>130</v>
      </c>
      <c r="D14232" s="21" t="s">
        <v>34</v>
      </c>
      <c r="E14232" s="21" t="s">
        <v>35</v>
      </c>
      <c r="F14232">
        <v>8750120</v>
      </c>
      <c r="G14232" t="s">
        <v>838</v>
      </c>
      <c r="H14232" s="21">
        <v>877.17</v>
      </c>
    </row>
    <row r="14233" spans="1:8" customFormat="1" x14ac:dyDescent="0.25">
      <c r="A14233" t="str">
        <f>"67379"</f>
        <v>67379</v>
      </c>
      <c r="B14233" t="s">
        <v>10689</v>
      </c>
      <c r="C14233" t="s">
        <v>249</v>
      </c>
      <c r="D14233" s="21" t="s">
        <v>34</v>
      </c>
      <c r="E14233" s="21" t="s">
        <v>71</v>
      </c>
      <c r="F14233">
        <v>6670045</v>
      </c>
      <c r="G14233" t="s">
        <v>707</v>
      </c>
      <c r="H14233" s="21">
        <v>877.17</v>
      </c>
    </row>
    <row r="14234" spans="1:8" customFormat="1" x14ac:dyDescent="0.25">
      <c r="A14234" t="str">
        <f>"6718956"</f>
        <v>6718956</v>
      </c>
      <c r="B14234" t="s">
        <v>13250</v>
      </c>
      <c r="C14234" t="s">
        <v>288</v>
      </c>
      <c r="D14234" s="21" t="s">
        <v>34</v>
      </c>
      <c r="E14234" s="21" t="s">
        <v>35</v>
      </c>
      <c r="F14234">
        <v>6670041</v>
      </c>
      <c r="G14234" t="s">
        <v>1971</v>
      </c>
      <c r="H14234" s="21">
        <v>877.17</v>
      </c>
    </row>
    <row r="14235" spans="1:8" customFormat="1" x14ac:dyDescent="0.25">
      <c r="A14235" t="str">
        <f>"852301"</f>
        <v>852301</v>
      </c>
      <c r="B14235" t="s">
        <v>5734</v>
      </c>
      <c r="C14235" t="s">
        <v>269</v>
      </c>
      <c r="D14235" s="21" t="s">
        <v>34</v>
      </c>
      <c r="E14235" s="21" t="s">
        <v>254</v>
      </c>
      <c r="F14235">
        <v>12850143</v>
      </c>
      <c r="G14235" t="s">
        <v>1625</v>
      </c>
      <c r="H14235" s="21">
        <v>877.17</v>
      </c>
    </row>
    <row r="14236" spans="1:8" customFormat="1" x14ac:dyDescent="0.25">
      <c r="A14236" t="str">
        <f>"767122"</f>
        <v>767122</v>
      </c>
      <c r="B14236" t="s">
        <v>11344</v>
      </c>
      <c r="C14236" t="s">
        <v>415</v>
      </c>
      <c r="D14236" s="21" t="s">
        <v>34</v>
      </c>
      <c r="E14236" s="21" t="s">
        <v>71</v>
      </c>
      <c r="F14236">
        <v>9760448</v>
      </c>
      <c r="G14236" t="s">
        <v>11345</v>
      </c>
      <c r="H14236" s="21">
        <v>877.17</v>
      </c>
    </row>
    <row r="14237" spans="1:8" customFormat="1" x14ac:dyDescent="0.25">
      <c r="A14237" t="str">
        <f>"03141"</f>
        <v>03141</v>
      </c>
      <c r="B14237" t="s">
        <v>13191</v>
      </c>
      <c r="C14237" t="s">
        <v>1914</v>
      </c>
      <c r="D14237" s="21" t="s">
        <v>34</v>
      </c>
      <c r="E14237" s="21" t="s">
        <v>71</v>
      </c>
      <c r="F14237">
        <v>1030308</v>
      </c>
      <c r="G14237" t="s">
        <v>1485</v>
      </c>
      <c r="H14237" s="21">
        <v>877.17</v>
      </c>
    </row>
    <row r="14238" spans="1:8" customFormat="1" x14ac:dyDescent="0.25">
      <c r="A14238" t="str">
        <f>"1317172"</f>
        <v>1317172</v>
      </c>
      <c r="B14238" t="s">
        <v>4434</v>
      </c>
      <c r="C14238" t="s">
        <v>65</v>
      </c>
      <c r="D14238" s="21" t="s">
        <v>34</v>
      </c>
      <c r="E14238" s="21" t="s">
        <v>35</v>
      </c>
      <c r="F14238">
        <v>13130012</v>
      </c>
      <c r="G14238" t="s">
        <v>68</v>
      </c>
      <c r="H14238" s="21">
        <v>877</v>
      </c>
    </row>
    <row r="14239" spans="1:8" customFormat="1" x14ac:dyDescent="0.25">
      <c r="A14239" t="str">
        <f>"945695"</f>
        <v>945695</v>
      </c>
      <c r="B14239" t="s">
        <v>4747</v>
      </c>
      <c r="C14239" t="s">
        <v>285</v>
      </c>
      <c r="D14239" s="21" t="s">
        <v>34</v>
      </c>
      <c r="E14239" s="21" t="s">
        <v>35</v>
      </c>
      <c r="F14239">
        <v>8941180</v>
      </c>
      <c r="G14239" t="s">
        <v>5544</v>
      </c>
      <c r="H14239" s="21">
        <v>877</v>
      </c>
    </row>
    <row r="14240" spans="1:8" customFormat="1" x14ac:dyDescent="0.25">
      <c r="A14240" t="str">
        <f>"3517924"</f>
        <v>3517924</v>
      </c>
      <c r="B14240" t="s">
        <v>5473</v>
      </c>
      <c r="C14240" t="s">
        <v>121</v>
      </c>
      <c r="D14240" s="21" t="s">
        <v>34</v>
      </c>
      <c r="E14240" s="21" t="s">
        <v>35</v>
      </c>
      <c r="F14240">
        <v>3350207</v>
      </c>
      <c r="G14240" t="s">
        <v>3668</v>
      </c>
      <c r="H14240" s="21">
        <v>876.92</v>
      </c>
    </row>
    <row r="14241" spans="1:8" customFormat="1" x14ac:dyDescent="0.25">
      <c r="A14241" t="str">
        <f>"3116281"</f>
        <v>3116281</v>
      </c>
      <c r="B14241" t="s">
        <v>27331</v>
      </c>
      <c r="C14241" t="s">
        <v>65</v>
      </c>
      <c r="D14241" s="21" t="s">
        <v>34</v>
      </c>
      <c r="E14241" s="21" t="s">
        <v>35</v>
      </c>
      <c r="F14241">
        <v>11310005</v>
      </c>
      <c r="G14241" t="s">
        <v>6980</v>
      </c>
      <c r="H14241" s="21">
        <v>876.92</v>
      </c>
    </row>
    <row r="14242" spans="1:8" customFormat="1" x14ac:dyDescent="0.25">
      <c r="A14242" t="str">
        <f>"9754607"</f>
        <v>9754607</v>
      </c>
      <c r="B14242" t="s">
        <v>12257</v>
      </c>
      <c r="C14242" t="s">
        <v>12258</v>
      </c>
      <c r="D14242" s="21" t="s">
        <v>34</v>
      </c>
      <c r="E14242" s="21" t="s">
        <v>71</v>
      </c>
      <c r="F14242" t="s">
        <v>1906</v>
      </c>
      <c r="G14242" t="s">
        <v>26625</v>
      </c>
      <c r="H14242" s="21">
        <v>876.79</v>
      </c>
    </row>
    <row r="14243" spans="1:8" customFormat="1" x14ac:dyDescent="0.25">
      <c r="A14243" t="str">
        <f>"723481"</f>
        <v>723481</v>
      </c>
      <c r="B14243" t="s">
        <v>12925</v>
      </c>
      <c r="C14243" t="s">
        <v>269</v>
      </c>
      <c r="D14243" s="21" t="s">
        <v>34</v>
      </c>
      <c r="E14243" s="21" t="s">
        <v>71</v>
      </c>
      <c r="F14243">
        <v>12720067</v>
      </c>
      <c r="G14243" t="s">
        <v>10622</v>
      </c>
      <c r="H14243" s="21">
        <v>876.67</v>
      </c>
    </row>
    <row r="14244" spans="1:8" customFormat="1" x14ac:dyDescent="0.25">
      <c r="A14244" t="str">
        <f>"5010237"</f>
        <v>5010237</v>
      </c>
      <c r="B14244" t="s">
        <v>4865</v>
      </c>
      <c r="C14244" t="s">
        <v>98</v>
      </c>
      <c r="D14244" s="21" t="s">
        <v>34</v>
      </c>
      <c r="E14244" s="21" t="s">
        <v>35</v>
      </c>
      <c r="F14244">
        <v>9500031</v>
      </c>
      <c r="G14244" t="s">
        <v>11126</v>
      </c>
      <c r="H14244" s="21">
        <v>876.67</v>
      </c>
    </row>
    <row r="14245" spans="1:8" customFormat="1" x14ac:dyDescent="0.25">
      <c r="A14245" t="str">
        <f>"1610418"</f>
        <v>1610418</v>
      </c>
      <c r="B14245" t="s">
        <v>10475</v>
      </c>
      <c r="C14245" t="s">
        <v>109</v>
      </c>
      <c r="D14245" s="21" t="s">
        <v>34</v>
      </c>
      <c r="E14245" s="21" t="s">
        <v>35</v>
      </c>
      <c r="F14245">
        <v>10160226</v>
      </c>
      <c r="G14245" t="s">
        <v>8751</v>
      </c>
      <c r="H14245" s="21">
        <v>876.67</v>
      </c>
    </row>
    <row r="14246" spans="1:8" customFormat="1" x14ac:dyDescent="0.25">
      <c r="A14246" t="str">
        <f>"539997"</f>
        <v>539997</v>
      </c>
      <c r="B14246" t="s">
        <v>4649</v>
      </c>
      <c r="C14246" t="s">
        <v>204</v>
      </c>
      <c r="D14246" s="21" t="s">
        <v>34</v>
      </c>
      <c r="E14246" s="21" t="s">
        <v>35</v>
      </c>
      <c r="F14246">
        <v>12530049</v>
      </c>
      <c r="G14246" t="s">
        <v>9306</v>
      </c>
      <c r="H14246" s="21">
        <v>876.67</v>
      </c>
    </row>
    <row r="14247" spans="1:8" customFormat="1" x14ac:dyDescent="0.25">
      <c r="A14247" t="str">
        <f>"274732"</f>
        <v>274732</v>
      </c>
      <c r="B14247" t="s">
        <v>2165</v>
      </c>
      <c r="C14247" t="s">
        <v>40</v>
      </c>
      <c r="D14247" s="21" t="s">
        <v>34</v>
      </c>
      <c r="E14247" s="21" t="s">
        <v>254</v>
      </c>
      <c r="F14247">
        <v>9270095</v>
      </c>
      <c r="G14247" t="s">
        <v>1681</v>
      </c>
      <c r="H14247" s="21">
        <v>876.67</v>
      </c>
    </row>
    <row r="14248" spans="1:8" customFormat="1" x14ac:dyDescent="0.25">
      <c r="A14248" t="str">
        <f>"5712533"</f>
        <v>5712533</v>
      </c>
      <c r="B14248" t="s">
        <v>11957</v>
      </c>
      <c r="C14248" t="s">
        <v>119</v>
      </c>
      <c r="D14248" s="21" t="s">
        <v>34</v>
      </c>
      <c r="E14248" s="21" t="s">
        <v>35</v>
      </c>
      <c r="F14248">
        <v>8920031</v>
      </c>
      <c r="G14248" t="s">
        <v>552</v>
      </c>
      <c r="H14248" s="21">
        <v>876.67</v>
      </c>
    </row>
    <row r="14249" spans="1:8" customFormat="1" x14ac:dyDescent="0.25">
      <c r="A14249" t="str">
        <f>"5712521"</f>
        <v>5712521</v>
      </c>
      <c r="B14249" t="s">
        <v>12124</v>
      </c>
      <c r="C14249" t="s">
        <v>130</v>
      </c>
      <c r="D14249" s="21" t="s">
        <v>34</v>
      </c>
      <c r="E14249" s="21" t="s">
        <v>254</v>
      </c>
      <c r="F14249">
        <v>6570175</v>
      </c>
      <c r="G14249" t="s">
        <v>9707</v>
      </c>
      <c r="H14249" s="21">
        <v>876.67</v>
      </c>
    </row>
    <row r="14250" spans="1:8" customFormat="1" x14ac:dyDescent="0.25">
      <c r="A14250" t="str">
        <f>"838999"</f>
        <v>838999</v>
      </c>
      <c r="B14250" t="s">
        <v>12300</v>
      </c>
      <c r="C14250" t="s">
        <v>1474</v>
      </c>
      <c r="D14250" s="21" t="s">
        <v>34</v>
      </c>
      <c r="E14250" s="21" t="s">
        <v>35</v>
      </c>
      <c r="F14250">
        <v>13830016</v>
      </c>
      <c r="G14250" t="s">
        <v>12055</v>
      </c>
      <c r="H14250" s="21">
        <v>876.67</v>
      </c>
    </row>
    <row r="14251" spans="1:8" customFormat="1" x14ac:dyDescent="0.25">
      <c r="A14251" t="str">
        <f>"2210013"</f>
        <v>2210013</v>
      </c>
      <c r="B14251" t="s">
        <v>12998</v>
      </c>
      <c r="C14251" t="s">
        <v>124</v>
      </c>
      <c r="D14251" s="21" t="s">
        <v>34</v>
      </c>
      <c r="E14251" s="21" t="s">
        <v>71</v>
      </c>
      <c r="F14251">
        <v>3220064</v>
      </c>
      <c r="G14251" t="s">
        <v>26559</v>
      </c>
      <c r="H14251" s="21">
        <v>876.67</v>
      </c>
    </row>
    <row r="14252" spans="1:8" customFormat="1" x14ac:dyDescent="0.25">
      <c r="A14252" t="str">
        <f>"5322269"</f>
        <v>5322269</v>
      </c>
      <c r="B14252" t="s">
        <v>13535</v>
      </c>
      <c r="C14252" t="s">
        <v>2479</v>
      </c>
      <c r="D14252" s="21" t="s">
        <v>34</v>
      </c>
      <c r="E14252" s="21" t="s">
        <v>35</v>
      </c>
      <c r="F14252">
        <v>12538909</v>
      </c>
      <c r="G14252" t="s">
        <v>13536</v>
      </c>
      <c r="H14252" s="21">
        <v>876.67</v>
      </c>
    </row>
    <row r="14253" spans="1:8" customFormat="1" x14ac:dyDescent="0.25">
      <c r="A14253" t="str">
        <f>"579723"</f>
        <v>579723</v>
      </c>
      <c r="B14253" t="s">
        <v>12178</v>
      </c>
      <c r="C14253" t="s">
        <v>33</v>
      </c>
      <c r="D14253" s="21" t="s">
        <v>34</v>
      </c>
      <c r="E14253" s="21" t="s">
        <v>71</v>
      </c>
      <c r="F14253">
        <v>8771398</v>
      </c>
      <c r="G14253" t="s">
        <v>2759</v>
      </c>
      <c r="H14253" s="21">
        <v>876.67</v>
      </c>
    </row>
    <row r="14254" spans="1:8" customFormat="1" x14ac:dyDescent="0.25">
      <c r="A14254" t="str">
        <f>"6214957"</f>
        <v>6214957</v>
      </c>
      <c r="B14254" t="s">
        <v>12375</v>
      </c>
      <c r="C14254" t="s">
        <v>198</v>
      </c>
      <c r="D14254" s="21" t="s">
        <v>34</v>
      </c>
      <c r="E14254" s="21" t="s">
        <v>71</v>
      </c>
      <c r="F14254">
        <v>7620042</v>
      </c>
      <c r="G14254" t="s">
        <v>8102</v>
      </c>
      <c r="H14254" s="21">
        <v>876.67</v>
      </c>
    </row>
    <row r="14255" spans="1:8" customFormat="1" x14ac:dyDescent="0.25">
      <c r="A14255" t="str">
        <f>"067876"</f>
        <v>067876</v>
      </c>
      <c r="B14255" t="s">
        <v>1593</v>
      </c>
      <c r="C14255" t="s">
        <v>249</v>
      </c>
      <c r="D14255" s="21" t="s">
        <v>34</v>
      </c>
      <c r="E14255" s="21" t="s">
        <v>35</v>
      </c>
      <c r="F14255">
        <v>13060029</v>
      </c>
      <c r="G14255" t="s">
        <v>1345</v>
      </c>
      <c r="H14255" s="21">
        <v>876.67</v>
      </c>
    </row>
    <row r="14256" spans="1:8" customFormat="1" x14ac:dyDescent="0.25">
      <c r="A14256" t="str">
        <f>"356810"</f>
        <v>356810</v>
      </c>
      <c r="B14256" t="s">
        <v>12706</v>
      </c>
      <c r="C14256" t="s">
        <v>209</v>
      </c>
      <c r="D14256" s="21" t="s">
        <v>34</v>
      </c>
      <c r="E14256" s="21" t="s">
        <v>35</v>
      </c>
      <c r="F14256">
        <v>3350042</v>
      </c>
      <c r="G14256" t="s">
        <v>12707</v>
      </c>
      <c r="H14256" s="21">
        <v>876.67</v>
      </c>
    </row>
    <row r="14257" spans="1:8" customFormat="1" x14ac:dyDescent="0.25">
      <c r="A14257" t="str">
        <f>"422834"</f>
        <v>422834</v>
      </c>
      <c r="B14257" t="s">
        <v>12938</v>
      </c>
      <c r="C14257" t="s">
        <v>1665</v>
      </c>
      <c r="D14257" s="21" t="s">
        <v>34</v>
      </c>
      <c r="E14257" s="21" t="s">
        <v>254</v>
      </c>
      <c r="F14257">
        <v>1420010</v>
      </c>
      <c r="G14257" t="s">
        <v>1937</v>
      </c>
      <c r="H14257" s="21">
        <v>876.67</v>
      </c>
    </row>
    <row r="14258" spans="1:8" customFormat="1" x14ac:dyDescent="0.25">
      <c r="A14258" t="str">
        <f>"471751"</f>
        <v>471751</v>
      </c>
      <c r="B14258" t="s">
        <v>6350</v>
      </c>
      <c r="C14258" t="s">
        <v>114</v>
      </c>
      <c r="D14258" s="21" t="s">
        <v>34</v>
      </c>
      <c r="E14258" s="21" t="s">
        <v>71</v>
      </c>
      <c r="F14258">
        <v>10470005</v>
      </c>
      <c r="G14258" t="s">
        <v>4216</v>
      </c>
      <c r="H14258" s="21">
        <v>876.67</v>
      </c>
    </row>
    <row r="14259" spans="1:8" customFormat="1" x14ac:dyDescent="0.25">
      <c r="A14259" t="str">
        <f>"4414644"</f>
        <v>4414644</v>
      </c>
      <c r="B14259" t="s">
        <v>8476</v>
      </c>
      <c r="C14259" t="s">
        <v>263</v>
      </c>
      <c r="D14259" s="21" t="s">
        <v>34</v>
      </c>
      <c r="E14259" s="21" t="s">
        <v>71</v>
      </c>
      <c r="F14259">
        <v>12440087</v>
      </c>
      <c r="G14259" t="s">
        <v>1860</v>
      </c>
      <c r="H14259" s="21">
        <v>876.67</v>
      </c>
    </row>
    <row r="14260" spans="1:8" customFormat="1" x14ac:dyDescent="0.25">
      <c r="A14260" t="str">
        <f>"429289"</f>
        <v>429289</v>
      </c>
      <c r="B14260" t="s">
        <v>27332</v>
      </c>
      <c r="C14260" t="s">
        <v>98</v>
      </c>
      <c r="D14260" s="21" t="s">
        <v>34</v>
      </c>
      <c r="E14260" s="21" t="s">
        <v>35</v>
      </c>
      <c r="F14260">
        <v>1420144</v>
      </c>
      <c r="G14260" t="s">
        <v>9603</v>
      </c>
      <c r="H14260" s="21">
        <v>876.67</v>
      </c>
    </row>
    <row r="14261" spans="1:8" customFormat="1" x14ac:dyDescent="0.25">
      <c r="A14261" t="str">
        <f>"4936761"</f>
        <v>4936761</v>
      </c>
      <c r="B14261" t="s">
        <v>3505</v>
      </c>
      <c r="C14261" t="s">
        <v>119</v>
      </c>
      <c r="D14261" s="21" t="s">
        <v>34</v>
      </c>
      <c r="E14261" s="21" t="s">
        <v>35</v>
      </c>
      <c r="F14261">
        <v>12490023</v>
      </c>
      <c r="G14261" t="s">
        <v>4979</v>
      </c>
      <c r="H14261" s="21">
        <v>876.54</v>
      </c>
    </row>
    <row r="14262" spans="1:8" customFormat="1" x14ac:dyDescent="0.25">
      <c r="A14262" t="str">
        <f>"4919043"</f>
        <v>4919043</v>
      </c>
      <c r="B14262" t="s">
        <v>306</v>
      </c>
      <c r="C14262" t="s">
        <v>204</v>
      </c>
      <c r="D14262" s="21" t="s">
        <v>34</v>
      </c>
      <c r="E14262" s="21" t="s">
        <v>35</v>
      </c>
      <c r="F14262">
        <v>12490010</v>
      </c>
      <c r="G14262" t="s">
        <v>4838</v>
      </c>
      <c r="H14262" s="21">
        <v>876.42</v>
      </c>
    </row>
    <row r="14263" spans="1:8" customFormat="1" x14ac:dyDescent="0.25">
      <c r="A14263" t="str">
        <f>"3717751"</f>
        <v>3717751</v>
      </c>
      <c r="B14263" t="s">
        <v>13534</v>
      </c>
      <c r="C14263" t="s">
        <v>169</v>
      </c>
      <c r="D14263" s="21" t="s">
        <v>34</v>
      </c>
      <c r="E14263" s="21" t="s">
        <v>71</v>
      </c>
      <c r="F14263">
        <v>4370681</v>
      </c>
      <c r="G14263" t="s">
        <v>4508</v>
      </c>
      <c r="H14263" s="21">
        <v>876.17</v>
      </c>
    </row>
    <row r="14264" spans="1:8" customFormat="1" x14ac:dyDescent="0.25">
      <c r="A14264" t="str">
        <f>"918594"</f>
        <v>918594</v>
      </c>
      <c r="B14264" t="s">
        <v>13768</v>
      </c>
      <c r="C14264" t="s">
        <v>249</v>
      </c>
      <c r="D14264" s="21" t="s">
        <v>34</v>
      </c>
      <c r="E14264" s="21" t="s">
        <v>71</v>
      </c>
      <c r="F14264">
        <v>8910434</v>
      </c>
      <c r="G14264" t="s">
        <v>681</v>
      </c>
      <c r="H14264" s="21">
        <v>876.17</v>
      </c>
    </row>
    <row r="14265" spans="1:8" customFormat="1" x14ac:dyDescent="0.25">
      <c r="A14265" t="str">
        <f>"6212550"</f>
        <v>6212550</v>
      </c>
      <c r="B14265" t="s">
        <v>11582</v>
      </c>
      <c r="C14265" t="s">
        <v>249</v>
      </c>
      <c r="D14265" s="21" t="s">
        <v>34</v>
      </c>
      <c r="E14265" s="21" t="s">
        <v>71</v>
      </c>
      <c r="F14265">
        <v>7620060</v>
      </c>
      <c r="G14265" t="s">
        <v>2179</v>
      </c>
      <c r="H14265" s="21">
        <v>876.17</v>
      </c>
    </row>
    <row r="14266" spans="1:8" customFormat="1" x14ac:dyDescent="0.25">
      <c r="A14266" t="str">
        <f>"18414"</f>
        <v>18414</v>
      </c>
      <c r="B14266" t="s">
        <v>6088</v>
      </c>
      <c r="C14266" t="s">
        <v>11955</v>
      </c>
      <c r="D14266" s="21" t="s">
        <v>34</v>
      </c>
      <c r="E14266" s="21" t="s">
        <v>254</v>
      </c>
      <c r="F14266">
        <v>4180716</v>
      </c>
      <c r="G14266" t="s">
        <v>7669</v>
      </c>
      <c r="H14266" s="21">
        <v>876.17</v>
      </c>
    </row>
    <row r="14267" spans="1:8" customFormat="1" x14ac:dyDescent="0.25">
      <c r="A14267" t="str">
        <f>"793829"</f>
        <v>793829</v>
      </c>
      <c r="B14267" t="s">
        <v>12819</v>
      </c>
      <c r="C14267" t="s">
        <v>174</v>
      </c>
      <c r="D14267" s="21" t="s">
        <v>34</v>
      </c>
      <c r="E14267" s="21" t="s">
        <v>35</v>
      </c>
      <c r="F14267">
        <v>10790015</v>
      </c>
      <c r="G14267" t="s">
        <v>12820</v>
      </c>
      <c r="H14267" s="21">
        <v>876.17</v>
      </c>
    </row>
    <row r="14268" spans="1:8" customFormat="1" x14ac:dyDescent="0.25">
      <c r="A14268" t="str">
        <f>"2924461"</f>
        <v>2924461</v>
      </c>
      <c r="B14268" t="s">
        <v>12658</v>
      </c>
      <c r="C14268" t="s">
        <v>469</v>
      </c>
      <c r="D14268" s="21" t="s">
        <v>34</v>
      </c>
      <c r="E14268" s="21" t="s">
        <v>35</v>
      </c>
      <c r="F14268">
        <v>3290047</v>
      </c>
      <c r="G14268" t="s">
        <v>2874</v>
      </c>
      <c r="H14268" s="21">
        <v>876.17</v>
      </c>
    </row>
    <row r="14269" spans="1:8" customFormat="1" x14ac:dyDescent="0.25">
      <c r="A14269" t="str">
        <f>"3338312"</f>
        <v>3338312</v>
      </c>
      <c r="B14269" t="s">
        <v>14470</v>
      </c>
      <c r="C14269" t="s">
        <v>719</v>
      </c>
      <c r="D14269" s="21" t="s">
        <v>34</v>
      </c>
      <c r="E14269" s="21" t="s">
        <v>35</v>
      </c>
      <c r="F14269">
        <v>10330117</v>
      </c>
      <c r="G14269" t="s">
        <v>1942</v>
      </c>
      <c r="H14269" s="21">
        <v>876.17</v>
      </c>
    </row>
    <row r="14270" spans="1:8" customFormat="1" x14ac:dyDescent="0.25">
      <c r="A14270" t="str">
        <f>"244861"</f>
        <v>244861</v>
      </c>
      <c r="B14270" t="s">
        <v>3972</v>
      </c>
      <c r="C14270" t="s">
        <v>236</v>
      </c>
      <c r="D14270" s="21" t="s">
        <v>34</v>
      </c>
      <c r="E14270" s="21" t="s">
        <v>254</v>
      </c>
      <c r="F14270">
        <v>10240015</v>
      </c>
      <c r="G14270" t="s">
        <v>8589</v>
      </c>
      <c r="H14270" s="21">
        <v>876.17</v>
      </c>
    </row>
    <row r="14271" spans="1:8" customFormat="1" x14ac:dyDescent="0.25">
      <c r="A14271" t="str">
        <f>"4448801"</f>
        <v>4448801</v>
      </c>
      <c r="B14271" t="s">
        <v>4142</v>
      </c>
      <c r="C14271" t="s">
        <v>204</v>
      </c>
      <c r="D14271" s="21" t="s">
        <v>34</v>
      </c>
      <c r="E14271" s="21" t="s">
        <v>35</v>
      </c>
      <c r="F14271">
        <v>12440144</v>
      </c>
      <c r="G14271" t="s">
        <v>3702</v>
      </c>
      <c r="H14271" s="21">
        <v>876.17</v>
      </c>
    </row>
    <row r="14272" spans="1:8" customFormat="1" x14ac:dyDescent="0.25">
      <c r="A14272" t="str">
        <f>"228683"</f>
        <v>228683</v>
      </c>
      <c r="B14272" t="s">
        <v>13583</v>
      </c>
      <c r="C14272" t="s">
        <v>239</v>
      </c>
      <c r="D14272" s="21" t="s">
        <v>34</v>
      </c>
      <c r="E14272" s="21" t="s">
        <v>71</v>
      </c>
      <c r="F14272">
        <v>3290290</v>
      </c>
      <c r="G14272" t="s">
        <v>27072</v>
      </c>
      <c r="H14272" s="21">
        <v>876.17</v>
      </c>
    </row>
    <row r="14273" spans="1:8" customFormat="1" x14ac:dyDescent="0.25">
      <c r="A14273" t="str">
        <f>"037175"</f>
        <v>037175</v>
      </c>
      <c r="B14273" t="s">
        <v>1422</v>
      </c>
      <c r="C14273" t="s">
        <v>60</v>
      </c>
      <c r="D14273" s="21" t="s">
        <v>34</v>
      </c>
      <c r="E14273" s="21" t="s">
        <v>35</v>
      </c>
      <c r="F14273">
        <v>1030227</v>
      </c>
      <c r="G14273" t="s">
        <v>5679</v>
      </c>
      <c r="H14273" s="21">
        <v>876.17</v>
      </c>
    </row>
    <row r="14274" spans="1:8" customFormat="1" x14ac:dyDescent="0.25">
      <c r="A14274" t="str">
        <f>"7715864"</f>
        <v>7715864</v>
      </c>
      <c r="B14274" t="s">
        <v>12415</v>
      </c>
      <c r="C14274" t="s">
        <v>825</v>
      </c>
      <c r="D14274" s="21" t="s">
        <v>34</v>
      </c>
      <c r="E14274" s="21" t="s">
        <v>71</v>
      </c>
      <c r="F14274">
        <v>8771394</v>
      </c>
      <c r="G14274" t="s">
        <v>1933</v>
      </c>
      <c r="H14274" s="21">
        <v>876.17</v>
      </c>
    </row>
    <row r="14275" spans="1:8" customFormat="1" x14ac:dyDescent="0.25">
      <c r="A14275" t="str">
        <f>"103868"</f>
        <v>103868</v>
      </c>
      <c r="B14275" t="s">
        <v>13972</v>
      </c>
      <c r="C14275" t="s">
        <v>4674</v>
      </c>
      <c r="D14275" s="21" t="s">
        <v>34</v>
      </c>
      <c r="E14275" s="21" t="s">
        <v>35</v>
      </c>
      <c r="F14275">
        <v>6100016</v>
      </c>
      <c r="G14275" t="s">
        <v>7558</v>
      </c>
      <c r="H14275" s="21">
        <v>876.17</v>
      </c>
    </row>
    <row r="14276" spans="1:8" customFormat="1" x14ac:dyDescent="0.25">
      <c r="A14276" t="str">
        <f>"5931901"</f>
        <v>5931901</v>
      </c>
      <c r="B14276" t="s">
        <v>13356</v>
      </c>
      <c r="C14276" t="s">
        <v>2907</v>
      </c>
      <c r="D14276" s="21" t="s">
        <v>34</v>
      </c>
      <c r="E14276" s="21" t="s">
        <v>71</v>
      </c>
      <c r="F14276">
        <v>7590017</v>
      </c>
      <c r="G14276" t="s">
        <v>1316</v>
      </c>
      <c r="H14276" s="21">
        <v>876.17</v>
      </c>
    </row>
    <row r="14277" spans="1:8" customFormat="1" x14ac:dyDescent="0.25">
      <c r="A14277" t="str">
        <f>"9H731"</f>
        <v>9H731</v>
      </c>
      <c r="B14277" t="s">
        <v>21029</v>
      </c>
      <c r="C14277" t="s">
        <v>187</v>
      </c>
      <c r="D14277" s="21" t="s">
        <v>34</v>
      </c>
      <c r="E14277" s="21" t="s">
        <v>35</v>
      </c>
      <c r="F14277" t="s">
        <v>1181</v>
      </c>
      <c r="G14277" t="s">
        <v>1182</v>
      </c>
      <c r="H14277" s="21">
        <v>876</v>
      </c>
    </row>
    <row r="14278" spans="1:8" customFormat="1" x14ac:dyDescent="0.25">
      <c r="A14278" t="str">
        <f>"662960"</f>
        <v>662960</v>
      </c>
      <c r="B14278" t="s">
        <v>12404</v>
      </c>
      <c r="C14278" t="s">
        <v>40</v>
      </c>
      <c r="D14278" s="21" t="s">
        <v>34</v>
      </c>
      <c r="E14278" s="21" t="s">
        <v>71</v>
      </c>
      <c r="F14278">
        <v>11660019</v>
      </c>
      <c r="G14278" t="s">
        <v>6292</v>
      </c>
      <c r="H14278" s="21">
        <v>875.92</v>
      </c>
    </row>
    <row r="14279" spans="1:8" customFormat="1" x14ac:dyDescent="0.25">
      <c r="A14279" t="str">
        <f>"4422176"</f>
        <v>4422176</v>
      </c>
      <c r="B14279" t="s">
        <v>14478</v>
      </c>
      <c r="C14279" t="s">
        <v>1665</v>
      </c>
      <c r="D14279" s="21" t="s">
        <v>34</v>
      </c>
      <c r="E14279" s="21" t="s">
        <v>35</v>
      </c>
      <c r="F14279">
        <v>12440034</v>
      </c>
      <c r="G14279" t="s">
        <v>10586</v>
      </c>
      <c r="H14279" s="21">
        <v>875.92</v>
      </c>
    </row>
    <row r="14280" spans="1:8" customFormat="1" x14ac:dyDescent="0.25">
      <c r="A14280" t="str">
        <f>"383033"</f>
        <v>383033</v>
      </c>
      <c r="B14280" t="s">
        <v>12478</v>
      </c>
      <c r="C14280" t="s">
        <v>598</v>
      </c>
      <c r="D14280" s="21" t="s">
        <v>34</v>
      </c>
      <c r="E14280" s="21" t="s">
        <v>35</v>
      </c>
      <c r="F14280">
        <v>1380199</v>
      </c>
      <c r="G14280" t="s">
        <v>321</v>
      </c>
      <c r="H14280" s="21">
        <v>875.67</v>
      </c>
    </row>
    <row r="14281" spans="1:8" customFormat="1" x14ac:dyDescent="0.25">
      <c r="A14281" t="str">
        <f>"591748"</f>
        <v>591748</v>
      </c>
      <c r="B14281" t="s">
        <v>3781</v>
      </c>
      <c r="C14281" t="s">
        <v>462</v>
      </c>
      <c r="D14281" s="21" t="s">
        <v>34</v>
      </c>
      <c r="E14281" s="21" t="s">
        <v>71</v>
      </c>
      <c r="F14281">
        <v>7590074</v>
      </c>
      <c r="G14281" t="s">
        <v>1992</v>
      </c>
      <c r="H14281" s="21">
        <v>875.67</v>
      </c>
    </row>
    <row r="14282" spans="1:8" customFormat="1" x14ac:dyDescent="0.25">
      <c r="A14282" t="str">
        <f>"4511855"</f>
        <v>4511855</v>
      </c>
      <c r="B14282" t="s">
        <v>10124</v>
      </c>
      <c r="C14282" t="s">
        <v>822</v>
      </c>
      <c r="D14282" s="21" t="s">
        <v>34</v>
      </c>
      <c r="E14282" s="21" t="s">
        <v>71</v>
      </c>
      <c r="F14282">
        <v>8750074</v>
      </c>
      <c r="G14282" t="s">
        <v>698</v>
      </c>
      <c r="H14282" s="21">
        <v>875.67</v>
      </c>
    </row>
    <row r="14283" spans="1:8" customFormat="1" x14ac:dyDescent="0.25">
      <c r="A14283" t="str">
        <f>"8014985"</f>
        <v>8014985</v>
      </c>
      <c r="B14283" t="s">
        <v>12340</v>
      </c>
      <c r="C14283" t="s">
        <v>124</v>
      </c>
      <c r="D14283" s="21" t="s">
        <v>34</v>
      </c>
      <c r="E14283" s="21" t="s">
        <v>71</v>
      </c>
      <c r="F14283">
        <v>7800020</v>
      </c>
      <c r="G14283" t="s">
        <v>11608</v>
      </c>
      <c r="H14283" s="21">
        <v>875.67</v>
      </c>
    </row>
    <row r="14284" spans="1:8" customFormat="1" x14ac:dyDescent="0.25">
      <c r="A14284" t="str">
        <f>"339359"</f>
        <v>339359</v>
      </c>
      <c r="B14284" t="s">
        <v>13256</v>
      </c>
      <c r="C14284" t="s">
        <v>249</v>
      </c>
      <c r="D14284" s="21" t="s">
        <v>34</v>
      </c>
      <c r="E14284" s="21" t="s">
        <v>71</v>
      </c>
      <c r="F14284">
        <v>10330020</v>
      </c>
      <c r="G14284" t="s">
        <v>7481</v>
      </c>
      <c r="H14284" s="21">
        <v>875.67</v>
      </c>
    </row>
    <row r="14285" spans="1:8" customFormat="1" x14ac:dyDescent="0.25">
      <c r="A14285" t="str">
        <f>"93849"</f>
        <v>93849</v>
      </c>
      <c r="B14285" t="s">
        <v>126</v>
      </c>
      <c r="C14285" t="s">
        <v>547</v>
      </c>
      <c r="D14285" s="21" t="s">
        <v>34</v>
      </c>
      <c r="E14285" s="21" t="s">
        <v>254</v>
      </c>
      <c r="F14285">
        <v>8770237</v>
      </c>
      <c r="G14285" t="s">
        <v>128</v>
      </c>
      <c r="H14285" s="21">
        <v>875.67</v>
      </c>
    </row>
    <row r="14286" spans="1:8" customFormat="1" x14ac:dyDescent="0.25">
      <c r="A14286" t="str">
        <f>"498368"</f>
        <v>498368</v>
      </c>
      <c r="B14286" t="s">
        <v>11950</v>
      </c>
      <c r="C14286" t="s">
        <v>198</v>
      </c>
      <c r="D14286" s="21" t="s">
        <v>34</v>
      </c>
      <c r="E14286" s="21" t="s">
        <v>254</v>
      </c>
      <c r="F14286">
        <v>12490006</v>
      </c>
      <c r="G14286" t="s">
        <v>1480</v>
      </c>
      <c r="H14286" s="21">
        <v>875.67</v>
      </c>
    </row>
    <row r="14287" spans="1:8" customFormat="1" x14ac:dyDescent="0.25">
      <c r="A14287" t="str">
        <f>"1315267"</f>
        <v>1315267</v>
      </c>
      <c r="B14287" t="s">
        <v>13098</v>
      </c>
      <c r="C14287" t="s">
        <v>209</v>
      </c>
      <c r="D14287" s="21" t="s">
        <v>34</v>
      </c>
      <c r="E14287" s="21" t="s">
        <v>35</v>
      </c>
      <c r="F14287">
        <v>13130161</v>
      </c>
      <c r="G14287" t="s">
        <v>1171</v>
      </c>
      <c r="H14287" s="21">
        <v>875.67</v>
      </c>
    </row>
    <row r="14288" spans="1:8" customFormat="1" x14ac:dyDescent="0.25">
      <c r="A14288" t="str">
        <f>"4210186"</f>
        <v>4210186</v>
      </c>
      <c r="B14288" t="s">
        <v>12823</v>
      </c>
      <c r="C14288" t="s">
        <v>87</v>
      </c>
      <c r="D14288" s="21" t="s">
        <v>34</v>
      </c>
      <c r="E14288" s="21" t="s">
        <v>71</v>
      </c>
      <c r="F14288">
        <v>1420152</v>
      </c>
      <c r="G14288" t="s">
        <v>2948</v>
      </c>
      <c r="H14288" s="21">
        <v>875.54</v>
      </c>
    </row>
    <row r="14289" spans="1:8" customFormat="1" x14ac:dyDescent="0.25">
      <c r="A14289" t="str">
        <f>"366754"</f>
        <v>366754</v>
      </c>
      <c r="B14289" t="s">
        <v>13777</v>
      </c>
      <c r="C14289" t="s">
        <v>267</v>
      </c>
      <c r="D14289" s="21" t="s">
        <v>34</v>
      </c>
      <c r="E14289" s="21" t="s">
        <v>71</v>
      </c>
      <c r="F14289">
        <v>4360728</v>
      </c>
      <c r="G14289" t="s">
        <v>12735</v>
      </c>
      <c r="H14289" s="21">
        <v>875.54</v>
      </c>
    </row>
    <row r="14290" spans="1:8" customFormat="1" x14ac:dyDescent="0.25">
      <c r="A14290" t="str">
        <f>"667392"</f>
        <v>667392</v>
      </c>
      <c r="B14290" t="s">
        <v>7347</v>
      </c>
      <c r="C14290" t="s">
        <v>486</v>
      </c>
      <c r="D14290" s="21" t="s">
        <v>34</v>
      </c>
      <c r="E14290" s="21" t="s">
        <v>35</v>
      </c>
      <c r="F14290">
        <v>11660001</v>
      </c>
      <c r="G14290" t="s">
        <v>8203</v>
      </c>
      <c r="H14290" s="21">
        <v>875.54</v>
      </c>
    </row>
    <row r="14291" spans="1:8" customFormat="1" x14ac:dyDescent="0.25">
      <c r="A14291" t="str">
        <f>"1715567"</f>
        <v>1715567</v>
      </c>
      <c r="B14291" t="s">
        <v>13943</v>
      </c>
      <c r="C14291" t="s">
        <v>415</v>
      </c>
      <c r="D14291" s="21" t="s">
        <v>34</v>
      </c>
      <c r="E14291" s="21" t="s">
        <v>35</v>
      </c>
      <c r="F14291">
        <v>10170064</v>
      </c>
      <c r="G14291" t="s">
        <v>1900</v>
      </c>
      <c r="H14291" s="21">
        <v>875.54</v>
      </c>
    </row>
    <row r="14292" spans="1:8" customFormat="1" x14ac:dyDescent="0.25">
      <c r="A14292" t="str">
        <f>"2712668"</f>
        <v>2712668</v>
      </c>
      <c r="B14292" t="s">
        <v>485</v>
      </c>
      <c r="C14292" t="s">
        <v>202</v>
      </c>
      <c r="D14292" s="21" t="s">
        <v>34</v>
      </c>
      <c r="E14292" s="21" t="s">
        <v>71</v>
      </c>
      <c r="F14292">
        <v>9270089</v>
      </c>
      <c r="G14292" t="s">
        <v>1009</v>
      </c>
      <c r="H14292" s="21">
        <v>875.42</v>
      </c>
    </row>
    <row r="14293" spans="1:8" customFormat="1" x14ac:dyDescent="0.25">
      <c r="A14293" t="str">
        <f>"2923620"</f>
        <v>2923620</v>
      </c>
      <c r="B14293" t="s">
        <v>13634</v>
      </c>
      <c r="C14293" t="s">
        <v>198</v>
      </c>
      <c r="D14293" s="21" t="s">
        <v>34</v>
      </c>
      <c r="E14293" s="21" t="s">
        <v>71</v>
      </c>
      <c r="F14293">
        <v>4370669</v>
      </c>
      <c r="G14293" t="s">
        <v>8189</v>
      </c>
      <c r="H14293" s="21">
        <v>875.42</v>
      </c>
    </row>
    <row r="14294" spans="1:8" customFormat="1" x14ac:dyDescent="0.25">
      <c r="A14294" t="str">
        <f>"5955113"</f>
        <v>5955113</v>
      </c>
      <c r="B14294" t="s">
        <v>6822</v>
      </c>
      <c r="C14294" t="s">
        <v>87</v>
      </c>
      <c r="D14294" s="21" t="s">
        <v>34</v>
      </c>
      <c r="E14294" s="21" t="s">
        <v>35</v>
      </c>
      <c r="F14294">
        <v>7590068</v>
      </c>
      <c r="G14294" t="s">
        <v>1005</v>
      </c>
      <c r="H14294" s="21">
        <v>875.42</v>
      </c>
    </row>
    <row r="14295" spans="1:8" customFormat="1" x14ac:dyDescent="0.25">
      <c r="A14295" t="str">
        <f>"7865570"</f>
        <v>7865570</v>
      </c>
      <c r="B14295" t="s">
        <v>16012</v>
      </c>
      <c r="C14295" t="s">
        <v>269</v>
      </c>
      <c r="D14295" s="21" t="s">
        <v>34</v>
      </c>
      <c r="E14295" s="21" t="s">
        <v>71</v>
      </c>
      <c r="F14295">
        <v>8780905</v>
      </c>
      <c r="G14295" t="s">
        <v>1267</v>
      </c>
      <c r="H14295" s="21">
        <v>875.29</v>
      </c>
    </row>
    <row r="14296" spans="1:8" customFormat="1" x14ac:dyDescent="0.25">
      <c r="A14296" t="str">
        <f>"941041"</f>
        <v>941041</v>
      </c>
      <c r="B14296" t="s">
        <v>213</v>
      </c>
      <c r="C14296" t="s">
        <v>2365</v>
      </c>
      <c r="D14296" s="21" t="s">
        <v>34</v>
      </c>
      <c r="E14296" s="21" t="s">
        <v>254</v>
      </c>
      <c r="F14296">
        <v>8910402</v>
      </c>
      <c r="G14296" t="s">
        <v>1371</v>
      </c>
      <c r="H14296" s="21">
        <v>875.17</v>
      </c>
    </row>
    <row r="14297" spans="1:8" customFormat="1" x14ac:dyDescent="0.25">
      <c r="A14297" t="str">
        <f>"7633313"</f>
        <v>7633313</v>
      </c>
      <c r="B14297" t="s">
        <v>12879</v>
      </c>
      <c r="C14297" t="s">
        <v>988</v>
      </c>
      <c r="D14297" s="21" t="s">
        <v>34</v>
      </c>
      <c r="E14297" s="21" t="s">
        <v>35</v>
      </c>
      <c r="F14297">
        <v>9760004</v>
      </c>
      <c r="G14297" t="s">
        <v>56</v>
      </c>
      <c r="H14297" s="21">
        <v>875.17</v>
      </c>
    </row>
    <row r="14298" spans="1:8" customFormat="1" x14ac:dyDescent="0.25">
      <c r="A14298" t="str">
        <f>"627607"</f>
        <v>627607</v>
      </c>
      <c r="B14298" t="s">
        <v>392</v>
      </c>
      <c r="C14298" t="s">
        <v>209</v>
      </c>
      <c r="D14298" s="21" t="s">
        <v>34</v>
      </c>
      <c r="E14298" s="21" t="s">
        <v>254</v>
      </c>
      <c r="F14298">
        <v>7620048</v>
      </c>
      <c r="G14298" t="s">
        <v>7467</v>
      </c>
      <c r="H14298" s="21">
        <v>875.17</v>
      </c>
    </row>
    <row r="14299" spans="1:8" customFormat="1" x14ac:dyDescent="0.25">
      <c r="A14299" t="str">
        <f>"10410"</f>
        <v>10410</v>
      </c>
      <c r="B14299" t="s">
        <v>12158</v>
      </c>
      <c r="C14299" t="s">
        <v>119</v>
      </c>
      <c r="D14299" s="21" t="s">
        <v>34</v>
      </c>
      <c r="E14299" s="21" t="s">
        <v>71</v>
      </c>
      <c r="F14299">
        <v>6100021</v>
      </c>
      <c r="G14299" t="s">
        <v>7789</v>
      </c>
      <c r="H14299" s="21">
        <v>875.17</v>
      </c>
    </row>
    <row r="14300" spans="1:8" customFormat="1" x14ac:dyDescent="0.25">
      <c r="A14300" t="str">
        <f>"5948230"</f>
        <v>5948230</v>
      </c>
      <c r="B14300" t="s">
        <v>1629</v>
      </c>
      <c r="C14300" t="s">
        <v>13424</v>
      </c>
      <c r="D14300" s="21" t="s">
        <v>34</v>
      </c>
      <c r="E14300" s="21" t="s">
        <v>71</v>
      </c>
      <c r="F14300">
        <v>7590040</v>
      </c>
      <c r="G14300" t="s">
        <v>104</v>
      </c>
      <c r="H14300" s="21">
        <v>875.17</v>
      </c>
    </row>
    <row r="14301" spans="1:8" customFormat="1" x14ac:dyDescent="0.25">
      <c r="A14301" t="str">
        <f>"5415175"</f>
        <v>5415175</v>
      </c>
      <c r="B14301" t="s">
        <v>13311</v>
      </c>
      <c r="C14301" t="s">
        <v>13312</v>
      </c>
      <c r="D14301" s="21" t="s">
        <v>34</v>
      </c>
      <c r="E14301" s="21" t="s">
        <v>71</v>
      </c>
      <c r="F14301">
        <v>6540097</v>
      </c>
      <c r="G14301" t="s">
        <v>12434</v>
      </c>
      <c r="H14301" s="21">
        <v>875.17</v>
      </c>
    </row>
    <row r="14302" spans="1:8" customFormat="1" x14ac:dyDescent="0.25">
      <c r="A14302" t="str">
        <f>"9142930"</f>
        <v>9142930</v>
      </c>
      <c r="B14302" t="s">
        <v>6530</v>
      </c>
      <c r="C14302" t="s">
        <v>14322</v>
      </c>
      <c r="D14302" s="21" t="s">
        <v>34</v>
      </c>
      <c r="E14302" s="21" t="s">
        <v>35</v>
      </c>
      <c r="F14302">
        <v>8910434</v>
      </c>
      <c r="G14302" t="s">
        <v>681</v>
      </c>
      <c r="H14302" s="21">
        <v>875.17</v>
      </c>
    </row>
    <row r="14303" spans="1:8" customFormat="1" x14ac:dyDescent="0.25">
      <c r="A14303" t="str">
        <f>"5967390"</f>
        <v>5967390</v>
      </c>
      <c r="B14303" t="s">
        <v>15242</v>
      </c>
      <c r="C14303" t="s">
        <v>772</v>
      </c>
      <c r="D14303" s="21" t="s">
        <v>34</v>
      </c>
      <c r="E14303" s="21" t="s">
        <v>35</v>
      </c>
      <c r="F14303">
        <v>7590413</v>
      </c>
      <c r="G14303" t="s">
        <v>6848</v>
      </c>
      <c r="H14303" s="21">
        <v>875.17</v>
      </c>
    </row>
    <row r="14304" spans="1:8" customFormat="1" x14ac:dyDescent="0.25">
      <c r="A14304" t="str">
        <f>"257051"</f>
        <v>257051</v>
      </c>
      <c r="B14304" t="s">
        <v>8239</v>
      </c>
      <c r="C14304" t="s">
        <v>209</v>
      </c>
      <c r="D14304" s="21" t="s">
        <v>34</v>
      </c>
      <c r="E14304" s="21" t="s">
        <v>71</v>
      </c>
      <c r="F14304">
        <v>2250205</v>
      </c>
      <c r="G14304" t="s">
        <v>7311</v>
      </c>
      <c r="H14304" s="21">
        <v>875.17</v>
      </c>
    </row>
    <row r="14305" spans="1:8" customFormat="1" x14ac:dyDescent="0.25">
      <c r="A14305" t="str">
        <f>"724863"</f>
        <v>724863</v>
      </c>
      <c r="B14305" t="s">
        <v>12516</v>
      </c>
      <c r="C14305" t="s">
        <v>40</v>
      </c>
      <c r="D14305" s="21" t="s">
        <v>34</v>
      </c>
      <c r="E14305" s="21" t="s">
        <v>254</v>
      </c>
      <c r="F14305">
        <v>12720062</v>
      </c>
      <c r="G14305" t="s">
        <v>4026</v>
      </c>
      <c r="H14305" s="21">
        <v>875.17</v>
      </c>
    </row>
    <row r="14306" spans="1:8" customFormat="1" x14ac:dyDescent="0.25">
      <c r="A14306" t="str">
        <f>"3710822"</f>
        <v>3710822</v>
      </c>
      <c r="B14306" t="s">
        <v>9730</v>
      </c>
      <c r="C14306" t="s">
        <v>462</v>
      </c>
      <c r="D14306" s="21" t="s">
        <v>34</v>
      </c>
      <c r="E14306" s="21" t="s">
        <v>71</v>
      </c>
      <c r="F14306">
        <v>4370464</v>
      </c>
      <c r="G14306" t="s">
        <v>5348</v>
      </c>
      <c r="H14306" s="21">
        <v>875.17</v>
      </c>
    </row>
    <row r="14307" spans="1:8" customFormat="1" x14ac:dyDescent="0.25">
      <c r="A14307" t="str">
        <f>"3721368"</f>
        <v>3721368</v>
      </c>
      <c r="B14307" t="s">
        <v>11008</v>
      </c>
      <c r="C14307" t="s">
        <v>33</v>
      </c>
      <c r="D14307" s="21" t="s">
        <v>34</v>
      </c>
      <c r="E14307" s="21" t="s">
        <v>35</v>
      </c>
      <c r="F14307">
        <v>10870031</v>
      </c>
      <c r="G14307" t="s">
        <v>959</v>
      </c>
      <c r="H14307" s="21">
        <v>875.17</v>
      </c>
    </row>
    <row r="14308" spans="1:8" customFormat="1" x14ac:dyDescent="0.25">
      <c r="A14308" t="str">
        <f>"9134023"</f>
        <v>9134023</v>
      </c>
      <c r="B14308" t="s">
        <v>1624</v>
      </c>
      <c r="C14308" t="s">
        <v>486</v>
      </c>
      <c r="D14308" s="21" t="s">
        <v>34</v>
      </c>
      <c r="E14308" s="21" t="s">
        <v>35</v>
      </c>
      <c r="F14308">
        <v>8910434</v>
      </c>
      <c r="G14308" t="s">
        <v>681</v>
      </c>
      <c r="H14308" s="21">
        <v>875.17</v>
      </c>
    </row>
    <row r="14309" spans="1:8" customFormat="1" x14ac:dyDescent="0.25">
      <c r="A14309" t="str">
        <f>"433793"</f>
        <v>433793</v>
      </c>
      <c r="B14309" t="s">
        <v>6609</v>
      </c>
      <c r="C14309" t="s">
        <v>3712</v>
      </c>
      <c r="D14309" s="21" t="s">
        <v>34</v>
      </c>
      <c r="E14309" s="21" t="s">
        <v>35</v>
      </c>
      <c r="F14309">
        <v>1420240</v>
      </c>
      <c r="G14309" t="s">
        <v>9179</v>
      </c>
      <c r="H14309" s="21">
        <v>875.17</v>
      </c>
    </row>
    <row r="14310" spans="1:8" customFormat="1" x14ac:dyDescent="0.25">
      <c r="A14310" t="str">
        <f>"4523804"</f>
        <v>4523804</v>
      </c>
      <c r="B14310" t="s">
        <v>27333</v>
      </c>
      <c r="C14310" t="s">
        <v>62</v>
      </c>
      <c r="D14310" s="21" t="s">
        <v>34</v>
      </c>
      <c r="E14310" s="21" t="s">
        <v>35</v>
      </c>
      <c r="F14310">
        <v>11340076</v>
      </c>
      <c r="G14310" t="s">
        <v>26665</v>
      </c>
      <c r="H14310" s="21">
        <v>875.17</v>
      </c>
    </row>
    <row r="14311" spans="1:8" customFormat="1" x14ac:dyDescent="0.25">
      <c r="A14311" t="str">
        <f>"617372"</f>
        <v>617372</v>
      </c>
      <c r="B14311" t="s">
        <v>12681</v>
      </c>
      <c r="C14311" t="s">
        <v>90</v>
      </c>
      <c r="D14311" s="21" t="s">
        <v>34</v>
      </c>
      <c r="E14311" s="21" t="s">
        <v>35</v>
      </c>
      <c r="F14311">
        <v>9610015</v>
      </c>
      <c r="G14311" t="s">
        <v>3690</v>
      </c>
      <c r="H14311" s="21">
        <v>875.17</v>
      </c>
    </row>
    <row r="14312" spans="1:8" customFormat="1" x14ac:dyDescent="0.25">
      <c r="A14312" t="str">
        <f>"4111105"</f>
        <v>4111105</v>
      </c>
      <c r="B14312" t="s">
        <v>14150</v>
      </c>
      <c r="C14312" t="s">
        <v>288</v>
      </c>
      <c r="D14312" s="21" t="s">
        <v>34</v>
      </c>
      <c r="E14312" s="21" t="s">
        <v>71</v>
      </c>
      <c r="F14312">
        <v>4410537</v>
      </c>
      <c r="G14312" t="s">
        <v>6515</v>
      </c>
      <c r="H14312" s="21">
        <v>875.17</v>
      </c>
    </row>
    <row r="14313" spans="1:8" customFormat="1" x14ac:dyDescent="0.25">
      <c r="A14313" t="str">
        <f>"3730475"</f>
        <v>3730475</v>
      </c>
      <c r="B14313" t="s">
        <v>5651</v>
      </c>
      <c r="C14313" t="s">
        <v>33</v>
      </c>
      <c r="D14313" s="21" t="s">
        <v>34</v>
      </c>
      <c r="E14313" s="21" t="s">
        <v>71</v>
      </c>
      <c r="F14313">
        <v>4370102</v>
      </c>
      <c r="G14313" t="s">
        <v>10707</v>
      </c>
      <c r="H14313" s="21">
        <v>874.92</v>
      </c>
    </row>
    <row r="14314" spans="1:8" customFormat="1" x14ac:dyDescent="0.25">
      <c r="A14314" t="str">
        <f>"171526"</f>
        <v>171526</v>
      </c>
      <c r="B14314" t="s">
        <v>13261</v>
      </c>
      <c r="C14314" t="s">
        <v>2479</v>
      </c>
      <c r="D14314" s="21" t="s">
        <v>34</v>
      </c>
      <c r="E14314" s="21" t="s">
        <v>71</v>
      </c>
      <c r="F14314">
        <v>10170026</v>
      </c>
      <c r="G14314" t="s">
        <v>4850</v>
      </c>
      <c r="H14314" s="21">
        <v>874.92</v>
      </c>
    </row>
    <row r="14315" spans="1:8" customFormat="1" x14ac:dyDescent="0.25">
      <c r="A14315" t="str">
        <f>"44500"</f>
        <v>44500</v>
      </c>
      <c r="B14315" t="s">
        <v>5831</v>
      </c>
      <c r="C14315" t="s">
        <v>267</v>
      </c>
      <c r="D14315" s="21" t="s">
        <v>34</v>
      </c>
      <c r="E14315" s="21" t="s">
        <v>1089</v>
      </c>
      <c r="F14315">
        <v>12440016</v>
      </c>
      <c r="G14315" t="s">
        <v>7288</v>
      </c>
      <c r="H14315" s="21">
        <v>874.92</v>
      </c>
    </row>
    <row r="14316" spans="1:8" customFormat="1" x14ac:dyDescent="0.25">
      <c r="A14316" t="str">
        <f>"182060"</f>
        <v>182060</v>
      </c>
      <c r="B14316" t="s">
        <v>14218</v>
      </c>
      <c r="C14316" t="s">
        <v>305</v>
      </c>
      <c r="D14316" s="21" t="s">
        <v>34</v>
      </c>
      <c r="E14316" s="21" t="s">
        <v>35</v>
      </c>
      <c r="F14316">
        <v>4180057</v>
      </c>
      <c r="G14316" t="s">
        <v>9021</v>
      </c>
      <c r="H14316" s="21">
        <v>874.79</v>
      </c>
    </row>
    <row r="14317" spans="1:8" customFormat="1" x14ac:dyDescent="0.25">
      <c r="A14317" t="str">
        <f>"432009"</f>
        <v>432009</v>
      </c>
      <c r="B14317" t="s">
        <v>697</v>
      </c>
      <c r="C14317" t="s">
        <v>90</v>
      </c>
      <c r="D14317" s="21" t="s">
        <v>34</v>
      </c>
      <c r="E14317" s="21" t="s">
        <v>71</v>
      </c>
      <c r="F14317">
        <v>1420299</v>
      </c>
      <c r="G14317" t="s">
        <v>8013</v>
      </c>
      <c r="H14317" s="21">
        <v>874.67</v>
      </c>
    </row>
    <row r="14318" spans="1:8" customFormat="1" x14ac:dyDescent="0.25">
      <c r="A14318" t="str">
        <f>"5726634"</f>
        <v>5726634</v>
      </c>
      <c r="B14318" t="s">
        <v>11957</v>
      </c>
      <c r="C14318" t="s">
        <v>239</v>
      </c>
      <c r="D14318" s="21" t="s">
        <v>34</v>
      </c>
      <c r="E14318" s="21" t="s">
        <v>71</v>
      </c>
      <c r="F14318">
        <v>6570167</v>
      </c>
      <c r="G14318" t="s">
        <v>1174</v>
      </c>
      <c r="H14318" s="21">
        <v>874.67</v>
      </c>
    </row>
    <row r="14319" spans="1:8" customFormat="1" x14ac:dyDescent="0.25">
      <c r="A14319" t="str">
        <f>"617761"</f>
        <v>617761</v>
      </c>
      <c r="B14319" t="s">
        <v>11943</v>
      </c>
      <c r="C14319" t="s">
        <v>236</v>
      </c>
      <c r="D14319" s="21" t="s">
        <v>34</v>
      </c>
      <c r="E14319" s="21" t="s">
        <v>71</v>
      </c>
      <c r="F14319">
        <v>9610122</v>
      </c>
      <c r="G14319" t="s">
        <v>4349</v>
      </c>
      <c r="H14319" s="21">
        <v>874.67</v>
      </c>
    </row>
    <row r="14320" spans="1:8" customFormat="1" x14ac:dyDescent="0.25">
      <c r="A14320" t="str">
        <f>"5924572"</f>
        <v>5924572</v>
      </c>
      <c r="B14320" t="s">
        <v>12039</v>
      </c>
      <c r="C14320" t="s">
        <v>55</v>
      </c>
      <c r="D14320" s="21" t="s">
        <v>34</v>
      </c>
      <c r="E14320" s="21" t="s">
        <v>71</v>
      </c>
      <c r="F14320">
        <v>7590288</v>
      </c>
      <c r="G14320" t="s">
        <v>6972</v>
      </c>
      <c r="H14320" s="21">
        <v>874.67</v>
      </c>
    </row>
    <row r="14321" spans="1:8" customFormat="1" x14ac:dyDescent="0.25">
      <c r="A14321" t="str">
        <f>"3113458"</f>
        <v>3113458</v>
      </c>
      <c r="B14321" t="s">
        <v>12159</v>
      </c>
      <c r="C14321" t="s">
        <v>812</v>
      </c>
      <c r="D14321" s="21" t="s">
        <v>34</v>
      </c>
      <c r="E14321" s="21" t="s">
        <v>35</v>
      </c>
      <c r="F14321">
        <v>11310008</v>
      </c>
      <c r="G14321" t="s">
        <v>4269</v>
      </c>
      <c r="H14321" s="21">
        <v>874.67</v>
      </c>
    </row>
    <row r="14322" spans="1:8" customFormat="1" x14ac:dyDescent="0.25">
      <c r="A14322" t="str">
        <f>"1713377"</f>
        <v>1713377</v>
      </c>
      <c r="B14322" t="s">
        <v>392</v>
      </c>
      <c r="C14322" t="s">
        <v>249</v>
      </c>
      <c r="D14322" s="21" t="s">
        <v>34</v>
      </c>
      <c r="E14322" s="21" t="s">
        <v>71</v>
      </c>
      <c r="F14322">
        <v>10170005</v>
      </c>
      <c r="G14322" t="s">
        <v>4290</v>
      </c>
      <c r="H14322" s="21">
        <v>874.67</v>
      </c>
    </row>
    <row r="14323" spans="1:8" customFormat="1" x14ac:dyDescent="0.25">
      <c r="A14323" t="str">
        <f>"4517565"</f>
        <v>4517565</v>
      </c>
      <c r="B14323" t="s">
        <v>10737</v>
      </c>
      <c r="C14323" t="s">
        <v>198</v>
      </c>
      <c r="D14323" s="21" t="s">
        <v>34</v>
      </c>
      <c r="E14323" s="21" t="s">
        <v>71</v>
      </c>
      <c r="F14323">
        <v>4370183</v>
      </c>
      <c r="G14323" t="s">
        <v>231</v>
      </c>
      <c r="H14323" s="21">
        <v>874.67</v>
      </c>
    </row>
    <row r="14324" spans="1:8" customFormat="1" x14ac:dyDescent="0.25">
      <c r="A14324" t="str">
        <f>"1417448"</f>
        <v>1417448</v>
      </c>
      <c r="B14324" t="s">
        <v>1076</v>
      </c>
      <c r="C14324" t="s">
        <v>187</v>
      </c>
      <c r="D14324" s="21" t="s">
        <v>34</v>
      </c>
      <c r="E14324" s="21" t="s">
        <v>71</v>
      </c>
      <c r="F14324">
        <v>9140071</v>
      </c>
      <c r="G14324" t="s">
        <v>1775</v>
      </c>
      <c r="H14324" s="21">
        <v>874.67</v>
      </c>
    </row>
    <row r="14325" spans="1:8" customFormat="1" x14ac:dyDescent="0.25">
      <c r="A14325" t="str">
        <f>"70940"</f>
        <v>70940</v>
      </c>
      <c r="B14325" t="s">
        <v>10119</v>
      </c>
      <c r="C14325" t="s">
        <v>187</v>
      </c>
      <c r="D14325" s="21" t="s">
        <v>34</v>
      </c>
      <c r="E14325" s="21" t="s">
        <v>35</v>
      </c>
      <c r="F14325">
        <v>2700005</v>
      </c>
      <c r="G14325" t="s">
        <v>5290</v>
      </c>
      <c r="H14325" s="21">
        <v>874.67</v>
      </c>
    </row>
    <row r="14326" spans="1:8" customFormat="1" x14ac:dyDescent="0.25">
      <c r="A14326" t="str">
        <f>"45518"</f>
        <v>45518</v>
      </c>
      <c r="B14326" t="s">
        <v>1885</v>
      </c>
      <c r="C14326" t="s">
        <v>453</v>
      </c>
      <c r="D14326" s="21" t="s">
        <v>34</v>
      </c>
      <c r="E14326" s="21" t="s">
        <v>254</v>
      </c>
      <c r="F14326">
        <v>4450754</v>
      </c>
      <c r="G14326" t="s">
        <v>2695</v>
      </c>
      <c r="H14326" s="21">
        <v>874.67</v>
      </c>
    </row>
    <row r="14327" spans="1:8" customFormat="1" x14ac:dyDescent="0.25">
      <c r="A14327" t="str">
        <f>"7852954"</f>
        <v>7852954</v>
      </c>
      <c r="B14327" t="s">
        <v>1659</v>
      </c>
      <c r="C14327" t="s">
        <v>415</v>
      </c>
      <c r="D14327" s="21" t="s">
        <v>34</v>
      </c>
      <c r="E14327" s="21" t="s">
        <v>254</v>
      </c>
      <c r="F14327">
        <v>8780023</v>
      </c>
      <c r="G14327" t="s">
        <v>1496</v>
      </c>
      <c r="H14327" s="21">
        <v>874.67</v>
      </c>
    </row>
    <row r="14328" spans="1:8" customFormat="1" x14ac:dyDescent="0.25">
      <c r="A14328" t="str">
        <f>"302492"</f>
        <v>302492</v>
      </c>
      <c r="B14328" t="s">
        <v>509</v>
      </c>
      <c r="C14328" t="s">
        <v>293</v>
      </c>
      <c r="D14328" s="21" t="s">
        <v>34</v>
      </c>
      <c r="E14328" s="21" t="s">
        <v>71</v>
      </c>
      <c r="F14328">
        <v>11300015</v>
      </c>
      <c r="G14328" t="s">
        <v>12613</v>
      </c>
      <c r="H14328" s="21">
        <v>874.67</v>
      </c>
    </row>
    <row r="14329" spans="1:8" customFormat="1" x14ac:dyDescent="0.25">
      <c r="A14329" t="str">
        <f>"246904"</f>
        <v>246904</v>
      </c>
      <c r="B14329" t="s">
        <v>12975</v>
      </c>
      <c r="C14329" t="s">
        <v>109</v>
      </c>
      <c r="D14329" s="21" t="s">
        <v>34</v>
      </c>
      <c r="E14329" s="21" t="s">
        <v>35</v>
      </c>
      <c r="F14329">
        <v>10240015</v>
      </c>
      <c r="G14329" t="s">
        <v>8589</v>
      </c>
      <c r="H14329" s="21">
        <v>874.67</v>
      </c>
    </row>
    <row r="14330" spans="1:8" customFormat="1" x14ac:dyDescent="0.25">
      <c r="A14330" t="str">
        <f>"9519685"</f>
        <v>9519685</v>
      </c>
      <c r="B14330" t="s">
        <v>6625</v>
      </c>
      <c r="C14330" t="s">
        <v>60</v>
      </c>
      <c r="D14330" s="21" t="s">
        <v>34</v>
      </c>
      <c r="E14330" s="21" t="s">
        <v>35</v>
      </c>
      <c r="F14330">
        <v>9270112</v>
      </c>
      <c r="G14330" t="s">
        <v>5124</v>
      </c>
      <c r="H14330" s="21">
        <v>874.54</v>
      </c>
    </row>
    <row r="14331" spans="1:8" customFormat="1" x14ac:dyDescent="0.25">
      <c r="A14331" t="str">
        <f>"3816490"</f>
        <v>3816490</v>
      </c>
      <c r="B14331" t="s">
        <v>6887</v>
      </c>
      <c r="C14331" t="s">
        <v>328</v>
      </c>
      <c r="D14331" s="21" t="s">
        <v>34</v>
      </c>
      <c r="E14331" s="21" t="s">
        <v>71</v>
      </c>
      <c r="F14331">
        <v>1380028</v>
      </c>
      <c r="G14331" t="s">
        <v>374</v>
      </c>
      <c r="H14331" s="21">
        <v>874.42</v>
      </c>
    </row>
    <row r="14332" spans="1:8" customFormat="1" x14ac:dyDescent="0.25">
      <c r="A14332" t="str">
        <f>"7846735"</f>
        <v>7846735</v>
      </c>
      <c r="B14332" t="s">
        <v>13384</v>
      </c>
      <c r="C14332" t="s">
        <v>55</v>
      </c>
      <c r="D14332" s="21" t="s">
        <v>34</v>
      </c>
      <c r="E14332" s="21" t="s">
        <v>71</v>
      </c>
      <c r="F14332">
        <v>8780890</v>
      </c>
      <c r="G14332" t="s">
        <v>6456</v>
      </c>
      <c r="H14332" s="21">
        <v>874.42</v>
      </c>
    </row>
    <row r="14333" spans="1:8" customFormat="1" x14ac:dyDescent="0.25">
      <c r="A14333" t="str">
        <f>"5711424"</f>
        <v>5711424</v>
      </c>
      <c r="B14333" t="s">
        <v>691</v>
      </c>
      <c r="C14333" t="s">
        <v>1665</v>
      </c>
      <c r="D14333" s="21" t="s">
        <v>34</v>
      </c>
      <c r="E14333" s="21" t="s">
        <v>71</v>
      </c>
      <c r="F14333">
        <v>6570005</v>
      </c>
      <c r="G14333" t="s">
        <v>351</v>
      </c>
      <c r="H14333" s="21">
        <v>874.17</v>
      </c>
    </row>
    <row r="14334" spans="1:8" customFormat="1" x14ac:dyDescent="0.25">
      <c r="A14334" t="str">
        <f>"6812782"</f>
        <v>6812782</v>
      </c>
      <c r="B14334" t="s">
        <v>12798</v>
      </c>
      <c r="C14334" t="s">
        <v>879</v>
      </c>
      <c r="D14334" s="21" t="s">
        <v>34</v>
      </c>
      <c r="E14334" s="21" t="s">
        <v>71</v>
      </c>
      <c r="F14334">
        <v>6680118</v>
      </c>
      <c r="G14334" t="s">
        <v>4346</v>
      </c>
      <c r="H14334" s="21">
        <v>874.17</v>
      </c>
    </row>
    <row r="14335" spans="1:8" customFormat="1" x14ac:dyDescent="0.25">
      <c r="A14335" t="str">
        <f>"6012948"</f>
        <v>6012948</v>
      </c>
      <c r="B14335" t="s">
        <v>12931</v>
      </c>
      <c r="C14335" t="s">
        <v>415</v>
      </c>
      <c r="D14335" s="21" t="s">
        <v>34</v>
      </c>
      <c r="E14335" s="21" t="s">
        <v>254</v>
      </c>
      <c r="F14335">
        <v>7600081</v>
      </c>
      <c r="G14335" t="s">
        <v>5845</v>
      </c>
      <c r="H14335" s="21">
        <v>874.17</v>
      </c>
    </row>
    <row r="14336" spans="1:8" customFormat="1" x14ac:dyDescent="0.25">
      <c r="A14336" t="str">
        <f>"218801"</f>
        <v>218801</v>
      </c>
      <c r="B14336" t="s">
        <v>13342</v>
      </c>
      <c r="C14336" t="s">
        <v>239</v>
      </c>
      <c r="D14336" s="21" t="s">
        <v>34</v>
      </c>
      <c r="E14336" s="21" t="s">
        <v>71</v>
      </c>
      <c r="F14336">
        <v>10330099</v>
      </c>
      <c r="G14336" t="s">
        <v>10670</v>
      </c>
      <c r="H14336" s="21">
        <v>874.17</v>
      </c>
    </row>
    <row r="14337" spans="1:8" customFormat="1" x14ac:dyDescent="0.25">
      <c r="A14337" t="str">
        <f>"5310295"</f>
        <v>5310295</v>
      </c>
      <c r="B14337" t="s">
        <v>3900</v>
      </c>
      <c r="C14337" t="s">
        <v>151</v>
      </c>
      <c r="D14337" s="21" t="s">
        <v>34</v>
      </c>
      <c r="E14337" s="21" t="s">
        <v>71</v>
      </c>
      <c r="F14337">
        <v>12538904</v>
      </c>
      <c r="G14337" t="s">
        <v>12489</v>
      </c>
      <c r="H14337" s="21">
        <v>874.17</v>
      </c>
    </row>
    <row r="14338" spans="1:8" customFormat="1" x14ac:dyDescent="0.25">
      <c r="A14338" t="str">
        <f>"2920488"</f>
        <v>2920488</v>
      </c>
      <c r="B14338" t="s">
        <v>12337</v>
      </c>
      <c r="C14338" t="s">
        <v>40</v>
      </c>
      <c r="D14338" s="21" t="s">
        <v>34</v>
      </c>
      <c r="E14338" s="21" t="s">
        <v>71</v>
      </c>
      <c r="F14338">
        <v>3290081</v>
      </c>
      <c r="G14338" t="s">
        <v>3819</v>
      </c>
      <c r="H14338" s="21">
        <v>874.17</v>
      </c>
    </row>
    <row r="14339" spans="1:8" customFormat="1" x14ac:dyDescent="0.25">
      <c r="A14339" t="str">
        <f>"94101"</f>
        <v>94101</v>
      </c>
      <c r="B14339" t="s">
        <v>7144</v>
      </c>
      <c r="C14339" t="s">
        <v>249</v>
      </c>
      <c r="D14339" s="21" t="s">
        <v>34</v>
      </c>
      <c r="E14339" s="21" t="s">
        <v>71</v>
      </c>
      <c r="F14339">
        <v>8940030</v>
      </c>
      <c r="G14339" t="s">
        <v>7068</v>
      </c>
      <c r="H14339" s="21">
        <v>874.17</v>
      </c>
    </row>
    <row r="14340" spans="1:8" customFormat="1" x14ac:dyDescent="0.25">
      <c r="A14340" t="str">
        <f>"516887"</f>
        <v>516887</v>
      </c>
      <c r="B14340" t="s">
        <v>12421</v>
      </c>
      <c r="C14340" t="s">
        <v>65</v>
      </c>
      <c r="D14340" s="21" t="s">
        <v>34</v>
      </c>
      <c r="E14340" s="21" t="s">
        <v>35</v>
      </c>
      <c r="F14340">
        <v>6510009</v>
      </c>
      <c r="G14340" t="s">
        <v>26950</v>
      </c>
      <c r="H14340" s="21">
        <v>874.17</v>
      </c>
    </row>
    <row r="14341" spans="1:8" customFormat="1" x14ac:dyDescent="0.25">
      <c r="A14341" t="str">
        <f>"6810965"</f>
        <v>6810965</v>
      </c>
      <c r="B14341" t="s">
        <v>14182</v>
      </c>
      <c r="C14341" t="s">
        <v>156</v>
      </c>
      <c r="D14341" s="21" t="s">
        <v>34</v>
      </c>
      <c r="E14341" s="21" t="s">
        <v>71</v>
      </c>
      <c r="F14341">
        <v>6680090</v>
      </c>
      <c r="G14341" t="s">
        <v>3129</v>
      </c>
      <c r="H14341" s="21">
        <v>874.17</v>
      </c>
    </row>
    <row r="14342" spans="1:8" customFormat="1" x14ac:dyDescent="0.25">
      <c r="A14342" t="str">
        <f>"8528119"</f>
        <v>8528119</v>
      </c>
      <c r="B14342" t="s">
        <v>27334</v>
      </c>
      <c r="C14342" t="s">
        <v>156</v>
      </c>
      <c r="D14342" s="21" t="s">
        <v>34</v>
      </c>
      <c r="E14342" s="21" t="s">
        <v>35</v>
      </c>
      <c r="F14342">
        <v>12850030</v>
      </c>
      <c r="G14342" t="s">
        <v>5078</v>
      </c>
      <c r="H14342" s="21">
        <v>874.17</v>
      </c>
    </row>
    <row r="14343" spans="1:8" customFormat="1" x14ac:dyDescent="0.25">
      <c r="A14343" t="str">
        <f>"517527"</f>
        <v>517527</v>
      </c>
      <c r="B14343" t="s">
        <v>12983</v>
      </c>
      <c r="C14343" t="s">
        <v>12984</v>
      </c>
      <c r="D14343" s="21" t="s">
        <v>34</v>
      </c>
      <c r="E14343" s="21" t="s">
        <v>71</v>
      </c>
      <c r="F14343">
        <v>6510112</v>
      </c>
      <c r="G14343" t="s">
        <v>588</v>
      </c>
      <c r="H14343" s="21">
        <v>874.17</v>
      </c>
    </row>
    <row r="14344" spans="1:8" customFormat="1" x14ac:dyDescent="0.25">
      <c r="A14344" t="str">
        <f>"633333"</f>
        <v>633333</v>
      </c>
      <c r="B14344" t="s">
        <v>882</v>
      </c>
      <c r="C14344" t="s">
        <v>209</v>
      </c>
      <c r="D14344" s="21" t="s">
        <v>34</v>
      </c>
      <c r="E14344" s="21" t="s">
        <v>71</v>
      </c>
      <c r="F14344">
        <v>1630009</v>
      </c>
      <c r="G14344" t="s">
        <v>6021</v>
      </c>
      <c r="H14344" s="21">
        <v>874.17</v>
      </c>
    </row>
    <row r="14345" spans="1:8" customFormat="1" x14ac:dyDescent="0.25">
      <c r="A14345" t="str">
        <f>"3719616"</f>
        <v>3719616</v>
      </c>
      <c r="B14345" t="s">
        <v>13704</v>
      </c>
      <c r="C14345" t="s">
        <v>498</v>
      </c>
      <c r="D14345" s="21" t="s">
        <v>34</v>
      </c>
      <c r="E14345" s="21" t="s">
        <v>35</v>
      </c>
      <c r="F14345">
        <v>4370464</v>
      </c>
      <c r="G14345" t="s">
        <v>5348</v>
      </c>
      <c r="H14345" s="21">
        <v>874.17</v>
      </c>
    </row>
    <row r="14346" spans="1:8" customFormat="1" x14ac:dyDescent="0.25">
      <c r="A14346" t="str">
        <f>"5320625"</f>
        <v>5320625</v>
      </c>
      <c r="B14346" t="s">
        <v>12438</v>
      </c>
      <c r="C14346" t="s">
        <v>119</v>
      </c>
      <c r="D14346" s="21" t="s">
        <v>34</v>
      </c>
      <c r="E14346" s="21" t="s">
        <v>71</v>
      </c>
      <c r="F14346">
        <v>12530011</v>
      </c>
      <c r="G14346" t="s">
        <v>7610</v>
      </c>
      <c r="H14346" s="21">
        <v>874.17</v>
      </c>
    </row>
    <row r="14347" spans="1:8" customFormat="1" x14ac:dyDescent="0.25">
      <c r="A14347" t="str">
        <f>"02236"</f>
        <v>02236</v>
      </c>
      <c r="B14347" t="s">
        <v>1835</v>
      </c>
      <c r="C14347" t="s">
        <v>169</v>
      </c>
      <c r="D14347" s="21" t="s">
        <v>34</v>
      </c>
      <c r="E14347" s="21" t="s">
        <v>71</v>
      </c>
      <c r="F14347">
        <v>7020055</v>
      </c>
      <c r="G14347" t="s">
        <v>8987</v>
      </c>
      <c r="H14347" s="21">
        <v>874.17</v>
      </c>
    </row>
    <row r="14348" spans="1:8" customFormat="1" x14ac:dyDescent="0.25">
      <c r="A14348" t="str">
        <f>"7620519"</f>
        <v>7620519</v>
      </c>
      <c r="B14348" t="s">
        <v>3874</v>
      </c>
      <c r="C14348" t="s">
        <v>1665</v>
      </c>
      <c r="D14348" s="21" t="s">
        <v>34</v>
      </c>
      <c r="E14348" s="21" t="s">
        <v>254</v>
      </c>
      <c r="F14348">
        <v>9760396</v>
      </c>
      <c r="G14348" t="s">
        <v>3875</v>
      </c>
      <c r="H14348" s="21">
        <v>874.17</v>
      </c>
    </row>
    <row r="14349" spans="1:8" customFormat="1" x14ac:dyDescent="0.25">
      <c r="A14349" t="str">
        <f>"3313157"</f>
        <v>3313157</v>
      </c>
      <c r="B14349" t="s">
        <v>12908</v>
      </c>
      <c r="C14349" t="s">
        <v>817</v>
      </c>
      <c r="D14349" s="21" t="s">
        <v>34</v>
      </c>
      <c r="E14349" s="21" t="s">
        <v>71</v>
      </c>
      <c r="F14349">
        <v>10330037</v>
      </c>
      <c r="G14349" t="s">
        <v>5960</v>
      </c>
      <c r="H14349" s="21">
        <v>874.04</v>
      </c>
    </row>
    <row r="14350" spans="1:8" customFormat="1" x14ac:dyDescent="0.25">
      <c r="A14350" t="str">
        <f>"3312743"</f>
        <v>3312743</v>
      </c>
      <c r="B14350" t="s">
        <v>12609</v>
      </c>
      <c r="C14350" t="s">
        <v>43</v>
      </c>
      <c r="D14350" s="21" t="s">
        <v>34</v>
      </c>
      <c r="E14350" s="21" t="s">
        <v>35</v>
      </c>
      <c r="F14350">
        <v>10330125</v>
      </c>
      <c r="G14350" t="s">
        <v>3753</v>
      </c>
      <c r="H14350" s="21">
        <v>873.92</v>
      </c>
    </row>
    <row r="14351" spans="1:8" customFormat="1" x14ac:dyDescent="0.25">
      <c r="A14351" t="str">
        <f>"3827196"</f>
        <v>3827196</v>
      </c>
      <c r="B14351" t="s">
        <v>9043</v>
      </c>
      <c r="C14351" t="s">
        <v>2907</v>
      </c>
      <c r="D14351" s="21" t="s">
        <v>34</v>
      </c>
      <c r="E14351" s="21" t="s">
        <v>71</v>
      </c>
      <c r="F14351">
        <v>1380157</v>
      </c>
      <c r="G14351" t="s">
        <v>9044</v>
      </c>
      <c r="H14351" s="21">
        <v>873.79</v>
      </c>
    </row>
    <row r="14352" spans="1:8" customFormat="1" x14ac:dyDescent="0.25">
      <c r="A14352" t="str">
        <f>"345095"</f>
        <v>345095</v>
      </c>
      <c r="B14352" t="s">
        <v>1959</v>
      </c>
      <c r="C14352" t="s">
        <v>1025</v>
      </c>
      <c r="D14352" s="21" t="s">
        <v>34</v>
      </c>
      <c r="E14352" s="21" t="s">
        <v>71</v>
      </c>
      <c r="F14352">
        <v>11340033</v>
      </c>
      <c r="G14352" t="s">
        <v>433</v>
      </c>
      <c r="H14352" s="21">
        <v>873.67</v>
      </c>
    </row>
    <row r="14353" spans="1:8" customFormat="1" x14ac:dyDescent="0.25">
      <c r="A14353" t="str">
        <f>"1317"</f>
        <v>1317</v>
      </c>
      <c r="B14353" t="s">
        <v>11238</v>
      </c>
      <c r="C14353" t="s">
        <v>2305</v>
      </c>
      <c r="D14353" s="21" t="s">
        <v>34</v>
      </c>
      <c r="E14353" s="21" t="s">
        <v>254</v>
      </c>
      <c r="F14353">
        <v>13130026</v>
      </c>
      <c r="G14353" t="s">
        <v>3792</v>
      </c>
      <c r="H14353" s="21">
        <v>873.67</v>
      </c>
    </row>
    <row r="14354" spans="1:8" customFormat="1" x14ac:dyDescent="0.25">
      <c r="A14354" t="str">
        <f>"512766"</f>
        <v>512766</v>
      </c>
      <c r="B14354" t="s">
        <v>12519</v>
      </c>
      <c r="C14354" t="s">
        <v>114</v>
      </c>
      <c r="D14354" s="21" t="s">
        <v>34</v>
      </c>
      <c r="E14354" s="21" t="s">
        <v>71</v>
      </c>
      <c r="F14354">
        <v>6510058</v>
      </c>
      <c r="G14354" t="s">
        <v>6780</v>
      </c>
      <c r="H14354" s="21">
        <v>873.67</v>
      </c>
    </row>
    <row r="14355" spans="1:8" customFormat="1" x14ac:dyDescent="0.25">
      <c r="A14355" t="str">
        <f>"187341"</f>
        <v>187341</v>
      </c>
      <c r="B14355" t="s">
        <v>11348</v>
      </c>
      <c r="C14355" t="s">
        <v>209</v>
      </c>
      <c r="D14355" s="21" t="s">
        <v>34</v>
      </c>
      <c r="E14355" s="21" t="s">
        <v>71</v>
      </c>
      <c r="F14355">
        <v>4180157</v>
      </c>
      <c r="G14355" t="s">
        <v>11170</v>
      </c>
      <c r="H14355" s="21">
        <v>873.67</v>
      </c>
    </row>
    <row r="14356" spans="1:8" customFormat="1" x14ac:dyDescent="0.25">
      <c r="A14356" t="str">
        <f>"037278"</f>
        <v>037278</v>
      </c>
      <c r="B14356" t="s">
        <v>14693</v>
      </c>
      <c r="C14356" t="s">
        <v>204</v>
      </c>
      <c r="D14356" s="21" t="s">
        <v>34</v>
      </c>
      <c r="E14356" s="21" t="s">
        <v>71</v>
      </c>
      <c r="F14356">
        <v>1030082</v>
      </c>
      <c r="G14356" t="s">
        <v>26828</v>
      </c>
      <c r="H14356" s="21">
        <v>873.67</v>
      </c>
    </row>
    <row r="14357" spans="1:8" customFormat="1" x14ac:dyDescent="0.25">
      <c r="A14357" t="str">
        <f>"615547"</f>
        <v>615547</v>
      </c>
      <c r="B14357" t="s">
        <v>11254</v>
      </c>
      <c r="C14357" t="s">
        <v>2276</v>
      </c>
      <c r="D14357" s="21" t="s">
        <v>34</v>
      </c>
      <c r="E14357" s="21" t="s">
        <v>71</v>
      </c>
      <c r="F14357">
        <v>9610107</v>
      </c>
      <c r="G14357" t="s">
        <v>6302</v>
      </c>
      <c r="H14357" s="21">
        <v>873.67</v>
      </c>
    </row>
    <row r="14358" spans="1:8" customFormat="1" x14ac:dyDescent="0.25">
      <c r="A14358" t="str">
        <f>"3524671"</f>
        <v>3524671</v>
      </c>
      <c r="B14358" t="s">
        <v>1611</v>
      </c>
      <c r="C14358" t="s">
        <v>11972</v>
      </c>
      <c r="D14358" s="21" t="s">
        <v>34</v>
      </c>
      <c r="E14358" s="21" t="s">
        <v>71</v>
      </c>
      <c r="F14358">
        <v>3350203</v>
      </c>
      <c r="G14358" t="s">
        <v>11973</v>
      </c>
      <c r="H14358" s="21">
        <v>873.67</v>
      </c>
    </row>
    <row r="14359" spans="1:8" customFormat="1" x14ac:dyDescent="0.25">
      <c r="A14359" t="str">
        <f>"7726832"</f>
        <v>7726832</v>
      </c>
      <c r="B14359" t="s">
        <v>1103</v>
      </c>
      <c r="C14359" t="s">
        <v>328</v>
      </c>
      <c r="D14359" s="21" t="s">
        <v>34</v>
      </c>
      <c r="E14359" s="21" t="s">
        <v>35</v>
      </c>
      <c r="F14359">
        <v>12850057</v>
      </c>
      <c r="G14359" t="s">
        <v>1291</v>
      </c>
      <c r="H14359" s="21">
        <v>873.67</v>
      </c>
    </row>
    <row r="14360" spans="1:8" customFormat="1" x14ac:dyDescent="0.25">
      <c r="A14360" t="str">
        <f>"677123"</f>
        <v>677123</v>
      </c>
      <c r="B14360" t="s">
        <v>12279</v>
      </c>
      <c r="C14360" t="s">
        <v>2907</v>
      </c>
      <c r="D14360" s="21" t="s">
        <v>34</v>
      </c>
      <c r="E14360" s="21" t="s">
        <v>71</v>
      </c>
      <c r="F14360">
        <v>6670269</v>
      </c>
      <c r="G14360" t="s">
        <v>11587</v>
      </c>
      <c r="H14360" s="21">
        <v>873.67</v>
      </c>
    </row>
    <row r="14361" spans="1:8" customFormat="1" x14ac:dyDescent="0.25">
      <c r="A14361" t="str">
        <f>"674833"</f>
        <v>674833</v>
      </c>
      <c r="B14361" t="s">
        <v>18842</v>
      </c>
      <c r="C14361" t="s">
        <v>239</v>
      </c>
      <c r="D14361" s="21" t="s">
        <v>34</v>
      </c>
      <c r="E14361" s="21" t="s">
        <v>71</v>
      </c>
      <c r="F14361">
        <v>11660031</v>
      </c>
      <c r="G14361" t="s">
        <v>12617</v>
      </c>
      <c r="H14361" s="21">
        <v>873.67</v>
      </c>
    </row>
    <row r="14362" spans="1:8" customFormat="1" x14ac:dyDescent="0.25">
      <c r="A14362" t="str">
        <f>"745250"</f>
        <v>745250</v>
      </c>
      <c r="B14362" t="s">
        <v>27335</v>
      </c>
      <c r="C14362" t="s">
        <v>285</v>
      </c>
      <c r="D14362" s="21" t="s">
        <v>34</v>
      </c>
      <c r="E14362" s="21" t="s">
        <v>35</v>
      </c>
      <c r="F14362">
        <v>12440024</v>
      </c>
      <c r="G14362" t="s">
        <v>2205</v>
      </c>
      <c r="H14362" s="21">
        <v>873.67</v>
      </c>
    </row>
    <row r="14363" spans="1:8" customFormat="1" x14ac:dyDescent="0.25">
      <c r="A14363" t="str">
        <f>"8014366"</f>
        <v>8014366</v>
      </c>
      <c r="B14363" t="s">
        <v>970</v>
      </c>
      <c r="C14363" t="s">
        <v>288</v>
      </c>
      <c r="D14363" s="21" t="s">
        <v>34</v>
      </c>
      <c r="E14363" s="21" t="s">
        <v>35</v>
      </c>
      <c r="F14363">
        <v>7800020</v>
      </c>
      <c r="G14363" t="s">
        <v>11608</v>
      </c>
      <c r="H14363" s="21">
        <v>873.67</v>
      </c>
    </row>
    <row r="14364" spans="1:8" customFormat="1" x14ac:dyDescent="0.25">
      <c r="A14364" t="str">
        <f>"5421435"</f>
        <v>5421435</v>
      </c>
      <c r="B14364" t="s">
        <v>13992</v>
      </c>
      <c r="C14364" t="s">
        <v>415</v>
      </c>
      <c r="D14364" s="21" t="s">
        <v>34</v>
      </c>
      <c r="E14364" s="21" t="s">
        <v>35</v>
      </c>
      <c r="F14364">
        <v>6540088</v>
      </c>
      <c r="G14364" t="s">
        <v>2108</v>
      </c>
      <c r="H14364" s="21">
        <v>873.67</v>
      </c>
    </row>
    <row r="14365" spans="1:8" customFormat="1" x14ac:dyDescent="0.25">
      <c r="A14365" t="str">
        <f>"404250"</f>
        <v>404250</v>
      </c>
      <c r="B14365" t="s">
        <v>907</v>
      </c>
      <c r="C14365" t="s">
        <v>2250</v>
      </c>
      <c r="D14365" s="21" t="s">
        <v>34</v>
      </c>
      <c r="E14365" s="21" t="s">
        <v>35</v>
      </c>
      <c r="F14365">
        <v>10160042</v>
      </c>
      <c r="G14365" t="s">
        <v>7461</v>
      </c>
      <c r="H14365" s="21">
        <v>873.67</v>
      </c>
    </row>
    <row r="14366" spans="1:8" customFormat="1" x14ac:dyDescent="0.25">
      <c r="A14366" t="str">
        <f>"6930524"</f>
        <v>6930524</v>
      </c>
      <c r="B14366" t="s">
        <v>13000</v>
      </c>
      <c r="C14366" t="s">
        <v>453</v>
      </c>
      <c r="D14366" s="21" t="s">
        <v>34</v>
      </c>
      <c r="E14366" s="21" t="s">
        <v>71</v>
      </c>
      <c r="F14366">
        <v>1690192</v>
      </c>
      <c r="G14366" t="s">
        <v>3578</v>
      </c>
      <c r="H14366" s="21">
        <v>873.67</v>
      </c>
    </row>
    <row r="14367" spans="1:8" customFormat="1" x14ac:dyDescent="0.25">
      <c r="A14367" t="str">
        <f>"9D289"</f>
        <v>9D289</v>
      </c>
      <c r="B14367" t="s">
        <v>11938</v>
      </c>
      <c r="C14367" t="s">
        <v>2520</v>
      </c>
      <c r="D14367" s="21" t="s">
        <v>34</v>
      </c>
      <c r="E14367" s="21" t="s">
        <v>71</v>
      </c>
      <c r="F14367" t="s">
        <v>1477</v>
      </c>
      <c r="G14367" t="s">
        <v>1478</v>
      </c>
      <c r="H14367" s="21">
        <v>873.67</v>
      </c>
    </row>
    <row r="14368" spans="1:8" customFormat="1" x14ac:dyDescent="0.25">
      <c r="A14368" t="str">
        <f>"2919691"</f>
        <v>2919691</v>
      </c>
      <c r="B14368" t="s">
        <v>12335</v>
      </c>
      <c r="C14368" t="s">
        <v>720</v>
      </c>
      <c r="D14368" s="21" t="s">
        <v>34</v>
      </c>
      <c r="E14368" s="21" t="s">
        <v>71</v>
      </c>
      <c r="F14368">
        <v>3290005</v>
      </c>
      <c r="G14368" t="s">
        <v>1253</v>
      </c>
      <c r="H14368" s="21">
        <v>873.67</v>
      </c>
    </row>
    <row r="14369" spans="1:8" customFormat="1" x14ac:dyDescent="0.25">
      <c r="A14369" t="str">
        <f>"759395"</f>
        <v>759395</v>
      </c>
      <c r="B14369" t="s">
        <v>27336</v>
      </c>
      <c r="C14369" t="s">
        <v>40</v>
      </c>
      <c r="D14369" s="21" t="s">
        <v>34</v>
      </c>
      <c r="E14369" s="21" t="s">
        <v>254</v>
      </c>
      <c r="F14369">
        <v>13130138</v>
      </c>
      <c r="G14369" t="s">
        <v>5409</v>
      </c>
      <c r="H14369" s="21">
        <v>873.67</v>
      </c>
    </row>
    <row r="14370" spans="1:8" customFormat="1" x14ac:dyDescent="0.25">
      <c r="A14370" t="str">
        <f>"293308"</f>
        <v>293308</v>
      </c>
      <c r="B14370" t="s">
        <v>1103</v>
      </c>
      <c r="C14370" t="s">
        <v>1597</v>
      </c>
      <c r="D14370" s="21" t="s">
        <v>34</v>
      </c>
      <c r="E14370" s="21" t="s">
        <v>254</v>
      </c>
      <c r="F14370">
        <v>3290221</v>
      </c>
      <c r="G14370" t="s">
        <v>3544</v>
      </c>
      <c r="H14370" s="21">
        <v>873.67</v>
      </c>
    </row>
    <row r="14371" spans="1:8" customFormat="1" x14ac:dyDescent="0.25">
      <c r="A14371" t="str">
        <f>"2721347"</f>
        <v>2721347</v>
      </c>
      <c r="B14371" t="s">
        <v>3904</v>
      </c>
      <c r="C14371" t="s">
        <v>1803</v>
      </c>
      <c r="D14371" s="21" t="s">
        <v>34</v>
      </c>
      <c r="E14371" s="21" t="s">
        <v>35</v>
      </c>
      <c r="F14371">
        <v>9270089</v>
      </c>
      <c r="G14371" t="s">
        <v>1009</v>
      </c>
      <c r="H14371" s="21">
        <v>873.54</v>
      </c>
    </row>
    <row r="14372" spans="1:8" customFormat="1" x14ac:dyDescent="0.25">
      <c r="A14372" t="str">
        <f>"6018847"</f>
        <v>6018847</v>
      </c>
      <c r="B14372" t="s">
        <v>12607</v>
      </c>
      <c r="C14372" t="s">
        <v>867</v>
      </c>
      <c r="D14372" s="21" t="s">
        <v>34</v>
      </c>
      <c r="E14372" s="21" t="s">
        <v>35</v>
      </c>
      <c r="F14372">
        <v>7600024</v>
      </c>
      <c r="G14372" t="s">
        <v>1234</v>
      </c>
      <c r="H14372" s="21">
        <v>873.5</v>
      </c>
    </row>
    <row r="14373" spans="1:8" customFormat="1" x14ac:dyDescent="0.25">
      <c r="A14373" t="str">
        <f>"725554"</f>
        <v>725554</v>
      </c>
      <c r="B14373" t="s">
        <v>1083</v>
      </c>
      <c r="C14373" t="s">
        <v>60</v>
      </c>
      <c r="D14373" s="21" t="s">
        <v>34</v>
      </c>
      <c r="E14373" s="21" t="s">
        <v>35</v>
      </c>
      <c r="F14373">
        <v>12720045</v>
      </c>
      <c r="G14373" t="s">
        <v>2484</v>
      </c>
      <c r="H14373" s="21">
        <v>873.42</v>
      </c>
    </row>
    <row r="14374" spans="1:8" customFormat="1" x14ac:dyDescent="0.25">
      <c r="A14374" t="str">
        <f>"545154"</f>
        <v>545154</v>
      </c>
      <c r="B14374" t="s">
        <v>7963</v>
      </c>
      <c r="C14374" t="s">
        <v>249</v>
      </c>
      <c r="D14374" s="21" t="s">
        <v>34</v>
      </c>
      <c r="E14374" s="21" t="s">
        <v>71</v>
      </c>
      <c r="F14374">
        <v>6540115</v>
      </c>
      <c r="G14374" t="s">
        <v>3398</v>
      </c>
      <c r="H14374" s="21">
        <v>873.42</v>
      </c>
    </row>
    <row r="14375" spans="1:8" customFormat="1" x14ac:dyDescent="0.25">
      <c r="A14375" t="str">
        <f>"7724204"</f>
        <v>7724204</v>
      </c>
      <c r="B14375" t="s">
        <v>11804</v>
      </c>
      <c r="C14375" t="s">
        <v>239</v>
      </c>
      <c r="D14375" s="21" t="s">
        <v>34</v>
      </c>
      <c r="E14375" s="21" t="s">
        <v>254</v>
      </c>
      <c r="F14375">
        <v>8770250</v>
      </c>
      <c r="G14375" t="s">
        <v>2595</v>
      </c>
      <c r="H14375" s="21">
        <v>873.42</v>
      </c>
    </row>
    <row r="14376" spans="1:8" customFormat="1" x14ac:dyDescent="0.25">
      <c r="A14376" t="str">
        <f>"5010424"</f>
        <v>5010424</v>
      </c>
      <c r="B14376" t="s">
        <v>5674</v>
      </c>
      <c r="C14376" t="s">
        <v>2479</v>
      </c>
      <c r="D14376" s="21" t="s">
        <v>34</v>
      </c>
      <c r="E14376" s="21" t="s">
        <v>254</v>
      </c>
      <c r="F14376">
        <v>9500087</v>
      </c>
      <c r="G14376" t="s">
        <v>12569</v>
      </c>
      <c r="H14376" s="21">
        <v>873.17</v>
      </c>
    </row>
    <row r="14377" spans="1:8" customFormat="1" x14ac:dyDescent="0.25">
      <c r="A14377" t="str">
        <f>"1612747"</f>
        <v>1612747</v>
      </c>
      <c r="B14377" t="s">
        <v>13381</v>
      </c>
      <c r="C14377" t="s">
        <v>169</v>
      </c>
      <c r="D14377" s="21" t="s">
        <v>34</v>
      </c>
      <c r="E14377" s="21" t="s">
        <v>35</v>
      </c>
      <c r="F14377">
        <v>10160010</v>
      </c>
      <c r="G14377" t="s">
        <v>5491</v>
      </c>
      <c r="H14377" s="21">
        <v>873.17</v>
      </c>
    </row>
    <row r="14378" spans="1:8" customFormat="1" x14ac:dyDescent="0.25">
      <c r="A14378" t="str">
        <f>"069580"</f>
        <v>069580</v>
      </c>
      <c r="B14378" t="s">
        <v>13397</v>
      </c>
      <c r="C14378" t="s">
        <v>263</v>
      </c>
      <c r="D14378" s="21" t="s">
        <v>34</v>
      </c>
      <c r="E14378" s="21" t="s">
        <v>254</v>
      </c>
      <c r="F14378">
        <v>13060064</v>
      </c>
      <c r="G14378" t="s">
        <v>976</v>
      </c>
      <c r="H14378" s="21">
        <v>873.17</v>
      </c>
    </row>
    <row r="14379" spans="1:8" customFormat="1" x14ac:dyDescent="0.25">
      <c r="A14379" t="str">
        <f>"491131"</f>
        <v>491131</v>
      </c>
      <c r="B14379" t="s">
        <v>12578</v>
      </c>
      <c r="C14379" t="s">
        <v>263</v>
      </c>
      <c r="D14379" s="21" t="s">
        <v>34</v>
      </c>
      <c r="E14379" s="21" t="s">
        <v>254</v>
      </c>
      <c r="F14379">
        <v>12490057</v>
      </c>
      <c r="G14379" t="s">
        <v>5946</v>
      </c>
      <c r="H14379" s="21">
        <v>873.17</v>
      </c>
    </row>
    <row r="14380" spans="1:8" customFormat="1" x14ac:dyDescent="0.25">
      <c r="A14380" t="str">
        <f>"7515136"</f>
        <v>7515136</v>
      </c>
      <c r="B14380" t="s">
        <v>12167</v>
      </c>
      <c r="C14380" t="s">
        <v>1665</v>
      </c>
      <c r="D14380" s="21" t="s">
        <v>34</v>
      </c>
      <c r="E14380" s="21" t="s">
        <v>35</v>
      </c>
      <c r="F14380">
        <v>8750074</v>
      </c>
      <c r="G14380" t="s">
        <v>698</v>
      </c>
      <c r="H14380" s="21">
        <v>873.17</v>
      </c>
    </row>
    <row r="14381" spans="1:8" customFormat="1" x14ac:dyDescent="0.25">
      <c r="A14381" t="str">
        <f>"6945406"</f>
        <v>6945406</v>
      </c>
      <c r="B14381" t="s">
        <v>2189</v>
      </c>
      <c r="C14381" t="s">
        <v>33</v>
      </c>
      <c r="D14381" s="21" t="s">
        <v>34</v>
      </c>
      <c r="E14381" s="21" t="s">
        <v>71</v>
      </c>
      <c r="F14381">
        <v>1690047</v>
      </c>
      <c r="G14381" t="s">
        <v>4223</v>
      </c>
      <c r="H14381" s="21">
        <v>873.17</v>
      </c>
    </row>
    <row r="14382" spans="1:8" customFormat="1" x14ac:dyDescent="0.25">
      <c r="A14382" t="str">
        <f>"588999"</f>
        <v>588999</v>
      </c>
      <c r="B14382" t="s">
        <v>12764</v>
      </c>
      <c r="C14382" t="s">
        <v>209</v>
      </c>
      <c r="D14382" s="21" t="s">
        <v>34</v>
      </c>
      <c r="E14382" s="21" t="s">
        <v>71</v>
      </c>
      <c r="F14382">
        <v>2580031</v>
      </c>
      <c r="G14382" t="s">
        <v>5904</v>
      </c>
      <c r="H14382" s="21">
        <v>873.17</v>
      </c>
    </row>
    <row r="14383" spans="1:8" customFormat="1" x14ac:dyDescent="0.25">
      <c r="A14383" t="str">
        <f>"6937913"</f>
        <v>6937913</v>
      </c>
      <c r="B14383" t="s">
        <v>14603</v>
      </c>
      <c r="C14383" t="s">
        <v>412</v>
      </c>
      <c r="D14383" s="21" t="s">
        <v>34</v>
      </c>
      <c r="E14383" s="21" t="s">
        <v>35</v>
      </c>
      <c r="F14383">
        <v>1690160</v>
      </c>
      <c r="G14383" t="s">
        <v>4599</v>
      </c>
      <c r="H14383" s="21">
        <v>873.17</v>
      </c>
    </row>
    <row r="14384" spans="1:8" customFormat="1" x14ac:dyDescent="0.25">
      <c r="A14384" t="str">
        <f>"2936123"</f>
        <v>2936123</v>
      </c>
      <c r="B14384" t="s">
        <v>14511</v>
      </c>
      <c r="C14384" t="s">
        <v>147</v>
      </c>
      <c r="D14384" s="21" t="s">
        <v>34</v>
      </c>
      <c r="E14384" s="21" t="s">
        <v>35</v>
      </c>
      <c r="F14384">
        <v>3290029</v>
      </c>
      <c r="G14384" t="s">
        <v>11486</v>
      </c>
      <c r="H14384" s="21">
        <v>872.92</v>
      </c>
    </row>
    <row r="14385" spans="1:8" customFormat="1" x14ac:dyDescent="0.25">
      <c r="A14385" t="str">
        <f>"7514372"</f>
        <v>7514372</v>
      </c>
      <c r="B14385" t="s">
        <v>1003</v>
      </c>
      <c r="C14385" t="s">
        <v>656</v>
      </c>
      <c r="D14385" s="21" t="s">
        <v>34</v>
      </c>
      <c r="E14385" s="21" t="s">
        <v>35</v>
      </c>
      <c r="F14385">
        <v>8751231</v>
      </c>
      <c r="G14385" t="s">
        <v>12843</v>
      </c>
      <c r="H14385" s="21">
        <v>872.92</v>
      </c>
    </row>
    <row r="14386" spans="1:8" customFormat="1" x14ac:dyDescent="0.25">
      <c r="A14386" t="str">
        <f>"022109"</f>
        <v>022109</v>
      </c>
      <c r="B14386" t="s">
        <v>5452</v>
      </c>
      <c r="C14386" t="s">
        <v>2479</v>
      </c>
      <c r="D14386" s="21" t="s">
        <v>34</v>
      </c>
      <c r="E14386" s="21" t="s">
        <v>254</v>
      </c>
      <c r="F14386">
        <v>7020001</v>
      </c>
      <c r="G14386" t="s">
        <v>3854</v>
      </c>
      <c r="H14386" s="21">
        <v>872.67</v>
      </c>
    </row>
    <row r="14387" spans="1:8" customFormat="1" x14ac:dyDescent="0.25">
      <c r="A14387" t="str">
        <f>"6934644"</f>
        <v>6934644</v>
      </c>
      <c r="B14387" t="s">
        <v>12190</v>
      </c>
      <c r="C14387" t="s">
        <v>1782</v>
      </c>
      <c r="D14387" s="21" t="s">
        <v>34</v>
      </c>
      <c r="E14387" s="21" t="s">
        <v>254</v>
      </c>
      <c r="F14387">
        <v>1690002</v>
      </c>
      <c r="G14387" t="s">
        <v>5604</v>
      </c>
      <c r="H14387" s="21">
        <v>872.67</v>
      </c>
    </row>
    <row r="14388" spans="1:8" customFormat="1" x14ac:dyDescent="0.25">
      <c r="A14388" t="str">
        <f>"212225"</f>
        <v>212225</v>
      </c>
      <c r="B14388" t="s">
        <v>12710</v>
      </c>
      <c r="C14388" t="s">
        <v>40</v>
      </c>
      <c r="D14388" s="21" t="s">
        <v>34</v>
      </c>
      <c r="E14388" s="21" t="s">
        <v>71</v>
      </c>
      <c r="F14388">
        <v>2210126</v>
      </c>
      <c r="G14388" t="s">
        <v>10773</v>
      </c>
      <c r="H14388" s="21">
        <v>872.67</v>
      </c>
    </row>
    <row r="14389" spans="1:8" customFormat="1" x14ac:dyDescent="0.25">
      <c r="A14389" t="str">
        <f>"608814"</f>
        <v>608814</v>
      </c>
      <c r="B14389" t="s">
        <v>12904</v>
      </c>
      <c r="C14389" t="s">
        <v>598</v>
      </c>
      <c r="D14389" s="21" t="s">
        <v>34</v>
      </c>
      <c r="E14389" s="21" t="s">
        <v>1089</v>
      </c>
      <c r="F14389">
        <v>13830025</v>
      </c>
      <c r="G14389" t="s">
        <v>106</v>
      </c>
      <c r="H14389" s="21">
        <v>872.67</v>
      </c>
    </row>
    <row r="14390" spans="1:8" customFormat="1" x14ac:dyDescent="0.25">
      <c r="A14390" t="str">
        <f>"5928722"</f>
        <v>5928722</v>
      </c>
      <c r="B14390" t="s">
        <v>14174</v>
      </c>
      <c r="C14390" t="s">
        <v>209</v>
      </c>
      <c r="D14390" s="21" t="s">
        <v>34</v>
      </c>
      <c r="E14390" s="21" t="s">
        <v>71</v>
      </c>
      <c r="F14390">
        <v>7590080</v>
      </c>
      <c r="G14390" t="s">
        <v>1715</v>
      </c>
      <c r="H14390" s="21">
        <v>872.67</v>
      </c>
    </row>
    <row r="14391" spans="1:8" customFormat="1" x14ac:dyDescent="0.25">
      <c r="A14391" t="str">
        <f>"3710289"</f>
        <v>3710289</v>
      </c>
      <c r="B14391" t="s">
        <v>1099</v>
      </c>
      <c r="C14391" t="s">
        <v>169</v>
      </c>
      <c r="D14391" s="21" t="s">
        <v>34</v>
      </c>
      <c r="E14391" s="21" t="s">
        <v>71</v>
      </c>
      <c r="F14391">
        <v>4370146</v>
      </c>
      <c r="G14391" t="s">
        <v>10990</v>
      </c>
      <c r="H14391" s="21">
        <v>872.67</v>
      </c>
    </row>
    <row r="14392" spans="1:8" customFormat="1" x14ac:dyDescent="0.25">
      <c r="A14392" t="str">
        <f>"763849"</f>
        <v>763849</v>
      </c>
      <c r="B14392" t="s">
        <v>13329</v>
      </c>
      <c r="C14392" t="s">
        <v>198</v>
      </c>
      <c r="D14392" s="21" t="s">
        <v>34</v>
      </c>
      <c r="E14392" s="21" t="s">
        <v>71</v>
      </c>
      <c r="F14392">
        <v>9760377</v>
      </c>
      <c r="G14392" t="s">
        <v>6631</v>
      </c>
      <c r="H14392" s="21">
        <v>872.67</v>
      </c>
    </row>
    <row r="14393" spans="1:8" customFormat="1" x14ac:dyDescent="0.25">
      <c r="A14393" t="str">
        <f>"605708"</f>
        <v>605708</v>
      </c>
      <c r="B14393" t="s">
        <v>8887</v>
      </c>
      <c r="C14393" t="s">
        <v>462</v>
      </c>
      <c r="D14393" s="21" t="s">
        <v>34</v>
      </c>
      <c r="E14393" s="21" t="s">
        <v>35</v>
      </c>
      <c r="F14393">
        <v>7600043</v>
      </c>
      <c r="G14393" t="s">
        <v>1928</v>
      </c>
      <c r="H14393" s="21">
        <v>872.67</v>
      </c>
    </row>
    <row r="14394" spans="1:8" customFormat="1" x14ac:dyDescent="0.25">
      <c r="A14394" t="str">
        <f>"844549"</f>
        <v>844549</v>
      </c>
      <c r="B14394" t="s">
        <v>12366</v>
      </c>
      <c r="C14394" t="s">
        <v>37</v>
      </c>
      <c r="D14394" s="21" t="s">
        <v>34</v>
      </c>
      <c r="E14394" s="21" t="s">
        <v>71</v>
      </c>
      <c r="F14394">
        <v>13840013</v>
      </c>
      <c r="G14394" t="s">
        <v>7323</v>
      </c>
      <c r="H14394" s="21">
        <v>872.67</v>
      </c>
    </row>
    <row r="14395" spans="1:8" customFormat="1" x14ac:dyDescent="0.25">
      <c r="A14395" t="str">
        <f>"7520383"</f>
        <v>7520383</v>
      </c>
      <c r="B14395" t="s">
        <v>788</v>
      </c>
      <c r="C14395" t="s">
        <v>13448</v>
      </c>
      <c r="D14395" s="21" t="s">
        <v>34</v>
      </c>
      <c r="E14395" s="21" t="s">
        <v>35</v>
      </c>
      <c r="F14395">
        <v>8750141</v>
      </c>
      <c r="G14395" t="s">
        <v>1514</v>
      </c>
      <c r="H14395" s="21">
        <v>872.67</v>
      </c>
    </row>
    <row r="14396" spans="1:8" customFormat="1" x14ac:dyDescent="0.25">
      <c r="A14396" t="str">
        <f>"3329740"</f>
        <v>3329740</v>
      </c>
      <c r="B14396" t="s">
        <v>27337</v>
      </c>
      <c r="C14396" t="s">
        <v>87</v>
      </c>
      <c r="D14396" s="21" t="s">
        <v>34</v>
      </c>
      <c r="E14396" s="21" t="s">
        <v>35</v>
      </c>
      <c r="F14396">
        <v>10330125</v>
      </c>
      <c r="G14396" t="s">
        <v>3753</v>
      </c>
      <c r="H14396" s="21">
        <v>872.67</v>
      </c>
    </row>
    <row r="14397" spans="1:8" customFormat="1" x14ac:dyDescent="0.25">
      <c r="A14397" t="str">
        <f>"61956"</f>
        <v>61956</v>
      </c>
      <c r="B14397" t="s">
        <v>14385</v>
      </c>
      <c r="C14397" t="s">
        <v>2520</v>
      </c>
      <c r="D14397" s="21" t="s">
        <v>34</v>
      </c>
      <c r="E14397" s="21" t="s">
        <v>254</v>
      </c>
      <c r="F14397">
        <v>9610097</v>
      </c>
      <c r="G14397" t="s">
        <v>9432</v>
      </c>
      <c r="H14397" s="21">
        <v>872.67</v>
      </c>
    </row>
    <row r="14398" spans="1:8" customFormat="1" x14ac:dyDescent="0.25">
      <c r="A14398" t="str">
        <f>"9517462"</f>
        <v>9517462</v>
      </c>
      <c r="B14398" t="s">
        <v>27258</v>
      </c>
      <c r="C14398" t="s">
        <v>415</v>
      </c>
      <c r="D14398" s="21" t="s">
        <v>34</v>
      </c>
      <c r="E14398" s="21" t="s">
        <v>254</v>
      </c>
      <c r="F14398">
        <v>6510053</v>
      </c>
      <c r="G14398" t="s">
        <v>27203</v>
      </c>
      <c r="H14398" s="21">
        <v>872.67</v>
      </c>
    </row>
    <row r="14399" spans="1:8" customFormat="1" x14ac:dyDescent="0.25">
      <c r="A14399" t="str">
        <f>"6935170"</f>
        <v>6935170</v>
      </c>
      <c r="B14399" t="s">
        <v>4649</v>
      </c>
      <c r="C14399" t="s">
        <v>459</v>
      </c>
      <c r="D14399" s="21" t="s">
        <v>34</v>
      </c>
      <c r="E14399" s="21" t="s">
        <v>71</v>
      </c>
      <c r="F14399">
        <v>1690221</v>
      </c>
      <c r="G14399" t="s">
        <v>303</v>
      </c>
      <c r="H14399" s="21">
        <v>872.42</v>
      </c>
    </row>
    <row r="14400" spans="1:8" customFormat="1" x14ac:dyDescent="0.25">
      <c r="A14400" t="str">
        <f>"2923520"</f>
        <v>2923520</v>
      </c>
      <c r="B14400" t="s">
        <v>13640</v>
      </c>
      <c r="C14400" t="s">
        <v>156</v>
      </c>
      <c r="D14400" s="21" t="s">
        <v>34</v>
      </c>
      <c r="E14400" s="21" t="s">
        <v>71</v>
      </c>
      <c r="F14400">
        <v>3290285</v>
      </c>
      <c r="G14400" t="s">
        <v>2234</v>
      </c>
      <c r="H14400" s="21">
        <v>872.42</v>
      </c>
    </row>
    <row r="14401" spans="1:8" customFormat="1" x14ac:dyDescent="0.25">
      <c r="A14401" t="str">
        <f>"029424"</f>
        <v>029424</v>
      </c>
      <c r="B14401" t="s">
        <v>7399</v>
      </c>
      <c r="C14401" t="s">
        <v>65</v>
      </c>
      <c r="D14401" s="21" t="s">
        <v>34</v>
      </c>
      <c r="E14401" s="21" t="s">
        <v>35</v>
      </c>
      <c r="F14401">
        <v>10170005</v>
      </c>
      <c r="G14401" t="s">
        <v>4290</v>
      </c>
      <c r="H14401" s="21">
        <v>872.42</v>
      </c>
    </row>
    <row r="14402" spans="1:8" customFormat="1" x14ac:dyDescent="0.25">
      <c r="A14402" t="str">
        <f>"4455284"</f>
        <v>4455284</v>
      </c>
      <c r="B14402" t="s">
        <v>15477</v>
      </c>
      <c r="C14402" t="s">
        <v>198</v>
      </c>
      <c r="D14402" s="21" t="s">
        <v>34</v>
      </c>
      <c r="E14402" s="21" t="s">
        <v>71</v>
      </c>
      <c r="F14402">
        <v>12440176</v>
      </c>
      <c r="G14402" t="s">
        <v>1020</v>
      </c>
      <c r="H14402" s="21">
        <v>872.29</v>
      </c>
    </row>
    <row r="14403" spans="1:8" customFormat="1" x14ac:dyDescent="0.25">
      <c r="A14403" t="str">
        <f>"087588"</f>
        <v>087588</v>
      </c>
      <c r="B14403" t="s">
        <v>12950</v>
      </c>
      <c r="C14403" t="s">
        <v>5979</v>
      </c>
      <c r="D14403" s="21" t="s">
        <v>34</v>
      </c>
      <c r="E14403" s="21" t="s">
        <v>35</v>
      </c>
      <c r="F14403">
        <v>6080053</v>
      </c>
      <c r="G14403" t="s">
        <v>12951</v>
      </c>
      <c r="H14403" s="21">
        <v>872.17</v>
      </c>
    </row>
    <row r="14404" spans="1:8" customFormat="1" x14ac:dyDescent="0.25">
      <c r="A14404" t="str">
        <f>"4928685"</f>
        <v>4928685</v>
      </c>
      <c r="B14404" t="s">
        <v>5222</v>
      </c>
      <c r="C14404" t="s">
        <v>1803</v>
      </c>
      <c r="D14404" s="21" t="s">
        <v>34</v>
      </c>
      <c r="E14404" s="21" t="s">
        <v>35</v>
      </c>
      <c r="F14404">
        <v>12490115</v>
      </c>
      <c r="G14404" t="s">
        <v>12598</v>
      </c>
      <c r="H14404" s="21">
        <v>872.17</v>
      </c>
    </row>
    <row r="14405" spans="1:8" customFormat="1" x14ac:dyDescent="0.25">
      <c r="A14405" t="str">
        <f>"3420930"</f>
        <v>3420930</v>
      </c>
      <c r="B14405" t="s">
        <v>11110</v>
      </c>
      <c r="C14405" t="s">
        <v>124</v>
      </c>
      <c r="D14405" s="21" t="s">
        <v>34</v>
      </c>
      <c r="E14405" s="21" t="s">
        <v>71</v>
      </c>
      <c r="F14405">
        <v>11340076</v>
      </c>
      <c r="G14405" t="s">
        <v>26665</v>
      </c>
      <c r="H14405" s="21">
        <v>872.17</v>
      </c>
    </row>
    <row r="14406" spans="1:8" customFormat="1" x14ac:dyDescent="0.25">
      <c r="A14406" t="str">
        <f>"7625651"</f>
        <v>7625651</v>
      </c>
      <c r="B14406" t="s">
        <v>11491</v>
      </c>
      <c r="C14406" t="s">
        <v>33</v>
      </c>
      <c r="D14406" s="21" t="s">
        <v>34</v>
      </c>
      <c r="E14406" s="21" t="s">
        <v>71</v>
      </c>
      <c r="F14406">
        <v>9760352</v>
      </c>
      <c r="G14406" t="s">
        <v>7885</v>
      </c>
      <c r="H14406" s="21">
        <v>872.17</v>
      </c>
    </row>
    <row r="14407" spans="1:8" customFormat="1" x14ac:dyDescent="0.25">
      <c r="A14407" t="str">
        <f>"833569"</f>
        <v>833569</v>
      </c>
      <c r="B14407" t="s">
        <v>13573</v>
      </c>
      <c r="C14407" t="s">
        <v>288</v>
      </c>
      <c r="D14407" s="21" t="s">
        <v>34</v>
      </c>
      <c r="E14407" s="21" t="s">
        <v>71</v>
      </c>
      <c r="F14407">
        <v>13830031</v>
      </c>
      <c r="G14407" t="s">
        <v>8301</v>
      </c>
      <c r="H14407" s="21">
        <v>872.17</v>
      </c>
    </row>
    <row r="14408" spans="1:8" customFormat="1" x14ac:dyDescent="0.25">
      <c r="A14408" t="str">
        <f>"292277"</f>
        <v>292277</v>
      </c>
      <c r="B14408" t="s">
        <v>12480</v>
      </c>
      <c r="C14408" t="s">
        <v>412</v>
      </c>
      <c r="D14408" s="21" t="s">
        <v>34</v>
      </c>
      <c r="E14408" s="21" t="s">
        <v>1089</v>
      </c>
      <c r="F14408">
        <v>3290019</v>
      </c>
      <c r="G14408" t="s">
        <v>4452</v>
      </c>
      <c r="H14408" s="21">
        <v>872.17</v>
      </c>
    </row>
    <row r="14409" spans="1:8" customFormat="1" x14ac:dyDescent="0.25">
      <c r="A14409" t="str">
        <f>"7827277"</f>
        <v>7827277</v>
      </c>
      <c r="B14409" t="s">
        <v>12541</v>
      </c>
      <c r="C14409" t="s">
        <v>211</v>
      </c>
      <c r="D14409" s="21" t="s">
        <v>34</v>
      </c>
      <c r="E14409" s="21" t="s">
        <v>35</v>
      </c>
      <c r="F14409">
        <v>8781469</v>
      </c>
      <c r="G14409" t="s">
        <v>4779</v>
      </c>
      <c r="H14409" s="21">
        <v>872.17</v>
      </c>
    </row>
    <row r="14410" spans="1:8" customFormat="1" x14ac:dyDescent="0.25">
      <c r="A14410" t="str">
        <f>"8017203"</f>
        <v>8017203</v>
      </c>
      <c r="B14410" t="s">
        <v>13186</v>
      </c>
      <c r="C14410" t="s">
        <v>1146</v>
      </c>
      <c r="D14410" s="21" t="s">
        <v>34</v>
      </c>
      <c r="E14410" s="21" t="s">
        <v>254</v>
      </c>
      <c r="F14410">
        <v>7800013</v>
      </c>
      <c r="G14410" t="s">
        <v>10778</v>
      </c>
      <c r="H14410" s="21">
        <v>872.17</v>
      </c>
    </row>
    <row r="14411" spans="1:8" customFormat="1" x14ac:dyDescent="0.25">
      <c r="A14411" t="str">
        <f>"8014057"</f>
        <v>8014057</v>
      </c>
      <c r="B14411" t="s">
        <v>6064</v>
      </c>
      <c r="C14411" t="s">
        <v>198</v>
      </c>
      <c r="D14411" s="21" t="s">
        <v>34</v>
      </c>
      <c r="E14411" s="21" t="s">
        <v>254</v>
      </c>
      <c r="F14411">
        <v>7800015</v>
      </c>
      <c r="G14411" t="s">
        <v>8701</v>
      </c>
      <c r="H14411" s="21">
        <v>872.17</v>
      </c>
    </row>
    <row r="14412" spans="1:8" customFormat="1" x14ac:dyDescent="0.25">
      <c r="A14412" t="str">
        <f>"628793"</f>
        <v>628793</v>
      </c>
      <c r="B14412" t="s">
        <v>11450</v>
      </c>
      <c r="C14412" t="s">
        <v>239</v>
      </c>
      <c r="D14412" s="21" t="s">
        <v>34</v>
      </c>
      <c r="E14412" s="21" t="s">
        <v>254</v>
      </c>
      <c r="F14412">
        <v>7620147</v>
      </c>
      <c r="G14412" t="s">
        <v>4455</v>
      </c>
      <c r="H14412" s="21">
        <v>872.17</v>
      </c>
    </row>
    <row r="14413" spans="1:8" customFormat="1" x14ac:dyDescent="0.25">
      <c r="A14413" t="str">
        <f>"5322261"</f>
        <v>5322261</v>
      </c>
      <c r="B14413" t="s">
        <v>4728</v>
      </c>
      <c r="C14413" t="s">
        <v>249</v>
      </c>
      <c r="D14413" s="21" t="s">
        <v>34</v>
      </c>
      <c r="E14413" s="21" t="s">
        <v>35</v>
      </c>
      <c r="F14413">
        <v>12538909</v>
      </c>
      <c r="G14413" t="s">
        <v>13536</v>
      </c>
      <c r="H14413" s="21">
        <v>872.17</v>
      </c>
    </row>
    <row r="14414" spans="1:8" customFormat="1" x14ac:dyDescent="0.25">
      <c r="A14414" t="str">
        <f>"6217854"</f>
        <v>6217854</v>
      </c>
      <c r="B14414" t="s">
        <v>14400</v>
      </c>
      <c r="C14414" t="s">
        <v>1132</v>
      </c>
      <c r="D14414" s="21" t="s">
        <v>34</v>
      </c>
      <c r="E14414" s="21" t="s">
        <v>35</v>
      </c>
      <c r="F14414">
        <v>1740063</v>
      </c>
      <c r="G14414" t="s">
        <v>9745</v>
      </c>
      <c r="H14414" s="21">
        <v>872.04</v>
      </c>
    </row>
    <row r="14415" spans="1:8" customFormat="1" x14ac:dyDescent="0.25">
      <c r="A14415" t="str">
        <f>"535537"</f>
        <v>535537</v>
      </c>
      <c r="B14415" t="s">
        <v>12165</v>
      </c>
      <c r="C14415" t="s">
        <v>3784</v>
      </c>
      <c r="D14415" s="21" t="s">
        <v>34</v>
      </c>
      <c r="E14415" s="21" t="s">
        <v>254</v>
      </c>
      <c r="F14415">
        <v>12530003</v>
      </c>
      <c r="G14415" t="s">
        <v>8260</v>
      </c>
      <c r="H14415" s="21">
        <v>871.92</v>
      </c>
    </row>
    <row r="14416" spans="1:8" customFormat="1" x14ac:dyDescent="0.25">
      <c r="A14416" t="str">
        <f>"9B66"</f>
        <v>9B66</v>
      </c>
      <c r="B14416" t="s">
        <v>11981</v>
      </c>
      <c r="C14416" t="s">
        <v>249</v>
      </c>
      <c r="D14416" s="21" t="s">
        <v>34</v>
      </c>
      <c r="E14416" s="21" t="s">
        <v>254</v>
      </c>
      <c r="F14416" t="s">
        <v>2861</v>
      </c>
      <c r="G14416" t="s">
        <v>2862</v>
      </c>
      <c r="H14416" s="21">
        <v>871.92</v>
      </c>
    </row>
    <row r="14417" spans="1:8" customFormat="1" x14ac:dyDescent="0.25">
      <c r="A14417" t="str">
        <f>"6724627"</f>
        <v>6724627</v>
      </c>
      <c r="B14417" t="s">
        <v>15490</v>
      </c>
      <c r="C14417" t="s">
        <v>249</v>
      </c>
      <c r="D14417" s="21" t="s">
        <v>34</v>
      </c>
      <c r="E14417" s="21" t="s">
        <v>35</v>
      </c>
      <c r="F14417">
        <v>6670212</v>
      </c>
      <c r="G14417" t="s">
        <v>2769</v>
      </c>
      <c r="H14417" s="21">
        <v>871.79</v>
      </c>
    </row>
    <row r="14418" spans="1:8" customFormat="1" x14ac:dyDescent="0.25">
      <c r="A14418" t="str">
        <f>"594742"</f>
        <v>594742</v>
      </c>
      <c r="B14418" t="s">
        <v>2794</v>
      </c>
      <c r="C14418" t="s">
        <v>926</v>
      </c>
      <c r="D14418" s="21" t="s">
        <v>34</v>
      </c>
      <c r="E14418" s="21" t="s">
        <v>71</v>
      </c>
      <c r="F14418">
        <v>7590044</v>
      </c>
      <c r="G14418" t="s">
        <v>2029</v>
      </c>
      <c r="H14418" s="21">
        <v>871.79</v>
      </c>
    </row>
    <row r="14419" spans="1:8" customFormat="1" x14ac:dyDescent="0.25">
      <c r="A14419" t="str">
        <f>"4915335"</f>
        <v>4915335</v>
      </c>
      <c r="B14419" t="s">
        <v>14274</v>
      </c>
      <c r="C14419" t="s">
        <v>156</v>
      </c>
      <c r="D14419" s="21" t="s">
        <v>34</v>
      </c>
      <c r="E14419" s="21" t="s">
        <v>1089</v>
      </c>
      <c r="F14419">
        <v>12490063</v>
      </c>
      <c r="G14419" t="s">
        <v>329</v>
      </c>
      <c r="H14419" s="21">
        <v>871.67</v>
      </c>
    </row>
    <row r="14420" spans="1:8" customFormat="1" x14ac:dyDescent="0.25">
      <c r="A14420" t="str">
        <f>"152993"</f>
        <v>152993</v>
      </c>
      <c r="B14420" t="s">
        <v>12543</v>
      </c>
      <c r="C14420" t="s">
        <v>598</v>
      </c>
      <c r="D14420" s="21" t="s">
        <v>34</v>
      </c>
      <c r="E14420" s="21" t="s">
        <v>71</v>
      </c>
      <c r="F14420">
        <v>1150290</v>
      </c>
      <c r="G14420" t="s">
        <v>12544</v>
      </c>
      <c r="H14420" s="21">
        <v>871.67</v>
      </c>
    </row>
    <row r="14421" spans="1:8" customFormat="1" x14ac:dyDescent="0.25">
      <c r="A14421" t="str">
        <f>"4440308"</f>
        <v>4440308</v>
      </c>
      <c r="B14421" t="s">
        <v>13294</v>
      </c>
      <c r="C14421" t="s">
        <v>119</v>
      </c>
      <c r="D14421" s="21" t="s">
        <v>34</v>
      </c>
      <c r="E14421" s="21" t="s">
        <v>35</v>
      </c>
      <c r="F14421">
        <v>12440084</v>
      </c>
      <c r="G14421" t="s">
        <v>1014</v>
      </c>
      <c r="H14421" s="21">
        <v>871.67</v>
      </c>
    </row>
    <row r="14422" spans="1:8" customFormat="1" x14ac:dyDescent="0.25">
      <c r="A14422" t="str">
        <f>"2927691"</f>
        <v>2927691</v>
      </c>
      <c r="B14422" t="s">
        <v>3313</v>
      </c>
      <c r="C14422" t="s">
        <v>27338</v>
      </c>
      <c r="D14422" s="21" t="s">
        <v>34</v>
      </c>
      <c r="E14422" s="21" t="s">
        <v>35</v>
      </c>
      <c r="F14422">
        <v>3290090</v>
      </c>
      <c r="G14422" t="s">
        <v>1390</v>
      </c>
      <c r="H14422" s="21">
        <v>871.67</v>
      </c>
    </row>
    <row r="14423" spans="1:8" customFormat="1" x14ac:dyDescent="0.25">
      <c r="A14423" t="str">
        <f>"072180"</f>
        <v>072180</v>
      </c>
      <c r="B14423" t="s">
        <v>12731</v>
      </c>
      <c r="C14423" t="s">
        <v>285</v>
      </c>
      <c r="D14423" s="21" t="s">
        <v>34</v>
      </c>
      <c r="E14423" s="21" t="s">
        <v>35</v>
      </c>
      <c r="F14423">
        <v>1260024</v>
      </c>
      <c r="G14423" t="s">
        <v>2685</v>
      </c>
      <c r="H14423" s="21">
        <v>871.67</v>
      </c>
    </row>
    <row r="14424" spans="1:8" customFormat="1" x14ac:dyDescent="0.25">
      <c r="A14424" t="str">
        <f>"9137827"</f>
        <v>9137827</v>
      </c>
      <c r="B14424" t="s">
        <v>2134</v>
      </c>
      <c r="C14424" t="s">
        <v>328</v>
      </c>
      <c r="D14424" s="21" t="s">
        <v>34</v>
      </c>
      <c r="E14424" s="21" t="s">
        <v>35</v>
      </c>
      <c r="F14424">
        <v>8910667</v>
      </c>
      <c r="G14424" t="s">
        <v>2361</v>
      </c>
      <c r="H14424" s="21">
        <v>871.67</v>
      </c>
    </row>
    <row r="14425" spans="1:8" customFormat="1" x14ac:dyDescent="0.25">
      <c r="A14425" t="str">
        <f>"517379"</f>
        <v>517379</v>
      </c>
      <c r="B14425" t="s">
        <v>3197</v>
      </c>
      <c r="C14425" t="s">
        <v>12743</v>
      </c>
      <c r="D14425" s="21" t="s">
        <v>34</v>
      </c>
      <c r="E14425" s="21" t="s">
        <v>35</v>
      </c>
      <c r="F14425">
        <v>7021010</v>
      </c>
      <c r="G14425" t="s">
        <v>10493</v>
      </c>
      <c r="H14425" s="21">
        <v>871.67</v>
      </c>
    </row>
    <row r="14426" spans="1:8" customFormat="1" x14ac:dyDescent="0.25">
      <c r="A14426" t="str">
        <f>"2924463"</f>
        <v>2924463</v>
      </c>
      <c r="B14426" t="s">
        <v>11850</v>
      </c>
      <c r="C14426" t="s">
        <v>1841</v>
      </c>
      <c r="D14426" s="21" t="s">
        <v>34</v>
      </c>
      <c r="E14426" s="21" t="s">
        <v>71</v>
      </c>
      <c r="F14426">
        <v>3290278</v>
      </c>
      <c r="G14426" t="s">
        <v>3649</v>
      </c>
      <c r="H14426" s="21">
        <v>871.67</v>
      </c>
    </row>
    <row r="14427" spans="1:8" customFormat="1" x14ac:dyDescent="0.25">
      <c r="A14427" t="str">
        <f>"6720383"</f>
        <v>6720383</v>
      </c>
      <c r="B14427" t="s">
        <v>13278</v>
      </c>
      <c r="C14427" t="s">
        <v>1110</v>
      </c>
      <c r="D14427" s="21" t="s">
        <v>34</v>
      </c>
      <c r="E14427" s="21" t="s">
        <v>71</v>
      </c>
      <c r="F14427">
        <v>6670002</v>
      </c>
      <c r="G14427" t="s">
        <v>5740</v>
      </c>
      <c r="H14427" s="21">
        <v>871.67</v>
      </c>
    </row>
    <row r="14428" spans="1:8" customFormat="1" x14ac:dyDescent="0.25">
      <c r="A14428" t="str">
        <f>"679611"</f>
        <v>679611</v>
      </c>
      <c r="B14428" t="s">
        <v>13349</v>
      </c>
      <c r="C14428" t="s">
        <v>239</v>
      </c>
      <c r="D14428" s="21" t="s">
        <v>34</v>
      </c>
      <c r="E14428" s="21" t="s">
        <v>254</v>
      </c>
      <c r="F14428">
        <v>6670043</v>
      </c>
      <c r="G14428" t="s">
        <v>5658</v>
      </c>
      <c r="H14428" s="21">
        <v>871.67</v>
      </c>
    </row>
    <row r="14429" spans="1:8" customFormat="1" x14ac:dyDescent="0.25">
      <c r="A14429" t="str">
        <f>"5954587"</f>
        <v>5954587</v>
      </c>
      <c r="B14429" t="s">
        <v>11082</v>
      </c>
      <c r="C14429" t="s">
        <v>11083</v>
      </c>
      <c r="D14429" s="21" t="s">
        <v>34</v>
      </c>
      <c r="E14429" s="21" t="s">
        <v>254</v>
      </c>
      <c r="F14429">
        <v>7590112</v>
      </c>
      <c r="G14429" t="s">
        <v>3534</v>
      </c>
      <c r="H14429" s="21">
        <v>871.67</v>
      </c>
    </row>
    <row r="14430" spans="1:8" customFormat="1" x14ac:dyDescent="0.25">
      <c r="A14430" t="str">
        <f>"4213547"</f>
        <v>4213547</v>
      </c>
      <c r="B14430" t="s">
        <v>27339</v>
      </c>
      <c r="C14430" t="s">
        <v>60</v>
      </c>
      <c r="D14430" s="21" t="s">
        <v>34</v>
      </c>
      <c r="E14430" s="21" t="s">
        <v>35</v>
      </c>
      <c r="F14430">
        <v>1420140</v>
      </c>
      <c r="G14430" t="s">
        <v>10038</v>
      </c>
      <c r="H14430" s="21">
        <v>871.67</v>
      </c>
    </row>
    <row r="14431" spans="1:8" customFormat="1" x14ac:dyDescent="0.25">
      <c r="A14431" t="str">
        <f>"377489"</f>
        <v>377489</v>
      </c>
      <c r="B14431" t="s">
        <v>12665</v>
      </c>
      <c r="C14431" t="s">
        <v>40</v>
      </c>
      <c r="D14431" s="21" t="s">
        <v>34</v>
      </c>
      <c r="E14431" s="21" t="s">
        <v>254</v>
      </c>
      <c r="F14431">
        <v>4370566</v>
      </c>
      <c r="G14431" t="s">
        <v>4710</v>
      </c>
      <c r="H14431" s="21">
        <v>871.67</v>
      </c>
    </row>
    <row r="14432" spans="1:8" customFormat="1" x14ac:dyDescent="0.25">
      <c r="A14432" t="str">
        <f>"80263"</f>
        <v>80263</v>
      </c>
      <c r="B14432" t="s">
        <v>747</v>
      </c>
      <c r="C14432" t="s">
        <v>267</v>
      </c>
      <c r="D14432" s="21" t="s">
        <v>34</v>
      </c>
      <c r="E14432" s="21" t="s">
        <v>1089</v>
      </c>
      <c r="F14432">
        <v>7800004</v>
      </c>
      <c r="G14432" t="s">
        <v>748</v>
      </c>
      <c r="H14432" s="21">
        <v>871.67</v>
      </c>
    </row>
    <row r="14433" spans="1:8" customFormat="1" x14ac:dyDescent="0.25">
      <c r="A14433" t="str">
        <f>"851405"</f>
        <v>851405</v>
      </c>
      <c r="B14433" t="s">
        <v>13463</v>
      </c>
      <c r="C14433" t="s">
        <v>3073</v>
      </c>
      <c r="D14433" s="21" t="s">
        <v>34</v>
      </c>
      <c r="E14433" s="21" t="s">
        <v>254</v>
      </c>
      <c r="F14433">
        <v>12850043</v>
      </c>
      <c r="G14433" t="s">
        <v>4873</v>
      </c>
      <c r="H14433" s="21">
        <v>871.67</v>
      </c>
    </row>
    <row r="14434" spans="1:8" customFormat="1" x14ac:dyDescent="0.25">
      <c r="A14434" t="str">
        <f>"9412929"</f>
        <v>9412929</v>
      </c>
      <c r="B14434" t="s">
        <v>13508</v>
      </c>
      <c r="C14434" t="s">
        <v>564</v>
      </c>
      <c r="D14434" s="21" t="s">
        <v>34</v>
      </c>
      <c r="E14434" s="21" t="s">
        <v>71</v>
      </c>
      <c r="F14434">
        <v>8940549</v>
      </c>
      <c r="G14434" t="s">
        <v>454</v>
      </c>
      <c r="H14434" s="21">
        <v>871.54</v>
      </c>
    </row>
    <row r="14435" spans="1:8" customFormat="1" x14ac:dyDescent="0.25">
      <c r="A14435" t="str">
        <f>"9418715"</f>
        <v>9418715</v>
      </c>
      <c r="B14435" t="s">
        <v>13735</v>
      </c>
      <c r="C14435" t="s">
        <v>1914</v>
      </c>
      <c r="D14435" s="21" t="s">
        <v>34</v>
      </c>
      <c r="E14435" s="21" t="s">
        <v>35</v>
      </c>
      <c r="F14435">
        <v>8950330</v>
      </c>
      <c r="G14435" t="s">
        <v>794</v>
      </c>
      <c r="H14435" s="21">
        <v>871.54</v>
      </c>
    </row>
    <row r="14436" spans="1:8" customFormat="1" x14ac:dyDescent="0.25">
      <c r="A14436" t="str">
        <f>"767172"</f>
        <v>767172</v>
      </c>
      <c r="B14436" t="s">
        <v>8455</v>
      </c>
      <c r="C14436" t="s">
        <v>233</v>
      </c>
      <c r="D14436" s="21" t="s">
        <v>34</v>
      </c>
      <c r="E14436" s="21" t="s">
        <v>71</v>
      </c>
      <c r="F14436">
        <v>9760341</v>
      </c>
      <c r="G14436" t="s">
        <v>12913</v>
      </c>
      <c r="H14436" s="21">
        <v>871.5</v>
      </c>
    </row>
    <row r="14437" spans="1:8" customFormat="1" x14ac:dyDescent="0.25">
      <c r="A14437" t="str">
        <f>"124402"</f>
        <v>124402</v>
      </c>
      <c r="B14437" t="s">
        <v>10941</v>
      </c>
      <c r="C14437" t="s">
        <v>55</v>
      </c>
      <c r="D14437" s="21" t="s">
        <v>34</v>
      </c>
      <c r="E14437" s="21" t="s">
        <v>71</v>
      </c>
      <c r="F14437">
        <v>11120045</v>
      </c>
      <c r="G14437" t="s">
        <v>13082</v>
      </c>
      <c r="H14437" s="21">
        <v>871.42</v>
      </c>
    </row>
    <row r="14438" spans="1:8" customFormat="1" x14ac:dyDescent="0.25">
      <c r="A14438" t="str">
        <f>"839490"</f>
        <v>839490</v>
      </c>
      <c r="B14438" t="s">
        <v>11868</v>
      </c>
      <c r="C14438" t="s">
        <v>209</v>
      </c>
      <c r="D14438" s="21" t="s">
        <v>34</v>
      </c>
      <c r="E14438" s="21" t="s">
        <v>71</v>
      </c>
      <c r="F14438">
        <v>13830044</v>
      </c>
      <c r="G14438" t="s">
        <v>945</v>
      </c>
      <c r="H14438" s="21">
        <v>871.29</v>
      </c>
    </row>
    <row r="14439" spans="1:8" customFormat="1" x14ac:dyDescent="0.25">
      <c r="A14439" t="str">
        <f>"3518368"</f>
        <v>3518368</v>
      </c>
      <c r="B14439" t="s">
        <v>1883</v>
      </c>
      <c r="C14439" t="s">
        <v>3889</v>
      </c>
      <c r="D14439" s="21" t="s">
        <v>34</v>
      </c>
      <c r="E14439" s="21" t="s">
        <v>71</v>
      </c>
      <c r="F14439">
        <v>12440116</v>
      </c>
      <c r="G14439" t="s">
        <v>26673</v>
      </c>
      <c r="H14439" s="21">
        <v>871.29</v>
      </c>
    </row>
    <row r="14440" spans="1:8" customFormat="1" x14ac:dyDescent="0.25">
      <c r="A14440" t="str">
        <f>"7824677"</f>
        <v>7824677</v>
      </c>
      <c r="B14440" t="s">
        <v>13190</v>
      </c>
      <c r="C14440" t="s">
        <v>187</v>
      </c>
      <c r="D14440" s="21" t="s">
        <v>34</v>
      </c>
      <c r="E14440" s="21" t="s">
        <v>71</v>
      </c>
      <c r="F14440">
        <v>8780485</v>
      </c>
      <c r="G14440" t="s">
        <v>1279</v>
      </c>
      <c r="H14440" s="21">
        <v>871.29</v>
      </c>
    </row>
    <row r="14441" spans="1:8" customFormat="1" x14ac:dyDescent="0.25">
      <c r="A14441" t="str">
        <f>"67791"</f>
        <v>67791</v>
      </c>
      <c r="B14441" t="s">
        <v>12248</v>
      </c>
      <c r="C14441" t="s">
        <v>1841</v>
      </c>
      <c r="D14441" s="21" t="s">
        <v>34</v>
      </c>
      <c r="E14441" s="21" t="s">
        <v>1089</v>
      </c>
      <c r="F14441">
        <v>6670129</v>
      </c>
      <c r="G14441" t="s">
        <v>12249</v>
      </c>
      <c r="H14441" s="21">
        <v>871.17</v>
      </c>
    </row>
    <row r="14442" spans="1:8" customFormat="1" x14ac:dyDescent="0.25">
      <c r="A14442" t="str">
        <f>"16545"</f>
        <v>16545</v>
      </c>
      <c r="B14442" t="s">
        <v>8097</v>
      </c>
      <c r="C14442" t="s">
        <v>87</v>
      </c>
      <c r="D14442" s="21" t="s">
        <v>34</v>
      </c>
      <c r="E14442" s="21" t="s">
        <v>71</v>
      </c>
      <c r="F14442">
        <v>10160069</v>
      </c>
      <c r="G14442" t="s">
        <v>5379</v>
      </c>
      <c r="H14442" s="21">
        <v>871.17</v>
      </c>
    </row>
    <row r="14443" spans="1:8" customFormat="1" x14ac:dyDescent="0.25">
      <c r="A14443" t="str">
        <f>"561316"</f>
        <v>561316</v>
      </c>
      <c r="B14443" t="s">
        <v>27340</v>
      </c>
      <c r="C14443" t="s">
        <v>302</v>
      </c>
      <c r="D14443" s="21" t="s">
        <v>34</v>
      </c>
      <c r="E14443" s="21" t="s">
        <v>35</v>
      </c>
      <c r="F14443">
        <v>3560090</v>
      </c>
      <c r="G14443" t="s">
        <v>7777</v>
      </c>
      <c r="H14443" s="21">
        <v>871.17</v>
      </c>
    </row>
    <row r="14444" spans="1:8" customFormat="1" x14ac:dyDescent="0.25">
      <c r="A14444" t="str">
        <f>"609982"</f>
        <v>609982</v>
      </c>
      <c r="B14444" t="s">
        <v>12582</v>
      </c>
      <c r="C14444" t="s">
        <v>7441</v>
      </c>
      <c r="D14444" s="21" t="s">
        <v>34</v>
      </c>
      <c r="E14444" s="21" t="s">
        <v>35</v>
      </c>
      <c r="F14444">
        <v>7600146</v>
      </c>
      <c r="G14444" t="s">
        <v>8647</v>
      </c>
      <c r="H14444" s="21">
        <v>871.17</v>
      </c>
    </row>
    <row r="14445" spans="1:8" customFormat="1" x14ac:dyDescent="0.25">
      <c r="A14445" t="str">
        <f>"8510227"</f>
        <v>8510227</v>
      </c>
      <c r="B14445" t="s">
        <v>1626</v>
      </c>
      <c r="C14445" t="s">
        <v>121</v>
      </c>
      <c r="D14445" s="21" t="s">
        <v>34</v>
      </c>
      <c r="E14445" s="21" t="s">
        <v>35</v>
      </c>
      <c r="F14445">
        <v>12440104</v>
      </c>
      <c r="G14445" t="s">
        <v>5862</v>
      </c>
      <c r="H14445" s="21">
        <v>871.17</v>
      </c>
    </row>
    <row r="14446" spans="1:8" customFormat="1" x14ac:dyDescent="0.25">
      <c r="A14446" t="str">
        <f>"4519212"</f>
        <v>4519212</v>
      </c>
      <c r="B14446" t="s">
        <v>5735</v>
      </c>
      <c r="C14446" t="s">
        <v>204</v>
      </c>
      <c r="D14446" s="21" t="s">
        <v>34</v>
      </c>
      <c r="E14446" s="21" t="s">
        <v>35</v>
      </c>
      <c r="F14446">
        <v>4450580</v>
      </c>
      <c r="G14446" t="s">
        <v>11998</v>
      </c>
      <c r="H14446" s="21">
        <v>871.17</v>
      </c>
    </row>
    <row r="14447" spans="1:8" customFormat="1" x14ac:dyDescent="0.25">
      <c r="A14447" t="str">
        <f>"719040"</f>
        <v>719040</v>
      </c>
      <c r="B14447" t="s">
        <v>19739</v>
      </c>
      <c r="C14447" t="s">
        <v>209</v>
      </c>
      <c r="D14447" s="21" t="s">
        <v>34</v>
      </c>
      <c r="E14447" s="21" t="s">
        <v>71</v>
      </c>
      <c r="F14447">
        <v>2710035</v>
      </c>
      <c r="G14447" t="s">
        <v>7300</v>
      </c>
      <c r="H14447" s="21">
        <v>871.17</v>
      </c>
    </row>
    <row r="14448" spans="1:8" customFormat="1" x14ac:dyDescent="0.25">
      <c r="A14448" t="str">
        <f>"4516217"</f>
        <v>4516217</v>
      </c>
      <c r="B14448" t="s">
        <v>17998</v>
      </c>
      <c r="C14448" t="s">
        <v>62</v>
      </c>
      <c r="D14448" s="21" t="s">
        <v>34</v>
      </c>
      <c r="E14448" s="21" t="s">
        <v>35</v>
      </c>
      <c r="F14448">
        <v>4450036</v>
      </c>
      <c r="G14448" t="s">
        <v>4179</v>
      </c>
      <c r="H14448" s="21">
        <v>871.17</v>
      </c>
    </row>
    <row r="14449" spans="1:8" customFormat="1" x14ac:dyDescent="0.25">
      <c r="A14449" t="str">
        <f>"4210202"</f>
        <v>4210202</v>
      </c>
      <c r="B14449" t="s">
        <v>8685</v>
      </c>
      <c r="C14449" t="s">
        <v>656</v>
      </c>
      <c r="D14449" s="21" t="s">
        <v>34</v>
      </c>
      <c r="E14449" s="21" t="s">
        <v>35</v>
      </c>
      <c r="F14449">
        <v>1420106</v>
      </c>
      <c r="G14449" t="s">
        <v>6244</v>
      </c>
      <c r="H14449" s="21">
        <v>871.17</v>
      </c>
    </row>
    <row r="14450" spans="1:8" customFormat="1" x14ac:dyDescent="0.25">
      <c r="A14450" t="str">
        <f>"143124"</f>
        <v>143124</v>
      </c>
      <c r="B14450" t="s">
        <v>12114</v>
      </c>
      <c r="C14450" t="s">
        <v>236</v>
      </c>
      <c r="D14450" s="21" t="s">
        <v>34</v>
      </c>
      <c r="E14450" s="21" t="s">
        <v>254</v>
      </c>
      <c r="F14450">
        <v>9140014</v>
      </c>
      <c r="G14450" t="s">
        <v>9546</v>
      </c>
      <c r="H14450" s="21">
        <v>871.17</v>
      </c>
    </row>
    <row r="14451" spans="1:8" customFormat="1" x14ac:dyDescent="0.25">
      <c r="A14451" t="str">
        <f>"021275"</f>
        <v>021275</v>
      </c>
      <c r="B14451" t="s">
        <v>13540</v>
      </c>
      <c r="C14451" t="s">
        <v>598</v>
      </c>
      <c r="D14451" s="21" t="s">
        <v>34</v>
      </c>
      <c r="E14451" s="21" t="s">
        <v>254</v>
      </c>
      <c r="F14451">
        <v>7020037</v>
      </c>
      <c r="G14451" t="s">
        <v>4701</v>
      </c>
      <c r="H14451" s="21">
        <v>871.17</v>
      </c>
    </row>
    <row r="14452" spans="1:8" customFormat="1" x14ac:dyDescent="0.25">
      <c r="A14452" t="str">
        <f>"266007"</f>
        <v>266007</v>
      </c>
      <c r="B14452" t="s">
        <v>14392</v>
      </c>
      <c r="C14452" t="s">
        <v>233</v>
      </c>
      <c r="D14452" s="21" t="s">
        <v>34</v>
      </c>
      <c r="E14452" s="21" t="s">
        <v>254</v>
      </c>
      <c r="F14452">
        <v>1260045</v>
      </c>
      <c r="G14452" t="s">
        <v>401</v>
      </c>
      <c r="H14452" s="21">
        <v>871.17</v>
      </c>
    </row>
    <row r="14453" spans="1:8" customFormat="1" x14ac:dyDescent="0.25">
      <c r="A14453" t="str">
        <f>"141227"</f>
        <v>141227</v>
      </c>
      <c r="B14453" t="s">
        <v>12789</v>
      </c>
      <c r="C14453" t="s">
        <v>2100</v>
      </c>
      <c r="D14453" s="21" t="s">
        <v>34</v>
      </c>
      <c r="E14453" s="21" t="s">
        <v>254</v>
      </c>
      <c r="F14453">
        <v>9140162</v>
      </c>
      <c r="G14453" t="s">
        <v>7663</v>
      </c>
      <c r="H14453" s="21">
        <v>871.17</v>
      </c>
    </row>
    <row r="14454" spans="1:8" customFormat="1" x14ac:dyDescent="0.25">
      <c r="A14454" t="str">
        <f>"1315583"</f>
        <v>1315583</v>
      </c>
      <c r="B14454" t="s">
        <v>12233</v>
      </c>
      <c r="C14454" t="s">
        <v>967</v>
      </c>
      <c r="D14454" s="21" t="s">
        <v>34</v>
      </c>
      <c r="E14454" s="21" t="s">
        <v>35</v>
      </c>
      <c r="F14454">
        <v>13130159</v>
      </c>
      <c r="G14454" t="s">
        <v>199</v>
      </c>
      <c r="H14454" s="21">
        <v>871.17</v>
      </c>
    </row>
    <row r="14455" spans="1:8" customFormat="1" x14ac:dyDescent="0.25">
      <c r="A14455" t="str">
        <f>"4439163"</f>
        <v>4439163</v>
      </c>
      <c r="B14455" t="s">
        <v>4516</v>
      </c>
      <c r="C14455" t="s">
        <v>65</v>
      </c>
      <c r="D14455" s="21" t="s">
        <v>34</v>
      </c>
      <c r="E14455" s="21" t="s">
        <v>35</v>
      </c>
      <c r="F14455">
        <v>12440097</v>
      </c>
      <c r="G14455" t="s">
        <v>14273</v>
      </c>
      <c r="H14455" s="21">
        <v>871.17</v>
      </c>
    </row>
    <row r="14456" spans="1:8" customFormat="1" x14ac:dyDescent="0.25">
      <c r="A14456" t="str">
        <f>"2513943"</f>
        <v>2513943</v>
      </c>
      <c r="B14456" t="s">
        <v>13495</v>
      </c>
      <c r="C14456" t="s">
        <v>926</v>
      </c>
      <c r="D14456" s="21" t="s">
        <v>34</v>
      </c>
      <c r="E14456" s="21" t="s">
        <v>35</v>
      </c>
      <c r="F14456">
        <v>2250049</v>
      </c>
      <c r="G14456" t="s">
        <v>9590</v>
      </c>
      <c r="H14456" s="21">
        <v>871.17</v>
      </c>
    </row>
    <row r="14457" spans="1:8" customFormat="1" x14ac:dyDescent="0.25">
      <c r="A14457" t="str">
        <f>"153912"</f>
        <v>153912</v>
      </c>
      <c r="B14457" t="s">
        <v>4285</v>
      </c>
      <c r="C14457" t="s">
        <v>121</v>
      </c>
      <c r="D14457" s="21" t="s">
        <v>34</v>
      </c>
      <c r="E14457" s="21" t="s">
        <v>35</v>
      </c>
      <c r="F14457">
        <v>1150306</v>
      </c>
      <c r="G14457" t="s">
        <v>14324</v>
      </c>
      <c r="H14457" s="21">
        <v>871.04</v>
      </c>
    </row>
    <row r="14458" spans="1:8" customFormat="1" x14ac:dyDescent="0.25">
      <c r="A14458" t="str">
        <f>"683189"</f>
        <v>683189</v>
      </c>
      <c r="B14458" t="s">
        <v>15420</v>
      </c>
      <c r="C14458" t="s">
        <v>15421</v>
      </c>
      <c r="D14458" s="21" t="s">
        <v>34</v>
      </c>
      <c r="E14458" s="21" t="s">
        <v>254</v>
      </c>
      <c r="F14458">
        <v>6680125</v>
      </c>
      <c r="G14458" t="s">
        <v>6543</v>
      </c>
      <c r="H14458" s="21">
        <v>871.04</v>
      </c>
    </row>
    <row r="14459" spans="1:8" customFormat="1" x14ac:dyDescent="0.25">
      <c r="A14459" t="str">
        <f>"4422839"</f>
        <v>4422839</v>
      </c>
      <c r="B14459" t="s">
        <v>12217</v>
      </c>
      <c r="C14459" t="s">
        <v>926</v>
      </c>
      <c r="D14459" s="21" t="s">
        <v>34</v>
      </c>
      <c r="E14459" s="21" t="s">
        <v>71</v>
      </c>
      <c r="F14459">
        <v>12440020</v>
      </c>
      <c r="G14459" t="s">
        <v>4606</v>
      </c>
      <c r="H14459" s="21">
        <v>871</v>
      </c>
    </row>
    <row r="14460" spans="1:8" customFormat="1" x14ac:dyDescent="0.25">
      <c r="A14460" t="str">
        <f>"9242385"</f>
        <v>9242385</v>
      </c>
      <c r="B14460" t="s">
        <v>461</v>
      </c>
      <c r="C14460" t="s">
        <v>1812</v>
      </c>
      <c r="D14460" s="21" t="s">
        <v>34</v>
      </c>
      <c r="E14460" s="21" t="s">
        <v>71</v>
      </c>
      <c r="F14460">
        <v>8920075</v>
      </c>
      <c r="G14460" t="s">
        <v>317</v>
      </c>
      <c r="H14460" s="21">
        <v>870.92</v>
      </c>
    </row>
    <row r="14461" spans="1:8" customFormat="1" x14ac:dyDescent="0.25">
      <c r="A14461" t="str">
        <f>"7812156"</f>
        <v>7812156</v>
      </c>
      <c r="B14461" t="s">
        <v>551</v>
      </c>
      <c r="C14461" t="s">
        <v>130</v>
      </c>
      <c r="D14461" s="21" t="s">
        <v>34</v>
      </c>
      <c r="E14461" s="21" t="s">
        <v>71</v>
      </c>
      <c r="F14461">
        <v>8780447</v>
      </c>
      <c r="G14461" t="s">
        <v>9215</v>
      </c>
      <c r="H14461" s="21">
        <v>870.92</v>
      </c>
    </row>
    <row r="14462" spans="1:8" customFormat="1" x14ac:dyDescent="0.25">
      <c r="A14462" t="str">
        <f>"323277"</f>
        <v>323277</v>
      </c>
      <c r="B14462" t="s">
        <v>14685</v>
      </c>
      <c r="C14462" t="s">
        <v>484</v>
      </c>
      <c r="D14462" s="21" t="s">
        <v>34</v>
      </c>
      <c r="E14462" s="21" t="s">
        <v>35</v>
      </c>
      <c r="F14462">
        <v>11320005</v>
      </c>
      <c r="G14462" t="s">
        <v>120</v>
      </c>
      <c r="H14462" s="21">
        <v>870.92</v>
      </c>
    </row>
    <row r="14463" spans="1:8" customFormat="1" x14ac:dyDescent="0.25">
      <c r="A14463" t="str">
        <f>"5948907"</f>
        <v>5948907</v>
      </c>
      <c r="B14463" t="s">
        <v>2406</v>
      </c>
      <c r="C14463" t="s">
        <v>239</v>
      </c>
      <c r="D14463" s="21" t="s">
        <v>34</v>
      </c>
      <c r="E14463" s="21" t="s">
        <v>1089</v>
      </c>
      <c r="F14463">
        <v>7590419</v>
      </c>
      <c r="G14463" t="s">
        <v>8051</v>
      </c>
      <c r="H14463" s="21">
        <v>870.92</v>
      </c>
    </row>
    <row r="14464" spans="1:8" customFormat="1" x14ac:dyDescent="0.25">
      <c r="A14464" t="str">
        <f>"6217959"</f>
        <v>6217959</v>
      </c>
      <c r="B14464" t="s">
        <v>12132</v>
      </c>
      <c r="C14464" t="s">
        <v>269</v>
      </c>
      <c r="D14464" s="21" t="s">
        <v>34</v>
      </c>
      <c r="E14464" s="21" t="s">
        <v>71</v>
      </c>
      <c r="F14464">
        <v>7620058</v>
      </c>
      <c r="G14464" t="s">
        <v>602</v>
      </c>
      <c r="H14464" s="21">
        <v>870.79</v>
      </c>
    </row>
    <row r="14465" spans="1:8" customFormat="1" x14ac:dyDescent="0.25">
      <c r="A14465" t="str">
        <f>"2811999"</f>
        <v>2811999</v>
      </c>
      <c r="B14465" t="s">
        <v>8503</v>
      </c>
      <c r="C14465" t="s">
        <v>262</v>
      </c>
      <c r="D14465" s="21" t="s">
        <v>34</v>
      </c>
      <c r="E14465" s="21" t="s">
        <v>35</v>
      </c>
      <c r="F14465">
        <v>4280121</v>
      </c>
      <c r="G14465" t="s">
        <v>4565</v>
      </c>
      <c r="H14465" s="21">
        <v>870.67</v>
      </c>
    </row>
    <row r="14466" spans="1:8" customFormat="1" x14ac:dyDescent="0.25">
      <c r="A14466" t="str">
        <f>"8513979"</f>
        <v>8513979</v>
      </c>
      <c r="B14466" t="s">
        <v>13364</v>
      </c>
      <c r="C14466" t="s">
        <v>486</v>
      </c>
      <c r="D14466" s="21" t="s">
        <v>34</v>
      </c>
      <c r="E14466" s="21" t="s">
        <v>71</v>
      </c>
      <c r="F14466">
        <v>12850040</v>
      </c>
      <c r="G14466" t="s">
        <v>2074</v>
      </c>
      <c r="H14466" s="21">
        <v>870.67</v>
      </c>
    </row>
    <row r="14467" spans="1:8" customFormat="1" x14ac:dyDescent="0.25">
      <c r="A14467" t="str">
        <f>"083185"</f>
        <v>083185</v>
      </c>
      <c r="B14467" t="s">
        <v>3599</v>
      </c>
      <c r="C14467" t="s">
        <v>750</v>
      </c>
      <c r="D14467" s="21" t="s">
        <v>34</v>
      </c>
      <c r="E14467" s="21" t="s">
        <v>254</v>
      </c>
      <c r="F14467">
        <v>6080050</v>
      </c>
      <c r="G14467" t="s">
        <v>7840</v>
      </c>
      <c r="H14467" s="21">
        <v>870.67</v>
      </c>
    </row>
    <row r="14468" spans="1:8" customFormat="1" x14ac:dyDescent="0.25">
      <c r="A14468" t="str">
        <f>"194020"</f>
        <v>194020</v>
      </c>
      <c r="B14468" t="s">
        <v>13709</v>
      </c>
      <c r="C14468" t="s">
        <v>2072</v>
      </c>
      <c r="D14468" s="21" t="s">
        <v>34</v>
      </c>
      <c r="E14468" s="21" t="s">
        <v>254</v>
      </c>
      <c r="F14468">
        <v>10190096</v>
      </c>
      <c r="G14468" t="s">
        <v>3949</v>
      </c>
      <c r="H14468" s="21">
        <v>870.67</v>
      </c>
    </row>
    <row r="14469" spans="1:8" customFormat="1" x14ac:dyDescent="0.25">
      <c r="A14469" t="str">
        <f>"7725586"</f>
        <v>7725586</v>
      </c>
      <c r="B14469" t="s">
        <v>10014</v>
      </c>
      <c r="C14469" t="s">
        <v>33</v>
      </c>
      <c r="D14469" s="21" t="s">
        <v>34</v>
      </c>
      <c r="E14469" s="21" t="s">
        <v>35</v>
      </c>
      <c r="F14469">
        <v>8770166</v>
      </c>
      <c r="G14469" t="s">
        <v>653</v>
      </c>
      <c r="H14469" s="21">
        <v>870.67</v>
      </c>
    </row>
    <row r="14470" spans="1:8" customFormat="1" x14ac:dyDescent="0.25">
      <c r="A14470" t="str">
        <f>"815"</f>
        <v>815</v>
      </c>
      <c r="B14470" t="s">
        <v>11162</v>
      </c>
      <c r="C14470" t="s">
        <v>121</v>
      </c>
      <c r="D14470" s="21" t="s">
        <v>34</v>
      </c>
      <c r="E14470" s="21" t="s">
        <v>254</v>
      </c>
      <c r="F14470">
        <v>11810001</v>
      </c>
      <c r="G14470" t="s">
        <v>26998</v>
      </c>
      <c r="H14470" s="21">
        <v>870.67</v>
      </c>
    </row>
    <row r="14471" spans="1:8" customFormat="1" x14ac:dyDescent="0.25">
      <c r="A14471" t="str">
        <f>"214803"</f>
        <v>214803</v>
      </c>
      <c r="B14471" t="s">
        <v>19920</v>
      </c>
      <c r="C14471" t="s">
        <v>1665</v>
      </c>
      <c r="D14471" s="21" t="s">
        <v>34</v>
      </c>
      <c r="E14471" s="21" t="s">
        <v>71</v>
      </c>
      <c r="F14471">
        <v>2210059</v>
      </c>
      <c r="G14471" t="s">
        <v>3142</v>
      </c>
      <c r="H14471" s="21">
        <v>870.67</v>
      </c>
    </row>
    <row r="14472" spans="1:8" customFormat="1" x14ac:dyDescent="0.25">
      <c r="A14472" t="str">
        <f>"721742"</f>
        <v>721742</v>
      </c>
      <c r="B14472" t="s">
        <v>13561</v>
      </c>
      <c r="C14472" t="s">
        <v>269</v>
      </c>
      <c r="D14472" s="21" t="s">
        <v>34</v>
      </c>
      <c r="E14472" s="21" t="s">
        <v>254</v>
      </c>
      <c r="F14472">
        <v>12720028</v>
      </c>
      <c r="G14472" t="s">
        <v>4381</v>
      </c>
      <c r="H14472" s="21">
        <v>870.67</v>
      </c>
    </row>
    <row r="14473" spans="1:8" customFormat="1" x14ac:dyDescent="0.25">
      <c r="A14473" t="str">
        <f>"2711023"</f>
        <v>2711023</v>
      </c>
      <c r="B14473" t="s">
        <v>1905</v>
      </c>
      <c r="C14473" t="s">
        <v>1110</v>
      </c>
      <c r="D14473" s="21" t="s">
        <v>34</v>
      </c>
      <c r="E14473" s="21" t="s">
        <v>1089</v>
      </c>
      <c r="F14473">
        <v>9270164</v>
      </c>
      <c r="G14473" t="s">
        <v>8686</v>
      </c>
      <c r="H14473" s="21">
        <v>870.67</v>
      </c>
    </row>
    <row r="14474" spans="1:8" customFormat="1" x14ac:dyDescent="0.25">
      <c r="A14474" t="str">
        <f>"149729"</f>
        <v>149729</v>
      </c>
      <c r="B14474" t="s">
        <v>13389</v>
      </c>
      <c r="C14474" t="s">
        <v>249</v>
      </c>
      <c r="D14474" s="21" t="s">
        <v>34</v>
      </c>
      <c r="E14474" s="21" t="s">
        <v>71</v>
      </c>
      <c r="F14474">
        <v>9140190</v>
      </c>
      <c r="G14474" t="s">
        <v>7368</v>
      </c>
      <c r="H14474" s="21">
        <v>870.67</v>
      </c>
    </row>
    <row r="14475" spans="1:8" customFormat="1" x14ac:dyDescent="0.25">
      <c r="A14475" t="str">
        <f>"449391"</f>
        <v>449391</v>
      </c>
      <c r="B14475" t="s">
        <v>461</v>
      </c>
      <c r="C14475" t="s">
        <v>825</v>
      </c>
      <c r="D14475" s="21" t="s">
        <v>34</v>
      </c>
      <c r="E14475" s="21" t="s">
        <v>71</v>
      </c>
      <c r="F14475">
        <v>12440058</v>
      </c>
      <c r="G14475" t="s">
        <v>394</v>
      </c>
      <c r="H14475" s="21">
        <v>870.67</v>
      </c>
    </row>
    <row r="14476" spans="1:8" customFormat="1" x14ac:dyDescent="0.25">
      <c r="A14476" t="str">
        <f>"428968"</f>
        <v>428968</v>
      </c>
      <c r="B14476" t="s">
        <v>27341</v>
      </c>
      <c r="C14476" t="s">
        <v>169</v>
      </c>
      <c r="D14476" s="21" t="s">
        <v>34</v>
      </c>
      <c r="E14476" s="21" t="s">
        <v>71</v>
      </c>
      <c r="F14476">
        <v>1420070</v>
      </c>
      <c r="G14476" t="s">
        <v>27046</v>
      </c>
      <c r="H14476" s="21">
        <v>870.67</v>
      </c>
    </row>
    <row r="14477" spans="1:8" customFormat="1" x14ac:dyDescent="0.25">
      <c r="A14477" t="str">
        <f>"03539"</f>
        <v>03539</v>
      </c>
      <c r="B14477" t="s">
        <v>3743</v>
      </c>
      <c r="C14477" t="s">
        <v>415</v>
      </c>
      <c r="D14477" s="21" t="s">
        <v>34</v>
      </c>
      <c r="E14477" s="21" t="s">
        <v>254</v>
      </c>
      <c r="F14477">
        <v>1030108</v>
      </c>
      <c r="G14477" t="s">
        <v>26724</v>
      </c>
      <c r="H14477" s="21">
        <v>870.67</v>
      </c>
    </row>
    <row r="14478" spans="1:8" customFormat="1" x14ac:dyDescent="0.25">
      <c r="A14478" t="str">
        <f>"621864"</f>
        <v>621864</v>
      </c>
      <c r="B14478" t="s">
        <v>8209</v>
      </c>
      <c r="C14478" t="s">
        <v>1705</v>
      </c>
      <c r="D14478" s="21" t="s">
        <v>34</v>
      </c>
      <c r="E14478" s="21" t="s">
        <v>71</v>
      </c>
      <c r="F14478">
        <v>7620131</v>
      </c>
      <c r="G14478" t="s">
        <v>9562</v>
      </c>
      <c r="H14478" s="21">
        <v>870.67</v>
      </c>
    </row>
    <row r="14479" spans="1:8" customFormat="1" x14ac:dyDescent="0.25">
      <c r="A14479" t="str">
        <f>"402228"</f>
        <v>402228</v>
      </c>
      <c r="B14479" t="s">
        <v>12396</v>
      </c>
      <c r="C14479" t="s">
        <v>608</v>
      </c>
      <c r="D14479" s="21" t="s">
        <v>34</v>
      </c>
      <c r="E14479" s="21" t="s">
        <v>71</v>
      </c>
      <c r="F14479">
        <v>10400003</v>
      </c>
      <c r="G14479" t="s">
        <v>5110</v>
      </c>
      <c r="H14479" s="21">
        <v>870.67</v>
      </c>
    </row>
    <row r="14480" spans="1:8" customFormat="1" x14ac:dyDescent="0.25">
      <c r="A14480" t="str">
        <f>"823397"</f>
        <v>823397</v>
      </c>
      <c r="B14480" t="s">
        <v>14668</v>
      </c>
      <c r="C14480" t="s">
        <v>198</v>
      </c>
      <c r="D14480" s="21" t="s">
        <v>34</v>
      </c>
      <c r="E14480" s="21" t="s">
        <v>35</v>
      </c>
      <c r="F14480">
        <v>11820011</v>
      </c>
      <c r="G14480" t="s">
        <v>2611</v>
      </c>
      <c r="H14480" s="21">
        <v>870.67</v>
      </c>
    </row>
    <row r="14481" spans="1:8" customFormat="1" x14ac:dyDescent="0.25">
      <c r="A14481" t="str">
        <f>"5929284"</f>
        <v>5929284</v>
      </c>
      <c r="B14481" t="s">
        <v>13043</v>
      </c>
      <c r="C14481" t="s">
        <v>169</v>
      </c>
      <c r="D14481" s="21" t="s">
        <v>34</v>
      </c>
      <c r="E14481" s="21" t="s">
        <v>71</v>
      </c>
      <c r="F14481">
        <v>7590099</v>
      </c>
      <c r="G14481" t="s">
        <v>5792</v>
      </c>
      <c r="H14481" s="21">
        <v>870.67</v>
      </c>
    </row>
    <row r="14482" spans="1:8" customFormat="1" x14ac:dyDescent="0.25">
      <c r="A14482" t="str">
        <f>"883312"</f>
        <v>883312</v>
      </c>
      <c r="B14482" t="s">
        <v>8208</v>
      </c>
      <c r="C14482" t="s">
        <v>2529</v>
      </c>
      <c r="D14482" s="21" t="s">
        <v>34</v>
      </c>
      <c r="E14482" s="21" t="s">
        <v>71</v>
      </c>
      <c r="F14482">
        <v>6880123</v>
      </c>
      <c r="G14482" t="s">
        <v>527</v>
      </c>
      <c r="H14482" s="21">
        <v>870.67</v>
      </c>
    </row>
    <row r="14483" spans="1:8" customFormat="1" x14ac:dyDescent="0.25">
      <c r="A14483" t="str">
        <f>"6227850"</f>
        <v>6227850</v>
      </c>
      <c r="B14483" t="s">
        <v>7398</v>
      </c>
      <c r="C14483" t="s">
        <v>40</v>
      </c>
      <c r="D14483" s="21" t="s">
        <v>34</v>
      </c>
      <c r="E14483" s="21" t="s">
        <v>71</v>
      </c>
      <c r="F14483">
        <v>7620002</v>
      </c>
      <c r="G14483" t="s">
        <v>11925</v>
      </c>
      <c r="H14483" s="21">
        <v>870.54</v>
      </c>
    </row>
    <row r="14484" spans="1:8" customFormat="1" x14ac:dyDescent="0.25">
      <c r="A14484" t="str">
        <f>"939292"</f>
        <v>939292</v>
      </c>
      <c r="B14484" t="s">
        <v>15534</v>
      </c>
      <c r="C14484" t="s">
        <v>233</v>
      </c>
      <c r="D14484" s="21" t="s">
        <v>34</v>
      </c>
      <c r="E14484" s="21" t="s">
        <v>71</v>
      </c>
      <c r="F14484">
        <v>8930430</v>
      </c>
      <c r="G14484" t="s">
        <v>995</v>
      </c>
      <c r="H14484" s="21">
        <v>870.54</v>
      </c>
    </row>
    <row r="14485" spans="1:8" customFormat="1" x14ac:dyDescent="0.25">
      <c r="A14485" t="str">
        <f>"3419883"</f>
        <v>3419883</v>
      </c>
      <c r="B14485" t="s">
        <v>12135</v>
      </c>
      <c r="C14485" t="s">
        <v>10656</v>
      </c>
      <c r="D14485" s="21" t="s">
        <v>34</v>
      </c>
      <c r="E14485" s="21" t="s">
        <v>254</v>
      </c>
      <c r="F14485">
        <v>11300010</v>
      </c>
      <c r="G14485" t="s">
        <v>6282</v>
      </c>
      <c r="H14485" s="21">
        <v>870.42</v>
      </c>
    </row>
    <row r="14486" spans="1:8" customFormat="1" x14ac:dyDescent="0.25">
      <c r="A14486" t="str">
        <f>"9135704"</f>
        <v>9135704</v>
      </c>
      <c r="B14486" t="s">
        <v>10744</v>
      </c>
      <c r="C14486" t="s">
        <v>1025</v>
      </c>
      <c r="D14486" s="21" t="s">
        <v>34</v>
      </c>
      <c r="E14486" s="21" t="s">
        <v>35</v>
      </c>
      <c r="F14486">
        <v>3560049</v>
      </c>
      <c r="G14486" t="s">
        <v>8021</v>
      </c>
      <c r="H14486" s="21">
        <v>870.42</v>
      </c>
    </row>
    <row r="14487" spans="1:8" customFormat="1" x14ac:dyDescent="0.25">
      <c r="A14487" t="str">
        <f>"7723312"</f>
        <v>7723312</v>
      </c>
      <c r="B14487" t="s">
        <v>14982</v>
      </c>
      <c r="C14487" t="s">
        <v>3456</v>
      </c>
      <c r="D14487" s="21" t="s">
        <v>34</v>
      </c>
      <c r="E14487" s="21" t="s">
        <v>35</v>
      </c>
      <c r="F14487">
        <v>8770237</v>
      </c>
      <c r="G14487" t="s">
        <v>128</v>
      </c>
      <c r="H14487" s="21">
        <v>870.42</v>
      </c>
    </row>
    <row r="14488" spans="1:8" customFormat="1" x14ac:dyDescent="0.25">
      <c r="A14488" t="str">
        <f>"843931"</f>
        <v>843931</v>
      </c>
      <c r="B14488" t="s">
        <v>14115</v>
      </c>
      <c r="C14488" t="s">
        <v>55</v>
      </c>
      <c r="D14488" s="21" t="s">
        <v>34</v>
      </c>
      <c r="E14488" s="21" t="s">
        <v>35</v>
      </c>
      <c r="F14488">
        <v>13840012</v>
      </c>
      <c r="G14488" t="s">
        <v>5143</v>
      </c>
      <c r="H14488" s="21">
        <v>870.29</v>
      </c>
    </row>
    <row r="14489" spans="1:8" customFormat="1" x14ac:dyDescent="0.25">
      <c r="A14489" t="str">
        <f>"759548"</f>
        <v>759548</v>
      </c>
      <c r="B14489" t="s">
        <v>11977</v>
      </c>
      <c r="C14489" t="s">
        <v>1675</v>
      </c>
      <c r="D14489" s="21" t="s">
        <v>34</v>
      </c>
      <c r="E14489" s="21" t="s">
        <v>35</v>
      </c>
      <c r="F14489">
        <v>8920389</v>
      </c>
      <c r="G14489" t="s">
        <v>1739</v>
      </c>
      <c r="H14489" s="21">
        <v>870.29</v>
      </c>
    </row>
    <row r="14490" spans="1:8" customFormat="1" x14ac:dyDescent="0.25">
      <c r="A14490" t="str">
        <f>"2923810"</f>
        <v>2923810</v>
      </c>
      <c r="B14490" t="s">
        <v>8435</v>
      </c>
      <c r="C14490" t="s">
        <v>269</v>
      </c>
      <c r="D14490" s="21" t="s">
        <v>34</v>
      </c>
      <c r="E14490" s="21" t="s">
        <v>35</v>
      </c>
      <c r="F14490">
        <v>3220047</v>
      </c>
      <c r="G14490" t="s">
        <v>131</v>
      </c>
      <c r="H14490" s="21">
        <v>870.29</v>
      </c>
    </row>
    <row r="14491" spans="1:8" customFormat="1" x14ac:dyDescent="0.25">
      <c r="A14491" t="str">
        <f>"5620976"</f>
        <v>5620976</v>
      </c>
      <c r="B14491" t="s">
        <v>10891</v>
      </c>
      <c r="C14491" t="s">
        <v>484</v>
      </c>
      <c r="D14491" s="21" t="s">
        <v>34</v>
      </c>
      <c r="E14491" s="21" t="s">
        <v>35</v>
      </c>
      <c r="F14491">
        <v>3560091</v>
      </c>
      <c r="G14491" t="s">
        <v>27212</v>
      </c>
      <c r="H14491" s="21">
        <v>870.29</v>
      </c>
    </row>
    <row r="14492" spans="1:8" customFormat="1" x14ac:dyDescent="0.25">
      <c r="A14492" t="str">
        <f>"5969023"</f>
        <v>5969023</v>
      </c>
      <c r="B14492" t="s">
        <v>5011</v>
      </c>
      <c r="C14492" t="s">
        <v>269</v>
      </c>
      <c r="D14492" s="21" t="s">
        <v>34</v>
      </c>
      <c r="E14492" s="21" t="s">
        <v>71</v>
      </c>
      <c r="F14492">
        <v>7590231</v>
      </c>
      <c r="G14492" t="s">
        <v>207</v>
      </c>
      <c r="H14492" s="21">
        <v>870.17</v>
      </c>
    </row>
    <row r="14493" spans="1:8" customFormat="1" x14ac:dyDescent="0.25">
      <c r="A14493" t="str">
        <f>"319920"</f>
        <v>319920</v>
      </c>
      <c r="B14493" t="s">
        <v>8432</v>
      </c>
      <c r="C14493" t="s">
        <v>87</v>
      </c>
      <c r="D14493" s="21" t="s">
        <v>34</v>
      </c>
      <c r="E14493" s="21" t="s">
        <v>35</v>
      </c>
      <c r="F14493">
        <v>11310075</v>
      </c>
      <c r="G14493" t="s">
        <v>2531</v>
      </c>
      <c r="H14493" s="21">
        <v>870.17</v>
      </c>
    </row>
    <row r="14494" spans="1:8" customFormat="1" x14ac:dyDescent="0.25">
      <c r="A14494" t="str">
        <f>"1314780"</f>
        <v>1314780</v>
      </c>
      <c r="B14494" t="s">
        <v>14228</v>
      </c>
      <c r="C14494" t="s">
        <v>55</v>
      </c>
      <c r="D14494" s="21" t="s">
        <v>34</v>
      </c>
      <c r="E14494" s="21" t="s">
        <v>71</v>
      </c>
      <c r="F14494">
        <v>13130138</v>
      </c>
      <c r="G14494" t="s">
        <v>5409</v>
      </c>
      <c r="H14494" s="21">
        <v>870.17</v>
      </c>
    </row>
    <row r="14495" spans="1:8" customFormat="1" x14ac:dyDescent="0.25">
      <c r="A14495" t="str">
        <f>"3821296"</f>
        <v>3821296</v>
      </c>
      <c r="B14495" t="s">
        <v>12470</v>
      </c>
      <c r="C14495" t="s">
        <v>119</v>
      </c>
      <c r="D14495" s="21" t="s">
        <v>34</v>
      </c>
      <c r="E14495" s="21" t="s">
        <v>71</v>
      </c>
      <c r="F14495">
        <v>1380275</v>
      </c>
      <c r="G14495" t="s">
        <v>8042</v>
      </c>
      <c r="H14495" s="21">
        <v>870.17</v>
      </c>
    </row>
    <row r="14496" spans="1:8" customFormat="1" x14ac:dyDescent="0.25">
      <c r="A14496" t="str">
        <f>"5935399"</f>
        <v>5935399</v>
      </c>
      <c r="B14496" t="s">
        <v>12235</v>
      </c>
      <c r="C14496" t="s">
        <v>263</v>
      </c>
      <c r="D14496" s="21" t="s">
        <v>34</v>
      </c>
      <c r="E14496" s="21" t="s">
        <v>71</v>
      </c>
      <c r="F14496">
        <v>7590151</v>
      </c>
      <c r="G14496" t="s">
        <v>12236</v>
      </c>
      <c r="H14496" s="21">
        <v>870.17</v>
      </c>
    </row>
    <row r="14497" spans="1:8" customFormat="1" x14ac:dyDescent="0.25">
      <c r="A14497" t="str">
        <f>"5946045"</f>
        <v>5946045</v>
      </c>
      <c r="B14497" t="s">
        <v>12522</v>
      </c>
      <c r="C14497" t="s">
        <v>1142</v>
      </c>
      <c r="D14497" s="21" t="s">
        <v>34</v>
      </c>
      <c r="E14497" s="21" t="s">
        <v>71</v>
      </c>
      <c r="F14497">
        <v>7590113</v>
      </c>
      <c r="G14497" t="s">
        <v>7808</v>
      </c>
      <c r="H14497" s="21">
        <v>870.17</v>
      </c>
    </row>
    <row r="14498" spans="1:8" customFormat="1" x14ac:dyDescent="0.25">
      <c r="A14498" t="str">
        <f>"8523627"</f>
        <v>8523627</v>
      </c>
      <c r="B14498" t="s">
        <v>13726</v>
      </c>
      <c r="C14498" t="s">
        <v>58</v>
      </c>
      <c r="D14498" s="21" t="s">
        <v>34</v>
      </c>
      <c r="E14498" s="21" t="s">
        <v>35</v>
      </c>
      <c r="F14498">
        <v>12850170</v>
      </c>
      <c r="G14498" t="s">
        <v>3349</v>
      </c>
      <c r="H14498" s="21">
        <v>870.17</v>
      </c>
    </row>
    <row r="14499" spans="1:8" customFormat="1" x14ac:dyDescent="0.25">
      <c r="A14499" t="str">
        <f>"6712154"</f>
        <v>6712154</v>
      </c>
      <c r="B14499" t="s">
        <v>13716</v>
      </c>
      <c r="C14499" t="s">
        <v>13717</v>
      </c>
      <c r="D14499" s="21" t="s">
        <v>34</v>
      </c>
      <c r="E14499" s="21" t="s">
        <v>71</v>
      </c>
      <c r="F14499">
        <v>6670261</v>
      </c>
      <c r="G14499" t="s">
        <v>4621</v>
      </c>
      <c r="H14499" s="21">
        <v>870.17</v>
      </c>
    </row>
    <row r="14500" spans="1:8" customFormat="1" x14ac:dyDescent="0.25">
      <c r="A14500" t="str">
        <f>"1715524"</f>
        <v>1715524</v>
      </c>
      <c r="B14500" t="s">
        <v>9228</v>
      </c>
      <c r="C14500" t="s">
        <v>305</v>
      </c>
      <c r="D14500" s="21" t="s">
        <v>34</v>
      </c>
      <c r="E14500" s="21" t="s">
        <v>35</v>
      </c>
      <c r="F14500">
        <v>10170162</v>
      </c>
      <c r="G14500" t="s">
        <v>2817</v>
      </c>
      <c r="H14500" s="21">
        <v>870.17</v>
      </c>
    </row>
    <row r="14501" spans="1:8" customFormat="1" x14ac:dyDescent="0.25">
      <c r="A14501" t="str">
        <f>"626711"</f>
        <v>626711</v>
      </c>
      <c r="B14501" t="s">
        <v>27342</v>
      </c>
      <c r="C14501" t="s">
        <v>121</v>
      </c>
      <c r="D14501" s="21" t="s">
        <v>34</v>
      </c>
      <c r="E14501" s="21" t="s">
        <v>35</v>
      </c>
      <c r="F14501">
        <v>7620077</v>
      </c>
      <c r="G14501" t="s">
        <v>4131</v>
      </c>
      <c r="H14501" s="21">
        <v>870.17</v>
      </c>
    </row>
    <row r="14502" spans="1:8" customFormat="1" x14ac:dyDescent="0.25">
      <c r="A14502" t="str">
        <f>"4519833"</f>
        <v>4519833</v>
      </c>
      <c r="B14502" t="s">
        <v>27343</v>
      </c>
      <c r="C14502" t="s">
        <v>169</v>
      </c>
      <c r="D14502" s="21" t="s">
        <v>34</v>
      </c>
      <c r="E14502" s="21" t="s">
        <v>35</v>
      </c>
      <c r="F14502">
        <v>4450759</v>
      </c>
      <c r="G14502" t="s">
        <v>6587</v>
      </c>
      <c r="H14502" s="21">
        <v>870.17</v>
      </c>
    </row>
    <row r="14503" spans="1:8" customFormat="1" x14ac:dyDescent="0.25">
      <c r="A14503" t="str">
        <f>"493624"</f>
        <v>493624</v>
      </c>
      <c r="B14503" t="s">
        <v>13030</v>
      </c>
      <c r="C14503" t="s">
        <v>13031</v>
      </c>
      <c r="D14503" s="21" t="s">
        <v>34</v>
      </c>
      <c r="E14503" s="21" t="s">
        <v>254</v>
      </c>
      <c r="F14503">
        <v>12490080</v>
      </c>
      <c r="G14503" t="s">
        <v>5692</v>
      </c>
      <c r="H14503" s="21">
        <v>870.17</v>
      </c>
    </row>
    <row r="14504" spans="1:8" customFormat="1" x14ac:dyDescent="0.25">
      <c r="A14504" t="str">
        <f>"51437"</f>
        <v>51437</v>
      </c>
      <c r="B14504" t="s">
        <v>13315</v>
      </c>
      <c r="C14504" t="s">
        <v>263</v>
      </c>
      <c r="D14504" s="21" t="s">
        <v>34</v>
      </c>
      <c r="E14504" s="21" t="s">
        <v>71</v>
      </c>
      <c r="F14504">
        <v>6510004</v>
      </c>
      <c r="G14504" t="s">
        <v>9465</v>
      </c>
      <c r="H14504" s="21">
        <v>870.17</v>
      </c>
    </row>
    <row r="14505" spans="1:8" customFormat="1" x14ac:dyDescent="0.25">
      <c r="A14505" t="str">
        <f>"83107"</f>
        <v>83107</v>
      </c>
      <c r="B14505" t="s">
        <v>11535</v>
      </c>
      <c r="C14505" t="s">
        <v>40</v>
      </c>
      <c r="D14505" s="21" t="s">
        <v>34</v>
      </c>
      <c r="E14505" s="21" t="s">
        <v>254</v>
      </c>
      <c r="F14505">
        <v>13830083</v>
      </c>
      <c r="G14505" t="s">
        <v>2159</v>
      </c>
      <c r="H14505" s="21">
        <v>870.17</v>
      </c>
    </row>
    <row r="14506" spans="1:8" customFormat="1" x14ac:dyDescent="0.25">
      <c r="A14506" t="str">
        <f>"833786"</f>
        <v>833786</v>
      </c>
      <c r="B14506" t="s">
        <v>392</v>
      </c>
      <c r="C14506" t="s">
        <v>598</v>
      </c>
      <c r="D14506" s="21" t="s">
        <v>34</v>
      </c>
      <c r="E14506" s="21" t="s">
        <v>254</v>
      </c>
      <c r="F14506">
        <v>13830031</v>
      </c>
      <c r="G14506" t="s">
        <v>8301</v>
      </c>
      <c r="H14506" s="21">
        <v>870.17</v>
      </c>
    </row>
    <row r="14507" spans="1:8" customFormat="1" x14ac:dyDescent="0.25">
      <c r="A14507" t="str">
        <f>"7711333"</f>
        <v>7711333</v>
      </c>
      <c r="B14507" t="s">
        <v>12970</v>
      </c>
      <c r="C14507" t="s">
        <v>269</v>
      </c>
      <c r="D14507" s="21" t="s">
        <v>34</v>
      </c>
      <c r="E14507" s="21" t="s">
        <v>71</v>
      </c>
      <c r="F14507">
        <v>3220128</v>
      </c>
      <c r="G14507" t="s">
        <v>26938</v>
      </c>
      <c r="H14507" s="21">
        <v>870.17</v>
      </c>
    </row>
    <row r="14508" spans="1:8" customFormat="1" x14ac:dyDescent="0.25">
      <c r="A14508" t="str">
        <f>"5316781"</f>
        <v>5316781</v>
      </c>
      <c r="B14508" t="s">
        <v>9875</v>
      </c>
      <c r="C14508" t="s">
        <v>147</v>
      </c>
      <c r="D14508" s="21" t="s">
        <v>34</v>
      </c>
      <c r="E14508" s="21" t="s">
        <v>35</v>
      </c>
      <c r="F14508">
        <v>12530117</v>
      </c>
      <c r="G14508" t="s">
        <v>1209</v>
      </c>
      <c r="H14508" s="21">
        <v>870.17</v>
      </c>
    </row>
    <row r="14509" spans="1:8" customFormat="1" x14ac:dyDescent="0.25">
      <c r="A14509" t="str">
        <f>"297700"</f>
        <v>297700</v>
      </c>
      <c r="B14509" t="s">
        <v>7428</v>
      </c>
      <c r="C14509" t="s">
        <v>253</v>
      </c>
      <c r="D14509" s="21" t="s">
        <v>34</v>
      </c>
      <c r="E14509" s="21" t="s">
        <v>71</v>
      </c>
      <c r="F14509">
        <v>3290262</v>
      </c>
      <c r="G14509" t="s">
        <v>1139</v>
      </c>
      <c r="H14509" s="21">
        <v>870.17</v>
      </c>
    </row>
    <row r="14510" spans="1:8" customFormat="1" x14ac:dyDescent="0.25">
      <c r="A14510" t="str">
        <f>"271954"</f>
        <v>271954</v>
      </c>
      <c r="B14510" t="s">
        <v>13938</v>
      </c>
      <c r="C14510" t="s">
        <v>608</v>
      </c>
      <c r="D14510" s="21" t="s">
        <v>34</v>
      </c>
      <c r="E14510" s="21" t="s">
        <v>254</v>
      </c>
      <c r="F14510">
        <v>9270152</v>
      </c>
      <c r="G14510" t="s">
        <v>1985</v>
      </c>
      <c r="H14510" s="21">
        <v>870.17</v>
      </c>
    </row>
    <row r="14511" spans="1:8" customFormat="1" x14ac:dyDescent="0.25">
      <c r="A14511" t="str">
        <f>"5315338"</f>
        <v>5315338</v>
      </c>
      <c r="B14511" t="s">
        <v>14929</v>
      </c>
      <c r="C14511" t="s">
        <v>169</v>
      </c>
      <c r="D14511" s="21" t="s">
        <v>34</v>
      </c>
      <c r="E14511" s="21" t="s">
        <v>254</v>
      </c>
      <c r="F14511">
        <v>12530010</v>
      </c>
      <c r="G14511" t="s">
        <v>7994</v>
      </c>
      <c r="H14511" s="21">
        <v>870.04</v>
      </c>
    </row>
    <row r="14512" spans="1:8" customFormat="1" x14ac:dyDescent="0.25">
      <c r="A14512" t="str">
        <f>"7222065"</f>
        <v>7222065</v>
      </c>
      <c r="B14512" t="s">
        <v>4097</v>
      </c>
      <c r="C14512" t="s">
        <v>269</v>
      </c>
      <c r="D14512" s="21" t="s">
        <v>34</v>
      </c>
      <c r="E14512" s="21" t="s">
        <v>71</v>
      </c>
      <c r="F14512">
        <v>12720020</v>
      </c>
      <c r="G14512" t="s">
        <v>8402</v>
      </c>
      <c r="H14512" s="21">
        <v>869.92</v>
      </c>
    </row>
    <row r="14513" spans="1:8" customFormat="1" x14ac:dyDescent="0.25">
      <c r="A14513" t="str">
        <f>"1310015"</f>
        <v>1310015</v>
      </c>
      <c r="B14513" t="s">
        <v>12874</v>
      </c>
      <c r="C14513" t="s">
        <v>7740</v>
      </c>
      <c r="D14513" s="21" t="s">
        <v>34</v>
      </c>
      <c r="E14513" s="21" t="s">
        <v>71</v>
      </c>
      <c r="F14513">
        <v>13840028</v>
      </c>
      <c r="G14513" t="s">
        <v>4139</v>
      </c>
      <c r="H14513" s="21">
        <v>869.92</v>
      </c>
    </row>
    <row r="14514" spans="1:8" customFormat="1" x14ac:dyDescent="0.25">
      <c r="A14514" t="str">
        <f>"087187"</f>
        <v>087187</v>
      </c>
      <c r="B14514" t="s">
        <v>3576</v>
      </c>
      <c r="C14514" t="s">
        <v>249</v>
      </c>
      <c r="D14514" s="21" t="s">
        <v>34</v>
      </c>
      <c r="E14514" s="21" t="s">
        <v>71</v>
      </c>
      <c r="F14514">
        <v>6080017</v>
      </c>
      <c r="G14514" t="s">
        <v>5023</v>
      </c>
      <c r="H14514" s="21">
        <v>869.92</v>
      </c>
    </row>
    <row r="14515" spans="1:8" customFormat="1" x14ac:dyDescent="0.25">
      <c r="A14515" t="str">
        <f>"88153"</f>
        <v>88153</v>
      </c>
      <c r="B14515" t="s">
        <v>13845</v>
      </c>
      <c r="C14515" t="s">
        <v>462</v>
      </c>
      <c r="D14515" s="21" t="s">
        <v>34</v>
      </c>
      <c r="E14515" s="21" t="s">
        <v>35</v>
      </c>
      <c r="F14515">
        <v>5980003</v>
      </c>
      <c r="G14515" t="s">
        <v>1746</v>
      </c>
      <c r="H14515" s="21">
        <v>869.79</v>
      </c>
    </row>
    <row r="14516" spans="1:8" customFormat="1" x14ac:dyDescent="0.25">
      <c r="A14516" t="str">
        <f>"3529945"</f>
        <v>3529945</v>
      </c>
      <c r="B14516" t="s">
        <v>13754</v>
      </c>
      <c r="C14516" t="s">
        <v>249</v>
      </c>
      <c r="D14516" s="21" t="s">
        <v>34</v>
      </c>
      <c r="E14516" s="21" t="s">
        <v>35</v>
      </c>
      <c r="F14516">
        <v>3350095</v>
      </c>
      <c r="G14516" t="s">
        <v>5813</v>
      </c>
      <c r="H14516" s="21">
        <v>869.67</v>
      </c>
    </row>
    <row r="14517" spans="1:8" customFormat="1" x14ac:dyDescent="0.25">
      <c r="A14517" t="str">
        <f>"7623480"</f>
        <v>7623480</v>
      </c>
      <c r="B14517" t="s">
        <v>8887</v>
      </c>
      <c r="C14517" t="s">
        <v>988</v>
      </c>
      <c r="D14517" s="21" t="s">
        <v>34</v>
      </c>
      <c r="E14517" s="21" t="s">
        <v>35</v>
      </c>
      <c r="F14517">
        <v>9270095</v>
      </c>
      <c r="G14517" t="s">
        <v>1681</v>
      </c>
      <c r="H14517" s="21">
        <v>869.67</v>
      </c>
    </row>
    <row r="14518" spans="1:8" customFormat="1" x14ac:dyDescent="0.25">
      <c r="A14518" t="str">
        <f>"4428724"</f>
        <v>4428724</v>
      </c>
      <c r="B14518" t="s">
        <v>6280</v>
      </c>
      <c r="C14518" t="s">
        <v>204</v>
      </c>
      <c r="D14518" s="21" t="s">
        <v>34</v>
      </c>
      <c r="E14518" s="21" t="s">
        <v>35</v>
      </c>
      <c r="F14518">
        <v>10170158</v>
      </c>
      <c r="G14518" t="s">
        <v>1262</v>
      </c>
      <c r="H14518" s="21">
        <v>869.67</v>
      </c>
    </row>
    <row r="14519" spans="1:8" customFormat="1" x14ac:dyDescent="0.25">
      <c r="A14519" t="str">
        <f>"3824291"</f>
        <v>3824291</v>
      </c>
      <c r="B14519" t="s">
        <v>14970</v>
      </c>
      <c r="C14519" t="s">
        <v>169</v>
      </c>
      <c r="D14519" s="21" t="s">
        <v>34</v>
      </c>
      <c r="E14519" s="21" t="s">
        <v>71</v>
      </c>
      <c r="F14519">
        <v>1380005</v>
      </c>
      <c r="G14519" t="s">
        <v>3119</v>
      </c>
      <c r="H14519" s="21">
        <v>869.67</v>
      </c>
    </row>
    <row r="14520" spans="1:8" customFormat="1" x14ac:dyDescent="0.25">
      <c r="A14520" t="str">
        <f>"633363"</f>
        <v>633363</v>
      </c>
      <c r="B14520" t="s">
        <v>9799</v>
      </c>
      <c r="C14520" t="s">
        <v>12109</v>
      </c>
      <c r="D14520" s="21" t="s">
        <v>34</v>
      </c>
      <c r="E14520" s="21" t="s">
        <v>35</v>
      </c>
      <c r="F14520">
        <v>1630078</v>
      </c>
      <c r="G14520" t="s">
        <v>326</v>
      </c>
      <c r="H14520" s="21">
        <v>869.67</v>
      </c>
    </row>
    <row r="14521" spans="1:8" customFormat="1" x14ac:dyDescent="0.25">
      <c r="A14521" t="str">
        <f>"5942402"</f>
        <v>5942402</v>
      </c>
      <c r="B14521" t="s">
        <v>1885</v>
      </c>
      <c r="C14521" t="s">
        <v>33</v>
      </c>
      <c r="D14521" s="21" t="s">
        <v>34</v>
      </c>
      <c r="E14521" s="21" t="s">
        <v>35</v>
      </c>
      <c r="F14521">
        <v>7590411</v>
      </c>
      <c r="G14521" t="s">
        <v>4036</v>
      </c>
      <c r="H14521" s="21">
        <v>869.67</v>
      </c>
    </row>
    <row r="14522" spans="1:8" customFormat="1" x14ac:dyDescent="0.25">
      <c r="A14522" t="str">
        <f>"211962"</f>
        <v>211962</v>
      </c>
      <c r="B14522" t="s">
        <v>13249</v>
      </c>
      <c r="C14522" t="s">
        <v>598</v>
      </c>
      <c r="D14522" s="21" t="s">
        <v>34</v>
      </c>
      <c r="E14522" s="21" t="s">
        <v>254</v>
      </c>
      <c r="F14522">
        <v>2210029</v>
      </c>
      <c r="G14522" t="s">
        <v>6983</v>
      </c>
      <c r="H14522" s="21">
        <v>869.67</v>
      </c>
    </row>
    <row r="14523" spans="1:8" customFormat="1" x14ac:dyDescent="0.25">
      <c r="A14523" t="str">
        <f>"028283"</f>
        <v>028283</v>
      </c>
      <c r="B14523" t="s">
        <v>12911</v>
      </c>
      <c r="C14523" t="s">
        <v>65</v>
      </c>
      <c r="D14523" s="21" t="s">
        <v>34</v>
      </c>
      <c r="E14523" s="21" t="s">
        <v>71</v>
      </c>
      <c r="F14523">
        <v>6080035</v>
      </c>
      <c r="G14523" t="s">
        <v>583</v>
      </c>
      <c r="H14523" s="21">
        <v>869.67</v>
      </c>
    </row>
    <row r="14524" spans="1:8" customFormat="1" x14ac:dyDescent="0.25">
      <c r="A14524" t="str">
        <f>"2920245"</f>
        <v>2920245</v>
      </c>
      <c r="B14524" t="s">
        <v>12952</v>
      </c>
      <c r="C14524" t="s">
        <v>55</v>
      </c>
      <c r="D14524" s="21" t="s">
        <v>34</v>
      </c>
      <c r="E14524" s="21" t="s">
        <v>71</v>
      </c>
      <c r="F14524">
        <v>3290018</v>
      </c>
      <c r="G14524" t="s">
        <v>1706</v>
      </c>
      <c r="H14524" s="21">
        <v>869.67</v>
      </c>
    </row>
    <row r="14525" spans="1:8" customFormat="1" x14ac:dyDescent="0.25">
      <c r="A14525" t="str">
        <f>"90380"</f>
        <v>90380</v>
      </c>
      <c r="B14525" t="s">
        <v>520</v>
      </c>
      <c r="C14525" t="s">
        <v>412</v>
      </c>
      <c r="D14525" s="21" t="s">
        <v>34</v>
      </c>
      <c r="E14525" s="21" t="s">
        <v>254</v>
      </c>
      <c r="F14525">
        <v>2900023</v>
      </c>
      <c r="G14525" t="s">
        <v>4360</v>
      </c>
      <c r="H14525" s="21">
        <v>869.67</v>
      </c>
    </row>
    <row r="14526" spans="1:8" customFormat="1" x14ac:dyDescent="0.25">
      <c r="A14526" t="str">
        <f>"6231410"</f>
        <v>6231410</v>
      </c>
      <c r="B14526" t="s">
        <v>14831</v>
      </c>
      <c r="C14526" t="s">
        <v>249</v>
      </c>
      <c r="D14526" s="21" t="s">
        <v>34</v>
      </c>
      <c r="E14526" s="21" t="s">
        <v>35</v>
      </c>
      <c r="F14526">
        <v>7620017</v>
      </c>
      <c r="G14526" t="s">
        <v>6559</v>
      </c>
      <c r="H14526" s="21">
        <v>869.67</v>
      </c>
    </row>
    <row r="14527" spans="1:8" customFormat="1" x14ac:dyDescent="0.25">
      <c r="A14527" t="str">
        <f>"7759"</f>
        <v>7759</v>
      </c>
      <c r="B14527" t="s">
        <v>213</v>
      </c>
      <c r="C14527" t="s">
        <v>171</v>
      </c>
      <c r="D14527" s="21" t="s">
        <v>34</v>
      </c>
      <c r="E14527" s="21" t="s">
        <v>1089</v>
      </c>
      <c r="F14527">
        <v>8770135</v>
      </c>
      <c r="G14527" t="s">
        <v>26830</v>
      </c>
      <c r="H14527" s="21">
        <v>869.67</v>
      </c>
    </row>
    <row r="14528" spans="1:8" customFormat="1" x14ac:dyDescent="0.25">
      <c r="A14528" t="str">
        <f>"9516860"</f>
        <v>9516860</v>
      </c>
      <c r="B14528" t="s">
        <v>11999</v>
      </c>
      <c r="C14528" t="s">
        <v>236</v>
      </c>
      <c r="D14528" s="21" t="s">
        <v>34</v>
      </c>
      <c r="E14528" s="21" t="s">
        <v>254</v>
      </c>
      <c r="F14528">
        <v>8950262</v>
      </c>
      <c r="G14528" t="s">
        <v>1881</v>
      </c>
      <c r="H14528" s="21">
        <v>869.67</v>
      </c>
    </row>
    <row r="14529" spans="1:8" customFormat="1" x14ac:dyDescent="0.25">
      <c r="A14529" t="str">
        <f>"0210918"</f>
        <v>0210918</v>
      </c>
      <c r="B14529" t="s">
        <v>12778</v>
      </c>
      <c r="C14529" t="s">
        <v>37</v>
      </c>
      <c r="D14529" s="21" t="s">
        <v>34</v>
      </c>
      <c r="E14529" s="21" t="s">
        <v>35</v>
      </c>
      <c r="F14529">
        <v>7020024</v>
      </c>
      <c r="G14529" t="s">
        <v>4860</v>
      </c>
      <c r="H14529" s="21">
        <v>869.67</v>
      </c>
    </row>
    <row r="14530" spans="1:8" customFormat="1" x14ac:dyDescent="0.25">
      <c r="A14530" t="str">
        <f>"9454976"</f>
        <v>9454976</v>
      </c>
      <c r="B14530" t="s">
        <v>6085</v>
      </c>
      <c r="C14530" t="s">
        <v>60</v>
      </c>
      <c r="D14530" s="21" t="s">
        <v>34</v>
      </c>
      <c r="E14530" s="21" t="s">
        <v>35</v>
      </c>
      <c r="F14530">
        <v>8940448</v>
      </c>
      <c r="G14530" t="s">
        <v>1691</v>
      </c>
      <c r="H14530" s="21">
        <v>869.54</v>
      </c>
    </row>
    <row r="14531" spans="1:8" customFormat="1" x14ac:dyDescent="0.25">
      <c r="A14531" t="str">
        <f>"5616577"</f>
        <v>5616577</v>
      </c>
      <c r="B14531" t="s">
        <v>13465</v>
      </c>
      <c r="C14531" t="s">
        <v>55</v>
      </c>
      <c r="D14531" s="21" t="s">
        <v>34</v>
      </c>
      <c r="E14531" s="21" t="s">
        <v>35</v>
      </c>
      <c r="F14531">
        <v>3560014</v>
      </c>
      <c r="G14531" t="s">
        <v>8206</v>
      </c>
      <c r="H14531" s="21">
        <v>869.42</v>
      </c>
    </row>
    <row r="14532" spans="1:8" customFormat="1" x14ac:dyDescent="0.25">
      <c r="A14532" t="str">
        <f>"7519961"</f>
        <v>7519961</v>
      </c>
      <c r="B14532" t="s">
        <v>13631</v>
      </c>
      <c r="C14532" t="s">
        <v>40</v>
      </c>
      <c r="D14532" s="21" t="s">
        <v>34</v>
      </c>
      <c r="E14532" s="21" t="s">
        <v>71</v>
      </c>
      <c r="F14532">
        <v>8751271</v>
      </c>
      <c r="G14532" t="s">
        <v>1067</v>
      </c>
      <c r="H14532" s="21">
        <v>869.29</v>
      </c>
    </row>
    <row r="14533" spans="1:8" customFormat="1" x14ac:dyDescent="0.25">
      <c r="A14533" t="str">
        <f>"3336026"</f>
        <v>3336026</v>
      </c>
      <c r="B14533" t="s">
        <v>2243</v>
      </c>
      <c r="C14533" t="s">
        <v>528</v>
      </c>
      <c r="D14533" s="21" t="s">
        <v>34</v>
      </c>
      <c r="E14533" s="21" t="s">
        <v>35</v>
      </c>
      <c r="F14533">
        <v>10330037</v>
      </c>
      <c r="G14533" t="s">
        <v>5960</v>
      </c>
      <c r="H14533" s="21">
        <v>869.17</v>
      </c>
    </row>
    <row r="14534" spans="1:8" customFormat="1" x14ac:dyDescent="0.25">
      <c r="A14534" t="str">
        <f>"286911"</f>
        <v>286911</v>
      </c>
      <c r="B14534" t="s">
        <v>197</v>
      </c>
      <c r="C14534" t="s">
        <v>43</v>
      </c>
      <c r="D14534" s="21" t="s">
        <v>34</v>
      </c>
      <c r="E14534" s="21" t="s">
        <v>35</v>
      </c>
      <c r="F14534">
        <v>4280038</v>
      </c>
      <c r="G14534" t="s">
        <v>2526</v>
      </c>
      <c r="H14534" s="21">
        <v>869.17</v>
      </c>
    </row>
    <row r="14535" spans="1:8" customFormat="1" x14ac:dyDescent="0.25">
      <c r="A14535" t="str">
        <f>"891331"</f>
        <v>891331</v>
      </c>
      <c r="B14535" t="s">
        <v>12718</v>
      </c>
      <c r="C14535" t="s">
        <v>209</v>
      </c>
      <c r="D14535" s="21" t="s">
        <v>34</v>
      </c>
      <c r="E14535" s="21" t="s">
        <v>71</v>
      </c>
      <c r="F14535">
        <v>1690006</v>
      </c>
      <c r="G14535" t="s">
        <v>2543</v>
      </c>
      <c r="H14535" s="21">
        <v>869.17</v>
      </c>
    </row>
    <row r="14536" spans="1:8" customFormat="1" x14ac:dyDescent="0.25">
      <c r="A14536" t="str">
        <f>"5313235"</f>
        <v>5313235</v>
      </c>
      <c r="B14536" t="s">
        <v>11725</v>
      </c>
      <c r="C14536" t="s">
        <v>2907</v>
      </c>
      <c r="D14536" s="21" t="s">
        <v>34</v>
      </c>
      <c r="E14536" s="21" t="s">
        <v>71</v>
      </c>
      <c r="F14536">
        <v>12530033</v>
      </c>
      <c r="G14536" t="s">
        <v>10046</v>
      </c>
      <c r="H14536" s="21">
        <v>869.17</v>
      </c>
    </row>
    <row r="14537" spans="1:8" customFormat="1" x14ac:dyDescent="0.25">
      <c r="A14537" t="str">
        <f>"3710272"</f>
        <v>3710272</v>
      </c>
      <c r="B14537" t="s">
        <v>890</v>
      </c>
      <c r="C14537" t="s">
        <v>1605</v>
      </c>
      <c r="D14537" s="21" t="s">
        <v>34</v>
      </c>
      <c r="E14537" s="21" t="s">
        <v>71</v>
      </c>
      <c r="F14537">
        <v>4370549</v>
      </c>
      <c r="G14537" t="s">
        <v>5513</v>
      </c>
      <c r="H14537" s="21">
        <v>869.17</v>
      </c>
    </row>
    <row r="14538" spans="1:8" customFormat="1" x14ac:dyDescent="0.25">
      <c r="A14538" t="str">
        <f>"4453054"</f>
        <v>4453054</v>
      </c>
      <c r="B14538" t="s">
        <v>6691</v>
      </c>
      <c r="C14538" t="s">
        <v>2338</v>
      </c>
      <c r="D14538" s="21" t="s">
        <v>34</v>
      </c>
      <c r="E14538" s="21" t="s">
        <v>35</v>
      </c>
      <c r="F14538">
        <v>12440139</v>
      </c>
      <c r="G14538" t="s">
        <v>2655</v>
      </c>
      <c r="H14538" s="21">
        <v>869.17</v>
      </c>
    </row>
    <row r="14539" spans="1:8" customFormat="1" x14ac:dyDescent="0.25">
      <c r="A14539" t="str">
        <f>"2517032"</f>
        <v>2517032</v>
      </c>
      <c r="B14539" t="s">
        <v>1634</v>
      </c>
      <c r="C14539" t="s">
        <v>55</v>
      </c>
      <c r="D14539" s="21" t="s">
        <v>34</v>
      </c>
      <c r="E14539" s="21" t="s">
        <v>254</v>
      </c>
      <c r="F14539">
        <v>2250208</v>
      </c>
      <c r="G14539" t="s">
        <v>10923</v>
      </c>
      <c r="H14539" s="21">
        <v>869.17</v>
      </c>
    </row>
    <row r="14540" spans="1:8" customFormat="1" x14ac:dyDescent="0.25">
      <c r="A14540" t="str">
        <f>"671172"</f>
        <v>671172</v>
      </c>
      <c r="B14540" t="s">
        <v>11460</v>
      </c>
      <c r="C14540" t="s">
        <v>608</v>
      </c>
      <c r="D14540" s="21" t="s">
        <v>34</v>
      </c>
      <c r="E14540" s="21" t="s">
        <v>71</v>
      </c>
      <c r="F14540">
        <v>6670216</v>
      </c>
      <c r="G14540" t="s">
        <v>2194</v>
      </c>
      <c r="H14540" s="21">
        <v>869.17</v>
      </c>
    </row>
    <row r="14541" spans="1:8" customFormat="1" x14ac:dyDescent="0.25">
      <c r="A14541" t="str">
        <f>"5931913"</f>
        <v>5931913</v>
      </c>
      <c r="B14541" t="s">
        <v>13427</v>
      </c>
      <c r="C14541" t="s">
        <v>2907</v>
      </c>
      <c r="D14541" s="21" t="s">
        <v>34</v>
      </c>
      <c r="E14541" s="21" t="s">
        <v>71</v>
      </c>
      <c r="F14541">
        <v>7590223</v>
      </c>
      <c r="G14541" t="s">
        <v>5218</v>
      </c>
      <c r="H14541" s="21">
        <v>869.17</v>
      </c>
    </row>
    <row r="14542" spans="1:8" customFormat="1" x14ac:dyDescent="0.25">
      <c r="A14542" t="str">
        <f>"5910762"</f>
        <v>5910762</v>
      </c>
      <c r="B14542" t="s">
        <v>12958</v>
      </c>
      <c r="C14542" t="s">
        <v>598</v>
      </c>
      <c r="D14542" s="21" t="s">
        <v>34</v>
      </c>
      <c r="E14542" s="21" t="s">
        <v>254</v>
      </c>
      <c r="F14542">
        <v>7590137</v>
      </c>
      <c r="G14542" t="s">
        <v>4246</v>
      </c>
      <c r="H14542" s="21">
        <v>869.17</v>
      </c>
    </row>
    <row r="14543" spans="1:8" customFormat="1" x14ac:dyDescent="0.25">
      <c r="A14543" t="str">
        <f>"823914"</f>
        <v>823914</v>
      </c>
      <c r="B14543" t="s">
        <v>2711</v>
      </c>
      <c r="C14543" t="s">
        <v>62</v>
      </c>
      <c r="D14543" s="21" t="s">
        <v>34</v>
      </c>
      <c r="E14543" s="21" t="s">
        <v>35</v>
      </c>
      <c r="F14543">
        <v>11820034</v>
      </c>
      <c r="G14543" t="s">
        <v>4498</v>
      </c>
      <c r="H14543" s="21">
        <v>869.17</v>
      </c>
    </row>
    <row r="14544" spans="1:8" customFormat="1" x14ac:dyDescent="0.25">
      <c r="A14544" t="str">
        <f>"2932660"</f>
        <v>2932660</v>
      </c>
      <c r="B14544" t="s">
        <v>7544</v>
      </c>
      <c r="C14544" t="s">
        <v>598</v>
      </c>
      <c r="D14544" s="21" t="s">
        <v>34</v>
      </c>
      <c r="E14544" s="21" t="s">
        <v>71</v>
      </c>
      <c r="F14544">
        <v>3290014</v>
      </c>
      <c r="G14544" t="s">
        <v>10174</v>
      </c>
      <c r="H14544" s="21">
        <v>869.17</v>
      </c>
    </row>
    <row r="14545" spans="1:8" customFormat="1" x14ac:dyDescent="0.25">
      <c r="A14545" t="str">
        <f>"3519986"</f>
        <v>3519986</v>
      </c>
      <c r="B14545" t="s">
        <v>1030</v>
      </c>
      <c r="C14545" t="s">
        <v>253</v>
      </c>
      <c r="D14545" s="21" t="s">
        <v>34</v>
      </c>
      <c r="E14545" s="21" t="s">
        <v>71</v>
      </c>
      <c r="F14545">
        <v>3350021</v>
      </c>
      <c r="G14545" t="s">
        <v>1758</v>
      </c>
      <c r="H14545" s="21">
        <v>869.17</v>
      </c>
    </row>
    <row r="14546" spans="1:8" customFormat="1" x14ac:dyDescent="0.25">
      <c r="A14546" t="str">
        <f>"4516872"</f>
        <v>4516872</v>
      </c>
      <c r="B14546" t="s">
        <v>12796</v>
      </c>
      <c r="C14546" t="s">
        <v>379</v>
      </c>
      <c r="D14546" s="21" t="s">
        <v>34</v>
      </c>
      <c r="E14546" s="21" t="s">
        <v>71</v>
      </c>
      <c r="F14546">
        <v>4450561</v>
      </c>
      <c r="G14546" t="s">
        <v>10125</v>
      </c>
      <c r="H14546" s="21">
        <v>869.17</v>
      </c>
    </row>
    <row r="14547" spans="1:8" customFormat="1" x14ac:dyDescent="0.25">
      <c r="A14547" t="str">
        <f>"2814522"</f>
        <v>2814522</v>
      </c>
      <c r="B14547" t="s">
        <v>5543</v>
      </c>
      <c r="C14547" t="s">
        <v>121</v>
      </c>
      <c r="D14547" s="21" t="s">
        <v>34</v>
      </c>
      <c r="E14547" s="21" t="s">
        <v>35</v>
      </c>
      <c r="F14547">
        <v>4280529</v>
      </c>
      <c r="G14547" t="s">
        <v>2970</v>
      </c>
      <c r="H14547" s="21">
        <v>868.92</v>
      </c>
    </row>
    <row r="14548" spans="1:8" customFormat="1" x14ac:dyDescent="0.25">
      <c r="A14548" t="str">
        <f>"696600"</f>
        <v>696600</v>
      </c>
      <c r="B14548" t="s">
        <v>8297</v>
      </c>
      <c r="C14548" t="s">
        <v>127</v>
      </c>
      <c r="D14548" s="21" t="s">
        <v>34</v>
      </c>
      <c r="E14548" s="21" t="s">
        <v>71</v>
      </c>
      <c r="F14548">
        <v>1690001</v>
      </c>
      <c r="G14548" t="s">
        <v>3275</v>
      </c>
      <c r="H14548" s="21">
        <v>868.92</v>
      </c>
    </row>
    <row r="14549" spans="1:8" customFormat="1" x14ac:dyDescent="0.25">
      <c r="A14549" t="str">
        <f>"8517648"</f>
        <v>8517648</v>
      </c>
      <c r="B14549" t="s">
        <v>6065</v>
      </c>
      <c r="C14549" t="s">
        <v>1705</v>
      </c>
      <c r="D14549" s="21" t="s">
        <v>34</v>
      </c>
      <c r="E14549" s="21" t="s">
        <v>254</v>
      </c>
      <c r="F14549">
        <v>12850032</v>
      </c>
      <c r="G14549" t="s">
        <v>6589</v>
      </c>
      <c r="H14549" s="21">
        <v>868.92</v>
      </c>
    </row>
    <row r="14550" spans="1:8" customFormat="1" x14ac:dyDescent="0.25">
      <c r="A14550" t="str">
        <f>"3310524"</f>
        <v>3310524</v>
      </c>
      <c r="B14550" t="s">
        <v>5329</v>
      </c>
      <c r="C14550" t="s">
        <v>412</v>
      </c>
      <c r="D14550" s="21" t="s">
        <v>34</v>
      </c>
      <c r="E14550" s="21" t="s">
        <v>71</v>
      </c>
      <c r="F14550">
        <v>10330084</v>
      </c>
      <c r="G14550" t="s">
        <v>1124</v>
      </c>
      <c r="H14550" s="21">
        <v>868.79</v>
      </c>
    </row>
    <row r="14551" spans="1:8" customFormat="1" x14ac:dyDescent="0.25">
      <c r="A14551" t="str">
        <f>"4917543"</f>
        <v>4917543</v>
      </c>
      <c r="B14551" t="s">
        <v>13062</v>
      </c>
      <c r="C14551" t="s">
        <v>3098</v>
      </c>
      <c r="D14551" s="21" t="s">
        <v>34</v>
      </c>
      <c r="E14551" s="21" t="s">
        <v>71</v>
      </c>
      <c r="F14551">
        <v>12490092</v>
      </c>
      <c r="G14551" t="s">
        <v>1854</v>
      </c>
      <c r="H14551" s="21">
        <v>868.67</v>
      </c>
    </row>
    <row r="14552" spans="1:8" customFormat="1" x14ac:dyDescent="0.25">
      <c r="A14552" t="str">
        <f>"062486"</f>
        <v>062486</v>
      </c>
      <c r="B14552" t="s">
        <v>746</v>
      </c>
      <c r="C14552" t="s">
        <v>4842</v>
      </c>
      <c r="D14552" s="21" t="s">
        <v>34</v>
      </c>
      <c r="E14552" s="21" t="s">
        <v>6185</v>
      </c>
      <c r="F14552">
        <v>13060064</v>
      </c>
      <c r="G14552" t="s">
        <v>976</v>
      </c>
      <c r="H14552" s="21">
        <v>868.67</v>
      </c>
    </row>
    <row r="14553" spans="1:8" customFormat="1" x14ac:dyDescent="0.25">
      <c r="A14553" t="str">
        <f>"1416302"</f>
        <v>1416302</v>
      </c>
      <c r="B14553" t="s">
        <v>13366</v>
      </c>
      <c r="C14553" t="s">
        <v>781</v>
      </c>
      <c r="D14553" s="21" t="s">
        <v>34</v>
      </c>
      <c r="E14553" s="21" t="s">
        <v>35</v>
      </c>
      <c r="F14553">
        <v>9140072</v>
      </c>
      <c r="G14553" t="s">
        <v>4810</v>
      </c>
      <c r="H14553" s="21">
        <v>868.67</v>
      </c>
    </row>
    <row r="14554" spans="1:8" customFormat="1" x14ac:dyDescent="0.25">
      <c r="A14554" t="str">
        <f>"187710"</f>
        <v>187710</v>
      </c>
      <c r="B14554" t="s">
        <v>1241</v>
      </c>
      <c r="C14554" t="s">
        <v>33</v>
      </c>
      <c r="D14554" s="21" t="s">
        <v>34</v>
      </c>
      <c r="E14554" s="21" t="s">
        <v>71</v>
      </c>
      <c r="F14554">
        <v>4180238</v>
      </c>
      <c r="G14554" t="s">
        <v>7304</v>
      </c>
      <c r="H14554" s="21">
        <v>868.67</v>
      </c>
    </row>
    <row r="14555" spans="1:8" customFormat="1" x14ac:dyDescent="0.25">
      <c r="A14555" t="str">
        <f>"539720"</f>
        <v>539720</v>
      </c>
      <c r="B14555" t="s">
        <v>12266</v>
      </c>
      <c r="C14555" t="s">
        <v>124</v>
      </c>
      <c r="D14555" s="21" t="s">
        <v>34</v>
      </c>
      <c r="E14555" s="21" t="s">
        <v>71</v>
      </c>
      <c r="F14555">
        <v>12530106</v>
      </c>
      <c r="G14555" t="s">
        <v>27079</v>
      </c>
      <c r="H14555" s="21">
        <v>868.67</v>
      </c>
    </row>
    <row r="14556" spans="1:8" customFormat="1" x14ac:dyDescent="0.25">
      <c r="A14556" t="str">
        <f>"5933589"</f>
        <v>5933589</v>
      </c>
      <c r="B14556" t="s">
        <v>27344</v>
      </c>
      <c r="C14556" t="s">
        <v>415</v>
      </c>
      <c r="D14556" s="21" t="s">
        <v>34</v>
      </c>
      <c r="E14556" s="21" t="s">
        <v>254</v>
      </c>
      <c r="F14556">
        <v>7590044</v>
      </c>
      <c r="G14556" t="s">
        <v>2029</v>
      </c>
      <c r="H14556" s="21">
        <v>868.67</v>
      </c>
    </row>
    <row r="14557" spans="1:8" customFormat="1" x14ac:dyDescent="0.25">
      <c r="A14557" t="str">
        <f>"5724615"</f>
        <v>5724615</v>
      </c>
      <c r="B14557" t="s">
        <v>12791</v>
      </c>
      <c r="C14557" t="s">
        <v>1705</v>
      </c>
      <c r="D14557" s="21" t="s">
        <v>34</v>
      </c>
      <c r="E14557" s="21" t="s">
        <v>71</v>
      </c>
      <c r="F14557">
        <v>6570168</v>
      </c>
      <c r="G14557" t="s">
        <v>152</v>
      </c>
      <c r="H14557" s="21">
        <v>868.67</v>
      </c>
    </row>
    <row r="14558" spans="1:8" customFormat="1" x14ac:dyDescent="0.25">
      <c r="A14558" t="str">
        <f>"09953"</f>
        <v>09953</v>
      </c>
      <c r="B14558" t="s">
        <v>13531</v>
      </c>
      <c r="C14558" t="s">
        <v>187</v>
      </c>
      <c r="D14558" s="21" t="s">
        <v>34</v>
      </c>
      <c r="E14558" s="21" t="s">
        <v>35</v>
      </c>
      <c r="F14558">
        <v>11310011</v>
      </c>
      <c r="G14558" t="s">
        <v>26586</v>
      </c>
      <c r="H14558" s="21">
        <v>868.67</v>
      </c>
    </row>
    <row r="14559" spans="1:8" customFormat="1" x14ac:dyDescent="0.25">
      <c r="A14559" t="str">
        <f>"6914302"</f>
        <v>6914302</v>
      </c>
      <c r="B14559" t="s">
        <v>4128</v>
      </c>
      <c r="C14559" t="s">
        <v>328</v>
      </c>
      <c r="D14559" s="21" t="s">
        <v>34</v>
      </c>
      <c r="E14559" s="21" t="s">
        <v>35</v>
      </c>
      <c r="F14559">
        <v>1690156</v>
      </c>
      <c r="G14559" t="s">
        <v>7062</v>
      </c>
      <c r="H14559" s="21">
        <v>868.67</v>
      </c>
    </row>
    <row r="14560" spans="1:8" customFormat="1" x14ac:dyDescent="0.25">
      <c r="A14560" t="str">
        <f>"179301"</f>
        <v>179301</v>
      </c>
      <c r="B14560" t="s">
        <v>13399</v>
      </c>
      <c r="C14560" t="s">
        <v>598</v>
      </c>
      <c r="D14560" s="21" t="s">
        <v>34</v>
      </c>
      <c r="E14560" s="21" t="s">
        <v>71</v>
      </c>
      <c r="F14560">
        <v>10170046</v>
      </c>
      <c r="G14560" t="s">
        <v>7370</v>
      </c>
      <c r="H14560" s="21">
        <v>868.67</v>
      </c>
    </row>
    <row r="14561" spans="1:8" customFormat="1" x14ac:dyDescent="0.25">
      <c r="A14561" t="str">
        <f>"366291"</f>
        <v>366291</v>
      </c>
      <c r="B14561" t="s">
        <v>13646</v>
      </c>
      <c r="C14561" t="s">
        <v>169</v>
      </c>
      <c r="D14561" s="21" t="s">
        <v>34</v>
      </c>
      <c r="E14561" s="21" t="s">
        <v>35</v>
      </c>
      <c r="F14561">
        <v>4360315</v>
      </c>
      <c r="G14561" t="s">
        <v>6888</v>
      </c>
      <c r="H14561" s="21">
        <v>868.67</v>
      </c>
    </row>
    <row r="14562" spans="1:8" customFormat="1" x14ac:dyDescent="0.25">
      <c r="A14562" t="str">
        <f>"695007"</f>
        <v>695007</v>
      </c>
      <c r="B14562" t="s">
        <v>12621</v>
      </c>
      <c r="C14562" t="s">
        <v>4721</v>
      </c>
      <c r="D14562" s="21" t="s">
        <v>34</v>
      </c>
      <c r="E14562" s="21" t="s">
        <v>1089</v>
      </c>
      <c r="F14562">
        <v>1690104</v>
      </c>
      <c r="G14562" t="s">
        <v>3501</v>
      </c>
      <c r="H14562" s="21">
        <v>868.67</v>
      </c>
    </row>
    <row r="14563" spans="1:8" customFormat="1" x14ac:dyDescent="0.25">
      <c r="A14563" t="str">
        <f>"0210638"</f>
        <v>0210638</v>
      </c>
      <c r="B14563" t="s">
        <v>14790</v>
      </c>
      <c r="C14563" t="s">
        <v>576</v>
      </c>
      <c r="D14563" s="21" t="s">
        <v>34</v>
      </c>
      <c r="E14563" s="21" t="s">
        <v>35</v>
      </c>
      <c r="F14563">
        <v>7020019</v>
      </c>
      <c r="G14563" t="s">
        <v>7912</v>
      </c>
      <c r="H14563" s="21">
        <v>868.67</v>
      </c>
    </row>
    <row r="14564" spans="1:8" customFormat="1" x14ac:dyDescent="0.25">
      <c r="A14564" t="str">
        <f>"3717818"</f>
        <v>3717818</v>
      </c>
      <c r="B14564" t="s">
        <v>2240</v>
      </c>
      <c r="C14564" t="s">
        <v>169</v>
      </c>
      <c r="D14564" s="21" t="s">
        <v>34</v>
      </c>
      <c r="E14564" s="21" t="s">
        <v>71</v>
      </c>
      <c r="F14564">
        <v>4370681</v>
      </c>
      <c r="G14564" t="s">
        <v>4508</v>
      </c>
      <c r="H14564" s="21">
        <v>868.67</v>
      </c>
    </row>
    <row r="14565" spans="1:8" customFormat="1" x14ac:dyDescent="0.25">
      <c r="A14565" t="str">
        <f>"7912071"</f>
        <v>7912071</v>
      </c>
      <c r="B14565" t="s">
        <v>6611</v>
      </c>
      <c r="C14565" t="s">
        <v>926</v>
      </c>
      <c r="D14565" s="21" t="s">
        <v>34</v>
      </c>
      <c r="E14565" s="21" t="s">
        <v>35</v>
      </c>
      <c r="F14565">
        <v>10790229</v>
      </c>
      <c r="G14565" t="s">
        <v>27165</v>
      </c>
      <c r="H14565" s="21">
        <v>868.67</v>
      </c>
    </row>
    <row r="14566" spans="1:8" customFormat="1" x14ac:dyDescent="0.25">
      <c r="A14566" t="str">
        <f>"255592"</f>
        <v>255592</v>
      </c>
      <c r="B14566" t="s">
        <v>4891</v>
      </c>
      <c r="C14566" t="s">
        <v>267</v>
      </c>
      <c r="D14566" s="21" t="s">
        <v>34</v>
      </c>
      <c r="E14566" s="21" t="s">
        <v>1089</v>
      </c>
      <c r="F14566">
        <v>2250132</v>
      </c>
      <c r="G14566" t="s">
        <v>7748</v>
      </c>
      <c r="H14566" s="21">
        <v>868.54</v>
      </c>
    </row>
    <row r="14567" spans="1:8" customFormat="1" x14ac:dyDescent="0.25">
      <c r="A14567" t="str">
        <f>"2715778"</f>
        <v>2715778</v>
      </c>
      <c r="B14567" t="s">
        <v>5570</v>
      </c>
      <c r="C14567" t="s">
        <v>462</v>
      </c>
      <c r="D14567" s="21" t="s">
        <v>34</v>
      </c>
      <c r="E14567" s="21" t="s">
        <v>71</v>
      </c>
      <c r="F14567">
        <v>9270005</v>
      </c>
      <c r="G14567" t="s">
        <v>1255</v>
      </c>
      <c r="H14567" s="21">
        <v>868.42</v>
      </c>
    </row>
    <row r="14568" spans="1:8" customFormat="1" x14ac:dyDescent="0.25">
      <c r="A14568" t="str">
        <f>"453496"</f>
        <v>453496</v>
      </c>
      <c r="B14568" t="s">
        <v>13097</v>
      </c>
      <c r="C14568" t="s">
        <v>33</v>
      </c>
      <c r="D14568" s="21" t="s">
        <v>34</v>
      </c>
      <c r="E14568" s="21" t="s">
        <v>71</v>
      </c>
      <c r="F14568">
        <v>4450295</v>
      </c>
      <c r="G14568" t="s">
        <v>9193</v>
      </c>
      <c r="H14568" s="21">
        <v>868.42</v>
      </c>
    </row>
    <row r="14569" spans="1:8" customFormat="1" x14ac:dyDescent="0.25">
      <c r="A14569" t="str">
        <f>"6315661"</f>
        <v>6315661</v>
      </c>
      <c r="B14569" t="s">
        <v>13240</v>
      </c>
      <c r="C14569" t="s">
        <v>249</v>
      </c>
      <c r="D14569" s="21" t="s">
        <v>34</v>
      </c>
      <c r="E14569" s="21" t="s">
        <v>71</v>
      </c>
      <c r="F14569">
        <v>1630243</v>
      </c>
      <c r="G14569" t="s">
        <v>9163</v>
      </c>
      <c r="H14569" s="21">
        <v>868.42</v>
      </c>
    </row>
    <row r="14570" spans="1:8" customFormat="1" x14ac:dyDescent="0.25">
      <c r="A14570" t="str">
        <f>"8812705"</f>
        <v>8812705</v>
      </c>
      <c r="B14570" t="s">
        <v>27345</v>
      </c>
      <c r="C14570" t="s">
        <v>288</v>
      </c>
      <c r="D14570" s="21" t="s">
        <v>34</v>
      </c>
      <c r="E14570" s="21" t="s">
        <v>35</v>
      </c>
      <c r="F14570">
        <v>6540010</v>
      </c>
      <c r="G14570" t="s">
        <v>7832</v>
      </c>
      <c r="H14570" s="21">
        <v>868.42</v>
      </c>
    </row>
    <row r="14571" spans="1:8" customFormat="1" x14ac:dyDescent="0.25">
      <c r="A14571" t="str">
        <f>"5612584"</f>
        <v>5612584</v>
      </c>
      <c r="B14571" t="s">
        <v>1094</v>
      </c>
      <c r="C14571" t="s">
        <v>428</v>
      </c>
      <c r="D14571" s="21" t="s">
        <v>34</v>
      </c>
      <c r="E14571" s="21" t="s">
        <v>71</v>
      </c>
      <c r="F14571">
        <v>3560072</v>
      </c>
      <c r="G14571" t="s">
        <v>12285</v>
      </c>
      <c r="H14571" s="21">
        <v>868.42</v>
      </c>
    </row>
    <row r="14572" spans="1:8" customFormat="1" x14ac:dyDescent="0.25">
      <c r="A14572" t="str">
        <f>"5323016"</f>
        <v>5323016</v>
      </c>
      <c r="B14572" t="s">
        <v>14251</v>
      </c>
      <c r="C14572" t="s">
        <v>174</v>
      </c>
      <c r="D14572" s="21" t="s">
        <v>34</v>
      </c>
      <c r="E14572" s="21" t="s">
        <v>71</v>
      </c>
      <c r="F14572">
        <v>12530022</v>
      </c>
      <c r="G14572" t="s">
        <v>914</v>
      </c>
      <c r="H14572" s="21">
        <v>868.42</v>
      </c>
    </row>
    <row r="14573" spans="1:8" customFormat="1" x14ac:dyDescent="0.25">
      <c r="A14573" t="str">
        <f>"364661"</f>
        <v>364661</v>
      </c>
      <c r="B14573" t="s">
        <v>13119</v>
      </c>
      <c r="C14573" t="s">
        <v>926</v>
      </c>
      <c r="D14573" s="21" t="s">
        <v>34</v>
      </c>
      <c r="E14573" s="21" t="s">
        <v>35</v>
      </c>
      <c r="F14573">
        <v>4360009</v>
      </c>
      <c r="G14573" t="s">
        <v>6259</v>
      </c>
      <c r="H14573" s="21">
        <v>868.42</v>
      </c>
    </row>
    <row r="14574" spans="1:8" customFormat="1" x14ac:dyDescent="0.25">
      <c r="A14574" t="str">
        <f>"263520"</f>
        <v>263520</v>
      </c>
      <c r="B14574" t="s">
        <v>1096</v>
      </c>
      <c r="C14574" t="s">
        <v>288</v>
      </c>
      <c r="D14574" s="21" t="s">
        <v>34</v>
      </c>
      <c r="E14574" s="21" t="s">
        <v>35</v>
      </c>
      <c r="F14574">
        <v>1260054</v>
      </c>
      <c r="G14574" t="s">
        <v>358</v>
      </c>
      <c r="H14574" s="21">
        <v>868.29</v>
      </c>
    </row>
    <row r="14575" spans="1:8" customFormat="1" x14ac:dyDescent="0.25">
      <c r="A14575" t="str">
        <f>"846174"</f>
        <v>846174</v>
      </c>
      <c r="B14575" t="s">
        <v>14909</v>
      </c>
      <c r="C14575" t="s">
        <v>867</v>
      </c>
      <c r="D14575" s="21" t="s">
        <v>34</v>
      </c>
      <c r="E14575" s="21" t="s">
        <v>35</v>
      </c>
      <c r="F14575">
        <v>13840004</v>
      </c>
      <c r="G14575" t="s">
        <v>8611</v>
      </c>
      <c r="H14575" s="21">
        <v>868.29</v>
      </c>
    </row>
    <row r="14576" spans="1:8" customFormat="1" x14ac:dyDescent="0.25">
      <c r="A14576" t="str">
        <f>"511917"</f>
        <v>511917</v>
      </c>
      <c r="B14576" t="s">
        <v>13997</v>
      </c>
      <c r="C14576" t="s">
        <v>1110</v>
      </c>
      <c r="D14576" s="21" t="s">
        <v>34</v>
      </c>
      <c r="E14576" s="21" t="s">
        <v>254</v>
      </c>
      <c r="F14576">
        <v>6510112</v>
      </c>
      <c r="G14576" t="s">
        <v>588</v>
      </c>
      <c r="H14576" s="21">
        <v>868.17</v>
      </c>
    </row>
    <row r="14577" spans="1:8" customFormat="1" x14ac:dyDescent="0.25">
      <c r="A14577" t="str">
        <f>"5430678"</f>
        <v>5430678</v>
      </c>
      <c r="B14577" t="s">
        <v>15133</v>
      </c>
      <c r="C14577" t="s">
        <v>249</v>
      </c>
      <c r="D14577" s="21" t="s">
        <v>34</v>
      </c>
      <c r="E14577" s="21" t="s">
        <v>35</v>
      </c>
      <c r="F14577">
        <v>6540028</v>
      </c>
      <c r="G14577" t="s">
        <v>3201</v>
      </c>
      <c r="H14577" s="21">
        <v>868.17</v>
      </c>
    </row>
    <row r="14578" spans="1:8" customFormat="1" x14ac:dyDescent="0.25">
      <c r="A14578" t="str">
        <f>"4437369"</f>
        <v>4437369</v>
      </c>
      <c r="B14578" t="s">
        <v>97</v>
      </c>
      <c r="C14578" t="s">
        <v>1468</v>
      </c>
      <c r="D14578" s="21" t="s">
        <v>34</v>
      </c>
      <c r="E14578" s="21" t="s">
        <v>35</v>
      </c>
      <c r="F14578">
        <v>12440206</v>
      </c>
      <c r="G14578" t="s">
        <v>10374</v>
      </c>
      <c r="H14578" s="21">
        <v>868.17</v>
      </c>
    </row>
    <row r="14579" spans="1:8" customFormat="1" x14ac:dyDescent="0.25">
      <c r="A14579" t="str">
        <f>"4935995"</f>
        <v>4935995</v>
      </c>
      <c r="B14579" t="s">
        <v>824</v>
      </c>
      <c r="C14579" t="s">
        <v>109</v>
      </c>
      <c r="D14579" s="21" t="s">
        <v>34</v>
      </c>
      <c r="E14579" s="21" t="s">
        <v>35</v>
      </c>
      <c r="F14579">
        <v>12490092</v>
      </c>
      <c r="G14579" t="s">
        <v>1854</v>
      </c>
      <c r="H14579" s="21">
        <v>868.17</v>
      </c>
    </row>
    <row r="14580" spans="1:8" customFormat="1" x14ac:dyDescent="0.25">
      <c r="A14580" t="str">
        <f>"218786"</f>
        <v>218786</v>
      </c>
      <c r="B14580" t="s">
        <v>12817</v>
      </c>
      <c r="C14580" t="s">
        <v>209</v>
      </c>
      <c r="D14580" s="21" t="s">
        <v>34</v>
      </c>
      <c r="E14580" s="21" t="s">
        <v>71</v>
      </c>
      <c r="F14580">
        <v>2210052</v>
      </c>
      <c r="G14580" t="s">
        <v>1070</v>
      </c>
      <c r="H14580" s="21">
        <v>868.17</v>
      </c>
    </row>
    <row r="14581" spans="1:8" customFormat="1" x14ac:dyDescent="0.25">
      <c r="A14581" t="str">
        <f>"8012884"</f>
        <v>8012884</v>
      </c>
      <c r="B14581" t="s">
        <v>3454</v>
      </c>
      <c r="C14581" t="s">
        <v>428</v>
      </c>
      <c r="D14581" s="21" t="s">
        <v>34</v>
      </c>
      <c r="E14581" s="21" t="s">
        <v>35</v>
      </c>
      <c r="F14581">
        <v>7800126</v>
      </c>
      <c r="G14581" t="s">
        <v>1105</v>
      </c>
      <c r="H14581" s="21">
        <v>868.17</v>
      </c>
    </row>
    <row r="14582" spans="1:8" customFormat="1" x14ac:dyDescent="0.25">
      <c r="A14582" t="str">
        <f>"0618437"</f>
        <v>0618437</v>
      </c>
      <c r="B14582" t="s">
        <v>6588</v>
      </c>
      <c r="C14582" t="s">
        <v>14601</v>
      </c>
      <c r="D14582" s="21" t="s">
        <v>34</v>
      </c>
      <c r="E14582" s="21" t="s">
        <v>71</v>
      </c>
      <c r="F14582">
        <v>13060007</v>
      </c>
      <c r="G14582" t="s">
        <v>59</v>
      </c>
      <c r="H14582" s="21">
        <v>868.17</v>
      </c>
    </row>
    <row r="14583" spans="1:8" customFormat="1" x14ac:dyDescent="0.25">
      <c r="A14583" t="str">
        <f>"26129"</f>
        <v>26129</v>
      </c>
      <c r="B14583" t="s">
        <v>12302</v>
      </c>
      <c r="C14583" t="s">
        <v>598</v>
      </c>
      <c r="D14583" s="21" t="s">
        <v>34</v>
      </c>
      <c r="E14583" s="21" t="s">
        <v>1089</v>
      </c>
      <c r="F14583">
        <v>13830007</v>
      </c>
      <c r="G14583" t="s">
        <v>11316</v>
      </c>
      <c r="H14583" s="21">
        <v>868.17</v>
      </c>
    </row>
    <row r="14584" spans="1:8" customFormat="1" x14ac:dyDescent="0.25">
      <c r="A14584" t="str">
        <f>"025907"</f>
        <v>025907</v>
      </c>
      <c r="B14584" t="s">
        <v>4711</v>
      </c>
      <c r="C14584" t="s">
        <v>598</v>
      </c>
      <c r="D14584" s="21" t="s">
        <v>34</v>
      </c>
      <c r="E14584" s="21" t="s">
        <v>35</v>
      </c>
      <c r="F14584">
        <v>7020044</v>
      </c>
      <c r="G14584" t="s">
        <v>4690</v>
      </c>
      <c r="H14584" s="21">
        <v>868.17</v>
      </c>
    </row>
    <row r="14585" spans="1:8" customFormat="1" x14ac:dyDescent="0.25">
      <c r="A14585" t="str">
        <f>"4111913"</f>
        <v>4111913</v>
      </c>
      <c r="B14585" t="s">
        <v>11607</v>
      </c>
      <c r="C14585" t="s">
        <v>415</v>
      </c>
      <c r="D14585" s="21" t="s">
        <v>34</v>
      </c>
      <c r="E14585" s="21" t="s">
        <v>71</v>
      </c>
      <c r="F14585">
        <v>4410697</v>
      </c>
      <c r="G14585" t="s">
        <v>2490</v>
      </c>
      <c r="H14585" s="21">
        <v>868.17</v>
      </c>
    </row>
    <row r="14586" spans="1:8" customFormat="1" x14ac:dyDescent="0.25">
      <c r="A14586" t="str">
        <f>"858869"</f>
        <v>858869</v>
      </c>
      <c r="B14586" t="s">
        <v>5734</v>
      </c>
      <c r="C14586" t="s">
        <v>2907</v>
      </c>
      <c r="D14586" s="21" t="s">
        <v>34</v>
      </c>
      <c r="E14586" s="21" t="s">
        <v>71</v>
      </c>
      <c r="F14586">
        <v>12850154</v>
      </c>
      <c r="G14586" t="s">
        <v>7078</v>
      </c>
      <c r="H14586" s="21">
        <v>868.17</v>
      </c>
    </row>
    <row r="14587" spans="1:8" customFormat="1" x14ac:dyDescent="0.25">
      <c r="A14587" t="str">
        <f>"7220202"</f>
        <v>7220202</v>
      </c>
      <c r="B14587" t="s">
        <v>13955</v>
      </c>
      <c r="C14587" t="s">
        <v>169</v>
      </c>
      <c r="D14587" s="21" t="s">
        <v>34</v>
      </c>
      <c r="E14587" s="21" t="s">
        <v>35</v>
      </c>
      <c r="F14587">
        <v>12720023</v>
      </c>
      <c r="G14587" t="s">
        <v>1898</v>
      </c>
      <c r="H14587" s="21">
        <v>868.17</v>
      </c>
    </row>
    <row r="14588" spans="1:8" customFormat="1" x14ac:dyDescent="0.25">
      <c r="A14588" t="str">
        <f>"2937649"</f>
        <v>2937649</v>
      </c>
      <c r="B14588" t="s">
        <v>15411</v>
      </c>
      <c r="C14588" t="s">
        <v>87</v>
      </c>
      <c r="D14588" s="21" t="s">
        <v>34</v>
      </c>
      <c r="E14588" s="21" t="s">
        <v>35</v>
      </c>
      <c r="F14588">
        <v>3290047</v>
      </c>
      <c r="G14588" t="s">
        <v>2874</v>
      </c>
      <c r="H14588" s="21">
        <v>868.04</v>
      </c>
    </row>
    <row r="14589" spans="1:8" customFormat="1" x14ac:dyDescent="0.25">
      <c r="A14589" t="str">
        <f>"365158"</f>
        <v>365158</v>
      </c>
      <c r="B14589" t="s">
        <v>6702</v>
      </c>
      <c r="C14589" t="s">
        <v>812</v>
      </c>
      <c r="D14589" s="21" t="s">
        <v>34</v>
      </c>
      <c r="E14589" s="21" t="s">
        <v>35</v>
      </c>
      <c r="F14589">
        <v>4360123</v>
      </c>
      <c r="G14589" t="s">
        <v>4121</v>
      </c>
      <c r="H14589" s="21">
        <v>867.92</v>
      </c>
    </row>
    <row r="14590" spans="1:8" customFormat="1" x14ac:dyDescent="0.25">
      <c r="A14590" t="str">
        <f>"2924496"</f>
        <v>2924496</v>
      </c>
      <c r="B14590" t="s">
        <v>13596</v>
      </c>
      <c r="C14590" t="s">
        <v>236</v>
      </c>
      <c r="D14590" s="21" t="s">
        <v>34</v>
      </c>
      <c r="E14590" s="21" t="s">
        <v>71</v>
      </c>
      <c r="F14590">
        <v>3290014</v>
      </c>
      <c r="G14590" t="s">
        <v>10174</v>
      </c>
      <c r="H14590" s="21">
        <v>867.92</v>
      </c>
    </row>
    <row r="14591" spans="1:8" customFormat="1" x14ac:dyDescent="0.25">
      <c r="A14591" t="str">
        <f>"7811542"</f>
        <v>7811542</v>
      </c>
      <c r="B14591" t="s">
        <v>86</v>
      </c>
      <c r="C14591" t="s">
        <v>288</v>
      </c>
      <c r="D14591" s="21" t="s">
        <v>34</v>
      </c>
      <c r="E14591" s="21" t="s">
        <v>71</v>
      </c>
      <c r="F14591">
        <v>8780678</v>
      </c>
      <c r="G14591" t="s">
        <v>8556</v>
      </c>
      <c r="H14591" s="21">
        <v>867.92</v>
      </c>
    </row>
    <row r="14592" spans="1:8" customFormat="1" x14ac:dyDescent="0.25">
      <c r="A14592" t="str">
        <f>"88798"</f>
        <v>88798</v>
      </c>
      <c r="B14592" t="s">
        <v>11885</v>
      </c>
      <c r="C14592" t="s">
        <v>1146</v>
      </c>
      <c r="D14592" s="21" t="s">
        <v>34</v>
      </c>
      <c r="E14592" s="21" t="s">
        <v>1089</v>
      </c>
      <c r="F14592">
        <v>6880050</v>
      </c>
      <c r="G14592" t="s">
        <v>9344</v>
      </c>
      <c r="H14592" s="21">
        <v>867.67</v>
      </c>
    </row>
    <row r="14593" spans="1:8" customFormat="1" x14ac:dyDescent="0.25">
      <c r="A14593" t="str">
        <f>"4931048"</f>
        <v>4931048</v>
      </c>
      <c r="B14593" t="s">
        <v>2690</v>
      </c>
      <c r="C14593" t="s">
        <v>124</v>
      </c>
      <c r="D14593" s="21" t="s">
        <v>34</v>
      </c>
      <c r="E14593" s="21" t="s">
        <v>71</v>
      </c>
      <c r="F14593">
        <v>12490037</v>
      </c>
      <c r="G14593" t="s">
        <v>8892</v>
      </c>
      <c r="H14593" s="21">
        <v>867.67</v>
      </c>
    </row>
    <row r="14594" spans="1:8" customFormat="1" x14ac:dyDescent="0.25">
      <c r="A14594" t="str">
        <f>"888450"</f>
        <v>888450</v>
      </c>
      <c r="B14594" t="s">
        <v>13146</v>
      </c>
      <c r="C14594" t="s">
        <v>926</v>
      </c>
      <c r="D14594" s="21" t="s">
        <v>34</v>
      </c>
      <c r="E14594" s="21" t="s">
        <v>71</v>
      </c>
      <c r="F14594">
        <v>6880083</v>
      </c>
      <c r="G14594" t="s">
        <v>7718</v>
      </c>
      <c r="H14594" s="21">
        <v>867.67</v>
      </c>
    </row>
    <row r="14595" spans="1:8" customFormat="1" x14ac:dyDescent="0.25">
      <c r="A14595" t="str">
        <f>"4428055"</f>
        <v>4428055</v>
      </c>
      <c r="B14595" t="s">
        <v>13440</v>
      </c>
      <c r="C14595" t="s">
        <v>381</v>
      </c>
      <c r="D14595" s="21" t="s">
        <v>34</v>
      </c>
      <c r="E14595" s="21" t="s">
        <v>1089</v>
      </c>
      <c r="F14595">
        <v>3560006</v>
      </c>
      <c r="G14595" t="s">
        <v>2708</v>
      </c>
      <c r="H14595" s="21">
        <v>867.67</v>
      </c>
    </row>
    <row r="14596" spans="1:8" customFormat="1" x14ac:dyDescent="0.25">
      <c r="A14596" t="str">
        <f>"183208"</f>
        <v>183208</v>
      </c>
      <c r="B14596" t="s">
        <v>387</v>
      </c>
      <c r="C14596" t="s">
        <v>1231</v>
      </c>
      <c r="D14596" s="21" t="s">
        <v>34</v>
      </c>
      <c r="E14596" s="21" t="s">
        <v>1089</v>
      </c>
      <c r="F14596">
        <v>4180057</v>
      </c>
      <c r="G14596" t="s">
        <v>9021</v>
      </c>
      <c r="H14596" s="21">
        <v>867.67</v>
      </c>
    </row>
    <row r="14597" spans="1:8" customFormat="1" x14ac:dyDescent="0.25">
      <c r="A14597" t="str">
        <f>"951535"</f>
        <v>951535</v>
      </c>
      <c r="B14597" t="s">
        <v>27346</v>
      </c>
      <c r="C14597" t="s">
        <v>239</v>
      </c>
      <c r="D14597" s="21" t="s">
        <v>34</v>
      </c>
      <c r="E14597" s="21" t="s">
        <v>1089</v>
      </c>
      <c r="F14597">
        <v>8950262</v>
      </c>
      <c r="G14597" t="s">
        <v>1881</v>
      </c>
      <c r="H14597" s="21">
        <v>867.67</v>
      </c>
    </row>
    <row r="14598" spans="1:8" customFormat="1" x14ac:dyDescent="0.25">
      <c r="A14598" t="str">
        <f>"444937"</f>
        <v>444937</v>
      </c>
      <c r="B14598" t="s">
        <v>12605</v>
      </c>
      <c r="C14598" t="s">
        <v>40</v>
      </c>
      <c r="D14598" s="21" t="s">
        <v>34</v>
      </c>
      <c r="E14598" s="21" t="s">
        <v>254</v>
      </c>
      <c r="F14598">
        <v>12440015</v>
      </c>
      <c r="G14598" t="s">
        <v>8421</v>
      </c>
      <c r="H14598" s="21">
        <v>867.67</v>
      </c>
    </row>
    <row r="14599" spans="1:8" customFormat="1" x14ac:dyDescent="0.25">
      <c r="A14599" t="str">
        <f>"9418297"</f>
        <v>9418297</v>
      </c>
      <c r="B14599" t="s">
        <v>12955</v>
      </c>
      <c r="C14599" t="s">
        <v>263</v>
      </c>
      <c r="D14599" s="21" t="s">
        <v>34</v>
      </c>
      <c r="E14599" s="21" t="s">
        <v>254</v>
      </c>
      <c r="F14599">
        <v>12440058</v>
      </c>
      <c r="G14599" t="s">
        <v>394</v>
      </c>
      <c r="H14599" s="21">
        <v>867.67</v>
      </c>
    </row>
    <row r="14600" spans="1:8" customFormat="1" x14ac:dyDescent="0.25">
      <c r="A14600" t="str">
        <f>"6922821"</f>
        <v>6922821</v>
      </c>
      <c r="B14600" t="s">
        <v>11273</v>
      </c>
      <c r="C14600" t="s">
        <v>60</v>
      </c>
      <c r="D14600" s="21" t="s">
        <v>34</v>
      </c>
      <c r="E14600" s="21" t="s">
        <v>35</v>
      </c>
      <c r="F14600">
        <v>1690201</v>
      </c>
      <c r="G14600" t="s">
        <v>11274</v>
      </c>
      <c r="H14600" s="21">
        <v>867.67</v>
      </c>
    </row>
    <row r="14601" spans="1:8" customFormat="1" x14ac:dyDescent="0.25">
      <c r="A14601" t="str">
        <f>"443940"</f>
        <v>443940</v>
      </c>
      <c r="B14601" t="s">
        <v>12644</v>
      </c>
      <c r="C14601" t="s">
        <v>253</v>
      </c>
      <c r="D14601" s="21" t="s">
        <v>34</v>
      </c>
      <c r="E14601" s="21" t="s">
        <v>1089</v>
      </c>
      <c r="F14601">
        <v>12440049</v>
      </c>
      <c r="G14601" t="s">
        <v>3339</v>
      </c>
      <c r="H14601" s="21">
        <v>867.67</v>
      </c>
    </row>
    <row r="14602" spans="1:8" customFormat="1" x14ac:dyDescent="0.25">
      <c r="A14602" t="str">
        <f>"852180"</f>
        <v>852180</v>
      </c>
      <c r="B14602" t="s">
        <v>7122</v>
      </c>
      <c r="C14602" t="s">
        <v>1853</v>
      </c>
      <c r="D14602" s="21" t="s">
        <v>34</v>
      </c>
      <c r="E14602" s="21" t="s">
        <v>71</v>
      </c>
      <c r="F14602">
        <v>12850069</v>
      </c>
      <c r="G14602" t="s">
        <v>2154</v>
      </c>
      <c r="H14602" s="21">
        <v>867.67</v>
      </c>
    </row>
    <row r="14603" spans="1:8" customFormat="1" x14ac:dyDescent="0.25">
      <c r="A14603" t="str">
        <f>"358032"</f>
        <v>358032</v>
      </c>
      <c r="B14603" t="s">
        <v>646</v>
      </c>
      <c r="C14603" t="s">
        <v>151</v>
      </c>
      <c r="D14603" s="21" t="s">
        <v>34</v>
      </c>
      <c r="E14603" s="21" t="s">
        <v>71</v>
      </c>
      <c r="F14603">
        <v>3350203</v>
      </c>
      <c r="G14603" t="s">
        <v>11973</v>
      </c>
      <c r="H14603" s="21">
        <v>867.67</v>
      </c>
    </row>
    <row r="14604" spans="1:8" customFormat="1" x14ac:dyDescent="0.25">
      <c r="A14604" t="str">
        <f>"428181"</f>
        <v>428181</v>
      </c>
      <c r="B14604" t="s">
        <v>12115</v>
      </c>
      <c r="C14604" t="s">
        <v>249</v>
      </c>
      <c r="D14604" s="21" t="s">
        <v>34</v>
      </c>
      <c r="E14604" s="21" t="s">
        <v>71</v>
      </c>
      <c r="F14604">
        <v>1420148</v>
      </c>
      <c r="G14604" t="s">
        <v>10763</v>
      </c>
      <c r="H14604" s="21">
        <v>867.67</v>
      </c>
    </row>
    <row r="14605" spans="1:8" customFormat="1" x14ac:dyDescent="0.25">
      <c r="A14605" t="str">
        <f>"259287"</f>
        <v>259287</v>
      </c>
      <c r="B14605" t="s">
        <v>12690</v>
      </c>
      <c r="C14605" t="s">
        <v>598</v>
      </c>
      <c r="D14605" s="21" t="s">
        <v>34</v>
      </c>
      <c r="E14605" s="21" t="s">
        <v>71</v>
      </c>
      <c r="F14605">
        <v>2250151</v>
      </c>
      <c r="G14605" t="s">
        <v>7964</v>
      </c>
      <c r="H14605" s="21">
        <v>867.67</v>
      </c>
    </row>
    <row r="14606" spans="1:8" customFormat="1" x14ac:dyDescent="0.25">
      <c r="A14606" t="str">
        <f>"941100"</f>
        <v>941100</v>
      </c>
      <c r="B14606" t="s">
        <v>3380</v>
      </c>
      <c r="C14606" t="s">
        <v>598</v>
      </c>
      <c r="D14606" s="21" t="s">
        <v>34</v>
      </c>
      <c r="E14606" s="21" t="s">
        <v>1089</v>
      </c>
      <c r="F14606">
        <v>8940549</v>
      </c>
      <c r="G14606" t="s">
        <v>454</v>
      </c>
      <c r="H14606" s="21">
        <v>867.67</v>
      </c>
    </row>
    <row r="14607" spans="1:8" customFormat="1" x14ac:dyDescent="0.25">
      <c r="A14607" t="str">
        <f>"3410402"</f>
        <v>3410402</v>
      </c>
      <c r="B14607" t="s">
        <v>13703</v>
      </c>
      <c r="C14607" t="s">
        <v>209</v>
      </c>
      <c r="D14607" s="21" t="s">
        <v>34</v>
      </c>
      <c r="E14607" s="21" t="s">
        <v>254</v>
      </c>
      <c r="F14607">
        <v>11340059</v>
      </c>
      <c r="G14607" t="s">
        <v>10368</v>
      </c>
      <c r="H14607" s="21">
        <v>867.67</v>
      </c>
    </row>
    <row r="14608" spans="1:8" customFormat="1" x14ac:dyDescent="0.25">
      <c r="A14608" t="str">
        <f>"417931"</f>
        <v>417931</v>
      </c>
      <c r="B14608" t="s">
        <v>6905</v>
      </c>
      <c r="C14608" t="s">
        <v>40</v>
      </c>
      <c r="D14608" s="21" t="s">
        <v>34</v>
      </c>
      <c r="E14608" s="21" t="s">
        <v>254</v>
      </c>
      <c r="F14608">
        <v>4410080</v>
      </c>
      <c r="G14608" t="s">
        <v>135</v>
      </c>
      <c r="H14608" s="21">
        <v>867.29</v>
      </c>
    </row>
    <row r="14609" spans="1:8" customFormat="1" x14ac:dyDescent="0.25">
      <c r="A14609" t="str">
        <f>"808021"</f>
        <v>808021</v>
      </c>
      <c r="B14609" t="s">
        <v>10135</v>
      </c>
      <c r="C14609" t="s">
        <v>822</v>
      </c>
      <c r="D14609" s="21" t="s">
        <v>34</v>
      </c>
      <c r="E14609" s="21" t="s">
        <v>71</v>
      </c>
      <c r="F14609">
        <v>7800054</v>
      </c>
      <c r="G14609" t="s">
        <v>3772</v>
      </c>
      <c r="H14609" s="21">
        <v>867.17</v>
      </c>
    </row>
    <row r="14610" spans="1:8" customFormat="1" x14ac:dyDescent="0.25">
      <c r="A14610" t="str">
        <f>"5933999"</f>
        <v>5933999</v>
      </c>
      <c r="B14610" t="s">
        <v>9419</v>
      </c>
      <c r="C14610" t="s">
        <v>1132</v>
      </c>
      <c r="D14610" s="21" t="s">
        <v>34</v>
      </c>
      <c r="E14610" s="21" t="s">
        <v>71</v>
      </c>
      <c r="F14610">
        <v>7590113</v>
      </c>
      <c r="G14610" t="s">
        <v>7808</v>
      </c>
      <c r="H14610" s="21">
        <v>867.17</v>
      </c>
    </row>
    <row r="14611" spans="1:8" customFormat="1" x14ac:dyDescent="0.25">
      <c r="A14611" t="str">
        <f>"5937505"</f>
        <v>5937505</v>
      </c>
      <c r="B14611" t="s">
        <v>13917</v>
      </c>
      <c r="C14611" t="s">
        <v>2365</v>
      </c>
      <c r="D14611" s="21" t="s">
        <v>34</v>
      </c>
      <c r="E14611" s="21" t="s">
        <v>1089</v>
      </c>
      <c r="F14611">
        <v>7590071</v>
      </c>
      <c r="G14611" t="s">
        <v>2602</v>
      </c>
      <c r="H14611" s="21">
        <v>867.17</v>
      </c>
    </row>
    <row r="14612" spans="1:8" customFormat="1" x14ac:dyDescent="0.25">
      <c r="A14612" t="str">
        <f>"7612131"</f>
        <v>7612131</v>
      </c>
      <c r="B14612" t="s">
        <v>13855</v>
      </c>
      <c r="C14612" t="s">
        <v>498</v>
      </c>
      <c r="D14612" s="21" t="s">
        <v>34</v>
      </c>
      <c r="E14612" s="21" t="s">
        <v>71</v>
      </c>
      <c r="F14612">
        <v>1690147</v>
      </c>
      <c r="G14612" t="s">
        <v>7245</v>
      </c>
      <c r="H14612" s="21">
        <v>867.17</v>
      </c>
    </row>
    <row r="14613" spans="1:8" customFormat="1" x14ac:dyDescent="0.25">
      <c r="A14613" t="str">
        <f>"188986"</f>
        <v>188986</v>
      </c>
      <c r="B14613" t="s">
        <v>13995</v>
      </c>
      <c r="C14613" t="s">
        <v>43</v>
      </c>
      <c r="D14613" s="21" t="s">
        <v>34</v>
      </c>
      <c r="E14613" s="21" t="s">
        <v>71</v>
      </c>
      <c r="F14613">
        <v>4180613</v>
      </c>
      <c r="G14613" t="s">
        <v>422</v>
      </c>
      <c r="H14613" s="21">
        <v>867.17</v>
      </c>
    </row>
    <row r="14614" spans="1:8" customFormat="1" x14ac:dyDescent="0.25">
      <c r="A14614" t="str">
        <f>"745308"</f>
        <v>745308</v>
      </c>
      <c r="B14614" t="s">
        <v>9166</v>
      </c>
      <c r="C14614" t="s">
        <v>719</v>
      </c>
      <c r="D14614" s="21" t="s">
        <v>34</v>
      </c>
      <c r="E14614" s="21" t="s">
        <v>35</v>
      </c>
      <c r="F14614">
        <v>1740057</v>
      </c>
      <c r="G14614" t="s">
        <v>1567</v>
      </c>
      <c r="H14614" s="21">
        <v>867.17</v>
      </c>
    </row>
    <row r="14615" spans="1:8" customFormat="1" x14ac:dyDescent="0.25">
      <c r="A14615" t="str">
        <f>"5931327"</f>
        <v>5931327</v>
      </c>
      <c r="B14615" t="s">
        <v>679</v>
      </c>
      <c r="C14615" t="s">
        <v>33</v>
      </c>
      <c r="D14615" s="21" t="s">
        <v>34</v>
      </c>
      <c r="E14615" s="21" t="s">
        <v>35</v>
      </c>
      <c r="F14615">
        <v>7590332</v>
      </c>
      <c r="G14615" t="s">
        <v>6094</v>
      </c>
      <c r="H14615" s="21">
        <v>867.17</v>
      </c>
    </row>
    <row r="14616" spans="1:8" customFormat="1" x14ac:dyDescent="0.25">
      <c r="A14616" t="str">
        <f>"842858"</f>
        <v>842858</v>
      </c>
      <c r="B14616" t="s">
        <v>10969</v>
      </c>
      <c r="C14616" t="s">
        <v>4074</v>
      </c>
      <c r="D14616" s="21" t="s">
        <v>34</v>
      </c>
      <c r="E14616" s="21" t="s">
        <v>254</v>
      </c>
      <c r="F14616">
        <v>13840028</v>
      </c>
      <c r="G14616" t="s">
        <v>4139</v>
      </c>
      <c r="H14616" s="21">
        <v>867.17</v>
      </c>
    </row>
    <row r="14617" spans="1:8" customFormat="1" x14ac:dyDescent="0.25">
      <c r="A14617" t="str">
        <f>"9116380"</f>
        <v>9116380</v>
      </c>
      <c r="B14617" t="s">
        <v>1028</v>
      </c>
      <c r="C14617" t="s">
        <v>209</v>
      </c>
      <c r="D14617" s="21" t="s">
        <v>34</v>
      </c>
      <c r="E14617" s="21" t="s">
        <v>71</v>
      </c>
      <c r="F14617">
        <v>8910861</v>
      </c>
      <c r="G14617" t="s">
        <v>1120</v>
      </c>
      <c r="H14617" s="21">
        <v>867.17</v>
      </c>
    </row>
    <row r="14618" spans="1:8" customFormat="1" x14ac:dyDescent="0.25">
      <c r="A14618" t="str">
        <f>"5917939"</f>
        <v>5917939</v>
      </c>
      <c r="B14618" t="s">
        <v>12841</v>
      </c>
      <c r="C14618" t="s">
        <v>415</v>
      </c>
      <c r="D14618" s="21" t="s">
        <v>34</v>
      </c>
      <c r="E14618" s="21" t="s">
        <v>254</v>
      </c>
      <c r="F14618">
        <v>7590003</v>
      </c>
      <c r="G14618" t="s">
        <v>1166</v>
      </c>
      <c r="H14618" s="21">
        <v>867.17</v>
      </c>
    </row>
    <row r="14619" spans="1:8" customFormat="1" x14ac:dyDescent="0.25">
      <c r="A14619" t="str">
        <f>"083785"</f>
        <v>083785</v>
      </c>
      <c r="B14619" t="s">
        <v>8212</v>
      </c>
      <c r="C14619" t="s">
        <v>462</v>
      </c>
      <c r="D14619" s="21" t="s">
        <v>34</v>
      </c>
      <c r="E14619" s="21" t="s">
        <v>254</v>
      </c>
      <c r="F14619">
        <v>6080003</v>
      </c>
      <c r="G14619" t="s">
        <v>11899</v>
      </c>
      <c r="H14619" s="21">
        <v>867.17</v>
      </c>
    </row>
    <row r="14620" spans="1:8" customFormat="1" x14ac:dyDescent="0.25">
      <c r="A14620" t="str">
        <f>"7812844"</f>
        <v>7812844</v>
      </c>
      <c r="B14620" t="s">
        <v>7903</v>
      </c>
      <c r="C14620" t="s">
        <v>87</v>
      </c>
      <c r="D14620" s="21" t="s">
        <v>34</v>
      </c>
      <c r="E14620" s="21" t="s">
        <v>71</v>
      </c>
      <c r="F14620">
        <v>8780128</v>
      </c>
      <c r="G14620" t="s">
        <v>4201</v>
      </c>
      <c r="H14620" s="21">
        <v>867.17</v>
      </c>
    </row>
    <row r="14621" spans="1:8" customFormat="1" x14ac:dyDescent="0.25">
      <c r="A14621" t="str">
        <f>"3421545"</f>
        <v>3421545</v>
      </c>
      <c r="B14621" t="s">
        <v>12967</v>
      </c>
      <c r="C14621" t="s">
        <v>926</v>
      </c>
      <c r="D14621" s="21" t="s">
        <v>34</v>
      </c>
      <c r="E14621" s="21" t="s">
        <v>35</v>
      </c>
      <c r="F14621">
        <v>11340012</v>
      </c>
      <c r="G14621" t="s">
        <v>10413</v>
      </c>
      <c r="H14621" s="21">
        <v>867.17</v>
      </c>
    </row>
    <row r="14622" spans="1:8" customFormat="1" x14ac:dyDescent="0.25">
      <c r="A14622" t="str">
        <f>"2213747"</f>
        <v>2213747</v>
      </c>
      <c r="B14622" t="s">
        <v>14974</v>
      </c>
      <c r="C14622" t="s">
        <v>62</v>
      </c>
      <c r="D14622" s="21" t="s">
        <v>34</v>
      </c>
      <c r="E14622" s="21" t="s">
        <v>35</v>
      </c>
      <c r="F14622">
        <v>12530020</v>
      </c>
      <c r="G14622" t="s">
        <v>12755</v>
      </c>
      <c r="H14622" s="21">
        <v>867.17</v>
      </c>
    </row>
    <row r="14623" spans="1:8" customFormat="1" x14ac:dyDescent="0.25">
      <c r="A14623" t="str">
        <f>"429503"</f>
        <v>429503</v>
      </c>
      <c r="B14623" t="s">
        <v>13782</v>
      </c>
      <c r="C14623" t="s">
        <v>415</v>
      </c>
      <c r="D14623" s="21" t="s">
        <v>34</v>
      </c>
      <c r="E14623" s="21" t="s">
        <v>71</v>
      </c>
      <c r="F14623">
        <v>1420149</v>
      </c>
      <c r="G14623" t="s">
        <v>818</v>
      </c>
      <c r="H14623" s="21">
        <v>867.17</v>
      </c>
    </row>
    <row r="14624" spans="1:8" customFormat="1" x14ac:dyDescent="0.25">
      <c r="A14624" t="str">
        <f>"4513754"</f>
        <v>4513754</v>
      </c>
      <c r="B14624" t="s">
        <v>23953</v>
      </c>
      <c r="C14624" t="s">
        <v>43</v>
      </c>
      <c r="D14624" s="21" t="s">
        <v>34</v>
      </c>
      <c r="E14624" s="21" t="s">
        <v>35</v>
      </c>
      <c r="F14624">
        <v>4410537</v>
      </c>
      <c r="G14624" t="s">
        <v>6515</v>
      </c>
      <c r="H14624" s="21">
        <v>867.17</v>
      </c>
    </row>
    <row r="14625" spans="1:8" customFormat="1" x14ac:dyDescent="0.25">
      <c r="A14625" t="str">
        <f>"2926710"</f>
        <v>2926710</v>
      </c>
      <c r="B14625" t="s">
        <v>12495</v>
      </c>
      <c r="C14625" t="s">
        <v>9631</v>
      </c>
      <c r="D14625" s="21" t="s">
        <v>34</v>
      </c>
      <c r="E14625" s="21" t="s">
        <v>35</v>
      </c>
      <c r="F14625">
        <v>3290023</v>
      </c>
      <c r="G14625" t="s">
        <v>3883</v>
      </c>
      <c r="H14625" s="21">
        <v>867.17</v>
      </c>
    </row>
    <row r="14626" spans="1:8" customFormat="1" x14ac:dyDescent="0.25">
      <c r="A14626" t="str">
        <f>"903980"</f>
        <v>903980</v>
      </c>
      <c r="B14626" t="s">
        <v>12832</v>
      </c>
      <c r="C14626" t="s">
        <v>415</v>
      </c>
      <c r="D14626" s="21" t="s">
        <v>34</v>
      </c>
      <c r="E14626" s="21" t="s">
        <v>71</v>
      </c>
      <c r="F14626">
        <v>6680082</v>
      </c>
      <c r="G14626" t="s">
        <v>289</v>
      </c>
      <c r="H14626" s="21">
        <v>867.17</v>
      </c>
    </row>
    <row r="14627" spans="1:8" customFormat="1" x14ac:dyDescent="0.25">
      <c r="A14627" t="str">
        <f>"7517298"</f>
        <v>7517298</v>
      </c>
      <c r="B14627" t="s">
        <v>7886</v>
      </c>
      <c r="C14627" t="s">
        <v>109</v>
      </c>
      <c r="D14627" s="21" t="s">
        <v>34</v>
      </c>
      <c r="E14627" s="21" t="s">
        <v>35</v>
      </c>
      <c r="F14627">
        <v>8750141</v>
      </c>
      <c r="G14627" t="s">
        <v>1514</v>
      </c>
      <c r="H14627" s="21">
        <v>867.17</v>
      </c>
    </row>
    <row r="14628" spans="1:8" customFormat="1" x14ac:dyDescent="0.25">
      <c r="A14628" t="str">
        <f>"29401"</f>
        <v>29401</v>
      </c>
      <c r="B14628" t="s">
        <v>7291</v>
      </c>
      <c r="C14628" t="s">
        <v>2479</v>
      </c>
      <c r="D14628" s="21" t="s">
        <v>34</v>
      </c>
      <c r="E14628" s="21" t="s">
        <v>71</v>
      </c>
      <c r="F14628">
        <v>3290264</v>
      </c>
      <c r="G14628" t="s">
        <v>6934</v>
      </c>
      <c r="H14628" s="21">
        <v>867.17</v>
      </c>
    </row>
    <row r="14629" spans="1:8" customFormat="1" x14ac:dyDescent="0.25">
      <c r="A14629" t="str">
        <f>"1414483"</f>
        <v>1414483</v>
      </c>
      <c r="B14629" t="s">
        <v>12142</v>
      </c>
      <c r="C14629" t="s">
        <v>187</v>
      </c>
      <c r="D14629" s="21" t="s">
        <v>34</v>
      </c>
      <c r="E14629" s="21" t="s">
        <v>71</v>
      </c>
      <c r="F14629">
        <v>9140127</v>
      </c>
      <c r="G14629" t="s">
        <v>6641</v>
      </c>
      <c r="H14629" s="21">
        <v>867.17</v>
      </c>
    </row>
    <row r="14630" spans="1:8" customFormat="1" x14ac:dyDescent="0.25">
      <c r="A14630" t="str">
        <f>"7510896"</f>
        <v>7510896</v>
      </c>
      <c r="B14630" t="s">
        <v>4262</v>
      </c>
      <c r="C14630" t="s">
        <v>12319</v>
      </c>
      <c r="D14630" s="21" t="s">
        <v>34</v>
      </c>
      <c r="E14630" s="21" t="s">
        <v>254</v>
      </c>
      <c r="F14630">
        <v>8751260</v>
      </c>
      <c r="G14630" t="s">
        <v>10641</v>
      </c>
      <c r="H14630" s="21">
        <v>867.17</v>
      </c>
    </row>
    <row r="14631" spans="1:8" customFormat="1" x14ac:dyDescent="0.25">
      <c r="A14631" t="str">
        <f>"7725676"</f>
        <v>7725676</v>
      </c>
      <c r="B14631" t="s">
        <v>12087</v>
      </c>
      <c r="C14631" t="s">
        <v>87</v>
      </c>
      <c r="D14631" s="21" t="s">
        <v>34</v>
      </c>
      <c r="E14631" s="21" t="s">
        <v>35</v>
      </c>
      <c r="F14631">
        <v>8770895</v>
      </c>
      <c r="G14631" t="s">
        <v>4795</v>
      </c>
      <c r="H14631" s="21">
        <v>867.04</v>
      </c>
    </row>
    <row r="14632" spans="1:8" customFormat="1" x14ac:dyDescent="0.25">
      <c r="A14632" t="str">
        <f>"9434382"</f>
        <v>9434382</v>
      </c>
      <c r="B14632" t="s">
        <v>5466</v>
      </c>
      <c r="C14632" t="s">
        <v>1142</v>
      </c>
      <c r="D14632" s="21" t="s">
        <v>34</v>
      </c>
      <c r="E14632" s="21" t="s">
        <v>71</v>
      </c>
      <c r="F14632">
        <v>8771087</v>
      </c>
      <c r="G14632" t="s">
        <v>9715</v>
      </c>
      <c r="H14632" s="21">
        <v>866.92</v>
      </c>
    </row>
    <row r="14633" spans="1:8" customFormat="1" x14ac:dyDescent="0.25">
      <c r="A14633" t="str">
        <f>"4918528"</f>
        <v>4918528</v>
      </c>
      <c r="B14633" t="s">
        <v>14404</v>
      </c>
      <c r="C14633" t="s">
        <v>288</v>
      </c>
      <c r="D14633" s="21" t="s">
        <v>34</v>
      </c>
      <c r="E14633" s="21" t="s">
        <v>35</v>
      </c>
      <c r="F14633">
        <v>12490092</v>
      </c>
      <c r="G14633" t="s">
        <v>1854</v>
      </c>
      <c r="H14633" s="21">
        <v>866.92</v>
      </c>
    </row>
    <row r="14634" spans="1:8" customFormat="1" x14ac:dyDescent="0.25">
      <c r="A14634" t="str">
        <f>"5015486"</f>
        <v>5015486</v>
      </c>
      <c r="B14634" t="s">
        <v>12691</v>
      </c>
      <c r="C14634" t="s">
        <v>3784</v>
      </c>
      <c r="D14634" s="21" t="s">
        <v>34</v>
      </c>
      <c r="E14634" s="21" t="s">
        <v>254</v>
      </c>
      <c r="F14634">
        <v>9500139</v>
      </c>
      <c r="G14634" t="s">
        <v>6892</v>
      </c>
      <c r="H14634" s="21">
        <v>866.79</v>
      </c>
    </row>
    <row r="14635" spans="1:8" customFormat="1" x14ac:dyDescent="0.25">
      <c r="A14635" t="str">
        <f>"471824"</f>
        <v>471824</v>
      </c>
      <c r="B14635" t="s">
        <v>14629</v>
      </c>
      <c r="C14635" t="s">
        <v>459</v>
      </c>
      <c r="D14635" s="21" t="s">
        <v>34</v>
      </c>
      <c r="E14635" s="21" t="s">
        <v>71</v>
      </c>
      <c r="F14635">
        <v>10470007</v>
      </c>
      <c r="G14635" t="s">
        <v>3049</v>
      </c>
      <c r="H14635" s="21">
        <v>866.79</v>
      </c>
    </row>
    <row r="14636" spans="1:8" customFormat="1" x14ac:dyDescent="0.25">
      <c r="A14636" t="str">
        <f>"2912441"</f>
        <v>2912441</v>
      </c>
      <c r="B14636" t="s">
        <v>4152</v>
      </c>
      <c r="C14636" t="s">
        <v>55</v>
      </c>
      <c r="D14636" s="21" t="s">
        <v>34</v>
      </c>
      <c r="E14636" s="21" t="s">
        <v>35</v>
      </c>
      <c r="F14636">
        <v>3290011</v>
      </c>
      <c r="G14636" t="s">
        <v>7083</v>
      </c>
      <c r="H14636" s="21">
        <v>866.67</v>
      </c>
    </row>
    <row r="14637" spans="1:8" customFormat="1" x14ac:dyDescent="0.25">
      <c r="A14637" t="str">
        <f>"865881"</f>
        <v>865881</v>
      </c>
      <c r="B14637" t="s">
        <v>956</v>
      </c>
      <c r="C14637" t="s">
        <v>263</v>
      </c>
      <c r="D14637" s="21" t="s">
        <v>34</v>
      </c>
      <c r="E14637" s="21" t="s">
        <v>254</v>
      </c>
      <c r="F14637">
        <v>10860187</v>
      </c>
      <c r="G14637" t="s">
        <v>9991</v>
      </c>
      <c r="H14637" s="21">
        <v>866.67</v>
      </c>
    </row>
    <row r="14638" spans="1:8" customFormat="1" x14ac:dyDescent="0.25">
      <c r="A14638" t="str">
        <f>"2214304"</f>
        <v>2214304</v>
      </c>
      <c r="B14638" t="s">
        <v>4609</v>
      </c>
      <c r="C14638" t="s">
        <v>209</v>
      </c>
      <c r="D14638" s="21" t="s">
        <v>34</v>
      </c>
      <c r="E14638" s="21" t="s">
        <v>71</v>
      </c>
      <c r="F14638">
        <v>3220124</v>
      </c>
      <c r="G14638" t="s">
        <v>27347</v>
      </c>
      <c r="H14638" s="21">
        <v>866.67</v>
      </c>
    </row>
    <row r="14639" spans="1:8" customFormat="1" x14ac:dyDescent="0.25">
      <c r="A14639" t="str">
        <f>"732401"</f>
        <v>732401</v>
      </c>
      <c r="B14639" t="s">
        <v>1347</v>
      </c>
      <c r="C14639" t="s">
        <v>3648</v>
      </c>
      <c r="D14639" s="21" t="s">
        <v>34</v>
      </c>
      <c r="E14639" s="21" t="s">
        <v>254</v>
      </c>
      <c r="F14639">
        <v>1730051</v>
      </c>
      <c r="G14639" t="s">
        <v>5293</v>
      </c>
      <c r="H14639" s="21">
        <v>866.67</v>
      </c>
    </row>
    <row r="14640" spans="1:8" customFormat="1" x14ac:dyDescent="0.25">
      <c r="A14640" t="str">
        <f>"042291"</f>
        <v>042291</v>
      </c>
      <c r="B14640" t="s">
        <v>12925</v>
      </c>
      <c r="C14640" t="s">
        <v>2520</v>
      </c>
      <c r="D14640" s="21" t="s">
        <v>34</v>
      </c>
      <c r="E14640" s="21" t="s">
        <v>1089</v>
      </c>
      <c r="F14640">
        <v>10400021</v>
      </c>
      <c r="G14640" t="s">
        <v>12111</v>
      </c>
      <c r="H14640" s="21">
        <v>866.67</v>
      </c>
    </row>
    <row r="14641" spans="1:8" customFormat="1" x14ac:dyDescent="0.25">
      <c r="A14641" t="str">
        <f>"145253"</f>
        <v>145253</v>
      </c>
      <c r="B14641" t="s">
        <v>11000</v>
      </c>
      <c r="C14641" t="s">
        <v>812</v>
      </c>
      <c r="D14641" s="21" t="s">
        <v>34</v>
      </c>
      <c r="E14641" s="21" t="s">
        <v>254</v>
      </c>
      <c r="F14641">
        <v>9140078</v>
      </c>
      <c r="G14641" t="s">
        <v>1920</v>
      </c>
      <c r="H14641" s="21">
        <v>866.67</v>
      </c>
    </row>
    <row r="14642" spans="1:8" customFormat="1" x14ac:dyDescent="0.25">
      <c r="A14642" t="str">
        <f>"6221506"</f>
        <v>6221506</v>
      </c>
      <c r="B14642" t="s">
        <v>9008</v>
      </c>
      <c r="C14642" t="s">
        <v>87</v>
      </c>
      <c r="D14642" s="21" t="s">
        <v>34</v>
      </c>
      <c r="E14642" s="21" t="s">
        <v>35</v>
      </c>
      <c r="F14642">
        <v>7590002</v>
      </c>
      <c r="G14642" t="s">
        <v>7135</v>
      </c>
      <c r="H14642" s="21">
        <v>866.67</v>
      </c>
    </row>
    <row r="14643" spans="1:8" customFormat="1" x14ac:dyDescent="0.25">
      <c r="A14643" t="str">
        <f>"5619621"</f>
        <v>5619621</v>
      </c>
      <c r="B14643" t="s">
        <v>3587</v>
      </c>
      <c r="C14643" t="s">
        <v>55</v>
      </c>
      <c r="D14643" s="21" t="s">
        <v>34</v>
      </c>
      <c r="E14643" s="21" t="s">
        <v>35</v>
      </c>
      <c r="F14643">
        <v>3560045</v>
      </c>
      <c r="G14643" t="s">
        <v>4969</v>
      </c>
      <c r="H14643" s="21">
        <v>866.67</v>
      </c>
    </row>
    <row r="14644" spans="1:8" customFormat="1" x14ac:dyDescent="0.25">
      <c r="A14644" t="str">
        <f>"5017499"</f>
        <v>5017499</v>
      </c>
      <c r="B14644" t="s">
        <v>27348</v>
      </c>
      <c r="C14644" t="s">
        <v>233</v>
      </c>
      <c r="D14644" s="21" t="s">
        <v>34</v>
      </c>
      <c r="E14644" s="21" t="s">
        <v>254</v>
      </c>
      <c r="F14644">
        <v>9500139</v>
      </c>
      <c r="G14644" t="s">
        <v>6892</v>
      </c>
      <c r="H14644" s="21">
        <v>866.67</v>
      </c>
    </row>
    <row r="14645" spans="1:8" customFormat="1" x14ac:dyDescent="0.25">
      <c r="A14645" t="str">
        <f>"581975"</f>
        <v>581975</v>
      </c>
      <c r="B14645" t="s">
        <v>1264</v>
      </c>
      <c r="C14645" t="s">
        <v>144</v>
      </c>
      <c r="D14645" s="21" t="s">
        <v>34</v>
      </c>
      <c r="E14645" s="21" t="s">
        <v>35</v>
      </c>
      <c r="F14645">
        <v>2250211</v>
      </c>
      <c r="G14645" t="s">
        <v>9174</v>
      </c>
      <c r="H14645" s="21">
        <v>866.67</v>
      </c>
    </row>
    <row r="14646" spans="1:8" customFormat="1" x14ac:dyDescent="0.25">
      <c r="A14646" t="str">
        <f>"6922419"</f>
        <v>6922419</v>
      </c>
      <c r="B14646" t="s">
        <v>25617</v>
      </c>
      <c r="C14646" t="s">
        <v>253</v>
      </c>
      <c r="D14646" s="21" t="s">
        <v>34</v>
      </c>
      <c r="E14646" s="21" t="s">
        <v>1089</v>
      </c>
      <c r="F14646">
        <v>13830013</v>
      </c>
      <c r="G14646" t="s">
        <v>3374</v>
      </c>
      <c r="H14646" s="21">
        <v>866.67</v>
      </c>
    </row>
    <row r="14647" spans="1:8" customFormat="1" x14ac:dyDescent="0.25">
      <c r="A14647" t="str">
        <f>"2711610"</f>
        <v>2711610</v>
      </c>
      <c r="B14647" t="s">
        <v>2489</v>
      </c>
      <c r="C14647" t="s">
        <v>209</v>
      </c>
      <c r="D14647" s="21" t="s">
        <v>34</v>
      </c>
      <c r="E14647" s="21" t="s">
        <v>71</v>
      </c>
      <c r="F14647">
        <v>9270139</v>
      </c>
      <c r="G14647" t="s">
        <v>6955</v>
      </c>
      <c r="H14647" s="21">
        <v>866.67</v>
      </c>
    </row>
    <row r="14648" spans="1:8" customFormat="1" x14ac:dyDescent="0.25">
      <c r="A14648" t="str">
        <f>"894379"</f>
        <v>894379</v>
      </c>
      <c r="B14648" t="s">
        <v>12794</v>
      </c>
      <c r="C14648" t="s">
        <v>40</v>
      </c>
      <c r="D14648" s="21" t="s">
        <v>34</v>
      </c>
      <c r="E14648" s="21" t="s">
        <v>71</v>
      </c>
      <c r="F14648">
        <v>2890006</v>
      </c>
      <c r="G14648" t="s">
        <v>2044</v>
      </c>
      <c r="H14648" s="21">
        <v>866.67</v>
      </c>
    </row>
    <row r="14649" spans="1:8" customFormat="1" x14ac:dyDescent="0.25">
      <c r="A14649" t="str">
        <f>"34220"</f>
        <v>34220</v>
      </c>
      <c r="B14649" t="s">
        <v>12945</v>
      </c>
      <c r="C14649" t="s">
        <v>2305</v>
      </c>
      <c r="D14649" s="21" t="s">
        <v>34</v>
      </c>
      <c r="E14649" s="21" t="s">
        <v>1089</v>
      </c>
      <c r="F14649">
        <v>11340013</v>
      </c>
      <c r="G14649" t="s">
        <v>11430</v>
      </c>
      <c r="H14649" s="21">
        <v>866.67</v>
      </c>
    </row>
    <row r="14650" spans="1:8" customFormat="1" x14ac:dyDescent="0.25">
      <c r="A14650" t="str">
        <f>"509003"</f>
        <v>509003</v>
      </c>
      <c r="B14650" t="s">
        <v>1533</v>
      </c>
      <c r="C14650" t="s">
        <v>139</v>
      </c>
      <c r="D14650" s="21" t="s">
        <v>34</v>
      </c>
      <c r="E14650" s="21" t="s">
        <v>35</v>
      </c>
      <c r="F14650">
        <v>3350119</v>
      </c>
      <c r="G14650" t="s">
        <v>12439</v>
      </c>
      <c r="H14650" s="21">
        <v>866.67</v>
      </c>
    </row>
    <row r="14651" spans="1:8" customFormat="1" x14ac:dyDescent="0.25">
      <c r="A14651" t="str">
        <f>"614524"</f>
        <v>614524</v>
      </c>
      <c r="B14651" t="s">
        <v>11385</v>
      </c>
      <c r="C14651" t="s">
        <v>598</v>
      </c>
      <c r="D14651" s="21" t="s">
        <v>34</v>
      </c>
      <c r="E14651" s="21" t="s">
        <v>71</v>
      </c>
      <c r="F14651">
        <v>9610106</v>
      </c>
      <c r="G14651" t="s">
        <v>12520</v>
      </c>
      <c r="H14651" s="21">
        <v>866.67</v>
      </c>
    </row>
    <row r="14652" spans="1:8" customFormat="1" x14ac:dyDescent="0.25">
      <c r="A14652" t="str">
        <f>"4516586"</f>
        <v>4516586</v>
      </c>
      <c r="B14652" t="s">
        <v>14094</v>
      </c>
      <c r="C14652" t="s">
        <v>198</v>
      </c>
      <c r="D14652" s="21" t="s">
        <v>34</v>
      </c>
      <c r="E14652" s="21" t="s">
        <v>71</v>
      </c>
      <c r="F14652">
        <v>4450748</v>
      </c>
      <c r="G14652" t="s">
        <v>22902</v>
      </c>
      <c r="H14652" s="21">
        <v>866.67</v>
      </c>
    </row>
    <row r="14653" spans="1:8" customFormat="1" x14ac:dyDescent="0.25">
      <c r="A14653" t="str">
        <f>"632180"</f>
        <v>632180</v>
      </c>
      <c r="B14653" t="s">
        <v>13452</v>
      </c>
      <c r="C14653" t="s">
        <v>124</v>
      </c>
      <c r="D14653" s="21" t="s">
        <v>34</v>
      </c>
      <c r="E14653" s="21" t="s">
        <v>71</v>
      </c>
      <c r="F14653">
        <v>1630114</v>
      </c>
      <c r="G14653" t="s">
        <v>10269</v>
      </c>
      <c r="H14653" s="21">
        <v>866.67</v>
      </c>
    </row>
    <row r="14654" spans="1:8" customFormat="1" x14ac:dyDescent="0.25">
      <c r="A14654" t="str">
        <f>"4429464"</f>
        <v>4429464</v>
      </c>
      <c r="B14654" t="s">
        <v>17628</v>
      </c>
      <c r="C14654" t="s">
        <v>121</v>
      </c>
      <c r="D14654" s="21" t="s">
        <v>34</v>
      </c>
      <c r="E14654" s="21" t="s">
        <v>35</v>
      </c>
      <c r="F14654">
        <v>12440029</v>
      </c>
      <c r="G14654" t="s">
        <v>567</v>
      </c>
      <c r="H14654" s="21">
        <v>866.67</v>
      </c>
    </row>
    <row r="14655" spans="1:8" customFormat="1" x14ac:dyDescent="0.25">
      <c r="A14655" t="str">
        <f>"9532237"</f>
        <v>9532237</v>
      </c>
      <c r="B14655" t="s">
        <v>5928</v>
      </c>
      <c r="C14655" t="s">
        <v>459</v>
      </c>
      <c r="D14655" s="21" t="s">
        <v>34</v>
      </c>
      <c r="E14655" s="21" t="s">
        <v>35</v>
      </c>
      <c r="F14655">
        <v>8951411</v>
      </c>
      <c r="G14655" t="s">
        <v>416</v>
      </c>
      <c r="H14655" s="21">
        <v>866.67</v>
      </c>
    </row>
    <row r="14656" spans="1:8" customFormat="1" x14ac:dyDescent="0.25">
      <c r="A14656" t="str">
        <f>"7615788"</f>
        <v>7615788</v>
      </c>
      <c r="B14656" t="s">
        <v>9940</v>
      </c>
      <c r="C14656" t="s">
        <v>598</v>
      </c>
      <c r="D14656" s="21" t="s">
        <v>34</v>
      </c>
      <c r="E14656" s="21" t="s">
        <v>71</v>
      </c>
      <c r="F14656">
        <v>9760015</v>
      </c>
      <c r="G14656" t="s">
        <v>5277</v>
      </c>
      <c r="H14656" s="21">
        <v>866.67</v>
      </c>
    </row>
    <row r="14657" spans="1:8" customFormat="1" x14ac:dyDescent="0.25">
      <c r="A14657" t="str">
        <f>"9129065"</f>
        <v>9129065</v>
      </c>
      <c r="B14657" t="s">
        <v>14464</v>
      </c>
      <c r="C14657" t="s">
        <v>269</v>
      </c>
      <c r="D14657" s="21" t="s">
        <v>34</v>
      </c>
      <c r="E14657" s="21" t="s">
        <v>35</v>
      </c>
      <c r="F14657">
        <v>8910285</v>
      </c>
      <c r="G14657" t="s">
        <v>26604</v>
      </c>
      <c r="H14657" s="21">
        <v>866.67</v>
      </c>
    </row>
    <row r="14658" spans="1:8" customFormat="1" x14ac:dyDescent="0.25">
      <c r="A14658" t="str">
        <f>"2918705"</f>
        <v>2918705</v>
      </c>
      <c r="B14658" t="s">
        <v>9004</v>
      </c>
      <c r="C14658" t="s">
        <v>124</v>
      </c>
      <c r="D14658" s="21" t="s">
        <v>34</v>
      </c>
      <c r="E14658" s="21" t="s">
        <v>71</v>
      </c>
      <c r="F14658">
        <v>3290241</v>
      </c>
      <c r="G14658" t="s">
        <v>9595</v>
      </c>
      <c r="H14658" s="21">
        <v>866.67</v>
      </c>
    </row>
    <row r="14659" spans="1:8" customFormat="1" x14ac:dyDescent="0.25">
      <c r="A14659" t="str">
        <f>"515549"</f>
        <v>515549</v>
      </c>
      <c r="B14659" t="s">
        <v>12457</v>
      </c>
      <c r="C14659" t="s">
        <v>209</v>
      </c>
      <c r="D14659" s="21" t="s">
        <v>34</v>
      </c>
      <c r="E14659" s="21" t="s">
        <v>254</v>
      </c>
      <c r="F14659">
        <v>6510107</v>
      </c>
      <c r="G14659" t="s">
        <v>1392</v>
      </c>
      <c r="H14659" s="21">
        <v>866.67</v>
      </c>
    </row>
    <row r="14660" spans="1:8" customFormat="1" x14ac:dyDescent="0.25">
      <c r="A14660" t="str">
        <f>"844893"</f>
        <v>844893</v>
      </c>
      <c r="B14660" t="s">
        <v>12073</v>
      </c>
      <c r="C14660" t="s">
        <v>239</v>
      </c>
      <c r="D14660" s="21" t="s">
        <v>34</v>
      </c>
      <c r="E14660" s="21" t="s">
        <v>71</v>
      </c>
      <c r="F14660">
        <v>13840021</v>
      </c>
      <c r="G14660" t="s">
        <v>3946</v>
      </c>
      <c r="H14660" s="21">
        <v>866.42</v>
      </c>
    </row>
    <row r="14661" spans="1:8" customFormat="1" x14ac:dyDescent="0.25">
      <c r="A14661" t="str">
        <f>"5946823"</f>
        <v>5946823</v>
      </c>
      <c r="B14661" t="s">
        <v>3642</v>
      </c>
      <c r="C14661" t="s">
        <v>576</v>
      </c>
      <c r="D14661" s="21" t="s">
        <v>34</v>
      </c>
      <c r="E14661" s="21" t="s">
        <v>35</v>
      </c>
      <c r="F14661">
        <v>7590053</v>
      </c>
      <c r="G14661" t="s">
        <v>2825</v>
      </c>
      <c r="H14661" s="21">
        <v>866.42</v>
      </c>
    </row>
    <row r="14662" spans="1:8" customFormat="1" x14ac:dyDescent="0.25">
      <c r="A14662" t="str">
        <f>"193745"</f>
        <v>193745</v>
      </c>
      <c r="B14662" t="s">
        <v>1243</v>
      </c>
      <c r="C14662" t="s">
        <v>1841</v>
      </c>
      <c r="D14662" s="21" t="s">
        <v>34</v>
      </c>
      <c r="E14662" s="21" t="s">
        <v>254</v>
      </c>
      <c r="F14662">
        <v>10190134</v>
      </c>
      <c r="G14662" t="s">
        <v>27150</v>
      </c>
      <c r="H14662" s="21">
        <v>866.42</v>
      </c>
    </row>
    <row r="14663" spans="1:8" customFormat="1" x14ac:dyDescent="0.25">
      <c r="A14663" t="str">
        <f>"5923988"</f>
        <v>5923988</v>
      </c>
      <c r="B14663" t="s">
        <v>623</v>
      </c>
      <c r="C14663" t="s">
        <v>62</v>
      </c>
      <c r="D14663" s="21" t="s">
        <v>34</v>
      </c>
      <c r="E14663" s="21" t="s">
        <v>35</v>
      </c>
      <c r="F14663">
        <v>7590417</v>
      </c>
      <c r="G14663" t="s">
        <v>10387</v>
      </c>
      <c r="H14663" s="21">
        <v>866.42</v>
      </c>
    </row>
    <row r="14664" spans="1:8" customFormat="1" x14ac:dyDescent="0.25">
      <c r="A14664" t="str">
        <f>"371706"</f>
        <v>371706</v>
      </c>
      <c r="B14664" t="s">
        <v>10989</v>
      </c>
      <c r="C14664" t="s">
        <v>239</v>
      </c>
      <c r="D14664" s="21" t="s">
        <v>34</v>
      </c>
      <c r="E14664" s="21" t="s">
        <v>71</v>
      </c>
      <c r="F14664">
        <v>4370146</v>
      </c>
      <c r="G14664" t="s">
        <v>10990</v>
      </c>
      <c r="H14664" s="21">
        <v>866.29</v>
      </c>
    </row>
    <row r="14665" spans="1:8" customFormat="1" x14ac:dyDescent="0.25">
      <c r="A14665" t="str">
        <f>"3833209"</f>
        <v>3833209</v>
      </c>
      <c r="B14665" t="s">
        <v>4834</v>
      </c>
      <c r="C14665" t="s">
        <v>288</v>
      </c>
      <c r="D14665" s="21" t="s">
        <v>34</v>
      </c>
      <c r="E14665" s="21" t="s">
        <v>35</v>
      </c>
      <c r="F14665">
        <v>1380130</v>
      </c>
      <c r="G14665" t="s">
        <v>6667</v>
      </c>
      <c r="H14665" s="21">
        <v>866.29</v>
      </c>
    </row>
    <row r="14666" spans="1:8" customFormat="1" x14ac:dyDescent="0.25">
      <c r="A14666" t="str">
        <f>"898329"</f>
        <v>898329</v>
      </c>
      <c r="B14666" t="s">
        <v>13075</v>
      </c>
      <c r="C14666" t="s">
        <v>285</v>
      </c>
      <c r="D14666" s="21" t="s">
        <v>34</v>
      </c>
      <c r="E14666" s="21" t="s">
        <v>71</v>
      </c>
      <c r="F14666">
        <v>2890061</v>
      </c>
      <c r="G14666" t="s">
        <v>13076</v>
      </c>
      <c r="H14666" s="21">
        <v>866.29</v>
      </c>
    </row>
    <row r="14667" spans="1:8" customFormat="1" x14ac:dyDescent="0.25">
      <c r="A14667" t="str">
        <f>"4428069"</f>
        <v>4428069</v>
      </c>
      <c r="B14667" t="s">
        <v>4796</v>
      </c>
      <c r="C14667" t="s">
        <v>285</v>
      </c>
      <c r="D14667" s="21" t="s">
        <v>34</v>
      </c>
      <c r="E14667" s="21" t="s">
        <v>35</v>
      </c>
      <c r="F14667">
        <v>12440101</v>
      </c>
      <c r="G14667" t="s">
        <v>3482</v>
      </c>
      <c r="H14667" s="21">
        <v>866.17</v>
      </c>
    </row>
    <row r="14668" spans="1:8" customFormat="1" x14ac:dyDescent="0.25">
      <c r="A14668" t="str">
        <f>"33173"</f>
        <v>33173</v>
      </c>
      <c r="B14668" t="s">
        <v>12467</v>
      </c>
      <c r="C14668" t="s">
        <v>2520</v>
      </c>
      <c r="D14668" s="21" t="s">
        <v>34</v>
      </c>
      <c r="E14668" s="21" t="s">
        <v>1089</v>
      </c>
      <c r="F14668">
        <v>10330003</v>
      </c>
      <c r="G14668" t="s">
        <v>309</v>
      </c>
      <c r="H14668" s="21">
        <v>866.17</v>
      </c>
    </row>
    <row r="14669" spans="1:8" customFormat="1" x14ac:dyDescent="0.25">
      <c r="A14669" t="str">
        <f>"417452"</f>
        <v>417452</v>
      </c>
      <c r="B14669" t="s">
        <v>13141</v>
      </c>
      <c r="C14669" t="s">
        <v>453</v>
      </c>
      <c r="D14669" s="21" t="s">
        <v>34</v>
      </c>
      <c r="E14669" s="21" t="s">
        <v>71</v>
      </c>
      <c r="F14669">
        <v>4410279</v>
      </c>
      <c r="G14669" t="s">
        <v>3499</v>
      </c>
      <c r="H14669" s="21">
        <v>866.17</v>
      </c>
    </row>
    <row r="14670" spans="1:8" customFormat="1" x14ac:dyDescent="0.25">
      <c r="A14670" t="str">
        <f>"9240282"</f>
        <v>9240282</v>
      </c>
      <c r="B14670" t="s">
        <v>697</v>
      </c>
      <c r="C14670" t="s">
        <v>119</v>
      </c>
      <c r="D14670" s="21" t="s">
        <v>34</v>
      </c>
      <c r="E14670" s="21" t="s">
        <v>71</v>
      </c>
      <c r="F14670">
        <v>8920309</v>
      </c>
      <c r="G14670" t="s">
        <v>1894</v>
      </c>
      <c r="H14670" s="21">
        <v>866.17</v>
      </c>
    </row>
    <row r="14671" spans="1:8" customFormat="1" x14ac:dyDescent="0.25">
      <c r="A14671" t="str">
        <f>"515710"</f>
        <v>515710</v>
      </c>
      <c r="B14671" t="s">
        <v>12869</v>
      </c>
      <c r="C14671" t="s">
        <v>3109</v>
      </c>
      <c r="D14671" s="21" t="s">
        <v>34</v>
      </c>
      <c r="E14671" s="21" t="s">
        <v>35</v>
      </c>
      <c r="F14671">
        <v>6510058</v>
      </c>
      <c r="G14671" t="s">
        <v>6780</v>
      </c>
      <c r="H14671" s="21">
        <v>866.17</v>
      </c>
    </row>
    <row r="14672" spans="1:8" customFormat="1" x14ac:dyDescent="0.25">
      <c r="A14672" t="str">
        <f>"165993"</f>
        <v>165993</v>
      </c>
      <c r="B14672" t="s">
        <v>1349</v>
      </c>
      <c r="C14672" t="s">
        <v>233</v>
      </c>
      <c r="D14672" s="21" t="s">
        <v>34</v>
      </c>
      <c r="E14672" s="21" t="s">
        <v>71</v>
      </c>
      <c r="F14672">
        <v>10160028</v>
      </c>
      <c r="G14672" t="s">
        <v>12565</v>
      </c>
      <c r="H14672" s="21">
        <v>866.17</v>
      </c>
    </row>
    <row r="14673" spans="1:8" customFormat="1" x14ac:dyDescent="0.25">
      <c r="A14673" t="str">
        <f>"5428037"</f>
        <v>5428037</v>
      </c>
      <c r="B14673" t="s">
        <v>13336</v>
      </c>
      <c r="C14673" t="s">
        <v>8345</v>
      </c>
      <c r="D14673" s="21" t="s">
        <v>34</v>
      </c>
      <c r="E14673" s="21" t="s">
        <v>35</v>
      </c>
      <c r="F14673">
        <v>6540021</v>
      </c>
      <c r="G14673" t="s">
        <v>1815</v>
      </c>
      <c r="H14673" s="21">
        <v>866.17</v>
      </c>
    </row>
    <row r="14674" spans="1:8" customFormat="1" x14ac:dyDescent="0.25">
      <c r="A14674" t="str">
        <f>"195172"</f>
        <v>195172</v>
      </c>
      <c r="B14674" t="s">
        <v>14480</v>
      </c>
      <c r="C14674" t="s">
        <v>2546</v>
      </c>
      <c r="D14674" s="21" t="s">
        <v>34</v>
      </c>
      <c r="E14674" s="21" t="s">
        <v>1089</v>
      </c>
      <c r="F14674">
        <v>10190129</v>
      </c>
      <c r="G14674" t="s">
        <v>16206</v>
      </c>
      <c r="H14674" s="21">
        <v>866.17</v>
      </c>
    </row>
    <row r="14675" spans="1:8" customFormat="1" x14ac:dyDescent="0.25">
      <c r="A14675" t="str">
        <f>"37953"</f>
        <v>37953</v>
      </c>
      <c r="B14675" t="s">
        <v>12753</v>
      </c>
      <c r="C14675" t="s">
        <v>198</v>
      </c>
      <c r="D14675" s="21" t="s">
        <v>34</v>
      </c>
      <c r="E14675" s="21" t="s">
        <v>254</v>
      </c>
      <c r="F14675">
        <v>4370289</v>
      </c>
      <c r="G14675" t="s">
        <v>7887</v>
      </c>
      <c r="H14675" s="21">
        <v>866.17</v>
      </c>
    </row>
    <row r="14676" spans="1:8" customFormat="1" x14ac:dyDescent="0.25">
      <c r="A14676" t="str">
        <f>"44658"</f>
        <v>44658</v>
      </c>
      <c r="B14676" t="s">
        <v>461</v>
      </c>
      <c r="C14676" t="s">
        <v>547</v>
      </c>
      <c r="D14676" s="21" t="s">
        <v>34</v>
      </c>
      <c r="E14676" s="21" t="s">
        <v>254</v>
      </c>
      <c r="F14676">
        <v>12440020</v>
      </c>
      <c r="G14676" t="s">
        <v>4606</v>
      </c>
      <c r="H14676" s="21">
        <v>866.17</v>
      </c>
    </row>
    <row r="14677" spans="1:8" customFormat="1" x14ac:dyDescent="0.25">
      <c r="A14677" t="str">
        <f>"93780"</f>
        <v>93780</v>
      </c>
      <c r="B14677" t="s">
        <v>12614</v>
      </c>
      <c r="C14677" t="s">
        <v>2365</v>
      </c>
      <c r="D14677" s="21" t="s">
        <v>34</v>
      </c>
      <c r="E14677" s="21" t="s">
        <v>254</v>
      </c>
      <c r="F14677">
        <v>8930430</v>
      </c>
      <c r="G14677" t="s">
        <v>995</v>
      </c>
      <c r="H14677" s="21">
        <v>866.17</v>
      </c>
    </row>
    <row r="14678" spans="1:8" customFormat="1" x14ac:dyDescent="0.25">
      <c r="A14678" t="str">
        <f>"034515"</f>
        <v>034515</v>
      </c>
      <c r="B14678" t="s">
        <v>1240</v>
      </c>
      <c r="C14678" t="s">
        <v>65</v>
      </c>
      <c r="D14678" s="21" t="s">
        <v>34</v>
      </c>
      <c r="E14678" s="21" t="s">
        <v>35</v>
      </c>
      <c r="F14678">
        <v>1030128</v>
      </c>
      <c r="G14678" t="s">
        <v>7355</v>
      </c>
      <c r="H14678" s="21">
        <v>866.17</v>
      </c>
    </row>
    <row r="14679" spans="1:8" customFormat="1" x14ac:dyDescent="0.25">
      <c r="A14679" t="str">
        <f>"6226895"</f>
        <v>6226895</v>
      </c>
      <c r="B14679" t="s">
        <v>14947</v>
      </c>
      <c r="C14679" t="s">
        <v>236</v>
      </c>
      <c r="D14679" s="21" t="s">
        <v>34</v>
      </c>
      <c r="E14679" s="21" t="s">
        <v>35</v>
      </c>
      <c r="F14679">
        <v>7620131</v>
      </c>
      <c r="G14679" t="s">
        <v>9562</v>
      </c>
      <c r="H14679" s="21">
        <v>866.17</v>
      </c>
    </row>
    <row r="14680" spans="1:8" customFormat="1" x14ac:dyDescent="0.25">
      <c r="A14680" t="str">
        <f>"5927230"</f>
        <v>5927230</v>
      </c>
      <c r="B14680" t="s">
        <v>13142</v>
      </c>
      <c r="C14680" t="s">
        <v>263</v>
      </c>
      <c r="D14680" s="21" t="s">
        <v>34</v>
      </c>
      <c r="E14680" s="21" t="s">
        <v>254</v>
      </c>
      <c r="F14680">
        <v>7590228</v>
      </c>
      <c r="G14680" t="s">
        <v>1798</v>
      </c>
      <c r="H14680" s="21">
        <v>866.17</v>
      </c>
    </row>
    <row r="14681" spans="1:8" customFormat="1" x14ac:dyDescent="0.25">
      <c r="A14681" t="str">
        <f>"706996"</f>
        <v>706996</v>
      </c>
      <c r="B14681" t="s">
        <v>14558</v>
      </c>
      <c r="C14681" t="s">
        <v>14559</v>
      </c>
      <c r="D14681" s="21" t="s">
        <v>34</v>
      </c>
      <c r="E14681" s="21" t="s">
        <v>35</v>
      </c>
      <c r="F14681">
        <v>2700093</v>
      </c>
      <c r="G14681" t="s">
        <v>5302</v>
      </c>
      <c r="H14681" s="21">
        <v>866.17</v>
      </c>
    </row>
    <row r="14682" spans="1:8" customFormat="1" x14ac:dyDescent="0.25">
      <c r="A14682" t="str">
        <f>"7840498"</f>
        <v>7840498</v>
      </c>
      <c r="B14682" t="s">
        <v>11835</v>
      </c>
      <c r="C14682" t="s">
        <v>267</v>
      </c>
      <c r="D14682" s="21" t="s">
        <v>34</v>
      </c>
      <c r="E14682" s="21" t="s">
        <v>71</v>
      </c>
      <c r="F14682">
        <v>8780485</v>
      </c>
      <c r="G14682" t="s">
        <v>1279</v>
      </c>
      <c r="H14682" s="21">
        <v>866.04</v>
      </c>
    </row>
    <row r="14683" spans="1:8" customFormat="1" x14ac:dyDescent="0.25">
      <c r="A14683" t="str">
        <f>"322491"</f>
        <v>322491</v>
      </c>
      <c r="B14683" t="s">
        <v>14127</v>
      </c>
      <c r="C14683" t="s">
        <v>3010</v>
      </c>
      <c r="D14683" s="21" t="s">
        <v>34</v>
      </c>
      <c r="E14683" s="21" t="s">
        <v>254</v>
      </c>
      <c r="F14683">
        <v>11320040</v>
      </c>
      <c r="G14683" t="s">
        <v>14128</v>
      </c>
      <c r="H14683" s="21">
        <v>866.04</v>
      </c>
    </row>
    <row r="14684" spans="1:8" customFormat="1" x14ac:dyDescent="0.25">
      <c r="A14684" t="str">
        <f>"5317762"</f>
        <v>5317762</v>
      </c>
      <c r="B14684" t="s">
        <v>14012</v>
      </c>
      <c r="C14684" t="s">
        <v>621</v>
      </c>
      <c r="D14684" s="21" t="s">
        <v>34</v>
      </c>
      <c r="E14684" s="21" t="s">
        <v>35</v>
      </c>
      <c r="F14684">
        <v>12530042</v>
      </c>
      <c r="G14684" t="s">
        <v>4619</v>
      </c>
      <c r="H14684" s="21">
        <v>865.92</v>
      </c>
    </row>
    <row r="14685" spans="1:8" customFormat="1" x14ac:dyDescent="0.25">
      <c r="A14685" t="str">
        <f>"67507"</f>
        <v>67507</v>
      </c>
      <c r="B14685" t="s">
        <v>12961</v>
      </c>
      <c r="C14685" t="s">
        <v>453</v>
      </c>
      <c r="D14685" s="21" t="s">
        <v>34</v>
      </c>
      <c r="E14685" s="21" t="s">
        <v>254</v>
      </c>
      <c r="F14685">
        <v>6670011</v>
      </c>
      <c r="G14685" t="s">
        <v>5493</v>
      </c>
      <c r="H14685" s="21">
        <v>865.67</v>
      </c>
    </row>
    <row r="14686" spans="1:8" customFormat="1" x14ac:dyDescent="0.25">
      <c r="A14686" t="str">
        <f>"3523"</f>
        <v>3523</v>
      </c>
      <c r="B14686" t="s">
        <v>13730</v>
      </c>
      <c r="C14686" t="s">
        <v>1914</v>
      </c>
      <c r="D14686" s="21" t="s">
        <v>34</v>
      </c>
      <c r="E14686" s="21" t="s">
        <v>254</v>
      </c>
      <c r="F14686">
        <v>3350022</v>
      </c>
      <c r="G14686" t="s">
        <v>1287</v>
      </c>
      <c r="H14686" s="21">
        <v>865.67</v>
      </c>
    </row>
    <row r="14687" spans="1:8" customFormat="1" x14ac:dyDescent="0.25">
      <c r="A14687" t="str">
        <f>"123075"</f>
        <v>123075</v>
      </c>
      <c r="B14687" t="s">
        <v>210</v>
      </c>
      <c r="C14687" t="s">
        <v>528</v>
      </c>
      <c r="D14687" s="21" t="s">
        <v>34</v>
      </c>
      <c r="E14687" s="21" t="s">
        <v>254</v>
      </c>
      <c r="F14687">
        <v>11120026</v>
      </c>
      <c r="G14687" t="s">
        <v>9107</v>
      </c>
      <c r="H14687" s="21">
        <v>865.67</v>
      </c>
    </row>
    <row r="14688" spans="1:8" customFormat="1" x14ac:dyDescent="0.25">
      <c r="A14688" t="str">
        <f>"746270"</f>
        <v>746270</v>
      </c>
      <c r="B14688" t="s">
        <v>641</v>
      </c>
      <c r="C14688" t="s">
        <v>453</v>
      </c>
      <c r="D14688" s="21" t="s">
        <v>34</v>
      </c>
      <c r="E14688" s="21" t="s">
        <v>35</v>
      </c>
      <c r="F14688">
        <v>1690156</v>
      </c>
      <c r="G14688" t="s">
        <v>7062</v>
      </c>
      <c r="H14688" s="21">
        <v>865.67</v>
      </c>
    </row>
    <row r="14689" spans="1:8" customFormat="1" x14ac:dyDescent="0.25">
      <c r="A14689" t="str">
        <f>"635265"</f>
        <v>635265</v>
      </c>
      <c r="B14689" t="s">
        <v>9716</v>
      </c>
      <c r="C14689" t="s">
        <v>2479</v>
      </c>
      <c r="D14689" s="21" t="s">
        <v>34</v>
      </c>
      <c r="E14689" s="21" t="s">
        <v>254</v>
      </c>
      <c r="F14689">
        <v>10190133</v>
      </c>
      <c r="G14689" t="s">
        <v>13392</v>
      </c>
      <c r="H14689" s="21">
        <v>865.67</v>
      </c>
    </row>
    <row r="14690" spans="1:8" customFormat="1" x14ac:dyDescent="0.25">
      <c r="A14690" t="str">
        <f>"364328"</f>
        <v>364328</v>
      </c>
      <c r="B14690" t="s">
        <v>12679</v>
      </c>
      <c r="C14690" t="s">
        <v>33</v>
      </c>
      <c r="D14690" s="21" t="s">
        <v>34</v>
      </c>
      <c r="E14690" s="21" t="s">
        <v>35</v>
      </c>
      <c r="F14690">
        <v>4360009</v>
      </c>
      <c r="G14690" t="s">
        <v>6259</v>
      </c>
      <c r="H14690" s="21">
        <v>865.67</v>
      </c>
    </row>
    <row r="14691" spans="1:8" customFormat="1" x14ac:dyDescent="0.25">
      <c r="A14691" t="str">
        <f>"3523969"</f>
        <v>3523969</v>
      </c>
      <c r="B14691" t="s">
        <v>6095</v>
      </c>
      <c r="C14691" t="s">
        <v>598</v>
      </c>
      <c r="D14691" s="21" t="s">
        <v>34</v>
      </c>
      <c r="E14691" s="21" t="s">
        <v>71</v>
      </c>
      <c r="F14691">
        <v>3350095</v>
      </c>
      <c r="G14691" t="s">
        <v>5813</v>
      </c>
      <c r="H14691" s="21">
        <v>865.67</v>
      </c>
    </row>
    <row r="14692" spans="1:8" customFormat="1" x14ac:dyDescent="0.25">
      <c r="A14692" t="str">
        <f>"2926364"</f>
        <v>2926364</v>
      </c>
      <c r="B14692" t="s">
        <v>7847</v>
      </c>
      <c r="C14692" t="s">
        <v>156</v>
      </c>
      <c r="D14692" s="21" t="s">
        <v>34</v>
      </c>
      <c r="E14692" s="21" t="s">
        <v>254</v>
      </c>
      <c r="F14692">
        <v>3290029</v>
      </c>
      <c r="G14692" t="s">
        <v>11486</v>
      </c>
      <c r="H14692" s="21">
        <v>865.67</v>
      </c>
    </row>
    <row r="14693" spans="1:8" customFormat="1" x14ac:dyDescent="0.25">
      <c r="A14693" t="str">
        <f>"898457"</f>
        <v>898457</v>
      </c>
      <c r="B14693" t="s">
        <v>5482</v>
      </c>
      <c r="C14693" t="s">
        <v>302</v>
      </c>
      <c r="D14693" s="21" t="s">
        <v>34</v>
      </c>
      <c r="E14693" s="21" t="s">
        <v>71</v>
      </c>
      <c r="F14693">
        <v>2890005</v>
      </c>
      <c r="G14693" t="s">
        <v>2889</v>
      </c>
      <c r="H14693" s="21">
        <v>865.67</v>
      </c>
    </row>
    <row r="14694" spans="1:8" customFormat="1" x14ac:dyDescent="0.25">
      <c r="A14694" t="str">
        <f>"5943804"</f>
        <v>5943804</v>
      </c>
      <c r="B14694" t="s">
        <v>13488</v>
      </c>
      <c r="C14694" t="s">
        <v>1110</v>
      </c>
      <c r="D14694" s="21" t="s">
        <v>34</v>
      </c>
      <c r="E14694" s="21" t="s">
        <v>71</v>
      </c>
      <c r="F14694">
        <v>7590131</v>
      </c>
      <c r="G14694" t="s">
        <v>6300</v>
      </c>
      <c r="H14694" s="21">
        <v>865.67</v>
      </c>
    </row>
    <row r="14695" spans="1:8" customFormat="1" x14ac:dyDescent="0.25">
      <c r="A14695" t="str">
        <f>"6220904"</f>
        <v>6220904</v>
      </c>
      <c r="B14695" t="s">
        <v>3001</v>
      </c>
      <c r="C14695" t="s">
        <v>695</v>
      </c>
      <c r="D14695" s="21" t="s">
        <v>34</v>
      </c>
      <c r="E14695" s="21" t="s">
        <v>35</v>
      </c>
      <c r="F14695">
        <v>7620100</v>
      </c>
      <c r="G14695" t="s">
        <v>145</v>
      </c>
      <c r="H14695" s="21">
        <v>865.67</v>
      </c>
    </row>
    <row r="14696" spans="1:8" customFormat="1" x14ac:dyDescent="0.25">
      <c r="A14696" t="str">
        <f>"276542"</f>
        <v>276542</v>
      </c>
      <c r="B14696" t="s">
        <v>14240</v>
      </c>
      <c r="C14696" t="s">
        <v>267</v>
      </c>
      <c r="D14696" s="21" t="s">
        <v>34</v>
      </c>
      <c r="E14696" s="21" t="s">
        <v>71</v>
      </c>
      <c r="F14696">
        <v>9270152</v>
      </c>
      <c r="G14696" t="s">
        <v>1985</v>
      </c>
      <c r="H14696" s="21">
        <v>865.67</v>
      </c>
    </row>
    <row r="14697" spans="1:8" customFormat="1" x14ac:dyDescent="0.25">
      <c r="A14697" t="str">
        <f>"4928625"</f>
        <v>4928625</v>
      </c>
      <c r="B14697" t="s">
        <v>6463</v>
      </c>
      <c r="C14697" t="s">
        <v>204</v>
      </c>
      <c r="D14697" s="21" t="s">
        <v>34</v>
      </c>
      <c r="E14697" s="21" t="s">
        <v>35</v>
      </c>
      <c r="F14697">
        <v>12490006</v>
      </c>
      <c r="G14697" t="s">
        <v>1480</v>
      </c>
      <c r="H14697" s="21">
        <v>865.67</v>
      </c>
    </row>
    <row r="14698" spans="1:8" customFormat="1" x14ac:dyDescent="0.25">
      <c r="A14698" t="str">
        <f>"081576"</f>
        <v>081576</v>
      </c>
      <c r="B14698" t="s">
        <v>11983</v>
      </c>
      <c r="C14698" t="s">
        <v>267</v>
      </c>
      <c r="D14698" s="21" t="s">
        <v>34</v>
      </c>
      <c r="E14698" s="21" t="s">
        <v>1089</v>
      </c>
      <c r="F14698">
        <v>6080064</v>
      </c>
      <c r="G14698" t="s">
        <v>5825</v>
      </c>
      <c r="H14698" s="21">
        <v>865.67</v>
      </c>
    </row>
    <row r="14699" spans="1:8" customFormat="1" x14ac:dyDescent="0.25">
      <c r="A14699" t="str">
        <f>"892990"</f>
        <v>892990</v>
      </c>
      <c r="B14699" t="s">
        <v>13953</v>
      </c>
      <c r="C14699" t="s">
        <v>1665</v>
      </c>
      <c r="D14699" s="21" t="s">
        <v>34</v>
      </c>
      <c r="E14699" s="21" t="s">
        <v>254</v>
      </c>
      <c r="F14699">
        <v>2890006</v>
      </c>
      <c r="G14699" t="s">
        <v>2044</v>
      </c>
      <c r="H14699" s="21">
        <v>865.67</v>
      </c>
    </row>
    <row r="14700" spans="1:8" customFormat="1" x14ac:dyDescent="0.25">
      <c r="A14700" t="str">
        <f>"5926191"</f>
        <v>5926191</v>
      </c>
      <c r="B14700" t="s">
        <v>12110</v>
      </c>
      <c r="C14700" t="s">
        <v>40</v>
      </c>
      <c r="D14700" s="21" t="s">
        <v>34</v>
      </c>
      <c r="E14700" s="21" t="s">
        <v>71</v>
      </c>
      <c r="F14700">
        <v>7590153</v>
      </c>
      <c r="G14700" t="s">
        <v>9484</v>
      </c>
      <c r="H14700" s="21">
        <v>865.67</v>
      </c>
    </row>
    <row r="14701" spans="1:8" customFormat="1" x14ac:dyDescent="0.25">
      <c r="A14701" t="str">
        <f>"5413837"</f>
        <v>5413837</v>
      </c>
      <c r="B14701" t="s">
        <v>12803</v>
      </c>
      <c r="C14701" t="s">
        <v>879</v>
      </c>
      <c r="D14701" s="21" t="s">
        <v>34</v>
      </c>
      <c r="E14701" s="21" t="s">
        <v>254</v>
      </c>
      <c r="F14701">
        <v>6540028</v>
      </c>
      <c r="G14701" t="s">
        <v>3201</v>
      </c>
      <c r="H14701" s="21">
        <v>865.67</v>
      </c>
    </row>
    <row r="14702" spans="1:8" customFormat="1" x14ac:dyDescent="0.25">
      <c r="A14702" t="str">
        <f>"522211"</f>
        <v>522211</v>
      </c>
      <c r="B14702" t="s">
        <v>5654</v>
      </c>
      <c r="C14702" t="s">
        <v>3843</v>
      </c>
      <c r="D14702" s="21" t="s">
        <v>34</v>
      </c>
      <c r="E14702" s="21" t="s">
        <v>35</v>
      </c>
      <c r="F14702">
        <v>11300025</v>
      </c>
      <c r="G14702" t="s">
        <v>1211</v>
      </c>
      <c r="H14702" s="21">
        <v>865.67</v>
      </c>
    </row>
    <row r="14703" spans="1:8" customFormat="1" x14ac:dyDescent="0.25">
      <c r="A14703" t="str">
        <f>"591706"</f>
        <v>591706</v>
      </c>
      <c r="B14703" t="s">
        <v>12712</v>
      </c>
      <c r="C14703" t="s">
        <v>2907</v>
      </c>
      <c r="D14703" s="21" t="s">
        <v>34</v>
      </c>
      <c r="E14703" s="21" t="s">
        <v>71</v>
      </c>
      <c r="F14703">
        <v>7590017</v>
      </c>
      <c r="G14703" t="s">
        <v>1316</v>
      </c>
      <c r="H14703" s="21">
        <v>865.67</v>
      </c>
    </row>
    <row r="14704" spans="1:8" customFormat="1" x14ac:dyDescent="0.25">
      <c r="A14704" t="str">
        <f>"9528834"</f>
        <v>9528834</v>
      </c>
      <c r="B14704" t="s">
        <v>13556</v>
      </c>
      <c r="C14704" t="s">
        <v>49</v>
      </c>
      <c r="D14704" s="21" t="s">
        <v>34</v>
      </c>
      <c r="E14704" s="21" t="s">
        <v>35</v>
      </c>
      <c r="F14704">
        <v>8950564</v>
      </c>
      <c r="G14704" t="s">
        <v>9523</v>
      </c>
      <c r="H14704" s="21">
        <v>865.54</v>
      </c>
    </row>
    <row r="14705" spans="1:8" customFormat="1" x14ac:dyDescent="0.25">
      <c r="A14705" t="str">
        <f>"9442737"</f>
        <v>9442737</v>
      </c>
      <c r="B14705" t="s">
        <v>3067</v>
      </c>
      <c r="C14705" t="s">
        <v>65</v>
      </c>
      <c r="D14705" s="21" t="s">
        <v>34</v>
      </c>
      <c r="E14705" s="21" t="s">
        <v>71</v>
      </c>
      <c r="F14705">
        <v>8940866</v>
      </c>
      <c r="G14705" t="s">
        <v>519</v>
      </c>
      <c r="H14705" s="21">
        <v>865.54</v>
      </c>
    </row>
    <row r="14706" spans="1:8" customFormat="1" x14ac:dyDescent="0.25">
      <c r="A14706" t="str">
        <f>"458003"</f>
        <v>458003</v>
      </c>
      <c r="B14706" t="s">
        <v>2711</v>
      </c>
      <c r="C14706" t="s">
        <v>233</v>
      </c>
      <c r="D14706" s="21" t="s">
        <v>34</v>
      </c>
      <c r="E14706" s="21" t="s">
        <v>254</v>
      </c>
      <c r="F14706">
        <v>4450760</v>
      </c>
      <c r="G14706" t="s">
        <v>5775</v>
      </c>
      <c r="H14706" s="21">
        <v>865.42</v>
      </c>
    </row>
    <row r="14707" spans="1:8" customFormat="1" x14ac:dyDescent="0.25">
      <c r="A14707" t="str">
        <f>"443741"</f>
        <v>443741</v>
      </c>
      <c r="B14707" t="s">
        <v>623</v>
      </c>
      <c r="C14707" t="s">
        <v>4842</v>
      </c>
      <c r="D14707" s="21" t="s">
        <v>34</v>
      </c>
      <c r="E14707" s="21" t="s">
        <v>254</v>
      </c>
      <c r="F14707">
        <v>12440140</v>
      </c>
      <c r="G14707" t="s">
        <v>11783</v>
      </c>
      <c r="H14707" s="21">
        <v>865.17</v>
      </c>
    </row>
    <row r="14708" spans="1:8" customFormat="1" x14ac:dyDescent="0.25">
      <c r="A14708" t="str">
        <f>"5321516"</f>
        <v>5321516</v>
      </c>
      <c r="B14708" t="s">
        <v>12915</v>
      </c>
      <c r="C14708" t="s">
        <v>82</v>
      </c>
      <c r="D14708" s="21" t="s">
        <v>34</v>
      </c>
      <c r="E14708" s="21" t="s">
        <v>35</v>
      </c>
      <c r="F14708">
        <v>12530011</v>
      </c>
      <c r="G14708" t="s">
        <v>7610</v>
      </c>
      <c r="H14708" s="21">
        <v>865.17</v>
      </c>
    </row>
    <row r="14709" spans="1:8" customFormat="1" x14ac:dyDescent="0.25">
      <c r="A14709" t="str">
        <f>"603653"</f>
        <v>603653</v>
      </c>
      <c r="B14709" t="s">
        <v>11872</v>
      </c>
      <c r="C14709" t="s">
        <v>302</v>
      </c>
      <c r="D14709" s="21" t="s">
        <v>34</v>
      </c>
      <c r="E14709" s="21" t="s">
        <v>35</v>
      </c>
      <c r="F14709">
        <v>3560093</v>
      </c>
      <c r="G14709" t="s">
        <v>11246</v>
      </c>
      <c r="H14709" s="21">
        <v>865.17</v>
      </c>
    </row>
    <row r="14710" spans="1:8" customFormat="1" x14ac:dyDescent="0.25">
      <c r="A14710" t="str">
        <f>"8526286"</f>
        <v>8526286</v>
      </c>
      <c r="B14710" t="s">
        <v>14700</v>
      </c>
      <c r="C14710" t="s">
        <v>2546</v>
      </c>
      <c r="D14710" s="21" t="s">
        <v>34</v>
      </c>
      <c r="E14710" s="21" t="s">
        <v>71</v>
      </c>
      <c r="F14710">
        <v>12850138</v>
      </c>
      <c r="G14710" t="s">
        <v>6879</v>
      </c>
      <c r="H14710" s="21">
        <v>865.17</v>
      </c>
    </row>
    <row r="14711" spans="1:8" customFormat="1" x14ac:dyDescent="0.25">
      <c r="A14711" t="str">
        <f>"867044"</f>
        <v>867044</v>
      </c>
      <c r="B14711" t="s">
        <v>14192</v>
      </c>
      <c r="C14711" t="s">
        <v>151</v>
      </c>
      <c r="D14711" s="21" t="s">
        <v>34</v>
      </c>
      <c r="E14711" s="21" t="s">
        <v>35</v>
      </c>
      <c r="F14711">
        <v>12850021</v>
      </c>
      <c r="G14711" t="s">
        <v>4760</v>
      </c>
      <c r="H14711" s="21">
        <v>865.17</v>
      </c>
    </row>
    <row r="14712" spans="1:8" customFormat="1" x14ac:dyDescent="0.25">
      <c r="A14712" t="str">
        <f>"535283"</f>
        <v>535283</v>
      </c>
      <c r="B14712" t="s">
        <v>3664</v>
      </c>
      <c r="C14712" t="s">
        <v>2520</v>
      </c>
      <c r="D14712" s="21" t="s">
        <v>34</v>
      </c>
      <c r="E14712" s="21" t="s">
        <v>1089</v>
      </c>
      <c r="F14712">
        <v>12530060</v>
      </c>
      <c r="G14712" t="s">
        <v>1356</v>
      </c>
      <c r="H14712" s="21">
        <v>865.17</v>
      </c>
    </row>
    <row r="14713" spans="1:8" customFormat="1" x14ac:dyDescent="0.25">
      <c r="A14713" t="str">
        <f>"7858993"</f>
        <v>7858993</v>
      </c>
      <c r="B14713" t="s">
        <v>13027</v>
      </c>
      <c r="C14713" t="s">
        <v>40</v>
      </c>
      <c r="D14713" s="21" t="s">
        <v>34</v>
      </c>
      <c r="E14713" s="21" t="s">
        <v>35</v>
      </c>
      <c r="F14713">
        <v>8781413</v>
      </c>
      <c r="G14713" t="s">
        <v>13028</v>
      </c>
      <c r="H14713" s="21">
        <v>865.17</v>
      </c>
    </row>
    <row r="14714" spans="1:8" customFormat="1" x14ac:dyDescent="0.25">
      <c r="A14714" t="str">
        <f>"6217131"</f>
        <v>6217131</v>
      </c>
      <c r="B14714" t="s">
        <v>6227</v>
      </c>
      <c r="C14714" t="s">
        <v>43</v>
      </c>
      <c r="D14714" s="21" t="s">
        <v>34</v>
      </c>
      <c r="E14714" s="21" t="s">
        <v>35</v>
      </c>
      <c r="F14714">
        <v>7620165</v>
      </c>
      <c r="G14714" t="s">
        <v>6254</v>
      </c>
      <c r="H14714" s="21">
        <v>865.17</v>
      </c>
    </row>
    <row r="14715" spans="1:8" customFormat="1" x14ac:dyDescent="0.25">
      <c r="A14715" t="str">
        <f>"225441"</f>
        <v>225441</v>
      </c>
      <c r="B14715" t="s">
        <v>14879</v>
      </c>
      <c r="C14715" t="s">
        <v>305</v>
      </c>
      <c r="D14715" s="21" t="s">
        <v>34</v>
      </c>
      <c r="E14715" s="21" t="s">
        <v>35</v>
      </c>
      <c r="F14715">
        <v>3220064</v>
      </c>
      <c r="G14715" t="s">
        <v>26559</v>
      </c>
      <c r="H14715" s="21">
        <v>865.17</v>
      </c>
    </row>
    <row r="14716" spans="1:8" customFormat="1" x14ac:dyDescent="0.25">
      <c r="A14716" t="str">
        <f>"808509"</f>
        <v>808509</v>
      </c>
      <c r="B14716" t="s">
        <v>13016</v>
      </c>
      <c r="C14716" t="s">
        <v>249</v>
      </c>
      <c r="D14716" s="21" t="s">
        <v>34</v>
      </c>
      <c r="E14716" s="21" t="s">
        <v>254</v>
      </c>
      <c r="F14716">
        <v>7800061</v>
      </c>
      <c r="G14716" t="s">
        <v>1330</v>
      </c>
      <c r="H14716" s="21">
        <v>865.17</v>
      </c>
    </row>
    <row r="14717" spans="1:8" customFormat="1" x14ac:dyDescent="0.25">
      <c r="A14717" t="str">
        <f>"6218608"</f>
        <v>6218608</v>
      </c>
      <c r="B14717" t="s">
        <v>12840</v>
      </c>
      <c r="C14717" t="s">
        <v>43</v>
      </c>
      <c r="D14717" s="21" t="s">
        <v>34</v>
      </c>
      <c r="E14717" s="21" t="s">
        <v>35</v>
      </c>
      <c r="F14717">
        <v>7620058</v>
      </c>
      <c r="G14717" t="s">
        <v>602</v>
      </c>
      <c r="H14717" s="21">
        <v>865.17</v>
      </c>
    </row>
    <row r="14718" spans="1:8" customFormat="1" x14ac:dyDescent="0.25">
      <c r="A14718" t="str">
        <f>"591981"</f>
        <v>591981</v>
      </c>
      <c r="B14718" t="s">
        <v>7561</v>
      </c>
      <c r="C14718" t="s">
        <v>598</v>
      </c>
      <c r="D14718" s="21" t="s">
        <v>34</v>
      </c>
      <c r="E14718" s="21" t="s">
        <v>254</v>
      </c>
      <c r="F14718">
        <v>7590087</v>
      </c>
      <c r="G14718" t="s">
        <v>2112</v>
      </c>
      <c r="H14718" s="21">
        <v>865.17</v>
      </c>
    </row>
    <row r="14719" spans="1:8" customFormat="1" x14ac:dyDescent="0.25">
      <c r="A14719" t="str">
        <f>"8514249"</f>
        <v>8514249</v>
      </c>
      <c r="B14719" t="s">
        <v>12892</v>
      </c>
      <c r="C14719" t="s">
        <v>209</v>
      </c>
      <c r="D14719" s="21" t="s">
        <v>34</v>
      </c>
      <c r="E14719" s="21" t="s">
        <v>254</v>
      </c>
      <c r="F14719">
        <v>12850170</v>
      </c>
      <c r="G14719" t="s">
        <v>3349</v>
      </c>
      <c r="H14719" s="21">
        <v>865.17</v>
      </c>
    </row>
    <row r="14720" spans="1:8" customFormat="1" x14ac:dyDescent="0.25">
      <c r="A14720" t="str">
        <f>"872399"</f>
        <v>872399</v>
      </c>
      <c r="B14720" t="s">
        <v>2160</v>
      </c>
      <c r="C14720" t="s">
        <v>124</v>
      </c>
      <c r="D14720" s="21" t="s">
        <v>34</v>
      </c>
      <c r="E14720" s="21" t="s">
        <v>35</v>
      </c>
      <c r="F14720">
        <v>10870116</v>
      </c>
      <c r="G14720" t="s">
        <v>1806</v>
      </c>
      <c r="H14720" s="21">
        <v>865.17</v>
      </c>
    </row>
    <row r="14721" spans="1:8" customFormat="1" x14ac:dyDescent="0.25">
      <c r="A14721" t="str">
        <f>"5723958"</f>
        <v>5723958</v>
      </c>
      <c r="B14721" t="s">
        <v>14312</v>
      </c>
      <c r="C14721" t="s">
        <v>40</v>
      </c>
      <c r="D14721" s="21" t="s">
        <v>34</v>
      </c>
      <c r="E14721" s="21" t="s">
        <v>254</v>
      </c>
      <c r="F14721">
        <v>6570193</v>
      </c>
      <c r="G14721" t="s">
        <v>13003</v>
      </c>
      <c r="H14721" s="21">
        <v>865.17</v>
      </c>
    </row>
    <row r="14722" spans="1:8" customFormat="1" x14ac:dyDescent="0.25">
      <c r="A14722" t="str">
        <f>"586117"</f>
        <v>586117</v>
      </c>
      <c r="B14722" t="s">
        <v>12537</v>
      </c>
      <c r="C14722" t="s">
        <v>209</v>
      </c>
      <c r="D14722" s="21" t="s">
        <v>34</v>
      </c>
      <c r="E14722" s="21" t="s">
        <v>71</v>
      </c>
      <c r="F14722">
        <v>2580017</v>
      </c>
      <c r="G14722" t="s">
        <v>7044</v>
      </c>
      <c r="H14722" s="21">
        <v>865.04</v>
      </c>
    </row>
    <row r="14723" spans="1:8" customFormat="1" x14ac:dyDescent="0.25">
      <c r="A14723" t="str">
        <f>"545041"</f>
        <v>545041</v>
      </c>
      <c r="B14723" t="s">
        <v>13733</v>
      </c>
      <c r="C14723" t="s">
        <v>267</v>
      </c>
      <c r="D14723" s="21" t="s">
        <v>34</v>
      </c>
      <c r="E14723" s="21" t="s">
        <v>71</v>
      </c>
      <c r="F14723">
        <v>6540088</v>
      </c>
      <c r="G14723" t="s">
        <v>2108</v>
      </c>
      <c r="H14723" s="21">
        <v>864.92</v>
      </c>
    </row>
    <row r="14724" spans="1:8" customFormat="1" x14ac:dyDescent="0.25">
      <c r="A14724" t="str">
        <f>"112240"</f>
        <v>112240</v>
      </c>
      <c r="B14724" t="s">
        <v>12664</v>
      </c>
      <c r="C14724" t="s">
        <v>951</v>
      </c>
      <c r="D14724" s="21" t="s">
        <v>34</v>
      </c>
      <c r="E14724" s="21" t="s">
        <v>35</v>
      </c>
      <c r="F14724">
        <v>11310124</v>
      </c>
      <c r="G14724" t="s">
        <v>7977</v>
      </c>
      <c r="H14724" s="21">
        <v>864.67</v>
      </c>
    </row>
    <row r="14725" spans="1:8" customFormat="1" x14ac:dyDescent="0.25">
      <c r="A14725" t="str">
        <f>"4934589"</f>
        <v>4934589</v>
      </c>
      <c r="B14725" t="s">
        <v>11298</v>
      </c>
      <c r="C14725" t="s">
        <v>4991</v>
      </c>
      <c r="D14725" s="21" t="s">
        <v>34</v>
      </c>
      <c r="E14725" s="21" t="s">
        <v>71</v>
      </c>
      <c r="F14725">
        <v>12490038</v>
      </c>
      <c r="G14725" t="s">
        <v>467</v>
      </c>
      <c r="H14725" s="21">
        <v>864.67</v>
      </c>
    </row>
    <row r="14726" spans="1:8" customFormat="1" x14ac:dyDescent="0.25">
      <c r="A14726" t="str">
        <f>"2933200"</f>
        <v>2933200</v>
      </c>
      <c r="B14726" t="s">
        <v>2308</v>
      </c>
      <c r="C14726" t="s">
        <v>1199</v>
      </c>
      <c r="D14726" s="21" t="s">
        <v>34</v>
      </c>
      <c r="E14726" s="21" t="s">
        <v>71</v>
      </c>
      <c r="F14726">
        <v>3290019</v>
      </c>
      <c r="G14726" t="s">
        <v>4452</v>
      </c>
      <c r="H14726" s="21">
        <v>864.67</v>
      </c>
    </row>
    <row r="14727" spans="1:8" customFormat="1" x14ac:dyDescent="0.25">
      <c r="A14727" t="str">
        <f>"505513"</f>
        <v>505513</v>
      </c>
      <c r="B14727" t="s">
        <v>6157</v>
      </c>
      <c r="C14727" t="s">
        <v>1142</v>
      </c>
      <c r="D14727" s="21" t="s">
        <v>34</v>
      </c>
      <c r="E14727" s="21" t="s">
        <v>1089</v>
      </c>
      <c r="F14727">
        <v>9500163</v>
      </c>
      <c r="G14727" t="s">
        <v>2750</v>
      </c>
      <c r="H14727" s="21">
        <v>864.67</v>
      </c>
    </row>
    <row r="14728" spans="1:8" customFormat="1" x14ac:dyDescent="0.25">
      <c r="A14728" t="str">
        <f>"5951851"</f>
        <v>5951851</v>
      </c>
      <c r="B14728" t="s">
        <v>14344</v>
      </c>
      <c r="C14728" t="s">
        <v>14345</v>
      </c>
      <c r="D14728" s="21" t="s">
        <v>34</v>
      </c>
      <c r="E14728" s="21" t="s">
        <v>35</v>
      </c>
      <c r="F14728">
        <v>7590018</v>
      </c>
      <c r="G14728" t="s">
        <v>2807</v>
      </c>
      <c r="H14728" s="21">
        <v>864.67</v>
      </c>
    </row>
    <row r="14729" spans="1:8" customFormat="1" x14ac:dyDescent="0.25">
      <c r="A14729" t="str">
        <f>"3834026"</f>
        <v>3834026</v>
      </c>
      <c r="B14729" t="s">
        <v>27349</v>
      </c>
      <c r="C14729" t="s">
        <v>55</v>
      </c>
      <c r="D14729" s="21" t="s">
        <v>34</v>
      </c>
      <c r="E14729" s="21" t="s">
        <v>71</v>
      </c>
      <c r="F14729">
        <v>1380267</v>
      </c>
      <c r="G14729" t="s">
        <v>1002</v>
      </c>
      <c r="H14729" s="21">
        <v>864.67</v>
      </c>
    </row>
    <row r="14730" spans="1:8" customFormat="1" x14ac:dyDescent="0.25">
      <c r="A14730" t="str">
        <f>"9242983"</f>
        <v>9242983</v>
      </c>
      <c r="B14730" t="s">
        <v>12148</v>
      </c>
      <c r="C14730" t="s">
        <v>867</v>
      </c>
      <c r="D14730" s="21" t="s">
        <v>34</v>
      </c>
      <c r="E14730" s="21" t="s">
        <v>35</v>
      </c>
      <c r="F14730">
        <v>11340010</v>
      </c>
      <c r="G14730" t="s">
        <v>66</v>
      </c>
      <c r="H14730" s="21">
        <v>864.67</v>
      </c>
    </row>
    <row r="14731" spans="1:8" customFormat="1" x14ac:dyDescent="0.25">
      <c r="A14731" t="str">
        <f>"873564"</f>
        <v>873564</v>
      </c>
      <c r="B14731" t="s">
        <v>13485</v>
      </c>
      <c r="C14731" t="s">
        <v>40</v>
      </c>
      <c r="D14731" s="21" t="s">
        <v>34</v>
      </c>
      <c r="E14731" s="21" t="s">
        <v>71</v>
      </c>
      <c r="F14731">
        <v>10870101</v>
      </c>
      <c r="G14731" t="s">
        <v>6607</v>
      </c>
      <c r="H14731" s="21">
        <v>864.67</v>
      </c>
    </row>
    <row r="14732" spans="1:8" customFormat="1" x14ac:dyDescent="0.25">
      <c r="A14732" t="str">
        <f>"3519372"</f>
        <v>3519372</v>
      </c>
      <c r="B14732" t="s">
        <v>1295</v>
      </c>
      <c r="C14732" t="s">
        <v>7109</v>
      </c>
      <c r="D14732" s="21" t="s">
        <v>34</v>
      </c>
      <c r="E14732" s="21" t="s">
        <v>35</v>
      </c>
      <c r="F14732">
        <v>3350203</v>
      </c>
      <c r="G14732" t="s">
        <v>11973</v>
      </c>
      <c r="H14732" s="21">
        <v>864.67</v>
      </c>
    </row>
    <row r="14733" spans="1:8" customFormat="1" x14ac:dyDescent="0.25">
      <c r="A14733" t="str">
        <f>"835429"</f>
        <v>835429</v>
      </c>
      <c r="B14733" t="s">
        <v>11944</v>
      </c>
      <c r="C14733" t="s">
        <v>926</v>
      </c>
      <c r="D14733" s="21" t="s">
        <v>34</v>
      </c>
      <c r="E14733" s="21" t="s">
        <v>71</v>
      </c>
      <c r="F14733">
        <v>13060037</v>
      </c>
      <c r="G14733" t="s">
        <v>9521</v>
      </c>
      <c r="H14733" s="21">
        <v>864.54</v>
      </c>
    </row>
    <row r="14734" spans="1:8" customFormat="1" x14ac:dyDescent="0.25">
      <c r="A14734" t="str">
        <f>"2911305"</f>
        <v>2911305</v>
      </c>
      <c r="B14734" t="s">
        <v>13655</v>
      </c>
      <c r="C14734" t="s">
        <v>2479</v>
      </c>
      <c r="D14734" s="21" t="s">
        <v>34</v>
      </c>
      <c r="E14734" s="21" t="s">
        <v>71</v>
      </c>
      <c r="F14734">
        <v>3290285</v>
      </c>
      <c r="G14734" t="s">
        <v>2234</v>
      </c>
      <c r="H14734" s="21">
        <v>864.42</v>
      </c>
    </row>
    <row r="14735" spans="1:8" customFormat="1" x14ac:dyDescent="0.25">
      <c r="A14735" t="str">
        <f>"844970"</f>
        <v>844970</v>
      </c>
      <c r="B14735" t="s">
        <v>3001</v>
      </c>
      <c r="C14735" t="s">
        <v>55</v>
      </c>
      <c r="D14735" s="21" t="s">
        <v>34</v>
      </c>
      <c r="E14735" s="21" t="s">
        <v>71</v>
      </c>
      <c r="F14735">
        <v>13840021</v>
      </c>
      <c r="G14735" t="s">
        <v>3946</v>
      </c>
      <c r="H14735" s="21">
        <v>864.42</v>
      </c>
    </row>
    <row r="14736" spans="1:8" customFormat="1" x14ac:dyDescent="0.25">
      <c r="A14736" t="str">
        <f>"7721079"</f>
        <v>7721079</v>
      </c>
      <c r="B14736" t="s">
        <v>1200</v>
      </c>
      <c r="C14736" t="s">
        <v>211</v>
      </c>
      <c r="D14736" s="21" t="s">
        <v>34</v>
      </c>
      <c r="E14736" s="21" t="s">
        <v>71</v>
      </c>
      <c r="F14736">
        <v>8771236</v>
      </c>
      <c r="G14736" t="s">
        <v>386</v>
      </c>
      <c r="H14736" s="21">
        <v>864.42</v>
      </c>
    </row>
    <row r="14737" spans="1:8" customFormat="1" x14ac:dyDescent="0.25">
      <c r="A14737" t="str">
        <f>"447232"</f>
        <v>447232</v>
      </c>
      <c r="B14737" t="s">
        <v>12631</v>
      </c>
      <c r="C14737" t="s">
        <v>1887</v>
      </c>
      <c r="D14737" s="21" t="s">
        <v>34</v>
      </c>
      <c r="E14737" s="21" t="s">
        <v>254</v>
      </c>
      <c r="F14737">
        <v>12440105</v>
      </c>
      <c r="G14737" t="s">
        <v>594</v>
      </c>
      <c r="H14737" s="21">
        <v>864.17</v>
      </c>
    </row>
    <row r="14738" spans="1:8" customFormat="1" x14ac:dyDescent="0.25">
      <c r="A14738" t="str">
        <f>"859424"</f>
        <v>859424</v>
      </c>
      <c r="B14738" t="s">
        <v>3661</v>
      </c>
      <c r="C14738" t="s">
        <v>209</v>
      </c>
      <c r="D14738" s="21" t="s">
        <v>34</v>
      </c>
      <c r="E14738" s="21" t="s">
        <v>254</v>
      </c>
      <c r="F14738">
        <v>12851016</v>
      </c>
      <c r="G14738" t="s">
        <v>1862</v>
      </c>
      <c r="H14738" s="21">
        <v>864.17</v>
      </c>
    </row>
    <row r="14739" spans="1:8" customFormat="1" x14ac:dyDescent="0.25">
      <c r="A14739" t="str">
        <f>"085214"</f>
        <v>085214</v>
      </c>
      <c r="B14739" t="s">
        <v>5087</v>
      </c>
      <c r="C14739" t="s">
        <v>121</v>
      </c>
      <c r="D14739" s="21" t="s">
        <v>34</v>
      </c>
      <c r="E14739" s="21" t="s">
        <v>35</v>
      </c>
      <c r="F14739">
        <v>6080035</v>
      </c>
      <c r="G14739" t="s">
        <v>583</v>
      </c>
      <c r="H14739" s="21">
        <v>864.17</v>
      </c>
    </row>
    <row r="14740" spans="1:8" customFormat="1" x14ac:dyDescent="0.25">
      <c r="A14740" t="str">
        <f>"5964823"</f>
        <v>5964823</v>
      </c>
      <c r="B14740" t="s">
        <v>27350</v>
      </c>
      <c r="C14740" t="s">
        <v>43</v>
      </c>
      <c r="D14740" s="21" t="s">
        <v>34</v>
      </c>
      <c r="E14740" s="21" t="s">
        <v>35</v>
      </c>
      <c r="F14740">
        <v>7590336</v>
      </c>
      <c r="G14740" t="s">
        <v>2341</v>
      </c>
      <c r="H14740" s="21">
        <v>864.17</v>
      </c>
    </row>
    <row r="14741" spans="1:8" customFormat="1" x14ac:dyDescent="0.25">
      <c r="A14741" t="str">
        <f>"8517336"</f>
        <v>8517336</v>
      </c>
      <c r="B14741" t="s">
        <v>13383</v>
      </c>
      <c r="C14741" t="s">
        <v>267</v>
      </c>
      <c r="D14741" s="21" t="s">
        <v>34</v>
      </c>
      <c r="E14741" s="21" t="s">
        <v>254</v>
      </c>
      <c r="F14741">
        <v>12850046</v>
      </c>
      <c r="G14741" t="s">
        <v>3136</v>
      </c>
      <c r="H14741" s="21">
        <v>864.17</v>
      </c>
    </row>
    <row r="14742" spans="1:8" customFormat="1" x14ac:dyDescent="0.25">
      <c r="A14742" t="str">
        <f>"3112232"</f>
        <v>3112232</v>
      </c>
      <c r="B14742" t="s">
        <v>12007</v>
      </c>
      <c r="C14742" t="s">
        <v>1196</v>
      </c>
      <c r="D14742" s="21" t="s">
        <v>34</v>
      </c>
      <c r="E14742" s="21" t="s">
        <v>35</v>
      </c>
      <c r="F14742">
        <v>11310115</v>
      </c>
      <c r="G14742" t="s">
        <v>10519</v>
      </c>
      <c r="H14742" s="21">
        <v>864.17</v>
      </c>
    </row>
    <row r="14743" spans="1:8" customFormat="1" x14ac:dyDescent="0.25">
      <c r="A14743" t="str">
        <f>"608713"</f>
        <v>608713</v>
      </c>
      <c r="B14743" t="s">
        <v>11471</v>
      </c>
      <c r="C14743" t="s">
        <v>598</v>
      </c>
      <c r="D14743" s="21" t="s">
        <v>34</v>
      </c>
      <c r="E14743" s="21" t="s">
        <v>254</v>
      </c>
      <c r="F14743">
        <v>7600069</v>
      </c>
      <c r="G14743" t="s">
        <v>195</v>
      </c>
      <c r="H14743" s="21">
        <v>864.17</v>
      </c>
    </row>
    <row r="14744" spans="1:8" customFormat="1" x14ac:dyDescent="0.25">
      <c r="A14744" t="str">
        <f>"7721121"</f>
        <v>7721121</v>
      </c>
      <c r="B14744" t="s">
        <v>11848</v>
      </c>
      <c r="C14744" t="s">
        <v>598</v>
      </c>
      <c r="D14744" s="21" t="s">
        <v>34</v>
      </c>
      <c r="E14744" s="21" t="s">
        <v>71</v>
      </c>
      <c r="F14744">
        <v>8770408</v>
      </c>
      <c r="G14744" t="s">
        <v>212</v>
      </c>
      <c r="H14744" s="21">
        <v>864.17</v>
      </c>
    </row>
    <row r="14745" spans="1:8" customFormat="1" x14ac:dyDescent="0.25">
      <c r="A14745" t="str">
        <f>"2924590"</f>
        <v>2924590</v>
      </c>
      <c r="B14745" t="s">
        <v>13553</v>
      </c>
      <c r="C14745" t="s">
        <v>1025</v>
      </c>
      <c r="D14745" s="21" t="s">
        <v>34</v>
      </c>
      <c r="E14745" s="21" t="s">
        <v>71</v>
      </c>
      <c r="F14745">
        <v>3290215</v>
      </c>
      <c r="G14745" t="s">
        <v>5058</v>
      </c>
      <c r="H14745" s="21">
        <v>864.17</v>
      </c>
    </row>
    <row r="14746" spans="1:8" customFormat="1" x14ac:dyDescent="0.25">
      <c r="A14746" t="str">
        <f>"149176"</f>
        <v>149176</v>
      </c>
      <c r="B14746" t="s">
        <v>12916</v>
      </c>
      <c r="C14746" t="s">
        <v>209</v>
      </c>
      <c r="D14746" s="21" t="s">
        <v>34</v>
      </c>
      <c r="E14746" s="21" t="s">
        <v>71</v>
      </c>
      <c r="F14746">
        <v>9140216</v>
      </c>
      <c r="G14746" t="s">
        <v>11740</v>
      </c>
      <c r="H14746" s="21">
        <v>864.17</v>
      </c>
    </row>
    <row r="14747" spans="1:8" customFormat="1" x14ac:dyDescent="0.25">
      <c r="A14747" t="str">
        <f>"7622676"</f>
        <v>7622676</v>
      </c>
      <c r="B14747" t="s">
        <v>3253</v>
      </c>
      <c r="C14747" t="s">
        <v>462</v>
      </c>
      <c r="D14747" s="21" t="s">
        <v>34</v>
      </c>
      <c r="E14747" s="21" t="s">
        <v>71</v>
      </c>
      <c r="F14747">
        <v>9760007</v>
      </c>
      <c r="G14747" t="s">
        <v>7255</v>
      </c>
      <c r="H14747" s="21">
        <v>864.17</v>
      </c>
    </row>
    <row r="14748" spans="1:8" customFormat="1" x14ac:dyDescent="0.25">
      <c r="A14748" t="str">
        <f>"94967"</f>
        <v>94967</v>
      </c>
      <c r="B14748" t="s">
        <v>13321</v>
      </c>
      <c r="C14748" t="s">
        <v>462</v>
      </c>
      <c r="D14748" s="21" t="s">
        <v>34</v>
      </c>
      <c r="E14748" s="21" t="s">
        <v>71</v>
      </c>
      <c r="F14748">
        <v>8940535</v>
      </c>
      <c r="G14748" t="s">
        <v>2628</v>
      </c>
      <c r="H14748" s="21">
        <v>863.92</v>
      </c>
    </row>
    <row r="14749" spans="1:8" customFormat="1" x14ac:dyDescent="0.25">
      <c r="A14749" t="str">
        <f>"2211454"</f>
        <v>2211454</v>
      </c>
      <c r="B14749" t="s">
        <v>6678</v>
      </c>
      <c r="C14749" t="s">
        <v>60</v>
      </c>
      <c r="D14749" s="21" t="s">
        <v>34</v>
      </c>
      <c r="E14749" s="21" t="s">
        <v>35</v>
      </c>
      <c r="F14749">
        <v>3220048</v>
      </c>
      <c r="G14749" t="s">
        <v>26532</v>
      </c>
      <c r="H14749" s="21">
        <v>863.92</v>
      </c>
    </row>
    <row r="14750" spans="1:8" customFormat="1" x14ac:dyDescent="0.25">
      <c r="A14750" t="str">
        <f>"2513608"</f>
        <v>2513608</v>
      </c>
      <c r="B14750" t="s">
        <v>13489</v>
      </c>
      <c r="C14750" t="s">
        <v>65</v>
      </c>
      <c r="D14750" s="21" t="s">
        <v>34</v>
      </c>
      <c r="E14750" s="21" t="s">
        <v>35</v>
      </c>
      <c r="F14750">
        <v>2250033</v>
      </c>
      <c r="G14750" t="s">
        <v>4951</v>
      </c>
      <c r="H14750" s="21">
        <v>863.79</v>
      </c>
    </row>
    <row r="14751" spans="1:8" customFormat="1" x14ac:dyDescent="0.25">
      <c r="A14751" t="str">
        <f>"865922"</f>
        <v>865922</v>
      </c>
      <c r="B14751" t="s">
        <v>13686</v>
      </c>
      <c r="C14751" t="s">
        <v>87</v>
      </c>
      <c r="D14751" s="21" t="s">
        <v>34</v>
      </c>
      <c r="E14751" s="21" t="s">
        <v>71</v>
      </c>
      <c r="F14751">
        <v>10860122</v>
      </c>
      <c r="G14751" t="s">
        <v>3800</v>
      </c>
      <c r="H14751" s="21">
        <v>863.67</v>
      </c>
    </row>
    <row r="14752" spans="1:8" customFormat="1" x14ac:dyDescent="0.25">
      <c r="A14752" t="str">
        <f>"856342"</f>
        <v>856342</v>
      </c>
      <c r="B14752" t="s">
        <v>3546</v>
      </c>
      <c r="C14752" t="s">
        <v>121</v>
      </c>
      <c r="D14752" s="21" t="s">
        <v>34</v>
      </c>
      <c r="E14752" s="21" t="s">
        <v>35</v>
      </c>
      <c r="F14752">
        <v>12850069</v>
      </c>
      <c r="G14752" t="s">
        <v>2154</v>
      </c>
      <c r="H14752" s="21">
        <v>863.67</v>
      </c>
    </row>
    <row r="14753" spans="1:8" customFormat="1" x14ac:dyDescent="0.25">
      <c r="A14753" t="str">
        <f>"034288"</f>
        <v>034288</v>
      </c>
      <c r="B14753" t="s">
        <v>27351</v>
      </c>
      <c r="C14753" t="s">
        <v>109</v>
      </c>
      <c r="D14753" s="21" t="s">
        <v>34</v>
      </c>
      <c r="E14753" s="21" t="s">
        <v>35</v>
      </c>
      <c r="F14753">
        <v>1030035</v>
      </c>
      <c r="G14753" t="s">
        <v>2343</v>
      </c>
      <c r="H14753" s="21">
        <v>863.67</v>
      </c>
    </row>
    <row r="14754" spans="1:8" customFormat="1" x14ac:dyDescent="0.25">
      <c r="A14754" t="str">
        <f>"134501"</f>
        <v>134501</v>
      </c>
      <c r="B14754" t="s">
        <v>13168</v>
      </c>
      <c r="C14754" t="s">
        <v>239</v>
      </c>
      <c r="D14754" s="21" t="s">
        <v>34</v>
      </c>
      <c r="E14754" s="21" t="s">
        <v>254</v>
      </c>
      <c r="F14754">
        <v>13130049</v>
      </c>
      <c r="G14754" t="s">
        <v>13169</v>
      </c>
      <c r="H14754" s="21">
        <v>863.67</v>
      </c>
    </row>
    <row r="14755" spans="1:8" customFormat="1" x14ac:dyDescent="0.25">
      <c r="A14755" t="str">
        <f>"3528817"</f>
        <v>3528817</v>
      </c>
      <c r="B14755" t="s">
        <v>13796</v>
      </c>
      <c r="C14755" t="s">
        <v>2232</v>
      </c>
      <c r="D14755" s="21" t="s">
        <v>34</v>
      </c>
      <c r="E14755" s="21" t="s">
        <v>35</v>
      </c>
      <c r="F14755">
        <v>3350148</v>
      </c>
      <c r="G14755" t="s">
        <v>7497</v>
      </c>
      <c r="H14755" s="21">
        <v>863.67</v>
      </c>
    </row>
    <row r="14756" spans="1:8" customFormat="1" x14ac:dyDescent="0.25">
      <c r="A14756" t="str">
        <f>"8523906"</f>
        <v>8523906</v>
      </c>
      <c r="B14756" t="s">
        <v>11534</v>
      </c>
      <c r="C14756" t="s">
        <v>3073</v>
      </c>
      <c r="D14756" s="21" t="s">
        <v>34</v>
      </c>
      <c r="E14756" s="21" t="s">
        <v>1089</v>
      </c>
      <c r="F14756">
        <v>12850078</v>
      </c>
      <c r="G14756" t="s">
        <v>5639</v>
      </c>
      <c r="H14756" s="21">
        <v>863.67</v>
      </c>
    </row>
    <row r="14757" spans="1:8" customFormat="1" x14ac:dyDescent="0.25">
      <c r="A14757" t="str">
        <f>"7514633"</f>
        <v>7514633</v>
      </c>
      <c r="B14757" t="s">
        <v>14016</v>
      </c>
      <c r="C14757" t="s">
        <v>263</v>
      </c>
      <c r="D14757" s="21" t="s">
        <v>34</v>
      </c>
      <c r="E14757" s="21" t="s">
        <v>71</v>
      </c>
      <c r="F14757">
        <v>12720104</v>
      </c>
      <c r="G14757" t="s">
        <v>224</v>
      </c>
      <c r="H14757" s="21">
        <v>863.67</v>
      </c>
    </row>
    <row r="14758" spans="1:8" customFormat="1" x14ac:dyDescent="0.25">
      <c r="A14758" t="str">
        <f>"504216"</f>
        <v>504216</v>
      </c>
      <c r="B14758" t="s">
        <v>14479</v>
      </c>
      <c r="C14758" t="s">
        <v>10915</v>
      </c>
      <c r="D14758" s="21" t="s">
        <v>34</v>
      </c>
      <c r="E14758" s="21" t="s">
        <v>71</v>
      </c>
      <c r="F14758">
        <v>9500121</v>
      </c>
      <c r="G14758" t="s">
        <v>7360</v>
      </c>
      <c r="H14758" s="21">
        <v>863.67</v>
      </c>
    </row>
    <row r="14759" spans="1:8" customFormat="1" x14ac:dyDescent="0.25">
      <c r="A14759" t="str">
        <f>"2917122"</f>
        <v>2917122</v>
      </c>
      <c r="B14759" t="s">
        <v>12064</v>
      </c>
      <c r="C14759" t="s">
        <v>2100</v>
      </c>
      <c r="D14759" s="21" t="s">
        <v>34</v>
      </c>
      <c r="E14759" s="21" t="s">
        <v>254</v>
      </c>
      <c r="F14759">
        <v>3290282</v>
      </c>
      <c r="G14759" t="s">
        <v>4855</v>
      </c>
      <c r="H14759" s="21">
        <v>863.67</v>
      </c>
    </row>
    <row r="14760" spans="1:8" customFormat="1" x14ac:dyDescent="0.25">
      <c r="A14760" t="str">
        <f>"534399"</f>
        <v>534399</v>
      </c>
      <c r="B14760" t="s">
        <v>1886</v>
      </c>
      <c r="C14760" t="s">
        <v>60</v>
      </c>
      <c r="D14760" s="21" t="s">
        <v>34</v>
      </c>
      <c r="E14760" s="21" t="s">
        <v>71</v>
      </c>
      <c r="F14760">
        <v>12530022</v>
      </c>
      <c r="G14760" t="s">
        <v>914</v>
      </c>
      <c r="H14760" s="21">
        <v>863.67</v>
      </c>
    </row>
    <row r="14761" spans="1:8" customFormat="1" x14ac:dyDescent="0.25">
      <c r="A14761" t="str">
        <f>"941399"</f>
        <v>941399</v>
      </c>
      <c r="B14761" t="s">
        <v>11889</v>
      </c>
      <c r="C14761" t="s">
        <v>415</v>
      </c>
      <c r="D14761" s="21" t="s">
        <v>34</v>
      </c>
      <c r="E14761" s="21" t="s">
        <v>1089</v>
      </c>
      <c r="F14761">
        <v>8940894</v>
      </c>
      <c r="G14761" t="s">
        <v>481</v>
      </c>
      <c r="H14761" s="21">
        <v>863.67</v>
      </c>
    </row>
    <row r="14762" spans="1:8" customFormat="1" x14ac:dyDescent="0.25">
      <c r="A14762" t="str">
        <f>"951476"</f>
        <v>951476</v>
      </c>
      <c r="B14762" t="s">
        <v>12872</v>
      </c>
      <c r="C14762" t="s">
        <v>3648</v>
      </c>
      <c r="D14762" s="21" t="s">
        <v>34</v>
      </c>
      <c r="E14762" s="21" t="s">
        <v>1089</v>
      </c>
      <c r="F14762">
        <v>10170033</v>
      </c>
      <c r="G14762" t="s">
        <v>3756</v>
      </c>
      <c r="H14762" s="21">
        <v>863.67</v>
      </c>
    </row>
    <row r="14763" spans="1:8" customFormat="1" x14ac:dyDescent="0.25">
      <c r="A14763" t="str">
        <f>"763103"</f>
        <v>763103</v>
      </c>
      <c r="B14763" t="s">
        <v>12858</v>
      </c>
      <c r="C14763" t="s">
        <v>1110</v>
      </c>
      <c r="D14763" s="21" t="s">
        <v>34</v>
      </c>
      <c r="E14763" s="21" t="s">
        <v>1089</v>
      </c>
      <c r="F14763">
        <v>9760266</v>
      </c>
      <c r="G14763" t="s">
        <v>1891</v>
      </c>
      <c r="H14763" s="21">
        <v>863.67</v>
      </c>
    </row>
    <row r="14764" spans="1:8" customFormat="1" x14ac:dyDescent="0.25">
      <c r="A14764" t="str">
        <f>"0617019"</f>
        <v>0617019</v>
      </c>
      <c r="B14764" t="s">
        <v>6187</v>
      </c>
      <c r="C14764" t="s">
        <v>60</v>
      </c>
      <c r="D14764" s="21" t="s">
        <v>34</v>
      </c>
      <c r="E14764" s="21" t="s">
        <v>35</v>
      </c>
      <c r="F14764">
        <v>13060110</v>
      </c>
      <c r="G14764" t="s">
        <v>3268</v>
      </c>
      <c r="H14764" s="21">
        <v>863.67</v>
      </c>
    </row>
    <row r="14765" spans="1:8" customFormat="1" x14ac:dyDescent="0.25">
      <c r="A14765" t="str">
        <f>"7618677"</f>
        <v>7618677</v>
      </c>
      <c r="B14765" t="s">
        <v>10609</v>
      </c>
      <c r="C14765" t="s">
        <v>415</v>
      </c>
      <c r="D14765" s="21" t="s">
        <v>34</v>
      </c>
      <c r="E14765" s="21" t="s">
        <v>254</v>
      </c>
      <c r="F14765">
        <v>9760391</v>
      </c>
      <c r="G14765" t="s">
        <v>10757</v>
      </c>
      <c r="H14765" s="21">
        <v>863.67</v>
      </c>
    </row>
    <row r="14766" spans="1:8" customFormat="1" x14ac:dyDescent="0.25">
      <c r="A14766" t="str">
        <f>"3521976"</f>
        <v>3521976</v>
      </c>
      <c r="B14766" t="s">
        <v>3197</v>
      </c>
      <c r="C14766" t="s">
        <v>16841</v>
      </c>
      <c r="D14766" s="21" t="s">
        <v>34</v>
      </c>
      <c r="E14766" s="21" t="s">
        <v>35</v>
      </c>
      <c r="F14766">
        <v>3350095</v>
      </c>
      <c r="G14766" t="s">
        <v>5813</v>
      </c>
      <c r="H14766" s="21">
        <v>863.67</v>
      </c>
    </row>
    <row r="14767" spans="1:8" customFormat="1" x14ac:dyDescent="0.25">
      <c r="A14767" t="str">
        <f>"7921477"</f>
        <v>7921477</v>
      </c>
      <c r="B14767" t="s">
        <v>3577</v>
      </c>
      <c r="C14767" t="s">
        <v>60</v>
      </c>
      <c r="D14767" s="21" t="s">
        <v>34</v>
      </c>
      <c r="E14767" s="21" t="s">
        <v>35</v>
      </c>
      <c r="F14767">
        <v>10790150</v>
      </c>
      <c r="G14767" t="s">
        <v>6205</v>
      </c>
      <c r="H14767" s="21">
        <v>863.67</v>
      </c>
    </row>
    <row r="14768" spans="1:8" customFormat="1" x14ac:dyDescent="0.25">
      <c r="A14768" t="str">
        <f>"9311209"</f>
        <v>9311209</v>
      </c>
      <c r="B14768" t="s">
        <v>15646</v>
      </c>
      <c r="C14768" t="s">
        <v>621</v>
      </c>
      <c r="D14768" s="21" t="s">
        <v>34</v>
      </c>
      <c r="E14768" s="21" t="s">
        <v>35</v>
      </c>
      <c r="F14768">
        <v>8771501</v>
      </c>
      <c r="G14768" t="s">
        <v>10128</v>
      </c>
      <c r="H14768" s="21">
        <v>863.67</v>
      </c>
    </row>
    <row r="14769" spans="1:8" customFormat="1" x14ac:dyDescent="0.25">
      <c r="A14769" t="str">
        <f>"5936873"</f>
        <v>5936873</v>
      </c>
      <c r="B14769" t="s">
        <v>12523</v>
      </c>
      <c r="C14769" t="s">
        <v>144</v>
      </c>
      <c r="D14769" s="21" t="s">
        <v>34</v>
      </c>
      <c r="E14769" s="21" t="s">
        <v>35</v>
      </c>
      <c r="F14769">
        <v>7590231</v>
      </c>
      <c r="G14769" t="s">
        <v>207</v>
      </c>
      <c r="H14769" s="21">
        <v>863.67</v>
      </c>
    </row>
    <row r="14770" spans="1:8" customFormat="1" x14ac:dyDescent="0.25">
      <c r="A14770" t="str">
        <f>"7858918"</f>
        <v>7858918</v>
      </c>
      <c r="B14770" t="s">
        <v>9256</v>
      </c>
      <c r="C14770" t="s">
        <v>119</v>
      </c>
      <c r="D14770" s="21" t="s">
        <v>34</v>
      </c>
      <c r="E14770" s="21" t="s">
        <v>35</v>
      </c>
      <c r="F14770">
        <v>8780585</v>
      </c>
      <c r="G14770" t="s">
        <v>4630</v>
      </c>
      <c r="H14770" s="21">
        <v>863.54</v>
      </c>
    </row>
    <row r="14771" spans="1:8" customFormat="1" x14ac:dyDescent="0.25">
      <c r="A14771" t="str">
        <f>"5965880"</f>
        <v>5965880</v>
      </c>
      <c r="B14771" t="s">
        <v>13060</v>
      </c>
      <c r="C14771" t="s">
        <v>462</v>
      </c>
      <c r="D14771" s="21" t="s">
        <v>34</v>
      </c>
      <c r="E14771" s="21" t="s">
        <v>71</v>
      </c>
      <c r="F14771">
        <v>7590414</v>
      </c>
      <c r="G14771" t="s">
        <v>10056</v>
      </c>
      <c r="H14771" s="21">
        <v>863.54</v>
      </c>
    </row>
    <row r="14772" spans="1:8" customFormat="1" x14ac:dyDescent="0.25">
      <c r="A14772" t="str">
        <f>"443594"</f>
        <v>443594</v>
      </c>
      <c r="B14772" t="s">
        <v>146</v>
      </c>
      <c r="C14772" t="s">
        <v>547</v>
      </c>
      <c r="D14772" s="21" t="s">
        <v>34</v>
      </c>
      <c r="E14772" s="21" t="s">
        <v>254</v>
      </c>
      <c r="F14772">
        <v>12440038</v>
      </c>
      <c r="G14772" t="s">
        <v>2057</v>
      </c>
      <c r="H14772" s="21">
        <v>863.17</v>
      </c>
    </row>
    <row r="14773" spans="1:8" customFormat="1" x14ac:dyDescent="0.25">
      <c r="A14773" t="str">
        <f>"5617716"</f>
        <v>5617716</v>
      </c>
      <c r="B14773" t="s">
        <v>14675</v>
      </c>
      <c r="C14773" t="s">
        <v>55</v>
      </c>
      <c r="D14773" s="21" t="s">
        <v>34</v>
      </c>
      <c r="E14773" s="21" t="s">
        <v>71</v>
      </c>
      <c r="F14773">
        <v>3560053</v>
      </c>
      <c r="G14773" t="s">
        <v>298</v>
      </c>
      <c r="H14773" s="21">
        <v>863.17</v>
      </c>
    </row>
    <row r="14774" spans="1:8" customFormat="1" x14ac:dyDescent="0.25">
      <c r="A14774" t="str">
        <f>"84434"</f>
        <v>84434</v>
      </c>
      <c r="B14774" t="s">
        <v>12887</v>
      </c>
      <c r="C14774" t="s">
        <v>211</v>
      </c>
      <c r="D14774" s="21" t="s">
        <v>34</v>
      </c>
      <c r="E14774" s="21" t="s">
        <v>71</v>
      </c>
      <c r="F14774">
        <v>13840037</v>
      </c>
      <c r="G14774" t="s">
        <v>2019</v>
      </c>
      <c r="H14774" s="21">
        <v>863.17</v>
      </c>
    </row>
    <row r="14775" spans="1:8" customFormat="1" x14ac:dyDescent="0.25">
      <c r="A14775" t="str">
        <f>"925751"</f>
        <v>925751</v>
      </c>
      <c r="B14775" t="s">
        <v>14063</v>
      </c>
      <c r="C14775" t="s">
        <v>121</v>
      </c>
      <c r="D14775" s="21" t="s">
        <v>34</v>
      </c>
      <c r="E14775" s="21" t="s">
        <v>254</v>
      </c>
      <c r="F14775">
        <v>8920234</v>
      </c>
      <c r="G14775" t="s">
        <v>1184</v>
      </c>
      <c r="H14775" s="21">
        <v>863.17</v>
      </c>
    </row>
    <row r="14776" spans="1:8" customFormat="1" x14ac:dyDescent="0.25">
      <c r="A14776" t="str">
        <f>"6220400"</f>
        <v>6220400</v>
      </c>
      <c r="B14776" t="s">
        <v>27352</v>
      </c>
      <c r="C14776" t="s">
        <v>33</v>
      </c>
      <c r="D14776" s="21" t="s">
        <v>34</v>
      </c>
      <c r="E14776" s="21" t="s">
        <v>35</v>
      </c>
      <c r="F14776">
        <v>7620044</v>
      </c>
      <c r="G14776" t="s">
        <v>2961</v>
      </c>
      <c r="H14776" s="21">
        <v>863.17</v>
      </c>
    </row>
    <row r="14777" spans="1:8" customFormat="1" x14ac:dyDescent="0.25">
      <c r="A14777" t="str">
        <f>"741550"</f>
        <v>741550</v>
      </c>
      <c r="B14777" t="s">
        <v>12865</v>
      </c>
      <c r="C14777" t="s">
        <v>55</v>
      </c>
      <c r="D14777" s="21" t="s">
        <v>34</v>
      </c>
      <c r="E14777" s="21" t="s">
        <v>71</v>
      </c>
      <c r="F14777">
        <v>1740020</v>
      </c>
      <c r="G14777" t="s">
        <v>881</v>
      </c>
      <c r="H14777" s="21">
        <v>863.17</v>
      </c>
    </row>
    <row r="14778" spans="1:8" customFormat="1" x14ac:dyDescent="0.25">
      <c r="A14778" t="str">
        <f>"664061"</f>
        <v>664061</v>
      </c>
      <c r="B14778" t="s">
        <v>12584</v>
      </c>
      <c r="C14778" t="s">
        <v>2907</v>
      </c>
      <c r="D14778" s="21" t="s">
        <v>34</v>
      </c>
      <c r="E14778" s="21" t="s">
        <v>254</v>
      </c>
      <c r="F14778">
        <v>11660020</v>
      </c>
      <c r="G14778" t="s">
        <v>10247</v>
      </c>
      <c r="H14778" s="21">
        <v>863.17</v>
      </c>
    </row>
    <row r="14779" spans="1:8" customFormat="1" x14ac:dyDescent="0.25">
      <c r="A14779" t="str">
        <f>"538469"</f>
        <v>538469</v>
      </c>
      <c r="B14779" t="s">
        <v>7063</v>
      </c>
      <c r="C14779" t="s">
        <v>1110</v>
      </c>
      <c r="D14779" s="21" t="s">
        <v>34</v>
      </c>
      <c r="E14779" s="21" t="s">
        <v>71</v>
      </c>
      <c r="F14779">
        <v>12530074</v>
      </c>
      <c r="G14779" t="s">
        <v>6425</v>
      </c>
      <c r="H14779" s="21">
        <v>863.17</v>
      </c>
    </row>
    <row r="14780" spans="1:8" customFormat="1" x14ac:dyDescent="0.25">
      <c r="A14780" t="str">
        <f>"242001"</f>
        <v>242001</v>
      </c>
      <c r="B14780" t="s">
        <v>746</v>
      </c>
      <c r="C14780" t="s">
        <v>198</v>
      </c>
      <c r="D14780" s="21" t="s">
        <v>34</v>
      </c>
      <c r="E14780" s="21" t="s">
        <v>254</v>
      </c>
      <c r="F14780">
        <v>10240006</v>
      </c>
      <c r="G14780" t="s">
        <v>7296</v>
      </c>
      <c r="H14780" s="21">
        <v>863.17</v>
      </c>
    </row>
    <row r="14781" spans="1:8" customFormat="1" x14ac:dyDescent="0.25">
      <c r="A14781" t="str">
        <f>"4411359"</f>
        <v>4411359</v>
      </c>
      <c r="B14781" t="s">
        <v>12151</v>
      </c>
      <c r="C14781" t="s">
        <v>3843</v>
      </c>
      <c r="D14781" s="21" t="s">
        <v>34</v>
      </c>
      <c r="E14781" s="21" t="s">
        <v>71</v>
      </c>
      <c r="F14781">
        <v>12440029</v>
      </c>
      <c r="G14781" t="s">
        <v>567</v>
      </c>
      <c r="H14781" s="21">
        <v>863.17</v>
      </c>
    </row>
    <row r="14782" spans="1:8" customFormat="1" x14ac:dyDescent="0.25">
      <c r="A14782" t="str">
        <f>"286211"</f>
        <v>286211</v>
      </c>
      <c r="B14782" t="s">
        <v>11342</v>
      </c>
      <c r="C14782" t="s">
        <v>415</v>
      </c>
      <c r="D14782" s="21" t="s">
        <v>34</v>
      </c>
      <c r="E14782" s="21" t="s">
        <v>254</v>
      </c>
      <c r="F14782">
        <v>9270137</v>
      </c>
      <c r="G14782" t="s">
        <v>3714</v>
      </c>
      <c r="H14782" s="21">
        <v>863.17</v>
      </c>
    </row>
    <row r="14783" spans="1:8" customFormat="1" x14ac:dyDescent="0.25">
      <c r="A14783" t="str">
        <f>"537084"</f>
        <v>537084</v>
      </c>
      <c r="B14783" t="s">
        <v>10982</v>
      </c>
      <c r="C14783" t="s">
        <v>239</v>
      </c>
      <c r="D14783" s="21" t="s">
        <v>34</v>
      </c>
      <c r="E14783" s="21" t="s">
        <v>1089</v>
      </c>
      <c r="F14783">
        <v>12530026</v>
      </c>
      <c r="G14783" t="s">
        <v>7463</v>
      </c>
      <c r="H14783" s="21">
        <v>863.17</v>
      </c>
    </row>
    <row r="14784" spans="1:8" customFormat="1" x14ac:dyDescent="0.25">
      <c r="A14784" t="str">
        <f>"3319098"</f>
        <v>3319098</v>
      </c>
      <c r="B14784" t="s">
        <v>12689</v>
      </c>
      <c r="C14784" t="s">
        <v>926</v>
      </c>
      <c r="D14784" s="21" t="s">
        <v>34</v>
      </c>
      <c r="E14784" s="21" t="s">
        <v>71</v>
      </c>
      <c r="F14784">
        <v>10330084</v>
      </c>
      <c r="G14784" t="s">
        <v>1124</v>
      </c>
      <c r="H14784" s="21">
        <v>863.04</v>
      </c>
    </row>
    <row r="14785" spans="1:8" customFormat="1" x14ac:dyDescent="0.25">
      <c r="A14785" t="str">
        <f>"106275"</f>
        <v>106275</v>
      </c>
      <c r="B14785" t="s">
        <v>11401</v>
      </c>
      <c r="C14785" t="s">
        <v>121</v>
      </c>
      <c r="D14785" s="21" t="s">
        <v>34</v>
      </c>
      <c r="E14785" s="21" t="s">
        <v>35</v>
      </c>
      <c r="F14785">
        <v>6100005</v>
      </c>
      <c r="G14785" t="s">
        <v>855</v>
      </c>
      <c r="H14785" s="21">
        <v>863.04</v>
      </c>
    </row>
    <row r="14786" spans="1:8" customFormat="1" x14ac:dyDescent="0.25">
      <c r="A14786" t="str">
        <f>"9534462"</f>
        <v>9534462</v>
      </c>
      <c r="B14786" t="s">
        <v>13724</v>
      </c>
      <c r="C14786" t="s">
        <v>62</v>
      </c>
      <c r="D14786" s="21" t="s">
        <v>34</v>
      </c>
      <c r="E14786" s="21" t="s">
        <v>35</v>
      </c>
      <c r="F14786">
        <v>8950092</v>
      </c>
      <c r="G14786" t="s">
        <v>2039</v>
      </c>
      <c r="H14786" s="21">
        <v>862.92</v>
      </c>
    </row>
    <row r="14787" spans="1:8" customFormat="1" x14ac:dyDescent="0.25">
      <c r="A14787" t="str">
        <f>"7639390"</f>
        <v>7639390</v>
      </c>
      <c r="B14787" t="s">
        <v>14944</v>
      </c>
      <c r="C14787" t="s">
        <v>87</v>
      </c>
      <c r="D14787" s="21" t="s">
        <v>34</v>
      </c>
      <c r="E14787" s="21" t="s">
        <v>35</v>
      </c>
      <c r="F14787">
        <v>9760129</v>
      </c>
      <c r="G14787" t="s">
        <v>6147</v>
      </c>
      <c r="H14787" s="21">
        <v>862.79</v>
      </c>
    </row>
    <row r="14788" spans="1:8" customFormat="1" x14ac:dyDescent="0.25">
      <c r="A14788" t="str">
        <f>"0210671"</f>
        <v>0210671</v>
      </c>
      <c r="B14788" t="s">
        <v>1462</v>
      </c>
      <c r="C14788" t="s">
        <v>879</v>
      </c>
      <c r="D14788" s="21" t="s">
        <v>34</v>
      </c>
      <c r="E14788" s="21" t="s">
        <v>254</v>
      </c>
      <c r="F14788">
        <v>7021012</v>
      </c>
      <c r="G14788" t="s">
        <v>14342</v>
      </c>
      <c r="H14788" s="21">
        <v>862.79</v>
      </c>
    </row>
    <row r="14789" spans="1:8" customFormat="1" x14ac:dyDescent="0.25">
      <c r="A14789" t="str">
        <f>"61552"</f>
        <v>61552</v>
      </c>
      <c r="B14789" t="s">
        <v>10320</v>
      </c>
      <c r="C14789" t="s">
        <v>263</v>
      </c>
      <c r="D14789" s="21" t="s">
        <v>34</v>
      </c>
      <c r="E14789" s="21" t="s">
        <v>71</v>
      </c>
      <c r="F14789">
        <v>9610040</v>
      </c>
      <c r="G14789" t="s">
        <v>10321</v>
      </c>
      <c r="H14789" s="21">
        <v>862.67</v>
      </c>
    </row>
    <row r="14790" spans="1:8" customFormat="1" x14ac:dyDescent="0.25">
      <c r="A14790" t="str">
        <f>"607456"</f>
        <v>607456</v>
      </c>
      <c r="B14790" t="s">
        <v>1959</v>
      </c>
      <c r="C14790" t="s">
        <v>204</v>
      </c>
      <c r="D14790" s="21" t="s">
        <v>34</v>
      </c>
      <c r="E14790" s="21" t="s">
        <v>254</v>
      </c>
      <c r="F14790">
        <v>9270069</v>
      </c>
      <c r="G14790" t="s">
        <v>3509</v>
      </c>
      <c r="H14790" s="21">
        <v>862.67</v>
      </c>
    </row>
    <row r="14791" spans="1:8" customFormat="1" x14ac:dyDescent="0.25">
      <c r="A14791" t="str">
        <f>"6225861"</f>
        <v>6225861</v>
      </c>
      <c r="B14791" t="s">
        <v>13486</v>
      </c>
      <c r="C14791" t="s">
        <v>124</v>
      </c>
      <c r="D14791" s="21" t="s">
        <v>34</v>
      </c>
      <c r="E14791" s="21" t="s">
        <v>71</v>
      </c>
      <c r="F14791">
        <v>7620064</v>
      </c>
      <c r="G14791" t="s">
        <v>2266</v>
      </c>
      <c r="H14791" s="21">
        <v>862.67</v>
      </c>
    </row>
    <row r="14792" spans="1:8" customFormat="1" x14ac:dyDescent="0.25">
      <c r="A14792" t="str">
        <f>"88590"</f>
        <v>88590</v>
      </c>
      <c r="B14792" t="s">
        <v>13723</v>
      </c>
      <c r="C14792" t="s">
        <v>269</v>
      </c>
      <c r="D14792" s="21" t="s">
        <v>34</v>
      </c>
      <c r="E14792" s="21" t="s">
        <v>35</v>
      </c>
      <c r="F14792">
        <v>6880022</v>
      </c>
      <c r="G14792" t="s">
        <v>339</v>
      </c>
      <c r="H14792" s="21">
        <v>862.67</v>
      </c>
    </row>
    <row r="14793" spans="1:8" customFormat="1" x14ac:dyDescent="0.25">
      <c r="A14793" t="str">
        <f>"6724664"</f>
        <v>6724664</v>
      </c>
      <c r="B14793" t="s">
        <v>1883</v>
      </c>
      <c r="C14793" t="s">
        <v>2072</v>
      </c>
      <c r="D14793" s="21" t="s">
        <v>34</v>
      </c>
      <c r="E14793" s="21" t="s">
        <v>254</v>
      </c>
      <c r="F14793">
        <v>6670149</v>
      </c>
      <c r="G14793" t="s">
        <v>4404</v>
      </c>
      <c r="H14793" s="21">
        <v>862.67</v>
      </c>
    </row>
    <row r="14794" spans="1:8" customFormat="1" x14ac:dyDescent="0.25">
      <c r="A14794" t="str">
        <f>"3720029"</f>
        <v>3720029</v>
      </c>
      <c r="B14794" t="s">
        <v>11529</v>
      </c>
      <c r="C14794" t="s">
        <v>601</v>
      </c>
      <c r="D14794" s="21" t="s">
        <v>34</v>
      </c>
      <c r="E14794" s="21" t="s">
        <v>35</v>
      </c>
      <c r="F14794">
        <v>4370439</v>
      </c>
      <c r="G14794" t="s">
        <v>2956</v>
      </c>
      <c r="H14794" s="21">
        <v>862.67</v>
      </c>
    </row>
    <row r="14795" spans="1:8" customFormat="1" x14ac:dyDescent="0.25">
      <c r="A14795" t="str">
        <f>"5918809"</f>
        <v>5918809</v>
      </c>
      <c r="B14795" t="s">
        <v>13858</v>
      </c>
      <c r="C14795" t="s">
        <v>263</v>
      </c>
      <c r="D14795" s="21" t="s">
        <v>34</v>
      </c>
      <c r="E14795" s="21" t="s">
        <v>35</v>
      </c>
      <c r="F14795">
        <v>7590043</v>
      </c>
      <c r="G14795" t="s">
        <v>10565</v>
      </c>
      <c r="H14795" s="21">
        <v>862.67</v>
      </c>
    </row>
    <row r="14796" spans="1:8" customFormat="1" x14ac:dyDescent="0.25">
      <c r="A14796" t="str">
        <f>"7611241"</f>
        <v>7611241</v>
      </c>
      <c r="B14796" t="s">
        <v>1301</v>
      </c>
      <c r="C14796" t="s">
        <v>1110</v>
      </c>
      <c r="D14796" s="21" t="s">
        <v>34</v>
      </c>
      <c r="E14796" s="21" t="s">
        <v>71</v>
      </c>
      <c r="F14796">
        <v>9760380</v>
      </c>
      <c r="G14796" t="s">
        <v>12973</v>
      </c>
      <c r="H14796" s="21">
        <v>862.67</v>
      </c>
    </row>
    <row r="14797" spans="1:8" customFormat="1" x14ac:dyDescent="0.25">
      <c r="A14797" t="str">
        <f>"7919158"</f>
        <v>7919158</v>
      </c>
      <c r="B14797" t="s">
        <v>4845</v>
      </c>
      <c r="C14797" t="s">
        <v>109</v>
      </c>
      <c r="D14797" s="21" t="s">
        <v>34</v>
      </c>
      <c r="E14797" s="21" t="s">
        <v>35</v>
      </c>
      <c r="F14797">
        <v>10790163</v>
      </c>
      <c r="G14797" t="s">
        <v>2015</v>
      </c>
      <c r="H14797" s="21">
        <v>862.67</v>
      </c>
    </row>
    <row r="14798" spans="1:8" customFormat="1" x14ac:dyDescent="0.25">
      <c r="A14798" t="str">
        <f>"0934"</f>
        <v>0934</v>
      </c>
      <c r="B14798" t="s">
        <v>13457</v>
      </c>
      <c r="C14798" t="s">
        <v>750</v>
      </c>
      <c r="D14798" s="21" t="s">
        <v>34</v>
      </c>
      <c r="E14798" s="21" t="s">
        <v>254</v>
      </c>
      <c r="F14798">
        <v>11090002</v>
      </c>
      <c r="G14798" t="s">
        <v>901</v>
      </c>
      <c r="H14798" s="21">
        <v>862.67</v>
      </c>
    </row>
    <row r="14799" spans="1:8" customFormat="1" x14ac:dyDescent="0.25">
      <c r="A14799" t="str">
        <f>"3316827"</f>
        <v>3316827</v>
      </c>
      <c r="B14799" t="s">
        <v>16045</v>
      </c>
      <c r="C14799" t="s">
        <v>40</v>
      </c>
      <c r="D14799" s="21" t="s">
        <v>34</v>
      </c>
      <c r="E14799" s="21" t="s">
        <v>71</v>
      </c>
      <c r="F14799">
        <v>10330050</v>
      </c>
      <c r="G14799" t="s">
        <v>2488</v>
      </c>
      <c r="H14799" s="21">
        <v>862.67</v>
      </c>
    </row>
    <row r="14800" spans="1:8" customFormat="1" x14ac:dyDescent="0.25">
      <c r="A14800" t="str">
        <f>"28476"</f>
        <v>28476</v>
      </c>
      <c r="B14800" t="s">
        <v>10750</v>
      </c>
      <c r="C14800" t="s">
        <v>114</v>
      </c>
      <c r="D14800" s="21" t="s">
        <v>34</v>
      </c>
      <c r="E14800" s="21" t="s">
        <v>71</v>
      </c>
      <c r="F14800">
        <v>4280681</v>
      </c>
      <c r="G14800" t="s">
        <v>1656</v>
      </c>
      <c r="H14800" s="21">
        <v>862.67</v>
      </c>
    </row>
    <row r="14801" spans="1:8" customFormat="1" x14ac:dyDescent="0.25">
      <c r="A14801" t="str">
        <f>"5314680"</f>
        <v>5314680</v>
      </c>
      <c r="B14801" t="s">
        <v>12754</v>
      </c>
      <c r="C14801" t="s">
        <v>486</v>
      </c>
      <c r="D14801" s="21" t="s">
        <v>34</v>
      </c>
      <c r="E14801" s="21" t="s">
        <v>35</v>
      </c>
      <c r="F14801">
        <v>12530020</v>
      </c>
      <c r="G14801" t="s">
        <v>12755</v>
      </c>
      <c r="H14801" s="21">
        <v>862.67</v>
      </c>
    </row>
    <row r="14802" spans="1:8" customFormat="1" x14ac:dyDescent="0.25">
      <c r="A14802" t="str">
        <f>"187265"</f>
        <v>187265</v>
      </c>
      <c r="B14802" t="s">
        <v>14205</v>
      </c>
      <c r="C14802" t="s">
        <v>462</v>
      </c>
      <c r="D14802" s="21" t="s">
        <v>34</v>
      </c>
      <c r="E14802" s="21" t="s">
        <v>71</v>
      </c>
      <c r="F14802">
        <v>4180174</v>
      </c>
      <c r="G14802" t="s">
        <v>3046</v>
      </c>
      <c r="H14802" s="21">
        <v>862.67</v>
      </c>
    </row>
    <row r="14803" spans="1:8" customFormat="1" x14ac:dyDescent="0.25">
      <c r="A14803" t="str">
        <f>"511220"</f>
        <v>511220</v>
      </c>
      <c r="B14803" t="s">
        <v>11921</v>
      </c>
      <c r="C14803" t="s">
        <v>40</v>
      </c>
      <c r="D14803" s="21" t="s">
        <v>34</v>
      </c>
      <c r="E14803" s="21" t="s">
        <v>71</v>
      </c>
      <c r="F14803">
        <v>6510015</v>
      </c>
      <c r="G14803" t="s">
        <v>5462</v>
      </c>
      <c r="H14803" s="21">
        <v>862.67</v>
      </c>
    </row>
    <row r="14804" spans="1:8" customFormat="1" x14ac:dyDescent="0.25">
      <c r="A14804" t="str">
        <f>"3823700"</f>
        <v>3823700</v>
      </c>
      <c r="B14804" t="s">
        <v>205</v>
      </c>
      <c r="C14804" t="s">
        <v>65</v>
      </c>
      <c r="D14804" s="21" t="s">
        <v>34</v>
      </c>
      <c r="E14804" s="21" t="s">
        <v>35</v>
      </c>
      <c r="F14804">
        <v>1380292</v>
      </c>
      <c r="G14804" t="s">
        <v>10256</v>
      </c>
      <c r="H14804" s="21">
        <v>862.42</v>
      </c>
    </row>
    <row r="14805" spans="1:8" customFormat="1" x14ac:dyDescent="0.25">
      <c r="A14805" t="str">
        <f>"4211873"</f>
        <v>4211873</v>
      </c>
      <c r="B14805" t="s">
        <v>7404</v>
      </c>
      <c r="C14805" t="s">
        <v>87</v>
      </c>
      <c r="D14805" s="21" t="s">
        <v>34</v>
      </c>
      <c r="E14805" s="21" t="s">
        <v>35</v>
      </c>
      <c r="F14805">
        <v>1420048</v>
      </c>
      <c r="G14805" t="s">
        <v>745</v>
      </c>
      <c r="H14805" s="21">
        <v>862.42</v>
      </c>
    </row>
    <row r="14806" spans="1:8" customFormat="1" x14ac:dyDescent="0.25">
      <c r="A14806" t="str">
        <f>"4917867"</f>
        <v>4917867</v>
      </c>
      <c r="B14806" t="s">
        <v>13295</v>
      </c>
      <c r="C14806" t="s">
        <v>11542</v>
      </c>
      <c r="D14806" s="21" t="s">
        <v>34</v>
      </c>
      <c r="E14806" s="21" t="s">
        <v>254</v>
      </c>
      <c r="F14806">
        <v>12490021</v>
      </c>
      <c r="G14806" t="s">
        <v>4592</v>
      </c>
      <c r="H14806" s="21">
        <v>862.42</v>
      </c>
    </row>
    <row r="14807" spans="1:8" customFormat="1" x14ac:dyDescent="0.25">
      <c r="A14807" t="str">
        <f>"8312914"</f>
        <v>8312914</v>
      </c>
      <c r="B14807" t="s">
        <v>13935</v>
      </c>
      <c r="C14807" t="s">
        <v>109</v>
      </c>
      <c r="D14807" s="21" t="s">
        <v>34</v>
      </c>
      <c r="E14807" s="21" t="s">
        <v>35</v>
      </c>
      <c r="F14807">
        <v>13830060</v>
      </c>
      <c r="G14807" t="s">
        <v>5856</v>
      </c>
      <c r="H14807" s="21">
        <v>862.42</v>
      </c>
    </row>
    <row r="14808" spans="1:8" customFormat="1" x14ac:dyDescent="0.25">
      <c r="A14808" t="str">
        <f>"9443205"</f>
        <v>9443205</v>
      </c>
      <c r="B14808" t="s">
        <v>13514</v>
      </c>
      <c r="C14808" t="s">
        <v>3456</v>
      </c>
      <c r="D14808" s="21" t="s">
        <v>34</v>
      </c>
      <c r="E14808" s="21" t="s">
        <v>35</v>
      </c>
      <c r="F14808">
        <v>8940577</v>
      </c>
      <c r="G14808" t="s">
        <v>3774</v>
      </c>
      <c r="H14808" s="21">
        <v>862.29</v>
      </c>
    </row>
    <row r="14809" spans="1:8" customFormat="1" x14ac:dyDescent="0.25">
      <c r="A14809" t="str">
        <f>"44495"</f>
        <v>44495</v>
      </c>
      <c r="B14809" t="s">
        <v>13358</v>
      </c>
      <c r="C14809" t="s">
        <v>415</v>
      </c>
      <c r="D14809" s="21" t="s">
        <v>34</v>
      </c>
      <c r="E14809" s="21" t="s">
        <v>254</v>
      </c>
      <c r="F14809">
        <v>12440056</v>
      </c>
      <c r="G14809" t="s">
        <v>2037</v>
      </c>
      <c r="H14809" s="21">
        <v>862.17</v>
      </c>
    </row>
    <row r="14810" spans="1:8" customFormat="1" x14ac:dyDescent="0.25">
      <c r="A14810" t="str">
        <f>"5020191"</f>
        <v>5020191</v>
      </c>
      <c r="B14810" t="s">
        <v>11027</v>
      </c>
      <c r="C14810" t="s">
        <v>82</v>
      </c>
      <c r="D14810" s="21" t="s">
        <v>34</v>
      </c>
      <c r="E14810" s="21" t="s">
        <v>35</v>
      </c>
      <c r="F14810">
        <v>9500063</v>
      </c>
      <c r="G14810" t="s">
        <v>4114</v>
      </c>
      <c r="H14810" s="21">
        <v>862.17</v>
      </c>
    </row>
    <row r="14811" spans="1:8" customFormat="1" x14ac:dyDescent="0.25">
      <c r="A14811" t="str">
        <f>"441179"</f>
        <v>441179</v>
      </c>
      <c r="B14811" t="s">
        <v>14249</v>
      </c>
      <c r="C14811" t="s">
        <v>3648</v>
      </c>
      <c r="D14811" s="21" t="s">
        <v>34</v>
      </c>
      <c r="E14811" s="21" t="s">
        <v>1089</v>
      </c>
      <c r="F14811">
        <v>12440033</v>
      </c>
      <c r="G14811" t="s">
        <v>1638</v>
      </c>
      <c r="H14811" s="21">
        <v>862.17</v>
      </c>
    </row>
    <row r="14812" spans="1:8" customFormat="1" x14ac:dyDescent="0.25">
      <c r="A14812" t="str">
        <f>"2933250"</f>
        <v>2933250</v>
      </c>
      <c r="B14812" t="s">
        <v>13873</v>
      </c>
      <c r="C14812" t="s">
        <v>139</v>
      </c>
      <c r="D14812" s="21" t="s">
        <v>34</v>
      </c>
      <c r="E14812" s="21" t="s">
        <v>35</v>
      </c>
      <c r="F14812">
        <v>3290282</v>
      </c>
      <c r="G14812" t="s">
        <v>4855</v>
      </c>
      <c r="H14812" s="21">
        <v>862.17</v>
      </c>
    </row>
    <row r="14813" spans="1:8" customFormat="1" x14ac:dyDescent="0.25">
      <c r="A14813" t="str">
        <f>"1710279"</f>
        <v>1710279</v>
      </c>
      <c r="B14813" t="s">
        <v>5614</v>
      </c>
      <c r="C14813" t="s">
        <v>40</v>
      </c>
      <c r="D14813" s="21" t="s">
        <v>34</v>
      </c>
      <c r="E14813" s="21" t="s">
        <v>71</v>
      </c>
      <c r="F14813">
        <v>10170028</v>
      </c>
      <c r="G14813" t="s">
        <v>649</v>
      </c>
      <c r="H14813" s="21">
        <v>862.17</v>
      </c>
    </row>
    <row r="14814" spans="1:8" customFormat="1" x14ac:dyDescent="0.25">
      <c r="A14814" t="str">
        <f>"7869276"</f>
        <v>7869276</v>
      </c>
      <c r="B14814" t="s">
        <v>1825</v>
      </c>
      <c r="C14814" t="s">
        <v>576</v>
      </c>
      <c r="D14814" s="21" t="s">
        <v>34</v>
      </c>
      <c r="E14814" s="21" t="s">
        <v>35</v>
      </c>
      <c r="F14814">
        <v>8781144</v>
      </c>
      <c r="G14814" t="s">
        <v>4714</v>
      </c>
      <c r="H14814" s="21">
        <v>862.17</v>
      </c>
    </row>
    <row r="14815" spans="1:8" customFormat="1" x14ac:dyDescent="0.25">
      <c r="A14815" t="str">
        <f>"4513877"</f>
        <v>4513877</v>
      </c>
      <c r="B14815" t="s">
        <v>14248</v>
      </c>
      <c r="C14815" t="s">
        <v>55</v>
      </c>
      <c r="D14815" s="21" t="s">
        <v>34</v>
      </c>
      <c r="E14815" s="21" t="s">
        <v>71</v>
      </c>
      <c r="F14815">
        <v>4450580</v>
      </c>
      <c r="G14815" t="s">
        <v>11998</v>
      </c>
      <c r="H14815" s="21">
        <v>862.17</v>
      </c>
    </row>
    <row r="14816" spans="1:8" customFormat="1" x14ac:dyDescent="0.25">
      <c r="A14816" t="str">
        <f>"424719"</f>
        <v>424719</v>
      </c>
      <c r="B14816" t="s">
        <v>12507</v>
      </c>
      <c r="C14816" t="s">
        <v>236</v>
      </c>
      <c r="D14816" s="21" t="s">
        <v>34</v>
      </c>
      <c r="E14816" s="21" t="s">
        <v>71</v>
      </c>
      <c r="F14816">
        <v>1420108</v>
      </c>
      <c r="G14816" t="s">
        <v>9177</v>
      </c>
      <c r="H14816" s="21">
        <v>862.17</v>
      </c>
    </row>
    <row r="14817" spans="1:8" customFormat="1" x14ac:dyDescent="0.25">
      <c r="A14817" t="str">
        <f>"165299"</f>
        <v>165299</v>
      </c>
      <c r="B14817" t="s">
        <v>12623</v>
      </c>
      <c r="C14817" t="s">
        <v>198</v>
      </c>
      <c r="D14817" s="21" t="s">
        <v>34</v>
      </c>
      <c r="E14817" s="21" t="s">
        <v>254</v>
      </c>
      <c r="F14817">
        <v>10160003</v>
      </c>
      <c r="G14817" t="s">
        <v>4692</v>
      </c>
      <c r="H14817" s="21">
        <v>862.17</v>
      </c>
    </row>
    <row r="14818" spans="1:8" customFormat="1" x14ac:dyDescent="0.25">
      <c r="A14818" t="str">
        <f>"1425195"</f>
        <v>1425195</v>
      </c>
      <c r="B14818" t="s">
        <v>4499</v>
      </c>
      <c r="C14818" t="s">
        <v>320</v>
      </c>
      <c r="D14818" s="21" t="s">
        <v>34</v>
      </c>
      <c r="E14818" s="21" t="s">
        <v>35</v>
      </c>
      <c r="F14818">
        <v>9140060</v>
      </c>
      <c r="G14818" t="s">
        <v>5773</v>
      </c>
      <c r="H14818" s="21">
        <v>862.17</v>
      </c>
    </row>
    <row r="14819" spans="1:8" customFormat="1" x14ac:dyDescent="0.25">
      <c r="A14819" t="str">
        <f>"289018"</f>
        <v>289018</v>
      </c>
      <c r="B14819" t="s">
        <v>4579</v>
      </c>
      <c r="C14819" t="s">
        <v>462</v>
      </c>
      <c r="D14819" s="21" t="s">
        <v>34</v>
      </c>
      <c r="E14819" s="21" t="s">
        <v>71</v>
      </c>
      <c r="F14819">
        <v>4280322</v>
      </c>
      <c r="G14819" t="s">
        <v>265</v>
      </c>
      <c r="H14819" s="21">
        <v>862.17</v>
      </c>
    </row>
    <row r="14820" spans="1:8" customFormat="1" x14ac:dyDescent="0.25">
      <c r="A14820" t="str">
        <f>"4412133"</f>
        <v>4412133</v>
      </c>
      <c r="B14820" t="s">
        <v>3158</v>
      </c>
      <c r="C14820" t="s">
        <v>211</v>
      </c>
      <c r="D14820" s="21" t="s">
        <v>34</v>
      </c>
      <c r="E14820" s="21" t="s">
        <v>71</v>
      </c>
      <c r="F14820">
        <v>12440080</v>
      </c>
      <c r="G14820" t="s">
        <v>14103</v>
      </c>
      <c r="H14820" s="21">
        <v>861.92</v>
      </c>
    </row>
    <row r="14821" spans="1:8" customFormat="1" x14ac:dyDescent="0.25">
      <c r="A14821" t="str">
        <f>"639012"</f>
        <v>639012</v>
      </c>
      <c r="B14821" t="s">
        <v>13236</v>
      </c>
      <c r="C14821" t="s">
        <v>415</v>
      </c>
      <c r="D14821" s="21" t="s">
        <v>34</v>
      </c>
      <c r="E14821" s="21" t="s">
        <v>35</v>
      </c>
      <c r="F14821">
        <v>1630012</v>
      </c>
      <c r="G14821" t="s">
        <v>8636</v>
      </c>
      <c r="H14821" s="21">
        <v>861.92</v>
      </c>
    </row>
    <row r="14822" spans="1:8" customFormat="1" x14ac:dyDescent="0.25">
      <c r="A14822" t="str">
        <f>"7814969"</f>
        <v>7814969</v>
      </c>
      <c r="B14822" t="s">
        <v>14087</v>
      </c>
      <c r="C14822" t="s">
        <v>269</v>
      </c>
      <c r="D14822" s="21" t="s">
        <v>34</v>
      </c>
      <c r="E14822" s="21" t="s">
        <v>71</v>
      </c>
      <c r="F14822">
        <v>8781006</v>
      </c>
      <c r="G14822" t="s">
        <v>5376</v>
      </c>
      <c r="H14822" s="21">
        <v>861.92</v>
      </c>
    </row>
    <row r="14823" spans="1:8" customFormat="1" x14ac:dyDescent="0.25">
      <c r="A14823" t="str">
        <f>"3420650"</f>
        <v>3420650</v>
      </c>
      <c r="B14823" t="s">
        <v>12997</v>
      </c>
      <c r="C14823" t="s">
        <v>3109</v>
      </c>
      <c r="D14823" s="21" t="s">
        <v>34</v>
      </c>
      <c r="E14823" s="21" t="s">
        <v>254</v>
      </c>
      <c r="F14823">
        <v>11110027</v>
      </c>
      <c r="G14823" t="s">
        <v>713</v>
      </c>
      <c r="H14823" s="21">
        <v>861.92</v>
      </c>
    </row>
    <row r="14824" spans="1:8" customFormat="1" x14ac:dyDescent="0.25">
      <c r="A14824" t="str">
        <f>"3345217"</f>
        <v>3345217</v>
      </c>
      <c r="B14824" t="s">
        <v>27353</v>
      </c>
      <c r="C14824" t="s">
        <v>114</v>
      </c>
      <c r="D14824" s="21" t="s">
        <v>34</v>
      </c>
      <c r="E14824" s="21" t="s">
        <v>71</v>
      </c>
      <c r="F14824">
        <v>10330011</v>
      </c>
      <c r="G14824" t="s">
        <v>1789</v>
      </c>
      <c r="H14824" s="21">
        <v>861.92</v>
      </c>
    </row>
    <row r="14825" spans="1:8" customFormat="1" x14ac:dyDescent="0.25">
      <c r="A14825" t="str">
        <f>"6313063"</f>
        <v>6313063</v>
      </c>
      <c r="B14825" t="s">
        <v>12795</v>
      </c>
      <c r="C14825" t="s">
        <v>544</v>
      </c>
      <c r="D14825" s="21" t="s">
        <v>34</v>
      </c>
      <c r="E14825" s="21" t="s">
        <v>71</v>
      </c>
      <c r="F14825">
        <v>1630261</v>
      </c>
      <c r="G14825" t="s">
        <v>1382</v>
      </c>
      <c r="H14825" s="21">
        <v>861.92</v>
      </c>
    </row>
    <row r="14826" spans="1:8" customFormat="1" x14ac:dyDescent="0.25">
      <c r="A14826" t="str">
        <f>"7825098"</f>
        <v>7825098</v>
      </c>
      <c r="B14826" t="s">
        <v>10334</v>
      </c>
      <c r="C14826" t="s">
        <v>415</v>
      </c>
      <c r="D14826" s="21" t="s">
        <v>34</v>
      </c>
      <c r="E14826" s="21" t="s">
        <v>71</v>
      </c>
      <c r="F14826">
        <v>8780016</v>
      </c>
      <c r="G14826" t="s">
        <v>3153</v>
      </c>
      <c r="H14826" s="21">
        <v>861.79</v>
      </c>
    </row>
    <row r="14827" spans="1:8" customFormat="1" x14ac:dyDescent="0.25">
      <c r="A14827" t="str">
        <f>"72642"</f>
        <v>72642</v>
      </c>
      <c r="B14827" t="s">
        <v>2605</v>
      </c>
      <c r="C14827" t="s">
        <v>139</v>
      </c>
      <c r="D14827" s="21" t="s">
        <v>34</v>
      </c>
      <c r="E14827" s="21" t="s">
        <v>35</v>
      </c>
      <c r="F14827">
        <v>12720081</v>
      </c>
      <c r="G14827" t="s">
        <v>6360</v>
      </c>
      <c r="H14827" s="21">
        <v>861.67</v>
      </c>
    </row>
    <row r="14828" spans="1:8" customFormat="1" x14ac:dyDescent="0.25">
      <c r="A14828" t="str">
        <f>"167532"</f>
        <v>167532</v>
      </c>
      <c r="B14828" t="s">
        <v>13247</v>
      </c>
      <c r="C14828" t="s">
        <v>62</v>
      </c>
      <c r="D14828" s="21" t="s">
        <v>34</v>
      </c>
      <c r="E14828" s="21" t="s">
        <v>35</v>
      </c>
      <c r="F14828">
        <v>1690160</v>
      </c>
      <c r="G14828" t="s">
        <v>4599</v>
      </c>
      <c r="H14828" s="21">
        <v>861.67</v>
      </c>
    </row>
    <row r="14829" spans="1:8" customFormat="1" x14ac:dyDescent="0.25">
      <c r="A14829" t="str">
        <f>"886827"</f>
        <v>886827</v>
      </c>
      <c r="B14829" t="s">
        <v>7891</v>
      </c>
      <c r="C14829" t="s">
        <v>239</v>
      </c>
      <c r="D14829" s="21" t="s">
        <v>34</v>
      </c>
      <c r="E14829" s="21" t="s">
        <v>71</v>
      </c>
      <c r="F14829">
        <v>6880018</v>
      </c>
      <c r="G14829" t="s">
        <v>9046</v>
      </c>
      <c r="H14829" s="21">
        <v>861.67</v>
      </c>
    </row>
    <row r="14830" spans="1:8" customFormat="1" x14ac:dyDescent="0.25">
      <c r="A14830" t="str">
        <f>"7517535"</f>
        <v>7517535</v>
      </c>
      <c r="B14830" t="s">
        <v>12991</v>
      </c>
      <c r="C14830" t="s">
        <v>486</v>
      </c>
      <c r="D14830" s="21" t="s">
        <v>34</v>
      </c>
      <c r="E14830" s="21" t="s">
        <v>35</v>
      </c>
      <c r="F14830">
        <v>8750100</v>
      </c>
      <c r="G14830" t="s">
        <v>10521</v>
      </c>
      <c r="H14830" s="21">
        <v>861.67</v>
      </c>
    </row>
    <row r="14831" spans="1:8" customFormat="1" x14ac:dyDescent="0.25">
      <c r="A14831" t="str">
        <f>"1310639"</f>
        <v>1310639</v>
      </c>
      <c r="B14831" t="s">
        <v>650</v>
      </c>
      <c r="C14831" t="s">
        <v>60</v>
      </c>
      <c r="D14831" s="21" t="s">
        <v>34</v>
      </c>
      <c r="E14831" s="21" t="s">
        <v>35</v>
      </c>
      <c r="F14831">
        <v>6670043</v>
      </c>
      <c r="G14831" t="s">
        <v>5658</v>
      </c>
      <c r="H14831" s="21">
        <v>861.67</v>
      </c>
    </row>
    <row r="14832" spans="1:8" customFormat="1" x14ac:dyDescent="0.25">
      <c r="A14832" t="str">
        <f>"499025"</f>
        <v>499025</v>
      </c>
      <c r="B14832" t="s">
        <v>13910</v>
      </c>
      <c r="C14832" t="s">
        <v>2529</v>
      </c>
      <c r="D14832" s="21" t="s">
        <v>34</v>
      </c>
      <c r="E14832" s="21" t="s">
        <v>71</v>
      </c>
      <c r="F14832">
        <v>12490106</v>
      </c>
      <c r="G14832" t="s">
        <v>4555</v>
      </c>
      <c r="H14832" s="21">
        <v>861.67</v>
      </c>
    </row>
    <row r="14833" spans="1:8" customFormat="1" x14ac:dyDescent="0.25">
      <c r="A14833" t="str">
        <f>"3513093"</f>
        <v>3513093</v>
      </c>
      <c r="B14833" t="s">
        <v>12905</v>
      </c>
      <c r="C14833" t="s">
        <v>381</v>
      </c>
      <c r="D14833" s="21" t="s">
        <v>34</v>
      </c>
      <c r="E14833" s="21" t="s">
        <v>71</v>
      </c>
      <c r="F14833">
        <v>3350136</v>
      </c>
      <c r="G14833" t="s">
        <v>2773</v>
      </c>
      <c r="H14833" s="21">
        <v>861.67</v>
      </c>
    </row>
    <row r="14834" spans="1:8" customFormat="1" x14ac:dyDescent="0.25">
      <c r="A14834" t="str">
        <f>"6720037"</f>
        <v>6720037</v>
      </c>
      <c r="B14834" t="s">
        <v>13645</v>
      </c>
      <c r="C14834" t="s">
        <v>114</v>
      </c>
      <c r="D14834" s="21" t="s">
        <v>34</v>
      </c>
      <c r="E14834" s="21" t="s">
        <v>71</v>
      </c>
      <c r="F14834">
        <v>6670122</v>
      </c>
      <c r="G14834" t="s">
        <v>3126</v>
      </c>
      <c r="H14834" s="21">
        <v>861.67</v>
      </c>
    </row>
    <row r="14835" spans="1:8" customFormat="1" x14ac:dyDescent="0.25">
      <c r="A14835" t="str">
        <f>"456313"</f>
        <v>456313</v>
      </c>
      <c r="B14835" t="s">
        <v>3957</v>
      </c>
      <c r="C14835" t="s">
        <v>198</v>
      </c>
      <c r="D14835" s="21" t="s">
        <v>34</v>
      </c>
      <c r="E14835" s="21" t="s">
        <v>71</v>
      </c>
      <c r="F14835">
        <v>4450295</v>
      </c>
      <c r="G14835" t="s">
        <v>9193</v>
      </c>
      <c r="H14835" s="21">
        <v>861.67</v>
      </c>
    </row>
    <row r="14836" spans="1:8" customFormat="1" x14ac:dyDescent="0.25">
      <c r="A14836" t="str">
        <f>"6932783"</f>
        <v>6932783</v>
      </c>
      <c r="B14836" t="s">
        <v>16073</v>
      </c>
      <c r="C14836" t="s">
        <v>16074</v>
      </c>
      <c r="D14836" s="21" t="s">
        <v>34</v>
      </c>
      <c r="E14836" s="21" t="s">
        <v>35</v>
      </c>
      <c r="F14836">
        <v>10330037</v>
      </c>
      <c r="G14836" t="s">
        <v>5960</v>
      </c>
      <c r="H14836" s="21">
        <v>861.67</v>
      </c>
    </row>
    <row r="14837" spans="1:8" customFormat="1" x14ac:dyDescent="0.25">
      <c r="A14837" t="str">
        <f>"6012006"</f>
        <v>6012006</v>
      </c>
      <c r="B14837" t="s">
        <v>27354</v>
      </c>
      <c r="C14837" t="s">
        <v>217</v>
      </c>
      <c r="D14837" s="21" t="s">
        <v>34</v>
      </c>
      <c r="E14837" s="21" t="s">
        <v>35</v>
      </c>
      <c r="F14837">
        <v>7600046</v>
      </c>
      <c r="G14837" t="s">
        <v>2604</v>
      </c>
      <c r="H14837" s="21">
        <v>861.67</v>
      </c>
    </row>
    <row r="14838" spans="1:8" customFormat="1" x14ac:dyDescent="0.25">
      <c r="A14838" t="str">
        <f>"7818085"</f>
        <v>7818085</v>
      </c>
      <c r="B14838" t="s">
        <v>8982</v>
      </c>
      <c r="C14838" t="s">
        <v>415</v>
      </c>
      <c r="D14838" s="21" t="s">
        <v>34</v>
      </c>
      <c r="E14838" s="21" t="s">
        <v>71</v>
      </c>
      <c r="F14838">
        <v>8781473</v>
      </c>
      <c r="G14838" t="s">
        <v>1097</v>
      </c>
      <c r="H14838" s="21">
        <v>861.67</v>
      </c>
    </row>
    <row r="14839" spans="1:8" customFormat="1" x14ac:dyDescent="0.25">
      <c r="A14839" t="str">
        <f>"62699"</f>
        <v>62699</v>
      </c>
      <c r="B14839" t="s">
        <v>12589</v>
      </c>
      <c r="C14839" t="s">
        <v>772</v>
      </c>
      <c r="D14839" s="21" t="s">
        <v>34</v>
      </c>
      <c r="E14839" s="21" t="s">
        <v>254</v>
      </c>
      <c r="F14839">
        <v>7620058</v>
      </c>
      <c r="G14839" t="s">
        <v>602</v>
      </c>
      <c r="H14839" s="21">
        <v>861.67</v>
      </c>
    </row>
    <row r="14840" spans="1:8" customFormat="1" x14ac:dyDescent="0.25">
      <c r="A14840" t="str">
        <f>"9244961"</f>
        <v>9244961</v>
      </c>
      <c r="B14840" t="s">
        <v>11617</v>
      </c>
      <c r="C14840" t="s">
        <v>269</v>
      </c>
      <c r="D14840" s="21" t="s">
        <v>34</v>
      </c>
      <c r="E14840" s="21" t="s">
        <v>71</v>
      </c>
      <c r="F14840">
        <v>8920067</v>
      </c>
      <c r="G14840" t="s">
        <v>258</v>
      </c>
      <c r="H14840" s="21">
        <v>861.67</v>
      </c>
    </row>
    <row r="14841" spans="1:8" customFormat="1" x14ac:dyDescent="0.25">
      <c r="A14841" t="str">
        <f>"3519000"</f>
        <v>3519000</v>
      </c>
      <c r="B14841" t="s">
        <v>2203</v>
      </c>
      <c r="C14841" t="s">
        <v>65</v>
      </c>
      <c r="D14841" s="21" t="s">
        <v>34</v>
      </c>
      <c r="E14841" s="21" t="s">
        <v>35</v>
      </c>
      <c r="F14841">
        <v>3350113</v>
      </c>
      <c r="G14841" t="s">
        <v>7631</v>
      </c>
      <c r="H14841" s="21">
        <v>861.67</v>
      </c>
    </row>
    <row r="14842" spans="1:8" customFormat="1" x14ac:dyDescent="0.25">
      <c r="A14842" t="str">
        <f>"28395"</f>
        <v>28395</v>
      </c>
      <c r="B14842" t="s">
        <v>12978</v>
      </c>
      <c r="C14842" t="s">
        <v>267</v>
      </c>
      <c r="D14842" s="21" t="s">
        <v>34</v>
      </c>
      <c r="E14842" s="21" t="s">
        <v>254</v>
      </c>
      <c r="F14842">
        <v>4280049</v>
      </c>
      <c r="G14842" t="s">
        <v>7855</v>
      </c>
      <c r="H14842" s="21">
        <v>861.67</v>
      </c>
    </row>
    <row r="14843" spans="1:8" customFormat="1" x14ac:dyDescent="0.25">
      <c r="A14843" t="str">
        <f>"3519810"</f>
        <v>3519810</v>
      </c>
      <c r="B14843" t="s">
        <v>3167</v>
      </c>
      <c r="C14843" t="s">
        <v>130</v>
      </c>
      <c r="D14843" s="21" t="s">
        <v>34</v>
      </c>
      <c r="E14843" s="21" t="s">
        <v>71</v>
      </c>
      <c r="F14843">
        <v>3290081</v>
      </c>
      <c r="G14843" t="s">
        <v>3819</v>
      </c>
      <c r="H14843" s="21">
        <v>861.67</v>
      </c>
    </row>
    <row r="14844" spans="1:8" customFormat="1" x14ac:dyDescent="0.25">
      <c r="A14844" t="str">
        <f>"4440253"</f>
        <v>4440253</v>
      </c>
      <c r="B14844" t="s">
        <v>4330</v>
      </c>
      <c r="C14844" t="s">
        <v>55</v>
      </c>
      <c r="D14844" s="21" t="s">
        <v>34</v>
      </c>
      <c r="E14844" s="21" t="s">
        <v>35</v>
      </c>
      <c r="F14844">
        <v>12440167</v>
      </c>
      <c r="G14844" t="s">
        <v>27355</v>
      </c>
      <c r="H14844" s="21">
        <v>861.17</v>
      </c>
    </row>
    <row r="14845" spans="1:8" customFormat="1" x14ac:dyDescent="0.25">
      <c r="A14845" t="str">
        <f>"505246"</f>
        <v>505246</v>
      </c>
      <c r="B14845" t="s">
        <v>2656</v>
      </c>
      <c r="C14845" t="s">
        <v>2100</v>
      </c>
      <c r="D14845" s="21" t="s">
        <v>34</v>
      </c>
      <c r="E14845" s="21" t="s">
        <v>254</v>
      </c>
      <c r="F14845">
        <v>9500030</v>
      </c>
      <c r="G14845" t="s">
        <v>2166</v>
      </c>
      <c r="H14845" s="21">
        <v>861.17</v>
      </c>
    </row>
    <row r="14846" spans="1:8" customFormat="1" x14ac:dyDescent="0.25">
      <c r="A14846" t="str">
        <f>"879237"</f>
        <v>879237</v>
      </c>
      <c r="B14846" t="s">
        <v>12119</v>
      </c>
      <c r="C14846" t="s">
        <v>267</v>
      </c>
      <c r="D14846" s="21" t="s">
        <v>34</v>
      </c>
      <c r="E14846" s="21" t="s">
        <v>1089</v>
      </c>
      <c r="F14846">
        <v>10870007</v>
      </c>
      <c r="G14846" t="s">
        <v>8903</v>
      </c>
      <c r="H14846" s="21">
        <v>861.17</v>
      </c>
    </row>
    <row r="14847" spans="1:8" customFormat="1" x14ac:dyDescent="0.25">
      <c r="A14847" t="str">
        <f>"7727854"</f>
        <v>7727854</v>
      </c>
      <c r="B14847" t="s">
        <v>2313</v>
      </c>
      <c r="C14847" t="s">
        <v>13807</v>
      </c>
      <c r="D14847" s="21" t="s">
        <v>34</v>
      </c>
      <c r="E14847" s="21" t="s">
        <v>254</v>
      </c>
      <c r="F14847">
        <v>8771398</v>
      </c>
      <c r="G14847" t="s">
        <v>2759</v>
      </c>
      <c r="H14847" s="21">
        <v>861.17</v>
      </c>
    </row>
    <row r="14848" spans="1:8" customFormat="1" x14ac:dyDescent="0.25">
      <c r="A14848" t="str">
        <f>"178626"</f>
        <v>178626</v>
      </c>
      <c r="B14848" t="s">
        <v>13712</v>
      </c>
      <c r="C14848" t="s">
        <v>119</v>
      </c>
      <c r="D14848" s="21" t="s">
        <v>34</v>
      </c>
      <c r="E14848" s="21" t="s">
        <v>71</v>
      </c>
      <c r="F14848">
        <v>11340061</v>
      </c>
      <c r="G14848" t="s">
        <v>6763</v>
      </c>
      <c r="H14848" s="21">
        <v>861.17</v>
      </c>
    </row>
    <row r="14849" spans="1:8" customFormat="1" x14ac:dyDescent="0.25">
      <c r="A14849" t="str">
        <f>"595403"</f>
        <v>595403</v>
      </c>
      <c r="B14849" t="s">
        <v>7493</v>
      </c>
      <c r="C14849" t="s">
        <v>269</v>
      </c>
      <c r="D14849" s="21" t="s">
        <v>34</v>
      </c>
      <c r="E14849" s="21" t="s">
        <v>71</v>
      </c>
      <c r="F14849">
        <v>7620049</v>
      </c>
      <c r="G14849" t="s">
        <v>1176</v>
      </c>
      <c r="H14849" s="21">
        <v>861.17</v>
      </c>
    </row>
    <row r="14850" spans="1:8" customFormat="1" x14ac:dyDescent="0.25">
      <c r="A14850" t="str">
        <f>"568463"</f>
        <v>568463</v>
      </c>
      <c r="B14850" t="s">
        <v>4516</v>
      </c>
      <c r="C14850" t="s">
        <v>198</v>
      </c>
      <c r="D14850" s="21" t="s">
        <v>34</v>
      </c>
      <c r="E14850" s="21" t="s">
        <v>71</v>
      </c>
      <c r="F14850">
        <v>3560087</v>
      </c>
      <c r="G14850" t="s">
        <v>7767</v>
      </c>
      <c r="H14850" s="21">
        <v>861.17</v>
      </c>
    </row>
    <row r="14851" spans="1:8" customFormat="1" x14ac:dyDescent="0.25">
      <c r="A14851" t="str">
        <f>"706344"</f>
        <v>706344</v>
      </c>
      <c r="B14851" t="s">
        <v>13787</v>
      </c>
      <c r="C14851" t="s">
        <v>570</v>
      </c>
      <c r="D14851" s="21" t="s">
        <v>34</v>
      </c>
      <c r="E14851" s="21" t="s">
        <v>35</v>
      </c>
      <c r="F14851">
        <v>2700077</v>
      </c>
      <c r="G14851" t="s">
        <v>9311</v>
      </c>
      <c r="H14851" s="21">
        <v>861.17</v>
      </c>
    </row>
    <row r="14852" spans="1:8" customFormat="1" x14ac:dyDescent="0.25">
      <c r="A14852" t="str">
        <f>"395215"</f>
        <v>395215</v>
      </c>
      <c r="B14852" t="s">
        <v>12125</v>
      </c>
      <c r="C14852" t="s">
        <v>124</v>
      </c>
      <c r="D14852" s="21" t="s">
        <v>34</v>
      </c>
      <c r="E14852" s="21" t="s">
        <v>254</v>
      </c>
      <c r="F14852">
        <v>2390003</v>
      </c>
      <c r="G14852" t="s">
        <v>1150</v>
      </c>
      <c r="H14852" s="21">
        <v>861.17</v>
      </c>
    </row>
    <row r="14853" spans="1:8" customFormat="1" x14ac:dyDescent="0.25">
      <c r="A14853" t="str">
        <f>"2921878"</f>
        <v>2921878</v>
      </c>
      <c r="B14853" t="s">
        <v>1442</v>
      </c>
      <c r="C14853" t="s">
        <v>198</v>
      </c>
      <c r="D14853" s="21" t="s">
        <v>34</v>
      </c>
      <c r="E14853" s="21" t="s">
        <v>35</v>
      </c>
      <c r="F14853">
        <v>3290217</v>
      </c>
      <c r="G14853" t="s">
        <v>6770</v>
      </c>
      <c r="H14853" s="21">
        <v>861.17</v>
      </c>
    </row>
    <row r="14854" spans="1:8" customFormat="1" x14ac:dyDescent="0.25">
      <c r="A14854" t="str">
        <f>"224597"</f>
        <v>224597</v>
      </c>
      <c r="B14854" t="s">
        <v>11657</v>
      </c>
      <c r="C14854" t="s">
        <v>267</v>
      </c>
      <c r="D14854" s="21" t="s">
        <v>34</v>
      </c>
      <c r="E14854" s="21" t="s">
        <v>254</v>
      </c>
      <c r="F14854">
        <v>3220078</v>
      </c>
      <c r="G14854" t="s">
        <v>27356</v>
      </c>
      <c r="H14854" s="21">
        <v>861.17</v>
      </c>
    </row>
    <row r="14855" spans="1:8" customFormat="1" x14ac:dyDescent="0.25">
      <c r="A14855" t="str">
        <f>"9512037"</f>
        <v>9512037</v>
      </c>
      <c r="B14855" t="s">
        <v>13526</v>
      </c>
      <c r="C14855" t="s">
        <v>415</v>
      </c>
      <c r="D14855" s="21" t="s">
        <v>34</v>
      </c>
      <c r="E14855" s="21" t="s">
        <v>254</v>
      </c>
      <c r="F14855">
        <v>8950978</v>
      </c>
      <c r="G14855" t="s">
        <v>1164</v>
      </c>
      <c r="H14855" s="21">
        <v>861.17</v>
      </c>
    </row>
    <row r="14856" spans="1:8" customFormat="1" x14ac:dyDescent="0.25">
      <c r="A14856" t="str">
        <f>"6231326"</f>
        <v>6231326</v>
      </c>
      <c r="B14856" t="s">
        <v>14971</v>
      </c>
      <c r="C14856" t="s">
        <v>33</v>
      </c>
      <c r="D14856" s="21" t="s">
        <v>34</v>
      </c>
      <c r="E14856" s="21" t="s">
        <v>35</v>
      </c>
      <c r="F14856">
        <v>7620108</v>
      </c>
      <c r="G14856" t="s">
        <v>3035</v>
      </c>
      <c r="H14856" s="21">
        <v>861.17</v>
      </c>
    </row>
    <row r="14857" spans="1:8" customFormat="1" x14ac:dyDescent="0.25">
      <c r="A14857" t="str">
        <f>"5317403"</f>
        <v>5317403</v>
      </c>
      <c r="B14857" t="s">
        <v>14168</v>
      </c>
      <c r="C14857" t="s">
        <v>288</v>
      </c>
      <c r="D14857" s="21" t="s">
        <v>34</v>
      </c>
      <c r="E14857" s="21" t="s">
        <v>35</v>
      </c>
      <c r="F14857">
        <v>12530051</v>
      </c>
      <c r="G14857" t="s">
        <v>4995</v>
      </c>
      <c r="H14857" s="21">
        <v>861.17</v>
      </c>
    </row>
    <row r="14858" spans="1:8" customFormat="1" x14ac:dyDescent="0.25">
      <c r="A14858" t="str">
        <f>"7616583"</f>
        <v>7616583</v>
      </c>
      <c r="B14858" t="s">
        <v>27357</v>
      </c>
      <c r="C14858" t="s">
        <v>328</v>
      </c>
      <c r="D14858" s="21" t="s">
        <v>34</v>
      </c>
      <c r="E14858" s="21" t="s">
        <v>35</v>
      </c>
      <c r="F14858">
        <v>9760320</v>
      </c>
      <c r="G14858" t="s">
        <v>4917</v>
      </c>
      <c r="H14858" s="21">
        <v>861.17</v>
      </c>
    </row>
    <row r="14859" spans="1:8" customFormat="1" x14ac:dyDescent="0.25">
      <c r="A14859" t="str">
        <f>"3533502"</f>
        <v>3533502</v>
      </c>
      <c r="B14859" t="s">
        <v>1908</v>
      </c>
      <c r="C14859" t="s">
        <v>484</v>
      </c>
      <c r="D14859" s="21" t="s">
        <v>34</v>
      </c>
      <c r="E14859" s="21" t="s">
        <v>71</v>
      </c>
      <c r="F14859">
        <v>3350090</v>
      </c>
      <c r="G14859" t="s">
        <v>9659</v>
      </c>
      <c r="H14859" s="21">
        <v>861.17</v>
      </c>
    </row>
    <row r="14860" spans="1:8" customFormat="1" x14ac:dyDescent="0.25">
      <c r="A14860" t="str">
        <f>"259830"</f>
        <v>259830</v>
      </c>
      <c r="B14860" t="s">
        <v>11814</v>
      </c>
      <c r="C14860" t="s">
        <v>598</v>
      </c>
      <c r="D14860" s="21" t="s">
        <v>34</v>
      </c>
      <c r="E14860" s="21" t="s">
        <v>1089</v>
      </c>
      <c r="F14860">
        <v>2250217</v>
      </c>
      <c r="G14860" t="s">
        <v>11815</v>
      </c>
      <c r="H14860" s="21">
        <v>861.17</v>
      </c>
    </row>
    <row r="14861" spans="1:8" customFormat="1" x14ac:dyDescent="0.25">
      <c r="A14861" t="str">
        <f>"8313057"</f>
        <v>8313057</v>
      </c>
      <c r="B14861" t="s">
        <v>13409</v>
      </c>
      <c r="C14861" t="s">
        <v>2678</v>
      </c>
      <c r="D14861" s="21" t="s">
        <v>34</v>
      </c>
      <c r="E14861" s="21" t="s">
        <v>35</v>
      </c>
      <c r="F14861">
        <v>13830014</v>
      </c>
      <c r="G14861" t="s">
        <v>5757</v>
      </c>
      <c r="H14861" s="21">
        <v>861.17</v>
      </c>
    </row>
    <row r="14862" spans="1:8" customFormat="1" x14ac:dyDescent="0.25">
      <c r="A14862" t="str">
        <f>"9133131"</f>
        <v>9133131</v>
      </c>
      <c r="B14862" t="s">
        <v>13106</v>
      </c>
      <c r="C14862" t="s">
        <v>547</v>
      </c>
      <c r="D14862" s="21" t="s">
        <v>34</v>
      </c>
      <c r="E14862" s="21" t="s">
        <v>71</v>
      </c>
      <c r="F14862">
        <v>8910077</v>
      </c>
      <c r="G14862" t="s">
        <v>1380</v>
      </c>
      <c r="H14862" s="21">
        <v>860.92</v>
      </c>
    </row>
    <row r="14863" spans="1:8" customFormat="1" x14ac:dyDescent="0.25">
      <c r="A14863" t="str">
        <f>"7871576"</f>
        <v>7871576</v>
      </c>
      <c r="B14863" t="s">
        <v>1827</v>
      </c>
      <c r="C14863" t="s">
        <v>302</v>
      </c>
      <c r="D14863" s="21" t="s">
        <v>34</v>
      </c>
      <c r="E14863" s="21" t="s">
        <v>35</v>
      </c>
      <c r="F14863">
        <v>8780353</v>
      </c>
      <c r="G14863" t="s">
        <v>6524</v>
      </c>
      <c r="H14863" s="21">
        <v>860.92</v>
      </c>
    </row>
    <row r="14864" spans="1:8" customFormat="1" x14ac:dyDescent="0.25">
      <c r="A14864" t="str">
        <f>"168857"</f>
        <v>168857</v>
      </c>
      <c r="B14864" t="s">
        <v>8097</v>
      </c>
      <c r="C14864" t="s">
        <v>109</v>
      </c>
      <c r="D14864" s="21" t="s">
        <v>34</v>
      </c>
      <c r="E14864" s="21" t="s">
        <v>71</v>
      </c>
      <c r="F14864">
        <v>10160069</v>
      </c>
      <c r="G14864" t="s">
        <v>5379</v>
      </c>
      <c r="H14864" s="21">
        <v>860.67</v>
      </c>
    </row>
    <row r="14865" spans="1:8" customFormat="1" x14ac:dyDescent="0.25">
      <c r="A14865" t="str">
        <f>"5612186"</f>
        <v>5612186</v>
      </c>
      <c r="B14865" t="s">
        <v>13456</v>
      </c>
      <c r="C14865" t="s">
        <v>65</v>
      </c>
      <c r="D14865" s="21" t="s">
        <v>34</v>
      </c>
      <c r="E14865" s="21" t="s">
        <v>35</v>
      </c>
      <c r="F14865">
        <v>3560017</v>
      </c>
      <c r="G14865" t="s">
        <v>5745</v>
      </c>
      <c r="H14865" s="21">
        <v>860.67</v>
      </c>
    </row>
    <row r="14866" spans="1:8" customFormat="1" x14ac:dyDescent="0.25">
      <c r="A14866" t="str">
        <f>"8017062"</f>
        <v>8017062</v>
      </c>
      <c r="B14866" t="s">
        <v>14591</v>
      </c>
      <c r="C14866" t="s">
        <v>328</v>
      </c>
      <c r="D14866" s="21" t="s">
        <v>34</v>
      </c>
      <c r="E14866" s="21" t="s">
        <v>35</v>
      </c>
      <c r="F14866">
        <v>7800066</v>
      </c>
      <c r="G14866" t="s">
        <v>14130</v>
      </c>
      <c r="H14866" s="21">
        <v>860.67</v>
      </c>
    </row>
    <row r="14867" spans="1:8" customFormat="1" x14ac:dyDescent="0.25">
      <c r="A14867" t="str">
        <f>"396645"</f>
        <v>396645</v>
      </c>
      <c r="B14867" t="s">
        <v>4013</v>
      </c>
      <c r="C14867" t="s">
        <v>40</v>
      </c>
      <c r="D14867" s="21" t="s">
        <v>34</v>
      </c>
      <c r="E14867" s="21" t="s">
        <v>71</v>
      </c>
      <c r="F14867">
        <v>2390094</v>
      </c>
      <c r="G14867" t="s">
        <v>14784</v>
      </c>
      <c r="H14867" s="21">
        <v>860.67</v>
      </c>
    </row>
    <row r="14868" spans="1:8" customFormat="1" x14ac:dyDescent="0.25">
      <c r="A14868" t="str">
        <f>"7613764"</f>
        <v>7613764</v>
      </c>
      <c r="B14868" t="s">
        <v>27358</v>
      </c>
      <c r="C14868" t="s">
        <v>484</v>
      </c>
      <c r="D14868" s="21" t="s">
        <v>34</v>
      </c>
      <c r="E14868" s="21" t="s">
        <v>35</v>
      </c>
      <c r="F14868">
        <v>9760390</v>
      </c>
      <c r="G14868" t="s">
        <v>17285</v>
      </c>
      <c r="H14868" s="21">
        <v>860.67</v>
      </c>
    </row>
    <row r="14869" spans="1:8" customFormat="1" x14ac:dyDescent="0.25">
      <c r="A14869" t="str">
        <f>"42120"</f>
        <v>42120</v>
      </c>
      <c r="B14869" t="s">
        <v>5473</v>
      </c>
      <c r="C14869" t="s">
        <v>130</v>
      </c>
      <c r="D14869" s="21" t="s">
        <v>34</v>
      </c>
      <c r="E14869" s="21" t="s">
        <v>71</v>
      </c>
      <c r="F14869">
        <v>1420010</v>
      </c>
      <c r="G14869" t="s">
        <v>1937</v>
      </c>
      <c r="H14869" s="21">
        <v>860.67</v>
      </c>
    </row>
    <row r="14870" spans="1:8" customFormat="1" x14ac:dyDescent="0.25">
      <c r="A14870" t="str">
        <f>"723158"</f>
        <v>723158</v>
      </c>
      <c r="B14870" t="s">
        <v>7700</v>
      </c>
      <c r="C14870" t="s">
        <v>547</v>
      </c>
      <c r="D14870" s="21" t="s">
        <v>34</v>
      </c>
      <c r="E14870" s="21" t="s">
        <v>71</v>
      </c>
      <c r="F14870">
        <v>12720042</v>
      </c>
      <c r="G14870" t="s">
        <v>922</v>
      </c>
      <c r="H14870" s="21">
        <v>860.67</v>
      </c>
    </row>
    <row r="14871" spans="1:8" customFormat="1" x14ac:dyDescent="0.25">
      <c r="A14871" t="str">
        <f>"2712429"</f>
        <v>2712429</v>
      </c>
      <c r="B14871" t="s">
        <v>12933</v>
      </c>
      <c r="C14871" t="s">
        <v>462</v>
      </c>
      <c r="D14871" s="21" t="s">
        <v>34</v>
      </c>
      <c r="E14871" s="21" t="s">
        <v>71</v>
      </c>
      <c r="F14871">
        <v>9270152</v>
      </c>
      <c r="G14871" t="s">
        <v>1985</v>
      </c>
      <c r="H14871" s="21">
        <v>860.67</v>
      </c>
    </row>
    <row r="14872" spans="1:8" customFormat="1" x14ac:dyDescent="0.25">
      <c r="A14872" t="str">
        <f>"2716113"</f>
        <v>2716113</v>
      </c>
      <c r="B14872" t="s">
        <v>2705</v>
      </c>
      <c r="C14872" t="s">
        <v>58</v>
      </c>
      <c r="D14872" s="21" t="s">
        <v>34</v>
      </c>
      <c r="E14872" s="21" t="s">
        <v>35</v>
      </c>
      <c r="F14872">
        <v>9270151</v>
      </c>
      <c r="G14872" t="s">
        <v>626</v>
      </c>
      <c r="H14872" s="21">
        <v>860.67</v>
      </c>
    </row>
    <row r="14873" spans="1:8" customFormat="1" x14ac:dyDescent="0.25">
      <c r="A14873" t="str">
        <f>"677202"</f>
        <v>677202</v>
      </c>
      <c r="B14873" t="s">
        <v>13130</v>
      </c>
      <c r="C14873" t="s">
        <v>209</v>
      </c>
      <c r="D14873" s="21" t="s">
        <v>34</v>
      </c>
      <c r="E14873" s="21" t="s">
        <v>71</v>
      </c>
      <c r="F14873">
        <v>6670216</v>
      </c>
      <c r="G14873" t="s">
        <v>2194</v>
      </c>
      <c r="H14873" s="21">
        <v>860.67</v>
      </c>
    </row>
    <row r="14874" spans="1:8" customFormat="1" x14ac:dyDescent="0.25">
      <c r="A14874" t="str">
        <f>"313632"</f>
        <v>313632</v>
      </c>
      <c r="B14874" t="s">
        <v>12979</v>
      </c>
      <c r="C14874" t="s">
        <v>263</v>
      </c>
      <c r="D14874" s="21" t="s">
        <v>34</v>
      </c>
      <c r="E14874" s="21" t="s">
        <v>71</v>
      </c>
      <c r="F14874">
        <v>11310064</v>
      </c>
      <c r="G14874" t="s">
        <v>931</v>
      </c>
      <c r="H14874" s="21">
        <v>860.67</v>
      </c>
    </row>
    <row r="14875" spans="1:8" customFormat="1" x14ac:dyDescent="0.25">
      <c r="A14875" t="str">
        <f>"2511980"</f>
        <v>2511980</v>
      </c>
      <c r="B14875" t="s">
        <v>14592</v>
      </c>
      <c r="C14875" t="s">
        <v>3217</v>
      </c>
      <c r="D14875" s="21" t="s">
        <v>34</v>
      </c>
      <c r="E14875" s="21" t="s">
        <v>35</v>
      </c>
      <c r="F14875">
        <v>2250049</v>
      </c>
      <c r="G14875" t="s">
        <v>9590</v>
      </c>
      <c r="H14875" s="21">
        <v>860.67</v>
      </c>
    </row>
    <row r="14876" spans="1:8" customFormat="1" x14ac:dyDescent="0.25">
      <c r="A14876" t="str">
        <f>"859958"</f>
        <v>859958</v>
      </c>
      <c r="B14876" t="s">
        <v>2032</v>
      </c>
      <c r="C14876" t="s">
        <v>3522</v>
      </c>
      <c r="D14876" s="21" t="s">
        <v>34</v>
      </c>
      <c r="E14876" s="21" t="s">
        <v>35</v>
      </c>
      <c r="F14876">
        <v>12850154</v>
      </c>
      <c r="G14876" t="s">
        <v>7078</v>
      </c>
      <c r="H14876" s="21">
        <v>860.67</v>
      </c>
    </row>
    <row r="14877" spans="1:8" customFormat="1" x14ac:dyDescent="0.25">
      <c r="A14877" t="str">
        <f>"841469"</f>
        <v>841469</v>
      </c>
      <c r="B14877" t="s">
        <v>6799</v>
      </c>
      <c r="C14877" t="s">
        <v>608</v>
      </c>
      <c r="D14877" s="21" t="s">
        <v>34</v>
      </c>
      <c r="E14877" s="21" t="s">
        <v>254</v>
      </c>
      <c r="F14877">
        <v>13840028</v>
      </c>
      <c r="G14877" t="s">
        <v>4139</v>
      </c>
      <c r="H14877" s="21">
        <v>860.67</v>
      </c>
    </row>
    <row r="14878" spans="1:8" customFormat="1" x14ac:dyDescent="0.25">
      <c r="A14878" t="str">
        <f>"4517543"</f>
        <v>4517543</v>
      </c>
      <c r="B14878" t="s">
        <v>12777</v>
      </c>
      <c r="C14878" t="s">
        <v>169</v>
      </c>
      <c r="D14878" s="21" t="s">
        <v>34</v>
      </c>
      <c r="E14878" s="21" t="s">
        <v>35</v>
      </c>
      <c r="F14878">
        <v>4450210</v>
      </c>
      <c r="G14878" t="s">
        <v>5249</v>
      </c>
      <c r="H14878" s="21">
        <v>860.67</v>
      </c>
    </row>
    <row r="14879" spans="1:8" customFormat="1" x14ac:dyDescent="0.25">
      <c r="A14879" t="str">
        <f>"3326929"</f>
        <v>3326929</v>
      </c>
      <c r="B14879" t="s">
        <v>13323</v>
      </c>
      <c r="C14879" t="s">
        <v>1025</v>
      </c>
      <c r="D14879" s="21" t="s">
        <v>34</v>
      </c>
      <c r="E14879" s="21" t="s">
        <v>71</v>
      </c>
      <c r="F14879">
        <v>10330125</v>
      </c>
      <c r="G14879" t="s">
        <v>3753</v>
      </c>
      <c r="H14879" s="21">
        <v>860.67</v>
      </c>
    </row>
    <row r="14880" spans="1:8" customFormat="1" x14ac:dyDescent="0.25">
      <c r="A14880" t="str">
        <f>"38613"</f>
        <v>38613</v>
      </c>
      <c r="B14880" t="s">
        <v>11104</v>
      </c>
      <c r="C14880" t="s">
        <v>171</v>
      </c>
      <c r="D14880" s="21" t="s">
        <v>34</v>
      </c>
      <c r="E14880" s="21" t="s">
        <v>254</v>
      </c>
      <c r="F14880">
        <v>1380290</v>
      </c>
      <c r="G14880" t="s">
        <v>619</v>
      </c>
      <c r="H14880" s="21">
        <v>860.67</v>
      </c>
    </row>
    <row r="14881" spans="1:8" customFormat="1" x14ac:dyDescent="0.25">
      <c r="A14881" t="str">
        <f>"4517603"</f>
        <v>4517603</v>
      </c>
      <c r="B14881" t="s">
        <v>2362</v>
      </c>
      <c r="C14881" t="s">
        <v>1146</v>
      </c>
      <c r="D14881" s="21" t="s">
        <v>34</v>
      </c>
      <c r="E14881" s="21" t="s">
        <v>254</v>
      </c>
      <c r="F14881">
        <v>4450024</v>
      </c>
      <c r="G14881" t="s">
        <v>9786</v>
      </c>
      <c r="H14881" s="21">
        <v>860.67</v>
      </c>
    </row>
    <row r="14882" spans="1:8" customFormat="1" x14ac:dyDescent="0.25">
      <c r="A14882" t="str">
        <f>"9F1061"</f>
        <v>9F1061</v>
      </c>
      <c r="B14882" t="s">
        <v>13701</v>
      </c>
      <c r="C14882" t="s">
        <v>269</v>
      </c>
      <c r="D14882" s="21" t="s">
        <v>34</v>
      </c>
      <c r="E14882" s="21" t="s">
        <v>71</v>
      </c>
      <c r="F14882" t="s">
        <v>2126</v>
      </c>
      <c r="G14882" t="s">
        <v>2127</v>
      </c>
      <c r="H14882" s="21">
        <v>860.67</v>
      </c>
    </row>
    <row r="14883" spans="1:8" customFormat="1" x14ac:dyDescent="0.25">
      <c r="A14883" t="str">
        <f>"1423679"</f>
        <v>1423679</v>
      </c>
      <c r="B14883" t="s">
        <v>3061</v>
      </c>
      <c r="C14883" t="s">
        <v>98</v>
      </c>
      <c r="D14883" s="21" t="s">
        <v>34</v>
      </c>
      <c r="E14883" s="21" t="s">
        <v>71</v>
      </c>
      <c r="F14883">
        <v>9140127</v>
      </c>
      <c r="G14883" t="s">
        <v>6641</v>
      </c>
      <c r="H14883" s="21">
        <v>860.67</v>
      </c>
    </row>
    <row r="14884" spans="1:8" customFormat="1" x14ac:dyDescent="0.25">
      <c r="A14884" t="str">
        <f>"3423511"</f>
        <v>3423511</v>
      </c>
      <c r="B14884" t="s">
        <v>12409</v>
      </c>
      <c r="C14884" t="s">
        <v>267</v>
      </c>
      <c r="D14884" s="21" t="s">
        <v>34</v>
      </c>
      <c r="E14884" s="21" t="s">
        <v>71</v>
      </c>
      <c r="F14884">
        <v>11340065</v>
      </c>
      <c r="G14884" t="s">
        <v>2022</v>
      </c>
      <c r="H14884" s="21">
        <v>860.54</v>
      </c>
    </row>
    <row r="14885" spans="1:8" customFormat="1" x14ac:dyDescent="0.25">
      <c r="A14885" t="str">
        <f>"286209"</f>
        <v>286209</v>
      </c>
      <c r="B14885" t="s">
        <v>8579</v>
      </c>
      <c r="C14885" t="s">
        <v>263</v>
      </c>
      <c r="D14885" s="21" t="s">
        <v>34</v>
      </c>
      <c r="E14885" s="21" t="s">
        <v>254</v>
      </c>
      <c r="F14885">
        <v>4280045</v>
      </c>
      <c r="G14885" t="s">
        <v>787</v>
      </c>
      <c r="H14885" s="21">
        <v>860.42</v>
      </c>
    </row>
    <row r="14886" spans="1:8" customFormat="1" x14ac:dyDescent="0.25">
      <c r="A14886" t="str">
        <f>"124708"</f>
        <v>124708</v>
      </c>
      <c r="B14886" t="s">
        <v>12768</v>
      </c>
      <c r="C14886" t="s">
        <v>484</v>
      </c>
      <c r="D14886" s="21" t="s">
        <v>34</v>
      </c>
      <c r="E14886" s="21" t="s">
        <v>35</v>
      </c>
      <c r="F14886">
        <v>11120004</v>
      </c>
      <c r="G14886" t="s">
        <v>2311</v>
      </c>
      <c r="H14886" s="21">
        <v>860.42</v>
      </c>
    </row>
    <row r="14887" spans="1:8" customFormat="1" x14ac:dyDescent="0.25">
      <c r="A14887" t="str">
        <f>"882704"</f>
        <v>882704</v>
      </c>
      <c r="B14887" t="s">
        <v>13747</v>
      </c>
      <c r="C14887" t="s">
        <v>462</v>
      </c>
      <c r="D14887" s="21" t="s">
        <v>34</v>
      </c>
      <c r="E14887" s="21" t="s">
        <v>71</v>
      </c>
      <c r="F14887">
        <v>6880018</v>
      </c>
      <c r="G14887" t="s">
        <v>9046</v>
      </c>
      <c r="H14887" s="21">
        <v>860.42</v>
      </c>
    </row>
    <row r="14888" spans="1:8" customFormat="1" x14ac:dyDescent="0.25">
      <c r="A14888" t="str">
        <f>"434411"</f>
        <v>434411</v>
      </c>
      <c r="B14888" t="s">
        <v>1428</v>
      </c>
      <c r="C14888" t="s">
        <v>2520</v>
      </c>
      <c r="D14888" s="21" t="s">
        <v>34</v>
      </c>
      <c r="E14888" s="21" t="s">
        <v>71</v>
      </c>
      <c r="F14888">
        <v>1420309</v>
      </c>
      <c r="G14888" t="s">
        <v>26798</v>
      </c>
      <c r="H14888" s="21">
        <v>860.29</v>
      </c>
    </row>
    <row r="14889" spans="1:8" customFormat="1" x14ac:dyDescent="0.25">
      <c r="A14889" t="str">
        <f>"773981"</f>
        <v>773981</v>
      </c>
      <c r="B14889" t="s">
        <v>666</v>
      </c>
      <c r="C14889" t="s">
        <v>58</v>
      </c>
      <c r="D14889" s="21" t="s">
        <v>34</v>
      </c>
      <c r="E14889" s="21" t="s">
        <v>35</v>
      </c>
      <c r="F14889">
        <v>8770665</v>
      </c>
      <c r="G14889" t="s">
        <v>903</v>
      </c>
      <c r="H14889" s="21">
        <v>860.17</v>
      </c>
    </row>
    <row r="14890" spans="1:8" customFormat="1" x14ac:dyDescent="0.25">
      <c r="A14890" t="str">
        <f>"5322870"</f>
        <v>5322870</v>
      </c>
      <c r="B14890" t="s">
        <v>10937</v>
      </c>
      <c r="C14890" t="s">
        <v>288</v>
      </c>
      <c r="D14890" s="21" t="s">
        <v>34</v>
      </c>
      <c r="E14890" s="21" t="s">
        <v>35</v>
      </c>
      <c r="F14890">
        <v>12530084</v>
      </c>
      <c r="G14890" t="s">
        <v>5766</v>
      </c>
      <c r="H14890" s="21">
        <v>860.17</v>
      </c>
    </row>
    <row r="14891" spans="1:8" customFormat="1" x14ac:dyDescent="0.25">
      <c r="A14891" t="str">
        <f>"5973229"</f>
        <v>5973229</v>
      </c>
      <c r="B14891" t="s">
        <v>13710</v>
      </c>
      <c r="C14891" t="s">
        <v>462</v>
      </c>
      <c r="D14891" s="21" t="s">
        <v>34</v>
      </c>
      <c r="E14891" s="21" t="s">
        <v>71</v>
      </c>
      <c r="F14891">
        <v>7590379</v>
      </c>
      <c r="G14891" t="s">
        <v>13711</v>
      </c>
      <c r="H14891" s="21">
        <v>860.17</v>
      </c>
    </row>
    <row r="14892" spans="1:8" customFormat="1" x14ac:dyDescent="0.25">
      <c r="A14892" t="str">
        <f>"1716818"</f>
        <v>1716818</v>
      </c>
      <c r="B14892" t="s">
        <v>1827</v>
      </c>
      <c r="C14892" t="s">
        <v>2520</v>
      </c>
      <c r="D14892" s="21" t="s">
        <v>34</v>
      </c>
      <c r="E14892" s="21" t="s">
        <v>254</v>
      </c>
      <c r="F14892">
        <v>10170162</v>
      </c>
      <c r="G14892" t="s">
        <v>2817</v>
      </c>
      <c r="H14892" s="21">
        <v>860.17</v>
      </c>
    </row>
    <row r="14893" spans="1:8" customFormat="1" x14ac:dyDescent="0.25">
      <c r="A14893" t="str">
        <f>"274878"</f>
        <v>274878</v>
      </c>
      <c r="B14893" t="s">
        <v>14595</v>
      </c>
      <c r="C14893" t="s">
        <v>171</v>
      </c>
      <c r="D14893" s="21" t="s">
        <v>34</v>
      </c>
      <c r="E14893" s="21" t="s">
        <v>71</v>
      </c>
      <c r="F14893">
        <v>9270138</v>
      </c>
      <c r="G14893" t="s">
        <v>6112</v>
      </c>
      <c r="H14893" s="21">
        <v>860.17</v>
      </c>
    </row>
    <row r="14894" spans="1:8" customFormat="1" x14ac:dyDescent="0.25">
      <c r="A14894" t="str">
        <f>"106141"</f>
        <v>106141</v>
      </c>
      <c r="B14894" t="s">
        <v>12870</v>
      </c>
      <c r="C14894" t="s">
        <v>997</v>
      </c>
      <c r="D14894" s="21" t="s">
        <v>34</v>
      </c>
      <c r="E14894" s="21" t="s">
        <v>35</v>
      </c>
      <c r="F14894">
        <v>8771506</v>
      </c>
      <c r="G14894" t="s">
        <v>7314</v>
      </c>
      <c r="H14894" s="21">
        <v>860.17</v>
      </c>
    </row>
    <row r="14895" spans="1:8" customFormat="1" x14ac:dyDescent="0.25">
      <c r="A14895" t="str">
        <f>"22278"</f>
        <v>22278</v>
      </c>
      <c r="B14895" t="s">
        <v>679</v>
      </c>
      <c r="C14895" t="s">
        <v>2232</v>
      </c>
      <c r="D14895" s="21" t="s">
        <v>34</v>
      </c>
      <c r="E14895" s="21" t="s">
        <v>71</v>
      </c>
      <c r="F14895">
        <v>3220041</v>
      </c>
      <c r="G14895" t="s">
        <v>27133</v>
      </c>
      <c r="H14895" s="21">
        <v>860.17</v>
      </c>
    </row>
    <row r="14896" spans="1:8" customFormat="1" x14ac:dyDescent="0.25">
      <c r="A14896" t="str">
        <f>"6311210"</f>
        <v>6311210</v>
      </c>
      <c r="B14896" t="s">
        <v>12900</v>
      </c>
      <c r="C14896" t="s">
        <v>3098</v>
      </c>
      <c r="D14896" s="21" t="s">
        <v>34</v>
      </c>
      <c r="E14896" s="21" t="s">
        <v>35</v>
      </c>
      <c r="F14896">
        <v>1630318</v>
      </c>
      <c r="G14896" t="s">
        <v>8341</v>
      </c>
      <c r="H14896" s="21">
        <v>860.17</v>
      </c>
    </row>
    <row r="14897" spans="1:8" customFormat="1" x14ac:dyDescent="0.25">
      <c r="A14897" t="str">
        <f>"6916137"</f>
        <v>6916137</v>
      </c>
      <c r="B14897" t="s">
        <v>667</v>
      </c>
      <c r="C14897" t="s">
        <v>37</v>
      </c>
      <c r="D14897" s="21" t="s">
        <v>34</v>
      </c>
      <c r="E14897" s="21" t="s">
        <v>35</v>
      </c>
      <c r="F14897">
        <v>1380275</v>
      </c>
      <c r="G14897" t="s">
        <v>8042</v>
      </c>
      <c r="H14897" s="21">
        <v>860.17</v>
      </c>
    </row>
    <row r="14898" spans="1:8" customFormat="1" x14ac:dyDescent="0.25">
      <c r="A14898" t="str">
        <f>"4442060"</f>
        <v>4442060</v>
      </c>
      <c r="B14898" t="s">
        <v>13379</v>
      </c>
      <c r="C14898" t="s">
        <v>90</v>
      </c>
      <c r="D14898" s="21" t="s">
        <v>34</v>
      </c>
      <c r="E14898" s="21" t="s">
        <v>35</v>
      </c>
      <c r="F14898">
        <v>12440074</v>
      </c>
      <c r="G14898" t="s">
        <v>2436</v>
      </c>
      <c r="H14898" s="21">
        <v>860.17</v>
      </c>
    </row>
    <row r="14899" spans="1:8" customFormat="1" x14ac:dyDescent="0.25">
      <c r="A14899" t="str">
        <f>"9528470"</f>
        <v>9528470</v>
      </c>
      <c r="B14899" t="s">
        <v>5000</v>
      </c>
      <c r="C14899" t="s">
        <v>209</v>
      </c>
      <c r="D14899" s="21" t="s">
        <v>34</v>
      </c>
      <c r="E14899" s="21" t="s">
        <v>71</v>
      </c>
      <c r="F14899">
        <v>8951092</v>
      </c>
      <c r="G14899" t="s">
        <v>5801</v>
      </c>
      <c r="H14899" s="21">
        <v>860.17</v>
      </c>
    </row>
    <row r="14900" spans="1:8" customFormat="1" x14ac:dyDescent="0.25">
      <c r="A14900" t="str">
        <f>"677415"</f>
        <v>677415</v>
      </c>
      <c r="B14900" t="s">
        <v>13050</v>
      </c>
      <c r="C14900" t="s">
        <v>263</v>
      </c>
      <c r="D14900" s="21" t="s">
        <v>34</v>
      </c>
      <c r="E14900" s="21" t="s">
        <v>71</v>
      </c>
      <c r="F14900">
        <v>6670246</v>
      </c>
      <c r="G14900" t="s">
        <v>7707</v>
      </c>
      <c r="H14900" s="21">
        <v>860.17</v>
      </c>
    </row>
    <row r="14901" spans="1:8" customFormat="1" x14ac:dyDescent="0.25">
      <c r="A14901" t="str">
        <f>"6950092"</f>
        <v>6950092</v>
      </c>
      <c r="B14901" t="s">
        <v>27359</v>
      </c>
      <c r="C14901" t="s">
        <v>121</v>
      </c>
      <c r="D14901" s="21" t="s">
        <v>34</v>
      </c>
      <c r="E14901" s="21" t="s">
        <v>35</v>
      </c>
      <c r="F14901">
        <v>1690186</v>
      </c>
      <c r="G14901" t="s">
        <v>438</v>
      </c>
      <c r="H14901" s="21">
        <v>860.17</v>
      </c>
    </row>
    <row r="14902" spans="1:8" customFormat="1" x14ac:dyDescent="0.25">
      <c r="A14902" t="str">
        <f>"51489"</f>
        <v>51489</v>
      </c>
      <c r="B14902" t="s">
        <v>12724</v>
      </c>
      <c r="C14902" t="s">
        <v>825</v>
      </c>
      <c r="D14902" s="21" t="s">
        <v>34</v>
      </c>
      <c r="E14902" s="21" t="s">
        <v>254</v>
      </c>
      <c r="F14902">
        <v>6510040</v>
      </c>
      <c r="G14902" t="s">
        <v>9113</v>
      </c>
      <c r="H14902" s="21">
        <v>860.17</v>
      </c>
    </row>
    <row r="14903" spans="1:8" customFormat="1" x14ac:dyDescent="0.25">
      <c r="A14903" t="str">
        <f>"8015854"</f>
        <v>8015854</v>
      </c>
      <c r="B14903" t="s">
        <v>27360</v>
      </c>
      <c r="C14903" t="s">
        <v>55</v>
      </c>
      <c r="D14903" s="21" t="s">
        <v>34</v>
      </c>
      <c r="E14903" s="21" t="s">
        <v>35</v>
      </c>
      <c r="F14903">
        <v>7800147</v>
      </c>
      <c r="G14903" t="s">
        <v>10438</v>
      </c>
      <c r="H14903" s="21">
        <v>860.17</v>
      </c>
    </row>
    <row r="14904" spans="1:8" customFormat="1" x14ac:dyDescent="0.25">
      <c r="A14904" t="str">
        <f>"8518305"</f>
        <v>8518305</v>
      </c>
      <c r="B14904" t="s">
        <v>13664</v>
      </c>
      <c r="C14904" t="s">
        <v>2072</v>
      </c>
      <c r="D14904" s="21" t="s">
        <v>34</v>
      </c>
      <c r="E14904" s="21" t="s">
        <v>71</v>
      </c>
      <c r="F14904">
        <v>12850014</v>
      </c>
      <c r="G14904" t="s">
        <v>10467</v>
      </c>
      <c r="H14904" s="21">
        <v>860.17</v>
      </c>
    </row>
    <row r="14905" spans="1:8" customFormat="1" x14ac:dyDescent="0.25">
      <c r="A14905" t="str">
        <f>"89654"</f>
        <v>89654</v>
      </c>
      <c r="B14905" t="s">
        <v>6817</v>
      </c>
      <c r="C14905" t="s">
        <v>33</v>
      </c>
      <c r="D14905" s="21" t="s">
        <v>34</v>
      </c>
      <c r="E14905" s="21" t="s">
        <v>71</v>
      </c>
      <c r="F14905">
        <v>2890005</v>
      </c>
      <c r="G14905" t="s">
        <v>2889</v>
      </c>
      <c r="H14905" s="21">
        <v>860.17</v>
      </c>
    </row>
    <row r="14906" spans="1:8" customFormat="1" x14ac:dyDescent="0.25">
      <c r="A14906" t="str">
        <f>"797371"</f>
        <v>797371</v>
      </c>
      <c r="B14906" t="s">
        <v>8898</v>
      </c>
      <c r="C14906" t="s">
        <v>209</v>
      </c>
      <c r="D14906" s="21" t="s">
        <v>34</v>
      </c>
      <c r="E14906" s="21" t="s">
        <v>71</v>
      </c>
      <c r="F14906">
        <v>10790229</v>
      </c>
      <c r="G14906" t="s">
        <v>27165</v>
      </c>
      <c r="H14906" s="21">
        <v>860.17</v>
      </c>
    </row>
    <row r="14907" spans="1:8" customFormat="1" x14ac:dyDescent="0.25">
      <c r="A14907" t="str">
        <f>"285788"</f>
        <v>285788</v>
      </c>
      <c r="B14907" t="s">
        <v>4757</v>
      </c>
      <c r="C14907" t="s">
        <v>109</v>
      </c>
      <c r="D14907" s="21" t="s">
        <v>34</v>
      </c>
      <c r="E14907" s="21" t="s">
        <v>71</v>
      </c>
      <c r="F14907">
        <v>12440074</v>
      </c>
      <c r="G14907" t="s">
        <v>2436</v>
      </c>
      <c r="H14907" s="21">
        <v>859.92</v>
      </c>
    </row>
    <row r="14908" spans="1:8" customFormat="1" x14ac:dyDescent="0.25">
      <c r="A14908" t="str">
        <f>"7821348"</f>
        <v>7821348</v>
      </c>
      <c r="B14908" t="s">
        <v>12677</v>
      </c>
      <c r="C14908" t="s">
        <v>249</v>
      </c>
      <c r="D14908" s="21" t="s">
        <v>34</v>
      </c>
      <c r="E14908" s="21" t="s">
        <v>71</v>
      </c>
      <c r="F14908">
        <v>8781473</v>
      </c>
      <c r="G14908" t="s">
        <v>1097</v>
      </c>
      <c r="H14908" s="21">
        <v>859.67</v>
      </c>
    </row>
    <row r="14909" spans="1:8" customFormat="1" x14ac:dyDescent="0.25">
      <c r="A14909" t="str">
        <f>"4426611"</f>
        <v>4426611</v>
      </c>
      <c r="B14909" t="s">
        <v>7096</v>
      </c>
      <c r="C14909" t="s">
        <v>169</v>
      </c>
      <c r="D14909" s="21" t="s">
        <v>34</v>
      </c>
      <c r="E14909" s="21" t="s">
        <v>35</v>
      </c>
      <c r="F14909">
        <v>12440101</v>
      </c>
      <c r="G14909" t="s">
        <v>3482</v>
      </c>
      <c r="H14909" s="21">
        <v>859.67</v>
      </c>
    </row>
    <row r="14910" spans="1:8" customFormat="1" x14ac:dyDescent="0.25">
      <c r="A14910" t="str">
        <f>"5947483"</f>
        <v>5947483</v>
      </c>
      <c r="B14910" t="s">
        <v>12792</v>
      </c>
      <c r="C14910" t="s">
        <v>656</v>
      </c>
      <c r="D14910" s="21" t="s">
        <v>34</v>
      </c>
      <c r="E14910" s="21" t="s">
        <v>35</v>
      </c>
      <c r="F14910">
        <v>7590269</v>
      </c>
      <c r="G14910" t="s">
        <v>873</v>
      </c>
      <c r="H14910" s="21">
        <v>859.67</v>
      </c>
    </row>
    <row r="14911" spans="1:8" customFormat="1" x14ac:dyDescent="0.25">
      <c r="A14911" t="str">
        <f>"5013395"</f>
        <v>5013395</v>
      </c>
      <c r="B14911" t="s">
        <v>1961</v>
      </c>
      <c r="C14911" t="s">
        <v>209</v>
      </c>
      <c r="D14911" s="21" t="s">
        <v>34</v>
      </c>
      <c r="E14911" s="21" t="s">
        <v>35</v>
      </c>
      <c r="F14911">
        <v>9500082</v>
      </c>
      <c r="G14911" t="s">
        <v>11183</v>
      </c>
      <c r="H14911" s="21">
        <v>859.67</v>
      </c>
    </row>
    <row r="14912" spans="1:8" customFormat="1" x14ac:dyDescent="0.25">
      <c r="A14912" t="str">
        <f>"043830"</f>
        <v>043830</v>
      </c>
      <c r="B14912" t="s">
        <v>2428</v>
      </c>
      <c r="C14912" t="s">
        <v>43</v>
      </c>
      <c r="D14912" s="21" t="s">
        <v>34</v>
      </c>
      <c r="E14912" s="21" t="s">
        <v>35</v>
      </c>
      <c r="F14912">
        <v>13040030</v>
      </c>
      <c r="G14912" t="s">
        <v>1903</v>
      </c>
      <c r="H14912" s="21">
        <v>859.67</v>
      </c>
    </row>
    <row r="14913" spans="1:8" customFormat="1" x14ac:dyDescent="0.25">
      <c r="A14913" t="str">
        <f>"3010078"</f>
        <v>3010078</v>
      </c>
      <c r="B14913" t="s">
        <v>928</v>
      </c>
      <c r="C14913" t="s">
        <v>206</v>
      </c>
      <c r="D14913" s="21" t="s">
        <v>34</v>
      </c>
      <c r="E14913" s="21" t="s">
        <v>35</v>
      </c>
      <c r="F14913">
        <v>11300025</v>
      </c>
      <c r="G14913" t="s">
        <v>1211</v>
      </c>
      <c r="H14913" s="21">
        <v>859.67</v>
      </c>
    </row>
    <row r="14914" spans="1:8" customFormat="1" x14ac:dyDescent="0.25">
      <c r="A14914" t="str">
        <f>"7921372"</f>
        <v>7921372</v>
      </c>
      <c r="B14914" t="s">
        <v>11221</v>
      </c>
      <c r="C14914" t="s">
        <v>249</v>
      </c>
      <c r="D14914" s="21" t="s">
        <v>34</v>
      </c>
      <c r="E14914" s="21" t="s">
        <v>71</v>
      </c>
      <c r="F14914">
        <v>10790038</v>
      </c>
      <c r="G14914" t="s">
        <v>5857</v>
      </c>
      <c r="H14914" s="21">
        <v>859.67</v>
      </c>
    </row>
    <row r="14915" spans="1:8" customFormat="1" x14ac:dyDescent="0.25">
      <c r="A14915" t="str">
        <f>"5615832"</f>
        <v>5615832</v>
      </c>
      <c r="B14915" t="s">
        <v>8502</v>
      </c>
      <c r="C14915" t="s">
        <v>269</v>
      </c>
      <c r="D14915" s="21" t="s">
        <v>34</v>
      </c>
      <c r="E14915" s="21" t="s">
        <v>71</v>
      </c>
      <c r="F14915">
        <v>3560013</v>
      </c>
      <c r="G14915" t="s">
        <v>7924</v>
      </c>
      <c r="H14915" s="21">
        <v>859.67</v>
      </c>
    </row>
    <row r="14916" spans="1:8" customFormat="1" x14ac:dyDescent="0.25">
      <c r="A14916" t="str">
        <f>"1414397"</f>
        <v>1414397</v>
      </c>
      <c r="B14916" t="s">
        <v>13606</v>
      </c>
      <c r="C14916" t="s">
        <v>62</v>
      </c>
      <c r="D14916" s="21" t="s">
        <v>34</v>
      </c>
      <c r="E14916" s="21" t="s">
        <v>35</v>
      </c>
      <c r="F14916">
        <v>8951447</v>
      </c>
      <c r="G14916" t="s">
        <v>12175</v>
      </c>
      <c r="H14916" s="21">
        <v>859.67</v>
      </c>
    </row>
    <row r="14917" spans="1:8" customFormat="1" x14ac:dyDescent="0.25">
      <c r="A14917" t="str">
        <f>"2513261"</f>
        <v>2513261</v>
      </c>
      <c r="B14917" t="s">
        <v>12000</v>
      </c>
      <c r="C14917" t="s">
        <v>60</v>
      </c>
      <c r="D14917" s="21" t="s">
        <v>34</v>
      </c>
      <c r="E14917" s="21" t="s">
        <v>35</v>
      </c>
      <c r="F14917">
        <v>2250217</v>
      </c>
      <c r="G14917" t="s">
        <v>11815</v>
      </c>
      <c r="H14917" s="21">
        <v>859.67</v>
      </c>
    </row>
    <row r="14918" spans="1:8" customFormat="1" x14ac:dyDescent="0.25">
      <c r="A14918" t="str">
        <f>"0811715"</f>
        <v>0811715</v>
      </c>
      <c r="B14918" t="s">
        <v>13067</v>
      </c>
      <c r="C14918" t="s">
        <v>13068</v>
      </c>
      <c r="D14918" s="21" t="s">
        <v>34</v>
      </c>
      <c r="E14918" s="21" t="s">
        <v>1089</v>
      </c>
      <c r="F14918">
        <v>6080074</v>
      </c>
      <c r="G14918" t="s">
        <v>13069</v>
      </c>
      <c r="H14918" s="21">
        <v>859.42</v>
      </c>
    </row>
    <row r="14919" spans="1:8" customFormat="1" x14ac:dyDescent="0.25">
      <c r="A14919" t="str">
        <f>"7838283"</f>
        <v>7838283</v>
      </c>
      <c r="B14919" t="s">
        <v>14548</v>
      </c>
      <c r="C14919" t="s">
        <v>33</v>
      </c>
      <c r="D14919" s="21" t="s">
        <v>34</v>
      </c>
      <c r="E14919" s="21" t="s">
        <v>35</v>
      </c>
      <c r="F14919">
        <v>8781290</v>
      </c>
      <c r="G14919" t="s">
        <v>2927</v>
      </c>
      <c r="H14919" s="21">
        <v>859.29</v>
      </c>
    </row>
    <row r="14920" spans="1:8" customFormat="1" x14ac:dyDescent="0.25">
      <c r="A14920" t="str">
        <f>"2938401"</f>
        <v>2938401</v>
      </c>
      <c r="B14920" t="s">
        <v>6107</v>
      </c>
      <c r="C14920" t="s">
        <v>127</v>
      </c>
      <c r="D14920" s="21" t="s">
        <v>34</v>
      </c>
      <c r="E14920" s="21" t="s">
        <v>35</v>
      </c>
      <c r="F14920">
        <v>3290019</v>
      </c>
      <c r="G14920" t="s">
        <v>4452</v>
      </c>
      <c r="H14920" s="21">
        <v>859.17</v>
      </c>
    </row>
    <row r="14921" spans="1:8" customFormat="1" x14ac:dyDescent="0.25">
      <c r="A14921" t="str">
        <f>"393843"</f>
        <v>393843</v>
      </c>
      <c r="B14921" t="s">
        <v>12356</v>
      </c>
      <c r="C14921" t="s">
        <v>62</v>
      </c>
      <c r="D14921" s="21" t="s">
        <v>34</v>
      </c>
      <c r="E14921" s="21" t="s">
        <v>35</v>
      </c>
      <c r="F14921">
        <v>2250186</v>
      </c>
      <c r="G14921" t="s">
        <v>7290</v>
      </c>
      <c r="H14921" s="21">
        <v>859.17</v>
      </c>
    </row>
    <row r="14922" spans="1:8" customFormat="1" x14ac:dyDescent="0.25">
      <c r="A14922" t="str">
        <f>"6710363"</f>
        <v>6710363</v>
      </c>
      <c r="B14922" t="s">
        <v>13188</v>
      </c>
      <c r="C14922" t="s">
        <v>13189</v>
      </c>
      <c r="D14922" s="21" t="s">
        <v>34</v>
      </c>
      <c r="E14922" s="21" t="s">
        <v>71</v>
      </c>
      <c r="F14922">
        <v>6670002</v>
      </c>
      <c r="G14922" t="s">
        <v>5740</v>
      </c>
      <c r="H14922" s="21">
        <v>859.17</v>
      </c>
    </row>
    <row r="14923" spans="1:8" customFormat="1" x14ac:dyDescent="0.25">
      <c r="A14923" t="str">
        <f>"8515227"</f>
        <v>8515227</v>
      </c>
      <c r="B14923" t="s">
        <v>14227</v>
      </c>
      <c r="C14923" t="s">
        <v>275</v>
      </c>
      <c r="D14923" s="21" t="s">
        <v>34</v>
      </c>
      <c r="E14923" s="21" t="s">
        <v>35</v>
      </c>
      <c r="F14923">
        <v>12850167</v>
      </c>
      <c r="G14923" t="s">
        <v>7617</v>
      </c>
      <c r="H14923" s="21">
        <v>859.17</v>
      </c>
    </row>
    <row r="14924" spans="1:8" customFormat="1" x14ac:dyDescent="0.25">
      <c r="A14924" t="str">
        <f>"151734"</f>
        <v>151734</v>
      </c>
      <c r="B14924" t="s">
        <v>10988</v>
      </c>
      <c r="C14924" t="s">
        <v>2276</v>
      </c>
      <c r="D14924" s="21" t="s">
        <v>34</v>
      </c>
      <c r="E14924" s="21" t="s">
        <v>71</v>
      </c>
      <c r="F14924">
        <v>1150148</v>
      </c>
      <c r="G14924" t="s">
        <v>7485</v>
      </c>
      <c r="H14924" s="21">
        <v>859.17</v>
      </c>
    </row>
    <row r="14925" spans="1:8" customFormat="1" x14ac:dyDescent="0.25">
      <c r="A14925" t="str">
        <f>"5940452"</f>
        <v>5940452</v>
      </c>
      <c r="B14925" t="s">
        <v>13502</v>
      </c>
      <c r="C14925" t="s">
        <v>187</v>
      </c>
      <c r="D14925" s="21" t="s">
        <v>34</v>
      </c>
      <c r="E14925" s="21" t="s">
        <v>35</v>
      </c>
      <c r="F14925">
        <v>7590065</v>
      </c>
      <c r="G14925" t="s">
        <v>1598</v>
      </c>
      <c r="H14925" s="21">
        <v>859.17</v>
      </c>
    </row>
    <row r="14926" spans="1:8" customFormat="1" x14ac:dyDescent="0.25">
      <c r="A14926" t="str">
        <f>"30142"</f>
        <v>30142</v>
      </c>
      <c r="B14926" t="s">
        <v>650</v>
      </c>
      <c r="C14926" t="s">
        <v>139</v>
      </c>
      <c r="D14926" s="21" t="s">
        <v>34</v>
      </c>
      <c r="E14926" s="21" t="s">
        <v>71</v>
      </c>
      <c r="F14926">
        <v>11300010</v>
      </c>
      <c r="G14926" t="s">
        <v>6282</v>
      </c>
      <c r="H14926" s="21">
        <v>859.17</v>
      </c>
    </row>
    <row r="14927" spans="1:8" customFormat="1" x14ac:dyDescent="0.25">
      <c r="A14927" t="str">
        <f>"25620"</f>
        <v>25620</v>
      </c>
      <c r="B14927" t="s">
        <v>12654</v>
      </c>
      <c r="C14927" t="s">
        <v>267</v>
      </c>
      <c r="D14927" s="21" t="s">
        <v>34</v>
      </c>
      <c r="E14927" s="21" t="s">
        <v>1089</v>
      </c>
      <c r="F14927">
        <v>2250024</v>
      </c>
      <c r="G14927" t="s">
        <v>751</v>
      </c>
      <c r="H14927" s="21">
        <v>859.17</v>
      </c>
    </row>
    <row r="14928" spans="1:8" customFormat="1" x14ac:dyDescent="0.25">
      <c r="A14928" t="str">
        <f>"4433984"</f>
        <v>4433984</v>
      </c>
      <c r="B14928" t="s">
        <v>8084</v>
      </c>
      <c r="C14928" t="s">
        <v>236</v>
      </c>
      <c r="D14928" s="21" t="s">
        <v>34</v>
      </c>
      <c r="E14928" s="21" t="s">
        <v>71</v>
      </c>
      <c r="F14928">
        <v>12440094</v>
      </c>
      <c r="G14928" t="s">
        <v>892</v>
      </c>
      <c r="H14928" s="21">
        <v>859.17</v>
      </c>
    </row>
    <row r="14929" spans="1:8" customFormat="1" x14ac:dyDescent="0.25">
      <c r="A14929" t="str">
        <f>"034049"</f>
        <v>034049</v>
      </c>
      <c r="B14929" t="s">
        <v>10037</v>
      </c>
      <c r="C14929" t="s">
        <v>246</v>
      </c>
      <c r="D14929" s="21" t="s">
        <v>34</v>
      </c>
      <c r="E14929" s="21" t="s">
        <v>71</v>
      </c>
      <c r="F14929">
        <v>1150148</v>
      </c>
      <c r="G14929" t="s">
        <v>7485</v>
      </c>
      <c r="H14929" s="21">
        <v>859.17</v>
      </c>
    </row>
    <row r="14930" spans="1:8" customFormat="1" x14ac:dyDescent="0.25">
      <c r="A14930" t="str">
        <f>"403141"</f>
        <v>403141</v>
      </c>
      <c r="B14930" t="s">
        <v>10254</v>
      </c>
      <c r="C14930" t="s">
        <v>3987</v>
      </c>
      <c r="D14930" s="21" t="s">
        <v>34</v>
      </c>
      <c r="E14930" s="21" t="s">
        <v>254</v>
      </c>
      <c r="F14930">
        <v>10400001</v>
      </c>
      <c r="G14930" t="s">
        <v>609</v>
      </c>
      <c r="H14930" s="21">
        <v>859.17</v>
      </c>
    </row>
    <row r="14931" spans="1:8" customFormat="1" x14ac:dyDescent="0.25">
      <c r="A14931" t="str">
        <f>"183672"</f>
        <v>183672</v>
      </c>
      <c r="B14931" t="s">
        <v>9277</v>
      </c>
      <c r="C14931" t="s">
        <v>1914</v>
      </c>
      <c r="D14931" s="21" t="s">
        <v>34</v>
      </c>
      <c r="E14931" s="21" t="s">
        <v>35</v>
      </c>
      <c r="F14931">
        <v>4180041</v>
      </c>
      <c r="G14931" t="s">
        <v>1740</v>
      </c>
      <c r="H14931" s="21">
        <v>859.17</v>
      </c>
    </row>
    <row r="14932" spans="1:8" customFormat="1" x14ac:dyDescent="0.25">
      <c r="A14932" t="str">
        <f>"084714"</f>
        <v>084714</v>
      </c>
      <c r="B14932" t="s">
        <v>7248</v>
      </c>
      <c r="C14932" t="s">
        <v>263</v>
      </c>
      <c r="D14932" s="21" t="s">
        <v>34</v>
      </c>
      <c r="E14932" s="21" t="s">
        <v>1089</v>
      </c>
      <c r="F14932">
        <v>6080035</v>
      </c>
      <c r="G14932" t="s">
        <v>583</v>
      </c>
      <c r="H14932" s="21">
        <v>859.17</v>
      </c>
    </row>
    <row r="14933" spans="1:8" customFormat="1" x14ac:dyDescent="0.25">
      <c r="A14933" t="str">
        <f>"845523"</f>
        <v>845523</v>
      </c>
      <c r="B14933" t="s">
        <v>27361</v>
      </c>
      <c r="C14933" t="s">
        <v>8106</v>
      </c>
      <c r="D14933" s="21" t="s">
        <v>34</v>
      </c>
      <c r="E14933" s="21" t="s">
        <v>35</v>
      </c>
      <c r="F14933">
        <v>13840037</v>
      </c>
      <c r="G14933" t="s">
        <v>2019</v>
      </c>
      <c r="H14933" s="21">
        <v>858.92</v>
      </c>
    </row>
    <row r="14934" spans="1:8" customFormat="1" x14ac:dyDescent="0.25">
      <c r="A14934" t="str">
        <f>"6713298"</f>
        <v>6713298</v>
      </c>
      <c r="B14934" t="s">
        <v>12538</v>
      </c>
      <c r="C14934" t="s">
        <v>253</v>
      </c>
      <c r="D14934" s="21" t="s">
        <v>34</v>
      </c>
      <c r="E14934" s="21" t="s">
        <v>71</v>
      </c>
      <c r="F14934">
        <v>6570029</v>
      </c>
      <c r="G14934" t="s">
        <v>2977</v>
      </c>
      <c r="H14934" s="21">
        <v>858.92</v>
      </c>
    </row>
    <row r="14935" spans="1:8" customFormat="1" x14ac:dyDescent="0.25">
      <c r="A14935" t="str">
        <f>"3727116"</f>
        <v>3727116</v>
      </c>
      <c r="B14935" t="s">
        <v>14763</v>
      </c>
      <c r="C14935" t="s">
        <v>262</v>
      </c>
      <c r="D14935" s="21" t="s">
        <v>34</v>
      </c>
      <c r="E14935" s="21" t="s">
        <v>35</v>
      </c>
      <c r="F14935">
        <v>4370024</v>
      </c>
      <c r="G14935" t="s">
        <v>1718</v>
      </c>
      <c r="H14935" s="21">
        <v>858.92</v>
      </c>
    </row>
    <row r="14936" spans="1:8" customFormat="1" x14ac:dyDescent="0.25">
      <c r="A14936" t="str">
        <f>"4418652"</f>
        <v>4418652</v>
      </c>
      <c r="B14936" t="s">
        <v>4835</v>
      </c>
      <c r="C14936" t="s">
        <v>263</v>
      </c>
      <c r="D14936" s="21" t="s">
        <v>34</v>
      </c>
      <c r="E14936" s="21" t="s">
        <v>35</v>
      </c>
      <c r="F14936">
        <v>12440147</v>
      </c>
      <c r="G14936" t="s">
        <v>5472</v>
      </c>
      <c r="H14936" s="21">
        <v>858.79</v>
      </c>
    </row>
    <row r="14937" spans="1:8" customFormat="1" x14ac:dyDescent="0.25">
      <c r="A14937" t="str">
        <f>"837179"</f>
        <v>837179</v>
      </c>
      <c r="B14937" t="s">
        <v>2160</v>
      </c>
      <c r="C14937" t="s">
        <v>236</v>
      </c>
      <c r="D14937" s="21" t="s">
        <v>34</v>
      </c>
      <c r="E14937" s="21" t="s">
        <v>1089</v>
      </c>
      <c r="F14937">
        <v>13830044</v>
      </c>
      <c r="G14937" t="s">
        <v>945</v>
      </c>
      <c r="H14937" s="21">
        <v>858.67</v>
      </c>
    </row>
    <row r="14938" spans="1:8" customFormat="1" x14ac:dyDescent="0.25">
      <c r="A14938" t="str">
        <f>"4215373"</f>
        <v>4215373</v>
      </c>
      <c r="B14938" t="s">
        <v>17114</v>
      </c>
      <c r="C14938" t="s">
        <v>462</v>
      </c>
      <c r="D14938" s="21" t="s">
        <v>34</v>
      </c>
      <c r="E14938" s="21" t="s">
        <v>71</v>
      </c>
      <c r="F14938">
        <v>1420163</v>
      </c>
      <c r="G14938" t="s">
        <v>2424</v>
      </c>
      <c r="H14938" s="21">
        <v>858.67</v>
      </c>
    </row>
    <row r="14939" spans="1:8" customFormat="1" x14ac:dyDescent="0.25">
      <c r="A14939" t="str">
        <f>"537398"</f>
        <v>537398</v>
      </c>
      <c r="B14939" t="s">
        <v>3894</v>
      </c>
      <c r="C14939" t="s">
        <v>209</v>
      </c>
      <c r="D14939" s="21" t="s">
        <v>34</v>
      </c>
      <c r="E14939" s="21" t="s">
        <v>71</v>
      </c>
      <c r="F14939">
        <v>12530065</v>
      </c>
      <c r="G14939" t="s">
        <v>10009</v>
      </c>
      <c r="H14939" s="21">
        <v>858.67</v>
      </c>
    </row>
    <row r="14940" spans="1:8" customFormat="1" x14ac:dyDescent="0.25">
      <c r="A14940" t="str">
        <f>"5940291"</f>
        <v>5940291</v>
      </c>
      <c r="B14940" t="s">
        <v>4745</v>
      </c>
      <c r="C14940" t="s">
        <v>87</v>
      </c>
      <c r="D14940" s="21" t="s">
        <v>34</v>
      </c>
      <c r="E14940" s="21" t="s">
        <v>71</v>
      </c>
      <c r="F14940">
        <v>7590164</v>
      </c>
      <c r="G14940" t="s">
        <v>2451</v>
      </c>
      <c r="H14940" s="21">
        <v>858.67</v>
      </c>
    </row>
    <row r="14941" spans="1:8" customFormat="1" x14ac:dyDescent="0.25">
      <c r="A14941" t="str">
        <f>"121198"</f>
        <v>121198</v>
      </c>
      <c r="B14941" t="s">
        <v>12766</v>
      </c>
      <c r="C14941" t="s">
        <v>453</v>
      </c>
      <c r="D14941" s="21" t="s">
        <v>34</v>
      </c>
      <c r="E14941" s="21" t="s">
        <v>254</v>
      </c>
      <c r="F14941">
        <v>11120026</v>
      </c>
      <c r="G14941" t="s">
        <v>9107</v>
      </c>
      <c r="H14941" s="21">
        <v>858.67</v>
      </c>
    </row>
    <row r="14942" spans="1:8" customFormat="1" x14ac:dyDescent="0.25">
      <c r="A14942" t="str">
        <f>"751169"</f>
        <v>751169</v>
      </c>
      <c r="B14942" t="s">
        <v>13559</v>
      </c>
      <c r="C14942" t="s">
        <v>130</v>
      </c>
      <c r="D14942" s="21" t="s">
        <v>34</v>
      </c>
      <c r="E14942" s="21" t="s">
        <v>254</v>
      </c>
      <c r="F14942">
        <v>8751456</v>
      </c>
      <c r="G14942" t="s">
        <v>2683</v>
      </c>
      <c r="H14942" s="21">
        <v>858.67</v>
      </c>
    </row>
    <row r="14943" spans="1:8" customFormat="1" x14ac:dyDescent="0.25">
      <c r="A14943" t="str">
        <f>"5950203"</f>
        <v>5950203</v>
      </c>
      <c r="B14943" t="s">
        <v>3062</v>
      </c>
      <c r="C14943" t="s">
        <v>109</v>
      </c>
      <c r="D14943" s="21" t="s">
        <v>34</v>
      </c>
      <c r="E14943" s="21" t="s">
        <v>71</v>
      </c>
      <c r="F14943">
        <v>7590137</v>
      </c>
      <c r="G14943" t="s">
        <v>4246</v>
      </c>
      <c r="H14943" s="21">
        <v>858.67</v>
      </c>
    </row>
    <row r="14944" spans="1:8" customFormat="1" x14ac:dyDescent="0.25">
      <c r="A14944" t="str">
        <f>"7716763"</f>
        <v>7716763</v>
      </c>
      <c r="B14944" t="s">
        <v>13652</v>
      </c>
      <c r="C14944" t="s">
        <v>209</v>
      </c>
      <c r="D14944" s="21" t="s">
        <v>34</v>
      </c>
      <c r="E14944" s="21" t="s">
        <v>35</v>
      </c>
      <c r="F14944">
        <v>8770408</v>
      </c>
      <c r="G14944" t="s">
        <v>212</v>
      </c>
      <c r="H14944" s="21">
        <v>858.67</v>
      </c>
    </row>
    <row r="14945" spans="1:8" customFormat="1" x14ac:dyDescent="0.25">
      <c r="A14945" t="str">
        <f>"7637730"</f>
        <v>7637730</v>
      </c>
      <c r="B14945" t="s">
        <v>8297</v>
      </c>
      <c r="C14945" t="s">
        <v>147</v>
      </c>
      <c r="D14945" s="21" t="s">
        <v>34</v>
      </c>
      <c r="E14945" s="21" t="s">
        <v>35</v>
      </c>
      <c r="F14945">
        <v>9270095</v>
      </c>
      <c r="G14945" t="s">
        <v>1681</v>
      </c>
      <c r="H14945" s="21">
        <v>858.67</v>
      </c>
    </row>
    <row r="14946" spans="1:8" customFormat="1" x14ac:dyDescent="0.25">
      <c r="A14946" t="str">
        <f>"6015237"</f>
        <v>6015237</v>
      </c>
      <c r="B14946" t="s">
        <v>14563</v>
      </c>
      <c r="C14946" t="s">
        <v>169</v>
      </c>
      <c r="D14946" s="21" t="s">
        <v>34</v>
      </c>
      <c r="E14946" s="21" t="s">
        <v>71</v>
      </c>
      <c r="F14946">
        <v>7600017</v>
      </c>
      <c r="G14946" t="s">
        <v>8498</v>
      </c>
      <c r="H14946" s="21">
        <v>858.67</v>
      </c>
    </row>
    <row r="14947" spans="1:8" customFormat="1" x14ac:dyDescent="0.25">
      <c r="A14947" t="str">
        <f>"348399"</f>
        <v>348399</v>
      </c>
      <c r="B14947" t="s">
        <v>12424</v>
      </c>
      <c r="C14947" t="s">
        <v>12425</v>
      </c>
      <c r="D14947" s="21" t="s">
        <v>34</v>
      </c>
      <c r="E14947" s="21" t="s">
        <v>35</v>
      </c>
      <c r="F14947">
        <v>11340010</v>
      </c>
      <c r="G14947" t="s">
        <v>66</v>
      </c>
      <c r="H14947" s="21">
        <v>858.67</v>
      </c>
    </row>
    <row r="14948" spans="1:8" customFormat="1" x14ac:dyDescent="0.25">
      <c r="A14948" t="str">
        <f>"5619730"</f>
        <v>5619730</v>
      </c>
      <c r="B14948" t="s">
        <v>15342</v>
      </c>
      <c r="C14948" t="s">
        <v>144</v>
      </c>
      <c r="D14948" s="21" t="s">
        <v>34</v>
      </c>
      <c r="E14948" s="21" t="s">
        <v>35</v>
      </c>
      <c r="F14948">
        <v>3560044</v>
      </c>
      <c r="G14948" t="s">
        <v>4890</v>
      </c>
      <c r="H14948" s="21">
        <v>858.67</v>
      </c>
    </row>
    <row r="14949" spans="1:8" customFormat="1" x14ac:dyDescent="0.25">
      <c r="A14949" t="str">
        <f>"6312021"</f>
        <v>6312021</v>
      </c>
      <c r="B14949" t="s">
        <v>5447</v>
      </c>
      <c r="C14949" t="s">
        <v>269</v>
      </c>
      <c r="D14949" s="21" t="s">
        <v>34</v>
      </c>
      <c r="E14949" s="21" t="s">
        <v>35</v>
      </c>
      <c r="F14949">
        <v>1630249</v>
      </c>
      <c r="G14949" t="s">
        <v>1237</v>
      </c>
      <c r="H14949" s="21">
        <v>858.67</v>
      </c>
    </row>
    <row r="14950" spans="1:8" customFormat="1" x14ac:dyDescent="0.25">
      <c r="A14950" t="str">
        <f>"9520256"</f>
        <v>9520256</v>
      </c>
      <c r="B14950" t="s">
        <v>27362</v>
      </c>
      <c r="C14950" t="s">
        <v>149</v>
      </c>
      <c r="D14950" s="21" t="s">
        <v>34</v>
      </c>
      <c r="E14950" s="21" t="s">
        <v>35</v>
      </c>
      <c r="F14950">
        <v>8951268</v>
      </c>
      <c r="G14950" t="s">
        <v>8981</v>
      </c>
      <c r="H14950" s="21">
        <v>858.67</v>
      </c>
    </row>
    <row r="14951" spans="1:8" customFormat="1" x14ac:dyDescent="0.25">
      <c r="A14951" t="str">
        <f>"6227070"</f>
        <v>6227070</v>
      </c>
      <c r="B14951" t="s">
        <v>932</v>
      </c>
      <c r="C14951" t="s">
        <v>171</v>
      </c>
      <c r="D14951" s="21" t="s">
        <v>34</v>
      </c>
      <c r="E14951" s="21" t="s">
        <v>35</v>
      </c>
      <c r="F14951">
        <v>7620077</v>
      </c>
      <c r="G14951" t="s">
        <v>4131</v>
      </c>
      <c r="H14951" s="21">
        <v>858.67</v>
      </c>
    </row>
    <row r="14952" spans="1:8" customFormat="1" x14ac:dyDescent="0.25">
      <c r="A14952" t="str">
        <f>"39422"</f>
        <v>39422</v>
      </c>
      <c r="B14952" t="s">
        <v>12138</v>
      </c>
      <c r="C14952" t="s">
        <v>40</v>
      </c>
      <c r="D14952" s="21" t="s">
        <v>34</v>
      </c>
      <c r="E14952" s="21" t="s">
        <v>35</v>
      </c>
      <c r="F14952">
        <v>2390046</v>
      </c>
      <c r="G14952" t="s">
        <v>2140</v>
      </c>
      <c r="H14952" s="21">
        <v>858.67</v>
      </c>
    </row>
    <row r="14953" spans="1:8" customFormat="1" x14ac:dyDescent="0.25">
      <c r="A14953" t="str">
        <f>"103467"</f>
        <v>103467</v>
      </c>
      <c r="B14953" t="s">
        <v>4148</v>
      </c>
      <c r="C14953" t="s">
        <v>462</v>
      </c>
      <c r="D14953" s="21" t="s">
        <v>34</v>
      </c>
      <c r="E14953" s="21" t="s">
        <v>71</v>
      </c>
      <c r="F14953">
        <v>6100035</v>
      </c>
      <c r="G14953" t="s">
        <v>26807</v>
      </c>
      <c r="H14953" s="21">
        <v>858.67</v>
      </c>
    </row>
    <row r="14954" spans="1:8" customFormat="1" x14ac:dyDescent="0.25">
      <c r="A14954" t="str">
        <f>"1613824"</f>
        <v>1613824</v>
      </c>
      <c r="B14954" t="s">
        <v>5501</v>
      </c>
      <c r="C14954" t="s">
        <v>124</v>
      </c>
      <c r="D14954" s="21" t="s">
        <v>34</v>
      </c>
      <c r="E14954" s="21" t="s">
        <v>254</v>
      </c>
      <c r="F14954">
        <v>10870029</v>
      </c>
      <c r="G14954" t="s">
        <v>15820</v>
      </c>
      <c r="H14954" s="21">
        <v>858.54</v>
      </c>
    </row>
    <row r="14955" spans="1:8" customFormat="1" x14ac:dyDescent="0.25">
      <c r="A14955" t="str">
        <f>"4432100"</f>
        <v>4432100</v>
      </c>
      <c r="B14955" t="s">
        <v>3978</v>
      </c>
      <c r="C14955" t="s">
        <v>262</v>
      </c>
      <c r="D14955" s="21" t="s">
        <v>34</v>
      </c>
      <c r="E14955" s="21" t="s">
        <v>35</v>
      </c>
      <c r="F14955">
        <v>12440014</v>
      </c>
      <c r="G14955" t="s">
        <v>6767</v>
      </c>
      <c r="H14955" s="21">
        <v>858.42</v>
      </c>
    </row>
    <row r="14956" spans="1:8" customFormat="1" x14ac:dyDescent="0.25">
      <c r="A14956" t="str">
        <f>"597544"</f>
        <v>597544</v>
      </c>
      <c r="B14956" t="s">
        <v>3657</v>
      </c>
      <c r="C14956" t="s">
        <v>2907</v>
      </c>
      <c r="D14956" s="21" t="s">
        <v>34</v>
      </c>
      <c r="E14956" s="21" t="s">
        <v>71</v>
      </c>
      <c r="F14956">
        <v>7590057</v>
      </c>
      <c r="G14956" t="s">
        <v>7575</v>
      </c>
      <c r="H14956" s="21">
        <v>858.42</v>
      </c>
    </row>
    <row r="14957" spans="1:8" customFormat="1" x14ac:dyDescent="0.25">
      <c r="A14957" t="str">
        <f>"4412710"</f>
        <v>4412710</v>
      </c>
      <c r="B14957" t="s">
        <v>11655</v>
      </c>
      <c r="C14957" t="s">
        <v>267</v>
      </c>
      <c r="D14957" s="21" t="s">
        <v>34</v>
      </c>
      <c r="E14957" s="21" t="s">
        <v>1089</v>
      </c>
      <c r="F14957">
        <v>12440266</v>
      </c>
      <c r="G14957" t="s">
        <v>924</v>
      </c>
      <c r="H14957" s="21">
        <v>858.42</v>
      </c>
    </row>
    <row r="14958" spans="1:8" customFormat="1" x14ac:dyDescent="0.25">
      <c r="A14958" t="str">
        <f>"5948955"</f>
        <v>5948955</v>
      </c>
      <c r="B14958" t="s">
        <v>13628</v>
      </c>
      <c r="C14958" t="s">
        <v>109</v>
      </c>
      <c r="D14958" s="21" t="s">
        <v>34</v>
      </c>
      <c r="E14958" s="21" t="s">
        <v>35</v>
      </c>
      <c r="F14958">
        <v>7590127</v>
      </c>
      <c r="G14958" t="s">
        <v>214</v>
      </c>
      <c r="H14958" s="21">
        <v>858.42</v>
      </c>
    </row>
    <row r="14959" spans="1:8" customFormat="1" x14ac:dyDescent="0.25">
      <c r="A14959" t="str">
        <f>"7524227"</f>
        <v>7524227</v>
      </c>
      <c r="B14959" t="s">
        <v>18905</v>
      </c>
      <c r="C14959" t="s">
        <v>62</v>
      </c>
      <c r="D14959" s="21" t="s">
        <v>34</v>
      </c>
      <c r="E14959" s="21" t="s">
        <v>35</v>
      </c>
      <c r="F14959">
        <v>8751271</v>
      </c>
      <c r="G14959" t="s">
        <v>1067</v>
      </c>
      <c r="H14959" s="21">
        <v>858.29</v>
      </c>
    </row>
    <row r="14960" spans="1:8" customFormat="1" x14ac:dyDescent="0.25">
      <c r="A14960" t="str">
        <f>"672397"</f>
        <v>672397</v>
      </c>
      <c r="B14960" t="s">
        <v>146</v>
      </c>
      <c r="C14960" t="s">
        <v>598</v>
      </c>
      <c r="D14960" s="21" t="s">
        <v>34</v>
      </c>
      <c r="E14960" s="21" t="s">
        <v>35</v>
      </c>
      <c r="F14960">
        <v>6670010</v>
      </c>
      <c r="G14960" t="s">
        <v>721</v>
      </c>
      <c r="H14960" s="21">
        <v>858.17</v>
      </c>
    </row>
    <row r="14961" spans="1:8" customFormat="1" x14ac:dyDescent="0.25">
      <c r="A14961" t="str">
        <f>"5312453"</f>
        <v>5312453</v>
      </c>
      <c r="B14961" t="s">
        <v>14556</v>
      </c>
      <c r="C14961" t="s">
        <v>249</v>
      </c>
      <c r="D14961" s="21" t="s">
        <v>34</v>
      </c>
      <c r="E14961" s="21" t="s">
        <v>35</v>
      </c>
      <c r="F14961">
        <v>12530144</v>
      </c>
      <c r="G14961" t="s">
        <v>10892</v>
      </c>
      <c r="H14961" s="21">
        <v>858.17</v>
      </c>
    </row>
    <row r="14962" spans="1:8" customFormat="1" x14ac:dyDescent="0.25">
      <c r="A14962" t="str">
        <f>"7521242"</f>
        <v>7521242</v>
      </c>
      <c r="B14962" t="s">
        <v>1405</v>
      </c>
      <c r="C14962" t="s">
        <v>60</v>
      </c>
      <c r="D14962" s="21" t="s">
        <v>34</v>
      </c>
      <c r="E14962" s="21" t="s">
        <v>35</v>
      </c>
      <c r="F14962">
        <v>8751265</v>
      </c>
      <c r="G14962" t="s">
        <v>15965</v>
      </c>
      <c r="H14962" s="21">
        <v>858.17</v>
      </c>
    </row>
    <row r="14963" spans="1:8" customFormat="1" x14ac:dyDescent="0.25">
      <c r="A14963" t="str">
        <f>"7872702"</f>
        <v>7872702</v>
      </c>
      <c r="B14963" t="s">
        <v>14720</v>
      </c>
      <c r="C14963" t="s">
        <v>14721</v>
      </c>
      <c r="D14963" s="21" t="s">
        <v>34</v>
      </c>
      <c r="E14963" s="21" t="s">
        <v>71</v>
      </c>
      <c r="F14963">
        <v>8781176</v>
      </c>
      <c r="G14963" t="s">
        <v>3659</v>
      </c>
      <c r="H14963" s="21">
        <v>858.17</v>
      </c>
    </row>
    <row r="14964" spans="1:8" customFormat="1" x14ac:dyDescent="0.25">
      <c r="A14964" t="str">
        <f>"5936749"</f>
        <v>5936749</v>
      </c>
      <c r="B14964" t="s">
        <v>6458</v>
      </c>
      <c r="C14964" t="s">
        <v>263</v>
      </c>
      <c r="D14964" s="21" t="s">
        <v>34</v>
      </c>
      <c r="E14964" s="21" t="s">
        <v>71</v>
      </c>
      <c r="F14964">
        <v>7590075</v>
      </c>
      <c r="G14964" t="s">
        <v>6459</v>
      </c>
      <c r="H14964" s="21">
        <v>858.17</v>
      </c>
    </row>
    <row r="14965" spans="1:8" customFormat="1" x14ac:dyDescent="0.25">
      <c r="A14965" t="str">
        <f>"753700"</f>
        <v>753700</v>
      </c>
      <c r="B14965" t="s">
        <v>7241</v>
      </c>
      <c r="C14965" t="s">
        <v>209</v>
      </c>
      <c r="D14965" s="21" t="s">
        <v>34</v>
      </c>
      <c r="E14965" s="21" t="s">
        <v>71</v>
      </c>
      <c r="F14965">
        <v>8920505</v>
      </c>
      <c r="G14965" t="s">
        <v>12288</v>
      </c>
      <c r="H14965" s="21">
        <v>858.17</v>
      </c>
    </row>
    <row r="14966" spans="1:8" customFormat="1" x14ac:dyDescent="0.25">
      <c r="A14966" t="str">
        <f>"6811090"</f>
        <v>6811090</v>
      </c>
      <c r="B14966" t="s">
        <v>14713</v>
      </c>
      <c r="C14966" t="s">
        <v>109</v>
      </c>
      <c r="D14966" s="21" t="s">
        <v>34</v>
      </c>
      <c r="E14966" s="21" t="s">
        <v>35</v>
      </c>
      <c r="F14966">
        <v>6680128</v>
      </c>
      <c r="G14966" t="s">
        <v>341</v>
      </c>
      <c r="H14966" s="21">
        <v>858.17</v>
      </c>
    </row>
    <row r="14967" spans="1:8" customFormat="1" x14ac:dyDescent="0.25">
      <c r="A14967" t="str">
        <f>"859123"</f>
        <v>859123</v>
      </c>
      <c r="B14967" t="s">
        <v>9576</v>
      </c>
      <c r="C14967" t="s">
        <v>82</v>
      </c>
      <c r="D14967" s="21" t="s">
        <v>34</v>
      </c>
      <c r="E14967" s="21" t="s">
        <v>35</v>
      </c>
      <c r="F14967">
        <v>12850138</v>
      </c>
      <c r="G14967" t="s">
        <v>6879</v>
      </c>
      <c r="H14967" s="21">
        <v>858.17</v>
      </c>
    </row>
    <row r="14968" spans="1:8" customFormat="1" x14ac:dyDescent="0.25">
      <c r="A14968" t="str">
        <f>"5018775"</f>
        <v>5018775</v>
      </c>
      <c r="B14968" t="s">
        <v>938</v>
      </c>
      <c r="C14968" t="s">
        <v>462</v>
      </c>
      <c r="D14968" s="21" t="s">
        <v>34</v>
      </c>
      <c r="E14968" s="21" t="s">
        <v>71</v>
      </c>
      <c r="F14968">
        <v>9500160</v>
      </c>
      <c r="G14968" t="s">
        <v>11418</v>
      </c>
      <c r="H14968" s="21">
        <v>858.17</v>
      </c>
    </row>
    <row r="14969" spans="1:8" customFormat="1" x14ac:dyDescent="0.25">
      <c r="A14969" t="str">
        <f>"37143"</f>
        <v>37143</v>
      </c>
      <c r="B14969" t="s">
        <v>12745</v>
      </c>
      <c r="C14969" t="s">
        <v>1146</v>
      </c>
      <c r="D14969" s="21" t="s">
        <v>34</v>
      </c>
      <c r="E14969" s="21" t="s">
        <v>1089</v>
      </c>
      <c r="F14969">
        <v>4370033</v>
      </c>
      <c r="G14969" t="s">
        <v>7556</v>
      </c>
      <c r="H14969" s="21">
        <v>858.17</v>
      </c>
    </row>
    <row r="14970" spans="1:8" customFormat="1" x14ac:dyDescent="0.25">
      <c r="A14970" t="str">
        <f>"1611797"</f>
        <v>1611797</v>
      </c>
      <c r="B14970" t="s">
        <v>12280</v>
      </c>
      <c r="C14970" t="s">
        <v>598</v>
      </c>
      <c r="D14970" s="21" t="s">
        <v>34</v>
      </c>
      <c r="E14970" s="21" t="s">
        <v>35</v>
      </c>
      <c r="F14970">
        <v>10160237</v>
      </c>
      <c r="G14970" t="s">
        <v>8818</v>
      </c>
      <c r="H14970" s="21">
        <v>857.67</v>
      </c>
    </row>
    <row r="14971" spans="1:8" customFormat="1" x14ac:dyDescent="0.25">
      <c r="A14971" t="str">
        <f>"3823449"</f>
        <v>3823449</v>
      </c>
      <c r="B14971" t="s">
        <v>12185</v>
      </c>
      <c r="C14971" t="s">
        <v>1841</v>
      </c>
      <c r="D14971" s="21" t="s">
        <v>34</v>
      </c>
      <c r="E14971" s="21" t="s">
        <v>71</v>
      </c>
      <c r="F14971">
        <v>1380273</v>
      </c>
      <c r="G14971" t="s">
        <v>7554</v>
      </c>
      <c r="H14971" s="21">
        <v>857.67</v>
      </c>
    </row>
    <row r="14972" spans="1:8" customFormat="1" x14ac:dyDescent="0.25">
      <c r="A14972" t="str">
        <f>"884714"</f>
        <v>884714</v>
      </c>
      <c r="B14972" t="s">
        <v>13266</v>
      </c>
      <c r="C14972" t="s">
        <v>1110</v>
      </c>
      <c r="D14972" s="21" t="s">
        <v>34</v>
      </c>
      <c r="E14972" s="21" t="s">
        <v>1089</v>
      </c>
      <c r="F14972">
        <v>10330045</v>
      </c>
      <c r="G14972" t="s">
        <v>4506</v>
      </c>
      <c r="H14972" s="21">
        <v>857.67</v>
      </c>
    </row>
    <row r="14973" spans="1:8" customFormat="1" x14ac:dyDescent="0.25">
      <c r="A14973" t="str">
        <f>"9440227"</f>
        <v>9440227</v>
      </c>
      <c r="B14973" t="s">
        <v>13959</v>
      </c>
      <c r="C14973" t="s">
        <v>169</v>
      </c>
      <c r="D14973" s="21" t="s">
        <v>34</v>
      </c>
      <c r="E14973" s="21" t="s">
        <v>71</v>
      </c>
      <c r="F14973">
        <v>8940073</v>
      </c>
      <c r="G14973" t="s">
        <v>1085</v>
      </c>
      <c r="H14973" s="21">
        <v>857.67</v>
      </c>
    </row>
    <row r="14974" spans="1:8" customFormat="1" x14ac:dyDescent="0.25">
      <c r="A14974" t="str">
        <f>"5934551"</f>
        <v>5934551</v>
      </c>
      <c r="B14974" t="s">
        <v>13713</v>
      </c>
      <c r="C14974" t="s">
        <v>98</v>
      </c>
      <c r="D14974" s="21" t="s">
        <v>34</v>
      </c>
      <c r="E14974" s="21" t="s">
        <v>35</v>
      </c>
      <c r="F14974">
        <v>7590017</v>
      </c>
      <c r="G14974" t="s">
        <v>1316</v>
      </c>
      <c r="H14974" s="21">
        <v>857.67</v>
      </c>
    </row>
    <row r="14975" spans="1:8" customFormat="1" x14ac:dyDescent="0.25">
      <c r="A14975" t="str">
        <f>"763870"</f>
        <v>763870</v>
      </c>
      <c r="B14975" t="s">
        <v>2711</v>
      </c>
      <c r="C14975" t="s">
        <v>239</v>
      </c>
      <c r="D14975" s="21" t="s">
        <v>34</v>
      </c>
      <c r="E14975" s="21" t="s">
        <v>254</v>
      </c>
      <c r="F14975">
        <v>9270112</v>
      </c>
      <c r="G14975" t="s">
        <v>5124</v>
      </c>
      <c r="H14975" s="21">
        <v>857.67</v>
      </c>
    </row>
    <row r="14976" spans="1:8" customFormat="1" x14ac:dyDescent="0.25">
      <c r="A14976" t="str">
        <f>"4445966"</f>
        <v>4445966</v>
      </c>
      <c r="B14976" t="s">
        <v>12577</v>
      </c>
      <c r="C14976" t="s">
        <v>621</v>
      </c>
      <c r="D14976" s="21" t="s">
        <v>34</v>
      </c>
      <c r="E14976" s="21" t="s">
        <v>35</v>
      </c>
      <c r="F14976">
        <v>12440144</v>
      </c>
      <c r="G14976" t="s">
        <v>3702</v>
      </c>
      <c r="H14976" s="21">
        <v>857.67</v>
      </c>
    </row>
    <row r="14977" spans="1:8" customFormat="1" x14ac:dyDescent="0.25">
      <c r="A14977" t="str">
        <f>"023714"</f>
        <v>023714</v>
      </c>
      <c r="B14977" t="s">
        <v>213</v>
      </c>
      <c r="C14977" t="s">
        <v>528</v>
      </c>
      <c r="D14977" s="21" t="s">
        <v>34</v>
      </c>
      <c r="E14977" s="21" t="s">
        <v>1089</v>
      </c>
      <c r="F14977">
        <v>7020040</v>
      </c>
      <c r="G14977" t="s">
        <v>1698</v>
      </c>
      <c r="H14977" s="21">
        <v>857.67</v>
      </c>
    </row>
    <row r="14978" spans="1:8" customFormat="1" x14ac:dyDescent="0.25">
      <c r="A14978" t="str">
        <f>"29396"</f>
        <v>29396</v>
      </c>
      <c r="B14978" t="s">
        <v>12914</v>
      </c>
      <c r="C14978" t="s">
        <v>664</v>
      </c>
      <c r="D14978" s="21" t="s">
        <v>34</v>
      </c>
      <c r="E14978" s="21" t="s">
        <v>71</v>
      </c>
      <c r="F14978">
        <v>3290264</v>
      </c>
      <c r="G14978" t="s">
        <v>6934</v>
      </c>
      <c r="H14978" s="21">
        <v>857.67</v>
      </c>
    </row>
    <row r="14979" spans="1:8" customFormat="1" x14ac:dyDescent="0.25">
      <c r="A14979" t="str">
        <f>"661017"</f>
        <v>661017</v>
      </c>
      <c r="B14979" t="s">
        <v>12709</v>
      </c>
      <c r="C14979" t="s">
        <v>156</v>
      </c>
      <c r="D14979" s="21" t="s">
        <v>34</v>
      </c>
      <c r="E14979" s="21" t="s">
        <v>71</v>
      </c>
      <c r="F14979">
        <v>11660003</v>
      </c>
      <c r="G14979" t="s">
        <v>5188</v>
      </c>
      <c r="H14979" s="21">
        <v>857.67</v>
      </c>
    </row>
    <row r="14980" spans="1:8" customFormat="1" x14ac:dyDescent="0.25">
      <c r="A14980" t="str">
        <f>"246918"</f>
        <v>246918</v>
      </c>
      <c r="B14980" t="s">
        <v>14198</v>
      </c>
      <c r="C14980" t="s">
        <v>631</v>
      </c>
      <c r="D14980" s="21" t="s">
        <v>34</v>
      </c>
      <c r="E14980" s="21" t="s">
        <v>35</v>
      </c>
      <c r="F14980">
        <v>10240030</v>
      </c>
      <c r="G14980" t="s">
        <v>8997</v>
      </c>
      <c r="H14980" s="21">
        <v>857.67</v>
      </c>
    </row>
    <row r="14981" spans="1:8" customFormat="1" x14ac:dyDescent="0.25">
      <c r="A14981" t="str">
        <f>"505298"</f>
        <v>505298</v>
      </c>
      <c r="B14981" t="s">
        <v>12525</v>
      </c>
      <c r="C14981" t="s">
        <v>528</v>
      </c>
      <c r="D14981" s="21" t="s">
        <v>34</v>
      </c>
      <c r="E14981" s="21" t="s">
        <v>35</v>
      </c>
      <c r="F14981">
        <v>9500053</v>
      </c>
      <c r="G14981" t="s">
        <v>11847</v>
      </c>
      <c r="H14981" s="21">
        <v>857.67</v>
      </c>
    </row>
    <row r="14982" spans="1:8" customFormat="1" x14ac:dyDescent="0.25">
      <c r="A14982" t="str">
        <f>"5014842"</f>
        <v>5014842</v>
      </c>
      <c r="B14982" t="s">
        <v>14304</v>
      </c>
      <c r="C14982" t="s">
        <v>262</v>
      </c>
      <c r="D14982" s="21" t="s">
        <v>34</v>
      </c>
      <c r="E14982" s="21" t="s">
        <v>35</v>
      </c>
      <c r="F14982">
        <v>9500154</v>
      </c>
      <c r="G14982" t="s">
        <v>9582</v>
      </c>
      <c r="H14982" s="21">
        <v>857.67</v>
      </c>
    </row>
    <row r="14983" spans="1:8" customFormat="1" x14ac:dyDescent="0.25">
      <c r="A14983" t="str">
        <f>"167695"</f>
        <v>167695</v>
      </c>
      <c r="B14983" t="s">
        <v>10708</v>
      </c>
      <c r="C14983" t="s">
        <v>493</v>
      </c>
      <c r="D14983" s="21" t="s">
        <v>34</v>
      </c>
      <c r="E14983" s="21" t="s">
        <v>35</v>
      </c>
      <c r="F14983">
        <v>10160196</v>
      </c>
      <c r="G14983" t="s">
        <v>13348</v>
      </c>
      <c r="H14983" s="21">
        <v>857.54</v>
      </c>
    </row>
    <row r="14984" spans="1:8" customFormat="1" x14ac:dyDescent="0.25">
      <c r="A14984" t="str">
        <f>"36699"</f>
        <v>36699</v>
      </c>
      <c r="B14984" t="s">
        <v>1551</v>
      </c>
      <c r="C14984" t="s">
        <v>253</v>
      </c>
      <c r="D14984" s="21" t="s">
        <v>34</v>
      </c>
      <c r="E14984" s="21" t="s">
        <v>254</v>
      </c>
      <c r="F14984">
        <v>4360009</v>
      </c>
      <c r="G14984" t="s">
        <v>6259</v>
      </c>
      <c r="H14984" s="21">
        <v>857.42</v>
      </c>
    </row>
    <row r="14985" spans="1:8" customFormat="1" x14ac:dyDescent="0.25">
      <c r="A14985" t="str">
        <f>"103035"</f>
        <v>103035</v>
      </c>
      <c r="B14985" t="s">
        <v>14158</v>
      </c>
      <c r="C14985" t="s">
        <v>43</v>
      </c>
      <c r="D14985" s="21" t="s">
        <v>34</v>
      </c>
      <c r="E14985" s="21" t="s">
        <v>35</v>
      </c>
      <c r="F14985">
        <v>6100046</v>
      </c>
      <c r="G14985" t="s">
        <v>12853</v>
      </c>
      <c r="H14985" s="21">
        <v>857.17</v>
      </c>
    </row>
    <row r="14986" spans="1:8" customFormat="1" x14ac:dyDescent="0.25">
      <c r="A14986" t="str">
        <f>"2711586"</f>
        <v>2711586</v>
      </c>
      <c r="B14986" t="s">
        <v>11656</v>
      </c>
      <c r="C14986" t="s">
        <v>926</v>
      </c>
      <c r="D14986" s="21" t="s">
        <v>34</v>
      </c>
      <c r="E14986" s="21" t="s">
        <v>35</v>
      </c>
      <c r="F14986">
        <v>12440067</v>
      </c>
      <c r="G14986" t="s">
        <v>1723</v>
      </c>
      <c r="H14986" s="21">
        <v>857.17</v>
      </c>
    </row>
    <row r="14987" spans="1:8" customFormat="1" x14ac:dyDescent="0.25">
      <c r="A14987" t="str">
        <f>"497000"</f>
        <v>497000</v>
      </c>
      <c r="B14987" t="s">
        <v>13074</v>
      </c>
      <c r="C14987" t="s">
        <v>169</v>
      </c>
      <c r="D14987" s="21" t="s">
        <v>34</v>
      </c>
      <c r="E14987" s="21" t="s">
        <v>71</v>
      </c>
      <c r="F14987">
        <v>12490024</v>
      </c>
      <c r="G14987" t="s">
        <v>9869</v>
      </c>
      <c r="H14987" s="21">
        <v>857.17</v>
      </c>
    </row>
    <row r="14988" spans="1:8" customFormat="1" x14ac:dyDescent="0.25">
      <c r="A14988" t="str">
        <f>"7625941"</f>
        <v>7625941</v>
      </c>
      <c r="B14988" t="s">
        <v>11442</v>
      </c>
      <c r="C14988" t="s">
        <v>65</v>
      </c>
      <c r="D14988" s="21" t="s">
        <v>34</v>
      </c>
      <c r="E14988" s="21" t="s">
        <v>35</v>
      </c>
      <c r="F14988">
        <v>9760315</v>
      </c>
      <c r="G14988" t="s">
        <v>12345</v>
      </c>
      <c r="H14988" s="21">
        <v>857.17</v>
      </c>
    </row>
    <row r="14989" spans="1:8" customFormat="1" x14ac:dyDescent="0.25">
      <c r="A14989" t="str">
        <f>"3110967"</f>
        <v>3110967</v>
      </c>
      <c r="B14989" t="s">
        <v>6887</v>
      </c>
      <c r="C14989" t="s">
        <v>233</v>
      </c>
      <c r="D14989" s="21" t="s">
        <v>34</v>
      </c>
      <c r="E14989" s="21" t="s">
        <v>35</v>
      </c>
      <c r="F14989">
        <v>11310060</v>
      </c>
      <c r="G14989" t="s">
        <v>2448</v>
      </c>
      <c r="H14989" s="21">
        <v>857.17</v>
      </c>
    </row>
    <row r="14990" spans="1:8" customFormat="1" x14ac:dyDescent="0.25">
      <c r="A14990" t="str">
        <f>"7824216"</f>
        <v>7824216</v>
      </c>
      <c r="B14990" t="s">
        <v>11624</v>
      </c>
      <c r="C14990" t="s">
        <v>209</v>
      </c>
      <c r="D14990" s="21" t="s">
        <v>34</v>
      </c>
      <c r="E14990" s="21" t="s">
        <v>71</v>
      </c>
      <c r="F14990">
        <v>8781196</v>
      </c>
      <c r="G14990" t="s">
        <v>8007</v>
      </c>
      <c r="H14990" s="21">
        <v>857.17</v>
      </c>
    </row>
    <row r="14991" spans="1:8" customFormat="1" x14ac:dyDescent="0.25">
      <c r="A14991" t="str">
        <f>"2922842"</f>
        <v>2922842</v>
      </c>
      <c r="B14991" t="s">
        <v>12432</v>
      </c>
      <c r="C14991" t="s">
        <v>1597</v>
      </c>
      <c r="D14991" s="21" t="s">
        <v>34</v>
      </c>
      <c r="E14991" s="21" t="s">
        <v>254</v>
      </c>
      <c r="F14991">
        <v>3290009</v>
      </c>
      <c r="G14991" t="s">
        <v>4358</v>
      </c>
      <c r="H14991" s="21">
        <v>857.17</v>
      </c>
    </row>
    <row r="14992" spans="1:8" customFormat="1" x14ac:dyDescent="0.25">
      <c r="A14992" t="str">
        <f>"4454930"</f>
        <v>4454930</v>
      </c>
      <c r="B14992" t="s">
        <v>2240</v>
      </c>
      <c r="C14992" t="s">
        <v>8546</v>
      </c>
      <c r="D14992" s="21" t="s">
        <v>34</v>
      </c>
      <c r="E14992" s="21" t="s">
        <v>35</v>
      </c>
      <c r="F14992">
        <v>12440004</v>
      </c>
      <c r="G14992" t="s">
        <v>26530</v>
      </c>
      <c r="H14992" s="21">
        <v>857.17</v>
      </c>
    </row>
    <row r="14993" spans="1:8" customFormat="1" x14ac:dyDescent="0.25">
      <c r="A14993" t="str">
        <f>"378164"</f>
        <v>378164</v>
      </c>
      <c r="B14993" t="s">
        <v>2656</v>
      </c>
      <c r="C14993" t="s">
        <v>288</v>
      </c>
      <c r="D14993" s="21" t="s">
        <v>34</v>
      </c>
      <c r="E14993" s="21" t="s">
        <v>71</v>
      </c>
      <c r="F14993">
        <v>4370349</v>
      </c>
      <c r="G14993" t="s">
        <v>2287</v>
      </c>
      <c r="H14993" s="21">
        <v>857.17</v>
      </c>
    </row>
    <row r="14994" spans="1:8" customFormat="1" x14ac:dyDescent="0.25">
      <c r="A14994" t="str">
        <f>"5951536"</f>
        <v>5951536</v>
      </c>
      <c r="B14994" t="s">
        <v>482</v>
      </c>
      <c r="C14994" t="s">
        <v>55</v>
      </c>
      <c r="D14994" s="21" t="s">
        <v>34</v>
      </c>
      <c r="E14994" s="21" t="s">
        <v>71</v>
      </c>
      <c r="F14994">
        <v>7590392</v>
      </c>
      <c r="G14994" t="s">
        <v>154</v>
      </c>
      <c r="H14994" s="21">
        <v>857.17</v>
      </c>
    </row>
    <row r="14995" spans="1:8" customFormat="1" x14ac:dyDescent="0.25">
      <c r="A14995" t="str">
        <f>"711141"</f>
        <v>711141</v>
      </c>
      <c r="B14995" t="s">
        <v>12729</v>
      </c>
      <c r="C14995" t="s">
        <v>209</v>
      </c>
      <c r="D14995" s="21" t="s">
        <v>34</v>
      </c>
      <c r="E14995" s="21" t="s">
        <v>35</v>
      </c>
      <c r="F14995">
        <v>2710051</v>
      </c>
      <c r="G14995" t="s">
        <v>4811</v>
      </c>
      <c r="H14995" s="21">
        <v>857.17</v>
      </c>
    </row>
    <row r="14996" spans="1:8" customFormat="1" x14ac:dyDescent="0.25">
      <c r="A14996" t="str">
        <f>"9227507"</f>
        <v>9227507</v>
      </c>
      <c r="B14996" t="s">
        <v>15810</v>
      </c>
      <c r="C14996" t="s">
        <v>262</v>
      </c>
      <c r="D14996" s="21" t="s">
        <v>34</v>
      </c>
      <c r="E14996" s="21" t="s">
        <v>35</v>
      </c>
      <c r="F14996">
        <v>8781471</v>
      </c>
      <c r="G14996" t="s">
        <v>9616</v>
      </c>
      <c r="H14996" s="21">
        <v>857.17</v>
      </c>
    </row>
    <row r="14997" spans="1:8" customFormat="1" x14ac:dyDescent="0.25">
      <c r="A14997" t="str">
        <f>"293173"</f>
        <v>293173</v>
      </c>
      <c r="B14997" t="s">
        <v>4124</v>
      </c>
      <c r="C14997" t="s">
        <v>598</v>
      </c>
      <c r="D14997" s="21" t="s">
        <v>34</v>
      </c>
      <c r="E14997" s="21" t="s">
        <v>1089</v>
      </c>
      <c r="F14997">
        <v>3290262</v>
      </c>
      <c r="G14997" t="s">
        <v>1139</v>
      </c>
      <c r="H14997" s="21">
        <v>857.17</v>
      </c>
    </row>
    <row r="14998" spans="1:8" customFormat="1" x14ac:dyDescent="0.25">
      <c r="A14998" t="str">
        <f>"579114"</f>
        <v>579114</v>
      </c>
      <c r="B14998" t="s">
        <v>12232</v>
      </c>
      <c r="C14998" t="s">
        <v>1119</v>
      </c>
      <c r="D14998" s="21" t="s">
        <v>34</v>
      </c>
      <c r="E14998" s="21" t="s">
        <v>35</v>
      </c>
      <c r="F14998">
        <v>6570022</v>
      </c>
      <c r="G14998" t="s">
        <v>3870</v>
      </c>
      <c r="H14998" s="21">
        <v>857.17</v>
      </c>
    </row>
    <row r="14999" spans="1:8" customFormat="1" x14ac:dyDescent="0.25">
      <c r="A14999" t="str">
        <f>"3310040"</f>
        <v>3310040</v>
      </c>
      <c r="B14999" t="s">
        <v>9594</v>
      </c>
      <c r="C14999" t="s">
        <v>33</v>
      </c>
      <c r="D14999" s="21" t="s">
        <v>34</v>
      </c>
      <c r="E14999" s="21" t="s">
        <v>35</v>
      </c>
      <c r="F14999">
        <v>10330093</v>
      </c>
      <c r="G14999" t="s">
        <v>8324</v>
      </c>
      <c r="H14999" s="21">
        <v>856.92</v>
      </c>
    </row>
    <row r="15000" spans="1:8" customFormat="1" x14ac:dyDescent="0.25">
      <c r="A15000" t="str">
        <f>"2814186"</f>
        <v>2814186</v>
      </c>
      <c r="B15000" t="s">
        <v>13533</v>
      </c>
      <c r="C15000" t="s">
        <v>415</v>
      </c>
      <c r="D15000" s="21" t="s">
        <v>34</v>
      </c>
      <c r="E15000" s="21" t="s">
        <v>71</v>
      </c>
      <c r="F15000">
        <v>4280202</v>
      </c>
      <c r="G15000" t="s">
        <v>2945</v>
      </c>
      <c r="H15000" s="21">
        <v>856.92</v>
      </c>
    </row>
    <row r="15001" spans="1:8" customFormat="1" x14ac:dyDescent="0.25">
      <c r="A15001" t="str">
        <f>"535222"</f>
        <v>535222</v>
      </c>
      <c r="B15001" t="s">
        <v>8803</v>
      </c>
      <c r="C15001" t="s">
        <v>10114</v>
      </c>
      <c r="D15001" s="21" t="s">
        <v>34</v>
      </c>
      <c r="E15001" s="21" t="s">
        <v>254</v>
      </c>
      <c r="F15001">
        <v>12530067</v>
      </c>
      <c r="G15001" t="s">
        <v>11121</v>
      </c>
      <c r="H15001" s="21">
        <v>856.92</v>
      </c>
    </row>
    <row r="15002" spans="1:8" customFormat="1" x14ac:dyDescent="0.25">
      <c r="A15002" t="str">
        <f>"5943414"</f>
        <v>5943414</v>
      </c>
      <c r="B15002" t="s">
        <v>12082</v>
      </c>
      <c r="C15002" t="s">
        <v>206</v>
      </c>
      <c r="D15002" s="21" t="s">
        <v>34</v>
      </c>
      <c r="E15002" s="21" t="s">
        <v>35</v>
      </c>
      <c r="F15002">
        <v>7590020</v>
      </c>
      <c r="G15002" t="s">
        <v>5181</v>
      </c>
      <c r="H15002" s="21">
        <v>856.92</v>
      </c>
    </row>
    <row r="15003" spans="1:8" customFormat="1" x14ac:dyDescent="0.25">
      <c r="A15003" t="str">
        <f>"7913069"</f>
        <v>7913069</v>
      </c>
      <c r="B15003" t="s">
        <v>4352</v>
      </c>
      <c r="C15003" t="s">
        <v>926</v>
      </c>
      <c r="D15003" s="21" t="s">
        <v>34</v>
      </c>
      <c r="E15003" s="21" t="s">
        <v>71</v>
      </c>
      <c r="F15003">
        <v>10790069</v>
      </c>
      <c r="G15003" t="s">
        <v>689</v>
      </c>
      <c r="H15003" s="21">
        <v>856.79</v>
      </c>
    </row>
    <row r="15004" spans="1:8" customFormat="1" x14ac:dyDescent="0.25">
      <c r="A15004" t="str">
        <f>"9523676"</f>
        <v>9523676</v>
      </c>
      <c r="B15004" t="s">
        <v>13946</v>
      </c>
      <c r="C15004" t="s">
        <v>40</v>
      </c>
      <c r="D15004" s="21" t="s">
        <v>34</v>
      </c>
      <c r="E15004" s="21" t="s">
        <v>254</v>
      </c>
      <c r="F15004">
        <v>8950260</v>
      </c>
      <c r="G15004" t="s">
        <v>8564</v>
      </c>
      <c r="H15004" s="21">
        <v>856.75</v>
      </c>
    </row>
    <row r="15005" spans="1:8" customFormat="1" x14ac:dyDescent="0.25">
      <c r="A15005" t="str">
        <f>"089439"</f>
        <v>089439</v>
      </c>
      <c r="B15005" t="s">
        <v>13032</v>
      </c>
      <c r="C15005" t="s">
        <v>124</v>
      </c>
      <c r="D15005" s="21" t="s">
        <v>34</v>
      </c>
      <c r="E15005" s="21" t="s">
        <v>71</v>
      </c>
      <c r="F15005">
        <v>6080045</v>
      </c>
      <c r="G15005" t="s">
        <v>5632</v>
      </c>
      <c r="H15005" s="21">
        <v>856.67</v>
      </c>
    </row>
    <row r="15006" spans="1:8" customFormat="1" x14ac:dyDescent="0.25">
      <c r="A15006" t="str">
        <f>"8527461"</f>
        <v>8527461</v>
      </c>
      <c r="B15006" t="s">
        <v>636</v>
      </c>
      <c r="C15006" t="s">
        <v>781</v>
      </c>
      <c r="D15006" s="21" t="s">
        <v>34</v>
      </c>
      <c r="E15006" s="21" t="s">
        <v>35</v>
      </c>
      <c r="F15006">
        <v>12850016</v>
      </c>
      <c r="G15006" t="s">
        <v>26554</v>
      </c>
      <c r="H15006" s="21">
        <v>856.67</v>
      </c>
    </row>
    <row r="15007" spans="1:8" customFormat="1" x14ac:dyDescent="0.25">
      <c r="A15007" t="str">
        <f>"303680"</f>
        <v>303680</v>
      </c>
      <c r="B15007" t="s">
        <v>11044</v>
      </c>
      <c r="C15007" t="s">
        <v>288</v>
      </c>
      <c r="D15007" s="21" t="s">
        <v>34</v>
      </c>
      <c r="E15007" s="21" t="s">
        <v>35</v>
      </c>
      <c r="F15007">
        <v>11300017</v>
      </c>
      <c r="G15007" t="s">
        <v>13115</v>
      </c>
      <c r="H15007" s="21">
        <v>856.67</v>
      </c>
    </row>
    <row r="15008" spans="1:8" customFormat="1" x14ac:dyDescent="0.25">
      <c r="A15008" t="str">
        <f>"089725"</f>
        <v>089725</v>
      </c>
      <c r="B15008" t="s">
        <v>788</v>
      </c>
      <c r="C15008" t="s">
        <v>2208</v>
      </c>
      <c r="D15008" s="21" t="s">
        <v>34</v>
      </c>
      <c r="E15008" s="21" t="s">
        <v>71</v>
      </c>
      <c r="F15008">
        <v>6080093</v>
      </c>
      <c r="G15008" t="s">
        <v>13289</v>
      </c>
      <c r="H15008" s="21">
        <v>856.67</v>
      </c>
    </row>
    <row r="15009" spans="1:8" customFormat="1" x14ac:dyDescent="0.25">
      <c r="A15009" t="str">
        <f>"6111038"</f>
        <v>6111038</v>
      </c>
      <c r="B15009" t="s">
        <v>9362</v>
      </c>
      <c r="C15009" t="s">
        <v>601</v>
      </c>
      <c r="D15009" s="21" t="s">
        <v>34</v>
      </c>
      <c r="E15009" s="21" t="s">
        <v>35</v>
      </c>
      <c r="F15009">
        <v>9610077</v>
      </c>
      <c r="G15009" t="s">
        <v>26691</v>
      </c>
      <c r="H15009" s="21">
        <v>856.67</v>
      </c>
    </row>
    <row r="15010" spans="1:8" customFormat="1" x14ac:dyDescent="0.25">
      <c r="A15010" t="str">
        <f>"0623"</f>
        <v>0623</v>
      </c>
      <c r="B15010" t="s">
        <v>12370</v>
      </c>
      <c r="C15010" t="s">
        <v>598</v>
      </c>
      <c r="D15010" s="21" t="s">
        <v>34</v>
      </c>
      <c r="E15010" s="21" t="s">
        <v>1089</v>
      </c>
      <c r="F15010">
        <v>13060001</v>
      </c>
      <c r="G15010" t="s">
        <v>8961</v>
      </c>
      <c r="H15010" s="21">
        <v>856.67</v>
      </c>
    </row>
    <row r="15011" spans="1:8" customFormat="1" x14ac:dyDescent="0.25">
      <c r="A15011" t="str">
        <f>"167073"</f>
        <v>167073</v>
      </c>
      <c r="B15011" t="s">
        <v>1611</v>
      </c>
      <c r="C15011" t="s">
        <v>1914</v>
      </c>
      <c r="D15011" s="21" t="s">
        <v>34</v>
      </c>
      <c r="E15011" s="21" t="s">
        <v>1089</v>
      </c>
      <c r="F15011">
        <v>10160042</v>
      </c>
      <c r="G15011" t="s">
        <v>7461</v>
      </c>
      <c r="H15011" s="21">
        <v>856.67</v>
      </c>
    </row>
    <row r="15012" spans="1:8" customFormat="1" x14ac:dyDescent="0.25">
      <c r="A15012" t="str">
        <f>"168283"</f>
        <v>168283</v>
      </c>
      <c r="B15012" t="s">
        <v>1143</v>
      </c>
      <c r="C15012" t="s">
        <v>926</v>
      </c>
      <c r="D15012" s="21" t="s">
        <v>34</v>
      </c>
      <c r="E15012" s="21" t="s">
        <v>71</v>
      </c>
      <c r="F15012">
        <v>10160185</v>
      </c>
      <c r="G15012" t="s">
        <v>2035</v>
      </c>
      <c r="H15012" s="21">
        <v>856.67</v>
      </c>
    </row>
    <row r="15013" spans="1:8" customFormat="1" x14ac:dyDescent="0.25">
      <c r="A15013" t="str">
        <f>"1415579"</f>
        <v>1415579</v>
      </c>
      <c r="B15013" t="s">
        <v>13086</v>
      </c>
      <c r="C15013" t="s">
        <v>169</v>
      </c>
      <c r="D15013" s="21" t="s">
        <v>34</v>
      </c>
      <c r="E15013" s="21" t="s">
        <v>35</v>
      </c>
      <c r="F15013">
        <v>1740060</v>
      </c>
      <c r="G15013" t="s">
        <v>4907</v>
      </c>
      <c r="H15013" s="21">
        <v>856.67</v>
      </c>
    </row>
    <row r="15014" spans="1:8" customFormat="1" x14ac:dyDescent="0.25">
      <c r="A15014" t="str">
        <f>"812465"</f>
        <v>812465</v>
      </c>
      <c r="B15014" t="s">
        <v>8828</v>
      </c>
      <c r="C15014" t="s">
        <v>1914</v>
      </c>
      <c r="D15014" s="21" t="s">
        <v>34</v>
      </c>
      <c r="E15014" s="21" t="s">
        <v>71</v>
      </c>
      <c r="F15014">
        <v>11810008</v>
      </c>
      <c r="G15014" t="s">
        <v>8796</v>
      </c>
      <c r="H15014" s="21">
        <v>856.67</v>
      </c>
    </row>
    <row r="15015" spans="1:8" customFormat="1" x14ac:dyDescent="0.25">
      <c r="A15015" t="str">
        <f>"88428"</f>
        <v>88428</v>
      </c>
      <c r="B15015" t="s">
        <v>9493</v>
      </c>
      <c r="C15015" t="s">
        <v>547</v>
      </c>
      <c r="D15015" s="21" t="s">
        <v>34</v>
      </c>
      <c r="E15015" s="21" t="s">
        <v>71</v>
      </c>
      <c r="F15015">
        <v>6880145</v>
      </c>
      <c r="G15015" t="s">
        <v>1303</v>
      </c>
      <c r="H15015" s="21">
        <v>856.67</v>
      </c>
    </row>
    <row r="15016" spans="1:8" customFormat="1" x14ac:dyDescent="0.25">
      <c r="A15016" t="str">
        <f>"705165"</f>
        <v>705165</v>
      </c>
      <c r="B15016" t="s">
        <v>146</v>
      </c>
      <c r="C15016" t="s">
        <v>55</v>
      </c>
      <c r="D15016" s="21" t="s">
        <v>34</v>
      </c>
      <c r="E15016" s="21" t="s">
        <v>35</v>
      </c>
      <c r="F15016">
        <v>2700074</v>
      </c>
      <c r="G15016" t="s">
        <v>27108</v>
      </c>
      <c r="H15016" s="21">
        <v>856.67</v>
      </c>
    </row>
    <row r="15017" spans="1:8" customFormat="1" x14ac:dyDescent="0.25">
      <c r="A15017" t="str">
        <f>"1610469"</f>
        <v>1610469</v>
      </c>
      <c r="B15017" t="s">
        <v>15983</v>
      </c>
      <c r="C15017" t="s">
        <v>2904</v>
      </c>
      <c r="D15017" s="21" t="s">
        <v>34</v>
      </c>
      <c r="E15017" s="21" t="s">
        <v>35</v>
      </c>
      <c r="F15017">
        <v>10160185</v>
      </c>
      <c r="G15017" t="s">
        <v>2035</v>
      </c>
      <c r="H15017" s="21">
        <v>856.67</v>
      </c>
    </row>
    <row r="15018" spans="1:8" customFormat="1" x14ac:dyDescent="0.25">
      <c r="A15018" t="str">
        <f>"7623724"</f>
        <v>7623724</v>
      </c>
      <c r="B15018" t="s">
        <v>24135</v>
      </c>
      <c r="C15018" t="s">
        <v>98</v>
      </c>
      <c r="D15018" s="21" t="s">
        <v>34</v>
      </c>
      <c r="E15018" s="21" t="s">
        <v>35</v>
      </c>
      <c r="F15018">
        <v>9760319</v>
      </c>
      <c r="G15018" t="s">
        <v>3051</v>
      </c>
      <c r="H15018" s="21">
        <v>856.67</v>
      </c>
    </row>
    <row r="15019" spans="1:8" customFormat="1" x14ac:dyDescent="0.25">
      <c r="A15019" t="str">
        <f>"4519447"</f>
        <v>4519447</v>
      </c>
      <c r="B15019" t="s">
        <v>15382</v>
      </c>
      <c r="C15019" t="s">
        <v>598</v>
      </c>
      <c r="D15019" s="21" t="s">
        <v>34</v>
      </c>
      <c r="E15019" s="21" t="s">
        <v>35</v>
      </c>
      <c r="F15019">
        <v>4450413</v>
      </c>
      <c r="G15019" t="s">
        <v>11734</v>
      </c>
      <c r="H15019" s="21">
        <v>856.42</v>
      </c>
    </row>
    <row r="15020" spans="1:8" customFormat="1" x14ac:dyDescent="0.25">
      <c r="A15020" t="str">
        <f>"2514275"</f>
        <v>2514275</v>
      </c>
      <c r="B15020" t="s">
        <v>205</v>
      </c>
      <c r="C15020" t="s">
        <v>156</v>
      </c>
      <c r="D15020" s="21" t="s">
        <v>34</v>
      </c>
      <c r="E15020" s="21" t="s">
        <v>71</v>
      </c>
      <c r="F15020">
        <v>2250138</v>
      </c>
      <c r="G15020" t="s">
        <v>4094</v>
      </c>
      <c r="H15020" s="21">
        <v>856.17</v>
      </c>
    </row>
    <row r="15021" spans="1:8" customFormat="1" x14ac:dyDescent="0.25">
      <c r="A15021" t="str">
        <f>"9414315"</f>
        <v>9414315</v>
      </c>
      <c r="B15021" t="s">
        <v>3312</v>
      </c>
      <c r="C15021" t="s">
        <v>822</v>
      </c>
      <c r="D15021" s="21" t="s">
        <v>34</v>
      </c>
      <c r="E15021" s="21" t="s">
        <v>71</v>
      </c>
      <c r="F15021">
        <v>8940535</v>
      </c>
      <c r="G15021" t="s">
        <v>2628</v>
      </c>
      <c r="H15021" s="21">
        <v>856.17</v>
      </c>
    </row>
    <row r="15022" spans="1:8" customFormat="1" x14ac:dyDescent="0.25">
      <c r="A15022" t="str">
        <f>"088539"</f>
        <v>088539</v>
      </c>
      <c r="B15022" t="s">
        <v>4458</v>
      </c>
      <c r="C15022" t="s">
        <v>130</v>
      </c>
      <c r="D15022" s="21" t="s">
        <v>34</v>
      </c>
      <c r="E15022" s="21" t="s">
        <v>71</v>
      </c>
      <c r="F15022">
        <v>6080059</v>
      </c>
      <c r="G15022" t="s">
        <v>4242</v>
      </c>
      <c r="H15022" s="21">
        <v>856.17</v>
      </c>
    </row>
    <row r="15023" spans="1:8" customFormat="1" x14ac:dyDescent="0.25">
      <c r="A15023" t="str">
        <f>"5621047"</f>
        <v>5621047</v>
      </c>
      <c r="B15023" t="s">
        <v>14933</v>
      </c>
      <c r="C15023" t="s">
        <v>246</v>
      </c>
      <c r="D15023" s="21" t="s">
        <v>34</v>
      </c>
      <c r="E15023" s="21" t="s">
        <v>254</v>
      </c>
      <c r="F15023">
        <v>3560033</v>
      </c>
      <c r="G15023" t="s">
        <v>4927</v>
      </c>
      <c r="H15023" s="21">
        <v>856.17</v>
      </c>
    </row>
    <row r="15024" spans="1:8" customFormat="1" x14ac:dyDescent="0.25">
      <c r="A15024" t="str">
        <f>"651683"</f>
        <v>651683</v>
      </c>
      <c r="B15024" t="s">
        <v>13113</v>
      </c>
      <c r="C15024" t="s">
        <v>3010</v>
      </c>
      <c r="D15024" s="21" t="s">
        <v>34</v>
      </c>
      <c r="E15024" s="21" t="s">
        <v>254</v>
      </c>
      <c r="F15024">
        <v>11650026</v>
      </c>
      <c r="G15024" t="s">
        <v>13114</v>
      </c>
      <c r="H15024" s="21">
        <v>856.17</v>
      </c>
    </row>
    <row r="15025" spans="1:8" customFormat="1" x14ac:dyDescent="0.25">
      <c r="A15025" t="str">
        <f>"622363"</f>
        <v>622363</v>
      </c>
      <c r="B15025" t="s">
        <v>13827</v>
      </c>
      <c r="C15025" t="s">
        <v>639</v>
      </c>
      <c r="D15025" s="21" t="s">
        <v>34</v>
      </c>
      <c r="E15025" s="21" t="s">
        <v>254</v>
      </c>
      <c r="F15025">
        <v>11460010</v>
      </c>
      <c r="G15025" t="s">
        <v>654</v>
      </c>
      <c r="H15025" s="21">
        <v>856.17</v>
      </c>
    </row>
    <row r="15026" spans="1:8" customFormat="1" x14ac:dyDescent="0.25">
      <c r="A15026" t="str">
        <f>"624288"</f>
        <v>624288</v>
      </c>
      <c r="B15026" t="s">
        <v>1986</v>
      </c>
      <c r="C15026" t="s">
        <v>598</v>
      </c>
      <c r="D15026" s="21" t="s">
        <v>34</v>
      </c>
      <c r="E15026" s="21" t="s">
        <v>254</v>
      </c>
      <c r="F15026">
        <v>7620015</v>
      </c>
      <c r="G15026" t="s">
        <v>377</v>
      </c>
      <c r="H15026" s="21">
        <v>856.17</v>
      </c>
    </row>
    <row r="15027" spans="1:8" customFormat="1" x14ac:dyDescent="0.25">
      <c r="A15027" t="str">
        <f>"514618"</f>
        <v>514618</v>
      </c>
      <c r="B15027" t="s">
        <v>4851</v>
      </c>
      <c r="C15027" t="s">
        <v>269</v>
      </c>
      <c r="D15027" s="21" t="s">
        <v>34</v>
      </c>
      <c r="E15027" s="21" t="s">
        <v>71</v>
      </c>
      <c r="F15027">
        <v>6510082</v>
      </c>
      <c r="G15027" t="s">
        <v>11761</v>
      </c>
      <c r="H15027" s="21">
        <v>856.17</v>
      </c>
    </row>
    <row r="15028" spans="1:8" customFormat="1" x14ac:dyDescent="0.25">
      <c r="A15028" t="str">
        <f>"5936856"</f>
        <v>5936856</v>
      </c>
      <c r="B15028" t="s">
        <v>623</v>
      </c>
      <c r="C15028" t="s">
        <v>3456</v>
      </c>
      <c r="D15028" s="21" t="s">
        <v>34</v>
      </c>
      <c r="E15028" s="21" t="s">
        <v>71</v>
      </c>
      <c r="F15028">
        <v>7590072</v>
      </c>
      <c r="G15028" t="s">
        <v>4059</v>
      </c>
      <c r="H15028" s="21">
        <v>856.17</v>
      </c>
    </row>
    <row r="15029" spans="1:8" customFormat="1" x14ac:dyDescent="0.25">
      <c r="A15029" t="str">
        <f>"957044"</f>
        <v>957044</v>
      </c>
      <c r="B15029" t="s">
        <v>11936</v>
      </c>
      <c r="C15029" t="s">
        <v>249</v>
      </c>
      <c r="D15029" s="21" t="s">
        <v>34</v>
      </c>
      <c r="E15029" s="21" t="s">
        <v>71</v>
      </c>
      <c r="F15029">
        <v>8930113</v>
      </c>
      <c r="G15029" t="s">
        <v>368</v>
      </c>
      <c r="H15029" s="21">
        <v>856.04</v>
      </c>
    </row>
    <row r="15030" spans="1:8" customFormat="1" x14ac:dyDescent="0.25">
      <c r="A15030" t="str">
        <f>"418779"</f>
        <v>418779</v>
      </c>
      <c r="B15030" t="s">
        <v>10427</v>
      </c>
      <c r="C15030" t="s">
        <v>263</v>
      </c>
      <c r="D15030" s="21" t="s">
        <v>34</v>
      </c>
      <c r="E15030" s="21" t="s">
        <v>71</v>
      </c>
      <c r="F15030">
        <v>4410636</v>
      </c>
      <c r="G15030" t="s">
        <v>8111</v>
      </c>
      <c r="H15030" s="21">
        <v>856.04</v>
      </c>
    </row>
    <row r="15031" spans="1:8" customFormat="1" x14ac:dyDescent="0.25">
      <c r="A15031" t="str">
        <f>"6543"</f>
        <v>6543</v>
      </c>
      <c r="B15031" t="s">
        <v>15875</v>
      </c>
      <c r="C15031" t="s">
        <v>2479</v>
      </c>
      <c r="D15031" s="21" t="s">
        <v>34</v>
      </c>
      <c r="E15031" s="21" t="s">
        <v>1089</v>
      </c>
      <c r="F15031">
        <v>11650034</v>
      </c>
      <c r="G15031" t="s">
        <v>1989</v>
      </c>
      <c r="H15031" s="21">
        <v>855.92</v>
      </c>
    </row>
    <row r="15032" spans="1:8" customFormat="1" x14ac:dyDescent="0.25">
      <c r="A15032" t="str">
        <f>"9518926"</f>
        <v>9518926</v>
      </c>
      <c r="B15032" t="s">
        <v>27363</v>
      </c>
      <c r="C15032" t="s">
        <v>121</v>
      </c>
      <c r="D15032" s="21" t="s">
        <v>34</v>
      </c>
      <c r="E15032" s="21" t="s">
        <v>35</v>
      </c>
      <c r="F15032">
        <v>7600046</v>
      </c>
      <c r="G15032" t="s">
        <v>2604</v>
      </c>
      <c r="H15032" s="21">
        <v>855.92</v>
      </c>
    </row>
    <row r="15033" spans="1:8" customFormat="1" x14ac:dyDescent="0.25">
      <c r="A15033" t="str">
        <f>"339290"</f>
        <v>339290</v>
      </c>
      <c r="B15033" t="s">
        <v>13736</v>
      </c>
      <c r="C15033" t="s">
        <v>40</v>
      </c>
      <c r="D15033" s="21" t="s">
        <v>34</v>
      </c>
      <c r="E15033" s="21" t="s">
        <v>71</v>
      </c>
      <c r="F15033">
        <v>10330084</v>
      </c>
      <c r="G15033" t="s">
        <v>1124</v>
      </c>
      <c r="H15033" s="21">
        <v>855.79</v>
      </c>
    </row>
    <row r="15034" spans="1:8" customFormat="1" x14ac:dyDescent="0.25">
      <c r="A15034" t="str">
        <f>"228842"</f>
        <v>228842</v>
      </c>
      <c r="B15034" t="s">
        <v>11551</v>
      </c>
      <c r="C15034" t="s">
        <v>598</v>
      </c>
      <c r="D15034" s="21" t="s">
        <v>34</v>
      </c>
      <c r="E15034" s="21" t="s">
        <v>71</v>
      </c>
      <c r="F15034">
        <v>3220128</v>
      </c>
      <c r="G15034" t="s">
        <v>26938</v>
      </c>
      <c r="H15034" s="21">
        <v>855.79</v>
      </c>
    </row>
    <row r="15035" spans="1:8" customFormat="1" x14ac:dyDescent="0.25">
      <c r="A15035" t="str">
        <f>"4433002"</f>
        <v>4433002</v>
      </c>
      <c r="B15035" t="s">
        <v>15030</v>
      </c>
      <c r="C15035" t="s">
        <v>65</v>
      </c>
      <c r="D15035" s="21" t="s">
        <v>34</v>
      </c>
      <c r="E15035" s="21" t="s">
        <v>35</v>
      </c>
      <c r="F15035">
        <v>12440067</v>
      </c>
      <c r="G15035" t="s">
        <v>1723</v>
      </c>
      <c r="H15035" s="21">
        <v>855.67</v>
      </c>
    </row>
    <row r="15036" spans="1:8" customFormat="1" x14ac:dyDescent="0.25">
      <c r="A15036" t="str">
        <f>"363043"</f>
        <v>363043</v>
      </c>
      <c r="B15036" t="s">
        <v>12956</v>
      </c>
      <c r="C15036" t="s">
        <v>130</v>
      </c>
      <c r="D15036" s="21" t="s">
        <v>34</v>
      </c>
      <c r="E15036" s="21" t="s">
        <v>254</v>
      </c>
      <c r="F15036">
        <v>4360481</v>
      </c>
      <c r="G15036" t="s">
        <v>12957</v>
      </c>
      <c r="H15036" s="21">
        <v>855.67</v>
      </c>
    </row>
    <row r="15037" spans="1:8" customFormat="1" x14ac:dyDescent="0.25">
      <c r="A15037" t="str">
        <f>"6711855"</f>
        <v>6711855</v>
      </c>
      <c r="B15037" t="s">
        <v>13691</v>
      </c>
      <c r="C15037" t="s">
        <v>209</v>
      </c>
      <c r="D15037" s="21" t="s">
        <v>34</v>
      </c>
      <c r="E15037" s="21" t="s">
        <v>35</v>
      </c>
      <c r="F15037">
        <v>2250021</v>
      </c>
      <c r="G15037" t="s">
        <v>2352</v>
      </c>
      <c r="H15037" s="21">
        <v>855.67</v>
      </c>
    </row>
    <row r="15038" spans="1:8" customFormat="1" x14ac:dyDescent="0.25">
      <c r="A15038" t="str">
        <f>"184987"</f>
        <v>184987</v>
      </c>
      <c r="B15038" t="s">
        <v>14801</v>
      </c>
      <c r="C15038" t="s">
        <v>119</v>
      </c>
      <c r="D15038" s="21" t="s">
        <v>34</v>
      </c>
      <c r="E15038" s="21" t="s">
        <v>35</v>
      </c>
      <c r="F15038">
        <v>4180304</v>
      </c>
      <c r="G15038" t="s">
        <v>4003</v>
      </c>
      <c r="H15038" s="21">
        <v>855.67</v>
      </c>
    </row>
    <row r="15039" spans="1:8" customFormat="1" x14ac:dyDescent="0.25">
      <c r="A15039" t="str">
        <f>"1612193"</f>
        <v>1612193</v>
      </c>
      <c r="B15039" t="s">
        <v>971</v>
      </c>
      <c r="C15039" t="s">
        <v>1812</v>
      </c>
      <c r="D15039" s="21" t="s">
        <v>34</v>
      </c>
      <c r="E15039" s="21" t="s">
        <v>35</v>
      </c>
      <c r="F15039">
        <v>10160223</v>
      </c>
      <c r="G15039" t="s">
        <v>5750</v>
      </c>
      <c r="H15039" s="21">
        <v>855.67</v>
      </c>
    </row>
    <row r="15040" spans="1:8" customFormat="1" x14ac:dyDescent="0.25">
      <c r="A15040" t="str">
        <f>"3530792"</f>
        <v>3530792</v>
      </c>
      <c r="B15040" t="s">
        <v>2010</v>
      </c>
      <c r="C15040" t="s">
        <v>60</v>
      </c>
      <c r="D15040" s="21" t="s">
        <v>34</v>
      </c>
      <c r="E15040" s="21" t="s">
        <v>35</v>
      </c>
      <c r="F15040">
        <v>3350011</v>
      </c>
      <c r="G15040" t="s">
        <v>2404</v>
      </c>
      <c r="H15040" s="21">
        <v>855.67</v>
      </c>
    </row>
    <row r="15041" spans="1:8" customFormat="1" x14ac:dyDescent="0.25">
      <c r="A15041" t="str">
        <f>"3816719"</f>
        <v>3816719</v>
      </c>
      <c r="B15041" t="s">
        <v>3200</v>
      </c>
      <c r="C15041" t="s">
        <v>55</v>
      </c>
      <c r="D15041" s="21" t="s">
        <v>34</v>
      </c>
      <c r="E15041" s="21" t="s">
        <v>71</v>
      </c>
      <c r="F15041">
        <v>1380293</v>
      </c>
      <c r="G15041" t="s">
        <v>2103</v>
      </c>
      <c r="H15041" s="21">
        <v>855.67</v>
      </c>
    </row>
    <row r="15042" spans="1:8" customFormat="1" x14ac:dyDescent="0.25">
      <c r="A15042" t="str">
        <f>"513317"</f>
        <v>513317</v>
      </c>
      <c r="B15042" t="s">
        <v>13924</v>
      </c>
      <c r="C15042" t="s">
        <v>209</v>
      </c>
      <c r="D15042" s="21" t="s">
        <v>34</v>
      </c>
      <c r="E15042" s="21" t="s">
        <v>254</v>
      </c>
      <c r="F15042">
        <v>6510008</v>
      </c>
      <c r="G15042" t="s">
        <v>26622</v>
      </c>
      <c r="H15042" s="21">
        <v>855.67</v>
      </c>
    </row>
    <row r="15043" spans="1:8" customFormat="1" x14ac:dyDescent="0.25">
      <c r="A15043" t="str">
        <f>"80523"</f>
        <v>80523</v>
      </c>
      <c r="B15043" t="s">
        <v>12901</v>
      </c>
      <c r="C15043" t="s">
        <v>1605</v>
      </c>
      <c r="D15043" s="21" t="s">
        <v>34</v>
      </c>
      <c r="E15043" s="21" t="s">
        <v>254</v>
      </c>
      <c r="F15043">
        <v>7800011</v>
      </c>
      <c r="G15043" t="s">
        <v>2253</v>
      </c>
      <c r="H15043" s="21">
        <v>855.67</v>
      </c>
    </row>
    <row r="15044" spans="1:8" customFormat="1" x14ac:dyDescent="0.25">
      <c r="A15044" t="str">
        <f>"7716998"</f>
        <v>7716998</v>
      </c>
      <c r="B15044" t="s">
        <v>16474</v>
      </c>
      <c r="C15044" t="s">
        <v>631</v>
      </c>
      <c r="D15044" s="21" t="s">
        <v>34</v>
      </c>
      <c r="E15044" s="21" t="s">
        <v>71</v>
      </c>
      <c r="F15044">
        <v>8770865</v>
      </c>
      <c r="G15044" t="s">
        <v>1426</v>
      </c>
      <c r="H15044" s="21">
        <v>855.67</v>
      </c>
    </row>
    <row r="15045" spans="1:8" customFormat="1" x14ac:dyDescent="0.25">
      <c r="A15045" t="str">
        <f>"303144"</f>
        <v>303144</v>
      </c>
      <c r="B15045" t="s">
        <v>27364</v>
      </c>
      <c r="C15045" t="s">
        <v>8546</v>
      </c>
      <c r="D15045" s="21" t="s">
        <v>34</v>
      </c>
      <c r="E15045" s="21" t="s">
        <v>35</v>
      </c>
      <c r="F15045">
        <v>11300028</v>
      </c>
      <c r="G15045" t="s">
        <v>18879</v>
      </c>
      <c r="H15045" s="21">
        <v>855.67</v>
      </c>
    </row>
    <row r="15046" spans="1:8" customFormat="1" x14ac:dyDescent="0.25">
      <c r="A15046" t="str">
        <f>"2810754"</f>
        <v>2810754</v>
      </c>
      <c r="B15046" t="s">
        <v>9940</v>
      </c>
      <c r="C15046" t="s">
        <v>3934</v>
      </c>
      <c r="D15046" s="21" t="s">
        <v>34</v>
      </c>
      <c r="E15046" s="21" t="s">
        <v>35</v>
      </c>
      <c r="F15046">
        <v>4280617</v>
      </c>
      <c r="G15046" t="s">
        <v>8540</v>
      </c>
      <c r="H15046" s="21">
        <v>855.67</v>
      </c>
    </row>
    <row r="15047" spans="1:8" customFormat="1" x14ac:dyDescent="0.25">
      <c r="A15047" t="str">
        <f>"1611327"</f>
        <v>1611327</v>
      </c>
      <c r="B15047" t="s">
        <v>6418</v>
      </c>
      <c r="C15047" t="s">
        <v>285</v>
      </c>
      <c r="D15047" s="21" t="s">
        <v>34</v>
      </c>
      <c r="E15047" s="21" t="s">
        <v>35</v>
      </c>
      <c r="F15047">
        <v>10160085</v>
      </c>
      <c r="G15047" t="s">
        <v>10818</v>
      </c>
      <c r="H15047" s="21">
        <v>855.67</v>
      </c>
    </row>
    <row r="15048" spans="1:8" customFormat="1" x14ac:dyDescent="0.25">
      <c r="A15048" t="str">
        <f>"4937920"</f>
        <v>4937920</v>
      </c>
      <c r="B15048" t="s">
        <v>295</v>
      </c>
      <c r="C15048" t="s">
        <v>98</v>
      </c>
      <c r="D15048" s="21" t="s">
        <v>34</v>
      </c>
      <c r="E15048" s="21" t="s">
        <v>35</v>
      </c>
      <c r="F15048">
        <v>12440030</v>
      </c>
      <c r="G15048" t="s">
        <v>5524</v>
      </c>
      <c r="H15048" s="21">
        <v>855.67</v>
      </c>
    </row>
    <row r="15049" spans="1:8" customFormat="1" x14ac:dyDescent="0.25">
      <c r="A15049" t="str">
        <f>"219085"</f>
        <v>219085</v>
      </c>
      <c r="B15049" t="s">
        <v>13852</v>
      </c>
      <c r="C15049" t="s">
        <v>1665</v>
      </c>
      <c r="D15049" s="21" t="s">
        <v>34</v>
      </c>
      <c r="E15049" s="21" t="s">
        <v>35</v>
      </c>
      <c r="F15049">
        <v>2210059</v>
      </c>
      <c r="G15049" t="s">
        <v>3142</v>
      </c>
      <c r="H15049" s="21">
        <v>855.67</v>
      </c>
    </row>
    <row r="15050" spans="1:8" customFormat="1" x14ac:dyDescent="0.25">
      <c r="A15050" t="str">
        <f>"3528770"</f>
        <v>3528770</v>
      </c>
      <c r="B15050" t="s">
        <v>13195</v>
      </c>
      <c r="C15050" t="s">
        <v>65</v>
      </c>
      <c r="D15050" s="21" t="s">
        <v>34</v>
      </c>
      <c r="E15050" s="21" t="s">
        <v>35</v>
      </c>
      <c r="F15050">
        <v>3350199</v>
      </c>
      <c r="G15050" t="s">
        <v>5603</v>
      </c>
      <c r="H15050" s="21">
        <v>855.67</v>
      </c>
    </row>
    <row r="15051" spans="1:8" customFormat="1" x14ac:dyDescent="0.25">
      <c r="A15051" t="str">
        <f>"5714947"</f>
        <v>5714947</v>
      </c>
      <c r="B15051" t="s">
        <v>12909</v>
      </c>
      <c r="C15051" t="s">
        <v>812</v>
      </c>
      <c r="D15051" s="21" t="s">
        <v>34</v>
      </c>
      <c r="E15051" s="21" t="s">
        <v>1089</v>
      </c>
      <c r="F15051">
        <v>6570019</v>
      </c>
      <c r="G15051" t="s">
        <v>1510</v>
      </c>
      <c r="H15051" s="21">
        <v>855.67</v>
      </c>
    </row>
    <row r="15052" spans="1:8" customFormat="1" x14ac:dyDescent="0.25">
      <c r="A15052" t="str">
        <f>"706071"</f>
        <v>706071</v>
      </c>
      <c r="B15052" t="s">
        <v>14187</v>
      </c>
      <c r="C15052" t="s">
        <v>14188</v>
      </c>
      <c r="D15052" s="21" t="s">
        <v>34</v>
      </c>
      <c r="E15052" s="21" t="s">
        <v>35</v>
      </c>
      <c r="F15052">
        <v>2700009</v>
      </c>
      <c r="G15052" t="s">
        <v>2156</v>
      </c>
      <c r="H15052" s="21">
        <v>855.67</v>
      </c>
    </row>
    <row r="15053" spans="1:8" customFormat="1" x14ac:dyDescent="0.25">
      <c r="A15053" t="str">
        <f>"797354"</f>
        <v>797354</v>
      </c>
      <c r="B15053" t="s">
        <v>9730</v>
      </c>
      <c r="C15053" t="s">
        <v>269</v>
      </c>
      <c r="D15053" s="21" t="s">
        <v>34</v>
      </c>
      <c r="E15053" s="21" t="s">
        <v>71</v>
      </c>
      <c r="F15053">
        <v>10790228</v>
      </c>
      <c r="G15053" t="s">
        <v>6692</v>
      </c>
      <c r="H15053" s="21">
        <v>855.67</v>
      </c>
    </row>
    <row r="15054" spans="1:8" customFormat="1" x14ac:dyDescent="0.25">
      <c r="A15054" t="str">
        <f>"068915"</f>
        <v>068915</v>
      </c>
      <c r="B15054" t="s">
        <v>13022</v>
      </c>
      <c r="C15054" t="s">
        <v>263</v>
      </c>
      <c r="D15054" s="21" t="s">
        <v>34</v>
      </c>
      <c r="E15054" s="21" t="s">
        <v>71</v>
      </c>
      <c r="F15054">
        <v>13060101</v>
      </c>
      <c r="G15054" t="s">
        <v>5947</v>
      </c>
      <c r="H15054" s="21">
        <v>855.67</v>
      </c>
    </row>
    <row r="15055" spans="1:8" customFormat="1" x14ac:dyDescent="0.25">
      <c r="A15055" t="str">
        <f>"574828"</f>
        <v>574828</v>
      </c>
      <c r="B15055" t="s">
        <v>13133</v>
      </c>
      <c r="C15055" t="s">
        <v>249</v>
      </c>
      <c r="D15055" s="21" t="s">
        <v>34</v>
      </c>
      <c r="E15055" s="21" t="s">
        <v>35</v>
      </c>
      <c r="F15055">
        <v>6570137</v>
      </c>
      <c r="G15055" t="s">
        <v>13134</v>
      </c>
      <c r="H15055" s="21">
        <v>855.67</v>
      </c>
    </row>
    <row r="15056" spans="1:8" customFormat="1" x14ac:dyDescent="0.25">
      <c r="A15056" t="str">
        <f>"833168"</f>
        <v>833168</v>
      </c>
      <c r="B15056" t="s">
        <v>17480</v>
      </c>
      <c r="C15056" t="s">
        <v>98</v>
      </c>
      <c r="D15056" s="21" t="s">
        <v>34</v>
      </c>
      <c r="E15056" s="21" t="s">
        <v>71</v>
      </c>
      <c r="F15056">
        <v>13830067</v>
      </c>
      <c r="G15056" t="s">
        <v>13428</v>
      </c>
      <c r="H15056" s="21">
        <v>855.67</v>
      </c>
    </row>
    <row r="15057" spans="1:8" customFormat="1" x14ac:dyDescent="0.25">
      <c r="A15057" t="str">
        <f>"58776"</f>
        <v>58776</v>
      </c>
      <c r="B15057" t="s">
        <v>8387</v>
      </c>
      <c r="C15057" t="s">
        <v>239</v>
      </c>
      <c r="D15057" s="21" t="s">
        <v>34</v>
      </c>
      <c r="E15057" s="21" t="s">
        <v>1089</v>
      </c>
      <c r="F15057">
        <v>2580067</v>
      </c>
      <c r="G15057" t="s">
        <v>8999</v>
      </c>
      <c r="H15057" s="21">
        <v>855.67</v>
      </c>
    </row>
    <row r="15058" spans="1:8" customFormat="1" x14ac:dyDescent="0.25">
      <c r="A15058" t="str">
        <f>"3710601"</f>
        <v>3710601</v>
      </c>
      <c r="B15058" t="s">
        <v>13894</v>
      </c>
      <c r="C15058" t="s">
        <v>3217</v>
      </c>
      <c r="D15058" s="21" t="s">
        <v>34</v>
      </c>
      <c r="E15058" s="21" t="s">
        <v>35</v>
      </c>
      <c r="F15058">
        <v>3350016</v>
      </c>
      <c r="G15058" t="s">
        <v>133</v>
      </c>
      <c r="H15058" s="21">
        <v>855.54</v>
      </c>
    </row>
    <row r="15059" spans="1:8" customFormat="1" x14ac:dyDescent="0.25">
      <c r="A15059" t="str">
        <f>"894162"</f>
        <v>894162</v>
      </c>
      <c r="B15059" t="s">
        <v>15542</v>
      </c>
      <c r="C15059" t="s">
        <v>328</v>
      </c>
      <c r="D15059" s="21" t="s">
        <v>34</v>
      </c>
      <c r="E15059" s="21" t="s">
        <v>71</v>
      </c>
      <c r="F15059">
        <v>2890058</v>
      </c>
      <c r="G15059" t="s">
        <v>13102</v>
      </c>
      <c r="H15059" s="21">
        <v>855.42</v>
      </c>
    </row>
    <row r="15060" spans="1:8" customFormat="1" x14ac:dyDescent="0.25">
      <c r="A15060" t="str">
        <f>"831266"</f>
        <v>831266</v>
      </c>
      <c r="B15060" t="s">
        <v>27365</v>
      </c>
      <c r="C15060" t="s">
        <v>1132</v>
      </c>
      <c r="D15060" s="21" t="s">
        <v>34</v>
      </c>
      <c r="E15060" s="21" t="s">
        <v>71</v>
      </c>
      <c r="F15060">
        <v>6880086</v>
      </c>
      <c r="G15060" t="s">
        <v>3245</v>
      </c>
      <c r="H15060" s="21">
        <v>855.42</v>
      </c>
    </row>
    <row r="15061" spans="1:8" customFormat="1" x14ac:dyDescent="0.25">
      <c r="A15061" t="str">
        <f>"195031"</f>
        <v>195031</v>
      </c>
      <c r="B15061" t="s">
        <v>638</v>
      </c>
      <c r="C15061" t="s">
        <v>4896</v>
      </c>
      <c r="D15061" s="21" t="s">
        <v>34</v>
      </c>
      <c r="E15061" s="21" t="s">
        <v>254</v>
      </c>
      <c r="F15061">
        <v>10190096</v>
      </c>
      <c r="G15061" t="s">
        <v>3949</v>
      </c>
      <c r="H15061" s="21">
        <v>855.42</v>
      </c>
    </row>
    <row r="15062" spans="1:8" customFormat="1" x14ac:dyDescent="0.25">
      <c r="A15062" t="str">
        <f>"726718"</f>
        <v>726718</v>
      </c>
      <c r="B15062" t="s">
        <v>8044</v>
      </c>
      <c r="C15062" t="s">
        <v>253</v>
      </c>
      <c r="D15062" s="21" t="s">
        <v>34</v>
      </c>
      <c r="E15062" s="21" t="s">
        <v>254</v>
      </c>
      <c r="F15062">
        <v>4450576</v>
      </c>
      <c r="G15062" t="s">
        <v>26857</v>
      </c>
      <c r="H15062" s="21">
        <v>855.42</v>
      </c>
    </row>
    <row r="15063" spans="1:8" customFormat="1" x14ac:dyDescent="0.25">
      <c r="A15063" t="str">
        <f>"3328536"</f>
        <v>3328536</v>
      </c>
      <c r="B15063" t="s">
        <v>6038</v>
      </c>
      <c r="C15063" t="s">
        <v>169</v>
      </c>
      <c r="D15063" s="21" t="s">
        <v>34</v>
      </c>
      <c r="E15063" s="21" t="s">
        <v>71</v>
      </c>
      <c r="F15063">
        <v>10330099</v>
      </c>
      <c r="G15063" t="s">
        <v>10670</v>
      </c>
      <c r="H15063" s="21">
        <v>855.29</v>
      </c>
    </row>
    <row r="15064" spans="1:8" customFormat="1" x14ac:dyDescent="0.25">
      <c r="A15064" t="str">
        <f>"4426456"</f>
        <v>4426456</v>
      </c>
      <c r="B15064" t="s">
        <v>1320</v>
      </c>
      <c r="C15064" t="s">
        <v>239</v>
      </c>
      <c r="D15064" s="21" t="s">
        <v>34</v>
      </c>
      <c r="E15064" s="21" t="s">
        <v>71</v>
      </c>
      <c r="F15064">
        <v>12440039</v>
      </c>
      <c r="G15064" t="s">
        <v>9650</v>
      </c>
      <c r="H15064" s="21">
        <v>855.17</v>
      </c>
    </row>
    <row r="15065" spans="1:8" customFormat="1" x14ac:dyDescent="0.25">
      <c r="A15065" t="str">
        <f>"3333702"</f>
        <v>3333702</v>
      </c>
      <c r="B15065" t="s">
        <v>2447</v>
      </c>
      <c r="C15065" t="s">
        <v>156</v>
      </c>
      <c r="D15065" s="21" t="s">
        <v>34</v>
      </c>
      <c r="E15065" s="21" t="s">
        <v>71</v>
      </c>
      <c r="F15065">
        <v>10330043</v>
      </c>
      <c r="G15065" t="s">
        <v>1703</v>
      </c>
      <c r="H15065" s="21">
        <v>855.17</v>
      </c>
    </row>
    <row r="15066" spans="1:8" customFormat="1" x14ac:dyDescent="0.25">
      <c r="A15066" t="str">
        <f>"5313348"</f>
        <v>5313348</v>
      </c>
      <c r="B15066" t="s">
        <v>13844</v>
      </c>
      <c r="C15066" t="s">
        <v>269</v>
      </c>
      <c r="D15066" s="21" t="s">
        <v>34</v>
      </c>
      <c r="E15066" s="21" t="s">
        <v>35</v>
      </c>
      <c r="F15066">
        <v>12530147</v>
      </c>
      <c r="G15066" t="s">
        <v>1851</v>
      </c>
      <c r="H15066" s="21">
        <v>855.17</v>
      </c>
    </row>
    <row r="15067" spans="1:8" customFormat="1" x14ac:dyDescent="0.25">
      <c r="A15067" t="str">
        <f>"635721"</f>
        <v>635721</v>
      </c>
      <c r="B15067" t="s">
        <v>13653</v>
      </c>
      <c r="C15067" t="s">
        <v>462</v>
      </c>
      <c r="D15067" s="21" t="s">
        <v>34</v>
      </c>
      <c r="E15067" s="21" t="s">
        <v>71</v>
      </c>
      <c r="F15067">
        <v>1630184</v>
      </c>
      <c r="G15067" t="s">
        <v>26702</v>
      </c>
      <c r="H15067" s="21">
        <v>855.17</v>
      </c>
    </row>
    <row r="15068" spans="1:8" customFormat="1" x14ac:dyDescent="0.25">
      <c r="A15068" t="str">
        <f>"4433006"</f>
        <v>4433006</v>
      </c>
      <c r="B15068" t="s">
        <v>9789</v>
      </c>
      <c r="C15068" t="s">
        <v>33</v>
      </c>
      <c r="D15068" s="21" t="s">
        <v>34</v>
      </c>
      <c r="E15068" s="21" t="s">
        <v>71</v>
      </c>
      <c r="F15068">
        <v>12440141</v>
      </c>
      <c r="G15068" t="s">
        <v>3234</v>
      </c>
      <c r="H15068" s="21">
        <v>855.17</v>
      </c>
    </row>
    <row r="15069" spans="1:8" customFormat="1" x14ac:dyDescent="0.25">
      <c r="A15069" t="str">
        <f>"3715964"</f>
        <v>3715964</v>
      </c>
      <c r="B15069" t="s">
        <v>27366</v>
      </c>
      <c r="C15069" t="s">
        <v>269</v>
      </c>
      <c r="D15069" s="21" t="s">
        <v>34</v>
      </c>
      <c r="E15069" s="21" t="s">
        <v>71</v>
      </c>
      <c r="F15069">
        <v>4370013</v>
      </c>
      <c r="G15069" t="s">
        <v>7097</v>
      </c>
      <c r="H15069" s="21">
        <v>855.17</v>
      </c>
    </row>
    <row r="15070" spans="1:8" customFormat="1" x14ac:dyDescent="0.25">
      <c r="A15070" t="str">
        <f>"366290"</f>
        <v>366290</v>
      </c>
      <c r="B15070" t="s">
        <v>13675</v>
      </c>
      <c r="C15070" t="s">
        <v>285</v>
      </c>
      <c r="D15070" s="21" t="s">
        <v>34</v>
      </c>
      <c r="E15070" s="21" t="s">
        <v>35</v>
      </c>
      <c r="F15070">
        <v>4360315</v>
      </c>
      <c r="G15070" t="s">
        <v>6888</v>
      </c>
      <c r="H15070" s="21">
        <v>855.17</v>
      </c>
    </row>
    <row r="15071" spans="1:8" customFormat="1" x14ac:dyDescent="0.25">
      <c r="A15071" t="str">
        <f>"37681"</f>
        <v>37681</v>
      </c>
      <c r="B15071" t="s">
        <v>623</v>
      </c>
      <c r="C15071" t="s">
        <v>415</v>
      </c>
      <c r="D15071" s="21" t="s">
        <v>34</v>
      </c>
      <c r="E15071" s="21" t="s">
        <v>254</v>
      </c>
      <c r="F15071">
        <v>4370694</v>
      </c>
      <c r="G15071" t="s">
        <v>989</v>
      </c>
      <c r="H15071" s="21">
        <v>855.17</v>
      </c>
    </row>
    <row r="15072" spans="1:8" customFormat="1" x14ac:dyDescent="0.25">
      <c r="A15072" t="str">
        <f>"153556"</f>
        <v>153556</v>
      </c>
      <c r="B15072" t="s">
        <v>14219</v>
      </c>
      <c r="C15072" t="s">
        <v>87</v>
      </c>
      <c r="D15072" s="21" t="s">
        <v>34</v>
      </c>
      <c r="E15072" s="21" t="s">
        <v>35</v>
      </c>
      <c r="F15072">
        <v>1150148</v>
      </c>
      <c r="G15072" t="s">
        <v>7485</v>
      </c>
      <c r="H15072" s="21">
        <v>855.17</v>
      </c>
    </row>
    <row r="15073" spans="1:8" customFormat="1" x14ac:dyDescent="0.25">
      <c r="A15073" t="str">
        <f>"5923109"</f>
        <v>5923109</v>
      </c>
      <c r="B15073" t="s">
        <v>10532</v>
      </c>
      <c r="C15073" t="s">
        <v>3456</v>
      </c>
      <c r="D15073" s="21" t="s">
        <v>34</v>
      </c>
      <c r="E15073" s="21" t="s">
        <v>35</v>
      </c>
      <c r="F15073">
        <v>7590018</v>
      </c>
      <c r="G15073" t="s">
        <v>2807</v>
      </c>
      <c r="H15073" s="21">
        <v>855.17</v>
      </c>
    </row>
    <row r="15074" spans="1:8" customFormat="1" x14ac:dyDescent="0.25">
      <c r="A15074" t="str">
        <f>"0110366"</f>
        <v>0110366</v>
      </c>
      <c r="B15074" t="s">
        <v>9785</v>
      </c>
      <c r="C15074" t="s">
        <v>206</v>
      </c>
      <c r="D15074" s="21" t="s">
        <v>34</v>
      </c>
      <c r="E15074" s="21" t="s">
        <v>35</v>
      </c>
      <c r="F15074">
        <v>1010023</v>
      </c>
      <c r="G15074" t="s">
        <v>2174</v>
      </c>
      <c r="H15074" s="21">
        <v>855.17</v>
      </c>
    </row>
    <row r="15075" spans="1:8" customFormat="1" x14ac:dyDescent="0.25">
      <c r="A15075" t="str">
        <f>"9123065"</f>
        <v>9123065</v>
      </c>
      <c r="B15075" t="s">
        <v>1659</v>
      </c>
      <c r="C15075" t="s">
        <v>528</v>
      </c>
      <c r="D15075" s="21" t="s">
        <v>34</v>
      </c>
      <c r="E15075" s="21" t="s">
        <v>71</v>
      </c>
      <c r="F15075">
        <v>8921182</v>
      </c>
      <c r="G15075" t="s">
        <v>26954</v>
      </c>
      <c r="H15075" s="21">
        <v>855.17</v>
      </c>
    </row>
    <row r="15076" spans="1:8" customFormat="1" x14ac:dyDescent="0.25">
      <c r="A15076" t="str">
        <f>"99119"</f>
        <v>99119</v>
      </c>
      <c r="B15076" t="s">
        <v>13524</v>
      </c>
      <c r="C15076" t="s">
        <v>285</v>
      </c>
      <c r="D15076" s="21" t="s">
        <v>34</v>
      </c>
      <c r="E15076" s="21" t="s">
        <v>254</v>
      </c>
      <c r="F15076">
        <v>5980003</v>
      </c>
      <c r="G15076" t="s">
        <v>1746</v>
      </c>
      <c r="H15076" s="21">
        <v>855.04</v>
      </c>
    </row>
    <row r="15077" spans="1:8" customFormat="1" x14ac:dyDescent="0.25">
      <c r="A15077" t="str">
        <f>"167326"</f>
        <v>167326</v>
      </c>
      <c r="B15077" t="s">
        <v>12350</v>
      </c>
      <c r="C15077" t="s">
        <v>33</v>
      </c>
      <c r="D15077" s="21" t="s">
        <v>34</v>
      </c>
      <c r="E15077" s="21" t="s">
        <v>71</v>
      </c>
      <c r="F15077">
        <v>10160059</v>
      </c>
      <c r="G15077" t="s">
        <v>6791</v>
      </c>
      <c r="H15077" s="21">
        <v>855.04</v>
      </c>
    </row>
    <row r="15078" spans="1:8" customFormat="1" x14ac:dyDescent="0.25">
      <c r="A15078" t="str">
        <f>"5323571"</f>
        <v>5323571</v>
      </c>
      <c r="B15078" t="s">
        <v>11221</v>
      </c>
      <c r="C15078" t="s">
        <v>2475</v>
      </c>
      <c r="D15078" s="21" t="s">
        <v>34</v>
      </c>
      <c r="E15078" s="21" t="s">
        <v>71</v>
      </c>
      <c r="F15078">
        <v>12538903</v>
      </c>
      <c r="G15078" t="s">
        <v>6439</v>
      </c>
      <c r="H15078" s="21">
        <v>854.92</v>
      </c>
    </row>
    <row r="15079" spans="1:8" customFormat="1" x14ac:dyDescent="0.25">
      <c r="A15079" t="str">
        <f>"774586"</f>
        <v>774586</v>
      </c>
      <c r="B15079" t="s">
        <v>9461</v>
      </c>
      <c r="C15079" t="s">
        <v>43</v>
      </c>
      <c r="D15079" s="21" t="s">
        <v>34</v>
      </c>
      <c r="E15079" s="21" t="s">
        <v>35</v>
      </c>
      <c r="F15079">
        <v>8771426</v>
      </c>
      <c r="G15079" t="s">
        <v>844</v>
      </c>
      <c r="H15079" s="21">
        <v>854.92</v>
      </c>
    </row>
    <row r="15080" spans="1:8" customFormat="1" x14ac:dyDescent="0.25">
      <c r="A15080" t="str">
        <f>"4933153"</f>
        <v>4933153</v>
      </c>
      <c r="B15080" t="s">
        <v>8713</v>
      </c>
      <c r="C15080" t="s">
        <v>87</v>
      </c>
      <c r="D15080" s="21" t="s">
        <v>34</v>
      </c>
      <c r="E15080" s="21" t="s">
        <v>35</v>
      </c>
      <c r="F15080">
        <v>12490021</v>
      </c>
      <c r="G15080" t="s">
        <v>4592</v>
      </c>
      <c r="H15080" s="21">
        <v>854.92</v>
      </c>
    </row>
    <row r="15081" spans="1:8" customFormat="1" x14ac:dyDescent="0.25">
      <c r="A15081" t="str">
        <f>"087322"</f>
        <v>087322</v>
      </c>
      <c r="B15081" t="s">
        <v>14587</v>
      </c>
      <c r="C15081" t="s">
        <v>1199</v>
      </c>
      <c r="D15081" s="21" t="s">
        <v>34</v>
      </c>
      <c r="E15081" s="21" t="s">
        <v>71</v>
      </c>
      <c r="F15081">
        <v>1740020</v>
      </c>
      <c r="G15081" t="s">
        <v>881</v>
      </c>
      <c r="H15081" s="21">
        <v>854.92</v>
      </c>
    </row>
    <row r="15082" spans="1:8" customFormat="1" x14ac:dyDescent="0.25">
      <c r="A15082" t="str">
        <f>"197051"</f>
        <v>197051</v>
      </c>
      <c r="B15082" t="s">
        <v>12648</v>
      </c>
      <c r="C15082" t="s">
        <v>2479</v>
      </c>
      <c r="D15082" s="21" t="s">
        <v>34</v>
      </c>
      <c r="E15082" s="21" t="s">
        <v>71</v>
      </c>
      <c r="F15082">
        <v>10190073</v>
      </c>
      <c r="G15082" t="s">
        <v>2366</v>
      </c>
      <c r="H15082" s="21">
        <v>854.79</v>
      </c>
    </row>
    <row r="15083" spans="1:8" customFormat="1" x14ac:dyDescent="0.25">
      <c r="A15083" t="str">
        <f>"7634833"</f>
        <v>7634833</v>
      </c>
      <c r="B15083" t="s">
        <v>9265</v>
      </c>
      <c r="C15083" t="s">
        <v>209</v>
      </c>
      <c r="D15083" s="21" t="s">
        <v>34</v>
      </c>
      <c r="E15083" s="21" t="s">
        <v>35</v>
      </c>
      <c r="F15083">
        <v>9270095</v>
      </c>
      <c r="G15083" t="s">
        <v>1681</v>
      </c>
      <c r="H15083" s="21">
        <v>854.67</v>
      </c>
    </row>
    <row r="15084" spans="1:8" customFormat="1" x14ac:dyDescent="0.25">
      <c r="A15084" t="str">
        <f>"86718"</f>
        <v>86718</v>
      </c>
      <c r="B15084" t="s">
        <v>13219</v>
      </c>
      <c r="C15084" t="s">
        <v>40</v>
      </c>
      <c r="D15084" s="21" t="s">
        <v>34</v>
      </c>
      <c r="E15084" s="21" t="s">
        <v>254</v>
      </c>
      <c r="F15084">
        <v>10860024</v>
      </c>
      <c r="G15084" t="s">
        <v>1770</v>
      </c>
      <c r="H15084" s="21">
        <v>854.67</v>
      </c>
    </row>
    <row r="15085" spans="1:8" customFormat="1" x14ac:dyDescent="0.25">
      <c r="A15085" t="str">
        <f>"199795"</f>
        <v>199795</v>
      </c>
      <c r="B15085" t="s">
        <v>1451</v>
      </c>
      <c r="C15085" t="s">
        <v>65</v>
      </c>
      <c r="D15085" s="21" t="s">
        <v>34</v>
      </c>
      <c r="E15085" s="21" t="s">
        <v>35</v>
      </c>
      <c r="F15085">
        <v>10190144</v>
      </c>
      <c r="G15085" t="s">
        <v>8165</v>
      </c>
      <c r="H15085" s="21">
        <v>854.67</v>
      </c>
    </row>
    <row r="15086" spans="1:8" customFormat="1" x14ac:dyDescent="0.25">
      <c r="A15086" t="str">
        <f>"5926268"</f>
        <v>5926268</v>
      </c>
      <c r="B15086" t="s">
        <v>12999</v>
      </c>
      <c r="C15086" t="s">
        <v>2984</v>
      </c>
      <c r="D15086" s="21" t="s">
        <v>34</v>
      </c>
      <c r="E15086" s="21" t="s">
        <v>71</v>
      </c>
      <c r="F15086">
        <v>7590072</v>
      </c>
      <c r="G15086" t="s">
        <v>4059</v>
      </c>
      <c r="H15086" s="21">
        <v>854.67</v>
      </c>
    </row>
    <row r="15087" spans="1:8" customFormat="1" x14ac:dyDescent="0.25">
      <c r="A15087" t="str">
        <f>"5619749"</f>
        <v>5619749</v>
      </c>
      <c r="B15087" t="s">
        <v>15138</v>
      </c>
      <c r="C15087" t="s">
        <v>206</v>
      </c>
      <c r="D15087" s="21" t="s">
        <v>34</v>
      </c>
      <c r="E15087" s="21" t="s">
        <v>35</v>
      </c>
      <c r="F15087">
        <v>3560086</v>
      </c>
      <c r="G15087" t="s">
        <v>15139</v>
      </c>
      <c r="H15087" s="21">
        <v>854.67</v>
      </c>
    </row>
    <row r="15088" spans="1:8" customFormat="1" x14ac:dyDescent="0.25">
      <c r="A15088" t="str">
        <f>"858395"</f>
        <v>858395</v>
      </c>
      <c r="B15088" t="s">
        <v>1885</v>
      </c>
      <c r="C15088" t="s">
        <v>33</v>
      </c>
      <c r="D15088" s="21" t="s">
        <v>34</v>
      </c>
      <c r="E15088" s="21" t="s">
        <v>71</v>
      </c>
      <c r="F15088">
        <v>12850016</v>
      </c>
      <c r="G15088" t="s">
        <v>26554</v>
      </c>
      <c r="H15088" s="21">
        <v>854.67</v>
      </c>
    </row>
    <row r="15089" spans="1:8" customFormat="1" x14ac:dyDescent="0.25">
      <c r="A15089" t="str">
        <f>"9416519"</f>
        <v>9416519</v>
      </c>
      <c r="B15089" t="s">
        <v>13848</v>
      </c>
      <c r="C15089" t="s">
        <v>412</v>
      </c>
      <c r="D15089" s="21" t="s">
        <v>34</v>
      </c>
      <c r="E15089" s="21" t="s">
        <v>254</v>
      </c>
      <c r="F15089">
        <v>10400001</v>
      </c>
      <c r="G15089" t="s">
        <v>609</v>
      </c>
      <c r="H15089" s="21">
        <v>854.67</v>
      </c>
    </row>
    <row r="15090" spans="1:8" customFormat="1" x14ac:dyDescent="0.25">
      <c r="A15090" t="str">
        <f>"4524874"</f>
        <v>4524874</v>
      </c>
      <c r="B15090" t="s">
        <v>2656</v>
      </c>
      <c r="C15090" t="s">
        <v>209</v>
      </c>
      <c r="D15090" s="21" t="s">
        <v>34</v>
      </c>
      <c r="E15090" s="21" t="s">
        <v>71</v>
      </c>
      <c r="F15090">
        <v>4450571</v>
      </c>
      <c r="G15090" t="s">
        <v>188</v>
      </c>
      <c r="H15090" s="21">
        <v>854.67</v>
      </c>
    </row>
    <row r="15091" spans="1:8" customFormat="1" x14ac:dyDescent="0.25">
      <c r="A15091" t="str">
        <f>"748513"</f>
        <v>748513</v>
      </c>
      <c r="B15091" t="s">
        <v>589</v>
      </c>
      <c r="C15091" t="s">
        <v>65</v>
      </c>
      <c r="D15091" s="21" t="s">
        <v>34</v>
      </c>
      <c r="E15091" s="21" t="s">
        <v>35</v>
      </c>
      <c r="F15091">
        <v>10170028</v>
      </c>
      <c r="G15091" t="s">
        <v>649</v>
      </c>
      <c r="H15091" s="21">
        <v>854.67</v>
      </c>
    </row>
    <row r="15092" spans="1:8" customFormat="1" x14ac:dyDescent="0.25">
      <c r="A15092" t="str">
        <f>"9241870"</f>
        <v>9241870</v>
      </c>
      <c r="B15092" t="s">
        <v>27367</v>
      </c>
      <c r="C15092" t="s">
        <v>139</v>
      </c>
      <c r="D15092" s="21" t="s">
        <v>34</v>
      </c>
      <c r="E15092" s="21" t="s">
        <v>35</v>
      </c>
      <c r="F15092">
        <v>8920505</v>
      </c>
      <c r="G15092" t="s">
        <v>12288</v>
      </c>
      <c r="H15092" s="21">
        <v>854.67</v>
      </c>
    </row>
    <row r="15093" spans="1:8" customFormat="1" x14ac:dyDescent="0.25">
      <c r="A15093" t="str">
        <f>"378628"</f>
        <v>378628</v>
      </c>
      <c r="B15093" t="s">
        <v>12591</v>
      </c>
      <c r="C15093" t="s">
        <v>65</v>
      </c>
      <c r="D15093" s="21" t="s">
        <v>34</v>
      </c>
      <c r="E15093" s="21" t="s">
        <v>35</v>
      </c>
      <c r="F15093">
        <v>4370349</v>
      </c>
      <c r="G15093" t="s">
        <v>2287</v>
      </c>
      <c r="H15093" s="21">
        <v>854.67</v>
      </c>
    </row>
    <row r="15094" spans="1:8" customFormat="1" x14ac:dyDescent="0.25">
      <c r="A15094" t="str">
        <f>"088362"</f>
        <v>088362</v>
      </c>
      <c r="B15094" t="s">
        <v>12384</v>
      </c>
      <c r="C15094" t="s">
        <v>187</v>
      </c>
      <c r="D15094" s="21" t="s">
        <v>34</v>
      </c>
      <c r="E15094" s="21" t="s">
        <v>35</v>
      </c>
      <c r="F15094">
        <v>6080072</v>
      </c>
      <c r="G15094" t="s">
        <v>6765</v>
      </c>
      <c r="H15094" s="21">
        <v>854.67</v>
      </c>
    </row>
    <row r="15095" spans="1:8" customFormat="1" x14ac:dyDescent="0.25">
      <c r="A15095" t="str">
        <f>"743696"</f>
        <v>743696</v>
      </c>
      <c r="B15095" t="s">
        <v>2006</v>
      </c>
      <c r="C15095" t="s">
        <v>598</v>
      </c>
      <c r="D15095" s="21" t="s">
        <v>34</v>
      </c>
      <c r="E15095" s="21" t="s">
        <v>6185</v>
      </c>
      <c r="F15095">
        <v>1380136</v>
      </c>
      <c r="G15095" t="s">
        <v>1047</v>
      </c>
      <c r="H15095" s="21">
        <v>854.67</v>
      </c>
    </row>
    <row r="15096" spans="1:8" customFormat="1" x14ac:dyDescent="0.25">
      <c r="A15096" t="str">
        <f>"2713537"</f>
        <v>2713537</v>
      </c>
      <c r="B15096" t="s">
        <v>7814</v>
      </c>
      <c r="C15096" t="s">
        <v>825</v>
      </c>
      <c r="D15096" s="21" t="s">
        <v>34</v>
      </c>
      <c r="E15096" s="21" t="s">
        <v>35</v>
      </c>
      <c r="F15096">
        <v>9270071</v>
      </c>
      <c r="G15096" t="s">
        <v>7815</v>
      </c>
      <c r="H15096" s="21">
        <v>854.67</v>
      </c>
    </row>
    <row r="15097" spans="1:8" customFormat="1" x14ac:dyDescent="0.25">
      <c r="A15097" t="str">
        <f>"711612"</f>
        <v>711612</v>
      </c>
      <c r="B15097" t="s">
        <v>12413</v>
      </c>
      <c r="C15097" t="s">
        <v>198</v>
      </c>
      <c r="D15097" s="21" t="s">
        <v>34</v>
      </c>
      <c r="E15097" s="21" t="s">
        <v>254</v>
      </c>
      <c r="F15097">
        <v>2710067</v>
      </c>
      <c r="G15097" t="s">
        <v>284</v>
      </c>
      <c r="H15097" s="21">
        <v>854.67</v>
      </c>
    </row>
    <row r="15098" spans="1:8" customFormat="1" x14ac:dyDescent="0.25">
      <c r="A15098" t="str">
        <f>"901782"</f>
        <v>901782</v>
      </c>
      <c r="B15098" t="s">
        <v>13135</v>
      </c>
      <c r="C15098" t="s">
        <v>60</v>
      </c>
      <c r="D15098" s="21" t="s">
        <v>34</v>
      </c>
      <c r="E15098" s="21" t="s">
        <v>71</v>
      </c>
      <c r="F15098">
        <v>2700075</v>
      </c>
      <c r="G15098" t="s">
        <v>10511</v>
      </c>
      <c r="H15098" s="21">
        <v>854.67</v>
      </c>
    </row>
    <row r="15099" spans="1:8" customFormat="1" x14ac:dyDescent="0.25">
      <c r="A15099" t="str">
        <f>"8513475"</f>
        <v>8513475</v>
      </c>
      <c r="B15099" t="s">
        <v>2842</v>
      </c>
      <c r="C15099" t="s">
        <v>130</v>
      </c>
      <c r="D15099" s="21" t="s">
        <v>34</v>
      </c>
      <c r="E15099" s="21" t="s">
        <v>71</v>
      </c>
      <c r="F15099">
        <v>12850008</v>
      </c>
      <c r="G15099" t="s">
        <v>4248</v>
      </c>
      <c r="H15099" s="21">
        <v>854.67</v>
      </c>
    </row>
    <row r="15100" spans="1:8" customFormat="1" x14ac:dyDescent="0.25">
      <c r="A15100" t="str">
        <f>"3116990"</f>
        <v>3116990</v>
      </c>
      <c r="B15100" t="s">
        <v>27368</v>
      </c>
      <c r="C15100" t="s">
        <v>8375</v>
      </c>
      <c r="D15100" s="21" t="s">
        <v>34</v>
      </c>
      <c r="E15100" s="21" t="s">
        <v>71</v>
      </c>
      <c r="F15100">
        <v>13060085</v>
      </c>
      <c r="G15100" t="s">
        <v>2703</v>
      </c>
      <c r="H15100" s="21">
        <v>854.5</v>
      </c>
    </row>
    <row r="15101" spans="1:8" customFormat="1" x14ac:dyDescent="0.25">
      <c r="A15101" t="str">
        <f>"3333264"</f>
        <v>3333264</v>
      </c>
      <c r="B15101" t="s">
        <v>431</v>
      </c>
      <c r="C15101" t="s">
        <v>65</v>
      </c>
      <c r="D15101" s="21" t="s">
        <v>34</v>
      </c>
      <c r="E15101" s="21" t="s">
        <v>35</v>
      </c>
      <c r="F15101">
        <v>10330046</v>
      </c>
      <c r="G15101" t="s">
        <v>1787</v>
      </c>
      <c r="H15101" s="21">
        <v>854.42</v>
      </c>
    </row>
    <row r="15102" spans="1:8" customFormat="1" x14ac:dyDescent="0.25">
      <c r="A15102" t="str">
        <f>"374297"</f>
        <v>374297</v>
      </c>
      <c r="B15102" t="s">
        <v>19082</v>
      </c>
      <c r="C15102" t="s">
        <v>1675</v>
      </c>
      <c r="D15102" s="21" t="s">
        <v>34</v>
      </c>
      <c r="E15102" s="21" t="s">
        <v>35</v>
      </c>
      <c r="F15102">
        <v>4370498</v>
      </c>
      <c r="G15102" t="s">
        <v>10872</v>
      </c>
      <c r="H15102" s="21">
        <v>854.42</v>
      </c>
    </row>
    <row r="15103" spans="1:8" customFormat="1" x14ac:dyDescent="0.25">
      <c r="A15103" t="str">
        <f>"6022358"</f>
        <v>6022358</v>
      </c>
      <c r="B15103" t="s">
        <v>12873</v>
      </c>
      <c r="C15103" t="s">
        <v>934</v>
      </c>
      <c r="D15103" s="21" t="s">
        <v>34</v>
      </c>
      <c r="E15103" s="21" t="s">
        <v>35</v>
      </c>
      <c r="F15103">
        <v>7600111</v>
      </c>
      <c r="G15103" t="s">
        <v>6914</v>
      </c>
      <c r="H15103" s="21">
        <v>854.29</v>
      </c>
    </row>
    <row r="15104" spans="1:8" customFormat="1" x14ac:dyDescent="0.25">
      <c r="A15104" t="str">
        <f>"7729846"</f>
        <v>7729846</v>
      </c>
      <c r="B15104" t="s">
        <v>623</v>
      </c>
      <c r="C15104" t="s">
        <v>174</v>
      </c>
      <c r="D15104" s="21" t="s">
        <v>34</v>
      </c>
      <c r="E15104" s="21" t="s">
        <v>35</v>
      </c>
      <c r="F15104">
        <v>8771029</v>
      </c>
      <c r="G15104" t="s">
        <v>4447</v>
      </c>
      <c r="H15104" s="21">
        <v>854.17</v>
      </c>
    </row>
    <row r="15105" spans="1:8" customFormat="1" x14ac:dyDescent="0.25">
      <c r="A15105" t="str">
        <f>"16729"</f>
        <v>16729</v>
      </c>
      <c r="B15105" t="s">
        <v>2489</v>
      </c>
      <c r="C15105" t="s">
        <v>2529</v>
      </c>
      <c r="D15105" s="21" t="s">
        <v>34</v>
      </c>
      <c r="E15105" s="21" t="s">
        <v>254</v>
      </c>
      <c r="F15105">
        <v>10160085</v>
      </c>
      <c r="G15105" t="s">
        <v>10818</v>
      </c>
      <c r="H15105" s="21">
        <v>854.17</v>
      </c>
    </row>
    <row r="15106" spans="1:8" customFormat="1" x14ac:dyDescent="0.25">
      <c r="A15106" t="str">
        <f>"173184"</f>
        <v>173184</v>
      </c>
      <c r="B15106" t="s">
        <v>10708</v>
      </c>
      <c r="C15106" t="s">
        <v>1110</v>
      </c>
      <c r="D15106" s="21" t="s">
        <v>34</v>
      </c>
      <c r="E15106" s="21" t="s">
        <v>254</v>
      </c>
      <c r="F15106">
        <v>10170035</v>
      </c>
      <c r="G15106" t="s">
        <v>12942</v>
      </c>
      <c r="H15106" s="21">
        <v>854.17</v>
      </c>
    </row>
    <row r="15107" spans="1:8" customFormat="1" x14ac:dyDescent="0.25">
      <c r="A15107" t="str">
        <f>"62157"</f>
        <v>62157</v>
      </c>
      <c r="B15107" t="s">
        <v>13575</v>
      </c>
      <c r="C15107" t="s">
        <v>547</v>
      </c>
      <c r="D15107" s="21" t="s">
        <v>34</v>
      </c>
      <c r="E15107" s="21" t="s">
        <v>1089</v>
      </c>
      <c r="F15107">
        <v>7620139</v>
      </c>
      <c r="G15107" t="s">
        <v>2061</v>
      </c>
      <c r="H15107" s="21">
        <v>854.17</v>
      </c>
    </row>
    <row r="15108" spans="1:8" customFormat="1" x14ac:dyDescent="0.25">
      <c r="A15108" t="str">
        <f>"2714861"</f>
        <v>2714861</v>
      </c>
      <c r="B15108" t="s">
        <v>2489</v>
      </c>
      <c r="C15108" t="s">
        <v>40</v>
      </c>
      <c r="D15108" s="21" t="s">
        <v>34</v>
      </c>
      <c r="E15108" s="21" t="s">
        <v>71</v>
      </c>
      <c r="F15108">
        <v>9270071</v>
      </c>
      <c r="G15108" t="s">
        <v>7815</v>
      </c>
      <c r="H15108" s="21">
        <v>854.17</v>
      </c>
    </row>
    <row r="15109" spans="1:8" customFormat="1" x14ac:dyDescent="0.25">
      <c r="A15109" t="str">
        <f>"735789"</f>
        <v>735789</v>
      </c>
      <c r="B15109" t="s">
        <v>15397</v>
      </c>
      <c r="C15109" t="s">
        <v>249</v>
      </c>
      <c r="D15109" s="21" t="s">
        <v>34</v>
      </c>
      <c r="E15109" s="21" t="s">
        <v>71</v>
      </c>
      <c r="F15109">
        <v>1730048</v>
      </c>
      <c r="G15109" t="s">
        <v>3173</v>
      </c>
      <c r="H15109" s="21">
        <v>854.17</v>
      </c>
    </row>
    <row r="15110" spans="1:8" customFormat="1" x14ac:dyDescent="0.25">
      <c r="A15110" t="str">
        <f>"5612579"</f>
        <v>5612579</v>
      </c>
      <c r="B15110" t="s">
        <v>8184</v>
      </c>
      <c r="C15110" t="s">
        <v>2479</v>
      </c>
      <c r="D15110" s="21" t="s">
        <v>34</v>
      </c>
      <c r="E15110" s="21" t="s">
        <v>254</v>
      </c>
      <c r="F15110">
        <v>3560033</v>
      </c>
      <c r="G15110" t="s">
        <v>4927</v>
      </c>
      <c r="H15110" s="21">
        <v>854.17</v>
      </c>
    </row>
    <row r="15111" spans="1:8" customFormat="1" x14ac:dyDescent="0.25">
      <c r="A15111" t="str">
        <f>"614661"</f>
        <v>614661</v>
      </c>
      <c r="B15111" t="s">
        <v>2203</v>
      </c>
      <c r="C15111" t="s">
        <v>33</v>
      </c>
      <c r="D15111" s="21" t="s">
        <v>34</v>
      </c>
      <c r="E15111" s="21" t="s">
        <v>35</v>
      </c>
      <c r="F15111">
        <v>9610037</v>
      </c>
      <c r="G15111" t="s">
        <v>12283</v>
      </c>
      <c r="H15111" s="21">
        <v>854.17</v>
      </c>
    </row>
    <row r="15112" spans="1:8" customFormat="1" x14ac:dyDescent="0.25">
      <c r="A15112" t="str">
        <f>"5969355"</f>
        <v>5969355</v>
      </c>
      <c r="B15112" t="s">
        <v>457</v>
      </c>
      <c r="C15112" t="s">
        <v>428</v>
      </c>
      <c r="D15112" s="21" t="s">
        <v>34</v>
      </c>
      <c r="E15112" s="21" t="s">
        <v>35</v>
      </c>
      <c r="F15112">
        <v>7590112</v>
      </c>
      <c r="G15112" t="s">
        <v>3534</v>
      </c>
      <c r="H15112" s="21">
        <v>854.17</v>
      </c>
    </row>
    <row r="15113" spans="1:8" customFormat="1" x14ac:dyDescent="0.25">
      <c r="A15113" t="str">
        <f>"4930903"</f>
        <v>4930903</v>
      </c>
      <c r="B15113" t="s">
        <v>13929</v>
      </c>
      <c r="C15113" t="s">
        <v>412</v>
      </c>
      <c r="D15113" s="21" t="s">
        <v>34</v>
      </c>
      <c r="E15113" s="21" t="s">
        <v>71</v>
      </c>
      <c r="F15113">
        <v>12490070</v>
      </c>
      <c r="G15113" t="s">
        <v>5091</v>
      </c>
      <c r="H15113" s="21">
        <v>854.17</v>
      </c>
    </row>
    <row r="15114" spans="1:8" customFormat="1" x14ac:dyDescent="0.25">
      <c r="A15114" t="str">
        <f>"6015865"</f>
        <v>6015865</v>
      </c>
      <c r="B15114" t="s">
        <v>12430</v>
      </c>
      <c r="C15114" t="s">
        <v>1714</v>
      </c>
      <c r="D15114" s="21" t="s">
        <v>34</v>
      </c>
      <c r="E15114" s="21" t="s">
        <v>35</v>
      </c>
      <c r="F15114">
        <v>7600167</v>
      </c>
      <c r="G15114" t="s">
        <v>12431</v>
      </c>
      <c r="H15114" s="21">
        <v>854.17</v>
      </c>
    </row>
    <row r="15115" spans="1:8" customFormat="1" x14ac:dyDescent="0.25">
      <c r="A15115" t="str">
        <f>"9524759"</f>
        <v>9524759</v>
      </c>
      <c r="B15115" t="s">
        <v>13406</v>
      </c>
      <c r="C15115" t="s">
        <v>65</v>
      </c>
      <c r="D15115" s="21" t="s">
        <v>34</v>
      </c>
      <c r="E15115" s="21" t="s">
        <v>71</v>
      </c>
      <c r="F15115">
        <v>8951452</v>
      </c>
      <c r="G15115" t="s">
        <v>9763</v>
      </c>
      <c r="H15115" s="21">
        <v>853.92</v>
      </c>
    </row>
    <row r="15116" spans="1:8" customFormat="1" x14ac:dyDescent="0.25">
      <c r="A15116" t="str">
        <f>"319016"</f>
        <v>319016</v>
      </c>
      <c r="B15116" t="s">
        <v>3942</v>
      </c>
      <c r="C15116" t="s">
        <v>124</v>
      </c>
      <c r="D15116" s="21" t="s">
        <v>34</v>
      </c>
      <c r="E15116" s="21" t="s">
        <v>71</v>
      </c>
      <c r="F15116">
        <v>11310115</v>
      </c>
      <c r="G15116" t="s">
        <v>10519</v>
      </c>
      <c r="H15116" s="21">
        <v>853.67</v>
      </c>
    </row>
    <row r="15117" spans="1:8" customFormat="1" x14ac:dyDescent="0.25">
      <c r="A15117" t="str">
        <f>"8013085"</f>
        <v>8013085</v>
      </c>
      <c r="B15117" t="s">
        <v>5055</v>
      </c>
      <c r="C15117" t="s">
        <v>236</v>
      </c>
      <c r="D15117" s="21" t="s">
        <v>34</v>
      </c>
      <c r="E15117" s="21" t="s">
        <v>35</v>
      </c>
      <c r="F15117">
        <v>7800071</v>
      </c>
      <c r="G15117" t="s">
        <v>9109</v>
      </c>
      <c r="H15117" s="21">
        <v>853.67</v>
      </c>
    </row>
    <row r="15118" spans="1:8" customFormat="1" x14ac:dyDescent="0.25">
      <c r="A15118" t="str">
        <f>"4431763"</f>
        <v>4431763</v>
      </c>
      <c r="B15118" t="s">
        <v>765</v>
      </c>
      <c r="C15118" t="s">
        <v>5578</v>
      </c>
      <c r="D15118" s="21" t="s">
        <v>34</v>
      </c>
      <c r="E15118" s="21" t="s">
        <v>35</v>
      </c>
      <c r="F15118">
        <v>12440070</v>
      </c>
      <c r="G15118" t="s">
        <v>5224</v>
      </c>
      <c r="H15118" s="21">
        <v>853.67</v>
      </c>
    </row>
    <row r="15119" spans="1:8" customFormat="1" x14ac:dyDescent="0.25">
      <c r="A15119" t="str">
        <f>"8516105"</f>
        <v>8516105</v>
      </c>
      <c r="B15119" t="s">
        <v>5734</v>
      </c>
      <c r="C15119" t="s">
        <v>2479</v>
      </c>
      <c r="D15119" s="21" t="s">
        <v>34</v>
      </c>
      <c r="E15119" s="21" t="s">
        <v>71</v>
      </c>
      <c r="F15119">
        <v>12850024</v>
      </c>
      <c r="G15119" t="s">
        <v>140</v>
      </c>
      <c r="H15119" s="21">
        <v>853.67</v>
      </c>
    </row>
    <row r="15120" spans="1:8" customFormat="1" x14ac:dyDescent="0.25">
      <c r="A15120" t="str">
        <f>"3531663"</f>
        <v>3531663</v>
      </c>
      <c r="B15120" t="s">
        <v>650</v>
      </c>
      <c r="C15120" t="s">
        <v>119</v>
      </c>
      <c r="D15120" s="21" t="s">
        <v>34</v>
      </c>
      <c r="E15120" s="21" t="s">
        <v>35</v>
      </c>
      <c r="F15120">
        <v>3350016</v>
      </c>
      <c r="G15120" t="s">
        <v>133</v>
      </c>
      <c r="H15120" s="21">
        <v>853.67</v>
      </c>
    </row>
    <row r="15121" spans="1:8" customFormat="1" x14ac:dyDescent="0.25">
      <c r="A15121" t="str">
        <f>"3521471"</f>
        <v>3521471</v>
      </c>
      <c r="B15121" t="s">
        <v>14026</v>
      </c>
      <c r="C15121" t="s">
        <v>139</v>
      </c>
      <c r="D15121" s="21" t="s">
        <v>34</v>
      </c>
      <c r="E15121" s="21" t="s">
        <v>71</v>
      </c>
      <c r="F15121">
        <v>3350091</v>
      </c>
      <c r="G15121" t="s">
        <v>5864</v>
      </c>
      <c r="H15121" s="21">
        <v>853.67</v>
      </c>
    </row>
    <row r="15122" spans="1:8" customFormat="1" x14ac:dyDescent="0.25">
      <c r="A15122" t="str">
        <f>"4438319"</f>
        <v>4438319</v>
      </c>
      <c r="B15122" t="s">
        <v>14653</v>
      </c>
      <c r="C15122" t="s">
        <v>55</v>
      </c>
      <c r="D15122" s="21" t="s">
        <v>34</v>
      </c>
      <c r="E15122" s="21" t="s">
        <v>71</v>
      </c>
      <c r="F15122">
        <v>12440049</v>
      </c>
      <c r="G15122" t="s">
        <v>3339</v>
      </c>
      <c r="H15122" s="21">
        <v>853.67</v>
      </c>
    </row>
    <row r="15123" spans="1:8" customFormat="1" x14ac:dyDescent="0.25">
      <c r="A15123" t="str">
        <f>"653556"</f>
        <v>653556</v>
      </c>
      <c r="B15123" t="s">
        <v>5932</v>
      </c>
      <c r="C15123" t="s">
        <v>139</v>
      </c>
      <c r="D15123" s="21" t="s">
        <v>34</v>
      </c>
      <c r="E15123" s="21" t="s">
        <v>35</v>
      </c>
      <c r="F15123">
        <v>11650034</v>
      </c>
      <c r="G15123" t="s">
        <v>1989</v>
      </c>
      <c r="H15123" s="21">
        <v>853.67</v>
      </c>
    </row>
    <row r="15124" spans="1:8" customFormat="1" x14ac:dyDescent="0.25">
      <c r="A15124" t="str">
        <f>"4519172"</f>
        <v>4519172</v>
      </c>
      <c r="B15124" t="s">
        <v>890</v>
      </c>
      <c r="C15124" t="s">
        <v>119</v>
      </c>
      <c r="D15124" s="21" t="s">
        <v>34</v>
      </c>
      <c r="E15124" s="21" t="s">
        <v>71</v>
      </c>
      <c r="F15124">
        <v>3350110</v>
      </c>
      <c r="G15124" t="s">
        <v>7790</v>
      </c>
      <c r="H15124" s="21">
        <v>853.67</v>
      </c>
    </row>
    <row r="15125" spans="1:8" customFormat="1" x14ac:dyDescent="0.25">
      <c r="A15125" t="str">
        <f>"389444"</f>
        <v>389444</v>
      </c>
      <c r="B15125" t="s">
        <v>14062</v>
      </c>
      <c r="C15125" t="s">
        <v>2479</v>
      </c>
      <c r="D15125" s="21" t="s">
        <v>34</v>
      </c>
      <c r="E15125" s="21" t="s">
        <v>71</v>
      </c>
      <c r="F15125">
        <v>1380225</v>
      </c>
      <c r="G15125" t="s">
        <v>4441</v>
      </c>
      <c r="H15125" s="21">
        <v>853.67</v>
      </c>
    </row>
    <row r="15126" spans="1:8" customFormat="1" x14ac:dyDescent="0.25">
      <c r="A15126" t="str">
        <f>"8012571"</f>
        <v>8012571</v>
      </c>
      <c r="B15126" t="s">
        <v>1807</v>
      </c>
      <c r="C15126" t="s">
        <v>576</v>
      </c>
      <c r="D15126" s="21" t="s">
        <v>34</v>
      </c>
      <c r="E15126" s="21" t="s">
        <v>35</v>
      </c>
      <c r="F15126">
        <v>7800107</v>
      </c>
      <c r="G15126" t="s">
        <v>10161</v>
      </c>
      <c r="H15126" s="21">
        <v>853.67</v>
      </c>
    </row>
    <row r="15127" spans="1:8" customFormat="1" x14ac:dyDescent="0.25">
      <c r="A15127" t="str">
        <f>"626782"</f>
        <v>626782</v>
      </c>
      <c r="B15127" t="s">
        <v>12435</v>
      </c>
      <c r="C15127" t="s">
        <v>187</v>
      </c>
      <c r="D15127" s="21" t="s">
        <v>34</v>
      </c>
      <c r="E15127" s="21" t="s">
        <v>71</v>
      </c>
      <c r="F15127">
        <v>7620176</v>
      </c>
      <c r="G15127" t="s">
        <v>3111</v>
      </c>
      <c r="H15127" s="21">
        <v>853.67</v>
      </c>
    </row>
    <row r="15128" spans="1:8" customFormat="1" x14ac:dyDescent="0.25">
      <c r="A15128" t="str">
        <f>"50610"</f>
        <v>50610</v>
      </c>
      <c r="B15128" t="s">
        <v>503</v>
      </c>
      <c r="C15128" t="s">
        <v>40</v>
      </c>
      <c r="D15128" s="21" t="s">
        <v>34</v>
      </c>
      <c r="E15128" s="21" t="s">
        <v>71</v>
      </c>
      <c r="F15128">
        <v>9140014</v>
      </c>
      <c r="G15128" t="s">
        <v>9546</v>
      </c>
      <c r="H15128" s="21">
        <v>853.67</v>
      </c>
    </row>
    <row r="15129" spans="1:8" customFormat="1" x14ac:dyDescent="0.25">
      <c r="A15129" t="str">
        <f>"4451199"</f>
        <v>4451199</v>
      </c>
      <c r="B15129" t="s">
        <v>14334</v>
      </c>
      <c r="C15129" t="s">
        <v>1359</v>
      </c>
      <c r="D15129" s="21" t="s">
        <v>34</v>
      </c>
      <c r="E15129" s="21" t="s">
        <v>35</v>
      </c>
      <c r="F15129">
        <v>12440067</v>
      </c>
      <c r="G15129" t="s">
        <v>1723</v>
      </c>
      <c r="H15129" s="21">
        <v>853.67</v>
      </c>
    </row>
    <row r="15130" spans="1:8" customFormat="1" x14ac:dyDescent="0.25">
      <c r="A15130" t="str">
        <f>"704622"</f>
        <v>704622</v>
      </c>
      <c r="B15130" t="s">
        <v>5751</v>
      </c>
      <c r="C15130" t="s">
        <v>209</v>
      </c>
      <c r="D15130" s="21" t="s">
        <v>34</v>
      </c>
      <c r="E15130" s="21" t="s">
        <v>254</v>
      </c>
      <c r="F15130">
        <v>2700015</v>
      </c>
      <c r="G15130" t="s">
        <v>9856</v>
      </c>
      <c r="H15130" s="21">
        <v>853.67</v>
      </c>
    </row>
    <row r="15131" spans="1:8" customFormat="1" x14ac:dyDescent="0.25">
      <c r="A15131" t="str">
        <f>"8526332"</f>
        <v>8526332</v>
      </c>
      <c r="B15131" t="s">
        <v>11543</v>
      </c>
      <c r="C15131" t="s">
        <v>951</v>
      </c>
      <c r="D15131" s="21" t="s">
        <v>34</v>
      </c>
      <c r="E15131" s="21" t="s">
        <v>35</v>
      </c>
      <c r="F15131">
        <v>12850118</v>
      </c>
      <c r="G15131" t="s">
        <v>6811</v>
      </c>
      <c r="H15131" s="21">
        <v>853.67</v>
      </c>
    </row>
    <row r="15132" spans="1:8" customFormat="1" x14ac:dyDescent="0.25">
      <c r="A15132" t="str">
        <f>"7626373"</f>
        <v>7626373</v>
      </c>
      <c r="B15132" t="s">
        <v>67</v>
      </c>
      <c r="C15132" t="s">
        <v>130</v>
      </c>
      <c r="D15132" s="21" t="s">
        <v>34</v>
      </c>
      <c r="E15132" s="21" t="s">
        <v>71</v>
      </c>
      <c r="F15132">
        <v>8920505</v>
      </c>
      <c r="G15132" t="s">
        <v>12288</v>
      </c>
      <c r="H15132" s="21">
        <v>853.67</v>
      </c>
    </row>
    <row r="15133" spans="1:8" customFormat="1" x14ac:dyDescent="0.25">
      <c r="A15133" t="str">
        <f>"606585"</f>
        <v>606585</v>
      </c>
      <c r="B15133" t="s">
        <v>146</v>
      </c>
      <c r="C15133" t="s">
        <v>249</v>
      </c>
      <c r="D15133" s="21" t="s">
        <v>34</v>
      </c>
      <c r="E15133" s="21" t="s">
        <v>71</v>
      </c>
      <c r="F15133">
        <v>7600027</v>
      </c>
      <c r="G15133" t="s">
        <v>2137</v>
      </c>
      <c r="H15133" s="21">
        <v>853.67</v>
      </c>
    </row>
    <row r="15134" spans="1:8" customFormat="1" x14ac:dyDescent="0.25">
      <c r="A15134" t="str">
        <f>"5934521"</f>
        <v>5934521</v>
      </c>
      <c r="B15134" t="s">
        <v>108</v>
      </c>
      <c r="C15134" t="s">
        <v>43</v>
      </c>
      <c r="D15134" s="21" t="s">
        <v>34</v>
      </c>
      <c r="E15134" s="21" t="s">
        <v>71</v>
      </c>
      <c r="F15134">
        <v>7590065</v>
      </c>
      <c r="G15134" t="s">
        <v>1598</v>
      </c>
      <c r="H15134" s="21">
        <v>853.67</v>
      </c>
    </row>
    <row r="15135" spans="1:8" customFormat="1" x14ac:dyDescent="0.25">
      <c r="A15135" t="str">
        <f>"5949282"</f>
        <v>5949282</v>
      </c>
      <c r="B15135" t="s">
        <v>12576</v>
      </c>
      <c r="C15135" t="s">
        <v>3701</v>
      </c>
      <c r="D15135" s="21" t="s">
        <v>34</v>
      </c>
      <c r="E15135" s="21" t="s">
        <v>254</v>
      </c>
      <c r="F15135">
        <v>7620182</v>
      </c>
      <c r="G15135" t="s">
        <v>11480</v>
      </c>
      <c r="H15135" s="21">
        <v>853.67</v>
      </c>
    </row>
    <row r="15136" spans="1:8" customFormat="1" x14ac:dyDescent="0.25">
      <c r="A15136" t="str">
        <f>"241268"</f>
        <v>241268</v>
      </c>
      <c r="B15136" t="s">
        <v>5064</v>
      </c>
      <c r="C15136" t="s">
        <v>1705</v>
      </c>
      <c r="D15136" s="21" t="s">
        <v>34</v>
      </c>
      <c r="E15136" s="21" t="s">
        <v>1089</v>
      </c>
      <c r="F15136">
        <v>10240003</v>
      </c>
      <c r="G15136" t="s">
        <v>2940</v>
      </c>
      <c r="H15136" s="21">
        <v>853.67</v>
      </c>
    </row>
    <row r="15137" spans="1:8" customFormat="1" x14ac:dyDescent="0.25">
      <c r="A15137" t="str">
        <f>"216894"</f>
        <v>216894</v>
      </c>
      <c r="B15137" t="s">
        <v>13377</v>
      </c>
      <c r="C15137" t="s">
        <v>40</v>
      </c>
      <c r="D15137" s="21" t="s">
        <v>34</v>
      </c>
      <c r="E15137" s="21" t="s">
        <v>71</v>
      </c>
      <c r="F15137">
        <v>2210101</v>
      </c>
      <c r="G15137" t="s">
        <v>1374</v>
      </c>
      <c r="H15137" s="21">
        <v>853.42</v>
      </c>
    </row>
    <row r="15138" spans="1:8" customFormat="1" x14ac:dyDescent="0.25">
      <c r="A15138" t="str">
        <f>"617451"</f>
        <v>617451</v>
      </c>
      <c r="B15138" t="s">
        <v>4278</v>
      </c>
      <c r="C15138" t="s">
        <v>139</v>
      </c>
      <c r="D15138" s="21" t="s">
        <v>34</v>
      </c>
      <c r="E15138" s="21" t="s">
        <v>71</v>
      </c>
      <c r="F15138">
        <v>9610004</v>
      </c>
      <c r="G15138" t="s">
        <v>1042</v>
      </c>
      <c r="H15138" s="21">
        <v>853.42</v>
      </c>
    </row>
    <row r="15139" spans="1:8" customFormat="1" x14ac:dyDescent="0.25">
      <c r="A15139" t="str">
        <f>"98522"</f>
        <v>98522</v>
      </c>
      <c r="B15139" t="s">
        <v>14660</v>
      </c>
      <c r="C15139" t="s">
        <v>656</v>
      </c>
      <c r="D15139" s="21" t="s">
        <v>34</v>
      </c>
      <c r="E15139" s="21" t="s">
        <v>35</v>
      </c>
      <c r="F15139">
        <v>5980003</v>
      </c>
      <c r="G15139" t="s">
        <v>1746</v>
      </c>
      <c r="H15139" s="21">
        <v>853.42</v>
      </c>
    </row>
    <row r="15140" spans="1:8" customFormat="1" x14ac:dyDescent="0.25">
      <c r="A15140" t="str">
        <f>"9512016"</f>
        <v>9512016</v>
      </c>
      <c r="B15140" t="s">
        <v>2023</v>
      </c>
      <c r="C15140" t="s">
        <v>269</v>
      </c>
      <c r="D15140" s="21" t="s">
        <v>34</v>
      </c>
      <c r="E15140" s="21" t="s">
        <v>71</v>
      </c>
      <c r="F15140">
        <v>8950570</v>
      </c>
      <c r="G15140" t="s">
        <v>3226</v>
      </c>
      <c r="H15140" s="21">
        <v>853.29</v>
      </c>
    </row>
    <row r="15141" spans="1:8" customFormat="1" x14ac:dyDescent="0.25">
      <c r="A15141" t="str">
        <f>"5929833"</f>
        <v>5929833</v>
      </c>
      <c r="B15141" t="s">
        <v>13721</v>
      </c>
      <c r="C15141" t="s">
        <v>462</v>
      </c>
      <c r="D15141" s="21" t="s">
        <v>34</v>
      </c>
      <c r="E15141" s="21" t="s">
        <v>71</v>
      </c>
      <c r="F15141">
        <v>7590058</v>
      </c>
      <c r="G15141" t="s">
        <v>5044</v>
      </c>
      <c r="H15141" s="21">
        <v>853.17</v>
      </c>
    </row>
    <row r="15142" spans="1:8" customFormat="1" x14ac:dyDescent="0.25">
      <c r="A15142" t="str">
        <f>"851657"</f>
        <v>851657</v>
      </c>
      <c r="B15142" t="s">
        <v>4272</v>
      </c>
      <c r="C15142" t="s">
        <v>712</v>
      </c>
      <c r="D15142" s="21" t="s">
        <v>34</v>
      </c>
      <c r="E15142" s="21" t="s">
        <v>35</v>
      </c>
      <c r="F15142">
        <v>6680102</v>
      </c>
      <c r="G15142" t="s">
        <v>1232</v>
      </c>
      <c r="H15142" s="21">
        <v>853.17</v>
      </c>
    </row>
    <row r="15143" spans="1:8" customFormat="1" x14ac:dyDescent="0.25">
      <c r="A15143" t="str">
        <f>"7841039"</f>
        <v>7841039</v>
      </c>
      <c r="B15143" t="s">
        <v>1533</v>
      </c>
      <c r="C15143" t="s">
        <v>236</v>
      </c>
      <c r="D15143" s="21" t="s">
        <v>34</v>
      </c>
      <c r="E15143" s="21" t="s">
        <v>71</v>
      </c>
      <c r="F15143">
        <v>8780108</v>
      </c>
      <c r="G15143" t="s">
        <v>4329</v>
      </c>
      <c r="H15143" s="21">
        <v>853.17</v>
      </c>
    </row>
    <row r="15144" spans="1:8" customFormat="1" x14ac:dyDescent="0.25">
      <c r="A15144" t="str">
        <f>"672189"</f>
        <v>672189</v>
      </c>
      <c r="B15144" t="s">
        <v>12949</v>
      </c>
      <c r="C15144" t="s">
        <v>608</v>
      </c>
      <c r="D15144" s="21" t="s">
        <v>34</v>
      </c>
      <c r="E15144" s="21" t="s">
        <v>71</v>
      </c>
      <c r="F15144">
        <v>6670171</v>
      </c>
      <c r="G15144" t="s">
        <v>4843</v>
      </c>
      <c r="H15144" s="21">
        <v>853.17</v>
      </c>
    </row>
    <row r="15145" spans="1:8" customFormat="1" x14ac:dyDescent="0.25">
      <c r="A15145" t="str">
        <f>"5927939"</f>
        <v>5927939</v>
      </c>
      <c r="B15145" t="s">
        <v>13637</v>
      </c>
      <c r="C15145" t="s">
        <v>40</v>
      </c>
      <c r="D15145" s="21" t="s">
        <v>34</v>
      </c>
      <c r="E15145" s="21" t="s">
        <v>35</v>
      </c>
      <c r="F15145">
        <v>7590392</v>
      </c>
      <c r="G15145" t="s">
        <v>154</v>
      </c>
      <c r="H15145" s="21">
        <v>853.17</v>
      </c>
    </row>
    <row r="15146" spans="1:8" customFormat="1" x14ac:dyDescent="0.25">
      <c r="A15146" t="str">
        <f>"6110428"</f>
        <v>6110428</v>
      </c>
      <c r="B15146" t="s">
        <v>67</v>
      </c>
      <c r="C15146" t="s">
        <v>263</v>
      </c>
      <c r="D15146" s="21" t="s">
        <v>34</v>
      </c>
      <c r="E15146" s="21" t="s">
        <v>71</v>
      </c>
      <c r="F15146">
        <v>9610004</v>
      </c>
      <c r="G15146" t="s">
        <v>1042</v>
      </c>
      <c r="H15146" s="21">
        <v>853.17</v>
      </c>
    </row>
    <row r="15147" spans="1:8" customFormat="1" x14ac:dyDescent="0.25">
      <c r="A15147" t="str">
        <f>"518002"</f>
        <v>518002</v>
      </c>
      <c r="B15147" t="s">
        <v>15409</v>
      </c>
      <c r="C15147" t="s">
        <v>33</v>
      </c>
      <c r="D15147" s="21" t="s">
        <v>34</v>
      </c>
      <c r="E15147" s="21" t="s">
        <v>71</v>
      </c>
      <c r="F15147">
        <v>6510112</v>
      </c>
      <c r="G15147" t="s">
        <v>588</v>
      </c>
      <c r="H15147" s="21">
        <v>853.17</v>
      </c>
    </row>
    <row r="15148" spans="1:8" customFormat="1" x14ac:dyDescent="0.25">
      <c r="A15148" t="str">
        <f>"5930926"</f>
        <v>5930926</v>
      </c>
      <c r="B15148" t="s">
        <v>4107</v>
      </c>
      <c r="C15148" t="s">
        <v>269</v>
      </c>
      <c r="D15148" s="21" t="s">
        <v>34</v>
      </c>
      <c r="E15148" s="21" t="s">
        <v>71</v>
      </c>
      <c r="F15148">
        <v>7590123</v>
      </c>
      <c r="G15148" t="s">
        <v>85</v>
      </c>
      <c r="H15148" s="21">
        <v>853.17</v>
      </c>
    </row>
    <row r="15149" spans="1:8" customFormat="1" x14ac:dyDescent="0.25">
      <c r="A15149" t="str">
        <f>"415183"</f>
        <v>415183</v>
      </c>
      <c r="B15149" t="s">
        <v>7201</v>
      </c>
      <c r="C15149" t="s">
        <v>204</v>
      </c>
      <c r="D15149" s="21" t="s">
        <v>34</v>
      </c>
      <c r="E15149" s="21" t="s">
        <v>35</v>
      </c>
      <c r="F15149">
        <v>4410718</v>
      </c>
      <c r="G15149" t="s">
        <v>5963</v>
      </c>
      <c r="H15149" s="21">
        <v>853.17</v>
      </c>
    </row>
    <row r="15150" spans="1:8" customFormat="1" x14ac:dyDescent="0.25">
      <c r="A15150" t="str">
        <f>"089707"</f>
        <v>089707</v>
      </c>
      <c r="B15150" t="s">
        <v>12521</v>
      </c>
      <c r="C15150" t="s">
        <v>415</v>
      </c>
      <c r="D15150" s="21" t="s">
        <v>34</v>
      </c>
      <c r="E15150" s="21" t="s">
        <v>254</v>
      </c>
      <c r="F15150">
        <v>6080035</v>
      </c>
      <c r="G15150" t="s">
        <v>583</v>
      </c>
      <c r="H15150" s="21">
        <v>853.17</v>
      </c>
    </row>
    <row r="15151" spans="1:8" customFormat="1" x14ac:dyDescent="0.25">
      <c r="A15151" t="str">
        <f>"568071"</f>
        <v>568071</v>
      </c>
      <c r="B15151" t="s">
        <v>13145</v>
      </c>
      <c r="C15151" t="s">
        <v>1665</v>
      </c>
      <c r="D15151" s="21" t="s">
        <v>34</v>
      </c>
      <c r="E15151" s="21" t="s">
        <v>254</v>
      </c>
      <c r="F15151">
        <v>3560033</v>
      </c>
      <c r="G15151" t="s">
        <v>4927</v>
      </c>
      <c r="H15151" s="21">
        <v>853.17</v>
      </c>
    </row>
    <row r="15152" spans="1:8" customFormat="1" x14ac:dyDescent="0.25">
      <c r="A15152" t="str">
        <f>"3723354"</f>
        <v>3723354</v>
      </c>
      <c r="B15152" t="s">
        <v>8771</v>
      </c>
      <c r="C15152" t="s">
        <v>462</v>
      </c>
      <c r="D15152" s="21" t="s">
        <v>34</v>
      </c>
      <c r="E15152" s="21" t="s">
        <v>71</v>
      </c>
      <c r="F15152">
        <v>4410083</v>
      </c>
      <c r="G15152" t="s">
        <v>2333</v>
      </c>
      <c r="H15152" s="21">
        <v>853.17</v>
      </c>
    </row>
    <row r="15153" spans="1:8" customFormat="1" x14ac:dyDescent="0.25">
      <c r="A15153" t="str">
        <f>"4920437"</f>
        <v>4920437</v>
      </c>
      <c r="B15153" t="s">
        <v>12611</v>
      </c>
      <c r="C15153" t="s">
        <v>87</v>
      </c>
      <c r="D15153" s="21" t="s">
        <v>34</v>
      </c>
      <c r="E15153" s="21" t="s">
        <v>71</v>
      </c>
      <c r="F15153">
        <v>3560043</v>
      </c>
      <c r="G15153" t="s">
        <v>11635</v>
      </c>
      <c r="H15153" s="21">
        <v>853.17</v>
      </c>
    </row>
    <row r="15154" spans="1:8" customFormat="1" x14ac:dyDescent="0.25">
      <c r="A15154" t="str">
        <f>"355789"</f>
        <v>355789</v>
      </c>
      <c r="B15154" t="s">
        <v>13380</v>
      </c>
      <c r="C15154" t="s">
        <v>1539</v>
      </c>
      <c r="D15154" s="21" t="s">
        <v>34</v>
      </c>
      <c r="E15154" s="21" t="s">
        <v>35</v>
      </c>
      <c r="F15154">
        <v>3350130</v>
      </c>
      <c r="G15154" t="s">
        <v>7335</v>
      </c>
      <c r="H15154" s="21">
        <v>853</v>
      </c>
    </row>
    <row r="15155" spans="1:8" customFormat="1" x14ac:dyDescent="0.25">
      <c r="A15155" t="str">
        <f>"5947126"</f>
        <v>5947126</v>
      </c>
      <c r="B15155" t="s">
        <v>13778</v>
      </c>
      <c r="C15155" t="s">
        <v>528</v>
      </c>
      <c r="D15155" s="21" t="s">
        <v>34</v>
      </c>
      <c r="E15155" s="21" t="s">
        <v>254</v>
      </c>
      <c r="F15155">
        <v>7590040</v>
      </c>
      <c r="G15155" t="s">
        <v>104</v>
      </c>
      <c r="H15155" s="21">
        <v>853</v>
      </c>
    </row>
    <row r="15156" spans="1:8" customFormat="1" x14ac:dyDescent="0.25">
      <c r="A15156" t="str">
        <f>"7611230"</f>
        <v>7611230</v>
      </c>
      <c r="B15156" t="s">
        <v>3613</v>
      </c>
      <c r="C15156" t="s">
        <v>1887</v>
      </c>
      <c r="D15156" s="21" t="s">
        <v>34</v>
      </c>
      <c r="E15156" s="21" t="s">
        <v>254</v>
      </c>
      <c r="F15156">
        <v>9760218</v>
      </c>
      <c r="G15156" t="s">
        <v>26836</v>
      </c>
      <c r="H15156" s="21">
        <v>852.92</v>
      </c>
    </row>
    <row r="15157" spans="1:8" customFormat="1" x14ac:dyDescent="0.25">
      <c r="A15157" t="str">
        <f>"9523889"</f>
        <v>9523889</v>
      </c>
      <c r="B15157" t="s">
        <v>946</v>
      </c>
      <c r="C15157" t="s">
        <v>926</v>
      </c>
      <c r="D15157" s="21" t="s">
        <v>34</v>
      </c>
      <c r="E15157" s="21" t="s">
        <v>71</v>
      </c>
      <c r="F15157">
        <v>8950330</v>
      </c>
      <c r="G15157" t="s">
        <v>794</v>
      </c>
      <c r="H15157" s="21">
        <v>852.92</v>
      </c>
    </row>
    <row r="15158" spans="1:8" customFormat="1" x14ac:dyDescent="0.25">
      <c r="A15158" t="str">
        <f>"613684"</f>
        <v>613684</v>
      </c>
      <c r="B15158" t="s">
        <v>4096</v>
      </c>
      <c r="C15158" t="s">
        <v>415</v>
      </c>
      <c r="D15158" s="21" t="s">
        <v>34</v>
      </c>
      <c r="E15158" s="21" t="s">
        <v>71</v>
      </c>
      <c r="F15158">
        <v>9610077</v>
      </c>
      <c r="G15158" t="s">
        <v>26691</v>
      </c>
      <c r="H15158" s="21">
        <v>852.92</v>
      </c>
    </row>
    <row r="15159" spans="1:8" customFormat="1" x14ac:dyDescent="0.25">
      <c r="A15159" t="str">
        <f>"30327"</f>
        <v>30327</v>
      </c>
      <c r="B15159" t="s">
        <v>13757</v>
      </c>
      <c r="C15159" t="s">
        <v>3010</v>
      </c>
      <c r="D15159" s="21" t="s">
        <v>34</v>
      </c>
      <c r="E15159" s="21" t="s">
        <v>254</v>
      </c>
      <c r="F15159">
        <v>11300016</v>
      </c>
      <c r="G15159" t="s">
        <v>157</v>
      </c>
      <c r="H15159" s="21">
        <v>852.79</v>
      </c>
    </row>
    <row r="15160" spans="1:8" customFormat="1" x14ac:dyDescent="0.25">
      <c r="A15160" t="str">
        <f>"5619741"</f>
        <v>5619741</v>
      </c>
      <c r="B15160" t="s">
        <v>15033</v>
      </c>
      <c r="C15160" t="s">
        <v>1196</v>
      </c>
      <c r="D15160" s="21" t="s">
        <v>34</v>
      </c>
      <c r="E15160" s="21" t="s">
        <v>35</v>
      </c>
      <c r="F15160">
        <v>3560088</v>
      </c>
      <c r="G15160" t="s">
        <v>15034</v>
      </c>
      <c r="H15160" s="21">
        <v>852.67</v>
      </c>
    </row>
    <row r="15161" spans="1:8" customFormat="1" x14ac:dyDescent="0.25">
      <c r="A15161" t="str">
        <f>"255826"</f>
        <v>255826</v>
      </c>
      <c r="B15161" t="s">
        <v>27369</v>
      </c>
      <c r="C15161" t="s">
        <v>87</v>
      </c>
      <c r="D15161" s="21" t="s">
        <v>34</v>
      </c>
      <c r="E15161" s="21" t="s">
        <v>35</v>
      </c>
      <c r="F15161">
        <v>2250197</v>
      </c>
      <c r="G15161" t="s">
        <v>12054</v>
      </c>
      <c r="H15161" s="21">
        <v>852.67</v>
      </c>
    </row>
    <row r="15162" spans="1:8" customFormat="1" x14ac:dyDescent="0.25">
      <c r="A15162" t="str">
        <f>"5719715"</f>
        <v>5719715</v>
      </c>
      <c r="B15162" t="s">
        <v>14064</v>
      </c>
      <c r="C15162" t="s">
        <v>7453</v>
      </c>
      <c r="D15162" s="21" t="s">
        <v>34</v>
      </c>
      <c r="E15162" s="21" t="s">
        <v>71</v>
      </c>
      <c r="F15162">
        <v>6570180</v>
      </c>
      <c r="G15162" t="s">
        <v>456</v>
      </c>
      <c r="H15162" s="21">
        <v>852.67</v>
      </c>
    </row>
    <row r="15163" spans="1:8" customFormat="1" x14ac:dyDescent="0.25">
      <c r="A15163" t="str">
        <f>"9443017"</f>
        <v>9443017</v>
      </c>
      <c r="B15163" t="s">
        <v>3072</v>
      </c>
      <c r="C15163" t="s">
        <v>1359</v>
      </c>
      <c r="D15163" s="21" t="s">
        <v>34</v>
      </c>
      <c r="E15163" s="21" t="s">
        <v>35</v>
      </c>
      <c r="F15163">
        <v>8941100</v>
      </c>
      <c r="G15163" t="s">
        <v>4974</v>
      </c>
      <c r="H15163" s="21">
        <v>852.67</v>
      </c>
    </row>
    <row r="15164" spans="1:8" customFormat="1" x14ac:dyDescent="0.25">
      <c r="A15164" t="str">
        <f>"761513"</f>
        <v>761513</v>
      </c>
      <c r="B15164" t="s">
        <v>13838</v>
      </c>
      <c r="C15164" t="s">
        <v>1146</v>
      </c>
      <c r="D15164" s="21" t="s">
        <v>34</v>
      </c>
      <c r="E15164" s="21" t="s">
        <v>1089</v>
      </c>
      <c r="F15164">
        <v>9760428</v>
      </c>
      <c r="G15164" t="s">
        <v>5081</v>
      </c>
      <c r="H15164" s="21">
        <v>852.67</v>
      </c>
    </row>
    <row r="15165" spans="1:8" customFormat="1" x14ac:dyDescent="0.25">
      <c r="A15165" t="str">
        <f>"916228"</f>
        <v>916228</v>
      </c>
      <c r="B15165" t="s">
        <v>11992</v>
      </c>
      <c r="C15165" t="s">
        <v>7441</v>
      </c>
      <c r="D15165" s="21" t="s">
        <v>34</v>
      </c>
      <c r="E15165" s="21" t="s">
        <v>254</v>
      </c>
      <c r="F15165">
        <v>8920140</v>
      </c>
      <c r="G15165" t="s">
        <v>3762</v>
      </c>
      <c r="H15165" s="21">
        <v>852.67</v>
      </c>
    </row>
    <row r="15166" spans="1:8" customFormat="1" x14ac:dyDescent="0.25">
      <c r="A15166" t="str">
        <f>"643727"</f>
        <v>643727</v>
      </c>
      <c r="B15166" t="s">
        <v>12527</v>
      </c>
      <c r="C15166" t="s">
        <v>62</v>
      </c>
      <c r="D15166" s="21" t="s">
        <v>34</v>
      </c>
      <c r="E15166" s="21" t="s">
        <v>35</v>
      </c>
      <c r="F15166">
        <v>10640023</v>
      </c>
      <c r="G15166" t="s">
        <v>8567</v>
      </c>
      <c r="H15166" s="21">
        <v>852.67</v>
      </c>
    </row>
    <row r="15167" spans="1:8" customFormat="1" x14ac:dyDescent="0.25">
      <c r="A15167" t="str">
        <f>"1413914"</f>
        <v>1413914</v>
      </c>
      <c r="B15167" t="s">
        <v>13305</v>
      </c>
      <c r="C15167" t="s">
        <v>415</v>
      </c>
      <c r="D15167" s="21" t="s">
        <v>34</v>
      </c>
      <c r="E15167" s="21" t="s">
        <v>254</v>
      </c>
      <c r="F15167">
        <v>9140127</v>
      </c>
      <c r="G15167" t="s">
        <v>6641</v>
      </c>
      <c r="H15167" s="21">
        <v>852.67</v>
      </c>
    </row>
    <row r="15168" spans="1:8" customFormat="1" x14ac:dyDescent="0.25">
      <c r="A15168" t="str">
        <f>"4442493"</f>
        <v>4442493</v>
      </c>
      <c r="B15168" t="s">
        <v>4056</v>
      </c>
      <c r="C15168" t="s">
        <v>139</v>
      </c>
      <c r="D15168" s="21" t="s">
        <v>34</v>
      </c>
      <c r="E15168" s="21" t="s">
        <v>71</v>
      </c>
      <c r="F15168">
        <v>12440263</v>
      </c>
      <c r="G15168" t="s">
        <v>9503</v>
      </c>
      <c r="H15168" s="21">
        <v>852.67</v>
      </c>
    </row>
    <row r="15169" spans="1:8" customFormat="1" x14ac:dyDescent="0.25">
      <c r="A15169" t="str">
        <f>"99289"</f>
        <v>99289</v>
      </c>
      <c r="B15169" t="s">
        <v>27359</v>
      </c>
      <c r="C15169" t="s">
        <v>33</v>
      </c>
      <c r="D15169" s="21" t="s">
        <v>34</v>
      </c>
      <c r="E15169" s="21" t="s">
        <v>71</v>
      </c>
      <c r="F15169">
        <v>5990022</v>
      </c>
      <c r="G15169" t="s">
        <v>9912</v>
      </c>
      <c r="H15169" s="21">
        <v>852.67</v>
      </c>
    </row>
    <row r="15170" spans="1:8" customFormat="1" x14ac:dyDescent="0.25">
      <c r="A15170" t="str">
        <f>"9134897"</f>
        <v>9134897</v>
      </c>
      <c r="B15170" t="s">
        <v>3645</v>
      </c>
      <c r="C15170" t="s">
        <v>62</v>
      </c>
      <c r="D15170" s="21" t="s">
        <v>34</v>
      </c>
      <c r="E15170" s="21" t="s">
        <v>35</v>
      </c>
      <c r="F15170">
        <v>8911021</v>
      </c>
      <c r="G15170" t="s">
        <v>4198</v>
      </c>
      <c r="H15170" s="21">
        <v>852.67</v>
      </c>
    </row>
    <row r="15171" spans="1:8" customFormat="1" x14ac:dyDescent="0.25">
      <c r="A15171" t="str">
        <f>"173405"</f>
        <v>173405</v>
      </c>
      <c r="B15171" t="s">
        <v>10173</v>
      </c>
      <c r="C15171" t="s">
        <v>1539</v>
      </c>
      <c r="D15171" s="21" t="s">
        <v>34</v>
      </c>
      <c r="E15171" s="21" t="s">
        <v>1089</v>
      </c>
      <c r="F15171">
        <v>10170042</v>
      </c>
      <c r="G15171" t="s">
        <v>5014</v>
      </c>
      <c r="H15171" s="21">
        <v>852.42</v>
      </c>
    </row>
    <row r="15172" spans="1:8" customFormat="1" x14ac:dyDescent="0.25">
      <c r="A15172" t="str">
        <f>"2936514"</f>
        <v>2936514</v>
      </c>
      <c r="B15172" t="s">
        <v>8732</v>
      </c>
      <c r="C15172" t="s">
        <v>328</v>
      </c>
      <c r="D15172" s="21" t="s">
        <v>34</v>
      </c>
      <c r="E15172" s="21" t="s">
        <v>35</v>
      </c>
      <c r="F15172">
        <v>3290229</v>
      </c>
      <c r="G15172" t="s">
        <v>408</v>
      </c>
      <c r="H15172" s="21">
        <v>852.42</v>
      </c>
    </row>
    <row r="15173" spans="1:8" customFormat="1" x14ac:dyDescent="0.25">
      <c r="A15173" t="str">
        <f>"5619674"</f>
        <v>5619674</v>
      </c>
      <c r="B15173" t="s">
        <v>16412</v>
      </c>
      <c r="C15173" t="s">
        <v>244</v>
      </c>
      <c r="D15173" s="21" t="s">
        <v>34</v>
      </c>
      <c r="E15173" s="21" t="s">
        <v>35</v>
      </c>
      <c r="F15173">
        <v>3560031</v>
      </c>
      <c r="G15173" t="s">
        <v>738</v>
      </c>
      <c r="H15173" s="21">
        <v>852.42</v>
      </c>
    </row>
    <row r="15174" spans="1:8" customFormat="1" x14ac:dyDescent="0.25">
      <c r="A15174" t="str">
        <f>"688989"</f>
        <v>688989</v>
      </c>
      <c r="B15174" t="s">
        <v>1082</v>
      </c>
      <c r="C15174" t="s">
        <v>598</v>
      </c>
      <c r="D15174" s="21" t="s">
        <v>34</v>
      </c>
      <c r="E15174" s="21" t="s">
        <v>71</v>
      </c>
      <c r="F15174">
        <v>6680111</v>
      </c>
      <c r="G15174" t="s">
        <v>3422</v>
      </c>
      <c r="H15174" s="21">
        <v>852.17</v>
      </c>
    </row>
    <row r="15175" spans="1:8" customFormat="1" x14ac:dyDescent="0.25">
      <c r="A15175" t="str">
        <f>"563794"</f>
        <v>563794</v>
      </c>
      <c r="B15175" t="s">
        <v>13020</v>
      </c>
      <c r="C15175" t="s">
        <v>1665</v>
      </c>
      <c r="D15175" s="21" t="s">
        <v>34</v>
      </c>
      <c r="E15175" s="21" t="s">
        <v>254</v>
      </c>
      <c r="F15175">
        <v>3560033</v>
      </c>
      <c r="G15175" t="s">
        <v>4927</v>
      </c>
      <c r="H15175" s="21">
        <v>852.17</v>
      </c>
    </row>
    <row r="15176" spans="1:8" customFormat="1" x14ac:dyDescent="0.25">
      <c r="A15176" t="str">
        <f>"2514430"</f>
        <v>2514430</v>
      </c>
      <c r="B15176" t="s">
        <v>8144</v>
      </c>
      <c r="C15176" t="s">
        <v>187</v>
      </c>
      <c r="D15176" s="21" t="s">
        <v>34</v>
      </c>
      <c r="E15176" s="21" t="s">
        <v>35</v>
      </c>
      <c r="F15176">
        <v>2250024</v>
      </c>
      <c r="G15176" t="s">
        <v>751</v>
      </c>
      <c r="H15176" s="21">
        <v>852.17</v>
      </c>
    </row>
    <row r="15177" spans="1:8" customFormat="1" x14ac:dyDescent="0.25">
      <c r="A15177" t="str">
        <f>"305125"</f>
        <v>305125</v>
      </c>
      <c r="B15177" t="s">
        <v>3947</v>
      </c>
      <c r="C15177" t="s">
        <v>209</v>
      </c>
      <c r="D15177" s="21" t="s">
        <v>34</v>
      </c>
      <c r="E15177" s="21" t="s">
        <v>71</v>
      </c>
      <c r="F15177">
        <v>11300023</v>
      </c>
      <c r="G15177" t="s">
        <v>2679</v>
      </c>
      <c r="H15177" s="21">
        <v>852.17</v>
      </c>
    </row>
    <row r="15178" spans="1:8" customFormat="1" x14ac:dyDescent="0.25">
      <c r="A15178" t="str">
        <f>"5927141"</f>
        <v>5927141</v>
      </c>
      <c r="B15178" t="s">
        <v>8015</v>
      </c>
      <c r="C15178" t="s">
        <v>209</v>
      </c>
      <c r="D15178" s="21" t="s">
        <v>34</v>
      </c>
      <c r="E15178" s="21" t="s">
        <v>35</v>
      </c>
      <c r="F15178">
        <v>8911009</v>
      </c>
      <c r="G15178" t="s">
        <v>2177</v>
      </c>
      <c r="H15178" s="21">
        <v>852.17</v>
      </c>
    </row>
    <row r="15179" spans="1:8" customFormat="1" x14ac:dyDescent="0.25">
      <c r="A15179" t="str">
        <f>"594377"</f>
        <v>594377</v>
      </c>
      <c r="B15179" t="s">
        <v>14123</v>
      </c>
      <c r="C15179" t="s">
        <v>198</v>
      </c>
      <c r="D15179" s="21" t="s">
        <v>34</v>
      </c>
      <c r="E15179" s="21" t="s">
        <v>1089</v>
      </c>
      <c r="F15179">
        <v>7590269</v>
      </c>
      <c r="G15179" t="s">
        <v>873</v>
      </c>
      <c r="H15179" s="21">
        <v>852.17</v>
      </c>
    </row>
    <row r="15180" spans="1:8" customFormat="1" x14ac:dyDescent="0.25">
      <c r="A15180" t="str">
        <f>"5011036"</f>
        <v>5011036</v>
      </c>
      <c r="B15180" t="s">
        <v>13021</v>
      </c>
      <c r="C15180" t="s">
        <v>114</v>
      </c>
      <c r="D15180" s="21" t="s">
        <v>34</v>
      </c>
      <c r="E15180" s="21" t="s">
        <v>71</v>
      </c>
      <c r="F15180">
        <v>9500013</v>
      </c>
      <c r="G15180" t="s">
        <v>992</v>
      </c>
      <c r="H15180" s="21">
        <v>852.17</v>
      </c>
    </row>
    <row r="15181" spans="1:8" customFormat="1" x14ac:dyDescent="0.25">
      <c r="A15181" t="str">
        <f>"1420965"</f>
        <v>1420965</v>
      </c>
      <c r="B15181" t="s">
        <v>6157</v>
      </c>
      <c r="C15181" t="s">
        <v>415</v>
      </c>
      <c r="D15181" s="21" t="s">
        <v>34</v>
      </c>
      <c r="E15181" s="21" t="s">
        <v>71</v>
      </c>
      <c r="F15181">
        <v>9140115</v>
      </c>
      <c r="G15181" t="s">
        <v>26590</v>
      </c>
      <c r="H15181" s="21">
        <v>852.17</v>
      </c>
    </row>
    <row r="15182" spans="1:8" customFormat="1" x14ac:dyDescent="0.25">
      <c r="A15182" t="str">
        <f>"4925704"</f>
        <v>4925704</v>
      </c>
      <c r="B15182" t="s">
        <v>1717</v>
      </c>
      <c r="C15182" t="s">
        <v>415</v>
      </c>
      <c r="D15182" s="21" t="s">
        <v>34</v>
      </c>
      <c r="E15182" s="21" t="s">
        <v>254</v>
      </c>
      <c r="F15182">
        <v>12490038</v>
      </c>
      <c r="G15182" t="s">
        <v>467</v>
      </c>
      <c r="H15182" s="21">
        <v>852.17</v>
      </c>
    </row>
    <row r="15183" spans="1:8" customFormat="1" x14ac:dyDescent="0.25">
      <c r="A15183" t="str">
        <f>"5010927"</f>
        <v>5010927</v>
      </c>
      <c r="B15183" t="s">
        <v>9431</v>
      </c>
      <c r="C15183" t="s">
        <v>3073</v>
      </c>
      <c r="D15183" s="21" t="s">
        <v>34</v>
      </c>
      <c r="E15183" s="21" t="s">
        <v>254</v>
      </c>
      <c r="F15183">
        <v>9500030</v>
      </c>
      <c r="G15183" t="s">
        <v>2166</v>
      </c>
      <c r="H15183" s="21">
        <v>852.17</v>
      </c>
    </row>
    <row r="15184" spans="1:8" customFormat="1" x14ac:dyDescent="0.25">
      <c r="A15184" t="str">
        <f>"9514762"</f>
        <v>9514762</v>
      </c>
      <c r="B15184" t="s">
        <v>13010</v>
      </c>
      <c r="C15184" t="s">
        <v>13011</v>
      </c>
      <c r="D15184" s="21" t="s">
        <v>34</v>
      </c>
      <c r="E15184" s="21" t="s">
        <v>71</v>
      </c>
      <c r="F15184">
        <v>8951399</v>
      </c>
      <c r="G15184" t="s">
        <v>6745</v>
      </c>
      <c r="H15184" s="21">
        <v>852.17</v>
      </c>
    </row>
    <row r="15185" spans="1:8" customFormat="1" x14ac:dyDescent="0.25">
      <c r="A15185" t="str">
        <f>"869918"</f>
        <v>869918</v>
      </c>
      <c r="B15185" t="s">
        <v>3952</v>
      </c>
      <c r="C15185" t="s">
        <v>269</v>
      </c>
      <c r="D15185" s="21" t="s">
        <v>34</v>
      </c>
      <c r="E15185" s="21" t="s">
        <v>35</v>
      </c>
      <c r="F15185">
        <v>10860024</v>
      </c>
      <c r="G15185" t="s">
        <v>1770</v>
      </c>
      <c r="H15185" s="21">
        <v>852.17</v>
      </c>
    </row>
    <row r="15186" spans="1:8" customFormat="1" x14ac:dyDescent="0.25">
      <c r="A15186" t="str">
        <f>"367159"</f>
        <v>367159</v>
      </c>
      <c r="B15186" t="s">
        <v>12760</v>
      </c>
      <c r="C15186" t="s">
        <v>528</v>
      </c>
      <c r="D15186" s="21" t="s">
        <v>34</v>
      </c>
      <c r="E15186" s="21" t="s">
        <v>71</v>
      </c>
      <c r="F15186">
        <v>4360002</v>
      </c>
      <c r="G15186" t="s">
        <v>222</v>
      </c>
      <c r="H15186" s="21">
        <v>851.92</v>
      </c>
    </row>
    <row r="15187" spans="1:8" customFormat="1" x14ac:dyDescent="0.25">
      <c r="A15187" t="str">
        <f>"636447"</f>
        <v>636447</v>
      </c>
      <c r="B15187" t="s">
        <v>18048</v>
      </c>
      <c r="C15187" t="s">
        <v>3648</v>
      </c>
      <c r="D15187" s="21" t="s">
        <v>34</v>
      </c>
      <c r="E15187" s="21" t="s">
        <v>71</v>
      </c>
      <c r="F15187">
        <v>1630303</v>
      </c>
      <c r="G15187" t="s">
        <v>8915</v>
      </c>
      <c r="H15187" s="21">
        <v>851.67</v>
      </c>
    </row>
    <row r="15188" spans="1:8" customFormat="1" x14ac:dyDescent="0.25">
      <c r="A15188" t="str">
        <f>"3721100"</f>
        <v>3721100</v>
      </c>
      <c r="B15188" t="s">
        <v>7636</v>
      </c>
      <c r="C15188" t="s">
        <v>211</v>
      </c>
      <c r="D15188" s="21" t="s">
        <v>34</v>
      </c>
      <c r="E15188" s="21" t="s">
        <v>35</v>
      </c>
      <c r="F15188">
        <v>3220008</v>
      </c>
      <c r="G15188" t="s">
        <v>6845</v>
      </c>
      <c r="H15188" s="21">
        <v>851.67</v>
      </c>
    </row>
    <row r="15189" spans="1:8" customFormat="1" x14ac:dyDescent="0.25">
      <c r="A15189" t="str">
        <f>"5313990"</f>
        <v>5313990</v>
      </c>
      <c r="B15189" t="s">
        <v>7241</v>
      </c>
      <c r="C15189" t="s">
        <v>12109</v>
      </c>
      <c r="D15189" s="21" t="s">
        <v>34</v>
      </c>
      <c r="E15189" s="21" t="s">
        <v>71</v>
      </c>
      <c r="F15189">
        <v>12530105</v>
      </c>
      <c r="G15189" t="s">
        <v>4136</v>
      </c>
      <c r="H15189" s="21">
        <v>851.67</v>
      </c>
    </row>
    <row r="15190" spans="1:8" customFormat="1" x14ac:dyDescent="0.25">
      <c r="A15190" t="str">
        <f>"2933585"</f>
        <v>2933585</v>
      </c>
      <c r="B15190" t="s">
        <v>1736</v>
      </c>
      <c r="C15190" t="s">
        <v>2322</v>
      </c>
      <c r="D15190" s="21" t="s">
        <v>34</v>
      </c>
      <c r="E15190" s="21" t="s">
        <v>35</v>
      </c>
      <c r="F15190">
        <v>3290275</v>
      </c>
      <c r="G15190" t="s">
        <v>4762</v>
      </c>
      <c r="H15190" s="21">
        <v>851.67</v>
      </c>
    </row>
    <row r="15191" spans="1:8" customFormat="1" x14ac:dyDescent="0.25">
      <c r="A15191" t="str">
        <f>"6221992"</f>
        <v>6221992</v>
      </c>
      <c r="B15191" t="s">
        <v>13789</v>
      </c>
      <c r="C15191" t="s">
        <v>119</v>
      </c>
      <c r="D15191" s="21" t="s">
        <v>34</v>
      </c>
      <c r="E15191" s="21" t="s">
        <v>35</v>
      </c>
      <c r="F15191">
        <v>7620062</v>
      </c>
      <c r="G15191" t="s">
        <v>12602</v>
      </c>
      <c r="H15191" s="21">
        <v>851.67</v>
      </c>
    </row>
    <row r="15192" spans="1:8" customFormat="1" x14ac:dyDescent="0.25">
      <c r="A15192" t="str">
        <f>"413568"</f>
        <v>413568</v>
      </c>
      <c r="B15192" t="s">
        <v>5543</v>
      </c>
      <c r="C15192" t="s">
        <v>187</v>
      </c>
      <c r="D15192" s="21" t="s">
        <v>34</v>
      </c>
      <c r="E15192" s="21" t="s">
        <v>35</v>
      </c>
      <c r="F15192">
        <v>4410015</v>
      </c>
      <c r="G15192" t="s">
        <v>2223</v>
      </c>
      <c r="H15192" s="21">
        <v>851.67</v>
      </c>
    </row>
    <row r="15193" spans="1:8" customFormat="1" x14ac:dyDescent="0.25">
      <c r="A15193" t="str">
        <f>"5415415"</f>
        <v>5415415</v>
      </c>
      <c r="B15193" t="s">
        <v>14433</v>
      </c>
      <c r="C15193" t="s">
        <v>1841</v>
      </c>
      <c r="D15193" s="21" t="s">
        <v>34</v>
      </c>
      <c r="E15193" s="21" t="s">
        <v>71</v>
      </c>
      <c r="F15193">
        <v>6540040</v>
      </c>
      <c r="G15193" t="s">
        <v>256</v>
      </c>
      <c r="H15193" s="21">
        <v>851.67</v>
      </c>
    </row>
    <row r="15194" spans="1:8" customFormat="1" x14ac:dyDescent="0.25">
      <c r="A15194" t="str">
        <f>"567783"</f>
        <v>567783</v>
      </c>
      <c r="B15194" t="s">
        <v>2544</v>
      </c>
      <c r="C15194" t="s">
        <v>1914</v>
      </c>
      <c r="D15194" s="21" t="s">
        <v>34</v>
      </c>
      <c r="E15194" s="21" t="s">
        <v>71</v>
      </c>
      <c r="F15194">
        <v>3560051</v>
      </c>
      <c r="G15194" t="s">
        <v>14709</v>
      </c>
      <c r="H15194" s="21">
        <v>851.67</v>
      </c>
    </row>
    <row r="15195" spans="1:8" customFormat="1" x14ac:dyDescent="0.25">
      <c r="A15195" t="str">
        <f>"2921295"</f>
        <v>2921295</v>
      </c>
      <c r="B15195" t="s">
        <v>2203</v>
      </c>
      <c r="C15195" t="s">
        <v>3905</v>
      </c>
      <c r="D15195" s="21" t="s">
        <v>34</v>
      </c>
      <c r="E15195" s="21" t="s">
        <v>6185</v>
      </c>
      <c r="F15195">
        <v>3290029</v>
      </c>
      <c r="G15195" t="s">
        <v>11486</v>
      </c>
      <c r="H15195" s="21">
        <v>851.67</v>
      </c>
    </row>
    <row r="15196" spans="1:8" customFormat="1" x14ac:dyDescent="0.25">
      <c r="A15196" t="str">
        <f>"76711"</f>
        <v>76711</v>
      </c>
      <c r="B15196" t="s">
        <v>13127</v>
      </c>
      <c r="C15196" t="s">
        <v>453</v>
      </c>
      <c r="D15196" s="21" t="s">
        <v>34</v>
      </c>
      <c r="E15196" s="21" t="s">
        <v>254</v>
      </c>
      <c r="F15196">
        <v>9760025</v>
      </c>
      <c r="G15196" t="s">
        <v>2620</v>
      </c>
      <c r="H15196" s="21">
        <v>851.67</v>
      </c>
    </row>
    <row r="15197" spans="1:8" customFormat="1" x14ac:dyDescent="0.25">
      <c r="A15197" t="str">
        <f>"8522126"</f>
        <v>8522126</v>
      </c>
      <c r="B15197" t="s">
        <v>882</v>
      </c>
      <c r="C15197" t="s">
        <v>1588</v>
      </c>
      <c r="D15197" s="21" t="s">
        <v>34</v>
      </c>
      <c r="E15197" s="21" t="s">
        <v>35</v>
      </c>
      <c r="F15197">
        <v>12850033</v>
      </c>
      <c r="G15197" t="s">
        <v>703</v>
      </c>
      <c r="H15197" s="21">
        <v>851.67</v>
      </c>
    </row>
    <row r="15198" spans="1:8" customFormat="1" x14ac:dyDescent="0.25">
      <c r="A15198" t="str">
        <f>"865579"</f>
        <v>865579</v>
      </c>
      <c r="B15198" t="s">
        <v>13601</v>
      </c>
      <c r="C15198" t="s">
        <v>415</v>
      </c>
      <c r="D15198" s="21" t="s">
        <v>34</v>
      </c>
      <c r="E15198" s="21" t="s">
        <v>71</v>
      </c>
      <c r="F15198">
        <v>10860021</v>
      </c>
      <c r="G15198" t="s">
        <v>26820</v>
      </c>
      <c r="H15198" s="21">
        <v>851.67</v>
      </c>
    </row>
    <row r="15199" spans="1:8" customFormat="1" x14ac:dyDescent="0.25">
      <c r="A15199" t="str">
        <f>"79754"</f>
        <v>79754</v>
      </c>
      <c r="B15199" t="s">
        <v>11016</v>
      </c>
      <c r="C15199" t="s">
        <v>1597</v>
      </c>
      <c r="D15199" s="21" t="s">
        <v>34</v>
      </c>
      <c r="E15199" s="21" t="s">
        <v>254</v>
      </c>
      <c r="F15199">
        <v>10790038</v>
      </c>
      <c r="G15199" t="s">
        <v>5857</v>
      </c>
      <c r="H15199" s="21">
        <v>851.67</v>
      </c>
    </row>
    <row r="15200" spans="1:8" customFormat="1" x14ac:dyDescent="0.25">
      <c r="A15200" t="str">
        <f>"4210744"</f>
        <v>4210744</v>
      </c>
      <c r="B15200" t="s">
        <v>12588</v>
      </c>
      <c r="C15200" t="s">
        <v>719</v>
      </c>
      <c r="D15200" s="21" t="s">
        <v>34</v>
      </c>
      <c r="E15200" s="21" t="s">
        <v>35</v>
      </c>
      <c r="F15200">
        <v>1420106</v>
      </c>
      <c r="G15200" t="s">
        <v>6244</v>
      </c>
      <c r="H15200" s="21">
        <v>851.54</v>
      </c>
    </row>
    <row r="15201" spans="1:8" customFormat="1" x14ac:dyDescent="0.25">
      <c r="A15201" t="str">
        <f>"9244268"</f>
        <v>9244268</v>
      </c>
      <c r="B15201" t="s">
        <v>7399</v>
      </c>
      <c r="C15201" t="s">
        <v>90</v>
      </c>
      <c r="D15201" s="21" t="s">
        <v>34</v>
      </c>
      <c r="E15201" s="21" t="s">
        <v>35</v>
      </c>
      <c r="F15201">
        <v>8910042</v>
      </c>
      <c r="G15201" t="s">
        <v>4009</v>
      </c>
      <c r="H15201" s="21">
        <v>851.42</v>
      </c>
    </row>
    <row r="15202" spans="1:8" customFormat="1" x14ac:dyDescent="0.25">
      <c r="A15202" t="str">
        <f>"7837394"</f>
        <v>7837394</v>
      </c>
      <c r="B15202" t="s">
        <v>13567</v>
      </c>
      <c r="C15202" t="s">
        <v>415</v>
      </c>
      <c r="D15202" s="21" t="s">
        <v>34</v>
      </c>
      <c r="E15202" s="21" t="s">
        <v>71</v>
      </c>
      <c r="F15202">
        <v>8780892</v>
      </c>
      <c r="G15202" t="s">
        <v>3021</v>
      </c>
      <c r="H15202" s="21">
        <v>851.29</v>
      </c>
    </row>
    <row r="15203" spans="1:8" customFormat="1" x14ac:dyDescent="0.25">
      <c r="A15203" t="str">
        <f>"6931435"</f>
        <v>6931435</v>
      </c>
      <c r="B15203" t="s">
        <v>4686</v>
      </c>
      <c r="C15203" t="s">
        <v>33</v>
      </c>
      <c r="D15203" s="21" t="s">
        <v>34</v>
      </c>
      <c r="E15203" s="21" t="s">
        <v>35</v>
      </c>
      <c r="F15203">
        <v>1420088</v>
      </c>
      <c r="G15203" t="s">
        <v>7613</v>
      </c>
      <c r="H15203" s="21">
        <v>851.29</v>
      </c>
    </row>
    <row r="15204" spans="1:8" customFormat="1" x14ac:dyDescent="0.25">
      <c r="A15204" t="str">
        <f>"937367"</f>
        <v>937367</v>
      </c>
      <c r="B15204" t="s">
        <v>13328</v>
      </c>
      <c r="C15204" t="s">
        <v>1142</v>
      </c>
      <c r="D15204" s="21" t="s">
        <v>34</v>
      </c>
      <c r="E15204" s="21" t="s">
        <v>1089</v>
      </c>
      <c r="F15204">
        <v>8930598</v>
      </c>
      <c r="G15204" t="s">
        <v>445</v>
      </c>
      <c r="H15204" s="21">
        <v>851.29</v>
      </c>
    </row>
    <row r="15205" spans="1:8" customFormat="1" x14ac:dyDescent="0.25">
      <c r="A15205" t="str">
        <f>"6227848"</f>
        <v>6227848</v>
      </c>
      <c r="B15205" t="s">
        <v>13699</v>
      </c>
      <c r="C15205" t="s">
        <v>121</v>
      </c>
      <c r="D15205" s="21" t="s">
        <v>34</v>
      </c>
      <c r="E15205" s="21" t="s">
        <v>35</v>
      </c>
      <c r="F15205">
        <v>7620017</v>
      </c>
      <c r="G15205" t="s">
        <v>6559</v>
      </c>
      <c r="H15205" s="21">
        <v>851.17</v>
      </c>
    </row>
    <row r="15206" spans="1:8" customFormat="1" x14ac:dyDescent="0.25">
      <c r="A15206" t="str">
        <f>"8018142"</f>
        <v>8018142</v>
      </c>
      <c r="B15206" t="s">
        <v>8252</v>
      </c>
      <c r="C15206" t="s">
        <v>2752</v>
      </c>
      <c r="D15206" s="21" t="s">
        <v>34</v>
      </c>
      <c r="E15206" s="21" t="s">
        <v>71</v>
      </c>
      <c r="F15206">
        <v>7800011</v>
      </c>
      <c r="G15206" t="s">
        <v>2253</v>
      </c>
      <c r="H15206" s="21">
        <v>851.17</v>
      </c>
    </row>
    <row r="15207" spans="1:8" customFormat="1" x14ac:dyDescent="0.25">
      <c r="A15207" t="str">
        <f>"424912"</f>
        <v>424912</v>
      </c>
      <c r="B15207" t="s">
        <v>14007</v>
      </c>
      <c r="C15207" t="s">
        <v>263</v>
      </c>
      <c r="D15207" s="21" t="s">
        <v>34</v>
      </c>
      <c r="E15207" s="21" t="s">
        <v>71</v>
      </c>
      <c r="F15207">
        <v>1420152</v>
      </c>
      <c r="G15207" t="s">
        <v>2948</v>
      </c>
      <c r="H15207" s="21">
        <v>851.17</v>
      </c>
    </row>
    <row r="15208" spans="1:8" customFormat="1" x14ac:dyDescent="0.25">
      <c r="A15208" t="str">
        <f>"769904"</f>
        <v>769904</v>
      </c>
      <c r="B15208" t="s">
        <v>12008</v>
      </c>
      <c r="C15208" t="s">
        <v>43</v>
      </c>
      <c r="D15208" s="21" t="s">
        <v>34</v>
      </c>
      <c r="E15208" s="21" t="s">
        <v>35</v>
      </c>
      <c r="F15208">
        <v>9760270</v>
      </c>
      <c r="G15208" t="s">
        <v>4167</v>
      </c>
      <c r="H15208" s="21">
        <v>851.17</v>
      </c>
    </row>
    <row r="15209" spans="1:8" customFormat="1" x14ac:dyDescent="0.25">
      <c r="A15209" t="str">
        <f>"4919003"</f>
        <v>4919003</v>
      </c>
      <c r="B15209" t="s">
        <v>2089</v>
      </c>
      <c r="C15209" t="s">
        <v>428</v>
      </c>
      <c r="D15209" s="21" t="s">
        <v>34</v>
      </c>
      <c r="E15209" s="21" t="s">
        <v>71</v>
      </c>
      <c r="F15209">
        <v>12490120</v>
      </c>
      <c r="G15209" t="s">
        <v>2316</v>
      </c>
      <c r="H15209" s="21">
        <v>851.17</v>
      </c>
    </row>
    <row r="15210" spans="1:8" customFormat="1" x14ac:dyDescent="0.25">
      <c r="A15210" t="str">
        <f>"7827600"</f>
        <v>7827600</v>
      </c>
      <c r="B15210" t="s">
        <v>10868</v>
      </c>
      <c r="C15210" t="s">
        <v>598</v>
      </c>
      <c r="D15210" s="21" t="s">
        <v>34</v>
      </c>
      <c r="E15210" s="21" t="s">
        <v>71</v>
      </c>
      <c r="F15210">
        <v>8780660</v>
      </c>
      <c r="G15210" t="s">
        <v>2801</v>
      </c>
      <c r="H15210" s="21">
        <v>851.17</v>
      </c>
    </row>
    <row r="15211" spans="1:8" customFormat="1" x14ac:dyDescent="0.25">
      <c r="A15211" t="str">
        <f>"4921324"</f>
        <v>4921324</v>
      </c>
      <c r="B15211" t="s">
        <v>1855</v>
      </c>
      <c r="C15211" t="s">
        <v>40</v>
      </c>
      <c r="D15211" s="21" t="s">
        <v>34</v>
      </c>
      <c r="E15211" s="21" t="s">
        <v>71</v>
      </c>
      <c r="F15211">
        <v>12490019</v>
      </c>
      <c r="G15211" t="s">
        <v>14652</v>
      </c>
      <c r="H15211" s="21">
        <v>851.17</v>
      </c>
    </row>
    <row r="15212" spans="1:8" customFormat="1" x14ac:dyDescent="0.25">
      <c r="A15212" t="str">
        <f>"85446"</f>
        <v>85446</v>
      </c>
      <c r="B15212" t="s">
        <v>11772</v>
      </c>
      <c r="C15212" t="s">
        <v>124</v>
      </c>
      <c r="D15212" s="21" t="s">
        <v>34</v>
      </c>
      <c r="E15212" s="21" t="s">
        <v>254</v>
      </c>
      <c r="F15212">
        <v>12850014</v>
      </c>
      <c r="G15212" t="s">
        <v>10467</v>
      </c>
      <c r="H15212" s="21">
        <v>851.17</v>
      </c>
    </row>
    <row r="15213" spans="1:8" customFormat="1" x14ac:dyDescent="0.25">
      <c r="A15213" t="str">
        <f>"80494"</f>
        <v>80494</v>
      </c>
      <c r="B15213" t="s">
        <v>64</v>
      </c>
      <c r="C15213" t="s">
        <v>2752</v>
      </c>
      <c r="D15213" s="21" t="s">
        <v>34</v>
      </c>
      <c r="E15213" s="21" t="s">
        <v>71</v>
      </c>
      <c r="F15213">
        <v>7800061</v>
      </c>
      <c r="G15213" t="s">
        <v>1330</v>
      </c>
      <c r="H15213" s="21">
        <v>851.17</v>
      </c>
    </row>
    <row r="15214" spans="1:8" customFormat="1" x14ac:dyDescent="0.25">
      <c r="A15214" t="str">
        <f>"177073"</f>
        <v>177073</v>
      </c>
      <c r="B15214" t="s">
        <v>2722</v>
      </c>
      <c r="C15214" t="s">
        <v>204</v>
      </c>
      <c r="D15214" s="21" t="s">
        <v>34</v>
      </c>
      <c r="E15214" s="21" t="s">
        <v>71</v>
      </c>
      <c r="F15214">
        <v>10170046</v>
      </c>
      <c r="G15214" t="s">
        <v>7370</v>
      </c>
      <c r="H15214" s="21">
        <v>851.17</v>
      </c>
    </row>
    <row r="15215" spans="1:8" customFormat="1" x14ac:dyDescent="0.25">
      <c r="A15215" t="str">
        <f>"1612600"</f>
        <v>1612600</v>
      </c>
      <c r="B15215" t="s">
        <v>15798</v>
      </c>
      <c r="C15215" t="s">
        <v>1832</v>
      </c>
      <c r="D15215" s="21" t="s">
        <v>34</v>
      </c>
      <c r="E15215" s="21" t="s">
        <v>71</v>
      </c>
      <c r="F15215">
        <v>10160047</v>
      </c>
      <c r="G15215" t="s">
        <v>13957</v>
      </c>
      <c r="H15215" s="21">
        <v>851.17</v>
      </c>
    </row>
    <row r="15216" spans="1:8" customFormat="1" x14ac:dyDescent="0.25">
      <c r="A15216" t="str">
        <f>"405265"</f>
        <v>405265</v>
      </c>
      <c r="B15216" t="s">
        <v>27370</v>
      </c>
      <c r="C15216" t="s">
        <v>4961</v>
      </c>
      <c r="D15216" s="21" t="s">
        <v>34</v>
      </c>
      <c r="E15216" s="21" t="s">
        <v>35</v>
      </c>
      <c r="F15216">
        <v>6510110</v>
      </c>
      <c r="G15216" t="s">
        <v>9011</v>
      </c>
      <c r="H15216" s="21">
        <v>851.17</v>
      </c>
    </row>
    <row r="15217" spans="1:8" customFormat="1" x14ac:dyDescent="0.25">
      <c r="A15217" t="str">
        <f>"2928252"</f>
        <v>2928252</v>
      </c>
      <c r="B15217" t="s">
        <v>6107</v>
      </c>
      <c r="C15217" t="s">
        <v>1199</v>
      </c>
      <c r="D15217" s="21" t="s">
        <v>34</v>
      </c>
      <c r="E15217" s="21" t="s">
        <v>254</v>
      </c>
      <c r="F15217">
        <v>3290207</v>
      </c>
      <c r="G15217" t="s">
        <v>8805</v>
      </c>
      <c r="H15217" s="21">
        <v>851.17</v>
      </c>
    </row>
    <row r="15218" spans="1:8" customFormat="1" x14ac:dyDescent="0.25">
      <c r="A15218" t="str">
        <f>"7717922"</f>
        <v>7717922</v>
      </c>
      <c r="B15218" t="s">
        <v>13313</v>
      </c>
      <c r="C15218" t="s">
        <v>249</v>
      </c>
      <c r="D15218" s="21" t="s">
        <v>34</v>
      </c>
      <c r="E15218" s="21" t="s">
        <v>71</v>
      </c>
      <c r="F15218">
        <v>1630078</v>
      </c>
      <c r="G15218" t="s">
        <v>326</v>
      </c>
      <c r="H15218" s="21">
        <v>851.17</v>
      </c>
    </row>
    <row r="15219" spans="1:8" customFormat="1" x14ac:dyDescent="0.25">
      <c r="A15219" t="str">
        <f>"4913416"</f>
        <v>4913416</v>
      </c>
      <c r="B15219" t="s">
        <v>12353</v>
      </c>
      <c r="C15219" t="s">
        <v>87</v>
      </c>
      <c r="D15219" s="21" t="s">
        <v>34</v>
      </c>
      <c r="E15219" s="21" t="s">
        <v>71</v>
      </c>
      <c r="F15219">
        <v>12490073</v>
      </c>
      <c r="G15219" t="s">
        <v>296</v>
      </c>
      <c r="H15219" s="21">
        <v>851.17</v>
      </c>
    </row>
    <row r="15220" spans="1:8" customFormat="1" x14ac:dyDescent="0.25">
      <c r="A15220" t="str">
        <f>"364604"</f>
        <v>364604</v>
      </c>
      <c r="B15220" t="s">
        <v>27371</v>
      </c>
      <c r="C15220" t="s">
        <v>515</v>
      </c>
      <c r="D15220" s="21" t="s">
        <v>34</v>
      </c>
      <c r="E15220" s="21" t="s">
        <v>35</v>
      </c>
      <c r="F15220">
        <v>4360343</v>
      </c>
      <c r="G15220" t="s">
        <v>6348</v>
      </c>
      <c r="H15220" s="21">
        <v>851.04</v>
      </c>
    </row>
    <row r="15221" spans="1:8" customFormat="1" x14ac:dyDescent="0.25">
      <c r="A15221" t="str">
        <f>"717981"</f>
        <v>717981</v>
      </c>
      <c r="B15221" t="s">
        <v>14440</v>
      </c>
      <c r="C15221" t="s">
        <v>60</v>
      </c>
      <c r="D15221" s="21" t="s">
        <v>34</v>
      </c>
      <c r="E15221" s="21" t="s">
        <v>35</v>
      </c>
      <c r="F15221">
        <v>2710041</v>
      </c>
      <c r="G15221" t="s">
        <v>389</v>
      </c>
      <c r="H15221" s="21">
        <v>850.92</v>
      </c>
    </row>
    <row r="15222" spans="1:8" customFormat="1" x14ac:dyDescent="0.25">
      <c r="A15222" t="str">
        <f>"7622786"</f>
        <v>7622786</v>
      </c>
      <c r="B15222" t="s">
        <v>15850</v>
      </c>
      <c r="C15222" t="s">
        <v>453</v>
      </c>
      <c r="D15222" s="21" t="s">
        <v>34</v>
      </c>
      <c r="E15222" s="21" t="s">
        <v>254</v>
      </c>
      <c r="F15222">
        <v>9760414</v>
      </c>
      <c r="G15222" t="s">
        <v>142</v>
      </c>
      <c r="H15222" s="21">
        <v>850.92</v>
      </c>
    </row>
    <row r="15223" spans="1:8" customFormat="1" x14ac:dyDescent="0.25">
      <c r="A15223" t="str">
        <f>"939325"</f>
        <v>939325</v>
      </c>
      <c r="B15223" t="s">
        <v>1744</v>
      </c>
      <c r="C15223" t="s">
        <v>169</v>
      </c>
      <c r="D15223" s="21" t="s">
        <v>34</v>
      </c>
      <c r="E15223" s="21" t="s">
        <v>71</v>
      </c>
      <c r="F15223">
        <v>8930610</v>
      </c>
      <c r="G15223" t="s">
        <v>3002</v>
      </c>
      <c r="H15223" s="21">
        <v>850.79</v>
      </c>
    </row>
    <row r="15224" spans="1:8" customFormat="1" x14ac:dyDescent="0.25">
      <c r="A15224" t="str">
        <f>"6925261"</f>
        <v>6925261</v>
      </c>
      <c r="B15224" t="s">
        <v>25992</v>
      </c>
      <c r="C15224" t="s">
        <v>719</v>
      </c>
      <c r="D15224" s="21" t="s">
        <v>34</v>
      </c>
      <c r="E15224" s="21" t="s">
        <v>35</v>
      </c>
      <c r="F15224">
        <v>1690123</v>
      </c>
      <c r="G15224" t="s">
        <v>5156</v>
      </c>
      <c r="H15224" s="21">
        <v>850.67</v>
      </c>
    </row>
    <row r="15225" spans="1:8" customFormat="1" x14ac:dyDescent="0.25">
      <c r="A15225" t="str">
        <f>"617220"</f>
        <v>617220</v>
      </c>
      <c r="B15225" t="s">
        <v>4096</v>
      </c>
      <c r="C15225" t="s">
        <v>598</v>
      </c>
      <c r="D15225" s="21" t="s">
        <v>34</v>
      </c>
      <c r="E15225" s="21" t="s">
        <v>1089</v>
      </c>
      <c r="F15225">
        <v>9610055</v>
      </c>
      <c r="G15225" t="s">
        <v>13803</v>
      </c>
      <c r="H15225" s="21">
        <v>850.67</v>
      </c>
    </row>
    <row r="15226" spans="1:8" customFormat="1" x14ac:dyDescent="0.25">
      <c r="A15226" t="str">
        <f>"7625174"</f>
        <v>7625174</v>
      </c>
      <c r="B15226" t="s">
        <v>6229</v>
      </c>
      <c r="C15226" t="s">
        <v>2806</v>
      </c>
      <c r="D15226" s="21" t="s">
        <v>34</v>
      </c>
      <c r="E15226" s="21" t="s">
        <v>254</v>
      </c>
      <c r="F15226">
        <v>9760351</v>
      </c>
      <c r="G15226" t="s">
        <v>5898</v>
      </c>
      <c r="H15226" s="21">
        <v>850.67</v>
      </c>
    </row>
    <row r="15227" spans="1:8" customFormat="1" x14ac:dyDescent="0.25">
      <c r="A15227" t="str">
        <f>"191013"</f>
        <v>191013</v>
      </c>
      <c r="B15227" t="s">
        <v>13472</v>
      </c>
      <c r="C15227" t="s">
        <v>462</v>
      </c>
      <c r="D15227" s="21" t="s">
        <v>34</v>
      </c>
      <c r="E15227" s="21" t="s">
        <v>35</v>
      </c>
      <c r="F15227">
        <v>10190133</v>
      </c>
      <c r="G15227" t="s">
        <v>13392</v>
      </c>
      <c r="H15227" s="21">
        <v>850.67</v>
      </c>
    </row>
    <row r="15228" spans="1:8" customFormat="1" x14ac:dyDescent="0.25">
      <c r="A15228" t="str">
        <f>"4917249"</f>
        <v>4917249</v>
      </c>
      <c r="B15228" t="s">
        <v>697</v>
      </c>
      <c r="C15228" t="s">
        <v>33</v>
      </c>
      <c r="D15228" s="21" t="s">
        <v>34</v>
      </c>
      <c r="E15228" s="21" t="s">
        <v>35</v>
      </c>
      <c r="F15228">
        <v>12490039</v>
      </c>
      <c r="G15228" t="s">
        <v>3453</v>
      </c>
      <c r="H15228" s="21">
        <v>850.67</v>
      </c>
    </row>
    <row r="15229" spans="1:8" customFormat="1" x14ac:dyDescent="0.25">
      <c r="A15229" t="str">
        <f>"1610551"</f>
        <v>1610551</v>
      </c>
      <c r="B15229" t="s">
        <v>12671</v>
      </c>
      <c r="C15229" t="s">
        <v>453</v>
      </c>
      <c r="D15229" s="21" t="s">
        <v>34</v>
      </c>
      <c r="E15229" s="21" t="s">
        <v>254</v>
      </c>
      <c r="F15229">
        <v>10160013</v>
      </c>
      <c r="G15229" t="s">
        <v>12672</v>
      </c>
      <c r="H15229" s="21">
        <v>850.67</v>
      </c>
    </row>
    <row r="15230" spans="1:8" customFormat="1" x14ac:dyDescent="0.25">
      <c r="A15230" t="str">
        <f>"4925060"</f>
        <v>4925060</v>
      </c>
      <c r="B15230" t="s">
        <v>8044</v>
      </c>
      <c r="C15230" t="s">
        <v>2276</v>
      </c>
      <c r="D15230" s="21" t="s">
        <v>34</v>
      </c>
      <c r="E15230" s="21" t="s">
        <v>254</v>
      </c>
      <c r="F15230">
        <v>12490107</v>
      </c>
      <c r="G15230" t="s">
        <v>715</v>
      </c>
      <c r="H15230" s="21">
        <v>850.67</v>
      </c>
    </row>
    <row r="15231" spans="1:8" customFormat="1" x14ac:dyDescent="0.25">
      <c r="A15231" t="str">
        <f>"427843"</f>
        <v>427843</v>
      </c>
      <c r="B15231" t="s">
        <v>946</v>
      </c>
      <c r="C15231" t="s">
        <v>1110</v>
      </c>
      <c r="D15231" s="21" t="s">
        <v>34</v>
      </c>
      <c r="E15231" s="21" t="s">
        <v>254</v>
      </c>
      <c r="F15231">
        <v>1420048</v>
      </c>
      <c r="G15231" t="s">
        <v>745</v>
      </c>
      <c r="H15231" s="21">
        <v>850.67</v>
      </c>
    </row>
    <row r="15232" spans="1:8" customFormat="1" x14ac:dyDescent="0.25">
      <c r="A15232" t="str">
        <f>"357064"</f>
        <v>357064</v>
      </c>
      <c r="B15232" t="s">
        <v>13554</v>
      </c>
      <c r="C15232" t="s">
        <v>3784</v>
      </c>
      <c r="D15232" s="21" t="s">
        <v>34</v>
      </c>
      <c r="E15232" s="21" t="s">
        <v>254</v>
      </c>
      <c r="F15232">
        <v>3350047</v>
      </c>
      <c r="G15232" t="s">
        <v>9797</v>
      </c>
      <c r="H15232" s="21">
        <v>850.67</v>
      </c>
    </row>
    <row r="15233" spans="1:8" customFormat="1" x14ac:dyDescent="0.25">
      <c r="A15233" t="str">
        <f>"256113"</f>
        <v>256113</v>
      </c>
      <c r="B15233" t="s">
        <v>13585</v>
      </c>
      <c r="C15233" t="s">
        <v>124</v>
      </c>
      <c r="D15233" s="21" t="s">
        <v>34</v>
      </c>
      <c r="E15233" s="21" t="s">
        <v>71</v>
      </c>
      <c r="F15233">
        <v>2250132</v>
      </c>
      <c r="G15233" t="s">
        <v>7748</v>
      </c>
      <c r="H15233" s="21">
        <v>850.67</v>
      </c>
    </row>
    <row r="15234" spans="1:8" customFormat="1" x14ac:dyDescent="0.25">
      <c r="A15234" t="str">
        <f>"4422976"</f>
        <v>4422976</v>
      </c>
      <c r="B15234" t="s">
        <v>8977</v>
      </c>
      <c r="C15234" t="s">
        <v>33</v>
      </c>
      <c r="D15234" s="21" t="s">
        <v>34</v>
      </c>
      <c r="E15234" s="21" t="s">
        <v>71</v>
      </c>
      <c r="F15234">
        <v>12440039</v>
      </c>
      <c r="G15234" t="s">
        <v>9650</v>
      </c>
      <c r="H15234" s="21">
        <v>850.67</v>
      </c>
    </row>
    <row r="15235" spans="1:8" customFormat="1" x14ac:dyDescent="0.25">
      <c r="A15235" t="str">
        <f>"8013167"</f>
        <v>8013167</v>
      </c>
      <c r="B15235" t="s">
        <v>13884</v>
      </c>
      <c r="C15235" t="s">
        <v>3115</v>
      </c>
      <c r="D15235" s="21" t="s">
        <v>34</v>
      </c>
      <c r="E15235" s="21" t="s">
        <v>71</v>
      </c>
      <c r="F15235">
        <v>7800020</v>
      </c>
      <c r="G15235" t="s">
        <v>11608</v>
      </c>
      <c r="H15235" s="21">
        <v>850.67</v>
      </c>
    </row>
    <row r="15236" spans="1:8" customFormat="1" x14ac:dyDescent="0.25">
      <c r="A15236" t="str">
        <f>"9420111"</f>
        <v>9420111</v>
      </c>
      <c r="B15236" t="s">
        <v>12873</v>
      </c>
      <c r="C15236" t="s">
        <v>3662</v>
      </c>
      <c r="D15236" s="21" t="s">
        <v>34</v>
      </c>
      <c r="E15236" s="21" t="s">
        <v>35</v>
      </c>
      <c r="F15236">
        <v>8910102</v>
      </c>
      <c r="G15236" t="s">
        <v>3079</v>
      </c>
      <c r="H15236" s="21">
        <v>850.67</v>
      </c>
    </row>
    <row r="15237" spans="1:8" customFormat="1" x14ac:dyDescent="0.25">
      <c r="A15237" t="str">
        <f>"7710472"</f>
        <v>7710472</v>
      </c>
      <c r="B15237" t="s">
        <v>14148</v>
      </c>
      <c r="C15237" t="s">
        <v>285</v>
      </c>
      <c r="D15237" s="21" t="s">
        <v>34</v>
      </c>
      <c r="E15237" s="21" t="s">
        <v>35</v>
      </c>
      <c r="F15237">
        <v>8770474</v>
      </c>
      <c r="G15237" t="s">
        <v>1600</v>
      </c>
      <c r="H15237" s="21">
        <v>850.67</v>
      </c>
    </row>
    <row r="15238" spans="1:8" customFormat="1" x14ac:dyDescent="0.25">
      <c r="A15238" t="str">
        <f>"5321011"</f>
        <v>5321011</v>
      </c>
      <c r="B15238" t="s">
        <v>2669</v>
      </c>
      <c r="C15238" t="s">
        <v>3073</v>
      </c>
      <c r="D15238" s="21" t="s">
        <v>34</v>
      </c>
      <c r="E15238" s="21" t="s">
        <v>254</v>
      </c>
      <c r="F15238">
        <v>12530116</v>
      </c>
      <c r="G15238" t="s">
        <v>7881</v>
      </c>
      <c r="H15238" s="21">
        <v>850.67</v>
      </c>
    </row>
    <row r="15239" spans="1:8" customFormat="1" x14ac:dyDescent="0.25">
      <c r="A15239" t="str">
        <f>"2718518"</f>
        <v>2718518</v>
      </c>
      <c r="B15239" t="s">
        <v>9102</v>
      </c>
      <c r="C15239" t="s">
        <v>60</v>
      </c>
      <c r="D15239" s="21" t="s">
        <v>34</v>
      </c>
      <c r="E15239" s="21" t="s">
        <v>35</v>
      </c>
      <c r="F15239">
        <v>9270005</v>
      </c>
      <c r="G15239" t="s">
        <v>1255</v>
      </c>
      <c r="H15239" s="21">
        <v>850.42</v>
      </c>
    </row>
    <row r="15240" spans="1:8" customFormat="1" x14ac:dyDescent="0.25">
      <c r="A15240" t="str">
        <f>"931402"</f>
        <v>931402</v>
      </c>
      <c r="B15240" t="s">
        <v>4033</v>
      </c>
      <c r="C15240" t="s">
        <v>2100</v>
      </c>
      <c r="D15240" s="21" t="s">
        <v>34</v>
      </c>
      <c r="E15240" s="21" t="s">
        <v>254</v>
      </c>
      <c r="F15240">
        <v>8771154</v>
      </c>
      <c r="G15240" t="s">
        <v>3625</v>
      </c>
      <c r="H15240" s="21">
        <v>850.42</v>
      </c>
    </row>
    <row r="15241" spans="1:8" customFormat="1" x14ac:dyDescent="0.25">
      <c r="A15241" t="str">
        <f>"898136"</f>
        <v>898136</v>
      </c>
      <c r="B15241" t="s">
        <v>13630</v>
      </c>
      <c r="C15241" t="s">
        <v>267</v>
      </c>
      <c r="D15241" s="21" t="s">
        <v>34</v>
      </c>
      <c r="E15241" s="21" t="s">
        <v>254</v>
      </c>
      <c r="F15241">
        <v>2890010</v>
      </c>
      <c r="G15241" t="s">
        <v>3790</v>
      </c>
      <c r="H15241" s="21">
        <v>850.42</v>
      </c>
    </row>
    <row r="15242" spans="1:8" customFormat="1" x14ac:dyDescent="0.25">
      <c r="A15242" t="str">
        <f>"801402"</f>
        <v>801402</v>
      </c>
      <c r="B15242" t="s">
        <v>11244</v>
      </c>
      <c r="C15242" t="s">
        <v>1132</v>
      </c>
      <c r="D15242" s="21" t="s">
        <v>34</v>
      </c>
      <c r="E15242" s="21" t="s">
        <v>254</v>
      </c>
      <c r="F15242">
        <v>7800061</v>
      </c>
      <c r="G15242" t="s">
        <v>1330</v>
      </c>
      <c r="H15242" s="21">
        <v>850.29</v>
      </c>
    </row>
    <row r="15243" spans="1:8" customFormat="1" x14ac:dyDescent="0.25">
      <c r="A15243" t="str">
        <f>"5953783"</f>
        <v>5953783</v>
      </c>
      <c r="B15243" t="s">
        <v>10492</v>
      </c>
      <c r="C15243" t="s">
        <v>13347</v>
      </c>
      <c r="D15243" s="21" t="s">
        <v>34</v>
      </c>
      <c r="E15243" s="21" t="s">
        <v>71</v>
      </c>
      <c r="F15243">
        <v>7590027</v>
      </c>
      <c r="G15243" t="s">
        <v>629</v>
      </c>
      <c r="H15243" s="21">
        <v>850.17</v>
      </c>
    </row>
    <row r="15244" spans="1:8" customFormat="1" x14ac:dyDescent="0.25">
      <c r="A15244" t="str">
        <f>"428259"</f>
        <v>428259</v>
      </c>
      <c r="B15244" t="s">
        <v>14268</v>
      </c>
      <c r="C15244" t="s">
        <v>209</v>
      </c>
      <c r="D15244" s="21" t="s">
        <v>34</v>
      </c>
      <c r="E15244" s="21" t="s">
        <v>71</v>
      </c>
      <c r="F15244">
        <v>1420151</v>
      </c>
      <c r="G15244" t="s">
        <v>6802</v>
      </c>
      <c r="H15244" s="21">
        <v>850.17</v>
      </c>
    </row>
    <row r="15245" spans="1:8" customFormat="1" x14ac:dyDescent="0.25">
      <c r="A15245" t="str">
        <f>"243444"</f>
        <v>243444</v>
      </c>
      <c r="B15245" t="s">
        <v>1347</v>
      </c>
      <c r="C15245" t="s">
        <v>822</v>
      </c>
      <c r="D15245" s="21" t="s">
        <v>34</v>
      </c>
      <c r="E15245" s="21" t="s">
        <v>71</v>
      </c>
      <c r="F15245">
        <v>10640004</v>
      </c>
      <c r="G15245" t="s">
        <v>26618</v>
      </c>
      <c r="H15245" s="21">
        <v>850.17</v>
      </c>
    </row>
    <row r="15246" spans="1:8" customFormat="1" x14ac:dyDescent="0.25">
      <c r="A15246" t="str">
        <f>"724412"</f>
        <v>724412</v>
      </c>
      <c r="B15246" t="s">
        <v>13370</v>
      </c>
      <c r="C15246" t="s">
        <v>564</v>
      </c>
      <c r="D15246" s="21" t="s">
        <v>34</v>
      </c>
      <c r="E15246" s="21" t="s">
        <v>254</v>
      </c>
      <c r="F15246">
        <v>12720071</v>
      </c>
      <c r="G15246" t="s">
        <v>783</v>
      </c>
      <c r="H15246" s="21">
        <v>850.17</v>
      </c>
    </row>
    <row r="15247" spans="1:8" customFormat="1" x14ac:dyDescent="0.25">
      <c r="A15247" t="str">
        <f>"254068"</f>
        <v>254068</v>
      </c>
      <c r="B15247" t="s">
        <v>1892</v>
      </c>
      <c r="C15247" t="s">
        <v>206</v>
      </c>
      <c r="D15247" s="21" t="s">
        <v>34</v>
      </c>
      <c r="E15247" s="21" t="s">
        <v>35</v>
      </c>
      <c r="F15247">
        <v>8781471</v>
      </c>
      <c r="G15247" t="s">
        <v>9616</v>
      </c>
      <c r="H15247" s="21">
        <v>850.17</v>
      </c>
    </row>
    <row r="15248" spans="1:8" customFormat="1" x14ac:dyDescent="0.25">
      <c r="A15248" t="str">
        <f>"7620422"</f>
        <v>7620422</v>
      </c>
      <c r="B15248" t="s">
        <v>1113</v>
      </c>
      <c r="C15248" t="s">
        <v>328</v>
      </c>
      <c r="D15248" s="21" t="s">
        <v>34</v>
      </c>
      <c r="E15248" s="21" t="s">
        <v>71</v>
      </c>
      <c r="F15248">
        <v>9760403</v>
      </c>
      <c r="G15248" t="s">
        <v>11140</v>
      </c>
      <c r="H15248" s="21">
        <v>850.17</v>
      </c>
    </row>
    <row r="15249" spans="1:8" customFormat="1" x14ac:dyDescent="0.25">
      <c r="A15249" t="str">
        <f>"888223"</f>
        <v>888223</v>
      </c>
      <c r="B15249" t="s">
        <v>12697</v>
      </c>
      <c r="C15249" t="s">
        <v>151</v>
      </c>
      <c r="D15249" s="21" t="s">
        <v>34</v>
      </c>
      <c r="E15249" s="21" t="s">
        <v>71</v>
      </c>
      <c r="F15249">
        <v>6880051</v>
      </c>
      <c r="G15249" t="s">
        <v>6116</v>
      </c>
      <c r="H15249" s="21">
        <v>850.17</v>
      </c>
    </row>
    <row r="15250" spans="1:8" customFormat="1" x14ac:dyDescent="0.25">
      <c r="A15250" t="str">
        <f>"85225"</f>
        <v>85225</v>
      </c>
      <c r="B15250" t="s">
        <v>3900</v>
      </c>
      <c r="C15250" t="s">
        <v>1231</v>
      </c>
      <c r="D15250" s="21" t="s">
        <v>34</v>
      </c>
      <c r="E15250" s="21" t="s">
        <v>254</v>
      </c>
      <c r="F15250">
        <v>12850007</v>
      </c>
      <c r="G15250" t="s">
        <v>7649</v>
      </c>
      <c r="H15250" s="21">
        <v>850.17</v>
      </c>
    </row>
    <row r="15251" spans="1:8" customFormat="1" x14ac:dyDescent="0.25">
      <c r="A15251" t="str">
        <f>"3827815"</f>
        <v>3827815</v>
      </c>
      <c r="B15251" t="s">
        <v>2854</v>
      </c>
      <c r="C15251" t="s">
        <v>16042</v>
      </c>
      <c r="D15251" s="21" t="s">
        <v>34</v>
      </c>
      <c r="E15251" s="21" t="s">
        <v>35</v>
      </c>
      <c r="F15251">
        <v>1380130</v>
      </c>
      <c r="G15251" t="s">
        <v>6667</v>
      </c>
      <c r="H15251" s="21">
        <v>850.17</v>
      </c>
    </row>
    <row r="15252" spans="1:8" customFormat="1" x14ac:dyDescent="0.25">
      <c r="A15252" t="str">
        <f>"9513584"</f>
        <v>9513584</v>
      </c>
      <c r="B15252" t="s">
        <v>7531</v>
      </c>
      <c r="C15252" t="s">
        <v>124</v>
      </c>
      <c r="D15252" s="21" t="s">
        <v>34</v>
      </c>
      <c r="E15252" s="21" t="s">
        <v>254</v>
      </c>
      <c r="F15252">
        <v>7600168</v>
      </c>
      <c r="G15252" t="s">
        <v>27372</v>
      </c>
      <c r="H15252" s="21">
        <v>850.17</v>
      </c>
    </row>
    <row r="15253" spans="1:8" customFormat="1" x14ac:dyDescent="0.25">
      <c r="A15253" t="str">
        <f>"9145794"</f>
        <v>9145794</v>
      </c>
      <c r="B15253" t="s">
        <v>3238</v>
      </c>
      <c r="C15253" t="s">
        <v>249</v>
      </c>
      <c r="D15253" s="21" t="s">
        <v>34</v>
      </c>
      <c r="E15253" s="21" t="s">
        <v>71</v>
      </c>
      <c r="F15253">
        <v>8910165</v>
      </c>
      <c r="G15253" t="s">
        <v>3184</v>
      </c>
      <c r="H15253" s="21">
        <v>850.17</v>
      </c>
    </row>
    <row r="15254" spans="1:8" customFormat="1" x14ac:dyDescent="0.25">
      <c r="A15254" t="str">
        <f>"912108"</f>
        <v>912108</v>
      </c>
      <c r="B15254" t="s">
        <v>11665</v>
      </c>
      <c r="C15254" t="s">
        <v>1705</v>
      </c>
      <c r="D15254" s="21" t="s">
        <v>34</v>
      </c>
      <c r="E15254" s="21" t="s">
        <v>254</v>
      </c>
      <c r="F15254">
        <v>8910310</v>
      </c>
      <c r="G15254" t="s">
        <v>6645</v>
      </c>
      <c r="H15254" s="21">
        <v>850.17</v>
      </c>
    </row>
    <row r="15255" spans="1:8" customFormat="1" x14ac:dyDescent="0.25">
      <c r="A15255" t="str">
        <f>"691959"</f>
        <v>691959</v>
      </c>
      <c r="B15255" t="s">
        <v>4128</v>
      </c>
      <c r="C15255" t="s">
        <v>198</v>
      </c>
      <c r="D15255" s="21" t="s">
        <v>34</v>
      </c>
      <c r="E15255" s="21" t="s">
        <v>71</v>
      </c>
      <c r="F15255">
        <v>1690223</v>
      </c>
      <c r="G15255" t="s">
        <v>26579</v>
      </c>
      <c r="H15255" s="21">
        <v>850.17</v>
      </c>
    </row>
    <row r="15256" spans="1:8" customFormat="1" x14ac:dyDescent="0.25">
      <c r="A15256" t="str">
        <f>"7827446"</f>
        <v>7827446</v>
      </c>
      <c r="B15256" t="s">
        <v>2973</v>
      </c>
      <c r="C15256" t="s">
        <v>151</v>
      </c>
      <c r="D15256" s="21" t="s">
        <v>34</v>
      </c>
      <c r="E15256" s="21" t="s">
        <v>35</v>
      </c>
      <c r="F15256">
        <v>8780585</v>
      </c>
      <c r="G15256" t="s">
        <v>4630</v>
      </c>
      <c r="H15256" s="21">
        <v>850.17</v>
      </c>
    </row>
    <row r="15257" spans="1:8" customFormat="1" x14ac:dyDescent="0.25">
      <c r="A15257" t="str">
        <f>"3514206"</f>
        <v>3514206</v>
      </c>
      <c r="B15257" t="s">
        <v>11861</v>
      </c>
      <c r="C15257" t="s">
        <v>209</v>
      </c>
      <c r="D15257" s="21" t="s">
        <v>34</v>
      </c>
      <c r="E15257" s="21" t="s">
        <v>254</v>
      </c>
      <c r="F15257">
        <v>3350011</v>
      </c>
      <c r="G15257" t="s">
        <v>2404</v>
      </c>
      <c r="H15257" s="21">
        <v>850.17</v>
      </c>
    </row>
    <row r="15258" spans="1:8" customFormat="1" x14ac:dyDescent="0.25">
      <c r="A15258" t="str">
        <f>"385743"</f>
        <v>385743</v>
      </c>
      <c r="B15258" t="s">
        <v>12118</v>
      </c>
      <c r="C15258" t="s">
        <v>453</v>
      </c>
      <c r="D15258" s="21" t="s">
        <v>34</v>
      </c>
      <c r="E15258" s="21" t="s">
        <v>1089</v>
      </c>
      <c r="F15258">
        <v>1380057</v>
      </c>
      <c r="G15258" t="s">
        <v>26700</v>
      </c>
      <c r="H15258" s="21">
        <v>850.04</v>
      </c>
    </row>
    <row r="15259" spans="1:8" customFormat="1" x14ac:dyDescent="0.25">
      <c r="A15259" t="str">
        <f>"651814"</f>
        <v>651814</v>
      </c>
      <c r="B15259" t="s">
        <v>14611</v>
      </c>
      <c r="C15259" t="s">
        <v>1914</v>
      </c>
      <c r="D15259" s="21" t="s">
        <v>34</v>
      </c>
      <c r="E15259" s="21" t="s">
        <v>71</v>
      </c>
      <c r="F15259">
        <v>11650034</v>
      </c>
      <c r="G15259" t="s">
        <v>1989</v>
      </c>
      <c r="H15259" s="21">
        <v>850.04</v>
      </c>
    </row>
    <row r="15260" spans="1:8" customFormat="1" x14ac:dyDescent="0.25">
      <c r="A15260" t="str">
        <f>"5734805"</f>
        <v>5734805</v>
      </c>
      <c r="B15260" t="s">
        <v>27373</v>
      </c>
      <c r="C15260" t="s">
        <v>37</v>
      </c>
      <c r="D15260" s="21" t="s">
        <v>34</v>
      </c>
      <c r="E15260" s="21" t="s">
        <v>35</v>
      </c>
      <c r="F15260">
        <v>6570015</v>
      </c>
      <c r="G15260" t="s">
        <v>749</v>
      </c>
      <c r="H15260" s="21">
        <v>850</v>
      </c>
    </row>
    <row r="15261" spans="1:8" customFormat="1" x14ac:dyDescent="0.25">
      <c r="A15261" t="str">
        <f>"701434"</f>
        <v>701434</v>
      </c>
      <c r="B15261" t="s">
        <v>8228</v>
      </c>
      <c r="C15261" t="s">
        <v>415</v>
      </c>
      <c r="D15261" s="21" t="s">
        <v>34</v>
      </c>
      <c r="E15261" s="21" t="s">
        <v>254</v>
      </c>
      <c r="F15261">
        <v>2700074</v>
      </c>
      <c r="G15261" t="s">
        <v>27108</v>
      </c>
      <c r="H15261" s="21">
        <v>849.92</v>
      </c>
    </row>
    <row r="15262" spans="1:8" customFormat="1" x14ac:dyDescent="0.25">
      <c r="A15262" t="str">
        <f>"9452437"</f>
        <v>9452437</v>
      </c>
      <c r="B15262" t="s">
        <v>13297</v>
      </c>
      <c r="C15262" t="s">
        <v>2730</v>
      </c>
      <c r="D15262" s="21" t="s">
        <v>34</v>
      </c>
      <c r="E15262" s="21" t="s">
        <v>254</v>
      </c>
      <c r="F15262">
        <v>8940455</v>
      </c>
      <c r="G15262" t="s">
        <v>7944</v>
      </c>
      <c r="H15262" s="21">
        <v>849.92</v>
      </c>
    </row>
    <row r="15263" spans="1:8" customFormat="1" x14ac:dyDescent="0.25">
      <c r="A15263" t="str">
        <f>"5935449"</f>
        <v>5935449</v>
      </c>
      <c r="B15263" t="s">
        <v>208</v>
      </c>
      <c r="C15263" t="s">
        <v>1446</v>
      </c>
      <c r="D15263" s="21" t="s">
        <v>34</v>
      </c>
      <c r="E15263" s="21" t="s">
        <v>71</v>
      </c>
      <c r="F15263">
        <v>3350014</v>
      </c>
      <c r="G15263" t="s">
        <v>1078</v>
      </c>
      <c r="H15263" s="21">
        <v>849.92</v>
      </c>
    </row>
    <row r="15264" spans="1:8" customFormat="1" x14ac:dyDescent="0.25">
      <c r="A15264" t="str">
        <f>"9139327"</f>
        <v>9139327</v>
      </c>
      <c r="B15264" t="s">
        <v>1151</v>
      </c>
      <c r="C15264" t="s">
        <v>3355</v>
      </c>
      <c r="D15264" s="21" t="s">
        <v>34</v>
      </c>
      <c r="E15264" s="21" t="s">
        <v>35</v>
      </c>
      <c r="F15264">
        <v>8910642</v>
      </c>
      <c r="G15264" t="s">
        <v>27027</v>
      </c>
      <c r="H15264" s="21">
        <v>849.92</v>
      </c>
    </row>
    <row r="15265" spans="1:8" customFormat="1" x14ac:dyDescent="0.25">
      <c r="A15265" t="str">
        <f>"7871818"</f>
        <v>7871818</v>
      </c>
      <c r="B15265" t="s">
        <v>2557</v>
      </c>
      <c r="C15265" t="s">
        <v>209</v>
      </c>
      <c r="D15265" s="21" t="s">
        <v>34</v>
      </c>
      <c r="E15265" s="21" t="s">
        <v>71</v>
      </c>
      <c r="F15265">
        <v>8780585</v>
      </c>
      <c r="G15265" t="s">
        <v>4630</v>
      </c>
      <c r="H15265" s="21">
        <v>849.79</v>
      </c>
    </row>
    <row r="15266" spans="1:8" customFormat="1" x14ac:dyDescent="0.25">
      <c r="A15266" t="str">
        <f>"3334803"</f>
        <v>3334803</v>
      </c>
      <c r="B15266" t="s">
        <v>18041</v>
      </c>
      <c r="C15266" t="s">
        <v>1946</v>
      </c>
      <c r="D15266" s="21" t="s">
        <v>34</v>
      </c>
      <c r="E15266" s="21" t="s">
        <v>71</v>
      </c>
      <c r="F15266">
        <v>10330082</v>
      </c>
      <c r="G15266" t="s">
        <v>5564</v>
      </c>
      <c r="H15266" s="21">
        <v>849.79</v>
      </c>
    </row>
    <row r="15267" spans="1:8" customFormat="1" x14ac:dyDescent="0.25">
      <c r="A15267" t="str">
        <f>"94931"</f>
        <v>94931</v>
      </c>
      <c r="B15267" t="s">
        <v>2922</v>
      </c>
      <c r="C15267" t="s">
        <v>13740</v>
      </c>
      <c r="D15267" s="21" t="s">
        <v>34</v>
      </c>
      <c r="E15267" s="21" t="s">
        <v>254</v>
      </c>
      <c r="F15267">
        <v>8940524</v>
      </c>
      <c r="G15267" t="s">
        <v>6176</v>
      </c>
      <c r="H15267" s="21">
        <v>849.67</v>
      </c>
    </row>
    <row r="15268" spans="1:8" customFormat="1" x14ac:dyDescent="0.25">
      <c r="A15268" t="str">
        <f>"631486"</f>
        <v>631486</v>
      </c>
      <c r="B15268" t="s">
        <v>8044</v>
      </c>
      <c r="C15268" t="s">
        <v>198</v>
      </c>
      <c r="D15268" s="21" t="s">
        <v>34</v>
      </c>
      <c r="E15268" s="21" t="s">
        <v>71</v>
      </c>
      <c r="F15268">
        <v>1630329</v>
      </c>
      <c r="G15268" t="s">
        <v>13763</v>
      </c>
      <c r="H15268" s="21">
        <v>849.67</v>
      </c>
    </row>
    <row r="15269" spans="1:8" customFormat="1" x14ac:dyDescent="0.25">
      <c r="A15269" t="str">
        <f>"6713257"</f>
        <v>6713257</v>
      </c>
      <c r="B15269" t="s">
        <v>3576</v>
      </c>
      <c r="C15269" t="s">
        <v>209</v>
      </c>
      <c r="D15269" s="21" t="s">
        <v>34</v>
      </c>
      <c r="E15269" s="21" t="s">
        <v>71</v>
      </c>
      <c r="F15269">
        <v>6670183</v>
      </c>
      <c r="G15269" t="s">
        <v>670</v>
      </c>
      <c r="H15269" s="21">
        <v>849.67</v>
      </c>
    </row>
    <row r="15270" spans="1:8" customFormat="1" x14ac:dyDescent="0.25">
      <c r="A15270" t="str">
        <f>"28174"</f>
        <v>28174</v>
      </c>
      <c r="B15270" t="s">
        <v>13298</v>
      </c>
      <c r="C15270" t="s">
        <v>428</v>
      </c>
      <c r="D15270" s="21" t="s">
        <v>34</v>
      </c>
      <c r="E15270" s="21" t="s">
        <v>254</v>
      </c>
      <c r="F15270">
        <v>9270181</v>
      </c>
      <c r="G15270" t="s">
        <v>2952</v>
      </c>
      <c r="H15270" s="21">
        <v>849.67</v>
      </c>
    </row>
    <row r="15271" spans="1:8" customFormat="1" x14ac:dyDescent="0.25">
      <c r="A15271" t="str">
        <f>"245773"</f>
        <v>245773</v>
      </c>
      <c r="B15271" t="s">
        <v>4162</v>
      </c>
      <c r="C15271" t="s">
        <v>2904</v>
      </c>
      <c r="D15271" s="21" t="s">
        <v>34</v>
      </c>
      <c r="E15271" s="21" t="s">
        <v>71</v>
      </c>
      <c r="F15271">
        <v>10240007</v>
      </c>
      <c r="G15271" t="s">
        <v>2326</v>
      </c>
      <c r="H15271" s="21">
        <v>849.67</v>
      </c>
    </row>
    <row r="15272" spans="1:8" customFormat="1" x14ac:dyDescent="0.25">
      <c r="A15272" t="str">
        <f>"2922357"</f>
        <v>2922357</v>
      </c>
      <c r="B15272" t="s">
        <v>12852</v>
      </c>
      <c r="C15272" t="s">
        <v>462</v>
      </c>
      <c r="D15272" s="21" t="s">
        <v>34</v>
      </c>
      <c r="E15272" s="21" t="s">
        <v>254</v>
      </c>
      <c r="F15272">
        <v>6100046</v>
      </c>
      <c r="G15272" t="s">
        <v>12853</v>
      </c>
      <c r="H15272" s="21">
        <v>849.67</v>
      </c>
    </row>
    <row r="15273" spans="1:8" customFormat="1" x14ac:dyDescent="0.25">
      <c r="A15273" t="str">
        <f>"763315"</f>
        <v>763315</v>
      </c>
      <c r="B15273" t="s">
        <v>13211</v>
      </c>
      <c r="C15273" t="s">
        <v>267</v>
      </c>
      <c r="D15273" s="21" t="s">
        <v>34</v>
      </c>
      <c r="E15273" s="21" t="s">
        <v>1089</v>
      </c>
      <c r="F15273">
        <v>9760414</v>
      </c>
      <c r="G15273" t="s">
        <v>142</v>
      </c>
      <c r="H15273" s="21">
        <v>849.67</v>
      </c>
    </row>
    <row r="15274" spans="1:8" customFormat="1" x14ac:dyDescent="0.25">
      <c r="A15274" t="str">
        <f>"744060"</f>
        <v>744060</v>
      </c>
      <c r="B15274" t="s">
        <v>12808</v>
      </c>
      <c r="C15274" t="s">
        <v>415</v>
      </c>
      <c r="D15274" s="21" t="s">
        <v>34</v>
      </c>
      <c r="E15274" s="21" t="s">
        <v>71</v>
      </c>
      <c r="F15274">
        <v>1740080</v>
      </c>
      <c r="G15274" t="s">
        <v>12809</v>
      </c>
      <c r="H15274" s="21">
        <v>849.67</v>
      </c>
    </row>
    <row r="15275" spans="1:8" customFormat="1" x14ac:dyDescent="0.25">
      <c r="A15275" t="str">
        <f>"4211543"</f>
        <v>4211543</v>
      </c>
      <c r="B15275" t="s">
        <v>12790</v>
      </c>
      <c r="C15275" t="s">
        <v>119</v>
      </c>
      <c r="D15275" s="21" t="s">
        <v>34</v>
      </c>
      <c r="E15275" s="21" t="s">
        <v>254</v>
      </c>
      <c r="F15275">
        <v>1420080</v>
      </c>
      <c r="G15275" t="s">
        <v>10230</v>
      </c>
      <c r="H15275" s="21">
        <v>849.67</v>
      </c>
    </row>
    <row r="15276" spans="1:8" customFormat="1" x14ac:dyDescent="0.25">
      <c r="A15276" t="str">
        <f>"3522674"</f>
        <v>3522674</v>
      </c>
      <c r="B15276" t="s">
        <v>2613</v>
      </c>
      <c r="C15276" t="s">
        <v>40</v>
      </c>
      <c r="D15276" s="21" t="s">
        <v>34</v>
      </c>
      <c r="E15276" s="21" t="s">
        <v>254</v>
      </c>
      <c r="F15276">
        <v>3350041</v>
      </c>
      <c r="G15276" t="s">
        <v>1589</v>
      </c>
      <c r="H15276" s="21">
        <v>849.67</v>
      </c>
    </row>
    <row r="15277" spans="1:8" customFormat="1" x14ac:dyDescent="0.25">
      <c r="A15277" t="str">
        <f>"306402"</f>
        <v>306402</v>
      </c>
      <c r="B15277" t="s">
        <v>1048</v>
      </c>
      <c r="C15277" t="s">
        <v>601</v>
      </c>
      <c r="D15277" s="21" t="s">
        <v>34</v>
      </c>
      <c r="E15277" s="21" t="s">
        <v>35</v>
      </c>
      <c r="F15277">
        <v>11300041</v>
      </c>
      <c r="G15277" t="s">
        <v>8074</v>
      </c>
      <c r="H15277" s="21">
        <v>849.67</v>
      </c>
    </row>
    <row r="15278" spans="1:8" customFormat="1" x14ac:dyDescent="0.25">
      <c r="A15278" t="str">
        <f>"512464"</f>
        <v>512464</v>
      </c>
      <c r="B15278" t="s">
        <v>13464</v>
      </c>
      <c r="C15278" t="s">
        <v>269</v>
      </c>
      <c r="D15278" s="21" t="s">
        <v>34</v>
      </c>
      <c r="E15278" s="21" t="s">
        <v>71</v>
      </c>
      <c r="F15278">
        <v>6510040</v>
      </c>
      <c r="G15278" t="s">
        <v>9113</v>
      </c>
      <c r="H15278" s="21">
        <v>849.67</v>
      </c>
    </row>
    <row r="15279" spans="1:8" customFormat="1" x14ac:dyDescent="0.25">
      <c r="A15279" t="str">
        <f>"4425112"</f>
        <v>4425112</v>
      </c>
      <c r="B15279" t="s">
        <v>13578</v>
      </c>
      <c r="C15279" t="s">
        <v>4729</v>
      </c>
      <c r="D15279" s="21" t="s">
        <v>34</v>
      </c>
      <c r="E15279" s="21" t="s">
        <v>254</v>
      </c>
      <c r="F15279">
        <v>12440064</v>
      </c>
      <c r="G15279" t="s">
        <v>9082</v>
      </c>
      <c r="H15279" s="21">
        <v>849.67</v>
      </c>
    </row>
    <row r="15280" spans="1:8" customFormat="1" x14ac:dyDescent="0.25">
      <c r="A15280" t="str">
        <f>"9228570"</f>
        <v>9228570</v>
      </c>
      <c r="B15280" t="s">
        <v>12437</v>
      </c>
      <c r="C15280" t="s">
        <v>1110</v>
      </c>
      <c r="D15280" s="21" t="s">
        <v>34</v>
      </c>
      <c r="E15280" s="21" t="s">
        <v>254</v>
      </c>
      <c r="F15280">
        <v>8751061</v>
      </c>
      <c r="G15280" t="s">
        <v>26628</v>
      </c>
      <c r="H15280" s="21">
        <v>849.67</v>
      </c>
    </row>
    <row r="15281" spans="1:8" customFormat="1" x14ac:dyDescent="0.25">
      <c r="A15281" t="str">
        <f>"186587"</f>
        <v>186587</v>
      </c>
      <c r="B15281" t="s">
        <v>4959</v>
      </c>
      <c r="C15281" t="s">
        <v>3456</v>
      </c>
      <c r="D15281" s="21" t="s">
        <v>34</v>
      </c>
      <c r="E15281" s="21" t="s">
        <v>71</v>
      </c>
      <c r="F15281">
        <v>4180157</v>
      </c>
      <c r="G15281" t="s">
        <v>11170</v>
      </c>
      <c r="H15281" s="21">
        <v>849.67</v>
      </c>
    </row>
    <row r="15282" spans="1:8" customFormat="1" x14ac:dyDescent="0.25">
      <c r="A15282" t="str">
        <f>"822245"</f>
        <v>822245</v>
      </c>
      <c r="B15282" t="s">
        <v>13014</v>
      </c>
      <c r="C15282" t="s">
        <v>239</v>
      </c>
      <c r="D15282" s="21" t="s">
        <v>34</v>
      </c>
      <c r="E15282" s="21" t="s">
        <v>71</v>
      </c>
      <c r="F15282">
        <v>11820011</v>
      </c>
      <c r="G15282" t="s">
        <v>2611</v>
      </c>
      <c r="H15282" s="21">
        <v>849.67</v>
      </c>
    </row>
    <row r="15283" spans="1:8" customFormat="1" x14ac:dyDescent="0.25">
      <c r="A15283" t="str">
        <f>"376501"</f>
        <v>376501</v>
      </c>
      <c r="B15283" t="s">
        <v>13919</v>
      </c>
      <c r="C15283" t="s">
        <v>65</v>
      </c>
      <c r="D15283" s="21" t="s">
        <v>34</v>
      </c>
      <c r="E15283" s="21" t="s">
        <v>35</v>
      </c>
      <c r="F15283">
        <v>4370439</v>
      </c>
      <c r="G15283" t="s">
        <v>2956</v>
      </c>
      <c r="H15283" s="21">
        <v>849.67</v>
      </c>
    </row>
    <row r="15284" spans="1:8" customFormat="1" x14ac:dyDescent="0.25">
      <c r="A15284" t="str">
        <f>"6924165"</f>
        <v>6924165</v>
      </c>
      <c r="B15284" t="s">
        <v>13657</v>
      </c>
      <c r="C15284" t="s">
        <v>305</v>
      </c>
      <c r="D15284" s="21" t="s">
        <v>34</v>
      </c>
      <c r="E15284" s="21" t="s">
        <v>35</v>
      </c>
      <c r="F15284">
        <v>1690141</v>
      </c>
      <c r="G15284" t="s">
        <v>7448</v>
      </c>
      <c r="H15284" s="21">
        <v>849.67</v>
      </c>
    </row>
    <row r="15285" spans="1:8" customFormat="1" x14ac:dyDescent="0.25">
      <c r="A15285" t="str">
        <f>"7510653"</f>
        <v>7510653</v>
      </c>
      <c r="B15285" t="s">
        <v>13251</v>
      </c>
      <c r="C15285" t="s">
        <v>3887</v>
      </c>
      <c r="D15285" s="21" t="s">
        <v>34</v>
      </c>
      <c r="E15285" s="21" t="s">
        <v>35</v>
      </c>
      <c r="F15285">
        <v>8750120</v>
      </c>
      <c r="G15285" t="s">
        <v>838</v>
      </c>
      <c r="H15285" s="21">
        <v>849.67</v>
      </c>
    </row>
    <row r="15286" spans="1:8" customFormat="1" x14ac:dyDescent="0.25">
      <c r="A15286" t="str">
        <f>"9410918"</f>
        <v>9410918</v>
      </c>
      <c r="B15286" t="s">
        <v>13077</v>
      </c>
      <c r="C15286" t="s">
        <v>2907</v>
      </c>
      <c r="D15286" s="21" t="s">
        <v>34</v>
      </c>
      <c r="E15286" s="21" t="s">
        <v>35</v>
      </c>
      <c r="F15286">
        <v>8940976</v>
      </c>
      <c r="G15286" t="s">
        <v>615</v>
      </c>
      <c r="H15286" s="21">
        <v>849.67</v>
      </c>
    </row>
    <row r="15287" spans="1:8" customFormat="1" x14ac:dyDescent="0.25">
      <c r="A15287" t="str">
        <f>"911364"</f>
        <v>911364</v>
      </c>
      <c r="B15287" t="s">
        <v>7606</v>
      </c>
      <c r="C15287" t="s">
        <v>1142</v>
      </c>
      <c r="D15287" s="21" t="s">
        <v>34</v>
      </c>
      <c r="E15287" s="21" t="s">
        <v>1089</v>
      </c>
      <c r="F15287">
        <v>8910889</v>
      </c>
      <c r="G15287" t="s">
        <v>11971</v>
      </c>
      <c r="H15287" s="21">
        <v>849.54</v>
      </c>
    </row>
    <row r="15288" spans="1:8" customFormat="1" x14ac:dyDescent="0.25">
      <c r="A15288" t="str">
        <f>"732659"</f>
        <v>732659</v>
      </c>
      <c r="B15288" t="s">
        <v>27374</v>
      </c>
      <c r="C15288" t="s">
        <v>33</v>
      </c>
      <c r="D15288" s="21" t="s">
        <v>34</v>
      </c>
      <c r="E15288" s="21" t="s">
        <v>35</v>
      </c>
      <c r="F15288">
        <v>1740011</v>
      </c>
      <c r="G15288" t="s">
        <v>2638</v>
      </c>
      <c r="H15288" s="21">
        <v>849.5</v>
      </c>
    </row>
    <row r="15289" spans="1:8" customFormat="1" x14ac:dyDescent="0.25">
      <c r="A15289" t="str">
        <f>"7726766"</f>
        <v>7726766</v>
      </c>
      <c r="B15289" t="s">
        <v>13089</v>
      </c>
      <c r="C15289" t="s">
        <v>13090</v>
      </c>
      <c r="D15289" s="21" t="s">
        <v>34</v>
      </c>
      <c r="E15289" s="21" t="s">
        <v>71</v>
      </c>
      <c r="F15289">
        <v>8771394</v>
      </c>
      <c r="G15289" t="s">
        <v>1933</v>
      </c>
      <c r="H15289" s="21">
        <v>849.42</v>
      </c>
    </row>
    <row r="15290" spans="1:8" customFormat="1" x14ac:dyDescent="0.25">
      <c r="A15290" t="str">
        <f>"9C650"</f>
        <v>9C650</v>
      </c>
      <c r="B15290" t="s">
        <v>12804</v>
      </c>
      <c r="C15290" t="s">
        <v>12805</v>
      </c>
      <c r="D15290" s="21" t="s">
        <v>34</v>
      </c>
      <c r="E15290" s="21" t="s">
        <v>71</v>
      </c>
      <c r="F15290" t="s">
        <v>731</v>
      </c>
      <c r="G15290" t="s">
        <v>732</v>
      </c>
      <c r="H15290" s="21">
        <v>849.42</v>
      </c>
    </row>
    <row r="15291" spans="1:8" customFormat="1" x14ac:dyDescent="0.25">
      <c r="A15291" t="str">
        <f>"615494"</f>
        <v>615494</v>
      </c>
      <c r="B15291" t="s">
        <v>2487</v>
      </c>
      <c r="C15291" t="s">
        <v>598</v>
      </c>
      <c r="D15291" s="21" t="s">
        <v>34</v>
      </c>
      <c r="E15291" s="21" t="s">
        <v>71</v>
      </c>
      <c r="F15291">
        <v>9610122</v>
      </c>
      <c r="G15291" t="s">
        <v>4349</v>
      </c>
      <c r="H15291" s="21">
        <v>849.42</v>
      </c>
    </row>
    <row r="15292" spans="1:8" customFormat="1" x14ac:dyDescent="0.25">
      <c r="A15292" t="str">
        <f>"55363"</f>
        <v>55363</v>
      </c>
      <c r="B15292" t="s">
        <v>13246</v>
      </c>
      <c r="C15292" t="s">
        <v>40</v>
      </c>
      <c r="D15292" s="21" t="s">
        <v>34</v>
      </c>
      <c r="E15292" s="21" t="s">
        <v>71</v>
      </c>
      <c r="F15292">
        <v>6570140</v>
      </c>
      <c r="G15292" t="s">
        <v>813</v>
      </c>
      <c r="H15292" s="21">
        <v>849.17</v>
      </c>
    </row>
    <row r="15293" spans="1:8" customFormat="1" x14ac:dyDescent="0.25">
      <c r="A15293" t="str">
        <f>"251042"</f>
        <v>251042</v>
      </c>
      <c r="B15293" t="s">
        <v>13513</v>
      </c>
      <c r="C15293" t="s">
        <v>598</v>
      </c>
      <c r="D15293" s="21" t="s">
        <v>34</v>
      </c>
      <c r="E15293" s="21" t="s">
        <v>1089</v>
      </c>
      <c r="F15293">
        <v>2250059</v>
      </c>
      <c r="G15293" t="s">
        <v>10904</v>
      </c>
      <c r="H15293" s="21">
        <v>849.17</v>
      </c>
    </row>
    <row r="15294" spans="1:8" customFormat="1" x14ac:dyDescent="0.25">
      <c r="A15294" t="str">
        <f>"578961"</f>
        <v>578961</v>
      </c>
      <c r="B15294" t="s">
        <v>14598</v>
      </c>
      <c r="C15294" t="s">
        <v>249</v>
      </c>
      <c r="D15294" s="21" t="s">
        <v>34</v>
      </c>
      <c r="E15294" s="21" t="s">
        <v>71</v>
      </c>
      <c r="F15294">
        <v>6570125</v>
      </c>
      <c r="G15294" t="s">
        <v>14599</v>
      </c>
      <c r="H15294" s="21">
        <v>849.17</v>
      </c>
    </row>
    <row r="15295" spans="1:8" customFormat="1" x14ac:dyDescent="0.25">
      <c r="A15295" t="str">
        <f>"6314225"</f>
        <v>6314225</v>
      </c>
      <c r="B15295" t="s">
        <v>13607</v>
      </c>
      <c r="C15295" t="s">
        <v>40</v>
      </c>
      <c r="D15295" s="21" t="s">
        <v>34</v>
      </c>
      <c r="E15295" s="21" t="s">
        <v>35</v>
      </c>
      <c r="F15295">
        <v>1630191</v>
      </c>
      <c r="G15295" t="s">
        <v>11303</v>
      </c>
      <c r="H15295" s="21">
        <v>849.17</v>
      </c>
    </row>
    <row r="15296" spans="1:8" customFormat="1" x14ac:dyDescent="0.25">
      <c r="A15296" t="str">
        <f>"3510705"</f>
        <v>3510705</v>
      </c>
      <c r="B15296" t="s">
        <v>12001</v>
      </c>
      <c r="C15296" t="s">
        <v>598</v>
      </c>
      <c r="D15296" s="21" t="s">
        <v>34</v>
      </c>
      <c r="E15296" s="21" t="s">
        <v>71</v>
      </c>
      <c r="F15296">
        <v>3350127</v>
      </c>
      <c r="G15296" t="s">
        <v>10614</v>
      </c>
      <c r="H15296" s="21">
        <v>849.17</v>
      </c>
    </row>
    <row r="15297" spans="1:8" customFormat="1" x14ac:dyDescent="0.25">
      <c r="A15297" t="str">
        <f>"2219265"</f>
        <v>2219265</v>
      </c>
      <c r="B15297" t="s">
        <v>8329</v>
      </c>
      <c r="C15297" t="s">
        <v>328</v>
      </c>
      <c r="D15297" s="21" t="s">
        <v>34</v>
      </c>
      <c r="E15297" s="21" t="s">
        <v>35</v>
      </c>
      <c r="F15297">
        <v>3220041</v>
      </c>
      <c r="G15297" t="s">
        <v>27133</v>
      </c>
      <c r="H15297" s="21">
        <v>849.17</v>
      </c>
    </row>
    <row r="15298" spans="1:8" customFormat="1" x14ac:dyDescent="0.25">
      <c r="A15298" t="str">
        <f>"729679"</f>
        <v>729679</v>
      </c>
      <c r="B15298" t="s">
        <v>4020</v>
      </c>
      <c r="C15298" t="s">
        <v>328</v>
      </c>
      <c r="D15298" s="21" t="s">
        <v>34</v>
      </c>
      <c r="E15298" s="21" t="s">
        <v>71</v>
      </c>
      <c r="F15298">
        <v>12720079</v>
      </c>
      <c r="G15298" t="s">
        <v>4028</v>
      </c>
      <c r="H15298" s="21">
        <v>849.17</v>
      </c>
    </row>
    <row r="15299" spans="1:8" customFormat="1" x14ac:dyDescent="0.25">
      <c r="A15299" t="str">
        <f>"3710718"</f>
        <v>3710718</v>
      </c>
      <c r="B15299" t="s">
        <v>6678</v>
      </c>
      <c r="C15299" t="s">
        <v>2393</v>
      </c>
      <c r="D15299" s="21" t="s">
        <v>34</v>
      </c>
      <c r="E15299" s="21" t="s">
        <v>35</v>
      </c>
      <c r="F15299">
        <v>4410080</v>
      </c>
      <c r="G15299" t="s">
        <v>135</v>
      </c>
      <c r="H15299" s="21">
        <v>849.17</v>
      </c>
    </row>
    <row r="15300" spans="1:8" customFormat="1" x14ac:dyDescent="0.25">
      <c r="A15300" t="str">
        <f>"737181"</f>
        <v>737181</v>
      </c>
      <c r="B15300" t="s">
        <v>13673</v>
      </c>
      <c r="C15300" t="s">
        <v>462</v>
      </c>
      <c r="D15300" s="21" t="s">
        <v>34</v>
      </c>
      <c r="E15300" s="21" t="s">
        <v>35</v>
      </c>
      <c r="F15300">
        <v>1730076</v>
      </c>
      <c r="G15300" t="s">
        <v>936</v>
      </c>
      <c r="H15300" s="21">
        <v>849.17</v>
      </c>
    </row>
    <row r="15301" spans="1:8" customFormat="1" x14ac:dyDescent="0.25">
      <c r="A15301" t="str">
        <f>"5019401"</f>
        <v>5019401</v>
      </c>
      <c r="B15301" t="s">
        <v>1667</v>
      </c>
      <c r="C15301" t="s">
        <v>65</v>
      </c>
      <c r="D15301" s="21" t="s">
        <v>34</v>
      </c>
      <c r="E15301" s="21" t="s">
        <v>35</v>
      </c>
      <c r="F15301">
        <v>9500153</v>
      </c>
      <c r="G15301" t="s">
        <v>5779</v>
      </c>
      <c r="H15301" s="21">
        <v>849.17</v>
      </c>
    </row>
    <row r="15302" spans="1:8" customFormat="1" x14ac:dyDescent="0.25">
      <c r="A15302" t="str">
        <f>"6943937"</f>
        <v>6943937</v>
      </c>
      <c r="B15302" t="s">
        <v>14923</v>
      </c>
      <c r="C15302" t="s">
        <v>14924</v>
      </c>
      <c r="D15302" s="21" t="s">
        <v>34</v>
      </c>
      <c r="E15302" s="21" t="s">
        <v>35</v>
      </c>
      <c r="F15302">
        <v>1690105</v>
      </c>
      <c r="G15302" t="s">
        <v>9580</v>
      </c>
      <c r="H15302" s="21">
        <v>849.17</v>
      </c>
    </row>
    <row r="15303" spans="1:8" customFormat="1" x14ac:dyDescent="0.25">
      <c r="A15303" t="str">
        <f>"3010045"</f>
        <v>3010045</v>
      </c>
      <c r="B15303" t="s">
        <v>1945</v>
      </c>
      <c r="C15303" t="s">
        <v>3905</v>
      </c>
      <c r="D15303" s="21" t="s">
        <v>34</v>
      </c>
      <c r="E15303" s="21" t="s">
        <v>35</v>
      </c>
      <c r="F15303">
        <v>11300039</v>
      </c>
      <c r="G15303" t="s">
        <v>10680</v>
      </c>
      <c r="H15303" s="21">
        <v>849.17</v>
      </c>
    </row>
    <row r="15304" spans="1:8" customFormat="1" x14ac:dyDescent="0.25">
      <c r="A15304" t="str">
        <f>"30589"</f>
        <v>30589</v>
      </c>
      <c r="B15304" t="s">
        <v>3427</v>
      </c>
      <c r="C15304" t="s">
        <v>121</v>
      </c>
      <c r="D15304" s="21" t="s">
        <v>34</v>
      </c>
      <c r="E15304" s="21" t="s">
        <v>71</v>
      </c>
      <c r="F15304">
        <v>11300055</v>
      </c>
      <c r="G15304" t="s">
        <v>14655</v>
      </c>
      <c r="H15304" s="21">
        <v>849.04</v>
      </c>
    </row>
    <row r="15305" spans="1:8" customFormat="1" x14ac:dyDescent="0.25">
      <c r="A15305" t="str">
        <f>"6718192"</f>
        <v>6718192</v>
      </c>
      <c r="B15305" t="s">
        <v>27375</v>
      </c>
      <c r="C15305" t="s">
        <v>119</v>
      </c>
      <c r="D15305" s="21" t="s">
        <v>34</v>
      </c>
      <c r="E15305" s="21" t="s">
        <v>71</v>
      </c>
      <c r="F15305">
        <v>6670114</v>
      </c>
      <c r="G15305" t="s">
        <v>3084</v>
      </c>
      <c r="H15305" s="21">
        <v>849</v>
      </c>
    </row>
    <row r="15306" spans="1:8" customFormat="1" x14ac:dyDescent="0.25">
      <c r="A15306" t="str">
        <f>"9124328"</f>
        <v>9124328</v>
      </c>
      <c r="B15306" t="s">
        <v>13433</v>
      </c>
      <c r="C15306" t="s">
        <v>249</v>
      </c>
      <c r="D15306" s="21" t="s">
        <v>34</v>
      </c>
      <c r="E15306" s="21" t="s">
        <v>71</v>
      </c>
      <c r="F15306">
        <v>8910642</v>
      </c>
      <c r="G15306" t="s">
        <v>27027</v>
      </c>
      <c r="H15306" s="21">
        <v>848.79</v>
      </c>
    </row>
    <row r="15307" spans="1:8" customFormat="1" x14ac:dyDescent="0.25">
      <c r="A15307" t="str">
        <f>"242415"</f>
        <v>242415</v>
      </c>
      <c r="B15307" t="s">
        <v>13455</v>
      </c>
      <c r="C15307" t="s">
        <v>305</v>
      </c>
      <c r="D15307" s="21" t="s">
        <v>34</v>
      </c>
      <c r="E15307" s="21" t="s">
        <v>35</v>
      </c>
      <c r="F15307">
        <v>10240026</v>
      </c>
      <c r="G15307" t="s">
        <v>11667</v>
      </c>
      <c r="H15307" s="21">
        <v>848.67</v>
      </c>
    </row>
    <row r="15308" spans="1:8" customFormat="1" x14ac:dyDescent="0.25">
      <c r="A15308" t="str">
        <f>"26280"</f>
        <v>26280</v>
      </c>
      <c r="B15308" t="s">
        <v>27376</v>
      </c>
      <c r="C15308" t="s">
        <v>114</v>
      </c>
      <c r="D15308" s="21" t="s">
        <v>34</v>
      </c>
      <c r="E15308" s="21" t="s">
        <v>71</v>
      </c>
      <c r="F15308">
        <v>1260071</v>
      </c>
      <c r="G15308" t="s">
        <v>798</v>
      </c>
      <c r="H15308" s="21">
        <v>848.67</v>
      </c>
    </row>
    <row r="15309" spans="1:8" customFormat="1" x14ac:dyDescent="0.25">
      <c r="A15309" t="str">
        <f>"4923727"</f>
        <v>4923727</v>
      </c>
      <c r="B15309" t="s">
        <v>400</v>
      </c>
      <c r="C15309" t="s">
        <v>139</v>
      </c>
      <c r="D15309" s="21" t="s">
        <v>34</v>
      </c>
      <c r="E15309" s="21" t="s">
        <v>35</v>
      </c>
      <c r="F15309">
        <v>12490120</v>
      </c>
      <c r="G15309" t="s">
        <v>2316</v>
      </c>
      <c r="H15309" s="21">
        <v>848.67</v>
      </c>
    </row>
    <row r="15310" spans="1:8" customFormat="1" x14ac:dyDescent="0.25">
      <c r="A15310" t="str">
        <f>"1415466"</f>
        <v>1415466</v>
      </c>
      <c r="B15310" t="s">
        <v>2883</v>
      </c>
      <c r="C15310" t="s">
        <v>90</v>
      </c>
      <c r="D15310" s="21" t="s">
        <v>34</v>
      </c>
      <c r="E15310" s="21" t="s">
        <v>35</v>
      </c>
      <c r="F15310">
        <v>9140185</v>
      </c>
      <c r="G15310" t="s">
        <v>1578</v>
      </c>
      <c r="H15310" s="21">
        <v>848.67</v>
      </c>
    </row>
    <row r="15311" spans="1:8" customFormat="1" x14ac:dyDescent="0.25">
      <c r="A15311" t="str">
        <f>"853104"</f>
        <v>853104</v>
      </c>
      <c r="B15311" t="s">
        <v>13111</v>
      </c>
      <c r="C15311" t="s">
        <v>209</v>
      </c>
      <c r="D15311" s="21" t="s">
        <v>34</v>
      </c>
      <c r="E15311" s="21" t="s">
        <v>35</v>
      </c>
      <c r="F15311">
        <v>12850095</v>
      </c>
      <c r="G15311" t="s">
        <v>13112</v>
      </c>
      <c r="H15311" s="21">
        <v>848.67</v>
      </c>
    </row>
    <row r="15312" spans="1:8" customFormat="1" x14ac:dyDescent="0.25">
      <c r="A15312" t="str">
        <f>"516220"</f>
        <v>516220</v>
      </c>
      <c r="B15312" t="s">
        <v>14586</v>
      </c>
      <c r="C15312" t="s">
        <v>285</v>
      </c>
      <c r="D15312" s="21" t="s">
        <v>34</v>
      </c>
      <c r="E15312" s="21" t="s">
        <v>35</v>
      </c>
      <c r="F15312">
        <v>6510040</v>
      </c>
      <c r="G15312" t="s">
        <v>9113</v>
      </c>
      <c r="H15312" s="21">
        <v>848.67</v>
      </c>
    </row>
    <row r="15313" spans="1:8" customFormat="1" x14ac:dyDescent="0.25">
      <c r="A15313" t="str">
        <f>"379737"</f>
        <v>379737</v>
      </c>
      <c r="B15313" t="s">
        <v>6766</v>
      </c>
      <c r="C15313" t="s">
        <v>462</v>
      </c>
      <c r="D15313" s="21" t="s">
        <v>34</v>
      </c>
      <c r="E15313" s="21" t="s">
        <v>71</v>
      </c>
      <c r="F15313">
        <v>4370465</v>
      </c>
      <c r="G15313" t="s">
        <v>26922</v>
      </c>
      <c r="H15313" s="21">
        <v>848.67</v>
      </c>
    </row>
    <row r="15314" spans="1:8" customFormat="1" x14ac:dyDescent="0.25">
      <c r="A15314" t="str">
        <f>"2711840"</f>
        <v>2711840</v>
      </c>
      <c r="B15314" t="s">
        <v>5345</v>
      </c>
      <c r="C15314" t="s">
        <v>2529</v>
      </c>
      <c r="D15314" s="21" t="s">
        <v>34</v>
      </c>
      <c r="E15314" s="21" t="s">
        <v>254</v>
      </c>
      <c r="F15314">
        <v>9270175</v>
      </c>
      <c r="G15314" t="s">
        <v>1909</v>
      </c>
      <c r="H15314" s="21">
        <v>848.67</v>
      </c>
    </row>
    <row r="15315" spans="1:8" customFormat="1" x14ac:dyDescent="0.25">
      <c r="A15315" t="str">
        <f>"7215063"</f>
        <v>7215063</v>
      </c>
      <c r="B15315" t="s">
        <v>13599</v>
      </c>
      <c r="C15315" t="s">
        <v>269</v>
      </c>
      <c r="D15315" s="21" t="s">
        <v>34</v>
      </c>
      <c r="E15315" s="21" t="s">
        <v>35</v>
      </c>
      <c r="F15315">
        <v>12720091</v>
      </c>
      <c r="G15315" t="s">
        <v>10895</v>
      </c>
      <c r="H15315" s="21">
        <v>848.67</v>
      </c>
    </row>
    <row r="15316" spans="1:8" customFormat="1" x14ac:dyDescent="0.25">
      <c r="A15316" t="str">
        <f>"9226792"</f>
        <v>9226792</v>
      </c>
      <c r="B15316" t="s">
        <v>6214</v>
      </c>
      <c r="C15316" t="s">
        <v>415</v>
      </c>
      <c r="D15316" s="21" t="s">
        <v>34</v>
      </c>
      <c r="E15316" s="21" t="s">
        <v>1089</v>
      </c>
      <c r="F15316">
        <v>8940326</v>
      </c>
      <c r="G15316" t="s">
        <v>659</v>
      </c>
      <c r="H15316" s="21">
        <v>848.67</v>
      </c>
    </row>
    <row r="15317" spans="1:8" customFormat="1" x14ac:dyDescent="0.25">
      <c r="A15317" t="str">
        <f>"9415271"</f>
        <v>9415271</v>
      </c>
      <c r="B15317" t="s">
        <v>13525</v>
      </c>
      <c r="C15317" t="s">
        <v>263</v>
      </c>
      <c r="D15317" s="21" t="s">
        <v>34</v>
      </c>
      <c r="E15317" s="21" t="s">
        <v>71</v>
      </c>
      <c r="F15317">
        <v>8940033</v>
      </c>
      <c r="G15317" t="s">
        <v>1376</v>
      </c>
      <c r="H15317" s="21">
        <v>848.42</v>
      </c>
    </row>
    <row r="15318" spans="1:8" customFormat="1" x14ac:dyDescent="0.25">
      <c r="A15318" t="str">
        <f>"9317363"</f>
        <v>9317363</v>
      </c>
      <c r="B15318" t="s">
        <v>1028</v>
      </c>
      <c r="C15318" t="s">
        <v>55</v>
      </c>
      <c r="D15318" s="21" t="s">
        <v>34</v>
      </c>
      <c r="E15318" s="21" t="s">
        <v>71</v>
      </c>
      <c r="F15318">
        <v>8930452</v>
      </c>
      <c r="G15318" t="s">
        <v>83</v>
      </c>
      <c r="H15318" s="21">
        <v>848.29</v>
      </c>
    </row>
    <row r="15319" spans="1:8" customFormat="1" x14ac:dyDescent="0.25">
      <c r="A15319" t="str">
        <f>"3827406"</f>
        <v>3827406</v>
      </c>
      <c r="B15319" t="s">
        <v>12498</v>
      </c>
      <c r="C15319" t="s">
        <v>576</v>
      </c>
      <c r="D15319" s="21" t="s">
        <v>34</v>
      </c>
      <c r="E15319" s="21" t="s">
        <v>35</v>
      </c>
      <c r="F15319">
        <v>1380056</v>
      </c>
      <c r="G15319" t="s">
        <v>846</v>
      </c>
      <c r="H15319" s="21">
        <v>848.17</v>
      </c>
    </row>
    <row r="15320" spans="1:8" customFormat="1" x14ac:dyDescent="0.25">
      <c r="A15320" t="str">
        <f>"2925332"</f>
        <v>2925332</v>
      </c>
      <c r="B15320" t="s">
        <v>13371</v>
      </c>
      <c r="C15320" t="s">
        <v>5861</v>
      </c>
      <c r="D15320" s="21" t="s">
        <v>34</v>
      </c>
      <c r="E15320" s="21" t="s">
        <v>71</v>
      </c>
      <c r="F15320">
        <v>3290037</v>
      </c>
      <c r="G15320" t="s">
        <v>11628</v>
      </c>
      <c r="H15320" s="21">
        <v>848.17</v>
      </c>
    </row>
    <row r="15321" spans="1:8" customFormat="1" x14ac:dyDescent="0.25">
      <c r="A15321" t="str">
        <f>"4428006"</f>
        <v>4428006</v>
      </c>
      <c r="B15321" t="s">
        <v>13453</v>
      </c>
      <c r="C15321" t="s">
        <v>60</v>
      </c>
      <c r="D15321" s="21" t="s">
        <v>34</v>
      </c>
      <c r="E15321" s="21" t="s">
        <v>35</v>
      </c>
      <c r="F15321">
        <v>12440225</v>
      </c>
      <c r="G15321" t="s">
        <v>3094</v>
      </c>
      <c r="H15321" s="21">
        <v>848.17</v>
      </c>
    </row>
    <row r="15322" spans="1:8" customFormat="1" x14ac:dyDescent="0.25">
      <c r="A15322" t="str">
        <f>"3012185"</f>
        <v>3012185</v>
      </c>
      <c r="B15322" t="s">
        <v>13866</v>
      </c>
      <c r="C15322" t="s">
        <v>209</v>
      </c>
      <c r="D15322" s="21" t="s">
        <v>34</v>
      </c>
      <c r="E15322" s="21" t="s">
        <v>35</v>
      </c>
      <c r="F15322">
        <v>11300047</v>
      </c>
      <c r="G15322" t="s">
        <v>9549</v>
      </c>
      <c r="H15322" s="21">
        <v>848.17</v>
      </c>
    </row>
    <row r="15323" spans="1:8" customFormat="1" x14ac:dyDescent="0.25">
      <c r="A15323" t="str">
        <f>"7718196"</f>
        <v>7718196</v>
      </c>
      <c r="B15323" t="s">
        <v>12107</v>
      </c>
      <c r="C15323" t="s">
        <v>2734</v>
      </c>
      <c r="D15323" s="21" t="s">
        <v>34</v>
      </c>
      <c r="E15323" s="21" t="s">
        <v>71</v>
      </c>
      <c r="F15323">
        <v>8771394</v>
      </c>
      <c r="G15323" t="s">
        <v>1933</v>
      </c>
      <c r="H15323" s="21">
        <v>848.17</v>
      </c>
    </row>
    <row r="15324" spans="1:8" customFormat="1" x14ac:dyDescent="0.25">
      <c r="A15324" t="str">
        <f>"9122453"</f>
        <v>9122453</v>
      </c>
      <c r="B15324" t="s">
        <v>14395</v>
      </c>
      <c r="C15324" t="s">
        <v>55</v>
      </c>
      <c r="D15324" s="21" t="s">
        <v>34</v>
      </c>
      <c r="E15324" s="21" t="s">
        <v>71</v>
      </c>
      <c r="F15324">
        <v>8911456</v>
      </c>
      <c r="G15324" t="s">
        <v>6481</v>
      </c>
      <c r="H15324" s="21">
        <v>848.04</v>
      </c>
    </row>
    <row r="15325" spans="1:8" customFormat="1" x14ac:dyDescent="0.25">
      <c r="A15325" t="str">
        <f>"5973401"</f>
        <v>5973401</v>
      </c>
      <c r="B15325" t="s">
        <v>2183</v>
      </c>
      <c r="C15325" t="s">
        <v>598</v>
      </c>
      <c r="D15325" s="21" t="s">
        <v>34</v>
      </c>
      <c r="E15325" s="21" t="s">
        <v>35</v>
      </c>
      <c r="F15325">
        <v>7590184</v>
      </c>
      <c r="G15325" t="s">
        <v>6722</v>
      </c>
      <c r="H15325" s="21">
        <v>847.92</v>
      </c>
    </row>
    <row r="15326" spans="1:8" customFormat="1" x14ac:dyDescent="0.25">
      <c r="A15326" t="str">
        <f>"8015681"</f>
        <v>8015681</v>
      </c>
      <c r="B15326" t="s">
        <v>13727</v>
      </c>
      <c r="C15326" t="s">
        <v>428</v>
      </c>
      <c r="D15326" s="21" t="s">
        <v>34</v>
      </c>
      <c r="E15326" s="21" t="s">
        <v>35</v>
      </c>
      <c r="F15326">
        <v>7800153</v>
      </c>
      <c r="G15326" t="s">
        <v>13728</v>
      </c>
      <c r="H15326" s="21">
        <v>847.92</v>
      </c>
    </row>
    <row r="15327" spans="1:8" customFormat="1" x14ac:dyDescent="0.25">
      <c r="A15327" t="str">
        <f>"7628941"</f>
        <v>7628941</v>
      </c>
      <c r="B15327" t="s">
        <v>14651</v>
      </c>
      <c r="C15327" t="s">
        <v>187</v>
      </c>
      <c r="D15327" s="21" t="s">
        <v>34</v>
      </c>
      <c r="E15327" s="21" t="s">
        <v>71</v>
      </c>
      <c r="F15327">
        <v>9760319</v>
      </c>
      <c r="G15327" t="s">
        <v>3051</v>
      </c>
      <c r="H15327" s="21">
        <v>847.92</v>
      </c>
    </row>
    <row r="15328" spans="1:8" customFormat="1" x14ac:dyDescent="0.25">
      <c r="A15328" t="str">
        <f>"3326585"</f>
        <v>3326585</v>
      </c>
      <c r="B15328" t="s">
        <v>12859</v>
      </c>
      <c r="C15328" t="s">
        <v>87</v>
      </c>
      <c r="D15328" s="21" t="s">
        <v>34</v>
      </c>
      <c r="E15328" s="21" t="s">
        <v>71</v>
      </c>
      <c r="F15328">
        <v>10330052</v>
      </c>
      <c r="G15328" t="s">
        <v>12860</v>
      </c>
      <c r="H15328" s="21">
        <v>847.92</v>
      </c>
    </row>
    <row r="15329" spans="1:8" customFormat="1" x14ac:dyDescent="0.25">
      <c r="A15329" t="str">
        <f>"9530641"</f>
        <v>9530641</v>
      </c>
      <c r="B15329" t="s">
        <v>213</v>
      </c>
      <c r="C15329" t="s">
        <v>1142</v>
      </c>
      <c r="D15329" s="21" t="s">
        <v>34</v>
      </c>
      <c r="E15329" s="21" t="s">
        <v>71</v>
      </c>
      <c r="F15329">
        <v>8950978</v>
      </c>
      <c r="G15329" t="s">
        <v>1164</v>
      </c>
      <c r="H15329" s="21">
        <v>847.79</v>
      </c>
    </row>
    <row r="15330" spans="1:8" customFormat="1" x14ac:dyDescent="0.25">
      <c r="A15330" t="str">
        <f>"3335769"</f>
        <v>3335769</v>
      </c>
      <c r="B15330" t="s">
        <v>4516</v>
      </c>
      <c r="C15330" t="s">
        <v>169</v>
      </c>
      <c r="D15330" s="21" t="s">
        <v>34</v>
      </c>
      <c r="E15330" s="21" t="s">
        <v>35</v>
      </c>
      <c r="F15330">
        <v>10330125</v>
      </c>
      <c r="G15330" t="s">
        <v>3753</v>
      </c>
      <c r="H15330" s="21">
        <v>847.79</v>
      </c>
    </row>
    <row r="15331" spans="1:8" customFormat="1" x14ac:dyDescent="0.25">
      <c r="A15331" t="str">
        <f>"5017446"</f>
        <v>5017446</v>
      </c>
      <c r="B15331" t="s">
        <v>6681</v>
      </c>
      <c r="C15331" t="s">
        <v>2734</v>
      </c>
      <c r="D15331" s="21" t="s">
        <v>34</v>
      </c>
      <c r="E15331" s="21" t="s">
        <v>35</v>
      </c>
      <c r="F15331">
        <v>9500153</v>
      </c>
      <c r="G15331" t="s">
        <v>5779</v>
      </c>
      <c r="H15331" s="21">
        <v>847.67</v>
      </c>
    </row>
    <row r="15332" spans="1:8" customFormat="1" x14ac:dyDescent="0.25">
      <c r="A15332" t="str">
        <f>"594186"</f>
        <v>594186</v>
      </c>
      <c r="B15332" t="s">
        <v>14969</v>
      </c>
      <c r="C15332" t="s">
        <v>2546</v>
      </c>
      <c r="D15332" s="21" t="s">
        <v>34</v>
      </c>
      <c r="E15332" s="21" t="s">
        <v>254</v>
      </c>
      <c r="F15332">
        <v>7590131</v>
      </c>
      <c r="G15332" t="s">
        <v>6300</v>
      </c>
      <c r="H15332" s="21">
        <v>847.67</v>
      </c>
    </row>
    <row r="15333" spans="1:8" customFormat="1" x14ac:dyDescent="0.25">
      <c r="A15333" t="str">
        <f>"9247063"</f>
        <v>9247063</v>
      </c>
      <c r="B15333" t="s">
        <v>15259</v>
      </c>
      <c r="C15333" t="s">
        <v>139</v>
      </c>
      <c r="D15333" s="21" t="s">
        <v>34</v>
      </c>
      <c r="E15333" s="21" t="s">
        <v>35</v>
      </c>
      <c r="F15333">
        <v>8920503</v>
      </c>
      <c r="G15333" t="s">
        <v>9047</v>
      </c>
      <c r="H15333" s="21">
        <v>847.67</v>
      </c>
    </row>
    <row r="15334" spans="1:8" customFormat="1" x14ac:dyDescent="0.25">
      <c r="A15334" t="str">
        <f>"4425075"</f>
        <v>4425075</v>
      </c>
      <c r="B15334" t="s">
        <v>27377</v>
      </c>
      <c r="C15334" t="s">
        <v>55</v>
      </c>
      <c r="D15334" s="21" t="s">
        <v>34</v>
      </c>
      <c r="E15334" s="21" t="s">
        <v>71</v>
      </c>
      <c r="F15334" t="s">
        <v>1403</v>
      </c>
      <c r="G15334" t="s">
        <v>1404</v>
      </c>
      <c r="H15334" s="21">
        <v>847.67</v>
      </c>
    </row>
    <row r="15335" spans="1:8" customFormat="1" x14ac:dyDescent="0.25">
      <c r="A15335" t="str">
        <f>"2612650"</f>
        <v>2612650</v>
      </c>
      <c r="B15335" t="s">
        <v>11027</v>
      </c>
      <c r="C15335" t="s">
        <v>65</v>
      </c>
      <c r="D15335" s="21" t="s">
        <v>34</v>
      </c>
      <c r="E15335" s="21" t="s">
        <v>35</v>
      </c>
      <c r="F15335">
        <v>1260060</v>
      </c>
      <c r="G15335" t="s">
        <v>3403</v>
      </c>
      <c r="H15335" s="21">
        <v>847.67</v>
      </c>
    </row>
    <row r="15336" spans="1:8" customFormat="1" x14ac:dyDescent="0.25">
      <c r="A15336" t="str">
        <f>"5613593"</f>
        <v>5613593</v>
      </c>
      <c r="B15336" t="s">
        <v>6656</v>
      </c>
      <c r="C15336" t="s">
        <v>415</v>
      </c>
      <c r="D15336" s="21" t="s">
        <v>34</v>
      </c>
      <c r="E15336" s="21" t="s">
        <v>71</v>
      </c>
      <c r="F15336">
        <v>3560043</v>
      </c>
      <c r="G15336" t="s">
        <v>11635</v>
      </c>
      <c r="H15336" s="21">
        <v>847.67</v>
      </c>
    </row>
    <row r="15337" spans="1:8" customFormat="1" x14ac:dyDescent="0.25">
      <c r="A15337" t="str">
        <f>"679398"</f>
        <v>679398</v>
      </c>
      <c r="B15337" t="s">
        <v>13001</v>
      </c>
      <c r="C15337" t="s">
        <v>2072</v>
      </c>
      <c r="D15337" s="21" t="s">
        <v>34</v>
      </c>
      <c r="E15337" s="21" t="s">
        <v>254</v>
      </c>
      <c r="F15337">
        <v>6670221</v>
      </c>
      <c r="G15337" t="s">
        <v>3742</v>
      </c>
      <c r="H15337" s="21">
        <v>847.67</v>
      </c>
    </row>
    <row r="15338" spans="1:8" customFormat="1" x14ac:dyDescent="0.25">
      <c r="A15338" t="str">
        <f>"6233161"</f>
        <v>6233161</v>
      </c>
      <c r="B15338" t="s">
        <v>16199</v>
      </c>
      <c r="C15338" t="s">
        <v>598</v>
      </c>
      <c r="D15338" s="21" t="s">
        <v>34</v>
      </c>
      <c r="E15338" s="21" t="s">
        <v>71</v>
      </c>
      <c r="F15338">
        <v>7620111</v>
      </c>
      <c r="G15338" t="s">
        <v>1372</v>
      </c>
      <c r="H15338" s="21">
        <v>847.67</v>
      </c>
    </row>
    <row r="15339" spans="1:8" customFormat="1" x14ac:dyDescent="0.25">
      <c r="A15339" t="str">
        <f>"0112546"</f>
        <v>0112546</v>
      </c>
      <c r="B15339" t="s">
        <v>13507</v>
      </c>
      <c r="C15339" t="s">
        <v>412</v>
      </c>
      <c r="D15339" s="21" t="s">
        <v>34</v>
      </c>
      <c r="E15339" s="21" t="s">
        <v>1089</v>
      </c>
      <c r="F15339">
        <v>1010004</v>
      </c>
      <c r="G15339" t="s">
        <v>9066</v>
      </c>
      <c r="H15339" s="21">
        <v>847.67</v>
      </c>
    </row>
    <row r="15340" spans="1:8" customFormat="1" x14ac:dyDescent="0.25">
      <c r="A15340" t="str">
        <f>"8525438"</f>
        <v>8525438</v>
      </c>
      <c r="B15340" t="s">
        <v>2755</v>
      </c>
      <c r="C15340" t="s">
        <v>33</v>
      </c>
      <c r="D15340" s="21" t="s">
        <v>34</v>
      </c>
      <c r="E15340" s="21" t="s">
        <v>35</v>
      </c>
      <c r="F15340">
        <v>12851025</v>
      </c>
      <c r="G15340" t="s">
        <v>26858</v>
      </c>
      <c r="H15340" s="21">
        <v>847.67</v>
      </c>
    </row>
    <row r="15341" spans="1:8" customFormat="1" x14ac:dyDescent="0.25">
      <c r="A15341" t="str">
        <f>"432525"</f>
        <v>432525</v>
      </c>
      <c r="B15341" t="s">
        <v>13758</v>
      </c>
      <c r="C15341" t="s">
        <v>87</v>
      </c>
      <c r="D15341" s="21" t="s">
        <v>34</v>
      </c>
      <c r="E15341" s="21" t="s">
        <v>71</v>
      </c>
      <c r="F15341">
        <v>7620056</v>
      </c>
      <c r="G15341" t="s">
        <v>11211</v>
      </c>
      <c r="H15341" s="21">
        <v>847.67</v>
      </c>
    </row>
    <row r="15342" spans="1:8" customFormat="1" x14ac:dyDescent="0.25">
      <c r="A15342" t="str">
        <f>"4429233"</f>
        <v>4429233</v>
      </c>
      <c r="B15342" t="s">
        <v>9345</v>
      </c>
      <c r="C15342" t="s">
        <v>246</v>
      </c>
      <c r="D15342" s="21" t="s">
        <v>34</v>
      </c>
      <c r="E15342" s="21" t="s">
        <v>1089</v>
      </c>
      <c r="F15342">
        <v>12440142</v>
      </c>
      <c r="G15342" t="s">
        <v>3285</v>
      </c>
      <c r="H15342" s="21">
        <v>847.67</v>
      </c>
    </row>
    <row r="15343" spans="1:8" customFormat="1" x14ac:dyDescent="0.25">
      <c r="A15343" t="str">
        <f>"721819"</f>
        <v>721819</v>
      </c>
      <c r="B15343" t="s">
        <v>2190</v>
      </c>
      <c r="C15343" t="s">
        <v>412</v>
      </c>
      <c r="D15343" s="21" t="s">
        <v>34</v>
      </c>
      <c r="E15343" s="21" t="s">
        <v>71</v>
      </c>
      <c r="F15343">
        <v>12720070</v>
      </c>
      <c r="G15343" t="s">
        <v>2348</v>
      </c>
      <c r="H15343" s="21">
        <v>847.67</v>
      </c>
    </row>
    <row r="15344" spans="1:8" customFormat="1" x14ac:dyDescent="0.25">
      <c r="A15344" t="str">
        <f>"422908"</f>
        <v>422908</v>
      </c>
      <c r="B15344" t="s">
        <v>3572</v>
      </c>
      <c r="C15344" t="s">
        <v>1588</v>
      </c>
      <c r="D15344" s="21" t="s">
        <v>34</v>
      </c>
      <c r="E15344" s="21" t="s">
        <v>1089</v>
      </c>
      <c r="F15344">
        <v>1420123</v>
      </c>
      <c r="G15344" t="s">
        <v>13155</v>
      </c>
      <c r="H15344" s="21">
        <v>847.67</v>
      </c>
    </row>
    <row r="15345" spans="1:8" customFormat="1" x14ac:dyDescent="0.25">
      <c r="A15345" t="str">
        <f>"3415219"</f>
        <v>3415219</v>
      </c>
      <c r="B15345" t="s">
        <v>5748</v>
      </c>
      <c r="C15345" t="s">
        <v>926</v>
      </c>
      <c r="D15345" s="21" t="s">
        <v>34</v>
      </c>
      <c r="E15345" s="21" t="s">
        <v>35</v>
      </c>
      <c r="F15345">
        <v>11340047</v>
      </c>
      <c r="G15345" t="s">
        <v>4303</v>
      </c>
      <c r="H15345" s="21">
        <v>847.67</v>
      </c>
    </row>
    <row r="15346" spans="1:8" customFormat="1" x14ac:dyDescent="0.25">
      <c r="A15346" t="str">
        <f>"6312962"</f>
        <v>6312962</v>
      </c>
      <c r="B15346" t="s">
        <v>13418</v>
      </c>
      <c r="C15346" t="s">
        <v>206</v>
      </c>
      <c r="D15346" s="21" t="s">
        <v>34</v>
      </c>
      <c r="E15346" s="21" t="s">
        <v>35</v>
      </c>
      <c r="F15346">
        <v>1630322</v>
      </c>
      <c r="G15346" t="s">
        <v>13419</v>
      </c>
      <c r="H15346" s="21">
        <v>847.67</v>
      </c>
    </row>
    <row r="15347" spans="1:8" customFormat="1" x14ac:dyDescent="0.25">
      <c r="A15347" t="str">
        <f>"585510"</f>
        <v>585510</v>
      </c>
      <c r="B15347" t="s">
        <v>1998</v>
      </c>
      <c r="C15347" t="s">
        <v>269</v>
      </c>
      <c r="D15347" s="21" t="s">
        <v>34</v>
      </c>
      <c r="E15347" s="21" t="s">
        <v>35</v>
      </c>
      <c r="F15347">
        <v>2580012</v>
      </c>
      <c r="G15347" t="s">
        <v>1144</v>
      </c>
      <c r="H15347" s="21">
        <v>847.67</v>
      </c>
    </row>
    <row r="15348" spans="1:8" customFormat="1" x14ac:dyDescent="0.25">
      <c r="A15348" t="str">
        <f>"7913429"</f>
        <v>7913429</v>
      </c>
      <c r="B15348" t="s">
        <v>5514</v>
      </c>
      <c r="C15348" t="s">
        <v>249</v>
      </c>
      <c r="D15348" s="21" t="s">
        <v>34</v>
      </c>
      <c r="E15348" s="21" t="s">
        <v>35</v>
      </c>
      <c r="F15348">
        <v>10790020</v>
      </c>
      <c r="G15348" t="s">
        <v>10221</v>
      </c>
      <c r="H15348" s="21">
        <v>847.42</v>
      </c>
    </row>
    <row r="15349" spans="1:8" customFormat="1" x14ac:dyDescent="0.25">
      <c r="A15349" t="str">
        <f>"349323"</f>
        <v>349323</v>
      </c>
      <c r="B15349" t="s">
        <v>6401</v>
      </c>
      <c r="C15349" t="s">
        <v>65</v>
      </c>
      <c r="D15349" s="21" t="s">
        <v>34</v>
      </c>
      <c r="E15349" s="21" t="s">
        <v>35</v>
      </c>
      <c r="F15349">
        <v>11340035</v>
      </c>
      <c r="G15349" t="s">
        <v>10724</v>
      </c>
      <c r="H15349" s="21">
        <v>847.42</v>
      </c>
    </row>
    <row r="15350" spans="1:8" customFormat="1" x14ac:dyDescent="0.25">
      <c r="A15350" t="str">
        <f>"4514389"</f>
        <v>4514389</v>
      </c>
      <c r="B15350" t="s">
        <v>12413</v>
      </c>
      <c r="C15350" t="s">
        <v>1812</v>
      </c>
      <c r="D15350" s="21" t="s">
        <v>34</v>
      </c>
      <c r="E15350" s="21" t="s">
        <v>35</v>
      </c>
      <c r="F15350">
        <v>4450413</v>
      </c>
      <c r="G15350" t="s">
        <v>11734</v>
      </c>
      <c r="H15350" s="21">
        <v>847.42</v>
      </c>
    </row>
    <row r="15351" spans="1:8" customFormat="1" x14ac:dyDescent="0.25">
      <c r="A15351" t="str">
        <f>"412374"</f>
        <v>412374</v>
      </c>
      <c r="B15351" t="s">
        <v>136</v>
      </c>
      <c r="C15351" t="s">
        <v>288</v>
      </c>
      <c r="D15351" s="21" t="s">
        <v>34</v>
      </c>
      <c r="E15351" s="21" t="s">
        <v>35</v>
      </c>
      <c r="F15351">
        <v>12440083</v>
      </c>
      <c r="G15351" t="s">
        <v>7694</v>
      </c>
      <c r="H15351" s="21">
        <v>847.42</v>
      </c>
    </row>
    <row r="15352" spans="1:8" customFormat="1" x14ac:dyDescent="0.25">
      <c r="A15352" t="str">
        <f>"808506"</f>
        <v>808506</v>
      </c>
      <c r="B15352" t="s">
        <v>13857</v>
      </c>
      <c r="C15352" t="s">
        <v>249</v>
      </c>
      <c r="D15352" s="21" t="s">
        <v>34</v>
      </c>
      <c r="E15352" s="21" t="s">
        <v>71</v>
      </c>
      <c r="F15352">
        <v>7800126</v>
      </c>
      <c r="G15352" t="s">
        <v>1105</v>
      </c>
      <c r="H15352" s="21">
        <v>847.17</v>
      </c>
    </row>
    <row r="15353" spans="1:8" customFormat="1" x14ac:dyDescent="0.25">
      <c r="A15353" t="str">
        <f>"1414432"</f>
        <v>1414432</v>
      </c>
      <c r="B15353" t="s">
        <v>11641</v>
      </c>
      <c r="C15353" t="s">
        <v>169</v>
      </c>
      <c r="D15353" s="21" t="s">
        <v>34</v>
      </c>
      <c r="E15353" s="21" t="s">
        <v>71</v>
      </c>
      <c r="F15353">
        <v>9140072</v>
      </c>
      <c r="G15353" t="s">
        <v>4810</v>
      </c>
      <c r="H15353" s="21">
        <v>847.17</v>
      </c>
    </row>
    <row r="15354" spans="1:8" customFormat="1" x14ac:dyDescent="0.25">
      <c r="A15354" t="str">
        <f>"244862"</f>
        <v>244862</v>
      </c>
      <c r="B15354" t="s">
        <v>5769</v>
      </c>
      <c r="C15354" t="s">
        <v>49</v>
      </c>
      <c r="D15354" s="21" t="s">
        <v>34</v>
      </c>
      <c r="E15354" s="21" t="s">
        <v>35</v>
      </c>
      <c r="F15354">
        <v>10240015</v>
      </c>
      <c r="G15354" t="s">
        <v>8589</v>
      </c>
      <c r="H15354" s="21">
        <v>847.17</v>
      </c>
    </row>
    <row r="15355" spans="1:8" customFormat="1" x14ac:dyDescent="0.25">
      <c r="A15355" t="str">
        <f>"421874"</f>
        <v>421874</v>
      </c>
      <c r="B15355" t="s">
        <v>13317</v>
      </c>
      <c r="C15355" t="s">
        <v>412</v>
      </c>
      <c r="D15355" s="21" t="s">
        <v>34</v>
      </c>
      <c r="E15355" s="21" t="s">
        <v>1089</v>
      </c>
      <c r="F15355">
        <v>1420156</v>
      </c>
      <c r="G15355" t="s">
        <v>5635</v>
      </c>
      <c r="H15355" s="21">
        <v>847.17</v>
      </c>
    </row>
    <row r="15356" spans="1:8" customFormat="1" x14ac:dyDescent="0.25">
      <c r="A15356" t="str">
        <f>"5936640"</f>
        <v>5936640</v>
      </c>
      <c r="B15356" t="s">
        <v>9983</v>
      </c>
      <c r="C15356" t="s">
        <v>269</v>
      </c>
      <c r="D15356" s="21" t="s">
        <v>34</v>
      </c>
      <c r="E15356" s="21" t="s">
        <v>35</v>
      </c>
      <c r="F15356">
        <v>6880066</v>
      </c>
      <c r="G15356" t="s">
        <v>4833</v>
      </c>
      <c r="H15356" s="21">
        <v>847.17</v>
      </c>
    </row>
    <row r="15357" spans="1:8" customFormat="1" x14ac:dyDescent="0.25">
      <c r="A15357" t="str">
        <f>"2937327"</f>
        <v>2937327</v>
      </c>
      <c r="B15357" t="s">
        <v>16222</v>
      </c>
      <c r="C15357" t="s">
        <v>147</v>
      </c>
      <c r="D15357" s="21" t="s">
        <v>34</v>
      </c>
      <c r="E15357" s="21" t="s">
        <v>35</v>
      </c>
      <c r="F15357">
        <v>3290235</v>
      </c>
      <c r="G15357" t="s">
        <v>12128</v>
      </c>
      <c r="H15357" s="21">
        <v>847.17</v>
      </c>
    </row>
    <row r="15358" spans="1:8" customFormat="1" x14ac:dyDescent="0.25">
      <c r="A15358" t="str">
        <f>"2513605"</f>
        <v>2513605</v>
      </c>
      <c r="B15358" t="s">
        <v>4711</v>
      </c>
      <c r="C15358" t="s">
        <v>608</v>
      </c>
      <c r="D15358" s="21" t="s">
        <v>34</v>
      </c>
      <c r="E15358" s="21" t="s">
        <v>35</v>
      </c>
      <c r="F15358">
        <v>2250024</v>
      </c>
      <c r="G15358" t="s">
        <v>751</v>
      </c>
      <c r="H15358" s="21">
        <v>847.17</v>
      </c>
    </row>
    <row r="15359" spans="1:8" customFormat="1" x14ac:dyDescent="0.25">
      <c r="A15359" t="str">
        <f>"5726946"</f>
        <v>5726946</v>
      </c>
      <c r="B15359" t="s">
        <v>13002</v>
      </c>
      <c r="C15359" t="s">
        <v>5848</v>
      </c>
      <c r="D15359" s="21" t="s">
        <v>34</v>
      </c>
      <c r="E15359" s="21" t="s">
        <v>71</v>
      </c>
      <c r="F15359">
        <v>6570193</v>
      </c>
      <c r="G15359" t="s">
        <v>13003</v>
      </c>
      <c r="H15359" s="21">
        <v>847.17</v>
      </c>
    </row>
    <row r="15360" spans="1:8" customFormat="1" x14ac:dyDescent="0.25">
      <c r="A15360" t="str">
        <f>"9123751"</f>
        <v>9123751</v>
      </c>
      <c r="B15360" t="s">
        <v>14116</v>
      </c>
      <c r="C15360" t="s">
        <v>87</v>
      </c>
      <c r="D15360" s="21" t="s">
        <v>34</v>
      </c>
      <c r="E15360" s="21" t="s">
        <v>71</v>
      </c>
      <c r="F15360">
        <v>8911083</v>
      </c>
      <c r="G15360" t="s">
        <v>7357</v>
      </c>
      <c r="H15360" s="21">
        <v>847.17</v>
      </c>
    </row>
    <row r="15361" spans="1:8" customFormat="1" x14ac:dyDescent="0.25">
      <c r="A15361" t="str">
        <f>"446094"</f>
        <v>446094</v>
      </c>
      <c r="B15361" t="s">
        <v>13099</v>
      </c>
      <c r="C15361" t="s">
        <v>598</v>
      </c>
      <c r="D15361" s="21" t="s">
        <v>34</v>
      </c>
      <c r="E15361" s="21" t="s">
        <v>254</v>
      </c>
      <c r="F15361">
        <v>12440030</v>
      </c>
      <c r="G15361" t="s">
        <v>5524</v>
      </c>
      <c r="H15361" s="21">
        <v>847.17</v>
      </c>
    </row>
    <row r="15362" spans="1:8" customFormat="1" x14ac:dyDescent="0.25">
      <c r="A15362" t="str">
        <f>"6226882"</f>
        <v>6226882</v>
      </c>
      <c r="B15362" t="s">
        <v>3759</v>
      </c>
      <c r="C15362" t="s">
        <v>124</v>
      </c>
      <c r="D15362" s="21" t="s">
        <v>34</v>
      </c>
      <c r="E15362" s="21" t="s">
        <v>71</v>
      </c>
      <c r="F15362">
        <v>7620178</v>
      </c>
      <c r="G15362" t="s">
        <v>11090</v>
      </c>
      <c r="H15362" s="21">
        <v>847.17</v>
      </c>
    </row>
    <row r="15363" spans="1:8" customFormat="1" x14ac:dyDescent="0.25">
      <c r="A15363" t="str">
        <f>"452976"</f>
        <v>452976</v>
      </c>
      <c r="B15363" t="s">
        <v>12702</v>
      </c>
      <c r="C15363" t="s">
        <v>2479</v>
      </c>
      <c r="D15363" s="21" t="s">
        <v>34</v>
      </c>
      <c r="E15363" s="21" t="s">
        <v>254</v>
      </c>
      <c r="F15363">
        <v>4450753</v>
      </c>
      <c r="G15363" t="s">
        <v>8786</v>
      </c>
      <c r="H15363" s="21">
        <v>847.17</v>
      </c>
    </row>
    <row r="15364" spans="1:8" customFormat="1" x14ac:dyDescent="0.25">
      <c r="A15364" t="str">
        <f>"6221081"</f>
        <v>6221081</v>
      </c>
      <c r="B15364" t="s">
        <v>14328</v>
      </c>
      <c r="C15364" t="s">
        <v>98</v>
      </c>
      <c r="D15364" s="21" t="s">
        <v>34</v>
      </c>
      <c r="E15364" s="21" t="s">
        <v>35</v>
      </c>
      <c r="F15364">
        <v>7620061</v>
      </c>
      <c r="G15364" t="s">
        <v>4448</v>
      </c>
      <c r="H15364" s="21">
        <v>847.17</v>
      </c>
    </row>
    <row r="15365" spans="1:8" customFormat="1" x14ac:dyDescent="0.25">
      <c r="A15365" t="str">
        <f>"5061"</f>
        <v>5061</v>
      </c>
      <c r="B15365" t="s">
        <v>1076</v>
      </c>
      <c r="C15365" t="s">
        <v>1705</v>
      </c>
      <c r="D15365" s="21" t="s">
        <v>34</v>
      </c>
      <c r="E15365" s="21" t="s">
        <v>71</v>
      </c>
      <c r="F15365">
        <v>9500011</v>
      </c>
      <c r="G15365" t="s">
        <v>4903</v>
      </c>
      <c r="H15365" s="21">
        <v>847.04</v>
      </c>
    </row>
    <row r="15366" spans="1:8" customFormat="1" x14ac:dyDescent="0.25">
      <c r="A15366" t="str">
        <f>"9119720"</f>
        <v>9119720</v>
      </c>
      <c r="B15366" t="s">
        <v>13593</v>
      </c>
      <c r="C15366" t="s">
        <v>13594</v>
      </c>
      <c r="D15366" s="21" t="s">
        <v>34</v>
      </c>
      <c r="E15366" s="21" t="s">
        <v>1089</v>
      </c>
      <c r="F15366">
        <v>8911323</v>
      </c>
      <c r="G15366" t="s">
        <v>555</v>
      </c>
      <c r="H15366" s="21">
        <v>847.04</v>
      </c>
    </row>
    <row r="15367" spans="1:8" customFormat="1" x14ac:dyDescent="0.25">
      <c r="A15367" t="str">
        <f>"497505"</f>
        <v>497505</v>
      </c>
      <c r="B15367" t="s">
        <v>14202</v>
      </c>
      <c r="C15367" t="s">
        <v>119</v>
      </c>
      <c r="D15367" s="21" t="s">
        <v>34</v>
      </c>
      <c r="E15367" s="21" t="s">
        <v>35</v>
      </c>
      <c r="F15367">
        <v>12720104</v>
      </c>
      <c r="G15367" t="s">
        <v>224</v>
      </c>
      <c r="H15367" s="21">
        <v>846.92</v>
      </c>
    </row>
    <row r="15368" spans="1:8" customFormat="1" x14ac:dyDescent="0.25">
      <c r="A15368" t="str">
        <f>"9422761"</f>
        <v>9422761</v>
      </c>
      <c r="B15368" t="s">
        <v>27378</v>
      </c>
      <c r="C15368" t="s">
        <v>204</v>
      </c>
      <c r="D15368" s="21" t="s">
        <v>34</v>
      </c>
      <c r="E15368" s="21" t="s">
        <v>35</v>
      </c>
      <c r="F15368">
        <v>11340010</v>
      </c>
      <c r="G15368" t="s">
        <v>66</v>
      </c>
      <c r="H15368" s="21">
        <v>846.92</v>
      </c>
    </row>
    <row r="15369" spans="1:8" customFormat="1" x14ac:dyDescent="0.25">
      <c r="A15369" t="str">
        <f>"087619"</f>
        <v>087619</v>
      </c>
      <c r="B15369" t="s">
        <v>13244</v>
      </c>
      <c r="C15369" t="s">
        <v>263</v>
      </c>
      <c r="D15369" s="21" t="s">
        <v>34</v>
      </c>
      <c r="E15369" s="21" t="s">
        <v>254</v>
      </c>
      <c r="F15369">
        <v>3560005</v>
      </c>
      <c r="G15369" t="s">
        <v>2101</v>
      </c>
      <c r="H15369" s="21">
        <v>846.92</v>
      </c>
    </row>
    <row r="15370" spans="1:8" customFormat="1" x14ac:dyDescent="0.25">
      <c r="A15370" t="str">
        <f>"813226"</f>
        <v>813226</v>
      </c>
      <c r="B15370" t="s">
        <v>14930</v>
      </c>
      <c r="C15370" t="s">
        <v>14931</v>
      </c>
      <c r="D15370" s="21" t="s">
        <v>34</v>
      </c>
      <c r="E15370" s="21" t="s">
        <v>71</v>
      </c>
      <c r="F15370">
        <v>11810008</v>
      </c>
      <c r="G15370" t="s">
        <v>8796</v>
      </c>
      <c r="H15370" s="21">
        <v>846.92</v>
      </c>
    </row>
    <row r="15371" spans="1:8" customFormat="1" x14ac:dyDescent="0.25">
      <c r="A15371" t="str">
        <f>"632110"</f>
        <v>632110</v>
      </c>
      <c r="B15371" t="s">
        <v>13562</v>
      </c>
      <c r="C15371" t="s">
        <v>239</v>
      </c>
      <c r="D15371" s="21" t="s">
        <v>34</v>
      </c>
      <c r="E15371" s="21" t="s">
        <v>71</v>
      </c>
      <c r="F15371">
        <v>1630114</v>
      </c>
      <c r="G15371" t="s">
        <v>10269</v>
      </c>
      <c r="H15371" s="21">
        <v>846.67</v>
      </c>
    </row>
    <row r="15372" spans="1:8" customFormat="1" x14ac:dyDescent="0.25">
      <c r="A15372" t="str">
        <f>"3012444"</f>
        <v>3012444</v>
      </c>
      <c r="B15372" t="s">
        <v>5426</v>
      </c>
      <c r="C15372" t="s">
        <v>33</v>
      </c>
      <c r="D15372" s="21" t="s">
        <v>34</v>
      </c>
      <c r="E15372" s="21" t="s">
        <v>35</v>
      </c>
      <c r="F15372">
        <v>11300015</v>
      </c>
      <c r="G15372" t="s">
        <v>12613</v>
      </c>
      <c r="H15372" s="21">
        <v>846.67</v>
      </c>
    </row>
    <row r="15373" spans="1:8" customFormat="1" x14ac:dyDescent="0.25">
      <c r="A15373" t="str">
        <f>"7517768"</f>
        <v>7517768</v>
      </c>
      <c r="B15373" t="s">
        <v>14279</v>
      </c>
      <c r="C15373" t="s">
        <v>124</v>
      </c>
      <c r="D15373" s="21" t="s">
        <v>34</v>
      </c>
      <c r="E15373" s="21" t="s">
        <v>35</v>
      </c>
      <c r="F15373">
        <v>8751455</v>
      </c>
      <c r="G15373" t="s">
        <v>14280</v>
      </c>
      <c r="H15373" s="21">
        <v>846.67</v>
      </c>
    </row>
    <row r="15374" spans="1:8" customFormat="1" x14ac:dyDescent="0.25">
      <c r="A15374" t="str">
        <f>"4214404"</f>
        <v>4214404</v>
      </c>
      <c r="B15374" t="s">
        <v>12959</v>
      </c>
      <c r="C15374" t="s">
        <v>1142</v>
      </c>
      <c r="D15374" s="21" t="s">
        <v>34</v>
      </c>
      <c r="E15374" s="21" t="s">
        <v>71</v>
      </c>
      <c r="F15374">
        <v>1420138</v>
      </c>
      <c r="G15374" t="s">
        <v>27002</v>
      </c>
      <c r="H15374" s="21">
        <v>846.67</v>
      </c>
    </row>
    <row r="15375" spans="1:8" customFormat="1" x14ac:dyDescent="0.25">
      <c r="A15375" t="str">
        <f>"2921479"</f>
        <v>2921479</v>
      </c>
      <c r="B15375" t="s">
        <v>10741</v>
      </c>
      <c r="C15375" t="s">
        <v>608</v>
      </c>
      <c r="D15375" s="21" t="s">
        <v>34</v>
      </c>
      <c r="E15375" s="21" t="s">
        <v>71</v>
      </c>
      <c r="F15375">
        <v>3290019</v>
      </c>
      <c r="G15375" t="s">
        <v>4452</v>
      </c>
      <c r="H15375" s="21">
        <v>846.67</v>
      </c>
    </row>
    <row r="15376" spans="1:8" customFormat="1" x14ac:dyDescent="0.25">
      <c r="A15376" t="str">
        <f>"521537"</f>
        <v>521537</v>
      </c>
      <c r="B15376" t="s">
        <v>6312</v>
      </c>
      <c r="C15376" t="s">
        <v>720</v>
      </c>
      <c r="D15376" s="21" t="s">
        <v>34</v>
      </c>
      <c r="E15376" s="21" t="s">
        <v>6185</v>
      </c>
      <c r="F15376">
        <v>6520001</v>
      </c>
      <c r="G15376" t="s">
        <v>7318</v>
      </c>
      <c r="H15376" s="21">
        <v>846.67</v>
      </c>
    </row>
    <row r="15377" spans="1:8" customFormat="1" x14ac:dyDescent="0.25">
      <c r="A15377" t="str">
        <f>"9124543"</f>
        <v>9124543</v>
      </c>
      <c r="B15377" t="s">
        <v>12776</v>
      </c>
      <c r="C15377" t="s">
        <v>2520</v>
      </c>
      <c r="D15377" s="21" t="s">
        <v>34</v>
      </c>
      <c r="E15377" s="21" t="s">
        <v>254</v>
      </c>
      <c r="F15377">
        <v>12850008</v>
      </c>
      <c r="G15377" t="s">
        <v>4248</v>
      </c>
      <c r="H15377" s="21">
        <v>846.67</v>
      </c>
    </row>
    <row r="15378" spans="1:8" customFormat="1" x14ac:dyDescent="0.25">
      <c r="A15378" t="str">
        <f>"2928012"</f>
        <v>2928012</v>
      </c>
      <c r="B15378" t="s">
        <v>12825</v>
      </c>
      <c r="C15378" t="s">
        <v>62</v>
      </c>
      <c r="D15378" s="21" t="s">
        <v>34</v>
      </c>
      <c r="E15378" s="21" t="s">
        <v>71</v>
      </c>
      <c r="F15378">
        <v>3290268</v>
      </c>
      <c r="G15378" t="s">
        <v>9878</v>
      </c>
      <c r="H15378" s="21">
        <v>846.67</v>
      </c>
    </row>
    <row r="15379" spans="1:8" customFormat="1" x14ac:dyDescent="0.25">
      <c r="A15379" t="str">
        <f>"5975624"</f>
        <v>5975624</v>
      </c>
      <c r="B15379" t="s">
        <v>64</v>
      </c>
      <c r="C15379" t="s">
        <v>1220</v>
      </c>
      <c r="D15379" s="21" t="s">
        <v>34</v>
      </c>
      <c r="E15379" s="21" t="s">
        <v>35</v>
      </c>
      <c r="F15379">
        <v>7590177</v>
      </c>
      <c r="G15379" t="s">
        <v>10380</v>
      </c>
      <c r="H15379" s="21">
        <v>846.67</v>
      </c>
    </row>
    <row r="15380" spans="1:8" customFormat="1" x14ac:dyDescent="0.25">
      <c r="A15380" t="str">
        <f>"473454"</f>
        <v>473454</v>
      </c>
      <c r="B15380" t="s">
        <v>12610</v>
      </c>
      <c r="C15380" t="s">
        <v>119</v>
      </c>
      <c r="D15380" s="21" t="s">
        <v>34</v>
      </c>
      <c r="E15380" s="21" t="s">
        <v>71</v>
      </c>
      <c r="F15380">
        <v>10330123</v>
      </c>
      <c r="G15380" t="s">
        <v>12101</v>
      </c>
      <c r="H15380" s="21">
        <v>846.67</v>
      </c>
    </row>
    <row r="15381" spans="1:8" customFormat="1" x14ac:dyDescent="0.25">
      <c r="A15381" t="str">
        <f>"5617692"</f>
        <v>5617692</v>
      </c>
      <c r="B15381" t="s">
        <v>13152</v>
      </c>
      <c r="C15381" t="s">
        <v>124</v>
      </c>
      <c r="D15381" s="21" t="s">
        <v>34</v>
      </c>
      <c r="E15381" s="21" t="s">
        <v>35</v>
      </c>
      <c r="F15381">
        <v>12440067</v>
      </c>
      <c r="G15381" t="s">
        <v>1723</v>
      </c>
      <c r="H15381" s="21">
        <v>846.67</v>
      </c>
    </row>
    <row r="15382" spans="1:8" customFormat="1" x14ac:dyDescent="0.25">
      <c r="A15382" t="str">
        <f>"446866"</f>
        <v>446866</v>
      </c>
      <c r="B15382" t="s">
        <v>13659</v>
      </c>
      <c r="C15382" t="s">
        <v>1110</v>
      </c>
      <c r="D15382" s="21" t="s">
        <v>34</v>
      </c>
      <c r="E15382" s="21" t="s">
        <v>1089</v>
      </c>
      <c r="F15382">
        <v>12440266</v>
      </c>
      <c r="G15382" t="s">
        <v>924</v>
      </c>
      <c r="H15382" s="21">
        <v>846.67</v>
      </c>
    </row>
    <row r="15383" spans="1:8" customFormat="1" x14ac:dyDescent="0.25">
      <c r="A15383" t="str">
        <f>"225922"</f>
        <v>225922</v>
      </c>
      <c r="B15383" t="s">
        <v>14121</v>
      </c>
      <c r="C15383" t="s">
        <v>547</v>
      </c>
      <c r="D15383" s="21" t="s">
        <v>34</v>
      </c>
      <c r="E15383" s="21" t="s">
        <v>71</v>
      </c>
      <c r="F15383">
        <v>3220047</v>
      </c>
      <c r="G15383" t="s">
        <v>131</v>
      </c>
      <c r="H15383" s="21">
        <v>846.67</v>
      </c>
    </row>
    <row r="15384" spans="1:8" customFormat="1" x14ac:dyDescent="0.25">
      <c r="A15384" t="str">
        <f>"721480"</f>
        <v>721480</v>
      </c>
      <c r="B15384" t="s">
        <v>13213</v>
      </c>
      <c r="C15384" t="s">
        <v>209</v>
      </c>
      <c r="D15384" s="21" t="s">
        <v>34</v>
      </c>
      <c r="E15384" s="21" t="s">
        <v>71</v>
      </c>
      <c r="F15384">
        <v>12720092</v>
      </c>
      <c r="G15384" t="s">
        <v>13214</v>
      </c>
      <c r="H15384" s="21">
        <v>846.67</v>
      </c>
    </row>
    <row r="15385" spans="1:8" customFormat="1" x14ac:dyDescent="0.25">
      <c r="A15385" t="str">
        <f>"6217271"</f>
        <v>6217271</v>
      </c>
      <c r="B15385" t="s">
        <v>12303</v>
      </c>
      <c r="C15385" t="s">
        <v>3648</v>
      </c>
      <c r="D15385" s="21" t="s">
        <v>34</v>
      </c>
      <c r="E15385" s="21" t="s">
        <v>1089</v>
      </c>
      <c r="F15385">
        <v>7620005</v>
      </c>
      <c r="G15385" t="s">
        <v>200</v>
      </c>
      <c r="H15385" s="21">
        <v>846.67</v>
      </c>
    </row>
    <row r="15386" spans="1:8" customFormat="1" x14ac:dyDescent="0.25">
      <c r="A15386" t="str">
        <f>"5923179"</f>
        <v>5923179</v>
      </c>
      <c r="B15386" t="s">
        <v>27379</v>
      </c>
      <c r="C15386" t="s">
        <v>269</v>
      </c>
      <c r="D15386" s="21" t="s">
        <v>34</v>
      </c>
      <c r="E15386" s="21" t="s">
        <v>71</v>
      </c>
      <c r="F15386">
        <v>7590008</v>
      </c>
      <c r="G15386" t="s">
        <v>110</v>
      </c>
      <c r="H15386" s="21">
        <v>846.67</v>
      </c>
    </row>
    <row r="15387" spans="1:8" customFormat="1" x14ac:dyDescent="0.25">
      <c r="A15387" t="str">
        <f>"846568"</f>
        <v>846568</v>
      </c>
      <c r="B15387" t="s">
        <v>2010</v>
      </c>
      <c r="C15387" t="s">
        <v>7159</v>
      </c>
      <c r="D15387" s="21" t="s">
        <v>34</v>
      </c>
      <c r="E15387" s="21" t="s">
        <v>35</v>
      </c>
      <c r="F15387">
        <v>13840012</v>
      </c>
      <c r="G15387" t="s">
        <v>5143</v>
      </c>
      <c r="H15387" s="21">
        <v>846.67</v>
      </c>
    </row>
    <row r="15388" spans="1:8" customFormat="1" x14ac:dyDescent="0.25">
      <c r="A15388" t="str">
        <f>"341866"</f>
        <v>341866</v>
      </c>
      <c r="B15388" t="s">
        <v>9520</v>
      </c>
      <c r="C15388" t="s">
        <v>2730</v>
      </c>
      <c r="D15388" s="21" t="s">
        <v>34</v>
      </c>
      <c r="E15388" s="21" t="s">
        <v>254</v>
      </c>
      <c r="F15388">
        <v>11340033</v>
      </c>
      <c r="G15388" t="s">
        <v>433</v>
      </c>
      <c r="H15388" s="21">
        <v>846.67</v>
      </c>
    </row>
    <row r="15389" spans="1:8" customFormat="1" x14ac:dyDescent="0.25">
      <c r="A15389" t="str">
        <f>"5012961"</f>
        <v>5012961</v>
      </c>
      <c r="B15389" t="s">
        <v>13013</v>
      </c>
      <c r="C15389" t="s">
        <v>4623</v>
      </c>
      <c r="D15389" s="21" t="s">
        <v>34</v>
      </c>
      <c r="E15389" s="21" t="s">
        <v>35</v>
      </c>
      <c r="F15389">
        <v>9500122</v>
      </c>
      <c r="G15389" t="s">
        <v>6164</v>
      </c>
      <c r="H15389" s="21">
        <v>846.67</v>
      </c>
    </row>
    <row r="15390" spans="1:8" customFormat="1" x14ac:dyDescent="0.25">
      <c r="A15390" t="str">
        <f>"5920973"</f>
        <v>5920973</v>
      </c>
      <c r="B15390" t="s">
        <v>7561</v>
      </c>
      <c r="C15390" t="s">
        <v>119</v>
      </c>
      <c r="D15390" s="21" t="s">
        <v>34</v>
      </c>
      <c r="E15390" s="21" t="s">
        <v>35</v>
      </c>
      <c r="F15390">
        <v>7590263</v>
      </c>
      <c r="G15390" t="s">
        <v>895</v>
      </c>
      <c r="H15390" s="21">
        <v>846.67</v>
      </c>
    </row>
    <row r="15391" spans="1:8" customFormat="1" x14ac:dyDescent="0.25">
      <c r="A15391" t="str">
        <f>"3817349"</f>
        <v>3817349</v>
      </c>
      <c r="B15391" t="s">
        <v>13576</v>
      </c>
      <c r="C15391" t="s">
        <v>812</v>
      </c>
      <c r="D15391" s="21" t="s">
        <v>34</v>
      </c>
      <c r="E15391" s="21" t="s">
        <v>35</v>
      </c>
      <c r="F15391">
        <v>1380275</v>
      </c>
      <c r="G15391" t="s">
        <v>8042</v>
      </c>
      <c r="H15391" s="21">
        <v>846.67</v>
      </c>
    </row>
    <row r="15392" spans="1:8" customFormat="1" x14ac:dyDescent="0.25">
      <c r="A15392" t="str">
        <f>"9144419"</f>
        <v>9144419</v>
      </c>
      <c r="B15392" t="s">
        <v>14005</v>
      </c>
      <c r="C15392" t="s">
        <v>11842</v>
      </c>
      <c r="D15392" s="21" t="s">
        <v>34</v>
      </c>
      <c r="E15392" s="21" t="s">
        <v>35</v>
      </c>
      <c r="F15392">
        <v>8910042</v>
      </c>
      <c r="G15392" t="s">
        <v>4009</v>
      </c>
      <c r="H15392" s="21">
        <v>846.67</v>
      </c>
    </row>
    <row r="15393" spans="1:8" customFormat="1" x14ac:dyDescent="0.25">
      <c r="A15393" t="str">
        <f>"3522788"</f>
        <v>3522788</v>
      </c>
      <c r="B15393" t="s">
        <v>13156</v>
      </c>
      <c r="C15393" t="s">
        <v>328</v>
      </c>
      <c r="D15393" s="21" t="s">
        <v>34</v>
      </c>
      <c r="E15393" s="21" t="s">
        <v>35</v>
      </c>
      <c r="F15393">
        <v>3350119</v>
      </c>
      <c r="G15393" t="s">
        <v>12439</v>
      </c>
      <c r="H15393" s="21">
        <v>846.67</v>
      </c>
    </row>
    <row r="15394" spans="1:8" customFormat="1" x14ac:dyDescent="0.25">
      <c r="A15394" t="str">
        <f>"258184"</f>
        <v>258184</v>
      </c>
      <c r="B15394" t="s">
        <v>14043</v>
      </c>
      <c r="C15394" t="s">
        <v>198</v>
      </c>
      <c r="D15394" s="21" t="s">
        <v>34</v>
      </c>
      <c r="E15394" s="21" t="s">
        <v>71</v>
      </c>
      <c r="F15394">
        <v>2250224</v>
      </c>
      <c r="G15394" t="s">
        <v>9217</v>
      </c>
      <c r="H15394" s="21">
        <v>846.42</v>
      </c>
    </row>
    <row r="15395" spans="1:8" customFormat="1" x14ac:dyDescent="0.25">
      <c r="A15395" t="str">
        <f>"451323"</f>
        <v>451323</v>
      </c>
      <c r="B15395" t="s">
        <v>3890</v>
      </c>
      <c r="C15395" t="s">
        <v>1705</v>
      </c>
      <c r="D15395" s="21" t="s">
        <v>34</v>
      </c>
      <c r="E15395" s="21" t="s">
        <v>254</v>
      </c>
      <c r="F15395">
        <v>4450757</v>
      </c>
      <c r="G15395" t="s">
        <v>3829</v>
      </c>
      <c r="H15395" s="21">
        <v>846.17</v>
      </c>
    </row>
    <row r="15396" spans="1:8" customFormat="1" x14ac:dyDescent="0.25">
      <c r="A15396" t="str">
        <f>"268512"</f>
        <v>268512</v>
      </c>
      <c r="B15396" t="s">
        <v>13564</v>
      </c>
      <c r="C15396" t="s">
        <v>2520</v>
      </c>
      <c r="D15396" s="21" t="s">
        <v>34</v>
      </c>
      <c r="E15396" s="21" t="s">
        <v>254</v>
      </c>
      <c r="F15396">
        <v>4280529</v>
      </c>
      <c r="G15396" t="s">
        <v>2970</v>
      </c>
      <c r="H15396" s="21">
        <v>846.17</v>
      </c>
    </row>
    <row r="15397" spans="1:8" customFormat="1" x14ac:dyDescent="0.25">
      <c r="A15397" t="str">
        <f>"364222"</f>
        <v>364222</v>
      </c>
      <c r="B15397" t="s">
        <v>14529</v>
      </c>
      <c r="C15397" t="s">
        <v>55</v>
      </c>
      <c r="D15397" s="21" t="s">
        <v>34</v>
      </c>
      <c r="E15397" s="21" t="s">
        <v>71</v>
      </c>
      <c r="F15397">
        <v>4360481</v>
      </c>
      <c r="G15397" t="s">
        <v>12957</v>
      </c>
      <c r="H15397" s="21">
        <v>846.17</v>
      </c>
    </row>
    <row r="15398" spans="1:8" customFormat="1" x14ac:dyDescent="0.25">
      <c r="A15398" t="str">
        <f>"6942685"</f>
        <v>6942685</v>
      </c>
      <c r="B15398" t="s">
        <v>10361</v>
      </c>
      <c r="C15398" t="s">
        <v>60</v>
      </c>
      <c r="D15398" s="21" t="s">
        <v>34</v>
      </c>
      <c r="E15398" s="21" t="s">
        <v>35</v>
      </c>
      <c r="F15398">
        <v>1690076</v>
      </c>
      <c r="G15398" t="s">
        <v>4049</v>
      </c>
      <c r="H15398" s="21">
        <v>846.17</v>
      </c>
    </row>
    <row r="15399" spans="1:8" customFormat="1" x14ac:dyDescent="0.25">
      <c r="A15399" t="str">
        <f>"8521516"</f>
        <v>8521516</v>
      </c>
      <c r="B15399" t="s">
        <v>10087</v>
      </c>
      <c r="C15399" t="s">
        <v>87</v>
      </c>
      <c r="D15399" s="21" t="s">
        <v>34</v>
      </c>
      <c r="E15399" s="21" t="s">
        <v>35</v>
      </c>
      <c r="F15399">
        <v>12850135</v>
      </c>
      <c r="G15399" t="s">
        <v>5201</v>
      </c>
      <c r="H15399" s="21">
        <v>846.17</v>
      </c>
    </row>
    <row r="15400" spans="1:8" customFormat="1" x14ac:dyDescent="0.25">
      <c r="A15400" t="str">
        <f>"6214746"</f>
        <v>6214746</v>
      </c>
      <c r="B15400" t="s">
        <v>12643</v>
      </c>
      <c r="C15400" t="s">
        <v>263</v>
      </c>
      <c r="D15400" s="21" t="s">
        <v>34</v>
      </c>
      <c r="E15400" s="21" t="s">
        <v>71</v>
      </c>
      <c r="F15400">
        <v>7620151</v>
      </c>
      <c r="G15400" t="s">
        <v>14891</v>
      </c>
      <c r="H15400" s="21">
        <v>846.17</v>
      </c>
    </row>
    <row r="15401" spans="1:8" customFormat="1" x14ac:dyDescent="0.25">
      <c r="A15401" t="str">
        <f>"844143"</f>
        <v>844143</v>
      </c>
      <c r="B15401" t="s">
        <v>13582</v>
      </c>
      <c r="C15401" t="s">
        <v>415</v>
      </c>
      <c r="D15401" s="21" t="s">
        <v>34</v>
      </c>
      <c r="E15401" s="21" t="s">
        <v>71</v>
      </c>
      <c r="F15401">
        <v>13840058</v>
      </c>
      <c r="G15401" t="s">
        <v>7032</v>
      </c>
      <c r="H15401" s="21">
        <v>846.17</v>
      </c>
    </row>
    <row r="15402" spans="1:8" customFormat="1" x14ac:dyDescent="0.25">
      <c r="A15402" t="str">
        <f>"0110743"</f>
        <v>0110743</v>
      </c>
      <c r="B15402" t="s">
        <v>3655</v>
      </c>
      <c r="C15402" t="s">
        <v>33</v>
      </c>
      <c r="D15402" s="21" t="s">
        <v>34</v>
      </c>
      <c r="E15402" s="21" t="s">
        <v>35</v>
      </c>
      <c r="F15402">
        <v>1730089</v>
      </c>
      <c r="G15402" t="s">
        <v>5395</v>
      </c>
      <c r="H15402" s="21">
        <v>846.17</v>
      </c>
    </row>
    <row r="15403" spans="1:8" customFormat="1" x14ac:dyDescent="0.25">
      <c r="A15403" t="str">
        <f>"2510336"</f>
        <v>2510336</v>
      </c>
      <c r="B15403" t="s">
        <v>1533</v>
      </c>
      <c r="C15403" t="s">
        <v>825</v>
      </c>
      <c r="D15403" s="21" t="s">
        <v>34</v>
      </c>
      <c r="E15403" s="21" t="s">
        <v>71</v>
      </c>
      <c r="F15403">
        <v>2250151</v>
      </c>
      <c r="G15403" t="s">
        <v>7964</v>
      </c>
      <c r="H15403" s="21">
        <v>846.17</v>
      </c>
    </row>
    <row r="15404" spans="1:8" customFormat="1" x14ac:dyDescent="0.25">
      <c r="A15404" t="str">
        <f>"7635824"</f>
        <v>7635824</v>
      </c>
      <c r="B15404" t="s">
        <v>12884</v>
      </c>
      <c r="C15404" t="s">
        <v>171</v>
      </c>
      <c r="D15404" s="21" t="s">
        <v>34</v>
      </c>
      <c r="E15404" s="21" t="s">
        <v>71</v>
      </c>
      <c r="F15404">
        <v>9760461</v>
      </c>
      <c r="G15404" t="s">
        <v>6804</v>
      </c>
      <c r="H15404" s="21">
        <v>846.17</v>
      </c>
    </row>
    <row r="15405" spans="1:8" customFormat="1" x14ac:dyDescent="0.25">
      <c r="A15405" t="str">
        <f>"822673"</f>
        <v>822673</v>
      </c>
      <c r="B15405" t="s">
        <v>14257</v>
      </c>
      <c r="C15405" t="s">
        <v>1025</v>
      </c>
      <c r="D15405" s="21" t="s">
        <v>34</v>
      </c>
      <c r="E15405" s="21" t="s">
        <v>35</v>
      </c>
      <c r="F15405">
        <v>11820032</v>
      </c>
      <c r="G15405" t="s">
        <v>14258</v>
      </c>
      <c r="H15405" s="21">
        <v>846.17</v>
      </c>
    </row>
    <row r="15406" spans="1:8" customFormat="1" x14ac:dyDescent="0.25">
      <c r="A15406" t="str">
        <f>"2613674"</f>
        <v>2613674</v>
      </c>
      <c r="B15406" t="s">
        <v>12953</v>
      </c>
      <c r="C15406" t="s">
        <v>12954</v>
      </c>
      <c r="D15406" s="21" t="s">
        <v>34</v>
      </c>
      <c r="E15406" s="21" t="s">
        <v>35</v>
      </c>
      <c r="F15406" t="s">
        <v>2126</v>
      </c>
      <c r="G15406" t="s">
        <v>2127</v>
      </c>
      <c r="H15406" s="21">
        <v>846.17</v>
      </c>
    </row>
    <row r="15407" spans="1:8" customFormat="1" x14ac:dyDescent="0.25">
      <c r="A15407" t="str">
        <f>"5954114"</f>
        <v>5954114</v>
      </c>
      <c r="B15407" t="s">
        <v>6142</v>
      </c>
      <c r="C15407" t="s">
        <v>484</v>
      </c>
      <c r="D15407" s="21" t="s">
        <v>34</v>
      </c>
      <c r="E15407" s="21" t="s">
        <v>35</v>
      </c>
      <c r="F15407">
        <v>7590392</v>
      </c>
      <c r="G15407" t="s">
        <v>154</v>
      </c>
      <c r="H15407" s="21">
        <v>846.17</v>
      </c>
    </row>
    <row r="15408" spans="1:8" customFormat="1" x14ac:dyDescent="0.25">
      <c r="A15408" t="str">
        <f>"5321179"</f>
        <v>5321179</v>
      </c>
      <c r="B15408" t="s">
        <v>3813</v>
      </c>
      <c r="C15408" t="s">
        <v>1025</v>
      </c>
      <c r="D15408" s="21" t="s">
        <v>34</v>
      </c>
      <c r="E15408" s="21" t="s">
        <v>254</v>
      </c>
      <c r="F15408">
        <v>12530055</v>
      </c>
      <c r="G15408" t="s">
        <v>3814</v>
      </c>
      <c r="H15408" s="21">
        <v>846.17</v>
      </c>
    </row>
    <row r="15409" spans="1:8" customFormat="1" x14ac:dyDescent="0.25">
      <c r="A15409" t="str">
        <f>"3415714"</f>
        <v>3415714</v>
      </c>
      <c r="B15409" t="s">
        <v>14038</v>
      </c>
      <c r="C15409" t="s">
        <v>1665</v>
      </c>
      <c r="D15409" s="21" t="s">
        <v>34</v>
      </c>
      <c r="E15409" s="21" t="s">
        <v>35</v>
      </c>
      <c r="F15409">
        <v>11340061</v>
      </c>
      <c r="G15409" t="s">
        <v>6763</v>
      </c>
      <c r="H15409" s="21">
        <v>846.17</v>
      </c>
    </row>
    <row r="15410" spans="1:8" customFormat="1" x14ac:dyDescent="0.25">
      <c r="A15410" t="str">
        <f>"56592"</f>
        <v>56592</v>
      </c>
      <c r="B15410" t="s">
        <v>13999</v>
      </c>
      <c r="C15410" t="s">
        <v>2904</v>
      </c>
      <c r="D15410" s="21" t="s">
        <v>34</v>
      </c>
      <c r="E15410" s="21" t="s">
        <v>1089</v>
      </c>
      <c r="F15410">
        <v>3560033</v>
      </c>
      <c r="G15410" t="s">
        <v>4927</v>
      </c>
      <c r="H15410" s="21">
        <v>845.92</v>
      </c>
    </row>
    <row r="15411" spans="1:8" customFormat="1" x14ac:dyDescent="0.25">
      <c r="A15411" t="str">
        <f>"9126053"</f>
        <v>9126053</v>
      </c>
      <c r="B15411" t="s">
        <v>15440</v>
      </c>
      <c r="C15411" t="s">
        <v>249</v>
      </c>
      <c r="D15411" s="21" t="s">
        <v>34</v>
      </c>
      <c r="E15411" s="21" t="s">
        <v>71</v>
      </c>
      <c r="F15411">
        <v>8910881</v>
      </c>
      <c r="G15411" t="s">
        <v>1300</v>
      </c>
      <c r="H15411" s="21">
        <v>845.92</v>
      </c>
    </row>
    <row r="15412" spans="1:8" customFormat="1" x14ac:dyDescent="0.25">
      <c r="A15412" t="str">
        <f>"5113554"</f>
        <v>5113554</v>
      </c>
      <c r="B15412" t="s">
        <v>16836</v>
      </c>
      <c r="C15412" t="s">
        <v>204</v>
      </c>
      <c r="D15412" s="21" t="s">
        <v>34</v>
      </c>
      <c r="E15412" s="21" t="s">
        <v>35</v>
      </c>
      <c r="F15412">
        <v>6510061</v>
      </c>
      <c r="G15412" t="s">
        <v>7426</v>
      </c>
      <c r="H15412" s="21">
        <v>845.92</v>
      </c>
    </row>
    <row r="15413" spans="1:8" customFormat="1" x14ac:dyDescent="0.25">
      <c r="A15413" t="str">
        <f>"5726060"</f>
        <v>5726060</v>
      </c>
      <c r="B15413" t="s">
        <v>461</v>
      </c>
      <c r="C15413" t="s">
        <v>139</v>
      </c>
      <c r="D15413" s="21" t="s">
        <v>34</v>
      </c>
      <c r="E15413" s="21" t="s">
        <v>35</v>
      </c>
      <c r="F15413">
        <v>6570007</v>
      </c>
      <c r="G15413" t="s">
        <v>2845</v>
      </c>
      <c r="H15413" s="21">
        <v>845.92</v>
      </c>
    </row>
    <row r="15414" spans="1:8" customFormat="1" x14ac:dyDescent="0.25">
      <c r="A15414" t="str">
        <f>"9520733"</f>
        <v>9520733</v>
      </c>
      <c r="B15414" t="s">
        <v>2851</v>
      </c>
      <c r="C15414" t="s">
        <v>169</v>
      </c>
      <c r="D15414" s="21" t="s">
        <v>34</v>
      </c>
      <c r="E15414" s="21" t="s">
        <v>71</v>
      </c>
      <c r="F15414">
        <v>8950083</v>
      </c>
      <c r="G15414" t="s">
        <v>405</v>
      </c>
      <c r="H15414" s="21">
        <v>845.79</v>
      </c>
    </row>
    <row r="15415" spans="1:8" customFormat="1" x14ac:dyDescent="0.25">
      <c r="A15415" t="str">
        <f>"253243"</f>
        <v>253243</v>
      </c>
      <c r="B15415" t="s">
        <v>12537</v>
      </c>
      <c r="C15415" t="s">
        <v>598</v>
      </c>
      <c r="D15415" s="21" t="s">
        <v>34</v>
      </c>
      <c r="E15415" s="21" t="s">
        <v>254</v>
      </c>
      <c r="F15415">
        <v>2250154</v>
      </c>
      <c r="G15415" t="s">
        <v>1973</v>
      </c>
      <c r="H15415" s="21">
        <v>845.67</v>
      </c>
    </row>
    <row r="15416" spans="1:8" customFormat="1" x14ac:dyDescent="0.25">
      <c r="A15416" t="str">
        <f>"036351"</f>
        <v>036351</v>
      </c>
      <c r="B15416" t="s">
        <v>13665</v>
      </c>
      <c r="C15416" t="s">
        <v>124</v>
      </c>
      <c r="D15416" s="21" t="s">
        <v>34</v>
      </c>
      <c r="E15416" s="21" t="s">
        <v>71</v>
      </c>
      <c r="F15416">
        <v>1030310</v>
      </c>
      <c r="G15416" t="s">
        <v>13666</v>
      </c>
      <c r="H15416" s="21">
        <v>845.67</v>
      </c>
    </row>
    <row r="15417" spans="1:8" customFormat="1" x14ac:dyDescent="0.25">
      <c r="A15417" t="str">
        <f>"5014769"</f>
        <v>5014769</v>
      </c>
      <c r="B15417" t="s">
        <v>13808</v>
      </c>
      <c r="C15417" t="s">
        <v>156</v>
      </c>
      <c r="D15417" s="21" t="s">
        <v>34</v>
      </c>
      <c r="E15417" s="21" t="s">
        <v>71</v>
      </c>
      <c r="F15417">
        <v>9500112</v>
      </c>
      <c r="G15417" t="s">
        <v>1668</v>
      </c>
      <c r="H15417" s="21">
        <v>845.67</v>
      </c>
    </row>
    <row r="15418" spans="1:8" customFormat="1" x14ac:dyDescent="0.25">
      <c r="A15418" t="str">
        <f>"695031"</f>
        <v>695031</v>
      </c>
      <c r="B15418" t="s">
        <v>12130</v>
      </c>
      <c r="C15418" t="s">
        <v>269</v>
      </c>
      <c r="D15418" s="21" t="s">
        <v>34</v>
      </c>
      <c r="E15418" s="21" t="s">
        <v>71</v>
      </c>
      <c r="F15418">
        <v>1690156</v>
      </c>
      <c r="G15418" t="s">
        <v>7062</v>
      </c>
      <c r="H15418" s="21">
        <v>845.67</v>
      </c>
    </row>
    <row r="15419" spans="1:8" customFormat="1" x14ac:dyDescent="0.25">
      <c r="A15419" t="str">
        <f>"5947214"</f>
        <v>5947214</v>
      </c>
      <c r="B15419" t="s">
        <v>12722</v>
      </c>
      <c r="C15419" t="s">
        <v>149</v>
      </c>
      <c r="D15419" s="21" t="s">
        <v>34</v>
      </c>
      <c r="E15419" s="21" t="s">
        <v>35</v>
      </c>
      <c r="F15419">
        <v>7620067</v>
      </c>
      <c r="G15419" t="s">
        <v>860</v>
      </c>
      <c r="H15419" s="21">
        <v>845.67</v>
      </c>
    </row>
    <row r="15420" spans="1:8" customFormat="1" x14ac:dyDescent="0.25">
      <c r="A15420" t="str">
        <f>"5316818"</f>
        <v>5316818</v>
      </c>
      <c r="B15420" t="s">
        <v>13503</v>
      </c>
      <c r="C15420" t="s">
        <v>664</v>
      </c>
      <c r="D15420" s="21" t="s">
        <v>34</v>
      </c>
      <c r="E15420" s="21" t="s">
        <v>254</v>
      </c>
      <c r="F15420">
        <v>12530007</v>
      </c>
      <c r="G15420" t="s">
        <v>2966</v>
      </c>
      <c r="H15420" s="21">
        <v>845.67</v>
      </c>
    </row>
    <row r="15421" spans="1:8" customFormat="1" x14ac:dyDescent="0.25">
      <c r="A15421" t="str">
        <f>"307612"</f>
        <v>307612</v>
      </c>
      <c r="B15421" t="s">
        <v>14144</v>
      </c>
      <c r="C15421" t="s">
        <v>269</v>
      </c>
      <c r="D15421" s="21" t="s">
        <v>34</v>
      </c>
      <c r="E15421" s="21" t="s">
        <v>35</v>
      </c>
      <c r="F15421">
        <v>11300014</v>
      </c>
      <c r="G15421" t="s">
        <v>2345</v>
      </c>
      <c r="H15421" s="21">
        <v>845.67</v>
      </c>
    </row>
    <row r="15422" spans="1:8" customFormat="1" x14ac:dyDescent="0.25">
      <c r="A15422" t="str">
        <f>"688880"</f>
        <v>688880</v>
      </c>
      <c r="B15422" t="s">
        <v>13680</v>
      </c>
      <c r="C15422" t="s">
        <v>40</v>
      </c>
      <c r="D15422" s="21" t="s">
        <v>34</v>
      </c>
      <c r="E15422" s="21" t="s">
        <v>35</v>
      </c>
      <c r="F15422">
        <v>6680118</v>
      </c>
      <c r="G15422" t="s">
        <v>4346</v>
      </c>
      <c r="H15422" s="21">
        <v>845.67</v>
      </c>
    </row>
    <row r="15423" spans="1:8" customFormat="1" x14ac:dyDescent="0.25">
      <c r="A15423" t="str">
        <f>"2510851"</f>
        <v>2510851</v>
      </c>
      <c r="B15423" t="s">
        <v>14373</v>
      </c>
      <c r="C15423" t="s">
        <v>55</v>
      </c>
      <c r="D15423" s="21" t="s">
        <v>34</v>
      </c>
      <c r="E15423" s="21" t="s">
        <v>71</v>
      </c>
      <c r="F15423">
        <v>2250137</v>
      </c>
      <c r="G15423" t="s">
        <v>182</v>
      </c>
      <c r="H15423" s="21">
        <v>845.67</v>
      </c>
    </row>
    <row r="15424" spans="1:8" customFormat="1" x14ac:dyDescent="0.25">
      <c r="A15424" t="str">
        <f>"851144"</f>
        <v>851144</v>
      </c>
      <c r="B15424" t="s">
        <v>8713</v>
      </c>
      <c r="C15424" t="s">
        <v>1853</v>
      </c>
      <c r="D15424" s="21" t="s">
        <v>34</v>
      </c>
      <c r="E15424" s="21" t="s">
        <v>71</v>
      </c>
      <c r="F15424">
        <v>12850033</v>
      </c>
      <c r="G15424" t="s">
        <v>703</v>
      </c>
      <c r="H15424" s="21">
        <v>845.67</v>
      </c>
    </row>
    <row r="15425" spans="1:8" customFormat="1" x14ac:dyDescent="0.25">
      <c r="A15425" t="str">
        <f>"0613890"</f>
        <v>0613890</v>
      </c>
      <c r="B15425" t="s">
        <v>13982</v>
      </c>
      <c r="C15425" t="s">
        <v>119</v>
      </c>
      <c r="D15425" s="21" t="s">
        <v>34</v>
      </c>
      <c r="E15425" s="21" t="s">
        <v>35</v>
      </c>
      <c r="F15425">
        <v>13060114</v>
      </c>
      <c r="G15425" t="s">
        <v>4501</v>
      </c>
      <c r="H15425" s="21">
        <v>845.67</v>
      </c>
    </row>
    <row r="15426" spans="1:8" customFormat="1" x14ac:dyDescent="0.25">
      <c r="A15426" t="str">
        <f>"7628319"</f>
        <v>7628319</v>
      </c>
      <c r="B15426" t="s">
        <v>11934</v>
      </c>
      <c r="C15426" t="s">
        <v>124</v>
      </c>
      <c r="D15426" s="21" t="s">
        <v>34</v>
      </c>
      <c r="E15426" s="21" t="s">
        <v>35</v>
      </c>
      <c r="F15426">
        <v>9760272</v>
      </c>
      <c r="G15426" t="s">
        <v>5526</v>
      </c>
      <c r="H15426" s="21">
        <v>845.67</v>
      </c>
    </row>
    <row r="15427" spans="1:8" customFormat="1" x14ac:dyDescent="0.25">
      <c r="A15427" t="str">
        <f>"0112324"</f>
        <v>0112324</v>
      </c>
      <c r="B15427" t="s">
        <v>12200</v>
      </c>
      <c r="C15427" t="s">
        <v>209</v>
      </c>
      <c r="D15427" s="21" t="s">
        <v>34</v>
      </c>
      <c r="E15427" s="21" t="s">
        <v>71</v>
      </c>
      <c r="F15427">
        <v>1010071</v>
      </c>
      <c r="G15427" t="s">
        <v>8104</v>
      </c>
      <c r="H15427" s="21">
        <v>845.67</v>
      </c>
    </row>
    <row r="15428" spans="1:8" customFormat="1" x14ac:dyDescent="0.25">
      <c r="A15428" t="str">
        <f>"9218750"</f>
        <v>9218750</v>
      </c>
      <c r="B15428" t="s">
        <v>11929</v>
      </c>
      <c r="C15428" t="s">
        <v>40</v>
      </c>
      <c r="D15428" s="21" t="s">
        <v>34</v>
      </c>
      <c r="E15428" s="21" t="s">
        <v>71</v>
      </c>
      <c r="F15428">
        <v>8920151</v>
      </c>
      <c r="G15428" t="s">
        <v>1434</v>
      </c>
      <c r="H15428" s="21">
        <v>845.67</v>
      </c>
    </row>
    <row r="15429" spans="1:8" customFormat="1" x14ac:dyDescent="0.25">
      <c r="A15429" t="str">
        <f>"7626036"</f>
        <v>7626036</v>
      </c>
      <c r="B15429" t="s">
        <v>13826</v>
      </c>
      <c r="C15429" t="s">
        <v>87</v>
      </c>
      <c r="D15429" s="21" t="s">
        <v>34</v>
      </c>
      <c r="E15429" s="21" t="s">
        <v>71</v>
      </c>
      <c r="F15429">
        <v>9760449</v>
      </c>
      <c r="G15429" t="s">
        <v>4848</v>
      </c>
      <c r="H15429" s="21">
        <v>845.67</v>
      </c>
    </row>
    <row r="15430" spans="1:8" customFormat="1" x14ac:dyDescent="0.25">
      <c r="A15430" t="str">
        <f>"5110310"</f>
        <v>5110310</v>
      </c>
      <c r="B15430" t="s">
        <v>13160</v>
      </c>
      <c r="C15430" t="s">
        <v>1812</v>
      </c>
      <c r="D15430" s="21" t="s">
        <v>34</v>
      </c>
      <c r="E15430" s="21" t="s">
        <v>71</v>
      </c>
      <c r="F15430">
        <v>6510018</v>
      </c>
      <c r="G15430" t="s">
        <v>3055</v>
      </c>
      <c r="H15430" s="21">
        <v>845.67</v>
      </c>
    </row>
    <row r="15431" spans="1:8" customFormat="1" x14ac:dyDescent="0.25">
      <c r="A15431" t="str">
        <f>"3340394"</f>
        <v>3340394</v>
      </c>
      <c r="B15431" t="s">
        <v>14773</v>
      </c>
      <c r="C15431" t="s">
        <v>60</v>
      </c>
      <c r="D15431" s="21" t="s">
        <v>34</v>
      </c>
      <c r="E15431" s="21" t="s">
        <v>35</v>
      </c>
      <c r="F15431">
        <v>10330117</v>
      </c>
      <c r="G15431" t="s">
        <v>1942</v>
      </c>
      <c r="H15431" s="21">
        <v>845.67</v>
      </c>
    </row>
    <row r="15432" spans="1:8" customFormat="1" x14ac:dyDescent="0.25">
      <c r="A15432" t="str">
        <f>"589216"</f>
        <v>589216</v>
      </c>
      <c r="B15432" t="s">
        <v>13998</v>
      </c>
      <c r="C15432" t="s">
        <v>33</v>
      </c>
      <c r="D15432" s="21" t="s">
        <v>34</v>
      </c>
      <c r="E15432" s="21" t="s">
        <v>71</v>
      </c>
      <c r="F15432">
        <v>2580076</v>
      </c>
      <c r="G15432" t="s">
        <v>3666</v>
      </c>
      <c r="H15432" s="21">
        <v>845.67</v>
      </c>
    </row>
    <row r="15433" spans="1:8" customFormat="1" x14ac:dyDescent="0.25">
      <c r="A15433" t="str">
        <f>"769636"</f>
        <v>769636</v>
      </c>
      <c r="B15433" t="s">
        <v>13454</v>
      </c>
      <c r="C15433" t="s">
        <v>388</v>
      </c>
      <c r="D15433" s="21" t="s">
        <v>34</v>
      </c>
      <c r="E15433" s="21" t="s">
        <v>35</v>
      </c>
      <c r="F15433">
        <v>9760014</v>
      </c>
      <c r="G15433" t="s">
        <v>1017</v>
      </c>
      <c r="H15433" s="21">
        <v>845.67</v>
      </c>
    </row>
    <row r="15434" spans="1:8" customFormat="1" x14ac:dyDescent="0.25">
      <c r="A15434" t="str">
        <f>"9240779"</f>
        <v>9240779</v>
      </c>
      <c r="B15434" t="s">
        <v>1081</v>
      </c>
      <c r="C15434" t="s">
        <v>498</v>
      </c>
      <c r="D15434" s="21" t="s">
        <v>34</v>
      </c>
      <c r="E15434" s="21" t="s">
        <v>35</v>
      </c>
      <c r="F15434">
        <v>8920151</v>
      </c>
      <c r="G15434" t="s">
        <v>1434</v>
      </c>
      <c r="H15434" s="21">
        <v>845.54</v>
      </c>
    </row>
    <row r="15435" spans="1:8" customFormat="1" x14ac:dyDescent="0.25">
      <c r="A15435" t="str">
        <f>"314981"</f>
        <v>314981</v>
      </c>
      <c r="B15435" t="s">
        <v>5932</v>
      </c>
      <c r="C15435" t="s">
        <v>209</v>
      </c>
      <c r="D15435" s="21" t="s">
        <v>34</v>
      </c>
      <c r="E15435" s="21" t="s">
        <v>254</v>
      </c>
      <c r="F15435">
        <v>11320041</v>
      </c>
      <c r="G15435" t="s">
        <v>4802</v>
      </c>
      <c r="H15435" s="21">
        <v>845.29</v>
      </c>
    </row>
    <row r="15436" spans="1:8" customFormat="1" x14ac:dyDescent="0.25">
      <c r="A15436" t="str">
        <f>"147235"</f>
        <v>147235</v>
      </c>
      <c r="B15436" t="s">
        <v>14446</v>
      </c>
      <c r="C15436" t="s">
        <v>33</v>
      </c>
      <c r="D15436" s="21" t="s">
        <v>34</v>
      </c>
      <c r="E15436" s="21" t="s">
        <v>71</v>
      </c>
      <c r="F15436">
        <v>9140014</v>
      </c>
      <c r="G15436" t="s">
        <v>9546</v>
      </c>
      <c r="H15436" s="21">
        <v>845.29</v>
      </c>
    </row>
    <row r="15437" spans="1:8" customFormat="1" x14ac:dyDescent="0.25">
      <c r="A15437" t="str">
        <f>"9521881"</f>
        <v>9521881</v>
      </c>
      <c r="B15437" t="s">
        <v>14336</v>
      </c>
      <c r="C15437" t="s">
        <v>55</v>
      </c>
      <c r="D15437" s="21" t="s">
        <v>34</v>
      </c>
      <c r="E15437" s="21" t="s">
        <v>71</v>
      </c>
      <c r="F15437">
        <v>5990007</v>
      </c>
      <c r="G15437" t="s">
        <v>15719</v>
      </c>
      <c r="H15437" s="21">
        <v>845.29</v>
      </c>
    </row>
    <row r="15438" spans="1:8" customFormat="1" x14ac:dyDescent="0.25">
      <c r="A15438" t="str">
        <f>"501082"</f>
        <v>501082</v>
      </c>
      <c r="B15438" t="s">
        <v>4796</v>
      </c>
      <c r="C15438" t="s">
        <v>547</v>
      </c>
      <c r="D15438" s="21" t="s">
        <v>34</v>
      </c>
      <c r="E15438" s="21" t="s">
        <v>1089</v>
      </c>
      <c r="F15438">
        <v>9500058</v>
      </c>
      <c r="G15438" t="s">
        <v>1585</v>
      </c>
      <c r="H15438" s="21">
        <v>845.17</v>
      </c>
    </row>
    <row r="15439" spans="1:8" customFormat="1" x14ac:dyDescent="0.25">
      <c r="A15439" t="str">
        <f>"5969662"</f>
        <v>5969662</v>
      </c>
      <c r="B15439" t="s">
        <v>27380</v>
      </c>
      <c r="C15439" t="s">
        <v>27381</v>
      </c>
      <c r="D15439" s="21" t="s">
        <v>34</v>
      </c>
      <c r="E15439" s="21" t="s">
        <v>35</v>
      </c>
      <c r="F15439">
        <v>9760018</v>
      </c>
      <c r="G15439" t="s">
        <v>117</v>
      </c>
      <c r="H15439" s="21">
        <v>845.17</v>
      </c>
    </row>
    <row r="15440" spans="1:8" customFormat="1" x14ac:dyDescent="0.25">
      <c r="A15440" t="str">
        <f>"2931534"</f>
        <v>2931534</v>
      </c>
      <c r="B15440" t="s">
        <v>13770</v>
      </c>
      <c r="C15440" t="s">
        <v>547</v>
      </c>
      <c r="D15440" s="21" t="s">
        <v>34</v>
      </c>
      <c r="E15440" s="21" t="s">
        <v>35</v>
      </c>
      <c r="F15440">
        <v>3290207</v>
      </c>
      <c r="G15440" t="s">
        <v>8805</v>
      </c>
      <c r="H15440" s="21">
        <v>845.17</v>
      </c>
    </row>
    <row r="15441" spans="1:8" customFormat="1" x14ac:dyDescent="0.25">
      <c r="A15441" t="str">
        <f>"538937"</f>
        <v>538937</v>
      </c>
      <c r="B15441" t="s">
        <v>9356</v>
      </c>
      <c r="C15441" t="s">
        <v>209</v>
      </c>
      <c r="D15441" s="21" t="s">
        <v>34</v>
      </c>
      <c r="E15441" s="21" t="s">
        <v>71</v>
      </c>
      <c r="F15441">
        <v>12530010</v>
      </c>
      <c r="G15441" t="s">
        <v>7994</v>
      </c>
      <c r="H15441" s="21">
        <v>845.17</v>
      </c>
    </row>
    <row r="15442" spans="1:8" customFormat="1" x14ac:dyDescent="0.25">
      <c r="A15442" t="str">
        <f>"616386"</f>
        <v>616386</v>
      </c>
      <c r="B15442" t="s">
        <v>8077</v>
      </c>
      <c r="C15442" t="s">
        <v>1853</v>
      </c>
      <c r="D15442" s="21" t="s">
        <v>34</v>
      </c>
      <c r="E15442" s="21" t="s">
        <v>71</v>
      </c>
      <c r="F15442">
        <v>12440012</v>
      </c>
      <c r="G15442" t="s">
        <v>807</v>
      </c>
      <c r="H15442" s="21">
        <v>845.17</v>
      </c>
    </row>
    <row r="15443" spans="1:8" customFormat="1" x14ac:dyDescent="0.25">
      <c r="A15443" t="str">
        <f>"6314224"</f>
        <v>6314224</v>
      </c>
      <c r="B15443" t="s">
        <v>15283</v>
      </c>
      <c r="C15443" t="s">
        <v>2907</v>
      </c>
      <c r="D15443" s="21" t="s">
        <v>34</v>
      </c>
      <c r="E15443" s="21" t="s">
        <v>71</v>
      </c>
      <c r="F15443">
        <v>1630125</v>
      </c>
      <c r="G15443" t="s">
        <v>6858</v>
      </c>
      <c r="H15443" s="21">
        <v>845.17</v>
      </c>
    </row>
    <row r="15444" spans="1:8" customFormat="1" x14ac:dyDescent="0.25">
      <c r="A15444" t="str">
        <f>"6218401"</f>
        <v>6218401</v>
      </c>
      <c r="B15444" t="s">
        <v>27382</v>
      </c>
      <c r="C15444" t="s">
        <v>169</v>
      </c>
      <c r="D15444" s="21" t="s">
        <v>34</v>
      </c>
      <c r="E15444" s="21" t="s">
        <v>35</v>
      </c>
      <c r="F15444">
        <v>7620031</v>
      </c>
      <c r="G15444" t="s">
        <v>2182</v>
      </c>
      <c r="H15444" s="21">
        <v>845.17</v>
      </c>
    </row>
    <row r="15445" spans="1:8" customFormat="1" x14ac:dyDescent="0.25">
      <c r="A15445" t="str">
        <f>"2515399"</f>
        <v>2515399</v>
      </c>
      <c r="B15445" t="s">
        <v>2583</v>
      </c>
      <c r="C15445" t="s">
        <v>249</v>
      </c>
      <c r="D15445" s="21" t="s">
        <v>34</v>
      </c>
      <c r="E15445" s="21" t="s">
        <v>35</v>
      </c>
      <c r="F15445">
        <v>2250193</v>
      </c>
      <c r="G15445" t="s">
        <v>2584</v>
      </c>
      <c r="H15445" s="21">
        <v>845.17</v>
      </c>
    </row>
    <row r="15446" spans="1:8" customFormat="1" x14ac:dyDescent="0.25">
      <c r="A15446" t="str">
        <f>"546618"</f>
        <v>546618</v>
      </c>
      <c r="B15446" t="s">
        <v>3930</v>
      </c>
      <c r="C15446" t="s">
        <v>608</v>
      </c>
      <c r="D15446" s="21" t="s">
        <v>34</v>
      </c>
      <c r="E15446" s="21" t="s">
        <v>71</v>
      </c>
      <c r="F15446">
        <v>6540047</v>
      </c>
      <c r="G15446" t="s">
        <v>5423</v>
      </c>
      <c r="H15446" s="21">
        <v>845.17</v>
      </c>
    </row>
    <row r="15447" spans="1:8" customFormat="1" x14ac:dyDescent="0.25">
      <c r="A15447" t="str">
        <f>"4110927"</f>
        <v>4110927</v>
      </c>
      <c r="B15447" t="s">
        <v>13138</v>
      </c>
      <c r="C15447" t="s">
        <v>87</v>
      </c>
      <c r="D15447" s="21" t="s">
        <v>34</v>
      </c>
      <c r="E15447" s="21" t="s">
        <v>71</v>
      </c>
      <c r="F15447">
        <v>4410466</v>
      </c>
      <c r="G15447" t="s">
        <v>678</v>
      </c>
      <c r="H15447" s="21">
        <v>845.17</v>
      </c>
    </row>
    <row r="15448" spans="1:8" customFormat="1" x14ac:dyDescent="0.25">
      <c r="A15448" t="str">
        <f>"072891"</f>
        <v>072891</v>
      </c>
      <c r="B15448" t="s">
        <v>13797</v>
      </c>
      <c r="C15448" t="s">
        <v>233</v>
      </c>
      <c r="D15448" s="21" t="s">
        <v>34</v>
      </c>
      <c r="E15448" s="21" t="s">
        <v>35</v>
      </c>
      <c r="F15448">
        <v>1260062</v>
      </c>
      <c r="G15448" t="s">
        <v>6156</v>
      </c>
      <c r="H15448" s="21">
        <v>845</v>
      </c>
    </row>
    <row r="15449" spans="1:8" customFormat="1" x14ac:dyDescent="0.25">
      <c r="A15449" t="str">
        <f>"838005"</f>
        <v>838005</v>
      </c>
      <c r="B15449" t="s">
        <v>27383</v>
      </c>
      <c r="C15449" t="s">
        <v>98</v>
      </c>
      <c r="D15449" s="21" t="s">
        <v>34</v>
      </c>
      <c r="E15449" s="21" t="s">
        <v>35</v>
      </c>
      <c r="F15449">
        <v>10870007</v>
      </c>
      <c r="G15449" t="s">
        <v>8903</v>
      </c>
      <c r="H15449" s="21">
        <v>844.92</v>
      </c>
    </row>
    <row r="15450" spans="1:8" customFormat="1" x14ac:dyDescent="0.25">
      <c r="A15450" t="str">
        <f>"063161"</f>
        <v>063161</v>
      </c>
      <c r="B15450" t="s">
        <v>27384</v>
      </c>
      <c r="C15450" t="s">
        <v>267</v>
      </c>
      <c r="D15450" s="21" t="s">
        <v>34</v>
      </c>
      <c r="E15450" s="21" t="s">
        <v>71</v>
      </c>
      <c r="F15450">
        <v>13060102</v>
      </c>
      <c r="G15450" t="s">
        <v>2918</v>
      </c>
      <c r="H15450" s="21">
        <v>844.92</v>
      </c>
    </row>
    <row r="15451" spans="1:8" customFormat="1" x14ac:dyDescent="0.25">
      <c r="A15451" t="str">
        <f>"7724804"</f>
        <v>7724804</v>
      </c>
      <c r="B15451" t="s">
        <v>16216</v>
      </c>
      <c r="C15451" t="s">
        <v>33</v>
      </c>
      <c r="D15451" s="21" t="s">
        <v>34</v>
      </c>
      <c r="E15451" s="21" t="s">
        <v>71</v>
      </c>
      <c r="F15451">
        <v>8771303</v>
      </c>
      <c r="G15451" t="s">
        <v>13447</v>
      </c>
      <c r="H15451" s="21">
        <v>844.92</v>
      </c>
    </row>
    <row r="15452" spans="1:8" customFormat="1" x14ac:dyDescent="0.25">
      <c r="A15452" t="str">
        <f>"4515208"</f>
        <v>4515208</v>
      </c>
      <c r="B15452" t="s">
        <v>15148</v>
      </c>
      <c r="C15452" t="s">
        <v>55</v>
      </c>
      <c r="D15452" s="21" t="s">
        <v>34</v>
      </c>
      <c r="E15452" s="21" t="s">
        <v>71</v>
      </c>
      <c r="F15452">
        <v>4450429</v>
      </c>
      <c r="G15452" t="s">
        <v>15149</v>
      </c>
      <c r="H15452" s="21">
        <v>844.92</v>
      </c>
    </row>
    <row r="15453" spans="1:8" customFormat="1" x14ac:dyDescent="0.25">
      <c r="A15453" t="str">
        <f>"2210429"</f>
        <v>2210429</v>
      </c>
      <c r="B15453" t="s">
        <v>14717</v>
      </c>
      <c r="C15453" t="s">
        <v>5525</v>
      </c>
      <c r="D15453" s="21" t="s">
        <v>34</v>
      </c>
      <c r="E15453" s="21" t="s">
        <v>35</v>
      </c>
      <c r="F15453">
        <v>13060008</v>
      </c>
      <c r="G15453" t="s">
        <v>36</v>
      </c>
      <c r="H15453" s="21">
        <v>844.79</v>
      </c>
    </row>
    <row r="15454" spans="1:8" customFormat="1" x14ac:dyDescent="0.25">
      <c r="A15454" t="str">
        <f>"8013309"</f>
        <v>8013309</v>
      </c>
      <c r="B15454" t="s">
        <v>21029</v>
      </c>
      <c r="C15454" t="s">
        <v>1782</v>
      </c>
      <c r="D15454" s="21" t="s">
        <v>34</v>
      </c>
      <c r="E15454" s="21" t="s">
        <v>35</v>
      </c>
      <c r="F15454">
        <v>7800079</v>
      </c>
      <c r="G15454" t="s">
        <v>14753</v>
      </c>
      <c r="H15454" s="21">
        <v>844.67</v>
      </c>
    </row>
    <row r="15455" spans="1:8" customFormat="1" x14ac:dyDescent="0.25">
      <c r="A15455" t="str">
        <f>"013111"</f>
        <v>013111</v>
      </c>
      <c r="B15455" t="s">
        <v>3535</v>
      </c>
      <c r="C15455" t="s">
        <v>269</v>
      </c>
      <c r="D15455" s="21" t="s">
        <v>34</v>
      </c>
      <c r="E15455" s="21" t="s">
        <v>71</v>
      </c>
      <c r="F15455">
        <v>1010020</v>
      </c>
      <c r="G15455" t="s">
        <v>6121</v>
      </c>
      <c r="H15455" s="21">
        <v>844.67</v>
      </c>
    </row>
    <row r="15456" spans="1:8" customFormat="1" x14ac:dyDescent="0.25">
      <c r="A15456" t="str">
        <f>"9440006"</f>
        <v>9440006</v>
      </c>
      <c r="B15456" t="s">
        <v>15463</v>
      </c>
      <c r="C15456" t="s">
        <v>507</v>
      </c>
      <c r="D15456" s="21" t="s">
        <v>34</v>
      </c>
      <c r="E15456" s="21" t="s">
        <v>71</v>
      </c>
      <c r="F15456">
        <v>8940052</v>
      </c>
      <c r="G15456" t="s">
        <v>190</v>
      </c>
      <c r="H15456" s="21">
        <v>844.67</v>
      </c>
    </row>
    <row r="15457" spans="1:8" customFormat="1" x14ac:dyDescent="0.25">
      <c r="A15457" t="str">
        <f>"2711807"</f>
        <v>2711807</v>
      </c>
      <c r="B15457" t="s">
        <v>14317</v>
      </c>
      <c r="C15457" t="s">
        <v>263</v>
      </c>
      <c r="D15457" s="21" t="s">
        <v>34</v>
      </c>
      <c r="E15457" s="21" t="s">
        <v>254</v>
      </c>
      <c r="F15457">
        <v>9270175</v>
      </c>
      <c r="G15457" t="s">
        <v>1909</v>
      </c>
      <c r="H15457" s="21">
        <v>844.67</v>
      </c>
    </row>
    <row r="15458" spans="1:8" customFormat="1" x14ac:dyDescent="0.25">
      <c r="A15458" t="str">
        <f>"254622"</f>
        <v>254622</v>
      </c>
      <c r="B15458" t="s">
        <v>3009</v>
      </c>
      <c r="C15458" t="s">
        <v>510</v>
      </c>
      <c r="D15458" s="21" t="s">
        <v>34</v>
      </c>
      <c r="E15458" s="21" t="s">
        <v>1089</v>
      </c>
      <c r="F15458">
        <v>2250031</v>
      </c>
      <c r="G15458" t="s">
        <v>3011</v>
      </c>
      <c r="H15458" s="21">
        <v>844.67</v>
      </c>
    </row>
    <row r="15459" spans="1:8" customFormat="1" x14ac:dyDescent="0.25">
      <c r="A15459" t="str">
        <f>"8844"</f>
        <v>8844</v>
      </c>
      <c r="B15459" t="s">
        <v>4494</v>
      </c>
      <c r="C15459" t="s">
        <v>598</v>
      </c>
      <c r="D15459" s="21" t="s">
        <v>34</v>
      </c>
      <c r="E15459" s="21" t="s">
        <v>71</v>
      </c>
      <c r="F15459">
        <v>6880002</v>
      </c>
      <c r="G15459" t="s">
        <v>501</v>
      </c>
      <c r="H15459" s="21">
        <v>844.67</v>
      </c>
    </row>
    <row r="15460" spans="1:8" customFormat="1" x14ac:dyDescent="0.25">
      <c r="A15460" t="str">
        <f>"475408"</f>
        <v>475408</v>
      </c>
      <c r="B15460" t="s">
        <v>15495</v>
      </c>
      <c r="C15460" t="s">
        <v>151</v>
      </c>
      <c r="D15460" s="21" t="s">
        <v>34</v>
      </c>
      <c r="E15460" s="21" t="s">
        <v>35</v>
      </c>
      <c r="F15460">
        <v>10470016</v>
      </c>
      <c r="G15460" t="s">
        <v>14406</v>
      </c>
      <c r="H15460" s="21">
        <v>844.67</v>
      </c>
    </row>
    <row r="15461" spans="1:8" customFormat="1" x14ac:dyDescent="0.25">
      <c r="A15461" t="str">
        <f>"3529563"</f>
        <v>3529563</v>
      </c>
      <c r="B15461" t="s">
        <v>13756</v>
      </c>
      <c r="C15461" t="s">
        <v>547</v>
      </c>
      <c r="D15461" s="21" t="s">
        <v>34</v>
      </c>
      <c r="E15461" s="21" t="s">
        <v>71</v>
      </c>
      <c r="F15461">
        <v>3350102</v>
      </c>
      <c r="G15461" t="s">
        <v>4942</v>
      </c>
      <c r="H15461" s="21">
        <v>844.67</v>
      </c>
    </row>
    <row r="15462" spans="1:8" customFormat="1" x14ac:dyDescent="0.25">
      <c r="A15462" t="str">
        <f>"6943972"</f>
        <v>6943972</v>
      </c>
      <c r="B15462" t="s">
        <v>146</v>
      </c>
      <c r="C15462" t="s">
        <v>124</v>
      </c>
      <c r="D15462" s="21" t="s">
        <v>34</v>
      </c>
      <c r="E15462" s="21" t="s">
        <v>35</v>
      </c>
      <c r="F15462">
        <v>1690102</v>
      </c>
      <c r="G15462" t="s">
        <v>2081</v>
      </c>
      <c r="H15462" s="21">
        <v>844.67</v>
      </c>
    </row>
    <row r="15463" spans="1:8" customFormat="1" x14ac:dyDescent="0.25">
      <c r="A15463" t="str">
        <f>"733985"</f>
        <v>733985</v>
      </c>
      <c r="B15463" t="s">
        <v>26741</v>
      </c>
      <c r="C15463" t="s">
        <v>40</v>
      </c>
      <c r="D15463" s="21" t="s">
        <v>34</v>
      </c>
      <c r="E15463" s="21" t="s">
        <v>254</v>
      </c>
      <c r="F15463">
        <v>1730051</v>
      </c>
      <c r="G15463" t="s">
        <v>5293</v>
      </c>
      <c r="H15463" s="21">
        <v>844.67</v>
      </c>
    </row>
    <row r="15464" spans="1:8" customFormat="1" x14ac:dyDescent="0.25">
      <c r="A15464" t="str">
        <f>"539434"</f>
        <v>539434</v>
      </c>
      <c r="B15464" t="s">
        <v>10427</v>
      </c>
      <c r="C15464" t="s">
        <v>2730</v>
      </c>
      <c r="D15464" s="21" t="s">
        <v>34</v>
      </c>
      <c r="E15464" s="21" t="s">
        <v>254</v>
      </c>
      <c r="F15464">
        <v>12530035</v>
      </c>
      <c r="G15464" t="s">
        <v>1663</v>
      </c>
      <c r="H15464" s="21">
        <v>844.67</v>
      </c>
    </row>
    <row r="15465" spans="1:8" customFormat="1" x14ac:dyDescent="0.25">
      <c r="A15465" t="str">
        <f>"806117"</f>
        <v>806117</v>
      </c>
      <c r="B15465" t="s">
        <v>727</v>
      </c>
      <c r="C15465" t="s">
        <v>13092</v>
      </c>
      <c r="D15465" s="21" t="s">
        <v>34</v>
      </c>
      <c r="E15465" s="21" t="s">
        <v>254</v>
      </c>
      <c r="F15465">
        <v>7800108</v>
      </c>
      <c r="G15465" t="s">
        <v>13093</v>
      </c>
      <c r="H15465" s="21">
        <v>844.67</v>
      </c>
    </row>
    <row r="15466" spans="1:8" customFormat="1" x14ac:dyDescent="0.25">
      <c r="A15466" t="str">
        <f>"7718704"</f>
        <v>7718704</v>
      </c>
      <c r="B15466" t="s">
        <v>12485</v>
      </c>
      <c r="C15466" t="s">
        <v>439</v>
      </c>
      <c r="D15466" s="21" t="s">
        <v>34</v>
      </c>
      <c r="E15466" s="21" t="s">
        <v>71</v>
      </c>
      <c r="F15466">
        <v>8770426</v>
      </c>
      <c r="G15466" t="s">
        <v>1847</v>
      </c>
      <c r="H15466" s="21">
        <v>844.67</v>
      </c>
    </row>
    <row r="15467" spans="1:8" customFormat="1" x14ac:dyDescent="0.25">
      <c r="A15467" t="str">
        <f>"4515873"</f>
        <v>4515873</v>
      </c>
      <c r="B15467" t="s">
        <v>13362</v>
      </c>
      <c r="C15467" t="s">
        <v>139</v>
      </c>
      <c r="D15467" s="21" t="s">
        <v>34</v>
      </c>
      <c r="E15467" s="21" t="s">
        <v>71</v>
      </c>
      <c r="F15467">
        <v>4180041</v>
      </c>
      <c r="G15467" t="s">
        <v>1740</v>
      </c>
      <c r="H15467" s="21">
        <v>844.67</v>
      </c>
    </row>
    <row r="15468" spans="1:8" customFormat="1" x14ac:dyDescent="0.25">
      <c r="A15468" t="str">
        <f>"7515684"</f>
        <v>7515684</v>
      </c>
      <c r="B15468" t="s">
        <v>13515</v>
      </c>
      <c r="C15468" t="s">
        <v>415</v>
      </c>
      <c r="D15468" s="21" t="s">
        <v>34</v>
      </c>
      <c r="E15468" s="21" t="s">
        <v>35</v>
      </c>
      <c r="F15468">
        <v>8750400</v>
      </c>
      <c r="G15468" t="s">
        <v>2804</v>
      </c>
      <c r="H15468" s="21">
        <v>844.54</v>
      </c>
    </row>
    <row r="15469" spans="1:8" customFormat="1" x14ac:dyDescent="0.25">
      <c r="A15469" t="str">
        <f>"517776"</f>
        <v>517776</v>
      </c>
      <c r="B15469" t="s">
        <v>1347</v>
      </c>
      <c r="C15469" t="s">
        <v>7159</v>
      </c>
      <c r="D15469" s="21" t="s">
        <v>34</v>
      </c>
      <c r="E15469" s="21" t="s">
        <v>71</v>
      </c>
      <c r="F15469">
        <v>6510018</v>
      </c>
      <c r="G15469" t="s">
        <v>3055</v>
      </c>
      <c r="H15469" s="21">
        <v>844.42</v>
      </c>
    </row>
    <row r="15470" spans="1:8" customFormat="1" x14ac:dyDescent="0.25">
      <c r="A15470" t="str">
        <f>"2719625"</f>
        <v>2719625</v>
      </c>
      <c r="B15470" t="s">
        <v>14331</v>
      </c>
      <c r="C15470" t="s">
        <v>4674</v>
      </c>
      <c r="D15470" s="21" t="s">
        <v>34</v>
      </c>
      <c r="E15470" s="21" t="s">
        <v>71</v>
      </c>
      <c r="F15470">
        <v>9270151</v>
      </c>
      <c r="G15470" t="s">
        <v>626</v>
      </c>
      <c r="H15470" s="21">
        <v>844.42</v>
      </c>
    </row>
    <row r="15471" spans="1:8" customFormat="1" x14ac:dyDescent="0.25">
      <c r="A15471" t="str">
        <f>"2216500"</f>
        <v>2216500</v>
      </c>
      <c r="B15471" t="s">
        <v>12839</v>
      </c>
      <c r="C15471" t="s">
        <v>1146</v>
      </c>
      <c r="D15471" s="21" t="s">
        <v>34</v>
      </c>
      <c r="E15471" s="21" t="s">
        <v>71</v>
      </c>
      <c r="F15471">
        <v>3220123</v>
      </c>
      <c r="G15471" t="s">
        <v>26953</v>
      </c>
      <c r="H15471" s="21">
        <v>844.29</v>
      </c>
    </row>
    <row r="15472" spans="1:8" customFormat="1" x14ac:dyDescent="0.25">
      <c r="A15472" t="str">
        <f>"3815669"</f>
        <v>3815669</v>
      </c>
      <c r="B15472" t="s">
        <v>12455</v>
      </c>
      <c r="C15472" t="s">
        <v>2678</v>
      </c>
      <c r="D15472" s="21" t="s">
        <v>34</v>
      </c>
      <c r="E15472" s="21" t="s">
        <v>35</v>
      </c>
      <c r="F15472">
        <v>1420210</v>
      </c>
      <c r="G15472" t="s">
        <v>7943</v>
      </c>
      <c r="H15472" s="21">
        <v>844.29</v>
      </c>
    </row>
    <row r="15473" spans="1:8" customFormat="1" x14ac:dyDescent="0.25">
      <c r="A15473" t="str">
        <f>"1612806"</f>
        <v>1612806</v>
      </c>
      <c r="B15473" t="s">
        <v>1737</v>
      </c>
      <c r="C15473" t="s">
        <v>43</v>
      </c>
      <c r="D15473" s="21" t="s">
        <v>34</v>
      </c>
      <c r="E15473" s="21" t="s">
        <v>35</v>
      </c>
      <c r="F15473">
        <v>10160240</v>
      </c>
      <c r="G15473" t="s">
        <v>7095</v>
      </c>
      <c r="H15473" s="21">
        <v>844.17</v>
      </c>
    </row>
    <row r="15474" spans="1:8" customFormat="1" x14ac:dyDescent="0.25">
      <c r="A15474" t="str">
        <f>"666558"</f>
        <v>666558</v>
      </c>
      <c r="B15474" t="s">
        <v>12830</v>
      </c>
      <c r="C15474" t="s">
        <v>6285</v>
      </c>
      <c r="D15474" s="21" t="s">
        <v>34</v>
      </c>
      <c r="E15474" s="21" t="s">
        <v>1089</v>
      </c>
      <c r="F15474">
        <v>11660032</v>
      </c>
      <c r="G15474" t="s">
        <v>3232</v>
      </c>
      <c r="H15474" s="21">
        <v>844.17</v>
      </c>
    </row>
    <row r="15475" spans="1:8" customFormat="1" x14ac:dyDescent="0.25">
      <c r="A15475" t="str">
        <f>"7211823"</f>
        <v>7211823</v>
      </c>
      <c r="B15475" t="s">
        <v>12802</v>
      </c>
      <c r="C15475" t="s">
        <v>428</v>
      </c>
      <c r="D15475" s="21" t="s">
        <v>34</v>
      </c>
      <c r="E15475" s="21" t="s">
        <v>35</v>
      </c>
      <c r="F15475">
        <v>12720102</v>
      </c>
      <c r="G15475" t="s">
        <v>4469</v>
      </c>
      <c r="H15475" s="21">
        <v>844.17</v>
      </c>
    </row>
    <row r="15476" spans="1:8" customFormat="1" x14ac:dyDescent="0.25">
      <c r="A15476" t="str">
        <f>"7840761"</f>
        <v>7840761</v>
      </c>
      <c r="B15476" t="s">
        <v>13308</v>
      </c>
      <c r="C15476" t="s">
        <v>169</v>
      </c>
      <c r="D15476" s="21" t="s">
        <v>34</v>
      </c>
      <c r="E15476" s="21" t="s">
        <v>35</v>
      </c>
      <c r="F15476">
        <v>9270089</v>
      </c>
      <c r="G15476" t="s">
        <v>1009</v>
      </c>
      <c r="H15476" s="21">
        <v>844.17</v>
      </c>
    </row>
    <row r="15477" spans="1:8" customFormat="1" x14ac:dyDescent="0.25">
      <c r="A15477" t="str">
        <f>"319328"</f>
        <v>319328</v>
      </c>
      <c r="B15477" t="s">
        <v>9493</v>
      </c>
      <c r="C15477" t="s">
        <v>10760</v>
      </c>
      <c r="D15477" s="21" t="s">
        <v>34</v>
      </c>
      <c r="E15477" s="21" t="s">
        <v>35</v>
      </c>
      <c r="F15477">
        <v>4370566</v>
      </c>
      <c r="G15477" t="s">
        <v>4710</v>
      </c>
      <c r="H15477" s="21">
        <v>844.17</v>
      </c>
    </row>
    <row r="15478" spans="1:8" customFormat="1" x14ac:dyDescent="0.25">
      <c r="A15478" t="str">
        <f>"5969989"</f>
        <v>5969989</v>
      </c>
      <c r="B15478" t="s">
        <v>13800</v>
      </c>
      <c r="C15478" t="s">
        <v>13801</v>
      </c>
      <c r="D15478" s="21" t="s">
        <v>34</v>
      </c>
      <c r="E15478" s="21" t="s">
        <v>35</v>
      </c>
      <c r="F15478">
        <v>7590194</v>
      </c>
      <c r="G15478" t="s">
        <v>460</v>
      </c>
      <c r="H15478" s="21">
        <v>844.17</v>
      </c>
    </row>
    <row r="15479" spans="1:8" customFormat="1" x14ac:dyDescent="0.25">
      <c r="A15479" t="str">
        <f>"2211389"</f>
        <v>2211389</v>
      </c>
      <c r="B15479" t="s">
        <v>5490</v>
      </c>
      <c r="C15479" t="s">
        <v>1597</v>
      </c>
      <c r="D15479" s="21" t="s">
        <v>34</v>
      </c>
      <c r="E15479" s="21" t="s">
        <v>35</v>
      </c>
      <c r="F15479">
        <v>3220013</v>
      </c>
      <c r="G15479" t="s">
        <v>27198</v>
      </c>
      <c r="H15479" s="21">
        <v>844.17</v>
      </c>
    </row>
    <row r="15480" spans="1:8" customFormat="1" x14ac:dyDescent="0.25">
      <c r="A15480" t="str">
        <f>"322496"</f>
        <v>322496</v>
      </c>
      <c r="B15480" t="s">
        <v>14770</v>
      </c>
      <c r="C15480" t="s">
        <v>90</v>
      </c>
      <c r="D15480" s="21" t="s">
        <v>34</v>
      </c>
      <c r="E15480" s="21" t="s">
        <v>35</v>
      </c>
      <c r="F15480">
        <v>11320032</v>
      </c>
      <c r="G15480" t="s">
        <v>5722</v>
      </c>
      <c r="H15480" s="21">
        <v>844.17</v>
      </c>
    </row>
    <row r="15481" spans="1:8" customFormat="1" x14ac:dyDescent="0.25">
      <c r="A15481" t="str">
        <f>"277315"</f>
        <v>277315</v>
      </c>
      <c r="B15481" t="s">
        <v>13896</v>
      </c>
      <c r="C15481" t="s">
        <v>119</v>
      </c>
      <c r="D15481" s="21" t="s">
        <v>34</v>
      </c>
      <c r="E15481" s="21" t="s">
        <v>71</v>
      </c>
      <c r="F15481">
        <v>2390001</v>
      </c>
      <c r="G15481" t="s">
        <v>6664</v>
      </c>
      <c r="H15481" s="21">
        <v>844.17</v>
      </c>
    </row>
    <row r="15482" spans="1:8" customFormat="1" x14ac:dyDescent="0.25">
      <c r="A15482" t="str">
        <f>"619102"</f>
        <v>619102</v>
      </c>
      <c r="B15482" t="s">
        <v>9226</v>
      </c>
      <c r="C15482" t="s">
        <v>121</v>
      </c>
      <c r="D15482" s="21" t="s">
        <v>34</v>
      </c>
      <c r="E15482" s="21" t="s">
        <v>35</v>
      </c>
      <c r="F15482">
        <v>9610017</v>
      </c>
      <c r="G15482" t="s">
        <v>12194</v>
      </c>
      <c r="H15482" s="21">
        <v>844.17</v>
      </c>
    </row>
    <row r="15483" spans="1:8" customFormat="1" x14ac:dyDescent="0.25">
      <c r="A15483" t="str">
        <f>"284463"</f>
        <v>284463</v>
      </c>
      <c r="B15483" t="s">
        <v>15485</v>
      </c>
      <c r="C15483" t="s">
        <v>598</v>
      </c>
      <c r="D15483" s="21" t="s">
        <v>34</v>
      </c>
      <c r="E15483" s="21" t="s">
        <v>71</v>
      </c>
      <c r="F15483">
        <v>4280617</v>
      </c>
      <c r="G15483" t="s">
        <v>8540</v>
      </c>
      <c r="H15483" s="21">
        <v>844.17</v>
      </c>
    </row>
    <row r="15484" spans="1:8" customFormat="1" x14ac:dyDescent="0.25">
      <c r="A15484" t="str">
        <f>"0114934"</f>
        <v>0114934</v>
      </c>
      <c r="B15484" t="s">
        <v>16324</v>
      </c>
      <c r="C15484" t="s">
        <v>156</v>
      </c>
      <c r="D15484" s="21" t="s">
        <v>34</v>
      </c>
      <c r="E15484" s="21" t="s">
        <v>1089</v>
      </c>
      <c r="F15484">
        <v>1010001</v>
      </c>
      <c r="G15484" t="s">
        <v>2161</v>
      </c>
      <c r="H15484" s="21">
        <v>844.17</v>
      </c>
    </row>
    <row r="15485" spans="1:8" customFormat="1" x14ac:dyDescent="0.25">
      <c r="A15485" t="str">
        <f>"59536"</f>
        <v>59536</v>
      </c>
      <c r="B15485" t="s">
        <v>14386</v>
      </c>
      <c r="C15485" t="s">
        <v>187</v>
      </c>
      <c r="D15485" s="21" t="s">
        <v>34</v>
      </c>
      <c r="E15485" s="21" t="s">
        <v>35</v>
      </c>
      <c r="F15485">
        <v>7590281</v>
      </c>
      <c r="G15485" t="s">
        <v>7165</v>
      </c>
      <c r="H15485" s="21">
        <v>844.17</v>
      </c>
    </row>
    <row r="15486" spans="1:8" customFormat="1" x14ac:dyDescent="0.25">
      <c r="A15486" t="str">
        <f>"781031"</f>
        <v>781031</v>
      </c>
      <c r="B15486" t="s">
        <v>890</v>
      </c>
      <c r="C15486" t="s">
        <v>1588</v>
      </c>
      <c r="D15486" s="21" t="s">
        <v>34</v>
      </c>
      <c r="E15486" s="21" t="s">
        <v>254</v>
      </c>
      <c r="F15486">
        <v>8780108</v>
      </c>
      <c r="G15486" t="s">
        <v>4329</v>
      </c>
      <c r="H15486" s="21">
        <v>844.04</v>
      </c>
    </row>
    <row r="15487" spans="1:8" customFormat="1" x14ac:dyDescent="0.25">
      <c r="A15487" t="str">
        <f>"337036"</f>
        <v>337036</v>
      </c>
      <c r="B15487" t="s">
        <v>12838</v>
      </c>
      <c r="C15487" t="s">
        <v>462</v>
      </c>
      <c r="D15487" s="21" t="s">
        <v>34</v>
      </c>
      <c r="E15487" s="21" t="s">
        <v>71</v>
      </c>
      <c r="F15487">
        <v>10330125</v>
      </c>
      <c r="G15487" t="s">
        <v>3753</v>
      </c>
      <c r="H15487" s="21">
        <v>844.04</v>
      </c>
    </row>
    <row r="15488" spans="1:8" customFormat="1" x14ac:dyDescent="0.25">
      <c r="A15488" t="str">
        <f>"607725"</f>
        <v>607725</v>
      </c>
      <c r="B15488" t="s">
        <v>2082</v>
      </c>
      <c r="C15488" t="s">
        <v>62</v>
      </c>
      <c r="D15488" s="21" t="s">
        <v>34</v>
      </c>
      <c r="E15488" s="21" t="s">
        <v>71</v>
      </c>
      <c r="F15488">
        <v>7600163</v>
      </c>
      <c r="G15488" t="s">
        <v>12203</v>
      </c>
      <c r="H15488" s="21">
        <v>844</v>
      </c>
    </row>
    <row r="15489" spans="1:8" customFormat="1" x14ac:dyDescent="0.25">
      <c r="A15489" t="str">
        <f>"9431391"</f>
        <v>9431391</v>
      </c>
      <c r="B15489" t="s">
        <v>400</v>
      </c>
      <c r="C15489" t="s">
        <v>249</v>
      </c>
      <c r="D15489" s="21" t="s">
        <v>34</v>
      </c>
      <c r="E15489" s="21" t="s">
        <v>71</v>
      </c>
      <c r="F15489">
        <v>8940448</v>
      </c>
      <c r="G15489" t="s">
        <v>1691</v>
      </c>
      <c r="H15489" s="21">
        <v>844</v>
      </c>
    </row>
    <row r="15490" spans="1:8" customFormat="1" x14ac:dyDescent="0.25">
      <c r="A15490" t="str">
        <f>"778122"</f>
        <v>778122</v>
      </c>
      <c r="B15490" t="s">
        <v>13182</v>
      </c>
      <c r="C15490" t="s">
        <v>13183</v>
      </c>
      <c r="D15490" s="21" t="s">
        <v>34</v>
      </c>
      <c r="E15490" s="21" t="s">
        <v>254</v>
      </c>
      <c r="F15490">
        <v>8911083</v>
      </c>
      <c r="G15490" t="s">
        <v>7357</v>
      </c>
      <c r="H15490" s="21">
        <v>843.92</v>
      </c>
    </row>
    <row r="15491" spans="1:8" customFormat="1" x14ac:dyDescent="0.25">
      <c r="A15491" t="str">
        <f>"9232905"</f>
        <v>9232905</v>
      </c>
      <c r="B15491" t="s">
        <v>143</v>
      </c>
      <c r="C15491" t="s">
        <v>55</v>
      </c>
      <c r="D15491" s="21" t="s">
        <v>34</v>
      </c>
      <c r="E15491" s="21" t="s">
        <v>71</v>
      </c>
      <c r="F15491">
        <v>8920126</v>
      </c>
      <c r="G15491" t="s">
        <v>1168</v>
      </c>
      <c r="H15491" s="21">
        <v>843.92</v>
      </c>
    </row>
    <row r="15492" spans="1:8" customFormat="1" x14ac:dyDescent="0.25">
      <c r="A15492" t="str">
        <f>"0812616"</f>
        <v>0812616</v>
      </c>
      <c r="B15492" t="s">
        <v>27385</v>
      </c>
      <c r="C15492" t="s">
        <v>2779</v>
      </c>
      <c r="D15492" s="21" t="s">
        <v>34</v>
      </c>
      <c r="E15492" s="21" t="s">
        <v>35</v>
      </c>
      <c r="F15492">
        <v>6080014</v>
      </c>
      <c r="G15492" t="s">
        <v>1272</v>
      </c>
      <c r="H15492" s="21">
        <v>843.79</v>
      </c>
    </row>
    <row r="15493" spans="1:8" customFormat="1" x14ac:dyDescent="0.25">
      <c r="A15493" t="str">
        <f>"693008"</f>
        <v>693008</v>
      </c>
      <c r="B15493" t="s">
        <v>5990</v>
      </c>
      <c r="C15493" t="s">
        <v>269</v>
      </c>
      <c r="D15493" s="21" t="s">
        <v>34</v>
      </c>
      <c r="E15493" s="21" t="s">
        <v>35</v>
      </c>
      <c r="F15493">
        <v>1690102</v>
      </c>
      <c r="G15493" t="s">
        <v>2081</v>
      </c>
      <c r="H15493" s="21">
        <v>843.67</v>
      </c>
    </row>
    <row r="15494" spans="1:8" customFormat="1" x14ac:dyDescent="0.25">
      <c r="A15494" t="str">
        <f>"832970"</f>
        <v>832970</v>
      </c>
      <c r="B15494" t="s">
        <v>4611</v>
      </c>
      <c r="C15494" t="s">
        <v>11738</v>
      </c>
      <c r="D15494" s="21" t="s">
        <v>34</v>
      </c>
      <c r="E15494" s="21" t="s">
        <v>71</v>
      </c>
      <c r="F15494">
        <v>13830067</v>
      </c>
      <c r="G15494" t="s">
        <v>13428</v>
      </c>
      <c r="H15494" s="21">
        <v>843.67</v>
      </c>
    </row>
    <row r="15495" spans="1:8" customFormat="1" x14ac:dyDescent="0.25">
      <c r="A15495" t="str">
        <f>"011200"</f>
        <v>011200</v>
      </c>
      <c r="B15495" t="s">
        <v>13654</v>
      </c>
      <c r="C15495" t="s">
        <v>462</v>
      </c>
      <c r="D15495" s="21" t="s">
        <v>34</v>
      </c>
      <c r="E15495" s="21" t="s">
        <v>71</v>
      </c>
      <c r="F15495">
        <v>1010060</v>
      </c>
      <c r="G15495" t="s">
        <v>5128</v>
      </c>
      <c r="H15495" s="21">
        <v>843.67</v>
      </c>
    </row>
    <row r="15496" spans="1:8" customFormat="1" x14ac:dyDescent="0.25">
      <c r="A15496" t="str">
        <f>"723511"</f>
        <v>723511</v>
      </c>
      <c r="B15496" t="s">
        <v>15326</v>
      </c>
      <c r="C15496" t="s">
        <v>288</v>
      </c>
      <c r="D15496" s="21" t="s">
        <v>34</v>
      </c>
      <c r="E15496" s="21" t="s">
        <v>35</v>
      </c>
      <c r="F15496">
        <v>12720045</v>
      </c>
      <c r="G15496" t="s">
        <v>2484</v>
      </c>
      <c r="H15496" s="21">
        <v>843.67</v>
      </c>
    </row>
    <row r="15497" spans="1:8" customFormat="1" x14ac:dyDescent="0.25">
      <c r="A15497" t="str">
        <f>"866029"</f>
        <v>866029</v>
      </c>
      <c r="B15497" t="s">
        <v>11561</v>
      </c>
      <c r="C15497" t="s">
        <v>109</v>
      </c>
      <c r="D15497" s="21" t="s">
        <v>34</v>
      </c>
      <c r="E15497" s="21" t="s">
        <v>71</v>
      </c>
      <c r="F15497">
        <v>10860187</v>
      </c>
      <c r="G15497" t="s">
        <v>9991</v>
      </c>
      <c r="H15497" s="21">
        <v>843.67</v>
      </c>
    </row>
    <row r="15498" spans="1:8" customFormat="1" x14ac:dyDescent="0.25">
      <c r="A15498" t="str">
        <f>"2214239"</f>
        <v>2214239</v>
      </c>
      <c r="B15498" t="s">
        <v>3059</v>
      </c>
      <c r="C15498" t="s">
        <v>462</v>
      </c>
      <c r="D15498" s="21" t="s">
        <v>34</v>
      </c>
      <c r="E15498" s="21" t="s">
        <v>35</v>
      </c>
      <c r="F15498">
        <v>3220065</v>
      </c>
      <c r="G15498" t="s">
        <v>27386</v>
      </c>
      <c r="H15498" s="21">
        <v>843.67</v>
      </c>
    </row>
    <row r="15499" spans="1:8" customFormat="1" x14ac:dyDescent="0.25">
      <c r="A15499" t="str">
        <f>"198128"</f>
        <v>198128</v>
      </c>
      <c r="B15499" t="s">
        <v>14710</v>
      </c>
      <c r="C15499" t="s">
        <v>269</v>
      </c>
      <c r="D15499" s="21" t="s">
        <v>34</v>
      </c>
      <c r="E15499" s="21" t="s">
        <v>71</v>
      </c>
      <c r="F15499">
        <v>10190108</v>
      </c>
      <c r="G15499" t="s">
        <v>7344</v>
      </c>
      <c r="H15499" s="21">
        <v>843.67</v>
      </c>
    </row>
    <row r="15500" spans="1:8" customFormat="1" x14ac:dyDescent="0.25">
      <c r="A15500" t="str">
        <f>"86692"</f>
        <v>86692</v>
      </c>
      <c r="B15500" t="s">
        <v>13160</v>
      </c>
      <c r="C15500" t="s">
        <v>239</v>
      </c>
      <c r="D15500" s="21" t="s">
        <v>34</v>
      </c>
      <c r="E15500" s="21" t="s">
        <v>71</v>
      </c>
      <c r="F15500">
        <v>10860038</v>
      </c>
      <c r="G15500" t="s">
        <v>8925</v>
      </c>
      <c r="H15500" s="21">
        <v>843.67</v>
      </c>
    </row>
    <row r="15501" spans="1:8" customFormat="1" x14ac:dyDescent="0.25">
      <c r="A15501" t="str">
        <f>"5970001"</f>
        <v>5970001</v>
      </c>
      <c r="B15501" t="s">
        <v>14945</v>
      </c>
      <c r="C15501" t="s">
        <v>209</v>
      </c>
      <c r="D15501" s="21" t="s">
        <v>34</v>
      </c>
      <c r="E15501" s="21" t="s">
        <v>71</v>
      </c>
      <c r="F15501">
        <v>7590023</v>
      </c>
      <c r="G15501" t="s">
        <v>7058</v>
      </c>
      <c r="H15501" s="21">
        <v>843.67</v>
      </c>
    </row>
    <row r="15502" spans="1:8" customFormat="1" x14ac:dyDescent="0.25">
      <c r="A15502" t="str">
        <f>"9424097"</f>
        <v>9424097</v>
      </c>
      <c r="B15502" t="s">
        <v>1593</v>
      </c>
      <c r="C15502" t="s">
        <v>33</v>
      </c>
      <c r="D15502" s="21" t="s">
        <v>34</v>
      </c>
      <c r="E15502" s="21" t="s">
        <v>35</v>
      </c>
      <c r="F15502">
        <v>12530072</v>
      </c>
      <c r="G15502" t="s">
        <v>7342</v>
      </c>
      <c r="H15502" s="21">
        <v>843.67</v>
      </c>
    </row>
    <row r="15503" spans="1:8" customFormat="1" x14ac:dyDescent="0.25">
      <c r="A15503" t="str">
        <f>"454707"</f>
        <v>454707</v>
      </c>
      <c r="B15503" t="s">
        <v>2218</v>
      </c>
      <c r="C15503" t="s">
        <v>130</v>
      </c>
      <c r="D15503" s="21" t="s">
        <v>34</v>
      </c>
      <c r="E15503" s="21" t="s">
        <v>254</v>
      </c>
      <c r="F15503">
        <v>4450614</v>
      </c>
      <c r="G15503" t="s">
        <v>13344</v>
      </c>
      <c r="H15503" s="21">
        <v>843.67</v>
      </c>
    </row>
    <row r="15504" spans="1:8" customFormat="1" x14ac:dyDescent="0.25">
      <c r="A15504" t="str">
        <f>"45481"</f>
        <v>45481</v>
      </c>
      <c r="B15504" t="s">
        <v>11645</v>
      </c>
      <c r="C15504" t="s">
        <v>209</v>
      </c>
      <c r="D15504" s="21" t="s">
        <v>34</v>
      </c>
      <c r="E15504" s="21" t="s">
        <v>254</v>
      </c>
      <c r="F15504">
        <v>4450108</v>
      </c>
      <c r="G15504" t="s">
        <v>2354</v>
      </c>
      <c r="H15504" s="21">
        <v>843.67</v>
      </c>
    </row>
    <row r="15505" spans="1:8" customFormat="1" x14ac:dyDescent="0.25">
      <c r="A15505" t="str">
        <f>"517835"</f>
        <v>517835</v>
      </c>
      <c r="B15505" t="s">
        <v>13947</v>
      </c>
      <c r="C15505" t="s">
        <v>246</v>
      </c>
      <c r="D15505" s="21" t="s">
        <v>34</v>
      </c>
      <c r="E15505" s="21" t="s">
        <v>254</v>
      </c>
      <c r="F15505">
        <v>6510112</v>
      </c>
      <c r="G15505" t="s">
        <v>588</v>
      </c>
      <c r="H15505" s="21">
        <v>843.67</v>
      </c>
    </row>
    <row r="15506" spans="1:8" customFormat="1" x14ac:dyDescent="0.25">
      <c r="A15506" t="str">
        <f>"137828"</f>
        <v>137828</v>
      </c>
      <c r="B15506" t="s">
        <v>27387</v>
      </c>
      <c r="C15506" t="s">
        <v>5877</v>
      </c>
      <c r="D15506" s="21" t="s">
        <v>34</v>
      </c>
      <c r="E15506" s="21" t="s">
        <v>71</v>
      </c>
      <c r="F15506">
        <v>13130067</v>
      </c>
      <c r="G15506" t="s">
        <v>1420</v>
      </c>
      <c r="H15506" s="21">
        <v>843.67</v>
      </c>
    </row>
    <row r="15507" spans="1:8" customFormat="1" x14ac:dyDescent="0.25">
      <c r="A15507" t="str">
        <f>"5019928"</f>
        <v>5019928</v>
      </c>
      <c r="B15507" t="s">
        <v>15792</v>
      </c>
      <c r="C15507" t="s">
        <v>55</v>
      </c>
      <c r="D15507" s="21" t="s">
        <v>34</v>
      </c>
      <c r="E15507" s="21" t="s">
        <v>71</v>
      </c>
      <c r="F15507">
        <v>9500162</v>
      </c>
      <c r="G15507" t="s">
        <v>11252</v>
      </c>
      <c r="H15507" s="21">
        <v>843.67</v>
      </c>
    </row>
    <row r="15508" spans="1:8" customFormat="1" x14ac:dyDescent="0.25">
      <c r="A15508" t="str">
        <f>"17670"</f>
        <v>17670</v>
      </c>
      <c r="B15508" t="s">
        <v>946</v>
      </c>
      <c r="C15508" t="s">
        <v>547</v>
      </c>
      <c r="D15508" s="21" t="s">
        <v>34</v>
      </c>
      <c r="E15508" s="21" t="s">
        <v>6185</v>
      </c>
      <c r="F15508">
        <v>10170050</v>
      </c>
      <c r="G15508" t="s">
        <v>2514</v>
      </c>
      <c r="H15508" s="21">
        <v>843.67</v>
      </c>
    </row>
    <row r="15509" spans="1:8" customFormat="1" x14ac:dyDescent="0.25">
      <c r="A15509" t="str">
        <f>"081117"</f>
        <v>081117</v>
      </c>
      <c r="B15509" t="s">
        <v>2403</v>
      </c>
      <c r="C15509" t="s">
        <v>267</v>
      </c>
      <c r="D15509" s="21" t="s">
        <v>34</v>
      </c>
      <c r="E15509" s="21" t="s">
        <v>1089</v>
      </c>
      <c r="F15509">
        <v>6080047</v>
      </c>
      <c r="G15509" t="s">
        <v>4632</v>
      </c>
      <c r="H15509" s="21">
        <v>843.67</v>
      </c>
    </row>
    <row r="15510" spans="1:8" customFormat="1" x14ac:dyDescent="0.25">
      <c r="A15510" t="str">
        <f>"2515132"</f>
        <v>2515132</v>
      </c>
      <c r="B15510" t="s">
        <v>14691</v>
      </c>
      <c r="C15510" t="s">
        <v>204</v>
      </c>
      <c r="D15510" s="21" t="s">
        <v>34</v>
      </c>
      <c r="E15510" s="21" t="s">
        <v>35</v>
      </c>
      <c r="F15510">
        <v>2250015</v>
      </c>
      <c r="G15510" t="s">
        <v>4776</v>
      </c>
      <c r="H15510" s="21">
        <v>843.67</v>
      </c>
    </row>
    <row r="15511" spans="1:8" customFormat="1" x14ac:dyDescent="0.25">
      <c r="A15511" t="str">
        <f>"7627996"</f>
        <v>7627996</v>
      </c>
      <c r="B15511" t="s">
        <v>9537</v>
      </c>
      <c r="C15511" t="s">
        <v>1887</v>
      </c>
      <c r="D15511" s="21" t="s">
        <v>34</v>
      </c>
      <c r="E15511" s="21" t="s">
        <v>254</v>
      </c>
      <c r="F15511">
        <v>9760082</v>
      </c>
      <c r="G15511" t="s">
        <v>2387</v>
      </c>
      <c r="H15511" s="21">
        <v>843.67</v>
      </c>
    </row>
    <row r="15512" spans="1:8" customFormat="1" x14ac:dyDescent="0.25">
      <c r="A15512" t="str">
        <f>"622753"</f>
        <v>622753</v>
      </c>
      <c r="B15512" t="s">
        <v>11024</v>
      </c>
      <c r="C15512" t="s">
        <v>209</v>
      </c>
      <c r="D15512" s="21" t="s">
        <v>34</v>
      </c>
      <c r="E15512" s="21" t="s">
        <v>254</v>
      </c>
      <c r="F15512">
        <v>7620005</v>
      </c>
      <c r="G15512" t="s">
        <v>200</v>
      </c>
      <c r="H15512" s="21">
        <v>843.67</v>
      </c>
    </row>
    <row r="15513" spans="1:8" customFormat="1" x14ac:dyDescent="0.25">
      <c r="A15513" t="str">
        <f>"7622218"</f>
        <v>7622218</v>
      </c>
      <c r="B15513" t="s">
        <v>22532</v>
      </c>
      <c r="C15513" t="s">
        <v>1196</v>
      </c>
      <c r="D15513" s="21" t="s">
        <v>34</v>
      </c>
      <c r="E15513" s="21" t="s">
        <v>35</v>
      </c>
      <c r="F15513">
        <v>3350212</v>
      </c>
      <c r="G15513" t="s">
        <v>5154</v>
      </c>
      <c r="H15513" s="21">
        <v>843.54</v>
      </c>
    </row>
    <row r="15514" spans="1:8" customFormat="1" x14ac:dyDescent="0.25">
      <c r="A15514" t="str">
        <f>"7857018"</f>
        <v>7857018</v>
      </c>
      <c r="B15514" t="s">
        <v>13500</v>
      </c>
      <c r="C15514" t="s">
        <v>209</v>
      </c>
      <c r="D15514" s="21" t="s">
        <v>34</v>
      </c>
      <c r="E15514" s="21" t="s">
        <v>71</v>
      </c>
      <c r="F15514">
        <v>8781017</v>
      </c>
      <c r="G15514" t="s">
        <v>2581</v>
      </c>
      <c r="H15514" s="21">
        <v>843.54</v>
      </c>
    </row>
    <row r="15515" spans="1:8" customFormat="1" x14ac:dyDescent="0.25">
      <c r="A15515" t="str">
        <f>"405397"</f>
        <v>405397</v>
      </c>
      <c r="B15515" t="s">
        <v>11970</v>
      </c>
      <c r="C15515" t="s">
        <v>58</v>
      </c>
      <c r="D15515" s="21" t="s">
        <v>34</v>
      </c>
      <c r="E15515" s="21" t="s">
        <v>71</v>
      </c>
      <c r="F15515">
        <v>10400024</v>
      </c>
      <c r="G15515" t="s">
        <v>4680</v>
      </c>
      <c r="H15515" s="21">
        <v>843.54</v>
      </c>
    </row>
    <row r="15516" spans="1:8" customFormat="1" x14ac:dyDescent="0.25">
      <c r="A15516" t="str">
        <f>"2110648"</f>
        <v>2110648</v>
      </c>
      <c r="B15516" t="s">
        <v>14448</v>
      </c>
      <c r="C15516" t="s">
        <v>951</v>
      </c>
      <c r="D15516" s="21" t="s">
        <v>34</v>
      </c>
      <c r="E15516" s="21" t="s">
        <v>35</v>
      </c>
      <c r="F15516">
        <v>2210126</v>
      </c>
      <c r="G15516" t="s">
        <v>10773</v>
      </c>
      <c r="H15516" s="21">
        <v>843.42</v>
      </c>
    </row>
    <row r="15517" spans="1:8" customFormat="1" x14ac:dyDescent="0.25">
      <c r="A15517" t="str">
        <f>"7827130"</f>
        <v>7827130</v>
      </c>
      <c r="B15517" t="s">
        <v>12980</v>
      </c>
      <c r="C15517" t="s">
        <v>33</v>
      </c>
      <c r="D15517" s="21" t="s">
        <v>34</v>
      </c>
      <c r="E15517" s="21" t="s">
        <v>71</v>
      </c>
      <c r="F15517">
        <v>8781467</v>
      </c>
      <c r="G15517" t="s">
        <v>3838</v>
      </c>
      <c r="H15517" s="21">
        <v>843.42</v>
      </c>
    </row>
    <row r="15518" spans="1:8" customFormat="1" x14ac:dyDescent="0.25">
      <c r="A15518" t="str">
        <f>"7622628"</f>
        <v>7622628</v>
      </c>
      <c r="B15518" t="s">
        <v>12464</v>
      </c>
      <c r="C15518" t="s">
        <v>269</v>
      </c>
      <c r="D15518" s="21" t="s">
        <v>34</v>
      </c>
      <c r="E15518" s="21" t="s">
        <v>71</v>
      </c>
      <c r="F15518">
        <v>9760201</v>
      </c>
      <c r="G15518" t="s">
        <v>11358</v>
      </c>
      <c r="H15518" s="21">
        <v>843.42</v>
      </c>
    </row>
    <row r="15519" spans="1:8" customFormat="1" x14ac:dyDescent="0.25">
      <c r="A15519" t="str">
        <f>"894407"</f>
        <v>894407</v>
      </c>
      <c r="B15519" t="s">
        <v>14155</v>
      </c>
      <c r="C15519" t="s">
        <v>2529</v>
      </c>
      <c r="D15519" s="21" t="s">
        <v>34</v>
      </c>
      <c r="E15519" s="21" t="s">
        <v>71</v>
      </c>
      <c r="F15519">
        <v>2890010</v>
      </c>
      <c r="G15519" t="s">
        <v>3790</v>
      </c>
      <c r="H15519" s="21">
        <v>843.29</v>
      </c>
    </row>
    <row r="15520" spans="1:8" customFormat="1" x14ac:dyDescent="0.25">
      <c r="A15520" t="str">
        <f>"7514026"</f>
        <v>7514026</v>
      </c>
      <c r="B15520" t="s">
        <v>5297</v>
      </c>
      <c r="C15520" t="s">
        <v>246</v>
      </c>
      <c r="D15520" s="21" t="s">
        <v>34</v>
      </c>
      <c r="E15520" s="21" t="s">
        <v>254</v>
      </c>
      <c r="F15520">
        <v>8750007</v>
      </c>
      <c r="G15520" t="s">
        <v>775</v>
      </c>
      <c r="H15520" s="21">
        <v>843.29</v>
      </c>
    </row>
    <row r="15521" spans="1:8" customFormat="1" x14ac:dyDescent="0.25">
      <c r="A15521" t="str">
        <f>"8610105"</f>
        <v>8610105</v>
      </c>
      <c r="B15521" t="s">
        <v>27388</v>
      </c>
      <c r="C15521" t="s">
        <v>65</v>
      </c>
      <c r="D15521" s="21" t="s">
        <v>34</v>
      </c>
      <c r="E15521" s="21" t="s">
        <v>35</v>
      </c>
      <c r="F15521">
        <v>10860084</v>
      </c>
      <c r="G15521" t="s">
        <v>7471</v>
      </c>
      <c r="H15521" s="21">
        <v>843.29</v>
      </c>
    </row>
    <row r="15522" spans="1:8" customFormat="1" x14ac:dyDescent="0.25">
      <c r="A15522" t="str">
        <f>"2510314"</f>
        <v>2510314</v>
      </c>
      <c r="B15522" t="s">
        <v>13859</v>
      </c>
      <c r="C15522" t="s">
        <v>13860</v>
      </c>
      <c r="D15522" s="21" t="s">
        <v>34</v>
      </c>
      <c r="E15522" s="21" t="s">
        <v>71</v>
      </c>
      <c r="F15522">
        <v>2250125</v>
      </c>
      <c r="G15522" t="s">
        <v>26911</v>
      </c>
      <c r="H15522" s="21">
        <v>843.17</v>
      </c>
    </row>
    <row r="15523" spans="1:8" customFormat="1" x14ac:dyDescent="0.25">
      <c r="A15523" t="str">
        <f>"6310872"</f>
        <v>6310872</v>
      </c>
      <c r="B15523" t="s">
        <v>15461</v>
      </c>
      <c r="C15523" t="s">
        <v>209</v>
      </c>
      <c r="D15523" s="21" t="s">
        <v>34</v>
      </c>
      <c r="E15523" s="21" t="s">
        <v>254</v>
      </c>
      <c r="F15523">
        <v>1030165</v>
      </c>
      <c r="G15523" t="s">
        <v>2357</v>
      </c>
      <c r="H15523" s="21">
        <v>843.17</v>
      </c>
    </row>
    <row r="15524" spans="1:8" customFormat="1" x14ac:dyDescent="0.25">
      <c r="A15524" t="str">
        <f>"5321638"</f>
        <v>5321638</v>
      </c>
      <c r="B15524" t="s">
        <v>10645</v>
      </c>
      <c r="C15524" t="s">
        <v>288</v>
      </c>
      <c r="D15524" s="21" t="s">
        <v>34</v>
      </c>
      <c r="E15524" s="21" t="s">
        <v>35</v>
      </c>
      <c r="F15524">
        <v>12530146</v>
      </c>
      <c r="G15524" t="s">
        <v>10916</v>
      </c>
      <c r="H15524" s="21">
        <v>843.17</v>
      </c>
    </row>
    <row r="15525" spans="1:8" customFormat="1" x14ac:dyDescent="0.25">
      <c r="A15525" t="str">
        <f>"6923844"</f>
        <v>6923844</v>
      </c>
      <c r="B15525" t="s">
        <v>27389</v>
      </c>
      <c r="C15525" t="s">
        <v>60</v>
      </c>
      <c r="D15525" s="21" t="s">
        <v>34</v>
      </c>
      <c r="E15525" s="21" t="s">
        <v>35</v>
      </c>
      <c r="F15525">
        <v>1420148</v>
      </c>
      <c r="G15525" t="s">
        <v>10763</v>
      </c>
      <c r="H15525" s="21">
        <v>843.17</v>
      </c>
    </row>
    <row r="15526" spans="1:8" customFormat="1" x14ac:dyDescent="0.25">
      <c r="A15526" t="str">
        <f>"036500"</f>
        <v>036500</v>
      </c>
      <c r="B15526" t="s">
        <v>8800</v>
      </c>
      <c r="C15526" t="s">
        <v>262</v>
      </c>
      <c r="D15526" s="21" t="s">
        <v>34</v>
      </c>
      <c r="E15526" s="21" t="s">
        <v>71</v>
      </c>
      <c r="F15526">
        <v>1030042</v>
      </c>
      <c r="G15526" t="s">
        <v>7798</v>
      </c>
      <c r="H15526" s="21">
        <v>843.17</v>
      </c>
    </row>
    <row r="15527" spans="1:8" customFormat="1" x14ac:dyDescent="0.25">
      <c r="A15527" t="str">
        <f>"5613356"</f>
        <v>5613356</v>
      </c>
      <c r="B15527" t="s">
        <v>13202</v>
      </c>
      <c r="C15527" t="s">
        <v>415</v>
      </c>
      <c r="D15527" s="21" t="s">
        <v>34</v>
      </c>
      <c r="E15527" s="21" t="s">
        <v>1089</v>
      </c>
      <c r="F15527">
        <v>3560005</v>
      </c>
      <c r="G15527" t="s">
        <v>2101</v>
      </c>
      <c r="H15527" s="21">
        <v>843.17</v>
      </c>
    </row>
    <row r="15528" spans="1:8" customFormat="1" x14ac:dyDescent="0.25">
      <c r="A15528" t="str">
        <f>"27841"</f>
        <v>27841</v>
      </c>
      <c r="B15528" t="s">
        <v>11686</v>
      </c>
      <c r="C15528" t="s">
        <v>415</v>
      </c>
      <c r="D15528" s="21" t="s">
        <v>34</v>
      </c>
      <c r="E15528" s="21" t="s">
        <v>71</v>
      </c>
      <c r="F15528">
        <v>9270063</v>
      </c>
      <c r="G15528" t="s">
        <v>808</v>
      </c>
      <c r="H15528" s="21">
        <v>843.17</v>
      </c>
    </row>
    <row r="15529" spans="1:8" customFormat="1" x14ac:dyDescent="0.25">
      <c r="A15529" t="str">
        <f>"517748"</f>
        <v>517748</v>
      </c>
      <c r="B15529" t="s">
        <v>3528</v>
      </c>
      <c r="C15529" t="s">
        <v>171</v>
      </c>
      <c r="D15529" s="21" t="s">
        <v>34</v>
      </c>
      <c r="E15529" s="21" t="s">
        <v>71</v>
      </c>
      <c r="F15529">
        <v>6540108</v>
      </c>
      <c r="G15529" t="s">
        <v>4340</v>
      </c>
      <c r="H15529" s="21">
        <v>843.17</v>
      </c>
    </row>
    <row r="15530" spans="1:8" customFormat="1" x14ac:dyDescent="0.25">
      <c r="A15530" t="str">
        <f>"9427239"</f>
        <v>9427239</v>
      </c>
      <c r="B15530" t="s">
        <v>12686</v>
      </c>
      <c r="C15530" t="s">
        <v>130</v>
      </c>
      <c r="D15530" s="21" t="s">
        <v>34</v>
      </c>
      <c r="E15530" s="21" t="s">
        <v>254</v>
      </c>
      <c r="F15530">
        <v>11810028</v>
      </c>
      <c r="G15530" t="s">
        <v>5817</v>
      </c>
      <c r="H15530" s="21">
        <v>843.17</v>
      </c>
    </row>
    <row r="15531" spans="1:8" customFormat="1" x14ac:dyDescent="0.25">
      <c r="A15531" t="str">
        <f>"403033"</f>
        <v>403033</v>
      </c>
      <c r="B15531" t="s">
        <v>12850</v>
      </c>
      <c r="C15531" t="s">
        <v>4092</v>
      </c>
      <c r="D15531" s="21" t="s">
        <v>34</v>
      </c>
      <c r="E15531" s="21" t="s">
        <v>35</v>
      </c>
      <c r="F15531">
        <v>10400018</v>
      </c>
      <c r="G15531" t="s">
        <v>12851</v>
      </c>
      <c r="H15531" s="21">
        <v>843.17</v>
      </c>
    </row>
    <row r="15532" spans="1:8" customFormat="1" x14ac:dyDescent="0.25">
      <c r="A15532" t="str">
        <f>"74166"</f>
        <v>74166</v>
      </c>
      <c r="B15532" t="s">
        <v>10806</v>
      </c>
      <c r="C15532" t="s">
        <v>202</v>
      </c>
      <c r="D15532" s="21" t="s">
        <v>34</v>
      </c>
      <c r="E15532" s="21" t="s">
        <v>254</v>
      </c>
      <c r="F15532">
        <v>1380273</v>
      </c>
      <c r="G15532" t="s">
        <v>7554</v>
      </c>
      <c r="H15532" s="21">
        <v>843.17</v>
      </c>
    </row>
    <row r="15533" spans="1:8" customFormat="1" x14ac:dyDescent="0.25">
      <c r="A15533" t="str">
        <f>"638533"</f>
        <v>638533</v>
      </c>
      <c r="B15533" t="s">
        <v>13185</v>
      </c>
      <c r="C15533" t="s">
        <v>82</v>
      </c>
      <c r="D15533" s="21" t="s">
        <v>34</v>
      </c>
      <c r="E15533" s="21" t="s">
        <v>35</v>
      </c>
      <c r="F15533">
        <v>1630243</v>
      </c>
      <c r="G15533" t="s">
        <v>9163</v>
      </c>
      <c r="H15533" s="21">
        <v>843.17</v>
      </c>
    </row>
    <row r="15534" spans="1:8" customFormat="1" x14ac:dyDescent="0.25">
      <c r="A15534" t="str">
        <f>"7811958"</f>
        <v>7811958</v>
      </c>
      <c r="B15534" t="s">
        <v>8923</v>
      </c>
      <c r="C15534" t="s">
        <v>3648</v>
      </c>
      <c r="D15534" s="21" t="s">
        <v>34</v>
      </c>
      <c r="E15534" s="21" t="s">
        <v>1089</v>
      </c>
      <c r="F15534">
        <v>9270183</v>
      </c>
      <c r="G15534" t="s">
        <v>9801</v>
      </c>
      <c r="H15534" s="21">
        <v>843.17</v>
      </c>
    </row>
    <row r="15535" spans="1:8" customFormat="1" x14ac:dyDescent="0.25">
      <c r="A15535" t="str">
        <f>"1711847"</f>
        <v>1711847</v>
      </c>
      <c r="B15535" t="s">
        <v>11990</v>
      </c>
      <c r="C15535" t="s">
        <v>867</v>
      </c>
      <c r="D15535" s="21" t="s">
        <v>34</v>
      </c>
      <c r="E15535" s="21" t="s">
        <v>35</v>
      </c>
      <c r="F15535">
        <v>10170064</v>
      </c>
      <c r="G15535" t="s">
        <v>1900</v>
      </c>
      <c r="H15535" s="21">
        <v>843.17</v>
      </c>
    </row>
    <row r="15536" spans="1:8" customFormat="1" x14ac:dyDescent="0.25">
      <c r="A15536" t="str">
        <f>"5317073"</f>
        <v>5317073</v>
      </c>
      <c r="B15536" t="s">
        <v>3655</v>
      </c>
      <c r="C15536" t="s">
        <v>209</v>
      </c>
      <c r="D15536" s="21" t="s">
        <v>34</v>
      </c>
      <c r="E15536" s="21" t="s">
        <v>71</v>
      </c>
      <c r="F15536">
        <v>12530114</v>
      </c>
      <c r="G15536" t="s">
        <v>1342</v>
      </c>
      <c r="H15536" s="21">
        <v>842.92</v>
      </c>
    </row>
    <row r="15537" spans="1:8" customFormat="1" x14ac:dyDescent="0.25">
      <c r="A15537" t="str">
        <f>"9515680"</f>
        <v>9515680</v>
      </c>
      <c r="B15537" t="s">
        <v>12212</v>
      </c>
      <c r="C15537" t="s">
        <v>55</v>
      </c>
      <c r="D15537" s="21" t="s">
        <v>34</v>
      </c>
      <c r="E15537" s="21" t="s">
        <v>71</v>
      </c>
      <c r="F15537">
        <v>8780485</v>
      </c>
      <c r="G15537" t="s">
        <v>1279</v>
      </c>
      <c r="H15537" s="21">
        <v>842.92</v>
      </c>
    </row>
    <row r="15538" spans="1:8" customFormat="1" x14ac:dyDescent="0.25">
      <c r="A15538" t="str">
        <f>"2917566"</f>
        <v>2917566</v>
      </c>
      <c r="B15538" t="s">
        <v>2434</v>
      </c>
      <c r="C15538" t="s">
        <v>2365</v>
      </c>
      <c r="D15538" s="21" t="s">
        <v>34</v>
      </c>
      <c r="E15538" s="21" t="s">
        <v>71</v>
      </c>
      <c r="F15538">
        <v>3290029</v>
      </c>
      <c r="G15538" t="s">
        <v>11486</v>
      </c>
      <c r="H15538" s="21">
        <v>842.92</v>
      </c>
    </row>
    <row r="15539" spans="1:8" customFormat="1" x14ac:dyDescent="0.25">
      <c r="A15539" t="str">
        <f>"447683"</f>
        <v>447683</v>
      </c>
      <c r="B15539" t="s">
        <v>3916</v>
      </c>
      <c r="C15539" t="s">
        <v>267</v>
      </c>
      <c r="D15539" s="21" t="s">
        <v>34</v>
      </c>
      <c r="E15539" s="21" t="s">
        <v>1089</v>
      </c>
      <c r="F15539">
        <v>12440195</v>
      </c>
      <c r="G15539" t="s">
        <v>3117</v>
      </c>
      <c r="H15539" s="21">
        <v>842.92</v>
      </c>
    </row>
    <row r="15540" spans="1:8" customFormat="1" x14ac:dyDescent="0.25">
      <c r="A15540" t="str">
        <f>"9221720"</f>
        <v>9221720</v>
      </c>
      <c r="B15540" t="s">
        <v>13966</v>
      </c>
      <c r="C15540" t="s">
        <v>547</v>
      </c>
      <c r="D15540" s="21" t="s">
        <v>34</v>
      </c>
      <c r="E15540" s="21" t="s">
        <v>254</v>
      </c>
      <c r="F15540">
        <v>8951411</v>
      </c>
      <c r="G15540" t="s">
        <v>416</v>
      </c>
      <c r="H15540" s="21">
        <v>842.92</v>
      </c>
    </row>
    <row r="15541" spans="1:8" customFormat="1" x14ac:dyDescent="0.25">
      <c r="A15541" t="str">
        <f>"9D2315"</f>
        <v>9D2315</v>
      </c>
      <c r="B15541" t="s">
        <v>824</v>
      </c>
      <c r="C15541" t="s">
        <v>2904</v>
      </c>
      <c r="D15541" s="21" t="s">
        <v>34</v>
      </c>
      <c r="E15541" s="21" t="s">
        <v>254</v>
      </c>
      <c r="F15541" t="s">
        <v>1477</v>
      </c>
      <c r="G15541" t="s">
        <v>1478</v>
      </c>
      <c r="H15541" s="21">
        <v>842.92</v>
      </c>
    </row>
    <row r="15542" spans="1:8" customFormat="1" x14ac:dyDescent="0.25">
      <c r="A15542" t="str">
        <f>"514590"</f>
        <v>514590</v>
      </c>
      <c r="B15542" t="s">
        <v>7008</v>
      </c>
      <c r="C15542" t="s">
        <v>40</v>
      </c>
      <c r="D15542" s="21" t="s">
        <v>34</v>
      </c>
      <c r="E15542" s="21" t="s">
        <v>71</v>
      </c>
      <c r="F15542">
        <v>6510082</v>
      </c>
      <c r="G15542" t="s">
        <v>11761</v>
      </c>
      <c r="H15542" s="21">
        <v>842.79</v>
      </c>
    </row>
    <row r="15543" spans="1:8" customFormat="1" x14ac:dyDescent="0.25">
      <c r="A15543" t="str">
        <f>"2591"</f>
        <v>2591</v>
      </c>
      <c r="B15543" t="s">
        <v>13343</v>
      </c>
      <c r="C15543" t="s">
        <v>40</v>
      </c>
      <c r="D15543" s="21" t="s">
        <v>34</v>
      </c>
      <c r="E15543" s="21" t="s">
        <v>71</v>
      </c>
      <c r="F15543">
        <v>2250154</v>
      </c>
      <c r="G15543" t="s">
        <v>1973</v>
      </c>
      <c r="H15543" s="21">
        <v>842.79</v>
      </c>
    </row>
    <row r="15544" spans="1:8" customFormat="1" x14ac:dyDescent="0.25">
      <c r="A15544" t="str">
        <f>"5917601"</f>
        <v>5917601</v>
      </c>
      <c r="B15544" t="s">
        <v>13286</v>
      </c>
      <c r="C15544" t="s">
        <v>233</v>
      </c>
      <c r="D15544" s="21" t="s">
        <v>34</v>
      </c>
      <c r="E15544" s="21" t="s">
        <v>1089</v>
      </c>
      <c r="F15544">
        <v>7590078</v>
      </c>
      <c r="G15544" t="s">
        <v>13287</v>
      </c>
      <c r="H15544" s="21">
        <v>842.67</v>
      </c>
    </row>
    <row r="15545" spans="1:8" customFormat="1" x14ac:dyDescent="0.25">
      <c r="A15545" t="str">
        <f>"641953"</f>
        <v>641953</v>
      </c>
      <c r="B15545" t="s">
        <v>13444</v>
      </c>
      <c r="C15545" t="s">
        <v>428</v>
      </c>
      <c r="D15545" s="21" t="s">
        <v>34</v>
      </c>
      <c r="E15545" s="21" t="s">
        <v>35</v>
      </c>
      <c r="F15545">
        <v>10640019</v>
      </c>
      <c r="G15545" t="s">
        <v>3123</v>
      </c>
      <c r="H15545" s="21">
        <v>842.67</v>
      </c>
    </row>
    <row r="15546" spans="1:8" customFormat="1" x14ac:dyDescent="0.25">
      <c r="A15546" t="str">
        <f>"4432111"</f>
        <v>4432111</v>
      </c>
      <c r="B15546" t="s">
        <v>12663</v>
      </c>
      <c r="C15546" t="s">
        <v>1597</v>
      </c>
      <c r="D15546" s="21" t="s">
        <v>34</v>
      </c>
      <c r="E15546" s="21" t="s">
        <v>71</v>
      </c>
      <c r="F15546">
        <v>12440167</v>
      </c>
      <c r="G15546" t="s">
        <v>27355</v>
      </c>
      <c r="H15546" s="21">
        <v>842.67</v>
      </c>
    </row>
    <row r="15547" spans="1:8" customFormat="1" x14ac:dyDescent="0.25">
      <c r="A15547" t="str">
        <f>"621391"</f>
        <v>621391</v>
      </c>
      <c r="B15547" t="s">
        <v>12559</v>
      </c>
      <c r="C15547" t="s">
        <v>204</v>
      </c>
      <c r="D15547" s="21" t="s">
        <v>34</v>
      </c>
      <c r="E15547" s="21" t="s">
        <v>71</v>
      </c>
      <c r="F15547">
        <v>7620130</v>
      </c>
      <c r="G15547" t="s">
        <v>4386</v>
      </c>
      <c r="H15547" s="21">
        <v>842.67</v>
      </c>
    </row>
    <row r="15548" spans="1:8" customFormat="1" x14ac:dyDescent="0.25">
      <c r="A15548" t="str">
        <f>"508736"</f>
        <v>508736</v>
      </c>
      <c r="B15548" t="s">
        <v>146</v>
      </c>
      <c r="C15548" t="s">
        <v>60</v>
      </c>
      <c r="D15548" s="21" t="s">
        <v>34</v>
      </c>
      <c r="E15548" s="21" t="s">
        <v>35</v>
      </c>
      <c r="F15548">
        <v>12490024</v>
      </c>
      <c r="G15548" t="s">
        <v>9869</v>
      </c>
      <c r="H15548" s="21">
        <v>842.67</v>
      </c>
    </row>
    <row r="15549" spans="1:8" customFormat="1" x14ac:dyDescent="0.25">
      <c r="A15549" t="str">
        <f>"8316566"</f>
        <v>8316566</v>
      </c>
      <c r="B15549" t="s">
        <v>27390</v>
      </c>
      <c r="C15549" t="s">
        <v>601</v>
      </c>
      <c r="D15549" s="21" t="s">
        <v>34</v>
      </c>
      <c r="E15549" s="21" t="s">
        <v>254</v>
      </c>
      <c r="F15549">
        <v>13830067</v>
      </c>
      <c r="G15549" t="s">
        <v>13428</v>
      </c>
      <c r="H15549" s="21">
        <v>842.67</v>
      </c>
    </row>
    <row r="15550" spans="1:8" customFormat="1" x14ac:dyDescent="0.25">
      <c r="A15550" t="str">
        <f>"7642406"</f>
        <v>7642406</v>
      </c>
      <c r="B15550" t="s">
        <v>27391</v>
      </c>
      <c r="C15550" t="s">
        <v>1605</v>
      </c>
      <c r="D15550" s="21" t="s">
        <v>34</v>
      </c>
      <c r="E15550" s="21" t="s">
        <v>71</v>
      </c>
      <c r="F15550">
        <v>9760291</v>
      </c>
      <c r="G15550" t="s">
        <v>26611</v>
      </c>
      <c r="H15550" s="21">
        <v>842.67</v>
      </c>
    </row>
    <row r="15551" spans="1:8" customFormat="1" x14ac:dyDescent="0.25">
      <c r="A15551" t="str">
        <f>"2929353"</f>
        <v>2929353</v>
      </c>
      <c r="B15551" t="s">
        <v>13676</v>
      </c>
      <c r="C15551" t="s">
        <v>2322</v>
      </c>
      <c r="D15551" s="21" t="s">
        <v>34</v>
      </c>
      <c r="E15551" s="21" t="s">
        <v>35</v>
      </c>
      <c r="F15551">
        <v>3290237</v>
      </c>
      <c r="G15551" t="s">
        <v>8731</v>
      </c>
      <c r="H15551" s="21">
        <v>842.67</v>
      </c>
    </row>
    <row r="15552" spans="1:8" customFormat="1" x14ac:dyDescent="0.25">
      <c r="A15552" t="str">
        <f>"4110463"</f>
        <v>4110463</v>
      </c>
      <c r="B15552" t="s">
        <v>13755</v>
      </c>
      <c r="C15552" t="s">
        <v>2232</v>
      </c>
      <c r="D15552" s="21" t="s">
        <v>34</v>
      </c>
      <c r="E15552" s="21" t="s">
        <v>254</v>
      </c>
      <c r="F15552">
        <v>10640001</v>
      </c>
      <c r="G15552" t="s">
        <v>2419</v>
      </c>
      <c r="H15552" s="21">
        <v>842.67</v>
      </c>
    </row>
    <row r="15553" spans="1:8" customFormat="1" x14ac:dyDescent="0.25">
      <c r="A15553" t="str">
        <f>"866430"</f>
        <v>866430</v>
      </c>
      <c r="B15553" t="s">
        <v>12775</v>
      </c>
      <c r="C15553" t="s">
        <v>171</v>
      </c>
      <c r="D15553" s="21" t="s">
        <v>34</v>
      </c>
      <c r="E15553" s="21" t="s">
        <v>254</v>
      </c>
      <c r="F15553">
        <v>12850026</v>
      </c>
      <c r="G15553" t="s">
        <v>1400</v>
      </c>
      <c r="H15553" s="21">
        <v>842.67</v>
      </c>
    </row>
    <row r="15554" spans="1:8" customFormat="1" x14ac:dyDescent="0.25">
      <c r="A15554" t="str">
        <f>"431724"</f>
        <v>431724</v>
      </c>
      <c r="B15554" t="s">
        <v>12650</v>
      </c>
      <c r="C15554" t="s">
        <v>817</v>
      </c>
      <c r="D15554" s="21" t="s">
        <v>34</v>
      </c>
      <c r="E15554" s="21" t="s">
        <v>254</v>
      </c>
      <c r="F15554">
        <v>1420013</v>
      </c>
      <c r="G15554" t="s">
        <v>2013</v>
      </c>
      <c r="H15554" s="21">
        <v>842.67</v>
      </c>
    </row>
    <row r="15555" spans="1:8" customFormat="1" x14ac:dyDescent="0.25">
      <c r="A15555" t="str">
        <f>"7827514"</f>
        <v>7827514</v>
      </c>
      <c r="B15555" t="s">
        <v>15101</v>
      </c>
      <c r="C15555" t="s">
        <v>114</v>
      </c>
      <c r="D15555" s="21" t="s">
        <v>34</v>
      </c>
      <c r="E15555" s="21" t="s">
        <v>254</v>
      </c>
      <c r="F15555">
        <v>12720144</v>
      </c>
      <c r="G15555" t="s">
        <v>15102</v>
      </c>
      <c r="H15555" s="21">
        <v>842.67</v>
      </c>
    </row>
    <row r="15556" spans="1:8" customFormat="1" x14ac:dyDescent="0.25">
      <c r="A15556" t="str">
        <f>"59804"</f>
        <v>59804</v>
      </c>
      <c r="B15556" t="s">
        <v>13622</v>
      </c>
      <c r="C15556" t="s">
        <v>109</v>
      </c>
      <c r="D15556" s="21" t="s">
        <v>34</v>
      </c>
      <c r="E15556" s="21" t="s">
        <v>35</v>
      </c>
      <c r="F15556">
        <v>7590017</v>
      </c>
      <c r="G15556" t="s">
        <v>1316</v>
      </c>
      <c r="H15556" s="21">
        <v>842.67</v>
      </c>
    </row>
    <row r="15557" spans="1:8" customFormat="1" x14ac:dyDescent="0.25">
      <c r="A15557" t="str">
        <f>"199343"</f>
        <v>199343</v>
      </c>
      <c r="B15557" t="s">
        <v>2403</v>
      </c>
      <c r="C15557" t="s">
        <v>33</v>
      </c>
      <c r="D15557" s="21" t="s">
        <v>34</v>
      </c>
      <c r="E15557" s="21" t="s">
        <v>71</v>
      </c>
      <c r="F15557">
        <v>10190108</v>
      </c>
      <c r="G15557" t="s">
        <v>7344</v>
      </c>
      <c r="H15557" s="21">
        <v>842.67</v>
      </c>
    </row>
    <row r="15558" spans="1:8" customFormat="1" x14ac:dyDescent="0.25">
      <c r="A15558" t="str">
        <f>"2914539"</f>
        <v>2914539</v>
      </c>
      <c r="B15558" t="s">
        <v>146</v>
      </c>
      <c r="C15558" t="s">
        <v>2907</v>
      </c>
      <c r="D15558" s="21" t="s">
        <v>34</v>
      </c>
      <c r="E15558" s="21" t="s">
        <v>71</v>
      </c>
      <c r="F15558">
        <v>3290263</v>
      </c>
      <c r="G15558" t="s">
        <v>4108</v>
      </c>
      <c r="H15558" s="21">
        <v>842.67</v>
      </c>
    </row>
    <row r="15559" spans="1:8" customFormat="1" x14ac:dyDescent="0.25">
      <c r="A15559" t="str">
        <f>"072538"</f>
        <v>072538</v>
      </c>
      <c r="B15559" t="s">
        <v>146</v>
      </c>
      <c r="C15559" t="s">
        <v>109</v>
      </c>
      <c r="D15559" s="21" t="s">
        <v>34</v>
      </c>
      <c r="E15559" s="21" t="s">
        <v>71</v>
      </c>
      <c r="F15559">
        <v>1260024</v>
      </c>
      <c r="G15559" t="s">
        <v>2685</v>
      </c>
      <c r="H15559" s="21">
        <v>842.67</v>
      </c>
    </row>
    <row r="15560" spans="1:8" customFormat="1" x14ac:dyDescent="0.25">
      <c r="A15560" t="str">
        <f>"5916515"</f>
        <v>5916515</v>
      </c>
      <c r="B15560" t="s">
        <v>14663</v>
      </c>
      <c r="C15560" t="s">
        <v>249</v>
      </c>
      <c r="D15560" s="21" t="s">
        <v>34</v>
      </c>
      <c r="E15560" s="21" t="s">
        <v>35</v>
      </c>
      <c r="F15560">
        <v>7590130</v>
      </c>
      <c r="G15560" t="s">
        <v>1311</v>
      </c>
      <c r="H15560" s="21">
        <v>842.67</v>
      </c>
    </row>
    <row r="15561" spans="1:8" customFormat="1" x14ac:dyDescent="0.25">
      <c r="A15561" t="str">
        <f>"2511292"</f>
        <v>2511292</v>
      </c>
      <c r="B15561" t="s">
        <v>13339</v>
      </c>
      <c r="C15561" t="s">
        <v>2305</v>
      </c>
      <c r="D15561" s="21" t="s">
        <v>34</v>
      </c>
      <c r="E15561" s="21" t="s">
        <v>6185</v>
      </c>
      <c r="F15561">
        <v>2250002</v>
      </c>
      <c r="G15561" t="s">
        <v>2745</v>
      </c>
      <c r="H15561" s="21">
        <v>842.67</v>
      </c>
    </row>
    <row r="15562" spans="1:8" customFormat="1" x14ac:dyDescent="0.25">
      <c r="A15562" t="str">
        <f>"8524837"</f>
        <v>8524837</v>
      </c>
      <c r="B15562" t="s">
        <v>17500</v>
      </c>
      <c r="C15562" t="s">
        <v>2072</v>
      </c>
      <c r="D15562" s="21" t="s">
        <v>34</v>
      </c>
      <c r="E15562" s="21" t="s">
        <v>35</v>
      </c>
      <c r="F15562">
        <v>12851018</v>
      </c>
      <c r="G15562" t="s">
        <v>8085</v>
      </c>
      <c r="H15562" s="21">
        <v>842.67</v>
      </c>
    </row>
    <row r="15563" spans="1:8" customFormat="1" x14ac:dyDescent="0.25">
      <c r="A15563" t="str">
        <f>"3325919"</f>
        <v>3325919</v>
      </c>
      <c r="B15563" t="s">
        <v>3294</v>
      </c>
      <c r="C15563" t="s">
        <v>119</v>
      </c>
      <c r="D15563" s="21" t="s">
        <v>34</v>
      </c>
      <c r="E15563" s="21" t="s">
        <v>35</v>
      </c>
      <c r="F15563">
        <v>10330036</v>
      </c>
      <c r="G15563" t="s">
        <v>6209</v>
      </c>
      <c r="H15563" s="21">
        <v>842.67</v>
      </c>
    </row>
    <row r="15564" spans="1:8" customFormat="1" x14ac:dyDescent="0.25">
      <c r="A15564" t="str">
        <f>"551386"</f>
        <v>551386</v>
      </c>
      <c r="B15564" t="s">
        <v>2962</v>
      </c>
      <c r="C15564" t="s">
        <v>1142</v>
      </c>
      <c r="D15564" s="21" t="s">
        <v>34</v>
      </c>
      <c r="E15564" s="21" t="s">
        <v>71</v>
      </c>
      <c r="F15564">
        <v>6550032</v>
      </c>
      <c r="G15564" t="s">
        <v>8081</v>
      </c>
      <c r="H15564" s="21">
        <v>842.67</v>
      </c>
    </row>
    <row r="15565" spans="1:8" customFormat="1" x14ac:dyDescent="0.25">
      <c r="A15565" t="str">
        <f>"6022250"</f>
        <v>6022250</v>
      </c>
      <c r="B15565" t="s">
        <v>14727</v>
      </c>
      <c r="C15565" t="s">
        <v>825</v>
      </c>
      <c r="D15565" s="21" t="s">
        <v>34</v>
      </c>
      <c r="E15565" s="21" t="s">
        <v>35</v>
      </c>
      <c r="F15565">
        <v>7600069</v>
      </c>
      <c r="G15565" t="s">
        <v>195</v>
      </c>
      <c r="H15565" s="21">
        <v>842.67</v>
      </c>
    </row>
    <row r="15566" spans="1:8" customFormat="1" x14ac:dyDescent="0.25">
      <c r="A15566" t="str">
        <f>"586346"</f>
        <v>586346</v>
      </c>
      <c r="B15566" t="s">
        <v>13898</v>
      </c>
      <c r="C15566" t="s">
        <v>204</v>
      </c>
      <c r="D15566" s="21" t="s">
        <v>34</v>
      </c>
      <c r="E15566" s="21" t="s">
        <v>71</v>
      </c>
      <c r="F15566">
        <v>2580035</v>
      </c>
      <c r="G15566" t="s">
        <v>5991</v>
      </c>
      <c r="H15566" s="21">
        <v>842.67</v>
      </c>
    </row>
    <row r="15567" spans="1:8" customFormat="1" x14ac:dyDescent="0.25">
      <c r="A15567" t="str">
        <f>"632542"</f>
        <v>632542</v>
      </c>
      <c r="B15567" t="s">
        <v>13544</v>
      </c>
      <c r="C15567" t="s">
        <v>926</v>
      </c>
      <c r="D15567" s="21" t="s">
        <v>34</v>
      </c>
      <c r="E15567" s="21" t="s">
        <v>71</v>
      </c>
      <c r="F15567">
        <v>1630310</v>
      </c>
      <c r="G15567" t="s">
        <v>6314</v>
      </c>
      <c r="H15567" s="21">
        <v>842.67</v>
      </c>
    </row>
    <row r="15568" spans="1:8" customFormat="1" x14ac:dyDescent="0.25">
      <c r="A15568" t="str">
        <f>"506508"</f>
        <v>506508</v>
      </c>
      <c r="B15568" t="s">
        <v>13751</v>
      </c>
      <c r="C15568" t="s">
        <v>209</v>
      </c>
      <c r="D15568" s="21" t="s">
        <v>34</v>
      </c>
      <c r="E15568" s="21" t="s">
        <v>254</v>
      </c>
      <c r="F15568">
        <v>9500013</v>
      </c>
      <c r="G15568" t="s">
        <v>992</v>
      </c>
      <c r="H15568" s="21">
        <v>842.54</v>
      </c>
    </row>
    <row r="15569" spans="1:8" customFormat="1" x14ac:dyDescent="0.25">
      <c r="A15569" t="str">
        <f>"902172"</f>
        <v>902172</v>
      </c>
      <c r="B15569" t="s">
        <v>13215</v>
      </c>
      <c r="C15569" t="s">
        <v>510</v>
      </c>
      <c r="D15569" s="21" t="s">
        <v>34</v>
      </c>
      <c r="E15569" s="21" t="s">
        <v>254</v>
      </c>
      <c r="F15569">
        <v>2900039</v>
      </c>
      <c r="G15569" t="s">
        <v>26615</v>
      </c>
      <c r="H15569" s="21">
        <v>842.42</v>
      </c>
    </row>
    <row r="15570" spans="1:8" customFormat="1" x14ac:dyDescent="0.25">
      <c r="A15570" t="str">
        <f>"174423"</f>
        <v>174423</v>
      </c>
      <c r="B15570" t="s">
        <v>8297</v>
      </c>
      <c r="C15570" t="s">
        <v>249</v>
      </c>
      <c r="D15570" s="21" t="s">
        <v>34</v>
      </c>
      <c r="E15570" s="21" t="s">
        <v>254</v>
      </c>
      <c r="F15570">
        <v>10170073</v>
      </c>
      <c r="G15570" t="s">
        <v>9689</v>
      </c>
      <c r="H15570" s="21">
        <v>842.29</v>
      </c>
    </row>
    <row r="15571" spans="1:8" customFormat="1" x14ac:dyDescent="0.25">
      <c r="A15571" t="str">
        <f>"604329"</f>
        <v>604329</v>
      </c>
      <c r="B15571" t="s">
        <v>17295</v>
      </c>
      <c r="C15571" t="s">
        <v>60</v>
      </c>
      <c r="D15571" s="21" t="s">
        <v>34</v>
      </c>
      <c r="E15571" s="21" t="s">
        <v>35</v>
      </c>
      <c r="F15571">
        <v>4280529</v>
      </c>
      <c r="G15571" t="s">
        <v>2970</v>
      </c>
      <c r="H15571" s="21">
        <v>842.29</v>
      </c>
    </row>
    <row r="15572" spans="1:8" customFormat="1" x14ac:dyDescent="0.25">
      <c r="A15572" t="str">
        <f>"859413"</f>
        <v>859413</v>
      </c>
      <c r="B15572" t="s">
        <v>7873</v>
      </c>
      <c r="C15572" t="s">
        <v>33</v>
      </c>
      <c r="D15572" s="21" t="s">
        <v>34</v>
      </c>
      <c r="E15572" s="21" t="s">
        <v>71</v>
      </c>
      <c r="F15572">
        <v>12850153</v>
      </c>
      <c r="G15572" t="s">
        <v>5794</v>
      </c>
      <c r="H15572" s="21">
        <v>842.17</v>
      </c>
    </row>
    <row r="15573" spans="1:8" customFormat="1" x14ac:dyDescent="0.25">
      <c r="A15573" t="str">
        <f>"2511295"</f>
        <v>2511295</v>
      </c>
      <c r="B15573" t="s">
        <v>13964</v>
      </c>
      <c r="C15573" t="s">
        <v>2546</v>
      </c>
      <c r="D15573" s="21" t="s">
        <v>34</v>
      </c>
      <c r="E15573" s="21" t="s">
        <v>1089</v>
      </c>
      <c r="F15573">
        <v>2900041</v>
      </c>
      <c r="G15573" t="s">
        <v>4635</v>
      </c>
      <c r="H15573" s="21">
        <v>842.17</v>
      </c>
    </row>
    <row r="15574" spans="1:8" customFormat="1" x14ac:dyDescent="0.25">
      <c r="A15574" t="str">
        <f>"3832305"</f>
        <v>3832305</v>
      </c>
      <c r="B15574" t="s">
        <v>1802</v>
      </c>
      <c r="C15574" t="s">
        <v>528</v>
      </c>
      <c r="D15574" s="21" t="s">
        <v>34</v>
      </c>
      <c r="E15574" s="21" t="s">
        <v>35</v>
      </c>
      <c r="F15574">
        <v>1380028</v>
      </c>
      <c r="G15574" t="s">
        <v>374</v>
      </c>
      <c r="H15574" s="21">
        <v>842.17</v>
      </c>
    </row>
    <row r="15575" spans="1:8" customFormat="1" x14ac:dyDescent="0.25">
      <c r="A15575" t="str">
        <f>"6218477"</f>
        <v>6218477</v>
      </c>
      <c r="B15575" t="s">
        <v>13850</v>
      </c>
      <c r="C15575" t="s">
        <v>130</v>
      </c>
      <c r="D15575" s="21" t="s">
        <v>34</v>
      </c>
      <c r="E15575" s="21" t="s">
        <v>35</v>
      </c>
      <c r="F15575">
        <v>7620040</v>
      </c>
      <c r="G15575" t="s">
        <v>1319</v>
      </c>
      <c r="H15575" s="21">
        <v>842.17</v>
      </c>
    </row>
    <row r="15576" spans="1:8" customFormat="1" x14ac:dyDescent="0.25">
      <c r="A15576" t="str">
        <f>"30255"</f>
        <v>30255</v>
      </c>
      <c r="B15576" t="s">
        <v>697</v>
      </c>
      <c r="C15576" t="s">
        <v>233</v>
      </c>
      <c r="D15576" s="21" t="s">
        <v>34</v>
      </c>
      <c r="E15576" s="21" t="s">
        <v>254</v>
      </c>
      <c r="F15576">
        <v>11300014</v>
      </c>
      <c r="G15576" t="s">
        <v>2345</v>
      </c>
      <c r="H15576" s="21">
        <v>842.17</v>
      </c>
    </row>
    <row r="15577" spans="1:8" customFormat="1" x14ac:dyDescent="0.25">
      <c r="A15577" t="str">
        <f>"7624715"</f>
        <v>7624715</v>
      </c>
      <c r="B15577" t="s">
        <v>27392</v>
      </c>
      <c r="C15577" t="s">
        <v>58</v>
      </c>
      <c r="D15577" s="21" t="s">
        <v>34</v>
      </c>
      <c r="E15577" s="21" t="s">
        <v>35</v>
      </c>
      <c r="F15577">
        <v>9760218</v>
      </c>
      <c r="G15577" t="s">
        <v>26836</v>
      </c>
      <c r="H15577" s="21">
        <v>842.17</v>
      </c>
    </row>
    <row r="15578" spans="1:8" customFormat="1" x14ac:dyDescent="0.25">
      <c r="A15578" t="str">
        <f>"6011915"</f>
        <v>6011915</v>
      </c>
      <c r="B15578" t="s">
        <v>1911</v>
      </c>
      <c r="C15578" t="s">
        <v>469</v>
      </c>
      <c r="D15578" s="21" t="s">
        <v>34</v>
      </c>
      <c r="E15578" s="21" t="s">
        <v>71</v>
      </c>
      <c r="F15578">
        <v>7600134</v>
      </c>
      <c r="G15578" t="s">
        <v>8819</v>
      </c>
      <c r="H15578" s="21">
        <v>842.17</v>
      </c>
    </row>
    <row r="15579" spans="1:8" customFormat="1" x14ac:dyDescent="0.25">
      <c r="A15579" t="str">
        <f>"4426884"</f>
        <v>4426884</v>
      </c>
      <c r="B15579" t="s">
        <v>650</v>
      </c>
      <c r="C15579" t="s">
        <v>33</v>
      </c>
      <c r="D15579" s="21" t="s">
        <v>34</v>
      </c>
      <c r="E15579" s="21" t="s">
        <v>71</v>
      </c>
      <c r="F15579">
        <v>12440014</v>
      </c>
      <c r="G15579" t="s">
        <v>6767</v>
      </c>
      <c r="H15579" s="21">
        <v>842.17</v>
      </c>
    </row>
    <row r="15580" spans="1:8" customFormat="1" x14ac:dyDescent="0.25">
      <c r="A15580" t="str">
        <f>"3716703"</f>
        <v>3716703</v>
      </c>
      <c r="B15580" t="s">
        <v>12451</v>
      </c>
      <c r="C15580" t="s">
        <v>55</v>
      </c>
      <c r="D15580" s="21" t="s">
        <v>34</v>
      </c>
      <c r="E15580" s="21" t="s">
        <v>71</v>
      </c>
      <c r="F15580">
        <v>4370284</v>
      </c>
      <c r="G15580" t="s">
        <v>3584</v>
      </c>
      <c r="H15580" s="21">
        <v>842.17</v>
      </c>
    </row>
    <row r="15581" spans="1:8" customFormat="1" x14ac:dyDescent="0.25">
      <c r="A15581" t="str">
        <f>"2932491"</f>
        <v>2932491</v>
      </c>
      <c r="B15581" t="s">
        <v>6933</v>
      </c>
      <c r="C15581" t="s">
        <v>263</v>
      </c>
      <c r="D15581" s="21" t="s">
        <v>34</v>
      </c>
      <c r="E15581" s="21" t="s">
        <v>35</v>
      </c>
      <c r="F15581">
        <v>3290283</v>
      </c>
      <c r="G15581" t="s">
        <v>12108</v>
      </c>
      <c r="H15581" s="21">
        <v>842.17</v>
      </c>
    </row>
    <row r="15582" spans="1:8" customFormat="1" x14ac:dyDescent="0.25">
      <c r="A15582" t="str">
        <f>"042937"</f>
        <v>042937</v>
      </c>
      <c r="B15582" t="s">
        <v>8727</v>
      </c>
      <c r="C15582" t="s">
        <v>484</v>
      </c>
      <c r="D15582" s="21" t="s">
        <v>34</v>
      </c>
      <c r="E15582" s="21" t="s">
        <v>35</v>
      </c>
      <c r="F15582">
        <v>2700030</v>
      </c>
      <c r="G15582" t="s">
        <v>9981</v>
      </c>
      <c r="H15582" s="21">
        <v>842.17</v>
      </c>
    </row>
    <row r="15583" spans="1:8" customFormat="1" x14ac:dyDescent="0.25">
      <c r="A15583" t="str">
        <f>"7216899"</f>
        <v>7216899</v>
      </c>
      <c r="B15583" t="s">
        <v>8922</v>
      </c>
      <c r="C15583" t="s">
        <v>121</v>
      </c>
      <c r="D15583" s="21" t="s">
        <v>34</v>
      </c>
      <c r="E15583" s="21" t="s">
        <v>35</v>
      </c>
      <c r="F15583">
        <v>12720050</v>
      </c>
      <c r="G15583" t="s">
        <v>5522</v>
      </c>
      <c r="H15583" s="21">
        <v>842.17</v>
      </c>
    </row>
    <row r="15584" spans="1:8" customFormat="1" x14ac:dyDescent="0.25">
      <c r="A15584" t="str">
        <f>"77775"</f>
        <v>77775</v>
      </c>
      <c r="B15584" t="s">
        <v>8045</v>
      </c>
      <c r="C15584" t="s">
        <v>1914</v>
      </c>
      <c r="D15584" s="21" t="s">
        <v>34</v>
      </c>
      <c r="E15584" s="21" t="s">
        <v>254</v>
      </c>
      <c r="F15584">
        <v>8770665</v>
      </c>
      <c r="G15584" t="s">
        <v>903</v>
      </c>
      <c r="H15584" s="21">
        <v>842.17</v>
      </c>
    </row>
    <row r="15585" spans="1:8" customFormat="1" x14ac:dyDescent="0.25">
      <c r="A15585" t="str">
        <f>"2918709"</f>
        <v>2918709</v>
      </c>
      <c r="B15585" t="s">
        <v>11556</v>
      </c>
      <c r="C15585" t="s">
        <v>2730</v>
      </c>
      <c r="D15585" s="21" t="s">
        <v>34</v>
      </c>
      <c r="E15585" s="21" t="s">
        <v>71</v>
      </c>
      <c r="F15585">
        <v>3290023</v>
      </c>
      <c r="G15585" t="s">
        <v>3883</v>
      </c>
      <c r="H15585" s="21">
        <v>842.17</v>
      </c>
    </row>
    <row r="15586" spans="1:8" customFormat="1" x14ac:dyDescent="0.25">
      <c r="A15586" t="str">
        <f>"013259"</f>
        <v>013259</v>
      </c>
      <c r="B15586" t="s">
        <v>12358</v>
      </c>
      <c r="C15586" t="s">
        <v>40</v>
      </c>
      <c r="D15586" s="21" t="s">
        <v>34</v>
      </c>
      <c r="E15586" s="21" t="s">
        <v>71</v>
      </c>
      <c r="F15586">
        <v>1010020</v>
      </c>
      <c r="G15586" t="s">
        <v>6121</v>
      </c>
      <c r="H15586" s="21">
        <v>842.17</v>
      </c>
    </row>
    <row r="15587" spans="1:8" customFormat="1" x14ac:dyDescent="0.25">
      <c r="A15587" t="str">
        <f>"3328460"</f>
        <v>3328460</v>
      </c>
      <c r="B15587" t="s">
        <v>16777</v>
      </c>
      <c r="C15587" t="s">
        <v>576</v>
      </c>
      <c r="D15587" s="21" t="s">
        <v>34</v>
      </c>
      <c r="E15587" s="21" t="s">
        <v>35</v>
      </c>
      <c r="F15587">
        <v>10330046</v>
      </c>
      <c r="G15587" t="s">
        <v>1787</v>
      </c>
      <c r="H15587" s="21">
        <v>842.17</v>
      </c>
    </row>
    <row r="15588" spans="1:8" customFormat="1" x14ac:dyDescent="0.25">
      <c r="A15588" t="str">
        <f>"725114"</f>
        <v>725114</v>
      </c>
      <c r="B15588" t="s">
        <v>13443</v>
      </c>
      <c r="C15588" t="s">
        <v>62</v>
      </c>
      <c r="D15588" s="21" t="s">
        <v>34</v>
      </c>
      <c r="E15588" s="21" t="s">
        <v>35</v>
      </c>
      <c r="F15588">
        <v>8780338</v>
      </c>
      <c r="G15588" t="s">
        <v>4145</v>
      </c>
      <c r="H15588" s="21">
        <v>841.92</v>
      </c>
    </row>
    <row r="15589" spans="1:8" customFormat="1" x14ac:dyDescent="0.25">
      <c r="A15589" t="str">
        <f>"9418433"</f>
        <v>9418433</v>
      </c>
      <c r="B15589" t="s">
        <v>6659</v>
      </c>
      <c r="C15589" t="s">
        <v>65</v>
      </c>
      <c r="D15589" s="21" t="s">
        <v>34</v>
      </c>
      <c r="E15589" s="21" t="s">
        <v>35</v>
      </c>
      <c r="F15589">
        <v>8940926</v>
      </c>
      <c r="G15589" t="s">
        <v>4065</v>
      </c>
      <c r="H15589" s="21">
        <v>841.92</v>
      </c>
    </row>
    <row r="15590" spans="1:8" customFormat="1" x14ac:dyDescent="0.25">
      <c r="A15590" t="str">
        <f>"427780"</f>
        <v>427780</v>
      </c>
      <c r="B15590" t="s">
        <v>3413</v>
      </c>
      <c r="C15590" t="s">
        <v>119</v>
      </c>
      <c r="D15590" s="21" t="s">
        <v>34</v>
      </c>
      <c r="E15590" s="21" t="s">
        <v>35</v>
      </c>
      <c r="F15590">
        <v>1420078</v>
      </c>
      <c r="G15590" t="s">
        <v>4287</v>
      </c>
      <c r="H15590" s="21">
        <v>841.92</v>
      </c>
    </row>
    <row r="15591" spans="1:8" customFormat="1" x14ac:dyDescent="0.25">
      <c r="A15591" t="str">
        <f>"9511970"</f>
        <v>9511970</v>
      </c>
      <c r="B15591" t="s">
        <v>1367</v>
      </c>
      <c r="C15591" t="s">
        <v>239</v>
      </c>
      <c r="D15591" s="21" t="s">
        <v>34</v>
      </c>
      <c r="E15591" s="21" t="s">
        <v>71</v>
      </c>
      <c r="F15591">
        <v>8950978</v>
      </c>
      <c r="G15591" t="s">
        <v>1164</v>
      </c>
      <c r="H15591" s="21">
        <v>841.79</v>
      </c>
    </row>
    <row r="15592" spans="1:8" customFormat="1" x14ac:dyDescent="0.25">
      <c r="A15592" t="str">
        <f>"45128"</f>
        <v>45128</v>
      </c>
      <c r="B15592" t="s">
        <v>13779</v>
      </c>
      <c r="C15592" t="s">
        <v>2479</v>
      </c>
      <c r="D15592" s="21" t="s">
        <v>34</v>
      </c>
      <c r="E15592" s="21" t="s">
        <v>254</v>
      </c>
      <c r="F15592">
        <v>4450760</v>
      </c>
      <c r="G15592" t="s">
        <v>5775</v>
      </c>
      <c r="H15592" s="21">
        <v>841.79</v>
      </c>
    </row>
    <row r="15593" spans="1:8" customFormat="1" x14ac:dyDescent="0.25">
      <c r="A15593" t="str">
        <f>"9E2"</f>
        <v>9E2</v>
      </c>
      <c r="B15593" t="s">
        <v>13123</v>
      </c>
      <c r="C15593" t="s">
        <v>40</v>
      </c>
      <c r="D15593" s="21" t="s">
        <v>34</v>
      </c>
      <c r="E15593" s="21" t="s">
        <v>254</v>
      </c>
      <c r="F15593" s="24" t="s">
        <v>13124</v>
      </c>
      <c r="G15593" t="s">
        <v>13125</v>
      </c>
      <c r="H15593" s="21">
        <v>841.67</v>
      </c>
    </row>
    <row r="15594" spans="1:8" customFormat="1" x14ac:dyDescent="0.25">
      <c r="A15594" t="str">
        <f>"3515861"</f>
        <v>3515861</v>
      </c>
      <c r="B15594" t="s">
        <v>14314</v>
      </c>
      <c r="C15594" t="s">
        <v>65</v>
      </c>
      <c r="D15594" s="21" t="s">
        <v>34</v>
      </c>
      <c r="E15594" s="21" t="s">
        <v>71</v>
      </c>
      <c r="F15594">
        <v>3350010</v>
      </c>
      <c r="G15594" t="s">
        <v>14315</v>
      </c>
      <c r="H15594" s="21">
        <v>841.67</v>
      </c>
    </row>
    <row r="15595" spans="1:8" customFormat="1" x14ac:dyDescent="0.25">
      <c r="A15595" t="str">
        <f>"684281"</f>
        <v>684281</v>
      </c>
      <c r="B15595" t="s">
        <v>12994</v>
      </c>
      <c r="C15595" t="s">
        <v>2566</v>
      </c>
      <c r="D15595" s="21" t="s">
        <v>34</v>
      </c>
      <c r="E15595" s="21" t="s">
        <v>35</v>
      </c>
      <c r="F15595">
        <v>6680020</v>
      </c>
      <c r="G15595" t="s">
        <v>12995</v>
      </c>
      <c r="H15595" s="21">
        <v>841.67</v>
      </c>
    </row>
    <row r="15596" spans="1:8" customFormat="1" x14ac:dyDescent="0.25">
      <c r="A15596" t="str">
        <f>"781135"</f>
        <v>781135</v>
      </c>
      <c r="B15596" t="s">
        <v>13903</v>
      </c>
      <c r="C15596" t="s">
        <v>8893</v>
      </c>
      <c r="D15596" s="21" t="s">
        <v>34</v>
      </c>
      <c r="E15596" s="21" t="s">
        <v>35</v>
      </c>
      <c r="F15596">
        <v>8781473</v>
      </c>
      <c r="G15596" t="s">
        <v>1097</v>
      </c>
      <c r="H15596" s="21">
        <v>841.67</v>
      </c>
    </row>
    <row r="15597" spans="1:8" customFormat="1" x14ac:dyDescent="0.25">
      <c r="A15597" t="str">
        <f>"422322"</f>
        <v>422322</v>
      </c>
      <c r="B15597" t="s">
        <v>13415</v>
      </c>
      <c r="C15597" t="s">
        <v>239</v>
      </c>
      <c r="D15597" s="21" t="s">
        <v>34</v>
      </c>
      <c r="E15597" s="21" t="s">
        <v>71</v>
      </c>
      <c r="F15597">
        <v>1420006</v>
      </c>
      <c r="G15597" t="s">
        <v>6019</v>
      </c>
      <c r="H15597" s="21">
        <v>841.67</v>
      </c>
    </row>
    <row r="15598" spans="1:8" customFormat="1" x14ac:dyDescent="0.25">
      <c r="A15598" t="str">
        <f>"2918300"</f>
        <v>2918300</v>
      </c>
      <c r="B15598" t="s">
        <v>2954</v>
      </c>
      <c r="C15598" t="s">
        <v>353</v>
      </c>
      <c r="D15598" s="21" t="s">
        <v>34</v>
      </c>
      <c r="E15598" s="21" t="s">
        <v>71</v>
      </c>
      <c r="F15598">
        <v>3290039</v>
      </c>
      <c r="G15598" t="s">
        <v>3988</v>
      </c>
      <c r="H15598" s="21">
        <v>841.67</v>
      </c>
    </row>
    <row r="15599" spans="1:8" customFormat="1" x14ac:dyDescent="0.25">
      <c r="A15599" t="str">
        <f>"761731"</f>
        <v>761731</v>
      </c>
      <c r="B15599" t="s">
        <v>14056</v>
      </c>
      <c r="C15599" t="s">
        <v>4578</v>
      </c>
      <c r="D15599" s="21" t="s">
        <v>34</v>
      </c>
      <c r="E15599" s="21" t="s">
        <v>254</v>
      </c>
      <c r="F15599">
        <v>9760018</v>
      </c>
      <c r="G15599" t="s">
        <v>117</v>
      </c>
      <c r="H15599" s="21">
        <v>841.67</v>
      </c>
    </row>
    <row r="15600" spans="1:8" customFormat="1" x14ac:dyDescent="0.25">
      <c r="A15600" t="str">
        <f>"1611335"</f>
        <v>1611335</v>
      </c>
      <c r="B15600" t="s">
        <v>14028</v>
      </c>
      <c r="C15600" t="s">
        <v>87</v>
      </c>
      <c r="D15600" s="21" t="s">
        <v>34</v>
      </c>
      <c r="E15600" s="21" t="s">
        <v>71</v>
      </c>
      <c r="F15600">
        <v>10160237</v>
      </c>
      <c r="G15600" t="s">
        <v>8818</v>
      </c>
      <c r="H15600" s="21">
        <v>841.67</v>
      </c>
    </row>
    <row r="15601" spans="1:8" customFormat="1" x14ac:dyDescent="0.25">
      <c r="A15601" t="str">
        <f>"379512"</f>
        <v>379512</v>
      </c>
      <c r="B15601" t="s">
        <v>2644</v>
      </c>
      <c r="C15601" t="s">
        <v>40</v>
      </c>
      <c r="D15601" s="21" t="s">
        <v>34</v>
      </c>
      <c r="E15601" s="21" t="s">
        <v>254</v>
      </c>
      <c r="F15601">
        <v>4370548</v>
      </c>
      <c r="G15601" t="s">
        <v>7106</v>
      </c>
      <c r="H15601" s="21">
        <v>841.67</v>
      </c>
    </row>
    <row r="15602" spans="1:8" customFormat="1" x14ac:dyDescent="0.25">
      <c r="A15602" t="str">
        <f>"6910441"</f>
        <v>6910441</v>
      </c>
      <c r="B15602" t="s">
        <v>11859</v>
      </c>
      <c r="C15602" t="s">
        <v>198</v>
      </c>
      <c r="D15602" s="21" t="s">
        <v>34</v>
      </c>
      <c r="E15602" s="21" t="s">
        <v>254</v>
      </c>
      <c r="F15602">
        <v>1690221</v>
      </c>
      <c r="G15602" t="s">
        <v>303</v>
      </c>
      <c r="H15602" s="21">
        <v>841.67</v>
      </c>
    </row>
    <row r="15603" spans="1:8" customFormat="1" x14ac:dyDescent="0.25">
      <c r="A15603" t="str">
        <f>"7822209"</f>
        <v>7822209</v>
      </c>
      <c r="B15603" t="s">
        <v>13874</v>
      </c>
      <c r="C15603" t="s">
        <v>926</v>
      </c>
      <c r="D15603" s="21" t="s">
        <v>34</v>
      </c>
      <c r="E15603" s="21" t="s">
        <v>254</v>
      </c>
      <c r="F15603">
        <v>8781413</v>
      </c>
      <c r="G15603" t="s">
        <v>13028</v>
      </c>
      <c r="H15603" s="21">
        <v>841.67</v>
      </c>
    </row>
    <row r="15604" spans="1:8" customFormat="1" x14ac:dyDescent="0.25">
      <c r="A15604" t="str">
        <f>"019825"</f>
        <v>019825</v>
      </c>
      <c r="B15604" t="s">
        <v>27393</v>
      </c>
      <c r="C15604" t="s">
        <v>3098</v>
      </c>
      <c r="D15604" s="21" t="s">
        <v>34</v>
      </c>
      <c r="E15604" s="21" t="s">
        <v>35</v>
      </c>
      <c r="F15604">
        <v>1010063</v>
      </c>
      <c r="G15604" t="s">
        <v>5215</v>
      </c>
      <c r="H15604" s="21">
        <v>841.67</v>
      </c>
    </row>
    <row r="15605" spans="1:8" customFormat="1" x14ac:dyDescent="0.25">
      <c r="A15605" t="str">
        <f>"512773"</f>
        <v>512773</v>
      </c>
      <c r="B15605" t="s">
        <v>11865</v>
      </c>
      <c r="C15605" t="s">
        <v>209</v>
      </c>
      <c r="D15605" s="21" t="s">
        <v>34</v>
      </c>
      <c r="E15605" s="21" t="s">
        <v>71</v>
      </c>
      <c r="F15605">
        <v>6510061</v>
      </c>
      <c r="G15605" t="s">
        <v>7426</v>
      </c>
      <c r="H15605" s="21">
        <v>841.42</v>
      </c>
    </row>
    <row r="15606" spans="1:8" customFormat="1" x14ac:dyDescent="0.25">
      <c r="A15606" t="str">
        <f>"0616676"</f>
        <v>0616676</v>
      </c>
      <c r="B15606" t="s">
        <v>12592</v>
      </c>
      <c r="C15606" t="s">
        <v>12593</v>
      </c>
      <c r="D15606" s="21" t="s">
        <v>34</v>
      </c>
      <c r="E15606" s="21" t="s">
        <v>35</v>
      </c>
      <c r="F15606">
        <v>13060114</v>
      </c>
      <c r="G15606" t="s">
        <v>4501</v>
      </c>
      <c r="H15606" s="21">
        <v>841.42</v>
      </c>
    </row>
    <row r="15607" spans="1:8" customFormat="1" x14ac:dyDescent="0.25">
      <c r="A15607" t="str">
        <f>"351948"</f>
        <v>351948</v>
      </c>
      <c r="B15607" t="s">
        <v>10109</v>
      </c>
      <c r="C15607" t="s">
        <v>320</v>
      </c>
      <c r="D15607" s="21" t="s">
        <v>34</v>
      </c>
      <c r="E15607" s="21" t="s">
        <v>254</v>
      </c>
      <c r="F15607">
        <v>3350150</v>
      </c>
      <c r="G15607" t="s">
        <v>6419</v>
      </c>
      <c r="H15607" s="21">
        <v>841.42</v>
      </c>
    </row>
    <row r="15608" spans="1:8" customFormat="1" x14ac:dyDescent="0.25">
      <c r="A15608" t="str">
        <f>"0810665"</f>
        <v>0810665</v>
      </c>
      <c r="B15608" t="s">
        <v>14542</v>
      </c>
      <c r="C15608" t="s">
        <v>169</v>
      </c>
      <c r="D15608" s="21" t="s">
        <v>34</v>
      </c>
      <c r="E15608" s="21" t="s">
        <v>71</v>
      </c>
      <c r="F15608">
        <v>6080013</v>
      </c>
      <c r="G15608" t="s">
        <v>1532</v>
      </c>
      <c r="H15608" s="21">
        <v>841.17</v>
      </c>
    </row>
    <row r="15609" spans="1:8" customFormat="1" x14ac:dyDescent="0.25">
      <c r="A15609" t="str">
        <f>"622516"</f>
        <v>622516</v>
      </c>
      <c r="B15609" t="s">
        <v>13545</v>
      </c>
      <c r="C15609" t="s">
        <v>253</v>
      </c>
      <c r="D15609" s="21" t="s">
        <v>34</v>
      </c>
      <c r="E15609" s="21" t="s">
        <v>71</v>
      </c>
      <c r="F15609">
        <v>10330080</v>
      </c>
      <c r="G15609" t="s">
        <v>5634</v>
      </c>
      <c r="H15609" s="21">
        <v>841.17</v>
      </c>
    </row>
    <row r="15610" spans="1:8" customFormat="1" x14ac:dyDescent="0.25">
      <c r="A15610" t="str">
        <f>"3520396"</f>
        <v>3520396</v>
      </c>
      <c r="B15610" t="s">
        <v>13829</v>
      </c>
      <c r="C15610" t="s">
        <v>55</v>
      </c>
      <c r="D15610" s="21" t="s">
        <v>34</v>
      </c>
      <c r="E15610" s="21" t="s">
        <v>71</v>
      </c>
      <c r="F15610">
        <v>3350067</v>
      </c>
      <c r="G15610" t="s">
        <v>4439</v>
      </c>
      <c r="H15610" s="21">
        <v>841.17</v>
      </c>
    </row>
    <row r="15611" spans="1:8" customFormat="1" x14ac:dyDescent="0.25">
      <c r="A15611" t="str">
        <f>"623850"</f>
        <v>623850</v>
      </c>
      <c r="B15611" t="s">
        <v>12604</v>
      </c>
      <c r="C15611" t="s">
        <v>43</v>
      </c>
      <c r="D15611" s="21" t="s">
        <v>34</v>
      </c>
      <c r="E15611" s="21" t="s">
        <v>35</v>
      </c>
      <c r="F15611">
        <v>7620139</v>
      </c>
      <c r="G15611" t="s">
        <v>2061</v>
      </c>
      <c r="H15611" s="21">
        <v>841.17</v>
      </c>
    </row>
    <row r="15612" spans="1:8" customFormat="1" x14ac:dyDescent="0.25">
      <c r="A15612" t="str">
        <f>"8812183"</f>
        <v>8812183</v>
      </c>
      <c r="B15612" t="s">
        <v>13907</v>
      </c>
      <c r="C15612" t="s">
        <v>139</v>
      </c>
      <c r="D15612" s="21" t="s">
        <v>34</v>
      </c>
      <c r="E15612" s="21" t="s">
        <v>71</v>
      </c>
      <c r="F15612">
        <v>6540001</v>
      </c>
      <c r="G15612" t="s">
        <v>5886</v>
      </c>
      <c r="H15612" s="21">
        <v>841.17</v>
      </c>
    </row>
    <row r="15613" spans="1:8" customFormat="1" x14ac:dyDescent="0.25">
      <c r="A15613" t="str">
        <f>"1713722"</f>
        <v>1713722</v>
      </c>
      <c r="B15613" t="s">
        <v>3244</v>
      </c>
      <c r="C15613" t="s">
        <v>263</v>
      </c>
      <c r="D15613" s="21" t="s">
        <v>34</v>
      </c>
      <c r="E15613" s="21" t="s">
        <v>71</v>
      </c>
      <c r="F15613">
        <v>10170024</v>
      </c>
      <c r="G15613" t="s">
        <v>16864</v>
      </c>
      <c r="H15613" s="21">
        <v>841.17</v>
      </c>
    </row>
    <row r="15614" spans="1:8" customFormat="1" x14ac:dyDescent="0.25">
      <c r="A15614" t="str">
        <f>"6227159"</f>
        <v>6227159</v>
      </c>
      <c r="B15614" t="s">
        <v>11369</v>
      </c>
      <c r="C15614" t="s">
        <v>3522</v>
      </c>
      <c r="D15614" s="21" t="s">
        <v>34</v>
      </c>
      <c r="E15614" s="21" t="s">
        <v>35</v>
      </c>
      <c r="F15614">
        <v>7620077</v>
      </c>
      <c r="G15614" t="s">
        <v>4131</v>
      </c>
      <c r="H15614" s="21">
        <v>841.17</v>
      </c>
    </row>
    <row r="15615" spans="1:8" customFormat="1" x14ac:dyDescent="0.25">
      <c r="A15615" t="str">
        <f>"8610390"</f>
        <v>8610390</v>
      </c>
      <c r="B15615" t="s">
        <v>2609</v>
      </c>
      <c r="C15615" t="s">
        <v>171</v>
      </c>
      <c r="D15615" s="21" t="s">
        <v>34</v>
      </c>
      <c r="E15615" s="21" t="s">
        <v>35</v>
      </c>
      <c r="F15615">
        <v>10860231</v>
      </c>
      <c r="G15615" t="s">
        <v>7294</v>
      </c>
      <c r="H15615" s="21">
        <v>841.17</v>
      </c>
    </row>
    <row r="15616" spans="1:8" customFormat="1" x14ac:dyDescent="0.25">
      <c r="A15616" t="str">
        <f>"2212888"</f>
        <v>2212888</v>
      </c>
      <c r="B15616" t="s">
        <v>4649</v>
      </c>
      <c r="C15616" t="s">
        <v>926</v>
      </c>
      <c r="D15616" s="21" t="s">
        <v>34</v>
      </c>
      <c r="E15616" s="21" t="s">
        <v>35</v>
      </c>
      <c r="F15616">
        <v>3220128</v>
      </c>
      <c r="G15616" t="s">
        <v>26938</v>
      </c>
      <c r="H15616" s="21">
        <v>841.17</v>
      </c>
    </row>
    <row r="15617" spans="1:8" customFormat="1" x14ac:dyDescent="0.25">
      <c r="A15617" t="str">
        <f>"675389"</f>
        <v>675389</v>
      </c>
      <c r="B15617" t="s">
        <v>13541</v>
      </c>
      <c r="C15617" t="s">
        <v>879</v>
      </c>
      <c r="D15617" s="21" t="s">
        <v>34</v>
      </c>
      <c r="E15617" s="21" t="s">
        <v>254</v>
      </c>
      <c r="F15617">
        <v>6670202</v>
      </c>
      <c r="G15617" t="s">
        <v>605</v>
      </c>
      <c r="H15617" s="21">
        <v>841.17</v>
      </c>
    </row>
    <row r="15618" spans="1:8" customFormat="1" x14ac:dyDescent="0.25">
      <c r="A15618" t="str">
        <f>"2215950"</f>
        <v>2215950</v>
      </c>
      <c r="B15618" t="s">
        <v>12436</v>
      </c>
      <c r="C15618" t="s">
        <v>712</v>
      </c>
      <c r="D15618" s="21" t="s">
        <v>34</v>
      </c>
      <c r="E15618" s="21" t="s">
        <v>254</v>
      </c>
      <c r="F15618">
        <v>3220011</v>
      </c>
      <c r="G15618" t="s">
        <v>27394</v>
      </c>
      <c r="H15618" s="21">
        <v>841.17</v>
      </c>
    </row>
    <row r="15619" spans="1:8" customFormat="1" x14ac:dyDescent="0.25">
      <c r="A15619" t="str">
        <f>"645832"</f>
        <v>645832</v>
      </c>
      <c r="B15619" t="s">
        <v>1604</v>
      </c>
      <c r="C15619" t="s">
        <v>33</v>
      </c>
      <c r="D15619" s="21" t="s">
        <v>34</v>
      </c>
      <c r="E15619" s="21" t="s">
        <v>35</v>
      </c>
      <c r="F15619">
        <v>10640001</v>
      </c>
      <c r="G15619" t="s">
        <v>2419</v>
      </c>
      <c r="H15619" s="21">
        <v>841.17</v>
      </c>
    </row>
    <row r="15620" spans="1:8" customFormat="1" x14ac:dyDescent="0.25">
      <c r="A15620" t="str">
        <f>"567355"</f>
        <v>567355</v>
      </c>
      <c r="B15620" t="s">
        <v>4095</v>
      </c>
      <c r="C15620" t="s">
        <v>1025</v>
      </c>
      <c r="D15620" s="21" t="s">
        <v>34</v>
      </c>
      <c r="E15620" s="21" t="s">
        <v>35</v>
      </c>
      <c r="F15620">
        <v>3560023</v>
      </c>
      <c r="G15620" t="s">
        <v>8213</v>
      </c>
      <c r="H15620" s="21">
        <v>841.17</v>
      </c>
    </row>
    <row r="15621" spans="1:8" customFormat="1" x14ac:dyDescent="0.25">
      <c r="A15621" t="str">
        <f>"031814"</f>
        <v>031814</v>
      </c>
      <c r="B15621" t="s">
        <v>2043</v>
      </c>
      <c r="C15621" t="s">
        <v>750</v>
      </c>
      <c r="D15621" s="21" t="s">
        <v>34</v>
      </c>
      <c r="E15621" s="21" t="s">
        <v>71</v>
      </c>
      <c r="F15621">
        <v>1030128</v>
      </c>
      <c r="G15621" t="s">
        <v>7355</v>
      </c>
      <c r="H15621" s="21">
        <v>841.17</v>
      </c>
    </row>
    <row r="15622" spans="1:8" customFormat="1" x14ac:dyDescent="0.25">
      <c r="A15622" t="str">
        <f>"2925286"</f>
        <v>2925286</v>
      </c>
      <c r="B15622" t="s">
        <v>7752</v>
      </c>
      <c r="C15622" t="s">
        <v>3073</v>
      </c>
      <c r="D15622" s="21" t="s">
        <v>34</v>
      </c>
      <c r="E15622" s="21" t="s">
        <v>71</v>
      </c>
      <c r="F15622">
        <v>3290087</v>
      </c>
      <c r="G15622" t="s">
        <v>364</v>
      </c>
      <c r="H15622" s="21">
        <v>841.17</v>
      </c>
    </row>
    <row r="15623" spans="1:8" customFormat="1" x14ac:dyDescent="0.25">
      <c r="A15623" t="str">
        <f>"4935957"</f>
        <v>4935957</v>
      </c>
      <c r="B15623" t="s">
        <v>197</v>
      </c>
      <c r="C15623" t="s">
        <v>119</v>
      </c>
      <c r="D15623" s="21" t="s">
        <v>34</v>
      </c>
      <c r="E15623" s="21" t="s">
        <v>35</v>
      </c>
      <c r="F15623">
        <v>12490037</v>
      </c>
      <c r="G15623" t="s">
        <v>8892</v>
      </c>
      <c r="H15623" s="21">
        <v>841.17</v>
      </c>
    </row>
    <row r="15624" spans="1:8" customFormat="1" x14ac:dyDescent="0.25">
      <c r="A15624" t="str">
        <f>"517853"</f>
        <v>517853</v>
      </c>
      <c r="B15624" t="s">
        <v>15129</v>
      </c>
      <c r="C15624" t="s">
        <v>33</v>
      </c>
      <c r="D15624" s="21" t="s">
        <v>34</v>
      </c>
      <c r="E15624" s="21" t="s">
        <v>35</v>
      </c>
      <c r="F15624">
        <v>6510090</v>
      </c>
      <c r="G15624" t="s">
        <v>11924</v>
      </c>
      <c r="H15624" s="21">
        <v>841.17</v>
      </c>
    </row>
    <row r="15625" spans="1:8" customFormat="1" x14ac:dyDescent="0.25">
      <c r="A15625" t="str">
        <f>"725800"</f>
        <v>725800</v>
      </c>
      <c r="B15625" t="s">
        <v>1048</v>
      </c>
      <c r="C15625" t="s">
        <v>328</v>
      </c>
      <c r="D15625" s="21" t="s">
        <v>34</v>
      </c>
      <c r="E15625" s="21" t="s">
        <v>35</v>
      </c>
      <c r="F15625">
        <v>12720045</v>
      </c>
      <c r="G15625" t="s">
        <v>2484</v>
      </c>
      <c r="H15625" s="21">
        <v>841.17</v>
      </c>
    </row>
    <row r="15626" spans="1:8" customFormat="1" x14ac:dyDescent="0.25">
      <c r="A15626" t="str">
        <f>"7222701"</f>
        <v>7222701</v>
      </c>
      <c r="B15626" t="s">
        <v>21781</v>
      </c>
      <c r="C15626" t="s">
        <v>21782</v>
      </c>
      <c r="D15626" s="21" t="s">
        <v>34</v>
      </c>
      <c r="E15626" s="21" t="s">
        <v>254</v>
      </c>
      <c r="F15626">
        <v>12720078</v>
      </c>
      <c r="G15626" t="s">
        <v>5085</v>
      </c>
      <c r="H15626" s="21">
        <v>840.92</v>
      </c>
    </row>
    <row r="15627" spans="1:8" customFormat="1" x14ac:dyDescent="0.25">
      <c r="A15627" t="str">
        <f>"4435338"</f>
        <v>4435338</v>
      </c>
      <c r="B15627" t="s">
        <v>14260</v>
      </c>
      <c r="C15627" t="s">
        <v>415</v>
      </c>
      <c r="D15627" s="21" t="s">
        <v>34</v>
      </c>
      <c r="E15627" s="21" t="s">
        <v>1089</v>
      </c>
      <c r="F15627">
        <v>12440024</v>
      </c>
      <c r="G15627" t="s">
        <v>2205</v>
      </c>
      <c r="H15627" s="21">
        <v>840.92</v>
      </c>
    </row>
    <row r="15628" spans="1:8" customFormat="1" x14ac:dyDescent="0.25">
      <c r="A15628" t="str">
        <f>"2813643"</f>
        <v>2813643</v>
      </c>
      <c r="B15628" t="s">
        <v>14862</v>
      </c>
      <c r="C15628" t="s">
        <v>33</v>
      </c>
      <c r="D15628" s="21" t="s">
        <v>34</v>
      </c>
      <c r="E15628" s="21" t="s">
        <v>35</v>
      </c>
      <c r="F15628">
        <v>4280718</v>
      </c>
      <c r="G15628" t="s">
        <v>12393</v>
      </c>
      <c r="H15628" s="21">
        <v>840.67</v>
      </c>
    </row>
    <row r="15629" spans="1:8" customFormat="1" x14ac:dyDescent="0.25">
      <c r="A15629" t="str">
        <f>"3327638"</f>
        <v>3327638</v>
      </c>
      <c r="B15629" t="s">
        <v>15833</v>
      </c>
      <c r="C15629" t="s">
        <v>1812</v>
      </c>
      <c r="D15629" s="21" t="s">
        <v>34</v>
      </c>
      <c r="E15629" s="21" t="s">
        <v>35</v>
      </c>
      <c r="F15629">
        <v>10330084</v>
      </c>
      <c r="G15629" t="s">
        <v>1124</v>
      </c>
      <c r="H15629" s="21">
        <v>840.67</v>
      </c>
    </row>
    <row r="15630" spans="1:8" customFormat="1" x14ac:dyDescent="0.25">
      <c r="A15630" t="str">
        <f>"3811075"</f>
        <v>3811075</v>
      </c>
      <c r="B15630" t="s">
        <v>14816</v>
      </c>
      <c r="C15630" t="s">
        <v>40</v>
      </c>
      <c r="D15630" s="21" t="s">
        <v>34</v>
      </c>
      <c r="E15630" s="21" t="s">
        <v>71</v>
      </c>
      <c r="F15630">
        <v>1260035</v>
      </c>
      <c r="G15630" t="s">
        <v>9835</v>
      </c>
      <c r="H15630" s="21">
        <v>840.67</v>
      </c>
    </row>
    <row r="15631" spans="1:8" customFormat="1" x14ac:dyDescent="0.25">
      <c r="A15631" t="str">
        <f>"612708"</f>
        <v>612708</v>
      </c>
      <c r="B15631" t="s">
        <v>2835</v>
      </c>
      <c r="C15631" t="s">
        <v>156</v>
      </c>
      <c r="D15631" s="21" t="s">
        <v>34</v>
      </c>
      <c r="E15631" s="21" t="s">
        <v>1089</v>
      </c>
      <c r="F15631">
        <v>9610004</v>
      </c>
      <c r="G15631" t="s">
        <v>1042</v>
      </c>
      <c r="H15631" s="21">
        <v>840.67</v>
      </c>
    </row>
    <row r="15632" spans="1:8" customFormat="1" x14ac:dyDescent="0.25">
      <c r="A15632" t="str">
        <f>"5011105"</f>
        <v>5011105</v>
      </c>
      <c r="B15632" t="s">
        <v>13743</v>
      </c>
      <c r="C15632" t="s">
        <v>1539</v>
      </c>
      <c r="D15632" s="21" t="s">
        <v>34</v>
      </c>
      <c r="E15632" s="21" t="s">
        <v>71</v>
      </c>
      <c r="F15632">
        <v>9500160</v>
      </c>
      <c r="G15632" t="s">
        <v>11418</v>
      </c>
      <c r="H15632" s="21">
        <v>840.67</v>
      </c>
    </row>
    <row r="15633" spans="1:8" customFormat="1" x14ac:dyDescent="0.25">
      <c r="A15633" t="str">
        <f>"17849"</f>
        <v>17849</v>
      </c>
      <c r="B15633" t="s">
        <v>12554</v>
      </c>
      <c r="C15633" t="s">
        <v>239</v>
      </c>
      <c r="D15633" s="21" t="s">
        <v>34</v>
      </c>
      <c r="E15633" s="21" t="s">
        <v>254</v>
      </c>
      <c r="F15633">
        <v>10170050</v>
      </c>
      <c r="G15633" t="s">
        <v>2514</v>
      </c>
      <c r="H15633" s="21">
        <v>840.67</v>
      </c>
    </row>
    <row r="15634" spans="1:8" customFormat="1" x14ac:dyDescent="0.25">
      <c r="A15634" t="str">
        <f>"7214257"</f>
        <v>7214257</v>
      </c>
      <c r="B15634" t="s">
        <v>14506</v>
      </c>
      <c r="C15634" t="s">
        <v>3905</v>
      </c>
      <c r="D15634" s="21" t="s">
        <v>34</v>
      </c>
      <c r="E15634" s="21" t="s">
        <v>1089</v>
      </c>
      <c r="F15634">
        <v>12720104</v>
      </c>
      <c r="G15634" t="s">
        <v>224</v>
      </c>
      <c r="H15634" s="21">
        <v>840.67</v>
      </c>
    </row>
    <row r="15635" spans="1:8" customFormat="1" x14ac:dyDescent="0.25">
      <c r="A15635" t="str">
        <f>"7840360"</f>
        <v>7840360</v>
      </c>
      <c r="B15635" t="s">
        <v>14149</v>
      </c>
      <c r="C15635" t="s">
        <v>209</v>
      </c>
      <c r="D15635" s="21" t="s">
        <v>34</v>
      </c>
      <c r="E15635" s="21" t="s">
        <v>71</v>
      </c>
      <c r="F15635">
        <v>8780571</v>
      </c>
      <c r="G15635" t="s">
        <v>2336</v>
      </c>
      <c r="H15635" s="21">
        <v>840.67</v>
      </c>
    </row>
    <row r="15636" spans="1:8" customFormat="1" x14ac:dyDescent="0.25">
      <c r="A15636" t="str">
        <f>"4412582"</f>
        <v>4412582</v>
      </c>
      <c r="B15636" t="s">
        <v>650</v>
      </c>
      <c r="C15636" t="s">
        <v>263</v>
      </c>
      <c r="D15636" s="21" t="s">
        <v>34</v>
      </c>
      <c r="E15636" s="21" t="s">
        <v>254</v>
      </c>
      <c r="F15636">
        <v>12440016</v>
      </c>
      <c r="G15636" t="s">
        <v>7288</v>
      </c>
      <c r="H15636" s="21">
        <v>840.67</v>
      </c>
    </row>
    <row r="15637" spans="1:8" customFormat="1" x14ac:dyDescent="0.25">
      <c r="A15637" t="str">
        <f>"9127824"</f>
        <v>9127824</v>
      </c>
      <c r="B15637" t="s">
        <v>14815</v>
      </c>
      <c r="C15637" t="s">
        <v>288</v>
      </c>
      <c r="D15637" s="21" t="s">
        <v>34</v>
      </c>
      <c r="E15637" s="21" t="s">
        <v>71</v>
      </c>
      <c r="F15637">
        <v>8910303</v>
      </c>
      <c r="G15637" t="s">
        <v>1244</v>
      </c>
      <c r="H15637" s="21">
        <v>840.67</v>
      </c>
    </row>
    <row r="15638" spans="1:8" customFormat="1" x14ac:dyDescent="0.25">
      <c r="A15638" t="str">
        <f>"4439302"</f>
        <v>4439302</v>
      </c>
      <c r="B15638" t="s">
        <v>13024</v>
      </c>
      <c r="C15638" t="s">
        <v>206</v>
      </c>
      <c r="D15638" s="21" t="s">
        <v>34</v>
      </c>
      <c r="E15638" s="21" t="s">
        <v>35</v>
      </c>
      <c r="F15638">
        <v>9140123</v>
      </c>
      <c r="G15638" t="s">
        <v>661</v>
      </c>
      <c r="H15638" s="21">
        <v>840.67</v>
      </c>
    </row>
    <row r="15639" spans="1:8" customFormat="1" x14ac:dyDescent="0.25">
      <c r="A15639" t="str">
        <f>"4434650"</f>
        <v>4434650</v>
      </c>
      <c r="B15639" t="s">
        <v>1637</v>
      </c>
      <c r="C15639" t="s">
        <v>812</v>
      </c>
      <c r="D15639" s="21" t="s">
        <v>34</v>
      </c>
      <c r="E15639" s="21" t="s">
        <v>35</v>
      </c>
      <c r="F15639">
        <v>12440015</v>
      </c>
      <c r="G15639" t="s">
        <v>8421</v>
      </c>
      <c r="H15639" s="21">
        <v>840.67</v>
      </c>
    </row>
    <row r="15640" spans="1:8" customFormat="1" x14ac:dyDescent="0.25">
      <c r="A15640" t="str">
        <f>"212453"</f>
        <v>212453</v>
      </c>
      <c r="B15640" t="s">
        <v>13846</v>
      </c>
      <c r="C15640" t="s">
        <v>209</v>
      </c>
      <c r="D15640" s="21" t="s">
        <v>34</v>
      </c>
      <c r="E15640" s="21" t="s">
        <v>254</v>
      </c>
      <c r="F15640">
        <v>2210101</v>
      </c>
      <c r="G15640" t="s">
        <v>1374</v>
      </c>
      <c r="H15640" s="21">
        <v>840.67</v>
      </c>
    </row>
    <row r="15641" spans="1:8" customFormat="1" x14ac:dyDescent="0.25">
      <c r="A15641" t="str">
        <f>"5926183"</f>
        <v>5926183</v>
      </c>
      <c r="B15641" t="s">
        <v>15937</v>
      </c>
      <c r="C15641" t="s">
        <v>169</v>
      </c>
      <c r="D15641" s="21" t="s">
        <v>34</v>
      </c>
      <c r="E15641" s="21" t="s">
        <v>71</v>
      </c>
      <c r="F15641">
        <v>12850136</v>
      </c>
      <c r="G15641" t="s">
        <v>2536</v>
      </c>
      <c r="H15641" s="21">
        <v>840.5</v>
      </c>
    </row>
    <row r="15642" spans="1:8" customFormat="1" x14ac:dyDescent="0.25">
      <c r="A15642" t="str">
        <f>"935070"</f>
        <v>935070</v>
      </c>
      <c r="B15642" t="s">
        <v>13355</v>
      </c>
      <c r="C15642" t="s">
        <v>139</v>
      </c>
      <c r="D15642" s="21" t="s">
        <v>34</v>
      </c>
      <c r="E15642" s="21" t="s">
        <v>35</v>
      </c>
      <c r="F15642">
        <v>8931032</v>
      </c>
      <c r="G15642" t="s">
        <v>10451</v>
      </c>
      <c r="H15642" s="21">
        <v>840.29</v>
      </c>
    </row>
    <row r="15643" spans="1:8" customFormat="1" x14ac:dyDescent="0.25">
      <c r="A15643" t="str">
        <f>"6722458"</f>
        <v>6722458</v>
      </c>
      <c r="B15643" t="s">
        <v>10843</v>
      </c>
      <c r="C15643" t="s">
        <v>2520</v>
      </c>
      <c r="D15643" s="21" t="s">
        <v>34</v>
      </c>
      <c r="E15643" s="21" t="s">
        <v>71</v>
      </c>
      <c r="F15643">
        <v>6670194</v>
      </c>
      <c r="G15643" t="s">
        <v>6521</v>
      </c>
      <c r="H15643" s="21">
        <v>840.17</v>
      </c>
    </row>
    <row r="15644" spans="1:8" customFormat="1" x14ac:dyDescent="0.25">
      <c r="A15644" t="str">
        <f>"7716079"</f>
        <v>7716079</v>
      </c>
      <c r="B15644" t="s">
        <v>13446</v>
      </c>
      <c r="C15644" t="s">
        <v>253</v>
      </c>
      <c r="D15644" s="21" t="s">
        <v>34</v>
      </c>
      <c r="E15644" s="21" t="s">
        <v>254</v>
      </c>
      <c r="F15644">
        <v>8771303</v>
      </c>
      <c r="G15644" t="s">
        <v>13447</v>
      </c>
      <c r="H15644" s="21">
        <v>840.17</v>
      </c>
    </row>
    <row r="15645" spans="1:8" customFormat="1" x14ac:dyDescent="0.25">
      <c r="A15645" t="str">
        <f>"8526656"</f>
        <v>8526656</v>
      </c>
      <c r="B15645" t="s">
        <v>2598</v>
      </c>
      <c r="C15645" t="s">
        <v>55</v>
      </c>
      <c r="D15645" s="21" t="s">
        <v>34</v>
      </c>
      <c r="E15645" s="21" t="s">
        <v>71</v>
      </c>
      <c r="F15645">
        <v>12850093</v>
      </c>
      <c r="G15645" t="s">
        <v>3371</v>
      </c>
      <c r="H15645" s="21">
        <v>840.17</v>
      </c>
    </row>
    <row r="15646" spans="1:8" customFormat="1" x14ac:dyDescent="0.25">
      <c r="A15646" t="str">
        <f>"534707"</f>
        <v>534707</v>
      </c>
      <c r="B15646" t="s">
        <v>13084</v>
      </c>
      <c r="C15646" t="s">
        <v>498</v>
      </c>
      <c r="D15646" s="21" t="s">
        <v>34</v>
      </c>
      <c r="E15646" s="21" t="s">
        <v>71</v>
      </c>
      <c r="F15646">
        <v>12530063</v>
      </c>
      <c r="G15646" t="s">
        <v>4313</v>
      </c>
      <c r="H15646" s="21">
        <v>840.17</v>
      </c>
    </row>
    <row r="15647" spans="1:8" customFormat="1" x14ac:dyDescent="0.25">
      <c r="A15647" t="str">
        <f>"676248"</f>
        <v>676248</v>
      </c>
      <c r="B15647" t="s">
        <v>27395</v>
      </c>
      <c r="C15647" t="s">
        <v>239</v>
      </c>
      <c r="D15647" s="21" t="s">
        <v>34</v>
      </c>
      <c r="E15647" s="21" t="s">
        <v>71</v>
      </c>
      <c r="F15647">
        <v>6670141</v>
      </c>
      <c r="G15647" t="s">
        <v>5030</v>
      </c>
      <c r="H15647" s="21">
        <v>840.17</v>
      </c>
    </row>
    <row r="15648" spans="1:8" customFormat="1" x14ac:dyDescent="0.25">
      <c r="A15648" t="str">
        <f>"7626298"</f>
        <v>7626298</v>
      </c>
      <c r="B15648" t="s">
        <v>13316</v>
      </c>
      <c r="C15648" t="s">
        <v>1819</v>
      </c>
      <c r="D15648" s="21" t="s">
        <v>34</v>
      </c>
      <c r="E15648" s="21" t="s">
        <v>35</v>
      </c>
      <c r="F15648">
        <v>9760025</v>
      </c>
      <c r="G15648" t="s">
        <v>2620</v>
      </c>
      <c r="H15648" s="21">
        <v>840.17</v>
      </c>
    </row>
    <row r="15649" spans="1:8" customFormat="1" x14ac:dyDescent="0.25">
      <c r="A15649" t="str">
        <f>"6910853"</f>
        <v>6910853</v>
      </c>
      <c r="B15649" t="s">
        <v>11197</v>
      </c>
      <c r="C15649" t="s">
        <v>40</v>
      </c>
      <c r="D15649" s="21" t="s">
        <v>34</v>
      </c>
      <c r="E15649" s="21" t="s">
        <v>71</v>
      </c>
      <c r="F15649">
        <v>1740003</v>
      </c>
      <c r="G15649" t="s">
        <v>982</v>
      </c>
      <c r="H15649" s="21">
        <v>840.17</v>
      </c>
    </row>
    <row r="15650" spans="1:8" customFormat="1" x14ac:dyDescent="0.25">
      <c r="A15650" t="str">
        <f>"1318506"</f>
        <v>1318506</v>
      </c>
      <c r="B15650" t="s">
        <v>15178</v>
      </c>
      <c r="C15650" t="s">
        <v>3010</v>
      </c>
      <c r="D15650" s="21" t="s">
        <v>34</v>
      </c>
      <c r="E15650" s="21" t="s">
        <v>254</v>
      </c>
      <c r="F15650">
        <v>13130166</v>
      </c>
      <c r="G15650" t="s">
        <v>2539</v>
      </c>
      <c r="H15650" s="21">
        <v>840.17</v>
      </c>
    </row>
    <row r="15651" spans="1:8" customFormat="1" x14ac:dyDescent="0.25">
      <c r="A15651" t="str">
        <f>"3521884"</f>
        <v>3521884</v>
      </c>
      <c r="B15651" t="s">
        <v>2434</v>
      </c>
      <c r="C15651" t="s">
        <v>926</v>
      </c>
      <c r="D15651" s="21" t="s">
        <v>34</v>
      </c>
      <c r="E15651" s="21" t="s">
        <v>71</v>
      </c>
      <c r="F15651">
        <v>3350057</v>
      </c>
      <c r="G15651" t="s">
        <v>10712</v>
      </c>
      <c r="H15651" s="21">
        <v>840.17</v>
      </c>
    </row>
    <row r="15652" spans="1:8" customFormat="1" x14ac:dyDescent="0.25">
      <c r="A15652" t="str">
        <f>"5615250"</f>
        <v>5615250</v>
      </c>
      <c r="B15652" t="s">
        <v>12807</v>
      </c>
      <c r="C15652" t="s">
        <v>415</v>
      </c>
      <c r="D15652" s="21" t="s">
        <v>34</v>
      </c>
      <c r="E15652" s="21" t="s">
        <v>254</v>
      </c>
      <c r="F15652">
        <v>3560033</v>
      </c>
      <c r="G15652" t="s">
        <v>4927</v>
      </c>
      <c r="H15652" s="21">
        <v>840.17</v>
      </c>
    </row>
    <row r="15653" spans="1:8" customFormat="1" x14ac:dyDescent="0.25">
      <c r="A15653" t="str">
        <f>"8011754"</f>
        <v>8011754</v>
      </c>
      <c r="B15653" t="s">
        <v>14329</v>
      </c>
      <c r="C15653" t="s">
        <v>2546</v>
      </c>
      <c r="D15653" s="21" t="s">
        <v>34</v>
      </c>
      <c r="E15653" s="21" t="s">
        <v>254</v>
      </c>
      <c r="F15653">
        <v>7800141</v>
      </c>
      <c r="G15653" t="s">
        <v>9939</v>
      </c>
      <c r="H15653" s="21">
        <v>840.17</v>
      </c>
    </row>
    <row r="15654" spans="1:8" customFormat="1" x14ac:dyDescent="0.25">
      <c r="A15654" t="str">
        <f>"4928434"</f>
        <v>4928434</v>
      </c>
      <c r="B15654" t="s">
        <v>15073</v>
      </c>
      <c r="C15654" t="s">
        <v>15074</v>
      </c>
      <c r="D15654" s="21" t="s">
        <v>34</v>
      </c>
      <c r="E15654" s="21" t="s">
        <v>71</v>
      </c>
      <c r="F15654">
        <v>12490033</v>
      </c>
      <c r="G15654" t="s">
        <v>3469</v>
      </c>
      <c r="H15654" s="21">
        <v>840.17</v>
      </c>
    </row>
    <row r="15655" spans="1:8" customFormat="1" x14ac:dyDescent="0.25">
      <c r="A15655" t="str">
        <f>"011763"</f>
        <v>011763</v>
      </c>
      <c r="B15655" t="s">
        <v>12741</v>
      </c>
      <c r="C15655" t="s">
        <v>202</v>
      </c>
      <c r="D15655" s="21" t="s">
        <v>34</v>
      </c>
      <c r="E15655" s="21" t="s">
        <v>1089</v>
      </c>
      <c r="F15655">
        <v>1010027</v>
      </c>
      <c r="G15655" t="s">
        <v>6318</v>
      </c>
      <c r="H15655" s="21">
        <v>840.17</v>
      </c>
    </row>
    <row r="15656" spans="1:8" customFormat="1" x14ac:dyDescent="0.25">
      <c r="A15656" t="str">
        <f>"212732"</f>
        <v>212732</v>
      </c>
      <c r="B15656" t="s">
        <v>13363</v>
      </c>
      <c r="C15656" t="s">
        <v>239</v>
      </c>
      <c r="D15656" s="21" t="s">
        <v>34</v>
      </c>
      <c r="E15656" s="21" t="s">
        <v>254</v>
      </c>
      <c r="F15656">
        <v>2210126</v>
      </c>
      <c r="G15656" t="s">
        <v>10773</v>
      </c>
      <c r="H15656" s="21">
        <v>840.17</v>
      </c>
    </row>
    <row r="15657" spans="1:8" customFormat="1" x14ac:dyDescent="0.25">
      <c r="A15657" t="str">
        <f>"5323112"</f>
        <v>5323112</v>
      </c>
      <c r="B15657" t="s">
        <v>13636</v>
      </c>
      <c r="C15657" t="s">
        <v>288</v>
      </c>
      <c r="D15657" s="21" t="s">
        <v>34</v>
      </c>
      <c r="E15657" s="21" t="s">
        <v>35</v>
      </c>
      <c r="F15657">
        <v>12530011</v>
      </c>
      <c r="G15657" t="s">
        <v>7610</v>
      </c>
      <c r="H15657" s="21">
        <v>840.17</v>
      </c>
    </row>
    <row r="15658" spans="1:8" customFormat="1" x14ac:dyDescent="0.25">
      <c r="A15658" t="str">
        <f>"123357"</f>
        <v>123357</v>
      </c>
      <c r="B15658" t="s">
        <v>14259</v>
      </c>
      <c r="C15658" t="s">
        <v>1142</v>
      </c>
      <c r="D15658" s="21" t="s">
        <v>34</v>
      </c>
      <c r="E15658" s="21" t="s">
        <v>71</v>
      </c>
      <c r="F15658">
        <v>11120026</v>
      </c>
      <c r="G15658" t="s">
        <v>9107</v>
      </c>
      <c r="H15658" s="21">
        <v>840.17</v>
      </c>
    </row>
    <row r="15659" spans="1:8" customFormat="1" x14ac:dyDescent="0.25">
      <c r="A15659" t="str">
        <f>"762527"</f>
        <v>762527</v>
      </c>
      <c r="B15659" t="s">
        <v>12736</v>
      </c>
      <c r="C15659" t="s">
        <v>1841</v>
      </c>
      <c r="D15659" s="21" t="s">
        <v>34</v>
      </c>
      <c r="E15659" s="21" t="s">
        <v>254</v>
      </c>
      <c r="F15659">
        <v>9760294</v>
      </c>
      <c r="G15659" t="s">
        <v>8313</v>
      </c>
      <c r="H15659" s="21">
        <v>840.17</v>
      </c>
    </row>
    <row r="15660" spans="1:8" customFormat="1" x14ac:dyDescent="0.25">
      <c r="A15660" t="str">
        <f>"9236269"</f>
        <v>9236269</v>
      </c>
      <c r="B15660" t="s">
        <v>27396</v>
      </c>
      <c r="C15660" t="s">
        <v>82</v>
      </c>
      <c r="D15660" s="21" t="s">
        <v>34</v>
      </c>
      <c r="E15660" s="21" t="s">
        <v>35</v>
      </c>
      <c r="F15660">
        <v>8780568</v>
      </c>
      <c r="G15660" t="s">
        <v>5279</v>
      </c>
      <c r="H15660" s="21">
        <v>840.17</v>
      </c>
    </row>
    <row r="15661" spans="1:8" customFormat="1" x14ac:dyDescent="0.25">
      <c r="A15661" t="str">
        <f>"8513990"</f>
        <v>8513990</v>
      </c>
      <c r="B15661" t="s">
        <v>15161</v>
      </c>
      <c r="C15661" t="s">
        <v>1025</v>
      </c>
      <c r="D15661" s="21" t="s">
        <v>34</v>
      </c>
      <c r="E15661" s="21" t="s">
        <v>71</v>
      </c>
      <c r="F15661">
        <v>12850040</v>
      </c>
      <c r="G15661" t="s">
        <v>2074</v>
      </c>
      <c r="H15661" s="21">
        <v>840.17</v>
      </c>
    </row>
    <row r="15662" spans="1:8" customFormat="1" x14ac:dyDescent="0.25">
      <c r="A15662" t="str">
        <f>"196549"</f>
        <v>196549</v>
      </c>
      <c r="B15662" t="s">
        <v>14555</v>
      </c>
      <c r="C15662" t="s">
        <v>33</v>
      </c>
      <c r="D15662" s="21" t="s">
        <v>34</v>
      </c>
      <c r="E15662" s="21" t="s">
        <v>35</v>
      </c>
      <c r="F15662">
        <v>11120024</v>
      </c>
      <c r="G15662" t="s">
        <v>12259</v>
      </c>
      <c r="H15662" s="21">
        <v>840.04</v>
      </c>
    </row>
    <row r="15663" spans="1:8" customFormat="1" x14ac:dyDescent="0.25">
      <c r="A15663" t="str">
        <f>"3322678"</f>
        <v>3322678</v>
      </c>
      <c r="B15663" t="s">
        <v>11638</v>
      </c>
      <c r="C15663" t="s">
        <v>269</v>
      </c>
      <c r="D15663" s="21" t="s">
        <v>34</v>
      </c>
      <c r="E15663" s="21" t="s">
        <v>254</v>
      </c>
      <c r="F15663">
        <v>10330046</v>
      </c>
      <c r="G15663" t="s">
        <v>1787</v>
      </c>
      <c r="H15663" s="21">
        <v>839.92</v>
      </c>
    </row>
    <row r="15664" spans="1:8" customFormat="1" x14ac:dyDescent="0.25">
      <c r="A15664" t="str">
        <f>"3344030"</f>
        <v>3344030</v>
      </c>
      <c r="B15664" t="s">
        <v>6868</v>
      </c>
      <c r="C15664" t="s">
        <v>209</v>
      </c>
      <c r="D15664" s="21" t="s">
        <v>34</v>
      </c>
      <c r="E15664" s="21" t="s">
        <v>254</v>
      </c>
      <c r="F15664">
        <v>10330130</v>
      </c>
      <c r="G15664" t="s">
        <v>13867</v>
      </c>
      <c r="H15664" s="21">
        <v>839.92</v>
      </c>
    </row>
    <row r="15665" spans="1:8" customFormat="1" x14ac:dyDescent="0.25">
      <c r="A15665" t="str">
        <f>"9227519"</f>
        <v>9227519</v>
      </c>
      <c r="B15665" t="s">
        <v>13784</v>
      </c>
      <c r="C15665" t="s">
        <v>13785</v>
      </c>
      <c r="D15665" s="21" t="s">
        <v>34</v>
      </c>
      <c r="E15665" s="21" t="s">
        <v>35</v>
      </c>
      <c r="F15665">
        <v>10330045</v>
      </c>
      <c r="G15665" t="s">
        <v>4506</v>
      </c>
      <c r="H15665" s="21">
        <v>839.79</v>
      </c>
    </row>
    <row r="15666" spans="1:8" customFormat="1" x14ac:dyDescent="0.25">
      <c r="A15666" t="str">
        <f>"726270"</f>
        <v>726270</v>
      </c>
      <c r="B15666" t="s">
        <v>14346</v>
      </c>
      <c r="C15666" t="s">
        <v>119</v>
      </c>
      <c r="D15666" s="21" t="s">
        <v>34</v>
      </c>
      <c r="E15666" s="21" t="s">
        <v>35</v>
      </c>
      <c r="F15666">
        <v>12720029</v>
      </c>
      <c r="G15666" t="s">
        <v>11575</v>
      </c>
      <c r="H15666" s="21">
        <v>839.67</v>
      </c>
    </row>
    <row r="15667" spans="1:8" customFormat="1" x14ac:dyDescent="0.25">
      <c r="A15667" t="str">
        <f>"5720937"</f>
        <v>5720937</v>
      </c>
      <c r="B15667" t="s">
        <v>2460</v>
      </c>
      <c r="C15667" t="s">
        <v>27397</v>
      </c>
      <c r="D15667" s="21" t="s">
        <v>34</v>
      </c>
      <c r="E15667" s="21" t="s">
        <v>71</v>
      </c>
      <c r="F15667">
        <v>6570168</v>
      </c>
      <c r="G15667" t="s">
        <v>152</v>
      </c>
      <c r="H15667" s="21">
        <v>839.67</v>
      </c>
    </row>
    <row r="15668" spans="1:8" customFormat="1" x14ac:dyDescent="0.25">
      <c r="A15668" t="str">
        <f>"44355"</f>
        <v>44355</v>
      </c>
      <c r="B15668" t="s">
        <v>13367</v>
      </c>
      <c r="C15668" t="s">
        <v>267</v>
      </c>
      <c r="D15668" s="21" t="s">
        <v>34</v>
      </c>
      <c r="E15668" s="21" t="s">
        <v>1089</v>
      </c>
      <c r="F15668">
        <v>12440012</v>
      </c>
      <c r="G15668" t="s">
        <v>807</v>
      </c>
      <c r="H15668" s="21">
        <v>839.67</v>
      </c>
    </row>
    <row r="15669" spans="1:8" customFormat="1" x14ac:dyDescent="0.25">
      <c r="A15669" t="str">
        <f>"027481"</f>
        <v>027481</v>
      </c>
      <c r="B15669" t="s">
        <v>1343</v>
      </c>
      <c r="C15669" t="s">
        <v>171</v>
      </c>
      <c r="D15669" s="21" t="s">
        <v>34</v>
      </c>
      <c r="E15669" s="21" t="s">
        <v>35</v>
      </c>
      <c r="F15669">
        <v>7021012</v>
      </c>
      <c r="G15669" t="s">
        <v>14342</v>
      </c>
      <c r="H15669" s="21">
        <v>839.67</v>
      </c>
    </row>
    <row r="15670" spans="1:8" customFormat="1" x14ac:dyDescent="0.25">
      <c r="A15670" t="str">
        <f>"864324"</f>
        <v>864324</v>
      </c>
      <c r="B15670" t="s">
        <v>13493</v>
      </c>
      <c r="C15670" t="s">
        <v>462</v>
      </c>
      <c r="D15670" s="21" t="s">
        <v>34</v>
      </c>
      <c r="E15670" s="21" t="s">
        <v>71</v>
      </c>
      <c r="F15670">
        <v>10860006</v>
      </c>
      <c r="G15670" t="s">
        <v>3004</v>
      </c>
      <c r="H15670" s="21">
        <v>839.67</v>
      </c>
    </row>
    <row r="15671" spans="1:8" customFormat="1" x14ac:dyDescent="0.25">
      <c r="A15671" t="str">
        <f>"2917421"</f>
        <v>2917421</v>
      </c>
      <c r="B15671" t="s">
        <v>13025</v>
      </c>
      <c r="C15671" t="s">
        <v>1946</v>
      </c>
      <c r="D15671" s="21" t="s">
        <v>34</v>
      </c>
      <c r="E15671" s="21" t="s">
        <v>254</v>
      </c>
      <c r="F15671">
        <v>3290087</v>
      </c>
      <c r="G15671" t="s">
        <v>364</v>
      </c>
      <c r="H15671" s="21">
        <v>839.67</v>
      </c>
    </row>
    <row r="15672" spans="1:8" customFormat="1" x14ac:dyDescent="0.25">
      <c r="A15672" t="str">
        <f>"3515561"</f>
        <v>3515561</v>
      </c>
      <c r="B15672" t="s">
        <v>13388</v>
      </c>
      <c r="C15672" t="s">
        <v>40</v>
      </c>
      <c r="D15672" s="21" t="s">
        <v>34</v>
      </c>
      <c r="E15672" s="21" t="s">
        <v>254</v>
      </c>
      <c r="F15672">
        <v>3350217</v>
      </c>
      <c r="G15672" t="s">
        <v>6797</v>
      </c>
      <c r="H15672" s="21">
        <v>839.67</v>
      </c>
    </row>
    <row r="15673" spans="1:8" customFormat="1" x14ac:dyDescent="0.25">
      <c r="A15673" t="str">
        <f>"2512935"</f>
        <v>2512935</v>
      </c>
      <c r="B15673" t="s">
        <v>13720</v>
      </c>
      <c r="C15673" t="s">
        <v>33</v>
      </c>
      <c r="D15673" s="21" t="s">
        <v>34</v>
      </c>
      <c r="E15673" s="21" t="s">
        <v>71</v>
      </c>
      <c r="F15673">
        <v>2250199</v>
      </c>
      <c r="G15673" t="s">
        <v>8756</v>
      </c>
      <c r="H15673" s="21">
        <v>839.67</v>
      </c>
    </row>
    <row r="15674" spans="1:8" customFormat="1" x14ac:dyDescent="0.25">
      <c r="A15674" t="str">
        <f>"9142927"</f>
        <v>9142927</v>
      </c>
      <c r="B15674" t="s">
        <v>107</v>
      </c>
      <c r="C15674" t="s">
        <v>60</v>
      </c>
      <c r="D15674" s="21" t="s">
        <v>34</v>
      </c>
      <c r="E15674" s="21" t="s">
        <v>35</v>
      </c>
      <c r="F15674">
        <v>8910285</v>
      </c>
      <c r="G15674" t="s">
        <v>26604</v>
      </c>
      <c r="H15674" s="21">
        <v>839.67</v>
      </c>
    </row>
    <row r="15675" spans="1:8" customFormat="1" x14ac:dyDescent="0.25">
      <c r="A15675" t="str">
        <f>"5917070"</f>
        <v>5917070</v>
      </c>
      <c r="B15675" t="s">
        <v>4058</v>
      </c>
      <c r="C15675" t="s">
        <v>171</v>
      </c>
      <c r="D15675" s="21" t="s">
        <v>34</v>
      </c>
      <c r="E15675" s="21" t="s">
        <v>254</v>
      </c>
      <c r="F15675">
        <v>7590228</v>
      </c>
      <c r="G15675" t="s">
        <v>1798</v>
      </c>
      <c r="H15675" s="21">
        <v>839.67</v>
      </c>
    </row>
    <row r="15676" spans="1:8" customFormat="1" x14ac:dyDescent="0.25">
      <c r="A15676" t="str">
        <f>"637835"</f>
        <v>637835</v>
      </c>
      <c r="B15676" t="s">
        <v>5998</v>
      </c>
      <c r="C15676" t="s">
        <v>198</v>
      </c>
      <c r="D15676" s="21" t="s">
        <v>34</v>
      </c>
      <c r="E15676" s="21" t="s">
        <v>254</v>
      </c>
      <c r="F15676">
        <v>1630241</v>
      </c>
      <c r="G15676" t="s">
        <v>4519</v>
      </c>
      <c r="H15676" s="21">
        <v>839.67</v>
      </c>
    </row>
    <row r="15677" spans="1:8" customFormat="1" x14ac:dyDescent="0.25">
      <c r="A15677" t="str">
        <f>"623387"</f>
        <v>623387</v>
      </c>
      <c r="B15677" t="s">
        <v>13793</v>
      </c>
      <c r="C15677" t="s">
        <v>13794</v>
      </c>
      <c r="D15677" s="21" t="s">
        <v>34</v>
      </c>
      <c r="E15677" s="21" t="s">
        <v>254</v>
      </c>
      <c r="F15677">
        <v>7620054</v>
      </c>
      <c r="G15677" t="s">
        <v>1677</v>
      </c>
      <c r="H15677" s="21">
        <v>839.67</v>
      </c>
    </row>
    <row r="15678" spans="1:8" customFormat="1" x14ac:dyDescent="0.25">
      <c r="A15678" t="str">
        <f>"593919"</f>
        <v>593919</v>
      </c>
      <c r="B15678" t="s">
        <v>13208</v>
      </c>
      <c r="C15678" t="s">
        <v>1714</v>
      </c>
      <c r="D15678" s="21" t="s">
        <v>34</v>
      </c>
      <c r="E15678" s="21" t="s">
        <v>254</v>
      </c>
      <c r="F15678">
        <v>7590237</v>
      </c>
      <c r="G15678" t="s">
        <v>3600</v>
      </c>
      <c r="H15678" s="21">
        <v>839.67</v>
      </c>
    </row>
    <row r="15679" spans="1:8" customFormat="1" x14ac:dyDescent="0.25">
      <c r="A15679" t="str">
        <f>"4931811"</f>
        <v>4931811</v>
      </c>
      <c r="B15679" t="s">
        <v>2231</v>
      </c>
      <c r="C15679" t="s">
        <v>336</v>
      </c>
      <c r="D15679" s="21" t="s">
        <v>34</v>
      </c>
      <c r="E15679" s="21" t="s">
        <v>71</v>
      </c>
      <c r="F15679">
        <v>12490020</v>
      </c>
      <c r="G15679" t="s">
        <v>5370</v>
      </c>
      <c r="H15679" s="21">
        <v>839.67</v>
      </c>
    </row>
    <row r="15680" spans="1:8" customFormat="1" x14ac:dyDescent="0.25">
      <c r="A15680" t="str">
        <f>"47341"</f>
        <v>47341</v>
      </c>
      <c r="B15680" t="s">
        <v>27398</v>
      </c>
      <c r="C15680" t="s">
        <v>2365</v>
      </c>
      <c r="D15680" s="21" t="s">
        <v>34</v>
      </c>
      <c r="E15680" s="21" t="s">
        <v>254</v>
      </c>
      <c r="F15680">
        <v>10330005</v>
      </c>
      <c r="G15680" t="s">
        <v>3526</v>
      </c>
      <c r="H15680" s="21">
        <v>839.67</v>
      </c>
    </row>
    <row r="15681" spans="1:8" customFormat="1" x14ac:dyDescent="0.25">
      <c r="A15681" t="str">
        <f>"2510836"</f>
        <v>2510836</v>
      </c>
      <c r="B15681" t="s">
        <v>8181</v>
      </c>
      <c r="C15681" t="s">
        <v>263</v>
      </c>
      <c r="D15681" s="21" t="s">
        <v>34</v>
      </c>
      <c r="E15681" s="21" t="s">
        <v>71</v>
      </c>
      <c r="F15681">
        <v>2250229</v>
      </c>
      <c r="G15681" t="s">
        <v>5004</v>
      </c>
      <c r="H15681" s="21">
        <v>839.67</v>
      </c>
    </row>
    <row r="15682" spans="1:8" customFormat="1" x14ac:dyDescent="0.25">
      <c r="A15682" t="str">
        <f>"796081"</f>
        <v>796081</v>
      </c>
      <c r="B15682" t="s">
        <v>7432</v>
      </c>
      <c r="C15682" t="s">
        <v>462</v>
      </c>
      <c r="D15682" s="21" t="s">
        <v>34</v>
      </c>
      <c r="E15682" s="21" t="s">
        <v>254</v>
      </c>
      <c r="F15682">
        <v>10790009</v>
      </c>
      <c r="G15682" t="s">
        <v>1155</v>
      </c>
      <c r="H15682" s="21">
        <v>839.67</v>
      </c>
    </row>
    <row r="15683" spans="1:8" customFormat="1" x14ac:dyDescent="0.25">
      <c r="A15683" t="str">
        <f>"4928564"</f>
        <v>4928564</v>
      </c>
      <c r="B15683" t="s">
        <v>8099</v>
      </c>
      <c r="C15683" t="s">
        <v>62</v>
      </c>
      <c r="D15683" s="21" t="s">
        <v>34</v>
      </c>
      <c r="E15683" s="21" t="s">
        <v>35</v>
      </c>
      <c r="F15683">
        <v>12490059</v>
      </c>
      <c r="G15683" t="s">
        <v>5063</v>
      </c>
      <c r="H15683" s="21">
        <v>839.67</v>
      </c>
    </row>
    <row r="15684" spans="1:8" customFormat="1" x14ac:dyDescent="0.25">
      <c r="A15684" t="str">
        <f>"197167"</f>
        <v>197167</v>
      </c>
      <c r="B15684" t="s">
        <v>12619</v>
      </c>
      <c r="C15684" t="s">
        <v>528</v>
      </c>
      <c r="D15684" s="21" t="s">
        <v>34</v>
      </c>
      <c r="E15684" s="21" t="s">
        <v>71</v>
      </c>
      <c r="F15684">
        <v>10190054</v>
      </c>
      <c r="G15684" t="s">
        <v>4189</v>
      </c>
      <c r="H15684" s="21">
        <v>839.67</v>
      </c>
    </row>
    <row r="15685" spans="1:8" customFormat="1" x14ac:dyDescent="0.25">
      <c r="A15685" t="str">
        <f>"2925458"</f>
        <v>2925458</v>
      </c>
      <c r="B15685" t="s">
        <v>13290</v>
      </c>
      <c r="C15685" t="s">
        <v>13291</v>
      </c>
      <c r="D15685" s="21" t="s">
        <v>34</v>
      </c>
      <c r="E15685" s="21" t="s">
        <v>35</v>
      </c>
      <c r="F15685">
        <v>3290207</v>
      </c>
      <c r="G15685" t="s">
        <v>8805</v>
      </c>
      <c r="H15685" s="21">
        <v>839.67</v>
      </c>
    </row>
    <row r="15686" spans="1:8" customFormat="1" x14ac:dyDescent="0.25">
      <c r="A15686" t="str">
        <f>"2912738"</f>
        <v>2912738</v>
      </c>
      <c r="B15686" t="s">
        <v>8882</v>
      </c>
      <c r="C15686" t="s">
        <v>2365</v>
      </c>
      <c r="D15686" s="21" t="s">
        <v>34</v>
      </c>
      <c r="E15686" s="21" t="s">
        <v>71</v>
      </c>
      <c r="F15686">
        <v>3290036</v>
      </c>
      <c r="G15686" t="s">
        <v>3903</v>
      </c>
      <c r="H15686" s="21">
        <v>839.67</v>
      </c>
    </row>
    <row r="15687" spans="1:8" customFormat="1" x14ac:dyDescent="0.25">
      <c r="A15687" t="str">
        <f>"2212131"</f>
        <v>2212131</v>
      </c>
      <c r="B15687" t="s">
        <v>4352</v>
      </c>
      <c r="C15687" t="s">
        <v>2479</v>
      </c>
      <c r="D15687" s="21" t="s">
        <v>34</v>
      </c>
      <c r="E15687" s="21" t="s">
        <v>71</v>
      </c>
      <c r="F15687">
        <v>3220128</v>
      </c>
      <c r="G15687" t="s">
        <v>26938</v>
      </c>
      <c r="H15687" s="21">
        <v>839.67</v>
      </c>
    </row>
    <row r="15688" spans="1:8" customFormat="1" x14ac:dyDescent="0.25">
      <c r="A15688" t="str">
        <f>"8313647"</f>
        <v>8313647</v>
      </c>
      <c r="B15688" t="s">
        <v>2082</v>
      </c>
      <c r="C15688" t="s">
        <v>486</v>
      </c>
      <c r="D15688" s="21" t="s">
        <v>34</v>
      </c>
      <c r="E15688" s="21" t="s">
        <v>35</v>
      </c>
      <c r="F15688">
        <v>13830051</v>
      </c>
      <c r="G15688" t="s">
        <v>2031</v>
      </c>
      <c r="H15688" s="21">
        <v>839.67</v>
      </c>
    </row>
    <row r="15689" spans="1:8" customFormat="1" x14ac:dyDescent="0.25">
      <c r="A15689" t="str">
        <f>"1712212"</f>
        <v>1712212</v>
      </c>
      <c r="B15689" t="s">
        <v>13323</v>
      </c>
      <c r="C15689" t="s">
        <v>246</v>
      </c>
      <c r="D15689" s="21" t="s">
        <v>34</v>
      </c>
      <c r="E15689" s="21" t="s">
        <v>71</v>
      </c>
      <c r="F15689">
        <v>10790235</v>
      </c>
      <c r="G15689" t="s">
        <v>413</v>
      </c>
      <c r="H15689" s="21">
        <v>839.67</v>
      </c>
    </row>
    <row r="15690" spans="1:8" customFormat="1" x14ac:dyDescent="0.25">
      <c r="A15690" t="str">
        <f>"5941110"</f>
        <v>5941110</v>
      </c>
      <c r="B15690" t="s">
        <v>5416</v>
      </c>
      <c r="C15690" t="s">
        <v>2546</v>
      </c>
      <c r="D15690" s="21" t="s">
        <v>34</v>
      </c>
      <c r="E15690" s="21" t="s">
        <v>71</v>
      </c>
      <c r="F15690">
        <v>7590006</v>
      </c>
      <c r="G15690" t="s">
        <v>4165</v>
      </c>
      <c r="H15690" s="21">
        <v>839.67</v>
      </c>
    </row>
    <row r="15691" spans="1:8" customFormat="1" x14ac:dyDescent="0.25">
      <c r="A15691" t="str">
        <f>"0114345"</f>
        <v>0114345</v>
      </c>
      <c r="B15691" t="s">
        <v>6965</v>
      </c>
      <c r="C15691" t="s">
        <v>119</v>
      </c>
      <c r="D15691" s="21" t="s">
        <v>34</v>
      </c>
      <c r="E15691" s="21" t="s">
        <v>71</v>
      </c>
      <c r="F15691">
        <v>1010061</v>
      </c>
      <c r="G15691" t="s">
        <v>9290</v>
      </c>
      <c r="H15691" s="21">
        <v>839.54</v>
      </c>
    </row>
    <row r="15692" spans="1:8" customFormat="1" x14ac:dyDescent="0.25">
      <c r="A15692" t="str">
        <f>"5322302"</f>
        <v>5322302</v>
      </c>
      <c r="B15692" t="s">
        <v>14750</v>
      </c>
      <c r="C15692" t="s">
        <v>1142</v>
      </c>
      <c r="D15692" s="21" t="s">
        <v>34</v>
      </c>
      <c r="E15692" s="21" t="s">
        <v>254</v>
      </c>
      <c r="F15692">
        <v>12530093</v>
      </c>
      <c r="G15692" t="s">
        <v>7865</v>
      </c>
      <c r="H15692" s="21">
        <v>839.42</v>
      </c>
    </row>
    <row r="15693" spans="1:8" customFormat="1" x14ac:dyDescent="0.25">
      <c r="A15693" t="str">
        <f>"4422834"</f>
        <v>4422834</v>
      </c>
      <c r="B15693" t="s">
        <v>12553</v>
      </c>
      <c r="C15693" t="s">
        <v>415</v>
      </c>
      <c r="D15693" s="21" t="s">
        <v>34</v>
      </c>
      <c r="E15693" s="21" t="s">
        <v>71</v>
      </c>
      <c r="F15693">
        <v>12440136</v>
      </c>
      <c r="G15693" t="s">
        <v>3271</v>
      </c>
      <c r="H15693" s="21">
        <v>839.42</v>
      </c>
    </row>
    <row r="15694" spans="1:8" customFormat="1" x14ac:dyDescent="0.25">
      <c r="A15694" t="str">
        <f>"1421298"</f>
        <v>1421298</v>
      </c>
      <c r="B15694" t="s">
        <v>3635</v>
      </c>
      <c r="C15694" t="s">
        <v>486</v>
      </c>
      <c r="D15694" s="21" t="s">
        <v>34</v>
      </c>
      <c r="E15694" s="21" t="s">
        <v>35</v>
      </c>
      <c r="F15694">
        <v>9140201</v>
      </c>
      <c r="G15694" t="s">
        <v>13327</v>
      </c>
      <c r="H15694" s="21">
        <v>839.42</v>
      </c>
    </row>
    <row r="15695" spans="1:8" customFormat="1" x14ac:dyDescent="0.25">
      <c r="A15695" t="str">
        <f>"352383"</f>
        <v>352383</v>
      </c>
      <c r="B15695" t="s">
        <v>10427</v>
      </c>
      <c r="C15695" t="s">
        <v>1665</v>
      </c>
      <c r="D15695" s="21" t="s">
        <v>34</v>
      </c>
      <c r="E15695" s="21" t="s">
        <v>254</v>
      </c>
      <c r="F15695">
        <v>3350212</v>
      </c>
      <c r="G15695" t="s">
        <v>5154</v>
      </c>
      <c r="H15695" s="21">
        <v>839.17</v>
      </c>
    </row>
    <row r="15696" spans="1:8" customFormat="1" x14ac:dyDescent="0.25">
      <c r="A15696" t="str">
        <f>"3324311"</f>
        <v>3324311</v>
      </c>
      <c r="B15696" t="s">
        <v>27399</v>
      </c>
      <c r="C15696" t="s">
        <v>124</v>
      </c>
      <c r="D15696" s="21" t="s">
        <v>34</v>
      </c>
      <c r="E15696" s="21" t="s">
        <v>71</v>
      </c>
      <c r="F15696">
        <v>10330067</v>
      </c>
      <c r="G15696" t="s">
        <v>125</v>
      </c>
      <c r="H15696" s="21">
        <v>839.17</v>
      </c>
    </row>
    <row r="15697" spans="1:8" customFormat="1" x14ac:dyDescent="0.25">
      <c r="A15697" t="str">
        <f>"6940403"</f>
        <v>6940403</v>
      </c>
      <c r="B15697" t="s">
        <v>27400</v>
      </c>
      <c r="C15697" t="s">
        <v>206</v>
      </c>
      <c r="D15697" s="21" t="s">
        <v>34</v>
      </c>
      <c r="E15697" s="21" t="s">
        <v>35</v>
      </c>
      <c r="F15697">
        <v>1690181</v>
      </c>
      <c r="G15697" t="s">
        <v>20881</v>
      </c>
      <c r="H15697" s="21">
        <v>839.17</v>
      </c>
    </row>
    <row r="15698" spans="1:8" customFormat="1" x14ac:dyDescent="0.25">
      <c r="A15698" t="str">
        <f>"33631"</f>
        <v>33631</v>
      </c>
      <c r="B15698" t="s">
        <v>27401</v>
      </c>
      <c r="C15698" t="s">
        <v>109</v>
      </c>
      <c r="D15698" s="21" t="s">
        <v>34</v>
      </c>
      <c r="E15698" s="21" t="s">
        <v>71</v>
      </c>
      <c r="F15698">
        <v>10330086</v>
      </c>
      <c r="G15698" t="s">
        <v>785</v>
      </c>
      <c r="H15698" s="21">
        <v>839.17</v>
      </c>
    </row>
    <row r="15699" spans="1:8" customFormat="1" x14ac:dyDescent="0.25">
      <c r="A15699" t="str">
        <f>"294024"</f>
        <v>294024</v>
      </c>
      <c r="B15699" t="s">
        <v>13023</v>
      </c>
      <c r="C15699" t="s">
        <v>249</v>
      </c>
      <c r="D15699" s="21" t="s">
        <v>34</v>
      </c>
      <c r="E15699" s="21" t="s">
        <v>254</v>
      </c>
      <c r="F15699">
        <v>3290024</v>
      </c>
      <c r="G15699" t="s">
        <v>5690</v>
      </c>
      <c r="H15699" s="21">
        <v>839.17</v>
      </c>
    </row>
    <row r="15700" spans="1:8" customFormat="1" x14ac:dyDescent="0.25">
      <c r="A15700" t="str">
        <f>"746488"</f>
        <v>746488</v>
      </c>
      <c r="B15700" t="s">
        <v>12228</v>
      </c>
      <c r="C15700" t="s">
        <v>2730</v>
      </c>
      <c r="D15700" s="21" t="s">
        <v>34</v>
      </c>
      <c r="E15700" s="21" t="s">
        <v>71</v>
      </c>
      <c r="F15700">
        <v>1740010</v>
      </c>
      <c r="G15700" t="s">
        <v>4986</v>
      </c>
      <c r="H15700" s="21">
        <v>839.17</v>
      </c>
    </row>
    <row r="15701" spans="1:8" customFormat="1" x14ac:dyDescent="0.25">
      <c r="A15701" t="str">
        <f>"5711290"</f>
        <v>5711290</v>
      </c>
      <c r="B15701" t="s">
        <v>11106</v>
      </c>
      <c r="C15701" t="s">
        <v>621</v>
      </c>
      <c r="D15701" s="21" t="s">
        <v>34</v>
      </c>
      <c r="E15701" s="21" t="s">
        <v>71</v>
      </c>
      <c r="F15701">
        <v>6570174</v>
      </c>
      <c r="G15701" t="s">
        <v>12454</v>
      </c>
      <c r="H15701" s="21">
        <v>839.17</v>
      </c>
    </row>
    <row r="15702" spans="1:8" customFormat="1" x14ac:dyDescent="0.25">
      <c r="A15702" t="str">
        <f>"822500"</f>
        <v>822500</v>
      </c>
      <c r="B15702" t="s">
        <v>12982</v>
      </c>
      <c r="C15702" t="s">
        <v>40</v>
      </c>
      <c r="D15702" s="21" t="s">
        <v>34</v>
      </c>
      <c r="E15702" s="21" t="s">
        <v>71</v>
      </c>
      <c r="F15702">
        <v>11820007</v>
      </c>
      <c r="G15702" t="s">
        <v>532</v>
      </c>
      <c r="H15702" s="21">
        <v>839.17</v>
      </c>
    </row>
    <row r="15703" spans="1:8" customFormat="1" x14ac:dyDescent="0.25">
      <c r="A15703" t="str">
        <f>"832132"</f>
        <v>832132</v>
      </c>
      <c r="B15703" t="s">
        <v>11570</v>
      </c>
      <c r="C15703" t="s">
        <v>1271</v>
      </c>
      <c r="D15703" s="21" t="s">
        <v>34</v>
      </c>
      <c r="E15703" s="21" t="s">
        <v>1089</v>
      </c>
      <c r="F15703">
        <v>13830060</v>
      </c>
      <c r="G15703" t="s">
        <v>5856</v>
      </c>
      <c r="H15703" s="21">
        <v>839.17</v>
      </c>
    </row>
    <row r="15704" spans="1:8" customFormat="1" x14ac:dyDescent="0.25">
      <c r="A15704" t="str">
        <f>"8816250"</f>
        <v>8816250</v>
      </c>
      <c r="B15704" t="s">
        <v>14109</v>
      </c>
      <c r="C15704" t="s">
        <v>60</v>
      </c>
      <c r="D15704" s="21" t="s">
        <v>34</v>
      </c>
      <c r="E15704" s="21" t="s">
        <v>35</v>
      </c>
      <c r="F15704">
        <v>6880066</v>
      </c>
      <c r="G15704" t="s">
        <v>4833</v>
      </c>
      <c r="H15704" s="21">
        <v>839.17</v>
      </c>
    </row>
    <row r="15705" spans="1:8" customFormat="1" x14ac:dyDescent="0.25">
      <c r="A15705" t="str">
        <f>"587706"</f>
        <v>587706</v>
      </c>
      <c r="B15705" t="s">
        <v>14095</v>
      </c>
      <c r="C15705" t="s">
        <v>2276</v>
      </c>
      <c r="D15705" s="21" t="s">
        <v>34</v>
      </c>
      <c r="E15705" s="21" t="s">
        <v>254</v>
      </c>
      <c r="F15705">
        <v>2580010</v>
      </c>
      <c r="G15705" t="s">
        <v>1965</v>
      </c>
      <c r="H15705" s="21">
        <v>839.17</v>
      </c>
    </row>
    <row r="15706" spans="1:8" customFormat="1" x14ac:dyDescent="0.25">
      <c r="A15706" t="str">
        <f>"4916046"</f>
        <v>4916046</v>
      </c>
      <c r="B15706" t="s">
        <v>8923</v>
      </c>
      <c r="C15706" t="s">
        <v>328</v>
      </c>
      <c r="D15706" s="21" t="s">
        <v>34</v>
      </c>
      <c r="E15706" s="21" t="s">
        <v>71</v>
      </c>
      <c r="F15706">
        <v>12490029</v>
      </c>
      <c r="G15706" t="s">
        <v>3485</v>
      </c>
      <c r="H15706" s="21">
        <v>839.17</v>
      </c>
    </row>
    <row r="15707" spans="1:8" customFormat="1" x14ac:dyDescent="0.25">
      <c r="A15707" t="str">
        <f>"6215408"</f>
        <v>6215408</v>
      </c>
      <c r="B15707" t="s">
        <v>13478</v>
      </c>
      <c r="C15707" t="s">
        <v>33</v>
      </c>
      <c r="D15707" s="21" t="s">
        <v>34</v>
      </c>
      <c r="E15707" s="21" t="s">
        <v>35</v>
      </c>
      <c r="F15707">
        <v>7620062</v>
      </c>
      <c r="G15707" t="s">
        <v>12602</v>
      </c>
      <c r="H15707" s="21">
        <v>839</v>
      </c>
    </row>
    <row r="15708" spans="1:8" customFormat="1" x14ac:dyDescent="0.25">
      <c r="A15708" t="str">
        <f>"1310871"</f>
        <v>1310871</v>
      </c>
      <c r="B15708" t="s">
        <v>9781</v>
      </c>
      <c r="C15708" t="s">
        <v>267</v>
      </c>
      <c r="D15708" s="21" t="s">
        <v>34</v>
      </c>
      <c r="E15708" s="21" t="s">
        <v>254</v>
      </c>
      <c r="F15708">
        <v>11300008</v>
      </c>
      <c r="G15708" t="s">
        <v>3165</v>
      </c>
      <c r="H15708" s="21">
        <v>838.67</v>
      </c>
    </row>
    <row r="15709" spans="1:8" customFormat="1" x14ac:dyDescent="0.25">
      <c r="A15709" t="str">
        <f>"282973"</f>
        <v>282973</v>
      </c>
      <c r="B15709" t="s">
        <v>14438</v>
      </c>
      <c r="C15709" t="s">
        <v>598</v>
      </c>
      <c r="D15709" s="21" t="s">
        <v>34</v>
      </c>
      <c r="E15709" s="21" t="s">
        <v>254</v>
      </c>
      <c r="F15709">
        <v>4280612</v>
      </c>
      <c r="G15709" t="s">
        <v>6809</v>
      </c>
      <c r="H15709" s="21">
        <v>838.67</v>
      </c>
    </row>
    <row r="15710" spans="1:8" customFormat="1" x14ac:dyDescent="0.25">
      <c r="A15710" t="str">
        <f>"2927367"</f>
        <v>2927367</v>
      </c>
      <c r="B15710" t="s">
        <v>11977</v>
      </c>
      <c r="C15710" t="s">
        <v>1100</v>
      </c>
      <c r="D15710" s="21" t="s">
        <v>34</v>
      </c>
      <c r="E15710" s="21" t="s">
        <v>254</v>
      </c>
      <c r="F15710">
        <v>3290277</v>
      </c>
      <c r="G15710" t="s">
        <v>1671</v>
      </c>
      <c r="H15710" s="21">
        <v>838.67</v>
      </c>
    </row>
    <row r="15711" spans="1:8" customFormat="1" x14ac:dyDescent="0.25">
      <c r="A15711" t="str">
        <f>"7859578"</f>
        <v>7859578</v>
      </c>
      <c r="B15711" t="s">
        <v>2313</v>
      </c>
      <c r="C15711" t="s">
        <v>12586</v>
      </c>
      <c r="D15711" s="21" t="s">
        <v>34</v>
      </c>
      <c r="E15711" s="21" t="s">
        <v>71</v>
      </c>
      <c r="F15711">
        <v>8780632</v>
      </c>
      <c r="G15711" t="s">
        <v>1571</v>
      </c>
      <c r="H15711" s="21">
        <v>838.67</v>
      </c>
    </row>
    <row r="15712" spans="1:8" customFormat="1" x14ac:dyDescent="0.25">
      <c r="A15712" t="str">
        <f>"067550"</f>
        <v>067550</v>
      </c>
      <c r="B15712" t="s">
        <v>6595</v>
      </c>
      <c r="C15712" t="s">
        <v>65</v>
      </c>
      <c r="D15712" s="21" t="s">
        <v>34</v>
      </c>
      <c r="E15712" s="21" t="s">
        <v>71</v>
      </c>
      <c r="F15712">
        <v>13060066</v>
      </c>
      <c r="G15712" t="s">
        <v>2556</v>
      </c>
      <c r="H15712" s="21">
        <v>838.67</v>
      </c>
    </row>
    <row r="15713" spans="1:8" customFormat="1" x14ac:dyDescent="0.25">
      <c r="A15713" t="str">
        <f>"7639410"</f>
        <v>7639410</v>
      </c>
      <c r="B15713" t="s">
        <v>9321</v>
      </c>
      <c r="C15713" t="s">
        <v>204</v>
      </c>
      <c r="D15713" s="21" t="s">
        <v>34</v>
      </c>
      <c r="E15713" s="21" t="s">
        <v>35</v>
      </c>
      <c r="F15713">
        <v>9760396</v>
      </c>
      <c r="G15713" t="s">
        <v>3875</v>
      </c>
      <c r="H15713" s="21">
        <v>838.67</v>
      </c>
    </row>
    <row r="15714" spans="1:8" customFormat="1" x14ac:dyDescent="0.25">
      <c r="A15714" t="str">
        <f>"5976545"</f>
        <v>5976545</v>
      </c>
      <c r="B15714" t="s">
        <v>14615</v>
      </c>
      <c r="C15714" t="s">
        <v>139</v>
      </c>
      <c r="D15714" s="21" t="s">
        <v>34</v>
      </c>
      <c r="E15714" s="21" t="s">
        <v>35</v>
      </c>
      <c r="F15714">
        <v>7590244</v>
      </c>
      <c r="G15714" t="s">
        <v>5768</v>
      </c>
      <c r="H15714" s="21">
        <v>838.67</v>
      </c>
    </row>
    <row r="15715" spans="1:8" customFormat="1" x14ac:dyDescent="0.25">
      <c r="A15715" t="str">
        <f>"351621"</f>
        <v>351621</v>
      </c>
      <c r="B15715" t="s">
        <v>2398</v>
      </c>
      <c r="C15715" t="s">
        <v>269</v>
      </c>
      <c r="D15715" s="21" t="s">
        <v>34</v>
      </c>
      <c r="E15715" s="21" t="s">
        <v>254</v>
      </c>
      <c r="F15715">
        <v>3350060</v>
      </c>
      <c r="G15715" t="s">
        <v>38</v>
      </c>
      <c r="H15715" s="21">
        <v>838.67</v>
      </c>
    </row>
    <row r="15716" spans="1:8" customFormat="1" x14ac:dyDescent="0.25">
      <c r="A15716" t="str">
        <f>"5417944"</f>
        <v>5417944</v>
      </c>
      <c r="B15716" t="s">
        <v>5083</v>
      </c>
      <c r="C15716" t="s">
        <v>486</v>
      </c>
      <c r="D15716" s="21" t="s">
        <v>34</v>
      </c>
      <c r="E15716" s="21" t="s">
        <v>35</v>
      </c>
      <c r="F15716">
        <v>6540198</v>
      </c>
      <c r="G15716" t="s">
        <v>9045</v>
      </c>
      <c r="H15716" s="21">
        <v>838.67</v>
      </c>
    </row>
    <row r="15717" spans="1:8" customFormat="1" x14ac:dyDescent="0.25">
      <c r="A15717" t="str">
        <f>"2718647"</f>
        <v>2718647</v>
      </c>
      <c r="B15717" t="s">
        <v>14769</v>
      </c>
      <c r="C15717" t="s">
        <v>3712</v>
      </c>
      <c r="D15717" s="21" t="s">
        <v>34</v>
      </c>
      <c r="E15717" s="21" t="s">
        <v>35</v>
      </c>
      <c r="F15717">
        <v>9270156</v>
      </c>
      <c r="G15717" t="s">
        <v>3751</v>
      </c>
      <c r="H15717" s="21">
        <v>838.67</v>
      </c>
    </row>
    <row r="15718" spans="1:8" customFormat="1" x14ac:dyDescent="0.25">
      <c r="A15718" t="str">
        <f>"183718"</f>
        <v>183718</v>
      </c>
      <c r="B15718" t="s">
        <v>2854</v>
      </c>
      <c r="C15718" t="s">
        <v>1132</v>
      </c>
      <c r="D15718" s="21" t="s">
        <v>34</v>
      </c>
      <c r="E15718" s="21" t="s">
        <v>71</v>
      </c>
      <c r="F15718">
        <v>4180157</v>
      </c>
      <c r="G15718" t="s">
        <v>11170</v>
      </c>
      <c r="H15718" s="21">
        <v>838.67</v>
      </c>
    </row>
    <row r="15719" spans="1:8" customFormat="1" x14ac:dyDescent="0.25">
      <c r="A15719" t="str">
        <f>"822302"</f>
        <v>822302</v>
      </c>
      <c r="B15719" t="s">
        <v>12885</v>
      </c>
      <c r="C15719" t="s">
        <v>249</v>
      </c>
      <c r="D15719" s="21" t="s">
        <v>34</v>
      </c>
      <c r="E15719" s="21" t="s">
        <v>71</v>
      </c>
      <c r="F15719">
        <v>11820026</v>
      </c>
      <c r="G15719" t="s">
        <v>9372</v>
      </c>
      <c r="H15719" s="21">
        <v>838.67</v>
      </c>
    </row>
    <row r="15720" spans="1:8" customFormat="1" x14ac:dyDescent="0.25">
      <c r="A15720" t="str">
        <f>"2937730"</f>
        <v>2937730</v>
      </c>
      <c r="B15720" t="s">
        <v>11717</v>
      </c>
      <c r="C15720" t="s">
        <v>486</v>
      </c>
      <c r="D15720" s="21" t="s">
        <v>34</v>
      </c>
      <c r="E15720" s="21" t="s">
        <v>35</v>
      </c>
      <c r="F15720">
        <v>3290280</v>
      </c>
      <c r="G15720" t="s">
        <v>4913</v>
      </c>
      <c r="H15720" s="21">
        <v>838.67</v>
      </c>
    </row>
    <row r="15721" spans="1:8" customFormat="1" x14ac:dyDescent="0.25">
      <c r="A15721" t="str">
        <f>"541615"</f>
        <v>541615</v>
      </c>
      <c r="B15721" t="s">
        <v>15535</v>
      </c>
      <c r="C15721" t="s">
        <v>462</v>
      </c>
      <c r="D15721" s="21" t="s">
        <v>34</v>
      </c>
      <c r="E15721" s="21" t="s">
        <v>254</v>
      </c>
      <c r="F15721">
        <v>6540007</v>
      </c>
      <c r="G15721" t="s">
        <v>10264</v>
      </c>
      <c r="H15721" s="21">
        <v>838.67</v>
      </c>
    </row>
    <row r="15722" spans="1:8" customFormat="1" x14ac:dyDescent="0.25">
      <c r="A15722" t="str">
        <f>"618623"</f>
        <v>618623</v>
      </c>
      <c r="B15722" t="s">
        <v>4445</v>
      </c>
      <c r="C15722" t="s">
        <v>55</v>
      </c>
      <c r="D15722" s="21" t="s">
        <v>34</v>
      </c>
      <c r="E15722" s="21" t="s">
        <v>35</v>
      </c>
      <c r="F15722">
        <v>9610017</v>
      </c>
      <c r="G15722" t="s">
        <v>12194</v>
      </c>
      <c r="H15722" s="21">
        <v>838.67</v>
      </c>
    </row>
    <row r="15723" spans="1:8" customFormat="1" x14ac:dyDescent="0.25">
      <c r="A15723" t="str">
        <f>"2719361"</f>
        <v>2719361</v>
      </c>
      <c r="B15723" t="s">
        <v>15359</v>
      </c>
      <c r="C15723" t="s">
        <v>263</v>
      </c>
      <c r="D15723" s="21" t="s">
        <v>34</v>
      </c>
      <c r="E15723" s="21" t="s">
        <v>71</v>
      </c>
      <c r="F15723">
        <v>9270089</v>
      </c>
      <c r="G15723" t="s">
        <v>1009</v>
      </c>
      <c r="H15723" s="21">
        <v>838.67</v>
      </c>
    </row>
    <row r="15724" spans="1:8" customFormat="1" x14ac:dyDescent="0.25">
      <c r="A15724" t="str">
        <f>"6314503"</f>
        <v>6314503</v>
      </c>
      <c r="B15724" t="s">
        <v>15098</v>
      </c>
      <c r="C15724" t="s">
        <v>311</v>
      </c>
      <c r="D15724" s="21" t="s">
        <v>34</v>
      </c>
      <c r="E15724" s="21" t="s">
        <v>35</v>
      </c>
      <c r="F15724">
        <v>1630078</v>
      </c>
      <c r="G15724" t="s">
        <v>326</v>
      </c>
      <c r="H15724" s="21">
        <v>838.54</v>
      </c>
    </row>
    <row r="15725" spans="1:8" customFormat="1" x14ac:dyDescent="0.25">
      <c r="A15725" t="str">
        <f>"106054"</f>
        <v>106054</v>
      </c>
      <c r="B15725" t="s">
        <v>9940</v>
      </c>
      <c r="C15725" t="s">
        <v>13282</v>
      </c>
      <c r="D15725" s="21" t="s">
        <v>34</v>
      </c>
      <c r="E15725" s="21" t="s">
        <v>35</v>
      </c>
      <c r="F15725">
        <v>6100004</v>
      </c>
      <c r="G15725" t="s">
        <v>496</v>
      </c>
      <c r="H15725" s="21">
        <v>838.54</v>
      </c>
    </row>
    <row r="15726" spans="1:8" customFormat="1" x14ac:dyDescent="0.25">
      <c r="A15726" t="str">
        <f>"5931446"</f>
        <v>5931446</v>
      </c>
      <c r="B15726" t="s">
        <v>15230</v>
      </c>
      <c r="C15726" t="s">
        <v>40</v>
      </c>
      <c r="D15726" s="21" t="s">
        <v>34</v>
      </c>
      <c r="E15726" s="21" t="s">
        <v>71</v>
      </c>
      <c r="F15726">
        <v>7590114</v>
      </c>
      <c r="G15726" t="s">
        <v>6332</v>
      </c>
      <c r="H15726" s="21">
        <v>838.54</v>
      </c>
    </row>
    <row r="15727" spans="1:8" customFormat="1" x14ac:dyDescent="0.25">
      <c r="A15727" t="str">
        <f>"8157"</f>
        <v>8157</v>
      </c>
      <c r="B15727" t="s">
        <v>875</v>
      </c>
      <c r="C15727" t="s">
        <v>11407</v>
      </c>
      <c r="D15727" s="21" t="s">
        <v>34</v>
      </c>
      <c r="E15727" s="21" t="s">
        <v>1089</v>
      </c>
      <c r="F15727">
        <v>11810024</v>
      </c>
      <c r="G15727" t="s">
        <v>2095</v>
      </c>
      <c r="H15727" s="21">
        <v>838.54</v>
      </c>
    </row>
    <row r="15728" spans="1:8" customFormat="1" x14ac:dyDescent="0.25">
      <c r="A15728" t="str">
        <f>"7831178"</f>
        <v>7831178</v>
      </c>
      <c r="B15728" t="s">
        <v>6656</v>
      </c>
      <c r="C15728" t="s">
        <v>879</v>
      </c>
      <c r="D15728" s="21" t="s">
        <v>34</v>
      </c>
      <c r="E15728" s="21" t="s">
        <v>254</v>
      </c>
      <c r="F15728">
        <v>8781288</v>
      </c>
      <c r="G15728" t="s">
        <v>13309</v>
      </c>
      <c r="H15728" s="21">
        <v>838.42</v>
      </c>
    </row>
    <row r="15729" spans="1:8" customFormat="1" x14ac:dyDescent="0.25">
      <c r="A15729" t="str">
        <f>"373432"</f>
        <v>373432</v>
      </c>
      <c r="B15729" t="s">
        <v>12339</v>
      </c>
      <c r="C15729" t="s">
        <v>1841</v>
      </c>
      <c r="D15729" s="21" t="s">
        <v>34</v>
      </c>
      <c r="E15729" s="21" t="s">
        <v>254</v>
      </c>
      <c r="F15729">
        <v>4370349</v>
      </c>
      <c r="G15729" t="s">
        <v>2287</v>
      </c>
      <c r="H15729" s="21">
        <v>838.29</v>
      </c>
    </row>
    <row r="15730" spans="1:8" customFormat="1" x14ac:dyDescent="0.25">
      <c r="A15730" t="str">
        <f>"3516986"</f>
        <v>3516986</v>
      </c>
      <c r="B15730" t="s">
        <v>7700</v>
      </c>
      <c r="C15730" t="s">
        <v>1665</v>
      </c>
      <c r="D15730" s="21" t="s">
        <v>34</v>
      </c>
      <c r="E15730" s="21" t="s">
        <v>254</v>
      </c>
      <c r="F15730">
        <v>3350009</v>
      </c>
      <c r="G15730" t="s">
        <v>1823</v>
      </c>
      <c r="H15730" s="21">
        <v>838.17</v>
      </c>
    </row>
    <row r="15731" spans="1:8" customFormat="1" x14ac:dyDescent="0.25">
      <c r="A15731" t="str">
        <f>"594111"</f>
        <v>594111</v>
      </c>
      <c r="B15731" t="s">
        <v>12414</v>
      </c>
      <c r="C15731" t="s">
        <v>2365</v>
      </c>
      <c r="D15731" s="21" t="s">
        <v>34</v>
      </c>
      <c r="E15731" s="21" t="s">
        <v>254</v>
      </c>
      <c r="F15731">
        <v>7590251</v>
      </c>
      <c r="G15731" t="s">
        <v>9254</v>
      </c>
      <c r="H15731" s="21">
        <v>838.17</v>
      </c>
    </row>
    <row r="15732" spans="1:8" customFormat="1" x14ac:dyDescent="0.25">
      <c r="A15732" t="str">
        <f>"632595"</f>
        <v>632595</v>
      </c>
      <c r="B15732" t="s">
        <v>9990</v>
      </c>
      <c r="C15732" t="s">
        <v>249</v>
      </c>
      <c r="D15732" s="21" t="s">
        <v>34</v>
      </c>
      <c r="E15732" s="21" t="s">
        <v>35</v>
      </c>
      <c r="F15732">
        <v>1630012</v>
      </c>
      <c r="G15732" t="s">
        <v>8636</v>
      </c>
      <c r="H15732" s="21">
        <v>838.17</v>
      </c>
    </row>
    <row r="15733" spans="1:8" customFormat="1" x14ac:dyDescent="0.25">
      <c r="A15733" t="str">
        <f>"7618473"</f>
        <v>7618473</v>
      </c>
      <c r="B15733" t="s">
        <v>15038</v>
      </c>
      <c r="C15733" t="s">
        <v>269</v>
      </c>
      <c r="D15733" s="21" t="s">
        <v>34</v>
      </c>
      <c r="E15733" s="21" t="s">
        <v>254</v>
      </c>
      <c r="F15733">
        <v>9760011</v>
      </c>
      <c r="G15733" t="s">
        <v>2562</v>
      </c>
      <c r="H15733" s="21">
        <v>838.17</v>
      </c>
    </row>
    <row r="15734" spans="1:8" customFormat="1" x14ac:dyDescent="0.25">
      <c r="A15734" t="str">
        <f>"0113863"</f>
        <v>0113863</v>
      </c>
      <c r="B15734" t="s">
        <v>5617</v>
      </c>
      <c r="C15734" t="s">
        <v>139</v>
      </c>
      <c r="D15734" s="21" t="s">
        <v>34</v>
      </c>
      <c r="E15734" s="21" t="s">
        <v>35</v>
      </c>
      <c r="F15734">
        <v>1010020</v>
      </c>
      <c r="G15734" t="s">
        <v>6121</v>
      </c>
      <c r="H15734" s="21">
        <v>838.17</v>
      </c>
    </row>
    <row r="15735" spans="1:8" customFormat="1" x14ac:dyDescent="0.25">
      <c r="A15735" t="str">
        <f>"9121324"</f>
        <v>9121324</v>
      </c>
      <c r="B15735" t="s">
        <v>15368</v>
      </c>
      <c r="C15735" t="s">
        <v>263</v>
      </c>
      <c r="D15735" s="21" t="s">
        <v>34</v>
      </c>
      <c r="E15735" s="21" t="s">
        <v>254</v>
      </c>
      <c r="F15735">
        <v>8910652</v>
      </c>
      <c r="G15735" t="s">
        <v>6533</v>
      </c>
      <c r="H15735" s="21">
        <v>838.17</v>
      </c>
    </row>
    <row r="15736" spans="1:8" customFormat="1" x14ac:dyDescent="0.25">
      <c r="A15736" t="str">
        <f>"6813484"</f>
        <v>6813484</v>
      </c>
      <c r="B15736" t="s">
        <v>12976</v>
      </c>
      <c r="C15736" t="s">
        <v>379</v>
      </c>
      <c r="D15736" s="21" t="s">
        <v>34</v>
      </c>
      <c r="E15736" s="21" t="s">
        <v>254</v>
      </c>
      <c r="F15736">
        <v>6680138</v>
      </c>
      <c r="G15736" t="s">
        <v>10497</v>
      </c>
      <c r="H15736" s="21">
        <v>838.17</v>
      </c>
    </row>
    <row r="15737" spans="1:8" customFormat="1" x14ac:dyDescent="0.25">
      <c r="A15737" t="str">
        <f>"101344"</f>
        <v>101344</v>
      </c>
      <c r="B15737" t="s">
        <v>2658</v>
      </c>
      <c r="C15737" t="s">
        <v>187</v>
      </c>
      <c r="D15737" s="21" t="s">
        <v>34</v>
      </c>
      <c r="E15737" s="21" t="s">
        <v>35</v>
      </c>
      <c r="F15737">
        <v>1010020</v>
      </c>
      <c r="G15737" t="s">
        <v>6121</v>
      </c>
      <c r="H15737" s="21">
        <v>838.17</v>
      </c>
    </row>
    <row r="15738" spans="1:8" customFormat="1" x14ac:dyDescent="0.25">
      <c r="A15738" t="str">
        <f>"153133"</f>
        <v>153133</v>
      </c>
      <c r="B15738" t="s">
        <v>8713</v>
      </c>
      <c r="C15738" t="s">
        <v>90</v>
      </c>
      <c r="D15738" s="21" t="s">
        <v>34</v>
      </c>
      <c r="E15738" s="21" t="s">
        <v>71</v>
      </c>
      <c r="F15738">
        <v>1150290</v>
      </c>
      <c r="G15738" t="s">
        <v>12544</v>
      </c>
      <c r="H15738" s="21">
        <v>838.17</v>
      </c>
    </row>
    <row r="15739" spans="1:8" customFormat="1" x14ac:dyDescent="0.25">
      <c r="A15739" t="str">
        <f>"314740"</f>
        <v>314740</v>
      </c>
      <c r="B15739" t="s">
        <v>6309</v>
      </c>
      <c r="C15739" t="s">
        <v>3905</v>
      </c>
      <c r="D15739" s="21" t="s">
        <v>34</v>
      </c>
      <c r="E15739" s="21" t="s">
        <v>254</v>
      </c>
      <c r="F15739">
        <v>11310006</v>
      </c>
      <c r="G15739" t="s">
        <v>419</v>
      </c>
      <c r="H15739" s="21">
        <v>838.17</v>
      </c>
    </row>
    <row r="15740" spans="1:8" customFormat="1" x14ac:dyDescent="0.25">
      <c r="A15740" t="str">
        <f>"167008"</f>
        <v>167008</v>
      </c>
      <c r="B15740" t="s">
        <v>14179</v>
      </c>
      <c r="C15740" t="s">
        <v>127</v>
      </c>
      <c r="D15740" s="21" t="s">
        <v>34</v>
      </c>
      <c r="E15740" s="21" t="s">
        <v>35</v>
      </c>
      <c r="F15740">
        <v>10160232</v>
      </c>
      <c r="G15740" t="s">
        <v>2882</v>
      </c>
      <c r="H15740" s="21">
        <v>838.17</v>
      </c>
    </row>
    <row r="15741" spans="1:8" customFormat="1" x14ac:dyDescent="0.25">
      <c r="A15741" t="str">
        <f>"812391"</f>
        <v>812391</v>
      </c>
      <c r="B15741" t="s">
        <v>991</v>
      </c>
      <c r="C15741" t="s">
        <v>62</v>
      </c>
      <c r="D15741" s="21" t="s">
        <v>34</v>
      </c>
      <c r="E15741" s="21" t="s">
        <v>35</v>
      </c>
      <c r="F15741">
        <v>1690223</v>
      </c>
      <c r="G15741" t="s">
        <v>26579</v>
      </c>
      <c r="H15741" s="21">
        <v>838.17</v>
      </c>
    </row>
    <row r="15742" spans="1:8" customFormat="1" x14ac:dyDescent="0.25">
      <c r="A15742" t="str">
        <f>"5318268"</f>
        <v>5318268</v>
      </c>
      <c r="B15742" t="s">
        <v>12987</v>
      </c>
      <c r="C15742" t="s">
        <v>12988</v>
      </c>
      <c r="D15742" s="21" t="s">
        <v>34</v>
      </c>
      <c r="E15742" s="21" t="s">
        <v>71</v>
      </c>
      <c r="F15742">
        <v>12530078</v>
      </c>
      <c r="G15742" t="s">
        <v>3677</v>
      </c>
      <c r="H15742" s="21">
        <v>838.17</v>
      </c>
    </row>
    <row r="15743" spans="1:8" customFormat="1" x14ac:dyDescent="0.25">
      <c r="A15743" t="str">
        <f>"626657"</f>
        <v>626657</v>
      </c>
      <c r="B15743" t="s">
        <v>12864</v>
      </c>
      <c r="C15743" t="s">
        <v>1142</v>
      </c>
      <c r="D15743" s="21" t="s">
        <v>34</v>
      </c>
      <c r="E15743" s="21" t="s">
        <v>254</v>
      </c>
      <c r="F15743">
        <v>7620096</v>
      </c>
      <c r="G15743" t="s">
        <v>5829</v>
      </c>
      <c r="H15743" s="21">
        <v>838.17</v>
      </c>
    </row>
    <row r="15744" spans="1:8" customFormat="1" x14ac:dyDescent="0.25">
      <c r="A15744" t="str">
        <f>"60839"</f>
        <v>60839</v>
      </c>
      <c r="B15744" t="s">
        <v>14415</v>
      </c>
      <c r="C15744" t="s">
        <v>171</v>
      </c>
      <c r="D15744" s="21" t="s">
        <v>34</v>
      </c>
      <c r="E15744" s="21" t="s">
        <v>71</v>
      </c>
      <c r="F15744">
        <v>7600035</v>
      </c>
      <c r="G15744" t="s">
        <v>4737</v>
      </c>
      <c r="H15744" s="21">
        <v>838.17</v>
      </c>
    </row>
    <row r="15745" spans="1:8" customFormat="1" x14ac:dyDescent="0.25">
      <c r="A15745" t="str">
        <f>"4917219"</f>
        <v>4917219</v>
      </c>
      <c r="B15745" t="s">
        <v>8296</v>
      </c>
      <c r="C15745" t="s">
        <v>415</v>
      </c>
      <c r="D15745" s="21" t="s">
        <v>34</v>
      </c>
      <c r="E15745" s="21" t="s">
        <v>1089</v>
      </c>
      <c r="F15745">
        <v>8921164</v>
      </c>
      <c r="G15745" t="s">
        <v>5203</v>
      </c>
      <c r="H15745" s="21">
        <v>838.04</v>
      </c>
    </row>
    <row r="15746" spans="1:8" customFormat="1" x14ac:dyDescent="0.25">
      <c r="A15746" t="str">
        <f>"103813"</f>
        <v>103813</v>
      </c>
      <c r="B15746" t="s">
        <v>12878</v>
      </c>
      <c r="C15746" t="s">
        <v>43</v>
      </c>
      <c r="D15746" s="21" t="s">
        <v>34</v>
      </c>
      <c r="E15746" s="21" t="s">
        <v>35</v>
      </c>
      <c r="F15746">
        <v>2250208</v>
      </c>
      <c r="G15746" t="s">
        <v>10923</v>
      </c>
      <c r="H15746" s="21">
        <v>838</v>
      </c>
    </row>
    <row r="15747" spans="1:8" customFormat="1" x14ac:dyDescent="0.25">
      <c r="A15747" t="str">
        <f>"425121"</f>
        <v>425121</v>
      </c>
      <c r="B15747" t="s">
        <v>14509</v>
      </c>
      <c r="C15747" t="s">
        <v>1100</v>
      </c>
      <c r="D15747" s="21" t="s">
        <v>34</v>
      </c>
      <c r="E15747" s="21" t="s">
        <v>71</v>
      </c>
      <c r="F15747" t="s">
        <v>1477</v>
      </c>
      <c r="G15747" t="s">
        <v>1478</v>
      </c>
      <c r="H15747" s="21">
        <v>837.92</v>
      </c>
    </row>
    <row r="15748" spans="1:8" customFormat="1" x14ac:dyDescent="0.25">
      <c r="A15748" t="str">
        <f>"349324"</f>
        <v>349324</v>
      </c>
      <c r="B15748" t="s">
        <v>12744</v>
      </c>
      <c r="C15748" t="s">
        <v>926</v>
      </c>
      <c r="D15748" s="21" t="s">
        <v>34</v>
      </c>
      <c r="E15748" s="21" t="s">
        <v>254</v>
      </c>
      <c r="F15748">
        <v>11340040</v>
      </c>
      <c r="G15748" t="s">
        <v>5695</v>
      </c>
      <c r="H15748" s="21">
        <v>837.92</v>
      </c>
    </row>
    <row r="15749" spans="1:8" customFormat="1" x14ac:dyDescent="0.25">
      <c r="A15749" t="str">
        <f>"5427744"</f>
        <v>5427744</v>
      </c>
      <c r="B15749" t="s">
        <v>10941</v>
      </c>
      <c r="C15749" t="s">
        <v>55</v>
      </c>
      <c r="D15749" s="21" t="s">
        <v>34</v>
      </c>
      <c r="E15749" s="21" t="s">
        <v>71</v>
      </c>
      <c r="F15749">
        <v>6540011</v>
      </c>
      <c r="G15749" t="s">
        <v>6084</v>
      </c>
      <c r="H15749" s="21">
        <v>837.92</v>
      </c>
    </row>
    <row r="15750" spans="1:8" customFormat="1" x14ac:dyDescent="0.25">
      <c r="A15750" t="str">
        <f>"1614052"</f>
        <v>1614052</v>
      </c>
      <c r="B15750" t="s">
        <v>20161</v>
      </c>
      <c r="C15750" t="s">
        <v>127</v>
      </c>
      <c r="D15750" s="21" t="s">
        <v>34</v>
      </c>
      <c r="E15750" s="21" t="s">
        <v>35</v>
      </c>
      <c r="F15750">
        <v>10160085</v>
      </c>
      <c r="G15750" t="s">
        <v>10818</v>
      </c>
      <c r="H15750" s="21">
        <v>837.92</v>
      </c>
    </row>
    <row r="15751" spans="1:8" customFormat="1" x14ac:dyDescent="0.25">
      <c r="A15751" t="str">
        <f>"395219"</f>
        <v>395219</v>
      </c>
      <c r="B15751" t="s">
        <v>845</v>
      </c>
      <c r="C15751" t="s">
        <v>249</v>
      </c>
      <c r="D15751" s="21" t="s">
        <v>34</v>
      </c>
      <c r="E15751" s="21" t="s">
        <v>71</v>
      </c>
      <c r="F15751">
        <v>2250070</v>
      </c>
      <c r="G15751" t="s">
        <v>3923</v>
      </c>
      <c r="H15751" s="21">
        <v>837.92</v>
      </c>
    </row>
    <row r="15752" spans="1:8" customFormat="1" x14ac:dyDescent="0.25">
      <c r="A15752" t="str">
        <f>"343190"</f>
        <v>343190</v>
      </c>
      <c r="B15752" t="s">
        <v>13435</v>
      </c>
      <c r="C15752" t="s">
        <v>236</v>
      </c>
      <c r="D15752" s="21" t="s">
        <v>34</v>
      </c>
      <c r="E15752" s="21" t="s">
        <v>254</v>
      </c>
      <c r="F15752">
        <v>11340035</v>
      </c>
      <c r="G15752" t="s">
        <v>10724</v>
      </c>
      <c r="H15752" s="21">
        <v>837.67</v>
      </c>
    </row>
    <row r="15753" spans="1:8" customFormat="1" x14ac:dyDescent="0.25">
      <c r="A15753" t="str">
        <f>"9410404"</f>
        <v>9410404</v>
      </c>
      <c r="B15753" t="s">
        <v>13678</v>
      </c>
      <c r="C15753" t="s">
        <v>236</v>
      </c>
      <c r="D15753" s="21" t="s">
        <v>34</v>
      </c>
      <c r="E15753" s="21" t="s">
        <v>254</v>
      </c>
      <c r="F15753">
        <v>8940524</v>
      </c>
      <c r="G15753" t="s">
        <v>6176</v>
      </c>
      <c r="H15753" s="21">
        <v>837.67</v>
      </c>
    </row>
    <row r="15754" spans="1:8" customFormat="1" x14ac:dyDescent="0.25">
      <c r="A15754" t="str">
        <f>"5911048"</f>
        <v>5911048</v>
      </c>
      <c r="B15754" t="s">
        <v>23844</v>
      </c>
      <c r="C15754" t="s">
        <v>7939</v>
      </c>
      <c r="D15754" s="21" t="s">
        <v>34</v>
      </c>
      <c r="E15754" s="21" t="s">
        <v>71</v>
      </c>
      <c r="F15754">
        <v>1260006</v>
      </c>
      <c r="G15754" t="s">
        <v>790</v>
      </c>
      <c r="H15754" s="21">
        <v>837.67</v>
      </c>
    </row>
    <row r="15755" spans="1:8" customFormat="1" x14ac:dyDescent="0.25">
      <c r="A15755" t="str">
        <f>"5922902"</f>
        <v>5922902</v>
      </c>
      <c r="B15755" t="s">
        <v>13458</v>
      </c>
      <c r="C15755" t="s">
        <v>33</v>
      </c>
      <c r="D15755" s="21" t="s">
        <v>34</v>
      </c>
      <c r="E15755" s="21" t="s">
        <v>71</v>
      </c>
      <c r="F15755">
        <v>7590251</v>
      </c>
      <c r="G15755" t="s">
        <v>9254</v>
      </c>
      <c r="H15755" s="21">
        <v>837.67</v>
      </c>
    </row>
    <row r="15756" spans="1:8" customFormat="1" x14ac:dyDescent="0.25">
      <c r="A15756" t="str">
        <f>"904843"</f>
        <v>904843</v>
      </c>
      <c r="B15756" t="s">
        <v>1614</v>
      </c>
      <c r="C15756" t="s">
        <v>288</v>
      </c>
      <c r="D15756" s="21" t="s">
        <v>34</v>
      </c>
      <c r="E15756" s="21" t="s">
        <v>71</v>
      </c>
      <c r="F15756">
        <v>2900047</v>
      </c>
      <c r="G15756" t="s">
        <v>6819</v>
      </c>
      <c r="H15756" s="21">
        <v>837.67</v>
      </c>
    </row>
    <row r="15757" spans="1:8" customFormat="1" x14ac:dyDescent="0.25">
      <c r="A15757" t="str">
        <f>"5979349"</f>
        <v>5979349</v>
      </c>
      <c r="B15757" t="s">
        <v>12246</v>
      </c>
      <c r="C15757" t="s">
        <v>415</v>
      </c>
      <c r="D15757" s="21" t="s">
        <v>34</v>
      </c>
      <c r="E15757" s="21" t="s">
        <v>254</v>
      </c>
      <c r="F15757">
        <v>7590050</v>
      </c>
      <c r="G15757" t="s">
        <v>473</v>
      </c>
      <c r="H15757" s="21">
        <v>837.67</v>
      </c>
    </row>
    <row r="15758" spans="1:8" customFormat="1" x14ac:dyDescent="0.25">
      <c r="A15758" t="str">
        <f>"8311673"</f>
        <v>8311673</v>
      </c>
      <c r="B15758" t="s">
        <v>6815</v>
      </c>
      <c r="C15758" t="s">
        <v>1665</v>
      </c>
      <c r="D15758" s="21" t="s">
        <v>34</v>
      </c>
      <c r="E15758" s="21" t="s">
        <v>71</v>
      </c>
      <c r="F15758">
        <v>13830035</v>
      </c>
      <c r="G15758" t="s">
        <v>8309</v>
      </c>
      <c r="H15758" s="21">
        <v>837.67</v>
      </c>
    </row>
    <row r="15759" spans="1:8" customFormat="1" x14ac:dyDescent="0.25">
      <c r="A15759" t="str">
        <f>"198119"</f>
        <v>198119</v>
      </c>
      <c r="B15759" t="s">
        <v>1959</v>
      </c>
      <c r="C15759" t="s">
        <v>415</v>
      </c>
      <c r="D15759" s="21" t="s">
        <v>34</v>
      </c>
      <c r="E15759" s="21" t="s">
        <v>35</v>
      </c>
      <c r="F15759">
        <v>10190080</v>
      </c>
      <c r="G15759" t="s">
        <v>1726</v>
      </c>
      <c r="H15759" s="21">
        <v>837.67</v>
      </c>
    </row>
    <row r="15760" spans="1:8" customFormat="1" x14ac:dyDescent="0.25">
      <c r="A15760" t="str">
        <f>"162658"</f>
        <v>162658</v>
      </c>
      <c r="B15760" t="s">
        <v>12935</v>
      </c>
      <c r="C15760" t="s">
        <v>812</v>
      </c>
      <c r="D15760" s="21" t="s">
        <v>34</v>
      </c>
      <c r="E15760" s="21" t="s">
        <v>254</v>
      </c>
      <c r="F15760">
        <v>10160042</v>
      </c>
      <c r="G15760" t="s">
        <v>7461</v>
      </c>
      <c r="H15760" s="21">
        <v>837.67</v>
      </c>
    </row>
    <row r="15761" spans="1:8" customFormat="1" x14ac:dyDescent="0.25">
      <c r="A15761" t="str">
        <f>"4449397"</f>
        <v>4449397</v>
      </c>
      <c r="B15761" t="s">
        <v>12733</v>
      </c>
      <c r="C15761" t="s">
        <v>1025</v>
      </c>
      <c r="D15761" s="21" t="s">
        <v>34</v>
      </c>
      <c r="E15761" s="21" t="s">
        <v>254</v>
      </c>
      <c r="F15761">
        <v>12850111</v>
      </c>
      <c r="G15761" t="s">
        <v>9234</v>
      </c>
      <c r="H15761" s="21">
        <v>837.67</v>
      </c>
    </row>
    <row r="15762" spans="1:8" customFormat="1" x14ac:dyDescent="0.25">
      <c r="A15762" t="str">
        <f>"0210240"</f>
        <v>0210240</v>
      </c>
      <c r="B15762" t="s">
        <v>27402</v>
      </c>
      <c r="C15762" t="s">
        <v>3991</v>
      </c>
      <c r="D15762" s="21" t="s">
        <v>34</v>
      </c>
      <c r="E15762" s="21" t="s">
        <v>35</v>
      </c>
      <c r="F15762">
        <v>7021006</v>
      </c>
      <c r="G15762" t="s">
        <v>26948</v>
      </c>
      <c r="H15762" s="21">
        <v>837.67</v>
      </c>
    </row>
    <row r="15763" spans="1:8" customFormat="1" x14ac:dyDescent="0.25">
      <c r="A15763" t="str">
        <f>"5610238"</f>
        <v>5610238</v>
      </c>
      <c r="B15763" t="s">
        <v>12412</v>
      </c>
      <c r="C15763" t="s">
        <v>269</v>
      </c>
      <c r="D15763" s="21" t="s">
        <v>34</v>
      </c>
      <c r="E15763" s="21" t="s">
        <v>71</v>
      </c>
      <c r="F15763">
        <v>3560019</v>
      </c>
      <c r="G15763" t="s">
        <v>13051</v>
      </c>
      <c r="H15763" s="21">
        <v>837.67</v>
      </c>
    </row>
    <row r="15764" spans="1:8" customFormat="1" x14ac:dyDescent="0.25">
      <c r="A15764" t="str">
        <f>"8511724"</f>
        <v>8511724</v>
      </c>
      <c r="B15764" t="s">
        <v>6098</v>
      </c>
      <c r="C15764" t="s">
        <v>1812</v>
      </c>
      <c r="D15764" s="21" t="s">
        <v>34</v>
      </c>
      <c r="E15764" s="21" t="s">
        <v>71</v>
      </c>
      <c r="F15764">
        <v>12850014</v>
      </c>
      <c r="G15764" t="s">
        <v>10467</v>
      </c>
      <c r="H15764" s="21">
        <v>837.67</v>
      </c>
    </row>
    <row r="15765" spans="1:8" customFormat="1" x14ac:dyDescent="0.25">
      <c r="A15765" t="str">
        <f>"932501"</f>
        <v>932501</v>
      </c>
      <c r="B15765" t="s">
        <v>2010</v>
      </c>
      <c r="C15765" t="s">
        <v>40</v>
      </c>
      <c r="D15765" s="21" t="s">
        <v>34</v>
      </c>
      <c r="E15765" s="21" t="s">
        <v>254</v>
      </c>
      <c r="F15765">
        <v>8931011</v>
      </c>
      <c r="G15765" t="s">
        <v>530</v>
      </c>
      <c r="H15765" s="21">
        <v>837.67</v>
      </c>
    </row>
    <row r="15766" spans="1:8" customFormat="1" x14ac:dyDescent="0.25">
      <c r="A15766" t="str">
        <f>"637910"</f>
        <v>637910</v>
      </c>
      <c r="B15766" t="s">
        <v>12513</v>
      </c>
      <c r="C15766" t="s">
        <v>269</v>
      </c>
      <c r="D15766" s="21" t="s">
        <v>34</v>
      </c>
      <c r="E15766" s="21" t="s">
        <v>254</v>
      </c>
      <c r="F15766">
        <v>1630332</v>
      </c>
      <c r="G15766" t="s">
        <v>27136</v>
      </c>
      <c r="H15766" s="21">
        <v>837.67</v>
      </c>
    </row>
    <row r="15767" spans="1:8" customFormat="1" x14ac:dyDescent="0.25">
      <c r="A15767" t="str">
        <f>"77321"</f>
        <v>77321</v>
      </c>
      <c r="B15767" t="s">
        <v>12530</v>
      </c>
      <c r="C15767" t="s">
        <v>5861</v>
      </c>
      <c r="D15767" s="21" t="s">
        <v>34</v>
      </c>
      <c r="E15767" s="21" t="s">
        <v>254</v>
      </c>
      <c r="F15767">
        <v>8770250</v>
      </c>
      <c r="G15767" t="s">
        <v>2595</v>
      </c>
      <c r="H15767" s="21">
        <v>837.54</v>
      </c>
    </row>
    <row r="15768" spans="1:8" customFormat="1" x14ac:dyDescent="0.25">
      <c r="A15768" t="str">
        <f>"7518274"</f>
        <v>7518274</v>
      </c>
      <c r="B15768" t="s">
        <v>15231</v>
      </c>
      <c r="C15768" t="s">
        <v>1119</v>
      </c>
      <c r="D15768" s="21" t="s">
        <v>34</v>
      </c>
      <c r="E15768" s="21" t="s">
        <v>71</v>
      </c>
      <c r="F15768">
        <v>8750007</v>
      </c>
      <c r="G15768" t="s">
        <v>775</v>
      </c>
      <c r="H15768" s="21">
        <v>837.54</v>
      </c>
    </row>
    <row r="15769" spans="1:8" customFormat="1" x14ac:dyDescent="0.25">
      <c r="A15769" t="str">
        <f>"7217901"</f>
        <v>7217901</v>
      </c>
      <c r="B15769" t="s">
        <v>10014</v>
      </c>
      <c r="C15769" t="s">
        <v>513</v>
      </c>
      <c r="D15769" s="21" t="s">
        <v>34</v>
      </c>
      <c r="E15769" s="21" t="s">
        <v>35</v>
      </c>
      <c r="F15769">
        <v>12720050</v>
      </c>
      <c r="G15769" t="s">
        <v>5522</v>
      </c>
      <c r="H15769" s="21">
        <v>837.54</v>
      </c>
    </row>
    <row r="15770" spans="1:8" customFormat="1" x14ac:dyDescent="0.25">
      <c r="A15770" t="str">
        <f>"7210144"</f>
        <v>7210144</v>
      </c>
      <c r="B15770" t="s">
        <v>16881</v>
      </c>
      <c r="C15770" t="s">
        <v>206</v>
      </c>
      <c r="D15770" s="21" t="s">
        <v>34</v>
      </c>
      <c r="E15770" s="21" t="s">
        <v>35</v>
      </c>
      <c r="F15770">
        <v>12720117</v>
      </c>
      <c r="G15770" t="s">
        <v>7788</v>
      </c>
      <c r="H15770" s="21">
        <v>837.42</v>
      </c>
    </row>
    <row r="15771" spans="1:8" customFormat="1" x14ac:dyDescent="0.25">
      <c r="A15771" t="str">
        <f>"365660"</f>
        <v>365660</v>
      </c>
      <c r="B15771" t="s">
        <v>12557</v>
      </c>
      <c r="C15771" t="s">
        <v>2305</v>
      </c>
      <c r="D15771" s="21" t="s">
        <v>34</v>
      </c>
      <c r="E15771" s="21" t="s">
        <v>1089</v>
      </c>
      <c r="F15771">
        <v>4360707</v>
      </c>
      <c r="G15771" t="s">
        <v>6621</v>
      </c>
      <c r="H15771" s="21">
        <v>837.42</v>
      </c>
    </row>
    <row r="15772" spans="1:8" customFormat="1" x14ac:dyDescent="0.25">
      <c r="A15772" t="str">
        <f>"78785"</f>
        <v>78785</v>
      </c>
      <c r="B15772" t="s">
        <v>10571</v>
      </c>
      <c r="C15772" t="s">
        <v>1142</v>
      </c>
      <c r="D15772" s="21" t="s">
        <v>34</v>
      </c>
      <c r="E15772" s="21" t="s">
        <v>1089</v>
      </c>
      <c r="F15772">
        <v>8780338</v>
      </c>
      <c r="G15772" t="s">
        <v>4145</v>
      </c>
      <c r="H15772" s="21">
        <v>837.29</v>
      </c>
    </row>
    <row r="15773" spans="1:8" customFormat="1" x14ac:dyDescent="0.25">
      <c r="A15773" t="str">
        <f>"4433371"</f>
        <v>4433371</v>
      </c>
      <c r="B15773" t="s">
        <v>13087</v>
      </c>
      <c r="C15773" t="s">
        <v>926</v>
      </c>
      <c r="D15773" s="21" t="s">
        <v>34</v>
      </c>
      <c r="E15773" s="21" t="s">
        <v>35</v>
      </c>
      <c r="F15773">
        <v>12440048</v>
      </c>
      <c r="G15773" t="s">
        <v>2090</v>
      </c>
      <c r="H15773" s="21">
        <v>837.17</v>
      </c>
    </row>
    <row r="15774" spans="1:8" customFormat="1" x14ac:dyDescent="0.25">
      <c r="A15774" t="str">
        <f>"916223"</f>
        <v>916223</v>
      </c>
      <c r="B15774" t="s">
        <v>6842</v>
      </c>
      <c r="C15774" t="s">
        <v>98</v>
      </c>
      <c r="D15774" s="21" t="s">
        <v>34</v>
      </c>
      <c r="E15774" s="21" t="s">
        <v>71</v>
      </c>
      <c r="F15774">
        <v>9140083</v>
      </c>
      <c r="G15774" t="s">
        <v>8440</v>
      </c>
      <c r="H15774" s="21">
        <v>837.17</v>
      </c>
    </row>
    <row r="15775" spans="1:8" customFormat="1" x14ac:dyDescent="0.25">
      <c r="A15775" t="str">
        <f>"2618311"</f>
        <v>2618311</v>
      </c>
      <c r="B15775" t="s">
        <v>1886</v>
      </c>
      <c r="C15775" t="s">
        <v>124</v>
      </c>
      <c r="D15775" s="21" t="s">
        <v>34</v>
      </c>
      <c r="E15775" s="21" t="s">
        <v>71</v>
      </c>
      <c r="F15775">
        <v>1260040</v>
      </c>
      <c r="G15775" t="s">
        <v>10768</v>
      </c>
      <c r="H15775" s="21">
        <v>837.17</v>
      </c>
    </row>
    <row r="15776" spans="1:8" customFormat="1" x14ac:dyDescent="0.25">
      <c r="A15776" t="str">
        <f>"9451120"</f>
        <v>9451120</v>
      </c>
      <c r="B15776" t="s">
        <v>7041</v>
      </c>
      <c r="C15776" t="s">
        <v>263</v>
      </c>
      <c r="D15776" s="21" t="s">
        <v>34</v>
      </c>
      <c r="E15776" s="21" t="s">
        <v>35</v>
      </c>
      <c r="F15776">
        <v>8940121</v>
      </c>
      <c r="G15776" t="s">
        <v>8351</v>
      </c>
      <c r="H15776" s="21">
        <v>837.17</v>
      </c>
    </row>
    <row r="15777" spans="1:8" customFormat="1" x14ac:dyDescent="0.25">
      <c r="A15777" t="str">
        <f>"375946"</f>
        <v>375946</v>
      </c>
      <c r="B15777" t="s">
        <v>8713</v>
      </c>
      <c r="C15777" t="s">
        <v>462</v>
      </c>
      <c r="D15777" s="21" t="s">
        <v>34</v>
      </c>
      <c r="E15777" s="21" t="s">
        <v>71</v>
      </c>
      <c r="F15777">
        <v>4370024</v>
      </c>
      <c r="G15777" t="s">
        <v>1718</v>
      </c>
      <c r="H15777" s="21">
        <v>837.17</v>
      </c>
    </row>
    <row r="15778" spans="1:8" customFormat="1" x14ac:dyDescent="0.25">
      <c r="A15778" t="str">
        <f>"7513525"</f>
        <v>7513525</v>
      </c>
      <c r="B15778" t="s">
        <v>5728</v>
      </c>
      <c r="C15778" t="s">
        <v>3073</v>
      </c>
      <c r="D15778" s="21" t="s">
        <v>34</v>
      </c>
      <c r="E15778" s="21" t="s">
        <v>254</v>
      </c>
      <c r="F15778">
        <v>8930024</v>
      </c>
      <c r="G15778" t="s">
        <v>44</v>
      </c>
      <c r="H15778" s="21">
        <v>837.17</v>
      </c>
    </row>
    <row r="15779" spans="1:8" customFormat="1" x14ac:dyDescent="0.25">
      <c r="A15779" t="str">
        <f>"27565"</f>
        <v>27565</v>
      </c>
      <c r="B15779" t="s">
        <v>12487</v>
      </c>
      <c r="C15779" t="s">
        <v>1605</v>
      </c>
      <c r="D15779" s="21" t="s">
        <v>34</v>
      </c>
      <c r="E15779" s="21" t="s">
        <v>1089</v>
      </c>
      <c r="F15779">
        <v>9270028</v>
      </c>
      <c r="G15779" t="s">
        <v>6091</v>
      </c>
      <c r="H15779" s="21">
        <v>837.17</v>
      </c>
    </row>
    <row r="15780" spans="1:8" customFormat="1" x14ac:dyDescent="0.25">
      <c r="A15780" t="str">
        <f>"3527182"</f>
        <v>3527182</v>
      </c>
      <c r="B15780" t="s">
        <v>14680</v>
      </c>
      <c r="C15780" t="s">
        <v>156</v>
      </c>
      <c r="D15780" s="21" t="s">
        <v>34</v>
      </c>
      <c r="E15780" s="21" t="s">
        <v>254</v>
      </c>
      <c r="F15780">
        <v>3350221</v>
      </c>
      <c r="G15780" t="s">
        <v>14681</v>
      </c>
      <c r="H15780" s="21">
        <v>837.17</v>
      </c>
    </row>
    <row r="15781" spans="1:8" customFormat="1" x14ac:dyDescent="0.25">
      <c r="A15781" t="str">
        <f>"7639290"</f>
        <v>7639290</v>
      </c>
      <c r="B15781" t="s">
        <v>1301</v>
      </c>
      <c r="C15781" t="s">
        <v>149</v>
      </c>
      <c r="D15781" s="21" t="s">
        <v>34</v>
      </c>
      <c r="E15781" s="21" t="s">
        <v>35</v>
      </c>
      <c r="F15781">
        <v>9760034</v>
      </c>
      <c r="G15781" t="s">
        <v>1242</v>
      </c>
      <c r="H15781" s="21">
        <v>837.17</v>
      </c>
    </row>
    <row r="15782" spans="1:8" customFormat="1" x14ac:dyDescent="0.25">
      <c r="A15782" t="str">
        <f>"7881854"</f>
        <v>7881854</v>
      </c>
      <c r="B15782" t="s">
        <v>27403</v>
      </c>
      <c r="C15782" t="s">
        <v>62</v>
      </c>
      <c r="D15782" s="21" t="s">
        <v>34</v>
      </c>
      <c r="E15782" s="21" t="s">
        <v>35</v>
      </c>
      <c r="F15782">
        <v>8780224</v>
      </c>
      <c r="G15782" t="s">
        <v>8599</v>
      </c>
      <c r="H15782" s="21">
        <v>837.17</v>
      </c>
    </row>
    <row r="15783" spans="1:8" customFormat="1" x14ac:dyDescent="0.25">
      <c r="A15783" t="str">
        <f>"6310138"</f>
        <v>6310138</v>
      </c>
      <c r="B15783" t="s">
        <v>136</v>
      </c>
      <c r="C15783" t="s">
        <v>33</v>
      </c>
      <c r="D15783" s="21" t="s">
        <v>34</v>
      </c>
      <c r="E15783" s="21" t="s">
        <v>35</v>
      </c>
      <c r="F15783">
        <v>1630308</v>
      </c>
      <c r="G15783" t="s">
        <v>8083</v>
      </c>
      <c r="H15783" s="21">
        <v>837.17</v>
      </c>
    </row>
    <row r="15784" spans="1:8" customFormat="1" x14ac:dyDescent="0.25">
      <c r="A15784" t="str">
        <f>"6016841"</f>
        <v>6016841</v>
      </c>
      <c r="B15784" t="s">
        <v>15715</v>
      </c>
      <c r="C15784" t="s">
        <v>275</v>
      </c>
      <c r="D15784" s="21" t="s">
        <v>34</v>
      </c>
      <c r="E15784" s="21" t="s">
        <v>35</v>
      </c>
      <c r="F15784">
        <v>7600004</v>
      </c>
      <c r="G15784" t="s">
        <v>848</v>
      </c>
      <c r="H15784" s="21">
        <v>837.17</v>
      </c>
    </row>
    <row r="15785" spans="1:8" customFormat="1" x14ac:dyDescent="0.25">
      <c r="A15785" t="str">
        <f>"3117602"</f>
        <v>3117602</v>
      </c>
      <c r="B15785" t="s">
        <v>15199</v>
      </c>
      <c r="C15785" t="s">
        <v>169</v>
      </c>
      <c r="D15785" s="21" t="s">
        <v>34</v>
      </c>
      <c r="E15785" s="21" t="s">
        <v>35</v>
      </c>
      <c r="F15785">
        <v>11310121</v>
      </c>
      <c r="G15785" t="s">
        <v>578</v>
      </c>
      <c r="H15785" s="21">
        <v>837.17</v>
      </c>
    </row>
    <row r="15786" spans="1:8" customFormat="1" x14ac:dyDescent="0.25">
      <c r="A15786" t="str">
        <f>"3532234"</f>
        <v>3532234</v>
      </c>
      <c r="B15786" t="s">
        <v>8209</v>
      </c>
      <c r="C15786" t="s">
        <v>3010</v>
      </c>
      <c r="D15786" s="21" t="s">
        <v>34</v>
      </c>
      <c r="E15786" s="21" t="s">
        <v>71</v>
      </c>
      <c r="F15786">
        <v>3350087</v>
      </c>
      <c r="G15786" t="s">
        <v>7430</v>
      </c>
      <c r="H15786" s="21">
        <v>837.17</v>
      </c>
    </row>
    <row r="15787" spans="1:8" customFormat="1" x14ac:dyDescent="0.25">
      <c r="A15787" t="str">
        <f>"3716148"</f>
        <v>3716148</v>
      </c>
      <c r="B15787" t="s">
        <v>17385</v>
      </c>
      <c r="C15787" t="s">
        <v>124</v>
      </c>
      <c r="D15787" s="21" t="s">
        <v>34</v>
      </c>
      <c r="E15787" s="21" t="s">
        <v>254</v>
      </c>
      <c r="F15787">
        <v>4370001</v>
      </c>
      <c r="G15787" t="s">
        <v>957</v>
      </c>
      <c r="H15787" s="21">
        <v>837.17</v>
      </c>
    </row>
    <row r="15788" spans="1:8" customFormat="1" x14ac:dyDescent="0.25">
      <c r="A15788" t="str">
        <f>"788524"</f>
        <v>788524</v>
      </c>
      <c r="B15788" t="s">
        <v>13642</v>
      </c>
      <c r="C15788" t="s">
        <v>40</v>
      </c>
      <c r="D15788" s="21" t="s">
        <v>34</v>
      </c>
      <c r="E15788" s="21" t="s">
        <v>71</v>
      </c>
      <c r="F15788">
        <v>8780130</v>
      </c>
      <c r="G15788" t="s">
        <v>5752</v>
      </c>
      <c r="H15788" s="21">
        <v>837.17</v>
      </c>
    </row>
    <row r="15789" spans="1:8" customFormat="1" x14ac:dyDescent="0.25">
      <c r="A15789" t="str">
        <f>"4212543"</f>
        <v>4212543</v>
      </c>
      <c r="B15789" t="s">
        <v>14055</v>
      </c>
      <c r="C15789" t="s">
        <v>1665</v>
      </c>
      <c r="D15789" s="21" t="s">
        <v>34</v>
      </c>
      <c r="E15789" s="21" t="s">
        <v>254</v>
      </c>
      <c r="F15789">
        <v>1420141</v>
      </c>
      <c r="G15789" t="s">
        <v>5190</v>
      </c>
      <c r="H15789" s="21">
        <v>837.17</v>
      </c>
    </row>
    <row r="15790" spans="1:8" customFormat="1" x14ac:dyDescent="0.25">
      <c r="A15790" t="str">
        <f>"4441471"</f>
        <v>4441471</v>
      </c>
      <c r="B15790" t="s">
        <v>1925</v>
      </c>
      <c r="C15790" t="s">
        <v>121</v>
      </c>
      <c r="D15790" s="21" t="s">
        <v>34</v>
      </c>
      <c r="E15790" s="21" t="s">
        <v>71</v>
      </c>
      <c r="F15790">
        <v>12440020</v>
      </c>
      <c r="G15790" t="s">
        <v>4606</v>
      </c>
      <c r="H15790" s="21">
        <v>837.17</v>
      </c>
    </row>
    <row r="15791" spans="1:8" customFormat="1" x14ac:dyDescent="0.25">
      <c r="A15791" t="str">
        <f>"138670"</f>
        <v>138670</v>
      </c>
      <c r="B15791" t="s">
        <v>12023</v>
      </c>
      <c r="C15791" t="s">
        <v>2907</v>
      </c>
      <c r="D15791" s="21" t="s">
        <v>34</v>
      </c>
      <c r="E15791" s="21" t="s">
        <v>71</v>
      </c>
      <c r="F15791">
        <v>13130022</v>
      </c>
      <c r="G15791" t="s">
        <v>2666</v>
      </c>
      <c r="H15791" s="21">
        <v>837.04</v>
      </c>
    </row>
    <row r="15792" spans="1:8" customFormat="1" x14ac:dyDescent="0.25">
      <c r="A15792" t="str">
        <f>"5423365"</f>
        <v>5423365</v>
      </c>
      <c r="B15792" t="s">
        <v>2084</v>
      </c>
      <c r="C15792" t="s">
        <v>209</v>
      </c>
      <c r="D15792" s="21" t="s">
        <v>34</v>
      </c>
      <c r="E15792" s="21" t="s">
        <v>71</v>
      </c>
      <c r="F15792">
        <v>6540187</v>
      </c>
      <c r="G15792" t="s">
        <v>4563</v>
      </c>
      <c r="H15792" s="21">
        <v>837</v>
      </c>
    </row>
    <row r="15793" spans="1:8" customFormat="1" x14ac:dyDescent="0.25">
      <c r="A15793" t="str">
        <f>"4431712"</f>
        <v>4431712</v>
      </c>
      <c r="B15793" t="s">
        <v>3972</v>
      </c>
      <c r="C15793" t="s">
        <v>169</v>
      </c>
      <c r="D15793" s="21" t="s">
        <v>34</v>
      </c>
      <c r="E15793" s="21" t="s">
        <v>71</v>
      </c>
      <c r="F15793">
        <v>12440039</v>
      </c>
      <c r="G15793" t="s">
        <v>9650</v>
      </c>
      <c r="H15793" s="21">
        <v>836.67</v>
      </c>
    </row>
    <row r="15794" spans="1:8" customFormat="1" x14ac:dyDescent="0.25">
      <c r="A15794" t="str">
        <f>"5314608"</f>
        <v>5314608</v>
      </c>
      <c r="B15794" t="s">
        <v>15503</v>
      </c>
      <c r="C15794" t="s">
        <v>119</v>
      </c>
      <c r="D15794" s="21" t="s">
        <v>34</v>
      </c>
      <c r="E15794" s="21" t="s">
        <v>35</v>
      </c>
      <c r="F15794">
        <v>12530068</v>
      </c>
      <c r="G15794" t="s">
        <v>5165</v>
      </c>
      <c r="H15794" s="21">
        <v>836.67</v>
      </c>
    </row>
    <row r="15795" spans="1:8" customFormat="1" x14ac:dyDescent="0.25">
      <c r="A15795" t="str">
        <f>"582090"</f>
        <v>582090</v>
      </c>
      <c r="B15795" t="s">
        <v>14262</v>
      </c>
      <c r="C15795" t="s">
        <v>40</v>
      </c>
      <c r="D15795" s="21" t="s">
        <v>34</v>
      </c>
      <c r="E15795" s="21" t="s">
        <v>71</v>
      </c>
      <c r="F15795">
        <v>2580019</v>
      </c>
      <c r="G15795" t="s">
        <v>8527</v>
      </c>
      <c r="H15795" s="21">
        <v>836.67</v>
      </c>
    </row>
    <row r="15796" spans="1:8" customFormat="1" x14ac:dyDescent="0.25">
      <c r="A15796" t="str">
        <f>"686020"</f>
        <v>686020</v>
      </c>
      <c r="B15796" t="s">
        <v>14051</v>
      </c>
      <c r="C15796" t="s">
        <v>114</v>
      </c>
      <c r="D15796" s="21" t="s">
        <v>34</v>
      </c>
      <c r="E15796" s="21" t="s">
        <v>71</v>
      </c>
      <c r="F15796">
        <v>6680020</v>
      </c>
      <c r="G15796" t="s">
        <v>12995</v>
      </c>
      <c r="H15796" s="21">
        <v>836.67</v>
      </c>
    </row>
    <row r="15797" spans="1:8" customFormat="1" x14ac:dyDescent="0.25">
      <c r="A15797" t="str">
        <f>"834987"</f>
        <v>834987</v>
      </c>
      <c r="B15797" t="s">
        <v>6985</v>
      </c>
      <c r="C15797" t="s">
        <v>269</v>
      </c>
      <c r="D15797" s="21" t="s">
        <v>34</v>
      </c>
      <c r="E15797" s="21" t="s">
        <v>35</v>
      </c>
      <c r="F15797">
        <v>13830085</v>
      </c>
      <c r="G15797" t="s">
        <v>478</v>
      </c>
      <c r="H15797" s="21">
        <v>836.67</v>
      </c>
    </row>
    <row r="15798" spans="1:8" customFormat="1" x14ac:dyDescent="0.25">
      <c r="A15798" t="str">
        <f>"2920682"</f>
        <v>2920682</v>
      </c>
      <c r="B15798" t="s">
        <v>14211</v>
      </c>
      <c r="C15798" t="s">
        <v>598</v>
      </c>
      <c r="D15798" s="21" t="s">
        <v>34</v>
      </c>
      <c r="E15798" s="21" t="s">
        <v>71</v>
      </c>
      <c r="F15798">
        <v>3290244</v>
      </c>
      <c r="G15798" t="s">
        <v>573</v>
      </c>
      <c r="H15798" s="21">
        <v>836.67</v>
      </c>
    </row>
    <row r="15799" spans="1:8" customFormat="1" x14ac:dyDescent="0.25">
      <c r="A15799" t="str">
        <f>"17311"</f>
        <v>17311</v>
      </c>
      <c r="B15799" t="s">
        <v>2089</v>
      </c>
      <c r="C15799" t="s">
        <v>2520</v>
      </c>
      <c r="D15799" s="21" t="s">
        <v>34</v>
      </c>
      <c r="E15799" s="21" t="s">
        <v>254</v>
      </c>
      <c r="F15799">
        <v>10170031</v>
      </c>
      <c r="G15799" t="s">
        <v>2921</v>
      </c>
      <c r="H15799" s="21">
        <v>836.67</v>
      </c>
    </row>
    <row r="15800" spans="1:8" customFormat="1" x14ac:dyDescent="0.25">
      <c r="A15800" t="str">
        <f>"862050"</f>
        <v>862050</v>
      </c>
      <c r="B15800" t="s">
        <v>13484</v>
      </c>
      <c r="C15800" t="s">
        <v>109</v>
      </c>
      <c r="D15800" s="21" t="s">
        <v>34</v>
      </c>
      <c r="E15800" s="21" t="s">
        <v>35</v>
      </c>
      <c r="F15800">
        <v>10860021</v>
      </c>
      <c r="G15800" t="s">
        <v>26820</v>
      </c>
      <c r="H15800" s="21">
        <v>836.67</v>
      </c>
    </row>
    <row r="15801" spans="1:8" customFormat="1" x14ac:dyDescent="0.25">
      <c r="A15801" t="str">
        <f>"9310082"</f>
        <v>9310082</v>
      </c>
      <c r="B15801" t="s">
        <v>12312</v>
      </c>
      <c r="C15801" t="s">
        <v>12313</v>
      </c>
      <c r="D15801" s="21" t="s">
        <v>34</v>
      </c>
      <c r="E15801" s="21" t="s">
        <v>71</v>
      </c>
      <c r="F15801">
        <v>8931032</v>
      </c>
      <c r="G15801" t="s">
        <v>10451</v>
      </c>
      <c r="H15801" s="21">
        <v>836.67</v>
      </c>
    </row>
    <row r="15802" spans="1:8" customFormat="1" x14ac:dyDescent="0.25">
      <c r="A15802" t="str">
        <f>"7714703"</f>
        <v>7714703</v>
      </c>
      <c r="B15802" t="s">
        <v>2402</v>
      </c>
      <c r="C15802" t="s">
        <v>2305</v>
      </c>
      <c r="D15802" s="21" t="s">
        <v>34</v>
      </c>
      <c r="E15802" s="21" t="s">
        <v>35</v>
      </c>
      <c r="F15802">
        <v>8770426</v>
      </c>
      <c r="G15802" t="s">
        <v>1847</v>
      </c>
      <c r="H15802" s="21">
        <v>836.67</v>
      </c>
    </row>
    <row r="15803" spans="1:8" customFormat="1" x14ac:dyDescent="0.25">
      <c r="A15803" t="str">
        <f>"5112966"</f>
        <v>5112966</v>
      </c>
      <c r="B15803" t="s">
        <v>3270</v>
      </c>
      <c r="C15803" t="s">
        <v>15380</v>
      </c>
      <c r="D15803" s="21" t="s">
        <v>34</v>
      </c>
      <c r="E15803" s="21" t="s">
        <v>71</v>
      </c>
      <c r="F15803">
        <v>6510020</v>
      </c>
      <c r="G15803" t="s">
        <v>3013</v>
      </c>
      <c r="H15803" s="21">
        <v>836.67</v>
      </c>
    </row>
    <row r="15804" spans="1:8" customFormat="1" x14ac:dyDescent="0.25">
      <c r="A15804" t="str">
        <f>"4435272"</f>
        <v>4435272</v>
      </c>
      <c r="B15804" t="s">
        <v>3529</v>
      </c>
      <c r="C15804" t="s">
        <v>119</v>
      </c>
      <c r="D15804" s="21" t="s">
        <v>34</v>
      </c>
      <c r="E15804" s="21" t="s">
        <v>35</v>
      </c>
      <c r="F15804">
        <v>12440001</v>
      </c>
      <c r="G15804" t="s">
        <v>6999</v>
      </c>
      <c r="H15804" s="21">
        <v>836.67</v>
      </c>
    </row>
    <row r="15805" spans="1:8" customFormat="1" x14ac:dyDescent="0.25">
      <c r="A15805" t="str">
        <f>"574299"</f>
        <v>574299</v>
      </c>
      <c r="B15805" t="s">
        <v>5769</v>
      </c>
      <c r="C15805" t="s">
        <v>3098</v>
      </c>
      <c r="D15805" s="21" t="s">
        <v>34</v>
      </c>
      <c r="E15805" s="21" t="s">
        <v>35</v>
      </c>
      <c r="F15805">
        <v>6570190</v>
      </c>
      <c r="G15805" t="s">
        <v>622</v>
      </c>
      <c r="H15805" s="21">
        <v>836.67</v>
      </c>
    </row>
    <row r="15806" spans="1:8" customFormat="1" x14ac:dyDescent="0.25">
      <c r="A15806" t="str">
        <f>"168387"</f>
        <v>168387</v>
      </c>
      <c r="B15806" t="s">
        <v>4944</v>
      </c>
      <c r="C15806" t="s">
        <v>2907</v>
      </c>
      <c r="D15806" s="21" t="s">
        <v>34</v>
      </c>
      <c r="E15806" s="21" t="s">
        <v>71</v>
      </c>
      <c r="F15806">
        <v>10160226</v>
      </c>
      <c r="G15806" t="s">
        <v>8751</v>
      </c>
      <c r="H15806" s="21">
        <v>836.67</v>
      </c>
    </row>
    <row r="15807" spans="1:8" customFormat="1" x14ac:dyDescent="0.25">
      <c r="A15807" t="str">
        <f>"7522225"</f>
        <v>7522225</v>
      </c>
      <c r="B15807" t="s">
        <v>16257</v>
      </c>
      <c r="C15807" t="s">
        <v>5142</v>
      </c>
      <c r="D15807" s="21" t="s">
        <v>34</v>
      </c>
      <c r="E15807" s="21" t="s">
        <v>35</v>
      </c>
      <c r="F15807">
        <v>8950481</v>
      </c>
      <c r="G15807" t="s">
        <v>1472</v>
      </c>
      <c r="H15807" s="21">
        <v>836.54</v>
      </c>
    </row>
    <row r="15808" spans="1:8" customFormat="1" x14ac:dyDescent="0.25">
      <c r="A15808" t="str">
        <f>"517139"</f>
        <v>517139</v>
      </c>
      <c r="B15808" t="s">
        <v>7428</v>
      </c>
      <c r="C15808" t="s">
        <v>87</v>
      </c>
      <c r="D15808" s="21" t="s">
        <v>34</v>
      </c>
      <c r="E15808" s="21" t="s">
        <v>35</v>
      </c>
      <c r="F15808">
        <v>6510008</v>
      </c>
      <c r="G15808" t="s">
        <v>26622</v>
      </c>
      <c r="H15808" s="21">
        <v>836.54</v>
      </c>
    </row>
    <row r="15809" spans="1:8" customFormat="1" x14ac:dyDescent="0.25">
      <c r="A15809" t="str">
        <f>"45396"</f>
        <v>45396</v>
      </c>
      <c r="B15809" t="s">
        <v>13641</v>
      </c>
      <c r="C15809" t="s">
        <v>2907</v>
      </c>
      <c r="D15809" s="21" t="s">
        <v>34</v>
      </c>
      <c r="E15809" s="21" t="s">
        <v>254</v>
      </c>
      <c r="F15809">
        <v>4450702</v>
      </c>
      <c r="G15809" t="s">
        <v>1772</v>
      </c>
      <c r="H15809" s="21">
        <v>836.42</v>
      </c>
    </row>
    <row r="15810" spans="1:8" customFormat="1" x14ac:dyDescent="0.25">
      <c r="A15810" t="str">
        <f>"558306"</f>
        <v>558306</v>
      </c>
      <c r="B15810" t="s">
        <v>14792</v>
      </c>
      <c r="C15810" t="s">
        <v>55</v>
      </c>
      <c r="D15810" s="21" t="s">
        <v>34</v>
      </c>
      <c r="E15810" s="21" t="s">
        <v>35</v>
      </c>
      <c r="F15810">
        <v>6540184</v>
      </c>
      <c r="G15810" t="s">
        <v>4395</v>
      </c>
      <c r="H15810" s="21">
        <v>836.29</v>
      </c>
    </row>
    <row r="15811" spans="1:8" customFormat="1" x14ac:dyDescent="0.25">
      <c r="A15811" t="str">
        <f>"3530785"</f>
        <v>3530785</v>
      </c>
      <c r="B15811" t="s">
        <v>1320</v>
      </c>
      <c r="C15811" t="s">
        <v>2693</v>
      </c>
      <c r="D15811" s="21" t="s">
        <v>34</v>
      </c>
      <c r="E15811" s="21" t="s">
        <v>71</v>
      </c>
      <c r="F15811">
        <v>3350209</v>
      </c>
      <c r="G15811" t="s">
        <v>3023</v>
      </c>
      <c r="H15811" s="21">
        <v>836.17</v>
      </c>
    </row>
    <row r="15812" spans="1:8" customFormat="1" x14ac:dyDescent="0.25">
      <c r="A15812" t="str">
        <f>"637598"</f>
        <v>637598</v>
      </c>
      <c r="B15812" t="s">
        <v>14074</v>
      </c>
      <c r="C15812" t="s">
        <v>55</v>
      </c>
      <c r="D15812" s="21" t="s">
        <v>34</v>
      </c>
      <c r="E15812" s="21" t="s">
        <v>71</v>
      </c>
      <c r="F15812">
        <v>1630191</v>
      </c>
      <c r="G15812" t="s">
        <v>11303</v>
      </c>
      <c r="H15812" s="21">
        <v>836.17</v>
      </c>
    </row>
    <row r="15813" spans="1:8" customFormat="1" x14ac:dyDescent="0.25">
      <c r="A15813" t="str">
        <f>"9522759"</f>
        <v>9522759</v>
      </c>
      <c r="B15813" t="s">
        <v>14481</v>
      </c>
      <c r="C15813" t="s">
        <v>198</v>
      </c>
      <c r="D15813" s="21" t="s">
        <v>34</v>
      </c>
      <c r="E15813" s="21" t="s">
        <v>35</v>
      </c>
      <c r="F15813">
        <v>2210052</v>
      </c>
      <c r="G15813" t="s">
        <v>1070</v>
      </c>
      <c r="H15813" s="21">
        <v>836.17</v>
      </c>
    </row>
    <row r="15814" spans="1:8" customFormat="1" x14ac:dyDescent="0.25">
      <c r="A15814" t="str">
        <f>"2219035"</f>
        <v>2219035</v>
      </c>
      <c r="B15814" t="s">
        <v>15795</v>
      </c>
      <c r="C15814" t="s">
        <v>249</v>
      </c>
      <c r="D15814" s="21" t="s">
        <v>34</v>
      </c>
      <c r="E15814" s="21" t="s">
        <v>35</v>
      </c>
      <c r="F15814">
        <v>3220048</v>
      </c>
      <c r="G15814" t="s">
        <v>26532</v>
      </c>
      <c r="H15814" s="21">
        <v>836.17</v>
      </c>
    </row>
    <row r="15815" spans="1:8" customFormat="1" x14ac:dyDescent="0.25">
      <c r="A15815" t="str">
        <f>"6022916"</f>
        <v>6022916</v>
      </c>
      <c r="B15815" t="s">
        <v>27404</v>
      </c>
      <c r="C15815" t="s">
        <v>40</v>
      </c>
      <c r="D15815" s="21" t="s">
        <v>34</v>
      </c>
      <c r="E15815" s="21" t="s">
        <v>35</v>
      </c>
      <c r="F15815">
        <v>7600018</v>
      </c>
      <c r="G15815" t="s">
        <v>5838</v>
      </c>
      <c r="H15815" s="21">
        <v>836.17</v>
      </c>
    </row>
    <row r="15816" spans="1:8" customFormat="1" x14ac:dyDescent="0.25">
      <c r="A15816" t="str">
        <f>"7827227"</f>
        <v>7827227</v>
      </c>
      <c r="B15816" t="s">
        <v>4975</v>
      </c>
      <c r="C15816" t="s">
        <v>8978</v>
      </c>
      <c r="D15816" s="21" t="s">
        <v>34</v>
      </c>
      <c r="E15816" s="21" t="s">
        <v>71</v>
      </c>
      <c r="F15816">
        <v>8780905</v>
      </c>
      <c r="G15816" t="s">
        <v>1267</v>
      </c>
      <c r="H15816" s="21">
        <v>836.17</v>
      </c>
    </row>
    <row r="15817" spans="1:8" customFormat="1" x14ac:dyDescent="0.25">
      <c r="A15817" t="str">
        <f>"5933354"</f>
        <v>5933354</v>
      </c>
      <c r="B15817" t="s">
        <v>3546</v>
      </c>
      <c r="C15817" t="s">
        <v>40</v>
      </c>
      <c r="D15817" s="21" t="s">
        <v>34</v>
      </c>
      <c r="E15817" s="21" t="s">
        <v>254</v>
      </c>
      <c r="F15817">
        <v>7590313</v>
      </c>
      <c r="G15817" t="s">
        <v>5529</v>
      </c>
      <c r="H15817" s="21">
        <v>836.17</v>
      </c>
    </row>
    <row r="15818" spans="1:8" customFormat="1" x14ac:dyDescent="0.25">
      <c r="A15818" t="str">
        <f>"4919523"</f>
        <v>4919523</v>
      </c>
      <c r="B15818" t="s">
        <v>12848</v>
      </c>
      <c r="C15818" t="s">
        <v>462</v>
      </c>
      <c r="D15818" s="21" t="s">
        <v>34</v>
      </c>
      <c r="E15818" s="21" t="s">
        <v>35</v>
      </c>
      <c r="F15818">
        <v>12490006</v>
      </c>
      <c r="G15818" t="s">
        <v>1480</v>
      </c>
      <c r="H15818" s="21">
        <v>836.17</v>
      </c>
    </row>
    <row r="15819" spans="1:8" customFormat="1" x14ac:dyDescent="0.25">
      <c r="A15819" t="str">
        <f>"8310353"</f>
        <v>8310353</v>
      </c>
      <c r="B15819" t="s">
        <v>3607</v>
      </c>
      <c r="C15819" t="s">
        <v>144</v>
      </c>
      <c r="D15819" s="21" t="s">
        <v>34</v>
      </c>
      <c r="E15819" s="21" t="s">
        <v>71</v>
      </c>
      <c r="F15819">
        <v>13830025</v>
      </c>
      <c r="G15819" t="s">
        <v>106</v>
      </c>
      <c r="H15819" s="21">
        <v>836.17</v>
      </c>
    </row>
    <row r="15820" spans="1:8" customFormat="1" x14ac:dyDescent="0.25">
      <c r="A15820" t="str">
        <f>"2923544"</f>
        <v>2923544</v>
      </c>
      <c r="B15820" t="s">
        <v>14291</v>
      </c>
      <c r="C15820" t="s">
        <v>55</v>
      </c>
      <c r="D15820" s="21" t="s">
        <v>34</v>
      </c>
      <c r="E15820" s="21" t="s">
        <v>35</v>
      </c>
      <c r="F15820">
        <v>3290285</v>
      </c>
      <c r="G15820" t="s">
        <v>2234</v>
      </c>
      <c r="H15820" s="21">
        <v>836.17</v>
      </c>
    </row>
    <row r="15821" spans="1:8" customFormat="1" x14ac:dyDescent="0.25">
      <c r="A15821" t="str">
        <f>"9125600"</f>
        <v>9125600</v>
      </c>
      <c r="B15821" t="s">
        <v>11041</v>
      </c>
      <c r="C15821" t="s">
        <v>209</v>
      </c>
      <c r="D15821" s="21" t="s">
        <v>34</v>
      </c>
      <c r="E15821" s="21" t="s">
        <v>254</v>
      </c>
      <c r="F15821">
        <v>8911285</v>
      </c>
      <c r="G15821" t="s">
        <v>2396</v>
      </c>
      <c r="H15821" s="21">
        <v>836.17</v>
      </c>
    </row>
    <row r="15822" spans="1:8" customFormat="1" x14ac:dyDescent="0.25">
      <c r="A15822" t="str">
        <f>"502905"</f>
        <v>502905</v>
      </c>
      <c r="B15822" t="s">
        <v>14747</v>
      </c>
      <c r="C15822" t="s">
        <v>269</v>
      </c>
      <c r="D15822" s="21" t="s">
        <v>34</v>
      </c>
      <c r="E15822" s="21" t="s">
        <v>71</v>
      </c>
      <c r="F15822">
        <v>9500046</v>
      </c>
      <c r="G15822" t="s">
        <v>11349</v>
      </c>
      <c r="H15822" s="21">
        <v>836.17</v>
      </c>
    </row>
    <row r="15823" spans="1:8" customFormat="1" x14ac:dyDescent="0.25">
      <c r="A15823" t="str">
        <f>"931196"</f>
        <v>931196</v>
      </c>
      <c r="B15823" t="s">
        <v>13187</v>
      </c>
      <c r="C15823" t="s">
        <v>2305</v>
      </c>
      <c r="D15823" s="21" t="s">
        <v>34</v>
      </c>
      <c r="E15823" s="21" t="s">
        <v>254</v>
      </c>
      <c r="F15823">
        <v>8930003</v>
      </c>
      <c r="G15823" t="s">
        <v>13083</v>
      </c>
      <c r="H15823" s="21">
        <v>836.17</v>
      </c>
    </row>
    <row r="15824" spans="1:8" customFormat="1" x14ac:dyDescent="0.25">
      <c r="A15824" t="str">
        <f>"7853046"</f>
        <v>7853046</v>
      </c>
      <c r="B15824" t="s">
        <v>14642</v>
      </c>
      <c r="C15824" t="s">
        <v>151</v>
      </c>
      <c r="D15824" s="21" t="s">
        <v>34</v>
      </c>
      <c r="E15824" s="21" t="s">
        <v>35</v>
      </c>
      <c r="F15824">
        <v>8780905</v>
      </c>
      <c r="G15824" t="s">
        <v>1267</v>
      </c>
      <c r="H15824" s="21">
        <v>836.04</v>
      </c>
    </row>
    <row r="15825" spans="1:8" customFormat="1" x14ac:dyDescent="0.25">
      <c r="A15825" t="str">
        <f>"584973"</f>
        <v>584973</v>
      </c>
      <c r="B15825" t="s">
        <v>13496</v>
      </c>
      <c r="C15825" t="s">
        <v>415</v>
      </c>
      <c r="D15825" s="21" t="s">
        <v>34</v>
      </c>
      <c r="E15825" s="21" t="s">
        <v>71</v>
      </c>
      <c r="F15825">
        <v>2580078</v>
      </c>
      <c r="G15825" t="s">
        <v>4432</v>
      </c>
      <c r="H15825" s="21">
        <v>836.04</v>
      </c>
    </row>
    <row r="15826" spans="1:8" customFormat="1" x14ac:dyDescent="0.25">
      <c r="A15826" t="str">
        <f>"5319695"</f>
        <v>5319695</v>
      </c>
      <c r="B15826" t="s">
        <v>11944</v>
      </c>
      <c r="C15826" t="s">
        <v>239</v>
      </c>
      <c r="D15826" s="21" t="s">
        <v>34</v>
      </c>
      <c r="E15826" s="21" t="s">
        <v>71</v>
      </c>
      <c r="F15826">
        <v>12530058</v>
      </c>
      <c r="G15826" t="s">
        <v>3128</v>
      </c>
      <c r="H15826" s="21">
        <v>835.92</v>
      </c>
    </row>
    <row r="15827" spans="1:8" customFormat="1" x14ac:dyDescent="0.25">
      <c r="A15827" t="str">
        <f>"502836"</f>
        <v>502836</v>
      </c>
      <c r="B15827" t="s">
        <v>14160</v>
      </c>
      <c r="C15827" t="s">
        <v>33</v>
      </c>
      <c r="D15827" s="21" t="s">
        <v>34</v>
      </c>
      <c r="E15827" s="21" t="s">
        <v>35</v>
      </c>
      <c r="F15827">
        <v>9500011</v>
      </c>
      <c r="G15827" t="s">
        <v>4903</v>
      </c>
      <c r="H15827" s="21">
        <v>835.92</v>
      </c>
    </row>
    <row r="15828" spans="1:8" customFormat="1" x14ac:dyDescent="0.25">
      <c r="A15828" t="str">
        <f>"082832"</f>
        <v>082832</v>
      </c>
      <c r="B15828" t="s">
        <v>12143</v>
      </c>
      <c r="C15828" t="s">
        <v>2520</v>
      </c>
      <c r="D15828" s="21" t="s">
        <v>34</v>
      </c>
      <c r="E15828" s="21" t="s">
        <v>254</v>
      </c>
      <c r="F15828">
        <v>6080024</v>
      </c>
      <c r="G15828" t="s">
        <v>5511</v>
      </c>
      <c r="H15828" s="21">
        <v>835.67</v>
      </c>
    </row>
    <row r="15829" spans="1:8" customFormat="1" x14ac:dyDescent="0.25">
      <c r="A15829" t="str">
        <f>"918685"</f>
        <v>918685</v>
      </c>
      <c r="B15829" t="s">
        <v>13570</v>
      </c>
      <c r="C15829" t="s">
        <v>119</v>
      </c>
      <c r="D15829" s="21" t="s">
        <v>34</v>
      </c>
      <c r="E15829" s="21" t="s">
        <v>35</v>
      </c>
      <c r="F15829">
        <v>8911280</v>
      </c>
      <c r="G15829" t="s">
        <v>3417</v>
      </c>
      <c r="H15829" s="21">
        <v>835.67</v>
      </c>
    </row>
    <row r="15830" spans="1:8" customFormat="1" x14ac:dyDescent="0.25">
      <c r="A15830" t="str">
        <f>"16143"</f>
        <v>16143</v>
      </c>
      <c r="B15830" t="s">
        <v>9294</v>
      </c>
      <c r="C15830" t="s">
        <v>33</v>
      </c>
      <c r="D15830" s="21" t="s">
        <v>34</v>
      </c>
      <c r="E15830" s="21" t="s">
        <v>71</v>
      </c>
      <c r="F15830">
        <v>10160013</v>
      </c>
      <c r="G15830" t="s">
        <v>12672</v>
      </c>
      <c r="H15830" s="21">
        <v>835.67</v>
      </c>
    </row>
    <row r="15831" spans="1:8" customFormat="1" x14ac:dyDescent="0.25">
      <c r="A15831" t="str">
        <f>"559059"</f>
        <v>559059</v>
      </c>
      <c r="B15831" t="s">
        <v>19268</v>
      </c>
      <c r="C15831" t="s">
        <v>169</v>
      </c>
      <c r="D15831" s="21" t="s">
        <v>34</v>
      </c>
      <c r="E15831" s="21" t="s">
        <v>35</v>
      </c>
      <c r="F15831">
        <v>6550001</v>
      </c>
      <c r="G15831" t="s">
        <v>8790</v>
      </c>
      <c r="H15831" s="21">
        <v>835.67</v>
      </c>
    </row>
    <row r="15832" spans="1:8" customFormat="1" x14ac:dyDescent="0.25">
      <c r="A15832" t="str">
        <f>"555156"</f>
        <v>555156</v>
      </c>
      <c r="B15832" t="s">
        <v>15320</v>
      </c>
      <c r="C15832" t="s">
        <v>4721</v>
      </c>
      <c r="D15832" s="21" t="s">
        <v>34</v>
      </c>
      <c r="E15832" s="21" t="s">
        <v>71</v>
      </c>
      <c r="F15832">
        <v>6550034</v>
      </c>
      <c r="G15832" t="s">
        <v>6218</v>
      </c>
      <c r="H15832" s="21">
        <v>835.67</v>
      </c>
    </row>
    <row r="15833" spans="1:8" customFormat="1" x14ac:dyDescent="0.25">
      <c r="A15833" t="str">
        <f>"178055"</f>
        <v>178055</v>
      </c>
      <c r="B15833" t="s">
        <v>10208</v>
      </c>
      <c r="C15833" t="s">
        <v>55</v>
      </c>
      <c r="D15833" s="21" t="s">
        <v>34</v>
      </c>
      <c r="E15833" s="21" t="s">
        <v>254</v>
      </c>
      <c r="F15833">
        <v>10170051</v>
      </c>
      <c r="G15833" t="s">
        <v>826</v>
      </c>
      <c r="H15833" s="21">
        <v>835.67</v>
      </c>
    </row>
    <row r="15834" spans="1:8" customFormat="1" x14ac:dyDescent="0.25">
      <c r="A15834" t="str">
        <f>"7613422"</f>
        <v>7613422</v>
      </c>
      <c r="B15834" t="s">
        <v>13694</v>
      </c>
      <c r="C15834" t="s">
        <v>263</v>
      </c>
      <c r="D15834" s="21" t="s">
        <v>34</v>
      </c>
      <c r="E15834" s="21" t="s">
        <v>254</v>
      </c>
      <c r="F15834">
        <v>9760428</v>
      </c>
      <c r="G15834" t="s">
        <v>5081</v>
      </c>
      <c r="H15834" s="21">
        <v>835.67</v>
      </c>
    </row>
    <row r="15835" spans="1:8" customFormat="1" x14ac:dyDescent="0.25">
      <c r="A15835" t="str">
        <f>"7831205"</f>
        <v>7831205</v>
      </c>
      <c r="B15835" t="s">
        <v>7327</v>
      </c>
      <c r="C15835" t="s">
        <v>198</v>
      </c>
      <c r="D15835" s="21" t="s">
        <v>34</v>
      </c>
      <c r="E15835" s="21" t="s">
        <v>35</v>
      </c>
      <c r="F15835">
        <v>8781176</v>
      </c>
      <c r="G15835" t="s">
        <v>3659</v>
      </c>
      <c r="H15835" s="21">
        <v>835.67</v>
      </c>
    </row>
    <row r="15836" spans="1:8" customFormat="1" x14ac:dyDescent="0.25">
      <c r="A15836" t="str">
        <f>"1417887"</f>
        <v>1417887</v>
      </c>
      <c r="B15836" t="s">
        <v>13908</v>
      </c>
      <c r="C15836" t="s">
        <v>269</v>
      </c>
      <c r="D15836" s="21" t="s">
        <v>34</v>
      </c>
      <c r="E15836" s="21" t="s">
        <v>35</v>
      </c>
      <c r="F15836">
        <v>9140233</v>
      </c>
      <c r="G15836" t="s">
        <v>13269</v>
      </c>
      <c r="H15836" s="21">
        <v>835.67</v>
      </c>
    </row>
    <row r="15837" spans="1:8" customFormat="1" x14ac:dyDescent="0.25">
      <c r="A15837" t="str">
        <f>"7112410"</f>
        <v>7112410</v>
      </c>
      <c r="B15837" t="s">
        <v>6498</v>
      </c>
      <c r="C15837" t="s">
        <v>1782</v>
      </c>
      <c r="D15837" s="21" t="s">
        <v>34</v>
      </c>
      <c r="E15837" s="21" t="s">
        <v>35</v>
      </c>
      <c r="F15837">
        <v>2710048</v>
      </c>
      <c r="G15837" t="s">
        <v>2225</v>
      </c>
      <c r="H15837" s="21">
        <v>835.67</v>
      </c>
    </row>
    <row r="15838" spans="1:8" customFormat="1" x14ac:dyDescent="0.25">
      <c r="A15838" t="str">
        <f>"956194"</f>
        <v>956194</v>
      </c>
      <c r="B15838" t="s">
        <v>12828</v>
      </c>
      <c r="C15838" t="s">
        <v>263</v>
      </c>
      <c r="D15838" s="21" t="s">
        <v>34</v>
      </c>
      <c r="E15838" s="21" t="s">
        <v>71</v>
      </c>
      <c r="F15838">
        <v>8950103</v>
      </c>
      <c r="G15838" t="s">
        <v>440</v>
      </c>
      <c r="H15838" s="21">
        <v>835.67</v>
      </c>
    </row>
    <row r="15839" spans="1:8" customFormat="1" x14ac:dyDescent="0.25">
      <c r="A15839" t="str">
        <f>"857602"</f>
        <v>857602</v>
      </c>
      <c r="B15839" t="s">
        <v>12286</v>
      </c>
      <c r="C15839" t="s">
        <v>2904</v>
      </c>
      <c r="D15839" s="21" t="s">
        <v>34</v>
      </c>
      <c r="E15839" s="21" t="s">
        <v>71</v>
      </c>
      <c r="F15839">
        <v>12851012</v>
      </c>
      <c r="G15839" t="s">
        <v>1963</v>
      </c>
      <c r="H15839" s="21">
        <v>835.67</v>
      </c>
    </row>
    <row r="15840" spans="1:8" customFormat="1" x14ac:dyDescent="0.25">
      <c r="A15840" t="str">
        <f>"16733"</f>
        <v>16733</v>
      </c>
      <c r="B15840" t="s">
        <v>9279</v>
      </c>
      <c r="C15840" t="s">
        <v>1597</v>
      </c>
      <c r="D15840" s="21" t="s">
        <v>34</v>
      </c>
      <c r="E15840" s="21" t="s">
        <v>71</v>
      </c>
      <c r="F15840">
        <v>10160085</v>
      </c>
      <c r="G15840" t="s">
        <v>10818</v>
      </c>
      <c r="H15840" s="21">
        <v>835.67</v>
      </c>
    </row>
    <row r="15841" spans="1:8" customFormat="1" x14ac:dyDescent="0.25">
      <c r="A15841" t="str">
        <f>"458532"</f>
        <v>458532</v>
      </c>
      <c r="B15841" t="s">
        <v>8862</v>
      </c>
      <c r="C15841" t="s">
        <v>2100</v>
      </c>
      <c r="D15841" s="21" t="s">
        <v>34</v>
      </c>
      <c r="E15841" s="21" t="s">
        <v>35</v>
      </c>
      <c r="F15841">
        <v>4370167</v>
      </c>
      <c r="G15841" t="s">
        <v>8834</v>
      </c>
      <c r="H15841" s="21">
        <v>835.67</v>
      </c>
    </row>
    <row r="15842" spans="1:8" customFormat="1" x14ac:dyDescent="0.25">
      <c r="A15842" t="str">
        <f>"8010430"</f>
        <v>8010430</v>
      </c>
      <c r="B15842" t="s">
        <v>7316</v>
      </c>
      <c r="C15842" t="s">
        <v>87</v>
      </c>
      <c r="D15842" s="21" t="s">
        <v>34</v>
      </c>
      <c r="E15842" s="21" t="s">
        <v>71</v>
      </c>
      <c r="F15842">
        <v>7800139</v>
      </c>
      <c r="G15842" t="s">
        <v>6694</v>
      </c>
      <c r="H15842" s="21">
        <v>835.67</v>
      </c>
    </row>
    <row r="15843" spans="1:8" customFormat="1" x14ac:dyDescent="0.25">
      <c r="A15843" t="str">
        <f>"9311196"</f>
        <v>9311196</v>
      </c>
      <c r="B15843" t="s">
        <v>14441</v>
      </c>
      <c r="C15843" t="s">
        <v>124</v>
      </c>
      <c r="D15843" s="21" t="s">
        <v>34</v>
      </c>
      <c r="E15843" s="21" t="s">
        <v>71</v>
      </c>
      <c r="F15843">
        <v>13830031</v>
      </c>
      <c r="G15843" t="s">
        <v>8301</v>
      </c>
      <c r="H15843" s="21">
        <v>835.54</v>
      </c>
    </row>
    <row r="15844" spans="1:8" customFormat="1" x14ac:dyDescent="0.25">
      <c r="A15844" t="str">
        <f>"5326323"</f>
        <v>5326323</v>
      </c>
      <c r="B15844" t="s">
        <v>146</v>
      </c>
      <c r="C15844" t="s">
        <v>2479</v>
      </c>
      <c r="D15844" s="21" t="s">
        <v>34</v>
      </c>
      <c r="E15844" s="21" t="s">
        <v>71</v>
      </c>
      <c r="F15844">
        <v>12530008</v>
      </c>
      <c r="G15844" t="s">
        <v>7920</v>
      </c>
      <c r="H15844" s="21">
        <v>835.54</v>
      </c>
    </row>
    <row r="15845" spans="1:8" customFormat="1" x14ac:dyDescent="0.25">
      <c r="A15845" t="str">
        <f>"644213"</f>
        <v>644213</v>
      </c>
      <c r="B15845" t="s">
        <v>27405</v>
      </c>
      <c r="C15845" t="s">
        <v>60</v>
      </c>
      <c r="D15845" s="21" t="s">
        <v>34</v>
      </c>
      <c r="E15845" s="21" t="s">
        <v>35</v>
      </c>
      <c r="F15845">
        <v>11320033</v>
      </c>
      <c r="G15845" t="s">
        <v>8133</v>
      </c>
      <c r="H15845" s="21">
        <v>835.42</v>
      </c>
    </row>
    <row r="15846" spans="1:8" customFormat="1" x14ac:dyDescent="0.25">
      <c r="A15846" t="str">
        <f>"2213450"</f>
        <v>2213450</v>
      </c>
      <c r="B15846" t="s">
        <v>1827</v>
      </c>
      <c r="C15846" t="s">
        <v>328</v>
      </c>
      <c r="D15846" s="21" t="s">
        <v>34</v>
      </c>
      <c r="E15846" s="21" t="s">
        <v>35</v>
      </c>
      <c r="F15846">
        <v>3350009</v>
      </c>
      <c r="G15846" t="s">
        <v>1823</v>
      </c>
      <c r="H15846" s="21">
        <v>835.42</v>
      </c>
    </row>
    <row r="15847" spans="1:8" customFormat="1" x14ac:dyDescent="0.25">
      <c r="A15847" t="str">
        <f>"733675"</f>
        <v>733675</v>
      </c>
      <c r="B15847" t="s">
        <v>13683</v>
      </c>
      <c r="C15847" t="s">
        <v>1350</v>
      </c>
      <c r="D15847" s="21" t="s">
        <v>34</v>
      </c>
      <c r="E15847" s="21" t="s">
        <v>35</v>
      </c>
      <c r="F15847">
        <v>1730083</v>
      </c>
      <c r="G15847" t="s">
        <v>10955</v>
      </c>
      <c r="H15847" s="21">
        <v>835.42</v>
      </c>
    </row>
    <row r="15848" spans="1:8" customFormat="1" x14ac:dyDescent="0.25">
      <c r="A15848" t="str">
        <f>"552802"</f>
        <v>552802</v>
      </c>
      <c r="B15848" t="s">
        <v>5066</v>
      </c>
      <c r="C15848" t="s">
        <v>3934</v>
      </c>
      <c r="D15848" s="21" t="s">
        <v>34</v>
      </c>
      <c r="E15848" s="21" t="s">
        <v>35</v>
      </c>
      <c r="F15848">
        <v>6550001</v>
      </c>
      <c r="G15848" t="s">
        <v>8790</v>
      </c>
      <c r="H15848" s="21">
        <v>835.17</v>
      </c>
    </row>
    <row r="15849" spans="1:8" customFormat="1" x14ac:dyDescent="0.25">
      <c r="A15849" t="str">
        <f>"8516399"</f>
        <v>8516399</v>
      </c>
      <c r="B15849" t="s">
        <v>907</v>
      </c>
      <c r="C15849" t="s">
        <v>169</v>
      </c>
      <c r="D15849" s="21" t="s">
        <v>34</v>
      </c>
      <c r="E15849" s="21" t="s">
        <v>71</v>
      </c>
      <c r="F15849">
        <v>12850033</v>
      </c>
      <c r="G15849" t="s">
        <v>703</v>
      </c>
      <c r="H15849" s="21">
        <v>835.17</v>
      </c>
    </row>
    <row r="15850" spans="1:8" customFormat="1" x14ac:dyDescent="0.25">
      <c r="A15850" t="str">
        <f>"805702"</f>
        <v>805702</v>
      </c>
      <c r="B15850" t="s">
        <v>12471</v>
      </c>
      <c r="C15850" t="s">
        <v>3073</v>
      </c>
      <c r="D15850" s="21" t="s">
        <v>34</v>
      </c>
      <c r="E15850" s="21" t="s">
        <v>254</v>
      </c>
      <c r="F15850">
        <v>7800005</v>
      </c>
      <c r="G15850" t="s">
        <v>6547</v>
      </c>
      <c r="H15850" s="21">
        <v>835.17</v>
      </c>
    </row>
    <row r="15851" spans="1:8" customFormat="1" x14ac:dyDescent="0.25">
      <c r="A15851" t="str">
        <f>"2514734"</f>
        <v>2514734</v>
      </c>
      <c r="B15851" t="s">
        <v>2082</v>
      </c>
      <c r="C15851" t="s">
        <v>267</v>
      </c>
      <c r="D15851" s="21" t="s">
        <v>34</v>
      </c>
      <c r="E15851" s="21" t="s">
        <v>71</v>
      </c>
      <c r="F15851">
        <v>2250015</v>
      </c>
      <c r="G15851" t="s">
        <v>4776</v>
      </c>
      <c r="H15851" s="21">
        <v>835.17</v>
      </c>
    </row>
    <row r="15852" spans="1:8" customFormat="1" x14ac:dyDescent="0.25">
      <c r="A15852" t="str">
        <f>"063459"</f>
        <v>063459</v>
      </c>
      <c r="B15852" t="s">
        <v>1241</v>
      </c>
      <c r="C15852" t="s">
        <v>412</v>
      </c>
      <c r="D15852" s="21" t="s">
        <v>34</v>
      </c>
      <c r="E15852" s="21" t="s">
        <v>71</v>
      </c>
      <c r="F15852">
        <v>13060066</v>
      </c>
      <c r="G15852" t="s">
        <v>2556</v>
      </c>
      <c r="H15852" s="21">
        <v>835.17</v>
      </c>
    </row>
    <row r="15853" spans="1:8" customFormat="1" x14ac:dyDescent="0.25">
      <c r="A15853" t="str">
        <f>"27979"</f>
        <v>27979</v>
      </c>
      <c r="B15853" t="s">
        <v>2873</v>
      </c>
      <c r="C15853" t="s">
        <v>209</v>
      </c>
      <c r="D15853" s="21" t="s">
        <v>34</v>
      </c>
      <c r="E15853" s="21" t="s">
        <v>254</v>
      </c>
      <c r="F15853">
        <v>9270148</v>
      </c>
      <c r="G15853" t="s">
        <v>8058</v>
      </c>
      <c r="H15853" s="21">
        <v>835.17</v>
      </c>
    </row>
    <row r="15854" spans="1:8" customFormat="1" x14ac:dyDescent="0.25">
      <c r="A15854" t="str">
        <f>"6211705"</f>
        <v>6211705</v>
      </c>
      <c r="B15854" t="s">
        <v>7938</v>
      </c>
      <c r="C15854" t="s">
        <v>263</v>
      </c>
      <c r="D15854" s="21" t="s">
        <v>34</v>
      </c>
      <c r="E15854" s="21" t="s">
        <v>71</v>
      </c>
      <c r="F15854">
        <v>7620016</v>
      </c>
      <c r="G15854" t="s">
        <v>6850</v>
      </c>
      <c r="H15854" s="21">
        <v>835.17</v>
      </c>
    </row>
    <row r="15855" spans="1:8" customFormat="1" x14ac:dyDescent="0.25">
      <c r="A15855" t="str">
        <f>"2511179"</f>
        <v>2511179</v>
      </c>
      <c r="B15855" t="s">
        <v>9014</v>
      </c>
      <c r="C15855" t="s">
        <v>43</v>
      </c>
      <c r="D15855" s="21" t="s">
        <v>34</v>
      </c>
      <c r="E15855" s="21" t="s">
        <v>35</v>
      </c>
      <c r="F15855">
        <v>2250176</v>
      </c>
      <c r="G15855" t="s">
        <v>7261</v>
      </c>
      <c r="H15855" s="21">
        <v>835.17</v>
      </c>
    </row>
    <row r="15856" spans="1:8" customFormat="1" x14ac:dyDescent="0.25">
      <c r="A15856" t="str">
        <f>"502487"</f>
        <v>502487</v>
      </c>
      <c r="B15856" t="s">
        <v>9353</v>
      </c>
      <c r="C15856" t="s">
        <v>249</v>
      </c>
      <c r="D15856" s="21" t="s">
        <v>34</v>
      </c>
      <c r="E15856" s="21" t="s">
        <v>35</v>
      </c>
      <c r="F15856">
        <v>9500093</v>
      </c>
      <c r="G15856" t="s">
        <v>1808</v>
      </c>
      <c r="H15856" s="21">
        <v>835.17</v>
      </c>
    </row>
    <row r="15857" spans="1:8" customFormat="1" x14ac:dyDescent="0.25">
      <c r="A15857" t="str">
        <f>"60235"</f>
        <v>60235</v>
      </c>
      <c r="B15857" t="s">
        <v>1601</v>
      </c>
      <c r="C15857" t="s">
        <v>2276</v>
      </c>
      <c r="D15857" s="21" t="s">
        <v>34</v>
      </c>
      <c r="E15857" s="21" t="s">
        <v>254</v>
      </c>
      <c r="F15857">
        <v>7600037</v>
      </c>
      <c r="G15857" t="s">
        <v>7185</v>
      </c>
      <c r="H15857" s="21">
        <v>835.17</v>
      </c>
    </row>
    <row r="15858" spans="1:8" customFormat="1" x14ac:dyDescent="0.25">
      <c r="A15858" t="str">
        <f>"5411615"</f>
        <v>5411615</v>
      </c>
      <c r="B15858" t="s">
        <v>14458</v>
      </c>
      <c r="C15858" t="s">
        <v>2414</v>
      </c>
      <c r="D15858" s="21" t="s">
        <v>34</v>
      </c>
      <c r="E15858" s="21" t="s">
        <v>254</v>
      </c>
      <c r="F15858">
        <v>6540097</v>
      </c>
      <c r="G15858" t="s">
        <v>12434</v>
      </c>
      <c r="H15858" s="21">
        <v>835.17</v>
      </c>
    </row>
    <row r="15859" spans="1:8" customFormat="1" x14ac:dyDescent="0.25">
      <c r="A15859" t="str">
        <f>"625049"</f>
        <v>625049</v>
      </c>
      <c r="B15859" t="s">
        <v>6309</v>
      </c>
      <c r="C15859" t="s">
        <v>204</v>
      </c>
      <c r="D15859" s="21" t="s">
        <v>34</v>
      </c>
      <c r="E15859" s="21" t="s">
        <v>71</v>
      </c>
      <c r="F15859">
        <v>7620011</v>
      </c>
      <c r="G15859" t="s">
        <v>10839</v>
      </c>
      <c r="H15859" s="21">
        <v>835.17</v>
      </c>
    </row>
    <row r="15860" spans="1:8" customFormat="1" x14ac:dyDescent="0.25">
      <c r="A15860" t="str">
        <f>"7220861"</f>
        <v>7220861</v>
      </c>
      <c r="B15860" t="s">
        <v>15921</v>
      </c>
      <c r="C15860" t="s">
        <v>55</v>
      </c>
      <c r="D15860" s="21" t="s">
        <v>34</v>
      </c>
      <c r="E15860" s="21" t="s">
        <v>35</v>
      </c>
      <c r="F15860">
        <v>12720027</v>
      </c>
      <c r="G15860" t="s">
        <v>3562</v>
      </c>
      <c r="H15860" s="21">
        <v>835.17</v>
      </c>
    </row>
    <row r="15861" spans="1:8" customFormat="1" x14ac:dyDescent="0.25">
      <c r="A15861" t="str">
        <f>"449206"</f>
        <v>449206</v>
      </c>
      <c r="B15861" t="s">
        <v>4493</v>
      </c>
      <c r="C15861" t="s">
        <v>130</v>
      </c>
      <c r="D15861" s="21" t="s">
        <v>34</v>
      </c>
      <c r="E15861" s="21" t="s">
        <v>71</v>
      </c>
      <c r="F15861">
        <v>12440015</v>
      </c>
      <c r="G15861" t="s">
        <v>8421</v>
      </c>
      <c r="H15861" s="21">
        <v>835.17</v>
      </c>
    </row>
    <row r="15862" spans="1:8" customFormat="1" x14ac:dyDescent="0.25">
      <c r="A15862" t="str">
        <f>"718602"</f>
        <v>718602</v>
      </c>
      <c r="B15862" t="s">
        <v>8868</v>
      </c>
      <c r="C15862" t="s">
        <v>576</v>
      </c>
      <c r="D15862" s="21" t="s">
        <v>34</v>
      </c>
      <c r="E15862" s="21" t="s">
        <v>35</v>
      </c>
      <c r="F15862">
        <v>2710048</v>
      </c>
      <c r="G15862" t="s">
        <v>2225</v>
      </c>
      <c r="H15862" s="21">
        <v>835.17</v>
      </c>
    </row>
    <row r="15863" spans="1:8" customFormat="1" x14ac:dyDescent="0.25">
      <c r="A15863" t="str">
        <f>"9123764"</f>
        <v>9123764</v>
      </c>
      <c r="B15863" t="s">
        <v>14547</v>
      </c>
      <c r="C15863" t="s">
        <v>263</v>
      </c>
      <c r="D15863" s="21" t="s">
        <v>34</v>
      </c>
      <c r="E15863" s="21" t="s">
        <v>254</v>
      </c>
      <c r="F15863">
        <v>8911439</v>
      </c>
      <c r="G15863" t="s">
        <v>3953</v>
      </c>
      <c r="H15863" s="21">
        <v>835.17</v>
      </c>
    </row>
    <row r="15864" spans="1:8" customFormat="1" x14ac:dyDescent="0.25">
      <c r="A15864" t="str">
        <f>"6917060"</f>
        <v>6917060</v>
      </c>
      <c r="B15864" t="s">
        <v>12964</v>
      </c>
      <c r="C15864" t="s">
        <v>169</v>
      </c>
      <c r="D15864" s="21" t="s">
        <v>34</v>
      </c>
      <c r="E15864" s="21" t="s">
        <v>35</v>
      </c>
      <c r="F15864">
        <v>1690104</v>
      </c>
      <c r="G15864" t="s">
        <v>3501</v>
      </c>
      <c r="H15864" s="21">
        <v>834.92</v>
      </c>
    </row>
    <row r="15865" spans="1:8" customFormat="1" x14ac:dyDescent="0.25">
      <c r="A15865" t="str">
        <f>"928455"</f>
        <v>928455</v>
      </c>
      <c r="B15865" t="s">
        <v>15261</v>
      </c>
      <c r="C15865" t="s">
        <v>288</v>
      </c>
      <c r="D15865" s="21" t="s">
        <v>34</v>
      </c>
      <c r="E15865" s="21" t="s">
        <v>71</v>
      </c>
      <c r="F15865">
        <v>8780496</v>
      </c>
      <c r="G15865" t="s">
        <v>2477</v>
      </c>
      <c r="H15865" s="21">
        <v>834.92</v>
      </c>
    </row>
    <row r="15866" spans="1:8" customFormat="1" x14ac:dyDescent="0.25">
      <c r="A15866" t="str">
        <f>"3340255"</f>
        <v>3340255</v>
      </c>
      <c r="B15866" t="s">
        <v>15245</v>
      </c>
      <c r="C15866" t="s">
        <v>60</v>
      </c>
      <c r="D15866" s="21" t="s">
        <v>34</v>
      </c>
      <c r="E15866" s="21" t="s">
        <v>35</v>
      </c>
      <c r="F15866">
        <v>10330125</v>
      </c>
      <c r="G15866" t="s">
        <v>3753</v>
      </c>
      <c r="H15866" s="21">
        <v>834.92</v>
      </c>
    </row>
    <row r="15867" spans="1:8" customFormat="1" x14ac:dyDescent="0.25">
      <c r="A15867" t="str">
        <f>"2719716"</f>
        <v>2719716</v>
      </c>
      <c r="B15867" t="s">
        <v>15060</v>
      </c>
      <c r="C15867" t="s">
        <v>209</v>
      </c>
      <c r="D15867" s="21" t="s">
        <v>34</v>
      </c>
      <c r="E15867" s="21" t="s">
        <v>35</v>
      </c>
      <c r="F15867">
        <v>9270060</v>
      </c>
      <c r="G15867" t="s">
        <v>1982</v>
      </c>
      <c r="H15867" s="21">
        <v>834.92</v>
      </c>
    </row>
    <row r="15868" spans="1:8" customFormat="1" x14ac:dyDescent="0.25">
      <c r="A15868" t="str">
        <f>"6020998"</f>
        <v>6020998</v>
      </c>
      <c r="B15868" t="s">
        <v>8458</v>
      </c>
      <c r="C15868" t="s">
        <v>87</v>
      </c>
      <c r="D15868" s="21" t="s">
        <v>34</v>
      </c>
      <c r="E15868" s="21" t="s">
        <v>71</v>
      </c>
      <c r="F15868">
        <v>7600018</v>
      </c>
      <c r="G15868" t="s">
        <v>5838</v>
      </c>
      <c r="H15868" s="21">
        <v>834.92</v>
      </c>
    </row>
    <row r="15869" spans="1:8" customFormat="1" x14ac:dyDescent="0.25">
      <c r="A15869" t="str">
        <f>"5617706"</f>
        <v>5617706</v>
      </c>
      <c r="B15869" t="s">
        <v>1012</v>
      </c>
      <c r="C15869" t="s">
        <v>58</v>
      </c>
      <c r="D15869" s="21" t="s">
        <v>34</v>
      </c>
      <c r="E15869" s="21" t="s">
        <v>35</v>
      </c>
      <c r="F15869">
        <v>3560014</v>
      </c>
      <c r="G15869" t="s">
        <v>8206</v>
      </c>
      <c r="H15869" s="21">
        <v>834.92</v>
      </c>
    </row>
    <row r="15870" spans="1:8" customFormat="1" x14ac:dyDescent="0.25">
      <c r="A15870" t="str">
        <f>"932935"</f>
        <v>932935</v>
      </c>
      <c r="B15870" t="s">
        <v>9530</v>
      </c>
      <c r="C15870" t="s">
        <v>9063</v>
      </c>
      <c r="D15870" s="21" t="s">
        <v>34</v>
      </c>
      <c r="E15870" s="21" t="s">
        <v>1089</v>
      </c>
      <c r="F15870">
        <v>8930610</v>
      </c>
      <c r="G15870" t="s">
        <v>3002</v>
      </c>
      <c r="H15870" s="21">
        <v>834.67</v>
      </c>
    </row>
    <row r="15871" spans="1:8" customFormat="1" x14ac:dyDescent="0.25">
      <c r="A15871" t="str">
        <f>"9110104"</f>
        <v>9110104</v>
      </c>
      <c r="B15871" t="s">
        <v>10944</v>
      </c>
      <c r="C15871" t="s">
        <v>3073</v>
      </c>
      <c r="D15871" s="21" t="s">
        <v>34</v>
      </c>
      <c r="E15871" s="21" t="s">
        <v>1089</v>
      </c>
      <c r="F15871">
        <v>8910285</v>
      </c>
      <c r="G15871" t="s">
        <v>26604</v>
      </c>
      <c r="H15871" s="21">
        <v>834.67</v>
      </c>
    </row>
    <row r="15872" spans="1:8" customFormat="1" x14ac:dyDescent="0.25">
      <c r="A15872" t="str">
        <f>"2214099"</f>
        <v>2214099</v>
      </c>
      <c r="B15872" t="s">
        <v>13901</v>
      </c>
      <c r="C15872" t="s">
        <v>399</v>
      </c>
      <c r="D15872" s="21" t="s">
        <v>34</v>
      </c>
      <c r="E15872" s="21" t="s">
        <v>1089</v>
      </c>
      <c r="F15872">
        <v>3560017</v>
      </c>
      <c r="G15872" t="s">
        <v>5745</v>
      </c>
      <c r="H15872" s="21">
        <v>834.67</v>
      </c>
    </row>
    <row r="15873" spans="1:8" customFormat="1" x14ac:dyDescent="0.25">
      <c r="A15873" t="str">
        <f>"187817"</f>
        <v>187817</v>
      </c>
      <c r="B15873" t="s">
        <v>8832</v>
      </c>
      <c r="C15873" t="s">
        <v>156</v>
      </c>
      <c r="D15873" s="21" t="s">
        <v>34</v>
      </c>
      <c r="E15873" s="21" t="s">
        <v>1089</v>
      </c>
      <c r="F15873">
        <v>10230105</v>
      </c>
      <c r="G15873" t="s">
        <v>9926</v>
      </c>
      <c r="H15873" s="21">
        <v>834.67</v>
      </c>
    </row>
    <row r="15874" spans="1:8" customFormat="1" x14ac:dyDescent="0.25">
      <c r="A15874" t="str">
        <f>"5430682"</f>
        <v>5430682</v>
      </c>
      <c r="B15874" t="s">
        <v>15361</v>
      </c>
      <c r="C15874" t="s">
        <v>15362</v>
      </c>
      <c r="D15874" s="21" t="s">
        <v>34</v>
      </c>
      <c r="E15874" s="21" t="s">
        <v>35</v>
      </c>
      <c r="F15874">
        <v>6540055</v>
      </c>
      <c r="G15874" t="s">
        <v>9080</v>
      </c>
      <c r="H15874" s="21">
        <v>834.67</v>
      </c>
    </row>
    <row r="15875" spans="1:8" customFormat="1" x14ac:dyDescent="0.25">
      <c r="A15875" t="str">
        <f>"6930160"</f>
        <v>6930160</v>
      </c>
      <c r="B15875" t="s">
        <v>12659</v>
      </c>
      <c r="C15875" t="s">
        <v>12660</v>
      </c>
      <c r="D15875" s="21" t="s">
        <v>34</v>
      </c>
      <c r="E15875" s="21" t="s">
        <v>71</v>
      </c>
      <c r="F15875">
        <v>1690224</v>
      </c>
      <c r="G15875" t="s">
        <v>27093</v>
      </c>
      <c r="H15875" s="21">
        <v>834.67</v>
      </c>
    </row>
    <row r="15876" spans="1:8" customFormat="1" x14ac:dyDescent="0.25">
      <c r="A15876" t="str">
        <f>"7726069"</f>
        <v>7726069</v>
      </c>
      <c r="B15876" t="s">
        <v>14267</v>
      </c>
      <c r="C15876" t="s">
        <v>1665</v>
      </c>
      <c r="D15876" s="21" t="s">
        <v>34</v>
      </c>
      <c r="E15876" s="21" t="s">
        <v>254</v>
      </c>
      <c r="F15876">
        <v>8771426</v>
      </c>
      <c r="G15876" t="s">
        <v>844</v>
      </c>
      <c r="H15876" s="21">
        <v>834.67</v>
      </c>
    </row>
    <row r="15877" spans="1:8" customFormat="1" x14ac:dyDescent="0.25">
      <c r="A15877" t="str">
        <f>"083574"</f>
        <v>083574</v>
      </c>
      <c r="B15877" t="s">
        <v>4278</v>
      </c>
      <c r="C15877" t="s">
        <v>1914</v>
      </c>
      <c r="D15877" s="21" t="s">
        <v>34</v>
      </c>
      <c r="E15877" s="21" t="s">
        <v>71</v>
      </c>
      <c r="F15877">
        <v>6080044</v>
      </c>
      <c r="G15877" t="s">
        <v>7450</v>
      </c>
      <c r="H15877" s="21">
        <v>834.67</v>
      </c>
    </row>
    <row r="15878" spans="1:8" customFormat="1" x14ac:dyDescent="0.25">
      <c r="A15878" t="str">
        <f>"537705"</f>
        <v>537705</v>
      </c>
      <c r="B15878" t="s">
        <v>14434</v>
      </c>
      <c r="C15878" t="s">
        <v>328</v>
      </c>
      <c r="D15878" s="21" t="s">
        <v>34</v>
      </c>
      <c r="E15878" s="21" t="s">
        <v>254</v>
      </c>
      <c r="F15878">
        <v>12530062</v>
      </c>
      <c r="G15878" t="s">
        <v>1116</v>
      </c>
      <c r="H15878" s="21">
        <v>834.67</v>
      </c>
    </row>
    <row r="15879" spans="1:8" customFormat="1" x14ac:dyDescent="0.25">
      <c r="A15879" t="str">
        <f>"13106"</f>
        <v>13106</v>
      </c>
      <c r="B15879" t="s">
        <v>2413</v>
      </c>
      <c r="C15879" t="s">
        <v>812</v>
      </c>
      <c r="D15879" s="21" t="s">
        <v>34</v>
      </c>
      <c r="E15879" s="21" t="s">
        <v>71</v>
      </c>
      <c r="F15879">
        <v>13130004</v>
      </c>
      <c r="G15879" t="s">
        <v>942</v>
      </c>
      <c r="H15879" s="21">
        <v>834.67</v>
      </c>
    </row>
    <row r="15880" spans="1:8" customFormat="1" x14ac:dyDescent="0.25">
      <c r="A15880" t="str">
        <f>"951204"</f>
        <v>951204</v>
      </c>
      <c r="B15880" t="s">
        <v>13798</v>
      </c>
      <c r="C15880" t="s">
        <v>253</v>
      </c>
      <c r="D15880" s="21" t="s">
        <v>34</v>
      </c>
      <c r="E15880" s="21" t="s">
        <v>71</v>
      </c>
      <c r="F15880">
        <v>8950260</v>
      </c>
      <c r="G15880" t="s">
        <v>8564</v>
      </c>
      <c r="H15880" s="21">
        <v>834.67</v>
      </c>
    </row>
    <row r="15881" spans="1:8" customFormat="1" x14ac:dyDescent="0.25">
      <c r="A15881" t="str">
        <f>"307357"</f>
        <v>307357</v>
      </c>
      <c r="B15881" t="s">
        <v>14143</v>
      </c>
      <c r="C15881" t="s">
        <v>55</v>
      </c>
      <c r="D15881" s="21" t="s">
        <v>34</v>
      </c>
      <c r="E15881" s="21" t="s">
        <v>71</v>
      </c>
      <c r="F15881">
        <v>11300025</v>
      </c>
      <c r="G15881" t="s">
        <v>1211</v>
      </c>
      <c r="H15881" s="21">
        <v>834.67</v>
      </c>
    </row>
    <row r="15882" spans="1:8" customFormat="1" x14ac:dyDescent="0.25">
      <c r="A15882" t="str">
        <f>"3522697"</f>
        <v>3522697</v>
      </c>
      <c r="B15882" t="s">
        <v>13568</v>
      </c>
      <c r="C15882" t="s">
        <v>209</v>
      </c>
      <c r="D15882" s="21" t="s">
        <v>34</v>
      </c>
      <c r="E15882" s="21" t="s">
        <v>71</v>
      </c>
      <c r="F15882">
        <v>3350045</v>
      </c>
      <c r="G15882" t="s">
        <v>13569</v>
      </c>
      <c r="H15882" s="21">
        <v>834.67</v>
      </c>
    </row>
    <row r="15883" spans="1:8" customFormat="1" x14ac:dyDescent="0.25">
      <c r="A15883" t="str">
        <f>"083496"</f>
        <v>083496</v>
      </c>
      <c r="B15883" t="s">
        <v>3848</v>
      </c>
      <c r="C15883" t="s">
        <v>249</v>
      </c>
      <c r="D15883" s="21" t="s">
        <v>34</v>
      </c>
      <c r="E15883" s="21" t="s">
        <v>71</v>
      </c>
      <c r="F15883">
        <v>6080013</v>
      </c>
      <c r="G15883" t="s">
        <v>1532</v>
      </c>
      <c r="H15883" s="21">
        <v>834.67</v>
      </c>
    </row>
    <row r="15884" spans="1:8" customFormat="1" x14ac:dyDescent="0.25">
      <c r="A15884" t="str">
        <f>"5714830"</f>
        <v>5714830</v>
      </c>
      <c r="B15884" t="s">
        <v>13749</v>
      </c>
      <c r="C15884" t="s">
        <v>55</v>
      </c>
      <c r="D15884" s="21" t="s">
        <v>34</v>
      </c>
      <c r="E15884" s="21" t="s">
        <v>35</v>
      </c>
      <c r="F15884">
        <v>6570022</v>
      </c>
      <c r="G15884" t="s">
        <v>3870</v>
      </c>
      <c r="H15884" s="21">
        <v>834.67</v>
      </c>
    </row>
    <row r="15885" spans="1:8" customFormat="1" x14ac:dyDescent="0.25">
      <c r="A15885" t="str">
        <f>"807319"</f>
        <v>807319</v>
      </c>
      <c r="B15885" t="s">
        <v>14085</v>
      </c>
      <c r="C15885" t="s">
        <v>209</v>
      </c>
      <c r="D15885" s="21" t="s">
        <v>34</v>
      </c>
      <c r="E15885" s="21" t="s">
        <v>254</v>
      </c>
      <c r="F15885">
        <v>7800061</v>
      </c>
      <c r="G15885" t="s">
        <v>1330</v>
      </c>
      <c r="H15885" s="21">
        <v>834.67</v>
      </c>
    </row>
    <row r="15886" spans="1:8" customFormat="1" x14ac:dyDescent="0.25">
      <c r="A15886" t="str">
        <f>"4521870"</f>
        <v>4521870</v>
      </c>
      <c r="B15886" t="s">
        <v>16916</v>
      </c>
      <c r="C15886" t="s">
        <v>288</v>
      </c>
      <c r="D15886" s="21" t="s">
        <v>34</v>
      </c>
      <c r="E15886" s="21" t="s">
        <v>35</v>
      </c>
      <c r="F15886">
        <v>4450184</v>
      </c>
      <c r="G15886" t="s">
        <v>3956</v>
      </c>
      <c r="H15886" s="21">
        <v>834.67</v>
      </c>
    </row>
    <row r="15887" spans="1:8" customFormat="1" x14ac:dyDescent="0.25">
      <c r="A15887" t="str">
        <f>"7633150"</f>
        <v>7633150</v>
      </c>
      <c r="B15887" t="s">
        <v>14207</v>
      </c>
      <c r="C15887" t="s">
        <v>513</v>
      </c>
      <c r="D15887" s="21" t="s">
        <v>34</v>
      </c>
      <c r="E15887" s="21" t="s">
        <v>35</v>
      </c>
      <c r="F15887">
        <v>9760377</v>
      </c>
      <c r="G15887" t="s">
        <v>6631</v>
      </c>
      <c r="H15887" s="21">
        <v>834.67</v>
      </c>
    </row>
    <row r="15888" spans="1:8" customFormat="1" x14ac:dyDescent="0.25">
      <c r="A15888" t="str">
        <f>"141958"</f>
        <v>141958</v>
      </c>
      <c r="B15888" t="s">
        <v>5343</v>
      </c>
      <c r="C15888" t="s">
        <v>598</v>
      </c>
      <c r="D15888" s="21" t="s">
        <v>34</v>
      </c>
      <c r="E15888" s="21" t="s">
        <v>71</v>
      </c>
      <c r="F15888">
        <v>9140014</v>
      </c>
      <c r="G15888" t="s">
        <v>9546</v>
      </c>
      <c r="H15888" s="21">
        <v>834.67</v>
      </c>
    </row>
    <row r="15889" spans="1:8" customFormat="1" x14ac:dyDescent="0.25">
      <c r="A15889" t="str">
        <f>"7624"</f>
        <v>7624</v>
      </c>
      <c r="B15889" t="s">
        <v>402</v>
      </c>
      <c r="C15889" t="s">
        <v>40</v>
      </c>
      <c r="D15889" s="21" t="s">
        <v>34</v>
      </c>
      <c r="E15889" s="21" t="s">
        <v>254</v>
      </c>
      <c r="F15889">
        <v>9760157</v>
      </c>
      <c r="G15889" t="s">
        <v>3412</v>
      </c>
      <c r="H15889" s="21">
        <v>834.67</v>
      </c>
    </row>
    <row r="15890" spans="1:8" customFormat="1" x14ac:dyDescent="0.25">
      <c r="A15890" t="str">
        <f>"7816800"</f>
        <v>7816800</v>
      </c>
      <c r="B15890" t="s">
        <v>3880</v>
      </c>
      <c r="C15890" t="s">
        <v>209</v>
      </c>
      <c r="D15890" s="21" t="s">
        <v>34</v>
      </c>
      <c r="E15890" s="21" t="s">
        <v>254</v>
      </c>
      <c r="F15890">
        <v>4370167</v>
      </c>
      <c r="G15890" t="s">
        <v>8834</v>
      </c>
      <c r="H15890" s="21">
        <v>834.67</v>
      </c>
    </row>
    <row r="15891" spans="1:8" customFormat="1" x14ac:dyDescent="0.25">
      <c r="A15891" t="str">
        <f>"59143"</f>
        <v>59143</v>
      </c>
      <c r="B15891" t="s">
        <v>13322</v>
      </c>
      <c r="C15891" t="s">
        <v>2907</v>
      </c>
      <c r="D15891" s="21" t="s">
        <v>34</v>
      </c>
      <c r="E15891" s="21" t="s">
        <v>254</v>
      </c>
      <c r="F15891">
        <v>7590228</v>
      </c>
      <c r="G15891" t="s">
        <v>1798</v>
      </c>
      <c r="H15891" s="21">
        <v>834.54</v>
      </c>
    </row>
    <row r="15892" spans="1:8" customFormat="1" x14ac:dyDescent="0.25">
      <c r="A15892" t="str">
        <f>"4440430"</f>
        <v>4440430</v>
      </c>
      <c r="B15892" t="s">
        <v>14070</v>
      </c>
      <c r="C15892" t="s">
        <v>169</v>
      </c>
      <c r="D15892" s="21" t="s">
        <v>34</v>
      </c>
      <c r="E15892" s="21" t="s">
        <v>35</v>
      </c>
      <c r="F15892">
        <v>12440017</v>
      </c>
      <c r="G15892" t="s">
        <v>7683</v>
      </c>
      <c r="H15892" s="21">
        <v>834.42</v>
      </c>
    </row>
    <row r="15893" spans="1:8" customFormat="1" x14ac:dyDescent="0.25">
      <c r="A15893" t="str">
        <f>"4220235"</f>
        <v>4220235</v>
      </c>
      <c r="B15893" t="s">
        <v>27406</v>
      </c>
      <c r="C15893" t="s">
        <v>27407</v>
      </c>
      <c r="D15893" s="21" t="s">
        <v>34</v>
      </c>
      <c r="E15893" s="21" t="s">
        <v>35</v>
      </c>
      <c r="F15893">
        <v>1420017</v>
      </c>
      <c r="G15893" t="s">
        <v>1296</v>
      </c>
      <c r="H15893" s="21">
        <v>834.42</v>
      </c>
    </row>
    <row r="15894" spans="1:8" customFormat="1" x14ac:dyDescent="0.25">
      <c r="A15894" t="str">
        <f>"6314964"</f>
        <v>6314964</v>
      </c>
      <c r="B15894" t="s">
        <v>14686</v>
      </c>
      <c r="C15894" t="s">
        <v>130</v>
      </c>
      <c r="D15894" s="21" t="s">
        <v>34</v>
      </c>
      <c r="E15894" s="21" t="s">
        <v>35</v>
      </c>
      <c r="F15894">
        <v>10170214</v>
      </c>
      <c r="G15894" t="s">
        <v>5533</v>
      </c>
      <c r="H15894" s="21">
        <v>834.42</v>
      </c>
    </row>
    <row r="15895" spans="1:8" customFormat="1" x14ac:dyDescent="0.25">
      <c r="A15895" t="str">
        <f>"184267"</f>
        <v>184267</v>
      </c>
      <c r="B15895" t="s">
        <v>14900</v>
      </c>
      <c r="C15895" t="s">
        <v>209</v>
      </c>
      <c r="D15895" s="21" t="s">
        <v>34</v>
      </c>
      <c r="E15895" s="21" t="s">
        <v>71</v>
      </c>
      <c r="F15895">
        <v>4180718</v>
      </c>
      <c r="G15895" t="s">
        <v>8518</v>
      </c>
      <c r="H15895" s="21">
        <v>834.17</v>
      </c>
    </row>
    <row r="15896" spans="1:8" customFormat="1" x14ac:dyDescent="0.25">
      <c r="A15896" t="str">
        <f>"5939954"</f>
        <v>5939954</v>
      </c>
      <c r="B15896" t="s">
        <v>6119</v>
      </c>
      <c r="C15896" t="s">
        <v>209</v>
      </c>
      <c r="D15896" s="21" t="s">
        <v>34</v>
      </c>
      <c r="E15896" s="21" t="s">
        <v>71</v>
      </c>
      <c r="F15896">
        <v>7590048</v>
      </c>
      <c r="G15896" t="s">
        <v>4608</v>
      </c>
      <c r="H15896" s="21">
        <v>834.17</v>
      </c>
    </row>
    <row r="15897" spans="1:8" customFormat="1" x14ac:dyDescent="0.25">
      <c r="A15897" t="str">
        <f>"5729252"</f>
        <v>5729252</v>
      </c>
      <c r="B15897" t="s">
        <v>15781</v>
      </c>
      <c r="C15897" t="s">
        <v>40</v>
      </c>
      <c r="D15897" s="21" t="s">
        <v>34</v>
      </c>
      <c r="E15897" s="21" t="s">
        <v>35</v>
      </c>
      <c r="F15897">
        <v>6570154</v>
      </c>
      <c r="G15897" t="s">
        <v>3935</v>
      </c>
      <c r="H15897" s="21">
        <v>834.17</v>
      </c>
    </row>
    <row r="15898" spans="1:8" customFormat="1" x14ac:dyDescent="0.25">
      <c r="A15898" t="str">
        <f>"139112"</f>
        <v>139112</v>
      </c>
      <c r="B15898" t="s">
        <v>13512</v>
      </c>
      <c r="C15898" t="s">
        <v>40</v>
      </c>
      <c r="D15898" s="21" t="s">
        <v>34</v>
      </c>
      <c r="E15898" s="21" t="s">
        <v>71</v>
      </c>
      <c r="F15898">
        <v>13130026</v>
      </c>
      <c r="G15898" t="s">
        <v>3792</v>
      </c>
      <c r="H15898" s="21">
        <v>834.17</v>
      </c>
    </row>
    <row r="15899" spans="1:8" customFormat="1" x14ac:dyDescent="0.25">
      <c r="A15899" t="str">
        <f>"5959967"</f>
        <v>5959967</v>
      </c>
      <c r="B15899" t="s">
        <v>14550</v>
      </c>
      <c r="C15899" t="s">
        <v>1559</v>
      </c>
      <c r="D15899" s="21" t="s">
        <v>34</v>
      </c>
      <c r="E15899" s="21" t="s">
        <v>35</v>
      </c>
      <c r="F15899">
        <v>7590023</v>
      </c>
      <c r="G15899" t="s">
        <v>7058</v>
      </c>
      <c r="H15899" s="21">
        <v>834.17</v>
      </c>
    </row>
    <row r="15900" spans="1:8" customFormat="1" x14ac:dyDescent="0.25">
      <c r="A15900" t="str">
        <f>"898363"</f>
        <v>898363</v>
      </c>
      <c r="B15900" t="s">
        <v>13748</v>
      </c>
      <c r="C15900" t="s">
        <v>98</v>
      </c>
      <c r="D15900" s="21" t="s">
        <v>34</v>
      </c>
      <c r="E15900" s="21" t="s">
        <v>35</v>
      </c>
      <c r="F15900">
        <v>2890010</v>
      </c>
      <c r="G15900" t="s">
        <v>3790</v>
      </c>
      <c r="H15900" s="21">
        <v>834.17</v>
      </c>
    </row>
    <row r="15901" spans="1:8" customFormat="1" x14ac:dyDescent="0.25">
      <c r="A15901" t="str">
        <f>"592310"</f>
        <v>592310</v>
      </c>
      <c r="B15901" t="s">
        <v>1315</v>
      </c>
      <c r="C15901" t="s">
        <v>2479</v>
      </c>
      <c r="D15901" s="21" t="s">
        <v>34</v>
      </c>
      <c r="E15901" s="21" t="s">
        <v>254</v>
      </c>
      <c r="F15901">
        <v>7590087</v>
      </c>
      <c r="G15901" t="s">
        <v>2112</v>
      </c>
      <c r="H15901" s="21">
        <v>834.17</v>
      </c>
    </row>
    <row r="15902" spans="1:8" customFormat="1" x14ac:dyDescent="0.25">
      <c r="A15902" t="str">
        <f>"418886"</f>
        <v>418886</v>
      </c>
      <c r="B15902" t="s">
        <v>5885</v>
      </c>
      <c r="C15902" t="s">
        <v>33</v>
      </c>
      <c r="D15902" s="21" t="s">
        <v>34</v>
      </c>
      <c r="E15902" s="21" t="s">
        <v>35</v>
      </c>
      <c r="F15902">
        <v>4410016</v>
      </c>
      <c r="G15902" t="s">
        <v>4365</v>
      </c>
      <c r="H15902" s="21">
        <v>834.17</v>
      </c>
    </row>
    <row r="15903" spans="1:8" customFormat="1" x14ac:dyDescent="0.25">
      <c r="A15903" t="str">
        <f>"626897"</f>
        <v>626897</v>
      </c>
      <c r="B15903" t="s">
        <v>13616</v>
      </c>
      <c r="C15903" t="s">
        <v>33</v>
      </c>
      <c r="D15903" s="21" t="s">
        <v>34</v>
      </c>
      <c r="E15903" s="21" t="s">
        <v>71</v>
      </c>
      <c r="F15903">
        <v>7620100</v>
      </c>
      <c r="G15903" t="s">
        <v>145</v>
      </c>
      <c r="H15903" s="21">
        <v>834.17</v>
      </c>
    </row>
    <row r="15904" spans="1:8" customFormat="1" x14ac:dyDescent="0.25">
      <c r="A15904" t="str">
        <f>"423932"</f>
        <v>423932</v>
      </c>
      <c r="B15904" t="s">
        <v>13560</v>
      </c>
      <c r="C15904" t="s">
        <v>4842</v>
      </c>
      <c r="D15904" s="21" t="s">
        <v>34</v>
      </c>
      <c r="E15904" s="21" t="s">
        <v>254</v>
      </c>
      <c r="F15904">
        <v>1420025</v>
      </c>
      <c r="G15904" t="s">
        <v>5981</v>
      </c>
      <c r="H15904" s="21">
        <v>834.17</v>
      </c>
    </row>
    <row r="15905" spans="1:8" customFormat="1" x14ac:dyDescent="0.25">
      <c r="A15905" t="str">
        <f>"2716060"</f>
        <v>2716060</v>
      </c>
      <c r="B15905" t="s">
        <v>9535</v>
      </c>
      <c r="C15905" t="s">
        <v>239</v>
      </c>
      <c r="D15905" s="21" t="s">
        <v>34</v>
      </c>
      <c r="E15905" s="21" t="s">
        <v>254</v>
      </c>
      <c r="F15905">
        <v>9270175</v>
      </c>
      <c r="G15905" t="s">
        <v>1909</v>
      </c>
      <c r="H15905" s="21">
        <v>834.17</v>
      </c>
    </row>
    <row r="15906" spans="1:8" customFormat="1" x14ac:dyDescent="0.25">
      <c r="A15906" t="str">
        <f>"623732"</f>
        <v>623732</v>
      </c>
      <c r="B15906" t="s">
        <v>13226</v>
      </c>
      <c r="C15906" t="s">
        <v>236</v>
      </c>
      <c r="D15906" s="21" t="s">
        <v>34</v>
      </c>
      <c r="E15906" s="21" t="s">
        <v>254</v>
      </c>
      <c r="F15906">
        <v>7620037</v>
      </c>
      <c r="G15906" t="s">
        <v>13227</v>
      </c>
      <c r="H15906" s="21">
        <v>834.17</v>
      </c>
    </row>
    <row r="15907" spans="1:8" customFormat="1" x14ac:dyDescent="0.25">
      <c r="A15907" t="str">
        <f>"7632980"</f>
        <v>7632980</v>
      </c>
      <c r="B15907" t="s">
        <v>2319</v>
      </c>
      <c r="C15907" t="s">
        <v>656</v>
      </c>
      <c r="D15907" s="21" t="s">
        <v>34</v>
      </c>
      <c r="E15907" s="21" t="s">
        <v>35</v>
      </c>
      <c r="F15907">
        <v>9760420</v>
      </c>
      <c r="G15907" t="s">
        <v>11290</v>
      </c>
      <c r="H15907" s="21">
        <v>834.17</v>
      </c>
    </row>
    <row r="15908" spans="1:8" customFormat="1" x14ac:dyDescent="0.25">
      <c r="A15908" t="str">
        <f>"501347"</f>
        <v>501347</v>
      </c>
      <c r="B15908" t="s">
        <v>14072</v>
      </c>
      <c r="C15908" t="s">
        <v>124</v>
      </c>
      <c r="D15908" s="21" t="s">
        <v>34</v>
      </c>
      <c r="E15908" s="21" t="s">
        <v>71</v>
      </c>
      <c r="F15908">
        <v>9500117</v>
      </c>
      <c r="G15908" t="s">
        <v>247</v>
      </c>
      <c r="H15908" s="21">
        <v>834.17</v>
      </c>
    </row>
    <row r="15909" spans="1:8" customFormat="1" x14ac:dyDescent="0.25">
      <c r="A15909" t="str">
        <f>"9310741"</f>
        <v>9310741</v>
      </c>
      <c r="B15909" t="s">
        <v>14419</v>
      </c>
      <c r="C15909" t="s">
        <v>249</v>
      </c>
      <c r="D15909" s="21" t="s">
        <v>34</v>
      </c>
      <c r="E15909" s="21" t="s">
        <v>71</v>
      </c>
      <c r="F15909">
        <v>12440266</v>
      </c>
      <c r="G15909" t="s">
        <v>924</v>
      </c>
      <c r="H15909" s="21">
        <v>834.04</v>
      </c>
    </row>
    <row r="15910" spans="1:8" customFormat="1" x14ac:dyDescent="0.25">
      <c r="A15910" t="str">
        <f>"9247234"</f>
        <v>9247234</v>
      </c>
      <c r="B15910" t="s">
        <v>2505</v>
      </c>
      <c r="C15910" t="s">
        <v>412</v>
      </c>
      <c r="D15910" s="21" t="s">
        <v>34</v>
      </c>
      <c r="E15910" s="21" t="s">
        <v>71</v>
      </c>
      <c r="F15910">
        <v>8920111</v>
      </c>
      <c r="G15910" t="s">
        <v>1064</v>
      </c>
      <c r="H15910" s="21">
        <v>833.92</v>
      </c>
    </row>
    <row r="15911" spans="1:8" customFormat="1" x14ac:dyDescent="0.25">
      <c r="A15911" t="str">
        <f>"9112634"</f>
        <v>9112634</v>
      </c>
      <c r="B15911" t="s">
        <v>13108</v>
      </c>
      <c r="C15911" t="s">
        <v>209</v>
      </c>
      <c r="D15911" s="21" t="s">
        <v>34</v>
      </c>
      <c r="E15911" s="21" t="s">
        <v>71</v>
      </c>
      <c r="F15911">
        <v>3220127</v>
      </c>
      <c r="G15911" t="s">
        <v>26652</v>
      </c>
      <c r="H15911" s="21">
        <v>833.79</v>
      </c>
    </row>
    <row r="15912" spans="1:8" customFormat="1" x14ac:dyDescent="0.25">
      <c r="A15912" t="str">
        <f>"5928783"</f>
        <v>5928783</v>
      </c>
      <c r="B15912" t="s">
        <v>20834</v>
      </c>
      <c r="C15912" t="s">
        <v>285</v>
      </c>
      <c r="D15912" s="21" t="s">
        <v>34</v>
      </c>
      <c r="E15912" s="21" t="s">
        <v>35</v>
      </c>
      <c r="F15912">
        <v>7590195</v>
      </c>
      <c r="G15912" t="s">
        <v>5332</v>
      </c>
      <c r="H15912" s="21">
        <v>833.67</v>
      </c>
    </row>
    <row r="15913" spans="1:8" customFormat="1" x14ac:dyDescent="0.25">
      <c r="A15913" t="str">
        <f>"713829"</f>
        <v>713829</v>
      </c>
      <c r="B15913" t="s">
        <v>14183</v>
      </c>
      <c r="C15913" t="s">
        <v>124</v>
      </c>
      <c r="D15913" s="21" t="s">
        <v>34</v>
      </c>
      <c r="E15913" s="21" t="s">
        <v>71</v>
      </c>
      <c r="F15913">
        <v>2710048</v>
      </c>
      <c r="G15913" t="s">
        <v>2225</v>
      </c>
      <c r="H15913" s="21">
        <v>833.67</v>
      </c>
    </row>
    <row r="15914" spans="1:8" customFormat="1" x14ac:dyDescent="0.25">
      <c r="A15914" t="str">
        <f>"39444"</f>
        <v>39444</v>
      </c>
      <c r="B15914" t="s">
        <v>1611</v>
      </c>
      <c r="C15914" t="s">
        <v>822</v>
      </c>
      <c r="D15914" s="21" t="s">
        <v>34</v>
      </c>
      <c r="E15914" s="21" t="s">
        <v>1089</v>
      </c>
      <c r="F15914">
        <v>2390027</v>
      </c>
      <c r="G15914" t="s">
        <v>3605</v>
      </c>
      <c r="H15914" s="21">
        <v>833.67</v>
      </c>
    </row>
    <row r="15915" spans="1:8" customFormat="1" x14ac:dyDescent="0.25">
      <c r="A15915" t="str">
        <f>"035970"</f>
        <v>035970</v>
      </c>
      <c r="B15915" t="s">
        <v>7394</v>
      </c>
      <c r="C15915" t="s">
        <v>233</v>
      </c>
      <c r="D15915" s="21" t="s">
        <v>34</v>
      </c>
      <c r="E15915" s="21" t="s">
        <v>35</v>
      </c>
      <c r="F15915">
        <v>1030128</v>
      </c>
      <c r="G15915" t="s">
        <v>7355</v>
      </c>
      <c r="H15915" s="21">
        <v>833.67</v>
      </c>
    </row>
    <row r="15916" spans="1:8" customFormat="1" x14ac:dyDescent="0.25">
      <c r="A15916" t="str">
        <f>"5719819"</f>
        <v>5719819</v>
      </c>
      <c r="B15916" t="s">
        <v>14754</v>
      </c>
      <c r="C15916" t="s">
        <v>60</v>
      </c>
      <c r="D15916" s="21" t="s">
        <v>34</v>
      </c>
      <c r="E15916" s="21" t="s">
        <v>71</v>
      </c>
      <c r="F15916">
        <v>6570177</v>
      </c>
      <c r="G15916" t="s">
        <v>2586</v>
      </c>
      <c r="H15916" s="21">
        <v>833.67</v>
      </c>
    </row>
    <row r="15917" spans="1:8" customFormat="1" x14ac:dyDescent="0.25">
      <c r="A15917" t="str">
        <f>"591746"</f>
        <v>591746</v>
      </c>
      <c r="B15917" t="s">
        <v>13490</v>
      </c>
      <c r="C15917" t="s">
        <v>40</v>
      </c>
      <c r="D15917" s="21" t="s">
        <v>34</v>
      </c>
      <c r="E15917" s="21" t="s">
        <v>254</v>
      </c>
      <c r="F15917">
        <v>7590053</v>
      </c>
      <c r="G15917" t="s">
        <v>2825</v>
      </c>
      <c r="H15917" s="21">
        <v>833.67</v>
      </c>
    </row>
    <row r="15918" spans="1:8" customFormat="1" x14ac:dyDescent="0.25">
      <c r="A15918" t="str">
        <f>"622737"</f>
        <v>622737</v>
      </c>
      <c r="B15918" t="s">
        <v>14364</v>
      </c>
      <c r="C15918" t="s">
        <v>269</v>
      </c>
      <c r="D15918" s="21" t="s">
        <v>34</v>
      </c>
      <c r="E15918" s="21" t="s">
        <v>254</v>
      </c>
      <c r="F15918">
        <v>7620108</v>
      </c>
      <c r="G15918" t="s">
        <v>3035</v>
      </c>
      <c r="H15918" s="21">
        <v>833.67</v>
      </c>
    </row>
    <row r="15919" spans="1:8" customFormat="1" x14ac:dyDescent="0.25">
      <c r="A15919" t="str">
        <f>"9520100"</f>
        <v>9520100</v>
      </c>
      <c r="B15919" t="s">
        <v>2010</v>
      </c>
      <c r="C15919" t="s">
        <v>249</v>
      </c>
      <c r="D15919" s="21" t="s">
        <v>34</v>
      </c>
      <c r="E15919" s="21" t="s">
        <v>71</v>
      </c>
      <c r="F15919">
        <v>11340040</v>
      </c>
      <c r="G15919" t="s">
        <v>5695</v>
      </c>
      <c r="H15919" s="21">
        <v>833.67</v>
      </c>
    </row>
    <row r="15920" spans="1:8" customFormat="1" x14ac:dyDescent="0.25">
      <c r="A15920" t="str">
        <f>"724084"</f>
        <v>724084</v>
      </c>
      <c r="B15920" t="s">
        <v>9342</v>
      </c>
      <c r="C15920" t="s">
        <v>812</v>
      </c>
      <c r="D15920" s="21" t="s">
        <v>34</v>
      </c>
      <c r="E15920" s="21" t="s">
        <v>35</v>
      </c>
      <c r="F15920">
        <v>12440033</v>
      </c>
      <c r="G15920" t="s">
        <v>1638</v>
      </c>
      <c r="H15920" s="21">
        <v>833.67</v>
      </c>
    </row>
    <row r="15921" spans="1:8" customFormat="1" x14ac:dyDescent="0.25">
      <c r="A15921" t="str">
        <f>"5316557"</f>
        <v>5316557</v>
      </c>
      <c r="B15921" t="s">
        <v>1593</v>
      </c>
      <c r="C15921" t="s">
        <v>275</v>
      </c>
      <c r="D15921" s="21" t="s">
        <v>34</v>
      </c>
      <c r="E15921" s="21" t="s">
        <v>35</v>
      </c>
      <c r="F15921">
        <v>12530022</v>
      </c>
      <c r="G15921" t="s">
        <v>914</v>
      </c>
      <c r="H15921" s="21">
        <v>833.67</v>
      </c>
    </row>
    <row r="15922" spans="1:8" customFormat="1" x14ac:dyDescent="0.25">
      <c r="A15922" t="str">
        <f>"8522599"</f>
        <v>8522599</v>
      </c>
      <c r="B15922" t="s">
        <v>9594</v>
      </c>
      <c r="C15922" t="s">
        <v>275</v>
      </c>
      <c r="D15922" s="21" t="s">
        <v>34</v>
      </c>
      <c r="E15922" s="21" t="s">
        <v>35</v>
      </c>
      <c r="F15922">
        <v>12850046</v>
      </c>
      <c r="G15922" t="s">
        <v>3136</v>
      </c>
      <c r="H15922" s="21">
        <v>833.67</v>
      </c>
    </row>
    <row r="15923" spans="1:8" customFormat="1" x14ac:dyDescent="0.25">
      <c r="A15923" t="str">
        <f>"63117"</f>
        <v>63117</v>
      </c>
      <c r="B15923" t="s">
        <v>186</v>
      </c>
      <c r="C15923" t="s">
        <v>3905</v>
      </c>
      <c r="D15923" s="21" t="s">
        <v>34</v>
      </c>
      <c r="E15923" s="21" t="s">
        <v>1089</v>
      </c>
      <c r="F15923">
        <v>1030042</v>
      </c>
      <c r="G15923" t="s">
        <v>7798</v>
      </c>
      <c r="H15923" s="21">
        <v>833.67</v>
      </c>
    </row>
    <row r="15924" spans="1:8" customFormat="1" x14ac:dyDescent="0.25">
      <c r="A15924" t="str">
        <f>"5918707"</f>
        <v>5918707</v>
      </c>
      <c r="B15924" t="s">
        <v>2761</v>
      </c>
      <c r="C15924" t="s">
        <v>169</v>
      </c>
      <c r="D15924" s="21" t="s">
        <v>34</v>
      </c>
      <c r="E15924" s="21" t="s">
        <v>35</v>
      </c>
      <c r="F15924">
        <v>7590008</v>
      </c>
      <c r="G15924" t="s">
        <v>110</v>
      </c>
      <c r="H15924" s="21">
        <v>833.67</v>
      </c>
    </row>
    <row r="15925" spans="1:8" customFormat="1" x14ac:dyDescent="0.25">
      <c r="A15925" t="str">
        <f>"444299"</f>
        <v>444299</v>
      </c>
      <c r="B15925" t="s">
        <v>1547</v>
      </c>
      <c r="C15925" t="s">
        <v>2356</v>
      </c>
      <c r="D15925" s="21" t="s">
        <v>34</v>
      </c>
      <c r="E15925" s="21" t="s">
        <v>35</v>
      </c>
      <c r="F15925">
        <v>12440099</v>
      </c>
      <c r="G15925" t="s">
        <v>11536</v>
      </c>
      <c r="H15925" s="21">
        <v>833.67</v>
      </c>
    </row>
    <row r="15926" spans="1:8" customFormat="1" x14ac:dyDescent="0.25">
      <c r="A15926" t="str">
        <f>"315199"</f>
        <v>315199</v>
      </c>
      <c r="B15926" t="s">
        <v>8024</v>
      </c>
      <c r="C15926" t="s">
        <v>65</v>
      </c>
      <c r="D15926" s="21" t="s">
        <v>34</v>
      </c>
      <c r="E15926" s="21" t="s">
        <v>71</v>
      </c>
      <c r="F15926">
        <v>11310070</v>
      </c>
      <c r="G15926" t="s">
        <v>11563</v>
      </c>
      <c r="H15926" s="21">
        <v>833.67</v>
      </c>
    </row>
    <row r="15927" spans="1:8" customFormat="1" x14ac:dyDescent="0.25">
      <c r="A15927" t="str">
        <f>"7710521"</f>
        <v>7710521</v>
      </c>
      <c r="B15927" t="s">
        <v>1959</v>
      </c>
      <c r="C15927" t="s">
        <v>2958</v>
      </c>
      <c r="D15927" s="21" t="s">
        <v>34</v>
      </c>
      <c r="E15927" s="21" t="s">
        <v>71</v>
      </c>
      <c r="F15927">
        <v>8771029</v>
      </c>
      <c r="G15927" t="s">
        <v>4447</v>
      </c>
      <c r="H15927" s="21">
        <v>833.67</v>
      </c>
    </row>
    <row r="15928" spans="1:8" customFormat="1" x14ac:dyDescent="0.25">
      <c r="A15928" t="str">
        <f>"7620738"</f>
        <v>7620738</v>
      </c>
      <c r="B15928" t="s">
        <v>13221</v>
      </c>
      <c r="C15928" t="s">
        <v>285</v>
      </c>
      <c r="D15928" s="21" t="s">
        <v>34</v>
      </c>
      <c r="E15928" s="21" t="s">
        <v>35</v>
      </c>
      <c r="F15928">
        <v>9760070</v>
      </c>
      <c r="G15928" t="s">
        <v>6226</v>
      </c>
      <c r="H15928" s="21">
        <v>833.67</v>
      </c>
    </row>
    <row r="15929" spans="1:8" customFormat="1" x14ac:dyDescent="0.25">
      <c r="A15929" t="str">
        <f>"217138"</f>
        <v>217138</v>
      </c>
      <c r="B15929" t="s">
        <v>13122</v>
      </c>
      <c r="C15929" t="s">
        <v>87</v>
      </c>
      <c r="D15929" s="21" t="s">
        <v>34</v>
      </c>
      <c r="E15929" s="21" t="s">
        <v>35</v>
      </c>
      <c r="F15929">
        <v>10790022</v>
      </c>
      <c r="G15929" t="s">
        <v>7916</v>
      </c>
      <c r="H15929" s="21">
        <v>833.67</v>
      </c>
    </row>
    <row r="15930" spans="1:8" customFormat="1" x14ac:dyDescent="0.25">
      <c r="A15930" t="str">
        <f>"7614654"</f>
        <v>7614654</v>
      </c>
      <c r="B15930" t="s">
        <v>12466</v>
      </c>
      <c r="C15930" t="s">
        <v>926</v>
      </c>
      <c r="D15930" s="21" t="s">
        <v>34</v>
      </c>
      <c r="E15930" s="21" t="s">
        <v>35</v>
      </c>
      <c r="F15930">
        <v>9760315</v>
      </c>
      <c r="G15930" t="s">
        <v>12345</v>
      </c>
      <c r="H15930" s="21">
        <v>833.67</v>
      </c>
    </row>
    <row r="15931" spans="1:8" customFormat="1" x14ac:dyDescent="0.25">
      <c r="A15931" t="str">
        <f>"4916623"</f>
        <v>4916623</v>
      </c>
      <c r="B15931" t="s">
        <v>13310</v>
      </c>
      <c r="C15931" t="s">
        <v>40</v>
      </c>
      <c r="D15931" s="21" t="s">
        <v>34</v>
      </c>
      <c r="E15931" s="21" t="s">
        <v>71</v>
      </c>
      <c r="F15931">
        <v>12490092</v>
      </c>
      <c r="G15931" t="s">
        <v>1854</v>
      </c>
      <c r="H15931" s="21">
        <v>833.67</v>
      </c>
    </row>
    <row r="15932" spans="1:8" customFormat="1" x14ac:dyDescent="0.25">
      <c r="A15932" t="str">
        <f>"5310064"</f>
        <v>5310064</v>
      </c>
      <c r="B15932" t="s">
        <v>13815</v>
      </c>
      <c r="C15932" t="s">
        <v>114</v>
      </c>
      <c r="D15932" s="21" t="s">
        <v>34</v>
      </c>
      <c r="E15932" s="21" t="s">
        <v>35</v>
      </c>
      <c r="F15932">
        <v>12530005</v>
      </c>
      <c r="G15932" t="s">
        <v>6076</v>
      </c>
      <c r="H15932" s="21">
        <v>833.67</v>
      </c>
    </row>
    <row r="15933" spans="1:8" customFormat="1" x14ac:dyDescent="0.25">
      <c r="A15933" t="str">
        <f>"365173"</f>
        <v>365173</v>
      </c>
      <c r="B15933" t="s">
        <v>4652</v>
      </c>
      <c r="C15933" t="s">
        <v>33</v>
      </c>
      <c r="D15933" s="21" t="s">
        <v>34</v>
      </c>
      <c r="E15933" s="21" t="s">
        <v>71</v>
      </c>
      <c r="F15933">
        <v>4360723</v>
      </c>
      <c r="G15933" t="s">
        <v>27127</v>
      </c>
      <c r="H15933" s="21">
        <v>833.54</v>
      </c>
    </row>
    <row r="15934" spans="1:8" customFormat="1" x14ac:dyDescent="0.25">
      <c r="A15934" t="str">
        <f>"534592"</f>
        <v>534592</v>
      </c>
      <c r="B15934" t="s">
        <v>4994</v>
      </c>
      <c r="C15934" t="s">
        <v>2276</v>
      </c>
      <c r="D15934" s="21" t="s">
        <v>34</v>
      </c>
      <c r="E15934" s="21" t="s">
        <v>254</v>
      </c>
      <c r="F15934">
        <v>12530051</v>
      </c>
      <c r="G15934" t="s">
        <v>4995</v>
      </c>
      <c r="H15934" s="21">
        <v>833.42</v>
      </c>
    </row>
    <row r="15935" spans="1:8" customFormat="1" x14ac:dyDescent="0.25">
      <c r="A15935" t="str">
        <f>"688935"</f>
        <v>688935</v>
      </c>
      <c r="B15935" t="s">
        <v>27408</v>
      </c>
      <c r="C15935" t="s">
        <v>598</v>
      </c>
      <c r="D15935" s="21" t="s">
        <v>34</v>
      </c>
      <c r="E15935" s="21" t="s">
        <v>35</v>
      </c>
      <c r="F15935">
        <v>6680123</v>
      </c>
      <c r="G15935" t="s">
        <v>8996</v>
      </c>
      <c r="H15935" s="21">
        <v>833.42</v>
      </c>
    </row>
    <row r="15936" spans="1:8" customFormat="1" x14ac:dyDescent="0.25">
      <c r="A15936" t="str">
        <f>"9B273"</f>
        <v>9B273</v>
      </c>
      <c r="B15936" t="s">
        <v>13771</v>
      </c>
      <c r="C15936" t="s">
        <v>13772</v>
      </c>
      <c r="D15936" s="21" t="s">
        <v>34</v>
      </c>
      <c r="E15936" s="21" t="s">
        <v>35</v>
      </c>
      <c r="F15936" t="s">
        <v>10239</v>
      </c>
      <c r="G15936" t="s">
        <v>10240</v>
      </c>
      <c r="H15936" s="21">
        <v>833.42</v>
      </c>
    </row>
    <row r="15937" spans="1:8" customFormat="1" x14ac:dyDescent="0.25">
      <c r="A15937" t="str">
        <f>"9452619"</f>
        <v>9452619</v>
      </c>
      <c r="B15937" t="s">
        <v>4261</v>
      </c>
      <c r="C15937" t="s">
        <v>119</v>
      </c>
      <c r="D15937" s="21" t="s">
        <v>34</v>
      </c>
      <c r="E15937" s="21" t="s">
        <v>35</v>
      </c>
      <c r="F15937">
        <v>8940448</v>
      </c>
      <c r="G15937" t="s">
        <v>1691</v>
      </c>
      <c r="H15937" s="21">
        <v>833.42</v>
      </c>
    </row>
    <row r="15938" spans="1:8" customFormat="1" x14ac:dyDescent="0.25">
      <c r="A15938" t="str">
        <f>"609577"</f>
        <v>609577</v>
      </c>
      <c r="B15938" t="s">
        <v>1576</v>
      </c>
      <c r="C15938" t="s">
        <v>415</v>
      </c>
      <c r="D15938" s="21" t="s">
        <v>34</v>
      </c>
      <c r="E15938" s="21" t="s">
        <v>254</v>
      </c>
      <c r="F15938">
        <v>7600074</v>
      </c>
      <c r="G15938" t="s">
        <v>1912</v>
      </c>
      <c r="H15938" s="21">
        <v>833.42</v>
      </c>
    </row>
    <row r="15939" spans="1:8" customFormat="1" x14ac:dyDescent="0.25">
      <c r="A15939" t="str">
        <f>"5317089"</f>
        <v>5317089</v>
      </c>
      <c r="B15939" t="s">
        <v>14265</v>
      </c>
      <c r="C15939" t="s">
        <v>263</v>
      </c>
      <c r="D15939" s="21" t="s">
        <v>34</v>
      </c>
      <c r="E15939" s="21" t="s">
        <v>71</v>
      </c>
      <c r="F15939">
        <v>12530099</v>
      </c>
      <c r="G15939" t="s">
        <v>3569</v>
      </c>
      <c r="H15939" s="21">
        <v>833.42</v>
      </c>
    </row>
    <row r="15940" spans="1:8" customFormat="1" x14ac:dyDescent="0.25">
      <c r="A15940" t="str">
        <f>"4412935"</f>
        <v>4412935</v>
      </c>
      <c r="B15940" t="s">
        <v>15285</v>
      </c>
      <c r="C15940" t="s">
        <v>611</v>
      </c>
      <c r="D15940" s="21" t="s">
        <v>34</v>
      </c>
      <c r="E15940" s="21" t="s">
        <v>35</v>
      </c>
      <c r="F15940">
        <v>12440259</v>
      </c>
      <c r="G15940" t="s">
        <v>833</v>
      </c>
      <c r="H15940" s="21">
        <v>833.42</v>
      </c>
    </row>
    <row r="15941" spans="1:8" customFormat="1" x14ac:dyDescent="0.25">
      <c r="A15941" t="str">
        <f>"7856249"</f>
        <v>7856249</v>
      </c>
      <c r="B15941" t="s">
        <v>1604</v>
      </c>
      <c r="C15941" t="s">
        <v>812</v>
      </c>
      <c r="D15941" s="21" t="s">
        <v>34</v>
      </c>
      <c r="E15941" s="21" t="s">
        <v>35</v>
      </c>
      <c r="F15941">
        <v>8780080</v>
      </c>
      <c r="G15941" t="s">
        <v>865</v>
      </c>
      <c r="H15941" s="21">
        <v>833.29</v>
      </c>
    </row>
    <row r="15942" spans="1:8" customFormat="1" x14ac:dyDescent="0.25">
      <c r="A15942" t="str">
        <f>"5717353"</f>
        <v>5717353</v>
      </c>
      <c r="B15942" t="s">
        <v>12862</v>
      </c>
      <c r="C15942" t="s">
        <v>239</v>
      </c>
      <c r="D15942" s="21" t="s">
        <v>34</v>
      </c>
      <c r="E15942" s="21" t="s">
        <v>71</v>
      </c>
      <c r="F15942">
        <v>6570107</v>
      </c>
      <c r="G15942" t="s">
        <v>5598</v>
      </c>
      <c r="H15942" s="21">
        <v>833.29</v>
      </c>
    </row>
    <row r="15943" spans="1:8" customFormat="1" x14ac:dyDescent="0.25">
      <c r="A15943" t="str">
        <f>"123384"</f>
        <v>123384</v>
      </c>
      <c r="B15943" t="s">
        <v>27409</v>
      </c>
      <c r="C15943" t="s">
        <v>55</v>
      </c>
      <c r="D15943" s="21" t="s">
        <v>34</v>
      </c>
      <c r="E15943" s="21" t="s">
        <v>71</v>
      </c>
      <c r="F15943">
        <v>11120009</v>
      </c>
      <c r="G15943" t="s">
        <v>3369</v>
      </c>
      <c r="H15943" s="21">
        <v>833.29</v>
      </c>
    </row>
    <row r="15944" spans="1:8" customFormat="1" x14ac:dyDescent="0.25">
      <c r="A15944" t="str">
        <f>"9246044"</f>
        <v>9246044</v>
      </c>
      <c r="B15944" t="s">
        <v>16430</v>
      </c>
      <c r="C15944" t="s">
        <v>33</v>
      </c>
      <c r="D15944" s="21" t="s">
        <v>34</v>
      </c>
      <c r="E15944" s="21" t="s">
        <v>71</v>
      </c>
      <c r="F15944">
        <v>8920151</v>
      </c>
      <c r="G15944" t="s">
        <v>1434</v>
      </c>
      <c r="H15944" s="21">
        <v>833.29</v>
      </c>
    </row>
    <row r="15945" spans="1:8" customFormat="1" x14ac:dyDescent="0.25">
      <c r="A15945" t="str">
        <f>"5934451"</f>
        <v>5934451</v>
      </c>
      <c r="B15945" t="s">
        <v>13361</v>
      </c>
      <c r="C15945" t="s">
        <v>269</v>
      </c>
      <c r="D15945" s="21" t="s">
        <v>34</v>
      </c>
      <c r="E15945" s="21" t="s">
        <v>71</v>
      </c>
      <c r="F15945">
        <v>7620119</v>
      </c>
      <c r="G15945" t="s">
        <v>5233</v>
      </c>
      <c r="H15945" s="21">
        <v>833.17</v>
      </c>
    </row>
    <row r="15946" spans="1:8" customFormat="1" x14ac:dyDescent="0.25">
      <c r="A15946" t="str">
        <f>"493872"</f>
        <v>493872</v>
      </c>
      <c r="B15946" t="s">
        <v>4419</v>
      </c>
      <c r="C15946" t="s">
        <v>462</v>
      </c>
      <c r="D15946" s="21" t="s">
        <v>34</v>
      </c>
      <c r="E15946" s="21" t="s">
        <v>71</v>
      </c>
      <c r="F15946">
        <v>12490034</v>
      </c>
      <c r="G15946" t="s">
        <v>13696</v>
      </c>
      <c r="H15946" s="21">
        <v>833.17</v>
      </c>
    </row>
    <row r="15947" spans="1:8" customFormat="1" x14ac:dyDescent="0.25">
      <c r="A15947" t="str">
        <f>"245874"</f>
        <v>245874</v>
      </c>
      <c r="B15947" t="s">
        <v>13474</v>
      </c>
      <c r="C15947" t="s">
        <v>13475</v>
      </c>
      <c r="D15947" s="21" t="s">
        <v>34</v>
      </c>
      <c r="E15947" s="21" t="s">
        <v>1089</v>
      </c>
      <c r="F15947">
        <v>10240007</v>
      </c>
      <c r="G15947" t="s">
        <v>2326</v>
      </c>
      <c r="H15947" s="21">
        <v>833.17</v>
      </c>
    </row>
    <row r="15948" spans="1:8" customFormat="1" x14ac:dyDescent="0.25">
      <c r="A15948" t="str">
        <f>"3830691"</f>
        <v>3830691</v>
      </c>
      <c r="B15948" t="s">
        <v>3108</v>
      </c>
      <c r="C15948" t="s">
        <v>169</v>
      </c>
      <c r="D15948" s="21" t="s">
        <v>34</v>
      </c>
      <c r="E15948" s="21" t="s">
        <v>35</v>
      </c>
      <c r="F15948">
        <v>1380233</v>
      </c>
      <c r="G15948" t="s">
        <v>2694</v>
      </c>
      <c r="H15948" s="21">
        <v>833.17</v>
      </c>
    </row>
    <row r="15949" spans="1:8" customFormat="1" x14ac:dyDescent="0.25">
      <c r="A15949" t="str">
        <f>"4414901"</f>
        <v>4414901</v>
      </c>
      <c r="B15949" t="s">
        <v>4102</v>
      </c>
      <c r="C15949" t="s">
        <v>87</v>
      </c>
      <c r="D15949" s="21" t="s">
        <v>34</v>
      </c>
      <c r="E15949" s="21" t="s">
        <v>35</v>
      </c>
      <c r="F15949">
        <v>12440042</v>
      </c>
      <c r="G15949" t="s">
        <v>10312</v>
      </c>
      <c r="H15949" s="21">
        <v>833.17</v>
      </c>
    </row>
    <row r="15950" spans="1:8" customFormat="1" x14ac:dyDescent="0.25">
      <c r="A15950" t="str">
        <f>"5910745"</f>
        <v>5910745</v>
      </c>
      <c r="B15950" t="s">
        <v>13648</v>
      </c>
      <c r="C15950" t="s">
        <v>415</v>
      </c>
      <c r="D15950" s="21" t="s">
        <v>34</v>
      </c>
      <c r="E15950" s="21" t="s">
        <v>254</v>
      </c>
      <c r="F15950">
        <v>7590017</v>
      </c>
      <c r="G15950" t="s">
        <v>1316</v>
      </c>
      <c r="H15950" s="21">
        <v>833.17</v>
      </c>
    </row>
    <row r="15951" spans="1:8" customFormat="1" x14ac:dyDescent="0.25">
      <c r="A15951" t="str">
        <f>"4418118"</f>
        <v>4418118</v>
      </c>
      <c r="B15951" t="s">
        <v>6324</v>
      </c>
      <c r="C15951" t="s">
        <v>8491</v>
      </c>
      <c r="D15951" s="21" t="s">
        <v>34</v>
      </c>
      <c r="E15951" s="21" t="s">
        <v>71</v>
      </c>
      <c r="F15951">
        <v>4410017</v>
      </c>
      <c r="G15951" t="s">
        <v>2363</v>
      </c>
      <c r="H15951" s="21">
        <v>833.17</v>
      </c>
    </row>
    <row r="15952" spans="1:8" customFormat="1" x14ac:dyDescent="0.25">
      <c r="A15952" t="str">
        <f>"3327078"</f>
        <v>3327078</v>
      </c>
      <c r="B15952" t="s">
        <v>5297</v>
      </c>
      <c r="C15952" t="s">
        <v>209</v>
      </c>
      <c r="D15952" s="21" t="s">
        <v>34</v>
      </c>
      <c r="E15952" s="21" t="s">
        <v>35</v>
      </c>
      <c r="F15952">
        <v>10330125</v>
      </c>
      <c r="G15952" t="s">
        <v>3753</v>
      </c>
      <c r="H15952" s="21">
        <v>833.17</v>
      </c>
    </row>
    <row r="15953" spans="1:8" customFormat="1" x14ac:dyDescent="0.25">
      <c r="A15953" t="str">
        <f>"188811"</f>
        <v>188811</v>
      </c>
      <c r="B15953" t="s">
        <v>3197</v>
      </c>
      <c r="C15953" t="s">
        <v>275</v>
      </c>
      <c r="D15953" s="21" t="s">
        <v>34</v>
      </c>
      <c r="E15953" s="21" t="s">
        <v>35</v>
      </c>
      <c r="F15953">
        <v>4180711</v>
      </c>
      <c r="G15953" t="s">
        <v>13350</v>
      </c>
      <c r="H15953" s="21">
        <v>833.17</v>
      </c>
    </row>
    <row r="15954" spans="1:8" customFormat="1" x14ac:dyDescent="0.25">
      <c r="A15954" t="str">
        <f>"8521292"</f>
        <v>8521292</v>
      </c>
      <c r="B15954" t="s">
        <v>14737</v>
      </c>
      <c r="C15954" t="s">
        <v>87</v>
      </c>
      <c r="D15954" s="21" t="s">
        <v>34</v>
      </c>
      <c r="E15954" s="21" t="s">
        <v>71</v>
      </c>
      <c r="F15954">
        <v>12850128</v>
      </c>
      <c r="G15954" t="s">
        <v>3656</v>
      </c>
      <c r="H15954" s="21">
        <v>833.17</v>
      </c>
    </row>
    <row r="15955" spans="1:8" customFormat="1" x14ac:dyDescent="0.25">
      <c r="A15955" t="str">
        <f>"6722040"</f>
        <v>6722040</v>
      </c>
      <c r="B15955" t="s">
        <v>16062</v>
      </c>
      <c r="C15955" t="s">
        <v>469</v>
      </c>
      <c r="D15955" s="21" t="s">
        <v>34</v>
      </c>
      <c r="E15955" s="21" t="s">
        <v>35</v>
      </c>
      <c r="F15955">
        <v>6570093</v>
      </c>
      <c r="G15955" t="s">
        <v>6118</v>
      </c>
      <c r="H15955" s="21">
        <v>833.17</v>
      </c>
    </row>
    <row r="15956" spans="1:8" customFormat="1" x14ac:dyDescent="0.25">
      <c r="A15956" t="str">
        <f>"149832"</f>
        <v>149832</v>
      </c>
      <c r="B15956" t="s">
        <v>12873</v>
      </c>
      <c r="C15956" t="s">
        <v>263</v>
      </c>
      <c r="D15956" s="21" t="s">
        <v>34</v>
      </c>
      <c r="E15956" s="21" t="s">
        <v>1089</v>
      </c>
      <c r="F15956">
        <v>9140007</v>
      </c>
      <c r="G15956" t="s">
        <v>434</v>
      </c>
      <c r="H15956" s="21">
        <v>833.17</v>
      </c>
    </row>
    <row r="15957" spans="1:8" customFormat="1" x14ac:dyDescent="0.25">
      <c r="A15957" t="str">
        <f>"501165"</f>
        <v>501165</v>
      </c>
      <c r="B15957" t="s">
        <v>6024</v>
      </c>
      <c r="C15957" t="s">
        <v>239</v>
      </c>
      <c r="D15957" s="21" t="s">
        <v>34</v>
      </c>
      <c r="E15957" s="21" t="s">
        <v>71</v>
      </c>
      <c r="F15957">
        <v>9500013</v>
      </c>
      <c r="G15957" t="s">
        <v>992</v>
      </c>
      <c r="H15957" s="21">
        <v>833.17</v>
      </c>
    </row>
    <row r="15958" spans="1:8" customFormat="1" x14ac:dyDescent="0.25">
      <c r="A15958" t="str">
        <f>"752930"</f>
        <v>752930</v>
      </c>
      <c r="B15958" t="s">
        <v>4264</v>
      </c>
      <c r="C15958" t="s">
        <v>564</v>
      </c>
      <c r="D15958" s="21" t="s">
        <v>34</v>
      </c>
      <c r="E15958" s="21" t="s">
        <v>1089</v>
      </c>
      <c r="F15958">
        <v>8750074</v>
      </c>
      <c r="G15958" t="s">
        <v>698</v>
      </c>
      <c r="H15958" s="21">
        <v>833.17</v>
      </c>
    </row>
    <row r="15959" spans="1:8" customFormat="1" x14ac:dyDescent="0.25">
      <c r="A15959" t="str">
        <f>"808576"</f>
        <v>808576</v>
      </c>
      <c r="B15959" t="s">
        <v>12207</v>
      </c>
      <c r="C15959" t="s">
        <v>1946</v>
      </c>
      <c r="D15959" s="21" t="s">
        <v>34</v>
      </c>
      <c r="E15959" s="21" t="s">
        <v>254</v>
      </c>
      <c r="F15959">
        <v>7800001</v>
      </c>
      <c r="G15959" t="s">
        <v>176</v>
      </c>
      <c r="H15959" s="21">
        <v>833.17</v>
      </c>
    </row>
    <row r="15960" spans="1:8" customFormat="1" x14ac:dyDescent="0.25">
      <c r="A15960" t="str">
        <f>"7511201"</f>
        <v>7511201</v>
      </c>
      <c r="B15960" t="s">
        <v>27410</v>
      </c>
      <c r="C15960" t="s">
        <v>253</v>
      </c>
      <c r="D15960" s="21" t="s">
        <v>34</v>
      </c>
      <c r="E15960" s="21" t="s">
        <v>71</v>
      </c>
      <c r="F15960">
        <v>8920234</v>
      </c>
      <c r="G15960" t="s">
        <v>1184</v>
      </c>
      <c r="H15960" s="21">
        <v>833.17</v>
      </c>
    </row>
    <row r="15961" spans="1:8" customFormat="1" x14ac:dyDescent="0.25">
      <c r="A15961" t="str">
        <f>"3419020"</f>
        <v>3419020</v>
      </c>
      <c r="B15961" t="s">
        <v>3610</v>
      </c>
      <c r="C15961" t="s">
        <v>1025</v>
      </c>
      <c r="D15961" s="21" t="s">
        <v>34</v>
      </c>
      <c r="E15961" s="21" t="s">
        <v>71</v>
      </c>
      <c r="F15961">
        <v>11340003</v>
      </c>
      <c r="G15961" t="s">
        <v>3326</v>
      </c>
      <c r="H15961" s="21">
        <v>833.17</v>
      </c>
    </row>
    <row r="15962" spans="1:8" customFormat="1" x14ac:dyDescent="0.25">
      <c r="A15962" t="str">
        <f>"932178"</f>
        <v>932178</v>
      </c>
      <c r="B15962" t="s">
        <v>10982</v>
      </c>
      <c r="C15962" t="s">
        <v>249</v>
      </c>
      <c r="D15962" s="21" t="s">
        <v>34</v>
      </c>
      <c r="E15962" s="21" t="s">
        <v>71</v>
      </c>
      <c r="F15962">
        <v>8931011</v>
      </c>
      <c r="G15962" t="s">
        <v>530</v>
      </c>
      <c r="H15962" s="21">
        <v>833.17</v>
      </c>
    </row>
    <row r="15963" spans="1:8" customFormat="1" x14ac:dyDescent="0.25">
      <c r="A15963" t="str">
        <f>"287826"</f>
        <v>287826</v>
      </c>
      <c r="B15963" t="s">
        <v>6657</v>
      </c>
      <c r="C15963" t="s">
        <v>198</v>
      </c>
      <c r="D15963" s="21" t="s">
        <v>34</v>
      </c>
      <c r="E15963" s="21" t="s">
        <v>254</v>
      </c>
      <c r="F15963">
        <v>4280121</v>
      </c>
      <c r="G15963" t="s">
        <v>4565</v>
      </c>
      <c r="H15963" s="21">
        <v>833.04</v>
      </c>
    </row>
    <row r="15964" spans="1:8" customFormat="1" x14ac:dyDescent="0.25">
      <c r="A15964" t="str">
        <f>"029466"</f>
        <v>029466</v>
      </c>
      <c r="B15964" t="s">
        <v>1737</v>
      </c>
      <c r="C15964" t="s">
        <v>187</v>
      </c>
      <c r="D15964" s="21" t="s">
        <v>34</v>
      </c>
      <c r="E15964" s="21" t="s">
        <v>71</v>
      </c>
      <c r="F15964">
        <v>7020001</v>
      </c>
      <c r="G15964" t="s">
        <v>3854</v>
      </c>
      <c r="H15964" s="21">
        <v>833</v>
      </c>
    </row>
    <row r="15965" spans="1:8" customFormat="1" x14ac:dyDescent="0.25">
      <c r="A15965" t="str">
        <f>"9133569"</f>
        <v>9133569</v>
      </c>
      <c r="B15965" t="s">
        <v>12314</v>
      </c>
      <c r="C15965" t="s">
        <v>151</v>
      </c>
      <c r="D15965" s="21" t="s">
        <v>34</v>
      </c>
      <c r="E15965" s="21" t="s">
        <v>35</v>
      </c>
      <c r="F15965">
        <v>8911439</v>
      </c>
      <c r="G15965" t="s">
        <v>3953</v>
      </c>
      <c r="H15965" s="21">
        <v>832.92</v>
      </c>
    </row>
    <row r="15966" spans="1:8" customFormat="1" x14ac:dyDescent="0.25">
      <c r="A15966" t="str">
        <f>"834351"</f>
        <v>834351</v>
      </c>
      <c r="B15966" t="s">
        <v>14910</v>
      </c>
      <c r="C15966" t="s">
        <v>576</v>
      </c>
      <c r="D15966" s="21" t="s">
        <v>34</v>
      </c>
      <c r="E15966" s="21" t="s">
        <v>35</v>
      </c>
      <c r="F15966">
        <v>13830062</v>
      </c>
      <c r="G15966" t="s">
        <v>9074</v>
      </c>
      <c r="H15966" s="21">
        <v>832.79</v>
      </c>
    </row>
    <row r="15967" spans="1:8" customFormat="1" x14ac:dyDescent="0.25">
      <c r="A15967" t="str">
        <f>"45693"</f>
        <v>45693</v>
      </c>
      <c r="B15967" t="s">
        <v>15457</v>
      </c>
      <c r="C15967" t="s">
        <v>2546</v>
      </c>
      <c r="D15967" s="21" t="s">
        <v>34</v>
      </c>
      <c r="E15967" s="21" t="s">
        <v>1089</v>
      </c>
      <c r="F15967">
        <v>4450184</v>
      </c>
      <c r="G15967" t="s">
        <v>3956</v>
      </c>
      <c r="H15967" s="21">
        <v>832.79</v>
      </c>
    </row>
    <row r="15968" spans="1:8" customFormat="1" x14ac:dyDescent="0.25">
      <c r="A15968" t="str">
        <f>"4512365"</f>
        <v>4512365</v>
      </c>
      <c r="B15968" t="s">
        <v>13209</v>
      </c>
      <c r="C15968" t="s">
        <v>598</v>
      </c>
      <c r="D15968" s="21" t="s">
        <v>34</v>
      </c>
      <c r="E15968" s="21" t="s">
        <v>35</v>
      </c>
      <c r="F15968">
        <v>4450192</v>
      </c>
      <c r="G15968" t="s">
        <v>2411</v>
      </c>
      <c r="H15968" s="21">
        <v>832.67</v>
      </c>
    </row>
    <row r="15969" spans="1:8" customFormat="1" x14ac:dyDescent="0.25">
      <c r="A15969" t="str">
        <f>"5616483"</f>
        <v>5616483</v>
      </c>
      <c r="B15969" t="s">
        <v>13783</v>
      </c>
      <c r="C15969" t="s">
        <v>239</v>
      </c>
      <c r="D15969" s="21" t="s">
        <v>34</v>
      </c>
      <c r="E15969" s="21" t="s">
        <v>71</v>
      </c>
      <c r="F15969">
        <v>3560002</v>
      </c>
      <c r="G15969" t="s">
        <v>5437</v>
      </c>
      <c r="H15969" s="21">
        <v>832.67</v>
      </c>
    </row>
    <row r="15970" spans="1:8" customFormat="1" x14ac:dyDescent="0.25">
      <c r="A15970" t="str">
        <f>"6227570"</f>
        <v>6227570</v>
      </c>
      <c r="B15970" t="s">
        <v>15746</v>
      </c>
      <c r="C15970" t="s">
        <v>825</v>
      </c>
      <c r="D15970" s="21" t="s">
        <v>34</v>
      </c>
      <c r="E15970" s="21" t="s">
        <v>35</v>
      </c>
      <c r="F15970">
        <v>7620139</v>
      </c>
      <c r="G15970" t="s">
        <v>2061</v>
      </c>
      <c r="H15970" s="21">
        <v>832.67</v>
      </c>
    </row>
    <row r="15971" spans="1:8" customFormat="1" x14ac:dyDescent="0.25">
      <c r="A15971" t="str">
        <f>"166543"</f>
        <v>166543</v>
      </c>
      <c r="B15971" t="s">
        <v>13509</v>
      </c>
      <c r="C15971" t="s">
        <v>2546</v>
      </c>
      <c r="D15971" s="21" t="s">
        <v>34</v>
      </c>
      <c r="E15971" s="21" t="s">
        <v>71</v>
      </c>
      <c r="F15971">
        <v>10160044</v>
      </c>
      <c r="G15971" t="s">
        <v>4941</v>
      </c>
      <c r="H15971" s="21">
        <v>832.67</v>
      </c>
    </row>
    <row r="15972" spans="1:8" customFormat="1" x14ac:dyDescent="0.25">
      <c r="A15972" t="str">
        <f>"5953082"</f>
        <v>5953082</v>
      </c>
      <c r="B15972" t="s">
        <v>13118</v>
      </c>
      <c r="C15972" t="s">
        <v>119</v>
      </c>
      <c r="D15972" s="21" t="s">
        <v>34</v>
      </c>
      <c r="E15972" s="21" t="s">
        <v>71</v>
      </c>
      <c r="F15972">
        <v>7590065</v>
      </c>
      <c r="G15972" t="s">
        <v>1598</v>
      </c>
      <c r="H15972" s="21">
        <v>832.67</v>
      </c>
    </row>
    <row r="15973" spans="1:8" customFormat="1" x14ac:dyDescent="0.25">
      <c r="A15973" t="str">
        <f>"5317286"</f>
        <v>5317286</v>
      </c>
      <c r="B15973" t="s">
        <v>2138</v>
      </c>
      <c r="C15973" t="s">
        <v>169</v>
      </c>
      <c r="D15973" s="21" t="s">
        <v>34</v>
      </c>
      <c r="E15973" s="21" t="s">
        <v>71</v>
      </c>
      <c r="F15973">
        <v>3290003</v>
      </c>
      <c r="G15973" t="s">
        <v>3764</v>
      </c>
      <c r="H15973" s="21">
        <v>832.67</v>
      </c>
    </row>
    <row r="15974" spans="1:8" customFormat="1" x14ac:dyDescent="0.25">
      <c r="A15974" t="str">
        <f>"5727264"</f>
        <v>5727264</v>
      </c>
      <c r="B15974" t="s">
        <v>14006</v>
      </c>
      <c r="C15974" t="s">
        <v>1841</v>
      </c>
      <c r="D15974" s="21" t="s">
        <v>34</v>
      </c>
      <c r="E15974" s="21" t="s">
        <v>71</v>
      </c>
      <c r="F15974">
        <v>6570154</v>
      </c>
      <c r="G15974" t="s">
        <v>3935</v>
      </c>
      <c r="H15974" s="21">
        <v>832.67</v>
      </c>
    </row>
    <row r="15975" spans="1:8" customFormat="1" x14ac:dyDescent="0.25">
      <c r="A15975" t="str">
        <f>"9128739"</f>
        <v>9128739</v>
      </c>
      <c r="B15975" t="s">
        <v>3041</v>
      </c>
      <c r="C15975" t="s">
        <v>498</v>
      </c>
      <c r="D15975" s="21" t="s">
        <v>34</v>
      </c>
      <c r="E15975" s="21" t="s">
        <v>71</v>
      </c>
      <c r="F15975">
        <v>8910402</v>
      </c>
      <c r="G15975" t="s">
        <v>1371</v>
      </c>
      <c r="H15975" s="21">
        <v>832.67</v>
      </c>
    </row>
    <row r="15976" spans="1:8" customFormat="1" x14ac:dyDescent="0.25">
      <c r="A15976" t="str">
        <f>"3335004"</f>
        <v>3335004</v>
      </c>
      <c r="B15976" t="s">
        <v>13799</v>
      </c>
      <c r="C15976" t="s">
        <v>130</v>
      </c>
      <c r="D15976" s="21" t="s">
        <v>34</v>
      </c>
      <c r="E15976" s="21" t="s">
        <v>35</v>
      </c>
      <c r="F15976">
        <v>10330082</v>
      </c>
      <c r="G15976" t="s">
        <v>5564</v>
      </c>
      <c r="H15976" s="21">
        <v>832.67</v>
      </c>
    </row>
    <row r="15977" spans="1:8" customFormat="1" x14ac:dyDescent="0.25">
      <c r="A15977" t="str">
        <f>"6710508"</f>
        <v>6710508</v>
      </c>
      <c r="B15977" t="s">
        <v>13558</v>
      </c>
      <c r="C15977" t="s">
        <v>879</v>
      </c>
      <c r="D15977" s="21" t="s">
        <v>34</v>
      </c>
      <c r="E15977" s="21" t="s">
        <v>71</v>
      </c>
      <c r="F15977">
        <v>6670260</v>
      </c>
      <c r="G15977" t="s">
        <v>1202</v>
      </c>
      <c r="H15977" s="21">
        <v>832.67</v>
      </c>
    </row>
    <row r="15978" spans="1:8" customFormat="1" x14ac:dyDescent="0.25">
      <c r="A15978" t="str">
        <f>"445891"</f>
        <v>445891</v>
      </c>
      <c r="B15978" t="s">
        <v>6240</v>
      </c>
      <c r="C15978" t="s">
        <v>169</v>
      </c>
      <c r="D15978" s="21" t="s">
        <v>34</v>
      </c>
      <c r="E15978" s="21" t="s">
        <v>71</v>
      </c>
      <c r="F15978">
        <v>12440154</v>
      </c>
      <c r="G15978" t="s">
        <v>7124</v>
      </c>
      <c r="H15978" s="21">
        <v>832.67</v>
      </c>
    </row>
    <row r="15979" spans="1:8" customFormat="1" x14ac:dyDescent="0.25">
      <c r="A15979" t="str">
        <f>"2717286"</f>
        <v>2717286</v>
      </c>
      <c r="B15979" t="s">
        <v>13276</v>
      </c>
      <c r="C15979" t="s">
        <v>288</v>
      </c>
      <c r="D15979" s="21" t="s">
        <v>34</v>
      </c>
      <c r="E15979" s="21" t="s">
        <v>35</v>
      </c>
      <c r="F15979">
        <v>9760351</v>
      </c>
      <c r="G15979" t="s">
        <v>5898</v>
      </c>
      <c r="H15979" s="21">
        <v>832.67</v>
      </c>
    </row>
    <row r="15980" spans="1:8" customFormat="1" x14ac:dyDescent="0.25">
      <c r="A15980" t="str">
        <f>"7866783"</f>
        <v>7866783</v>
      </c>
      <c r="B15980" t="s">
        <v>987</v>
      </c>
      <c r="C15980" t="s">
        <v>87</v>
      </c>
      <c r="D15980" s="21" t="s">
        <v>34</v>
      </c>
      <c r="E15980" s="21" t="s">
        <v>35</v>
      </c>
      <c r="F15980">
        <v>8780016</v>
      </c>
      <c r="G15980" t="s">
        <v>3153</v>
      </c>
      <c r="H15980" s="21">
        <v>832.67</v>
      </c>
    </row>
    <row r="15981" spans="1:8" customFormat="1" x14ac:dyDescent="0.25">
      <c r="A15981" t="str">
        <f>"82763"</f>
        <v>82763</v>
      </c>
      <c r="B15981" t="s">
        <v>13602</v>
      </c>
      <c r="C15981" t="s">
        <v>879</v>
      </c>
      <c r="D15981" s="21" t="s">
        <v>34</v>
      </c>
      <c r="E15981" s="21" t="s">
        <v>71</v>
      </c>
      <c r="F15981">
        <v>11820007</v>
      </c>
      <c r="G15981" t="s">
        <v>532</v>
      </c>
      <c r="H15981" s="21">
        <v>832.67</v>
      </c>
    </row>
    <row r="15982" spans="1:8" customFormat="1" x14ac:dyDescent="0.25">
      <c r="A15982" t="str">
        <f>"6929527"</f>
        <v>6929527</v>
      </c>
      <c r="B15982" t="s">
        <v>12096</v>
      </c>
      <c r="C15982" t="s">
        <v>233</v>
      </c>
      <c r="D15982" s="21" t="s">
        <v>34</v>
      </c>
      <c r="E15982" s="21" t="s">
        <v>35</v>
      </c>
      <c r="F15982">
        <v>1690196</v>
      </c>
      <c r="G15982" t="s">
        <v>6149</v>
      </c>
      <c r="H15982" s="21">
        <v>832.67</v>
      </c>
    </row>
    <row r="15983" spans="1:8" customFormat="1" x14ac:dyDescent="0.25">
      <c r="A15983" t="str">
        <f>"5972045"</f>
        <v>5972045</v>
      </c>
      <c r="B15983" t="s">
        <v>13745</v>
      </c>
      <c r="C15983" t="s">
        <v>2520</v>
      </c>
      <c r="D15983" s="21" t="s">
        <v>34</v>
      </c>
      <c r="E15983" s="21" t="s">
        <v>254</v>
      </c>
      <c r="F15983">
        <v>7590123</v>
      </c>
      <c r="G15983" t="s">
        <v>85</v>
      </c>
      <c r="H15983" s="21">
        <v>832.67</v>
      </c>
    </row>
    <row r="15984" spans="1:8" customFormat="1" x14ac:dyDescent="0.25">
      <c r="A15984" t="str">
        <f>"4189"</f>
        <v>4189</v>
      </c>
      <c r="B15984" t="s">
        <v>8275</v>
      </c>
      <c r="C15984" t="s">
        <v>1665</v>
      </c>
      <c r="D15984" s="21" t="s">
        <v>34</v>
      </c>
      <c r="E15984" s="21" t="s">
        <v>254</v>
      </c>
      <c r="F15984">
        <v>4410016</v>
      </c>
      <c r="G15984" t="s">
        <v>4365</v>
      </c>
      <c r="H15984" s="21">
        <v>832.67</v>
      </c>
    </row>
    <row r="15985" spans="1:8" customFormat="1" x14ac:dyDescent="0.25">
      <c r="A15985" t="str">
        <f>"139090"</f>
        <v>139090</v>
      </c>
      <c r="B15985" t="s">
        <v>27411</v>
      </c>
      <c r="C15985" t="s">
        <v>2356</v>
      </c>
      <c r="D15985" s="21" t="s">
        <v>34</v>
      </c>
      <c r="E15985" s="21" t="s">
        <v>71</v>
      </c>
      <c r="F15985" t="s">
        <v>1477</v>
      </c>
      <c r="G15985" t="s">
        <v>1478</v>
      </c>
      <c r="H15985" s="21">
        <v>832.67</v>
      </c>
    </row>
    <row r="15986" spans="1:8" customFormat="1" x14ac:dyDescent="0.25">
      <c r="A15986" t="str">
        <f>"185559"</f>
        <v>185559</v>
      </c>
      <c r="B15986" t="s">
        <v>16185</v>
      </c>
      <c r="C15986" t="s">
        <v>60</v>
      </c>
      <c r="D15986" s="21" t="s">
        <v>34</v>
      </c>
      <c r="E15986" s="21" t="s">
        <v>35</v>
      </c>
      <c r="F15986">
        <v>4180313</v>
      </c>
      <c r="G15986" t="s">
        <v>10486</v>
      </c>
      <c r="H15986" s="21">
        <v>832.54</v>
      </c>
    </row>
    <row r="15987" spans="1:8" customFormat="1" x14ac:dyDescent="0.25">
      <c r="A15987" t="str">
        <f>"6016865"</f>
        <v>6016865</v>
      </c>
      <c r="B15987" t="s">
        <v>11414</v>
      </c>
      <c r="C15987" t="s">
        <v>40</v>
      </c>
      <c r="D15987" s="21" t="s">
        <v>34</v>
      </c>
      <c r="E15987" s="21" t="s">
        <v>71</v>
      </c>
      <c r="F15987">
        <v>7600171</v>
      </c>
      <c r="G15987" t="s">
        <v>4705</v>
      </c>
      <c r="H15987" s="21">
        <v>832.42</v>
      </c>
    </row>
    <row r="15988" spans="1:8" customFormat="1" x14ac:dyDescent="0.25">
      <c r="A15988" t="str">
        <f>"6023407"</f>
        <v>6023407</v>
      </c>
      <c r="B15988" t="s">
        <v>10560</v>
      </c>
      <c r="C15988" t="s">
        <v>253</v>
      </c>
      <c r="D15988" s="21" t="s">
        <v>34</v>
      </c>
      <c r="E15988" s="21" t="s">
        <v>254</v>
      </c>
      <c r="F15988">
        <v>7600037</v>
      </c>
      <c r="G15988" t="s">
        <v>7185</v>
      </c>
      <c r="H15988" s="21">
        <v>832.42</v>
      </c>
    </row>
    <row r="15989" spans="1:8" customFormat="1" x14ac:dyDescent="0.25">
      <c r="A15989" t="str">
        <f>"6720374"</f>
        <v>6720374</v>
      </c>
      <c r="B15989" t="s">
        <v>14302</v>
      </c>
      <c r="C15989" t="s">
        <v>415</v>
      </c>
      <c r="D15989" s="21" t="s">
        <v>34</v>
      </c>
      <c r="E15989" s="21" t="s">
        <v>35</v>
      </c>
      <c r="F15989">
        <v>6670043</v>
      </c>
      <c r="G15989" t="s">
        <v>5658</v>
      </c>
      <c r="H15989" s="21">
        <v>832.17</v>
      </c>
    </row>
    <row r="15990" spans="1:8" customFormat="1" x14ac:dyDescent="0.25">
      <c r="A15990" t="str">
        <f>"277485"</f>
        <v>277485</v>
      </c>
      <c r="B15990" t="s">
        <v>890</v>
      </c>
      <c r="C15990" t="s">
        <v>415</v>
      </c>
      <c r="D15990" s="21" t="s">
        <v>34</v>
      </c>
      <c r="E15990" s="21" t="s">
        <v>71</v>
      </c>
      <c r="F15990">
        <v>9270060</v>
      </c>
      <c r="G15990" t="s">
        <v>1982</v>
      </c>
      <c r="H15990" s="21">
        <v>832.17</v>
      </c>
    </row>
    <row r="15991" spans="1:8" customFormat="1" x14ac:dyDescent="0.25">
      <c r="A15991" t="str">
        <f>"1411412"</f>
        <v>1411412</v>
      </c>
      <c r="B15991" t="s">
        <v>10528</v>
      </c>
      <c r="C15991" t="s">
        <v>60</v>
      </c>
      <c r="D15991" s="21" t="s">
        <v>34</v>
      </c>
      <c r="E15991" s="21" t="s">
        <v>35</v>
      </c>
      <c r="F15991">
        <v>9140237</v>
      </c>
      <c r="G15991" t="s">
        <v>4722</v>
      </c>
      <c r="H15991" s="21">
        <v>832.17</v>
      </c>
    </row>
    <row r="15992" spans="1:8" customFormat="1" x14ac:dyDescent="0.25">
      <c r="A15992" t="str">
        <f>"423825"</f>
        <v>423825</v>
      </c>
      <c r="B15992" t="s">
        <v>13207</v>
      </c>
      <c r="C15992" t="s">
        <v>109</v>
      </c>
      <c r="D15992" s="21" t="s">
        <v>34</v>
      </c>
      <c r="E15992" s="21" t="s">
        <v>71</v>
      </c>
      <c r="F15992">
        <v>1420013</v>
      </c>
      <c r="G15992" t="s">
        <v>2013</v>
      </c>
      <c r="H15992" s="21">
        <v>832.17</v>
      </c>
    </row>
    <row r="15993" spans="1:8" customFormat="1" x14ac:dyDescent="0.25">
      <c r="A15993" t="str">
        <f>"992202"</f>
        <v>992202</v>
      </c>
      <c r="B15993" t="s">
        <v>15718</v>
      </c>
      <c r="C15993" t="s">
        <v>65</v>
      </c>
      <c r="D15993" s="21" t="s">
        <v>34</v>
      </c>
      <c r="E15993" s="21" t="s">
        <v>35</v>
      </c>
      <c r="F15993">
        <v>5990007</v>
      </c>
      <c r="G15993" t="s">
        <v>15719</v>
      </c>
      <c r="H15993" s="21">
        <v>832.17</v>
      </c>
    </row>
    <row r="15994" spans="1:8" customFormat="1" x14ac:dyDescent="0.25">
      <c r="A15994" t="str">
        <f>"88351"</f>
        <v>88351</v>
      </c>
      <c r="B15994" t="s">
        <v>1607</v>
      </c>
      <c r="C15994" t="s">
        <v>55</v>
      </c>
      <c r="D15994" s="21" t="s">
        <v>34</v>
      </c>
      <c r="E15994" s="21" t="s">
        <v>254</v>
      </c>
      <c r="F15994">
        <v>6880071</v>
      </c>
      <c r="G15994" t="s">
        <v>4226</v>
      </c>
      <c r="H15994" s="21">
        <v>832.17</v>
      </c>
    </row>
    <row r="15995" spans="1:8" customFormat="1" x14ac:dyDescent="0.25">
      <c r="A15995" t="str">
        <f>"1416223"</f>
        <v>1416223</v>
      </c>
      <c r="B15995" t="s">
        <v>8089</v>
      </c>
      <c r="C15995" t="s">
        <v>926</v>
      </c>
      <c r="D15995" s="21" t="s">
        <v>34</v>
      </c>
      <c r="E15995" s="21" t="s">
        <v>71</v>
      </c>
      <c r="F15995">
        <v>9140227</v>
      </c>
      <c r="G15995" t="s">
        <v>5130</v>
      </c>
      <c r="H15995" s="21">
        <v>832.17</v>
      </c>
    </row>
    <row r="15996" spans="1:8" customFormat="1" x14ac:dyDescent="0.25">
      <c r="A15996" t="str">
        <f>"5110155"</f>
        <v>5110155</v>
      </c>
      <c r="B15996" t="s">
        <v>12948</v>
      </c>
      <c r="C15996" t="s">
        <v>263</v>
      </c>
      <c r="D15996" s="21" t="s">
        <v>34</v>
      </c>
      <c r="E15996" s="21" t="s">
        <v>71</v>
      </c>
      <c r="F15996">
        <v>6510115</v>
      </c>
      <c r="G15996" t="s">
        <v>27329</v>
      </c>
      <c r="H15996" s="21">
        <v>832.17</v>
      </c>
    </row>
    <row r="15997" spans="1:8" customFormat="1" x14ac:dyDescent="0.25">
      <c r="A15997" t="str">
        <f>"278338"</f>
        <v>278338</v>
      </c>
      <c r="B15997" t="s">
        <v>12771</v>
      </c>
      <c r="C15997" t="s">
        <v>12772</v>
      </c>
      <c r="D15997" s="21" t="s">
        <v>34</v>
      </c>
      <c r="E15997" s="21" t="s">
        <v>254</v>
      </c>
      <c r="F15997">
        <v>9270177</v>
      </c>
      <c r="G15997" t="s">
        <v>10384</v>
      </c>
      <c r="H15997" s="21">
        <v>832.17</v>
      </c>
    </row>
    <row r="15998" spans="1:8" customFormat="1" x14ac:dyDescent="0.25">
      <c r="A15998" t="str">
        <f>"629802"</f>
        <v>629802</v>
      </c>
      <c r="B15998" t="s">
        <v>12852</v>
      </c>
      <c r="C15998" t="s">
        <v>43</v>
      </c>
      <c r="D15998" s="21" t="s">
        <v>34</v>
      </c>
      <c r="E15998" s="21" t="s">
        <v>35</v>
      </c>
      <c r="F15998">
        <v>7620007</v>
      </c>
      <c r="G15998" t="s">
        <v>2133</v>
      </c>
      <c r="H15998" s="21">
        <v>832.17</v>
      </c>
    </row>
    <row r="15999" spans="1:8" customFormat="1" x14ac:dyDescent="0.25">
      <c r="A15999" t="str">
        <f>"013243"</f>
        <v>013243</v>
      </c>
      <c r="B15999" t="s">
        <v>14111</v>
      </c>
      <c r="C15999" t="s">
        <v>2520</v>
      </c>
      <c r="D15999" s="21" t="s">
        <v>34</v>
      </c>
      <c r="E15999" s="21" t="s">
        <v>1089</v>
      </c>
      <c r="F15999">
        <v>13830089</v>
      </c>
      <c r="G15999" t="s">
        <v>14112</v>
      </c>
      <c r="H15999" s="21">
        <v>832.17</v>
      </c>
    </row>
    <row r="16000" spans="1:8" customFormat="1" x14ac:dyDescent="0.25">
      <c r="A16000" t="str">
        <f>"866546"</f>
        <v>866546</v>
      </c>
      <c r="B16000" t="s">
        <v>13351</v>
      </c>
      <c r="C16000" t="s">
        <v>209</v>
      </c>
      <c r="D16000" s="21" t="s">
        <v>34</v>
      </c>
      <c r="E16000" s="21" t="s">
        <v>71</v>
      </c>
      <c r="F16000">
        <v>10860015</v>
      </c>
      <c r="G16000" t="s">
        <v>3680</v>
      </c>
      <c r="H16000" s="21">
        <v>832.17</v>
      </c>
    </row>
    <row r="16001" spans="1:8" customFormat="1" x14ac:dyDescent="0.25">
      <c r="A16001" t="str">
        <f>"595420"</f>
        <v>595420</v>
      </c>
      <c r="B16001" t="s">
        <v>1531</v>
      </c>
      <c r="C16001" t="s">
        <v>249</v>
      </c>
      <c r="D16001" s="21" t="s">
        <v>34</v>
      </c>
      <c r="E16001" s="21" t="s">
        <v>71</v>
      </c>
      <c r="F16001">
        <v>7590027</v>
      </c>
      <c r="G16001" t="s">
        <v>629</v>
      </c>
      <c r="H16001" s="21">
        <v>832.17</v>
      </c>
    </row>
    <row r="16002" spans="1:8" customFormat="1" x14ac:dyDescent="0.25">
      <c r="A16002" t="str">
        <f>"217226"</f>
        <v>217226</v>
      </c>
      <c r="B16002" t="s">
        <v>13767</v>
      </c>
      <c r="C16002" t="s">
        <v>288</v>
      </c>
      <c r="D16002" s="21" t="s">
        <v>34</v>
      </c>
      <c r="E16002" s="21" t="s">
        <v>35</v>
      </c>
      <c r="F16002">
        <v>2210029</v>
      </c>
      <c r="G16002" t="s">
        <v>6983</v>
      </c>
      <c r="H16002" s="21">
        <v>832.17</v>
      </c>
    </row>
    <row r="16003" spans="1:8" customFormat="1" x14ac:dyDescent="0.25">
      <c r="A16003" t="str">
        <f>"653650"</f>
        <v>653650</v>
      </c>
      <c r="B16003" t="s">
        <v>16571</v>
      </c>
      <c r="C16003" t="s">
        <v>33</v>
      </c>
      <c r="D16003" s="21" t="s">
        <v>34</v>
      </c>
      <c r="E16003" s="21" t="s">
        <v>35</v>
      </c>
      <c r="F16003">
        <v>11650004</v>
      </c>
      <c r="G16003" t="s">
        <v>382</v>
      </c>
      <c r="H16003" s="21">
        <v>832.17</v>
      </c>
    </row>
    <row r="16004" spans="1:8" customFormat="1" x14ac:dyDescent="0.25">
      <c r="A16004" t="str">
        <f>"331387"</f>
        <v>331387</v>
      </c>
      <c r="B16004" t="s">
        <v>13151</v>
      </c>
      <c r="C16004" t="s">
        <v>621</v>
      </c>
      <c r="D16004" s="21" t="s">
        <v>34</v>
      </c>
      <c r="E16004" s="21" t="s">
        <v>1089</v>
      </c>
      <c r="F16004">
        <v>10330125</v>
      </c>
      <c r="G16004" t="s">
        <v>3753</v>
      </c>
      <c r="H16004" s="21">
        <v>832.17</v>
      </c>
    </row>
    <row r="16005" spans="1:8" customFormat="1" x14ac:dyDescent="0.25">
      <c r="A16005" t="str">
        <f>"581201"</f>
        <v>581201</v>
      </c>
      <c r="B16005" t="s">
        <v>11623</v>
      </c>
      <c r="C16005" t="s">
        <v>236</v>
      </c>
      <c r="D16005" s="21" t="s">
        <v>34</v>
      </c>
      <c r="E16005" s="21" t="s">
        <v>1089</v>
      </c>
      <c r="F16005">
        <v>2580012</v>
      </c>
      <c r="G16005" t="s">
        <v>1144</v>
      </c>
      <c r="H16005" s="21">
        <v>832.04</v>
      </c>
    </row>
    <row r="16006" spans="1:8" customFormat="1" x14ac:dyDescent="0.25">
      <c r="A16006" t="str">
        <f>"582947"</f>
        <v>582947</v>
      </c>
      <c r="B16006" t="s">
        <v>213</v>
      </c>
      <c r="C16006" t="s">
        <v>33</v>
      </c>
      <c r="D16006" s="21" t="s">
        <v>34</v>
      </c>
      <c r="E16006" s="21" t="s">
        <v>35</v>
      </c>
      <c r="F16006">
        <v>2890019</v>
      </c>
      <c r="G16006" t="s">
        <v>1857</v>
      </c>
      <c r="H16006" s="21">
        <v>832</v>
      </c>
    </row>
    <row r="16007" spans="1:8" customFormat="1" x14ac:dyDescent="0.25">
      <c r="A16007" t="str">
        <f>"519665"</f>
        <v>519665</v>
      </c>
      <c r="B16007" t="s">
        <v>14439</v>
      </c>
      <c r="C16007" t="s">
        <v>719</v>
      </c>
      <c r="D16007" s="21" t="s">
        <v>34</v>
      </c>
      <c r="E16007" s="21" t="s">
        <v>35</v>
      </c>
      <c r="F16007">
        <v>10400004</v>
      </c>
      <c r="G16007" t="s">
        <v>2929</v>
      </c>
      <c r="H16007" s="21">
        <v>832</v>
      </c>
    </row>
    <row r="16008" spans="1:8" customFormat="1" x14ac:dyDescent="0.25">
      <c r="A16008" t="str">
        <f>"1416224"</f>
        <v>1416224</v>
      </c>
      <c r="B16008" t="s">
        <v>4013</v>
      </c>
      <c r="C16008" t="s">
        <v>2479</v>
      </c>
      <c r="D16008" s="21" t="s">
        <v>34</v>
      </c>
      <c r="E16008" s="21" t="s">
        <v>71</v>
      </c>
      <c r="F16008">
        <v>9140227</v>
      </c>
      <c r="G16008" t="s">
        <v>5130</v>
      </c>
      <c r="H16008" s="21">
        <v>831.92</v>
      </c>
    </row>
    <row r="16009" spans="1:8" customFormat="1" x14ac:dyDescent="0.25">
      <c r="A16009" t="str">
        <f>"4448593"</f>
        <v>4448593</v>
      </c>
      <c r="B16009" t="s">
        <v>10017</v>
      </c>
      <c r="C16009" t="s">
        <v>169</v>
      </c>
      <c r="D16009" s="21" t="s">
        <v>34</v>
      </c>
      <c r="E16009" s="21" t="s">
        <v>71</v>
      </c>
      <c r="F16009">
        <v>12440136</v>
      </c>
      <c r="G16009" t="s">
        <v>3271</v>
      </c>
      <c r="H16009" s="21">
        <v>831.92</v>
      </c>
    </row>
    <row r="16010" spans="1:8" customFormat="1" x14ac:dyDescent="0.25">
      <c r="A16010" t="str">
        <f>"2218858"</f>
        <v>2218858</v>
      </c>
      <c r="B16010" t="s">
        <v>2658</v>
      </c>
      <c r="C16010" t="s">
        <v>60</v>
      </c>
      <c r="D16010" s="21" t="s">
        <v>34</v>
      </c>
      <c r="E16010" s="21" t="s">
        <v>35</v>
      </c>
      <c r="F16010">
        <v>3220064</v>
      </c>
      <c r="G16010" t="s">
        <v>26559</v>
      </c>
      <c r="H16010" s="21">
        <v>831.92</v>
      </c>
    </row>
    <row r="16011" spans="1:8" customFormat="1" x14ac:dyDescent="0.25">
      <c r="A16011" t="str">
        <f>"027266"</f>
        <v>027266</v>
      </c>
      <c r="B16011" t="s">
        <v>12646</v>
      </c>
      <c r="C16011" t="s">
        <v>598</v>
      </c>
      <c r="D16011" s="21" t="s">
        <v>34</v>
      </c>
      <c r="E16011" s="21" t="s">
        <v>71</v>
      </c>
      <c r="F16011">
        <v>4450576</v>
      </c>
      <c r="G16011" t="s">
        <v>26857</v>
      </c>
      <c r="H16011" s="21">
        <v>831.92</v>
      </c>
    </row>
    <row r="16012" spans="1:8" customFormat="1" x14ac:dyDescent="0.25">
      <c r="A16012" t="str">
        <f>"9137254"</f>
        <v>9137254</v>
      </c>
      <c r="B16012" t="s">
        <v>15612</v>
      </c>
      <c r="C16012" t="s">
        <v>428</v>
      </c>
      <c r="D16012" s="21" t="s">
        <v>34</v>
      </c>
      <c r="E16012" s="21" t="s">
        <v>35</v>
      </c>
      <c r="F16012">
        <v>8911285</v>
      </c>
      <c r="G16012" t="s">
        <v>2396</v>
      </c>
      <c r="H16012" s="21">
        <v>831.79</v>
      </c>
    </row>
    <row r="16013" spans="1:8" customFormat="1" x14ac:dyDescent="0.25">
      <c r="A16013" t="str">
        <f>"7638040"</f>
        <v>7638040</v>
      </c>
      <c r="B16013" t="s">
        <v>14872</v>
      </c>
      <c r="C16013" t="s">
        <v>151</v>
      </c>
      <c r="D16013" s="21" t="s">
        <v>34</v>
      </c>
      <c r="E16013" s="21" t="s">
        <v>35</v>
      </c>
      <c r="F16013">
        <v>9760168</v>
      </c>
      <c r="G16013" t="s">
        <v>179</v>
      </c>
      <c r="H16013" s="21">
        <v>831.67</v>
      </c>
    </row>
    <row r="16014" spans="1:8" customFormat="1" x14ac:dyDescent="0.25">
      <c r="A16014" t="str">
        <f>"652412"</f>
        <v>652412</v>
      </c>
      <c r="B16014" t="s">
        <v>771</v>
      </c>
      <c r="C16014" t="s">
        <v>269</v>
      </c>
      <c r="D16014" s="21" t="s">
        <v>34</v>
      </c>
      <c r="E16014" s="21" t="s">
        <v>71</v>
      </c>
      <c r="F16014">
        <v>11650034</v>
      </c>
      <c r="G16014" t="s">
        <v>1989</v>
      </c>
      <c r="H16014" s="21">
        <v>831.67</v>
      </c>
    </row>
    <row r="16015" spans="1:8" customFormat="1" x14ac:dyDescent="0.25">
      <c r="A16015" t="str">
        <f>"761123"</f>
        <v>761123</v>
      </c>
      <c r="B16015" t="s">
        <v>4557</v>
      </c>
      <c r="C16015" t="s">
        <v>415</v>
      </c>
      <c r="D16015" s="21" t="s">
        <v>34</v>
      </c>
      <c r="E16015" s="21" t="s">
        <v>254</v>
      </c>
      <c r="F16015">
        <v>9760297</v>
      </c>
      <c r="G16015" t="s">
        <v>27086</v>
      </c>
      <c r="H16015" s="21">
        <v>831.67</v>
      </c>
    </row>
    <row r="16016" spans="1:8" customFormat="1" x14ac:dyDescent="0.25">
      <c r="A16016" t="str">
        <f>"63445"</f>
        <v>63445</v>
      </c>
      <c r="B16016" t="s">
        <v>13430</v>
      </c>
      <c r="C16016" t="s">
        <v>1887</v>
      </c>
      <c r="D16016" s="21" t="s">
        <v>34</v>
      </c>
      <c r="E16016" s="21" t="s">
        <v>254</v>
      </c>
      <c r="F16016">
        <v>1630261</v>
      </c>
      <c r="G16016" t="s">
        <v>1382</v>
      </c>
      <c r="H16016" s="21">
        <v>831.67</v>
      </c>
    </row>
    <row r="16017" spans="1:8" customFormat="1" x14ac:dyDescent="0.25">
      <c r="A16017" t="str">
        <f>"897596"</f>
        <v>897596</v>
      </c>
      <c r="B16017" t="s">
        <v>15058</v>
      </c>
      <c r="C16017" t="s">
        <v>65</v>
      </c>
      <c r="D16017" s="21" t="s">
        <v>34</v>
      </c>
      <c r="E16017" s="21" t="s">
        <v>35</v>
      </c>
      <c r="F16017">
        <v>2890010</v>
      </c>
      <c r="G16017" t="s">
        <v>3790</v>
      </c>
      <c r="H16017" s="21">
        <v>831.67</v>
      </c>
    </row>
    <row r="16018" spans="1:8" customFormat="1" x14ac:dyDescent="0.25">
      <c r="A16018" t="str">
        <f>"9220461"</f>
        <v>9220461</v>
      </c>
      <c r="B16018" t="s">
        <v>2954</v>
      </c>
      <c r="C16018" t="s">
        <v>204</v>
      </c>
      <c r="D16018" s="21" t="s">
        <v>34</v>
      </c>
      <c r="E16018" s="21" t="s">
        <v>35</v>
      </c>
      <c r="F16018">
        <v>8921190</v>
      </c>
      <c r="G16018" t="s">
        <v>810</v>
      </c>
      <c r="H16018" s="21">
        <v>831.67</v>
      </c>
    </row>
    <row r="16019" spans="1:8" customFormat="1" x14ac:dyDescent="0.25">
      <c r="A16019" t="str">
        <f>"621379"</f>
        <v>621379</v>
      </c>
      <c r="B16019" t="s">
        <v>13242</v>
      </c>
      <c r="C16019" t="s">
        <v>598</v>
      </c>
      <c r="D16019" s="21" t="s">
        <v>34</v>
      </c>
      <c r="E16019" s="21" t="s">
        <v>1089</v>
      </c>
      <c r="F16019">
        <v>7620111</v>
      </c>
      <c r="G16019" t="s">
        <v>1372</v>
      </c>
      <c r="H16019" s="21">
        <v>831.67</v>
      </c>
    </row>
    <row r="16020" spans="1:8" customFormat="1" x14ac:dyDescent="0.25">
      <c r="A16020" t="str">
        <f>"6228763"</f>
        <v>6228763</v>
      </c>
      <c r="B16020" t="s">
        <v>889</v>
      </c>
      <c r="C16020" t="s">
        <v>151</v>
      </c>
      <c r="D16020" s="21" t="s">
        <v>34</v>
      </c>
      <c r="E16020" s="21" t="s">
        <v>35</v>
      </c>
      <c r="F16020">
        <v>7620178</v>
      </c>
      <c r="G16020" t="s">
        <v>11090</v>
      </c>
      <c r="H16020" s="21">
        <v>831.67</v>
      </c>
    </row>
    <row r="16021" spans="1:8" customFormat="1" x14ac:dyDescent="0.25">
      <c r="A16021" t="str">
        <f>"5016283"</f>
        <v>5016283</v>
      </c>
      <c r="B16021" t="s">
        <v>1076</v>
      </c>
      <c r="C16021" t="s">
        <v>43</v>
      </c>
      <c r="D16021" s="21" t="s">
        <v>34</v>
      </c>
      <c r="E16021" s="21" t="s">
        <v>35</v>
      </c>
      <c r="F16021">
        <v>9500111</v>
      </c>
      <c r="G16021" t="s">
        <v>6591</v>
      </c>
      <c r="H16021" s="21">
        <v>831.67</v>
      </c>
    </row>
    <row r="16022" spans="1:8" customFormat="1" x14ac:dyDescent="0.25">
      <c r="A16022" t="str">
        <f>"2712444"</f>
        <v>2712444</v>
      </c>
      <c r="B16022" t="s">
        <v>2398</v>
      </c>
      <c r="C16022" t="s">
        <v>249</v>
      </c>
      <c r="D16022" s="21" t="s">
        <v>34</v>
      </c>
      <c r="E16022" s="21" t="s">
        <v>71</v>
      </c>
      <c r="F16022">
        <v>9270159</v>
      </c>
      <c r="G16022" t="s">
        <v>5425</v>
      </c>
      <c r="H16022" s="21">
        <v>831.67</v>
      </c>
    </row>
    <row r="16023" spans="1:8" customFormat="1" x14ac:dyDescent="0.25">
      <c r="A16023" t="str">
        <f>"3715927"</f>
        <v>3715927</v>
      </c>
      <c r="B16023" t="s">
        <v>13132</v>
      </c>
      <c r="C16023" t="s">
        <v>249</v>
      </c>
      <c r="D16023" s="21" t="s">
        <v>34</v>
      </c>
      <c r="E16023" s="21" t="s">
        <v>71</v>
      </c>
      <c r="F16023">
        <v>4370682</v>
      </c>
      <c r="G16023" t="s">
        <v>10454</v>
      </c>
      <c r="H16023" s="21">
        <v>831.67</v>
      </c>
    </row>
    <row r="16024" spans="1:8" customFormat="1" x14ac:dyDescent="0.25">
      <c r="A16024" t="str">
        <f>"101262"</f>
        <v>101262</v>
      </c>
      <c r="B16024" t="s">
        <v>1531</v>
      </c>
      <c r="C16024" t="s">
        <v>1142</v>
      </c>
      <c r="D16024" s="21" t="s">
        <v>34</v>
      </c>
      <c r="E16024" s="21" t="s">
        <v>1089</v>
      </c>
      <c r="F16024">
        <v>6100005</v>
      </c>
      <c r="G16024" t="s">
        <v>855</v>
      </c>
      <c r="H16024" s="21">
        <v>831.67</v>
      </c>
    </row>
    <row r="16025" spans="1:8" customFormat="1" x14ac:dyDescent="0.25">
      <c r="A16025" t="str">
        <f>"5718112"</f>
        <v>5718112</v>
      </c>
      <c r="B16025" t="s">
        <v>14996</v>
      </c>
      <c r="C16025" t="s">
        <v>169</v>
      </c>
      <c r="D16025" s="21" t="s">
        <v>34</v>
      </c>
      <c r="E16025" s="21" t="s">
        <v>71</v>
      </c>
      <c r="F16025">
        <v>6570174</v>
      </c>
      <c r="G16025" t="s">
        <v>12454</v>
      </c>
      <c r="H16025" s="21">
        <v>831.67</v>
      </c>
    </row>
    <row r="16026" spans="1:8" customFormat="1" x14ac:dyDescent="0.25">
      <c r="A16026" t="str">
        <f>"4920786"</f>
        <v>4920786</v>
      </c>
      <c r="B16026" t="s">
        <v>582</v>
      </c>
      <c r="C16026" t="s">
        <v>926</v>
      </c>
      <c r="D16026" s="21" t="s">
        <v>34</v>
      </c>
      <c r="E16026" s="21" t="s">
        <v>35</v>
      </c>
      <c r="F16026">
        <v>12490018</v>
      </c>
      <c r="G16026" t="s">
        <v>2269</v>
      </c>
      <c r="H16026" s="21">
        <v>831.67</v>
      </c>
    </row>
    <row r="16027" spans="1:8" customFormat="1" x14ac:dyDescent="0.25">
      <c r="A16027" t="str">
        <f>"2617441"</f>
        <v>2617441</v>
      </c>
      <c r="B16027" t="s">
        <v>16695</v>
      </c>
      <c r="C16027" t="s">
        <v>631</v>
      </c>
      <c r="D16027" s="21" t="s">
        <v>34</v>
      </c>
      <c r="E16027" s="21" t="s">
        <v>35</v>
      </c>
      <c r="F16027">
        <v>1260010</v>
      </c>
      <c r="G16027" t="s">
        <v>3944</v>
      </c>
      <c r="H16027" s="21">
        <v>831.67</v>
      </c>
    </row>
    <row r="16028" spans="1:8" customFormat="1" x14ac:dyDescent="0.25">
      <c r="A16028" t="str">
        <f>"3329808"</f>
        <v>3329808</v>
      </c>
      <c r="B16028" t="s">
        <v>14902</v>
      </c>
      <c r="C16028" t="s">
        <v>867</v>
      </c>
      <c r="D16028" s="21" t="s">
        <v>34</v>
      </c>
      <c r="E16028" s="21" t="s">
        <v>35</v>
      </c>
      <c r="F16028">
        <v>10330076</v>
      </c>
      <c r="G16028" t="s">
        <v>3769</v>
      </c>
      <c r="H16028" s="21">
        <v>831.67</v>
      </c>
    </row>
    <row r="16029" spans="1:8" customFormat="1" x14ac:dyDescent="0.25">
      <c r="A16029" t="str">
        <f>"805865"</f>
        <v>805865</v>
      </c>
      <c r="B16029" t="s">
        <v>15413</v>
      </c>
      <c r="C16029" t="s">
        <v>263</v>
      </c>
      <c r="D16029" s="21" t="s">
        <v>34</v>
      </c>
      <c r="E16029" s="21" t="s">
        <v>71</v>
      </c>
      <c r="F16029">
        <v>7800030</v>
      </c>
      <c r="G16029" t="s">
        <v>13589</v>
      </c>
      <c r="H16029" s="21">
        <v>831.67</v>
      </c>
    </row>
    <row r="16030" spans="1:8" customFormat="1" x14ac:dyDescent="0.25">
      <c r="A16030" t="str">
        <f>"706337"</f>
        <v>706337</v>
      </c>
      <c r="B16030" t="s">
        <v>15381</v>
      </c>
      <c r="C16030" t="s">
        <v>263</v>
      </c>
      <c r="D16030" s="21" t="s">
        <v>34</v>
      </c>
      <c r="E16030" s="21" t="s">
        <v>71</v>
      </c>
      <c r="F16030">
        <v>2700030</v>
      </c>
      <c r="G16030" t="s">
        <v>9981</v>
      </c>
      <c r="H16030" s="21">
        <v>831.67</v>
      </c>
    </row>
    <row r="16031" spans="1:8" customFormat="1" x14ac:dyDescent="0.25">
      <c r="A16031" t="str">
        <f>"635254"</f>
        <v>635254</v>
      </c>
      <c r="B16031" t="s">
        <v>1349</v>
      </c>
      <c r="C16031" t="s">
        <v>415</v>
      </c>
      <c r="D16031" s="21" t="s">
        <v>34</v>
      </c>
      <c r="E16031" s="21" t="s">
        <v>71</v>
      </c>
      <c r="F16031">
        <v>1630145</v>
      </c>
      <c r="G16031" t="s">
        <v>13804</v>
      </c>
      <c r="H16031" s="21">
        <v>831.67</v>
      </c>
    </row>
    <row r="16032" spans="1:8" customFormat="1" x14ac:dyDescent="0.25">
      <c r="A16032" t="str">
        <f>"387999"</f>
        <v>387999</v>
      </c>
      <c r="B16032" t="s">
        <v>5011</v>
      </c>
      <c r="C16032" t="s">
        <v>528</v>
      </c>
      <c r="D16032" s="21" t="s">
        <v>34</v>
      </c>
      <c r="E16032" s="21" t="s">
        <v>1089</v>
      </c>
      <c r="F16032">
        <v>1380130</v>
      </c>
      <c r="G16032" t="s">
        <v>6667</v>
      </c>
      <c r="H16032" s="21">
        <v>831.42</v>
      </c>
    </row>
    <row r="16033" spans="1:8" customFormat="1" x14ac:dyDescent="0.25">
      <c r="A16033" t="str">
        <f>"3533418"</f>
        <v>3533418</v>
      </c>
      <c r="B16033" t="s">
        <v>8432</v>
      </c>
      <c r="C16033" t="s">
        <v>249</v>
      </c>
      <c r="D16033" s="21" t="s">
        <v>34</v>
      </c>
      <c r="E16033" s="21" t="s">
        <v>71</v>
      </c>
      <c r="F16033">
        <v>3350125</v>
      </c>
      <c r="G16033" t="s">
        <v>16195</v>
      </c>
      <c r="H16033" s="21">
        <v>831.42</v>
      </c>
    </row>
    <row r="16034" spans="1:8" customFormat="1" x14ac:dyDescent="0.25">
      <c r="A16034" t="str">
        <f>"114447"</f>
        <v>114447</v>
      </c>
      <c r="B16034" t="s">
        <v>67</v>
      </c>
      <c r="C16034" t="s">
        <v>2520</v>
      </c>
      <c r="D16034" s="21" t="s">
        <v>34</v>
      </c>
      <c r="E16034" s="21" t="s">
        <v>71</v>
      </c>
      <c r="F16034">
        <v>11110013</v>
      </c>
      <c r="G16034" t="s">
        <v>640</v>
      </c>
      <c r="H16034" s="21">
        <v>831.29</v>
      </c>
    </row>
    <row r="16035" spans="1:8" customFormat="1" x14ac:dyDescent="0.25">
      <c r="A16035" t="str">
        <f>"027394"</f>
        <v>027394</v>
      </c>
      <c r="B16035" t="s">
        <v>14320</v>
      </c>
      <c r="C16035" t="s">
        <v>415</v>
      </c>
      <c r="D16035" s="21" t="s">
        <v>34</v>
      </c>
      <c r="E16035" s="21" t="s">
        <v>35</v>
      </c>
      <c r="F16035">
        <v>7020001</v>
      </c>
      <c r="G16035" t="s">
        <v>3854</v>
      </c>
      <c r="H16035" s="21">
        <v>831.17</v>
      </c>
    </row>
    <row r="16036" spans="1:8" customFormat="1" x14ac:dyDescent="0.25">
      <c r="A16036" t="str">
        <f>"7619796"</f>
        <v>7619796</v>
      </c>
      <c r="B16036" t="s">
        <v>15431</v>
      </c>
      <c r="C16036" t="s">
        <v>462</v>
      </c>
      <c r="D16036" s="21" t="s">
        <v>34</v>
      </c>
      <c r="E16036" s="21" t="s">
        <v>71</v>
      </c>
      <c r="F16036">
        <v>9760107</v>
      </c>
      <c r="G16036" t="s">
        <v>122</v>
      </c>
      <c r="H16036" s="21">
        <v>831.17</v>
      </c>
    </row>
    <row r="16037" spans="1:8" customFormat="1" x14ac:dyDescent="0.25">
      <c r="A16037" t="str">
        <f>"354059"</f>
        <v>354059</v>
      </c>
      <c r="B16037" t="s">
        <v>13225</v>
      </c>
      <c r="C16037" t="s">
        <v>2520</v>
      </c>
      <c r="D16037" s="21" t="s">
        <v>34</v>
      </c>
      <c r="E16037" s="21" t="s">
        <v>254</v>
      </c>
      <c r="F16037">
        <v>3350022</v>
      </c>
      <c r="G16037" t="s">
        <v>1287</v>
      </c>
      <c r="H16037" s="21">
        <v>831.17</v>
      </c>
    </row>
    <row r="16038" spans="1:8" customFormat="1" x14ac:dyDescent="0.25">
      <c r="A16038" t="str">
        <f>"3422299"</f>
        <v>3422299</v>
      </c>
      <c r="B16038" t="s">
        <v>431</v>
      </c>
      <c r="C16038" t="s">
        <v>209</v>
      </c>
      <c r="D16038" s="21" t="s">
        <v>34</v>
      </c>
      <c r="E16038" s="21" t="s">
        <v>71</v>
      </c>
      <c r="F16038">
        <v>11340053</v>
      </c>
      <c r="G16038" t="s">
        <v>9935</v>
      </c>
      <c r="H16038" s="21">
        <v>831.17</v>
      </c>
    </row>
    <row r="16039" spans="1:8" customFormat="1" x14ac:dyDescent="0.25">
      <c r="A16039" t="str">
        <f>"417315"</f>
        <v>417315</v>
      </c>
      <c r="B16039" t="s">
        <v>13741</v>
      </c>
      <c r="C16039" t="s">
        <v>1050</v>
      </c>
      <c r="D16039" s="21" t="s">
        <v>34</v>
      </c>
      <c r="E16039" s="21" t="s">
        <v>35</v>
      </c>
      <c r="F16039">
        <v>4410567</v>
      </c>
      <c r="G16039" t="s">
        <v>13742</v>
      </c>
      <c r="H16039" s="21">
        <v>831.17</v>
      </c>
    </row>
    <row r="16040" spans="1:8" customFormat="1" x14ac:dyDescent="0.25">
      <c r="A16040" t="str">
        <f>"9434712"</f>
        <v>9434712</v>
      </c>
      <c r="B16040" t="s">
        <v>15131</v>
      </c>
      <c r="C16040" t="s">
        <v>1714</v>
      </c>
      <c r="D16040" s="21" t="s">
        <v>34</v>
      </c>
      <c r="E16040" s="21" t="s">
        <v>35</v>
      </c>
      <c r="F16040">
        <v>8940942</v>
      </c>
      <c r="G16040" t="s">
        <v>8505</v>
      </c>
      <c r="H16040" s="21">
        <v>831.17</v>
      </c>
    </row>
    <row r="16041" spans="1:8" customFormat="1" x14ac:dyDescent="0.25">
      <c r="A16041" t="str">
        <f>"579024"</f>
        <v>579024</v>
      </c>
      <c r="B16041" t="s">
        <v>4214</v>
      </c>
      <c r="C16041" t="s">
        <v>263</v>
      </c>
      <c r="D16041" s="21" t="s">
        <v>34</v>
      </c>
      <c r="E16041" s="21" t="s">
        <v>35</v>
      </c>
      <c r="F16041">
        <v>6570158</v>
      </c>
      <c r="G16041" t="s">
        <v>2391</v>
      </c>
      <c r="H16041" s="21">
        <v>831.17</v>
      </c>
    </row>
    <row r="16042" spans="1:8" customFormat="1" x14ac:dyDescent="0.25">
      <c r="A16042" t="str">
        <f>"9522729"</f>
        <v>9522729</v>
      </c>
      <c r="B16042" t="s">
        <v>1463</v>
      </c>
      <c r="C16042" t="s">
        <v>1025</v>
      </c>
      <c r="D16042" s="21" t="s">
        <v>34</v>
      </c>
      <c r="E16042" s="21" t="s">
        <v>71</v>
      </c>
      <c r="F16042">
        <v>8950623</v>
      </c>
      <c r="G16042" t="s">
        <v>684</v>
      </c>
      <c r="H16042" s="21">
        <v>831.17</v>
      </c>
    </row>
    <row r="16043" spans="1:8" customFormat="1" x14ac:dyDescent="0.25">
      <c r="A16043" t="str">
        <f>"5937346"</f>
        <v>5937346</v>
      </c>
      <c r="B16043" t="s">
        <v>12971</v>
      </c>
      <c r="C16043" t="s">
        <v>528</v>
      </c>
      <c r="D16043" s="21" t="s">
        <v>34</v>
      </c>
      <c r="E16043" s="21" t="s">
        <v>254</v>
      </c>
      <c r="F16043">
        <v>7590009</v>
      </c>
      <c r="G16043" t="s">
        <v>535</v>
      </c>
      <c r="H16043" s="21">
        <v>831.17</v>
      </c>
    </row>
    <row r="16044" spans="1:8" customFormat="1" x14ac:dyDescent="0.25">
      <c r="A16044" t="str">
        <f>"494056"</f>
        <v>494056</v>
      </c>
      <c r="B16044" t="s">
        <v>1071</v>
      </c>
      <c r="C16044" t="s">
        <v>13372</v>
      </c>
      <c r="D16044" s="21" t="s">
        <v>34</v>
      </c>
      <c r="E16044" s="21" t="s">
        <v>254</v>
      </c>
      <c r="F16044">
        <v>12490060</v>
      </c>
      <c r="G16044" t="s">
        <v>5047</v>
      </c>
      <c r="H16044" s="21">
        <v>831.17</v>
      </c>
    </row>
    <row r="16045" spans="1:8" customFormat="1" x14ac:dyDescent="0.25">
      <c r="A16045" t="str">
        <f>"362363"</f>
        <v>362363</v>
      </c>
      <c r="B16045" t="s">
        <v>13103</v>
      </c>
      <c r="C16045" t="s">
        <v>239</v>
      </c>
      <c r="D16045" s="21" t="s">
        <v>34</v>
      </c>
      <c r="E16045" s="21" t="s">
        <v>71</v>
      </c>
      <c r="F16045">
        <v>4360653</v>
      </c>
      <c r="G16045" t="s">
        <v>7955</v>
      </c>
      <c r="H16045" s="21">
        <v>831.17</v>
      </c>
    </row>
    <row r="16046" spans="1:8" customFormat="1" x14ac:dyDescent="0.25">
      <c r="A16046" t="str">
        <f>"0111325"</f>
        <v>0111325</v>
      </c>
      <c r="B16046" t="s">
        <v>14760</v>
      </c>
      <c r="C16046" t="s">
        <v>249</v>
      </c>
      <c r="D16046" s="21" t="s">
        <v>34</v>
      </c>
      <c r="E16046" s="21" t="s">
        <v>71</v>
      </c>
      <c r="F16046">
        <v>1730089</v>
      </c>
      <c r="G16046" t="s">
        <v>5395</v>
      </c>
      <c r="H16046" s="21">
        <v>830.92</v>
      </c>
    </row>
    <row r="16047" spans="1:8" customFormat="1" x14ac:dyDescent="0.25">
      <c r="A16047" t="str">
        <f>"5713564"</f>
        <v>5713564</v>
      </c>
      <c r="B16047" t="s">
        <v>14311</v>
      </c>
      <c r="C16047" t="s">
        <v>121</v>
      </c>
      <c r="D16047" s="21" t="s">
        <v>34</v>
      </c>
      <c r="E16047" s="21" t="s">
        <v>71</v>
      </c>
      <c r="F16047">
        <v>6570173</v>
      </c>
      <c r="G16047" t="s">
        <v>9959</v>
      </c>
      <c r="H16047" s="21">
        <v>830.92</v>
      </c>
    </row>
    <row r="16048" spans="1:8" customFormat="1" x14ac:dyDescent="0.25">
      <c r="A16048" t="str">
        <f>"4425969"</f>
        <v>4425969</v>
      </c>
      <c r="B16048" t="s">
        <v>8759</v>
      </c>
      <c r="C16048" t="s">
        <v>253</v>
      </c>
      <c r="D16048" s="21" t="s">
        <v>34</v>
      </c>
      <c r="E16048" s="21" t="s">
        <v>71</v>
      </c>
      <c r="F16048">
        <v>12440023</v>
      </c>
      <c r="G16048" t="s">
        <v>3507</v>
      </c>
      <c r="H16048" s="21">
        <v>830.92</v>
      </c>
    </row>
    <row r="16049" spans="1:8" customFormat="1" x14ac:dyDescent="0.25">
      <c r="A16049" t="str">
        <f>"5615596"</f>
        <v>5615596</v>
      </c>
      <c r="B16049" t="s">
        <v>15444</v>
      </c>
      <c r="C16049" t="s">
        <v>1025</v>
      </c>
      <c r="D16049" s="21" t="s">
        <v>34</v>
      </c>
      <c r="E16049" s="21" t="s">
        <v>35</v>
      </c>
      <c r="F16049">
        <v>3560091</v>
      </c>
      <c r="G16049" t="s">
        <v>27212</v>
      </c>
      <c r="H16049" s="21">
        <v>830.92</v>
      </c>
    </row>
    <row r="16050" spans="1:8" customFormat="1" x14ac:dyDescent="0.25">
      <c r="A16050" t="str">
        <f>"5316371"</f>
        <v>5316371</v>
      </c>
      <c r="B16050" t="s">
        <v>15013</v>
      </c>
      <c r="C16050" t="s">
        <v>772</v>
      </c>
      <c r="D16050" s="21" t="s">
        <v>34</v>
      </c>
      <c r="E16050" s="21" t="s">
        <v>6185</v>
      </c>
      <c r="F16050">
        <v>12530090</v>
      </c>
      <c r="G16050" t="s">
        <v>6132</v>
      </c>
      <c r="H16050" s="21">
        <v>830.67</v>
      </c>
    </row>
    <row r="16051" spans="1:8" customFormat="1" x14ac:dyDescent="0.25">
      <c r="A16051" t="str">
        <f>"275278"</f>
        <v>275278</v>
      </c>
      <c r="B16051" t="s">
        <v>1886</v>
      </c>
      <c r="C16051" t="s">
        <v>2529</v>
      </c>
      <c r="D16051" s="21" t="s">
        <v>34</v>
      </c>
      <c r="E16051" s="21" t="s">
        <v>71</v>
      </c>
      <c r="F16051">
        <v>9270175</v>
      </c>
      <c r="G16051" t="s">
        <v>1909</v>
      </c>
      <c r="H16051" s="21">
        <v>830.67</v>
      </c>
    </row>
    <row r="16052" spans="1:8" customFormat="1" x14ac:dyDescent="0.25">
      <c r="A16052" t="str">
        <f>"833587"</f>
        <v>833587</v>
      </c>
      <c r="B16052" t="s">
        <v>14031</v>
      </c>
      <c r="C16052" t="s">
        <v>453</v>
      </c>
      <c r="D16052" s="21" t="s">
        <v>34</v>
      </c>
      <c r="E16052" s="21" t="s">
        <v>254</v>
      </c>
      <c r="F16052">
        <v>13830068</v>
      </c>
      <c r="G16052" t="s">
        <v>6181</v>
      </c>
      <c r="H16052" s="21">
        <v>830.67</v>
      </c>
    </row>
    <row r="16053" spans="1:8" customFormat="1" x14ac:dyDescent="0.25">
      <c r="A16053" t="str">
        <f>"443120"</f>
        <v>443120</v>
      </c>
      <c r="B16053" t="s">
        <v>890</v>
      </c>
      <c r="C16053" t="s">
        <v>12109</v>
      </c>
      <c r="D16053" s="21" t="s">
        <v>34</v>
      </c>
      <c r="E16053" s="21" t="s">
        <v>254</v>
      </c>
      <c r="F16053">
        <v>12850008</v>
      </c>
      <c r="G16053" t="s">
        <v>4248</v>
      </c>
      <c r="H16053" s="21">
        <v>830.67</v>
      </c>
    </row>
    <row r="16054" spans="1:8" customFormat="1" x14ac:dyDescent="0.25">
      <c r="A16054" t="str">
        <f>"50814"</f>
        <v>50814</v>
      </c>
      <c r="B16054" t="s">
        <v>14475</v>
      </c>
      <c r="C16054" t="s">
        <v>147</v>
      </c>
      <c r="D16054" s="21" t="s">
        <v>34</v>
      </c>
      <c r="E16054" s="21" t="s">
        <v>35</v>
      </c>
      <c r="F16054">
        <v>9500131</v>
      </c>
      <c r="G16054" t="s">
        <v>1073</v>
      </c>
      <c r="H16054" s="21">
        <v>830.67</v>
      </c>
    </row>
    <row r="16055" spans="1:8" customFormat="1" x14ac:dyDescent="0.25">
      <c r="A16055" t="str">
        <f>"6020359"</f>
        <v>6020359</v>
      </c>
      <c r="B16055" t="s">
        <v>14912</v>
      </c>
      <c r="C16055" t="s">
        <v>40</v>
      </c>
      <c r="D16055" s="21" t="s">
        <v>34</v>
      </c>
      <c r="E16055" s="21" t="s">
        <v>1089</v>
      </c>
      <c r="F16055">
        <v>7600018</v>
      </c>
      <c r="G16055" t="s">
        <v>5838</v>
      </c>
      <c r="H16055" s="21">
        <v>830.67</v>
      </c>
    </row>
    <row r="16056" spans="1:8" customFormat="1" x14ac:dyDescent="0.25">
      <c r="A16056" t="str">
        <f>"636996"</f>
        <v>636996</v>
      </c>
      <c r="B16056" t="s">
        <v>10254</v>
      </c>
      <c r="C16056" t="s">
        <v>7905</v>
      </c>
      <c r="D16056" s="21" t="s">
        <v>34</v>
      </c>
      <c r="E16056" s="21" t="s">
        <v>35</v>
      </c>
      <c r="F16056">
        <v>1630249</v>
      </c>
      <c r="G16056" t="s">
        <v>1237</v>
      </c>
      <c r="H16056" s="21">
        <v>830.67</v>
      </c>
    </row>
    <row r="16057" spans="1:8" customFormat="1" x14ac:dyDescent="0.25">
      <c r="A16057" t="str">
        <f>"768992"</f>
        <v>768992</v>
      </c>
      <c r="B16057" t="s">
        <v>13293</v>
      </c>
      <c r="C16057" t="s">
        <v>263</v>
      </c>
      <c r="D16057" s="21" t="s">
        <v>34</v>
      </c>
      <c r="E16057" s="21" t="s">
        <v>71</v>
      </c>
      <c r="F16057">
        <v>9760041</v>
      </c>
      <c r="G16057" t="s">
        <v>452</v>
      </c>
      <c r="H16057" s="21">
        <v>830.67</v>
      </c>
    </row>
    <row r="16058" spans="1:8" customFormat="1" x14ac:dyDescent="0.25">
      <c r="A16058" t="str">
        <f>"6013743"</f>
        <v>6013743</v>
      </c>
      <c r="B16058" t="s">
        <v>5260</v>
      </c>
      <c r="C16058" t="s">
        <v>1110</v>
      </c>
      <c r="D16058" s="21" t="s">
        <v>34</v>
      </c>
      <c r="E16058" s="21" t="s">
        <v>254</v>
      </c>
      <c r="F16058">
        <v>7600016</v>
      </c>
      <c r="G16058" t="s">
        <v>6215</v>
      </c>
      <c r="H16058" s="21">
        <v>830.67</v>
      </c>
    </row>
    <row r="16059" spans="1:8" customFormat="1" x14ac:dyDescent="0.25">
      <c r="A16059" t="str">
        <f>"3512879"</f>
        <v>3512879</v>
      </c>
      <c r="B16059" t="s">
        <v>2203</v>
      </c>
      <c r="C16059" t="s">
        <v>428</v>
      </c>
      <c r="D16059" s="21" t="s">
        <v>34</v>
      </c>
      <c r="E16059" s="21" t="s">
        <v>71</v>
      </c>
      <c r="F16059">
        <v>6670272</v>
      </c>
      <c r="G16059" t="s">
        <v>26568</v>
      </c>
      <c r="H16059" s="21">
        <v>830.67</v>
      </c>
    </row>
    <row r="16060" spans="1:8" customFormat="1" x14ac:dyDescent="0.25">
      <c r="A16060" t="str">
        <f>"40842"</f>
        <v>40842</v>
      </c>
      <c r="B16060" t="s">
        <v>13788</v>
      </c>
      <c r="C16060" t="s">
        <v>65</v>
      </c>
      <c r="D16060" s="21" t="s">
        <v>34</v>
      </c>
      <c r="E16060" s="21" t="s">
        <v>71</v>
      </c>
      <c r="F16060">
        <v>10400016</v>
      </c>
      <c r="G16060" t="s">
        <v>9271</v>
      </c>
      <c r="H16060" s="21">
        <v>830.67</v>
      </c>
    </row>
    <row r="16061" spans="1:8" customFormat="1" x14ac:dyDescent="0.25">
      <c r="A16061" t="str">
        <f>"199891"</f>
        <v>199891</v>
      </c>
      <c r="B16061" t="s">
        <v>15127</v>
      </c>
      <c r="C16061" t="s">
        <v>60</v>
      </c>
      <c r="D16061" s="21" t="s">
        <v>34</v>
      </c>
      <c r="E16061" s="21" t="s">
        <v>35</v>
      </c>
      <c r="F16061">
        <v>10190146</v>
      </c>
      <c r="G16061" t="s">
        <v>6303</v>
      </c>
      <c r="H16061" s="21">
        <v>830.67</v>
      </c>
    </row>
    <row r="16062" spans="1:8" customFormat="1" x14ac:dyDescent="0.25">
      <c r="A16062" t="str">
        <f>"1714212"</f>
        <v>1714212</v>
      </c>
      <c r="B16062" t="s">
        <v>13776</v>
      </c>
      <c r="C16062" t="s">
        <v>3522</v>
      </c>
      <c r="D16062" s="21" t="s">
        <v>34</v>
      </c>
      <c r="E16062" s="21" t="s">
        <v>71</v>
      </c>
      <c r="F16062">
        <v>10170050</v>
      </c>
      <c r="G16062" t="s">
        <v>2514</v>
      </c>
      <c r="H16062" s="21">
        <v>830.67</v>
      </c>
    </row>
    <row r="16063" spans="1:8" customFormat="1" x14ac:dyDescent="0.25">
      <c r="A16063" t="str">
        <f>"894995"</f>
        <v>894995</v>
      </c>
      <c r="B16063" t="s">
        <v>14526</v>
      </c>
      <c r="C16063" t="s">
        <v>239</v>
      </c>
      <c r="D16063" s="21" t="s">
        <v>34</v>
      </c>
      <c r="E16063" s="21" t="s">
        <v>254</v>
      </c>
      <c r="F16063">
        <v>2890019</v>
      </c>
      <c r="G16063" t="s">
        <v>1857</v>
      </c>
      <c r="H16063" s="21">
        <v>830.67</v>
      </c>
    </row>
    <row r="16064" spans="1:8" customFormat="1" x14ac:dyDescent="0.25">
      <c r="A16064" t="str">
        <f>"9134544"</f>
        <v>9134544</v>
      </c>
      <c r="B16064" t="s">
        <v>12381</v>
      </c>
      <c r="C16064" t="s">
        <v>40</v>
      </c>
      <c r="D16064" s="21" t="s">
        <v>34</v>
      </c>
      <c r="E16064" s="21" t="s">
        <v>71</v>
      </c>
      <c r="F16064">
        <v>8910165</v>
      </c>
      <c r="G16064" t="s">
        <v>3184</v>
      </c>
      <c r="H16064" s="21">
        <v>830.29</v>
      </c>
    </row>
    <row r="16065" spans="1:8" customFormat="1" x14ac:dyDescent="0.25">
      <c r="A16065" t="str">
        <f>"3114054"</f>
        <v>3114054</v>
      </c>
      <c r="B16065" t="s">
        <v>12785</v>
      </c>
      <c r="C16065" t="s">
        <v>1146</v>
      </c>
      <c r="D16065" s="21" t="s">
        <v>34</v>
      </c>
      <c r="E16065" s="21" t="s">
        <v>71</v>
      </c>
      <c r="F16065">
        <v>11310047</v>
      </c>
      <c r="G16065" t="s">
        <v>2188</v>
      </c>
      <c r="H16065" s="21">
        <v>830.29</v>
      </c>
    </row>
    <row r="16066" spans="1:8" customFormat="1" x14ac:dyDescent="0.25">
      <c r="A16066" t="str">
        <f>"4521976"</f>
        <v>4521976</v>
      </c>
      <c r="B16066" t="s">
        <v>3191</v>
      </c>
      <c r="C16066" t="s">
        <v>269</v>
      </c>
      <c r="D16066" s="21" t="s">
        <v>34</v>
      </c>
      <c r="E16066" s="21" t="s">
        <v>71</v>
      </c>
      <c r="F16066">
        <v>4450750</v>
      </c>
      <c r="G16066" t="s">
        <v>6572</v>
      </c>
      <c r="H16066" s="21">
        <v>830.17</v>
      </c>
    </row>
    <row r="16067" spans="1:8" customFormat="1" x14ac:dyDescent="0.25">
      <c r="A16067" t="str">
        <f>"268487"</f>
        <v>268487</v>
      </c>
      <c r="B16067" t="s">
        <v>8828</v>
      </c>
      <c r="C16067" t="s">
        <v>320</v>
      </c>
      <c r="D16067" s="21" t="s">
        <v>34</v>
      </c>
      <c r="E16067" s="21" t="s">
        <v>35</v>
      </c>
      <c r="F16067">
        <v>1260006</v>
      </c>
      <c r="G16067" t="s">
        <v>790</v>
      </c>
      <c r="H16067" s="21">
        <v>830.17</v>
      </c>
    </row>
    <row r="16068" spans="1:8" customFormat="1" x14ac:dyDescent="0.25">
      <c r="A16068" t="str">
        <f>"9229960"</f>
        <v>9229960</v>
      </c>
      <c r="B16068" t="s">
        <v>556</v>
      </c>
      <c r="C16068" t="s">
        <v>209</v>
      </c>
      <c r="D16068" s="21" t="s">
        <v>34</v>
      </c>
      <c r="E16068" s="21" t="s">
        <v>35</v>
      </c>
      <c r="F16068">
        <v>13840006</v>
      </c>
      <c r="G16068" t="s">
        <v>10139</v>
      </c>
      <c r="H16068" s="21">
        <v>830.17</v>
      </c>
    </row>
    <row r="16069" spans="1:8" customFormat="1" x14ac:dyDescent="0.25">
      <c r="A16069" t="str">
        <f>"24162"</f>
        <v>24162</v>
      </c>
      <c r="B16069" t="s">
        <v>11840</v>
      </c>
      <c r="C16069" t="s">
        <v>498</v>
      </c>
      <c r="D16069" s="21" t="s">
        <v>34</v>
      </c>
      <c r="E16069" s="21" t="s">
        <v>6185</v>
      </c>
      <c r="F16069">
        <v>10240007</v>
      </c>
      <c r="G16069" t="s">
        <v>2326</v>
      </c>
      <c r="H16069" s="21">
        <v>830.17</v>
      </c>
    </row>
    <row r="16070" spans="1:8" customFormat="1" x14ac:dyDescent="0.25">
      <c r="A16070" t="str">
        <f>"5616615"</f>
        <v>5616615</v>
      </c>
      <c r="B16070" t="s">
        <v>27412</v>
      </c>
      <c r="C16070" t="s">
        <v>781</v>
      </c>
      <c r="D16070" s="21" t="s">
        <v>34</v>
      </c>
      <c r="E16070" s="21" t="s">
        <v>254</v>
      </c>
      <c r="F16070">
        <v>3560002</v>
      </c>
      <c r="G16070" t="s">
        <v>5437</v>
      </c>
      <c r="H16070" s="21">
        <v>830.17</v>
      </c>
    </row>
    <row r="16071" spans="1:8" customFormat="1" x14ac:dyDescent="0.25">
      <c r="A16071" t="str">
        <f>"7216128"</f>
        <v>7216128</v>
      </c>
      <c r="B16071" t="s">
        <v>14749</v>
      </c>
      <c r="C16071" t="s">
        <v>151</v>
      </c>
      <c r="D16071" s="21" t="s">
        <v>34</v>
      </c>
      <c r="E16071" s="21" t="s">
        <v>35</v>
      </c>
      <c r="F16071">
        <v>12720051</v>
      </c>
      <c r="G16071" t="s">
        <v>9476</v>
      </c>
      <c r="H16071" s="21">
        <v>830.17</v>
      </c>
    </row>
    <row r="16072" spans="1:8" customFormat="1" x14ac:dyDescent="0.25">
      <c r="A16072" t="str">
        <f>"7816045"</f>
        <v>7816045</v>
      </c>
      <c r="B16072" t="s">
        <v>12075</v>
      </c>
      <c r="C16072" t="s">
        <v>462</v>
      </c>
      <c r="D16072" s="21" t="s">
        <v>34</v>
      </c>
      <c r="E16072" s="21" t="s">
        <v>254</v>
      </c>
      <c r="F16072">
        <v>8780023</v>
      </c>
      <c r="G16072" t="s">
        <v>1496</v>
      </c>
      <c r="H16072" s="21">
        <v>830.17</v>
      </c>
    </row>
    <row r="16073" spans="1:8" customFormat="1" x14ac:dyDescent="0.25">
      <c r="A16073" t="str">
        <f>"873951"</f>
        <v>873951</v>
      </c>
      <c r="B16073" t="s">
        <v>13229</v>
      </c>
      <c r="C16073" t="s">
        <v>114</v>
      </c>
      <c r="D16073" s="21" t="s">
        <v>34</v>
      </c>
      <c r="E16073" s="21" t="s">
        <v>71</v>
      </c>
      <c r="F16073">
        <v>10870028</v>
      </c>
      <c r="G16073" t="s">
        <v>2689</v>
      </c>
      <c r="H16073" s="21">
        <v>830.17</v>
      </c>
    </row>
    <row r="16074" spans="1:8" customFormat="1" x14ac:dyDescent="0.25">
      <c r="A16074" t="str">
        <f>"5016564"</f>
        <v>5016564</v>
      </c>
      <c r="B16074" t="s">
        <v>3555</v>
      </c>
      <c r="C16074" t="s">
        <v>1559</v>
      </c>
      <c r="D16074" s="21" t="s">
        <v>34</v>
      </c>
      <c r="E16074" s="21" t="s">
        <v>35</v>
      </c>
      <c r="F16074">
        <v>9500093</v>
      </c>
      <c r="G16074" t="s">
        <v>1808</v>
      </c>
      <c r="H16074" s="21">
        <v>830.17</v>
      </c>
    </row>
    <row r="16075" spans="1:8" customFormat="1" x14ac:dyDescent="0.25">
      <c r="A16075" t="str">
        <f>"292246"</f>
        <v>292246</v>
      </c>
      <c r="B16075" t="s">
        <v>3986</v>
      </c>
      <c r="C16075" t="s">
        <v>2730</v>
      </c>
      <c r="D16075" s="21" t="s">
        <v>34</v>
      </c>
      <c r="E16075" s="21" t="s">
        <v>71</v>
      </c>
      <c r="F16075">
        <v>3220132</v>
      </c>
      <c r="G16075" t="s">
        <v>27242</v>
      </c>
      <c r="H16075" s="21">
        <v>830.17</v>
      </c>
    </row>
    <row r="16076" spans="1:8" customFormat="1" x14ac:dyDescent="0.25">
      <c r="A16076" t="str">
        <f>"7638896"</f>
        <v>7638896</v>
      </c>
      <c r="B16076" t="s">
        <v>13235</v>
      </c>
      <c r="C16076" t="s">
        <v>33</v>
      </c>
      <c r="D16076" s="21" t="s">
        <v>34</v>
      </c>
      <c r="E16076" s="21" t="s">
        <v>35</v>
      </c>
      <c r="F16076">
        <v>9760391</v>
      </c>
      <c r="G16076" t="s">
        <v>10757</v>
      </c>
      <c r="H16076" s="21">
        <v>830.17</v>
      </c>
    </row>
    <row r="16077" spans="1:8" customFormat="1" x14ac:dyDescent="0.25">
      <c r="A16077" t="str">
        <f>"4510140"</f>
        <v>4510140</v>
      </c>
      <c r="B16077" t="s">
        <v>13885</v>
      </c>
      <c r="C16077" t="s">
        <v>4623</v>
      </c>
      <c r="D16077" s="21" t="s">
        <v>34</v>
      </c>
      <c r="E16077" s="21" t="s">
        <v>71</v>
      </c>
      <c r="F16077">
        <v>4450753</v>
      </c>
      <c r="G16077" t="s">
        <v>8786</v>
      </c>
      <c r="H16077" s="21">
        <v>830.17</v>
      </c>
    </row>
    <row r="16078" spans="1:8" customFormat="1" x14ac:dyDescent="0.25">
      <c r="A16078" t="str">
        <f>"83241"</f>
        <v>83241</v>
      </c>
      <c r="B16078" t="s">
        <v>6588</v>
      </c>
      <c r="C16078" t="s">
        <v>415</v>
      </c>
      <c r="D16078" s="21" t="s">
        <v>34</v>
      </c>
      <c r="E16078" s="21" t="s">
        <v>254</v>
      </c>
      <c r="F16078">
        <v>13830013</v>
      </c>
      <c r="G16078" t="s">
        <v>3374</v>
      </c>
      <c r="H16078" s="21">
        <v>830.17</v>
      </c>
    </row>
    <row r="16079" spans="1:8" customFormat="1" x14ac:dyDescent="0.25">
      <c r="A16079" t="str">
        <f>"2216649"</f>
        <v>2216649</v>
      </c>
      <c r="B16079" t="s">
        <v>13775</v>
      </c>
      <c r="C16079" t="s">
        <v>379</v>
      </c>
      <c r="D16079" s="21" t="s">
        <v>34</v>
      </c>
      <c r="E16079" s="21" t="s">
        <v>71</v>
      </c>
      <c r="F16079">
        <v>3220011</v>
      </c>
      <c r="G16079" t="s">
        <v>27394</v>
      </c>
      <c r="H16079" s="21">
        <v>830.17</v>
      </c>
    </row>
    <row r="16080" spans="1:8" customFormat="1" x14ac:dyDescent="0.25">
      <c r="A16080" t="str">
        <f>"9765209"</f>
        <v>9765209</v>
      </c>
      <c r="B16080" t="s">
        <v>2686</v>
      </c>
      <c r="C16080" t="s">
        <v>1914</v>
      </c>
      <c r="D16080" s="21" t="s">
        <v>34</v>
      </c>
      <c r="E16080" s="21" t="s">
        <v>1089</v>
      </c>
      <c r="F16080">
        <v>12850023</v>
      </c>
      <c r="G16080" t="s">
        <v>3121</v>
      </c>
      <c r="H16080" s="21">
        <v>830.17</v>
      </c>
    </row>
    <row r="16081" spans="1:8" customFormat="1" x14ac:dyDescent="0.25">
      <c r="A16081" t="str">
        <f>"4431940"</f>
        <v>4431940</v>
      </c>
      <c r="B16081" t="s">
        <v>9200</v>
      </c>
      <c r="C16081" t="s">
        <v>127</v>
      </c>
      <c r="D16081" s="21" t="s">
        <v>34</v>
      </c>
      <c r="E16081" s="21" t="s">
        <v>35</v>
      </c>
      <c r="F16081">
        <v>12440048</v>
      </c>
      <c r="G16081" t="s">
        <v>2090</v>
      </c>
      <c r="H16081" s="21">
        <v>830.17</v>
      </c>
    </row>
    <row r="16082" spans="1:8" customFormat="1" x14ac:dyDescent="0.25">
      <c r="A16082" t="str">
        <f>"297953"</f>
        <v>297953</v>
      </c>
      <c r="B16082" t="s">
        <v>12773</v>
      </c>
      <c r="C16082" t="s">
        <v>187</v>
      </c>
      <c r="D16082" s="21" t="s">
        <v>34</v>
      </c>
      <c r="E16082" s="21" t="s">
        <v>35</v>
      </c>
      <c r="F16082">
        <v>3350113</v>
      </c>
      <c r="G16082" t="s">
        <v>7631</v>
      </c>
      <c r="H16082" s="21">
        <v>830.17</v>
      </c>
    </row>
    <row r="16083" spans="1:8" customFormat="1" x14ac:dyDescent="0.25">
      <c r="A16083" t="str">
        <f>"368206"</f>
        <v>368206</v>
      </c>
      <c r="B16083" t="s">
        <v>11721</v>
      </c>
      <c r="C16083" t="s">
        <v>1819</v>
      </c>
      <c r="D16083" s="21" t="s">
        <v>34</v>
      </c>
      <c r="E16083" s="21" t="s">
        <v>35</v>
      </c>
      <c r="F16083">
        <v>4360728</v>
      </c>
      <c r="G16083" t="s">
        <v>12735</v>
      </c>
      <c r="H16083" s="21">
        <v>830.17</v>
      </c>
    </row>
    <row r="16084" spans="1:8" customFormat="1" x14ac:dyDescent="0.25">
      <c r="A16084" t="str">
        <f>"5612206"</f>
        <v>5612206</v>
      </c>
      <c r="B16084" t="s">
        <v>15011</v>
      </c>
      <c r="C16084" t="s">
        <v>169</v>
      </c>
      <c r="D16084" s="21" t="s">
        <v>34</v>
      </c>
      <c r="E16084" s="21" t="s">
        <v>71</v>
      </c>
      <c r="F16084">
        <v>3560013</v>
      </c>
      <c r="G16084" t="s">
        <v>7924</v>
      </c>
      <c r="H16084" s="21">
        <v>830.17</v>
      </c>
    </row>
    <row r="16085" spans="1:8" customFormat="1" x14ac:dyDescent="0.25">
      <c r="A16085" t="str">
        <f>"801428"</f>
        <v>801428</v>
      </c>
      <c r="B16085" t="s">
        <v>14129</v>
      </c>
      <c r="C16085" t="s">
        <v>233</v>
      </c>
      <c r="D16085" s="21" t="s">
        <v>34</v>
      </c>
      <c r="E16085" s="21" t="s">
        <v>254</v>
      </c>
      <c r="F16085">
        <v>7800066</v>
      </c>
      <c r="G16085" t="s">
        <v>14130</v>
      </c>
      <c r="H16085" s="21">
        <v>830.17</v>
      </c>
    </row>
    <row r="16086" spans="1:8" customFormat="1" x14ac:dyDescent="0.25">
      <c r="A16086" t="str">
        <f>"8016661"</f>
        <v>8016661</v>
      </c>
      <c r="B16086" t="s">
        <v>14289</v>
      </c>
      <c r="C16086" t="s">
        <v>139</v>
      </c>
      <c r="D16086" s="21" t="s">
        <v>34</v>
      </c>
      <c r="E16086" s="21" t="s">
        <v>35</v>
      </c>
      <c r="F16086">
        <v>7800140</v>
      </c>
      <c r="G16086" t="s">
        <v>14290</v>
      </c>
      <c r="H16086" s="21">
        <v>830.17</v>
      </c>
    </row>
    <row r="16087" spans="1:8" customFormat="1" x14ac:dyDescent="0.25">
      <c r="A16087" t="str">
        <f>"433680"</f>
        <v>433680</v>
      </c>
      <c r="B16087" t="s">
        <v>17075</v>
      </c>
      <c r="C16087" t="s">
        <v>17076</v>
      </c>
      <c r="D16087" s="21" t="s">
        <v>34</v>
      </c>
      <c r="E16087" s="21" t="s">
        <v>35</v>
      </c>
      <c r="F16087">
        <v>1420240</v>
      </c>
      <c r="G16087" t="s">
        <v>9179</v>
      </c>
      <c r="H16087" s="21">
        <v>830.04</v>
      </c>
    </row>
    <row r="16088" spans="1:8" customFormat="1" x14ac:dyDescent="0.25">
      <c r="A16088" t="str">
        <f>"1610915"</f>
        <v>1610915</v>
      </c>
      <c r="B16088" t="s">
        <v>10397</v>
      </c>
      <c r="C16088" t="s">
        <v>169</v>
      </c>
      <c r="D16088" s="21" t="s">
        <v>34</v>
      </c>
      <c r="E16088" s="21" t="s">
        <v>71</v>
      </c>
      <c r="F16088">
        <v>10160186</v>
      </c>
      <c r="G16088" t="s">
        <v>4819</v>
      </c>
      <c r="H16088" s="21">
        <v>830.04</v>
      </c>
    </row>
    <row r="16089" spans="1:8" customFormat="1" x14ac:dyDescent="0.25">
      <c r="A16089" t="str">
        <f>"607802"</f>
        <v>607802</v>
      </c>
      <c r="B16089" t="s">
        <v>2824</v>
      </c>
      <c r="C16089" t="s">
        <v>1110</v>
      </c>
      <c r="D16089" s="21" t="s">
        <v>34</v>
      </c>
      <c r="E16089" s="21" t="s">
        <v>254</v>
      </c>
      <c r="F16089">
        <v>4450192</v>
      </c>
      <c r="G16089" t="s">
        <v>2411</v>
      </c>
      <c r="H16089" s="21">
        <v>829.92</v>
      </c>
    </row>
    <row r="16090" spans="1:8" customFormat="1" x14ac:dyDescent="0.25">
      <c r="A16090" t="str">
        <f>"7618241"</f>
        <v>7618241</v>
      </c>
      <c r="B16090" t="s">
        <v>1604</v>
      </c>
      <c r="C16090" t="s">
        <v>428</v>
      </c>
      <c r="D16090" s="21" t="s">
        <v>34</v>
      </c>
      <c r="E16090" s="21" t="s">
        <v>35</v>
      </c>
      <c r="F16090">
        <v>9760311</v>
      </c>
      <c r="G16090" t="s">
        <v>3015</v>
      </c>
      <c r="H16090" s="21">
        <v>829.67</v>
      </c>
    </row>
    <row r="16091" spans="1:8" customFormat="1" x14ac:dyDescent="0.25">
      <c r="A16091" t="str">
        <f>"5934503"</f>
        <v>5934503</v>
      </c>
      <c r="B16091" t="s">
        <v>14048</v>
      </c>
      <c r="C16091" t="s">
        <v>109</v>
      </c>
      <c r="D16091" s="21" t="s">
        <v>34</v>
      </c>
      <c r="E16091" s="21" t="s">
        <v>35</v>
      </c>
      <c r="F16091">
        <v>7590018</v>
      </c>
      <c r="G16091" t="s">
        <v>2807</v>
      </c>
      <c r="H16091" s="21">
        <v>829.67</v>
      </c>
    </row>
    <row r="16092" spans="1:8" customFormat="1" x14ac:dyDescent="0.25">
      <c r="A16092" t="str">
        <f>"4521338"</f>
        <v>4521338</v>
      </c>
      <c r="B16092" t="s">
        <v>6139</v>
      </c>
      <c r="C16092" t="s">
        <v>60</v>
      </c>
      <c r="D16092" s="21" t="s">
        <v>34</v>
      </c>
      <c r="E16092" s="21" t="s">
        <v>35</v>
      </c>
      <c r="F16092">
        <v>4450410</v>
      </c>
      <c r="G16092" t="s">
        <v>26525</v>
      </c>
      <c r="H16092" s="21">
        <v>829.67</v>
      </c>
    </row>
    <row r="16093" spans="1:8" customFormat="1" x14ac:dyDescent="0.25">
      <c r="A16093" t="str">
        <f>"5613394"</f>
        <v>5613394</v>
      </c>
      <c r="B16093" t="s">
        <v>14000</v>
      </c>
      <c r="C16093" t="s">
        <v>209</v>
      </c>
      <c r="D16093" s="21" t="s">
        <v>34</v>
      </c>
      <c r="E16093" s="21" t="s">
        <v>71</v>
      </c>
      <c r="F16093">
        <v>3560046</v>
      </c>
      <c r="G16093" t="s">
        <v>9309</v>
      </c>
      <c r="H16093" s="21">
        <v>829.67</v>
      </c>
    </row>
    <row r="16094" spans="1:8" customFormat="1" x14ac:dyDescent="0.25">
      <c r="A16094" t="str">
        <f>"1318978"</f>
        <v>1318978</v>
      </c>
      <c r="B16094" t="s">
        <v>15629</v>
      </c>
      <c r="C16094" t="s">
        <v>55</v>
      </c>
      <c r="D16094" s="21" t="s">
        <v>34</v>
      </c>
      <c r="E16094" s="21" t="s">
        <v>35</v>
      </c>
      <c r="F16094">
        <v>13130164</v>
      </c>
      <c r="G16094" t="s">
        <v>15351</v>
      </c>
      <c r="H16094" s="21">
        <v>829.67</v>
      </c>
    </row>
    <row r="16095" spans="1:8" customFormat="1" x14ac:dyDescent="0.25">
      <c r="A16095" t="str">
        <f>"2517552"</f>
        <v>2517552</v>
      </c>
      <c r="B16095" t="s">
        <v>11698</v>
      </c>
      <c r="C16095" t="s">
        <v>33</v>
      </c>
      <c r="D16095" s="21" t="s">
        <v>34</v>
      </c>
      <c r="E16095" s="21" t="s">
        <v>71</v>
      </c>
      <c r="F16095">
        <v>2250229</v>
      </c>
      <c r="G16095" t="s">
        <v>5004</v>
      </c>
      <c r="H16095" s="21">
        <v>829.67</v>
      </c>
    </row>
    <row r="16096" spans="1:8" customFormat="1" x14ac:dyDescent="0.25">
      <c r="A16096" t="str">
        <f>"2718517"</f>
        <v>2718517</v>
      </c>
      <c r="B16096" t="s">
        <v>15358</v>
      </c>
      <c r="C16096" t="s">
        <v>249</v>
      </c>
      <c r="D16096" s="21" t="s">
        <v>34</v>
      </c>
      <c r="E16096" s="21" t="s">
        <v>35</v>
      </c>
      <c r="F16096">
        <v>9270110</v>
      </c>
      <c r="G16096" t="s">
        <v>7417</v>
      </c>
      <c r="H16096" s="21">
        <v>829.67</v>
      </c>
    </row>
    <row r="16097" spans="1:8" customFormat="1" x14ac:dyDescent="0.25">
      <c r="A16097" t="str">
        <f>"5931206"</f>
        <v>5931206</v>
      </c>
      <c r="B16097" t="s">
        <v>6736</v>
      </c>
      <c r="C16097" t="s">
        <v>598</v>
      </c>
      <c r="D16097" s="21" t="s">
        <v>34</v>
      </c>
      <c r="E16097" s="21" t="s">
        <v>71</v>
      </c>
      <c r="F16097">
        <v>7590315</v>
      </c>
      <c r="G16097" t="s">
        <v>11823</v>
      </c>
      <c r="H16097" s="21">
        <v>829.67</v>
      </c>
    </row>
    <row r="16098" spans="1:8" customFormat="1" x14ac:dyDescent="0.25">
      <c r="A16098" t="str">
        <f>"4427553"</f>
        <v>4427553</v>
      </c>
      <c r="B16098" t="s">
        <v>14882</v>
      </c>
      <c r="C16098" t="s">
        <v>267</v>
      </c>
      <c r="D16098" s="21" t="s">
        <v>34</v>
      </c>
      <c r="E16098" s="21" t="s">
        <v>71</v>
      </c>
      <c r="F16098">
        <v>12440049</v>
      </c>
      <c r="G16098" t="s">
        <v>3339</v>
      </c>
      <c r="H16098" s="21">
        <v>829.67</v>
      </c>
    </row>
    <row r="16099" spans="1:8" customFormat="1" x14ac:dyDescent="0.25">
      <c r="A16099" t="str">
        <f>"6210259"</f>
        <v>6210259</v>
      </c>
      <c r="B16099" t="s">
        <v>15052</v>
      </c>
      <c r="C16099" t="s">
        <v>1812</v>
      </c>
      <c r="D16099" s="21" t="s">
        <v>34</v>
      </c>
      <c r="E16099" s="21" t="s">
        <v>71</v>
      </c>
      <c r="F16099">
        <v>7620112</v>
      </c>
      <c r="G16099" t="s">
        <v>5663</v>
      </c>
      <c r="H16099" s="21">
        <v>829.67</v>
      </c>
    </row>
    <row r="16100" spans="1:8" customFormat="1" x14ac:dyDescent="0.25">
      <c r="A16100" t="str">
        <f>"359479"</f>
        <v>359479</v>
      </c>
      <c r="B16100" t="s">
        <v>12071</v>
      </c>
      <c r="C16100" t="s">
        <v>608</v>
      </c>
      <c r="D16100" s="21" t="s">
        <v>34</v>
      </c>
      <c r="E16100" s="21" t="s">
        <v>35</v>
      </c>
      <c r="F16100">
        <v>3350127</v>
      </c>
      <c r="G16100" t="s">
        <v>10614</v>
      </c>
      <c r="H16100" s="21">
        <v>829.67</v>
      </c>
    </row>
    <row r="16101" spans="1:8" customFormat="1" x14ac:dyDescent="0.25">
      <c r="A16101" t="str">
        <f>"592625"</f>
        <v>592625</v>
      </c>
      <c r="B16101" t="s">
        <v>5501</v>
      </c>
      <c r="C16101" t="s">
        <v>2546</v>
      </c>
      <c r="D16101" s="21" t="s">
        <v>34</v>
      </c>
      <c r="E16101" s="21" t="s">
        <v>1089</v>
      </c>
      <c r="F16101">
        <v>7590402</v>
      </c>
      <c r="G16101" t="s">
        <v>1623</v>
      </c>
      <c r="H16101" s="21">
        <v>829.67</v>
      </c>
    </row>
    <row r="16102" spans="1:8" customFormat="1" x14ac:dyDescent="0.25">
      <c r="A16102" t="str">
        <f>"1425805"</f>
        <v>1425805</v>
      </c>
      <c r="B16102" t="s">
        <v>13988</v>
      </c>
      <c r="C16102" t="s">
        <v>65</v>
      </c>
      <c r="D16102" s="21" t="s">
        <v>34</v>
      </c>
      <c r="E16102" s="21" t="s">
        <v>35</v>
      </c>
      <c r="F16102">
        <v>9140202</v>
      </c>
      <c r="G16102" t="s">
        <v>2011</v>
      </c>
      <c r="H16102" s="21">
        <v>829.67</v>
      </c>
    </row>
    <row r="16103" spans="1:8" customFormat="1" x14ac:dyDescent="0.25">
      <c r="A16103" t="str">
        <f>"603179"</f>
        <v>603179</v>
      </c>
      <c r="B16103" t="s">
        <v>13330</v>
      </c>
      <c r="C16103" t="s">
        <v>209</v>
      </c>
      <c r="D16103" s="21" t="s">
        <v>34</v>
      </c>
      <c r="E16103" s="21" t="s">
        <v>71</v>
      </c>
      <c r="F16103">
        <v>7600081</v>
      </c>
      <c r="G16103" t="s">
        <v>5845</v>
      </c>
      <c r="H16103" s="21">
        <v>829.67</v>
      </c>
    </row>
    <row r="16104" spans="1:8" customFormat="1" x14ac:dyDescent="0.25">
      <c r="A16104" t="str">
        <f>"5413828"</f>
        <v>5413828</v>
      </c>
      <c r="B16104" t="s">
        <v>3000</v>
      </c>
      <c r="C16104" t="s">
        <v>867</v>
      </c>
      <c r="D16104" s="21" t="s">
        <v>34</v>
      </c>
      <c r="E16104" s="21" t="s">
        <v>35</v>
      </c>
      <c r="F16104">
        <v>6540082</v>
      </c>
      <c r="G16104" t="s">
        <v>9816</v>
      </c>
      <c r="H16104" s="21">
        <v>829.67</v>
      </c>
    </row>
    <row r="16105" spans="1:8" customFormat="1" x14ac:dyDescent="0.25">
      <c r="A16105" t="str">
        <f>"833870"</f>
        <v>833870</v>
      </c>
      <c r="B16105" t="s">
        <v>12726</v>
      </c>
      <c r="C16105" t="s">
        <v>1665</v>
      </c>
      <c r="D16105" s="21" t="s">
        <v>34</v>
      </c>
      <c r="E16105" s="21" t="s">
        <v>71</v>
      </c>
      <c r="F16105">
        <v>13830015</v>
      </c>
      <c r="G16105" t="s">
        <v>4011</v>
      </c>
      <c r="H16105" s="21">
        <v>829.67</v>
      </c>
    </row>
    <row r="16106" spans="1:8" customFormat="1" x14ac:dyDescent="0.25">
      <c r="A16106" t="str">
        <f>"5972365"</f>
        <v>5972365</v>
      </c>
      <c r="B16106" t="s">
        <v>14440</v>
      </c>
      <c r="C16106" t="s">
        <v>1100</v>
      </c>
      <c r="D16106" s="21" t="s">
        <v>34</v>
      </c>
      <c r="E16106" s="21" t="s">
        <v>35</v>
      </c>
      <c r="F16106">
        <v>7590336</v>
      </c>
      <c r="G16106" t="s">
        <v>2341</v>
      </c>
      <c r="H16106" s="21">
        <v>829.67</v>
      </c>
    </row>
    <row r="16107" spans="1:8" customFormat="1" x14ac:dyDescent="0.25">
      <c r="A16107" t="str">
        <f>"85680"</f>
        <v>85680</v>
      </c>
      <c r="B16107" t="s">
        <v>5514</v>
      </c>
      <c r="C16107" t="s">
        <v>139</v>
      </c>
      <c r="D16107" s="21" t="s">
        <v>34</v>
      </c>
      <c r="E16107" s="21" t="s">
        <v>71</v>
      </c>
      <c r="F16107">
        <v>12850021</v>
      </c>
      <c r="G16107" t="s">
        <v>4760</v>
      </c>
      <c r="H16107" s="21">
        <v>829.67</v>
      </c>
    </row>
    <row r="16108" spans="1:8" customFormat="1" x14ac:dyDescent="0.25">
      <c r="A16108" t="str">
        <f>"6213662"</f>
        <v>6213662</v>
      </c>
      <c r="B16108" t="s">
        <v>14092</v>
      </c>
      <c r="C16108" t="s">
        <v>267</v>
      </c>
      <c r="D16108" s="21" t="s">
        <v>34</v>
      </c>
      <c r="E16108" s="21" t="s">
        <v>1089</v>
      </c>
      <c r="F16108">
        <v>7620044</v>
      </c>
      <c r="G16108" t="s">
        <v>2961</v>
      </c>
      <c r="H16108" s="21">
        <v>829.67</v>
      </c>
    </row>
    <row r="16109" spans="1:8" customFormat="1" x14ac:dyDescent="0.25">
      <c r="A16109" t="str">
        <f>"672638"</f>
        <v>672638</v>
      </c>
      <c r="B16109" t="s">
        <v>14541</v>
      </c>
      <c r="C16109" t="s">
        <v>40</v>
      </c>
      <c r="D16109" s="21" t="s">
        <v>34</v>
      </c>
      <c r="E16109" s="21" t="s">
        <v>71</v>
      </c>
      <c r="F16109">
        <v>6670160</v>
      </c>
      <c r="G16109" t="s">
        <v>908</v>
      </c>
      <c r="H16109" s="21">
        <v>829.42</v>
      </c>
    </row>
    <row r="16110" spans="1:8" customFormat="1" x14ac:dyDescent="0.25">
      <c r="A16110" t="str">
        <f>"33854"</f>
        <v>33854</v>
      </c>
      <c r="B16110" t="s">
        <v>6894</v>
      </c>
      <c r="C16110" t="s">
        <v>55</v>
      </c>
      <c r="D16110" s="21" t="s">
        <v>34</v>
      </c>
      <c r="E16110" s="21" t="s">
        <v>254</v>
      </c>
      <c r="F16110" t="s">
        <v>1403</v>
      </c>
      <c r="G16110" t="s">
        <v>1404</v>
      </c>
      <c r="H16110" s="21">
        <v>829.17</v>
      </c>
    </row>
    <row r="16111" spans="1:8" customFormat="1" x14ac:dyDescent="0.25">
      <c r="A16111" t="str">
        <f>"623489"</f>
        <v>623489</v>
      </c>
      <c r="B16111" t="s">
        <v>5651</v>
      </c>
      <c r="C16111" t="s">
        <v>130</v>
      </c>
      <c r="D16111" s="21" t="s">
        <v>34</v>
      </c>
      <c r="E16111" s="21" t="s">
        <v>71</v>
      </c>
      <c r="F16111">
        <v>7620110</v>
      </c>
      <c r="G16111" t="s">
        <v>2681</v>
      </c>
      <c r="H16111" s="21">
        <v>829.17</v>
      </c>
    </row>
    <row r="16112" spans="1:8" customFormat="1" x14ac:dyDescent="0.25">
      <c r="A16112" t="str">
        <f>"875888"</f>
        <v>875888</v>
      </c>
      <c r="B16112" t="s">
        <v>3428</v>
      </c>
      <c r="C16112" t="s">
        <v>151</v>
      </c>
      <c r="D16112" s="21" t="s">
        <v>34</v>
      </c>
      <c r="E16112" s="21" t="s">
        <v>35</v>
      </c>
      <c r="F16112">
        <v>1630332</v>
      </c>
      <c r="G16112" t="s">
        <v>27136</v>
      </c>
      <c r="H16112" s="21">
        <v>829.17</v>
      </c>
    </row>
    <row r="16113" spans="1:8" customFormat="1" x14ac:dyDescent="0.25">
      <c r="A16113" t="str">
        <f>"104509"</f>
        <v>104509</v>
      </c>
      <c r="B16113" t="s">
        <v>9064</v>
      </c>
      <c r="C16113" t="s">
        <v>285</v>
      </c>
      <c r="D16113" s="21" t="s">
        <v>34</v>
      </c>
      <c r="E16113" s="21" t="s">
        <v>71</v>
      </c>
      <c r="F16113">
        <v>6100015</v>
      </c>
      <c r="G16113" t="s">
        <v>6173</v>
      </c>
      <c r="H16113" s="21">
        <v>829.17</v>
      </c>
    </row>
    <row r="16114" spans="1:8" customFormat="1" x14ac:dyDescent="0.25">
      <c r="A16114" t="str">
        <f>"5730501"</f>
        <v>5730501</v>
      </c>
      <c r="B16114" t="s">
        <v>14150</v>
      </c>
      <c r="C16114" t="s">
        <v>60</v>
      </c>
      <c r="D16114" s="21" t="s">
        <v>34</v>
      </c>
      <c r="E16114" s="21" t="s">
        <v>35</v>
      </c>
      <c r="F16114">
        <v>6570022</v>
      </c>
      <c r="G16114" t="s">
        <v>3870</v>
      </c>
      <c r="H16114" s="21">
        <v>829.17</v>
      </c>
    </row>
    <row r="16115" spans="1:8" customFormat="1" x14ac:dyDescent="0.25">
      <c r="A16115" t="str">
        <f>"8313021"</f>
        <v>8313021</v>
      </c>
      <c r="B16115" t="s">
        <v>14786</v>
      </c>
      <c r="C16115" t="s">
        <v>239</v>
      </c>
      <c r="D16115" s="21" t="s">
        <v>34</v>
      </c>
      <c r="E16115" s="21" t="s">
        <v>35</v>
      </c>
      <c r="F16115">
        <v>13830013</v>
      </c>
      <c r="G16115" t="s">
        <v>3374</v>
      </c>
      <c r="H16115" s="21">
        <v>829.17</v>
      </c>
    </row>
    <row r="16116" spans="1:8" customFormat="1" x14ac:dyDescent="0.25">
      <c r="A16116" t="str">
        <f>"558342"</f>
        <v>558342</v>
      </c>
      <c r="B16116" t="s">
        <v>15760</v>
      </c>
      <c r="C16116" t="s">
        <v>275</v>
      </c>
      <c r="D16116" s="21" t="s">
        <v>34</v>
      </c>
      <c r="E16116" s="21" t="s">
        <v>35</v>
      </c>
      <c r="F16116">
        <v>6550032</v>
      </c>
      <c r="G16116" t="s">
        <v>8081</v>
      </c>
      <c r="H16116" s="21">
        <v>829.17</v>
      </c>
    </row>
    <row r="16117" spans="1:8" customFormat="1" x14ac:dyDescent="0.25">
      <c r="A16117" t="str">
        <f>"9222894"</f>
        <v>9222894</v>
      </c>
      <c r="B16117" t="s">
        <v>16895</v>
      </c>
      <c r="C16117" t="s">
        <v>328</v>
      </c>
      <c r="D16117" s="21" t="s">
        <v>34</v>
      </c>
      <c r="E16117" s="21" t="s">
        <v>35</v>
      </c>
      <c r="F16117">
        <v>8920031</v>
      </c>
      <c r="G16117" t="s">
        <v>552</v>
      </c>
      <c r="H16117" s="21">
        <v>829.17</v>
      </c>
    </row>
    <row r="16118" spans="1:8" customFormat="1" x14ac:dyDescent="0.25">
      <c r="A16118" t="str">
        <f>"167117"</f>
        <v>167117</v>
      </c>
      <c r="B16118" t="s">
        <v>12308</v>
      </c>
      <c r="C16118" t="s">
        <v>320</v>
      </c>
      <c r="D16118" s="21" t="s">
        <v>34</v>
      </c>
      <c r="E16118" s="21" t="s">
        <v>71</v>
      </c>
      <c r="F16118">
        <v>10160018</v>
      </c>
      <c r="G16118" t="s">
        <v>6900</v>
      </c>
      <c r="H16118" s="21">
        <v>829.17</v>
      </c>
    </row>
    <row r="16119" spans="1:8" customFormat="1" x14ac:dyDescent="0.25">
      <c r="A16119" t="str">
        <f>"9445227"</f>
        <v>9445227</v>
      </c>
      <c r="B16119" t="s">
        <v>11833</v>
      </c>
      <c r="C16119" t="s">
        <v>169</v>
      </c>
      <c r="D16119" s="21" t="s">
        <v>34</v>
      </c>
      <c r="E16119" s="21" t="s">
        <v>35</v>
      </c>
      <c r="F16119">
        <v>8941282</v>
      </c>
      <c r="G16119" t="s">
        <v>5040</v>
      </c>
      <c r="H16119" s="21">
        <v>829.17</v>
      </c>
    </row>
    <row r="16120" spans="1:8" customFormat="1" x14ac:dyDescent="0.25">
      <c r="A16120" t="str">
        <f>"331273"</f>
        <v>331273</v>
      </c>
      <c r="B16120" t="s">
        <v>12549</v>
      </c>
      <c r="C16120" t="s">
        <v>462</v>
      </c>
      <c r="D16120" s="21" t="s">
        <v>34</v>
      </c>
      <c r="E16120" s="21" t="s">
        <v>1089</v>
      </c>
      <c r="F16120">
        <v>10330050</v>
      </c>
      <c r="G16120" t="s">
        <v>2488</v>
      </c>
      <c r="H16120" s="21">
        <v>829.17</v>
      </c>
    </row>
    <row r="16121" spans="1:8" customFormat="1" x14ac:dyDescent="0.25">
      <c r="A16121" t="str">
        <f>"4431493"</f>
        <v>4431493</v>
      </c>
      <c r="B16121" t="s">
        <v>16109</v>
      </c>
      <c r="C16121" t="s">
        <v>40</v>
      </c>
      <c r="D16121" s="21" t="s">
        <v>34</v>
      </c>
      <c r="E16121" s="21" t="s">
        <v>71</v>
      </c>
      <c r="F16121">
        <v>12440039</v>
      </c>
      <c r="G16121" t="s">
        <v>9650</v>
      </c>
      <c r="H16121" s="21">
        <v>829.17</v>
      </c>
    </row>
    <row r="16122" spans="1:8" customFormat="1" x14ac:dyDescent="0.25">
      <c r="A16122" t="str">
        <f>"718013"</f>
        <v>718013</v>
      </c>
      <c r="B16122" t="s">
        <v>13634</v>
      </c>
      <c r="C16122" t="s">
        <v>139</v>
      </c>
      <c r="D16122" s="21" t="s">
        <v>34</v>
      </c>
      <c r="E16122" s="21" t="s">
        <v>35</v>
      </c>
      <c r="F16122">
        <v>2710023</v>
      </c>
      <c r="G16122" t="s">
        <v>3549</v>
      </c>
      <c r="H16122" s="21">
        <v>829.17</v>
      </c>
    </row>
    <row r="16123" spans="1:8" customFormat="1" x14ac:dyDescent="0.25">
      <c r="A16123" t="str">
        <f>"7731649"</f>
        <v>7731649</v>
      </c>
      <c r="B16123" t="s">
        <v>27413</v>
      </c>
      <c r="C16123" t="s">
        <v>1946</v>
      </c>
      <c r="D16123" s="21" t="s">
        <v>34</v>
      </c>
      <c r="E16123" s="21" t="s">
        <v>35</v>
      </c>
      <c r="F16123">
        <v>8771184</v>
      </c>
      <c r="G16123" t="s">
        <v>137</v>
      </c>
      <c r="H16123" s="21">
        <v>829.17</v>
      </c>
    </row>
    <row r="16124" spans="1:8" customFormat="1" x14ac:dyDescent="0.25">
      <c r="A16124" t="str">
        <f>"4519597"</f>
        <v>4519597</v>
      </c>
      <c r="B16124" t="s">
        <v>3804</v>
      </c>
      <c r="C16124" t="s">
        <v>2520</v>
      </c>
      <c r="D16124" s="21" t="s">
        <v>34</v>
      </c>
      <c r="E16124" s="21" t="s">
        <v>1089</v>
      </c>
      <c r="F16124">
        <v>4450417</v>
      </c>
      <c r="G16124" t="s">
        <v>2284</v>
      </c>
      <c r="H16124" s="21">
        <v>829.17</v>
      </c>
    </row>
    <row r="16125" spans="1:8" customFormat="1" x14ac:dyDescent="0.25">
      <c r="A16125" t="str">
        <f>"9512727"</f>
        <v>9512727</v>
      </c>
      <c r="B16125" t="s">
        <v>13516</v>
      </c>
      <c r="C16125" t="s">
        <v>249</v>
      </c>
      <c r="D16125" s="21" t="s">
        <v>34</v>
      </c>
      <c r="E16125" s="21" t="s">
        <v>71</v>
      </c>
      <c r="F16125">
        <v>8951366</v>
      </c>
      <c r="G16125" t="s">
        <v>3708</v>
      </c>
      <c r="H16125" s="21">
        <v>829.17</v>
      </c>
    </row>
    <row r="16126" spans="1:8" customFormat="1" x14ac:dyDescent="0.25">
      <c r="A16126" t="str">
        <f>"9226795"</f>
        <v>9226795</v>
      </c>
      <c r="B16126" t="s">
        <v>3290</v>
      </c>
      <c r="C16126" t="s">
        <v>2520</v>
      </c>
      <c r="D16126" s="21" t="s">
        <v>34</v>
      </c>
      <c r="E16126" s="21" t="s">
        <v>254</v>
      </c>
      <c r="F16126">
        <v>8920140</v>
      </c>
      <c r="G16126" t="s">
        <v>3762</v>
      </c>
      <c r="H16126" s="21">
        <v>829.04</v>
      </c>
    </row>
    <row r="16127" spans="1:8" customFormat="1" x14ac:dyDescent="0.25">
      <c r="A16127" t="str">
        <f>"832601"</f>
        <v>832601</v>
      </c>
      <c r="B16127" t="s">
        <v>10039</v>
      </c>
      <c r="C16127" t="s">
        <v>598</v>
      </c>
      <c r="D16127" s="21" t="s">
        <v>34</v>
      </c>
      <c r="E16127" s="21" t="s">
        <v>1089</v>
      </c>
      <c r="F16127">
        <v>13830044</v>
      </c>
      <c r="G16127" t="s">
        <v>945</v>
      </c>
      <c r="H16127" s="21">
        <v>828.92</v>
      </c>
    </row>
    <row r="16128" spans="1:8" customFormat="1" x14ac:dyDescent="0.25">
      <c r="A16128" t="str">
        <f>"591420"</f>
        <v>591420</v>
      </c>
      <c r="B16128" t="s">
        <v>2824</v>
      </c>
      <c r="C16128" t="s">
        <v>253</v>
      </c>
      <c r="D16128" s="21" t="s">
        <v>34</v>
      </c>
      <c r="E16128" s="21" t="s">
        <v>71</v>
      </c>
      <c r="F16128">
        <v>7590100</v>
      </c>
      <c r="G16128" t="s">
        <v>1660</v>
      </c>
      <c r="H16128" s="21">
        <v>828.79</v>
      </c>
    </row>
    <row r="16129" spans="1:8" customFormat="1" x14ac:dyDescent="0.25">
      <c r="A16129" t="str">
        <f>"491826"</f>
        <v>491826</v>
      </c>
      <c r="B16129" t="s">
        <v>907</v>
      </c>
      <c r="C16129" t="s">
        <v>239</v>
      </c>
      <c r="D16129" s="21" t="s">
        <v>34</v>
      </c>
      <c r="E16129" s="21" t="s">
        <v>254</v>
      </c>
      <c r="F16129">
        <v>12490080</v>
      </c>
      <c r="G16129" t="s">
        <v>5692</v>
      </c>
      <c r="H16129" s="21">
        <v>828.67</v>
      </c>
    </row>
    <row r="16130" spans="1:8" customFormat="1" x14ac:dyDescent="0.25">
      <c r="A16130" t="str">
        <f>"646759"</f>
        <v>646759</v>
      </c>
      <c r="B16130" t="s">
        <v>12342</v>
      </c>
      <c r="C16130" t="s">
        <v>139</v>
      </c>
      <c r="D16130" s="21" t="s">
        <v>34</v>
      </c>
      <c r="E16130" s="21" t="s">
        <v>35</v>
      </c>
      <c r="F16130">
        <v>10640012</v>
      </c>
      <c r="G16130" t="s">
        <v>6475</v>
      </c>
      <c r="H16130" s="21">
        <v>828.67</v>
      </c>
    </row>
    <row r="16131" spans="1:8" customFormat="1" x14ac:dyDescent="0.25">
      <c r="A16131" t="str">
        <f>"371263"</f>
        <v>371263</v>
      </c>
      <c r="B16131" t="s">
        <v>6443</v>
      </c>
      <c r="C16131" t="s">
        <v>2479</v>
      </c>
      <c r="D16131" s="21" t="s">
        <v>34</v>
      </c>
      <c r="E16131" s="21" t="s">
        <v>254</v>
      </c>
      <c r="F16131">
        <v>4370465</v>
      </c>
      <c r="G16131" t="s">
        <v>26922</v>
      </c>
      <c r="H16131" s="21">
        <v>828.67</v>
      </c>
    </row>
    <row r="16132" spans="1:8" customFormat="1" x14ac:dyDescent="0.25">
      <c r="A16132" t="str">
        <f>"307689"</f>
        <v>307689</v>
      </c>
      <c r="B16132" t="s">
        <v>14799</v>
      </c>
      <c r="C16132" t="s">
        <v>2384</v>
      </c>
      <c r="D16132" s="21" t="s">
        <v>34</v>
      </c>
      <c r="E16132" s="21" t="s">
        <v>71</v>
      </c>
      <c r="F16132">
        <v>11300018</v>
      </c>
      <c r="G16132" t="s">
        <v>5158</v>
      </c>
      <c r="H16132" s="21">
        <v>828.67</v>
      </c>
    </row>
    <row r="16133" spans="1:8" customFormat="1" x14ac:dyDescent="0.25">
      <c r="A16133" t="str">
        <f>"5712712"</f>
        <v>5712712</v>
      </c>
      <c r="B16133" t="s">
        <v>15228</v>
      </c>
      <c r="C16133" t="s">
        <v>204</v>
      </c>
      <c r="D16133" s="21" t="s">
        <v>34</v>
      </c>
      <c r="E16133" s="21" t="s">
        <v>71</v>
      </c>
      <c r="F16133">
        <v>6570107</v>
      </c>
      <c r="G16133" t="s">
        <v>5598</v>
      </c>
      <c r="H16133" s="21">
        <v>828.67</v>
      </c>
    </row>
    <row r="16134" spans="1:8" customFormat="1" x14ac:dyDescent="0.25">
      <c r="A16134" t="str">
        <f>"674194"</f>
        <v>674194</v>
      </c>
      <c r="B16134" t="s">
        <v>14729</v>
      </c>
      <c r="C16134" t="s">
        <v>263</v>
      </c>
      <c r="D16134" s="21" t="s">
        <v>34</v>
      </c>
      <c r="E16134" s="21" t="s">
        <v>35</v>
      </c>
      <c r="F16134">
        <v>6670122</v>
      </c>
      <c r="G16134" t="s">
        <v>3126</v>
      </c>
      <c r="H16134" s="21">
        <v>828.67</v>
      </c>
    </row>
    <row r="16135" spans="1:8" customFormat="1" x14ac:dyDescent="0.25">
      <c r="A16135" t="str">
        <f>"3425853"</f>
        <v>3425853</v>
      </c>
      <c r="B16135" t="s">
        <v>1169</v>
      </c>
      <c r="C16135" t="s">
        <v>267</v>
      </c>
      <c r="D16135" s="21" t="s">
        <v>34</v>
      </c>
      <c r="E16135" s="21" t="s">
        <v>71</v>
      </c>
      <c r="F16135">
        <v>11340065</v>
      </c>
      <c r="G16135" t="s">
        <v>2022</v>
      </c>
      <c r="H16135" s="21">
        <v>828.67</v>
      </c>
    </row>
    <row r="16136" spans="1:8" customFormat="1" x14ac:dyDescent="0.25">
      <c r="A16136" t="str">
        <f>"2615116"</f>
        <v>2615116</v>
      </c>
      <c r="B16136" t="s">
        <v>7825</v>
      </c>
      <c r="C16136" t="s">
        <v>498</v>
      </c>
      <c r="D16136" s="21" t="s">
        <v>34</v>
      </c>
      <c r="E16136" s="21" t="s">
        <v>71</v>
      </c>
      <c r="F16136">
        <v>1260005</v>
      </c>
      <c r="G16136" t="s">
        <v>10654</v>
      </c>
      <c r="H16136" s="21">
        <v>828.67</v>
      </c>
    </row>
    <row r="16137" spans="1:8" customFormat="1" x14ac:dyDescent="0.25">
      <c r="A16137" t="str">
        <f>"7719015"</f>
        <v>7719015</v>
      </c>
      <c r="B16137" t="s">
        <v>1179</v>
      </c>
      <c r="C16137" t="s">
        <v>249</v>
      </c>
      <c r="D16137" s="21" t="s">
        <v>34</v>
      </c>
      <c r="E16137" s="21" t="s">
        <v>35</v>
      </c>
      <c r="F16137">
        <v>8771508</v>
      </c>
      <c r="G16137" t="s">
        <v>4072</v>
      </c>
      <c r="H16137" s="21">
        <v>828.67</v>
      </c>
    </row>
    <row r="16138" spans="1:8" customFormat="1" x14ac:dyDescent="0.25">
      <c r="A16138" t="str">
        <f>"5322355"</f>
        <v>5322355</v>
      </c>
      <c r="B16138" t="s">
        <v>3947</v>
      </c>
      <c r="C16138" t="s">
        <v>119</v>
      </c>
      <c r="D16138" s="21" t="s">
        <v>34</v>
      </c>
      <c r="E16138" s="21" t="s">
        <v>35</v>
      </c>
      <c r="F16138">
        <v>12538900</v>
      </c>
      <c r="G16138" t="s">
        <v>14904</v>
      </c>
      <c r="H16138" s="21">
        <v>828.67</v>
      </c>
    </row>
    <row r="16139" spans="1:8" customFormat="1" x14ac:dyDescent="0.25">
      <c r="A16139" t="str">
        <f>"352659"</f>
        <v>352659</v>
      </c>
      <c r="B16139" t="s">
        <v>1574</v>
      </c>
      <c r="C16139" t="s">
        <v>2529</v>
      </c>
      <c r="D16139" s="21" t="s">
        <v>34</v>
      </c>
      <c r="E16139" s="21" t="s">
        <v>254</v>
      </c>
      <c r="F16139">
        <v>3350221</v>
      </c>
      <c r="G16139" t="s">
        <v>14681</v>
      </c>
      <c r="H16139" s="21">
        <v>828.67</v>
      </c>
    </row>
    <row r="16140" spans="1:8" customFormat="1" x14ac:dyDescent="0.25">
      <c r="A16140" t="str">
        <f>"433244"</f>
        <v>433244</v>
      </c>
      <c r="B16140" t="s">
        <v>435</v>
      </c>
      <c r="C16140" t="s">
        <v>581</v>
      </c>
      <c r="D16140" s="21" t="s">
        <v>34</v>
      </c>
      <c r="E16140" s="21" t="s">
        <v>35</v>
      </c>
      <c r="F16140">
        <v>1420305</v>
      </c>
      <c r="G16140" t="s">
        <v>13520</v>
      </c>
      <c r="H16140" s="21">
        <v>828.67</v>
      </c>
    </row>
    <row r="16141" spans="1:8" customFormat="1" x14ac:dyDescent="0.25">
      <c r="A16141" t="str">
        <f>"264406"</f>
        <v>264406</v>
      </c>
      <c r="B16141" t="s">
        <v>13677</v>
      </c>
      <c r="C16141" t="s">
        <v>1446</v>
      </c>
      <c r="D16141" s="21" t="s">
        <v>34</v>
      </c>
      <c r="E16141" s="21" t="s">
        <v>254</v>
      </c>
      <c r="F16141">
        <v>1260026</v>
      </c>
      <c r="G16141" t="s">
        <v>516</v>
      </c>
      <c r="H16141" s="21">
        <v>828.67</v>
      </c>
    </row>
    <row r="16142" spans="1:8" customFormat="1" x14ac:dyDescent="0.25">
      <c r="A16142" t="str">
        <f>"2219028"</f>
        <v>2219028</v>
      </c>
      <c r="B16142" t="s">
        <v>14758</v>
      </c>
      <c r="C16142" t="s">
        <v>156</v>
      </c>
      <c r="D16142" s="21" t="s">
        <v>34</v>
      </c>
      <c r="E16142" s="21" t="s">
        <v>71</v>
      </c>
      <c r="F16142">
        <v>3220142</v>
      </c>
      <c r="G16142" t="s">
        <v>14759</v>
      </c>
      <c r="H16142" s="21">
        <v>828.67</v>
      </c>
    </row>
    <row r="16143" spans="1:8" customFormat="1" x14ac:dyDescent="0.25">
      <c r="A16143" t="str">
        <f>"5413704"</f>
        <v>5413704</v>
      </c>
      <c r="B16143" t="s">
        <v>4704</v>
      </c>
      <c r="C16143" t="s">
        <v>55</v>
      </c>
      <c r="D16143" s="21" t="s">
        <v>34</v>
      </c>
      <c r="E16143" s="21" t="s">
        <v>71</v>
      </c>
      <c r="F16143">
        <v>6540040</v>
      </c>
      <c r="G16143" t="s">
        <v>256</v>
      </c>
      <c r="H16143" s="21">
        <v>828.54</v>
      </c>
    </row>
    <row r="16144" spans="1:8" customFormat="1" x14ac:dyDescent="0.25">
      <c r="A16144" t="str">
        <f>"1416282"</f>
        <v>1416282</v>
      </c>
      <c r="B16144" t="s">
        <v>13643</v>
      </c>
      <c r="C16144" t="s">
        <v>2100</v>
      </c>
      <c r="D16144" s="21" t="s">
        <v>34</v>
      </c>
      <c r="E16144" s="21" t="s">
        <v>71</v>
      </c>
      <c r="F16144">
        <v>9140063</v>
      </c>
      <c r="G16144" t="s">
        <v>4764</v>
      </c>
      <c r="H16144" s="21">
        <v>828.42</v>
      </c>
    </row>
    <row r="16145" spans="1:8" customFormat="1" x14ac:dyDescent="0.25">
      <c r="A16145" t="str">
        <f>"225530"</f>
        <v>225530</v>
      </c>
      <c r="B16145" t="s">
        <v>4422</v>
      </c>
      <c r="C16145" t="s">
        <v>415</v>
      </c>
      <c r="D16145" s="21" t="s">
        <v>34</v>
      </c>
      <c r="E16145" s="21" t="s">
        <v>254</v>
      </c>
      <c r="F16145">
        <v>3220047</v>
      </c>
      <c r="G16145" t="s">
        <v>131</v>
      </c>
      <c r="H16145" s="21">
        <v>828.17</v>
      </c>
    </row>
    <row r="16146" spans="1:8" customFormat="1" x14ac:dyDescent="0.25">
      <c r="A16146" t="str">
        <f>"6225859"</f>
        <v>6225859</v>
      </c>
      <c r="B16146" t="s">
        <v>7833</v>
      </c>
      <c r="C16146" t="s">
        <v>58</v>
      </c>
      <c r="D16146" s="21" t="s">
        <v>34</v>
      </c>
      <c r="E16146" s="21" t="s">
        <v>35</v>
      </c>
      <c r="F16146">
        <v>7620110</v>
      </c>
      <c r="G16146" t="s">
        <v>2681</v>
      </c>
      <c r="H16146" s="21">
        <v>828.17</v>
      </c>
    </row>
    <row r="16147" spans="1:8" customFormat="1" x14ac:dyDescent="0.25">
      <c r="A16147" t="str">
        <f>"852367"</f>
        <v>852367</v>
      </c>
      <c r="B16147" t="s">
        <v>13751</v>
      </c>
      <c r="C16147" t="s">
        <v>267</v>
      </c>
      <c r="D16147" s="21" t="s">
        <v>34</v>
      </c>
      <c r="E16147" s="21" t="s">
        <v>254</v>
      </c>
      <c r="F16147">
        <v>12850109</v>
      </c>
      <c r="G16147" t="s">
        <v>2714</v>
      </c>
      <c r="H16147" s="21">
        <v>828.17</v>
      </c>
    </row>
    <row r="16148" spans="1:8" customFormat="1" x14ac:dyDescent="0.25">
      <c r="A16148" t="str">
        <f>"2812898"</f>
        <v>2812898</v>
      </c>
      <c r="B16148" t="s">
        <v>14245</v>
      </c>
      <c r="C16148" t="s">
        <v>1025</v>
      </c>
      <c r="D16148" s="21" t="s">
        <v>34</v>
      </c>
      <c r="E16148" s="21" t="s">
        <v>71</v>
      </c>
      <c r="F16148">
        <v>4280612</v>
      </c>
      <c r="G16148" t="s">
        <v>6809</v>
      </c>
      <c r="H16148" s="21">
        <v>828.17</v>
      </c>
    </row>
    <row r="16149" spans="1:8" customFormat="1" x14ac:dyDescent="0.25">
      <c r="A16149" t="str">
        <f>"533783"</f>
        <v>533783</v>
      </c>
      <c r="B16149" t="s">
        <v>2505</v>
      </c>
      <c r="C16149" t="s">
        <v>469</v>
      </c>
      <c r="D16149" s="21" t="s">
        <v>34</v>
      </c>
      <c r="E16149" s="21" t="s">
        <v>71</v>
      </c>
      <c r="F16149">
        <v>12530144</v>
      </c>
      <c r="G16149" t="s">
        <v>10892</v>
      </c>
      <c r="H16149" s="21">
        <v>828.17</v>
      </c>
    </row>
    <row r="16150" spans="1:8" customFormat="1" x14ac:dyDescent="0.25">
      <c r="A16150" t="str">
        <f>"019791"</f>
        <v>019791</v>
      </c>
      <c r="B16150" t="s">
        <v>14133</v>
      </c>
      <c r="C16150" t="s">
        <v>1675</v>
      </c>
      <c r="D16150" s="21" t="s">
        <v>34</v>
      </c>
      <c r="E16150" s="21" t="s">
        <v>254</v>
      </c>
      <c r="F16150">
        <v>1010027</v>
      </c>
      <c r="G16150" t="s">
        <v>6318</v>
      </c>
      <c r="H16150" s="21">
        <v>828.17</v>
      </c>
    </row>
    <row r="16151" spans="1:8" customFormat="1" x14ac:dyDescent="0.25">
      <c r="A16151" t="str">
        <f>"45542"</f>
        <v>45542</v>
      </c>
      <c r="B16151" t="s">
        <v>12806</v>
      </c>
      <c r="C16151" t="s">
        <v>412</v>
      </c>
      <c r="D16151" s="21" t="s">
        <v>34</v>
      </c>
      <c r="E16151" s="21" t="s">
        <v>1089</v>
      </c>
      <c r="F16151">
        <v>4450144</v>
      </c>
      <c r="G16151" t="s">
        <v>6941</v>
      </c>
      <c r="H16151" s="21">
        <v>828.17</v>
      </c>
    </row>
    <row r="16152" spans="1:8" customFormat="1" x14ac:dyDescent="0.25">
      <c r="A16152" t="str">
        <f>"9445870"</f>
        <v>9445870</v>
      </c>
      <c r="B16152" t="s">
        <v>850</v>
      </c>
      <c r="C16152" t="s">
        <v>87</v>
      </c>
      <c r="D16152" s="21" t="s">
        <v>34</v>
      </c>
      <c r="E16152" s="21" t="s">
        <v>35</v>
      </c>
      <c r="F16152">
        <v>8940524</v>
      </c>
      <c r="G16152" t="s">
        <v>6176</v>
      </c>
      <c r="H16152" s="21">
        <v>828.17</v>
      </c>
    </row>
    <row r="16153" spans="1:8" customFormat="1" x14ac:dyDescent="0.25">
      <c r="A16153" t="str">
        <f>"9D2544"</f>
        <v>9D2544</v>
      </c>
      <c r="B16153" t="s">
        <v>15002</v>
      </c>
      <c r="C16153" t="s">
        <v>87</v>
      </c>
      <c r="D16153" s="21" t="s">
        <v>34</v>
      </c>
      <c r="E16153" s="21" t="s">
        <v>35</v>
      </c>
      <c r="F16153" t="s">
        <v>2462</v>
      </c>
      <c r="G16153" t="s">
        <v>2463</v>
      </c>
      <c r="H16153" s="21">
        <v>828.17</v>
      </c>
    </row>
    <row r="16154" spans="1:8" customFormat="1" x14ac:dyDescent="0.25">
      <c r="A16154" t="str">
        <f>"888290"</f>
        <v>888290</v>
      </c>
      <c r="B16154" t="s">
        <v>13633</v>
      </c>
      <c r="C16154" t="s">
        <v>263</v>
      </c>
      <c r="D16154" s="21" t="s">
        <v>34</v>
      </c>
      <c r="E16154" s="21" t="s">
        <v>71</v>
      </c>
      <c r="F16154">
        <v>6880022</v>
      </c>
      <c r="G16154" t="s">
        <v>339</v>
      </c>
      <c r="H16154" s="21">
        <v>828.17</v>
      </c>
    </row>
    <row r="16155" spans="1:8" customFormat="1" x14ac:dyDescent="0.25">
      <c r="A16155" t="str">
        <f>"7841263"</f>
        <v>7841263</v>
      </c>
      <c r="B16155" t="s">
        <v>13790</v>
      </c>
      <c r="C16155" t="s">
        <v>249</v>
      </c>
      <c r="D16155" s="21" t="s">
        <v>34</v>
      </c>
      <c r="E16155" s="21" t="s">
        <v>71</v>
      </c>
      <c r="F16155">
        <v>8781267</v>
      </c>
      <c r="G16155" t="s">
        <v>13791</v>
      </c>
      <c r="H16155" s="21">
        <v>828.17</v>
      </c>
    </row>
    <row r="16156" spans="1:8" customFormat="1" x14ac:dyDescent="0.25">
      <c r="A16156" t="str">
        <f>"4218899"</f>
        <v>4218899</v>
      </c>
      <c r="B16156" t="s">
        <v>17440</v>
      </c>
      <c r="C16156" t="s">
        <v>988</v>
      </c>
      <c r="D16156" s="21" t="s">
        <v>34</v>
      </c>
      <c r="E16156" s="21" t="s">
        <v>35</v>
      </c>
      <c r="F16156">
        <v>1420014</v>
      </c>
      <c r="G16156" t="s">
        <v>3864</v>
      </c>
      <c r="H16156" s="21">
        <v>828.17</v>
      </c>
    </row>
    <row r="16157" spans="1:8" customFormat="1" x14ac:dyDescent="0.25">
      <c r="A16157" t="str">
        <f>"7632050"</f>
        <v>7632050</v>
      </c>
      <c r="B16157" t="s">
        <v>15280</v>
      </c>
      <c r="C16157" t="s">
        <v>5778</v>
      </c>
      <c r="D16157" s="21" t="s">
        <v>34</v>
      </c>
      <c r="E16157" s="21" t="s">
        <v>35</v>
      </c>
      <c r="F16157">
        <v>9760333</v>
      </c>
      <c r="G16157" t="s">
        <v>27096</v>
      </c>
      <c r="H16157" s="21">
        <v>828.17</v>
      </c>
    </row>
    <row r="16158" spans="1:8" customFormat="1" x14ac:dyDescent="0.25">
      <c r="A16158" t="str">
        <f>"4412113"</f>
        <v>4412113</v>
      </c>
      <c r="B16158" t="s">
        <v>13148</v>
      </c>
      <c r="C16158" t="s">
        <v>269</v>
      </c>
      <c r="D16158" s="21" t="s">
        <v>34</v>
      </c>
      <c r="E16158" s="21" t="s">
        <v>71</v>
      </c>
      <c r="F16158">
        <v>12440084</v>
      </c>
      <c r="G16158" t="s">
        <v>1014</v>
      </c>
      <c r="H16158" s="21">
        <v>828.17</v>
      </c>
    </row>
    <row r="16159" spans="1:8" customFormat="1" x14ac:dyDescent="0.25">
      <c r="A16159" t="str">
        <f>"5320145"</f>
        <v>5320145</v>
      </c>
      <c r="B16159" t="s">
        <v>1180</v>
      </c>
      <c r="C16159" t="s">
        <v>269</v>
      </c>
      <c r="D16159" s="21" t="s">
        <v>34</v>
      </c>
      <c r="E16159" s="21" t="s">
        <v>35</v>
      </c>
      <c r="F16159">
        <v>12530063</v>
      </c>
      <c r="G16159" t="s">
        <v>4313</v>
      </c>
      <c r="H16159" s="21">
        <v>827.92</v>
      </c>
    </row>
    <row r="16160" spans="1:8" customFormat="1" x14ac:dyDescent="0.25">
      <c r="A16160" t="str">
        <f>"393128"</f>
        <v>393128</v>
      </c>
      <c r="B16160" t="s">
        <v>6462</v>
      </c>
      <c r="C16160" t="s">
        <v>263</v>
      </c>
      <c r="D16160" s="21" t="s">
        <v>34</v>
      </c>
      <c r="E16160" s="21" t="s">
        <v>71</v>
      </c>
      <c r="F16160">
        <v>2390002</v>
      </c>
      <c r="G16160" t="s">
        <v>9132</v>
      </c>
      <c r="H16160" s="21">
        <v>827.92</v>
      </c>
    </row>
    <row r="16161" spans="1:8" customFormat="1" x14ac:dyDescent="0.25">
      <c r="A16161" t="str">
        <f>"992228"</f>
        <v>992228</v>
      </c>
      <c r="B16161" t="s">
        <v>15260</v>
      </c>
      <c r="C16161" t="s">
        <v>269</v>
      </c>
      <c r="D16161" s="21" t="s">
        <v>34</v>
      </c>
      <c r="E16161" s="21" t="s">
        <v>35</v>
      </c>
      <c r="F16161">
        <v>5990022</v>
      </c>
      <c r="G16161" t="s">
        <v>9912</v>
      </c>
      <c r="H16161" s="21">
        <v>827.79</v>
      </c>
    </row>
    <row r="16162" spans="1:8" customFormat="1" x14ac:dyDescent="0.25">
      <c r="A16162" t="str">
        <f>"6015167"</f>
        <v>6015167</v>
      </c>
      <c r="B16162" t="s">
        <v>13635</v>
      </c>
      <c r="C16162" t="s">
        <v>151</v>
      </c>
      <c r="D16162" s="21" t="s">
        <v>34</v>
      </c>
      <c r="E16162" s="21" t="s">
        <v>35</v>
      </c>
      <c r="F16162">
        <v>7600031</v>
      </c>
      <c r="G16162" t="s">
        <v>3283</v>
      </c>
      <c r="H16162" s="21">
        <v>827.79</v>
      </c>
    </row>
    <row r="16163" spans="1:8" customFormat="1" x14ac:dyDescent="0.25">
      <c r="A16163" t="str">
        <f>"7511420"</f>
        <v>7511420</v>
      </c>
      <c r="B16163" t="s">
        <v>13434</v>
      </c>
      <c r="C16163" t="s">
        <v>1110</v>
      </c>
      <c r="D16163" s="21" t="s">
        <v>34</v>
      </c>
      <c r="E16163" s="21" t="s">
        <v>71</v>
      </c>
      <c r="F16163">
        <v>8920049</v>
      </c>
      <c r="G16163" t="s">
        <v>237</v>
      </c>
      <c r="H16163" s="21">
        <v>827.67</v>
      </c>
    </row>
    <row r="16164" spans="1:8" customFormat="1" x14ac:dyDescent="0.25">
      <c r="A16164" t="str">
        <f>"49394"</f>
        <v>49394</v>
      </c>
      <c r="B16164" t="s">
        <v>13647</v>
      </c>
      <c r="C16164" t="s">
        <v>412</v>
      </c>
      <c r="D16164" s="21" t="s">
        <v>34</v>
      </c>
      <c r="E16164" s="21" t="s">
        <v>6185</v>
      </c>
      <c r="F16164">
        <v>12490062</v>
      </c>
      <c r="G16164" t="s">
        <v>9920</v>
      </c>
      <c r="H16164" s="21">
        <v>827.67</v>
      </c>
    </row>
    <row r="16165" spans="1:8" customFormat="1" x14ac:dyDescent="0.25">
      <c r="A16165" t="str">
        <f>"6710512"</f>
        <v>6710512</v>
      </c>
      <c r="B16165" t="s">
        <v>7778</v>
      </c>
      <c r="C16165" t="s">
        <v>10114</v>
      </c>
      <c r="D16165" s="21" t="s">
        <v>34</v>
      </c>
      <c r="E16165" s="21" t="s">
        <v>71</v>
      </c>
      <c r="F16165">
        <v>6670260</v>
      </c>
      <c r="G16165" t="s">
        <v>1202</v>
      </c>
      <c r="H16165" s="21">
        <v>827.67</v>
      </c>
    </row>
    <row r="16166" spans="1:8" customFormat="1" x14ac:dyDescent="0.25">
      <c r="A16166" t="str">
        <f>"72310"</f>
        <v>72310</v>
      </c>
      <c r="B16166" t="s">
        <v>996</v>
      </c>
      <c r="C16166" t="s">
        <v>598</v>
      </c>
      <c r="D16166" s="21" t="s">
        <v>34</v>
      </c>
      <c r="E16166" s="21" t="s">
        <v>1089</v>
      </c>
      <c r="F16166">
        <v>12720002</v>
      </c>
      <c r="G16166" t="s">
        <v>1712</v>
      </c>
      <c r="H16166" s="21">
        <v>827.67</v>
      </c>
    </row>
    <row r="16167" spans="1:8" customFormat="1" x14ac:dyDescent="0.25">
      <c r="A16167" t="str">
        <f>"12238"</f>
        <v>12238</v>
      </c>
      <c r="B16167" t="s">
        <v>14487</v>
      </c>
      <c r="C16167" t="s">
        <v>233</v>
      </c>
      <c r="D16167" s="21" t="s">
        <v>34</v>
      </c>
      <c r="E16167" s="21" t="s">
        <v>71</v>
      </c>
      <c r="F16167">
        <v>11120009</v>
      </c>
      <c r="G16167" t="s">
        <v>3369</v>
      </c>
      <c r="H16167" s="21">
        <v>827.67</v>
      </c>
    </row>
    <row r="16168" spans="1:8" customFormat="1" x14ac:dyDescent="0.25">
      <c r="A16168" t="str">
        <f>"624598"</f>
        <v>624598</v>
      </c>
      <c r="B16168" t="s">
        <v>5298</v>
      </c>
      <c r="C16168" t="s">
        <v>239</v>
      </c>
      <c r="D16168" s="21" t="s">
        <v>34</v>
      </c>
      <c r="E16168" s="21" t="s">
        <v>254</v>
      </c>
      <c r="F16168">
        <v>7620110</v>
      </c>
      <c r="G16168" t="s">
        <v>2681</v>
      </c>
      <c r="H16168" s="21">
        <v>827.67</v>
      </c>
    </row>
    <row r="16169" spans="1:8" customFormat="1" x14ac:dyDescent="0.25">
      <c r="A16169" t="str">
        <f>"6812098"</f>
        <v>6812098</v>
      </c>
      <c r="B16169" t="s">
        <v>14065</v>
      </c>
      <c r="C16169" t="s">
        <v>55</v>
      </c>
      <c r="D16169" s="21" t="s">
        <v>34</v>
      </c>
      <c r="E16169" s="21" t="s">
        <v>254</v>
      </c>
      <c r="F16169">
        <v>6680006</v>
      </c>
      <c r="G16169" t="s">
        <v>5266</v>
      </c>
      <c r="H16169" s="21">
        <v>827.67</v>
      </c>
    </row>
    <row r="16170" spans="1:8" customFormat="1" x14ac:dyDescent="0.25">
      <c r="A16170" t="str">
        <f>"3519785"</f>
        <v>3519785</v>
      </c>
      <c r="B16170" t="s">
        <v>11377</v>
      </c>
      <c r="C16170" t="s">
        <v>33</v>
      </c>
      <c r="D16170" s="21" t="s">
        <v>34</v>
      </c>
      <c r="E16170" s="21" t="s">
        <v>35</v>
      </c>
      <c r="F16170">
        <v>12440141</v>
      </c>
      <c r="G16170" t="s">
        <v>3234</v>
      </c>
      <c r="H16170" s="21">
        <v>827.67</v>
      </c>
    </row>
    <row r="16171" spans="1:8" customFormat="1" x14ac:dyDescent="0.25">
      <c r="A16171" t="str">
        <f>"1316641"</f>
        <v>1316641</v>
      </c>
      <c r="B16171" t="s">
        <v>16537</v>
      </c>
      <c r="C16171" t="s">
        <v>16538</v>
      </c>
      <c r="D16171" s="21" t="s">
        <v>34</v>
      </c>
      <c r="E16171" s="21" t="s">
        <v>71</v>
      </c>
      <c r="F16171">
        <v>13130154</v>
      </c>
      <c r="G16171" t="s">
        <v>5503</v>
      </c>
      <c r="H16171" s="21">
        <v>827.67</v>
      </c>
    </row>
    <row r="16172" spans="1:8" customFormat="1" x14ac:dyDescent="0.25">
      <c r="A16172" t="str">
        <f>"633108"</f>
        <v>633108</v>
      </c>
      <c r="B16172" t="s">
        <v>13417</v>
      </c>
      <c r="C16172" t="s">
        <v>209</v>
      </c>
      <c r="D16172" s="21" t="s">
        <v>34</v>
      </c>
      <c r="E16172" s="21" t="s">
        <v>35</v>
      </c>
      <c r="F16172">
        <v>1630289</v>
      </c>
      <c r="G16172" t="s">
        <v>8900</v>
      </c>
      <c r="H16172" s="21">
        <v>827.67</v>
      </c>
    </row>
    <row r="16173" spans="1:8" customFormat="1" x14ac:dyDescent="0.25">
      <c r="A16173" t="str">
        <f>"185558"</f>
        <v>185558</v>
      </c>
      <c r="B16173" t="s">
        <v>13436</v>
      </c>
      <c r="C16173" t="s">
        <v>127</v>
      </c>
      <c r="D16173" s="21" t="s">
        <v>34</v>
      </c>
      <c r="E16173" s="21" t="s">
        <v>35</v>
      </c>
      <c r="F16173">
        <v>4180728</v>
      </c>
      <c r="G16173" t="s">
        <v>17088</v>
      </c>
      <c r="H16173" s="21">
        <v>827.67</v>
      </c>
    </row>
    <row r="16174" spans="1:8" customFormat="1" x14ac:dyDescent="0.25">
      <c r="A16174" t="str">
        <f>"617918"</f>
        <v>617918</v>
      </c>
      <c r="B16174" t="s">
        <v>9370</v>
      </c>
      <c r="C16174" t="s">
        <v>415</v>
      </c>
      <c r="D16174" s="21" t="s">
        <v>34</v>
      </c>
      <c r="E16174" s="21" t="s">
        <v>71</v>
      </c>
      <c r="F16174">
        <v>9610097</v>
      </c>
      <c r="G16174" t="s">
        <v>9432</v>
      </c>
      <c r="H16174" s="21">
        <v>827.67</v>
      </c>
    </row>
    <row r="16175" spans="1:8" customFormat="1" x14ac:dyDescent="0.25">
      <c r="A16175" t="str">
        <f>"3522868"</f>
        <v>3522868</v>
      </c>
      <c r="B16175" t="s">
        <v>2538</v>
      </c>
      <c r="C16175" t="s">
        <v>82</v>
      </c>
      <c r="D16175" s="21" t="s">
        <v>34</v>
      </c>
      <c r="E16175" s="21" t="s">
        <v>71</v>
      </c>
      <c r="F16175">
        <v>3350009</v>
      </c>
      <c r="G16175" t="s">
        <v>1823</v>
      </c>
      <c r="H16175" s="21">
        <v>827.67</v>
      </c>
    </row>
    <row r="16176" spans="1:8" customFormat="1" x14ac:dyDescent="0.25">
      <c r="A16176" t="str">
        <f>"5620913"</f>
        <v>5620913</v>
      </c>
      <c r="B16176" t="s">
        <v>105</v>
      </c>
      <c r="C16176" t="s">
        <v>33</v>
      </c>
      <c r="D16176" s="21" t="s">
        <v>34</v>
      </c>
      <c r="E16176" s="21" t="s">
        <v>71</v>
      </c>
      <c r="F16176">
        <v>3560051</v>
      </c>
      <c r="G16176" t="s">
        <v>14709</v>
      </c>
      <c r="H16176" s="21">
        <v>827.67</v>
      </c>
    </row>
    <row r="16177" spans="1:8" customFormat="1" x14ac:dyDescent="0.25">
      <c r="A16177" t="str">
        <f>"7853939"</f>
        <v>7853939</v>
      </c>
      <c r="B16177" t="s">
        <v>14808</v>
      </c>
      <c r="C16177" t="s">
        <v>209</v>
      </c>
      <c r="D16177" s="21" t="s">
        <v>34</v>
      </c>
      <c r="E16177" s="21" t="s">
        <v>71</v>
      </c>
      <c r="F16177">
        <v>8780002</v>
      </c>
      <c r="G16177" t="s">
        <v>2196</v>
      </c>
      <c r="H16177" s="21">
        <v>827.67</v>
      </c>
    </row>
    <row r="16178" spans="1:8" customFormat="1" x14ac:dyDescent="0.25">
      <c r="A16178" t="str">
        <f>"7639988"</f>
        <v>7639988</v>
      </c>
      <c r="B16178" t="s">
        <v>16950</v>
      </c>
      <c r="C16178" t="s">
        <v>1665</v>
      </c>
      <c r="D16178" s="21" t="s">
        <v>34</v>
      </c>
      <c r="E16178" s="21" t="s">
        <v>254</v>
      </c>
      <c r="F16178">
        <v>9760028</v>
      </c>
      <c r="G16178" t="s">
        <v>4086</v>
      </c>
      <c r="H16178" s="21">
        <v>827.42</v>
      </c>
    </row>
    <row r="16179" spans="1:8" customFormat="1" x14ac:dyDescent="0.25">
      <c r="A16179" t="str">
        <f>"6230668"</f>
        <v>6230668</v>
      </c>
      <c r="B16179" t="s">
        <v>14676</v>
      </c>
      <c r="C16179" t="s">
        <v>60</v>
      </c>
      <c r="D16179" s="21" t="s">
        <v>34</v>
      </c>
      <c r="E16179" s="21" t="s">
        <v>35</v>
      </c>
      <c r="F16179">
        <v>7620015</v>
      </c>
      <c r="G16179" t="s">
        <v>377</v>
      </c>
      <c r="H16179" s="21">
        <v>827.42</v>
      </c>
    </row>
    <row r="16180" spans="1:8" customFormat="1" x14ac:dyDescent="0.25">
      <c r="A16180" t="str">
        <f>"274846"</f>
        <v>274846</v>
      </c>
      <c r="B16180" t="s">
        <v>7681</v>
      </c>
      <c r="C16180" t="s">
        <v>598</v>
      </c>
      <c r="D16180" s="21" t="s">
        <v>34</v>
      </c>
      <c r="E16180" s="21" t="s">
        <v>254</v>
      </c>
      <c r="F16180">
        <v>9270063</v>
      </c>
      <c r="G16180" t="s">
        <v>808</v>
      </c>
      <c r="H16180" s="21">
        <v>827.17</v>
      </c>
    </row>
    <row r="16181" spans="1:8" customFormat="1" x14ac:dyDescent="0.25">
      <c r="A16181" t="str">
        <f>"6210801"</f>
        <v>6210801</v>
      </c>
      <c r="B16181" t="s">
        <v>6129</v>
      </c>
      <c r="C16181" t="s">
        <v>40</v>
      </c>
      <c r="D16181" s="21" t="s">
        <v>34</v>
      </c>
      <c r="E16181" s="21" t="s">
        <v>71</v>
      </c>
      <c r="F16181">
        <v>7620058</v>
      </c>
      <c r="G16181" t="s">
        <v>602</v>
      </c>
      <c r="H16181" s="21">
        <v>827.17</v>
      </c>
    </row>
    <row r="16182" spans="1:8" customFormat="1" x14ac:dyDescent="0.25">
      <c r="A16182" t="str">
        <f>"5928"</f>
        <v>5928</v>
      </c>
      <c r="B16182" t="s">
        <v>465</v>
      </c>
      <c r="C16182" t="s">
        <v>1199</v>
      </c>
      <c r="D16182" s="21" t="s">
        <v>34</v>
      </c>
      <c r="E16182" s="21" t="s">
        <v>1089</v>
      </c>
      <c r="F16182">
        <v>7590413</v>
      </c>
      <c r="G16182" t="s">
        <v>6848</v>
      </c>
      <c r="H16182" s="21">
        <v>827.17</v>
      </c>
    </row>
    <row r="16183" spans="1:8" customFormat="1" x14ac:dyDescent="0.25">
      <c r="A16183" t="str">
        <f>"7212611"</f>
        <v>7212611</v>
      </c>
      <c r="B16183" t="s">
        <v>5066</v>
      </c>
      <c r="C16183" t="s">
        <v>275</v>
      </c>
      <c r="D16183" s="21" t="s">
        <v>34</v>
      </c>
      <c r="E16183" s="21" t="s">
        <v>35</v>
      </c>
      <c r="F16183">
        <v>12720005</v>
      </c>
      <c r="G16183" t="s">
        <v>999</v>
      </c>
      <c r="H16183" s="21">
        <v>827.17</v>
      </c>
    </row>
    <row r="16184" spans="1:8" customFormat="1" x14ac:dyDescent="0.25">
      <c r="A16184" t="str">
        <f>"6916011"</f>
        <v>6916011</v>
      </c>
      <c r="B16184" t="s">
        <v>4649</v>
      </c>
      <c r="C16184" t="s">
        <v>598</v>
      </c>
      <c r="D16184" s="21" t="s">
        <v>34</v>
      </c>
      <c r="E16184" s="21" t="s">
        <v>71</v>
      </c>
      <c r="F16184">
        <v>1690013</v>
      </c>
      <c r="G16184" t="s">
        <v>26900</v>
      </c>
      <c r="H16184" s="21">
        <v>827.17</v>
      </c>
    </row>
    <row r="16185" spans="1:8" customFormat="1" x14ac:dyDescent="0.25">
      <c r="A16185" t="str">
        <f>"5729251"</f>
        <v>5729251</v>
      </c>
      <c r="B16185" t="s">
        <v>15843</v>
      </c>
      <c r="C16185" t="s">
        <v>55</v>
      </c>
      <c r="D16185" s="21" t="s">
        <v>34</v>
      </c>
      <c r="E16185" s="21" t="s">
        <v>35</v>
      </c>
      <c r="F16185">
        <v>6570154</v>
      </c>
      <c r="G16185" t="s">
        <v>3935</v>
      </c>
      <c r="H16185" s="21">
        <v>827.17</v>
      </c>
    </row>
    <row r="16186" spans="1:8" customFormat="1" x14ac:dyDescent="0.25">
      <c r="A16186" t="str">
        <f>"6015302"</f>
        <v>6015302</v>
      </c>
      <c r="B16186" t="s">
        <v>14501</v>
      </c>
      <c r="C16186" t="s">
        <v>33</v>
      </c>
      <c r="D16186" s="21" t="s">
        <v>34</v>
      </c>
      <c r="E16186" s="21" t="s">
        <v>71</v>
      </c>
      <c r="F16186">
        <v>7600070</v>
      </c>
      <c r="G16186" t="s">
        <v>542</v>
      </c>
      <c r="H16186" s="21">
        <v>827.17</v>
      </c>
    </row>
    <row r="16187" spans="1:8" customFormat="1" x14ac:dyDescent="0.25">
      <c r="A16187" t="str">
        <f>"7843812"</f>
        <v>7843812</v>
      </c>
      <c r="B16187" t="s">
        <v>10360</v>
      </c>
      <c r="C16187" t="s">
        <v>8238</v>
      </c>
      <c r="D16187" s="21" t="s">
        <v>34</v>
      </c>
      <c r="E16187" s="21" t="s">
        <v>71</v>
      </c>
      <c r="F16187">
        <v>8780338</v>
      </c>
      <c r="G16187" t="s">
        <v>4145</v>
      </c>
      <c r="H16187" s="21">
        <v>827.17</v>
      </c>
    </row>
    <row r="16188" spans="1:8" customFormat="1" x14ac:dyDescent="0.25">
      <c r="A16188" t="str">
        <f>"4212016"</f>
        <v>4212016</v>
      </c>
      <c r="B16188" t="s">
        <v>1349</v>
      </c>
      <c r="C16188" t="s">
        <v>253</v>
      </c>
      <c r="D16188" s="21" t="s">
        <v>34</v>
      </c>
      <c r="E16188" s="21" t="s">
        <v>71</v>
      </c>
      <c r="F16188">
        <v>1420117</v>
      </c>
      <c r="G16188" t="s">
        <v>2649</v>
      </c>
      <c r="H16188" s="21">
        <v>827.17</v>
      </c>
    </row>
    <row r="16189" spans="1:8" customFormat="1" x14ac:dyDescent="0.25">
      <c r="A16189" t="str">
        <f>"1714664"</f>
        <v>1714664</v>
      </c>
      <c r="B16189" t="s">
        <v>770</v>
      </c>
      <c r="C16189" t="s">
        <v>198</v>
      </c>
      <c r="D16189" s="21" t="s">
        <v>34</v>
      </c>
      <c r="E16189" s="21" t="s">
        <v>71</v>
      </c>
      <c r="F16189">
        <v>10170050</v>
      </c>
      <c r="G16189" t="s">
        <v>2514</v>
      </c>
      <c r="H16189" s="21">
        <v>827.17</v>
      </c>
    </row>
    <row r="16190" spans="1:8" customFormat="1" x14ac:dyDescent="0.25">
      <c r="A16190" t="str">
        <f>"2912670"</f>
        <v>2912670</v>
      </c>
      <c r="B16190" t="s">
        <v>13504</v>
      </c>
      <c r="C16190" t="s">
        <v>3010</v>
      </c>
      <c r="D16190" s="21" t="s">
        <v>34</v>
      </c>
      <c r="E16190" s="21" t="s">
        <v>71</v>
      </c>
      <c r="F16190">
        <v>3290285</v>
      </c>
      <c r="G16190" t="s">
        <v>2234</v>
      </c>
      <c r="H16190" s="21">
        <v>827.17</v>
      </c>
    </row>
    <row r="16191" spans="1:8" customFormat="1" x14ac:dyDescent="0.25">
      <c r="A16191" t="str">
        <f>"374716"</f>
        <v>374716</v>
      </c>
      <c r="B16191" t="s">
        <v>12534</v>
      </c>
      <c r="C16191" t="s">
        <v>43</v>
      </c>
      <c r="D16191" s="21" t="s">
        <v>34</v>
      </c>
      <c r="E16191" s="21" t="s">
        <v>35</v>
      </c>
      <c r="F16191">
        <v>10860024</v>
      </c>
      <c r="G16191" t="s">
        <v>1770</v>
      </c>
      <c r="H16191" s="21">
        <v>827.17</v>
      </c>
    </row>
    <row r="16192" spans="1:8" customFormat="1" x14ac:dyDescent="0.25">
      <c r="A16192" t="str">
        <f>"087208"</f>
        <v>087208</v>
      </c>
      <c r="B16192" t="s">
        <v>14321</v>
      </c>
      <c r="C16192" t="s">
        <v>109</v>
      </c>
      <c r="D16192" s="21" t="s">
        <v>34</v>
      </c>
      <c r="E16192" s="21" t="s">
        <v>71</v>
      </c>
      <c r="F16192">
        <v>6080057</v>
      </c>
      <c r="G16192" t="s">
        <v>10034</v>
      </c>
      <c r="H16192" s="21">
        <v>827.17</v>
      </c>
    </row>
    <row r="16193" spans="1:8" customFormat="1" x14ac:dyDescent="0.25">
      <c r="A16193" t="str">
        <f>"5956719"</f>
        <v>5956719</v>
      </c>
      <c r="B16193" t="s">
        <v>5585</v>
      </c>
      <c r="C16193" t="s">
        <v>2520</v>
      </c>
      <c r="D16193" s="21" t="s">
        <v>34</v>
      </c>
      <c r="E16193" s="21" t="s">
        <v>71</v>
      </c>
      <c r="F16193">
        <v>7590171</v>
      </c>
      <c r="G16193" t="s">
        <v>4159</v>
      </c>
      <c r="H16193" s="21">
        <v>827.17</v>
      </c>
    </row>
    <row r="16194" spans="1:8" customFormat="1" x14ac:dyDescent="0.25">
      <c r="A16194" t="str">
        <f>"514215"</f>
        <v>514215</v>
      </c>
      <c r="B16194" t="s">
        <v>431</v>
      </c>
      <c r="C16194" t="s">
        <v>547</v>
      </c>
      <c r="D16194" s="21" t="s">
        <v>34</v>
      </c>
      <c r="E16194" s="21" t="s">
        <v>254</v>
      </c>
      <c r="F16194">
        <v>6510077</v>
      </c>
      <c r="G16194" t="s">
        <v>756</v>
      </c>
      <c r="H16194" s="21">
        <v>827.17</v>
      </c>
    </row>
    <row r="16195" spans="1:8" customFormat="1" x14ac:dyDescent="0.25">
      <c r="A16195" t="str">
        <f>"2916754"</f>
        <v>2916754</v>
      </c>
      <c r="B16195" t="s">
        <v>14200</v>
      </c>
      <c r="C16195" t="s">
        <v>139</v>
      </c>
      <c r="D16195" s="21" t="s">
        <v>34</v>
      </c>
      <c r="E16195" s="21" t="s">
        <v>35</v>
      </c>
      <c r="F16195">
        <v>3290226</v>
      </c>
      <c r="G16195" t="s">
        <v>4637</v>
      </c>
      <c r="H16195" s="21">
        <v>827.17</v>
      </c>
    </row>
    <row r="16196" spans="1:8" customFormat="1" x14ac:dyDescent="0.25">
      <c r="A16196" t="str">
        <f>"2936979"</f>
        <v>2936979</v>
      </c>
      <c r="B16196" t="s">
        <v>12914</v>
      </c>
      <c r="C16196" t="s">
        <v>1597</v>
      </c>
      <c r="D16196" s="21" t="s">
        <v>34</v>
      </c>
      <c r="E16196" s="21" t="s">
        <v>254</v>
      </c>
      <c r="F16196">
        <v>3290255</v>
      </c>
      <c r="G16196" t="s">
        <v>2852</v>
      </c>
      <c r="H16196" s="21">
        <v>827.17</v>
      </c>
    </row>
    <row r="16197" spans="1:8" customFormat="1" x14ac:dyDescent="0.25">
      <c r="A16197" t="str">
        <f>"9536216"</f>
        <v>9536216</v>
      </c>
      <c r="B16197" t="s">
        <v>1462</v>
      </c>
      <c r="C16197" t="s">
        <v>130</v>
      </c>
      <c r="D16197" s="21" t="s">
        <v>34</v>
      </c>
      <c r="E16197" s="21" t="s">
        <v>35</v>
      </c>
      <c r="F16197">
        <v>8950553</v>
      </c>
      <c r="G16197" t="s">
        <v>1058</v>
      </c>
      <c r="H16197" s="21">
        <v>827.17</v>
      </c>
    </row>
    <row r="16198" spans="1:8" customFormat="1" x14ac:dyDescent="0.25">
      <c r="A16198" t="str">
        <f>"3114553"</f>
        <v>3114553</v>
      </c>
      <c r="B16198" t="s">
        <v>13523</v>
      </c>
      <c r="C16198" t="s">
        <v>253</v>
      </c>
      <c r="D16198" s="21" t="s">
        <v>34</v>
      </c>
      <c r="E16198" s="21" t="s">
        <v>35</v>
      </c>
      <c r="F16198">
        <v>11310099</v>
      </c>
      <c r="G16198" t="s">
        <v>8881</v>
      </c>
      <c r="H16198" s="21">
        <v>827.17</v>
      </c>
    </row>
    <row r="16199" spans="1:8" customFormat="1" x14ac:dyDescent="0.25">
      <c r="A16199" t="str">
        <f>"741150"</f>
        <v>741150</v>
      </c>
      <c r="B16199" t="s">
        <v>13888</v>
      </c>
      <c r="C16199" t="s">
        <v>336</v>
      </c>
      <c r="D16199" s="21" t="s">
        <v>34</v>
      </c>
      <c r="E16199" s="21" t="s">
        <v>254</v>
      </c>
      <c r="F16199">
        <v>1740060</v>
      </c>
      <c r="G16199" t="s">
        <v>4907</v>
      </c>
      <c r="H16199" s="21">
        <v>827.17</v>
      </c>
    </row>
    <row r="16200" spans="1:8" customFormat="1" x14ac:dyDescent="0.25">
      <c r="A16200" t="str">
        <f>"5311650"</f>
        <v>5311650</v>
      </c>
      <c r="B16200" t="s">
        <v>15406</v>
      </c>
      <c r="C16200" t="s">
        <v>124</v>
      </c>
      <c r="D16200" s="21" t="s">
        <v>34</v>
      </c>
      <c r="E16200" s="21" t="s">
        <v>71</v>
      </c>
      <c r="F16200">
        <v>12530054</v>
      </c>
      <c r="G16200" t="s">
        <v>354</v>
      </c>
      <c r="H16200" s="21">
        <v>827.17</v>
      </c>
    </row>
    <row r="16201" spans="1:8" customFormat="1" x14ac:dyDescent="0.25">
      <c r="A16201" t="str">
        <f>"2214087"</f>
        <v>2214087</v>
      </c>
      <c r="B16201" t="s">
        <v>4335</v>
      </c>
      <c r="C16201" t="s">
        <v>2529</v>
      </c>
      <c r="D16201" s="21" t="s">
        <v>34</v>
      </c>
      <c r="E16201" s="21" t="s">
        <v>71</v>
      </c>
      <c r="F16201">
        <v>3220139</v>
      </c>
      <c r="G16201" t="s">
        <v>27114</v>
      </c>
      <c r="H16201" s="21">
        <v>827.17</v>
      </c>
    </row>
    <row r="16202" spans="1:8" customFormat="1" x14ac:dyDescent="0.25">
      <c r="A16202" t="str">
        <f>"812816"</f>
        <v>812816</v>
      </c>
      <c r="B16202" t="s">
        <v>12645</v>
      </c>
      <c r="C16202" t="s">
        <v>121</v>
      </c>
      <c r="D16202" s="21" t="s">
        <v>34</v>
      </c>
      <c r="E16202" s="21" t="s">
        <v>71</v>
      </c>
      <c r="F16202">
        <v>11810015</v>
      </c>
      <c r="G16202" t="s">
        <v>9678</v>
      </c>
      <c r="H16202" s="21">
        <v>827.17</v>
      </c>
    </row>
    <row r="16203" spans="1:8" customFormat="1" x14ac:dyDescent="0.25">
      <c r="A16203" t="str">
        <f>"844301"</f>
        <v>844301</v>
      </c>
      <c r="B16203" t="s">
        <v>13150</v>
      </c>
      <c r="C16203" t="s">
        <v>328</v>
      </c>
      <c r="D16203" s="21" t="s">
        <v>34</v>
      </c>
      <c r="E16203" s="21" t="s">
        <v>35</v>
      </c>
      <c r="F16203">
        <v>11340007</v>
      </c>
      <c r="G16203" t="s">
        <v>2278</v>
      </c>
      <c r="H16203" s="21">
        <v>827.04</v>
      </c>
    </row>
    <row r="16204" spans="1:8" customFormat="1" x14ac:dyDescent="0.25">
      <c r="A16204" t="str">
        <f>"9129026"</f>
        <v>9129026</v>
      </c>
      <c r="B16204" t="s">
        <v>8868</v>
      </c>
      <c r="C16204" t="s">
        <v>263</v>
      </c>
      <c r="D16204" s="21" t="s">
        <v>34</v>
      </c>
      <c r="E16204" s="21" t="s">
        <v>71</v>
      </c>
      <c r="F16204">
        <v>8910881</v>
      </c>
      <c r="G16204" t="s">
        <v>1300</v>
      </c>
      <c r="H16204" s="21">
        <v>826.92</v>
      </c>
    </row>
    <row r="16205" spans="1:8" customFormat="1" x14ac:dyDescent="0.25">
      <c r="A16205" t="str">
        <f>"843526"</f>
        <v>843526</v>
      </c>
      <c r="B16205" t="s">
        <v>15621</v>
      </c>
      <c r="C16205" t="s">
        <v>236</v>
      </c>
      <c r="D16205" s="21" t="s">
        <v>34</v>
      </c>
      <c r="E16205" s="21" t="s">
        <v>254</v>
      </c>
      <c r="F16205">
        <v>11320033</v>
      </c>
      <c r="G16205" t="s">
        <v>8133</v>
      </c>
      <c r="H16205" s="21">
        <v>826.92</v>
      </c>
    </row>
    <row r="16206" spans="1:8" customFormat="1" x14ac:dyDescent="0.25">
      <c r="A16206" t="str">
        <f>"3330973"</f>
        <v>3330973</v>
      </c>
      <c r="B16206" t="s">
        <v>16602</v>
      </c>
      <c r="C16206" t="s">
        <v>4896</v>
      </c>
      <c r="D16206" s="21" t="s">
        <v>34</v>
      </c>
      <c r="E16206" s="21" t="s">
        <v>35</v>
      </c>
      <c r="F16206">
        <v>10330130</v>
      </c>
      <c r="G16206" t="s">
        <v>13867</v>
      </c>
      <c r="H16206" s="21">
        <v>826.92</v>
      </c>
    </row>
    <row r="16207" spans="1:8" customFormat="1" x14ac:dyDescent="0.25">
      <c r="A16207" t="str">
        <f>"4913944"</f>
        <v>4913944</v>
      </c>
      <c r="B16207" t="s">
        <v>10609</v>
      </c>
      <c r="C16207" t="s">
        <v>1803</v>
      </c>
      <c r="D16207" s="21" t="s">
        <v>34</v>
      </c>
      <c r="E16207" s="21" t="s">
        <v>35</v>
      </c>
      <c r="F16207">
        <v>10640023</v>
      </c>
      <c r="G16207" t="s">
        <v>8567</v>
      </c>
      <c r="H16207" s="21">
        <v>826.92</v>
      </c>
    </row>
    <row r="16208" spans="1:8" customFormat="1" x14ac:dyDescent="0.25">
      <c r="A16208" t="str">
        <f>"515763"</f>
        <v>515763</v>
      </c>
      <c r="B16208" t="s">
        <v>27414</v>
      </c>
      <c r="C16208" t="s">
        <v>285</v>
      </c>
      <c r="D16208" s="21" t="s">
        <v>34</v>
      </c>
      <c r="E16208" s="21" t="s">
        <v>35</v>
      </c>
      <c r="F16208">
        <v>6510015</v>
      </c>
      <c r="G16208" t="s">
        <v>5462</v>
      </c>
      <c r="H16208" s="21">
        <v>826.67</v>
      </c>
    </row>
    <row r="16209" spans="1:8" customFormat="1" x14ac:dyDescent="0.25">
      <c r="A16209" t="str">
        <f>"7624815"</f>
        <v>7624815</v>
      </c>
      <c r="B16209" t="s">
        <v>13687</v>
      </c>
      <c r="C16209" t="s">
        <v>415</v>
      </c>
      <c r="D16209" s="21" t="s">
        <v>34</v>
      </c>
      <c r="E16209" s="21" t="s">
        <v>254</v>
      </c>
      <c r="F16209">
        <v>9760286</v>
      </c>
      <c r="G16209" t="s">
        <v>11559</v>
      </c>
      <c r="H16209" s="21">
        <v>826.67</v>
      </c>
    </row>
    <row r="16210" spans="1:8" customFormat="1" x14ac:dyDescent="0.25">
      <c r="A16210" t="str">
        <f>"5320466"</f>
        <v>5320466</v>
      </c>
      <c r="B16210" t="s">
        <v>27415</v>
      </c>
      <c r="C16210" t="s">
        <v>87</v>
      </c>
      <c r="D16210" s="21" t="s">
        <v>34</v>
      </c>
      <c r="E16210" s="21" t="s">
        <v>71</v>
      </c>
      <c r="F16210">
        <v>12538907</v>
      </c>
      <c r="G16210" t="s">
        <v>9299</v>
      </c>
      <c r="H16210" s="21">
        <v>826.67</v>
      </c>
    </row>
    <row r="16211" spans="1:8" customFormat="1" x14ac:dyDescent="0.25">
      <c r="A16211" t="str">
        <f>"45343"</f>
        <v>45343</v>
      </c>
      <c r="B16211" t="s">
        <v>3263</v>
      </c>
      <c r="C16211" t="s">
        <v>12304</v>
      </c>
      <c r="D16211" s="21" t="s">
        <v>34</v>
      </c>
      <c r="E16211" s="21" t="s">
        <v>1089</v>
      </c>
      <c r="F16211">
        <v>4450036</v>
      </c>
      <c r="G16211" t="s">
        <v>4179</v>
      </c>
      <c r="H16211" s="21">
        <v>826.67</v>
      </c>
    </row>
    <row r="16212" spans="1:8" customFormat="1" x14ac:dyDescent="0.25">
      <c r="A16212" t="str">
        <f>"253556"</f>
        <v>253556</v>
      </c>
      <c r="B16212" t="s">
        <v>4014</v>
      </c>
      <c r="C16212" t="s">
        <v>1605</v>
      </c>
      <c r="D16212" s="21" t="s">
        <v>34</v>
      </c>
      <c r="E16212" s="21" t="s">
        <v>1089</v>
      </c>
      <c r="F16212">
        <v>2250017</v>
      </c>
      <c r="G16212" t="s">
        <v>521</v>
      </c>
      <c r="H16212" s="21">
        <v>826.67</v>
      </c>
    </row>
    <row r="16213" spans="1:8" customFormat="1" x14ac:dyDescent="0.25">
      <c r="A16213" t="str">
        <f>"684315"</f>
        <v>684315</v>
      </c>
      <c r="B16213" t="s">
        <v>12994</v>
      </c>
      <c r="C16213" t="s">
        <v>3010</v>
      </c>
      <c r="D16213" s="21" t="s">
        <v>34</v>
      </c>
      <c r="E16213" s="21" t="s">
        <v>1089</v>
      </c>
      <c r="F16213">
        <v>6680020</v>
      </c>
      <c r="G16213" t="s">
        <v>12995</v>
      </c>
      <c r="H16213" s="21">
        <v>826.67</v>
      </c>
    </row>
    <row r="16214" spans="1:8" customFormat="1" x14ac:dyDescent="0.25">
      <c r="A16214" t="str">
        <f>"5319373"</f>
        <v>5319373</v>
      </c>
      <c r="B16214" t="s">
        <v>16779</v>
      </c>
      <c r="C16214" t="s">
        <v>204</v>
      </c>
      <c r="D16214" s="21" t="s">
        <v>34</v>
      </c>
      <c r="E16214" s="21" t="s">
        <v>35</v>
      </c>
      <c r="F16214">
        <v>12530144</v>
      </c>
      <c r="G16214" t="s">
        <v>10892</v>
      </c>
      <c r="H16214" s="21">
        <v>826.67</v>
      </c>
    </row>
    <row r="16215" spans="1:8" customFormat="1" x14ac:dyDescent="0.25">
      <c r="A16215" t="str">
        <f>"37167"</f>
        <v>37167</v>
      </c>
      <c r="B16215" t="s">
        <v>14396</v>
      </c>
      <c r="C16215" t="s">
        <v>236</v>
      </c>
      <c r="D16215" s="21" t="s">
        <v>34</v>
      </c>
      <c r="E16215" s="21" t="s">
        <v>6185</v>
      </c>
      <c r="F16215">
        <v>4370004</v>
      </c>
      <c r="G16215" t="s">
        <v>6049</v>
      </c>
      <c r="H16215" s="21">
        <v>826.67</v>
      </c>
    </row>
    <row r="16216" spans="1:8" customFormat="1" x14ac:dyDescent="0.25">
      <c r="A16216" t="str">
        <f>"6713325"</f>
        <v>6713325</v>
      </c>
      <c r="B16216" t="s">
        <v>14491</v>
      </c>
      <c r="C16216" t="s">
        <v>269</v>
      </c>
      <c r="D16216" s="21" t="s">
        <v>34</v>
      </c>
      <c r="E16216" s="21" t="s">
        <v>71</v>
      </c>
      <c r="F16216">
        <v>6670219</v>
      </c>
      <c r="G16216" t="s">
        <v>9361</v>
      </c>
      <c r="H16216" s="21">
        <v>826.67</v>
      </c>
    </row>
    <row r="16217" spans="1:8" customFormat="1" x14ac:dyDescent="0.25">
      <c r="A16217" t="str">
        <f>"81106"</f>
        <v>81106</v>
      </c>
      <c r="B16217" t="s">
        <v>2143</v>
      </c>
      <c r="C16217" t="s">
        <v>4729</v>
      </c>
      <c r="D16217" s="21" t="s">
        <v>34</v>
      </c>
      <c r="E16217" s="21" t="s">
        <v>71</v>
      </c>
      <c r="F16217">
        <v>11810015</v>
      </c>
      <c r="G16217" t="s">
        <v>9678</v>
      </c>
      <c r="H16217" s="21">
        <v>826.67</v>
      </c>
    </row>
    <row r="16218" spans="1:8" customFormat="1" x14ac:dyDescent="0.25">
      <c r="A16218" t="str">
        <f>"9519857"</f>
        <v>9519857</v>
      </c>
      <c r="B16218" t="s">
        <v>12769</v>
      </c>
      <c r="C16218" t="s">
        <v>114</v>
      </c>
      <c r="D16218" s="21" t="s">
        <v>34</v>
      </c>
      <c r="E16218" s="21" t="s">
        <v>254</v>
      </c>
      <c r="F16218">
        <v>8950623</v>
      </c>
      <c r="G16218" t="s">
        <v>684</v>
      </c>
      <c r="H16218" s="21">
        <v>826.67</v>
      </c>
    </row>
    <row r="16219" spans="1:8" customFormat="1" x14ac:dyDescent="0.25">
      <c r="A16219" t="str">
        <f>"301204"</f>
        <v>301204</v>
      </c>
      <c r="B16219" t="s">
        <v>13684</v>
      </c>
      <c r="C16219" t="s">
        <v>1231</v>
      </c>
      <c r="D16219" s="21" t="s">
        <v>34</v>
      </c>
      <c r="E16219" s="21" t="s">
        <v>254</v>
      </c>
      <c r="F16219">
        <v>11300012</v>
      </c>
      <c r="G16219" t="s">
        <v>5958</v>
      </c>
      <c r="H16219" s="21">
        <v>826.67</v>
      </c>
    </row>
    <row r="16220" spans="1:8" customFormat="1" x14ac:dyDescent="0.25">
      <c r="A16220" t="str">
        <f>"3722162"</f>
        <v>3722162</v>
      </c>
      <c r="B16220" t="s">
        <v>146</v>
      </c>
      <c r="C16220" t="s">
        <v>288</v>
      </c>
      <c r="D16220" s="21" t="s">
        <v>34</v>
      </c>
      <c r="E16220" s="21" t="s">
        <v>35</v>
      </c>
      <c r="F16220">
        <v>4370011</v>
      </c>
      <c r="G16220" t="s">
        <v>3672</v>
      </c>
      <c r="H16220" s="21">
        <v>826.67</v>
      </c>
    </row>
    <row r="16221" spans="1:8" customFormat="1" x14ac:dyDescent="0.25">
      <c r="A16221" t="str">
        <f>"37454"</f>
        <v>37454</v>
      </c>
      <c r="B16221" t="s">
        <v>8914</v>
      </c>
      <c r="C16221" t="s">
        <v>1597</v>
      </c>
      <c r="D16221" s="21" t="s">
        <v>34</v>
      </c>
      <c r="E16221" s="21" t="s">
        <v>6185</v>
      </c>
      <c r="F16221">
        <v>4370694</v>
      </c>
      <c r="G16221" t="s">
        <v>989</v>
      </c>
      <c r="H16221" s="21">
        <v>826.67</v>
      </c>
    </row>
    <row r="16222" spans="1:8" customFormat="1" x14ac:dyDescent="0.25">
      <c r="A16222" t="str">
        <f>"421524"</f>
        <v>421524</v>
      </c>
      <c r="B16222" t="s">
        <v>27416</v>
      </c>
      <c r="C16222" t="s">
        <v>3648</v>
      </c>
      <c r="D16222" s="21" t="s">
        <v>34</v>
      </c>
      <c r="E16222" s="21" t="s">
        <v>254</v>
      </c>
      <c r="F16222">
        <v>1420110</v>
      </c>
      <c r="G16222" t="s">
        <v>3928</v>
      </c>
      <c r="H16222" s="21">
        <v>826.67</v>
      </c>
    </row>
    <row r="16223" spans="1:8" customFormat="1" x14ac:dyDescent="0.25">
      <c r="A16223" t="str">
        <f>"9136587"</f>
        <v>9136587</v>
      </c>
      <c r="B16223" t="s">
        <v>6101</v>
      </c>
      <c r="C16223" t="s">
        <v>198</v>
      </c>
      <c r="D16223" s="21" t="s">
        <v>34</v>
      </c>
      <c r="E16223" s="21" t="s">
        <v>35</v>
      </c>
      <c r="F16223">
        <v>13130100</v>
      </c>
      <c r="G16223" t="s">
        <v>2893</v>
      </c>
      <c r="H16223" s="21">
        <v>826.67</v>
      </c>
    </row>
    <row r="16224" spans="1:8" customFormat="1" x14ac:dyDescent="0.25">
      <c r="A16224" t="str">
        <f>"2214072"</f>
        <v>2214072</v>
      </c>
      <c r="B16224" t="s">
        <v>13913</v>
      </c>
      <c r="C16224" t="s">
        <v>206</v>
      </c>
      <c r="D16224" s="21" t="s">
        <v>34</v>
      </c>
      <c r="E16224" s="21" t="s">
        <v>35</v>
      </c>
      <c r="F16224">
        <v>3220001</v>
      </c>
      <c r="G16224" t="s">
        <v>8173</v>
      </c>
      <c r="H16224" s="21">
        <v>826.67</v>
      </c>
    </row>
    <row r="16225" spans="1:8" customFormat="1" x14ac:dyDescent="0.25">
      <c r="A16225" t="str">
        <f>"6310152"</f>
        <v>6310152</v>
      </c>
      <c r="B16225" t="s">
        <v>6440</v>
      </c>
      <c r="C16225" t="s">
        <v>87</v>
      </c>
      <c r="D16225" s="21" t="s">
        <v>34</v>
      </c>
      <c r="E16225" s="21" t="s">
        <v>71</v>
      </c>
      <c r="F16225">
        <v>1630308</v>
      </c>
      <c r="G16225" t="s">
        <v>8083</v>
      </c>
      <c r="H16225" s="21">
        <v>826.67</v>
      </c>
    </row>
    <row r="16226" spans="1:8" customFormat="1" x14ac:dyDescent="0.25">
      <c r="A16226" t="str">
        <f>"6711955"</f>
        <v>6711955</v>
      </c>
      <c r="B16226" t="s">
        <v>13634</v>
      </c>
      <c r="C16226" t="s">
        <v>415</v>
      </c>
      <c r="D16226" s="21" t="s">
        <v>34</v>
      </c>
      <c r="E16226" s="21" t="s">
        <v>35</v>
      </c>
      <c r="F16226">
        <v>6670160</v>
      </c>
      <c r="G16226" t="s">
        <v>908</v>
      </c>
      <c r="H16226" s="21">
        <v>826.67</v>
      </c>
    </row>
    <row r="16227" spans="1:8" customFormat="1" x14ac:dyDescent="0.25">
      <c r="A16227" t="str">
        <f>"519120"</f>
        <v>519120</v>
      </c>
      <c r="B16227" t="s">
        <v>13396</v>
      </c>
      <c r="C16227" t="s">
        <v>33</v>
      </c>
      <c r="D16227" s="21" t="s">
        <v>34</v>
      </c>
      <c r="E16227" s="21" t="s">
        <v>71</v>
      </c>
      <c r="F16227">
        <v>6510077</v>
      </c>
      <c r="G16227" t="s">
        <v>756</v>
      </c>
      <c r="H16227" s="21">
        <v>826.67</v>
      </c>
    </row>
    <row r="16228" spans="1:8" customFormat="1" x14ac:dyDescent="0.25">
      <c r="A16228" t="str">
        <f>"3526644"</f>
        <v>3526644</v>
      </c>
      <c r="B16228" t="s">
        <v>14161</v>
      </c>
      <c r="C16228" t="s">
        <v>209</v>
      </c>
      <c r="D16228" s="21" t="s">
        <v>34</v>
      </c>
      <c r="E16228" s="21" t="s">
        <v>35</v>
      </c>
      <c r="F16228">
        <v>3350047</v>
      </c>
      <c r="G16228" t="s">
        <v>9797</v>
      </c>
      <c r="H16228" s="21">
        <v>826.67</v>
      </c>
    </row>
    <row r="16229" spans="1:8" customFormat="1" x14ac:dyDescent="0.25">
      <c r="A16229" t="str">
        <f>"3519339"</f>
        <v>3519339</v>
      </c>
      <c r="B16229" t="s">
        <v>14791</v>
      </c>
      <c r="C16229" t="s">
        <v>263</v>
      </c>
      <c r="D16229" s="21" t="s">
        <v>34</v>
      </c>
      <c r="E16229" s="21" t="s">
        <v>254</v>
      </c>
      <c r="F16229">
        <v>12440206</v>
      </c>
      <c r="G16229" t="s">
        <v>10374</v>
      </c>
      <c r="H16229" s="21">
        <v>826.67</v>
      </c>
    </row>
    <row r="16230" spans="1:8" customFormat="1" x14ac:dyDescent="0.25">
      <c r="A16230" t="str">
        <f>"6720313"</f>
        <v>6720313</v>
      </c>
      <c r="B16230" t="s">
        <v>10463</v>
      </c>
      <c r="C16230" t="s">
        <v>119</v>
      </c>
      <c r="D16230" s="21" t="s">
        <v>34</v>
      </c>
      <c r="E16230" s="21" t="s">
        <v>35</v>
      </c>
      <c r="F16230">
        <v>6570200</v>
      </c>
      <c r="G16230" t="s">
        <v>10682</v>
      </c>
      <c r="H16230" s="21">
        <v>826.67</v>
      </c>
    </row>
    <row r="16231" spans="1:8" customFormat="1" x14ac:dyDescent="0.25">
      <c r="A16231" t="str">
        <f>"103248"</f>
        <v>103248</v>
      </c>
      <c r="B16231" t="s">
        <v>1547</v>
      </c>
      <c r="C16231" t="s">
        <v>249</v>
      </c>
      <c r="D16231" s="21" t="s">
        <v>34</v>
      </c>
      <c r="E16231" s="21" t="s">
        <v>71</v>
      </c>
      <c r="F16231">
        <v>6100007</v>
      </c>
      <c r="G16231" t="s">
        <v>9706</v>
      </c>
      <c r="H16231" s="21">
        <v>826.67</v>
      </c>
    </row>
    <row r="16232" spans="1:8" customFormat="1" x14ac:dyDescent="0.25">
      <c r="A16232" t="str">
        <f>"378013"</f>
        <v>378013</v>
      </c>
      <c r="B16232" t="s">
        <v>13566</v>
      </c>
      <c r="C16232" t="s">
        <v>249</v>
      </c>
      <c r="D16232" s="21" t="s">
        <v>34</v>
      </c>
      <c r="E16232" s="21" t="s">
        <v>254</v>
      </c>
      <c r="F16232">
        <v>4370498</v>
      </c>
      <c r="G16232" t="s">
        <v>10872</v>
      </c>
      <c r="H16232" s="21">
        <v>826.67</v>
      </c>
    </row>
    <row r="16233" spans="1:8" customFormat="1" x14ac:dyDescent="0.25">
      <c r="A16233" t="str">
        <f>"632183"</f>
        <v>632183</v>
      </c>
      <c r="B16233" t="s">
        <v>3930</v>
      </c>
      <c r="C16233" t="s">
        <v>285</v>
      </c>
      <c r="D16233" s="21" t="s">
        <v>34</v>
      </c>
      <c r="E16233" s="21" t="s">
        <v>35</v>
      </c>
      <c r="F16233">
        <v>1630114</v>
      </c>
      <c r="G16233" t="s">
        <v>10269</v>
      </c>
      <c r="H16233" s="21">
        <v>826.67</v>
      </c>
    </row>
    <row r="16234" spans="1:8" customFormat="1" x14ac:dyDescent="0.25">
      <c r="A16234" t="str">
        <f>"39272"</f>
        <v>39272</v>
      </c>
      <c r="B16234" t="s">
        <v>13989</v>
      </c>
      <c r="C16234" t="s">
        <v>209</v>
      </c>
      <c r="D16234" s="21" t="s">
        <v>34</v>
      </c>
      <c r="E16234" s="21" t="s">
        <v>71</v>
      </c>
      <c r="F16234">
        <v>6680090</v>
      </c>
      <c r="G16234" t="s">
        <v>3129</v>
      </c>
      <c r="H16234" s="21">
        <v>826.67</v>
      </c>
    </row>
    <row r="16235" spans="1:8" customFormat="1" x14ac:dyDescent="0.25">
      <c r="A16235" t="str">
        <f>"991352"</f>
        <v>991352</v>
      </c>
      <c r="B16235" t="s">
        <v>14242</v>
      </c>
      <c r="C16235" t="s">
        <v>2520</v>
      </c>
      <c r="D16235" s="21" t="s">
        <v>34</v>
      </c>
      <c r="E16235" s="21" t="s">
        <v>35</v>
      </c>
      <c r="F16235">
        <v>5990021</v>
      </c>
      <c r="G16235" t="s">
        <v>14243</v>
      </c>
      <c r="H16235" s="21">
        <v>826.54</v>
      </c>
    </row>
    <row r="16236" spans="1:8" customFormat="1" x14ac:dyDescent="0.25">
      <c r="A16236" t="str">
        <f>"6714312"</f>
        <v>6714312</v>
      </c>
      <c r="B16236" t="s">
        <v>3140</v>
      </c>
      <c r="C16236" t="s">
        <v>144</v>
      </c>
      <c r="D16236" s="21" t="s">
        <v>34</v>
      </c>
      <c r="E16236" s="21" t="s">
        <v>35</v>
      </c>
      <c r="F16236">
        <v>6670270</v>
      </c>
      <c r="G16236" t="s">
        <v>27417</v>
      </c>
      <c r="H16236" s="21">
        <v>826.54</v>
      </c>
    </row>
    <row r="16237" spans="1:8" customFormat="1" x14ac:dyDescent="0.25">
      <c r="A16237" t="str">
        <f>"2937945"</f>
        <v>2937945</v>
      </c>
      <c r="B16237" t="s">
        <v>12119</v>
      </c>
      <c r="C16237" t="s">
        <v>169</v>
      </c>
      <c r="D16237" s="21" t="s">
        <v>34</v>
      </c>
      <c r="E16237" s="21" t="s">
        <v>35</v>
      </c>
      <c r="F16237">
        <v>3290047</v>
      </c>
      <c r="G16237" t="s">
        <v>2874</v>
      </c>
      <c r="H16237" s="21">
        <v>826.42</v>
      </c>
    </row>
    <row r="16238" spans="1:8" customFormat="1" x14ac:dyDescent="0.25">
      <c r="A16238" t="str">
        <f>"4510748"</f>
        <v>4510748</v>
      </c>
      <c r="B16238" t="s">
        <v>6940</v>
      </c>
      <c r="C16238" t="s">
        <v>171</v>
      </c>
      <c r="D16238" s="21" t="s">
        <v>34</v>
      </c>
      <c r="E16238" s="21" t="s">
        <v>254</v>
      </c>
      <c r="F16238">
        <v>4450295</v>
      </c>
      <c r="G16238" t="s">
        <v>9193</v>
      </c>
      <c r="H16238" s="21">
        <v>826.42</v>
      </c>
    </row>
    <row r="16239" spans="1:8" customFormat="1" x14ac:dyDescent="0.25">
      <c r="A16239" t="str">
        <f>"6112569"</f>
        <v>6112569</v>
      </c>
      <c r="B16239" t="s">
        <v>1301</v>
      </c>
      <c r="C16239" t="s">
        <v>139</v>
      </c>
      <c r="D16239" s="21" t="s">
        <v>34</v>
      </c>
      <c r="E16239" s="21" t="s">
        <v>35</v>
      </c>
      <c r="F16239">
        <v>9610009</v>
      </c>
      <c r="G16239" t="s">
        <v>282</v>
      </c>
      <c r="H16239" s="21">
        <v>826.42</v>
      </c>
    </row>
    <row r="16240" spans="1:8" customFormat="1" x14ac:dyDescent="0.25">
      <c r="A16240" t="str">
        <f>"6110566"</f>
        <v>6110566</v>
      </c>
      <c r="B16240" t="s">
        <v>14593</v>
      </c>
      <c r="C16240" t="s">
        <v>249</v>
      </c>
      <c r="D16240" s="21" t="s">
        <v>34</v>
      </c>
      <c r="E16240" s="21" t="s">
        <v>35</v>
      </c>
      <c r="F16240">
        <v>9610108</v>
      </c>
      <c r="G16240" t="s">
        <v>14594</v>
      </c>
      <c r="H16240" s="21">
        <v>826.17</v>
      </c>
    </row>
    <row r="16241" spans="1:8" customFormat="1" x14ac:dyDescent="0.25">
      <c r="A16241" t="str">
        <f>"7212326"</f>
        <v>7212326</v>
      </c>
      <c r="B16241" t="s">
        <v>2023</v>
      </c>
      <c r="C16241" t="s">
        <v>87</v>
      </c>
      <c r="D16241" s="21" t="s">
        <v>34</v>
      </c>
      <c r="E16241" s="21" t="s">
        <v>35</v>
      </c>
      <c r="F16241">
        <v>12720041</v>
      </c>
      <c r="G16241" t="s">
        <v>4240</v>
      </c>
      <c r="H16241" s="21">
        <v>826.17</v>
      </c>
    </row>
    <row r="16242" spans="1:8" customFormat="1" x14ac:dyDescent="0.25">
      <c r="A16242" t="str">
        <f>"84823"</f>
        <v>84823</v>
      </c>
      <c r="B16242" t="s">
        <v>12728</v>
      </c>
      <c r="C16242" t="s">
        <v>156</v>
      </c>
      <c r="D16242" s="21" t="s">
        <v>34</v>
      </c>
      <c r="E16242" s="21" t="s">
        <v>71</v>
      </c>
      <c r="F16242">
        <v>11300004</v>
      </c>
      <c r="G16242" t="s">
        <v>758</v>
      </c>
      <c r="H16242" s="21">
        <v>826.17</v>
      </c>
    </row>
    <row r="16243" spans="1:8" customFormat="1" x14ac:dyDescent="0.25">
      <c r="A16243" t="str">
        <f>"5612602"</f>
        <v>5612602</v>
      </c>
      <c r="B16243" t="s">
        <v>11327</v>
      </c>
      <c r="C16243" t="s">
        <v>124</v>
      </c>
      <c r="D16243" s="21" t="s">
        <v>34</v>
      </c>
      <c r="E16243" s="21" t="s">
        <v>71</v>
      </c>
      <c r="F16243">
        <v>3560059</v>
      </c>
      <c r="G16243" t="s">
        <v>2033</v>
      </c>
      <c r="H16243" s="21">
        <v>826.17</v>
      </c>
    </row>
    <row r="16244" spans="1:8" customFormat="1" x14ac:dyDescent="0.25">
      <c r="A16244" t="str">
        <f>"244916"</f>
        <v>244916</v>
      </c>
      <c r="B16244" t="s">
        <v>27418</v>
      </c>
      <c r="C16244" t="s">
        <v>187</v>
      </c>
      <c r="D16244" s="21" t="s">
        <v>34</v>
      </c>
      <c r="E16244" s="21" t="s">
        <v>35</v>
      </c>
      <c r="F16244">
        <v>10240001</v>
      </c>
      <c r="G16244" t="s">
        <v>10102</v>
      </c>
      <c r="H16244" s="21">
        <v>826.17</v>
      </c>
    </row>
    <row r="16245" spans="1:8" customFormat="1" x14ac:dyDescent="0.25">
      <c r="A16245" t="str">
        <f>"0211351"</f>
        <v>0211351</v>
      </c>
      <c r="B16245" t="s">
        <v>4516</v>
      </c>
      <c r="C16245" t="s">
        <v>198</v>
      </c>
      <c r="D16245" s="21" t="s">
        <v>34</v>
      </c>
      <c r="E16245" s="21" t="s">
        <v>71</v>
      </c>
      <c r="F16245">
        <v>7020001</v>
      </c>
      <c r="G16245" t="s">
        <v>3854</v>
      </c>
      <c r="H16245" s="21">
        <v>826.17</v>
      </c>
    </row>
    <row r="16246" spans="1:8" customFormat="1" x14ac:dyDescent="0.25">
      <c r="A16246" t="str">
        <f>"2713515"</f>
        <v>2713515</v>
      </c>
      <c r="B16246" t="s">
        <v>13613</v>
      </c>
      <c r="C16246" t="s">
        <v>2053</v>
      </c>
      <c r="D16246" s="21" t="s">
        <v>34</v>
      </c>
      <c r="E16246" s="21" t="s">
        <v>71</v>
      </c>
      <c r="F16246">
        <v>9270137</v>
      </c>
      <c r="G16246" t="s">
        <v>3714</v>
      </c>
      <c r="H16246" s="21">
        <v>826.17</v>
      </c>
    </row>
    <row r="16247" spans="1:8" customFormat="1" x14ac:dyDescent="0.25">
      <c r="A16247" t="str">
        <f>"405047"</f>
        <v>405047</v>
      </c>
      <c r="B16247" t="s">
        <v>8744</v>
      </c>
      <c r="C16247" t="s">
        <v>40</v>
      </c>
      <c r="D16247" s="21" t="s">
        <v>34</v>
      </c>
      <c r="E16247" s="21" t="s">
        <v>71</v>
      </c>
      <c r="F16247">
        <v>10400025</v>
      </c>
      <c r="G16247" t="s">
        <v>5655</v>
      </c>
      <c r="H16247" s="21">
        <v>826.17</v>
      </c>
    </row>
    <row r="16248" spans="1:8" customFormat="1" x14ac:dyDescent="0.25">
      <c r="A16248" t="str">
        <f>"2717875"</f>
        <v>2717875</v>
      </c>
      <c r="B16248" t="s">
        <v>14054</v>
      </c>
      <c r="C16248" t="s">
        <v>198</v>
      </c>
      <c r="D16248" s="21" t="s">
        <v>34</v>
      </c>
      <c r="E16248" s="21" t="s">
        <v>71</v>
      </c>
      <c r="F16248">
        <v>9270138</v>
      </c>
      <c r="G16248" t="s">
        <v>6112</v>
      </c>
      <c r="H16248" s="21">
        <v>826.17</v>
      </c>
    </row>
    <row r="16249" spans="1:8" customFormat="1" x14ac:dyDescent="0.25">
      <c r="A16249" t="str">
        <f>"3328597"</f>
        <v>3328597</v>
      </c>
      <c r="B16249" t="s">
        <v>3587</v>
      </c>
      <c r="C16249" t="s">
        <v>462</v>
      </c>
      <c r="D16249" s="21" t="s">
        <v>34</v>
      </c>
      <c r="E16249" s="21" t="s">
        <v>71</v>
      </c>
      <c r="F16249">
        <v>10330076</v>
      </c>
      <c r="G16249" t="s">
        <v>3769</v>
      </c>
      <c r="H16249" s="21">
        <v>826.17</v>
      </c>
    </row>
    <row r="16250" spans="1:8" customFormat="1" x14ac:dyDescent="0.25">
      <c r="A16250" t="str">
        <f>"2617388"</f>
        <v>2617388</v>
      </c>
      <c r="B16250" t="s">
        <v>16502</v>
      </c>
      <c r="C16250" t="s">
        <v>260</v>
      </c>
      <c r="D16250" s="21" t="s">
        <v>34</v>
      </c>
      <c r="E16250" s="21" t="s">
        <v>71</v>
      </c>
      <c r="F16250">
        <v>1690058</v>
      </c>
      <c r="G16250" t="s">
        <v>1644</v>
      </c>
      <c r="H16250" s="21">
        <v>826.17</v>
      </c>
    </row>
    <row r="16251" spans="1:8" customFormat="1" x14ac:dyDescent="0.25">
      <c r="A16251" t="str">
        <f>"08192"</f>
        <v>08192</v>
      </c>
      <c r="B16251" t="s">
        <v>14476</v>
      </c>
      <c r="C16251" t="s">
        <v>462</v>
      </c>
      <c r="D16251" s="21" t="s">
        <v>34</v>
      </c>
      <c r="E16251" s="21" t="s">
        <v>71</v>
      </c>
      <c r="F16251">
        <v>6080059</v>
      </c>
      <c r="G16251" t="s">
        <v>4242</v>
      </c>
      <c r="H16251" s="21">
        <v>826.17</v>
      </c>
    </row>
    <row r="16252" spans="1:8" customFormat="1" x14ac:dyDescent="0.25">
      <c r="A16252" t="str">
        <f>"065892"</f>
        <v>065892</v>
      </c>
      <c r="B16252" t="s">
        <v>14017</v>
      </c>
      <c r="C16252" t="s">
        <v>1054</v>
      </c>
      <c r="D16252" s="21" t="s">
        <v>34</v>
      </c>
      <c r="E16252" s="21" t="s">
        <v>1089</v>
      </c>
      <c r="F16252">
        <v>2710042</v>
      </c>
      <c r="G16252" t="s">
        <v>1997</v>
      </c>
      <c r="H16252" s="21">
        <v>826.17</v>
      </c>
    </row>
    <row r="16253" spans="1:8" customFormat="1" x14ac:dyDescent="0.25">
      <c r="A16253" t="str">
        <f>"5934226"</f>
        <v>5934226</v>
      </c>
      <c r="B16253" t="s">
        <v>3146</v>
      </c>
      <c r="C16253" t="s">
        <v>171</v>
      </c>
      <c r="D16253" s="21" t="s">
        <v>34</v>
      </c>
      <c r="E16253" s="21" t="s">
        <v>35</v>
      </c>
      <c r="F16253">
        <v>7590263</v>
      </c>
      <c r="G16253" t="s">
        <v>895</v>
      </c>
      <c r="H16253" s="21">
        <v>826.17</v>
      </c>
    </row>
    <row r="16254" spans="1:8" customFormat="1" x14ac:dyDescent="0.25">
      <c r="A16254" t="str">
        <f>"5951817"</f>
        <v>5951817</v>
      </c>
      <c r="B16254" t="s">
        <v>14712</v>
      </c>
      <c r="C16254" t="s">
        <v>2907</v>
      </c>
      <c r="D16254" s="21" t="s">
        <v>34</v>
      </c>
      <c r="E16254" s="21" t="s">
        <v>71</v>
      </c>
      <c r="F16254">
        <v>7590100</v>
      </c>
      <c r="G16254" t="s">
        <v>1660</v>
      </c>
      <c r="H16254" s="21">
        <v>826.17</v>
      </c>
    </row>
    <row r="16255" spans="1:8" customFormat="1" x14ac:dyDescent="0.25">
      <c r="A16255" t="str">
        <f>"03557"</f>
        <v>03557</v>
      </c>
      <c r="B16255" t="s">
        <v>12509</v>
      </c>
      <c r="C16255" t="s">
        <v>415</v>
      </c>
      <c r="D16255" s="21" t="s">
        <v>34</v>
      </c>
      <c r="E16255" s="21" t="s">
        <v>1089</v>
      </c>
      <c r="F16255">
        <v>1030108</v>
      </c>
      <c r="G16255" t="s">
        <v>26724</v>
      </c>
      <c r="H16255" s="21">
        <v>826.17</v>
      </c>
    </row>
    <row r="16256" spans="1:8" customFormat="1" x14ac:dyDescent="0.25">
      <c r="A16256" t="str">
        <f>"518553"</f>
        <v>518553</v>
      </c>
      <c r="B16256" t="s">
        <v>12363</v>
      </c>
      <c r="C16256" t="s">
        <v>576</v>
      </c>
      <c r="D16256" s="21" t="s">
        <v>34</v>
      </c>
      <c r="E16256" s="21" t="s">
        <v>35</v>
      </c>
      <c r="F16256">
        <v>6510107</v>
      </c>
      <c r="G16256" t="s">
        <v>1392</v>
      </c>
      <c r="H16256" s="21">
        <v>825.92</v>
      </c>
    </row>
    <row r="16257" spans="1:8" customFormat="1" x14ac:dyDescent="0.25">
      <c r="A16257" t="str">
        <f>"3723909"</f>
        <v>3723909</v>
      </c>
      <c r="B16257" t="s">
        <v>7828</v>
      </c>
      <c r="C16257" t="s">
        <v>33</v>
      </c>
      <c r="D16257" s="21" t="s">
        <v>34</v>
      </c>
      <c r="E16257" s="21" t="s">
        <v>71</v>
      </c>
      <c r="F16257">
        <v>4370038</v>
      </c>
      <c r="G16257" t="s">
        <v>1045</v>
      </c>
      <c r="H16257" s="21">
        <v>825.67</v>
      </c>
    </row>
    <row r="16258" spans="1:8" customFormat="1" x14ac:dyDescent="0.25">
      <c r="A16258" t="str">
        <f>"867832"</f>
        <v>867832</v>
      </c>
      <c r="B16258" t="s">
        <v>13246</v>
      </c>
      <c r="C16258" t="s">
        <v>87</v>
      </c>
      <c r="D16258" s="21" t="s">
        <v>34</v>
      </c>
      <c r="E16258" s="21" t="s">
        <v>71</v>
      </c>
      <c r="F16258">
        <v>10860038</v>
      </c>
      <c r="G16258" t="s">
        <v>8925</v>
      </c>
      <c r="H16258" s="21">
        <v>825.67</v>
      </c>
    </row>
    <row r="16259" spans="1:8" customFormat="1" x14ac:dyDescent="0.25">
      <c r="A16259" t="str">
        <f>"902237"</f>
        <v>902237</v>
      </c>
      <c r="B16259" t="s">
        <v>14343</v>
      </c>
      <c r="C16259" t="s">
        <v>1887</v>
      </c>
      <c r="D16259" s="21" t="s">
        <v>34</v>
      </c>
      <c r="E16259" s="21" t="s">
        <v>71</v>
      </c>
      <c r="F16259">
        <v>2900023</v>
      </c>
      <c r="G16259" t="s">
        <v>4360</v>
      </c>
      <c r="H16259" s="21">
        <v>825.67</v>
      </c>
    </row>
    <row r="16260" spans="1:8" customFormat="1" x14ac:dyDescent="0.25">
      <c r="A16260" t="str">
        <f>"862263"</f>
        <v>862263</v>
      </c>
      <c r="B16260" t="s">
        <v>13445</v>
      </c>
      <c r="C16260" t="s">
        <v>2232</v>
      </c>
      <c r="D16260" s="21" t="s">
        <v>34</v>
      </c>
      <c r="E16260" s="21" t="s">
        <v>71</v>
      </c>
      <c r="F16260">
        <v>10860016</v>
      </c>
      <c r="G16260" t="s">
        <v>3289</v>
      </c>
      <c r="H16260" s="21">
        <v>825.67</v>
      </c>
    </row>
    <row r="16261" spans="1:8" customFormat="1" x14ac:dyDescent="0.25">
      <c r="A16261" t="str">
        <f>"3335521"</f>
        <v>3335521</v>
      </c>
      <c r="B16261" t="s">
        <v>12849</v>
      </c>
      <c r="C16261" t="s">
        <v>98</v>
      </c>
      <c r="D16261" s="21" t="s">
        <v>34</v>
      </c>
      <c r="E16261" s="21" t="s">
        <v>35</v>
      </c>
      <c r="F16261">
        <v>10330017</v>
      </c>
      <c r="G16261" t="s">
        <v>2754</v>
      </c>
      <c r="H16261" s="21">
        <v>825.67</v>
      </c>
    </row>
    <row r="16262" spans="1:8" customFormat="1" x14ac:dyDescent="0.25">
      <c r="A16262" t="str">
        <f>"2930367"</f>
        <v>2930367</v>
      </c>
      <c r="B16262" t="s">
        <v>27419</v>
      </c>
      <c r="C16262" t="s">
        <v>139</v>
      </c>
      <c r="D16262" s="21" t="s">
        <v>34</v>
      </c>
      <c r="E16262" s="21" t="s">
        <v>71</v>
      </c>
      <c r="F16262">
        <v>3290087</v>
      </c>
      <c r="G16262" t="s">
        <v>364</v>
      </c>
      <c r="H16262" s="21">
        <v>825.67</v>
      </c>
    </row>
    <row r="16263" spans="1:8" customFormat="1" x14ac:dyDescent="0.25">
      <c r="A16263" t="str">
        <f>"7830561"</f>
        <v>7830561</v>
      </c>
      <c r="B16263" t="s">
        <v>13497</v>
      </c>
      <c r="C16263" t="s">
        <v>87</v>
      </c>
      <c r="D16263" s="21" t="s">
        <v>34</v>
      </c>
      <c r="E16263" s="21" t="s">
        <v>71</v>
      </c>
      <c r="F16263">
        <v>8940033</v>
      </c>
      <c r="G16263" t="s">
        <v>1376</v>
      </c>
      <c r="H16263" s="21">
        <v>825.67</v>
      </c>
    </row>
    <row r="16264" spans="1:8" customFormat="1" x14ac:dyDescent="0.25">
      <c r="A16264" t="str">
        <f>"02930"</f>
        <v>02930</v>
      </c>
      <c r="B16264" t="s">
        <v>6847</v>
      </c>
      <c r="C16264" t="s">
        <v>528</v>
      </c>
      <c r="D16264" s="21" t="s">
        <v>34</v>
      </c>
      <c r="E16264" s="21" t="s">
        <v>254</v>
      </c>
      <c r="F16264">
        <v>7020065</v>
      </c>
      <c r="G16264" t="s">
        <v>4852</v>
      </c>
      <c r="H16264" s="21">
        <v>825.67</v>
      </c>
    </row>
    <row r="16265" spans="1:8" customFormat="1" x14ac:dyDescent="0.25">
      <c r="A16265" t="str">
        <f>"085884"</f>
        <v>085884</v>
      </c>
      <c r="B16265" t="s">
        <v>15789</v>
      </c>
      <c r="C16265" t="s">
        <v>269</v>
      </c>
      <c r="D16265" s="21" t="s">
        <v>34</v>
      </c>
      <c r="E16265" s="21" t="s">
        <v>71</v>
      </c>
      <c r="F16265">
        <v>6080064</v>
      </c>
      <c r="G16265" t="s">
        <v>5825</v>
      </c>
      <c r="H16265" s="21">
        <v>825.67</v>
      </c>
    </row>
    <row r="16266" spans="1:8" customFormat="1" x14ac:dyDescent="0.25">
      <c r="A16266" t="str">
        <f>"589506"</f>
        <v>589506</v>
      </c>
      <c r="B16266" t="s">
        <v>1964</v>
      </c>
      <c r="C16266" t="s">
        <v>285</v>
      </c>
      <c r="D16266" s="21" t="s">
        <v>34</v>
      </c>
      <c r="E16266" s="21" t="s">
        <v>35</v>
      </c>
      <c r="F16266">
        <v>2580076</v>
      </c>
      <c r="G16266" t="s">
        <v>3666</v>
      </c>
      <c r="H16266" s="21">
        <v>825.67</v>
      </c>
    </row>
    <row r="16267" spans="1:8" customFormat="1" x14ac:dyDescent="0.25">
      <c r="A16267" t="str">
        <f>"925925"</f>
        <v>925925</v>
      </c>
      <c r="B16267" t="s">
        <v>17128</v>
      </c>
      <c r="C16267" t="s">
        <v>3456</v>
      </c>
      <c r="D16267" s="21" t="s">
        <v>34</v>
      </c>
      <c r="E16267" s="21" t="s">
        <v>71</v>
      </c>
      <c r="F16267">
        <v>8921244</v>
      </c>
      <c r="G16267" t="s">
        <v>2908</v>
      </c>
      <c r="H16267" s="21">
        <v>825.67</v>
      </c>
    </row>
    <row r="16268" spans="1:8" customFormat="1" x14ac:dyDescent="0.25">
      <c r="A16268" t="str">
        <f>"575055"</f>
        <v>575055</v>
      </c>
      <c r="B16268" t="s">
        <v>8096</v>
      </c>
      <c r="C16268" t="s">
        <v>87</v>
      </c>
      <c r="D16268" s="21" t="s">
        <v>34</v>
      </c>
      <c r="E16268" s="21" t="s">
        <v>6185</v>
      </c>
      <c r="F16268">
        <v>6570008</v>
      </c>
      <c r="G16268" t="s">
        <v>899</v>
      </c>
      <c r="H16268" s="21">
        <v>825.67</v>
      </c>
    </row>
    <row r="16269" spans="1:8" customFormat="1" x14ac:dyDescent="0.25">
      <c r="A16269" t="str">
        <f>"706402"</f>
        <v>706402</v>
      </c>
      <c r="B16269" t="s">
        <v>5479</v>
      </c>
      <c r="C16269" t="s">
        <v>62</v>
      </c>
      <c r="D16269" s="21" t="s">
        <v>34</v>
      </c>
      <c r="E16269" s="21" t="s">
        <v>35</v>
      </c>
      <c r="F16269">
        <v>2700077</v>
      </c>
      <c r="G16269" t="s">
        <v>9311</v>
      </c>
      <c r="H16269" s="21">
        <v>825.67</v>
      </c>
    </row>
    <row r="16270" spans="1:8" customFormat="1" x14ac:dyDescent="0.25">
      <c r="A16270" t="str">
        <f>"3819462"</f>
        <v>3819462</v>
      </c>
      <c r="B16270" t="s">
        <v>2355</v>
      </c>
      <c r="C16270" t="s">
        <v>109</v>
      </c>
      <c r="D16270" s="21" t="s">
        <v>34</v>
      </c>
      <c r="E16270" s="21" t="s">
        <v>35</v>
      </c>
      <c r="F16270">
        <v>1380108</v>
      </c>
      <c r="G16270" t="s">
        <v>6103</v>
      </c>
      <c r="H16270" s="21">
        <v>825.67</v>
      </c>
    </row>
    <row r="16271" spans="1:8" customFormat="1" x14ac:dyDescent="0.25">
      <c r="A16271" t="str">
        <f>"7856603"</f>
        <v>7856603</v>
      </c>
      <c r="B16271" t="s">
        <v>13557</v>
      </c>
      <c r="C16271" t="s">
        <v>3905</v>
      </c>
      <c r="D16271" s="21" t="s">
        <v>34</v>
      </c>
      <c r="E16271" s="21" t="s">
        <v>35</v>
      </c>
      <c r="F16271">
        <v>8780529</v>
      </c>
      <c r="G16271" t="s">
        <v>8624</v>
      </c>
      <c r="H16271" s="21">
        <v>825.67</v>
      </c>
    </row>
    <row r="16272" spans="1:8" customFormat="1" x14ac:dyDescent="0.25">
      <c r="A16272" t="str">
        <f>"847147"</f>
        <v>847147</v>
      </c>
      <c r="B16272" t="s">
        <v>2735</v>
      </c>
      <c r="C16272" t="s">
        <v>121</v>
      </c>
      <c r="D16272" s="21" t="s">
        <v>34</v>
      </c>
      <c r="E16272" s="21" t="s">
        <v>254</v>
      </c>
      <c r="F16272">
        <v>13840038</v>
      </c>
      <c r="G16272" t="s">
        <v>8931</v>
      </c>
      <c r="H16272" s="21">
        <v>825.67</v>
      </c>
    </row>
    <row r="16273" spans="1:8" customFormat="1" x14ac:dyDescent="0.25">
      <c r="A16273" t="str">
        <f>"588400"</f>
        <v>588400</v>
      </c>
      <c r="B16273" t="s">
        <v>208</v>
      </c>
      <c r="C16273" t="s">
        <v>926</v>
      </c>
      <c r="D16273" s="21" t="s">
        <v>34</v>
      </c>
      <c r="E16273" s="21" t="s">
        <v>35</v>
      </c>
      <c r="F16273">
        <v>2890023</v>
      </c>
      <c r="G16273" t="s">
        <v>1995</v>
      </c>
      <c r="H16273" s="21">
        <v>825.54</v>
      </c>
    </row>
    <row r="16274" spans="1:8" customFormat="1" x14ac:dyDescent="0.25">
      <c r="A16274" t="str">
        <f>"0113002"</f>
        <v>0113002</v>
      </c>
      <c r="B16274" t="s">
        <v>14197</v>
      </c>
      <c r="C16274" t="s">
        <v>109</v>
      </c>
      <c r="D16274" s="21" t="s">
        <v>34</v>
      </c>
      <c r="E16274" s="21" t="s">
        <v>35</v>
      </c>
      <c r="F16274">
        <v>1010069</v>
      </c>
      <c r="G16274" t="s">
        <v>1707</v>
      </c>
      <c r="H16274" s="21">
        <v>825.54</v>
      </c>
    </row>
    <row r="16275" spans="1:8" customFormat="1" x14ac:dyDescent="0.25">
      <c r="A16275" t="str">
        <f>"5719582"</f>
        <v>5719582</v>
      </c>
      <c r="B16275" t="s">
        <v>14781</v>
      </c>
      <c r="C16275" t="s">
        <v>156</v>
      </c>
      <c r="D16275" s="21" t="s">
        <v>34</v>
      </c>
      <c r="E16275" s="21" t="s">
        <v>71</v>
      </c>
      <c r="F16275">
        <v>6570132</v>
      </c>
      <c r="G16275" t="s">
        <v>26746</v>
      </c>
      <c r="H16275" s="21">
        <v>825.54</v>
      </c>
    </row>
    <row r="16276" spans="1:8" customFormat="1" x14ac:dyDescent="0.25">
      <c r="A16276" t="str">
        <f>"617315"</f>
        <v>617315</v>
      </c>
      <c r="B16276" t="s">
        <v>12907</v>
      </c>
      <c r="C16276" t="s">
        <v>269</v>
      </c>
      <c r="D16276" s="21" t="s">
        <v>34</v>
      </c>
      <c r="E16276" s="21" t="s">
        <v>71</v>
      </c>
      <c r="F16276">
        <v>9610148</v>
      </c>
      <c r="G16276" t="s">
        <v>8163</v>
      </c>
      <c r="H16276" s="21">
        <v>825.42</v>
      </c>
    </row>
    <row r="16277" spans="1:8" customFormat="1" x14ac:dyDescent="0.25">
      <c r="A16277" t="str">
        <f>"5946709"</f>
        <v>5946709</v>
      </c>
      <c r="B16277" t="s">
        <v>1103</v>
      </c>
      <c r="C16277" t="s">
        <v>151</v>
      </c>
      <c r="D16277" s="21" t="s">
        <v>34</v>
      </c>
      <c r="E16277" s="21" t="s">
        <v>35</v>
      </c>
      <c r="F16277">
        <v>7590281</v>
      </c>
      <c r="G16277" t="s">
        <v>7165</v>
      </c>
      <c r="H16277" s="21">
        <v>825.29</v>
      </c>
    </row>
    <row r="16278" spans="1:8" customFormat="1" x14ac:dyDescent="0.25">
      <c r="A16278" t="str">
        <f>"638153"</f>
        <v>638153</v>
      </c>
      <c r="B16278" t="s">
        <v>4352</v>
      </c>
      <c r="C16278" t="s">
        <v>239</v>
      </c>
      <c r="D16278" s="21" t="s">
        <v>34</v>
      </c>
      <c r="E16278" s="21" t="s">
        <v>35</v>
      </c>
      <c r="F16278">
        <v>1630303</v>
      </c>
      <c r="G16278" t="s">
        <v>8915</v>
      </c>
      <c r="H16278" s="21">
        <v>825.17</v>
      </c>
    </row>
    <row r="16279" spans="1:8" customFormat="1" x14ac:dyDescent="0.25">
      <c r="A16279" t="str">
        <f>"8525161"</f>
        <v>8525161</v>
      </c>
      <c r="B16279" t="s">
        <v>4014</v>
      </c>
      <c r="C16279" t="s">
        <v>275</v>
      </c>
      <c r="D16279" s="21" t="s">
        <v>34</v>
      </c>
      <c r="E16279" s="21" t="s">
        <v>35</v>
      </c>
      <c r="F16279">
        <v>12850026</v>
      </c>
      <c r="G16279" t="s">
        <v>1400</v>
      </c>
      <c r="H16279" s="21">
        <v>825.17</v>
      </c>
    </row>
    <row r="16280" spans="1:8" customFormat="1" x14ac:dyDescent="0.25">
      <c r="A16280" t="str">
        <f>"534753"</f>
        <v>534753</v>
      </c>
      <c r="B16280" t="s">
        <v>7072</v>
      </c>
      <c r="C16280" t="s">
        <v>209</v>
      </c>
      <c r="D16280" s="21" t="s">
        <v>34</v>
      </c>
      <c r="E16280" s="21" t="s">
        <v>254</v>
      </c>
      <c r="F16280">
        <v>12530058</v>
      </c>
      <c r="G16280" t="s">
        <v>3128</v>
      </c>
      <c r="H16280" s="21">
        <v>825.17</v>
      </c>
    </row>
    <row r="16281" spans="1:8" customFormat="1" x14ac:dyDescent="0.25">
      <c r="A16281" t="str">
        <f>"5112036"</f>
        <v>5112036</v>
      </c>
      <c r="B16281" t="s">
        <v>13314</v>
      </c>
      <c r="C16281" t="s">
        <v>43</v>
      </c>
      <c r="D16281" s="21" t="s">
        <v>34</v>
      </c>
      <c r="E16281" s="21" t="s">
        <v>35</v>
      </c>
      <c r="F16281">
        <v>6510077</v>
      </c>
      <c r="G16281" t="s">
        <v>756</v>
      </c>
      <c r="H16281" s="21">
        <v>825.17</v>
      </c>
    </row>
    <row r="16282" spans="1:8" customFormat="1" x14ac:dyDescent="0.25">
      <c r="A16282" t="str">
        <f>"6222505"</f>
        <v>6222505</v>
      </c>
      <c r="B16282" t="s">
        <v>882</v>
      </c>
      <c r="C16282" t="s">
        <v>109</v>
      </c>
      <c r="D16282" s="21" t="s">
        <v>34</v>
      </c>
      <c r="E16282" s="21" t="s">
        <v>35</v>
      </c>
      <c r="F16282">
        <v>7620176</v>
      </c>
      <c r="G16282" t="s">
        <v>3111</v>
      </c>
      <c r="H16282" s="21">
        <v>825.17</v>
      </c>
    </row>
    <row r="16283" spans="1:8" customFormat="1" x14ac:dyDescent="0.25">
      <c r="A16283" t="str">
        <f>"43415"</f>
        <v>43415</v>
      </c>
      <c r="B16283" t="s">
        <v>13432</v>
      </c>
      <c r="C16283" t="s">
        <v>2100</v>
      </c>
      <c r="D16283" s="21" t="s">
        <v>34</v>
      </c>
      <c r="E16283" s="21" t="s">
        <v>254</v>
      </c>
      <c r="F16283">
        <v>1420291</v>
      </c>
      <c r="G16283" t="s">
        <v>13231</v>
      </c>
      <c r="H16283" s="21">
        <v>825.17</v>
      </c>
    </row>
    <row r="16284" spans="1:8" customFormat="1" x14ac:dyDescent="0.25">
      <c r="A16284" t="str">
        <f>"5975990"</f>
        <v>5975990</v>
      </c>
      <c r="B16284" t="s">
        <v>16298</v>
      </c>
      <c r="C16284" t="s">
        <v>187</v>
      </c>
      <c r="D16284" s="21" t="s">
        <v>34</v>
      </c>
      <c r="E16284" s="21" t="s">
        <v>35</v>
      </c>
      <c r="F16284">
        <v>7590244</v>
      </c>
      <c r="G16284" t="s">
        <v>5768</v>
      </c>
      <c r="H16284" s="21">
        <v>825.17</v>
      </c>
    </row>
    <row r="16285" spans="1:8" customFormat="1" x14ac:dyDescent="0.25">
      <c r="A16285" t="str">
        <f>"454817"</f>
        <v>454817</v>
      </c>
      <c r="B16285" t="s">
        <v>5416</v>
      </c>
      <c r="C16285" t="s">
        <v>328</v>
      </c>
      <c r="D16285" s="21" t="s">
        <v>34</v>
      </c>
      <c r="E16285" s="21" t="s">
        <v>35</v>
      </c>
      <c r="F16285">
        <v>8951366</v>
      </c>
      <c r="G16285" t="s">
        <v>3708</v>
      </c>
      <c r="H16285" s="21">
        <v>825.17</v>
      </c>
    </row>
    <row r="16286" spans="1:8" customFormat="1" x14ac:dyDescent="0.25">
      <c r="A16286" t="str">
        <f>"1613524"</f>
        <v>1613524</v>
      </c>
      <c r="B16286" t="s">
        <v>13956</v>
      </c>
      <c r="C16286" t="s">
        <v>1782</v>
      </c>
      <c r="D16286" s="21" t="s">
        <v>34</v>
      </c>
      <c r="E16286" s="21" t="s">
        <v>35</v>
      </c>
      <c r="F16286">
        <v>10160047</v>
      </c>
      <c r="G16286" t="s">
        <v>13957</v>
      </c>
      <c r="H16286" s="21">
        <v>825.17</v>
      </c>
    </row>
    <row r="16287" spans="1:8" customFormat="1" x14ac:dyDescent="0.25">
      <c r="A16287" t="str">
        <f>"3329833"</f>
        <v>3329833</v>
      </c>
      <c r="B16287" t="s">
        <v>8783</v>
      </c>
      <c r="C16287" t="s">
        <v>576</v>
      </c>
      <c r="D16287" s="21" t="s">
        <v>34</v>
      </c>
      <c r="E16287" s="21" t="s">
        <v>35</v>
      </c>
      <c r="F16287">
        <v>10330032</v>
      </c>
      <c r="G16287" t="s">
        <v>4408</v>
      </c>
      <c r="H16287" s="21">
        <v>825.17</v>
      </c>
    </row>
    <row r="16288" spans="1:8" customFormat="1" x14ac:dyDescent="0.25">
      <c r="A16288" t="str">
        <f>"1613373"</f>
        <v>1613373</v>
      </c>
      <c r="B16288" t="s">
        <v>4370</v>
      </c>
      <c r="C16288" t="s">
        <v>139</v>
      </c>
      <c r="D16288" s="21" t="s">
        <v>34</v>
      </c>
      <c r="E16288" s="21" t="s">
        <v>35</v>
      </c>
      <c r="F16288">
        <v>10160047</v>
      </c>
      <c r="G16288" t="s">
        <v>13957</v>
      </c>
      <c r="H16288" s="21">
        <v>825.17</v>
      </c>
    </row>
    <row r="16289" spans="1:8" customFormat="1" x14ac:dyDescent="0.25">
      <c r="A16289" t="str">
        <f>"3727990"</f>
        <v>3727990</v>
      </c>
      <c r="B16289" t="s">
        <v>2398</v>
      </c>
      <c r="C16289" t="s">
        <v>462</v>
      </c>
      <c r="D16289" s="21" t="s">
        <v>34</v>
      </c>
      <c r="E16289" s="21" t="s">
        <v>35</v>
      </c>
      <c r="F16289">
        <v>4370729</v>
      </c>
      <c r="G16289" t="s">
        <v>15423</v>
      </c>
      <c r="H16289" s="21">
        <v>825.17</v>
      </c>
    </row>
    <row r="16290" spans="1:8" customFormat="1" x14ac:dyDescent="0.25">
      <c r="A16290" t="str">
        <f>"6935166"</f>
        <v>6935166</v>
      </c>
      <c r="B16290" t="s">
        <v>3351</v>
      </c>
      <c r="C16290" t="s">
        <v>1271</v>
      </c>
      <c r="D16290" s="21" t="s">
        <v>34</v>
      </c>
      <c r="E16290" s="21" t="s">
        <v>71</v>
      </c>
      <c r="F16290">
        <v>1690201</v>
      </c>
      <c r="G16290" t="s">
        <v>11274</v>
      </c>
      <c r="H16290" s="21">
        <v>825.17</v>
      </c>
    </row>
    <row r="16291" spans="1:8" customFormat="1" x14ac:dyDescent="0.25">
      <c r="A16291" t="str">
        <f>"3712101"</f>
        <v>3712101</v>
      </c>
      <c r="B16291" t="s">
        <v>4352</v>
      </c>
      <c r="C16291" t="s">
        <v>926</v>
      </c>
      <c r="D16291" s="21" t="s">
        <v>34</v>
      </c>
      <c r="E16291" s="21" t="s">
        <v>254</v>
      </c>
      <c r="F16291">
        <v>4370011</v>
      </c>
      <c r="G16291" t="s">
        <v>3672</v>
      </c>
      <c r="H16291" s="21">
        <v>825.17</v>
      </c>
    </row>
    <row r="16292" spans="1:8" customFormat="1" x14ac:dyDescent="0.25">
      <c r="A16292" t="str">
        <f>"5958683"</f>
        <v>5958683</v>
      </c>
      <c r="B16292" t="s">
        <v>8822</v>
      </c>
      <c r="C16292" t="s">
        <v>43</v>
      </c>
      <c r="D16292" s="21" t="s">
        <v>34</v>
      </c>
      <c r="E16292" s="21" t="s">
        <v>35</v>
      </c>
      <c r="F16292">
        <v>7590269</v>
      </c>
      <c r="G16292" t="s">
        <v>873</v>
      </c>
      <c r="H16292" s="21">
        <v>825.17</v>
      </c>
    </row>
    <row r="16293" spans="1:8" customFormat="1" x14ac:dyDescent="0.25">
      <c r="A16293" t="str">
        <f>"563297"</f>
        <v>563297</v>
      </c>
      <c r="B16293" t="s">
        <v>14877</v>
      </c>
      <c r="C16293" t="s">
        <v>1812</v>
      </c>
      <c r="D16293" s="21" t="s">
        <v>34</v>
      </c>
      <c r="E16293" s="21" t="s">
        <v>71</v>
      </c>
      <c r="F16293">
        <v>3560055</v>
      </c>
      <c r="G16293" t="s">
        <v>8371</v>
      </c>
      <c r="H16293" s="21">
        <v>825.17</v>
      </c>
    </row>
    <row r="16294" spans="1:8" customFormat="1" x14ac:dyDescent="0.25">
      <c r="A16294" t="str">
        <f>"432637"</f>
        <v>432637</v>
      </c>
      <c r="B16294" t="s">
        <v>15586</v>
      </c>
      <c r="C16294" t="s">
        <v>608</v>
      </c>
      <c r="D16294" s="21" t="s">
        <v>34</v>
      </c>
      <c r="E16294" s="21" t="s">
        <v>35</v>
      </c>
      <c r="F16294">
        <v>1420309</v>
      </c>
      <c r="G16294" t="s">
        <v>26798</v>
      </c>
      <c r="H16294" s="21">
        <v>825.17</v>
      </c>
    </row>
    <row r="16295" spans="1:8" customFormat="1" x14ac:dyDescent="0.25">
      <c r="A16295" t="str">
        <f>"40367"</f>
        <v>40367</v>
      </c>
      <c r="B16295" t="s">
        <v>1959</v>
      </c>
      <c r="C16295" t="s">
        <v>3456</v>
      </c>
      <c r="D16295" s="21" t="s">
        <v>34</v>
      </c>
      <c r="E16295" s="21" t="s">
        <v>254</v>
      </c>
      <c r="F16295">
        <v>10400015</v>
      </c>
      <c r="G16295" t="s">
        <v>1095</v>
      </c>
      <c r="H16295" s="21">
        <v>825.17</v>
      </c>
    </row>
    <row r="16296" spans="1:8" customFormat="1" x14ac:dyDescent="0.25">
      <c r="A16296" t="str">
        <f>"2512620"</f>
        <v>2512620</v>
      </c>
      <c r="B16296" t="s">
        <v>5769</v>
      </c>
      <c r="C16296" t="s">
        <v>1605</v>
      </c>
      <c r="D16296" s="21" t="s">
        <v>34</v>
      </c>
      <c r="E16296" s="21" t="s">
        <v>1089</v>
      </c>
      <c r="F16296">
        <v>2250016</v>
      </c>
      <c r="G16296" t="s">
        <v>1709</v>
      </c>
      <c r="H16296" s="21">
        <v>825.17</v>
      </c>
    </row>
    <row r="16297" spans="1:8" customFormat="1" x14ac:dyDescent="0.25">
      <c r="A16297" t="str">
        <f>"3533207"</f>
        <v>3533207</v>
      </c>
      <c r="B16297" t="s">
        <v>9470</v>
      </c>
      <c r="C16297" t="s">
        <v>49</v>
      </c>
      <c r="D16297" s="21" t="s">
        <v>34</v>
      </c>
      <c r="E16297" s="21" t="s">
        <v>35</v>
      </c>
      <c r="F16297">
        <v>3560049</v>
      </c>
      <c r="G16297" t="s">
        <v>8021</v>
      </c>
      <c r="H16297" s="21">
        <v>825.17</v>
      </c>
    </row>
    <row r="16298" spans="1:8" customFormat="1" x14ac:dyDescent="0.25">
      <c r="A16298" t="str">
        <f>"595689"</f>
        <v>595689</v>
      </c>
      <c r="B16298" t="s">
        <v>13904</v>
      </c>
      <c r="C16298" t="s">
        <v>130</v>
      </c>
      <c r="D16298" s="21" t="s">
        <v>34</v>
      </c>
      <c r="E16298" s="21" t="s">
        <v>254</v>
      </c>
      <c r="F16298">
        <v>7590184</v>
      </c>
      <c r="G16298" t="s">
        <v>6722</v>
      </c>
      <c r="H16298" s="21">
        <v>825.17</v>
      </c>
    </row>
    <row r="16299" spans="1:8" customFormat="1" x14ac:dyDescent="0.25">
      <c r="A16299" t="str">
        <f>"4444819"</f>
        <v>4444819</v>
      </c>
      <c r="B16299" t="s">
        <v>646</v>
      </c>
      <c r="C16299" t="s">
        <v>3010</v>
      </c>
      <c r="D16299" s="21" t="s">
        <v>34</v>
      </c>
      <c r="E16299" s="21" t="s">
        <v>1089</v>
      </c>
      <c r="F16299">
        <v>12440033</v>
      </c>
      <c r="G16299" t="s">
        <v>1638</v>
      </c>
      <c r="H16299" s="21">
        <v>825.17</v>
      </c>
    </row>
    <row r="16300" spans="1:8" customFormat="1" x14ac:dyDescent="0.25">
      <c r="A16300" t="str">
        <f>"728566"</f>
        <v>728566</v>
      </c>
      <c r="B16300" t="s">
        <v>14455</v>
      </c>
      <c r="C16300" t="s">
        <v>62</v>
      </c>
      <c r="D16300" s="21" t="s">
        <v>34</v>
      </c>
      <c r="E16300" s="21" t="s">
        <v>35</v>
      </c>
      <c r="F16300">
        <v>12720045</v>
      </c>
      <c r="G16300" t="s">
        <v>2484</v>
      </c>
      <c r="H16300" s="21">
        <v>824.92</v>
      </c>
    </row>
    <row r="16301" spans="1:8" customFormat="1" x14ac:dyDescent="0.25">
      <c r="A16301" t="str">
        <f>"09925"</f>
        <v>09925</v>
      </c>
      <c r="B16301" t="s">
        <v>6725</v>
      </c>
      <c r="C16301" t="s">
        <v>2365</v>
      </c>
      <c r="D16301" s="21" t="s">
        <v>34</v>
      </c>
      <c r="E16301" s="21" t="s">
        <v>71</v>
      </c>
      <c r="F16301">
        <v>11090014</v>
      </c>
      <c r="G16301" t="s">
        <v>9140</v>
      </c>
      <c r="H16301" s="21">
        <v>824.92</v>
      </c>
    </row>
    <row r="16302" spans="1:8" customFormat="1" x14ac:dyDescent="0.25">
      <c r="A16302" t="str">
        <f>"5019952"</f>
        <v>5019952</v>
      </c>
      <c r="B16302" t="s">
        <v>17641</v>
      </c>
      <c r="C16302" t="s">
        <v>204</v>
      </c>
      <c r="D16302" s="21" t="s">
        <v>34</v>
      </c>
      <c r="E16302" s="21" t="s">
        <v>35</v>
      </c>
      <c r="F16302">
        <v>9500117</v>
      </c>
      <c r="G16302" t="s">
        <v>247</v>
      </c>
      <c r="H16302" s="21">
        <v>824.92</v>
      </c>
    </row>
    <row r="16303" spans="1:8" customFormat="1" x14ac:dyDescent="0.25">
      <c r="A16303" t="str">
        <f>"5321512"</f>
        <v>5321512</v>
      </c>
      <c r="B16303" t="s">
        <v>6678</v>
      </c>
      <c r="C16303" t="s">
        <v>462</v>
      </c>
      <c r="D16303" s="21" t="s">
        <v>34</v>
      </c>
      <c r="E16303" s="21" t="s">
        <v>35</v>
      </c>
      <c r="F16303">
        <v>12530035</v>
      </c>
      <c r="G16303" t="s">
        <v>1663</v>
      </c>
      <c r="H16303" s="21">
        <v>824.92</v>
      </c>
    </row>
    <row r="16304" spans="1:8" customFormat="1" x14ac:dyDescent="0.25">
      <c r="A16304" t="str">
        <f>"5016314"</f>
        <v>5016314</v>
      </c>
      <c r="B16304" t="s">
        <v>13695</v>
      </c>
      <c r="C16304" t="s">
        <v>285</v>
      </c>
      <c r="D16304" s="21" t="s">
        <v>34</v>
      </c>
      <c r="E16304" s="21" t="s">
        <v>35</v>
      </c>
      <c r="F16304">
        <v>9500015</v>
      </c>
      <c r="G16304" t="s">
        <v>3389</v>
      </c>
      <c r="H16304" s="21">
        <v>824.67</v>
      </c>
    </row>
    <row r="16305" spans="1:8" customFormat="1" x14ac:dyDescent="0.25">
      <c r="A16305" t="str">
        <f>"9113500"</f>
        <v>9113500</v>
      </c>
      <c r="B16305" t="s">
        <v>12490</v>
      </c>
      <c r="C16305" t="s">
        <v>12491</v>
      </c>
      <c r="D16305" s="21" t="s">
        <v>34</v>
      </c>
      <c r="E16305" s="21" t="s">
        <v>71</v>
      </c>
      <c r="F16305">
        <v>8911323</v>
      </c>
      <c r="G16305" t="s">
        <v>555</v>
      </c>
      <c r="H16305" s="21">
        <v>824.67</v>
      </c>
    </row>
    <row r="16306" spans="1:8" customFormat="1" x14ac:dyDescent="0.25">
      <c r="A16306" t="str">
        <f>"6912269"</f>
        <v>6912269</v>
      </c>
      <c r="B16306" t="s">
        <v>13650</v>
      </c>
      <c r="C16306" t="s">
        <v>40</v>
      </c>
      <c r="D16306" s="21" t="s">
        <v>34</v>
      </c>
      <c r="E16306" s="21" t="s">
        <v>71</v>
      </c>
      <c r="F16306">
        <v>1690029</v>
      </c>
      <c r="G16306" t="s">
        <v>6554</v>
      </c>
      <c r="H16306" s="21">
        <v>824.67</v>
      </c>
    </row>
    <row r="16307" spans="1:8" customFormat="1" x14ac:dyDescent="0.25">
      <c r="A16307" t="str">
        <f>"06224"</f>
        <v>06224</v>
      </c>
      <c r="B16307" t="s">
        <v>15082</v>
      </c>
      <c r="C16307" t="s">
        <v>87</v>
      </c>
      <c r="D16307" s="21" t="s">
        <v>34</v>
      </c>
      <c r="E16307" s="21" t="s">
        <v>71</v>
      </c>
      <c r="F16307">
        <v>13060066</v>
      </c>
      <c r="G16307" t="s">
        <v>2556</v>
      </c>
      <c r="H16307" s="21">
        <v>824.67</v>
      </c>
    </row>
    <row r="16308" spans="1:8" customFormat="1" x14ac:dyDescent="0.25">
      <c r="A16308" t="str">
        <f>"6214792"</f>
        <v>6214792</v>
      </c>
      <c r="B16308" t="s">
        <v>1090</v>
      </c>
      <c r="C16308" t="s">
        <v>169</v>
      </c>
      <c r="D16308" s="21" t="s">
        <v>34</v>
      </c>
      <c r="E16308" s="21" t="s">
        <v>71</v>
      </c>
      <c r="F16308">
        <v>7620175</v>
      </c>
      <c r="G16308" t="s">
        <v>15163</v>
      </c>
      <c r="H16308" s="21">
        <v>824.67</v>
      </c>
    </row>
    <row r="16309" spans="1:8" customFormat="1" x14ac:dyDescent="0.25">
      <c r="A16309" t="str">
        <f>"2924507"</f>
        <v>2924507</v>
      </c>
      <c r="B16309" t="s">
        <v>3313</v>
      </c>
      <c r="C16309" t="s">
        <v>621</v>
      </c>
      <c r="D16309" s="21" t="s">
        <v>34</v>
      </c>
      <c r="E16309" s="21" t="s">
        <v>35</v>
      </c>
      <c r="F16309">
        <v>3290005</v>
      </c>
      <c r="G16309" t="s">
        <v>1253</v>
      </c>
      <c r="H16309" s="21">
        <v>824.67</v>
      </c>
    </row>
    <row r="16310" spans="1:8" customFormat="1" x14ac:dyDescent="0.25">
      <c r="A16310" t="str">
        <f>"784179"</f>
        <v>784179</v>
      </c>
      <c r="B16310" t="s">
        <v>7041</v>
      </c>
      <c r="C16310" t="s">
        <v>40</v>
      </c>
      <c r="D16310" s="21" t="s">
        <v>34</v>
      </c>
      <c r="E16310" s="21" t="s">
        <v>254</v>
      </c>
      <c r="F16310">
        <v>8781473</v>
      </c>
      <c r="G16310" t="s">
        <v>1097</v>
      </c>
      <c r="H16310" s="21">
        <v>824.67</v>
      </c>
    </row>
    <row r="16311" spans="1:8" customFormat="1" x14ac:dyDescent="0.25">
      <c r="A16311" t="str">
        <f>"183330"</f>
        <v>183330</v>
      </c>
      <c r="B16311" t="s">
        <v>14644</v>
      </c>
      <c r="C16311" t="s">
        <v>462</v>
      </c>
      <c r="D16311" s="21" t="s">
        <v>34</v>
      </c>
      <c r="E16311" s="21" t="s">
        <v>71</v>
      </c>
      <c r="F16311">
        <v>4180732</v>
      </c>
      <c r="G16311" t="s">
        <v>14645</v>
      </c>
      <c r="H16311" s="21">
        <v>824.67</v>
      </c>
    </row>
    <row r="16312" spans="1:8" customFormat="1" x14ac:dyDescent="0.25">
      <c r="A16312" t="str">
        <f>"2910916"</f>
        <v>2910916</v>
      </c>
      <c r="B16312" t="s">
        <v>11389</v>
      </c>
      <c r="C16312" t="s">
        <v>7923</v>
      </c>
      <c r="D16312" s="21" t="s">
        <v>34</v>
      </c>
      <c r="E16312" s="21" t="s">
        <v>35</v>
      </c>
      <c r="F16312">
        <v>3290217</v>
      </c>
      <c r="G16312" t="s">
        <v>6770</v>
      </c>
      <c r="H16312" s="21">
        <v>824.67</v>
      </c>
    </row>
    <row r="16313" spans="1:8" customFormat="1" x14ac:dyDescent="0.25">
      <c r="A16313" t="str">
        <f>"6814413"</f>
        <v>6814413</v>
      </c>
      <c r="B16313" t="s">
        <v>18450</v>
      </c>
      <c r="C16313" t="s">
        <v>18451</v>
      </c>
      <c r="D16313" s="21" t="s">
        <v>34</v>
      </c>
      <c r="E16313" s="21" t="s">
        <v>71</v>
      </c>
      <c r="F16313">
        <v>6680130</v>
      </c>
      <c r="G16313" t="s">
        <v>26772</v>
      </c>
      <c r="H16313" s="21">
        <v>824.67</v>
      </c>
    </row>
    <row r="16314" spans="1:8" customFormat="1" x14ac:dyDescent="0.25">
      <c r="A16314" t="str">
        <f>"4431686"</f>
        <v>4431686</v>
      </c>
      <c r="B16314" t="s">
        <v>13863</v>
      </c>
      <c r="C16314" t="s">
        <v>33</v>
      </c>
      <c r="D16314" s="21" t="s">
        <v>34</v>
      </c>
      <c r="E16314" s="21" t="s">
        <v>71</v>
      </c>
      <c r="F16314">
        <v>12440074</v>
      </c>
      <c r="G16314" t="s">
        <v>2436</v>
      </c>
      <c r="H16314" s="21">
        <v>824.67</v>
      </c>
    </row>
    <row r="16315" spans="1:8" customFormat="1" x14ac:dyDescent="0.25">
      <c r="A16315" t="str">
        <f>"588060"</f>
        <v>588060</v>
      </c>
      <c r="B16315" t="s">
        <v>10678</v>
      </c>
      <c r="C16315" t="s">
        <v>1665</v>
      </c>
      <c r="D16315" s="21" t="s">
        <v>34</v>
      </c>
      <c r="E16315" s="21" t="s">
        <v>71</v>
      </c>
      <c r="F16315">
        <v>2580031</v>
      </c>
      <c r="G16315" t="s">
        <v>5904</v>
      </c>
      <c r="H16315" s="21">
        <v>824.67</v>
      </c>
    </row>
    <row r="16316" spans="1:8" customFormat="1" x14ac:dyDescent="0.25">
      <c r="A16316" t="str">
        <f>"939163"</f>
        <v>939163</v>
      </c>
      <c r="B16316" t="s">
        <v>13579</v>
      </c>
      <c r="C16316" t="s">
        <v>2305</v>
      </c>
      <c r="D16316" s="21" t="s">
        <v>34</v>
      </c>
      <c r="E16316" s="21" t="s">
        <v>71</v>
      </c>
      <c r="F16316">
        <v>8930452</v>
      </c>
      <c r="G16316" t="s">
        <v>83</v>
      </c>
      <c r="H16316" s="21">
        <v>824.67</v>
      </c>
    </row>
    <row r="16317" spans="1:8" customFormat="1" x14ac:dyDescent="0.25">
      <c r="A16317" t="str">
        <f>"7849796"</f>
        <v>7849796</v>
      </c>
      <c r="B16317" t="s">
        <v>2738</v>
      </c>
      <c r="C16317" t="s">
        <v>1025</v>
      </c>
      <c r="D16317" s="21" t="s">
        <v>34</v>
      </c>
      <c r="E16317" s="21" t="s">
        <v>35</v>
      </c>
      <c r="F16317">
        <v>8781469</v>
      </c>
      <c r="G16317" t="s">
        <v>4779</v>
      </c>
      <c r="H16317" s="21">
        <v>824.67</v>
      </c>
    </row>
    <row r="16318" spans="1:8" customFormat="1" x14ac:dyDescent="0.25">
      <c r="A16318" t="str">
        <f>"679420"</f>
        <v>679420</v>
      </c>
      <c r="B16318" t="s">
        <v>13153</v>
      </c>
      <c r="C16318" t="s">
        <v>13154</v>
      </c>
      <c r="D16318" s="21" t="s">
        <v>34</v>
      </c>
      <c r="E16318" s="21" t="s">
        <v>254</v>
      </c>
      <c r="F16318">
        <v>6670261</v>
      </c>
      <c r="G16318" t="s">
        <v>4621</v>
      </c>
      <c r="H16318" s="21">
        <v>824.67</v>
      </c>
    </row>
    <row r="16319" spans="1:8" customFormat="1" x14ac:dyDescent="0.25">
      <c r="A16319" t="str">
        <f>"4298"</f>
        <v>4298</v>
      </c>
      <c r="B16319" t="s">
        <v>13689</v>
      </c>
      <c r="C16319" t="s">
        <v>40</v>
      </c>
      <c r="D16319" s="21" t="s">
        <v>34</v>
      </c>
      <c r="E16319" s="21" t="s">
        <v>71</v>
      </c>
      <c r="F16319">
        <v>1420010</v>
      </c>
      <c r="G16319" t="s">
        <v>1937</v>
      </c>
      <c r="H16319" s="21">
        <v>824.67</v>
      </c>
    </row>
    <row r="16320" spans="1:8" customFormat="1" x14ac:dyDescent="0.25">
      <c r="A16320" t="str">
        <f>"33970"</f>
        <v>33970</v>
      </c>
      <c r="B16320" t="s">
        <v>14986</v>
      </c>
      <c r="C16320" t="s">
        <v>415</v>
      </c>
      <c r="D16320" s="21" t="s">
        <v>34</v>
      </c>
      <c r="E16320" s="21" t="s">
        <v>71</v>
      </c>
      <c r="F16320">
        <v>10330046</v>
      </c>
      <c r="G16320" t="s">
        <v>1787</v>
      </c>
      <c r="H16320" s="21">
        <v>824.67</v>
      </c>
    </row>
    <row r="16321" spans="1:8" customFormat="1" x14ac:dyDescent="0.25">
      <c r="A16321" t="str">
        <f>"9312028"</f>
        <v>9312028</v>
      </c>
      <c r="B16321" t="s">
        <v>12720</v>
      </c>
      <c r="C16321" t="s">
        <v>149</v>
      </c>
      <c r="D16321" s="21" t="s">
        <v>34</v>
      </c>
      <c r="E16321" s="21" t="s">
        <v>35</v>
      </c>
      <c r="F16321">
        <v>4450762</v>
      </c>
      <c r="G16321" t="s">
        <v>8632</v>
      </c>
      <c r="H16321" s="21">
        <v>824.67</v>
      </c>
    </row>
    <row r="16322" spans="1:8" customFormat="1" x14ac:dyDescent="0.25">
      <c r="A16322" t="str">
        <f>"027237"</f>
        <v>027237</v>
      </c>
      <c r="B16322" t="s">
        <v>13567</v>
      </c>
      <c r="C16322" t="s">
        <v>1714</v>
      </c>
      <c r="D16322" s="21" t="s">
        <v>34</v>
      </c>
      <c r="E16322" s="21" t="s">
        <v>71</v>
      </c>
      <c r="F16322">
        <v>7020019</v>
      </c>
      <c r="G16322" t="s">
        <v>7912</v>
      </c>
      <c r="H16322" s="21">
        <v>824.67</v>
      </c>
    </row>
    <row r="16323" spans="1:8" customFormat="1" x14ac:dyDescent="0.25">
      <c r="A16323" t="str">
        <f>"6012065"</f>
        <v>6012065</v>
      </c>
      <c r="B16323" t="s">
        <v>15099</v>
      </c>
      <c r="C16323" t="s">
        <v>40</v>
      </c>
      <c r="D16323" s="21" t="s">
        <v>34</v>
      </c>
      <c r="E16323" s="21" t="s">
        <v>254</v>
      </c>
      <c r="F16323">
        <v>8770250</v>
      </c>
      <c r="G16323" t="s">
        <v>2595</v>
      </c>
      <c r="H16323" s="21">
        <v>824.54</v>
      </c>
    </row>
    <row r="16324" spans="1:8" customFormat="1" x14ac:dyDescent="0.25">
      <c r="A16324" t="str">
        <f>"4924287"</f>
        <v>4924287</v>
      </c>
      <c r="B16324" t="s">
        <v>12706</v>
      </c>
      <c r="C16324" t="s">
        <v>486</v>
      </c>
      <c r="D16324" s="21" t="s">
        <v>34</v>
      </c>
      <c r="E16324" s="21" t="s">
        <v>71</v>
      </c>
      <c r="F16324">
        <v>12490027</v>
      </c>
      <c r="G16324" t="s">
        <v>766</v>
      </c>
      <c r="H16324" s="21">
        <v>824.42</v>
      </c>
    </row>
    <row r="16325" spans="1:8" customFormat="1" x14ac:dyDescent="0.25">
      <c r="A16325" t="str">
        <f>"4426379"</f>
        <v>4426379</v>
      </c>
      <c r="B16325" t="s">
        <v>13651</v>
      </c>
      <c r="C16325" t="s">
        <v>926</v>
      </c>
      <c r="D16325" s="21" t="s">
        <v>34</v>
      </c>
      <c r="E16325" s="21" t="s">
        <v>35</v>
      </c>
      <c r="F16325">
        <v>12440073</v>
      </c>
      <c r="G16325" t="s">
        <v>3492</v>
      </c>
      <c r="H16325" s="21">
        <v>824.42</v>
      </c>
    </row>
    <row r="16326" spans="1:8" customFormat="1" x14ac:dyDescent="0.25">
      <c r="A16326" t="str">
        <f>"9436907"</f>
        <v>9436907</v>
      </c>
      <c r="B16326" t="s">
        <v>13006</v>
      </c>
      <c r="C16326" t="s">
        <v>14454</v>
      </c>
      <c r="D16326" s="21" t="s">
        <v>34</v>
      </c>
      <c r="E16326" s="21" t="s">
        <v>35</v>
      </c>
      <c r="F16326">
        <v>8751163</v>
      </c>
      <c r="G16326" t="s">
        <v>80</v>
      </c>
      <c r="H16326" s="21">
        <v>824.29</v>
      </c>
    </row>
    <row r="16327" spans="1:8" customFormat="1" x14ac:dyDescent="0.25">
      <c r="A16327" t="str">
        <f>"694711"</f>
        <v>694711</v>
      </c>
      <c r="B16327" t="s">
        <v>12317</v>
      </c>
      <c r="C16327" t="s">
        <v>453</v>
      </c>
      <c r="D16327" s="21" t="s">
        <v>34</v>
      </c>
      <c r="E16327" s="21" t="s">
        <v>254</v>
      </c>
      <c r="F16327">
        <v>1690052</v>
      </c>
      <c r="G16327" t="s">
        <v>273</v>
      </c>
      <c r="H16327" s="21">
        <v>824.17</v>
      </c>
    </row>
    <row r="16328" spans="1:8" customFormat="1" x14ac:dyDescent="0.25">
      <c r="A16328" t="str">
        <f>"3012081"</f>
        <v>3012081</v>
      </c>
      <c r="B16328" t="s">
        <v>2240</v>
      </c>
      <c r="C16328" t="s">
        <v>269</v>
      </c>
      <c r="D16328" s="21" t="s">
        <v>34</v>
      </c>
      <c r="E16328" s="21" t="s">
        <v>71</v>
      </c>
      <c r="F16328">
        <v>11300041</v>
      </c>
      <c r="G16328" t="s">
        <v>8074</v>
      </c>
      <c r="H16328" s="21">
        <v>824.17</v>
      </c>
    </row>
    <row r="16329" spans="1:8" customFormat="1" x14ac:dyDescent="0.25">
      <c r="A16329" t="str">
        <f>"9235862"</f>
        <v>9235862</v>
      </c>
      <c r="B16329" t="s">
        <v>27420</v>
      </c>
      <c r="C16329" t="s">
        <v>7923</v>
      </c>
      <c r="D16329" s="21" t="s">
        <v>34</v>
      </c>
      <c r="E16329" s="21" t="s">
        <v>71</v>
      </c>
      <c r="F16329">
        <v>8920646</v>
      </c>
      <c r="G16329" t="s">
        <v>2864</v>
      </c>
      <c r="H16329" s="21">
        <v>824.17</v>
      </c>
    </row>
    <row r="16330" spans="1:8" customFormat="1" x14ac:dyDescent="0.25">
      <c r="A16330" t="str">
        <f>"1414464"</f>
        <v>1414464</v>
      </c>
      <c r="B16330" t="s">
        <v>7072</v>
      </c>
      <c r="C16330" t="s">
        <v>2806</v>
      </c>
      <c r="D16330" s="21" t="s">
        <v>34</v>
      </c>
      <c r="E16330" s="21" t="s">
        <v>35</v>
      </c>
      <c r="F16330">
        <v>9140237</v>
      </c>
      <c r="G16330" t="s">
        <v>4722</v>
      </c>
      <c r="H16330" s="21">
        <v>824.17</v>
      </c>
    </row>
    <row r="16331" spans="1:8" customFormat="1" x14ac:dyDescent="0.25">
      <c r="A16331" t="str">
        <f>"161283"</f>
        <v>161283</v>
      </c>
      <c r="B16331" t="s">
        <v>3175</v>
      </c>
      <c r="C16331" t="s">
        <v>198</v>
      </c>
      <c r="D16331" s="21" t="s">
        <v>34</v>
      </c>
      <c r="E16331" s="21" t="s">
        <v>254</v>
      </c>
      <c r="F16331">
        <v>10160018</v>
      </c>
      <c r="G16331" t="s">
        <v>6900</v>
      </c>
      <c r="H16331" s="21">
        <v>824.17</v>
      </c>
    </row>
    <row r="16332" spans="1:8" customFormat="1" x14ac:dyDescent="0.25">
      <c r="A16332" t="str">
        <f>"772646"</f>
        <v>772646</v>
      </c>
      <c r="B16332" t="s">
        <v>16425</v>
      </c>
      <c r="C16332" t="s">
        <v>204</v>
      </c>
      <c r="D16332" s="21" t="s">
        <v>34</v>
      </c>
      <c r="E16332" s="21" t="s">
        <v>35</v>
      </c>
      <c r="F16332">
        <v>8771394</v>
      </c>
      <c r="G16332" t="s">
        <v>1933</v>
      </c>
      <c r="H16332" s="21">
        <v>824.17</v>
      </c>
    </row>
    <row r="16333" spans="1:8" customFormat="1" x14ac:dyDescent="0.25">
      <c r="A16333" t="str">
        <f>"948378"</f>
        <v>948378</v>
      </c>
      <c r="B16333" t="s">
        <v>13732</v>
      </c>
      <c r="C16333" t="s">
        <v>415</v>
      </c>
      <c r="D16333" s="21" t="s">
        <v>34</v>
      </c>
      <c r="E16333" s="21" t="s">
        <v>71</v>
      </c>
      <c r="F16333">
        <v>8940482</v>
      </c>
      <c r="G16333" t="s">
        <v>2560</v>
      </c>
      <c r="H16333" s="21">
        <v>824.17</v>
      </c>
    </row>
    <row r="16334" spans="1:8" customFormat="1" x14ac:dyDescent="0.25">
      <c r="A16334" t="str">
        <f>"3334059"</f>
        <v>3334059</v>
      </c>
      <c r="B16334" t="s">
        <v>15042</v>
      </c>
      <c r="C16334" t="s">
        <v>598</v>
      </c>
      <c r="D16334" s="21" t="s">
        <v>34</v>
      </c>
      <c r="E16334" s="21" t="s">
        <v>71</v>
      </c>
      <c r="F16334">
        <v>10330086</v>
      </c>
      <c r="G16334" t="s">
        <v>785</v>
      </c>
      <c r="H16334" s="21">
        <v>824.17</v>
      </c>
    </row>
    <row r="16335" spans="1:8" customFormat="1" x14ac:dyDescent="0.25">
      <c r="A16335" t="str">
        <f>"619933"</f>
        <v>619933</v>
      </c>
      <c r="B16335" t="s">
        <v>27421</v>
      </c>
      <c r="C16335" t="s">
        <v>87</v>
      </c>
      <c r="D16335" s="21" t="s">
        <v>34</v>
      </c>
      <c r="E16335" s="21" t="s">
        <v>35</v>
      </c>
      <c r="F16335">
        <v>9610087</v>
      </c>
      <c r="G16335" t="s">
        <v>2661</v>
      </c>
      <c r="H16335" s="21">
        <v>824.17</v>
      </c>
    </row>
    <row r="16336" spans="1:8" customFormat="1" x14ac:dyDescent="0.25">
      <c r="A16336" t="str">
        <f>"3012976"</f>
        <v>3012976</v>
      </c>
      <c r="B16336" t="s">
        <v>14088</v>
      </c>
      <c r="C16336" t="s">
        <v>156</v>
      </c>
      <c r="D16336" s="21" t="s">
        <v>34</v>
      </c>
      <c r="E16336" s="21" t="s">
        <v>71</v>
      </c>
      <c r="F16336">
        <v>11300025</v>
      </c>
      <c r="G16336" t="s">
        <v>1211</v>
      </c>
      <c r="H16336" s="21">
        <v>824.17</v>
      </c>
    </row>
    <row r="16337" spans="1:8" customFormat="1" x14ac:dyDescent="0.25">
      <c r="A16337" t="str">
        <f>"065824"</f>
        <v>065824</v>
      </c>
      <c r="B16337" t="s">
        <v>12748</v>
      </c>
      <c r="C16337" t="s">
        <v>267</v>
      </c>
      <c r="D16337" s="21" t="s">
        <v>34</v>
      </c>
      <c r="E16337" s="21" t="s">
        <v>71</v>
      </c>
      <c r="F16337">
        <v>13060085</v>
      </c>
      <c r="G16337" t="s">
        <v>2703</v>
      </c>
      <c r="H16337" s="21">
        <v>824.17</v>
      </c>
    </row>
    <row r="16338" spans="1:8" customFormat="1" x14ac:dyDescent="0.25">
      <c r="A16338" t="str">
        <f>"499017"</f>
        <v>499017</v>
      </c>
      <c r="B16338" t="s">
        <v>461</v>
      </c>
      <c r="C16338" t="s">
        <v>498</v>
      </c>
      <c r="D16338" s="21" t="s">
        <v>34</v>
      </c>
      <c r="E16338" s="21" t="s">
        <v>35</v>
      </c>
      <c r="F16338">
        <v>12490003</v>
      </c>
      <c r="G16338" t="s">
        <v>7348</v>
      </c>
      <c r="H16338" s="21">
        <v>824.17</v>
      </c>
    </row>
    <row r="16339" spans="1:8" customFormat="1" x14ac:dyDescent="0.25">
      <c r="A16339" t="str">
        <f>"1715144"</f>
        <v>1715144</v>
      </c>
      <c r="B16339" t="s">
        <v>13144</v>
      </c>
      <c r="C16339" t="s">
        <v>428</v>
      </c>
      <c r="D16339" s="21" t="s">
        <v>34</v>
      </c>
      <c r="E16339" s="21" t="s">
        <v>71</v>
      </c>
      <c r="F16339">
        <v>10170138</v>
      </c>
      <c r="G16339" t="s">
        <v>13853</v>
      </c>
      <c r="H16339" s="21">
        <v>824.17</v>
      </c>
    </row>
    <row r="16340" spans="1:8" customFormat="1" x14ac:dyDescent="0.25">
      <c r="A16340" t="str">
        <f>"5931870"</f>
        <v>5931870</v>
      </c>
      <c r="B16340" t="s">
        <v>3737</v>
      </c>
      <c r="C16340" t="s">
        <v>2520</v>
      </c>
      <c r="D16340" s="21" t="s">
        <v>34</v>
      </c>
      <c r="E16340" s="21" t="s">
        <v>254</v>
      </c>
      <c r="F16340">
        <v>7590228</v>
      </c>
      <c r="G16340" t="s">
        <v>1798</v>
      </c>
      <c r="H16340" s="21">
        <v>824.17</v>
      </c>
    </row>
    <row r="16341" spans="1:8" customFormat="1" x14ac:dyDescent="0.25">
      <c r="A16341" t="str">
        <f>"62972"</f>
        <v>62972</v>
      </c>
      <c r="B16341" t="s">
        <v>13921</v>
      </c>
      <c r="C16341" t="s">
        <v>656</v>
      </c>
      <c r="D16341" s="21" t="s">
        <v>34</v>
      </c>
      <c r="E16341" s="21" t="s">
        <v>1089</v>
      </c>
      <c r="F16341">
        <v>7620100</v>
      </c>
      <c r="G16341" t="s">
        <v>145</v>
      </c>
      <c r="H16341" s="21">
        <v>824.17</v>
      </c>
    </row>
    <row r="16342" spans="1:8" customFormat="1" x14ac:dyDescent="0.25">
      <c r="A16342" t="str">
        <f>"1419772"</f>
        <v>1419772</v>
      </c>
      <c r="B16342" t="s">
        <v>12570</v>
      </c>
      <c r="C16342" t="s">
        <v>209</v>
      </c>
      <c r="D16342" s="21" t="s">
        <v>34</v>
      </c>
      <c r="E16342" s="21" t="s">
        <v>35</v>
      </c>
      <c r="F16342">
        <v>9140235</v>
      </c>
      <c r="G16342" t="s">
        <v>165</v>
      </c>
      <c r="H16342" s="21">
        <v>824.17</v>
      </c>
    </row>
    <row r="16343" spans="1:8" customFormat="1" x14ac:dyDescent="0.25">
      <c r="A16343" t="str">
        <f>"427544"</f>
        <v>427544</v>
      </c>
      <c r="B16343" t="s">
        <v>24543</v>
      </c>
      <c r="C16343" t="s">
        <v>1597</v>
      </c>
      <c r="D16343" s="21" t="s">
        <v>34</v>
      </c>
      <c r="E16343" s="21" t="s">
        <v>1089</v>
      </c>
      <c r="F16343" t="s">
        <v>731</v>
      </c>
      <c r="G16343" t="s">
        <v>732</v>
      </c>
      <c r="H16343" s="21">
        <v>824</v>
      </c>
    </row>
    <row r="16344" spans="1:8" customFormat="1" x14ac:dyDescent="0.25">
      <c r="A16344" t="str">
        <f>"7510788"</f>
        <v>7510788</v>
      </c>
      <c r="B16344" t="s">
        <v>27422</v>
      </c>
      <c r="C16344" t="s">
        <v>244</v>
      </c>
      <c r="D16344" s="21" t="s">
        <v>34</v>
      </c>
      <c r="E16344" s="21" t="s">
        <v>71</v>
      </c>
      <c r="F16344">
        <v>6510053</v>
      </c>
      <c r="G16344" t="s">
        <v>27203</v>
      </c>
      <c r="H16344" s="21">
        <v>823.92</v>
      </c>
    </row>
    <row r="16345" spans="1:8" customFormat="1" x14ac:dyDescent="0.25">
      <c r="A16345" t="str">
        <f>"9234802"</f>
        <v>9234802</v>
      </c>
      <c r="B16345" t="s">
        <v>623</v>
      </c>
      <c r="C16345" t="s">
        <v>2546</v>
      </c>
      <c r="D16345" s="21" t="s">
        <v>34</v>
      </c>
      <c r="E16345" s="21" t="s">
        <v>71</v>
      </c>
      <c r="F16345">
        <v>8920063</v>
      </c>
      <c r="G16345" t="s">
        <v>219</v>
      </c>
      <c r="H16345" s="21">
        <v>823.92</v>
      </c>
    </row>
    <row r="16346" spans="1:8" customFormat="1" x14ac:dyDescent="0.25">
      <c r="A16346" t="str">
        <f>"3720960"</f>
        <v>3720960</v>
      </c>
      <c r="B16346" t="s">
        <v>3237</v>
      </c>
      <c r="C16346" t="s">
        <v>169</v>
      </c>
      <c r="D16346" s="21" t="s">
        <v>34</v>
      </c>
      <c r="E16346" s="21" t="s">
        <v>35</v>
      </c>
      <c r="F16346">
        <v>4370269</v>
      </c>
      <c r="G16346" t="s">
        <v>4277</v>
      </c>
      <c r="H16346" s="21">
        <v>823.92</v>
      </c>
    </row>
    <row r="16347" spans="1:8" customFormat="1" x14ac:dyDescent="0.25">
      <c r="A16347" t="str">
        <f>"772785"</f>
        <v>772785</v>
      </c>
      <c r="B16347" t="s">
        <v>15234</v>
      </c>
      <c r="C16347" t="s">
        <v>328</v>
      </c>
      <c r="D16347" s="21" t="s">
        <v>34</v>
      </c>
      <c r="E16347" s="21" t="s">
        <v>254</v>
      </c>
      <c r="F16347">
        <v>8771087</v>
      </c>
      <c r="G16347" t="s">
        <v>9715</v>
      </c>
      <c r="H16347" s="21">
        <v>823.92</v>
      </c>
    </row>
    <row r="16348" spans="1:8" customFormat="1" x14ac:dyDescent="0.25">
      <c r="A16348" t="str">
        <f>"3717327"</f>
        <v>3717327</v>
      </c>
      <c r="B16348" t="s">
        <v>13753</v>
      </c>
      <c r="C16348" t="s">
        <v>4842</v>
      </c>
      <c r="D16348" s="21" t="s">
        <v>34</v>
      </c>
      <c r="E16348" s="21" t="s">
        <v>1089</v>
      </c>
      <c r="F16348">
        <v>4370024</v>
      </c>
      <c r="G16348" t="s">
        <v>1718</v>
      </c>
      <c r="H16348" s="21">
        <v>823.92</v>
      </c>
    </row>
    <row r="16349" spans="1:8" customFormat="1" x14ac:dyDescent="0.25">
      <c r="A16349" t="str">
        <f>"5110435"</f>
        <v>5110435</v>
      </c>
      <c r="B16349" t="s">
        <v>3817</v>
      </c>
      <c r="C16349" t="s">
        <v>15464</v>
      </c>
      <c r="D16349" s="21" t="s">
        <v>34</v>
      </c>
      <c r="E16349" s="21" t="s">
        <v>71</v>
      </c>
      <c r="F16349">
        <v>6510107</v>
      </c>
      <c r="G16349" t="s">
        <v>1392</v>
      </c>
      <c r="H16349" s="21">
        <v>823.67</v>
      </c>
    </row>
    <row r="16350" spans="1:8" customFormat="1" x14ac:dyDescent="0.25">
      <c r="A16350" t="str">
        <f>"615022"</f>
        <v>615022</v>
      </c>
      <c r="B16350" t="s">
        <v>14701</v>
      </c>
      <c r="C16350" t="s">
        <v>328</v>
      </c>
      <c r="D16350" s="21" t="s">
        <v>34</v>
      </c>
      <c r="E16350" s="21" t="s">
        <v>35</v>
      </c>
      <c r="F16350">
        <v>9610034</v>
      </c>
      <c r="G16350" t="s">
        <v>11021</v>
      </c>
      <c r="H16350" s="21">
        <v>823.67</v>
      </c>
    </row>
    <row r="16351" spans="1:8" customFormat="1" x14ac:dyDescent="0.25">
      <c r="A16351" t="str">
        <f>"2930726"</f>
        <v>2930726</v>
      </c>
      <c r="B16351" t="s">
        <v>10270</v>
      </c>
      <c r="C16351" t="s">
        <v>33</v>
      </c>
      <c r="D16351" s="21" t="s">
        <v>34</v>
      </c>
      <c r="E16351" s="21" t="s">
        <v>35</v>
      </c>
      <c r="F16351">
        <v>3290009</v>
      </c>
      <c r="G16351" t="s">
        <v>4358</v>
      </c>
      <c r="H16351" s="21">
        <v>823.67</v>
      </c>
    </row>
    <row r="16352" spans="1:8" customFormat="1" x14ac:dyDescent="0.25">
      <c r="A16352" t="str">
        <f>"7630998"</f>
        <v>7630998</v>
      </c>
      <c r="B16352" t="s">
        <v>14256</v>
      </c>
      <c r="C16352" t="s">
        <v>246</v>
      </c>
      <c r="D16352" s="21" t="s">
        <v>34</v>
      </c>
      <c r="E16352" s="21" t="s">
        <v>71</v>
      </c>
      <c r="F16352">
        <v>9760414</v>
      </c>
      <c r="G16352" t="s">
        <v>142</v>
      </c>
      <c r="H16352" s="21">
        <v>823.67</v>
      </c>
    </row>
    <row r="16353" spans="1:8" customFormat="1" x14ac:dyDescent="0.25">
      <c r="A16353" t="str">
        <f>"031830"</f>
        <v>031830</v>
      </c>
      <c r="B16353" t="s">
        <v>6440</v>
      </c>
      <c r="C16353" t="s">
        <v>415</v>
      </c>
      <c r="D16353" s="21" t="s">
        <v>34</v>
      </c>
      <c r="E16353" s="21" t="s">
        <v>71</v>
      </c>
      <c r="F16353">
        <v>1030312</v>
      </c>
      <c r="G16353" t="s">
        <v>7573</v>
      </c>
      <c r="H16353" s="21">
        <v>823.67</v>
      </c>
    </row>
    <row r="16354" spans="1:8" customFormat="1" x14ac:dyDescent="0.25">
      <c r="A16354" t="str">
        <f>"4520634"</f>
        <v>4520634</v>
      </c>
      <c r="B16354" t="s">
        <v>15274</v>
      </c>
      <c r="C16354" t="s">
        <v>1782</v>
      </c>
      <c r="D16354" s="21" t="s">
        <v>34</v>
      </c>
      <c r="E16354" s="21" t="s">
        <v>35</v>
      </c>
      <c r="F16354">
        <v>4450773</v>
      </c>
      <c r="G16354" t="s">
        <v>26903</v>
      </c>
      <c r="H16354" s="21">
        <v>823.67</v>
      </c>
    </row>
    <row r="16355" spans="1:8" customFormat="1" x14ac:dyDescent="0.25">
      <c r="A16355" t="str">
        <f>"7811540"</f>
        <v>7811540</v>
      </c>
      <c r="B16355" t="s">
        <v>13718</v>
      </c>
      <c r="C16355" t="s">
        <v>415</v>
      </c>
      <c r="D16355" s="21" t="s">
        <v>34</v>
      </c>
      <c r="E16355" s="21" t="s">
        <v>254</v>
      </c>
      <c r="F16355">
        <v>8780080</v>
      </c>
      <c r="G16355" t="s">
        <v>865</v>
      </c>
      <c r="H16355" s="21">
        <v>823.67</v>
      </c>
    </row>
    <row r="16356" spans="1:8" customFormat="1" x14ac:dyDescent="0.25">
      <c r="A16356" t="str">
        <f>"7516718"</f>
        <v>7516718</v>
      </c>
      <c r="B16356" t="s">
        <v>13483</v>
      </c>
      <c r="C16356" t="s">
        <v>249</v>
      </c>
      <c r="D16356" s="21" t="s">
        <v>34</v>
      </c>
      <c r="E16356" s="21" t="s">
        <v>71</v>
      </c>
      <c r="F16356">
        <v>8751061</v>
      </c>
      <c r="G16356" t="s">
        <v>26628</v>
      </c>
      <c r="H16356" s="21">
        <v>823.67</v>
      </c>
    </row>
    <row r="16357" spans="1:8" customFormat="1" x14ac:dyDescent="0.25">
      <c r="A16357" t="str">
        <f>"8017756"</f>
        <v>8017756</v>
      </c>
      <c r="B16357" t="s">
        <v>14270</v>
      </c>
      <c r="C16357" t="s">
        <v>453</v>
      </c>
      <c r="D16357" s="21" t="s">
        <v>34</v>
      </c>
      <c r="E16357" s="21" t="s">
        <v>71</v>
      </c>
      <c r="F16357">
        <v>7800153</v>
      </c>
      <c r="G16357" t="s">
        <v>13728</v>
      </c>
      <c r="H16357" s="21">
        <v>823.67</v>
      </c>
    </row>
    <row r="16358" spans="1:8" customFormat="1" x14ac:dyDescent="0.25">
      <c r="A16358" t="str">
        <f>"121869"</f>
        <v>121869</v>
      </c>
      <c r="B16358" t="s">
        <v>5725</v>
      </c>
      <c r="C16358" t="s">
        <v>2907</v>
      </c>
      <c r="D16358" s="21" t="s">
        <v>34</v>
      </c>
      <c r="E16358" s="21" t="s">
        <v>71</v>
      </c>
      <c r="F16358">
        <v>11120051</v>
      </c>
      <c r="G16358" t="s">
        <v>13985</v>
      </c>
      <c r="H16358" s="21">
        <v>823.67</v>
      </c>
    </row>
    <row r="16359" spans="1:8" customFormat="1" x14ac:dyDescent="0.25">
      <c r="A16359" t="str">
        <f>"677444"</f>
        <v>677444</v>
      </c>
      <c r="B16359" t="s">
        <v>12965</v>
      </c>
      <c r="C16359" t="s">
        <v>239</v>
      </c>
      <c r="D16359" s="21" t="s">
        <v>34</v>
      </c>
      <c r="E16359" s="21" t="s">
        <v>71</v>
      </c>
      <c r="F16359">
        <v>6670265</v>
      </c>
      <c r="G16359" t="s">
        <v>12966</v>
      </c>
      <c r="H16359" s="21">
        <v>823.67</v>
      </c>
    </row>
    <row r="16360" spans="1:8" customFormat="1" x14ac:dyDescent="0.25">
      <c r="A16360" t="str">
        <f>"721029"</f>
        <v>721029</v>
      </c>
      <c r="B16360" t="s">
        <v>8444</v>
      </c>
      <c r="C16360" t="s">
        <v>124</v>
      </c>
      <c r="D16360" s="21" t="s">
        <v>34</v>
      </c>
      <c r="E16360" s="21" t="s">
        <v>254</v>
      </c>
      <c r="F16360">
        <v>12720029</v>
      </c>
      <c r="G16360" t="s">
        <v>11575</v>
      </c>
      <c r="H16360" s="21">
        <v>823.67</v>
      </c>
    </row>
    <row r="16361" spans="1:8" customFormat="1" x14ac:dyDescent="0.25">
      <c r="A16361" t="str">
        <f>"3525925"</f>
        <v>3525925</v>
      </c>
      <c r="B16361" t="s">
        <v>13530</v>
      </c>
      <c r="C16361" t="s">
        <v>119</v>
      </c>
      <c r="D16361" s="21" t="s">
        <v>34</v>
      </c>
      <c r="E16361" s="21" t="s">
        <v>35</v>
      </c>
      <c r="F16361">
        <v>3350212</v>
      </c>
      <c r="G16361" t="s">
        <v>5154</v>
      </c>
      <c r="H16361" s="21">
        <v>823.67</v>
      </c>
    </row>
    <row r="16362" spans="1:8" customFormat="1" x14ac:dyDescent="0.25">
      <c r="A16362" t="str">
        <f>"2215960"</f>
        <v>2215960</v>
      </c>
      <c r="B16362" t="s">
        <v>14696</v>
      </c>
      <c r="C16362" t="s">
        <v>498</v>
      </c>
      <c r="D16362" s="21" t="s">
        <v>34</v>
      </c>
      <c r="E16362" s="21" t="s">
        <v>71</v>
      </c>
      <c r="F16362">
        <v>3220033</v>
      </c>
      <c r="G16362" t="s">
        <v>657</v>
      </c>
      <c r="H16362" s="21">
        <v>823.67</v>
      </c>
    </row>
    <row r="16363" spans="1:8" customFormat="1" x14ac:dyDescent="0.25">
      <c r="A16363" t="str">
        <f>"134495"</f>
        <v>134495</v>
      </c>
      <c r="B16363" t="s">
        <v>12564</v>
      </c>
      <c r="C16363" t="s">
        <v>40</v>
      </c>
      <c r="D16363" s="21" t="s">
        <v>34</v>
      </c>
      <c r="E16363" s="21" t="s">
        <v>71</v>
      </c>
      <c r="F16363">
        <v>9270126</v>
      </c>
      <c r="G16363" t="s">
        <v>7569</v>
      </c>
      <c r="H16363" s="21">
        <v>823.54</v>
      </c>
    </row>
    <row r="16364" spans="1:8" customFormat="1" x14ac:dyDescent="0.25">
      <c r="A16364" t="str">
        <f>"5939468"</f>
        <v>5939468</v>
      </c>
      <c r="B16364" t="s">
        <v>392</v>
      </c>
      <c r="C16364" t="s">
        <v>249</v>
      </c>
      <c r="D16364" s="21" t="s">
        <v>34</v>
      </c>
      <c r="E16364" s="21" t="s">
        <v>71</v>
      </c>
      <c r="F16364">
        <v>7590170</v>
      </c>
      <c r="G16364" t="s">
        <v>868</v>
      </c>
      <c r="H16364" s="21">
        <v>823.42</v>
      </c>
    </row>
    <row r="16365" spans="1:8" customFormat="1" x14ac:dyDescent="0.25">
      <c r="A16365" t="str">
        <f>"4520271"</f>
        <v>4520271</v>
      </c>
      <c r="B16365" t="s">
        <v>13993</v>
      </c>
      <c r="C16365" t="s">
        <v>263</v>
      </c>
      <c r="D16365" s="21" t="s">
        <v>34</v>
      </c>
      <c r="E16365" s="21" t="s">
        <v>35</v>
      </c>
      <c r="F16365">
        <v>4450210</v>
      </c>
      <c r="G16365" t="s">
        <v>5249</v>
      </c>
      <c r="H16365" s="21">
        <v>823.42</v>
      </c>
    </row>
    <row r="16366" spans="1:8" customFormat="1" x14ac:dyDescent="0.25">
      <c r="A16366" t="str">
        <f>"9452828"</f>
        <v>9452828</v>
      </c>
      <c r="B16366" t="s">
        <v>3627</v>
      </c>
      <c r="C16366" t="s">
        <v>124</v>
      </c>
      <c r="D16366" s="21" t="s">
        <v>34</v>
      </c>
      <c r="E16366" s="21" t="s">
        <v>35</v>
      </c>
      <c r="F16366">
        <v>8940052</v>
      </c>
      <c r="G16366" t="s">
        <v>190</v>
      </c>
      <c r="H16366" s="21">
        <v>823.29</v>
      </c>
    </row>
    <row r="16367" spans="1:8" customFormat="1" x14ac:dyDescent="0.25">
      <c r="A16367" t="str">
        <f>"7720448"</f>
        <v>7720448</v>
      </c>
      <c r="B16367" t="s">
        <v>13532</v>
      </c>
      <c r="C16367" t="s">
        <v>253</v>
      </c>
      <c r="D16367" s="21" t="s">
        <v>34</v>
      </c>
      <c r="E16367" s="21" t="s">
        <v>254</v>
      </c>
      <c r="F16367">
        <v>8770489</v>
      </c>
      <c r="G16367" t="s">
        <v>1763</v>
      </c>
      <c r="H16367" s="21">
        <v>823.17</v>
      </c>
    </row>
    <row r="16368" spans="1:8" customFormat="1" x14ac:dyDescent="0.25">
      <c r="A16368" t="str">
        <f>"47786"</f>
        <v>47786</v>
      </c>
      <c r="B16368" t="s">
        <v>14557</v>
      </c>
      <c r="C16368" t="s">
        <v>156</v>
      </c>
      <c r="D16368" s="21" t="s">
        <v>34</v>
      </c>
      <c r="E16368" s="21" t="s">
        <v>71</v>
      </c>
      <c r="F16368">
        <v>10470001</v>
      </c>
      <c r="G16368" t="s">
        <v>391</v>
      </c>
      <c r="H16368" s="21">
        <v>823.17</v>
      </c>
    </row>
    <row r="16369" spans="1:8" customFormat="1" x14ac:dyDescent="0.25">
      <c r="A16369" t="str">
        <f>"534752"</f>
        <v>534752</v>
      </c>
      <c r="B16369" t="s">
        <v>14201</v>
      </c>
      <c r="C16369" t="s">
        <v>415</v>
      </c>
      <c r="D16369" s="21" t="s">
        <v>34</v>
      </c>
      <c r="E16369" s="21" t="s">
        <v>254</v>
      </c>
      <c r="F16369">
        <v>12530120</v>
      </c>
      <c r="G16369" t="s">
        <v>26791</v>
      </c>
      <c r="H16369" s="21">
        <v>823.17</v>
      </c>
    </row>
    <row r="16370" spans="1:8" customFormat="1" x14ac:dyDescent="0.25">
      <c r="A16370" t="str">
        <f>"252655"</f>
        <v>252655</v>
      </c>
      <c r="B16370" t="s">
        <v>13197</v>
      </c>
      <c r="C16370" t="s">
        <v>236</v>
      </c>
      <c r="D16370" s="21" t="s">
        <v>34</v>
      </c>
      <c r="E16370" s="21" t="s">
        <v>254</v>
      </c>
      <c r="F16370">
        <v>2250001</v>
      </c>
      <c r="G16370" t="s">
        <v>424</v>
      </c>
      <c r="H16370" s="21">
        <v>823.17</v>
      </c>
    </row>
    <row r="16371" spans="1:8" customFormat="1" x14ac:dyDescent="0.25">
      <c r="A16371" t="str">
        <f>"4110608"</f>
        <v>4110608</v>
      </c>
      <c r="B16371" t="s">
        <v>1143</v>
      </c>
      <c r="C16371" t="s">
        <v>119</v>
      </c>
      <c r="D16371" s="21" t="s">
        <v>34</v>
      </c>
      <c r="E16371" s="21" t="s">
        <v>35</v>
      </c>
      <c r="F16371">
        <v>4410467</v>
      </c>
      <c r="G16371" t="s">
        <v>6362</v>
      </c>
      <c r="H16371" s="21">
        <v>823.17</v>
      </c>
    </row>
    <row r="16372" spans="1:8" customFormat="1" x14ac:dyDescent="0.25">
      <c r="A16372" t="str">
        <f>"7718236"</f>
        <v>7718236</v>
      </c>
      <c r="B16372" t="s">
        <v>14023</v>
      </c>
      <c r="C16372" t="s">
        <v>169</v>
      </c>
      <c r="D16372" s="21" t="s">
        <v>34</v>
      </c>
      <c r="E16372" s="21" t="s">
        <v>35</v>
      </c>
      <c r="F16372">
        <v>8770665</v>
      </c>
      <c r="G16372" t="s">
        <v>903</v>
      </c>
      <c r="H16372" s="21">
        <v>823.17</v>
      </c>
    </row>
    <row r="16373" spans="1:8" customFormat="1" x14ac:dyDescent="0.25">
      <c r="A16373" t="str">
        <f>"06516"</f>
        <v>06516</v>
      </c>
      <c r="B16373" t="s">
        <v>13949</v>
      </c>
      <c r="C16373" t="s">
        <v>453</v>
      </c>
      <c r="D16373" s="21" t="s">
        <v>34</v>
      </c>
      <c r="E16373" s="21" t="s">
        <v>1089</v>
      </c>
      <c r="F16373">
        <v>13060063</v>
      </c>
      <c r="G16373" t="s">
        <v>2001</v>
      </c>
      <c r="H16373" s="21">
        <v>823.17</v>
      </c>
    </row>
    <row r="16374" spans="1:8" customFormat="1" x14ac:dyDescent="0.25">
      <c r="A16374" t="str">
        <f>"084864"</f>
        <v>084864</v>
      </c>
      <c r="B16374" t="s">
        <v>14545</v>
      </c>
      <c r="C16374" t="s">
        <v>98</v>
      </c>
      <c r="D16374" s="21" t="s">
        <v>34</v>
      </c>
      <c r="E16374" s="21" t="s">
        <v>35</v>
      </c>
      <c r="F16374">
        <v>6080043</v>
      </c>
      <c r="G16374" t="s">
        <v>961</v>
      </c>
      <c r="H16374" s="21">
        <v>823.17</v>
      </c>
    </row>
    <row r="16375" spans="1:8" customFormat="1" x14ac:dyDescent="0.25">
      <c r="A16375" t="str">
        <f>"5729282"</f>
        <v>5729282</v>
      </c>
      <c r="B16375" t="s">
        <v>5791</v>
      </c>
      <c r="C16375" t="s">
        <v>109</v>
      </c>
      <c r="D16375" s="21" t="s">
        <v>34</v>
      </c>
      <c r="E16375" s="21" t="s">
        <v>35</v>
      </c>
      <c r="F16375">
        <v>6570019</v>
      </c>
      <c r="G16375" t="s">
        <v>1510</v>
      </c>
      <c r="H16375" s="21">
        <v>823.17</v>
      </c>
    </row>
    <row r="16376" spans="1:8" customFormat="1" x14ac:dyDescent="0.25">
      <c r="A16376" t="str">
        <f>"7922339"</f>
        <v>7922339</v>
      </c>
      <c r="B16376" t="s">
        <v>9211</v>
      </c>
      <c r="C16376" t="s">
        <v>40</v>
      </c>
      <c r="D16376" s="21" t="s">
        <v>34</v>
      </c>
      <c r="E16376" s="21" t="s">
        <v>71</v>
      </c>
      <c r="F16376">
        <v>10790071</v>
      </c>
      <c r="G16376" t="s">
        <v>5806</v>
      </c>
      <c r="H16376" s="21">
        <v>823.17</v>
      </c>
    </row>
    <row r="16377" spans="1:8" customFormat="1" x14ac:dyDescent="0.25">
      <c r="A16377" t="str">
        <f>"5610506"</f>
        <v>5610506</v>
      </c>
      <c r="B16377" t="s">
        <v>9832</v>
      </c>
      <c r="C16377" t="s">
        <v>462</v>
      </c>
      <c r="D16377" s="21" t="s">
        <v>34</v>
      </c>
      <c r="E16377" s="21" t="s">
        <v>71</v>
      </c>
      <c r="F16377">
        <v>3290224</v>
      </c>
      <c r="G16377" t="s">
        <v>7829</v>
      </c>
      <c r="H16377" s="21">
        <v>823.17</v>
      </c>
    </row>
    <row r="16378" spans="1:8" customFormat="1" x14ac:dyDescent="0.25">
      <c r="A16378" t="str">
        <f>"3714975"</f>
        <v>3714975</v>
      </c>
      <c r="B16378" t="s">
        <v>1106</v>
      </c>
      <c r="C16378" t="s">
        <v>65</v>
      </c>
      <c r="D16378" s="21" t="s">
        <v>34</v>
      </c>
      <c r="E16378" s="21" t="s">
        <v>71</v>
      </c>
      <c r="F16378">
        <v>4370001</v>
      </c>
      <c r="G16378" t="s">
        <v>957</v>
      </c>
      <c r="H16378" s="21">
        <v>823.17</v>
      </c>
    </row>
    <row r="16379" spans="1:8" customFormat="1" x14ac:dyDescent="0.25">
      <c r="A16379" t="str">
        <f>"363368"</f>
        <v>363368</v>
      </c>
      <c r="B16379" t="s">
        <v>12570</v>
      </c>
      <c r="C16379" t="s">
        <v>263</v>
      </c>
      <c r="D16379" s="21" t="s">
        <v>34</v>
      </c>
      <c r="E16379" s="21" t="s">
        <v>71</v>
      </c>
      <c r="F16379">
        <v>4360605</v>
      </c>
      <c r="G16379" t="s">
        <v>6003</v>
      </c>
      <c r="H16379" s="21">
        <v>823.17</v>
      </c>
    </row>
    <row r="16380" spans="1:8" customFormat="1" x14ac:dyDescent="0.25">
      <c r="A16380" t="str">
        <f>"5973012"</f>
        <v>5973012</v>
      </c>
      <c r="B16380" t="s">
        <v>2564</v>
      </c>
      <c r="C16380" t="s">
        <v>462</v>
      </c>
      <c r="D16380" s="21" t="s">
        <v>34</v>
      </c>
      <c r="E16380" s="21" t="s">
        <v>71</v>
      </c>
      <c r="F16380">
        <v>7590120</v>
      </c>
      <c r="G16380" t="s">
        <v>5351</v>
      </c>
      <c r="H16380" s="21">
        <v>823.17</v>
      </c>
    </row>
    <row r="16381" spans="1:8" customFormat="1" x14ac:dyDescent="0.25">
      <c r="A16381" t="str">
        <f>"319838"</f>
        <v>319838</v>
      </c>
      <c r="B16381" t="s">
        <v>11269</v>
      </c>
      <c r="C16381" t="s">
        <v>239</v>
      </c>
      <c r="D16381" s="21" t="s">
        <v>34</v>
      </c>
      <c r="E16381" s="21" t="s">
        <v>35</v>
      </c>
      <c r="F16381">
        <v>11660020</v>
      </c>
      <c r="G16381" t="s">
        <v>10247</v>
      </c>
      <c r="H16381" s="21">
        <v>823.17</v>
      </c>
    </row>
    <row r="16382" spans="1:8" customFormat="1" x14ac:dyDescent="0.25">
      <c r="A16382" t="str">
        <f>"351624"</f>
        <v>351624</v>
      </c>
      <c r="B16382" t="s">
        <v>3189</v>
      </c>
      <c r="C16382" t="s">
        <v>598</v>
      </c>
      <c r="D16382" s="21" t="s">
        <v>34</v>
      </c>
      <c r="E16382" s="21" t="s">
        <v>254</v>
      </c>
      <c r="F16382">
        <v>3350063</v>
      </c>
      <c r="G16382" t="s">
        <v>14782</v>
      </c>
      <c r="H16382" s="21">
        <v>823.17</v>
      </c>
    </row>
    <row r="16383" spans="1:8" customFormat="1" x14ac:dyDescent="0.25">
      <c r="A16383" t="str">
        <f>"216918"</f>
        <v>216918</v>
      </c>
      <c r="B16383" t="s">
        <v>788</v>
      </c>
      <c r="C16383" t="s">
        <v>13865</v>
      </c>
      <c r="D16383" s="21" t="s">
        <v>34</v>
      </c>
      <c r="E16383" s="21" t="s">
        <v>71</v>
      </c>
      <c r="F16383">
        <v>2210126</v>
      </c>
      <c r="G16383" t="s">
        <v>10773</v>
      </c>
      <c r="H16383" s="21">
        <v>823.17</v>
      </c>
    </row>
    <row r="16384" spans="1:8" customFormat="1" x14ac:dyDescent="0.25">
      <c r="A16384" t="str">
        <f>"9422583"</f>
        <v>9422583</v>
      </c>
      <c r="B16384" t="s">
        <v>14820</v>
      </c>
      <c r="C16384" t="s">
        <v>198</v>
      </c>
      <c r="D16384" s="21" t="s">
        <v>34</v>
      </c>
      <c r="E16384" s="21" t="s">
        <v>254</v>
      </c>
      <c r="F16384">
        <v>8771501</v>
      </c>
      <c r="G16384" t="s">
        <v>10128</v>
      </c>
      <c r="H16384" s="21">
        <v>823</v>
      </c>
    </row>
    <row r="16385" spans="1:8" customFormat="1" x14ac:dyDescent="0.25">
      <c r="A16385" t="str">
        <f>"538761"</f>
        <v>538761</v>
      </c>
      <c r="B16385" t="s">
        <v>8850</v>
      </c>
      <c r="C16385" t="s">
        <v>415</v>
      </c>
      <c r="D16385" s="21" t="s">
        <v>34</v>
      </c>
      <c r="E16385" s="21" t="s">
        <v>71</v>
      </c>
      <c r="F16385">
        <v>12530005</v>
      </c>
      <c r="G16385" t="s">
        <v>6076</v>
      </c>
      <c r="H16385" s="21">
        <v>822.92</v>
      </c>
    </row>
    <row r="16386" spans="1:8" customFormat="1" x14ac:dyDescent="0.25">
      <c r="A16386" t="str">
        <f>"7710693"</f>
        <v>7710693</v>
      </c>
      <c r="B16386" t="s">
        <v>14765</v>
      </c>
      <c r="C16386" t="s">
        <v>209</v>
      </c>
      <c r="D16386" s="21" t="s">
        <v>34</v>
      </c>
      <c r="E16386" s="21" t="s">
        <v>254</v>
      </c>
      <c r="F16386">
        <v>10170042</v>
      </c>
      <c r="G16386" t="s">
        <v>5014</v>
      </c>
      <c r="H16386" s="21">
        <v>822.92</v>
      </c>
    </row>
    <row r="16387" spans="1:8" customFormat="1" x14ac:dyDescent="0.25">
      <c r="A16387" t="str">
        <f>"5313287"</f>
        <v>5313287</v>
      </c>
      <c r="B16387" t="s">
        <v>210</v>
      </c>
      <c r="C16387" t="s">
        <v>15344</v>
      </c>
      <c r="D16387" s="21" t="s">
        <v>34</v>
      </c>
      <c r="E16387" s="21" t="s">
        <v>71</v>
      </c>
      <c r="F16387">
        <v>12530120</v>
      </c>
      <c r="G16387" t="s">
        <v>26791</v>
      </c>
      <c r="H16387" s="21">
        <v>822.92</v>
      </c>
    </row>
    <row r="16388" spans="1:8" customFormat="1" x14ac:dyDescent="0.25">
      <c r="A16388" t="str">
        <f>"887199"</f>
        <v>887199</v>
      </c>
      <c r="B16388" t="s">
        <v>526</v>
      </c>
      <c r="C16388" t="s">
        <v>43</v>
      </c>
      <c r="D16388" s="21" t="s">
        <v>34</v>
      </c>
      <c r="E16388" s="21" t="s">
        <v>35</v>
      </c>
      <c r="F16388">
        <v>6880140</v>
      </c>
      <c r="G16388" t="s">
        <v>4827</v>
      </c>
      <c r="H16388" s="21">
        <v>822.79</v>
      </c>
    </row>
    <row r="16389" spans="1:8" customFormat="1" x14ac:dyDescent="0.25">
      <c r="A16389" t="str">
        <f>"2930438"</f>
        <v>2930438</v>
      </c>
      <c r="B16389" t="s">
        <v>9771</v>
      </c>
      <c r="C16389" t="s">
        <v>187</v>
      </c>
      <c r="D16389" s="21" t="s">
        <v>34</v>
      </c>
      <c r="E16389" s="21" t="s">
        <v>35</v>
      </c>
      <c r="F16389">
        <v>3290026</v>
      </c>
      <c r="G16389" t="s">
        <v>7421</v>
      </c>
      <c r="H16389" s="21">
        <v>822.67</v>
      </c>
    </row>
    <row r="16390" spans="1:8" customFormat="1" x14ac:dyDescent="0.25">
      <c r="A16390" t="str">
        <f>"415893"</f>
        <v>415893</v>
      </c>
      <c r="B16390" t="s">
        <v>4335</v>
      </c>
      <c r="C16390" t="s">
        <v>239</v>
      </c>
      <c r="D16390" s="21" t="s">
        <v>34</v>
      </c>
      <c r="E16390" s="21" t="s">
        <v>254</v>
      </c>
      <c r="F16390">
        <v>4410017</v>
      </c>
      <c r="G16390" t="s">
        <v>2363</v>
      </c>
      <c r="H16390" s="21">
        <v>822.67</v>
      </c>
    </row>
    <row r="16391" spans="1:8" customFormat="1" x14ac:dyDescent="0.25">
      <c r="A16391" t="str">
        <f>"514856"</f>
        <v>514856</v>
      </c>
      <c r="B16391" t="s">
        <v>10802</v>
      </c>
      <c r="C16391" t="s">
        <v>12548</v>
      </c>
      <c r="D16391" s="21" t="s">
        <v>34</v>
      </c>
      <c r="E16391" s="21" t="s">
        <v>254</v>
      </c>
      <c r="F16391">
        <v>6510071</v>
      </c>
      <c r="G16391" t="s">
        <v>3031</v>
      </c>
      <c r="H16391" s="21">
        <v>822.67</v>
      </c>
    </row>
    <row r="16392" spans="1:8" customFormat="1" x14ac:dyDescent="0.25">
      <c r="A16392" t="str">
        <f>"5944245"</f>
        <v>5944245</v>
      </c>
      <c r="B16392" t="s">
        <v>15595</v>
      </c>
      <c r="C16392" t="s">
        <v>130</v>
      </c>
      <c r="D16392" s="21" t="s">
        <v>34</v>
      </c>
      <c r="E16392" s="21" t="s">
        <v>71</v>
      </c>
      <c r="F16392">
        <v>7620007</v>
      </c>
      <c r="G16392" t="s">
        <v>2133</v>
      </c>
      <c r="H16392" s="21">
        <v>822.67</v>
      </c>
    </row>
    <row r="16393" spans="1:8" customFormat="1" x14ac:dyDescent="0.25">
      <c r="A16393" t="str">
        <f>"805025"</f>
        <v>805025</v>
      </c>
      <c r="B16393" t="s">
        <v>11857</v>
      </c>
      <c r="C16393" t="s">
        <v>211</v>
      </c>
      <c r="D16393" s="21" t="s">
        <v>34</v>
      </c>
      <c r="E16393" s="21" t="s">
        <v>71</v>
      </c>
      <c r="F16393">
        <v>7800098</v>
      </c>
      <c r="G16393" t="s">
        <v>8445</v>
      </c>
      <c r="H16393" s="21">
        <v>822.67</v>
      </c>
    </row>
    <row r="16394" spans="1:8" customFormat="1" x14ac:dyDescent="0.25">
      <c r="A16394" t="str">
        <f>"4441482"</f>
        <v>4441482</v>
      </c>
      <c r="B16394" t="s">
        <v>12340</v>
      </c>
      <c r="C16394" t="s">
        <v>151</v>
      </c>
      <c r="D16394" s="21" t="s">
        <v>34</v>
      </c>
      <c r="E16394" s="21" t="s">
        <v>71</v>
      </c>
      <c r="F16394">
        <v>12440167</v>
      </c>
      <c r="G16394" t="s">
        <v>27355</v>
      </c>
      <c r="H16394" s="21">
        <v>822.67</v>
      </c>
    </row>
    <row r="16395" spans="1:8" customFormat="1" x14ac:dyDescent="0.25">
      <c r="A16395" t="str">
        <f>"679399"</f>
        <v>679399</v>
      </c>
      <c r="B16395" t="s">
        <v>4368</v>
      </c>
      <c r="C16395" t="s">
        <v>459</v>
      </c>
      <c r="D16395" s="21" t="s">
        <v>34</v>
      </c>
      <c r="E16395" s="21" t="s">
        <v>71</v>
      </c>
      <c r="F16395">
        <v>6670221</v>
      </c>
      <c r="G16395" t="s">
        <v>3742</v>
      </c>
      <c r="H16395" s="21">
        <v>822.67</v>
      </c>
    </row>
    <row r="16396" spans="1:8" customFormat="1" x14ac:dyDescent="0.25">
      <c r="A16396" t="str">
        <f>"4915471"</f>
        <v>4915471</v>
      </c>
      <c r="B16396" t="s">
        <v>13605</v>
      </c>
      <c r="C16396" t="s">
        <v>249</v>
      </c>
      <c r="D16396" s="21" t="s">
        <v>34</v>
      </c>
      <c r="E16396" s="21" t="s">
        <v>35</v>
      </c>
      <c r="F16396">
        <v>10790025</v>
      </c>
      <c r="G16396" t="s">
        <v>1218</v>
      </c>
      <c r="H16396" s="21">
        <v>822.67</v>
      </c>
    </row>
    <row r="16397" spans="1:8" customFormat="1" x14ac:dyDescent="0.25">
      <c r="A16397" t="str">
        <f>"5941358"</f>
        <v>5941358</v>
      </c>
      <c r="B16397" t="s">
        <v>27423</v>
      </c>
      <c r="C16397" t="s">
        <v>55</v>
      </c>
      <c r="D16397" s="21" t="s">
        <v>34</v>
      </c>
      <c r="E16397" s="21" t="s">
        <v>71</v>
      </c>
      <c r="F16397">
        <v>7590182</v>
      </c>
      <c r="G16397" t="s">
        <v>172</v>
      </c>
      <c r="H16397" s="21">
        <v>822.67</v>
      </c>
    </row>
    <row r="16398" spans="1:8" customFormat="1" x14ac:dyDescent="0.25">
      <c r="A16398" t="str">
        <f>"0811148"</f>
        <v>0811148</v>
      </c>
      <c r="B16398" t="s">
        <v>16223</v>
      </c>
      <c r="C16398" t="s">
        <v>1025</v>
      </c>
      <c r="D16398" s="21" t="s">
        <v>34</v>
      </c>
      <c r="E16398" s="21" t="s">
        <v>35</v>
      </c>
      <c r="F16398">
        <v>7020040</v>
      </c>
      <c r="G16398" t="s">
        <v>1698</v>
      </c>
      <c r="H16398" s="21">
        <v>822.67</v>
      </c>
    </row>
    <row r="16399" spans="1:8" customFormat="1" x14ac:dyDescent="0.25">
      <c r="A16399" t="str">
        <f>"7912278"</f>
        <v>7912278</v>
      </c>
      <c r="B16399" t="s">
        <v>14955</v>
      </c>
      <c r="C16399" t="s">
        <v>269</v>
      </c>
      <c r="D16399" s="21" t="s">
        <v>34</v>
      </c>
      <c r="E16399" s="21" t="s">
        <v>71</v>
      </c>
      <c r="F16399">
        <v>10790039</v>
      </c>
      <c r="G16399" t="s">
        <v>14238</v>
      </c>
      <c r="H16399" s="21">
        <v>822.67</v>
      </c>
    </row>
    <row r="16400" spans="1:8" customFormat="1" x14ac:dyDescent="0.25">
      <c r="A16400" t="str">
        <f>"8859"</f>
        <v>8859</v>
      </c>
      <c r="B16400" t="s">
        <v>16556</v>
      </c>
      <c r="C16400" t="s">
        <v>1665</v>
      </c>
      <c r="D16400" s="21" t="s">
        <v>34</v>
      </c>
      <c r="E16400" s="21" t="s">
        <v>71</v>
      </c>
      <c r="F16400">
        <v>6880002</v>
      </c>
      <c r="G16400" t="s">
        <v>501</v>
      </c>
      <c r="H16400" s="21">
        <v>822.67</v>
      </c>
    </row>
    <row r="16401" spans="1:8" customFormat="1" x14ac:dyDescent="0.25">
      <c r="A16401" t="str">
        <f>"779177"</f>
        <v>779177</v>
      </c>
      <c r="B16401" t="s">
        <v>12222</v>
      </c>
      <c r="C16401" t="s">
        <v>169</v>
      </c>
      <c r="D16401" s="21" t="s">
        <v>34</v>
      </c>
      <c r="E16401" s="21" t="s">
        <v>35</v>
      </c>
      <c r="F16401">
        <v>7021005</v>
      </c>
      <c r="G16401" t="s">
        <v>5996</v>
      </c>
      <c r="H16401" s="21">
        <v>822.67</v>
      </c>
    </row>
    <row r="16402" spans="1:8" customFormat="1" x14ac:dyDescent="0.25">
      <c r="A16402" t="str">
        <f>"912790"</f>
        <v>912790</v>
      </c>
      <c r="B16402" t="s">
        <v>14287</v>
      </c>
      <c r="C16402" t="s">
        <v>40</v>
      </c>
      <c r="D16402" s="21" t="s">
        <v>34</v>
      </c>
      <c r="E16402" s="21" t="s">
        <v>71</v>
      </c>
      <c r="F16402">
        <v>10470026</v>
      </c>
      <c r="G16402" t="s">
        <v>27223</v>
      </c>
      <c r="H16402" s="21">
        <v>822.67</v>
      </c>
    </row>
    <row r="16403" spans="1:8" customFormat="1" x14ac:dyDescent="0.25">
      <c r="A16403" t="str">
        <f>"199049"</f>
        <v>199049</v>
      </c>
      <c r="B16403" t="s">
        <v>13015</v>
      </c>
      <c r="C16403" t="s">
        <v>486</v>
      </c>
      <c r="D16403" s="21" t="s">
        <v>34</v>
      </c>
      <c r="E16403" s="21" t="s">
        <v>35</v>
      </c>
      <c r="F16403">
        <v>1630325</v>
      </c>
      <c r="G16403" t="s">
        <v>10751</v>
      </c>
      <c r="H16403" s="21">
        <v>822.67</v>
      </c>
    </row>
    <row r="16404" spans="1:8" customFormat="1" x14ac:dyDescent="0.25">
      <c r="A16404" t="str">
        <f>"2712492"</f>
        <v>2712492</v>
      </c>
      <c r="B16404" t="s">
        <v>15824</v>
      </c>
      <c r="C16404" t="s">
        <v>171</v>
      </c>
      <c r="D16404" s="21" t="s">
        <v>34</v>
      </c>
      <c r="E16404" s="21" t="s">
        <v>71</v>
      </c>
      <c r="F16404">
        <v>9270150</v>
      </c>
      <c r="G16404" t="s">
        <v>11661</v>
      </c>
      <c r="H16404" s="21">
        <v>822.67</v>
      </c>
    </row>
    <row r="16405" spans="1:8" customFormat="1" x14ac:dyDescent="0.25">
      <c r="A16405" t="str">
        <f>"9754278"</f>
        <v>9754278</v>
      </c>
      <c r="B16405" t="s">
        <v>27424</v>
      </c>
      <c r="C16405" t="s">
        <v>27425</v>
      </c>
      <c r="D16405" s="21" t="s">
        <v>34</v>
      </c>
      <c r="E16405" s="21" t="s">
        <v>254</v>
      </c>
      <c r="F16405" t="s">
        <v>2861</v>
      </c>
      <c r="G16405" t="s">
        <v>2862</v>
      </c>
      <c r="H16405" s="21">
        <v>822.67</v>
      </c>
    </row>
    <row r="16406" spans="1:8" customFormat="1" x14ac:dyDescent="0.25">
      <c r="A16406" t="str">
        <f>"6020434"</f>
        <v>6020434</v>
      </c>
      <c r="B16406" t="s">
        <v>8862</v>
      </c>
      <c r="C16406" t="s">
        <v>311</v>
      </c>
      <c r="D16406" s="21" t="s">
        <v>34</v>
      </c>
      <c r="E16406" s="21" t="s">
        <v>35</v>
      </c>
      <c r="F16406">
        <v>7600004</v>
      </c>
      <c r="G16406" t="s">
        <v>848</v>
      </c>
      <c r="H16406" s="21">
        <v>822.67</v>
      </c>
    </row>
    <row r="16407" spans="1:8" customFormat="1" x14ac:dyDescent="0.25">
      <c r="A16407" t="str">
        <f>"288315"</f>
        <v>288315</v>
      </c>
      <c r="B16407" t="s">
        <v>15269</v>
      </c>
      <c r="C16407" t="s">
        <v>269</v>
      </c>
      <c r="D16407" s="21" t="s">
        <v>34</v>
      </c>
      <c r="E16407" s="21" t="s">
        <v>35</v>
      </c>
      <c r="F16407">
        <v>4280202</v>
      </c>
      <c r="G16407" t="s">
        <v>2945</v>
      </c>
      <c r="H16407" s="21">
        <v>822.67</v>
      </c>
    </row>
    <row r="16408" spans="1:8" customFormat="1" x14ac:dyDescent="0.25">
      <c r="A16408" t="str">
        <f>"4218974"</f>
        <v>4218974</v>
      </c>
      <c r="B16408" t="s">
        <v>10912</v>
      </c>
      <c r="C16408" t="s">
        <v>62</v>
      </c>
      <c r="D16408" s="21" t="s">
        <v>34</v>
      </c>
      <c r="E16408" s="21" t="s">
        <v>35</v>
      </c>
      <c r="F16408">
        <v>1420141</v>
      </c>
      <c r="G16408" t="s">
        <v>5190</v>
      </c>
      <c r="H16408" s="21">
        <v>822.67</v>
      </c>
    </row>
    <row r="16409" spans="1:8" customFormat="1" x14ac:dyDescent="0.25">
      <c r="A16409" t="str">
        <f>"5915250"</f>
        <v>5915250</v>
      </c>
      <c r="B16409" t="s">
        <v>3930</v>
      </c>
      <c r="C16409" t="s">
        <v>124</v>
      </c>
      <c r="D16409" s="21" t="s">
        <v>34</v>
      </c>
      <c r="E16409" s="21" t="s">
        <v>254</v>
      </c>
      <c r="F16409">
        <v>2890023</v>
      </c>
      <c r="G16409" t="s">
        <v>1995</v>
      </c>
      <c r="H16409" s="21">
        <v>822.67</v>
      </c>
    </row>
    <row r="16410" spans="1:8" customFormat="1" x14ac:dyDescent="0.25">
      <c r="A16410" t="str">
        <f>"6812274"</f>
        <v>6812274</v>
      </c>
      <c r="B16410" t="s">
        <v>15970</v>
      </c>
      <c r="C16410" t="s">
        <v>4769</v>
      </c>
      <c r="D16410" s="21" t="s">
        <v>34</v>
      </c>
      <c r="E16410" s="21" t="s">
        <v>71</v>
      </c>
      <c r="F16410">
        <v>6680118</v>
      </c>
      <c r="G16410" t="s">
        <v>4346</v>
      </c>
      <c r="H16410" s="21">
        <v>822.67</v>
      </c>
    </row>
    <row r="16411" spans="1:8" customFormat="1" x14ac:dyDescent="0.25">
      <c r="A16411" t="str">
        <f>"39520"</f>
        <v>39520</v>
      </c>
      <c r="B16411" t="s">
        <v>14010</v>
      </c>
      <c r="C16411" t="s">
        <v>1146</v>
      </c>
      <c r="D16411" s="21" t="s">
        <v>34</v>
      </c>
      <c r="E16411" s="21" t="s">
        <v>71</v>
      </c>
      <c r="F16411">
        <v>2390002</v>
      </c>
      <c r="G16411" t="s">
        <v>9132</v>
      </c>
      <c r="H16411" s="21">
        <v>822.67</v>
      </c>
    </row>
    <row r="16412" spans="1:8" customFormat="1" x14ac:dyDescent="0.25">
      <c r="A16412" t="str">
        <f>"4934034"</f>
        <v>4934034</v>
      </c>
      <c r="B16412" t="s">
        <v>8057</v>
      </c>
      <c r="C16412" t="s">
        <v>62</v>
      </c>
      <c r="D16412" s="21" t="s">
        <v>34</v>
      </c>
      <c r="E16412" s="21" t="s">
        <v>35</v>
      </c>
      <c r="F16412">
        <v>12490131</v>
      </c>
      <c r="G16412" t="s">
        <v>12847</v>
      </c>
      <c r="H16412" s="21">
        <v>822.67</v>
      </c>
    </row>
    <row r="16413" spans="1:8" customFormat="1" x14ac:dyDescent="0.25">
      <c r="A16413" t="str">
        <f>"319076"</f>
        <v>319076</v>
      </c>
      <c r="B16413" t="s">
        <v>16480</v>
      </c>
      <c r="C16413" t="s">
        <v>275</v>
      </c>
      <c r="D16413" s="21" t="s">
        <v>34</v>
      </c>
      <c r="E16413" s="21" t="s">
        <v>35</v>
      </c>
      <c r="F16413">
        <v>11320041</v>
      </c>
      <c r="G16413" t="s">
        <v>4802</v>
      </c>
      <c r="H16413" s="21">
        <v>822.54</v>
      </c>
    </row>
    <row r="16414" spans="1:8" customFormat="1" x14ac:dyDescent="0.25">
      <c r="A16414" t="str">
        <f>"7637841"</f>
        <v>7637841</v>
      </c>
      <c r="B16414" t="s">
        <v>9370</v>
      </c>
      <c r="C16414" t="s">
        <v>246</v>
      </c>
      <c r="D16414" s="21" t="s">
        <v>34</v>
      </c>
      <c r="E16414" s="21" t="s">
        <v>71</v>
      </c>
      <c r="F16414">
        <v>9760425</v>
      </c>
      <c r="G16414" t="s">
        <v>5012</v>
      </c>
      <c r="H16414" s="21">
        <v>822.42</v>
      </c>
    </row>
    <row r="16415" spans="1:8" customFormat="1" x14ac:dyDescent="0.25">
      <c r="A16415" t="str">
        <f>"8526915"</f>
        <v>8526915</v>
      </c>
      <c r="B16415" t="s">
        <v>12914</v>
      </c>
      <c r="C16415" t="s">
        <v>9895</v>
      </c>
      <c r="D16415" s="21" t="s">
        <v>34</v>
      </c>
      <c r="E16415" s="21" t="s">
        <v>35</v>
      </c>
      <c r="F16415">
        <v>12850072</v>
      </c>
      <c r="G16415" t="s">
        <v>7184</v>
      </c>
      <c r="H16415" s="21">
        <v>822.29</v>
      </c>
    </row>
    <row r="16416" spans="1:8" customFormat="1" x14ac:dyDescent="0.25">
      <c r="A16416" t="str">
        <f>"6313449"</f>
        <v>6313449</v>
      </c>
      <c r="B16416" t="s">
        <v>14538</v>
      </c>
      <c r="C16416" t="s">
        <v>124</v>
      </c>
      <c r="D16416" s="21" t="s">
        <v>34</v>
      </c>
      <c r="E16416" s="21" t="s">
        <v>71</v>
      </c>
      <c r="F16416">
        <v>1630330</v>
      </c>
      <c r="G16416" t="s">
        <v>7263</v>
      </c>
      <c r="H16416" s="21">
        <v>822.17</v>
      </c>
    </row>
    <row r="16417" spans="1:8" customFormat="1" x14ac:dyDescent="0.25">
      <c r="A16417" t="str">
        <f>"568885"</f>
        <v>568885</v>
      </c>
      <c r="B16417" t="s">
        <v>6252</v>
      </c>
      <c r="C16417" t="s">
        <v>204</v>
      </c>
      <c r="D16417" s="21" t="s">
        <v>34</v>
      </c>
      <c r="E16417" s="21" t="s">
        <v>35</v>
      </c>
      <c r="F16417">
        <v>3560072</v>
      </c>
      <c r="G16417" t="s">
        <v>12285</v>
      </c>
      <c r="H16417" s="21">
        <v>822.17</v>
      </c>
    </row>
    <row r="16418" spans="1:8" customFormat="1" x14ac:dyDescent="0.25">
      <c r="A16418" t="str">
        <f>"571058"</f>
        <v>571058</v>
      </c>
      <c r="B16418" t="s">
        <v>13257</v>
      </c>
      <c r="C16418" t="s">
        <v>2305</v>
      </c>
      <c r="D16418" s="21" t="s">
        <v>34</v>
      </c>
      <c r="E16418" s="21" t="s">
        <v>71</v>
      </c>
      <c r="F16418">
        <v>6570073</v>
      </c>
      <c r="G16418" t="s">
        <v>952</v>
      </c>
      <c r="H16418" s="21">
        <v>822.17</v>
      </c>
    </row>
    <row r="16419" spans="1:8" customFormat="1" x14ac:dyDescent="0.25">
      <c r="A16419" t="str">
        <f>"5111129"</f>
        <v>5111129</v>
      </c>
      <c r="B16419" t="s">
        <v>15045</v>
      </c>
      <c r="C16419" t="s">
        <v>169</v>
      </c>
      <c r="D16419" s="21" t="s">
        <v>34</v>
      </c>
      <c r="E16419" s="21" t="s">
        <v>35</v>
      </c>
      <c r="F16419">
        <v>6510018</v>
      </c>
      <c r="G16419" t="s">
        <v>3055</v>
      </c>
      <c r="H16419" s="21">
        <v>822.17</v>
      </c>
    </row>
    <row r="16420" spans="1:8" customFormat="1" x14ac:dyDescent="0.25">
      <c r="A16420" t="str">
        <f>"8526689"</f>
        <v>8526689</v>
      </c>
      <c r="B16420" t="s">
        <v>10741</v>
      </c>
      <c r="C16420" t="s">
        <v>1665</v>
      </c>
      <c r="D16420" s="21" t="s">
        <v>34</v>
      </c>
      <c r="E16420" s="21" t="s">
        <v>254</v>
      </c>
      <c r="F16420">
        <v>12850001</v>
      </c>
      <c r="G16420" t="s">
        <v>1197</v>
      </c>
      <c r="H16420" s="21">
        <v>822.17</v>
      </c>
    </row>
    <row r="16421" spans="1:8" customFormat="1" x14ac:dyDescent="0.25">
      <c r="A16421" t="str">
        <f>"3717854"</f>
        <v>3717854</v>
      </c>
      <c r="B16421" t="s">
        <v>5944</v>
      </c>
      <c r="C16421" t="s">
        <v>462</v>
      </c>
      <c r="D16421" s="21" t="s">
        <v>34</v>
      </c>
      <c r="E16421" s="21" t="s">
        <v>71</v>
      </c>
      <c r="F16421">
        <v>4370698</v>
      </c>
      <c r="G16421" t="s">
        <v>12547</v>
      </c>
      <c r="H16421" s="21">
        <v>822.17</v>
      </c>
    </row>
    <row r="16422" spans="1:8" customFormat="1" x14ac:dyDescent="0.25">
      <c r="A16422" t="str">
        <f>"165665"</f>
        <v>165665</v>
      </c>
      <c r="B16422" t="s">
        <v>13422</v>
      </c>
      <c r="C16422" t="s">
        <v>198</v>
      </c>
      <c r="D16422" s="21" t="s">
        <v>34</v>
      </c>
      <c r="E16422" s="21" t="s">
        <v>71</v>
      </c>
      <c r="F16422">
        <v>10160122</v>
      </c>
      <c r="G16422" t="s">
        <v>8169</v>
      </c>
      <c r="H16422" s="21">
        <v>822.17</v>
      </c>
    </row>
    <row r="16423" spans="1:8" customFormat="1" x14ac:dyDescent="0.25">
      <c r="A16423" t="str">
        <f>"4935473"</f>
        <v>4935473</v>
      </c>
      <c r="B16423" t="s">
        <v>8688</v>
      </c>
      <c r="C16423" t="s">
        <v>62</v>
      </c>
      <c r="D16423" s="21" t="s">
        <v>34</v>
      </c>
      <c r="E16423" s="21" t="s">
        <v>71</v>
      </c>
      <c r="F16423">
        <v>12490106</v>
      </c>
      <c r="G16423" t="s">
        <v>4555</v>
      </c>
      <c r="H16423" s="21">
        <v>822.17</v>
      </c>
    </row>
    <row r="16424" spans="1:8" customFormat="1" x14ac:dyDescent="0.25">
      <c r="A16424" t="str">
        <f>"9114204"</f>
        <v>9114204</v>
      </c>
      <c r="B16424" t="s">
        <v>13644</v>
      </c>
      <c r="C16424" t="s">
        <v>2907</v>
      </c>
      <c r="D16424" s="21" t="s">
        <v>34</v>
      </c>
      <c r="E16424" s="21" t="s">
        <v>35</v>
      </c>
      <c r="F16424">
        <v>8910881</v>
      </c>
      <c r="G16424" t="s">
        <v>1300</v>
      </c>
      <c r="H16424" s="21">
        <v>822.17</v>
      </c>
    </row>
    <row r="16425" spans="1:8" customFormat="1" x14ac:dyDescent="0.25">
      <c r="A16425" t="str">
        <f>"2718636"</f>
        <v>2718636</v>
      </c>
      <c r="B16425" t="s">
        <v>12879</v>
      </c>
      <c r="C16425" t="s">
        <v>812</v>
      </c>
      <c r="D16425" s="21" t="s">
        <v>34</v>
      </c>
      <c r="E16425" s="21" t="s">
        <v>254</v>
      </c>
      <c r="F16425">
        <v>9270176</v>
      </c>
      <c r="G16425" t="s">
        <v>5799</v>
      </c>
      <c r="H16425" s="21">
        <v>822.17</v>
      </c>
    </row>
    <row r="16426" spans="1:8" customFormat="1" x14ac:dyDescent="0.25">
      <c r="A16426" t="str">
        <f>"6937712"</f>
        <v>6937712</v>
      </c>
      <c r="B16426" t="s">
        <v>3725</v>
      </c>
      <c r="C16426" t="s">
        <v>33</v>
      </c>
      <c r="D16426" s="21" t="s">
        <v>34</v>
      </c>
      <c r="E16426" s="21" t="s">
        <v>35</v>
      </c>
      <c r="F16426">
        <v>1690002</v>
      </c>
      <c r="G16426" t="s">
        <v>5604</v>
      </c>
      <c r="H16426" s="21">
        <v>822.17</v>
      </c>
    </row>
    <row r="16427" spans="1:8" customFormat="1" x14ac:dyDescent="0.25">
      <c r="A16427" t="str">
        <f>"601170"</f>
        <v>601170</v>
      </c>
      <c r="B16427" t="s">
        <v>2183</v>
      </c>
      <c r="C16427" t="s">
        <v>926</v>
      </c>
      <c r="D16427" s="21" t="s">
        <v>34</v>
      </c>
      <c r="E16427" s="21" t="s">
        <v>71</v>
      </c>
      <c r="F16427">
        <v>7600043</v>
      </c>
      <c r="G16427" t="s">
        <v>1928</v>
      </c>
      <c r="H16427" s="21">
        <v>822.17</v>
      </c>
    </row>
    <row r="16428" spans="1:8" customFormat="1" x14ac:dyDescent="0.25">
      <c r="A16428" t="str">
        <f>"4422967"</f>
        <v>4422967</v>
      </c>
      <c r="B16428" t="s">
        <v>27426</v>
      </c>
      <c r="C16428" t="s">
        <v>98</v>
      </c>
      <c r="D16428" s="21" t="s">
        <v>34</v>
      </c>
      <c r="E16428" s="21" t="s">
        <v>35</v>
      </c>
      <c r="F16428">
        <v>12440008</v>
      </c>
      <c r="G16428" t="s">
        <v>4570</v>
      </c>
      <c r="H16428" s="21">
        <v>822.17</v>
      </c>
    </row>
    <row r="16429" spans="1:8" customFormat="1" x14ac:dyDescent="0.25">
      <c r="A16429" t="str">
        <f>"9224822"</f>
        <v>9224822</v>
      </c>
      <c r="B16429" t="s">
        <v>27427</v>
      </c>
      <c r="C16429" t="s">
        <v>867</v>
      </c>
      <c r="D16429" s="21" t="s">
        <v>34</v>
      </c>
      <c r="E16429" s="21" t="s">
        <v>35</v>
      </c>
      <c r="F16429">
        <v>8920111</v>
      </c>
      <c r="G16429" t="s">
        <v>1064</v>
      </c>
      <c r="H16429" s="21">
        <v>822.17</v>
      </c>
    </row>
    <row r="16430" spans="1:8" customFormat="1" x14ac:dyDescent="0.25">
      <c r="A16430" t="str">
        <f>"23145"</f>
        <v>23145</v>
      </c>
      <c r="B16430" t="s">
        <v>27428</v>
      </c>
      <c r="C16430" t="s">
        <v>114</v>
      </c>
      <c r="D16430" s="21" t="s">
        <v>34</v>
      </c>
      <c r="E16430" s="21" t="s">
        <v>35</v>
      </c>
      <c r="F16430">
        <v>10230067</v>
      </c>
      <c r="G16430" t="s">
        <v>912</v>
      </c>
      <c r="H16430" s="21">
        <v>822.17</v>
      </c>
    </row>
    <row r="16431" spans="1:8" customFormat="1" x14ac:dyDescent="0.25">
      <c r="A16431" t="str">
        <f>"138676"</f>
        <v>138676</v>
      </c>
      <c r="B16431" t="s">
        <v>12893</v>
      </c>
      <c r="C16431" t="s">
        <v>1489</v>
      </c>
      <c r="D16431" s="21" t="s">
        <v>34</v>
      </c>
      <c r="E16431" s="21" t="s">
        <v>71</v>
      </c>
      <c r="F16431">
        <v>13130148</v>
      </c>
      <c r="G16431" t="s">
        <v>12894</v>
      </c>
      <c r="H16431" s="21">
        <v>822.17</v>
      </c>
    </row>
    <row r="16432" spans="1:8" customFormat="1" x14ac:dyDescent="0.25">
      <c r="A16432" t="str">
        <f>"132596"</f>
        <v>132596</v>
      </c>
      <c r="B16432" t="s">
        <v>10464</v>
      </c>
      <c r="C16432" t="s">
        <v>547</v>
      </c>
      <c r="D16432" s="21" t="s">
        <v>34</v>
      </c>
      <c r="E16432" s="21" t="s">
        <v>254</v>
      </c>
      <c r="F16432">
        <v>13130152</v>
      </c>
      <c r="G16432" t="s">
        <v>906</v>
      </c>
      <c r="H16432" s="21">
        <v>822.17</v>
      </c>
    </row>
    <row r="16433" spans="1:8" customFormat="1" x14ac:dyDescent="0.25">
      <c r="A16433" t="str">
        <f>"568436"</f>
        <v>568436</v>
      </c>
      <c r="B16433" t="s">
        <v>2697</v>
      </c>
      <c r="C16433" t="s">
        <v>124</v>
      </c>
      <c r="D16433" s="21" t="s">
        <v>34</v>
      </c>
      <c r="E16433" s="21" t="s">
        <v>254</v>
      </c>
      <c r="F16433">
        <v>3560072</v>
      </c>
      <c r="G16433" t="s">
        <v>12285</v>
      </c>
      <c r="H16433" s="21">
        <v>822.17</v>
      </c>
    </row>
    <row r="16434" spans="1:8" customFormat="1" x14ac:dyDescent="0.25">
      <c r="A16434" t="str">
        <f>"942249"</f>
        <v>942249</v>
      </c>
      <c r="B16434" t="s">
        <v>7428</v>
      </c>
      <c r="C16434" t="s">
        <v>209</v>
      </c>
      <c r="D16434" s="21" t="s">
        <v>34</v>
      </c>
      <c r="E16434" s="21" t="s">
        <v>71</v>
      </c>
      <c r="F16434">
        <v>8940872</v>
      </c>
      <c r="G16434" t="s">
        <v>4687</v>
      </c>
      <c r="H16434" s="21">
        <v>822.17</v>
      </c>
    </row>
    <row r="16435" spans="1:8" customFormat="1" x14ac:dyDescent="0.25">
      <c r="A16435" t="str">
        <f>"7632619"</f>
        <v>7632619</v>
      </c>
      <c r="B16435" t="s">
        <v>853</v>
      </c>
      <c r="C16435" t="s">
        <v>267</v>
      </c>
      <c r="D16435" s="21" t="s">
        <v>34</v>
      </c>
      <c r="E16435" s="21" t="s">
        <v>71</v>
      </c>
      <c r="F16435">
        <v>9760286</v>
      </c>
      <c r="G16435" t="s">
        <v>11559</v>
      </c>
      <c r="H16435" s="21">
        <v>822.17</v>
      </c>
    </row>
    <row r="16436" spans="1:8" customFormat="1" x14ac:dyDescent="0.25">
      <c r="A16436" t="str">
        <f>"65281"</f>
        <v>65281</v>
      </c>
      <c r="B16436" t="s">
        <v>12315</v>
      </c>
      <c r="C16436" t="s">
        <v>1054</v>
      </c>
      <c r="D16436" s="21" t="s">
        <v>34</v>
      </c>
      <c r="E16436" s="21" t="s">
        <v>254</v>
      </c>
      <c r="F16436">
        <v>11650018</v>
      </c>
      <c r="G16436" t="s">
        <v>6247</v>
      </c>
      <c r="H16436" s="21">
        <v>822.17</v>
      </c>
    </row>
    <row r="16437" spans="1:8" customFormat="1" x14ac:dyDescent="0.25">
      <c r="A16437" t="str">
        <f>"546522"</f>
        <v>546522</v>
      </c>
      <c r="B16437" t="s">
        <v>811</v>
      </c>
      <c r="C16437" t="s">
        <v>2135</v>
      </c>
      <c r="D16437" s="21" t="s">
        <v>34</v>
      </c>
      <c r="E16437" s="21" t="s">
        <v>1089</v>
      </c>
      <c r="F16437">
        <v>6540151</v>
      </c>
      <c r="G16437" t="s">
        <v>12078</v>
      </c>
      <c r="H16437" s="21">
        <v>821.67</v>
      </c>
    </row>
    <row r="16438" spans="1:8" customFormat="1" x14ac:dyDescent="0.25">
      <c r="A16438" t="str">
        <f>"483374"</f>
        <v>483374</v>
      </c>
      <c r="B16438" t="s">
        <v>1959</v>
      </c>
      <c r="C16438" t="s">
        <v>879</v>
      </c>
      <c r="D16438" s="21" t="s">
        <v>34</v>
      </c>
      <c r="E16438" s="21" t="s">
        <v>71</v>
      </c>
      <c r="F16438">
        <v>11480027</v>
      </c>
      <c r="G16438" t="s">
        <v>2950</v>
      </c>
      <c r="H16438" s="21">
        <v>821.67</v>
      </c>
    </row>
    <row r="16439" spans="1:8" customFormat="1" x14ac:dyDescent="0.25">
      <c r="A16439" t="str">
        <f>"6934460"</f>
        <v>6934460</v>
      </c>
      <c r="B16439" t="s">
        <v>15225</v>
      </c>
      <c r="C16439" t="s">
        <v>87</v>
      </c>
      <c r="D16439" s="21" t="s">
        <v>34</v>
      </c>
      <c r="E16439" s="21" t="s">
        <v>71</v>
      </c>
      <c r="F16439">
        <v>1690062</v>
      </c>
      <c r="G16439" t="s">
        <v>5907</v>
      </c>
      <c r="H16439" s="21">
        <v>821.67</v>
      </c>
    </row>
    <row r="16440" spans="1:8" customFormat="1" x14ac:dyDescent="0.25">
      <c r="A16440" t="str">
        <f>"3115773"</f>
        <v>3115773</v>
      </c>
      <c r="B16440" t="s">
        <v>15467</v>
      </c>
      <c r="C16440" t="s">
        <v>415</v>
      </c>
      <c r="D16440" s="21" t="s">
        <v>34</v>
      </c>
      <c r="E16440" s="21" t="s">
        <v>254</v>
      </c>
      <c r="F16440">
        <v>11310121</v>
      </c>
      <c r="G16440" t="s">
        <v>578</v>
      </c>
      <c r="H16440" s="21">
        <v>821.67</v>
      </c>
    </row>
    <row r="16441" spans="1:8" customFormat="1" x14ac:dyDescent="0.25">
      <c r="A16441" t="str">
        <f>"845455"</f>
        <v>845455</v>
      </c>
      <c r="B16441" t="s">
        <v>15864</v>
      </c>
      <c r="C16441" t="s">
        <v>96</v>
      </c>
      <c r="D16441" s="21" t="s">
        <v>34</v>
      </c>
      <c r="E16441" s="21" t="s">
        <v>35</v>
      </c>
      <c r="F16441">
        <v>13840012</v>
      </c>
      <c r="G16441" t="s">
        <v>5143</v>
      </c>
      <c r="H16441" s="21">
        <v>821.67</v>
      </c>
    </row>
    <row r="16442" spans="1:8" customFormat="1" x14ac:dyDescent="0.25">
      <c r="A16442" t="str">
        <f>"5712524"</f>
        <v>5712524</v>
      </c>
      <c r="B16442" t="s">
        <v>1462</v>
      </c>
      <c r="C16442" t="s">
        <v>1665</v>
      </c>
      <c r="D16442" s="21" t="s">
        <v>34</v>
      </c>
      <c r="E16442" s="21" t="s">
        <v>71</v>
      </c>
      <c r="F16442">
        <v>6570175</v>
      </c>
      <c r="G16442" t="s">
        <v>9707</v>
      </c>
      <c r="H16442" s="21">
        <v>821.67</v>
      </c>
    </row>
    <row r="16443" spans="1:8" customFormat="1" x14ac:dyDescent="0.25">
      <c r="A16443" t="str">
        <f>"74359"</f>
        <v>74359</v>
      </c>
      <c r="B16443" t="s">
        <v>15689</v>
      </c>
      <c r="C16443" t="s">
        <v>822</v>
      </c>
      <c r="D16443" s="21" t="s">
        <v>34</v>
      </c>
      <c r="E16443" s="21" t="s">
        <v>1089</v>
      </c>
      <c r="F16443">
        <v>1740063</v>
      </c>
      <c r="G16443" t="s">
        <v>9745</v>
      </c>
      <c r="H16443" s="21">
        <v>821.67</v>
      </c>
    </row>
    <row r="16444" spans="1:8" customFormat="1" x14ac:dyDescent="0.25">
      <c r="A16444" t="str">
        <f>"517349"</f>
        <v>517349</v>
      </c>
      <c r="B16444" t="s">
        <v>1737</v>
      </c>
      <c r="C16444" t="s">
        <v>1914</v>
      </c>
      <c r="D16444" s="21" t="s">
        <v>34</v>
      </c>
      <c r="E16444" s="21" t="s">
        <v>71</v>
      </c>
      <c r="F16444">
        <v>6510069</v>
      </c>
      <c r="G16444" t="s">
        <v>13766</v>
      </c>
      <c r="H16444" s="21">
        <v>821.67</v>
      </c>
    </row>
    <row r="16445" spans="1:8" customFormat="1" x14ac:dyDescent="0.25">
      <c r="A16445" t="str">
        <f>"2215580"</f>
        <v>2215580</v>
      </c>
      <c r="B16445" t="s">
        <v>14306</v>
      </c>
      <c r="C16445" t="s">
        <v>209</v>
      </c>
      <c r="D16445" s="21" t="s">
        <v>34</v>
      </c>
      <c r="E16445" s="21" t="s">
        <v>254</v>
      </c>
      <c r="F16445">
        <v>3220011</v>
      </c>
      <c r="G16445" t="s">
        <v>27394</v>
      </c>
      <c r="H16445" s="21">
        <v>821.67</v>
      </c>
    </row>
    <row r="16446" spans="1:8" customFormat="1" x14ac:dyDescent="0.25">
      <c r="A16446" t="str">
        <f>"8011719"</f>
        <v>8011719</v>
      </c>
      <c r="B16446" t="s">
        <v>13110</v>
      </c>
      <c r="C16446" t="s">
        <v>528</v>
      </c>
      <c r="D16446" s="21" t="s">
        <v>34</v>
      </c>
      <c r="E16446" s="21" t="s">
        <v>71</v>
      </c>
      <c r="F16446">
        <v>7800139</v>
      </c>
      <c r="G16446" t="s">
        <v>6694</v>
      </c>
      <c r="H16446" s="21">
        <v>821.67</v>
      </c>
    </row>
    <row r="16447" spans="1:8" customFormat="1" x14ac:dyDescent="0.25">
      <c r="A16447" t="str">
        <f>"214882"</f>
        <v>214882</v>
      </c>
      <c r="B16447" t="s">
        <v>1347</v>
      </c>
      <c r="C16447" t="s">
        <v>96</v>
      </c>
      <c r="D16447" s="21" t="s">
        <v>34</v>
      </c>
      <c r="E16447" s="21" t="s">
        <v>254</v>
      </c>
      <c r="F16447">
        <v>2210048</v>
      </c>
      <c r="G16447" t="s">
        <v>7499</v>
      </c>
      <c r="H16447" s="21">
        <v>821.67</v>
      </c>
    </row>
    <row r="16448" spans="1:8" customFormat="1" x14ac:dyDescent="0.25">
      <c r="A16448" t="str">
        <f>"5939373"</f>
        <v>5939373</v>
      </c>
      <c r="B16448" t="s">
        <v>12178</v>
      </c>
      <c r="C16448" t="s">
        <v>90</v>
      </c>
      <c r="D16448" s="21" t="s">
        <v>34</v>
      </c>
      <c r="E16448" s="21" t="s">
        <v>71</v>
      </c>
      <c r="F16448">
        <v>7590011</v>
      </c>
      <c r="G16448" t="s">
        <v>2147</v>
      </c>
      <c r="H16448" s="21">
        <v>821.67</v>
      </c>
    </row>
    <row r="16449" spans="1:8" customFormat="1" x14ac:dyDescent="0.25">
      <c r="A16449" t="str">
        <f>"25990"</f>
        <v>25990</v>
      </c>
      <c r="B16449" t="s">
        <v>14602</v>
      </c>
      <c r="C16449" t="s">
        <v>40</v>
      </c>
      <c r="D16449" s="21" t="s">
        <v>34</v>
      </c>
      <c r="E16449" s="21" t="s">
        <v>254</v>
      </c>
      <c r="F16449">
        <v>2250021</v>
      </c>
      <c r="G16449" t="s">
        <v>2352</v>
      </c>
      <c r="H16449" s="21">
        <v>821.67</v>
      </c>
    </row>
    <row r="16450" spans="1:8" customFormat="1" x14ac:dyDescent="0.25">
      <c r="A16450" t="str">
        <f>"4434977"</f>
        <v>4434977</v>
      </c>
      <c r="B16450" t="s">
        <v>14623</v>
      </c>
      <c r="C16450" t="s">
        <v>209</v>
      </c>
      <c r="D16450" s="21" t="s">
        <v>34</v>
      </c>
      <c r="E16450" s="21" t="s">
        <v>254</v>
      </c>
      <c r="F16450">
        <v>12440033</v>
      </c>
      <c r="G16450" t="s">
        <v>1638</v>
      </c>
      <c r="H16450" s="21">
        <v>821.67</v>
      </c>
    </row>
    <row r="16451" spans="1:8" customFormat="1" x14ac:dyDescent="0.25">
      <c r="A16451" t="str">
        <f>"7815188"</f>
        <v>7815188</v>
      </c>
      <c r="B16451" t="s">
        <v>27429</v>
      </c>
      <c r="C16451" t="s">
        <v>1417</v>
      </c>
      <c r="D16451" s="21" t="s">
        <v>34</v>
      </c>
      <c r="E16451" s="21" t="s">
        <v>35</v>
      </c>
      <c r="F16451">
        <v>8780401</v>
      </c>
      <c r="G16451" t="s">
        <v>9116</v>
      </c>
      <c r="H16451" s="21">
        <v>821.67</v>
      </c>
    </row>
    <row r="16452" spans="1:8" customFormat="1" x14ac:dyDescent="0.25">
      <c r="A16452" t="str">
        <f>"8612749"</f>
        <v>8612749</v>
      </c>
      <c r="B16452" t="s">
        <v>15765</v>
      </c>
      <c r="C16452" t="s">
        <v>65</v>
      </c>
      <c r="D16452" s="21" t="s">
        <v>34</v>
      </c>
      <c r="E16452" s="21" t="s">
        <v>35</v>
      </c>
      <c r="F16452">
        <v>10860024</v>
      </c>
      <c r="G16452" t="s">
        <v>1770</v>
      </c>
      <c r="H16452" s="21">
        <v>821.42</v>
      </c>
    </row>
    <row r="16453" spans="1:8" customFormat="1" x14ac:dyDescent="0.25">
      <c r="A16453" t="str">
        <f>"3416911"</f>
        <v>3416911</v>
      </c>
      <c r="B16453" t="s">
        <v>13595</v>
      </c>
      <c r="C16453" t="s">
        <v>33</v>
      </c>
      <c r="D16453" s="21" t="s">
        <v>34</v>
      </c>
      <c r="E16453" s="21" t="s">
        <v>71</v>
      </c>
      <c r="F16453">
        <v>11340022</v>
      </c>
      <c r="G16453" t="s">
        <v>4663</v>
      </c>
      <c r="H16453" s="21">
        <v>821.42</v>
      </c>
    </row>
    <row r="16454" spans="1:8" customFormat="1" x14ac:dyDescent="0.25">
      <c r="A16454" t="str">
        <f>"70135"</f>
        <v>70135</v>
      </c>
      <c r="B16454" t="s">
        <v>6299</v>
      </c>
      <c r="C16454" t="s">
        <v>4842</v>
      </c>
      <c r="D16454" s="21" t="s">
        <v>34</v>
      </c>
      <c r="E16454" s="21" t="s">
        <v>1089</v>
      </c>
      <c r="F16454">
        <v>2700014</v>
      </c>
      <c r="G16454" t="s">
        <v>7714</v>
      </c>
      <c r="H16454" s="21">
        <v>821.17</v>
      </c>
    </row>
    <row r="16455" spans="1:8" customFormat="1" x14ac:dyDescent="0.25">
      <c r="A16455" t="str">
        <f>"5959813"</f>
        <v>5959813</v>
      </c>
      <c r="B16455" t="s">
        <v>14952</v>
      </c>
      <c r="C16455" t="s">
        <v>1146</v>
      </c>
      <c r="D16455" s="21" t="s">
        <v>34</v>
      </c>
      <c r="E16455" s="21" t="s">
        <v>71</v>
      </c>
      <c r="F16455">
        <v>7590130</v>
      </c>
      <c r="G16455" t="s">
        <v>1311</v>
      </c>
      <c r="H16455" s="21">
        <v>821.17</v>
      </c>
    </row>
    <row r="16456" spans="1:8" customFormat="1" x14ac:dyDescent="0.25">
      <c r="A16456" t="str">
        <f>"7913063"</f>
        <v>7913063</v>
      </c>
      <c r="B16456" t="s">
        <v>11543</v>
      </c>
      <c r="C16456" t="s">
        <v>547</v>
      </c>
      <c r="D16456" s="21" t="s">
        <v>34</v>
      </c>
      <c r="E16456" s="21" t="s">
        <v>254</v>
      </c>
      <c r="F16456">
        <v>10790005</v>
      </c>
      <c r="G16456" t="s">
        <v>1948</v>
      </c>
      <c r="H16456" s="21">
        <v>821.17</v>
      </c>
    </row>
    <row r="16457" spans="1:8" customFormat="1" x14ac:dyDescent="0.25">
      <c r="A16457" t="str">
        <f>"7862641"</f>
        <v>7862641</v>
      </c>
      <c r="B16457" t="s">
        <v>51</v>
      </c>
      <c r="C16457" t="s">
        <v>652</v>
      </c>
      <c r="D16457" s="21" t="s">
        <v>34</v>
      </c>
      <c r="E16457" s="21" t="s">
        <v>254</v>
      </c>
      <c r="F16457">
        <v>8781380</v>
      </c>
      <c r="G16457" t="s">
        <v>10815</v>
      </c>
      <c r="H16457" s="21">
        <v>821.17</v>
      </c>
    </row>
    <row r="16458" spans="1:8" customFormat="1" x14ac:dyDescent="0.25">
      <c r="A16458" t="str">
        <f>"2930766"</f>
        <v>2930766</v>
      </c>
      <c r="B16458" t="s">
        <v>4411</v>
      </c>
      <c r="C16458" t="s">
        <v>139</v>
      </c>
      <c r="D16458" s="21" t="s">
        <v>34</v>
      </c>
      <c r="E16458" s="21" t="s">
        <v>71</v>
      </c>
      <c r="F16458">
        <v>3290203</v>
      </c>
      <c r="G16458" t="s">
        <v>9395</v>
      </c>
      <c r="H16458" s="21">
        <v>821.17</v>
      </c>
    </row>
    <row r="16459" spans="1:8" customFormat="1" x14ac:dyDescent="0.25">
      <c r="A16459" t="str">
        <f>"5946925"</f>
        <v>5946925</v>
      </c>
      <c r="B16459" t="s">
        <v>27430</v>
      </c>
      <c r="C16459" t="s">
        <v>1665</v>
      </c>
      <c r="D16459" s="21" t="s">
        <v>34</v>
      </c>
      <c r="E16459" s="21" t="s">
        <v>35</v>
      </c>
      <c r="F16459">
        <v>7620149</v>
      </c>
      <c r="G16459" t="s">
        <v>16598</v>
      </c>
      <c r="H16459" s="21">
        <v>821.17</v>
      </c>
    </row>
    <row r="16460" spans="1:8" customFormat="1" x14ac:dyDescent="0.25">
      <c r="A16460" t="str">
        <f>"277723"</f>
        <v>277723</v>
      </c>
      <c r="B16460" t="s">
        <v>13887</v>
      </c>
      <c r="C16460" t="s">
        <v>55</v>
      </c>
      <c r="D16460" s="21" t="s">
        <v>34</v>
      </c>
      <c r="E16460" s="21" t="s">
        <v>71</v>
      </c>
      <c r="F16460">
        <v>9270005</v>
      </c>
      <c r="G16460" t="s">
        <v>1255</v>
      </c>
      <c r="H16460" s="21">
        <v>821.17</v>
      </c>
    </row>
    <row r="16461" spans="1:8" customFormat="1" x14ac:dyDescent="0.25">
      <c r="A16461" t="str">
        <f>"5953866"</f>
        <v>5953866</v>
      </c>
      <c r="B16461" t="s">
        <v>679</v>
      </c>
      <c r="C16461" t="s">
        <v>33</v>
      </c>
      <c r="D16461" s="21" t="s">
        <v>34</v>
      </c>
      <c r="E16461" s="21" t="s">
        <v>35</v>
      </c>
      <c r="F16461">
        <v>7590184</v>
      </c>
      <c r="G16461" t="s">
        <v>6722</v>
      </c>
      <c r="H16461" s="21">
        <v>821.17</v>
      </c>
    </row>
    <row r="16462" spans="1:8" customFormat="1" x14ac:dyDescent="0.25">
      <c r="A16462" t="str">
        <f>"8520917"</f>
        <v>8520917</v>
      </c>
      <c r="B16462" t="s">
        <v>10130</v>
      </c>
      <c r="C16462" t="s">
        <v>209</v>
      </c>
      <c r="D16462" s="21" t="s">
        <v>34</v>
      </c>
      <c r="E16462" s="21" t="s">
        <v>71</v>
      </c>
      <c r="F16462">
        <v>12850136</v>
      </c>
      <c r="G16462" t="s">
        <v>2536</v>
      </c>
      <c r="H16462" s="21">
        <v>821.17</v>
      </c>
    </row>
    <row r="16463" spans="1:8" customFormat="1" x14ac:dyDescent="0.25">
      <c r="A16463" t="str">
        <f>"9130582"</f>
        <v>9130582</v>
      </c>
      <c r="B16463" t="s">
        <v>4711</v>
      </c>
      <c r="C16463" t="s">
        <v>139</v>
      </c>
      <c r="D16463" s="21" t="s">
        <v>34</v>
      </c>
      <c r="E16463" s="21" t="s">
        <v>71</v>
      </c>
      <c r="F16463">
        <v>8911132</v>
      </c>
      <c r="G16463" t="s">
        <v>10728</v>
      </c>
      <c r="H16463" s="21">
        <v>821.17</v>
      </c>
    </row>
    <row r="16464" spans="1:8" customFormat="1" x14ac:dyDescent="0.25">
      <c r="A16464" t="str">
        <f>"916845"</f>
        <v>916845</v>
      </c>
      <c r="B16464" t="s">
        <v>14096</v>
      </c>
      <c r="C16464" t="s">
        <v>1025</v>
      </c>
      <c r="D16464" s="21" t="s">
        <v>34</v>
      </c>
      <c r="E16464" s="21" t="s">
        <v>254</v>
      </c>
      <c r="F16464">
        <v>8910102</v>
      </c>
      <c r="G16464" t="s">
        <v>3079</v>
      </c>
      <c r="H16464" s="21">
        <v>821.17</v>
      </c>
    </row>
    <row r="16465" spans="1:8" customFormat="1" x14ac:dyDescent="0.25">
      <c r="A16465" t="str">
        <f>"4432877"</f>
        <v>4432877</v>
      </c>
      <c r="B16465" t="s">
        <v>2289</v>
      </c>
      <c r="C16465" t="s">
        <v>87</v>
      </c>
      <c r="D16465" s="21" t="s">
        <v>34</v>
      </c>
      <c r="E16465" s="21" t="s">
        <v>35</v>
      </c>
      <c r="F16465">
        <v>12440141</v>
      </c>
      <c r="G16465" t="s">
        <v>3234</v>
      </c>
      <c r="H16465" s="21">
        <v>821.17</v>
      </c>
    </row>
    <row r="16466" spans="1:8" customFormat="1" x14ac:dyDescent="0.25">
      <c r="A16466" t="str">
        <f>"804537"</f>
        <v>804537</v>
      </c>
      <c r="B16466" t="s">
        <v>623</v>
      </c>
      <c r="C16466" t="s">
        <v>598</v>
      </c>
      <c r="D16466" s="21" t="s">
        <v>34</v>
      </c>
      <c r="E16466" s="21" t="s">
        <v>1089</v>
      </c>
      <c r="F16466">
        <v>7800003</v>
      </c>
      <c r="G16466" t="s">
        <v>276</v>
      </c>
      <c r="H16466" s="21">
        <v>821.17</v>
      </c>
    </row>
    <row r="16467" spans="1:8" customFormat="1" x14ac:dyDescent="0.25">
      <c r="A16467" t="str">
        <f>"02267"</f>
        <v>02267</v>
      </c>
      <c r="B16467" t="s">
        <v>6487</v>
      </c>
      <c r="C16467" t="s">
        <v>87</v>
      </c>
      <c r="D16467" s="21" t="s">
        <v>34</v>
      </c>
      <c r="E16467" s="21" t="s">
        <v>254</v>
      </c>
      <c r="F16467">
        <v>7021014</v>
      </c>
      <c r="G16467" t="s">
        <v>15834</v>
      </c>
      <c r="H16467" s="21">
        <v>821.17</v>
      </c>
    </row>
    <row r="16468" spans="1:8" customFormat="1" x14ac:dyDescent="0.25">
      <c r="A16468" t="str">
        <f>"9126578"</f>
        <v>9126578</v>
      </c>
      <c r="B16468" t="s">
        <v>108</v>
      </c>
      <c r="C16468" t="s">
        <v>249</v>
      </c>
      <c r="D16468" s="21" t="s">
        <v>34</v>
      </c>
      <c r="E16468" s="21" t="s">
        <v>71</v>
      </c>
      <c r="F16468">
        <v>8910667</v>
      </c>
      <c r="G16468" t="s">
        <v>2361</v>
      </c>
      <c r="H16468" s="21">
        <v>821.17</v>
      </c>
    </row>
    <row r="16469" spans="1:8" customFormat="1" x14ac:dyDescent="0.25">
      <c r="A16469" t="str">
        <f>"5314787"</f>
        <v>5314787</v>
      </c>
      <c r="B16469" t="s">
        <v>13081</v>
      </c>
      <c r="C16469" t="s">
        <v>608</v>
      </c>
      <c r="D16469" s="21" t="s">
        <v>34</v>
      </c>
      <c r="E16469" s="21" t="s">
        <v>254</v>
      </c>
      <c r="F16469">
        <v>12530084</v>
      </c>
      <c r="G16469" t="s">
        <v>5766</v>
      </c>
      <c r="H16469" s="21">
        <v>820.92</v>
      </c>
    </row>
    <row r="16470" spans="1:8" customFormat="1" x14ac:dyDescent="0.25">
      <c r="A16470" t="str">
        <f>"7517522"</f>
        <v>7517522</v>
      </c>
      <c r="B16470" t="s">
        <v>11327</v>
      </c>
      <c r="C16470" t="s">
        <v>269</v>
      </c>
      <c r="D16470" s="21" t="s">
        <v>34</v>
      </c>
      <c r="E16470" s="21" t="s">
        <v>35</v>
      </c>
      <c r="F16470">
        <v>8920025</v>
      </c>
      <c r="G16470" t="s">
        <v>159</v>
      </c>
      <c r="H16470" s="21">
        <v>820.92</v>
      </c>
    </row>
    <row r="16471" spans="1:8" customFormat="1" x14ac:dyDescent="0.25">
      <c r="A16471" t="str">
        <f>"2517049"</f>
        <v>2517049</v>
      </c>
      <c r="B16471" t="s">
        <v>18411</v>
      </c>
      <c r="C16471" t="s">
        <v>62</v>
      </c>
      <c r="D16471" s="21" t="s">
        <v>34</v>
      </c>
      <c r="E16471" s="21" t="s">
        <v>35</v>
      </c>
      <c r="F16471">
        <v>2250199</v>
      </c>
      <c r="G16471" t="s">
        <v>8756</v>
      </c>
      <c r="H16471" s="21">
        <v>820.92</v>
      </c>
    </row>
    <row r="16472" spans="1:8" customFormat="1" x14ac:dyDescent="0.25">
      <c r="A16472" t="str">
        <f>"01211"</f>
        <v>01211</v>
      </c>
      <c r="B16472" t="s">
        <v>13548</v>
      </c>
      <c r="C16472" t="s">
        <v>2479</v>
      </c>
      <c r="D16472" s="21" t="s">
        <v>34</v>
      </c>
      <c r="E16472" s="21" t="s">
        <v>71</v>
      </c>
      <c r="F16472">
        <v>1010020</v>
      </c>
      <c r="G16472" t="s">
        <v>6121</v>
      </c>
      <c r="H16472" s="21">
        <v>820.92</v>
      </c>
    </row>
    <row r="16473" spans="1:8" customFormat="1" x14ac:dyDescent="0.25">
      <c r="A16473" t="str">
        <f>"2515324"</f>
        <v>2515324</v>
      </c>
      <c r="B16473" t="s">
        <v>3624</v>
      </c>
      <c r="C16473" t="s">
        <v>285</v>
      </c>
      <c r="D16473" s="21" t="s">
        <v>34</v>
      </c>
      <c r="E16473" s="21" t="s">
        <v>35</v>
      </c>
      <c r="F16473">
        <v>2250059</v>
      </c>
      <c r="G16473" t="s">
        <v>10904</v>
      </c>
      <c r="H16473" s="21">
        <v>820.92</v>
      </c>
    </row>
    <row r="16474" spans="1:8" customFormat="1" x14ac:dyDescent="0.25">
      <c r="A16474" t="str">
        <f>"6716024"</f>
        <v>6716024</v>
      </c>
      <c r="B16474" t="s">
        <v>14707</v>
      </c>
      <c r="C16474" t="s">
        <v>415</v>
      </c>
      <c r="D16474" s="21" t="s">
        <v>34</v>
      </c>
      <c r="E16474" s="21" t="s">
        <v>71</v>
      </c>
      <c r="F16474">
        <v>6670115</v>
      </c>
      <c r="G16474" t="s">
        <v>3798</v>
      </c>
      <c r="H16474" s="21">
        <v>820.92</v>
      </c>
    </row>
    <row r="16475" spans="1:8" customFormat="1" x14ac:dyDescent="0.25">
      <c r="A16475" t="str">
        <f>"8312001"</f>
        <v>8312001</v>
      </c>
      <c r="B16475" t="s">
        <v>11114</v>
      </c>
      <c r="C16475" t="s">
        <v>87</v>
      </c>
      <c r="D16475" s="21" t="s">
        <v>34</v>
      </c>
      <c r="E16475" s="21" t="s">
        <v>35</v>
      </c>
      <c r="F16475">
        <v>13830068</v>
      </c>
      <c r="G16475" t="s">
        <v>6181</v>
      </c>
      <c r="H16475" s="21">
        <v>820.92</v>
      </c>
    </row>
    <row r="16476" spans="1:8" customFormat="1" x14ac:dyDescent="0.25">
      <c r="A16476" t="str">
        <f>"93790"</f>
        <v>93790</v>
      </c>
      <c r="B16476" t="s">
        <v>9744</v>
      </c>
      <c r="C16476" t="s">
        <v>812</v>
      </c>
      <c r="D16476" s="21" t="s">
        <v>34</v>
      </c>
      <c r="E16476" s="21" t="s">
        <v>71</v>
      </c>
      <c r="F16476">
        <v>8930430</v>
      </c>
      <c r="G16476" t="s">
        <v>995</v>
      </c>
      <c r="H16476" s="21">
        <v>820.92</v>
      </c>
    </row>
    <row r="16477" spans="1:8" customFormat="1" x14ac:dyDescent="0.25">
      <c r="A16477" t="str">
        <f>"5619074"</f>
        <v>5619074</v>
      </c>
      <c r="B16477" t="s">
        <v>8285</v>
      </c>
      <c r="C16477" t="s">
        <v>144</v>
      </c>
      <c r="D16477" s="21" t="s">
        <v>34</v>
      </c>
      <c r="E16477" s="21" t="s">
        <v>35</v>
      </c>
      <c r="F16477">
        <v>3560037</v>
      </c>
      <c r="G16477" t="s">
        <v>10491</v>
      </c>
      <c r="H16477" s="21">
        <v>820.92</v>
      </c>
    </row>
    <row r="16478" spans="1:8" customFormat="1" x14ac:dyDescent="0.25">
      <c r="A16478" t="str">
        <f>"5428573"</f>
        <v>5428573</v>
      </c>
      <c r="B16478" t="s">
        <v>13667</v>
      </c>
      <c r="C16478" t="s">
        <v>33</v>
      </c>
      <c r="D16478" s="21" t="s">
        <v>34</v>
      </c>
      <c r="E16478" s="21" t="s">
        <v>35</v>
      </c>
      <c r="F16478">
        <v>6540036</v>
      </c>
      <c r="G16478" t="s">
        <v>3612</v>
      </c>
      <c r="H16478" s="21">
        <v>820.79</v>
      </c>
    </row>
    <row r="16479" spans="1:8" customFormat="1" x14ac:dyDescent="0.25">
      <c r="A16479" t="str">
        <f>"6941432"</f>
        <v>6941432</v>
      </c>
      <c r="B16479" t="s">
        <v>13862</v>
      </c>
      <c r="C16479" t="s">
        <v>719</v>
      </c>
      <c r="D16479" s="21" t="s">
        <v>34</v>
      </c>
      <c r="E16479" s="21" t="s">
        <v>35</v>
      </c>
      <c r="F16479">
        <v>1690201</v>
      </c>
      <c r="G16479" t="s">
        <v>11274</v>
      </c>
      <c r="H16479" s="21">
        <v>820.67</v>
      </c>
    </row>
    <row r="16480" spans="1:8" customFormat="1" x14ac:dyDescent="0.25">
      <c r="A16480" t="str">
        <f>"831730"</f>
        <v>831730</v>
      </c>
      <c r="B16480" t="s">
        <v>14633</v>
      </c>
      <c r="C16480" t="s">
        <v>3504</v>
      </c>
      <c r="D16480" s="21" t="s">
        <v>34</v>
      </c>
      <c r="E16480" s="21" t="s">
        <v>254</v>
      </c>
      <c r="F16480">
        <v>13830068</v>
      </c>
      <c r="G16480" t="s">
        <v>6181</v>
      </c>
      <c r="H16480" s="21">
        <v>820.67</v>
      </c>
    </row>
    <row r="16481" spans="1:8" customFormat="1" x14ac:dyDescent="0.25">
      <c r="A16481" t="str">
        <f>"599747"</f>
        <v>599747</v>
      </c>
      <c r="B16481" t="s">
        <v>27431</v>
      </c>
      <c r="C16481" t="s">
        <v>27432</v>
      </c>
      <c r="D16481" s="21" t="s">
        <v>34</v>
      </c>
      <c r="E16481" s="21" t="s">
        <v>1089</v>
      </c>
      <c r="F16481">
        <v>7590020</v>
      </c>
      <c r="G16481" t="s">
        <v>5181</v>
      </c>
      <c r="H16481" s="21">
        <v>820.67</v>
      </c>
    </row>
    <row r="16482" spans="1:8" customFormat="1" x14ac:dyDescent="0.25">
      <c r="A16482" t="str">
        <f>"2513598"</f>
        <v>2513598</v>
      </c>
      <c r="B16482" t="s">
        <v>14577</v>
      </c>
      <c r="C16482" t="s">
        <v>109</v>
      </c>
      <c r="D16482" s="21" t="s">
        <v>34</v>
      </c>
      <c r="E16482" s="21" t="s">
        <v>35</v>
      </c>
      <c r="F16482">
        <v>2250015</v>
      </c>
      <c r="G16482" t="s">
        <v>4776</v>
      </c>
      <c r="H16482" s="21">
        <v>820.67</v>
      </c>
    </row>
    <row r="16483" spans="1:8" customFormat="1" x14ac:dyDescent="0.25">
      <c r="A16483" t="str">
        <f>"2710113"</f>
        <v>2710113</v>
      </c>
      <c r="B16483" t="s">
        <v>13969</v>
      </c>
      <c r="C16483" t="s">
        <v>13970</v>
      </c>
      <c r="D16483" s="21" t="s">
        <v>34</v>
      </c>
      <c r="E16483" s="21" t="s">
        <v>254</v>
      </c>
      <c r="F16483">
        <v>9270087</v>
      </c>
      <c r="G16483" t="s">
        <v>7014</v>
      </c>
      <c r="H16483" s="21">
        <v>820.67</v>
      </c>
    </row>
    <row r="16484" spans="1:8" customFormat="1" x14ac:dyDescent="0.25">
      <c r="A16484" t="str">
        <f>"4559"</f>
        <v>4559</v>
      </c>
      <c r="B16484" t="s">
        <v>12947</v>
      </c>
      <c r="C16484" t="s">
        <v>3073</v>
      </c>
      <c r="D16484" s="21" t="s">
        <v>34</v>
      </c>
      <c r="E16484" s="21" t="s">
        <v>254</v>
      </c>
      <c r="F16484">
        <v>4450026</v>
      </c>
      <c r="G16484" t="s">
        <v>291</v>
      </c>
      <c r="H16484" s="21">
        <v>820.67</v>
      </c>
    </row>
    <row r="16485" spans="1:8" customFormat="1" x14ac:dyDescent="0.25">
      <c r="A16485" t="str">
        <f>"698601"</f>
        <v>698601</v>
      </c>
      <c r="B16485" t="s">
        <v>27433</v>
      </c>
      <c r="C16485" t="s">
        <v>288</v>
      </c>
      <c r="D16485" s="21" t="s">
        <v>34</v>
      </c>
      <c r="E16485" s="21" t="s">
        <v>35</v>
      </c>
      <c r="F16485">
        <v>1690160</v>
      </c>
      <c r="G16485" t="s">
        <v>4599</v>
      </c>
      <c r="H16485" s="21">
        <v>820.67</v>
      </c>
    </row>
    <row r="16486" spans="1:8" customFormat="1" x14ac:dyDescent="0.25">
      <c r="A16486" t="str">
        <f>"7724708"</f>
        <v>7724708</v>
      </c>
      <c r="B16486" t="s">
        <v>14309</v>
      </c>
      <c r="C16486" t="s">
        <v>3073</v>
      </c>
      <c r="D16486" s="21" t="s">
        <v>34</v>
      </c>
      <c r="E16486" s="21" t="s">
        <v>254</v>
      </c>
      <c r="F16486">
        <v>8770169</v>
      </c>
      <c r="G16486" t="s">
        <v>1001</v>
      </c>
      <c r="H16486" s="21">
        <v>820.67</v>
      </c>
    </row>
    <row r="16487" spans="1:8" customFormat="1" x14ac:dyDescent="0.25">
      <c r="A16487" t="str">
        <f>"5962838"</f>
        <v>5962838</v>
      </c>
      <c r="B16487" t="s">
        <v>2846</v>
      </c>
      <c r="C16487" t="s">
        <v>428</v>
      </c>
      <c r="D16487" s="21" t="s">
        <v>34</v>
      </c>
      <c r="E16487" s="21" t="s">
        <v>35</v>
      </c>
      <c r="F16487">
        <v>7590410</v>
      </c>
      <c r="G16487" t="s">
        <v>2048</v>
      </c>
      <c r="H16487" s="21">
        <v>820.67</v>
      </c>
    </row>
    <row r="16488" spans="1:8" customFormat="1" x14ac:dyDescent="0.25">
      <c r="A16488" t="str">
        <f>"5734712"</f>
        <v>5734712</v>
      </c>
      <c r="B16488" t="s">
        <v>27434</v>
      </c>
      <c r="C16488" t="s">
        <v>62</v>
      </c>
      <c r="D16488" s="21" t="s">
        <v>34</v>
      </c>
      <c r="E16488" s="21" t="s">
        <v>35</v>
      </c>
      <c r="F16488">
        <v>6570060</v>
      </c>
      <c r="G16488" t="s">
        <v>4397</v>
      </c>
      <c r="H16488" s="21">
        <v>820.67</v>
      </c>
    </row>
    <row r="16489" spans="1:8" customFormat="1" x14ac:dyDescent="0.25">
      <c r="A16489" t="str">
        <f>"375606"</f>
        <v>375606</v>
      </c>
      <c r="B16489" t="s">
        <v>16164</v>
      </c>
      <c r="C16489" t="s">
        <v>547</v>
      </c>
      <c r="D16489" s="21" t="s">
        <v>34</v>
      </c>
      <c r="E16489" s="21" t="s">
        <v>254</v>
      </c>
      <c r="F16489">
        <v>4370656</v>
      </c>
      <c r="G16489" t="s">
        <v>1127</v>
      </c>
      <c r="H16489" s="21">
        <v>820.67</v>
      </c>
    </row>
    <row r="16490" spans="1:8" customFormat="1" x14ac:dyDescent="0.25">
      <c r="A16490" t="str">
        <f>"5324766"</f>
        <v>5324766</v>
      </c>
      <c r="B16490" t="s">
        <v>14666</v>
      </c>
      <c r="C16490" t="s">
        <v>3859</v>
      </c>
      <c r="D16490" s="21" t="s">
        <v>34</v>
      </c>
      <c r="E16490" s="21" t="s">
        <v>35</v>
      </c>
      <c r="F16490">
        <v>12530127</v>
      </c>
      <c r="G16490" t="s">
        <v>7067</v>
      </c>
      <c r="H16490" s="21">
        <v>820.67</v>
      </c>
    </row>
    <row r="16491" spans="1:8" customFormat="1" x14ac:dyDescent="0.25">
      <c r="A16491" t="str">
        <f>"9511969"</f>
        <v>9511969</v>
      </c>
      <c r="B16491" t="s">
        <v>14084</v>
      </c>
      <c r="C16491" t="s">
        <v>1110</v>
      </c>
      <c r="D16491" s="21" t="s">
        <v>34</v>
      </c>
      <c r="E16491" s="21" t="s">
        <v>6185</v>
      </c>
      <c r="F16491">
        <v>8950978</v>
      </c>
      <c r="G16491" t="s">
        <v>1164</v>
      </c>
      <c r="H16491" s="21">
        <v>820.67</v>
      </c>
    </row>
    <row r="16492" spans="1:8" customFormat="1" x14ac:dyDescent="0.25">
      <c r="A16492" t="str">
        <f>"5013743"</f>
        <v>5013743</v>
      </c>
      <c r="B16492" t="s">
        <v>938</v>
      </c>
      <c r="C16492" t="s">
        <v>174</v>
      </c>
      <c r="D16492" s="21" t="s">
        <v>34</v>
      </c>
      <c r="E16492" s="21" t="s">
        <v>35</v>
      </c>
      <c r="F16492">
        <v>9500022</v>
      </c>
      <c r="G16492" t="s">
        <v>4324</v>
      </c>
      <c r="H16492" s="21">
        <v>820.67</v>
      </c>
    </row>
    <row r="16493" spans="1:8" customFormat="1" x14ac:dyDescent="0.25">
      <c r="A16493" t="str">
        <f>"404316"</f>
        <v>404316</v>
      </c>
      <c r="B16493" t="s">
        <v>13870</v>
      </c>
      <c r="C16493" t="s">
        <v>236</v>
      </c>
      <c r="D16493" s="21" t="s">
        <v>34</v>
      </c>
      <c r="E16493" s="21" t="s">
        <v>254</v>
      </c>
      <c r="F16493">
        <v>10400024</v>
      </c>
      <c r="G16493" t="s">
        <v>4680</v>
      </c>
      <c r="H16493" s="21">
        <v>820.67</v>
      </c>
    </row>
    <row r="16494" spans="1:8" customFormat="1" x14ac:dyDescent="0.25">
      <c r="A16494" t="str">
        <f>"9224835"</f>
        <v>9224835</v>
      </c>
      <c r="B16494" t="s">
        <v>7013</v>
      </c>
      <c r="C16494" t="s">
        <v>2520</v>
      </c>
      <c r="D16494" s="21" t="s">
        <v>34</v>
      </c>
      <c r="E16494" s="21" t="s">
        <v>1089</v>
      </c>
      <c r="F16494">
        <v>3350074</v>
      </c>
      <c r="G16494" t="s">
        <v>5432</v>
      </c>
      <c r="H16494" s="21">
        <v>820.67</v>
      </c>
    </row>
    <row r="16495" spans="1:8" customFormat="1" x14ac:dyDescent="0.25">
      <c r="A16495" t="str">
        <f>"721790"</f>
        <v>721790</v>
      </c>
      <c r="B16495" t="s">
        <v>2105</v>
      </c>
      <c r="C16495" t="s">
        <v>174</v>
      </c>
      <c r="D16495" s="21" t="s">
        <v>34</v>
      </c>
      <c r="E16495" s="21" t="s">
        <v>35</v>
      </c>
      <c r="F16495">
        <v>12720050</v>
      </c>
      <c r="G16495" t="s">
        <v>5522</v>
      </c>
      <c r="H16495" s="21">
        <v>820.67</v>
      </c>
    </row>
    <row r="16496" spans="1:8" customFormat="1" x14ac:dyDescent="0.25">
      <c r="A16496" t="str">
        <f>"7862176"</f>
        <v>7862176</v>
      </c>
      <c r="B16496" t="s">
        <v>15392</v>
      </c>
      <c r="C16496" t="s">
        <v>93</v>
      </c>
      <c r="D16496" s="21" t="s">
        <v>34</v>
      </c>
      <c r="E16496" s="21" t="s">
        <v>35</v>
      </c>
      <c r="F16496">
        <v>8781333</v>
      </c>
      <c r="G16496" t="s">
        <v>14833</v>
      </c>
      <c r="H16496" s="21">
        <v>820.5</v>
      </c>
    </row>
    <row r="16497" spans="1:8" customFormat="1" x14ac:dyDescent="0.25">
      <c r="A16497" t="str">
        <f>"895473"</f>
        <v>895473</v>
      </c>
      <c r="B16497" t="s">
        <v>14551</v>
      </c>
      <c r="C16497" t="s">
        <v>40</v>
      </c>
      <c r="D16497" s="21" t="s">
        <v>34</v>
      </c>
      <c r="E16497" s="21" t="s">
        <v>71</v>
      </c>
      <c r="F16497">
        <v>2890062</v>
      </c>
      <c r="G16497" t="s">
        <v>9283</v>
      </c>
      <c r="H16497" s="21">
        <v>820.42</v>
      </c>
    </row>
    <row r="16498" spans="1:8" customFormat="1" x14ac:dyDescent="0.25">
      <c r="A16498" t="str">
        <f>"6110801"</f>
        <v>6110801</v>
      </c>
      <c r="B16498" t="s">
        <v>3957</v>
      </c>
      <c r="C16498" t="s">
        <v>428</v>
      </c>
      <c r="D16498" s="21" t="s">
        <v>34</v>
      </c>
      <c r="E16498" s="21" t="s">
        <v>35</v>
      </c>
      <c r="F16498">
        <v>9610087</v>
      </c>
      <c r="G16498" t="s">
        <v>2661</v>
      </c>
      <c r="H16498" s="21">
        <v>820.42</v>
      </c>
    </row>
    <row r="16499" spans="1:8" customFormat="1" x14ac:dyDescent="0.25">
      <c r="A16499" t="str">
        <f>"0112682"</f>
        <v>0112682</v>
      </c>
      <c r="B16499" t="s">
        <v>15777</v>
      </c>
      <c r="C16499" t="s">
        <v>926</v>
      </c>
      <c r="D16499" s="21" t="s">
        <v>34</v>
      </c>
      <c r="E16499" s="21" t="s">
        <v>71</v>
      </c>
      <c r="F16499">
        <v>1010004</v>
      </c>
      <c r="G16499" t="s">
        <v>9066</v>
      </c>
      <c r="H16499" s="21">
        <v>820.17</v>
      </c>
    </row>
    <row r="16500" spans="1:8" customFormat="1" x14ac:dyDescent="0.25">
      <c r="A16500" t="str">
        <f>"5960126"</f>
        <v>5960126</v>
      </c>
      <c r="B16500" t="s">
        <v>17656</v>
      </c>
      <c r="C16500" t="s">
        <v>2072</v>
      </c>
      <c r="D16500" s="21" t="s">
        <v>34</v>
      </c>
      <c r="E16500" s="21" t="s">
        <v>35</v>
      </c>
      <c r="F16500">
        <v>7590411</v>
      </c>
      <c r="G16500" t="s">
        <v>4036</v>
      </c>
      <c r="H16500" s="21">
        <v>820.17</v>
      </c>
    </row>
    <row r="16501" spans="1:8" customFormat="1" x14ac:dyDescent="0.25">
      <c r="A16501" t="str">
        <f>"5111401"</f>
        <v>5111401</v>
      </c>
      <c r="B16501" t="s">
        <v>14492</v>
      </c>
      <c r="C16501" t="s">
        <v>239</v>
      </c>
      <c r="D16501" s="21" t="s">
        <v>34</v>
      </c>
      <c r="E16501" s="21" t="s">
        <v>71</v>
      </c>
      <c r="F16501">
        <v>6510002</v>
      </c>
      <c r="G16501" t="s">
        <v>4588</v>
      </c>
      <c r="H16501" s="21">
        <v>820.17</v>
      </c>
    </row>
    <row r="16502" spans="1:8" customFormat="1" x14ac:dyDescent="0.25">
      <c r="A16502" t="str">
        <f>"483942"</f>
        <v>483942</v>
      </c>
      <c r="B16502" t="s">
        <v>14649</v>
      </c>
      <c r="C16502" t="s">
        <v>2208</v>
      </c>
      <c r="D16502" s="21" t="s">
        <v>34</v>
      </c>
      <c r="E16502" s="21" t="s">
        <v>35</v>
      </c>
      <c r="F16502">
        <v>11480002</v>
      </c>
      <c r="G16502" t="s">
        <v>14650</v>
      </c>
      <c r="H16502" s="21">
        <v>820.17</v>
      </c>
    </row>
    <row r="16503" spans="1:8" customFormat="1" x14ac:dyDescent="0.25">
      <c r="A16503" t="str">
        <f>"5615989"</f>
        <v>5615989</v>
      </c>
      <c r="B16503" t="s">
        <v>2770</v>
      </c>
      <c r="C16503" t="s">
        <v>90</v>
      </c>
      <c r="D16503" s="21" t="s">
        <v>34</v>
      </c>
      <c r="E16503" s="21" t="s">
        <v>71</v>
      </c>
      <c r="F16503">
        <v>3560037</v>
      </c>
      <c r="G16503" t="s">
        <v>10491</v>
      </c>
      <c r="H16503" s="21">
        <v>820.17</v>
      </c>
    </row>
    <row r="16504" spans="1:8" customFormat="1" x14ac:dyDescent="0.25">
      <c r="A16504" t="str">
        <f>"8017210"</f>
        <v>8017210</v>
      </c>
      <c r="B16504" t="s">
        <v>8712</v>
      </c>
      <c r="C16504" t="s">
        <v>60</v>
      </c>
      <c r="D16504" s="21" t="s">
        <v>34</v>
      </c>
      <c r="E16504" s="21" t="s">
        <v>35</v>
      </c>
      <c r="F16504">
        <v>7800035</v>
      </c>
      <c r="G16504" t="s">
        <v>12990</v>
      </c>
      <c r="H16504" s="21">
        <v>820.17</v>
      </c>
    </row>
    <row r="16505" spans="1:8" customFormat="1" x14ac:dyDescent="0.25">
      <c r="A16505" t="str">
        <f>"6021880"</f>
        <v>6021880</v>
      </c>
      <c r="B16505" t="s">
        <v>5301</v>
      </c>
      <c r="C16505" t="s">
        <v>119</v>
      </c>
      <c r="D16505" s="21" t="s">
        <v>34</v>
      </c>
      <c r="E16505" s="21" t="s">
        <v>35</v>
      </c>
      <c r="F16505">
        <v>7600157</v>
      </c>
      <c r="G16505" t="s">
        <v>12263</v>
      </c>
      <c r="H16505" s="21">
        <v>820.17</v>
      </c>
    </row>
    <row r="16506" spans="1:8" customFormat="1" x14ac:dyDescent="0.25">
      <c r="A16506" t="str">
        <f>"5955390"</f>
        <v>5955390</v>
      </c>
      <c r="B16506" t="s">
        <v>13335</v>
      </c>
      <c r="C16506" t="s">
        <v>288</v>
      </c>
      <c r="D16506" s="21" t="s">
        <v>34</v>
      </c>
      <c r="E16506" s="21" t="s">
        <v>71</v>
      </c>
      <c r="F16506">
        <v>7590089</v>
      </c>
      <c r="G16506" t="s">
        <v>1418</v>
      </c>
      <c r="H16506" s="21">
        <v>820.17</v>
      </c>
    </row>
    <row r="16507" spans="1:8" customFormat="1" x14ac:dyDescent="0.25">
      <c r="A16507" t="str">
        <f>"954024"</f>
        <v>954024</v>
      </c>
      <c r="B16507" t="s">
        <v>2134</v>
      </c>
      <c r="C16507" t="s">
        <v>65</v>
      </c>
      <c r="D16507" s="21" t="s">
        <v>34</v>
      </c>
      <c r="E16507" s="21" t="s">
        <v>35</v>
      </c>
      <c r="F16507">
        <v>11310117</v>
      </c>
      <c r="G16507" t="s">
        <v>10279</v>
      </c>
      <c r="H16507" s="21">
        <v>820.17</v>
      </c>
    </row>
    <row r="16508" spans="1:8" customFormat="1" x14ac:dyDescent="0.25">
      <c r="A16508" t="str">
        <f>"133863"</f>
        <v>133863</v>
      </c>
      <c r="B16508" t="s">
        <v>14849</v>
      </c>
      <c r="C16508" t="s">
        <v>750</v>
      </c>
      <c r="D16508" s="21" t="s">
        <v>34</v>
      </c>
      <c r="E16508" s="21" t="s">
        <v>71</v>
      </c>
      <c r="F16508">
        <v>11090019</v>
      </c>
      <c r="G16508" t="s">
        <v>5591</v>
      </c>
      <c r="H16508" s="21">
        <v>820.17</v>
      </c>
    </row>
    <row r="16509" spans="1:8" customFormat="1" x14ac:dyDescent="0.25">
      <c r="A16509" t="str">
        <f>"402274"</f>
        <v>402274</v>
      </c>
      <c r="B16509" t="s">
        <v>14376</v>
      </c>
      <c r="C16509" t="s">
        <v>156</v>
      </c>
      <c r="D16509" s="21" t="s">
        <v>34</v>
      </c>
      <c r="E16509" s="21" t="s">
        <v>71</v>
      </c>
      <c r="F16509">
        <v>10400015</v>
      </c>
      <c r="G16509" t="s">
        <v>1095</v>
      </c>
      <c r="H16509" s="21">
        <v>820.17</v>
      </c>
    </row>
    <row r="16510" spans="1:8" customFormat="1" x14ac:dyDescent="0.25">
      <c r="A16510" t="str">
        <f>"913873"</f>
        <v>913873</v>
      </c>
      <c r="B16510" t="s">
        <v>13547</v>
      </c>
      <c r="C16510" t="s">
        <v>3456</v>
      </c>
      <c r="D16510" s="21" t="s">
        <v>34</v>
      </c>
      <c r="E16510" s="21" t="s">
        <v>35</v>
      </c>
      <c r="F16510">
        <v>8911379</v>
      </c>
      <c r="G16510" t="s">
        <v>8430</v>
      </c>
      <c r="H16510" s="21">
        <v>820.17</v>
      </c>
    </row>
    <row r="16511" spans="1:8" customFormat="1" x14ac:dyDescent="0.25">
      <c r="A16511" t="str">
        <f>"9530265"</f>
        <v>9530265</v>
      </c>
      <c r="B16511" t="s">
        <v>3273</v>
      </c>
      <c r="C16511" t="s">
        <v>169</v>
      </c>
      <c r="D16511" s="21" t="s">
        <v>34</v>
      </c>
      <c r="E16511" s="21" t="s">
        <v>35</v>
      </c>
      <c r="F16511">
        <v>8950330</v>
      </c>
      <c r="G16511" t="s">
        <v>794</v>
      </c>
      <c r="H16511" s="21">
        <v>820.17</v>
      </c>
    </row>
    <row r="16512" spans="1:8" customFormat="1" x14ac:dyDescent="0.25">
      <c r="A16512" t="str">
        <f>"5325278"</f>
        <v>5325278</v>
      </c>
      <c r="B16512" t="s">
        <v>8850</v>
      </c>
      <c r="C16512" t="s">
        <v>62</v>
      </c>
      <c r="D16512" s="21" t="s">
        <v>34</v>
      </c>
      <c r="E16512" s="21" t="s">
        <v>35</v>
      </c>
      <c r="F16512">
        <v>12530105</v>
      </c>
      <c r="G16512" t="s">
        <v>4136</v>
      </c>
      <c r="H16512" s="21">
        <v>820.17</v>
      </c>
    </row>
    <row r="16513" spans="1:8" customFormat="1" x14ac:dyDescent="0.25">
      <c r="A16513" t="str">
        <f>"9421498"</f>
        <v>9421498</v>
      </c>
      <c r="B16513" t="s">
        <v>17579</v>
      </c>
      <c r="C16513" t="s">
        <v>139</v>
      </c>
      <c r="D16513" s="21" t="s">
        <v>34</v>
      </c>
      <c r="E16513" s="21" t="s">
        <v>71</v>
      </c>
      <c r="F16513">
        <v>8940926</v>
      </c>
      <c r="G16513" t="s">
        <v>4065</v>
      </c>
      <c r="H16513" s="21">
        <v>820.17</v>
      </c>
    </row>
    <row r="16514" spans="1:8" customFormat="1" x14ac:dyDescent="0.25">
      <c r="A16514" t="str">
        <f>"695222"</f>
        <v>695222</v>
      </c>
      <c r="B16514" t="s">
        <v>15347</v>
      </c>
      <c r="C16514" t="s">
        <v>236</v>
      </c>
      <c r="D16514" s="21" t="s">
        <v>34</v>
      </c>
      <c r="E16514" s="21" t="s">
        <v>254</v>
      </c>
      <c r="F16514">
        <v>1690166</v>
      </c>
      <c r="G16514" t="s">
        <v>3886</v>
      </c>
      <c r="H16514" s="21">
        <v>820.17</v>
      </c>
    </row>
    <row r="16515" spans="1:8" customFormat="1" x14ac:dyDescent="0.25">
      <c r="A16515" t="str">
        <f>"625891"</f>
        <v>625891</v>
      </c>
      <c r="B16515" t="s">
        <v>3146</v>
      </c>
      <c r="C16515" t="s">
        <v>40</v>
      </c>
      <c r="D16515" s="21" t="s">
        <v>34</v>
      </c>
      <c r="E16515" s="21" t="s">
        <v>71</v>
      </c>
      <c r="F16515">
        <v>7620100</v>
      </c>
      <c r="G16515" t="s">
        <v>145</v>
      </c>
      <c r="H16515" s="21">
        <v>820.17</v>
      </c>
    </row>
    <row r="16516" spans="1:8" customFormat="1" x14ac:dyDescent="0.25">
      <c r="A16516" t="str">
        <f>"6810110"</f>
        <v>6810110</v>
      </c>
      <c r="B16516" t="s">
        <v>13542</v>
      </c>
      <c r="C16516" t="s">
        <v>13543</v>
      </c>
      <c r="D16516" s="21" t="s">
        <v>34</v>
      </c>
      <c r="E16516" s="21" t="s">
        <v>254</v>
      </c>
      <c r="F16516">
        <v>6680071</v>
      </c>
      <c r="G16516" t="s">
        <v>2899</v>
      </c>
      <c r="H16516" s="21">
        <v>819.67</v>
      </c>
    </row>
    <row r="16517" spans="1:8" customFormat="1" x14ac:dyDescent="0.25">
      <c r="A16517" t="str">
        <f>"8018400"</f>
        <v>8018400</v>
      </c>
      <c r="B16517" t="s">
        <v>12923</v>
      </c>
      <c r="C16517" t="s">
        <v>2904</v>
      </c>
      <c r="D16517" s="21" t="s">
        <v>34</v>
      </c>
      <c r="E16517" s="21" t="s">
        <v>1089</v>
      </c>
      <c r="F16517">
        <v>7800156</v>
      </c>
      <c r="G16517" t="s">
        <v>12924</v>
      </c>
      <c r="H16517" s="21">
        <v>819.67</v>
      </c>
    </row>
    <row r="16518" spans="1:8" customFormat="1" x14ac:dyDescent="0.25">
      <c r="A16518" t="str">
        <f>"3726147"</f>
        <v>3726147</v>
      </c>
      <c r="B16518" t="s">
        <v>6472</v>
      </c>
      <c r="C16518" t="s">
        <v>1675</v>
      </c>
      <c r="D16518" s="21" t="s">
        <v>34</v>
      </c>
      <c r="E16518" s="21" t="s">
        <v>35</v>
      </c>
      <c r="F16518">
        <v>4370011</v>
      </c>
      <c r="G16518" t="s">
        <v>3672</v>
      </c>
      <c r="H16518" s="21">
        <v>819.67</v>
      </c>
    </row>
    <row r="16519" spans="1:8" customFormat="1" x14ac:dyDescent="0.25">
      <c r="A16519" t="str">
        <f>"3117379"</f>
        <v>3117379</v>
      </c>
      <c r="B16519" t="s">
        <v>14233</v>
      </c>
      <c r="C16519" t="s">
        <v>2384</v>
      </c>
      <c r="D16519" s="21" t="s">
        <v>34</v>
      </c>
      <c r="E16519" s="21" t="s">
        <v>71</v>
      </c>
      <c r="F16519">
        <v>11310117</v>
      </c>
      <c r="G16519" t="s">
        <v>10279</v>
      </c>
      <c r="H16519" s="21">
        <v>819.67</v>
      </c>
    </row>
    <row r="16520" spans="1:8" customFormat="1" x14ac:dyDescent="0.25">
      <c r="A16520" t="str">
        <f>"066199"</f>
        <v>066199</v>
      </c>
      <c r="B16520" t="s">
        <v>12786</v>
      </c>
      <c r="C16520" t="s">
        <v>750</v>
      </c>
      <c r="D16520" s="21" t="s">
        <v>34</v>
      </c>
      <c r="E16520" s="21" t="s">
        <v>254</v>
      </c>
      <c r="F16520">
        <v>13060090</v>
      </c>
      <c r="G16520" t="s">
        <v>1363</v>
      </c>
      <c r="H16520" s="21">
        <v>819.67</v>
      </c>
    </row>
    <row r="16521" spans="1:8" customFormat="1" x14ac:dyDescent="0.25">
      <c r="A16521" t="str">
        <f>"7717138"</f>
        <v>7717138</v>
      </c>
      <c r="B16521" t="s">
        <v>14828</v>
      </c>
      <c r="C16521" t="s">
        <v>62</v>
      </c>
      <c r="D16521" s="21" t="s">
        <v>34</v>
      </c>
      <c r="E16521" s="21" t="s">
        <v>35</v>
      </c>
      <c r="F16521">
        <v>8770202</v>
      </c>
      <c r="G16521" t="s">
        <v>1999</v>
      </c>
      <c r="H16521" s="21">
        <v>819.67</v>
      </c>
    </row>
    <row r="16522" spans="1:8" customFormat="1" x14ac:dyDescent="0.25">
      <c r="A16522" t="str">
        <f>"0617547"</f>
        <v>0617547</v>
      </c>
      <c r="B16522" t="s">
        <v>27435</v>
      </c>
      <c r="C16522" t="s">
        <v>2273</v>
      </c>
      <c r="D16522" s="21" t="s">
        <v>34</v>
      </c>
      <c r="E16522" s="21" t="s">
        <v>35</v>
      </c>
      <c r="F16522">
        <v>13060007</v>
      </c>
      <c r="G16522" t="s">
        <v>59</v>
      </c>
      <c r="H16522" s="21">
        <v>819.67</v>
      </c>
    </row>
    <row r="16523" spans="1:8" customFormat="1" x14ac:dyDescent="0.25">
      <c r="A16523" t="str">
        <f>"7859131"</f>
        <v>7859131</v>
      </c>
      <c r="B16523" t="s">
        <v>1593</v>
      </c>
      <c r="C16523" t="s">
        <v>209</v>
      </c>
      <c r="D16523" s="21" t="s">
        <v>34</v>
      </c>
      <c r="E16523" s="21" t="s">
        <v>71</v>
      </c>
      <c r="F16523">
        <v>8780447</v>
      </c>
      <c r="G16523" t="s">
        <v>9215</v>
      </c>
      <c r="H16523" s="21">
        <v>819.67</v>
      </c>
    </row>
    <row r="16524" spans="1:8" customFormat="1" x14ac:dyDescent="0.25">
      <c r="A16524" t="str">
        <f>"652916"</f>
        <v>652916</v>
      </c>
      <c r="B16524" t="s">
        <v>398</v>
      </c>
      <c r="C16524" t="s">
        <v>209</v>
      </c>
      <c r="D16524" s="21" t="s">
        <v>34</v>
      </c>
      <c r="E16524" s="21" t="s">
        <v>71</v>
      </c>
      <c r="F16524">
        <v>11650034</v>
      </c>
      <c r="G16524" t="s">
        <v>1989</v>
      </c>
      <c r="H16524" s="21">
        <v>819.67</v>
      </c>
    </row>
    <row r="16525" spans="1:8" customFormat="1" x14ac:dyDescent="0.25">
      <c r="A16525" t="str">
        <f>"7511788"</f>
        <v>7511788</v>
      </c>
      <c r="B16525" t="s">
        <v>13359</v>
      </c>
      <c r="C16525" t="s">
        <v>812</v>
      </c>
      <c r="D16525" s="21" t="s">
        <v>34</v>
      </c>
      <c r="E16525" s="21" t="s">
        <v>35</v>
      </c>
      <c r="F16525">
        <v>8750141</v>
      </c>
      <c r="G16525" t="s">
        <v>1514</v>
      </c>
      <c r="H16525" s="21">
        <v>819.67</v>
      </c>
    </row>
    <row r="16526" spans="1:8" customFormat="1" x14ac:dyDescent="0.25">
      <c r="A16526" t="str">
        <f>"2933079"</f>
        <v>2933079</v>
      </c>
      <c r="B16526" t="s">
        <v>15141</v>
      </c>
      <c r="C16526" t="s">
        <v>498</v>
      </c>
      <c r="D16526" s="21" t="s">
        <v>34</v>
      </c>
      <c r="E16526" s="21" t="s">
        <v>35</v>
      </c>
      <c r="F16526">
        <v>3290208</v>
      </c>
      <c r="G16526" t="s">
        <v>1553</v>
      </c>
      <c r="H16526" s="21">
        <v>819.67</v>
      </c>
    </row>
    <row r="16527" spans="1:8" customFormat="1" x14ac:dyDescent="0.25">
      <c r="A16527" t="str">
        <f>"843910"</f>
        <v>843910</v>
      </c>
      <c r="B16527" t="s">
        <v>12907</v>
      </c>
      <c r="C16527" t="s">
        <v>121</v>
      </c>
      <c r="D16527" s="21" t="s">
        <v>34</v>
      </c>
      <c r="E16527" s="21" t="s">
        <v>35</v>
      </c>
      <c r="F16527">
        <v>11300014</v>
      </c>
      <c r="G16527" t="s">
        <v>2345</v>
      </c>
      <c r="H16527" s="21">
        <v>819.67</v>
      </c>
    </row>
    <row r="16528" spans="1:8" customFormat="1" x14ac:dyDescent="0.25">
      <c r="A16528" t="str">
        <f>"2718978"</f>
        <v>2718978</v>
      </c>
      <c r="B16528" t="s">
        <v>13237</v>
      </c>
      <c r="C16528" t="s">
        <v>269</v>
      </c>
      <c r="D16528" s="21" t="s">
        <v>34</v>
      </c>
      <c r="E16528" s="21" t="s">
        <v>35</v>
      </c>
      <c r="F16528">
        <v>9270006</v>
      </c>
      <c r="G16528" t="s">
        <v>780</v>
      </c>
      <c r="H16528" s="21">
        <v>819.67</v>
      </c>
    </row>
    <row r="16529" spans="1:8" customFormat="1" x14ac:dyDescent="0.25">
      <c r="A16529" t="str">
        <f>"6230690"</f>
        <v>6230690</v>
      </c>
      <c r="B16529" t="s">
        <v>14395</v>
      </c>
      <c r="C16529" t="s">
        <v>598</v>
      </c>
      <c r="D16529" s="21" t="s">
        <v>34</v>
      </c>
      <c r="E16529" s="21" t="s">
        <v>254</v>
      </c>
      <c r="F16529">
        <v>7620056</v>
      </c>
      <c r="G16529" t="s">
        <v>11211</v>
      </c>
      <c r="H16529" s="21">
        <v>819.67</v>
      </c>
    </row>
    <row r="16530" spans="1:8" customFormat="1" x14ac:dyDescent="0.25">
      <c r="A16530" t="str">
        <f>"7869391"</f>
        <v>7869391</v>
      </c>
      <c r="B16530" t="s">
        <v>14359</v>
      </c>
      <c r="C16530" t="s">
        <v>462</v>
      </c>
      <c r="D16530" s="21" t="s">
        <v>34</v>
      </c>
      <c r="E16530" s="21" t="s">
        <v>71</v>
      </c>
      <c r="F16530">
        <v>8780627</v>
      </c>
      <c r="G16530" t="s">
        <v>6097</v>
      </c>
      <c r="H16530" s="21">
        <v>819.67</v>
      </c>
    </row>
    <row r="16531" spans="1:8" customFormat="1" x14ac:dyDescent="0.25">
      <c r="A16531" t="str">
        <f>"4435657"</f>
        <v>4435657</v>
      </c>
      <c r="B16531" t="s">
        <v>679</v>
      </c>
      <c r="C16531" t="s">
        <v>1468</v>
      </c>
      <c r="D16531" s="21" t="s">
        <v>34</v>
      </c>
      <c r="E16531" s="21" t="s">
        <v>35</v>
      </c>
      <c r="F16531">
        <v>12440197</v>
      </c>
      <c r="G16531" t="s">
        <v>1101</v>
      </c>
      <c r="H16531" s="21">
        <v>819.67</v>
      </c>
    </row>
    <row r="16532" spans="1:8" customFormat="1" x14ac:dyDescent="0.25">
      <c r="A16532" t="str">
        <f>"7711331"</f>
        <v>7711331</v>
      </c>
      <c r="B16532" t="s">
        <v>1462</v>
      </c>
      <c r="C16532" t="s">
        <v>233</v>
      </c>
      <c r="D16532" s="21" t="s">
        <v>34</v>
      </c>
      <c r="E16532" s="21" t="s">
        <v>71</v>
      </c>
      <c r="F16532">
        <v>8771426</v>
      </c>
      <c r="G16532" t="s">
        <v>844</v>
      </c>
      <c r="H16532" s="21">
        <v>819.67</v>
      </c>
    </row>
    <row r="16533" spans="1:8" customFormat="1" x14ac:dyDescent="0.25">
      <c r="A16533" t="str">
        <f>"6219755"</f>
        <v>6219755</v>
      </c>
      <c r="B16533" t="s">
        <v>13920</v>
      </c>
      <c r="C16533" t="s">
        <v>139</v>
      </c>
      <c r="D16533" s="21" t="s">
        <v>34</v>
      </c>
      <c r="E16533" s="21" t="s">
        <v>35</v>
      </c>
      <c r="F16533">
        <v>7620024</v>
      </c>
      <c r="G16533" t="s">
        <v>2975</v>
      </c>
      <c r="H16533" s="21">
        <v>819.67</v>
      </c>
    </row>
    <row r="16534" spans="1:8" customFormat="1" x14ac:dyDescent="0.25">
      <c r="A16534" t="str">
        <f>"4929367"</f>
        <v>4929367</v>
      </c>
      <c r="B16534" t="s">
        <v>5621</v>
      </c>
      <c r="C16534" t="s">
        <v>87</v>
      </c>
      <c r="D16534" s="21" t="s">
        <v>34</v>
      </c>
      <c r="E16534" s="21" t="s">
        <v>71</v>
      </c>
      <c r="F16534">
        <v>12490021</v>
      </c>
      <c r="G16534" t="s">
        <v>4592</v>
      </c>
      <c r="H16534" s="21">
        <v>819.67</v>
      </c>
    </row>
    <row r="16535" spans="1:8" customFormat="1" x14ac:dyDescent="0.25">
      <c r="A16535" t="str">
        <f>"6710341"</f>
        <v>6710341</v>
      </c>
      <c r="B16535" t="s">
        <v>3563</v>
      </c>
      <c r="C16535" t="s">
        <v>415</v>
      </c>
      <c r="D16535" s="21" t="s">
        <v>34</v>
      </c>
      <c r="E16535" s="21" t="s">
        <v>254</v>
      </c>
      <c r="F16535">
        <v>6670216</v>
      </c>
      <c r="G16535" t="s">
        <v>2194</v>
      </c>
      <c r="H16535" s="21">
        <v>819.67</v>
      </c>
    </row>
    <row r="16536" spans="1:8" customFormat="1" x14ac:dyDescent="0.25">
      <c r="A16536" t="str">
        <f>"7213423"</f>
        <v>7213423</v>
      </c>
      <c r="B16536" t="s">
        <v>14071</v>
      </c>
      <c r="C16536" t="s">
        <v>712</v>
      </c>
      <c r="D16536" s="21" t="s">
        <v>34</v>
      </c>
      <c r="E16536" s="21" t="s">
        <v>35</v>
      </c>
      <c r="F16536">
        <v>12720056</v>
      </c>
      <c r="G16536" t="s">
        <v>9231</v>
      </c>
      <c r="H16536" s="21">
        <v>819.67</v>
      </c>
    </row>
    <row r="16537" spans="1:8" customFormat="1" x14ac:dyDescent="0.25">
      <c r="A16537" t="str">
        <f>"39795"</f>
        <v>39795</v>
      </c>
      <c r="B16537" t="s">
        <v>13868</v>
      </c>
      <c r="C16537" t="s">
        <v>65</v>
      </c>
      <c r="D16537" s="21" t="s">
        <v>34</v>
      </c>
      <c r="E16537" s="21" t="s">
        <v>35</v>
      </c>
      <c r="F16537">
        <v>2390002</v>
      </c>
      <c r="G16537" t="s">
        <v>9132</v>
      </c>
      <c r="H16537" s="21">
        <v>819.67</v>
      </c>
    </row>
    <row r="16538" spans="1:8" customFormat="1" x14ac:dyDescent="0.25">
      <c r="A16538" t="str">
        <f>"501298"</f>
        <v>501298</v>
      </c>
      <c r="B16538" t="s">
        <v>14181</v>
      </c>
      <c r="C16538" t="s">
        <v>415</v>
      </c>
      <c r="D16538" s="21" t="s">
        <v>34</v>
      </c>
      <c r="E16538" s="21" t="s">
        <v>71</v>
      </c>
      <c r="F16538">
        <v>9500073</v>
      </c>
      <c r="G16538" t="s">
        <v>5393</v>
      </c>
      <c r="H16538" s="21">
        <v>819.67</v>
      </c>
    </row>
    <row r="16539" spans="1:8" customFormat="1" x14ac:dyDescent="0.25">
      <c r="A16539" t="str">
        <f>"0210861"</f>
        <v>0210861</v>
      </c>
      <c r="B16539" t="s">
        <v>1986</v>
      </c>
      <c r="C16539" t="s">
        <v>202</v>
      </c>
      <c r="D16539" s="21" t="s">
        <v>34</v>
      </c>
      <c r="E16539" s="21" t="s">
        <v>35</v>
      </c>
      <c r="F16539">
        <v>7021006</v>
      </c>
      <c r="G16539" t="s">
        <v>26948</v>
      </c>
      <c r="H16539" s="21">
        <v>819.67</v>
      </c>
    </row>
    <row r="16540" spans="1:8" customFormat="1" x14ac:dyDescent="0.25">
      <c r="A16540" t="str">
        <f>"902257"</f>
        <v>902257</v>
      </c>
      <c r="B16540" t="s">
        <v>18096</v>
      </c>
      <c r="C16540" t="s">
        <v>2904</v>
      </c>
      <c r="D16540" s="21" t="s">
        <v>34</v>
      </c>
      <c r="E16540" s="21" t="s">
        <v>254</v>
      </c>
      <c r="F16540">
        <v>2900041</v>
      </c>
      <c r="G16540" t="s">
        <v>4635</v>
      </c>
      <c r="H16540" s="21">
        <v>819.54</v>
      </c>
    </row>
    <row r="16541" spans="1:8" customFormat="1" x14ac:dyDescent="0.25">
      <c r="A16541" t="str">
        <f>"6013804"</f>
        <v>6013804</v>
      </c>
      <c r="B16541" t="s">
        <v>13029</v>
      </c>
      <c r="C16541" t="s">
        <v>33</v>
      </c>
      <c r="D16541" s="21" t="s">
        <v>34</v>
      </c>
      <c r="E16541" s="21" t="s">
        <v>35</v>
      </c>
      <c r="F16541">
        <v>11340014</v>
      </c>
      <c r="G16541" t="s">
        <v>1455</v>
      </c>
      <c r="H16541" s="21">
        <v>819.42</v>
      </c>
    </row>
    <row r="16542" spans="1:8" customFormat="1" x14ac:dyDescent="0.25">
      <c r="A16542" t="str">
        <f>"794788"</f>
        <v>794788</v>
      </c>
      <c r="B16542" t="s">
        <v>14024</v>
      </c>
      <c r="C16542" t="s">
        <v>263</v>
      </c>
      <c r="D16542" s="21" t="s">
        <v>34</v>
      </c>
      <c r="E16542" s="21" t="s">
        <v>35</v>
      </c>
      <c r="F16542">
        <v>10790229</v>
      </c>
      <c r="G16542" t="s">
        <v>27165</v>
      </c>
      <c r="H16542" s="21">
        <v>819.42</v>
      </c>
    </row>
    <row r="16543" spans="1:8" customFormat="1" x14ac:dyDescent="0.25">
      <c r="A16543" t="str">
        <f>"5965697"</f>
        <v>5965697</v>
      </c>
      <c r="B16543" t="s">
        <v>2922</v>
      </c>
      <c r="C16543" t="s">
        <v>151</v>
      </c>
      <c r="D16543" s="21" t="s">
        <v>34</v>
      </c>
      <c r="E16543" s="21" t="s">
        <v>71</v>
      </c>
      <c r="F16543">
        <v>7590414</v>
      </c>
      <c r="G16543" t="s">
        <v>10056</v>
      </c>
      <c r="H16543" s="21">
        <v>819.29</v>
      </c>
    </row>
    <row r="16544" spans="1:8" customFormat="1" x14ac:dyDescent="0.25">
      <c r="A16544" t="str">
        <f>"9136733"</f>
        <v>9136733</v>
      </c>
      <c r="B16544" t="s">
        <v>15057</v>
      </c>
      <c r="C16544" t="s">
        <v>121</v>
      </c>
      <c r="D16544" s="21" t="s">
        <v>34</v>
      </c>
      <c r="E16544" s="21" t="s">
        <v>71</v>
      </c>
      <c r="F16544">
        <v>8910102</v>
      </c>
      <c r="G16544" t="s">
        <v>3079</v>
      </c>
      <c r="H16544" s="21">
        <v>819.29</v>
      </c>
    </row>
    <row r="16545" spans="1:8" customFormat="1" x14ac:dyDescent="0.25">
      <c r="A16545" t="str">
        <f>"387812"</f>
        <v>387812</v>
      </c>
      <c r="B16545" t="s">
        <v>13179</v>
      </c>
      <c r="C16545" t="s">
        <v>1132</v>
      </c>
      <c r="D16545" s="21" t="s">
        <v>34</v>
      </c>
      <c r="E16545" s="21" t="s">
        <v>254</v>
      </c>
      <c r="F16545">
        <v>1380056</v>
      </c>
      <c r="G16545" t="s">
        <v>846</v>
      </c>
      <c r="H16545" s="21">
        <v>819.29</v>
      </c>
    </row>
    <row r="16546" spans="1:8" customFormat="1" x14ac:dyDescent="0.25">
      <c r="A16546" t="str">
        <f>"434126"</f>
        <v>434126</v>
      </c>
      <c r="B16546" t="s">
        <v>4128</v>
      </c>
      <c r="C16546" t="s">
        <v>144</v>
      </c>
      <c r="D16546" s="21" t="s">
        <v>34</v>
      </c>
      <c r="E16546" s="21" t="s">
        <v>35</v>
      </c>
      <c r="F16546">
        <v>1420240</v>
      </c>
      <c r="G16546" t="s">
        <v>9179</v>
      </c>
      <c r="H16546" s="21">
        <v>819.29</v>
      </c>
    </row>
    <row r="16547" spans="1:8" customFormat="1" x14ac:dyDescent="0.25">
      <c r="A16547" t="str">
        <f>"304283"</f>
        <v>304283</v>
      </c>
      <c r="B16547" t="s">
        <v>12898</v>
      </c>
      <c r="C16547" t="s">
        <v>12899</v>
      </c>
      <c r="D16547" s="21" t="s">
        <v>34</v>
      </c>
      <c r="E16547" s="21" t="s">
        <v>71</v>
      </c>
      <c r="F16547">
        <v>11300007</v>
      </c>
      <c r="G16547" t="s">
        <v>361</v>
      </c>
      <c r="H16547" s="21">
        <v>819.29</v>
      </c>
    </row>
    <row r="16548" spans="1:8" customFormat="1" x14ac:dyDescent="0.25">
      <c r="A16548" t="str">
        <f>"7862636"</f>
        <v>7862636</v>
      </c>
      <c r="B16548" t="s">
        <v>16282</v>
      </c>
      <c r="C16548" t="s">
        <v>82</v>
      </c>
      <c r="D16548" s="21" t="s">
        <v>34</v>
      </c>
      <c r="E16548" s="21" t="s">
        <v>35</v>
      </c>
      <c r="F16548">
        <v>8780353</v>
      </c>
      <c r="G16548" t="s">
        <v>6524</v>
      </c>
      <c r="H16548" s="21">
        <v>819.29</v>
      </c>
    </row>
    <row r="16549" spans="1:8" customFormat="1" x14ac:dyDescent="0.25">
      <c r="A16549" t="str">
        <f>"9248957"</f>
        <v>9248957</v>
      </c>
      <c r="B16549" t="s">
        <v>14704</v>
      </c>
      <c r="C16549" t="s">
        <v>14705</v>
      </c>
      <c r="D16549" s="21" t="s">
        <v>34</v>
      </c>
      <c r="E16549" s="21" t="s">
        <v>254</v>
      </c>
      <c r="F16549">
        <v>8920075</v>
      </c>
      <c r="G16549" t="s">
        <v>317</v>
      </c>
      <c r="H16549" s="21">
        <v>819.17</v>
      </c>
    </row>
    <row r="16550" spans="1:8" customFormat="1" x14ac:dyDescent="0.25">
      <c r="A16550" t="str">
        <f>"379477"</f>
        <v>379477</v>
      </c>
      <c r="B16550" t="s">
        <v>10203</v>
      </c>
      <c r="C16550" t="s">
        <v>263</v>
      </c>
      <c r="D16550" s="21" t="s">
        <v>34</v>
      </c>
      <c r="E16550" s="21" t="s">
        <v>71</v>
      </c>
      <c r="F16550">
        <v>4370033</v>
      </c>
      <c r="G16550" t="s">
        <v>7556</v>
      </c>
      <c r="H16550" s="21">
        <v>819.17</v>
      </c>
    </row>
    <row r="16551" spans="1:8" customFormat="1" x14ac:dyDescent="0.25">
      <c r="A16551" t="str">
        <f>"6019831"</f>
        <v>6019831</v>
      </c>
      <c r="B16551" t="s">
        <v>7072</v>
      </c>
      <c r="C16551" t="s">
        <v>267</v>
      </c>
      <c r="D16551" s="21" t="s">
        <v>34</v>
      </c>
      <c r="E16551" s="21" t="s">
        <v>35</v>
      </c>
      <c r="F16551">
        <v>7600157</v>
      </c>
      <c r="G16551" t="s">
        <v>12263</v>
      </c>
      <c r="H16551" s="21">
        <v>819.17</v>
      </c>
    </row>
    <row r="16552" spans="1:8" customFormat="1" x14ac:dyDescent="0.25">
      <c r="A16552" t="str">
        <f>"3415783"</f>
        <v>3415783</v>
      </c>
      <c r="B16552" t="s">
        <v>13839</v>
      </c>
      <c r="C16552" t="s">
        <v>2525</v>
      </c>
      <c r="D16552" s="21" t="s">
        <v>34</v>
      </c>
      <c r="E16552" s="21" t="s">
        <v>35</v>
      </c>
      <c r="F16552">
        <v>11340042</v>
      </c>
      <c r="G16552" t="s">
        <v>13840</v>
      </c>
      <c r="H16552" s="21">
        <v>819.17</v>
      </c>
    </row>
    <row r="16553" spans="1:8" customFormat="1" x14ac:dyDescent="0.25">
      <c r="A16553" t="str">
        <f>"173929"</f>
        <v>173929</v>
      </c>
      <c r="B16553" t="s">
        <v>7390</v>
      </c>
      <c r="C16553" t="s">
        <v>13807</v>
      </c>
      <c r="D16553" s="21" t="s">
        <v>34</v>
      </c>
      <c r="E16553" s="21" t="s">
        <v>71</v>
      </c>
      <c r="F16553">
        <v>10170004</v>
      </c>
      <c r="G16553" t="s">
        <v>12405</v>
      </c>
      <c r="H16553" s="21">
        <v>819.17</v>
      </c>
    </row>
    <row r="16554" spans="1:8" customFormat="1" x14ac:dyDescent="0.25">
      <c r="A16554" t="str">
        <f>"3814279"</f>
        <v>3814279</v>
      </c>
      <c r="B16554" t="s">
        <v>13886</v>
      </c>
      <c r="C16554" t="s">
        <v>412</v>
      </c>
      <c r="D16554" s="21" t="s">
        <v>34</v>
      </c>
      <c r="E16554" s="21" t="s">
        <v>71</v>
      </c>
      <c r="F16554">
        <v>1380005</v>
      </c>
      <c r="G16554" t="s">
        <v>3119</v>
      </c>
      <c r="H16554" s="21">
        <v>819.17</v>
      </c>
    </row>
    <row r="16555" spans="1:8" customFormat="1" x14ac:dyDescent="0.25">
      <c r="A16555" t="str">
        <f>"5726825"</f>
        <v>5726825</v>
      </c>
      <c r="B16555" t="s">
        <v>2082</v>
      </c>
      <c r="C16555" t="s">
        <v>239</v>
      </c>
      <c r="D16555" s="21" t="s">
        <v>34</v>
      </c>
      <c r="E16555" s="21" t="s">
        <v>71</v>
      </c>
      <c r="F16555">
        <v>6570029</v>
      </c>
      <c r="G16555" t="s">
        <v>2977</v>
      </c>
      <c r="H16555" s="21">
        <v>819.17</v>
      </c>
    </row>
    <row r="16556" spans="1:8" customFormat="1" x14ac:dyDescent="0.25">
      <c r="A16556" t="str">
        <f>"2714252"</f>
        <v>2714252</v>
      </c>
      <c r="B16556" t="s">
        <v>15606</v>
      </c>
      <c r="C16556" t="s">
        <v>33</v>
      </c>
      <c r="D16556" s="21" t="s">
        <v>34</v>
      </c>
      <c r="E16556" s="21" t="s">
        <v>35</v>
      </c>
      <c r="F16556">
        <v>7590244</v>
      </c>
      <c r="G16556" t="s">
        <v>5768</v>
      </c>
      <c r="H16556" s="21">
        <v>819.17</v>
      </c>
    </row>
    <row r="16557" spans="1:8" customFormat="1" x14ac:dyDescent="0.25">
      <c r="A16557" t="str">
        <f>"616646"</f>
        <v>616646</v>
      </c>
      <c r="B16557" t="s">
        <v>13912</v>
      </c>
      <c r="C16557" t="s">
        <v>130</v>
      </c>
      <c r="D16557" s="21" t="s">
        <v>34</v>
      </c>
      <c r="E16557" s="21" t="s">
        <v>71</v>
      </c>
      <c r="F16557">
        <v>9610106</v>
      </c>
      <c r="G16557" t="s">
        <v>12520</v>
      </c>
      <c r="H16557" s="21">
        <v>819.17</v>
      </c>
    </row>
    <row r="16558" spans="1:8" customFormat="1" x14ac:dyDescent="0.25">
      <c r="A16558" t="str">
        <f>"674955"</f>
        <v>674955</v>
      </c>
      <c r="B16558" t="s">
        <v>208</v>
      </c>
      <c r="C16558" t="s">
        <v>124</v>
      </c>
      <c r="D16558" s="21" t="s">
        <v>34</v>
      </c>
      <c r="E16558" s="21" t="s">
        <v>71</v>
      </c>
      <c r="F16558">
        <v>6670141</v>
      </c>
      <c r="G16558" t="s">
        <v>5030</v>
      </c>
      <c r="H16558" s="21">
        <v>819.17</v>
      </c>
    </row>
    <row r="16559" spans="1:8" customFormat="1" x14ac:dyDescent="0.25">
      <c r="A16559" t="str">
        <f>"7514111"</f>
        <v>7514111</v>
      </c>
      <c r="B16559" t="s">
        <v>27436</v>
      </c>
      <c r="C16559" t="s">
        <v>55</v>
      </c>
      <c r="D16559" s="21" t="s">
        <v>34</v>
      </c>
      <c r="E16559" s="21" t="s">
        <v>35</v>
      </c>
      <c r="F16559">
        <v>8920646</v>
      </c>
      <c r="G16559" t="s">
        <v>2864</v>
      </c>
      <c r="H16559" s="21">
        <v>819.17</v>
      </c>
    </row>
    <row r="16560" spans="1:8" customFormat="1" x14ac:dyDescent="0.25">
      <c r="A16560" t="str">
        <f>"3313481"</f>
        <v>3313481</v>
      </c>
      <c r="B16560" t="s">
        <v>14036</v>
      </c>
      <c r="C16560" t="s">
        <v>305</v>
      </c>
      <c r="D16560" s="21" t="s">
        <v>34</v>
      </c>
      <c r="E16560" s="21" t="s">
        <v>71</v>
      </c>
      <c r="F16560">
        <v>10330020</v>
      </c>
      <c r="G16560" t="s">
        <v>7481</v>
      </c>
      <c r="H16560" s="21">
        <v>819.17</v>
      </c>
    </row>
    <row r="16561" spans="1:8" customFormat="1" x14ac:dyDescent="0.25">
      <c r="A16561" t="str">
        <f>"4215343"</f>
        <v>4215343</v>
      </c>
      <c r="B16561" t="s">
        <v>16684</v>
      </c>
      <c r="C16561" t="s">
        <v>124</v>
      </c>
      <c r="D16561" s="21" t="s">
        <v>34</v>
      </c>
      <c r="E16561" s="21" t="s">
        <v>71</v>
      </c>
      <c r="F16561">
        <v>1420148</v>
      </c>
      <c r="G16561" t="s">
        <v>10763</v>
      </c>
      <c r="H16561" s="21">
        <v>819.17</v>
      </c>
    </row>
    <row r="16562" spans="1:8" customFormat="1" x14ac:dyDescent="0.25">
      <c r="A16562" t="str">
        <f>"5013093"</f>
        <v>5013093</v>
      </c>
      <c r="B16562" t="s">
        <v>27437</v>
      </c>
      <c r="C16562" t="s">
        <v>27438</v>
      </c>
      <c r="D16562" s="21" t="s">
        <v>34</v>
      </c>
      <c r="E16562" s="21" t="s">
        <v>35</v>
      </c>
      <c r="F16562">
        <v>9500063</v>
      </c>
      <c r="G16562" t="s">
        <v>4114</v>
      </c>
      <c r="H16562" s="21">
        <v>819.17</v>
      </c>
    </row>
    <row r="16563" spans="1:8" customFormat="1" x14ac:dyDescent="0.25">
      <c r="A16563" t="str">
        <f>"617227"</f>
        <v>617227</v>
      </c>
      <c r="B16563" t="s">
        <v>14940</v>
      </c>
      <c r="C16563" t="s">
        <v>891</v>
      </c>
      <c r="D16563" s="21" t="s">
        <v>34</v>
      </c>
      <c r="E16563" s="21" t="s">
        <v>35</v>
      </c>
      <c r="F16563">
        <v>3350048</v>
      </c>
      <c r="G16563" t="s">
        <v>2303</v>
      </c>
      <c r="H16563" s="21">
        <v>819.17</v>
      </c>
    </row>
    <row r="16564" spans="1:8" customFormat="1" x14ac:dyDescent="0.25">
      <c r="A16564" t="str">
        <f>"7912601"</f>
        <v>7912601</v>
      </c>
      <c r="B16564" t="s">
        <v>13856</v>
      </c>
      <c r="C16564" t="s">
        <v>90</v>
      </c>
      <c r="D16564" s="21" t="s">
        <v>34</v>
      </c>
      <c r="E16564" s="21" t="s">
        <v>71</v>
      </c>
      <c r="F16564">
        <v>10790058</v>
      </c>
      <c r="G16564" t="s">
        <v>6512</v>
      </c>
      <c r="H16564" s="21">
        <v>819.17</v>
      </c>
    </row>
    <row r="16565" spans="1:8" customFormat="1" x14ac:dyDescent="0.25">
      <c r="A16565" t="str">
        <f>"414076"</f>
        <v>414076</v>
      </c>
      <c r="B16565" t="s">
        <v>1096</v>
      </c>
      <c r="C16565" t="s">
        <v>249</v>
      </c>
      <c r="D16565" s="21" t="s">
        <v>34</v>
      </c>
      <c r="E16565" s="21" t="s">
        <v>254</v>
      </c>
      <c r="F16565">
        <v>4410697</v>
      </c>
      <c r="G16565" t="s">
        <v>2490</v>
      </c>
      <c r="H16565" s="21">
        <v>819.04</v>
      </c>
    </row>
    <row r="16566" spans="1:8" customFormat="1" x14ac:dyDescent="0.25">
      <c r="A16566" t="str">
        <f>"6230584"</f>
        <v>6230584</v>
      </c>
      <c r="B16566" t="s">
        <v>27439</v>
      </c>
      <c r="C16566" t="s">
        <v>139</v>
      </c>
      <c r="D16566" s="21" t="s">
        <v>34</v>
      </c>
      <c r="E16566" s="21" t="s">
        <v>35</v>
      </c>
      <c r="F16566">
        <v>7620054</v>
      </c>
      <c r="G16566" t="s">
        <v>1677</v>
      </c>
      <c r="H16566" s="21">
        <v>818.92</v>
      </c>
    </row>
    <row r="16567" spans="1:8" customFormat="1" x14ac:dyDescent="0.25">
      <c r="A16567" t="str">
        <f>"635746"</f>
        <v>635746</v>
      </c>
      <c r="B16567" t="s">
        <v>13239</v>
      </c>
      <c r="C16567" t="s">
        <v>598</v>
      </c>
      <c r="D16567" s="21" t="s">
        <v>34</v>
      </c>
      <c r="E16567" s="21" t="s">
        <v>254</v>
      </c>
      <c r="F16567">
        <v>1630310</v>
      </c>
      <c r="G16567" t="s">
        <v>6314</v>
      </c>
      <c r="H16567" s="21">
        <v>818.92</v>
      </c>
    </row>
    <row r="16568" spans="1:8" customFormat="1" x14ac:dyDescent="0.25">
      <c r="A16568" t="str">
        <f>"139101"</f>
        <v>139101</v>
      </c>
      <c r="B16568" t="s">
        <v>14076</v>
      </c>
      <c r="C16568" t="s">
        <v>598</v>
      </c>
      <c r="D16568" s="21" t="s">
        <v>34</v>
      </c>
      <c r="E16568" s="21" t="s">
        <v>254</v>
      </c>
      <c r="F16568">
        <v>13130049</v>
      </c>
      <c r="G16568" t="s">
        <v>13169</v>
      </c>
      <c r="H16568" s="21">
        <v>818.92</v>
      </c>
    </row>
    <row r="16569" spans="1:8" customFormat="1" x14ac:dyDescent="0.25">
      <c r="A16569" t="str">
        <f>"2713602"</f>
        <v>2713602</v>
      </c>
      <c r="B16569" t="s">
        <v>27440</v>
      </c>
      <c r="C16569" t="s">
        <v>608</v>
      </c>
      <c r="D16569" s="21" t="s">
        <v>34</v>
      </c>
      <c r="E16569" s="21" t="s">
        <v>35</v>
      </c>
      <c r="F16569">
        <v>9270069</v>
      </c>
      <c r="G16569" t="s">
        <v>3509</v>
      </c>
      <c r="H16569" s="21">
        <v>818.92</v>
      </c>
    </row>
    <row r="16570" spans="1:8" customFormat="1" x14ac:dyDescent="0.25">
      <c r="A16570" t="str">
        <f>"671738"</f>
        <v>671738</v>
      </c>
      <c r="B16570" t="s">
        <v>12458</v>
      </c>
      <c r="C16570" t="s">
        <v>15335</v>
      </c>
      <c r="D16570" s="21" t="s">
        <v>34</v>
      </c>
      <c r="E16570" s="21" t="s">
        <v>1089</v>
      </c>
      <c r="F16570">
        <v>6670149</v>
      </c>
      <c r="G16570" t="s">
        <v>4404</v>
      </c>
      <c r="H16570" s="21">
        <v>818.67</v>
      </c>
    </row>
    <row r="16571" spans="1:8" customFormat="1" x14ac:dyDescent="0.25">
      <c r="A16571" t="str">
        <f>"5933308"</f>
        <v>5933308</v>
      </c>
      <c r="B16571" t="s">
        <v>17574</v>
      </c>
      <c r="C16571" t="s">
        <v>17575</v>
      </c>
      <c r="D16571" s="21" t="s">
        <v>34</v>
      </c>
      <c r="E16571" s="21" t="s">
        <v>35</v>
      </c>
      <c r="F16571">
        <v>7590156</v>
      </c>
      <c r="G16571" t="s">
        <v>6224</v>
      </c>
      <c r="H16571" s="21">
        <v>818.67</v>
      </c>
    </row>
    <row r="16572" spans="1:8" customFormat="1" x14ac:dyDescent="0.25">
      <c r="A16572" t="str">
        <f>"8011087"</f>
        <v>8011087</v>
      </c>
      <c r="B16572" t="s">
        <v>16300</v>
      </c>
      <c r="C16572" t="s">
        <v>1025</v>
      </c>
      <c r="D16572" s="21" t="s">
        <v>34</v>
      </c>
      <c r="E16572" s="21" t="s">
        <v>35</v>
      </c>
      <c r="F16572">
        <v>7800126</v>
      </c>
      <c r="G16572" t="s">
        <v>1105</v>
      </c>
      <c r="H16572" s="21">
        <v>818.67</v>
      </c>
    </row>
    <row r="16573" spans="1:8" customFormat="1" x14ac:dyDescent="0.25">
      <c r="A16573" t="str">
        <f>"6011261"</f>
        <v>6011261</v>
      </c>
      <c r="B16573" t="s">
        <v>2178</v>
      </c>
      <c r="C16573" t="s">
        <v>428</v>
      </c>
      <c r="D16573" s="21" t="s">
        <v>34</v>
      </c>
      <c r="E16573" s="21" t="s">
        <v>35</v>
      </c>
      <c r="F16573">
        <v>11810032</v>
      </c>
      <c r="G16573" t="s">
        <v>7859</v>
      </c>
      <c r="H16573" s="21">
        <v>818.67</v>
      </c>
    </row>
    <row r="16574" spans="1:8" customFormat="1" x14ac:dyDescent="0.25">
      <c r="A16574" t="str">
        <f>"695556"</f>
        <v>695556</v>
      </c>
      <c r="B16574" t="s">
        <v>27441</v>
      </c>
      <c r="C16574" t="s">
        <v>817</v>
      </c>
      <c r="D16574" s="21" t="s">
        <v>34</v>
      </c>
      <c r="E16574" s="21" t="s">
        <v>35</v>
      </c>
      <c r="F16574">
        <v>1690002</v>
      </c>
      <c r="G16574" t="s">
        <v>5604</v>
      </c>
      <c r="H16574" s="21">
        <v>818.67</v>
      </c>
    </row>
    <row r="16575" spans="1:8" customFormat="1" x14ac:dyDescent="0.25">
      <c r="A16575" t="str">
        <f>"3320223"</f>
        <v>3320223</v>
      </c>
      <c r="B16575" t="s">
        <v>14621</v>
      </c>
      <c r="C16575" t="s">
        <v>1132</v>
      </c>
      <c r="D16575" s="21" t="s">
        <v>34</v>
      </c>
      <c r="E16575" s="21" t="s">
        <v>254</v>
      </c>
      <c r="F16575">
        <v>10330084</v>
      </c>
      <c r="G16575" t="s">
        <v>1124</v>
      </c>
      <c r="H16575" s="21">
        <v>818.67</v>
      </c>
    </row>
    <row r="16576" spans="1:8" customFormat="1" x14ac:dyDescent="0.25">
      <c r="A16576" t="str">
        <f>"3117597"</f>
        <v>3117597</v>
      </c>
      <c r="B16576" t="s">
        <v>7739</v>
      </c>
      <c r="C16576" t="s">
        <v>269</v>
      </c>
      <c r="D16576" s="21" t="s">
        <v>34</v>
      </c>
      <c r="E16576" s="21" t="s">
        <v>35</v>
      </c>
      <c r="F16576">
        <v>11310123</v>
      </c>
      <c r="G16576" t="s">
        <v>3915</v>
      </c>
      <c r="H16576" s="21">
        <v>818.67</v>
      </c>
    </row>
    <row r="16577" spans="1:8" customFormat="1" x14ac:dyDescent="0.25">
      <c r="A16577" t="str">
        <f>"916289"</f>
        <v>916289</v>
      </c>
      <c r="B16577" t="s">
        <v>9276</v>
      </c>
      <c r="C16577" t="s">
        <v>3010</v>
      </c>
      <c r="D16577" s="21" t="s">
        <v>34</v>
      </c>
      <c r="E16577" s="21" t="s">
        <v>71</v>
      </c>
      <c r="F16577">
        <v>8910004</v>
      </c>
      <c r="G16577" t="s">
        <v>9637</v>
      </c>
      <c r="H16577" s="21">
        <v>818.67</v>
      </c>
    </row>
    <row r="16578" spans="1:8" customFormat="1" x14ac:dyDescent="0.25">
      <c r="A16578" t="str">
        <f>"5934031"</f>
        <v>5934031</v>
      </c>
      <c r="B16578" t="s">
        <v>13175</v>
      </c>
      <c r="C16578" t="s">
        <v>302</v>
      </c>
      <c r="D16578" s="21" t="s">
        <v>34</v>
      </c>
      <c r="E16578" s="21" t="s">
        <v>71</v>
      </c>
      <c r="F16578">
        <v>7590281</v>
      </c>
      <c r="G16578" t="s">
        <v>7165</v>
      </c>
      <c r="H16578" s="21">
        <v>818.67</v>
      </c>
    </row>
    <row r="16579" spans="1:8" customFormat="1" x14ac:dyDescent="0.25">
      <c r="A16579" t="str">
        <f>"3815273"</f>
        <v>3815273</v>
      </c>
      <c r="B16579" t="s">
        <v>14695</v>
      </c>
      <c r="C16579" t="s">
        <v>27442</v>
      </c>
      <c r="D16579" s="21" t="s">
        <v>34</v>
      </c>
      <c r="E16579" s="21" t="s">
        <v>254</v>
      </c>
      <c r="F16579">
        <v>1380057</v>
      </c>
      <c r="G16579" t="s">
        <v>26700</v>
      </c>
      <c r="H16579" s="21">
        <v>818.67</v>
      </c>
    </row>
    <row r="16580" spans="1:8" customFormat="1" x14ac:dyDescent="0.25">
      <c r="A16580" t="str">
        <f>"276498"</f>
        <v>276498</v>
      </c>
      <c r="B16580" t="s">
        <v>946</v>
      </c>
      <c r="C16580" t="s">
        <v>60</v>
      </c>
      <c r="D16580" s="21" t="s">
        <v>34</v>
      </c>
      <c r="E16580" s="21" t="s">
        <v>35</v>
      </c>
      <c r="F16580">
        <v>9140201</v>
      </c>
      <c r="G16580" t="s">
        <v>13327</v>
      </c>
      <c r="H16580" s="21">
        <v>818.67</v>
      </c>
    </row>
    <row r="16581" spans="1:8" customFormat="1" x14ac:dyDescent="0.25">
      <c r="A16581" t="str">
        <f>"215862"</f>
        <v>215862</v>
      </c>
      <c r="B16581" t="s">
        <v>13413</v>
      </c>
      <c r="C16581" t="s">
        <v>2479</v>
      </c>
      <c r="D16581" s="21" t="s">
        <v>34</v>
      </c>
      <c r="E16581" s="21" t="s">
        <v>1089</v>
      </c>
      <c r="F16581">
        <v>11340059</v>
      </c>
      <c r="G16581" t="s">
        <v>10368</v>
      </c>
      <c r="H16581" s="21">
        <v>818.67</v>
      </c>
    </row>
    <row r="16582" spans="1:8" customFormat="1" x14ac:dyDescent="0.25">
      <c r="A16582" t="str">
        <f>"869596"</f>
        <v>869596</v>
      </c>
      <c r="B16582" t="s">
        <v>14686</v>
      </c>
      <c r="C16582" t="s">
        <v>3355</v>
      </c>
      <c r="D16582" s="21" t="s">
        <v>34</v>
      </c>
      <c r="E16582" s="21" t="s">
        <v>35</v>
      </c>
      <c r="F16582">
        <v>3560037</v>
      </c>
      <c r="G16582" t="s">
        <v>10491</v>
      </c>
      <c r="H16582" s="21">
        <v>818.67</v>
      </c>
    </row>
    <row r="16583" spans="1:8" customFormat="1" x14ac:dyDescent="0.25">
      <c r="A16583" t="str">
        <f>"3715868"</f>
        <v>3715868</v>
      </c>
      <c r="B16583" t="s">
        <v>14108</v>
      </c>
      <c r="C16583" t="s">
        <v>486</v>
      </c>
      <c r="D16583" s="21" t="s">
        <v>34</v>
      </c>
      <c r="E16583" s="21" t="s">
        <v>71</v>
      </c>
      <c r="F16583">
        <v>4370269</v>
      </c>
      <c r="G16583" t="s">
        <v>4277</v>
      </c>
      <c r="H16583" s="21">
        <v>818.67</v>
      </c>
    </row>
    <row r="16584" spans="1:8" customFormat="1" x14ac:dyDescent="0.25">
      <c r="A16584" t="str">
        <f>"4919774"</f>
        <v>4919774</v>
      </c>
      <c r="B16584" t="s">
        <v>14066</v>
      </c>
      <c r="C16584" t="s">
        <v>547</v>
      </c>
      <c r="D16584" s="21" t="s">
        <v>34</v>
      </c>
      <c r="E16584" s="21" t="s">
        <v>254</v>
      </c>
      <c r="F16584">
        <v>12490120</v>
      </c>
      <c r="G16584" t="s">
        <v>2316</v>
      </c>
      <c r="H16584" s="21">
        <v>818.67</v>
      </c>
    </row>
    <row r="16585" spans="1:8" customFormat="1" x14ac:dyDescent="0.25">
      <c r="A16585" t="str">
        <f>"4212455"</f>
        <v>4212455</v>
      </c>
      <c r="B16585" t="s">
        <v>27443</v>
      </c>
      <c r="C16585" t="s">
        <v>285</v>
      </c>
      <c r="D16585" s="21" t="s">
        <v>34</v>
      </c>
      <c r="E16585" s="21" t="s">
        <v>35</v>
      </c>
      <c r="F16585">
        <v>1420110</v>
      </c>
      <c r="G16585" t="s">
        <v>3928</v>
      </c>
      <c r="H16585" s="21">
        <v>818.42</v>
      </c>
    </row>
    <row r="16586" spans="1:8" customFormat="1" x14ac:dyDescent="0.25">
      <c r="A16586" t="str">
        <f>"2938643"</f>
        <v>2938643</v>
      </c>
      <c r="B16586" t="s">
        <v>19191</v>
      </c>
      <c r="C16586" t="s">
        <v>33</v>
      </c>
      <c r="D16586" s="21" t="s">
        <v>34</v>
      </c>
      <c r="E16586" s="21" t="s">
        <v>35</v>
      </c>
      <c r="F16586">
        <v>3290285</v>
      </c>
      <c r="G16586" t="s">
        <v>2234</v>
      </c>
      <c r="H16586" s="21">
        <v>818.42</v>
      </c>
    </row>
    <row r="16587" spans="1:8" customFormat="1" x14ac:dyDescent="0.25">
      <c r="A16587" t="str">
        <f>"7864816"</f>
        <v>7864816</v>
      </c>
      <c r="B16587" t="s">
        <v>15678</v>
      </c>
      <c r="C16587" t="s">
        <v>169</v>
      </c>
      <c r="D16587" s="21" t="s">
        <v>34</v>
      </c>
      <c r="E16587" s="21" t="s">
        <v>71</v>
      </c>
      <c r="F16587">
        <v>8780107</v>
      </c>
      <c r="G16587" t="s">
        <v>4186</v>
      </c>
      <c r="H16587" s="21">
        <v>818.29</v>
      </c>
    </row>
    <row r="16588" spans="1:8" customFormat="1" x14ac:dyDescent="0.25">
      <c r="A16588" t="str">
        <f>"3113880"</f>
        <v>3113880</v>
      </c>
      <c r="B16588" t="s">
        <v>15781</v>
      </c>
      <c r="C16588" t="s">
        <v>60</v>
      </c>
      <c r="D16588" s="21" t="s">
        <v>34</v>
      </c>
      <c r="E16588" s="21" t="s">
        <v>35</v>
      </c>
      <c r="F16588">
        <v>11310117</v>
      </c>
      <c r="G16588" t="s">
        <v>10279</v>
      </c>
      <c r="H16588" s="21">
        <v>818.29</v>
      </c>
    </row>
    <row r="16589" spans="1:8" customFormat="1" x14ac:dyDescent="0.25">
      <c r="A16589" t="str">
        <f>"882489"</f>
        <v>882489</v>
      </c>
      <c r="B16589" t="s">
        <v>5751</v>
      </c>
      <c r="C16589" t="s">
        <v>3522</v>
      </c>
      <c r="D16589" s="21" t="s">
        <v>34</v>
      </c>
      <c r="E16589" s="21" t="s">
        <v>254</v>
      </c>
      <c r="F16589">
        <v>6880113</v>
      </c>
      <c r="G16589" t="s">
        <v>11089</v>
      </c>
      <c r="H16589" s="21">
        <v>818.29</v>
      </c>
    </row>
    <row r="16590" spans="1:8" customFormat="1" x14ac:dyDescent="0.25">
      <c r="A16590" t="str">
        <f>"165566"</f>
        <v>165566</v>
      </c>
      <c r="B16590" t="s">
        <v>6998</v>
      </c>
      <c r="C16590" t="s">
        <v>2305</v>
      </c>
      <c r="D16590" s="21" t="s">
        <v>34</v>
      </c>
      <c r="E16590" s="21" t="s">
        <v>254</v>
      </c>
      <c r="F16590">
        <v>10160044</v>
      </c>
      <c r="G16590" t="s">
        <v>4941</v>
      </c>
      <c r="H16590" s="21">
        <v>818.17</v>
      </c>
    </row>
    <row r="16591" spans="1:8" customFormat="1" x14ac:dyDescent="0.25">
      <c r="A16591" t="str">
        <f>"65273"</f>
        <v>65273</v>
      </c>
      <c r="B16591" t="s">
        <v>13823</v>
      </c>
      <c r="C16591" t="s">
        <v>415</v>
      </c>
      <c r="D16591" s="21" t="s">
        <v>34</v>
      </c>
      <c r="E16591" s="21" t="s">
        <v>254</v>
      </c>
      <c r="F16591">
        <v>11650018</v>
      </c>
      <c r="G16591" t="s">
        <v>6247</v>
      </c>
      <c r="H16591" s="21">
        <v>818.17</v>
      </c>
    </row>
    <row r="16592" spans="1:8" customFormat="1" x14ac:dyDescent="0.25">
      <c r="A16592" t="str">
        <f>"639214"</f>
        <v>639214</v>
      </c>
      <c r="B16592" t="s">
        <v>13360</v>
      </c>
      <c r="C16592" t="s">
        <v>171</v>
      </c>
      <c r="D16592" s="21" t="s">
        <v>34</v>
      </c>
      <c r="E16592" s="21" t="s">
        <v>35</v>
      </c>
      <c r="F16592">
        <v>1630301</v>
      </c>
      <c r="G16592" t="s">
        <v>7897</v>
      </c>
      <c r="H16592" s="21">
        <v>818.17</v>
      </c>
    </row>
    <row r="16593" spans="1:8" customFormat="1" x14ac:dyDescent="0.25">
      <c r="A16593" t="str">
        <f>"9519739"</f>
        <v>9519739</v>
      </c>
      <c r="B16593" t="s">
        <v>14914</v>
      </c>
      <c r="C16593" t="s">
        <v>2520</v>
      </c>
      <c r="D16593" s="21" t="s">
        <v>34</v>
      </c>
      <c r="E16593" s="21" t="s">
        <v>71</v>
      </c>
      <c r="F16593">
        <v>8951312</v>
      </c>
      <c r="G16593" t="s">
        <v>1007</v>
      </c>
      <c r="H16593" s="21">
        <v>818.17</v>
      </c>
    </row>
    <row r="16594" spans="1:8" customFormat="1" x14ac:dyDescent="0.25">
      <c r="A16594" t="str">
        <f>"5318625"</f>
        <v>5318625</v>
      </c>
      <c r="B16594" t="s">
        <v>431</v>
      </c>
      <c r="C16594" t="s">
        <v>119</v>
      </c>
      <c r="D16594" s="21" t="s">
        <v>34</v>
      </c>
      <c r="E16594" s="21" t="s">
        <v>35</v>
      </c>
      <c r="F16594">
        <v>12530099</v>
      </c>
      <c r="G16594" t="s">
        <v>3569</v>
      </c>
      <c r="H16594" s="21">
        <v>818.17</v>
      </c>
    </row>
    <row r="16595" spans="1:8" customFormat="1" x14ac:dyDescent="0.25">
      <c r="A16595" t="str">
        <f>"4514320"</f>
        <v>4514320</v>
      </c>
      <c r="B16595" t="s">
        <v>13876</v>
      </c>
      <c r="C16595" t="s">
        <v>263</v>
      </c>
      <c r="D16595" s="21" t="s">
        <v>34</v>
      </c>
      <c r="E16595" s="21" t="s">
        <v>254</v>
      </c>
      <c r="F16595">
        <v>4450573</v>
      </c>
      <c r="G16595" t="s">
        <v>4106</v>
      </c>
      <c r="H16595" s="21">
        <v>818.17</v>
      </c>
    </row>
    <row r="16596" spans="1:8" customFormat="1" x14ac:dyDescent="0.25">
      <c r="A16596" t="str">
        <f>"7862010"</f>
        <v>7862010</v>
      </c>
      <c r="B16596" t="s">
        <v>3017</v>
      </c>
      <c r="C16596" t="s">
        <v>55</v>
      </c>
      <c r="D16596" s="21" t="s">
        <v>34</v>
      </c>
      <c r="E16596" s="21" t="s">
        <v>35</v>
      </c>
      <c r="F16596">
        <v>8780529</v>
      </c>
      <c r="G16596" t="s">
        <v>8624</v>
      </c>
      <c r="H16596" s="21">
        <v>818.17</v>
      </c>
    </row>
    <row r="16597" spans="1:8" customFormat="1" x14ac:dyDescent="0.25">
      <c r="A16597" t="str">
        <f>"889908"</f>
        <v>889908</v>
      </c>
      <c r="B16597" t="s">
        <v>1769</v>
      </c>
      <c r="C16597" t="s">
        <v>263</v>
      </c>
      <c r="D16597" s="21" t="s">
        <v>34</v>
      </c>
      <c r="E16597" s="21" t="s">
        <v>1089</v>
      </c>
      <c r="F16597">
        <v>6880051</v>
      </c>
      <c r="G16597" t="s">
        <v>6116</v>
      </c>
      <c r="H16597" s="21">
        <v>818.17</v>
      </c>
    </row>
    <row r="16598" spans="1:8" customFormat="1" x14ac:dyDescent="0.25">
      <c r="A16598" t="str">
        <f>"281845"</f>
        <v>281845</v>
      </c>
      <c r="B16598" t="s">
        <v>15429</v>
      </c>
      <c r="C16598" t="s">
        <v>1119</v>
      </c>
      <c r="D16598" s="21" t="s">
        <v>34</v>
      </c>
      <c r="E16598" s="21" t="s">
        <v>254</v>
      </c>
      <c r="F16598">
        <v>4280038</v>
      </c>
      <c r="G16598" t="s">
        <v>2526</v>
      </c>
      <c r="H16598" s="21">
        <v>818.17</v>
      </c>
    </row>
    <row r="16599" spans="1:8" customFormat="1" x14ac:dyDescent="0.25">
      <c r="A16599" t="str">
        <f>"7411272"</f>
        <v>7411272</v>
      </c>
      <c r="B16599" t="s">
        <v>14785</v>
      </c>
      <c r="C16599" t="s">
        <v>493</v>
      </c>
      <c r="D16599" s="21" t="s">
        <v>34</v>
      </c>
      <c r="E16599" s="21" t="s">
        <v>71</v>
      </c>
      <c r="F16599">
        <v>1740057</v>
      </c>
      <c r="G16599" t="s">
        <v>1567</v>
      </c>
      <c r="H16599" s="21">
        <v>818.17</v>
      </c>
    </row>
    <row r="16600" spans="1:8" customFormat="1" x14ac:dyDescent="0.25">
      <c r="A16600" t="str">
        <f>"4437443"</f>
        <v>4437443</v>
      </c>
      <c r="B16600" t="s">
        <v>13469</v>
      </c>
      <c r="C16600" t="s">
        <v>2276</v>
      </c>
      <c r="D16600" s="21" t="s">
        <v>34</v>
      </c>
      <c r="E16600" s="21" t="s">
        <v>254</v>
      </c>
      <c r="F16600">
        <v>12440154</v>
      </c>
      <c r="G16600" t="s">
        <v>7124</v>
      </c>
      <c r="H16600" s="21">
        <v>818.17</v>
      </c>
    </row>
    <row r="16601" spans="1:8" customFormat="1" x14ac:dyDescent="0.25">
      <c r="A16601" t="str">
        <f>"728054"</f>
        <v>728054</v>
      </c>
      <c r="B16601" t="s">
        <v>853</v>
      </c>
      <c r="C16601" t="s">
        <v>621</v>
      </c>
      <c r="D16601" s="21" t="s">
        <v>34</v>
      </c>
      <c r="E16601" s="21" t="s">
        <v>254</v>
      </c>
      <c r="F16601">
        <v>12720117</v>
      </c>
      <c r="G16601" t="s">
        <v>7788</v>
      </c>
      <c r="H16601" s="21">
        <v>818.17</v>
      </c>
    </row>
    <row r="16602" spans="1:8" customFormat="1" x14ac:dyDescent="0.25">
      <c r="A16602" t="str">
        <f>"6924711"</f>
        <v>6924711</v>
      </c>
      <c r="B16602" t="s">
        <v>2210</v>
      </c>
      <c r="C16602" t="s">
        <v>87</v>
      </c>
      <c r="D16602" s="21" t="s">
        <v>34</v>
      </c>
      <c r="E16602" s="21" t="s">
        <v>71</v>
      </c>
      <c r="F16602">
        <v>1690160</v>
      </c>
      <c r="G16602" t="s">
        <v>4599</v>
      </c>
      <c r="H16602" s="21">
        <v>818.17</v>
      </c>
    </row>
    <row r="16603" spans="1:8" customFormat="1" x14ac:dyDescent="0.25">
      <c r="A16603" t="str">
        <f>"851522"</f>
        <v>851522</v>
      </c>
      <c r="B16603" t="s">
        <v>551</v>
      </c>
      <c r="C16603" t="s">
        <v>639</v>
      </c>
      <c r="D16603" s="21" t="s">
        <v>34</v>
      </c>
      <c r="E16603" s="21" t="s">
        <v>254</v>
      </c>
      <c r="F16603">
        <v>12851016</v>
      </c>
      <c r="G16603" t="s">
        <v>1862</v>
      </c>
      <c r="H16603" s="21">
        <v>818.17</v>
      </c>
    </row>
    <row r="16604" spans="1:8" customFormat="1" x14ac:dyDescent="0.25">
      <c r="A16604" t="str">
        <f>"735670"</f>
        <v>735670</v>
      </c>
      <c r="B16604" t="s">
        <v>12742</v>
      </c>
      <c r="C16604" t="s">
        <v>114</v>
      </c>
      <c r="D16604" s="21" t="s">
        <v>34</v>
      </c>
      <c r="E16604" s="21" t="s">
        <v>71</v>
      </c>
      <c r="F16604">
        <v>3560039</v>
      </c>
      <c r="G16604" t="s">
        <v>167</v>
      </c>
      <c r="H16604" s="21">
        <v>818.17</v>
      </c>
    </row>
    <row r="16605" spans="1:8" customFormat="1" x14ac:dyDescent="0.25">
      <c r="A16605" t="str">
        <f>"3517280"</f>
        <v>3517280</v>
      </c>
      <c r="B16605" t="s">
        <v>2960</v>
      </c>
      <c r="C16605" t="s">
        <v>1597</v>
      </c>
      <c r="D16605" s="21" t="s">
        <v>34</v>
      </c>
      <c r="E16605" s="21" t="s">
        <v>71</v>
      </c>
      <c r="F16605">
        <v>3350095</v>
      </c>
      <c r="G16605" t="s">
        <v>5813</v>
      </c>
      <c r="H16605" s="21">
        <v>818.17</v>
      </c>
    </row>
    <row r="16606" spans="1:8" customFormat="1" x14ac:dyDescent="0.25">
      <c r="A16606" t="str">
        <f>"3519732"</f>
        <v>3519732</v>
      </c>
      <c r="B16606" t="s">
        <v>13277</v>
      </c>
      <c r="C16606" t="s">
        <v>33</v>
      </c>
      <c r="D16606" s="21" t="s">
        <v>34</v>
      </c>
      <c r="E16606" s="21" t="s">
        <v>35</v>
      </c>
      <c r="F16606">
        <v>3350091</v>
      </c>
      <c r="G16606" t="s">
        <v>5864</v>
      </c>
      <c r="H16606" s="21">
        <v>818.17</v>
      </c>
    </row>
    <row r="16607" spans="1:8" customFormat="1" x14ac:dyDescent="0.25">
      <c r="A16607" t="str">
        <f>"6921861"</f>
        <v>6921861</v>
      </c>
      <c r="B16607" t="s">
        <v>13795</v>
      </c>
      <c r="C16607" t="s">
        <v>169</v>
      </c>
      <c r="D16607" s="21" t="s">
        <v>34</v>
      </c>
      <c r="E16607" s="21" t="s">
        <v>71</v>
      </c>
      <c r="F16607">
        <v>1690031</v>
      </c>
      <c r="G16607" t="s">
        <v>2716</v>
      </c>
      <c r="H16607" s="21">
        <v>818.17</v>
      </c>
    </row>
    <row r="16608" spans="1:8" customFormat="1" x14ac:dyDescent="0.25">
      <c r="A16608" t="str">
        <f>"3535935"</f>
        <v>3535935</v>
      </c>
      <c r="B16608" t="s">
        <v>15813</v>
      </c>
      <c r="C16608" t="s">
        <v>288</v>
      </c>
      <c r="D16608" s="21" t="s">
        <v>34</v>
      </c>
      <c r="E16608" s="21" t="s">
        <v>35</v>
      </c>
      <c r="F16608">
        <v>3350213</v>
      </c>
      <c r="G16608" t="s">
        <v>13671</v>
      </c>
      <c r="H16608" s="21">
        <v>818.17</v>
      </c>
    </row>
    <row r="16609" spans="1:8" customFormat="1" x14ac:dyDescent="0.25">
      <c r="A16609" t="str">
        <f>"7841336"</f>
        <v>7841336</v>
      </c>
      <c r="B16609" t="s">
        <v>13172</v>
      </c>
      <c r="C16609" t="s">
        <v>198</v>
      </c>
      <c r="D16609" s="21" t="s">
        <v>34</v>
      </c>
      <c r="E16609" s="21" t="s">
        <v>71</v>
      </c>
      <c r="F16609">
        <v>8780585</v>
      </c>
      <c r="G16609" t="s">
        <v>4630</v>
      </c>
      <c r="H16609" s="21">
        <v>818.17</v>
      </c>
    </row>
    <row r="16610" spans="1:8" customFormat="1" x14ac:dyDescent="0.25">
      <c r="A16610" t="str">
        <f>"6315020"</f>
        <v>6315020</v>
      </c>
      <c r="B16610" t="s">
        <v>8105</v>
      </c>
      <c r="C16610" t="s">
        <v>33</v>
      </c>
      <c r="D16610" s="21" t="s">
        <v>34</v>
      </c>
      <c r="E16610" s="21" t="s">
        <v>35</v>
      </c>
      <c r="F16610">
        <v>1630191</v>
      </c>
      <c r="G16610" t="s">
        <v>11303</v>
      </c>
      <c r="H16610" s="21">
        <v>818.17</v>
      </c>
    </row>
    <row r="16611" spans="1:8" customFormat="1" x14ac:dyDescent="0.25">
      <c r="A16611" t="str">
        <f>"7517142"</f>
        <v>7517142</v>
      </c>
      <c r="B16611" t="s">
        <v>15578</v>
      </c>
      <c r="C16611" t="s">
        <v>87</v>
      </c>
      <c r="D16611" s="21" t="s">
        <v>34</v>
      </c>
      <c r="E16611" s="21" t="s">
        <v>71</v>
      </c>
      <c r="F16611">
        <v>8751163</v>
      </c>
      <c r="G16611" t="s">
        <v>80</v>
      </c>
      <c r="H16611" s="21">
        <v>818.04</v>
      </c>
    </row>
    <row r="16612" spans="1:8" customFormat="1" x14ac:dyDescent="0.25">
      <c r="A16612" t="str">
        <f>"4921850"</f>
        <v>4921850</v>
      </c>
      <c r="B16612" t="s">
        <v>1574</v>
      </c>
      <c r="C16612" t="s">
        <v>209</v>
      </c>
      <c r="D16612" s="21" t="s">
        <v>34</v>
      </c>
      <c r="E16612" s="21" t="s">
        <v>71</v>
      </c>
      <c r="F16612">
        <v>12490039</v>
      </c>
      <c r="G16612" t="s">
        <v>3453</v>
      </c>
      <c r="H16612" s="21">
        <v>818.04</v>
      </c>
    </row>
    <row r="16613" spans="1:8" customFormat="1" x14ac:dyDescent="0.25">
      <c r="A16613" t="str">
        <f>"9238646"</f>
        <v>9238646</v>
      </c>
      <c r="B16613" t="s">
        <v>16273</v>
      </c>
      <c r="C16613" t="s">
        <v>6412</v>
      </c>
      <c r="D16613" s="21" t="s">
        <v>34</v>
      </c>
      <c r="E16613" s="21" t="s">
        <v>254</v>
      </c>
      <c r="F16613">
        <v>4280005</v>
      </c>
      <c r="G16613" t="s">
        <v>5760</v>
      </c>
      <c r="H16613" s="21">
        <v>818.04</v>
      </c>
    </row>
    <row r="16614" spans="1:8" customFormat="1" x14ac:dyDescent="0.25">
      <c r="A16614" t="str">
        <f>"7813192"</f>
        <v>7813192</v>
      </c>
      <c r="B16614" t="s">
        <v>7122</v>
      </c>
      <c r="C16614" t="s">
        <v>246</v>
      </c>
      <c r="D16614" s="21" t="s">
        <v>34</v>
      </c>
      <c r="E16614" s="21" t="s">
        <v>71</v>
      </c>
      <c r="F16614">
        <v>8780660</v>
      </c>
      <c r="G16614" t="s">
        <v>2801</v>
      </c>
      <c r="H16614" s="21">
        <v>818.04</v>
      </c>
    </row>
    <row r="16615" spans="1:8" customFormat="1" x14ac:dyDescent="0.25">
      <c r="A16615" t="str">
        <f>"365909"</f>
        <v>365909</v>
      </c>
      <c r="B16615" t="s">
        <v>14015</v>
      </c>
      <c r="C16615" t="s">
        <v>33</v>
      </c>
      <c r="D16615" s="21" t="s">
        <v>34</v>
      </c>
      <c r="E16615" s="21" t="s">
        <v>71</v>
      </c>
      <c r="F16615">
        <v>4360707</v>
      </c>
      <c r="G16615" t="s">
        <v>6621</v>
      </c>
      <c r="H16615" s="21">
        <v>817.92</v>
      </c>
    </row>
    <row r="16616" spans="1:8" customFormat="1" x14ac:dyDescent="0.25">
      <c r="A16616" t="str">
        <f>"38511"</f>
        <v>38511</v>
      </c>
      <c r="B16616" t="s">
        <v>13705</v>
      </c>
      <c r="C16616" t="s">
        <v>1588</v>
      </c>
      <c r="D16616" s="21" t="s">
        <v>34</v>
      </c>
      <c r="E16616" s="21" t="s">
        <v>1089</v>
      </c>
      <c r="F16616">
        <v>1380057</v>
      </c>
      <c r="G16616" t="s">
        <v>26700</v>
      </c>
      <c r="H16616" s="21">
        <v>817.92</v>
      </c>
    </row>
    <row r="16617" spans="1:8" customFormat="1" x14ac:dyDescent="0.25">
      <c r="A16617" t="str">
        <f>"812066"</f>
        <v>812066</v>
      </c>
      <c r="B16617" t="s">
        <v>4652</v>
      </c>
      <c r="C16617" t="s">
        <v>87</v>
      </c>
      <c r="D16617" s="21" t="s">
        <v>34</v>
      </c>
      <c r="E16617" s="21" t="s">
        <v>71</v>
      </c>
      <c r="F16617">
        <v>11810031</v>
      </c>
      <c r="G16617" t="s">
        <v>15591</v>
      </c>
      <c r="H16617" s="21">
        <v>817.92</v>
      </c>
    </row>
    <row r="16618" spans="1:8" customFormat="1" x14ac:dyDescent="0.25">
      <c r="A16618" t="str">
        <f>"4435197"</f>
        <v>4435197</v>
      </c>
      <c r="B16618" t="s">
        <v>13460</v>
      </c>
      <c r="C16618" t="s">
        <v>879</v>
      </c>
      <c r="D16618" s="21" t="s">
        <v>34</v>
      </c>
      <c r="E16618" s="21" t="s">
        <v>71</v>
      </c>
      <c r="F16618">
        <v>12440012</v>
      </c>
      <c r="G16618" t="s">
        <v>807</v>
      </c>
      <c r="H16618" s="21">
        <v>817.92</v>
      </c>
    </row>
    <row r="16619" spans="1:8" customFormat="1" x14ac:dyDescent="0.25">
      <c r="A16619" t="str">
        <f>"417949"</f>
        <v>417949</v>
      </c>
      <c r="B16619" t="s">
        <v>14223</v>
      </c>
      <c r="C16619" t="s">
        <v>169</v>
      </c>
      <c r="D16619" s="21" t="s">
        <v>34</v>
      </c>
      <c r="E16619" s="21" t="s">
        <v>71</v>
      </c>
      <c r="F16619">
        <v>4410080</v>
      </c>
      <c r="G16619" t="s">
        <v>135</v>
      </c>
      <c r="H16619" s="21">
        <v>817.92</v>
      </c>
    </row>
    <row r="16620" spans="1:8" customFormat="1" x14ac:dyDescent="0.25">
      <c r="A16620" t="str">
        <f>"365767"</f>
        <v>365767</v>
      </c>
      <c r="B16620" t="s">
        <v>1574</v>
      </c>
      <c r="C16620" t="s">
        <v>249</v>
      </c>
      <c r="D16620" s="21" t="s">
        <v>34</v>
      </c>
      <c r="E16620" s="21" t="s">
        <v>35</v>
      </c>
      <c r="F16620">
        <v>4360707</v>
      </c>
      <c r="G16620" t="s">
        <v>6621</v>
      </c>
      <c r="H16620" s="21">
        <v>817.92</v>
      </c>
    </row>
    <row r="16621" spans="1:8" customFormat="1" x14ac:dyDescent="0.25">
      <c r="A16621" t="str">
        <f>"7819057"</f>
        <v>7819057</v>
      </c>
      <c r="B16621" t="s">
        <v>14384</v>
      </c>
      <c r="C16621" t="s">
        <v>263</v>
      </c>
      <c r="D16621" s="21" t="s">
        <v>34</v>
      </c>
      <c r="E16621" s="21" t="s">
        <v>71</v>
      </c>
      <c r="F16621">
        <v>8780447</v>
      </c>
      <c r="G16621" t="s">
        <v>9215</v>
      </c>
      <c r="H16621" s="21">
        <v>817.79</v>
      </c>
    </row>
    <row r="16622" spans="1:8" customFormat="1" x14ac:dyDescent="0.25">
      <c r="A16622" t="str">
        <f>"5615510"</f>
        <v>5615510</v>
      </c>
      <c r="B16622" t="s">
        <v>14097</v>
      </c>
      <c r="C16622" t="s">
        <v>320</v>
      </c>
      <c r="D16622" s="21" t="s">
        <v>34</v>
      </c>
      <c r="E16622" s="21" t="s">
        <v>71</v>
      </c>
      <c r="F16622">
        <v>3560053</v>
      </c>
      <c r="G16622" t="s">
        <v>298</v>
      </c>
      <c r="H16622" s="21">
        <v>817.67</v>
      </c>
    </row>
    <row r="16623" spans="1:8" customFormat="1" x14ac:dyDescent="0.25">
      <c r="A16623" t="str">
        <f>"682470"</f>
        <v>682470</v>
      </c>
      <c r="B16623" t="s">
        <v>3893</v>
      </c>
      <c r="C16623" t="s">
        <v>2907</v>
      </c>
      <c r="D16623" s="21" t="s">
        <v>34</v>
      </c>
      <c r="E16623" s="21" t="s">
        <v>71</v>
      </c>
      <c r="F16623">
        <v>6680006</v>
      </c>
      <c r="G16623" t="s">
        <v>5266</v>
      </c>
      <c r="H16623" s="21">
        <v>817.67</v>
      </c>
    </row>
    <row r="16624" spans="1:8" customFormat="1" x14ac:dyDescent="0.25">
      <c r="A16624" t="str">
        <f>"7516284"</f>
        <v>7516284</v>
      </c>
      <c r="B16624" t="s">
        <v>14295</v>
      </c>
      <c r="C16624" t="s">
        <v>55</v>
      </c>
      <c r="D16624" s="21" t="s">
        <v>34</v>
      </c>
      <c r="E16624" s="21" t="s">
        <v>71</v>
      </c>
      <c r="F16624">
        <v>8751271</v>
      </c>
      <c r="G16624" t="s">
        <v>1067</v>
      </c>
      <c r="H16624" s="21">
        <v>817.67</v>
      </c>
    </row>
    <row r="16625" spans="1:8" customFormat="1" x14ac:dyDescent="0.25">
      <c r="A16625" t="str">
        <f>"838844"</f>
        <v>838844</v>
      </c>
      <c r="B16625" t="s">
        <v>13615</v>
      </c>
      <c r="C16625" t="s">
        <v>124</v>
      </c>
      <c r="D16625" s="21" t="s">
        <v>34</v>
      </c>
      <c r="E16625" s="21" t="s">
        <v>71</v>
      </c>
      <c r="F16625">
        <v>13830022</v>
      </c>
      <c r="G16625" t="s">
        <v>633</v>
      </c>
      <c r="H16625" s="21">
        <v>817.67</v>
      </c>
    </row>
    <row r="16626" spans="1:8" customFormat="1" x14ac:dyDescent="0.25">
      <c r="A16626" t="str">
        <f>"372304"</f>
        <v>372304</v>
      </c>
      <c r="B16626" t="s">
        <v>13609</v>
      </c>
      <c r="C16626" t="s">
        <v>130</v>
      </c>
      <c r="D16626" s="21" t="s">
        <v>34</v>
      </c>
      <c r="E16626" s="21" t="s">
        <v>71</v>
      </c>
      <c r="F16626">
        <v>4370656</v>
      </c>
      <c r="G16626" t="s">
        <v>1127</v>
      </c>
      <c r="H16626" s="21">
        <v>817.67</v>
      </c>
    </row>
    <row r="16627" spans="1:8" customFormat="1" x14ac:dyDescent="0.25">
      <c r="A16627" t="str">
        <f>"479751"</f>
        <v>479751</v>
      </c>
      <c r="B16627" t="s">
        <v>592</v>
      </c>
      <c r="C16627" t="s">
        <v>187</v>
      </c>
      <c r="D16627" s="21" t="s">
        <v>34</v>
      </c>
      <c r="E16627" s="21" t="s">
        <v>35</v>
      </c>
      <c r="F16627">
        <v>10470002</v>
      </c>
      <c r="G16627" t="s">
        <v>13066</v>
      </c>
      <c r="H16627" s="21">
        <v>817.67</v>
      </c>
    </row>
    <row r="16628" spans="1:8" customFormat="1" x14ac:dyDescent="0.25">
      <c r="A16628" t="str">
        <f>"7813477"</f>
        <v>7813477</v>
      </c>
      <c r="B16628" t="s">
        <v>13111</v>
      </c>
      <c r="C16628" t="s">
        <v>151</v>
      </c>
      <c r="D16628" s="21" t="s">
        <v>34</v>
      </c>
      <c r="E16628" s="21" t="s">
        <v>254</v>
      </c>
      <c r="F16628">
        <v>8780108</v>
      </c>
      <c r="G16628" t="s">
        <v>4329</v>
      </c>
      <c r="H16628" s="21">
        <v>817.67</v>
      </c>
    </row>
    <row r="16629" spans="1:8" customFormat="1" x14ac:dyDescent="0.25">
      <c r="A16629" t="str">
        <f>"5932382"</f>
        <v>5932382</v>
      </c>
      <c r="B16629" t="s">
        <v>27444</v>
      </c>
      <c r="C16629" t="s">
        <v>6553</v>
      </c>
      <c r="D16629" s="21" t="s">
        <v>34</v>
      </c>
      <c r="E16629" s="21" t="s">
        <v>35</v>
      </c>
      <c r="F16629">
        <v>7590175</v>
      </c>
      <c r="G16629" t="s">
        <v>3063</v>
      </c>
      <c r="H16629" s="21">
        <v>817.67</v>
      </c>
    </row>
    <row r="16630" spans="1:8" customFormat="1" x14ac:dyDescent="0.25">
      <c r="A16630" t="str">
        <f>"5951351"</f>
        <v>5951351</v>
      </c>
      <c r="B16630" t="s">
        <v>13805</v>
      </c>
      <c r="C16630" t="s">
        <v>87</v>
      </c>
      <c r="D16630" s="21" t="s">
        <v>34</v>
      </c>
      <c r="E16630" s="21" t="s">
        <v>35</v>
      </c>
      <c r="F16630">
        <v>7590363</v>
      </c>
      <c r="G16630" t="s">
        <v>5167</v>
      </c>
      <c r="H16630" s="21">
        <v>817.67</v>
      </c>
    </row>
    <row r="16631" spans="1:8" customFormat="1" x14ac:dyDescent="0.25">
      <c r="A16631" t="str">
        <f>"9143974"</f>
        <v>9143974</v>
      </c>
      <c r="B16631" t="s">
        <v>1546</v>
      </c>
      <c r="C16631" t="s">
        <v>269</v>
      </c>
      <c r="D16631" s="21" t="s">
        <v>34</v>
      </c>
      <c r="E16631" s="21" t="s">
        <v>35</v>
      </c>
      <c r="F16631">
        <v>8910042</v>
      </c>
      <c r="G16631" t="s">
        <v>4009</v>
      </c>
      <c r="H16631" s="21">
        <v>817.67</v>
      </c>
    </row>
    <row r="16632" spans="1:8" customFormat="1" x14ac:dyDescent="0.25">
      <c r="A16632" t="str">
        <f>"535350"</f>
        <v>535350</v>
      </c>
      <c r="B16632" t="s">
        <v>13441</v>
      </c>
      <c r="C16632" t="s">
        <v>13442</v>
      </c>
      <c r="D16632" s="21" t="s">
        <v>34</v>
      </c>
      <c r="E16632" s="21" t="s">
        <v>254</v>
      </c>
      <c r="F16632">
        <v>12530010</v>
      </c>
      <c r="G16632" t="s">
        <v>7994</v>
      </c>
      <c r="H16632" s="21">
        <v>817.67</v>
      </c>
    </row>
    <row r="16633" spans="1:8" customFormat="1" x14ac:dyDescent="0.25">
      <c r="A16633" t="str">
        <f>"546995"</f>
        <v>546995</v>
      </c>
      <c r="B16633" t="s">
        <v>9204</v>
      </c>
      <c r="C16633" t="s">
        <v>381</v>
      </c>
      <c r="D16633" s="21" t="s">
        <v>34</v>
      </c>
      <c r="E16633" s="21" t="s">
        <v>35</v>
      </c>
      <c r="F16633">
        <v>7620031</v>
      </c>
      <c r="G16633" t="s">
        <v>2182</v>
      </c>
      <c r="H16633" s="21">
        <v>817.67</v>
      </c>
    </row>
    <row r="16634" spans="1:8" customFormat="1" x14ac:dyDescent="0.25">
      <c r="A16634" t="str">
        <f>"4927811"</f>
        <v>4927811</v>
      </c>
      <c r="B16634" t="s">
        <v>2854</v>
      </c>
      <c r="C16634" t="s">
        <v>55</v>
      </c>
      <c r="D16634" s="21" t="s">
        <v>34</v>
      </c>
      <c r="E16634" s="21" t="s">
        <v>71</v>
      </c>
      <c r="F16634">
        <v>12490058</v>
      </c>
      <c r="G16634" t="s">
        <v>6582</v>
      </c>
      <c r="H16634" s="21">
        <v>817.67</v>
      </c>
    </row>
    <row r="16635" spans="1:8" customFormat="1" x14ac:dyDescent="0.25">
      <c r="A16635" t="str">
        <f>"651404"</f>
        <v>651404</v>
      </c>
      <c r="B16635" t="s">
        <v>14040</v>
      </c>
      <c r="C16635" t="s">
        <v>2479</v>
      </c>
      <c r="D16635" s="21" t="s">
        <v>34</v>
      </c>
      <c r="E16635" s="21" t="s">
        <v>1089</v>
      </c>
      <c r="F16635">
        <v>11650014</v>
      </c>
      <c r="G16635" t="s">
        <v>9313</v>
      </c>
      <c r="H16635" s="21">
        <v>817.67</v>
      </c>
    </row>
    <row r="16636" spans="1:8" customFormat="1" x14ac:dyDescent="0.25">
      <c r="A16636" t="str">
        <f>"3512681"</f>
        <v>3512681</v>
      </c>
      <c r="B16636" t="s">
        <v>10709</v>
      </c>
      <c r="C16636" t="s">
        <v>253</v>
      </c>
      <c r="D16636" s="21" t="s">
        <v>34</v>
      </c>
      <c r="E16636" s="21" t="s">
        <v>71</v>
      </c>
      <c r="F16636">
        <v>12530090</v>
      </c>
      <c r="G16636" t="s">
        <v>6132</v>
      </c>
      <c r="H16636" s="21">
        <v>817.67</v>
      </c>
    </row>
    <row r="16637" spans="1:8" customFormat="1" x14ac:dyDescent="0.25">
      <c r="A16637" t="str">
        <f>"9754269"</f>
        <v>9754269</v>
      </c>
      <c r="B16637" t="s">
        <v>13780</v>
      </c>
      <c r="C16637" t="s">
        <v>236</v>
      </c>
      <c r="D16637" s="21" t="s">
        <v>34</v>
      </c>
      <c r="E16637" s="21" t="s">
        <v>71</v>
      </c>
      <c r="F16637" t="s">
        <v>5520</v>
      </c>
      <c r="G16637" t="s">
        <v>5521</v>
      </c>
      <c r="H16637" s="21">
        <v>817.67</v>
      </c>
    </row>
    <row r="16638" spans="1:8" customFormat="1" x14ac:dyDescent="0.25">
      <c r="A16638" t="str">
        <f>"456438"</f>
        <v>456438</v>
      </c>
      <c r="B16638" t="s">
        <v>14046</v>
      </c>
      <c r="C16638" t="s">
        <v>40</v>
      </c>
      <c r="D16638" s="21" t="s">
        <v>34</v>
      </c>
      <c r="E16638" s="21" t="s">
        <v>71</v>
      </c>
      <c r="F16638">
        <v>4450737</v>
      </c>
      <c r="G16638" t="s">
        <v>11798</v>
      </c>
      <c r="H16638" s="21">
        <v>817.67</v>
      </c>
    </row>
    <row r="16639" spans="1:8" customFormat="1" x14ac:dyDescent="0.25">
      <c r="A16639" t="str">
        <f>"50571"</f>
        <v>50571</v>
      </c>
      <c r="B16639" t="s">
        <v>14044</v>
      </c>
      <c r="C16639" t="s">
        <v>652</v>
      </c>
      <c r="D16639" s="21" t="s">
        <v>34</v>
      </c>
      <c r="E16639" s="21" t="s">
        <v>1089</v>
      </c>
      <c r="F16639">
        <v>9500027</v>
      </c>
      <c r="G16639" t="s">
        <v>6343</v>
      </c>
      <c r="H16639" s="21">
        <v>817.67</v>
      </c>
    </row>
    <row r="16640" spans="1:8" customFormat="1" x14ac:dyDescent="0.25">
      <c r="A16640" t="str">
        <f>"792568"</f>
        <v>792568</v>
      </c>
      <c r="B16640" t="s">
        <v>13890</v>
      </c>
      <c r="C16640" t="s">
        <v>1199</v>
      </c>
      <c r="D16640" s="21" t="s">
        <v>34</v>
      </c>
      <c r="E16640" s="21" t="s">
        <v>254</v>
      </c>
      <c r="F16640">
        <v>10790204</v>
      </c>
      <c r="G16640" t="s">
        <v>5681</v>
      </c>
      <c r="H16640" s="21">
        <v>817.67</v>
      </c>
    </row>
    <row r="16641" spans="1:8" customFormat="1" x14ac:dyDescent="0.25">
      <c r="A16641" t="str">
        <f>"888116"</f>
        <v>888116</v>
      </c>
      <c r="B16641" t="s">
        <v>14913</v>
      </c>
      <c r="C16641" t="s">
        <v>209</v>
      </c>
      <c r="D16641" s="21" t="s">
        <v>34</v>
      </c>
      <c r="E16641" s="21" t="s">
        <v>71</v>
      </c>
      <c r="F16641">
        <v>6880010</v>
      </c>
      <c r="G16641" t="s">
        <v>1029</v>
      </c>
      <c r="H16641" s="21">
        <v>817.67</v>
      </c>
    </row>
    <row r="16642" spans="1:8" customFormat="1" x14ac:dyDescent="0.25">
      <c r="A16642" t="str">
        <f>"168094"</f>
        <v>168094</v>
      </c>
      <c r="B16642" t="s">
        <v>21587</v>
      </c>
      <c r="C16642" t="s">
        <v>5384</v>
      </c>
      <c r="D16642" s="21" t="s">
        <v>34</v>
      </c>
      <c r="E16642" s="21" t="s">
        <v>35</v>
      </c>
      <c r="F16642">
        <v>10160069</v>
      </c>
      <c r="G16642" t="s">
        <v>5379</v>
      </c>
      <c r="H16642" s="21">
        <v>817.67</v>
      </c>
    </row>
    <row r="16643" spans="1:8" customFormat="1" x14ac:dyDescent="0.25">
      <c r="A16643" t="str">
        <f>"366835"</f>
        <v>366835</v>
      </c>
      <c r="B16643" t="s">
        <v>2189</v>
      </c>
      <c r="C16643" t="s">
        <v>285</v>
      </c>
      <c r="D16643" s="21" t="s">
        <v>34</v>
      </c>
      <c r="E16643" s="21" t="s">
        <v>35</v>
      </c>
      <c r="F16643">
        <v>4360729</v>
      </c>
      <c r="G16643" t="s">
        <v>15028</v>
      </c>
      <c r="H16643" s="21">
        <v>817.54</v>
      </c>
    </row>
    <row r="16644" spans="1:8" customFormat="1" x14ac:dyDescent="0.25">
      <c r="A16644" t="str">
        <f>"9229889"</f>
        <v>9229889</v>
      </c>
      <c r="B16644" t="s">
        <v>12318</v>
      </c>
      <c r="C16644" t="s">
        <v>209</v>
      </c>
      <c r="D16644" s="21" t="s">
        <v>34</v>
      </c>
      <c r="E16644" s="21" t="s">
        <v>71</v>
      </c>
      <c r="F16644">
        <v>8920503</v>
      </c>
      <c r="G16644" t="s">
        <v>9047</v>
      </c>
      <c r="H16644" s="21">
        <v>817.17</v>
      </c>
    </row>
    <row r="16645" spans="1:8" customFormat="1" x14ac:dyDescent="0.25">
      <c r="A16645" t="str">
        <f>"443467"</f>
        <v>443467</v>
      </c>
      <c r="B16645" t="s">
        <v>2210</v>
      </c>
      <c r="C16645" t="s">
        <v>14011</v>
      </c>
      <c r="D16645" s="21" t="s">
        <v>34</v>
      </c>
      <c r="E16645" s="21" t="s">
        <v>1089</v>
      </c>
      <c r="F16645">
        <v>12440197</v>
      </c>
      <c r="G16645" t="s">
        <v>1101</v>
      </c>
      <c r="H16645" s="21">
        <v>817.17</v>
      </c>
    </row>
    <row r="16646" spans="1:8" customFormat="1" x14ac:dyDescent="0.25">
      <c r="A16646" t="str">
        <f>"875895"</f>
        <v>875895</v>
      </c>
      <c r="B16646" t="s">
        <v>14733</v>
      </c>
      <c r="C16646" t="s">
        <v>169</v>
      </c>
      <c r="D16646" s="21" t="s">
        <v>34</v>
      </c>
      <c r="E16646" s="21" t="s">
        <v>71</v>
      </c>
      <c r="F16646">
        <v>10870109</v>
      </c>
      <c r="G16646" t="s">
        <v>5199</v>
      </c>
      <c r="H16646" s="21">
        <v>817.17</v>
      </c>
    </row>
    <row r="16647" spans="1:8" customFormat="1" x14ac:dyDescent="0.25">
      <c r="A16647" t="str">
        <f>"6010199"</f>
        <v>6010199</v>
      </c>
      <c r="B16647" t="s">
        <v>1576</v>
      </c>
      <c r="C16647" t="s">
        <v>33</v>
      </c>
      <c r="D16647" s="21" t="s">
        <v>34</v>
      </c>
      <c r="E16647" s="21" t="s">
        <v>35</v>
      </c>
      <c r="F16647">
        <v>7600141</v>
      </c>
      <c r="G16647" t="s">
        <v>3592</v>
      </c>
      <c r="H16647" s="21">
        <v>817.17</v>
      </c>
    </row>
    <row r="16648" spans="1:8" customFormat="1" x14ac:dyDescent="0.25">
      <c r="A16648" t="str">
        <f>"692304"</f>
        <v>692304</v>
      </c>
      <c r="B16648" t="s">
        <v>13706</v>
      </c>
      <c r="C16648" t="s">
        <v>156</v>
      </c>
      <c r="D16648" s="21" t="s">
        <v>34</v>
      </c>
      <c r="E16648" s="21" t="s">
        <v>6185</v>
      </c>
      <c r="F16648">
        <v>1690112</v>
      </c>
      <c r="G16648" t="s">
        <v>4084</v>
      </c>
      <c r="H16648" s="21">
        <v>817.17</v>
      </c>
    </row>
    <row r="16649" spans="1:8" customFormat="1" x14ac:dyDescent="0.25">
      <c r="A16649" t="str">
        <f>"243892"</f>
        <v>243892</v>
      </c>
      <c r="B16649" t="s">
        <v>2795</v>
      </c>
      <c r="C16649" t="s">
        <v>82</v>
      </c>
      <c r="D16649" s="21" t="s">
        <v>34</v>
      </c>
      <c r="E16649" s="21" t="s">
        <v>35</v>
      </c>
      <c r="F16649">
        <v>10240006</v>
      </c>
      <c r="G16649" t="s">
        <v>7296</v>
      </c>
      <c r="H16649" s="21">
        <v>817.17</v>
      </c>
    </row>
    <row r="16650" spans="1:8" customFormat="1" x14ac:dyDescent="0.25">
      <c r="A16650" t="str">
        <f>"517404"</f>
        <v>517404</v>
      </c>
      <c r="B16650" t="s">
        <v>15025</v>
      </c>
      <c r="C16650" t="s">
        <v>2520</v>
      </c>
      <c r="D16650" s="21" t="s">
        <v>34</v>
      </c>
      <c r="E16650" s="21" t="s">
        <v>254</v>
      </c>
      <c r="F16650">
        <v>6510004</v>
      </c>
      <c r="G16650" t="s">
        <v>9465</v>
      </c>
      <c r="H16650" s="21">
        <v>817.17</v>
      </c>
    </row>
    <row r="16651" spans="1:8" customFormat="1" x14ac:dyDescent="0.25">
      <c r="A16651" t="str">
        <f>"2514360"</f>
        <v>2514360</v>
      </c>
      <c r="B16651" t="s">
        <v>16122</v>
      </c>
      <c r="C16651" t="s">
        <v>1104</v>
      </c>
      <c r="D16651" s="21" t="s">
        <v>34</v>
      </c>
      <c r="E16651" s="21" t="s">
        <v>35</v>
      </c>
      <c r="F16651">
        <v>2250193</v>
      </c>
      <c r="G16651" t="s">
        <v>2584</v>
      </c>
      <c r="H16651" s="21">
        <v>817.17</v>
      </c>
    </row>
    <row r="16652" spans="1:8" customFormat="1" x14ac:dyDescent="0.25">
      <c r="A16652" t="str">
        <f>"5426584"</f>
        <v>5426584</v>
      </c>
      <c r="B16652" t="s">
        <v>14973</v>
      </c>
      <c r="C16652" t="s">
        <v>263</v>
      </c>
      <c r="D16652" s="21" t="s">
        <v>34</v>
      </c>
      <c r="E16652" s="21" t="s">
        <v>35</v>
      </c>
      <c r="F16652">
        <v>6540055</v>
      </c>
      <c r="G16652" t="s">
        <v>9080</v>
      </c>
      <c r="H16652" s="21">
        <v>817.17</v>
      </c>
    </row>
    <row r="16653" spans="1:8" customFormat="1" x14ac:dyDescent="0.25">
      <c r="A16653" t="str">
        <f>"7631459"</f>
        <v>7631459</v>
      </c>
      <c r="B16653" t="s">
        <v>5159</v>
      </c>
      <c r="C16653" t="s">
        <v>2305</v>
      </c>
      <c r="D16653" s="21" t="s">
        <v>34</v>
      </c>
      <c r="E16653" s="21" t="s">
        <v>71</v>
      </c>
      <c r="F16653">
        <v>9760352</v>
      </c>
      <c r="G16653" t="s">
        <v>7885</v>
      </c>
      <c r="H16653" s="21">
        <v>817.17</v>
      </c>
    </row>
    <row r="16654" spans="1:8" customFormat="1" x14ac:dyDescent="0.25">
      <c r="A16654" t="str">
        <f>"3713918"</f>
        <v>3713918</v>
      </c>
      <c r="B16654" t="s">
        <v>15969</v>
      </c>
      <c r="C16654" t="s">
        <v>169</v>
      </c>
      <c r="D16654" s="21" t="s">
        <v>34</v>
      </c>
      <c r="E16654" s="21" t="s">
        <v>71</v>
      </c>
      <c r="F16654">
        <v>4370146</v>
      </c>
      <c r="G16654" t="s">
        <v>10990</v>
      </c>
      <c r="H16654" s="21">
        <v>817.17</v>
      </c>
    </row>
    <row r="16655" spans="1:8" customFormat="1" x14ac:dyDescent="0.25">
      <c r="A16655" t="str">
        <f>"49223"</f>
        <v>49223</v>
      </c>
      <c r="B16655" t="s">
        <v>7122</v>
      </c>
      <c r="C16655" t="s">
        <v>267</v>
      </c>
      <c r="D16655" s="21" t="s">
        <v>34</v>
      </c>
      <c r="E16655" s="21" t="s">
        <v>1089</v>
      </c>
      <c r="F16655">
        <v>12490008</v>
      </c>
      <c r="G16655" t="s">
        <v>15452</v>
      </c>
      <c r="H16655" s="21">
        <v>817.17</v>
      </c>
    </row>
    <row r="16656" spans="1:8" customFormat="1" x14ac:dyDescent="0.25">
      <c r="A16656" t="str">
        <f>"823243"</f>
        <v>823243</v>
      </c>
      <c r="B16656" t="s">
        <v>14699</v>
      </c>
      <c r="C16656" t="s">
        <v>60</v>
      </c>
      <c r="D16656" s="21" t="s">
        <v>34</v>
      </c>
      <c r="E16656" s="21" t="s">
        <v>35</v>
      </c>
      <c r="F16656">
        <v>11820007</v>
      </c>
      <c r="G16656" t="s">
        <v>532</v>
      </c>
      <c r="H16656" s="21">
        <v>817.17</v>
      </c>
    </row>
    <row r="16657" spans="1:8" customFormat="1" x14ac:dyDescent="0.25">
      <c r="A16657" t="str">
        <f>"9111442"</f>
        <v>9111442</v>
      </c>
      <c r="B16657" t="s">
        <v>5733</v>
      </c>
      <c r="C16657" t="s">
        <v>812</v>
      </c>
      <c r="D16657" s="21" t="s">
        <v>34</v>
      </c>
      <c r="E16657" s="21" t="s">
        <v>254</v>
      </c>
      <c r="F16657">
        <v>8911395</v>
      </c>
      <c r="G16657" t="s">
        <v>8758</v>
      </c>
      <c r="H16657" s="21">
        <v>817.04</v>
      </c>
    </row>
    <row r="16658" spans="1:8" customFormat="1" x14ac:dyDescent="0.25">
      <c r="A16658" t="str">
        <f>"7414186"</f>
        <v>7414186</v>
      </c>
      <c r="B16658" t="s">
        <v>7443</v>
      </c>
      <c r="C16658" t="s">
        <v>87</v>
      </c>
      <c r="D16658" s="21" t="s">
        <v>34</v>
      </c>
      <c r="E16658" s="21" t="s">
        <v>35</v>
      </c>
      <c r="F16658">
        <v>1740001</v>
      </c>
      <c r="G16658" t="s">
        <v>347</v>
      </c>
      <c r="H16658" s="21">
        <v>817.04</v>
      </c>
    </row>
    <row r="16659" spans="1:8" customFormat="1" x14ac:dyDescent="0.25">
      <c r="A16659" t="str">
        <f>"0210233"</f>
        <v>0210233</v>
      </c>
      <c r="B16659" t="s">
        <v>16667</v>
      </c>
      <c r="C16659" t="s">
        <v>62</v>
      </c>
      <c r="D16659" s="21" t="s">
        <v>34</v>
      </c>
      <c r="E16659" s="21" t="s">
        <v>35</v>
      </c>
      <c r="F16659">
        <v>7021006</v>
      </c>
      <c r="G16659" t="s">
        <v>26948</v>
      </c>
      <c r="H16659" s="21">
        <v>817.04</v>
      </c>
    </row>
    <row r="16660" spans="1:8" customFormat="1" x14ac:dyDescent="0.25">
      <c r="A16660" t="str">
        <f>"3533226"</f>
        <v>3533226</v>
      </c>
      <c r="B16660" t="s">
        <v>16201</v>
      </c>
      <c r="C16660" t="s">
        <v>40</v>
      </c>
      <c r="D16660" s="21" t="s">
        <v>34</v>
      </c>
      <c r="E16660" s="21" t="s">
        <v>71</v>
      </c>
      <c r="F16660">
        <v>3350016</v>
      </c>
      <c r="G16660" t="s">
        <v>133</v>
      </c>
      <c r="H16660" s="21">
        <v>817.04</v>
      </c>
    </row>
    <row r="16661" spans="1:8" customFormat="1" x14ac:dyDescent="0.25">
      <c r="A16661" t="str">
        <f>"14829"</f>
        <v>14829</v>
      </c>
      <c r="B16661" t="s">
        <v>1500</v>
      </c>
      <c r="C16661" t="s">
        <v>267</v>
      </c>
      <c r="D16661" s="21" t="s">
        <v>34</v>
      </c>
      <c r="E16661" s="21" t="s">
        <v>71</v>
      </c>
      <c r="F16661">
        <v>9140072</v>
      </c>
      <c r="G16661" t="s">
        <v>4810</v>
      </c>
      <c r="H16661" s="21">
        <v>817.04</v>
      </c>
    </row>
    <row r="16662" spans="1:8" customFormat="1" x14ac:dyDescent="0.25">
      <c r="A16662" t="str">
        <f>"5944725"</f>
        <v>5944725</v>
      </c>
      <c r="B16662" t="s">
        <v>14906</v>
      </c>
      <c r="C16662" t="s">
        <v>1468</v>
      </c>
      <c r="D16662" s="21" t="s">
        <v>34</v>
      </c>
      <c r="E16662" s="21" t="s">
        <v>35</v>
      </c>
      <c r="F16662">
        <v>7590332</v>
      </c>
      <c r="G16662" t="s">
        <v>6094</v>
      </c>
      <c r="H16662" s="21">
        <v>817</v>
      </c>
    </row>
    <row r="16663" spans="1:8" customFormat="1" x14ac:dyDescent="0.25">
      <c r="A16663" t="str">
        <f>"8812703"</f>
        <v>8812703</v>
      </c>
      <c r="B16663" t="s">
        <v>14761</v>
      </c>
      <c r="C16663" t="s">
        <v>967</v>
      </c>
      <c r="D16663" s="21" t="s">
        <v>34</v>
      </c>
      <c r="E16663" s="21" t="s">
        <v>35</v>
      </c>
      <c r="F16663">
        <v>6880007</v>
      </c>
      <c r="G16663" t="s">
        <v>1039</v>
      </c>
      <c r="H16663" s="21">
        <v>816.92</v>
      </c>
    </row>
    <row r="16664" spans="1:8" customFormat="1" x14ac:dyDescent="0.25">
      <c r="A16664" t="str">
        <f>"3828549"</f>
        <v>3828549</v>
      </c>
      <c r="B16664" t="s">
        <v>17060</v>
      </c>
      <c r="C16664" t="s">
        <v>236</v>
      </c>
      <c r="D16664" s="21" t="s">
        <v>34</v>
      </c>
      <c r="E16664" s="21" t="s">
        <v>71</v>
      </c>
      <c r="F16664">
        <v>1380273</v>
      </c>
      <c r="G16664" t="s">
        <v>7554</v>
      </c>
      <c r="H16664" s="21">
        <v>816.79</v>
      </c>
    </row>
    <row r="16665" spans="1:8" customFormat="1" x14ac:dyDescent="0.25">
      <c r="A16665" t="str">
        <f>"088264"</f>
        <v>088264</v>
      </c>
      <c r="B16665" t="s">
        <v>12849</v>
      </c>
      <c r="C16665" t="s">
        <v>33</v>
      </c>
      <c r="D16665" s="21" t="s">
        <v>34</v>
      </c>
      <c r="E16665" s="21" t="s">
        <v>35</v>
      </c>
      <c r="F16665">
        <v>6080003</v>
      </c>
      <c r="G16665" t="s">
        <v>11899</v>
      </c>
      <c r="H16665" s="21">
        <v>816.67</v>
      </c>
    </row>
    <row r="16666" spans="1:8" customFormat="1" x14ac:dyDescent="0.25">
      <c r="A16666" t="str">
        <f>"308986"</f>
        <v>308986</v>
      </c>
      <c r="B16666" t="s">
        <v>13940</v>
      </c>
      <c r="C16666" t="s">
        <v>13941</v>
      </c>
      <c r="D16666" s="21" t="s">
        <v>34</v>
      </c>
      <c r="E16666" s="21" t="s">
        <v>71</v>
      </c>
      <c r="F16666">
        <v>11300025</v>
      </c>
      <c r="G16666" t="s">
        <v>1211</v>
      </c>
      <c r="H16666" s="21">
        <v>816.67</v>
      </c>
    </row>
    <row r="16667" spans="1:8" customFormat="1" x14ac:dyDescent="0.25">
      <c r="A16667" t="str">
        <f>"1410021"</f>
        <v>1410021</v>
      </c>
      <c r="B16667" t="s">
        <v>1986</v>
      </c>
      <c r="C16667" t="s">
        <v>139</v>
      </c>
      <c r="D16667" s="21" t="s">
        <v>34</v>
      </c>
      <c r="E16667" s="21" t="s">
        <v>35</v>
      </c>
      <c r="F16667">
        <v>9610136</v>
      </c>
      <c r="G16667" t="s">
        <v>6052</v>
      </c>
      <c r="H16667" s="21">
        <v>816.67</v>
      </c>
    </row>
    <row r="16668" spans="1:8" customFormat="1" x14ac:dyDescent="0.25">
      <c r="A16668" t="str">
        <f>"70138"</f>
        <v>70138</v>
      </c>
      <c r="B16668" t="s">
        <v>13854</v>
      </c>
      <c r="C16668" t="s">
        <v>4842</v>
      </c>
      <c r="D16668" s="21" t="s">
        <v>34</v>
      </c>
      <c r="E16668" s="21" t="s">
        <v>1089</v>
      </c>
      <c r="F16668">
        <v>2700014</v>
      </c>
      <c r="G16668" t="s">
        <v>7714</v>
      </c>
      <c r="H16668" s="21">
        <v>816.67</v>
      </c>
    </row>
    <row r="16669" spans="1:8" customFormat="1" x14ac:dyDescent="0.25">
      <c r="A16669" t="str">
        <f>"757964"</f>
        <v>757964</v>
      </c>
      <c r="B16669" t="s">
        <v>13580</v>
      </c>
      <c r="C16669" t="s">
        <v>13581</v>
      </c>
      <c r="D16669" s="21" t="s">
        <v>34</v>
      </c>
      <c r="E16669" s="21" t="s">
        <v>254</v>
      </c>
      <c r="F16669">
        <v>8950103</v>
      </c>
      <c r="G16669" t="s">
        <v>440</v>
      </c>
      <c r="H16669" s="21">
        <v>816.67</v>
      </c>
    </row>
    <row r="16670" spans="1:8" customFormat="1" x14ac:dyDescent="0.25">
      <c r="A16670" t="str">
        <f>"5316920"</f>
        <v>5316920</v>
      </c>
      <c r="B16670" t="s">
        <v>13470</v>
      </c>
      <c r="C16670" t="s">
        <v>209</v>
      </c>
      <c r="D16670" s="21" t="s">
        <v>34</v>
      </c>
      <c r="E16670" s="21" t="s">
        <v>35</v>
      </c>
      <c r="F16670">
        <v>12530096</v>
      </c>
      <c r="G16670" t="s">
        <v>8595</v>
      </c>
      <c r="H16670" s="21">
        <v>816.67</v>
      </c>
    </row>
    <row r="16671" spans="1:8" customFormat="1" x14ac:dyDescent="0.25">
      <c r="A16671" t="str">
        <f>"691832"</f>
        <v>691832</v>
      </c>
      <c r="B16671" t="s">
        <v>14797</v>
      </c>
      <c r="C16671" t="s">
        <v>3073</v>
      </c>
      <c r="D16671" s="21" t="s">
        <v>34</v>
      </c>
      <c r="E16671" s="21" t="s">
        <v>254</v>
      </c>
      <c r="F16671">
        <v>2710041</v>
      </c>
      <c r="G16671" t="s">
        <v>389</v>
      </c>
      <c r="H16671" s="21">
        <v>816.67</v>
      </c>
    </row>
    <row r="16672" spans="1:8" customFormat="1" x14ac:dyDescent="0.25">
      <c r="A16672" t="str">
        <f>"02634"</f>
        <v>02634</v>
      </c>
      <c r="B16672" t="s">
        <v>5486</v>
      </c>
      <c r="C16672" t="s">
        <v>40</v>
      </c>
      <c r="D16672" s="21" t="s">
        <v>34</v>
      </c>
      <c r="E16672" s="21" t="s">
        <v>254</v>
      </c>
      <c r="F16672">
        <v>7020014</v>
      </c>
      <c r="G16672" t="s">
        <v>10400</v>
      </c>
      <c r="H16672" s="21">
        <v>816.67</v>
      </c>
    </row>
    <row r="16673" spans="1:8" customFormat="1" x14ac:dyDescent="0.25">
      <c r="A16673" t="str">
        <f>"1418249"</f>
        <v>1418249</v>
      </c>
      <c r="B16673" t="s">
        <v>3428</v>
      </c>
      <c r="C16673" t="s">
        <v>109</v>
      </c>
      <c r="D16673" s="21" t="s">
        <v>34</v>
      </c>
      <c r="E16673" s="21" t="s">
        <v>35</v>
      </c>
      <c r="F16673">
        <v>9140162</v>
      </c>
      <c r="G16673" t="s">
        <v>7663</v>
      </c>
      <c r="H16673" s="21">
        <v>816.67</v>
      </c>
    </row>
    <row r="16674" spans="1:8" customFormat="1" x14ac:dyDescent="0.25">
      <c r="A16674" t="str">
        <f>"62476"</f>
        <v>62476</v>
      </c>
      <c r="B16674" t="s">
        <v>14757</v>
      </c>
      <c r="C16674" t="s">
        <v>2546</v>
      </c>
      <c r="D16674" s="21" t="s">
        <v>34</v>
      </c>
      <c r="E16674" s="21" t="s">
        <v>254</v>
      </c>
      <c r="F16674">
        <v>7620139</v>
      </c>
      <c r="G16674" t="s">
        <v>2061</v>
      </c>
      <c r="H16674" s="21">
        <v>816.67</v>
      </c>
    </row>
    <row r="16675" spans="1:8" customFormat="1" x14ac:dyDescent="0.25">
      <c r="A16675" t="str">
        <f>"7213570"</f>
        <v>7213570</v>
      </c>
      <c r="B16675" t="s">
        <v>14608</v>
      </c>
      <c r="C16675" t="s">
        <v>87</v>
      </c>
      <c r="D16675" s="21" t="s">
        <v>34</v>
      </c>
      <c r="E16675" s="21" t="s">
        <v>35</v>
      </c>
      <c r="F16675">
        <v>12720104</v>
      </c>
      <c r="G16675" t="s">
        <v>224</v>
      </c>
      <c r="H16675" s="21">
        <v>816.67</v>
      </c>
    </row>
    <row r="16676" spans="1:8" customFormat="1" x14ac:dyDescent="0.25">
      <c r="A16676" t="str">
        <f>"7631551"</f>
        <v>7631551</v>
      </c>
      <c r="B16676" t="s">
        <v>9048</v>
      </c>
      <c r="C16676" t="s">
        <v>249</v>
      </c>
      <c r="D16676" s="21" t="s">
        <v>34</v>
      </c>
      <c r="E16676" s="21" t="s">
        <v>71</v>
      </c>
      <c r="F16676">
        <v>9760167</v>
      </c>
      <c r="G16676" t="s">
        <v>13836</v>
      </c>
      <c r="H16676" s="21">
        <v>816.67</v>
      </c>
    </row>
    <row r="16677" spans="1:8" customFormat="1" x14ac:dyDescent="0.25">
      <c r="A16677" t="str">
        <f>"7632909"</f>
        <v>7632909</v>
      </c>
      <c r="B16677" t="s">
        <v>4904</v>
      </c>
      <c r="C16677" t="s">
        <v>1325</v>
      </c>
      <c r="D16677" s="21" t="s">
        <v>34</v>
      </c>
      <c r="E16677" s="21" t="s">
        <v>35</v>
      </c>
      <c r="F16677">
        <v>9760374</v>
      </c>
      <c r="G16677" t="s">
        <v>6867</v>
      </c>
      <c r="H16677" s="21">
        <v>816.67</v>
      </c>
    </row>
    <row r="16678" spans="1:8" customFormat="1" x14ac:dyDescent="0.25">
      <c r="A16678" t="str">
        <f>"133089"</f>
        <v>133089</v>
      </c>
      <c r="B16678" t="s">
        <v>14234</v>
      </c>
      <c r="C16678" t="s">
        <v>1914</v>
      </c>
      <c r="D16678" s="21" t="s">
        <v>34</v>
      </c>
      <c r="E16678" s="21" t="s">
        <v>71</v>
      </c>
      <c r="F16678">
        <v>13130049</v>
      </c>
      <c r="G16678" t="s">
        <v>13169</v>
      </c>
      <c r="H16678" s="21">
        <v>816.67</v>
      </c>
    </row>
    <row r="16679" spans="1:8" customFormat="1" x14ac:dyDescent="0.25">
      <c r="A16679" t="str">
        <f>"9534039"</f>
        <v>9534039</v>
      </c>
      <c r="B16679" t="s">
        <v>1263</v>
      </c>
      <c r="C16679" t="s">
        <v>1489</v>
      </c>
      <c r="D16679" s="21" t="s">
        <v>34</v>
      </c>
      <c r="E16679" s="21" t="s">
        <v>71</v>
      </c>
      <c r="F16679">
        <v>8951092</v>
      </c>
      <c r="G16679" t="s">
        <v>5801</v>
      </c>
      <c r="H16679" s="21">
        <v>816.67</v>
      </c>
    </row>
    <row r="16680" spans="1:8" customFormat="1" x14ac:dyDescent="0.25">
      <c r="A16680" t="str">
        <f>"7830458"</f>
        <v>7830458</v>
      </c>
      <c r="B16680" t="s">
        <v>6357</v>
      </c>
      <c r="C16680" t="s">
        <v>87</v>
      </c>
      <c r="D16680" s="21" t="s">
        <v>34</v>
      </c>
      <c r="E16680" s="21" t="s">
        <v>71</v>
      </c>
      <c r="F16680">
        <v>8781473</v>
      </c>
      <c r="G16680" t="s">
        <v>1097</v>
      </c>
      <c r="H16680" s="21">
        <v>816.67</v>
      </c>
    </row>
    <row r="16681" spans="1:8" customFormat="1" x14ac:dyDescent="0.25">
      <c r="A16681" t="str">
        <f>"8515386"</f>
        <v>8515386</v>
      </c>
      <c r="B16681" t="s">
        <v>11981</v>
      </c>
      <c r="C16681" t="s">
        <v>664</v>
      </c>
      <c r="D16681" s="21" t="s">
        <v>34</v>
      </c>
      <c r="E16681" s="21" t="s">
        <v>71</v>
      </c>
      <c r="F16681">
        <v>12850109</v>
      </c>
      <c r="G16681" t="s">
        <v>2714</v>
      </c>
      <c r="H16681" s="21">
        <v>816.67</v>
      </c>
    </row>
    <row r="16682" spans="1:8" customFormat="1" x14ac:dyDescent="0.25">
      <c r="A16682" t="str">
        <f>"8520384"</f>
        <v>8520384</v>
      </c>
      <c r="B16682" t="s">
        <v>15044</v>
      </c>
      <c r="C16682" t="s">
        <v>87</v>
      </c>
      <c r="D16682" s="21" t="s">
        <v>34</v>
      </c>
      <c r="E16682" s="21" t="s">
        <v>35</v>
      </c>
      <c r="F16682">
        <v>12850162</v>
      </c>
      <c r="G16682" t="s">
        <v>15095</v>
      </c>
      <c r="H16682" s="21">
        <v>816.67</v>
      </c>
    </row>
    <row r="16683" spans="1:8" customFormat="1" x14ac:dyDescent="0.25">
      <c r="A16683" t="str">
        <f>"6715282"</f>
        <v>6715282</v>
      </c>
      <c r="B16683" t="s">
        <v>15687</v>
      </c>
      <c r="C16683" t="s">
        <v>15688</v>
      </c>
      <c r="D16683" s="21" t="s">
        <v>34</v>
      </c>
      <c r="E16683" s="21" t="s">
        <v>35</v>
      </c>
      <c r="F16683">
        <v>6680011</v>
      </c>
      <c r="G16683" t="s">
        <v>1524</v>
      </c>
      <c r="H16683" s="21">
        <v>816.67</v>
      </c>
    </row>
    <row r="16684" spans="1:8" customFormat="1" x14ac:dyDescent="0.25">
      <c r="A16684" t="str">
        <f>"6314916"</f>
        <v>6314916</v>
      </c>
      <c r="B16684" t="s">
        <v>15650</v>
      </c>
      <c r="C16684" t="s">
        <v>656</v>
      </c>
      <c r="D16684" s="21" t="s">
        <v>34</v>
      </c>
      <c r="E16684" s="21" t="s">
        <v>35</v>
      </c>
      <c r="F16684">
        <v>1630327</v>
      </c>
      <c r="G16684" t="s">
        <v>13353</v>
      </c>
      <c r="H16684" s="21">
        <v>816.67</v>
      </c>
    </row>
    <row r="16685" spans="1:8" customFormat="1" x14ac:dyDescent="0.25">
      <c r="A16685" t="str">
        <f>"243819"</f>
        <v>243819</v>
      </c>
      <c r="B16685" t="s">
        <v>13897</v>
      </c>
      <c r="C16685" t="s">
        <v>1271</v>
      </c>
      <c r="D16685" s="21" t="s">
        <v>34</v>
      </c>
      <c r="E16685" s="21" t="s">
        <v>1089</v>
      </c>
      <c r="F16685">
        <v>6670195</v>
      </c>
      <c r="G16685" t="s">
        <v>3974</v>
      </c>
      <c r="H16685" s="21">
        <v>816.67</v>
      </c>
    </row>
    <row r="16686" spans="1:8" customFormat="1" x14ac:dyDescent="0.25">
      <c r="A16686" t="str">
        <f>"578726"</f>
        <v>578726</v>
      </c>
      <c r="B16686" t="s">
        <v>14350</v>
      </c>
      <c r="C16686" t="s">
        <v>379</v>
      </c>
      <c r="D16686" s="21" t="s">
        <v>34</v>
      </c>
      <c r="E16686" s="21" t="s">
        <v>1089</v>
      </c>
      <c r="F16686">
        <v>6570174</v>
      </c>
      <c r="G16686" t="s">
        <v>12454</v>
      </c>
      <c r="H16686" s="21">
        <v>816.67</v>
      </c>
    </row>
    <row r="16687" spans="1:8" customFormat="1" x14ac:dyDescent="0.25">
      <c r="A16687" t="str">
        <f>"8512587"</f>
        <v>8512587</v>
      </c>
      <c r="B16687" t="s">
        <v>13891</v>
      </c>
      <c r="C16687" t="s">
        <v>204</v>
      </c>
      <c r="D16687" s="21" t="s">
        <v>34</v>
      </c>
      <c r="E16687" s="21" t="s">
        <v>71</v>
      </c>
      <c r="F16687">
        <v>12851012</v>
      </c>
      <c r="G16687" t="s">
        <v>1963</v>
      </c>
      <c r="H16687" s="21">
        <v>816.67</v>
      </c>
    </row>
    <row r="16688" spans="1:8" customFormat="1" x14ac:dyDescent="0.25">
      <c r="A16688" t="str">
        <f>"6315249"</f>
        <v>6315249</v>
      </c>
      <c r="B16688" t="s">
        <v>4711</v>
      </c>
      <c r="C16688" t="s">
        <v>87</v>
      </c>
      <c r="D16688" s="21" t="s">
        <v>34</v>
      </c>
      <c r="E16688" s="21" t="s">
        <v>35</v>
      </c>
      <c r="F16688">
        <v>1260054</v>
      </c>
      <c r="G16688" t="s">
        <v>358</v>
      </c>
      <c r="H16688" s="21">
        <v>816.67</v>
      </c>
    </row>
    <row r="16689" spans="1:8" customFormat="1" x14ac:dyDescent="0.25">
      <c r="A16689" t="str">
        <f>"317369"</f>
        <v>317369</v>
      </c>
      <c r="B16689" t="s">
        <v>16150</v>
      </c>
      <c r="C16689" t="s">
        <v>412</v>
      </c>
      <c r="D16689" s="21" t="s">
        <v>34</v>
      </c>
      <c r="E16689" s="21" t="s">
        <v>1089</v>
      </c>
      <c r="F16689">
        <v>11340071</v>
      </c>
      <c r="G16689" t="s">
        <v>17733</v>
      </c>
      <c r="H16689" s="21">
        <v>816.67</v>
      </c>
    </row>
    <row r="16690" spans="1:8" customFormat="1" x14ac:dyDescent="0.25">
      <c r="A16690" t="str">
        <f>"103312"</f>
        <v>103312</v>
      </c>
      <c r="B16690" t="s">
        <v>14421</v>
      </c>
      <c r="C16690" t="s">
        <v>1110</v>
      </c>
      <c r="D16690" s="21" t="s">
        <v>34</v>
      </c>
      <c r="E16690" s="21" t="s">
        <v>254</v>
      </c>
      <c r="F16690">
        <v>6100002</v>
      </c>
      <c r="G16690" t="s">
        <v>1602</v>
      </c>
      <c r="H16690" s="21">
        <v>816.67</v>
      </c>
    </row>
    <row r="16691" spans="1:8" customFormat="1" x14ac:dyDescent="0.25">
      <c r="A16691" t="str">
        <f>"3823437"</f>
        <v>3823437</v>
      </c>
      <c r="B16691" t="s">
        <v>13843</v>
      </c>
      <c r="C16691" t="s">
        <v>43</v>
      </c>
      <c r="D16691" s="21" t="s">
        <v>34</v>
      </c>
      <c r="E16691" s="21" t="s">
        <v>35</v>
      </c>
      <c r="F16691">
        <v>1380076</v>
      </c>
      <c r="G16691" t="s">
        <v>8543</v>
      </c>
      <c r="H16691" s="21">
        <v>816.67</v>
      </c>
    </row>
    <row r="16692" spans="1:8" customFormat="1" x14ac:dyDescent="0.25">
      <c r="A16692" t="str">
        <f>"8312412"</f>
        <v>8312412</v>
      </c>
      <c r="B16692" t="s">
        <v>7636</v>
      </c>
      <c r="C16692" t="s">
        <v>269</v>
      </c>
      <c r="D16692" s="21" t="s">
        <v>34</v>
      </c>
      <c r="E16692" s="21" t="s">
        <v>254</v>
      </c>
      <c r="F16692">
        <v>13830022</v>
      </c>
      <c r="G16692" t="s">
        <v>633</v>
      </c>
      <c r="H16692" s="21">
        <v>816.67</v>
      </c>
    </row>
    <row r="16693" spans="1:8" customFormat="1" x14ac:dyDescent="0.25">
      <c r="A16693" t="str">
        <f>"7619343"</f>
        <v>7619343</v>
      </c>
      <c r="B16693" t="s">
        <v>14319</v>
      </c>
      <c r="C16693" t="s">
        <v>1100</v>
      </c>
      <c r="D16693" s="21" t="s">
        <v>34</v>
      </c>
      <c r="E16693" s="21" t="s">
        <v>71</v>
      </c>
      <c r="F16693">
        <v>9760004</v>
      </c>
      <c r="G16693" t="s">
        <v>56</v>
      </c>
      <c r="H16693" s="21">
        <v>816.67</v>
      </c>
    </row>
    <row r="16694" spans="1:8" customFormat="1" x14ac:dyDescent="0.25">
      <c r="A16694" t="str">
        <f>"3712938"</f>
        <v>3712938</v>
      </c>
      <c r="B16694" t="s">
        <v>14232</v>
      </c>
      <c r="C16694" t="s">
        <v>1110</v>
      </c>
      <c r="D16694" s="21" t="s">
        <v>34</v>
      </c>
      <c r="E16694" s="21" t="s">
        <v>71</v>
      </c>
      <c r="F16694">
        <v>4370425</v>
      </c>
      <c r="G16694" t="s">
        <v>7812</v>
      </c>
      <c r="H16694" s="21">
        <v>816.67</v>
      </c>
    </row>
    <row r="16695" spans="1:8" customFormat="1" x14ac:dyDescent="0.25">
      <c r="A16695" t="str">
        <f>"662136"</f>
        <v>662136</v>
      </c>
      <c r="B16695" t="s">
        <v>5729</v>
      </c>
      <c r="C16695" t="s">
        <v>169</v>
      </c>
      <c r="D16695" s="21" t="s">
        <v>34</v>
      </c>
      <c r="E16695" s="21" t="s">
        <v>35</v>
      </c>
      <c r="F16695">
        <v>11660019</v>
      </c>
      <c r="G16695" t="s">
        <v>6292</v>
      </c>
      <c r="H16695" s="21">
        <v>816.67</v>
      </c>
    </row>
    <row r="16696" spans="1:8" customFormat="1" x14ac:dyDescent="0.25">
      <c r="A16696" t="str">
        <f>"417829"</f>
        <v>417829</v>
      </c>
      <c r="B16696" t="s">
        <v>14426</v>
      </c>
      <c r="C16696" t="s">
        <v>812</v>
      </c>
      <c r="D16696" s="21" t="s">
        <v>34</v>
      </c>
      <c r="E16696" s="21" t="s">
        <v>35</v>
      </c>
      <c r="F16696">
        <v>4410418</v>
      </c>
      <c r="G16696" t="s">
        <v>14427</v>
      </c>
      <c r="H16696" s="21">
        <v>816.54</v>
      </c>
    </row>
    <row r="16697" spans="1:8" customFormat="1" x14ac:dyDescent="0.25">
      <c r="A16697" t="str">
        <f>"5325685"</f>
        <v>5325685</v>
      </c>
      <c r="B16697" t="s">
        <v>19143</v>
      </c>
      <c r="C16697" t="s">
        <v>951</v>
      </c>
      <c r="D16697" s="21" t="s">
        <v>34</v>
      </c>
      <c r="E16697" s="21" t="s">
        <v>35</v>
      </c>
      <c r="F16697">
        <v>12530003</v>
      </c>
      <c r="G16697" t="s">
        <v>8260</v>
      </c>
      <c r="H16697" s="21">
        <v>816.42</v>
      </c>
    </row>
    <row r="16698" spans="1:8" customFormat="1" x14ac:dyDescent="0.25">
      <c r="A16698" t="str">
        <f>"6218310"</f>
        <v>6218310</v>
      </c>
      <c r="B16698" t="s">
        <v>5504</v>
      </c>
      <c r="C16698" t="s">
        <v>204</v>
      </c>
      <c r="D16698" s="21" t="s">
        <v>34</v>
      </c>
      <c r="E16698" s="21" t="s">
        <v>35</v>
      </c>
      <c r="F16698">
        <v>7620104</v>
      </c>
      <c r="G16698" t="s">
        <v>635</v>
      </c>
      <c r="H16698" s="21">
        <v>816.42</v>
      </c>
    </row>
    <row r="16699" spans="1:8" customFormat="1" x14ac:dyDescent="0.25">
      <c r="A16699" t="str">
        <f>"7614207"</f>
        <v>7614207</v>
      </c>
      <c r="B16699" t="s">
        <v>13965</v>
      </c>
      <c r="C16699" t="s">
        <v>253</v>
      </c>
      <c r="D16699" s="21" t="s">
        <v>34</v>
      </c>
      <c r="E16699" s="21" t="s">
        <v>254</v>
      </c>
      <c r="F16699">
        <v>9760127</v>
      </c>
      <c r="G16699" t="s">
        <v>7132</v>
      </c>
      <c r="H16699" s="21">
        <v>816.42</v>
      </c>
    </row>
    <row r="16700" spans="1:8" customFormat="1" x14ac:dyDescent="0.25">
      <c r="A16700" t="str">
        <f>"9127449"</f>
        <v>9127449</v>
      </c>
      <c r="B16700" t="s">
        <v>13498</v>
      </c>
      <c r="C16700" t="s">
        <v>2520</v>
      </c>
      <c r="D16700" s="21" t="s">
        <v>34</v>
      </c>
      <c r="E16700" s="21" t="s">
        <v>254</v>
      </c>
      <c r="F16700">
        <v>8911050</v>
      </c>
      <c r="G16700" t="s">
        <v>1606</v>
      </c>
      <c r="H16700" s="21">
        <v>816.42</v>
      </c>
    </row>
    <row r="16701" spans="1:8" customFormat="1" x14ac:dyDescent="0.25">
      <c r="A16701" t="str">
        <f>"3326238"</f>
        <v>3326238</v>
      </c>
      <c r="B16701" t="s">
        <v>13829</v>
      </c>
      <c r="C16701" t="s">
        <v>55</v>
      </c>
      <c r="D16701" s="21" t="s">
        <v>34</v>
      </c>
      <c r="E16701" s="21" t="s">
        <v>71</v>
      </c>
      <c r="F16701">
        <v>10330022</v>
      </c>
      <c r="G16701" t="s">
        <v>1830</v>
      </c>
      <c r="H16701" s="21">
        <v>816.29</v>
      </c>
    </row>
    <row r="16702" spans="1:8" customFormat="1" x14ac:dyDescent="0.25">
      <c r="A16702" t="str">
        <f>"2211660"</f>
        <v>2211660</v>
      </c>
      <c r="B16702" t="s">
        <v>582</v>
      </c>
      <c r="C16702" t="s">
        <v>8491</v>
      </c>
      <c r="D16702" s="21" t="s">
        <v>34</v>
      </c>
      <c r="E16702" s="21" t="s">
        <v>35</v>
      </c>
      <c r="F16702">
        <v>7800108</v>
      </c>
      <c r="G16702" t="s">
        <v>13093</v>
      </c>
      <c r="H16702" s="21">
        <v>816.17</v>
      </c>
    </row>
    <row r="16703" spans="1:8" customFormat="1" x14ac:dyDescent="0.25">
      <c r="A16703" t="str">
        <f>"735502"</f>
        <v>735502</v>
      </c>
      <c r="B16703" t="s">
        <v>27445</v>
      </c>
      <c r="C16703" t="s">
        <v>209</v>
      </c>
      <c r="D16703" s="21" t="s">
        <v>34</v>
      </c>
      <c r="E16703" s="21" t="s">
        <v>35</v>
      </c>
      <c r="F16703">
        <v>1730068</v>
      </c>
      <c r="G16703" t="s">
        <v>3375</v>
      </c>
      <c r="H16703" s="21">
        <v>816.17</v>
      </c>
    </row>
    <row r="16704" spans="1:8" customFormat="1" x14ac:dyDescent="0.25">
      <c r="A16704" t="str">
        <f>"2511362"</f>
        <v>2511362</v>
      </c>
      <c r="B16704" t="s">
        <v>13971</v>
      </c>
      <c r="C16704" t="s">
        <v>33</v>
      </c>
      <c r="D16704" s="21" t="s">
        <v>34</v>
      </c>
      <c r="E16704" s="21" t="s">
        <v>35</v>
      </c>
      <c r="F16704">
        <v>2390082</v>
      </c>
      <c r="G16704" t="s">
        <v>3343</v>
      </c>
      <c r="H16704" s="21">
        <v>816.17</v>
      </c>
    </row>
    <row r="16705" spans="1:8" customFormat="1" x14ac:dyDescent="0.25">
      <c r="A16705" t="str">
        <f>"6016298"</f>
        <v>6016298</v>
      </c>
      <c r="B16705" t="s">
        <v>14714</v>
      </c>
      <c r="C16705" t="s">
        <v>621</v>
      </c>
      <c r="D16705" s="21" t="s">
        <v>34</v>
      </c>
      <c r="E16705" s="21" t="s">
        <v>35</v>
      </c>
      <c r="F16705">
        <v>7600031</v>
      </c>
      <c r="G16705" t="s">
        <v>3283</v>
      </c>
      <c r="H16705" s="21">
        <v>816.17</v>
      </c>
    </row>
    <row r="16706" spans="1:8" customFormat="1" x14ac:dyDescent="0.25">
      <c r="A16706" t="str">
        <f>"7857937"</f>
        <v>7857937</v>
      </c>
      <c r="B16706" t="s">
        <v>5570</v>
      </c>
      <c r="C16706" t="s">
        <v>288</v>
      </c>
      <c r="D16706" s="21" t="s">
        <v>34</v>
      </c>
      <c r="E16706" s="21" t="s">
        <v>35</v>
      </c>
      <c r="F16706">
        <v>8781467</v>
      </c>
      <c r="G16706" t="s">
        <v>3838</v>
      </c>
      <c r="H16706" s="21">
        <v>816.17</v>
      </c>
    </row>
    <row r="16707" spans="1:8" customFormat="1" x14ac:dyDescent="0.25">
      <c r="A16707" t="str">
        <f>"5936040"</f>
        <v>5936040</v>
      </c>
      <c r="B16707" t="s">
        <v>3703</v>
      </c>
      <c r="C16707" t="s">
        <v>43</v>
      </c>
      <c r="D16707" s="21" t="s">
        <v>34</v>
      </c>
      <c r="E16707" s="21" t="s">
        <v>35</v>
      </c>
      <c r="F16707">
        <v>7590106</v>
      </c>
      <c r="G16707" t="s">
        <v>4790</v>
      </c>
      <c r="H16707" s="21">
        <v>816.17</v>
      </c>
    </row>
    <row r="16708" spans="1:8" customFormat="1" x14ac:dyDescent="0.25">
      <c r="A16708" t="str">
        <f>"068332"</f>
        <v>068332</v>
      </c>
      <c r="B16708" t="s">
        <v>14221</v>
      </c>
      <c r="C16708" t="s">
        <v>209</v>
      </c>
      <c r="D16708" s="21" t="s">
        <v>34</v>
      </c>
      <c r="E16708" s="21" t="s">
        <v>254</v>
      </c>
      <c r="F16708">
        <v>13060085</v>
      </c>
      <c r="G16708" t="s">
        <v>2703</v>
      </c>
      <c r="H16708" s="21">
        <v>816.17</v>
      </c>
    </row>
    <row r="16709" spans="1:8" customFormat="1" x14ac:dyDescent="0.25">
      <c r="A16709" t="str">
        <f>"9442685"</f>
        <v>9442685</v>
      </c>
      <c r="B16709" t="s">
        <v>14734</v>
      </c>
      <c r="C16709" t="s">
        <v>712</v>
      </c>
      <c r="D16709" s="21" t="s">
        <v>34</v>
      </c>
      <c r="E16709" s="21" t="s">
        <v>71</v>
      </c>
      <c r="F16709">
        <v>8940448</v>
      </c>
      <c r="G16709" t="s">
        <v>1691</v>
      </c>
      <c r="H16709" s="21">
        <v>816.17</v>
      </c>
    </row>
    <row r="16710" spans="1:8" customFormat="1" x14ac:dyDescent="0.25">
      <c r="A16710" t="str">
        <f>"7624678"</f>
        <v>7624678</v>
      </c>
      <c r="B16710" t="s">
        <v>3878</v>
      </c>
      <c r="C16710" t="s">
        <v>169</v>
      </c>
      <c r="D16710" s="21" t="s">
        <v>34</v>
      </c>
      <c r="E16710" s="21" t="s">
        <v>35</v>
      </c>
      <c r="F16710">
        <v>9760018</v>
      </c>
      <c r="G16710" t="s">
        <v>117</v>
      </c>
      <c r="H16710" s="21">
        <v>816.17</v>
      </c>
    </row>
    <row r="16711" spans="1:8" customFormat="1" x14ac:dyDescent="0.25">
      <c r="A16711" t="str">
        <f>"4110161"</f>
        <v>4110161</v>
      </c>
      <c r="B16711" t="s">
        <v>13977</v>
      </c>
      <c r="C16711" t="s">
        <v>233</v>
      </c>
      <c r="D16711" s="21" t="s">
        <v>34</v>
      </c>
      <c r="E16711" s="21" t="s">
        <v>35</v>
      </c>
      <c r="F16711">
        <v>4410466</v>
      </c>
      <c r="G16711" t="s">
        <v>678</v>
      </c>
      <c r="H16711" s="21">
        <v>816.17</v>
      </c>
    </row>
    <row r="16712" spans="1:8" customFormat="1" x14ac:dyDescent="0.25">
      <c r="A16712" t="str">
        <f>"5921936"</f>
        <v>5921936</v>
      </c>
      <c r="B16712" t="s">
        <v>108</v>
      </c>
      <c r="C16712" t="s">
        <v>269</v>
      </c>
      <c r="D16712" s="21" t="s">
        <v>34</v>
      </c>
      <c r="E16712" s="21" t="s">
        <v>71</v>
      </c>
      <c r="F16712">
        <v>7590113</v>
      </c>
      <c r="G16712" t="s">
        <v>7808</v>
      </c>
      <c r="H16712" s="21">
        <v>816.17</v>
      </c>
    </row>
    <row r="16713" spans="1:8" customFormat="1" x14ac:dyDescent="0.25">
      <c r="A16713" t="str">
        <f>"568264"</f>
        <v>568264</v>
      </c>
      <c r="B16713" t="s">
        <v>6803</v>
      </c>
      <c r="C16713" t="s">
        <v>462</v>
      </c>
      <c r="D16713" s="21" t="s">
        <v>34</v>
      </c>
      <c r="E16713" s="21" t="s">
        <v>35</v>
      </c>
      <c r="F16713">
        <v>3560059</v>
      </c>
      <c r="G16713" t="s">
        <v>2033</v>
      </c>
      <c r="H16713" s="21">
        <v>816.17</v>
      </c>
    </row>
    <row r="16714" spans="1:8" customFormat="1" x14ac:dyDescent="0.25">
      <c r="A16714" t="str">
        <f>"344063"</f>
        <v>344063</v>
      </c>
      <c r="B16714" t="s">
        <v>13638</v>
      </c>
      <c r="C16714" t="s">
        <v>40</v>
      </c>
      <c r="D16714" s="21" t="s">
        <v>34</v>
      </c>
      <c r="E16714" s="21" t="s">
        <v>254</v>
      </c>
      <c r="F16714">
        <v>11340061</v>
      </c>
      <c r="G16714" t="s">
        <v>6763</v>
      </c>
      <c r="H16714" s="21">
        <v>816.17</v>
      </c>
    </row>
    <row r="16715" spans="1:8" customFormat="1" x14ac:dyDescent="0.25">
      <c r="A16715" t="str">
        <f>"7630796"</f>
        <v>7630796</v>
      </c>
      <c r="B16715" t="s">
        <v>12363</v>
      </c>
      <c r="C16715" t="s">
        <v>33</v>
      </c>
      <c r="D16715" s="21" t="s">
        <v>34</v>
      </c>
      <c r="E16715" s="21" t="s">
        <v>71</v>
      </c>
      <c r="F16715">
        <v>9760129</v>
      </c>
      <c r="G16715" t="s">
        <v>6147</v>
      </c>
      <c r="H16715" s="21">
        <v>816.17</v>
      </c>
    </row>
    <row r="16716" spans="1:8" customFormat="1" x14ac:dyDescent="0.25">
      <c r="A16716" t="str">
        <f>"7875297"</f>
        <v>7875297</v>
      </c>
      <c r="B16716" t="s">
        <v>15963</v>
      </c>
      <c r="C16716" t="s">
        <v>62</v>
      </c>
      <c r="D16716" s="21" t="s">
        <v>34</v>
      </c>
      <c r="E16716" s="21" t="s">
        <v>35</v>
      </c>
      <c r="F16716">
        <v>8781475</v>
      </c>
      <c r="G16716" t="s">
        <v>7589</v>
      </c>
      <c r="H16716" s="21">
        <v>816.04</v>
      </c>
    </row>
    <row r="16717" spans="1:8" customFormat="1" x14ac:dyDescent="0.25">
      <c r="A16717" t="str">
        <f>"5413824"</f>
        <v>5413824</v>
      </c>
      <c r="B16717" t="s">
        <v>10085</v>
      </c>
      <c r="C16717" t="s">
        <v>209</v>
      </c>
      <c r="D16717" s="21" t="s">
        <v>34</v>
      </c>
      <c r="E16717" s="21" t="s">
        <v>71</v>
      </c>
      <c r="F16717">
        <v>6540088</v>
      </c>
      <c r="G16717" t="s">
        <v>2108</v>
      </c>
      <c r="H16717" s="21">
        <v>815.92</v>
      </c>
    </row>
    <row r="16718" spans="1:8" customFormat="1" x14ac:dyDescent="0.25">
      <c r="A16718" t="str">
        <f>"9225511"</f>
        <v>9225511</v>
      </c>
      <c r="B16718" t="s">
        <v>12310</v>
      </c>
      <c r="C16718" t="s">
        <v>462</v>
      </c>
      <c r="D16718" s="21" t="s">
        <v>34</v>
      </c>
      <c r="E16718" s="21" t="s">
        <v>71</v>
      </c>
      <c r="F16718">
        <v>8920126</v>
      </c>
      <c r="G16718" t="s">
        <v>1168</v>
      </c>
      <c r="H16718" s="21">
        <v>815.92</v>
      </c>
    </row>
    <row r="16719" spans="1:8" customFormat="1" x14ac:dyDescent="0.25">
      <c r="A16719" t="str">
        <f>"284375"</f>
        <v>284375</v>
      </c>
      <c r="B16719" t="s">
        <v>2962</v>
      </c>
      <c r="C16719" t="s">
        <v>822</v>
      </c>
      <c r="D16719" s="21" t="s">
        <v>34</v>
      </c>
      <c r="E16719" s="21" t="s">
        <v>71</v>
      </c>
      <c r="F16719">
        <v>4280681</v>
      </c>
      <c r="G16719" t="s">
        <v>1656</v>
      </c>
      <c r="H16719" s="21">
        <v>815.92</v>
      </c>
    </row>
    <row r="16720" spans="1:8" customFormat="1" x14ac:dyDescent="0.25">
      <c r="A16720" t="str">
        <f>"2936765"</f>
        <v>2936765</v>
      </c>
      <c r="B16720" t="s">
        <v>14922</v>
      </c>
      <c r="C16720" t="s">
        <v>285</v>
      </c>
      <c r="D16720" s="21" t="s">
        <v>34</v>
      </c>
      <c r="E16720" s="21" t="s">
        <v>35</v>
      </c>
      <c r="F16720">
        <v>3290003</v>
      </c>
      <c r="G16720" t="s">
        <v>3764</v>
      </c>
      <c r="H16720" s="21">
        <v>815.92</v>
      </c>
    </row>
    <row r="16721" spans="1:8" customFormat="1" x14ac:dyDescent="0.25">
      <c r="A16721" t="str">
        <f>"5319276"</f>
        <v>5319276</v>
      </c>
      <c r="B16721" t="s">
        <v>213</v>
      </c>
      <c r="C16721" t="s">
        <v>528</v>
      </c>
      <c r="D16721" s="21" t="s">
        <v>34</v>
      </c>
      <c r="E16721" s="21" t="s">
        <v>71</v>
      </c>
      <c r="F16721">
        <v>12530023</v>
      </c>
      <c r="G16721" t="s">
        <v>5879</v>
      </c>
      <c r="H16721" s="21">
        <v>815.92</v>
      </c>
    </row>
    <row r="16722" spans="1:8" customFormat="1" x14ac:dyDescent="0.25">
      <c r="A16722" t="str">
        <f>"789213"</f>
        <v>789213</v>
      </c>
      <c r="B16722" t="s">
        <v>7174</v>
      </c>
      <c r="C16722" t="s">
        <v>269</v>
      </c>
      <c r="D16722" s="21" t="s">
        <v>34</v>
      </c>
      <c r="E16722" s="21" t="s">
        <v>71</v>
      </c>
      <c r="F16722">
        <v>8781288</v>
      </c>
      <c r="G16722" t="s">
        <v>13309</v>
      </c>
      <c r="H16722" s="21">
        <v>815.92</v>
      </c>
    </row>
    <row r="16723" spans="1:8" customFormat="1" x14ac:dyDescent="0.25">
      <c r="A16723" t="str">
        <f>"037541"</f>
        <v>037541</v>
      </c>
      <c r="B16723" t="s">
        <v>14424</v>
      </c>
      <c r="C16723" t="s">
        <v>656</v>
      </c>
      <c r="D16723" s="21" t="s">
        <v>34</v>
      </c>
      <c r="E16723" s="21" t="s">
        <v>35</v>
      </c>
      <c r="F16723">
        <v>1030308</v>
      </c>
      <c r="G16723" t="s">
        <v>1485</v>
      </c>
      <c r="H16723" s="21">
        <v>815.67</v>
      </c>
    </row>
    <row r="16724" spans="1:8" customFormat="1" x14ac:dyDescent="0.25">
      <c r="A16724" t="str">
        <f>"67497"</f>
        <v>67497</v>
      </c>
      <c r="B16724" t="s">
        <v>13987</v>
      </c>
      <c r="C16724" t="s">
        <v>156</v>
      </c>
      <c r="D16724" s="21" t="s">
        <v>34</v>
      </c>
      <c r="E16724" s="21" t="s">
        <v>1089</v>
      </c>
      <c r="F16724">
        <v>6670219</v>
      </c>
      <c r="G16724" t="s">
        <v>9361</v>
      </c>
      <c r="H16724" s="21">
        <v>815.67</v>
      </c>
    </row>
    <row r="16725" spans="1:8" customFormat="1" x14ac:dyDescent="0.25">
      <c r="A16725" t="str">
        <f>"857607"</f>
        <v>857607</v>
      </c>
      <c r="B16725" t="s">
        <v>5998</v>
      </c>
      <c r="C16725" t="s">
        <v>1539</v>
      </c>
      <c r="D16725" s="21" t="s">
        <v>34</v>
      </c>
      <c r="E16725" s="21" t="s">
        <v>71</v>
      </c>
      <c r="F16725">
        <v>12850148</v>
      </c>
      <c r="G16725" t="s">
        <v>2380</v>
      </c>
      <c r="H16725" s="21">
        <v>815.67</v>
      </c>
    </row>
    <row r="16726" spans="1:8" customFormat="1" x14ac:dyDescent="0.25">
      <c r="A16726" t="str">
        <f>"4919004"</f>
        <v>4919004</v>
      </c>
      <c r="B16726" t="s">
        <v>939</v>
      </c>
      <c r="C16726" t="s">
        <v>239</v>
      </c>
      <c r="D16726" s="21" t="s">
        <v>34</v>
      </c>
      <c r="E16726" s="21" t="s">
        <v>71</v>
      </c>
      <c r="F16726">
        <v>12490120</v>
      </c>
      <c r="G16726" t="s">
        <v>2316</v>
      </c>
      <c r="H16726" s="21">
        <v>815.67</v>
      </c>
    </row>
    <row r="16727" spans="1:8" customFormat="1" x14ac:dyDescent="0.25">
      <c r="A16727" t="str">
        <f>"3338480"</f>
        <v>3338480</v>
      </c>
      <c r="B16727" t="s">
        <v>890</v>
      </c>
      <c r="C16727" t="s">
        <v>1914</v>
      </c>
      <c r="D16727" s="21" t="s">
        <v>34</v>
      </c>
      <c r="E16727" s="21" t="s">
        <v>71</v>
      </c>
      <c r="F16727">
        <v>10330123</v>
      </c>
      <c r="G16727" t="s">
        <v>12101</v>
      </c>
      <c r="H16727" s="21">
        <v>815.67</v>
      </c>
    </row>
    <row r="16728" spans="1:8" customFormat="1" x14ac:dyDescent="0.25">
      <c r="A16728" t="str">
        <f>"198345"</f>
        <v>198345</v>
      </c>
      <c r="B16728" t="s">
        <v>13925</v>
      </c>
      <c r="C16728" t="s">
        <v>3887</v>
      </c>
      <c r="D16728" s="21" t="s">
        <v>34</v>
      </c>
      <c r="E16728" s="21" t="s">
        <v>71</v>
      </c>
      <c r="F16728">
        <v>10190073</v>
      </c>
      <c r="G16728" t="s">
        <v>2366</v>
      </c>
      <c r="H16728" s="21">
        <v>815.67</v>
      </c>
    </row>
    <row r="16729" spans="1:8" customFormat="1" x14ac:dyDescent="0.25">
      <c r="A16729" t="str">
        <f>"452796"</f>
        <v>452796</v>
      </c>
      <c r="B16729" t="s">
        <v>13928</v>
      </c>
      <c r="C16729" t="s">
        <v>598</v>
      </c>
      <c r="D16729" s="21" t="s">
        <v>34</v>
      </c>
      <c r="E16729" s="21" t="s">
        <v>6185</v>
      </c>
      <c r="F16729">
        <v>4450036</v>
      </c>
      <c r="G16729" t="s">
        <v>4179</v>
      </c>
      <c r="H16729" s="21">
        <v>815.67</v>
      </c>
    </row>
    <row r="16730" spans="1:8" customFormat="1" x14ac:dyDescent="0.25">
      <c r="A16730" t="str">
        <f>"2716070"</f>
        <v>2716070</v>
      </c>
      <c r="B16730" t="s">
        <v>13480</v>
      </c>
      <c r="C16730" t="s">
        <v>151</v>
      </c>
      <c r="D16730" s="21" t="s">
        <v>34</v>
      </c>
      <c r="E16730" s="21" t="s">
        <v>254</v>
      </c>
      <c r="F16730">
        <v>9270185</v>
      </c>
      <c r="G16730" t="s">
        <v>9160</v>
      </c>
      <c r="H16730" s="21">
        <v>815.67</v>
      </c>
    </row>
    <row r="16731" spans="1:8" customFormat="1" x14ac:dyDescent="0.25">
      <c r="A16731" t="str">
        <f>"069911"</f>
        <v>069911</v>
      </c>
      <c r="B16731" t="s">
        <v>15759</v>
      </c>
      <c r="C16731" t="s">
        <v>2475</v>
      </c>
      <c r="D16731" s="21" t="s">
        <v>34</v>
      </c>
      <c r="E16731" s="21" t="s">
        <v>71</v>
      </c>
      <c r="F16731">
        <v>13060063</v>
      </c>
      <c r="G16731" t="s">
        <v>2001</v>
      </c>
      <c r="H16731" s="21">
        <v>815.67</v>
      </c>
    </row>
    <row r="16732" spans="1:8" customFormat="1" x14ac:dyDescent="0.25">
      <c r="A16732" t="str">
        <f>"6923381"</f>
        <v>6923381</v>
      </c>
      <c r="B16732" t="s">
        <v>4147</v>
      </c>
      <c r="C16732" t="s">
        <v>87</v>
      </c>
      <c r="D16732" s="21" t="s">
        <v>34</v>
      </c>
      <c r="E16732" s="21" t="s">
        <v>35</v>
      </c>
      <c r="F16732">
        <v>1690169</v>
      </c>
      <c r="G16732" t="s">
        <v>10963</v>
      </c>
      <c r="H16732" s="21">
        <v>815.67</v>
      </c>
    </row>
    <row r="16733" spans="1:8" customFormat="1" x14ac:dyDescent="0.25">
      <c r="A16733" t="str">
        <f>"3419033"</f>
        <v>3419033</v>
      </c>
      <c r="B16733" t="s">
        <v>5473</v>
      </c>
      <c r="C16733" t="s">
        <v>127</v>
      </c>
      <c r="D16733" s="21" t="s">
        <v>34</v>
      </c>
      <c r="E16733" s="21" t="s">
        <v>35</v>
      </c>
      <c r="F16733">
        <v>3560020</v>
      </c>
      <c r="G16733" t="s">
        <v>426</v>
      </c>
      <c r="H16733" s="21">
        <v>815.67</v>
      </c>
    </row>
    <row r="16734" spans="1:8" customFormat="1" x14ac:dyDescent="0.25">
      <c r="A16734" t="str">
        <f>"625265"</f>
        <v>625265</v>
      </c>
      <c r="B16734" t="s">
        <v>12946</v>
      </c>
      <c r="C16734" t="s">
        <v>1132</v>
      </c>
      <c r="D16734" s="21" t="s">
        <v>34</v>
      </c>
      <c r="E16734" s="21" t="s">
        <v>71</v>
      </c>
      <c r="F16734">
        <v>7620072</v>
      </c>
      <c r="G16734" t="s">
        <v>2185</v>
      </c>
      <c r="H16734" s="21">
        <v>815.67</v>
      </c>
    </row>
    <row r="16735" spans="1:8" customFormat="1" x14ac:dyDescent="0.25">
      <c r="A16735" t="str">
        <f>"427369"</f>
        <v>427369</v>
      </c>
      <c r="B16735" t="s">
        <v>2045</v>
      </c>
      <c r="C16735" t="s">
        <v>249</v>
      </c>
      <c r="D16735" s="21" t="s">
        <v>34</v>
      </c>
      <c r="E16735" s="21" t="s">
        <v>35</v>
      </c>
      <c r="F16735">
        <v>1420237</v>
      </c>
      <c r="G16735" t="s">
        <v>8284</v>
      </c>
      <c r="H16735" s="21">
        <v>815.67</v>
      </c>
    </row>
    <row r="16736" spans="1:8" customFormat="1" x14ac:dyDescent="0.25">
      <c r="A16736" t="str">
        <f>"7632610"</f>
        <v>7632610</v>
      </c>
      <c r="B16736" t="s">
        <v>6232</v>
      </c>
      <c r="C16736" t="s">
        <v>209</v>
      </c>
      <c r="D16736" s="21" t="s">
        <v>34</v>
      </c>
      <c r="E16736" s="21" t="s">
        <v>71</v>
      </c>
      <c r="F16736">
        <v>9760458</v>
      </c>
      <c r="G16736" t="s">
        <v>3594</v>
      </c>
      <c r="H16736" s="21">
        <v>815.67</v>
      </c>
    </row>
    <row r="16737" spans="1:8" customFormat="1" x14ac:dyDescent="0.25">
      <c r="A16737" t="str">
        <f>"276397"</f>
        <v>276397</v>
      </c>
      <c r="B16737" t="s">
        <v>14369</v>
      </c>
      <c r="C16737" t="s">
        <v>65</v>
      </c>
      <c r="D16737" s="21" t="s">
        <v>34</v>
      </c>
      <c r="E16737" s="21" t="s">
        <v>71</v>
      </c>
      <c r="F16737">
        <v>9270060</v>
      </c>
      <c r="G16737" t="s">
        <v>1982</v>
      </c>
      <c r="H16737" s="21">
        <v>815.67</v>
      </c>
    </row>
    <row r="16738" spans="1:8" customFormat="1" x14ac:dyDescent="0.25">
      <c r="A16738" t="str">
        <f>"5325316"</f>
        <v>5325316</v>
      </c>
      <c r="B16738" t="s">
        <v>482</v>
      </c>
      <c r="C16738" t="s">
        <v>262</v>
      </c>
      <c r="D16738" s="21" t="s">
        <v>34</v>
      </c>
      <c r="E16738" s="21" t="s">
        <v>35</v>
      </c>
      <c r="F16738">
        <v>12530055</v>
      </c>
      <c r="G16738" t="s">
        <v>3814</v>
      </c>
      <c r="H16738" s="21">
        <v>815.67</v>
      </c>
    </row>
    <row r="16739" spans="1:8" customFormat="1" x14ac:dyDescent="0.25">
      <c r="A16739" t="str">
        <f>"918746"</f>
        <v>918746</v>
      </c>
      <c r="B16739" t="s">
        <v>13973</v>
      </c>
      <c r="C16739" t="s">
        <v>249</v>
      </c>
      <c r="D16739" s="21" t="s">
        <v>34</v>
      </c>
      <c r="E16739" s="21" t="s">
        <v>71</v>
      </c>
      <c r="F16739">
        <v>8910544</v>
      </c>
      <c r="G16739" t="s">
        <v>3552</v>
      </c>
      <c r="H16739" s="21">
        <v>815.67</v>
      </c>
    </row>
    <row r="16740" spans="1:8" customFormat="1" x14ac:dyDescent="0.25">
      <c r="A16740" t="str">
        <f>"2213562"</f>
        <v>2213562</v>
      </c>
      <c r="B16740" t="s">
        <v>12230</v>
      </c>
      <c r="C16740" t="s">
        <v>720</v>
      </c>
      <c r="D16740" s="21" t="s">
        <v>34</v>
      </c>
      <c r="E16740" s="21" t="s">
        <v>254</v>
      </c>
      <c r="F16740">
        <v>3220033</v>
      </c>
      <c r="G16740" t="s">
        <v>657</v>
      </c>
      <c r="H16740" s="21">
        <v>815.67</v>
      </c>
    </row>
    <row r="16741" spans="1:8" customFormat="1" x14ac:dyDescent="0.25">
      <c r="A16741" t="str">
        <f>"104567"</f>
        <v>104567</v>
      </c>
      <c r="B16741" t="s">
        <v>146</v>
      </c>
      <c r="C16741" t="s">
        <v>130</v>
      </c>
      <c r="D16741" s="21" t="s">
        <v>34</v>
      </c>
      <c r="E16741" s="21" t="s">
        <v>254</v>
      </c>
      <c r="F16741">
        <v>6100032</v>
      </c>
      <c r="G16741" t="s">
        <v>1641</v>
      </c>
      <c r="H16741" s="21">
        <v>815.67</v>
      </c>
    </row>
    <row r="16742" spans="1:8" customFormat="1" x14ac:dyDescent="0.25">
      <c r="A16742" t="str">
        <f>"2510918"</f>
        <v>2510918</v>
      </c>
      <c r="B16742" t="s">
        <v>13331</v>
      </c>
      <c r="C16742" t="s">
        <v>114</v>
      </c>
      <c r="D16742" s="21" t="s">
        <v>34</v>
      </c>
      <c r="E16742" s="21" t="s">
        <v>71</v>
      </c>
      <c r="F16742">
        <v>2250186</v>
      </c>
      <c r="G16742" t="s">
        <v>7290</v>
      </c>
      <c r="H16742" s="21">
        <v>815.67</v>
      </c>
    </row>
    <row r="16743" spans="1:8" customFormat="1" x14ac:dyDescent="0.25">
      <c r="A16743" t="str">
        <f>"7710315"</f>
        <v>7710315</v>
      </c>
      <c r="B16743" t="s">
        <v>12169</v>
      </c>
      <c r="C16743" t="s">
        <v>13324</v>
      </c>
      <c r="D16743" s="21" t="s">
        <v>34</v>
      </c>
      <c r="E16743" s="21" t="s">
        <v>71</v>
      </c>
      <c r="F16743">
        <v>8771398</v>
      </c>
      <c r="G16743" t="s">
        <v>2759</v>
      </c>
      <c r="H16743" s="21">
        <v>815.54</v>
      </c>
    </row>
    <row r="16744" spans="1:8" customFormat="1" x14ac:dyDescent="0.25">
      <c r="A16744" t="str">
        <f>"5938753"</f>
        <v>5938753</v>
      </c>
      <c r="B16744" t="s">
        <v>10869</v>
      </c>
      <c r="C16744" t="s">
        <v>233</v>
      </c>
      <c r="D16744" s="21" t="s">
        <v>34</v>
      </c>
      <c r="E16744" s="21" t="s">
        <v>71</v>
      </c>
      <c r="F16744">
        <v>7590173</v>
      </c>
      <c r="G16744" t="s">
        <v>5675</v>
      </c>
      <c r="H16744" s="21">
        <v>815.54</v>
      </c>
    </row>
    <row r="16745" spans="1:8" customFormat="1" x14ac:dyDescent="0.25">
      <c r="A16745" t="str">
        <f>"4426462"</f>
        <v>4426462</v>
      </c>
      <c r="B16745" t="s">
        <v>1737</v>
      </c>
      <c r="C16745" t="s">
        <v>33</v>
      </c>
      <c r="D16745" s="21" t="s">
        <v>34</v>
      </c>
      <c r="E16745" s="21" t="s">
        <v>35</v>
      </c>
      <c r="F16745">
        <v>12440023</v>
      </c>
      <c r="G16745" t="s">
        <v>3507</v>
      </c>
      <c r="H16745" s="21">
        <v>815.42</v>
      </c>
    </row>
    <row r="16746" spans="1:8" customFormat="1" x14ac:dyDescent="0.25">
      <c r="A16746" t="str">
        <f>"373521"</f>
        <v>373521</v>
      </c>
      <c r="B16746" t="s">
        <v>5543</v>
      </c>
      <c r="C16746" t="s">
        <v>127</v>
      </c>
      <c r="D16746" s="21" t="s">
        <v>34</v>
      </c>
      <c r="E16746" s="21" t="s">
        <v>35</v>
      </c>
      <c r="F16746">
        <v>4370024</v>
      </c>
      <c r="G16746" t="s">
        <v>1718</v>
      </c>
      <c r="H16746" s="21">
        <v>815.42</v>
      </c>
    </row>
    <row r="16747" spans="1:8" customFormat="1" x14ac:dyDescent="0.25">
      <c r="A16747" t="str">
        <f>"377967"</f>
        <v>377967</v>
      </c>
      <c r="B16747" t="s">
        <v>10781</v>
      </c>
      <c r="C16747" t="s">
        <v>130</v>
      </c>
      <c r="D16747" s="21" t="s">
        <v>34</v>
      </c>
      <c r="E16747" s="21" t="s">
        <v>35</v>
      </c>
      <c r="F16747">
        <v>4370346</v>
      </c>
      <c r="G16747" t="s">
        <v>8269</v>
      </c>
      <c r="H16747" s="21">
        <v>815.42</v>
      </c>
    </row>
    <row r="16748" spans="1:8" customFormat="1" x14ac:dyDescent="0.25">
      <c r="A16748" t="str">
        <f>"584858"</f>
        <v>584858</v>
      </c>
      <c r="B16748" t="s">
        <v>15913</v>
      </c>
      <c r="C16748" t="s">
        <v>269</v>
      </c>
      <c r="D16748" s="21" t="s">
        <v>34</v>
      </c>
      <c r="E16748" s="21" t="s">
        <v>254</v>
      </c>
      <c r="F16748">
        <v>2580067</v>
      </c>
      <c r="G16748" t="s">
        <v>8999</v>
      </c>
      <c r="H16748" s="21">
        <v>815.42</v>
      </c>
    </row>
    <row r="16749" spans="1:8" customFormat="1" x14ac:dyDescent="0.25">
      <c r="A16749" t="str">
        <f>"5317396"</f>
        <v>5317396</v>
      </c>
      <c r="B16749" t="s">
        <v>4597</v>
      </c>
      <c r="C16749" t="s">
        <v>1697</v>
      </c>
      <c r="D16749" s="21" t="s">
        <v>34</v>
      </c>
      <c r="E16749" s="21" t="s">
        <v>71</v>
      </c>
      <c r="F16749">
        <v>12530042</v>
      </c>
      <c r="G16749" t="s">
        <v>4619</v>
      </c>
      <c r="H16749" s="21">
        <v>815.29</v>
      </c>
    </row>
    <row r="16750" spans="1:8" customFormat="1" x14ac:dyDescent="0.25">
      <c r="A16750" t="str">
        <f>"517793"</f>
        <v>517793</v>
      </c>
      <c r="B16750" t="s">
        <v>14119</v>
      </c>
      <c r="C16750" t="s">
        <v>2135</v>
      </c>
      <c r="D16750" s="21" t="s">
        <v>34</v>
      </c>
      <c r="E16750" s="21" t="s">
        <v>35</v>
      </c>
      <c r="F16750">
        <v>6510114</v>
      </c>
      <c r="G16750" t="s">
        <v>14120</v>
      </c>
      <c r="H16750" s="21">
        <v>815.17</v>
      </c>
    </row>
    <row r="16751" spans="1:8" customFormat="1" x14ac:dyDescent="0.25">
      <c r="A16751" t="str">
        <f>"307898"</f>
        <v>307898</v>
      </c>
      <c r="B16751" t="s">
        <v>15208</v>
      </c>
      <c r="C16751" t="s">
        <v>139</v>
      </c>
      <c r="D16751" s="21" t="s">
        <v>34</v>
      </c>
      <c r="E16751" s="21" t="s">
        <v>35</v>
      </c>
      <c r="F16751">
        <v>11300023</v>
      </c>
      <c r="G16751" t="s">
        <v>2679</v>
      </c>
      <c r="H16751" s="21">
        <v>815.17</v>
      </c>
    </row>
    <row r="16752" spans="1:8" customFormat="1" x14ac:dyDescent="0.25">
      <c r="A16752" t="str">
        <f>"7860106"</f>
        <v>7860106</v>
      </c>
      <c r="B16752" t="s">
        <v>15091</v>
      </c>
      <c r="C16752" t="s">
        <v>15092</v>
      </c>
      <c r="D16752" s="21" t="s">
        <v>34</v>
      </c>
      <c r="E16752" s="21" t="s">
        <v>71</v>
      </c>
      <c r="F16752">
        <v>8780902</v>
      </c>
      <c r="G16752" t="s">
        <v>6390</v>
      </c>
      <c r="H16752" s="21">
        <v>815.17</v>
      </c>
    </row>
    <row r="16753" spans="1:8" customFormat="1" x14ac:dyDescent="0.25">
      <c r="A16753" t="str">
        <f>"5429806"</f>
        <v>5429806</v>
      </c>
      <c r="B16753" t="s">
        <v>15931</v>
      </c>
      <c r="C16753" t="s">
        <v>139</v>
      </c>
      <c r="D16753" s="21" t="s">
        <v>34</v>
      </c>
      <c r="E16753" s="21" t="s">
        <v>35</v>
      </c>
      <c r="F16753">
        <v>6540001</v>
      </c>
      <c r="G16753" t="s">
        <v>5886</v>
      </c>
      <c r="H16753" s="21">
        <v>815.17</v>
      </c>
    </row>
    <row r="16754" spans="1:8" customFormat="1" x14ac:dyDescent="0.25">
      <c r="A16754" t="str">
        <f>"3522492"</f>
        <v>3522492</v>
      </c>
      <c r="B16754" t="s">
        <v>1886</v>
      </c>
      <c r="C16754" t="s">
        <v>1559</v>
      </c>
      <c r="D16754" s="21" t="s">
        <v>34</v>
      </c>
      <c r="E16754" s="21" t="s">
        <v>35</v>
      </c>
      <c r="F16754">
        <v>3350031</v>
      </c>
      <c r="G16754" t="s">
        <v>13199</v>
      </c>
      <c r="H16754" s="21">
        <v>815.17</v>
      </c>
    </row>
    <row r="16755" spans="1:8" customFormat="1" x14ac:dyDescent="0.25">
      <c r="A16755" t="str">
        <f>"6210184"</f>
        <v>6210184</v>
      </c>
      <c r="B16755" t="s">
        <v>14723</v>
      </c>
      <c r="C16755" t="s">
        <v>204</v>
      </c>
      <c r="D16755" s="21" t="s">
        <v>34</v>
      </c>
      <c r="E16755" s="21" t="s">
        <v>35</v>
      </c>
      <c r="F16755">
        <v>7620010</v>
      </c>
      <c r="G16755" t="s">
        <v>504</v>
      </c>
      <c r="H16755" s="21">
        <v>815.17</v>
      </c>
    </row>
    <row r="16756" spans="1:8" customFormat="1" x14ac:dyDescent="0.25">
      <c r="A16756" t="str">
        <f>"5936695"</f>
        <v>5936695</v>
      </c>
      <c r="B16756" t="s">
        <v>4041</v>
      </c>
      <c r="C16756" t="s">
        <v>253</v>
      </c>
      <c r="D16756" s="21" t="s">
        <v>34</v>
      </c>
      <c r="E16756" s="21" t="s">
        <v>254</v>
      </c>
      <c r="F16756">
        <v>7590075</v>
      </c>
      <c r="G16756" t="s">
        <v>6459</v>
      </c>
      <c r="H16756" s="21">
        <v>815.17</v>
      </c>
    </row>
    <row r="16757" spans="1:8" customFormat="1" x14ac:dyDescent="0.25">
      <c r="A16757" t="str">
        <f>"5710841"</f>
        <v>5710841</v>
      </c>
      <c r="B16757" t="s">
        <v>15021</v>
      </c>
      <c r="C16757" t="s">
        <v>267</v>
      </c>
      <c r="D16757" s="21" t="s">
        <v>34</v>
      </c>
      <c r="E16757" s="21" t="s">
        <v>35</v>
      </c>
      <c r="F16757">
        <v>6570158</v>
      </c>
      <c r="G16757" t="s">
        <v>2391</v>
      </c>
      <c r="H16757" s="21">
        <v>815.17</v>
      </c>
    </row>
    <row r="16758" spans="1:8" customFormat="1" x14ac:dyDescent="0.25">
      <c r="A16758" t="str">
        <f>"8512628"</f>
        <v>8512628</v>
      </c>
      <c r="B16758" t="s">
        <v>13549</v>
      </c>
      <c r="C16758" t="s">
        <v>275</v>
      </c>
      <c r="D16758" s="21" t="s">
        <v>34</v>
      </c>
      <c r="E16758" s="21" t="s">
        <v>35</v>
      </c>
      <c r="F16758">
        <v>12850165</v>
      </c>
      <c r="G16758" t="s">
        <v>9632</v>
      </c>
      <c r="H16758" s="21">
        <v>815.17</v>
      </c>
    </row>
    <row r="16759" spans="1:8" customFormat="1" x14ac:dyDescent="0.25">
      <c r="A16759" t="str">
        <f>"3524560"</f>
        <v>3524560</v>
      </c>
      <c r="B16759" t="s">
        <v>6558</v>
      </c>
      <c r="C16759" t="s">
        <v>469</v>
      </c>
      <c r="D16759" s="21" t="s">
        <v>34</v>
      </c>
      <c r="E16759" s="21" t="s">
        <v>71</v>
      </c>
      <c r="F16759">
        <v>3350160</v>
      </c>
      <c r="G16759" t="s">
        <v>13252</v>
      </c>
      <c r="H16759" s="21">
        <v>815.17</v>
      </c>
    </row>
    <row r="16760" spans="1:8" customFormat="1" x14ac:dyDescent="0.25">
      <c r="A16760" t="str">
        <f>"7512013"</f>
        <v>7512013</v>
      </c>
      <c r="B16760" t="s">
        <v>6418</v>
      </c>
      <c r="C16760" t="s">
        <v>249</v>
      </c>
      <c r="D16760" s="21" t="s">
        <v>34</v>
      </c>
      <c r="E16760" s="21" t="s">
        <v>35</v>
      </c>
      <c r="F16760">
        <v>1690175</v>
      </c>
      <c r="G16760" t="s">
        <v>410</v>
      </c>
      <c r="H16760" s="21">
        <v>815.17</v>
      </c>
    </row>
    <row r="16761" spans="1:8" customFormat="1" x14ac:dyDescent="0.25">
      <c r="A16761" t="str">
        <f>"6024115"</f>
        <v>6024115</v>
      </c>
      <c r="B16761" t="s">
        <v>27446</v>
      </c>
      <c r="C16761" t="s">
        <v>7453</v>
      </c>
      <c r="D16761" s="21" t="s">
        <v>34</v>
      </c>
      <c r="E16761" s="21" t="s">
        <v>71</v>
      </c>
      <c r="F16761">
        <v>7600170</v>
      </c>
      <c r="G16761" t="s">
        <v>16044</v>
      </c>
      <c r="H16761" s="21">
        <v>815.17</v>
      </c>
    </row>
    <row r="16762" spans="1:8" customFormat="1" x14ac:dyDescent="0.25">
      <c r="A16762" t="str">
        <f>"621889"</f>
        <v>621889</v>
      </c>
      <c r="B16762" t="s">
        <v>11816</v>
      </c>
      <c r="C16762" t="s">
        <v>149</v>
      </c>
      <c r="D16762" s="21" t="s">
        <v>34</v>
      </c>
      <c r="E16762" s="21" t="s">
        <v>35</v>
      </c>
      <c r="F16762">
        <v>7620100</v>
      </c>
      <c r="G16762" t="s">
        <v>145</v>
      </c>
      <c r="H16762" s="21">
        <v>815.17</v>
      </c>
    </row>
    <row r="16763" spans="1:8" customFormat="1" x14ac:dyDescent="0.25">
      <c r="A16763" t="str">
        <f>"9211238"</f>
        <v>9211238</v>
      </c>
      <c r="B16763" t="s">
        <v>13774</v>
      </c>
      <c r="C16763" t="s">
        <v>3309</v>
      </c>
      <c r="D16763" s="21" t="s">
        <v>34</v>
      </c>
      <c r="E16763" s="21" t="s">
        <v>35</v>
      </c>
      <c r="F16763">
        <v>8920049</v>
      </c>
      <c r="G16763" t="s">
        <v>237</v>
      </c>
      <c r="H16763" s="21">
        <v>815.04</v>
      </c>
    </row>
    <row r="16764" spans="1:8" customFormat="1" x14ac:dyDescent="0.25">
      <c r="A16764" t="str">
        <f>"7411672"</f>
        <v>7411672</v>
      </c>
      <c r="B16764" t="s">
        <v>14776</v>
      </c>
      <c r="C16764" t="s">
        <v>2907</v>
      </c>
      <c r="D16764" s="21" t="s">
        <v>34</v>
      </c>
      <c r="E16764" s="21" t="s">
        <v>71</v>
      </c>
      <c r="F16764">
        <v>1740020</v>
      </c>
      <c r="G16764" t="s">
        <v>881</v>
      </c>
      <c r="H16764" s="21">
        <v>814.92</v>
      </c>
    </row>
    <row r="16765" spans="1:8" customFormat="1" x14ac:dyDescent="0.25">
      <c r="A16765" t="str">
        <f>"091496"</f>
        <v>091496</v>
      </c>
      <c r="B16765" t="s">
        <v>14822</v>
      </c>
      <c r="C16765" t="s">
        <v>90</v>
      </c>
      <c r="D16765" s="21" t="s">
        <v>34</v>
      </c>
      <c r="E16765" s="21" t="s">
        <v>35</v>
      </c>
      <c r="F16765">
        <v>11090001</v>
      </c>
      <c r="G16765" t="s">
        <v>4829</v>
      </c>
      <c r="H16765" s="21">
        <v>814.92</v>
      </c>
    </row>
    <row r="16766" spans="1:8" customFormat="1" x14ac:dyDescent="0.25">
      <c r="A16766" t="str">
        <f>"846740"</f>
        <v>846740</v>
      </c>
      <c r="B16766" t="s">
        <v>14089</v>
      </c>
      <c r="C16766" t="s">
        <v>87</v>
      </c>
      <c r="D16766" s="21" t="s">
        <v>34</v>
      </c>
      <c r="E16766" s="21" t="s">
        <v>35</v>
      </c>
      <c r="F16766">
        <v>13840038</v>
      </c>
      <c r="G16766" t="s">
        <v>8931</v>
      </c>
      <c r="H16766" s="21">
        <v>814.79</v>
      </c>
    </row>
    <row r="16767" spans="1:8" customFormat="1" x14ac:dyDescent="0.25">
      <c r="A16767" t="str">
        <f>"9243060"</f>
        <v>9243060</v>
      </c>
      <c r="B16767" t="s">
        <v>14049</v>
      </c>
      <c r="C16767" t="s">
        <v>415</v>
      </c>
      <c r="D16767" s="21" t="s">
        <v>34</v>
      </c>
      <c r="E16767" s="21" t="s">
        <v>71</v>
      </c>
      <c r="F16767">
        <v>8920309</v>
      </c>
      <c r="G16767" t="s">
        <v>1894</v>
      </c>
      <c r="H16767" s="21">
        <v>814.79</v>
      </c>
    </row>
    <row r="16768" spans="1:8" customFormat="1" x14ac:dyDescent="0.25">
      <c r="A16768" t="str">
        <f>"9142870"</f>
        <v>9142870</v>
      </c>
      <c r="B16768" t="s">
        <v>15912</v>
      </c>
      <c r="C16768" t="s">
        <v>12652</v>
      </c>
      <c r="D16768" s="21" t="s">
        <v>34</v>
      </c>
      <c r="E16768" s="21" t="s">
        <v>35</v>
      </c>
      <c r="F16768">
        <v>8910438</v>
      </c>
      <c r="G16768" t="s">
        <v>761</v>
      </c>
      <c r="H16768" s="21">
        <v>814.79</v>
      </c>
    </row>
    <row r="16769" spans="1:8" customFormat="1" x14ac:dyDescent="0.25">
      <c r="A16769" t="str">
        <f>"6018669"</f>
        <v>6018669</v>
      </c>
      <c r="B16769" t="s">
        <v>4959</v>
      </c>
      <c r="C16769" t="s">
        <v>547</v>
      </c>
      <c r="D16769" s="21" t="s">
        <v>34</v>
      </c>
      <c r="E16769" s="21" t="s">
        <v>35</v>
      </c>
      <c r="F16769">
        <v>7600018</v>
      </c>
      <c r="G16769" t="s">
        <v>5838</v>
      </c>
      <c r="H16769" s="21">
        <v>814.67</v>
      </c>
    </row>
    <row r="16770" spans="1:8" customFormat="1" x14ac:dyDescent="0.25">
      <c r="A16770" t="str">
        <f>"026601"</f>
        <v>026601</v>
      </c>
      <c r="B16770" t="s">
        <v>27447</v>
      </c>
      <c r="C16770" t="s">
        <v>631</v>
      </c>
      <c r="D16770" s="21" t="s">
        <v>34</v>
      </c>
      <c r="E16770" s="21" t="s">
        <v>35</v>
      </c>
      <c r="F16770">
        <v>7590047</v>
      </c>
      <c r="G16770" t="s">
        <v>5788</v>
      </c>
      <c r="H16770" s="21">
        <v>814.67</v>
      </c>
    </row>
    <row r="16771" spans="1:8" customFormat="1" x14ac:dyDescent="0.25">
      <c r="A16771" t="str">
        <f>"594248"</f>
        <v>594248</v>
      </c>
      <c r="B16771" t="s">
        <v>13984</v>
      </c>
      <c r="C16771" t="s">
        <v>2384</v>
      </c>
      <c r="D16771" s="21" t="s">
        <v>34</v>
      </c>
      <c r="E16771" s="21" t="s">
        <v>71</v>
      </c>
      <c r="F16771">
        <v>7590120</v>
      </c>
      <c r="G16771" t="s">
        <v>5351</v>
      </c>
      <c r="H16771" s="21">
        <v>814.67</v>
      </c>
    </row>
    <row r="16772" spans="1:8" customFormat="1" x14ac:dyDescent="0.25">
      <c r="A16772" t="str">
        <f>"448150"</f>
        <v>448150</v>
      </c>
      <c r="B16772" t="s">
        <v>2808</v>
      </c>
      <c r="C16772" t="s">
        <v>171</v>
      </c>
      <c r="D16772" s="21" t="s">
        <v>34</v>
      </c>
      <c r="E16772" s="21" t="s">
        <v>254</v>
      </c>
      <c r="F16772">
        <v>12440193</v>
      </c>
      <c r="G16772" t="s">
        <v>3786</v>
      </c>
      <c r="H16772" s="21">
        <v>814.67</v>
      </c>
    </row>
    <row r="16773" spans="1:8" customFormat="1" x14ac:dyDescent="0.25">
      <c r="A16773" t="str">
        <f>"6720110"</f>
        <v>6720110</v>
      </c>
      <c r="B16773" t="s">
        <v>15547</v>
      </c>
      <c r="C16773" t="s">
        <v>7740</v>
      </c>
      <c r="D16773" s="21" t="s">
        <v>34</v>
      </c>
      <c r="E16773" s="21" t="s">
        <v>71</v>
      </c>
      <c r="F16773">
        <v>6670260</v>
      </c>
      <c r="G16773" t="s">
        <v>1202</v>
      </c>
      <c r="H16773" s="21">
        <v>814.67</v>
      </c>
    </row>
    <row r="16774" spans="1:8" customFormat="1" x14ac:dyDescent="0.25">
      <c r="A16774" t="str">
        <f>"7512649"</f>
        <v>7512649</v>
      </c>
      <c r="B16774" t="s">
        <v>10208</v>
      </c>
      <c r="C16774" t="s">
        <v>2479</v>
      </c>
      <c r="D16774" s="21" t="s">
        <v>34</v>
      </c>
      <c r="E16774" s="21" t="s">
        <v>254</v>
      </c>
      <c r="F16774">
        <v>8751423</v>
      </c>
      <c r="G16774" t="s">
        <v>4556</v>
      </c>
      <c r="H16774" s="21">
        <v>814.67</v>
      </c>
    </row>
    <row r="16775" spans="1:8" customFormat="1" x14ac:dyDescent="0.25">
      <c r="A16775" t="str">
        <f>"594990"</f>
        <v>594990</v>
      </c>
      <c r="B16775" t="s">
        <v>4261</v>
      </c>
      <c r="C16775" t="s">
        <v>879</v>
      </c>
      <c r="D16775" s="21" t="s">
        <v>34</v>
      </c>
      <c r="E16775" s="21" t="s">
        <v>71</v>
      </c>
      <c r="F16775">
        <v>7590106</v>
      </c>
      <c r="G16775" t="s">
        <v>4790</v>
      </c>
      <c r="H16775" s="21">
        <v>814.67</v>
      </c>
    </row>
    <row r="16776" spans="1:8" customFormat="1" x14ac:dyDescent="0.25">
      <c r="A16776" t="str">
        <f>"798228"</f>
        <v>798228</v>
      </c>
      <c r="B16776" t="s">
        <v>8810</v>
      </c>
      <c r="C16776" t="s">
        <v>285</v>
      </c>
      <c r="D16776" s="21" t="s">
        <v>34</v>
      </c>
      <c r="E16776" s="21" t="s">
        <v>35</v>
      </c>
      <c r="F16776">
        <v>10790009</v>
      </c>
      <c r="G16776" t="s">
        <v>1155</v>
      </c>
      <c r="H16776" s="21">
        <v>814.67</v>
      </c>
    </row>
    <row r="16777" spans="1:8" customFormat="1" x14ac:dyDescent="0.25">
      <c r="A16777" t="str">
        <f>"6217254"</f>
        <v>6217254</v>
      </c>
      <c r="B16777" t="s">
        <v>14220</v>
      </c>
      <c r="C16777" t="s">
        <v>412</v>
      </c>
      <c r="D16777" s="21" t="s">
        <v>34</v>
      </c>
      <c r="E16777" s="21" t="s">
        <v>1089</v>
      </c>
      <c r="F16777">
        <v>7620027</v>
      </c>
      <c r="G16777" t="s">
        <v>980</v>
      </c>
      <c r="H16777" s="21">
        <v>814.67</v>
      </c>
    </row>
    <row r="16778" spans="1:8" customFormat="1" x14ac:dyDescent="0.25">
      <c r="A16778" t="str">
        <f>"277150"</f>
        <v>277150</v>
      </c>
      <c r="B16778" t="s">
        <v>15240</v>
      </c>
      <c r="C16778" t="s">
        <v>2529</v>
      </c>
      <c r="D16778" s="21" t="s">
        <v>34</v>
      </c>
      <c r="E16778" s="21" t="s">
        <v>71</v>
      </c>
      <c r="F16778">
        <v>4370183</v>
      </c>
      <c r="G16778" t="s">
        <v>231</v>
      </c>
      <c r="H16778" s="21">
        <v>814.67</v>
      </c>
    </row>
    <row r="16779" spans="1:8" customFormat="1" x14ac:dyDescent="0.25">
      <c r="A16779" t="str">
        <f>"3713329"</f>
        <v>3713329</v>
      </c>
      <c r="B16779" t="s">
        <v>14573</v>
      </c>
      <c r="C16779" t="s">
        <v>598</v>
      </c>
      <c r="D16779" s="21" t="s">
        <v>34</v>
      </c>
      <c r="E16779" s="21" t="s">
        <v>35</v>
      </c>
      <c r="F16779">
        <v>4370655</v>
      </c>
      <c r="G16779" t="s">
        <v>14574</v>
      </c>
      <c r="H16779" s="21">
        <v>814.67</v>
      </c>
    </row>
    <row r="16780" spans="1:8" customFormat="1" x14ac:dyDescent="0.25">
      <c r="A16780" t="str">
        <f>"5712523"</f>
        <v>5712523</v>
      </c>
      <c r="B16780" t="s">
        <v>13663</v>
      </c>
      <c r="C16780" t="s">
        <v>130</v>
      </c>
      <c r="D16780" s="21" t="s">
        <v>34</v>
      </c>
      <c r="E16780" s="21" t="s">
        <v>254</v>
      </c>
      <c r="F16780">
        <v>6570175</v>
      </c>
      <c r="G16780" t="s">
        <v>9707</v>
      </c>
      <c r="H16780" s="21">
        <v>814.67</v>
      </c>
    </row>
    <row r="16781" spans="1:8" customFormat="1" x14ac:dyDescent="0.25">
      <c r="A16781" t="str">
        <f>"4431876"</f>
        <v>4431876</v>
      </c>
      <c r="B16781" t="s">
        <v>14817</v>
      </c>
      <c r="C16781" t="s">
        <v>43</v>
      </c>
      <c r="D16781" s="21" t="s">
        <v>34</v>
      </c>
      <c r="E16781" s="21" t="s">
        <v>35</v>
      </c>
      <c r="F16781">
        <v>12440277</v>
      </c>
      <c r="G16781" t="s">
        <v>10430</v>
      </c>
      <c r="H16781" s="21">
        <v>814.67</v>
      </c>
    </row>
    <row r="16782" spans="1:8" customFormat="1" x14ac:dyDescent="0.25">
      <c r="A16782" t="str">
        <f>"3723163"</f>
        <v>3723163</v>
      </c>
      <c r="B16782" t="s">
        <v>15815</v>
      </c>
      <c r="C16782" t="s">
        <v>249</v>
      </c>
      <c r="D16782" s="21" t="s">
        <v>34</v>
      </c>
      <c r="E16782" s="21" t="s">
        <v>71</v>
      </c>
      <c r="F16782">
        <v>4370307</v>
      </c>
      <c r="G16782" t="s">
        <v>7652</v>
      </c>
      <c r="H16782" s="21">
        <v>814.67</v>
      </c>
    </row>
    <row r="16783" spans="1:8" customFormat="1" x14ac:dyDescent="0.25">
      <c r="A16783" t="str">
        <f>"576760"</f>
        <v>576760</v>
      </c>
      <c r="B16783" t="s">
        <v>13423</v>
      </c>
      <c r="C16783" t="s">
        <v>712</v>
      </c>
      <c r="D16783" s="21" t="s">
        <v>34</v>
      </c>
      <c r="E16783" s="21" t="s">
        <v>35</v>
      </c>
      <c r="F16783">
        <v>6570088</v>
      </c>
      <c r="G16783" t="s">
        <v>3461</v>
      </c>
      <c r="H16783" s="21">
        <v>814.67</v>
      </c>
    </row>
    <row r="16784" spans="1:8" customFormat="1" x14ac:dyDescent="0.25">
      <c r="A16784" t="str">
        <f>"2912337"</f>
        <v>2912337</v>
      </c>
      <c r="B16784" t="s">
        <v>27448</v>
      </c>
      <c r="C16784" t="s">
        <v>2730</v>
      </c>
      <c r="D16784" s="21" t="s">
        <v>34</v>
      </c>
      <c r="E16784" s="21" t="s">
        <v>71</v>
      </c>
      <c r="F16784">
        <v>3290019</v>
      </c>
      <c r="G16784" t="s">
        <v>4452</v>
      </c>
      <c r="H16784" s="21">
        <v>814.67</v>
      </c>
    </row>
    <row r="16785" spans="1:8" customFormat="1" x14ac:dyDescent="0.25">
      <c r="A16785" t="str">
        <f>"033655"</f>
        <v>033655</v>
      </c>
      <c r="B16785" t="s">
        <v>5516</v>
      </c>
      <c r="C16785" t="s">
        <v>236</v>
      </c>
      <c r="D16785" s="21" t="s">
        <v>34</v>
      </c>
      <c r="E16785" s="21" t="s">
        <v>254</v>
      </c>
      <c r="F16785">
        <v>1030128</v>
      </c>
      <c r="G16785" t="s">
        <v>7355</v>
      </c>
      <c r="H16785" s="21">
        <v>814.67</v>
      </c>
    </row>
    <row r="16786" spans="1:8" customFormat="1" x14ac:dyDescent="0.25">
      <c r="A16786" t="str">
        <f>"7716909"</f>
        <v>7716909</v>
      </c>
      <c r="B16786" t="s">
        <v>13690</v>
      </c>
      <c r="C16786" t="s">
        <v>55</v>
      </c>
      <c r="D16786" s="21" t="s">
        <v>34</v>
      </c>
      <c r="E16786" s="21" t="s">
        <v>35</v>
      </c>
      <c r="F16786">
        <v>8770562</v>
      </c>
      <c r="G16786" t="s">
        <v>4847</v>
      </c>
      <c r="H16786" s="21">
        <v>814.67</v>
      </c>
    </row>
    <row r="16787" spans="1:8" customFormat="1" x14ac:dyDescent="0.25">
      <c r="A16787" t="str">
        <f>"1316907"</f>
        <v>1316907</v>
      </c>
      <c r="B16787" t="s">
        <v>9251</v>
      </c>
      <c r="C16787" t="s">
        <v>822</v>
      </c>
      <c r="D16787" s="21" t="s">
        <v>34</v>
      </c>
      <c r="E16787" s="21" t="s">
        <v>1089</v>
      </c>
      <c r="F16787">
        <v>13130100</v>
      </c>
      <c r="G16787" t="s">
        <v>2893</v>
      </c>
      <c r="H16787" s="21">
        <v>814.67</v>
      </c>
    </row>
    <row r="16788" spans="1:8" customFormat="1" x14ac:dyDescent="0.25">
      <c r="A16788" t="str">
        <f>"087628"</f>
        <v>087628</v>
      </c>
      <c r="B16788" t="s">
        <v>14622</v>
      </c>
      <c r="C16788" t="s">
        <v>119</v>
      </c>
      <c r="D16788" s="21" t="s">
        <v>34</v>
      </c>
      <c r="E16788" s="21" t="s">
        <v>71</v>
      </c>
      <c r="F16788">
        <v>1010069</v>
      </c>
      <c r="G16788" t="s">
        <v>1707</v>
      </c>
      <c r="H16788" s="21">
        <v>814.54</v>
      </c>
    </row>
    <row r="16789" spans="1:8" customFormat="1" x14ac:dyDescent="0.25">
      <c r="A16789" t="str">
        <f>"4110343"</f>
        <v>4110343</v>
      </c>
      <c r="B16789" t="s">
        <v>14394</v>
      </c>
      <c r="C16789" t="s">
        <v>90</v>
      </c>
      <c r="D16789" s="21" t="s">
        <v>34</v>
      </c>
      <c r="E16789" s="21" t="s">
        <v>35</v>
      </c>
      <c r="F16789">
        <v>4410080</v>
      </c>
      <c r="G16789" t="s">
        <v>135</v>
      </c>
      <c r="H16789" s="21">
        <v>814.54</v>
      </c>
    </row>
    <row r="16790" spans="1:8" customFormat="1" x14ac:dyDescent="0.25">
      <c r="A16790" t="str">
        <f>"6928711"</f>
        <v>6928711</v>
      </c>
      <c r="B16790" t="s">
        <v>19726</v>
      </c>
      <c r="C16790" t="s">
        <v>198</v>
      </c>
      <c r="D16790" s="21" t="s">
        <v>34</v>
      </c>
      <c r="E16790" s="21" t="s">
        <v>71</v>
      </c>
      <c r="F16790">
        <v>1690184</v>
      </c>
      <c r="G16790" t="s">
        <v>4992</v>
      </c>
      <c r="H16790" s="21">
        <v>814.5</v>
      </c>
    </row>
    <row r="16791" spans="1:8" customFormat="1" x14ac:dyDescent="0.25">
      <c r="A16791" t="str">
        <f>"1310134"</f>
        <v>1310134</v>
      </c>
      <c r="B16791" t="s">
        <v>27449</v>
      </c>
      <c r="C16791" t="s">
        <v>547</v>
      </c>
      <c r="D16791" s="21" t="s">
        <v>34</v>
      </c>
      <c r="E16791" s="21" t="s">
        <v>71</v>
      </c>
      <c r="F16791">
        <v>13130012</v>
      </c>
      <c r="G16791" t="s">
        <v>68</v>
      </c>
      <c r="H16791" s="21">
        <v>814.5</v>
      </c>
    </row>
    <row r="16792" spans="1:8" customFormat="1" x14ac:dyDescent="0.25">
      <c r="A16792" t="str">
        <f>"5617680"</f>
        <v>5617680</v>
      </c>
      <c r="B16792" t="s">
        <v>14672</v>
      </c>
      <c r="C16792" t="s">
        <v>1705</v>
      </c>
      <c r="D16792" s="21" t="s">
        <v>34</v>
      </c>
      <c r="E16792" s="21" t="s">
        <v>1089</v>
      </c>
      <c r="F16792">
        <v>3560033</v>
      </c>
      <c r="G16792" t="s">
        <v>4927</v>
      </c>
      <c r="H16792" s="21">
        <v>814.42</v>
      </c>
    </row>
    <row r="16793" spans="1:8" customFormat="1" x14ac:dyDescent="0.25">
      <c r="A16793" t="str">
        <f>"925672"</f>
        <v>925672</v>
      </c>
      <c r="B16793" t="s">
        <v>15729</v>
      </c>
      <c r="C16793" t="s">
        <v>249</v>
      </c>
      <c r="D16793" s="21" t="s">
        <v>34</v>
      </c>
      <c r="E16793" s="21" t="s">
        <v>254</v>
      </c>
      <c r="F16793">
        <v>8920505</v>
      </c>
      <c r="G16793" t="s">
        <v>12288</v>
      </c>
      <c r="H16793" s="21">
        <v>814.29</v>
      </c>
    </row>
    <row r="16794" spans="1:8" customFormat="1" x14ac:dyDescent="0.25">
      <c r="A16794" t="str">
        <f>"8517159"</f>
        <v>8517159</v>
      </c>
      <c r="B16794" t="s">
        <v>5223</v>
      </c>
      <c r="C16794" t="s">
        <v>428</v>
      </c>
      <c r="D16794" s="21" t="s">
        <v>34</v>
      </c>
      <c r="E16794" s="21" t="s">
        <v>35</v>
      </c>
      <c r="F16794">
        <v>4370284</v>
      </c>
      <c r="G16794" t="s">
        <v>3584</v>
      </c>
      <c r="H16794" s="21">
        <v>814.17</v>
      </c>
    </row>
    <row r="16795" spans="1:8" customFormat="1" x14ac:dyDescent="0.25">
      <c r="A16795" t="str">
        <f>"5965884"</f>
        <v>5965884</v>
      </c>
      <c r="B16795" t="s">
        <v>14165</v>
      </c>
      <c r="C16795" t="s">
        <v>1665</v>
      </c>
      <c r="D16795" s="21" t="s">
        <v>34</v>
      </c>
      <c r="E16795" s="21" t="s">
        <v>254</v>
      </c>
      <c r="F16795">
        <v>7590404</v>
      </c>
      <c r="G16795" t="s">
        <v>12173</v>
      </c>
      <c r="H16795" s="21">
        <v>814.17</v>
      </c>
    </row>
    <row r="16796" spans="1:8" customFormat="1" x14ac:dyDescent="0.25">
      <c r="A16796" t="str">
        <f>"8526672"</f>
        <v>8526672</v>
      </c>
      <c r="B16796" t="s">
        <v>27450</v>
      </c>
      <c r="C16796" t="s">
        <v>204</v>
      </c>
      <c r="D16796" s="21" t="s">
        <v>34</v>
      </c>
      <c r="E16796" s="21" t="s">
        <v>35</v>
      </c>
      <c r="F16796">
        <v>12850001</v>
      </c>
      <c r="G16796" t="s">
        <v>1197</v>
      </c>
      <c r="H16796" s="21">
        <v>814.17</v>
      </c>
    </row>
    <row r="16797" spans="1:8" customFormat="1" x14ac:dyDescent="0.25">
      <c r="A16797" t="str">
        <f>"274567"</f>
        <v>274567</v>
      </c>
      <c r="B16797" t="s">
        <v>15399</v>
      </c>
      <c r="C16797" t="s">
        <v>124</v>
      </c>
      <c r="D16797" s="21" t="s">
        <v>34</v>
      </c>
      <c r="E16797" s="21" t="s">
        <v>71</v>
      </c>
      <c r="F16797">
        <v>9270139</v>
      </c>
      <c r="G16797" t="s">
        <v>6955</v>
      </c>
      <c r="H16797" s="21">
        <v>814.17</v>
      </c>
    </row>
    <row r="16798" spans="1:8" customFormat="1" x14ac:dyDescent="0.25">
      <c r="A16798" t="str">
        <f>"721183"</f>
        <v>721183</v>
      </c>
      <c r="B16798" t="s">
        <v>2483</v>
      </c>
      <c r="C16798" t="s">
        <v>784</v>
      </c>
      <c r="D16798" s="21" t="s">
        <v>34</v>
      </c>
      <c r="E16798" s="21" t="s">
        <v>35</v>
      </c>
      <c r="F16798">
        <v>12720127</v>
      </c>
      <c r="G16798" t="s">
        <v>6528</v>
      </c>
      <c r="H16798" s="21">
        <v>814.17</v>
      </c>
    </row>
    <row r="16799" spans="1:8" customFormat="1" x14ac:dyDescent="0.25">
      <c r="A16799" t="str">
        <f>"5323513"</f>
        <v>5323513</v>
      </c>
      <c r="B16799" t="s">
        <v>14740</v>
      </c>
      <c r="C16799" t="s">
        <v>2208</v>
      </c>
      <c r="D16799" s="21" t="s">
        <v>34</v>
      </c>
      <c r="E16799" s="21" t="s">
        <v>71</v>
      </c>
      <c r="F16799">
        <v>12530068</v>
      </c>
      <c r="G16799" t="s">
        <v>5165</v>
      </c>
      <c r="H16799" s="21">
        <v>814.17</v>
      </c>
    </row>
    <row r="16800" spans="1:8" customFormat="1" x14ac:dyDescent="0.25">
      <c r="A16800" t="str">
        <f>"182897"</f>
        <v>182897</v>
      </c>
      <c r="B16800" t="s">
        <v>2976</v>
      </c>
      <c r="C16800" t="s">
        <v>169</v>
      </c>
      <c r="D16800" s="21" t="s">
        <v>34</v>
      </c>
      <c r="E16800" s="21" t="s">
        <v>71</v>
      </c>
      <c r="F16800">
        <v>4180304</v>
      </c>
      <c r="G16800" t="s">
        <v>4003</v>
      </c>
      <c r="H16800" s="21">
        <v>814.17</v>
      </c>
    </row>
    <row r="16801" spans="1:8" customFormat="1" x14ac:dyDescent="0.25">
      <c r="A16801" t="str">
        <f>"7510764"</f>
        <v>7510764</v>
      </c>
      <c r="B16801" t="s">
        <v>1961</v>
      </c>
      <c r="C16801" t="s">
        <v>415</v>
      </c>
      <c r="D16801" s="21" t="s">
        <v>34</v>
      </c>
      <c r="E16801" s="21" t="s">
        <v>1089</v>
      </c>
      <c r="F16801">
        <v>8770166</v>
      </c>
      <c r="G16801" t="s">
        <v>653</v>
      </c>
      <c r="H16801" s="21">
        <v>814.17</v>
      </c>
    </row>
    <row r="16802" spans="1:8" customFormat="1" x14ac:dyDescent="0.25">
      <c r="A16802" t="str">
        <f>"5322857"</f>
        <v>5322857</v>
      </c>
      <c r="B16802" t="s">
        <v>1341</v>
      </c>
      <c r="C16802" t="s">
        <v>2730</v>
      </c>
      <c r="D16802" s="21" t="s">
        <v>34</v>
      </c>
      <c r="E16802" s="21" t="s">
        <v>254</v>
      </c>
      <c r="F16802">
        <v>12530065</v>
      </c>
      <c r="G16802" t="s">
        <v>10009</v>
      </c>
      <c r="H16802" s="21">
        <v>814.17</v>
      </c>
    </row>
    <row r="16803" spans="1:8" customFormat="1" x14ac:dyDescent="0.25">
      <c r="A16803" t="str">
        <f>"6724338"</f>
        <v>6724338</v>
      </c>
      <c r="B16803" t="s">
        <v>2243</v>
      </c>
      <c r="C16803" t="s">
        <v>1675</v>
      </c>
      <c r="D16803" s="21" t="s">
        <v>34</v>
      </c>
      <c r="E16803" s="21" t="s">
        <v>35</v>
      </c>
      <c r="F16803">
        <v>6670187</v>
      </c>
      <c r="G16803" t="s">
        <v>240</v>
      </c>
      <c r="H16803" s="21">
        <v>814.17</v>
      </c>
    </row>
    <row r="16804" spans="1:8" customFormat="1" x14ac:dyDescent="0.25">
      <c r="A16804" t="str">
        <f>"54251"</f>
        <v>54251</v>
      </c>
      <c r="B16804" t="s">
        <v>13909</v>
      </c>
      <c r="C16804" t="s">
        <v>412</v>
      </c>
      <c r="D16804" s="21" t="s">
        <v>34</v>
      </c>
      <c r="E16804" s="21" t="s">
        <v>6185</v>
      </c>
      <c r="F16804">
        <v>6540014</v>
      </c>
      <c r="G16804" t="s">
        <v>1483</v>
      </c>
      <c r="H16804" s="21">
        <v>814.17</v>
      </c>
    </row>
    <row r="16805" spans="1:8" customFormat="1" x14ac:dyDescent="0.25">
      <c r="A16805" t="str">
        <f>"4215599"</f>
        <v>4215599</v>
      </c>
      <c r="B16805" t="s">
        <v>387</v>
      </c>
      <c r="C16805" t="s">
        <v>415</v>
      </c>
      <c r="D16805" s="21" t="s">
        <v>34</v>
      </c>
      <c r="E16805" s="21" t="s">
        <v>71</v>
      </c>
      <c r="F16805">
        <v>1420151</v>
      </c>
      <c r="G16805" t="s">
        <v>6802</v>
      </c>
      <c r="H16805" s="21">
        <v>814.17</v>
      </c>
    </row>
    <row r="16806" spans="1:8" customFormat="1" x14ac:dyDescent="0.25">
      <c r="A16806" t="str">
        <f>"01794"</f>
        <v>01794</v>
      </c>
      <c r="B16806" t="s">
        <v>14034</v>
      </c>
      <c r="C16806" t="s">
        <v>2520</v>
      </c>
      <c r="D16806" s="21" t="s">
        <v>34</v>
      </c>
      <c r="E16806" s="21" t="s">
        <v>254</v>
      </c>
      <c r="F16806">
        <v>1010004</v>
      </c>
      <c r="G16806" t="s">
        <v>9066</v>
      </c>
      <c r="H16806" s="21">
        <v>814.04</v>
      </c>
    </row>
    <row r="16807" spans="1:8" customFormat="1" x14ac:dyDescent="0.25">
      <c r="A16807" t="str">
        <f>"888114"</f>
        <v>888114</v>
      </c>
      <c r="B16807" t="s">
        <v>14041</v>
      </c>
      <c r="C16807" t="s">
        <v>967</v>
      </c>
      <c r="D16807" s="21" t="s">
        <v>34</v>
      </c>
      <c r="E16807" s="21" t="s">
        <v>254</v>
      </c>
      <c r="F16807">
        <v>6880066</v>
      </c>
      <c r="G16807" t="s">
        <v>4833</v>
      </c>
      <c r="H16807" s="21">
        <v>813.92</v>
      </c>
    </row>
    <row r="16808" spans="1:8" customFormat="1" x14ac:dyDescent="0.25">
      <c r="A16808" t="str">
        <f>"545571"</f>
        <v>545571</v>
      </c>
      <c r="B16808" t="s">
        <v>13555</v>
      </c>
      <c r="C16808" t="s">
        <v>598</v>
      </c>
      <c r="D16808" s="21" t="s">
        <v>34</v>
      </c>
      <c r="E16808" s="21" t="s">
        <v>254</v>
      </c>
      <c r="F16808">
        <v>6540011</v>
      </c>
      <c r="G16808" t="s">
        <v>6084</v>
      </c>
      <c r="H16808" s="21">
        <v>813.92</v>
      </c>
    </row>
    <row r="16809" spans="1:8" customFormat="1" x14ac:dyDescent="0.25">
      <c r="A16809" t="str">
        <f>"2510947"</f>
        <v>2510947</v>
      </c>
      <c r="B16809" t="s">
        <v>7102</v>
      </c>
      <c r="C16809" t="s">
        <v>462</v>
      </c>
      <c r="D16809" s="21" t="s">
        <v>34</v>
      </c>
      <c r="E16809" s="21" t="s">
        <v>71</v>
      </c>
      <c r="F16809">
        <v>2250033</v>
      </c>
      <c r="G16809" t="s">
        <v>4951</v>
      </c>
      <c r="H16809" s="21">
        <v>813.92</v>
      </c>
    </row>
    <row r="16810" spans="1:8" customFormat="1" x14ac:dyDescent="0.25">
      <c r="A16810" t="str">
        <f>"3822338"</f>
        <v>3822338</v>
      </c>
      <c r="B16810" t="s">
        <v>13875</v>
      </c>
      <c r="C16810" t="s">
        <v>209</v>
      </c>
      <c r="D16810" s="21" t="s">
        <v>34</v>
      </c>
      <c r="E16810" s="21" t="s">
        <v>71</v>
      </c>
      <c r="F16810">
        <v>1380275</v>
      </c>
      <c r="G16810" t="s">
        <v>8042</v>
      </c>
      <c r="H16810" s="21">
        <v>813.79</v>
      </c>
    </row>
    <row r="16811" spans="1:8" customFormat="1" x14ac:dyDescent="0.25">
      <c r="A16811" t="str">
        <f>"4414219"</f>
        <v>4414219</v>
      </c>
      <c r="B16811" t="s">
        <v>13338</v>
      </c>
      <c r="C16811" t="s">
        <v>65</v>
      </c>
      <c r="D16811" s="21" t="s">
        <v>34</v>
      </c>
      <c r="E16811" s="21" t="s">
        <v>71</v>
      </c>
      <c r="F16811">
        <v>12440039</v>
      </c>
      <c r="G16811" t="s">
        <v>9650</v>
      </c>
      <c r="H16811" s="21">
        <v>813.67</v>
      </c>
    </row>
    <row r="16812" spans="1:8" customFormat="1" x14ac:dyDescent="0.25">
      <c r="A16812" t="str">
        <f>"5926296"</f>
        <v>5926296</v>
      </c>
      <c r="B16812" t="s">
        <v>2183</v>
      </c>
      <c r="C16812" t="s">
        <v>87</v>
      </c>
      <c r="D16812" s="21" t="s">
        <v>34</v>
      </c>
      <c r="E16812" s="21" t="s">
        <v>71</v>
      </c>
      <c r="F16812">
        <v>7590100</v>
      </c>
      <c r="G16812" t="s">
        <v>1660</v>
      </c>
      <c r="H16812" s="21">
        <v>813.67</v>
      </c>
    </row>
    <row r="16813" spans="1:8" customFormat="1" x14ac:dyDescent="0.25">
      <c r="A16813" t="str">
        <f>"5321853"</f>
        <v>5321853</v>
      </c>
      <c r="B16813" t="s">
        <v>14168</v>
      </c>
      <c r="C16813" t="s">
        <v>147</v>
      </c>
      <c r="D16813" s="21" t="s">
        <v>34</v>
      </c>
      <c r="E16813" s="21" t="s">
        <v>35</v>
      </c>
      <c r="F16813">
        <v>12530051</v>
      </c>
      <c r="G16813" t="s">
        <v>4995</v>
      </c>
      <c r="H16813" s="21">
        <v>813.67</v>
      </c>
    </row>
    <row r="16814" spans="1:8" customFormat="1" x14ac:dyDescent="0.25">
      <c r="A16814" t="str">
        <f>"087149"</f>
        <v>087149</v>
      </c>
      <c r="B16814" t="s">
        <v>2280</v>
      </c>
      <c r="C16814" t="s">
        <v>119</v>
      </c>
      <c r="D16814" s="21" t="s">
        <v>34</v>
      </c>
      <c r="E16814" s="21" t="s">
        <v>71</v>
      </c>
      <c r="F16814">
        <v>6080013</v>
      </c>
      <c r="G16814" t="s">
        <v>1532</v>
      </c>
      <c r="H16814" s="21">
        <v>813.67</v>
      </c>
    </row>
    <row r="16815" spans="1:8" customFormat="1" x14ac:dyDescent="0.25">
      <c r="A16815" t="str">
        <f>"7921494"</f>
        <v>7921494</v>
      </c>
      <c r="B16815" t="s">
        <v>13700</v>
      </c>
      <c r="C16815" t="s">
        <v>33</v>
      </c>
      <c r="D16815" s="21" t="s">
        <v>34</v>
      </c>
      <c r="E16815" s="21" t="s">
        <v>35</v>
      </c>
      <c r="F16815">
        <v>10790002</v>
      </c>
      <c r="G16815" t="s">
        <v>6612</v>
      </c>
      <c r="H16815" s="21">
        <v>813.67</v>
      </c>
    </row>
    <row r="16816" spans="1:8" customFormat="1" x14ac:dyDescent="0.25">
      <c r="A16816" t="str">
        <f>"3317982"</f>
        <v>3317982</v>
      </c>
      <c r="B16816" t="s">
        <v>14890</v>
      </c>
      <c r="C16816" t="s">
        <v>87</v>
      </c>
      <c r="D16816" s="21" t="s">
        <v>34</v>
      </c>
      <c r="E16816" s="21" t="s">
        <v>35</v>
      </c>
      <c r="F16816">
        <v>10330077</v>
      </c>
      <c r="G16816" t="s">
        <v>4274</v>
      </c>
      <c r="H16816" s="21">
        <v>813.67</v>
      </c>
    </row>
    <row r="16817" spans="1:8" customFormat="1" x14ac:dyDescent="0.25">
      <c r="A16817" t="str">
        <f>"755950"</f>
        <v>755950</v>
      </c>
      <c r="B16817" t="s">
        <v>27451</v>
      </c>
      <c r="C16817" t="s">
        <v>498</v>
      </c>
      <c r="D16817" s="21" t="s">
        <v>34</v>
      </c>
      <c r="E16817" s="21" t="s">
        <v>254</v>
      </c>
      <c r="F16817">
        <v>8751311</v>
      </c>
      <c r="G16817" t="s">
        <v>11818</v>
      </c>
      <c r="H16817" s="21">
        <v>813.67</v>
      </c>
    </row>
    <row r="16818" spans="1:8" customFormat="1" x14ac:dyDescent="0.25">
      <c r="A16818" t="str">
        <f>"0811480"</f>
        <v>0811480</v>
      </c>
      <c r="B16818" t="s">
        <v>14285</v>
      </c>
      <c r="C16818" t="s">
        <v>14286</v>
      </c>
      <c r="D16818" s="21" t="s">
        <v>34</v>
      </c>
      <c r="E16818" s="21" t="s">
        <v>1089</v>
      </c>
      <c r="F16818">
        <v>6080076</v>
      </c>
      <c r="G16818" t="s">
        <v>1767</v>
      </c>
      <c r="H16818" s="21">
        <v>813.67</v>
      </c>
    </row>
    <row r="16819" spans="1:8" customFormat="1" x14ac:dyDescent="0.25">
      <c r="A16819" t="str">
        <f>"433664"</f>
        <v>433664</v>
      </c>
      <c r="B16819" t="s">
        <v>8930</v>
      </c>
      <c r="C16819" t="s">
        <v>269</v>
      </c>
      <c r="D16819" s="21" t="s">
        <v>34</v>
      </c>
      <c r="E16819" s="21" t="s">
        <v>71</v>
      </c>
      <c r="F16819">
        <v>1420305</v>
      </c>
      <c r="G16819" t="s">
        <v>13520</v>
      </c>
      <c r="H16819" s="21">
        <v>813.67</v>
      </c>
    </row>
    <row r="16820" spans="1:8" customFormat="1" x14ac:dyDescent="0.25">
      <c r="A16820" t="str">
        <f>"429681"</f>
        <v>429681</v>
      </c>
      <c r="B16820" t="s">
        <v>2012</v>
      </c>
      <c r="C16820" t="s">
        <v>1271</v>
      </c>
      <c r="D16820" s="21" t="s">
        <v>34</v>
      </c>
      <c r="E16820" s="21" t="s">
        <v>254</v>
      </c>
      <c r="F16820">
        <v>1030082</v>
      </c>
      <c r="G16820" t="s">
        <v>26828</v>
      </c>
      <c r="H16820" s="21">
        <v>813.67</v>
      </c>
    </row>
    <row r="16821" spans="1:8" customFormat="1" x14ac:dyDescent="0.25">
      <c r="A16821" t="str">
        <f>"061677"</f>
        <v>061677</v>
      </c>
      <c r="B16821" t="s">
        <v>14091</v>
      </c>
      <c r="C16821" t="s">
        <v>119</v>
      </c>
      <c r="D16821" s="21" t="s">
        <v>34</v>
      </c>
      <c r="E16821" s="21" t="s">
        <v>71</v>
      </c>
      <c r="F16821">
        <v>13060085</v>
      </c>
      <c r="G16821" t="s">
        <v>2703</v>
      </c>
      <c r="H16821" s="21">
        <v>813.67</v>
      </c>
    </row>
    <row r="16822" spans="1:8" customFormat="1" x14ac:dyDescent="0.25">
      <c r="A16822" t="str">
        <f>"7614323"</f>
        <v>7614323</v>
      </c>
      <c r="B16822" t="s">
        <v>15113</v>
      </c>
      <c r="C16822" t="s">
        <v>576</v>
      </c>
      <c r="D16822" s="21" t="s">
        <v>34</v>
      </c>
      <c r="E16822" s="21" t="s">
        <v>35</v>
      </c>
      <c r="F16822">
        <v>9760214</v>
      </c>
      <c r="G16822" t="s">
        <v>12889</v>
      </c>
      <c r="H16822" s="21">
        <v>813.67</v>
      </c>
    </row>
    <row r="16823" spans="1:8" customFormat="1" x14ac:dyDescent="0.25">
      <c r="A16823" t="str">
        <f>"2927021"</f>
        <v>2927021</v>
      </c>
      <c r="B16823" t="s">
        <v>3989</v>
      </c>
      <c r="C16823" t="s">
        <v>462</v>
      </c>
      <c r="D16823" s="21" t="s">
        <v>34</v>
      </c>
      <c r="E16823" s="21" t="s">
        <v>35</v>
      </c>
      <c r="F16823">
        <v>11650004</v>
      </c>
      <c r="G16823" t="s">
        <v>382</v>
      </c>
      <c r="H16823" s="21">
        <v>813.67</v>
      </c>
    </row>
    <row r="16824" spans="1:8" customFormat="1" x14ac:dyDescent="0.25">
      <c r="A16824" t="str">
        <f>"352166"</f>
        <v>352166</v>
      </c>
      <c r="B16824" t="s">
        <v>8455</v>
      </c>
      <c r="C16824" t="s">
        <v>926</v>
      </c>
      <c r="D16824" s="21" t="s">
        <v>34</v>
      </c>
      <c r="E16824" s="21" t="s">
        <v>254</v>
      </c>
      <c r="F16824">
        <v>3350150</v>
      </c>
      <c r="G16824" t="s">
        <v>6419</v>
      </c>
      <c r="H16824" s="21">
        <v>813.67</v>
      </c>
    </row>
    <row r="16825" spans="1:8" customFormat="1" x14ac:dyDescent="0.25">
      <c r="A16825" t="str">
        <f>"1312033"</f>
        <v>1312033</v>
      </c>
      <c r="B16825" t="s">
        <v>14349</v>
      </c>
      <c r="C16825" t="s">
        <v>293</v>
      </c>
      <c r="D16825" s="21" t="s">
        <v>34</v>
      </c>
      <c r="E16825" s="21" t="s">
        <v>35</v>
      </c>
      <c r="F16825">
        <v>13130133</v>
      </c>
      <c r="G16825" t="s">
        <v>12333</v>
      </c>
      <c r="H16825" s="21">
        <v>813.67</v>
      </c>
    </row>
    <row r="16826" spans="1:8" customFormat="1" x14ac:dyDescent="0.25">
      <c r="A16826" t="str">
        <f>"5917701"</f>
        <v>5917701</v>
      </c>
      <c r="B16826" t="s">
        <v>16529</v>
      </c>
      <c r="C16826" t="s">
        <v>211</v>
      </c>
      <c r="D16826" s="21" t="s">
        <v>34</v>
      </c>
      <c r="E16826" s="21" t="s">
        <v>35</v>
      </c>
      <c r="F16826">
        <v>7590006</v>
      </c>
      <c r="G16826" t="s">
        <v>4165</v>
      </c>
      <c r="H16826" s="21">
        <v>813.67</v>
      </c>
    </row>
    <row r="16827" spans="1:8" customFormat="1" x14ac:dyDescent="0.25">
      <c r="A16827" t="str">
        <f>"3315204"</f>
        <v>3315204</v>
      </c>
      <c r="B16827" t="s">
        <v>970</v>
      </c>
      <c r="C16827" t="s">
        <v>40</v>
      </c>
      <c r="D16827" s="21" t="s">
        <v>34</v>
      </c>
      <c r="E16827" s="21" t="s">
        <v>71</v>
      </c>
      <c r="F16827">
        <v>10330003</v>
      </c>
      <c r="G16827" t="s">
        <v>309</v>
      </c>
      <c r="H16827" s="21">
        <v>813.67</v>
      </c>
    </row>
    <row r="16828" spans="1:8" customFormat="1" x14ac:dyDescent="0.25">
      <c r="A16828" t="str">
        <f>"5912596"</f>
        <v>5912596</v>
      </c>
      <c r="B16828" t="s">
        <v>13492</v>
      </c>
      <c r="C16828" t="s">
        <v>428</v>
      </c>
      <c r="D16828" s="21" t="s">
        <v>34</v>
      </c>
      <c r="E16828" s="21" t="s">
        <v>35</v>
      </c>
      <c r="F16828">
        <v>7590137</v>
      </c>
      <c r="G16828" t="s">
        <v>4246</v>
      </c>
      <c r="H16828" s="21">
        <v>813.67</v>
      </c>
    </row>
    <row r="16829" spans="1:8" customFormat="1" x14ac:dyDescent="0.25">
      <c r="A16829" t="str">
        <f>"175516"</f>
        <v>175516</v>
      </c>
      <c r="B16829" t="s">
        <v>11091</v>
      </c>
      <c r="C16829" t="s">
        <v>249</v>
      </c>
      <c r="D16829" s="21" t="s">
        <v>34</v>
      </c>
      <c r="E16829" s="21" t="s">
        <v>254</v>
      </c>
      <c r="F16829">
        <v>10170158</v>
      </c>
      <c r="G16829" t="s">
        <v>1262</v>
      </c>
      <c r="H16829" s="21">
        <v>813.67</v>
      </c>
    </row>
    <row r="16830" spans="1:8" customFormat="1" x14ac:dyDescent="0.25">
      <c r="A16830" t="str">
        <f>"501295"</f>
        <v>501295</v>
      </c>
      <c r="B16830" t="s">
        <v>14181</v>
      </c>
      <c r="C16830" t="s">
        <v>124</v>
      </c>
      <c r="D16830" s="21" t="s">
        <v>34</v>
      </c>
      <c r="E16830" s="21" t="s">
        <v>71</v>
      </c>
      <c r="F16830">
        <v>9500073</v>
      </c>
      <c r="G16830" t="s">
        <v>5393</v>
      </c>
      <c r="H16830" s="21">
        <v>813.67</v>
      </c>
    </row>
    <row r="16831" spans="1:8" customFormat="1" x14ac:dyDescent="0.25">
      <c r="A16831" t="str">
        <f>"305355"</f>
        <v>305355</v>
      </c>
      <c r="B16831" t="s">
        <v>13038</v>
      </c>
      <c r="C16831" t="s">
        <v>55</v>
      </c>
      <c r="D16831" s="21" t="s">
        <v>34</v>
      </c>
      <c r="E16831" s="21" t="s">
        <v>35</v>
      </c>
      <c r="F16831">
        <v>11340060</v>
      </c>
      <c r="G16831" t="s">
        <v>1275</v>
      </c>
      <c r="H16831" s="21">
        <v>813.17</v>
      </c>
    </row>
    <row r="16832" spans="1:8" customFormat="1" x14ac:dyDescent="0.25">
      <c r="A16832" t="str">
        <f>"2511312"</f>
        <v>2511312</v>
      </c>
      <c r="B16832" t="s">
        <v>14383</v>
      </c>
      <c r="C16832" t="s">
        <v>209</v>
      </c>
      <c r="D16832" s="21" t="s">
        <v>34</v>
      </c>
      <c r="E16832" s="21" t="s">
        <v>71</v>
      </c>
      <c r="F16832">
        <v>2250196</v>
      </c>
      <c r="G16832" t="s">
        <v>27452</v>
      </c>
      <c r="H16832" s="21">
        <v>813.17</v>
      </c>
    </row>
    <row r="16833" spans="1:8" customFormat="1" x14ac:dyDescent="0.25">
      <c r="A16833" t="str">
        <f>"8519094"</f>
        <v>8519094</v>
      </c>
      <c r="B16833" t="s">
        <v>15897</v>
      </c>
      <c r="C16833" t="s">
        <v>60</v>
      </c>
      <c r="D16833" s="21" t="s">
        <v>34</v>
      </c>
      <c r="E16833" s="21" t="s">
        <v>35</v>
      </c>
      <c r="F16833">
        <v>12850007</v>
      </c>
      <c r="G16833" t="s">
        <v>7649</v>
      </c>
      <c r="H16833" s="21">
        <v>813.17</v>
      </c>
    </row>
    <row r="16834" spans="1:8" customFormat="1" x14ac:dyDescent="0.25">
      <c r="A16834" t="str">
        <f>"6720753"</f>
        <v>6720753</v>
      </c>
      <c r="B16834" t="s">
        <v>27453</v>
      </c>
      <c r="C16834" t="s">
        <v>27454</v>
      </c>
      <c r="D16834" s="21" t="s">
        <v>34</v>
      </c>
      <c r="E16834" s="21" t="s">
        <v>35</v>
      </c>
      <c r="F16834">
        <v>6670219</v>
      </c>
      <c r="G16834" t="s">
        <v>9361</v>
      </c>
      <c r="H16834" s="21">
        <v>813.17</v>
      </c>
    </row>
    <row r="16835" spans="1:8" customFormat="1" x14ac:dyDescent="0.25">
      <c r="A16835" t="str">
        <f>"5617482"</f>
        <v>5617482</v>
      </c>
      <c r="B16835" t="s">
        <v>12974</v>
      </c>
      <c r="C16835" t="s">
        <v>328</v>
      </c>
      <c r="D16835" s="21" t="s">
        <v>34</v>
      </c>
      <c r="E16835" s="21" t="s">
        <v>35</v>
      </c>
      <c r="F16835">
        <v>3560037</v>
      </c>
      <c r="G16835" t="s">
        <v>10491</v>
      </c>
      <c r="H16835" s="21">
        <v>813.17</v>
      </c>
    </row>
    <row r="16836" spans="1:8" customFormat="1" x14ac:dyDescent="0.25">
      <c r="A16836" t="str">
        <f>"1415446"</f>
        <v>1415446</v>
      </c>
      <c r="B16836" t="s">
        <v>5115</v>
      </c>
      <c r="C16836" t="s">
        <v>510</v>
      </c>
      <c r="D16836" s="21" t="s">
        <v>34</v>
      </c>
      <c r="E16836" s="21" t="s">
        <v>35</v>
      </c>
      <c r="F16836">
        <v>9140052</v>
      </c>
      <c r="G16836" t="s">
        <v>26563</v>
      </c>
      <c r="H16836" s="21">
        <v>813.17</v>
      </c>
    </row>
    <row r="16837" spans="1:8" customFormat="1" x14ac:dyDescent="0.25">
      <c r="A16837" t="str">
        <f>"5722483"</f>
        <v>5722483</v>
      </c>
      <c r="B16837" t="s">
        <v>13869</v>
      </c>
      <c r="C16837" t="s">
        <v>1025</v>
      </c>
      <c r="D16837" s="21" t="s">
        <v>34</v>
      </c>
      <c r="E16837" s="21" t="s">
        <v>71</v>
      </c>
      <c r="F16837">
        <v>6570190</v>
      </c>
      <c r="G16837" t="s">
        <v>622</v>
      </c>
      <c r="H16837" s="21">
        <v>813.17</v>
      </c>
    </row>
    <row r="16838" spans="1:8" customFormat="1" x14ac:dyDescent="0.25">
      <c r="A16838" t="str">
        <f>"5015629"</f>
        <v>5015629</v>
      </c>
      <c r="B16838" t="s">
        <v>12695</v>
      </c>
      <c r="C16838" t="s">
        <v>547</v>
      </c>
      <c r="D16838" s="21" t="s">
        <v>34</v>
      </c>
      <c r="E16838" s="21" t="s">
        <v>1089</v>
      </c>
      <c r="F16838">
        <v>9500117</v>
      </c>
      <c r="G16838" t="s">
        <v>247</v>
      </c>
      <c r="H16838" s="21">
        <v>813.17</v>
      </c>
    </row>
    <row r="16839" spans="1:8" customFormat="1" x14ac:dyDescent="0.25">
      <c r="A16839" t="str">
        <f>"5950091"</f>
        <v>5950091</v>
      </c>
      <c r="B16839" t="s">
        <v>465</v>
      </c>
      <c r="C16839" t="s">
        <v>2227</v>
      </c>
      <c r="D16839" s="21" t="s">
        <v>34</v>
      </c>
      <c r="E16839" s="21" t="s">
        <v>35</v>
      </c>
      <c r="F16839">
        <v>7590260</v>
      </c>
      <c r="G16839" t="s">
        <v>3043</v>
      </c>
      <c r="H16839" s="21">
        <v>813.17</v>
      </c>
    </row>
    <row r="16840" spans="1:8" customFormat="1" x14ac:dyDescent="0.25">
      <c r="A16840" t="str">
        <f>"4919047"</f>
        <v>4919047</v>
      </c>
      <c r="B16840" t="s">
        <v>10638</v>
      </c>
      <c r="C16840" t="s">
        <v>951</v>
      </c>
      <c r="D16840" s="21" t="s">
        <v>34</v>
      </c>
      <c r="E16840" s="21" t="s">
        <v>35</v>
      </c>
      <c r="F16840">
        <v>12490064</v>
      </c>
      <c r="G16840" t="s">
        <v>8425</v>
      </c>
      <c r="H16840" s="21">
        <v>813.17</v>
      </c>
    </row>
    <row r="16841" spans="1:8" customFormat="1" x14ac:dyDescent="0.25">
      <c r="A16841" t="str">
        <f>"3330010"</f>
        <v>3330010</v>
      </c>
      <c r="B16841" t="s">
        <v>13818</v>
      </c>
      <c r="C16841" t="s">
        <v>486</v>
      </c>
      <c r="D16841" s="21" t="s">
        <v>34</v>
      </c>
      <c r="E16841" s="21" t="s">
        <v>71</v>
      </c>
      <c r="F16841">
        <v>10330084</v>
      </c>
      <c r="G16841" t="s">
        <v>1124</v>
      </c>
      <c r="H16841" s="21">
        <v>813.17</v>
      </c>
    </row>
    <row r="16842" spans="1:8" customFormat="1" x14ac:dyDescent="0.25">
      <c r="A16842" t="str">
        <f>"604183"</f>
        <v>604183</v>
      </c>
      <c r="B16842" t="s">
        <v>108</v>
      </c>
      <c r="C16842" t="s">
        <v>4623</v>
      </c>
      <c r="D16842" s="21" t="s">
        <v>34</v>
      </c>
      <c r="E16842" s="21" t="s">
        <v>254</v>
      </c>
      <c r="F16842">
        <v>7600041</v>
      </c>
      <c r="G16842" t="s">
        <v>8033</v>
      </c>
      <c r="H16842" s="21">
        <v>813.17</v>
      </c>
    </row>
    <row r="16843" spans="1:8" customFormat="1" x14ac:dyDescent="0.25">
      <c r="A16843" t="str">
        <f>"38606"</f>
        <v>38606</v>
      </c>
      <c r="B16843" t="s">
        <v>13906</v>
      </c>
      <c r="C16843" t="s">
        <v>3010</v>
      </c>
      <c r="D16843" s="21" t="s">
        <v>34</v>
      </c>
      <c r="E16843" s="21" t="s">
        <v>254</v>
      </c>
      <c r="F16843">
        <v>1380290</v>
      </c>
      <c r="G16843" t="s">
        <v>619</v>
      </c>
      <c r="H16843" s="21">
        <v>813.17</v>
      </c>
    </row>
    <row r="16844" spans="1:8" customFormat="1" x14ac:dyDescent="0.25">
      <c r="A16844" t="str">
        <f>"574829"</f>
        <v>574829</v>
      </c>
      <c r="B16844" t="s">
        <v>13133</v>
      </c>
      <c r="C16844" t="s">
        <v>3648</v>
      </c>
      <c r="D16844" s="21" t="s">
        <v>34</v>
      </c>
      <c r="E16844" s="21" t="s">
        <v>1089</v>
      </c>
      <c r="F16844">
        <v>6570137</v>
      </c>
      <c r="G16844" t="s">
        <v>13134</v>
      </c>
      <c r="H16844" s="21">
        <v>813.17</v>
      </c>
    </row>
    <row r="16845" spans="1:8" customFormat="1" x14ac:dyDescent="0.25">
      <c r="A16845" t="str">
        <f>"9522801"</f>
        <v>9522801</v>
      </c>
      <c r="B16845" t="s">
        <v>3576</v>
      </c>
      <c r="C16845" t="s">
        <v>598</v>
      </c>
      <c r="D16845" s="21" t="s">
        <v>34</v>
      </c>
      <c r="E16845" s="21" t="s">
        <v>254</v>
      </c>
      <c r="F16845">
        <v>8910914</v>
      </c>
      <c r="G16845" t="s">
        <v>3302</v>
      </c>
      <c r="H16845" s="21">
        <v>813.17</v>
      </c>
    </row>
    <row r="16846" spans="1:8" customFormat="1" x14ac:dyDescent="0.25">
      <c r="A16846" t="str">
        <f>"5713786"</f>
        <v>5713786</v>
      </c>
      <c r="B16846" t="s">
        <v>690</v>
      </c>
      <c r="C16846" t="s">
        <v>412</v>
      </c>
      <c r="D16846" s="21" t="s">
        <v>34</v>
      </c>
      <c r="E16846" s="21" t="s">
        <v>1089</v>
      </c>
      <c r="F16846">
        <v>6570174</v>
      </c>
      <c r="G16846" t="s">
        <v>12454</v>
      </c>
      <c r="H16846" s="21">
        <v>813.17</v>
      </c>
    </row>
    <row r="16847" spans="1:8" customFormat="1" x14ac:dyDescent="0.25">
      <c r="A16847" t="str">
        <f>"9512521"</f>
        <v>9512521</v>
      </c>
      <c r="B16847" t="s">
        <v>14983</v>
      </c>
      <c r="C16847" t="s">
        <v>87</v>
      </c>
      <c r="D16847" s="21" t="s">
        <v>34</v>
      </c>
      <c r="E16847" s="21" t="s">
        <v>35</v>
      </c>
      <c r="F16847">
        <v>9500063</v>
      </c>
      <c r="G16847" t="s">
        <v>4114</v>
      </c>
      <c r="H16847" s="21">
        <v>813.17</v>
      </c>
    </row>
    <row r="16848" spans="1:8" customFormat="1" x14ac:dyDescent="0.25">
      <c r="A16848" t="str">
        <f>"7616515"</f>
        <v>7616515</v>
      </c>
      <c r="B16848" t="s">
        <v>1729</v>
      </c>
      <c r="C16848" t="s">
        <v>119</v>
      </c>
      <c r="D16848" s="21" t="s">
        <v>34</v>
      </c>
      <c r="E16848" s="21" t="s">
        <v>71</v>
      </c>
      <c r="F16848">
        <v>9760157</v>
      </c>
      <c r="G16848" t="s">
        <v>3412</v>
      </c>
      <c r="H16848" s="21">
        <v>813.17</v>
      </c>
    </row>
    <row r="16849" spans="1:8" customFormat="1" x14ac:dyDescent="0.25">
      <c r="A16849" t="str">
        <f>"9744919"</f>
        <v>9744919</v>
      </c>
      <c r="B16849" t="s">
        <v>17550</v>
      </c>
      <c r="C16849" t="s">
        <v>267</v>
      </c>
      <c r="D16849" s="21" t="s">
        <v>34</v>
      </c>
      <c r="E16849" s="21" t="s">
        <v>254</v>
      </c>
      <c r="F16849" t="s">
        <v>2849</v>
      </c>
      <c r="G16849" t="s">
        <v>2850</v>
      </c>
      <c r="H16849" s="21">
        <v>813.04</v>
      </c>
    </row>
    <row r="16850" spans="1:8" customFormat="1" x14ac:dyDescent="0.25">
      <c r="A16850" t="str">
        <f>"2937267"</f>
        <v>2937267</v>
      </c>
      <c r="B16850" t="s">
        <v>14317</v>
      </c>
      <c r="C16850" t="s">
        <v>246</v>
      </c>
      <c r="D16850" s="21" t="s">
        <v>34</v>
      </c>
      <c r="E16850" s="21" t="s">
        <v>35</v>
      </c>
      <c r="F16850">
        <v>3290215</v>
      </c>
      <c r="G16850" t="s">
        <v>5058</v>
      </c>
      <c r="H16850" s="21">
        <v>813.04</v>
      </c>
    </row>
    <row r="16851" spans="1:8" customFormat="1" x14ac:dyDescent="0.25">
      <c r="A16851" t="str">
        <f>"1422617"</f>
        <v>1422617</v>
      </c>
      <c r="B16851" t="s">
        <v>15398</v>
      </c>
      <c r="C16851" t="s">
        <v>459</v>
      </c>
      <c r="D16851" s="21" t="s">
        <v>34</v>
      </c>
      <c r="E16851" s="21" t="s">
        <v>71</v>
      </c>
      <c r="F16851">
        <v>9140007</v>
      </c>
      <c r="G16851" t="s">
        <v>434</v>
      </c>
      <c r="H16851" s="21">
        <v>812.92</v>
      </c>
    </row>
    <row r="16852" spans="1:8" customFormat="1" x14ac:dyDescent="0.25">
      <c r="A16852" t="str">
        <f>"365235"</f>
        <v>365235</v>
      </c>
      <c r="B16852" t="s">
        <v>13241</v>
      </c>
      <c r="C16852" t="s">
        <v>285</v>
      </c>
      <c r="D16852" s="21" t="s">
        <v>34</v>
      </c>
      <c r="E16852" s="21" t="s">
        <v>35</v>
      </c>
      <c r="F16852">
        <v>4360707</v>
      </c>
      <c r="G16852" t="s">
        <v>6621</v>
      </c>
      <c r="H16852" s="21">
        <v>812.92</v>
      </c>
    </row>
    <row r="16853" spans="1:8" customFormat="1" x14ac:dyDescent="0.25">
      <c r="A16853" t="str">
        <f>"5322493"</f>
        <v>5322493</v>
      </c>
      <c r="B16853" t="s">
        <v>14976</v>
      </c>
      <c r="C16853" t="s">
        <v>1853</v>
      </c>
      <c r="D16853" s="21" t="s">
        <v>34</v>
      </c>
      <c r="E16853" s="21" t="s">
        <v>71</v>
      </c>
      <c r="F16853">
        <v>12530127</v>
      </c>
      <c r="G16853" t="s">
        <v>7067</v>
      </c>
      <c r="H16853" s="21">
        <v>812.92</v>
      </c>
    </row>
    <row r="16854" spans="1:8" customFormat="1" x14ac:dyDescent="0.25">
      <c r="A16854" t="str">
        <f>"769217"</f>
        <v>769217</v>
      </c>
      <c r="B16854" t="s">
        <v>15121</v>
      </c>
      <c r="C16854" t="s">
        <v>415</v>
      </c>
      <c r="D16854" s="21" t="s">
        <v>34</v>
      </c>
      <c r="E16854" s="21" t="s">
        <v>254</v>
      </c>
      <c r="F16854">
        <v>9760239</v>
      </c>
      <c r="G16854" t="s">
        <v>9147</v>
      </c>
      <c r="H16854" s="21">
        <v>812.92</v>
      </c>
    </row>
    <row r="16855" spans="1:8" customFormat="1" x14ac:dyDescent="0.25">
      <c r="A16855" t="str">
        <f>"5978834"</f>
        <v>5978834</v>
      </c>
      <c r="B16855" t="s">
        <v>16792</v>
      </c>
      <c r="C16855" t="s">
        <v>719</v>
      </c>
      <c r="D16855" s="21" t="s">
        <v>34</v>
      </c>
      <c r="E16855" s="21" t="s">
        <v>35</v>
      </c>
      <c r="F16855">
        <v>7590153</v>
      </c>
      <c r="G16855" t="s">
        <v>9484</v>
      </c>
      <c r="H16855" s="21">
        <v>812.92</v>
      </c>
    </row>
    <row r="16856" spans="1:8" customFormat="1" x14ac:dyDescent="0.25">
      <c r="A16856" t="str">
        <f>"692073"</f>
        <v>692073</v>
      </c>
      <c r="B16856" t="s">
        <v>13137</v>
      </c>
      <c r="C16856" t="s">
        <v>3109</v>
      </c>
      <c r="D16856" s="21" t="s">
        <v>34</v>
      </c>
      <c r="E16856" s="21" t="s">
        <v>35</v>
      </c>
      <c r="F16856">
        <v>1690102</v>
      </c>
      <c r="G16856" t="s">
        <v>2081</v>
      </c>
      <c r="H16856" s="21">
        <v>812.79</v>
      </c>
    </row>
    <row r="16857" spans="1:8" customFormat="1" x14ac:dyDescent="0.25">
      <c r="A16857" t="str">
        <f>"5312383"</f>
        <v>5312383</v>
      </c>
      <c r="B16857" t="s">
        <v>2469</v>
      </c>
      <c r="C16857" t="s">
        <v>263</v>
      </c>
      <c r="D16857" s="21" t="s">
        <v>34</v>
      </c>
      <c r="E16857" s="21" t="s">
        <v>35</v>
      </c>
      <c r="F16857">
        <v>12530023</v>
      </c>
      <c r="G16857" t="s">
        <v>5879</v>
      </c>
      <c r="H16857" s="21">
        <v>812.67</v>
      </c>
    </row>
    <row r="16858" spans="1:8" customFormat="1" x14ac:dyDescent="0.25">
      <c r="A16858" t="str">
        <f>"677260"</f>
        <v>677260</v>
      </c>
      <c r="B16858" t="s">
        <v>13660</v>
      </c>
      <c r="C16858" t="s">
        <v>841</v>
      </c>
      <c r="D16858" s="21" t="s">
        <v>34</v>
      </c>
      <c r="E16858" s="21" t="s">
        <v>254</v>
      </c>
      <c r="F16858">
        <v>6670072</v>
      </c>
      <c r="G16858" t="s">
        <v>4154</v>
      </c>
      <c r="H16858" s="21">
        <v>812.67</v>
      </c>
    </row>
    <row r="16859" spans="1:8" customFormat="1" x14ac:dyDescent="0.25">
      <c r="A16859" t="str">
        <f>"5611856"</f>
        <v>5611856</v>
      </c>
      <c r="B16859" t="s">
        <v>13811</v>
      </c>
      <c r="C16859" t="s">
        <v>13812</v>
      </c>
      <c r="D16859" s="21" t="s">
        <v>34</v>
      </c>
      <c r="E16859" s="21" t="s">
        <v>35</v>
      </c>
      <c r="F16859">
        <v>3560007</v>
      </c>
      <c r="G16859" t="s">
        <v>10211</v>
      </c>
      <c r="H16859" s="21">
        <v>812.67</v>
      </c>
    </row>
    <row r="16860" spans="1:8" customFormat="1" x14ac:dyDescent="0.25">
      <c r="A16860" t="str">
        <f>"723194"</f>
        <v>723194</v>
      </c>
      <c r="B16860" t="s">
        <v>14453</v>
      </c>
      <c r="C16860" t="s">
        <v>598</v>
      </c>
      <c r="D16860" s="21" t="s">
        <v>34</v>
      </c>
      <c r="E16860" s="21" t="s">
        <v>254</v>
      </c>
      <c r="F16860">
        <v>3350016</v>
      </c>
      <c r="G16860" t="s">
        <v>133</v>
      </c>
      <c r="H16860" s="21">
        <v>812.67</v>
      </c>
    </row>
    <row r="16861" spans="1:8" customFormat="1" x14ac:dyDescent="0.25">
      <c r="A16861" t="str">
        <f>"139388"</f>
        <v>139388</v>
      </c>
      <c r="B16861" t="s">
        <v>9145</v>
      </c>
      <c r="C16861" t="s">
        <v>209</v>
      </c>
      <c r="D16861" s="21" t="s">
        <v>34</v>
      </c>
      <c r="E16861" s="21" t="s">
        <v>35</v>
      </c>
      <c r="F16861">
        <v>13130161</v>
      </c>
      <c r="G16861" t="s">
        <v>1171</v>
      </c>
      <c r="H16861" s="21">
        <v>812.67</v>
      </c>
    </row>
    <row r="16862" spans="1:8" customFormat="1" x14ac:dyDescent="0.25">
      <c r="A16862" t="str">
        <f>"6225408"</f>
        <v>6225408</v>
      </c>
      <c r="B16862" t="s">
        <v>2032</v>
      </c>
      <c r="C16862" t="s">
        <v>55</v>
      </c>
      <c r="D16862" s="21" t="s">
        <v>34</v>
      </c>
      <c r="E16862" s="21" t="s">
        <v>71</v>
      </c>
      <c r="F16862">
        <v>7620176</v>
      </c>
      <c r="G16862" t="s">
        <v>3111</v>
      </c>
      <c r="H16862" s="21">
        <v>812.67</v>
      </c>
    </row>
    <row r="16863" spans="1:8" customFormat="1" x14ac:dyDescent="0.25">
      <c r="A16863" t="str">
        <f>"762471"</f>
        <v>762471</v>
      </c>
      <c r="B16863" t="s">
        <v>14003</v>
      </c>
      <c r="C16863" t="s">
        <v>2305</v>
      </c>
      <c r="D16863" s="21" t="s">
        <v>34</v>
      </c>
      <c r="E16863" s="21" t="s">
        <v>1089</v>
      </c>
      <c r="F16863">
        <v>9760168</v>
      </c>
      <c r="G16863" t="s">
        <v>179</v>
      </c>
      <c r="H16863" s="21">
        <v>812.67</v>
      </c>
    </row>
    <row r="16864" spans="1:8" customFormat="1" x14ac:dyDescent="0.25">
      <c r="A16864" t="str">
        <f>"245620"</f>
        <v>245620</v>
      </c>
      <c r="B16864" t="s">
        <v>2014</v>
      </c>
      <c r="C16864" t="s">
        <v>198</v>
      </c>
      <c r="D16864" s="21" t="s">
        <v>34</v>
      </c>
      <c r="E16864" s="21" t="s">
        <v>35</v>
      </c>
      <c r="F16864">
        <v>10240003</v>
      </c>
      <c r="G16864" t="s">
        <v>2940</v>
      </c>
      <c r="H16864" s="21">
        <v>812.67</v>
      </c>
    </row>
    <row r="16865" spans="1:8" customFormat="1" x14ac:dyDescent="0.25">
      <c r="A16865" t="str">
        <f>"279080"</f>
        <v>279080</v>
      </c>
      <c r="B16865" t="s">
        <v>14819</v>
      </c>
      <c r="C16865" t="s">
        <v>269</v>
      </c>
      <c r="D16865" s="21" t="s">
        <v>34</v>
      </c>
      <c r="E16865" s="21" t="s">
        <v>71</v>
      </c>
      <c r="F16865">
        <v>9270161</v>
      </c>
      <c r="G16865" t="s">
        <v>10104</v>
      </c>
      <c r="H16865" s="21">
        <v>812.67</v>
      </c>
    </row>
    <row r="16866" spans="1:8" customFormat="1" x14ac:dyDescent="0.25">
      <c r="A16866" t="str">
        <f>"443543"</f>
        <v>443543</v>
      </c>
      <c r="B16866" t="s">
        <v>3848</v>
      </c>
      <c r="C16866" t="s">
        <v>547</v>
      </c>
      <c r="D16866" s="21" t="s">
        <v>34</v>
      </c>
      <c r="E16866" s="21" t="s">
        <v>1089</v>
      </c>
      <c r="F16866">
        <v>12440129</v>
      </c>
      <c r="G16866" t="s">
        <v>11755</v>
      </c>
      <c r="H16866" s="21">
        <v>812.67</v>
      </c>
    </row>
    <row r="16867" spans="1:8" customFormat="1" x14ac:dyDescent="0.25">
      <c r="A16867" t="str">
        <f>"8013377"</f>
        <v>8013377</v>
      </c>
      <c r="B16867" t="s">
        <v>623</v>
      </c>
      <c r="C16867" t="s">
        <v>1142</v>
      </c>
      <c r="D16867" s="21" t="s">
        <v>34</v>
      </c>
      <c r="E16867" s="21" t="s">
        <v>71</v>
      </c>
      <c r="F16867">
        <v>7800005</v>
      </c>
      <c r="G16867" t="s">
        <v>6547</v>
      </c>
      <c r="H16867" s="21">
        <v>812.67</v>
      </c>
    </row>
    <row r="16868" spans="1:8" customFormat="1" x14ac:dyDescent="0.25">
      <c r="A16868" t="str">
        <f>"59703"</f>
        <v>59703</v>
      </c>
      <c r="B16868" t="s">
        <v>12025</v>
      </c>
      <c r="C16868" t="s">
        <v>4842</v>
      </c>
      <c r="D16868" s="21" t="s">
        <v>34</v>
      </c>
      <c r="E16868" s="21" t="s">
        <v>6185</v>
      </c>
      <c r="F16868">
        <v>7590177</v>
      </c>
      <c r="G16868" t="s">
        <v>10380</v>
      </c>
      <c r="H16868" s="21">
        <v>812.67</v>
      </c>
    </row>
    <row r="16869" spans="1:8" customFormat="1" x14ac:dyDescent="0.25">
      <c r="A16869" t="str">
        <f>"729531"</f>
        <v>729531</v>
      </c>
      <c r="B16869" t="s">
        <v>2564</v>
      </c>
      <c r="C16869" t="s">
        <v>336</v>
      </c>
      <c r="D16869" s="21" t="s">
        <v>34</v>
      </c>
      <c r="E16869" s="21" t="s">
        <v>1089</v>
      </c>
      <c r="F16869">
        <v>12720108</v>
      </c>
      <c r="G16869" t="s">
        <v>27287</v>
      </c>
      <c r="H16869" s="21">
        <v>812.67</v>
      </c>
    </row>
    <row r="16870" spans="1:8" customFormat="1" x14ac:dyDescent="0.25">
      <c r="A16870" t="str">
        <f>"6110610"</f>
        <v>6110610</v>
      </c>
      <c r="B16870" t="s">
        <v>2747</v>
      </c>
      <c r="C16870" t="s">
        <v>2752</v>
      </c>
      <c r="D16870" s="21" t="s">
        <v>34</v>
      </c>
      <c r="E16870" s="21" t="s">
        <v>35</v>
      </c>
      <c r="F16870">
        <v>9610108</v>
      </c>
      <c r="G16870" t="s">
        <v>14594</v>
      </c>
      <c r="H16870" s="21">
        <v>812.67</v>
      </c>
    </row>
    <row r="16871" spans="1:8" customFormat="1" x14ac:dyDescent="0.25">
      <c r="A16871" t="str">
        <f>"859550"</f>
        <v>859550</v>
      </c>
      <c r="B16871" t="s">
        <v>10609</v>
      </c>
      <c r="C16871" t="s">
        <v>33</v>
      </c>
      <c r="D16871" s="21" t="s">
        <v>34</v>
      </c>
      <c r="E16871" s="21" t="s">
        <v>71</v>
      </c>
      <c r="F16871">
        <v>12850148</v>
      </c>
      <c r="G16871" t="s">
        <v>2380</v>
      </c>
      <c r="H16871" s="21">
        <v>812.67</v>
      </c>
    </row>
    <row r="16872" spans="1:8" customFormat="1" x14ac:dyDescent="0.25">
      <c r="A16872" t="str">
        <f>"50272"</f>
        <v>50272</v>
      </c>
      <c r="B16872" t="s">
        <v>8654</v>
      </c>
      <c r="C16872" t="s">
        <v>2520</v>
      </c>
      <c r="D16872" s="21" t="s">
        <v>34</v>
      </c>
      <c r="E16872" s="21" t="s">
        <v>254</v>
      </c>
      <c r="F16872">
        <v>9500132</v>
      </c>
      <c r="G16872" t="s">
        <v>11167</v>
      </c>
      <c r="H16872" s="21">
        <v>812.67</v>
      </c>
    </row>
    <row r="16873" spans="1:8" customFormat="1" x14ac:dyDescent="0.25">
      <c r="A16873" t="str">
        <f>"7614230"</f>
        <v>7614230</v>
      </c>
      <c r="B16873" t="s">
        <v>108</v>
      </c>
      <c r="C16873" t="s">
        <v>263</v>
      </c>
      <c r="D16873" s="21" t="s">
        <v>34</v>
      </c>
      <c r="E16873" s="21" t="s">
        <v>71</v>
      </c>
      <c r="F16873">
        <v>9760368</v>
      </c>
      <c r="G16873" t="s">
        <v>8267</v>
      </c>
      <c r="H16873" s="21">
        <v>812.67</v>
      </c>
    </row>
    <row r="16874" spans="1:8" customFormat="1" x14ac:dyDescent="0.25">
      <c r="A16874" t="str">
        <f>"8015025"</f>
        <v>8015025</v>
      </c>
      <c r="B16874" t="s">
        <v>5337</v>
      </c>
      <c r="C16874" t="s">
        <v>1786</v>
      </c>
      <c r="D16874" s="21" t="s">
        <v>34</v>
      </c>
      <c r="E16874" s="21" t="s">
        <v>71</v>
      </c>
      <c r="F16874">
        <v>7800066</v>
      </c>
      <c r="G16874" t="s">
        <v>14130</v>
      </c>
      <c r="H16874" s="21">
        <v>812.67</v>
      </c>
    </row>
    <row r="16875" spans="1:8" customFormat="1" x14ac:dyDescent="0.25">
      <c r="A16875" t="str">
        <f>"9512949"</f>
        <v>9512949</v>
      </c>
      <c r="B16875" t="s">
        <v>5728</v>
      </c>
      <c r="C16875" t="s">
        <v>87</v>
      </c>
      <c r="D16875" s="21" t="s">
        <v>34</v>
      </c>
      <c r="E16875" s="21" t="s">
        <v>35</v>
      </c>
      <c r="F16875">
        <v>8921190</v>
      </c>
      <c r="G16875" t="s">
        <v>810</v>
      </c>
      <c r="H16875" s="21">
        <v>812.67</v>
      </c>
    </row>
    <row r="16876" spans="1:8" customFormat="1" x14ac:dyDescent="0.25">
      <c r="A16876" t="str">
        <f>"9141368"</f>
        <v>9141368</v>
      </c>
      <c r="B16876" t="s">
        <v>16142</v>
      </c>
      <c r="C16876" t="s">
        <v>87</v>
      </c>
      <c r="D16876" s="21" t="s">
        <v>34</v>
      </c>
      <c r="E16876" s="21" t="s">
        <v>35</v>
      </c>
      <c r="F16876">
        <v>8910652</v>
      </c>
      <c r="G16876" t="s">
        <v>6533</v>
      </c>
      <c r="H16876" s="21">
        <v>812.54</v>
      </c>
    </row>
    <row r="16877" spans="1:8" customFormat="1" x14ac:dyDescent="0.25">
      <c r="A16877" t="str">
        <f>"367736"</f>
        <v>367736</v>
      </c>
      <c r="B16877" t="s">
        <v>2118</v>
      </c>
      <c r="C16877" t="s">
        <v>204</v>
      </c>
      <c r="D16877" s="21" t="s">
        <v>34</v>
      </c>
      <c r="E16877" s="21" t="s">
        <v>35</v>
      </c>
      <c r="F16877">
        <v>4360707</v>
      </c>
      <c r="G16877" t="s">
        <v>6621</v>
      </c>
      <c r="H16877" s="21">
        <v>812.54</v>
      </c>
    </row>
    <row r="16878" spans="1:8" customFormat="1" x14ac:dyDescent="0.25">
      <c r="A16878" t="str">
        <f>"0211821"</f>
        <v>0211821</v>
      </c>
      <c r="B16878" t="s">
        <v>6089</v>
      </c>
      <c r="C16878" t="s">
        <v>96</v>
      </c>
      <c r="D16878" s="21" t="s">
        <v>34</v>
      </c>
      <c r="E16878" s="21" t="s">
        <v>35</v>
      </c>
      <c r="F16878">
        <v>7020044</v>
      </c>
      <c r="G16878" t="s">
        <v>4690</v>
      </c>
      <c r="H16878" s="21">
        <v>812.42</v>
      </c>
    </row>
    <row r="16879" spans="1:8" customFormat="1" x14ac:dyDescent="0.25">
      <c r="A16879" t="str">
        <f>"4112127"</f>
        <v>4112127</v>
      </c>
      <c r="B16879" t="s">
        <v>15012</v>
      </c>
      <c r="C16879" t="s">
        <v>249</v>
      </c>
      <c r="D16879" s="21" t="s">
        <v>34</v>
      </c>
      <c r="E16879" s="21" t="s">
        <v>71</v>
      </c>
      <c r="F16879">
        <v>4410729</v>
      </c>
      <c r="G16879" t="s">
        <v>4427</v>
      </c>
      <c r="H16879" s="21">
        <v>812.42</v>
      </c>
    </row>
    <row r="16880" spans="1:8" customFormat="1" x14ac:dyDescent="0.25">
      <c r="A16880" t="str">
        <f>"5947179"</f>
        <v>5947179</v>
      </c>
      <c r="B16880" t="s">
        <v>14450</v>
      </c>
      <c r="C16880" t="s">
        <v>2806</v>
      </c>
      <c r="D16880" s="21" t="s">
        <v>34</v>
      </c>
      <c r="E16880" s="21" t="s">
        <v>254</v>
      </c>
      <c r="F16880">
        <v>7590235</v>
      </c>
      <c r="G16880" t="s">
        <v>5121</v>
      </c>
      <c r="H16880" s="21">
        <v>812.17</v>
      </c>
    </row>
    <row r="16881" spans="1:8" customFormat="1" x14ac:dyDescent="0.25">
      <c r="A16881" t="str">
        <f>"6225770"</f>
        <v>6225770</v>
      </c>
      <c r="B16881" t="s">
        <v>15419</v>
      </c>
      <c r="C16881" t="s">
        <v>82</v>
      </c>
      <c r="D16881" s="21" t="s">
        <v>34</v>
      </c>
      <c r="E16881" s="21" t="s">
        <v>35</v>
      </c>
      <c r="F16881">
        <v>7620088</v>
      </c>
      <c r="G16881" t="s">
        <v>3342</v>
      </c>
      <c r="H16881" s="21">
        <v>812.17</v>
      </c>
    </row>
    <row r="16882" spans="1:8" customFormat="1" x14ac:dyDescent="0.25">
      <c r="A16882" t="str">
        <f>"461411"</f>
        <v>461411</v>
      </c>
      <c r="B16882" t="s">
        <v>14570</v>
      </c>
      <c r="C16882" t="s">
        <v>239</v>
      </c>
      <c r="D16882" s="21" t="s">
        <v>34</v>
      </c>
      <c r="E16882" s="21" t="s">
        <v>35</v>
      </c>
      <c r="F16882">
        <v>11460028</v>
      </c>
      <c r="G16882" t="s">
        <v>5243</v>
      </c>
      <c r="H16882" s="21">
        <v>812.17</v>
      </c>
    </row>
    <row r="16883" spans="1:8" customFormat="1" x14ac:dyDescent="0.25">
      <c r="A16883" t="str">
        <f>"672754"</f>
        <v>672754</v>
      </c>
      <c r="B16883" t="s">
        <v>14029</v>
      </c>
      <c r="C16883" t="s">
        <v>812</v>
      </c>
      <c r="D16883" s="21" t="s">
        <v>34</v>
      </c>
      <c r="E16883" s="21" t="s">
        <v>254</v>
      </c>
      <c r="F16883">
        <v>6670246</v>
      </c>
      <c r="G16883" t="s">
        <v>7707</v>
      </c>
      <c r="H16883" s="21">
        <v>812.17</v>
      </c>
    </row>
    <row r="16884" spans="1:8" customFormat="1" x14ac:dyDescent="0.25">
      <c r="A16884" t="str">
        <f>"124752"</f>
        <v>124752</v>
      </c>
      <c r="B16884" t="s">
        <v>27455</v>
      </c>
      <c r="C16884" t="s">
        <v>486</v>
      </c>
      <c r="D16884" s="21" t="s">
        <v>34</v>
      </c>
      <c r="E16884" s="21" t="s">
        <v>35</v>
      </c>
      <c r="F16884">
        <v>11120043</v>
      </c>
      <c r="G16884" t="s">
        <v>9111</v>
      </c>
      <c r="H16884" s="21">
        <v>812.17</v>
      </c>
    </row>
    <row r="16885" spans="1:8" customFormat="1" x14ac:dyDescent="0.25">
      <c r="A16885" t="str">
        <f>"5111251"</f>
        <v>5111251</v>
      </c>
      <c r="B16885" t="s">
        <v>15263</v>
      </c>
      <c r="C16885" t="s">
        <v>263</v>
      </c>
      <c r="D16885" s="21" t="s">
        <v>34</v>
      </c>
      <c r="E16885" s="21" t="s">
        <v>71</v>
      </c>
      <c r="F16885">
        <v>6510002</v>
      </c>
      <c r="G16885" t="s">
        <v>4588</v>
      </c>
      <c r="H16885" s="21">
        <v>812.17</v>
      </c>
    </row>
    <row r="16886" spans="1:8" customFormat="1" x14ac:dyDescent="0.25">
      <c r="A16886" t="str">
        <f>"5611212"</f>
        <v>5611212</v>
      </c>
      <c r="B16886" t="s">
        <v>8561</v>
      </c>
      <c r="C16886" t="s">
        <v>209</v>
      </c>
      <c r="D16886" s="21" t="s">
        <v>34</v>
      </c>
      <c r="E16886" s="21" t="s">
        <v>71</v>
      </c>
      <c r="F16886">
        <v>3560046</v>
      </c>
      <c r="G16886" t="s">
        <v>9309</v>
      </c>
      <c r="H16886" s="21">
        <v>812.17</v>
      </c>
    </row>
    <row r="16887" spans="1:8" customFormat="1" x14ac:dyDescent="0.25">
      <c r="A16887" t="str">
        <f>"715940"</f>
        <v>715940</v>
      </c>
      <c r="B16887" t="s">
        <v>14597</v>
      </c>
      <c r="C16887" t="s">
        <v>1110</v>
      </c>
      <c r="D16887" s="21" t="s">
        <v>34</v>
      </c>
      <c r="E16887" s="21" t="s">
        <v>254</v>
      </c>
      <c r="F16887">
        <v>2710048</v>
      </c>
      <c r="G16887" t="s">
        <v>2225</v>
      </c>
      <c r="H16887" s="21">
        <v>812.17</v>
      </c>
    </row>
    <row r="16888" spans="1:8" customFormat="1" x14ac:dyDescent="0.25">
      <c r="A16888" t="str">
        <f>"811882"</f>
        <v>811882</v>
      </c>
      <c r="B16888" t="s">
        <v>9376</v>
      </c>
      <c r="C16888" t="s">
        <v>412</v>
      </c>
      <c r="D16888" s="21" t="s">
        <v>34</v>
      </c>
      <c r="E16888" s="21" t="s">
        <v>254</v>
      </c>
      <c r="F16888">
        <v>10170005</v>
      </c>
      <c r="G16888" t="s">
        <v>4290</v>
      </c>
      <c r="H16888" s="21">
        <v>812.04</v>
      </c>
    </row>
    <row r="16889" spans="1:8" customFormat="1" x14ac:dyDescent="0.25">
      <c r="A16889" t="str">
        <f>"7850373"</f>
        <v>7850373</v>
      </c>
      <c r="B16889" t="s">
        <v>4010</v>
      </c>
      <c r="C16889" t="s">
        <v>2546</v>
      </c>
      <c r="D16889" s="21" t="s">
        <v>34</v>
      </c>
      <c r="E16889" s="21" t="s">
        <v>71</v>
      </c>
      <c r="F16889">
        <v>8780130</v>
      </c>
      <c r="G16889" t="s">
        <v>5752</v>
      </c>
      <c r="H16889" s="21">
        <v>812.04</v>
      </c>
    </row>
    <row r="16890" spans="1:8" customFormat="1" x14ac:dyDescent="0.25">
      <c r="A16890" t="str">
        <f>"3331434"</f>
        <v>3331434</v>
      </c>
      <c r="B16890" t="s">
        <v>16681</v>
      </c>
      <c r="C16890" t="s">
        <v>564</v>
      </c>
      <c r="D16890" s="21" t="s">
        <v>34</v>
      </c>
      <c r="E16890" s="21" t="s">
        <v>35</v>
      </c>
      <c r="F16890">
        <v>10330117</v>
      </c>
      <c r="G16890" t="s">
        <v>1942</v>
      </c>
      <c r="H16890" s="21">
        <v>812.04</v>
      </c>
    </row>
    <row r="16891" spans="1:8" customFormat="1" x14ac:dyDescent="0.25">
      <c r="A16891" t="str">
        <f>"7827481"</f>
        <v>7827481</v>
      </c>
      <c r="B16891" t="s">
        <v>5734</v>
      </c>
      <c r="C16891" t="s">
        <v>124</v>
      </c>
      <c r="D16891" s="21" t="s">
        <v>34</v>
      </c>
      <c r="E16891" s="21" t="s">
        <v>71</v>
      </c>
      <c r="F16891">
        <v>8780568</v>
      </c>
      <c r="G16891" t="s">
        <v>5279</v>
      </c>
      <c r="H16891" s="21">
        <v>812.04</v>
      </c>
    </row>
    <row r="16892" spans="1:8" customFormat="1" x14ac:dyDescent="0.25">
      <c r="A16892" t="str">
        <f>"283030"</f>
        <v>283030</v>
      </c>
      <c r="B16892" t="s">
        <v>1576</v>
      </c>
      <c r="C16892" t="s">
        <v>867</v>
      </c>
      <c r="D16892" s="21" t="s">
        <v>34</v>
      </c>
      <c r="E16892" s="21" t="s">
        <v>35</v>
      </c>
      <c r="F16892">
        <v>4280322</v>
      </c>
      <c r="G16892" t="s">
        <v>265</v>
      </c>
      <c r="H16892" s="21">
        <v>811.92</v>
      </c>
    </row>
    <row r="16893" spans="1:8" customFormat="1" x14ac:dyDescent="0.25">
      <c r="A16893" t="str">
        <f>"6231680"</f>
        <v>6231680</v>
      </c>
      <c r="B16893" t="s">
        <v>243</v>
      </c>
      <c r="C16893" t="s">
        <v>139</v>
      </c>
      <c r="D16893" s="21" t="s">
        <v>34</v>
      </c>
      <c r="E16893" s="21" t="s">
        <v>35</v>
      </c>
      <c r="F16893">
        <v>7620111</v>
      </c>
      <c r="G16893" t="s">
        <v>1372</v>
      </c>
      <c r="H16893" s="21">
        <v>811.92</v>
      </c>
    </row>
    <row r="16894" spans="1:8" customFormat="1" x14ac:dyDescent="0.25">
      <c r="A16894" t="str">
        <f>"7512083"</f>
        <v>7512083</v>
      </c>
      <c r="B16894" t="s">
        <v>14940</v>
      </c>
      <c r="C16894" t="s">
        <v>302</v>
      </c>
      <c r="D16894" s="21" t="s">
        <v>34</v>
      </c>
      <c r="E16894" s="21" t="s">
        <v>35</v>
      </c>
      <c r="F16894">
        <v>8750292</v>
      </c>
      <c r="G16894" t="s">
        <v>9069</v>
      </c>
      <c r="H16894" s="21">
        <v>811.92</v>
      </c>
    </row>
    <row r="16895" spans="1:8" customFormat="1" x14ac:dyDescent="0.25">
      <c r="A16895" t="str">
        <f>"2516997"</f>
        <v>2516997</v>
      </c>
      <c r="B16895" t="s">
        <v>14918</v>
      </c>
      <c r="C16895" t="s">
        <v>576</v>
      </c>
      <c r="D16895" s="21" t="s">
        <v>34</v>
      </c>
      <c r="E16895" s="21" t="s">
        <v>35</v>
      </c>
      <c r="F16895">
        <v>2250232</v>
      </c>
      <c r="G16895" t="s">
        <v>14919</v>
      </c>
      <c r="H16895" s="21">
        <v>811.92</v>
      </c>
    </row>
    <row r="16896" spans="1:8" customFormat="1" x14ac:dyDescent="0.25">
      <c r="A16896" t="str">
        <f>"518209"</f>
        <v>518209</v>
      </c>
      <c r="B16896" t="s">
        <v>146</v>
      </c>
      <c r="C16896" t="s">
        <v>453</v>
      </c>
      <c r="D16896" s="21" t="s">
        <v>34</v>
      </c>
      <c r="E16896" s="21" t="s">
        <v>254</v>
      </c>
      <c r="F16896">
        <v>6510107</v>
      </c>
      <c r="G16896" t="s">
        <v>1392</v>
      </c>
      <c r="H16896" s="21">
        <v>811.79</v>
      </c>
    </row>
    <row r="16897" spans="1:8" customFormat="1" x14ac:dyDescent="0.25">
      <c r="A16897" t="str">
        <f>"705164"</f>
        <v>705164</v>
      </c>
      <c r="B16897" t="s">
        <v>1833</v>
      </c>
      <c r="C16897" t="s">
        <v>33</v>
      </c>
      <c r="D16897" s="21" t="s">
        <v>34</v>
      </c>
      <c r="E16897" s="21" t="s">
        <v>35</v>
      </c>
      <c r="F16897">
        <v>2700074</v>
      </c>
      <c r="G16897" t="s">
        <v>27108</v>
      </c>
      <c r="H16897" s="21">
        <v>811.67</v>
      </c>
    </row>
    <row r="16898" spans="1:8" customFormat="1" x14ac:dyDescent="0.25">
      <c r="A16898" t="str">
        <f>"5723505"</f>
        <v>5723505</v>
      </c>
      <c r="B16898" t="s">
        <v>12038</v>
      </c>
      <c r="C16898" t="s">
        <v>269</v>
      </c>
      <c r="D16898" s="21" t="s">
        <v>34</v>
      </c>
      <c r="E16898" s="21" t="s">
        <v>35</v>
      </c>
      <c r="F16898">
        <v>6570193</v>
      </c>
      <c r="G16898" t="s">
        <v>13003</v>
      </c>
      <c r="H16898" s="21">
        <v>811.67</v>
      </c>
    </row>
    <row r="16899" spans="1:8" customFormat="1" x14ac:dyDescent="0.25">
      <c r="A16899" t="str">
        <f>"3513434"</f>
        <v>3513434</v>
      </c>
      <c r="B16899" t="s">
        <v>7700</v>
      </c>
      <c r="C16899" t="s">
        <v>267</v>
      </c>
      <c r="D16899" s="21" t="s">
        <v>34</v>
      </c>
      <c r="E16899" s="21" t="s">
        <v>254</v>
      </c>
      <c r="F16899">
        <v>3350160</v>
      </c>
      <c r="G16899" t="s">
        <v>13252</v>
      </c>
      <c r="H16899" s="21">
        <v>811.67</v>
      </c>
    </row>
    <row r="16900" spans="1:8" customFormat="1" x14ac:dyDescent="0.25">
      <c r="A16900" t="str">
        <f>"7516709"</f>
        <v>7516709</v>
      </c>
      <c r="B16900" t="s">
        <v>14216</v>
      </c>
      <c r="C16900" t="s">
        <v>14217</v>
      </c>
      <c r="D16900" s="21" t="s">
        <v>34</v>
      </c>
      <c r="E16900" s="21" t="s">
        <v>71</v>
      </c>
      <c r="F16900">
        <v>8751163</v>
      </c>
      <c r="G16900" t="s">
        <v>80</v>
      </c>
      <c r="H16900" s="21">
        <v>811.67</v>
      </c>
    </row>
    <row r="16901" spans="1:8" customFormat="1" x14ac:dyDescent="0.25">
      <c r="A16901" t="str">
        <f>"856511"</f>
        <v>856511</v>
      </c>
      <c r="B16901" t="s">
        <v>6221</v>
      </c>
      <c r="C16901" t="s">
        <v>598</v>
      </c>
      <c r="D16901" s="21" t="s">
        <v>34</v>
      </c>
      <c r="E16901" s="21" t="s">
        <v>71</v>
      </c>
      <c r="F16901">
        <v>12850031</v>
      </c>
      <c r="G16901" t="s">
        <v>3180</v>
      </c>
      <c r="H16901" s="21">
        <v>811.67</v>
      </c>
    </row>
    <row r="16902" spans="1:8" customFormat="1" x14ac:dyDescent="0.25">
      <c r="A16902" t="str">
        <f>"163960"</f>
        <v>163960</v>
      </c>
      <c r="B16902" t="s">
        <v>14206</v>
      </c>
      <c r="C16902" t="s">
        <v>239</v>
      </c>
      <c r="D16902" s="21" t="s">
        <v>34</v>
      </c>
      <c r="E16902" s="21" t="s">
        <v>71</v>
      </c>
      <c r="F16902">
        <v>10160197</v>
      </c>
      <c r="G16902" t="s">
        <v>4472</v>
      </c>
      <c r="H16902" s="21">
        <v>811.67</v>
      </c>
    </row>
    <row r="16903" spans="1:8" customFormat="1" x14ac:dyDescent="0.25">
      <c r="A16903" t="str">
        <f>"606683"</f>
        <v>606683</v>
      </c>
      <c r="B16903" t="s">
        <v>13905</v>
      </c>
      <c r="C16903" t="s">
        <v>40</v>
      </c>
      <c r="D16903" s="21" t="s">
        <v>34</v>
      </c>
      <c r="E16903" s="21" t="s">
        <v>71</v>
      </c>
      <c r="F16903">
        <v>7600040</v>
      </c>
      <c r="G16903" t="s">
        <v>6757</v>
      </c>
      <c r="H16903" s="21">
        <v>811.67</v>
      </c>
    </row>
    <row r="16904" spans="1:8" customFormat="1" x14ac:dyDescent="0.25">
      <c r="A16904" t="str">
        <f>"523596"</f>
        <v>523596</v>
      </c>
      <c r="B16904" t="s">
        <v>5273</v>
      </c>
      <c r="C16904" t="s">
        <v>249</v>
      </c>
      <c r="D16904" s="21" t="s">
        <v>34</v>
      </c>
      <c r="E16904" s="21" t="s">
        <v>71</v>
      </c>
      <c r="F16904">
        <v>6520022</v>
      </c>
      <c r="G16904" t="s">
        <v>2041</v>
      </c>
      <c r="H16904" s="21">
        <v>811.67</v>
      </c>
    </row>
    <row r="16905" spans="1:8" customFormat="1" x14ac:dyDescent="0.25">
      <c r="A16905" t="str">
        <f>"5430158"</f>
        <v>5430158</v>
      </c>
      <c r="B16905" t="s">
        <v>561</v>
      </c>
      <c r="C16905" t="s">
        <v>124</v>
      </c>
      <c r="D16905" s="21" t="s">
        <v>34</v>
      </c>
      <c r="E16905" s="21" t="s">
        <v>71</v>
      </c>
      <c r="F16905">
        <v>6540076</v>
      </c>
      <c r="G16905" t="s">
        <v>2947</v>
      </c>
      <c r="H16905" s="21">
        <v>811.67</v>
      </c>
    </row>
    <row r="16906" spans="1:8" customFormat="1" x14ac:dyDescent="0.25">
      <c r="A16906" t="str">
        <f>"7633077"</f>
        <v>7633077</v>
      </c>
      <c r="B16906" t="s">
        <v>14664</v>
      </c>
      <c r="C16906" t="s">
        <v>1025</v>
      </c>
      <c r="D16906" s="21" t="s">
        <v>34</v>
      </c>
      <c r="E16906" s="21" t="s">
        <v>71</v>
      </c>
      <c r="F16906">
        <v>9760157</v>
      </c>
      <c r="G16906" t="s">
        <v>3412</v>
      </c>
      <c r="H16906" s="21">
        <v>811.67</v>
      </c>
    </row>
    <row r="16907" spans="1:8" customFormat="1" x14ac:dyDescent="0.25">
      <c r="A16907" t="str">
        <f>"035343"</f>
        <v>035343</v>
      </c>
      <c r="B16907" t="s">
        <v>27456</v>
      </c>
      <c r="C16907" t="s">
        <v>336</v>
      </c>
      <c r="D16907" s="21" t="s">
        <v>34</v>
      </c>
      <c r="E16907" s="21" t="s">
        <v>254</v>
      </c>
      <c r="F16907">
        <v>1030308</v>
      </c>
      <c r="G16907" t="s">
        <v>1485</v>
      </c>
      <c r="H16907" s="21">
        <v>811.67</v>
      </c>
    </row>
    <row r="16908" spans="1:8" customFormat="1" x14ac:dyDescent="0.25">
      <c r="A16908" t="str">
        <f>"2922460"</f>
        <v>2922460</v>
      </c>
      <c r="B16908" t="s">
        <v>9366</v>
      </c>
      <c r="C16908" t="s">
        <v>14504</v>
      </c>
      <c r="D16908" s="21" t="s">
        <v>34</v>
      </c>
      <c r="E16908" s="21" t="s">
        <v>71</v>
      </c>
      <c r="F16908">
        <v>3290090</v>
      </c>
      <c r="G16908" t="s">
        <v>1390</v>
      </c>
      <c r="H16908" s="21">
        <v>811.67</v>
      </c>
    </row>
    <row r="16909" spans="1:8" customFormat="1" x14ac:dyDescent="0.25">
      <c r="A16909" t="str">
        <f>"1314711"</f>
        <v>1314711</v>
      </c>
      <c r="B16909" t="s">
        <v>14157</v>
      </c>
      <c r="C16909" t="s">
        <v>1841</v>
      </c>
      <c r="D16909" s="21" t="s">
        <v>34</v>
      </c>
      <c r="E16909" s="21" t="s">
        <v>254</v>
      </c>
      <c r="F16909">
        <v>13130154</v>
      </c>
      <c r="G16909" t="s">
        <v>5503</v>
      </c>
      <c r="H16909" s="21">
        <v>811.67</v>
      </c>
    </row>
    <row r="16910" spans="1:8" customFormat="1" x14ac:dyDescent="0.25">
      <c r="A16910" t="str">
        <f>"6716745"</f>
        <v>6716745</v>
      </c>
      <c r="B16910" t="s">
        <v>27457</v>
      </c>
      <c r="C16910" t="s">
        <v>399</v>
      </c>
      <c r="D16910" s="21" t="s">
        <v>34</v>
      </c>
      <c r="E16910" s="21" t="s">
        <v>35</v>
      </c>
      <c r="F16910">
        <v>6670115</v>
      </c>
      <c r="G16910" t="s">
        <v>3798</v>
      </c>
      <c r="H16910" s="21">
        <v>811.67</v>
      </c>
    </row>
    <row r="16911" spans="1:8" customFormat="1" x14ac:dyDescent="0.25">
      <c r="A16911" t="str">
        <f>"5616616"</f>
        <v>5616616</v>
      </c>
      <c r="B16911" t="s">
        <v>14297</v>
      </c>
      <c r="C16911" t="s">
        <v>3073</v>
      </c>
      <c r="D16911" s="21" t="s">
        <v>34</v>
      </c>
      <c r="E16911" s="21" t="s">
        <v>71</v>
      </c>
      <c r="F16911">
        <v>3560054</v>
      </c>
      <c r="G16911" t="s">
        <v>10188</v>
      </c>
      <c r="H16911" s="21">
        <v>811.67</v>
      </c>
    </row>
    <row r="16912" spans="1:8" customFormat="1" x14ac:dyDescent="0.25">
      <c r="A16912" t="str">
        <f>"02235"</f>
        <v>02235</v>
      </c>
      <c r="B16912" t="s">
        <v>1835</v>
      </c>
      <c r="C16912" t="s">
        <v>415</v>
      </c>
      <c r="D16912" s="21" t="s">
        <v>34</v>
      </c>
      <c r="E16912" s="21" t="s">
        <v>254</v>
      </c>
      <c r="F16912">
        <v>7020055</v>
      </c>
      <c r="G16912" t="s">
        <v>8987</v>
      </c>
      <c r="H16912" s="21">
        <v>811.67</v>
      </c>
    </row>
    <row r="16913" spans="1:8" customFormat="1" x14ac:dyDescent="0.25">
      <c r="A16913" t="str">
        <f>"5970749"</f>
        <v>5970749</v>
      </c>
      <c r="B16913" t="s">
        <v>27458</v>
      </c>
      <c r="C16913" t="s">
        <v>98</v>
      </c>
      <c r="D16913" s="21" t="s">
        <v>34</v>
      </c>
      <c r="E16913" s="21" t="s">
        <v>35</v>
      </c>
      <c r="F16913">
        <v>7590057</v>
      </c>
      <c r="G16913" t="s">
        <v>7575</v>
      </c>
      <c r="H16913" s="21">
        <v>811.67</v>
      </c>
    </row>
    <row r="16914" spans="1:8" customFormat="1" x14ac:dyDescent="0.25">
      <c r="A16914" t="str">
        <f>"3521725"</f>
        <v>3521725</v>
      </c>
      <c r="B16914" t="s">
        <v>13398</v>
      </c>
      <c r="C16914" t="s">
        <v>33</v>
      </c>
      <c r="D16914" s="21" t="s">
        <v>34</v>
      </c>
      <c r="E16914" s="21" t="s">
        <v>71</v>
      </c>
      <c r="F16914">
        <v>3350122</v>
      </c>
      <c r="G16914" t="s">
        <v>3069</v>
      </c>
      <c r="H16914" s="21">
        <v>811.67</v>
      </c>
    </row>
    <row r="16915" spans="1:8" customFormat="1" x14ac:dyDescent="0.25">
      <c r="A16915" t="str">
        <f>"0111568"</f>
        <v>0111568</v>
      </c>
      <c r="B16915" t="s">
        <v>2386</v>
      </c>
      <c r="C16915" t="s">
        <v>285</v>
      </c>
      <c r="D16915" s="21" t="s">
        <v>34</v>
      </c>
      <c r="E16915" s="21" t="s">
        <v>35</v>
      </c>
      <c r="F16915">
        <v>13830071</v>
      </c>
      <c r="G16915" t="s">
        <v>3221</v>
      </c>
      <c r="H16915" s="21">
        <v>811.67</v>
      </c>
    </row>
    <row r="16916" spans="1:8" customFormat="1" x14ac:dyDescent="0.25">
      <c r="A16916" t="str">
        <f>"8512942"</f>
        <v>8512942</v>
      </c>
      <c r="B16916" t="s">
        <v>3951</v>
      </c>
      <c r="C16916" t="s">
        <v>119</v>
      </c>
      <c r="D16916" s="21" t="s">
        <v>34</v>
      </c>
      <c r="E16916" s="21" t="s">
        <v>71</v>
      </c>
      <c r="F16916">
        <v>12850046</v>
      </c>
      <c r="G16916" t="s">
        <v>3136</v>
      </c>
      <c r="H16916" s="21">
        <v>811.67</v>
      </c>
    </row>
    <row r="16917" spans="1:8" customFormat="1" x14ac:dyDescent="0.25">
      <c r="A16917" t="str">
        <f>"3013973"</f>
        <v>3013973</v>
      </c>
      <c r="B16917" t="s">
        <v>15855</v>
      </c>
      <c r="C16917" t="s">
        <v>198</v>
      </c>
      <c r="D16917" s="21" t="s">
        <v>34</v>
      </c>
      <c r="E16917" s="21" t="s">
        <v>35</v>
      </c>
      <c r="F16917">
        <v>11300025</v>
      </c>
      <c r="G16917" t="s">
        <v>1211</v>
      </c>
      <c r="H16917" s="21">
        <v>811.54</v>
      </c>
    </row>
    <row r="16918" spans="1:8" customFormat="1" x14ac:dyDescent="0.25">
      <c r="A16918" t="str">
        <f>"6915294"</f>
        <v>6915294</v>
      </c>
      <c r="B16918" t="s">
        <v>15878</v>
      </c>
      <c r="C16918" t="s">
        <v>7441</v>
      </c>
      <c r="D16918" s="21" t="s">
        <v>34</v>
      </c>
      <c r="E16918" s="21" t="s">
        <v>35</v>
      </c>
      <c r="F16918">
        <v>13830062</v>
      </c>
      <c r="G16918" t="s">
        <v>9074</v>
      </c>
      <c r="H16918" s="21">
        <v>811.42</v>
      </c>
    </row>
    <row r="16919" spans="1:8" customFormat="1" x14ac:dyDescent="0.25">
      <c r="A16919" t="str">
        <f>"596184"</f>
        <v>596184</v>
      </c>
      <c r="B16919" t="s">
        <v>13892</v>
      </c>
      <c r="C16919" t="s">
        <v>4842</v>
      </c>
      <c r="D16919" s="21" t="s">
        <v>34</v>
      </c>
      <c r="E16919" s="21" t="s">
        <v>254</v>
      </c>
      <c r="F16919">
        <v>7590087</v>
      </c>
      <c r="G16919" t="s">
        <v>2112</v>
      </c>
      <c r="H16919" s="21">
        <v>811.42</v>
      </c>
    </row>
    <row r="16920" spans="1:8" customFormat="1" x14ac:dyDescent="0.25">
      <c r="A16920" t="str">
        <f>"5312015"</f>
        <v>5312015</v>
      </c>
      <c r="B16920" t="s">
        <v>4278</v>
      </c>
      <c r="C16920" t="s">
        <v>169</v>
      </c>
      <c r="D16920" s="21" t="s">
        <v>34</v>
      </c>
      <c r="E16920" s="21" t="s">
        <v>71</v>
      </c>
      <c r="F16920">
        <v>12530144</v>
      </c>
      <c r="G16920" t="s">
        <v>10892</v>
      </c>
      <c r="H16920" s="21">
        <v>811.42</v>
      </c>
    </row>
    <row r="16921" spans="1:8" customFormat="1" x14ac:dyDescent="0.25">
      <c r="A16921" t="str">
        <f>"1711322"</f>
        <v>1711322</v>
      </c>
      <c r="B16921" t="s">
        <v>9256</v>
      </c>
      <c r="C16921" t="s">
        <v>288</v>
      </c>
      <c r="D16921" s="21" t="s">
        <v>34</v>
      </c>
      <c r="E16921" s="21" t="s">
        <v>35</v>
      </c>
      <c r="F16921">
        <v>10170042</v>
      </c>
      <c r="G16921" t="s">
        <v>5014</v>
      </c>
      <c r="H16921" s="21">
        <v>811.42</v>
      </c>
    </row>
    <row r="16922" spans="1:8" customFormat="1" x14ac:dyDescent="0.25">
      <c r="A16922" t="str">
        <f>"394127"</f>
        <v>394127</v>
      </c>
      <c r="B16922" t="s">
        <v>2207</v>
      </c>
      <c r="C16922" t="s">
        <v>486</v>
      </c>
      <c r="D16922" s="21" t="s">
        <v>34</v>
      </c>
      <c r="E16922" s="21" t="s">
        <v>71</v>
      </c>
      <c r="F16922">
        <v>2390002</v>
      </c>
      <c r="G16922" t="s">
        <v>9132</v>
      </c>
      <c r="H16922" s="21">
        <v>811.42</v>
      </c>
    </row>
    <row r="16923" spans="1:8" customFormat="1" x14ac:dyDescent="0.25">
      <c r="A16923" t="str">
        <f>"5325271"</f>
        <v>5325271</v>
      </c>
      <c r="B16923" t="s">
        <v>15292</v>
      </c>
      <c r="C16923" t="s">
        <v>15293</v>
      </c>
      <c r="D16923" s="21" t="s">
        <v>34</v>
      </c>
      <c r="E16923" s="21" t="s">
        <v>35</v>
      </c>
      <c r="F16923">
        <v>12530109</v>
      </c>
      <c r="G16923" t="s">
        <v>6924</v>
      </c>
      <c r="H16923" s="21">
        <v>811.42</v>
      </c>
    </row>
    <row r="16924" spans="1:8" customFormat="1" x14ac:dyDescent="0.25">
      <c r="A16924" t="str">
        <f>"3831977"</f>
        <v>3831977</v>
      </c>
      <c r="B16924" t="s">
        <v>17625</v>
      </c>
      <c r="C16924" t="s">
        <v>144</v>
      </c>
      <c r="D16924" s="21" t="s">
        <v>34</v>
      </c>
      <c r="E16924" s="21" t="s">
        <v>71</v>
      </c>
      <c r="F16924">
        <v>1380076</v>
      </c>
      <c r="G16924" t="s">
        <v>8543</v>
      </c>
      <c r="H16924" s="21">
        <v>811.29</v>
      </c>
    </row>
    <row r="16925" spans="1:8" customFormat="1" x14ac:dyDescent="0.25">
      <c r="A16925" t="str">
        <f>"515665"</f>
        <v>515665</v>
      </c>
      <c r="B16925" t="s">
        <v>13882</v>
      </c>
      <c r="C16925" t="s">
        <v>33</v>
      </c>
      <c r="D16925" s="21" t="s">
        <v>34</v>
      </c>
      <c r="E16925" s="21" t="s">
        <v>35</v>
      </c>
      <c r="F16925">
        <v>6510077</v>
      </c>
      <c r="G16925" t="s">
        <v>756</v>
      </c>
      <c r="H16925" s="21">
        <v>811.17</v>
      </c>
    </row>
    <row r="16926" spans="1:8" customFormat="1" x14ac:dyDescent="0.25">
      <c r="A16926" t="str">
        <f>"5720468"</f>
        <v>5720468</v>
      </c>
      <c r="B16926" t="s">
        <v>12271</v>
      </c>
      <c r="C16926" t="s">
        <v>198</v>
      </c>
      <c r="D16926" s="21" t="s">
        <v>34</v>
      </c>
      <c r="E16926" s="21" t="s">
        <v>71</v>
      </c>
      <c r="F16926">
        <v>6570182</v>
      </c>
      <c r="G16926" t="s">
        <v>15322</v>
      </c>
      <c r="H16926" s="21">
        <v>811.17</v>
      </c>
    </row>
    <row r="16927" spans="1:8" customFormat="1" x14ac:dyDescent="0.25">
      <c r="A16927" t="str">
        <f>"7613889"</f>
        <v>7613889</v>
      </c>
      <c r="B16927" t="s">
        <v>4481</v>
      </c>
      <c r="C16927" t="s">
        <v>98</v>
      </c>
      <c r="D16927" s="21" t="s">
        <v>34</v>
      </c>
      <c r="E16927" s="21" t="s">
        <v>35</v>
      </c>
      <c r="F16927">
        <v>9760320</v>
      </c>
      <c r="G16927" t="s">
        <v>4917</v>
      </c>
      <c r="H16927" s="21">
        <v>811.17</v>
      </c>
    </row>
    <row r="16928" spans="1:8" customFormat="1" x14ac:dyDescent="0.25">
      <c r="A16928" t="str">
        <f>"594489"</f>
        <v>594489</v>
      </c>
      <c r="B16928" t="s">
        <v>15446</v>
      </c>
      <c r="C16928" t="s">
        <v>412</v>
      </c>
      <c r="D16928" s="21" t="s">
        <v>34</v>
      </c>
      <c r="E16928" s="21" t="s">
        <v>6185</v>
      </c>
      <c r="F16928">
        <v>7590392</v>
      </c>
      <c r="G16928" t="s">
        <v>154</v>
      </c>
      <c r="H16928" s="21">
        <v>811.17</v>
      </c>
    </row>
    <row r="16929" spans="1:8" customFormat="1" x14ac:dyDescent="0.25">
      <c r="A16929" t="str">
        <f>"2913554"</f>
        <v>2913554</v>
      </c>
      <c r="B16929" t="s">
        <v>14294</v>
      </c>
      <c r="C16929" t="s">
        <v>781</v>
      </c>
      <c r="D16929" s="21" t="s">
        <v>34</v>
      </c>
      <c r="E16929" s="21" t="s">
        <v>71</v>
      </c>
      <c r="F16929">
        <v>3290266</v>
      </c>
      <c r="G16929" t="s">
        <v>1783</v>
      </c>
      <c r="H16929" s="21">
        <v>811.17</v>
      </c>
    </row>
    <row r="16930" spans="1:8" customFormat="1" x14ac:dyDescent="0.25">
      <c r="A16930" t="str">
        <f>"5020682"</f>
        <v>5020682</v>
      </c>
      <c r="B16930" t="s">
        <v>19615</v>
      </c>
      <c r="C16930" t="s">
        <v>817</v>
      </c>
      <c r="D16930" s="21" t="s">
        <v>34</v>
      </c>
      <c r="E16930" s="21" t="s">
        <v>71</v>
      </c>
      <c r="F16930">
        <v>9500117</v>
      </c>
      <c r="G16930" t="s">
        <v>247</v>
      </c>
      <c r="H16930" s="21">
        <v>811.17</v>
      </c>
    </row>
    <row r="16931" spans="1:8" customFormat="1" x14ac:dyDescent="0.25">
      <c r="A16931" t="str">
        <f>"6112276"</f>
        <v>6112276</v>
      </c>
      <c r="B16931" t="s">
        <v>14856</v>
      </c>
      <c r="C16931" t="s">
        <v>60</v>
      </c>
      <c r="D16931" s="21" t="s">
        <v>34</v>
      </c>
      <c r="E16931" s="21" t="s">
        <v>35</v>
      </c>
      <c r="F16931">
        <v>9610136</v>
      </c>
      <c r="G16931" t="s">
        <v>6052</v>
      </c>
      <c r="H16931" s="21">
        <v>811.17</v>
      </c>
    </row>
    <row r="16932" spans="1:8" customFormat="1" x14ac:dyDescent="0.25">
      <c r="A16932" t="str">
        <f>"632507"</f>
        <v>632507</v>
      </c>
      <c r="B16932" t="s">
        <v>13821</v>
      </c>
      <c r="C16932" t="s">
        <v>171</v>
      </c>
      <c r="D16932" s="21" t="s">
        <v>34</v>
      </c>
      <c r="E16932" s="21" t="s">
        <v>71</v>
      </c>
      <c r="F16932">
        <v>1630281</v>
      </c>
      <c r="G16932" t="s">
        <v>1190</v>
      </c>
      <c r="H16932" s="21">
        <v>811.17</v>
      </c>
    </row>
    <row r="16933" spans="1:8" customFormat="1" x14ac:dyDescent="0.25">
      <c r="A16933" t="str">
        <f>"7856563"</f>
        <v>7856563</v>
      </c>
      <c r="B16933" t="s">
        <v>7035</v>
      </c>
      <c r="C16933" t="s">
        <v>209</v>
      </c>
      <c r="D16933" s="21" t="s">
        <v>34</v>
      </c>
      <c r="E16933" s="21" t="s">
        <v>71</v>
      </c>
      <c r="F16933">
        <v>8781176</v>
      </c>
      <c r="G16933" t="s">
        <v>3659</v>
      </c>
      <c r="H16933" s="21">
        <v>811.04</v>
      </c>
    </row>
    <row r="16934" spans="1:8" customFormat="1" x14ac:dyDescent="0.25">
      <c r="A16934" t="str">
        <f>"3011707"</f>
        <v>3011707</v>
      </c>
      <c r="B16934" t="s">
        <v>17025</v>
      </c>
      <c r="C16934" t="s">
        <v>3712</v>
      </c>
      <c r="D16934" s="21" t="s">
        <v>34</v>
      </c>
      <c r="E16934" s="21" t="s">
        <v>35</v>
      </c>
      <c r="F16934">
        <v>11300012</v>
      </c>
      <c r="G16934" t="s">
        <v>5958</v>
      </c>
      <c r="H16934" s="21">
        <v>810.92</v>
      </c>
    </row>
    <row r="16935" spans="1:8" customFormat="1" x14ac:dyDescent="0.25">
      <c r="A16935" t="str">
        <f>"5955777"</f>
        <v>5955777</v>
      </c>
      <c r="B16935" t="s">
        <v>15303</v>
      </c>
      <c r="C16935" t="s">
        <v>1887</v>
      </c>
      <c r="D16935" s="21" t="s">
        <v>34</v>
      </c>
      <c r="E16935" s="21" t="s">
        <v>254</v>
      </c>
      <c r="F16935">
        <v>1260010</v>
      </c>
      <c r="G16935" t="s">
        <v>3944</v>
      </c>
      <c r="H16935" s="21">
        <v>810.92</v>
      </c>
    </row>
    <row r="16936" spans="1:8" customFormat="1" x14ac:dyDescent="0.25">
      <c r="A16936" t="str">
        <f>"9423636"</f>
        <v>9423636</v>
      </c>
      <c r="B16936" t="s">
        <v>27459</v>
      </c>
      <c r="C16936" t="s">
        <v>43</v>
      </c>
      <c r="D16936" s="21" t="s">
        <v>34</v>
      </c>
      <c r="E16936" s="21" t="s">
        <v>35</v>
      </c>
      <c r="F16936">
        <v>8940458</v>
      </c>
      <c r="G16936" t="s">
        <v>26774</v>
      </c>
      <c r="H16936" s="21">
        <v>810.79</v>
      </c>
    </row>
    <row r="16937" spans="1:8" customFormat="1" x14ac:dyDescent="0.25">
      <c r="A16937" t="str">
        <f>"1413409"</f>
        <v>1413409</v>
      </c>
      <c r="B16937" t="s">
        <v>16277</v>
      </c>
      <c r="C16937" t="s">
        <v>40</v>
      </c>
      <c r="D16937" s="21" t="s">
        <v>34</v>
      </c>
      <c r="E16937" s="21" t="s">
        <v>71</v>
      </c>
      <c r="F16937">
        <v>9140078</v>
      </c>
      <c r="G16937" t="s">
        <v>1920</v>
      </c>
      <c r="H16937" s="21">
        <v>810.67</v>
      </c>
    </row>
    <row r="16938" spans="1:8" customFormat="1" x14ac:dyDescent="0.25">
      <c r="A16938" t="str">
        <f>"309487"</f>
        <v>309487</v>
      </c>
      <c r="B16938" t="s">
        <v>1451</v>
      </c>
      <c r="C16938" t="s">
        <v>169</v>
      </c>
      <c r="D16938" s="21" t="s">
        <v>34</v>
      </c>
      <c r="E16938" s="21" t="s">
        <v>35</v>
      </c>
      <c r="F16938">
        <v>11300024</v>
      </c>
      <c r="G16938" t="s">
        <v>11622</v>
      </c>
      <c r="H16938" s="21">
        <v>810.67</v>
      </c>
    </row>
    <row r="16939" spans="1:8" customFormat="1" x14ac:dyDescent="0.25">
      <c r="A16939" t="str">
        <f>"29702"</f>
        <v>29702</v>
      </c>
      <c r="B16939" t="s">
        <v>8461</v>
      </c>
      <c r="C16939" t="s">
        <v>652</v>
      </c>
      <c r="D16939" s="21" t="s">
        <v>34</v>
      </c>
      <c r="E16939" s="21" t="s">
        <v>254</v>
      </c>
      <c r="F16939">
        <v>3290228</v>
      </c>
      <c r="G16939" t="s">
        <v>8738</v>
      </c>
      <c r="H16939" s="21">
        <v>810.67</v>
      </c>
    </row>
    <row r="16940" spans="1:8" customFormat="1" x14ac:dyDescent="0.25">
      <c r="A16940" t="str">
        <f>"862067"</f>
        <v>862067</v>
      </c>
      <c r="B16940" t="s">
        <v>12501</v>
      </c>
      <c r="C16940" t="s">
        <v>285</v>
      </c>
      <c r="D16940" s="21" t="s">
        <v>34</v>
      </c>
      <c r="E16940" s="21" t="s">
        <v>71</v>
      </c>
      <c r="F16940">
        <v>10860035</v>
      </c>
      <c r="G16940" t="s">
        <v>4019</v>
      </c>
      <c r="H16940" s="21">
        <v>810.67</v>
      </c>
    </row>
    <row r="16941" spans="1:8" customFormat="1" x14ac:dyDescent="0.25">
      <c r="A16941" t="str">
        <f>"622420"</f>
        <v>622420</v>
      </c>
      <c r="B16941" t="s">
        <v>1533</v>
      </c>
      <c r="C16941" t="s">
        <v>269</v>
      </c>
      <c r="D16941" s="21" t="s">
        <v>34</v>
      </c>
      <c r="E16941" s="21" t="s">
        <v>35</v>
      </c>
      <c r="F16941">
        <v>7620110</v>
      </c>
      <c r="G16941" t="s">
        <v>2681</v>
      </c>
      <c r="H16941" s="21">
        <v>810.67</v>
      </c>
    </row>
    <row r="16942" spans="1:8" customFormat="1" x14ac:dyDescent="0.25">
      <c r="A16942" t="str">
        <f>"7614244"</f>
        <v>7614244</v>
      </c>
      <c r="B16942" t="s">
        <v>13828</v>
      </c>
      <c r="C16942" t="s">
        <v>55</v>
      </c>
      <c r="D16942" s="21" t="s">
        <v>34</v>
      </c>
      <c r="E16942" s="21" t="s">
        <v>71</v>
      </c>
      <c r="F16942">
        <v>9760270</v>
      </c>
      <c r="G16942" t="s">
        <v>4167</v>
      </c>
      <c r="H16942" s="21">
        <v>810.67</v>
      </c>
    </row>
    <row r="16943" spans="1:8" customFormat="1" x14ac:dyDescent="0.25">
      <c r="A16943" t="str">
        <f>"5320670"</f>
        <v>5320670</v>
      </c>
      <c r="B16943" t="s">
        <v>14469</v>
      </c>
      <c r="C16943" t="s">
        <v>353</v>
      </c>
      <c r="D16943" s="21" t="s">
        <v>34</v>
      </c>
      <c r="E16943" s="21" t="s">
        <v>71</v>
      </c>
      <c r="F16943">
        <v>12530036</v>
      </c>
      <c r="G16943" t="s">
        <v>2200</v>
      </c>
      <c r="H16943" s="21">
        <v>810.67</v>
      </c>
    </row>
    <row r="16944" spans="1:8" customFormat="1" x14ac:dyDescent="0.25">
      <c r="A16944" t="str">
        <f>"9458668"</f>
        <v>9458668</v>
      </c>
      <c r="B16944" t="s">
        <v>27460</v>
      </c>
      <c r="C16944" t="s">
        <v>381</v>
      </c>
      <c r="D16944" s="21" t="s">
        <v>34</v>
      </c>
      <c r="E16944" s="21" t="s">
        <v>35</v>
      </c>
      <c r="F16944">
        <v>8940894</v>
      </c>
      <c r="G16944" t="s">
        <v>481</v>
      </c>
      <c r="H16944" s="21">
        <v>810.67</v>
      </c>
    </row>
    <row r="16945" spans="1:8" customFormat="1" x14ac:dyDescent="0.25">
      <c r="A16945" t="str">
        <f>"5969147"</f>
        <v>5969147</v>
      </c>
      <c r="B16945" t="s">
        <v>14575</v>
      </c>
      <c r="C16945" t="s">
        <v>65</v>
      </c>
      <c r="D16945" s="21" t="s">
        <v>34</v>
      </c>
      <c r="E16945" s="21" t="s">
        <v>35</v>
      </c>
      <c r="F16945">
        <v>7590065</v>
      </c>
      <c r="G16945" t="s">
        <v>1598</v>
      </c>
      <c r="H16945" s="21">
        <v>810.67</v>
      </c>
    </row>
    <row r="16946" spans="1:8" customFormat="1" x14ac:dyDescent="0.25">
      <c r="A16946" t="str">
        <f>"6214301"</f>
        <v>6214301</v>
      </c>
      <c r="B16946" t="s">
        <v>14114</v>
      </c>
      <c r="C16946" t="s">
        <v>1142</v>
      </c>
      <c r="D16946" s="21" t="s">
        <v>34</v>
      </c>
      <c r="E16946" s="21" t="s">
        <v>254</v>
      </c>
      <c r="F16946">
        <v>7620010</v>
      </c>
      <c r="G16946" t="s">
        <v>504</v>
      </c>
      <c r="H16946" s="21">
        <v>810.67</v>
      </c>
    </row>
    <row r="16947" spans="1:8" customFormat="1" x14ac:dyDescent="0.25">
      <c r="A16947" t="str">
        <f>"514756"</f>
        <v>514756</v>
      </c>
      <c r="B16947" t="s">
        <v>1462</v>
      </c>
      <c r="C16947" t="s">
        <v>124</v>
      </c>
      <c r="D16947" s="21" t="s">
        <v>34</v>
      </c>
      <c r="E16947" s="21" t="s">
        <v>71</v>
      </c>
      <c r="F16947">
        <v>6510064</v>
      </c>
      <c r="G16947" t="s">
        <v>6183</v>
      </c>
      <c r="H16947" s="21">
        <v>810.67</v>
      </c>
    </row>
    <row r="16948" spans="1:8" customFormat="1" x14ac:dyDescent="0.25">
      <c r="A16948" t="str">
        <f>"4428501"</f>
        <v>4428501</v>
      </c>
      <c r="B16948" t="s">
        <v>13958</v>
      </c>
      <c r="C16948" t="s">
        <v>65</v>
      </c>
      <c r="D16948" s="21" t="s">
        <v>34</v>
      </c>
      <c r="E16948" s="21" t="s">
        <v>35</v>
      </c>
      <c r="F16948">
        <v>12440185</v>
      </c>
      <c r="G16948" t="s">
        <v>12476</v>
      </c>
      <c r="H16948" s="21">
        <v>810.67</v>
      </c>
    </row>
    <row r="16949" spans="1:8" customFormat="1" x14ac:dyDescent="0.25">
      <c r="A16949" t="str">
        <f>"4445782"</f>
        <v>4445782</v>
      </c>
      <c r="B16949" t="s">
        <v>14867</v>
      </c>
      <c r="C16949" t="s">
        <v>10760</v>
      </c>
      <c r="D16949" s="21" t="s">
        <v>34</v>
      </c>
      <c r="E16949" s="21" t="s">
        <v>35</v>
      </c>
      <c r="F16949">
        <v>12440127</v>
      </c>
      <c r="G16949" t="s">
        <v>7692</v>
      </c>
      <c r="H16949" s="21">
        <v>810.67</v>
      </c>
    </row>
    <row r="16950" spans="1:8" customFormat="1" x14ac:dyDescent="0.25">
      <c r="A16950" t="str">
        <f>"6211161"</f>
        <v>6211161</v>
      </c>
      <c r="B16950" t="s">
        <v>8761</v>
      </c>
      <c r="C16950" t="s">
        <v>269</v>
      </c>
      <c r="D16950" s="21" t="s">
        <v>34</v>
      </c>
      <c r="E16950" s="21" t="s">
        <v>35</v>
      </c>
      <c r="F16950">
        <v>7620007</v>
      </c>
      <c r="G16950" t="s">
        <v>2133</v>
      </c>
      <c r="H16950" s="21">
        <v>810.67</v>
      </c>
    </row>
    <row r="16951" spans="1:8" customFormat="1" x14ac:dyDescent="0.25">
      <c r="A16951" t="str">
        <f>"6313470"</f>
        <v>6313470</v>
      </c>
      <c r="B16951" t="s">
        <v>14532</v>
      </c>
      <c r="C16951" t="s">
        <v>90</v>
      </c>
      <c r="D16951" s="21" t="s">
        <v>34</v>
      </c>
      <c r="E16951" s="21" t="s">
        <v>35</v>
      </c>
      <c r="F16951">
        <v>1630184</v>
      </c>
      <c r="G16951" t="s">
        <v>26702</v>
      </c>
      <c r="H16951" s="21">
        <v>810.67</v>
      </c>
    </row>
    <row r="16952" spans="1:8" customFormat="1" x14ac:dyDescent="0.25">
      <c r="A16952" t="str">
        <f>"3721087"</f>
        <v>3721087</v>
      </c>
      <c r="B16952" t="s">
        <v>15481</v>
      </c>
      <c r="C16952" t="s">
        <v>169</v>
      </c>
      <c r="D16952" s="21" t="s">
        <v>34</v>
      </c>
      <c r="E16952" s="21" t="s">
        <v>35</v>
      </c>
      <c r="F16952">
        <v>4370498</v>
      </c>
      <c r="G16952" t="s">
        <v>10872</v>
      </c>
      <c r="H16952" s="21">
        <v>810.67</v>
      </c>
    </row>
    <row r="16953" spans="1:8" customFormat="1" x14ac:dyDescent="0.25">
      <c r="A16953" t="str">
        <f>"518218"</f>
        <v>518218</v>
      </c>
      <c r="B16953" t="s">
        <v>13121</v>
      </c>
      <c r="C16953" t="s">
        <v>267</v>
      </c>
      <c r="D16953" s="21" t="s">
        <v>34</v>
      </c>
      <c r="E16953" s="21" t="s">
        <v>254</v>
      </c>
      <c r="F16953">
        <v>6510051</v>
      </c>
      <c r="G16953" t="s">
        <v>13878</v>
      </c>
      <c r="H16953" s="21">
        <v>810.67</v>
      </c>
    </row>
    <row r="16954" spans="1:8" customFormat="1" x14ac:dyDescent="0.25">
      <c r="A16954" t="str">
        <f>"6943430"</f>
        <v>6943430</v>
      </c>
      <c r="B16954" t="s">
        <v>15394</v>
      </c>
      <c r="C16954" t="s">
        <v>171</v>
      </c>
      <c r="D16954" s="21" t="s">
        <v>34</v>
      </c>
      <c r="E16954" s="21" t="s">
        <v>71</v>
      </c>
      <c r="F16954">
        <v>1690201</v>
      </c>
      <c r="G16954" t="s">
        <v>11274</v>
      </c>
      <c r="H16954" s="21">
        <v>810.67</v>
      </c>
    </row>
    <row r="16955" spans="1:8" customFormat="1" x14ac:dyDescent="0.25">
      <c r="A16955" t="str">
        <f>"7639690"</f>
        <v>7639690</v>
      </c>
      <c r="B16955" t="s">
        <v>10805</v>
      </c>
      <c r="C16955" t="s">
        <v>33</v>
      </c>
      <c r="D16955" s="21" t="s">
        <v>34</v>
      </c>
      <c r="E16955" s="21" t="s">
        <v>35</v>
      </c>
      <c r="F16955">
        <v>9760333</v>
      </c>
      <c r="G16955" t="s">
        <v>27096</v>
      </c>
      <c r="H16955" s="21">
        <v>810.67</v>
      </c>
    </row>
    <row r="16956" spans="1:8" customFormat="1" x14ac:dyDescent="0.25">
      <c r="A16956" t="str">
        <f>"62507"</f>
        <v>62507</v>
      </c>
      <c r="B16956" t="s">
        <v>3904</v>
      </c>
      <c r="C16956" t="s">
        <v>40</v>
      </c>
      <c r="D16956" s="21" t="s">
        <v>34</v>
      </c>
      <c r="E16956" s="21" t="s">
        <v>71</v>
      </c>
      <c r="F16956">
        <v>7620054</v>
      </c>
      <c r="G16956" t="s">
        <v>1677</v>
      </c>
      <c r="H16956" s="21">
        <v>810.67</v>
      </c>
    </row>
    <row r="16957" spans="1:8" customFormat="1" x14ac:dyDescent="0.25">
      <c r="A16957" t="str">
        <f>"585471"</f>
        <v>585471</v>
      </c>
      <c r="B16957" t="s">
        <v>14539</v>
      </c>
      <c r="C16957" t="s">
        <v>1819</v>
      </c>
      <c r="D16957" s="21" t="s">
        <v>34</v>
      </c>
      <c r="E16957" s="21" t="s">
        <v>35</v>
      </c>
      <c r="F16957">
        <v>2580093</v>
      </c>
      <c r="G16957" t="s">
        <v>9104</v>
      </c>
      <c r="H16957" s="21">
        <v>810.54</v>
      </c>
    </row>
    <row r="16958" spans="1:8" customFormat="1" x14ac:dyDescent="0.25">
      <c r="A16958" t="str">
        <f>"09994"</f>
        <v>09994</v>
      </c>
      <c r="B16958" t="s">
        <v>15206</v>
      </c>
      <c r="C16958" t="s">
        <v>169</v>
      </c>
      <c r="D16958" s="21" t="s">
        <v>34</v>
      </c>
      <c r="E16958" s="21" t="s">
        <v>71</v>
      </c>
      <c r="F16958">
        <v>11090019</v>
      </c>
      <c r="G16958" t="s">
        <v>5591</v>
      </c>
      <c r="H16958" s="21">
        <v>810.54</v>
      </c>
    </row>
    <row r="16959" spans="1:8" customFormat="1" x14ac:dyDescent="0.25">
      <c r="A16959" t="str">
        <f>"823633"</f>
        <v>823633</v>
      </c>
      <c r="B16959" t="s">
        <v>15561</v>
      </c>
      <c r="C16959" t="s">
        <v>169</v>
      </c>
      <c r="D16959" s="21" t="s">
        <v>34</v>
      </c>
      <c r="E16959" s="21" t="s">
        <v>35</v>
      </c>
      <c r="F16959">
        <v>11820026</v>
      </c>
      <c r="G16959" t="s">
        <v>9372</v>
      </c>
      <c r="H16959" s="21">
        <v>810.42</v>
      </c>
    </row>
    <row r="16960" spans="1:8" customFormat="1" x14ac:dyDescent="0.25">
      <c r="A16960" t="str">
        <f>"519232"</f>
        <v>519232</v>
      </c>
      <c r="B16960" t="s">
        <v>14401</v>
      </c>
      <c r="C16960" t="s">
        <v>209</v>
      </c>
      <c r="D16960" s="21" t="s">
        <v>34</v>
      </c>
      <c r="E16960" s="21" t="s">
        <v>71</v>
      </c>
      <c r="F16960">
        <v>6510112</v>
      </c>
      <c r="G16960" t="s">
        <v>588</v>
      </c>
      <c r="H16960" s="21">
        <v>810.42</v>
      </c>
    </row>
    <row r="16961" spans="1:8" customFormat="1" x14ac:dyDescent="0.25">
      <c r="A16961" t="str">
        <f>"7519149"</f>
        <v>7519149</v>
      </c>
      <c r="B16961" t="s">
        <v>14068</v>
      </c>
      <c r="C16961" t="s">
        <v>13865</v>
      </c>
      <c r="D16961" s="21" t="s">
        <v>34</v>
      </c>
      <c r="E16961" s="21" t="s">
        <v>35</v>
      </c>
      <c r="F16961">
        <v>8751459</v>
      </c>
      <c r="G16961" t="s">
        <v>27461</v>
      </c>
      <c r="H16961" s="21">
        <v>810.29</v>
      </c>
    </row>
    <row r="16962" spans="1:8" customFormat="1" x14ac:dyDescent="0.25">
      <c r="A16962" t="str">
        <f>"183642"</f>
        <v>183642</v>
      </c>
      <c r="B16962" t="s">
        <v>27462</v>
      </c>
      <c r="C16962" t="s">
        <v>8417</v>
      </c>
      <c r="D16962" s="21" t="s">
        <v>34</v>
      </c>
      <c r="E16962" s="21" t="s">
        <v>35</v>
      </c>
      <c r="F16962">
        <v>4180174</v>
      </c>
      <c r="G16962" t="s">
        <v>3046</v>
      </c>
      <c r="H16962" s="21">
        <v>810.29</v>
      </c>
    </row>
    <row r="16963" spans="1:8" customFormat="1" x14ac:dyDescent="0.25">
      <c r="A16963" t="str">
        <f>"185837"</f>
        <v>185837</v>
      </c>
      <c r="B16963" t="s">
        <v>14131</v>
      </c>
      <c r="C16963" t="s">
        <v>209</v>
      </c>
      <c r="D16963" s="21" t="s">
        <v>34</v>
      </c>
      <c r="E16963" s="21" t="s">
        <v>35</v>
      </c>
      <c r="F16963">
        <v>4360340</v>
      </c>
      <c r="G16963" t="s">
        <v>14132</v>
      </c>
      <c r="H16963" s="21">
        <v>810.17</v>
      </c>
    </row>
    <row r="16964" spans="1:8" customFormat="1" x14ac:dyDescent="0.25">
      <c r="A16964" t="str">
        <f>"592303"</f>
        <v>592303</v>
      </c>
      <c r="B16964" t="s">
        <v>3984</v>
      </c>
      <c r="C16964" t="s">
        <v>269</v>
      </c>
      <c r="D16964" s="21" t="s">
        <v>34</v>
      </c>
      <c r="E16964" s="21" t="s">
        <v>254</v>
      </c>
      <c r="F16964">
        <v>7590184</v>
      </c>
      <c r="G16964" t="s">
        <v>6722</v>
      </c>
      <c r="H16964" s="21">
        <v>810.17</v>
      </c>
    </row>
    <row r="16965" spans="1:8" customFormat="1" x14ac:dyDescent="0.25">
      <c r="A16965" t="str">
        <f>"773007"</f>
        <v>773007</v>
      </c>
      <c r="B16965" t="s">
        <v>14102</v>
      </c>
      <c r="C16965" t="s">
        <v>598</v>
      </c>
      <c r="D16965" s="21" t="s">
        <v>34</v>
      </c>
      <c r="E16965" s="21" t="s">
        <v>254</v>
      </c>
      <c r="F16965">
        <v>8771229</v>
      </c>
      <c r="G16965" t="s">
        <v>26815</v>
      </c>
      <c r="H16965" s="21">
        <v>810.17</v>
      </c>
    </row>
    <row r="16966" spans="1:8" customFormat="1" x14ac:dyDescent="0.25">
      <c r="A16966" t="str">
        <f>"4418139"</f>
        <v>4418139</v>
      </c>
      <c r="B16966" t="s">
        <v>2261</v>
      </c>
      <c r="C16966" t="s">
        <v>822</v>
      </c>
      <c r="D16966" s="21" t="s">
        <v>34</v>
      </c>
      <c r="E16966" s="21" t="s">
        <v>71</v>
      </c>
      <c r="F16966">
        <v>12440197</v>
      </c>
      <c r="G16966" t="s">
        <v>1101</v>
      </c>
      <c r="H16966" s="21">
        <v>810.17</v>
      </c>
    </row>
    <row r="16967" spans="1:8" customFormat="1" x14ac:dyDescent="0.25">
      <c r="A16967" t="str">
        <f>"2211352"</f>
        <v>2211352</v>
      </c>
      <c r="B16967" t="s">
        <v>14748</v>
      </c>
      <c r="C16967" t="s">
        <v>87</v>
      </c>
      <c r="D16967" s="21" t="s">
        <v>34</v>
      </c>
      <c r="E16967" s="21" t="s">
        <v>71</v>
      </c>
      <c r="F16967">
        <v>3220033</v>
      </c>
      <c r="G16967" t="s">
        <v>657</v>
      </c>
      <c r="H16967" s="21">
        <v>810.17</v>
      </c>
    </row>
    <row r="16968" spans="1:8" customFormat="1" x14ac:dyDescent="0.25">
      <c r="A16968" t="str">
        <f>"378163"</f>
        <v>378163</v>
      </c>
      <c r="B16968" t="s">
        <v>12255</v>
      </c>
      <c r="C16968" t="s">
        <v>239</v>
      </c>
      <c r="D16968" s="21" t="s">
        <v>34</v>
      </c>
      <c r="E16968" s="21" t="s">
        <v>71</v>
      </c>
      <c r="F16968">
        <v>4370349</v>
      </c>
      <c r="G16968" t="s">
        <v>2287</v>
      </c>
      <c r="H16968" s="21">
        <v>810.17</v>
      </c>
    </row>
    <row r="16969" spans="1:8" customFormat="1" x14ac:dyDescent="0.25">
      <c r="A16969" t="str">
        <f>"956154"</f>
        <v>956154</v>
      </c>
      <c r="B16969" t="s">
        <v>13537</v>
      </c>
      <c r="C16969" t="s">
        <v>576</v>
      </c>
      <c r="D16969" s="21" t="s">
        <v>34</v>
      </c>
      <c r="E16969" s="21" t="s">
        <v>35</v>
      </c>
      <c r="F16969">
        <v>8951312</v>
      </c>
      <c r="G16969" t="s">
        <v>1007</v>
      </c>
      <c r="H16969" s="21">
        <v>810.17</v>
      </c>
    </row>
    <row r="16970" spans="1:8" customFormat="1" x14ac:dyDescent="0.25">
      <c r="A16970" t="str">
        <f>"802275"</f>
        <v>802275</v>
      </c>
      <c r="B16970" t="s">
        <v>6085</v>
      </c>
      <c r="C16970" t="s">
        <v>233</v>
      </c>
      <c r="D16970" s="21" t="s">
        <v>34</v>
      </c>
      <c r="E16970" s="21" t="s">
        <v>71</v>
      </c>
      <c r="F16970">
        <v>7800054</v>
      </c>
      <c r="G16970" t="s">
        <v>3772</v>
      </c>
      <c r="H16970" s="21">
        <v>810.17</v>
      </c>
    </row>
    <row r="16971" spans="1:8" customFormat="1" x14ac:dyDescent="0.25">
      <c r="A16971" t="str">
        <f>"9519385"</f>
        <v>9519385</v>
      </c>
      <c r="B16971" t="s">
        <v>5428</v>
      </c>
      <c r="C16971" t="s">
        <v>239</v>
      </c>
      <c r="D16971" s="21" t="s">
        <v>34</v>
      </c>
      <c r="E16971" s="21" t="s">
        <v>71</v>
      </c>
      <c r="F16971">
        <v>8950978</v>
      </c>
      <c r="G16971" t="s">
        <v>1164</v>
      </c>
      <c r="H16971" s="21">
        <v>810.17</v>
      </c>
    </row>
    <row r="16972" spans="1:8" customFormat="1" x14ac:dyDescent="0.25">
      <c r="A16972" t="str">
        <f>"4416466"</f>
        <v>4416466</v>
      </c>
      <c r="B16972" t="s">
        <v>3517</v>
      </c>
      <c r="C16972" t="s">
        <v>2520</v>
      </c>
      <c r="D16972" s="21" t="s">
        <v>34</v>
      </c>
      <c r="E16972" s="21" t="s">
        <v>1089</v>
      </c>
      <c r="F16972">
        <v>12440049</v>
      </c>
      <c r="G16972" t="s">
        <v>3339</v>
      </c>
      <c r="H16972" s="21">
        <v>810.17</v>
      </c>
    </row>
    <row r="16973" spans="1:8" customFormat="1" x14ac:dyDescent="0.25">
      <c r="A16973" t="str">
        <f>"402214"</f>
        <v>402214</v>
      </c>
      <c r="B16973" t="s">
        <v>13065</v>
      </c>
      <c r="C16973" t="s">
        <v>2479</v>
      </c>
      <c r="D16973" s="21" t="s">
        <v>34</v>
      </c>
      <c r="E16973" s="21" t="s">
        <v>71</v>
      </c>
      <c r="F16973">
        <v>10400015</v>
      </c>
      <c r="G16973" t="s">
        <v>1095</v>
      </c>
      <c r="H16973" s="21">
        <v>810.17</v>
      </c>
    </row>
    <row r="16974" spans="1:8" customFormat="1" x14ac:dyDescent="0.25">
      <c r="A16974" t="str">
        <f>"9535324"</f>
        <v>9535324</v>
      </c>
      <c r="B16974" t="s">
        <v>17343</v>
      </c>
      <c r="C16974" t="s">
        <v>719</v>
      </c>
      <c r="D16974" s="21" t="s">
        <v>34</v>
      </c>
      <c r="E16974" s="21" t="s">
        <v>35</v>
      </c>
      <c r="F16974">
        <v>8950262</v>
      </c>
      <c r="G16974" t="s">
        <v>1881</v>
      </c>
      <c r="H16974" s="21">
        <v>810.17</v>
      </c>
    </row>
    <row r="16975" spans="1:8" customFormat="1" x14ac:dyDescent="0.25">
      <c r="A16975" t="str">
        <f>"1610171"</f>
        <v>1610171</v>
      </c>
      <c r="B16975" t="s">
        <v>15378</v>
      </c>
      <c r="C16975" t="s">
        <v>55</v>
      </c>
      <c r="D16975" s="21" t="s">
        <v>34</v>
      </c>
      <c r="E16975" s="21" t="s">
        <v>71</v>
      </c>
      <c r="F16975">
        <v>10160030</v>
      </c>
      <c r="G16975" t="s">
        <v>13173</v>
      </c>
      <c r="H16975" s="21">
        <v>810.17</v>
      </c>
    </row>
    <row r="16976" spans="1:8" customFormat="1" x14ac:dyDescent="0.25">
      <c r="A16976" t="str">
        <f>"1410123"</f>
        <v>1410123</v>
      </c>
      <c r="B16976" t="s">
        <v>7409</v>
      </c>
      <c r="C16976" t="s">
        <v>462</v>
      </c>
      <c r="D16976" s="21" t="s">
        <v>34</v>
      </c>
      <c r="E16976" s="21" t="s">
        <v>71</v>
      </c>
      <c r="F16976">
        <v>9140063</v>
      </c>
      <c r="G16976" t="s">
        <v>4764</v>
      </c>
      <c r="H16976" s="21">
        <v>810.17</v>
      </c>
    </row>
    <row r="16977" spans="1:8" customFormat="1" x14ac:dyDescent="0.25">
      <c r="A16977" t="str">
        <f>"664681"</f>
        <v>664681</v>
      </c>
      <c r="B16977" t="s">
        <v>7168</v>
      </c>
      <c r="C16977" t="s">
        <v>453</v>
      </c>
      <c r="D16977" s="21" t="s">
        <v>34</v>
      </c>
      <c r="E16977" s="21" t="s">
        <v>1089</v>
      </c>
      <c r="F16977">
        <v>11660003</v>
      </c>
      <c r="G16977" t="s">
        <v>5188</v>
      </c>
      <c r="H16977" s="21">
        <v>810.17</v>
      </c>
    </row>
    <row r="16978" spans="1:8" customFormat="1" x14ac:dyDescent="0.25">
      <c r="A16978" t="str">
        <f>"383374"</f>
        <v>383374</v>
      </c>
      <c r="B16978" t="s">
        <v>1295</v>
      </c>
      <c r="C16978" t="s">
        <v>147</v>
      </c>
      <c r="D16978" s="21" t="s">
        <v>34</v>
      </c>
      <c r="E16978" s="21" t="s">
        <v>35</v>
      </c>
      <c r="F16978">
        <v>1380284</v>
      </c>
      <c r="G16978" t="s">
        <v>300</v>
      </c>
      <c r="H16978" s="21">
        <v>810.17</v>
      </c>
    </row>
    <row r="16979" spans="1:8" customFormat="1" x14ac:dyDescent="0.25">
      <c r="A16979" t="str">
        <f>"6023175"</f>
        <v>6023175</v>
      </c>
      <c r="B16979" t="s">
        <v>6428</v>
      </c>
      <c r="C16979" t="s">
        <v>719</v>
      </c>
      <c r="D16979" s="21" t="s">
        <v>34</v>
      </c>
      <c r="E16979" s="21" t="s">
        <v>35</v>
      </c>
      <c r="F16979">
        <v>7600069</v>
      </c>
      <c r="G16979" t="s">
        <v>195</v>
      </c>
      <c r="H16979" s="21">
        <v>810.17</v>
      </c>
    </row>
    <row r="16980" spans="1:8" customFormat="1" x14ac:dyDescent="0.25">
      <c r="A16980" t="str">
        <f>"5320106"</f>
        <v>5320106</v>
      </c>
      <c r="B16980" t="s">
        <v>1645</v>
      </c>
      <c r="C16980" t="s">
        <v>263</v>
      </c>
      <c r="D16980" s="21" t="s">
        <v>34</v>
      </c>
      <c r="E16980" s="21" t="s">
        <v>35</v>
      </c>
      <c r="F16980">
        <v>12530078</v>
      </c>
      <c r="G16980" t="s">
        <v>3677</v>
      </c>
      <c r="H16980" s="21">
        <v>809.92</v>
      </c>
    </row>
    <row r="16981" spans="1:8" customFormat="1" x14ac:dyDescent="0.25">
      <c r="A16981" t="str">
        <f>"751256"</f>
        <v>751256</v>
      </c>
      <c r="B16981" t="s">
        <v>14163</v>
      </c>
      <c r="C16981" t="s">
        <v>33</v>
      </c>
      <c r="D16981" s="21" t="s">
        <v>34</v>
      </c>
      <c r="E16981" s="21" t="s">
        <v>71</v>
      </c>
      <c r="F16981">
        <v>8750400</v>
      </c>
      <c r="G16981" t="s">
        <v>2804</v>
      </c>
      <c r="H16981" s="21">
        <v>809.92</v>
      </c>
    </row>
    <row r="16982" spans="1:8" customFormat="1" x14ac:dyDescent="0.25">
      <c r="A16982" t="str">
        <f>"4435239"</f>
        <v>4435239</v>
      </c>
      <c r="B16982" t="s">
        <v>7838</v>
      </c>
      <c r="C16982" t="s">
        <v>2546</v>
      </c>
      <c r="D16982" s="21" t="s">
        <v>34</v>
      </c>
      <c r="E16982" s="21" t="s">
        <v>254</v>
      </c>
      <c r="F16982">
        <v>12440206</v>
      </c>
      <c r="G16982" t="s">
        <v>10374</v>
      </c>
      <c r="H16982" s="21">
        <v>809.92</v>
      </c>
    </row>
    <row r="16983" spans="1:8" customFormat="1" x14ac:dyDescent="0.25">
      <c r="A16983" t="str">
        <f>"922354"</f>
        <v>922354</v>
      </c>
      <c r="B16983" t="s">
        <v>12505</v>
      </c>
      <c r="C16983" t="s">
        <v>65</v>
      </c>
      <c r="D16983" s="21" t="s">
        <v>34</v>
      </c>
      <c r="E16983" s="21" t="s">
        <v>71</v>
      </c>
      <c r="F16983">
        <v>8940326</v>
      </c>
      <c r="G16983" t="s">
        <v>659</v>
      </c>
      <c r="H16983" s="21">
        <v>809.79</v>
      </c>
    </row>
    <row r="16984" spans="1:8" customFormat="1" x14ac:dyDescent="0.25">
      <c r="A16984" t="str">
        <f>"7523961"</f>
        <v>7523961</v>
      </c>
      <c r="B16984" t="s">
        <v>18480</v>
      </c>
      <c r="C16984" t="s">
        <v>18481</v>
      </c>
      <c r="D16984" s="21" t="s">
        <v>34</v>
      </c>
      <c r="E16984" s="21" t="s">
        <v>35</v>
      </c>
      <c r="F16984">
        <v>8751265</v>
      </c>
      <c r="G16984" t="s">
        <v>15965</v>
      </c>
      <c r="H16984" s="21">
        <v>809.79</v>
      </c>
    </row>
    <row r="16985" spans="1:8" customFormat="1" x14ac:dyDescent="0.25">
      <c r="A16985" t="str">
        <f>"7726331"</f>
        <v>7726331</v>
      </c>
      <c r="B16985" t="s">
        <v>5553</v>
      </c>
      <c r="C16985" t="s">
        <v>14916</v>
      </c>
      <c r="D16985" s="21" t="s">
        <v>34</v>
      </c>
      <c r="E16985" s="21" t="s">
        <v>71</v>
      </c>
      <c r="F16985">
        <v>8771519</v>
      </c>
      <c r="G16985" t="s">
        <v>10685</v>
      </c>
      <c r="H16985" s="21">
        <v>809.79</v>
      </c>
    </row>
    <row r="16986" spans="1:8" customFormat="1" x14ac:dyDescent="0.25">
      <c r="A16986" t="str">
        <f>"637665"</f>
        <v>637665</v>
      </c>
      <c r="B16986" t="s">
        <v>1892</v>
      </c>
      <c r="C16986" t="s">
        <v>55</v>
      </c>
      <c r="D16986" s="21" t="s">
        <v>34</v>
      </c>
      <c r="E16986" s="21" t="s">
        <v>71</v>
      </c>
      <c r="F16986">
        <v>1630332</v>
      </c>
      <c r="G16986" t="s">
        <v>27136</v>
      </c>
      <c r="H16986" s="21">
        <v>809.67</v>
      </c>
    </row>
    <row r="16987" spans="1:8" customFormat="1" x14ac:dyDescent="0.25">
      <c r="A16987" t="str">
        <f>"7828847"</f>
        <v>7828847</v>
      </c>
      <c r="B16987" t="s">
        <v>14956</v>
      </c>
      <c r="C16987" t="s">
        <v>14957</v>
      </c>
      <c r="D16987" s="21" t="s">
        <v>34</v>
      </c>
      <c r="E16987" s="21" t="s">
        <v>254</v>
      </c>
      <c r="F16987">
        <v>8781467</v>
      </c>
      <c r="G16987" t="s">
        <v>3838</v>
      </c>
      <c r="H16987" s="21">
        <v>809.67</v>
      </c>
    </row>
    <row r="16988" spans="1:8" customFormat="1" x14ac:dyDescent="0.25">
      <c r="A16988" t="str">
        <f>"288750"</f>
        <v>288750</v>
      </c>
      <c r="B16988" t="s">
        <v>15926</v>
      </c>
      <c r="C16988" t="s">
        <v>82</v>
      </c>
      <c r="D16988" s="21" t="s">
        <v>34</v>
      </c>
      <c r="E16988" s="21" t="s">
        <v>35</v>
      </c>
      <c r="F16988">
        <v>4280610</v>
      </c>
      <c r="G16988" t="s">
        <v>8180</v>
      </c>
      <c r="H16988" s="21">
        <v>809.67</v>
      </c>
    </row>
    <row r="16989" spans="1:8" customFormat="1" x14ac:dyDescent="0.25">
      <c r="A16989" t="str">
        <f>"7212152"</f>
        <v>7212152</v>
      </c>
      <c r="B16989" t="s">
        <v>911</v>
      </c>
      <c r="C16989" t="s">
        <v>269</v>
      </c>
      <c r="D16989" s="21" t="s">
        <v>34</v>
      </c>
      <c r="E16989" s="21" t="s">
        <v>71</v>
      </c>
      <c r="F16989">
        <v>12720067</v>
      </c>
      <c r="G16989" t="s">
        <v>10622</v>
      </c>
      <c r="H16989" s="21">
        <v>809.67</v>
      </c>
    </row>
    <row r="16990" spans="1:8" customFormat="1" x14ac:dyDescent="0.25">
      <c r="A16990" t="str">
        <f>"6714393"</f>
        <v>6714393</v>
      </c>
      <c r="B16990" t="s">
        <v>14911</v>
      </c>
      <c r="C16990" t="s">
        <v>249</v>
      </c>
      <c r="D16990" s="21" t="s">
        <v>34</v>
      </c>
      <c r="E16990" s="21" t="s">
        <v>35</v>
      </c>
      <c r="F16990">
        <v>6670195</v>
      </c>
      <c r="G16990" t="s">
        <v>3974</v>
      </c>
      <c r="H16990" s="21">
        <v>809.67</v>
      </c>
    </row>
    <row r="16991" spans="1:8" customFormat="1" x14ac:dyDescent="0.25">
      <c r="A16991" t="str">
        <f>"4418914"</f>
        <v>4418914</v>
      </c>
      <c r="B16991" t="s">
        <v>482</v>
      </c>
      <c r="C16991" t="s">
        <v>528</v>
      </c>
      <c r="D16991" s="21" t="s">
        <v>34</v>
      </c>
      <c r="E16991" s="21" t="s">
        <v>254</v>
      </c>
      <c r="F16991">
        <v>12440134</v>
      </c>
      <c r="G16991" t="s">
        <v>10580</v>
      </c>
      <c r="H16991" s="21">
        <v>809.67</v>
      </c>
    </row>
    <row r="16992" spans="1:8" customFormat="1" x14ac:dyDescent="0.25">
      <c r="A16992" t="str">
        <f>"904013"</f>
        <v>904013</v>
      </c>
      <c r="B16992" t="s">
        <v>788</v>
      </c>
      <c r="C16992" t="s">
        <v>598</v>
      </c>
      <c r="D16992" s="21" t="s">
        <v>34</v>
      </c>
      <c r="E16992" s="21" t="s">
        <v>71</v>
      </c>
      <c r="F16992">
        <v>2900003</v>
      </c>
      <c r="G16992" t="s">
        <v>1742</v>
      </c>
      <c r="H16992" s="21">
        <v>809.67</v>
      </c>
    </row>
    <row r="16993" spans="1:8" customFormat="1" x14ac:dyDescent="0.25">
      <c r="A16993" t="str">
        <f>"639024"</f>
        <v>639024</v>
      </c>
      <c r="B16993" t="s">
        <v>27463</v>
      </c>
      <c r="C16993" t="s">
        <v>60</v>
      </c>
      <c r="D16993" s="21" t="s">
        <v>34</v>
      </c>
      <c r="E16993" s="21" t="s">
        <v>35</v>
      </c>
      <c r="F16993">
        <v>1630015</v>
      </c>
      <c r="G16993" t="s">
        <v>2097</v>
      </c>
      <c r="H16993" s="21">
        <v>809.67</v>
      </c>
    </row>
    <row r="16994" spans="1:8" customFormat="1" x14ac:dyDescent="0.25">
      <c r="A16994" t="str">
        <f>"4427512"</f>
        <v>4427512</v>
      </c>
      <c r="B16994" t="s">
        <v>2824</v>
      </c>
      <c r="C16994" t="s">
        <v>263</v>
      </c>
      <c r="D16994" s="21" t="s">
        <v>34</v>
      </c>
      <c r="E16994" s="21" t="s">
        <v>71</v>
      </c>
      <c r="F16994">
        <v>12440056</v>
      </c>
      <c r="G16994" t="s">
        <v>2037</v>
      </c>
      <c r="H16994" s="21">
        <v>809.67</v>
      </c>
    </row>
    <row r="16995" spans="1:8" customFormat="1" x14ac:dyDescent="0.25">
      <c r="A16995" t="str">
        <f>"6948141"</f>
        <v>6948141</v>
      </c>
      <c r="B16995" t="s">
        <v>16635</v>
      </c>
      <c r="C16995" t="s">
        <v>275</v>
      </c>
      <c r="D16995" s="21" t="s">
        <v>34</v>
      </c>
      <c r="E16995" s="21" t="s">
        <v>35</v>
      </c>
      <c r="F16995">
        <v>1690058</v>
      </c>
      <c r="G16995" t="s">
        <v>1644</v>
      </c>
      <c r="H16995" s="21">
        <v>809.67</v>
      </c>
    </row>
    <row r="16996" spans="1:8" customFormat="1" x14ac:dyDescent="0.25">
      <c r="A16996" t="str">
        <f>"4410280"</f>
        <v>4410280</v>
      </c>
      <c r="B16996" t="s">
        <v>14075</v>
      </c>
      <c r="C16996" t="s">
        <v>124</v>
      </c>
      <c r="D16996" s="21" t="s">
        <v>34</v>
      </c>
      <c r="E16996" s="21" t="s">
        <v>254</v>
      </c>
      <c r="F16996">
        <v>12440094</v>
      </c>
      <c r="G16996" t="s">
        <v>892</v>
      </c>
      <c r="H16996" s="21">
        <v>809.67</v>
      </c>
    </row>
    <row r="16997" spans="1:8" customFormat="1" x14ac:dyDescent="0.25">
      <c r="A16997" t="str">
        <f>"389632"</f>
        <v>389632</v>
      </c>
      <c r="B16997" t="s">
        <v>3616</v>
      </c>
      <c r="C16997" t="s">
        <v>249</v>
      </c>
      <c r="D16997" s="21" t="s">
        <v>34</v>
      </c>
      <c r="E16997" s="21" t="s">
        <v>71</v>
      </c>
      <c r="F16997">
        <v>1380290</v>
      </c>
      <c r="G16997" t="s">
        <v>619</v>
      </c>
      <c r="H16997" s="21">
        <v>809.67</v>
      </c>
    </row>
    <row r="16998" spans="1:8" customFormat="1" x14ac:dyDescent="0.25">
      <c r="A16998" t="str">
        <f>"4915110"</f>
        <v>4915110</v>
      </c>
      <c r="B16998" t="s">
        <v>650</v>
      </c>
      <c r="C16998" t="s">
        <v>139</v>
      </c>
      <c r="D16998" s="21" t="s">
        <v>34</v>
      </c>
      <c r="E16998" s="21" t="s">
        <v>35</v>
      </c>
      <c r="F16998">
        <v>12490098</v>
      </c>
      <c r="G16998" t="s">
        <v>2670</v>
      </c>
      <c r="H16998" s="21">
        <v>809.67</v>
      </c>
    </row>
    <row r="16999" spans="1:8" customFormat="1" x14ac:dyDescent="0.25">
      <c r="A16999" t="str">
        <f>"181969"</f>
        <v>181969</v>
      </c>
      <c r="B16999" t="s">
        <v>2713</v>
      </c>
      <c r="C16999" t="s">
        <v>328</v>
      </c>
      <c r="D16999" s="21" t="s">
        <v>34</v>
      </c>
      <c r="E16999" s="21" t="s">
        <v>35</v>
      </c>
      <c r="F16999">
        <v>4180485</v>
      </c>
      <c r="G16999" t="s">
        <v>345</v>
      </c>
      <c r="H16999" s="21">
        <v>809.67</v>
      </c>
    </row>
    <row r="17000" spans="1:8" customFormat="1" x14ac:dyDescent="0.25">
      <c r="A17000" t="str">
        <f>"323809"</f>
        <v>323809</v>
      </c>
      <c r="B17000" t="s">
        <v>15750</v>
      </c>
      <c r="C17000" t="s">
        <v>712</v>
      </c>
      <c r="D17000" s="21" t="s">
        <v>34</v>
      </c>
      <c r="E17000" s="21" t="s">
        <v>71</v>
      </c>
      <c r="F17000">
        <v>11320031</v>
      </c>
      <c r="G17000" t="s">
        <v>5237</v>
      </c>
      <c r="H17000" s="21">
        <v>809.67</v>
      </c>
    </row>
    <row r="17001" spans="1:8" customFormat="1" x14ac:dyDescent="0.25">
      <c r="A17001" t="str">
        <f>"5934095"</f>
        <v>5934095</v>
      </c>
      <c r="B17001" t="s">
        <v>13346</v>
      </c>
      <c r="C17001" t="s">
        <v>43</v>
      </c>
      <c r="D17001" s="21" t="s">
        <v>34</v>
      </c>
      <c r="E17001" s="21" t="s">
        <v>35</v>
      </c>
      <c r="F17001">
        <v>7590415</v>
      </c>
      <c r="G17001" t="s">
        <v>15668</v>
      </c>
      <c r="H17001" s="21">
        <v>809.67</v>
      </c>
    </row>
    <row r="17002" spans="1:8" customFormat="1" x14ac:dyDescent="0.25">
      <c r="A17002" t="str">
        <f>"1314827"</f>
        <v>1314827</v>
      </c>
      <c r="B17002" t="s">
        <v>15597</v>
      </c>
      <c r="C17002" t="s">
        <v>171</v>
      </c>
      <c r="D17002" s="21" t="s">
        <v>34</v>
      </c>
      <c r="E17002" s="21" t="s">
        <v>71</v>
      </c>
      <c r="F17002">
        <v>13130138</v>
      </c>
      <c r="G17002" t="s">
        <v>5409</v>
      </c>
      <c r="H17002" s="21">
        <v>809.54</v>
      </c>
    </row>
    <row r="17003" spans="1:8" customFormat="1" x14ac:dyDescent="0.25">
      <c r="A17003" t="str">
        <f>"6813454"</f>
        <v>6813454</v>
      </c>
      <c r="B17003" t="s">
        <v>18066</v>
      </c>
      <c r="C17003" t="s">
        <v>608</v>
      </c>
      <c r="D17003" s="21" t="s">
        <v>34</v>
      </c>
      <c r="E17003" s="21" t="s">
        <v>35</v>
      </c>
      <c r="F17003">
        <v>6680011</v>
      </c>
      <c r="G17003" t="s">
        <v>1524</v>
      </c>
      <c r="H17003" s="21">
        <v>809.54</v>
      </c>
    </row>
    <row r="17004" spans="1:8" customFormat="1" x14ac:dyDescent="0.25">
      <c r="A17004" t="str">
        <f>"6936826"</f>
        <v>6936826</v>
      </c>
      <c r="B17004" t="s">
        <v>13729</v>
      </c>
      <c r="C17004" t="s">
        <v>608</v>
      </c>
      <c r="D17004" s="21" t="s">
        <v>34</v>
      </c>
      <c r="E17004" s="21" t="s">
        <v>35</v>
      </c>
      <c r="F17004">
        <v>1690166</v>
      </c>
      <c r="G17004" t="s">
        <v>3886</v>
      </c>
      <c r="H17004" s="21">
        <v>809.42</v>
      </c>
    </row>
    <row r="17005" spans="1:8" customFormat="1" x14ac:dyDescent="0.25">
      <c r="A17005" t="str">
        <f>"476686"</f>
        <v>476686</v>
      </c>
      <c r="B17005" t="s">
        <v>3919</v>
      </c>
      <c r="C17005" t="s">
        <v>15745</v>
      </c>
      <c r="D17005" s="21" t="s">
        <v>34</v>
      </c>
      <c r="E17005" s="21" t="s">
        <v>35</v>
      </c>
      <c r="F17005">
        <v>10470016</v>
      </c>
      <c r="G17005" t="s">
        <v>14406</v>
      </c>
      <c r="H17005" s="21">
        <v>809.42</v>
      </c>
    </row>
    <row r="17006" spans="1:8" customFormat="1" x14ac:dyDescent="0.25">
      <c r="A17006" t="str">
        <f>"106389"</f>
        <v>106389</v>
      </c>
      <c r="B17006" t="s">
        <v>14090</v>
      </c>
      <c r="C17006" t="s">
        <v>269</v>
      </c>
      <c r="D17006" s="21" t="s">
        <v>34</v>
      </c>
      <c r="E17006" s="21" t="s">
        <v>35</v>
      </c>
      <c r="F17006">
        <v>6100032</v>
      </c>
      <c r="G17006" t="s">
        <v>1641</v>
      </c>
      <c r="H17006" s="21">
        <v>809.42</v>
      </c>
    </row>
    <row r="17007" spans="1:8" customFormat="1" x14ac:dyDescent="0.25">
      <c r="A17007" t="str">
        <f>"3341060"</f>
        <v>3341060</v>
      </c>
      <c r="B17007" t="s">
        <v>970</v>
      </c>
      <c r="C17007" t="s">
        <v>87</v>
      </c>
      <c r="D17007" s="21" t="s">
        <v>34</v>
      </c>
      <c r="E17007" s="21" t="s">
        <v>35</v>
      </c>
      <c r="F17007">
        <v>10330004</v>
      </c>
      <c r="G17007" t="s">
        <v>525</v>
      </c>
      <c r="H17007" s="21">
        <v>809.29</v>
      </c>
    </row>
    <row r="17008" spans="1:8" customFormat="1" x14ac:dyDescent="0.25">
      <c r="A17008" t="str">
        <f>"843934"</f>
        <v>843934</v>
      </c>
      <c r="B17008" t="s">
        <v>14351</v>
      </c>
      <c r="C17008" t="s">
        <v>1146</v>
      </c>
      <c r="D17008" s="21" t="s">
        <v>34</v>
      </c>
      <c r="E17008" s="21" t="s">
        <v>71</v>
      </c>
      <c r="F17008">
        <v>13840025</v>
      </c>
      <c r="G17008" t="s">
        <v>7580</v>
      </c>
      <c r="H17008" s="21">
        <v>809.29</v>
      </c>
    </row>
    <row r="17009" spans="1:8" customFormat="1" x14ac:dyDescent="0.25">
      <c r="A17009" t="str">
        <f>"3530962"</f>
        <v>3530962</v>
      </c>
      <c r="B17009" t="s">
        <v>7079</v>
      </c>
      <c r="C17009" t="s">
        <v>1132</v>
      </c>
      <c r="D17009" s="21" t="s">
        <v>34</v>
      </c>
      <c r="E17009" s="21" t="s">
        <v>71</v>
      </c>
      <c r="F17009">
        <v>3350199</v>
      </c>
      <c r="G17009" t="s">
        <v>5603</v>
      </c>
      <c r="H17009" s="21">
        <v>809.29</v>
      </c>
    </row>
    <row r="17010" spans="1:8" customFormat="1" x14ac:dyDescent="0.25">
      <c r="A17010" t="str">
        <f>"7616778"</f>
        <v>7616778</v>
      </c>
      <c r="B17010" t="s">
        <v>13450</v>
      </c>
      <c r="C17010" t="s">
        <v>239</v>
      </c>
      <c r="D17010" s="21" t="s">
        <v>34</v>
      </c>
      <c r="E17010" s="21" t="s">
        <v>254</v>
      </c>
      <c r="F17010">
        <v>9760294</v>
      </c>
      <c r="G17010" t="s">
        <v>8313</v>
      </c>
      <c r="H17010" s="21">
        <v>809.17</v>
      </c>
    </row>
    <row r="17011" spans="1:8" customFormat="1" x14ac:dyDescent="0.25">
      <c r="A17011" t="str">
        <f>"1414434"</f>
        <v>1414434</v>
      </c>
      <c r="B17011" t="s">
        <v>14176</v>
      </c>
      <c r="C17011" t="s">
        <v>98</v>
      </c>
      <c r="D17011" s="21" t="s">
        <v>34</v>
      </c>
      <c r="E17011" s="21" t="s">
        <v>35</v>
      </c>
      <c r="F17011">
        <v>9140224</v>
      </c>
      <c r="G17011" t="s">
        <v>14177</v>
      </c>
      <c r="H17011" s="21">
        <v>809.17</v>
      </c>
    </row>
    <row r="17012" spans="1:8" customFormat="1" x14ac:dyDescent="0.25">
      <c r="A17012" t="str">
        <f>"746194"</f>
        <v>746194</v>
      </c>
      <c r="B17012" t="s">
        <v>27464</v>
      </c>
      <c r="C17012" t="s">
        <v>712</v>
      </c>
      <c r="D17012" s="21" t="s">
        <v>34</v>
      </c>
      <c r="E17012" s="21" t="s">
        <v>71</v>
      </c>
      <c r="F17012">
        <v>1420070</v>
      </c>
      <c r="G17012" t="s">
        <v>27046</v>
      </c>
      <c r="H17012" s="21">
        <v>809.17</v>
      </c>
    </row>
    <row r="17013" spans="1:8" customFormat="1" x14ac:dyDescent="0.25">
      <c r="A17013" t="str">
        <f>"7717863"</f>
        <v>7717863</v>
      </c>
      <c r="B17013" t="s">
        <v>15273</v>
      </c>
      <c r="C17013" t="s">
        <v>246</v>
      </c>
      <c r="D17013" s="21" t="s">
        <v>34</v>
      </c>
      <c r="E17013" s="21" t="s">
        <v>1089</v>
      </c>
      <c r="F17013">
        <v>8771508</v>
      </c>
      <c r="G17013" t="s">
        <v>4072</v>
      </c>
      <c r="H17013" s="21">
        <v>809.17</v>
      </c>
    </row>
    <row r="17014" spans="1:8" customFormat="1" x14ac:dyDescent="0.25">
      <c r="A17014" t="str">
        <f>"151926"</f>
        <v>151926</v>
      </c>
      <c r="B17014" t="s">
        <v>15321</v>
      </c>
      <c r="C17014" t="s">
        <v>204</v>
      </c>
      <c r="D17014" s="21" t="s">
        <v>34</v>
      </c>
      <c r="E17014" s="21" t="s">
        <v>35</v>
      </c>
      <c r="F17014">
        <v>1150304</v>
      </c>
      <c r="G17014" t="s">
        <v>5647</v>
      </c>
      <c r="H17014" s="21">
        <v>809.17</v>
      </c>
    </row>
    <row r="17015" spans="1:8" customFormat="1" x14ac:dyDescent="0.25">
      <c r="A17015" t="str">
        <f>"7727760"</f>
        <v>7727760</v>
      </c>
      <c r="B17015" t="s">
        <v>13781</v>
      </c>
      <c r="C17015" t="s">
        <v>130</v>
      </c>
      <c r="D17015" s="21" t="s">
        <v>34</v>
      </c>
      <c r="E17015" s="21" t="s">
        <v>71</v>
      </c>
      <c r="F17015">
        <v>8770408</v>
      </c>
      <c r="G17015" t="s">
        <v>212</v>
      </c>
      <c r="H17015" s="21">
        <v>809.17</v>
      </c>
    </row>
    <row r="17016" spans="1:8" customFormat="1" x14ac:dyDescent="0.25">
      <c r="A17016" t="str">
        <f>"8527656"</f>
        <v>8527656</v>
      </c>
      <c r="B17016" t="s">
        <v>11376</v>
      </c>
      <c r="C17016" t="s">
        <v>1803</v>
      </c>
      <c r="D17016" s="21" t="s">
        <v>34</v>
      </c>
      <c r="E17016" s="21" t="s">
        <v>35</v>
      </c>
      <c r="F17016">
        <v>12850012</v>
      </c>
      <c r="G17016" t="s">
        <v>1229</v>
      </c>
      <c r="H17016" s="21">
        <v>809.17</v>
      </c>
    </row>
    <row r="17017" spans="1:8" customFormat="1" x14ac:dyDescent="0.25">
      <c r="A17017" t="str">
        <f>"4425284"</f>
        <v>4425284</v>
      </c>
      <c r="B17017" t="s">
        <v>13991</v>
      </c>
      <c r="C17017" t="s">
        <v>209</v>
      </c>
      <c r="D17017" s="21" t="s">
        <v>34</v>
      </c>
      <c r="E17017" s="21" t="s">
        <v>71</v>
      </c>
      <c r="F17017">
        <v>12440210</v>
      </c>
      <c r="G17017" t="s">
        <v>27465</v>
      </c>
      <c r="H17017" s="21">
        <v>809.17</v>
      </c>
    </row>
    <row r="17018" spans="1:8" customFormat="1" x14ac:dyDescent="0.25">
      <c r="A17018" t="str">
        <f>"534649"</f>
        <v>534649</v>
      </c>
      <c r="B17018" t="s">
        <v>5119</v>
      </c>
      <c r="C17018" t="s">
        <v>415</v>
      </c>
      <c r="D17018" s="21" t="s">
        <v>34</v>
      </c>
      <c r="E17018" s="21" t="s">
        <v>254</v>
      </c>
      <c r="F17018">
        <v>12538910</v>
      </c>
      <c r="G17018" t="s">
        <v>8855</v>
      </c>
      <c r="H17018" s="21">
        <v>809.17</v>
      </c>
    </row>
    <row r="17019" spans="1:8" customFormat="1" x14ac:dyDescent="0.25">
      <c r="A17019" t="str">
        <f>"4522683"</f>
        <v>4522683</v>
      </c>
      <c r="B17019" t="s">
        <v>13375</v>
      </c>
      <c r="C17019" t="s">
        <v>285</v>
      </c>
      <c r="D17019" s="21" t="s">
        <v>34</v>
      </c>
      <c r="E17019" s="21" t="s">
        <v>35</v>
      </c>
      <c r="F17019">
        <v>4450571</v>
      </c>
      <c r="G17019" t="s">
        <v>188</v>
      </c>
      <c r="H17019" s="21">
        <v>809.17</v>
      </c>
    </row>
    <row r="17020" spans="1:8" customFormat="1" x14ac:dyDescent="0.25">
      <c r="A17020" t="str">
        <f>"5015657"</f>
        <v>5015657</v>
      </c>
      <c r="B17020" t="s">
        <v>14135</v>
      </c>
      <c r="C17020" t="s">
        <v>109</v>
      </c>
      <c r="D17020" s="21" t="s">
        <v>34</v>
      </c>
      <c r="E17020" s="21" t="s">
        <v>35</v>
      </c>
      <c r="F17020">
        <v>9500025</v>
      </c>
      <c r="G17020" t="s">
        <v>665</v>
      </c>
      <c r="H17020" s="21">
        <v>809.17</v>
      </c>
    </row>
    <row r="17021" spans="1:8" customFormat="1" x14ac:dyDescent="0.25">
      <c r="A17021" t="str">
        <f>"5964077"</f>
        <v>5964077</v>
      </c>
      <c r="B17021" t="s">
        <v>3565</v>
      </c>
      <c r="C17021" t="s">
        <v>114</v>
      </c>
      <c r="D17021" s="21" t="s">
        <v>34</v>
      </c>
      <c r="E17021" s="21" t="s">
        <v>71</v>
      </c>
      <c r="F17021">
        <v>7590293</v>
      </c>
      <c r="G17021" t="s">
        <v>2431</v>
      </c>
      <c r="H17021" s="21">
        <v>809.17</v>
      </c>
    </row>
    <row r="17022" spans="1:8" customFormat="1" x14ac:dyDescent="0.25">
      <c r="A17022" t="str">
        <f>"4438699"</f>
        <v>4438699</v>
      </c>
      <c r="B17022" t="s">
        <v>21038</v>
      </c>
      <c r="C17022" t="s">
        <v>169</v>
      </c>
      <c r="D17022" s="21" t="s">
        <v>34</v>
      </c>
      <c r="E17022" s="21" t="s">
        <v>35</v>
      </c>
      <c r="F17022">
        <v>12440004</v>
      </c>
      <c r="G17022" t="s">
        <v>26530</v>
      </c>
      <c r="H17022" s="21">
        <v>809.17</v>
      </c>
    </row>
    <row r="17023" spans="1:8" customFormat="1" x14ac:dyDescent="0.25">
      <c r="A17023" t="str">
        <f>"7917987"</f>
        <v>7917987</v>
      </c>
      <c r="B17023" t="s">
        <v>13481</v>
      </c>
      <c r="C17023" t="s">
        <v>65</v>
      </c>
      <c r="D17023" s="21" t="s">
        <v>34</v>
      </c>
      <c r="E17023" s="21" t="s">
        <v>71</v>
      </c>
      <c r="F17023">
        <v>10790185</v>
      </c>
      <c r="G17023" t="s">
        <v>3511</v>
      </c>
      <c r="H17023" s="21">
        <v>809.17</v>
      </c>
    </row>
    <row r="17024" spans="1:8" customFormat="1" x14ac:dyDescent="0.25">
      <c r="A17024" t="str">
        <f>"653544"</f>
        <v>653544</v>
      </c>
      <c r="B17024" t="s">
        <v>9285</v>
      </c>
      <c r="C17024" t="s">
        <v>891</v>
      </c>
      <c r="D17024" s="21" t="s">
        <v>34</v>
      </c>
      <c r="E17024" s="21" t="s">
        <v>35</v>
      </c>
      <c r="F17024">
        <v>11650034</v>
      </c>
      <c r="G17024" t="s">
        <v>1989</v>
      </c>
      <c r="H17024" s="21">
        <v>808.92</v>
      </c>
    </row>
    <row r="17025" spans="1:8" customFormat="1" x14ac:dyDescent="0.25">
      <c r="A17025" t="str">
        <f>"5613653"</f>
        <v>5613653</v>
      </c>
      <c r="B17025" t="s">
        <v>13597</v>
      </c>
      <c r="C17025" t="s">
        <v>239</v>
      </c>
      <c r="D17025" s="21" t="s">
        <v>34</v>
      </c>
      <c r="E17025" s="21" t="s">
        <v>254</v>
      </c>
      <c r="F17025">
        <v>3560012</v>
      </c>
      <c r="G17025" t="s">
        <v>3857</v>
      </c>
      <c r="H17025" s="21">
        <v>808.67</v>
      </c>
    </row>
    <row r="17026" spans="1:8" customFormat="1" x14ac:dyDescent="0.25">
      <c r="A17026" t="str">
        <f>"441364"</f>
        <v>441364</v>
      </c>
      <c r="B17026" t="s">
        <v>2056</v>
      </c>
      <c r="C17026" t="s">
        <v>263</v>
      </c>
      <c r="D17026" s="21" t="s">
        <v>34</v>
      </c>
      <c r="E17026" s="21" t="s">
        <v>254</v>
      </c>
      <c r="F17026">
        <v>12440266</v>
      </c>
      <c r="G17026" t="s">
        <v>924</v>
      </c>
      <c r="H17026" s="21">
        <v>808.67</v>
      </c>
    </row>
    <row r="17027" spans="1:8" customFormat="1" x14ac:dyDescent="0.25">
      <c r="A17027" t="str">
        <f>"59145"</f>
        <v>59145</v>
      </c>
      <c r="B17027" t="s">
        <v>2032</v>
      </c>
      <c r="C17027" t="s">
        <v>3109</v>
      </c>
      <c r="D17027" s="21" t="s">
        <v>34</v>
      </c>
      <c r="E17027" s="21" t="s">
        <v>71</v>
      </c>
      <c r="F17027">
        <v>7590007</v>
      </c>
      <c r="G17027" t="s">
        <v>13674</v>
      </c>
      <c r="H17027" s="21">
        <v>808.67</v>
      </c>
    </row>
    <row r="17028" spans="1:8" customFormat="1" x14ac:dyDescent="0.25">
      <c r="A17028" t="str">
        <f>"5965909"</f>
        <v>5965909</v>
      </c>
      <c r="B17028" t="s">
        <v>11822</v>
      </c>
      <c r="C17028" t="s">
        <v>209</v>
      </c>
      <c r="D17028" s="21" t="s">
        <v>34</v>
      </c>
      <c r="E17028" s="21" t="s">
        <v>35</v>
      </c>
      <c r="F17028">
        <v>7590069</v>
      </c>
      <c r="G17028" t="s">
        <v>7225</v>
      </c>
      <c r="H17028" s="21">
        <v>808.67</v>
      </c>
    </row>
    <row r="17029" spans="1:8" customFormat="1" x14ac:dyDescent="0.25">
      <c r="A17029" t="str">
        <f>"3013138"</f>
        <v>3013138</v>
      </c>
      <c r="B17029" t="s">
        <v>16032</v>
      </c>
      <c r="C17029" t="s">
        <v>2132</v>
      </c>
      <c r="D17029" s="21" t="s">
        <v>34</v>
      </c>
      <c r="E17029" s="21" t="s">
        <v>35</v>
      </c>
      <c r="F17029">
        <v>11300025</v>
      </c>
      <c r="G17029" t="s">
        <v>1211</v>
      </c>
      <c r="H17029" s="21">
        <v>808.67</v>
      </c>
    </row>
    <row r="17030" spans="1:8" customFormat="1" x14ac:dyDescent="0.25">
      <c r="A17030" t="str">
        <f>"7627988"</f>
        <v>7627988</v>
      </c>
      <c r="B17030" t="s">
        <v>8455</v>
      </c>
      <c r="C17030" t="s">
        <v>65</v>
      </c>
      <c r="D17030" s="21" t="s">
        <v>34</v>
      </c>
      <c r="E17030" s="21" t="s">
        <v>71</v>
      </c>
      <c r="F17030">
        <v>9760351</v>
      </c>
      <c r="G17030" t="s">
        <v>5898</v>
      </c>
      <c r="H17030" s="21">
        <v>808.67</v>
      </c>
    </row>
    <row r="17031" spans="1:8" customFormat="1" x14ac:dyDescent="0.25">
      <c r="A17031" t="str">
        <f>"2715592"</f>
        <v>2715592</v>
      </c>
      <c r="B17031" t="s">
        <v>16139</v>
      </c>
      <c r="C17031" t="s">
        <v>544</v>
      </c>
      <c r="D17031" s="21" t="s">
        <v>34</v>
      </c>
      <c r="E17031" s="21" t="s">
        <v>71</v>
      </c>
      <c r="F17031">
        <v>9270177</v>
      </c>
      <c r="G17031" t="s">
        <v>10384</v>
      </c>
      <c r="H17031" s="21">
        <v>808.67</v>
      </c>
    </row>
    <row r="17032" spans="1:8" customFormat="1" x14ac:dyDescent="0.25">
      <c r="A17032" t="str">
        <f>"187362"</f>
        <v>187362</v>
      </c>
      <c r="B17032" t="s">
        <v>15611</v>
      </c>
      <c r="C17032" t="s">
        <v>1110</v>
      </c>
      <c r="D17032" s="21" t="s">
        <v>34</v>
      </c>
      <c r="E17032" s="21" t="s">
        <v>254</v>
      </c>
      <c r="F17032">
        <v>4180727</v>
      </c>
      <c r="G17032" t="s">
        <v>8025</v>
      </c>
      <c r="H17032" s="21">
        <v>808.67</v>
      </c>
    </row>
    <row r="17033" spans="1:8" customFormat="1" x14ac:dyDescent="0.25">
      <c r="A17033" t="str">
        <f>"4933504"</f>
        <v>4933504</v>
      </c>
      <c r="B17033" t="s">
        <v>7072</v>
      </c>
      <c r="C17033" t="s">
        <v>147</v>
      </c>
      <c r="D17033" s="21" t="s">
        <v>34</v>
      </c>
      <c r="E17033" s="21" t="s">
        <v>35</v>
      </c>
      <c r="F17033">
        <v>12490023</v>
      </c>
      <c r="G17033" t="s">
        <v>4979</v>
      </c>
      <c r="H17033" s="21">
        <v>808.67</v>
      </c>
    </row>
    <row r="17034" spans="1:8" customFormat="1" x14ac:dyDescent="0.25">
      <c r="A17034" t="str">
        <f>"4510734"</f>
        <v>4510734</v>
      </c>
      <c r="B17034" t="s">
        <v>14330</v>
      </c>
      <c r="C17034" t="s">
        <v>171</v>
      </c>
      <c r="D17034" s="21" t="s">
        <v>34</v>
      </c>
      <c r="E17034" s="21" t="s">
        <v>71</v>
      </c>
      <c r="F17034">
        <v>4450702</v>
      </c>
      <c r="G17034" t="s">
        <v>1772</v>
      </c>
      <c r="H17034" s="21">
        <v>808.67</v>
      </c>
    </row>
    <row r="17035" spans="1:8" customFormat="1" x14ac:dyDescent="0.25">
      <c r="A17035" t="str">
        <f>"585111"</f>
        <v>585111</v>
      </c>
      <c r="B17035" t="s">
        <v>14356</v>
      </c>
      <c r="C17035" t="s">
        <v>233</v>
      </c>
      <c r="D17035" s="21" t="s">
        <v>34</v>
      </c>
      <c r="E17035" s="21" t="s">
        <v>71</v>
      </c>
      <c r="F17035">
        <v>1150278</v>
      </c>
      <c r="G17035" t="s">
        <v>16041</v>
      </c>
      <c r="H17035" s="21">
        <v>808.67</v>
      </c>
    </row>
    <row r="17036" spans="1:8" customFormat="1" x14ac:dyDescent="0.25">
      <c r="A17036" t="str">
        <f>"879110"</f>
        <v>879110</v>
      </c>
      <c r="B17036" t="s">
        <v>16729</v>
      </c>
      <c r="C17036" t="s">
        <v>43</v>
      </c>
      <c r="D17036" s="21" t="s">
        <v>34</v>
      </c>
      <c r="E17036" s="21" t="s">
        <v>35</v>
      </c>
      <c r="F17036">
        <v>10870017</v>
      </c>
      <c r="G17036" t="s">
        <v>26875</v>
      </c>
      <c r="H17036" s="21">
        <v>808.67</v>
      </c>
    </row>
    <row r="17037" spans="1:8" customFormat="1" x14ac:dyDescent="0.25">
      <c r="A17037" t="str">
        <f>"616921"</f>
        <v>616921</v>
      </c>
      <c r="B17037" t="s">
        <v>423</v>
      </c>
      <c r="C17037" t="s">
        <v>328</v>
      </c>
      <c r="D17037" s="21" t="s">
        <v>34</v>
      </c>
      <c r="E17037" s="21" t="s">
        <v>35</v>
      </c>
      <c r="F17037">
        <v>9610123</v>
      </c>
      <c r="G17037" t="s">
        <v>10458</v>
      </c>
      <c r="H17037" s="21">
        <v>808.67</v>
      </c>
    </row>
    <row r="17038" spans="1:8" customFormat="1" x14ac:dyDescent="0.25">
      <c r="A17038" t="str">
        <f>"7837262"</f>
        <v>7837262</v>
      </c>
      <c r="B17038" t="s">
        <v>431</v>
      </c>
      <c r="C17038" t="s">
        <v>124</v>
      </c>
      <c r="D17038" s="21" t="s">
        <v>34</v>
      </c>
      <c r="E17038" s="21" t="s">
        <v>71</v>
      </c>
      <c r="F17038">
        <v>4280004</v>
      </c>
      <c r="G17038" t="s">
        <v>91</v>
      </c>
      <c r="H17038" s="21">
        <v>808.67</v>
      </c>
    </row>
    <row r="17039" spans="1:8" customFormat="1" x14ac:dyDescent="0.25">
      <c r="A17039" t="str">
        <f>"10572"</f>
        <v>10572</v>
      </c>
      <c r="B17039" t="s">
        <v>4275</v>
      </c>
      <c r="C17039" t="s">
        <v>249</v>
      </c>
      <c r="D17039" s="21" t="s">
        <v>34</v>
      </c>
      <c r="E17039" s="21" t="s">
        <v>71</v>
      </c>
      <c r="F17039">
        <v>6100032</v>
      </c>
      <c r="G17039" t="s">
        <v>1641</v>
      </c>
      <c r="H17039" s="21">
        <v>808.67</v>
      </c>
    </row>
    <row r="17040" spans="1:8" customFormat="1" x14ac:dyDescent="0.25">
      <c r="A17040" t="str">
        <f>"4454392"</f>
        <v>4454392</v>
      </c>
      <c r="B17040" t="s">
        <v>15725</v>
      </c>
      <c r="C17040" t="s">
        <v>328</v>
      </c>
      <c r="D17040" s="21" t="s">
        <v>34</v>
      </c>
      <c r="E17040" s="21" t="s">
        <v>35</v>
      </c>
      <c r="F17040">
        <v>12440012</v>
      </c>
      <c r="G17040" t="s">
        <v>807</v>
      </c>
      <c r="H17040" s="21">
        <v>808.67</v>
      </c>
    </row>
    <row r="17041" spans="1:8" customFormat="1" x14ac:dyDescent="0.25">
      <c r="A17041" t="str">
        <f>"1316184"</f>
        <v>1316184</v>
      </c>
      <c r="B17041" t="s">
        <v>15272</v>
      </c>
      <c r="C17041" t="s">
        <v>2475</v>
      </c>
      <c r="D17041" s="21" t="s">
        <v>34</v>
      </c>
      <c r="E17041" s="21" t="s">
        <v>71</v>
      </c>
      <c r="F17041">
        <v>13130133</v>
      </c>
      <c r="G17041" t="s">
        <v>12333</v>
      </c>
      <c r="H17041" s="21">
        <v>808.67</v>
      </c>
    </row>
    <row r="17042" spans="1:8" customFormat="1" x14ac:dyDescent="0.25">
      <c r="A17042" t="str">
        <f>"9233809"</f>
        <v>9233809</v>
      </c>
      <c r="B17042" t="s">
        <v>16144</v>
      </c>
      <c r="C17042" t="s">
        <v>576</v>
      </c>
      <c r="D17042" s="21" t="s">
        <v>34</v>
      </c>
      <c r="E17042" s="21" t="s">
        <v>35</v>
      </c>
      <c r="F17042">
        <v>9270005</v>
      </c>
      <c r="G17042" t="s">
        <v>1255</v>
      </c>
      <c r="H17042" s="21">
        <v>808.67</v>
      </c>
    </row>
    <row r="17043" spans="1:8" customFormat="1" x14ac:dyDescent="0.25">
      <c r="A17043" t="str">
        <f>"4933830"</f>
        <v>4933830</v>
      </c>
      <c r="B17043" t="s">
        <v>14535</v>
      </c>
      <c r="C17043" t="s">
        <v>239</v>
      </c>
      <c r="D17043" s="21" t="s">
        <v>34</v>
      </c>
      <c r="E17043" s="21" t="s">
        <v>35</v>
      </c>
      <c r="F17043">
        <v>12490067</v>
      </c>
      <c r="G17043" t="s">
        <v>7654</v>
      </c>
      <c r="H17043" s="21">
        <v>808.67</v>
      </c>
    </row>
    <row r="17044" spans="1:8" customFormat="1" x14ac:dyDescent="0.25">
      <c r="A17044" t="str">
        <f>"3729249"</f>
        <v>3729249</v>
      </c>
      <c r="B17044" t="s">
        <v>6796</v>
      </c>
      <c r="C17044" t="s">
        <v>96</v>
      </c>
      <c r="D17044" s="21" t="s">
        <v>34</v>
      </c>
      <c r="E17044" s="21" t="s">
        <v>35</v>
      </c>
      <c r="F17044">
        <v>4370596</v>
      </c>
      <c r="G17044" t="s">
        <v>9270</v>
      </c>
      <c r="H17044" s="21">
        <v>808.67</v>
      </c>
    </row>
    <row r="17045" spans="1:8" customFormat="1" x14ac:dyDescent="0.25">
      <c r="A17045" t="str">
        <f>"1417248"</f>
        <v>1417248</v>
      </c>
      <c r="B17045" t="s">
        <v>15548</v>
      </c>
      <c r="C17045" t="s">
        <v>60</v>
      </c>
      <c r="D17045" s="21" t="s">
        <v>34</v>
      </c>
      <c r="E17045" s="21" t="s">
        <v>35</v>
      </c>
      <c r="F17045">
        <v>9140009</v>
      </c>
      <c r="G17045" t="s">
        <v>3530</v>
      </c>
      <c r="H17045" s="21">
        <v>808.67</v>
      </c>
    </row>
    <row r="17046" spans="1:8" customFormat="1" x14ac:dyDescent="0.25">
      <c r="A17046" t="str">
        <f>"905572"</f>
        <v>905572</v>
      </c>
      <c r="B17046" t="s">
        <v>4352</v>
      </c>
      <c r="C17046" t="s">
        <v>55</v>
      </c>
      <c r="D17046" s="21" t="s">
        <v>34</v>
      </c>
      <c r="E17046" s="21" t="s">
        <v>35</v>
      </c>
      <c r="F17046">
        <v>2900028</v>
      </c>
      <c r="G17046" t="s">
        <v>1541</v>
      </c>
      <c r="H17046" s="21">
        <v>808.42</v>
      </c>
    </row>
    <row r="17047" spans="1:8" customFormat="1" x14ac:dyDescent="0.25">
      <c r="A17047" t="str">
        <f>"4911841"</f>
        <v>4911841</v>
      </c>
      <c r="B17047" t="s">
        <v>13174</v>
      </c>
      <c r="C17047" t="s">
        <v>253</v>
      </c>
      <c r="D17047" s="21" t="s">
        <v>34</v>
      </c>
      <c r="E17047" s="21" t="s">
        <v>254</v>
      </c>
      <c r="F17047">
        <v>12490032</v>
      </c>
      <c r="G17047" t="s">
        <v>6233</v>
      </c>
      <c r="H17047" s="21">
        <v>808.42</v>
      </c>
    </row>
    <row r="17048" spans="1:8" customFormat="1" x14ac:dyDescent="0.25">
      <c r="A17048" t="str">
        <f>"3710586"</f>
        <v>3710586</v>
      </c>
      <c r="B17048" t="s">
        <v>13193</v>
      </c>
      <c r="C17048" t="s">
        <v>1605</v>
      </c>
      <c r="D17048" s="21" t="s">
        <v>34</v>
      </c>
      <c r="E17048" s="21" t="s">
        <v>254</v>
      </c>
      <c r="F17048">
        <v>5990022</v>
      </c>
      <c r="G17048" t="s">
        <v>9912</v>
      </c>
      <c r="H17048" s="21">
        <v>808.42</v>
      </c>
    </row>
    <row r="17049" spans="1:8" customFormat="1" x14ac:dyDescent="0.25">
      <c r="A17049" t="str">
        <f>"4112351"</f>
        <v>4112351</v>
      </c>
      <c r="B17049" t="s">
        <v>16086</v>
      </c>
      <c r="C17049" t="s">
        <v>486</v>
      </c>
      <c r="D17049" s="21" t="s">
        <v>34</v>
      </c>
      <c r="E17049" s="21" t="s">
        <v>35</v>
      </c>
      <c r="F17049">
        <v>6540040</v>
      </c>
      <c r="G17049" t="s">
        <v>256</v>
      </c>
      <c r="H17049" s="21">
        <v>808.29</v>
      </c>
    </row>
    <row r="17050" spans="1:8" customFormat="1" x14ac:dyDescent="0.25">
      <c r="A17050" t="str">
        <f>"9229734"</f>
        <v>9229734</v>
      </c>
      <c r="B17050" t="s">
        <v>623</v>
      </c>
      <c r="C17050" t="s">
        <v>926</v>
      </c>
      <c r="D17050" s="21" t="s">
        <v>34</v>
      </c>
      <c r="E17050" s="21" t="s">
        <v>35</v>
      </c>
      <c r="F17050">
        <v>10330050</v>
      </c>
      <c r="G17050" t="s">
        <v>2488</v>
      </c>
      <c r="H17050" s="21">
        <v>808.17</v>
      </c>
    </row>
    <row r="17051" spans="1:8" customFormat="1" x14ac:dyDescent="0.25">
      <c r="A17051" t="str">
        <f>"1317187"</f>
        <v>1317187</v>
      </c>
      <c r="B17051" t="s">
        <v>14472</v>
      </c>
      <c r="C17051" t="s">
        <v>305</v>
      </c>
      <c r="D17051" s="21" t="s">
        <v>34</v>
      </c>
      <c r="E17051" s="21" t="s">
        <v>35</v>
      </c>
      <c r="F17051">
        <v>13130100</v>
      </c>
      <c r="G17051" t="s">
        <v>2893</v>
      </c>
      <c r="H17051" s="21">
        <v>808.17</v>
      </c>
    </row>
    <row r="17052" spans="1:8" customFormat="1" x14ac:dyDescent="0.25">
      <c r="A17052" t="str">
        <f>"856627"</f>
        <v>856627</v>
      </c>
      <c r="B17052" t="s">
        <v>6328</v>
      </c>
      <c r="C17052" t="s">
        <v>249</v>
      </c>
      <c r="D17052" s="21" t="s">
        <v>34</v>
      </c>
      <c r="E17052" s="21" t="s">
        <v>35</v>
      </c>
      <c r="F17052">
        <v>12850134</v>
      </c>
      <c r="G17052" t="s">
        <v>2359</v>
      </c>
      <c r="H17052" s="21">
        <v>808.17</v>
      </c>
    </row>
    <row r="17053" spans="1:8" customFormat="1" x14ac:dyDescent="0.25">
      <c r="A17053" t="str">
        <f>"4436122"</f>
        <v>4436122</v>
      </c>
      <c r="B17053" t="s">
        <v>18125</v>
      </c>
      <c r="C17053" t="s">
        <v>147</v>
      </c>
      <c r="D17053" s="21" t="s">
        <v>34</v>
      </c>
      <c r="E17053" s="21" t="s">
        <v>35</v>
      </c>
      <c r="F17053">
        <v>12440138</v>
      </c>
      <c r="G17053" t="s">
        <v>562</v>
      </c>
      <c r="H17053" s="21">
        <v>808.17</v>
      </c>
    </row>
    <row r="17054" spans="1:8" customFormat="1" x14ac:dyDescent="0.25">
      <c r="A17054" t="str">
        <f>"3517114"</f>
        <v>3517114</v>
      </c>
      <c r="B17054" t="s">
        <v>13393</v>
      </c>
      <c r="C17054" t="s">
        <v>65</v>
      </c>
      <c r="D17054" s="21" t="s">
        <v>34</v>
      </c>
      <c r="E17054" s="21" t="s">
        <v>35</v>
      </c>
      <c r="F17054">
        <v>3350074</v>
      </c>
      <c r="G17054" t="s">
        <v>5432</v>
      </c>
      <c r="H17054" s="21">
        <v>808.17</v>
      </c>
    </row>
    <row r="17055" spans="1:8" customFormat="1" x14ac:dyDescent="0.25">
      <c r="A17055" t="str">
        <f>"3814075"</f>
        <v>3814075</v>
      </c>
      <c r="B17055" t="s">
        <v>14500</v>
      </c>
      <c r="C17055" t="s">
        <v>130</v>
      </c>
      <c r="D17055" s="21" t="s">
        <v>34</v>
      </c>
      <c r="E17055" s="21" t="s">
        <v>71</v>
      </c>
      <c r="F17055">
        <v>1380262</v>
      </c>
      <c r="G17055" t="s">
        <v>1216</v>
      </c>
      <c r="H17055" s="21">
        <v>808.17</v>
      </c>
    </row>
    <row r="17056" spans="1:8" customFormat="1" x14ac:dyDescent="0.25">
      <c r="A17056" t="str">
        <f>"7856010"</f>
        <v>7856010</v>
      </c>
      <c r="B17056" t="s">
        <v>15968</v>
      </c>
      <c r="C17056" t="s">
        <v>2276</v>
      </c>
      <c r="D17056" s="21" t="s">
        <v>34</v>
      </c>
      <c r="E17056" s="21" t="s">
        <v>35</v>
      </c>
      <c r="F17056">
        <v>10640012</v>
      </c>
      <c r="G17056" t="s">
        <v>6475</v>
      </c>
      <c r="H17056" s="21">
        <v>808.17</v>
      </c>
    </row>
    <row r="17057" spans="1:8" customFormat="1" x14ac:dyDescent="0.25">
      <c r="A17057" t="str">
        <f>"6713455"</f>
        <v>6713455</v>
      </c>
      <c r="B17057" t="s">
        <v>208</v>
      </c>
      <c r="C17057" t="s">
        <v>40</v>
      </c>
      <c r="D17057" s="21" t="s">
        <v>34</v>
      </c>
      <c r="E17057" s="21" t="s">
        <v>35</v>
      </c>
      <c r="F17057">
        <v>6680130</v>
      </c>
      <c r="G17057" t="s">
        <v>26772</v>
      </c>
      <c r="H17057" s="21">
        <v>808.17</v>
      </c>
    </row>
    <row r="17058" spans="1:8" customFormat="1" x14ac:dyDescent="0.25">
      <c r="A17058" t="str">
        <f>"5944282"</f>
        <v>5944282</v>
      </c>
      <c r="B17058" t="s">
        <v>15253</v>
      </c>
      <c r="C17058" t="s">
        <v>98</v>
      </c>
      <c r="D17058" s="21" t="s">
        <v>34</v>
      </c>
      <c r="E17058" s="21" t="s">
        <v>35</v>
      </c>
      <c r="F17058">
        <v>7590327</v>
      </c>
      <c r="G17058" t="s">
        <v>2330</v>
      </c>
      <c r="H17058" s="21">
        <v>808.17</v>
      </c>
    </row>
    <row r="17059" spans="1:8" customFormat="1" x14ac:dyDescent="0.25">
      <c r="A17059" t="str">
        <f>"5952622"</f>
        <v>5952622</v>
      </c>
      <c r="B17059" t="s">
        <v>14030</v>
      </c>
      <c r="C17059" t="s">
        <v>169</v>
      </c>
      <c r="D17059" s="21" t="s">
        <v>34</v>
      </c>
      <c r="E17059" s="21" t="s">
        <v>71</v>
      </c>
      <c r="F17059">
        <v>7590058</v>
      </c>
      <c r="G17059" t="s">
        <v>5044</v>
      </c>
      <c r="H17059" s="21">
        <v>808.17</v>
      </c>
    </row>
    <row r="17060" spans="1:8" customFormat="1" x14ac:dyDescent="0.25">
      <c r="A17060" t="str">
        <f>"4436436"</f>
        <v>4436436</v>
      </c>
      <c r="B17060" t="s">
        <v>13578</v>
      </c>
      <c r="C17060" t="s">
        <v>169</v>
      </c>
      <c r="D17060" s="21" t="s">
        <v>34</v>
      </c>
      <c r="E17060" s="21" t="s">
        <v>71</v>
      </c>
      <c r="F17060">
        <v>10170042</v>
      </c>
      <c r="G17060" t="s">
        <v>5014</v>
      </c>
      <c r="H17060" s="21">
        <v>808.17</v>
      </c>
    </row>
    <row r="17061" spans="1:8" customFormat="1" x14ac:dyDescent="0.25">
      <c r="A17061" t="str">
        <f>"49396"</f>
        <v>49396</v>
      </c>
      <c r="B17061" t="s">
        <v>13128</v>
      </c>
      <c r="C17061" t="s">
        <v>1110</v>
      </c>
      <c r="D17061" s="21" t="s">
        <v>34</v>
      </c>
      <c r="E17061" s="21" t="s">
        <v>1089</v>
      </c>
      <c r="F17061">
        <v>12490132</v>
      </c>
      <c r="G17061" t="s">
        <v>1125</v>
      </c>
      <c r="H17061" s="21">
        <v>808.17</v>
      </c>
    </row>
    <row r="17062" spans="1:8" customFormat="1" x14ac:dyDescent="0.25">
      <c r="A17062" t="str">
        <f>"3716008"</f>
        <v>3716008</v>
      </c>
      <c r="B17062" t="s">
        <v>2549</v>
      </c>
      <c r="C17062" t="s">
        <v>249</v>
      </c>
      <c r="D17062" s="21" t="s">
        <v>34</v>
      </c>
      <c r="E17062" s="21" t="s">
        <v>254</v>
      </c>
      <c r="F17062">
        <v>4370289</v>
      </c>
      <c r="G17062" t="s">
        <v>7887</v>
      </c>
      <c r="H17062" s="21">
        <v>808.17</v>
      </c>
    </row>
    <row r="17063" spans="1:8" customFormat="1" x14ac:dyDescent="0.25">
      <c r="A17063" t="str">
        <f>"5923293"</f>
        <v>5923293</v>
      </c>
      <c r="B17063" t="s">
        <v>15279</v>
      </c>
      <c r="C17063" t="s">
        <v>288</v>
      </c>
      <c r="D17063" s="21" t="s">
        <v>34</v>
      </c>
      <c r="E17063" s="21" t="s">
        <v>71</v>
      </c>
      <c r="F17063">
        <v>7590072</v>
      </c>
      <c r="G17063" t="s">
        <v>4059</v>
      </c>
      <c r="H17063" s="21">
        <v>808.17</v>
      </c>
    </row>
    <row r="17064" spans="1:8" customFormat="1" x14ac:dyDescent="0.25">
      <c r="A17064" t="str">
        <f>"334544"</f>
        <v>334544</v>
      </c>
      <c r="B17064" t="s">
        <v>6799</v>
      </c>
      <c r="C17064" t="s">
        <v>547</v>
      </c>
      <c r="D17064" s="21" t="s">
        <v>34</v>
      </c>
      <c r="E17064" s="21" t="s">
        <v>254</v>
      </c>
      <c r="F17064">
        <v>10330084</v>
      </c>
      <c r="G17064" t="s">
        <v>1124</v>
      </c>
      <c r="H17064" s="21">
        <v>808.17</v>
      </c>
    </row>
    <row r="17065" spans="1:8" customFormat="1" x14ac:dyDescent="0.25">
      <c r="A17065" t="str">
        <f>"4431912"</f>
        <v>4431912</v>
      </c>
      <c r="B17065" t="s">
        <v>556</v>
      </c>
      <c r="C17065" t="s">
        <v>7923</v>
      </c>
      <c r="D17065" s="21" t="s">
        <v>34</v>
      </c>
      <c r="E17065" s="21" t="s">
        <v>35</v>
      </c>
      <c r="F17065">
        <v>12440151</v>
      </c>
      <c r="G17065" t="s">
        <v>1327</v>
      </c>
      <c r="H17065" s="21">
        <v>808.17</v>
      </c>
    </row>
    <row r="17066" spans="1:8" customFormat="1" x14ac:dyDescent="0.25">
      <c r="A17066" t="str">
        <f>"5019368"</f>
        <v>5019368</v>
      </c>
      <c r="B17066" t="s">
        <v>16252</v>
      </c>
      <c r="C17066" t="s">
        <v>40</v>
      </c>
      <c r="D17066" s="21" t="s">
        <v>34</v>
      </c>
      <c r="E17066" s="21" t="s">
        <v>35</v>
      </c>
      <c r="F17066">
        <v>9500003</v>
      </c>
      <c r="G17066" t="s">
        <v>545</v>
      </c>
      <c r="H17066" s="21">
        <v>808.17</v>
      </c>
    </row>
    <row r="17067" spans="1:8" customFormat="1" x14ac:dyDescent="0.25">
      <c r="A17067" t="str">
        <f>"757532"</f>
        <v>757532</v>
      </c>
      <c r="B17067" t="s">
        <v>18434</v>
      </c>
      <c r="C17067" t="s">
        <v>253</v>
      </c>
      <c r="D17067" s="21" t="s">
        <v>34</v>
      </c>
      <c r="E17067" s="21" t="s">
        <v>71</v>
      </c>
      <c r="F17067">
        <v>9610130</v>
      </c>
      <c r="G17067" t="s">
        <v>18435</v>
      </c>
      <c r="H17067" s="21">
        <v>808.17</v>
      </c>
    </row>
    <row r="17068" spans="1:8" customFormat="1" x14ac:dyDescent="0.25">
      <c r="A17068" t="str">
        <f>"4512534"</f>
        <v>4512534</v>
      </c>
      <c r="B17068" t="s">
        <v>12329</v>
      </c>
      <c r="C17068" t="s">
        <v>305</v>
      </c>
      <c r="D17068" s="21" t="s">
        <v>34</v>
      </c>
      <c r="E17068" s="21" t="s">
        <v>35</v>
      </c>
      <c r="F17068">
        <v>4450663</v>
      </c>
      <c r="G17068" t="s">
        <v>2527</v>
      </c>
      <c r="H17068" s="21">
        <v>808.17</v>
      </c>
    </row>
    <row r="17069" spans="1:8" customFormat="1" x14ac:dyDescent="0.25">
      <c r="A17069" t="str">
        <f>"7827410"</f>
        <v>7827410</v>
      </c>
      <c r="B17069" t="s">
        <v>3154</v>
      </c>
      <c r="C17069" t="s">
        <v>415</v>
      </c>
      <c r="D17069" s="21" t="s">
        <v>34</v>
      </c>
      <c r="E17069" s="21" t="s">
        <v>254</v>
      </c>
      <c r="F17069">
        <v>10860187</v>
      </c>
      <c r="G17069" t="s">
        <v>9991</v>
      </c>
      <c r="H17069" s="21">
        <v>808.17</v>
      </c>
    </row>
    <row r="17070" spans="1:8" customFormat="1" x14ac:dyDescent="0.25">
      <c r="A17070" t="str">
        <f>"086629"</f>
        <v>086629</v>
      </c>
      <c r="B17070" t="s">
        <v>13739</v>
      </c>
      <c r="C17070" t="s">
        <v>462</v>
      </c>
      <c r="D17070" s="21" t="s">
        <v>34</v>
      </c>
      <c r="E17070" s="21" t="s">
        <v>254</v>
      </c>
      <c r="F17070">
        <v>6080053</v>
      </c>
      <c r="G17070" t="s">
        <v>12951</v>
      </c>
      <c r="H17070" s="21">
        <v>808.17</v>
      </c>
    </row>
    <row r="17071" spans="1:8" customFormat="1" x14ac:dyDescent="0.25">
      <c r="A17071" t="str">
        <f>"278207"</f>
        <v>278207</v>
      </c>
      <c r="B17071" t="s">
        <v>7990</v>
      </c>
      <c r="C17071" t="s">
        <v>3010</v>
      </c>
      <c r="D17071" s="21" t="s">
        <v>34</v>
      </c>
      <c r="E17071" s="21" t="s">
        <v>254</v>
      </c>
      <c r="F17071">
        <v>13830014</v>
      </c>
      <c r="G17071" t="s">
        <v>5757</v>
      </c>
      <c r="H17071" s="21">
        <v>808.17</v>
      </c>
    </row>
    <row r="17072" spans="1:8" customFormat="1" x14ac:dyDescent="0.25">
      <c r="A17072" t="str">
        <f>"1318555"</f>
        <v>1318555</v>
      </c>
      <c r="B17072" t="s">
        <v>15213</v>
      </c>
      <c r="C17072" t="s">
        <v>598</v>
      </c>
      <c r="D17072" s="21" t="s">
        <v>34</v>
      </c>
      <c r="E17072" s="21" t="s">
        <v>254</v>
      </c>
      <c r="F17072">
        <v>13130162</v>
      </c>
      <c r="G17072" t="s">
        <v>13411</v>
      </c>
      <c r="H17072" s="21">
        <v>808.17</v>
      </c>
    </row>
    <row r="17073" spans="1:8" customFormat="1" x14ac:dyDescent="0.25">
      <c r="A17073" t="str">
        <f>"036247"</f>
        <v>036247</v>
      </c>
      <c r="B17073" t="s">
        <v>15054</v>
      </c>
      <c r="C17073" t="s">
        <v>139</v>
      </c>
      <c r="D17073" s="21" t="s">
        <v>34</v>
      </c>
      <c r="E17073" s="21" t="s">
        <v>35</v>
      </c>
      <c r="F17073">
        <v>1030227</v>
      </c>
      <c r="G17073" t="s">
        <v>5679</v>
      </c>
      <c r="H17073" s="21">
        <v>808.17</v>
      </c>
    </row>
    <row r="17074" spans="1:8" customFormat="1" x14ac:dyDescent="0.25">
      <c r="A17074" t="str">
        <f>"678148"</f>
        <v>678148</v>
      </c>
      <c r="B17074" t="s">
        <v>10941</v>
      </c>
      <c r="C17074" t="s">
        <v>13499</v>
      </c>
      <c r="D17074" s="21" t="s">
        <v>34</v>
      </c>
      <c r="E17074" s="21" t="s">
        <v>254</v>
      </c>
      <c r="F17074">
        <v>6670014</v>
      </c>
      <c r="G17074" t="s">
        <v>4258</v>
      </c>
      <c r="H17074" s="21">
        <v>808.17</v>
      </c>
    </row>
    <row r="17075" spans="1:8" customFormat="1" x14ac:dyDescent="0.25">
      <c r="A17075" t="str">
        <f>"9126927"</f>
        <v>9126927</v>
      </c>
      <c r="B17075" t="s">
        <v>14002</v>
      </c>
      <c r="C17075" t="s">
        <v>269</v>
      </c>
      <c r="D17075" s="21" t="s">
        <v>34</v>
      </c>
      <c r="E17075" s="21" t="s">
        <v>71</v>
      </c>
      <c r="F17075">
        <v>4280718</v>
      </c>
      <c r="G17075" t="s">
        <v>12393</v>
      </c>
      <c r="H17075" s="21">
        <v>807.92</v>
      </c>
    </row>
    <row r="17076" spans="1:8" customFormat="1" x14ac:dyDescent="0.25">
      <c r="A17076" t="str">
        <f>"1315656"</f>
        <v>1315656</v>
      </c>
      <c r="B17076" t="s">
        <v>392</v>
      </c>
      <c r="C17076" t="s">
        <v>65</v>
      </c>
      <c r="D17076" s="21" t="s">
        <v>34</v>
      </c>
      <c r="E17076" s="21" t="s">
        <v>71</v>
      </c>
      <c r="F17076">
        <v>13130118</v>
      </c>
      <c r="G17076" t="s">
        <v>27466</v>
      </c>
      <c r="H17076" s="21">
        <v>807.92</v>
      </c>
    </row>
    <row r="17077" spans="1:8" customFormat="1" x14ac:dyDescent="0.25">
      <c r="A17077" t="str">
        <f>"5717360"</f>
        <v>5717360</v>
      </c>
      <c r="B17077" t="s">
        <v>11951</v>
      </c>
      <c r="C17077" t="s">
        <v>919</v>
      </c>
      <c r="D17077" s="21" t="s">
        <v>34</v>
      </c>
      <c r="E17077" s="21" t="s">
        <v>71</v>
      </c>
      <c r="F17077">
        <v>6570057</v>
      </c>
      <c r="G17077" t="s">
        <v>8333</v>
      </c>
      <c r="H17077" s="21">
        <v>807.92</v>
      </c>
    </row>
    <row r="17078" spans="1:8" customFormat="1" x14ac:dyDescent="0.25">
      <c r="A17078" t="str">
        <f>"595003"</f>
        <v>595003</v>
      </c>
      <c r="B17078" t="s">
        <v>13270</v>
      </c>
      <c r="C17078" t="s">
        <v>1142</v>
      </c>
      <c r="D17078" s="21" t="s">
        <v>34</v>
      </c>
      <c r="E17078" s="21" t="s">
        <v>1089</v>
      </c>
      <c r="F17078">
        <v>7590327</v>
      </c>
      <c r="G17078" t="s">
        <v>2330</v>
      </c>
      <c r="H17078" s="21">
        <v>807.92</v>
      </c>
    </row>
    <row r="17079" spans="1:8" customFormat="1" x14ac:dyDescent="0.25">
      <c r="A17079" t="str">
        <f>"5957852"</f>
        <v>5957852</v>
      </c>
      <c r="B17079" t="s">
        <v>15735</v>
      </c>
      <c r="C17079" t="s">
        <v>269</v>
      </c>
      <c r="D17079" s="21" t="s">
        <v>34</v>
      </c>
      <c r="E17079" s="21" t="s">
        <v>71</v>
      </c>
      <c r="F17079">
        <v>7590347</v>
      </c>
      <c r="G17079" t="s">
        <v>6041</v>
      </c>
      <c r="H17079" s="21">
        <v>807.92</v>
      </c>
    </row>
    <row r="17080" spans="1:8" customFormat="1" x14ac:dyDescent="0.25">
      <c r="A17080" t="str">
        <f>"7717490"</f>
        <v>7717490</v>
      </c>
      <c r="B17080" t="s">
        <v>14972</v>
      </c>
      <c r="C17080" t="s">
        <v>55</v>
      </c>
      <c r="D17080" s="21" t="s">
        <v>34</v>
      </c>
      <c r="E17080" s="21" t="s">
        <v>71</v>
      </c>
      <c r="F17080">
        <v>8771303</v>
      </c>
      <c r="G17080" t="s">
        <v>13447</v>
      </c>
      <c r="H17080" s="21">
        <v>807.67</v>
      </c>
    </row>
    <row r="17081" spans="1:8" customFormat="1" x14ac:dyDescent="0.25">
      <c r="A17081" t="str">
        <f>"184231"</f>
        <v>184231</v>
      </c>
      <c r="B17081" t="s">
        <v>14533</v>
      </c>
      <c r="C17081" t="s">
        <v>87</v>
      </c>
      <c r="D17081" s="21" t="s">
        <v>34</v>
      </c>
      <c r="E17081" s="21" t="s">
        <v>71</v>
      </c>
      <c r="F17081">
        <v>1030310</v>
      </c>
      <c r="G17081" t="s">
        <v>13666</v>
      </c>
      <c r="H17081" s="21">
        <v>807.67</v>
      </c>
    </row>
    <row r="17082" spans="1:8" customFormat="1" x14ac:dyDescent="0.25">
      <c r="A17082" t="str">
        <f>"589600"</f>
        <v>589600</v>
      </c>
      <c r="B17082" t="s">
        <v>4352</v>
      </c>
      <c r="C17082" t="s">
        <v>15852</v>
      </c>
      <c r="D17082" s="21" t="s">
        <v>34</v>
      </c>
      <c r="E17082" s="21" t="s">
        <v>254</v>
      </c>
      <c r="F17082">
        <v>2580012</v>
      </c>
      <c r="G17082" t="s">
        <v>1144</v>
      </c>
      <c r="H17082" s="21">
        <v>807.67</v>
      </c>
    </row>
    <row r="17083" spans="1:8" customFormat="1" x14ac:dyDescent="0.25">
      <c r="A17083" t="str">
        <f>"9314263"</f>
        <v>9314263</v>
      </c>
      <c r="B17083" t="s">
        <v>14829</v>
      </c>
      <c r="C17083" t="s">
        <v>249</v>
      </c>
      <c r="D17083" s="21" t="s">
        <v>34</v>
      </c>
      <c r="E17083" s="21" t="s">
        <v>71</v>
      </c>
      <c r="F17083">
        <v>8930003</v>
      </c>
      <c r="G17083" t="s">
        <v>13083</v>
      </c>
      <c r="H17083" s="21">
        <v>807.67</v>
      </c>
    </row>
    <row r="17084" spans="1:8" customFormat="1" x14ac:dyDescent="0.25">
      <c r="A17084" t="str">
        <f>"6219705"</f>
        <v>6219705</v>
      </c>
      <c r="B17084" t="s">
        <v>13615</v>
      </c>
      <c r="C17084" t="s">
        <v>147</v>
      </c>
      <c r="D17084" s="21" t="s">
        <v>34</v>
      </c>
      <c r="E17084" s="21" t="s">
        <v>71</v>
      </c>
      <c r="F17084">
        <v>7620064</v>
      </c>
      <c r="G17084" t="s">
        <v>2266</v>
      </c>
      <c r="H17084" s="21">
        <v>807.67</v>
      </c>
    </row>
    <row r="17085" spans="1:8" customFormat="1" x14ac:dyDescent="0.25">
      <c r="A17085" t="str">
        <f>"593863"</f>
        <v>593863</v>
      </c>
      <c r="B17085" t="s">
        <v>12023</v>
      </c>
      <c r="C17085" t="s">
        <v>817</v>
      </c>
      <c r="D17085" s="21" t="s">
        <v>34</v>
      </c>
      <c r="E17085" s="21" t="s">
        <v>254</v>
      </c>
      <c r="F17085">
        <v>7590080</v>
      </c>
      <c r="G17085" t="s">
        <v>1715</v>
      </c>
      <c r="H17085" s="21">
        <v>807.67</v>
      </c>
    </row>
    <row r="17086" spans="1:8" customFormat="1" x14ac:dyDescent="0.25">
      <c r="A17086" t="str">
        <f>"6021270"</f>
        <v>6021270</v>
      </c>
      <c r="B17086" t="s">
        <v>16375</v>
      </c>
      <c r="C17086" t="s">
        <v>109</v>
      </c>
      <c r="D17086" s="21" t="s">
        <v>34</v>
      </c>
      <c r="E17086" s="21" t="s">
        <v>35</v>
      </c>
      <c r="F17086">
        <v>7600163</v>
      </c>
      <c r="G17086" t="s">
        <v>12203</v>
      </c>
      <c r="H17086" s="21">
        <v>807.67</v>
      </c>
    </row>
    <row r="17087" spans="1:8" customFormat="1" x14ac:dyDescent="0.25">
      <c r="A17087" t="str">
        <f>"2713358"</f>
        <v>2713358</v>
      </c>
      <c r="B17087" t="s">
        <v>890</v>
      </c>
      <c r="C17087" t="s">
        <v>60</v>
      </c>
      <c r="D17087" s="21" t="s">
        <v>34</v>
      </c>
      <c r="E17087" s="21" t="s">
        <v>35</v>
      </c>
      <c r="F17087">
        <v>9270136</v>
      </c>
      <c r="G17087" t="s">
        <v>5896</v>
      </c>
      <c r="H17087" s="21">
        <v>807.67</v>
      </c>
    </row>
    <row r="17088" spans="1:8" customFormat="1" x14ac:dyDescent="0.25">
      <c r="A17088" t="str">
        <f>"7725248"</f>
        <v>7725248</v>
      </c>
      <c r="B17088" t="s">
        <v>15950</v>
      </c>
      <c r="C17088" t="s">
        <v>1468</v>
      </c>
      <c r="D17088" s="21" t="s">
        <v>34</v>
      </c>
      <c r="E17088" s="21" t="s">
        <v>35</v>
      </c>
      <c r="F17088">
        <v>8771170</v>
      </c>
      <c r="G17088" t="s">
        <v>50</v>
      </c>
      <c r="H17088" s="21">
        <v>807.67</v>
      </c>
    </row>
    <row r="17089" spans="1:8" customFormat="1" x14ac:dyDescent="0.25">
      <c r="A17089" t="str">
        <f>"8015125"</f>
        <v>8015125</v>
      </c>
      <c r="B17089" t="s">
        <v>12179</v>
      </c>
      <c r="C17089" t="s">
        <v>2529</v>
      </c>
      <c r="D17089" s="21" t="s">
        <v>34</v>
      </c>
      <c r="E17089" s="21" t="s">
        <v>71</v>
      </c>
      <c r="F17089">
        <v>7800128</v>
      </c>
      <c r="G17089" t="s">
        <v>3147</v>
      </c>
      <c r="H17089" s="21">
        <v>807.67</v>
      </c>
    </row>
    <row r="17090" spans="1:8" customFormat="1" x14ac:dyDescent="0.25">
      <c r="A17090" t="str">
        <f>"9234190"</f>
        <v>9234190</v>
      </c>
      <c r="B17090" t="s">
        <v>14662</v>
      </c>
      <c r="C17090" t="s">
        <v>139</v>
      </c>
      <c r="D17090" s="21" t="s">
        <v>34</v>
      </c>
      <c r="E17090" s="21" t="s">
        <v>35</v>
      </c>
      <c r="F17090">
        <v>3290047</v>
      </c>
      <c r="G17090" t="s">
        <v>2874</v>
      </c>
      <c r="H17090" s="21">
        <v>807.67</v>
      </c>
    </row>
    <row r="17091" spans="1:8" customFormat="1" x14ac:dyDescent="0.25">
      <c r="A17091" t="str">
        <f>"5947349"</f>
        <v>5947349</v>
      </c>
      <c r="B17091" t="s">
        <v>3657</v>
      </c>
      <c r="C17091" t="s">
        <v>3905</v>
      </c>
      <c r="D17091" s="21" t="s">
        <v>34</v>
      </c>
      <c r="E17091" s="21" t="s">
        <v>35</v>
      </c>
      <c r="F17091">
        <v>7590293</v>
      </c>
      <c r="G17091" t="s">
        <v>2431</v>
      </c>
      <c r="H17091" s="21">
        <v>807.67</v>
      </c>
    </row>
    <row r="17092" spans="1:8" customFormat="1" x14ac:dyDescent="0.25">
      <c r="A17092" t="str">
        <f>"538793"</f>
        <v>538793</v>
      </c>
      <c r="B17092" t="s">
        <v>13761</v>
      </c>
      <c r="C17092" t="s">
        <v>269</v>
      </c>
      <c r="D17092" s="21" t="s">
        <v>34</v>
      </c>
      <c r="E17092" s="21" t="s">
        <v>71</v>
      </c>
      <c r="F17092">
        <v>12530087</v>
      </c>
      <c r="G17092" t="s">
        <v>3860</v>
      </c>
      <c r="H17092" s="21">
        <v>807.67</v>
      </c>
    </row>
    <row r="17093" spans="1:8" customFormat="1" x14ac:dyDescent="0.25">
      <c r="A17093" t="str">
        <f>"4529566"</f>
        <v>4529566</v>
      </c>
      <c r="B17093" t="s">
        <v>1021</v>
      </c>
      <c r="C17093" t="s">
        <v>812</v>
      </c>
      <c r="D17093" s="21" t="s">
        <v>34</v>
      </c>
      <c r="E17093" s="21" t="s">
        <v>35</v>
      </c>
      <c r="F17093">
        <v>4450108</v>
      </c>
      <c r="G17093" t="s">
        <v>2354</v>
      </c>
      <c r="H17093" s="21">
        <v>807.67</v>
      </c>
    </row>
    <row r="17094" spans="1:8" customFormat="1" x14ac:dyDescent="0.25">
      <c r="A17094" t="str">
        <f>"4922043"</f>
        <v>4922043</v>
      </c>
      <c r="B17094" t="s">
        <v>3096</v>
      </c>
      <c r="C17094" t="s">
        <v>305</v>
      </c>
      <c r="D17094" s="21" t="s">
        <v>34</v>
      </c>
      <c r="E17094" s="21" t="s">
        <v>35</v>
      </c>
      <c r="F17094">
        <v>10790024</v>
      </c>
      <c r="G17094" t="s">
        <v>8674</v>
      </c>
      <c r="H17094" s="21">
        <v>807.67</v>
      </c>
    </row>
    <row r="17095" spans="1:8" customFormat="1" x14ac:dyDescent="0.25">
      <c r="A17095" t="str">
        <f>"3536403"</f>
        <v>3536403</v>
      </c>
      <c r="B17095" t="s">
        <v>17841</v>
      </c>
      <c r="C17095" t="s">
        <v>275</v>
      </c>
      <c r="D17095" s="21" t="s">
        <v>34</v>
      </c>
      <c r="E17095" s="21" t="s">
        <v>35</v>
      </c>
      <c r="F17095">
        <v>3350044</v>
      </c>
      <c r="G17095" t="s">
        <v>12041</v>
      </c>
      <c r="H17095" s="21">
        <v>807.67</v>
      </c>
    </row>
    <row r="17096" spans="1:8" customFormat="1" x14ac:dyDescent="0.25">
      <c r="A17096" t="str">
        <f>"8016253"</f>
        <v>8016253</v>
      </c>
      <c r="B17096" t="s">
        <v>6119</v>
      </c>
      <c r="C17096" t="s">
        <v>293</v>
      </c>
      <c r="D17096" s="21" t="s">
        <v>34</v>
      </c>
      <c r="E17096" s="21" t="s">
        <v>71</v>
      </c>
      <c r="F17096">
        <v>7800023</v>
      </c>
      <c r="G17096" t="s">
        <v>8137</v>
      </c>
      <c r="H17096" s="21">
        <v>807.67</v>
      </c>
    </row>
    <row r="17097" spans="1:8" customFormat="1" x14ac:dyDescent="0.25">
      <c r="A17097" t="str">
        <f>"014372"</f>
        <v>014372</v>
      </c>
      <c r="B17097" t="s">
        <v>10671</v>
      </c>
      <c r="C17097" t="s">
        <v>5142</v>
      </c>
      <c r="D17097" s="21" t="s">
        <v>34</v>
      </c>
      <c r="E17097" s="21" t="s">
        <v>71</v>
      </c>
      <c r="F17097">
        <v>1010027</v>
      </c>
      <c r="G17097" t="s">
        <v>6318</v>
      </c>
      <c r="H17097" s="21">
        <v>807.67</v>
      </c>
    </row>
    <row r="17098" spans="1:8" customFormat="1" x14ac:dyDescent="0.25">
      <c r="A17098" t="str">
        <f>"3111567"</f>
        <v>3111567</v>
      </c>
      <c r="B17098" t="s">
        <v>15896</v>
      </c>
      <c r="C17098" t="s">
        <v>121</v>
      </c>
      <c r="D17098" s="21" t="s">
        <v>34</v>
      </c>
      <c r="E17098" s="21" t="s">
        <v>35</v>
      </c>
      <c r="F17098">
        <v>11310075</v>
      </c>
      <c r="G17098" t="s">
        <v>2531</v>
      </c>
      <c r="H17098" s="21">
        <v>807.67</v>
      </c>
    </row>
    <row r="17099" spans="1:8" customFormat="1" x14ac:dyDescent="0.25">
      <c r="A17099" t="str">
        <f>"5942527"</f>
        <v>5942527</v>
      </c>
      <c r="B17099" t="s">
        <v>3737</v>
      </c>
      <c r="C17099" t="s">
        <v>598</v>
      </c>
      <c r="D17099" s="21" t="s">
        <v>34</v>
      </c>
      <c r="E17099" s="21" t="s">
        <v>35</v>
      </c>
      <c r="F17099">
        <v>7590310</v>
      </c>
      <c r="G17099" t="s">
        <v>10278</v>
      </c>
      <c r="H17099" s="21">
        <v>807.67</v>
      </c>
    </row>
    <row r="17100" spans="1:8" customFormat="1" x14ac:dyDescent="0.25">
      <c r="A17100" t="str">
        <f>"852020"</f>
        <v>852020</v>
      </c>
      <c r="B17100" t="s">
        <v>14203</v>
      </c>
      <c r="C17100" t="s">
        <v>664</v>
      </c>
      <c r="D17100" s="21" t="s">
        <v>34</v>
      </c>
      <c r="E17100" s="21" t="s">
        <v>71</v>
      </c>
      <c r="F17100">
        <v>12850093</v>
      </c>
      <c r="G17100" t="s">
        <v>3371</v>
      </c>
      <c r="H17100" s="21">
        <v>807.67</v>
      </c>
    </row>
    <row r="17101" spans="1:8" customFormat="1" x14ac:dyDescent="0.25">
      <c r="A17101" t="str">
        <f>"1317289"</f>
        <v>1317289</v>
      </c>
      <c r="B17101" t="s">
        <v>15145</v>
      </c>
      <c r="C17101" t="s">
        <v>55</v>
      </c>
      <c r="D17101" s="21" t="s">
        <v>34</v>
      </c>
      <c r="E17101" s="21" t="s">
        <v>35</v>
      </c>
      <c r="F17101">
        <v>13130118</v>
      </c>
      <c r="G17101" t="s">
        <v>27466</v>
      </c>
      <c r="H17101" s="21">
        <v>807.67</v>
      </c>
    </row>
    <row r="17102" spans="1:8" customFormat="1" x14ac:dyDescent="0.25">
      <c r="A17102" t="str">
        <f>"629690"</f>
        <v>629690</v>
      </c>
      <c r="B17102" t="s">
        <v>14230</v>
      </c>
      <c r="C17102" t="s">
        <v>109</v>
      </c>
      <c r="D17102" s="21" t="s">
        <v>34</v>
      </c>
      <c r="E17102" s="21" t="s">
        <v>71</v>
      </c>
      <c r="F17102">
        <v>7620062</v>
      </c>
      <c r="G17102" t="s">
        <v>12602</v>
      </c>
      <c r="H17102" s="21">
        <v>807.67</v>
      </c>
    </row>
    <row r="17103" spans="1:8" customFormat="1" x14ac:dyDescent="0.25">
      <c r="A17103" t="str">
        <f>"2921774"</f>
        <v>2921774</v>
      </c>
      <c r="B17103" t="s">
        <v>27467</v>
      </c>
      <c r="C17103" t="s">
        <v>328</v>
      </c>
      <c r="D17103" s="21" t="s">
        <v>34</v>
      </c>
      <c r="E17103" s="21" t="s">
        <v>35</v>
      </c>
      <c r="F17103">
        <v>3290223</v>
      </c>
      <c r="G17103" t="s">
        <v>2636</v>
      </c>
      <c r="H17103" s="21">
        <v>807.67</v>
      </c>
    </row>
    <row r="17104" spans="1:8" customFormat="1" x14ac:dyDescent="0.25">
      <c r="A17104" t="str">
        <f>"06399"</f>
        <v>06399</v>
      </c>
      <c r="B17104" t="s">
        <v>14050</v>
      </c>
      <c r="C17104" t="s">
        <v>209</v>
      </c>
      <c r="D17104" s="21" t="s">
        <v>34</v>
      </c>
      <c r="E17104" s="21" t="s">
        <v>254</v>
      </c>
      <c r="F17104">
        <v>13060031</v>
      </c>
      <c r="G17104" t="s">
        <v>9379</v>
      </c>
      <c r="H17104" s="21">
        <v>807.67</v>
      </c>
    </row>
    <row r="17105" spans="1:8" customFormat="1" x14ac:dyDescent="0.25">
      <c r="A17105" t="str">
        <f>"2516585"</f>
        <v>2516585</v>
      </c>
      <c r="B17105" t="s">
        <v>7243</v>
      </c>
      <c r="C17105" t="s">
        <v>288</v>
      </c>
      <c r="D17105" s="21" t="s">
        <v>34</v>
      </c>
      <c r="E17105" s="21" t="s">
        <v>35</v>
      </c>
      <c r="F17105">
        <v>2250186</v>
      </c>
      <c r="G17105" t="s">
        <v>7290</v>
      </c>
      <c r="H17105" s="21">
        <v>807.67</v>
      </c>
    </row>
    <row r="17106" spans="1:8" customFormat="1" x14ac:dyDescent="0.25">
      <c r="A17106" t="str">
        <f>"3722082"</f>
        <v>3722082</v>
      </c>
      <c r="B17106" t="s">
        <v>15987</v>
      </c>
      <c r="C17106" t="s">
        <v>305</v>
      </c>
      <c r="D17106" s="21" t="s">
        <v>34</v>
      </c>
      <c r="E17106" s="21" t="s">
        <v>35</v>
      </c>
      <c r="F17106">
        <v>4370425</v>
      </c>
      <c r="G17106" t="s">
        <v>7812</v>
      </c>
      <c r="H17106" s="21">
        <v>807.54</v>
      </c>
    </row>
    <row r="17107" spans="1:8" customFormat="1" x14ac:dyDescent="0.25">
      <c r="A17107" t="str">
        <f>"405167"</f>
        <v>405167</v>
      </c>
      <c r="B17107" t="s">
        <v>18083</v>
      </c>
      <c r="C17107" t="s">
        <v>82</v>
      </c>
      <c r="D17107" s="21" t="s">
        <v>34</v>
      </c>
      <c r="E17107" s="21" t="s">
        <v>35</v>
      </c>
      <c r="F17107">
        <v>10400027</v>
      </c>
      <c r="G17107" t="s">
        <v>11595</v>
      </c>
      <c r="H17107" s="21">
        <v>807.54</v>
      </c>
    </row>
    <row r="17108" spans="1:8" customFormat="1" x14ac:dyDescent="0.25">
      <c r="A17108" t="str">
        <f>"029759"</f>
        <v>029759</v>
      </c>
      <c r="B17108" t="s">
        <v>8362</v>
      </c>
      <c r="C17108" t="s">
        <v>415</v>
      </c>
      <c r="D17108" s="21" t="s">
        <v>34</v>
      </c>
      <c r="E17108" s="21" t="s">
        <v>71</v>
      </c>
      <c r="F17108">
        <v>7021009</v>
      </c>
      <c r="G17108" t="s">
        <v>2739</v>
      </c>
      <c r="H17108" s="21">
        <v>807.42</v>
      </c>
    </row>
    <row r="17109" spans="1:8" customFormat="1" x14ac:dyDescent="0.25">
      <c r="A17109" t="str">
        <f>"447379"</f>
        <v>447379</v>
      </c>
      <c r="B17109" t="s">
        <v>12579</v>
      </c>
      <c r="C17109" t="s">
        <v>130</v>
      </c>
      <c r="D17109" s="21" t="s">
        <v>34</v>
      </c>
      <c r="E17109" s="21" t="s">
        <v>1089</v>
      </c>
      <c r="F17109">
        <v>12440259</v>
      </c>
      <c r="G17109" t="s">
        <v>833</v>
      </c>
      <c r="H17109" s="21">
        <v>807.42</v>
      </c>
    </row>
    <row r="17110" spans="1:8" customFormat="1" x14ac:dyDescent="0.25">
      <c r="A17110" t="str">
        <f>"4425024"</f>
        <v>4425024</v>
      </c>
      <c r="B17110" t="s">
        <v>13088</v>
      </c>
      <c r="C17110" t="s">
        <v>7740</v>
      </c>
      <c r="D17110" s="21" t="s">
        <v>34</v>
      </c>
      <c r="E17110" s="21" t="s">
        <v>35</v>
      </c>
      <c r="F17110">
        <v>12440017</v>
      </c>
      <c r="G17110" t="s">
        <v>7683</v>
      </c>
      <c r="H17110" s="21">
        <v>807.42</v>
      </c>
    </row>
    <row r="17111" spans="1:8" customFormat="1" x14ac:dyDescent="0.25">
      <c r="A17111" t="str">
        <f>"6215632"</f>
        <v>6215632</v>
      </c>
      <c r="B17111" t="s">
        <v>14679</v>
      </c>
      <c r="C17111" t="s">
        <v>263</v>
      </c>
      <c r="D17111" s="21" t="s">
        <v>34</v>
      </c>
      <c r="E17111" s="21" t="s">
        <v>254</v>
      </c>
      <c r="F17111">
        <v>7620060</v>
      </c>
      <c r="G17111" t="s">
        <v>2179</v>
      </c>
      <c r="H17111" s="21">
        <v>807.42</v>
      </c>
    </row>
    <row r="17112" spans="1:8" customFormat="1" x14ac:dyDescent="0.25">
      <c r="A17112" t="str">
        <f>"692953"</f>
        <v>692953</v>
      </c>
      <c r="B17112" t="s">
        <v>14968</v>
      </c>
      <c r="C17112" t="s">
        <v>528</v>
      </c>
      <c r="D17112" s="21" t="s">
        <v>34</v>
      </c>
      <c r="E17112" s="21" t="s">
        <v>71</v>
      </c>
      <c r="F17112">
        <v>1380157</v>
      </c>
      <c r="G17112" t="s">
        <v>9044</v>
      </c>
      <c r="H17112" s="21">
        <v>807.29</v>
      </c>
    </row>
    <row r="17113" spans="1:8" customFormat="1" x14ac:dyDescent="0.25">
      <c r="A17113" t="str">
        <f>"2720344"</f>
        <v>2720344</v>
      </c>
      <c r="B17113" t="s">
        <v>11864</v>
      </c>
      <c r="C17113" t="s">
        <v>33</v>
      </c>
      <c r="D17113" s="21" t="s">
        <v>34</v>
      </c>
      <c r="E17113" s="21" t="s">
        <v>71</v>
      </c>
      <c r="F17113">
        <v>9270177</v>
      </c>
      <c r="G17113" t="s">
        <v>10384</v>
      </c>
      <c r="H17113" s="21">
        <v>807.17</v>
      </c>
    </row>
    <row r="17114" spans="1:8" customFormat="1" x14ac:dyDescent="0.25">
      <c r="A17114" t="str">
        <f>"32284"</f>
        <v>32284</v>
      </c>
      <c r="B17114" t="s">
        <v>14493</v>
      </c>
      <c r="C17114" t="s">
        <v>598</v>
      </c>
      <c r="D17114" s="21" t="s">
        <v>34</v>
      </c>
      <c r="E17114" s="21" t="s">
        <v>1089</v>
      </c>
      <c r="F17114">
        <v>11320041</v>
      </c>
      <c r="G17114" t="s">
        <v>4802</v>
      </c>
      <c r="H17114" s="21">
        <v>807.17</v>
      </c>
    </row>
    <row r="17115" spans="1:8" customFormat="1" x14ac:dyDescent="0.25">
      <c r="A17115" t="str">
        <f>"2718837"</f>
        <v>2718837</v>
      </c>
      <c r="B17115" t="s">
        <v>16244</v>
      </c>
      <c r="C17115" t="s">
        <v>253</v>
      </c>
      <c r="D17115" s="21" t="s">
        <v>34</v>
      </c>
      <c r="E17115" s="21" t="s">
        <v>254</v>
      </c>
      <c r="F17115">
        <v>9270030</v>
      </c>
      <c r="G17115" t="s">
        <v>5853</v>
      </c>
      <c r="H17115" s="21">
        <v>807.17</v>
      </c>
    </row>
    <row r="17116" spans="1:8" customFormat="1" x14ac:dyDescent="0.25">
      <c r="A17116" t="str">
        <f>"671912"</f>
        <v>671912</v>
      </c>
      <c r="B17116" t="s">
        <v>9742</v>
      </c>
      <c r="C17116" t="s">
        <v>1539</v>
      </c>
      <c r="D17116" s="21" t="s">
        <v>34</v>
      </c>
      <c r="E17116" s="21" t="s">
        <v>71</v>
      </c>
      <c r="F17116">
        <v>6670122</v>
      </c>
      <c r="G17116" t="s">
        <v>3126</v>
      </c>
      <c r="H17116" s="21">
        <v>807.17</v>
      </c>
    </row>
    <row r="17117" spans="1:8" customFormat="1" x14ac:dyDescent="0.25">
      <c r="A17117" t="str">
        <f>"6020930"</f>
        <v>6020930</v>
      </c>
      <c r="B17117" t="s">
        <v>5684</v>
      </c>
      <c r="C17117" t="s">
        <v>109</v>
      </c>
      <c r="D17117" s="21" t="s">
        <v>34</v>
      </c>
      <c r="E17117" s="21" t="s">
        <v>71</v>
      </c>
      <c r="F17117">
        <v>7600043</v>
      </c>
      <c r="G17117" t="s">
        <v>1928</v>
      </c>
      <c r="H17117" s="21">
        <v>807.17</v>
      </c>
    </row>
    <row r="17118" spans="1:8" customFormat="1" x14ac:dyDescent="0.25">
      <c r="A17118" t="str">
        <f>"5923161"</f>
        <v>5923161</v>
      </c>
      <c r="B17118" t="s">
        <v>17334</v>
      </c>
      <c r="C17118" t="s">
        <v>40</v>
      </c>
      <c r="D17118" s="21" t="s">
        <v>34</v>
      </c>
      <c r="E17118" s="21" t="s">
        <v>71</v>
      </c>
      <c r="F17118">
        <v>10190096</v>
      </c>
      <c r="G17118" t="s">
        <v>3949</v>
      </c>
      <c r="H17118" s="21">
        <v>807.17</v>
      </c>
    </row>
    <row r="17119" spans="1:8" customFormat="1" x14ac:dyDescent="0.25">
      <c r="A17119" t="str">
        <f>"5316565"</f>
        <v>5316565</v>
      </c>
      <c r="B17119" t="s">
        <v>10891</v>
      </c>
      <c r="C17119" t="s">
        <v>611</v>
      </c>
      <c r="D17119" s="21" t="s">
        <v>34</v>
      </c>
      <c r="E17119" s="21" t="s">
        <v>35</v>
      </c>
      <c r="F17119">
        <v>12530144</v>
      </c>
      <c r="G17119" t="s">
        <v>10892</v>
      </c>
      <c r="H17119" s="21">
        <v>807.17</v>
      </c>
    </row>
    <row r="17120" spans="1:8" customFormat="1" x14ac:dyDescent="0.25">
      <c r="A17120" t="str">
        <f>"0112526"</f>
        <v>0112526</v>
      </c>
      <c r="B17120" t="s">
        <v>15623</v>
      </c>
      <c r="C17120" t="s">
        <v>171</v>
      </c>
      <c r="D17120" s="21" t="s">
        <v>34</v>
      </c>
      <c r="E17120" s="21" t="s">
        <v>71</v>
      </c>
      <c r="F17120">
        <v>1010071</v>
      </c>
      <c r="G17120" t="s">
        <v>8104</v>
      </c>
      <c r="H17120" s="21">
        <v>807.17</v>
      </c>
    </row>
    <row r="17121" spans="1:8" customFormat="1" x14ac:dyDescent="0.25">
      <c r="A17121" t="str">
        <f>"621053"</f>
        <v>621053</v>
      </c>
      <c r="B17121" t="s">
        <v>2854</v>
      </c>
      <c r="C17121" t="s">
        <v>412</v>
      </c>
      <c r="D17121" s="21" t="s">
        <v>34</v>
      </c>
      <c r="E17121" s="21" t="s">
        <v>1089</v>
      </c>
      <c r="F17121">
        <v>7620064</v>
      </c>
      <c r="G17121" t="s">
        <v>2266</v>
      </c>
      <c r="H17121" s="21">
        <v>807.17</v>
      </c>
    </row>
    <row r="17122" spans="1:8" customFormat="1" x14ac:dyDescent="0.25">
      <c r="A17122" t="str">
        <f>"318328"</f>
        <v>318328</v>
      </c>
      <c r="B17122" t="s">
        <v>15196</v>
      </c>
      <c r="C17122" t="s">
        <v>415</v>
      </c>
      <c r="D17122" s="21" t="s">
        <v>34</v>
      </c>
      <c r="E17122" s="21" t="s">
        <v>71</v>
      </c>
      <c r="F17122">
        <v>11310060</v>
      </c>
      <c r="G17122" t="s">
        <v>2448</v>
      </c>
      <c r="H17122" s="21">
        <v>807.17</v>
      </c>
    </row>
    <row r="17123" spans="1:8" customFormat="1" x14ac:dyDescent="0.25">
      <c r="A17123" t="str">
        <f>"85303"</f>
        <v>85303</v>
      </c>
      <c r="B17123" t="s">
        <v>9472</v>
      </c>
      <c r="C17123" t="s">
        <v>621</v>
      </c>
      <c r="D17123" s="21" t="s">
        <v>34</v>
      </c>
      <c r="E17123" s="21" t="s">
        <v>254</v>
      </c>
      <c r="F17123">
        <v>10790002</v>
      </c>
      <c r="G17123" t="s">
        <v>6612</v>
      </c>
      <c r="H17123" s="21">
        <v>807.17</v>
      </c>
    </row>
    <row r="17124" spans="1:8" customFormat="1" x14ac:dyDescent="0.25">
      <c r="A17124" t="str">
        <f>"9H758"</f>
        <v>9H758</v>
      </c>
      <c r="B17124" t="s">
        <v>13449</v>
      </c>
      <c r="C17124" t="s">
        <v>169</v>
      </c>
      <c r="D17124" s="21" t="s">
        <v>34</v>
      </c>
      <c r="E17124" s="21" t="s">
        <v>71</v>
      </c>
      <c r="F17124">
        <v>4370637</v>
      </c>
      <c r="G17124" t="s">
        <v>3941</v>
      </c>
      <c r="H17124" s="21">
        <v>807.17</v>
      </c>
    </row>
    <row r="17125" spans="1:8" customFormat="1" x14ac:dyDescent="0.25">
      <c r="A17125" t="str">
        <f>"318919"</f>
        <v>318919</v>
      </c>
      <c r="B17125" t="s">
        <v>465</v>
      </c>
      <c r="C17125" t="s">
        <v>1914</v>
      </c>
      <c r="D17125" s="21" t="s">
        <v>34</v>
      </c>
      <c r="E17125" s="21" t="s">
        <v>35</v>
      </c>
      <c r="F17125">
        <v>11310011</v>
      </c>
      <c r="G17125" t="s">
        <v>26586</v>
      </c>
      <c r="H17125" s="21">
        <v>807.17</v>
      </c>
    </row>
    <row r="17126" spans="1:8" customFormat="1" x14ac:dyDescent="0.25">
      <c r="A17126" t="str">
        <f>"241674"</f>
        <v>241674</v>
      </c>
      <c r="B17126" t="s">
        <v>1731</v>
      </c>
      <c r="C17126" t="s">
        <v>7506</v>
      </c>
      <c r="D17126" s="21" t="s">
        <v>34</v>
      </c>
      <c r="E17126" s="21" t="s">
        <v>35</v>
      </c>
      <c r="F17126">
        <v>11460024</v>
      </c>
      <c r="G17126" t="s">
        <v>14804</v>
      </c>
      <c r="H17126" s="21">
        <v>807.17</v>
      </c>
    </row>
    <row r="17127" spans="1:8" customFormat="1" x14ac:dyDescent="0.25">
      <c r="A17127" t="str">
        <f>"591826"</f>
        <v>591826</v>
      </c>
      <c r="B17127" t="s">
        <v>13346</v>
      </c>
      <c r="C17127" t="s">
        <v>65</v>
      </c>
      <c r="D17127" s="21" t="s">
        <v>34</v>
      </c>
      <c r="E17127" s="21" t="s">
        <v>35</v>
      </c>
      <c r="F17127">
        <v>10330127</v>
      </c>
      <c r="G17127" t="s">
        <v>9051</v>
      </c>
      <c r="H17127" s="21">
        <v>807.17</v>
      </c>
    </row>
    <row r="17128" spans="1:8" customFormat="1" x14ac:dyDescent="0.25">
      <c r="A17128" t="str">
        <f>"7637155"</f>
        <v>7637155</v>
      </c>
      <c r="B17128" t="s">
        <v>8565</v>
      </c>
      <c r="C17128" t="s">
        <v>169</v>
      </c>
      <c r="D17128" s="21" t="s">
        <v>34</v>
      </c>
      <c r="E17128" s="21" t="s">
        <v>71</v>
      </c>
      <c r="F17128">
        <v>9760270</v>
      </c>
      <c r="G17128" t="s">
        <v>4167</v>
      </c>
      <c r="H17128" s="21">
        <v>807.17</v>
      </c>
    </row>
    <row r="17129" spans="1:8" customFormat="1" x14ac:dyDescent="0.25">
      <c r="A17129" t="str">
        <f>"9523902"</f>
        <v>9523902</v>
      </c>
      <c r="B17129" t="s">
        <v>6187</v>
      </c>
      <c r="C17129" t="s">
        <v>239</v>
      </c>
      <c r="D17129" s="21" t="s">
        <v>34</v>
      </c>
      <c r="E17129" s="21" t="s">
        <v>254</v>
      </c>
      <c r="F17129">
        <v>8951312</v>
      </c>
      <c r="G17129" t="s">
        <v>1007</v>
      </c>
      <c r="H17129" s="21">
        <v>806.92</v>
      </c>
    </row>
    <row r="17130" spans="1:8" customFormat="1" x14ac:dyDescent="0.25">
      <c r="A17130" t="str">
        <f>"043733"</f>
        <v>043733</v>
      </c>
      <c r="B17130" t="s">
        <v>3952</v>
      </c>
      <c r="C17130" t="s">
        <v>60</v>
      </c>
      <c r="D17130" s="21" t="s">
        <v>34</v>
      </c>
      <c r="E17130" s="21" t="s">
        <v>35</v>
      </c>
      <c r="F17130">
        <v>13040015</v>
      </c>
      <c r="G17130" t="s">
        <v>7151</v>
      </c>
      <c r="H17130" s="21">
        <v>806.92</v>
      </c>
    </row>
    <row r="17131" spans="1:8" customFormat="1" x14ac:dyDescent="0.25">
      <c r="A17131" t="str">
        <f>"269055"</f>
        <v>269055</v>
      </c>
      <c r="B17131" t="s">
        <v>14052</v>
      </c>
      <c r="C17131" t="s">
        <v>209</v>
      </c>
      <c r="D17131" s="21" t="s">
        <v>34</v>
      </c>
      <c r="E17131" s="21" t="s">
        <v>71</v>
      </c>
      <c r="F17131">
        <v>1260040</v>
      </c>
      <c r="G17131" t="s">
        <v>10768</v>
      </c>
      <c r="H17131" s="21">
        <v>806.92</v>
      </c>
    </row>
    <row r="17132" spans="1:8" customFormat="1" x14ac:dyDescent="0.25">
      <c r="A17132" t="str">
        <f>"1910017"</f>
        <v>1910017</v>
      </c>
      <c r="B17132" t="s">
        <v>17860</v>
      </c>
      <c r="C17132" t="s">
        <v>664</v>
      </c>
      <c r="D17132" s="21" t="s">
        <v>34</v>
      </c>
      <c r="E17132" s="21" t="s">
        <v>35</v>
      </c>
      <c r="F17132">
        <v>10190096</v>
      </c>
      <c r="G17132" t="s">
        <v>3949</v>
      </c>
      <c r="H17132" s="21">
        <v>806.92</v>
      </c>
    </row>
    <row r="17133" spans="1:8" customFormat="1" x14ac:dyDescent="0.25">
      <c r="A17133" t="str">
        <f>"1415486"</f>
        <v>1415486</v>
      </c>
      <c r="B17133" t="s">
        <v>12657</v>
      </c>
      <c r="C17133" t="s">
        <v>598</v>
      </c>
      <c r="D17133" s="21" t="s">
        <v>34</v>
      </c>
      <c r="E17133" s="21" t="s">
        <v>254</v>
      </c>
      <c r="F17133">
        <v>9140216</v>
      </c>
      <c r="G17133" t="s">
        <v>11740</v>
      </c>
      <c r="H17133" s="21">
        <v>806.67</v>
      </c>
    </row>
    <row r="17134" spans="1:8" customFormat="1" x14ac:dyDescent="0.25">
      <c r="A17134" t="str">
        <f>"4916993"</f>
        <v>4916993</v>
      </c>
      <c r="B17134" t="s">
        <v>400</v>
      </c>
      <c r="C17134" t="s">
        <v>3073</v>
      </c>
      <c r="D17134" s="21" t="s">
        <v>34</v>
      </c>
      <c r="E17134" s="21" t="s">
        <v>254</v>
      </c>
      <c r="F17134">
        <v>12490022</v>
      </c>
      <c r="G17134" t="s">
        <v>1450</v>
      </c>
      <c r="H17134" s="21">
        <v>806.67</v>
      </c>
    </row>
    <row r="17135" spans="1:8" customFormat="1" x14ac:dyDescent="0.25">
      <c r="A17135" t="str">
        <f>"0616413"</f>
        <v>0616413</v>
      </c>
      <c r="B17135" t="s">
        <v>10145</v>
      </c>
      <c r="C17135" t="s">
        <v>462</v>
      </c>
      <c r="D17135" s="21" t="s">
        <v>34</v>
      </c>
      <c r="E17135" s="21" t="s">
        <v>35</v>
      </c>
      <c r="F17135">
        <v>13060005</v>
      </c>
      <c r="G17135" t="s">
        <v>3609</v>
      </c>
      <c r="H17135" s="21">
        <v>806.67</v>
      </c>
    </row>
    <row r="17136" spans="1:8" customFormat="1" x14ac:dyDescent="0.25">
      <c r="A17136" t="str">
        <f>"8013753"</f>
        <v>8013753</v>
      </c>
      <c r="B17136" t="s">
        <v>15281</v>
      </c>
      <c r="C17136" t="s">
        <v>2752</v>
      </c>
      <c r="D17136" s="21" t="s">
        <v>34</v>
      </c>
      <c r="E17136" s="21" t="s">
        <v>1089</v>
      </c>
      <c r="F17136">
        <v>7800040</v>
      </c>
      <c r="G17136" t="s">
        <v>1448</v>
      </c>
      <c r="H17136" s="21">
        <v>806.67</v>
      </c>
    </row>
    <row r="17137" spans="1:8" customFormat="1" x14ac:dyDescent="0.25">
      <c r="A17137" t="str">
        <f>"4921430"</f>
        <v>4921430</v>
      </c>
      <c r="B17137" t="s">
        <v>13751</v>
      </c>
      <c r="C17137" t="s">
        <v>249</v>
      </c>
      <c r="D17137" s="21" t="s">
        <v>34</v>
      </c>
      <c r="E17137" s="21" t="s">
        <v>35</v>
      </c>
      <c r="F17137">
        <v>10790185</v>
      </c>
      <c r="G17137" t="s">
        <v>3511</v>
      </c>
      <c r="H17137" s="21">
        <v>806.67</v>
      </c>
    </row>
    <row r="17138" spans="1:8" customFormat="1" x14ac:dyDescent="0.25">
      <c r="A17138" t="str">
        <f>"441765"</f>
        <v>441765</v>
      </c>
      <c r="B17138" t="s">
        <v>7809</v>
      </c>
      <c r="C17138" t="s">
        <v>209</v>
      </c>
      <c r="D17138" s="21" t="s">
        <v>34</v>
      </c>
      <c r="E17138" s="21" t="s">
        <v>71</v>
      </c>
      <c r="F17138">
        <v>12440055</v>
      </c>
      <c r="G17138" t="s">
        <v>2979</v>
      </c>
      <c r="H17138" s="21">
        <v>806.67</v>
      </c>
    </row>
    <row r="17139" spans="1:8" customFormat="1" x14ac:dyDescent="0.25">
      <c r="A17139" t="str">
        <f>"153143"</f>
        <v>153143</v>
      </c>
      <c r="B17139" t="s">
        <v>14606</v>
      </c>
      <c r="C17139" t="s">
        <v>209</v>
      </c>
      <c r="D17139" s="21" t="s">
        <v>34</v>
      </c>
      <c r="E17139" s="21" t="s">
        <v>254</v>
      </c>
      <c r="F17139">
        <v>1150148</v>
      </c>
      <c r="G17139" t="s">
        <v>7485</v>
      </c>
      <c r="H17139" s="21">
        <v>806.67</v>
      </c>
    </row>
    <row r="17140" spans="1:8" customFormat="1" x14ac:dyDescent="0.25">
      <c r="A17140" t="str">
        <f>"44396"</f>
        <v>44396</v>
      </c>
      <c r="B17140" t="s">
        <v>14162</v>
      </c>
      <c r="C17140" t="s">
        <v>750</v>
      </c>
      <c r="D17140" s="21" t="s">
        <v>34</v>
      </c>
      <c r="E17140" s="21" t="s">
        <v>71</v>
      </c>
      <c r="F17140">
        <v>12440012</v>
      </c>
      <c r="G17140" t="s">
        <v>807</v>
      </c>
      <c r="H17140" s="21">
        <v>806.67</v>
      </c>
    </row>
    <row r="17141" spans="1:8" customFormat="1" x14ac:dyDescent="0.25">
      <c r="A17141" t="str">
        <f>"8018249"</f>
        <v>8018249</v>
      </c>
      <c r="B17141" t="s">
        <v>16948</v>
      </c>
      <c r="C17141" t="s">
        <v>60</v>
      </c>
      <c r="D17141" s="21" t="s">
        <v>34</v>
      </c>
      <c r="E17141" s="21" t="s">
        <v>35</v>
      </c>
      <c r="F17141">
        <v>7800001</v>
      </c>
      <c r="G17141" t="s">
        <v>176</v>
      </c>
      <c r="H17141" s="21">
        <v>806.67</v>
      </c>
    </row>
    <row r="17142" spans="1:8" customFormat="1" x14ac:dyDescent="0.25">
      <c r="A17142" t="str">
        <f>"5926233"</f>
        <v>5926233</v>
      </c>
      <c r="B17142" t="s">
        <v>1886</v>
      </c>
      <c r="C17142" t="s">
        <v>55</v>
      </c>
      <c r="D17142" s="21" t="s">
        <v>34</v>
      </c>
      <c r="E17142" s="21" t="s">
        <v>35</v>
      </c>
      <c r="F17142">
        <v>7590065</v>
      </c>
      <c r="G17142" t="s">
        <v>1598</v>
      </c>
      <c r="H17142" s="21">
        <v>806.67</v>
      </c>
    </row>
    <row r="17143" spans="1:8" customFormat="1" x14ac:dyDescent="0.25">
      <c r="A17143" t="str">
        <f>"444422"</f>
        <v>444422</v>
      </c>
      <c r="B17143" t="s">
        <v>8736</v>
      </c>
      <c r="C17143" t="s">
        <v>528</v>
      </c>
      <c r="D17143" s="21" t="s">
        <v>34</v>
      </c>
      <c r="E17143" s="21" t="s">
        <v>254</v>
      </c>
      <c r="F17143">
        <v>12440176</v>
      </c>
      <c r="G17143" t="s">
        <v>1020</v>
      </c>
      <c r="H17143" s="21">
        <v>806.67</v>
      </c>
    </row>
    <row r="17144" spans="1:8" customFormat="1" x14ac:dyDescent="0.25">
      <c r="A17144" t="str">
        <f>"417488"</f>
        <v>417488</v>
      </c>
      <c r="B17144" t="s">
        <v>13722</v>
      </c>
      <c r="C17144" t="s">
        <v>239</v>
      </c>
      <c r="D17144" s="21" t="s">
        <v>34</v>
      </c>
      <c r="E17144" s="21" t="s">
        <v>71</v>
      </c>
      <c r="F17144">
        <v>4410586</v>
      </c>
      <c r="G17144" t="s">
        <v>7672</v>
      </c>
      <c r="H17144" s="21">
        <v>806.67</v>
      </c>
    </row>
    <row r="17145" spans="1:8" customFormat="1" x14ac:dyDescent="0.25">
      <c r="A17145" t="str">
        <f>"5923156"</f>
        <v>5923156</v>
      </c>
      <c r="B17145" t="s">
        <v>14520</v>
      </c>
      <c r="C17145" t="s">
        <v>2479</v>
      </c>
      <c r="D17145" s="21" t="s">
        <v>34</v>
      </c>
      <c r="E17145" s="21" t="s">
        <v>254</v>
      </c>
      <c r="F17145">
        <v>7590260</v>
      </c>
      <c r="G17145" t="s">
        <v>3043</v>
      </c>
      <c r="H17145" s="21">
        <v>806.67</v>
      </c>
    </row>
    <row r="17146" spans="1:8" customFormat="1" x14ac:dyDescent="0.25">
      <c r="A17146" t="str">
        <f>"46916"</f>
        <v>46916</v>
      </c>
      <c r="B17146" t="s">
        <v>18114</v>
      </c>
      <c r="C17146" t="s">
        <v>812</v>
      </c>
      <c r="D17146" s="21" t="s">
        <v>34</v>
      </c>
      <c r="E17146" s="21" t="s">
        <v>35</v>
      </c>
      <c r="F17146">
        <v>10470003</v>
      </c>
      <c r="G17146" t="s">
        <v>2148</v>
      </c>
      <c r="H17146" s="21">
        <v>806.67</v>
      </c>
    </row>
    <row r="17147" spans="1:8" customFormat="1" x14ac:dyDescent="0.25">
      <c r="A17147" t="str">
        <f>"6212071"</f>
        <v>6212071</v>
      </c>
      <c r="B17147" t="s">
        <v>12526</v>
      </c>
      <c r="C17147" t="s">
        <v>1841</v>
      </c>
      <c r="D17147" s="21" t="s">
        <v>34</v>
      </c>
      <c r="E17147" s="21" t="s">
        <v>254</v>
      </c>
      <c r="F17147">
        <v>4370001</v>
      </c>
      <c r="G17147" t="s">
        <v>957</v>
      </c>
      <c r="H17147" s="21">
        <v>806.67</v>
      </c>
    </row>
    <row r="17148" spans="1:8" customFormat="1" x14ac:dyDescent="0.25">
      <c r="A17148" t="str">
        <f>"8018853"</f>
        <v>8018853</v>
      </c>
      <c r="B17148" t="s">
        <v>5298</v>
      </c>
      <c r="C17148" t="s">
        <v>169</v>
      </c>
      <c r="D17148" s="21" t="s">
        <v>34</v>
      </c>
      <c r="E17148" s="21" t="s">
        <v>35</v>
      </c>
      <c r="F17148">
        <v>7800128</v>
      </c>
      <c r="G17148" t="s">
        <v>3147</v>
      </c>
      <c r="H17148" s="21">
        <v>806.67</v>
      </c>
    </row>
    <row r="17149" spans="1:8" customFormat="1" x14ac:dyDescent="0.25">
      <c r="A17149" t="str">
        <f>"839290"</f>
        <v>839290</v>
      </c>
      <c r="B17149" t="s">
        <v>14920</v>
      </c>
      <c r="C17149" t="s">
        <v>209</v>
      </c>
      <c r="D17149" s="21" t="s">
        <v>34</v>
      </c>
      <c r="E17149" s="21" t="s">
        <v>71</v>
      </c>
      <c r="F17149">
        <v>13830062</v>
      </c>
      <c r="G17149" t="s">
        <v>9074</v>
      </c>
      <c r="H17149" s="21">
        <v>806.67</v>
      </c>
    </row>
    <row r="17150" spans="1:8" customFormat="1" x14ac:dyDescent="0.25">
      <c r="A17150" t="str">
        <f>"3815697"</f>
        <v>3815697</v>
      </c>
      <c r="B17150" t="s">
        <v>13918</v>
      </c>
      <c r="C17150" t="s">
        <v>60</v>
      </c>
      <c r="D17150" s="21" t="s">
        <v>34</v>
      </c>
      <c r="E17150" s="21" t="s">
        <v>35</v>
      </c>
      <c r="F17150">
        <v>1380290</v>
      </c>
      <c r="G17150" t="s">
        <v>619</v>
      </c>
      <c r="H17150" s="21">
        <v>806.67</v>
      </c>
    </row>
    <row r="17151" spans="1:8" customFormat="1" x14ac:dyDescent="0.25">
      <c r="A17151" t="str">
        <f>"2516067"</f>
        <v>2516067</v>
      </c>
      <c r="B17151" t="s">
        <v>12112</v>
      </c>
      <c r="C17151" t="s">
        <v>65</v>
      </c>
      <c r="D17151" s="21" t="s">
        <v>34</v>
      </c>
      <c r="E17151" s="21" t="s">
        <v>35</v>
      </c>
      <c r="F17151">
        <v>12850028</v>
      </c>
      <c r="G17151" t="s">
        <v>1700</v>
      </c>
      <c r="H17151" s="21">
        <v>806.67</v>
      </c>
    </row>
    <row r="17152" spans="1:8" customFormat="1" x14ac:dyDescent="0.25">
      <c r="A17152" t="str">
        <f>"124847"</f>
        <v>124847</v>
      </c>
      <c r="B17152" t="s">
        <v>14884</v>
      </c>
      <c r="C17152" t="s">
        <v>90</v>
      </c>
      <c r="D17152" s="21" t="s">
        <v>34</v>
      </c>
      <c r="E17152" s="21" t="s">
        <v>35</v>
      </c>
      <c r="F17152">
        <v>11120051</v>
      </c>
      <c r="G17152" t="s">
        <v>13985</v>
      </c>
      <c r="H17152" s="21">
        <v>806.67</v>
      </c>
    </row>
    <row r="17153" spans="1:8" customFormat="1" x14ac:dyDescent="0.25">
      <c r="A17153" t="str">
        <f>"7831379"</f>
        <v>7831379</v>
      </c>
      <c r="B17153" t="s">
        <v>2964</v>
      </c>
      <c r="C17153" t="s">
        <v>18460</v>
      </c>
      <c r="D17153" s="21" t="s">
        <v>34</v>
      </c>
      <c r="E17153" s="21" t="s">
        <v>35</v>
      </c>
      <c r="F17153">
        <v>13060090</v>
      </c>
      <c r="G17153" t="s">
        <v>1363</v>
      </c>
      <c r="H17153" s="21">
        <v>806.29</v>
      </c>
    </row>
    <row r="17154" spans="1:8" customFormat="1" x14ac:dyDescent="0.25">
      <c r="A17154" t="str">
        <f>"839321"</f>
        <v>839321</v>
      </c>
      <c r="B17154" t="s">
        <v>13599</v>
      </c>
      <c r="C17154" t="s">
        <v>124</v>
      </c>
      <c r="D17154" s="21" t="s">
        <v>34</v>
      </c>
      <c r="E17154" s="21" t="s">
        <v>35</v>
      </c>
      <c r="F17154">
        <v>13830083</v>
      </c>
      <c r="G17154" t="s">
        <v>2159</v>
      </c>
      <c r="H17154" s="21">
        <v>806.29</v>
      </c>
    </row>
    <row r="17155" spans="1:8" customFormat="1" x14ac:dyDescent="0.25">
      <c r="A17155" t="str">
        <f>"7726884"</f>
        <v>7726884</v>
      </c>
      <c r="B17155" t="s">
        <v>12663</v>
      </c>
      <c r="C17155" t="s">
        <v>60</v>
      </c>
      <c r="D17155" s="21" t="s">
        <v>34</v>
      </c>
      <c r="E17155" s="21" t="s">
        <v>35</v>
      </c>
      <c r="F17155">
        <v>8771025</v>
      </c>
      <c r="G17155" t="s">
        <v>5469</v>
      </c>
      <c r="H17155" s="21">
        <v>806.29</v>
      </c>
    </row>
    <row r="17156" spans="1:8" customFormat="1" x14ac:dyDescent="0.25">
      <c r="A17156" t="str">
        <f>"5719816"</f>
        <v>5719816</v>
      </c>
      <c r="B17156" t="s">
        <v>15744</v>
      </c>
      <c r="C17156" t="s">
        <v>1119</v>
      </c>
      <c r="D17156" s="21" t="s">
        <v>34</v>
      </c>
      <c r="E17156" s="21" t="s">
        <v>71</v>
      </c>
      <c r="F17156">
        <v>6570177</v>
      </c>
      <c r="G17156" t="s">
        <v>2586</v>
      </c>
      <c r="H17156" s="21">
        <v>806.17</v>
      </c>
    </row>
    <row r="17157" spans="1:8" customFormat="1" x14ac:dyDescent="0.25">
      <c r="A17157" t="str">
        <f>"4913812"</f>
        <v>4913812</v>
      </c>
      <c r="B17157" t="s">
        <v>3972</v>
      </c>
      <c r="C17157" t="s">
        <v>267</v>
      </c>
      <c r="D17157" s="21" t="s">
        <v>34</v>
      </c>
      <c r="E17157" s="21" t="s">
        <v>254</v>
      </c>
      <c r="F17157">
        <v>3560092</v>
      </c>
      <c r="G17157" t="s">
        <v>10630</v>
      </c>
      <c r="H17157" s="21">
        <v>806.17</v>
      </c>
    </row>
    <row r="17158" spans="1:8" customFormat="1" x14ac:dyDescent="0.25">
      <c r="A17158" t="str">
        <f>"62996"</f>
        <v>62996</v>
      </c>
      <c r="B17158" t="s">
        <v>13968</v>
      </c>
      <c r="C17158" t="s">
        <v>926</v>
      </c>
      <c r="D17158" s="21" t="s">
        <v>34</v>
      </c>
      <c r="E17158" s="21" t="s">
        <v>71</v>
      </c>
      <c r="F17158">
        <v>7620065</v>
      </c>
      <c r="G17158" t="s">
        <v>6550</v>
      </c>
      <c r="H17158" s="21">
        <v>806.17</v>
      </c>
    </row>
    <row r="17159" spans="1:8" customFormat="1" x14ac:dyDescent="0.25">
      <c r="A17159" t="str">
        <f>"629920"</f>
        <v>629920</v>
      </c>
      <c r="B17159" t="s">
        <v>16382</v>
      </c>
      <c r="C17159" t="s">
        <v>33</v>
      </c>
      <c r="D17159" s="21" t="s">
        <v>34</v>
      </c>
      <c r="E17159" s="21" t="s">
        <v>35</v>
      </c>
      <c r="F17159">
        <v>7620182</v>
      </c>
      <c r="G17159" t="s">
        <v>11480</v>
      </c>
      <c r="H17159" s="21">
        <v>806.17</v>
      </c>
    </row>
    <row r="17160" spans="1:8" customFormat="1" x14ac:dyDescent="0.25">
      <c r="A17160" t="str">
        <f>"7110144"</f>
        <v>7110144</v>
      </c>
      <c r="B17160" t="s">
        <v>4013</v>
      </c>
      <c r="C17160" t="s">
        <v>114</v>
      </c>
      <c r="D17160" s="21" t="s">
        <v>34</v>
      </c>
      <c r="E17160" s="21" t="s">
        <v>71</v>
      </c>
      <c r="F17160">
        <v>2710082</v>
      </c>
      <c r="G17160" t="s">
        <v>7738</v>
      </c>
      <c r="H17160" s="21">
        <v>806.17</v>
      </c>
    </row>
    <row r="17161" spans="1:8" customFormat="1" x14ac:dyDescent="0.25">
      <c r="A17161" t="str">
        <f>"744463"</f>
        <v>744463</v>
      </c>
      <c r="B17161" t="s">
        <v>27468</v>
      </c>
      <c r="C17161" t="s">
        <v>239</v>
      </c>
      <c r="D17161" s="21" t="s">
        <v>34</v>
      </c>
      <c r="E17161" s="21" t="s">
        <v>254</v>
      </c>
      <c r="F17161">
        <v>1740060</v>
      </c>
      <c r="G17161" t="s">
        <v>4907</v>
      </c>
      <c r="H17161" s="21">
        <v>806.17</v>
      </c>
    </row>
    <row r="17162" spans="1:8" customFormat="1" x14ac:dyDescent="0.25">
      <c r="A17162" t="str">
        <f>"4922760"</f>
        <v>4922760</v>
      </c>
      <c r="B17162" t="s">
        <v>13336</v>
      </c>
      <c r="C17162" t="s">
        <v>621</v>
      </c>
      <c r="D17162" s="21" t="s">
        <v>34</v>
      </c>
      <c r="E17162" s="21" t="s">
        <v>71</v>
      </c>
      <c r="F17162">
        <v>12490038</v>
      </c>
      <c r="G17162" t="s">
        <v>467</v>
      </c>
      <c r="H17162" s="21">
        <v>806.17</v>
      </c>
    </row>
    <row r="17163" spans="1:8" customFormat="1" x14ac:dyDescent="0.25">
      <c r="A17163" t="str">
        <f>"404366"</f>
        <v>404366</v>
      </c>
      <c r="B17163" t="s">
        <v>14247</v>
      </c>
      <c r="C17163" t="s">
        <v>598</v>
      </c>
      <c r="D17163" s="21" t="s">
        <v>34</v>
      </c>
      <c r="E17163" s="21" t="s">
        <v>254</v>
      </c>
      <c r="F17163">
        <v>10400024</v>
      </c>
      <c r="G17163" t="s">
        <v>4680</v>
      </c>
      <c r="H17163" s="21">
        <v>806.17</v>
      </c>
    </row>
    <row r="17164" spans="1:8" customFormat="1" x14ac:dyDescent="0.25">
      <c r="A17164" t="str">
        <f>"4529235"</f>
        <v>4529235</v>
      </c>
      <c r="B17164" t="s">
        <v>19859</v>
      </c>
      <c r="C17164" t="s">
        <v>60</v>
      </c>
      <c r="D17164" s="21" t="s">
        <v>34</v>
      </c>
      <c r="E17164" s="21" t="s">
        <v>71</v>
      </c>
      <c r="F17164">
        <v>4450661</v>
      </c>
      <c r="G17164" t="s">
        <v>12253</v>
      </c>
      <c r="H17164" s="21">
        <v>806.17</v>
      </c>
    </row>
    <row r="17165" spans="1:8" customFormat="1" x14ac:dyDescent="0.25">
      <c r="A17165" t="str">
        <f>"771634"</f>
        <v>771634</v>
      </c>
      <c r="B17165" t="s">
        <v>14355</v>
      </c>
      <c r="C17165" t="s">
        <v>1812</v>
      </c>
      <c r="D17165" s="21" t="s">
        <v>34</v>
      </c>
      <c r="E17165" s="21" t="s">
        <v>254</v>
      </c>
      <c r="F17165">
        <v>8771154</v>
      </c>
      <c r="G17165" t="s">
        <v>3625</v>
      </c>
      <c r="H17165" s="21">
        <v>806.17</v>
      </c>
    </row>
    <row r="17166" spans="1:8" customFormat="1" x14ac:dyDescent="0.25">
      <c r="A17166" t="str">
        <f>"2929535"</f>
        <v>2929535</v>
      </c>
      <c r="B17166" t="s">
        <v>6188</v>
      </c>
      <c r="C17166" t="s">
        <v>124</v>
      </c>
      <c r="D17166" s="21" t="s">
        <v>34</v>
      </c>
      <c r="E17166" s="21" t="s">
        <v>71</v>
      </c>
      <c r="F17166">
        <v>3290232</v>
      </c>
      <c r="G17166" t="s">
        <v>9588</v>
      </c>
      <c r="H17166" s="21">
        <v>806.17</v>
      </c>
    </row>
    <row r="17167" spans="1:8" customFormat="1" x14ac:dyDescent="0.25">
      <c r="A17167" t="str">
        <f>"482122"</f>
        <v>482122</v>
      </c>
      <c r="B17167" t="s">
        <v>10154</v>
      </c>
      <c r="C17167" t="s">
        <v>239</v>
      </c>
      <c r="D17167" s="21" t="s">
        <v>34</v>
      </c>
      <c r="E17167" s="21" t="s">
        <v>35</v>
      </c>
      <c r="F17167">
        <v>11480027</v>
      </c>
      <c r="G17167" t="s">
        <v>2950</v>
      </c>
      <c r="H17167" s="21">
        <v>806.17</v>
      </c>
    </row>
    <row r="17168" spans="1:8" customFormat="1" x14ac:dyDescent="0.25">
      <c r="A17168" t="str">
        <f>"392122"</f>
        <v>392122</v>
      </c>
      <c r="B17168" t="s">
        <v>14366</v>
      </c>
      <c r="C17168" t="s">
        <v>171</v>
      </c>
      <c r="D17168" s="21" t="s">
        <v>34</v>
      </c>
      <c r="E17168" s="21" t="s">
        <v>1089</v>
      </c>
      <c r="F17168">
        <v>2390082</v>
      </c>
      <c r="G17168" t="s">
        <v>3343</v>
      </c>
      <c r="H17168" s="21">
        <v>806.17</v>
      </c>
    </row>
    <row r="17169" spans="1:8" customFormat="1" x14ac:dyDescent="0.25">
      <c r="A17169" t="str">
        <f>"2929890"</f>
        <v>2929890</v>
      </c>
      <c r="B17169" t="s">
        <v>14848</v>
      </c>
      <c r="C17169" t="s">
        <v>169</v>
      </c>
      <c r="D17169" s="21" t="s">
        <v>34</v>
      </c>
      <c r="E17169" s="21" t="s">
        <v>254</v>
      </c>
      <c r="F17169">
        <v>3290205</v>
      </c>
      <c r="G17169" t="s">
        <v>26882</v>
      </c>
      <c r="H17169" s="21">
        <v>806.17</v>
      </c>
    </row>
    <row r="17170" spans="1:8" customFormat="1" x14ac:dyDescent="0.25">
      <c r="A17170" t="str">
        <f>"5921035"</f>
        <v>5921035</v>
      </c>
      <c r="B17170" t="s">
        <v>6309</v>
      </c>
      <c r="C17170" t="s">
        <v>109</v>
      </c>
      <c r="D17170" s="21" t="s">
        <v>34</v>
      </c>
      <c r="E17170" s="21" t="s">
        <v>71</v>
      </c>
      <c r="F17170">
        <v>7590027</v>
      </c>
      <c r="G17170" t="s">
        <v>629</v>
      </c>
      <c r="H17170" s="21">
        <v>806.17</v>
      </c>
    </row>
    <row r="17171" spans="1:8" customFormat="1" x14ac:dyDescent="0.25">
      <c r="A17171" t="str">
        <f>"5923036"</f>
        <v>5923036</v>
      </c>
      <c r="B17171" t="s">
        <v>13927</v>
      </c>
      <c r="C17171" t="s">
        <v>1665</v>
      </c>
      <c r="D17171" s="21" t="s">
        <v>34</v>
      </c>
      <c r="E17171" s="21" t="s">
        <v>71</v>
      </c>
      <c r="F17171">
        <v>7590011</v>
      </c>
      <c r="G17171" t="s">
        <v>2147</v>
      </c>
      <c r="H17171" s="21">
        <v>806.17</v>
      </c>
    </row>
    <row r="17172" spans="1:8" customFormat="1" x14ac:dyDescent="0.25">
      <c r="A17172" t="str">
        <f>"685967"</f>
        <v>685967</v>
      </c>
      <c r="B17172" t="s">
        <v>14546</v>
      </c>
      <c r="C17172" t="s">
        <v>130</v>
      </c>
      <c r="D17172" s="21" t="s">
        <v>34</v>
      </c>
      <c r="E17172" s="21" t="s">
        <v>254</v>
      </c>
      <c r="F17172">
        <v>6680128</v>
      </c>
      <c r="G17172" t="s">
        <v>341</v>
      </c>
      <c r="H17172" s="21">
        <v>806.17</v>
      </c>
    </row>
    <row r="17173" spans="1:8" customFormat="1" x14ac:dyDescent="0.25">
      <c r="A17173" t="str">
        <f>"1611821"</f>
        <v>1611821</v>
      </c>
      <c r="B17173" t="s">
        <v>16287</v>
      </c>
      <c r="C17173" t="s">
        <v>55</v>
      </c>
      <c r="D17173" s="21" t="s">
        <v>34</v>
      </c>
      <c r="E17173" s="21" t="s">
        <v>35</v>
      </c>
      <c r="F17173">
        <v>10160240</v>
      </c>
      <c r="G17173" t="s">
        <v>7095</v>
      </c>
      <c r="H17173" s="21">
        <v>806.17</v>
      </c>
    </row>
    <row r="17174" spans="1:8" customFormat="1" x14ac:dyDescent="0.25">
      <c r="A17174" t="str">
        <f>"6215028"</f>
        <v>6215028</v>
      </c>
      <c r="B17174" t="s">
        <v>12023</v>
      </c>
      <c r="C17174" t="s">
        <v>5578</v>
      </c>
      <c r="D17174" s="21" t="s">
        <v>34</v>
      </c>
      <c r="E17174" s="21" t="s">
        <v>35</v>
      </c>
      <c r="F17174">
        <v>7620145</v>
      </c>
      <c r="G17174" t="s">
        <v>2068</v>
      </c>
      <c r="H17174" s="21">
        <v>806.17</v>
      </c>
    </row>
    <row r="17175" spans="1:8" customFormat="1" x14ac:dyDescent="0.25">
      <c r="A17175" t="str">
        <f>"6929165"</f>
        <v>6929165</v>
      </c>
      <c r="B17175" t="s">
        <v>14379</v>
      </c>
      <c r="C17175" t="s">
        <v>598</v>
      </c>
      <c r="D17175" s="21" t="s">
        <v>34</v>
      </c>
      <c r="E17175" s="21" t="s">
        <v>254</v>
      </c>
      <c r="F17175">
        <v>11340007</v>
      </c>
      <c r="G17175" t="s">
        <v>2278</v>
      </c>
      <c r="H17175" s="21">
        <v>806.17</v>
      </c>
    </row>
    <row r="17176" spans="1:8" customFormat="1" x14ac:dyDescent="0.25">
      <c r="A17176" t="str">
        <f>"516812"</f>
        <v>516812</v>
      </c>
      <c r="B17176" t="s">
        <v>12737</v>
      </c>
      <c r="C17176" t="s">
        <v>249</v>
      </c>
      <c r="D17176" s="21" t="s">
        <v>34</v>
      </c>
      <c r="E17176" s="21" t="s">
        <v>35</v>
      </c>
      <c r="F17176">
        <v>10330020</v>
      </c>
      <c r="G17176" t="s">
        <v>7481</v>
      </c>
      <c r="H17176" s="21">
        <v>806.04</v>
      </c>
    </row>
    <row r="17177" spans="1:8" customFormat="1" x14ac:dyDescent="0.25">
      <c r="A17177" t="str">
        <f>"3816908"</f>
        <v>3816908</v>
      </c>
      <c r="B17177" t="s">
        <v>12458</v>
      </c>
      <c r="C17177" t="s">
        <v>608</v>
      </c>
      <c r="D17177" s="21" t="s">
        <v>34</v>
      </c>
      <c r="E17177" s="21" t="s">
        <v>35</v>
      </c>
      <c r="F17177">
        <v>1380057</v>
      </c>
      <c r="G17177" t="s">
        <v>26700</v>
      </c>
      <c r="H17177" s="21">
        <v>806.04</v>
      </c>
    </row>
    <row r="17178" spans="1:8" customFormat="1" x14ac:dyDescent="0.25">
      <c r="A17178" t="str">
        <f>"7824676"</f>
        <v>7824676</v>
      </c>
      <c r="B17178" t="s">
        <v>13902</v>
      </c>
      <c r="C17178" t="s">
        <v>87</v>
      </c>
      <c r="D17178" s="21" t="s">
        <v>34</v>
      </c>
      <c r="E17178" s="21" t="s">
        <v>71</v>
      </c>
      <c r="F17178">
        <v>8780660</v>
      </c>
      <c r="G17178" t="s">
        <v>2801</v>
      </c>
      <c r="H17178" s="21">
        <v>806.04</v>
      </c>
    </row>
    <row r="17179" spans="1:8" customFormat="1" x14ac:dyDescent="0.25">
      <c r="A17179" t="str">
        <f>"5417880"</f>
        <v>5417880</v>
      </c>
      <c r="B17179" t="s">
        <v>13041</v>
      </c>
      <c r="C17179" t="s">
        <v>114</v>
      </c>
      <c r="D17179" s="21" t="s">
        <v>34</v>
      </c>
      <c r="E17179" s="21" t="s">
        <v>254</v>
      </c>
      <c r="F17179">
        <v>11110013</v>
      </c>
      <c r="G17179" t="s">
        <v>640</v>
      </c>
      <c r="H17179" s="21">
        <v>805.92</v>
      </c>
    </row>
    <row r="17180" spans="1:8" customFormat="1" x14ac:dyDescent="0.25">
      <c r="A17180" t="str">
        <f>"6940804"</f>
        <v>6940804</v>
      </c>
      <c r="B17180" t="s">
        <v>16100</v>
      </c>
      <c r="C17180" t="s">
        <v>2520</v>
      </c>
      <c r="D17180" s="21" t="s">
        <v>34</v>
      </c>
      <c r="E17180" s="21" t="s">
        <v>35</v>
      </c>
      <c r="F17180">
        <v>1690160</v>
      </c>
      <c r="G17180" t="s">
        <v>4599</v>
      </c>
      <c r="H17180" s="21">
        <v>805.92</v>
      </c>
    </row>
    <row r="17181" spans="1:8" customFormat="1" x14ac:dyDescent="0.25">
      <c r="A17181" t="str">
        <f>"9220187"</f>
        <v>9220187</v>
      </c>
      <c r="B17181" t="s">
        <v>11658</v>
      </c>
      <c r="C17181" t="s">
        <v>209</v>
      </c>
      <c r="D17181" s="21" t="s">
        <v>34</v>
      </c>
      <c r="E17181" s="21" t="s">
        <v>71</v>
      </c>
      <c r="F17181">
        <v>8920646</v>
      </c>
      <c r="G17181" t="s">
        <v>2864</v>
      </c>
      <c r="H17181" s="21">
        <v>805.92</v>
      </c>
    </row>
    <row r="17182" spans="1:8" customFormat="1" x14ac:dyDescent="0.25">
      <c r="A17182" t="str">
        <f>"4219332"</f>
        <v>4219332</v>
      </c>
      <c r="B17182" t="s">
        <v>19201</v>
      </c>
      <c r="C17182" t="s">
        <v>5366</v>
      </c>
      <c r="D17182" s="21" t="s">
        <v>34</v>
      </c>
      <c r="E17182" s="21" t="s">
        <v>35</v>
      </c>
      <c r="F17182">
        <v>1420154</v>
      </c>
      <c r="G17182" t="s">
        <v>11034</v>
      </c>
      <c r="H17182" s="21">
        <v>805.67</v>
      </c>
    </row>
    <row r="17183" spans="1:8" customFormat="1" x14ac:dyDescent="0.25">
      <c r="A17183" t="str">
        <f>"4924653"</f>
        <v>4924653</v>
      </c>
      <c r="B17183" t="s">
        <v>6510</v>
      </c>
      <c r="C17183" t="s">
        <v>9423</v>
      </c>
      <c r="D17183" s="21" t="s">
        <v>34</v>
      </c>
      <c r="E17183" s="21" t="s">
        <v>254</v>
      </c>
      <c r="F17183">
        <v>12490134</v>
      </c>
      <c r="G17183" t="s">
        <v>4880</v>
      </c>
      <c r="H17183" s="21">
        <v>805.67</v>
      </c>
    </row>
    <row r="17184" spans="1:8" customFormat="1" x14ac:dyDescent="0.25">
      <c r="A17184" t="str">
        <f>"545094"</f>
        <v>545094</v>
      </c>
      <c r="B17184" t="s">
        <v>14326</v>
      </c>
      <c r="C17184" t="s">
        <v>2305</v>
      </c>
      <c r="D17184" s="21" t="s">
        <v>34</v>
      </c>
      <c r="E17184" s="21" t="s">
        <v>254</v>
      </c>
      <c r="F17184">
        <v>6540111</v>
      </c>
      <c r="G17184" t="s">
        <v>9886</v>
      </c>
      <c r="H17184" s="21">
        <v>805.67</v>
      </c>
    </row>
    <row r="17185" spans="1:8" customFormat="1" x14ac:dyDescent="0.25">
      <c r="A17185" t="str">
        <f>"729671"</f>
        <v>729671</v>
      </c>
      <c r="B17185" t="s">
        <v>6024</v>
      </c>
      <c r="C17185" t="s">
        <v>82</v>
      </c>
      <c r="D17185" s="21" t="s">
        <v>34</v>
      </c>
      <c r="E17185" s="21" t="s">
        <v>35</v>
      </c>
      <c r="F17185">
        <v>12720049</v>
      </c>
      <c r="G17185" t="s">
        <v>1627</v>
      </c>
      <c r="H17185" s="21">
        <v>805.67</v>
      </c>
    </row>
    <row r="17186" spans="1:8" customFormat="1" x14ac:dyDescent="0.25">
      <c r="A17186" t="str">
        <f>"7837949"</f>
        <v>7837949</v>
      </c>
      <c r="B17186" t="s">
        <v>14665</v>
      </c>
      <c r="C17186" t="s">
        <v>302</v>
      </c>
      <c r="D17186" s="21" t="s">
        <v>34</v>
      </c>
      <c r="E17186" s="21" t="s">
        <v>71</v>
      </c>
      <c r="F17186">
        <v>8780678</v>
      </c>
      <c r="G17186" t="s">
        <v>8556</v>
      </c>
      <c r="H17186" s="21">
        <v>805.67</v>
      </c>
    </row>
    <row r="17187" spans="1:8" customFormat="1" x14ac:dyDescent="0.25">
      <c r="A17187" t="str">
        <f>"3535936"</f>
        <v>3535936</v>
      </c>
      <c r="B17187" t="s">
        <v>14749</v>
      </c>
      <c r="C17187" t="s">
        <v>2384</v>
      </c>
      <c r="D17187" s="21" t="s">
        <v>34</v>
      </c>
      <c r="E17187" s="21" t="s">
        <v>35</v>
      </c>
      <c r="F17187">
        <v>3350087</v>
      </c>
      <c r="G17187" t="s">
        <v>7430</v>
      </c>
      <c r="H17187" s="21">
        <v>805.67</v>
      </c>
    </row>
    <row r="17188" spans="1:8" customFormat="1" x14ac:dyDescent="0.25">
      <c r="A17188" t="str">
        <f>"888568"</f>
        <v>888568</v>
      </c>
      <c r="B17188" t="s">
        <v>15721</v>
      </c>
      <c r="C17188" t="s">
        <v>239</v>
      </c>
      <c r="D17188" s="21" t="s">
        <v>34</v>
      </c>
      <c r="E17188" s="21" t="s">
        <v>254</v>
      </c>
      <c r="F17188">
        <v>6880101</v>
      </c>
      <c r="G17188" t="s">
        <v>6841</v>
      </c>
      <c r="H17188" s="21">
        <v>805.67</v>
      </c>
    </row>
    <row r="17189" spans="1:8" customFormat="1" x14ac:dyDescent="0.25">
      <c r="A17189" t="str">
        <f>"5613805"</f>
        <v>5613805</v>
      </c>
      <c r="B17189" t="s">
        <v>18017</v>
      </c>
      <c r="C17189" t="s">
        <v>2730</v>
      </c>
      <c r="D17189" s="21" t="s">
        <v>34</v>
      </c>
      <c r="E17189" s="21" t="s">
        <v>254</v>
      </c>
      <c r="F17189">
        <v>3560036</v>
      </c>
      <c r="G17189" t="s">
        <v>910</v>
      </c>
      <c r="H17189" s="21">
        <v>805.67</v>
      </c>
    </row>
    <row r="17190" spans="1:8" customFormat="1" x14ac:dyDescent="0.25">
      <c r="A17190" t="str">
        <f>"9156"</f>
        <v>9156</v>
      </c>
      <c r="B17190" t="s">
        <v>5073</v>
      </c>
      <c r="C17190" t="s">
        <v>2730</v>
      </c>
      <c r="D17190" s="21" t="s">
        <v>34</v>
      </c>
      <c r="E17190" s="21" t="s">
        <v>254</v>
      </c>
      <c r="F17190">
        <v>11310006</v>
      </c>
      <c r="G17190" t="s">
        <v>419</v>
      </c>
      <c r="H17190" s="21">
        <v>805.67</v>
      </c>
    </row>
    <row r="17191" spans="1:8" customFormat="1" x14ac:dyDescent="0.25">
      <c r="A17191" t="str">
        <f>"5718257"</f>
        <v>5718257</v>
      </c>
      <c r="B17191" t="s">
        <v>2942</v>
      </c>
      <c r="C17191" t="s">
        <v>109</v>
      </c>
      <c r="D17191" s="21" t="s">
        <v>34</v>
      </c>
      <c r="E17191" s="21" t="s">
        <v>35</v>
      </c>
      <c r="F17191">
        <v>6570015</v>
      </c>
      <c r="G17191" t="s">
        <v>749</v>
      </c>
      <c r="H17191" s="21">
        <v>805.67</v>
      </c>
    </row>
    <row r="17192" spans="1:8" customFormat="1" x14ac:dyDescent="0.25">
      <c r="A17192" t="str">
        <f>"3335205"</f>
        <v>3335205</v>
      </c>
      <c r="B17192" t="s">
        <v>16291</v>
      </c>
      <c r="C17192" t="s">
        <v>33</v>
      </c>
      <c r="D17192" s="21" t="s">
        <v>34</v>
      </c>
      <c r="E17192" s="21" t="s">
        <v>35</v>
      </c>
      <c r="F17192">
        <v>10330031</v>
      </c>
      <c r="G17192" t="s">
        <v>2452</v>
      </c>
      <c r="H17192" s="21">
        <v>805.67</v>
      </c>
    </row>
    <row r="17193" spans="1:8" customFormat="1" x14ac:dyDescent="0.25">
      <c r="A17193" t="str">
        <f>"9136055"</f>
        <v>9136055</v>
      </c>
      <c r="B17193" t="s">
        <v>16664</v>
      </c>
      <c r="C17193" t="s">
        <v>16665</v>
      </c>
      <c r="D17193" s="21" t="s">
        <v>34</v>
      </c>
      <c r="E17193" s="21" t="s">
        <v>35</v>
      </c>
      <c r="F17193">
        <v>8911132</v>
      </c>
      <c r="G17193" t="s">
        <v>10728</v>
      </c>
      <c r="H17193" s="21">
        <v>805.67</v>
      </c>
    </row>
    <row r="17194" spans="1:8" customFormat="1" x14ac:dyDescent="0.25">
      <c r="A17194" t="str">
        <f>"9127581"</f>
        <v>9127581</v>
      </c>
      <c r="B17194" t="s">
        <v>10132</v>
      </c>
      <c r="C17194" t="s">
        <v>58</v>
      </c>
      <c r="D17194" s="21" t="s">
        <v>34</v>
      </c>
      <c r="E17194" s="21" t="s">
        <v>35</v>
      </c>
      <c r="F17194">
        <v>8910567</v>
      </c>
      <c r="G17194" t="s">
        <v>5111</v>
      </c>
      <c r="H17194" s="21">
        <v>805.67</v>
      </c>
    </row>
    <row r="17195" spans="1:8" customFormat="1" x14ac:dyDescent="0.25">
      <c r="A17195" t="str">
        <f>"621675"</f>
        <v>621675</v>
      </c>
      <c r="B17195" t="s">
        <v>3947</v>
      </c>
      <c r="C17195" t="s">
        <v>267</v>
      </c>
      <c r="D17195" s="21" t="s">
        <v>34</v>
      </c>
      <c r="E17195" s="21" t="s">
        <v>1089</v>
      </c>
      <c r="F17195">
        <v>7620139</v>
      </c>
      <c r="G17195" t="s">
        <v>2061</v>
      </c>
      <c r="H17195" s="21">
        <v>805.67</v>
      </c>
    </row>
    <row r="17196" spans="1:8" customFormat="1" x14ac:dyDescent="0.25">
      <c r="A17196" t="str">
        <f>"3523165"</f>
        <v>3523165</v>
      </c>
      <c r="B17196" t="s">
        <v>12943</v>
      </c>
      <c r="C17196" t="s">
        <v>121</v>
      </c>
      <c r="D17196" s="21" t="s">
        <v>34</v>
      </c>
      <c r="E17196" s="21" t="s">
        <v>35</v>
      </c>
      <c r="F17196">
        <v>3350025</v>
      </c>
      <c r="G17196" t="s">
        <v>11920</v>
      </c>
      <c r="H17196" s="21">
        <v>805.67</v>
      </c>
    </row>
    <row r="17197" spans="1:8" customFormat="1" x14ac:dyDescent="0.25">
      <c r="A17197" t="str">
        <f>"9510040"</f>
        <v>9510040</v>
      </c>
      <c r="B17197" t="s">
        <v>1724</v>
      </c>
      <c r="C17197" t="s">
        <v>267</v>
      </c>
      <c r="D17197" s="21" t="s">
        <v>34</v>
      </c>
      <c r="E17197" s="21" t="s">
        <v>254</v>
      </c>
      <c r="F17197">
        <v>8951273</v>
      </c>
      <c r="G17197" t="s">
        <v>2382</v>
      </c>
      <c r="H17197" s="21">
        <v>805.67</v>
      </c>
    </row>
    <row r="17198" spans="1:8" customFormat="1" x14ac:dyDescent="0.25">
      <c r="A17198" t="str">
        <f>"5963783"</f>
        <v>5963783</v>
      </c>
      <c r="B17198" t="s">
        <v>27469</v>
      </c>
      <c r="C17198" t="s">
        <v>249</v>
      </c>
      <c r="D17198" s="21" t="s">
        <v>34</v>
      </c>
      <c r="E17198" s="21" t="s">
        <v>71</v>
      </c>
      <c r="F17198">
        <v>7590087</v>
      </c>
      <c r="G17198" t="s">
        <v>2112</v>
      </c>
      <c r="H17198" s="21">
        <v>805.67</v>
      </c>
    </row>
    <row r="17199" spans="1:8" customFormat="1" x14ac:dyDescent="0.25">
      <c r="A17199" t="str">
        <f>"368484"</f>
        <v>368484</v>
      </c>
      <c r="B17199" t="s">
        <v>2443</v>
      </c>
      <c r="C17199" t="s">
        <v>1299</v>
      </c>
      <c r="D17199" s="21" t="s">
        <v>34</v>
      </c>
      <c r="E17199" s="21" t="s">
        <v>254</v>
      </c>
      <c r="F17199">
        <v>4360005</v>
      </c>
      <c r="G17199" t="s">
        <v>11227</v>
      </c>
      <c r="H17199" s="21">
        <v>805.54</v>
      </c>
    </row>
    <row r="17200" spans="1:8" customFormat="1" x14ac:dyDescent="0.25">
      <c r="A17200" t="str">
        <f>"615366"</f>
        <v>615366</v>
      </c>
      <c r="B17200" t="s">
        <v>2656</v>
      </c>
      <c r="C17200" t="s">
        <v>239</v>
      </c>
      <c r="D17200" s="21" t="s">
        <v>34</v>
      </c>
      <c r="E17200" s="21" t="s">
        <v>254</v>
      </c>
      <c r="F17200">
        <v>9610097</v>
      </c>
      <c r="G17200" t="s">
        <v>9432</v>
      </c>
      <c r="H17200" s="21">
        <v>805.42</v>
      </c>
    </row>
    <row r="17201" spans="1:8" customFormat="1" x14ac:dyDescent="0.25">
      <c r="A17201" t="str">
        <f>"2721539"</f>
        <v>2721539</v>
      </c>
      <c r="B17201" t="s">
        <v>1939</v>
      </c>
      <c r="C17201" t="s">
        <v>462</v>
      </c>
      <c r="D17201" s="21" t="s">
        <v>34</v>
      </c>
      <c r="E17201" s="21" t="s">
        <v>71</v>
      </c>
      <c r="F17201">
        <v>9270006</v>
      </c>
      <c r="G17201" t="s">
        <v>780</v>
      </c>
      <c r="H17201" s="21">
        <v>805.29</v>
      </c>
    </row>
    <row r="17202" spans="1:8" customFormat="1" x14ac:dyDescent="0.25">
      <c r="A17202" t="str">
        <f>"6716728"</f>
        <v>6716728</v>
      </c>
      <c r="B17202" t="s">
        <v>14292</v>
      </c>
      <c r="C17202" t="s">
        <v>381</v>
      </c>
      <c r="D17202" s="21" t="s">
        <v>34</v>
      </c>
      <c r="E17202" s="21" t="s">
        <v>71</v>
      </c>
      <c r="F17202">
        <v>6670141</v>
      </c>
      <c r="G17202" t="s">
        <v>5030</v>
      </c>
      <c r="H17202" s="21">
        <v>805.17</v>
      </c>
    </row>
    <row r="17203" spans="1:8" customFormat="1" x14ac:dyDescent="0.25">
      <c r="A17203" t="str">
        <f>"2217219"</f>
        <v>2217219</v>
      </c>
      <c r="B17203" t="s">
        <v>14083</v>
      </c>
      <c r="C17203" t="s">
        <v>812</v>
      </c>
      <c r="D17203" s="21" t="s">
        <v>34</v>
      </c>
      <c r="E17203" s="21" t="s">
        <v>35</v>
      </c>
      <c r="F17203">
        <v>3220007</v>
      </c>
      <c r="G17203" t="s">
        <v>26946</v>
      </c>
      <c r="H17203" s="21">
        <v>805.17</v>
      </c>
    </row>
    <row r="17204" spans="1:8" customFormat="1" x14ac:dyDescent="0.25">
      <c r="A17204" t="str">
        <f>"5318329"</f>
        <v>5318329</v>
      </c>
      <c r="B17204" t="s">
        <v>6965</v>
      </c>
      <c r="C17204" t="s">
        <v>151</v>
      </c>
      <c r="D17204" s="21" t="s">
        <v>34</v>
      </c>
      <c r="E17204" s="21" t="s">
        <v>71</v>
      </c>
      <c r="F17204">
        <v>12530081</v>
      </c>
      <c r="G17204" t="s">
        <v>13952</v>
      </c>
      <c r="H17204" s="21">
        <v>805.17</v>
      </c>
    </row>
    <row r="17205" spans="1:8" customFormat="1" x14ac:dyDescent="0.25">
      <c r="A17205" t="str">
        <f>"2928243"</f>
        <v>2928243</v>
      </c>
      <c r="B17205" t="s">
        <v>13338</v>
      </c>
      <c r="C17205" t="s">
        <v>1489</v>
      </c>
      <c r="D17205" s="21" t="s">
        <v>34</v>
      </c>
      <c r="E17205" s="21" t="s">
        <v>35</v>
      </c>
      <c r="F17205">
        <v>3290014</v>
      </c>
      <c r="G17205" t="s">
        <v>10174</v>
      </c>
      <c r="H17205" s="21">
        <v>805.17</v>
      </c>
    </row>
    <row r="17206" spans="1:8" customFormat="1" x14ac:dyDescent="0.25">
      <c r="A17206" t="str">
        <f>"7917971"</f>
        <v>7917971</v>
      </c>
      <c r="B17206" t="s">
        <v>12477</v>
      </c>
      <c r="C17206" t="s">
        <v>249</v>
      </c>
      <c r="D17206" s="21" t="s">
        <v>34</v>
      </c>
      <c r="E17206" s="21" t="s">
        <v>71</v>
      </c>
      <c r="F17206">
        <v>10790043</v>
      </c>
      <c r="G17206" t="s">
        <v>2828</v>
      </c>
      <c r="H17206" s="21">
        <v>805.17</v>
      </c>
    </row>
    <row r="17207" spans="1:8" customFormat="1" x14ac:dyDescent="0.25">
      <c r="A17207" t="str">
        <f>"3826789"</f>
        <v>3826789</v>
      </c>
      <c r="B17207" t="s">
        <v>15071</v>
      </c>
      <c r="C17207" t="s">
        <v>13717</v>
      </c>
      <c r="D17207" s="21" t="s">
        <v>34</v>
      </c>
      <c r="E17207" s="21" t="s">
        <v>71</v>
      </c>
      <c r="F17207">
        <v>1380068</v>
      </c>
      <c r="G17207" t="s">
        <v>12680</v>
      </c>
      <c r="H17207" s="21">
        <v>805.17</v>
      </c>
    </row>
    <row r="17208" spans="1:8" customFormat="1" x14ac:dyDescent="0.25">
      <c r="A17208" t="str">
        <f>"287470"</f>
        <v>287470</v>
      </c>
      <c r="B17208" t="s">
        <v>16440</v>
      </c>
      <c r="C17208" t="s">
        <v>16441</v>
      </c>
      <c r="D17208" s="21" t="s">
        <v>34</v>
      </c>
      <c r="E17208" s="21" t="s">
        <v>254</v>
      </c>
      <c r="F17208">
        <v>4280045</v>
      </c>
      <c r="G17208" t="s">
        <v>787</v>
      </c>
      <c r="H17208" s="21">
        <v>805.17</v>
      </c>
    </row>
    <row r="17209" spans="1:8" customFormat="1" x14ac:dyDescent="0.25">
      <c r="A17209" t="str">
        <f>"9137236"</f>
        <v>9137236</v>
      </c>
      <c r="B17209" t="s">
        <v>5926</v>
      </c>
      <c r="C17209" t="s">
        <v>55</v>
      </c>
      <c r="D17209" s="21" t="s">
        <v>34</v>
      </c>
      <c r="E17209" s="21" t="s">
        <v>71</v>
      </c>
      <c r="F17209">
        <v>8910652</v>
      </c>
      <c r="G17209" t="s">
        <v>6533</v>
      </c>
      <c r="H17209" s="21">
        <v>805.17</v>
      </c>
    </row>
    <row r="17210" spans="1:8" customFormat="1" x14ac:dyDescent="0.25">
      <c r="A17210" t="str">
        <f>"9452499"</f>
        <v>9452499</v>
      </c>
      <c r="B17210" t="s">
        <v>15514</v>
      </c>
      <c r="C17210" t="s">
        <v>169</v>
      </c>
      <c r="D17210" s="21" t="s">
        <v>34</v>
      </c>
      <c r="E17210" s="21" t="s">
        <v>71</v>
      </c>
      <c r="F17210">
        <v>8940033</v>
      </c>
      <c r="G17210" t="s">
        <v>1376</v>
      </c>
      <c r="H17210" s="21">
        <v>805.17</v>
      </c>
    </row>
    <row r="17211" spans="1:8" customFormat="1" x14ac:dyDescent="0.25">
      <c r="A17211" t="str">
        <f>"1611171"</f>
        <v>1611171</v>
      </c>
      <c r="B17211" t="s">
        <v>12004</v>
      </c>
      <c r="C17211" t="s">
        <v>879</v>
      </c>
      <c r="D17211" s="21" t="s">
        <v>34</v>
      </c>
      <c r="E17211" s="21" t="s">
        <v>71</v>
      </c>
      <c r="F17211">
        <v>10160042</v>
      </c>
      <c r="G17211" t="s">
        <v>7461</v>
      </c>
      <c r="H17211" s="21">
        <v>805.17</v>
      </c>
    </row>
    <row r="17212" spans="1:8" customFormat="1" x14ac:dyDescent="0.25">
      <c r="A17212" t="str">
        <f>"511444"</f>
        <v>511444</v>
      </c>
      <c r="B17212" t="s">
        <v>14612</v>
      </c>
      <c r="C17212" t="s">
        <v>453</v>
      </c>
      <c r="D17212" s="21" t="s">
        <v>34</v>
      </c>
      <c r="E17212" s="21" t="s">
        <v>1089</v>
      </c>
      <c r="F17212">
        <v>6510036</v>
      </c>
      <c r="G17212" t="s">
        <v>2902</v>
      </c>
      <c r="H17212" s="21">
        <v>805.17</v>
      </c>
    </row>
    <row r="17213" spans="1:8" customFormat="1" x14ac:dyDescent="0.25">
      <c r="A17213" t="str">
        <f>"11526"</f>
        <v>11526</v>
      </c>
      <c r="B17213" t="s">
        <v>14826</v>
      </c>
      <c r="C17213" t="s">
        <v>415</v>
      </c>
      <c r="D17213" s="21" t="s">
        <v>34</v>
      </c>
      <c r="E17213" s="21" t="s">
        <v>254</v>
      </c>
      <c r="F17213">
        <v>11110013</v>
      </c>
      <c r="G17213" t="s">
        <v>640</v>
      </c>
      <c r="H17213" s="21">
        <v>805.17</v>
      </c>
    </row>
    <row r="17214" spans="1:8" customFormat="1" x14ac:dyDescent="0.25">
      <c r="A17214" t="str">
        <f>"5615511"</f>
        <v>5615511</v>
      </c>
      <c r="B17214" t="s">
        <v>3794</v>
      </c>
      <c r="C17214" t="s">
        <v>288</v>
      </c>
      <c r="D17214" s="21" t="s">
        <v>34</v>
      </c>
      <c r="E17214" s="21" t="s">
        <v>35</v>
      </c>
      <c r="F17214">
        <v>3560037</v>
      </c>
      <c r="G17214" t="s">
        <v>10491</v>
      </c>
      <c r="H17214" s="21">
        <v>805.17</v>
      </c>
    </row>
    <row r="17215" spans="1:8" customFormat="1" x14ac:dyDescent="0.25">
      <c r="A17215" t="str">
        <f>"3426533"</f>
        <v>3426533</v>
      </c>
      <c r="B17215" t="s">
        <v>1153</v>
      </c>
      <c r="C17215" t="s">
        <v>269</v>
      </c>
      <c r="D17215" s="21" t="s">
        <v>34</v>
      </c>
      <c r="E17215" s="21" t="s">
        <v>71</v>
      </c>
      <c r="F17215">
        <v>11340013</v>
      </c>
      <c r="G17215" t="s">
        <v>11430</v>
      </c>
      <c r="H17215" s="21">
        <v>805.17</v>
      </c>
    </row>
    <row r="17216" spans="1:8" customFormat="1" x14ac:dyDescent="0.25">
      <c r="A17216" t="str">
        <f>"8813341"</f>
        <v>8813341</v>
      </c>
      <c r="B17216" t="s">
        <v>1263</v>
      </c>
      <c r="C17216" t="s">
        <v>37</v>
      </c>
      <c r="D17216" s="21" t="s">
        <v>34</v>
      </c>
      <c r="E17216" s="21" t="s">
        <v>35</v>
      </c>
      <c r="F17216">
        <v>6880101</v>
      </c>
      <c r="G17216" t="s">
        <v>6841</v>
      </c>
      <c r="H17216" s="21">
        <v>805.17</v>
      </c>
    </row>
    <row r="17217" spans="1:8" customFormat="1" x14ac:dyDescent="0.25">
      <c r="A17217" t="str">
        <f>"5919087"</f>
        <v>5919087</v>
      </c>
      <c r="B17217" t="s">
        <v>14893</v>
      </c>
      <c r="C17217" t="s">
        <v>2520</v>
      </c>
      <c r="D17217" s="21" t="s">
        <v>34</v>
      </c>
      <c r="E17217" s="21" t="s">
        <v>254</v>
      </c>
      <c r="F17217">
        <v>7590256</v>
      </c>
      <c r="G17217" t="s">
        <v>4156</v>
      </c>
      <c r="H17217" s="21">
        <v>805.17</v>
      </c>
    </row>
    <row r="17218" spans="1:8" customFormat="1" x14ac:dyDescent="0.25">
      <c r="A17218" t="str">
        <f>"7722855"</f>
        <v>7722855</v>
      </c>
      <c r="B17218" t="s">
        <v>2313</v>
      </c>
      <c r="C17218" t="s">
        <v>15455</v>
      </c>
      <c r="D17218" s="21" t="s">
        <v>34</v>
      </c>
      <c r="E17218" s="21" t="s">
        <v>71</v>
      </c>
      <c r="F17218">
        <v>8771446</v>
      </c>
      <c r="G17218" t="s">
        <v>830</v>
      </c>
      <c r="H17218" s="21">
        <v>805.17</v>
      </c>
    </row>
    <row r="17219" spans="1:8" customFormat="1" x14ac:dyDescent="0.25">
      <c r="A17219" t="str">
        <f>"6212095"</f>
        <v>6212095</v>
      </c>
      <c r="B17219" t="s">
        <v>14715</v>
      </c>
      <c r="C17219" t="s">
        <v>879</v>
      </c>
      <c r="D17219" s="21" t="s">
        <v>34</v>
      </c>
      <c r="E17219" s="21" t="s">
        <v>254</v>
      </c>
      <c r="F17219">
        <v>7620147</v>
      </c>
      <c r="G17219" t="s">
        <v>4455</v>
      </c>
      <c r="H17219" s="21">
        <v>805.17</v>
      </c>
    </row>
    <row r="17220" spans="1:8" customFormat="1" x14ac:dyDescent="0.25">
      <c r="A17220" t="str">
        <f>"35482"</f>
        <v>35482</v>
      </c>
      <c r="B17220" t="s">
        <v>14581</v>
      </c>
      <c r="C17220" t="s">
        <v>320</v>
      </c>
      <c r="D17220" s="21" t="s">
        <v>34</v>
      </c>
      <c r="E17220" s="21" t="s">
        <v>254</v>
      </c>
      <c r="F17220">
        <v>3350009</v>
      </c>
      <c r="G17220" t="s">
        <v>1823</v>
      </c>
      <c r="H17220" s="21">
        <v>805.17</v>
      </c>
    </row>
    <row r="17221" spans="1:8" customFormat="1" x14ac:dyDescent="0.25">
      <c r="A17221" t="str">
        <f>"9218951"</f>
        <v>9218951</v>
      </c>
      <c r="B17221" t="s">
        <v>4013</v>
      </c>
      <c r="C17221" t="s">
        <v>209</v>
      </c>
      <c r="D17221" s="21" t="s">
        <v>34</v>
      </c>
      <c r="E17221" s="21" t="s">
        <v>35</v>
      </c>
      <c r="F17221">
        <v>8920151</v>
      </c>
      <c r="G17221" t="s">
        <v>1434</v>
      </c>
      <c r="H17221" s="21">
        <v>805.17</v>
      </c>
    </row>
    <row r="17222" spans="1:8" customFormat="1" x14ac:dyDescent="0.25">
      <c r="A17222" t="str">
        <f>"037287"</f>
        <v>037287</v>
      </c>
      <c r="B17222" t="s">
        <v>15035</v>
      </c>
      <c r="C17222" t="s">
        <v>60</v>
      </c>
      <c r="D17222" s="21" t="s">
        <v>34</v>
      </c>
      <c r="E17222" s="21" t="s">
        <v>35</v>
      </c>
      <c r="F17222">
        <v>1030128</v>
      </c>
      <c r="G17222" t="s">
        <v>7355</v>
      </c>
      <c r="H17222" s="21">
        <v>805.17</v>
      </c>
    </row>
    <row r="17223" spans="1:8" customFormat="1" x14ac:dyDescent="0.25">
      <c r="A17223" t="str">
        <f>"6929935"</f>
        <v>6929935</v>
      </c>
      <c r="B17223" t="s">
        <v>4306</v>
      </c>
      <c r="C17223" t="s">
        <v>267</v>
      </c>
      <c r="D17223" s="21" t="s">
        <v>34</v>
      </c>
      <c r="E17223" s="21" t="s">
        <v>35</v>
      </c>
      <c r="F17223">
        <v>1690123</v>
      </c>
      <c r="G17223" t="s">
        <v>5156</v>
      </c>
      <c r="H17223" s="21">
        <v>805.17</v>
      </c>
    </row>
    <row r="17224" spans="1:8" customFormat="1" x14ac:dyDescent="0.25">
      <c r="A17224" t="str">
        <f>"2924680"</f>
        <v>2924680</v>
      </c>
      <c r="B17224" t="s">
        <v>7465</v>
      </c>
      <c r="C17224" t="s">
        <v>267</v>
      </c>
      <c r="D17224" s="21" t="s">
        <v>34</v>
      </c>
      <c r="E17224" s="21" t="s">
        <v>254</v>
      </c>
      <c r="F17224">
        <v>3290263</v>
      </c>
      <c r="G17224" t="s">
        <v>4108</v>
      </c>
      <c r="H17224" s="21">
        <v>805.17</v>
      </c>
    </row>
    <row r="17225" spans="1:8" customFormat="1" x14ac:dyDescent="0.25">
      <c r="A17225" t="str">
        <f>"3527534"</f>
        <v>3527534</v>
      </c>
      <c r="B17225" t="s">
        <v>5588</v>
      </c>
      <c r="C17225" t="s">
        <v>269</v>
      </c>
      <c r="D17225" s="21" t="s">
        <v>34</v>
      </c>
      <c r="E17225" s="21" t="s">
        <v>71</v>
      </c>
      <c r="F17225">
        <v>3350042</v>
      </c>
      <c r="G17225" t="s">
        <v>12707</v>
      </c>
      <c r="H17225" s="21">
        <v>805.17</v>
      </c>
    </row>
    <row r="17226" spans="1:8" customFormat="1" x14ac:dyDescent="0.25">
      <c r="A17226" t="str">
        <f>"8313094"</f>
        <v>8313094</v>
      </c>
      <c r="B17226" t="s">
        <v>14659</v>
      </c>
      <c r="C17226" t="s">
        <v>209</v>
      </c>
      <c r="D17226" s="21" t="s">
        <v>34</v>
      </c>
      <c r="E17226" s="21" t="s">
        <v>71</v>
      </c>
      <c r="F17226">
        <v>13830068</v>
      </c>
      <c r="G17226" t="s">
        <v>6181</v>
      </c>
      <c r="H17226" s="21">
        <v>805.04</v>
      </c>
    </row>
    <row r="17227" spans="1:8" customFormat="1" x14ac:dyDescent="0.25">
      <c r="A17227" t="str">
        <f>"026616"</f>
        <v>026616</v>
      </c>
      <c r="B17227" t="s">
        <v>1689</v>
      </c>
      <c r="C17227" t="s">
        <v>124</v>
      </c>
      <c r="D17227" s="21" t="s">
        <v>34</v>
      </c>
      <c r="E17227" s="21" t="s">
        <v>71</v>
      </c>
      <c r="F17227">
        <v>7020040</v>
      </c>
      <c r="G17227" t="s">
        <v>1698</v>
      </c>
      <c r="H17227" s="21">
        <v>804.92</v>
      </c>
    </row>
    <row r="17228" spans="1:8" customFormat="1" x14ac:dyDescent="0.25">
      <c r="A17228" t="str">
        <f>"219408"</f>
        <v>219408</v>
      </c>
      <c r="B17228" t="s">
        <v>13217</v>
      </c>
      <c r="C17228" t="s">
        <v>1271</v>
      </c>
      <c r="D17228" s="21" t="s">
        <v>34</v>
      </c>
      <c r="E17228" s="21" t="s">
        <v>1089</v>
      </c>
      <c r="F17228">
        <v>2210126</v>
      </c>
      <c r="G17228" t="s">
        <v>10773</v>
      </c>
      <c r="H17228" s="21">
        <v>804.67</v>
      </c>
    </row>
    <row r="17229" spans="1:8" customFormat="1" x14ac:dyDescent="0.25">
      <c r="A17229" t="str">
        <f>"5014111"</f>
        <v>5014111</v>
      </c>
      <c r="B17229" t="s">
        <v>15313</v>
      </c>
      <c r="C17229" t="s">
        <v>60</v>
      </c>
      <c r="D17229" s="21" t="s">
        <v>34</v>
      </c>
      <c r="E17229" s="21" t="s">
        <v>35</v>
      </c>
      <c r="F17229">
        <v>9500154</v>
      </c>
      <c r="G17229" t="s">
        <v>9582</v>
      </c>
      <c r="H17229" s="21">
        <v>804.67</v>
      </c>
    </row>
    <row r="17230" spans="1:8" customFormat="1" x14ac:dyDescent="0.25">
      <c r="A17230" t="str">
        <f>"449341"</f>
        <v>449341</v>
      </c>
      <c r="B17230" t="s">
        <v>890</v>
      </c>
      <c r="C17230" t="s">
        <v>4842</v>
      </c>
      <c r="D17230" s="21" t="s">
        <v>34</v>
      </c>
      <c r="E17230" s="21" t="s">
        <v>254</v>
      </c>
      <c r="F17230">
        <v>12440008</v>
      </c>
      <c r="G17230" t="s">
        <v>4570</v>
      </c>
      <c r="H17230" s="21">
        <v>804.67</v>
      </c>
    </row>
    <row r="17231" spans="1:8" customFormat="1" x14ac:dyDescent="0.25">
      <c r="A17231" t="str">
        <f>"6212073"</f>
        <v>6212073</v>
      </c>
      <c r="B17231" t="s">
        <v>1533</v>
      </c>
      <c r="C17231" t="s">
        <v>267</v>
      </c>
      <c r="D17231" s="21" t="s">
        <v>34</v>
      </c>
      <c r="E17231" s="21" t="s">
        <v>254</v>
      </c>
      <c r="F17231">
        <v>7620027</v>
      </c>
      <c r="G17231" t="s">
        <v>980</v>
      </c>
      <c r="H17231" s="21">
        <v>804.67</v>
      </c>
    </row>
    <row r="17232" spans="1:8" customFormat="1" x14ac:dyDescent="0.25">
      <c r="A17232" t="str">
        <f>"9110066"</f>
        <v>9110066</v>
      </c>
      <c r="B17232" t="s">
        <v>4921</v>
      </c>
      <c r="C17232" t="s">
        <v>236</v>
      </c>
      <c r="D17232" s="21" t="s">
        <v>34</v>
      </c>
      <c r="E17232" s="21" t="s">
        <v>71</v>
      </c>
      <c r="F17232">
        <v>8911132</v>
      </c>
      <c r="G17232" t="s">
        <v>10728</v>
      </c>
      <c r="H17232" s="21">
        <v>804.67</v>
      </c>
    </row>
    <row r="17233" spans="1:8" customFormat="1" x14ac:dyDescent="0.25">
      <c r="A17233" t="str">
        <f>"362953"</f>
        <v>362953</v>
      </c>
      <c r="B17233" t="s">
        <v>14284</v>
      </c>
      <c r="C17233" t="s">
        <v>528</v>
      </c>
      <c r="D17233" s="21" t="s">
        <v>34</v>
      </c>
      <c r="E17233" s="21" t="s">
        <v>71</v>
      </c>
      <c r="F17233">
        <v>4360124</v>
      </c>
      <c r="G17233" t="s">
        <v>5229</v>
      </c>
      <c r="H17233" s="21">
        <v>804.67</v>
      </c>
    </row>
    <row r="17234" spans="1:8" customFormat="1" x14ac:dyDescent="0.25">
      <c r="A17234" t="str">
        <f>"6933415"</f>
        <v>6933415</v>
      </c>
      <c r="B17234" t="s">
        <v>7661</v>
      </c>
      <c r="C17234" t="s">
        <v>169</v>
      </c>
      <c r="D17234" s="21" t="s">
        <v>34</v>
      </c>
      <c r="E17234" s="21" t="s">
        <v>35</v>
      </c>
      <c r="F17234">
        <v>1690156</v>
      </c>
      <c r="G17234" t="s">
        <v>7062</v>
      </c>
      <c r="H17234" s="21">
        <v>804.67</v>
      </c>
    </row>
    <row r="17235" spans="1:8" customFormat="1" x14ac:dyDescent="0.25">
      <c r="A17235" t="str">
        <f>"6919828"</f>
        <v>6919828</v>
      </c>
      <c r="B17235" t="s">
        <v>138</v>
      </c>
      <c r="C17235" t="s">
        <v>114</v>
      </c>
      <c r="D17235" s="21" t="s">
        <v>34</v>
      </c>
      <c r="E17235" s="21" t="s">
        <v>71</v>
      </c>
      <c r="F17235">
        <v>8781006</v>
      </c>
      <c r="G17235" t="s">
        <v>5376</v>
      </c>
      <c r="H17235" s="21">
        <v>804.67</v>
      </c>
    </row>
    <row r="17236" spans="1:8" customFormat="1" x14ac:dyDescent="0.25">
      <c r="A17236" t="str">
        <f>"748486"</f>
        <v>748486</v>
      </c>
      <c r="B17236" t="s">
        <v>205</v>
      </c>
      <c r="C17236" t="s">
        <v>269</v>
      </c>
      <c r="D17236" s="21" t="s">
        <v>34</v>
      </c>
      <c r="E17236" s="21" t="s">
        <v>35</v>
      </c>
      <c r="F17236">
        <v>1740045</v>
      </c>
      <c r="G17236" t="s">
        <v>9857</v>
      </c>
      <c r="H17236" s="21">
        <v>804.67</v>
      </c>
    </row>
    <row r="17237" spans="1:8" customFormat="1" x14ac:dyDescent="0.25">
      <c r="A17237" t="str">
        <f>"5966151"</f>
        <v>5966151</v>
      </c>
      <c r="B17237" t="s">
        <v>15717</v>
      </c>
      <c r="C17237" t="s">
        <v>87</v>
      </c>
      <c r="D17237" s="21" t="s">
        <v>34</v>
      </c>
      <c r="E17237" s="21" t="s">
        <v>35</v>
      </c>
      <c r="F17237">
        <v>7590336</v>
      </c>
      <c r="G17237" t="s">
        <v>2341</v>
      </c>
      <c r="H17237" s="21">
        <v>804.67</v>
      </c>
    </row>
    <row r="17238" spans="1:8" customFormat="1" x14ac:dyDescent="0.25">
      <c r="A17238" t="str">
        <f>"441235"</f>
        <v>441235</v>
      </c>
      <c r="B17238" t="s">
        <v>3957</v>
      </c>
      <c r="C17238" t="s">
        <v>2475</v>
      </c>
      <c r="D17238" s="21" t="s">
        <v>34</v>
      </c>
      <c r="E17238" s="21" t="s">
        <v>254</v>
      </c>
      <c r="F17238">
        <v>12440125</v>
      </c>
      <c r="G17238" t="s">
        <v>8347</v>
      </c>
      <c r="H17238" s="21">
        <v>804.67</v>
      </c>
    </row>
    <row r="17239" spans="1:8" customFormat="1" x14ac:dyDescent="0.25">
      <c r="A17239" t="str">
        <f>"9240546"</f>
        <v>9240546</v>
      </c>
      <c r="B17239" t="s">
        <v>16363</v>
      </c>
      <c r="C17239" t="s">
        <v>204</v>
      </c>
      <c r="D17239" s="21" t="s">
        <v>34</v>
      </c>
      <c r="E17239" s="21" t="s">
        <v>71</v>
      </c>
      <c r="F17239">
        <v>8920031</v>
      </c>
      <c r="G17239" t="s">
        <v>552</v>
      </c>
      <c r="H17239" s="21">
        <v>804.67</v>
      </c>
    </row>
    <row r="17240" spans="1:8" customFormat="1" x14ac:dyDescent="0.25">
      <c r="A17240" t="str">
        <f>"1423499"</f>
        <v>1423499</v>
      </c>
      <c r="B17240" t="s">
        <v>14632</v>
      </c>
      <c r="C17240" t="s">
        <v>750</v>
      </c>
      <c r="D17240" s="21" t="s">
        <v>34</v>
      </c>
      <c r="E17240" s="21" t="s">
        <v>71</v>
      </c>
      <c r="F17240">
        <v>9140054</v>
      </c>
      <c r="G17240" t="s">
        <v>3300</v>
      </c>
      <c r="H17240" s="21">
        <v>804.67</v>
      </c>
    </row>
    <row r="17241" spans="1:8" customFormat="1" x14ac:dyDescent="0.25">
      <c r="A17241" t="str">
        <f>"023671"</f>
        <v>023671</v>
      </c>
      <c r="B17241" t="s">
        <v>4052</v>
      </c>
      <c r="C17241" t="s">
        <v>1142</v>
      </c>
      <c r="D17241" s="21" t="s">
        <v>34</v>
      </c>
      <c r="E17241" s="21" t="s">
        <v>1089</v>
      </c>
      <c r="F17241">
        <v>7020036</v>
      </c>
      <c r="G17241" t="s">
        <v>8431</v>
      </c>
      <c r="H17241" s="21">
        <v>804.67</v>
      </c>
    </row>
    <row r="17242" spans="1:8" customFormat="1" x14ac:dyDescent="0.25">
      <c r="A17242" t="str">
        <f>"244800"</f>
        <v>244800</v>
      </c>
      <c r="B17242" t="s">
        <v>22043</v>
      </c>
      <c r="C17242" t="s">
        <v>664</v>
      </c>
      <c r="D17242" s="21" t="s">
        <v>34</v>
      </c>
      <c r="E17242" s="21" t="s">
        <v>254</v>
      </c>
      <c r="F17242">
        <v>10240014</v>
      </c>
      <c r="G17242" t="s">
        <v>5445</v>
      </c>
      <c r="H17242" s="21">
        <v>804.67</v>
      </c>
    </row>
    <row r="17243" spans="1:8" customFormat="1" x14ac:dyDescent="0.25">
      <c r="A17243" t="str">
        <f>"406492"</f>
        <v>406492</v>
      </c>
      <c r="B17243" t="s">
        <v>9134</v>
      </c>
      <c r="C17243" t="s">
        <v>267</v>
      </c>
      <c r="D17243" s="21" t="s">
        <v>34</v>
      </c>
      <c r="E17243" s="21" t="s">
        <v>71</v>
      </c>
      <c r="F17243">
        <v>10400027</v>
      </c>
      <c r="G17243" t="s">
        <v>11595</v>
      </c>
      <c r="H17243" s="21">
        <v>804.67</v>
      </c>
    </row>
    <row r="17244" spans="1:8" customFormat="1" x14ac:dyDescent="0.25">
      <c r="A17244" t="str">
        <f>"4926825"</f>
        <v>4926825</v>
      </c>
      <c r="B17244" t="s">
        <v>16093</v>
      </c>
      <c r="C17244" t="s">
        <v>249</v>
      </c>
      <c r="D17244" s="21" t="s">
        <v>34</v>
      </c>
      <c r="E17244" s="21" t="s">
        <v>71</v>
      </c>
      <c r="F17244">
        <v>12490030</v>
      </c>
      <c r="G17244" t="s">
        <v>8366</v>
      </c>
      <c r="H17244" s="21">
        <v>804.67</v>
      </c>
    </row>
    <row r="17245" spans="1:8" customFormat="1" x14ac:dyDescent="0.25">
      <c r="A17245" t="str">
        <f>"1421359"</f>
        <v>1421359</v>
      </c>
      <c r="B17245" t="s">
        <v>15170</v>
      </c>
      <c r="C17245" t="s">
        <v>55</v>
      </c>
      <c r="D17245" s="21" t="s">
        <v>34</v>
      </c>
      <c r="E17245" s="21" t="s">
        <v>71</v>
      </c>
      <c r="F17245">
        <v>9140003</v>
      </c>
      <c r="G17245" t="s">
        <v>6152</v>
      </c>
      <c r="H17245" s="21">
        <v>804.67</v>
      </c>
    </row>
    <row r="17246" spans="1:8" customFormat="1" x14ac:dyDescent="0.25">
      <c r="A17246" t="str">
        <f>"4218567"</f>
        <v>4218567</v>
      </c>
      <c r="B17246" t="s">
        <v>4128</v>
      </c>
      <c r="C17246" t="s">
        <v>124</v>
      </c>
      <c r="D17246" s="21" t="s">
        <v>34</v>
      </c>
      <c r="E17246" s="21" t="s">
        <v>71</v>
      </c>
      <c r="F17246">
        <v>1420110</v>
      </c>
      <c r="G17246" t="s">
        <v>3928</v>
      </c>
      <c r="H17246" s="21">
        <v>804.67</v>
      </c>
    </row>
    <row r="17247" spans="1:8" customFormat="1" x14ac:dyDescent="0.25">
      <c r="A17247" t="str">
        <f>"9B185"</f>
        <v>9B185</v>
      </c>
      <c r="B17247" t="s">
        <v>14288</v>
      </c>
      <c r="C17247" t="s">
        <v>1946</v>
      </c>
      <c r="D17247" s="21" t="s">
        <v>34</v>
      </c>
      <c r="E17247" s="21" t="s">
        <v>35</v>
      </c>
      <c r="F17247" t="s">
        <v>2861</v>
      </c>
      <c r="G17247" t="s">
        <v>2862</v>
      </c>
      <c r="H17247" s="21">
        <v>804.67</v>
      </c>
    </row>
    <row r="17248" spans="1:8" customFormat="1" x14ac:dyDescent="0.25">
      <c r="A17248" t="str">
        <f>"3518467"</f>
        <v>3518467</v>
      </c>
      <c r="B17248" t="s">
        <v>5362</v>
      </c>
      <c r="C17248" t="s">
        <v>204</v>
      </c>
      <c r="D17248" s="21" t="s">
        <v>34</v>
      </c>
      <c r="E17248" s="21" t="s">
        <v>35</v>
      </c>
      <c r="F17248">
        <v>12440263</v>
      </c>
      <c r="G17248" t="s">
        <v>9503</v>
      </c>
      <c r="H17248" s="21">
        <v>804.67</v>
      </c>
    </row>
    <row r="17249" spans="1:8" customFormat="1" x14ac:dyDescent="0.25">
      <c r="A17249" t="str">
        <f>"7730278"</f>
        <v>7730278</v>
      </c>
      <c r="B17249" t="s">
        <v>2313</v>
      </c>
      <c r="C17249" t="s">
        <v>17797</v>
      </c>
      <c r="D17249" s="21" t="s">
        <v>34</v>
      </c>
      <c r="E17249" s="21" t="s">
        <v>35</v>
      </c>
      <c r="F17249">
        <v>8771184</v>
      </c>
      <c r="G17249" t="s">
        <v>137</v>
      </c>
      <c r="H17249" s="21">
        <v>804.67</v>
      </c>
    </row>
    <row r="17250" spans="1:8" customFormat="1" x14ac:dyDescent="0.25">
      <c r="A17250" t="str">
        <f>"291886"</f>
        <v>291886</v>
      </c>
      <c r="B17250" t="s">
        <v>14437</v>
      </c>
      <c r="C17250" t="s">
        <v>664</v>
      </c>
      <c r="D17250" s="21" t="s">
        <v>34</v>
      </c>
      <c r="E17250" s="21" t="s">
        <v>254</v>
      </c>
      <c r="F17250">
        <v>3290018</v>
      </c>
      <c r="G17250" t="s">
        <v>1706</v>
      </c>
      <c r="H17250" s="21">
        <v>804.67</v>
      </c>
    </row>
    <row r="17251" spans="1:8" customFormat="1" x14ac:dyDescent="0.25">
      <c r="A17251" t="str">
        <f>"7910328"</f>
        <v>7910328</v>
      </c>
      <c r="B17251" t="s">
        <v>17625</v>
      </c>
      <c r="C17251" t="s">
        <v>209</v>
      </c>
      <c r="D17251" s="21" t="s">
        <v>34</v>
      </c>
      <c r="E17251" s="21" t="s">
        <v>254</v>
      </c>
      <c r="F17251">
        <v>10790235</v>
      </c>
      <c r="G17251" t="s">
        <v>413</v>
      </c>
      <c r="H17251" s="21">
        <v>804.67</v>
      </c>
    </row>
    <row r="17252" spans="1:8" customFormat="1" x14ac:dyDescent="0.25">
      <c r="A17252" t="str">
        <f>"4426370"</f>
        <v>4426370</v>
      </c>
      <c r="B17252" t="s">
        <v>13729</v>
      </c>
      <c r="C17252" t="s">
        <v>169</v>
      </c>
      <c r="D17252" s="21" t="s">
        <v>34</v>
      </c>
      <c r="E17252" s="21" t="s">
        <v>71</v>
      </c>
      <c r="F17252">
        <v>12440158</v>
      </c>
      <c r="G17252" t="s">
        <v>9695</v>
      </c>
      <c r="H17252" s="21">
        <v>804.54</v>
      </c>
    </row>
    <row r="17253" spans="1:8" customFormat="1" x14ac:dyDescent="0.25">
      <c r="A17253" t="str">
        <f>"8018310"</f>
        <v>8018310</v>
      </c>
      <c r="B17253" t="s">
        <v>13915</v>
      </c>
      <c r="C17253" t="s">
        <v>171</v>
      </c>
      <c r="D17253" s="21" t="s">
        <v>34</v>
      </c>
      <c r="E17253" s="21" t="s">
        <v>35</v>
      </c>
      <c r="F17253">
        <v>9760206</v>
      </c>
      <c r="G17253" t="s">
        <v>13046</v>
      </c>
      <c r="H17253" s="21">
        <v>804.5</v>
      </c>
    </row>
    <row r="17254" spans="1:8" customFormat="1" x14ac:dyDescent="0.25">
      <c r="A17254" t="str">
        <f>"2813115"</f>
        <v>2813115</v>
      </c>
      <c r="B17254" t="s">
        <v>688</v>
      </c>
      <c r="C17254" t="s">
        <v>1110</v>
      </c>
      <c r="D17254" s="21" t="s">
        <v>34</v>
      </c>
      <c r="E17254" s="21" t="s">
        <v>1089</v>
      </c>
      <c r="F17254">
        <v>4280048</v>
      </c>
      <c r="G17254" t="s">
        <v>3053</v>
      </c>
      <c r="H17254" s="21">
        <v>804.42</v>
      </c>
    </row>
    <row r="17255" spans="1:8" customFormat="1" x14ac:dyDescent="0.25">
      <c r="A17255" t="str">
        <f>"9123796"</f>
        <v>9123796</v>
      </c>
      <c r="B17255" t="s">
        <v>14943</v>
      </c>
      <c r="C17255" t="s">
        <v>719</v>
      </c>
      <c r="D17255" s="21" t="s">
        <v>34</v>
      </c>
      <c r="E17255" s="21" t="s">
        <v>35</v>
      </c>
      <c r="F17255">
        <v>8940942</v>
      </c>
      <c r="G17255" t="s">
        <v>8505</v>
      </c>
      <c r="H17255" s="21">
        <v>804.42</v>
      </c>
    </row>
    <row r="17256" spans="1:8" customFormat="1" x14ac:dyDescent="0.25">
      <c r="A17256" t="str">
        <f>"782762"</f>
        <v>782762</v>
      </c>
      <c r="B17256" t="s">
        <v>15066</v>
      </c>
      <c r="C17256" t="s">
        <v>3073</v>
      </c>
      <c r="D17256" s="21" t="s">
        <v>34</v>
      </c>
      <c r="E17256" s="21" t="s">
        <v>254</v>
      </c>
      <c r="F17256">
        <v>8780935</v>
      </c>
      <c r="G17256" t="s">
        <v>1944</v>
      </c>
      <c r="H17256" s="21">
        <v>804.42</v>
      </c>
    </row>
    <row r="17257" spans="1:8" customFormat="1" x14ac:dyDescent="0.25">
      <c r="A17257" t="str">
        <f>"3331216"</f>
        <v>3331216</v>
      </c>
      <c r="B17257" t="s">
        <v>15533</v>
      </c>
      <c r="C17257" t="s">
        <v>209</v>
      </c>
      <c r="D17257" s="21" t="s">
        <v>34</v>
      </c>
      <c r="E17257" s="21" t="s">
        <v>71</v>
      </c>
      <c r="F17257">
        <v>10330046</v>
      </c>
      <c r="G17257" t="s">
        <v>1787</v>
      </c>
      <c r="H17257" s="21">
        <v>804.29</v>
      </c>
    </row>
    <row r="17258" spans="1:8" customFormat="1" x14ac:dyDescent="0.25">
      <c r="A17258" t="str">
        <f>"0110470"</f>
        <v>0110470</v>
      </c>
      <c r="B17258" t="s">
        <v>14151</v>
      </c>
      <c r="C17258" t="s">
        <v>130</v>
      </c>
      <c r="D17258" s="21" t="s">
        <v>34</v>
      </c>
      <c r="E17258" s="21" t="s">
        <v>71</v>
      </c>
      <c r="F17258">
        <v>1010068</v>
      </c>
      <c r="G17258" t="s">
        <v>4755</v>
      </c>
      <c r="H17258" s="21">
        <v>804.17</v>
      </c>
    </row>
    <row r="17259" spans="1:8" customFormat="1" x14ac:dyDescent="0.25">
      <c r="A17259" t="str">
        <f>"4910316"</f>
        <v>4910316</v>
      </c>
      <c r="B17259" t="s">
        <v>3577</v>
      </c>
      <c r="C17259" t="s">
        <v>462</v>
      </c>
      <c r="D17259" s="21" t="s">
        <v>34</v>
      </c>
      <c r="E17259" s="21" t="s">
        <v>254</v>
      </c>
      <c r="F17259">
        <v>12490029</v>
      </c>
      <c r="G17259" t="s">
        <v>3485</v>
      </c>
      <c r="H17259" s="21">
        <v>804.17</v>
      </c>
    </row>
    <row r="17260" spans="1:8" customFormat="1" x14ac:dyDescent="0.25">
      <c r="A17260" t="str">
        <f>"2512673"</f>
        <v>2512673</v>
      </c>
      <c r="B17260" t="s">
        <v>27470</v>
      </c>
      <c r="C17260" t="s">
        <v>1914</v>
      </c>
      <c r="D17260" s="21" t="s">
        <v>34</v>
      </c>
      <c r="E17260" s="21" t="s">
        <v>71</v>
      </c>
      <c r="F17260">
        <v>6670058</v>
      </c>
      <c r="G17260" t="s">
        <v>2551</v>
      </c>
      <c r="H17260" s="21">
        <v>804.17</v>
      </c>
    </row>
    <row r="17261" spans="1:8" customFormat="1" x14ac:dyDescent="0.25">
      <c r="A17261" t="str">
        <f>"9535674"</f>
        <v>9535674</v>
      </c>
      <c r="B17261" t="s">
        <v>15370</v>
      </c>
      <c r="C17261" t="s">
        <v>33</v>
      </c>
      <c r="D17261" s="21" t="s">
        <v>34</v>
      </c>
      <c r="E17261" s="21" t="s">
        <v>35</v>
      </c>
      <c r="F17261">
        <v>8950119</v>
      </c>
      <c r="G17261" t="s">
        <v>8174</v>
      </c>
      <c r="H17261" s="21">
        <v>804.17</v>
      </c>
    </row>
    <row r="17262" spans="1:8" customFormat="1" x14ac:dyDescent="0.25">
      <c r="A17262" t="str">
        <f>"5951280"</f>
        <v>5951280</v>
      </c>
      <c r="B17262" t="s">
        <v>13883</v>
      </c>
      <c r="C17262" t="s">
        <v>60</v>
      </c>
      <c r="D17262" s="21" t="s">
        <v>34</v>
      </c>
      <c r="E17262" s="21" t="s">
        <v>71</v>
      </c>
      <c r="F17262">
        <v>7590345</v>
      </c>
      <c r="G17262" t="s">
        <v>3297</v>
      </c>
      <c r="H17262" s="21">
        <v>804.17</v>
      </c>
    </row>
    <row r="17263" spans="1:8" customFormat="1" x14ac:dyDescent="0.25">
      <c r="A17263" t="str">
        <f>"14167"</f>
        <v>14167</v>
      </c>
      <c r="B17263" t="s">
        <v>1609</v>
      </c>
      <c r="C17263" t="s">
        <v>720</v>
      </c>
      <c r="D17263" s="21" t="s">
        <v>34</v>
      </c>
      <c r="E17263" s="21" t="s">
        <v>6185</v>
      </c>
      <c r="F17263">
        <v>9140233</v>
      </c>
      <c r="G17263" t="s">
        <v>13269</v>
      </c>
      <c r="H17263" s="21">
        <v>804.17</v>
      </c>
    </row>
    <row r="17264" spans="1:8" customFormat="1" x14ac:dyDescent="0.25">
      <c r="A17264" t="str">
        <f>"0113482"</f>
        <v>0113482</v>
      </c>
      <c r="B17264" t="s">
        <v>15821</v>
      </c>
      <c r="C17264" t="s">
        <v>598</v>
      </c>
      <c r="D17264" s="21" t="s">
        <v>34</v>
      </c>
      <c r="E17264" s="21" t="s">
        <v>71</v>
      </c>
      <c r="F17264">
        <v>1010071</v>
      </c>
      <c r="G17264" t="s">
        <v>8104</v>
      </c>
      <c r="H17264" s="21">
        <v>804.17</v>
      </c>
    </row>
    <row r="17265" spans="1:8" customFormat="1" x14ac:dyDescent="0.25">
      <c r="A17265" t="str">
        <f>"2813716"</f>
        <v>2813716</v>
      </c>
      <c r="B17265" t="s">
        <v>4128</v>
      </c>
      <c r="C17265" t="s">
        <v>169</v>
      </c>
      <c r="D17265" s="21" t="s">
        <v>34</v>
      </c>
      <c r="E17265" s="21" t="s">
        <v>35</v>
      </c>
      <c r="F17265">
        <v>4280593</v>
      </c>
      <c r="G17265" t="s">
        <v>4536</v>
      </c>
      <c r="H17265" s="21">
        <v>804.17</v>
      </c>
    </row>
    <row r="17266" spans="1:8" customFormat="1" x14ac:dyDescent="0.25">
      <c r="A17266" t="str">
        <f>"51501"</f>
        <v>51501</v>
      </c>
      <c r="B17266" t="s">
        <v>14032</v>
      </c>
      <c r="C17266" t="s">
        <v>547</v>
      </c>
      <c r="D17266" s="21" t="s">
        <v>34</v>
      </c>
      <c r="E17266" s="21" t="s">
        <v>1089</v>
      </c>
      <c r="F17266">
        <v>6510040</v>
      </c>
      <c r="G17266" t="s">
        <v>9113</v>
      </c>
      <c r="H17266" s="21">
        <v>804.17</v>
      </c>
    </row>
    <row r="17267" spans="1:8" customFormat="1" x14ac:dyDescent="0.25">
      <c r="A17267" t="str">
        <f>"5314025"</f>
        <v>5314025</v>
      </c>
      <c r="B17267" t="s">
        <v>12298</v>
      </c>
      <c r="C17267" t="s">
        <v>249</v>
      </c>
      <c r="D17267" s="21" t="s">
        <v>34</v>
      </c>
      <c r="E17267" s="21" t="s">
        <v>35</v>
      </c>
      <c r="F17267">
        <v>12530067</v>
      </c>
      <c r="G17267" t="s">
        <v>11121</v>
      </c>
      <c r="H17267" s="21">
        <v>804.17</v>
      </c>
    </row>
    <row r="17268" spans="1:8" customFormat="1" x14ac:dyDescent="0.25">
      <c r="A17268" t="str">
        <f>"6210802"</f>
        <v>6210802</v>
      </c>
      <c r="B17268" t="s">
        <v>11479</v>
      </c>
      <c r="C17268" t="s">
        <v>169</v>
      </c>
      <c r="D17268" s="21" t="s">
        <v>34</v>
      </c>
      <c r="E17268" s="21" t="s">
        <v>71</v>
      </c>
      <c r="F17268">
        <v>7620169</v>
      </c>
      <c r="G17268" t="s">
        <v>7116</v>
      </c>
      <c r="H17268" s="21">
        <v>804.17</v>
      </c>
    </row>
    <row r="17269" spans="1:8" customFormat="1" x14ac:dyDescent="0.25">
      <c r="A17269" t="str">
        <f>"7522206"</f>
        <v>7522206</v>
      </c>
      <c r="B17269" t="s">
        <v>10361</v>
      </c>
      <c r="C17269" t="s">
        <v>209</v>
      </c>
      <c r="D17269" s="21" t="s">
        <v>34</v>
      </c>
      <c r="E17269" s="21" t="s">
        <v>35</v>
      </c>
      <c r="F17269">
        <v>8751177</v>
      </c>
      <c r="G17269" t="s">
        <v>396</v>
      </c>
      <c r="H17269" s="21">
        <v>804.17</v>
      </c>
    </row>
    <row r="17270" spans="1:8" customFormat="1" x14ac:dyDescent="0.25">
      <c r="A17270" t="str">
        <f>"578950"</f>
        <v>578950</v>
      </c>
      <c r="B17270" t="s">
        <v>1595</v>
      </c>
      <c r="C17270" t="s">
        <v>239</v>
      </c>
      <c r="D17270" s="21" t="s">
        <v>34</v>
      </c>
      <c r="E17270" s="21" t="s">
        <v>254</v>
      </c>
      <c r="F17270">
        <v>6570158</v>
      </c>
      <c r="G17270" t="s">
        <v>2391</v>
      </c>
      <c r="H17270" s="21">
        <v>804.17</v>
      </c>
    </row>
    <row r="17271" spans="1:8" customFormat="1" x14ac:dyDescent="0.25">
      <c r="A17271" t="str">
        <f>"872250"</f>
        <v>872250</v>
      </c>
      <c r="B17271" t="s">
        <v>14106</v>
      </c>
      <c r="C17271" t="s">
        <v>2529</v>
      </c>
      <c r="D17271" s="21" t="s">
        <v>34</v>
      </c>
      <c r="E17271" s="21" t="s">
        <v>71</v>
      </c>
      <c r="F17271">
        <v>10870117</v>
      </c>
      <c r="G17271" t="s">
        <v>3139</v>
      </c>
      <c r="H17271" s="21">
        <v>804.17</v>
      </c>
    </row>
    <row r="17272" spans="1:8" customFormat="1" x14ac:dyDescent="0.25">
      <c r="A17272" t="str">
        <f>"6217182"</f>
        <v>6217182</v>
      </c>
      <c r="B17272" t="s">
        <v>64</v>
      </c>
      <c r="C17272" t="s">
        <v>9507</v>
      </c>
      <c r="D17272" s="21" t="s">
        <v>34</v>
      </c>
      <c r="E17272" s="21" t="s">
        <v>35</v>
      </c>
      <c r="F17272">
        <v>7620029</v>
      </c>
      <c r="G17272" t="s">
        <v>7730</v>
      </c>
      <c r="H17272" s="21">
        <v>804.17</v>
      </c>
    </row>
    <row r="17273" spans="1:8" customFormat="1" x14ac:dyDescent="0.25">
      <c r="A17273" t="str">
        <f>"6810243"</f>
        <v>6810243</v>
      </c>
      <c r="B17273" t="s">
        <v>10242</v>
      </c>
      <c r="C17273" t="s">
        <v>631</v>
      </c>
      <c r="D17273" s="21" t="s">
        <v>34</v>
      </c>
      <c r="E17273" s="21" t="s">
        <v>35</v>
      </c>
      <c r="F17273">
        <v>6680011</v>
      </c>
      <c r="G17273" t="s">
        <v>1524</v>
      </c>
      <c r="H17273" s="21">
        <v>804.17</v>
      </c>
    </row>
    <row r="17274" spans="1:8" customFormat="1" x14ac:dyDescent="0.25">
      <c r="A17274" t="str">
        <f>"754926"</f>
        <v>754926</v>
      </c>
      <c r="B17274" t="s">
        <v>14299</v>
      </c>
      <c r="C17274" t="s">
        <v>14300</v>
      </c>
      <c r="D17274" s="21" t="s">
        <v>34</v>
      </c>
      <c r="E17274" s="21" t="s">
        <v>71</v>
      </c>
      <c r="F17274">
        <v>8751271</v>
      </c>
      <c r="G17274" t="s">
        <v>1067</v>
      </c>
      <c r="H17274" s="21">
        <v>803.92</v>
      </c>
    </row>
    <row r="17275" spans="1:8" customFormat="1" x14ac:dyDescent="0.25">
      <c r="A17275" t="str">
        <f>"0112410"</f>
        <v>0112410</v>
      </c>
      <c r="B17275" t="s">
        <v>15635</v>
      </c>
      <c r="C17275" t="s">
        <v>598</v>
      </c>
      <c r="D17275" s="21" t="s">
        <v>34</v>
      </c>
      <c r="E17275" s="21" t="s">
        <v>254</v>
      </c>
      <c r="F17275">
        <v>1010017</v>
      </c>
      <c r="G17275" t="s">
        <v>6502</v>
      </c>
      <c r="H17275" s="21">
        <v>803.92</v>
      </c>
    </row>
    <row r="17276" spans="1:8" customFormat="1" x14ac:dyDescent="0.25">
      <c r="A17276" t="str">
        <f>"276"</f>
        <v>276</v>
      </c>
      <c r="B17276" t="s">
        <v>14477</v>
      </c>
      <c r="C17276" t="s">
        <v>2305</v>
      </c>
      <c r="D17276" s="21" t="s">
        <v>34</v>
      </c>
      <c r="E17276" s="21" t="s">
        <v>1089</v>
      </c>
      <c r="F17276">
        <v>9270089</v>
      </c>
      <c r="G17276" t="s">
        <v>1009</v>
      </c>
      <c r="H17276" s="21">
        <v>803.92</v>
      </c>
    </row>
    <row r="17277" spans="1:8" customFormat="1" x14ac:dyDescent="0.25">
      <c r="A17277" t="str">
        <f>"3519597"</f>
        <v>3519597</v>
      </c>
      <c r="B17277" t="s">
        <v>14313</v>
      </c>
      <c r="C17277" t="s">
        <v>62</v>
      </c>
      <c r="D17277" s="21" t="s">
        <v>34</v>
      </c>
      <c r="E17277" s="21" t="s">
        <v>35</v>
      </c>
      <c r="F17277">
        <v>3350057</v>
      </c>
      <c r="G17277" t="s">
        <v>10712</v>
      </c>
      <c r="H17277" s="21">
        <v>803.67</v>
      </c>
    </row>
    <row r="17278" spans="1:8" customFormat="1" x14ac:dyDescent="0.25">
      <c r="A17278" t="str">
        <f>"7710217"</f>
        <v>7710217</v>
      </c>
      <c r="B17278" t="s">
        <v>6921</v>
      </c>
      <c r="C17278" t="s">
        <v>3109</v>
      </c>
      <c r="D17278" s="21" t="s">
        <v>34</v>
      </c>
      <c r="E17278" s="21" t="s">
        <v>71</v>
      </c>
      <c r="F17278">
        <v>8770237</v>
      </c>
      <c r="G17278" t="s">
        <v>128</v>
      </c>
      <c r="H17278" s="21">
        <v>803.67</v>
      </c>
    </row>
    <row r="17279" spans="1:8" customFormat="1" x14ac:dyDescent="0.25">
      <c r="A17279" t="str">
        <f>"2217929"</f>
        <v>2217929</v>
      </c>
      <c r="B17279" t="s">
        <v>646</v>
      </c>
      <c r="C17279" t="s">
        <v>40</v>
      </c>
      <c r="D17279" s="21" t="s">
        <v>34</v>
      </c>
      <c r="E17279" s="21" t="s">
        <v>35</v>
      </c>
      <c r="F17279">
        <v>3220002</v>
      </c>
      <c r="G17279" t="s">
        <v>26727</v>
      </c>
      <c r="H17279" s="21">
        <v>803.67</v>
      </c>
    </row>
    <row r="17280" spans="1:8" customFormat="1" x14ac:dyDescent="0.25">
      <c r="A17280" t="str">
        <f>"758899"</f>
        <v>758899</v>
      </c>
      <c r="B17280" t="s">
        <v>14293</v>
      </c>
      <c r="C17280" t="s">
        <v>209</v>
      </c>
      <c r="D17280" s="21" t="s">
        <v>34</v>
      </c>
      <c r="E17280" s="21" t="s">
        <v>254</v>
      </c>
      <c r="F17280">
        <v>8750487</v>
      </c>
      <c r="G17280" t="s">
        <v>6793</v>
      </c>
      <c r="H17280" s="21">
        <v>803.67</v>
      </c>
    </row>
    <row r="17281" spans="1:8" customFormat="1" x14ac:dyDescent="0.25">
      <c r="A17281" t="str">
        <f>"6211066"</f>
        <v>6211066</v>
      </c>
      <c r="B17281" t="s">
        <v>15762</v>
      </c>
      <c r="C17281" t="s">
        <v>124</v>
      </c>
      <c r="D17281" s="21" t="s">
        <v>34</v>
      </c>
      <c r="E17281" s="21" t="s">
        <v>35</v>
      </c>
      <c r="F17281">
        <v>7620131</v>
      </c>
      <c r="G17281" t="s">
        <v>9562</v>
      </c>
      <c r="H17281" s="21">
        <v>803.67</v>
      </c>
    </row>
    <row r="17282" spans="1:8" customFormat="1" x14ac:dyDescent="0.25">
      <c r="A17282" t="str">
        <f>"761431"</f>
        <v>761431</v>
      </c>
      <c r="B17282" t="s">
        <v>9353</v>
      </c>
      <c r="C17282" t="s">
        <v>4842</v>
      </c>
      <c r="D17282" s="21" t="s">
        <v>34</v>
      </c>
      <c r="E17282" s="21" t="s">
        <v>1089</v>
      </c>
      <c r="F17282">
        <v>9760100</v>
      </c>
      <c r="G17282" t="s">
        <v>9182</v>
      </c>
      <c r="H17282" s="21">
        <v>803.67</v>
      </c>
    </row>
    <row r="17283" spans="1:8" customFormat="1" x14ac:dyDescent="0.25">
      <c r="A17283" t="str">
        <f>"7920605"</f>
        <v>7920605</v>
      </c>
      <c r="B17283" t="s">
        <v>14307</v>
      </c>
      <c r="C17283" t="s">
        <v>169</v>
      </c>
      <c r="D17283" s="21" t="s">
        <v>34</v>
      </c>
      <c r="E17283" s="21" t="s">
        <v>35</v>
      </c>
      <c r="F17283">
        <v>3350210</v>
      </c>
      <c r="G17283" t="s">
        <v>12171</v>
      </c>
      <c r="H17283" s="21">
        <v>803.67</v>
      </c>
    </row>
    <row r="17284" spans="1:8" customFormat="1" x14ac:dyDescent="0.25">
      <c r="A17284" t="str">
        <f>"6947659"</f>
        <v>6947659</v>
      </c>
      <c r="B17284" t="s">
        <v>18376</v>
      </c>
      <c r="C17284" t="s">
        <v>18377</v>
      </c>
      <c r="D17284" s="21" t="s">
        <v>34</v>
      </c>
      <c r="E17284" s="21" t="s">
        <v>35</v>
      </c>
      <c r="F17284">
        <v>1690058</v>
      </c>
      <c r="G17284" t="s">
        <v>1644</v>
      </c>
      <c r="H17284" s="21">
        <v>803.67</v>
      </c>
    </row>
    <row r="17285" spans="1:8" customFormat="1" x14ac:dyDescent="0.25">
      <c r="A17285" t="str">
        <f>"317769"</f>
        <v>317769</v>
      </c>
      <c r="B17285" t="s">
        <v>13922</v>
      </c>
      <c r="C17285" t="s">
        <v>147</v>
      </c>
      <c r="D17285" s="21" t="s">
        <v>34</v>
      </c>
      <c r="E17285" s="21" t="s">
        <v>35</v>
      </c>
      <c r="F17285">
        <v>11310075</v>
      </c>
      <c r="G17285" t="s">
        <v>2531</v>
      </c>
      <c r="H17285" s="21">
        <v>803.67</v>
      </c>
    </row>
    <row r="17286" spans="1:8" customFormat="1" x14ac:dyDescent="0.25">
      <c r="A17286" t="str">
        <f>"8813852"</f>
        <v>8813852</v>
      </c>
      <c r="B17286" t="s">
        <v>14137</v>
      </c>
      <c r="C17286" t="s">
        <v>119</v>
      </c>
      <c r="D17286" s="21" t="s">
        <v>34</v>
      </c>
      <c r="E17286" s="21" t="s">
        <v>35</v>
      </c>
      <c r="F17286">
        <v>6880007</v>
      </c>
      <c r="G17286" t="s">
        <v>1039</v>
      </c>
      <c r="H17286" s="21">
        <v>803.67</v>
      </c>
    </row>
    <row r="17287" spans="1:8" customFormat="1" x14ac:dyDescent="0.25">
      <c r="A17287" t="str">
        <f>"37754"</f>
        <v>37754</v>
      </c>
      <c r="B17287" t="s">
        <v>1574</v>
      </c>
      <c r="C17287" t="s">
        <v>1142</v>
      </c>
      <c r="D17287" s="21" t="s">
        <v>34</v>
      </c>
      <c r="E17287" s="21" t="s">
        <v>254</v>
      </c>
      <c r="F17287">
        <v>4370146</v>
      </c>
      <c r="G17287" t="s">
        <v>10990</v>
      </c>
      <c r="H17287" s="21">
        <v>803.67</v>
      </c>
    </row>
    <row r="17288" spans="1:8" customFormat="1" x14ac:dyDescent="0.25">
      <c r="A17288" t="str">
        <f>"7511979"</f>
        <v>7511979</v>
      </c>
      <c r="B17288" t="s">
        <v>1576</v>
      </c>
      <c r="C17288" t="s">
        <v>206</v>
      </c>
      <c r="D17288" s="21" t="s">
        <v>34</v>
      </c>
      <c r="E17288" s="21" t="s">
        <v>35</v>
      </c>
      <c r="F17288">
        <v>8751058</v>
      </c>
      <c r="G17288" t="s">
        <v>4202</v>
      </c>
      <c r="H17288" s="21">
        <v>803.67</v>
      </c>
    </row>
    <row r="17289" spans="1:8" customFormat="1" x14ac:dyDescent="0.25">
      <c r="A17289" t="str">
        <f>"148953"</f>
        <v>148953</v>
      </c>
      <c r="B17289" t="s">
        <v>13326</v>
      </c>
      <c r="C17289" t="s">
        <v>82</v>
      </c>
      <c r="D17289" s="21" t="s">
        <v>34</v>
      </c>
      <c r="E17289" s="21" t="s">
        <v>35</v>
      </c>
      <c r="F17289">
        <v>9140201</v>
      </c>
      <c r="G17289" t="s">
        <v>13327</v>
      </c>
      <c r="H17289" s="21">
        <v>803.67</v>
      </c>
    </row>
    <row r="17290" spans="1:8" customFormat="1" x14ac:dyDescent="0.25">
      <c r="A17290" t="str">
        <f>"5945403"</f>
        <v>5945403</v>
      </c>
      <c r="B17290" t="s">
        <v>17275</v>
      </c>
      <c r="C17290" t="s">
        <v>267</v>
      </c>
      <c r="D17290" s="21" t="s">
        <v>34</v>
      </c>
      <c r="E17290" s="21" t="s">
        <v>1089</v>
      </c>
      <c r="F17290">
        <v>7590235</v>
      </c>
      <c r="G17290" t="s">
        <v>5121</v>
      </c>
      <c r="H17290" s="21">
        <v>803.67</v>
      </c>
    </row>
    <row r="17291" spans="1:8" customFormat="1" x14ac:dyDescent="0.25">
      <c r="A17291" t="str">
        <f>"501900"</f>
        <v>501900</v>
      </c>
      <c r="B17291" t="s">
        <v>6677</v>
      </c>
      <c r="C17291" t="s">
        <v>547</v>
      </c>
      <c r="D17291" s="21" t="s">
        <v>34</v>
      </c>
      <c r="E17291" s="21" t="s">
        <v>1089</v>
      </c>
      <c r="F17291">
        <v>9500022</v>
      </c>
      <c r="G17291" t="s">
        <v>4324</v>
      </c>
      <c r="H17291" s="21">
        <v>803.67</v>
      </c>
    </row>
    <row r="17292" spans="1:8" customFormat="1" x14ac:dyDescent="0.25">
      <c r="A17292" t="str">
        <f>"9243070"</f>
        <v>9243070</v>
      </c>
      <c r="B17292" t="s">
        <v>6401</v>
      </c>
      <c r="C17292" t="s">
        <v>198</v>
      </c>
      <c r="D17292" s="21" t="s">
        <v>34</v>
      </c>
      <c r="E17292" s="21" t="s">
        <v>71</v>
      </c>
      <c r="F17292">
        <v>8920151</v>
      </c>
      <c r="G17292" t="s">
        <v>1434</v>
      </c>
      <c r="H17292" s="21">
        <v>803.67</v>
      </c>
    </row>
    <row r="17293" spans="1:8" customFormat="1" x14ac:dyDescent="0.25">
      <c r="A17293" t="str">
        <f>"2922429"</f>
        <v>2922429</v>
      </c>
      <c r="B17293" t="s">
        <v>3573</v>
      </c>
      <c r="C17293" t="s">
        <v>269</v>
      </c>
      <c r="D17293" s="21" t="s">
        <v>34</v>
      </c>
      <c r="E17293" s="21" t="s">
        <v>71</v>
      </c>
      <c r="F17293">
        <v>3290031</v>
      </c>
      <c r="G17293" t="s">
        <v>8207</v>
      </c>
      <c r="H17293" s="21">
        <v>803.67</v>
      </c>
    </row>
    <row r="17294" spans="1:8" customFormat="1" x14ac:dyDescent="0.25">
      <c r="A17294" t="str">
        <f>"7635011"</f>
        <v>7635011</v>
      </c>
      <c r="B17294" t="s">
        <v>6119</v>
      </c>
      <c r="C17294" t="s">
        <v>87</v>
      </c>
      <c r="D17294" s="21" t="s">
        <v>34</v>
      </c>
      <c r="E17294" s="21" t="s">
        <v>71</v>
      </c>
      <c r="F17294">
        <v>9760025</v>
      </c>
      <c r="G17294" t="s">
        <v>2620</v>
      </c>
      <c r="H17294" s="21">
        <v>803.54</v>
      </c>
    </row>
    <row r="17295" spans="1:8" customFormat="1" x14ac:dyDescent="0.25">
      <c r="A17295" t="str">
        <f>"3318827"</f>
        <v>3318827</v>
      </c>
      <c r="B17295" t="s">
        <v>13976</v>
      </c>
      <c r="C17295" t="s">
        <v>1714</v>
      </c>
      <c r="D17295" s="21" t="s">
        <v>34</v>
      </c>
      <c r="E17295" s="21" t="s">
        <v>254</v>
      </c>
      <c r="F17295">
        <v>10330037</v>
      </c>
      <c r="G17295" t="s">
        <v>5960</v>
      </c>
      <c r="H17295" s="21">
        <v>803.5</v>
      </c>
    </row>
    <row r="17296" spans="1:8" customFormat="1" x14ac:dyDescent="0.25">
      <c r="A17296" t="str">
        <f>"5712664"</f>
        <v>5712664</v>
      </c>
      <c r="B17296" t="s">
        <v>15385</v>
      </c>
      <c r="C17296" t="s">
        <v>2904</v>
      </c>
      <c r="D17296" s="21" t="s">
        <v>34</v>
      </c>
      <c r="E17296" s="21" t="s">
        <v>254</v>
      </c>
      <c r="F17296">
        <v>6570173</v>
      </c>
      <c r="G17296" t="s">
        <v>9959</v>
      </c>
      <c r="H17296" s="21">
        <v>803.42</v>
      </c>
    </row>
    <row r="17297" spans="1:8" customFormat="1" x14ac:dyDescent="0.25">
      <c r="A17297" t="str">
        <f>"5970667"</f>
        <v>5970667</v>
      </c>
      <c r="B17297" t="s">
        <v>13872</v>
      </c>
      <c r="C17297" t="s">
        <v>206</v>
      </c>
      <c r="D17297" s="21" t="s">
        <v>34</v>
      </c>
      <c r="E17297" s="21" t="s">
        <v>35</v>
      </c>
      <c r="F17297">
        <v>7590005</v>
      </c>
      <c r="G17297" t="s">
        <v>540</v>
      </c>
      <c r="H17297" s="21">
        <v>803.29</v>
      </c>
    </row>
    <row r="17298" spans="1:8" customFormat="1" x14ac:dyDescent="0.25">
      <c r="A17298" t="str">
        <f>"9240536"</f>
        <v>9240536</v>
      </c>
      <c r="B17298" t="s">
        <v>15371</v>
      </c>
      <c r="C17298" t="s">
        <v>49</v>
      </c>
      <c r="D17298" s="21" t="s">
        <v>34</v>
      </c>
      <c r="E17298" s="21" t="s">
        <v>35</v>
      </c>
      <c r="F17298">
        <v>8950103</v>
      </c>
      <c r="G17298" t="s">
        <v>440</v>
      </c>
      <c r="H17298" s="21">
        <v>803.29</v>
      </c>
    </row>
    <row r="17299" spans="1:8" customFormat="1" x14ac:dyDescent="0.25">
      <c r="A17299" t="str">
        <f>"726817"</f>
        <v>726817</v>
      </c>
      <c r="B17299" t="s">
        <v>1495</v>
      </c>
      <c r="C17299" t="s">
        <v>62</v>
      </c>
      <c r="D17299" s="21" t="s">
        <v>34</v>
      </c>
      <c r="E17299" s="21" t="s">
        <v>35</v>
      </c>
      <c r="F17299">
        <v>12720117</v>
      </c>
      <c r="G17299" t="s">
        <v>7788</v>
      </c>
      <c r="H17299" s="21">
        <v>803.17</v>
      </c>
    </row>
    <row r="17300" spans="1:8" customFormat="1" x14ac:dyDescent="0.25">
      <c r="A17300" t="str">
        <f>"4425965"</f>
        <v>4425965</v>
      </c>
      <c r="B17300" t="s">
        <v>2360</v>
      </c>
      <c r="C17300" t="s">
        <v>513</v>
      </c>
      <c r="D17300" s="21" t="s">
        <v>34</v>
      </c>
      <c r="E17300" s="21" t="s">
        <v>35</v>
      </c>
      <c r="F17300">
        <v>12440051</v>
      </c>
      <c r="G17300" t="s">
        <v>2191</v>
      </c>
      <c r="H17300" s="21">
        <v>803.17</v>
      </c>
    </row>
    <row r="17301" spans="1:8" customFormat="1" x14ac:dyDescent="0.25">
      <c r="A17301" t="str">
        <f>"5617242"</f>
        <v>5617242</v>
      </c>
      <c r="B17301" t="s">
        <v>2051</v>
      </c>
      <c r="C17301" t="s">
        <v>249</v>
      </c>
      <c r="D17301" s="21" t="s">
        <v>34</v>
      </c>
      <c r="E17301" s="21" t="s">
        <v>71</v>
      </c>
      <c r="F17301">
        <v>3560022</v>
      </c>
      <c r="G17301" t="s">
        <v>2547</v>
      </c>
      <c r="H17301" s="21">
        <v>803.17</v>
      </c>
    </row>
    <row r="17302" spans="1:8" customFormat="1" x14ac:dyDescent="0.25">
      <c r="A17302" t="str">
        <f>"72440"</f>
        <v>72440</v>
      </c>
      <c r="B17302" t="s">
        <v>8220</v>
      </c>
      <c r="C17302" t="s">
        <v>156</v>
      </c>
      <c r="D17302" s="21" t="s">
        <v>34</v>
      </c>
      <c r="E17302" s="21" t="s">
        <v>71</v>
      </c>
      <c r="F17302">
        <v>12720120</v>
      </c>
      <c r="G17302" t="s">
        <v>2509</v>
      </c>
      <c r="H17302" s="21">
        <v>803.17</v>
      </c>
    </row>
    <row r="17303" spans="1:8" customFormat="1" x14ac:dyDescent="0.25">
      <c r="A17303" t="str">
        <f>"823072"</f>
        <v>823072</v>
      </c>
      <c r="B17303" t="s">
        <v>27471</v>
      </c>
      <c r="C17303" t="s">
        <v>119</v>
      </c>
      <c r="D17303" s="21" t="s">
        <v>34</v>
      </c>
      <c r="E17303" s="21" t="s">
        <v>35</v>
      </c>
      <c r="F17303">
        <v>11820032</v>
      </c>
      <c r="G17303" t="s">
        <v>14258</v>
      </c>
      <c r="H17303" s="21">
        <v>803.17</v>
      </c>
    </row>
    <row r="17304" spans="1:8" customFormat="1" x14ac:dyDescent="0.25">
      <c r="A17304" t="str">
        <f>"5614952"</f>
        <v>5614952</v>
      </c>
      <c r="B17304" t="s">
        <v>13129</v>
      </c>
      <c r="C17304" t="s">
        <v>121</v>
      </c>
      <c r="D17304" s="21" t="s">
        <v>34</v>
      </c>
      <c r="E17304" s="21" t="s">
        <v>35</v>
      </c>
      <c r="F17304">
        <v>3560094</v>
      </c>
      <c r="G17304" t="s">
        <v>10313</v>
      </c>
      <c r="H17304" s="21">
        <v>803.17</v>
      </c>
    </row>
    <row r="17305" spans="1:8" customFormat="1" x14ac:dyDescent="0.25">
      <c r="A17305" t="str">
        <f>"416689"</f>
        <v>416689</v>
      </c>
      <c r="B17305" t="s">
        <v>13301</v>
      </c>
      <c r="C17305" t="s">
        <v>144</v>
      </c>
      <c r="D17305" s="21" t="s">
        <v>34</v>
      </c>
      <c r="E17305" s="21" t="s">
        <v>1089</v>
      </c>
      <c r="F17305">
        <v>4410279</v>
      </c>
      <c r="G17305" t="s">
        <v>3499</v>
      </c>
      <c r="H17305" s="21">
        <v>803.17</v>
      </c>
    </row>
    <row r="17306" spans="1:8" customFormat="1" x14ac:dyDescent="0.25">
      <c r="A17306" t="str">
        <f>"227684"</f>
        <v>227684</v>
      </c>
      <c r="B17306" t="s">
        <v>14189</v>
      </c>
      <c r="C17306" t="s">
        <v>822</v>
      </c>
      <c r="D17306" s="21" t="s">
        <v>34</v>
      </c>
      <c r="E17306" s="21" t="s">
        <v>71</v>
      </c>
      <c r="F17306">
        <v>3220139</v>
      </c>
      <c r="G17306" t="s">
        <v>27114</v>
      </c>
      <c r="H17306" s="21">
        <v>803.17</v>
      </c>
    </row>
    <row r="17307" spans="1:8" customFormat="1" x14ac:dyDescent="0.25">
      <c r="A17307" t="str">
        <f>"3329139"</f>
        <v>3329139</v>
      </c>
      <c r="B17307" t="s">
        <v>15209</v>
      </c>
      <c r="C17307" t="s">
        <v>263</v>
      </c>
      <c r="D17307" s="21" t="s">
        <v>34</v>
      </c>
      <c r="E17307" s="21" t="s">
        <v>35</v>
      </c>
      <c r="F17307">
        <v>10170073</v>
      </c>
      <c r="G17307" t="s">
        <v>9689</v>
      </c>
      <c r="H17307" s="21">
        <v>803.17</v>
      </c>
    </row>
    <row r="17308" spans="1:8" customFormat="1" x14ac:dyDescent="0.25">
      <c r="A17308" t="str">
        <f>"6315288"</f>
        <v>6315288</v>
      </c>
      <c r="B17308" t="s">
        <v>4604</v>
      </c>
      <c r="C17308" t="s">
        <v>621</v>
      </c>
      <c r="D17308" s="21" t="s">
        <v>34</v>
      </c>
      <c r="E17308" s="21" t="s">
        <v>35</v>
      </c>
      <c r="F17308">
        <v>1630289</v>
      </c>
      <c r="G17308" t="s">
        <v>8900</v>
      </c>
      <c r="H17308" s="21">
        <v>803.17</v>
      </c>
    </row>
    <row r="17309" spans="1:8" customFormat="1" x14ac:dyDescent="0.25">
      <c r="A17309" t="str">
        <f>"455108"</f>
        <v>455108</v>
      </c>
      <c r="B17309" t="s">
        <v>27472</v>
      </c>
      <c r="C17309" t="s">
        <v>547</v>
      </c>
      <c r="D17309" s="21" t="s">
        <v>34</v>
      </c>
      <c r="E17309" s="21" t="s">
        <v>254</v>
      </c>
      <c r="F17309">
        <v>4450184</v>
      </c>
      <c r="G17309" t="s">
        <v>3956</v>
      </c>
      <c r="H17309" s="21">
        <v>803.17</v>
      </c>
    </row>
    <row r="17310" spans="1:8" customFormat="1" x14ac:dyDescent="0.25">
      <c r="A17310" t="str">
        <f>"2938524"</f>
        <v>2938524</v>
      </c>
      <c r="B17310" t="s">
        <v>17414</v>
      </c>
      <c r="C17310" t="s">
        <v>65</v>
      </c>
      <c r="D17310" s="21" t="s">
        <v>34</v>
      </c>
      <c r="E17310" s="21" t="s">
        <v>35</v>
      </c>
      <c r="F17310">
        <v>3290087</v>
      </c>
      <c r="G17310" t="s">
        <v>364</v>
      </c>
      <c r="H17310" s="21">
        <v>803.17</v>
      </c>
    </row>
    <row r="17311" spans="1:8" customFormat="1" x14ac:dyDescent="0.25">
      <c r="A17311" t="str">
        <f>"2710143"</f>
        <v>2710143</v>
      </c>
      <c r="B17311" t="s">
        <v>3328</v>
      </c>
      <c r="C17311" t="s">
        <v>1100</v>
      </c>
      <c r="D17311" s="21" t="s">
        <v>34</v>
      </c>
      <c r="E17311" s="21" t="s">
        <v>35</v>
      </c>
      <c r="F17311">
        <v>10400016</v>
      </c>
      <c r="G17311" t="s">
        <v>9271</v>
      </c>
      <c r="H17311" s="21">
        <v>803.17</v>
      </c>
    </row>
    <row r="17312" spans="1:8" customFormat="1" x14ac:dyDescent="0.25">
      <c r="A17312" t="str">
        <f>"1582"</f>
        <v>1582</v>
      </c>
      <c r="B17312" t="s">
        <v>13586</v>
      </c>
      <c r="C17312" t="s">
        <v>13587</v>
      </c>
      <c r="D17312" s="21" t="s">
        <v>34</v>
      </c>
      <c r="E17312" s="21" t="s">
        <v>254</v>
      </c>
      <c r="F17312">
        <v>1150304</v>
      </c>
      <c r="G17312" t="s">
        <v>5647</v>
      </c>
      <c r="H17312" s="21">
        <v>803.17</v>
      </c>
    </row>
    <row r="17313" spans="1:8" customFormat="1" x14ac:dyDescent="0.25">
      <c r="A17313" t="str">
        <f>"635788"</f>
        <v>635788</v>
      </c>
      <c r="B17313" t="s">
        <v>13280</v>
      </c>
      <c r="C17313" t="s">
        <v>269</v>
      </c>
      <c r="D17313" s="21" t="s">
        <v>34</v>
      </c>
      <c r="E17313" s="21" t="s">
        <v>71</v>
      </c>
      <c r="F17313">
        <v>1630289</v>
      </c>
      <c r="G17313" t="s">
        <v>8900</v>
      </c>
      <c r="H17313" s="21">
        <v>803.17</v>
      </c>
    </row>
    <row r="17314" spans="1:8" customFormat="1" x14ac:dyDescent="0.25">
      <c r="A17314" t="str">
        <f>"821622"</f>
        <v>821622</v>
      </c>
      <c r="B17314" t="s">
        <v>15704</v>
      </c>
      <c r="C17314" t="s">
        <v>1119</v>
      </c>
      <c r="D17314" s="21" t="s">
        <v>34</v>
      </c>
      <c r="E17314" s="21" t="s">
        <v>71</v>
      </c>
      <c r="F17314">
        <v>11820011</v>
      </c>
      <c r="G17314" t="s">
        <v>2611</v>
      </c>
      <c r="H17314" s="21">
        <v>803.17</v>
      </c>
    </row>
    <row r="17315" spans="1:8" customFormat="1" x14ac:dyDescent="0.25">
      <c r="A17315" t="str">
        <f>"594556"</f>
        <v>594556</v>
      </c>
      <c r="B17315" t="s">
        <v>15633</v>
      </c>
      <c r="C17315" t="s">
        <v>1110</v>
      </c>
      <c r="D17315" s="21" t="s">
        <v>34</v>
      </c>
      <c r="E17315" s="21" t="s">
        <v>1089</v>
      </c>
      <c r="F17315">
        <v>2250059</v>
      </c>
      <c r="G17315" t="s">
        <v>10904</v>
      </c>
      <c r="H17315" s="21">
        <v>803.17</v>
      </c>
    </row>
    <row r="17316" spans="1:8" customFormat="1" x14ac:dyDescent="0.25">
      <c r="A17316" t="str">
        <f>"2710174"</f>
        <v>2710174</v>
      </c>
      <c r="B17316" t="s">
        <v>14164</v>
      </c>
      <c r="C17316" t="s">
        <v>171</v>
      </c>
      <c r="D17316" s="21" t="s">
        <v>34</v>
      </c>
      <c r="E17316" s="21" t="s">
        <v>254</v>
      </c>
      <c r="F17316">
        <v>9760028</v>
      </c>
      <c r="G17316" t="s">
        <v>4086</v>
      </c>
      <c r="H17316" s="21">
        <v>803.17</v>
      </c>
    </row>
    <row r="17317" spans="1:8" customFormat="1" x14ac:dyDescent="0.25">
      <c r="A17317" t="str">
        <f>"1319809"</f>
        <v>1319809</v>
      </c>
      <c r="B17317" t="s">
        <v>16790</v>
      </c>
      <c r="C17317" t="s">
        <v>55</v>
      </c>
      <c r="D17317" s="21" t="s">
        <v>34</v>
      </c>
      <c r="E17317" s="21" t="s">
        <v>35</v>
      </c>
      <c r="F17317">
        <v>13130138</v>
      </c>
      <c r="G17317" t="s">
        <v>5409</v>
      </c>
      <c r="H17317" s="21">
        <v>803.04</v>
      </c>
    </row>
    <row r="17318" spans="1:8" customFormat="1" x14ac:dyDescent="0.25">
      <c r="A17318" t="str">
        <f>"7830154"</f>
        <v>7830154</v>
      </c>
      <c r="B17318" t="s">
        <v>14117</v>
      </c>
      <c r="C17318" t="s">
        <v>469</v>
      </c>
      <c r="D17318" s="21" t="s">
        <v>34</v>
      </c>
      <c r="E17318" s="21" t="s">
        <v>35</v>
      </c>
      <c r="F17318">
        <v>8781017</v>
      </c>
      <c r="G17318" t="s">
        <v>2581</v>
      </c>
      <c r="H17318" s="21">
        <v>803.04</v>
      </c>
    </row>
    <row r="17319" spans="1:8" customFormat="1" x14ac:dyDescent="0.25">
      <c r="A17319" t="str">
        <f>"3824165"</f>
        <v>3824165</v>
      </c>
      <c r="B17319" t="s">
        <v>13410</v>
      </c>
      <c r="C17319" t="s">
        <v>263</v>
      </c>
      <c r="D17319" s="21" t="s">
        <v>34</v>
      </c>
      <c r="E17319" s="21" t="s">
        <v>71</v>
      </c>
      <c r="F17319">
        <v>1380005</v>
      </c>
      <c r="G17319" t="s">
        <v>3119</v>
      </c>
      <c r="H17319" s="21">
        <v>802.92</v>
      </c>
    </row>
    <row r="17320" spans="1:8" customFormat="1" x14ac:dyDescent="0.25">
      <c r="A17320" t="str">
        <f>"6916465"</f>
        <v>6916465</v>
      </c>
      <c r="B17320" t="s">
        <v>13505</v>
      </c>
      <c r="C17320" t="s">
        <v>60</v>
      </c>
      <c r="D17320" s="21" t="s">
        <v>34</v>
      </c>
      <c r="E17320" s="21" t="s">
        <v>35</v>
      </c>
      <c r="F17320">
        <v>1690104</v>
      </c>
      <c r="G17320" t="s">
        <v>3501</v>
      </c>
      <c r="H17320" s="21">
        <v>802.92</v>
      </c>
    </row>
    <row r="17321" spans="1:8" customFormat="1" x14ac:dyDescent="0.25">
      <c r="A17321" t="str">
        <f>"8313933"</f>
        <v>8313933</v>
      </c>
      <c r="B17321" t="s">
        <v>8800</v>
      </c>
      <c r="C17321" t="s">
        <v>151</v>
      </c>
      <c r="D17321" s="21" t="s">
        <v>34</v>
      </c>
      <c r="E17321" s="21" t="s">
        <v>35</v>
      </c>
      <c r="F17321">
        <v>13830068</v>
      </c>
      <c r="G17321" t="s">
        <v>6181</v>
      </c>
      <c r="H17321" s="21">
        <v>802.92</v>
      </c>
    </row>
    <row r="17322" spans="1:8" customFormat="1" x14ac:dyDescent="0.25">
      <c r="A17322" t="str">
        <f>"299506"</f>
        <v>299506</v>
      </c>
      <c r="B17322" t="s">
        <v>6644</v>
      </c>
      <c r="C17322" t="s">
        <v>14423</v>
      </c>
      <c r="D17322" s="21" t="s">
        <v>34</v>
      </c>
      <c r="E17322" s="21" t="s">
        <v>71</v>
      </c>
      <c r="F17322">
        <v>3290029</v>
      </c>
      <c r="G17322" t="s">
        <v>11486</v>
      </c>
      <c r="H17322" s="21">
        <v>802.92</v>
      </c>
    </row>
    <row r="17323" spans="1:8" customFormat="1" x14ac:dyDescent="0.25">
      <c r="A17323" t="str">
        <f>"9513792"</f>
        <v>9513792</v>
      </c>
      <c r="B17323" t="s">
        <v>21568</v>
      </c>
      <c r="C17323" t="s">
        <v>1914</v>
      </c>
      <c r="D17323" s="21" t="s">
        <v>34</v>
      </c>
      <c r="E17323" s="21" t="s">
        <v>254</v>
      </c>
      <c r="F17323">
        <v>8950570</v>
      </c>
      <c r="G17323" t="s">
        <v>3226</v>
      </c>
      <c r="H17323" s="21">
        <v>802.75</v>
      </c>
    </row>
    <row r="17324" spans="1:8" customFormat="1" x14ac:dyDescent="0.25">
      <c r="A17324" t="str">
        <f>"629719"</f>
        <v>629719</v>
      </c>
      <c r="B17324" t="s">
        <v>2919</v>
      </c>
      <c r="C17324" t="s">
        <v>90</v>
      </c>
      <c r="D17324" s="21" t="s">
        <v>34</v>
      </c>
      <c r="E17324" s="21" t="s">
        <v>254</v>
      </c>
      <c r="F17324">
        <v>7620062</v>
      </c>
      <c r="G17324" t="s">
        <v>12602</v>
      </c>
      <c r="H17324" s="21">
        <v>802.67</v>
      </c>
    </row>
    <row r="17325" spans="1:8" customFormat="1" x14ac:dyDescent="0.25">
      <c r="A17325" t="str">
        <f>"652560"</f>
        <v>652560</v>
      </c>
      <c r="B17325" t="s">
        <v>5487</v>
      </c>
      <c r="C17325" t="s">
        <v>109</v>
      </c>
      <c r="D17325" s="21" t="s">
        <v>34</v>
      </c>
      <c r="E17325" s="21" t="s">
        <v>71</v>
      </c>
      <c r="F17325">
        <v>11650004</v>
      </c>
      <c r="G17325" t="s">
        <v>382</v>
      </c>
      <c r="H17325" s="21">
        <v>802.67</v>
      </c>
    </row>
    <row r="17326" spans="1:8" customFormat="1" x14ac:dyDescent="0.25">
      <c r="A17326" t="str">
        <f>"5313554"</f>
        <v>5313554</v>
      </c>
      <c r="B17326" t="s">
        <v>27473</v>
      </c>
      <c r="C17326" t="s">
        <v>60</v>
      </c>
      <c r="D17326" s="21" t="s">
        <v>34</v>
      </c>
      <c r="E17326" s="21" t="s">
        <v>35</v>
      </c>
      <c r="F17326">
        <v>12538907</v>
      </c>
      <c r="G17326" t="s">
        <v>9299</v>
      </c>
      <c r="H17326" s="21">
        <v>802.67</v>
      </c>
    </row>
    <row r="17327" spans="1:8" customFormat="1" x14ac:dyDescent="0.25">
      <c r="A17327" t="str">
        <f>"2924417"</f>
        <v>2924417</v>
      </c>
      <c r="B17327" t="s">
        <v>3639</v>
      </c>
      <c r="C17327" t="s">
        <v>263</v>
      </c>
      <c r="D17327" s="21" t="s">
        <v>34</v>
      </c>
      <c r="E17327" s="21" t="s">
        <v>35</v>
      </c>
      <c r="F17327">
        <v>3290023</v>
      </c>
      <c r="G17327" t="s">
        <v>3883</v>
      </c>
      <c r="H17327" s="21">
        <v>802.67</v>
      </c>
    </row>
    <row r="17328" spans="1:8" customFormat="1" x14ac:dyDescent="0.25">
      <c r="A17328" t="str">
        <f>"444291"</f>
        <v>444291</v>
      </c>
      <c r="B17328" t="s">
        <v>12932</v>
      </c>
      <c r="C17328" t="s">
        <v>114</v>
      </c>
      <c r="D17328" s="21" t="s">
        <v>34</v>
      </c>
      <c r="E17328" s="21" t="s">
        <v>254</v>
      </c>
      <c r="F17328">
        <v>12440152</v>
      </c>
      <c r="G17328" t="s">
        <v>5481</v>
      </c>
      <c r="H17328" s="21">
        <v>802.67</v>
      </c>
    </row>
    <row r="17329" spans="1:8" customFormat="1" x14ac:dyDescent="0.25">
      <c r="A17329" t="str">
        <f>"832156"</f>
        <v>832156</v>
      </c>
      <c r="B17329" t="s">
        <v>1422</v>
      </c>
      <c r="C17329" t="s">
        <v>412</v>
      </c>
      <c r="D17329" s="21" t="s">
        <v>34</v>
      </c>
      <c r="E17329" s="21" t="s">
        <v>254</v>
      </c>
      <c r="F17329">
        <v>13830035</v>
      </c>
      <c r="G17329" t="s">
        <v>8309</v>
      </c>
      <c r="H17329" s="21">
        <v>802.67</v>
      </c>
    </row>
    <row r="17330" spans="1:8" customFormat="1" x14ac:dyDescent="0.25">
      <c r="A17330" t="str">
        <f>"5926755"</f>
        <v>5926755</v>
      </c>
      <c r="B17330" t="s">
        <v>638</v>
      </c>
      <c r="C17330" t="s">
        <v>13960</v>
      </c>
      <c r="D17330" s="21" t="s">
        <v>34</v>
      </c>
      <c r="E17330" s="21" t="s">
        <v>71</v>
      </c>
      <c r="F17330">
        <v>7590153</v>
      </c>
      <c r="G17330" t="s">
        <v>9484</v>
      </c>
      <c r="H17330" s="21">
        <v>802.67</v>
      </c>
    </row>
    <row r="17331" spans="1:8" customFormat="1" x14ac:dyDescent="0.25">
      <c r="A17331" t="str">
        <f>"62555"</f>
        <v>62555</v>
      </c>
      <c r="B17331" t="s">
        <v>14194</v>
      </c>
      <c r="C17331" t="s">
        <v>253</v>
      </c>
      <c r="D17331" s="21" t="s">
        <v>34</v>
      </c>
      <c r="E17331" s="21" t="s">
        <v>1089</v>
      </c>
      <c r="F17331">
        <v>7620046</v>
      </c>
      <c r="G17331" t="s">
        <v>242</v>
      </c>
      <c r="H17331" s="21">
        <v>802.67</v>
      </c>
    </row>
    <row r="17332" spans="1:8" customFormat="1" x14ac:dyDescent="0.25">
      <c r="A17332" t="str">
        <f>"6217877"</f>
        <v>6217877</v>
      </c>
      <c r="B17332" t="s">
        <v>14731</v>
      </c>
      <c r="C17332" t="s">
        <v>498</v>
      </c>
      <c r="D17332" s="21" t="s">
        <v>34</v>
      </c>
      <c r="E17332" s="21" t="s">
        <v>254</v>
      </c>
      <c r="F17332">
        <v>7620162</v>
      </c>
      <c r="G17332" t="s">
        <v>3134</v>
      </c>
      <c r="H17332" s="21">
        <v>802.67</v>
      </c>
    </row>
    <row r="17333" spans="1:8" customFormat="1" x14ac:dyDescent="0.25">
      <c r="A17333" t="str">
        <f>"866236"</f>
        <v>866236</v>
      </c>
      <c r="B17333" t="s">
        <v>27474</v>
      </c>
      <c r="C17333" t="s">
        <v>3010</v>
      </c>
      <c r="D17333" s="21" t="s">
        <v>34</v>
      </c>
      <c r="E17333" s="21" t="s">
        <v>71</v>
      </c>
      <c r="F17333">
        <v>10860017</v>
      </c>
      <c r="G17333" t="s">
        <v>2439</v>
      </c>
      <c r="H17333" s="21">
        <v>802.67</v>
      </c>
    </row>
    <row r="17334" spans="1:8" customFormat="1" x14ac:dyDescent="0.25">
      <c r="A17334" t="str">
        <f>"547584"</f>
        <v>547584</v>
      </c>
      <c r="B17334" t="s">
        <v>1094</v>
      </c>
      <c r="C17334" t="s">
        <v>415</v>
      </c>
      <c r="D17334" s="21" t="s">
        <v>34</v>
      </c>
      <c r="E17334" s="21" t="s">
        <v>71</v>
      </c>
      <c r="F17334">
        <v>6540014</v>
      </c>
      <c r="G17334" t="s">
        <v>1483</v>
      </c>
      <c r="H17334" s="21">
        <v>802.67</v>
      </c>
    </row>
    <row r="17335" spans="1:8" customFormat="1" x14ac:dyDescent="0.25">
      <c r="A17335" t="str">
        <f>"956055"</f>
        <v>956055</v>
      </c>
      <c r="B17335" t="s">
        <v>10310</v>
      </c>
      <c r="C17335" t="s">
        <v>263</v>
      </c>
      <c r="D17335" s="21" t="s">
        <v>34</v>
      </c>
      <c r="E17335" s="21" t="s">
        <v>254</v>
      </c>
      <c r="F17335">
        <v>8950103</v>
      </c>
      <c r="G17335" t="s">
        <v>440</v>
      </c>
      <c r="H17335" s="21">
        <v>802.67</v>
      </c>
    </row>
    <row r="17336" spans="1:8" customFormat="1" x14ac:dyDescent="0.25">
      <c r="A17336" t="str">
        <f>"9418563"</f>
        <v>9418563</v>
      </c>
      <c r="B17336" t="s">
        <v>14191</v>
      </c>
      <c r="C17336" t="s">
        <v>249</v>
      </c>
      <c r="D17336" s="21" t="s">
        <v>34</v>
      </c>
      <c r="E17336" s="21" t="s">
        <v>254</v>
      </c>
      <c r="F17336">
        <v>8771029</v>
      </c>
      <c r="G17336" t="s">
        <v>4447</v>
      </c>
      <c r="H17336" s="21">
        <v>802.67</v>
      </c>
    </row>
    <row r="17337" spans="1:8" customFormat="1" x14ac:dyDescent="0.25">
      <c r="A17337" t="str">
        <f>"8525559"</f>
        <v>8525559</v>
      </c>
      <c r="B17337" t="s">
        <v>15480</v>
      </c>
      <c r="C17337" t="s">
        <v>934</v>
      </c>
      <c r="D17337" s="21" t="s">
        <v>34</v>
      </c>
      <c r="E17337" s="21" t="s">
        <v>35</v>
      </c>
      <c r="F17337">
        <v>12850107</v>
      </c>
      <c r="G17337" t="s">
        <v>12181</v>
      </c>
      <c r="H17337" s="21">
        <v>802.67</v>
      </c>
    </row>
    <row r="17338" spans="1:8" customFormat="1" x14ac:dyDescent="0.25">
      <c r="A17338" t="str">
        <f>"256346"</f>
        <v>256346</v>
      </c>
      <c r="B17338" t="s">
        <v>13571</v>
      </c>
      <c r="C17338" t="s">
        <v>4842</v>
      </c>
      <c r="D17338" s="21" t="s">
        <v>34</v>
      </c>
      <c r="E17338" s="21" t="s">
        <v>1089</v>
      </c>
      <c r="F17338">
        <v>2250066</v>
      </c>
      <c r="G17338" t="s">
        <v>5321</v>
      </c>
      <c r="H17338" s="21">
        <v>802.67</v>
      </c>
    </row>
    <row r="17339" spans="1:8" customFormat="1" x14ac:dyDescent="0.25">
      <c r="A17339" t="str">
        <f>"474219"</f>
        <v>474219</v>
      </c>
      <c r="B17339" t="s">
        <v>7498</v>
      </c>
      <c r="C17339" t="s">
        <v>3073</v>
      </c>
      <c r="D17339" s="21" t="s">
        <v>34</v>
      </c>
      <c r="E17339" s="21" t="s">
        <v>254</v>
      </c>
      <c r="F17339">
        <v>3290255</v>
      </c>
      <c r="G17339" t="s">
        <v>2852</v>
      </c>
      <c r="H17339" s="21">
        <v>802.67</v>
      </c>
    </row>
    <row r="17340" spans="1:8" customFormat="1" x14ac:dyDescent="0.25">
      <c r="A17340" t="str">
        <f>"5969045"</f>
        <v>5969045</v>
      </c>
      <c r="B17340" t="s">
        <v>8239</v>
      </c>
      <c r="C17340" t="s">
        <v>926</v>
      </c>
      <c r="D17340" s="21" t="s">
        <v>34</v>
      </c>
      <c r="E17340" s="21" t="s">
        <v>35</v>
      </c>
      <c r="F17340">
        <v>7590231</v>
      </c>
      <c r="G17340" t="s">
        <v>207</v>
      </c>
      <c r="H17340" s="21">
        <v>802.67</v>
      </c>
    </row>
    <row r="17341" spans="1:8" customFormat="1" x14ac:dyDescent="0.25">
      <c r="A17341" t="str">
        <f>"3721259"</f>
        <v>3721259</v>
      </c>
      <c r="B17341" t="s">
        <v>11436</v>
      </c>
      <c r="C17341" t="s">
        <v>462</v>
      </c>
      <c r="D17341" s="21" t="s">
        <v>34</v>
      </c>
      <c r="E17341" s="21" t="s">
        <v>35</v>
      </c>
      <c r="F17341">
        <v>4370698</v>
      </c>
      <c r="G17341" t="s">
        <v>12547</v>
      </c>
      <c r="H17341" s="21">
        <v>802.67</v>
      </c>
    </row>
    <row r="17342" spans="1:8" customFormat="1" x14ac:dyDescent="0.25">
      <c r="A17342" t="str">
        <f>"519175"</f>
        <v>519175</v>
      </c>
      <c r="B17342" t="s">
        <v>13366</v>
      </c>
      <c r="C17342" t="s">
        <v>169</v>
      </c>
      <c r="D17342" s="21" t="s">
        <v>34</v>
      </c>
      <c r="E17342" s="21" t="s">
        <v>71</v>
      </c>
      <c r="F17342">
        <v>6510018</v>
      </c>
      <c r="G17342" t="s">
        <v>3055</v>
      </c>
      <c r="H17342" s="21">
        <v>802.67</v>
      </c>
    </row>
    <row r="17343" spans="1:8" customFormat="1" x14ac:dyDescent="0.25">
      <c r="A17343" t="str">
        <f>"67373"</f>
        <v>67373</v>
      </c>
      <c r="B17343" t="s">
        <v>4355</v>
      </c>
      <c r="C17343" t="s">
        <v>40</v>
      </c>
      <c r="D17343" s="21" t="s">
        <v>34</v>
      </c>
      <c r="E17343" s="21" t="s">
        <v>254</v>
      </c>
      <c r="F17343">
        <v>6670002</v>
      </c>
      <c r="G17343" t="s">
        <v>5740</v>
      </c>
      <c r="H17343" s="21">
        <v>802.67</v>
      </c>
    </row>
    <row r="17344" spans="1:8" customFormat="1" x14ac:dyDescent="0.25">
      <c r="A17344" t="str">
        <f>"4418401"</f>
        <v>4418401</v>
      </c>
      <c r="B17344" t="s">
        <v>3146</v>
      </c>
      <c r="C17344" t="s">
        <v>124</v>
      </c>
      <c r="D17344" s="21" t="s">
        <v>34</v>
      </c>
      <c r="E17344" s="21" t="s">
        <v>71</v>
      </c>
      <c r="F17344">
        <v>3350217</v>
      </c>
      <c r="G17344" t="s">
        <v>6797</v>
      </c>
      <c r="H17344" s="21">
        <v>802.67</v>
      </c>
    </row>
    <row r="17345" spans="1:8" customFormat="1" x14ac:dyDescent="0.25">
      <c r="A17345" t="str">
        <f>"5961287"</f>
        <v>5961287</v>
      </c>
      <c r="B17345" t="s">
        <v>14429</v>
      </c>
      <c r="C17345" t="s">
        <v>269</v>
      </c>
      <c r="D17345" s="21" t="s">
        <v>34</v>
      </c>
      <c r="E17345" s="21" t="s">
        <v>35</v>
      </c>
      <c r="F17345">
        <v>7590033</v>
      </c>
      <c r="G17345" t="s">
        <v>6329</v>
      </c>
      <c r="H17345" s="21">
        <v>802.67</v>
      </c>
    </row>
    <row r="17346" spans="1:8" customFormat="1" x14ac:dyDescent="0.25">
      <c r="A17346" t="str">
        <f>"4517679"</f>
        <v>4517679</v>
      </c>
      <c r="B17346" t="s">
        <v>4014</v>
      </c>
      <c r="C17346" t="s">
        <v>209</v>
      </c>
      <c r="D17346" s="21" t="s">
        <v>34</v>
      </c>
      <c r="E17346" s="21" t="s">
        <v>71</v>
      </c>
      <c r="F17346">
        <v>4450184</v>
      </c>
      <c r="G17346" t="s">
        <v>3956</v>
      </c>
      <c r="H17346" s="21">
        <v>802.42</v>
      </c>
    </row>
    <row r="17347" spans="1:8" customFormat="1" x14ac:dyDescent="0.25">
      <c r="A17347" t="str">
        <f>"2928816"</f>
        <v>2928816</v>
      </c>
      <c r="B17347" t="s">
        <v>15527</v>
      </c>
      <c r="C17347" t="s">
        <v>1665</v>
      </c>
      <c r="D17347" s="21" t="s">
        <v>34</v>
      </c>
      <c r="E17347" s="21" t="s">
        <v>254</v>
      </c>
      <c r="F17347">
        <v>3290221</v>
      </c>
      <c r="G17347" t="s">
        <v>3544</v>
      </c>
      <c r="H17347" s="21">
        <v>802.42</v>
      </c>
    </row>
    <row r="17348" spans="1:8" customFormat="1" x14ac:dyDescent="0.25">
      <c r="A17348" t="str">
        <f>"848405"</f>
        <v>848405</v>
      </c>
      <c r="B17348" t="s">
        <v>18446</v>
      </c>
      <c r="C17348" t="s">
        <v>55</v>
      </c>
      <c r="D17348" s="21" t="s">
        <v>34</v>
      </c>
      <c r="E17348" s="21" t="s">
        <v>71</v>
      </c>
      <c r="F17348">
        <v>13840058</v>
      </c>
      <c r="G17348" t="s">
        <v>7032</v>
      </c>
      <c r="H17348" s="21">
        <v>802.42</v>
      </c>
    </row>
    <row r="17349" spans="1:8" customFormat="1" x14ac:dyDescent="0.25">
      <c r="A17349" t="str">
        <f>"3013262"</f>
        <v>3013262</v>
      </c>
      <c r="B17349" t="s">
        <v>17190</v>
      </c>
      <c r="C17349" t="s">
        <v>8106</v>
      </c>
      <c r="D17349" s="21" t="s">
        <v>34</v>
      </c>
      <c r="E17349" s="21" t="s">
        <v>35</v>
      </c>
      <c r="F17349">
        <v>11300003</v>
      </c>
      <c r="G17349" t="s">
        <v>7949</v>
      </c>
      <c r="H17349" s="21">
        <v>802.42</v>
      </c>
    </row>
    <row r="17350" spans="1:8" customFormat="1" x14ac:dyDescent="0.25">
      <c r="A17350" t="str">
        <f>"648115"</f>
        <v>648115</v>
      </c>
      <c r="B17350" t="s">
        <v>946</v>
      </c>
      <c r="C17350" t="s">
        <v>169</v>
      </c>
      <c r="D17350" s="21" t="s">
        <v>34</v>
      </c>
      <c r="E17350" s="21" t="s">
        <v>35</v>
      </c>
      <c r="F17350">
        <v>10640015</v>
      </c>
      <c r="G17350" t="s">
        <v>10196</v>
      </c>
      <c r="H17350" s="21">
        <v>802.29</v>
      </c>
    </row>
    <row r="17351" spans="1:8" customFormat="1" x14ac:dyDescent="0.25">
      <c r="A17351" t="str">
        <f>"7613420"</f>
        <v>7613420</v>
      </c>
      <c r="B17351" t="s">
        <v>14637</v>
      </c>
      <c r="C17351" t="s">
        <v>269</v>
      </c>
      <c r="D17351" s="21" t="s">
        <v>34</v>
      </c>
      <c r="E17351" s="21" t="s">
        <v>35</v>
      </c>
      <c r="F17351">
        <v>9760306</v>
      </c>
      <c r="G17351" t="s">
        <v>7890</v>
      </c>
      <c r="H17351" s="21">
        <v>802.17</v>
      </c>
    </row>
    <row r="17352" spans="1:8" customFormat="1" x14ac:dyDescent="0.25">
      <c r="A17352" t="str">
        <f>"5412679"</f>
        <v>5412679</v>
      </c>
      <c r="B17352" t="s">
        <v>13980</v>
      </c>
      <c r="C17352" t="s">
        <v>169</v>
      </c>
      <c r="D17352" s="21" t="s">
        <v>34</v>
      </c>
      <c r="E17352" s="21" t="s">
        <v>71</v>
      </c>
      <c r="F17352">
        <v>6540097</v>
      </c>
      <c r="G17352" t="s">
        <v>12434</v>
      </c>
      <c r="H17352" s="21">
        <v>802.17</v>
      </c>
    </row>
    <row r="17353" spans="1:8" customFormat="1" x14ac:dyDescent="0.25">
      <c r="A17353" t="str">
        <f>"544782"</f>
        <v>544782</v>
      </c>
      <c r="B17353" t="s">
        <v>205</v>
      </c>
      <c r="C17353" t="s">
        <v>498</v>
      </c>
      <c r="D17353" s="21" t="s">
        <v>34</v>
      </c>
      <c r="E17353" s="21" t="s">
        <v>254</v>
      </c>
      <c r="F17353">
        <v>6540157</v>
      </c>
      <c r="G17353" t="s">
        <v>10647</v>
      </c>
      <c r="H17353" s="21">
        <v>802.17</v>
      </c>
    </row>
    <row r="17354" spans="1:8" customFormat="1" x14ac:dyDescent="0.25">
      <c r="A17354" t="str">
        <f>"536506"</f>
        <v>536506</v>
      </c>
      <c r="B17354" t="s">
        <v>8770</v>
      </c>
      <c r="C17354" t="s">
        <v>13033</v>
      </c>
      <c r="D17354" s="21" t="s">
        <v>34</v>
      </c>
      <c r="E17354" s="21" t="s">
        <v>254</v>
      </c>
      <c r="F17354">
        <v>12530046</v>
      </c>
      <c r="G17354" t="s">
        <v>10191</v>
      </c>
      <c r="H17354" s="21">
        <v>802.17</v>
      </c>
    </row>
    <row r="17355" spans="1:8" customFormat="1" x14ac:dyDescent="0.25">
      <c r="A17355" t="str">
        <f>"3722541"</f>
        <v>3722541</v>
      </c>
      <c r="B17355" t="s">
        <v>9940</v>
      </c>
      <c r="C17355" t="s">
        <v>60</v>
      </c>
      <c r="D17355" s="21" t="s">
        <v>34</v>
      </c>
      <c r="E17355" s="21" t="s">
        <v>35</v>
      </c>
      <c r="F17355">
        <v>4370709</v>
      </c>
      <c r="G17355" t="s">
        <v>5714</v>
      </c>
      <c r="H17355" s="21">
        <v>802.17</v>
      </c>
    </row>
    <row r="17356" spans="1:8" customFormat="1" x14ac:dyDescent="0.25">
      <c r="A17356" t="str">
        <f>"3516221"</f>
        <v>3516221</v>
      </c>
      <c r="B17356" t="s">
        <v>946</v>
      </c>
      <c r="C17356" t="s">
        <v>55</v>
      </c>
      <c r="D17356" s="21" t="s">
        <v>34</v>
      </c>
      <c r="E17356" s="21" t="s">
        <v>254</v>
      </c>
      <c r="F17356">
        <v>3350092</v>
      </c>
      <c r="G17356" t="s">
        <v>26881</v>
      </c>
      <c r="H17356" s="21">
        <v>802.17</v>
      </c>
    </row>
    <row r="17357" spans="1:8" customFormat="1" x14ac:dyDescent="0.25">
      <c r="A17357" t="str">
        <f>"895934"</f>
        <v>895934</v>
      </c>
      <c r="B17357" t="s">
        <v>14235</v>
      </c>
      <c r="C17357" t="s">
        <v>2520</v>
      </c>
      <c r="D17357" s="21" t="s">
        <v>34</v>
      </c>
      <c r="E17357" s="21" t="s">
        <v>35</v>
      </c>
      <c r="F17357">
        <v>2890050</v>
      </c>
      <c r="G17357" t="s">
        <v>14236</v>
      </c>
      <c r="H17357" s="21">
        <v>802.17</v>
      </c>
    </row>
    <row r="17358" spans="1:8" customFormat="1" x14ac:dyDescent="0.25">
      <c r="A17358" t="str">
        <f>"8516326"</f>
        <v>8516326</v>
      </c>
      <c r="B17358" t="s">
        <v>14502</v>
      </c>
      <c r="C17358" t="s">
        <v>486</v>
      </c>
      <c r="D17358" s="21" t="s">
        <v>34</v>
      </c>
      <c r="E17358" s="21" t="s">
        <v>35</v>
      </c>
      <c r="F17358">
        <v>12850153</v>
      </c>
      <c r="G17358" t="s">
        <v>5794</v>
      </c>
      <c r="H17358" s="21">
        <v>802.17</v>
      </c>
    </row>
    <row r="17359" spans="1:8" customFormat="1" x14ac:dyDescent="0.25">
      <c r="A17359" t="str">
        <f>"5717214"</f>
        <v>5717214</v>
      </c>
      <c r="B17359" t="s">
        <v>13752</v>
      </c>
      <c r="C17359" t="s">
        <v>4623</v>
      </c>
      <c r="D17359" s="21" t="s">
        <v>34</v>
      </c>
      <c r="E17359" s="21" t="s">
        <v>71</v>
      </c>
      <c r="F17359">
        <v>6570075</v>
      </c>
      <c r="G17359" t="s">
        <v>3008</v>
      </c>
      <c r="H17359" s="21">
        <v>802.17</v>
      </c>
    </row>
    <row r="17360" spans="1:8" customFormat="1" x14ac:dyDescent="0.25">
      <c r="A17360" t="str">
        <f>"17821"</f>
        <v>17821</v>
      </c>
      <c r="B17360" t="s">
        <v>2973</v>
      </c>
      <c r="C17360" t="s">
        <v>1588</v>
      </c>
      <c r="D17360" s="21" t="s">
        <v>34</v>
      </c>
      <c r="E17360" s="21" t="s">
        <v>254</v>
      </c>
      <c r="F17360">
        <v>10160044</v>
      </c>
      <c r="G17360" t="s">
        <v>4941</v>
      </c>
      <c r="H17360" s="21">
        <v>802.17</v>
      </c>
    </row>
    <row r="17361" spans="1:8" customFormat="1" x14ac:dyDescent="0.25">
      <c r="A17361" t="str">
        <f>"3412652"</f>
        <v>3412652</v>
      </c>
      <c r="B17361" t="s">
        <v>14186</v>
      </c>
      <c r="C17361" t="s">
        <v>412</v>
      </c>
      <c r="D17361" s="21" t="s">
        <v>34</v>
      </c>
      <c r="E17361" s="21" t="s">
        <v>71</v>
      </c>
      <c r="F17361">
        <v>6540019</v>
      </c>
      <c r="G17361" t="s">
        <v>6413</v>
      </c>
      <c r="H17361" s="21">
        <v>802.04</v>
      </c>
    </row>
    <row r="17362" spans="1:8" customFormat="1" x14ac:dyDescent="0.25">
      <c r="A17362" t="str">
        <f>"7520201"</f>
        <v>7520201</v>
      </c>
      <c r="B17362" t="s">
        <v>17225</v>
      </c>
      <c r="C17362" t="s">
        <v>631</v>
      </c>
      <c r="D17362" s="21" t="s">
        <v>34</v>
      </c>
      <c r="E17362" s="21" t="s">
        <v>35</v>
      </c>
      <c r="F17362">
        <v>8751163</v>
      </c>
      <c r="G17362" t="s">
        <v>80</v>
      </c>
      <c r="H17362" s="21">
        <v>802.04</v>
      </c>
    </row>
    <row r="17363" spans="1:8" customFormat="1" x14ac:dyDescent="0.25">
      <c r="A17363" t="str">
        <f>"6310960"</f>
        <v>6310960</v>
      </c>
      <c r="B17363" t="s">
        <v>697</v>
      </c>
      <c r="C17363" t="s">
        <v>169</v>
      </c>
      <c r="D17363" s="21" t="s">
        <v>34</v>
      </c>
      <c r="E17363" s="21" t="s">
        <v>71</v>
      </c>
      <c r="F17363">
        <v>1630185</v>
      </c>
      <c r="G17363" t="s">
        <v>858</v>
      </c>
      <c r="H17363" s="21">
        <v>802.04</v>
      </c>
    </row>
    <row r="17364" spans="1:8" customFormat="1" x14ac:dyDescent="0.25">
      <c r="A17364" t="str">
        <f>"947034"</f>
        <v>947034</v>
      </c>
      <c r="B17364" t="s">
        <v>15752</v>
      </c>
      <c r="C17364" t="s">
        <v>15753</v>
      </c>
      <c r="D17364" s="21" t="s">
        <v>34</v>
      </c>
      <c r="E17364" s="21" t="s">
        <v>35</v>
      </c>
      <c r="F17364">
        <v>8940070</v>
      </c>
      <c r="G17364" t="s">
        <v>2320</v>
      </c>
      <c r="H17364" s="21">
        <v>802.04</v>
      </c>
    </row>
    <row r="17365" spans="1:8" customFormat="1" x14ac:dyDescent="0.25">
      <c r="A17365" t="str">
        <f>"288305"</f>
        <v>288305</v>
      </c>
      <c r="B17365" t="s">
        <v>1456</v>
      </c>
      <c r="C17365" t="s">
        <v>33</v>
      </c>
      <c r="D17365" s="21" t="s">
        <v>34</v>
      </c>
      <c r="E17365" s="21" t="s">
        <v>71</v>
      </c>
      <c r="F17365">
        <v>4280681</v>
      </c>
      <c r="G17365" t="s">
        <v>1656</v>
      </c>
      <c r="H17365" s="21">
        <v>801.92</v>
      </c>
    </row>
    <row r="17366" spans="1:8" customFormat="1" x14ac:dyDescent="0.25">
      <c r="A17366" t="str">
        <f>"9753802"</f>
        <v>9753802</v>
      </c>
      <c r="B17366" t="s">
        <v>14134</v>
      </c>
      <c r="C17366" t="s">
        <v>1705</v>
      </c>
      <c r="D17366" s="21" t="s">
        <v>34</v>
      </c>
      <c r="E17366" s="21" t="s">
        <v>71</v>
      </c>
      <c r="F17366" t="s">
        <v>10239</v>
      </c>
      <c r="G17366" t="s">
        <v>10240</v>
      </c>
      <c r="H17366" s="21">
        <v>801.92</v>
      </c>
    </row>
    <row r="17367" spans="1:8" customFormat="1" x14ac:dyDescent="0.25">
      <c r="A17367" t="str">
        <f>"495032"</f>
        <v>495032</v>
      </c>
      <c r="B17367" t="s">
        <v>13597</v>
      </c>
      <c r="C17367" t="s">
        <v>7923</v>
      </c>
      <c r="D17367" s="21" t="s">
        <v>34</v>
      </c>
      <c r="E17367" s="21" t="s">
        <v>254</v>
      </c>
      <c r="F17367">
        <v>12490092</v>
      </c>
      <c r="G17367" t="s">
        <v>1854</v>
      </c>
      <c r="H17367" s="21">
        <v>801.92</v>
      </c>
    </row>
    <row r="17368" spans="1:8" customFormat="1" x14ac:dyDescent="0.25">
      <c r="A17368" t="str">
        <f>"3723225"</f>
        <v>3723225</v>
      </c>
      <c r="B17368" t="s">
        <v>13294</v>
      </c>
      <c r="C17368" t="s">
        <v>9895</v>
      </c>
      <c r="D17368" s="21" t="s">
        <v>34</v>
      </c>
      <c r="E17368" s="21" t="s">
        <v>35</v>
      </c>
      <c r="F17368">
        <v>4370102</v>
      </c>
      <c r="G17368" t="s">
        <v>10707</v>
      </c>
      <c r="H17368" s="21">
        <v>801.79</v>
      </c>
    </row>
    <row r="17369" spans="1:8" customFormat="1" x14ac:dyDescent="0.25">
      <c r="A17369" t="str">
        <f>"734590"</f>
        <v>734590</v>
      </c>
      <c r="B17369" t="s">
        <v>9696</v>
      </c>
      <c r="C17369" t="s">
        <v>288</v>
      </c>
      <c r="D17369" s="21" t="s">
        <v>34</v>
      </c>
      <c r="E17369" s="21" t="s">
        <v>71</v>
      </c>
      <c r="F17369">
        <v>1730076</v>
      </c>
      <c r="G17369" t="s">
        <v>936</v>
      </c>
      <c r="H17369" s="21">
        <v>801.79</v>
      </c>
    </row>
    <row r="17370" spans="1:8" customFormat="1" x14ac:dyDescent="0.25">
      <c r="A17370" t="str">
        <f>"7620686"</f>
        <v>7620686</v>
      </c>
      <c r="B17370" t="s">
        <v>14498</v>
      </c>
      <c r="C17370" t="s">
        <v>60</v>
      </c>
      <c r="D17370" s="21" t="s">
        <v>34</v>
      </c>
      <c r="E17370" s="21" t="s">
        <v>35</v>
      </c>
      <c r="F17370">
        <v>9760315</v>
      </c>
      <c r="G17370" t="s">
        <v>12345</v>
      </c>
      <c r="H17370" s="21">
        <v>801.67</v>
      </c>
    </row>
    <row r="17371" spans="1:8" customFormat="1" x14ac:dyDescent="0.25">
      <c r="A17371" t="str">
        <f>"774240"</f>
        <v>774240</v>
      </c>
      <c r="B17371" t="s">
        <v>14282</v>
      </c>
      <c r="C17371" t="s">
        <v>415</v>
      </c>
      <c r="D17371" s="21" t="s">
        <v>34</v>
      </c>
      <c r="E17371" s="21" t="s">
        <v>71</v>
      </c>
      <c r="F17371">
        <v>8771315</v>
      </c>
      <c r="G17371" t="s">
        <v>7070</v>
      </c>
      <c r="H17371" s="21">
        <v>801.67</v>
      </c>
    </row>
    <row r="17372" spans="1:8" customFormat="1" x14ac:dyDescent="0.25">
      <c r="A17372" t="str">
        <f>"027288"</f>
        <v>027288</v>
      </c>
      <c r="B17372" t="s">
        <v>14175</v>
      </c>
      <c r="C17372" t="s">
        <v>60</v>
      </c>
      <c r="D17372" s="21" t="s">
        <v>34</v>
      </c>
      <c r="E17372" s="21" t="s">
        <v>35</v>
      </c>
      <c r="F17372">
        <v>7020044</v>
      </c>
      <c r="G17372" t="s">
        <v>4690</v>
      </c>
      <c r="H17372" s="21">
        <v>801.67</v>
      </c>
    </row>
    <row r="17373" spans="1:8" customFormat="1" x14ac:dyDescent="0.25">
      <c r="A17373" t="str">
        <f>"7859465"</f>
        <v>7859465</v>
      </c>
      <c r="B17373" t="s">
        <v>9302</v>
      </c>
      <c r="C17373" t="s">
        <v>1841</v>
      </c>
      <c r="D17373" s="21" t="s">
        <v>34</v>
      </c>
      <c r="E17373" s="21" t="s">
        <v>254</v>
      </c>
      <c r="F17373">
        <v>8921458</v>
      </c>
      <c r="G17373" t="s">
        <v>162</v>
      </c>
      <c r="H17373" s="21">
        <v>801.67</v>
      </c>
    </row>
    <row r="17374" spans="1:8" customFormat="1" x14ac:dyDescent="0.25">
      <c r="A17374" t="str">
        <f>"9D33"</f>
        <v>9D33</v>
      </c>
      <c r="B17374" t="s">
        <v>4368</v>
      </c>
      <c r="C17374" t="s">
        <v>547</v>
      </c>
      <c r="D17374" s="21" t="s">
        <v>34</v>
      </c>
      <c r="E17374" s="21" t="s">
        <v>1089</v>
      </c>
      <c r="F17374" t="s">
        <v>1923</v>
      </c>
      <c r="G17374" t="s">
        <v>1924</v>
      </c>
      <c r="H17374" s="21">
        <v>801.67</v>
      </c>
    </row>
    <row r="17375" spans="1:8" customFormat="1" x14ac:dyDescent="0.25">
      <c r="A17375" t="str">
        <f>"6714429"</f>
        <v>6714429</v>
      </c>
      <c r="B17375" t="s">
        <v>8553</v>
      </c>
      <c r="C17375" t="s">
        <v>631</v>
      </c>
      <c r="D17375" s="21" t="s">
        <v>34</v>
      </c>
      <c r="E17375" s="21" t="s">
        <v>35</v>
      </c>
      <c r="F17375">
        <v>6670011</v>
      </c>
      <c r="G17375" t="s">
        <v>5493</v>
      </c>
      <c r="H17375" s="21">
        <v>801.67</v>
      </c>
    </row>
    <row r="17376" spans="1:8" customFormat="1" x14ac:dyDescent="0.25">
      <c r="A17376" t="str">
        <f>"6939640"</f>
        <v>6939640</v>
      </c>
      <c r="B17376" t="s">
        <v>15584</v>
      </c>
      <c r="C17376" t="s">
        <v>2520</v>
      </c>
      <c r="D17376" s="21" t="s">
        <v>34</v>
      </c>
      <c r="E17376" s="21" t="s">
        <v>35</v>
      </c>
      <c r="F17376">
        <v>1690197</v>
      </c>
      <c r="G17376" t="s">
        <v>26849</v>
      </c>
      <c r="H17376" s="21">
        <v>801.67</v>
      </c>
    </row>
    <row r="17377" spans="1:8" customFormat="1" x14ac:dyDescent="0.25">
      <c r="A17377" t="str">
        <f>"91679"</f>
        <v>91679</v>
      </c>
      <c r="B17377" t="s">
        <v>13824</v>
      </c>
      <c r="C17377" t="s">
        <v>462</v>
      </c>
      <c r="D17377" s="21" t="s">
        <v>34</v>
      </c>
      <c r="E17377" s="21" t="s">
        <v>71</v>
      </c>
      <c r="F17377">
        <v>8910402</v>
      </c>
      <c r="G17377" t="s">
        <v>1371</v>
      </c>
      <c r="H17377" s="21">
        <v>801.67</v>
      </c>
    </row>
    <row r="17378" spans="1:8" customFormat="1" x14ac:dyDescent="0.25">
      <c r="A17378" t="str">
        <f>"197827"</f>
        <v>197827</v>
      </c>
      <c r="B17378" t="s">
        <v>1974</v>
      </c>
      <c r="C17378" t="s">
        <v>169</v>
      </c>
      <c r="D17378" s="21" t="s">
        <v>34</v>
      </c>
      <c r="E17378" s="21" t="s">
        <v>35</v>
      </c>
      <c r="F17378">
        <v>10190075</v>
      </c>
      <c r="G17378" t="s">
        <v>14431</v>
      </c>
      <c r="H17378" s="21">
        <v>801.67</v>
      </c>
    </row>
    <row r="17379" spans="1:8" customFormat="1" x14ac:dyDescent="0.25">
      <c r="A17379" t="str">
        <f>"4426879"</f>
        <v>4426879</v>
      </c>
      <c r="B17379" t="s">
        <v>5098</v>
      </c>
      <c r="C17379" t="s">
        <v>204</v>
      </c>
      <c r="D17379" s="21" t="s">
        <v>34</v>
      </c>
      <c r="E17379" s="21" t="s">
        <v>35</v>
      </c>
      <c r="F17379">
        <v>12440092</v>
      </c>
      <c r="G17379" t="s">
        <v>8475</v>
      </c>
      <c r="H17379" s="21">
        <v>801.67</v>
      </c>
    </row>
    <row r="17380" spans="1:8" customFormat="1" x14ac:dyDescent="0.25">
      <c r="A17380" t="str">
        <f>"5942156"</f>
        <v>5942156</v>
      </c>
      <c r="B17380" t="s">
        <v>16226</v>
      </c>
      <c r="C17380" t="s">
        <v>4092</v>
      </c>
      <c r="D17380" s="21" t="s">
        <v>34</v>
      </c>
      <c r="E17380" s="21" t="s">
        <v>71</v>
      </c>
      <c r="F17380">
        <v>7590068</v>
      </c>
      <c r="G17380" t="s">
        <v>1005</v>
      </c>
      <c r="H17380" s="21">
        <v>801.67</v>
      </c>
    </row>
    <row r="17381" spans="1:8" customFormat="1" x14ac:dyDescent="0.25">
      <c r="A17381" t="str">
        <f>"168661"</f>
        <v>168661</v>
      </c>
      <c r="B17381" t="s">
        <v>23813</v>
      </c>
      <c r="C17381" t="s">
        <v>27475</v>
      </c>
      <c r="D17381" s="21" t="s">
        <v>34</v>
      </c>
      <c r="E17381" s="21" t="s">
        <v>35</v>
      </c>
      <c r="F17381">
        <v>10160003</v>
      </c>
      <c r="G17381" t="s">
        <v>4692</v>
      </c>
      <c r="H17381" s="21">
        <v>801.67</v>
      </c>
    </row>
    <row r="17382" spans="1:8" customFormat="1" x14ac:dyDescent="0.25">
      <c r="A17382" t="str">
        <f>"492236"</f>
        <v>492236</v>
      </c>
      <c r="B17382" t="s">
        <v>12500</v>
      </c>
      <c r="C17382" t="s">
        <v>253</v>
      </c>
      <c r="D17382" s="21" t="s">
        <v>34</v>
      </c>
      <c r="E17382" s="21" t="s">
        <v>1089</v>
      </c>
      <c r="F17382">
        <v>12490098</v>
      </c>
      <c r="G17382" t="s">
        <v>2670</v>
      </c>
      <c r="H17382" s="21">
        <v>801.67</v>
      </c>
    </row>
    <row r="17383" spans="1:8" customFormat="1" x14ac:dyDescent="0.25">
      <c r="A17383" t="str">
        <f>"6016383"</f>
        <v>6016383</v>
      </c>
      <c r="B17383" t="s">
        <v>16066</v>
      </c>
      <c r="C17383" t="s">
        <v>33</v>
      </c>
      <c r="D17383" s="21" t="s">
        <v>34</v>
      </c>
      <c r="E17383" s="21" t="s">
        <v>35</v>
      </c>
      <c r="F17383">
        <v>10870109</v>
      </c>
      <c r="G17383" t="s">
        <v>5199</v>
      </c>
      <c r="H17383" s="21">
        <v>801.67</v>
      </c>
    </row>
    <row r="17384" spans="1:8" customFormat="1" x14ac:dyDescent="0.25">
      <c r="A17384" t="str">
        <f>"7713660"</f>
        <v>7713660</v>
      </c>
      <c r="B17384" t="s">
        <v>15675</v>
      </c>
      <c r="C17384" t="s">
        <v>246</v>
      </c>
      <c r="D17384" s="21" t="s">
        <v>34</v>
      </c>
      <c r="E17384" s="21" t="s">
        <v>1089</v>
      </c>
      <c r="F17384">
        <v>10640011</v>
      </c>
      <c r="G17384" t="s">
        <v>13300</v>
      </c>
      <c r="H17384" s="21">
        <v>801.67</v>
      </c>
    </row>
    <row r="17385" spans="1:8" customFormat="1" x14ac:dyDescent="0.25">
      <c r="A17385" t="str">
        <f>"6019594"</f>
        <v>6019594</v>
      </c>
      <c r="B17385" t="s">
        <v>16043</v>
      </c>
      <c r="C17385" t="s">
        <v>33</v>
      </c>
      <c r="D17385" s="21" t="s">
        <v>34</v>
      </c>
      <c r="E17385" s="21" t="s">
        <v>71</v>
      </c>
      <c r="F17385">
        <v>7600170</v>
      </c>
      <c r="G17385" t="s">
        <v>16044</v>
      </c>
      <c r="H17385" s="21">
        <v>801.67</v>
      </c>
    </row>
    <row r="17386" spans="1:8" customFormat="1" x14ac:dyDescent="0.25">
      <c r="A17386" t="str">
        <f>"6726168"</f>
        <v>6726168</v>
      </c>
      <c r="B17386" t="s">
        <v>13880</v>
      </c>
      <c r="C17386" t="s">
        <v>263</v>
      </c>
      <c r="D17386" s="21" t="s">
        <v>34</v>
      </c>
      <c r="E17386" s="21" t="s">
        <v>35</v>
      </c>
      <c r="F17386">
        <v>6670267</v>
      </c>
      <c r="G17386" t="s">
        <v>2244</v>
      </c>
      <c r="H17386" s="21">
        <v>801.67</v>
      </c>
    </row>
    <row r="17387" spans="1:8" customFormat="1" x14ac:dyDescent="0.25">
      <c r="A17387" t="str">
        <f>"854157"</f>
        <v>854157</v>
      </c>
      <c r="B17387" t="s">
        <v>14669</v>
      </c>
      <c r="C17387" t="s">
        <v>124</v>
      </c>
      <c r="D17387" s="21" t="s">
        <v>34</v>
      </c>
      <c r="E17387" s="21" t="s">
        <v>71</v>
      </c>
      <c r="F17387">
        <v>12850021</v>
      </c>
      <c r="G17387" t="s">
        <v>4760</v>
      </c>
      <c r="H17387" s="21">
        <v>801.67</v>
      </c>
    </row>
    <row r="17388" spans="1:8" customFormat="1" x14ac:dyDescent="0.25">
      <c r="A17388" t="str">
        <f>"9312896"</f>
        <v>9312896</v>
      </c>
      <c r="B17388" t="s">
        <v>15557</v>
      </c>
      <c r="C17388" t="s">
        <v>1146</v>
      </c>
      <c r="D17388" s="21" t="s">
        <v>34</v>
      </c>
      <c r="E17388" s="21" t="s">
        <v>71</v>
      </c>
      <c r="F17388">
        <v>8781469</v>
      </c>
      <c r="G17388" t="s">
        <v>4779</v>
      </c>
      <c r="H17388" s="21">
        <v>801.67</v>
      </c>
    </row>
    <row r="17389" spans="1:8" customFormat="1" x14ac:dyDescent="0.25">
      <c r="A17389" t="str">
        <f>"244761"</f>
        <v>244761</v>
      </c>
      <c r="B17389" t="s">
        <v>3131</v>
      </c>
      <c r="C17389" t="s">
        <v>87</v>
      </c>
      <c r="D17389" s="21" t="s">
        <v>34</v>
      </c>
      <c r="E17389" s="21" t="s">
        <v>35</v>
      </c>
      <c r="F17389">
        <v>10240007</v>
      </c>
      <c r="G17389" t="s">
        <v>2326</v>
      </c>
      <c r="H17389" s="21">
        <v>801.67</v>
      </c>
    </row>
    <row r="17390" spans="1:8" customFormat="1" x14ac:dyDescent="0.25">
      <c r="A17390" t="str">
        <f>"921286"</f>
        <v>921286</v>
      </c>
      <c r="B17390" t="s">
        <v>8803</v>
      </c>
      <c r="C17390" t="s">
        <v>1142</v>
      </c>
      <c r="D17390" s="21" t="s">
        <v>34</v>
      </c>
      <c r="E17390" s="21" t="s">
        <v>254</v>
      </c>
      <c r="F17390">
        <v>8921344</v>
      </c>
      <c r="G17390" t="s">
        <v>27476</v>
      </c>
      <c r="H17390" s="21">
        <v>801.67</v>
      </c>
    </row>
    <row r="17391" spans="1:8" customFormat="1" x14ac:dyDescent="0.25">
      <c r="A17391" t="str">
        <f>"6927759"</f>
        <v>6927759</v>
      </c>
      <c r="B17391" t="s">
        <v>623</v>
      </c>
      <c r="C17391" t="s">
        <v>60</v>
      </c>
      <c r="D17391" s="21" t="s">
        <v>34</v>
      </c>
      <c r="E17391" s="21" t="s">
        <v>71</v>
      </c>
      <c r="F17391">
        <v>1690221</v>
      </c>
      <c r="G17391" t="s">
        <v>303</v>
      </c>
      <c r="H17391" s="21">
        <v>801.67</v>
      </c>
    </row>
    <row r="17392" spans="1:8" customFormat="1" x14ac:dyDescent="0.25">
      <c r="A17392" t="str">
        <f>"087343"</f>
        <v>087343</v>
      </c>
      <c r="B17392" t="s">
        <v>13516</v>
      </c>
      <c r="C17392" t="s">
        <v>109</v>
      </c>
      <c r="D17392" s="21" t="s">
        <v>34</v>
      </c>
      <c r="E17392" s="21" t="s">
        <v>35</v>
      </c>
      <c r="F17392">
        <v>6080044</v>
      </c>
      <c r="G17392" t="s">
        <v>7450</v>
      </c>
      <c r="H17392" s="21">
        <v>801.67</v>
      </c>
    </row>
    <row r="17393" spans="1:8" customFormat="1" x14ac:dyDescent="0.25">
      <c r="A17393" t="str">
        <f>"8525681"</f>
        <v>8525681</v>
      </c>
      <c r="B17393" t="s">
        <v>427</v>
      </c>
      <c r="C17393" t="s">
        <v>33</v>
      </c>
      <c r="D17393" s="21" t="s">
        <v>34</v>
      </c>
      <c r="E17393" s="21" t="s">
        <v>35</v>
      </c>
      <c r="F17393">
        <v>12850170</v>
      </c>
      <c r="G17393" t="s">
        <v>3349</v>
      </c>
      <c r="H17393" s="21">
        <v>801.54</v>
      </c>
    </row>
    <row r="17394" spans="1:8" customFormat="1" x14ac:dyDescent="0.25">
      <c r="A17394" t="str">
        <f>"7866162"</f>
        <v>7866162</v>
      </c>
      <c r="B17394" t="s">
        <v>15690</v>
      </c>
      <c r="C17394" t="s">
        <v>65</v>
      </c>
      <c r="D17394" s="21" t="s">
        <v>34</v>
      </c>
      <c r="E17394" s="21" t="s">
        <v>35</v>
      </c>
      <c r="F17394">
        <v>8780585</v>
      </c>
      <c r="G17394" t="s">
        <v>4630</v>
      </c>
      <c r="H17394" s="21">
        <v>801.42</v>
      </c>
    </row>
    <row r="17395" spans="1:8" customFormat="1" x14ac:dyDescent="0.25">
      <c r="A17395" t="str">
        <f>"3827897"</f>
        <v>3827897</v>
      </c>
      <c r="B17395" t="s">
        <v>17528</v>
      </c>
      <c r="C17395" t="s">
        <v>33</v>
      </c>
      <c r="D17395" s="21" t="s">
        <v>34</v>
      </c>
      <c r="E17395" s="21" t="s">
        <v>35</v>
      </c>
      <c r="F17395">
        <v>1380273</v>
      </c>
      <c r="G17395" t="s">
        <v>7554</v>
      </c>
      <c r="H17395" s="21">
        <v>801.17</v>
      </c>
    </row>
    <row r="17396" spans="1:8" customFormat="1" x14ac:dyDescent="0.25">
      <c r="A17396" t="str">
        <f>"854793"</f>
        <v>854793</v>
      </c>
      <c r="B17396" t="s">
        <v>5338</v>
      </c>
      <c r="C17396" t="s">
        <v>33</v>
      </c>
      <c r="D17396" s="21" t="s">
        <v>34</v>
      </c>
      <c r="E17396" s="21" t="s">
        <v>35</v>
      </c>
      <c r="F17396">
        <v>12850037</v>
      </c>
      <c r="G17396" t="s">
        <v>2787</v>
      </c>
      <c r="H17396" s="21">
        <v>801.17</v>
      </c>
    </row>
    <row r="17397" spans="1:8" customFormat="1" x14ac:dyDescent="0.25">
      <c r="A17397" t="str">
        <f>"4423643"</f>
        <v>4423643</v>
      </c>
      <c r="B17397" t="s">
        <v>10294</v>
      </c>
      <c r="C17397" t="s">
        <v>204</v>
      </c>
      <c r="D17397" s="21" t="s">
        <v>34</v>
      </c>
      <c r="E17397" s="21" t="s">
        <v>35</v>
      </c>
      <c r="F17397">
        <v>3350055</v>
      </c>
      <c r="G17397" t="s">
        <v>6720</v>
      </c>
      <c r="H17397" s="21">
        <v>801.17</v>
      </c>
    </row>
    <row r="17398" spans="1:8" customFormat="1" x14ac:dyDescent="0.25">
      <c r="A17398" t="str">
        <f>"589646"</f>
        <v>589646</v>
      </c>
      <c r="B17398" t="s">
        <v>13931</v>
      </c>
      <c r="C17398" t="s">
        <v>2520</v>
      </c>
      <c r="D17398" s="21" t="s">
        <v>34</v>
      </c>
      <c r="E17398" s="21" t="s">
        <v>254</v>
      </c>
      <c r="F17398">
        <v>2580006</v>
      </c>
      <c r="G17398" t="s">
        <v>4813</v>
      </c>
      <c r="H17398" s="21">
        <v>801.17</v>
      </c>
    </row>
    <row r="17399" spans="1:8" customFormat="1" x14ac:dyDescent="0.25">
      <c r="A17399" t="str">
        <f>"4782"</f>
        <v>4782</v>
      </c>
      <c r="B17399" t="s">
        <v>12610</v>
      </c>
      <c r="C17399" t="s">
        <v>13412</v>
      </c>
      <c r="D17399" s="21" t="s">
        <v>34</v>
      </c>
      <c r="E17399" s="21" t="s">
        <v>6185</v>
      </c>
      <c r="F17399">
        <v>10470001</v>
      </c>
      <c r="G17399" t="s">
        <v>391</v>
      </c>
      <c r="H17399" s="21">
        <v>801.17</v>
      </c>
    </row>
    <row r="17400" spans="1:8" customFormat="1" x14ac:dyDescent="0.25">
      <c r="A17400" t="str">
        <f>"7830565"</f>
        <v>7830565</v>
      </c>
      <c r="B17400" t="s">
        <v>1347</v>
      </c>
      <c r="C17400" t="s">
        <v>336</v>
      </c>
      <c r="D17400" s="21" t="s">
        <v>34</v>
      </c>
      <c r="E17400" s="21" t="s">
        <v>71</v>
      </c>
      <c r="F17400">
        <v>8781017</v>
      </c>
      <c r="G17400" t="s">
        <v>2581</v>
      </c>
      <c r="H17400" s="21">
        <v>801.17</v>
      </c>
    </row>
    <row r="17401" spans="1:8" customFormat="1" x14ac:dyDescent="0.25">
      <c r="A17401" t="str">
        <f>"615480"</f>
        <v>615480</v>
      </c>
      <c r="B17401" t="s">
        <v>7241</v>
      </c>
      <c r="C17401" t="s">
        <v>1605</v>
      </c>
      <c r="D17401" s="21" t="s">
        <v>34</v>
      </c>
      <c r="E17401" s="21" t="s">
        <v>254</v>
      </c>
      <c r="F17401">
        <v>9610035</v>
      </c>
      <c r="G17401" t="s">
        <v>7061</v>
      </c>
      <c r="H17401" s="21">
        <v>801.17</v>
      </c>
    </row>
    <row r="17402" spans="1:8" customFormat="1" x14ac:dyDescent="0.25">
      <c r="A17402" t="str">
        <f>"3536684"</f>
        <v>3536684</v>
      </c>
      <c r="B17402" t="s">
        <v>485</v>
      </c>
      <c r="C17402" t="s">
        <v>33</v>
      </c>
      <c r="D17402" s="21" t="s">
        <v>34</v>
      </c>
      <c r="E17402" s="21" t="s">
        <v>35</v>
      </c>
      <c r="F17402">
        <v>3350009</v>
      </c>
      <c r="G17402" t="s">
        <v>1823</v>
      </c>
      <c r="H17402" s="21">
        <v>801.17</v>
      </c>
    </row>
    <row r="17403" spans="1:8" customFormat="1" x14ac:dyDescent="0.25">
      <c r="A17403" t="str">
        <f>"2922793"</f>
        <v>2922793</v>
      </c>
      <c r="B17403" t="s">
        <v>2134</v>
      </c>
      <c r="C17403" t="s">
        <v>169</v>
      </c>
      <c r="D17403" s="21" t="s">
        <v>34</v>
      </c>
      <c r="E17403" s="21" t="s">
        <v>71</v>
      </c>
      <c r="F17403">
        <v>3290039</v>
      </c>
      <c r="G17403" t="s">
        <v>3988</v>
      </c>
      <c r="H17403" s="21">
        <v>801.17</v>
      </c>
    </row>
    <row r="17404" spans="1:8" customFormat="1" x14ac:dyDescent="0.25">
      <c r="A17404" t="str">
        <f>"291876"</f>
        <v>291876</v>
      </c>
      <c r="B17404" t="s">
        <v>10189</v>
      </c>
      <c r="C17404" t="s">
        <v>1110</v>
      </c>
      <c r="D17404" s="21" t="s">
        <v>34</v>
      </c>
      <c r="E17404" s="21" t="s">
        <v>71</v>
      </c>
      <c r="F17404">
        <v>3290018</v>
      </c>
      <c r="G17404" t="s">
        <v>1706</v>
      </c>
      <c r="H17404" s="21">
        <v>801.17</v>
      </c>
    </row>
    <row r="17405" spans="1:8" customFormat="1" x14ac:dyDescent="0.25">
      <c r="A17405" t="str">
        <f>"591332"</f>
        <v>591332</v>
      </c>
      <c r="B17405" t="s">
        <v>13612</v>
      </c>
      <c r="C17405" t="s">
        <v>244</v>
      </c>
      <c r="D17405" s="21" t="s">
        <v>34</v>
      </c>
      <c r="E17405" s="21" t="s">
        <v>71</v>
      </c>
      <c r="F17405">
        <v>7590063</v>
      </c>
      <c r="G17405" t="s">
        <v>3426</v>
      </c>
      <c r="H17405" s="21">
        <v>801.17</v>
      </c>
    </row>
    <row r="17406" spans="1:8" customFormat="1" x14ac:dyDescent="0.25">
      <c r="A17406" t="str">
        <f>"5978689"</f>
        <v>5978689</v>
      </c>
      <c r="B17406" t="s">
        <v>17755</v>
      </c>
      <c r="C17406" t="s">
        <v>206</v>
      </c>
      <c r="D17406" s="21" t="s">
        <v>34</v>
      </c>
      <c r="E17406" s="21" t="s">
        <v>35</v>
      </c>
      <c r="F17406">
        <v>7590244</v>
      </c>
      <c r="G17406" t="s">
        <v>5768</v>
      </c>
      <c r="H17406" s="21">
        <v>801.17</v>
      </c>
    </row>
    <row r="17407" spans="1:8" customFormat="1" x14ac:dyDescent="0.25">
      <c r="A17407" t="str">
        <f>"7819378"</f>
        <v>7819378</v>
      </c>
      <c r="B17407" t="s">
        <v>14832</v>
      </c>
      <c r="C17407" t="s">
        <v>119</v>
      </c>
      <c r="D17407" s="21" t="s">
        <v>34</v>
      </c>
      <c r="E17407" s="21" t="s">
        <v>71</v>
      </c>
      <c r="F17407">
        <v>8781333</v>
      </c>
      <c r="G17407" t="s">
        <v>14833</v>
      </c>
      <c r="H17407" s="21">
        <v>801.04</v>
      </c>
    </row>
    <row r="17408" spans="1:8" customFormat="1" x14ac:dyDescent="0.25">
      <c r="A17408" t="str">
        <f>"9521866"</f>
        <v>9521866</v>
      </c>
      <c r="B17408" t="s">
        <v>1111</v>
      </c>
      <c r="C17408" t="s">
        <v>233</v>
      </c>
      <c r="D17408" s="21" t="s">
        <v>34</v>
      </c>
      <c r="E17408" s="21" t="s">
        <v>35</v>
      </c>
      <c r="F17408">
        <v>8950435</v>
      </c>
      <c r="G17408" t="s">
        <v>6404</v>
      </c>
      <c r="H17408" s="21">
        <v>801.04</v>
      </c>
    </row>
    <row r="17409" spans="1:8" customFormat="1" x14ac:dyDescent="0.25">
      <c r="A17409" t="str">
        <f>"938235"</f>
        <v>938235</v>
      </c>
      <c r="B17409" t="s">
        <v>398</v>
      </c>
      <c r="C17409" t="s">
        <v>40</v>
      </c>
      <c r="D17409" s="21" t="s">
        <v>34</v>
      </c>
      <c r="E17409" s="21" t="s">
        <v>254</v>
      </c>
      <c r="F17409">
        <v>8771394</v>
      </c>
      <c r="G17409" t="s">
        <v>1933</v>
      </c>
      <c r="H17409" s="21">
        <v>800.92</v>
      </c>
    </row>
    <row r="17410" spans="1:8" customFormat="1" x14ac:dyDescent="0.25">
      <c r="A17410" t="str">
        <f>"7514903"</f>
        <v>7514903</v>
      </c>
      <c r="B17410" t="s">
        <v>2489</v>
      </c>
      <c r="C17410" t="s">
        <v>302</v>
      </c>
      <c r="D17410" s="21" t="s">
        <v>34</v>
      </c>
      <c r="E17410" s="21" t="s">
        <v>35</v>
      </c>
      <c r="F17410">
        <v>8750074</v>
      </c>
      <c r="G17410" t="s">
        <v>698</v>
      </c>
      <c r="H17410" s="21">
        <v>800.92</v>
      </c>
    </row>
    <row r="17411" spans="1:8" customFormat="1" x14ac:dyDescent="0.25">
      <c r="A17411" t="str">
        <f>"358164"</f>
        <v>358164</v>
      </c>
      <c r="B17411" t="s">
        <v>14853</v>
      </c>
      <c r="C17411" t="s">
        <v>249</v>
      </c>
      <c r="D17411" s="21" t="s">
        <v>34</v>
      </c>
      <c r="E17411" s="21" t="s">
        <v>71</v>
      </c>
      <c r="F17411">
        <v>3350014</v>
      </c>
      <c r="G17411" t="s">
        <v>1078</v>
      </c>
      <c r="H17411" s="21">
        <v>800.92</v>
      </c>
    </row>
    <row r="17412" spans="1:8" customFormat="1" x14ac:dyDescent="0.25">
      <c r="A17412" t="str">
        <f>"0110295"</f>
        <v>0110295</v>
      </c>
      <c r="B17412" t="s">
        <v>9834</v>
      </c>
      <c r="C17412" t="s">
        <v>43</v>
      </c>
      <c r="D17412" s="21" t="s">
        <v>34</v>
      </c>
      <c r="E17412" s="21" t="s">
        <v>35</v>
      </c>
      <c r="F17412">
        <v>1010020</v>
      </c>
      <c r="G17412" t="s">
        <v>6121</v>
      </c>
      <c r="H17412" s="21">
        <v>800.79</v>
      </c>
    </row>
    <row r="17413" spans="1:8" customFormat="1" x14ac:dyDescent="0.25">
      <c r="A17413" t="str">
        <f>"836117"</f>
        <v>836117</v>
      </c>
      <c r="B17413" t="s">
        <v>14378</v>
      </c>
      <c r="C17413" t="s">
        <v>233</v>
      </c>
      <c r="D17413" s="21" t="s">
        <v>34</v>
      </c>
      <c r="E17413" s="21" t="s">
        <v>254</v>
      </c>
      <c r="F17413">
        <v>13830014</v>
      </c>
      <c r="G17413" t="s">
        <v>5757</v>
      </c>
      <c r="H17413" s="21">
        <v>800.79</v>
      </c>
    </row>
    <row r="17414" spans="1:8" customFormat="1" x14ac:dyDescent="0.25">
      <c r="A17414" t="str">
        <f>"2514387"</f>
        <v>2514387</v>
      </c>
      <c r="B17414" t="s">
        <v>14656</v>
      </c>
      <c r="C17414" t="s">
        <v>55</v>
      </c>
      <c r="D17414" s="21" t="s">
        <v>34</v>
      </c>
      <c r="E17414" s="21" t="s">
        <v>71</v>
      </c>
      <c r="F17414">
        <v>2250224</v>
      </c>
      <c r="G17414" t="s">
        <v>9217</v>
      </c>
      <c r="H17414" s="21">
        <v>800.79</v>
      </c>
    </row>
    <row r="17415" spans="1:8" customFormat="1" x14ac:dyDescent="0.25">
      <c r="A17415" t="str">
        <f>"5962871"</f>
        <v>5962871</v>
      </c>
      <c r="B17415" t="s">
        <v>13572</v>
      </c>
      <c r="C17415" t="s">
        <v>119</v>
      </c>
      <c r="D17415" s="21" t="s">
        <v>34</v>
      </c>
      <c r="E17415" s="21" t="s">
        <v>35</v>
      </c>
      <c r="F17415">
        <v>7590413</v>
      </c>
      <c r="G17415" t="s">
        <v>6848</v>
      </c>
      <c r="H17415" s="21">
        <v>800.67</v>
      </c>
    </row>
    <row r="17416" spans="1:8" customFormat="1" x14ac:dyDescent="0.25">
      <c r="A17416" t="str">
        <f>"6021317"</f>
        <v>6021317</v>
      </c>
      <c r="B17416" t="s">
        <v>13864</v>
      </c>
      <c r="C17416" t="s">
        <v>1119</v>
      </c>
      <c r="D17416" s="21" t="s">
        <v>34</v>
      </c>
      <c r="E17416" s="21" t="s">
        <v>71</v>
      </c>
      <c r="F17416">
        <v>7600004</v>
      </c>
      <c r="G17416" t="s">
        <v>848</v>
      </c>
      <c r="H17416" s="21">
        <v>800.67</v>
      </c>
    </row>
    <row r="17417" spans="1:8" customFormat="1" x14ac:dyDescent="0.25">
      <c r="A17417" t="str">
        <f>"56838"</f>
        <v>56838</v>
      </c>
      <c r="B17417" t="s">
        <v>12837</v>
      </c>
      <c r="C17417" t="s">
        <v>3648</v>
      </c>
      <c r="D17417" s="21" t="s">
        <v>34</v>
      </c>
      <c r="E17417" s="21" t="s">
        <v>1089</v>
      </c>
      <c r="F17417">
        <v>3560005</v>
      </c>
      <c r="G17417" t="s">
        <v>2101</v>
      </c>
      <c r="H17417" s="21">
        <v>800.67</v>
      </c>
    </row>
    <row r="17418" spans="1:8" customFormat="1" x14ac:dyDescent="0.25">
      <c r="A17418" t="str">
        <f>"2712"</f>
        <v>2712</v>
      </c>
      <c r="B17418" t="s">
        <v>8922</v>
      </c>
      <c r="C17418" t="s">
        <v>598</v>
      </c>
      <c r="D17418" s="21" t="s">
        <v>34</v>
      </c>
      <c r="E17418" s="21" t="s">
        <v>6185</v>
      </c>
      <c r="F17418">
        <v>9270004</v>
      </c>
      <c r="G17418" t="s">
        <v>13439</v>
      </c>
      <c r="H17418" s="21">
        <v>800.67</v>
      </c>
    </row>
    <row r="17419" spans="1:8" customFormat="1" x14ac:dyDescent="0.25">
      <c r="A17419" t="str">
        <f>"3712138"</f>
        <v>3712138</v>
      </c>
      <c r="B17419" t="s">
        <v>8188</v>
      </c>
      <c r="C17419" t="s">
        <v>469</v>
      </c>
      <c r="D17419" s="21" t="s">
        <v>34</v>
      </c>
      <c r="E17419" s="21" t="s">
        <v>71</v>
      </c>
      <c r="F17419">
        <v>4370349</v>
      </c>
      <c r="G17419" t="s">
        <v>2287</v>
      </c>
      <c r="H17419" s="21">
        <v>800.67</v>
      </c>
    </row>
    <row r="17420" spans="1:8" customFormat="1" x14ac:dyDescent="0.25">
      <c r="A17420" t="str">
        <f>"7615179"</f>
        <v>7615179</v>
      </c>
      <c r="B17420" t="s">
        <v>15009</v>
      </c>
      <c r="C17420" t="s">
        <v>130</v>
      </c>
      <c r="D17420" s="21" t="s">
        <v>34</v>
      </c>
      <c r="E17420" s="21" t="s">
        <v>254</v>
      </c>
      <c r="F17420">
        <v>9760344</v>
      </c>
      <c r="G17420" t="s">
        <v>2523</v>
      </c>
      <c r="H17420" s="21">
        <v>800.67</v>
      </c>
    </row>
    <row r="17421" spans="1:8" customFormat="1" x14ac:dyDescent="0.25">
      <c r="A17421" t="str">
        <f>"304406"</f>
        <v>304406</v>
      </c>
      <c r="B17421" t="s">
        <v>27477</v>
      </c>
      <c r="C17421" t="s">
        <v>360</v>
      </c>
      <c r="D17421" s="21" t="s">
        <v>34</v>
      </c>
      <c r="E17421" s="21" t="s">
        <v>71</v>
      </c>
      <c r="F17421">
        <v>11300016</v>
      </c>
      <c r="G17421" t="s">
        <v>157</v>
      </c>
      <c r="H17421" s="21">
        <v>800.67</v>
      </c>
    </row>
    <row r="17422" spans="1:8" customFormat="1" x14ac:dyDescent="0.25">
      <c r="A17422" t="str">
        <f>"6914875"</f>
        <v>6914875</v>
      </c>
      <c r="B17422" t="s">
        <v>1451</v>
      </c>
      <c r="C17422" t="s">
        <v>544</v>
      </c>
      <c r="D17422" s="21" t="s">
        <v>34</v>
      </c>
      <c r="E17422" s="21" t="s">
        <v>254</v>
      </c>
      <c r="F17422">
        <v>1690184</v>
      </c>
      <c r="G17422" t="s">
        <v>4992</v>
      </c>
      <c r="H17422" s="21">
        <v>800.67</v>
      </c>
    </row>
    <row r="17423" spans="1:8" customFormat="1" x14ac:dyDescent="0.25">
      <c r="A17423" t="str">
        <f>"2211910"</f>
        <v>2211910</v>
      </c>
      <c r="B17423" t="s">
        <v>14256</v>
      </c>
      <c r="C17423" t="s">
        <v>15006</v>
      </c>
      <c r="D17423" s="21" t="s">
        <v>34</v>
      </c>
      <c r="E17423" s="21" t="s">
        <v>254</v>
      </c>
      <c r="F17423">
        <v>3220033</v>
      </c>
      <c r="G17423" t="s">
        <v>657</v>
      </c>
      <c r="H17423" s="21">
        <v>800.67</v>
      </c>
    </row>
    <row r="17424" spans="1:8" customFormat="1" x14ac:dyDescent="0.25">
      <c r="A17424" t="str">
        <f>"9144216"</f>
        <v>9144216</v>
      </c>
      <c r="B17424" t="s">
        <v>17831</v>
      </c>
      <c r="C17424" t="s">
        <v>147</v>
      </c>
      <c r="D17424" s="21" t="s">
        <v>34</v>
      </c>
      <c r="E17424" s="21" t="s">
        <v>35</v>
      </c>
      <c r="F17424">
        <v>8911464</v>
      </c>
      <c r="G17424" t="s">
        <v>17832</v>
      </c>
      <c r="H17424" s="21">
        <v>800.67</v>
      </c>
    </row>
    <row r="17425" spans="1:8" customFormat="1" x14ac:dyDescent="0.25">
      <c r="A17425" t="str">
        <f>"441085"</f>
        <v>441085</v>
      </c>
      <c r="B17425" t="s">
        <v>14626</v>
      </c>
      <c r="C17425" t="s">
        <v>14627</v>
      </c>
      <c r="D17425" s="21" t="s">
        <v>34</v>
      </c>
      <c r="E17425" s="21" t="s">
        <v>254</v>
      </c>
      <c r="F17425">
        <v>12440071</v>
      </c>
      <c r="G17425" t="s">
        <v>11350</v>
      </c>
      <c r="H17425" s="21">
        <v>800.67</v>
      </c>
    </row>
    <row r="17426" spans="1:8" customFormat="1" x14ac:dyDescent="0.25">
      <c r="A17426" t="str">
        <f>"2712423"</f>
        <v>2712423</v>
      </c>
      <c r="B17426" t="s">
        <v>2978</v>
      </c>
      <c r="C17426" t="s">
        <v>412</v>
      </c>
      <c r="D17426" s="21" t="s">
        <v>34</v>
      </c>
      <c r="E17426" s="21" t="s">
        <v>254</v>
      </c>
      <c r="F17426">
        <v>9270139</v>
      </c>
      <c r="G17426" t="s">
        <v>6955</v>
      </c>
      <c r="H17426" s="21">
        <v>800.67</v>
      </c>
    </row>
    <row r="17427" spans="1:8" customFormat="1" x14ac:dyDescent="0.25">
      <c r="A17427" t="str">
        <f>"4447350"</f>
        <v>4447350</v>
      </c>
      <c r="B17427" t="s">
        <v>14576</v>
      </c>
      <c r="C17427" t="s">
        <v>500</v>
      </c>
      <c r="D17427" s="21" t="s">
        <v>34</v>
      </c>
      <c r="E17427" s="21" t="s">
        <v>71</v>
      </c>
      <c r="F17427">
        <v>12440140</v>
      </c>
      <c r="G17427" t="s">
        <v>11783</v>
      </c>
      <c r="H17427" s="21">
        <v>800.67</v>
      </c>
    </row>
    <row r="17428" spans="1:8" customFormat="1" x14ac:dyDescent="0.25">
      <c r="A17428" t="str">
        <f>"6314996"</f>
        <v>6314996</v>
      </c>
      <c r="B17428" t="s">
        <v>27004</v>
      </c>
      <c r="C17428" t="s">
        <v>60</v>
      </c>
      <c r="D17428" s="21" t="s">
        <v>34</v>
      </c>
      <c r="E17428" s="21" t="s">
        <v>35</v>
      </c>
      <c r="F17428">
        <v>1630327</v>
      </c>
      <c r="G17428" t="s">
        <v>13353</v>
      </c>
      <c r="H17428" s="21">
        <v>800.67</v>
      </c>
    </row>
    <row r="17429" spans="1:8" customFormat="1" x14ac:dyDescent="0.25">
      <c r="A17429" t="str">
        <f>"1418544"</f>
        <v>1418544</v>
      </c>
      <c r="B17429" t="s">
        <v>27478</v>
      </c>
      <c r="C17429" t="s">
        <v>712</v>
      </c>
      <c r="D17429" s="21" t="s">
        <v>34</v>
      </c>
      <c r="E17429" s="21" t="s">
        <v>71</v>
      </c>
      <c r="F17429">
        <v>9140167</v>
      </c>
      <c r="G17429" t="s">
        <v>5116</v>
      </c>
      <c r="H17429" s="21">
        <v>800.67</v>
      </c>
    </row>
    <row r="17430" spans="1:8" customFormat="1" x14ac:dyDescent="0.25">
      <c r="A17430" t="str">
        <f>"5424900"</f>
        <v>5424900</v>
      </c>
      <c r="B17430" t="s">
        <v>13437</v>
      </c>
      <c r="C17430" t="s">
        <v>415</v>
      </c>
      <c r="D17430" s="21" t="s">
        <v>34</v>
      </c>
      <c r="E17430" s="21" t="s">
        <v>254</v>
      </c>
      <c r="F17430">
        <v>6540036</v>
      </c>
      <c r="G17430" t="s">
        <v>3612</v>
      </c>
      <c r="H17430" s="21">
        <v>800.54</v>
      </c>
    </row>
    <row r="17431" spans="1:8" customFormat="1" x14ac:dyDescent="0.25">
      <c r="A17431" t="str">
        <f>"2720716"</f>
        <v>2720716</v>
      </c>
      <c r="B17431" t="s">
        <v>21792</v>
      </c>
      <c r="C17431" t="s">
        <v>169</v>
      </c>
      <c r="D17431" s="21" t="s">
        <v>34</v>
      </c>
      <c r="E17431" s="21" t="s">
        <v>35</v>
      </c>
      <c r="F17431">
        <v>9270095</v>
      </c>
      <c r="G17431" t="s">
        <v>1681</v>
      </c>
      <c r="H17431" s="21">
        <v>800.54</v>
      </c>
    </row>
    <row r="17432" spans="1:8" customFormat="1" x14ac:dyDescent="0.25">
      <c r="A17432" t="str">
        <f>"4529"</f>
        <v>4529</v>
      </c>
      <c r="B17432" t="s">
        <v>14524</v>
      </c>
      <c r="C17432" t="s">
        <v>598</v>
      </c>
      <c r="D17432" s="21" t="s">
        <v>34</v>
      </c>
      <c r="E17432" s="21" t="s">
        <v>1089</v>
      </c>
      <c r="F17432">
        <v>4450757</v>
      </c>
      <c r="G17432" t="s">
        <v>3829</v>
      </c>
      <c r="H17432" s="21">
        <v>800.42</v>
      </c>
    </row>
    <row r="17433" spans="1:8" customFormat="1" x14ac:dyDescent="0.25">
      <c r="A17433" t="str">
        <f>"1715770"</f>
        <v>1715770</v>
      </c>
      <c r="B17433" t="s">
        <v>2557</v>
      </c>
      <c r="C17433" t="s">
        <v>55</v>
      </c>
      <c r="D17433" s="21" t="s">
        <v>34</v>
      </c>
      <c r="E17433" s="21" t="s">
        <v>71</v>
      </c>
      <c r="F17433">
        <v>10170050</v>
      </c>
      <c r="G17433" t="s">
        <v>2514</v>
      </c>
      <c r="H17433" s="21">
        <v>800.42</v>
      </c>
    </row>
    <row r="17434" spans="1:8" customFormat="1" x14ac:dyDescent="0.25">
      <c r="A17434" t="str">
        <f>"3412679"</f>
        <v>3412679</v>
      </c>
      <c r="B17434" t="s">
        <v>14726</v>
      </c>
      <c r="C17434" t="s">
        <v>2907</v>
      </c>
      <c r="D17434" s="21" t="s">
        <v>34</v>
      </c>
      <c r="E17434" s="21" t="s">
        <v>71</v>
      </c>
      <c r="F17434">
        <v>11340053</v>
      </c>
      <c r="G17434" t="s">
        <v>9935</v>
      </c>
      <c r="H17434" s="21">
        <v>800.17</v>
      </c>
    </row>
    <row r="17435" spans="1:8" customFormat="1" x14ac:dyDescent="0.25">
      <c r="A17435" t="str">
        <f>"10165"</f>
        <v>10165</v>
      </c>
      <c r="B17435" t="s">
        <v>5617</v>
      </c>
      <c r="C17435" t="s">
        <v>415</v>
      </c>
      <c r="D17435" s="21" t="s">
        <v>34</v>
      </c>
      <c r="E17435" s="21" t="s">
        <v>6185</v>
      </c>
      <c r="F17435">
        <v>6100040</v>
      </c>
      <c r="G17435" t="s">
        <v>5313</v>
      </c>
      <c r="H17435" s="21">
        <v>800.17</v>
      </c>
    </row>
    <row r="17436" spans="1:8" customFormat="1" x14ac:dyDescent="0.25">
      <c r="A17436" t="str">
        <f>"5918723"</f>
        <v>5918723</v>
      </c>
      <c r="B17436" t="s">
        <v>13376</v>
      </c>
      <c r="C17436" t="s">
        <v>2907</v>
      </c>
      <c r="D17436" s="21" t="s">
        <v>34</v>
      </c>
      <c r="E17436" s="21" t="s">
        <v>71</v>
      </c>
      <c r="F17436">
        <v>7590068</v>
      </c>
      <c r="G17436" t="s">
        <v>1005</v>
      </c>
      <c r="H17436" s="21">
        <v>800.17</v>
      </c>
    </row>
    <row r="17437" spans="1:8" customFormat="1" x14ac:dyDescent="0.25">
      <c r="A17437" t="str">
        <f>"0810465"</f>
        <v>0810465</v>
      </c>
      <c r="B17437" t="s">
        <v>1133</v>
      </c>
      <c r="C17437" t="s">
        <v>139</v>
      </c>
      <c r="D17437" s="21" t="s">
        <v>34</v>
      </c>
      <c r="E17437" s="21" t="s">
        <v>35</v>
      </c>
      <c r="F17437">
        <v>6080003</v>
      </c>
      <c r="G17437" t="s">
        <v>11899</v>
      </c>
      <c r="H17437" s="21">
        <v>800.17</v>
      </c>
    </row>
    <row r="17438" spans="1:8" customFormat="1" x14ac:dyDescent="0.25">
      <c r="A17438" t="str">
        <f>"6213420"</f>
        <v>6213420</v>
      </c>
      <c r="B17438" t="s">
        <v>14841</v>
      </c>
      <c r="C17438" t="s">
        <v>412</v>
      </c>
      <c r="D17438" s="21" t="s">
        <v>34</v>
      </c>
      <c r="E17438" s="21" t="s">
        <v>6185</v>
      </c>
      <c r="F17438">
        <v>7620082</v>
      </c>
      <c r="G17438" t="s">
        <v>4939</v>
      </c>
      <c r="H17438" s="21">
        <v>800.17</v>
      </c>
    </row>
    <row r="17439" spans="1:8" customFormat="1" x14ac:dyDescent="0.25">
      <c r="A17439" t="str">
        <f>"4430017"</f>
        <v>4430017</v>
      </c>
      <c r="B17439" t="s">
        <v>1405</v>
      </c>
      <c r="C17439" t="s">
        <v>119</v>
      </c>
      <c r="D17439" s="21" t="s">
        <v>34</v>
      </c>
      <c r="E17439" s="21" t="s">
        <v>35</v>
      </c>
      <c r="F17439">
        <v>12440073</v>
      </c>
      <c r="G17439" t="s">
        <v>3492</v>
      </c>
      <c r="H17439" s="21">
        <v>800.17</v>
      </c>
    </row>
    <row r="17440" spans="1:8" customFormat="1" x14ac:dyDescent="0.25">
      <c r="A17440" t="str">
        <f>"6813486"</f>
        <v>6813486</v>
      </c>
      <c r="B17440" t="s">
        <v>2768</v>
      </c>
      <c r="C17440" t="s">
        <v>263</v>
      </c>
      <c r="D17440" s="21" t="s">
        <v>34</v>
      </c>
      <c r="E17440" s="21" t="s">
        <v>71</v>
      </c>
      <c r="F17440">
        <v>6680138</v>
      </c>
      <c r="G17440" t="s">
        <v>10497</v>
      </c>
      <c r="H17440" s="21">
        <v>800.17</v>
      </c>
    </row>
    <row r="17441" spans="1:8" customFormat="1" x14ac:dyDescent="0.25">
      <c r="A17441" t="str">
        <f>"5960586"</f>
        <v>5960586</v>
      </c>
      <c r="B17441" t="s">
        <v>27479</v>
      </c>
      <c r="C17441" t="s">
        <v>49</v>
      </c>
      <c r="D17441" s="21" t="s">
        <v>34</v>
      </c>
      <c r="E17441" s="21" t="s">
        <v>35</v>
      </c>
      <c r="F17441">
        <v>7590131</v>
      </c>
      <c r="G17441" t="s">
        <v>6300</v>
      </c>
      <c r="H17441" s="21">
        <v>800.17</v>
      </c>
    </row>
    <row r="17442" spans="1:8" customFormat="1" x14ac:dyDescent="0.25">
      <c r="A17442" t="str">
        <f>"7710250"</f>
        <v>7710250</v>
      </c>
      <c r="B17442" t="s">
        <v>15492</v>
      </c>
      <c r="C17442" t="s">
        <v>656</v>
      </c>
      <c r="D17442" s="21" t="s">
        <v>34</v>
      </c>
      <c r="E17442" s="21" t="s">
        <v>71</v>
      </c>
      <c r="F17442">
        <v>8771402</v>
      </c>
      <c r="G17442" t="s">
        <v>15493</v>
      </c>
      <c r="H17442" s="21">
        <v>800.17</v>
      </c>
    </row>
    <row r="17443" spans="1:8" customFormat="1" x14ac:dyDescent="0.25">
      <c r="A17443" t="str">
        <f>"842868"</f>
        <v>842868</v>
      </c>
      <c r="B17443" t="s">
        <v>14490</v>
      </c>
      <c r="C17443" t="s">
        <v>967</v>
      </c>
      <c r="D17443" s="21" t="s">
        <v>34</v>
      </c>
      <c r="E17443" s="21" t="s">
        <v>71</v>
      </c>
      <c r="F17443">
        <v>13840037</v>
      </c>
      <c r="G17443" t="s">
        <v>2019</v>
      </c>
      <c r="H17443" s="21">
        <v>800.17</v>
      </c>
    </row>
    <row r="17444" spans="1:8" customFormat="1" x14ac:dyDescent="0.25">
      <c r="A17444" t="str">
        <f>"6022234"</f>
        <v>6022234</v>
      </c>
      <c r="B17444" t="s">
        <v>7872</v>
      </c>
      <c r="C17444" t="s">
        <v>576</v>
      </c>
      <c r="D17444" s="21" t="s">
        <v>34</v>
      </c>
      <c r="E17444" s="21" t="s">
        <v>35</v>
      </c>
      <c r="F17444">
        <v>7600170</v>
      </c>
      <c r="G17444" t="s">
        <v>16044</v>
      </c>
      <c r="H17444" s="21">
        <v>800.17</v>
      </c>
    </row>
    <row r="17445" spans="1:8" customFormat="1" x14ac:dyDescent="0.25">
      <c r="A17445" t="str">
        <f>"40432"</f>
        <v>40432</v>
      </c>
      <c r="B17445" t="s">
        <v>15847</v>
      </c>
      <c r="C17445" t="s">
        <v>239</v>
      </c>
      <c r="D17445" s="21" t="s">
        <v>34</v>
      </c>
      <c r="E17445" s="21" t="s">
        <v>71</v>
      </c>
      <c r="F17445">
        <v>10400021</v>
      </c>
      <c r="G17445" t="s">
        <v>12111</v>
      </c>
      <c r="H17445" s="21">
        <v>800.17</v>
      </c>
    </row>
    <row r="17446" spans="1:8" customFormat="1" x14ac:dyDescent="0.25">
      <c r="A17446" t="str">
        <f>"6225481"</f>
        <v>6225481</v>
      </c>
      <c r="B17446" t="s">
        <v>27480</v>
      </c>
      <c r="C17446" t="s">
        <v>209</v>
      </c>
      <c r="D17446" s="21" t="s">
        <v>34</v>
      </c>
      <c r="E17446" s="21" t="s">
        <v>35</v>
      </c>
      <c r="F17446">
        <v>7620111</v>
      </c>
      <c r="G17446" t="s">
        <v>1372</v>
      </c>
      <c r="H17446" s="21">
        <v>800.17</v>
      </c>
    </row>
    <row r="17447" spans="1:8" customFormat="1" x14ac:dyDescent="0.25">
      <c r="A17447" t="str">
        <f>"36522"</f>
        <v>36522</v>
      </c>
      <c r="B17447" t="s">
        <v>7587</v>
      </c>
      <c r="C17447" t="s">
        <v>33</v>
      </c>
      <c r="D17447" s="21" t="s">
        <v>34</v>
      </c>
      <c r="E17447" s="21" t="s">
        <v>71</v>
      </c>
      <c r="F17447">
        <v>4360727</v>
      </c>
      <c r="G17447" t="s">
        <v>10026</v>
      </c>
      <c r="H17447" s="21">
        <v>800.17</v>
      </c>
    </row>
    <row r="17448" spans="1:8" customFormat="1" x14ac:dyDescent="0.25">
      <c r="A17448" t="str">
        <f>"03613"</f>
        <v>03613</v>
      </c>
      <c r="B17448" t="s">
        <v>13656</v>
      </c>
      <c r="C17448" t="s">
        <v>2520</v>
      </c>
      <c r="D17448" s="21" t="s">
        <v>34</v>
      </c>
      <c r="E17448" s="21" t="s">
        <v>254</v>
      </c>
      <c r="F17448">
        <v>1030128</v>
      </c>
      <c r="G17448" t="s">
        <v>7355</v>
      </c>
      <c r="H17448" s="21">
        <v>800.17</v>
      </c>
    </row>
    <row r="17449" spans="1:8" customFormat="1" x14ac:dyDescent="0.25">
      <c r="A17449" t="str">
        <f>"7614072"</f>
        <v>7614072</v>
      </c>
      <c r="B17449" t="s">
        <v>14886</v>
      </c>
      <c r="C17449" t="s">
        <v>812</v>
      </c>
      <c r="D17449" s="21" t="s">
        <v>34</v>
      </c>
      <c r="E17449" s="21" t="s">
        <v>35</v>
      </c>
      <c r="F17449">
        <v>9760416</v>
      </c>
      <c r="G17449" t="s">
        <v>4614</v>
      </c>
      <c r="H17449" s="21">
        <v>800.17</v>
      </c>
    </row>
    <row r="17450" spans="1:8" customFormat="1" x14ac:dyDescent="0.25">
      <c r="A17450" t="str">
        <f>"1311849"</f>
        <v>1311849</v>
      </c>
      <c r="B17450" t="s">
        <v>3197</v>
      </c>
      <c r="C17450" t="s">
        <v>3073</v>
      </c>
      <c r="D17450" s="21" t="s">
        <v>34</v>
      </c>
      <c r="E17450" s="21" t="s">
        <v>1089</v>
      </c>
      <c r="F17450">
        <v>13130154</v>
      </c>
      <c r="G17450" t="s">
        <v>5503</v>
      </c>
      <c r="H17450" s="21">
        <v>800.17</v>
      </c>
    </row>
    <row r="17451" spans="1:8" customFormat="1" x14ac:dyDescent="0.25">
      <c r="A17451" t="str">
        <f>"3726681"</f>
        <v>3726681</v>
      </c>
      <c r="B17451" t="s">
        <v>1788</v>
      </c>
      <c r="C17451" t="s">
        <v>98</v>
      </c>
      <c r="D17451" s="21" t="s">
        <v>34</v>
      </c>
      <c r="E17451" s="21" t="s">
        <v>35</v>
      </c>
      <c r="F17451">
        <v>4370608</v>
      </c>
      <c r="G17451" t="s">
        <v>11068</v>
      </c>
      <c r="H17451" s="21">
        <v>800.17</v>
      </c>
    </row>
    <row r="17452" spans="1:8" customFormat="1" x14ac:dyDescent="0.25">
      <c r="A17452" t="str">
        <f>"653879"</f>
        <v>653879</v>
      </c>
      <c r="B17452" t="s">
        <v>1407</v>
      </c>
      <c r="C17452" t="s">
        <v>269</v>
      </c>
      <c r="D17452" s="21" t="s">
        <v>34</v>
      </c>
      <c r="E17452" s="21" t="s">
        <v>71</v>
      </c>
      <c r="F17452">
        <v>11650016</v>
      </c>
      <c r="G17452" t="s">
        <v>9559</v>
      </c>
      <c r="H17452" s="21">
        <v>800.04</v>
      </c>
    </row>
    <row r="17453" spans="1:8" customFormat="1" x14ac:dyDescent="0.25">
      <c r="A17453" t="str">
        <f>"3115674"</f>
        <v>3115674</v>
      </c>
      <c r="B17453" t="s">
        <v>8129</v>
      </c>
      <c r="C17453" t="s">
        <v>109</v>
      </c>
      <c r="D17453" s="21" t="s">
        <v>34</v>
      </c>
      <c r="E17453" s="21" t="s">
        <v>35</v>
      </c>
      <c r="F17453">
        <v>11310099</v>
      </c>
      <c r="G17453" t="s">
        <v>8881</v>
      </c>
      <c r="H17453" s="21">
        <v>800.04</v>
      </c>
    </row>
    <row r="17454" spans="1:8" customFormat="1" x14ac:dyDescent="0.25">
      <c r="A17454" t="str">
        <f>"5619647"</f>
        <v>5619647</v>
      </c>
      <c r="B17454" t="s">
        <v>7544</v>
      </c>
      <c r="C17454" t="s">
        <v>547</v>
      </c>
      <c r="D17454" s="21" t="s">
        <v>34</v>
      </c>
      <c r="E17454" s="21" t="s">
        <v>254</v>
      </c>
      <c r="F17454">
        <v>12850031</v>
      </c>
      <c r="G17454" t="s">
        <v>3180</v>
      </c>
      <c r="H17454" s="21">
        <v>800</v>
      </c>
    </row>
    <row r="17455" spans="1:8" customFormat="1" x14ac:dyDescent="0.25">
      <c r="A17455" t="str">
        <f>"3527895"</f>
        <v>3527895</v>
      </c>
      <c r="B17455" t="s">
        <v>13661</v>
      </c>
      <c r="C17455" t="s">
        <v>204</v>
      </c>
      <c r="D17455" s="21" t="s">
        <v>34</v>
      </c>
      <c r="E17455" s="21" t="s">
        <v>71</v>
      </c>
      <c r="F17455">
        <v>3350183</v>
      </c>
      <c r="G17455" t="s">
        <v>2572</v>
      </c>
      <c r="H17455" s="21">
        <v>799.92</v>
      </c>
    </row>
    <row r="17456" spans="1:8" customFormat="1" x14ac:dyDescent="0.25">
      <c r="A17456" t="str">
        <f>"5724851"</f>
        <v>5724851</v>
      </c>
      <c r="B17456" t="s">
        <v>15701</v>
      </c>
      <c r="C17456" t="s">
        <v>209</v>
      </c>
      <c r="D17456" s="21" t="s">
        <v>34</v>
      </c>
      <c r="E17456" s="21" t="s">
        <v>71</v>
      </c>
      <c r="F17456">
        <v>6570140</v>
      </c>
      <c r="G17456" t="s">
        <v>813</v>
      </c>
      <c r="H17456" s="21">
        <v>799.92</v>
      </c>
    </row>
    <row r="17457" spans="1:8" customFormat="1" x14ac:dyDescent="0.25">
      <c r="A17457" t="str">
        <f>"2937683"</f>
        <v>2937683</v>
      </c>
      <c r="B17457" t="s">
        <v>15486</v>
      </c>
      <c r="C17457" t="s">
        <v>62</v>
      </c>
      <c r="D17457" s="21" t="s">
        <v>34</v>
      </c>
      <c r="E17457" s="21" t="s">
        <v>35</v>
      </c>
      <c r="F17457">
        <v>3290005</v>
      </c>
      <c r="G17457" t="s">
        <v>1253</v>
      </c>
      <c r="H17457" s="21">
        <v>799.67</v>
      </c>
    </row>
    <row r="17458" spans="1:8" customFormat="1" x14ac:dyDescent="0.25">
      <c r="A17458" t="str">
        <f>"2512969"</f>
        <v>2512969</v>
      </c>
      <c r="B17458" t="s">
        <v>15488</v>
      </c>
      <c r="C17458" t="s">
        <v>171</v>
      </c>
      <c r="D17458" s="21" t="s">
        <v>34</v>
      </c>
      <c r="E17458" s="21" t="s">
        <v>35</v>
      </c>
      <c r="F17458">
        <v>2250179</v>
      </c>
      <c r="G17458" t="s">
        <v>7007</v>
      </c>
      <c r="H17458" s="21">
        <v>799.67</v>
      </c>
    </row>
    <row r="17459" spans="1:8" customFormat="1" x14ac:dyDescent="0.25">
      <c r="A17459" t="str">
        <f>"085986"</f>
        <v>085986</v>
      </c>
      <c r="B17459" t="s">
        <v>5500</v>
      </c>
      <c r="C17459" t="s">
        <v>124</v>
      </c>
      <c r="D17459" s="21" t="s">
        <v>34</v>
      </c>
      <c r="E17459" s="21" t="s">
        <v>254</v>
      </c>
      <c r="F17459">
        <v>6080013</v>
      </c>
      <c r="G17459" t="s">
        <v>1532</v>
      </c>
      <c r="H17459" s="21">
        <v>799.67</v>
      </c>
    </row>
    <row r="17460" spans="1:8" customFormat="1" x14ac:dyDescent="0.25">
      <c r="A17460" t="str">
        <f>"013908"</f>
        <v>013908</v>
      </c>
      <c r="B17460" t="s">
        <v>10608</v>
      </c>
      <c r="C17460" t="s">
        <v>209</v>
      </c>
      <c r="D17460" s="21" t="s">
        <v>34</v>
      </c>
      <c r="E17460" s="21" t="s">
        <v>71</v>
      </c>
      <c r="F17460">
        <v>1010060</v>
      </c>
      <c r="G17460" t="s">
        <v>5128</v>
      </c>
      <c r="H17460" s="21">
        <v>799.67</v>
      </c>
    </row>
    <row r="17461" spans="1:8" customFormat="1" x14ac:dyDescent="0.25">
      <c r="A17461" t="str">
        <f>"5918397"</f>
        <v>5918397</v>
      </c>
      <c r="B17461" t="s">
        <v>14561</v>
      </c>
      <c r="C17461" t="s">
        <v>156</v>
      </c>
      <c r="D17461" s="21" t="s">
        <v>34</v>
      </c>
      <c r="E17461" s="21" t="s">
        <v>1089</v>
      </c>
      <c r="F17461">
        <v>7590392</v>
      </c>
      <c r="G17461" t="s">
        <v>154</v>
      </c>
      <c r="H17461" s="21">
        <v>799.67</v>
      </c>
    </row>
    <row r="17462" spans="1:8" customFormat="1" x14ac:dyDescent="0.25">
      <c r="A17462" t="str">
        <f>"628614"</f>
        <v>628614</v>
      </c>
      <c r="B17462" t="s">
        <v>14961</v>
      </c>
      <c r="C17462" t="s">
        <v>1142</v>
      </c>
      <c r="D17462" s="21" t="s">
        <v>34</v>
      </c>
      <c r="E17462" s="21" t="s">
        <v>71</v>
      </c>
      <c r="F17462">
        <v>7620153</v>
      </c>
      <c r="G17462" t="s">
        <v>5104</v>
      </c>
      <c r="H17462" s="21">
        <v>799.67</v>
      </c>
    </row>
    <row r="17463" spans="1:8" customFormat="1" x14ac:dyDescent="0.25">
      <c r="A17463" t="str">
        <f>"1313"</f>
        <v>1313</v>
      </c>
      <c r="B17463" t="s">
        <v>11269</v>
      </c>
      <c r="C17463" t="s">
        <v>639</v>
      </c>
      <c r="D17463" s="21" t="s">
        <v>34</v>
      </c>
      <c r="E17463" s="21" t="s">
        <v>254</v>
      </c>
      <c r="F17463">
        <v>13130162</v>
      </c>
      <c r="G17463" t="s">
        <v>13411</v>
      </c>
      <c r="H17463" s="21">
        <v>799.67</v>
      </c>
    </row>
    <row r="17464" spans="1:8" customFormat="1" x14ac:dyDescent="0.25">
      <c r="A17464" t="str">
        <f>"9143755"</f>
        <v>9143755</v>
      </c>
      <c r="B17464" t="s">
        <v>17133</v>
      </c>
      <c r="C17464" t="s">
        <v>40</v>
      </c>
      <c r="D17464" s="21" t="s">
        <v>34</v>
      </c>
      <c r="E17464" s="21" t="s">
        <v>71</v>
      </c>
      <c r="F17464">
        <v>8910214</v>
      </c>
      <c r="G17464" t="s">
        <v>986</v>
      </c>
      <c r="H17464" s="21">
        <v>799.67</v>
      </c>
    </row>
    <row r="17465" spans="1:8" customFormat="1" x14ac:dyDescent="0.25">
      <c r="A17465" t="str">
        <f>"9211465"</f>
        <v>9211465</v>
      </c>
      <c r="B17465" t="s">
        <v>14210</v>
      </c>
      <c r="C17465" t="s">
        <v>812</v>
      </c>
      <c r="D17465" s="21" t="s">
        <v>34</v>
      </c>
      <c r="E17465" s="21" t="s">
        <v>254</v>
      </c>
      <c r="F17465">
        <v>8780440</v>
      </c>
      <c r="G17465" t="s">
        <v>6629</v>
      </c>
      <c r="H17465" s="21">
        <v>799.67</v>
      </c>
    </row>
    <row r="17466" spans="1:8" customFormat="1" x14ac:dyDescent="0.25">
      <c r="A17466" t="str">
        <f>"5911982"</f>
        <v>5911982</v>
      </c>
      <c r="B17466" t="s">
        <v>15943</v>
      </c>
      <c r="C17466" t="s">
        <v>269</v>
      </c>
      <c r="D17466" s="21" t="s">
        <v>34</v>
      </c>
      <c r="E17466" s="21" t="s">
        <v>71</v>
      </c>
      <c r="F17466">
        <v>7590048</v>
      </c>
      <c r="G17466" t="s">
        <v>4608</v>
      </c>
      <c r="H17466" s="21">
        <v>799.67</v>
      </c>
    </row>
    <row r="17467" spans="1:8" customFormat="1" x14ac:dyDescent="0.25">
      <c r="A17467" t="str">
        <f>"9522013"</f>
        <v>9522013</v>
      </c>
      <c r="B17467" t="s">
        <v>14252</v>
      </c>
      <c r="C17467" t="s">
        <v>87</v>
      </c>
      <c r="D17467" s="21" t="s">
        <v>34</v>
      </c>
      <c r="E17467" s="21" t="s">
        <v>71</v>
      </c>
      <c r="F17467">
        <v>8950978</v>
      </c>
      <c r="G17467" t="s">
        <v>1164</v>
      </c>
      <c r="H17467" s="21">
        <v>799.67</v>
      </c>
    </row>
    <row r="17468" spans="1:8" customFormat="1" x14ac:dyDescent="0.25">
      <c r="A17468" t="str">
        <f>"3815528"</f>
        <v>3815528</v>
      </c>
      <c r="B17468" t="s">
        <v>11710</v>
      </c>
      <c r="C17468" t="s">
        <v>114</v>
      </c>
      <c r="D17468" s="21" t="s">
        <v>34</v>
      </c>
      <c r="E17468" s="21" t="s">
        <v>35</v>
      </c>
      <c r="F17468">
        <v>1380262</v>
      </c>
      <c r="G17468" t="s">
        <v>1216</v>
      </c>
      <c r="H17468" s="21">
        <v>799.67</v>
      </c>
    </row>
    <row r="17469" spans="1:8" customFormat="1" x14ac:dyDescent="0.25">
      <c r="A17469" t="str">
        <f>"5017169"</f>
        <v>5017169</v>
      </c>
      <c r="B17469" t="s">
        <v>13765</v>
      </c>
      <c r="C17469" t="s">
        <v>2546</v>
      </c>
      <c r="D17469" s="21" t="s">
        <v>34</v>
      </c>
      <c r="E17469" s="21" t="s">
        <v>71</v>
      </c>
      <c r="F17469">
        <v>9500011</v>
      </c>
      <c r="G17469" t="s">
        <v>4903</v>
      </c>
      <c r="H17469" s="21">
        <v>799.54</v>
      </c>
    </row>
    <row r="17470" spans="1:8" customFormat="1" x14ac:dyDescent="0.25">
      <c r="A17470" t="str">
        <f>"663272"</f>
        <v>663272</v>
      </c>
      <c r="B17470" t="s">
        <v>19698</v>
      </c>
      <c r="C17470" t="s">
        <v>82</v>
      </c>
      <c r="D17470" s="21" t="s">
        <v>34</v>
      </c>
      <c r="E17470" s="21" t="s">
        <v>35</v>
      </c>
      <c r="F17470">
        <v>11660001</v>
      </c>
      <c r="G17470" t="s">
        <v>8203</v>
      </c>
      <c r="H17470" s="21">
        <v>799.42</v>
      </c>
    </row>
    <row r="17471" spans="1:8" customFormat="1" x14ac:dyDescent="0.25">
      <c r="A17471" t="str">
        <f>"539719"</f>
        <v>539719</v>
      </c>
      <c r="B17471" t="s">
        <v>6965</v>
      </c>
      <c r="C17471" t="s">
        <v>33</v>
      </c>
      <c r="D17471" s="21" t="s">
        <v>34</v>
      </c>
      <c r="E17471" s="21" t="s">
        <v>35</v>
      </c>
      <c r="F17471">
        <v>12530106</v>
      </c>
      <c r="G17471" t="s">
        <v>27079</v>
      </c>
      <c r="H17471" s="21">
        <v>799.42</v>
      </c>
    </row>
    <row r="17472" spans="1:8" customFormat="1" x14ac:dyDescent="0.25">
      <c r="A17472" t="str">
        <f>"7640648"</f>
        <v>7640648</v>
      </c>
      <c r="B17472" t="s">
        <v>5479</v>
      </c>
      <c r="C17472" t="s">
        <v>817</v>
      </c>
      <c r="D17472" s="21" t="s">
        <v>34</v>
      </c>
      <c r="E17472" s="21" t="s">
        <v>254</v>
      </c>
      <c r="F17472">
        <v>9760403</v>
      </c>
      <c r="G17472" t="s">
        <v>11140</v>
      </c>
      <c r="H17472" s="21">
        <v>799.29</v>
      </c>
    </row>
    <row r="17473" spans="1:8" customFormat="1" x14ac:dyDescent="0.25">
      <c r="A17473" t="str">
        <f>"4217191"</f>
        <v>4217191</v>
      </c>
      <c r="B17473" t="s">
        <v>6301</v>
      </c>
      <c r="C17473" t="s">
        <v>455</v>
      </c>
      <c r="D17473" s="21" t="s">
        <v>34</v>
      </c>
      <c r="E17473" s="21" t="s">
        <v>35</v>
      </c>
      <c r="F17473">
        <v>1420149</v>
      </c>
      <c r="G17473" t="s">
        <v>818</v>
      </c>
      <c r="H17473" s="21">
        <v>799.17</v>
      </c>
    </row>
    <row r="17474" spans="1:8" customFormat="1" x14ac:dyDescent="0.25">
      <c r="A17474" t="str">
        <f>"71391"</f>
        <v>71391</v>
      </c>
      <c r="B17474" t="s">
        <v>13408</v>
      </c>
      <c r="C17474" t="s">
        <v>3905</v>
      </c>
      <c r="D17474" s="21" t="s">
        <v>34</v>
      </c>
      <c r="E17474" s="21" t="s">
        <v>1089</v>
      </c>
      <c r="F17474">
        <v>2710023</v>
      </c>
      <c r="G17474" t="s">
        <v>3549</v>
      </c>
      <c r="H17474" s="21">
        <v>799.17</v>
      </c>
    </row>
    <row r="17475" spans="1:8" customFormat="1" x14ac:dyDescent="0.25">
      <c r="A17475" t="str">
        <f>"339463"</f>
        <v>339463</v>
      </c>
      <c r="B17475" t="s">
        <v>14445</v>
      </c>
      <c r="C17475" t="s">
        <v>65</v>
      </c>
      <c r="D17475" s="21" t="s">
        <v>34</v>
      </c>
      <c r="E17475" s="21" t="s">
        <v>35</v>
      </c>
      <c r="F17475">
        <v>8910285</v>
      </c>
      <c r="G17475" t="s">
        <v>26604</v>
      </c>
      <c r="H17475" s="21">
        <v>799.17</v>
      </c>
    </row>
    <row r="17476" spans="1:8" customFormat="1" x14ac:dyDescent="0.25">
      <c r="A17476" t="str">
        <f>"62957"</f>
        <v>62957</v>
      </c>
      <c r="B17476" t="s">
        <v>15007</v>
      </c>
      <c r="C17476" t="s">
        <v>547</v>
      </c>
      <c r="D17476" s="21" t="s">
        <v>34</v>
      </c>
      <c r="E17476" s="21" t="s">
        <v>71</v>
      </c>
      <c r="F17476">
        <v>7620016</v>
      </c>
      <c r="G17476" t="s">
        <v>6850</v>
      </c>
      <c r="H17476" s="21">
        <v>799.17</v>
      </c>
    </row>
    <row r="17477" spans="1:8" customFormat="1" x14ac:dyDescent="0.25">
      <c r="A17477" t="str">
        <f>"3519266"</f>
        <v>3519266</v>
      </c>
      <c r="B17477" t="s">
        <v>6729</v>
      </c>
      <c r="C17477" t="s">
        <v>817</v>
      </c>
      <c r="D17477" s="21" t="s">
        <v>34</v>
      </c>
      <c r="E17477" s="21" t="s">
        <v>35</v>
      </c>
      <c r="F17477">
        <v>3350044</v>
      </c>
      <c r="G17477" t="s">
        <v>12041</v>
      </c>
      <c r="H17477" s="21">
        <v>799.17</v>
      </c>
    </row>
    <row r="17478" spans="1:8" customFormat="1" x14ac:dyDescent="0.25">
      <c r="A17478" t="str">
        <f>"8512594"</f>
        <v>8512594</v>
      </c>
      <c r="B17478" t="s">
        <v>9789</v>
      </c>
      <c r="C17478" t="s">
        <v>263</v>
      </c>
      <c r="D17478" s="21" t="s">
        <v>34</v>
      </c>
      <c r="E17478" s="21" t="s">
        <v>71</v>
      </c>
      <c r="F17478">
        <v>12850165</v>
      </c>
      <c r="G17478" t="s">
        <v>9632</v>
      </c>
      <c r="H17478" s="21">
        <v>799.17</v>
      </c>
    </row>
    <row r="17479" spans="1:8" customFormat="1" x14ac:dyDescent="0.25">
      <c r="A17479" t="str">
        <f>"591511"</f>
        <v>591511</v>
      </c>
      <c r="B17479" t="s">
        <v>14008</v>
      </c>
      <c r="C17479" t="s">
        <v>40</v>
      </c>
      <c r="D17479" s="21" t="s">
        <v>34</v>
      </c>
      <c r="E17479" s="21" t="s">
        <v>254</v>
      </c>
      <c r="F17479">
        <v>7590024</v>
      </c>
      <c r="G17479" t="s">
        <v>14009</v>
      </c>
      <c r="H17479" s="21">
        <v>799.17</v>
      </c>
    </row>
    <row r="17480" spans="1:8" customFormat="1" x14ac:dyDescent="0.25">
      <c r="A17480" t="str">
        <f>"5321028"</f>
        <v>5321028</v>
      </c>
      <c r="B17480" t="s">
        <v>15766</v>
      </c>
      <c r="C17480" t="s">
        <v>1359</v>
      </c>
      <c r="D17480" s="21" t="s">
        <v>34</v>
      </c>
      <c r="E17480" s="21" t="s">
        <v>35</v>
      </c>
      <c r="F17480">
        <v>12530072</v>
      </c>
      <c r="G17480" t="s">
        <v>7342</v>
      </c>
      <c r="H17480" s="21">
        <v>799.17</v>
      </c>
    </row>
    <row r="17481" spans="1:8" customFormat="1" x14ac:dyDescent="0.25">
      <c r="A17481" t="str">
        <f>"476635"</f>
        <v>476635</v>
      </c>
      <c r="B17481" t="s">
        <v>14925</v>
      </c>
      <c r="C17481" t="s">
        <v>55</v>
      </c>
      <c r="D17481" s="21" t="s">
        <v>34</v>
      </c>
      <c r="E17481" s="21" t="s">
        <v>71</v>
      </c>
      <c r="F17481">
        <v>10470006</v>
      </c>
      <c r="G17481" t="s">
        <v>1225</v>
      </c>
      <c r="H17481" s="21">
        <v>799.04</v>
      </c>
    </row>
    <row r="17482" spans="1:8" customFormat="1" x14ac:dyDescent="0.25">
      <c r="A17482" t="str">
        <f>"1714339"</f>
        <v>1714339</v>
      </c>
      <c r="B17482" t="s">
        <v>6678</v>
      </c>
      <c r="C17482" t="s">
        <v>87</v>
      </c>
      <c r="D17482" s="21" t="s">
        <v>34</v>
      </c>
      <c r="E17482" s="21" t="s">
        <v>71</v>
      </c>
      <c r="F17482">
        <v>10170051</v>
      </c>
      <c r="G17482" t="s">
        <v>826</v>
      </c>
      <c r="H17482" s="21">
        <v>798.92</v>
      </c>
    </row>
    <row r="17483" spans="1:8" customFormat="1" x14ac:dyDescent="0.25">
      <c r="A17483" t="str">
        <f>"5615488"</f>
        <v>5615488</v>
      </c>
      <c r="B17483" t="s">
        <v>1725</v>
      </c>
      <c r="C17483" t="s">
        <v>3905</v>
      </c>
      <c r="D17483" s="21" t="s">
        <v>34</v>
      </c>
      <c r="E17483" s="21" t="s">
        <v>1089</v>
      </c>
      <c r="F17483">
        <v>3560044</v>
      </c>
      <c r="G17483" t="s">
        <v>4890</v>
      </c>
      <c r="H17483" s="21">
        <v>798.92</v>
      </c>
    </row>
    <row r="17484" spans="1:8" customFormat="1" x14ac:dyDescent="0.25">
      <c r="A17484" t="str">
        <f>"44483"</f>
        <v>44483</v>
      </c>
      <c r="B17484" t="s">
        <v>14407</v>
      </c>
      <c r="C17484" t="s">
        <v>453</v>
      </c>
      <c r="D17484" s="21" t="s">
        <v>34</v>
      </c>
      <c r="E17484" s="21" t="s">
        <v>254</v>
      </c>
      <c r="F17484">
        <v>12440259</v>
      </c>
      <c r="G17484" t="s">
        <v>833</v>
      </c>
      <c r="H17484" s="21">
        <v>798.92</v>
      </c>
    </row>
    <row r="17485" spans="1:8" customFormat="1" x14ac:dyDescent="0.25">
      <c r="A17485" t="str">
        <f>"8510378"</f>
        <v>8510378</v>
      </c>
      <c r="B17485" t="s">
        <v>13948</v>
      </c>
      <c r="C17485" t="s">
        <v>1605</v>
      </c>
      <c r="D17485" s="21" t="s">
        <v>34</v>
      </c>
      <c r="E17485" s="21" t="s">
        <v>254</v>
      </c>
      <c r="F17485">
        <v>12850136</v>
      </c>
      <c r="G17485" t="s">
        <v>2536</v>
      </c>
      <c r="H17485" s="21">
        <v>798.67</v>
      </c>
    </row>
    <row r="17486" spans="1:8" customFormat="1" x14ac:dyDescent="0.25">
      <c r="A17486" t="str">
        <f>"517388"</f>
        <v>517388</v>
      </c>
      <c r="B17486" t="s">
        <v>15379</v>
      </c>
      <c r="C17486" t="s">
        <v>2305</v>
      </c>
      <c r="D17486" s="21" t="s">
        <v>34</v>
      </c>
      <c r="E17486" s="21" t="s">
        <v>254</v>
      </c>
      <c r="F17486">
        <v>6510053</v>
      </c>
      <c r="G17486" t="s">
        <v>27203</v>
      </c>
      <c r="H17486" s="21">
        <v>798.67</v>
      </c>
    </row>
    <row r="17487" spans="1:8" customFormat="1" x14ac:dyDescent="0.25">
      <c r="A17487" t="str">
        <f>"7510742"</f>
        <v>7510742</v>
      </c>
      <c r="B17487" t="s">
        <v>2082</v>
      </c>
      <c r="C17487" t="s">
        <v>65</v>
      </c>
      <c r="D17487" s="21" t="s">
        <v>34</v>
      </c>
      <c r="E17487" s="21" t="s">
        <v>35</v>
      </c>
      <c r="F17487">
        <v>4280593</v>
      </c>
      <c r="G17487" t="s">
        <v>4536</v>
      </c>
      <c r="H17487" s="21">
        <v>798.67</v>
      </c>
    </row>
    <row r="17488" spans="1:8" customFormat="1" x14ac:dyDescent="0.25">
      <c r="A17488" t="str">
        <f>"7843437"</f>
        <v>7843437</v>
      </c>
      <c r="B17488" t="s">
        <v>2438</v>
      </c>
      <c r="C17488" t="s">
        <v>139</v>
      </c>
      <c r="D17488" s="21" t="s">
        <v>34</v>
      </c>
      <c r="E17488" s="21" t="s">
        <v>35</v>
      </c>
      <c r="F17488">
        <v>8781462</v>
      </c>
      <c r="G17488" t="s">
        <v>5796</v>
      </c>
      <c r="H17488" s="21">
        <v>798.67</v>
      </c>
    </row>
    <row r="17489" spans="1:8" customFormat="1" x14ac:dyDescent="0.25">
      <c r="A17489" t="str">
        <f>"4416710"</f>
        <v>4416710</v>
      </c>
      <c r="B17489" t="s">
        <v>3785</v>
      </c>
      <c r="C17489" t="s">
        <v>415</v>
      </c>
      <c r="D17489" s="21" t="s">
        <v>34</v>
      </c>
      <c r="E17489" s="21" t="s">
        <v>254</v>
      </c>
      <c r="F17489">
        <v>12440038</v>
      </c>
      <c r="G17489" t="s">
        <v>2057</v>
      </c>
      <c r="H17489" s="21">
        <v>798.67</v>
      </c>
    </row>
    <row r="17490" spans="1:8" customFormat="1" x14ac:dyDescent="0.25">
      <c r="A17490" t="str">
        <f>"164788"</f>
        <v>164788</v>
      </c>
      <c r="B17490" t="s">
        <v>12673</v>
      </c>
      <c r="C17490" t="s">
        <v>209</v>
      </c>
      <c r="D17490" s="21" t="s">
        <v>34</v>
      </c>
      <c r="E17490" s="21" t="s">
        <v>254</v>
      </c>
      <c r="F17490">
        <v>10160186</v>
      </c>
      <c r="G17490" t="s">
        <v>4819</v>
      </c>
      <c r="H17490" s="21">
        <v>798.67</v>
      </c>
    </row>
    <row r="17491" spans="1:8" customFormat="1" x14ac:dyDescent="0.25">
      <c r="A17491" t="str">
        <f>"5610235"</f>
        <v>5610235</v>
      </c>
      <c r="B17491" t="s">
        <v>14375</v>
      </c>
      <c r="C17491" t="s">
        <v>65</v>
      </c>
      <c r="D17491" s="21" t="s">
        <v>34</v>
      </c>
      <c r="E17491" s="21" t="s">
        <v>35</v>
      </c>
      <c r="F17491">
        <v>3560090</v>
      </c>
      <c r="G17491" t="s">
        <v>7777</v>
      </c>
      <c r="H17491" s="21">
        <v>798.67</v>
      </c>
    </row>
    <row r="17492" spans="1:8" customFormat="1" x14ac:dyDescent="0.25">
      <c r="A17492" t="str">
        <f>"686105"</f>
        <v>686105</v>
      </c>
      <c r="B17492" t="s">
        <v>8538</v>
      </c>
      <c r="C17492" t="s">
        <v>139</v>
      </c>
      <c r="D17492" s="21" t="s">
        <v>34</v>
      </c>
      <c r="E17492" s="21" t="s">
        <v>35</v>
      </c>
      <c r="F17492">
        <v>6680080</v>
      </c>
      <c r="G17492" t="s">
        <v>7771</v>
      </c>
      <c r="H17492" s="21">
        <v>798.67</v>
      </c>
    </row>
    <row r="17493" spans="1:8" customFormat="1" x14ac:dyDescent="0.25">
      <c r="A17493" t="str">
        <f>"724357"</f>
        <v>724357</v>
      </c>
      <c r="B17493" t="s">
        <v>15200</v>
      </c>
      <c r="C17493" t="s">
        <v>1231</v>
      </c>
      <c r="D17493" s="21" t="s">
        <v>34</v>
      </c>
      <c r="E17493" s="21" t="s">
        <v>6185</v>
      </c>
      <c r="F17493">
        <v>12720006</v>
      </c>
      <c r="G17493" t="s">
        <v>4022</v>
      </c>
      <c r="H17493" s="21">
        <v>798.67</v>
      </c>
    </row>
    <row r="17494" spans="1:8" customFormat="1" x14ac:dyDescent="0.25">
      <c r="A17494" t="str">
        <f>"5970374"</f>
        <v>5970374</v>
      </c>
      <c r="B17494" t="s">
        <v>15010</v>
      </c>
      <c r="C17494" t="s">
        <v>119</v>
      </c>
      <c r="D17494" s="21" t="s">
        <v>34</v>
      </c>
      <c r="E17494" s="21" t="s">
        <v>71</v>
      </c>
      <c r="F17494">
        <v>7590235</v>
      </c>
      <c r="G17494" t="s">
        <v>5121</v>
      </c>
      <c r="H17494" s="21">
        <v>798.67</v>
      </c>
    </row>
    <row r="17495" spans="1:8" customFormat="1" x14ac:dyDescent="0.25">
      <c r="A17495" t="str">
        <f>"4443835"</f>
        <v>4443835</v>
      </c>
      <c r="B17495" t="s">
        <v>650</v>
      </c>
      <c r="C17495" t="s">
        <v>233</v>
      </c>
      <c r="D17495" s="21" t="s">
        <v>34</v>
      </c>
      <c r="E17495" s="21" t="s">
        <v>71</v>
      </c>
      <c r="F17495">
        <v>12440139</v>
      </c>
      <c r="G17495" t="s">
        <v>2655</v>
      </c>
      <c r="H17495" s="21">
        <v>798.67</v>
      </c>
    </row>
    <row r="17496" spans="1:8" customFormat="1" x14ac:dyDescent="0.25">
      <c r="A17496" t="str">
        <f>"6720897"</f>
        <v>6720897</v>
      </c>
      <c r="B17496" t="s">
        <v>14167</v>
      </c>
      <c r="C17496" t="s">
        <v>2479</v>
      </c>
      <c r="D17496" s="21" t="s">
        <v>34</v>
      </c>
      <c r="E17496" s="21" t="s">
        <v>71</v>
      </c>
      <c r="F17496">
        <v>6670092</v>
      </c>
      <c r="G17496" t="s">
        <v>10845</v>
      </c>
      <c r="H17496" s="21">
        <v>798.67</v>
      </c>
    </row>
    <row r="17497" spans="1:8" customFormat="1" x14ac:dyDescent="0.25">
      <c r="A17497" t="str">
        <f>"6020481"</f>
        <v>6020481</v>
      </c>
      <c r="B17497" t="s">
        <v>3611</v>
      </c>
      <c r="C17497" t="s">
        <v>55</v>
      </c>
      <c r="D17497" s="21" t="s">
        <v>34</v>
      </c>
      <c r="E17497" s="21" t="s">
        <v>71</v>
      </c>
      <c r="F17497">
        <v>7600088</v>
      </c>
      <c r="G17497" t="s">
        <v>334</v>
      </c>
      <c r="H17497" s="21">
        <v>798.67</v>
      </c>
    </row>
    <row r="17498" spans="1:8" customFormat="1" x14ac:dyDescent="0.25">
      <c r="A17498" t="str">
        <f>"7847716"</f>
        <v>7847716</v>
      </c>
      <c r="B17498" t="s">
        <v>2067</v>
      </c>
      <c r="C17498" t="s">
        <v>12593</v>
      </c>
      <c r="D17498" s="21" t="s">
        <v>34</v>
      </c>
      <c r="E17498" s="21" t="s">
        <v>35</v>
      </c>
      <c r="F17498">
        <v>9270151</v>
      </c>
      <c r="G17498" t="s">
        <v>626</v>
      </c>
      <c r="H17498" s="21">
        <v>798.67</v>
      </c>
    </row>
    <row r="17499" spans="1:8" customFormat="1" x14ac:dyDescent="0.25">
      <c r="A17499" t="str">
        <f>"1312423"</f>
        <v>1312423</v>
      </c>
      <c r="B17499" t="s">
        <v>14105</v>
      </c>
      <c r="C17499" t="s">
        <v>209</v>
      </c>
      <c r="D17499" s="21" t="s">
        <v>34</v>
      </c>
      <c r="E17499" s="21" t="s">
        <v>71</v>
      </c>
      <c r="F17499">
        <v>13130148</v>
      </c>
      <c r="G17499" t="s">
        <v>12894</v>
      </c>
      <c r="H17499" s="21">
        <v>798.67</v>
      </c>
    </row>
    <row r="17500" spans="1:8" customFormat="1" x14ac:dyDescent="0.25">
      <c r="A17500" t="str">
        <f>"5312690"</f>
        <v>5312690</v>
      </c>
      <c r="B17500" t="s">
        <v>509</v>
      </c>
      <c r="C17500" t="s">
        <v>598</v>
      </c>
      <c r="D17500" s="21" t="s">
        <v>34</v>
      </c>
      <c r="E17500" s="21" t="s">
        <v>71</v>
      </c>
      <c r="F17500">
        <v>12530105</v>
      </c>
      <c r="G17500" t="s">
        <v>4136</v>
      </c>
      <c r="H17500" s="21">
        <v>798.67</v>
      </c>
    </row>
    <row r="17501" spans="1:8" customFormat="1" x14ac:dyDescent="0.25">
      <c r="A17501" t="str">
        <f>"2922557"</f>
        <v>2922557</v>
      </c>
      <c r="B17501" t="s">
        <v>27481</v>
      </c>
      <c r="C17501" t="s">
        <v>275</v>
      </c>
      <c r="D17501" s="21" t="s">
        <v>34</v>
      </c>
      <c r="E17501" s="21" t="s">
        <v>35</v>
      </c>
      <c r="F17501">
        <v>3350030</v>
      </c>
      <c r="G17501" t="s">
        <v>4549</v>
      </c>
      <c r="H17501" s="21">
        <v>798.67</v>
      </c>
    </row>
    <row r="17502" spans="1:8" customFormat="1" x14ac:dyDescent="0.25">
      <c r="A17502" t="str">
        <f>"069212"</f>
        <v>069212</v>
      </c>
      <c r="B17502" t="s">
        <v>6191</v>
      </c>
      <c r="C17502" t="s">
        <v>412</v>
      </c>
      <c r="D17502" s="21" t="s">
        <v>34</v>
      </c>
      <c r="E17502" s="21" t="s">
        <v>71</v>
      </c>
      <c r="F17502">
        <v>13060064</v>
      </c>
      <c r="G17502" t="s">
        <v>976</v>
      </c>
      <c r="H17502" s="21">
        <v>798.67</v>
      </c>
    </row>
    <row r="17503" spans="1:8" customFormat="1" x14ac:dyDescent="0.25">
      <c r="A17503" t="str">
        <f>"6018546"</f>
        <v>6018546</v>
      </c>
      <c r="B17503" t="s">
        <v>15624</v>
      </c>
      <c r="C17503" t="s">
        <v>169</v>
      </c>
      <c r="D17503" s="21" t="s">
        <v>34</v>
      </c>
      <c r="E17503" s="21" t="s">
        <v>71</v>
      </c>
      <c r="F17503">
        <v>7600031</v>
      </c>
      <c r="G17503" t="s">
        <v>3283</v>
      </c>
      <c r="H17503" s="21">
        <v>798.67</v>
      </c>
    </row>
    <row r="17504" spans="1:8" customFormat="1" x14ac:dyDescent="0.25">
      <c r="A17504" t="str">
        <f>"5936935"</f>
        <v>5936935</v>
      </c>
      <c r="B17504" t="s">
        <v>13341</v>
      </c>
      <c r="C17504" t="s">
        <v>209</v>
      </c>
      <c r="D17504" s="21" t="s">
        <v>34</v>
      </c>
      <c r="E17504" s="21" t="s">
        <v>71</v>
      </c>
      <c r="F17504">
        <v>7590050</v>
      </c>
      <c r="G17504" t="s">
        <v>473</v>
      </c>
      <c r="H17504" s="21">
        <v>798.67</v>
      </c>
    </row>
    <row r="17505" spans="1:8" customFormat="1" x14ac:dyDescent="0.25">
      <c r="A17505" t="str">
        <f>"355466"</f>
        <v>355466</v>
      </c>
      <c r="B17505" t="s">
        <v>13877</v>
      </c>
      <c r="C17505" t="s">
        <v>598</v>
      </c>
      <c r="D17505" s="21" t="s">
        <v>34</v>
      </c>
      <c r="E17505" s="21" t="s">
        <v>71</v>
      </c>
      <c r="F17505">
        <v>3350050</v>
      </c>
      <c r="G17505" t="s">
        <v>6931</v>
      </c>
      <c r="H17505" s="21">
        <v>798.67</v>
      </c>
    </row>
    <row r="17506" spans="1:8" customFormat="1" x14ac:dyDescent="0.25">
      <c r="A17506" t="str">
        <f>"61163"</f>
        <v>61163</v>
      </c>
      <c r="B17506" t="s">
        <v>14353</v>
      </c>
      <c r="C17506" t="s">
        <v>169</v>
      </c>
      <c r="D17506" s="21" t="s">
        <v>34</v>
      </c>
      <c r="E17506" s="21" t="s">
        <v>254</v>
      </c>
      <c r="F17506">
        <v>9610135</v>
      </c>
      <c r="G17506" t="s">
        <v>8227</v>
      </c>
      <c r="H17506" s="21">
        <v>798.67</v>
      </c>
    </row>
    <row r="17507" spans="1:8" customFormat="1" x14ac:dyDescent="0.25">
      <c r="A17507" t="str">
        <f>"2921261"</f>
        <v>2921261</v>
      </c>
      <c r="B17507" t="s">
        <v>13403</v>
      </c>
      <c r="C17507" t="s">
        <v>598</v>
      </c>
      <c r="D17507" s="21" t="s">
        <v>34</v>
      </c>
      <c r="E17507" s="21" t="s">
        <v>35</v>
      </c>
      <c r="F17507">
        <v>3290285</v>
      </c>
      <c r="G17507" t="s">
        <v>2234</v>
      </c>
      <c r="H17507" s="21">
        <v>798.54</v>
      </c>
    </row>
    <row r="17508" spans="1:8" customFormat="1" x14ac:dyDescent="0.25">
      <c r="A17508" t="str">
        <f>"322986"</f>
        <v>322986</v>
      </c>
      <c r="B17508" t="s">
        <v>27482</v>
      </c>
      <c r="C17508" t="s">
        <v>62</v>
      </c>
      <c r="D17508" s="21" t="s">
        <v>34</v>
      </c>
      <c r="E17508" s="21" t="s">
        <v>35</v>
      </c>
      <c r="F17508">
        <v>11320005</v>
      </c>
      <c r="G17508" t="s">
        <v>120</v>
      </c>
      <c r="H17508" s="21">
        <v>798.54</v>
      </c>
    </row>
    <row r="17509" spans="1:8" customFormat="1" x14ac:dyDescent="0.25">
      <c r="A17509" t="str">
        <f>"36401"</f>
        <v>36401</v>
      </c>
      <c r="B17509" t="s">
        <v>15217</v>
      </c>
      <c r="C17509" t="s">
        <v>1146</v>
      </c>
      <c r="D17509" s="21" t="s">
        <v>34</v>
      </c>
      <c r="E17509" s="21" t="s">
        <v>254</v>
      </c>
      <c r="F17509">
        <v>4360124</v>
      </c>
      <c r="G17509" t="s">
        <v>5229</v>
      </c>
      <c r="H17509" s="21">
        <v>798.42</v>
      </c>
    </row>
    <row r="17510" spans="1:8" customFormat="1" x14ac:dyDescent="0.25">
      <c r="A17510" t="str">
        <f>"3012538"</f>
        <v>3012538</v>
      </c>
      <c r="B17510" t="s">
        <v>8415</v>
      </c>
      <c r="C17510" t="s">
        <v>27483</v>
      </c>
      <c r="D17510" s="21" t="s">
        <v>34</v>
      </c>
      <c r="E17510" s="21" t="s">
        <v>35</v>
      </c>
      <c r="F17510">
        <v>11300012</v>
      </c>
      <c r="G17510" t="s">
        <v>5958</v>
      </c>
      <c r="H17510" s="21">
        <v>798.42</v>
      </c>
    </row>
    <row r="17511" spans="1:8" customFormat="1" x14ac:dyDescent="0.25">
      <c r="A17511" t="str">
        <f>"7849802"</f>
        <v>7849802</v>
      </c>
      <c r="B17511" t="s">
        <v>15740</v>
      </c>
      <c r="C17511" t="s">
        <v>209</v>
      </c>
      <c r="D17511" s="21" t="s">
        <v>34</v>
      </c>
      <c r="E17511" s="21" t="s">
        <v>71</v>
      </c>
      <c r="F17511">
        <v>8780571</v>
      </c>
      <c r="G17511" t="s">
        <v>2336</v>
      </c>
      <c r="H17511" s="21">
        <v>798.42</v>
      </c>
    </row>
    <row r="17512" spans="1:8" customFormat="1" x14ac:dyDescent="0.25">
      <c r="A17512" t="str">
        <f>"6719015"</f>
        <v>6719015</v>
      </c>
      <c r="B17512" t="s">
        <v>14413</v>
      </c>
      <c r="C17512" t="s">
        <v>130</v>
      </c>
      <c r="D17512" s="21" t="s">
        <v>34</v>
      </c>
      <c r="E17512" s="21" t="s">
        <v>35</v>
      </c>
      <c r="F17512">
        <v>6670260</v>
      </c>
      <c r="G17512" t="s">
        <v>1202</v>
      </c>
      <c r="H17512" s="21">
        <v>798.17</v>
      </c>
    </row>
    <row r="17513" spans="1:8" customFormat="1" x14ac:dyDescent="0.25">
      <c r="A17513" t="str">
        <f>"6813179"</f>
        <v>6813179</v>
      </c>
      <c r="B17513" t="s">
        <v>8129</v>
      </c>
      <c r="C17513" t="s">
        <v>55</v>
      </c>
      <c r="D17513" s="21" t="s">
        <v>34</v>
      </c>
      <c r="E17513" s="21" t="s">
        <v>35</v>
      </c>
      <c r="F17513">
        <v>6680020</v>
      </c>
      <c r="G17513" t="s">
        <v>12995</v>
      </c>
      <c r="H17513" s="21">
        <v>798.17</v>
      </c>
    </row>
    <row r="17514" spans="1:8" customFormat="1" x14ac:dyDescent="0.25">
      <c r="A17514" t="str">
        <f>"5724092"</f>
        <v>5724092</v>
      </c>
      <c r="B17514" t="s">
        <v>15077</v>
      </c>
      <c r="C17514" t="s">
        <v>209</v>
      </c>
      <c r="D17514" s="21" t="s">
        <v>34</v>
      </c>
      <c r="E17514" s="21" t="s">
        <v>71</v>
      </c>
      <c r="F17514">
        <v>6570193</v>
      </c>
      <c r="G17514" t="s">
        <v>13003</v>
      </c>
      <c r="H17514" s="21">
        <v>798.17</v>
      </c>
    </row>
    <row r="17515" spans="1:8" customFormat="1" x14ac:dyDescent="0.25">
      <c r="A17515" t="str">
        <f>"5613148"</f>
        <v>5613148</v>
      </c>
      <c r="B17515" t="s">
        <v>14297</v>
      </c>
      <c r="C17515" t="s">
        <v>263</v>
      </c>
      <c r="D17515" s="21" t="s">
        <v>34</v>
      </c>
      <c r="E17515" s="21" t="s">
        <v>71</v>
      </c>
      <c r="F17515">
        <v>3560054</v>
      </c>
      <c r="G17515" t="s">
        <v>10188</v>
      </c>
      <c r="H17515" s="21">
        <v>798.17</v>
      </c>
    </row>
    <row r="17516" spans="1:8" customFormat="1" x14ac:dyDescent="0.25">
      <c r="A17516" t="str">
        <f>"5936616"</f>
        <v>5936616</v>
      </c>
      <c r="B17516" t="s">
        <v>15125</v>
      </c>
      <c r="C17516" t="s">
        <v>2907</v>
      </c>
      <c r="D17516" s="21" t="s">
        <v>34</v>
      </c>
      <c r="E17516" s="21" t="s">
        <v>254</v>
      </c>
      <c r="F17516">
        <v>7590171</v>
      </c>
      <c r="G17516" t="s">
        <v>4159</v>
      </c>
      <c r="H17516" s="21">
        <v>798.17</v>
      </c>
    </row>
    <row r="17517" spans="1:8" customFormat="1" x14ac:dyDescent="0.25">
      <c r="A17517" t="str">
        <f>"5925577"</f>
        <v>5925577</v>
      </c>
      <c r="B17517" t="s">
        <v>877</v>
      </c>
      <c r="C17517" t="s">
        <v>239</v>
      </c>
      <c r="D17517" s="21" t="s">
        <v>34</v>
      </c>
      <c r="E17517" s="21" t="s">
        <v>254</v>
      </c>
      <c r="F17517">
        <v>7590048</v>
      </c>
      <c r="G17517" t="s">
        <v>4608</v>
      </c>
      <c r="H17517" s="21">
        <v>798.17</v>
      </c>
    </row>
    <row r="17518" spans="1:8" customFormat="1" x14ac:dyDescent="0.25">
      <c r="A17518" t="str">
        <f>"5322361"</f>
        <v>5322361</v>
      </c>
      <c r="B17518" t="s">
        <v>14613</v>
      </c>
      <c r="C17518" t="s">
        <v>209</v>
      </c>
      <c r="D17518" s="21" t="s">
        <v>34</v>
      </c>
      <c r="E17518" s="21" t="s">
        <v>71</v>
      </c>
      <c r="F17518">
        <v>12530058</v>
      </c>
      <c r="G17518" t="s">
        <v>3128</v>
      </c>
      <c r="H17518" s="21">
        <v>798.17</v>
      </c>
    </row>
    <row r="17519" spans="1:8" customFormat="1" x14ac:dyDescent="0.25">
      <c r="A17519" t="str">
        <f>"729783"</f>
        <v>729783</v>
      </c>
      <c r="B17519" t="s">
        <v>15076</v>
      </c>
      <c r="C17519" t="s">
        <v>3859</v>
      </c>
      <c r="D17519" s="21" t="s">
        <v>34</v>
      </c>
      <c r="E17519" s="21" t="s">
        <v>35</v>
      </c>
      <c r="F17519">
        <v>12720020</v>
      </c>
      <c r="G17519" t="s">
        <v>8402</v>
      </c>
      <c r="H17519" s="21">
        <v>798.17</v>
      </c>
    </row>
    <row r="17520" spans="1:8" customFormat="1" x14ac:dyDescent="0.25">
      <c r="A17520" t="str">
        <f>"734356"</f>
        <v>734356</v>
      </c>
      <c r="B17520" t="s">
        <v>14842</v>
      </c>
      <c r="C17520" t="s">
        <v>204</v>
      </c>
      <c r="D17520" s="21" t="s">
        <v>34</v>
      </c>
      <c r="E17520" s="21" t="s">
        <v>71</v>
      </c>
      <c r="F17520">
        <v>1380262</v>
      </c>
      <c r="G17520" t="s">
        <v>1216</v>
      </c>
      <c r="H17520" s="21">
        <v>798.17</v>
      </c>
    </row>
    <row r="17521" spans="1:8" customFormat="1" x14ac:dyDescent="0.25">
      <c r="A17521" t="str">
        <f>"2933708"</f>
        <v>2933708</v>
      </c>
      <c r="B17521" t="s">
        <v>14275</v>
      </c>
      <c r="C17521" t="s">
        <v>712</v>
      </c>
      <c r="D17521" s="21" t="s">
        <v>34</v>
      </c>
      <c r="E17521" s="21" t="s">
        <v>35</v>
      </c>
      <c r="F17521">
        <v>3290006</v>
      </c>
      <c r="G17521" t="s">
        <v>13009</v>
      </c>
      <c r="H17521" s="21">
        <v>798.17</v>
      </c>
    </row>
    <row r="17522" spans="1:8" customFormat="1" x14ac:dyDescent="0.25">
      <c r="A17522" t="str">
        <f>"6917079"</f>
        <v>6917079</v>
      </c>
      <c r="B17522" t="s">
        <v>13787</v>
      </c>
      <c r="C17522" t="s">
        <v>130</v>
      </c>
      <c r="D17522" s="21" t="s">
        <v>34</v>
      </c>
      <c r="E17522" s="21" t="s">
        <v>254</v>
      </c>
      <c r="F17522">
        <v>1690175</v>
      </c>
      <c r="G17522" t="s">
        <v>410</v>
      </c>
      <c r="H17522" s="21">
        <v>798.17</v>
      </c>
    </row>
    <row r="17523" spans="1:8" customFormat="1" x14ac:dyDescent="0.25">
      <c r="A17523" t="str">
        <f>"4429883"</f>
        <v>4429883</v>
      </c>
      <c r="B17523" t="s">
        <v>16820</v>
      </c>
      <c r="C17523" t="s">
        <v>253</v>
      </c>
      <c r="D17523" s="21" t="s">
        <v>34</v>
      </c>
      <c r="E17523" s="21" t="s">
        <v>254</v>
      </c>
      <c r="F17523">
        <v>12440218</v>
      </c>
      <c r="G17523" t="s">
        <v>8477</v>
      </c>
      <c r="H17523" s="21">
        <v>798.17</v>
      </c>
    </row>
    <row r="17524" spans="1:8" customFormat="1" x14ac:dyDescent="0.25">
      <c r="A17524" t="str">
        <f>"3819267"</f>
        <v>3819267</v>
      </c>
      <c r="B17524" t="s">
        <v>15264</v>
      </c>
      <c r="C17524" t="s">
        <v>817</v>
      </c>
      <c r="D17524" s="21" t="s">
        <v>34</v>
      </c>
      <c r="E17524" s="21" t="s">
        <v>71</v>
      </c>
      <c r="F17524">
        <v>1690166</v>
      </c>
      <c r="G17524" t="s">
        <v>3886</v>
      </c>
      <c r="H17524" s="21">
        <v>798.17</v>
      </c>
    </row>
    <row r="17525" spans="1:8" customFormat="1" x14ac:dyDescent="0.25">
      <c r="A17525" t="str">
        <f>"595302"</f>
        <v>595302</v>
      </c>
      <c r="B17525" t="s">
        <v>14255</v>
      </c>
      <c r="C17525" t="s">
        <v>109</v>
      </c>
      <c r="D17525" s="21" t="s">
        <v>34</v>
      </c>
      <c r="E17525" s="21" t="s">
        <v>35</v>
      </c>
      <c r="F17525">
        <v>7590050</v>
      </c>
      <c r="G17525" t="s">
        <v>473</v>
      </c>
      <c r="H17525" s="21">
        <v>798.17</v>
      </c>
    </row>
    <row r="17526" spans="1:8" customFormat="1" x14ac:dyDescent="0.25">
      <c r="A17526" t="str">
        <f>"3713906"</f>
        <v>3713906</v>
      </c>
      <c r="B17526" t="s">
        <v>15596</v>
      </c>
      <c r="C17526" t="s">
        <v>2693</v>
      </c>
      <c r="D17526" s="21" t="s">
        <v>34</v>
      </c>
      <c r="E17526" s="21" t="s">
        <v>71</v>
      </c>
      <c r="F17526">
        <v>4370464</v>
      </c>
      <c r="G17526" t="s">
        <v>5348</v>
      </c>
      <c r="H17526" s="21">
        <v>798.17</v>
      </c>
    </row>
    <row r="17527" spans="1:8" customFormat="1" x14ac:dyDescent="0.25">
      <c r="A17527" t="str">
        <f>"5318961"</f>
        <v>5318961</v>
      </c>
      <c r="B17527" t="s">
        <v>14253</v>
      </c>
      <c r="C17527" t="s">
        <v>40</v>
      </c>
      <c r="D17527" s="21" t="s">
        <v>34</v>
      </c>
      <c r="E17527" s="21" t="s">
        <v>71</v>
      </c>
      <c r="F17527">
        <v>12530058</v>
      </c>
      <c r="G17527" t="s">
        <v>3128</v>
      </c>
      <c r="H17527" s="21">
        <v>798.17</v>
      </c>
    </row>
    <row r="17528" spans="1:8" customFormat="1" x14ac:dyDescent="0.25">
      <c r="A17528" t="str">
        <f>"2914079"</f>
        <v>2914079</v>
      </c>
      <c r="B17528" t="s">
        <v>9540</v>
      </c>
      <c r="C17528" t="s">
        <v>486</v>
      </c>
      <c r="D17528" s="21" t="s">
        <v>34</v>
      </c>
      <c r="E17528" s="21" t="s">
        <v>35</v>
      </c>
      <c r="F17528">
        <v>3290039</v>
      </c>
      <c r="G17528" t="s">
        <v>3988</v>
      </c>
      <c r="H17528" s="21">
        <v>798.17</v>
      </c>
    </row>
    <row r="17529" spans="1:8" customFormat="1" x14ac:dyDescent="0.25">
      <c r="A17529" t="str">
        <f>"198081"</f>
        <v>198081</v>
      </c>
      <c r="B17529" t="s">
        <v>3916</v>
      </c>
      <c r="C17529" t="s">
        <v>169</v>
      </c>
      <c r="D17529" s="21" t="s">
        <v>34</v>
      </c>
      <c r="E17529" s="21" t="s">
        <v>35</v>
      </c>
      <c r="F17529">
        <v>10190134</v>
      </c>
      <c r="G17529" t="s">
        <v>27150</v>
      </c>
      <c r="H17529" s="21">
        <v>798.17</v>
      </c>
    </row>
    <row r="17530" spans="1:8" customFormat="1" x14ac:dyDescent="0.25">
      <c r="A17530" t="str">
        <f>"754750"</f>
        <v>754750</v>
      </c>
      <c r="B17530" t="s">
        <v>17403</v>
      </c>
      <c r="C17530" t="s">
        <v>249</v>
      </c>
      <c r="D17530" s="21" t="s">
        <v>34</v>
      </c>
      <c r="E17530" s="21" t="s">
        <v>71</v>
      </c>
      <c r="F17530">
        <v>6670141</v>
      </c>
      <c r="G17530" t="s">
        <v>5030</v>
      </c>
      <c r="H17530" s="21">
        <v>798.17</v>
      </c>
    </row>
    <row r="17531" spans="1:8" customFormat="1" x14ac:dyDescent="0.25">
      <c r="A17531" t="str">
        <f>"4112798"</f>
        <v>4112798</v>
      </c>
      <c r="B17531" t="s">
        <v>431</v>
      </c>
      <c r="C17531" t="s">
        <v>1620</v>
      </c>
      <c r="D17531" s="21" t="s">
        <v>34</v>
      </c>
      <c r="E17531" s="21" t="s">
        <v>71</v>
      </c>
      <c r="F17531">
        <v>4410546</v>
      </c>
      <c r="G17531" t="s">
        <v>5001</v>
      </c>
      <c r="H17531" s="21">
        <v>798.17</v>
      </c>
    </row>
    <row r="17532" spans="1:8" customFormat="1" x14ac:dyDescent="0.25">
      <c r="A17532" t="str">
        <f>"957547"</f>
        <v>957547</v>
      </c>
      <c r="B17532" t="s">
        <v>15124</v>
      </c>
      <c r="C17532" t="s">
        <v>1271</v>
      </c>
      <c r="D17532" s="21" t="s">
        <v>34</v>
      </c>
      <c r="E17532" s="21" t="s">
        <v>254</v>
      </c>
      <c r="F17532">
        <v>8951312</v>
      </c>
      <c r="G17532" t="s">
        <v>1007</v>
      </c>
      <c r="H17532" s="21">
        <v>798.04</v>
      </c>
    </row>
    <row r="17533" spans="1:8" customFormat="1" x14ac:dyDescent="0.25">
      <c r="A17533" t="str">
        <f>"6947631"</f>
        <v>6947631</v>
      </c>
      <c r="B17533" t="s">
        <v>1669</v>
      </c>
      <c r="C17533" t="s">
        <v>43</v>
      </c>
      <c r="D17533" s="21" t="s">
        <v>34</v>
      </c>
      <c r="E17533" s="21" t="s">
        <v>35</v>
      </c>
      <c r="F17533">
        <v>1690109</v>
      </c>
      <c r="G17533" t="s">
        <v>3028</v>
      </c>
      <c r="H17533" s="21">
        <v>797.92</v>
      </c>
    </row>
    <row r="17534" spans="1:8" customFormat="1" x14ac:dyDescent="0.25">
      <c r="A17534" t="str">
        <f>"7711493"</f>
        <v>7711493</v>
      </c>
      <c r="B17534" t="s">
        <v>14519</v>
      </c>
      <c r="C17534" t="s">
        <v>1110</v>
      </c>
      <c r="D17534" s="21" t="s">
        <v>34</v>
      </c>
      <c r="E17534" s="21" t="s">
        <v>1089</v>
      </c>
      <c r="F17534">
        <v>13060064</v>
      </c>
      <c r="G17534" t="s">
        <v>976</v>
      </c>
      <c r="H17534" s="21">
        <v>797.92</v>
      </c>
    </row>
    <row r="17535" spans="1:8" customFormat="1" x14ac:dyDescent="0.25">
      <c r="A17535" t="str">
        <f>"354795"</f>
        <v>354795</v>
      </c>
      <c r="B17535" t="s">
        <v>12719</v>
      </c>
      <c r="C17535" t="s">
        <v>598</v>
      </c>
      <c r="D17535" s="21" t="s">
        <v>34</v>
      </c>
      <c r="E17535" s="21" t="s">
        <v>1089</v>
      </c>
      <c r="F17535">
        <v>3350063</v>
      </c>
      <c r="G17535" t="s">
        <v>14782</v>
      </c>
      <c r="H17535" s="21">
        <v>797.67</v>
      </c>
    </row>
    <row r="17536" spans="1:8" customFormat="1" x14ac:dyDescent="0.25">
      <c r="A17536" t="str">
        <f>"3531179"</f>
        <v>3531179</v>
      </c>
      <c r="B17536" t="s">
        <v>14318</v>
      </c>
      <c r="C17536" t="s">
        <v>249</v>
      </c>
      <c r="D17536" s="21" t="s">
        <v>34</v>
      </c>
      <c r="E17536" s="21" t="s">
        <v>35</v>
      </c>
      <c r="F17536">
        <v>3350091</v>
      </c>
      <c r="G17536" t="s">
        <v>5864</v>
      </c>
      <c r="H17536" s="21">
        <v>797.67</v>
      </c>
    </row>
    <row r="17537" spans="1:8" customFormat="1" x14ac:dyDescent="0.25">
      <c r="A17537" t="str">
        <f>"836347"</f>
        <v>836347</v>
      </c>
      <c r="B17537" t="s">
        <v>11072</v>
      </c>
      <c r="C17537" t="s">
        <v>109</v>
      </c>
      <c r="D17537" s="21" t="s">
        <v>34</v>
      </c>
      <c r="E17537" s="21" t="s">
        <v>71</v>
      </c>
      <c r="F17537">
        <v>13830016</v>
      </c>
      <c r="G17537" t="s">
        <v>12055</v>
      </c>
      <c r="H17537" s="21">
        <v>797.67</v>
      </c>
    </row>
    <row r="17538" spans="1:8" customFormat="1" x14ac:dyDescent="0.25">
      <c r="A17538" t="str">
        <f>"6715237"</f>
        <v>6715237</v>
      </c>
      <c r="B17538" t="s">
        <v>13834</v>
      </c>
      <c r="C17538" t="s">
        <v>55</v>
      </c>
      <c r="D17538" s="21" t="s">
        <v>34</v>
      </c>
      <c r="E17538" s="21" t="s">
        <v>71</v>
      </c>
      <c r="F17538">
        <v>6670002</v>
      </c>
      <c r="G17538" t="s">
        <v>5740</v>
      </c>
      <c r="H17538" s="21">
        <v>797.67</v>
      </c>
    </row>
    <row r="17539" spans="1:8" customFormat="1" x14ac:dyDescent="0.25">
      <c r="A17539" t="str">
        <f>"6933331"</f>
        <v>6933331</v>
      </c>
      <c r="B17539" t="s">
        <v>15670</v>
      </c>
      <c r="C17539" t="s">
        <v>65</v>
      </c>
      <c r="D17539" s="21" t="s">
        <v>34</v>
      </c>
      <c r="E17539" s="21" t="s">
        <v>71</v>
      </c>
      <c r="F17539">
        <v>1690105</v>
      </c>
      <c r="G17539" t="s">
        <v>9580</v>
      </c>
      <c r="H17539" s="21">
        <v>797.67</v>
      </c>
    </row>
    <row r="17540" spans="1:8" customFormat="1" x14ac:dyDescent="0.25">
      <c r="A17540" t="str">
        <f>"949095"</f>
        <v>949095</v>
      </c>
      <c r="B17540" t="s">
        <v>15427</v>
      </c>
      <c r="C17540" t="s">
        <v>1832</v>
      </c>
      <c r="D17540" s="21" t="s">
        <v>34</v>
      </c>
      <c r="E17540" s="21" t="s">
        <v>35</v>
      </c>
      <c r="F17540">
        <v>8941352</v>
      </c>
      <c r="G17540" t="s">
        <v>3778</v>
      </c>
      <c r="H17540" s="21">
        <v>797.67</v>
      </c>
    </row>
    <row r="17541" spans="1:8" customFormat="1" x14ac:dyDescent="0.25">
      <c r="A17541" t="str">
        <f>"33364"</f>
        <v>33364</v>
      </c>
      <c r="B17541" t="s">
        <v>13981</v>
      </c>
      <c r="C17541" t="s">
        <v>236</v>
      </c>
      <c r="D17541" s="21" t="s">
        <v>34</v>
      </c>
      <c r="E17541" s="21" t="s">
        <v>254</v>
      </c>
      <c r="F17541">
        <v>10330010</v>
      </c>
      <c r="G17541" t="s">
        <v>2831</v>
      </c>
      <c r="H17541" s="21">
        <v>797.67</v>
      </c>
    </row>
    <row r="17542" spans="1:8" customFormat="1" x14ac:dyDescent="0.25">
      <c r="A17542" t="str">
        <f>"394997"</f>
        <v>394997</v>
      </c>
      <c r="B17542" t="s">
        <v>1601</v>
      </c>
      <c r="C17542" t="s">
        <v>263</v>
      </c>
      <c r="D17542" s="21" t="s">
        <v>34</v>
      </c>
      <c r="E17542" s="21" t="s">
        <v>254</v>
      </c>
      <c r="F17542">
        <v>2390094</v>
      </c>
      <c r="G17542" t="s">
        <v>14784</v>
      </c>
      <c r="H17542" s="21">
        <v>797.67</v>
      </c>
    </row>
    <row r="17543" spans="1:8" customFormat="1" x14ac:dyDescent="0.25">
      <c r="A17543" t="str">
        <f>"276841"</f>
        <v>276841</v>
      </c>
      <c r="B17543" t="s">
        <v>12114</v>
      </c>
      <c r="C17543" t="s">
        <v>151</v>
      </c>
      <c r="D17543" s="21" t="s">
        <v>34</v>
      </c>
      <c r="E17543" s="21" t="s">
        <v>35</v>
      </c>
      <c r="F17543">
        <v>9270152</v>
      </c>
      <c r="G17543" t="s">
        <v>1985</v>
      </c>
      <c r="H17543" s="21">
        <v>797.67</v>
      </c>
    </row>
    <row r="17544" spans="1:8" customFormat="1" x14ac:dyDescent="0.25">
      <c r="A17544" t="str">
        <f>"2617303"</f>
        <v>2617303</v>
      </c>
      <c r="B17544" t="s">
        <v>213</v>
      </c>
      <c r="C17544" t="s">
        <v>169</v>
      </c>
      <c r="D17544" s="21" t="s">
        <v>34</v>
      </c>
      <c r="E17544" s="21" t="s">
        <v>35</v>
      </c>
      <c r="F17544">
        <v>1260054</v>
      </c>
      <c r="G17544" t="s">
        <v>358</v>
      </c>
      <c r="H17544" s="21">
        <v>797.67</v>
      </c>
    </row>
    <row r="17545" spans="1:8" customFormat="1" x14ac:dyDescent="0.25">
      <c r="A17545" t="str">
        <f>"14282"</f>
        <v>14282</v>
      </c>
      <c r="B17545" t="s">
        <v>13715</v>
      </c>
      <c r="C17545" t="s">
        <v>379</v>
      </c>
      <c r="D17545" s="21" t="s">
        <v>34</v>
      </c>
      <c r="E17545" s="21" t="s">
        <v>1089</v>
      </c>
      <c r="F17545">
        <v>9140185</v>
      </c>
      <c r="G17545" t="s">
        <v>1578</v>
      </c>
      <c r="H17545" s="21">
        <v>797.67</v>
      </c>
    </row>
    <row r="17546" spans="1:8" customFormat="1" x14ac:dyDescent="0.25">
      <c r="A17546" t="str">
        <f>"7812414"</f>
        <v>7812414</v>
      </c>
      <c r="B17546" t="s">
        <v>27484</v>
      </c>
      <c r="C17546" t="s">
        <v>510</v>
      </c>
      <c r="D17546" s="21" t="s">
        <v>34</v>
      </c>
      <c r="E17546" s="21" t="s">
        <v>35</v>
      </c>
      <c r="F17546">
        <v>8781333</v>
      </c>
      <c r="G17546" t="s">
        <v>14833</v>
      </c>
      <c r="H17546" s="21">
        <v>797.67</v>
      </c>
    </row>
    <row r="17547" spans="1:8" customFormat="1" x14ac:dyDescent="0.25">
      <c r="A17547" t="str">
        <f>"5318301"</f>
        <v>5318301</v>
      </c>
      <c r="B17547" t="s">
        <v>14697</v>
      </c>
      <c r="C17547" t="s">
        <v>249</v>
      </c>
      <c r="D17547" s="21" t="s">
        <v>34</v>
      </c>
      <c r="E17547" s="21" t="s">
        <v>35</v>
      </c>
      <c r="F17547">
        <v>12530077</v>
      </c>
      <c r="G17547" t="s">
        <v>9191</v>
      </c>
      <c r="H17547" s="21">
        <v>797.67</v>
      </c>
    </row>
    <row r="17548" spans="1:8" customFormat="1" x14ac:dyDescent="0.25">
      <c r="A17548" t="str">
        <f>"3113656"</f>
        <v>3113656</v>
      </c>
      <c r="B17548" t="s">
        <v>7041</v>
      </c>
      <c r="C17548" t="s">
        <v>130</v>
      </c>
      <c r="D17548" s="21" t="s">
        <v>34</v>
      </c>
      <c r="E17548" s="21" t="s">
        <v>71</v>
      </c>
      <c r="F17548">
        <v>11310129</v>
      </c>
      <c r="G17548" t="s">
        <v>4672</v>
      </c>
      <c r="H17548" s="21">
        <v>797.67</v>
      </c>
    </row>
    <row r="17549" spans="1:8" customFormat="1" x14ac:dyDescent="0.25">
      <c r="A17549" t="str">
        <f>"3749"</f>
        <v>3749</v>
      </c>
      <c r="B17549" t="s">
        <v>3009</v>
      </c>
      <c r="C17549" t="s">
        <v>209</v>
      </c>
      <c r="D17549" s="21" t="s">
        <v>34</v>
      </c>
      <c r="E17549" s="21" t="s">
        <v>254</v>
      </c>
      <c r="F17549">
        <v>4370001</v>
      </c>
      <c r="G17549" t="s">
        <v>957</v>
      </c>
      <c r="H17549" s="21">
        <v>797.67</v>
      </c>
    </row>
    <row r="17550" spans="1:8" customFormat="1" x14ac:dyDescent="0.25">
      <c r="A17550" t="str">
        <f>"7512540"</f>
        <v>7512540</v>
      </c>
      <c r="B17550" t="s">
        <v>14609</v>
      </c>
      <c r="C17550" t="s">
        <v>239</v>
      </c>
      <c r="D17550" s="21" t="s">
        <v>34</v>
      </c>
      <c r="E17550" s="21" t="s">
        <v>254</v>
      </c>
      <c r="F17550">
        <v>8751058</v>
      </c>
      <c r="G17550" t="s">
        <v>4202</v>
      </c>
      <c r="H17550" s="21">
        <v>797.67</v>
      </c>
    </row>
    <row r="17551" spans="1:8" customFormat="1" x14ac:dyDescent="0.25">
      <c r="A17551" t="str">
        <f>"1425801"</f>
        <v>1425801</v>
      </c>
      <c r="B17551" t="s">
        <v>19705</v>
      </c>
      <c r="C17551" t="s">
        <v>412</v>
      </c>
      <c r="D17551" s="21" t="s">
        <v>34</v>
      </c>
      <c r="E17551" s="21" t="s">
        <v>71</v>
      </c>
      <c r="F17551">
        <v>9140078</v>
      </c>
      <c r="G17551" t="s">
        <v>1920</v>
      </c>
      <c r="H17551" s="21">
        <v>797.67</v>
      </c>
    </row>
    <row r="17552" spans="1:8" customFormat="1" x14ac:dyDescent="0.25">
      <c r="A17552" t="str">
        <f>"642628"</f>
        <v>642628</v>
      </c>
      <c r="B17552" t="s">
        <v>13170</v>
      </c>
      <c r="C17552" t="s">
        <v>412</v>
      </c>
      <c r="D17552" s="21" t="s">
        <v>34</v>
      </c>
      <c r="E17552" s="21" t="s">
        <v>254</v>
      </c>
      <c r="F17552">
        <v>10640013</v>
      </c>
      <c r="G17552" t="s">
        <v>4626</v>
      </c>
      <c r="H17552" s="21">
        <v>797.67</v>
      </c>
    </row>
    <row r="17553" spans="1:8" customFormat="1" x14ac:dyDescent="0.25">
      <c r="A17553" t="str">
        <f>"761931"</f>
        <v>761931</v>
      </c>
      <c r="B17553" t="s">
        <v>3709</v>
      </c>
      <c r="C17553" t="s">
        <v>328</v>
      </c>
      <c r="D17553" s="21" t="s">
        <v>34</v>
      </c>
      <c r="E17553" s="21" t="s">
        <v>71</v>
      </c>
      <c r="F17553">
        <v>9760461</v>
      </c>
      <c r="G17553" t="s">
        <v>6804</v>
      </c>
      <c r="H17553" s="21">
        <v>797.67</v>
      </c>
    </row>
    <row r="17554" spans="1:8" customFormat="1" x14ac:dyDescent="0.25">
      <c r="A17554" t="str">
        <f>"9451692"</f>
        <v>9451692</v>
      </c>
      <c r="B17554" t="s">
        <v>16927</v>
      </c>
      <c r="C17554" t="s">
        <v>10958</v>
      </c>
      <c r="D17554" s="21" t="s">
        <v>34</v>
      </c>
      <c r="E17554" s="21" t="s">
        <v>35</v>
      </c>
      <c r="F17554">
        <v>8940482</v>
      </c>
      <c r="G17554" t="s">
        <v>2560</v>
      </c>
      <c r="H17554" s="21">
        <v>797.67</v>
      </c>
    </row>
    <row r="17555" spans="1:8" customFormat="1" x14ac:dyDescent="0.25">
      <c r="A17555" t="str">
        <f>"421159"</f>
        <v>421159</v>
      </c>
      <c r="B17555" t="s">
        <v>14432</v>
      </c>
      <c r="C17555" t="s">
        <v>204</v>
      </c>
      <c r="D17555" s="21" t="s">
        <v>34</v>
      </c>
      <c r="E17555" s="21" t="s">
        <v>35</v>
      </c>
      <c r="F17555">
        <v>1380275</v>
      </c>
      <c r="G17555" t="s">
        <v>8042</v>
      </c>
      <c r="H17555" s="21">
        <v>797.67</v>
      </c>
    </row>
    <row r="17556" spans="1:8" customFormat="1" x14ac:dyDescent="0.25">
      <c r="A17556" t="str">
        <f>"5979422"</f>
        <v>5979422</v>
      </c>
      <c r="B17556" t="s">
        <v>16012</v>
      </c>
      <c r="C17556" t="s">
        <v>55</v>
      </c>
      <c r="D17556" s="21" t="s">
        <v>34</v>
      </c>
      <c r="E17556" s="21" t="s">
        <v>35</v>
      </c>
      <c r="F17556">
        <v>7590412</v>
      </c>
      <c r="G17556" t="s">
        <v>489</v>
      </c>
      <c r="H17556" s="21">
        <v>797.67</v>
      </c>
    </row>
    <row r="17557" spans="1:8" customFormat="1" x14ac:dyDescent="0.25">
      <c r="A17557" t="str">
        <f>"9147068"</f>
        <v>9147068</v>
      </c>
      <c r="B17557" t="s">
        <v>22890</v>
      </c>
      <c r="C17557" t="s">
        <v>275</v>
      </c>
      <c r="D17557" s="21" t="s">
        <v>34</v>
      </c>
      <c r="E17557" s="21" t="s">
        <v>35</v>
      </c>
      <c r="F17557">
        <v>8910861</v>
      </c>
      <c r="G17557" t="s">
        <v>1120</v>
      </c>
      <c r="H17557" s="21">
        <v>797.42</v>
      </c>
    </row>
    <row r="17558" spans="1:8" customFormat="1" x14ac:dyDescent="0.25">
      <c r="A17558" t="str">
        <f>"5983261"</f>
        <v>5983261</v>
      </c>
      <c r="B17558" t="s">
        <v>27485</v>
      </c>
      <c r="C17558" t="s">
        <v>253</v>
      </c>
      <c r="D17558" s="21" t="s">
        <v>34</v>
      </c>
      <c r="E17558" s="21" t="s">
        <v>35</v>
      </c>
      <c r="F17558">
        <v>7590184</v>
      </c>
      <c r="G17558" t="s">
        <v>6722</v>
      </c>
      <c r="H17558" s="21">
        <v>797.42</v>
      </c>
    </row>
    <row r="17559" spans="1:8" customFormat="1" x14ac:dyDescent="0.25">
      <c r="A17559" t="str">
        <f>"3339307"</f>
        <v>3339307</v>
      </c>
      <c r="B17559" t="s">
        <v>15088</v>
      </c>
      <c r="C17559" t="s">
        <v>139</v>
      </c>
      <c r="D17559" s="21" t="s">
        <v>34</v>
      </c>
      <c r="E17559" s="21" t="s">
        <v>71</v>
      </c>
      <c r="F17559">
        <v>10330031</v>
      </c>
      <c r="G17559" t="s">
        <v>2452</v>
      </c>
      <c r="H17559" s="21">
        <v>797.42</v>
      </c>
    </row>
    <row r="17560" spans="1:8" customFormat="1" x14ac:dyDescent="0.25">
      <c r="A17560" t="str">
        <f>"7519189"</f>
        <v>7519189</v>
      </c>
      <c r="B17560" t="s">
        <v>2313</v>
      </c>
      <c r="C17560" t="s">
        <v>15063</v>
      </c>
      <c r="D17560" s="21" t="s">
        <v>34</v>
      </c>
      <c r="E17560" s="21" t="s">
        <v>254</v>
      </c>
      <c r="F17560">
        <v>8751271</v>
      </c>
      <c r="G17560" t="s">
        <v>1067</v>
      </c>
      <c r="H17560" s="21">
        <v>797.42</v>
      </c>
    </row>
    <row r="17561" spans="1:8" customFormat="1" x14ac:dyDescent="0.25">
      <c r="A17561" t="str">
        <f>"2934573"</f>
        <v>2934573</v>
      </c>
      <c r="B17561" t="s">
        <v>16196</v>
      </c>
      <c r="C17561" t="s">
        <v>598</v>
      </c>
      <c r="D17561" s="21" t="s">
        <v>34</v>
      </c>
      <c r="E17561" s="21" t="s">
        <v>71</v>
      </c>
      <c r="F17561">
        <v>3290215</v>
      </c>
      <c r="G17561" t="s">
        <v>5058</v>
      </c>
      <c r="H17561" s="21">
        <v>797.29</v>
      </c>
    </row>
    <row r="17562" spans="1:8" customFormat="1" x14ac:dyDescent="0.25">
      <c r="A17562" t="str">
        <f>"7730366"</f>
        <v>7730366</v>
      </c>
      <c r="B17562" t="s">
        <v>9033</v>
      </c>
      <c r="C17562" t="s">
        <v>10412</v>
      </c>
      <c r="D17562" s="21" t="s">
        <v>34</v>
      </c>
      <c r="E17562" s="21" t="s">
        <v>35</v>
      </c>
      <c r="F17562">
        <v>8771154</v>
      </c>
      <c r="G17562" t="s">
        <v>3625</v>
      </c>
      <c r="H17562" s="21">
        <v>797.29</v>
      </c>
    </row>
    <row r="17563" spans="1:8" customFormat="1" x14ac:dyDescent="0.25">
      <c r="A17563" t="str">
        <f>"015285"</f>
        <v>015285</v>
      </c>
      <c r="B17563" t="s">
        <v>14582</v>
      </c>
      <c r="C17563" t="s">
        <v>198</v>
      </c>
      <c r="D17563" s="21" t="s">
        <v>34</v>
      </c>
      <c r="E17563" s="21" t="s">
        <v>71</v>
      </c>
      <c r="F17563">
        <v>1010033</v>
      </c>
      <c r="G17563" t="s">
        <v>14583</v>
      </c>
      <c r="H17563" s="21">
        <v>797.17</v>
      </c>
    </row>
    <row r="17564" spans="1:8" customFormat="1" x14ac:dyDescent="0.25">
      <c r="A17564" t="str">
        <f>"452491"</f>
        <v>452491</v>
      </c>
      <c r="B17564" t="s">
        <v>4652</v>
      </c>
      <c r="C17564" t="s">
        <v>144</v>
      </c>
      <c r="D17564" s="21" t="s">
        <v>34</v>
      </c>
      <c r="E17564" s="21" t="s">
        <v>254</v>
      </c>
      <c r="F17564">
        <v>4450450</v>
      </c>
      <c r="G17564" t="s">
        <v>15140</v>
      </c>
      <c r="H17564" s="21">
        <v>797.17</v>
      </c>
    </row>
    <row r="17565" spans="1:8" customFormat="1" x14ac:dyDescent="0.25">
      <c r="A17565" t="str">
        <f>"7637115"</f>
        <v>7637115</v>
      </c>
      <c r="B17565" t="s">
        <v>15964</v>
      </c>
      <c r="C17565" t="s">
        <v>33</v>
      </c>
      <c r="D17565" s="21" t="s">
        <v>34</v>
      </c>
      <c r="E17565" s="21" t="s">
        <v>71</v>
      </c>
      <c r="F17565">
        <v>9760011</v>
      </c>
      <c r="G17565" t="s">
        <v>2562</v>
      </c>
      <c r="H17565" s="21">
        <v>797.17</v>
      </c>
    </row>
    <row r="17566" spans="1:8" customFormat="1" x14ac:dyDescent="0.25">
      <c r="A17566" t="str">
        <f>"5965867"</f>
        <v>5965867</v>
      </c>
      <c r="B17566" t="s">
        <v>15822</v>
      </c>
      <c r="C17566" t="s">
        <v>60</v>
      </c>
      <c r="D17566" s="21" t="s">
        <v>34</v>
      </c>
      <c r="E17566" s="21" t="s">
        <v>35</v>
      </c>
      <c r="F17566">
        <v>7590379</v>
      </c>
      <c r="G17566" t="s">
        <v>13711</v>
      </c>
      <c r="H17566" s="21">
        <v>797.17</v>
      </c>
    </row>
    <row r="17567" spans="1:8" customFormat="1" x14ac:dyDescent="0.25">
      <c r="A17567" t="str">
        <f>"2719311"</f>
        <v>2719311</v>
      </c>
      <c r="B17567" t="s">
        <v>15978</v>
      </c>
      <c r="C17567" t="s">
        <v>263</v>
      </c>
      <c r="D17567" s="21" t="s">
        <v>34</v>
      </c>
      <c r="E17567" s="21" t="s">
        <v>71</v>
      </c>
      <c r="F17567">
        <v>9270008</v>
      </c>
      <c r="G17567" t="s">
        <v>7853</v>
      </c>
      <c r="H17567" s="21">
        <v>797.17</v>
      </c>
    </row>
    <row r="17568" spans="1:8" customFormat="1" x14ac:dyDescent="0.25">
      <c r="A17568" t="str">
        <f>"547473"</f>
        <v>547473</v>
      </c>
      <c r="B17568" t="s">
        <v>14408</v>
      </c>
      <c r="C17568" t="s">
        <v>1199</v>
      </c>
      <c r="D17568" s="21" t="s">
        <v>34</v>
      </c>
      <c r="E17568" s="21" t="s">
        <v>254</v>
      </c>
      <c r="F17568">
        <v>6540184</v>
      </c>
      <c r="G17568" t="s">
        <v>4395</v>
      </c>
      <c r="H17568" s="21">
        <v>797.17</v>
      </c>
    </row>
    <row r="17569" spans="1:8" customFormat="1" x14ac:dyDescent="0.25">
      <c r="A17569" t="str">
        <f>"7920296"</f>
        <v>7920296</v>
      </c>
      <c r="B17569" t="s">
        <v>12349</v>
      </c>
      <c r="C17569" t="s">
        <v>598</v>
      </c>
      <c r="D17569" s="21" t="s">
        <v>34</v>
      </c>
      <c r="E17569" s="21" t="s">
        <v>71</v>
      </c>
      <c r="F17569">
        <v>10790204</v>
      </c>
      <c r="G17569" t="s">
        <v>5681</v>
      </c>
      <c r="H17569" s="21">
        <v>797.17</v>
      </c>
    </row>
    <row r="17570" spans="1:8" customFormat="1" x14ac:dyDescent="0.25">
      <c r="A17570" t="str">
        <f>"5921586"</f>
        <v>5921586</v>
      </c>
      <c r="B17570" t="s">
        <v>8536</v>
      </c>
      <c r="C17570" t="s">
        <v>269</v>
      </c>
      <c r="D17570" s="21" t="s">
        <v>34</v>
      </c>
      <c r="E17570" s="21" t="s">
        <v>71</v>
      </c>
      <c r="F17570">
        <v>7590033</v>
      </c>
      <c r="G17570" t="s">
        <v>6329</v>
      </c>
      <c r="H17570" s="21">
        <v>797.17</v>
      </c>
    </row>
    <row r="17571" spans="1:8" customFormat="1" x14ac:dyDescent="0.25">
      <c r="A17571" t="str">
        <f>"5019969"</f>
        <v>5019969</v>
      </c>
      <c r="B17571" t="s">
        <v>11442</v>
      </c>
      <c r="C17571" t="s">
        <v>169</v>
      </c>
      <c r="D17571" s="21" t="s">
        <v>34</v>
      </c>
      <c r="E17571" s="21" t="s">
        <v>35</v>
      </c>
      <c r="F17571">
        <v>9500063</v>
      </c>
      <c r="G17571" t="s">
        <v>4114</v>
      </c>
      <c r="H17571" s="21">
        <v>797.17</v>
      </c>
    </row>
    <row r="17572" spans="1:8" customFormat="1" x14ac:dyDescent="0.25">
      <c r="A17572" t="str">
        <f>"9443992"</f>
        <v>9443992</v>
      </c>
      <c r="B17572" t="s">
        <v>9810</v>
      </c>
      <c r="C17572" t="s">
        <v>5701</v>
      </c>
      <c r="D17572" s="21" t="s">
        <v>34</v>
      </c>
      <c r="E17572" s="21" t="s">
        <v>35</v>
      </c>
      <c r="F17572">
        <v>8941461</v>
      </c>
      <c r="G17572" t="s">
        <v>10447</v>
      </c>
      <c r="H17572" s="21">
        <v>797.17</v>
      </c>
    </row>
    <row r="17573" spans="1:8" customFormat="1" x14ac:dyDescent="0.25">
      <c r="A17573" t="str">
        <f>"9126521"</f>
        <v>9126521</v>
      </c>
      <c r="B17573" t="s">
        <v>13528</v>
      </c>
      <c r="C17573" t="s">
        <v>269</v>
      </c>
      <c r="D17573" s="21" t="s">
        <v>34</v>
      </c>
      <c r="E17573" s="21" t="s">
        <v>71</v>
      </c>
      <c r="F17573">
        <v>8910652</v>
      </c>
      <c r="G17573" t="s">
        <v>6533</v>
      </c>
      <c r="H17573" s="21">
        <v>797.17</v>
      </c>
    </row>
    <row r="17574" spans="1:8" customFormat="1" x14ac:dyDescent="0.25">
      <c r="A17574" t="str">
        <f>"275854"</f>
        <v>275854</v>
      </c>
      <c r="B17574" t="s">
        <v>12567</v>
      </c>
      <c r="C17574" t="s">
        <v>2305</v>
      </c>
      <c r="D17574" s="21" t="s">
        <v>34</v>
      </c>
      <c r="E17574" s="21" t="s">
        <v>71</v>
      </c>
      <c r="F17574">
        <v>9270097</v>
      </c>
      <c r="G17574" t="s">
        <v>9759</v>
      </c>
      <c r="H17574" s="21">
        <v>797.17</v>
      </c>
    </row>
    <row r="17575" spans="1:8" customFormat="1" x14ac:dyDescent="0.25">
      <c r="A17575" t="str">
        <f>"3723604"</f>
        <v>3723604</v>
      </c>
      <c r="B17575" t="s">
        <v>13847</v>
      </c>
      <c r="C17575" t="s">
        <v>2546</v>
      </c>
      <c r="D17575" s="21" t="s">
        <v>34</v>
      </c>
      <c r="E17575" s="21" t="s">
        <v>71</v>
      </c>
      <c r="F17575">
        <v>4370346</v>
      </c>
      <c r="G17575" t="s">
        <v>8269</v>
      </c>
      <c r="H17575" s="21">
        <v>797.17</v>
      </c>
    </row>
    <row r="17576" spans="1:8" customFormat="1" x14ac:dyDescent="0.25">
      <c r="A17576" t="str">
        <f>"63881"</f>
        <v>63881</v>
      </c>
      <c r="B17576" t="s">
        <v>9277</v>
      </c>
      <c r="C17576" t="s">
        <v>124</v>
      </c>
      <c r="D17576" s="21" t="s">
        <v>34</v>
      </c>
      <c r="E17576" s="21" t="s">
        <v>71</v>
      </c>
      <c r="F17576">
        <v>1630185</v>
      </c>
      <c r="G17576" t="s">
        <v>858</v>
      </c>
      <c r="H17576" s="21">
        <v>797.17</v>
      </c>
    </row>
    <row r="17577" spans="1:8" customFormat="1" x14ac:dyDescent="0.25">
      <c r="A17577" t="str">
        <f>"574894"</f>
        <v>574894</v>
      </c>
      <c r="B17577" t="s">
        <v>15117</v>
      </c>
      <c r="C17577" t="s">
        <v>156</v>
      </c>
      <c r="D17577" s="21" t="s">
        <v>34</v>
      </c>
      <c r="E17577" s="21" t="s">
        <v>71</v>
      </c>
      <c r="F17577">
        <v>6570015</v>
      </c>
      <c r="G17577" t="s">
        <v>749</v>
      </c>
      <c r="H17577" s="21">
        <v>797.17</v>
      </c>
    </row>
    <row r="17578" spans="1:8" customFormat="1" x14ac:dyDescent="0.25">
      <c r="A17578" t="str">
        <f>"608755"</f>
        <v>608755</v>
      </c>
      <c r="B17578" t="s">
        <v>13806</v>
      </c>
      <c r="C17578" t="s">
        <v>209</v>
      </c>
      <c r="D17578" s="21" t="s">
        <v>34</v>
      </c>
      <c r="E17578" s="21" t="s">
        <v>71</v>
      </c>
      <c r="F17578">
        <v>7600154</v>
      </c>
      <c r="G17578" t="s">
        <v>7836</v>
      </c>
      <c r="H17578" s="21">
        <v>797.17</v>
      </c>
    </row>
    <row r="17579" spans="1:8" customFormat="1" x14ac:dyDescent="0.25">
      <c r="A17579" t="str">
        <f>"9140319"</f>
        <v>9140319</v>
      </c>
      <c r="B17579" t="s">
        <v>2711</v>
      </c>
      <c r="C17579" t="s">
        <v>16741</v>
      </c>
      <c r="D17579" s="21" t="s">
        <v>34</v>
      </c>
      <c r="E17579" s="21" t="s">
        <v>35</v>
      </c>
      <c r="F17579">
        <v>8910578</v>
      </c>
      <c r="G17579" t="s">
        <v>5776</v>
      </c>
      <c r="H17579" s="21">
        <v>797.17</v>
      </c>
    </row>
    <row r="17580" spans="1:8" customFormat="1" x14ac:dyDescent="0.25">
      <c r="A17580" t="str">
        <f>"857384"</f>
        <v>857384</v>
      </c>
      <c r="B17580" t="s">
        <v>15879</v>
      </c>
      <c r="C17580" t="s">
        <v>664</v>
      </c>
      <c r="D17580" s="21" t="s">
        <v>34</v>
      </c>
      <c r="E17580" s="21" t="s">
        <v>71</v>
      </c>
      <c r="F17580">
        <v>12850153</v>
      </c>
      <c r="G17580" t="s">
        <v>5794</v>
      </c>
      <c r="H17580" s="21">
        <v>797.17</v>
      </c>
    </row>
    <row r="17581" spans="1:8" customFormat="1" x14ac:dyDescent="0.25">
      <c r="A17581" t="str">
        <f>"3524760"</f>
        <v>3524760</v>
      </c>
      <c r="B17581" t="s">
        <v>15180</v>
      </c>
      <c r="C17581" t="s">
        <v>1146</v>
      </c>
      <c r="D17581" s="21" t="s">
        <v>34</v>
      </c>
      <c r="E17581" s="21" t="s">
        <v>1089</v>
      </c>
      <c r="F17581">
        <v>3350022</v>
      </c>
      <c r="G17581" t="s">
        <v>1287</v>
      </c>
      <c r="H17581" s="21">
        <v>796.92</v>
      </c>
    </row>
    <row r="17582" spans="1:8" customFormat="1" x14ac:dyDescent="0.25">
      <c r="A17582" t="str">
        <f>"847103"</f>
        <v>847103</v>
      </c>
      <c r="B17582" t="s">
        <v>15388</v>
      </c>
      <c r="C17582" t="s">
        <v>2806</v>
      </c>
      <c r="D17582" s="21" t="s">
        <v>34</v>
      </c>
      <c r="E17582" s="21" t="s">
        <v>35</v>
      </c>
      <c r="F17582">
        <v>13840001</v>
      </c>
      <c r="G17582" t="s">
        <v>972</v>
      </c>
      <c r="H17582" s="21">
        <v>796.92</v>
      </c>
    </row>
    <row r="17583" spans="1:8" customFormat="1" x14ac:dyDescent="0.25">
      <c r="A17583" t="str">
        <f>"2938344"</f>
        <v>2938344</v>
      </c>
      <c r="B17583" t="s">
        <v>16489</v>
      </c>
      <c r="C17583" t="s">
        <v>209</v>
      </c>
      <c r="D17583" s="21" t="s">
        <v>34</v>
      </c>
      <c r="E17583" s="21" t="s">
        <v>71</v>
      </c>
      <c r="F17583">
        <v>3290255</v>
      </c>
      <c r="G17583" t="s">
        <v>2852</v>
      </c>
      <c r="H17583" s="21">
        <v>796.92</v>
      </c>
    </row>
    <row r="17584" spans="1:8" customFormat="1" x14ac:dyDescent="0.25">
      <c r="A17584" t="str">
        <f>"366424"</f>
        <v>366424</v>
      </c>
      <c r="B17584" t="s">
        <v>465</v>
      </c>
      <c r="C17584" t="s">
        <v>124</v>
      </c>
      <c r="D17584" s="21" t="s">
        <v>34</v>
      </c>
      <c r="E17584" s="21" t="s">
        <v>71</v>
      </c>
      <c r="F17584">
        <v>4360707</v>
      </c>
      <c r="G17584" t="s">
        <v>6621</v>
      </c>
      <c r="H17584" s="21">
        <v>796.79</v>
      </c>
    </row>
    <row r="17585" spans="1:8" customFormat="1" x14ac:dyDescent="0.25">
      <c r="A17585" t="str">
        <f>"8812787"</f>
        <v>8812787</v>
      </c>
      <c r="B17585" t="s">
        <v>650</v>
      </c>
      <c r="C17585" t="s">
        <v>1220</v>
      </c>
      <c r="D17585" s="21" t="s">
        <v>34</v>
      </c>
      <c r="E17585" s="21" t="s">
        <v>35</v>
      </c>
      <c r="F17585">
        <v>6880071</v>
      </c>
      <c r="G17585" t="s">
        <v>4226</v>
      </c>
      <c r="H17585" s="21">
        <v>796.79</v>
      </c>
    </row>
    <row r="17586" spans="1:8" customFormat="1" x14ac:dyDescent="0.25">
      <c r="A17586" t="str">
        <f>"596032"</f>
        <v>596032</v>
      </c>
      <c r="B17586" t="s">
        <v>9010</v>
      </c>
      <c r="C17586" t="s">
        <v>169</v>
      </c>
      <c r="D17586" s="21" t="s">
        <v>34</v>
      </c>
      <c r="E17586" s="21" t="s">
        <v>71</v>
      </c>
      <c r="F17586">
        <v>7590351</v>
      </c>
      <c r="G17586" t="s">
        <v>8495</v>
      </c>
      <c r="H17586" s="21">
        <v>796.67</v>
      </c>
    </row>
    <row r="17587" spans="1:8" customFormat="1" x14ac:dyDescent="0.25">
      <c r="A17587" t="str">
        <f>"38142"</f>
        <v>38142</v>
      </c>
      <c r="B17587" t="s">
        <v>14443</v>
      </c>
      <c r="C17587" t="s">
        <v>2520</v>
      </c>
      <c r="D17587" s="21" t="s">
        <v>34</v>
      </c>
      <c r="E17587" s="21" t="s">
        <v>1089</v>
      </c>
      <c r="F17587">
        <v>1380241</v>
      </c>
      <c r="G17587" t="s">
        <v>2819</v>
      </c>
      <c r="H17587" s="21">
        <v>796.67</v>
      </c>
    </row>
    <row r="17588" spans="1:8" customFormat="1" x14ac:dyDescent="0.25">
      <c r="A17588" t="str">
        <f>"343066"</f>
        <v>343066</v>
      </c>
      <c r="B17588" t="s">
        <v>146</v>
      </c>
      <c r="C17588" t="s">
        <v>547</v>
      </c>
      <c r="D17588" s="21" t="s">
        <v>34</v>
      </c>
      <c r="E17588" s="21" t="s">
        <v>254</v>
      </c>
      <c r="F17588">
        <v>11340007</v>
      </c>
      <c r="G17588" t="s">
        <v>2278</v>
      </c>
      <c r="H17588" s="21">
        <v>796.67</v>
      </c>
    </row>
    <row r="17589" spans="1:8" customFormat="1" x14ac:dyDescent="0.25">
      <c r="A17589" t="str">
        <f>"595481"</f>
        <v>595481</v>
      </c>
      <c r="B17589" t="s">
        <v>27486</v>
      </c>
      <c r="C17589" t="s">
        <v>40</v>
      </c>
      <c r="D17589" s="21" t="s">
        <v>34</v>
      </c>
      <c r="E17589" s="21" t="s">
        <v>35</v>
      </c>
      <c r="F17589">
        <v>7590006</v>
      </c>
      <c r="G17589" t="s">
        <v>4165</v>
      </c>
      <c r="H17589" s="21">
        <v>796.67</v>
      </c>
    </row>
    <row r="17590" spans="1:8" customFormat="1" x14ac:dyDescent="0.25">
      <c r="A17590" t="str">
        <f>"6944541"</f>
        <v>6944541</v>
      </c>
      <c r="B17590" t="s">
        <v>16250</v>
      </c>
      <c r="C17590" t="s">
        <v>8120</v>
      </c>
      <c r="D17590" s="21" t="s">
        <v>34</v>
      </c>
      <c r="E17590" s="21" t="s">
        <v>35</v>
      </c>
      <c r="F17590">
        <v>1690185</v>
      </c>
      <c r="G17590" t="s">
        <v>10841</v>
      </c>
      <c r="H17590" s="21">
        <v>796.67</v>
      </c>
    </row>
    <row r="17591" spans="1:8" customFormat="1" x14ac:dyDescent="0.25">
      <c r="A17591" t="str">
        <f>"626986"</f>
        <v>626986</v>
      </c>
      <c r="B17591" t="s">
        <v>12811</v>
      </c>
      <c r="C17591" t="s">
        <v>114</v>
      </c>
      <c r="D17591" s="21" t="s">
        <v>34</v>
      </c>
      <c r="E17591" s="21" t="s">
        <v>35</v>
      </c>
      <c r="F17591">
        <v>7620092</v>
      </c>
      <c r="G17591" t="s">
        <v>9874</v>
      </c>
      <c r="H17591" s="21">
        <v>796.67</v>
      </c>
    </row>
    <row r="17592" spans="1:8" customFormat="1" x14ac:dyDescent="0.25">
      <c r="A17592" t="str">
        <f>"5425414"</f>
        <v>5425414</v>
      </c>
      <c r="B17592" t="s">
        <v>15214</v>
      </c>
      <c r="C17592" t="s">
        <v>269</v>
      </c>
      <c r="D17592" s="21" t="s">
        <v>34</v>
      </c>
      <c r="E17592" s="21" t="s">
        <v>35</v>
      </c>
      <c r="F17592">
        <v>6540040</v>
      </c>
      <c r="G17592" t="s">
        <v>256</v>
      </c>
      <c r="H17592" s="21">
        <v>796.67</v>
      </c>
    </row>
    <row r="17593" spans="1:8" customFormat="1" x14ac:dyDescent="0.25">
      <c r="A17593" t="str">
        <f>"4423801"</f>
        <v>4423801</v>
      </c>
      <c r="B17593" t="s">
        <v>1074</v>
      </c>
      <c r="C17593" t="s">
        <v>1914</v>
      </c>
      <c r="D17593" s="21" t="s">
        <v>34</v>
      </c>
      <c r="E17593" s="21" t="s">
        <v>1089</v>
      </c>
      <c r="F17593">
        <v>12440136</v>
      </c>
      <c r="G17593" t="s">
        <v>3271</v>
      </c>
      <c r="H17593" s="21">
        <v>796.67</v>
      </c>
    </row>
    <row r="17594" spans="1:8" customFormat="1" x14ac:dyDescent="0.25">
      <c r="A17594" t="str">
        <f>"627718"</f>
        <v>627718</v>
      </c>
      <c r="B17594" t="s">
        <v>4609</v>
      </c>
      <c r="C17594" t="s">
        <v>209</v>
      </c>
      <c r="D17594" s="21" t="s">
        <v>34</v>
      </c>
      <c r="E17594" s="21" t="s">
        <v>71</v>
      </c>
      <c r="F17594">
        <v>2710005</v>
      </c>
      <c r="G17594" t="s">
        <v>642</v>
      </c>
      <c r="H17594" s="21">
        <v>796.67</v>
      </c>
    </row>
    <row r="17595" spans="1:8" customFormat="1" x14ac:dyDescent="0.25">
      <c r="A17595" t="str">
        <f>"7626015"</f>
        <v>7626015</v>
      </c>
      <c r="B17595" t="s">
        <v>5651</v>
      </c>
      <c r="C17595" t="s">
        <v>124</v>
      </c>
      <c r="D17595" s="21" t="s">
        <v>34</v>
      </c>
      <c r="E17595" s="21" t="s">
        <v>71</v>
      </c>
      <c r="F17595">
        <v>9760341</v>
      </c>
      <c r="G17595" t="s">
        <v>12913</v>
      </c>
      <c r="H17595" s="21">
        <v>796.67</v>
      </c>
    </row>
    <row r="17596" spans="1:8" customFormat="1" x14ac:dyDescent="0.25">
      <c r="A17596" t="str">
        <f>"294527"</f>
        <v>294527</v>
      </c>
      <c r="B17596" t="s">
        <v>6718</v>
      </c>
      <c r="C17596" t="s">
        <v>415</v>
      </c>
      <c r="D17596" s="21" t="s">
        <v>34</v>
      </c>
      <c r="E17596" s="21" t="s">
        <v>254</v>
      </c>
      <c r="F17596">
        <v>3290010</v>
      </c>
      <c r="G17596" t="s">
        <v>1453</v>
      </c>
      <c r="H17596" s="21">
        <v>796.67</v>
      </c>
    </row>
    <row r="17597" spans="1:8" customFormat="1" x14ac:dyDescent="0.25">
      <c r="A17597" t="str">
        <f>"365119"</f>
        <v>365119</v>
      </c>
      <c r="B17597" t="s">
        <v>13832</v>
      </c>
      <c r="C17597" t="s">
        <v>263</v>
      </c>
      <c r="D17597" s="21" t="s">
        <v>34</v>
      </c>
      <c r="E17597" s="21" t="s">
        <v>254</v>
      </c>
      <c r="F17597">
        <v>4360343</v>
      </c>
      <c r="G17597" t="s">
        <v>6348</v>
      </c>
      <c r="H17597" s="21">
        <v>796.67</v>
      </c>
    </row>
    <row r="17598" spans="1:8" customFormat="1" x14ac:dyDescent="0.25">
      <c r="A17598" t="str">
        <f>"029900"</f>
        <v>029900</v>
      </c>
      <c r="B17598" t="s">
        <v>461</v>
      </c>
      <c r="C17598" t="s">
        <v>211</v>
      </c>
      <c r="D17598" s="21" t="s">
        <v>34</v>
      </c>
      <c r="E17598" s="21" t="s">
        <v>71</v>
      </c>
      <c r="F17598">
        <v>7021012</v>
      </c>
      <c r="G17598" t="s">
        <v>14342</v>
      </c>
      <c r="H17598" s="21">
        <v>796.67</v>
      </c>
    </row>
    <row r="17599" spans="1:8" customFormat="1" x14ac:dyDescent="0.25">
      <c r="A17599" t="str">
        <f>"7710819"</f>
        <v>7710819</v>
      </c>
      <c r="B17599" t="s">
        <v>13679</v>
      </c>
      <c r="C17599" t="s">
        <v>87</v>
      </c>
      <c r="D17599" s="21" t="s">
        <v>34</v>
      </c>
      <c r="E17599" s="21" t="s">
        <v>35</v>
      </c>
      <c r="F17599">
        <v>8771514</v>
      </c>
      <c r="G17599" t="s">
        <v>10058</v>
      </c>
      <c r="H17599" s="21">
        <v>796.67</v>
      </c>
    </row>
    <row r="17600" spans="1:8" customFormat="1" x14ac:dyDescent="0.25">
      <c r="A17600" t="str">
        <f>"723217"</f>
        <v>723217</v>
      </c>
      <c r="B17600" t="s">
        <v>15278</v>
      </c>
      <c r="C17600" t="s">
        <v>156</v>
      </c>
      <c r="D17600" s="21" t="s">
        <v>34</v>
      </c>
      <c r="E17600" s="21" t="s">
        <v>71</v>
      </c>
      <c r="F17600">
        <v>12720071</v>
      </c>
      <c r="G17600" t="s">
        <v>783</v>
      </c>
      <c r="H17600" s="21">
        <v>796.67</v>
      </c>
    </row>
    <row r="17601" spans="1:8" customFormat="1" x14ac:dyDescent="0.25">
      <c r="A17601" t="str">
        <f>"721285"</f>
        <v>721285</v>
      </c>
      <c r="B17601" t="s">
        <v>4353</v>
      </c>
      <c r="C17601" t="s">
        <v>3073</v>
      </c>
      <c r="D17601" s="21" t="s">
        <v>34</v>
      </c>
      <c r="E17601" s="21" t="s">
        <v>1089</v>
      </c>
      <c r="F17601">
        <v>12720044</v>
      </c>
      <c r="G17601" t="s">
        <v>7176</v>
      </c>
      <c r="H17601" s="21">
        <v>796.67</v>
      </c>
    </row>
    <row r="17602" spans="1:8" customFormat="1" x14ac:dyDescent="0.25">
      <c r="A17602" t="str">
        <f>"513923"</f>
        <v>513923</v>
      </c>
      <c r="B17602" t="s">
        <v>27487</v>
      </c>
      <c r="C17602" t="s">
        <v>27488</v>
      </c>
      <c r="D17602" s="21" t="s">
        <v>34</v>
      </c>
      <c r="E17602" s="21" t="s">
        <v>1089</v>
      </c>
      <c r="F17602">
        <v>6510107</v>
      </c>
      <c r="G17602" t="s">
        <v>1392</v>
      </c>
      <c r="H17602" s="21">
        <v>796.67</v>
      </c>
    </row>
    <row r="17603" spans="1:8" customFormat="1" x14ac:dyDescent="0.25">
      <c r="A17603" t="str">
        <f>"2613085"</f>
        <v>2613085</v>
      </c>
      <c r="B17603" t="s">
        <v>15722</v>
      </c>
      <c r="C17603" t="s">
        <v>12016</v>
      </c>
      <c r="D17603" s="21" t="s">
        <v>34</v>
      </c>
      <c r="E17603" s="21" t="s">
        <v>35</v>
      </c>
      <c r="F17603">
        <v>1260026</v>
      </c>
      <c r="G17603" t="s">
        <v>516</v>
      </c>
      <c r="H17603" s="21">
        <v>796.42</v>
      </c>
    </row>
    <row r="17604" spans="1:8" customFormat="1" x14ac:dyDescent="0.25">
      <c r="A17604" t="str">
        <f>"2712745"</f>
        <v>2712745</v>
      </c>
      <c r="B17604" t="s">
        <v>18420</v>
      </c>
      <c r="C17604" t="s">
        <v>263</v>
      </c>
      <c r="D17604" s="21" t="s">
        <v>34</v>
      </c>
      <c r="E17604" s="21" t="s">
        <v>254</v>
      </c>
      <c r="F17604">
        <v>9270127</v>
      </c>
      <c r="G17604" t="s">
        <v>16351</v>
      </c>
      <c r="H17604" s="21">
        <v>796.42</v>
      </c>
    </row>
    <row r="17605" spans="1:8" customFormat="1" x14ac:dyDescent="0.25">
      <c r="A17605" t="str">
        <f>"671865"</f>
        <v>671865</v>
      </c>
      <c r="B17605" t="s">
        <v>14418</v>
      </c>
      <c r="C17605" t="s">
        <v>1489</v>
      </c>
      <c r="D17605" s="21" t="s">
        <v>34</v>
      </c>
      <c r="E17605" s="21" t="s">
        <v>254</v>
      </c>
      <c r="F17605">
        <v>6670195</v>
      </c>
      <c r="G17605" t="s">
        <v>3974</v>
      </c>
      <c r="H17605" s="21">
        <v>796.17</v>
      </c>
    </row>
    <row r="17606" spans="1:8" customFormat="1" x14ac:dyDescent="0.25">
      <c r="A17606" t="str">
        <f>"2715641"</f>
        <v>2715641</v>
      </c>
      <c r="B17606" t="s">
        <v>27489</v>
      </c>
      <c r="C17606" t="s">
        <v>781</v>
      </c>
      <c r="D17606" s="21" t="s">
        <v>34</v>
      </c>
      <c r="E17606" s="21" t="s">
        <v>35</v>
      </c>
      <c r="F17606">
        <v>9270127</v>
      </c>
      <c r="G17606" t="s">
        <v>16351</v>
      </c>
      <c r="H17606" s="21">
        <v>796.17</v>
      </c>
    </row>
    <row r="17607" spans="1:8" customFormat="1" x14ac:dyDescent="0.25">
      <c r="A17607" t="str">
        <f>"322670"</f>
        <v>322670</v>
      </c>
      <c r="B17607" t="s">
        <v>146</v>
      </c>
      <c r="C17607" t="s">
        <v>198</v>
      </c>
      <c r="D17607" s="21" t="s">
        <v>34</v>
      </c>
      <c r="E17607" s="21" t="s">
        <v>71</v>
      </c>
      <c r="F17607">
        <v>11320032</v>
      </c>
      <c r="G17607" t="s">
        <v>5722</v>
      </c>
      <c r="H17607" s="21">
        <v>796.17</v>
      </c>
    </row>
    <row r="17608" spans="1:8" customFormat="1" x14ac:dyDescent="0.25">
      <c r="A17608" t="str">
        <f>"4440085"</f>
        <v>4440085</v>
      </c>
      <c r="B17608" t="s">
        <v>6359</v>
      </c>
      <c r="C17608" t="s">
        <v>631</v>
      </c>
      <c r="D17608" s="21" t="s">
        <v>34</v>
      </c>
      <c r="E17608" s="21" t="s">
        <v>35</v>
      </c>
      <c r="F17608">
        <v>12440104</v>
      </c>
      <c r="G17608" t="s">
        <v>5862</v>
      </c>
      <c r="H17608" s="21">
        <v>796.17</v>
      </c>
    </row>
    <row r="17609" spans="1:8" customFormat="1" x14ac:dyDescent="0.25">
      <c r="A17609" t="str">
        <f>"0811971"</f>
        <v>0811971</v>
      </c>
      <c r="B17609" t="s">
        <v>17079</v>
      </c>
      <c r="C17609" t="s">
        <v>65</v>
      </c>
      <c r="D17609" s="21" t="s">
        <v>34</v>
      </c>
      <c r="E17609" s="21" t="s">
        <v>35</v>
      </c>
      <c r="F17609">
        <v>6080013</v>
      </c>
      <c r="G17609" t="s">
        <v>1532</v>
      </c>
      <c r="H17609" s="21">
        <v>796.17</v>
      </c>
    </row>
    <row r="17610" spans="1:8" customFormat="1" x14ac:dyDescent="0.25">
      <c r="A17610" t="str">
        <f>"036452"</f>
        <v>036452</v>
      </c>
      <c r="B17610" t="s">
        <v>7246</v>
      </c>
      <c r="C17610" t="s">
        <v>37</v>
      </c>
      <c r="D17610" s="21" t="s">
        <v>34</v>
      </c>
      <c r="E17610" s="21" t="s">
        <v>71</v>
      </c>
      <c r="F17610">
        <v>1030128</v>
      </c>
      <c r="G17610" t="s">
        <v>7355</v>
      </c>
      <c r="H17610" s="21">
        <v>796.17</v>
      </c>
    </row>
    <row r="17611" spans="1:8" customFormat="1" x14ac:dyDescent="0.25">
      <c r="A17611" t="str">
        <f>"50538"</f>
        <v>50538</v>
      </c>
      <c r="B17611" t="s">
        <v>3178</v>
      </c>
      <c r="C17611" t="s">
        <v>269</v>
      </c>
      <c r="D17611" s="21" t="s">
        <v>34</v>
      </c>
      <c r="E17611" s="21" t="s">
        <v>35</v>
      </c>
      <c r="F17611">
        <v>9500025</v>
      </c>
      <c r="G17611" t="s">
        <v>665</v>
      </c>
      <c r="H17611" s="21">
        <v>796.17</v>
      </c>
    </row>
    <row r="17612" spans="1:8" customFormat="1" x14ac:dyDescent="0.25">
      <c r="A17612" t="str">
        <f>"4426717"</f>
        <v>4426717</v>
      </c>
      <c r="B17612" t="s">
        <v>11003</v>
      </c>
      <c r="C17612" t="s">
        <v>7923</v>
      </c>
      <c r="D17612" s="21" t="s">
        <v>34</v>
      </c>
      <c r="E17612" s="21" t="s">
        <v>35</v>
      </c>
      <c r="F17612">
        <v>12440199</v>
      </c>
      <c r="G17612" t="s">
        <v>4653</v>
      </c>
      <c r="H17612" s="21">
        <v>796.17</v>
      </c>
    </row>
    <row r="17613" spans="1:8" customFormat="1" x14ac:dyDescent="0.25">
      <c r="A17613" t="str">
        <f>"5315678"</f>
        <v>5315678</v>
      </c>
      <c r="B17613" t="s">
        <v>16088</v>
      </c>
      <c r="C17613" t="s">
        <v>82</v>
      </c>
      <c r="D17613" s="21" t="s">
        <v>34</v>
      </c>
      <c r="E17613" s="21" t="s">
        <v>71</v>
      </c>
      <c r="F17613">
        <v>12530033</v>
      </c>
      <c r="G17613" t="s">
        <v>10046</v>
      </c>
      <c r="H17613" s="21">
        <v>796.17</v>
      </c>
    </row>
    <row r="17614" spans="1:8" customFormat="1" x14ac:dyDescent="0.25">
      <c r="A17614" t="str">
        <f>"5314243"</f>
        <v>5314243</v>
      </c>
      <c r="B17614" t="s">
        <v>14843</v>
      </c>
      <c r="C17614" t="s">
        <v>608</v>
      </c>
      <c r="D17614" s="21" t="s">
        <v>34</v>
      </c>
      <c r="E17614" s="21" t="s">
        <v>71</v>
      </c>
      <c r="F17614">
        <v>12530026</v>
      </c>
      <c r="G17614" t="s">
        <v>7463</v>
      </c>
      <c r="H17614" s="21">
        <v>796.17</v>
      </c>
    </row>
    <row r="17615" spans="1:8" customFormat="1" x14ac:dyDescent="0.25">
      <c r="A17615" t="str">
        <f>"846614"</f>
        <v>846614</v>
      </c>
      <c r="B17615" t="s">
        <v>13782</v>
      </c>
      <c r="C17615" t="s">
        <v>144</v>
      </c>
      <c r="D17615" s="21" t="s">
        <v>34</v>
      </c>
      <c r="E17615" s="21" t="s">
        <v>35</v>
      </c>
      <c r="F17615">
        <v>13840001</v>
      </c>
      <c r="G17615" t="s">
        <v>972</v>
      </c>
      <c r="H17615" s="21">
        <v>796.04</v>
      </c>
    </row>
    <row r="17616" spans="1:8" customFormat="1" x14ac:dyDescent="0.25">
      <c r="A17616" t="str">
        <f>"0210736"</f>
        <v>0210736</v>
      </c>
      <c r="B17616" t="s">
        <v>2690</v>
      </c>
      <c r="C17616" t="s">
        <v>2384</v>
      </c>
      <c r="D17616" s="21" t="s">
        <v>34</v>
      </c>
      <c r="E17616" s="21" t="s">
        <v>71</v>
      </c>
      <c r="F17616">
        <v>3350030</v>
      </c>
      <c r="G17616" t="s">
        <v>4549</v>
      </c>
      <c r="H17616" s="21">
        <v>796</v>
      </c>
    </row>
    <row r="17617" spans="1:8" customFormat="1" x14ac:dyDescent="0.25">
      <c r="A17617" t="str">
        <f>"9533677"</f>
        <v>9533677</v>
      </c>
      <c r="B17617" t="s">
        <v>14142</v>
      </c>
      <c r="C17617" t="s">
        <v>547</v>
      </c>
      <c r="D17617" s="21" t="s">
        <v>34</v>
      </c>
      <c r="E17617" s="21" t="s">
        <v>71</v>
      </c>
      <c r="F17617">
        <v>8950092</v>
      </c>
      <c r="G17617" t="s">
        <v>2039</v>
      </c>
      <c r="H17617" s="21">
        <v>795.92</v>
      </c>
    </row>
    <row r="17618" spans="1:8" customFormat="1" x14ac:dyDescent="0.25">
      <c r="A17618" t="str">
        <f>"019961"</f>
        <v>019961</v>
      </c>
      <c r="B17618" t="s">
        <v>14447</v>
      </c>
      <c r="C17618" t="s">
        <v>269</v>
      </c>
      <c r="D17618" s="21" t="s">
        <v>34</v>
      </c>
      <c r="E17618" s="21" t="s">
        <v>71</v>
      </c>
      <c r="F17618">
        <v>1380189</v>
      </c>
      <c r="G17618" t="s">
        <v>8143</v>
      </c>
      <c r="H17618" s="21">
        <v>795.92</v>
      </c>
    </row>
    <row r="17619" spans="1:8" customFormat="1" x14ac:dyDescent="0.25">
      <c r="A17619" t="str">
        <f>"57982"</f>
        <v>57982</v>
      </c>
      <c r="B17619" t="s">
        <v>1607</v>
      </c>
      <c r="C17619" t="s">
        <v>130</v>
      </c>
      <c r="D17619" s="21" t="s">
        <v>34</v>
      </c>
      <c r="E17619" s="21" t="s">
        <v>1089</v>
      </c>
      <c r="F17619">
        <v>6570158</v>
      </c>
      <c r="G17619" t="s">
        <v>2391</v>
      </c>
      <c r="H17619" s="21">
        <v>795.92</v>
      </c>
    </row>
    <row r="17620" spans="1:8" customFormat="1" x14ac:dyDescent="0.25">
      <c r="A17620" t="str">
        <f>"064602"</f>
        <v>064602</v>
      </c>
      <c r="B17620" t="s">
        <v>8553</v>
      </c>
      <c r="C17620" t="s">
        <v>15537</v>
      </c>
      <c r="D17620" s="21" t="s">
        <v>34</v>
      </c>
      <c r="E17620" s="21" t="s">
        <v>71</v>
      </c>
      <c r="F17620">
        <v>13060088</v>
      </c>
      <c r="G17620" t="s">
        <v>15538</v>
      </c>
      <c r="H17620" s="21">
        <v>795.67</v>
      </c>
    </row>
    <row r="17621" spans="1:8" customFormat="1" x14ac:dyDescent="0.25">
      <c r="A17621" t="str">
        <f>"7875231"</f>
        <v>7875231</v>
      </c>
      <c r="B17621" t="s">
        <v>17094</v>
      </c>
      <c r="C17621" t="s">
        <v>1025</v>
      </c>
      <c r="D17621" s="21" t="s">
        <v>34</v>
      </c>
      <c r="E17621" s="21" t="s">
        <v>71</v>
      </c>
      <c r="F17621">
        <v>8780107</v>
      </c>
      <c r="G17621" t="s">
        <v>4186</v>
      </c>
      <c r="H17621" s="21">
        <v>795.67</v>
      </c>
    </row>
    <row r="17622" spans="1:8" customFormat="1" x14ac:dyDescent="0.25">
      <c r="A17622" t="str">
        <f>"9130561"</f>
        <v>9130561</v>
      </c>
      <c r="B17622" t="s">
        <v>4335</v>
      </c>
      <c r="C17622" t="s">
        <v>87</v>
      </c>
      <c r="D17622" s="21" t="s">
        <v>34</v>
      </c>
      <c r="E17622" s="21" t="s">
        <v>35</v>
      </c>
      <c r="F17622">
        <v>8911430</v>
      </c>
      <c r="G17622" t="s">
        <v>3523</v>
      </c>
      <c r="H17622" s="21">
        <v>795.67</v>
      </c>
    </row>
    <row r="17623" spans="1:8" customFormat="1" x14ac:dyDescent="0.25">
      <c r="A17623" t="str">
        <f>"6221115"</f>
        <v>6221115</v>
      </c>
      <c r="B17623" t="s">
        <v>14794</v>
      </c>
      <c r="C17623" t="s">
        <v>462</v>
      </c>
      <c r="D17623" s="21" t="s">
        <v>34</v>
      </c>
      <c r="E17623" s="21" t="s">
        <v>35</v>
      </c>
      <c r="F17623">
        <v>7620067</v>
      </c>
      <c r="G17623" t="s">
        <v>860</v>
      </c>
      <c r="H17623" s="21">
        <v>795.67</v>
      </c>
    </row>
    <row r="17624" spans="1:8" customFormat="1" x14ac:dyDescent="0.25">
      <c r="A17624" t="str">
        <f>"5961286"</f>
        <v>5961286</v>
      </c>
      <c r="B17624" t="s">
        <v>15854</v>
      </c>
      <c r="C17624" t="s">
        <v>453</v>
      </c>
      <c r="D17624" s="21" t="s">
        <v>34</v>
      </c>
      <c r="E17624" s="21" t="s">
        <v>1089</v>
      </c>
      <c r="F17624">
        <v>7590127</v>
      </c>
      <c r="G17624" t="s">
        <v>214</v>
      </c>
      <c r="H17624" s="21">
        <v>795.67</v>
      </c>
    </row>
    <row r="17625" spans="1:8" customFormat="1" x14ac:dyDescent="0.25">
      <c r="A17625" t="str">
        <f>"592901"</f>
        <v>592901</v>
      </c>
      <c r="B17625" t="s">
        <v>14436</v>
      </c>
      <c r="C17625" t="s">
        <v>415</v>
      </c>
      <c r="D17625" s="21" t="s">
        <v>34</v>
      </c>
      <c r="E17625" s="21" t="s">
        <v>254</v>
      </c>
      <c r="F17625">
        <v>7590170</v>
      </c>
      <c r="G17625" t="s">
        <v>868</v>
      </c>
      <c r="H17625" s="21">
        <v>795.67</v>
      </c>
    </row>
    <row r="17626" spans="1:8" customFormat="1" x14ac:dyDescent="0.25">
      <c r="A17626" t="str">
        <f>"186692"</f>
        <v>186692</v>
      </c>
      <c r="B17626" t="s">
        <v>15684</v>
      </c>
      <c r="C17626" t="s">
        <v>55</v>
      </c>
      <c r="D17626" s="21" t="s">
        <v>34</v>
      </c>
      <c r="E17626" s="21" t="s">
        <v>71</v>
      </c>
      <c r="F17626">
        <v>4180682</v>
      </c>
      <c r="G17626" t="s">
        <v>5261</v>
      </c>
      <c r="H17626" s="21">
        <v>795.67</v>
      </c>
    </row>
    <row r="17627" spans="1:8" customFormat="1" x14ac:dyDescent="0.25">
      <c r="A17627" t="str">
        <f>"799954"</f>
        <v>799954</v>
      </c>
      <c r="B17627" t="s">
        <v>14648</v>
      </c>
      <c r="C17627" t="s">
        <v>285</v>
      </c>
      <c r="D17627" s="21" t="s">
        <v>34</v>
      </c>
      <c r="E17627" s="21" t="s">
        <v>35</v>
      </c>
      <c r="F17627">
        <v>10790162</v>
      </c>
      <c r="G17627" t="s">
        <v>6039</v>
      </c>
      <c r="H17627" s="21">
        <v>795.67</v>
      </c>
    </row>
    <row r="17628" spans="1:8" customFormat="1" x14ac:dyDescent="0.25">
      <c r="A17628" t="str">
        <f>"106368"</f>
        <v>106368</v>
      </c>
      <c r="B17628" t="s">
        <v>13708</v>
      </c>
      <c r="C17628" t="s">
        <v>60</v>
      </c>
      <c r="D17628" s="21" t="s">
        <v>34</v>
      </c>
      <c r="E17628" s="21" t="s">
        <v>35</v>
      </c>
      <c r="F17628">
        <v>6100041</v>
      </c>
      <c r="G17628" t="s">
        <v>14552</v>
      </c>
      <c r="H17628" s="21">
        <v>795.67</v>
      </c>
    </row>
    <row r="17629" spans="1:8" customFormat="1" x14ac:dyDescent="0.25">
      <c r="A17629" t="str">
        <f>"2215953"</f>
        <v>2215953</v>
      </c>
      <c r="B17629" t="s">
        <v>5746</v>
      </c>
      <c r="C17629" t="s">
        <v>169</v>
      </c>
      <c r="D17629" s="21" t="s">
        <v>34</v>
      </c>
      <c r="E17629" s="21" t="s">
        <v>71</v>
      </c>
      <c r="F17629">
        <v>3220005</v>
      </c>
      <c r="G17629" t="s">
        <v>26718</v>
      </c>
      <c r="H17629" s="21">
        <v>795.67</v>
      </c>
    </row>
    <row r="17630" spans="1:8" customFormat="1" x14ac:dyDescent="0.25">
      <c r="A17630" t="str">
        <f>"2937632"</f>
        <v>2937632</v>
      </c>
      <c r="B17630" t="s">
        <v>17546</v>
      </c>
      <c r="C17630" t="s">
        <v>1146</v>
      </c>
      <c r="D17630" s="21" t="s">
        <v>34</v>
      </c>
      <c r="E17630" s="21" t="s">
        <v>71</v>
      </c>
      <c r="F17630">
        <v>3290036</v>
      </c>
      <c r="G17630" t="s">
        <v>3903</v>
      </c>
      <c r="H17630" s="21">
        <v>795.67</v>
      </c>
    </row>
    <row r="17631" spans="1:8" customFormat="1" x14ac:dyDescent="0.25">
      <c r="A17631" t="str">
        <f>"3527870"</f>
        <v>3527870</v>
      </c>
      <c r="B17631" t="s">
        <v>15096</v>
      </c>
      <c r="C17631" t="s">
        <v>147</v>
      </c>
      <c r="D17631" s="21" t="s">
        <v>34</v>
      </c>
      <c r="E17631" s="21" t="s">
        <v>35</v>
      </c>
      <c r="F17631">
        <v>3350210</v>
      </c>
      <c r="G17631" t="s">
        <v>12171</v>
      </c>
      <c r="H17631" s="21">
        <v>795.67</v>
      </c>
    </row>
    <row r="17632" spans="1:8" customFormat="1" x14ac:dyDescent="0.25">
      <c r="A17632" t="str">
        <f>"44176"</f>
        <v>44176</v>
      </c>
      <c r="B17632" t="s">
        <v>14604</v>
      </c>
      <c r="C17632" t="s">
        <v>453</v>
      </c>
      <c r="D17632" s="21" t="s">
        <v>34</v>
      </c>
      <c r="E17632" s="21" t="s">
        <v>254</v>
      </c>
      <c r="F17632">
        <v>12440004</v>
      </c>
      <c r="G17632" t="s">
        <v>26530</v>
      </c>
      <c r="H17632" s="21">
        <v>795.67</v>
      </c>
    </row>
    <row r="17633" spans="1:8" customFormat="1" x14ac:dyDescent="0.25">
      <c r="A17633" t="str">
        <f>"7410512"</f>
        <v>7410512</v>
      </c>
      <c r="B17633" t="s">
        <v>16089</v>
      </c>
      <c r="C17633" t="s">
        <v>428</v>
      </c>
      <c r="D17633" s="21" t="s">
        <v>34</v>
      </c>
      <c r="E17633" s="21" t="s">
        <v>71</v>
      </c>
      <c r="F17633">
        <v>1740045</v>
      </c>
      <c r="G17633" t="s">
        <v>9857</v>
      </c>
      <c r="H17633" s="21">
        <v>795.54</v>
      </c>
    </row>
    <row r="17634" spans="1:8" customFormat="1" x14ac:dyDescent="0.25">
      <c r="A17634" t="str">
        <f>"637888"</f>
        <v>637888</v>
      </c>
      <c r="B17634" t="s">
        <v>15291</v>
      </c>
      <c r="C17634" t="s">
        <v>55</v>
      </c>
      <c r="D17634" s="21" t="s">
        <v>34</v>
      </c>
      <c r="E17634" s="21" t="s">
        <v>35</v>
      </c>
      <c r="F17634">
        <v>1630015</v>
      </c>
      <c r="G17634" t="s">
        <v>2097</v>
      </c>
      <c r="H17634" s="21">
        <v>795.54</v>
      </c>
    </row>
    <row r="17635" spans="1:8" customFormat="1" x14ac:dyDescent="0.25">
      <c r="A17635" t="str">
        <f>"536549"</f>
        <v>536549</v>
      </c>
      <c r="B17635" t="s">
        <v>14762</v>
      </c>
      <c r="C17635" t="s">
        <v>269</v>
      </c>
      <c r="D17635" s="21" t="s">
        <v>34</v>
      </c>
      <c r="E17635" s="21" t="s">
        <v>71</v>
      </c>
      <c r="F17635">
        <v>12530003</v>
      </c>
      <c r="G17635" t="s">
        <v>8260</v>
      </c>
      <c r="H17635" s="21">
        <v>795.42</v>
      </c>
    </row>
    <row r="17636" spans="1:8" customFormat="1" x14ac:dyDescent="0.25">
      <c r="A17636" t="str">
        <f>"1412235"</f>
        <v>1412235</v>
      </c>
      <c r="B17636" t="s">
        <v>7963</v>
      </c>
      <c r="C17636" t="s">
        <v>598</v>
      </c>
      <c r="D17636" s="21" t="s">
        <v>34</v>
      </c>
      <c r="E17636" s="21" t="s">
        <v>1089</v>
      </c>
      <c r="F17636">
        <v>9140007</v>
      </c>
      <c r="G17636" t="s">
        <v>434</v>
      </c>
      <c r="H17636" s="21">
        <v>795.42</v>
      </c>
    </row>
    <row r="17637" spans="1:8" customFormat="1" x14ac:dyDescent="0.25">
      <c r="A17637" t="str">
        <f>"7874462"</f>
        <v>7874462</v>
      </c>
      <c r="B17637" t="s">
        <v>6352</v>
      </c>
      <c r="C17637" t="s">
        <v>204</v>
      </c>
      <c r="D17637" s="21" t="s">
        <v>34</v>
      </c>
      <c r="E17637" s="21" t="s">
        <v>71</v>
      </c>
      <c r="F17637">
        <v>8780571</v>
      </c>
      <c r="G17637" t="s">
        <v>2336</v>
      </c>
      <c r="H17637" s="21">
        <v>795.29</v>
      </c>
    </row>
    <row r="17638" spans="1:8" customFormat="1" x14ac:dyDescent="0.25">
      <c r="A17638" t="str">
        <f>"7216403"</f>
        <v>7216403</v>
      </c>
      <c r="B17638" t="s">
        <v>7747</v>
      </c>
      <c r="C17638" t="s">
        <v>462</v>
      </c>
      <c r="D17638" s="21" t="s">
        <v>34</v>
      </c>
      <c r="E17638" s="21" t="s">
        <v>35</v>
      </c>
      <c r="F17638">
        <v>12720084</v>
      </c>
      <c r="G17638" t="s">
        <v>7532</v>
      </c>
      <c r="H17638" s="21">
        <v>795.29</v>
      </c>
    </row>
    <row r="17639" spans="1:8" customFormat="1" x14ac:dyDescent="0.25">
      <c r="A17639" t="str">
        <f>"1716744"</f>
        <v>1716744</v>
      </c>
      <c r="B17639" t="s">
        <v>18213</v>
      </c>
      <c r="C17639" t="s">
        <v>43</v>
      </c>
      <c r="D17639" s="21" t="s">
        <v>34</v>
      </c>
      <c r="E17639" s="21" t="s">
        <v>35</v>
      </c>
      <c r="F17639">
        <v>10170178</v>
      </c>
      <c r="G17639" t="s">
        <v>17278</v>
      </c>
      <c r="H17639" s="21">
        <v>795.17</v>
      </c>
    </row>
    <row r="17640" spans="1:8" customFormat="1" x14ac:dyDescent="0.25">
      <c r="A17640" t="str">
        <f>"857366"</f>
        <v>857366</v>
      </c>
      <c r="B17640" t="s">
        <v>13451</v>
      </c>
      <c r="C17640" t="s">
        <v>12304</v>
      </c>
      <c r="D17640" s="21" t="s">
        <v>34</v>
      </c>
      <c r="E17640" s="21" t="s">
        <v>254</v>
      </c>
      <c r="F17640">
        <v>12850134</v>
      </c>
      <c r="G17640" t="s">
        <v>2359</v>
      </c>
      <c r="H17640" s="21">
        <v>795.17</v>
      </c>
    </row>
    <row r="17641" spans="1:8" customFormat="1" x14ac:dyDescent="0.25">
      <c r="A17641" t="str">
        <f>"167376"</f>
        <v>167376</v>
      </c>
      <c r="B17641" t="s">
        <v>16175</v>
      </c>
      <c r="C17641" t="s">
        <v>269</v>
      </c>
      <c r="D17641" s="21" t="s">
        <v>34</v>
      </c>
      <c r="E17641" s="21" t="s">
        <v>71</v>
      </c>
      <c r="F17641">
        <v>10160218</v>
      </c>
      <c r="G17641" t="s">
        <v>16176</v>
      </c>
      <c r="H17641" s="21">
        <v>795.17</v>
      </c>
    </row>
    <row r="17642" spans="1:8" customFormat="1" x14ac:dyDescent="0.25">
      <c r="A17642" t="str">
        <f>"41670"</f>
        <v>41670</v>
      </c>
      <c r="B17642" t="s">
        <v>15764</v>
      </c>
      <c r="C17642" t="s">
        <v>2546</v>
      </c>
      <c r="D17642" s="21" t="s">
        <v>34</v>
      </c>
      <c r="E17642" s="21" t="s">
        <v>1089</v>
      </c>
      <c r="F17642">
        <v>4410217</v>
      </c>
      <c r="G17642" t="s">
        <v>10838</v>
      </c>
      <c r="H17642" s="21">
        <v>795.17</v>
      </c>
    </row>
    <row r="17643" spans="1:8" customFormat="1" x14ac:dyDescent="0.25">
      <c r="A17643" t="str">
        <f>"5732471"</f>
        <v>5732471</v>
      </c>
      <c r="B17643" t="s">
        <v>14204</v>
      </c>
      <c r="C17643" t="s">
        <v>206</v>
      </c>
      <c r="D17643" s="21" t="s">
        <v>34</v>
      </c>
      <c r="E17643" s="21" t="s">
        <v>35</v>
      </c>
      <c r="F17643">
        <v>6570137</v>
      </c>
      <c r="G17643" t="s">
        <v>13134</v>
      </c>
      <c r="H17643" s="21">
        <v>795.17</v>
      </c>
    </row>
    <row r="17644" spans="1:8" customFormat="1" x14ac:dyDescent="0.25">
      <c r="A17644" t="str">
        <f>"1424267"</f>
        <v>1424267</v>
      </c>
      <c r="B17644" t="s">
        <v>1462</v>
      </c>
      <c r="C17644" t="s">
        <v>239</v>
      </c>
      <c r="D17644" s="21" t="s">
        <v>34</v>
      </c>
      <c r="E17644" s="21" t="s">
        <v>254</v>
      </c>
      <c r="F17644">
        <v>9140055</v>
      </c>
      <c r="G17644" t="s">
        <v>344</v>
      </c>
      <c r="H17644" s="21">
        <v>795.17</v>
      </c>
    </row>
    <row r="17645" spans="1:8" customFormat="1" x14ac:dyDescent="0.25">
      <c r="A17645" t="str">
        <f>"9128665"</f>
        <v>9128665</v>
      </c>
      <c r="B17645" t="s">
        <v>14742</v>
      </c>
      <c r="C17645" t="s">
        <v>2730</v>
      </c>
      <c r="D17645" s="21" t="s">
        <v>34</v>
      </c>
      <c r="E17645" s="21" t="s">
        <v>35</v>
      </c>
      <c r="F17645">
        <v>10190120</v>
      </c>
      <c r="G17645" t="s">
        <v>4616</v>
      </c>
      <c r="H17645" s="21">
        <v>795.17</v>
      </c>
    </row>
    <row r="17646" spans="1:8" customFormat="1" x14ac:dyDescent="0.25">
      <c r="A17646" t="str">
        <f>"712190"</f>
        <v>712190</v>
      </c>
      <c r="B17646" t="s">
        <v>14387</v>
      </c>
      <c r="C17646" t="s">
        <v>109</v>
      </c>
      <c r="D17646" s="21" t="s">
        <v>34</v>
      </c>
      <c r="E17646" s="21" t="s">
        <v>35</v>
      </c>
      <c r="F17646">
        <v>2710048</v>
      </c>
      <c r="G17646" t="s">
        <v>2225</v>
      </c>
      <c r="H17646" s="21">
        <v>795.17</v>
      </c>
    </row>
    <row r="17647" spans="1:8" customFormat="1" x14ac:dyDescent="0.25">
      <c r="A17647" t="str">
        <f>"7727917"</f>
        <v>7727917</v>
      </c>
      <c r="B17647" t="s">
        <v>14495</v>
      </c>
      <c r="C17647" t="s">
        <v>415</v>
      </c>
      <c r="D17647" s="21" t="s">
        <v>34</v>
      </c>
      <c r="E17647" s="21" t="s">
        <v>1089</v>
      </c>
      <c r="F17647">
        <v>8771446</v>
      </c>
      <c r="G17647" t="s">
        <v>830</v>
      </c>
      <c r="H17647" s="21">
        <v>795.17</v>
      </c>
    </row>
    <row r="17648" spans="1:8" customFormat="1" x14ac:dyDescent="0.25">
      <c r="A17648" t="str">
        <f>"8512680"</f>
        <v>8512680</v>
      </c>
      <c r="B17648" t="s">
        <v>14619</v>
      </c>
      <c r="C17648" t="s">
        <v>124</v>
      </c>
      <c r="D17648" s="21" t="s">
        <v>34</v>
      </c>
      <c r="E17648" s="21" t="s">
        <v>71</v>
      </c>
      <c r="F17648">
        <v>12850163</v>
      </c>
      <c r="G17648" t="s">
        <v>9811</v>
      </c>
      <c r="H17648" s="21">
        <v>795.17</v>
      </c>
    </row>
    <row r="17649" spans="1:8" customFormat="1" x14ac:dyDescent="0.25">
      <c r="A17649" t="str">
        <f>"5935157"</f>
        <v>5935157</v>
      </c>
      <c r="B17649" t="s">
        <v>1593</v>
      </c>
      <c r="C17649" t="s">
        <v>336</v>
      </c>
      <c r="D17649" s="21" t="s">
        <v>34</v>
      </c>
      <c r="E17649" s="21" t="s">
        <v>71</v>
      </c>
      <c r="F17649">
        <v>7590153</v>
      </c>
      <c r="G17649" t="s">
        <v>9484</v>
      </c>
      <c r="H17649" s="21">
        <v>795.17</v>
      </c>
    </row>
    <row r="17650" spans="1:8" customFormat="1" x14ac:dyDescent="0.25">
      <c r="A17650" t="str">
        <f>"9726769"</f>
        <v>9726769</v>
      </c>
      <c r="B17650" t="s">
        <v>27490</v>
      </c>
      <c r="C17650" t="s">
        <v>1841</v>
      </c>
      <c r="D17650" s="21" t="s">
        <v>34</v>
      </c>
      <c r="E17650" s="21" t="s">
        <v>254</v>
      </c>
      <c r="F17650" t="s">
        <v>3911</v>
      </c>
      <c r="G17650" t="s">
        <v>3912</v>
      </c>
      <c r="H17650" s="21">
        <v>795.17</v>
      </c>
    </row>
    <row r="17651" spans="1:8" customFormat="1" x14ac:dyDescent="0.25">
      <c r="A17651" t="str">
        <f>"4920570"</f>
        <v>4920570</v>
      </c>
      <c r="B17651" t="s">
        <v>3505</v>
      </c>
      <c r="C17651" t="s">
        <v>428</v>
      </c>
      <c r="D17651" s="21" t="s">
        <v>34</v>
      </c>
      <c r="E17651" s="21" t="s">
        <v>254</v>
      </c>
      <c r="F17651">
        <v>12490098</v>
      </c>
      <c r="G17651" t="s">
        <v>2670</v>
      </c>
      <c r="H17651" s="21">
        <v>795.17</v>
      </c>
    </row>
    <row r="17652" spans="1:8" customFormat="1" x14ac:dyDescent="0.25">
      <c r="A17652" t="str">
        <f>"5319946"</f>
        <v>5319946</v>
      </c>
      <c r="B17652" t="s">
        <v>27491</v>
      </c>
      <c r="C17652" t="s">
        <v>169</v>
      </c>
      <c r="D17652" s="21" t="s">
        <v>34</v>
      </c>
      <c r="E17652" s="21" t="s">
        <v>35</v>
      </c>
      <c r="F17652">
        <v>12530058</v>
      </c>
      <c r="G17652" t="s">
        <v>3128</v>
      </c>
      <c r="H17652" s="21">
        <v>795.17</v>
      </c>
    </row>
    <row r="17653" spans="1:8" customFormat="1" x14ac:dyDescent="0.25">
      <c r="A17653" t="str">
        <f>"6933177"</f>
        <v>6933177</v>
      </c>
      <c r="B17653" t="s">
        <v>14417</v>
      </c>
      <c r="C17653" t="s">
        <v>1675</v>
      </c>
      <c r="D17653" s="21" t="s">
        <v>34</v>
      </c>
      <c r="E17653" s="21" t="s">
        <v>71</v>
      </c>
      <c r="F17653">
        <v>1690167</v>
      </c>
      <c r="G17653" t="s">
        <v>11267</v>
      </c>
      <c r="H17653" s="21">
        <v>795.17</v>
      </c>
    </row>
    <row r="17654" spans="1:8" customFormat="1" x14ac:dyDescent="0.25">
      <c r="A17654" t="str">
        <f>"4429432"</f>
        <v>4429432</v>
      </c>
      <c r="B17654" t="s">
        <v>6024</v>
      </c>
      <c r="C17654" t="s">
        <v>15407</v>
      </c>
      <c r="D17654" s="21" t="s">
        <v>34</v>
      </c>
      <c r="E17654" s="21" t="s">
        <v>35</v>
      </c>
      <c r="F17654">
        <v>9140209</v>
      </c>
      <c r="G17654" t="s">
        <v>27492</v>
      </c>
      <c r="H17654" s="21">
        <v>795.17</v>
      </c>
    </row>
    <row r="17655" spans="1:8" customFormat="1" x14ac:dyDescent="0.25">
      <c r="A17655" t="str">
        <f>"6919578"</f>
        <v>6919578</v>
      </c>
      <c r="B17655" t="s">
        <v>16130</v>
      </c>
      <c r="C17655" t="s">
        <v>33</v>
      </c>
      <c r="D17655" s="21" t="s">
        <v>34</v>
      </c>
      <c r="E17655" s="21" t="s">
        <v>71</v>
      </c>
      <c r="F17655">
        <v>1690154</v>
      </c>
      <c r="G17655" t="s">
        <v>4573</v>
      </c>
      <c r="H17655" s="21">
        <v>795.17</v>
      </c>
    </row>
    <row r="17656" spans="1:8" customFormat="1" x14ac:dyDescent="0.25">
      <c r="A17656" t="str">
        <f>"6919982"</f>
        <v>6919982</v>
      </c>
      <c r="B17656" t="s">
        <v>17536</v>
      </c>
      <c r="C17656" t="s">
        <v>1675</v>
      </c>
      <c r="D17656" s="21" t="s">
        <v>34</v>
      </c>
      <c r="E17656" s="21" t="s">
        <v>35</v>
      </c>
      <c r="F17656">
        <v>7590087</v>
      </c>
      <c r="G17656" t="s">
        <v>2112</v>
      </c>
      <c r="H17656" s="21">
        <v>795.17</v>
      </c>
    </row>
    <row r="17657" spans="1:8" customFormat="1" x14ac:dyDescent="0.25">
      <c r="A17657" t="str">
        <f>"221240"</f>
        <v>221240</v>
      </c>
      <c r="B17657" t="s">
        <v>146</v>
      </c>
      <c r="C17657" t="s">
        <v>33</v>
      </c>
      <c r="D17657" s="21" t="s">
        <v>34</v>
      </c>
      <c r="E17657" s="21" t="s">
        <v>71</v>
      </c>
      <c r="F17657">
        <v>3220004</v>
      </c>
      <c r="G17657" t="s">
        <v>26986</v>
      </c>
      <c r="H17657" s="21">
        <v>795.17</v>
      </c>
    </row>
    <row r="17658" spans="1:8" customFormat="1" x14ac:dyDescent="0.25">
      <c r="A17658" t="str">
        <f>"7633956"</f>
        <v>7633956</v>
      </c>
      <c r="B17658" t="s">
        <v>5125</v>
      </c>
      <c r="C17658" t="s">
        <v>353</v>
      </c>
      <c r="D17658" s="21" t="s">
        <v>34</v>
      </c>
      <c r="E17658" s="21" t="s">
        <v>35</v>
      </c>
      <c r="F17658">
        <v>9760374</v>
      </c>
      <c r="G17658" t="s">
        <v>6867</v>
      </c>
      <c r="H17658" s="21">
        <v>795.17</v>
      </c>
    </row>
    <row r="17659" spans="1:8" customFormat="1" x14ac:dyDescent="0.25">
      <c r="A17659" t="str">
        <f>"6216302"</f>
        <v>6216302</v>
      </c>
      <c r="B17659" t="s">
        <v>15946</v>
      </c>
      <c r="C17659" t="s">
        <v>4161</v>
      </c>
      <c r="D17659" s="21" t="s">
        <v>34</v>
      </c>
      <c r="E17659" s="21" t="s">
        <v>35</v>
      </c>
      <c r="F17659">
        <v>7620169</v>
      </c>
      <c r="G17659" t="s">
        <v>7116</v>
      </c>
      <c r="H17659" s="21">
        <v>795.17</v>
      </c>
    </row>
    <row r="17660" spans="1:8" customFormat="1" x14ac:dyDescent="0.25">
      <c r="A17660" t="str">
        <f>"4428032"</f>
        <v>4428032</v>
      </c>
      <c r="B17660" t="s">
        <v>14410</v>
      </c>
      <c r="C17660" t="s">
        <v>204</v>
      </c>
      <c r="D17660" s="21" t="s">
        <v>34</v>
      </c>
      <c r="E17660" s="21" t="s">
        <v>35</v>
      </c>
      <c r="F17660">
        <v>12490006</v>
      </c>
      <c r="G17660" t="s">
        <v>1480</v>
      </c>
      <c r="H17660" s="21">
        <v>794.92</v>
      </c>
    </row>
    <row r="17661" spans="1:8" customFormat="1" x14ac:dyDescent="0.25">
      <c r="A17661" t="str">
        <f>"2915624"</f>
        <v>2915624</v>
      </c>
      <c r="B17661" t="s">
        <v>8461</v>
      </c>
      <c r="C17661" t="s">
        <v>209</v>
      </c>
      <c r="D17661" s="21" t="s">
        <v>34</v>
      </c>
      <c r="E17661" s="21" t="s">
        <v>35</v>
      </c>
      <c r="F17661">
        <v>3290228</v>
      </c>
      <c r="G17661" t="s">
        <v>8738</v>
      </c>
      <c r="H17661" s="21">
        <v>794.92</v>
      </c>
    </row>
    <row r="17662" spans="1:8" customFormat="1" x14ac:dyDescent="0.25">
      <c r="A17662" t="str">
        <f>"7911073"</f>
        <v>7911073</v>
      </c>
      <c r="B17662" t="s">
        <v>1820</v>
      </c>
      <c r="C17662" t="s">
        <v>33</v>
      </c>
      <c r="D17662" s="21" t="s">
        <v>34</v>
      </c>
      <c r="E17662" s="21" t="s">
        <v>35</v>
      </c>
      <c r="F17662">
        <v>10790020</v>
      </c>
      <c r="G17662" t="s">
        <v>10221</v>
      </c>
      <c r="H17662" s="21">
        <v>794.92</v>
      </c>
    </row>
    <row r="17663" spans="1:8" customFormat="1" x14ac:dyDescent="0.25">
      <c r="A17663" t="str">
        <f>"956172"</f>
        <v>956172</v>
      </c>
      <c r="B17663" t="s">
        <v>3000</v>
      </c>
      <c r="C17663" t="s">
        <v>598</v>
      </c>
      <c r="D17663" s="21" t="s">
        <v>34</v>
      </c>
      <c r="E17663" s="21" t="s">
        <v>1089</v>
      </c>
      <c r="F17663">
        <v>3560087</v>
      </c>
      <c r="G17663" t="s">
        <v>7767</v>
      </c>
      <c r="H17663" s="21">
        <v>794.92</v>
      </c>
    </row>
    <row r="17664" spans="1:8" customFormat="1" x14ac:dyDescent="0.25">
      <c r="A17664" t="str">
        <f>"3314918"</f>
        <v>3314918</v>
      </c>
      <c r="B17664" t="s">
        <v>27493</v>
      </c>
      <c r="C17664" t="s">
        <v>285</v>
      </c>
      <c r="D17664" s="21" t="s">
        <v>34</v>
      </c>
      <c r="E17664" s="21" t="s">
        <v>35</v>
      </c>
      <c r="F17664">
        <v>10330129</v>
      </c>
      <c r="G17664" t="s">
        <v>5977</v>
      </c>
      <c r="H17664" s="21">
        <v>794.92</v>
      </c>
    </row>
    <row r="17665" spans="1:8" customFormat="1" x14ac:dyDescent="0.25">
      <c r="A17665" t="str">
        <f>"5616612"</f>
        <v>5616612</v>
      </c>
      <c r="B17665" t="s">
        <v>14272</v>
      </c>
      <c r="C17665" t="s">
        <v>3934</v>
      </c>
      <c r="D17665" s="21" t="s">
        <v>34</v>
      </c>
      <c r="E17665" s="21" t="s">
        <v>35</v>
      </c>
      <c r="F17665">
        <v>3560050</v>
      </c>
      <c r="G17665" t="s">
        <v>5322</v>
      </c>
      <c r="H17665" s="21">
        <v>794.79</v>
      </c>
    </row>
    <row r="17666" spans="1:8" customFormat="1" x14ac:dyDescent="0.25">
      <c r="A17666" t="str">
        <f>"92719"</f>
        <v>92719</v>
      </c>
      <c r="B17666" t="s">
        <v>8320</v>
      </c>
      <c r="C17666" t="s">
        <v>1142</v>
      </c>
      <c r="D17666" s="21" t="s">
        <v>34</v>
      </c>
      <c r="E17666" s="21" t="s">
        <v>1089</v>
      </c>
      <c r="F17666">
        <v>8920075</v>
      </c>
      <c r="G17666" t="s">
        <v>317</v>
      </c>
      <c r="H17666" s="21">
        <v>794.67</v>
      </c>
    </row>
    <row r="17667" spans="1:8" customFormat="1" x14ac:dyDescent="0.25">
      <c r="A17667" t="str">
        <f>"133184"</f>
        <v>133184</v>
      </c>
      <c r="B17667" t="s">
        <v>14444</v>
      </c>
      <c r="C17667" t="s">
        <v>576</v>
      </c>
      <c r="D17667" s="21" t="s">
        <v>34</v>
      </c>
      <c r="E17667" s="21" t="s">
        <v>71</v>
      </c>
      <c r="F17667">
        <v>13130159</v>
      </c>
      <c r="G17667" t="s">
        <v>199</v>
      </c>
      <c r="H17667" s="21">
        <v>794.67</v>
      </c>
    </row>
    <row r="17668" spans="1:8" customFormat="1" x14ac:dyDescent="0.25">
      <c r="A17668" t="str">
        <f>"199126"</f>
        <v>199126</v>
      </c>
      <c r="B17668" t="s">
        <v>12800</v>
      </c>
      <c r="C17668" t="s">
        <v>415</v>
      </c>
      <c r="D17668" s="21" t="s">
        <v>34</v>
      </c>
      <c r="E17668" s="21" t="s">
        <v>71</v>
      </c>
      <c r="F17668">
        <v>10190075</v>
      </c>
      <c r="G17668" t="s">
        <v>14431</v>
      </c>
      <c r="H17668" s="21">
        <v>794.67</v>
      </c>
    </row>
    <row r="17669" spans="1:8" customFormat="1" x14ac:dyDescent="0.25">
      <c r="A17669" t="str">
        <f>"5010953"</f>
        <v>5010953</v>
      </c>
      <c r="B17669" t="s">
        <v>921</v>
      </c>
      <c r="C17669" t="s">
        <v>204</v>
      </c>
      <c r="D17669" s="21" t="s">
        <v>34</v>
      </c>
      <c r="E17669" s="21" t="s">
        <v>35</v>
      </c>
      <c r="F17669">
        <v>9500163</v>
      </c>
      <c r="G17669" t="s">
        <v>2750</v>
      </c>
      <c r="H17669" s="21">
        <v>794.67</v>
      </c>
    </row>
    <row r="17670" spans="1:8" customFormat="1" x14ac:dyDescent="0.25">
      <c r="A17670" t="str">
        <f>"257283"</f>
        <v>257283</v>
      </c>
      <c r="B17670" t="s">
        <v>14468</v>
      </c>
      <c r="C17670" t="s">
        <v>528</v>
      </c>
      <c r="D17670" s="21" t="s">
        <v>34</v>
      </c>
      <c r="E17670" s="21" t="s">
        <v>71</v>
      </c>
      <c r="F17670">
        <v>2250216</v>
      </c>
      <c r="G17670" t="s">
        <v>11454</v>
      </c>
      <c r="H17670" s="21">
        <v>794.67</v>
      </c>
    </row>
    <row r="17671" spans="1:8" customFormat="1" x14ac:dyDescent="0.25">
      <c r="A17671" t="str">
        <f>"377990"</f>
        <v>377990</v>
      </c>
      <c r="B17671" t="s">
        <v>14080</v>
      </c>
      <c r="C17671" t="s">
        <v>2546</v>
      </c>
      <c r="D17671" s="21" t="s">
        <v>34</v>
      </c>
      <c r="E17671" s="21" t="s">
        <v>254</v>
      </c>
      <c r="F17671">
        <v>4370030</v>
      </c>
      <c r="G17671" t="s">
        <v>14081</v>
      </c>
      <c r="H17671" s="21">
        <v>794.67</v>
      </c>
    </row>
    <row r="17672" spans="1:8" customFormat="1" x14ac:dyDescent="0.25">
      <c r="A17672" t="str">
        <f>"568203"</f>
        <v>568203</v>
      </c>
      <c r="B17672" t="s">
        <v>13871</v>
      </c>
      <c r="C17672" t="s">
        <v>124</v>
      </c>
      <c r="D17672" s="21" t="s">
        <v>34</v>
      </c>
      <c r="E17672" s="21" t="s">
        <v>71</v>
      </c>
      <c r="F17672">
        <v>3560066</v>
      </c>
      <c r="G17672" t="s">
        <v>1156</v>
      </c>
      <c r="H17672" s="21">
        <v>794.67</v>
      </c>
    </row>
    <row r="17673" spans="1:8" customFormat="1" x14ac:dyDescent="0.25">
      <c r="A17673" t="str">
        <f>"72316"</f>
        <v>72316</v>
      </c>
      <c r="B17673" t="s">
        <v>3312</v>
      </c>
      <c r="C17673" t="s">
        <v>239</v>
      </c>
      <c r="D17673" s="21" t="s">
        <v>34</v>
      </c>
      <c r="E17673" s="21" t="s">
        <v>1089</v>
      </c>
      <c r="F17673">
        <v>12720005</v>
      </c>
      <c r="G17673" t="s">
        <v>999</v>
      </c>
      <c r="H17673" s="21">
        <v>794.67</v>
      </c>
    </row>
    <row r="17674" spans="1:8" customFormat="1" x14ac:dyDescent="0.25">
      <c r="A17674" t="str">
        <f>"3530939"</f>
        <v>3530939</v>
      </c>
      <c r="B17674" t="s">
        <v>4124</v>
      </c>
      <c r="C17674" t="s">
        <v>55</v>
      </c>
      <c r="D17674" s="21" t="s">
        <v>34</v>
      </c>
      <c r="E17674" s="21" t="s">
        <v>35</v>
      </c>
      <c r="F17674">
        <v>3350022</v>
      </c>
      <c r="G17674" t="s">
        <v>1287</v>
      </c>
      <c r="H17674" s="21">
        <v>794.67</v>
      </c>
    </row>
    <row r="17675" spans="1:8" customFormat="1" x14ac:dyDescent="0.25">
      <c r="A17675" t="str">
        <f>"7216499"</f>
        <v>7216499</v>
      </c>
      <c r="B17675" t="s">
        <v>889</v>
      </c>
      <c r="C17675" t="s">
        <v>269</v>
      </c>
      <c r="D17675" s="21" t="s">
        <v>34</v>
      </c>
      <c r="E17675" s="21" t="s">
        <v>35</v>
      </c>
      <c r="F17675">
        <v>12720117</v>
      </c>
      <c r="G17675" t="s">
        <v>7788</v>
      </c>
      <c r="H17675" s="21">
        <v>794.67</v>
      </c>
    </row>
    <row r="17676" spans="1:8" customFormat="1" x14ac:dyDescent="0.25">
      <c r="A17676" t="str">
        <f>"8014295"</f>
        <v>8014295</v>
      </c>
      <c r="B17676" t="s">
        <v>14501</v>
      </c>
      <c r="C17676" t="s">
        <v>40</v>
      </c>
      <c r="D17676" s="21" t="s">
        <v>34</v>
      </c>
      <c r="E17676" s="21" t="s">
        <v>71</v>
      </c>
      <c r="F17676">
        <v>7800018</v>
      </c>
      <c r="G17676" t="s">
        <v>10207</v>
      </c>
      <c r="H17676" s="21">
        <v>794.67</v>
      </c>
    </row>
    <row r="17677" spans="1:8" customFormat="1" x14ac:dyDescent="0.25">
      <c r="A17677" t="str">
        <f>"7615452"</f>
        <v>7615452</v>
      </c>
      <c r="B17677" t="s">
        <v>13900</v>
      </c>
      <c r="C17677" t="s">
        <v>453</v>
      </c>
      <c r="D17677" s="21" t="s">
        <v>34</v>
      </c>
      <c r="E17677" s="21" t="s">
        <v>254</v>
      </c>
      <c r="F17677">
        <v>9760028</v>
      </c>
      <c r="G17677" t="s">
        <v>4086</v>
      </c>
      <c r="H17677" s="21">
        <v>794.67</v>
      </c>
    </row>
    <row r="17678" spans="1:8" customFormat="1" x14ac:dyDescent="0.25">
      <c r="A17678" t="str">
        <f>"9414378"</f>
        <v>9414378</v>
      </c>
      <c r="B17678" t="s">
        <v>14061</v>
      </c>
      <c r="C17678" t="s">
        <v>209</v>
      </c>
      <c r="D17678" s="21" t="s">
        <v>34</v>
      </c>
      <c r="E17678" s="21" t="s">
        <v>254</v>
      </c>
      <c r="F17678">
        <v>7020019</v>
      </c>
      <c r="G17678" t="s">
        <v>7912</v>
      </c>
      <c r="H17678" s="21">
        <v>794.67</v>
      </c>
    </row>
    <row r="17679" spans="1:8" customFormat="1" x14ac:dyDescent="0.25">
      <c r="A17679" t="str">
        <f>"5936827"</f>
        <v>5936827</v>
      </c>
      <c r="B17679" t="s">
        <v>13822</v>
      </c>
      <c r="C17679" t="s">
        <v>1665</v>
      </c>
      <c r="D17679" s="21" t="s">
        <v>34</v>
      </c>
      <c r="E17679" s="21" t="s">
        <v>71</v>
      </c>
      <c r="F17679">
        <v>7590260</v>
      </c>
      <c r="G17679" t="s">
        <v>3043</v>
      </c>
      <c r="H17679" s="21">
        <v>794.67</v>
      </c>
    </row>
    <row r="17680" spans="1:8" customFormat="1" x14ac:dyDescent="0.25">
      <c r="A17680" t="str">
        <f>"7515633"</f>
        <v>7515633</v>
      </c>
      <c r="B17680" t="s">
        <v>14069</v>
      </c>
      <c r="C17680" t="s">
        <v>428</v>
      </c>
      <c r="D17680" s="21" t="s">
        <v>34</v>
      </c>
      <c r="E17680" s="21" t="s">
        <v>35</v>
      </c>
      <c r="F17680">
        <v>1690103</v>
      </c>
      <c r="G17680" t="s">
        <v>5411</v>
      </c>
      <c r="H17680" s="21">
        <v>794.67</v>
      </c>
    </row>
    <row r="17681" spans="1:8" customFormat="1" x14ac:dyDescent="0.25">
      <c r="A17681" t="str">
        <f>"088386"</f>
        <v>088386</v>
      </c>
      <c r="B17681" t="s">
        <v>1462</v>
      </c>
      <c r="C17681" t="s">
        <v>98</v>
      </c>
      <c r="D17681" s="21" t="s">
        <v>34</v>
      </c>
      <c r="E17681" s="21" t="s">
        <v>35</v>
      </c>
      <c r="F17681">
        <v>6080093</v>
      </c>
      <c r="G17681" t="s">
        <v>13289</v>
      </c>
      <c r="H17681" s="21">
        <v>794.67</v>
      </c>
    </row>
    <row r="17682" spans="1:8" customFormat="1" x14ac:dyDescent="0.25">
      <c r="A17682" t="str">
        <f>"2717059"</f>
        <v>2717059</v>
      </c>
      <c r="B17682" t="s">
        <v>15554</v>
      </c>
      <c r="C17682" t="s">
        <v>249</v>
      </c>
      <c r="D17682" s="21" t="s">
        <v>34</v>
      </c>
      <c r="E17682" s="21" t="s">
        <v>71</v>
      </c>
      <c r="F17682">
        <v>9270087</v>
      </c>
      <c r="G17682" t="s">
        <v>7014</v>
      </c>
      <c r="H17682" s="21">
        <v>794.67</v>
      </c>
    </row>
    <row r="17683" spans="1:8" customFormat="1" x14ac:dyDescent="0.25">
      <c r="A17683" t="str">
        <f>"7623952"</f>
        <v>7623952</v>
      </c>
      <c r="B17683" t="s">
        <v>13826</v>
      </c>
      <c r="C17683" t="s">
        <v>285</v>
      </c>
      <c r="D17683" s="21" t="s">
        <v>34</v>
      </c>
      <c r="E17683" s="21" t="s">
        <v>35</v>
      </c>
      <c r="F17683">
        <v>9760259</v>
      </c>
      <c r="G17683" t="s">
        <v>6926</v>
      </c>
      <c r="H17683" s="21">
        <v>794.67</v>
      </c>
    </row>
    <row r="17684" spans="1:8" customFormat="1" x14ac:dyDescent="0.25">
      <c r="A17684" t="str">
        <f>"843219"</f>
        <v>843219</v>
      </c>
      <c r="B17684" t="s">
        <v>14397</v>
      </c>
      <c r="C17684" t="s">
        <v>9063</v>
      </c>
      <c r="D17684" s="21" t="s">
        <v>34</v>
      </c>
      <c r="E17684" s="21" t="s">
        <v>254</v>
      </c>
      <c r="F17684">
        <v>13840013</v>
      </c>
      <c r="G17684" t="s">
        <v>7323</v>
      </c>
      <c r="H17684" s="21">
        <v>794.67</v>
      </c>
    </row>
    <row r="17685" spans="1:8" customFormat="1" x14ac:dyDescent="0.25">
      <c r="A17685" t="str">
        <f>"6019438"</f>
        <v>6019438</v>
      </c>
      <c r="B17685" t="s">
        <v>392</v>
      </c>
      <c r="C17685" t="s">
        <v>60</v>
      </c>
      <c r="D17685" s="21" t="s">
        <v>34</v>
      </c>
      <c r="E17685" s="21" t="s">
        <v>35</v>
      </c>
      <c r="F17685">
        <v>7600154</v>
      </c>
      <c r="G17685" t="s">
        <v>7836</v>
      </c>
      <c r="H17685" s="21">
        <v>794.67</v>
      </c>
    </row>
    <row r="17686" spans="1:8" customFormat="1" x14ac:dyDescent="0.25">
      <c r="A17686" t="str">
        <f>"5947221"</f>
        <v>5947221</v>
      </c>
      <c r="B17686" t="s">
        <v>1333</v>
      </c>
      <c r="C17686" t="s">
        <v>3393</v>
      </c>
      <c r="D17686" s="21" t="s">
        <v>34</v>
      </c>
      <c r="E17686" s="21" t="s">
        <v>35</v>
      </c>
      <c r="F17686">
        <v>7590120</v>
      </c>
      <c r="G17686" t="s">
        <v>5351</v>
      </c>
      <c r="H17686" s="21">
        <v>794.42</v>
      </c>
    </row>
    <row r="17687" spans="1:8" customFormat="1" x14ac:dyDescent="0.25">
      <c r="A17687" t="str">
        <f>"6913744"</f>
        <v>6913744</v>
      </c>
      <c r="B17687" t="s">
        <v>18403</v>
      </c>
      <c r="C17687" t="s">
        <v>2520</v>
      </c>
      <c r="D17687" s="21" t="s">
        <v>34</v>
      </c>
      <c r="E17687" s="21" t="s">
        <v>254</v>
      </c>
      <c r="F17687">
        <v>1690023</v>
      </c>
      <c r="G17687" t="s">
        <v>647</v>
      </c>
      <c r="H17687" s="21">
        <v>794.29</v>
      </c>
    </row>
    <row r="17688" spans="1:8" customFormat="1" x14ac:dyDescent="0.25">
      <c r="A17688" t="str">
        <f>"5723506"</f>
        <v>5723506</v>
      </c>
      <c r="B17688" t="s">
        <v>13176</v>
      </c>
      <c r="C17688" t="s">
        <v>156</v>
      </c>
      <c r="D17688" s="21" t="s">
        <v>34</v>
      </c>
      <c r="E17688" s="21" t="s">
        <v>71</v>
      </c>
      <c r="F17688">
        <v>6570193</v>
      </c>
      <c r="G17688" t="s">
        <v>13003</v>
      </c>
      <c r="H17688" s="21">
        <v>794.17</v>
      </c>
    </row>
    <row r="17689" spans="1:8" customFormat="1" x14ac:dyDescent="0.25">
      <c r="A17689" t="str">
        <f>"5910957"</f>
        <v>5910957</v>
      </c>
      <c r="B17689" t="s">
        <v>5993</v>
      </c>
      <c r="C17689" t="s">
        <v>9507</v>
      </c>
      <c r="D17689" s="21" t="s">
        <v>34</v>
      </c>
      <c r="E17689" s="21" t="s">
        <v>35</v>
      </c>
      <c r="F17689">
        <v>7590400</v>
      </c>
      <c r="G17689" t="s">
        <v>26692</v>
      </c>
      <c r="H17689" s="21">
        <v>794.17</v>
      </c>
    </row>
    <row r="17690" spans="1:8" customFormat="1" x14ac:dyDescent="0.25">
      <c r="A17690" t="str">
        <f>"5617672"</f>
        <v>5617672</v>
      </c>
      <c r="B17690" t="s">
        <v>2138</v>
      </c>
      <c r="C17690" t="s">
        <v>55</v>
      </c>
      <c r="D17690" s="21" t="s">
        <v>34</v>
      </c>
      <c r="E17690" s="21" t="s">
        <v>71</v>
      </c>
      <c r="F17690">
        <v>3560090</v>
      </c>
      <c r="G17690" t="s">
        <v>7777</v>
      </c>
      <c r="H17690" s="21">
        <v>794.17</v>
      </c>
    </row>
    <row r="17691" spans="1:8" customFormat="1" x14ac:dyDescent="0.25">
      <c r="A17691" t="str">
        <f>"749189"</f>
        <v>749189</v>
      </c>
      <c r="B17691" t="s">
        <v>2104</v>
      </c>
      <c r="C17691" t="s">
        <v>462</v>
      </c>
      <c r="D17691" s="21" t="s">
        <v>34</v>
      </c>
      <c r="E17691" s="21" t="s">
        <v>1089</v>
      </c>
      <c r="F17691">
        <v>1740065</v>
      </c>
      <c r="G17691" t="s">
        <v>5226</v>
      </c>
      <c r="H17691" s="21">
        <v>794.17</v>
      </c>
    </row>
    <row r="17692" spans="1:8" customFormat="1" x14ac:dyDescent="0.25">
      <c r="A17692" t="str">
        <f>"702469"</f>
        <v>702469</v>
      </c>
      <c r="B17692" t="s">
        <v>3546</v>
      </c>
      <c r="C17692" t="s">
        <v>817</v>
      </c>
      <c r="D17692" s="21" t="s">
        <v>34</v>
      </c>
      <c r="E17692" s="21" t="s">
        <v>71</v>
      </c>
      <c r="F17692">
        <v>2700018</v>
      </c>
      <c r="G17692" t="s">
        <v>3723</v>
      </c>
      <c r="H17692" s="21">
        <v>794.17</v>
      </c>
    </row>
    <row r="17693" spans="1:8" customFormat="1" x14ac:dyDescent="0.25">
      <c r="A17693" t="str">
        <f>"568613"</f>
        <v>568613</v>
      </c>
      <c r="B17693" t="s">
        <v>9834</v>
      </c>
      <c r="C17693" t="s">
        <v>263</v>
      </c>
      <c r="D17693" s="21" t="s">
        <v>34</v>
      </c>
      <c r="E17693" s="21" t="s">
        <v>254</v>
      </c>
      <c r="F17693">
        <v>3560063</v>
      </c>
      <c r="G17693" t="s">
        <v>16878</v>
      </c>
      <c r="H17693" s="21">
        <v>794.17</v>
      </c>
    </row>
    <row r="17694" spans="1:8" customFormat="1" x14ac:dyDescent="0.25">
      <c r="A17694" t="str">
        <f>"103632"</f>
        <v>103632</v>
      </c>
      <c r="B17694" t="s">
        <v>64</v>
      </c>
      <c r="C17694" t="s">
        <v>156</v>
      </c>
      <c r="D17694" s="21" t="s">
        <v>34</v>
      </c>
      <c r="E17694" s="21" t="s">
        <v>71</v>
      </c>
      <c r="F17694">
        <v>8920646</v>
      </c>
      <c r="G17694" t="s">
        <v>2864</v>
      </c>
      <c r="H17694" s="21">
        <v>794.17</v>
      </c>
    </row>
    <row r="17695" spans="1:8" customFormat="1" x14ac:dyDescent="0.25">
      <c r="A17695" t="str">
        <f>"5019920"</f>
        <v>5019920</v>
      </c>
      <c r="B17695" t="s">
        <v>2052</v>
      </c>
      <c r="C17695" t="s">
        <v>62</v>
      </c>
      <c r="D17695" s="21" t="s">
        <v>34</v>
      </c>
      <c r="E17695" s="21" t="s">
        <v>35</v>
      </c>
      <c r="F17695">
        <v>9500048</v>
      </c>
      <c r="G17695" t="s">
        <v>1804</v>
      </c>
      <c r="H17695" s="21">
        <v>794.17</v>
      </c>
    </row>
    <row r="17696" spans="1:8" customFormat="1" x14ac:dyDescent="0.25">
      <c r="A17696" t="str">
        <f>"4442106"</f>
        <v>4442106</v>
      </c>
      <c r="B17696" t="s">
        <v>12340</v>
      </c>
      <c r="C17696" t="s">
        <v>204</v>
      </c>
      <c r="D17696" s="21" t="s">
        <v>34</v>
      </c>
      <c r="E17696" s="21" t="s">
        <v>71</v>
      </c>
      <c r="F17696">
        <v>12440067</v>
      </c>
      <c r="G17696" t="s">
        <v>1723</v>
      </c>
      <c r="H17696" s="21">
        <v>794.17</v>
      </c>
    </row>
    <row r="17697" spans="1:8" customFormat="1" x14ac:dyDescent="0.25">
      <c r="A17697" t="str">
        <f>"30296"</f>
        <v>30296</v>
      </c>
      <c r="B17697" t="s">
        <v>1053</v>
      </c>
      <c r="C17697" t="s">
        <v>453</v>
      </c>
      <c r="D17697" s="21" t="s">
        <v>34</v>
      </c>
      <c r="E17697" s="21" t="s">
        <v>1089</v>
      </c>
      <c r="F17697">
        <v>11300016</v>
      </c>
      <c r="G17697" t="s">
        <v>157</v>
      </c>
      <c r="H17697" s="21">
        <v>794.04</v>
      </c>
    </row>
    <row r="17698" spans="1:8" customFormat="1" x14ac:dyDescent="0.25">
      <c r="A17698" t="str">
        <f>"95302"</f>
        <v>95302</v>
      </c>
      <c r="B17698" t="s">
        <v>13177</v>
      </c>
      <c r="C17698" t="s">
        <v>239</v>
      </c>
      <c r="D17698" s="21" t="s">
        <v>34</v>
      </c>
      <c r="E17698" s="21" t="s">
        <v>254</v>
      </c>
      <c r="F17698">
        <v>8950083</v>
      </c>
      <c r="G17698" t="s">
        <v>405</v>
      </c>
      <c r="H17698" s="21">
        <v>793.92</v>
      </c>
    </row>
    <row r="17699" spans="1:8" customFormat="1" x14ac:dyDescent="0.25">
      <c r="A17699" t="str">
        <f>"5611119"</f>
        <v>5611119</v>
      </c>
      <c r="B17699" t="s">
        <v>61</v>
      </c>
      <c r="C17699" t="s">
        <v>2520</v>
      </c>
      <c r="D17699" s="21" t="s">
        <v>34</v>
      </c>
      <c r="E17699" s="21" t="s">
        <v>254</v>
      </c>
      <c r="F17699">
        <v>10170005</v>
      </c>
      <c r="G17699" t="s">
        <v>4290</v>
      </c>
      <c r="H17699" s="21">
        <v>793.92</v>
      </c>
    </row>
    <row r="17700" spans="1:8" customFormat="1" x14ac:dyDescent="0.25">
      <c r="A17700" t="str">
        <f>"2916807"</f>
        <v>2916807</v>
      </c>
      <c r="B17700" t="s">
        <v>14169</v>
      </c>
      <c r="C17700" t="s">
        <v>2276</v>
      </c>
      <c r="D17700" s="21" t="s">
        <v>34</v>
      </c>
      <c r="E17700" s="21" t="s">
        <v>1089</v>
      </c>
      <c r="F17700">
        <v>3290014</v>
      </c>
      <c r="G17700" t="s">
        <v>10174</v>
      </c>
      <c r="H17700" s="21">
        <v>793.92</v>
      </c>
    </row>
    <row r="17701" spans="1:8" customFormat="1" x14ac:dyDescent="0.25">
      <c r="A17701" t="str">
        <f>"7723116"</f>
        <v>7723116</v>
      </c>
      <c r="B17701" t="s">
        <v>15883</v>
      </c>
      <c r="C17701" t="s">
        <v>328</v>
      </c>
      <c r="D17701" s="21" t="s">
        <v>34</v>
      </c>
      <c r="E17701" s="21" t="s">
        <v>35</v>
      </c>
      <c r="F17701">
        <v>8770250</v>
      </c>
      <c r="G17701" t="s">
        <v>2595</v>
      </c>
      <c r="H17701" s="21">
        <v>793.92</v>
      </c>
    </row>
    <row r="17702" spans="1:8" customFormat="1" x14ac:dyDescent="0.25">
      <c r="A17702" t="str">
        <f>"9727382"</f>
        <v>9727382</v>
      </c>
      <c r="B17702" t="s">
        <v>15869</v>
      </c>
      <c r="C17702" t="s">
        <v>1146</v>
      </c>
      <c r="D17702" s="21" t="s">
        <v>34</v>
      </c>
      <c r="E17702" s="21" t="s">
        <v>71</v>
      </c>
      <c r="F17702">
        <v>1380130</v>
      </c>
      <c r="G17702" t="s">
        <v>6667</v>
      </c>
      <c r="H17702" s="21">
        <v>793.92</v>
      </c>
    </row>
    <row r="17703" spans="1:8" customFormat="1" x14ac:dyDescent="0.25">
      <c r="A17703" t="str">
        <f>"5318752"</f>
        <v>5318752</v>
      </c>
      <c r="B17703" t="s">
        <v>14353</v>
      </c>
      <c r="C17703" t="s">
        <v>269</v>
      </c>
      <c r="D17703" s="21" t="s">
        <v>34</v>
      </c>
      <c r="E17703" s="21" t="s">
        <v>35</v>
      </c>
      <c r="F17703">
        <v>12530087</v>
      </c>
      <c r="G17703" t="s">
        <v>3860</v>
      </c>
      <c r="H17703" s="21">
        <v>793.79</v>
      </c>
    </row>
    <row r="17704" spans="1:8" customFormat="1" x14ac:dyDescent="0.25">
      <c r="A17704" t="str">
        <f>"6017450"</f>
        <v>6017450</v>
      </c>
      <c r="B17704" t="s">
        <v>16119</v>
      </c>
      <c r="C17704" t="s">
        <v>139</v>
      </c>
      <c r="D17704" s="21" t="s">
        <v>34</v>
      </c>
      <c r="E17704" s="21" t="s">
        <v>35</v>
      </c>
      <c r="F17704">
        <v>7600037</v>
      </c>
      <c r="G17704" t="s">
        <v>7185</v>
      </c>
      <c r="H17704" s="21">
        <v>793.79</v>
      </c>
    </row>
    <row r="17705" spans="1:8" customFormat="1" x14ac:dyDescent="0.25">
      <c r="A17705" t="str">
        <f>"3424969"</f>
        <v>3424969</v>
      </c>
      <c r="B17705" t="s">
        <v>16962</v>
      </c>
      <c r="C17705" t="s">
        <v>1914</v>
      </c>
      <c r="D17705" s="21" t="s">
        <v>34</v>
      </c>
      <c r="E17705" s="21" t="s">
        <v>35</v>
      </c>
      <c r="F17705">
        <v>11340013</v>
      </c>
      <c r="G17705" t="s">
        <v>11430</v>
      </c>
      <c r="H17705" s="21">
        <v>793.67</v>
      </c>
    </row>
    <row r="17706" spans="1:8" customFormat="1" x14ac:dyDescent="0.25">
      <c r="A17706" t="str">
        <f>"7618182"</f>
        <v>7618182</v>
      </c>
      <c r="B17706" t="s">
        <v>2319</v>
      </c>
      <c r="C17706" t="s">
        <v>43</v>
      </c>
      <c r="D17706" s="21" t="s">
        <v>34</v>
      </c>
      <c r="E17706" s="21" t="s">
        <v>35</v>
      </c>
      <c r="F17706">
        <v>9760308</v>
      </c>
      <c r="G17706" t="s">
        <v>8917</v>
      </c>
      <c r="H17706" s="21">
        <v>793.67</v>
      </c>
    </row>
    <row r="17707" spans="1:8" customFormat="1" x14ac:dyDescent="0.25">
      <c r="A17707" t="str">
        <f>"4921169"</f>
        <v>4921169</v>
      </c>
      <c r="B17707" t="s">
        <v>136</v>
      </c>
      <c r="C17707" t="s">
        <v>926</v>
      </c>
      <c r="D17707" s="21" t="s">
        <v>34</v>
      </c>
      <c r="E17707" s="21" t="s">
        <v>71</v>
      </c>
      <c r="F17707">
        <v>12490030</v>
      </c>
      <c r="G17707" t="s">
        <v>8366</v>
      </c>
      <c r="H17707" s="21">
        <v>793.67</v>
      </c>
    </row>
    <row r="17708" spans="1:8" customFormat="1" x14ac:dyDescent="0.25">
      <c r="A17708" t="str">
        <f>"7218898"</f>
        <v>7218898</v>
      </c>
      <c r="B17708" t="s">
        <v>3613</v>
      </c>
      <c r="C17708" t="s">
        <v>336</v>
      </c>
      <c r="D17708" s="21" t="s">
        <v>34</v>
      </c>
      <c r="E17708" s="21" t="s">
        <v>35</v>
      </c>
      <c r="F17708">
        <v>12720062</v>
      </c>
      <c r="G17708" t="s">
        <v>4026</v>
      </c>
      <c r="H17708" s="21">
        <v>793.67</v>
      </c>
    </row>
    <row r="17709" spans="1:8" customFormat="1" x14ac:dyDescent="0.25">
      <c r="A17709" t="str">
        <f>"6936580"</f>
        <v>6936580</v>
      </c>
      <c r="B17709" t="s">
        <v>7661</v>
      </c>
      <c r="C17709" t="s">
        <v>119</v>
      </c>
      <c r="D17709" s="21" t="s">
        <v>34</v>
      </c>
      <c r="E17709" s="21" t="s">
        <v>35</v>
      </c>
      <c r="F17709">
        <v>1690156</v>
      </c>
      <c r="G17709" t="s">
        <v>7062</v>
      </c>
      <c r="H17709" s="21">
        <v>793.67</v>
      </c>
    </row>
    <row r="17710" spans="1:8" customFormat="1" x14ac:dyDescent="0.25">
      <c r="A17710" t="str">
        <f>"703307"</f>
        <v>703307</v>
      </c>
      <c r="B17710" t="s">
        <v>13672</v>
      </c>
      <c r="C17710" t="s">
        <v>608</v>
      </c>
      <c r="D17710" s="21" t="s">
        <v>34</v>
      </c>
      <c r="E17710" s="21" t="s">
        <v>35</v>
      </c>
      <c r="F17710">
        <v>2700089</v>
      </c>
      <c r="G17710" t="s">
        <v>2570</v>
      </c>
      <c r="H17710" s="21">
        <v>793.67</v>
      </c>
    </row>
    <row r="17711" spans="1:8" customFormat="1" x14ac:dyDescent="0.25">
      <c r="A17711" t="str">
        <f>"6931464"</f>
        <v>6931464</v>
      </c>
      <c r="B17711" t="s">
        <v>1349</v>
      </c>
      <c r="C17711" t="s">
        <v>87</v>
      </c>
      <c r="D17711" s="21" t="s">
        <v>34</v>
      </c>
      <c r="E17711" s="21" t="s">
        <v>71</v>
      </c>
      <c r="F17711">
        <v>1690175</v>
      </c>
      <c r="G17711" t="s">
        <v>410</v>
      </c>
      <c r="H17711" s="21">
        <v>793.67</v>
      </c>
    </row>
    <row r="17712" spans="1:8" customFormat="1" x14ac:dyDescent="0.25">
      <c r="A17712" t="str">
        <f>"512755"</f>
        <v>512755</v>
      </c>
      <c r="B17712" t="s">
        <v>16011</v>
      </c>
      <c r="C17712" t="s">
        <v>2546</v>
      </c>
      <c r="D17712" s="21" t="s">
        <v>34</v>
      </c>
      <c r="E17712" s="21" t="s">
        <v>254</v>
      </c>
      <c r="F17712">
        <v>6510029</v>
      </c>
      <c r="G17712" t="s">
        <v>1879</v>
      </c>
      <c r="H17712" s="21">
        <v>793.67</v>
      </c>
    </row>
    <row r="17713" spans="1:8" customFormat="1" x14ac:dyDescent="0.25">
      <c r="A17713" t="str">
        <f>"3820896"</f>
        <v>3820896</v>
      </c>
      <c r="B17713" t="s">
        <v>13378</v>
      </c>
      <c r="C17713" t="s">
        <v>2365</v>
      </c>
      <c r="D17713" s="21" t="s">
        <v>34</v>
      </c>
      <c r="E17713" s="21" t="s">
        <v>254</v>
      </c>
      <c r="F17713">
        <v>1380084</v>
      </c>
      <c r="G17713" t="s">
        <v>8218</v>
      </c>
      <c r="H17713" s="21">
        <v>793.67</v>
      </c>
    </row>
    <row r="17714" spans="1:8" customFormat="1" x14ac:dyDescent="0.25">
      <c r="A17714" t="str">
        <f>"861028"</f>
        <v>861028</v>
      </c>
      <c r="B17714" t="s">
        <v>13104</v>
      </c>
      <c r="C17714" t="s">
        <v>598</v>
      </c>
      <c r="D17714" s="21" t="s">
        <v>34</v>
      </c>
      <c r="E17714" s="21" t="s">
        <v>1089</v>
      </c>
      <c r="F17714">
        <v>9140115</v>
      </c>
      <c r="G17714" t="s">
        <v>26590</v>
      </c>
      <c r="H17714" s="21">
        <v>793.67</v>
      </c>
    </row>
    <row r="17715" spans="1:8" customFormat="1" x14ac:dyDescent="0.25">
      <c r="A17715" t="str">
        <f>"5620921"</f>
        <v>5620921</v>
      </c>
      <c r="B17715" t="s">
        <v>14442</v>
      </c>
      <c r="C17715" t="s">
        <v>576</v>
      </c>
      <c r="D17715" s="21" t="s">
        <v>34</v>
      </c>
      <c r="E17715" s="21" t="s">
        <v>35</v>
      </c>
      <c r="F17715">
        <v>3560054</v>
      </c>
      <c r="G17715" t="s">
        <v>10188</v>
      </c>
      <c r="H17715" s="21">
        <v>793.67</v>
      </c>
    </row>
    <row r="17716" spans="1:8" customFormat="1" x14ac:dyDescent="0.25">
      <c r="A17716" t="str">
        <f>"831865"</f>
        <v>831865</v>
      </c>
      <c r="B17716" t="s">
        <v>14335</v>
      </c>
      <c r="C17716" t="s">
        <v>6735</v>
      </c>
      <c r="D17716" s="21" t="s">
        <v>34</v>
      </c>
      <c r="E17716" s="21" t="s">
        <v>71</v>
      </c>
      <c r="F17716">
        <v>13830062</v>
      </c>
      <c r="G17716" t="s">
        <v>9074</v>
      </c>
      <c r="H17716" s="21">
        <v>793.67</v>
      </c>
    </row>
    <row r="17717" spans="1:8" customFormat="1" x14ac:dyDescent="0.25">
      <c r="A17717" t="str">
        <f>"366799"</f>
        <v>366799</v>
      </c>
      <c r="B17717" t="s">
        <v>16692</v>
      </c>
      <c r="C17717" t="s">
        <v>169</v>
      </c>
      <c r="D17717" s="21" t="s">
        <v>34</v>
      </c>
      <c r="E17717" s="21" t="s">
        <v>35</v>
      </c>
      <c r="F17717">
        <v>4360315</v>
      </c>
      <c r="G17717" t="s">
        <v>6888</v>
      </c>
      <c r="H17717" s="21">
        <v>793.67</v>
      </c>
    </row>
    <row r="17718" spans="1:8" customFormat="1" x14ac:dyDescent="0.25">
      <c r="A17718" t="str">
        <f>"5957468"</f>
        <v>5957468</v>
      </c>
      <c r="B17718" t="s">
        <v>14763</v>
      </c>
      <c r="C17718" t="s">
        <v>169</v>
      </c>
      <c r="D17718" s="21" t="s">
        <v>34</v>
      </c>
      <c r="E17718" s="21" t="s">
        <v>35</v>
      </c>
      <c r="F17718">
        <v>7590361</v>
      </c>
      <c r="G17718" t="s">
        <v>3071</v>
      </c>
      <c r="H17718" s="21">
        <v>793.67</v>
      </c>
    </row>
    <row r="17719" spans="1:8" customFormat="1" x14ac:dyDescent="0.25">
      <c r="A17719" t="str">
        <f>"7615450"</f>
        <v>7615450</v>
      </c>
      <c r="B17719" t="s">
        <v>3930</v>
      </c>
      <c r="C17719" t="s">
        <v>33</v>
      </c>
      <c r="D17719" s="21" t="s">
        <v>34</v>
      </c>
      <c r="E17719" s="21" t="s">
        <v>71</v>
      </c>
      <c r="F17719">
        <v>9760294</v>
      </c>
      <c r="G17719" t="s">
        <v>8313</v>
      </c>
      <c r="H17719" s="21">
        <v>793.67</v>
      </c>
    </row>
    <row r="17720" spans="1:8" customFormat="1" x14ac:dyDescent="0.25">
      <c r="A17720" t="str">
        <f>"851980"</f>
        <v>851980</v>
      </c>
      <c r="B17720" t="s">
        <v>7910</v>
      </c>
      <c r="C17720" t="s">
        <v>664</v>
      </c>
      <c r="D17720" s="21" t="s">
        <v>34</v>
      </c>
      <c r="E17720" s="21" t="s">
        <v>254</v>
      </c>
      <c r="F17720">
        <v>12850091</v>
      </c>
      <c r="G17720" t="s">
        <v>4233</v>
      </c>
      <c r="H17720" s="21">
        <v>793.67</v>
      </c>
    </row>
    <row r="17721" spans="1:8" customFormat="1" x14ac:dyDescent="0.25">
      <c r="A17721" t="str">
        <f>"242608"</f>
        <v>242608</v>
      </c>
      <c r="B17721" t="s">
        <v>1094</v>
      </c>
      <c r="C17721" t="s">
        <v>269</v>
      </c>
      <c r="D17721" s="21" t="s">
        <v>34</v>
      </c>
      <c r="E17721" s="21" t="s">
        <v>71</v>
      </c>
      <c r="F17721">
        <v>10240014</v>
      </c>
      <c r="G17721" t="s">
        <v>5445</v>
      </c>
      <c r="H17721" s="21">
        <v>793.67</v>
      </c>
    </row>
    <row r="17722" spans="1:8" customFormat="1" x14ac:dyDescent="0.25">
      <c r="A17722" t="str">
        <f>"7917600"</f>
        <v>7917600</v>
      </c>
      <c r="B17722" t="s">
        <v>2925</v>
      </c>
      <c r="C17722" t="s">
        <v>415</v>
      </c>
      <c r="D17722" s="21" t="s">
        <v>34</v>
      </c>
      <c r="E17722" s="21" t="s">
        <v>71</v>
      </c>
      <c r="F17722">
        <v>10790071</v>
      </c>
      <c r="G17722" t="s">
        <v>5806</v>
      </c>
      <c r="H17722" s="21">
        <v>793.67</v>
      </c>
    </row>
    <row r="17723" spans="1:8" customFormat="1" x14ac:dyDescent="0.25">
      <c r="A17723" t="str">
        <f>"6812760"</f>
        <v>6812760</v>
      </c>
      <c r="B17723" t="s">
        <v>13184</v>
      </c>
      <c r="C17723" t="s">
        <v>381</v>
      </c>
      <c r="D17723" s="21" t="s">
        <v>34</v>
      </c>
      <c r="E17723" s="21" t="s">
        <v>71</v>
      </c>
      <c r="F17723">
        <v>6680080</v>
      </c>
      <c r="G17723" t="s">
        <v>7771</v>
      </c>
      <c r="H17723" s="21">
        <v>793.67</v>
      </c>
    </row>
    <row r="17724" spans="1:8" customFormat="1" x14ac:dyDescent="0.25">
      <c r="A17724" t="str">
        <f>"7874458"</f>
        <v>7874458</v>
      </c>
      <c r="B17724" t="s">
        <v>17798</v>
      </c>
      <c r="C17724" t="s">
        <v>608</v>
      </c>
      <c r="D17724" s="21" t="s">
        <v>34</v>
      </c>
      <c r="E17724" s="21" t="s">
        <v>254</v>
      </c>
      <c r="F17724">
        <v>8781473</v>
      </c>
      <c r="G17724" t="s">
        <v>1097</v>
      </c>
      <c r="H17724" s="21">
        <v>793.67</v>
      </c>
    </row>
    <row r="17725" spans="1:8" customFormat="1" x14ac:dyDescent="0.25">
      <c r="A17725" t="str">
        <f>"648404"</f>
        <v>648404</v>
      </c>
      <c r="B17725" t="s">
        <v>15972</v>
      </c>
      <c r="C17725" t="s">
        <v>124</v>
      </c>
      <c r="D17725" s="21" t="s">
        <v>34</v>
      </c>
      <c r="E17725" s="21" t="s">
        <v>71</v>
      </c>
      <c r="F17725">
        <v>10640019</v>
      </c>
      <c r="G17725" t="s">
        <v>3123</v>
      </c>
      <c r="H17725" s="21">
        <v>793.54</v>
      </c>
    </row>
    <row r="17726" spans="1:8" customFormat="1" x14ac:dyDescent="0.25">
      <c r="A17726" t="str">
        <f>"259820"</f>
        <v>259820</v>
      </c>
      <c r="B17726" t="s">
        <v>13979</v>
      </c>
      <c r="C17726" t="s">
        <v>2479</v>
      </c>
      <c r="D17726" s="21" t="s">
        <v>34</v>
      </c>
      <c r="E17726" s="21" t="s">
        <v>1089</v>
      </c>
      <c r="F17726">
        <v>2250217</v>
      </c>
      <c r="G17726" t="s">
        <v>11815</v>
      </c>
      <c r="H17726" s="21">
        <v>793.54</v>
      </c>
    </row>
    <row r="17727" spans="1:8" customFormat="1" x14ac:dyDescent="0.25">
      <c r="A17727" t="str">
        <f>"2719179"</f>
        <v>2719179</v>
      </c>
      <c r="B17727" t="s">
        <v>4387</v>
      </c>
      <c r="C17727" t="s">
        <v>1142</v>
      </c>
      <c r="D17727" s="21" t="s">
        <v>34</v>
      </c>
      <c r="E17727" s="21" t="s">
        <v>254</v>
      </c>
      <c r="F17727">
        <v>9270183</v>
      </c>
      <c r="G17727" t="s">
        <v>9801</v>
      </c>
      <c r="H17727" s="21">
        <v>793.54</v>
      </c>
    </row>
    <row r="17728" spans="1:8" customFormat="1" x14ac:dyDescent="0.25">
      <c r="A17728" t="str">
        <f>"716482"</f>
        <v>716482</v>
      </c>
      <c r="B17728" t="s">
        <v>7586</v>
      </c>
      <c r="C17728" t="s">
        <v>1588</v>
      </c>
      <c r="D17728" s="21" t="s">
        <v>34</v>
      </c>
      <c r="E17728" s="21" t="s">
        <v>71</v>
      </c>
      <c r="F17728">
        <v>2710035</v>
      </c>
      <c r="G17728" t="s">
        <v>7300</v>
      </c>
      <c r="H17728" s="21">
        <v>793.5</v>
      </c>
    </row>
    <row r="17729" spans="1:8" customFormat="1" x14ac:dyDescent="0.25">
      <c r="A17729" t="str">
        <f>"2616867"</f>
        <v>2616867</v>
      </c>
      <c r="B17729" t="s">
        <v>15787</v>
      </c>
      <c r="C17729" t="s">
        <v>415</v>
      </c>
      <c r="D17729" s="21" t="s">
        <v>34</v>
      </c>
      <c r="E17729" s="21" t="s">
        <v>1089</v>
      </c>
      <c r="F17729">
        <v>1260010</v>
      </c>
      <c r="G17729" t="s">
        <v>3944</v>
      </c>
      <c r="H17729" s="21">
        <v>793.42</v>
      </c>
    </row>
    <row r="17730" spans="1:8" customFormat="1" x14ac:dyDescent="0.25">
      <c r="A17730" t="str">
        <f>"7921831"</f>
        <v>7921831</v>
      </c>
      <c r="B17730" t="s">
        <v>13235</v>
      </c>
      <c r="C17730" t="s">
        <v>246</v>
      </c>
      <c r="D17730" s="21" t="s">
        <v>34</v>
      </c>
      <c r="E17730" s="21" t="s">
        <v>71</v>
      </c>
      <c r="F17730">
        <v>10790043</v>
      </c>
      <c r="G17730" t="s">
        <v>2828</v>
      </c>
      <c r="H17730" s="21">
        <v>793.42</v>
      </c>
    </row>
    <row r="17731" spans="1:8" customFormat="1" x14ac:dyDescent="0.25">
      <c r="A17731" t="str">
        <f>"447211"</f>
        <v>447211</v>
      </c>
      <c r="B17731" t="s">
        <v>6882</v>
      </c>
      <c r="C17731" t="s">
        <v>3784</v>
      </c>
      <c r="D17731" s="21" t="s">
        <v>34</v>
      </c>
      <c r="E17731" s="21" t="s">
        <v>254</v>
      </c>
      <c r="F17731">
        <v>12440093</v>
      </c>
      <c r="G17731" t="s">
        <v>10627</v>
      </c>
      <c r="H17731" s="21">
        <v>793.42</v>
      </c>
    </row>
    <row r="17732" spans="1:8" customFormat="1" x14ac:dyDescent="0.25">
      <c r="A17732" t="str">
        <f>"3419915"</f>
        <v>3419915</v>
      </c>
      <c r="B17732" t="s">
        <v>2625</v>
      </c>
      <c r="C17732" t="s">
        <v>144</v>
      </c>
      <c r="D17732" s="21" t="s">
        <v>34</v>
      </c>
      <c r="E17732" s="21" t="s">
        <v>71</v>
      </c>
      <c r="F17732">
        <v>11340014</v>
      </c>
      <c r="G17732" t="s">
        <v>1455</v>
      </c>
      <c r="H17732" s="21">
        <v>793.42</v>
      </c>
    </row>
    <row r="17733" spans="1:8" customFormat="1" x14ac:dyDescent="0.25">
      <c r="A17733" t="str">
        <f>"516360"</f>
        <v>516360</v>
      </c>
      <c r="B17733" t="s">
        <v>13930</v>
      </c>
      <c r="C17733" t="s">
        <v>1714</v>
      </c>
      <c r="D17733" s="21" t="s">
        <v>34</v>
      </c>
      <c r="E17733" s="21" t="s">
        <v>35</v>
      </c>
      <c r="F17733">
        <v>6510058</v>
      </c>
      <c r="G17733" t="s">
        <v>6780</v>
      </c>
      <c r="H17733" s="21">
        <v>793.42</v>
      </c>
    </row>
    <row r="17734" spans="1:8" customFormat="1" x14ac:dyDescent="0.25">
      <c r="A17734" t="str">
        <f>"3814774"</f>
        <v>3814774</v>
      </c>
      <c r="B17734" t="s">
        <v>15626</v>
      </c>
      <c r="C17734" t="s">
        <v>1110</v>
      </c>
      <c r="D17734" s="21" t="s">
        <v>34</v>
      </c>
      <c r="E17734" s="21" t="s">
        <v>254</v>
      </c>
      <c r="F17734">
        <v>1380275</v>
      </c>
      <c r="G17734" t="s">
        <v>8042</v>
      </c>
      <c r="H17734" s="21">
        <v>793.29</v>
      </c>
    </row>
    <row r="17735" spans="1:8" customFormat="1" x14ac:dyDescent="0.25">
      <c r="A17735" t="str">
        <f>"9318085"</f>
        <v>9318085</v>
      </c>
      <c r="B17735" t="s">
        <v>10254</v>
      </c>
      <c r="C17735" t="s">
        <v>87</v>
      </c>
      <c r="D17735" s="21" t="s">
        <v>34</v>
      </c>
      <c r="E17735" s="21" t="s">
        <v>71</v>
      </c>
      <c r="F17735">
        <v>8930610</v>
      </c>
      <c r="G17735" t="s">
        <v>3002</v>
      </c>
      <c r="H17735" s="21">
        <v>793.29</v>
      </c>
    </row>
    <row r="17736" spans="1:8" customFormat="1" x14ac:dyDescent="0.25">
      <c r="A17736" t="str">
        <f>"6710252"</f>
        <v>6710252</v>
      </c>
      <c r="B17736" t="s">
        <v>495</v>
      </c>
      <c r="C17736" t="s">
        <v>1841</v>
      </c>
      <c r="D17736" s="21" t="s">
        <v>34</v>
      </c>
      <c r="E17736" s="21" t="s">
        <v>1089</v>
      </c>
      <c r="F17736">
        <v>6670092</v>
      </c>
      <c r="G17736" t="s">
        <v>10845</v>
      </c>
      <c r="H17736" s="21">
        <v>793.17</v>
      </c>
    </row>
    <row r="17737" spans="1:8" customFormat="1" x14ac:dyDescent="0.25">
      <c r="A17737" t="str">
        <f>"428376"</f>
        <v>428376</v>
      </c>
      <c r="B17737" t="s">
        <v>15696</v>
      </c>
      <c r="C17737" t="s">
        <v>453</v>
      </c>
      <c r="D17737" s="21" t="s">
        <v>34</v>
      </c>
      <c r="E17737" s="21" t="s">
        <v>254</v>
      </c>
      <c r="F17737">
        <v>1420144</v>
      </c>
      <c r="G17737" t="s">
        <v>9603</v>
      </c>
      <c r="H17737" s="21">
        <v>793.17</v>
      </c>
    </row>
    <row r="17738" spans="1:8" customFormat="1" x14ac:dyDescent="0.25">
      <c r="A17738" t="str">
        <f>"915343"</f>
        <v>915343</v>
      </c>
      <c r="B17738" t="s">
        <v>13963</v>
      </c>
      <c r="C17738" t="s">
        <v>239</v>
      </c>
      <c r="D17738" s="21" t="s">
        <v>34</v>
      </c>
      <c r="E17738" s="21" t="s">
        <v>254</v>
      </c>
      <c r="F17738">
        <v>8911064</v>
      </c>
      <c r="G17738" t="s">
        <v>2209</v>
      </c>
      <c r="H17738" s="21">
        <v>793.17</v>
      </c>
    </row>
    <row r="17739" spans="1:8" customFormat="1" x14ac:dyDescent="0.25">
      <c r="A17739" t="str">
        <f>"7216524"</f>
        <v>7216524</v>
      </c>
      <c r="B17739" t="s">
        <v>13613</v>
      </c>
      <c r="C17739" t="s">
        <v>239</v>
      </c>
      <c r="D17739" s="21" t="s">
        <v>34</v>
      </c>
      <c r="E17739" s="21" t="s">
        <v>35</v>
      </c>
      <c r="F17739">
        <v>12720006</v>
      </c>
      <c r="G17739" t="s">
        <v>4022</v>
      </c>
      <c r="H17739" s="21">
        <v>793.17</v>
      </c>
    </row>
    <row r="17740" spans="1:8" customFormat="1" x14ac:dyDescent="0.25">
      <c r="A17740" t="str">
        <f>"258223"</f>
        <v>258223</v>
      </c>
      <c r="B17740" t="s">
        <v>4429</v>
      </c>
      <c r="C17740" t="s">
        <v>87</v>
      </c>
      <c r="D17740" s="21" t="s">
        <v>34</v>
      </c>
      <c r="E17740" s="21" t="s">
        <v>35</v>
      </c>
      <c r="F17740">
        <v>2250125</v>
      </c>
      <c r="G17740" t="s">
        <v>26911</v>
      </c>
      <c r="H17740" s="21">
        <v>793.17</v>
      </c>
    </row>
    <row r="17741" spans="1:8" customFormat="1" x14ac:dyDescent="0.25">
      <c r="A17741" t="str">
        <f>"421212"</f>
        <v>421212</v>
      </c>
      <c r="B17741" t="s">
        <v>11304</v>
      </c>
      <c r="C17741" t="s">
        <v>33</v>
      </c>
      <c r="D17741" s="21" t="s">
        <v>34</v>
      </c>
      <c r="E17741" s="21" t="s">
        <v>71</v>
      </c>
      <c r="F17741">
        <v>1420117</v>
      </c>
      <c r="G17741" t="s">
        <v>2649</v>
      </c>
      <c r="H17741" s="21">
        <v>793.17</v>
      </c>
    </row>
    <row r="17742" spans="1:8" customFormat="1" x14ac:dyDescent="0.25">
      <c r="A17742" t="str">
        <f>"855264"</f>
        <v>855264</v>
      </c>
      <c r="B17742" t="s">
        <v>13425</v>
      </c>
      <c r="C17742" t="s">
        <v>2276</v>
      </c>
      <c r="D17742" s="21" t="s">
        <v>34</v>
      </c>
      <c r="E17742" s="21" t="s">
        <v>254</v>
      </c>
      <c r="F17742">
        <v>12851011</v>
      </c>
      <c r="G17742" t="s">
        <v>1445</v>
      </c>
      <c r="H17742" s="21">
        <v>793.17</v>
      </c>
    </row>
    <row r="17743" spans="1:8" customFormat="1" x14ac:dyDescent="0.25">
      <c r="A17743" t="str">
        <f>"86719"</f>
        <v>86719</v>
      </c>
      <c r="B17743" t="s">
        <v>1526</v>
      </c>
      <c r="C17743" t="s">
        <v>510</v>
      </c>
      <c r="D17743" s="21" t="s">
        <v>34</v>
      </c>
      <c r="E17743" s="21" t="s">
        <v>35</v>
      </c>
      <c r="F17743">
        <v>10860024</v>
      </c>
      <c r="G17743" t="s">
        <v>1770</v>
      </c>
      <c r="H17743" s="21">
        <v>793.17</v>
      </c>
    </row>
    <row r="17744" spans="1:8" customFormat="1" x14ac:dyDescent="0.25">
      <c r="A17744" t="str">
        <f>"4428374"</f>
        <v>4428374</v>
      </c>
      <c r="B17744" t="s">
        <v>10186</v>
      </c>
      <c r="C17744" t="s">
        <v>43</v>
      </c>
      <c r="D17744" s="21" t="s">
        <v>34</v>
      </c>
      <c r="E17744" s="21" t="s">
        <v>35</v>
      </c>
      <c r="F17744">
        <v>12440058</v>
      </c>
      <c r="G17744" t="s">
        <v>394</v>
      </c>
      <c r="H17744" s="21">
        <v>793.17</v>
      </c>
    </row>
    <row r="17745" spans="1:8" customFormat="1" x14ac:dyDescent="0.25">
      <c r="A17745" t="str">
        <f>"137698"</f>
        <v>137698</v>
      </c>
      <c r="B17745" t="s">
        <v>20747</v>
      </c>
      <c r="C17745" t="s">
        <v>1142</v>
      </c>
      <c r="D17745" s="21" t="s">
        <v>34</v>
      </c>
      <c r="E17745" s="21" t="s">
        <v>254</v>
      </c>
      <c r="F17745">
        <v>13050026</v>
      </c>
      <c r="G17745" t="s">
        <v>18179</v>
      </c>
      <c r="H17745" s="21">
        <v>793.17</v>
      </c>
    </row>
    <row r="17746" spans="1:8" customFormat="1" x14ac:dyDescent="0.25">
      <c r="A17746" t="str">
        <f>"949078"</f>
        <v>949078</v>
      </c>
      <c r="B17746" t="s">
        <v>482</v>
      </c>
      <c r="C17746" t="s">
        <v>415</v>
      </c>
      <c r="D17746" s="21" t="s">
        <v>34</v>
      </c>
      <c r="E17746" s="21" t="s">
        <v>71</v>
      </c>
      <c r="F17746">
        <v>8940096</v>
      </c>
      <c r="G17746" t="s">
        <v>5453</v>
      </c>
      <c r="H17746" s="21">
        <v>793.17</v>
      </c>
    </row>
    <row r="17747" spans="1:8" customFormat="1" x14ac:dyDescent="0.25">
      <c r="A17747" t="str">
        <f>"9127541"</f>
        <v>9127541</v>
      </c>
      <c r="B17747" t="s">
        <v>16354</v>
      </c>
      <c r="C17747" t="s">
        <v>269</v>
      </c>
      <c r="D17747" s="21" t="s">
        <v>34</v>
      </c>
      <c r="E17747" s="21" t="s">
        <v>71</v>
      </c>
      <c r="F17747">
        <v>8910567</v>
      </c>
      <c r="G17747" t="s">
        <v>5111</v>
      </c>
      <c r="H17747" s="21">
        <v>793.17</v>
      </c>
    </row>
    <row r="17748" spans="1:8" customFormat="1" x14ac:dyDescent="0.25">
      <c r="A17748" t="str">
        <f>"5946213"</f>
        <v>5946213</v>
      </c>
      <c r="B17748" t="s">
        <v>392</v>
      </c>
      <c r="C17748" t="s">
        <v>209</v>
      </c>
      <c r="D17748" s="21" t="s">
        <v>34</v>
      </c>
      <c r="E17748" s="21" t="s">
        <v>71</v>
      </c>
      <c r="F17748">
        <v>7590235</v>
      </c>
      <c r="G17748" t="s">
        <v>5121</v>
      </c>
      <c r="H17748" s="21">
        <v>793.17</v>
      </c>
    </row>
    <row r="17749" spans="1:8" customFormat="1" x14ac:dyDescent="0.25">
      <c r="A17749" t="str">
        <f>"197424"</f>
        <v>197424</v>
      </c>
      <c r="B17749" t="s">
        <v>3916</v>
      </c>
      <c r="C17749" t="s">
        <v>169</v>
      </c>
      <c r="D17749" s="21" t="s">
        <v>34</v>
      </c>
      <c r="E17749" s="21" t="s">
        <v>35</v>
      </c>
      <c r="F17749">
        <v>10190147</v>
      </c>
      <c r="G17749" t="s">
        <v>7477</v>
      </c>
      <c r="H17749" s="21">
        <v>793.17</v>
      </c>
    </row>
    <row r="17750" spans="1:8" customFormat="1" x14ac:dyDescent="0.25">
      <c r="A17750" t="str">
        <f>"33907"</f>
        <v>33907</v>
      </c>
      <c r="B17750" t="s">
        <v>27494</v>
      </c>
      <c r="C17750" t="s">
        <v>2305</v>
      </c>
      <c r="D17750" s="21" t="s">
        <v>34</v>
      </c>
      <c r="E17750" s="21" t="s">
        <v>6185</v>
      </c>
      <c r="F17750">
        <v>10330032</v>
      </c>
      <c r="G17750" t="s">
        <v>4408</v>
      </c>
      <c r="H17750" s="21">
        <v>793.17</v>
      </c>
    </row>
    <row r="17751" spans="1:8" customFormat="1" x14ac:dyDescent="0.25">
      <c r="A17751" t="str">
        <f>"2512228"</f>
        <v>2512228</v>
      </c>
      <c r="B17751" t="s">
        <v>1551</v>
      </c>
      <c r="C17751" t="s">
        <v>415</v>
      </c>
      <c r="D17751" s="21" t="s">
        <v>34</v>
      </c>
      <c r="E17751" s="21" t="s">
        <v>35</v>
      </c>
      <c r="F17751">
        <v>2250229</v>
      </c>
      <c r="G17751" t="s">
        <v>5004</v>
      </c>
      <c r="H17751" s="21">
        <v>793.17</v>
      </c>
    </row>
    <row r="17752" spans="1:8" customFormat="1" x14ac:dyDescent="0.25">
      <c r="A17752" t="str">
        <f>"251471"</f>
        <v>251471</v>
      </c>
      <c r="B17752" t="s">
        <v>9493</v>
      </c>
      <c r="C17752" t="s">
        <v>2520</v>
      </c>
      <c r="D17752" s="21" t="s">
        <v>34</v>
      </c>
      <c r="E17752" s="21" t="s">
        <v>1089</v>
      </c>
      <c r="F17752">
        <v>2250229</v>
      </c>
      <c r="G17752" t="s">
        <v>5004</v>
      </c>
      <c r="H17752" s="21">
        <v>793.17</v>
      </c>
    </row>
    <row r="17753" spans="1:8" customFormat="1" x14ac:dyDescent="0.25">
      <c r="A17753" t="str">
        <f>"215889"</f>
        <v>215889</v>
      </c>
      <c r="B17753" t="s">
        <v>3669</v>
      </c>
      <c r="C17753" t="s">
        <v>453</v>
      </c>
      <c r="D17753" s="21" t="s">
        <v>34</v>
      </c>
      <c r="E17753" s="21" t="s">
        <v>1089</v>
      </c>
      <c r="F17753">
        <v>2210127</v>
      </c>
      <c r="G17753" t="s">
        <v>3447</v>
      </c>
      <c r="H17753" s="21">
        <v>793.17</v>
      </c>
    </row>
    <row r="17754" spans="1:8" customFormat="1" x14ac:dyDescent="0.25">
      <c r="A17754" t="str">
        <f>"2915157"</f>
        <v>2915157</v>
      </c>
      <c r="B17754" t="s">
        <v>7015</v>
      </c>
      <c r="C17754" t="s">
        <v>3905</v>
      </c>
      <c r="D17754" s="21" t="s">
        <v>34</v>
      </c>
      <c r="E17754" s="21" t="s">
        <v>254</v>
      </c>
      <c r="F17754">
        <v>3290047</v>
      </c>
      <c r="G17754" t="s">
        <v>2874</v>
      </c>
      <c r="H17754" s="21">
        <v>793</v>
      </c>
    </row>
    <row r="17755" spans="1:8" customFormat="1" x14ac:dyDescent="0.25">
      <c r="A17755" t="str">
        <f>"162513"</f>
        <v>162513</v>
      </c>
      <c r="B17755" t="s">
        <v>5833</v>
      </c>
      <c r="C17755" t="s">
        <v>1887</v>
      </c>
      <c r="D17755" s="21" t="s">
        <v>34</v>
      </c>
      <c r="E17755" s="21" t="s">
        <v>71</v>
      </c>
      <c r="F17755">
        <v>10160042</v>
      </c>
      <c r="G17755" t="s">
        <v>7461</v>
      </c>
      <c r="H17755" s="21">
        <v>792.92</v>
      </c>
    </row>
    <row r="17756" spans="1:8" customFormat="1" x14ac:dyDescent="0.25">
      <c r="A17756" t="str">
        <f>"364365"</f>
        <v>364365</v>
      </c>
      <c r="B17756" t="s">
        <v>16450</v>
      </c>
      <c r="C17756" t="s">
        <v>1132</v>
      </c>
      <c r="D17756" s="21" t="s">
        <v>34</v>
      </c>
      <c r="E17756" s="21" t="s">
        <v>254</v>
      </c>
      <c r="F17756">
        <v>4360728</v>
      </c>
      <c r="G17756" t="s">
        <v>12735</v>
      </c>
      <c r="H17756" s="21">
        <v>792.92</v>
      </c>
    </row>
    <row r="17757" spans="1:8" customFormat="1" x14ac:dyDescent="0.25">
      <c r="A17757" t="str">
        <f>"4918140"</f>
        <v>4918140</v>
      </c>
      <c r="B17757" t="s">
        <v>11569</v>
      </c>
      <c r="C17757" t="s">
        <v>249</v>
      </c>
      <c r="D17757" s="21" t="s">
        <v>34</v>
      </c>
      <c r="E17757" s="21" t="s">
        <v>71</v>
      </c>
      <c r="F17757">
        <v>12490059</v>
      </c>
      <c r="G17757" t="s">
        <v>5063</v>
      </c>
      <c r="H17757" s="21">
        <v>792.92</v>
      </c>
    </row>
    <row r="17758" spans="1:8" customFormat="1" x14ac:dyDescent="0.25">
      <c r="A17758" t="str">
        <f>"704749"</f>
        <v>704749</v>
      </c>
      <c r="B17758" t="s">
        <v>11658</v>
      </c>
      <c r="C17758" t="s">
        <v>239</v>
      </c>
      <c r="D17758" s="21" t="s">
        <v>34</v>
      </c>
      <c r="E17758" s="21" t="s">
        <v>254</v>
      </c>
      <c r="F17758">
        <v>2700002</v>
      </c>
      <c r="G17758" t="s">
        <v>953</v>
      </c>
      <c r="H17758" s="21">
        <v>792.92</v>
      </c>
    </row>
    <row r="17759" spans="1:8" customFormat="1" x14ac:dyDescent="0.25">
      <c r="A17759" t="str">
        <f>"1611294"</f>
        <v>1611294</v>
      </c>
      <c r="B17759" t="s">
        <v>16658</v>
      </c>
      <c r="C17759" t="s">
        <v>33</v>
      </c>
      <c r="D17759" s="21" t="s">
        <v>34</v>
      </c>
      <c r="E17759" s="21" t="s">
        <v>35</v>
      </c>
      <c r="F17759">
        <v>10160024</v>
      </c>
      <c r="G17759" t="s">
        <v>511</v>
      </c>
      <c r="H17759" s="21">
        <v>792.92</v>
      </c>
    </row>
    <row r="17760" spans="1:8" customFormat="1" x14ac:dyDescent="0.25">
      <c r="A17760" t="str">
        <f>"5413910"</f>
        <v>5413910</v>
      </c>
      <c r="B17760" t="s">
        <v>7272</v>
      </c>
      <c r="C17760" t="s">
        <v>209</v>
      </c>
      <c r="D17760" s="21" t="s">
        <v>34</v>
      </c>
      <c r="E17760" s="21" t="s">
        <v>35</v>
      </c>
      <c r="F17760">
        <v>6540128</v>
      </c>
      <c r="G17760" t="s">
        <v>1249</v>
      </c>
      <c r="H17760" s="21">
        <v>792.67</v>
      </c>
    </row>
    <row r="17761" spans="1:8" customFormat="1" x14ac:dyDescent="0.25">
      <c r="A17761" t="str">
        <f>"5713387"</f>
        <v>5713387</v>
      </c>
      <c r="B17761" t="s">
        <v>14204</v>
      </c>
      <c r="C17761" t="s">
        <v>98</v>
      </c>
      <c r="D17761" s="21" t="s">
        <v>34</v>
      </c>
      <c r="E17761" s="21" t="s">
        <v>71</v>
      </c>
      <c r="F17761">
        <v>11340003</v>
      </c>
      <c r="G17761" t="s">
        <v>3326</v>
      </c>
      <c r="H17761" s="21">
        <v>792.67</v>
      </c>
    </row>
    <row r="17762" spans="1:8" customFormat="1" x14ac:dyDescent="0.25">
      <c r="A17762" t="str">
        <f>"846495"</f>
        <v>846495</v>
      </c>
      <c r="B17762" t="s">
        <v>5819</v>
      </c>
      <c r="C17762" t="s">
        <v>169</v>
      </c>
      <c r="D17762" s="21" t="s">
        <v>34</v>
      </c>
      <c r="E17762" s="21" t="s">
        <v>35</v>
      </c>
      <c r="F17762">
        <v>13840028</v>
      </c>
      <c r="G17762" t="s">
        <v>4139</v>
      </c>
      <c r="H17762" s="21">
        <v>792.67</v>
      </c>
    </row>
    <row r="17763" spans="1:8" customFormat="1" x14ac:dyDescent="0.25">
      <c r="A17763" t="str">
        <f>"376326"</f>
        <v>376326</v>
      </c>
      <c r="B17763" t="s">
        <v>14398</v>
      </c>
      <c r="C17763" t="s">
        <v>40</v>
      </c>
      <c r="D17763" s="21" t="s">
        <v>34</v>
      </c>
      <c r="E17763" s="21" t="s">
        <v>254</v>
      </c>
      <c r="F17763">
        <v>4370024</v>
      </c>
      <c r="G17763" t="s">
        <v>1718</v>
      </c>
      <c r="H17763" s="21">
        <v>792.67</v>
      </c>
    </row>
    <row r="17764" spans="1:8" customFormat="1" x14ac:dyDescent="0.25">
      <c r="A17764" t="str">
        <f>"9115431"</f>
        <v>9115431</v>
      </c>
      <c r="B17764" t="s">
        <v>2886</v>
      </c>
      <c r="C17764" t="s">
        <v>611</v>
      </c>
      <c r="D17764" s="21" t="s">
        <v>34</v>
      </c>
      <c r="E17764" s="21" t="s">
        <v>254</v>
      </c>
      <c r="F17764">
        <v>8910876</v>
      </c>
      <c r="G17764" t="s">
        <v>1721</v>
      </c>
      <c r="H17764" s="21">
        <v>792.67</v>
      </c>
    </row>
    <row r="17765" spans="1:8" customFormat="1" x14ac:dyDescent="0.25">
      <c r="A17765" t="str">
        <f>"606241"</f>
        <v>606241</v>
      </c>
      <c r="B17765" t="s">
        <v>14483</v>
      </c>
      <c r="C17765" t="s">
        <v>239</v>
      </c>
      <c r="D17765" s="21" t="s">
        <v>34</v>
      </c>
      <c r="E17765" s="21" t="s">
        <v>254</v>
      </c>
      <c r="F17765">
        <v>7600043</v>
      </c>
      <c r="G17765" t="s">
        <v>1928</v>
      </c>
      <c r="H17765" s="21">
        <v>792.67</v>
      </c>
    </row>
    <row r="17766" spans="1:8" customFormat="1" x14ac:dyDescent="0.25">
      <c r="A17766" t="str">
        <f>"272214"</f>
        <v>272214</v>
      </c>
      <c r="B17766" t="s">
        <v>623</v>
      </c>
      <c r="C17766" t="s">
        <v>1110</v>
      </c>
      <c r="D17766" s="21" t="s">
        <v>34</v>
      </c>
      <c r="E17766" s="21" t="s">
        <v>254</v>
      </c>
      <c r="F17766">
        <v>9270097</v>
      </c>
      <c r="G17766" t="s">
        <v>9759</v>
      </c>
      <c r="H17766" s="21">
        <v>792.67</v>
      </c>
    </row>
    <row r="17767" spans="1:8" customFormat="1" x14ac:dyDescent="0.25">
      <c r="A17767" t="str">
        <f>"4435679"</f>
        <v>4435679</v>
      </c>
      <c r="B17767" t="s">
        <v>15439</v>
      </c>
      <c r="C17767" t="s">
        <v>2907</v>
      </c>
      <c r="D17767" s="21" t="s">
        <v>34</v>
      </c>
      <c r="E17767" s="21" t="s">
        <v>71</v>
      </c>
      <c r="F17767">
        <v>12440012</v>
      </c>
      <c r="G17767" t="s">
        <v>807</v>
      </c>
      <c r="H17767" s="21">
        <v>792.67</v>
      </c>
    </row>
    <row r="17768" spans="1:8" customFormat="1" x14ac:dyDescent="0.25">
      <c r="A17768" t="str">
        <f>"7627568"</f>
        <v>7627568</v>
      </c>
      <c r="B17768" t="s">
        <v>15613</v>
      </c>
      <c r="C17768" t="s">
        <v>187</v>
      </c>
      <c r="D17768" s="21" t="s">
        <v>34</v>
      </c>
      <c r="E17768" s="21" t="s">
        <v>71</v>
      </c>
      <c r="F17768">
        <v>9760403</v>
      </c>
      <c r="G17768" t="s">
        <v>11140</v>
      </c>
      <c r="H17768" s="21">
        <v>792.67</v>
      </c>
    </row>
    <row r="17769" spans="1:8" customFormat="1" x14ac:dyDescent="0.25">
      <c r="A17769" t="str">
        <f>"687529"</f>
        <v>687529</v>
      </c>
      <c r="B17769" t="s">
        <v>14965</v>
      </c>
      <c r="C17769" t="s">
        <v>415</v>
      </c>
      <c r="D17769" s="21" t="s">
        <v>34</v>
      </c>
      <c r="E17769" s="21" t="s">
        <v>254</v>
      </c>
      <c r="F17769">
        <v>6680020</v>
      </c>
      <c r="G17769" t="s">
        <v>12995</v>
      </c>
      <c r="H17769" s="21">
        <v>792.67</v>
      </c>
    </row>
    <row r="17770" spans="1:8" customFormat="1" x14ac:dyDescent="0.25">
      <c r="A17770" t="str">
        <f>"516289"</f>
        <v>516289</v>
      </c>
      <c r="B17770" t="s">
        <v>582</v>
      </c>
      <c r="C17770" t="s">
        <v>825</v>
      </c>
      <c r="D17770" s="21" t="s">
        <v>34</v>
      </c>
      <c r="E17770" s="21" t="s">
        <v>71</v>
      </c>
      <c r="F17770">
        <v>6510009</v>
      </c>
      <c r="G17770" t="s">
        <v>26950</v>
      </c>
      <c r="H17770" s="21">
        <v>792.67</v>
      </c>
    </row>
    <row r="17771" spans="1:8" customFormat="1" x14ac:dyDescent="0.25">
      <c r="A17771" t="str">
        <f>"2927194"</f>
        <v>2927194</v>
      </c>
      <c r="B17771" t="s">
        <v>14374</v>
      </c>
      <c r="C17771" t="s">
        <v>1231</v>
      </c>
      <c r="D17771" s="21" t="s">
        <v>34</v>
      </c>
      <c r="E17771" s="21" t="s">
        <v>254</v>
      </c>
      <c r="F17771">
        <v>3290223</v>
      </c>
      <c r="G17771" t="s">
        <v>2636</v>
      </c>
      <c r="H17771" s="21">
        <v>792.67</v>
      </c>
    </row>
    <row r="17772" spans="1:8" customFormat="1" x14ac:dyDescent="0.25">
      <c r="A17772" t="str">
        <f>"324309"</f>
        <v>324309</v>
      </c>
      <c r="B17772" t="s">
        <v>27495</v>
      </c>
      <c r="C17772" t="s">
        <v>459</v>
      </c>
      <c r="D17772" s="21" t="s">
        <v>34</v>
      </c>
      <c r="E17772" s="21" t="s">
        <v>35</v>
      </c>
      <c r="F17772">
        <v>11320041</v>
      </c>
      <c r="G17772" t="s">
        <v>4802</v>
      </c>
      <c r="H17772" s="21">
        <v>792.67</v>
      </c>
    </row>
    <row r="17773" spans="1:8" customFormat="1" x14ac:dyDescent="0.25">
      <c r="A17773" t="str">
        <f>"8815373"</f>
        <v>8815373</v>
      </c>
      <c r="B17773" t="s">
        <v>14250</v>
      </c>
      <c r="C17773" t="s">
        <v>187</v>
      </c>
      <c r="D17773" s="21" t="s">
        <v>34</v>
      </c>
      <c r="E17773" s="21" t="s">
        <v>35</v>
      </c>
      <c r="F17773">
        <v>6880017</v>
      </c>
      <c r="G17773" t="s">
        <v>5061</v>
      </c>
      <c r="H17773" s="21">
        <v>792.67</v>
      </c>
    </row>
    <row r="17774" spans="1:8" customFormat="1" x14ac:dyDescent="0.25">
      <c r="A17774" t="str">
        <f>"6940991"</f>
        <v>6940991</v>
      </c>
      <c r="B17774" t="s">
        <v>4002</v>
      </c>
      <c r="C17774" t="s">
        <v>1665</v>
      </c>
      <c r="D17774" s="21" t="s">
        <v>34</v>
      </c>
      <c r="E17774" s="21" t="s">
        <v>254</v>
      </c>
      <c r="F17774">
        <v>1690197</v>
      </c>
      <c r="G17774" t="s">
        <v>26849</v>
      </c>
      <c r="H17774" s="21">
        <v>792.42</v>
      </c>
    </row>
    <row r="17775" spans="1:8" customFormat="1" x14ac:dyDescent="0.25">
      <c r="A17775" t="str">
        <f>"533194"</f>
        <v>533194</v>
      </c>
      <c r="B17775" t="s">
        <v>4872</v>
      </c>
      <c r="C17775" t="s">
        <v>1110</v>
      </c>
      <c r="D17775" s="21" t="s">
        <v>34</v>
      </c>
      <c r="E17775" s="21" t="s">
        <v>254</v>
      </c>
      <c r="F17775">
        <v>12530065</v>
      </c>
      <c r="G17775" t="s">
        <v>10009</v>
      </c>
      <c r="H17775" s="21">
        <v>792.42</v>
      </c>
    </row>
    <row r="17776" spans="1:8" customFormat="1" x14ac:dyDescent="0.25">
      <c r="A17776" t="str">
        <f>"3536476"</f>
        <v>3536476</v>
      </c>
      <c r="B17776" t="s">
        <v>27496</v>
      </c>
      <c r="C17776" t="s">
        <v>151</v>
      </c>
      <c r="D17776" s="21" t="s">
        <v>34</v>
      </c>
      <c r="E17776" s="21" t="s">
        <v>35</v>
      </c>
      <c r="F17776">
        <v>3350232</v>
      </c>
      <c r="G17776" t="s">
        <v>7147</v>
      </c>
      <c r="H17776" s="21">
        <v>792.29</v>
      </c>
    </row>
    <row r="17777" spans="1:8" customFormat="1" x14ac:dyDescent="0.25">
      <c r="A17777" t="str">
        <f>"9240220"</f>
        <v>9240220</v>
      </c>
      <c r="B17777" t="s">
        <v>14588</v>
      </c>
      <c r="C17777" t="s">
        <v>169</v>
      </c>
      <c r="D17777" s="21" t="s">
        <v>34</v>
      </c>
      <c r="E17777" s="21" t="s">
        <v>35</v>
      </c>
      <c r="F17777">
        <v>8920503</v>
      </c>
      <c r="G17777" t="s">
        <v>9047</v>
      </c>
      <c r="H17777" s="21">
        <v>792.29</v>
      </c>
    </row>
    <row r="17778" spans="1:8" customFormat="1" x14ac:dyDescent="0.25">
      <c r="A17778" t="str">
        <f>"5953077"</f>
        <v>5953077</v>
      </c>
      <c r="B17778" t="s">
        <v>13942</v>
      </c>
      <c r="C17778" t="s">
        <v>87</v>
      </c>
      <c r="D17778" s="21" t="s">
        <v>34</v>
      </c>
      <c r="E17778" s="21" t="s">
        <v>35</v>
      </c>
      <c r="F17778">
        <v>7590251</v>
      </c>
      <c r="G17778" t="s">
        <v>9254</v>
      </c>
      <c r="H17778" s="21">
        <v>792.17</v>
      </c>
    </row>
    <row r="17779" spans="1:8" customFormat="1" x14ac:dyDescent="0.25">
      <c r="A17779" t="str">
        <f>"36208"</f>
        <v>36208</v>
      </c>
      <c r="B17779" t="s">
        <v>4352</v>
      </c>
      <c r="C17779" t="s">
        <v>2529</v>
      </c>
      <c r="D17779" s="21" t="s">
        <v>34</v>
      </c>
      <c r="E17779" s="21" t="s">
        <v>254</v>
      </c>
      <c r="F17779">
        <v>4360454</v>
      </c>
      <c r="G17779" t="s">
        <v>637</v>
      </c>
      <c r="H17779" s="21">
        <v>792.17</v>
      </c>
    </row>
    <row r="17780" spans="1:8" customFormat="1" x14ac:dyDescent="0.25">
      <c r="A17780" t="str">
        <f>"015498"</f>
        <v>015498</v>
      </c>
      <c r="B17780" t="s">
        <v>7963</v>
      </c>
      <c r="C17780" t="s">
        <v>60</v>
      </c>
      <c r="D17780" s="21" t="s">
        <v>34</v>
      </c>
      <c r="E17780" s="21" t="s">
        <v>35</v>
      </c>
      <c r="F17780">
        <v>1030299</v>
      </c>
      <c r="G17780" t="s">
        <v>2631</v>
      </c>
      <c r="H17780" s="21">
        <v>792.17</v>
      </c>
    </row>
    <row r="17781" spans="1:8" customFormat="1" x14ac:dyDescent="0.25">
      <c r="A17781" t="str">
        <f>"615940"</f>
        <v>615940</v>
      </c>
      <c r="B17781" t="s">
        <v>2775</v>
      </c>
      <c r="C17781" t="s">
        <v>10114</v>
      </c>
      <c r="D17781" s="21" t="s">
        <v>34</v>
      </c>
      <c r="E17781" s="21" t="s">
        <v>254</v>
      </c>
      <c r="F17781">
        <v>9610148</v>
      </c>
      <c r="G17781" t="s">
        <v>8163</v>
      </c>
      <c r="H17781" s="21">
        <v>792.17</v>
      </c>
    </row>
    <row r="17782" spans="1:8" customFormat="1" x14ac:dyDescent="0.25">
      <c r="A17782" t="str">
        <f>"167142"</f>
        <v>167142</v>
      </c>
      <c r="B17782" t="s">
        <v>4516</v>
      </c>
      <c r="C17782" t="s">
        <v>428</v>
      </c>
      <c r="D17782" s="21" t="s">
        <v>34</v>
      </c>
      <c r="E17782" s="21" t="s">
        <v>35</v>
      </c>
      <c r="F17782">
        <v>10160051</v>
      </c>
      <c r="G17782" t="s">
        <v>7167</v>
      </c>
      <c r="H17782" s="21">
        <v>792.17</v>
      </c>
    </row>
    <row r="17783" spans="1:8" customFormat="1" x14ac:dyDescent="0.25">
      <c r="A17783" t="str">
        <f>"5313259"</f>
        <v>5313259</v>
      </c>
      <c r="B17783" t="s">
        <v>15393</v>
      </c>
      <c r="C17783" t="s">
        <v>33</v>
      </c>
      <c r="D17783" s="21" t="s">
        <v>34</v>
      </c>
      <c r="E17783" s="21" t="s">
        <v>71</v>
      </c>
      <c r="F17783">
        <v>12530077</v>
      </c>
      <c r="G17783" t="s">
        <v>9191</v>
      </c>
      <c r="H17783" s="21">
        <v>792.17</v>
      </c>
    </row>
    <row r="17784" spans="1:8" customFormat="1" x14ac:dyDescent="0.25">
      <c r="A17784" t="str">
        <f>"6946705"</f>
        <v>6946705</v>
      </c>
      <c r="B17784" t="s">
        <v>16649</v>
      </c>
      <c r="C17784" t="s">
        <v>209</v>
      </c>
      <c r="D17784" s="21" t="s">
        <v>34</v>
      </c>
      <c r="E17784" s="21" t="s">
        <v>71</v>
      </c>
      <c r="F17784">
        <v>1690109</v>
      </c>
      <c r="G17784" t="s">
        <v>3028</v>
      </c>
      <c r="H17784" s="21">
        <v>792.17</v>
      </c>
    </row>
    <row r="17785" spans="1:8" customFormat="1" x14ac:dyDescent="0.25">
      <c r="A17785" t="str">
        <f>"746162"</f>
        <v>746162</v>
      </c>
      <c r="B17785" t="s">
        <v>15174</v>
      </c>
      <c r="C17785" t="s">
        <v>328</v>
      </c>
      <c r="D17785" s="21" t="s">
        <v>34</v>
      </c>
      <c r="E17785" s="21" t="s">
        <v>35</v>
      </c>
      <c r="F17785">
        <v>3560087</v>
      </c>
      <c r="G17785" t="s">
        <v>7767</v>
      </c>
      <c r="H17785" s="21">
        <v>792.17</v>
      </c>
    </row>
    <row r="17786" spans="1:8" customFormat="1" x14ac:dyDescent="0.25">
      <c r="A17786" t="str">
        <f>"9534753"</f>
        <v>9534753</v>
      </c>
      <c r="B17786" t="s">
        <v>5577</v>
      </c>
      <c r="C17786" t="s">
        <v>156</v>
      </c>
      <c r="D17786" s="21" t="s">
        <v>34</v>
      </c>
      <c r="E17786" s="21" t="s">
        <v>35</v>
      </c>
      <c r="F17786">
        <v>8950553</v>
      </c>
      <c r="G17786" t="s">
        <v>1058</v>
      </c>
      <c r="H17786" s="21">
        <v>792.17</v>
      </c>
    </row>
    <row r="17787" spans="1:8" customFormat="1" x14ac:dyDescent="0.25">
      <c r="A17787" t="str">
        <f>"3712211"</f>
        <v>3712211</v>
      </c>
      <c r="B17787" t="s">
        <v>17428</v>
      </c>
      <c r="C17787" t="s">
        <v>253</v>
      </c>
      <c r="D17787" s="21" t="s">
        <v>34</v>
      </c>
      <c r="E17787" s="21" t="s">
        <v>71</v>
      </c>
      <c r="F17787">
        <v>4370596</v>
      </c>
      <c r="G17787" t="s">
        <v>9270</v>
      </c>
      <c r="H17787" s="21">
        <v>792.17</v>
      </c>
    </row>
    <row r="17788" spans="1:8" customFormat="1" x14ac:dyDescent="0.25">
      <c r="A17788" t="str">
        <f>"51315"</f>
        <v>51315</v>
      </c>
      <c r="B17788" t="s">
        <v>27497</v>
      </c>
      <c r="C17788" t="s">
        <v>2305</v>
      </c>
      <c r="D17788" s="21" t="s">
        <v>34</v>
      </c>
      <c r="E17788" s="21" t="s">
        <v>1089</v>
      </c>
      <c r="F17788">
        <v>6510115</v>
      </c>
      <c r="G17788" t="s">
        <v>27329</v>
      </c>
      <c r="H17788" s="21">
        <v>792.17</v>
      </c>
    </row>
    <row r="17789" spans="1:8" customFormat="1" x14ac:dyDescent="0.25">
      <c r="A17789" t="str">
        <f>"4410634"</f>
        <v>4410634</v>
      </c>
      <c r="B17789" t="s">
        <v>13599</v>
      </c>
      <c r="C17789" t="s">
        <v>1199</v>
      </c>
      <c r="D17789" s="21" t="s">
        <v>34</v>
      </c>
      <c r="E17789" s="21" t="s">
        <v>254</v>
      </c>
      <c r="F17789">
        <v>12440174</v>
      </c>
      <c r="G17789" t="s">
        <v>27498</v>
      </c>
      <c r="H17789" s="21">
        <v>792.17</v>
      </c>
    </row>
    <row r="17790" spans="1:8" customFormat="1" x14ac:dyDescent="0.25">
      <c r="A17790" t="str">
        <f>"9218870"</f>
        <v>9218870</v>
      </c>
      <c r="B17790" t="s">
        <v>14915</v>
      </c>
      <c r="C17790" t="s">
        <v>415</v>
      </c>
      <c r="D17790" s="21" t="s">
        <v>34</v>
      </c>
      <c r="E17790" s="21" t="s">
        <v>71</v>
      </c>
      <c r="F17790">
        <v>8920049</v>
      </c>
      <c r="G17790" t="s">
        <v>237</v>
      </c>
      <c r="H17790" s="21">
        <v>792.17</v>
      </c>
    </row>
    <row r="17791" spans="1:8" customFormat="1" x14ac:dyDescent="0.25">
      <c r="A17791" t="str">
        <f>"5966304"</f>
        <v>5966304</v>
      </c>
      <c r="B17791" t="s">
        <v>17168</v>
      </c>
      <c r="C17791" t="s">
        <v>17169</v>
      </c>
      <c r="D17791" s="21" t="s">
        <v>34</v>
      </c>
      <c r="E17791" s="21" t="s">
        <v>254</v>
      </c>
      <c r="F17791">
        <v>7590100</v>
      </c>
      <c r="G17791" t="s">
        <v>1660</v>
      </c>
      <c r="H17791" s="21">
        <v>792.17</v>
      </c>
    </row>
    <row r="17792" spans="1:8" customFormat="1" x14ac:dyDescent="0.25">
      <c r="A17792" t="str">
        <f>"8314500"</f>
        <v>8314500</v>
      </c>
      <c r="B17792" t="s">
        <v>16316</v>
      </c>
      <c r="C17792" t="s">
        <v>60</v>
      </c>
      <c r="D17792" s="21" t="s">
        <v>34</v>
      </c>
      <c r="E17792" s="21" t="s">
        <v>71</v>
      </c>
      <c r="F17792">
        <v>13830068</v>
      </c>
      <c r="G17792" t="s">
        <v>6181</v>
      </c>
      <c r="H17792" s="21">
        <v>792.17</v>
      </c>
    </row>
    <row r="17793" spans="1:8" customFormat="1" x14ac:dyDescent="0.25">
      <c r="A17793" t="str">
        <f>"7865566"</f>
        <v>7865566</v>
      </c>
      <c r="B17793" t="s">
        <v>14895</v>
      </c>
      <c r="C17793" t="s">
        <v>14896</v>
      </c>
      <c r="D17793" s="21" t="s">
        <v>34</v>
      </c>
      <c r="E17793" s="21" t="s">
        <v>71</v>
      </c>
      <c r="F17793">
        <v>8780905</v>
      </c>
      <c r="G17793" t="s">
        <v>1267</v>
      </c>
      <c r="H17793" s="21">
        <v>792.17</v>
      </c>
    </row>
    <row r="17794" spans="1:8" customFormat="1" x14ac:dyDescent="0.25">
      <c r="A17794" t="str">
        <f>"7615131"</f>
        <v>7615131</v>
      </c>
      <c r="B17794" t="s">
        <v>14388</v>
      </c>
      <c r="C17794" t="s">
        <v>1271</v>
      </c>
      <c r="D17794" s="21" t="s">
        <v>34</v>
      </c>
      <c r="E17794" s="21" t="s">
        <v>254</v>
      </c>
      <c r="F17794">
        <v>9760382</v>
      </c>
      <c r="G17794" t="s">
        <v>2737</v>
      </c>
      <c r="H17794" s="21">
        <v>792.17</v>
      </c>
    </row>
    <row r="17795" spans="1:8" customFormat="1" x14ac:dyDescent="0.25">
      <c r="A17795" t="str">
        <f>"3518792"</f>
        <v>3518792</v>
      </c>
      <c r="B17795" t="s">
        <v>13567</v>
      </c>
      <c r="C17795" t="s">
        <v>547</v>
      </c>
      <c r="D17795" s="21" t="s">
        <v>34</v>
      </c>
      <c r="E17795" s="21" t="s">
        <v>1089</v>
      </c>
      <c r="F17795">
        <v>3350113</v>
      </c>
      <c r="G17795" t="s">
        <v>7631</v>
      </c>
      <c r="H17795" s="21">
        <v>792.17</v>
      </c>
    </row>
    <row r="17796" spans="1:8" customFormat="1" x14ac:dyDescent="0.25">
      <c r="A17796" t="str">
        <f>"2935291"</f>
        <v>2935291</v>
      </c>
      <c r="B17796" t="s">
        <v>15400</v>
      </c>
      <c r="C17796" t="s">
        <v>151</v>
      </c>
      <c r="D17796" s="21" t="s">
        <v>34</v>
      </c>
      <c r="E17796" s="21" t="s">
        <v>35</v>
      </c>
      <c r="F17796">
        <v>3290005</v>
      </c>
      <c r="G17796" t="s">
        <v>1253</v>
      </c>
      <c r="H17796" s="21">
        <v>791.92</v>
      </c>
    </row>
    <row r="17797" spans="1:8" customFormat="1" x14ac:dyDescent="0.25">
      <c r="A17797" t="str">
        <f>"3339192"</f>
        <v>3339192</v>
      </c>
      <c r="B17797" t="s">
        <v>27499</v>
      </c>
      <c r="C17797" t="s">
        <v>49</v>
      </c>
      <c r="D17797" s="21" t="s">
        <v>34</v>
      </c>
      <c r="E17797" s="21" t="s">
        <v>35</v>
      </c>
      <c r="F17797">
        <v>10330046</v>
      </c>
      <c r="G17797" t="s">
        <v>1787</v>
      </c>
      <c r="H17797" s="21">
        <v>791.92</v>
      </c>
    </row>
    <row r="17798" spans="1:8" customFormat="1" x14ac:dyDescent="0.25">
      <c r="A17798" t="str">
        <f>"7616441"</f>
        <v>7616441</v>
      </c>
      <c r="B17798" t="s">
        <v>15233</v>
      </c>
      <c r="C17798" t="s">
        <v>750</v>
      </c>
      <c r="D17798" s="21" t="s">
        <v>34</v>
      </c>
      <c r="E17798" s="21" t="s">
        <v>254</v>
      </c>
      <c r="F17798">
        <v>9760425</v>
      </c>
      <c r="G17798" t="s">
        <v>5012</v>
      </c>
      <c r="H17798" s="21">
        <v>791.92</v>
      </c>
    </row>
    <row r="17799" spans="1:8" customFormat="1" x14ac:dyDescent="0.25">
      <c r="A17799" t="str">
        <f>"6810723"</f>
        <v>6810723</v>
      </c>
      <c r="B17799" t="s">
        <v>15639</v>
      </c>
      <c r="C17799" t="s">
        <v>598</v>
      </c>
      <c r="D17799" s="21" t="s">
        <v>34</v>
      </c>
      <c r="E17799" s="21" t="s">
        <v>254</v>
      </c>
      <c r="F17799">
        <v>6680118</v>
      </c>
      <c r="G17799" t="s">
        <v>4346</v>
      </c>
      <c r="H17799" s="21">
        <v>791.92</v>
      </c>
    </row>
    <row r="17800" spans="1:8" customFormat="1" x14ac:dyDescent="0.25">
      <c r="A17800" t="str">
        <f>"881526"</f>
        <v>881526</v>
      </c>
      <c r="B17800" t="s">
        <v>15555</v>
      </c>
      <c r="C17800" t="s">
        <v>664</v>
      </c>
      <c r="D17800" s="21" t="s">
        <v>34</v>
      </c>
      <c r="E17800" s="21" t="s">
        <v>71</v>
      </c>
      <c r="F17800">
        <v>6880083</v>
      </c>
      <c r="G17800" t="s">
        <v>7718</v>
      </c>
      <c r="H17800" s="21">
        <v>791.92</v>
      </c>
    </row>
    <row r="17801" spans="1:8" customFormat="1" x14ac:dyDescent="0.25">
      <c r="A17801" t="str">
        <f>"4512987"</f>
        <v>4512987</v>
      </c>
      <c r="B17801" t="s">
        <v>14706</v>
      </c>
      <c r="C17801" t="s">
        <v>169</v>
      </c>
      <c r="D17801" s="21" t="s">
        <v>34</v>
      </c>
      <c r="E17801" s="21" t="s">
        <v>71</v>
      </c>
      <c r="F17801">
        <v>4450750</v>
      </c>
      <c r="G17801" t="s">
        <v>6572</v>
      </c>
      <c r="H17801" s="21">
        <v>791.79</v>
      </c>
    </row>
    <row r="17802" spans="1:8" customFormat="1" x14ac:dyDescent="0.25">
      <c r="A17802" t="str">
        <f>"447623"</f>
        <v>447623</v>
      </c>
      <c r="B17802" t="s">
        <v>14126</v>
      </c>
      <c r="C17802" t="s">
        <v>2529</v>
      </c>
      <c r="D17802" s="21" t="s">
        <v>34</v>
      </c>
      <c r="E17802" s="21" t="s">
        <v>254</v>
      </c>
      <c r="F17802">
        <v>12440193</v>
      </c>
      <c r="G17802" t="s">
        <v>3786</v>
      </c>
      <c r="H17802" s="21">
        <v>791.67</v>
      </c>
    </row>
    <row r="17803" spans="1:8" customFormat="1" x14ac:dyDescent="0.25">
      <c r="A17803" t="str">
        <f>"7855991"</f>
        <v>7855991</v>
      </c>
      <c r="B17803" t="s">
        <v>15177</v>
      </c>
      <c r="C17803" t="s">
        <v>169</v>
      </c>
      <c r="D17803" s="21" t="s">
        <v>34</v>
      </c>
      <c r="E17803" s="21" t="s">
        <v>35</v>
      </c>
      <c r="F17803">
        <v>8780108</v>
      </c>
      <c r="G17803" t="s">
        <v>4329</v>
      </c>
      <c r="H17803" s="21">
        <v>791.67</v>
      </c>
    </row>
    <row r="17804" spans="1:8" customFormat="1" x14ac:dyDescent="0.25">
      <c r="A17804" t="str">
        <f>"875783"</f>
        <v>875783</v>
      </c>
      <c r="B17804" t="s">
        <v>10638</v>
      </c>
      <c r="C17804" t="s">
        <v>528</v>
      </c>
      <c r="D17804" s="21" t="s">
        <v>34</v>
      </c>
      <c r="E17804" s="21" t="s">
        <v>35</v>
      </c>
      <c r="F17804">
        <v>10870110</v>
      </c>
      <c r="G17804" t="s">
        <v>5888</v>
      </c>
      <c r="H17804" s="21">
        <v>791.67</v>
      </c>
    </row>
    <row r="17805" spans="1:8" customFormat="1" x14ac:dyDescent="0.25">
      <c r="A17805" t="str">
        <f>"704671"</f>
        <v>704671</v>
      </c>
      <c r="B17805" t="s">
        <v>12038</v>
      </c>
      <c r="C17805" t="s">
        <v>415</v>
      </c>
      <c r="D17805" s="21" t="s">
        <v>34</v>
      </c>
      <c r="E17805" s="21" t="s">
        <v>1089</v>
      </c>
      <c r="F17805">
        <v>2700089</v>
      </c>
      <c r="G17805" t="s">
        <v>2570</v>
      </c>
      <c r="H17805" s="21">
        <v>791.67</v>
      </c>
    </row>
    <row r="17806" spans="1:8" customFormat="1" x14ac:dyDescent="0.25">
      <c r="A17806" t="str">
        <f>"542248"</f>
        <v>542248</v>
      </c>
      <c r="B17806" t="s">
        <v>14195</v>
      </c>
      <c r="C17806" t="s">
        <v>119</v>
      </c>
      <c r="D17806" s="21" t="s">
        <v>34</v>
      </c>
      <c r="E17806" s="21" t="s">
        <v>71</v>
      </c>
      <c r="F17806">
        <v>6540055</v>
      </c>
      <c r="G17806" t="s">
        <v>9080</v>
      </c>
      <c r="H17806" s="21">
        <v>791.67</v>
      </c>
    </row>
    <row r="17807" spans="1:8" customFormat="1" x14ac:dyDescent="0.25">
      <c r="A17807" t="str">
        <f>"7866726"</f>
        <v>7866726</v>
      </c>
      <c r="B17807" t="s">
        <v>14254</v>
      </c>
      <c r="C17807" t="s">
        <v>4683</v>
      </c>
      <c r="D17807" s="21" t="s">
        <v>34</v>
      </c>
      <c r="E17807" s="21" t="s">
        <v>71</v>
      </c>
      <c r="F17807">
        <v>8780496</v>
      </c>
      <c r="G17807" t="s">
        <v>2477</v>
      </c>
      <c r="H17807" s="21">
        <v>791.67</v>
      </c>
    </row>
    <row r="17808" spans="1:8" customFormat="1" x14ac:dyDescent="0.25">
      <c r="A17808" t="str">
        <f>"4213492"</f>
        <v>4213492</v>
      </c>
      <c r="B17808" t="s">
        <v>14461</v>
      </c>
      <c r="C17808" t="s">
        <v>33</v>
      </c>
      <c r="D17808" s="21" t="s">
        <v>34</v>
      </c>
      <c r="E17808" s="21" t="s">
        <v>35</v>
      </c>
      <c r="F17808">
        <v>1420141</v>
      </c>
      <c r="G17808" t="s">
        <v>5190</v>
      </c>
      <c r="H17808" s="21">
        <v>791.67</v>
      </c>
    </row>
    <row r="17809" spans="1:8" customFormat="1" x14ac:dyDescent="0.25">
      <c r="A17809" t="str">
        <f>"161194"</f>
        <v>161194</v>
      </c>
      <c r="B17809" t="s">
        <v>2403</v>
      </c>
      <c r="C17809" t="s">
        <v>209</v>
      </c>
      <c r="D17809" s="21" t="s">
        <v>34</v>
      </c>
      <c r="E17809" s="21" t="s">
        <v>71</v>
      </c>
      <c r="F17809">
        <v>10160013</v>
      </c>
      <c r="G17809" t="s">
        <v>12672</v>
      </c>
      <c r="H17809" s="21">
        <v>791.67</v>
      </c>
    </row>
    <row r="17810" spans="1:8" customFormat="1" x14ac:dyDescent="0.25">
      <c r="A17810" t="str">
        <f>"363392"</f>
        <v>363392</v>
      </c>
      <c r="B17810" t="s">
        <v>27500</v>
      </c>
      <c r="C17810" t="s">
        <v>156</v>
      </c>
      <c r="D17810" s="21" t="s">
        <v>34</v>
      </c>
      <c r="E17810" s="21" t="s">
        <v>6185</v>
      </c>
      <c r="F17810">
        <v>4360001</v>
      </c>
      <c r="G17810" t="s">
        <v>23098</v>
      </c>
      <c r="H17810" s="21">
        <v>791.67</v>
      </c>
    </row>
    <row r="17811" spans="1:8" customFormat="1" x14ac:dyDescent="0.25">
      <c r="A17811" t="str">
        <f>"3828706"</f>
        <v>3828706</v>
      </c>
      <c r="B17811" t="s">
        <v>13862</v>
      </c>
      <c r="C17811" t="s">
        <v>712</v>
      </c>
      <c r="D17811" s="21" t="s">
        <v>34</v>
      </c>
      <c r="E17811" s="21" t="s">
        <v>35</v>
      </c>
      <c r="F17811">
        <v>1380057</v>
      </c>
      <c r="G17811" t="s">
        <v>26700</v>
      </c>
      <c r="H17811" s="21">
        <v>791.67</v>
      </c>
    </row>
    <row r="17812" spans="1:8" customFormat="1" x14ac:dyDescent="0.25">
      <c r="A17812" t="str">
        <f>"6923487"</f>
        <v>6923487</v>
      </c>
      <c r="B17812" t="s">
        <v>27501</v>
      </c>
      <c r="C17812" t="s">
        <v>328</v>
      </c>
      <c r="D17812" s="21" t="s">
        <v>34</v>
      </c>
      <c r="E17812" s="21" t="s">
        <v>35</v>
      </c>
      <c r="F17812">
        <v>1690186</v>
      </c>
      <c r="G17812" t="s">
        <v>438</v>
      </c>
      <c r="H17812" s="21">
        <v>791.67</v>
      </c>
    </row>
    <row r="17813" spans="1:8" customFormat="1" x14ac:dyDescent="0.25">
      <c r="A17813" t="str">
        <f>"1413420"</f>
        <v>1413420</v>
      </c>
      <c r="B17813" t="s">
        <v>15152</v>
      </c>
      <c r="C17813" t="s">
        <v>415</v>
      </c>
      <c r="D17813" s="21" t="s">
        <v>34</v>
      </c>
      <c r="E17813" s="21" t="s">
        <v>254</v>
      </c>
      <c r="F17813">
        <v>9140216</v>
      </c>
      <c r="G17813" t="s">
        <v>11740</v>
      </c>
      <c r="H17813" s="21">
        <v>791.67</v>
      </c>
    </row>
    <row r="17814" spans="1:8" customFormat="1" x14ac:dyDescent="0.25">
      <c r="A17814" t="str">
        <f>"933080"</f>
        <v>933080</v>
      </c>
      <c r="B17814" t="s">
        <v>2313</v>
      </c>
      <c r="C17814" t="s">
        <v>14079</v>
      </c>
      <c r="D17814" s="21" t="s">
        <v>34</v>
      </c>
      <c r="E17814" s="21" t="s">
        <v>71</v>
      </c>
      <c r="F17814">
        <v>8931032</v>
      </c>
      <c r="G17814" t="s">
        <v>10451</v>
      </c>
      <c r="H17814" s="21">
        <v>791.67</v>
      </c>
    </row>
    <row r="17815" spans="1:8" customFormat="1" x14ac:dyDescent="0.25">
      <c r="A17815" t="str">
        <f>"452812"</f>
        <v>452812</v>
      </c>
      <c r="B17815" t="s">
        <v>14631</v>
      </c>
      <c r="C17815" t="s">
        <v>209</v>
      </c>
      <c r="D17815" s="21" t="s">
        <v>34</v>
      </c>
      <c r="E17815" s="21" t="s">
        <v>254</v>
      </c>
      <c r="F17815">
        <v>4450024</v>
      </c>
      <c r="G17815" t="s">
        <v>9786</v>
      </c>
      <c r="H17815" s="21">
        <v>791.67</v>
      </c>
    </row>
    <row r="17816" spans="1:8" customFormat="1" x14ac:dyDescent="0.25">
      <c r="A17816" t="str">
        <f>"8018749"</f>
        <v>8018749</v>
      </c>
      <c r="B17816" t="s">
        <v>24084</v>
      </c>
      <c r="C17816" t="s">
        <v>236</v>
      </c>
      <c r="D17816" s="21" t="s">
        <v>34</v>
      </c>
      <c r="E17816" s="21" t="s">
        <v>254</v>
      </c>
      <c r="F17816">
        <v>7800141</v>
      </c>
      <c r="G17816" t="s">
        <v>9939</v>
      </c>
      <c r="H17816" s="21">
        <v>791.67</v>
      </c>
    </row>
    <row r="17817" spans="1:8" customFormat="1" x14ac:dyDescent="0.25">
      <c r="A17817" t="str">
        <f>"492159"</f>
        <v>492159</v>
      </c>
      <c r="B17817" t="s">
        <v>5734</v>
      </c>
      <c r="C17817" t="s">
        <v>576</v>
      </c>
      <c r="D17817" s="21" t="s">
        <v>34</v>
      </c>
      <c r="E17817" s="21" t="s">
        <v>35</v>
      </c>
      <c r="F17817">
        <v>12490129</v>
      </c>
      <c r="G17817" t="s">
        <v>7607</v>
      </c>
      <c r="H17817" s="21">
        <v>791.67</v>
      </c>
    </row>
    <row r="17818" spans="1:8" customFormat="1" x14ac:dyDescent="0.25">
      <c r="A17818" t="str">
        <f>"1425227"</f>
        <v>1425227</v>
      </c>
      <c r="B17818" t="s">
        <v>1825</v>
      </c>
      <c r="C17818" t="s">
        <v>33</v>
      </c>
      <c r="D17818" s="21" t="s">
        <v>34</v>
      </c>
      <c r="E17818" s="21" t="s">
        <v>35</v>
      </c>
      <c r="F17818">
        <v>9140127</v>
      </c>
      <c r="G17818" t="s">
        <v>6641</v>
      </c>
      <c r="H17818" s="21">
        <v>791.67</v>
      </c>
    </row>
    <row r="17819" spans="1:8" customFormat="1" x14ac:dyDescent="0.25">
      <c r="A17819" t="str">
        <f>"837218"</f>
        <v>837218</v>
      </c>
      <c r="B17819" t="s">
        <v>14104</v>
      </c>
      <c r="C17819" t="s">
        <v>236</v>
      </c>
      <c r="D17819" s="21" t="s">
        <v>34</v>
      </c>
      <c r="E17819" s="21" t="s">
        <v>71</v>
      </c>
      <c r="F17819">
        <v>13830062</v>
      </c>
      <c r="G17819" t="s">
        <v>9074</v>
      </c>
      <c r="H17819" s="21">
        <v>791.67</v>
      </c>
    </row>
    <row r="17820" spans="1:8" customFormat="1" x14ac:dyDescent="0.25">
      <c r="A17820" t="str">
        <f>"2813157"</f>
        <v>2813157</v>
      </c>
      <c r="B17820" t="s">
        <v>4834</v>
      </c>
      <c r="C17820" t="s">
        <v>60</v>
      </c>
      <c r="D17820" s="21" t="s">
        <v>34</v>
      </c>
      <c r="E17820" s="21" t="s">
        <v>71</v>
      </c>
      <c r="F17820">
        <v>4280517</v>
      </c>
      <c r="G17820" t="s">
        <v>436</v>
      </c>
      <c r="H17820" s="21">
        <v>791.67</v>
      </c>
    </row>
    <row r="17821" spans="1:8" customFormat="1" x14ac:dyDescent="0.25">
      <c r="A17821" t="str">
        <f>"9523739"</f>
        <v>9523739</v>
      </c>
      <c r="B17821" t="s">
        <v>9599</v>
      </c>
      <c r="C17821" t="s">
        <v>17665</v>
      </c>
      <c r="D17821" s="21" t="s">
        <v>34</v>
      </c>
      <c r="E17821" s="21" t="s">
        <v>35</v>
      </c>
      <c r="F17821">
        <v>7600015</v>
      </c>
      <c r="G17821" t="s">
        <v>8343</v>
      </c>
      <c r="H17821" s="21">
        <v>791.67</v>
      </c>
    </row>
    <row r="17822" spans="1:8" customFormat="1" x14ac:dyDescent="0.25">
      <c r="A17822" t="str">
        <f>"5943854"</f>
        <v>5943854</v>
      </c>
      <c r="B17822" t="s">
        <v>2413</v>
      </c>
      <c r="C17822" t="s">
        <v>453</v>
      </c>
      <c r="D17822" s="21" t="s">
        <v>34</v>
      </c>
      <c r="E17822" s="21" t="s">
        <v>71</v>
      </c>
      <c r="F17822">
        <v>7590047</v>
      </c>
      <c r="G17822" t="s">
        <v>5788</v>
      </c>
      <c r="H17822" s="21">
        <v>791.67</v>
      </c>
    </row>
    <row r="17823" spans="1:8" customFormat="1" x14ac:dyDescent="0.25">
      <c r="A17823" t="str">
        <f>"065906"</f>
        <v>065906</v>
      </c>
      <c r="B17823" t="s">
        <v>17142</v>
      </c>
      <c r="C17823" t="s">
        <v>415</v>
      </c>
      <c r="D17823" s="21" t="s">
        <v>34</v>
      </c>
      <c r="E17823" s="21" t="s">
        <v>71</v>
      </c>
      <c r="F17823">
        <v>13830044</v>
      </c>
      <c r="G17823" t="s">
        <v>945</v>
      </c>
      <c r="H17823" s="21">
        <v>791.42</v>
      </c>
    </row>
    <row r="17824" spans="1:8" customFormat="1" x14ac:dyDescent="0.25">
      <c r="A17824" t="str">
        <f>"776652"</f>
        <v>776652</v>
      </c>
      <c r="B17824" t="s">
        <v>1951</v>
      </c>
      <c r="C17824" t="s">
        <v>598</v>
      </c>
      <c r="D17824" s="21" t="s">
        <v>34</v>
      </c>
      <c r="E17824" s="21" t="s">
        <v>1089</v>
      </c>
      <c r="F17824">
        <v>8771029</v>
      </c>
      <c r="G17824" t="s">
        <v>4447</v>
      </c>
      <c r="H17824" s="21">
        <v>791.42</v>
      </c>
    </row>
    <row r="17825" spans="1:8" customFormat="1" x14ac:dyDescent="0.25">
      <c r="A17825" t="str">
        <f>"4515717"</f>
        <v>4515717</v>
      </c>
      <c r="B17825" t="s">
        <v>12292</v>
      </c>
      <c r="C17825" t="s">
        <v>459</v>
      </c>
      <c r="D17825" s="21" t="s">
        <v>34</v>
      </c>
      <c r="E17825" s="21" t="s">
        <v>71</v>
      </c>
      <c r="F17825">
        <v>4450762</v>
      </c>
      <c r="G17825" t="s">
        <v>8632</v>
      </c>
      <c r="H17825" s="21">
        <v>791.42</v>
      </c>
    </row>
    <row r="17826" spans="1:8" customFormat="1" x14ac:dyDescent="0.25">
      <c r="A17826" t="str">
        <f>"948703"</f>
        <v>948703</v>
      </c>
      <c r="B17826" t="s">
        <v>13228</v>
      </c>
      <c r="C17826" t="s">
        <v>65</v>
      </c>
      <c r="D17826" s="21" t="s">
        <v>34</v>
      </c>
      <c r="E17826" s="21" t="s">
        <v>1089</v>
      </c>
      <c r="F17826">
        <v>6510105</v>
      </c>
      <c r="G17826" t="s">
        <v>11107</v>
      </c>
      <c r="H17826" s="21">
        <v>791.29</v>
      </c>
    </row>
    <row r="17827" spans="1:8" customFormat="1" x14ac:dyDescent="0.25">
      <c r="A17827" t="str">
        <f>"5964391"</f>
        <v>5964391</v>
      </c>
      <c r="B17827" t="s">
        <v>16662</v>
      </c>
      <c r="C17827" t="s">
        <v>428</v>
      </c>
      <c r="D17827" s="21" t="s">
        <v>34</v>
      </c>
      <c r="E17827" s="21" t="s">
        <v>35</v>
      </c>
      <c r="F17827">
        <v>7590058</v>
      </c>
      <c r="G17827" t="s">
        <v>5044</v>
      </c>
      <c r="H17827" s="21">
        <v>791.29</v>
      </c>
    </row>
    <row r="17828" spans="1:8" customFormat="1" x14ac:dyDescent="0.25">
      <c r="A17828" t="str">
        <f>"5321451"</f>
        <v>5321451</v>
      </c>
      <c r="B17828" t="s">
        <v>14941</v>
      </c>
      <c r="C17828" t="s">
        <v>124</v>
      </c>
      <c r="D17828" s="21" t="s">
        <v>34</v>
      </c>
      <c r="E17828" s="21" t="s">
        <v>35</v>
      </c>
      <c r="F17828">
        <v>12530017</v>
      </c>
      <c r="G17828" t="s">
        <v>307</v>
      </c>
      <c r="H17828" s="21">
        <v>791.29</v>
      </c>
    </row>
    <row r="17829" spans="1:8" customFormat="1" x14ac:dyDescent="0.25">
      <c r="A17829" t="str">
        <f>"152228"</f>
        <v>152228</v>
      </c>
      <c r="B17829" t="s">
        <v>11757</v>
      </c>
      <c r="C17829" t="s">
        <v>598</v>
      </c>
      <c r="D17829" s="21" t="s">
        <v>34</v>
      </c>
      <c r="E17829" s="21" t="s">
        <v>71</v>
      </c>
      <c r="F17829">
        <v>10190134</v>
      </c>
      <c r="G17829" t="s">
        <v>27150</v>
      </c>
      <c r="H17829" s="21">
        <v>791.17</v>
      </c>
    </row>
    <row r="17830" spans="1:8" customFormat="1" x14ac:dyDescent="0.25">
      <c r="A17830" t="str">
        <f>"3418236"</f>
        <v>3418236</v>
      </c>
      <c r="B17830" t="s">
        <v>15758</v>
      </c>
      <c r="C17830" t="s">
        <v>209</v>
      </c>
      <c r="D17830" s="21" t="s">
        <v>34</v>
      </c>
      <c r="E17830" s="21" t="s">
        <v>35</v>
      </c>
      <c r="F17830">
        <v>10400002</v>
      </c>
      <c r="G17830" t="s">
        <v>1975</v>
      </c>
      <c r="H17830" s="21">
        <v>791.17</v>
      </c>
    </row>
    <row r="17831" spans="1:8" customFormat="1" x14ac:dyDescent="0.25">
      <c r="A17831" t="str">
        <f>"2934585"</f>
        <v>2934585</v>
      </c>
      <c r="B17831" t="s">
        <v>14140</v>
      </c>
      <c r="C17831" t="s">
        <v>33</v>
      </c>
      <c r="D17831" s="21" t="s">
        <v>34</v>
      </c>
      <c r="E17831" s="21" t="s">
        <v>35</v>
      </c>
      <c r="F17831">
        <v>3290283</v>
      </c>
      <c r="G17831" t="s">
        <v>12108</v>
      </c>
      <c r="H17831" s="21">
        <v>791.17</v>
      </c>
    </row>
    <row r="17832" spans="1:8" customFormat="1" x14ac:dyDescent="0.25">
      <c r="A17832" t="str">
        <f>"167910"</f>
        <v>167910</v>
      </c>
      <c r="B17832" t="s">
        <v>1833</v>
      </c>
      <c r="C17832" t="s">
        <v>1588</v>
      </c>
      <c r="D17832" s="21" t="s">
        <v>34</v>
      </c>
      <c r="E17832" s="21" t="s">
        <v>71</v>
      </c>
      <c r="F17832">
        <v>10160223</v>
      </c>
      <c r="G17832" t="s">
        <v>5750</v>
      </c>
      <c r="H17832" s="21">
        <v>791.17</v>
      </c>
    </row>
    <row r="17833" spans="1:8" customFormat="1" x14ac:dyDescent="0.25">
      <c r="A17833" t="str">
        <f>"5978660"</f>
        <v>5978660</v>
      </c>
      <c r="B17833" t="s">
        <v>18855</v>
      </c>
      <c r="C17833" t="s">
        <v>90</v>
      </c>
      <c r="D17833" s="21" t="s">
        <v>34</v>
      </c>
      <c r="E17833" s="21" t="s">
        <v>35</v>
      </c>
      <c r="F17833">
        <v>7590336</v>
      </c>
      <c r="G17833" t="s">
        <v>2341</v>
      </c>
      <c r="H17833" s="21">
        <v>791.17</v>
      </c>
    </row>
    <row r="17834" spans="1:8" customFormat="1" x14ac:dyDescent="0.25">
      <c r="A17834" t="str">
        <f>"3339625"</f>
        <v>3339625</v>
      </c>
      <c r="B17834" t="s">
        <v>16171</v>
      </c>
      <c r="C17834" t="s">
        <v>55</v>
      </c>
      <c r="D17834" s="21" t="s">
        <v>34</v>
      </c>
      <c r="E17834" s="21" t="s">
        <v>71</v>
      </c>
      <c r="F17834">
        <v>10330028</v>
      </c>
      <c r="G17834" t="s">
        <v>4553</v>
      </c>
      <c r="H17834" s="21">
        <v>791.17</v>
      </c>
    </row>
    <row r="17835" spans="1:8" customFormat="1" x14ac:dyDescent="0.25">
      <c r="A17835" t="str">
        <f>"5966073"</f>
        <v>5966073</v>
      </c>
      <c r="B17835" t="s">
        <v>86</v>
      </c>
      <c r="C17835" t="s">
        <v>1142</v>
      </c>
      <c r="D17835" s="21" t="s">
        <v>34</v>
      </c>
      <c r="E17835" s="21" t="s">
        <v>35</v>
      </c>
      <c r="F17835">
        <v>7590126</v>
      </c>
      <c r="G17835" t="s">
        <v>4749</v>
      </c>
      <c r="H17835" s="21">
        <v>791.17</v>
      </c>
    </row>
    <row r="17836" spans="1:8" customFormat="1" x14ac:dyDescent="0.25">
      <c r="A17836" t="str">
        <f>"624333"</f>
        <v>624333</v>
      </c>
      <c r="B17836" t="s">
        <v>13694</v>
      </c>
      <c r="C17836" t="s">
        <v>269</v>
      </c>
      <c r="D17836" s="21" t="s">
        <v>34</v>
      </c>
      <c r="E17836" s="21" t="s">
        <v>71</v>
      </c>
      <c r="F17836">
        <v>7620060</v>
      </c>
      <c r="G17836" t="s">
        <v>2179</v>
      </c>
      <c r="H17836" s="21">
        <v>791.17</v>
      </c>
    </row>
    <row r="17837" spans="1:8" customFormat="1" x14ac:dyDescent="0.25">
      <c r="A17837" t="str">
        <f>"625112"</f>
        <v>625112</v>
      </c>
      <c r="B17837" t="s">
        <v>1614</v>
      </c>
      <c r="C17837" t="s">
        <v>1597</v>
      </c>
      <c r="D17837" s="21" t="s">
        <v>34</v>
      </c>
      <c r="E17837" s="21" t="s">
        <v>254</v>
      </c>
      <c r="F17837">
        <v>7620131</v>
      </c>
      <c r="G17837" t="s">
        <v>9562</v>
      </c>
      <c r="H17837" s="21">
        <v>791.17</v>
      </c>
    </row>
    <row r="17838" spans="1:8" customFormat="1" x14ac:dyDescent="0.25">
      <c r="A17838" t="str">
        <f>"6110166"</f>
        <v>6110166</v>
      </c>
      <c r="B17838" t="s">
        <v>6328</v>
      </c>
      <c r="C17838" t="s">
        <v>65</v>
      </c>
      <c r="D17838" s="21" t="s">
        <v>34</v>
      </c>
      <c r="E17838" s="21" t="s">
        <v>35</v>
      </c>
      <c r="F17838">
        <v>9270008</v>
      </c>
      <c r="G17838" t="s">
        <v>7853</v>
      </c>
      <c r="H17838" s="21">
        <v>791.17</v>
      </c>
    </row>
    <row r="17839" spans="1:8" customFormat="1" x14ac:dyDescent="0.25">
      <c r="A17839" t="str">
        <f>"639853"</f>
        <v>639853</v>
      </c>
      <c r="B17839" t="s">
        <v>14391</v>
      </c>
      <c r="C17839" t="s">
        <v>198</v>
      </c>
      <c r="D17839" s="21" t="s">
        <v>34</v>
      </c>
      <c r="E17839" s="21" t="s">
        <v>71</v>
      </c>
      <c r="F17839">
        <v>1630185</v>
      </c>
      <c r="G17839" t="s">
        <v>858</v>
      </c>
      <c r="H17839" s="21">
        <v>791.17</v>
      </c>
    </row>
    <row r="17840" spans="1:8" customFormat="1" x14ac:dyDescent="0.25">
      <c r="A17840" t="str">
        <f>"1420677"</f>
        <v>1420677</v>
      </c>
      <c r="B17840" t="s">
        <v>2571</v>
      </c>
      <c r="C17840" t="s">
        <v>263</v>
      </c>
      <c r="D17840" s="21" t="s">
        <v>34</v>
      </c>
      <c r="E17840" s="21" t="s">
        <v>71</v>
      </c>
      <c r="F17840">
        <v>9140227</v>
      </c>
      <c r="G17840" t="s">
        <v>5130</v>
      </c>
      <c r="H17840" s="21">
        <v>791.17</v>
      </c>
    </row>
    <row r="17841" spans="1:8" customFormat="1" x14ac:dyDescent="0.25">
      <c r="A17841" t="str">
        <f>"5320451"</f>
        <v>5320451</v>
      </c>
      <c r="B17841" t="s">
        <v>136</v>
      </c>
      <c r="C17841" t="s">
        <v>3905</v>
      </c>
      <c r="D17841" s="21" t="s">
        <v>34</v>
      </c>
      <c r="E17841" s="21" t="s">
        <v>254</v>
      </c>
      <c r="F17841">
        <v>12530058</v>
      </c>
      <c r="G17841" t="s">
        <v>3128</v>
      </c>
      <c r="H17841" s="21">
        <v>791.17</v>
      </c>
    </row>
    <row r="17842" spans="1:8" customFormat="1" x14ac:dyDescent="0.25">
      <c r="A17842" t="str">
        <f>"7726781"</f>
        <v>7726781</v>
      </c>
      <c r="B17842" t="s">
        <v>15062</v>
      </c>
      <c r="C17842" t="s">
        <v>275</v>
      </c>
      <c r="D17842" s="21" t="s">
        <v>34</v>
      </c>
      <c r="E17842" s="21" t="s">
        <v>35</v>
      </c>
      <c r="F17842">
        <v>8770955</v>
      </c>
      <c r="G17842" t="s">
        <v>9946</v>
      </c>
      <c r="H17842" s="21">
        <v>791.17</v>
      </c>
    </row>
    <row r="17843" spans="1:8" customFormat="1" x14ac:dyDescent="0.25">
      <c r="A17843" t="str">
        <f>"3343710"</f>
        <v>3343710</v>
      </c>
      <c r="B17843" t="s">
        <v>17748</v>
      </c>
      <c r="C17843" t="s">
        <v>285</v>
      </c>
      <c r="D17843" s="21" t="s">
        <v>34</v>
      </c>
      <c r="E17843" s="21" t="s">
        <v>35</v>
      </c>
      <c r="F17843">
        <v>10330010</v>
      </c>
      <c r="G17843" t="s">
        <v>2831</v>
      </c>
      <c r="H17843" s="21">
        <v>791.17</v>
      </c>
    </row>
    <row r="17844" spans="1:8" customFormat="1" x14ac:dyDescent="0.25">
      <c r="A17844" t="str">
        <f>"7725548"</f>
        <v>7725548</v>
      </c>
      <c r="B17844" t="s">
        <v>16771</v>
      </c>
      <c r="C17844" t="s">
        <v>33</v>
      </c>
      <c r="D17844" s="21" t="s">
        <v>34</v>
      </c>
      <c r="E17844" s="21" t="s">
        <v>71</v>
      </c>
      <c r="F17844">
        <v>8771427</v>
      </c>
      <c r="G17844" t="s">
        <v>6564</v>
      </c>
      <c r="H17844" s="21">
        <v>791.17</v>
      </c>
    </row>
    <row r="17845" spans="1:8" customFormat="1" x14ac:dyDescent="0.25">
      <c r="A17845" t="str">
        <f>"8016007"</f>
        <v>8016007</v>
      </c>
      <c r="B17845" t="s">
        <v>6558</v>
      </c>
      <c r="C17845" t="s">
        <v>87</v>
      </c>
      <c r="D17845" s="21" t="s">
        <v>34</v>
      </c>
      <c r="E17845" s="21" t="s">
        <v>71</v>
      </c>
      <c r="F17845">
        <v>7800139</v>
      </c>
      <c r="G17845" t="s">
        <v>6694</v>
      </c>
      <c r="H17845" s="21">
        <v>791.17</v>
      </c>
    </row>
    <row r="17846" spans="1:8" customFormat="1" x14ac:dyDescent="0.25">
      <c r="A17846" t="str">
        <f>"4431862"</f>
        <v>4431862</v>
      </c>
      <c r="B17846" t="s">
        <v>15169</v>
      </c>
      <c r="C17846" t="s">
        <v>109</v>
      </c>
      <c r="D17846" s="21" t="s">
        <v>34</v>
      </c>
      <c r="E17846" s="21" t="s">
        <v>35</v>
      </c>
      <c r="F17846">
        <v>12440004</v>
      </c>
      <c r="G17846" t="s">
        <v>26530</v>
      </c>
      <c r="H17846" s="21">
        <v>791.17</v>
      </c>
    </row>
    <row r="17847" spans="1:8" customFormat="1" x14ac:dyDescent="0.25">
      <c r="A17847" t="str">
        <f>"1611291"</f>
        <v>1611291</v>
      </c>
      <c r="B17847" t="s">
        <v>11569</v>
      </c>
      <c r="C17847" t="s">
        <v>2520</v>
      </c>
      <c r="D17847" s="21" t="s">
        <v>34</v>
      </c>
      <c r="E17847" s="21" t="s">
        <v>254</v>
      </c>
      <c r="F17847">
        <v>10160042</v>
      </c>
      <c r="G17847" t="s">
        <v>7461</v>
      </c>
      <c r="H17847" s="21">
        <v>791.17</v>
      </c>
    </row>
    <row r="17848" spans="1:8" customFormat="1" x14ac:dyDescent="0.25">
      <c r="A17848" t="str">
        <f>"485200"</f>
        <v>485200</v>
      </c>
      <c r="B17848" t="s">
        <v>14530</v>
      </c>
      <c r="C17848" t="s">
        <v>1714</v>
      </c>
      <c r="D17848" s="21" t="s">
        <v>34</v>
      </c>
      <c r="E17848" s="21" t="s">
        <v>71</v>
      </c>
      <c r="F17848">
        <v>11480028</v>
      </c>
      <c r="G17848" t="s">
        <v>14531</v>
      </c>
      <c r="H17848" s="21">
        <v>791.17</v>
      </c>
    </row>
    <row r="17849" spans="1:8" customFormat="1" x14ac:dyDescent="0.25">
      <c r="A17849" t="str">
        <f>"617319"</f>
        <v>617319</v>
      </c>
      <c r="B17849" t="s">
        <v>14266</v>
      </c>
      <c r="C17849" t="s">
        <v>547</v>
      </c>
      <c r="D17849" s="21" t="s">
        <v>34</v>
      </c>
      <c r="E17849" s="21" t="s">
        <v>254</v>
      </c>
      <c r="F17849">
        <v>9610011</v>
      </c>
      <c r="G17849" t="s">
        <v>6031</v>
      </c>
      <c r="H17849" s="21">
        <v>791.17</v>
      </c>
    </row>
    <row r="17850" spans="1:8" customFormat="1" x14ac:dyDescent="0.25">
      <c r="A17850" t="str">
        <f>"7728704"</f>
        <v>7728704</v>
      </c>
      <c r="B17850" t="s">
        <v>17638</v>
      </c>
      <c r="C17850" t="s">
        <v>119</v>
      </c>
      <c r="D17850" s="21" t="s">
        <v>34</v>
      </c>
      <c r="E17850" s="21" t="s">
        <v>35</v>
      </c>
      <c r="F17850">
        <v>8771398</v>
      </c>
      <c r="G17850" t="s">
        <v>2759</v>
      </c>
      <c r="H17850" s="21">
        <v>791.17</v>
      </c>
    </row>
    <row r="17851" spans="1:8" customFormat="1" x14ac:dyDescent="0.25">
      <c r="A17851" t="str">
        <f>"168792"</f>
        <v>168792</v>
      </c>
      <c r="B17851" t="s">
        <v>13200</v>
      </c>
      <c r="C17851" t="s">
        <v>1887</v>
      </c>
      <c r="D17851" s="21" t="s">
        <v>34</v>
      </c>
      <c r="E17851" s="21" t="s">
        <v>254</v>
      </c>
      <c r="F17851">
        <v>10160226</v>
      </c>
      <c r="G17851" t="s">
        <v>8751</v>
      </c>
      <c r="H17851" s="21">
        <v>790.92</v>
      </c>
    </row>
    <row r="17852" spans="1:8" customFormat="1" x14ac:dyDescent="0.25">
      <c r="A17852" t="str">
        <f>"133488"</f>
        <v>133488</v>
      </c>
      <c r="B17852" t="s">
        <v>14716</v>
      </c>
      <c r="C17852" t="s">
        <v>267</v>
      </c>
      <c r="D17852" s="21" t="s">
        <v>34</v>
      </c>
      <c r="E17852" s="21" t="s">
        <v>254</v>
      </c>
      <c r="F17852">
        <v>13130022</v>
      </c>
      <c r="G17852" t="s">
        <v>2666</v>
      </c>
      <c r="H17852" s="21">
        <v>790.92</v>
      </c>
    </row>
    <row r="17853" spans="1:8" customFormat="1" x14ac:dyDescent="0.25">
      <c r="A17853" t="str">
        <f>"5726246"</f>
        <v>5726246</v>
      </c>
      <c r="B17853" t="s">
        <v>13837</v>
      </c>
      <c r="C17853" t="s">
        <v>462</v>
      </c>
      <c r="D17853" s="21" t="s">
        <v>34</v>
      </c>
      <c r="E17853" s="21" t="s">
        <v>35</v>
      </c>
      <c r="F17853">
        <v>6570146</v>
      </c>
      <c r="G17853" t="s">
        <v>1556</v>
      </c>
      <c r="H17853" s="21">
        <v>790.92</v>
      </c>
    </row>
    <row r="17854" spans="1:8" customFormat="1" x14ac:dyDescent="0.25">
      <c r="A17854" t="str">
        <f>"182849"</f>
        <v>182849</v>
      </c>
      <c r="B17854" t="s">
        <v>431</v>
      </c>
      <c r="C17854" t="s">
        <v>60</v>
      </c>
      <c r="D17854" s="21" t="s">
        <v>34</v>
      </c>
      <c r="E17854" s="21" t="s">
        <v>71</v>
      </c>
      <c r="F17854">
        <v>4180174</v>
      </c>
      <c r="G17854" t="s">
        <v>3046</v>
      </c>
      <c r="H17854" s="21">
        <v>790.79</v>
      </c>
    </row>
    <row r="17855" spans="1:8" customFormat="1" x14ac:dyDescent="0.25">
      <c r="A17855" t="str">
        <f>"7827083"</f>
        <v>7827083</v>
      </c>
      <c r="B17855" t="s">
        <v>623</v>
      </c>
      <c r="C17855" t="s">
        <v>55</v>
      </c>
      <c r="D17855" s="21" t="s">
        <v>34</v>
      </c>
      <c r="E17855" s="21" t="s">
        <v>35</v>
      </c>
      <c r="F17855">
        <v>8950882</v>
      </c>
      <c r="G17855" t="s">
        <v>9516</v>
      </c>
      <c r="H17855" s="21">
        <v>790.79</v>
      </c>
    </row>
    <row r="17856" spans="1:8" customFormat="1" x14ac:dyDescent="0.25">
      <c r="A17856" t="str">
        <f>"5110745"</f>
        <v>5110745</v>
      </c>
      <c r="B17856" t="s">
        <v>15238</v>
      </c>
      <c r="C17856" t="s">
        <v>40</v>
      </c>
      <c r="D17856" s="21" t="s">
        <v>34</v>
      </c>
      <c r="E17856" s="21" t="s">
        <v>71</v>
      </c>
      <c r="F17856">
        <v>6510029</v>
      </c>
      <c r="G17856" t="s">
        <v>1879</v>
      </c>
      <c r="H17856" s="21">
        <v>790.67</v>
      </c>
    </row>
    <row r="17857" spans="1:8" customFormat="1" x14ac:dyDescent="0.25">
      <c r="A17857" t="str">
        <f>"6217408"</f>
        <v>6217408</v>
      </c>
      <c r="B17857" t="s">
        <v>16854</v>
      </c>
      <c r="C17857" t="s">
        <v>90</v>
      </c>
      <c r="D17857" s="21" t="s">
        <v>34</v>
      </c>
      <c r="E17857" s="21" t="s">
        <v>35</v>
      </c>
      <c r="F17857">
        <v>7620185</v>
      </c>
      <c r="G17857" t="s">
        <v>1561</v>
      </c>
      <c r="H17857" s="21">
        <v>790.67</v>
      </c>
    </row>
    <row r="17858" spans="1:8" customFormat="1" x14ac:dyDescent="0.25">
      <c r="A17858" t="str">
        <f>"0812006"</f>
        <v>0812006</v>
      </c>
      <c r="B17858" t="s">
        <v>15683</v>
      </c>
      <c r="C17858" t="s">
        <v>209</v>
      </c>
      <c r="D17858" s="21" t="s">
        <v>34</v>
      </c>
      <c r="E17858" s="21" t="s">
        <v>35</v>
      </c>
      <c r="F17858">
        <v>6080074</v>
      </c>
      <c r="G17858" t="s">
        <v>13069</v>
      </c>
      <c r="H17858" s="21">
        <v>790.67</v>
      </c>
    </row>
    <row r="17859" spans="1:8" customFormat="1" x14ac:dyDescent="0.25">
      <c r="A17859" t="str">
        <f>"518380"</f>
        <v>518380</v>
      </c>
      <c r="B17859" t="s">
        <v>15003</v>
      </c>
      <c r="C17859" t="s">
        <v>40</v>
      </c>
      <c r="D17859" s="21" t="s">
        <v>34</v>
      </c>
      <c r="E17859" s="21" t="s">
        <v>71</v>
      </c>
      <c r="F17859">
        <v>6510051</v>
      </c>
      <c r="G17859" t="s">
        <v>13878</v>
      </c>
      <c r="H17859" s="21">
        <v>790.67</v>
      </c>
    </row>
    <row r="17860" spans="1:8" customFormat="1" x14ac:dyDescent="0.25">
      <c r="A17860" t="str">
        <f>"225156"</f>
        <v>225156</v>
      </c>
      <c r="B17860" t="s">
        <v>15767</v>
      </c>
      <c r="C17860" t="s">
        <v>40</v>
      </c>
      <c r="D17860" s="21" t="s">
        <v>34</v>
      </c>
      <c r="E17860" s="21" t="s">
        <v>254</v>
      </c>
      <c r="F17860">
        <v>3220008</v>
      </c>
      <c r="G17860" t="s">
        <v>6845</v>
      </c>
      <c r="H17860" s="21">
        <v>790.67</v>
      </c>
    </row>
    <row r="17861" spans="1:8" customFormat="1" x14ac:dyDescent="0.25">
      <c r="A17861" t="str">
        <f>"701983"</f>
        <v>701983</v>
      </c>
      <c r="B17861" t="s">
        <v>16077</v>
      </c>
      <c r="C17861" t="s">
        <v>1914</v>
      </c>
      <c r="D17861" s="21" t="s">
        <v>34</v>
      </c>
      <c r="E17861" s="21" t="s">
        <v>35</v>
      </c>
      <c r="F17861">
        <v>2700075</v>
      </c>
      <c r="G17861" t="s">
        <v>10511</v>
      </c>
      <c r="H17861" s="21">
        <v>790.67</v>
      </c>
    </row>
    <row r="17862" spans="1:8" customFormat="1" x14ac:dyDescent="0.25">
      <c r="A17862" t="str">
        <f>"5315642"</f>
        <v>5315642</v>
      </c>
      <c r="B17862" t="s">
        <v>4211</v>
      </c>
      <c r="C17862" t="s">
        <v>239</v>
      </c>
      <c r="D17862" s="21" t="s">
        <v>34</v>
      </c>
      <c r="E17862" s="21" t="s">
        <v>254</v>
      </c>
      <c r="F17862">
        <v>12530015</v>
      </c>
      <c r="G17862" t="s">
        <v>18217</v>
      </c>
      <c r="H17862" s="21">
        <v>790.67</v>
      </c>
    </row>
    <row r="17863" spans="1:8" customFormat="1" x14ac:dyDescent="0.25">
      <c r="A17863" t="str">
        <f>"043621"</f>
        <v>043621</v>
      </c>
      <c r="B17863" t="s">
        <v>4231</v>
      </c>
      <c r="C17863" t="s">
        <v>156</v>
      </c>
      <c r="D17863" s="21" t="s">
        <v>34</v>
      </c>
      <c r="E17863" s="21" t="s">
        <v>35</v>
      </c>
      <c r="F17863">
        <v>13040005</v>
      </c>
      <c r="G17863" t="s">
        <v>7115</v>
      </c>
      <c r="H17863" s="21">
        <v>790.67</v>
      </c>
    </row>
    <row r="17864" spans="1:8" customFormat="1" x14ac:dyDescent="0.25">
      <c r="A17864" t="str">
        <f>"1412199"</f>
        <v>1412199</v>
      </c>
      <c r="B17864" t="s">
        <v>10862</v>
      </c>
      <c r="C17864" t="s">
        <v>1605</v>
      </c>
      <c r="D17864" s="21" t="s">
        <v>34</v>
      </c>
      <c r="E17864" s="21" t="s">
        <v>35</v>
      </c>
      <c r="F17864">
        <v>9140052</v>
      </c>
      <c r="G17864" t="s">
        <v>26563</v>
      </c>
      <c r="H17864" s="21">
        <v>790.67</v>
      </c>
    </row>
    <row r="17865" spans="1:8" customFormat="1" x14ac:dyDescent="0.25">
      <c r="A17865" t="str">
        <f>"663331"</f>
        <v>663331</v>
      </c>
      <c r="B17865" t="s">
        <v>14544</v>
      </c>
      <c r="C17865" t="s">
        <v>879</v>
      </c>
      <c r="D17865" s="21" t="s">
        <v>34</v>
      </c>
      <c r="E17865" s="21" t="s">
        <v>71</v>
      </c>
      <c r="F17865">
        <v>11660009</v>
      </c>
      <c r="G17865" t="s">
        <v>26624</v>
      </c>
      <c r="H17865" s="21">
        <v>790.67</v>
      </c>
    </row>
    <row r="17866" spans="1:8" customFormat="1" x14ac:dyDescent="0.25">
      <c r="A17866" t="str">
        <f>"7618564"</f>
        <v>7618564</v>
      </c>
      <c r="B17866" t="s">
        <v>5362</v>
      </c>
      <c r="C17866" t="s">
        <v>1220</v>
      </c>
      <c r="D17866" s="21" t="s">
        <v>34</v>
      </c>
      <c r="E17866" s="21" t="s">
        <v>71</v>
      </c>
      <c r="F17866">
        <v>9760341</v>
      </c>
      <c r="G17866" t="s">
        <v>12913</v>
      </c>
      <c r="H17866" s="21">
        <v>790.67</v>
      </c>
    </row>
    <row r="17867" spans="1:8" customFormat="1" x14ac:dyDescent="0.25">
      <c r="A17867" t="str">
        <f>"028814"</f>
        <v>028814</v>
      </c>
      <c r="B17867" t="s">
        <v>679</v>
      </c>
      <c r="C17867" t="s">
        <v>249</v>
      </c>
      <c r="D17867" s="21" t="s">
        <v>34</v>
      </c>
      <c r="E17867" s="21" t="s">
        <v>35</v>
      </c>
      <c r="F17867">
        <v>7020064</v>
      </c>
      <c r="G17867" t="s">
        <v>8396</v>
      </c>
      <c r="H17867" s="21">
        <v>790.67</v>
      </c>
    </row>
    <row r="17868" spans="1:8" customFormat="1" x14ac:dyDescent="0.25">
      <c r="A17868" t="str">
        <f>"5935697"</f>
        <v>5935697</v>
      </c>
      <c r="B17868" t="s">
        <v>8949</v>
      </c>
      <c r="C17868" t="s">
        <v>198</v>
      </c>
      <c r="D17868" s="21" t="s">
        <v>34</v>
      </c>
      <c r="E17868" s="21" t="s">
        <v>71</v>
      </c>
      <c r="F17868">
        <v>7620082</v>
      </c>
      <c r="G17868" t="s">
        <v>4939</v>
      </c>
      <c r="H17868" s="21">
        <v>790.67</v>
      </c>
    </row>
    <row r="17869" spans="1:8" customFormat="1" x14ac:dyDescent="0.25">
      <c r="A17869" t="str">
        <f>"25422"</f>
        <v>25422</v>
      </c>
      <c r="B17869" t="s">
        <v>13851</v>
      </c>
      <c r="C17869" t="s">
        <v>4842</v>
      </c>
      <c r="D17869" s="21" t="s">
        <v>34</v>
      </c>
      <c r="E17869" s="21" t="s">
        <v>254</v>
      </c>
      <c r="F17869">
        <v>2250016</v>
      </c>
      <c r="G17869" t="s">
        <v>1709</v>
      </c>
      <c r="H17869" s="21">
        <v>790.54</v>
      </c>
    </row>
    <row r="17870" spans="1:8" customFormat="1" x14ac:dyDescent="0.25">
      <c r="A17870" t="str">
        <f>"9519377"</f>
        <v>9519377</v>
      </c>
      <c r="B17870" t="s">
        <v>6713</v>
      </c>
      <c r="C17870" t="s">
        <v>13835</v>
      </c>
      <c r="D17870" s="21" t="s">
        <v>34</v>
      </c>
      <c r="E17870" s="21" t="s">
        <v>1089</v>
      </c>
      <c r="F17870">
        <v>8950083</v>
      </c>
      <c r="G17870" t="s">
        <v>405</v>
      </c>
      <c r="H17870" s="21">
        <v>790.42</v>
      </c>
    </row>
    <row r="17871" spans="1:8" customFormat="1" x14ac:dyDescent="0.25">
      <c r="A17871" t="str">
        <f>"3530998"</f>
        <v>3530998</v>
      </c>
      <c r="B17871" t="s">
        <v>4693</v>
      </c>
      <c r="C17871" t="s">
        <v>209</v>
      </c>
      <c r="D17871" s="21" t="s">
        <v>34</v>
      </c>
      <c r="E17871" s="21" t="s">
        <v>71</v>
      </c>
      <c r="F17871">
        <v>3350092</v>
      </c>
      <c r="G17871" t="s">
        <v>26881</v>
      </c>
      <c r="H17871" s="21">
        <v>790.17</v>
      </c>
    </row>
    <row r="17872" spans="1:8" customFormat="1" x14ac:dyDescent="0.25">
      <c r="A17872" t="str">
        <f>"72558"</f>
        <v>72558</v>
      </c>
      <c r="B17872" t="s">
        <v>15339</v>
      </c>
      <c r="C17872" t="s">
        <v>1110</v>
      </c>
      <c r="D17872" s="21" t="s">
        <v>34</v>
      </c>
      <c r="E17872" s="21" t="s">
        <v>1089</v>
      </c>
      <c r="F17872">
        <v>12720104</v>
      </c>
      <c r="G17872" t="s">
        <v>224</v>
      </c>
      <c r="H17872" s="21">
        <v>790.17</v>
      </c>
    </row>
    <row r="17873" spans="1:8" customFormat="1" x14ac:dyDescent="0.25">
      <c r="A17873" t="str">
        <f>"1418605"</f>
        <v>1418605</v>
      </c>
      <c r="B17873" t="s">
        <v>4732</v>
      </c>
      <c r="C17873" t="s">
        <v>399</v>
      </c>
      <c r="D17873" s="21" t="s">
        <v>34</v>
      </c>
      <c r="E17873" s="21" t="s">
        <v>71</v>
      </c>
      <c r="F17873">
        <v>9140156</v>
      </c>
      <c r="G17873" t="s">
        <v>645</v>
      </c>
      <c r="H17873" s="21">
        <v>790.17</v>
      </c>
    </row>
    <row r="17874" spans="1:8" customFormat="1" x14ac:dyDescent="0.25">
      <c r="A17874" t="str">
        <f>"505390"</f>
        <v>505390</v>
      </c>
      <c r="B17874" t="s">
        <v>1908</v>
      </c>
      <c r="C17874" t="s">
        <v>611</v>
      </c>
      <c r="D17874" s="21" t="s">
        <v>34</v>
      </c>
      <c r="E17874" s="21" t="s">
        <v>71</v>
      </c>
      <c r="F17874">
        <v>9500111</v>
      </c>
      <c r="G17874" t="s">
        <v>6591</v>
      </c>
      <c r="H17874" s="21">
        <v>790.17</v>
      </c>
    </row>
    <row r="17875" spans="1:8" customFormat="1" x14ac:dyDescent="0.25">
      <c r="A17875" t="str">
        <f>"444282"</f>
        <v>444282</v>
      </c>
      <c r="B17875" t="s">
        <v>14261</v>
      </c>
      <c r="C17875" t="s">
        <v>3648</v>
      </c>
      <c r="D17875" s="21" t="s">
        <v>34</v>
      </c>
      <c r="E17875" s="21" t="s">
        <v>1089</v>
      </c>
      <c r="F17875">
        <v>12440166</v>
      </c>
      <c r="G17875" t="s">
        <v>4031</v>
      </c>
      <c r="H17875" s="21">
        <v>790.17</v>
      </c>
    </row>
    <row r="17876" spans="1:8" customFormat="1" x14ac:dyDescent="0.25">
      <c r="A17876" t="str">
        <f>"1316212"</f>
        <v>1316212</v>
      </c>
      <c r="B17876" t="s">
        <v>3657</v>
      </c>
      <c r="C17876" t="s">
        <v>209</v>
      </c>
      <c r="D17876" s="21" t="s">
        <v>34</v>
      </c>
      <c r="E17876" s="21" t="s">
        <v>35</v>
      </c>
      <c r="F17876">
        <v>13130154</v>
      </c>
      <c r="G17876" t="s">
        <v>5503</v>
      </c>
      <c r="H17876" s="21">
        <v>790.17</v>
      </c>
    </row>
    <row r="17877" spans="1:8" customFormat="1" x14ac:dyDescent="0.25">
      <c r="A17877" t="str">
        <f>"312530"</f>
        <v>312530</v>
      </c>
      <c r="B17877" t="s">
        <v>27502</v>
      </c>
      <c r="C17877" t="s">
        <v>428</v>
      </c>
      <c r="D17877" s="21" t="s">
        <v>34</v>
      </c>
      <c r="E17877" s="21" t="s">
        <v>35</v>
      </c>
      <c r="F17877">
        <v>11810032</v>
      </c>
      <c r="G17877" t="s">
        <v>7859</v>
      </c>
      <c r="H17877" s="21">
        <v>790.17</v>
      </c>
    </row>
    <row r="17878" spans="1:8" customFormat="1" x14ac:dyDescent="0.25">
      <c r="A17878" t="str">
        <f>"8518783"</f>
        <v>8518783</v>
      </c>
      <c r="B17878" t="s">
        <v>9413</v>
      </c>
      <c r="C17878" t="s">
        <v>119</v>
      </c>
      <c r="D17878" s="21" t="s">
        <v>34</v>
      </c>
      <c r="E17878" s="21" t="s">
        <v>35</v>
      </c>
      <c r="F17878">
        <v>12850023</v>
      </c>
      <c r="G17878" t="s">
        <v>3121</v>
      </c>
      <c r="H17878" s="21">
        <v>790.17</v>
      </c>
    </row>
    <row r="17879" spans="1:8" customFormat="1" x14ac:dyDescent="0.25">
      <c r="A17879" t="str">
        <f>"6229950"</f>
        <v>6229950</v>
      </c>
      <c r="B17879" t="s">
        <v>15162</v>
      </c>
      <c r="C17879" t="s">
        <v>967</v>
      </c>
      <c r="D17879" s="21" t="s">
        <v>34</v>
      </c>
      <c r="E17879" s="21" t="s">
        <v>71</v>
      </c>
      <c r="F17879">
        <v>7620175</v>
      </c>
      <c r="G17879" t="s">
        <v>15163</v>
      </c>
      <c r="H17879" s="21">
        <v>790.17</v>
      </c>
    </row>
    <row r="17880" spans="1:8" customFormat="1" x14ac:dyDescent="0.25">
      <c r="A17880" t="str">
        <f>"336657"</f>
        <v>336657</v>
      </c>
      <c r="B17880" t="s">
        <v>12855</v>
      </c>
      <c r="C17880" t="s">
        <v>1714</v>
      </c>
      <c r="D17880" s="21" t="s">
        <v>34</v>
      </c>
      <c r="E17880" s="21" t="s">
        <v>1089</v>
      </c>
      <c r="F17880">
        <v>10330086</v>
      </c>
      <c r="G17880" t="s">
        <v>785</v>
      </c>
      <c r="H17880" s="21">
        <v>790.17</v>
      </c>
    </row>
    <row r="17881" spans="1:8" customFormat="1" x14ac:dyDescent="0.25">
      <c r="A17881" t="str">
        <f>"6914158"</f>
        <v>6914158</v>
      </c>
      <c r="B17881" t="s">
        <v>15681</v>
      </c>
      <c r="C17881" t="s">
        <v>1605</v>
      </c>
      <c r="D17881" s="21" t="s">
        <v>34</v>
      </c>
      <c r="E17881" s="21" t="s">
        <v>71</v>
      </c>
      <c r="F17881">
        <v>1690141</v>
      </c>
      <c r="G17881" t="s">
        <v>7448</v>
      </c>
      <c r="H17881" s="21">
        <v>790.17</v>
      </c>
    </row>
    <row r="17882" spans="1:8" customFormat="1" x14ac:dyDescent="0.25">
      <c r="A17882" t="str">
        <f>"2512238"</f>
        <v>2512238</v>
      </c>
      <c r="B17882" t="s">
        <v>1361</v>
      </c>
      <c r="C17882" t="s">
        <v>879</v>
      </c>
      <c r="D17882" s="21" t="s">
        <v>34</v>
      </c>
      <c r="E17882" s="21" t="s">
        <v>71</v>
      </c>
      <c r="F17882">
        <v>2250138</v>
      </c>
      <c r="G17882" t="s">
        <v>4094</v>
      </c>
      <c r="H17882" s="21">
        <v>790.17</v>
      </c>
    </row>
    <row r="17883" spans="1:8" customFormat="1" x14ac:dyDescent="0.25">
      <c r="A17883" t="str">
        <f>"179858"</f>
        <v>179858</v>
      </c>
      <c r="B17883" t="s">
        <v>11251</v>
      </c>
      <c r="C17883" t="s">
        <v>127</v>
      </c>
      <c r="D17883" s="21" t="s">
        <v>34</v>
      </c>
      <c r="E17883" s="21" t="s">
        <v>35</v>
      </c>
      <c r="F17883">
        <v>10170162</v>
      </c>
      <c r="G17883" t="s">
        <v>2817</v>
      </c>
      <c r="H17883" s="21">
        <v>790.17</v>
      </c>
    </row>
    <row r="17884" spans="1:8" customFormat="1" x14ac:dyDescent="0.25">
      <c r="A17884" t="str">
        <f>"1423476"</f>
        <v>1423476</v>
      </c>
      <c r="B17884" t="s">
        <v>15622</v>
      </c>
      <c r="C17884" t="s">
        <v>60</v>
      </c>
      <c r="D17884" s="21" t="s">
        <v>34</v>
      </c>
      <c r="E17884" s="21" t="s">
        <v>35</v>
      </c>
      <c r="F17884">
        <v>9140216</v>
      </c>
      <c r="G17884" t="s">
        <v>11740</v>
      </c>
      <c r="H17884" s="21">
        <v>790.17</v>
      </c>
    </row>
    <row r="17885" spans="1:8" customFormat="1" x14ac:dyDescent="0.25">
      <c r="A17885" t="str">
        <f>"7618532"</f>
        <v>7618532</v>
      </c>
      <c r="B17885" t="s">
        <v>1961</v>
      </c>
      <c r="C17885" t="s">
        <v>65</v>
      </c>
      <c r="D17885" s="21" t="s">
        <v>34</v>
      </c>
      <c r="E17885" s="21" t="s">
        <v>35</v>
      </c>
      <c r="F17885">
        <v>9760311</v>
      </c>
      <c r="G17885" t="s">
        <v>3015</v>
      </c>
      <c r="H17885" s="21">
        <v>790.17</v>
      </c>
    </row>
    <row r="17886" spans="1:8" customFormat="1" x14ac:dyDescent="0.25">
      <c r="A17886" t="str">
        <f>"5975815"</f>
        <v>5975815</v>
      </c>
      <c r="B17886" t="s">
        <v>15602</v>
      </c>
      <c r="C17886" t="s">
        <v>209</v>
      </c>
      <c r="D17886" s="21" t="s">
        <v>34</v>
      </c>
      <c r="E17886" s="21" t="s">
        <v>35</v>
      </c>
      <c r="F17886">
        <v>7590105</v>
      </c>
      <c r="G17886" t="s">
        <v>887</v>
      </c>
      <c r="H17886" s="21">
        <v>790.17</v>
      </c>
    </row>
    <row r="17887" spans="1:8" customFormat="1" x14ac:dyDescent="0.25">
      <c r="A17887" t="str">
        <f>"4914699"</f>
        <v>4914699</v>
      </c>
      <c r="B17887" t="s">
        <v>67</v>
      </c>
      <c r="C17887" t="s">
        <v>598</v>
      </c>
      <c r="D17887" s="21" t="s">
        <v>34</v>
      </c>
      <c r="E17887" s="21" t="s">
        <v>254</v>
      </c>
      <c r="F17887">
        <v>12490080</v>
      </c>
      <c r="G17887" t="s">
        <v>5692</v>
      </c>
      <c r="H17887" s="21">
        <v>790.17</v>
      </c>
    </row>
    <row r="17888" spans="1:8" customFormat="1" x14ac:dyDescent="0.25">
      <c r="A17888" t="str">
        <f>"7831639"</f>
        <v>7831639</v>
      </c>
      <c r="B17888" t="s">
        <v>14449</v>
      </c>
      <c r="C17888" t="s">
        <v>4235</v>
      </c>
      <c r="D17888" s="21" t="s">
        <v>34</v>
      </c>
      <c r="E17888" s="21" t="s">
        <v>254</v>
      </c>
      <c r="F17888">
        <v>8780627</v>
      </c>
      <c r="G17888" t="s">
        <v>6097</v>
      </c>
      <c r="H17888" s="21">
        <v>790.17</v>
      </c>
    </row>
    <row r="17889" spans="1:8" customFormat="1" x14ac:dyDescent="0.25">
      <c r="A17889" t="str">
        <f>"547329"</f>
        <v>547329</v>
      </c>
      <c r="B17889" t="s">
        <v>4662</v>
      </c>
      <c r="C17889" t="s">
        <v>1025</v>
      </c>
      <c r="D17889" s="21" t="s">
        <v>34</v>
      </c>
      <c r="E17889" s="21" t="s">
        <v>71</v>
      </c>
      <c r="F17889">
        <v>6540151</v>
      </c>
      <c r="G17889" t="s">
        <v>12078</v>
      </c>
      <c r="H17889" s="21">
        <v>790.17</v>
      </c>
    </row>
    <row r="17890" spans="1:8" customFormat="1" x14ac:dyDescent="0.25">
      <c r="A17890" t="str">
        <f>"4928572"</f>
        <v>4928572</v>
      </c>
      <c r="B17890" t="s">
        <v>14617</v>
      </c>
      <c r="C17890" t="s">
        <v>498</v>
      </c>
      <c r="D17890" s="21" t="s">
        <v>34</v>
      </c>
      <c r="E17890" s="21" t="s">
        <v>254</v>
      </c>
      <c r="F17890">
        <v>12490124</v>
      </c>
      <c r="G17890" t="s">
        <v>677</v>
      </c>
      <c r="H17890" s="21">
        <v>790.17</v>
      </c>
    </row>
    <row r="17891" spans="1:8" customFormat="1" x14ac:dyDescent="0.25">
      <c r="A17891" t="str">
        <f>"7521604"</f>
        <v>7521604</v>
      </c>
      <c r="B17891" t="s">
        <v>6119</v>
      </c>
      <c r="C17891" t="s">
        <v>608</v>
      </c>
      <c r="D17891" s="21" t="s">
        <v>34</v>
      </c>
      <c r="E17891" s="21" t="s">
        <v>35</v>
      </c>
      <c r="F17891">
        <v>8750141</v>
      </c>
      <c r="G17891" t="s">
        <v>1514</v>
      </c>
      <c r="H17891" s="21">
        <v>790.17</v>
      </c>
    </row>
    <row r="17892" spans="1:8" customFormat="1" x14ac:dyDescent="0.25">
      <c r="A17892" t="str">
        <f>"7634671"</f>
        <v>7634671</v>
      </c>
      <c r="B17892" t="s">
        <v>3848</v>
      </c>
      <c r="C17892" t="s">
        <v>2393</v>
      </c>
      <c r="D17892" s="21" t="s">
        <v>34</v>
      </c>
      <c r="E17892" s="21" t="s">
        <v>35</v>
      </c>
      <c r="F17892">
        <v>9760011</v>
      </c>
      <c r="G17892" t="s">
        <v>2562</v>
      </c>
      <c r="H17892" s="21">
        <v>790.17</v>
      </c>
    </row>
    <row r="17893" spans="1:8" customFormat="1" x14ac:dyDescent="0.25">
      <c r="A17893" t="str">
        <f>"8313380"</f>
        <v>8313380</v>
      </c>
      <c r="B17893" t="s">
        <v>27503</v>
      </c>
      <c r="C17893" t="s">
        <v>169</v>
      </c>
      <c r="D17893" s="21" t="s">
        <v>34</v>
      </c>
      <c r="E17893" s="21" t="s">
        <v>35</v>
      </c>
      <c r="F17893">
        <v>13060043</v>
      </c>
      <c r="G17893" t="s">
        <v>4761</v>
      </c>
      <c r="H17893" s="21">
        <v>790.04</v>
      </c>
    </row>
    <row r="17894" spans="1:8" customFormat="1" x14ac:dyDescent="0.25">
      <c r="A17894" t="str">
        <f>"7639904"</f>
        <v>7639904</v>
      </c>
      <c r="B17894" t="s">
        <v>10770</v>
      </c>
      <c r="C17894" t="s">
        <v>204</v>
      </c>
      <c r="D17894" s="21" t="s">
        <v>34</v>
      </c>
      <c r="E17894" s="21" t="s">
        <v>35</v>
      </c>
      <c r="F17894">
        <v>9760417</v>
      </c>
      <c r="G17894" t="s">
        <v>11996</v>
      </c>
      <c r="H17894" s="21">
        <v>789.92</v>
      </c>
    </row>
    <row r="17895" spans="1:8" customFormat="1" x14ac:dyDescent="0.25">
      <c r="A17895" t="str">
        <f>"8525569"</f>
        <v>8525569</v>
      </c>
      <c r="B17895" t="s">
        <v>2489</v>
      </c>
      <c r="C17895" t="s">
        <v>253</v>
      </c>
      <c r="D17895" s="21" t="s">
        <v>34</v>
      </c>
      <c r="E17895" s="21" t="s">
        <v>35</v>
      </c>
      <c r="F17895">
        <v>12850136</v>
      </c>
      <c r="G17895" t="s">
        <v>2536</v>
      </c>
      <c r="H17895" s="21">
        <v>789.92</v>
      </c>
    </row>
    <row r="17896" spans="1:8" customFormat="1" x14ac:dyDescent="0.25">
      <c r="A17896" t="str">
        <f>"182598"</f>
        <v>182598</v>
      </c>
      <c r="B17896" t="s">
        <v>2854</v>
      </c>
      <c r="C17896" t="s">
        <v>124</v>
      </c>
      <c r="D17896" s="21" t="s">
        <v>34</v>
      </c>
      <c r="E17896" s="21" t="s">
        <v>71</v>
      </c>
      <c r="F17896">
        <v>10330125</v>
      </c>
      <c r="G17896" t="s">
        <v>3753</v>
      </c>
      <c r="H17896" s="21">
        <v>789.92</v>
      </c>
    </row>
    <row r="17897" spans="1:8" customFormat="1" x14ac:dyDescent="0.25">
      <c r="A17897" t="str">
        <f>"9D2206"</f>
        <v>9D2206</v>
      </c>
      <c r="B17897" t="s">
        <v>15676</v>
      </c>
      <c r="C17897" t="s">
        <v>60</v>
      </c>
      <c r="D17897" s="21" t="s">
        <v>34</v>
      </c>
      <c r="E17897" s="21" t="s">
        <v>35</v>
      </c>
      <c r="F17897" t="s">
        <v>1923</v>
      </c>
      <c r="G17897" t="s">
        <v>1924</v>
      </c>
      <c r="H17897" s="21">
        <v>789.92</v>
      </c>
    </row>
    <row r="17898" spans="1:8" customFormat="1" x14ac:dyDescent="0.25">
      <c r="A17898" t="str">
        <f>"7855713"</f>
        <v>7855713</v>
      </c>
      <c r="B17898" t="s">
        <v>108</v>
      </c>
      <c r="C17898" t="s">
        <v>124</v>
      </c>
      <c r="D17898" s="21" t="s">
        <v>34</v>
      </c>
      <c r="E17898" s="21" t="s">
        <v>71</v>
      </c>
      <c r="F17898">
        <v>8780892</v>
      </c>
      <c r="G17898" t="s">
        <v>3021</v>
      </c>
      <c r="H17898" s="21">
        <v>789.92</v>
      </c>
    </row>
    <row r="17899" spans="1:8" customFormat="1" x14ac:dyDescent="0.25">
      <c r="A17899" t="str">
        <f>"9226528"</f>
        <v>9226528</v>
      </c>
      <c r="B17899" t="s">
        <v>5638</v>
      </c>
      <c r="C17899" t="s">
        <v>65</v>
      </c>
      <c r="D17899" s="21" t="s">
        <v>34</v>
      </c>
      <c r="E17899" s="21" t="s">
        <v>35</v>
      </c>
      <c r="F17899">
        <v>8781105</v>
      </c>
      <c r="G17899" t="s">
        <v>27504</v>
      </c>
      <c r="H17899" s="21">
        <v>789.92</v>
      </c>
    </row>
    <row r="17900" spans="1:8" customFormat="1" x14ac:dyDescent="0.25">
      <c r="A17900" t="str">
        <f>"4522543"</f>
        <v>4522543</v>
      </c>
      <c r="B17900" t="s">
        <v>13911</v>
      </c>
      <c r="C17900" t="s">
        <v>1119</v>
      </c>
      <c r="D17900" s="21" t="s">
        <v>34</v>
      </c>
      <c r="E17900" s="21" t="s">
        <v>254</v>
      </c>
      <c r="F17900">
        <v>4450751</v>
      </c>
      <c r="G17900" t="s">
        <v>442</v>
      </c>
      <c r="H17900" s="21">
        <v>789.92</v>
      </c>
    </row>
    <row r="17901" spans="1:8" customFormat="1" x14ac:dyDescent="0.25">
      <c r="A17901" t="str">
        <f>"3528754"</f>
        <v>3528754</v>
      </c>
      <c r="B17901" t="s">
        <v>1180</v>
      </c>
      <c r="C17901" t="s">
        <v>121</v>
      </c>
      <c r="D17901" s="21" t="s">
        <v>34</v>
      </c>
      <c r="E17901" s="21" t="s">
        <v>35</v>
      </c>
      <c r="F17901">
        <v>3350213</v>
      </c>
      <c r="G17901" t="s">
        <v>13671</v>
      </c>
      <c r="H17901" s="21">
        <v>789.67</v>
      </c>
    </row>
    <row r="17902" spans="1:8" customFormat="1" x14ac:dyDescent="0.25">
      <c r="A17902" t="str">
        <f>"7921344"</f>
        <v>7921344</v>
      </c>
      <c r="B17902" t="s">
        <v>5444</v>
      </c>
      <c r="C17902" t="s">
        <v>7429</v>
      </c>
      <c r="D17902" s="21" t="s">
        <v>34</v>
      </c>
      <c r="E17902" s="21" t="s">
        <v>71</v>
      </c>
      <c r="F17902">
        <v>10790071</v>
      </c>
      <c r="G17902" t="s">
        <v>5806</v>
      </c>
      <c r="H17902" s="21">
        <v>789.67</v>
      </c>
    </row>
    <row r="17903" spans="1:8" customFormat="1" x14ac:dyDescent="0.25">
      <c r="A17903" t="str">
        <f>"2514187"</f>
        <v>2514187</v>
      </c>
      <c r="B17903" t="s">
        <v>16601</v>
      </c>
      <c r="C17903" t="s">
        <v>236</v>
      </c>
      <c r="D17903" s="21" t="s">
        <v>34</v>
      </c>
      <c r="E17903" s="21" t="s">
        <v>71</v>
      </c>
      <c r="F17903">
        <v>2250070</v>
      </c>
      <c r="G17903" t="s">
        <v>3923</v>
      </c>
      <c r="H17903" s="21">
        <v>789.67</v>
      </c>
    </row>
    <row r="17904" spans="1:8" customFormat="1" x14ac:dyDescent="0.25">
      <c r="A17904" t="str">
        <f>"6219702"</f>
        <v>6219702</v>
      </c>
      <c r="B17904" t="s">
        <v>9604</v>
      </c>
      <c r="C17904" t="s">
        <v>87</v>
      </c>
      <c r="D17904" s="21" t="s">
        <v>34</v>
      </c>
      <c r="E17904" s="21" t="s">
        <v>35</v>
      </c>
      <c r="F17904">
        <v>7620019</v>
      </c>
      <c r="G17904" t="s">
        <v>723</v>
      </c>
      <c r="H17904" s="21">
        <v>789.67</v>
      </c>
    </row>
    <row r="17905" spans="1:8" customFormat="1" x14ac:dyDescent="0.25">
      <c r="A17905" t="str">
        <f>"3529428"</f>
        <v>3529428</v>
      </c>
      <c r="B17905" t="s">
        <v>12347</v>
      </c>
      <c r="C17905" t="s">
        <v>33</v>
      </c>
      <c r="D17905" s="21" t="s">
        <v>34</v>
      </c>
      <c r="E17905" s="21" t="s">
        <v>71</v>
      </c>
      <c r="F17905">
        <v>3350161</v>
      </c>
      <c r="G17905" t="s">
        <v>1507</v>
      </c>
      <c r="H17905" s="21">
        <v>789.67</v>
      </c>
    </row>
    <row r="17906" spans="1:8" customFormat="1" x14ac:dyDescent="0.25">
      <c r="A17906" t="str">
        <f>"2924553"</f>
        <v>2924553</v>
      </c>
      <c r="B17906" t="s">
        <v>14047</v>
      </c>
      <c r="C17906" t="s">
        <v>8417</v>
      </c>
      <c r="D17906" s="21" t="s">
        <v>34</v>
      </c>
      <c r="E17906" s="21" t="s">
        <v>35</v>
      </c>
      <c r="F17906">
        <v>3290241</v>
      </c>
      <c r="G17906" t="s">
        <v>9595</v>
      </c>
      <c r="H17906" s="21">
        <v>789.67</v>
      </c>
    </row>
    <row r="17907" spans="1:8" customFormat="1" x14ac:dyDescent="0.25">
      <c r="A17907" t="str">
        <f>"3721823"</f>
        <v>3721823</v>
      </c>
      <c r="B17907" t="s">
        <v>1737</v>
      </c>
      <c r="C17907" t="s">
        <v>90</v>
      </c>
      <c r="D17907" s="21" t="s">
        <v>34</v>
      </c>
      <c r="E17907" s="21" t="s">
        <v>35</v>
      </c>
      <c r="F17907">
        <v>4370596</v>
      </c>
      <c r="G17907" t="s">
        <v>9270</v>
      </c>
      <c r="H17907" s="21">
        <v>789.67</v>
      </c>
    </row>
    <row r="17908" spans="1:8" customFormat="1" x14ac:dyDescent="0.25">
      <c r="A17908" t="str">
        <f>"5317366"</f>
        <v>5317366</v>
      </c>
      <c r="B17908" t="s">
        <v>6273</v>
      </c>
      <c r="C17908" t="s">
        <v>82</v>
      </c>
      <c r="D17908" s="21" t="s">
        <v>34</v>
      </c>
      <c r="E17908" s="21" t="s">
        <v>35</v>
      </c>
      <c r="F17908">
        <v>12530121</v>
      </c>
      <c r="G17908" t="s">
        <v>16301</v>
      </c>
      <c r="H17908" s="21">
        <v>789.67</v>
      </c>
    </row>
    <row r="17909" spans="1:8" customFormat="1" x14ac:dyDescent="0.25">
      <c r="A17909" t="str">
        <f>"2921374"</f>
        <v>2921374</v>
      </c>
      <c r="B17909" t="s">
        <v>15219</v>
      </c>
      <c r="C17909" t="s">
        <v>40</v>
      </c>
      <c r="D17909" s="21" t="s">
        <v>34</v>
      </c>
      <c r="E17909" s="21" t="s">
        <v>71</v>
      </c>
      <c r="F17909">
        <v>10190080</v>
      </c>
      <c r="G17909" t="s">
        <v>1726</v>
      </c>
      <c r="H17909" s="21">
        <v>789.67</v>
      </c>
    </row>
    <row r="17910" spans="1:8" customFormat="1" x14ac:dyDescent="0.25">
      <c r="A17910" t="str">
        <f>"535260"</f>
        <v>535260</v>
      </c>
      <c r="B17910" t="s">
        <v>14339</v>
      </c>
      <c r="C17910" t="s">
        <v>2520</v>
      </c>
      <c r="D17910" s="21" t="s">
        <v>34</v>
      </c>
      <c r="E17910" s="21" t="s">
        <v>254</v>
      </c>
      <c r="F17910">
        <v>12530106</v>
      </c>
      <c r="G17910" t="s">
        <v>27079</v>
      </c>
      <c r="H17910" s="21">
        <v>789.67</v>
      </c>
    </row>
    <row r="17911" spans="1:8" customFormat="1" x14ac:dyDescent="0.25">
      <c r="A17911" t="str">
        <f>"08531"</f>
        <v>08531</v>
      </c>
      <c r="B17911" t="s">
        <v>4849</v>
      </c>
      <c r="C17911" t="s">
        <v>130</v>
      </c>
      <c r="D17911" s="21" t="s">
        <v>34</v>
      </c>
      <c r="E17911" s="21" t="s">
        <v>254</v>
      </c>
      <c r="F17911">
        <v>6080044</v>
      </c>
      <c r="G17911" t="s">
        <v>7450</v>
      </c>
      <c r="H17911" s="21">
        <v>789.67</v>
      </c>
    </row>
    <row r="17912" spans="1:8" customFormat="1" x14ac:dyDescent="0.25">
      <c r="A17912" t="str">
        <f>"589333"</f>
        <v>589333</v>
      </c>
      <c r="B17912" t="s">
        <v>15977</v>
      </c>
      <c r="C17912" t="s">
        <v>87</v>
      </c>
      <c r="D17912" s="21" t="s">
        <v>34</v>
      </c>
      <c r="E17912" s="21" t="s">
        <v>35</v>
      </c>
      <c r="F17912">
        <v>2580035</v>
      </c>
      <c r="G17912" t="s">
        <v>5991</v>
      </c>
      <c r="H17912" s="21">
        <v>789.67</v>
      </c>
    </row>
    <row r="17913" spans="1:8" customFormat="1" x14ac:dyDescent="0.25">
      <c r="A17913" t="str">
        <f>"319868"</f>
        <v>319868</v>
      </c>
      <c r="B17913" t="s">
        <v>14333</v>
      </c>
      <c r="C17913" t="s">
        <v>209</v>
      </c>
      <c r="D17913" s="21" t="s">
        <v>34</v>
      </c>
      <c r="E17913" s="21" t="s">
        <v>71</v>
      </c>
      <c r="F17913">
        <v>11310005</v>
      </c>
      <c r="G17913" t="s">
        <v>6980</v>
      </c>
      <c r="H17913" s="21">
        <v>789.67</v>
      </c>
    </row>
    <row r="17914" spans="1:8" customFormat="1" x14ac:dyDescent="0.25">
      <c r="A17914" t="str">
        <f>"61963"</f>
        <v>61963</v>
      </c>
      <c r="B17914" t="s">
        <v>13814</v>
      </c>
      <c r="C17914" t="s">
        <v>598</v>
      </c>
      <c r="D17914" s="21" t="s">
        <v>34</v>
      </c>
      <c r="E17914" s="21" t="s">
        <v>254</v>
      </c>
      <c r="F17914">
        <v>9610097</v>
      </c>
      <c r="G17914" t="s">
        <v>9432</v>
      </c>
      <c r="H17914" s="21">
        <v>789.67</v>
      </c>
    </row>
    <row r="17915" spans="1:8" customFormat="1" x14ac:dyDescent="0.25">
      <c r="A17915" t="str">
        <f>"292792"</f>
        <v>292792</v>
      </c>
      <c r="B17915" t="s">
        <v>14425</v>
      </c>
      <c r="C17915" t="s">
        <v>3648</v>
      </c>
      <c r="D17915" s="21" t="s">
        <v>34</v>
      </c>
      <c r="E17915" s="21" t="s">
        <v>71</v>
      </c>
      <c r="F17915">
        <v>3290009</v>
      </c>
      <c r="G17915" t="s">
        <v>4358</v>
      </c>
      <c r="H17915" s="21">
        <v>789.67</v>
      </c>
    </row>
    <row r="17916" spans="1:8" customFormat="1" x14ac:dyDescent="0.25">
      <c r="A17916" t="str">
        <f>"533035"</f>
        <v>533035</v>
      </c>
      <c r="B17916" t="s">
        <v>14850</v>
      </c>
      <c r="C17916" t="s">
        <v>1812</v>
      </c>
      <c r="D17916" s="21" t="s">
        <v>34</v>
      </c>
      <c r="E17916" s="21" t="s">
        <v>71</v>
      </c>
      <c r="F17916">
        <v>12530090</v>
      </c>
      <c r="G17916" t="s">
        <v>6132</v>
      </c>
      <c r="H17916" s="21">
        <v>789.67</v>
      </c>
    </row>
    <row r="17917" spans="1:8" customFormat="1" x14ac:dyDescent="0.25">
      <c r="A17917" t="str">
        <f>"18761"</f>
        <v>18761</v>
      </c>
      <c r="B17917" t="s">
        <v>4728</v>
      </c>
      <c r="C17917" t="s">
        <v>233</v>
      </c>
      <c r="D17917" s="21" t="s">
        <v>34</v>
      </c>
      <c r="E17917" s="21" t="s">
        <v>254</v>
      </c>
      <c r="F17917">
        <v>4180621</v>
      </c>
      <c r="G17917" t="s">
        <v>14060</v>
      </c>
      <c r="H17917" s="21">
        <v>789.67</v>
      </c>
    </row>
    <row r="17918" spans="1:8" customFormat="1" x14ac:dyDescent="0.25">
      <c r="A17918" t="str">
        <f>"256351"</f>
        <v>256351</v>
      </c>
      <c r="B17918" t="s">
        <v>1732</v>
      </c>
      <c r="C17918" t="s">
        <v>822</v>
      </c>
      <c r="D17918" s="21" t="s">
        <v>34</v>
      </c>
      <c r="E17918" s="21" t="s">
        <v>1089</v>
      </c>
      <c r="F17918">
        <v>2250205</v>
      </c>
      <c r="G17918" t="s">
        <v>7311</v>
      </c>
      <c r="H17918" s="21">
        <v>789.67</v>
      </c>
    </row>
    <row r="17919" spans="1:8" customFormat="1" x14ac:dyDescent="0.25">
      <c r="A17919" t="str">
        <f>"7214393"</f>
        <v>7214393</v>
      </c>
      <c r="B17919" t="s">
        <v>16034</v>
      </c>
      <c r="C17919" t="s">
        <v>87</v>
      </c>
      <c r="D17919" s="21" t="s">
        <v>34</v>
      </c>
      <c r="E17919" s="21" t="s">
        <v>35</v>
      </c>
      <c r="F17919">
        <v>12720006</v>
      </c>
      <c r="G17919" t="s">
        <v>4022</v>
      </c>
      <c r="H17919" s="21">
        <v>789.67</v>
      </c>
    </row>
    <row r="17920" spans="1:8" customFormat="1" x14ac:dyDescent="0.25">
      <c r="A17920" t="str">
        <f>"9524934"</f>
        <v>9524934</v>
      </c>
      <c r="B17920" t="s">
        <v>15844</v>
      </c>
      <c r="C17920" t="s">
        <v>209</v>
      </c>
      <c r="D17920" s="21" t="s">
        <v>34</v>
      </c>
      <c r="E17920" s="21" t="s">
        <v>71</v>
      </c>
      <c r="F17920">
        <v>9610136</v>
      </c>
      <c r="G17920" t="s">
        <v>6052</v>
      </c>
      <c r="H17920" s="21">
        <v>789.67</v>
      </c>
    </row>
    <row r="17921" spans="1:8" customFormat="1" x14ac:dyDescent="0.25">
      <c r="A17921" t="str">
        <f>"421886"</f>
        <v>421886</v>
      </c>
      <c r="B17921" t="s">
        <v>9176</v>
      </c>
      <c r="C17921" t="s">
        <v>822</v>
      </c>
      <c r="D17921" s="21" t="s">
        <v>34</v>
      </c>
      <c r="E17921" s="21" t="s">
        <v>254</v>
      </c>
      <c r="F17921">
        <v>1420156</v>
      </c>
      <c r="G17921" t="s">
        <v>5635</v>
      </c>
      <c r="H17921" s="21">
        <v>789.67</v>
      </c>
    </row>
    <row r="17922" spans="1:8" customFormat="1" x14ac:dyDescent="0.25">
      <c r="A17922" t="str">
        <f>"3536550"</f>
        <v>3536550</v>
      </c>
      <c r="B17922" t="s">
        <v>10061</v>
      </c>
      <c r="C17922" t="s">
        <v>169</v>
      </c>
      <c r="D17922" s="21" t="s">
        <v>34</v>
      </c>
      <c r="E17922" s="21" t="s">
        <v>71</v>
      </c>
      <c r="F17922">
        <v>3350030</v>
      </c>
      <c r="G17922" t="s">
        <v>4549</v>
      </c>
      <c r="H17922" s="21">
        <v>789.67</v>
      </c>
    </row>
    <row r="17923" spans="1:8" customFormat="1" x14ac:dyDescent="0.25">
      <c r="A17923" t="str">
        <f>"4450640"</f>
        <v>4450640</v>
      </c>
      <c r="B17923" t="s">
        <v>14536</v>
      </c>
      <c r="C17923" t="s">
        <v>2100</v>
      </c>
      <c r="D17923" s="21" t="s">
        <v>34</v>
      </c>
      <c r="E17923" s="21" t="s">
        <v>35</v>
      </c>
      <c r="F17923">
        <v>12440176</v>
      </c>
      <c r="G17923" t="s">
        <v>1020</v>
      </c>
      <c r="H17923" s="21">
        <v>789.67</v>
      </c>
    </row>
    <row r="17924" spans="1:8" customFormat="1" x14ac:dyDescent="0.25">
      <c r="A17924" t="str">
        <f>"8516317"</f>
        <v>8516317</v>
      </c>
      <c r="B17924" t="s">
        <v>15732</v>
      </c>
      <c r="C17924" t="s">
        <v>1597</v>
      </c>
      <c r="D17924" s="21" t="s">
        <v>34</v>
      </c>
      <c r="E17924" s="21" t="s">
        <v>71</v>
      </c>
      <c r="F17924">
        <v>12850108</v>
      </c>
      <c r="G17924" t="s">
        <v>11093</v>
      </c>
      <c r="H17924" s="21">
        <v>789.54</v>
      </c>
    </row>
    <row r="17925" spans="1:8" customFormat="1" x14ac:dyDescent="0.25">
      <c r="A17925" t="str">
        <f>"154016"</f>
        <v>154016</v>
      </c>
      <c r="B17925" t="s">
        <v>18860</v>
      </c>
      <c r="C17925" t="s">
        <v>8726</v>
      </c>
      <c r="D17925" s="21" t="s">
        <v>34</v>
      </c>
      <c r="E17925" s="21" t="s">
        <v>71</v>
      </c>
      <c r="F17925">
        <v>1150306</v>
      </c>
      <c r="G17925" t="s">
        <v>14324</v>
      </c>
      <c r="H17925" s="21">
        <v>789.54</v>
      </c>
    </row>
    <row r="17926" spans="1:8" customFormat="1" x14ac:dyDescent="0.25">
      <c r="A17926" t="str">
        <f>"7846696"</f>
        <v>7846696</v>
      </c>
      <c r="B17926" t="s">
        <v>15562</v>
      </c>
      <c r="C17926" t="s">
        <v>33</v>
      </c>
      <c r="D17926" s="21" t="s">
        <v>34</v>
      </c>
      <c r="E17926" s="21" t="s">
        <v>71</v>
      </c>
      <c r="F17926">
        <v>8920140</v>
      </c>
      <c r="G17926" t="s">
        <v>3762</v>
      </c>
      <c r="H17926" s="21">
        <v>789.54</v>
      </c>
    </row>
    <row r="17927" spans="1:8" customFormat="1" x14ac:dyDescent="0.25">
      <c r="A17927" t="str">
        <f>"535380"</f>
        <v>535380</v>
      </c>
      <c r="B17927" t="s">
        <v>2406</v>
      </c>
      <c r="C17927" t="s">
        <v>4721</v>
      </c>
      <c r="D17927" s="21" t="s">
        <v>34</v>
      </c>
      <c r="E17927" s="21" t="s">
        <v>254</v>
      </c>
      <c r="F17927">
        <v>12530055</v>
      </c>
      <c r="G17927" t="s">
        <v>3814</v>
      </c>
      <c r="H17927" s="21">
        <v>789.5</v>
      </c>
    </row>
    <row r="17928" spans="1:8" customFormat="1" x14ac:dyDescent="0.25">
      <c r="A17928" t="str">
        <f>"675293"</f>
        <v>675293</v>
      </c>
      <c r="B17928" t="s">
        <v>8553</v>
      </c>
      <c r="C17928" t="s">
        <v>415</v>
      </c>
      <c r="D17928" s="21" t="s">
        <v>34</v>
      </c>
      <c r="E17928" s="21" t="s">
        <v>71</v>
      </c>
      <c r="F17928">
        <v>6670107</v>
      </c>
      <c r="G17928" t="s">
        <v>5610</v>
      </c>
      <c r="H17928" s="21">
        <v>789.42</v>
      </c>
    </row>
    <row r="17929" spans="1:8" customFormat="1" x14ac:dyDescent="0.25">
      <c r="A17929" t="str">
        <f>"9138760"</f>
        <v>9138760</v>
      </c>
      <c r="B17929" t="s">
        <v>16391</v>
      </c>
      <c r="C17929" t="s">
        <v>16392</v>
      </c>
      <c r="D17929" s="21" t="s">
        <v>34</v>
      </c>
      <c r="E17929" s="21" t="s">
        <v>71</v>
      </c>
      <c r="F17929">
        <v>8911461</v>
      </c>
      <c r="G17929" t="s">
        <v>6705</v>
      </c>
      <c r="H17929" s="21">
        <v>789.42</v>
      </c>
    </row>
    <row r="17930" spans="1:8" customFormat="1" x14ac:dyDescent="0.25">
      <c r="A17930" t="str">
        <f>"8511183"</f>
        <v>8511183</v>
      </c>
      <c r="B17930" t="s">
        <v>14035</v>
      </c>
      <c r="C17930" t="s">
        <v>124</v>
      </c>
      <c r="D17930" s="21" t="s">
        <v>34</v>
      </c>
      <c r="E17930" s="21" t="s">
        <v>71</v>
      </c>
      <c r="F17930">
        <v>12850033</v>
      </c>
      <c r="G17930" t="s">
        <v>703</v>
      </c>
      <c r="H17930" s="21">
        <v>789.42</v>
      </c>
    </row>
    <row r="17931" spans="1:8" customFormat="1" x14ac:dyDescent="0.25">
      <c r="A17931" t="str">
        <f>"679387"</f>
        <v>679387</v>
      </c>
      <c r="B17931" t="s">
        <v>14100</v>
      </c>
      <c r="C17931" t="s">
        <v>169</v>
      </c>
      <c r="D17931" s="21" t="s">
        <v>34</v>
      </c>
      <c r="E17931" s="21" t="s">
        <v>71</v>
      </c>
      <c r="F17931">
        <v>6670219</v>
      </c>
      <c r="G17931" t="s">
        <v>9361</v>
      </c>
      <c r="H17931" s="21">
        <v>789.42</v>
      </c>
    </row>
    <row r="17932" spans="1:8" customFormat="1" x14ac:dyDescent="0.25">
      <c r="A17932" t="str">
        <f>"86130"</f>
        <v>86130</v>
      </c>
      <c r="B17932" t="s">
        <v>3003</v>
      </c>
      <c r="C17932" t="s">
        <v>236</v>
      </c>
      <c r="D17932" s="21" t="s">
        <v>34</v>
      </c>
      <c r="E17932" s="21" t="s">
        <v>254</v>
      </c>
      <c r="F17932">
        <v>10860006</v>
      </c>
      <c r="G17932" t="s">
        <v>3004</v>
      </c>
      <c r="H17932" s="21">
        <v>789.42</v>
      </c>
    </row>
    <row r="17933" spans="1:8" customFormat="1" x14ac:dyDescent="0.25">
      <c r="A17933" t="str">
        <f>"5019829"</f>
        <v>5019829</v>
      </c>
      <c r="B17933" t="s">
        <v>15132</v>
      </c>
      <c r="C17933" t="s">
        <v>1782</v>
      </c>
      <c r="D17933" s="21" t="s">
        <v>34</v>
      </c>
      <c r="E17933" s="21" t="s">
        <v>35</v>
      </c>
      <c r="F17933">
        <v>9500058</v>
      </c>
      <c r="G17933" t="s">
        <v>1585</v>
      </c>
      <c r="H17933" s="21">
        <v>789.42</v>
      </c>
    </row>
    <row r="17934" spans="1:8" customFormat="1" x14ac:dyDescent="0.25">
      <c r="A17934" t="str">
        <f>"5318327"</f>
        <v>5318327</v>
      </c>
      <c r="B17934" t="s">
        <v>2925</v>
      </c>
      <c r="C17934" t="s">
        <v>428</v>
      </c>
      <c r="D17934" s="21" t="s">
        <v>34</v>
      </c>
      <c r="E17934" s="21" t="s">
        <v>71</v>
      </c>
      <c r="F17934">
        <v>12530093</v>
      </c>
      <c r="G17934" t="s">
        <v>7865</v>
      </c>
      <c r="H17934" s="21">
        <v>789.42</v>
      </c>
    </row>
    <row r="17935" spans="1:8" customFormat="1" x14ac:dyDescent="0.25">
      <c r="A17935" t="str">
        <f>"9129816"</f>
        <v>9129816</v>
      </c>
      <c r="B17935" t="s">
        <v>14370</v>
      </c>
      <c r="C17935" t="s">
        <v>6016</v>
      </c>
      <c r="D17935" s="21" t="s">
        <v>34</v>
      </c>
      <c r="E17935" s="21" t="s">
        <v>71</v>
      </c>
      <c r="F17935">
        <v>8910366</v>
      </c>
      <c r="G17935" t="s">
        <v>14371</v>
      </c>
      <c r="H17935" s="21">
        <v>789.29</v>
      </c>
    </row>
    <row r="17936" spans="1:8" customFormat="1" x14ac:dyDescent="0.25">
      <c r="A17936" t="str">
        <f>"6013701"</f>
        <v>6013701</v>
      </c>
      <c r="B17936" t="s">
        <v>146</v>
      </c>
      <c r="C17936" t="s">
        <v>209</v>
      </c>
      <c r="D17936" s="21" t="s">
        <v>34</v>
      </c>
      <c r="E17936" s="21" t="s">
        <v>35</v>
      </c>
      <c r="F17936">
        <v>7590044</v>
      </c>
      <c r="G17936" t="s">
        <v>2029</v>
      </c>
      <c r="H17936" s="21">
        <v>789.17</v>
      </c>
    </row>
    <row r="17937" spans="1:8" customFormat="1" x14ac:dyDescent="0.25">
      <c r="A17937" t="str">
        <f>"882584"</f>
        <v>882584</v>
      </c>
      <c r="B17937" t="s">
        <v>14813</v>
      </c>
      <c r="C17937" t="s">
        <v>8294</v>
      </c>
      <c r="D17937" s="21" t="s">
        <v>34</v>
      </c>
      <c r="E17937" s="21" t="s">
        <v>6185</v>
      </c>
      <c r="F17937">
        <v>6880071</v>
      </c>
      <c r="G17937" t="s">
        <v>4226</v>
      </c>
      <c r="H17937" s="21">
        <v>789.17</v>
      </c>
    </row>
    <row r="17938" spans="1:8" customFormat="1" x14ac:dyDescent="0.25">
      <c r="A17938" t="str">
        <f>"773578"</f>
        <v>773578</v>
      </c>
      <c r="B17938" t="s">
        <v>4662</v>
      </c>
      <c r="C17938" t="s">
        <v>2904</v>
      </c>
      <c r="D17938" s="21" t="s">
        <v>34</v>
      </c>
      <c r="E17938" s="21" t="s">
        <v>1089</v>
      </c>
      <c r="F17938">
        <v>8770250</v>
      </c>
      <c r="G17938" t="s">
        <v>2595</v>
      </c>
      <c r="H17938" s="21">
        <v>789.17</v>
      </c>
    </row>
    <row r="17939" spans="1:8" customFormat="1" x14ac:dyDescent="0.25">
      <c r="A17939" t="str">
        <f>"3538178"</f>
        <v>3538178</v>
      </c>
      <c r="B17939" t="s">
        <v>27505</v>
      </c>
      <c r="C17939" t="s">
        <v>121</v>
      </c>
      <c r="D17939" s="21" t="s">
        <v>34</v>
      </c>
      <c r="E17939" s="21" t="s">
        <v>71</v>
      </c>
      <c r="F17939">
        <v>3350132</v>
      </c>
      <c r="G17939" t="s">
        <v>17921</v>
      </c>
      <c r="H17939" s="21">
        <v>789.17</v>
      </c>
    </row>
    <row r="17940" spans="1:8" customFormat="1" x14ac:dyDescent="0.25">
      <c r="A17940" t="str">
        <f>"7632693"</f>
        <v>7632693</v>
      </c>
      <c r="B17940" t="s">
        <v>15431</v>
      </c>
      <c r="C17940" t="s">
        <v>119</v>
      </c>
      <c r="D17940" s="21" t="s">
        <v>34</v>
      </c>
      <c r="E17940" s="21" t="s">
        <v>35</v>
      </c>
      <c r="F17940">
        <v>9760297</v>
      </c>
      <c r="G17940" t="s">
        <v>27086</v>
      </c>
      <c r="H17940" s="21">
        <v>789.17</v>
      </c>
    </row>
    <row r="17941" spans="1:8" customFormat="1" x14ac:dyDescent="0.25">
      <c r="A17941" t="str">
        <f>"5971992"</f>
        <v>5971992</v>
      </c>
      <c r="B17941" t="s">
        <v>6279</v>
      </c>
      <c r="C17941" t="s">
        <v>695</v>
      </c>
      <c r="D17941" s="21" t="s">
        <v>34</v>
      </c>
      <c r="E17941" s="21" t="s">
        <v>35</v>
      </c>
      <c r="F17941">
        <v>7590414</v>
      </c>
      <c r="G17941" t="s">
        <v>10056</v>
      </c>
      <c r="H17941" s="21">
        <v>789.17</v>
      </c>
    </row>
    <row r="17942" spans="1:8" customFormat="1" x14ac:dyDescent="0.25">
      <c r="A17942" t="str">
        <f>"66669"</f>
        <v>66669</v>
      </c>
      <c r="B17942" t="s">
        <v>16160</v>
      </c>
      <c r="C17942" t="s">
        <v>285</v>
      </c>
      <c r="D17942" s="21" t="s">
        <v>34</v>
      </c>
      <c r="E17942" s="21" t="s">
        <v>71</v>
      </c>
      <c r="F17942">
        <v>11660008</v>
      </c>
      <c r="G17942" t="s">
        <v>16161</v>
      </c>
      <c r="H17942" s="21">
        <v>789.17</v>
      </c>
    </row>
    <row r="17943" spans="1:8" customFormat="1" x14ac:dyDescent="0.25">
      <c r="A17943" t="str">
        <f>"3729752"</f>
        <v>3729752</v>
      </c>
      <c r="B17943" t="s">
        <v>20030</v>
      </c>
      <c r="C17943" t="s">
        <v>2479</v>
      </c>
      <c r="D17943" s="21" t="s">
        <v>34</v>
      </c>
      <c r="E17943" s="21" t="s">
        <v>71</v>
      </c>
      <c r="F17943">
        <v>4370013</v>
      </c>
      <c r="G17943" t="s">
        <v>7097</v>
      </c>
      <c r="H17943" s="21">
        <v>789.17</v>
      </c>
    </row>
    <row r="17944" spans="1:8" customFormat="1" x14ac:dyDescent="0.25">
      <c r="A17944" t="str">
        <f>"5611619"</f>
        <v>5611619</v>
      </c>
      <c r="B17944" t="s">
        <v>17936</v>
      </c>
      <c r="C17944" t="s">
        <v>43</v>
      </c>
      <c r="D17944" s="21" t="s">
        <v>34</v>
      </c>
      <c r="E17944" s="21" t="s">
        <v>35</v>
      </c>
      <c r="F17944">
        <v>3560057</v>
      </c>
      <c r="G17944" t="s">
        <v>17793</v>
      </c>
      <c r="H17944" s="21">
        <v>789.17</v>
      </c>
    </row>
    <row r="17945" spans="1:8" customFormat="1" x14ac:dyDescent="0.25">
      <c r="A17945" t="str">
        <f>"1311642"</f>
        <v>1311642</v>
      </c>
      <c r="B17945" t="s">
        <v>27506</v>
      </c>
      <c r="C17945" t="s">
        <v>486</v>
      </c>
      <c r="D17945" s="21" t="s">
        <v>34</v>
      </c>
      <c r="E17945" s="21" t="s">
        <v>35</v>
      </c>
      <c r="F17945">
        <v>13130067</v>
      </c>
      <c r="G17945" t="s">
        <v>1420</v>
      </c>
      <c r="H17945" s="21">
        <v>789.17</v>
      </c>
    </row>
    <row r="17946" spans="1:8" customFormat="1" x14ac:dyDescent="0.25">
      <c r="A17946" t="str">
        <f>"3730094"</f>
        <v>3730094</v>
      </c>
      <c r="B17946" t="s">
        <v>27507</v>
      </c>
      <c r="C17946" t="s">
        <v>988</v>
      </c>
      <c r="D17946" s="21" t="s">
        <v>34</v>
      </c>
      <c r="E17946" s="21" t="s">
        <v>35</v>
      </c>
      <c r="F17946">
        <v>4370002</v>
      </c>
      <c r="G17946" t="s">
        <v>112</v>
      </c>
      <c r="H17946" s="21">
        <v>789.17</v>
      </c>
    </row>
    <row r="17947" spans="1:8" customFormat="1" x14ac:dyDescent="0.25">
      <c r="A17947" t="str">
        <f>"5014519"</f>
        <v>5014519</v>
      </c>
      <c r="B17947" t="s">
        <v>13271</v>
      </c>
      <c r="C17947" t="s">
        <v>236</v>
      </c>
      <c r="D17947" s="21" t="s">
        <v>34</v>
      </c>
      <c r="E17947" s="21" t="s">
        <v>71</v>
      </c>
      <c r="F17947">
        <v>9500107</v>
      </c>
      <c r="G17947" t="s">
        <v>9792</v>
      </c>
      <c r="H17947" s="21">
        <v>789.17</v>
      </c>
    </row>
    <row r="17948" spans="1:8" customFormat="1" x14ac:dyDescent="0.25">
      <c r="A17948" t="str">
        <f>"2932634"</f>
        <v>2932634</v>
      </c>
      <c r="B17948" t="s">
        <v>5613</v>
      </c>
      <c r="C17948" t="s">
        <v>209</v>
      </c>
      <c r="D17948" s="21" t="s">
        <v>34</v>
      </c>
      <c r="E17948" s="21" t="s">
        <v>35</v>
      </c>
      <c r="F17948">
        <v>3290228</v>
      </c>
      <c r="G17948" t="s">
        <v>8738</v>
      </c>
      <c r="H17948" s="21">
        <v>789.17</v>
      </c>
    </row>
    <row r="17949" spans="1:8" customFormat="1" x14ac:dyDescent="0.25">
      <c r="A17949" t="str">
        <f>"4933869"</f>
        <v>4933869</v>
      </c>
      <c r="B17949" t="s">
        <v>11915</v>
      </c>
      <c r="C17949" t="s">
        <v>462</v>
      </c>
      <c r="D17949" s="21" t="s">
        <v>34</v>
      </c>
      <c r="E17949" s="21" t="s">
        <v>35</v>
      </c>
      <c r="F17949">
        <v>12490061</v>
      </c>
      <c r="G17949" t="s">
        <v>969</v>
      </c>
      <c r="H17949" s="21">
        <v>789.17</v>
      </c>
    </row>
    <row r="17950" spans="1:8" customFormat="1" x14ac:dyDescent="0.25">
      <c r="A17950" t="str">
        <f>"169762"</f>
        <v>169762</v>
      </c>
      <c r="B17950" t="s">
        <v>16110</v>
      </c>
      <c r="C17950" t="s">
        <v>169</v>
      </c>
      <c r="D17950" s="21" t="s">
        <v>34</v>
      </c>
      <c r="E17950" s="21" t="s">
        <v>71</v>
      </c>
      <c r="F17950">
        <v>10160185</v>
      </c>
      <c r="G17950" t="s">
        <v>2035</v>
      </c>
      <c r="H17950" s="21">
        <v>789.17</v>
      </c>
    </row>
    <row r="17951" spans="1:8" customFormat="1" x14ac:dyDescent="0.25">
      <c r="A17951" t="str">
        <f>"662773"</f>
        <v>662773</v>
      </c>
      <c r="B17951" t="s">
        <v>9800</v>
      </c>
      <c r="C17951" t="s">
        <v>239</v>
      </c>
      <c r="D17951" s="21" t="s">
        <v>34</v>
      </c>
      <c r="E17951" s="21" t="s">
        <v>1089</v>
      </c>
      <c r="F17951">
        <v>13040030</v>
      </c>
      <c r="G17951" t="s">
        <v>1903</v>
      </c>
      <c r="H17951" s="21">
        <v>789.17</v>
      </c>
    </row>
    <row r="17952" spans="1:8" customFormat="1" x14ac:dyDescent="0.25">
      <c r="A17952" t="str">
        <f>"7516383"</f>
        <v>7516383</v>
      </c>
      <c r="B17952" t="s">
        <v>15083</v>
      </c>
      <c r="C17952" t="s">
        <v>239</v>
      </c>
      <c r="D17952" s="21" t="s">
        <v>34</v>
      </c>
      <c r="E17952" s="21" t="s">
        <v>71</v>
      </c>
      <c r="F17952">
        <v>8750292</v>
      </c>
      <c r="G17952" t="s">
        <v>9069</v>
      </c>
      <c r="H17952" s="21">
        <v>789.04</v>
      </c>
    </row>
    <row r="17953" spans="1:8" customFormat="1" x14ac:dyDescent="0.25">
      <c r="A17953" t="str">
        <f>"9127655"</f>
        <v>9127655</v>
      </c>
      <c r="B17953" t="s">
        <v>14039</v>
      </c>
      <c r="C17953" t="s">
        <v>1665</v>
      </c>
      <c r="D17953" s="21" t="s">
        <v>34</v>
      </c>
      <c r="E17953" s="21" t="s">
        <v>35</v>
      </c>
      <c r="F17953">
        <v>8910591</v>
      </c>
      <c r="G17953" t="s">
        <v>9841</v>
      </c>
      <c r="H17953" s="21">
        <v>788.92</v>
      </c>
    </row>
    <row r="17954" spans="1:8" customFormat="1" x14ac:dyDescent="0.25">
      <c r="A17954" t="str">
        <f>"0615571"</f>
        <v>0615571</v>
      </c>
      <c r="B17954" t="s">
        <v>6460</v>
      </c>
      <c r="C17954" t="s">
        <v>147</v>
      </c>
      <c r="D17954" s="21" t="s">
        <v>34</v>
      </c>
      <c r="E17954" s="21" t="s">
        <v>35</v>
      </c>
      <c r="F17954">
        <v>13060082</v>
      </c>
      <c r="G17954" t="s">
        <v>11729</v>
      </c>
      <c r="H17954" s="21">
        <v>788.92</v>
      </c>
    </row>
    <row r="17955" spans="1:8" customFormat="1" x14ac:dyDescent="0.25">
      <c r="A17955" t="str">
        <f>"39892"</f>
        <v>39892</v>
      </c>
      <c r="B17955" t="s">
        <v>27508</v>
      </c>
      <c r="C17955" t="s">
        <v>114</v>
      </c>
      <c r="D17955" s="21" t="s">
        <v>34</v>
      </c>
      <c r="E17955" s="21" t="s">
        <v>35</v>
      </c>
      <c r="F17955">
        <v>2210029</v>
      </c>
      <c r="G17955" t="s">
        <v>6983</v>
      </c>
      <c r="H17955" s="21">
        <v>788.67</v>
      </c>
    </row>
    <row r="17956" spans="1:8" customFormat="1" x14ac:dyDescent="0.25">
      <c r="A17956" t="str">
        <f>"2513529"</f>
        <v>2513529</v>
      </c>
      <c r="B17956" t="s">
        <v>2518</v>
      </c>
      <c r="C17956" t="s">
        <v>169</v>
      </c>
      <c r="D17956" s="21" t="s">
        <v>34</v>
      </c>
      <c r="E17956" s="21" t="s">
        <v>35</v>
      </c>
      <c r="F17956">
        <v>2250049</v>
      </c>
      <c r="G17956" t="s">
        <v>9590</v>
      </c>
      <c r="H17956" s="21">
        <v>788.67</v>
      </c>
    </row>
    <row r="17957" spans="1:8" customFormat="1" x14ac:dyDescent="0.25">
      <c r="A17957" t="str">
        <f>"9524471"</f>
        <v>9524471</v>
      </c>
      <c r="B17957" t="s">
        <v>15255</v>
      </c>
      <c r="C17957" t="s">
        <v>130</v>
      </c>
      <c r="D17957" s="21" t="s">
        <v>34</v>
      </c>
      <c r="E17957" s="21" t="s">
        <v>254</v>
      </c>
      <c r="F17957">
        <v>8950330</v>
      </c>
      <c r="G17957" t="s">
        <v>794</v>
      </c>
      <c r="H17957" s="21">
        <v>788.67</v>
      </c>
    </row>
    <row r="17958" spans="1:8" customFormat="1" x14ac:dyDescent="0.25">
      <c r="A17958" t="str">
        <f>"455764"</f>
        <v>455764</v>
      </c>
      <c r="B17958" t="s">
        <v>16210</v>
      </c>
      <c r="C17958" t="s">
        <v>130</v>
      </c>
      <c r="D17958" s="21" t="s">
        <v>34</v>
      </c>
      <c r="E17958" s="21" t="s">
        <v>35</v>
      </c>
      <c r="F17958">
        <v>13060066</v>
      </c>
      <c r="G17958" t="s">
        <v>2556</v>
      </c>
      <c r="H17958" s="21">
        <v>788.67</v>
      </c>
    </row>
    <row r="17959" spans="1:8" customFormat="1" x14ac:dyDescent="0.25">
      <c r="A17959" t="str">
        <f>"8519770"</f>
        <v>8519770</v>
      </c>
      <c r="B17959" t="s">
        <v>5783</v>
      </c>
      <c r="C17959" t="s">
        <v>87</v>
      </c>
      <c r="D17959" s="21" t="s">
        <v>34</v>
      </c>
      <c r="E17959" s="21" t="s">
        <v>71</v>
      </c>
      <c r="F17959">
        <v>12850109</v>
      </c>
      <c r="G17959" t="s">
        <v>2714</v>
      </c>
      <c r="H17959" s="21">
        <v>788.67</v>
      </c>
    </row>
    <row r="17960" spans="1:8" customFormat="1" x14ac:dyDescent="0.25">
      <c r="A17960" t="str">
        <f>"4434865"</f>
        <v>4434865</v>
      </c>
      <c r="B17960" t="s">
        <v>15312</v>
      </c>
      <c r="C17960" t="s">
        <v>119</v>
      </c>
      <c r="D17960" s="21" t="s">
        <v>34</v>
      </c>
      <c r="E17960" s="21" t="s">
        <v>71</v>
      </c>
      <c r="F17960">
        <v>12440195</v>
      </c>
      <c r="G17960" t="s">
        <v>3117</v>
      </c>
      <c r="H17960" s="21">
        <v>788.67</v>
      </c>
    </row>
    <row r="17961" spans="1:8" customFormat="1" x14ac:dyDescent="0.25">
      <c r="A17961" t="str">
        <f>"6716432"</f>
        <v>6716432</v>
      </c>
      <c r="B17961" t="s">
        <v>814</v>
      </c>
      <c r="C17961" t="s">
        <v>2208</v>
      </c>
      <c r="D17961" s="21" t="s">
        <v>34</v>
      </c>
      <c r="E17961" s="21" t="s">
        <v>35</v>
      </c>
      <c r="F17961">
        <v>6670160</v>
      </c>
      <c r="G17961" t="s">
        <v>908</v>
      </c>
      <c r="H17961" s="21">
        <v>788.67</v>
      </c>
    </row>
    <row r="17962" spans="1:8" customFormat="1" x14ac:dyDescent="0.25">
      <c r="A17962" t="str">
        <f>"5924169"</f>
        <v>5924169</v>
      </c>
      <c r="B17962" t="s">
        <v>13617</v>
      </c>
      <c r="C17962" t="s">
        <v>87</v>
      </c>
      <c r="D17962" s="21" t="s">
        <v>34</v>
      </c>
      <c r="E17962" s="21" t="s">
        <v>71</v>
      </c>
      <c r="F17962">
        <v>7590171</v>
      </c>
      <c r="G17962" t="s">
        <v>4159</v>
      </c>
      <c r="H17962" s="21">
        <v>788.67</v>
      </c>
    </row>
    <row r="17963" spans="1:8" customFormat="1" x14ac:dyDescent="0.25">
      <c r="A17963" t="str">
        <f>"918395"</f>
        <v>918395</v>
      </c>
      <c r="B17963" t="s">
        <v>6725</v>
      </c>
      <c r="C17963" t="s">
        <v>1665</v>
      </c>
      <c r="D17963" s="21" t="s">
        <v>34</v>
      </c>
      <c r="E17963" s="21" t="s">
        <v>1089</v>
      </c>
      <c r="F17963">
        <v>8911456</v>
      </c>
      <c r="G17963" t="s">
        <v>6481</v>
      </c>
      <c r="H17963" s="21">
        <v>788.67</v>
      </c>
    </row>
    <row r="17964" spans="1:8" customFormat="1" x14ac:dyDescent="0.25">
      <c r="A17964" t="str">
        <f>"4417945"</f>
        <v>4417945</v>
      </c>
      <c r="B17964" t="s">
        <v>11518</v>
      </c>
      <c r="C17964" t="s">
        <v>249</v>
      </c>
      <c r="D17964" s="21" t="s">
        <v>34</v>
      </c>
      <c r="E17964" s="21" t="s">
        <v>254</v>
      </c>
      <c r="F17964">
        <v>12440101</v>
      </c>
      <c r="G17964" t="s">
        <v>3482</v>
      </c>
      <c r="H17964" s="21">
        <v>788.67</v>
      </c>
    </row>
    <row r="17965" spans="1:8" customFormat="1" x14ac:dyDescent="0.25">
      <c r="A17965" t="str">
        <f>"252574"</f>
        <v>252574</v>
      </c>
      <c r="B17965" t="s">
        <v>14276</v>
      </c>
      <c r="C17965" t="s">
        <v>40</v>
      </c>
      <c r="D17965" s="21" t="s">
        <v>34</v>
      </c>
      <c r="E17965" s="21" t="s">
        <v>71</v>
      </c>
      <c r="F17965">
        <v>2250193</v>
      </c>
      <c r="G17965" t="s">
        <v>2584</v>
      </c>
      <c r="H17965" s="21">
        <v>788.67</v>
      </c>
    </row>
    <row r="17966" spans="1:8" customFormat="1" x14ac:dyDescent="0.25">
      <c r="A17966" t="str">
        <f>"4259"</f>
        <v>4259</v>
      </c>
      <c r="B17966" t="s">
        <v>9064</v>
      </c>
      <c r="C17966" t="s">
        <v>381</v>
      </c>
      <c r="D17966" s="21" t="s">
        <v>34</v>
      </c>
      <c r="E17966" s="21" t="s">
        <v>71</v>
      </c>
      <c r="F17966">
        <v>1420080</v>
      </c>
      <c r="G17966" t="s">
        <v>10230</v>
      </c>
      <c r="H17966" s="21">
        <v>788.67</v>
      </c>
    </row>
    <row r="17967" spans="1:8" customFormat="1" x14ac:dyDescent="0.25">
      <c r="A17967" t="str">
        <f>"168579"</f>
        <v>168579</v>
      </c>
      <c r="B17967" t="s">
        <v>8922</v>
      </c>
      <c r="C17967" t="s">
        <v>109</v>
      </c>
      <c r="D17967" s="21" t="s">
        <v>34</v>
      </c>
      <c r="E17967" s="21" t="s">
        <v>71</v>
      </c>
      <c r="F17967">
        <v>10160029</v>
      </c>
      <c r="G17967" t="s">
        <v>896</v>
      </c>
      <c r="H17967" s="21">
        <v>788.67</v>
      </c>
    </row>
    <row r="17968" spans="1:8" customFormat="1" x14ac:dyDescent="0.25">
      <c r="A17968" t="str">
        <f>"176436"</f>
        <v>176436</v>
      </c>
      <c r="B17968" t="s">
        <v>15600</v>
      </c>
      <c r="C17968" t="s">
        <v>239</v>
      </c>
      <c r="D17968" s="21" t="s">
        <v>34</v>
      </c>
      <c r="E17968" s="21" t="s">
        <v>71</v>
      </c>
      <c r="F17968">
        <v>10170049</v>
      </c>
      <c r="G17968" t="s">
        <v>15023</v>
      </c>
      <c r="H17968" s="21">
        <v>788.67</v>
      </c>
    </row>
    <row r="17969" spans="1:8" customFormat="1" x14ac:dyDescent="0.25">
      <c r="A17969" t="str">
        <f>"8524098"</f>
        <v>8524098</v>
      </c>
      <c r="B17969" t="s">
        <v>14985</v>
      </c>
      <c r="C17969" t="s">
        <v>412</v>
      </c>
      <c r="D17969" s="21" t="s">
        <v>34</v>
      </c>
      <c r="E17969" s="21" t="s">
        <v>254</v>
      </c>
      <c r="F17969">
        <v>12850148</v>
      </c>
      <c r="G17969" t="s">
        <v>2380</v>
      </c>
      <c r="H17969" s="21">
        <v>788.67</v>
      </c>
    </row>
    <row r="17970" spans="1:8" customFormat="1" x14ac:dyDescent="0.25">
      <c r="A17970" t="str">
        <f>"161178"</f>
        <v>161178</v>
      </c>
      <c r="B17970" t="s">
        <v>14999</v>
      </c>
      <c r="C17970" t="s">
        <v>236</v>
      </c>
      <c r="D17970" s="21" t="s">
        <v>34</v>
      </c>
      <c r="E17970" s="21" t="s">
        <v>1089</v>
      </c>
      <c r="F17970">
        <v>10160002</v>
      </c>
      <c r="G17970" t="s">
        <v>15000</v>
      </c>
      <c r="H17970" s="21">
        <v>788.67</v>
      </c>
    </row>
    <row r="17971" spans="1:8" customFormat="1" x14ac:dyDescent="0.25">
      <c r="A17971" t="str">
        <f>"199839"</f>
        <v>199839</v>
      </c>
      <c r="B17971" t="s">
        <v>2010</v>
      </c>
      <c r="C17971" t="s">
        <v>139</v>
      </c>
      <c r="D17971" s="21" t="s">
        <v>34</v>
      </c>
      <c r="E17971" s="21" t="s">
        <v>35</v>
      </c>
      <c r="F17971">
        <v>10190073</v>
      </c>
      <c r="G17971" t="s">
        <v>2366</v>
      </c>
      <c r="H17971" s="21">
        <v>788.67</v>
      </c>
    </row>
    <row r="17972" spans="1:8" customFormat="1" x14ac:dyDescent="0.25">
      <c r="A17972" t="str">
        <f>"9526920"</f>
        <v>9526920</v>
      </c>
      <c r="B17972" t="s">
        <v>16621</v>
      </c>
      <c r="C17972" t="s">
        <v>2529</v>
      </c>
      <c r="D17972" s="21" t="s">
        <v>34</v>
      </c>
      <c r="E17972" s="21" t="s">
        <v>71</v>
      </c>
      <c r="F17972">
        <v>8951451</v>
      </c>
      <c r="G17972" t="s">
        <v>3909</v>
      </c>
      <c r="H17972" s="21">
        <v>788.67</v>
      </c>
    </row>
    <row r="17973" spans="1:8" customFormat="1" x14ac:dyDescent="0.25">
      <c r="A17973" t="str">
        <f>"8816324"</f>
        <v>8816324</v>
      </c>
      <c r="B17973" t="s">
        <v>14006</v>
      </c>
      <c r="C17973" t="s">
        <v>2734</v>
      </c>
      <c r="D17973" s="21" t="s">
        <v>34</v>
      </c>
      <c r="E17973" s="21" t="s">
        <v>35</v>
      </c>
      <c r="F17973">
        <v>6880140</v>
      </c>
      <c r="G17973" t="s">
        <v>4827</v>
      </c>
      <c r="H17973" s="21">
        <v>788.17</v>
      </c>
    </row>
    <row r="17974" spans="1:8" customFormat="1" x14ac:dyDescent="0.25">
      <c r="A17974" t="str">
        <f>"4428870"</f>
        <v>4428870</v>
      </c>
      <c r="B17974" t="s">
        <v>9964</v>
      </c>
      <c r="C17974" t="s">
        <v>249</v>
      </c>
      <c r="D17974" s="21" t="s">
        <v>34</v>
      </c>
      <c r="E17974" s="21" t="s">
        <v>254</v>
      </c>
      <c r="F17974">
        <v>12440034</v>
      </c>
      <c r="G17974" t="s">
        <v>10586</v>
      </c>
      <c r="H17974" s="21">
        <v>788.17</v>
      </c>
    </row>
    <row r="17975" spans="1:8" customFormat="1" x14ac:dyDescent="0.25">
      <c r="A17975" t="str">
        <f>"143976"</f>
        <v>143976</v>
      </c>
      <c r="B17975" t="s">
        <v>14360</v>
      </c>
      <c r="C17975" t="s">
        <v>1025</v>
      </c>
      <c r="D17975" s="21" t="s">
        <v>34</v>
      </c>
      <c r="E17975" s="21" t="s">
        <v>71</v>
      </c>
      <c r="F17975">
        <v>9140115</v>
      </c>
      <c r="G17975" t="s">
        <v>26590</v>
      </c>
      <c r="H17975" s="21">
        <v>788.17</v>
      </c>
    </row>
    <row r="17976" spans="1:8" customFormat="1" x14ac:dyDescent="0.25">
      <c r="A17976" t="str">
        <f>"9234695"</f>
        <v>9234695</v>
      </c>
      <c r="B17976" t="s">
        <v>14173</v>
      </c>
      <c r="C17976" t="s">
        <v>249</v>
      </c>
      <c r="D17976" s="21" t="s">
        <v>34</v>
      </c>
      <c r="E17976" s="21" t="s">
        <v>71</v>
      </c>
      <c r="F17976">
        <v>8920049</v>
      </c>
      <c r="G17976" t="s">
        <v>237</v>
      </c>
      <c r="H17976" s="21">
        <v>788.17</v>
      </c>
    </row>
    <row r="17977" spans="1:8" customFormat="1" x14ac:dyDescent="0.25">
      <c r="A17977" t="str">
        <f>"6213505"</f>
        <v>6213505</v>
      </c>
      <c r="B17977" t="s">
        <v>14988</v>
      </c>
      <c r="C17977" t="s">
        <v>40</v>
      </c>
      <c r="D17977" s="21" t="s">
        <v>34</v>
      </c>
      <c r="E17977" s="21" t="s">
        <v>254</v>
      </c>
      <c r="F17977">
        <v>7620072</v>
      </c>
      <c r="G17977" t="s">
        <v>2185</v>
      </c>
      <c r="H17977" s="21">
        <v>788.17</v>
      </c>
    </row>
    <row r="17978" spans="1:8" customFormat="1" x14ac:dyDescent="0.25">
      <c r="A17978" t="str">
        <f>"7518854"</f>
        <v>7518854</v>
      </c>
      <c r="B17978" t="s">
        <v>15574</v>
      </c>
      <c r="C17978" t="s">
        <v>49</v>
      </c>
      <c r="D17978" s="21" t="s">
        <v>34</v>
      </c>
      <c r="E17978" s="21" t="s">
        <v>35</v>
      </c>
      <c r="F17978">
        <v>8750120</v>
      </c>
      <c r="G17978" t="s">
        <v>838</v>
      </c>
      <c r="H17978" s="21">
        <v>788.17</v>
      </c>
    </row>
    <row r="17979" spans="1:8" customFormat="1" x14ac:dyDescent="0.25">
      <c r="A17979" t="str">
        <f>"4415498"</f>
        <v>4415498</v>
      </c>
      <c r="B17979" t="s">
        <v>14098</v>
      </c>
      <c r="C17979" t="s">
        <v>812</v>
      </c>
      <c r="D17979" s="21" t="s">
        <v>34</v>
      </c>
      <c r="E17979" s="21" t="s">
        <v>35</v>
      </c>
      <c r="F17979">
        <v>12440117</v>
      </c>
      <c r="G17979" t="s">
        <v>14099</v>
      </c>
      <c r="H17979" s="21">
        <v>788.17</v>
      </c>
    </row>
    <row r="17980" spans="1:8" customFormat="1" x14ac:dyDescent="0.25">
      <c r="A17980" t="str">
        <f>"8018194"</f>
        <v>8018194</v>
      </c>
      <c r="B17980" t="s">
        <v>2690</v>
      </c>
      <c r="C17980" t="s">
        <v>462</v>
      </c>
      <c r="D17980" s="21" t="s">
        <v>34</v>
      </c>
      <c r="E17980" s="21" t="s">
        <v>35</v>
      </c>
      <c r="F17980">
        <v>7800102</v>
      </c>
      <c r="G17980" t="s">
        <v>1148</v>
      </c>
      <c r="H17980" s="21">
        <v>788.17</v>
      </c>
    </row>
    <row r="17981" spans="1:8" customFormat="1" x14ac:dyDescent="0.25">
      <c r="A17981" t="str">
        <f>"367649"</f>
        <v>367649</v>
      </c>
      <c r="B17981" t="s">
        <v>16593</v>
      </c>
      <c r="C17981" t="s">
        <v>656</v>
      </c>
      <c r="D17981" s="21" t="s">
        <v>34</v>
      </c>
      <c r="E17981" s="21" t="s">
        <v>35</v>
      </c>
      <c r="F17981">
        <v>4360315</v>
      </c>
      <c r="G17981" t="s">
        <v>6888</v>
      </c>
      <c r="H17981" s="21">
        <v>788.17</v>
      </c>
    </row>
    <row r="17982" spans="1:8" customFormat="1" x14ac:dyDescent="0.25">
      <c r="A17982" t="str">
        <f>"519112"</f>
        <v>519112</v>
      </c>
      <c r="B17982" t="s">
        <v>15087</v>
      </c>
      <c r="C17982" t="s">
        <v>415</v>
      </c>
      <c r="D17982" s="21" t="s">
        <v>34</v>
      </c>
      <c r="E17982" s="21" t="s">
        <v>1089</v>
      </c>
      <c r="F17982">
        <v>6510008</v>
      </c>
      <c r="G17982" t="s">
        <v>26622</v>
      </c>
      <c r="H17982" s="21">
        <v>788.17</v>
      </c>
    </row>
    <row r="17983" spans="1:8" customFormat="1" x14ac:dyDescent="0.25">
      <c r="A17983" t="str">
        <f>"792814"</f>
        <v>792814</v>
      </c>
      <c r="B17983" t="s">
        <v>15550</v>
      </c>
      <c r="C17983" t="s">
        <v>598</v>
      </c>
      <c r="D17983" s="21" t="s">
        <v>34</v>
      </c>
      <c r="E17983" s="21" t="s">
        <v>254</v>
      </c>
      <c r="F17983">
        <v>10790009</v>
      </c>
      <c r="G17983" t="s">
        <v>1155</v>
      </c>
      <c r="H17983" s="21">
        <v>788.17</v>
      </c>
    </row>
    <row r="17984" spans="1:8" customFormat="1" x14ac:dyDescent="0.25">
      <c r="A17984" t="str">
        <f>"6725928"</f>
        <v>6725928</v>
      </c>
      <c r="B17984" t="s">
        <v>12292</v>
      </c>
      <c r="C17984" t="s">
        <v>6135</v>
      </c>
      <c r="D17984" s="21" t="s">
        <v>34</v>
      </c>
      <c r="E17984" s="21" t="s">
        <v>35</v>
      </c>
      <c r="F17984">
        <v>6670149</v>
      </c>
      <c r="G17984" t="s">
        <v>4404</v>
      </c>
      <c r="H17984" s="21">
        <v>788.17</v>
      </c>
    </row>
    <row r="17985" spans="1:8" customFormat="1" x14ac:dyDescent="0.25">
      <c r="A17985" t="str">
        <f>"9311506"</f>
        <v>9311506</v>
      </c>
      <c r="B17985" t="s">
        <v>27509</v>
      </c>
      <c r="C17985" t="s">
        <v>114</v>
      </c>
      <c r="D17985" s="21" t="s">
        <v>34</v>
      </c>
      <c r="E17985" s="21" t="s">
        <v>71</v>
      </c>
      <c r="F17985">
        <v>11300007</v>
      </c>
      <c r="G17985" t="s">
        <v>361</v>
      </c>
      <c r="H17985" s="21">
        <v>788</v>
      </c>
    </row>
    <row r="17986" spans="1:8" customFormat="1" x14ac:dyDescent="0.25">
      <c r="A17986" t="str">
        <f>"4431092"</f>
        <v>4431092</v>
      </c>
      <c r="B17986" t="s">
        <v>7700</v>
      </c>
      <c r="C17986" t="s">
        <v>239</v>
      </c>
      <c r="D17986" s="21" t="s">
        <v>34</v>
      </c>
      <c r="E17986" s="21" t="s">
        <v>254</v>
      </c>
      <c r="F17986">
        <v>13060064</v>
      </c>
      <c r="G17986" t="s">
        <v>976</v>
      </c>
      <c r="H17986" s="21">
        <v>787.92</v>
      </c>
    </row>
    <row r="17987" spans="1:8" customFormat="1" x14ac:dyDescent="0.25">
      <c r="A17987" t="str">
        <f>"131858"</f>
        <v>131858</v>
      </c>
      <c r="B17987" t="s">
        <v>5031</v>
      </c>
      <c r="C17987" t="s">
        <v>130</v>
      </c>
      <c r="D17987" s="21" t="s">
        <v>34</v>
      </c>
      <c r="E17987" s="21" t="s">
        <v>71</v>
      </c>
      <c r="F17987">
        <v>13130022</v>
      </c>
      <c r="G17987" t="s">
        <v>2666</v>
      </c>
      <c r="H17987" s="21">
        <v>787.92</v>
      </c>
    </row>
    <row r="17988" spans="1:8" customFormat="1" x14ac:dyDescent="0.25">
      <c r="A17988" t="str">
        <f>"9448456"</f>
        <v>9448456</v>
      </c>
      <c r="B17988" t="s">
        <v>13816</v>
      </c>
      <c r="C17988" t="s">
        <v>13817</v>
      </c>
      <c r="D17988" s="21" t="s">
        <v>34</v>
      </c>
      <c r="E17988" s="21" t="s">
        <v>71</v>
      </c>
      <c r="F17988">
        <v>8940976</v>
      </c>
      <c r="G17988" t="s">
        <v>615</v>
      </c>
      <c r="H17988" s="21">
        <v>787.92</v>
      </c>
    </row>
    <row r="17989" spans="1:8" customFormat="1" x14ac:dyDescent="0.25">
      <c r="A17989" t="str">
        <f>"396198"</f>
        <v>396198</v>
      </c>
      <c r="B17989" t="s">
        <v>14736</v>
      </c>
      <c r="C17989" t="s">
        <v>8546</v>
      </c>
      <c r="D17989" s="21" t="s">
        <v>34</v>
      </c>
      <c r="E17989" s="21" t="s">
        <v>35</v>
      </c>
      <c r="F17989">
        <v>2390007</v>
      </c>
      <c r="G17989" t="s">
        <v>3365</v>
      </c>
      <c r="H17989" s="21">
        <v>787.79</v>
      </c>
    </row>
    <row r="17990" spans="1:8" customFormat="1" x14ac:dyDescent="0.25">
      <c r="A17990" t="str">
        <f>"9529995"</f>
        <v>9529995</v>
      </c>
      <c r="B17990" t="s">
        <v>4389</v>
      </c>
      <c r="C17990" t="s">
        <v>187</v>
      </c>
      <c r="D17990" s="21" t="s">
        <v>34</v>
      </c>
      <c r="E17990" s="21" t="s">
        <v>254</v>
      </c>
      <c r="F17990">
        <v>8950917</v>
      </c>
      <c r="G17990" t="s">
        <v>3823</v>
      </c>
      <c r="H17990" s="21">
        <v>787.67</v>
      </c>
    </row>
    <row r="17991" spans="1:8" customFormat="1" x14ac:dyDescent="0.25">
      <c r="A17991" t="str">
        <f>"7632861"</f>
        <v>7632861</v>
      </c>
      <c r="B17991" t="s">
        <v>971</v>
      </c>
      <c r="C17991" t="s">
        <v>664</v>
      </c>
      <c r="D17991" s="21" t="s">
        <v>34</v>
      </c>
      <c r="E17991" s="21" t="s">
        <v>71</v>
      </c>
      <c r="F17991">
        <v>9760127</v>
      </c>
      <c r="G17991" t="s">
        <v>7132</v>
      </c>
      <c r="H17991" s="21">
        <v>787.67</v>
      </c>
    </row>
    <row r="17992" spans="1:8" customFormat="1" x14ac:dyDescent="0.25">
      <c r="A17992" t="str">
        <f>"392352"</f>
        <v>392352</v>
      </c>
      <c r="B17992" t="s">
        <v>3894</v>
      </c>
      <c r="C17992" t="s">
        <v>239</v>
      </c>
      <c r="D17992" s="21" t="s">
        <v>34</v>
      </c>
      <c r="E17992" s="21" t="s">
        <v>254</v>
      </c>
      <c r="F17992">
        <v>2390080</v>
      </c>
      <c r="G17992" t="s">
        <v>15549</v>
      </c>
      <c r="H17992" s="21">
        <v>787.67</v>
      </c>
    </row>
    <row r="17993" spans="1:8" customFormat="1" x14ac:dyDescent="0.25">
      <c r="A17993" t="str">
        <f>"7812805"</f>
        <v>7812805</v>
      </c>
      <c r="B17993" t="s">
        <v>435</v>
      </c>
      <c r="C17993" t="s">
        <v>124</v>
      </c>
      <c r="D17993" s="21" t="s">
        <v>34</v>
      </c>
      <c r="E17993" s="21" t="s">
        <v>71</v>
      </c>
      <c r="F17993">
        <v>8780108</v>
      </c>
      <c r="G17993" t="s">
        <v>4329</v>
      </c>
      <c r="H17993" s="21">
        <v>787.67</v>
      </c>
    </row>
    <row r="17994" spans="1:8" customFormat="1" x14ac:dyDescent="0.25">
      <c r="A17994" t="str">
        <f>"8512683"</f>
        <v>8512683</v>
      </c>
      <c r="B17994" t="s">
        <v>27510</v>
      </c>
      <c r="C17994" t="s">
        <v>1559</v>
      </c>
      <c r="D17994" s="21" t="s">
        <v>34</v>
      </c>
      <c r="E17994" s="21" t="s">
        <v>71</v>
      </c>
      <c r="F17994">
        <v>12850138</v>
      </c>
      <c r="G17994" t="s">
        <v>6879</v>
      </c>
      <c r="H17994" s="21">
        <v>787.67</v>
      </c>
    </row>
    <row r="17995" spans="1:8" customFormat="1" x14ac:dyDescent="0.25">
      <c r="A17995" t="str">
        <f>"675630"</f>
        <v>675630</v>
      </c>
      <c r="B17995" t="s">
        <v>7700</v>
      </c>
      <c r="C17995" t="s">
        <v>1705</v>
      </c>
      <c r="D17995" s="21" t="s">
        <v>34</v>
      </c>
      <c r="E17995" s="21" t="s">
        <v>71</v>
      </c>
      <c r="F17995">
        <v>6670160</v>
      </c>
      <c r="G17995" t="s">
        <v>908</v>
      </c>
      <c r="H17995" s="21">
        <v>787.67</v>
      </c>
    </row>
    <row r="17996" spans="1:8" customFormat="1" x14ac:dyDescent="0.25">
      <c r="A17996" t="str">
        <f>"7518241"</f>
        <v>7518241</v>
      </c>
      <c r="B17996" t="s">
        <v>4611</v>
      </c>
      <c r="C17996" t="s">
        <v>415</v>
      </c>
      <c r="D17996" s="21" t="s">
        <v>34</v>
      </c>
      <c r="E17996" s="21" t="s">
        <v>71</v>
      </c>
      <c r="F17996">
        <v>8751163</v>
      </c>
      <c r="G17996" t="s">
        <v>80</v>
      </c>
      <c r="H17996" s="21">
        <v>787.67</v>
      </c>
    </row>
    <row r="17997" spans="1:8" customFormat="1" x14ac:dyDescent="0.25">
      <c r="A17997" t="str">
        <f>"12455"</f>
        <v>12455</v>
      </c>
      <c r="B17997" t="s">
        <v>7932</v>
      </c>
      <c r="C17997" t="s">
        <v>879</v>
      </c>
      <c r="D17997" s="21" t="s">
        <v>34</v>
      </c>
      <c r="E17997" s="21" t="s">
        <v>254</v>
      </c>
      <c r="F17997">
        <v>11120009</v>
      </c>
      <c r="G17997" t="s">
        <v>3369</v>
      </c>
      <c r="H17997" s="21">
        <v>787.67</v>
      </c>
    </row>
    <row r="17998" spans="1:8" customFormat="1" x14ac:dyDescent="0.25">
      <c r="A17998" t="str">
        <f>"903121"</f>
        <v>903121</v>
      </c>
      <c r="B17998" t="s">
        <v>13037</v>
      </c>
      <c r="C17998" t="s">
        <v>415</v>
      </c>
      <c r="D17998" s="21" t="s">
        <v>34</v>
      </c>
      <c r="E17998" s="21" t="s">
        <v>71</v>
      </c>
      <c r="F17998">
        <v>2900042</v>
      </c>
      <c r="G17998" t="s">
        <v>7866</v>
      </c>
      <c r="H17998" s="21">
        <v>787.67</v>
      </c>
    </row>
    <row r="17999" spans="1:8" customFormat="1" x14ac:dyDescent="0.25">
      <c r="A17999" t="str">
        <f>"60247"</f>
        <v>60247</v>
      </c>
      <c r="B17999" t="s">
        <v>14554</v>
      </c>
      <c r="C17999" t="s">
        <v>40</v>
      </c>
      <c r="D17999" s="21" t="s">
        <v>34</v>
      </c>
      <c r="E17999" s="21" t="s">
        <v>71</v>
      </c>
      <c r="F17999">
        <v>7600008</v>
      </c>
      <c r="G17999" t="s">
        <v>4646</v>
      </c>
      <c r="H17999" s="21">
        <v>787.67</v>
      </c>
    </row>
    <row r="18000" spans="1:8" customFormat="1" x14ac:dyDescent="0.25">
      <c r="A18000" t="str">
        <f>"4111681"</f>
        <v>4111681</v>
      </c>
      <c r="B18000" t="s">
        <v>2084</v>
      </c>
      <c r="C18000" t="s">
        <v>33</v>
      </c>
      <c r="D18000" s="21" t="s">
        <v>34</v>
      </c>
      <c r="E18000" s="21" t="s">
        <v>35</v>
      </c>
      <c r="F18000">
        <v>4410729</v>
      </c>
      <c r="G18000" t="s">
        <v>4427</v>
      </c>
      <c r="H18000" s="21">
        <v>787.67</v>
      </c>
    </row>
    <row r="18001" spans="1:8" customFormat="1" x14ac:dyDescent="0.25">
      <c r="A18001" t="str">
        <f>"5731181"</f>
        <v>5731181</v>
      </c>
      <c r="B18001" t="s">
        <v>22859</v>
      </c>
      <c r="C18001" t="s">
        <v>171</v>
      </c>
      <c r="D18001" s="21" t="s">
        <v>34</v>
      </c>
      <c r="E18001" s="21" t="s">
        <v>35</v>
      </c>
      <c r="F18001">
        <v>6570027</v>
      </c>
      <c r="G18001" t="s">
        <v>395</v>
      </c>
      <c r="H18001" s="21">
        <v>787.67</v>
      </c>
    </row>
    <row r="18002" spans="1:8" customFormat="1" x14ac:dyDescent="0.25">
      <c r="A18002" t="str">
        <f>"257015"</f>
        <v>257015</v>
      </c>
      <c r="B18002" t="s">
        <v>14612</v>
      </c>
      <c r="C18002" t="s">
        <v>415</v>
      </c>
      <c r="D18002" s="21" t="s">
        <v>34</v>
      </c>
      <c r="E18002" s="21" t="s">
        <v>254</v>
      </c>
      <c r="F18002">
        <v>2250229</v>
      </c>
      <c r="G18002" t="s">
        <v>5004</v>
      </c>
      <c r="H18002" s="21">
        <v>787.67</v>
      </c>
    </row>
    <row r="18003" spans="1:8" customFormat="1" x14ac:dyDescent="0.25">
      <c r="A18003" t="str">
        <f>"3815806"</f>
        <v>3815806</v>
      </c>
      <c r="B18003" t="s">
        <v>27511</v>
      </c>
      <c r="C18003" t="s">
        <v>547</v>
      </c>
      <c r="D18003" s="21" t="s">
        <v>34</v>
      </c>
      <c r="E18003" s="21" t="s">
        <v>35</v>
      </c>
      <c r="F18003">
        <v>1420128</v>
      </c>
      <c r="G18003" t="s">
        <v>449</v>
      </c>
      <c r="H18003" s="21">
        <v>787.67</v>
      </c>
    </row>
    <row r="18004" spans="1:8" customFormat="1" x14ac:dyDescent="0.25">
      <c r="A18004" t="str">
        <f>"6944197"</f>
        <v>6944197</v>
      </c>
      <c r="B18004" t="s">
        <v>2360</v>
      </c>
      <c r="C18004" t="s">
        <v>486</v>
      </c>
      <c r="D18004" s="21" t="s">
        <v>34</v>
      </c>
      <c r="E18004" s="21" t="s">
        <v>35</v>
      </c>
      <c r="F18004">
        <v>1690058</v>
      </c>
      <c r="G18004" t="s">
        <v>1644</v>
      </c>
      <c r="H18004" s="21">
        <v>787.67</v>
      </c>
    </row>
    <row r="18005" spans="1:8" customFormat="1" x14ac:dyDescent="0.25">
      <c r="A18005" t="str">
        <f>"5942477"</f>
        <v>5942477</v>
      </c>
      <c r="B18005" t="s">
        <v>16079</v>
      </c>
      <c r="C18005" t="s">
        <v>269</v>
      </c>
      <c r="D18005" s="21" t="s">
        <v>34</v>
      </c>
      <c r="E18005" s="21" t="s">
        <v>71</v>
      </c>
      <c r="F18005">
        <v>7590087</v>
      </c>
      <c r="G18005" t="s">
        <v>2112</v>
      </c>
      <c r="H18005" s="21">
        <v>787.67</v>
      </c>
    </row>
    <row r="18006" spans="1:8" customFormat="1" x14ac:dyDescent="0.25">
      <c r="A18006" t="str">
        <f>"0616640"</f>
        <v>0616640</v>
      </c>
      <c r="B18006" t="s">
        <v>17757</v>
      </c>
      <c r="C18006" t="s">
        <v>288</v>
      </c>
      <c r="D18006" s="21" t="s">
        <v>34</v>
      </c>
      <c r="E18006" s="21" t="s">
        <v>71</v>
      </c>
      <c r="F18006">
        <v>13060114</v>
      </c>
      <c r="G18006" t="s">
        <v>4501</v>
      </c>
      <c r="H18006" s="21">
        <v>787.54</v>
      </c>
    </row>
    <row r="18007" spans="1:8" customFormat="1" x14ac:dyDescent="0.25">
      <c r="A18007" t="str">
        <f>"8520341"</f>
        <v>8520341</v>
      </c>
      <c r="B18007" t="s">
        <v>16723</v>
      </c>
      <c r="C18007" t="s">
        <v>62</v>
      </c>
      <c r="D18007" s="21" t="s">
        <v>34</v>
      </c>
      <c r="E18007" s="21" t="s">
        <v>35</v>
      </c>
      <c r="F18007">
        <v>12850060</v>
      </c>
      <c r="G18007" t="s">
        <v>2783</v>
      </c>
      <c r="H18007" s="21">
        <v>787.42</v>
      </c>
    </row>
    <row r="18008" spans="1:8" customFormat="1" x14ac:dyDescent="0.25">
      <c r="A18008" t="str">
        <f>"373403"</f>
        <v>373403</v>
      </c>
      <c r="B18008" t="s">
        <v>16563</v>
      </c>
      <c r="C18008" t="s">
        <v>40</v>
      </c>
      <c r="D18008" s="21" t="s">
        <v>34</v>
      </c>
      <c r="E18008" s="21" t="s">
        <v>71</v>
      </c>
      <c r="F18008">
        <v>4370030</v>
      </c>
      <c r="G18008" t="s">
        <v>14081</v>
      </c>
      <c r="H18008" s="21">
        <v>787.42</v>
      </c>
    </row>
    <row r="18009" spans="1:8" customFormat="1" x14ac:dyDescent="0.25">
      <c r="A18009" t="str">
        <f>"822957"</f>
        <v>822957</v>
      </c>
      <c r="B18009" t="s">
        <v>15107</v>
      </c>
      <c r="C18009" t="s">
        <v>130</v>
      </c>
      <c r="D18009" s="21" t="s">
        <v>34</v>
      </c>
      <c r="E18009" s="21" t="s">
        <v>71</v>
      </c>
      <c r="F18009">
        <v>11820007</v>
      </c>
      <c r="G18009" t="s">
        <v>532</v>
      </c>
      <c r="H18009" s="21">
        <v>787.42</v>
      </c>
    </row>
    <row r="18010" spans="1:8" customFormat="1" x14ac:dyDescent="0.25">
      <c r="A18010" t="str">
        <f>"6111942"</f>
        <v>6111942</v>
      </c>
      <c r="B18010" t="s">
        <v>5452</v>
      </c>
      <c r="C18010" t="s">
        <v>285</v>
      </c>
      <c r="D18010" s="21" t="s">
        <v>34</v>
      </c>
      <c r="E18010" s="21" t="s">
        <v>35</v>
      </c>
      <c r="F18010">
        <v>9140007</v>
      </c>
      <c r="G18010" t="s">
        <v>434</v>
      </c>
      <c r="H18010" s="21">
        <v>787.29</v>
      </c>
    </row>
    <row r="18011" spans="1:8" customFormat="1" x14ac:dyDescent="0.25">
      <c r="A18011" t="str">
        <f>"571682"</f>
        <v>571682</v>
      </c>
      <c r="B18011" t="s">
        <v>14405</v>
      </c>
      <c r="C18011" t="s">
        <v>379</v>
      </c>
      <c r="D18011" s="21" t="s">
        <v>34</v>
      </c>
      <c r="E18011" s="21" t="s">
        <v>254</v>
      </c>
      <c r="F18011">
        <v>10470005</v>
      </c>
      <c r="G18011" t="s">
        <v>4216</v>
      </c>
      <c r="H18011" s="21">
        <v>787.17</v>
      </c>
    </row>
    <row r="18012" spans="1:8" customFormat="1" x14ac:dyDescent="0.25">
      <c r="A18012" t="str">
        <f>"6213451"</f>
        <v>6213451</v>
      </c>
      <c r="B18012" t="s">
        <v>19922</v>
      </c>
      <c r="C18012" t="s">
        <v>98</v>
      </c>
      <c r="D18012" s="21" t="s">
        <v>34</v>
      </c>
      <c r="E18012" s="21" t="s">
        <v>35</v>
      </c>
      <c r="F18012">
        <v>7620064</v>
      </c>
      <c r="G18012" t="s">
        <v>2266</v>
      </c>
      <c r="H18012" s="21">
        <v>787.17</v>
      </c>
    </row>
    <row r="18013" spans="1:8" customFormat="1" x14ac:dyDescent="0.25">
      <c r="A18013" t="str">
        <f>"417349"</f>
        <v>417349</v>
      </c>
      <c r="B18013" t="s">
        <v>14213</v>
      </c>
      <c r="C18013" t="s">
        <v>415</v>
      </c>
      <c r="D18013" s="21" t="s">
        <v>34</v>
      </c>
      <c r="E18013" s="21" t="s">
        <v>254</v>
      </c>
      <c r="F18013">
        <v>4450706</v>
      </c>
      <c r="G18013" t="s">
        <v>4482</v>
      </c>
      <c r="H18013" s="21">
        <v>787.17</v>
      </c>
    </row>
    <row r="18014" spans="1:8" customFormat="1" x14ac:dyDescent="0.25">
      <c r="A18014" t="str">
        <f>"418571"</f>
        <v>418571</v>
      </c>
      <c r="B18014" t="s">
        <v>12993</v>
      </c>
      <c r="C18014" t="s">
        <v>1714</v>
      </c>
      <c r="D18014" s="21" t="s">
        <v>34</v>
      </c>
      <c r="E18014" s="21" t="s">
        <v>35</v>
      </c>
      <c r="F18014">
        <v>4410586</v>
      </c>
      <c r="G18014" t="s">
        <v>7672</v>
      </c>
      <c r="H18014" s="21">
        <v>787.17</v>
      </c>
    </row>
    <row r="18015" spans="1:8" customFormat="1" x14ac:dyDescent="0.25">
      <c r="A18015" t="str">
        <f>"615361"</f>
        <v>615361</v>
      </c>
      <c r="B18015" t="s">
        <v>15239</v>
      </c>
      <c r="C18015" t="s">
        <v>151</v>
      </c>
      <c r="D18015" s="21" t="s">
        <v>34</v>
      </c>
      <c r="E18015" s="21" t="s">
        <v>254</v>
      </c>
      <c r="F18015">
        <v>9610034</v>
      </c>
      <c r="G18015" t="s">
        <v>11021</v>
      </c>
      <c r="H18015" s="21">
        <v>787.17</v>
      </c>
    </row>
    <row r="18016" spans="1:8" customFormat="1" x14ac:dyDescent="0.25">
      <c r="A18016" t="str">
        <f>"5949786"</f>
        <v>5949786</v>
      </c>
      <c r="B18016" t="s">
        <v>15727</v>
      </c>
      <c r="C18016" t="s">
        <v>1061</v>
      </c>
      <c r="D18016" s="21" t="s">
        <v>34</v>
      </c>
      <c r="E18016" s="21" t="s">
        <v>254</v>
      </c>
      <c r="F18016">
        <v>7590049</v>
      </c>
      <c r="G18016" t="s">
        <v>11040</v>
      </c>
      <c r="H18016" s="21">
        <v>787.17</v>
      </c>
    </row>
    <row r="18017" spans="1:8" customFormat="1" x14ac:dyDescent="0.25">
      <c r="A18017" t="str">
        <f>"835604"</f>
        <v>835604</v>
      </c>
      <c r="B18017" t="s">
        <v>9875</v>
      </c>
      <c r="C18017" t="s">
        <v>55</v>
      </c>
      <c r="D18017" s="21" t="s">
        <v>34</v>
      </c>
      <c r="E18017" s="21" t="s">
        <v>71</v>
      </c>
      <c r="F18017">
        <v>13830013</v>
      </c>
      <c r="G18017" t="s">
        <v>3374</v>
      </c>
      <c r="H18017" s="21">
        <v>787.17</v>
      </c>
    </row>
    <row r="18018" spans="1:8" customFormat="1" x14ac:dyDescent="0.25">
      <c r="A18018" t="str">
        <f>"3516111"</f>
        <v>3516111</v>
      </c>
      <c r="B18018" t="s">
        <v>4636</v>
      </c>
      <c r="C18018" t="s">
        <v>267</v>
      </c>
      <c r="D18018" s="21" t="s">
        <v>34</v>
      </c>
      <c r="E18018" s="21" t="s">
        <v>71</v>
      </c>
      <c r="F18018">
        <v>3350066</v>
      </c>
      <c r="G18018" t="s">
        <v>10650</v>
      </c>
      <c r="H18018" s="21">
        <v>787.17</v>
      </c>
    </row>
    <row r="18019" spans="1:8" customFormat="1" x14ac:dyDescent="0.25">
      <c r="A18019" t="str">
        <f>"6913136"</f>
        <v>6913136</v>
      </c>
      <c r="B18019" t="s">
        <v>15068</v>
      </c>
      <c r="C18019" t="s">
        <v>14011</v>
      </c>
      <c r="D18019" s="21" t="s">
        <v>34</v>
      </c>
      <c r="E18019" s="21" t="s">
        <v>254</v>
      </c>
      <c r="F18019">
        <v>1420165</v>
      </c>
      <c r="G18019" t="s">
        <v>27111</v>
      </c>
      <c r="H18019" s="21">
        <v>787.17</v>
      </c>
    </row>
    <row r="18020" spans="1:8" customFormat="1" x14ac:dyDescent="0.25">
      <c r="A18020" t="str">
        <f>"7716057"</f>
        <v>7716057</v>
      </c>
      <c r="B18020" t="s">
        <v>15901</v>
      </c>
      <c r="C18020" t="s">
        <v>328</v>
      </c>
      <c r="D18020" s="21" t="s">
        <v>34</v>
      </c>
      <c r="E18020" s="21" t="s">
        <v>71</v>
      </c>
      <c r="F18020">
        <v>4450773</v>
      </c>
      <c r="G18020" t="s">
        <v>26903</v>
      </c>
      <c r="H18020" s="21">
        <v>787.17</v>
      </c>
    </row>
    <row r="18021" spans="1:8" customFormat="1" x14ac:dyDescent="0.25">
      <c r="A18021" t="str">
        <f>"197541"</f>
        <v>197541</v>
      </c>
      <c r="B18021" t="s">
        <v>15484</v>
      </c>
      <c r="C18021" t="s">
        <v>124</v>
      </c>
      <c r="D18021" s="21" t="s">
        <v>34</v>
      </c>
      <c r="E18021" s="21" t="s">
        <v>35</v>
      </c>
      <c r="F18021">
        <v>10190054</v>
      </c>
      <c r="G18021" t="s">
        <v>4189</v>
      </c>
      <c r="H18021" s="21">
        <v>787.17</v>
      </c>
    </row>
    <row r="18022" spans="1:8" customFormat="1" x14ac:dyDescent="0.25">
      <c r="A18022" t="str">
        <f>"278980"</f>
        <v>278980</v>
      </c>
      <c r="B18022" t="s">
        <v>14471</v>
      </c>
      <c r="C18022" t="s">
        <v>202</v>
      </c>
      <c r="D18022" s="21" t="s">
        <v>34</v>
      </c>
      <c r="E18022" s="21" t="s">
        <v>71</v>
      </c>
      <c r="F18022">
        <v>9270181</v>
      </c>
      <c r="G18022" t="s">
        <v>2952</v>
      </c>
      <c r="H18022" s="21">
        <v>787.17</v>
      </c>
    </row>
    <row r="18023" spans="1:8" customFormat="1" x14ac:dyDescent="0.25">
      <c r="A18023" t="str">
        <f>"4520756"</f>
        <v>4520756</v>
      </c>
      <c r="B18023" t="s">
        <v>5077</v>
      </c>
      <c r="C18023" t="s">
        <v>169</v>
      </c>
      <c r="D18023" s="21" t="s">
        <v>34</v>
      </c>
      <c r="E18023" s="21" t="s">
        <v>35</v>
      </c>
      <c r="F18023">
        <v>4450773</v>
      </c>
      <c r="G18023" t="s">
        <v>26903</v>
      </c>
      <c r="H18023" s="21">
        <v>786.92</v>
      </c>
    </row>
    <row r="18024" spans="1:8" customFormat="1" x14ac:dyDescent="0.25">
      <c r="A18024" t="str">
        <f>"3319971"</f>
        <v>3319971</v>
      </c>
      <c r="B18024" t="s">
        <v>15111</v>
      </c>
      <c r="C18024" t="s">
        <v>1812</v>
      </c>
      <c r="D18024" s="21" t="s">
        <v>34</v>
      </c>
      <c r="E18024" s="21" t="s">
        <v>71</v>
      </c>
      <c r="F18024">
        <v>10330018</v>
      </c>
      <c r="G18024" t="s">
        <v>15112</v>
      </c>
      <c r="H18024" s="21">
        <v>786.79</v>
      </c>
    </row>
    <row r="18025" spans="1:8" customFormat="1" x14ac:dyDescent="0.25">
      <c r="A18025" t="str">
        <f>"9443103"</f>
        <v>9443103</v>
      </c>
      <c r="B18025" t="s">
        <v>7670</v>
      </c>
      <c r="C18025" t="s">
        <v>55</v>
      </c>
      <c r="D18025" s="21" t="s">
        <v>34</v>
      </c>
      <c r="E18025" s="21" t="s">
        <v>71</v>
      </c>
      <c r="F18025">
        <v>8940052</v>
      </c>
      <c r="G18025" t="s">
        <v>190</v>
      </c>
      <c r="H18025" s="21">
        <v>786.79</v>
      </c>
    </row>
    <row r="18026" spans="1:8" customFormat="1" x14ac:dyDescent="0.25">
      <c r="A18026" t="str">
        <f>"1417300"</f>
        <v>1417300</v>
      </c>
      <c r="B18026" t="s">
        <v>14596</v>
      </c>
      <c r="C18026" t="s">
        <v>13448</v>
      </c>
      <c r="D18026" s="21" t="s">
        <v>34</v>
      </c>
      <c r="E18026" s="21" t="s">
        <v>35</v>
      </c>
      <c r="F18026">
        <v>9140060</v>
      </c>
      <c r="G18026" t="s">
        <v>5773</v>
      </c>
      <c r="H18026" s="21">
        <v>786.67</v>
      </c>
    </row>
    <row r="18027" spans="1:8" customFormat="1" x14ac:dyDescent="0.25">
      <c r="A18027" t="str">
        <f>"5323604"</f>
        <v>5323604</v>
      </c>
      <c r="B18027" t="s">
        <v>15954</v>
      </c>
      <c r="C18027" t="s">
        <v>87</v>
      </c>
      <c r="D18027" s="21" t="s">
        <v>34</v>
      </c>
      <c r="E18027" s="21" t="s">
        <v>71</v>
      </c>
      <c r="F18027">
        <v>12530061</v>
      </c>
      <c r="G18027" t="s">
        <v>9463</v>
      </c>
      <c r="H18027" s="21">
        <v>786.67</v>
      </c>
    </row>
    <row r="18028" spans="1:8" customFormat="1" x14ac:dyDescent="0.25">
      <c r="A18028" t="str">
        <f>"9213615"</f>
        <v>9213615</v>
      </c>
      <c r="B18028" t="s">
        <v>4480</v>
      </c>
      <c r="C18028" t="s">
        <v>169</v>
      </c>
      <c r="D18028" s="21" t="s">
        <v>34</v>
      </c>
      <c r="E18028" s="21" t="s">
        <v>71</v>
      </c>
      <c r="F18028">
        <v>8921458</v>
      </c>
      <c r="G18028" t="s">
        <v>162</v>
      </c>
      <c r="H18028" s="21">
        <v>786.67</v>
      </c>
    </row>
    <row r="18029" spans="1:8" customFormat="1" x14ac:dyDescent="0.25">
      <c r="A18029" t="str">
        <f>"5322984"</f>
        <v>5322984</v>
      </c>
      <c r="B18029" t="s">
        <v>14416</v>
      </c>
      <c r="C18029" t="s">
        <v>926</v>
      </c>
      <c r="D18029" s="21" t="s">
        <v>34</v>
      </c>
      <c r="E18029" s="21" t="s">
        <v>35</v>
      </c>
      <c r="F18029">
        <v>12530120</v>
      </c>
      <c r="G18029" t="s">
        <v>26791</v>
      </c>
      <c r="H18029" s="21">
        <v>786.67</v>
      </c>
    </row>
    <row r="18030" spans="1:8" customFormat="1" x14ac:dyDescent="0.25">
      <c r="A18030" t="str">
        <f>"38232"</f>
        <v>38232</v>
      </c>
      <c r="B18030" t="s">
        <v>14628</v>
      </c>
      <c r="C18030" t="s">
        <v>415</v>
      </c>
      <c r="D18030" s="21" t="s">
        <v>34</v>
      </c>
      <c r="E18030" s="21" t="s">
        <v>71</v>
      </c>
      <c r="F18030">
        <v>1380028</v>
      </c>
      <c r="G18030" t="s">
        <v>374</v>
      </c>
      <c r="H18030" s="21">
        <v>786.67</v>
      </c>
    </row>
    <row r="18031" spans="1:8" customFormat="1" x14ac:dyDescent="0.25">
      <c r="A18031" t="str">
        <f>"665936"</f>
        <v>665936</v>
      </c>
      <c r="B18031" t="s">
        <v>1907</v>
      </c>
      <c r="C18031" t="s">
        <v>114</v>
      </c>
      <c r="D18031" s="21" t="s">
        <v>34</v>
      </c>
      <c r="E18031" s="21" t="s">
        <v>254</v>
      </c>
      <c r="F18031">
        <v>11660020</v>
      </c>
      <c r="G18031" t="s">
        <v>10247</v>
      </c>
      <c r="H18031" s="21">
        <v>786.67</v>
      </c>
    </row>
    <row r="18032" spans="1:8" customFormat="1" x14ac:dyDescent="0.25">
      <c r="A18032" t="str">
        <f>"955340"</f>
        <v>955340</v>
      </c>
      <c r="B18032" t="s">
        <v>13387</v>
      </c>
      <c r="C18032" t="s">
        <v>198</v>
      </c>
      <c r="D18032" s="21" t="s">
        <v>34</v>
      </c>
      <c r="E18032" s="21" t="s">
        <v>254</v>
      </c>
      <c r="F18032">
        <v>12490003</v>
      </c>
      <c r="G18032" t="s">
        <v>7348</v>
      </c>
      <c r="H18032" s="21">
        <v>786.67</v>
      </c>
    </row>
    <row r="18033" spans="1:8" customFormat="1" x14ac:dyDescent="0.25">
      <c r="A18033" t="str">
        <f>"59842"</f>
        <v>59842</v>
      </c>
      <c r="B18033" t="s">
        <v>1885</v>
      </c>
      <c r="C18033" t="s">
        <v>124</v>
      </c>
      <c r="D18033" s="21" t="s">
        <v>34</v>
      </c>
      <c r="E18033" s="21" t="s">
        <v>254</v>
      </c>
      <c r="F18033">
        <v>7590044</v>
      </c>
      <c r="G18033" t="s">
        <v>2029</v>
      </c>
      <c r="H18033" s="21">
        <v>786.67</v>
      </c>
    </row>
    <row r="18034" spans="1:8" customFormat="1" x14ac:dyDescent="0.25">
      <c r="A18034" t="str">
        <f>"429"</f>
        <v>429</v>
      </c>
      <c r="B18034" t="s">
        <v>11732</v>
      </c>
      <c r="C18034" t="s">
        <v>5384</v>
      </c>
      <c r="D18034" s="21" t="s">
        <v>34</v>
      </c>
      <c r="E18034" s="21" t="s">
        <v>71</v>
      </c>
      <c r="F18034">
        <v>1420078</v>
      </c>
      <c r="G18034" t="s">
        <v>4287</v>
      </c>
      <c r="H18034" s="21">
        <v>786.67</v>
      </c>
    </row>
    <row r="18035" spans="1:8" customFormat="1" x14ac:dyDescent="0.25">
      <c r="A18035" t="str">
        <f>"7626032"</f>
        <v>7626032</v>
      </c>
      <c r="B18035" t="s">
        <v>14772</v>
      </c>
      <c r="C18035" t="s">
        <v>33</v>
      </c>
      <c r="D18035" s="21" t="s">
        <v>34</v>
      </c>
      <c r="E18035" s="21" t="s">
        <v>71</v>
      </c>
      <c r="F18035">
        <v>9760127</v>
      </c>
      <c r="G18035" t="s">
        <v>7132</v>
      </c>
      <c r="H18035" s="21">
        <v>786.67</v>
      </c>
    </row>
    <row r="18036" spans="1:8" customFormat="1" x14ac:dyDescent="0.25">
      <c r="A18036" t="str">
        <f>"617324"</f>
        <v>617324</v>
      </c>
      <c r="B18036" t="s">
        <v>16183</v>
      </c>
      <c r="C18036" t="s">
        <v>2100</v>
      </c>
      <c r="D18036" s="21" t="s">
        <v>34</v>
      </c>
      <c r="E18036" s="21" t="s">
        <v>254</v>
      </c>
      <c r="F18036">
        <v>3220011</v>
      </c>
      <c r="G18036" t="s">
        <v>27394</v>
      </c>
      <c r="H18036" s="21">
        <v>786.67</v>
      </c>
    </row>
    <row r="18037" spans="1:8" customFormat="1" x14ac:dyDescent="0.25">
      <c r="A18037" t="str">
        <f>"7510827"</f>
        <v>7510827</v>
      </c>
      <c r="B18037" t="s">
        <v>6659</v>
      </c>
      <c r="C18037" t="s">
        <v>1025</v>
      </c>
      <c r="D18037" s="21" t="s">
        <v>34</v>
      </c>
      <c r="E18037" s="21" t="s">
        <v>71</v>
      </c>
      <c r="F18037">
        <v>8751061</v>
      </c>
      <c r="G18037" t="s">
        <v>26628</v>
      </c>
      <c r="H18037" s="21">
        <v>786.67</v>
      </c>
    </row>
    <row r="18038" spans="1:8" customFormat="1" x14ac:dyDescent="0.25">
      <c r="A18038" t="str">
        <f>"3117164"</f>
        <v>3117164</v>
      </c>
      <c r="B18038" t="s">
        <v>6693</v>
      </c>
      <c r="C18038" t="s">
        <v>269</v>
      </c>
      <c r="D18038" s="21" t="s">
        <v>34</v>
      </c>
      <c r="E18038" s="21" t="s">
        <v>35</v>
      </c>
      <c r="F18038">
        <v>11310076</v>
      </c>
      <c r="G18038" t="s">
        <v>5782</v>
      </c>
      <c r="H18038" s="21">
        <v>786.67</v>
      </c>
    </row>
    <row r="18039" spans="1:8" customFormat="1" x14ac:dyDescent="0.25">
      <c r="A18039" t="str">
        <f>"424676"</f>
        <v>424676</v>
      </c>
      <c r="B18039" t="s">
        <v>146</v>
      </c>
      <c r="C18039" t="s">
        <v>169</v>
      </c>
      <c r="D18039" s="21" t="s">
        <v>34</v>
      </c>
      <c r="E18039" s="21" t="s">
        <v>35</v>
      </c>
      <c r="F18039">
        <v>1420110</v>
      </c>
      <c r="G18039" t="s">
        <v>3928</v>
      </c>
      <c r="H18039" s="21">
        <v>786.67</v>
      </c>
    </row>
    <row r="18040" spans="1:8" customFormat="1" x14ac:dyDescent="0.25">
      <c r="A18040" t="str">
        <f>"2924593"</f>
        <v>2924593</v>
      </c>
      <c r="B18040" t="s">
        <v>16369</v>
      </c>
      <c r="C18040" t="s">
        <v>209</v>
      </c>
      <c r="D18040" s="21" t="s">
        <v>34</v>
      </c>
      <c r="E18040" s="21" t="s">
        <v>71</v>
      </c>
      <c r="F18040">
        <v>3290217</v>
      </c>
      <c r="G18040" t="s">
        <v>6770</v>
      </c>
      <c r="H18040" s="21">
        <v>786.67</v>
      </c>
    </row>
    <row r="18041" spans="1:8" customFormat="1" x14ac:dyDescent="0.25">
      <c r="A18041" t="str">
        <f>"9129870"</f>
        <v>9129870</v>
      </c>
      <c r="B18041" t="s">
        <v>14939</v>
      </c>
      <c r="C18041" t="s">
        <v>209</v>
      </c>
      <c r="D18041" s="21" t="s">
        <v>34</v>
      </c>
      <c r="E18041" s="21" t="s">
        <v>71</v>
      </c>
      <c r="F18041">
        <v>8911439</v>
      </c>
      <c r="G18041" t="s">
        <v>3953</v>
      </c>
      <c r="H18041" s="21">
        <v>786.54</v>
      </c>
    </row>
    <row r="18042" spans="1:8" customFormat="1" x14ac:dyDescent="0.25">
      <c r="A18042" t="str">
        <f>"9243737"</f>
        <v>9243737</v>
      </c>
      <c r="B18042" t="s">
        <v>4820</v>
      </c>
      <c r="C18042" t="s">
        <v>121</v>
      </c>
      <c r="D18042" s="21" t="s">
        <v>34</v>
      </c>
      <c r="E18042" s="21" t="s">
        <v>35</v>
      </c>
      <c r="F18042">
        <v>8781105</v>
      </c>
      <c r="G18042" t="s">
        <v>27504</v>
      </c>
      <c r="H18042" s="21">
        <v>786.54</v>
      </c>
    </row>
    <row r="18043" spans="1:8" customFormat="1" x14ac:dyDescent="0.25">
      <c r="A18043" t="str">
        <f>"186714"</f>
        <v>186714</v>
      </c>
      <c r="B18043" t="s">
        <v>14821</v>
      </c>
      <c r="C18043" t="s">
        <v>169</v>
      </c>
      <c r="D18043" s="21" t="s">
        <v>34</v>
      </c>
      <c r="E18043" s="21" t="s">
        <v>35</v>
      </c>
      <c r="F18043">
        <v>4180057</v>
      </c>
      <c r="G18043" t="s">
        <v>9021</v>
      </c>
      <c r="H18043" s="21">
        <v>786.54</v>
      </c>
    </row>
    <row r="18044" spans="1:8" customFormat="1" x14ac:dyDescent="0.25">
      <c r="A18044" t="str">
        <f>"3725661"</f>
        <v>3725661</v>
      </c>
      <c r="B18044" t="s">
        <v>15173</v>
      </c>
      <c r="C18044" t="s">
        <v>109</v>
      </c>
      <c r="D18044" s="21" t="s">
        <v>34</v>
      </c>
      <c r="E18044" s="21" t="s">
        <v>71</v>
      </c>
      <c r="F18044">
        <v>4370549</v>
      </c>
      <c r="G18044" t="s">
        <v>5513</v>
      </c>
      <c r="H18044" s="21">
        <v>786.42</v>
      </c>
    </row>
    <row r="18045" spans="1:8" customFormat="1" x14ac:dyDescent="0.25">
      <c r="A18045" t="str">
        <f>"7638421"</f>
        <v>7638421</v>
      </c>
      <c r="B18045" t="s">
        <v>13218</v>
      </c>
      <c r="C18045" t="s">
        <v>249</v>
      </c>
      <c r="D18045" s="21" t="s">
        <v>34</v>
      </c>
      <c r="E18045" s="21" t="s">
        <v>35</v>
      </c>
      <c r="F18045">
        <v>9760039</v>
      </c>
      <c r="G18045" t="s">
        <v>9501</v>
      </c>
      <c r="H18045" s="21">
        <v>786.42</v>
      </c>
    </row>
    <row r="18046" spans="1:8" customFormat="1" x14ac:dyDescent="0.25">
      <c r="A18046" t="str">
        <f>"7724643"</f>
        <v>7724643</v>
      </c>
      <c r="B18046" t="s">
        <v>14984</v>
      </c>
      <c r="C18046" t="s">
        <v>82</v>
      </c>
      <c r="D18046" s="21" t="s">
        <v>34</v>
      </c>
      <c r="E18046" s="21" t="s">
        <v>35</v>
      </c>
      <c r="F18046">
        <v>8770202</v>
      </c>
      <c r="G18046" t="s">
        <v>1999</v>
      </c>
      <c r="H18046" s="21">
        <v>786.42</v>
      </c>
    </row>
    <row r="18047" spans="1:8" customFormat="1" x14ac:dyDescent="0.25">
      <c r="A18047" t="str">
        <f>"621456"</f>
        <v>621456</v>
      </c>
      <c r="B18047" t="s">
        <v>13625</v>
      </c>
      <c r="C18047" t="s">
        <v>13626</v>
      </c>
      <c r="D18047" s="21" t="s">
        <v>34</v>
      </c>
      <c r="E18047" s="21" t="s">
        <v>1089</v>
      </c>
      <c r="F18047">
        <v>7620067</v>
      </c>
      <c r="G18047" t="s">
        <v>860</v>
      </c>
      <c r="H18047" s="21">
        <v>786.29</v>
      </c>
    </row>
    <row r="18048" spans="1:8" customFormat="1" x14ac:dyDescent="0.25">
      <c r="A18048" t="str">
        <f>"676757"</f>
        <v>676757</v>
      </c>
      <c r="B18048" t="s">
        <v>13318</v>
      </c>
      <c r="C18048" t="s">
        <v>2365</v>
      </c>
      <c r="D18048" s="21" t="s">
        <v>34</v>
      </c>
      <c r="E18048" s="21" t="s">
        <v>71</v>
      </c>
      <c r="F18048">
        <v>6670202</v>
      </c>
      <c r="G18048" t="s">
        <v>605</v>
      </c>
      <c r="H18048" s="21">
        <v>786.29</v>
      </c>
    </row>
    <row r="18049" spans="1:8" customFormat="1" x14ac:dyDescent="0.25">
      <c r="A18049" t="str">
        <f>"4429413"</f>
        <v>4429413</v>
      </c>
      <c r="B18049" t="s">
        <v>5341</v>
      </c>
      <c r="C18049" t="s">
        <v>65</v>
      </c>
      <c r="D18049" s="21" t="s">
        <v>34</v>
      </c>
      <c r="E18049" s="21" t="s">
        <v>35</v>
      </c>
      <c r="F18049">
        <v>12440101</v>
      </c>
      <c r="G18049" t="s">
        <v>3482</v>
      </c>
      <c r="H18049" s="21">
        <v>786.17</v>
      </c>
    </row>
    <row r="18050" spans="1:8" customFormat="1" x14ac:dyDescent="0.25">
      <c r="A18050" t="str">
        <f>"791283"</f>
        <v>791283</v>
      </c>
      <c r="B18050" t="s">
        <v>7693</v>
      </c>
      <c r="C18050" t="s">
        <v>1605</v>
      </c>
      <c r="D18050" s="21" t="s">
        <v>34</v>
      </c>
      <c r="E18050" s="21" t="s">
        <v>1089</v>
      </c>
      <c r="F18050">
        <v>10790235</v>
      </c>
      <c r="G18050" t="s">
        <v>413</v>
      </c>
      <c r="H18050" s="21">
        <v>786.17</v>
      </c>
    </row>
    <row r="18051" spans="1:8" customFormat="1" x14ac:dyDescent="0.25">
      <c r="A18051" t="str">
        <f>"867633"</f>
        <v>867633</v>
      </c>
      <c r="B18051" t="s">
        <v>14735</v>
      </c>
      <c r="C18051" t="s">
        <v>202</v>
      </c>
      <c r="D18051" s="21" t="s">
        <v>34</v>
      </c>
      <c r="E18051" s="21" t="s">
        <v>71</v>
      </c>
      <c r="F18051">
        <v>10860044</v>
      </c>
      <c r="G18051" t="s">
        <v>4984</v>
      </c>
      <c r="H18051" s="21">
        <v>786.17</v>
      </c>
    </row>
    <row r="18052" spans="1:8" customFormat="1" x14ac:dyDescent="0.25">
      <c r="A18052" t="str">
        <f>"167825"</f>
        <v>167825</v>
      </c>
      <c r="B18052" t="s">
        <v>27512</v>
      </c>
      <c r="C18052" t="s">
        <v>639</v>
      </c>
      <c r="D18052" s="21" t="s">
        <v>34</v>
      </c>
      <c r="E18052" s="21" t="s">
        <v>71</v>
      </c>
      <c r="F18052">
        <v>10160010</v>
      </c>
      <c r="G18052" t="s">
        <v>5491</v>
      </c>
      <c r="H18052" s="21">
        <v>786.17</v>
      </c>
    </row>
    <row r="18053" spans="1:8" customFormat="1" x14ac:dyDescent="0.25">
      <c r="A18053" t="str">
        <f>"706910"</f>
        <v>706910</v>
      </c>
      <c r="B18053" t="s">
        <v>15300</v>
      </c>
      <c r="C18053" t="s">
        <v>631</v>
      </c>
      <c r="D18053" s="21" t="s">
        <v>34</v>
      </c>
      <c r="E18053" s="21" t="s">
        <v>35</v>
      </c>
      <c r="F18053">
        <v>2700077</v>
      </c>
      <c r="G18053" t="s">
        <v>9311</v>
      </c>
      <c r="H18053" s="21">
        <v>786.17</v>
      </c>
    </row>
    <row r="18054" spans="1:8" customFormat="1" x14ac:dyDescent="0.25">
      <c r="A18054" t="str">
        <f>"859513"</f>
        <v>859513</v>
      </c>
      <c r="B18054" t="s">
        <v>15904</v>
      </c>
      <c r="C18054" t="s">
        <v>151</v>
      </c>
      <c r="D18054" s="21" t="s">
        <v>34</v>
      </c>
      <c r="E18054" s="21" t="s">
        <v>254</v>
      </c>
      <c r="F18054">
        <v>12850136</v>
      </c>
      <c r="G18054" t="s">
        <v>2536</v>
      </c>
      <c r="H18054" s="21">
        <v>786.17</v>
      </c>
    </row>
    <row r="18055" spans="1:8" customFormat="1" x14ac:dyDescent="0.25">
      <c r="A18055" t="str">
        <f>"5416522"</f>
        <v>5416522</v>
      </c>
      <c r="B18055" t="s">
        <v>7725</v>
      </c>
      <c r="C18055" t="s">
        <v>1588</v>
      </c>
      <c r="D18055" s="21" t="s">
        <v>34</v>
      </c>
      <c r="E18055" s="21" t="s">
        <v>71</v>
      </c>
      <c r="F18055">
        <v>6540040</v>
      </c>
      <c r="G18055" t="s">
        <v>256</v>
      </c>
      <c r="H18055" s="21">
        <v>786.17</v>
      </c>
    </row>
    <row r="18056" spans="1:8" customFormat="1" x14ac:dyDescent="0.25">
      <c r="A18056" t="str">
        <f>"2516615"</f>
        <v>2516615</v>
      </c>
      <c r="B18056" t="s">
        <v>18755</v>
      </c>
      <c r="C18056" t="s">
        <v>209</v>
      </c>
      <c r="D18056" s="21" t="s">
        <v>34</v>
      </c>
      <c r="E18056" s="21" t="s">
        <v>35</v>
      </c>
      <c r="F18056">
        <v>2250204</v>
      </c>
      <c r="G18056" t="s">
        <v>4400</v>
      </c>
      <c r="H18056" s="21">
        <v>786.17</v>
      </c>
    </row>
    <row r="18057" spans="1:8" customFormat="1" x14ac:dyDescent="0.25">
      <c r="A18057" t="str">
        <f>"5715381"</f>
        <v>5715381</v>
      </c>
      <c r="B18057" t="s">
        <v>2210</v>
      </c>
      <c r="C18057" t="s">
        <v>269</v>
      </c>
      <c r="D18057" s="21" t="s">
        <v>34</v>
      </c>
      <c r="E18057" s="21" t="s">
        <v>71</v>
      </c>
      <c r="F18057">
        <v>6570167</v>
      </c>
      <c r="G18057" t="s">
        <v>1174</v>
      </c>
      <c r="H18057" s="21">
        <v>786.17</v>
      </c>
    </row>
    <row r="18058" spans="1:8" customFormat="1" x14ac:dyDescent="0.25">
      <c r="A18058" t="str">
        <f>"791132"</f>
        <v>791132</v>
      </c>
      <c r="B18058" t="s">
        <v>2360</v>
      </c>
      <c r="C18058" t="s">
        <v>1665</v>
      </c>
      <c r="D18058" s="21" t="s">
        <v>34</v>
      </c>
      <c r="E18058" s="21" t="s">
        <v>1089</v>
      </c>
      <c r="F18058">
        <v>10790163</v>
      </c>
      <c r="G18058" t="s">
        <v>2015</v>
      </c>
      <c r="H18058" s="21">
        <v>786.17</v>
      </c>
    </row>
    <row r="18059" spans="1:8" customFormat="1" x14ac:dyDescent="0.25">
      <c r="A18059" t="str">
        <f>"7876323"</f>
        <v>7876323</v>
      </c>
      <c r="B18059" t="s">
        <v>15089</v>
      </c>
      <c r="C18059" t="s">
        <v>323</v>
      </c>
      <c r="D18059" s="21" t="s">
        <v>34</v>
      </c>
      <c r="E18059" s="21" t="s">
        <v>35</v>
      </c>
      <c r="F18059">
        <v>8780485</v>
      </c>
      <c r="G18059" t="s">
        <v>1279</v>
      </c>
      <c r="H18059" s="21">
        <v>786.17</v>
      </c>
    </row>
    <row r="18060" spans="1:8" customFormat="1" x14ac:dyDescent="0.25">
      <c r="A18060" t="str">
        <f>"0810318"</f>
        <v>0810318</v>
      </c>
      <c r="B18060" t="s">
        <v>14412</v>
      </c>
      <c r="C18060" t="s">
        <v>601</v>
      </c>
      <c r="D18060" s="21" t="s">
        <v>34</v>
      </c>
      <c r="E18060" s="21" t="s">
        <v>35</v>
      </c>
      <c r="F18060">
        <v>6080059</v>
      </c>
      <c r="G18060" t="s">
        <v>4242</v>
      </c>
      <c r="H18060" s="21">
        <v>786.17</v>
      </c>
    </row>
    <row r="18061" spans="1:8" customFormat="1" x14ac:dyDescent="0.25">
      <c r="A18061" t="str">
        <f>"2924768"</f>
        <v>2924768</v>
      </c>
      <c r="B18061" t="s">
        <v>14482</v>
      </c>
      <c r="C18061" t="s">
        <v>664</v>
      </c>
      <c r="D18061" s="21" t="s">
        <v>34</v>
      </c>
      <c r="E18061" s="21" t="s">
        <v>71</v>
      </c>
      <c r="F18061">
        <v>3290266</v>
      </c>
      <c r="G18061" t="s">
        <v>1783</v>
      </c>
      <c r="H18061" s="21">
        <v>786.17</v>
      </c>
    </row>
    <row r="18062" spans="1:8" customFormat="1" x14ac:dyDescent="0.25">
      <c r="A18062" t="str">
        <f>"037950"</f>
        <v>037950</v>
      </c>
      <c r="B18062" t="s">
        <v>15720</v>
      </c>
      <c r="C18062" t="s">
        <v>119</v>
      </c>
      <c r="D18062" s="21" t="s">
        <v>34</v>
      </c>
      <c r="E18062" s="21" t="s">
        <v>71</v>
      </c>
      <c r="F18062">
        <v>1030299</v>
      </c>
      <c r="G18062" t="s">
        <v>2631</v>
      </c>
      <c r="H18062" s="21">
        <v>786.17</v>
      </c>
    </row>
    <row r="18063" spans="1:8" customFormat="1" x14ac:dyDescent="0.25">
      <c r="A18063" t="str">
        <f>"5923444"</f>
        <v>5923444</v>
      </c>
      <c r="B18063" t="s">
        <v>1833</v>
      </c>
      <c r="C18063" t="s">
        <v>328</v>
      </c>
      <c r="D18063" s="21" t="s">
        <v>34</v>
      </c>
      <c r="E18063" s="21" t="s">
        <v>71</v>
      </c>
      <c r="F18063">
        <v>7590050</v>
      </c>
      <c r="G18063" t="s">
        <v>473</v>
      </c>
      <c r="H18063" s="21">
        <v>786.17</v>
      </c>
    </row>
    <row r="18064" spans="1:8" customFormat="1" x14ac:dyDescent="0.25">
      <c r="A18064" t="str">
        <f>"1411387"</f>
        <v>1411387</v>
      </c>
      <c r="B18064" t="s">
        <v>8553</v>
      </c>
      <c r="C18064" t="s">
        <v>124</v>
      </c>
      <c r="D18064" s="21" t="s">
        <v>34</v>
      </c>
      <c r="E18064" s="21" t="s">
        <v>71</v>
      </c>
      <c r="F18064">
        <v>9140054</v>
      </c>
      <c r="G18064" t="s">
        <v>3300</v>
      </c>
      <c r="H18064" s="21">
        <v>786.17</v>
      </c>
    </row>
    <row r="18065" spans="1:8" customFormat="1" x14ac:dyDescent="0.25">
      <c r="A18065" t="str">
        <f>"6949004"</f>
        <v>6949004</v>
      </c>
      <c r="B18065" t="s">
        <v>726</v>
      </c>
      <c r="C18065" t="s">
        <v>33</v>
      </c>
      <c r="D18065" s="21" t="s">
        <v>34</v>
      </c>
      <c r="E18065" s="21" t="s">
        <v>35</v>
      </c>
      <c r="F18065">
        <v>1690058</v>
      </c>
      <c r="G18065" t="s">
        <v>1644</v>
      </c>
      <c r="H18065" s="21">
        <v>786.17</v>
      </c>
    </row>
    <row r="18066" spans="1:8" customFormat="1" x14ac:dyDescent="0.25">
      <c r="A18066" t="str">
        <f>"795824"</f>
        <v>795824</v>
      </c>
      <c r="B18066" t="s">
        <v>537</v>
      </c>
      <c r="C18066" t="s">
        <v>608</v>
      </c>
      <c r="D18066" s="21" t="s">
        <v>34</v>
      </c>
      <c r="E18066" s="21" t="s">
        <v>71</v>
      </c>
      <c r="F18066">
        <v>10790024</v>
      </c>
      <c r="G18066" t="s">
        <v>8674</v>
      </c>
      <c r="H18066" s="21">
        <v>786.17</v>
      </c>
    </row>
    <row r="18067" spans="1:8" customFormat="1" x14ac:dyDescent="0.25">
      <c r="A18067" t="str">
        <f>"3530099"</f>
        <v>3530099</v>
      </c>
      <c r="B18067" t="s">
        <v>13796</v>
      </c>
      <c r="C18067" t="s">
        <v>209</v>
      </c>
      <c r="D18067" s="21" t="s">
        <v>34</v>
      </c>
      <c r="E18067" s="21" t="s">
        <v>71</v>
      </c>
      <c r="F18067">
        <v>3350148</v>
      </c>
      <c r="G18067" t="s">
        <v>7497</v>
      </c>
      <c r="H18067" s="21">
        <v>786.17</v>
      </c>
    </row>
    <row r="18068" spans="1:8" customFormat="1" x14ac:dyDescent="0.25">
      <c r="A18068" t="str">
        <f>"852146"</f>
        <v>852146</v>
      </c>
      <c r="B18068" t="s">
        <v>14499</v>
      </c>
      <c r="C18068" t="s">
        <v>462</v>
      </c>
      <c r="D18068" s="21" t="s">
        <v>34</v>
      </c>
      <c r="E18068" s="21" t="s">
        <v>71</v>
      </c>
      <c r="F18068">
        <v>12851025</v>
      </c>
      <c r="G18068" t="s">
        <v>26858</v>
      </c>
      <c r="H18068" s="21">
        <v>786.17</v>
      </c>
    </row>
    <row r="18069" spans="1:8" customFormat="1" x14ac:dyDescent="0.25">
      <c r="A18069" t="str">
        <f>"5417916"</f>
        <v>5417916</v>
      </c>
      <c r="B18069" t="s">
        <v>15907</v>
      </c>
      <c r="C18069" t="s">
        <v>3073</v>
      </c>
      <c r="D18069" s="21" t="s">
        <v>34</v>
      </c>
      <c r="E18069" s="21" t="s">
        <v>1089</v>
      </c>
      <c r="F18069">
        <v>6540040</v>
      </c>
      <c r="G18069" t="s">
        <v>256</v>
      </c>
      <c r="H18069" s="21">
        <v>786.17</v>
      </c>
    </row>
    <row r="18070" spans="1:8" customFormat="1" x14ac:dyDescent="0.25">
      <c r="A18070" t="str">
        <f>"3417408"</f>
        <v>3417408</v>
      </c>
      <c r="B18070" t="s">
        <v>14489</v>
      </c>
      <c r="C18070" t="s">
        <v>169</v>
      </c>
      <c r="D18070" s="21" t="s">
        <v>34</v>
      </c>
      <c r="E18070" s="21" t="s">
        <v>35</v>
      </c>
      <c r="F18070">
        <v>11340003</v>
      </c>
      <c r="G18070" t="s">
        <v>3326</v>
      </c>
      <c r="H18070" s="21">
        <v>786.17</v>
      </c>
    </row>
    <row r="18071" spans="1:8" customFormat="1" x14ac:dyDescent="0.25">
      <c r="A18071" t="str">
        <f>"9527944"</f>
        <v>9527944</v>
      </c>
      <c r="B18071" t="s">
        <v>14033</v>
      </c>
      <c r="C18071" t="s">
        <v>1675</v>
      </c>
      <c r="D18071" s="21" t="s">
        <v>34</v>
      </c>
      <c r="E18071" s="21" t="s">
        <v>35</v>
      </c>
      <c r="F18071">
        <v>8951331</v>
      </c>
      <c r="G18071" t="s">
        <v>1134</v>
      </c>
      <c r="H18071" s="21">
        <v>786.04</v>
      </c>
    </row>
    <row r="18072" spans="1:8" customFormat="1" x14ac:dyDescent="0.25">
      <c r="A18072" t="str">
        <f>"037550"</f>
        <v>037550</v>
      </c>
      <c r="B18072" t="s">
        <v>14741</v>
      </c>
      <c r="C18072" t="s">
        <v>288</v>
      </c>
      <c r="D18072" s="21" t="s">
        <v>34</v>
      </c>
      <c r="E18072" s="21" t="s">
        <v>71</v>
      </c>
      <c r="F18072">
        <v>3560050</v>
      </c>
      <c r="G18072" t="s">
        <v>5322</v>
      </c>
      <c r="H18072" s="21">
        <v>785.92</v>
      </c>
    </row>
    <row r="18073" spans="1:8" customFormat="1" x14ac:dyDescent="0.25">
      <c r="A18073" t="str">
        <f>"7641505"</f>
        <v>7641505</v>
      </c>
      <c r="B18073" t="s">
        <v>19663</v>
      </c>
      <c r="C18073" t="s">
        <v>169</v>
      </c>
      <c r="D18073" s="21" t="s">
        <v>34</v>
      </c>
      <c r="E18073" s="21" t="s">
        <v>35</v>
      </c>
      <c r="F18073">
        <v>9760333</v>
      </c>
      <c r="G18073" t="s">
        <v>27096</v>
      </c>
      <c r="H18073" s="21">
        <v>785.67</v>
      </c>
    </row>
    <row r="18074" spans="1:8" customFormat="1" x14ac:dyDescent="0.25">
      <c r="A18074" t="str">
        <f>"6725589"</f>
        <v>6725589</v>
      </c>
      <c r="B18074" t="s">
        <v>17948</v>
      </c>
      <c r="C18074" t="s">
        <v>484</v>
      </c>
      <c r="D18074" s="21" t="s">
        <v>34</v>
      </c>
      <c r="E18074" s="21" t="s">
        <v>35</v>
      </c>
      <c r="F18074">
        <v>6670195</v>
      </c>
      <c r="G18074" t="s">
        <v>3974</v>
      </c>
      <c r="H18074" s="21">
        <v>785.67</v>
      </c>
    </row>
    <row r="18075" spans="1:8" customFormat="1" x14ac:dyDescent="0.25">
      <c r="A18075" t="str">
        <f>"76222"</f>
        <v>76222</v>
      </c>
      <c r="B18075" t="s">
        <v>27513</v>
      </c>
      <c r="C18075" t="s">
        <v>1597</v>
      </c>
      <c r="D18075" s="21" t="s">
        <v>34</v>
      </c>
      <c r="E18075" s="21" t="s">
        <v>6185</v>
      </c>
      <c r="F18075">
        <v>9760007</v>
      </c>
      <c r="G18075" t="s">
        <v>7255</v>
      </c>
      <c r="H18075" s="21">
        <v>785.67</v>
      </c>
    </row>
    <row r="18076" spans="1:8" customFormat="1" x14ac:dyDescent="0.25">
      <c r="A18076" t="str">
        <f>"7211634"</f>
        <v>7211634</v>
      </c>
      <c r="B18076" t="s">
        <v>3529</v>
      </c>
      <c r="C18076" t="s">
        <v>82</v>
      </c>
      <c r="D18076" s="21" t="s">
        <v>34</v>
      </c>
      <c r="E18076" s="21" t="s">
        <v>35</v>
      </c>
      <c r="F18076">
        <v>12720041</v>
      </c>
      <c r="G18076" t="s">
        <v>4240</v>
      </c>
      <c r="H18076" s="21">
        <v>785.67</v>
      </c>
    </row>
    <row r="18077" spans="1:8" customFormat="1" x14ac:dyDescent="0.25">
      <c r="A18077" t="str">
        <f>"689064"</f>
        <v>689064</v>
      </c>
      <c r="B18077" t="s">
        <v>14465</v>
      </c>
      <c r="C18077" t="s">
        <v>14466</v>
      </c>
      <c r="D18077" s="21" t="s">
        <v>34</v>
      </c>
      <c r="E18077" s="21" t="s">
        <v>254</v>
      </c>
      <c r="F18077">
        <v>6680128</v>
      </c>
      <c r="G18077" t="s">
        <v>341</v>
      </c>
      <c r="H18077" s="21">
        <v>785.67</v>
      </c>
    </row>
    <row r="18078" spans="1:8" customFormat="1" x14ac:dyDescent="0.25">
      <c r="A18078" t="str">
        <f>"084185"</f>
        <v>084185</v>
      </c>
      <c r="B18078" t="s">
        <v>12967</v>
      </c>
      <c r="C18078" t="s">
        <v>211</v>
      </c>
      <c r="D18078" s="21" t="s">
        <v>34</v>
      </c>
      <c r="E18078" s="21" t="s">
        <v>71</v>
      </c>
      <c r="F18078">
        <v>6080064</v>
      </c>
      <c r="G18078" t="s">
        <v>5825</v>
      </c>
      <c r="H18078" s="21">
        <v>785.67</v>
      </c>
    </row>
    <row r="18079" spans="1:8" customFormat="1" x14ac:dyDescent="0.25">
      <c r="A18079" t="str">
        <f>"632890"</f>
        <v>632890</v>
      </c>
      <c r="B18079" t="s">
        <v>946</v>
      </c>
      <c r="C18079" t="s">
        <v>40</v>
      </c>
      <c r="D18079" s="21" t="s">
        <v>34</v>
      </c>
      <c r="E18079" s="21" t="s">
        <v>254</v>
      </c>
      <c r="F18079">
        <v>11300050</v>
      </c>
      <c r="G18079" t="s">
        <v>15053</v>
      </c>
      <c r="H18079" s="21">
        <v>785.67</v>
      </c>
    </row>
    <row r="18080" spans="1:8" customFormat="1" x14ac:dyDescent="0.25">
      <c r="A18080" t="str">
        <f>"7631965"</f>
        <v>7631965</v>
      </c>
      <c r="B18080" t="s">
        <v>1442</v>
      </c>
      <c r="C18080" t="s">
        <v>55</v>
      </c>
      <c r="D18080" s="21" t="s">
        <v>34</v>
      </c>
      <c r="E18080" s="21" t="s">
        <v>35</v>
      </c>
      <c r="F18080">
        <v>9760368</v>
      </c>
      <c r="G18080" t="s">
        <v>8267</v>
      </c>
      <c r="H18080" s="21">
        <v>785.67</v>
      </c>
    </row>
    <row r="18081" spans="1:8" customFormat="1" x14ac:dyDescent="0.25">
      <c r="A18081" t="str">
        <f>"4413131"</f>
        <v>4413131</v>
      </c>
      <c r="B18081" t="s">
        <v>2315</v>
      </c>
      <c r="C18081" t="s">
        <v>130</v>
      </c>
      <c r="D18081" s="21" t="s">
        <v>34</v>
      </c>
      <c r="E18081" s="21" t="s">
        <v>71</v>
      </c>
      <c r="F18081">
        <v>12440166</v>
      </c>
      <c r="G18081" t="s">
        <v>4031</v>
      </c>
      <c r="H18081" s="21">
        <v>785.67</v>
      </c>
    </row>
    <row r="18082" spans="1:8" customFormat="1" x14ac:dyDescent="0.25">
      <c r="A18082" t="str">
        <f>"7717856"</f>
        <v>7717856</v>
      </c>
      <c r="B18082" t="s">
        <v>3387</v>
      </c>
      <c r="C18082" t="s">
        <v>249</v>
      </c>
      <c r="D18082" s="21" t="s">
        <v>34</v>
      </c>
      <c r="E18082" s="21" t="s">
        <v>71</v>
      </c>
      <c r="F18082">
        <v>8771511</v>
      </c>
      <c r="G18082" t="s">
        <v>15221</v>
      </c>
      <c r="H18082" s="21">
        <v>785.67</v>
      </c>
    </row>
    <row r="18083" spans="1:8" customFormat="1" x14ac:dyDescent="0.25">
      <c r="A18083" t="str">
        <f>"276185"</f>
        <v>276185</v>
      </c>
      <c r="B18083" t="s">
        <v>11809</v>
      </c>
      <c r="C18083" t="s">
        <v>33</v>
      </c>
      <c r="D18083" s="21" t="s">
        <v>34</v>
      </c>
      <c r="E18083" s="21" t="s">
        <v>35</v>
      </c>
      <c r="F18083">
        <v>3350183</v>
      </c>
      <c r="G18083" t="s">
        <v>2572</v>
      </c>
      <c r="H18083" s="21">
        <v>785.67</v>
      </c>
    </row>
    <row r="18084" spans="1:8" customFormat="1" x14ac:dyDescent="0.25">
      <c r="A18084" t="str">
        <f>"4458234"</f>
        <v>4458234</v>
      </c>
      <c r="B18084" t="s">
        <v>7082</v>
      </c>
      <c r="C18084" t="s">
        <v>62</v>
      </c>
      <c r="D18084" s="21" t="s">
        <v>34</v>
      </c>
      <c r="E18084" s="21" t="s">
        <v>35</v>
      </c>
      <c r="F18084">
        <v>12440008</v>
      </c>
      <c r="G18084" t="s">
        <v>4570</v>
      </c>
      <c r="H18084" s="21">
        <v>785.67</v>
      </c>
    </row>
    <row r="18085" spans="1:8" customFormat="1" x14ac:dyDescent="0.25">
      <c r="A18085" t="str">
        <f>"6720259"</f>
        <v>6720259</v>
      </c>
      <c r="B18085" t="s">
        <v>13035</v>
      </c>
      <c r="C18085" t="s">
        <v>87</v>
      </c>
      <c r="D18085" s="21" t="s">
        <v>34</v>
      </c>
      <c r="E18085" s="21" t="s">
        <v>35</v>
      </c>
      <c r="F18085">
        <v>6670122</v>
      </c>
      <c r="G18085" t="s">
        <v>3126</v>
      </c>
      <c r="H18085" s="21">
        <v>785.67</v>
      </c>
    </row>
    <row r="18086" spans="1:8" customFormat="1" x14ac:dyDescent="0.25">
      <c r="A18086" t="str">
        <f>"5321875"</f>
        <v>5321875</v>
      </c>
      <c r="B18086" t="s">
        <v>10901</v>
      </c>
      <c r="C18086" t="s">
        <v>198</v>
      </c>
      <c r="D18086" s="21" t="s">
        <v>34</v>
      </c>
      <c r="E18086" s="21" t="s">
        <v>71</v>
      </c>
      <c r="F18086">
        <v>12530042</v>
      </c>
      <c r="G18086" t="s">
        <v>4619</v>
      </c>
      <c r="H18086" s="21">
        <v>785.67</v>
      </c>
    </row>
    <row r="18087" spans="1:8" customFormat="1" x14ac:dyDescent="0.25">
      <c r="A18087" t="str">
        <f>"5957962"</f>
        <v>5957962</v>
      </c>
      <c r="B18087" t="s">
        <v>15831</v>
      </c>
      <c r="C18087" t="s">
        <v>2520</v>
      </c>
      <c r="D18087" s="21" t="s">
        <v>34</v>
      </c>
      <c r="E18087" s="21" t="s">
        <v>254</v>
      </c>
      <c r="F18087">
        <v>7590008</v>
      </c>
      <c r="G18087" t="s">
        <v>110</v>
      </c>
      <c r="H18087" s="21">
        <v>785.67</v>
      </c>
    </row>
    <row r="18088" spans="1:8" customFormat="1" x14ac:dyDescent="0.25">
      <c r="A18088" t="str">
        <f>"3318989"</f>
        <v>3318989</v>
      </c>
      <c r="B18088" t="s">
        <v>6174</v>
      </c>
      <c r="C18088" t="s">
        <v>10958</v>
      </c>
      <c r="D18088" s="21" t="s">
        <v>34</v>
      </c>
      <c r="E18088" s="21" t="s">
        <v>35</v>
      </c>
      <c r="F18088">
        <v>10330038</v>
      </c>
      <c r="G18088" t="s">
        <v>4280</v>
      </c>
      <c r="H18088" s="21">
        <v>785.54</v>
      </c>
    </row>
    <row r="18089" spans="1:8" customFormat="1" x14ac:dyDescent="0.25">
      <c r="A18089" t="str">
        <f>"9516357"</f>
        <v>9516357</v>
      </c>
      <c r="B18089" t="s">
        <v>8926</v>
      </c>
      <c r="C18089" t="s">
        <v>2100</v>
      </c>
      <c r="D18089" s="21" t="s">
        <v>34</v>
      </c>
      <c r="E18089" s="21" t="s">
        <v>71</v>
      </c>
      <c r="F18089">
        <v>8950479</v>
      </c>
      <c r="G18089" t="s">
        <v>728</v>
      </c>
      <c r="H18089" s="21">
        <v>785.42</v>
      </c>
    </row>
    <row r="18090" spans="1:8" customFormat="1" x14ac:dyDescent="0.25">
      <c r="A18090" t="str">
        <f>"9528343"</f>
        <v>9528343</v>
      </c>
      <c r="B18090" t="s">
        <v>3209</v>
      </c>
      <c r="C18090" t="s">
        <v>239</v>
      </c>
      <c r="D18090" s="21" t="s">
        <v>34</v>
      </c>
      <c r="E18090" s="21" t="s">
        <v>71</v>
      </c>
      <c r="F18090">
        <v>8950481</v>
      </c>
      <c r="G18090" t="s">
        <v>1472</v>
      </c>
      <c r="H18090" s="21">
        <v>785.42</v>
      </c>
    </row>
    <row r="18091" spans="1:8" customFormat="1" x14ac:dyDescent="0.25">
      <c r="A18091" t="str">
        <f>"7212381"</f>
        <v>7212381</v>
      </c>
      <c r="B18091" t="s">
        <v>1362</v>
      </c>
      <c r="C18091" t="s">
        <v>2806</v>
      </c>
      <c r="D18091" s="21" t="s">
        <v>34</v>
      </c>
      <c r="E18091" s="21" t="s">
        <v>35</v>
      </c>
      <c r="F18091">
        <v>12720141</v>
      </c>
      <c r="G18091" t="s">
        <v>12632</v>
      </c>
      <c r="H18091" s="21">
        <v>785.42</v>
      </c>
    </row>
    <row r="18092" spans="1:8" customFormat="1" x14ac:dyDescent="0.25">
      <c r="A18092" t="str">
        <f>"7639559"</f>
        <v>7639559</v>
      </c>
      <c r="B18092" t="s">
        <v>16211</v>
      </c>
      <c r="C18092" t="s">
        <v>62</v>
      </c>
      <c r="D18092" s="21" t="s">
        <v>34</v>
      </c>
      <c r="E18092" s="21" t="s">
        <v>35</v>
      </c>
      <c r="F18092">
        <v>9760168</v>
      </c>
      <c r="G18092" t="s">
        <v>179</v>
      </c>
      <c r="H18092" s="21">
        <v>785.42</v>
      </c>
    </row>
    <row r="18093" spans="1:8" customFormat="1" x14ac:dyDescent="0.25">
      <c r="A18093" t="str">
        <f>"9526435"</f>
        <v>9526435</v>
      </c>
      <c r="B18093" t="s">
        <v>27514</v>
      </c>
      <c r="C18093" t="s">
        <v>65</v>
      </c>
      <c r="D18093" s="21" t="s">
        <v>34</v>
      </c>
      <c r="E18093" s="21" t="s">
        <v>35</v>
      </c>
      <c r="F18093">
        <v>13060008</v>
      </c>
      <c r="G18093" t="s">
        <v>36</v>
      </c>
      <c r="H18093" s="21">
        <v>785.17</v>
      </c>
    </row>
    <row r="18094" spans="1:8" customFormat="1" x14ac:dyDescent="0.25">
      <c r="A18094" t="str">
        <f>"183215"</f>
        <v>183215</v>
      </c>
      <c r="B18094" t="s">
        <v>7473</v>
      </c>
      <c r="C18094" t="s">
        <v>249</v>
      </c>
      <c r="D18094" s="21" t="s">
        <v>34</v>
      </c>
      <c r="E18094" s="21" t="s">
        <v>71</v>
      </c>
      <c r="F18094">
        <v>4180485</v>
      </c>
      <c r="G18094" t="s">
        <v>345</v>
      </c>
      <c r="H18094" s="21">
        <v>785.17</v>
      </c>
    </row>
    <row r="18095" spans="1:8" customFormat="1" x14ac:dyDescent="0.25">
      <c r="A18095" t="str">
        <f>"6023510"</f>
        <v>6023510</v>
      </c>
      <c r="B18095" t="s">
        <v>20998</v>
      </c>
      <c r="C18095" t="s">
        <v>1061</v>
      </c>
      <c r="D18095" s="21" t="s">
        <v>34</v>
      </c>
      <c r="E18095" s="21" t="s">
        <v>35</v>
      </c>
      <c r="F18095">
        <v>7600003</v>
      </c>
      <c r="G18095" t="s">
        <v>3515</v>
      </c>
      <c r="H18095" s="21">
        <v>785.17</v>
      </c>
    </row>
    <row r="18096" spans="1:8" customFormat="1" x14ac:dyDescent="0.25">
      <c r="A18096" t="str">
        <f>"025096"</f>
        <v>025096</v>
      </c>
      <c r="B18096" t="s">
        <v>5748</v>
      </c>
      <c r="C18096" t="s">
        <v>2907</v>
      </c>
      <c r="D18096" s="21" t="s">
        <v>34</v>
      </c>
      <c r="E18096" s="21" t="s">
        <v>71</v>
      </c>
      <c r="F18096">
        <v>7020013</v>
      </c>
      <c r="G18096" t="s">
        <v>14136</v>
      </c>
      <c r="H18096" s="21">
        <v>785.17</v>
      </c>
    </row>
    <row r="18097" spans="1:8" customFormat="1" x14ac:dyDescent="0.25">
      <c r="A18097" t="str">
        <f>"513514"</f>
        <v>513514</v>
      </c>
      <c r="B18097" t="s">
        <v>727</v>
      </c>
      <c r="C18097" t="s">
        <v>187</v>
      </c>
      <c r="D18097" s="21" t="s">
        <v>34</v>
      </c>
      <c r="E18097" s="21" t="s">
        <v>71</v>
      </c>
      <c r="F18097">
        <v>6510015</v>
      </c>
      <c r="G18097" t="s">
        <v>5462</v>
      </c>
      <c r="H18097" s="21">
        <v>785.17</v>
      </c>
    </row>
    <row r="18098" spans="1:8" customFormat="1" x14ac:dyDescent="0.25">
      <c r="A18098" t="str">
        <f>"726598"</f>
        <v>726598</v>
      </c>
      <c r="B18098" t="s">
        <v>11982</v>
      </c>
      <c r="C18098" t="s">
        <v>1705</v>
      </c>
      <c r="D18098" s="21" t="s">
        <v>34</v>
      </c>
      <c r="E18098" s="21" t="s">
        <v>254</v>
      </c>
      <c r="F18098">
        <v>12720049</v>
      </c>
      <c r="G18098" t="s">
        <v>1627</v>
      </c>
      <c r="H18098" s="21">
        <v>785.17</v>
      </c>
    </row>
    <row r="18099" spans="1:8" customFormat="1" x14ac:dyDescent="0.25">
      <c r="A18099" t="str">
        <f>"5428925"</f>
        <v>5428925</v>
      </c>
      <c r="B18099" t="s">
        <v>16794</v>
      </c>
      <c r="C18099" t="s">
        <v>169</v>
      </c>
      <c r="D18099" s="21" t="s">
        <v>34</v>
      </c>
      <c r="E18099" s="21" t="s">
        <v>35</v>
      </c>
      <c r="F18099">
        <v>6540055</v>
      </c>
      <c r="G18099" t="s">
        <v>9080</v>
      </c>
      <c r="H18099" s="21">
        <v>785.17</v>
      </c>
    </row>
    <row r="18100" spans="1:8" customFormat="1" x14ac:dyDescent="0.25">
      <c r="A18100" t="str">
        <f>"7831167"</f>
        <v>7831167</v>
      </c>
      <c r="B18100" t="s">
        <v>946</v>
      </c>
      <c r="C18100" t="s">
        <v>415</v>
      </c>
      <c r="D18100" s="21" t="s">
        <v>34</v>
      </c>
      <c r="E18100" s="21" t="s">
        <v>71</v>
      </c>
      <c r="F18100">
        <v>8780128</v>
      </c>
      <c r="G18100" t="s">
        <v>4201</v>
      </c>
      <c r="H18100" s="21">
        <v>785.17</v>
      </c>
    </row>
    <row r="18101" spans="1:8" customFormat="1" x14ac:dyDescent="0.25">
      <c r="A18101" t="str">
        <f>"183590"</f>
        <v>183590</v>
      </c>
      <c r="B18101" t="s">
        <v>12657</v>
      </c>
      <c r="C18101" t="s">
        <v>328</v>
      </c>
      <c r="D18101" s="21" t="s">
        <v>34</v>
      </c>
      <c r="E18101" s="21" t="s">
        <v>35</v>
      </c>
      <c r="F18101">
        <v>4180737</v>
      </c>
      <c r="G18101" t="s">
        <v>26856</v>
      </c>
      <c r="H18101" s="21">
        <v>785.17</v>
      </c>
    </row>
    <row r="18102" spans="1:8" customFormat="1" x14ac:dyDescent="0.25">
      <c r="A18102" t="str">
        <f>"2913150"</f>
        <v>2913150</v>
      </c>
      <c r="B18102" t="s">
        <v>8539</v>
      </c>
      <c r="C18102" t="s">
        <v>1110</v>
      </c>
      <c r="D18102" s="21" t="s">
        <v>34</v>
      </c>
      <c r="E18102" s="21" t="s">
        <v>1089</v>
      </c>
      <c r="F18102">
        <v>3290215</v>
      </c>
      <c r="G18102" t="s">
        <v>5058</v>
      </c>
      <c r="H18102" s="21">
        <v>785.17</v>
      </c>
    </row>
    <row r="18103" spans="1:8" customFormat="1" x14ac:dyDescent="0.25">
      <c r="A18103" t="str">
        <f>"021273"</f>
        <v>021273</v>
      </c>
      <c r="B18103" t="s">
        <v>15119</v>
      </c>
      <c r="C18103" t="s">
        <v>1142</v>
      </c>
      <c r="D18103" s="21" t="s">
        <v>34</v>
      </c>
      <c r="E18103" s="21" t="s">
        <v>71</v>
      </c>
      <c r="F18103">
        <v>7020030</v>
      </c>
      <c r="G18103" t="s">
        <v>1796</v>
      </c>
      <c r="H18103" s="21">
        <v>785.17</v>
      </c>
    </row>
    <row r="18104" spans="1:8" customFormat="1" x14ac:dyDescent="0.25">
      <c r="A18104" t="str">
        <f>"6921504"</f>
        <v>6921504</v>
      </c>
      <c r="B18104" t="s">
        <v>15483</v>
      </c>
      <c r="C18104" t="s">
        <v>720</v>
      </c>
      <c r="D18104" s="21" t="s">
        <v>34</v>
      </c>
      <c r="E18104" s="21" t="s">
        <v>254</v>
      </c>
      <c r="F18104">
        <v>1690047</v>
      </c>
      <c r="G18104" t="s">
        <v>4223</v>
      </c>
      <c r="H18104" s="21">
        <v>785.17</v>
      </c>
    </row>
    <row r="18105" spans="1:8" customFormat="1" x14ac:dyDescent="0.25">
      <c r="A18105" t="str">
        <f>"591624"</f>
        <v>591624</v>
      </c>
      <c r="B18105" t="s">
        <v>14222</v>
      </c>
      <c r="C18105" t="s">
        <v>239</v>
      </c>
      <c r="D18105" s="21" t="s">
        <v>34</v>
      </c>
      <c r="E18105" s="21" t="s">
        <v>1089</v>
      </c>
      <c r="F18105">
        <v>7590080</v>
      </c>
      <c r="G18105" t="s">
        <v>1715</v>
      </c>
      <c r="H18105" s="21">
        <v>785.17</v>
      </c>
    </row>
    <row r="18106" spans="1:8" customFormat="1" x14ac:dyDescent="0.25">
      <c r="A18106" t="str">
        <f>"5969000"</f>
        <v>5969000</v>
      </c>
      <c r="B18106" t="s">
        <v>27515</v>
      </c>
      <c r="C18106" t="s">
        <v>82</v>
      </c>
      <c r="D18106" s="21" t="s">
        <v>34</v>
      </c>
      <c r="E18106" s="21" t="s">
        <v>35</v>
      </c>
      <c r="F18106">
        <v>7590258</v>
      </c>
      <c r="G18106" t="s">
        <v>18937</v>
      </c>
      <c r="H18106" s="21">
        <v>785.17</v>
      </c>
    </row>
    <row r="18107" spans="1:8" customFormat="1" x14ac:dyDescent="0.25">
      <c r="A18107" t="str">
        <f>"3425810"</f>
        <v>3425810</v>
      </c>
      <c r="B18107" t="s">
        <v>16248</v>
      </c>
      <c r="C18107" t="s">
        <v>415</v>
      </c>
      <c r="D18107" s="21" t="s">
        <v>34</v>
      </c>
      <c r="E18107" s="21" t="s">
        <v>254</v>
      </c>
      <c r="F18107">
        <v>11340040</v>
      </c>
      <c r="G18107" t="s">
        <v>5695</v>
      </c>
      <c r="H18107" s="21">
        <v>785.04</v>
      </c>
    </row>
    <row r="18108" spans="1:8" customFormat="1" x14ac:dyDescent="0.25">
      <c r="A18108" t="str">
        <f>"196809"</f>
        <v>196809</v>
      </c>
      <c r="B18108" t="s">
        <v>14954</v>
      </c>
      <c r="C18108" t="s">
        <v>2730</v>
      </c>
      <c r="D18108" s="21" t="s">
        <v>34</v>
      </c>
      <c r="E18108" s="21" t="s">
        <v>254</v>
      </c>
      <c r="F18108">
        <v>10190134</v>
      </c>
      <c r="G18108" t="s">
        <v>27150</v>
      </c>
      <c r="H18108" s="21">
        <v>784.92</v>
      </c>
    </row>
    <row r="18109" spans="1:8" customFormat="1" x14ac:dyDescent="0.25">
      <c r="A18109" t="str">
        <f>"0616498"</f>
        <v>0616498</v>
      </c>
      <c r="B18109" t="s">
        <v>1200</v>
      </c>
      <c r="C18109" t="s">
        <v>486</v>
      </c>
      <c r="D18109" s="21" t="s">
        <v>34</v>
      </c>
      <c r="E18109" s="21" t="s">
        <v>71</v>
      </c>
      <c r="F18109">
        <v>13060031</v>
      </c>
      <c r="G18109" t="s">
        <v>9379</v>
      </c>
      <c r="H18109" s="21">
        <v>784.92</v>
      </c>
    </row>
    <row r="18110" spans="1:8" customFormat="1" x14ac:dyDescent="0.25">
      <c r="A18110" t="str">
        <f>"866397"</f>
        <v>866397</v>
      </c>
      <c r="B18110" t="s">
        <v>9002</v>
      </c>
      <c r="C18110" t="s">
        <v>253</v>
      </c>
      <c r="D18110" s="21" t="s">
        <v>34</v>
      </c>
      <c r="E18110" s="21" t="s">
        <v>254</v>
      </c>
      <c r="F18110">
        <v>10860234</v>
      </c>
      <c r="G18110" t="s">
        <v>1966</v>
      </c>
      <c r="H18110" s="21">
        <v>784.79</v>
      </c>
    </row>
    <row r="18111" spans="1:8" customFormat="1" x14ac:dyDescent="0.25">
      <c r="A18111" t="str">
        <f>"043783"</f>
        <v>043783</v>
      </c>
      <c r="B18111" t="s">
        <v>15377</v>
      </c>
      <c r="C18111" t="s">
        <v>55</v>
      </c>
      <c r="D18111" s="21" t="s">
        <v>34</v>
      </c>
      <c r="E18111" s="21" t="s">
        <v>35</v>
      </c>
      <c r="F18111">
        <v>13040030</v>
      </c>
      <c r="G18111" t="s">
        <v>1903</v>
      </c>
      <c r="H18111" s="21">
        <v>784.67</v>
      </c>
    </row>
    <row r="18112" spans="1:8" customFormat="1" x14ac:dyDescent="0.25">
      <c r="A18112" t="str">
        <f>"836939"</f>
        <v>836939</v>
      </c>
      <c r="B18112" t="s">
        <v>15468</v>
      </c>
      <c r="C18112" t="s">
        <v>171</v>
      </c>
      <c r="D18112" s="21" t="s">
        <v>34</v>
      </c>
      <c r="E18112" s="21" t="s">
        <v>71</v>
      </c>
      <c r="F18112">
        <v>13830091</v>
      </c>
      <c r="G18112" t="s">
        <v>7389</v>
      </c>
      <c r="H18112" s="21">
        <v>784.67</v>
      </c>
    </row>
    <row r="18113" spans="1:8" customFormat="1" x14ac:dyDescent="0.25">
      <c r="A18113" t="str">
        <f>"4445942"</f>
        <v>4445942</v>
      </c>
      <c r="B18113" t="s">
        <v>14827</v>
      </c>
      <c r="C18113" t="s">
        <v>1325</v>
      </c>
      <c r="D18113" s="21" t="s">
        <v>34</v>
      </c>
      <c r="E18113" s="21" t="s">
        <v>35</v>
      </c>
      <c r="F18113">
        <v>12440191</v>
      </c>
      <c r="G18113" t="s">
        <v>5822</v>
      </c>
      <c r="H18113" s="21">
        <v>784.67</v>
      </c>
    </row>
    <row r="18114" spans="1:8" customFormat="1" x14ac:dyDescent="0.25">
      <c r="A18114" t="str">
        <f>"897537"</f>
        <v>897537</v>
      </c>
      <c r="B18114" t="s">
        <v>16607</v>
      </c>
      <c r="C18114" t="s">
        <v>415</v>
      </c>
      <c r="D18114" s="21" t="s">
        <v>34</v>
      </c>
      <c r="E18114" s="21" t="s">
        <v>71</v>
      </c>
      <c r="F18114">
        <v>2890058</v>
      </c>
      <c r="G18114" t="s">
        <v>13102</v>
      </c>
      <c r="H18114" s="21">
        <v>784.67</v>
      </c>
    </row>
    <row r="18115" spans="1:8" customFormat="1" x14ac:dyDescent="0.25">
      <c r="A18115" t="str">
        <f>"217912"</f>
        <v>217912</v>
      </c>
      <c r="B18115" t="s">
        <v>3655</v>
      </c>
      <c r="C18115" t="s">
        <v>1665</v>
      </c>
      <c r="D18115" s="21" t="s">
        <v>34</v>
      </c>
      <c r="E18115" s="21" t="s">
        <v>71</v>
      </c>
      <c r="F18115">
        <v>2210123</v>
      </c>
      <c r="G18115" t="s">
        <v>11231</v>
      </c>
      <c r="H18115" s="21">
        <v>784.67</v>
      </c>
    </row>
    <row r="18116" spans="1:8" customFormat="1" x14ac:dyDescent="0.25">
      <c r="A18116" t="str">
        <f>"1425707"</f>
        <v>1425707</v>
      </c>
      <c r="B18116" t="s">
        <v>17962</v>
      </c>
      <c r="C18116" t="s">
        <v>65</v>
      </c>
      <c r="D18116" s="21" t="s">
        <v>34</v>
      </c>
      <c r="E18116" s="21" t="s">
        <v>35</v>
      </c>
      <c r="F18116">
        <v>9140200</v>
      </c>
      <c r="G18116" t="s">
        <v>17963</v>
      </c>
      <c r="H18116" s="21">
        <v>784.67</v>
      </c>
    </row>
    <row r="18117" spans="1:8" customFormat="1" x14ac:dyDescent="0.25">
      <c r="A18117" t="str">
        <f>"7852299"</f>
        <v>7852299</v>
      </c>
      <c r="B18117" t="s">
        <v>14367</v>
      </c>
      <c r="C18117" t="s">
        <v>768</v>
      </c>
      <c r="D18117" s="21" t="s">
        <v>34</v>
      </c>
      <c r="E18117" s="21" t="s">
        <v>71</v>
      </c>
      <c r="F18117">
        <v>8780108</v>
      </c>
      <c r="G18117" t="s">
        <v>4329</v>
      </c>
      <c r="H18117" s="21">
        <v>784.67</v>
      </c>
    </row>
    <row r="18118" spans="1:8" customFormat="1" x14ac:dyDescent="0.25">
      <c r="A18118" t="str">
        <f>"2218415"</f>
        <v>2218415</v>
      </c>
      <c r="B18118" t="s">
        <v>5505</v>
      </c>
      <c r="C18118" t="s">
        <v>144</v>
      </c>
      <c r="D18118" s="21" t="s">
        <v>34</v>
      </c>
      <c r="E18118" s="21" t="s">
        <v>35</v>
      </c>
      <c r="F18118">
        <v>3220001</v>
      </c>
      <c r="G18118" t="s">
        <v>8173</v>
      </c>
      <c r="H18118" s="21">
        <v>784.67</v>
      </c>
    </row>
    <row r="18119" spans="1:8" customFormat="1" x14ac:dyDescent="0.25">
      <c r="A18119" t="str">
        <f>"5939584"</f>
        <v>5939584</v>
      </c>
      <c r="B18119" t="s">
        <v>3101</v>
      </c>
      <c r="C18119" t="s">
        <v>209</v>
      </c>
      <c r="D18119" s="21" t="s">
        <v>34</v>
      </c>
      <c r="E18119" s="21" t="s">
        <v>35</v>
      </c>
      <c r="F18119">
        <v>7590137</v>
      </c>
      <c r="G18119" t="s">
        <v>4246</v>
      </c>
      <c r="H18119" s="21">
        <v>784.67</v>
      </c>
    </row>
    <row r="18120" spans="1:8" customFormat="1" x14ac:dyDescent="0.25">
      <c r="A18120" t="str">
        <f>"833834"</f>
        <v>833834</v>
      </c>
      <c r="B18120" t="s">
        <v>16099</v>
      </c>
      <c r="C18120" t="s">
        <v>462</v>
      </c>
      <c r="D18120" s="21" t="s">
        <v>34</v>
      </c>
      <c r="E18120" s="21" t="s">
        <v>71</v>
      </c>
      <c r="F18120">
        <v>13830014</v>
      </c>
      <c r="G18120" t="s">
        <v>5757</v>
      </c>
      <c r="H18120" s="21">
        <v>784.67</v>
      </c>
    </row>
    <row r="18121" spans="1:8" customFormat="1" x14ac:dyDescent="0.25">
      <c r="A18121" t="str">
        <f>"6814156"</f>
        <v>6814156</v>
      </c>
      <c r="B18121" t="s">
        <v>16233</v>
      </c>
      <c r="C18121" t="s">
        <v>40</v>
      </c>
      <c r="D18121" s="21" t="s">
        <v>34</v>
      </c>
      <c r="E18121" s="21" t="s">
        <v>71</v>
      </c>
      <c r="F18121">
        <v>6680140</v>
      </c>
      <c r="G18121" t="s">
        <v>27516</v>
      </c>
      <c r="H18121" s="21">
        <v>784.67</v>
      </c>
    </row>
    <row r="18122" spans="1:8" customFormat="1" x14ac:dyDescent="0.25">
      <c r="A18122" t="str">
        <f>"5730227"</f>
        <v>5730227</v>
      </c>
      <c r="B18122" t="s">
        <v>15605</v>
      </c>
      <c r="C18122" t="s">
        <v>65</v>
      </c>
      <c r="D18122" s="21" t="s">
        <v>34</v>
      </c>
      <c r="E18122" s="21" t="s">
        <v>35</v>
      </c>
      <c r="F18122">
        <v>6570201</v>
      </c>
      <c r="G18122" t="s">
        <v>3296</v>
      </c>
      <c r="H18122" s="21">
        <v>784.67</v>
      </c>
    </row>
    <row r="18123" spans="1:8" customFormat="1" x14ac:dyDescent="0.25">
      <c r="A18123" t="str">
        <f>"5919812"</f>
        <v>5919812</v>
      </c>
      <c r="B18123" t="s">
        <v>392</v>
      </c>
      <c r="C18123" t="s">
        <v>822</v>
      </c>
      <c r="D18123" s="21" t="s">
        <v>34</v>
      </c>
      <c r="E18123" s="21" t="s">
        <v>254</v>
      </c>
      <c r="F18123">
        <v>7590054</v>
      </c>
      <c r="G18123" t="s">
        <v>12599</v>
      </c>
      <c r="H18123" s="21">
        <v>784.67</v>
      </c>
    </row>
    <row r="18124" spans="1:8" customFormat="1" x14ac:dyDescent="0.25">
      <c r="A18124" t="str">
        <f>"7411784"</f>
        <v>7411784</v>
      </c>
      <c r="B18124" t="s">
        <v>27517</v>
      </c>
      <c r="C18124" t="s">
        <v>90</v>
      </c>
      <c r="D18124" s="21" t="s">
        <v>34</v>
      </c>
      <c r="E18124" s="21" t="s">
        <v>35</v>
      </c>
      <c r="F18124">
        <v>1740080</v>
      </c>
      <c r="G18124" t="s">
        <v>12809</v>
      </c>
      <c r="H18124" s="21">
        <v>784.67</v>
      </c>
    </row>
    <row r="18125" spans="1:8" customFormat="1" x14ac:dyDescent="0.25">
      <c r="A18125" t="str">
        <f>"7920261"</f>
        <v>7920261</v>
      </c>
      <c r="B18125" t="s">
        <v>14892</v>
      </c>
      <c r="C18125" t="s">
        <v>263</v>
      </c>
      <c r="D18125" s="21" t="s">
        <v>34</v>
      </c>
      <c r="E18125" s="21" t="s">
        <v>71</v>
      </c>
      <c r="F18125">
        <v>10790042</v>
      </c>
      <c r="G18125" t="s">
        <v>2092</v>
      </c>
      <c r="H18125" s="21">
        <v>784.67</v>
      </c>
    </row>
    <row r="18126" spans="1:8" customFormat="1" x14ac:dyDescent="0.25">
      <c r="A18126" t="str">
        <f>"5324227"</f>
        <v>5324227</v>
      </c>
      <c r="B18126" t="s">
        <v>1833</v>
      </c>
      <c r="C18126" t="s">
        <v>269</v>
      </c>
      <c r="D18126" s="21" t="s">
        <v>34</v>
      </c>
      <c r="E18126" s="21" t="s">
        <v>35</v>
      </c>
      <c r="F18126">
        <v>12530067</v>
      </c>
      <c r="G18126" t="s">
        <v>11121</v>
      </c>
      <c r="H18126" s="21">
        <v>784.67</v>
      </c>
    </row>
    <row r="18127" spans="1:8" customFormat="1" x14ac:dyDescent="0.25">
      <c r="A18127" t="str">
        <f>"8314482"</f>
        <v>8314482</v>
      </c>
      <c r="B18127" t="s">
        <v>15086</v>
      </c>
      <c r="C18127" t="s">
        <v>2520</v>
      </c>
      <c r="D18127" s="21" t="s">
        <v>34</v>
      </c>
      <c r="E18127" s="21" t="s">
        <v>254</v>
      </c>
      <c r="F18127">
        <v>13830092</v>
      </c>
      <c r="G18127" t="s">
        <v>3632</v>
      </c>
      <c r="H18127" s="21">
        <v>784.67</v>
      </c>
    </row>
    <row r="18128" spans="1:8" customFormat="1" x14ac:dyDescent="0.25">
      <c r="A18128" t="str">
        <f>"629372"</f>
        <v>629372</v>
      </c>
      <c r="B18128" t="s">
        <v>760</v>
      </c>
      <c r="C18128" t="s">
        <v>209</v>
      </c>
      <c r="D18128" s="21" t="s">
        <v>34</v>
      </c>
      <c r="E18128" s="21" t="s">
        <v>71</v>
      </c>
      <c r="F18128">
        <v>7620104</v>
      </c>
      <c r="G18128" t="s">
        <v>635</v>
      </c>
      <c r="H18128" s="21">
        <v>784.67</v>
      </c>
    </row>
    <row r="18129" spans="1:8" customFormat="1" x14ac:dyDescent="0.25">
      <c r="A18129" t="str">
        <f>"4218589"</f>
        <v>4218589</v>
      </c>
      <c r="B18129" t="s">
        <v>1264</v>
      </c>
      <c r="C18129" t="s">
        <v>2806</v>
      </c>
      <c r="D18129" s="21" t="s">
        <v>34</v>
      </c>
      <c r="E18129" s="21" t="s">
        <v>35</v>
      </c>
      <c r="F18129">
        <v>1420155</v>
      </c>
      <c r="G18129" t="s">
        <v>12788</v>
      </c>
      <c r="H18129" s="21">
        <v>784.67</v>
      </c>
    </row>
    <row r="18130" spans="1:8" customFormat="1" x14ac:dyDescent="0.25">
      <c r="A18130" t="str">
        <f>"186329"</f>
        <v>186329</v>
      </c>
      <c r="B18130" t="s">
        <v>15799</v>
      </c>
      <c r="C18130" t="s">
        <v>2305</v>
      </c>
      <c r="D18130" s="21" t="s">
        <v>34</v>
      </c>
      <c r="E18130" s="21" t="s">
        <v>71</v>
      </c>
      <c r="F18130">
        <v>4180313</v>
      </c>
      <c r="G18130" t="s">
        <v>10486</v>
      </c>
      <c r="H18130" s="21">
        <v>784.67</v>
      </c>
    </row>
    <row r="18131" spans="1:8" customFormat="1" x14ac:dyDescent="0.25">
      <c r="A18131" t="str">
        <f>"2913736"</f>
        <v>2913736</v>
      </c>
      <c r="B18131" t="s">
        <v>837</v>
      </c>
      <c r="C18131" t="s">
        <v>1665</v>
      </c>
      <c r="D18131" s="21" t="s">
        <v>34</v>
      </c>
      <c r="E18131" s="21" t="s">
        <v>254</v>
      </c>
      <c r="F18131">
        <v>3290226</v>
      </c>
      <c r="G18131" t="s">
        <v>4637</v>
      </c>
      <c r="H18131" s="21">
        <v>784.67</v>
      </c>
    </row>
    <row r="18132" spans="1:8" customFormat="1" x14ac:dyDescent="0.25">
      <c r="A18132" t="str">
        <f>"1611715"</f>
        <v>1611715</v>
      </c>
      <c r="B18132" t="s">
        <v>16288</v>
      </c>
      <c r="C18132" t="s">
        <v>65</v>
      </c>
      <c r="D18132" s="21" t="s">
        <v>34</v>
      </c>
      <c r="E18132" s="21" t="s">
        <v>35</v>
      </c>
      <c r="F18132">
        <v>10160223</v>
      </c>
      <c r="G18132" t="s">
        <v>5750</v>
      </c>
      <c r="H18132" s="21">
        <v>784.42</v>
      </c>
    </row>
    <row r="18133" spans="1:8" customFormat="1" x14ac:dyDescent="0.25">
      <c r="A18133" t="str">
        <f>"3117864"</f>
        <v>3117864</v>
      </c>
      <c r="B18133" t="s">
        <v>15179</v>
      </c>
      <c r="C18133" t="s">
        <v>598</v>
      </c>
      <c r="D18133" s="21" t="s">
        <v>34</v>
      </c>
      <c r="E18133" s="21" t="s">
        <v>71</v>
      </c>
      <c r="F18133">
        <v>11310098</v>
      </c>
      <c r="G18133" t="s">
        <v>371</v>
      </c>
      <c r="H18133" s="21">
        <v>784.42</v>
      </c>
    </row>
    <row r="18134" spans="1:8" customFormat="1" x14ac:dyDescent="0.25">
      <c r="A18134" t="str">
        <f>"7869404"</f>
        <v>7869404</v>
      </c>
      <c r="B18134" t="s">
        <v>19109</v>
      </c>
      <c r="C18134" t="s">
        <v>275</v>
      </c>
      <c r="D18134" s="21" t="s">
        <v>34</v>
      </c>
      <c r="E18134" s="21" t="s">
        <v>35</v>
      </c>
      <c r="F18134">
        <v>8780401</v>
      </c>
      <c r="G18134" t="s">
        <v>9116</v>
      </c>
      <c r="H18134" s="21">
        <v>784.29</v>
      </c>
    </row>
    <row r="18135" spans="1:8" customFormat="1" x14ac:dyDescent="0.25">
      <c r="A18135" t="str">
        <f>"7518568"</f>
        <v>7518568</v>
      </c>
      <c r="B18135" t="s">
        <v>15892</v>
      </c>
      <c r="C18135" t="s">
        <v>139</v>
      </c>
      <c r="D18135" s="21" t="s">
        <v>34</v>
      </c>
      <c r="E18135" s="21" t="s">
        <v>35</v>
      </c>
      <c r="F18135">
        <v>8750292</v>
      </c>
      <c r="G18135" t="s">
        <v>9069</v>
      </c>
      <c r="H18135" s="21">
        <v>784.29</v>
      </c>
    </row>
    <row r="18136" spans="1:8" customFormat="1" x14ac:dyDescent="0.25">
      <c r="A18136" t="str">
        <f>"3527599"</f>
        <v>3527599</v>
      </c>
      <c r="B18136" t="s">
        <v>1094</v>
      </c>
      <c r="C18136" t="s">
        <v>2414</v>
      </c>
      <c r="D18136" s="21" t="s">
        <v>34</v>
      </c>
      <c r="E18136" s="21" t="s">
        <v>254</v>
      </c>
      <c r="F18136">
        <v>3350063</v>
      </c>
      <c r="G18136" t="s">
        <v>14782</v>
      </c>
      <c r="H18136" s="21">
        <v>784.17</v>
      </c>
    </row>
    <row r="18137" spans="1:8" customFormat="1" x14ac:dyDescent="0.25">
      <c r="A18137" t="str">
        <f>"603270"</f>
        <v>603270</v>
      </c>
      <c r="B18137" t="s">
        <v>12119</v>
      </c>
      <c r="C18137" t="s">
        <v>147</v>
      </c>
      <c r="D18137" s="21" t="s">
        <v>34</v>
      </c>
      <c r="E18137" s="21" t="s">
        <v>35</v>
      </c>
      <c r="F18137">
        <v>7600088</v>
      </c>
      <c r="G18137" t="s">
        <v>334</v>
      </c>
      <c r="H18137" s="21">
        <v>784.17</v>
      </c>
    </row>
    <row r="18138" spans="1:8" customFormat="1" x14ac:dyDescent="0.25">
      <c r="A18138" t="str">
        <f>"033609"</f>
        <v>033609</v>
      </c>
      <c r="B18138" t="s">
        <v>13365</v>
      </c>
      <c r="C18138" t="s">
        <v>453</v>
      </c>
      <c r="D18138" s="21" t="s">
        <v>34</v>
      </c>
      <c r="E18138" s="21" t="s">
        <v>254</v>
      </c>
      <c r="F18138">
        <v>1630059</v>
      </c>
      <c r="G18138" t="s">
        <v>2486</v>
      </c>
      <c r="H18138" s="21">
        <v>784.17</v>
      </c>
    </row>
    <row r="18139" spans="1:8" customFormat="1" x14ac:dyDescent="0.25">
      <c r="A18139" t="str">
        <f>"4442276"</f>
        <v>4442276</v>
      </c>
      <c r="B18139" t="s">
        <v>17067</v>
      </c>
      <c r="C18139" t="s">
        <v>33</v>
      </c>
      <c r="D18139" s="21" t="s">
        <v>34</v>
      </c>
      <c r="E18139" s="21" t="s">
        <v>35</v>
      </c>
      <c r="F18139">
        <v>12440262</v>
      </c>
      <c r="G18139" t="s">
        <v>4590</v>
      </c>
      <c r="H18139" s="21">
        <v>784.17</v>
      </c>
    </row>
    <row r="18140" spans="1:8" customFormat="1" x14ac:dyDescent="0.25">
      <c r="A18140" t="str">
        <f>"5017465"</f>
        <v>5017465</v>
      </c>
      <c r="B18140" t="s">
        <v>3848</v>
      </c>
      <c r="C18140" t="s">
        <v>171</v>
      </c>
      <c r="D18140" s="21" t="s">
        <v>34</v>
      </c>
      <c r="E18140" s="21" t="s">
        <v>71</v>
      </c>
      <c r="F18140">
        <v>9500139</v>
      </c>
      <c r="G18140" t="s">
        <v>6892</v>
      </c>
      <c r="H18140" s="21">
        <v>784.17</v>
      </c>
    </row>
    <row r="18141" spans="1:8" customFormat="1" x14ac:dyDescent="0.25">
      <c r="A18141" t="str">
        <f>"5936921"</f>
        <v>5936921</v>
      </c>
      <c r="B18141" t="s">
        <v>13635</v>
      </c>
      <c r="C18141" t="s">
        <v>269</v>
      </c>
      <c r="D18141" s="21" t="s">
        <v>34</v>
      </c>
      <c r="E18141" s="21" t="s">
        <v>35</v>
      </c>
      <c r="F18141">
        <v>10240007</v>
      </c>
      <c r="G18141" t="s">
        <v>2326</v>
      </c>
      <c r="H18141" s="21">
        <v>784.17</v>
      </c>
    </row>
    <row r="18142" spans="1:8" customFormat="1" x14ac:dyDescent="0.25">
      <c r="A18142" t="str">
        <f>"4435625"</f>
        <v>4435625</v>
      </c>
      <c r="B18142" t="s">
        <v>4449</v>
      </c>
      <c r="C18142" t="s">
        <v>62</v>
      </c>
      <c r="D18142" s="21" t="s">
        <v>34</v>
      </c>
      <c r="E18142" s="21" t="s">
        <v>35</v>
      </c>
      <c r="F18142">
        <v>12440127</v>
      </c>
      <c r="G18142" t="s">
        <v>7692</v>
      </c>
      <c r="H18142" s="21">
        <v>784.17</v>
      </c>
    </row>
    <row r="18143" spans="1:8" customFormat="1" x14ac:dyDescent="0.25">
      <c r="A18143" t="str">
        <f>"7616531"</f>
        <v>7616531</v>
      </c>
      <c r="B18143" t="s">
        <v>10017</v>
      </c>
      <c r="C18143" t="s">
        <v>169</v>
      </c>
      <c r="D18143" s="21" t="s">
        <v>34</v>
      </c>
      <c r="E18143" s="21" t="s">
        <v>71</v>
      </c>
      <c r="F18143">
        <v>9760419</v>
      </c>
      <c r="G18143" t="s">
        <v>8549</v>
      </c>
      <c r="H18143" s="21">
        <v>784.17</v>
      </c>
    </row>
    <row r="18144" spans="1:8" customFormat="1" x14ac:dyDescent="0.25">
      <c r="A18144" t="str">
        <f>"3324729"</f>
        <v>3324729</v>
      </c>
      <c r="B18144" t="s">
        <v>15276</v>
      </c>
      <c r="C18144" t="s">
        <v>415</v>
      </c>
      <c r="D18144" s="21" t="s">
        <v>34</v>
      </c>
      <c r="E18144" s="21" t="s">
        <v>35</v>
      </c>
      <c r="F18144">
        <v>10330013</v>
      </c>
      <c r="G18144" t="s">
        <v>613</v>
      </c>
      <c r="H18144" s="21">
        <v>784.17</v>
      </c>
    </row>
    <row r="18145" spans="1:8" customFormat="1" x14ac:dyDescent="0.25">
      <c r="A18145" t="str">
        <f>"2934355"</f>
        <v>2934355</v>
      </c>
      <c r="B18145" t="s">
        <v>12980</v>
      </c>
      <c r="C18145" t="s">
        <v>169</v>
      </c>
      <c r="D18145" s="21" t="s">
        <v>34</v>
      </c>
      <c r="E18145" s="21" t="s">
        <v>71</v>
      </c>
      <c r="F18145">
        <v>3290005</v>
      </c>
      <c r="G18145" t="s">
        <v>1253</v>
      </c>
      <c r="H18145" s="21">
        <v>784.17</v>
      </c>
    </row>
    <row r="18146" spans="1:8" customFormat="1" x14ac:dyDescent="0.25">
      <c r="A18146" t="str">
        <f>"1413358"</f>
        <v>1413358</v>
      </c>
      <c r="B18146" t="s">
        <v>7695</v>
      </c>
      <c r="C18146" t="s">
        <v>547</v>
      </c>
      <c r="D18146" s="21" t="s">
        <v>34</v>
      </c>
      <c r="E18146" s="21" t="s">
        <v>254</v>
      </c>
      <c r="F18146">
        <v>9140115</v>
      </c>
      <c r="G18146" t="s">
        <v>26590</v>
      </c>
      <c r="H18146" s="21">
        <v>784.17</v>
      </c>
    </row>
    <row r="18147" spans="1:8" customFormat="1" x14ac:dyDescent="0.25">
      <c r="A18147" t="str">
        <f>"5710094"</f>
        <v>5710094</v>
      </c>
      <c r="B18147" t="s">
        <v>15336</v>
      </c>
      <c r="C18147" t="s">
        <v>169</v>
      </c>
      <c r="D18147" s="21" t="s">
        <v>34</v>
      </c>
      <c r="E18147" s="21" t="s">
        <v>35</v>
      </c>
      <c r="F18147">
        <v>13840006</v>
      </c>
      <c r="G18147" t="s">
        <v>10139</v>
      </c>
      <c r="H18147" s="21">
        <v>784</v>
      </c>
    </row>
    <row r="18148" spans="1:8" customFormat="1" x14ac:dyDescent="0.25">
      <c r="A18148" t="str">
        <f>"5425409"</f>
        <v>5425409</v>
      </c>
      <c r="B18148" t="s">
        <v>2775</v>
      </c>
      <c r="C18148" t="s">
        <v>33</v>
      </c>
      <c r="D18148" s="21" t="s">
        <v>34</v>
      </c>
      <c r="E18148" s="21" t="s">
        <v>35</v>
      </c>
      <c r="F18148">
        <v>6540088</v>
      </c>
      <c r="G18148" t="s">
        <v>2108</v>
      </c>
      <c r="H18148" s="21">
        <v>783.92</v>
      </c>
    </row>
    <row r="18149" spans="1:8" customFormat="1" x14ac:dyDescent="0.25">
      <c r="A18149" t="str">
        <f>"5016058"</f>
        <v>5016058</v>
      </c>
      <c r="B18149" t="s">
        <v>9353</v>
      </c>
      <c r="C18149" t="s">
        <v>3905</v>
      </c>
      <c r="D18149" s="21" t="s">
        <v>34</v>
      </c>
      <c r="E18149" s="21" t="s">
        <v>254</v>
      </c>
      <c r="F18149">
        <v>9500130</v>
      </c>
      <c r="G18149" t="s">
        <v>5326</v>
      </c>
      <c r="H18149" s="21">
        <v>783.67</v>
      </c>
    </row>
    <row r="18150" spans="1:8" customFormat="1" x14ac:dyDescent="0.25">
      <c r="A18150" t="str">
        <f>"242378"</f>
        <v>242378</v>
      </c>
      <c r="B18150" t="s">
        <v>17003</v>
      </c>
      <c r="C18150" t="s">
        <v>547</v>
      </c>
      <c r="D18150" s="21" t="s">
        <v>34</v>
      </c>
      <c r="E18150" s="21" t="s">
        <v>71</v>
      </c>
      <c r="F18150">
        <v>10240026</v>
      </c>
      <c r="G18150" t="s">
        <v>11667</v>
      </c>
      <c r="H18150" s="21">
        <v>783.67</v>
      </c>
    </row>
    <row r="18151" spans="1:8" customFormat="1" x14ac:dyDescent="0.25">
      <c r="A18151" t="str">
        <f>"728930"</f>
        <v>728930</v>
      </c>
      <c r="B18151" t="s">
        <v>14403</v>
      </c>
      <c r="C18151" t="s">
        <v>253</v>
      </c>
      <c r="D18151" s="21" t="s">
        <v>34</v>
      </c>
      <c r="E18151" s="21" t="s">
        <v>254</v>
      </c>
      <c r="F18151">
        <v>12720009</v>
      </c>
      <c r="G18151" t="s">
        <v>6928</v>
      </c>
      <c r="H18151" s="21">
        <v>783.67</v>
      </c>
    </row>
    <row r="18152" spans="1:8" customFormat="1" x14ac:dyDescent="0.25">
      <c r="A18152" t="str">
        <f>"737786"</f>
        <v>737786</v>
      </c>
      <c r="B18152" t="s">
        <v>13945</v>
      </c>
      <c r="C18152" t="s">
        <v>14188</v>
      </c>
      <c r="D18152" s="21" t="s">
        <v>34</v>
      </c>
      <c r="E18152" s="21" t="s">
        <v>35</v>
      </c>
      <c r="F18152">
        <v>1730077</v>
      </c>
      <c r="G18152" t="s">
        <v>1517</v>
      </c>
      <c r="H18152" s="21">
        <v>783.67</v>
      </c>
    </row>
    <row r="18153" spans="1:8" customFormat="1" x14ac:dyDescent="0.25">
      <c r="A18153" t="str">
        <f>"07643"</f>
        <v>07643</v>
      </c>
      <c r="B18153" t="s">
        <v>14178</v>
      </c>
      <c r="C18153" t="s">
        <v>55</v>
      </c>
      <c r="D18153" s="21" t="s">
        <v>34</v>
      </c>
      <c r="E18153" s="21" t="s">
        <v>71</v>
      </c>
      <c r="F18153">
        <v>1260015</v>
      </c>
      <c r="G18153" t="s">
        <v>4712</v>
      </c>
      <c r="H18153" s="21">
        <v>783.67</v>
      </c>
    </row>
    <row r="18154" spans="1:8" customFormat="1" x14ac:dyDescent="0.25">
      <c r="A18154" t="str">
        <f>"9517558"</f>
        <v>9517558</v>
      </c>
      <c r="B18154" t="s">
        <v>27518</v>
      </c>
      <c r="C18154" t="s">
        <v>822</v>
      </c>
      <c r="D18154" s="21" t="s">
        <v>34</v>
      </c>
      <c r="E18154" s="21" t="s">
        <v>6185</v>
      </c>
      <c r="F18154">
        <v>8950103</v>
      </c>
      <c r="G18154" t="s">
        <v>440</v>
      </c>
      <c r="H18154" s="21">
        <v>783.67</v>
      </c>
    </row>
    <row r="18155" spans="1:8" customFormat="1" x14ac:dyDescent="0.25">
      <c r="A18155" t="str">
        <f>"76218"</f>
        <v>76218</v>
      </c>
      <c r="B18155" t="s">
        <v>8810</v>
      </c>
      <c r="C18155" t="s">
        <v>598</v>
      </c>
      <c r="D18155" s="21" t="s">
        <v>34</v>
      </c>
      <c r="E18155" s="21" t="s">
        <v>254</v>
      </c>
      <c r="F18155">
        <v>9760007</v>
      </c>
      <c r="G18155" t="s">
        <v>7255</v>
      </c>
      <c r="H18155" s="21">
        <v>783.67</v>
      </c>
    </row>
    <row r="18156" spans="1:8" customFormat="1" x14ac:dyDescent="0.25">
      <c r="A18156" t="str">
        <f>"4437546"</f>
        <v>4437546</v>
      </c>
      <c r="B18156" t="s">
        <v>6266</v>
      </c>
      <c r="C18156" t="s">
        <v>209</v>
      </c>
      <c r="D18156" s="21" t="s">
        <v>34</v>
      </c>
      <c r="E18156" s="21" t="s">
        <v>254</v>
      </c>
      <c r="F18156">
        <v>4370346</v>
      </c>
      <c r="G18156" t="s">
        <v>8269</v>
      </c>
      <c r="H18156" s="21">
        <v>783.67</v>
      </c>
    </row>
    <row r="18157" spans="1:8" customFormat="1" x14ac:dyDescent="0.25">
      <c r="A18157" t="str">
        <f>"244448"</f>
        <v>244448</v>
      </c>
      <c r="B18157" t="s">
        <v>15271</v>
      </c>
      <c r="C18157" t="s">
        <v>2520</v>
      </c>
      <c r="D18157" s="21" t="s">
        <v>34</v>
      </c>
      <c r="E18157" s="21" t="s">
        <v>71</v>
      </c>
      <c r="F18157">
        <v>10240007</v>
      </c>
      <c r="G18157" t="s">
        <v>2326</v>
      </c>
      <c r="H18157" s="21">
        <v>783.67</v>
      </c>
    </row>
    <row r="18158" spans="1:8" customFormat="1" x14ac:dyDescent="0.25">
      <c r="A18158" t="str">
        <f>"7216735"</f>
        <v>7216735</v>
      </c>
      <c r="B18158" t="s">
        <v>3947</v>
      </c>
      <c r="C18158" t="s">
        <v>33</v>
      </c>
      <c r="D18158" s="21" t="s">
        <v>34</v>
      </c>
      <c r="E18158" s="21" t="s">
        <v>254</v>
      </c>
      <c r="F18158">
        <v>12720051</v>
      </c>
      <c r="G18158" t="s">
        <v>9476</v>
      </c>
      <c r="H18158" s="21">
        <v>783.42</v>
      </c>
    </row>
    <row r="18159" spans="1:8" customFormat="1" x14ac:dyDescent="0.25">
      <c r="A18159" t="str">
        <f>"95713"</f>
        <v>95713</v>
      </c>
      <c r="B18159" t="s">
        <v>14995</v>
      </c>
      <c r="C18159" t="s">
        <v>5861</v>
      </c>
      <c r="D18159" s="21" t="s">
        <v>34</v>
      </c>
      <c r="E18159" s="21" t="s">
        <v>1089</v>
      </c>
      <c r="F18159">
        <v>8951331</v>
      </c>
      <c r="G18159" t="s">
        <v>1134</v>
      </c>
      <c r="H18159" s="21">
        <v>783.42</v>
      </c>
    </row>
    <row r="18160" spans="1:8" customFormat="1" x14ac:dyDescent="0.25">
      <c r="A18160" t="str">
        <f>"80849"</f>
        <v>80849</v>
      </c>
      <c r="B18160" t="s">
        <v>16128</v>
      </c>
      <c r="C18160" t="s">
        <v>121</v>
      </c>
      <c r="D18160" s="21" t="s">
        <v>34</v>
      </c>
      <c r="E18160" s="21" t="s">
        <v>71</v>
      </c>
      <c r="F18160">
        <v>7800030</v>
      </c>
      <c r="G18160" t="s">
        <v>13589</v>
      </c>
      <c r="H18160" s="21">
        <v>783.17</v>
      </c>
    </row>
    <row r="18161" spans="1:8" customFormat="1" x14ac:dyDescent="0.25">
      <c r="A18161" t="str">
        <f>"3519393"</f>
        <v>3519393</v>
      </c>
      <c r="B18161" t="s">
        <v>146</v>
      </c>
      <c r="C18161" t="s">
        <v>7923</v>
      </c>
      <c r="D18161" s="21" t="s">
        <v>34</v>
      </c>
      <c r="E18161" s="21" t="s">
        <v>35</v>
      </c>
      <c r="F18161">
        <v>3350031</v>
      </c>
      <c r="G18161" t="s">
        <v>13199</v>
      </c>
      <c r="H18161" s="21">
        <v>783.17</v>
      </c>
    </row>
    <row r="18162" spans="1:8" customFormat="1" x14ac:dyDescent="0.25">
      <c r="A18162" t="str">
        <f>"1711355"</f>
        <v>1711355</v>
      </c>
      <c r="B18162" t="s">
        <v>15330</v>
      </c>
      <c r="C18162" t="s">
        <v>1132</v>
      </c>
      <c r="D18162" s="21" t="s">
        <v>34</v>
      </c>
      <c r="E18162" s="21" t="s">
        <v>71</v>
      </c>
      <c r="F18162">
        <v>10170012</v>
      </c>
      <c r="G18162" t="s">
        <v>14768</v>
      </c>
      <c r="H18162" s="21">
        <v>783.17</v>
      </c>
    </row>
    <row r="18163" spans="1:8" customFormat="1" x14ac:dyDescent="0.25">
      <c r="A18163" t="str">
        <f>"7920270"</f>
        <v>7920270</v>
      </c>
      <c r="B18163" t="s">
        <v>9983</v>
      </c>
      <c r="C18163" t="s">
        <v>87</v>
      </c>
      <c r="D18163" s="21" t="s">
        <v>34</v>
      </c>
      <c r="E18163" s="21" t="s">
        <v>71</v>
      </c>
      <c r="F18163">
        <v>10790036</v>
      </c>
      <c r="G18163" t="s">
        <v>4946</v>
      </c>
      <c r="H18163" s="21">
        <v>783.17</v>
      </c>
    </row>
    <row r="18164" spans="1:8" customFormat="1" x14ac:dyDescent="0.25">
      <c r="A18164" t="str">
        <f>"6714380"</f>
        <v>6714380</v>
      </c>
      <c r="B18164" t="s">
        <v>14553</v>
      </c>
      <c r="C18164" t="s">
        <v>2365</v>
      </c>
      <c r="D18164" s="21" t="s">
        <v>34</v>
      </c>
      <c r="E18164" s="21" t="s">
        <v>254</v>
      </c>
      <c r="F18164">
        <v>6670247</v>
      </c>
      <c r="G18164" t="s">
        <v>7594</v>
      </c>
      <c r="H18164" s="21">
        <v>783.17</v>
      </c>
    </row>
    <row r="18165" spans="1:8" customFormat="1" x14ac:dyDescent="0.25">
      <c r="A18165" t="str">
        <f>"577394"</f>
        <v>577394</v>
      </c>
      <c r="B18165" t="s">
        <v>14496</v>
      </c>
      <c r="C18165" t="s">
        <v>379</v>
      </c>
      <c r="D18165" s="21" t="s">
        <v>34</v>
      </c>
      <c r="E18165" s="21" t="s">
        <v>1089</v>
      </c>
      <c r="F18165">
        <v>6570179</v>
      </c>
      <c r="G18165" t="s">
        <v>9205</v>
      </c>
      <c r="H18165" s="21">
        <v>783.17</v>
      </c>
    </row>
    <row r="18166" spans="1:8" customFormat="1" x14ac:dyDescent="0.25">
      <c r="A18166" t="str">
        <f>"7918689"</f>
        <v>7918689</v>
      </c>
      <c r="B18166" t="s">
        <v>15203</v>
      </c>
      <c r="C18166" t="s">
        <v>149</v>
      </c>
      <c r="D18166" s="21" t="s">
        <v>34</v>
      </c>
      <c r="E18166" s="21" t="s">
        <v>35</v>
      </c>
      <c r="F18166">
        <v>10790235</v>
      </c>
      <c r="G18166" t="s">
        <v>413</v>
      </c>
      <c r="H18166" s="21">
        <v>783.17</v>
      </c>
    </row>
    <row r="18167" spans="1:8" customFormat="1" x14ac:dyDescent="0.25">
      <c r="A18167" t="str">
        <f>"473409"</f>
        <v>473409</v>
      </c>
      <c r="B18167" t="s">
        <v>983</v>
      </c>
      <c r="C18167" t="s">
        <v>2479</v>
      </c>
      <c r="D18167" s="21" t="s">
        <v>34</v>
      </c>
      <c r="E18167" s="21" t="s">
        <v>35</v>
      </c>
      <c r="F18167">
        <v>10470021</v>
      </c>
      <c r="G18167" t="s">
        <v>1034</v>
      </c>
      <c r="H18167" s="21">
        <v>783.17</v>
      </c>
    </row>
    <row r="18168" spans="1:8" customFormat="1" x14ac:dyDescent="0.25">
      <c r="A18168" t="str">
        <f>"672630"</f>
        <v>672630</v>
      </c>
      <c r="B18168" t="s">
        <v>14271</v>
      </c>
      <c r="C18168" t="s">
        <v>269</v>
      </c>
      <c r="D18168" s="21" t="s">
        <v>34</v>
      </c>
      <c r="E18168" s="21" t="s">
        <v>71</v>
      </c>
      <c r="F18168">
        <v>6670272</v>
      </c>
      <c r="G18168" t="s">
        <v>26568</v>
      </c>
      <c r="H18168" s="21">
        <v>783.17</v>
      </c>
    </row>
    <row r="18169" spans="1:8" customFormat="1" x14ac:dyDescent="0.25">
      <c r="A18169" t="str">
        <f>"08579"</f>
        <v>08579</v>
      </c>
      <c r="B18169" t="s">
        <v>14605</v>
      </c>
      <c r="C18169" t="s">
        <v>2529</v>
      </c>
      <c r="D18169" s="21" t="s">
        <v>34</v>
      </c>
      <c r="E18169" s="21" t="s">
        <v>71</v>
      </c>
      <c r="F18169">
        <v>6080035</v>
      </c>
      <c r="G18169" t="s">
        <v>583</v>
      </c>
      <c r="H18169" s="21">
        <v>783.17</v>
      </c>
    </row>
    <row r="18170" spans="1:8" customFormat="1" x14ac:dyDescent="0.25">
      <c r="A18170" t="str">
        <f>"685386"</f>
        <v>685386</v>
      </c>
      <c r="B18170" t="s">
        <v>14719</v>
      </c>
      <c r="C18170" t="s">
        <v>13810</v>
      </c>
      <c r="D18170" s="21" t="s">
        <v>34</v>
      </c>
      <c r="E18170" s="21" t="s">
        <v>1089</v>
      </c>
      <c r="F18170">
        <v>6680091</v>
      </c>
      <c r="G18170" t="s">
        <v>693</v>
      </c>
      <c r="H18170" s="21">
        <v>783.17</v>
      </c>
    </row>
    <row r="18171" spans="1:8" customFormat="1" x14ac:dyDescent="0.25">
      <c r="A18171" t="str">
        <f>"402337"</f>
        <v>402337</v>
      </c>
      <c r="B18171" t="s">
        <v>15682</v>
      </c>
      <c r="C18171" t="s">
        <v>415</v>
      </c>
      <c r="D18171" s="21" t="s">
        <v>34</v>
      </c>
      <c r="E18171" s="21" t="s">
        <v>1089</v>
      </c>
      <c r="F18171">
        <v>10400002</v>
      </c>
      <c r="G18171" t="s">
        <v>1975</v>
      </c>
      <c r="H18171" s="21">
        <v>783.17</v>
      </c>
    </row>
    <row r="18172" spans="1:8" customFormat="1" x14ac:dyDescent="0.25">
      <c r="A18172" t="str">
        <f>"4925728"</f>
        <v>4925728</v>
      </c>
      <c r="B18172" t="s">
        <v>15661</v>
      </c>
      <c r="C18172" t="s">
        <v>209</v>
      </c>
      <c r="D18172" s="21" t="s">
        <v>34</v>
      </c>
      <c r="E18172" s="21" t="s">
        <v>254</v>
      </c>
      <c r="F18172">
        <v>12850135</v>
      </c>
      <c r="G18172" t="s">
        <v>5201</v>
      </c>
      <c r="H18172" s="21">
        <v>783.17</v>
      </c>
    </row>
    <row r="18173" spans="1:8" customFormat="1" x14ac:dyDescent="0.25">
      <c r="A18173" t="str">
        <f>"592895"</f>
        <v>592895</v>
      </c>
      <c r="B18173" t="s">
        <v>582</v>
      </c>
      <c r="C18173" t="s">
        <v>13352</v>
      </c>
      <c r="D18173" s="21" t="s">
        <v>34</v>
      </c>
      <c r="E18173" s="21" t="s">
        <v>1089</v>
      </c>
      <c r="F18173">
        <v>7590170</v>
      </c>
      <c r="G18173" t="s">
        <v>868</v>
      </c>
      <c r="H18173" s="21">
        <v>783.17</v>
      </c>
    </row>
    <row r="18174" spans="1:8" customFormat="1" x14ac:dyDescent="0.25">
      <c r="A18174" t="str">
        <f>"5020545"</f>
        <v>5020545</v>
      </c>
      <c r="B18174" t="s">
        <v>5795</v>
      </c>
      <c r="C18174" t="s">
        <v>608</v>
      </c>
      <c r="D18174" s="21" t="s">
        <v>34</v>
      </c>
      <c r="E18174" s="21" t="s">
        <v>35</v>
      </c>
      <c r="F18174">
        <v>9500030</v>
      </c>
      <c r="G18174" t="s">
        <v>2166</v>
      </c>
      <c r="H18174" s="21">
        <v>783.17</v>
      </c>
    </row>
    <row r="18175" spans="1:8" customFormat="1" x14ac:dyDescent="0.25">
      <c r="A18175" t="str">
        <f>"663260"</f>
        <v>663260</v>
      </c>
      <c r="B18175" t="s">
        <v>67</v>
      </c>
      <c r="C18175" t="s">
        <v>33</v>
      </c>
      <c r="D18175" s="21" t="s">
        <v>34</v>
      </c>
      <c r="E18175" s="21" t="s">
        <v>71</v>
      </c>
      <c r="F18175">
        <v>11660031</v>
      </c>
      <c r="G18175" t="s">
        <v>12617</v>
      </c>
      <c r="H18175" s="21">
        <v>783.17</v>
      </c>
    </row>
    <row r="18176" spans="1:8" customFormat="1" x14ac:dyDescent="0.25">
      <c r="A18176" t="str">
        <f>"5014405"</f>
        <v>5014405</v>
      </c>
      <c r="B18176" t="s">
        <v>27519</v>
      </c>
      <c r="C18176" t="s">
        <v>139</v>
      </c>
      <c r="D18176" s="21" t="s">
        <v>34</v>
      </c>
      <c r="E18176" s="21" t="s">
        <v>71</v>
      </c>
      <c r="F18176">
        <v>9500131</v>
      </c>
      <c r="G18176" t="s">
        <v>1073</v>
      </c>
      <c r="H18176" s="21">
        <v>783.17</v>
      </c>
    </row>
    <row r="18177" spans="1:8" customFormat="1" x14ac:dyDescent="0.25">
      <c r="A18177" t="str">
        <f>"7620038"</f>
        <v>7620038</v>
      </c>
      <c r="B18177" t="s">
        <v>14803</v>
      </c>
      <c r="C18177" t="s">
        <v>267</v>
      </c>
      <c r="D18177" s="21" t="s">
        <v>34</v>
      </c>
      <c r="E18177" s="21" t="s">
        <v>71</v>
      </c>
      <c r="F18177">
        <v>9760168</v>
      </c>
      <c r="G18177" t="s">
        <v>179</v>
      </c>
      <c r="H18177" s="21">
        <v>783.17</v>
      </c>
    </row>
    <row r="18178" spans="1:8" customFormat="1" x14ac:dyDescent="0.25">
      <c r="A18178" t="str">
        <f>"42521"</f>
        <v>42521</v>
      </c>
      <c r="B18178" t="s">
        <v>7872</v>
      </c>
      <c r="C18178" t="s">
        <v>2520</v>
      </c>
      <c r="D18178" s="21" t="s">
        <v>34</v>
      </c>
      <c r="E18178" s="21" t="s">
        <v>254</v>
      </c>
      <c r="F18178">
        <v>1420149</v>
      </c>
      <c r="G18178" t="s">
        <v>818</v>
      </c>
      <c r="H18178" s="21">
        <v>783.17</v>
      </c>
    </row>
    <row r="18179" spans="1:8" customFormat="1" x14ac:dyDescent="0.25">
      <c r="A18179" t="str">
        <f>"9314069"</f>
        <v>9314069</v>
      </c>
      <c r="B18179" t="s">
        <v>3387</v>
      </c>
      <c r="C18179" t="s">
        <v>263</v>
      </c>
      <c r="D18179" s="21" t="s">
        <v>34</v>
      </c>
      <c r="E18179" s="21" t="s">
        <v>71</v>
      </c>
      <c r="F18179">
        <v>8930113</v>
      </c>
      <c r="G18179" t="s">
        <v>368</v>
      </c>
      <c r="H18179" s="21">
        <v>783.17</v>
      </c>
    </row>
    <row r="18180" spans="1:8" customFormat="1" x14ac:dyDescent="0.25">
      <c r="A18180" t="str">
        <f>"419211"</f>
        <v>419211</v>
      </c>
      <c r="B18180" t="s">
        <v>15825</v>
      </c>
      <c r="C18180" t="s">
        <v>209</v>
      </c>
      <c r="D18180" s="21" t="s">
        <v>34</v>
      </c>
      <c r="E18180" s="21" t="s">
        <v>71</v>
      </c>
      <c r="F18180">
        <v>4410612</v>
      </c>
      <c r="G18180" t="s">
        <v>815</v>
      </c>
      <c r="H18180" s="21">
        <v>783.04</v>
      </c>
    </row>
    <row r="18181" spans="1:8" customFormat="1" x14ac:dyDescent="0.25">
      <c r="A18181" t="str">
        <f>"446918"</f>
        <v>446918</v>
      </c>
      <c r="B18181" t="s">
        <v>15563</v>
      </c>
      <c r="C18181" t="s">
        <v>3010</v>
      </c>
      <c r="D18181" s="21" t="s">
        <v>34</v>
      </c>
      <c r="E18181" s="21" t="s">
        <v>254</v>
      </c>
      <c r="F18181">
        <v>12440076</v>
      </c>
      <c r="G18181" t="s">
        <v>1750</v>
      </c>
      <c r="H18181" s="21">
        <v>782.92</v>
      </c>
    </row>
    <row r="18182" spans="1:8" customFormat="1" x14ac:dyDescent="0.25">
      <c r="A18182" t="str">
        <f>"111177"</f>
        <v>111177</v>
      </c>
      <c r="B18182" t="s">
        <v>3001</v>
      </c>
      <c r="C18182" t="s">
        <v>204</v>
      </c>
      <c r="D18182" s="21" t="s">
        <v>34</v>
      </c>
      <c r="E18182" s="21" t="s">
        <v>71</v>
      </c>
      <c r="F18182">
        <v>11110013</v>
      </c>
      <c r="G18182" t="s">
        <v>640</v>
      </c>
      <c r="H18182" s="21">
        <v>782.92</v>
      </c>
    </row>
    <row r="18183" spans="1:8" customFormat="1" x14ac:dyDescent="0.25">
      <c r="A18183" t="str">
        <f>"5319613"</f>
        <v>5319613</v>
      </c>
      <c r="B18183" t="s">
        <v>12779</v>
      </c>
      <c r="C18183" t="s">
        <v>33</v>
      </c>
      <c r="D18183" s="21" t="s">
        <v>34</v>
      </c>
      <c r="E18183" s="21" t="s">
        <v>35</v>
      </c>
      <c r="F18183">
        <v>12538910</v>
      </c>
      <c r="G18183" t="s">
        <v>8855</v>
      </c>
      <c r="H18183" s="21">
        <v>782.92</v>
      </c>
    </row>
    <row r="18184" spans="1:8" customFormat="1" x14ac:dyDescent="0.25">
      <c r="A18184" t="str">
        <f>"5319368"</f>
        <v>5319368</v>
      </c>
      <c r="B18184" t="s">
        <v>16076</v>
      </c>
      <c r="C18184" t="s">
        <v>249</v>
      </c>
      <c r="D18184" s="21" t="s">
        <v>34</v>
      </c>
      <c r="E18184" s="21" t="s">
        <v>35</v>
      </c>
      <c r="F18184">
        <v>12538900</v>
      </c>
      <c r="G18184" t="s">
        <v>14904</v>
      </c>
      <c r="H18184" s="21">
        <v>782.92</v>
      </c>
    </row>
    <row r="18185" spans="1:8" customFormat="1" x14ac:dyDescent="0.25">
      <c r="A18185" t="str">
        <f>"16741"</f>
        <v>16741</v>
      </c>
      <c r="B18185" t="s">
        <v>13494</v>
      </c>
      <c r="C18185" t="s">
        <v>469</v>
      </c>
      <c r="D18185" s="21" t="s">
        <v>34</v>
      </c>
      <c r="E18185" s="21" t="s">
        <v>254</v>
      </c>
      <c r="F18185">
        <v>10160042</v>
      </c>
      <c r="G18185" t="s">
        <v>7461</v>
      </c>
      <c r="H18185" s="21">
        <v>782.92</v>
      </c>
    </row>
    <row r="18186" spans="1:8" customFormat="1" x14ac:dyDescent="0.25">
      <c r="A18186" t="str">
        <f>"99669"</f>
        <v>99669</v>
      </c>
      <c r="B18186" t="s">
        <v>14823</v>
      </c>
      <c r="C18186" t="s">
        <v>1025</v>
      </c>
      <c r="D18186" s="21" t="s">
        <v>34</v>
      </c>
      <c r="E18186" s="21" t="s">
        <v>254</v>
      </c>
      <c r="F18186">
        <v>5980003</v>
      </c>
      <c r="G18186" t="s">
        <v>1746</v>
      </c>
      <c r="H18186" s="21">
        <v>782.79</v>
      </c>
    </row>
    <row r="18187" spans="1:8" customFormat="1" x14ac:dyDescent="0.25">
      <c r="A18187" t="str">
        <f>"5957048"</f>
        <v>5957048</v>
      </c>
      <c r="B18187" t="s">
        <v>16941</v>
      </c>
      <c r="C18187" t="s">
        <v>209</v>
      </c>
      <c r="D18187" s="21" t="s">
        <v>34</v>
      </c>
      <c r="E18187" s="21" t="s">
        <v>35</v>
      </c>
      <c r="F18187">
        <v>7590113</v>
      </c>
      <c r="G18187" t="s">
        <v>7808</v>
      </c>
      <c r="H18187" s="21">
        <v>782.67</v>
      </c>
    </row>
    <row r="18188" spans="1:8" customFormat="1" x14ac:dyDescent="0.25">
      <c r="A18188" t="str">
        <f>"5420731"</f>
        <v>5420731</v>
      </c>
      <c r="B18188" t="s">
        <v>27520</v>
      </c>
      <c r="C18188" t="s">
        <v>302</v>
      </c>
      <c r="D18188" s="21" t="s">
        <v>34</v>
      </c>
      <c r="E18188" s="21" t="s">
        <v>35</v>
      </c>
      <c r="F18188">
        <v>7020019</v>
      </c>
      <c r="G18188" t="s">
        <v>7912</v>
      </c>
      <c r="H18188" s="21">
        <v>782.67</v>
      </c>
    </row>
    <row r="18189" spans="1:8" customFormat="1" x14ac:dyDescent="0.25">
      <c r="A18189" t="str">
        <f>"8314748"</f>
        <v>8314748</v>
      </c>
      <c r="B18189" t="s">
        <v>17663</v>
      </c>
      <c r="C18189" t="s">
        <v>87</v>
      </c>
      <c r="D18189" s="21" t="s">
        <v>34</v>
      </c>
      <c r="E18189" s="21" t="s">
        <v>35</v>
      </c>
      <c r="F18189">
        <v>13830088</v>
      </c>
      <c r="G18189" t="s">
        <v>17664</v>
      </c>
      <c r="H18189" s="21">
        <v>782.67</v>
      </c>
    </row>
    <row r="18190" spans="1:8" customFormat="1" x14ac:dyDescent="0.25">
      <c r="A18190" t="str">
        <f>"8515332"</f>
        <v>8515332</v>
      </c>
      <c r="B18190" t="s">
        <v>15044</v>
      </c>
      <c r="C18190" t="s">
        <v>62</v>
      </c>
      <c r="D18190" s="21" t="s">
        <v>34</v>
      </c>
      <c r="E18190" s="21" t="s">
        <v>35</v>
      </c>
      <c r="F18190">
        <v>12850125</v>
      </c>
      <c r="G18190" t="s">
        <v>9898</v>
      </c>
      <c r="H18190" s="21">
        <v>782.67</v>
      </c>
    </row>
    <row r="18191" spans="1:8" customFormat="1" x14ac:dyDescent="0.25">
      <c r="A18191" t="str">
        <f>"5618453"</f>
        <v>5618453</v>
      </c>
      <c r="B18191" t="s">
        <v>4109</v>
      </c>
      <c r="C18191" t="s">
        <v>598</v>
      </c>
      <c r="D18191" s="21" t="s">
        <v>34</v>
      </c>
      <c r="E18191" s="21" t="s">
        <v>71</v>
      </c>
      <c r="F18191">
        <v>3560017</v>
      </c>
      <c r="G18191" t="s">
        <v>5745</v>
      </c>
      <c r="H18191" s="21">
        <v>782.67</v>
      </c>
    </row>
    <row r="18192" spans="1:8" customFormat="1" x14ac:dyDescent="0.25">
      <c r="A18192" t="str">
        <f>"5732480"</f>
        <v>5732480</v>
      </c>
      <c r="B18192" t="s">
        <v>10676</v>
      </c>
      <c r="C18192" t="s">
        <v>139</v>
      </c>
      <c r="D18192" s="21" t="s">
        <v>34</v>
      </c>
      <c r="E18192" s="21" t="s">
        <v>35</v>
      </c>
      <c r="F18192">
        <v>6570201</v>
      </c>
      <c r="G18192" t="s">
        <v>3296</v>
      </c>
      <c r="H18192" s="21">
        <v>782.67</v>
      </c>
    </row>
    <row r="18193" spans="1:8" customFormat="1" x14ac:dyDescent="0.25">
      <c r="A18193" t="str">
        <f>"742559"</f>
        <v>742559</v>
      </c>
      <c r="B18193" t="s">
        <v>11658</v>
      </c>
      <c r="C18193" t="s">
        <v>4721</v>
      </c>
      <c r="D18193" s="21" t="s">
        <v>34</v>
      </c>
      <c r="E18193" s="21" t="s">
        <v>254</v>
      </c>
      <c r="F18193">
        <v>1740087</v>
      </c>
      <c r="G18193" t="s">
        <v>10858</v>
      </c>
      <c r="H18193" s="21">
        <v>782.67</v>
      </c>
    </row>
    <row r="18194" spans="1:8" customFormat="1" x14ac:dyDescent="0.25">
      <c r="A18194" t="str">
        <f>"811525"</f>
        <v>811525</v>
      </c>
      <c r="B18194" t="s">
        <v>4352</v>
      </c>
      <c r="C18194" t="s">
        <v>269</v>
      </c>
      <c r="D18194" s="21" t="s">
        <v>34</v>
      </c>
      <c r="E18194" s="21" t="s">
        <v>1089</v>
      </c>
      <c r="F18194">
        <v>11810001</v>
      </c>
      <c r="G18194" t="s">
        <v>26998</v>
      </c>
      <c r="H18194" s="21">
        <v>782.67</v>
      </c>
    </row>
    <row r="18195" spans="1:8" customFormat="1" x14ac:dyDescent="0.25">
      <c r="A18195" t="str">
        <f>"67741"</f>
        <v>67741</v>
      </c>
      <c r="B18195" t="s">
        <v>14225</v>
      </c>
      <c r="C18195" t="s">
        <v>2276</v>
      </c>
      <c r="D18195" s="21" t="s">
        <v>34</v>
      </c>
      <c r="E18195" s="21" t="s">
        <v>254</v>
      </c>
      <c r="F18195">
        <v>6670072</v>
      </c>
      <c r="G18195" t="s">
        <v>4154</v>
      </c>
      <c r="H18195" s="21">
        <v>782.67</v>
      </c>
    </row>
    <row r="18196" spans="1:8" customFormat="1" x14ac:dyDescent="0.25">
      <c r="A18196" t="str">
        <f>"3414676"</f>
        <v>3414676</v>
      </c>
      <c r="B18196" t="s">
        <v>12009</v>
      </c>
      <c r="C18196" t="s">
        <v>198</v>
      </c>
      <c r="D18196" s="21" t="s">
        <v>34</v>
      </c>
      <c r="E18196" s="21" t="s">
        <v>71</v>
      </c>
      <c r="F18196">
        <v>11340061</v>
      </c>
      <c r="G18196" t="s">
        <v>6763</v>
      </c>
      <c r="H18196" s="21">
        <v>782.67</v>
      </c>
    </row>
    <row r="18197" spans="1:8" customFormat="1" x14ac:dyDescent="0.25">
      <c r="A18197" t="str">
        <f>"674049"</f>
        <v>674049</v>
      </c>
      <c r="B18197" t="s">
        <v>15008</v>
      </c>
      <c r="C18197" t="s">
        <v>33</v>
      </c>
      <c r="D18197" s="21" t="s">
        <v>34</v>
      </c>
      <c r="E18197" s="21" t="s">
        <v>71</v>
      </c>
      <c r="F18197">
        <v>6670045</v>
      </c>
      <c r="G18197" t="s">
        <v>707</v>
      </c>
      <c r="H18197" s="21">
        <v>782.67</v>
      </c>
    </row>
    <row r="18198" spans="1:8" customFormat="1" x14ac:dyDescent="0.25">
      <c r="A18198" t="str">
        <f>"872151"</f>
        <v>872151</v>
      </c>
      <c r="B18198" t="s">
        <v>14844</v>
      </c>
      <c r="C18198" t="s">
        <v>33</v>
      </c>
      <c r="D18198" s="21" t="s">
        <v>34</v>
      </c>
      <c r="E18198" s="21" t="s">
        <v>35</v>
      </c>
      <c r="F18198">
        <v>10870116</v>
      </c>
      <c r="G18198" t="s">
        <v>1806</v>
      </c>
      <c r="H18198" s="21">
        <v>782.67</v>
      </c>
    </row>
    <row r="18199" spans="1:8" customFormat="1" x14ac:dyDescent="0.25">
      <c r="A18199" t="str">
        <f>"429496"</f>
        <v>429496</v>
      </c>
      <c r="B18199" t="s">
        <v>7586</v>
      </c>
      <c r="C18199" t="s">
        <v>2479</v>
      </c>
      <c r="D18199" s="21" t="s">
        <v>34</v>
      </c>
      <c r="E18199" s="21" t="s">
        <v>71</v>
      </c>
      <c r="F18199">
        <v>1420162</v>
      </c>
      <c r="G18199" t="s">
        <v>11209</v>
      </c>
      <c r="H18199" s="21">
        <v>782.67</v>
      </c>
    </row>
    <row r="18200" spans="1:8" customFormat="1" x14ac:dyDescent="0.25">
      <c r="A18200" t="str">
        <f>"4113151"</f>
        <v>4113151</v>
      </c>
      <c r="B18200" t="s">
        <v>3827</v>
      </c>
      <c r="C18200" t="s">
        <v>121</v>
      </c>
      <c r="D18200" s="21" t="s">
        <v>34</v>
      </c>
      <c r="E18200" s="21" t="s">
        <v>35</v>
      </c>
      <c r="F18200">
        <v>4410696</v>
      </c>
      <c r="G18200" t="s">
        <v>5909</v>
      </c>
      <c r="H18200" s="21">
        <v>782.67</v>
      </c>
    </row>
    <row r="18201" spans="1:8" customFormat="1" x14ac:dyDescent="0.25">
      <c r="A18201" t="str">
        <f>"287610"</f>
        <v>287610</v>
      </c>
      <c r="B18201" t="s">
        <v>5413</v>
      </c>
      <c r="C18201" t="s">
        <v>2907</v>
      </c>
      <c r="D18201" s="21" t="s">
        <v>34</v>
      </c>
      <c r="E18201" s="21" t="s">
        <v>71</v>
      </c>
      <c r="F18201">
        <v>4280632</v>
      </c>
      <c r="G18201" t="s">
        <v>6825</v>
      </c>
      <c r="H18201" s="21">
        <v>782.67</v>
      </c>
    </row>
    <row r="18202" spans="1:8" customFormat="1" x14ac:dyDescent="0.25">
      <c r="A18202" t="str">
        <f>"716479"</f>
        <v>716479</v>
      </c>
      <c r="B18202" t="s">
        <v>14722</v>
      </c>
      <c r="C18202" t="s">
        <v>3010</v>
      </c>
      <c r="D18202" s="21" t="s">
        <v>34</v>
      </c>
      <c r="E18202" s="21" t="s">
        <v>254</v>
      </c>
      <c r="F18202">
        <v>2710067</v>
      </c>
      <c r="G18202" t="s">
        <v>284</v>
      </c>
      <c r="H18202" s="21">
        <v>782.67</v>
      </c>
    </row>
    <row r="18203" spans="1:8" customFormat="1" x14ac:dyDescent="0.25">
      <c r="A18203" t="str">
        <f>"067883"</f>
        <v>067883</v>
      </c>
      <c r="B18203" t="s">
        <v>15808</v>
      </c>
      <c r="C18203" t="s">
        <v>156</v>
      </c>
      <c r="D18203" s="21" t="s">
        <v>34</v>
      </c>
      <c r="E18203" s="21" t="s">
        <v>35</v>
      </c>
      <c r="F18203">
        <v>2210029</v>
      </c>
      <c r="G18203" t="s">
        <v>6983</v>
      </c>
      <c r="H18203" s="21">
        <v>782.67</v>
      </c>
    </row>
    <row r="18204" spans="1:8" customFormat="1" x14ac:dyDescent="0.25">
      <c r="A18204" t="str">
        <f>"421022"</f>
        <v>421022</v>
      </c>
      <c r="B18204" t="s">
        <v>4293</v>
      </c>
      <c r="C18204" t="s">
        <v>2520</v>
      </c>
      <c r="D18204" s="21" t="s">
        <v>34</v>
      </c>
      <c r="E18204" s="21" t="s">
        <v>1089</v>
      </c>
      <c r="F18204">
        <v>1420078</v>
      </c>
      <c r="G18204" t="s">
        <v>4287</v>
      </c>
      <c r="H18204" s="21">
        <v>782.67</v>
      </c>
    </row>
    <row r="18205" spans="1:8" customFormat="1" x14ac:dyDescent="0.25">
      <c r="A18205" t="str">
        <f>"4921658"</f>
        <v>4921658</v>
      </c>
      <c r="B18205" t="s">
        <v>2308</v>
      </c>
      <c r="C18205" t="s">
        <v>275</v>
      </c>
      <c r="D18205" s="21" t="s">
        <v>34</v>
      </c>
      <c r="E18205" s="21" t="s">
        <v>35</v>
      </c>
      <c r="F18205">
        <v>12490036</v>
      </c>
      <c r="G18205" t="s">
        <v>6557</v>
      </c>
      <c r="H18205" s="21">
        <v>782.67</v>
      </c>
    </row>
    <row r="18206" spans="1:8" customFormat="1" x14ac:dyDescent="0.25">
      <c r="A18206" t="str">
        <f>"81855"</f>
        <v>81855</v>
      </c>
      <c r="B18206" t="s">
        <v>27521</v>
      </c>
      <c r="C18206" t="s">
        <v>2276</v>
      </c>
      <c r="D18206" s="21" t="s">
        <v>34</v>
      </c>
      <c r="E18206" s="21" t="s">
        <v>254</v>
      </c>
      <c r="F18206">
        <v>11810028</v>
      </c>
      <c r="G18206" t="s">
        <v>5817</v>
      </c>
      <c r="H18206" s="21">
        <v>782.67</v>
      </c>
    </row>
    <row r="18207" spans="1:8" customFormat="1" x14ac:dyDescent="0.25">
      <c r="A18207" t="str">
        <f>"547921"</f>
        <v>547921</v>
      </c>
      <c r="B18207" t="s">
        <v>1628</v>
      </c>
      <c r="C18207" t="s">
        <v>239</v>
      </c>
      <c r="D18207" s="21" t="s">
        <v>34</v>
      </c>
      <c r="E18207" s="21" t="s">
        <v>254</v>
      </c>
      <c r="F18207">
        <v>6540128</v>
      </c>
      <c r="G18207" t="s">
        <v>1249</v>
      </c>
      <c r="H18207" s="21">
        <v>782.67</v>
      </c>
    </row>
    <row r="18208" spans="1:8" customFormat="1" x14ac:dyDescent="0.25">
      <c r="A18208" t="str">
        <f>"9123814"</f>
        <v>9123814</v>
      </c>
      <c r="B18208" t="s">
        <v>27522</v>
      </c>
      <c r="C18208" t="s">
        <v>87</v>
      </c>
      <c r="D18208" s="21" t="s">
        <v>34</v>
      </c>
      <c r="E18208" s="21" t="s">
        <v>71</v>
      </c>
      <c r="F18208">
        <v>8910876</v>
      </c>
      <c r="G18208" t="s">
        <v>1721</v>
      </c>
      <c r="H18208" s="21">
        <v>782.67</v>
      </c>
    </row>
    <row r="18209" spans="1:8" customFormat="1" x14ac:dyDescent="0.25">
      <c r="A18209" t="str">
        <f>"9424154"</f>
        <v>9424154</v>
      </c>
      <c r="B18209" t="s">
        <v>3664</v>
      </c>
      <c r="C18209" t="s">
        <v>43</v>
      </c>
      <c r="D18209" s="21" t="s">
        <v>34</v>
      </c>
      <c r="E18209" s="21" t="s">
        <v>35</v>
      </c>
      <c r="F18209">
        <v>8941359</v>
      </c>
      <c r="G18209" t="s">
        <v>14474</v>
      </c>
      <c r="H18209" s="21">
        <v>782.42</v>
      </c>
    </row>
    <row r="18210" spans="1:8" customFormat="1" x14ac:dyDescent="0.25">
      <c r="A18210" t="str">
        <f>"5317402"</f>
        <v>5317402</v>
      </c>
      <c r="B18210" t="s">
        <v>1185</v>
      </c>
      <c r="C18210" t="s">
        <v>4161</v>
      </c>
      <c r="D18210" s="21" t="s">
        <v>34</v>
      </c>
      <c r="E18210" s="21" t="s">
        <v>35</v>
      </c>
      <c r="F18210">
        <v>12530095</v>
      </c>
      <c r="G18210" t="s">
        <v>5381</v>
      </c>
      <c r="H18210" s="21">
        <v>782.42</v>
      </c>
    </row>
    <row r="18211" spans="1:8" customFormat="1" x14ac:dyDescent="0.25">
      <c r="A18211" t="str">
        <f>"364078"</f>
        <v>364078</v>
      </c>
      <c r="B18211" t="s">
        <v>5800</v>
      </c>
      <c r="C18211" t="s">
        <v>462</v>
      </c>
      <c r="D18211" s="21" t="s">
        <v>34</v>
      </c>
      <c r="E18211" s="21" t="s">
        <v>71</v>
      </c>
      <c r="F18211">
        <v>4360123</v>
      </c>
      <c r="G18211" t="s">
        <v>4121</v>
      </c>
      <c r="H18211" s="21">
        <v>782.29</v>
      </c>
    </row>
    <row r="18212" spans="1:8" customFormat="1" x14ac:dyDescent="0.25">
      <c r="A18212" t="str">
        <f>"4925228"</f>
        <v>4925228</v>
      </c>
      <c r="B18212" t="s">
        <v>697</v>
      </c>
      <c r="C18212" t="s">
        <v>2100</v>
      </c>
      <c r="D18212" s="21" t="s">
        <v>34</v>
      </c>
      <c r="E18212" s="21" t="s">
        <v>71</v>
      </c>
      <c r="F18212">
        <v>12490132</v>
      </c>
      <c r="G18212" t="s">
        <v>1125</v>
      </c>
      <c r="H18212" s="21">
        <v>782.17</v>
      </c>
    </row>
    <row r="18213" spans="1:8" customFormat="1" x14ac:dyDescent="0.25">
      <c r="A18213" t="str">
        <f>"4511870"</f>
        <v>4511870</v>
      </c>
      <c r="B18213" t="s">
        <v>679</v>
      </c>
      <c r="C18213" t="s">
        <v>547</v>
      </c>
      <c r="D18213" s="21" t="s">
        <v>34</v>
      </c>
      <c r="E18213" s="21" t="s">
        <v>1089</v>
      </c>
      <c r="F18213">
        <v>4450024</v>
      </c>
      <c r="G18213" t="s">
        <v>9786</v>
      </c>
      <c r="H18213" s="21">
        <v>782.17</v>
      </c>
    </row>
    <row r="18214" spans="1:8" customFormat="1" x14ac:dyDescent="0.25">
      <c r="A18214" t="str">
        <f>"2516244"</f>
        <v>2516244</v>
      </c>
      <c r="B18214" t="s">
        <v>146</v>
      </c>
      <c r="C18214" t="s">
        <v>486</v>
      </c>
      <c r="D18214" s="21" t="s">
        <v>34</v>
      </c>
      <c r="E18214" s="21" t="s">
        <v>35</v>
      </c>
      <c r="F18214">
        <v>2250193</v>
      </c>
      <c r="G18214" t="s">
        <v>2584</v>
      </c>
      <c r="H18214" s="21">
        <v>782.17</v>
      </c>
    </row>
    <row r="18215" spans="1:8" customFormat="1" x14ac:dyDescent="0.25">
      <c r="A18215" t="str">
        <f>"2926457"</f>
        <v>2926457</v>
      </c>
      <c r="B18215" t="s">
        <v>837</v>
      </c>
      <c r="C18215" t="s">
        <v>1489</v>
      </c>
      <c r="D18215" s="21" t="s">
        <v>34</v>
      </c>
      <c r="E18215" s="21" t="s">
        <v>35</v>
      </c>
      <c r="F18215">
        <v>3290208</v>
      </c>
      <c r="G18215" t="s">
        <v>1553</v>
      </c>
      <c r="H18215" s="21">
        <v>782.17</v>
      </c>
    </row>
    <row r="18216" spans="1:8" customFormat="1" x14ac:dyDescent="0.25">
      <c r="A18216" t="str">
        <f>"3519282"</f>
        <v>3519282</v>
      </c>
      <c r="B18216" t="s">
        <v>5118</v>
      </c>
      <c r="C18216" t="s">
        <v>7923</v>
      </c>
      <c r="D18216" s="21" t="s">
        <v>34</v>
      </c>
      <c r="E18216" s="21" t="s">
        <v>71</v>
      </c>
      <c r="F18216">
        <v>3350054</v>
      </c>
      <c r="G18216" t="s">
        <v>13881</v>
      </c>
      <c r="H18216" s="21">
        <v>782.17</v>
      </c>
    </row>
    <row r="18217" spans="1:8" customFormat="1" x14ac:dyDescent="0.25">
      <c r="A18217" t="str">
        <f>"5921179"</f>
        <v>5921179</v>
      </c>
      <c r="B18217" t="s">
        <v>12320</v>
      </c>
      <c r="C18217" t="s">
        <v>311</v>
      </c>
      <c r="D18217" s="21" t="s">
        <v>34</v>
      </c>
      <c r="E18217" s="21" t="s">
        <v>35</v>
      </c>
      <c r="F18217">
        <v>3560006</v>
      </c>
      <c r="G18217" t="s">
        <v>2708</v>
      </c>
      <c r="H18217" s="21">
        <v>782.17</v>
      </c>
    </row>
    <row r="18218" spans="1:8" customFormat="1" x14ac:dyDescent="0.25">
      <c r="A18218" t="str">
        <f>"5422210"</f>
        <v>5422210</v>
      </c>
      <c r="B18218" t="s">
        <v>15197</v>
      </c>
      <c r="C18218" t="s">
        <v>33</v>
      </c>
      <c r="D18218" s="21" t="s">
        <v>34</v>
      </c>
      <c r="E18218" s="21" t="s">
        <v>35</v>
      </c>
      <c r="F18218">
        <v>6540014</v>
      </c>
      <c r="G18218" t="s">
        <v>1483</v>
      </c>
      <c r="H18218" s="21">
        <v>782.17</v>
      </c>
    </row>
    <row r="18219" spans="1:8" customFormat="1" x14ac:dyDescent="0.25">
      <c r="A18219" t="str">
        <f>"2514911"</f>
        <v>2514911</v>
      </c>
      <c r="B18219" t="s">
        <v>12213</v>
      </c>
      <c r="C18219" t="s">
        <v>239</v>
      </c>
      <c r="D18219" s="21" t="s">
        <v>34</v>
      </c>
      <c r="E18219" s="21" t="s">
        <v>71</v>
      </c>
      <c r="F18219">
        <v>2250002</v>
      </c>
      <c r="G18219" t="s">
        <v>2745</v>
      </c>
      <c r="H18219" s="21">
        <v>782.17</v>
      </c>
    </row>
    <row r="18220" spans="1:8" customFormat="1" x14ac:dyDescent="0.25">
      <c r="A18220" t="str">
        <f>"9519314"</f>
        <v>9519314</v>
      </c>
      <c r="B18220" t="s">
        <v>765</v>
      </c>
      <c r="C18220" t="s">
        <v>130</v>
      </c>
      <c r="D18220" s="21" t="s">
        <v>34</v>
      </c>
      <c r="E18220" s="21" t="s">
        <v>35</v>
      </c>
      <c r="F18220">
        <v>8950262</v>
      </c>
      <c r="G18220" t="s">
        <v>1881</v>
      </c>
      <c r="H18220" s="21">
        <v>782.17</v>
      </c>
    </row>
    <row r="18221" spans="1:8" customFormat="1" x14ac:dyDescent="0.25">
      <c r="A18221" t="str">
        <f>"7635050"</f>
        <v>7635050</v>
      </c>
      <c r="B18221" t="s">
        <v>15186</v>
      </c>
      <c r="C18221" t="s">
        <v>62</v>
      </c>
      <c r="D18221" s="21" t="s">
        <v>34</v>
      </c>
      <c r="E18221" s="21" t="s">
        <v>35</v>
      </c>
      <c r="F18221">
        <v>9760294</v>
      </c>
      <c r="G18221" t="s">
        <v>8313</v>
      </c>
      <c r="H18221" s="21">
        <v>782.17</v>
      </c>
    </row>
    <row r="18222" spans="1:8" customFormat="1" x14ac:dyDescent="0.25">
      <c r="A18222" t="str">
        <f>"813443"</f>
        <v>813443</v>
      </c>
      <c r="B18222" t="s">
        <v>13563</v>
      </c>
      <c r="C18222" t="s">
        <v>1705</v>
      </c>
      <c r="D18222" s="21" t="s">
        <v>34</v>
      </c>
      <c r="E18222" s="21" t="s">
        <v>35</v>
      </c>
      <c r="F18222">
        <v>11810003</v>
      </c>
      <c r="G18222" t="s">
        <v>1934</v>
      </c>
      <c r="H18222" s="21">
        <v>782.17</v>
      </c>
    </row>
    <row r="18223" spans="1:8" customFormat="1" x14ac:dyDescent="0.25">
      <c r="A18223" t="str">
        <f>"5929075"</f>
        <v>5929075</v>
      </c>
      <c r="B18223" t="s">
        <v>17623</v>
      </c>
      <c r="C18223" t="s">
        <v>33</v>
      </c>
      <c r="D18223" s="21" t="s">
        <v>34</v>
      </c>
      <c r="E18223" s="21" t="s">
        <v>35</v>
      </c>
      <c r="F18223">
        <v>7800071</v>
      </c>
      <c r="G18223" t="s">
        <v>9109</v>
      </c>
      <c r="H18223" s="21">
        <v>782</v>
      </c>
    </row>
    <row r="18224" spans="1:8" customFormat="1" x14ac:dyDescent="0.25">
      <c r="A18224" t="str">
        <f>"893901"</f>
        <v>893901</v>
      </c>
      <c r="B18224" t="s">
        <v>6309</v>
      </c>
      <c r="C18224" t="s">
        <v>267</v>
      </c>
      <c r="D18224" s="21" t="s">
        <v>34</v>
      </c>
      <c r="E18224" s="21" t="s">
        <v>1089</v>
      </c>
      <c r="F18224">
        <v>2890032</v>
      </c>
      <c r="G18224" t="s">
        <v>6080</v>
      </c>
      <c r="H18224" s="21">
        <v>781.92</v>
      </c>
    </row>
    <row r="18225" spans="1:8" customFormat="1" x14ac:dyDescent="0.25">
      <c r="A18225" t="str">
        <f>"78772"</f>
        <v>78772</v>
      </c>
      <c r="B18225" t="s">
        <v>12482</v>
      </c>
      <c r="C18225" t="s">
        <v>263</v>
      </c>
      <c r="D18225" s="21" t="s">
        <v>34</v>
      </c>
      <c r="E18225" s="21" t="s">
        <v>254</v>
      </c>
      <c r="F18225">
        <v>4280722</v>
      </c>
      <c r="G18225" t="s">
        <v>8251</v>
      </c>
      <c r="H18225" s="21">
        <v>781.79</v>
      </c>
    </row>
    <row r="18226" spans="1:8" customFormat="1" x14ac:dyDescent="0.25">
      <c r="A18226" t="str">
        <f>"492088"</f>
        <v>492088</v>
      </c>
      <c r="B18226" t="s">
        <v>15402</v>
      </c>
      <c r="C18226" t="s">
        <v>1146</v>
      </c>
      <c r="D18226" s="21" t="s">
        <v>34</v>
      </c>
      <c r="E18226" s="21" t="s">
        <v>1089</v>
      </c>
      <c r="F18226">
        <v>12490092</v>
      </c>
      <c r="G18226" t="s">
        <v>1854</v>
      </c>
      <c r="H18226" s="21">
        <v>781.67</v>
      </c>
    </row>
    <row r="18227" spans="1:8" customFormat="1" x14ac:dyDescent="0.25">
      <c r="A18227" t="str">
        <f>"5973795"</f>
        <v>5973795</v>
      </c>
      <c r="B18227" t="s">
        <v>1833</v>
      </c>
      <c r="C18227" t="s">
        <v>40</v>
      </c>
      <c r="D18227" s="21" t="s">
        <v>34</v>
      </c>
      <c r="E18227" s="21" t="s">
        <v>254</v>
      </c>
      <c r="F18227">
        <v>7590011</v>
      </c>
      <c r="G18227" t="s">
        <v>2147</v>
      </c>
      <c r="H18227" s="21">
        <v>781.67</v>
      </c>
    </row>
    <row r="18228" spans="1:8" customFormat="1" x14ac:dyDescent="0.25">
      <c r="A18228" t="str">
        <f>"662131"</f>
        <v>662131</v>
      </c>
      <c r="B18228" t="s">
        <v>10112</v>
      </c>
      <c r="C18228" t="s">
        <v>40</v>
      </c>
      <c r="D18228" s="21" t="s">
        <v>34</v>
      </c>
      <c r="E18228" s="21" t="s">
        <v>254</v>
      </c>
      <c r="F18228">
        <v>11660020</v>
      </c>
      <c r="G18228" t="s">
        <v>10247</v>
      </c>
      <c r="H18228" s="21">
        <v>781.67</v>
      </c>
    </row>
    <row r="18229" spans="1:8" customFormat="1" x14ac:dyDescent="0.25">
      <c r="A18229" t="str">
        <f>"3827609"</f>
        <v>3827609</v>
      </c>
      <c r="B18229" t="s">
        <v>744</v>
      </c>
      <c r="C18229" t="s">
        <v>285</v>
      </c>
      <c r="D18229" s="21" t="s">
        <v>34</v>
      </c>
      <c r="E18229" s="21" t="s">
        <v>35</v>
      </c>
      <c r="F18229">
        <v>1380233</v>
      </c>
      <c r="G18229" t="s">
        <v>2694</v>
      </c>
      <c r="H18229" s="21">
        <v>781.67</v>
      </c>
    </row>
    <row r="18230" spans="1:8" customFormat="1" x14ac:dyDescent="0.25">
      <c r="A18230" t="str">
        <f>"5310873"</f>
        <v>5310873</v>
      </c>
      <c r="B18230" t="s">
        <v>5546</v>
      </c>
      <c r="C18230" t="s">
        <v>1231</v>
      </c>
      <c r="D18230" s="21" t="s">
        <v>34</v>
      </c>
      <c r="E18230" s="21" t="s">
        <v>1089</v>
      </c>
      <c r="F18230">
        <v>12530061</v>
      </c>
      <c r="G18230" t="s">
        <v>9463</v>
      </c>
      <c r="H18230" s="21">
        <v>781.67</v>
      </c>
    </row>
    <row r="18231" spans="1:8" customFormat="1" x14ac:dyDescent="0.25">
      <c r="A18231" t="str">
        <f>"5410100"</f>
        <v>5410100</v>
      </c>
      <c r="B18231" t="s">
        <v>14888</v>
      </c>
      <c r="C18231" t="s">
        <v>1605</v>
      </c>
      <c r="D18231" s="21" t="s">
        <v>34</v>
      </c>
      <c r="E18231" s="21" t="s">
        <v>71</v>
      </c>
      <c r="F18231">
        <v>6540088</v>
      </c>
      <c r="G18231" t="s">
        <v>2108</v>
      </c>
      <c r="H18231" s="21">
        <v>781.67</v>
      </c>
    </row>
    <row r="18232" spans="1:8" customFormat="1" x14ac:dyDescent="0.25">
      <c r="A18232" t="str">
        <f>"3515014"</f>
        <v>3515014</v>
      </c>
      <c r="B18232" t="s">
        <v>15346</v>
      </c>
      <c r="C18232" t="s">
        <v>239</v>
      </c>
      <c r="D18232" s="21" t="s">
        <v>34</v>
      </c>
      <c r="E18232" s="21" t="s">
        <v>254</v>
      </c>
      <c r="F18232">
        <v>3350209</v>
      </c>
      <c r="G18232" t="s">
        <v>3023</v>
      </c>
      <c r="H18232" s="21">
        <v>781.67</v>
      </c>
    </row>
    <row r="18233" spans="1:8" customFormat="1" x14ac:dyDescent="0.25">
      <c r="A18233" t="str">
        <f>"747897"</f>
        <v>747897</v>
      </c>
      <c r="B18233" t="s">
        <v>14818</v>
      </c>
      <c r="C18233" t="s">
        <v>124</v>
      </c>
      <c r="D18233" s="21" t="s">
        <v>34</v>
      </c>
      <c r="E18233" s="21" t="s">
        <v>71</v>
      </c>
      <c r="F18233">
        <v>1740045</v>
      </c>
      <c r="G18233" t="s">
        <v>9857</v>
      </c>
      <c r="H18233" s="21">
        <v>781.67</v>
      </c>
    </row>
    <row r="18234" spans="1:8" customFormat="1" x14ac:dyDescent="0.25">
      <c r="A18234" t="str">
        <f>"776329"</f>
        <v>776329</v>
      </c>
      <c r="B18234" t="s">
        <v>14739</v>
      </c>
      <c r="C18234" t="s">
        <v>209</v>
      </c>
      <c r="D18234" s="21" t="s">
        <v>34</v>
      </c>
      <c r="E18234" s="21" t="s">
        <v>254</v>
      </c>
      <c r="F18234">
        <v>8770237</v>
      </c>
      <c r="G18234" t="s">
        <v>128</v>
      </c>
      <c r="H18234" s="21">
        <v>781.67</v>
      </c>
    </row>
    <row r="18235" spans="1:8" customFormat="1" x14ac:dyDescent="0.25">
      <c r="A18235" t="str">
        <f>"5430899"</f>
        <v>5430899</v>
      </c>
      <c r="B18235" t="s">
        <v>16952</v>
      </c>
      <c r="C18235" t="s">
        <v>576</v>
      </c>
      <c r="D18235" s="21" t="s">
        <v>34</v>
      </c>
      <c r="E18235" s="21" t="s">
        <v>35</v>
      </c>
      <c r="F18235">
        <v>6540055</v>
      </c>
      <c r="G18235" t="s">
        <v>9080</v>
      </c>
      <c r="H18235" s="21">
        <v>781.67</v>
      </c>
    </row>
    <row r="18236" spans="1:8" customFormat="1" x14ac:dyDescent="0.25">
      <c r="A18236" t="str">
        <f>"804566"</f>
        <v>804566</v>
      </c>
      <c r="B18236" t="s">
        <v>4765</v>
      </c>
      <c r="C18236" t="s">
        <v>151</v>
      </c>
      <c r="D18236" s="21" t="s">
        <v>34</v>
      </c>
      <c r="E18236" s="21" t="s">
        <v>71</v>
      </c>
      <c r="F18236">
        <v>7800102</v>
      </c>
      <c r="G18236" t="s">
        <v>1148</v>
      </c>
      <c r="H18236" s="21">
        <v>781.67</v>
      </c>
    </row>
    <row r="18237" spans="1:8" customFormat="1" x14ac:dyDescent="0.25">
      <c r="A18237" t="str">
        <f>"509081"</f>
        <v>509081</v>
      </c>
      <c r="B18237" t="s">
        <v>16334</v>
      </c>
      <c r="C18237" t="s">
        <v>65</v>
      </c>
      <c r="D18237" s="21" t="s">
        <v>34</v>
      </c>
      <c r="E18237" s="21" t="s">
        <v>71</v>
      </c>
      <c r="F18237">
        <v>9500088</v>
      </c>
      <c r="G18237" t="s">
        <v>15949</v>
      </c>
      <c r="H18237" s="21">
        <v>781.67</v>
      </c>
    </row>
    <row r="18238" spans="1:8" customFormat="1" x14ac:dyDescent="0.25">
      <c r="A18238" t="str">
        <f>"938704"</f>
        <v>938704</v>
      </c>
      <c r="B18238" t="s">
        <v>13945</v>
      </c>
      <c r="C18238" t="s">
        <v>598</v>
      </c>
      <c r="D18238" s="21" t="s">
        <v>34</v>
      </c>
      <c r="E18238" s="21" t="s">
        <v>254</v>
      </c>
      <c r="F18238">
        <v>8931011</v>
      </c>
      <c r="G18238" t="s">
        <v>530</v>
      </c>
      <c r="H18238" s="21">
        <v>781.67</v>
      </c>
    </row>
    <row r="18239" spans="1:8" customFormat="1" x14ac:dyDescent="0.25">
      <c r="A18239" t="str">
        <f>"123142"</f>
        <v>123142</v>
      </c>
      <c r="B18239" t="s">
        <v>8110</v>
      </c>
      <c r="C18239" t="s">
        <v>209</v>
      </c>
      <c r="D18239" s="21" t="s">
        <v>34</v>
      </c>
      <c r="E18239" s="21" t="s">
        <v>71</v>
      </c>
      <c r="F18239">
        <v>11120044</v>
      </c>
      <c r="G18239" t="s">
        <v>15823</v>
      </c>
      <c r="H18239" s="21">
        <v>781.67</v>
      </c>
    </row>
    <row r="18240" spans="1:8" customFormat="1" x14ac:dyDescent="0.25">
      <c r="A18240" t="str">
        <f>"677228"</f>
        <v>677228</v>
      </c>
      <c r="B18240" t="s">
        <v>461</v>
      </c>
      <c r="C18240" t="s">
        <v>2907</v>
      </c>
      <c r="D18240" s="21" t="s">
        <v>34</v>
      </c>
      <c r="E18240" s="21" t="s">
        <v>254</v>
      </c>
      <c r="F18240">
        <v>6670265</v>
      </c>
      <c r="G18240" t="s">
        <v>12966</v>
      </c>
      <c r="H18240" s="21">
        <v>781.67</v>
      </c>
    </row>
    <row r="18241" spans="1:8" customFormat="1" x14ac:dyDescent="0.25">
      <c r="A18241" t="str">
        <f>"688087"</f>
        <v>688087</v>
      </c>
      <c r="B18241" t="s">
        <v>5484</v>
      </c>
      <c r="C18241" t="s">
        <v>121</v>
      </c>
      <c r="D18241" s="21" t="s">
        <v>34</v>
      </c>
      <c r="E18241" s="21" t="s">
        <v>35</v>
      </c>
      <c r="F18241">
        <v>6680090</v>
      </c>
      <c r="G18241" t="s">
        <v>3129</v>
      </c>
      <c r="H18241" s="21">
        <v>781.67</v>
      </c>
    </row>
    <row r="18242" spans="1:8" customFormat="1" x14ac:dyDescent="0.25">
      <c r="A18242" t="str">
        <f>"258179"</f>
        <v>258179</v>
      </c>
      <c r="B18242" t="s">
        <v>16566</v>
      </c>
      <c r="C18242" t="s">
        <v>288</v>
      </c>
      <c r="D18242" s="21" t="s">
        <v>34</v>
      </c>
      <c r="E18242" s="21" t="s">
        <v>71</v>
      </c>
      <c r="F18242">
        <v>2250229</v>
      </c>
      <c r="G18242" t="s">
        <v>5004</v>
      </c>
      <c r="H18242" s="21">
        <v>781.67</v>
      </c>
    </row>
    <row r="18243" spans="1:8" customFormat="1" x14ac:dyDescent="0.25">
      <c r="A18243" t="str">
        <f>"6928791"</f>
        <v>6928791</v>
      </c>
      <c r="B18243" t="s">
        <v>208</v>
      </c>
      <c r="C18243" t="s">
        <v>87</v>
      </c>
      <c r="D18243" s="21" t="s">
        <v>34</v>
      </c>
      <c r="E18243" s="21" t="s">
        <v>35</v>
      </c>
      <c r="F18243">
        <v>1690160</v>
      </c>
      <c r="G18243" t="s">
        <v>4599</v>
      </c>
      <c r="H18243" s="21">
        <v>781.67</v>
      </c>
    </row>
    <row r="18244" spans="1:8" customFormat="1" x14ac:dyDescent="0.25">
      <c r="A18244" t="str">
        <f>"1317907"</f>
        <v>1317907</v>
      </c>
      <c r="B18244" t="s">
        <v>18000</v>
      </c>
      <c r="C18244" t="s">
        <v>87</v>
      </c>
      <c r="D18244" s="21" t="s">
        <v>34</v>
      </c>
      <c r="E18244" s="21" t="s">
        <v>35</v>
      </c>
      <c r="F18244">
        <v>13130158</v>
      </c>
      <c r="G18244" t="s">
        <v>3215</v>
      </c>
      <c r="H18244" s="21">
        <v>781.67</v>
      </c>
    </row>
    <row r="18245" spans="1:8" customFormat="1" x14ac:dyDescent="0.25">
      <c r="A18245" t="str">
        <f>"6019105"</f>
        <v>6019105</v>
      </c>
      <c r="B18245" t="s">
        <v>14938</v>
      </c>
      <c r="C18245" t="s">
        <v>267</v>
      </c>
      <c r="D18245" s="21" t="s">
        <v>34</v>
      </c>
      <c r="E18245" s="21" t="s">
        <v>71</v>
      </c>
      <c r="F18245">
        <v>7600044</v>
      </c>
      <c r="G18245" t="s">
        <v>3411</v>
      </c>
      <c r="H18245" s="21">
        <v>781.67</v>
      </c>
    </row>
    <row r="18246" spans="1:8" customFormat="1" x14ac:dyDescent="0.25">
      <c r="A18246" t="str">
        <f>"7978"</f>
        <v>7978</v>
      </c>
      <c r="B18246" t="s">
        <v>2109</v>
      </c>
      <c r="C18246" t="s">
        <v>547</v>
      </c>
      <c r="D18246" s="21" t="s">
        <v>34</v>
      </c>
      <c r="E18246" s="21" t="s">
        <v>1089</v>
      </c>
      <c r="F18246">
        <v>10790003</v>
      </c>
      <c r="G18246" t="s">
        <v>10465</v>
      </c>
      <c r="H18246" s="21">
        <v>781.67</v>
      </c>
    </row>
    <row r="18247" spans="1:8" customFormat="1" x14ac:dyDescent="0.25">
      <c r="A18247" t="str">
        <f>"7812621"</f>
        <v>7812621</v>
      </c>
      <c r="B18247" t="s">
        <v>9301</v>
      </c>
      <c r="C18247" t="s">
        <v>462</v>
      </c>
      <c r="D18247" s="21" t="s">
        <v>34</v>
      </c>
      <c r="E18247" s="21" t="s">
        <v>71</v>
      </c>
      <c r="F18247">
        <v>13060029</v>
      </c>
      <c r="G18247" t="s">
        <v>1345</v>
      </c>
      <c r="H18247" s="21">
        <v>781.67</v>
      </c>
    </row>
    <row r="18248" spans="1:8" customFormat="1" x14ac:dyDescent="0.25">
      <c r="A18248" t="str">
        <f>"864151"</f>
        <v>864151</v>
      </c>
      <c r="B18248" t="s">
        <v>15778</v>
      </c>
      <c r="C18248" t="s">
        <v>119</v>
      </c>
      <c r="D18248" s="21" t="s">
        <v>34</v>
      </c>
      <c r="E18248" s="21" t="s">
        <v>35</v>
      </c>
      <c r="F18248">
        <v>10860229</v>
      </c>
      <c r="G18248" t="s">
        <v>9680</v>
      </c>
      <c r="H18248" s="21">
        <v>781.67</v>
      </c>
    </row>
    <row r="18249" spans="1:8" customFormat="1" x14ac:dyDescent="0.25">
      <c r="A18249" t="str">
        <f>"2514186"</f>
        <v>2514186</v>
      </c>
      <c r="B18249" t="s">
        <v>913</v>
      </c>
      <c r="C18249" t="s">
        <v>3712</v>
      </c>
      <c r="D18249" s="21" t="s">
        <v>34</v>
      </c>
      <c r="E18249" s="21" t="s">
        <v>35</v>
      </c>
      <c r="F18249">
        <v>2250024</v>
      </c>
      <c r="G18249" t="s">
        <v>751</v>
      </c>
      <c r="H18249" s="21">
        <v>781.67</v>
      </c>
    </row>
    <row r="18250" spans="1:8" customFormat="1" x14ac:dyDescent="0.25">
      <c r="A18250" t="str">
        <f>"5617780"</f>
        <v>5617780</v>
      </c>
      <c r="B18250" t="s">
        <v>2308</v>
      </c>
      <c r="C18250" t="s">
        <v>288</v>
      </c>
      <c r="D18250" s="21" t="s">
        <v>34</v>
      </c>
      <c r="E18250" s="21" t="s">
        <v>35</v>
      </c>
      <c r="F18250">
        <v>3560038</v>
      </c>
      <c r="G18250" t="s">
        <v>3598</v>
      </c>
      <c r="H18250" s="21">
        <v>781.54</v>
      </c>
    </row>
    <row r="18251" spans="1:8" customFormat="1" x14ac:dyDescent="0.25">
      <c r="A18251" t="str">
        <f>"447361"</f>
        <v>447361</v>
      </c>
      <c r="B18251" t="s">
        <v>12612</v>
      </c>
      <c r="C18251" t="s">
        <v>269</v>
      </c>
      <c r="D18251" s="21" t="s">
        <v>34</v>
      </c>
      <c r="E18251" s="21" t="s">
        <v>71</v>
      </c>
      <c r="F18251">
        <v>12440152</v>
      </c>
      <c r="G18251" t="s">
        <v>5481</v>
      </c>
      <c r="H18251" s="21">
        <v>781.42</v>
      </c>
    </row>
    <row r="18252" spans="1:8" customFormat="1" x14ac:dyDescent="0.25">
      <c r="A18252" t="str">
        <f>"925592"</f>
        <v>925592</v>
      </c>
      <c r="B18252" t="s">
        <v>890</v>
      </c>
      <c r="C18252" t="s">
        <v>2520</v>
      </c>
      <c r="D18252" s="21" t="s">
        <v>34</v>
      </c>
      <c r="E18252" s="21" t="s">
        <v>254</v>
      </c>
      <c r="F18252">
        <v>8920140</v>
      </c>
      <c r="G18252" t="s">
        <v>3762</v>
      </c>
      <c r="H18252" s="21">
        <v>781.29</v>
      </c>
    </row>
    <row r="18253" spans="1:8" customFormat="1" x14ac:dyDescent="0.25">
      <c r="A18253" t="str">
        <f>"417424"</f>
        <v>417424</v>
      </c>
      <c r="B18253" t="s">
        <v>14564</v>
      </c>
      <c r="C18253" t="s">
        <v>202</v>
      </c>
      <c r="D18253" s="21" t="s">
        <v>34</v>
      </c>
      <c r="E18253" s="21" t="s">
        <v>71</v>
      </c>
      <c r="F18253">
        <v>4410543</v>
      </c>
      <c r="G18253" t="s">
        <v>14950</v>
      </c>
      <c r="H18253" s="21">
        <v>781.17</v>
      </c>
    </row>
    <row r="18254" spans="1:8" customFormat="1" x14ac:dyDescent="0.25">
      <c r="A18254" t="str">
        <f>"84648"</f>
        <v>84648</v>
      </c>
      <c r="B18254" t="s">
        <v>15494</v>
      </c>
      <c r="C18254" t="s">
        <v>233</v>
      </c>
      <c r="D18254" s="21" t="s">
        <v>34</v>
      </c>
      <c r="E18254" s="21" t="s">
        <v>254</v>
      </c>
      <c r="F18254">
        <v>13840001</v>
      </c>
      <c r="G18254" t="s">
        <v>972</v>
      </c>
      <c r="H18254" s="21">
        <v>781.17</v>
      </c>
    </row>
    <row r="18255" spans="1:8" customFormat="1" x14ac:dyDescent="0.25">
      <c r="A18255" t="str">
        <f>"6111161"</f>
        <v>6111161</v>
      </c>
      <c r="B18255" t="s">
        <v>14507</v>
      </c>
      <c r="C18255" t="s">
        <v>2384</v>
      </c>
      <c r="D18255" s="21" t="s">
        <v>34</v>
      </c>
      <c r="E18255" s="21" t="s">
        <v>254</v>
      </c>
      <c r="F18255">
        <v>9610107</v>
      </c>
      <c r="G18255" t="s">
        <v>6302</v>
      </c>
      <c r="H18255" s="21">
        <v>781.17</v>
      </c>
    </row>
    <row r="18256" spans="1:8" customFormat="1" x14ac:dyDescent="0.25">
      <c r="A18256" t="str">
        <f>"8013137"</f>
        <v>8013137</v>
      </c>
      <c r="B18256" t="s">
        <v>1462</v>
      </c>
      <c r="C18256" t="s">
        <v>412</v>
      </c>
      <c r="D18256" s="21" t="s">
        <v>34</v>
      </c>
      <c r="E18256" s="21" t="s">
        <v>1089</v>
      </c>
      <c r="F18256">
        <v>7800061</v>
      </c>
      <c r="G18256" t="s">
        <v>1330</v>
      </c>
      <c r="H18256" s="21">
        <v>781.17</v>
      </c>
    </row>
    <row r="18257" spans="1:8" customFormat="1" x14ac:dyDescent="0.25">
      <c r="A18257" t="str">
        <f>"2924522"</f>
        <v>2924522</v>
      </c>
      <c r="B18257" t="s">
        <v>16895</v>
      </c>
      <c r="C18257" t="s">
        <v>486</v>
      </c>
      <c r="D18257" s="21" t="s">
        <v>34</v>
      </c>
      <c r="E18257" s="21" t="s">
        <v>71</v>
      </c>
      <c r="F18257">
        <v>3290090</v>
      </c>
      <c r="G18257" t="s">
        <v>1390</v>
      </c>
      <c r="H18257" s="21">
        <v>781.17</v>
      </c>
    </row>
    <row r="18258" spans="1:8" customFormat="1" x14ac:dyDescent="0.25">
      <c r="A18258" t="str">
        <f>"7852758"</f>
        <v>7852758</v>
      </c>
      <c r="B18258" t="s">
        <v>14278</v>
      </c>
      <c r="C18258" t="s">
        <v>269</v>
      </c>
      <c r="D18258" s="21" t="s">
        <v>34</v>
      </c>
      <c r="E18258" s="21" t="s">
        <v>71</v>
      </c>
      <c r="F18258">
        <v>8781432</v>
      </c>
      <c r="G18258" t="s">
        <v>9227</v>
      </c>
      <c r="H18258" s="21">
        <v>781.17</v>
      </c>
    </row>
    <row r="18259" spans="1:8" customFormat="1" x14ac:dyDescent="0.25">
      <c r="A18259" t="str">
        <f>"4450580"</f>
        <v>4450580</v>
      </c>
      <c r="B18259" t="s">
        <v>5765</v>
      </c>
      <c r="C18259" t="s">
        <v>27523</v>
      </c>
      <c r="D18259" s="21" t="s">
        <v>34</v>
      </c>
      <c r="E18259" s="21" t="s">
        <v>35</v>
      </c>
      <c r="F18259">
        <v>12440259</v>
      </c>
      <c r="G18259" t="s">
        <v>833</v>
      </c>
      <c r="H18259" s="21">
        <v>781.17</v>
      </c>
    </row>
    <row r="18260" spans="1:8" customFormat="1" x14ac:dyDescent="0.25">
      <c r="A18260" t="str">
        <f>"167192"</f>
        <v>167192</v>
      </c>
      <c r="B18260" t="s">
        <v>146</v>
      </c>
      <c r="C18260" t="s">
        <v>43</v>
      </c>
      <c r="D18260" s="21" t="s">
        <v>34</v>
      </c>
      <c r="E18260" s="21" t="s">
        <v>35</v>
      </c>
      <c r="F18260">
        <v>10160236</v>
      </c>
      <c r="G18260" t="s">
        <v>7202</v>
      </c>
      <c r="H18260" s="21">
        <v>781.17</v>
      </c>
    </row>
    <row r="18261" spans="1:8" customFormat="1" x14ac:dyDescent="0.25">
      <c r="A18261" t="str">
        <f>"5113575"</f>
        <v>5113575</v>
      </c>
      <c r="B18261" t="s">
        <v>16281</v>
      </c>
      <c r="C18261" t="s">
        <v>60</v>
      </c>
      <c r="D18261" s="21" t="s">
        <v>34</v>
      </c>
      <c r="E18261" s="21" t="s">
        <v>35</v>
      </c>
      <c r="F18261">
        <v>6510053</v>
      </c>
      <c r="G18261" t="s">
        <v>27203</v>
      </c>
      <c r="H18261" s="21">
        <v>781.17</v>
      </c>
    </row>
    <row r="18262" spans="1:8" customFormat="1" x14ac:dyDescent="0.25">
      <c r="A18262" t="str">
        <f>"091717"</f>
        <v>091717</v>
      </c>
      <c r="B18262" t="s">
        <v>19287</v>
      </c>
      <c r="C18262" t="s">
        <v>98</v>
      </c>
      <c r="D18262" s="21" t="s">
        <v>34</v>
      </c>
      <c r="E18262" s="21" t="s">
        <v>35</v>
      </c>
      <c r="F18262">
        <v>11090001</v>
      </c>
      <c r="G18262" t="s">
        <v>4829</v>
      </c>
      <c r="H18262" s="21">
        <v>781.17</v>
      </c>
    </row>
    <row r="18263" spans="1:8" customFormat="1" x14ac:dyDescent="0.25">
      <c r="A18263" t="str">
        <f>"4445530"</f>
        <v>4445530</v>
      </c>
      <c r="B18263" t="s">
        <v>15386</v>
      </c>
      <c r="C18263" t="s">
        <v>328</v>
      </c>
      <c r="D18263" s="21" t="s">
        <v>34</v>
      </c>
      <c r="E18263" s="21" t="s">
        <v>35</v>
      </c>
      <c r="F18263">
        <v>12440021</v>
      </c>
      <c r="G18263" t="s">
        <v>429</v>
      </c>
      <c r="H18263" s="21">
        <v>781.17</v>
      </c>
    </row>
    <row r="18264" spans="1:8" customFormat="1" x14ac:dyDescent="0.25">
      <c r="A18264" t="str">
        <f>"593610"</f>
        <v>593610</v>
      </c>
      <c r="B18264" t="s">
        <v>12483</v>
      </c>
      <c r="C18264" t="s">
        <v>1705</v>
      </c>
      <c r="D18264" s="21" t="s">
        <v>34</v>
      </c>
      <c r="E18264" s="21" t="s">
        <v>254</v>
      </c>
      <c r="F18264">
        <v>7590005</v>
      </c>
      <c r="G18264" t="s">
        <v>540</v>
      </c>
      <c r="H18264" s="21">
        <v>781.17</v>
      </c>
    </row>
    <row r="18265" spans="1:8" customFormat="1" x14ac:dyDescent="0.25">
      <c r="A18265" t="str">
        <f>"7513624"</f>
        <v>7513624</v>
      </c>
      <c r="B18265" t="s">
        <v>4217</v>
      </c>
      <c r="C18265" t="s">
        <v>253</v>
      </c>
      <c r="D18265" s="21" t="s">
        <v>34</v>
      </c>
      <c r="E18265" s="21" t="s">
        <v>71</v>
      </c>
      <c r="F18265">
        <v>8751423</v>
      </c>
      <c r="G18265" t="s">
        <v>4556</v>
      </c>
      <c r="H18265" s="21">
        <v>781.17</v>
      </c>
    </row>
    <row r="18266" spans="1:8" customFormat="1" x14ac:dyDescent="0.25">
      <c r="A18266" t="str">
        <f>"4414678"</f>
        <v>4414678</v>
      </c>
      <c r="B18266" t="s">
        <v>12552</v>
      </c>
      <c r="C18266" t="s">
        <v>239</v>
      </c>
      <c r="D18266" s="21" t="s">
        <v>34</v>
      </c>
      <c r="E18266" s="21" t="s">
        <v>254</v>
      </c>
      <c r="F18266">
        <v>12440081</v>
      </c>
      <c r="G18266" t="s">
        <v>617</v>
      </c>
      <c r="H18266" s="21">
        <v>781.17</v>
      </c>
    </row>
    <row r="18267" spans="1:8" customFormat="1" x14ac:dyDescent="0.25">
      <c r="A18267" t="str">
        <f>"5199"</f>
        <v>5199</v>
      </c>
      <c r="B18267" t="s">
        <v>6817</v>
      </c>
      <c r="C18267" t="s">
        <v>239</v>
      </c>
      <c r="D18267" s="21" t="s">
        <v>34</v>
      </c>
      <c r="E18267" s="21" t="s">
        <v>1089</v>
      </c>
      <c r="F18267">
        <v>6510112</v>
      </c>
      <c r="G18267" t="s">
        <v>588</v>
      </c>
      <c r="H18267" s="21">
        <v>781.17</v>
      </c>
    </row>
    <row r="18268" spans="1:8" customFormat="1" x14ac:dyDescent="0.25">
      <c r="A18268" t="str">
        <f>"0111425"</f>
        <v>0111425</v>
      </c>
      <c r="B18268" t="s">
        <v>17537</v>
      </c>
      <c r="C18268" t="s">
        <v>55</v>
      </c>
      <c r="D18268" s="21" t="s">
        <v>34</v>
      </c>
      <c r="E18268" s="21" t="s">
        <v>71</v>
      </c>
      <c r="F18268">
        <v>10400026</v>
      </c>
      <c r="G18268" t="s">
        <v>9919</v>
      </c>
      <c r="H18268" s="21">
        <v>781.17</v>
      </c>
    </row>
    <row r="18269" spans="1:8" customFormat="1" x14ac:dyDescent="0.25">
      <c r="A18269" t="str">
        <f>"4437828"</f>
        <v>4437828</v>
      </c>
      <c r="B18269" t="s">
        <v>15512</v>
      </c>
      <c r="C18269" t="s">
        <v>269</v>
      </c>
      <c r="D18269" s="21" t="s">
        <v>34</v>
      </c>
      <c r="E18269" s="21" t="s">
        <v>35</v>
      </c>
      <c r="F18269">
        <v>12440060</v>
      </c>
      <c r="G18269" t="s">
        <v>9953</v>
      </c>
      <c r="H18269" s="21">
        <v>780.92</v>
      </c>
    </row>
    <row r="18270" spans="1:8" customFormat="1" x14ac:dyDescent="0.25">
      <c r="A18270" t="str">
        <f>"814597"</f>
        <v>814597</v>
      </c>
      <c r="B18270" t="s">
        <v>16240</v>
      </c>
      <c r="C18270" t="s">
        <v>62</v>
      </c>
      <c r="D18270" s="21" t="s">
        <v>34</v>
      </c>
      <c r="E18270" s="21" t="s">
        <v>71</v>
      </c>
      <c r="F18270">
        <v>11810001</v>
      </c>
      <c r="G18270" t="s">
        <v>26998</v>
      </c>
      <c r="H18270" s="21">
        <v>780.92</v>
      </c>
    </row>
    <row r="18271" spans="1:8" customFormat="1" x14ac:dyDescent="0.25">
      <c r="A18271" t="str">
        <f>"764084"</f>
        <v>764084</v>
      </c>
      <c r="B18271" t="s">
        <v>8882</v>
      </c>
      <c r="C18271" t="s">
        <v>246</v>
      </c>
      <c r="D18271" s="21" t="s">
        <v>34</v>
      </c>
      <c r="E18271" s="21" t="s">
        <v>71</v>
      </c>
      <c r="F18271">
        <v>9270188</v>
      </c>
      <c r="G18271" t="s">
        <v>11292</v>
      </c>
      <c r="H18271" s="21">
        <v>780.67</v>
      </c>
    </row>
    <row r="18272" spans="1:8" customFormat="1" x14ac:dyDescent="0.25">
      <c r="A18272" t="str">
        <f>"5316522"</f>
        <v>5316522</v>
      </c>
      <c r="B18272" t="s">
        <v>14880</v>
      </c>
      <c r="C18272" t="s">
        <v>621</v>
      </c>
      <c r="D18272" s="21" t="s">
        <v>34</v>
      </c>
      <c r="E18272" s="21" t="s">
        <v>71</v>
      </c>
      <c r="F18272">
        <v>12530046</v>
      </c>
      <c r="G18272" t="s">
        <v>10191</v>
      </c>
      <c r="H18272" s="21">
        <v>780.67</v>
      </c>
    </row>
    <row r="18273" spans="1:8" customFormat="1" x14ac:dyDescent="0.25">
      <c r="A18273" t="str">
        <f>"621049"</f>
        <v>621049</v>
      </c>
      <c r="B18273" t="s">
        <v>2405</v>
      </c>
      <c r="C18273" t="s">
        <v>1110</v>
      </c>
      <c r="D18273" s="21" t="s">
        <v>34</v>
      </c>
      <c r="E18273" s="21" t="s">
        <v>254</v>
      </c>
      <c r="F18273">
        <v>7620064</v>
      </c>
      <c r="G18273" t="s">
        <v>2266</v>
      </c>
      <c r="H18273" s="21">
        <v>780.67</v>
      </c>
    </row>
    <row r="18274" spans="1:8" customFormat="1" x14ac:dyDescent="0.25">
      <c r="A18274" t="str">
        <f>"40537"</f>
        <v>40537</v>
      </c>
      <c r="B18274" t="s">
        <v>14953</v>
      </c>
      <c r="C18274" t="s">
        <v>249</v>
      </c>
      <c r="D18274" s="21" t="s">
        <v>34</v>
      </c>
      <c r="E18274" s="21" t="s">
        <v>71</v>
      </c>
      <c r="F18274">
        <v>10400018</v>
      </c>
      <c r="G18274" t="s">
        <v>12851</v>
      </c>
      <c r="H18274" s="21">
        <v>780.67</v>
      </c>
    </row>
    <row r="18275" spans="1:8" customFormat="1" x14ac:dyDescent="0.25">
      <c r="A18275" t="str">
        <f>"618523"</f>
        <v>618523</v>
      </c>
      <c r="B18275" t="s">
        <v>13081</v>
      </c>
      <c r="C18275" t="s">
        <v>204</v>
      </c>
      <c r="D18275" s="21" t="s">
        <v>34</v>
      </c>
      <c r="E18275" s="21" t="s">
        <v>35</v>
      </c>
      <c r="F18275">
        <v>9610017</v>
      </c>
      <c r="G18275" t="s">
        <v>12194</v>
      </c>
      <c r="H18275" s="21">
        <v>780.67</v>
      </c>
    </row>
    <row r="18276" spans="1:8" customFormat="1" x14ac:dyDescent="0.25">
      <c r="A18276" t="str">
        <f>"5951716"</f>
        <v>5951716</v>
      </c>
      <c r="B18276" t="s">
        <v>15348</v>
      </c>
      <c r="C18276" t="s">
        <v>249</v>
      </c>
      <c r="D18276" s="21" t="s">
        <v>34</v>
      </c>
      <c r="E18276" s="21" t="s">
        <v>71</v>
      </c>
      <c r="F18276">
        <v>7590100</v>
      </c>
      <c r="G18276" t="s">
        <v>1660</v>
      </c>
      <c r="H18276" s="21">
        <v>780.67</v>
      </c>
    </row>
    <row r="18277" spans="1:8" customFormat="1" x14ac:dyDescent="0.25">
      <c r="A18277" t="str">
        <f>"5314673"</f>
        <v>5314673</v>
      </c>
      <c r="B18277" t="s">
        <v>556</v>
      </c>
      <c r="C18277" t="s">
        <v>263</v>
      </c>
      <c r="D18277" s="21" t="s">
        <v>34</v>
      </c>
      <c r="E18277" s="21" t="s">
        <v>35</v>
      </c>
      <c r="F18277">
        <v>12530109</v>
      </c>
      <c r="G18277" t="s">
        <v>6924</v>
      </c>
      <c r="H18277" s="21">
        <v>780.67</v>
      </c>
    </row>
    <row r="18278" spans="1:8" customFormat="1" x14ac:dyDescent="0.25">
      <c r="A18278" t="str">
        <f>"445163"</f>
        <v>445163</v>
      </c>
      <c r="B18278" t="s">
        <v>4024</v>
      </c>
      <c r="C18278" t="s">
        <v>1588</v>
      </c>
      <c r="D18278" s="21" t="s">
        <v>34</v>
      </c>
      <c r="E18278" s="21" t="s">
        <v>254</v>
      </c>
      <c r="F18278">
        <v>12440073</v>
      </c>
      <c r="G18278" t="s">
        <v>3492</v>
      </c>
      <c r="H18278" s="21">
        <v>780.67</v>
      </c>
    </row>
    <row r="18279" spans="1:8" customFormat="1" x14ac:dyDescent="0.25">
      <c r="A18279" t="str">
        <f>"769537"</f>
        <v>769537</v>
      </c>
      <c r="B18279" t="s">
        <v>2218</v>
      </c>
      <c r="C18279" t="s">
        <v>879</v>
      </c>
      <c r="D18279" s="21" t="s">
        <v>34</v>
      </c>
      <c r="E18279" s="21" t="s">
        <v>254</v>
      </c>
      <c r="F18279">
        <v>9760069</v>
      </c>
      <c r="G18279" t="s">
        <v>13196</v>
      </c>
      <c r="H18279" s="21">
        <v>780.67</v>
      </c>
    </row>
    <row r="18280" spans="1:8" customFormat="1" x14ac:dyDescent="0.25">
      <c r="A18280" t="str">
        <f>"4448309"</f>
        <v>4448309</v>
      </c>
      <c r="B18280" t="s">
        <v>15738</v>
      </c>
      <c r="C18280" t="s">
        <v>817</v>
      </c>
      <c r="D18280" s="21" t="s">
        <v>34</v>
      </c>
      <c r="E18280" s="21" t="s">
        <v>71</v>
      </c>
      <c r="F18280">
        <v>12440030</v>
      </c>
      <c r="G18280" t="s">
        <v>5524</v>
      </c>
      <c r="H18280" s="21">
        <v>780.67</v>
      </c>
    </row>
    <row r="18281" spans="1:8" customFormat="1" x14ac:dyDescent="0.25">
      <c r="A18281" t="str">
        <f>"069737"</f>
        <v>069737</v>
      </c>
      <c r="B18281" t="s">
        <v>16272</v>
      </c>
      <c r="C18281" t="s">
        <v>608</v>
      </c>
      <c r="D18281" s="21" t="s">
        <v>34</v>
      </c>
      <c r="E18281" s="21" t="s">
        <v>35</v>
      </c>
      <c r="F18281">
        <v>13060066</v>
      </c>
      <c r="G18281" t="s">
        <v>2556</v>
      </c>
      <c r="H18281" s="21">
        <v>780.67</v>
      </c>
    </row>
    <row r="18282" spans="1:8" customFormat="1" x14ac:dyDescent="0.25">
      <c r="A18282" t="str">
        <f>"19191"</f>
        <v>19191</v>
      </c>
      <c r="B18282" t="s">
        <v>14430</v>
      </c>
      <c r="C18282" t="s">
        <v>253</v>
      </c>
      <c r="D18282" s="21" t="s">
        <v>34</v>
      </c>
      <c r="E18282" s="21" t="s">
        <v>254</v>
      </c>
      <c r="F18282">
        <v>10190075</v>
      </c>
      <c r="G18282" t="s">
        <v>14431</v>
      </c>
      <c r="H18282" s="21">
        <v>780.67</v>
      </c>
    </row>
    <row r="18283" spans="1:8" customFormat="1" x14ac:dyDescent="0.25">
      <c r="A18283" t="str">
        <f>"01740"</f>
        <v>01740</v>
      </c>
      <c r="B18283" t="s">
        <v>3655</v>
      </c>
      <c r="C18283" t="s">
        <v>2100</v>
      </c>
      <c r="D18283" s="21" t="s">
        <v>34</v>
      </c>
      <c r="E18283" s="21" t="s">
        <v>254</v>
      </c>
      <c r="F18283">
        <v>1010073</v>
      </c>
      <c r="G18283" t="s">
        <v>11810</v>
      </c>
      <c r="H18283" s="21">
        <v>780.67</v>
      </c>
    </row>
    <row r="18284" spans="1:8" customFormat="1" x14ac:dyDescent="0.25">
      <c r="A18284" t="str">
        <f>"807324"</f>
        <v>807324</v>
      </c>
      <c r="B18284" t="s">
        <v>10937</v>
      </c>
      <c r="C18284" t="s">
        <v>2365</v>
      </c>
      <c r="D18284" s="21" t="s">
        <v>34</v>
      </c>
      <c r="E18284" s="21" t="s">
        <v>254</v>
      </c>
      <c r="F18284">
        <v>7800079</v>
      </c>
      <c r="G18284" t="s">
        <v>14753</v>
      </c>
      <c r="H18284" s="21">
        <v>780.67</v>
      </c>
    </row>
    <row r="18285" spans="1:8" customFormat="1" x14ac:dyDescent="0.25">
      <c r="A18285" t="str">
        <f>"608766"</f>
        <v>608766</v>
      </c>
      <c r="B18285" t="s">
        <v>15615</v>
      </c>
      <c r="C18285" t="s">
        <v>33</v>
      </c>
      <c r="D18285" s="21" t="s">
        <v>34</v>
      </c>
      <c r="E18285" s="21" t="s">
        <v>35</v>
      </c>
      <c r="F18285">
        <v>7600132</v>
      </c>
      <c r="G18285" t="s">
        <v>15366</v>
      </c>
      <c r="H18285" s="21">
        <v>780.67</v>
      </c>
    </row>
    <row r="18286" spans="1:8" customFormat="1" x14ac:dyDescent="0.25">
      <c r="A18286" t="str">
        <f>"444902"</f>
        <v>444902</v>
      </c>
      <c r="B18286" t="s">
        <v>1551</v>
      </c>
      <c r="C18286" t="s">
        <v>269</v>
      </c>
      <c r="D18286" s="21" t="s">
        <v>34</v>
      </c>
      <c r="E18286" s="21" t="s">
        <v>71</v>
      </c>
      <c r="F18286">
        <v>12440042</v>
      </c>
      <c r="G18286" t="s">
        <v>10312</v>
      </c>
      <c r="H18286" s="21">
        <v>780.67</v>
      </c>
    </row>
    <row r="18287" spans="1:8" customFormat="1" x14ac:dyDescent="0.25">
      <c r="A18287" t="str">
        <f>"9114945"</f>
        <v>9114945</v>
      </c>
      <c r="B18287" t="s">
        <v>14718</v>
      </c>
      <c r="C18287" t="s">
        <v>204</v>
      </c>
      <c r="D18287" s="21" t="s">
        <v>34</v>
      </c>
      <c r="E18287" s="21" t="s">
        <v>35</v>
      </c>
      <c r="F18287">
        <v>8911132</v>
      </c>
      <c r="G18287" t="s">
        <v>10728</v>
      </c>
      <c r="H18287" s="21">
        <v>780.67</v>
      </c>
    </row>
    <row r="18288" spans="1:8" customFormat="1" x14ac:dyDescent="0.25">
      <c r="A18288" t="str">
        <f>"5950386"</f>
        <v>5950386</v>
      </c>
      <c r="B18288" t="s">
        <v>14779</v>
      </c>
      <c r="C18288" t="s">
        <v>4842</v>
      </c>
      <c r="D18288" s="21" t="s">
        <v>34</v>
      </c>
      <c r="E18288" s="21" t="s">
        <v>254</v>
      </c>
      <c r="F18288">
        <v>7590127</v>
      </c>
      <c r="G18288" t="s">
        <v>214</v>
      </c>
      <c r="H18288" s="21">
        <v>780.67</v>
      </c>
    </row>
    <row r="18289" spans="1:8" customFormat="1" x14ac:dyDescent="0.25">
      <c r="A18289" t="str">
        <f>"3010287"</f>
        <v>3010287</v>
      </c>
      <c r="B18289" t="s">
        <v>15576</v>
      </c>
      <c r="C18289" t="s">
        <v>2520</v>
      </c>
      <c r="D18289" s="21" t="s">
        <v>34</v>
      </c>
      <c r="E18289" s="21" t="s">
        <v>35</v>
      </c>
      <c r="F18289">
        <v>13840001</v>
      </c>
      <c r="G18289" t="s">
        <v>972</v>
      </c>
      <c r="H18289" s="21">
        <v>780.54</v>
      </c>
    </row>
    <row r="18290" spans="1:8" customFormat="1" x14ac:dyDescent="0.25">
      <c r="A18290" t="str">
        <f>"7413591"</f>
        <v>7413591</v>
      </c>
      <c r="B18290" t="s">
        <v>15437</v>
      </c>
      <c r="C18290" t="s">
        <v>121</v>
      </c>
      <c r="D18290" s="21" t="s">
        <v>34</v>
      </c>
      <c r="E18290" s="21" t="s">
        <v>35</v>
      </c>
      <c r="F18290">
        <v>1740001</v>
      </c>
      <c r="G18290" t="s">
        <v>347</v>
      </c>
      <c r="H18290" s="21">
        <v>780.54</v>
      </c>
    </row>
    <row r="18291" spans="1:8" customFormat="1" x14ac:dyDescent="0.25">
      <c r="A18291" t="str">
        <f>"3414709"</f>
        <v>3414709</v>
      </c>
      <c r="B18291" t="s">
        <v>14942</v>
      </c>
      <c r="C18291" t="s">
        <v>664</v>
      </c>
      <c r="D18291" s="21" t="s">
        <v>34</v>
      </c>
      <c r="E18291" s="21" t="s">
        <v>71</v>
      </c>
      <c r="F18291">
        <v>11340014</v>
      </c>
      <c r="G18291" t="s">
        <v>1455</v>
      </c>
      <c r="H18291" s="21">
        <v>780.5</v>
      </c>
    </row>
    <row r="18292" spans="1:8" customFormat="1" x14ac:dyDescent="0.25">
      <c r="A18292" t="str">
        <f>"387215"</f>
        <v>387215</v>
      </c>
      <c r="B18292" t="s">
        <v>25933</v>
      </c>
      <c r="C18292" t="s">
        <v>144</v>
      </c>
      <c r="D18292" s="21" t="s">
        <v>34</v>
      </c>
      <c r="E18292" s="21" t="s">
        <v>35</v>
      </c>
      <c r="F18292">
        <v>1380181</v>
      </c>
      <c r="G18292" t="s">
        <v>11117</v>
      </c>
      <c r="H18292" s="21">
        <v>780.5</v>
      </c>
    </row>
    <row r="18293" spans="1:8" customFormat="1" x14ac:dyDescent="0.25">
      <c r="A18293" t="str">
        <f>"7624008"</f>
        <v>7624008</v>
      </c>
      <c r="B18293" t="s">
        <v>14600</v>
      </c>
      <c r="C18293" t="s">
        <v>253</v>
      </c>
      <c r="D18293" s="21" t="s">
        <v>34</v>
      </c>
      <c r="E18293" s="21" t="s">
        <v>254</v>
      </c>
      <c r="F18293">
        <v>9760168</v>
      </c>
      <c r="G18293" t="s">
        <v>179</v>
      </c>
      <c r="H18293" s="21">
        <v>780.42</v>
      </c>
    </row>
    <row r="18294" spans="1:8" customFormat="1" x14ac:dyDescent="0.25">
      <c r="A18294" t="str">
        <f>"42531"</f>
        <v>42531</v>
      </c>
      <c r="B18294" t="s">
        <v>4649</v>
      </c>
      <c r="C18294" t="s">
        <v>2520</v>
      </c>
      <c r="D18294" s="21" t="s">
        <v>34</v>
      </c>
      <c r="E18294" s="21" t="s">
        <v>254</v>
      </c>
      <c r="F18294">
        <v>1420152</v>
      </c>
      <c r="G18294" t="s">
        <v>2948</v>
      </c>
      <c r="H18294" s="21">
        <v>780.42</v>
      </c>
    </row>
    <row r="18295" spans="1:8" customFormat="1" x14ac:dyDescent="0.25">
      <c r="A18295" t="str">
        <f>"4421961"</f>
        <v>4421961</v>
      </c>
      <c r="B18295" t="s">
        <v>14301</v>
      </c>
      <c r="C18295" t="s">
        <v>269</v>
      </c>
      <c r="D18295" s="21" t="s">
        <v>34</v>
      </c>
      <c r="E18295" s="21" t="s">
        <v>71</v>
      </c>
      <c r="F18295">
        <v>12440039</v>
      </c>
      <c r="G18295" t="s">
        <v>9650</v>
      </c>
      <c r="H18295" s="21">
        <v>780.17</v>
      </c>
    </row>
    <row r="18296" spans="1:8" customFormat="1" x14ac:dyDescent="0.25">
      <c r="A18296" t="str">
        <f>"343115"</f>
        <v>343115</v>
      </c>
      <c r="B18296" t="s">
        <v>3679</v>
      </c>
      <c r="C18296" t="s">
        <v>239</v>
      </c>
      <c r="D18296" s="21" t="s">
        <v>34</v>
      </c>
      <c r="E18296" s="21" t="s">
        <v>254</v>
      </c>
      <c r="F18296">
        <v>11340003</v>
      </c>
      <c r="G18296" t="s">
        <v>3326</v>
      </c>
      <c r="H18296" s="21">
        <v>780.17</v>
      </c>
    </row>
    <row r="18297" spans="1:8" customFormat="1" x14ac:dyDescent="0.25">
      <c r="A18297" t="str">
        <f>"1412115"</f>
        <v>1412115</v>
      </c>
      <c r="B18297" t="s">
        <v>760</v>
      </c>
      <c r="C18297" t="s">
        <v>3073</v>
      </c>
      <c r="D18297" s="21" t="s">
        <v>34</v>
      </c>
      <c r="E18297" s="21" t="s">
        <v>254</v>
      </c>
      <c r="F18297">
        <v>9140019</v>
      </c>
      <c r="G18297" t="s">
        <v>3901</v>
      </c>
      <c r="H18297" s="21">
        <v>780.17</v>
      </c>
    </row>
    <row r="18298" spans="1:8" customFormat="1" x14ac:dyDescent="0.25">
      <c r="A18298" t="str">
        <f>"5011119"</f>
        <v>5011119</v>
      </c>
      <c r="B18298" t="s">
        <v>15868</v>
      </c>
      <c r="C18298" t="s">
        <v>98</v>
      </c>
      <c r="D18298" s="21" t="s">
        <v>34</v>
      </c>
      <c r="E18298" s="21" t="s">
        <v>35</v>
      </c>
      <c r="F18298">
        <v>9500012</v>
      </c>
      <c r="G18298" t="s">
        <v>10097</v>
      </c>
      <c r="H18298" s="21">
        <v>780.17</v>
      </c>
    </row>
    <row r="18299" spans="1:8" customFormat="1" x14ac:dyDescent="0.25">
      <c r="A18299" t="str">
        <f>"7510747"</f>
        <v>7510747</v>
      </c>
      <c r="B18299" t="s">
        <v>14584</v>
      </c>
      <c r="C18299" t="s">
        <v>598</v>
      </c>
      <c r="D18299" s="21" t="s">
        <v>34</v>
      </c>
      <c r="E18299" s="21" t="s">
        <v>254</v>
      </c>
      <c r="F18299">
        <v>11460029</v>
      </c>
      <c r="G18299" t="s">
        <v>10606</v>
      </c>
      <c r="H18299" s="21">
        <v>780.17</v>
      </c>
    </row>
    <row r="18300" spans="1:8" customFormat="1" x14ac:dyDescent="0.25">
      <c r="A18300" t="str">
        <f>"775901"</f>
        <v>775901</v>
      </c>
      <c r="B18300" t="s">
        <v>15218</v>
      </c>
      <c r="C18300" t="s">
        <v>3497</v>
      </c>
      <c r="D18300" s="21" t="s">
        <v>34</v>
      </c>
      <c r="E18300" s="21" t="s">
        <v>1089</v>
      </c>
      <c r="F18300">
        <v>8771029</v>
      </c>
      <c r="G18300" t="s">
        <v>4447</v>
      </c>
      <c r="H18300" s="21">
        <v>780.17</v>
      </c>
    </row>
    <row r="18301" spans="1:8" customFormat="1" x14ac:dyDescent="0.25">
      <c r="A18301" t="str">
        <f>"5620936"</f>
        <v>5620936</v>
      </c>
      <c r="B18301" t="s">
        <v>9962</v>
      </c>
      <c r="C18301" t="s">
        <v>305</v>
      </c>
      <c r="D18301" s="21" t="s">
        <v>34</v>
      </c>
      <c r="E18301" s="21" t="s">
        <v>35</v>
      </c>
      <c r="F18301">
        <v>3560091</v>
      </c>
      <c r="G18301" t="s">
        <v>27212</v>
      </c>
      <c r="H18301" s="21">
        <v>780.17</v>
      </c>
    </row>
    <row r="18302" spans="1:8" customFormat="1" x14ac:dyDescent="0.25">
      <c r="A18302" t="str">
        <f>"42262"</f>
        <v>42262</v>
      </c>
      <c r="B18302" t="s">
        <v>13692</v>
      </c>
      <c r="C18302" t="s">
        <v>130</v>
      </c>
      <c r="D18302" s="21" t="s">
        <v>34</v>
      </c>
      <c r="E18302" s="21" t="s">
        <v>254</v>
      </c>
      <c r="F18302">
        <v>1420017</v>
      </c>
      <c r="G18302" t="s">
        <v>1296</v>
      </c>
      <c r="H18302" s="21">
        <v>780.17</v>
      </c>
    </row>
    <row r="18303" spans="1:8" customFormat="1" x14ac:dyDescent="0.25">
      <c r="A18303" t="str">
        <f>"38576"</f>
        <v>38576</v>
      </c>
      <c r="B18303" t="s">
        <v>14340</v>
      </c>
      <c r="C18303" t="s">
        <v>14341</v>
      </c>
      <c r="D18303" s="21" t="s">
        <v>34</v>
      </c>
      <c r="E18303" s="21" t="s">
        <v>254</v>
      </c>
      <c r="F18303">
        <v>1380068</v>
      </c>
      <c r="G18303" t="s">
        <v>12680</v>
      </c>
      <c r="H18303" s="21">
        <v>780.17</v>
      </c>
    </row>
    <row r="18304" spans="1:8" customFormat="1" x14ac:dyDescent="0.25">
      <c r="A18304" t="str">
        <f>"9143413"</f>
        <v>9143413</v>
      </c>
      <c r="B18304" t="s">
        <v>8024</v>
      </c>
      <c r="C18304" t="s">
        <v>608</v>
      </c>
      <c r="D18304" s="21" t="s">
        <v>34</v>
      </c>
      <c r="E18304" s="21" t="s">
        <v>35</v>
      </c>
      <c r="F18304">
        <v>8911323</v>
      </c>
      <c r="G18304" t="s">
        <v>555</v>
      </c>
      <c r="H18304" s="21">
        <v>780.17</v>
      </c>
    </row>
    <row r="18305" spans="1:8" customFormat="1" x14ac:dyDescent="0.25">
      <c r="A18305" t="str">
        <f>"9235273"</f>
        <v>9235273</v>
      </c>
      <c r="B18305" t="s">
        <v>14402</v>
      </c>
      <c r="C18305" t="s">
        <v>311</v>
      </c>
      <c r="D18305" s="21" t="s">
        <v>34</v>
      </c>
      <c r="E18305" s="21" t="s">
        <v>35</v>
      </c>
      <c r="F18305">
        <v>8920309</v>
      </c>
      <c r="G18305" t="s">
        <v>1894</v>
      </c>
      <c r="H18305" s="21">
        <v>780.17</v>
      </c>
    </row>
    <row r="18306" spans="1:8" customFormat="1" x14ac:dyDescent="0.25">
      <c r="A18306" t="str">
        <f>"7110291"</f>
        <v>7110291</v>
      </c>
      <c r="B18306" t="s">
        <v>14521</v>
      </c>
      <c r="C18306" t="s">
        <v>121</v>
      </c>
      <c r="D18306" s="21" t="s">
        <v>34</v>
      </c>
      <c r="E18306" s="21" t="s">
        <v>71</v>
      </c>
      <c r="F18306">
        <v>2710042</v>
      </c>
      <c r="G18306" t="s">
        <v>1997</v>
      </c>
      <c r="H18306" s="21">
        <v>780.17</v>
      </c>
    </row>
    <row r="18307" spans="1:8" customFormat="1" x14ac:dyDescent="0.25">
      <c r="A18307" t="str">
        <f>"6218330"</f>
        <v>6218330</v>
      </c>
      <c r="B18307" t="s">
        <v>12558</v>
      </c>
      <c r="C18307" t="s">
        <v>55</v>
      </c>
      <c r="D18307" s="21" t="s">
        <v>34</v>
      </c>
      <c r="E18307" s="21" t="s">
        <v>71</v>
      </c>
      <c r="F18307">
        <v>7620015</v>
      </c>
      <c r="G18307" t="s">
        <v>377</v>
      </c>
      <c r="H18307" s="21">
        <v>780.17</v>
      </c>
    </row>
    <row r="18308" spans="1:8" customFormat="1" x14ac:dyDescent="0.25">
      <c r="A18308" t="str">
        <f>"54623"</f>
        <v>54623</v>
      </c>
      <c r="B18308" t="s">
        <v>2765</v>
      </c>
      <c r="C18308" t="s">
        <v>664</v>
      </c>
      <c r="D18308" s="21" t="s">
        <v>34</v>
      </c>
      <c r="E18308" s="21" t="s">
        <v>254</v>
      </c>
      <c r="F18308">
        <v>6540028</v>
      </c>
      <c r="G18308" t="s">
        <v>3201</v>
      </c>
      <c r="H18308" s="21">
        <v>780.17</v>
      </c>
    </row>
    <row r="18309" spans="1:8" customFormat="1" x14ac:dyDescent="0.25">
      <c r="A18309" t="str">
        <f>"7849803"</f>
        <v>7849803</v>
      </c>
      <c r="B18309" t="s">
        <v>8930</v>
      </c>
      <c r="C18309" t="s">
        <v>1665</v>
      </c>
      <c r="D18309" s="21" t="s">
        <v>34</v>
      </c>
      <c r="E18309" s="21" t="s">
        <v>254</v>
      </c>
      <c r="F18309">
        <v>13130161</v>
      </c>
      <c r="G18309" t="s">
        <v>1171</v>
      </c>
      <c r="H18309" s="21">
        <v>780.17</v>
      </c>
    </row>
    <row r="18310" spans="1:8" customFormat="1" x14ac:dyDescent="0.25">
      <c r="A18310" t="str">
        <f>"5923606"</f>
        <v>5923606</v>
      </c>
      <c r="B18310" t="s">
        <v>641</v>
      </c>
      <c r="C18310" t="s">
        <v>253</v>
      </c>
      <c r="D18310" s="21" t="s">
        <v>34</v>
      </c>
      <c r="E18310" s="21" t="s">
        <v>71</v>
      </c>
      <c r="F18310">
        <v>7590263</v>
      </c>
      <c r="G18310" t="s">
        <v>895</v>
      </c>
      <c r="H18310" s="21">
        <v>780.04</v>
      </c>
    </row>
    <row r="18311" spans="1:8" customFormat="1" x14ac:dyDescent="0.25">
      <c r="A18311" t="str">
        <f>"091668"</f>
        <v>091668</v>
      </c>
      <c r="B18311" t="s">
        <v>18274</v>
      </c>
      <c r="C18311" t="s">
        <v>500</v>
      </c>
      <c r="D18311" s="21" t="s">
        <v>34</v>
      </c>
      <c r="E18311" s="21" t="s">
        <v>35</v>
      </c>
      <c r="F18311">
        <v>11090001</v>
      </c>
      <c r="G18311" t="s">
        <v>4829</v>
      </c>
      <c r="H18311" s="21">
        <v>779.92</v>
      </c>
    </row>
    <row r="18312" spans="1:8" customFormat="1" x14ac:dyDescent="0.25">
      <c r="A18312" t="str">
        <f>"3341677"</f>
        <v>3341677</v>
      </c>
      <c r="B18312" t="s">
        <v>6305</v>
      </c>
      <c r="C18312" t="s">
        <v>62</v>
      </c>
      <c r="D18312" s="21" t="s">
        <v>34</v>
      </c>
      <c r="E18312" s="21" t="s">
        <v>71</v>
      </c>
      <c r="F18312">
        <v>10330093</v>
      </c>
      <c r="G18312" t="s">
        <v>8324</v>
      </c>
      <c r="H18312" s="21">
        <v>779.79</v>
      </c>
    </row>
    <row r="18313" spans="1:8" customFormat="1" x14ac:dyDescent="0.25">
      <c r="A18313" t="str">
        <f>"6936448"</f>
        <v>6936448</v>
      </c>
      <c r="B18313" t="s">
        <v>10301</v>
      </c>
      <c r="C18313" t="s">
        <v>55</v>
      </c>
      <c r="D18313" s="21" t="s">
        <v>34</v>
      </c>
      <c r="E18313" s="21" t="s">
        <v>71</v>
      </c>
      <c r="F18313">
        <v>1690103</v>
      </c>
      <c r="G18313" t="s">
        <v>5411</v>
      </c>
      <c r="H18313" s="21">
        <v>779.79</v>
      </c>
    </row>
    <row r="18314" spans="1:8" customFormat="1" x14ac:dyDescent="0.25">
      <c r="A18314" t="str">
        <f>"331264"</f>
        <v>331264</v>
      </c>
      <c r="B18314" t="s">
        <v>15212</v>
      </c>
      <c r="C18314" t="s">
        <v>598</v>
      </c>
      <c r="D18314" s="21" t="s">
        <v>34</v>
      </c>
      <c r="E18314" s="21" t="s">
        <v>254</v>
      </c>
      <c r="F18314">
        <v>10330125</v>
      </c>
      <c r="G18314" t="s">
        <v>3753</v>
      </c>
      <c r="H18314" s="21">
        <v>779.79</v>
      </c>
    </row>
    <row r="18315" spans="1:8" customFormat="1" x14ac:dyDescent="0.25">
      <c r="A18315" t="str">
        <f>"8511880"</f>
        <v>8511880</v>
      </c>
      <c r="B18315" t="s">
        <v>2973</v>
      </c>
      <c r="C18315" t="s">
        <v>412</v>
      </c>
      <c r="D18315" s="21" t="s">
        <v>34</v>
      </c>
      <c r="E18315" s="21" t="s">
        <v>35</v>
      </c>
      <c r="F18315">
        <v>12851011</v>
      </c>
      <c r="G18315" t="s">
        <v>1445</v>
      </c>
      <c r="H18315" s="21">
        <v>779.67</v>
      </c>
    </row>
    <row r="18316" spans="1:8" customFormat="1" x14ac:dyDescent="0.25">
      <c r="A18316" t="str">
        <f>"6017788"</f>
        <v>6017788</v>
      </c>
      <c r="B18316" t="s">
        <v>27524</v>
      </c>
      <c r="C18316" t="s">
        <v>462</v>
      </c>
      <c r="D18316" s="21" t="s">
        <v>34</v>
      </c>
      <c r="E18316" s="21" t="s">
        <v>71</v>
      </c>
      <c r="F18316">
        <v>7600088</v>
      </c>
      <c r="G18316" t="s">
        <v>334</v>
      </c>
      <c r="H18316" s="21">
        <v>779.67</v>
      </c>
    </row>
    <row r="18317" spans="1:8" customFormat="1" x14ac:dyDescent="0.25">
      <c r="A18317" t="str">
        <f>"417432"</f>
        <v>417432</v>
      </c>
      <c r="B18317" t="s">
        <v>16092</v>
      </c>
      <c r="C18317" t="s">
        <v>156</v>
      </c>
      <c r="D18317" s="21" t="s">
        <v>34</v>
      </c>
      <c r="E18317" s="21" t="s">
        <v>71</v>
      </c>
      <c r="F18317">
        <v>4410017</v>
      </c>
      <c r="G18317" t="s">
        <v>2363</v>
      </c>
      <c r="H18317" s="21">
        <v>779.67</v>
      </c>
    </row>
    <row r="18318" spans="1:8" customFormat="1" x14ac:dyDescent="0.25">
      <c r="A18318" t="str">
        <f>"6311420"</f>
        <v>6311420</v>
      </c>
      <c r="B18318" t="s">
        <v>13639</v>
      </c>
      <c r="C18318" t="s">
        <v>151</v>
      </c>
      <c r="D18318" s="21" t="s">
        <v>34</v>
      </c>
      <c r="E18318" s="21" t="s">
        <v>71</v>
      </c>
      <c r="F18318">
        <v>1630298</v>
      </c>
      <c r="G18318" t="s">
        <v>7247</v>
      </c>
      <c r="H18318" s="21">
        <v>779.67</v>
      </c>
    </row>
    <row r="18319" spans="1:8" customFormat="1" x14ac:dyDescent="0.25">
      <c r="A18319" t="str">
        <f>"9137263"</f>
        <v>9137263</v>
      </c>
      <c r="B18319" t="s">
        <v>15782</v>
      </c>
      <c r="C18319" t="s">
        <v>249</v>
      </c>
      <c r="D18319" s="21" t="s">
        <v>34</v>
      </c>
      <c r="E18319" s="21" t="s">
        <v>71</v>
      </c>
      <c r="F18319">
        <v>8910042</v>
      </c>
      <c r="G18319" t="s">
        <v>4009</v>
      </c>
      <c r="H18319" s="21">
        <v>779.67</v>
      </c>
    </row>
    <row r="18320" spans="1:8" customFormat="1" x14ac:dyDescent="0.25">
      <c r="A18320" t="str">
        <f>"93132"</f>
        <v>93132</v>
      </c>
      <c r="B18320" t="s">
        <v>6310</v>
      </c>
      <c r="C18320" t="s">
        <v>1142</v>
      </c>
      <c r="D18320" s="21" t="s">
        <v>34</v>
      </c>
      <c r="E18320" s="21" t="s">
        <v>1089</v>
      </c>
      <c r="F18320">
        <v>8930024</v>
      </c>
      <c r="G18320" t="s">
        <v>44</v>
      </c>
      <c r="H18320" s="21">
        <v>779.67</v>
      </c>
    </row>
    <row r="18321" spans="1:8" customFormat="1" x14ac:dyDescent="0.25">
      <c r="A18321" t="str">
        <f>"5313534"</f>
        <v>5313534</v>
      </c>
      <c r="B18321" t="s">
        <v>1178</v>
      </c>
      <c r="C18321" t="s">
        <v>263</v>
      </c>
      <c r="D18321" s="21" t="s">
        <v>34</v>
      </c>
      <c r="E18321" s="21" t="s">
        <v>71</v>
      </c>
      <c r="F18321">
        <v>12530005</v>
      </c>
      <c r="G18321" t="s">
        <v>6076</v>
      </c>
      <c r="H18321" s="21">
        <v>779.67</v>
      </c>
    </row>
    <row r="18322" spans="1:8" customFormat="1" x14ac:dyDescent="0.25">
      <c r="A18322" t="str">
        <f>"67466"</f>
        <v>67466</v>
      </c>
      <c r="B18322" t="s">
        <v>13250</v>
      </c>
      <c r="C18322" t="s">
        <v>462</v>
      </c>
      <c r="D18322" s="21" t="s">
        <v>34</v>
      </c>
      <c r="E18322" s="21" t="s">
        <v>254</v>
      </c>
      <c r="F18322">
        <v>6670041</v>
      </c>
      <c r="G18322" t="s">
        <v>1971</v>
      </c>
      <c r="H18322" s="21">
        <v>779.67</v>
      </c>
    </row>
    <row r="18323" spans="1:8" customFormat="1" x14ac:dyDescent="0.25">
      <c r="A18323" t="str">
        <f>"2213449"</f>
        <v>2213449</v>
      </c>
      <c r="B18323" t="s">
        <v>16020</v>
      </c>
      <c r="C18323" t="s">
        <v>249</v>
      </c>
      <c r="D18323" s="21" t="s">
        <v>34</v>
      </c>
      <c r="E18323" s="21" t="s">
        <v>71</v>
      </c>
      <c r="F18323">
        <v>3220132</v>
      </c>
      <c r="G18323" t="s">
        <v>27242</v>
      </c>
      <c r="H18323" s="21">
        <v>779.67</v>
      </c>
    </row>
    <row r="18324" spans="1:8" customFormat="1" x14ac:dyDescent="0.25">
      <c r="A18324" t="str">
        <f>"5943803"</f>
        <v>5943803</v>
      </c>
      <c r="B18324" t="s">
        <v>15786</v>
      </c>
      <c r="C18324" t="s">
        <v>65</v>
      </c>
      <c r="D18324" s="21" t="s">
        <v>34</v>
      </c>
      <c r="E18324" s="21" t="s">
        <v>71</v>
      </c>
      <c r="F18324">
        <v>7590131</v>
      </c>
      <c r="G18324" t="s">
        <v>6300</v>
      </c>
      <c r="H18324" s="21">
        <v>779.67</v>
      </c>
    </row>
    <row r="18325" spans="1:8" customFormat="1" x14ac:dyDescent="0.25">
      <c r="A18325" t="str">
        <f>"632523"</f>
        <v>632523</v>
      </c>
      <c r="B18325" t="s">
        <v>14800</v>
      </c>
      <c r="C18325" t="s">
        <v>822</v>
      </c>
      <c r="D18325" s="21" t="s">
        <v>34</v>
      </c>
      <c r="E18325" s="21" t="s">
        <v>254</v>
      </c>
      <c r="F18325">
        <v>1630059</v>
      </c>
      <c r="G18325" t="s">
        <v>2486</v>
      </c>
      <c r="H18325" s="21">
        <v>779.67</v>
      </c>
    </row>
    <row r="18326" spans="1:8" customFormat="1" x14ac:dyDescent="0.25">
      <c r="A18326" t="str">
        <f>"496882"</f>
        <v>496882</v>
      </c>
      <c r="B18326" t="s">
        <v>146</v>
      </c>
      <c r="C18326" t="s">
        <v>415</v>
      </c>
      <c r="D18326" s="21" t="s">
        <v>34</v>
      </c>
      <c r="E18326" s="21" t="s">
        <v>254</v>
      </c>
      <c r="F18326">
        <v>10240020</v>
      </c>
      <c r="G18326" t="s">
        <v>870</v>
      </c>
      <c r="H18326" s="21">
        <v>779.67</v>
      </c>
    </row>
    <row r="18327" spans="1:8" customFormat="1" x14ac:dyDescent="0.25">
      <c r="A18327" t="str">
        <f>"2510531"</f>
        <v>2510531</v>
      </c>
      <c r="B18327" t="s">
        <v>15581</v>
      </c>
      <c r="C18327" t="s">
        <v>156</v>
      </c>
      <c r="D18327" s="21" t="s">
        <v>34</v>
      </c>
      <c r="E18327" s="21" t="s">
        <v>71</v>
      </c>
      <c r="F18327">
        <v>2250179</v>
      </c>
      <c r="G18327" t="s">
        <v>7007</v>
      </c>
      <c r="H18327" s="21">
        <v>779.67</v>
      </c>
    </row>
    <row r="18328" spans="1:8" customFormat="1" x14ac:dyDescent="0.25">
      <c r="A18328" t="str">
        <f>"9133112"</f>
        <v>9133112</v>
      </c>
      <c r="B18328" t="s">
        <v>15660</v>
      </c>
      <c r="C18328" t="s">
        <v>10958</v>
      </c>
      <c r="D18328" s="21" t="s">
        <v>34</v>
      </c>
      <c r="E18328" s="21" t="s">
        <v>35</v>
      </c>
      <c r="F18328">
        <v>8910642</v>
      </c>
      <c r="G18328" t="s">
        <v>27027</v>
      </c>
      <c r="H18328" s="21">
        <v>779.67</v>
      </c>
    </row>
    <row r="18329" spans="1:8" customFormat="1" x14ac:dyDescent="0.25">
      <c r="A18329" t="str">
        <f>"6211501"</f>
        <v>6211501</v>
      </c>
      <c r="B18329" t="s">
        <v>27525</v>
      </c>
      <c r="C18329" t="s">
        <v>156</v>
      </c>
      <c r="D18329" s="21" t="s">
        <v>34</v>
      </c>
      <c r="E18329" s="21" t="s">
        <v>254</v>
      </c>
      <c r="F18329">
        <v>7620139</v>
      </c>
      <c r="G18329" t="s">
        <v>2061</v>
      </c>
      <c r="H18329" s="21">
        <v>779.67</v>
      </c>
    </row>
    <row r="18330" spans="1:8" customFormat="1" x14ac:dyDescent="0.25">
      <c r="A18330" t="str">
        <f>"378537"</f>
        <v>378537</v>
      </c>
      <c r="B18330" t="s">
        <v>14578</v>
      </c>
      <c r="C18330" t="s">
        <v>269</v>
      </c>
      <c r="D18330" s="21" t="s">
        <v>34</v>
      </c>
      <c r="E18330" s="21" t="s">
        <v>71</v>
      </c>
      <c r="F18330">
        <v>4370396</v>
      </c>
      <c r="G18330" t="s">
        <v>14579</v>
      </c>
      <c r="H18330" s="21">
        <v>779.67</v>
      </c>
    </row>
    <row r="18331" spans="1:8" customFormat="1" x14ac:dyDescent="0.25">
      <c r="A18331" t="str">
        <f>"2926345"</f>
        <v>2926345</v>
      </c>
      <c r="B18331" t="s">
        <v>14949</v>
      </c>
      <c r="C18331" t="s">
        <v>2100</v>
      </c>
      <c r="D18331" s="21" t="s">
        <v>34</v>
      </c>
      <c r="E18331" s="21" t="s">
        <v>71</v>
      </c>
      <c r="F18331">
        <v>3290039</v>
      </c>
      <c r="G18331" t="s">
        <v>3988</v>
      </c>
      <c r="H18331" s="21">
        <v>779.67</v>
      </c>
    </row>
    <row r="18332" spans="1:8" customFormat="1" x14ac:dyDescent="0.25">
      <c r="A18332" t="str">
        <f>"624252"</f>
        <v>624252</v>
      </c>
      <c r="B18332" t="s">
        <v>14732</v>
      </c>
      <c r="C18332" t="s">
        <v>2479</v>
      </c>
      <c r="D18332" s="21" t="s">
        <v>34</v>
      </c>
      <c r="E18332" s="21" t="s">
        <v>254</v>
      </c>
      <c r="F18332">
        <v>7620032</v>
      </c>
      <c r="G18332" t="s">
        <v>11181</v>
      </c>
      <c r="H18332" s="21">
        <v>779.67</v>
      </c>
    </row>
    <row r="18333" spans="1:8" customFormat="1" x14ac:dyDescent="0.25">
      <c r="A18333" t="str">
        <f>"951226"</f>
        <v>951226</v>
      </c>
      <c r="B18333" t="s">
        <v>15020</v>
      </c>
      <c r="C18333" t="s">
        <v>2752</v>
      </c>
      <c r="D18333" s="21" t="s">
        <v>34</v>
      </c>
      <c r="E18333" s="21" t="s">
        <v>254</v>
      </c>
      <c r="F18333">
        <v>8951451</v>
      </c>
      <c r="G18333" t="s">
        <v>3909</v>
      </c>
      <c r="H18333" s="21">
        <v>779.67</v>
      </c>
    </row>
    <row r="18334" spans="1:8" customFormat="1" x14ac:dyDescent="0.25">
      <c r="A18334" t="str">
        <f>"9536927"</f>
        <v>9536927</v>
      </c>
      <c r="B18334" t="s">
        <v>3880</v>
      </c>
      <c r="C18334" t="s">
        <v>269</v>
      </c>
      <c r="D18334" s="21" t="s">
        <v>34</v>
      </c>
      <c r="E18334" s="21" t="s">
        <v>35</v>
      </c>
      <c r="F18334">
        <v>8950545</v>
      </c>
      <c r="G18334" t="s">
        <v>14503</v>
      </c>
      <c r="H18334" s="21">
        <v>779.67</v>
      </c>
    </row>
    <row r="18335" spans="1:8" customFormat="1" x14ac:dyDescent="0.25">
      <c r="A18335" t="str">
        <f>"773591"</f>
        <v>773591</v>
      </c>
      <c r="B18335" t="s">
        <v>6623</v>
      </c>
      <c r="C18335" t="s">
        <v>209</v>
      </c>
      <c r="D18335" s="21" t="s">
        <v>34</v>
      </c>
      <c r="E18335" s="21" t="s">
        <v>254</v>
      </c>
      <c r="F18335">
        <v>8770166</v>
      </c>
      <c r="G18335" t="s">
        <v>653</v>
      </c>
      <c r="H18335" s="21">
        <v>779.67</v>
      </c>
    </row>
    <row r="18336" spans="1:8" customFormat="1" x14ac:dyDescent="0.25">
      <c r="A18336" t="str">
        <f>"735775"</f>
        <v>735775</v>
      </c>
      <c r="B18336" t="s">
        <v>15223</v>
      </c>
      <c r="C18336" t="s">
        <v>249</v>
      </c>
      <c r="D18336" s="21" t="s">
        <v>34</v>
      </c>
      <c r="E18336" s="21" t="s">
        <v>71</v>
      </c>
      <c r="F18336">
        <v>1730076</v>
      </c>
      <c r="G18336" t="s">
        <v>936</v>
      </c>
      <c r="H18336" s="21">
        <v>779.67</v>
      </c>
    </row>
    <row r="18337" spans="1:8" customFormat="1" x14ac:dyDescent="0.25">
      <c r="A18337" t="str">
        <f>"5982068"</f>
        <v>5982068</v>
      </c>
      <c r="B18337" t="s">
        <v>22495</v>
      </c>
      <c r="C18337" t="s">
        <v>267</v>
      </c>
      <c r="D18337" s="21" t="s">
        <v>34</v>
      </c>
      <c r="E18337" s="21" t="s">
        <v>254</v>
      </c>
      <c r="F18337">
        <v>7590034</v>
      </c>
      <c r="G18337" t="s">
        <v>17085</v>
      </c>
      <c r="H18337" s="21">
        <v>779.67</v>
      </c>
    </row>
    <row r="18338" spans="1:8" customFormat="1" x14ac:dyDescent="0.25">
      <c r="A18338" t="str">
        <f>"24882"</f>
        <v>24882</v>
      </c>
      <c r="B18338" t="s">
        <v>14689</v>
      </c>
      <c r="C18338" t="s">
        <v>415</v>
      </c>
      <c r="D18338" s="21" t="s">
        <v>34</v>
      </c>
      <c r="E18338" s="21" t="s">
        <v>254</v>
      </c>
      <c r="F18338">
        <v>10240005</v>
      </c>
      <c r="G18338" t="s">
        <v>2496</v>
      </c>
      <c r="H18338" s="21">
        <v>779.67</v>
      </c>
    </row>
    <row r="18339" spans="1:8" customFormat="1" x14ac:dyDescent="0.25">
      <c r="A18339" t="str">
        <f>"725695"</f>
        <v>725695</v>
      </c>
      <c r="B18339" t="s">
        <v>4888</v>
      </c>
      <c r="C18339" t="s">
        <v>2520</v>
      </c>
      <c r="D18339" s="21" t="s">
        <v>34</v>
      </c>
      <c r="E18339" s="21" t="s">
        <v>71</v>
      </c>
      <c r="F18339">
        <v>12720050</v>
      </c>
      <c r="G18339" t="s">
        <v>5522</v>
      </c>
      <c r="H18339" s="21">
        <v>779.67</v>
      </c>
    </row>
    <row r="18340" spans="1:8" customFormat="1" x14ac:dyDescent="0.25">
      <c r="A18340" t="str">
        <f>"1318187"</f>
        <v>1318187</v>
      </c>
      <c r="B18340" t="s">
        <v>3294</v>
      </c>
      <c r="C18340" t="s">
        <v>926</v>
      </c>
      <c r="D18340" s="21" t="s">
        <v>34</v>
      </c>
      <c r="E18340" s="21" t="s">
        <v>35</v>
      </c>
      <c r="F18340">
        <v>13130005</v>
      </c>
      <c r="G18340" t="s">
        <v>2008</v>
      </c>
      <c r="H18340" s="21">
        <v>779.67</v>
      </c>
    </row>
    <row r="18341" spans="1:8" customFormat="1" x14ac:dyDescent="0.25">
      <c r="A18341" t="str">
        <f>"581200"</f>
        <v>581200</v>
      </c>
      <c r="B18341" t="s">
        <v>14332</v>
      </c>
      <c r="C18341" t="s">
        <v>2678</v>
      </c>
      <c r="D18341" s="21" t="s">
        <v>34</v>
      </c>
      <c r="E18341" s="21" t="s">
        <v>6185</v>
      </c>
      <c r="F18341">
        <v>2580012</v>
      </c>
      <c r="G18341" t="s">
        <v>1144</v>
      </c>
      <c r="H18341" s="21">
        <v>779.67</v>
      </c>
    </row>
    <row r="18342" spans="1:8" customFormat="1" x14ac:dyDescent="0.25">
      <c r="A18342" t="str">
        <f>"3528705"</f>
        <v>3528705</v>
      </c>
      <c r="B18342" t="s">
        <v>3167</v>
      </c>
      <c r="C18342" t="s">
        <v>6553</v>
      </c>
      <c r="D18342" s="21" t="s">
        <v>34</v>
      </c>
      <c r="E18342" s="21" t="s">
        <v>35</v>
      </c>
      <c r="F18342">
        <v>3350025</v>
      </c>
      <c r="G18342" t="s">
        <v>11920</v>
      </c>
      <c r="H18342" s="21">
        <v>779.67</v>
      </c>
    </row>
    <row r="18343" spans="1:8" customFormat="1" x14ac:dyDescent="0.25">
      <c r="A18343" t="str">
        <f>"6227794"</f>
        <v>6227794</v>
      </c>
      <c r="B18343" t="s">
        <v>7399</v>
      </c>
      <c r="C18343" t="s">
        <v>60</v>
      </c>
      <c r="D18343" s="21" t="s">
        <v>34</v>
      </c>
      <c r="E18343" s="21" t="s">
        <v>71</v>
      </c>
      <c r="F18343">
        <v>7620069</v>
      </c>
      <c r="G18343" t="s">
        <v>5442</v>
      </c>
      <c r="H18343" s="21">
        <v>779.67</v>
      </c>
    </row>
    <row r="18344" spans="1:8" customFormat="1" x14ac:dyDescent="0.25">
      <c r="A18344" t="str">
        <f>"7921381"</f>
        <v>7921381</v>
      </c>
      <c r="B18344" t="s">
        <v>1604</v>
      </c>
      <c r="C18344" t="s">
        <v>453</v>
      </c>
      <c r="D18344" s="21" t="s">
        <v>34</v>
      </c>
      <c r="E18344" s="21" t="s">
        <v>1089</v>
      </c>
      <c r="F18344">
        <v>10790024</v>
      </c>
      <c r="G18344" t="s">
        <v>8674</v>
      </c>
      <c r="H18344" s="21">
        <v>779.67</v>
      </c>
    </row>
    <row r="18345" spans="1:8" customFormat="1" x14ac:dyDescent="0.25">
      <c r="A18345" t="str">
        <f>"688264"</f>
        <v>688264</v>
      </c>
      <c r="B18345" t="s">
        <v>15202</v>
      </c>
      <c r="C18345" t="s">
        <v>544</v>
      </c>
      <c r="D18345" s="21" t="s">
        <v>34</v>
      </c>
      <c r="E18345" s="21" t="s">
        <v>71</v>
      </c>
      <c r="F18345">
        <v>6680080</v>
      </c>
      <c r="G18345" t="s">
        <v>7771</v>
      </c>
      <c r="H18345" s="21">
        <v>779.67</v>
      </c>
    </row>
    <row r="18346" spans="1:8" customFormat="1" x14ac:dyDescent="0.25">
      <c r="A18346" t="str">
        <f>"286612"</f>
        <v>286612</v>
      </c>
      <c r="B18346" t="s">
        <v>16459</v>
      </c>
      <c r="C18346" t="s">
        <v>9039</v>
      </c>
      <c r="D18346" s="21" t="s">
        <v>34</v>
      </c>
      <c r="E18346" s="21" t="s">
        <v>71</v>
      </c>
      <c r="F18346">
        <v>4280681</v>
      </c>
      <c r="G18346" t="s">
        <v>1656</v>
      </c>
      <c r="H18346" s="21">
        <v>779.67</v>
      </c>
    </row>
    <row r="18347" spans="1:8" customFormat="1" x14ac:dyDescent="0.25">
      <c r="A18347" t="str">
        <f>"843874"</f>
        <v>843874</v>
      </c>
      <c r="B18347" t="s">
        <v>14847</v>
      </c>
      <c r="C18347" t="s">
        <v>156</v>
      </c>
      <c r="D18347" s="21" t="s">
        <v>34</v>
      </c>
      <c r="E18347" s="21" t="s">
        <v>71</v>
      </c>
      <c r="F18347">
        <v>13840013</v>
      </c>
      <c r="G18347" t="s">
        <v>7323</v>
      </c>
      <c r="H18347" s="21">
        <v>779.54</v>
      </c>
    </row>
    <row r="18348" spans="1:8" customFormat="1" x14ac:dyDescent="0.25">
      <c r="A18348" t="str">
        <f>"2210288"</f>
        <v>2210288</v>
      </c>
      <c r="B18348" t="s">
        <v>1264</v>
      </c>
      <c r="C18348" t="s">
        <v>2276</v>
      </c>
      <c r="D18348" s="21" t="s">
        <v>34</v>
      </c>
      <c r="E18348" s="21" t="s">
        <v>71</v>
      </c>
      <c r="F18348">
        <v>3220065</v>
      </c>
      <c r="G18348" t="s">
        <v>27386</v>
      </c>
      <c r="H18348" s="21">
        <v>779.42</v>
      </c>
    </row>
    <row r="18349" spans="1:8" customFormat="1" x14ac:dyDescent="0.25">
      <c r="A18349" t="str">
        <f>"4441553"</f>
        <v>4441553</v>
      </c>
      <c r="B18349" t="s">
        <v>16262</v>
      </c>
      <c r="C18349" t="s">
        <v>544</v>
      </c>
      <c r="D18349" s="21" t="s">
        <v>34</v>
      </c>
      <c r="E18349" s="21" t="s">
        <v>71</v>
      </c>
      <c r="F18349">
        <v>12440074</v>
      </c>
      <c r="G18349" t="s">
        <v>2436</v>
      </c>
      <c r="H18349" s="21">
        <v>779.42</v>
      </c>
    </row>
    <row r="18350" spans="1:8" customFormat="1" x14ac:dyDescent="0.25">
      <c r="A18350" t="str">
        <f>"5312671"</f>
        <v>5312671</v>
      </c>
      <c r="B18350" t="s">
        <v>11706</v>
      </c>
      <c r="C18350" t="s">
        <v>598</v>
      </c>
      <c r="D18350" s="21" t="s">
        <v>34</v>
      </c>
      <c r="E18350" s="21" t="s">
        <v>254</v>
      </c>
      <c r="F18350">
        <v>12530093</v>
      </c>
      <c r="G18350" t="s">
        <v>7865</v>
      </c>
      <c r="H18350" s="21">
        <v>779.42</v>
      </c>
    </row>
    <row r="18351" spans="1:8" customFormat="1" x14ac:dyDescent="0.25">
      <c r="A18351" t="str">
        <f>"2714264"</f>
        <v>2714264</v>
      </c>
      <c r="B18351" t="s">
        <v>27526</v>
      </c>
      <c r="C18351" t="s">
        <v>343</v>
      </c>
      <c r="D18351" s="21" t="s">
        <v>34</v>
      </c>
      <c r="E18351" s="21" t="s">
        <v>35</v>
      </c>
      <c r="F18351">
        <v>9270151</v>
      </c>
      <c r="G18351" t="s">
        <v>626</v>
      </c>
      <c r="H18351" s="21">
        <v>779.29</v>
      </c>
    </row>
    <row r="18352" spans="1:8" customFormat="1" x14ac:dyDescent="0.25">
      <c r="A18352" t="str">
        <f>"776749"</f>
        <v>776749</v>
      </c>
      <c r="B18352" t="s">
        <v>13714</v>
      </c>
      <c r="C18352" t="s">
        <v>169</v>
      </c>
      <c r="D18352" s="21" t="s">
        <v>34</v>
      </c>
      <c r="E18352" s="21" t="s">
        <v>35</v>
      </c>
      <c r="F18352">
        <v>8771200</v>
      </c>
      <c r="G18352" t="s">
        <v>5455</v>
      </c>
      <c r="H18352" s="21">
        <v>779.17</v>
      </c>
    </row>
    <row r="18353" spans="1:8" customFormat="1" x14ac:dyDescent="0.25">
      <c r="A18353" t="str">
        <f>"7113885"</f>
        <v>7113885</v>
      </c>
      <c r="B18353" t="s">
        <v>18622</v>
      </c>
      <c r="C18353" t="s">
        <v>96</v>
      </c>
      <c r="D18353" s="21" t="s">
        <v>34</v>
      </c>
      <c r="E18353" s="21" t="s">
        <v>35</v>
      </c>
      <c r="F18353">
        <v>2710041</v>
      </c>
      <c r="G18353" t="s">
        <v>389</v>
      </c>
      <c r="H18353" s="21">
        <v>779.17</v>
      </c>
    </row>
    <row r="18354" spans="1:8" customFormat="1" x14ac:dyDescent="0.25">
      <c r="A18354" t="str">
        <f>"9D388"</f>
        <v>9D388</v>
      </c>
      <c r="B18354" t="s">
        <v>14864</v>
      </c>
      <c r="C18354" t="s">
        <v>209</v>
      </c>
      <c r="D18354" s="21" t="s">
        <v>34</v>
      </c>
      <c r="E18354" s="21" t="s">
        <v>71</v>
      </c>
      <c r="F18354" t="s">
        <v>2462</v>
      </c>
      <c r="G18354" t="s">
        <v>2463</v>
      </c>
      <c r="H18354" s="21">
        <v>779.17</v>
      </c>
    </row>
    <row r="18355" spans="1:8" customFormat="1" x14ac:dyDescent="0.25">
      <c r="A18355" t="str">
        <f>"5613853"</f>
        <v>5613853</v>
      </c>
      <c r="B18355" t="s">
        <v>15708</v>
      </c>
      <c r="C18355" t="s">
        <v>198</v>
      </c>
      <c r="D18355" s="21" t="s">
        <v>34</v>
      </c>
      <c r="E18355" s="21" t="s">
        <v>71</v>
      </c>
      <c r="F18355">
        <v>3560002</v>
      </c>
      <c r="G18355" t="s">
        <v>5437</v>
      </c>
      <c r="H18355" s="21">
        <v>779.17</v>
      </c>
    </row>
    <row r="18356" spans="1:8" customFormat="1" x14ac:dyDescent="0.25">
      <c r="A18356" t="str">
        <f>"1713610"</f>
        <v>1713610</v>
      </c>
      <c r="B18356" t="s">
        <v>27527</v>
      </c>
      <c r="C18356" t="s">
        <v>1545</v>
      </c>
      <c r="D18356" s="21" t="s">
        <v>34</v>
      </c>
      <c r="E18356" s="21" t="s">
        <v>35</v>
      </c>
      <c r="F18356">
        <v>10170218</v>
      </c>
      <c r="G18356" t="s">
        <v>8381</v>
      </c>
      <c r="H18356" s="21">
        <v>779.17</v>
      </c>
    </row>
    <row r="18357" spans="1:8" customFormat="1" x14ac:dyDescent="0.25">
      <c r="A18357" t="str">
        <f>"2923098"</f>
        <v>2923098</v>
      </c>
      <c r="B18357" t="s">
        <v>12883</v>
      </c>
      <c r="C18357" t="s">
        <v>239</v>
      </c>
      <c r="D18357" s="21" t="s">
        <v>34</v>
      </c>
      <c r="E18357" s="21" t="s">
        <v>254</v>
      </c>
      <c r="F18357">
        <v>3290203</v>
      </c>
      <c r="G18357" t="s">
        <v>9395</v>
      </c>
      <c r="H18357" s="21">
        <v>779.17</v>
      </c>
    </row>
    <row r="18358" spans="1:8" customFormat="1" x14ac:dyDescent="0.25">
      <c r="A18358" t="str">
        <f>"5612870"</f>
        <v>5612870</v>
      </c>
      <c r="B18358" t="s">
        <v>14019</v>
      </c>
      <c r="C18358" t="s">
        <v>486</v>
      </c>
      <c r="D18358" s="21" t="s">
        <v>34</v>
      </c>
      <c r="E18358" s="21" t="s">
        <v>71</v>
      </c>
      <c r="F18358">
        <v>3560025</v>
      </c>
      <c r="G18358" t="s">
        <v>14020</v>
      </c>
      <c r="H18358" s="21">
        <v>779.17</v>
      </c>
    </row>
    <row r="18359" spans="1:8" customFormat="1" x14ac:dyDescent="0.25">
      <c r="A18359" t="str">
        <f>"2937280"</f>
        <v>2937280</v>
      </c>
      <c r="B18359" t="s">
        <v>15994</v>
      </c>
      <c r="C18359" t="s">
        <v>453</v>
      </c>
      <c r="D18359" s="21" t="s">
        <v>34</v>
      </c>
      <c r="E18359" s="21" t="s">
        <v>35</v>
      </c>
      <c r="F18359">
        <v>3290215</v>
      </c>
      <c r="G18359" t="s">
        <v>5058</v>
      </c>
      <c r="H18359" s="21">
        <v>779.17</v>
      </c>
    </row>
    <row r="18360" spans="1:8" customFormat="1" x14ac:dyDescent="0.25">
      <c r="A18360" t="str">
        <f>"6310882"</f>
        <v>6310882</v>
      </c>
      <c r="B18360" t="s">
        <v>1462</v>
      </c>
      <c r="C18360" t="s">
        <v>269</v>
      </c>
      <c r="D18360" s="21" t="s">
        <v>34</v>
      </c>
      <c r="E18360" s="21" t="s">
        <v>71</v>
      </c>
      <c r="F18360">
        <v>1630317</v>
      </c>
      <c r="G18360" t="s">
        <v>7523</v>
      </c>
      <c r="H18360" s="21">
        <v>779.17</v>
      </c>
    </row>
    <row r="18361" spans="1:8" customFormat="1" x14ac:dyDescent="0.25">
      <c r="A18361" t="str">
        <f>"01434"</f>
        <v>01434</v>
      </c>
      <c r="B18361" t="s">
        <v>3744</v>
      </c>
      <c r="C18361" t="s">
        <v>239</v>
      </c>
      <c r="D18361" s="21" t="s">
        <v>34</v>
      </c>
      <c r="E18361" s="21" t="s">
        <v>71</v>
      </c>
      <c r="F18361">
        <v>1010017</v>
      </c>
      <c r="G18361" t="s">
        <v>6502</v>
      </c>
      <c r="H18361" s="21">
        <v>779.17</v>
      </c>
    </row>
    <row r="18362" spans="1:8" customFormat="1" x14ac:dyDescent="0.25">
      <c r="A18362" t="str">
        <f>"4112979"</f>
        <v>4112979</v>
      </c>
      <c r="B18362" t="s">
        <v>2243</v>
      </c>
      <c r="C18362" t="s">
        <v>204</v>
      </c>
      <c r="D18362" s="21" t="s">
        <v>34</v>
      </c>
      <c r="E18362" s="21" t="s">
        <v>35</v>
      </c>
      <c r="F18362">
        <v>4410217</v>
      </c>
      <c r="G18362" t="s">
        <v>10838</v>
      </c>
      <c r="H18362" s="21">
        <v>779.17</v>
      </c>
    </row>
    <row r="18363" spans="1:8" customFormat="1" x14ac:dyDescent="0.25">
      <c r="A18363" t="str">
        <f>"644435"</f>
        <v>644435</v>
      </c>
      <c r="B18363" t="s">
        <v>14670</v>
      </c>
      <c r="C18363" t="s">
        <v>33</v>
      </c>
      <c r="D18363" s="21" t="s">
        <v>34</v>
      </c>
      <c r="E18363" s="21" t="s">
        <v>71</v>
      </c>
      <c r="F18363">
        <v>10640003</v>
      </c>
      <c r="G18363" t="s">
        <v>1594</v>
      </c>
      <c r="H18363" s="21">
        <v>779.17</v>
      </c>
    </row>
    <row r="18364" spans="1:8" customFormat="1" x14ac:dyDescent="0.25">
      <c r="A18364" t="str">
        <f>"7629224"</f>
        <v>7629224</v>
      </c>
      <c r="B18364" t="s">
        <v>3880</v>
      </c>
      <c r="C18364" t="s">
        <v>40</v>
      </c>
      <c r="D18364" s="21" t="s">
        <v>34</v>
      </c>
      <c r="E18364" s="21" t="s">
        <v>71</v>
      </c>
      <c r="F18364">
        <v>9760014</v>
      </c>
      <c r="G18364" t="s">
        <v>1017</v>
      </c>
      <c r="H18364" s="21">
        <v>779.17</v>
      </c>
    </row>
    <row r="18365" spans="1:8" customFormat="1" x14ac:dyDescent="0.25">
      <c r="A18365" t="str">
        <f>"9214739"</f>
        <v>9214739</v>
      </c>
      <c r="B18365" t="s">
        <v>10812</v>
      </c>
      <c r="C18365" t="s">
        <v>288</v>
      </c>
      <c r="D18365" s="21" t="s">
        <v>34</v>
      </c>
      <c r="E18365" s="21" t="s">
        <v>35</v>
      </c>
      <c r="F18365">
        <v>11310070</v>
      </c>
      <c r="G18365" t="s">
        <v>11563</v>
      </c>
      <c r="H18365" s="21">
        <v>779.17</v>
      </c>
    </row>
    <row r="18366" spans="1:8" customFormat="1" x14ac:dyDescent="0.25">
      <c r="A18366" t="str">
        <f>"56520"</f>
        <v>56520</v>
      </c>
      <c r="B18366" t="s">
        <v>10187</v>
      </c>
      <c r="C18366" t="s">
        <v>2305</v>
      </c>
      <c r="D18366" s="21" t="s">
        <v>34</v>
      </c>
      <c r="E18366" s="21" t="s">
        <v>1089</v>
      </c>
      <c r="F18366">
        <v>3560005</v>
      </c>
      <c r="G18366" t="s">
        <v>2101</v>
      </c>
      <c r="H18366" s="21">
        <v>779.17</v>
      </c>
    </row>
    <row r="18367" spans="1:8" customFormat="1" x14ac:dyDescent="0.25">
      <c r="A18367" t="str">
        <f>"1410812"</f>
        <v>1410812</v>
      </c>
      <c r="B18367" t="s">
        <v>15839</v>
      </c>
      <c r="C18367" t="s">
        <v>1119</v>
      </c>
      <c r="D18367" s="21" t="s">
        <v>34</v>
      </c>
      <c r="E18367" s="21" t="s">
        <v>1089</v>
      </c>
      <c r="F18367">
        <v>9140162</v>
      </c>
      <c r="G18367" t="s">
        <v>7663</v>
      </c>
      <c r="H18367" s="21">
        <v>779.17</v>
      </c>
    </row>
    <row r="18368" spans="1:8" customFormat="1" x14ac:dyDescent="0.25">
      <c r="A18368" t="str">
        <f>"0612227"</f>
        <v>0612227</v>
      </c>
      <c r="B18368" t="s">
        <v>16064</v>
      </c>
      <c r="C18368" t="s">
        <v>263</v>
      </c>
      <c r="D18368" s="21" t="s">
        <v>34</v>
      </c>
      <c r="E18368" s="21" t="s">
        <v>254</v>
      </c>
      <c r="F18368">
        <v>13060072</v>
      </c>
      <c r="G18368" t="s">
        <v>6685</v>
      </c>
      <c r="H18368" s="21">
        <v>779.17</v>
      </c>
    </row>
    <row r="18369" spans="1:8" customFormat="1" x14ac:dyDescent="0.25">
      <c r="A18369" t="str">
        <f>"187734"</f>
        <v>187734</v>
      </c>
      <c r="B18369" t="s">
        <v>4801</v>
      </c>
      <c r="C18369" t="s">
        <v>493</v>
      </c>
      <c r="D18369" s="21" t="s">
        <v>34</v>
      </c>
      <c r="E18369" s="21" t="s">
        <v>35</v>
      </c>
      <c r="F18369">
        <v>4180238</v>
      </c>
      <c r="G18369" t="s">
        <v>7304</v>
      </c>
      <c r="H18369" s="21">
        <v>779.17</v>
      </c>
    </row>
    <row r="18370" spans="1:8" customFormat="1" x14ac:dyDescent="0.25">
      <c r="A18370" t="str">
        <f>"812545"</f>
        <v>812545</v>
      </c>
      <c r="B18370" t="s">
        <v>14390</v>
      </c>
      <c r="C18370" t="s">
        <v>263</v>
      </c>
      <c r="D18370" s="21" t="s">
        <v>34</v>
      </c>
      <c r="E18370" s="21" t="s">
        <v>254</v>
      </c>
      <c r="F18370">
        <v>11810028</v>
      </c>
      <c r="G18370" t="s">
        <v>5817</v>
      </c>
      <c r="H18370" s="21">
        <v>779.17</v>
      </c>
    </row>
    <row r="18371" spans="1:8" customFormat="1" x14ac:dyDescent="0.25">
      <c r="A18371" t="str">
        <f>"7843652"</f>
        <v>7843652</v>
      </c>
      <c r="B18371" t="s">
        <v>27528</v>
      </c>
      <c r="C18371" t="s">
        <v>249</v>
      </c>
      <c r="D18371" s="21" t="s">
        <v>34</v>
      </c>
      <c r="E18371" s="21" t="s">
        <v>71</v>
      </c>
      <c r="F18371">
        <v>8780890</v>
      </c>
      <c r="G18371" t="s">
        <v>6456</v>
      </c>
      <c r="H18371" s="21">
        <v>779.17</v>
      </c>
    </row>
    <row r="18372" spans="1:8" customFormat="1" x14ac:dyDescent="0.25">
      <c r="A18372" t="str">
        <f>"3335716"</f>
        <v>3335716</v>
      </c>
      <c r="B18372" t="s">
        <v>7317</v>
      </c>
      <c r="C18372" t="s">
        <v>151</v>
      </c>
      <c r="D18372" s="21" t="s">
        <v>34</v>
      </c>
      <c r="E18372" s="21" t="s">
        <v>71</v>
      </c>
      <c r="F18372">
        <v>10330004</v>
      </c>
      <c r="G18372" t="s">
        <v>525</v>
      </c>
      <c r="H18372" s="21">
        <v>778.92</v>
      </c>
    </row>
    <row r="18373" spans="1:8" customFormat="1" x14ac:dyDescent="0.25">
      <c r="A18373" t="str">
        <f>"364724"</f>
        <v>364724</v>
      </c>
      <c r="B18373" t="s">
        <v>853</v>
      </c>
      <c r="C18373" t="s">
        <v>40</v>
      </c>
      <c r="D18373" s="21" t="s">
        <v>34</v>
      </c>
      <c r="E18373" s="21" t="s">
        <v>71</v>
      </c>
      <c r="F18373">
        <v>4360721</v>
      </c>
      <c r="G18373" t="s">
        <v>11172</v>
      </c>
      <c r="H18373" s="21">
        <v>778.92</v>
      </c>
    </row>
    <row r="18374" spans="1:8" customFormat="1" x14ac:dyDescent="0.25">
      <c r="A18374" t="str">
        <f>"7723733"</f>
        <v>7723733</v>
      </c>
      <c r="B18374" t="s">
        <v>15532</v>
      </c>
      <c r="C18374" t="s">
        <v>209</v>
      </c>
      <c r="D18374" s="21" t="s">
        <v>34</v>
      </c>
      <c r="E18374" s="21" t="s">
        <v>35</v>
      </c>
      <c r="F18374">
        <v>8770937</v>
      </c>
      <c r="G18374" t="s">
        <v>2119</v>
      </c>
      <c r="H18374" s="21">
        <v>778.67</v>
      </c>
    </row>
    <row r="18375" spans="1:8" customFormat="1" x14ac:dyDescent="0.25">
      <c r="A18375" t="str">
        <f>"284302"</f>
        <v>284302</v>
      </c>
      <c r="B18375" t="s">
        <v>14361</v>
      </c>
      <c r="C18375" t="s">
        <v>14362</v>
      </c>
      <c r="D18375" s="21" t="s">
        <v>34</v>
      </c>
      <c r="E18375" s="21" t="s">
        <v>71</v>
      </c>
      <c r="F18375">
        <v>4280104</v>
      </c>
      <c r="G18375" t="s">
        <v>8480</v>
      </c>
      <c r="H18375" s="21">
        <v>778.67</v>
      </c>
    </row>
    <row r="18376" spans="1:8" customFormat="1" x14ac:dyDescent="0.25">
      <c r="A18376" t="str">
        <f>"5946838"</f>
        <v>5946838</v>
      </c>
      <c r="B18376" t="s">
        <v>1572</v>
      </c>
      <c r="C18376" t="s">
        <v>149</v>
      </c>
      <c r="D18376" s="21" t="s">
        <v>34</v>
      </c>
      <c r="E18376" s="21" t="s">
        <v>35</v>
      </c>
      <c r="F18376">
        <v>7590044</v>
      </c>
      <c r="G18376" t="s">
        <v>2029</v>
      </c>
      <c r="H18376" s="21">
        <v>778.67</v>
      </c>
    </row>
    <row r="18377" spans="1:8" customFormat="1" x14ac:dyDescent="0.25">
      <c r="A18377" t="str">
        <f>"2718982"</f>
        <v>2718982</v>
      </c>
      <c r="B18377" t="s">
        <v>697</v>
      </c>
      <c r="C18377" t="s">
        <v>484</v>
      </c>
      <c r="D18377" s="21" t="s">
        <v>34</v>
      </c>
      <c r="E18377" s="21" t="s">
        <v>35</v>
      </c>
      <c r="F18377">
        <v>9270041</v>
      </c>
      <c r="G18377" t="s">
        <v>4698</v>
      </c>
      <c r="H18377" s="21">
        <v>778.67</v>
      </c>
    </row>
    <row r="18378" spans="1:8" customFormat="1" x14ac:dyDescent="0.25">
      <c r="A18378" t="str">
        <f>"7723066"</f>
        <v>7723066</v>
      </c>
      <c r="B18378" t="s">
        <v>19298</v>
      </c>
      <c r="C18378" t="s">
        <v>33</v>
      </c>
      <c r="D18378" s="21" t="s">
        <v>34</v>
      </c>
      <c r="E18378" s="21" t="s">
        <v>35</v>
      </c>
      <c r="F18378">
        <v>3290244</v>
      </c>
      <c r="G18378" t="s">
        <v>573</v>
      </c>
      <c r="H18378" s="21">
        <v>778.67</v>
      </c>
    </row>
    <row r="18379" spans="1:8" customFormat="1" x14ac:dyDescent="0.25">
      <c r="A18379" t="str">
        <f>"3823873"</f>
        <v>3823873</v>
      </c>
      <c r="B18379" t="s">
        <v>8110</v>
      </c>
      <c r="C18379" t="s">
        <v>171</v>
      </c>
      <c r="D18379" s="21" t="s">
        <v>34</v>
      </c>
      <c r="E18379" s="21" t="s">
        <v>71</v>
      </c>
      <c r="F18379">
        <v>1380293</v>
      </c>
      <c r="G18379" t="s">
        <v>2103</v>
      </c>
      <c r="H18379" s="21">
        <v>778.67</v>
      </c>
    </row>
    <row r="18380" spans="1:8" customFormat="1" x14ac:dyDescent="0.25">
      <c r="A18380" t="str">
        <f>"197980"</f>
        <v>197980</v>
      </c>
      <c r="B18380" t="s">
        <v>15698</v>
      </c>
      <c r="C18380" t="s">
        <v>109</v>
      </c>
      <c r="D18380" s="21" t="s">
        <v>34</v>
      </c>
      <c r="E18380" s="21" t="s">
        <v>35</v>
      </c>
      <c r="F18380">
        <v>10190054</v>
      </c>
      <c r="G18380" t="s">
        <v>4189</v>
      </c>
      <c r="H18380" s="21">
        <v>778.67</v>
      </c>
    </row>
    <row r="18381" spans="1:8" customFormat="1" x14ac:dyDescent="0.25">
      <c r="A18381" t="str">
        <f>"3013998"</f>
        <v>3013998</v>
      </c>
      <c r="B18381" t="s">
        <v>21209</v>
      </c>
      <c r="C18381" t="s">
        <v>209</v>
      </c>
      <c r="D18381" s="21" t="s">
        <v>34</v>
      </c>
      <c r="E18381" s="21" t="s">
        <v>71</v>
      </c>
      <c r="F18381">
        <v>11300025</v>
      </c>
      <c r="G18381" t="s">
        <v>1211</v>
      </c>
      <c r="H18381" s="21">
        <v>778.67</v>
      </c>
    </row>
    <row r="18382" spans="1:8" customFormat="1" x14ac:dyDescent="0.25">
      <c r="A18382" t="str">
        <f>"0111031"</f>
        <v>0111031</v>
      </c>
      <c r="B18382" t="s">
        <v>1349</v>
      </c>
      <c r="C18382" t="s">
        <v>109</v>
      </c>
      <c r="D18382" s="21" t="s">
        <v>34</v>
      </c>
      <c r="E18382" s="21" t="s">
        <v>35</v>
      </c>
      <c r="F18382">
        <v>1010073</v>
      </c>
      <c r="G18382" t="s">
        <v>11810</v>
      </c>
      <c r="H18382" s="21">
        <v>778.67</v>
      </c>
    </row>
    <row r="18383" spans="1:8" customFormat="1" x14ac:dyDescent="0.25">
      <c r="A18383" t="str">
        <f>"6016894"</f>
        <v>6016894</v>
      </c>
      <c r="B18383" t="s">
        <v>8458</v>
      </c>
      <c r="C18383" t="s">
        <v>114</v>
      </c>
      <c r="D18383" s="21" t="s">
        <v>34</v>
      </c>
      <c r="E18383" s="21" t="s">
        <v>71</v>
      </c>
      <c r="F18383">
        <v>7600170</v>
      </c>
      <c r="G18383" t="s">
        <v>16044</v>
      </c>
      <c r="H18383" s="21">
        <v>778.67</v>
      </c>
    </row>
    <row r="18384" spans="1:8" customFormat="1" x14ac:dyDescent="0.25">
      <c r="A18384" t="str">
        <f>"625021"</f>
        <v>625021</v>
      </c>
      <c r="B18384" t="s">
        <v>465</v>
      </c>
      <c r="C18384" t="s">
        <v>60</v>
      </c>
      <c r="D18384" s="21" t="s">
        <v>34</v>
      </c>
      <c r="E18384" s="21" t="s">
        <v>35</v>
      </c>
      <c r="F18384">
        <v>7620131</v>
      </c>
      <c r="G18384" t="s">
        <v>9562</v>
      </c>
      <c r="H18384" s="21">
        <v>778.67</v>
      </c>
    </row>
    <row r="18385" spans="1:8" customFormat="1" x14ac:dyDescent="0.25">
      <c r="A18385" t="str">
        <f>"1610884"</f>
        <v>1610884</v>
      </c>
      <c r="B18385" t="s">
        <v>6957</v>
      </c>
      <c r="C18385" t="s">
        <v>879</v>
      </c>
      <c r="D18385" s="21" t="s">
        <v>34</v>
      </c>
      <c r="E18385" s="21" t="s">
        <v>71</v>
      </c>
      <c r="F18385">
        <v>10160226</v>
      </c>
      <c r="G18385" t="s">
        <v>8751</v>
      </c>
      <c r="H18385" s="21">
        <v>778.67</v>
      </c>
    </row>
    <row r="18386" spans="1:8" customFormat="1" x14ac:dyDescent="0.25">
      <c r="A18386" t="str">
        <f>"6710513"</f>
        <v>6710513</v>
      </c>
      <c r="B18386" t="s">
        <v>14457</v>
      </c>
      <c r="C18386" t="s">
        <v>2520</v>
      </c>
      <c r="D18386" s="21" t="s">
        <v>34</v>
      </c>
      <c r="E18386" s="21" t="s">
        <v>254</v>
      </c>
      <c r="F18386">
        <v>6670260</v>
      </c>
      <c r="G18386" t="s">
        <v>1202</v>
      </c>
      <c r="H18386" s="21">
        <v>778.67</v>
      </c>
    </row>
    <row r="18387" spans="1:8" customFormat="1" x14ac:dyDescent="0.25">
      <c r="A18387" t="str">
        <f>"7631658"</f>
        <v>7631658</v>
      </c>
      <c r="B18387" t="s">
        <v>2398</v>
      </c>
      <c r="C18387" t="s">
        <v>8618</v>
      </c>
      <c r="D18387" s="21" t="s">
        <v>34</v>
      </c>
      <c r="E18387" s="21" t="s">
        <v>71</v>
      </c>
      <c r="F18387">
        <v>9760420</v>
      </c>
      <c r="G18387" t="s">
        <v>11290</v>
      </c>
      <c r="H18387" s="21">
        <v>778.67</v>
      </c>
    </row>
    <row r="18388" spans="1:8" customFormat="1" x14ac:dyDescent="0.25">
      <c r="A18388" t="str">
        <f>"5430923"</f>
        <v>5430923</v>
      </c>
      <c r="B18388" t="s">
        <v>10744</v>
      </c>
      <c r="C18388" t="s">
        <v>598</v>
      </c>
      <c r="D18388" s="21" t="s">
        <v>34</v>
      </c>
      <c r="E18388" s="21" t="s">
        <v>254</v>
      </c>
      <c r="F18388">
        <v>6540001</v>
      </c>
      <c r="G18388" t="s">
        <v>5886</v>
      </c>
      <c r="H18388" s="21">
        <v>778.67</v>
      </c>
    </row>
    <row r="18389" spans="1:8" customFormat="1" x14ac:dyDescent="0.25">
      <c r="A18389" t="str">
        <f>"7111915"</f>
        <v>7111915</v>
      </c>
      <c r="B18389" t="s">
        <v>16002</v>
      </c>
      <c r="C18389" t="s">
        <v>33</v>
      </c>
      <c r="D18389" s="21" t="s">
        <v>34</v>
      </c>
      <c r="E18389" s="21" t="s">
        <v>71</v>
      </c>
      <c r="F18389">
        <v>2710041</v>
      </c>
      <c r="G18389" t="s">
        <v>389</v>
      </c>
      <c r="H18389" s="21">
        <v>778.67</v>
      </c>
    </row>
    <row r="18390" spans="1:8" customFormat="1" x14ac:dyDescent="0.25">
      <c r="A18390" t="str">
        <f>"412386"</f>
        <v>412386</v>
      </c>
      <c r="B18390" t="s">
        <v>2962</v>
      </c>
      <c r="C18390" t="s">
        <v>40</v>
      </c>
      <c r="D18390" s="21" t="s">
        <v>34</v>
      </c>
      <c r="E18390" s="21" t="s">
        <v>71</v>
      </c>
      <c r="F18390">
        <v>4410065</v>
      </c>
      <c r="G18390" t="s">
        <v>3841</v>
      </c>
      <c r="H18390" s="21">
        <v>778.67</v>
      </c>
    </row>
    <row r="18391" spans="1:8" customFormat="1" x14ac:dyDescent="0.25">
      <c r="A18391" t="str">
        <f>"59811"</f>
        <v>59811</v>
      </c>
      <c r="B18391" t="s">
        <v>15599</v>
      </c>
      <c r="C18391" t="s">
        <v>267</v>
      </c>
      <c r="D18391" s="21" t="s">
        <v>34</v>
      </c>
      <c r="E18391" s="21" t="s">
        <v>71</v>
      </c>
      <c r="F18391">
        <v>7590057</v>
      </c>
      <c r="G18391" t="s">
        <v>7575</v>
      </c>
      <c r="H18391" s="21">
        <v>778.54</v>
      </c>
    </row>
    <row r="18392" spans="1:8" customFormat="1" x14ac:dyDescent="0.25">
      <c r="A18392" t="str">
        <f>"4424097"</f>
        <v>4424097</v>
      </c>
      <c r="B18392" t="s">
        <v>13245</v>
      </c>
      <c r="C18392" t="s">
        <v>211</v>
      </c>
      <c r="D18392" s="21" t="s">
        <v>34</v>
      </c>
      <c r="E18392" s="21" t="s">
        <v>35</v>
      </c>
      <c r="F18392">
        <v>12490046</v>
      </c>
      <c r="G18392" t="s">
        <v>9773</v>
      </c>
      <c r="H18392" s="21">
        <v>778.54</v>
      </c>
    </row>
    <row r="18393" spans="1:8" customFormat="1" x14ac:dyDescent="0.25">
      <c r="A18393" t="str">
        <f>"9144192"</f>
        <v>9144192</v>
      </c>
      <c r="B18393" t="s">
        <v>7795</v>
      </c>
      <c r="C18393" t="s">
        <v>198</v>
      </c>
      <c r="D18393" s="21" t="s">
        <v>34</v>
      </c>
      <c r="E18393" s="21" t="s">
        <v>35</v>
      </c>
      <c r="F18393">
        <v>8911464</v>
      </c>
      <c r="G18393" t="s">
        <v>17832</v>
      </c>
      <c r="H18393" s="21">
        <v>778.42</v>
      </c>
    </row>
    <row r="18394" spans="1:8" customFormat="1" x14ac:dyDescent="0.25">
      <c r="A18394" t="str">
        <f>"1416971"</f>
        <v>1416971</v>
      </c>
      <c r="B18394" t="s">
        <v>3146</v>
      </c>
      <c r="C18394" t="s">
        <v>239</v>
      </c>
      <c r="D18394" s="21" t="s">
        <v>34</v>
      </c>
      <c r="E18394" s="21" t="s">
        <v>71</v>
      </c>
      <c r="F18394">
        <v>9140063</v>
      </c>
      <c r="G18394" t="s">
        <v>4764</v>
      </c>
      <c r="H18394" s="21">
        <v>778.42</v>
      </c>
    </row>
    <row r="18395" spans="1:8" customFormat="1" x14ac:dyDescent="0.25">
      <c r="A18395" t="str">
        <f>"9537051"</f>
        <v>9537051</v>
      </c>
      <c r="B18395" t="s">
        <v>21314</v>
      </c>
      <c r="C18395" t="s">
        <v>87</v>
      </c>
      <c r="D18395" s="21" t="s">
        <v>34</v>
      </c>
      <c r="E18395" s="21" t="s">
        <v>35</v>
      </c>
      <c r="F18395">
        <v>8951451</v>
      </c>
      <c r="G18395" t="s">
        <v>3909</v>
      </c>
      <c r="H18395" s="21">
        <v>778.29</v>
      </c>
    </row>
    <row r="18396" spans="1:8" customFormat="1" x14ac:dyDescent="0.25">
      <c r="A18396" t="str">
        <f>"876356"</f>
        <v>876356</v>
      </c>
      <c r="B18396" t="s">
        <v>3006</v>
      </c>
      <c r="C18396" t="s">
        <v>3073</v>
      </c>
      <c r="D18396" s="21" t="s">
        <v>34</v>
      </c>
      <c r="E18396" s="21" t="s">
        <v>1089</v>
      </c>
      <c r="F18396">
        <v>10870109</v>
      </c>
      <c r="G18396" t="s">
        <v>5199</v>
      </c>
      <c r="H18396" s="21">
        <v>778.29</v>
      </c>
    </row>
    <row r="18397" spans="1:8" customFormat="1" x14ac:dyDescent="0.25">
      <c r="A18397" t="str">
        <f>"3524825"</f>
        <v>3524825</v>
      </c>
      <c r="B18397" t="s">
        <v>15024</v>
      </c>
      <c r="C18397" t="s">
        <v>55</v>
      </c>
      <c r="D18397" s="21" t="s">
        <v>34</v>
      </c>
      <c r="E18397" s="21" t="s">
        <v>35</v>
      </c>
      <c r="F18397">
        <v>3350130</v>
      </c>
      <c r="G18397" t="s">
        <v>7335</v>
      </c>
      <c r="H18397" s="21">
        <v>778.17</v>
      </c>
    </row>
    <row r="18398" spans="1:8" customFormat="1" x14ac:dyDescent="0.25">
      <c r="A18398" t="str">
        <f>"3516214"</f>
        <v>3516214</v>
      </c>
      <c r="B18398" t="s">
        <v>15485</v>
      </c>
      <c r="C18398" t="s">
        <v>121</v>
      </c>
      <c r="D18398" s="21" t="s">
        <v>34</v>
      </c>
      <c r="E18398" s="21" t="s">
        <v>35</v>
      </c>
      <c r="F18398">
        <v>3350092</v>
      </c>
      <c r="G18398" t="s">
        <v>26881</v>
      </c>
      <c r="H18398" s="21">
        <v>778.17</v>
      </c>
    </row>
    <row r="18399" spans="1:8" customFormat="1" x14ac:dyDescent="0.25">
      <c r="A18399" t="str">
        <f>"251034"</f>
        <v>251034</v>
      </c>
      <c r="B18399" t="s">
        <v>10903</v>
      </c>
      <c r="C18399" t="s">
        <v>267</v>
      </c>
      <c r="D18399" s="21" t="s">
        <v>34</v>
      </c>
      <c r="E18399" s="21" t="s">
        <v>1089</v>
      </c>
      <c r="F18399">
        <v>2250059</v>
      </c>
      <c r="G18399" t="s">
        <v>10904</v>
      </c>
      <c r="H18399" s="21">
        <v>778.17</v>
      </c>
    </row>
    <row r="18400" spans="1:8" customFormat="1" x14ac:dyDescent="0.25">
      <c r="A18400" t="str">
        <f>"60394"</f>
        <v>60394</v>
      </c>
      <c r="B18400" t="s">
        <v>9902</v>
      </c>
      <c r="C18400" t="s">
        <v>598</v>
      </c>
      <c r="D18400" s="21" t="s">
        <v>34</v>
      </c>
      <c r="E18400" s="21" t="s">
        <v>254</v>
      </c>
      <c r="F18400">
        <v>7600063</v>
      </c>
      <c r="G18400" t="s">
        <v>2506</v>
      </c>
      <c r="H18400" s="21">
        <v>778.17</v>
      </c>
    </row>
    <row r="18401" spans="1:8" customFormat="1" x14ac:dyDescent="0.25">
      <c r="A18401" t="str">
        <f>"5616164"</f>
        <v>5616164</v>
      </c>
      <c r="B18401" t="s">
        <v>15450</v>
      </c>
      <c r="C18401" t="s">
        <v>576</v>
      </c>
      <c r="D18401" s="21" t="s">
        <v>34</v>
      </c>
      <c r="E18401" s="21" t="s">
        <v>35</v>
      </c>
      <c r="F18401">
        <v>3560031</v>
      </c>
      <c r="G18401" t="s">
        <v>738</v>
      </c>
      <c r="H18401" s="21">
        <v>778.17</v>
      </c>
    </row>
    <row r="18402" spans="1:8" customFormat="1" x14ac:dyDescent="0.25">
      <c r="A18402" t="str">
        <f>"2516424"</f>
        <v>2516424</v>
      </c>
      <c r="B18402" t="s">
        <v>14485</v>
      </c>
      <c r="C18402" t="s">
        <v>720</v>
      </c>
      <c r="D18402" s="21" t="s">
        <v>34</v>
      </c>
      <c r="E18402" s="21" t="s">
        <v>254</v>
      </c>
      <c r="F18402">
        <v>2250125</v>
      </c>
      <c r="G18402" t="s">
        <v>26911</v>
      </c>
      <c r="H18402" s="21">
        <v>778.17</v>
      </c>
    </row>
    <row r="18403" spans="1:8" customFormat="1" x14ac:dyDescent="0.25">
      <c r="A18403" t="str">
        <f>"322516"</f>
        <v>322516</v>
      </c>
      <c r="B18403" t="s">
        <v>14702</v>
      </c>
      <c r="C18403" t="s">
        <v>55</v>
      </c>
      <c r="D18403" s="21" t="s">
        <v>34</v>
      </c>
      <c r="E18403" s="21" t="s">
        <v>35</v>
      </c>
      <c r="F18403">
        <v>11320039</v>
      </c>
      <c r="G18403" t="s">
        <v>14674</v>
      </c>
      <c r="H18403" s="21">
        <v>778.17</v>
      </c>
    </row>
    <row r="18404" spans="1:8" customFormat="1" x14ac:dyDescent="0.25">
      <c r="A18404" t="str">
        <f>"7220219"</f>
        <v>7220219</v>
      </c>
      <c r="B18404" t="s">
        <v>17122</v>
      </c>
      <c r="C18404" t="s">
        <v>87</v>
      </c>
      <c r="D18404" s="21" t="s">
        <v>34</v>
      </c>
      <c r="E18404" s="21" t="s">
        <v>35</v>
      </c>
      <c r="F18404">
        <v>12720005</v>
      </c>
      <c r="G18404" t="s">
        <v>999</v>
      </c>
      <c r="H18404" s="21">
        <v>778.17</v>
      </c>
    </row>
    <row r="18405" spans="1:8" customFormat="1" x14ac:dyDescent="0.25">
      <c r="A18405" t="str">
        <f>"80354"</f>
        <v>80354</v>
      </c>
      <c r="B18405" t="s">
        <v>14636</v>
      </c>
      <c r="C18405" t="s">
        <v>211</v>
      </c>
      <c r="D18405" s="21" t="s">
        <v>34</v>
      </c>
      <c r="E18405" s="21" t="s">
        <v>254</v>
      </c>
      <c r="F18405">
        <v>7800023</v>
      </c>
      <c r="G18405" t="s">
        <v>8137</v>
      </c>
      <c r="H18405" s="21">
        <v>778.17</v>
      </c>
    </row>
    <row r="18406" spans="1:8" customFormat="1" x14ac:dyDescent="0.25">
      <c r="A18406" t="str">
        <f>"068488"</f>
        <v>068488</v>
      </c>
      <c r="B18406" t="s">
        <v>765</v>
      </c>
      <c r="C18406" t="s">
        <v>415</v>
      </c>
      <c r="D18406" s="21" t="s">
        <v>34</v>
      </c>
      <c r="E18406" s="21" t="s">
        <v>254</v>
      </c>
      <c r="F18406">
        <v>13060114</v>
      </c>
      <c r="G18406" t="s">
        <v>4501</v>
      </c>
      <c r="H18406" s="21">
        <v>778.17</v>
      </c>
    </row>
    <row r="18407" spans="1:8" customFormat="1" x14ac:dyDescent="0.25">
      <c r="A18407" t="str">
        <f>"678030"</f>
        <v>678030</v>
      </c>
      <c r="B18407" t="s">
        <v>12590</v>
      </c>
      <c r="C18407" t="s">
        <v>598</v>
      </c>
      <c r="D18407" s="21" t="s">
        <v>34</v>
      </c>
      <c r="E18407" s="21" t="s">
        <v>71</v>
      </c>
      <c r="F18407">
        <v>6670183</v>
      </c>
      <c r="G18407" t="s">
        <v>670</v>
      </c>
      <c r="H18407" s="21">
        <v>778.17</v>
      </c>
    </row>
    <row r="18408" spans="1:8" customFormat="1" x14ac:dyDescent="0.25">
      <c r="A18408" t="str">
        <f>"4439003"</f>
        <v>4439003</v>
      </c>
      <c r="B18408" t="s">
        <v>14671</v>
      </c>
      <c r="C18408" t="s">
        <v>817</v>
      </c>
      <c r="D18408" s="21" t="s">
        <v>34</v>
      </c>
      <c r="E18408" s="21" t="s">
        <v>35</v>
      </c>
      <c r="F18408">
        <v>12440024</v>
      </c>
      <c r="G18408" t="s">
        <v>2205</v>
      </c>
      <c r="H18408" s="21">
        <v>778.17</v>
      </c>
    </row>
    <row r="18409" spans="1:8" customFormat="1" x14ac:dyDescent="0.25">
      <c r="A18409" t="str">
        <f>"822189"</f>
        <v>822189</v>
      </c>
      <c r="B18409" t="s">
        <v>14641</v>
      </c>
      <c r="C18409" t="s">
        <v>2520</v>
      </c>
      <c r="D18409" s="21" t="s">
        <v>34</v>
      </c>
      <c r="E18409" s="21" t="s">
        <v>254</v>
      </c>
      <c r="F18409">
        <v>11820018</v>
      </c>
      <c r="G18409" t="s">
        <v>2503</v>
      </c>
      <c r="H18409" s="21">
        <v>778.17</v>
      </c>
    </row>
    <row r="18410" spans="1:8" customFormat="1" x14ac:dyDescent="0.25">
      <c r="A18410" t="str">
        <f>"068096"</f>
        <v>068096</v>
      </c>
      <c r="B18410" t="s">
        <v>146</v>
      </c>
      <c r="C18410" t="s">
        <v>498</v>
      </c>
      <c r="D18410" s="21" t="s">
        <v>34</v>
      </c>
      <c r="E18410" s="21" t="s">
        <v>254</v>
      </c>
      <c r="F18410">
        <v>11300050</v>
      </c>
      <c r="G18410" t="s">
        <v>15053</v>
      </c>
      <c r="H18410" s="21">
        <v>778.17</v>
      </c>
    </row>
    <row r="18411" spans="1:8" customFormat="1" x14ac:dyDescent="0.25">
      <c r="A18411" t="str">
        <f>"905731"</f>
        <v>905731</v>
      </c>
      <c r="B18411" t="s">
        <v>8335</v>
      </c>
      <c r="C18411" t="s">
        <v>43</v>
      </c>
      <c r="D18411" s="21" t="s">
        <v>34</v>
      </c>
      <c r="E18411" s="21" t="s">
        <v>35</v>
      </c>
      <c r="F18411">
        <v>2900046</v>
      </c>
      <c r="G18411" t="s">
        <v>4101</v>
      </c>
      <c r="H18411" s="21">
        <v>778.17</v>
      </c>
    </row>
    <row r="18412" spans="1:8" customFormat="1" x14ac:dyDescent="0.25">
      <c r="A18412" t="str">
        <f>"625027"</f>
        <v>625027</v>
      </c>
      <c r="B18412" t="s">
        <v>5264</v>
      </c>
      <c r="C18412" t="s">
        <v>598</v>
      </c>
      <c r="D18412" s="21" t="s">
        <v>34</v>
      </c>
      <c r="E18412" s="21" t="s">
        <v>254</v>
      </c>
      <c r="F18412">
        <v>7620092</v>
      </c>
      <c r="G18412" t="s">
        <v>9874</v>
      </c>
      <c r="H18412" s="21">
        <v>778.17</v>
      </c>
    </row>
    <row r="18413" spans="1:8" customFormat="1" x14ac:dyDescent="0.25">
      <c r="A18413" t="str">
        <f>"4217182"</f>
        <v>4217182</v>
      </c>
      <c r="B18413" t="s">
        <v>1048</v>
      </c>
      <c r="C18413" t="s">
        <v>58</v>
      </c>
      <c r="D18413" s="21" t="s">
        <v>34</v>
      </c>
      <c r="E18413" s="21" t="s">
        <v>35</v>
      </c>
      <c r="F18413">
        <v>1420117</v>
      </c>
      <c r="G18413" t="s">
        <v>2649</v>
      </c>
      <c r="H18413" s="21">
        <v>778.17</v>
      </c>
    </row>
    <row r="18414" spans="1:8" customFormat="1" x14ac:dyDescent="0.25">
      <c r="A18414" t="str">
        <f>"806778"</f>
        <v>806778</v>
      </c>
      <c r="B18414" t="s">
        <v>108</v>
      </c>
      <c r="C18414" t="s">
        <v>621</v>
      </c>
      <c r="D18414" s="21" t="s">
        <v>34</v>
      </c>
      <c r="E18414" s="21" t="s">
        <v>254</v>
      </c>
      <c r="F18414">
        <v>7800106</v>
      </c>
      <c r="G18414" t="s">
        <v>2466</v>
      </c>
      <c r="H18414" s="21">
        <v>778.17</v>
      </c>
    </row>
    <row r="18415" spans="1:8" customFormat="1" x14ac:dyDescent="0.25">
      <c r="A18415" t="str">
        <f>"9241080"</f>
        <v>9241080</v>
      </c>
      <c r="B18415" t="s">
        <v>16306</v>
      </c>
      <c r="C18415" t="s">
        <v>2393</v>
      </c>
      <c r="D18415" s="21" t="s">
        <v>34</v>
      </c>
      <c r="E18415" s="21" t="s">
        <v>35</v>
      </c>
      <c r="F18415">
        <v>7600161</v>
      </c>
      <c r="G18415" t="s">
        <v>6023</v>
      </c>
      <c r="H18415" s="21">
        <v>778.17</v>
      </c>
    </row>
    <row r="18416" spans="1:8" customFormat="1" x14ac:dyDescent="0.25">
      <c r="A18416" t="str">
        <f>"6212695"</f>
        <v>6212695</v>
      </c>
      <c r="B18416" t="s">
        <v>4834</v>
      </c>
      <c r="C18416" t="s">
        <v>1605</v>
      </c>
      <c r="D18416" s="21" t="s">
        <v>34</v>
      </c>
      <c r="E18416" s="21" t="s">
        <v>35</v>
      </c>
      <c r="F18416">
        <v>7620082</v>
      </c>
      <c r="G18416" t="s">
        <v>4939</v>
      </c>
      <c r="H18416" s="21">
        <v>778.17</v>
      </c>
    </row>
    <row r="18417" spans="1:8" customFormat="1" x14ac:dyDescent="0.25">
      <c r="A18417" t="str">
        <f>"628856"</f>
        <v>628856</v>
      </c>
      <c r="B18417" t="s">
        <v>2362</v>
      </c>
      <c r="C18417" t="s">
        <v>119</v>
      </c>
      <c r="D18417" s="21" t="s">
        <v>34</v>
      </c>
      <c r="E18417" s="21" t="s">
        <v>71</v>
      </c>
      <c r="F18417">
        <v>7620080</v>
      </c>
      <c r="G18417" t="s">
        <v>6056</v>
      </c>
      <c r="H18417" s="21">
        <v>778.17</v>
      </c>
    </row>
    <row r="18418" spans="1:8" customFormat="1" x14ac:dyDescent="0.25">
      <c r="A18418" t="str">
        <f>"6224265"</f>
        <v>6224265</v>
      </c>
      <c r="B18418" t="s">
        <v>15874</v>
      </c>
      <c r="C18418" t="s">
        <v>1132</v>
      </c>
      <c r="D18418" s="21" t="s">
        <v>34</v>
      </c>
      <c r="E18418" s="21" t="s">
        <v>35</v>
      </c>
      <c r="F18418">
        <v>7620040</v>
      </c>
      <c r="G18418" t="s">
        <v>1319</v>
      </c>
      <c r="H18418" s="21">
        <v>778.17</v>
      </c>
    </row>
    <row r="18419" spans="1:8" customFormat="1" x14ac:dyDescent="0.25">
      <c r="A18419" t="str">
        <f>"50875"</f>
        <v>50875</v>
      </c>
      <c r="B18419" t="s">
        <v>8803</v>
      </c>
      <c r="C18419" t="s">
        <v>926</v>
      </c>
      <c r="D18419" s="21" t="s">
        <v>34</v>
      </c>
      <c r="E18419" s="21" t="s">
        <v>71</v>
      </c>
      <c r="F18419">
        <v>9500131</v>
      </c>
      <c r="G18419" t="s">
        <v>1073</v>
      </c>
      <c r="H18419" s="21">
        <v>778.17</v>
      </c>
    </row>
    <row r="18420" spans="1:8" customFormat="1" x14ac:dyDescent="0.25">
      <c r="A18420" t="str">
        <f>"3814776"</f>
        <v>3814776</v>
      </c>
      <c r="B18420" t="s">
        <v>16194</v>
      </c>
      <c r="C18420" t="s">
        <v>65</v>
      </c>
      <c r="D18420" s="21" t="s">
        <v>34</v>
      </c>
      <c r="E18420" s="21" t="s">
        <v>71</v>
      </c>
      <c r="F18420">
        <v>1380290</v>
      </c>
      <c r="G18420" t="s">
        <v>619</v>
      </c>
      <c r="H18420" s="21">
        <v>778.04</v>
      </c>
    </row>
    <row r="18421" spans="1:8" customFormat="1" x14ac:dyDescent="0.25">
      <c r="A18421" t="str">
        <f>"622509"</f>
        <v>622509</v>
      </c>
      <c r="B18421" t="s">
        <v>14536</v>
      </c>
      <c r="C18421" t="s">
        <v>879</v>
      </c>
      <c r="D18421" s="21" t="s">
        <v>34</v>
      </c>
      <c r="E18421" s="21" t="s">
        <v>1089</v>
      </c>
      <c r="F18421">
        <v>7620031</v>
      </c>
      <c r="G18421" t="s">
        <v>2182</v>
      </c>
      <c r="H18421" s="21">
        <v>777.92</v>
      </c>
    </row>
    <row r="18422" spans="1:8" customFormat="1" x14ac:dyDescent="0.25">
      <c r="A18422" t="str">
        <f>"9453393"</f>
        <v>9453393</v>
      </c>
      <c r="B18422" t="s">
        <v>16788</v>
      </c>
      <c r="C18422" t="s">
        <v>817</v>
      </c>
      <c r="D18422" s="21" t="s">
        <v>34</v>
      </c>
      <c r="E18422" s="21" t="s">
        <v>71</v>
      </c>
      <c r="F18422">
        <v>8940033</v>
      </c>
      <c r="G18422" t="s">
        <v>1376</v>
      </c>
      <c r="H18422" s="21">
        <v>777.92</v>
      </c>
    </row>
    <row r="18423" spans="1:8" customFormat="1" x14ac:dyDescent="0.25">
      <c r="A18423" t="str">
        <f>"4217701"</f>
        <v>4217701</v>
      </c>
      <c r="B18423" t="s">
        <v>15414</v>
      </c>
      <c r="C18423" t="s">
        <v>98</v>
      </c>
      <c r="D18423" s="21" t="s">
        <v>34</v>
      </c>
      <c r="E18423" s="21" t="s">
        <v>35</v>
      </c>
      <c r="F18423">
        <v>1420070</v>
      </c>
      <c r="G18423" t="s">
        <v>27046</v>
      </c>
      <c r="H18423" s="21">
        <v>777.79</v>
      </c>
    </row>
    <row r="18424" spans="1:8" customFormat="1" x14ac:dyDescent="0.25">
      <c r="A18424" t="str">
        <f>"454969"</f>
        <v>454969</v>
      </c>
      <c r="B18424" t="s">
        <v>1361</v>
      </c>
      <c r="C18424" t="s">
        <v>822</v>
      </c>
      <c r="D18424" s="21" t="s">
        <v>34</v>
      </c>
      <c r="E18424" s="21" t="s">
        <v>254</v>
      </c>
      <c r="F18424">
        <v>4450413</v>
      </c>
      <c r="G18424" t="s">
        <v>11734</v>
      </c>
      <c r="H18424" s="21">
        <v>777.67</v>
      </c>
    </row>
    <row r="18425" spans="1:8" customFormat="1" x14ac:dyDescent="0.25">
      <c r="A18425" t="str">
        <f>"1611216"</f>
        <v>1611216</v>
      </c>
      <c r="B18425" t="s">
        <v>6309</v>
      </c>
      <c r="C18425" t="s">
        <v>40</v>
      </c>
      <c r="D18425" s="21" t="s">
        <v>34</v>
      </c>
      <c r="E18425" s="21" t="s">
        <v>71</v>
      </c>
      <c r="F18425">
        <v>10160122</v>
      </c>
      <c r="G18425" t="s">
        <v>8169</v>
      </c>
      <c r="H18425" s="21">
        <v>777.67</v>
      </c>
    </row>
    <row r="18426" spans="1:8" customFormat="1" x14ac:dyDescent="0.25">
      <c r="A18426" t="str">
        <f>"4420223"</f>
        <v>4420223</v>
      </c>
      <c r="B18426" t="s">
        <v>16907</v>
      </c>
      <c r="C18426" t="s">
        <v>2529</v>
      </c>
      <c r="D18426" s="21" t="s">
        <v>34</v>
      </c>
      <c r="E18426" s="21" t="s">
        <v>254</v>
      </c>
      <c r="F18426">
        <v>12440048</v>
      </c>
      <c r="G18426" t="s">
        <v>2090</v>
      </c>
      <c r="H18426" s="21">
        <v>777.67</v>
      </c>
    </row>
    <row r="18427" spans="1:8" customFormat="1" x14ac:dyDescent="0.25">
      <c r="A18427" t="str">
        <f>"6111811"</f>
        <v>6111811</v>
      </c>
      <c r="B18427" t="s">
        <v>4707</v>
      </c>
      <c r="C18427" t="s">
        <v>139</v>
      </c>
      <c r="D18427" s="21" t="s">
        <v>34</v>
      </c>
      <c r="E18427" s="21" t="s">
        <v>71</v>
      </c>
      <c r="F18427">
        <v>9610031</v>
      </c>
      <c r="G18427" t="s">
        <v>1792</v>
      </c>
      <c r="H18427" s="21">
        <v>777.67</v>
      </c>
    </row>
    <row r="18428" spans="1:8" customFormat="1" x14ac:dyDescent="0.25">
      <c r="A18428" t="str">
        <f>"8016346"</f>
        <v>8016346</v>
      </c>
      <c r="B18428" t="s">
        <v>16900</v>
      </c>
      <c r="C18428" t="s">
        <v>43</v>
      </c>
      <c r="D18428" s="21" t="s">
        <v>34</v>
      </c>
      <c r="E18428" s="21" t="s">
        <v>35</v>
      </c>
      <c r="F18428">
        <v>7800102</v>
      </c>
      <c r="G18428" t="s">
        <v>1148</v>
      </c>
      <c r="H18428" s="21">
        <v>777.67</v>
      </c>
    </row>
    <row r="18429" spans="1:8" customFormat="1" x14ac:dyDescent="0.25">
      <c r="A18429" t="str">
        <f>"2929209"</f>
        <v>2929209</v>
      </c>
      <c r="B18429" t="s">
        <v>650</v>
      </c>
      <c r="C18429" t="s">
        <v>1803</v>
      </c>
      <c r="D18429" s="21" t="s">
        <v>34</v>
      </c>
      <c r="E18429" s="21" t="s">
        <v>35</v>
      </c>
      <c r="F18429">
        <v>3290006</v>
      </c>
      <c r="G18429" t="s">
        <v>13009</v>
      </c>
      <c r="H18429" s="21">
        <v>777.67</v>
      </c>
    </row>
    <row r="18430" spans="1:8" customFormat="1" x14ac:dyDescent="0.25">
      <c r="A18430" t="str">
        <f>"4926292"</f>
        <v>4926292</v>
      </c>
      <c r="B18430" t="s">
        <v>15198</v>
      </c>
      <c r="C18430" t="s">
        <v>263</v>
      </c>
      <c r="D18430" s="21" t="s">
        <v>34</v>
      </c>
      <c r="E18430" s="21" t="s">
        <v>71</v>
      </c>
      <c r="F18430">
        <v>12490098</v>
      </c>
      <c r="G18430" t="s">
        <v>2670</v>
      </c>
      <c r="H18430" s="21">
        <v>777.67</v>
      </c>
    </row>
    <row r="18431" spans="1:8" customFormat="1" x14ac:dyDescent="0.25">
      <c r="A18431" t="str">
        <f>"4923749"</f>
        <v>4923749</v>
      </c>
      <c r="B18431" t="s">
        <v>27529</v>
      </c>
      <c r="C18431" t="s">
        <v>40</v>
      </c>
      <c r="D18431" s="21" t="s">
        <v>34</v>
      </c>
      <c r="E18431" s="21" t="s">
        <v>71</v>
      </c>
      <c r="F18431">
        <v>12720023</v>
      </c>
      <c r="G18431" t="s">
        <v>1898</v>
      </c>
      <c r="H18431" s="21">
        <v>777.67</v>
      </c>
    </row>
    <row r="18432" spans="1:8" customFormat="1" x14ac:dyDescent="0.25">
      <c r="A18432" t="str">
        <f>"45239"</f>
        <v>45239</v>
      </c>
      <c r="B18432" t="s">
        <v>14992</v>
      </c>
      <c r="C18432" t="s">
        <v>40</v>
      </c>
      <c r="D18432" s="21" t="s">
        <v>34</v>
      </c>
      <c r="E18432" s="21" t="s">
        <v>71</v>
      </c>
      <c r="F18432">
        <v>4450757</v>
      </c>
      <c r="G18432" t="s">
        <v>3829</v>
      </c>
      <c r="H18432" s="21">
        <v>777.67</v>
      </c>
    </row>
    <row r="18433" spans="1:8" customFormat="1" x14ac:dyDescent="0.25">
      <c r="A18433" t="str">
        <f>"3720487"</f>
        <v>3720487</v>
      </c>
      <c r="B18433" t="s">
        <v>4264</v>
      </c>
      <c r="C18433" t="s">
        <v>187</v>
      </c>
      <c r="D18433" s="21" t="s">
        <v>34</v>
      </c>
      <c r="E18433" s="21" t="s">
        <v>35</v>
      </c>
      <c r="F18433">
        <v>4370533</v>
      </c>
      <c r="G18433" t="s">
        <v>10553</v>
      </c>
      <c r="H18433" s="21">
        <v>777.67</v>
      </c>
    </row>
    <row r="18434" spans="1:8" customFormat="1" x14ac:dyDescent="0.25">
      <c r="A18434" t="str">
        <f>"861721"</f>
        <v>861721</v>
      </c>
      <c r="B18434" t="s">
        <v>1522</v>
      </c>
      <c r="C18434" t="s">
        <v>169</v>
      </c>
      <c r="D18434" s="21" t="s">
        <v>34</v>
      </c>
      <c r="E18434" s="21" t="s">
        <v>71</v>
      </c>
      <c r="F18434">
        <v>10860016</v>
      </c>
      <c r="G18434" t="s">
        <v>3289</v>
      </c>
      <c r="H18434" s="21">
        <v>777.67</v>
      </c>
    </row>
    <row r="18435" spans="1:8" customFormat="1" x14ac:dyDescent="0.25">
      <c r="A18435" t="str">
        <f>"7524373"</f>
        <v>7524373</v>
      </c>
      <c r="B18435" t="s">
        <v>2677</v>
      </c>
      <c r="C18435" t="s">
        <v>49</v>
      </c>
      <c r="D18435" s="21" t="s">
        <v>34</v>
      </c>
      <c r="E18435" s="21" t="s">
        <v>35</v>
      </c>
      <c r="F18435">
        <v>8751058</v>
      </c>
      <c r="G18435" t="s">
        <v>4202</v>
      </c>
      <c r="H18435" s="21">
        <v>777.67</v>
      </c>
    </row>
    <row r="18436" spans="1:8" customFormat="1" x14ac:dyDescent="0.25">
      <c r="A18436" t="str">
        <f>"766929"</f>
        <v>766929</v>
      </c>
      <c r="B18436" t="s">
        <v>14353</v>
      </c>
      <c r="C18436" t="s">
        <v>3010</v>
      </c>
      <c r="D18436" s="21" t="s">
        <v>34</v>
      </c>
      <c r="E18436" s="21" t="s">
        <v>254</v>
      </c>
      <c r="F18436">
        <v>9760100</v>
      </c>
      <c r="G18436" t="s">
        <v>9182</v>
      </c>
      <c r="H18436" s="21">
        <v>777.67</v>
      </c>
    </row>
    <row r="18437" spans="1:8" customFormat="1" x14ac:dyDescent="0.25">
      <c r="A18437" t="str">
        <f>"793341"</f>
        <v>793341</v>
      </c>
      <c r="B18437" t="s">
        <v>15157</v>
      </c>
      <c r="C18437" t="s">
        <v>1110</v>
      </c>
      <c r="D18437" s="21" t="s">
        <v>34</v>
      </c>
      <c r="E18437" s="21" t="s">
        <v>1089</v>
      </c>
      <c r="F18437">
        <v>10790058</v>
      </c>
      <c r="G18437" t="s">
        <v>6512</v>
      </c>
      <c r="H18437" s="21">
        <v>777.67</v>
      </c>
    </row>
    <row r="18438" spans="1:8" customFormat="1" x14ac:dyDescent="0.25">
      <c r="A18438" t="str">
        <f>"14615"</f>
        <v>14615</v>
      </c>
      <c r="B18438" t="s">
        <v>4419</v>
      </c>
      <c r="C18438" t="s">
        <v>209</v>
      </c>
      <c r="D18438" s="21" t="s">
        <v>34</v>
      </c>
      <c r="E18438" s="21" t="s">
        <v>254</v>
      </c>
      <c r="F18438">
        <v>9140054</v>
      </c>
      <c r="G18438" t="s">
        <v>3300</v>
      </c>
      <c r="H18438" s="21">
        <v>777.67</v>
      </c>
    </row>
    <row r="18439" spans="1:8" customFormat="1" x14ac:dyDescent="0.25">
      <c r="A18439" t="str">
        <f>"289672"</f>
        <v>289672</v>
      </c>
      <c r="B18439" t="s">
        <v>1574</v>
      </c>
      <c r="C18439" t="s">
        <v>1782</v>
      </c>
      <c r="D18439" s="21" t="s">
        <v>34</v>
      </c>
      <c r="E18439" s="21" t="s">
        <v>35</v>
      </c>
      <c r="F18439">
        <v>4280004</v>
      </c>
      <c r="G18439" t="s">
        <v>91</v>
      </c>
      <c r="H18439" s="21">
        <v>777.67</v>
      </c>
    </row>
    <row r="18440" spans="1:8" customFormat="1" x14ac:dyDescent="0.25">
      <c r="A18440" t="str">
        <f>"2714094"</f>
        <v>2714094</v>
      </c>
      <c r="B18440" t="s">
        <v>1986</v>
      </c>
      <c r="C18440" t="s">
        <v>267</v>
      </c>
      <c r="D18440" s="21" t="s">
        <v>34</v>
      </c>
      <c r="E18440" s="21" t="s">
        <v>254</v>
      </c>
      <c r="F18440">
        <v>4280038</v>
      </c>
      <c r="G18440" t="s">
        <v>2526</v>
      </c>
      <c r="H18440" s="21">
        <v>777.67</v>
      </c>
    </row>
    <row r="18441" spans="1:8" customFormat="1" x14ac:dyDescent="0.25">
      <c r="A18441" t="str">
        <f>"534987"</f>
        <v>534987</v>
      </c>
      <c r="B18441" t="s">
        <v>12570</v>
      </c>
      <c r="C18441" t="s">
        <v>156</v>
      </c>
      <c r="D18441" s="21" t="s">
        <v>34</v>
      </c>
      <c r="E18441" s="21" t="s">
        <v>254</v>
      </c>
      <c r="F18441">
        <v>12530046</v>
      </c>
      <c r="G18441" t="s">
        <v>10191</v>
      </c>
      <c r="H18441" s="21">
        <v>777.67</v>
      </c>
    </row>
    <row r="18442" spans="1:8" customFormat="1" x14ac:dyDescent="0.25">
      <c r="A18442" t="str">
        <f>"5722526"</f>
        <v>5722526</v>
      </c>
      <c r="B18442" t="s">
        <v>7681</v>
      </c>
      <c r="C18442" t="s">
        <v>130</v>
      </c>
      <c r="D18442" s="21" t="s">
        <v>34</v>
      </c>
      <c r="E18442" s="21" t="s">
        <v>254</v>
      </c>
      <c r="F18442">
        <v>6570174</v>
      </c>
      <c r="G18442" t="s">
        <v>12454</v>
      </c>
      <c r="H18442" s="21">
        <v>777.54</v>
      </c>
    </row>
    <row r="18443" spans="1:8" customFormat="1" x14ac:dyDescent="0.25">
      <c r="A18443" t="str">
        <f>"9242528"</f>
        <v>9242528</v>
      </c>
      <c r="B18443" t="s">
        <v>14568</v>
      </c>
      <c r="C18443" t="s">
        <v>33</v>
      </c>
      <c r="D18443" s="21" t="s">
        <v>34</v>
      </c>
      <c r="E18443" s="21" t="s">
        <v>71</v>
      </c>
      <c r="F18443">
        <v>8920309</v>
      </c>
      <c r="G18443" t="s">
        <v>1894</v>
      </c>
      <c r="H18443" s="21">
        <v>777.54</v>
      </c>
    </row>
    <row r="18444" spans="1:8" customFormat="1" x14ac:dyDescent="0.25">
      <c r="A18444" t="str">
        <f>"5948456"</f>
        <v>5948456</v>
      </c>
      <c r="B18444" t="s">
        <v>14852</v>
      </c>
      <c r="C18444" t="s">
        <v>2356</v>
      </c>
      <c r="D18444" s="21" t="s">
        <v>34</v>
      </c>
      <c r="E18444" s="21" t="s">
        <v>35</v>
      </c>
      <c r="F18444">
        <v>7590100</v>
      </c>
      <c r="G18444" t="s">
        <v>1660</v>
      </c>
      <c r="H18444" s="21">
        <v>777.42</v>
      </c>
    </row>
    <row r="18445" spans="1:8" customFormat="1" x14ac:dyDescent="0.25">
      <c r="A18445" t="str">
        <f>"2921424"</f>
        <v>2921424</v>
      </c>
      <c r="B18445" t="s">
        <v>13290</v>
      </c>
      <c r="C18445" t="s">
        <v>598</v>
      </c>
      <c r="D18445" s="21" t="s">
        <v>34</v>
      </c>
      <c r="E18445" s="21" t="s">
        <v>35</v>
      </c>
      <c r="F18445">
        <v>3290262</v>
      </c>
      <c r="G18445" t="s">
        <v>1139</v>
      </c>
      <c r="H18445" s="21">
        <v>777.42</v>
      </c>
    </row>
    <row r="18446" spans="1:8" customFormat="1" x14ac:dyDescent="0.25">
      <c r="A18446" t="str">
        <f>"563018"</f>
        <v>563018</v>
      </c>
      <c r="B18446" t="s">
        <v>297</v>
      </c>
      <c r="C18446" t="s">
        <v>3648</v>
      </c>
      <c r="D18446" s="21" t="s">
        <v>34</v>
      </c>
      <c r="E18446" s="21" t="s">
        <v>254</v>
      </c>
      <c r="F18446">
        <v>3560096</v>
      </c>
      <c r="G18446" t="s">
        <v>2771</v>
      </c>
      <c r="H18446" s="21">
        <v>777.42</v>
      </c>
    </row>
    <row r="18447" spans="1:8" customFormat="1" x14ac:dyDescent="0.25">
      <c r="A18447" t="str">
        <f>"1316307"</f>
        <v>1316307</v>
      </c>
      <c r="B18447" t="s">
        <v>3220</v>
      </c>
      <c r="C18447" t="s">
        <v>211</v>
      </c>
      <c r="D18447" s="21" t="s">
        <v>34</v>
      </c>
      <c r="E18447" s="21" t="s">
        <v>35</v>
      </c>
      <c r="F18447">
        <v>13130049</v>
      </c>
      <c r="G18447" t="s">
        <v>13169</v>
      </c>
      <c r="H18447" s="21">
        <v>777.42</v>
      </c>
    </row>
    <row r="18448" spans="1:8" customFormat="1" x14ac:dyDescent="0.25">
      <c r="A18448" t="str">
        <f>"2713106"</f>
        <v>2713106</v>
      </c>
      <c r="B18448" t="s">
        <v>8662</v>
      </c>
      <c r="C18448" t="s">
        <v>1887</v>
      </c>
      <c r="D18448" s="21" t="s">
        <v>34</v>
      </c>
      <c r="E18448" s="21" t="s">
        <v>1089</v>
      </c>
      <c r="F18448">
        <v>9270060</v>
      </c>
      <c r="G18448" t="s">
        <v>1982</v>
      </c>
      <c r="H18448" s="21">
        <v>777.42</v>
      </c>
    </row>
    <row r="18449" spans="1:8" customFormat="1" x14ac:dyDescent="0.25">
      <c r="A18449" t="str">
        <f>"6218378"</f>
        <v>6218378</v>
      </c>
      <c r="B18449" t="s">
        <v>15507</v>
      </c>
      <c r="C18449" t="s">
        <v>109</v>
      </c>
      <c r="D18449" s="21" t="s">
        <v>34</v>
      </c>
      <c r="E18449" s="21" t="s">
        <v>71</v>
      </c>
      <c r="F18449">
        <v>7620065</v>
      </c>
      <c r="G18449" t="s">
        <v>6550</v>
      </c>
      <c r="H18449" s="21">
        <v>777.17</v>
      </c>
    </row>
    <row r="18450" spans="1:8" customFormat="1" x14ac:dyDescent="0.25">
      <c r="A18450" t="str">
        <f>"9235769"</f>
        <v>9235769</v>
      </c>
      <c r="B18450" t="s">
        <v>27530</v>
      </c>
      <c r="C18450" t="s">
        <v>27531</v>
      </c>
      <c r="D18450" s="21" t="s">
        <v>34</v>
      </c>
      <c r="E18450" s="21" t="s">
        <v>35</v>
      </c>
      <c r="F18450">
        <v>8920067</v>
      </c>
      <c r="G18450" t="s">
        <v>258</v>
      </c>
      <c r="H18450" s="21">
        <v>777.17</v>
      </c>
    </row>
    <row r="18451" spans="1:8" customFormat="1" x14ac:dyDescent="0.25">
      <c r="A18451" t="str">
        <f>"5944330"</f>
        <v>5944330</v>
      </c>
      <c r="B18451" t="s">
        <v>2690</v>
      </c>
      <c r="C18451" t="s">
        <v>109</v>
      </c>
      <c r="D18451" s="21" t="s">
        <v>34</v>
      </c>
      <c r="E18451" s="21" t="s">
        <v>35</v>
      </c>
      <c r="F18451">
        <v>7590419</v>
      </c>
      <c r="G18451" t="s">
        <v>8051</v>
      </c>
      <c r="H18451" s="21">
        <v>777.17</v>
      </c>
    </row>
    <row r="18452" spans="1:8" customFormat="1" x14ac:dyDescent="0.25">
      <c r="A18452" t="str">
        <f>"56904"</f>
        <v>56904</v>
      </c>
      <c r="B18452" t="s">
        <v>16080</v>
      </c>
      <c r="C18452" t="s">
        <v>379</v>
      </c>
      <c r="D18452" s="21" t="s">
        <v>34</v>
      </c>
      <c r="E18452" s="21" t="s">
        <v>1089</v>
      </c>
      <c r="F18452">
        <v>3560053</v>
      </c>
      <c r="G18452" t="s">
        <v>298</v>
      </c>
      <c r="H18452" s="21">
        <v>777.17</v>
      </c>
    </row>
    <row r="18453" spans="1:8" customFormat="1" x14ac:dyDescent="0.25">
      <c r="A18453" t="str">
        <f>"9525082"</f>
        <v>9525082</v>
      </c>
      <c r="B18453" t="s">
        <v>15656</v>
      </c>
      <c r="C18453" t="s">
        <v>3348</v>
      </c>
      <c r="D18453" s="21" t="s">
        <v>34</v>
      </c>
      <c r="E18453" s="21" t="s">
        <v>71</v>
      </c>
      <c r="F18453">
        <v>8951399</v>
      </c>
      <c r="G18453" t="s">
        <v>6745</v>
      </c>
      <c r="H18453" s="21">
        <v>777.17</v>
      </c>
    </row>
    <row r="18454" spans="1:8" customFormat="1" x14ac:dyDescent="0.25">
      <c r="A18454" t="str">
        <f>"6271"</f>
        <v>6271</v>
      </c>
      <c r="B18454" t="s">
        <v>7396</v>
      </c>
      <c r="C18454" t="s">
        <v>40</v>
      </c>
      <c r="D18454" s="21" t="s">
        <v>34</v>
      </c>
      <c r="E18454" s="21" t="s">
        <v>254</v>
      </c>
      <c r="F18454">
        <v>7620088</v>
      </c>
      <c r="G18454" t="s">
        <v>3342</v>
      </c>
      <c r="H18454" s="21">
        <v>777.17</v>
      </c>
    </row>
    <row r="18455" spans="1:8" customFormat="1" x14ac:dyDescent="0.25">
      <c r="A18455" t="str">
        <f>"9526881"</f>
        <v>9526881</v>
      </c>
      <c r="B18455" t="s">
        <v>13216</v>
      </c>
      <c r="C18455" t="s">
        <v>249</v>
      </c>
      <c r="D18455" s="21" t="s">
        <v>34</v>
      </c>
      <c r="E18455" s="21" t="s">
        <v>71</v>
      </c>
      <c r="F18455">
        <v>8951458</v>
      </c>
      <c r="G18455" t="s">
        <v>20956</v>
      </c>
      <c r="H18455" s="21">
        <v>777.17</v>
      </c>
    </row>
    <row r="18456" spans="1:8" customFormat="1" x14ac:dyDescent="0.25">
      <c r="A18456" t="str">
        <f>"3534979"</f>
        <v>3534979</v>
      </c>
      <c r="B18456" t="s">
        <v>27532</v>
      </c>
      <c r="C18456" t="s">
        <v>60</v>
      </c>
      <c r="D18456" s="21" t="s">
        <v>34</v>
      </c>
      <c r="E18456" s="21" t="s">
        <v>35</v>
      </c>
      <c r="F18456">
        <v>3350067</v>
      </c>
      <c r="G18456" t="s">
        <v>4439</v>
      </c>
      <c r="H18456" s="21">
        <v>777.17</v>
      </c>
    </row>
    <row r="18457" spans="1:8" customFormat="1" x14ac:dyDescent="0.25">
      <c r="A18457" t="str">
        <f>"3119124"</f>
        <v>3119124</v>
      </c>
      <c r="B18457" t="s">
        <v>9071</v>
      </c>
      <c r="C18457" t="s">
        <v>187</v>
      </c>
      <c r="D18457" s="21" t="s">
        <v>34</v>
      </c>
      <c r="E18457" s="21" t="s">
        <v>35</v>
      </c>
      <c r="F18457">
        <v>11310064</v>
      </c>
      <c r="G18457" t="s">
        <v>931</v>
      </c>
      <c r="H18457" s="21">
        <v>777.17</v>
      </c>
    </row>
    <row r="18458" spans="1:8" customFormat="1" x14ac:dyDescent="0.25">
      <c r="A18458" t="str">
        <f>"6221025"</f>
        <v>6221025</v>
      </c>
      <c r="B18458" t="s">
        <v>27533</v>
      </c>
      <c r="C18458" t="s">
        <v>269</v>
      </c>
      <c r="D18458" s="21" t="s">
        <v>34</v>
      </c>
      <c r="E18458" s="21" t="s">
        <v>35</v>
      </c>
      <c r="F18458">
        <v>7620119</v>
      </c>
      <c r="G18458" t="s">
        <v>5233</v>
      </c>
      <c r="H18458" s="21">
        <v>777.17</v>
      </c>
    </row>
    <row r="18459" spans="1:8" customFormat="1" x14ac:dyDescent="0.25">
      <c r="A18459" t="str">
        <f>"288874"</f>
        <v>288874</v>
      </c>
      <c r="B18459" t="s">
        <v>14694</v>
      </c>
      <c r="C18459" t="s">
        <v>415</v>
      </c>
      <c r="D18459" s="21" t="s">
        <v>34</v>
      </c>
      <c r="E18459" s="21" t="s">
        <v>71</v>
      </c>
      <c r="F18459">
        <v>3350161</v>
      </c>
      <c r="G18459" t="s">
        <v>1507</v>
      </c>
      <c r="H18459" s="21">
        <v>777.17</v>
      </c>
    </row>
    <row r="18460" spans="1:8" customFormat="1" x14ac:dyDescent="0.25">
      <c r="A18460" t="str">
        <f>"1711379"</f>
        <v>1711379</v>
      </c>
      <c r="B18460" t="s">
        <v>16067</v>
      </c>
      <c r="C18460" t="s">
        <v>40</v>
      </c>
      <c r="D18460" s="21" t="s">
        <v>34</v>
      </c>
      <c r="E18460" s="21" t="s">
        <v>35</v>
      </c>
      <c r="F18460">
        <v>10170158</v>
      </c>
      <c r="G18460" t="s">
        <v>1262</v>
      </c>
      <c r="H18460" s="21">
        <v>777.17</v>
      </c>
    </row>
    <row r="18461" spans="1:8" customFormat="1" x14ac:dyDescent="0.25">
      <c r="A18461" t="str">
        <f>"23817"</f>
        <v>23817</v>
      </c>
      <c r="B18461" t="s">
        <v>17244</v>
      </c>
      <c r="C18461" t="s">
        <v>750</v>
      </c>
      <c r="D18461" s="21" t="s">
        <v>34</v>
      </c>
      <c r="E18461" s="21" t="s">
        <v>71</v>
      </c>
      <c r="F18461">
        <v>10230105</v>
      </c>
      <c r="G18461" t="s">
        <v>9926</v>
      </c>
      <c r="H18461" s="21">
        <v>777.17</v>
      </c>
    </row>
    <row r="18462" spans="1:8" customFormat="1" x14ac:dyDescent="0.25">
      <c r="A18462" t="str">
        <f>"5318284"</f>
        <v>5318284</v>
      </c>
      <c r="B18462" t="s">
        <v>10562</v>
      </c>
      <c r="C18462" t="s">
        <v>37</v>
      </c>
      <c r="D18462" s="21" t="s">
        <v>34</v>
      </c>
      <c r="E18462" s="21" t="s">
        <v>35</v>
      </c>
      <c r="F18462">
        <v>12530121</v>
      </c>
      <c r="G18462" t="s">
        <v>16301</v>
      </c>
      <c r="H18462" s="21">
        <v>777.17</v>
      </c>
    </row>
    <row r="18463" spans="1:8" customFormat="1" x14ac:dyDescent="0.25">
      <c r="A18463" t="str">
        <f>"275806"</f>
        <v>275806</v>
      </c>
      <c r="B18463" t="s">
        <v>213</v>
      </c>
      <c r="C18463" t="s">
        <v>305</v>
      </c>
      <c r="D18463" s="21" t="s">
        <v>34</v>
      </c>
      <c r="E18463" s="21" t="s">
        <v>35</v>
      </c>
      <c r="F18463">
        <v>8951452</v>
      </c>
      <c r="G18463" t="s">
        <v>9763</v>
      </c>
      <c r="H18463" s="21">
        <v>776.92</v>
      </c>
    </row>
    <row r="18464" spans="1:8" customFormat="1" x14ac:dyDescent="0.25">
      <c r="A18464" t="str">
        <f>"3529912"</f>
        <v>3529912</v>
      </c>
      <c r="B18464" t="s">
        <v>2505</v>
      </c>
      <c r="C18464" t="s">
        <v>13608</v>
      </c>
      <c r="D18464" s="21" t="s">
        <v>34</v>
      </c>
      <c r="E18464" s="21" t="s">
        <v>71</v>
      </c>
      <c r="F18464">
        <v>3350087</v>
      </c>
      <c r="G18464" t="s">
        <v>7430</v>
      </c>
      <c r="H18464" s="21">
        <v>776.92</v>
      </c>
    </row>
    <row r="18465" spans="1:8" customFormat="1" x14ac:dyDescent="0.25">
      <c r="A18465" t="str">
        <f>"4426722"</f>
        <v>4426722</v>
      </c>
      <c r="B18465" t="s">
        <v>15176</v>
      </c>
      <c r="C18465" t="s">
        <v>269</v>
      </c>
      <c r="D18465" s="21" t="s">
        <v>34</v>
      </c>
      <c r="E18465" s="21" t="s">
        <v>71</v>
      </c>
      <c r="F18465">
        <v>4370464</v>
      </c>
      <c r="G18465" t="s">
        <v>5348</v>
      </c>
      <c r="H18465" s="21">
        <v>776.67</v>
      </c>
    </row>
    <row r="18466" spans="1:8" customFormat="1" x14ac:dyDescent="0.25">
      <c r="A18466" t="str">
        <f>"269842"</f>
        <v>269842</v>
      </c>
      <c r="B18466" t="s">
        <v>2362</v>
      </c>
      <c r="C18466" t="s">
        <v>16390</v>
      </c>
      <c r="D18466" s="21" t="s">
        <v>34</v>
      </c>
      <c r="E18466" s="21" t="s">
        <v>71</v>
      </c>
      <c r="F18466">
        <v>1260045</v>
      </c>
      <c r="G18466" t="s">
        <v>401</v>
      </c>
      <c r="H18466" s="21">
        <v>776.67</v>
      </c>
    </row>
    <row r="18467" spans="1:8" customFormat="1" x14ac:dyDescent="0.25">
      <c r="A18467" t="str">
        <f>"3113830"</f>
        <v>3113830</v>
      </c>
      <c r="B18467" t="s">
        <v>15556</v>
      </c>
      <c r="C18467" t="s">
        <v>1142</v>
      </c>
      <c r="D18467" s="21" t="s">
        <v>34</v>
      </c>
      <c r="E18467" s="21" t="s">
        <v>71</v>
      </c>
      <c r="F18467">
        <v>11310075</v>
      </c>
      <c r="G18467" t="s">
        <v>2531</v>
      </c>
      <c r="H18467" s="21">
        <v>776.67</v>
      </c>
    </row>
    <row r="18468" spans="1:8" customFormat="1" x14ac:dyDescent="0.25">
      <c r="A18468" t="str">
        <f>"5612661"</f>
        <v>5612661</v>
      </c>
      <c r="B18468" t="s">
        <v>1604</v>
      </c>
      <c r="C18468" t="s">
        <v>269</v>
      </c>
      <c r="D18468" s="21" t="s">
        <v>34</v>
      </c>
      <c r="E18468" s="21" t="s">
        <v>71</v>
      </c>
      <c r="F18468">
        <v>3560060</v>
      </c>
      <c r="G18468" t="s">
        <v>8368</v>
      </c>
      <c r="H18468" s="21">
        <v>776.67</v>
      </c>
    </row>
    <row r="18469" spans="1:8" customFormat="1" x14ac:dyDescent="0.25">
      <c r="A18469" t="str">
        <f>"3013854"</f>
        <v>3013854</v>
      </c>
      <c r="B18469" t="s">
        <v>19963</v>
      </c>
      <c r="C18469" t="s">
        <v>269</v>
      </c>
      <c r="D18469" s="21" t="s">
        <v>34</v>
      </c>
      <c r="E18469" s="21" t="s">
        <v>35</v>
      </c>
      <c r="F18469">
        <v>11300025</v>
      </c>
      <c r="G18469" t="s">
        <v>1211</v>
      </c>
      <c r="H18469" s="21">
        <v>776.67</v>
      </c>
    </row>
    <row r="18470" spans="1:8" customFormat="1" x14ac:dyDescent="0.25">
      <c r="A18470" t="str">
        <f>"0615145"</f>
        <v>0615145</v>
      </c>
      <c r="B18470" t="s">
        <v>27534</v>
      </c>
      <c r="C18470" t="s">
        <v>5009</v>
      </c>
      <c r="D18470" s="21" t="s">
        <v>34</v>
      </c>
      <c r="E18470" s="21" t="s">
        <v>71</v>
      </c>
      <c r="F18470">
        <v>13060063</v>
      </c>
      <c r="G18470" t="s">
        <v>2001</v>
      </c>
      <c r="H18470" s="21">
        <v>776.67</v>
      </c>
    </row>
    <row r="18471" spans="1:8" customFormat="1" x14ac:dyDescent="0.25">
      <c r="A18471" t="str">
        <f>"1310545"</f>
        <v>1310545</v>
      </c>
      <c r="B18471" t="s">
        <v>2964</v>
      </c>
      <c r="C18471" t="s">
        <v>253</v>
      </c>
      <c r="D18471" s="21" t="s">
        <v>34</v>
      </c>
      <c r="E18471" s="21" t="s">
        <v>71</v>
      </c>
      <c r="F18471">
        <v>13130158</v>
      </c>
      <c r="G18471" t="s">
        <v>3215</v>
      </c>
      <c r="H18471" s="21">
        <v>776.67</v>
      </c>
    </row>
    <row r="18472" spans="1:8" customFormat="1" x14ac:dyDescent="0.25">
      <c r="A18472" t="str">
        <f>"508419"</f>
        <v>508419</v>
      </c>
      <c r="B18472" t="s">
        <v>8713</v>
      </c>
      <c r="C18472" t="s">
        <v>2479</v>
      </c>
      <c r="D18472" s="21" t="s">
        <v>34</v>
      </c>
      <c r="E18472" s="21" t="s">
        <v>71</v>
      </c>
      <c r="F18472">
        <v>9500112</v>
      </c>
      <c r="G18472" t="s">
        <v>1668</v>
      </c>
      <c r="H18472" s="21">
        <v>776.67</v>
      </c>
    </row>
    <row r="18473" spans="1:8" customFormat="1" x14ac:dyDescent="0.25">
      <c r="A18473" t="str">
        <f>"102371"</f>
        <v>102371</v>
      </c>
      <c r="B18473" t="s">
        <v>27535</v>
      </c>
      <c r="C18473" t="s">
        <v>2520</v>
      </c>
      <c r="D18473" s="21" t="s">
        <v>34</v>
      </c>
      <c r="E18473" s="21" t="s">
        <v>254</v>
      </c>
      <c r="F18473">
        <v>6100007</v>
      </c>
      <c r="G18473" t="s">
        <v>9706</v>
      </c>
      <c r="H18473" s="21">
        <v>776.67</v>
      </c>
    </row>
    <row r="18474" spans="1:8" customFormat="1" x14ac:dyDescent="0.25">
      <c r="A18474" t="str">
        <f>"308705"</f>
        <v>308705</v>
      </c>
      <c r="B18474" t="s">
        <v>8662</v>
      </c>
      <c r="C18474" t="s">
        <v>15143</v>
      </c>
      <c r="D18474" s="21" t="s">
        <v>34</v>
      </c>
      <c r="E18474" s="21" t="s">
        <v>1089</v>
      </c>
      <c r="F18474">
        <v>11300039</v>
      </c>
      <c r="G18474" t="s">
        <v>10680</v>
      </c>
      <c r="H18474" s="21">
        <v>776.67</v>
      </c>
    </row>
    <row r="18475" spans="1:8" customFormat="1" x14ac:dyDescent="0.25">
      <c r="A18475" t="str">
        <f>"4423166"</f>
        <v>4423166</v>
      </c>
      <c r="B18475" t="s">
        <v>13529</v>
      </c>
      <c r="C18475" t="s">
        <v>187</v>
      </c>
      <c r="D18475" s="21" t="s">
        <v>34</v>
      </c>
      <c r="E18475" s="21" t="s">
        <v>71</v>
      </c>
      <c r="F18475">
        <v>12440104</v>
      </c>
      <c r="G18475" t="s">
        <v>5862</v>
      </c>
      <c r="H18475" s="21">
        <v>776.67</v>
      </c>
    </row>
    <row r="18476" spans="1:8" customFormat="1" x14ac:dyDescent="0.25">
      <c r="A18476" t="str">
        <f>"8525292"</f>
        <v>8525292</v>
      </c>
      <c r="B18476" t="s">
        <v>18070</v>
      </c>
      <c r="C18476" t="s">
        <v>58</v>
      </c>
      <c r="D18476" s="21" t="s">
        <v>34</v>
      </c>
      <c r="E18476" s="21" t="s">
        <v>35</v>
      </c>
      <c r="F18476">
        <v>12850008</v>
      </c>
      <c r="G18476" t="s">
        <v>4248</v>
      </c>
      <c r="H18476" s="21">
        <v>776.67</v>
      </c>
    </row>
    <row r="18477" spans="1:8" customFormat="1" x14ac:dyDescent="0.25">
      <c r="A18477" t="str">
        <f>"9138687"</f>
        <v>9138687</v>
      </c>
      <c r="B18477" t="s">
        <v>11245</v>
      </c>
      <c r="C18477" t="s">
        <v>87</v>
      </c>
      <c r="D18477" s="21" t="s">
        <v>34</v>
      </c>
      <c r="E18477" s="21" t="s">
        <v>35</v>
      </c>
      <c r="F18477">
        <v>8910861</v>
      </c>
      <c r="G18477" t="s">
        <v>1120</v>
      </c>
      <c r="H18477" s="21">
        <v>776.67</v>
      </c>
    </row>
    <row r="18478" spans="1:8" customFormat="1" x14ac:dyDescent="0.25">
      <c r="A18478" t="str">
        <f>"7214198"</f>
        <v>7214198</v>
      </c>
      <c r="B18478" t="s">
        <v>2089</v>
      </c>
      <c r="C18478" t="s">
        <v>2250</v>
      </c>
      <c r="D18478" s="21" t="s">
        <v>34</v>
      </c>
      <c r="E18478" s="21" t="s">
        <v>35</v>
      </c>
      <c r="F18478">
        <v>12720008</v>
      </c>
      <c r="G18478" t="s">
        <v>753</v>
      </c>
      <c r="H18478" s="21">
        <v>776.67</v>
      </c>
    </row>
    <row r="18479" spans="1:8" customFormat="1" x14ac:dyDescent="0.25">
      <c r="A18479" t="str">
        <f>"681102"</f>
        <v>681102</v>
      </c>
      <c r="B18479" t="s">
        <v>14875</v>
      </c>
      <c r="C18479" t="s">
        <v>3010</v>
      </c>
      <c r="D18479" s="21" t="s">
        <v>34</v>
      </c>
      <c r="E18479" s="21" t="s">
        <v>1089</v>
      </c>
      <c r="F18479">
        <v>6680090</v>
      </c>
      <c r="G18479" t="s">
        <v>3129</v>
      </c>
      <c r="H18479" s="21">
        <v>776.67</v>
      </c>
    </row>
    <row r="18480" spans="1:8" customFormat="1" x14ac:dyDescent="0.25">
      <c r="A18480" t="str">
        <f>"1312107"</f>
        <v>1312107</v>
      </c>
      <c r="B18480" t="s">
        <v>16737</v>
      </c>
      <c r="C18480" t="s">
        <v>198</v>
      </c>
      <c r="D18480" s="21" t="s">
        <v>34</v>
      </c>
      <c r="E18480" s="21" t="s">
        <v>71</v>
      </c>
      <c r="F18480">
        <v>13130138</v>
      </c>
      <c r="G18480" t="s">
        <v>5409</v>
      </c>
      <c r="H18480" s="21">
        <v>776.67</v>
      </c>
    </row>
    <row r="18481" spans="1:8" customFormat="1" x14ac:dyDescent="0.25">
      <c r="A18481" t="str">
        <f>"5910831"</f>
        <v>5910831</v>
      </c>
      <c r="B18481" t="s">
        <v>12207</v>
      </c>
      <c r="C18481" t="s">
        <v>267</v>
      </c>
      <c r="D18481" s="21" t="s">
        <v>34</v>
      </c>
      <c r="E18481" s="21" t="s">
        <v>1089</v>
      </c>
      <c r="F18481">
        <v>7590113</v>
      </c>
      <c r="G18481" t="s">
        <v>7808</v>
      </c>
      <c r="H18481" s="21">
        <v>776.67</v>
      </c>
    </row>
    <row r="18482" spans="1:8" customFormat="1" x14ac:dyDescent="0.25">
      <c r="A18482" t="str">
        <f>"8014460"</f>
        <v>8014460</v>
      </c>
      <c r="B18482" t="s">
        <v>14206</v>
      </c>
      <c r="C18482" t="s">
        <v>817</v>
      </c>
      <c r="D18482" s="21" t="s">
        <v>34</v>
      </c>
      <c r="E18482" s="21" t="s">
        <v>35</v>
      </c>
      <c r="F18482">
        <v>7800088</v>
      </c>
      <c r="G18482" t="s">
        <v>1899</v>
      </c>
      <c r="H18482" s="21">
        <v>776.67</v>
      </c>
    </row>
    <row r="18483" spans="1:8" customFormat="1" x14ac:dyDescent="0.25">
      <c r="A18483" t="str">
        <f>"403718"</f>
        <v>403718</v>
      </c>
      <c r="B18483" t="s">
        <v>17428</v>
      </c>
      <c r="C18483" t="s">
        <v>206</v>
      </c>
      <c r="D18483" s="21" t="s">
        <v>34</v>
      </c>
      <c r="E18483" s="21" t="s">
        <v>35</v>
      </c>
      <c r="F18483">
        <v>10330130</v>
      </c>
      <c r="G18483" t="s">
        <v>13867</v>
      </c>
      <c r="H18483" s="21">
        <v>776.67</v>
      </c>
    </row>
    <row r="18484" spans="1:8" customFormat="1" x14ac:dyDescent="0.25">
      <c r="A18484" t="str">
        <f>"3117396"</f>
        <v>3117396</v>
      </c>
      <c r="B18484" t="s">
        <v>8080</v>
      </c>
      <c r="C18484" t="s">
        <v>239</v>
      </c>
      <c r="D18484" s="21" t="s">
        <v>34</v>
      </c>
      <c r="E18484" s="21" t="s">
        <v>71</v>
      </c>
      <c r="F18484">
        <v>11310029</v>
      </c>
      <c r="G18484" t="s">
        <v>3717</v>
      </c>
      <c r="H18484" s="21">
        <v>776.67</v>
      </c>
    </row>
    <row r="18485" spans="1:8" customFormat="1" x14ac:dyDescent="0.25">
      <c r="A18485" t="str">
        <f>"7640806"</f>
        <v>7640806</v>
      </c>
      <c r="B18485" t="s">
        <v>18142</v>
      </c>
      <c r="C18485" t="s">
        <v>1294</v>
      </c>
      <c r="D18485" s="21" t="s">
        <v>34</v>
      </c>
      <c r="E18485" s="21" t="s">
        <v>35</v>
      </c>
      <c r="F18485">
        <v>9760286</v>
      </c>
      <c r="G18485" t="s">
        <v>11559</v>
      </c>
      <c r="H18485" s="21">
        <v>776.67</v>
      </c>
    </row>
    <row r="18486" spans="1:8" customFormat="1" x14ac:dyDescent="0.25">
      <c r="A18486" t="str">
        <f>"3418244"</f>
        <v>3418244</v>
      </c>
      <c r="B18486" t="s">
        <v>12779</v>
      </c>
      <c r="C18486" t="s">
        <v>55</v>
      </c>
      <c r="D18486" s="21" t="s">
        <v>34</v>
      </c>
      <c r="E18486" s="21" t="s">
        <v>71</v>
      </c>
      <c r="F18486">
        <v>11340012</v>
      </c>
      <c r="G18486" t="s">
        <v>10413</v>
      </c>
      <c r="H18486" s="21">
        <v>776.42</v>
      </c>
    </row>
    <row r="18487" spans="1:8" customFormat="1" x14ac:dyDescent="0.25">
      <c r="A18487" t="str">
        <f>"2919351"</f>
        <v>2919351</v>
      </c>
      <c r="B18487" t="s">
        <v>15837</v>
      </c>
      <c r="C18487" t="s">
        <v>293</v>
      </c>
      <c r="D18487" s="21" t="s">
        <v>34</v>
      </c>
      <c r="E18487" s="21" t="s">
        <v>254</v>
      </c>
      <c r="F18487">
        <v>3290047</v>
      </c>
      <c r="G18487" t="s">
        <v>2874</v>
      </c>
      <c r="H18487" s="21">
        <v>776.42</v>
      </c>
    </row>
    <row r="18488" spans="1:8" customFormat="1" x14ac:dyDescent="0.25">
      <c r="A18488" t="str">
        <f>"592250"</f>
        <v>592250</v>
      </c>
      <c r="B18488" t="s">
        <v>15529</v>
      </c>
      <c r="C18488" t="s">
        <v>209</v>
      </c>
      <c r="D18488" s="21" t="s">
        <v>34</v>
      </c>
      <c r="E18488" s="21" t="s">
        <v>254</v>
      </c>
      <c r="F18488">
        <v>7590017</v>
      </c>
      <c r="G18488" t="s">
        <v>1316</v>
      </c>
      <c r="H18488" s="21">
        <v>776.42</v>
      </c>
    </row>
    <row r="18489" spans="1:8" customFormat="1" x14ac:dyDescent="0.25">
      <c r="A18489" t="str">
        <f>"226065"</f>
        <v>226065</v>
      </c>
      <c r="B18489" t="s">
        <v>6009</v>
      </c>
      <c r="C18489" t="s">
        <v>781</v>
      </c>
      <c r="D18489" s="21" t="s">
        <v>34</v>
      </c>
      <c r="E18489" s="21" t="s">
        <v>71</v>
      </c>
      <c r="F18489">
        <v>3220123</v>
      </c>
      <c r="G18489" t="s">
        <v>26953</v>
      </c>
      <c r="H18489" s="21">
        <v>776.42</v>
      </c>
    </row>
    <row r="18490" spans="1:8" customFormat="1" x14ac:dyDescent="0.25">
      <c r="A18490" t="str">
        <f>"246509"</f>
        <v>246509</v>
      </c>
      <c r="B18490" t="s">
        <v>12481</v>
      </c>
      <c r="C18490" t="s">
        <v>204</v>
      </c>
      <c r="D18490" s="21" t="s">
        <v>34</v>
      </c>
      <c r="E18490" s="21" t="s">
        <v>35</v>
      </c>
      <c r="F18490">
        <v>10240030</v>
      </c>
      <c r="G18490" t="s">
        <v>8997</v>
      </c>
      <c r="H18490" s="21">
        <v>776.29</v>
      </c>
    </row>
    <row r="18491" spans="1:8" customFormat="1" x14ac:dyDescent="0.25">
      <c r="A18491" t="str">
        <f>"9227750"</f>
        <v>9227750</v>
      </c>
      <c r="B18491" t="s">
        <v>15415</v>
      </c>
      <c r="C18491" t="s">
        <v>198</v>
      </c>
      <c r="D18491" s="21" t="s">
        <v>34</v>
      </c>
      <c r="E18491" s="21" t="s">
        <v>254</v>
      </c>
      <c r="F18491">
        <v>8920111</v>
      </c>
      <c r="G18491" t="s">
        <v>1064</v>
      </c>
      <c r="H18491" s="21">
        <v>776.29</v>
      </c>
    </row>
    <row r="18492" spans="1:8" customFormat="1" x14ac:dyDescent="0.25">
      <c r="A18492" t="str">
        <f>"392571"</f>
        <v>392571</v>
      </c>
      <c r="B18492" t="s">
        <v>13506</v>
      </c>
      <c r="C18492" t="s">
        <v>209</v>
      </c>
      <c r="D18492" s="21" t="s">
        <v>34</v>
      </c>
      <c r="E18492" s="21" t="s">
        <v>71</v>
      </c>
      <c r="F18492">
        <v>2390089</v>
      </c>
      <c r="G18492" t="s">
        <v>5194</v>
      </c>
      <c r="H18492" s="21">
        <v>776.17</v>
      </c>
    </row>
    <row r="18493" spans="1:8" customFormat="1" x14ac:dyDescent="0.25">
      <c r="A18493" t="str">
        <f>"7512827"</f>
        <v>7512827</v>
      </c>
      <c r="B18493" t="s">
        <v>14863</v>
      </c>
      <c r="C18493" t="s">
        <v>151</v>
      </c>
      <c r="D18493" s="21" t="s">
        <v>34</v>
      </c>
      <c r="E18493" s="21" t="s">
        <v>35</v>
      </c>
      <c r="F18493">
        <v>12720004</v>
      </c>
      <c r="G18493" t="s">
        <v>2328</v>
      </c>
      <c r="H18493" s="21">
        <v>776.17</v>
      </c>
    </row>
    <row r="18494" spans="1:8" customFormat="1" x14ac:dyDescent="0.25">
      <c r="A18494" t="str">
        <f>"6910327"</f>
        <v>6910327</v>
      </c>
      <c r="B18494" t="s">
        <v>18241</v>
      </c>
      <c r="C18494" t="s">
        <v>209</v>
      </c>
      <c r="D18494" s="21" t="s">
        <v>34</v>
      </c>
      <c r="E18494" s="21" t="s">
        <v>35</v>
      </c>
      <c r="F18494">
        <v>1690109</v>
      </c>
      <c r="G18494" t="s">
        <v>3028</v>
      </c>
      <c r="H18494" s="21">
        <v>776.17</v>
      </c>
    </row>
    <row r="18495" spans="1:8" customFormat="1" x14ac:dyDescent="0.25">
      <c r="A18495" t="str">
        <f>"3512310"</f>
        <v>3512310</v>
      </c>
      <c r="B18495" t="s">
        <v>15076</v>
      </c>
      <c r="C18495" t="s">
        <v>55</v>
      </c>
      <c r="D18495" s="21" t="s">
        <v>34</v>
      </c>
      <c r="E18495" s="21" t="s">
        <v>71</v>
      </c>
      <c r="F18495">
        <v>3350060</v>
      </c>
      <c r="G18495" t="s">
        <v>38</v>
      </c>
      <c r="H18495" s="21">
        <v>776.17</v>
      </c>
    </row>
    <row r="18496" spans="1:8" customFormat="1" x14ac:dyDescent="0.25">
      <c r="A18496" t="str">
        <f>"7640945"</f>
        <v>7640945</v>
      </c>
      <c r="B18496" t="s">
        <v>18663</v>
      </c>
      <c r="C18496" t="s">
        <v>40</v>
      </c>
      <c r="D18496" s="21" t="s">
        <v>34</v>
      </c>
      <c r="E18496" s="21" t="s">
        <v>71</v>
      </c>
      <c r="F18496">
        <v>9760034</v>
      </c>
      <c r="G18496" t="s">
        <v>1242</v>
      </c>
      <c r="H18496" s="21">
        <v>776.17</v>
      </c>
    </row>
    <row r="18497" spans="1:8" customFormat="1" x14ac:dyDescent="0.25">
      <c r="A18497" t="str">
        <f>"2931455"</f>
        <v>2931455</v>
      </c>
      <c r="B18497" t="s">
        <v>16310</v>
      </c>
      <c r="C18497" t="s">
        <v>2365</v>
      </c>
      <c r="D18497" s="21" t="s">
        <v>34</v>
      </c>
      <c r="E18497" s="21" t="s">
        <v>254</v>
      </c>
      <c r="F18497">
        <v>3290228</v>
      </c>
      <c r="G18497" t="s">
        <v>8738</v>
      </c>
      <c r="H18497" s="21">
        <v>776.17</v>
      </c>
    </row>
    <row r="18498" spans="1:8" customFormat="1" x14ac:dyDescent="0.25">
      <c r="A18498" t="str">
        <f>"1713730"</f>
        <v>1713730</v>
      </c>
      <c r="B18498" t="s">
        <v>8369</v>
      </c>
      <c r="C18498" t="s">
        <v>267</v>
      </c>
      <c r="D18498" s="21" t="s">
        <v>34</v>
      </c>
      <c r="E18498" s="21" t="s">
        <v>71</v>
      </c>
      <c r="F18498">
        <v>10470001</v>
      </c>
      <c r="G18498" t="s">
        <v>391</v>
      </c>
      <c r="H18498" s="21">
        <v>776.17</v>
      </c>
    </row>
    <row r="18499" spans="1:8" customFormat="1" x14ac:dyDescent="0.25">
      <c r="A18499" t="str">
        <f>"60353"</f>
        <v>60353</v>
      </c>
      <c r="B18499" t="s">
        <v>14854</v>
      </c>
      <c r="C18499" t="s">
        <v>1605</v>
      </c>
      <c r="D18499" s="21" t="s">
        <v>34</v>
      </c>
      <c r="E18499" s="21" t="s">
        <v>254</v>
      </c>
      <c r="F18499">
        <v>7600069</v>
      </c>
      <c r="G18499" t="s">
        <v>195</v>
      </c>
      <c r="H18499" s="21">
        <v>776.17</v>
      </c>
    </row>
    <row r="18500" spans="1:8" customFormat="1" x14ac:dyDescent="0.25">
      <c r="A18500" t="str">
        <f>"2919307"</f>
        <v>2919307</v>
      </c>
      <c r="B18500" t="s">
        <v>13390</v>
      </c>
      <c r="C18500" t="s">
        <v>187</v>
      </c>
      <c r="D18500" s="21" t="s">
        <v>34</v>
      </c>
      <c r="E18500" s="21" t="s">
        <v>71</v>
      </c>
      <c r="F18500">
        <v>3290081</v>
      </c>
      <c r="G18500" t="s">
        <v>3819</v>
      </c>
      <c r="H18500" s="21">
        <v>776.17</v>
      </c>
    </row>
    <row r="18501" spans="1:8" customFormat="1" x14ac:dyDescent="0.25">
      <c r="A18501" t="str">
        <f>"3715937"</f>
        <v>3715937</v>
      </c>
      <c r="B18501" t="s">
        <v>15237</v>
      </c>
      <c r="C18501" t="s">
        <v>43</v>
      </c>
      <c r="D18501" s="21" t="s">
        <v>34</v>
      </c>
      <c r="E18501" s="21" t="s">
        <v>35</v>
      </c>
      <c r="F18501">
        <v>4370038</v>
      </c>
      <c r="G18501" t="s">
        <v>1045</v>
      </c>
      <c r="H18501" s="21">
        <v>776.17</v>
      </c>
    </row>
    <row r="18502" spans="1:8" customFormat="1" x14ac:dyDescent="0.25">
      <c r="A18502" t="str">
        <f>"5416363"</f>
        <v>5416363</v>
      </c>
      <c r="B18502" t="s">
        <v>13950</v>
      </c>
      <c r="C18502" t="s">
        <v>2678</v>
      </c>
      <c r="D18502" s="21" t="s">
        <v>34</v>
      </c>
      <c r="E18502" s="21" t="s">
        <v>35</v>
      </c>
      <c r="F18502">
        <v>1690109</v>
      </c>
      <c r="G18502" t="s">
        <v>3028</v>
      </c>
      <c r="H18502" s="21">
        <v>776.17</v>
      </c>
    </row>
    <row r="18503" spans="1:8" customFormat="1" x14ac:dyDescent="0.25">
      <c r="A18503" t="str">
        <f>"5721927"</f>
        <v>5721927</v>
      </c>
      <c r="B18503" t="s">
        <v>16951</v>
      </c>
      <c r="C18503" t="s">
        <v>2529</v>
      </c>
      <c r="D18503" s="21" t="s">
        <v>34</v>
      </c>
      <c r="E18503" s="21" t="s">
        <v>71</v>
      </c>
      <c r="F18503">
        <v>6570019</v>
      </c>
      <c r="G18503" t="s">
        <v>1510</v>
      </c>
      <c r="H18503" s="21">
        <v>776.17</v>
      </c>
    </row>
    <row r="18504" spans="1:8" customFormat="1" x14ac:dyDescent="0.25">
      <c r="A18504" t="str">
        <f>"5613323"</f>
        <v>5613323</v>
      </c>
      <c r="B18504" t="s">
        <v>14505</v>
      </c>
      <c r="C18504" t="s">
        <v>249</v>
      </c>
      <c r="D18504" s="21" t="s">
        <v>34</v>
      </c>
      <c r="E18504" s="21" t="s">
        <v>71</v>
      </c>
      <c r="F18504">
        <v>3560072</v>
      </c>
      <c r="G18504" t="s">
        <v>12285</v>
      </c>
      <c r="H18504" s="21">
        <v>776.17</v>
      </c>
    </row>
    <row r="18505" spans="1:8" customFormat="1" x14ac:dyDescent="0.25">
      <c r="A18505" t="str">
        <f>"4424035"</f>
        <v>4424035</v>
      </c>
      <c r="B18505" t="s">
        <v>15266</v>
      </c>
      <c r="C18505" t="s">
        <v>209</v>
      </c>
      <c r="D18505" s="21" t="s">
        <v>34</v>
      </c>
      <c r="E18505" s="21" t="s">
        <v>1089</v>
      </c>
      <c r="F18505">
        <v>12440193</v>
      </c>
      <c r="G18505" t="s">
        <v>3786</v>
      </c>
      <c r="H18505" s="21">
        <v>776.17</v>
      </c>
    </row>
    <row r="18506" spans="1:8" customFormat="1" x14ac:dyDescent="0.25">
      <c r="A18506" t="str">
        <f>"069184"</f>
        <v>069184</v>
      </c>
      <c r="B18506" t="s">
        <v>16464</v>
      </c>
      <c r="C18506" t="s">
        <v>209</v>
      </c>
      <c r="D18506" s="21" t="s">
        <v>34</v>
      </c>
      <c r="E18506" s="21" t="s">
        <v>71</v>
      </c>
      <c r="F18506">
        <v>13060063</v>
      </c>
      <c r="G18506" t="s">
        <v>2001</v>
      </c>
      <c r="H18506" s="21">
        <v>776.17</v>
      </c>
    </row>
    <row r="18507" spans="1:8" customFormat="1" x14ac:dyDescent="0.25">
      <c r="A18507" t="str">
        <f>"0610853"</f>
        <v>0610853</v>
      </c>
      <c r="B18507" t="s">
        <v>14997</v>
      </c>
      <c r="C18507" t="s">
        <v>2305</v>
      </c>
      <c r="D18507" s="21" t="s">
        <v>34</v>
      </c>
      <c r="E18507" s="21" t="s">
        <v>71</v>
      </c>
      <c r="F18507">
        <v>13060080</v>
      </c>
      <c r="G18507" t="s">
        <v>14998</v>
      </c>
      <c r="H18507" s="21">
        <v>776.17</v>
      </c>
    </row>
    <row r="18508" spans="1:8" customFormat="1" x14ac:dyDescent="0.25">
      <c r="A18508" t="str">
        <f>"4451011"</f>
        <v>4451011</v>
      </c>
      <c r="B18508" t="s">
        <v>3471</v>
      </c>
      <c r="C18508" t="s">
        <v>209</v>
      </c>
      <c r="D18508" s="21" t="s">
        <v>34</v>
      </c>
      <c r="E18508" s="21" t="s">
        <v>71</v>
      </c>
      <c r="F18508">
        <v>12440016</v>
      </c>
      <c r="G18508" t="s">
        <v>7288</v>
      </c>
      <c r="H18508" s="21">
        <v>776.17</v>
      </c>
    </row>
    <row r="18509" spans="1:8" customFormat="1" x14ac:dyDescent="0.25">
      <c r="A18509" t="str">
        <f>"5936607"</f>
        <v>5936607</v>
      </c>
      <c r="B18509" t="s">
        <v>2355</v>
      </c>
      <c r="C18509" t="s">
        <v>1914</v>
      </c>
      <c r="D18509" s="21" t="s">
        <v>34</v>
      </c>
      <c r="E18509" s="21" t="s">
        <v>254</v>
      </c>
      <c r="F18509">
        <v>3560049</v>
      </c>
      <c r="G18509" t="s">
        <v>8021</v>
      </c>
      <c r="H18509" s="21">
        <v>776.17</v>
      </c>
    </row>
    <row r="18510" spans="1:8" customFormat="1" x14ac:dyDescent="0.25">
      <c r="A18510" t="str">
        <f>"7628736"</f>
        <v>7628736</v>
      </c>
      <c r="B18510" t="s">
        <v>9281</v>
      </c>
      <c r="C18510" t="s">
        <v>598</v>
      </c>
      <c r="D18510" s="21" t="s">
        <v>34</v>
      </c>
      <c r="E18510" s="21" t="s">
        <v>254</v>
      </c>
      <c r="F18510">
        <v>9760291</v>
      </c>
      <c r="G18510" t="s">
        <v>26611</v>
      </c>
      <c r="H18510" s="21">
        <v>776.17</v>
      </c>
    </row>
    <row r="18511" spans="1:8" customFormat="1" x14ac:dyDescent="0.25">
      <c r="A18511" t="str">
        <f>"7837322"</f>
        <v>7837322</v>
      </c>
      <c r="B18511" t="s">
        <v>5638</v>
      </c>
      <c r="C18511" t="s">
        <v>147</v>
      </c>
      <c r="D18511" s="21" t="s">
        <v>34</v>
      </c>
      <c r="E18511" s="21" t="s">
        <v>35</v>
      </c>
      <c r="F18511">
        <v>9760315</v>
      </c>
      <c r="G18511" t="s">
        <v>12345</v>
      </c>
      <c r="H18511" s="21">
        <v>776.04</v>
      </c>
    </row>
    <row r="18512" spans="1:8" customFormat="1" x14ac:dyDescent="0.25">
      <c r="A18512" t="str">
        <f>"417480"</f>
        <v>417480</v>
      </c>
      <c r="B18512" t="s">
        <v>4322</v>
      </c>
      <c r="C18512" t="s">
        <v>209</v>
      </c>
      <c r="D18512" s="21" t="s">
        <v>34</v>
      </c>
      <c r="E18512" s="21" t="s">
        <v>35</v>
      </c>
      <c r="F18512">
        <v>4410615</v>
      </c>
      <c r="G18512" t="s">
        <v>4897</v>
      </c>
      <c r="H18512" s="21">
        <v>776.04</v>
      </c>
    </row>
    <row r="18513" spans="1:8" customFormat="1" x14ac:dyDescent="0.25">
      <c r="A18513" t="str">
        <f>"7221222"</f>
        <v>7221222</v>
      </c>
      <c r="B18513" t="s">
        <v>16415</v>
      </c>
      <c r="C18513" t="s">
        <v>121</v>
      </c>
      <c r="D18513" s="21" t="s">
        <v>34</v>
      </c>
      <c r="E18513" s="21" t="s">
        <v>35</v>
      </c>
      <c r="F18513">
        <v>12720049</v>
      </c>
      <c r="G18513" t="s">
        <v>1627</v>
      </c>
      <c r="H18513" s="21">
        <v>775.92</v>
      </c>
    </row>
    <row r="18514" spans="1:8" customFormat="1" x14ac:dyDescent="0.25">
      <c r="A18514" t="str">
        <f>"5934234"</f>
        <v>5934234</v>
      </c>
      <c r="B18514" t="s">
        <v>14899</v>
      </c>
      <c r="C18514" t="s">
        <v>169</v>
      </c>
      <c r="D18514" s="21" t="s">
        <v>34</v>
      </c>
      <c r="E18514" s="21" t="s">
        <v>71</v>
      </c>
      <c r="F18514">
        <v>7590400</v>
      </c>
      <c r="G18514" t="s">
        <v>26692</v>
      </c>
      <c r="H18514" s="21">
        <v>775.67</v>
      </c>
    </row>
    <row r="18515" spans="1:8" customFormat="1" x14ac:dyDescent="0.25">
      <c r="A18515" t="str">
        <f>"178645"</f>
        <v>178645</v>
      </c>
      <c r="B18515" t="s">
        <v>15286</v>
      </c>
      <c r="C18515" t="s">
        <v>43</v>
      </c>
      <c r="D18515" s="21" t="s">
        <v>34</v>
      </c>
      <c r="E18515" s="21" t="s">
        <v>35</v>
      </c>
      <c r="F18515">
        <v>10170073</v>
      </c>
      <c r="G18515" t="s">
        <v>9689</v>
      </c>
      <c r="H18515" s="21">
        <v>775.67</v>
      </c>
    </row>
    <row r="18516" spans="1:8" customFormat="1" x14ac:dyDescent="0.25">
      <c r="A18516" t="str">
        <f>"6232862"</f>
        <v>6232862</v>
      </c>
      <c r="B18516" t="s">
        <v>13698</v>
      </c>
      <c r="C18516" t="s">
        <v>171</v>
      </c>
      <c r="D18516" s="21" t="s">
        <v>34</v>
      </c>
      <c r="E18516" s="21" t="s">
        <v>35</v>
      </c>
      <c r="F18516">
        <v>7620092</v>
      </c>
      <c r="G18516" t="s">
        <v>9874</v>
      </c>
      <c r="H18516" s="21">
        <v>775.67</v>
      </c>
    </row>
    <row r="18517" spans="1:8" customFormat="1" x14ac:dyDescent="0.25">
      <c r="A18517" t="str">
        <f>"3527513"</f>
        <v>3527513</v>
      </c>
      <c r="B18517" t="s">
        <v>4419</v>
      </c>
      <c r="C18517" t="s">
        <v>4831</v>
      </c>
      <c r="D18517" s="21" t="s">
        <v>34</v>
      </c>
      <c r="E18517" s="21" t="s">
        <v>1089</v>
      </c>
      <c r="F18517">
        <v>3350074</v>
      </c>
      <c r="G18517" t="s">
        <v>5432</v>
      </c>
      <c r="H18517" s="21">
        <v>775.67</v>
      </c>
    </row>
    <row r="18518" spans="1:8" customFormat="1" x14ac:dyDescent="0.25">
      <c r="A18518" t="str">
        <f>"835228"</f>
        <v>835228</v>
      </c>
      <c r="B18518" t="s">
        <v>17026</v>
      </c>
      <c r="C18518" t="s">
        <v>249</v>
      </c>
      <c r="D18518" s="21" t="s">
        <v>34</v>
      </c>
      <c r="E18518" s="21" t="s">
        <v>35</v>
      </c>
      <c r="F18518">
        <v>13830022</v>
      </c>
      <c r="G18518" t="s">
        <v>633</v>
      </c>
      <c r="H18518" s="21">
        <v>775.67</v>
      </c>
    </row>
    <row r="18519" spans="1:8" customFormat="1" x14ac:dyDescent="0.25">
      <c r="A18519" t="str">
        <f>"2920267"</f>
        <v>2920267</v>
      </c>
      <c r="B18519" t="s">
        <v>16706</v>
      </c>
      <c r="C18519" t="s">
        <v>621</v>
      </c>
      <c r="D18519" s="21" t="s">
        <v>34</v>
      </c>
      <c r="E18519" s="21" t="s">
        <v>35</v>
      </c>
      <c r="F18519">
        <v>3290006</v>
      </c>
      <c r="G18519" t="s">
        <v>13009</v>
      </c>
      <c r="H18519" s="21">
        <v>775.67</v>
      </c>
    </row>
    <row r="18520" spans="1:8" customFormat="1" x14ac:dyDescent="0.25">
      <c r="A18520" t="str">
        <f>"5018189"</f>
        <v>5018189</v>
      </c>
      <c r="B18520" t="s">
        <v>15868</v>
      </c>
      <c r="C18520" t="s">
        <v>1675</v>
      </c>
      <c r="D18520" s="21" t="s">
        <v>34</v>
      </c>
      <c r="E18520" s="21" t="s">
        <v>35</v>
      </c>
      <c r="F18520">
        <v>9500117</v>
      </c>
      <c r="G18520" t="s">
        <v>247</v>
      </c>
      <c r="H18520" s="21">
        <v>775.67</v>
      </c>
    </row>
    <row r="18521" spans="1:8" customFormat="1" x14ac:dyDescent="0.25">
      <c r="A18521" t="str">
        <f>"565325"</f>
        <v>565325</v>
      </c>
      <c r="B18521" t="s">
        <v>15236</v>
      </c>
      <c r="C18521" t="s">
        <v>781</v>
      </c>
      <c r="D18521" s="21" t="s">
        <v>34</v>
      </c>
      <c r="E18521" s="21" t="s">
        <v>254</v>
      </c>
      <c r="F18521">
        <v>3560059</v>
      </c>
      <c r="G18521" t="s">
        <v>2033</v>
      </c>
      <c r="H18521" s="21">
        <v>775.67</v>
      </c>
    </row>
    <row r="18522" spans="1:8" customFormat="1" x14ac:dyDescent="0.25">
      <c r="A18522" t="str">
        <f>"843332"</f>
        <v>843332</v>
      </c>
      <c r="B18522" t="s">
        <v>18832</v>
      </c>
      <c r="C18522" t="s">
        <v>121</v>
      </c>
      <c r="D18522" s="21" t="s">
        <v>34</v>
      </c>
      <c r="E18522" s="21" t="s">
        <v>35</v>
      </c>
      <c r="F18522">
        <v>13840013</v>
      </c>
      <c r="G18522" t="s">
        <v>7323</v>
      </c>
      <c r="H18522" s="21">
        <v>775.67</v>
      </c>
    </row>
    <row r="18523" spans="1:8" customFormat="1" x14ac:dyDescent="0.25">
      <c r="A18523" t="str">
        <f>"3535056"</f>
        <v>3535056</v>
      </c>
      <c r="B18523" t="s">
        <v>16817</v>
      </c>
      <c r="C18523" t="s">
        <v>328</v>
      </c>
      <c r="D18523" s="21" t="s">
        <v>34</v>
      </c>
      <c r="E18523" s="21" t="s">
        <v>71</v>
      </c>
      <c r="F18523">
        <v>3350030</v>
      </c>
      <c r="G18523" t="s">
        <v>4549</v>
      </c>
      <c r="H18523" s="21">
        <v>775.67</v>
      </c>
    </row>
    <row r="18524" spans="1:8" customFormat="1" x14ac:dyDescent="0.25">
      <c r="A18524" t="str">
        <f>"316270"</f>
        <v>316270</v>
      </c>
      <c r="B18524" t="s">
        <v>16197</v>
      </c>
      <c r="C18524" t="s">
        <v>43</v>
      </c>
      <c r="D18524" s="21" t="s">
        <v>34</v>
      </c>
      <c r="E18524" s="21" t="s">
        <v>35</v>
      </c>
      <c r="F18524">
        <v>8751124</v>
      </c>
      <c r="G18524" t="s">
        <v>1481</v>
      </c>
      <c r="H18524" s="21">
        <v>775.67</v>
      </c>
    </row>
    <row r="18525" spans="1:8" customFormat="1" x14ac:dyDescent="0.25">
      <c r="A18525" t="str">
        <f>"3818376"</f>
        <v>3818376</v>
      </c>
      <c r="B18525" t="s">
        <v>15147</v>
      </c>
      <c r="C18525" t="s">
        <v>33</v>
      </c>
      <c r="D18525" s="21" t="s">
        <v>34</v>
      </c>
      <c r="E18525" s="21" t="s">
        <v>71</v>
      </c>
      <c r="F18525">
        <v>1380164</v>
      </c>
      <c r="G18525" t="s">
        <v>2728</v>
      </c>
      <c r="H18525" s="21">
        <v>775.67</v>
      </c>
    </row>
    <row r="18526" spans="1:8" customFormat="1" x14ac:dyDescent="0.25">
      <c r="A18526" t="str">
        <f>"0211707"</f>
        <v>0211707</v>
      </c>
      <c r="B18526" t="s">
        <v>16406</v>
      </c>
      <c r="C18526" t="s">
        <v>249</v>
      </c>
      <c r="D18526" s="21" t="s">
        <v>34</v>
      </c>
      <c r="E18526" s="21" t="s">
        <v>71</v>
      </c>
      <c r="F18526">
        <v>7020036</v>
      </c>
      <c r="G18526" t="s">
        <v>8431</v>
      </c>
      <c r="H18526" s="21">
        <v>775.67</v>
      </c>
    </row>
    <row r="18527" spans="1:8" customFormat="1" x14ac:dyDescent="0.25">
      <c r="A18527" t="str">
        <f>"9128303"</f>
        <v>9128303</v>
      </c>
      <c r="B18527" t="s">
        <v>14871</v>
      </c>
      <c r="C18527" t="s">
        <v>130</v>
      </c>
      <c r="D18527" s="21" t="s">
        <v>34</v>
      </c>
      <c r="E18527" s="21" t="s">
        <v>35</v>
      </c>
      <c r="F18527">
        <v>8940458</v>
      </c>
      <c r="G18527" t="s">
        <v>26774</v>
      </c>
      <c r="H18527" s="21">
        <v>775.67</v>
      </c>
    </row>
    <row r="18528" spans="1:8" customFormat="1" x14ac:dyDescent="0.25">
      <c r="A18528" t="str">
        <f>"597521"</f>
        <v>597521</v>
      </c>
      <c r="B18528" t="s">
        <v>16228</v>
      </c>
      <c r="C18528" t="s">
        <v>209</v>
      </c>
      <c r="D18528" s="21" t="s">
        <v>34</v>
      </c>
      <c r="E18528" s="21" t="s">
        <v>71</v>
      </c>
      <c r="F18528">
        <v>7590013</v>
      </c>
      <c r="G18528" t="s">
        <v>4839</v>
      </c>
      <c r="H18528" s="21">
        <v>775.67</v>
      </c>
    </row>
    <row r="18529" spans="1:8" customFormat="1" x14ac:dyDescent="0.25">
      <c r="A18529" t="str">
        <f>"653359"</f>
        <v>653359</v>
      </c>
      <c r="B18529" t="s">
        <v>14244</v>
      </c>
      <c r="C18529" t="s">
        <v>144</v>
      </c>
      <c r="D18529" s="21" t="s">
        <v>34</v>
      </c>
      <c r="E18529" s="21" t="s">
        <v>35</v>
      </c>
      <c r="F18529">
        <v>11650004</v>
      </c>
      <c r="G18529" t="s">
        <v>382</v>
      </c>
      <c r="H18529" s="21">
        <v>775.67</v>
      </c>
    </row>
    <row r="18530" spans="1:8" customFormat="1" x14ac:dyDescent="0.25">
      <c r="A18530" t="str">
        <f>"406999"</f>
        <v>406999</v>
      </c>
      <c r="B18530" t="s">
        <v>27536</v>
      </c>
      <c r="C18530" t="s">
        <v>4092</v>
      </c>
      <c r="D18530" s="21" t="s">
        <v>34</v>
      </c>
      <c r="E18530" s="21" t="s">
        <v>254</v>
      </c>
      <c r="F18530">
        <v>10400027</v>
      </c>
      <c r="G18530" t="s">
        <v>11595</v>
      </c>
      <c r="H18530" s="21">
        <v>775.67</v>
      </c>
    </row>
    <row r="18531" spans="1:8" customFormat="1" x14ac:dyDescent="0.25">
      <c r="A18531" t="str">
        <f>"539333"</f>
        <v>539333</v>
      </c>
      <c r="B18531" t="s">
        <v>1724</v>
      </c>
      <c r="C18531" t="s">
        <v>621</v>
      </c>
      <c r="D18531" s="21" t="s">
        <v>34</v>
      </c>
      <c r="E18531" s="21" t="s">
        <v>35</v>
      </c>
      <c r="F18531">
        <v>12530046</v>
      </c>
      <c r="G18531" t="s">
        <v>10191</v>
      </c>
      <c r="H18531" s="21">
        <v>775.67</v>
      </c>
    </row>
    <row r="18532" spans="1:8" customFormat="1" x14ac:dyDescent="0.25">
      <c r="A18532" t="str">
        <f>"2933888"</f>
        <v>2933888</v>
      </c>
      <c r="B18532" t="s">
        <v>1094</v>
      </c>
      <c r="C18532" t="s">
        <v>415</v>
      </c>
      <c r="D18532" s="21" t="s">
        <v>34</v>
      </c>
      <c r="E18532" s="21" t="s">
        <v>71</v>
      </c>
      <c r="F18532">
        <v>3290037</v>
      </c>
      <c r="G18532" t="s">
        <v>11628</v>
      </c>
      <c r="H18532" s="21">
        <v>775.67</v>
      </c>
    </row>
    <row r="18533" spans="1:8" customFormat="1" x14ac:dyDescent="0.25">
      <c r="A18533" t="str">
        <f>"505944"</f>
        <v>505944</v>
      </c>
      <c r="B18533" t="s">
        <v>14926</v>
      </c>
      <c r="C18533" t="s">
        <v>3073</v>
      </c>
      <c r="D18533" s="21" t="s">
        <v>34</v>
      </c>
      <c r="E18533" s="21" t="s">
        <v>254</v>
      </c>
      <c r="F18533">
        <v>9500058</v>
      </c>
      <c r="G18533" t="s">
        <v>1585</v>
      </c>
      <c r="H18533" s="21">
        <v>775.67</v>
      </c>
    </row>
    <row r="18534" spans="1:8" customFormat="1" x14ac:dyDescent="0.25">
      <c r="A18534" t="str">
        <f>"1413473"</f>
        <v>1413473</v>
      </c>
      <c r="B18534" t="s">
        <v>5933</v>
      </c>
      <c r="C18534" t="s">
        <v>269</v>
      </c>
      <c r="D18534" s="21" t="s">
        <v>34</v>
      </c>
      <c r="E18534" s="21" t="s">
        <v>71</v>
      </c>
      <c r="F18534">
        <v>9140063</v>
      </c>
      <c r="G18534" t="s">
        <v>4764</v>
      </c>
      <c r="H18534" s="21">
        <v>775.67</v>
      </c>
    </row>
    <row r="18535" spans="1:8" customFormat="1" x14ac:dyDescent="0.25">
      <c r="A18535" t="str">
        <f>"5946844"</f>
        <v>5946844</v>
      </c>
      <c r="B18535" t="s">
        <v>15390</v>
      </c>
      <c r="C18535" t="s">
        <v>121</v>
      </c>
      <c r="D18535" s="21" t="s">
        <v>34</v>
      </c>
      <c r="E18535" s="21" t="s">
        <v>35</v>
      </c>
      <c r="F18535">
        <v>7590057</v>
      </c>
      <c r="G18535" t="s">
        <v>7575</v>
      </c>
      <c r="H18535" s="21">
        <v>775.67</v>
      </c>
    </row>
    <row r="18536" spans="1:8" customFormat="1" x14ac:dyDescent="0.25">
      <c r="A18536" t="str">
        <f>"105701"</f>
        <v>105701</v>
      </c>
      <c r="B18536" t="s">
        <v>4747</v>
      </c>
      <c r="C18536" t="s">
        <v>1931</v>
      </c>
      <c r="D18536" s="21" t="s">
        <v>34</v>
      </c>
      <c r="E18536" s="21" t="s">
        <v>35</v>
      </c>
      <c r="F18536">
        <v>6100035</v>
      </c>
      <c r="G18536" t="s">
        <v>26807</v>
      </c>
      <c r="H18536" s="21">
        <v>775.67</v>
      </c>
    </row>
    <row r="18537" spans="1:8" customFormat="1" x14ac:dyDescent="0.25">
      <c r="A18537" t="str">
        <f>"289445"</f>
        <v>289445</v>
      </c>
      <c r="B18537" t="s">
        <v>5617</v>
      </c>
      <c r="C18537" t="s">
        <v>412</v>
      </c>
      <c r="D18537" s="21" t="s">
        <v>34</v>
      </c>
      <c r="E18537" s="21" t="s">
        <v>1089</v>
      </c>
      <c r="F18537">
        <v>4280048</v>
      </c>
      <c r="G18537" t="s">
        <v>3053</v>
      </c>
      <c r="H18537" s="21">
        <v>775.67</v>
      </c>
    </row>
    <row r="18538" spans="1:8" customFormat="1" x14ac:dyDescent="0.25">
      <c r="A18538" t="str">
        <f>"445506"</f>
        <v>445506</v>
      </c>
      <c r="B18538" t="s">
        <v>11124</v>
      </c>
      <c r="C18538" t="s">
        <v>65</v>
      </c>
      <c r="D18538" s="21" t="s">
        <v>34</v>
      </c>
      <c r="E18538" s="21" t="s">
        <v>71</v>
      </c>
      <c r="F18538">
        <v>12440144</v>
      </c>
      <c r="G18538" t="s">
        <v>3702</v>
      </c>
      <c r="H18538" s="21">
        <v>775.67</v>
      </c>
    </row>
    <row r="18539" spans="1:8" customFormat="1" x14ac:dyDescent="0.25">
      <c r="A18539" t="str">
        <f>"185025"</f>
        <v>185025</v>
      </c>
      <c r="B18539" t="s">
        <v>14528</v>
      </c>
      <c r="C18539" t="s">
        <v>822</v>
      </c>
      <c r="D18539" s="21" t="s">
        <v>34</v>
      </c>
      <c r="E18539" s="21" t="s">
        <v>1089</v>
      </c>
      <c r="F18539">
        <v>4180238</v>
      </c>
      <c r="G18539" t="s">
        <v>7304</v>
      </c>
      <c r="H18539" s="21">
        <v>775.67</v>
      </c>
    </row>
    <row r="18540" spans="1:8" customFormat="1" x14ac:dyDescent="0.25">
      <c r="A18540" t="str">
        <f>"9123805"</f>
        <v>9123805</v>
      </c>
      <c r="B18540" t="s">
        <v>15016</v>
      </c>
      <c r="C18540" t="s">
        <v>15017</v>
      </c>
      <c r="D18540" s="21" t="s">
        <v>34</v>
      </c>
      <c r="E18540" s="21" t="s">
        <v>254</v>
      </c>
      <c r="F18540">
        <v>13130100</v>
      </c>
      <c r="G18540" t="s">
        <v>2893</v>
      </c>
      <c r="H18540" s="21">
        <v>775.67</v>
      </c>
    </row>
    <row r="18541" spans="1:8" customFormat="1" x14ac:dyDescent="0.25">
      <c r="A18541" t="str">
        <f>"9144767"</f>
        <v>9144767</v>
      </c>
      <c r="B18541" t="s">
        <v>23412</v>
      </c>
      <c r="C18541" t="s">
        <v>27537</v>
      </c>
      <c r="D18541" s="21" t="s">
        <v>34</v>
      </c>
      <c r="E18541" s="21" t="s">
        <v>35</v>
      </c>
      <c r="F18541">
        <v>8911464</v>
      </c>
      <c r="G18541" t="s">
        <v>17832</v>
      </c>
      <c r="H18541" s="21">
        <v>775.67</v>
      </c>
    </row>
    <row r="18542" spans="1:8" customFormat="1" x14ac:dyDescent="0.25">
      <c r="A18542" t="str">
        <f>"3342408"</f>
        <v>3342408</v>
      </c>
      <c r="B18542" t="s">
        <v>18372</v>
      </c>
      <c r="C18542" t="s">
        <v>127</v>
      </c>
      <c r="D18542" s="21" t="s">
        <v>34</v>
      </c>
      <c r="E18542" s="21" t="s">
        <v>35</v>
      </c>
      <c r="F18542">
        <v>10330117</v>
      </c>
      <c r="G18542" t="s">
        <v>1942</v>
      </c>
      <c r="H18542" s="21">
        <v>775.54</v>
      </c>
    </row>
    <row r="18543" spans="1:8" customFormat="1" x14ac:dyDescent="0.25">
      <c r="A18543" t="str">
        <f>"7728495"</f>
        <v>7728495</v>
      </c>
      <c r="B18543" t="s">
        <v>136</v>
      </c>
      <c r="C18543" t="s">
        <v>269</v>
      </c>
      <c r="D18543" s="21" t="s">
        <v>34</v>
      </c>
      <c r="E18543" s="21" t="s">
        <v>71</v>
      </c>
      <c r="F18543">
        <v>8770562</v>
      </c>
      <c r="G18543" t="s">
        <v>4847</v>
      </c>
      <c r="H18543" s="21">
        <v>775.54</v>
      </c>
    </row>
    <row r="18544" spans="1:8" customFormat="1" x14ac:dyDescent="0.25">
      <c r="A18544" t="str">
        <f>"1612267"</f>
        <v>1612267</v>
      </c>
      <c r="B18544" t="s">
        <v>15267</v>
      </c>
      <c r="C18544" t="s">
        <v>2100</v>
      </c>
      <c r="D18544" s="21" t="s">
        <v>34</v>
      </c>
      <c r="E18544" s="21" t="s">
        <v>35</v>
      </c>
      <c r="F18544">
        <v>10160042</v>
      </c>
      <c r="G18544" t="s">
        <v>7461</v>
      </c>
      <c r="H18544" s="21">
        <v>775.42</v>
      </c>
    </row>
    <row r="18545" spans="1:8" customFormat="1" x14ac:dyDescent="0.25">
      <c r="A18545" t="str">
        <f>"8812707"</f>
        <v>8812707</v>
      </c>
      <c r="B18545" t="s">
        <v>3890</v>
      </c>
      <c r="C18545" t="s">
        <v>288</v>
      </c>
      <c r="D18545" s="21" t="s">
        <v>34</v>
      </c>
      <c r="E18545" s="21" t="s">
        <v>71</v>
      </c>
      <c r="F18545">
        <v>6880101</v>
      </c>
      <c r="G18545" t="s">
        <v>6841</v>
      </c>
      <c r="H18545" s="21">
        <v>775.42</v>
      </c>
    </row>
    <row r="18546" spans="1:8" customFormat="1" x14ac:dyDescent="0.25">
      <c r="A18546" t="str">
        <f>"9214105"</f>
        <v>9214105</v>
      </c>
      <c r="B18546" t="s">
        <v>146</v>
      </c>
      <c r="C18546" t="s">
        <v>171</v>
      </c>
      <c r="D18546" s="21" t="s">
        <v>34</v>
      </c>
      <c r="E18546" s="21" t="s">
        <v>71</v>
      </c>
      <c r="F18546">
        <v>8920076</v>
      </c>
      <c r="G18546" t="s">
        <v>2281</v>
      </c>
      <c r="H18546" s="21">
        <v>775.42</v>
      </c>
    </row>
    <row r="18547" spans="1:8" customFormat="1" x14ac:dyDescent="0.25">
      <c r="A18547" t="str">
        <f>"7616830"</f>
        <v>7616830</v>
      </c>
      <c r="B18547" t="s">
        <v>14352</v>
      </c>
      <c r="C18547" t="s">
        <v>202</v>
      </c>
      <c r="D18547" s="21" t="s">
        <v>34</v>
      </c>
      <c r="E18547" s="21" t="s">
        <v>254</v>
      </c>
      <c r="F18547">
        <v>9760425</v>
      </c>
      <c r="G18547" t="s">
        <v>5012</v>
      </c>
      <c r="H18547" s="21">
        <v>775.42</v>
      </c>
    </row>
    <row r="18548" spans="1:8" customFormat="1" x14ac:dyDescent="0.25">
      <c r="A18548" t="str">
        <f>"4521975"</f>
        <v>4521975</v>
      </c>
      <c r="B18548" t="s">
        <v>17035</v>
      </c>
      <c r="C18548" t="s">
        <v>139</v>
      </c>
      <c r="D18548" s="21" t="s">
        <v>34</v>
      </c>
      <c r="E18548" s="21" t="s">
        <v>35</v>
      </c>
      <c r="F18548">
        <v>4450759</v>
      </c>
      <c r="G18548" t="s">
        <v>6587</v>
      </c>
      <c r="H18548" s="21">
        <v>775.42</v>
      </c>
    </row>
    <row r="18549" spans="1:8" customFormat="1" x14ac:dyDescent="0.25">
      <c r="A18549" t="str">
        <f>"5112306"</f>
        <v>5112306</v>
      </c>
      <c r="B18549" t="s">
        <v>15453</v>
      </c>
      <c r="C18549" t="s">
        <v>269</v>
      </c>
      <c r="D18549" s="21" t="s">
        <v>34</v>
      </c>
      <c r="E18549" s="21" t="s">
        <v>71</v>
      </c>
      <c r="F18549">
        <v>6510077</v>
      </c>
      <c r="G18549" t="s">
        <v>756</v>
      </c>
      <c r="H18549" s="21">
        <v>775.17</v>
      </c>
    </row>
    <row r="18550" spans="1:8" customFormat="1" x14ac:dyDescent="0.25">
      <c r="A18550" t="str">
        <f>"3517188"</f>
        <v>3517188</v>
      </c>
      <c r="B18550" t="s">
        <v>14838</v>
      </c>
      <c r="C18550" t="s">
        <v>121</v>
      </c>
      <c r="D18550" s="21" t="s">
        <v>34</v>
      </c>
      <c r="E18550" s="21" t="s">
        <v>71</v>
      </c>
      <c r="F18550">
        <v>3350035</v>
      </c>
      <c r="G18550" t="s">
        <v>9970</v>
      </c>
      <c r="H18550" s="21">
        <v>775.17</v>
      </c>
    </row>
    <row r="18551" spans="1:8" customFormat="1" x14ac:dyDescent="0.25">
      <c r="A18551" t="str">
        <f>"6720215"</f>
        <v>6720215</v>
      </c>
      <c r="B18551" t="s">
        <v>16163</v>
      </c>
      <c r="C18551" t="s">
        <v>269</v>
      </c>
      <c r="D18551" s="21" t="s">
        <v>34</v>
      </c>
      <c r="E18551" s="21" t="s">
        <v>71</v>
      </c>
      <c r="F18551">
        <v>6670064</v>
      </c>
      <c r="G18551" t="s">
        <v>9358</v>
      </c>
      <c r="H18551" s="21">
        <v>775.17</v>
      </c>
    </row>
    <row r="18552" spans="1:8" customFormat="1" x14ac:dyDescent="0.25">
      <c r="A18552" t="str">
        <f>"629653"</f>
        <v>629653</v>
      </c>
      <c r="B18552" t="s">
        <v>10157</v>
      </c>
      <c r="C18552" t="s">
        <v>2479</v>
      </c>
      <c r="D18552" s="21" t="s">
        <v>34</v>
      </c>
      <c r="E18552" s="21" t="s">
        <v>254</v>
      </c>
      <c r="F18552">
        <v>7620062</v>
      </c>
      <c r="G18552" t="s">
        <v>12602</v>
      </c>
      <c r="H18552" s="21">
        <v>775.17</v>
      </c>
    </row>
    <row r="18553" spans="1:8" customFormat="1" x14ac:dyDescent="0.25">
      <c r="A18553" t="str">
        <f>"8013150"</f>
        <v>8013150</v>
      </c>
      <c r="B18553" t="s">
        <v>12643</v>
      </c>
      <c r="C18553" t="s">
        <v>60</v>
      </c>
      <c r="D18553" s="21" t="s">
        <v>34</v>
      </c>
      <c r="E18553" s="21" t="s">
        <v>71</v>
      </c>
      <c r="F18553">
        <v>7800005</v>
      </c>
      <c r="G18553" t="s">
        <v>6547</v>
      </c>
      <c r="H18553" s="21">
        <v>775.17</v>
      </c>
    </row>
    <row r="18554" spans="1:8" customFormat="1" x14ac:dyDescent="0.25">
      <c r="A18554" t="str">
        <f>"3316020"</f>
        <v>3316020</v>
      </c>
      <c r="B18554" t="s">
        <v>8643</v>
      </c>
      <c r="C18554" t="s">
        <v>415</v>
      </c>
      <c r="D18554" s="21" t="s">
        <v>34</v>
      </c>
      <c r="E18554" s="21" t="s">
        <v>35</v>
      </c>
      <c r="F18554">
        <v>10330125</v>
      </c>
      <c r="G18554" t="s">
        <v>3753</v>
      </c>
      <c r="H18554" s="21">
        <v>775.17</v>
      </c>
    </row>
    <row r="18555" spans="1:8" customFormat="1" x14ac:dyDescent="0.25">
      <c r="A18555" t="str">
        <f>"351129"</f>
        <v>351129</v>
      </c>
      <c r="B18555" t="s">
        <v>5118</v>
      </c>
      <c r="C18555" t="s">
        <v>415</v>
      </c>
      <c r="D18555" s="21" t="s">
        <v>34</v>
      </c>
      <c r="E18555" s="21" t="s">
        <v>254</v>
      </c>
      <c r="F18555">
        <v>3350065</v>
      </c>
      <c r="G18555" t="s">
        <v>5910</v>
      </c>
      <c r="H18555" s="21">
        <v>775.17</v>
      </c>
    </row>
    <row r="18556" spans="1:8" customFormat="1" x14ac:dyDescent="0.25">
      <c r="A18556" t="str">
        <f>"5314078"</f>
        <v>5314078</v>
      </c>
      <c r="B18556" t="s">
        <v>15443</v>
      </c>
      <c r="C18556" t="s">
        <v>1803</v>
      </c>
      <c r="D18556" s="21" t="s">
        <v>34</v>
      </c>
      <c r="E18556" s="21" t="s">
        <v>71</v>
      </c>
      <c r="F18556">
        <v>12530143</v>
      </c>
      <c r="G18556" t="s">
        <v>8386</v>
      </c>
      <c r="H18556" s="21">
        <v>775.17</v>
      </c>
    </row>
    <row r="18557" spans="1:8" customFormat="1" x14ac:dyDescent="0.25">
      <c r="A18557" t="str">
        <f>"60758"</f>
        <v>60758</v>
      </c>
      <c r="B18557" t="s">
        <v>1263</v>
      </c>
      <c r="C18557" t="s">
        <v>249</v>
      </c>
      <c r="D18557" s="21" t="s">
        <v>34</v>
      </c>
      <c r="E18557" s="21" t="s">
        <v>71</v>
      </c>
      <c r="F18557">
        <v>7600017</v>
      </c>
      <c r="G18557" t="s">
        <v>8498</v>
      </c>
      <c r="H18557" s="21">
        <v>775.17</v>
      </c>
    </row>
    <row r="18558" spans="1:8" customFormat="1" x14ac:dyDescent="0.25">
      <c r="A18558" t="str">
        <f>"317870"</f>
        <v>317870</v>
      </c>
      <c r="B18558" t="s">
        <v>15686</v>
      </c>
      <c r="C18558" t="s">
        <v>209</v>
      </c>
      <c r="D18558" s="21" t="s">
        <v>34</v>
      </c>
      <c r="E18558" s="21" t="s">
        <v>71</v>
      </c>
      <c r="F18558">
        <v>11310060</v>
      </c>
      <c r="G18558" t="s">
        <v>2448</v>
      </c>
      <c r="H18558" s="21">
        <v>775.17</v>
      </c>
    </row>
    <row r="18559" spans="1:8" customFormat="1" x14ac:dyDescent="0.25">
      <c r="A18559" t="str">
        <f>"068100"</f>
        <v>068100</v>
      </c>
      <c r="B18559" t="s">
        <v>16204</v>
      </c>
      <c r="C18559" t="s">
        <v>109</v>
      </c>
      <c r="D18559" s="21" t="s">
        <v>34</v>
      </c>
      <c r="E18559" s="21" t="s">
        <v>35</v>
      </c>
      <c r="F18559">
        <v>13060119</v>
      </c>
      <c r="G18559" t="s">
        <v>6179</v>
      </c>
      <c r="H18559" s="21">
        <v>775.17</v>
      </c>
    </row>
    <row r="18560" spans="1:8" customFormat="1" x14ac:dyDescent="0.25">
      <c r="A18560" t="str">
        <f>"5910708"</f>
        <v>5910708</v>
      </c>
      <c r="B18560" t="s">
        <v>15316</v>
      </c>
      <c r="C18560" t="s">
        <v>15317</v>
      </c>
      <c r="D18560" s="21" t="s">
        <v>34</v>
      </c>
      <c r="E18560" s="21" t="s">
        <v>71</v>
      </c>
      <c r="F18560">
        <v>7590173</v>
      </c>
      <c r="G18560" t="s">
        <v>5675</v>
      </c>
      <c r="H18560" s="21">
        <v>775.17</v>
      </c>
    </row>
    <row r="18561" spans="1:8" customFormat="1" x14ac:dyDescent="0.25">
      <c r="A18561" t="str">
        <f>"3526738"</f>
        <v>3526738</v>
      </c>
      <c r="B18561" t="s">
        <v>14703</v>
      </c>
      <c r="C18561" t="s">
        <v>263</v>
      </c>
      <c r="D18561" s="21" t="s">
        <v>34</v>
      </c>
      <c r="E18561" s="21" t="s">
        <v>35</v>
      </c>
      <c r="F18561">
        <v>3350210</v>
      </c>
      <c r="G18561" t="s">
        <v>12171</v>
      </c>
      <c r="H18561" s="21">
        <v>775.17</v>
      </c>
    </row>
    <row r="18562" spans="1:8" customFormat="1" x14ac:dyDescent="0.25">
      <c r="A18562" t="str">
        <f>"9134192"</f>
        <v>9134192</v>
      </c>
      <c r="B18562" t="s">
        <v>2873</v>
      </c>
      <c r="C18562" t="s">
        <v>90</v>
      </c>
      <c r="D18562" s="21" t="s">
        <v>34</v>
      </c>
      <c r="E18562" s="21" t="s">
        <v>71</v>
      </c>
      <c r="F18562">
        <v>8910861</v>
      </c>
      <c r="G18562" t="s">
        <v>1120</v>
      </c>
      <c r="H18562" s="21">
        <v>775.17</v>
      </c>
    </row>
    <row r="18563" spans="1:8" customFormat="1" x14ac:dyDescent="0.25">
      <c r="A18563" t="str">
        <f>"219957"</f>
        <v>219957</v>
      </c>
      <c r="B18563" t="s">
        <v>146</v>
      </c>
      <c r="C18563" t="s">
        <v>253</v>
      </c>
      <c r="D18563" s="21" t="s">
        <v>34</v>
      </c>
      <c r="E18563" s="21" t="s">
        <v>71</v>
      </c>
      <c r="F18563">
        <v>2210007</v>
      </c>
      <c r="G18563" t="s">
        <v>26848</v>
      </c>
      <c r="H18563" s="21">
        <v>775.17</v>
      </c>
    </row>
    <row r="18564" spans="1:8" customFormat="1" x14ac:dyDescent="0.25">
      <c r="A18564" t="str">
        <f>"5011741"</f>
        <v>5011741</v>
      </c>
      <c r="B18564" t="s">
        <v>14771</v>
      </c>
      <c r="C18564" t="s">
        <v>2520</v>
      </c>
      <c r="D18564" s="21" t="s">
        <v>34</v>
      </c>
      <c r="E18564" s="21" t="s">
        <v>254</v>
      </c>
      <c r="F18564">
        <v>9500131</v>
      </c>
      <c r="G18564" t="s">
        <v>1073</v>
      </c>
      <c r="H18564" s="21">
        <v>775.17</v>
      </c>
    </row>
    <row r="18565" spans="1:8" customFormat="1" x14ac:dyDescent="0.25">
      <c r="A18565" t="str">
        <f>"905"</f>
        <v>905</v>
      </c>
      <c r="B18565" t="s">
        <v>14725</v>
      </c>
      <c r="C18565" t="s">
        <v>507</v>
      </c>
      <c r="D18565" s="21" t="s">
        <v>34</v>
      </c>
      <c r="E18565" s="21" t="s">
        <v>254</v>
      </c>
      <c r="F18565">
        <v>2900046</v>
      </c>
      <c r="G18565" t="s">
        <v>4101</v>
      </c>
      <c r="H18565" s="21">
        <v>775.17</v>
      </c>
    </row>
    <row r="18566" spans="1:8" customFormat="1" x14ac:dyDescent="0.25">
      <c r="A18566" t="str">
        <f>"721874"</f>
        <v>721874</v>
      </c>
      <c r="B18566" t="s">
        <v>14837</v>
      </c>
      <c r="C18566" t="s">
        <v>169</v>
      </c>
      <c r="D18566" s="21" t="s">
        <v>34</v>
      </c>
      <c r="E18566" s="21" t="s">
        <v>71</v>
      </c>
      <c r="F18566">
        <v>12720062</v>
      </c>
      <c r="G18566" t="s">
        <v>4026</v>
      </c>
      <c r="H18566" s="21">
        <v>775.17</v>
      </c>
    </row>
    <row r="18567" spans="1:8" customFormat="1" x14ac:dyDescent="0.25">
      <c r="A18567" t="str">
        <f>"781571"</f>
        <v>781571</v>
      </c>
      <c r="B18567" t="s">
        <v>2243</v>
      </c>
      <c r="C18567" t="s">
        <v>33</v>
      </c>
      <c r="D18567" s="21" t="s">
        <v>34</v>
      </c>
      <c r="E18567" s="21" t="s">
        <v>35</v>
      </c>
      <c r="F18567">
        <v>8780660</v>
      </c>
      <c r="G18567" t="s">
        <v>2801</v>
      </c>
      <c r="H18567" s="21">
        <v>775.17</v>
      </c>
    </row>
    <row r="18568" spans="1:8" customFormat="1" x14ac:dyDescent="0.25">
      <c r="A18568" t="str">
        <f>"5431646"</f>
        <v>5431646</v>
      </c>
      <c r="B18568" t="s">
        <v>17910</v>
      </c>
      <c r="C18568" t="s">
        <v>156</v>
      </c>
      <c r="D18568" s="21" t="s">
        <v>34</v>
      </c>
      <c r="E18568" s="21" t="s">
        <v>71</v>
      </c>
      <c r="F18568">
        <v>6540192</v>
      </c>
      <c r="G18568" t="s">
        <v>3644</v>
      </c>
      <c r="H18568" s="21">
        <v>775.17</v>
      </c>
    </row>
    <row r="18569" spans="1:8" customFormat="1" x14ac:dyDescent="0.25">
      <c r="A18569" t="str">
        <f>"501482"</f>
        <v>501482</v>
      </c>
      <c r="B18569" t="s">
        <v>13292</v>
      </c>
      <c r="C18569" t="s">
        <v>720</v>
      </c>
      <c r="D18569" s="21" t="s">
        <v>34</v>
      </c>
      <c r="E18569" s="21" t="s">
        <v>1089</v>
      </c>
      <c r="F18569">
        <v>9500112</v>
      </c>
      <c r="G18569" t="s">
        <v>1668</v>
      </c>
      <c r="H18569" s="21">
        <v>775.17</v>
      </c>
    </row>
    <row r="18570" spans="1:8" customFormat="1" x14ac:dyDescent="0.25">
      <c r="A18570" t="str">
        <f>"629943"</f>
        <v>629943</v>
      </c>
      <c r="B18570" t="s">
        <v>14298</v>
      </c>
      <c r="C18570" t="s">
        <v>239</v>
      </c>
      <c r="D18570" s="21" t="s">
        <v>34</v>
      </c>
      <c r="E18570" s="21" t="s">
        <v>254</v>
      </c>
      <c r="F18570">
        <v>7620153</v>
      </c>
      <c r="G18570" t="s">
        <v>5104</v>
      </c>
      <c r="H18570" s="21">
        <v>775.17</v>
      </c>
    </row>
    <row r="18571" spans="1:8" customFormat="1" x14ac:dyDescent="0.25">
      <c r="A18571" t="str">
        <f>"784935"</f>
        <v>784935</v>
      </c>
      <c r="B18571" t="s">
        <v>765</v>
      </c>
      <c r="C18571" t="s">
        <v>5368</v>
      </c>
      <c r="D18571" s="21" t="s">
        <v>34</v>
      </c>
      <c r="E18571" s="21" t="s">
        <v>71</v>
      </c>
      <c r="F18571">
        <v>8781006</v>
      </c>
      <c r="G18571" t="s">
        <v>5376</v>
      </c>
      <c r="H18571" s="21">
        <v>775.17</v>
      </c>
    </row>
    <row r="18572" spans="1:8" customFormat="1" x14ac:dyDescent="0.25">
      <c r="A18572" t="str">
        <f>"798221"</f>
        <v>798221</v>
      </c>
      <c r="B18572" t="s">
        <v>1497</v>
      </c>
      <c r="C18572" t="s">
        <v>926</v>
      </c>
      <c r="D18572" s="21" t="s">
        <v>34</v>
      </c>
      <c r="E18572" s="21" t="s">
        <v>71</v>
      </c>
      <c r="F18572">
        <v>10790036</v>
      </c>
      <c r="G18572" t="s">
        <v>4946</v>
      </c>
      <c r="H18572" s="21">
        <v>775.17</v>
      </c>
    </row>
    <row r="18573" spans="1:8" customFormat="1" x14ac:dyDescent="0.25">
      <c r="A18573" t="str">
        <f>"5964047"</f>
        <v>5964047</v>
      </c>
      <c r="B18573" t="s">
        <v>15438</v>
      </c>
      <c r="C18573" t="s">
        <v>127</v>
      </c>
      <c r="D18573" s="21" t="s">
        <v>34</v>
      </c>
      <c r="E18573" s="21" t="s">
        <v>35</v>
      </c>
      <c r="F18573">
        <v>7590021</v>
      </c>
      <c r="G18573" t="s">
        <v>4910</v>
      </c>
      <c r="H18573" s="21">
        <v>774.92</v>
      </c>
    </row>
    <row r="18574" spans="1:8" customFormat="1" x14ac:dyDescent="0.25">
      <c r="A18574" t="str">
        <f>"604390"</f>
        <v>604390</v>
      </c>
      <c r="B18574" t="s">
        <v>16266</v>
      </c>
      <c r="C18574" t="s">
        <v>33</v>
      </c>
      <c r="D18574" s="21" t="s">
        <v>34</v>
      </c>
      <c r="E18574" s="21" t="s">
        <v>35</v>
      </c>
      <c r="F18574">
        <v>8951273</v>
      </c>
      <c r="G18574" t="s">
        <v>2382</v>
      </c>
      <c r="H18574" s="21">
        <v>774.92</v>
      </c>
    </row>
    <row r="18575" spans="1:8" customFormat="1" x14ac:dyDescent="0.25">
      <c r="A18575" t="str">
        <f>"724391"</f>
        <v>724391</v>
      </c>
      <c r="B18575" t="s">
        <v>14897</v>
      </c>
      <c r="C18575" t="s">
        <v>598</v>
      </c>
      <c r="D18575" s="21" t="s">
        <v>34</v>
      </c>
      <c r="E18575" s="21" t="s">
        <v>1089</v>
      </c>
      <c r="F18575">
        <v>12720004</v>
      </c>
      <c r="G18575" t="s">
        <v>2328</v>
      </c>
      <c r="H18575" s="21">
        <v>774.92</v>
      </c>
    </row>
    <row r="18576" spans="1:8" customFormat="1" x14ac:dyDescent="0.25">
      <c r="A18576" t="str">
        <f>"428292"</f>
        <v>428292</v>
      </c>
      <c r="B18576" t="s">
        <v>27538</v>
      </c>
      <c r="C18576" t="s">
        <v>55</v>
      </c>
      <c r="D18576" s="21" t="s">
        <v>34</v>
      </c>
      <c r="E18576" s="21" t="s">
        <v>35</v>
      </c>
      <c r="F18576">
        <v>1690186</v>
      </c>
      <c r="G18576" t="s">
        <v>438</v>
      </c>
      <c r="H18576" s="21">
        <v>774.67</v>
      </c>
    </row>
    <row r="18577" spans="1:8" customFormat="1" x14ac:dyDescent="0.25">
      <c r="A18577" t="str">
        <f>"5113391"</f>
        <v>5113391</v>
      </c>
      <c r="B18577" t="s">
        <v>15899</v>
      </c>
      <c r="C18577" t="s">
        <v>269</v>
      </c>
      <c r="D18577" s="21" t="s">
        <v>34</v>
      </c>
      <c r="E18577" s="21" t="s">
        <v>254</v>
      </c>
      <c r="F18577">
        <v>6510002</v>
      </c>
      <c r="G18577" t="s">
        <v>4588</v>
      </c>
      <c r="H18577" s="21">
        <v>774.67</v>
      </c>
    </row>
    <row r="18578" spans="1:8" customFormat="1" x14ac:dyDescent="0.25">
      <c r="A18578" t="str">
        <f>"696672"</f>
        <v>696672</v>
      </c>
      <c r="B18578" t="s">
        <v>7879</v>
      </c>
      <c r="C18578" t="s">
        <v>3456</v>
      </c>
      <c r="D18578" s="21" t="s">
        <v>34</v>
      </c>
      <c r="E18578" s="21" t="s">
        <v>71</v>
      </c>
      <c r="F18578">
        <v>1690041</v>
      </c>
      <c r="G18578" t="s">
        <v>7892</v>
      </c>
      <c r="H18578" s="21">
        <v>774.67</v>
      </c>
    </row>
    <row r="18579" spans="1:8" customFormat="1" x14ac:dyDescent="0.25">
      <c r="A18579" t="str">
        <f>"2910220"</f>
        <v>2910220</v>
      </c>
      <c r="B18579" t="s">
        <v>14515</v>
      </c>
      <c r="C18579" t="s">
        <v>40</v>
      </c>
      <c r="D18579" s="21" t="s">
        <v>34</v>
      </c>
      <c r="E18579" s="21" t="s">
        <v>254</v>
      </c>
      <c r="F18579">
        <v>3290090</v>
      </c>
      <c r="G18579" t="s">
        <v>1390</v>
      </c>
      <c r="H18579" s="21">
        <v>774.67</v>
      </c>
    </row>
    <row r="18580" spans="1:8" customFormat="1" x14ac:dyDescent="0.25">
      <c r="A18580" t="str">
        <f>"3114015"</f>
        <v>3114015</v>
      </c>
      <c r="B18580" t="s">
        <v>15735</v>
      </c>
      <c r="C18580" t="s">
        <v>269</v>
      </c>
      <c r="D18580" s="21" t="s">
        <v>34</v>
      </c>
      <c r="E18580" s="21" t="s">
        <v>35</v>
      </c>
      <c r="F18580">
        <v>11310064</v>
      </c>
      <c r="G18580" t="s">
        <v>931</v>
      </c>
      <c r="H18580" s="21">
        <v>774.67</v>
      </c>
    </row>
    <row r="18581" spans="1:8" customFormat="1" x14ac:dyDescent="0.25">
      <c r="A18581" t="str">
        <f>"593337"</f>
        <v>593337</v>
      </c>
      <c r="B18581" t="s">
        <v>6721</v>
      </c>
      <c r="C18581" t="s">
        <v>462</v>
      </c>
      <c r="D18581" s="21" t="s">
        <v>34</v>
      </c>
      <c r="E18581" s="21" t="s">
        <v>71</v>
      </c>
      <c r="F18581">
        <v>7590194</v>
      </c>
      <c r="G18581" t="s">
        <v>460</v>
      </c>
      <c r="H18581" s="21">
        <v>774.67</v>
      </c>
    </row>
    <row r="18582" spans="1:8" customFormat="1" x14ac:dyDescent="0.25">
      <c r="A18582" t="str">
        <f>"904146"</f>
        <v>904146</v>
      </c>
      <c r="B18582" t="s">
        <v>16613</v>
      </c>
      <c r="C18582" t="s">
        <v>33</v>
      </c>
      <c r="D18582" s="21" t="s">
        <v>34</v>
      </c>
      <c r="E18582" s="21" t="s">
        <v>71</v>
      </c>
      <c r="F18582">
        <v>2900028</v>
      </c>
      <c r="G18582" t="s">
        <v>1541</v>
      </c>
      <c r="H18582" s="21">
        <v>774.67</v>
      </c>
    </row>
    <row r="18583" spans="1:8" customFormat="1" x14ac:dyDescent="0.25">
      <c r="A18583" t="str">
        <f>"8011753"</f>
        <v>8011753</v>
      </c>
      <c r="B18583" t="s">
        <v>12483</v>
      </c>
      <c r="C18583" t="s">
        <v>2479</v>
      </c>
      <c r="D18583" s="21" t="s">
        <v>34</v>
      </c>
      <c r="E18583" s="21" t="s">
        <v>254</v>
      </c>
      <c r="F18583">
        <v>7800062</v>
      </c>
      <c r="G18583" t="s">
        <v>5176</v>
      </c>
      <c r="H18583" s="21">
        <v>774.67</v>
      </c>
    </row>
    <row r="18584" spans="1:8" customFormat="1" x14ac:dyDescent="0.25">
      <c r="A18584" t="str">
        <f>"605960"</f>
        <v>605960</v>
      </c>
      <c r="B18584" t="s">
        <v>15080</v>
      </c>
      <c r="C18584" t="s">
        <v>1025</v>
      </c>
      <c r="D18584" s="21" t="s">
        <v>34</v>
      </c>
      <c r="E18584" s="21" t="s">
        <v>254</v>
      </c>
      <c r="F18584">
        <v>7600081</v>
      </c>
      <c r="G18584" t="s">
        <v>5845</v>
      </c>
      <c r="H18584" s="21">
        <v>774.67</v>
      </c>
    </row>
    <row r="18585" spans="1:8" customFormat="1" x14ac:dyDescent="0.25">
      <c r="A18585" t="str">
        <f>"9522450"</f>
        <v>9522450</v>
      </c>
      <c r="B18585" t="s">
        <v>788</v>
      </c>
      <c r="C18585" t="s">
        <v>233</v>
      </c>
      <c r="D18585" s="21" t="s">
        <v>34</v>
      </c>
      <c r="E18585" s="21" t="s">
        <v>71</v>
      </c>
      <c r="F18585">
        <v>8950974</v>
      </c>
      <c r="G18585" t="s">
        <v>6615</v>
      </c>
      <c r="H18585" s="21">
        <v>774.67</v>
      </c>
    </row>
    <row r="18586" spans="1:8" customFormat="1" x14ac:dyDescent="0.25">
      <c r="A18586" t="str">
        <f>"6218337"</f>
        <v>6218337</v>
      </c>
      <c r="B18586" t="s">
        <v>16828</v>
      </c>
      <c r="C18586" t="s">
        <v>109</v>
      </c>
      <c r="D18586" s="21" t="s">
        <v>34</v>
      </c>
      <c r="E18586" s="21" t="s">
        <v>35</v>
      </c>
      <c r="F18586">
        <v>7620048</v>
      </c>
      <c r="G18586" t="s">
        <v>7467</v>
      </c>
      <c r="H18586" s="21">
        <v>774.67</v>
      </c>
    </row>
    <row r="18587" spans="1:8" customFormat="1" x14ac:dyDescent="0.25">
      <c r="A18587" t="str">
        <f>"6021263"</f>
        <v>6021263</v>
      </c>
      <c r="B18587" t="s">
        <v>3629</v>
      </c>
      <c r="C18587" t="s">
        <v>17540</v>
      </c>
      <c r="D18587" s="21" t="s">
        <v>34</v>
      </c>
      <c r="E18587" s="21" t="s">
        <v>35</v>
      </c>
      <c r="F18587">
        <v>7600008</v>
      </c>
      <c r="G18587" t="s">
        <v>4646</v>
      </c>
      <c r="H18587" s="21">
        <v>774.67</v>
      </c>
    </row>
    <row r="18588" spans="1:8" customFormat="1" x14ac:dyDescent="0.25">
      <c r="A18588" t="str">
        <f>"4526600"</f>
        <v>4526600</v>
      </c>
      <c r="B18588" t="s">
        <v>4483</v>
      </c>
      <c r="C18588" t="s">
        <v>33</v>
      </c>
      <c r="D18588" s="21" t="s">
        <v>34</v>
      </c>
      <c r="E18588" s="21" t="s">
        <v>35</v>
      </c>
      <c r="F18588">
        <v>4450285</v>
      </c>
      <c r="G18588" t="s">
        <v>7118</v>
      </c>
      <c r="H18588" s="21">
        <v>774.67</v>
      </c>
    </row>
    <row r="18589" spans="1:8" customFormat="1" x14ac:dyDescent="0.25">
      <c r="A18589" t="str">
        <f>"5617760"</f>
        <v>5617760</v>
      </c>
      <c r="B18589" t="s">
        <v>1986</v>
      </c>
      <c r="C18589" t="s">
        <v>1605</v>
      </c>
      <c r="D18589" s="21" t="s">
        <v>34</v>
      </c>
      <c r="E18589" s="21" t="s">
        <v>71</v>
      </c>
      <c r="F18589">
        <v>3560096</v>
      </c>
      <c r="G18589" t="s">
        <v>2771</v>
      </c>
      <c r="H18589" s="21">
        <v>774.67</v>
      </c>
    </row>
    <row r="18590" spans="1:8" customFormat="1" x14ac:dyDescent="0.25">
      <c r="A18590" t="str">
        <f>"0211461"</f>
        <v>0211461</v>
      </c>
      <c r="B18590" t="s">
        <v>14572</v>
      </c>
      <c r="C18590" t="s">
        <v>415</v>
      </c>
      <c r="D18590" s="21" t="s">
        <v>34</v>
      </c>
      <c r="E18590" s="21" t="s">
        <v>71</v>
      </c>
      <c r="F18590">
        <v>7021010</v>
      </c>
      <c r="G18590" t="s">
        <v>10493</v>
      </c>
      <c r="H18590" s="21">
        <v>774.67</v>
      </c>
    </row>
    <row r="18591" spans="1:8" customFormat="1" x14ac:dyDescent="0.25">
      <c r="A18591" t="str">
        <f>"878383"</f>
        <v>878383</v>
      </c>
      <c r="B18591" t="s">
        <v>15314</v>
      </c>
      <c r="C18591" t="s">
        <v>33</v>
      </c>
      <c r="D18591" s="21" t="s">
        <v>34</v>
      </c>
      <c r="E18591" s="21" t="s">
        <v>71</v>
      </c>
      <c r="F18591">
        <v>10870130</v>
      </c>
      <c r="G18591" t="s">
        <v>7564</v>
      </c>
      <c r="H18591" s="21">
        <v>774.67</v>
      </c>
    </row>
    <row r="18592" spans="1:8" customFormat="1" x14ac:dyDescent="0.25">
      <c r="A18592" t="str">
        <f>"1315964"</f>
        <v>1315964</v>
      </c>
      <c r="B18592" t="s">
        <v>16565</v>
      </c>
      <c r="C18592" t="s">
        <v>114</v>
      </c>
      <c r="D18592" s="21" t="s">
        <v>34</v>
      </c>
      <c r="E18592" s="21" t="s">
        <v>71</v>
      </c>
      <c r="F18592">
        <v>13130067</v>
      </c>
      <c r="G18592" t="s">
        <v>1420</v>
      </c>
      <c r="H18592" s="21">
        <v>774.67</v>
      </c>
    </row>
    <row r="18593" spans="1:8" customFormat="1" x14ac:dyDescent="0.25">
      <c r="A18593" t="str">
        <f>"8511585"</f>
        <v>8511585</v>
      </c>
      <c r="B18593" t="s">
        <v>14647</v>
      </c>
      <c r="C18593" t="s">
        <v>269</v>
      </c>
      <c r="D18593" s="21" t="s">
        <v>34</v>
      </c>
      <c r="E18593" s="21" t="s">
        <v>71</v>
      </c>
      <c r="F18593">
        <v>12850091</v>
      </c>
      <c r="G18593" t="s">
        <v>4233</v>
      </c>
      <c r="H18593" s="21">
        <v>774.67</v>
      </c>
    </row>
    <row r="18594" spans="1:8" customFormat="1" x14ac:dyDescent="0.25">
      <c r="A18594" t="str">
        <f>"5424316"</f>
        <v>5424316</v>
      </c>
      <c r="B18594" t="s">
        <v>14241</v>
      </c>
      <c r="C18594" t="s">
        <v>217</v>
      </c>
      <c r="D18594" s="21" t="s">
        <v>34</v>
      </c>
      <c r="E18594" s="21" t="s">
        <v>71</v>
      </c>
      <c r="F18594">
        <v>6540097</v>
      </c>
      <c r="G18594" t="s">
        <v>12434</v>
      </c>
      <c r="H18594" s="21">
        <v>774.67</v>
      </c>
    </row>
    <row r="18595" spans="1:8" customFormat="1" x14ac:dyDescent="0.25">
      <c r="A18595" t="str">
        <f>"6230869"</f>
        <v>6230869</v>
      </c>
      <c r="B18595" t="s">
        <v>14589</v>
      </c>
      <c r="C18595" t="s">
        <v>33</v>
      </c>
      <c r="D18595" s="21" t="s">
        <v>34</v>
      </c>
      <c r="E18595" s="21" t="s">
        <v>35</v>
      </c>
      <c r="F18595">
        <v>7620044</v>
      </c>
      <c r="G18595" t="s">
        <v>2961</v>
      </c>
      <c r="H18595" s="21">
        <v>774.67</v>
      </c>
    </row>
    <row r="18596" spans="1:8" customFormat="1" x14ac:dyDescent="0.25">
      <c r="A18596" t="str">
        <f>"7217966"</f>
        <v>7217966</v>
      </c>
      <c r="B18596" t="s">
        <v>2058</v>
      </c>
      <c r="C18596" t="s">
        <v>267</v>
      </c>
      <c r="D18596" s="21" t="s">
        <v>34</v>
      </c>
      <c r="E18596" s="21" t="s">
        <v>254</v>
      </c>
      <c r="F18596">
        <v>12720021</v>
      </c>
      <c r="G18596" t="s">
        <v>3329</v>
      </c>
      <c r="H18596" s="21">
        <v>774.54</v>
      </c>
    </row>
    <row r="18597" spans="1:8" customFormat="1" x14ac:dyDescent="0.25">
      <c r="A18597" t="str">
        <f>"839959"</f>
        <v>839959</v>
      </c>
      <c r="B18597" t="s">
        <v>14610</v>
      </c>
      <c r="C18597" t="s">
        <v>209</v>
      </c>
      <c r="D18597" s="21" t="s">
        <v>34</v>
      </c>
      <c r="E18597" s="21" t="s">
        <v>71</v>
      </c>
      <c r="F18597">
        <v>13830014</v>
      </c>
      <c r="G18597" t="s">
        <v>5757</v>
      </c>
      <c r="H18597" s="21">
        <v>774.42</v>
      </c>
    </row>
    <row r="18598" spans="1:8" customFormat="1" x14ac:dyDescent="0.25">
      <c r="A18598" t="str">
        <f>"3710080"</f>
        <v>3710080</v>
      </c>
      <c r="B18598" t="s">
        <v>15489</v>
      </c>
      <c r="C18598" t="s">
        <v>3648</v>
      </c>
      <c r="D18598" s="21" t="s">
        <v>34</v>
      </c>
      <c r="E18598" s="21" t="s">
        <v>254</v>
      </c>
      <c r="F18598">
        <v>4370030</v>
      </c>
      <c r="G18598" t="s">
        <v>14081</v>
      </c>
      <c r="H18598" s="21">
        <v>774.42</v>
      </c>
    </row>
    <row r="18599" spans="1:8" customFormat="1" x14ac:dyDescent="0.25">
      <c r="A18599" t="str">
        <f>"4410132"</f>
        <v>4410132</v>
      </c>
      <c r="B18599" t="s">
        <v>15475</v>
      </c>
      <c r="C18599" t="s">
        <v>236</v>
      </c>
      <c r="D18599" s="21" t="s">
        <v>34</v>
      </c>
      <c r="E18599" s="21" t="s">
        <v>71</v>
      </c>
      <c r="F18599">
        <v>12440152</v>
      </c>
      <c r="G18599" t="s">
        <v>5481</v>
      </c>
      <c r="H18599" s="21">
        <v>774.42</v>
      </c>
    </row>
    <row r="18600" spans="1:8" customFormat="1" x14ac:dyDescent="0.25">
      <c r="A18600" t="str">
        <f>"9137066"</f>
        <v>9137066</v>
      </c>
      <c r="B18600" t="s">
        <v>16652</v>
      </c>
      <c r="C18600" t="s">
        <v>87</v>
      </c>
      <c r="D18600" s="21" t="s">
        <v>34</v>
      </c>
      <c r="E18600" s="21" t="s">
        <v>71</v>
      </c>
      <c r="F18600">
        <v>8910366</v>
      </c>
      <c r="G18600" t="s">
        <v>14371</v>
      </c>
      <c r="H18600" s="21">
        <v>774.29</v>
      </c>
    </row>
    <row r="18601" spans="1:8" customFormat="1" x14ac:dyDescent="0.25">
      <c r="A18601" t="str">
        <f>"9424055"</f>
        <v>9424055</v>
      </c>
      <c r="B18601" t="s">
        <v>1883</v>
      </c>
      <c r="C18601" t="s">
        <v>269</v>
      </c>
      <c r="D18601" s="21" t="s">
        <v>34</v>
      </c>
      <c r="E18601" s="21" t="s">
        <v>71</v>
      </c>
      <c r="F18601">
        <v>8940894</v>
      </c>
      <c r="G18601" t="s">
        <v>481</v>
      </c>
      <c r="H18601" s="21">
        <v>774.29</v>
      </c>
    </row>
    <row r="18602" spans="1:8" customFormat="1" x14ac:dyDescent="0.25">
      <c r="A18602" t="str">
        <f>"1610465"</f>
        <v>1610465</v>
      </c>
      <c r="B18602" t="s">
        <v>14793</v>
      </c>
      <c r="C18602" t="s">
        <v>211</v>
      </c>
      <c r="D18602" s="21" t="s">
        <v>34</v>
      </c>
      <c r="E18602" s="21" t="s">
        <v>254</v>
      </c>
      <c r="F18602">
        <v>10170028</v>
      </c>
      <c r="G18602" t="s">
        <v>649</v>
      </c>
      <c r="H18602" s="21">
        <v>774.17</v>
      </c>
    </row>
    <row r="18603" spans="1:8" customFormat="1" x14ac:dyDescent="0.25">
      <c r="A18603" t="str">
        <f>"213416"</f>
        <v>213416</v>
      </c>
      <c r="B18603" t="s">
        <v>15672</v>
      </c>
      <c r="C18603" t="s">
        <v>246</v>
      </c>
      <c r="D18603" s="21" t="s">
        <v>34</v>
      </c>
      <c r="E18603" s="21" t="s">
        <v>71</v>
      </c>
      <c r="F18603">
        <v>2210089</v>
      </c>
      <c r="G18603" t="s">
        <v>6144</v>
      </c>
      <c r="H18603" s="21">
        <v>774.17</v>
      </c>
    </row>
    <row r="18604" spans="1:8" customFormat="1" x14ac:dyDescent="0.25">
      <c r="A18604" t="str">
        <f>"3012034"</f>
        <v>3012034</v>
      </c>
      <c r="B18604" t="s">
        <v>16924</v>
      </c>
      <c r="C18604" t="s">
        <v>33</v>
      </c>
      <c r="D18604" s="21" t="s">
        <v>34</v>
      </c>
      <c r="E18604" s="21" t="s">
        <v>71</v>
      </c>
      <c r="F18604">
        <v>11300047</v>
      </c>
      <c r="G18604" t="s">
        <v>9549</v>
      </c>
      <c r="H18604" s="21">
        <v>774.17</v>
      </c>
    </row>
    <row r="18605" spans="1:8" customFormat="1" x14ac:dyDescent="0.25">
      <c r="A18605" t="str">
        <f>"9311245"</f>
        <v>9311245</v>
      </c>
      <c r="B18605" t="s">
        <v>13748</v>
      </c>
      <c r="C18605" t="s">
        <v>87</v>
      </c>
      <c r="D18605" s="21" t="s">
        <v>34</v>
      </c>
      <c r="E18605" s="21" t="s">
        <v>35</v>
      </c>
      <c r="F18605">
        <v>11340017</v>
      </c>
      <c r="G18605" t="s">
        <v>10668</v>
      </c>
      <c r="H18605" s="21">
        <v>774.17</v>
      </c>
    </row>
    <row r="18606" spans="1:8" customFormat="1" x14ac:dyDescent="0.25">
      <c r="A18606" t="str">
        <f>"2516972"</f>
        <v>2516972</v>
      </c>
      <c r="B18606" t="s">
        <v>17492</v>
      </c>
      <c r="C18606" t="s">
        <v>87</v>
      </c>
      <c r="D18606" s="21" t="s">
        <v>34</v>
      </c>
      <c r="E18606" s="21" t="s">
        <v>35</v>
      </c>
      <c r="F18606">
        <v>2250002</v>
      </c>
      <c r="G18606" t="s">
        <v>2745</v>
      </c>
      <c r="H18606" s="21">
        <v>774.17</v>
      </c>
    </row>
    <row r="18607" spans="1:8" customFormat="1" x14ac:dyDescent="0.25">
      <c r="A18607" t="str">
        <f>"423758"</f>
        <v>423758</v>
      </c>
      <c r="B18607" t="s">
        <v>15146</v>
      </c>
      <c r="C18607" t="s">
        <v>239</v>
      </c>
      <c r="D18607" s="21" t="s">
        <v>34</v>
      </c>
      <c r="E18607" s="21" t="s">
        <v>71</v>
      </c>
      <c r="F18607">
        <v>1420055</v>
      </c>
      <c r="G18607" t="s">
        <v>5421</v>
      </c>
      <c r="H18607" s="21">
        <v>774.17</v>
      </c>
    </row>
    <row r="18608" spans="1:8" customFormat="1" x14ac:dyDescent="0.25">
      <c r="A18608" t="str">
        <f>"648564"</f>
        <v>648564</v>
      </c>
      <c r="B18608" t="s">
        <v>17066</v>
      </c>
      <c r="C18608" t="s">
        <v>204</v>
      </c>
      <c r="D18608" s="21" t="s">
        <v>34</v>
      </c>
      <c r="E18608" s="21" t="s">
        <v>71</v>
      </c>
      <c r="F18608">
        <v>10640017</v>
      </c>
      <c r="G18608" t="s">
        <v>2454</v>
      </c>
      <c r="H18608" s="21">
        <v>774.17</v>
      </c>
    </row>
    <row r="18609" spans="1:8" customFormat="1" x14ac:dyDescent="0.25">
      <c r="A18609" t="str">
        <f>"6218911"</f>
        <v>6218911</v>
      </c>
      <c r="B18609" t="s">
        <v>26860</v>
      </c>
      <c r="C18609" t="s">
        <v>169</v>
      </c>
      <c r="D18609" s="21" t="s">
        <v>34</v>
      </c>
      <c r="E18609" s="21" t="s">
        <v>35</v>
      </c>
      <c r="F18609">
        <v>7620057</v>
      </c>
      <c r="G18609" t="s">
        <v>184</v>
      </c>
      <c r="H18609" s="21">
        <v>774.17</v>
      </c>
    </row>
    <row r="18610" spans="1:8" customFormat="1" x14ac:dyDescent="0.25">
      <c r="A18610" t="str">
        <f>"621074"</f>
        <v>621074</v>
      </c>
      <c r="B18610" t="s">
        <v>13922</v>
      </c>
      <c r="C18610" t="s">
        <v>528</v>
      </c>
      <c r="D18610" s="21" t="s">
        <v>34</v>
      </c>
      <c r="E18610" s="21" t="s">
        <v>254</v>
      </c>
      <c r="F18610">
        <v>7620112</v>
      </c>
      <c r="G18610" t="s">
        <v>5663</v>
      </c>
      <c r="H18610" s="21">
        <v>774.17</v>
      </c>
    </row>
    <row r="18611" spans="1:8" customFormat="1" x14ac:dyDescent="0.25">
      <c r="A18611" t="str">
        <f>"4512775"</f>
        <v>4512775</v>
      </c>
      <c r="B18611" t="s">
        <v>16075</v>
      </c>
      <c r="C18611" t="s">
        <v>60</v>
      </c>
      <c r="D18611" s="21" t="s">
        <v>34</v>
      </c>
      <c r="E18611" s="21" t="s">
        <v>35</v>
      </c>
      <c r="F18611">
        <v>4450661</v>
      </c>
      <c r="G18611" t="s">
        <v>12253</v>
      </c>
      <c r="H18611" s="21">
        <v>774.17</v>
      </c>
    </row>
    <row r="18612" spans="1:8" customFormat="1" x14ac:dyDescent="0.25">
      <c r="A18612" t="str">
        <f>"5933539"</f>
        <v>5933539</v>
      </c>
      <c r="B18612" t="s">
        <v>11372</v>
      </c>
      <c r="C18612" t="s">
        <v>3309</v>
      </c>
      <c r="D18612" s="21" t="s">
        <v>34</v>
      </c>
      <c r="E18612" s="21" t="s">
        <v>35</v>
      </c>
      <c r="F18612">
        <v>7590170</v>
      </c>
      <c r="G18612" t="s">
        <v>868</v>
      </c>
      <c r="H18612" s="21">
        <v>774.17</v>
      </c>
    </row>
    <row r="18613" spans="1:8" customFormat="1" x14ac:dyDescent="0.25">
      <c r="A18613" t="str">
        <f>"3117906"</f>
        <v>3117906</v>
      </c>
      <c r="B18613" t="s">
        <v>6943</v>
      </c>
      <c r="C18613" t="s">
        <v>2479</v>
      </c>
      <c r="D18613" s="21" t="s">
        <v>34</v>
      </c>
      <c r="E18613" s="21" t="s">
        <v>71</v>
      </c>
      <c r="F18613">
        <v>11310011</v>
      </c>
      <c r="G18613" t="s">
        <v>26586</v>
      </c>
      <c r="H18613" s="21">
        <v>774.17</v>
      </c>
    </row>
    <row r="18614" spans="1:8" customFormat="1" x14ac:dyDescent="0.25">
      <c r="A18614" t="str">
        <f>"491110"</f>
        <v>491110</v>
      </c>
      <c r="B18614" t="s">
        <v>13316</v>
      </c>
      <c r="C18614" t="s">
        <v>263</v>
      </c>
      <c r="D18614" s="21" t="s">
        <v>34</v>
      </c>
      <c r="E18614" s="21" t="s">
        <v>71</v>
      </c>
      <c r="F18614">
        <v>12490055</v>
      </c>
      <c r="G18614" t="s">
        <v>12099</v>
      </c>
      <c r="H18614" s="21">
        <v>774.17</v>
      </c>
    </row>
    <row r="18615" spans="1:8" customFormat="1" x14ac:dyDescent="0.25">
      <c r="A18615" t="str">
        <f>"5321753"</f>
        <v>5321753</v>
      </c>
      <c r="B18615" t="s">
        <v>21672</v>
      </c>
      <c r="C18615" t="s">
        <v>275</v>
      </c>
      <c r="D18615" s="21" t="s">
        <v>34</v>
      </c>
      <c r="E18615" s="21" t="s">
        <v>35</v>
      </c>
      <c r="F18615">
        <v>12530136</v>
      </c>
      <c r="G18615" t="s">
        <v>4866</v>
      </c>
      <c r="H18615" s="21">
        <v>774.17</v>
      </c>
    </row>
    <row r="18616" spans="1:8" customFormat="1" x14ac:dyDescent="0.25">
      <c r="A18616" t="str">
        <f>"2713068"</f>
        <v>2713068</v>
      </c>
      <c r="B18616" t="s">
        <v>556</v>
      </c>
      <c r="C18616" t="s">
        <v>169</v>
      </c>
      <c r="D18616" s="21" t="s">
        <v>34</v>
      </c>
      <c r="E18616" s="21" t="s">
        <v>71</v>
      </c>
      <c r="F18616">
        <v>9270047</v>
      </c>
      <c r="G18616" t="s">
        <v>4420</v>
      </c>
      <c r="H18616" s="21">
        <v>774.17</v>
      </c>
    </row>
    <row r="18617" spans="1:8" customFormat="1" x14ac:dyDescent="0.25">
      <c r="A18617" t="str">
        <f>"441296"</f>
        <v>441296</v>
      </c>
      <c r="B18617" t="s">
        <v>6150</v>
      </c>
      <c r="C18617" t="s">
        <v>547</v>
      </c>
      <c r="D18617" s="21" t="s">
        <v>34</v>
      </c>
      <c r="E18617" s="21" t="s">
        <v>6185</v>
      </c>
      <c r="F18617">
        <v>12440193</v>
      </c>
      <c r="G18617" t="s">
        <v>3786</v>
      </c>
      <c r="H18617" s="21">
        <v>774.04</v>
      </c>
    </row>
    <row r="18618" spans="1:8" customFormat="1" x14ac:dyDescent="0.25">
      <c r="A18618" t="str">
        <f>"7518506"</f>
        <v>7518506</v>
      </c>
      <c r="B18618" t="s">
        <v>15993</v>
      </c>
      <c r="C18618" t="s">
        <v>49</v>
      </c>
      <c r="D18618" s="21" t="s">
        <v>34</v>
      </c>
      <c r="E18618" s="21" t="s">
        <v>35</v>
      </c>
      <c r="F18618">
        <v>8750074</v>
      </c>
      <c r="G18618" t="s">
        <v>698</v>
      </c>
      <c r="H18618" s="21">
        <v>774.04</v>
      </c>
    </row>
    <row r="18619" spans="1:8" customFormat="1" x14ac:dyDescent="0.25">
      <c r="A18619" t="str">
        <f>"485765"</f>
        <v>485765</v>
      </c>
      <c r="B18619" t="s">
        <v>16005</v>
      </c>
      <c r="C18619" t="s">
        <v>275</v>
      </c>
      <c r="D18619" s="21" t="s">
        <v>34</v>
      </c>
      <c r="E18619" s="21" t="s">
        <v>35</v>
      </c>
      <c r="F18619">
        <v>11480036</v>
      </c>
      <c r="G18619" t="s">
        <v>16006</v>
      </c>
      <c r="H18619" s="21">
        <v>773.92</v>
      </c>
    </row>
    <row r="18620" spans="1:8" customFormat="1" x14ac:dyDescent="0.25">
      <c r="A18620" t="str">
        <f>"7724764"</f>
        <v>7724764</v>
      </c>
      <c r="B18620" t="s">
        <v>2313</v>
      </c>
      <c r="C18620" t="s">
        <v>156</v>
      </c>
      <c r="D18620" s="21" t="s">
        <v>34</v>
      </c>
      <c r="E18620" s="21" t="s">
        <v>254</v>
      </c>
      <c r="F18620">
        <v>8771398</v>
      </c>
      <c r="G18620" t="s">
        <v>2759</v>
      </c>
      <c r="H18620" s="21">
        <v>773.67</v>
      </c>
    </row>
    <row r="18621" spans="1:8" customFormat="1" x14ac:dyDescent="0.25">
      <c r="A18621" t="str">
        <f>"778661"</f>
        <v>778661</v>
      </c>
      <c r="B18621" t="s">
        <v>1855</v>
      </c>
      <c r="C18621" t="s">
        <v>124</v>
      </c>
      <c r="D18621" s="21" t="s">
        <v>34</v>
      </c>
      <c r="E18621" s="21" t="s">
        <v>254</v>
      </c>
      <c r="F18621">
        <v>9140014</v>
      </c>
      <c r="G18621" t="s">
        <v>9546</v>
      </c>
      <c r="H18621" s="21">
        <v>773.67</v>
      </c>
    </row>
    <row r="18622" spans="1:8" customFormat="1" x14ac:dyDescent="0.25">
      <c r="A18622" t="str">
        <f>"263892"</f>
        <v>263892</v>
      </c>
      <c r="B18622" t="s">
        <v>27539</v>
      </c>
      <c r="C18622" t="s">
        <v>87</v>
      </c>
      <c r="D18622" s="21" t="s">
        <v>34</v>
      </c>
      <c r="E18622" s="21" t="s">
        <v>35</v>
      </c>
      <c r="F18622">
        <v>1260054</v>
      </c>
      <c r="G18622" t="s">
        <v>358</v>
      </c>
      <c r="H18622" s="21">
        <v>773.67</v>
      </c>
    </row>
    <row r="18623" spans="1:8" customFormat="1" x14ac:dyDescent="0.25">
      <c r="A18623" t="str">
        <f>"793776"</f>
        <v>793776</v>
      </c>
      <c r="B18623" t="s">
        <v>15029</v>
      </c>
      <c r="C18623" t="s">
        <v>288</v>
      </c>
      <c r="D18623" s="21" t="s">
        <v>34</v>
      </c>
      <c r="E18623" s="21" t="s">
        <v>71</v>
      </c>
      <c r="F18623">
        <v>10240014</v>
      </c>
      <c r="G18623" t="s">
        <v>5445</v>
      </c>
      <c r="H18623" s="21">
        <v>773.67</v>
      </c>
    </row>
    <row r="18624" spans="1:8" customFormat="1" x14ac:dyDescent="0.25">
      <c r="A18624" t="str">
        <f>"5314891"</f>
        <v>5314891</v>
      </c>
      <c r="B18624" t="s">
        <v>6753</v>
      </c>
      <c r="C18624" t="s">
        <v>1110</v>
      </c>
      <c r="D18624" s="21" t="s">
        <v>34</v>
      </c>
      <c r="E18624" s="21" t="s">
        <v>35</v>
      </c>
      <c r="F18624">
        <v>12530038</v>
      </c>
      <c r="G18624" t="s">
        <v>4955</v>
      </c>
      <c r="H18624" s="21">
        <v>773.67</v>
      </c>
    </row>
    <row r="18625" spans="1:8" customFormat="1" x14ac:dyDescent="0.25">
      <c r="A18625" t="str">
        <f>"852457"</f>
        <v>852457</v>
      </c>
      <c r="B18625" t="s">
        <v>4128</v>
      </c>
      <c r="C18625" t="s">
        <v>209</v>
      </c>
      <c r="D18625" s="21" t="s">
        <v>34</v>
      </c>
      <c r="E18625" s="21" t="s">
        <v>71</v>
      </c>
      <c r="F18625">
        <v>12850118</v>
      </c>
      <c r="G18625" t="s">
        <v>6811</v>
      </c>
      <c r="H18625" s="21">
        <v>773.67</v>
      </c>
    </row>
    <row r="18626" spans="1:8" customFormat="1" x14ac:dyDescent="0.25">
      <c r="A18626" t="str">
        <f>"9D2679"</f>
        <v>9D2679</v>
      </c>
      <c r="B18626" t="s">
        <v>17420</v>
      </c>
      <c r="C18626" t="s">
        <v>114</v>
      </c>
      <c r="D18626" s="21" t="s">
        <v>34</v>
      </c>
      <c r="E18626" s="21" t="s">
        <v>71</v>
      </c>
      <c r="F18626" t="s">
        <v>5881</v>
      </c>
      <c r="G18626" t="s">
        <v>5882</v>
      </c>
      <c r="H18626" s="21">
        <v>773.67</v>
      </c>
    </row>
    <row r="18627" spans="1:8" customFormat="1" x14ac:dyDescent="0.25">
      <c r="A18627" t="str">
        <f>"5411509"</f>
        <v>5411509</v>
      </c>
      <c r="B18627" t="s">
        <v>2243</v>
      </c>
      <c r="C18627" t="s">
        <v>2904</v>
      </c>
      <c r="D18627" s="21" t="s">
        <v>34</v>
      </c>
      <c r="E18627" s="21" t="s">
        <v>254</v>
      </c>
      <c r="F18627">
        <v>6540055</v>
      </c>
      <c r="G18627" t="s">
        <v>9080</v>
      </c>
      <c r="H18627" s="21">
        <v>773.67</v>
      </c>
    </row>
    <row r="18628" spans="1:8" customFormat="1" x14ac:dyDescent="0.25">
      <c r="A18628" t="str">
        <f>"352752"</f>
        <v>352752</v>
      </c>
      <c r="B18628" t="s">
        <v>12472</v>
      </c>
      <c r="C18628" t="s">
        <v>822</v>
      </c>
      <c r="D18628" s="21" t="s">
        <v>34</v>
      </c>
      <c r="E18628" s="21" t="s">
        <v>1089</v>
      </c>
      <c r="F18628">
        <v>3350183</v>
      </c>
      <c r="G18628" t="s">
        <v>2572</v>
      </c>
      <c r="H18628" s="21">
        <v>773.67</v>
      </c>
    </row>
    <row r="18629" spans="1:8" customFormat="1" x14ac:dyDescent="0.25">
      <c r="A18629" t="str">
        <f>"4440180"</f>
        <v>4440180</v>
      </c>
      <c r="B18629" t="s">
        <v>12866</v>
      </c>
      <c r="C18629" t="s">
        <v>15211</v>
      </c>
      <c r="D18629" s="21" t="s">
        <v>34</v>
      </c>
      <c r="E18629" s="21" t="s">
        <v>35</v>
      </c>
      <c r="F18629">
        <v>12440151</v>
      </c>
      <c r="G18629" t="s">
        <v>1327</v>
      </c>
      <c r="H18629" s="21">
        <v>773.67</v>
      </c>
    </row>
    <row r="18630" spans="1:8" customFormat="1" x14ac:dyDescent="0.25">
      <c r="A18630" t="str">
        <f>"172623"</f>
        <v>172623</v>
      </c>
      <c r="B18630" t="s">
        <v>4305</v>
      </c>
      <c r="C18630" t="s">
        <v>109</v>
      </c>
      <c r="D18630" s="21" t="s">
        <v>34</v>
      </c>
      <c r="E18630" s="21" t="s">
        <v>71</v>
      </c>
      <c r="F18630">
        <v>10170009</v>
      </c>
      <c r="G18630" t="s">
        <v>3810</v>
      </c>
      <c r="H18630" s="21">
        <v>773.67</v>
      </c>
    </row>
    <row r="18631" spans="1:8" customFormat="1" x14ac:dyDescent="0.25">
      <c r="A18631" t="str">
        <f>"448899"</f>
        <v>448899</v>
      </c>
      <c r="B18631" t="s">
        <v>15410</v>
      </c>
      <c r="C18631" t="s">
        <v>2305</v>
      </c>
      <c r="D18631" s="21" t="s">
        <v>34</v>
      </c>
      <c r="E18631" s="21" t="s">
        <v>254</v>
      </c>
      <c r="F18631">
        <v>12440176</v>
      </c>
      <c r="G18631" t="s">
        <v>1020</v>
      </c>
      <c r="H18631" s="21">
        <v>773.67</v>
      </c>
    </row>
    <row r="18632" spans="1:8" customFormat="1" x14ac:dyDescent="0.25">
      <c r="A18632" t="str">
        <f>"4436101"</f>
        <v>4436101</v>
      </c>
      <c r="B18632" t="s">
        <v>4123</v>
      </c>
      <c r="C18632" t="s">
        <v>1119</v>
      </c>
      <c r="D18632" s="21" t="s">
        <v>34</v>
      </c>
      <c r="E18632" s="21" t="s">
        <v>71</v>
      </c>
      <c r="F18632">
        <v>12440176</v>
      </c>
      <c r="G18632" t="s">
        <v>1020</v>
      </c>
      <c r="H18632" s="21">
        <v>773.67</v>
      </c>
    </row>
    <row r="18633" spans="1:8" customFormat="1" x14ac:dyDescent="0.25">
      <c r="A18633" t="str">
        <f>"402509"</f>
        <v>402509</v>
      </c>
      <c r="B18633" t="s">
        <v>15434</v>
      </c>
      <c r="C18633" t="s">
        <v>263</v>
      </c>
      <c r="D18633" s="21" t="s">
        <v>34</v>
      </c>
      <c r="E18633" s="21" t="s">
        <v>71</v>
      </c>
      <c r="F18633">
        <v>10400009</v>
      </c>
      <c r="G18633" t="s">
        <v>5378</v>
      </c>
      <c r="H18633" s="21">
        <v>773.67</v>
      </c>
    </row>
    <row r="18634" spans="1:8" customFormat="1" x14ac:dyDescent="0.25">
      <c r="A18634" t="str">
        <f>"618933"</f>
        <v>618933</v>
      </c>
      <c r="B18634" t="s">
        <v>14368</v>
      </c>
      <c r="C18634" t="s">
        <v>415</v>
      </c>
      <c r="D18634" s="21" t="s">
        <v>34</v>
      </c>
      <c r="E18634" s="21" t="s">
        <v>71</v>
      </c>
      <c r="F18634">
        <v>9610097</v>
      </c>
      <c r="G18634" t="s">
        <v>9432</v>
      </c>
      <c r="H18634" s="21">
        <v>773.67</v>
      </c>
    </row>
    <row r="18635" spans="1:8" customFormat="1" x14ac:dyDescent="0.25">
      <c r="A18635" t="str">
        <f>"5410860"</f>
        <v>5410860</v>
      </c>
      <c r="B18635" t="s">
        <v>16933</v>
      </c>
      <c r="C18635" t="s">
        <v>4721</v>
      </c>
      <c r="D18635" s="21" t="s">
        <v>34</v>
      </c>
      <c r="E18635" s="21" t="s">
        <v>1089</v>
      </c>
      <c r="F18635">
        <v>6540056</v>
      </c>
      <c r="G18635" t="s">
        <v>1136</v>
      </c>
      <c r="H18635" s="21">
        <v>773.67</v>
      </c>
    </row>
    <row r="18636" spans="1:8" customFormat="1" x14ac:dyDescent="0.25">
      <c r="A18636" t="str">
        <f>"4935572"</f>
        <v>4935572</v>
      </c>
      <c r="B18636" t="s">
        <v>3715</v>
      </c>
      <c r="C18636" t="s">
        <v>33</v>
      </c>
      <c r="D18636" s="21" t="s">
        <v>34</v>
      </c>
      <c r="E18636" s="21" t="s">
        <v>35</v>
      </c>
      <c r="F18636">
        <v>12490107</v>
      </c>
      <c r="G18636" t="s">
        <v>715</v>
      </c>
      <c r="H18636" s="21">
        <v>773.67</v>
      </c>
    </row>
    <row r="18637" spans="1:8" customFormat="1" x14ac:dyDescent="0.25">
      <c r="A18637" t="str">
        <f>"6210243"</f>
        <v>6210243</v>
      </c>
      <c r="B18637" t="s">
        <v>16225</v>
      </c>
      <c r="C18637" t="s">
        <v>507</v>
      </c>
      <c r="D18637" s="21" t="s">
        <v>34</v>
      </c>
      <c r="E18637" s="21" t="s">
        <v>71</v>
      </c>
      <c r="F18637">
        <v>7620110</v>
      </c>
      <c r="G18637" t="s">
        <v>2681</v>
      </c>
      <c r="H18637" s="21">
        <v>773.67</v>
      </c>
    </row>
    <row r="18638" spans="1:8" customFormat="1" x14ac:dyDescent="0.25">
      <c r="A18638" t="str">
        <f>"5012748"</f>
        <v>5012748</v>
      </c>
      <c r="B18638" t="s">
        <v>12637</v>
      </c>
      <c r="C18638" t="s">
        <v>124</v>
      </c>
      <c r="D18638" s="21" t="s">
        <v>34</v>
      </c>
      <c r="E18638" s="21" t="s">
        <v>71</v>
      </c>
      <c r="F18638">
        <v>9500132</v>
      </c>
      <c r="G18638" t="s">
        <v>11167</v>
      </c>
      <c r="H18638" s="21">
        <v>773.67</v>
      </c>
    </row>
    <row r="18639" spans="1:8" customFormat="1" x14ac:dyDescent="0.25">
      <c r="A18639" t="str">
        <f>"5323538"</f>
        <v>5323538</v>
      </c>
      <c r="B18639" t="s">
        <v>15941</v>
      </c>
      <c r="C18639" t="s">
        <v>305</v>
      </c>
      <c r="D18639" s="21" t="s">
        <v>34</v>
      </c>
      <c r="E18639" s="21" t="s">
        <v>35</v>
      </c>
      <c r="F18639">
        <v>12530120</v>
      </c>
      <c r="G18639" t="s">
        <v>26791</v>
      </c>
      <c r="H18639" s="21">
        <v>773.67</v>
      </c>
    </row>
    <row r="18640" spans="1:8" customFormat="1" x14ac:dyDescent="0.25">
      <c r="A18640" t="str">
        <f>"637928"</f>
        <v>637928</v>
      </c>
      <c r="B18640" t="s">
        <v>146</v>
      </c>
      <c r="C18640" t="s">
        <v>5979</v>
      </c>
      <c r="D18640" s="21" t="s">
        <v>34</v>
      </c>
      <c r="E18640" s="21" t="s">
        <v>35</v>
      </c>
      <c r="F18640">
        <v>1630243</v>
      </c>
      <c r="G18640" t="s">
        <v>9163</v>
      </c>
      <c r="H18640" s="21">
        <v>773.67</v>
      </c>
    </row>
    <row r="18641" spans="1:8" customFormat="1" x14ac:dyDescent="0.25">
      <c r="A18641" t="str">
        <f>"3332785"</f>
        <v>3332785</v>
      </c>
      <c r="B18641" t="s">
        <v>4649</v>
      </c>
      <c r="C18641" t="s">
        <v>114</v>
      </c>
      <c r="D18641" s="21" t="s">
        <v>34</v>
      </c>
      <c r="E18641" s="21" t="s">
        <v>71</v>
      </c>
      <c r="F18641">
        <v>10330045</v>
      </c>
      <c r="G18641" t="s">
        <v>4506</v>
      </c>
      <c r="H18641" s="21">
        <v>773.54</v>
      </c>
    </row>
    <row r="18642" spans="1:8" customFormat="1" x14ac:dyDescent="0.25">
      <c r="A18642" t="str">
        <f>"5947121"</f>
        <v>5947121</v>
      </c>
      <c r="B18642" t="s">
        <v>2105</v>
      </c>
      <c r="C18642" t="s">
        <v>156</v>
      </c>
      <c r="D18642" s="21" t="s">
        <v>34</v>
      </c>
      <c r="E18642" s="21" t="s">
        <v>71</v>
      </c>
      <c r="F18642">
        <v>7590114</v>
      </c>
      <c r="G18642" t="s">
        <v>6332</v>
      </c>
      <c r="H18642" s="21">
        <v>773.54</v>
      </c>
    </row>
    <row r="18643" spans="1:8" customFormat="1" x14ac:dyDescent="0.25">
      <c r="A18643" t="str">
        <f>"447228"</f>
        <v>447228</v>
      </c>
      <c r="B18643" t="s">
        <v>14783</v>
      </c>
      <c r="C18643" t="s">
        <v>130</v>
      </c>
      <c r="D18643" s="21" t="s">
        <v>34</v>
      </c>
      <c r="E18643" s="21" t="s">
        <v>254</v>
      </c>
      <c r="F18643">
        <v>12440105</v>
      </c>
      <c r="G18643" t="s">
        <v>594</v>
      </c>
      <c r="H18643" s="21">
        <v>773.42</v>
      </c>
    </row>
    <row r="18644" spans="1:8" customFormat="1" x14ac:dyDescent="0.25">
      <c r="A18644" t="str">
        <f>"7222126"</f>
        <v>7222126</v>
      </c>
      <c r="B18644" t="s">
        <v>21060</v>
      </c>
      <c r="C18644" t="s">
        <v>1597</v>
      </c>
      <c r="D18644" s="21" t="s">
        <v>34</v>
      </c>
      <c r="E18644" s="21" t="s">
        <v>35</v>
      </c>
      <c r="F18644">
        <v>12720049</v>
      </c>
      <c r="G18644" t="s">
        <v>1627</v>
      </c>
      <c r="H18644" s="21">
        <v>773.42</v>
      </c>
    </row>
    <row r="18645" spans="1:8" customFormat="1" x14ac:dyDescent="0.25">
      <c r="A18645" t="str">
        <f>"9311997"</f>
        <v>9311997</v>
      </c>
      <c r="B18645" t="s">
        <v>9975</v>
      </c>
      <c r="C18645" t="s">
        <v>236</v>
      </c>
      <c r="D18645" s="21" t="s">
        <v>34</v>
      </c>
      <c r="E18645" s="21" t="s">
        <v>71</v>
      </c>
      <c r="F18645">
        <v>8770937</v>
      </c>
      <c r="G18645" t="s">
        <v>2119</v>
      </c>
      <c r="H18645" s="21">
        <v>773.42</v>
      </c>
    </row>
    <row r="18646" spans="1:8" customFormat="1" x14ac:dyDescent="0.25">
      <c r="A18646" t="str">
        <f>"2713746"</f>
        <v>2713746</v>
      </c>
      <c r="B18646" t="s">
        <v>146</v>
      </c>
      <c r="C18646" t="s">
        <v>2529</v>
      </c>
      <c r="D18646" s="21" t="s">
        <v>34</v>
      </c>
      <c r="E18646" s="21" t="s">
        <v>71</v>
      </c>
      <c r="F18646">
        <v>9270071</v>
      </c>
      <c r="G18646" t="s">
        <v>7815</v>
      </c>
      <c r="H18646" s="21">
        <v>773.42</v>
      </c>
    </row>
    <row r="18647" spans="1:8" customFormat="1" x14ac:dyDescent="0.25">
      <c r="A18647" t="str">
        <f>"5611703"</f>
        <v>5611703</v>
      </c>
      <c r="B18647" t="s">
        <v>15229</v>
      </c>
      <c r="C18647" t="s">
        <v>198</v>
      </c>
      <c r="D18647" s="21" t="s">
        <v>34</v>
      </c>
      <c r="E18647" s="21" t="s">
        <v>254</v>
      </c>
      <c r="F18647">
        <v>3560044</v>
      </c>
      <c r="G18647" t="s">
        <v>4890</v>
      </c>
      <c r="H18647" s="21">
        <v>773.25</v>
      </c>
    </row>
    <row r="18648" spans="1:8" customFormat="1" x14ac:dyDescent="0.25">
      <c r="A18648" t="str">
        <f>"7518840"</f>
        <v>7518840</v>
      </c>
      <c r="B18648" t="s">
        <v>15695</v>
      </c>
      <c r="C18648" t="s">
        <v>98</v>
      </c>
      <c r="D18648" s="21" t="s">
        <v>34</v>
      </c>
      <c r="E18648" s="21" t="s">
        <v>35</v>
      </c>
      <c r="F18648">
        <v>8751260</v>
      </c>
      <c r="G18648" t="s">
        <v>10641</v>
      </c>
      <c r="H18648" s="21">
        <v>773.17</v>
      </c>
    </row>
    <row r="18649" spans="1:8" customFormat="1" x14ac:dyDescent="0.25">
      <c r="A18649" t="str">
        <f>"5978332"</f>
        <v>5978332</v>
      </c>
      <c r="B18649" t="s">
        <v>7041</v>
      </c>
      <c r="C18649" t="s">
        <v>288</v>
      </c>
      <c r="D18649" s="21" t="s">
        <v>34</v>
      </c>
      <c r="E18649" s="21" t="s">
        <v>35</v>
      </c>
      <c r="F18649">
        <v>7590313</v>
      </c>
      <c r="G18649" t="s">
        <v>5529</v>
      </c>
      <c r="H18649" s="21">
        <v>773.17</v>
      </c>
    </row>
    <row r="18650" spans="1:8" customFormat="1" x14ac:dyDescent="0.25">
      <c r="A18650" t="str">
        <f>"7616689"</f>
        <v>7616689</v>
      </c>
      <c r="B18650" t="s">
        <v>15224</v>
      </c>
      <c r="C18650" t="s">
        <v>1146</v>
      </c>
      <c r="D18650" s="21" t="s">
        <v>34</v>
      </c>
      <c r="E18650" s="21" t="s">
        <v>1089</v>
      </c>
      <c r="F18650">
        <v>9500130</v>
      </c>
      <c r="G18650" t="s">
        <v>5326</v>
      </c>
      <c r="H18650" s="21">
        <v>773.17</v>
      </c>
    </row>
    <row r="18651" spans="1:8" customFormat="1" x14ac:dyDescent="0.25">
      <c r="A18651" t="str">
        <f>"672656"</f>
        <v>672656</v>
      </c>
      <c r="B18651" t="s">
        <v>15039</v>
      </c>
      <c r="C18651" t="s">
        <v>1914</v>
      </c>
      <c r="D18651" s="21" t="s">
        <v>34</v>
      </c>
      <c r="E18651" s="21" t="s">
        <v>254</v>
      </c>
      <c r="F18651">
        <v>6670183</v>
      </c>
      <c r="G18651" t="s">
        <v>670</v>
      </c>
      <c r="H18651" s="21">
        <v>773.17</v>
      </c>
    </row>
    <row r="18652" spans="1:8" customFormat="1" x14ac:dyDescent="0.25">
      <c r="A18652" t="str">
        <f>"187935"</f>
        <v>187935</v>
      </c>
      <c r="B18652" t="s">
        <v>1035</v>
      </c>
      <c r="C18652" t="s">
        <v>1325</v>
      </c>
      <c r="D18652" s="21" t="s">
        <v>34</v>
      </c>
      <c r="E18652" s="21" t="s">
        <v>35</v>
      </c>
      <c r="F18652">
        <v>4180621</v>
      </c>
      <c r="G18652" t="s">
        <v>14060</v>
      </c>
      <c r="H18652" s="21">
        <v>773.17</v>
      </c>
    </row>
    <row r="18653" spans="1:8" customFormat="1" x14ac:dyDescent="0.25">
      <c r="A18653" t="str">
        <f>"456721"</f>
        <v>456721</v>
      </c>
      <c r="B18653" t="s">
        <v>15249</v>
      </c>
      <c r="C18653" t="s">
        <v>40</v>
      </c>
      <c r="D18653" s="21" t="s">
        <v>34</v>
      </c>
      <c r="E18653" s="21" t="s">
        <v>254</v>
      </c>
      <c r="F18653">
        <v>4450661</v>
      </c>
      <c r="G18653" t="s">
        <v>12253</v>
      </c>
      <c r="H18653" s="21">
        <v>773.17</v>
      </c>
    </row>
    <row r="18654" spans="1:8" customFormat="1" x14ac:dyDescent="0.25">
      <c r="A18654" t="str">
        <f>"441697"</f>
        <v>441697</v>
      </c>
      <c r="B18654" t="s">
        <v>1028</v>
      </c>
      <c r="C18654" t="s">
        <v>209</v>
      </c>
      <c r="D18654" s="21" t="s">
        <v>34</v>
      </c>
      <c r="E18654" s="21" t="s">
        <v>254</v>
      </c>
      <c r="F18654">
        <v>12440051</v>
      </c>
      <c r="G18654" t="s">
        <v>2191</v>
      </c>
      <c r="H18654" s="21">
        <v>773.17</v>
      </c>
    </row>
    <row r="18655" spans="1:8" customFormat="1" x14ac:dyDescent="0.25">
      <c r="A18655" t="str">
        <f>"5971959"</f>
        <v>5971959</v>
      </c>
      <c r="B18655" t="s">
        <v>3042</v>
      </c>
      <c r="C18655" t="s">
        <v>469</v>
      </c>
      <c r="D18655" s="21" t="s">
        <v>34</v>
      </c>
      <c r="E18655" s="21" t="s">
        <v>71</v>
      </c>
      <c r="F18655">
        <v>7590416</v>
      </c>
      <c r="G18655" t="s">
        <v>16746</v>
      </c>
      <c r="H18655" s="21">
        <v>773.17</v>
      </c>
    </row>
    <row r="18656" spans="1:8" customFormat="1" x14ac:dyDescent="0.25">
      <c r="A18656" t="str">
        <f>"4412115"</f>
        <v>4412115</v>
      </c>
      <c r="B18656" t="s">
        <v>14807</v>
      </c>
      <c r="C18656" t="s">
        <v>598</v>
      </c>
      <c r="D18656" s="21" t="s">
        <v>34</v>
      </c>
      <c r="E18656" s="21" t="s">
        <v>71</v>
      </c>
      <c r="F18656">
        <v>12440112</v>
      </c>
      <c r="G18656" t="s">
        <v>9188</v>
      </c>
      <c r="H18656" s="21">
        <v>773.17</v>
      </c>
    </row>
    <row r="18657" spans="1:8" customFormat="1" x14ac:dyDescent="0.25">
      <c r="A18657" t="str">
        <f>"537577"</f>
        <v>537577</v>
      </c>
      <c r="B18657" t="s">
        <v>650</v>
      </c>
      <c r="C18657" t="s">
        <v>1110</v>
      </c>
      <c r="D18657" s="21" t="s">
        <v>34</v>
      </c>
      <c r="E18657" s="21" t="s">
        <v>1089</v>
      </c>
      <c r="F18657">
        <v>12530049</v>
      </c>
      <c r="G18657" t="s">
        <v>9306</v>
      </c>
      <c r="H18657" s="21">
        <v>773.17</v>
      </c>
    </row>
    <row r="18658" spans="1:8" customFormat="1" x14ac:dyDescent="0.25">
      <c r="A18658" t="str">
        <f>"515547"</f>
        <v>515547</v>
      </c>
      <c r="B18658" t="s">
        <v>4476</v>
      </c>
      <c r="C18658" t="s">
        <v>415</v>
      </c>
      <c r="D18658" s="21" t="s">
        <v>34</v>
      </c>
      <c r="E18658" s="21" t="s">
        <v>1089</v>
      </c>
      <c r="F18658">
        <v>7620069</v>
      </c>
      <c r="G18658" t="s">
        <v>5442</v>
      </c>
      <c r="H18658" s="21">
        <v>773.17</v>
      </c>
    </row>
    <row r="18659" spans="1:8" customFormat="1" x14ac:dyDescent="0.25">
      <c r="A18659" t="str">
        <f>"04291"</f>
        <v>04291</v>
      </c>
      <c r="B18659" t="s">
        <v>16799</v>
      </c>
      <c r="C18659" t="s">
        <v>3905</v>
      </c>
      <c r="D18659" s="21" t="s">
        <v>34</v>
      </c>
      <c r="E18659" s="21" t="s">
        <v>254</v>
      </c>
      <c r="F18659">
        <v>13040005</v>
      </c>
      <c r="G18659" t="s">
        <v>7115</v>
      </c>
      <c r="H18659" s="21">
        <v>773.17</v>
      </c>
    </row>
    <row r="18660" spans="1:8" customFormat="1" x14ac:dyDescent="0.25">
      <c r="A18660" t="str">
        <f>"853550"</f>
        <v>853550</v>
      </c>
      <c r="B18660" t="s">
        <v>6305</v>
      </c>
      <c r="C18660" t="s">
        <v>2208</v>
      </c>
      <c r="D18660" s="21" t="s">
        <v>34</v>
      </c>
      <c r="E18660" s="21" t="s">
        <v>35</v>
      </c>
      <c r="F18660">
        <v>12851025</v>
      </c>
      <c r="G18660" t="s">
        <v>26858</v>
      </c>
      <c r="H18660" s="21">
        <v>773.17</v>
      </c>
    </row>
    <row r="18661" spans="1:8" customFormat="1" x14ac:dyDescent="0.25">
      <c r="A18661" t="str">
        <f>"5614505"</f>
        <v>5614505</v>
      </c>
      <c r="B18661" t="s">
        <v>8810</v>
      </c>
      <c r="C18661" t="s">
        <v>412</v>
      </c>
      <c r="D18661" s="21" t="s">
        <v>34</v>
      </c>
      <c r="E18661" s="21" t="s">
        <v>254</v>
      </c>
      <c r="F18661">
        <v>3560025</v>
      </c>
      <c r="G18661" t="s">
        <v>14020</v>
      </c>
      <c r="H18661" s="21">
        <v>773.17</v>
      </c>
    </row>
    <row r="18662" spans="1:8" customFormat="1" x14ac:dyDescent="0.25">
      <c r="A18662" t="str">
        <f>"637016"</f>
        <v>637016</v>
      </c>
      <c r="B18662" t="s">
        <v>15329</v>
      </c>
      <c r="C18662" t="s">
        <v>812</v>
      </c>
      <c r="D18662" s="21" t="s">
        <v>34</v>
      </c>
      <c r="E18662" s="21" t="s">
        <v>35</v>
      </c>
      <c r="F18662">
        <v>1630121</v>
      </c>
      <c r="G18662" t="s">
        <v>3663</v>
      </c>
      <c r="H18662" s="21">
        <v>773.17</v>
      </c>
    </row>
    <row r="18663" spans="1:8" customFormat="1" x14ac:dyDescent="0.25">
      <c r="A18663" t="str">
        <f>"5972016"</f>
        <v>5972016</v>
      </c>
      <c r="B18663" t="s">
        <v>8105</v>
      </c>
      <c r="C18663" t="s">
        <v>328</v>
      </c>
      <c r="D18663" s="21" t="s">
        <v>34</v>
      </c>
      <c r="E18663" s="21" t="s">
        <v>35</v>
      </c>
      <c r="F18663">
        <v>7590055</v>
      </c>
      <c r="G18663" t="s">
        <v>1573</v>
      </c>
      <c r="H18663" s="21">
        <v>773.17</v>
      </c>
    </row>
    <row r="18664" spans="1:8" customFormat="1" x14ac:dyDescent="0.25">
      <c r="A18664" t="str">
        <f>"5611831"</f>
        <v>5611831</v>
      </c>
      <c r="B18664" t="s">
        <v>19894</v>
      </c>
      <c r="C18664" t="s">
        <v>15344</v>
      </c>
      <c r="D18664" s="21" t="s">
        <v>34</v>
      </c>
      <c r="E18664" s="21" t="s">
        <v>254</v>
      </c>
      <c r="F18664">
        <v>3560054</v>
      </c>
      <c r="G18664" t="s">
        <v>10188</v>
      </c>
      <c r="H18664" s="21">
        <v>773.17</v>
      </c>
    </row>
    <row r="18665" spans="1:8" customFormat="1" x14ac:dyDescent="0.25">
      <c r="A18665" t="str">
        <f>"7833827"</f>
        <v>7833827</v>
      </c>
      <c r="B18665" t="s">
        <v>13404</v>
      </c>
      <c r="C18665" t="s">
        <v>209</v>
      </c>
      <c r="D18665" s="21" t="s">
        <v>34</v>
      </c>
      <c r="E18665" s="21" t="s">
        <v>71</v>
      </c>
      <c r="F18665">
        <v>8780338</v>
      </c>
      <c r="G18665" t="s">
        <v>4145</v>
      </c>
      <c r="H18665" s="21">
        <v>773.04</v>
      </c>
    </row>
    <row r="18666" spans="1:8" customFormat="1" x14ac:dyDescent="0.25">
      <c r="A18666" t="str">
        <f>"3335739"</f>
        <v>3335739</v>
      </c>
      <c r="B18666" t="s">
        <v>15110</v>
      </c>
      <c r="C18666" t="s">
        <v>239</v>
      </c>
      <c r="D18666" s="21" t="s">
        <v>34</v>
      </c>
      <c r="E18666" s="21" t="s">
        <v>71</v>
      </c>
      <c r="F18666">
        <v>10330084</v>
      </c>
      <c r="G18666" t="s">
        <v>1124</v>
      </c>
      <c r="H18666" s="21">
        <v>773.04</v>
      </c>
    </row>
    <row r="18667" spans="1:8" customFormat="1" x14ac:dyDescent="0.25">
      <c r="A18667" t="str">
        <f>"2917769"</f>
        <v>2917769</v>
      </c>
      <c r="B18667" t="s">
        <v>14113</v>
      </c>
      <c r="C18667" t="s">
        <v>1231</v>
      </c>
      <c r="D18667" s="21" t="s">
        <v>34</v>
      </c>
      <c r="E18667" s="21" t="s">
        <v>1089</v>
      </c>
      <c r="F18667">
        <v>3290031</v>
      </c>
      <c r="G18667" t="s">
        <v>8207</v>
      </c>
      <c r="H18667" s="21">
        <v>773</v>
      </c>
    </row>
    <row r="18668" spans="1:8" customFormat="1" x14ac:dyDescent="0.25">
      <c r="A18668" t="str">
        <f>"082500"</f>
        <v>082500</v>
      </c>
      <c r="B18668" t="s">
        <v>11479</v>
      </c>
      <c r="C18668" t="s">
        <v>209</v>
      </c>
      <c r="D18668" s="21" t="s">
        <v>34</v>
      </c>
      <c r="E18668" s="21" t="s">
        <v>1089</v>
      </c>
      <c r="F18668">
        <v>6080064</v>
      </c>
      <c r="G18668" t="s">
        <v>5825</v>
      </c>
      <c r="H18668" s="21">
        <v>772.92</v>
      </c>
    </row>
    <row r="18669" spans="1:8" customFormat="1" x14ac:dyDescent="0.25">
      <c r="A18669" t="str">
        <f>"37504"</f>
        <v>37504</v>
      </c>
      <c r="B18669" t="s">
        <v>956</v>
      </c>
      <c r="C18669" t="s">
        <v>2520</v>
      </c>
      <c r="D18669" s="21" t="s">
        <v>34</v>
      </c>
      <c r="E18669" s="21" t="s">
        <v>254</v>
      </c>
      <c r="F18669">
        <v>4370030</v>
      </c>
      <c r="G18669" t="s">
        <v>14081</v>
      </c>
      <c r="H18669" s="21">
        <v>772.67</v>
      </c>
    </row>
    <row r="18670" spans="1:8" customFormat="1" x14ac:dyDescent="0.25">
      <c r="A18670" t="str">
        <f>"2935544"</f>
        <v>2935544</v>
      </c>
      <c r="B18670" t="s">
        <v>15166</v>
      </c>
      <c r="C18670" t="s">
        <v>412</v>
      </c>
      <c r="D18670" s="21" t="s">
        <v>34</v>
      </c>
      <c r="E18670" s="21" t="s">
        <v>254</v>
      </c>
      <c r="F18670">
        <v>3290281</v>
      </c>
      <c r="G18670" t="s">
        <v>11077</v>
      </c>
      <c r="H18670" s="21">
        <v>772.67</v>
      </c>
    </row>
    <row r="18671" spans="1:8" customFormat="1" x14ac:dyDescent="0.25">
      <c r="A18671" t="str">
        <f>"801539"</f>
        <v>801539</v>
      </c>
      <c r="B18671" t="s">
        <v>15396</v>
      </c>
      <c r="C18671" t="s">
        <v>3073</v>
      </c>
      <c r="D18671" s="21" t="s">
        <v>34</v>
      </c>
      <c r="E18671" s="21" t="s">
        <v>71</v>
      </c>
      <c r="F18671">
        <v>7800079</v>
      </c>
      <c r="G18671" t="s">
        <v>14753</v>
      </c>
      <c r="H18671" s="21">
        <v>772.67</v>
      </c>
    </row>
    <row r="18672" spans="1:8" customFormat="1" x14ac:dyDescent="0.25">
      <c r="A18672" t="str">
        <f>"241944"</f>
        <v>241944</v>
      </c>
      <c r="B18672" t="s">
        <v>15333</v>
      </c>
      <c r="C18672" t="s">
        <v>1812</v>
      </c>
      <c r="D18672" s="21" t="s">
        <v>34</v>
      </c>
      <c r="E18672" s="21" t="s">
        <v>71</v>
      </c>
      <c r="F18672">
        <v>10240024</v>
      </c>
      <c r="G18672" t="s">
        <v>6539</v>
      </c>
      <c r="H18672" s="21">
        <v>772.67</v>
      </c>
    </row>
    <row r="18673" spans="1:8" customFormat="1" x14ac:dyDescent="0.25">
      <c r="A18673" t="str">
        <f>"0810034"</f>
        <v>0810034</v>
      </c>
      <c r="B18673" t="s">
        <v>4818</v>
      </c>
      <c r="C18673" t="s">
        <v>60</v>
      </c>
      <c r="D18673" s="21" t="s">
        <v>34</v>
      </c>
      <c r="E18673" s="21" t="s">
        <v>35</v>
      </c>
      <c r="F18673">
        <v>6080045</v>
      </c>
      <c r="G18673" t="s">
        <v>5632</v>
      </c>
      <c r="H18673" s="21">
        <v>772.67</v>
      </c>
    </row>
    <row r="18674" spans="1:8" customFormat="1" x14ac:dyDescent="0.25">
      <c r="A18674" t="str">
        <f>"7711540"</f>
        <v>7711540</v>
      </c>
      <c r="B18674" t="s">
        <v>14964</v>
      </c>
      <c r="C18674" t="s">
        <v>109</v>
      </c>
      <c r="D18674" s="21" t="s">
        <v>34</v>
      </c>
      <c r="E18674" s="21" t="s">
        <v>71</v>
      </c>
      <c r="F18674">
        <v>8771314</v>
      </c>
      <c r="G18674" t="s">
        <v>14172</v>
      </c>
      <c r="H18674" s="21">
        <v>772.67</v>
      </c>
    </row>
    <row r="18675" spans="1:8" customFormat="1" x14ac:dyDescent="0.25">
      <c r="A18675" t="str">
        <f>"5011958"</f>
        <v>5011958</v>
      </c>
      <c r="B18675" t="s">
        <v>10960</v>
      </c>
      <c r="C18675" t="s">
        <v>2730</v>
      </c>
      <c r="D18675" s="21" t="s">
        <v>34</v>
      </c>
      <c r="E18675" s="21" t="s">
        <v>71</v>
      </c>
      <c r="F18675">
        <v>9500059</v>
      </c>
      <c r="G18675" t="s">
        <v>26714</v>
      </c>
      <c r="H18675" s="21">
        <v>772.67</v>
      </c>
    </row>
    <row r="18676" spans="1:8" customFormat="1" x14ac:dyDescent="0.25">
      <c r="A18676" t="str">
        <f>"5015815"</f>
        <v>5015815</v>
      </c>
      <c r="B18676" t="s">
        <v>16057</v>
      </c>
      <c r="C18676" t="s">
        <v>621</v>
      </c>
      <c r="D18676" s="21" t="s">
        <v>34</v>
      </c>
      <c r="E18676" s="21" t="s">
        <v>71</v>
      </c>
      <c r="F18676">
        <v>9500082</v>
      </c>
      <c r="G18676" t="s">
        <v>11183</v>
      </c>
      <c r="H18676" s="21">
        <v>772.67</v>
      </c>
    </row>
    <row r="18677" spans="1:8" customFormat="1" x14ac:dyDescent="0.25">
      <c r="A18677" t="str">
        <f>"9116843"</f>
        <v>9116843</v>
      </c>
      <c r="B18677" t="s">
        <v>14124</v>
      </c>
      <c r="C18677" t="s">
        <v>14125</v>
      </c>
      <c r="D18677" s="21" t="s">
        <v>34</v>
      </c>
      <c r="E18677" s="21" t="s">
        <v>71</v>
      </c>
      <c r="F18677">
        <v>8910434</v>
      </c>
      <c r="G18677" t="s">
        <v>681</v>
      </c>
      <c r="H18677" s="21">
        <v>772.67</v>
      </c>
    </row>
    <row r="18678" spans="1:8" customFormat="1" x14ac:dyDescent="0.25">
      <c r="A18678" t="str">
        <f>"6914135"</f>
        <v>6914135</v>
      </c>
      <c r="B18678" t="s">
        <v>12647</v>
      </c>
      <c r="C18678" t="s">
        <v>65</v>
      </c>
      <c r="D18678" s="21" t="s">
        <v>34</v>
      </c>
      <c r="E18678" s="21" t="s">
        <v>35</v>
      </c>
      <c r="F18678">
        <v>1690052</v>
      </c>
      <c r="G18678" t="s">
        <v>273</v>
      </c>
      <c r="H18678" s="21">
        <v>772.67</v>
      </c>
    </row>
    <row r="18679" spans="1:8" customFormat="1" x14ac:dyDescent="0.25">
      <c r="A18679" t="str">
        <f>"514999"</f>
        <v>514999</v>
      </c>
      <c r="B18679" t="s">
        <v>14678</v>
      </c>
      <c r="C18679" t="s">
        <v>462</v>
      </c>
      <c r="D18679" s="21" t="s">
        <v>34</v>
      </c>
      <c r="E18679" s="21" t="s">
        <v>254</v>
      </c>
      <c r="F18679">
        <v>6510090</v>
      </c>
      <c r="G18679" t="s">
        <v>11924</v>
      </c>
      <c r="H18679" s="21">
        <v>772.67</v>
      </c>
    </row>
    <row r="18680" spans="1:8" customFormat="1" x14ac:dyDescent="0.25">
      <c r="A18680" t="str">
        <f>"088881"</f>
        <v>088881</v>
      </c>
      <c r="B18680" t="s">
        <v>14690</v>
      </c>
      <c r="C18680" t="s">
        <v>547</v>
      </c>
      <c r="D18680" s="21" t="s">
        <v>34</v>
      </c>
      <c r="E18680" s="21" t="s">
        <v>1089</v>
      </c>
      <c r="F18680">
        <v>6080074</v>
      </c>
      <c r="G18680" t="s">
        <v>13069</v>
      </c>
      <c r="H18680" s="21">
        <v>772.67</v>
      </c>
    </row>
    <row r="18681" spans="1:8" customFormat="1" x14ac:dyDescent="0.25">
      <c r="A18681" t="str">
        <f>"782248"</f>
        <v>782248</v>
      </c>
      <c r="B18681" t="s">
        <v>14751</v>
      </c>
      <c r="C18681" t="s">
        <v>415</v>
      </c>
      <c r="D18681" s="21" t="s">
        <v>34</v>
      </c>
      <c r="E18681" s="21" t="s">
        <v>254</v>
      </c>
      <c r="F18681">
        <v>8780447</v>
      </c>
      <c r="G18681" t="s">
        <v>9215</v>
      </c>
      <c r="H18681" s="21">
        <v>772.67</v>
      </c>
    </row>
    <row r="18682" spans="1:8" customFormat="1" x14ac:dyDescent="0.25">
      <c r="A18682" t="str">
        <f>"4428263"</f>
        <v>4428263</v>
      </c>
      <c r="B18682" t="s">
        <v>12729</v>
      </c>
      <c r="C18682" t="s">
        <v>239</v>
      </c>
      <c r="D18682" s="21" t="s">
        <v>34</v>
      </c>
      <c r="E18682" s="21" t="s">
        <v>35</v>
      </c>
      <c r="F18682">
        <v>12440066</v>
      </c>
      <c r="G18682" t="s">
        <v>7602</v>
      </c>
      <c r="H18682" s="21">
        <v>772.67</v>
      </c>
    </row>
    <row r="18683" spans="1:8" customFormat="1" x14ac:dyDescent="0.25">
      <c r="A18683" t="str">
        <f>"5726075"</f>
        <v>5726075</v>
      </c>
      <c r="B18683" t="s">
        <v>3707</v>
      </c>
      <c r="C18683" t="s">
        <v>119</v>
      </c>
      <c r="D18683" s="21" t="s">
        <v>34</v>
      </c>
      <c r="E18683" s="21" t="s">
        <v>35</v>
      </c>
      <c r="F18683">
        <v>6570132</v>
      </c>
      <c r="G18683" t="s">
        <v>26746</v>
      </c>
      <c r="H18683" s="21">
        <v>772.67</v>
      </c>
    </row>
    <row r="18684" spans="1:8" customFormat="1" x14ac:dyDescent="0.25">
      <c r="A18684" t="str">
        <f>"7846390"</f>
        <v>7846390</v>
      </c>
      <c r="B18684" t="s">
        <v>15108</v>
      </c>
      <c r="C18684" t="s">
        <v>15109</v>
      </c>
      <c r="D18684" s="21" t="s">
        <v>34</v>
      </c>
      <c r="E18684" s="21" t="s">
        <v>71</v>
      </c>
      <c r="F18684">
        <v>8781473</v>
      </c>
      <c r="G18684" t="s">
        <v>1097</v>
      </c>
      <c r="H18684" s="21">
        <v>772.67</v>
      </c>
    </row>
    <row r="18685" spans="1:8" customFormat="1" x14ac:dyDescent="0.25">
      <c r="A18685" t="str">
        <f>"5612078"</f>
        <v>5612078</v>
      </c>
      <c r="B18685" t="s">
        <v>136</v>
      </c>
      <c r="C18685" t="s">
        <v>33</v>
      </c>
      <c r="D18685" s="21" t="s">
        <v>34</v>
      </c>
      <c r="E18685" s="21" t="s">
        <v>254</v>
      </c>
      <c r="F18685">
        <v>3560072</v>
      </c>
      <c r="G18685" t="s">
        <v>12285</v>
      </c>
      <c r="H18685" s="21">
        <v>772.67</v>
      </c>
    </row>
    <row r="18686" spans="1:8" customFormat="1" x14ac:dyDescent="0.25">
      <c r="A18686" t="str">
        <f>"5323989"</f>
        <v>5323989</v>
      </c>
      <c r="B18686" t="s">
        <v>2854</v>
      </c>
      <c r="C18686" t="s">
        <v>87</v>
      </c>
      <c r="D18686" s="21" t="s">
        <v>34</v>
      </c>
      <c r="E18686" s="21" t="s">
        <v>35</v>
      </c>
      <c r="F18686">
        <v>12530074</v>
      </c>
      <c r="G18686" t="s">
        <v>6425</v>
      </c>
      <c r="H18686" s="21">
        <v>772.67</v>
      </c>
    </row>
    <row r="18687" spans="1:8" customFormat="1" x14ac:dyDescent="0.25">
      <c r="A18687" t="str">
        <f>"3110554"</f>
        <v>3110554</v>
      </c>
      <c r="B18687" t="s">
        <v>27540</v>
      </c>
      <c r="C18687" t="s">
        <v>269</v>
      </c>
      <c r="D18687" s="21" t="s">
        <v>34</v>
      </c>
      <c r="E18687" s="21" t="s">
        <v>35</v>
      </c>
      <c r="F18687">
        <v>11310115</v>
      </c>
      <c r="G18687" t="s">
        <v>10519</v>
      </c>
      <c r="H18687" s="21">
        <v>772.67</v>
      </c>
    </row>
    <row r="18688" spans="1:8" customFormat="1" x14ac:dyDescent="0.25">
      <c r="A18688" t="str">
        <f>"6939347"</f>
        <v>6939347</v>
      </c>
      <c r="B18688" t="s">
        <v>16095</v>
      </c>
      <c r="C18688" t="s">
        <v>249</v>
      </c>
      <c r="D18688" s="21" t="s">
        <v>34</v>
      </c>
      <c r="E18688" s="21" t="s">
        <v>71</v>
      </c>
      <c r="F18688">
        <v>1690030</v>
      </c>
      <c r="G18688" t="s">
        <v>432</v>
      </c>
      <c r="H18688" s="21">
        <v>772.67</v>
      </c>
    </row>
    <row r="18689" spans="1:8" customFormat="1" x14ac:dyDescent="0.25">
      <c r="A18689" t="str">
        <f>"622701"</f>
        <v>622701</v>
      </c>
      <c r="B18689" t="s">
        <v>13063</v>
      </c>
      <c r="C18689" t="s">
        <v>598</v>
      </c>
      <c r="D18689" s="21" t="s">
        <v>34</v>
      </c>
      <c r="E18689" s="21" t="s">
        <v>1089</v>
      </c>
      <c r="F18689">
        <v>7620154</v>
      </c>
      <c r="G18689" t="s">
        <v>13064</v>
      </c>
      <c r="H18689" s="21">
        <v>772.67</v>
      </c>
    </row>
    <row r="18690" spans="1:8" customFormat="1" x14ac:dyDescent="0.25">
      <c r="A18690" t="str">
        <f>"857619"</f>
        <v>857619</v>
      </c>
      <c r="B18690" t="s">
        <v>9084</v>
      </c>
      <c r="C18690" t="s">
        <v>263</v>
      </c>
      <c r="D18690" s="21" t="s">
        <v>34</v>
      </c>
      <c r="E18690" s="21" t="s">
        <v>35</v>
      </c>
      <c r="F18690">
        <v>12850051</v>
      </c>
      <c r="G18690" t="s">
        <v>5185</v>
      </c>
      <c r="H18690" s="21">
        <v>772.67</v>
      </c>
    </row>
    <row r="18691" spans="1:8" customFormat="1" x14ac:dyDescent="0.25">
      <c r="A18691" t="str">
        <f>"632094"</f>
        <v>632094</v>
      </c>
      <c r="B18691" t="s">
        <v>875</v>
      </c>
      <c r="C18691" t="s">
        <v>14889</v>
      </c>
      <c r="D18691" s="21" t="s">
        <v>34</v>
      </c>
      <c r="E18691" s="21" t="s">
        <v>254</v>
      </c>
      <c r="F18691">
        <v>1630123</v>
      </c>
      <c r="G18691" t="s">
        <v>1036</v>
      </c>
      <c r="H18691" s="21">
        <v>772.67</v>
      </c>
    </row>
    <row r="18692" spans="1:8" customFormat="1" x14ac:dyDescent="0.25">
      <c r="A18692" t="str">
        <f>"2923280"</f>
        <v>2923280</v>
      </c>
      <c r="B18692" t="s">
        <v>3313</v>
      </c>
      <c r="C18692" t="s">
        <v>598</v>
      </c>
      <c r="D18692" s="21" t="s">
        <v>34</v>
      </c>
      <c r="E18692" s="21" t="s">
        <v>35</v>
      </c>
      <c r="F18692">
        <v>3290036</v>
      </c>
      <c r="G18692" t="s">
        <v>3903</v>
      </c>
      <c r="H18692" s="21">
        <v>772.67</v>
      </c>
    </row>
    <row r="18693" spans="1:8" customFormat="1" x14ac:dyDescent="0.25">
      <c r="A18693" t="str">
        <f>"624289"</f>
        <v>624289</v>
      </c>
      <c r="B18693" t="s">
        <v>27541</v>
      </c>
      <c r="C18693" t="s">
        <v>269</v>
      </c>
      <c r="D18693" s="21" t="s">
        <v>34</v>
      </c>
      <c r="E18693" s="21" t="s">
        <v>71</v>
      </c>
      <c r="F18693">
        <v>7620007</v>
      </c>
      <c r="G18693" t="s">
        <v>2133</v>
      </c>
      <c r="H18693" s="21">
        <v>772.67</v>
      </c>
    </row>
    <row r="18694" spans="1:8" customFormat="1" x14ac:dyDescent="0.25">
      <c r="A18694" t="str">
        <f>"379994"</f>
        <v>379994</v>
      </c>
      <c r="B18694" t="s">
        <v>146</v>
      </c>
      <c r="C18694" t="s">
        <v>40</v>
      </c>
      <c r="D18694" s="21" t="s">
        <v>34</v>
      </c>
      <c r="E18694" s="21" t="s">
        <v>71</v>
      </c>
      <c r="F18694">
        <v>4370146</v>
      </c>
      <c r="G18694" t="s">
        <v>10990</v>
      </c>
      <c r="H18694" s="21">
        <v>772.67</v>
      </c>
    </row>
    <row r="18695" spans="1:8" customFormat="1" x14ac:dyDescent="0.25">
      <c r="A18695" t="str">
        <f>"194960"</f>
        <v>194960</v>
      </c>
      <c r="B18695" t="s">
        <v>4804</v>
      </c>
      <c r="C18695" t="s">
        <v>1199</v>
      </c>
      <c r="D18695" s="21" t="s">
        <v>34</v>
      </c>
      <c r="E18695" s="21" t="s">
        <v>254</v>
      </c>
      <c r="F18695">
        <v>10870029</v>
      </c>
      <c r="G18695" t="s">
        <v>15820</v>
      </c>
      <c r="H18695" s="21">
        <v>772.67</v>
      </c>
    </row>
    <row r="18696" spans="1:8" customFormat="1" x14ac:dyDescent="0.25">
      <c r="A18696" t="str">
        <f>"494766"</f>
        <v>494766</v>
      </c>
      <c r="B18696" t="s">
        <v>16218</v>
      </c>
      <c r="C18696" t="s">
        <v>169</v>
      </c>
      <c r="D18696" s="21" t="s">
        <v>34</v>
      </c>
      <c r="E18696" s="21" t="s">
        <v>254</v>
      </c>
      <c r="F18696">
        <v>12490080</v>
      </c>
      <c r="G18696" t="s">
        <v>5692</v>
      </c>
      <c r="H18696" s="21">
        <v>772.67</v>
      </c>
    </row>
    <row r="18697" spans="1:8" customFormat="1" x14ac:dyDescent="0.25">
      <c r="A18697" t="str">
        <f>"5946182"</f>
        <v>5946182</v>
      </c>
      <c r="B18697" t="s">
        <v>3146</v>
      </c>
      <c r="C18697" t="s">
        <v>114</v>
      </c>
      <c r="D18697" s="21" t="s">
        <v>34</v>
      </c>
      <c r="E18697" s="21" t="s">
        <v>71</v>
      </c>
      <c r="F18697">
        <v>7590028</v>
      </c>
      <c r="G18697" t="s">
        <v>251</v>
      </c>
      <c r="H18697" s="21">
        <v>772.67</v>
      </c>
    </row>
    <row r="18698" spans="1:8" customFormat="1" x14ac:dyDescent="0.25">
      <c r="A18698" t="str">
        <f>"5910975"</f>
        <v>5910975</v>
      </c>
      <c r="B18698" t="s">
        <v>16179</v>
      </c>
      <c r="C18698" t="s">
        <v>1914</v>
      </c>
      <c r="D18698" s="21" t="s">
        <v>34</v>
      </c>
      <c r="E18698" s="21" t="s">
        <v>254</v>
      </c>
      <c r="F18698">
        <v>7590184</v>
      </c>
      <c r="G18698" t="s">
        <v>6722</v>
      </c>
      <c r="H18698" s="21">
        <v>772.67</v>
      </c>
    </row>
    <row r="18699" spans="1:8" customFormat="1" x14ac:dyDescent="0.25">
      <c r="A18699" t="str">
        <f>"0617739"</f>
        <v>0617739</v>
      </c>
      <c r="B18699" t="s">
        <v>16404</v>
      </c>
      <c r="C18699" t="s">
        <v>388</v>
      </c>
      <c r="D18699" s="21" t="s">
        <v>34</v>
      </c>
      <c r="E18699" s="21" t="s">
        <v>35</v>
      </c>
      <c r="F18699">
        <v>13060074</v>
      </c>
      <c r="G18699" t="s">
        <v>13510</v>
      </c>
      <c r="H18699" s="21">
        <v>772.67</v>
      </c>
    </row>
    <row r="18700" spans="1:8" customFormat="1" x14ac:dyDescent="0.25">
      <c r="A18700" t="str">
        <f>"9134684"</f>
        <v>9134684</v>
      </c>
      <c r="B18700" t="s">
        <v>5098</v>
      </c>
      <c r="C18700" t="s">
        <v>1714</v>
      </c>
      <c r="D18700" s="21" t="s">
        <v>34</v>
      </c>
      <c r="E18700" s="21" t="s">
        <v>71</v>
      </c>
      <c r="F18700">
        <v>8940459</v>
      </c>
      <c r="G18700" t="s">
        <v>743</v>
      </c>
      <c r="H18700" s="21">
        <v>772.54</v>
      </c>
    </row>
    <row r="18701" spans="1:8" customFormat="1" x14ac:dyDescent="0.25">
      <c r="A18701" t="str">
        <f>"3425123"</f>
        <v>3425123</v>
      </c>
      <c r="B18701" t="s">
        <v>15337</v>
      </c>
      <c r="C18701" t="s">
        <v>9222</v>
      </c>
      <c r="D18701" s="21" t="s">
        <v>34</v>
      </c>
      <c r="E18701" s="21" t="s">
        <v>35</v>
      </c>
      <c r="F18701">
        <v>11340071</v>
      </c>
      <c r="G18701" t="s">
        <v>17733</v>
      </c>
      <c r="H18701" s="21">
        <v>772.42</v>
      </c>
    </row>
    <row r="18702" spans="1:8" customFormat="1" x14ac:dyDescent="0.25">
      <c r="A18702" t="str">
        <f>"4522804"</f>
        <v>4522804</v>
      </c>
      <c r="B18702" t="s">
        <v>9834</v>
      </c>
      <c r="C18702" t="s">
        <v>486</v>
      </c>
      <c r="D18702" s="21" t="s">
        <v>34</v>
      </c>
      <c r="E18702" s="21" t="s">
        <v>35</v>
      </c>
      <c r="F18702">
        <v>4450773</v>
      </c>
      <c r="G18702" t="s">
        <v>26903</v>
      </c>
      <c r="H18702" s="21">
        <v>772.42</v>
      </c>
    </row>
    <row r="18703" spans="1:8" customFormat="1" x14ac:dyDescent="0.25">
      <c r="A18703" t="str">
        <f>"6316770"</f>
        <v>6316770</v>
      </c>
      <c r="B18703" t="s">
        <v>2981</v>
      </c>
      <c r="C18703" t="s">
        <v>187</v>
      </c>
      <c r="D18703" s="21" t="s">
        <v>34</v>
      </c>
      <c r="E18703" s="21" t="s">
        <v>35</v>
      </c>
      <c r="F18703">
        <v>1630185</v>
      </c>
      <c r="G18703" t="s">
        <v>858</v>
      </c>
      <c r="H18703" s="21">
        <v>772.17</v>
      </c>
    </row>
    <row r="18704" spans="1:8" customFormat="1" x14ac:dyDescent="0.25">
      <c r="A18704" t="str">
        <f>"594905"</f>
        <v>594905</v>
      </c>
      <c r="B18704" t="s">
        <v>16520</v>
      </c>
      <c r="C18704" t="s">
        <v>10114</v>
      </c>
      <c r="D18704" s="21" t="s">
        <v>34</v>
      </c>
      <c r="E18704" s="21" t="s">
        <v>71</v>
      </c>
      <c r="F18704">
        <v>7590315</v>
      </c>
      <c r="G18704" t="s">
        <v>11823</v>
      </c>
      <c r="H18704" s="21">
        <v>772.17</v>
      </c>
    </row>
    <row r="18705" spans="1:8" customFormat="1" x14ac:dyDescent="0.25">
      <c r="A18705" t="str">
        <f>"2717359"</f>
        <v>2717359</v>
      </c>
      <c r="B18705" t="s">
        <v>15158</v>
      </c>
      <c r="C18705" t="s">
        <v>209</v>
      </c>
      <c r="D18705" s="21" t="s">
        <v>34</v>
      </c>
      <c r="E18705" s="21" t="s">
        <v>71</v>
      </c>
      <c r="F18705">
        <v>9270005</v>
      </c>
      <c r="G18705" t="s">
        <v>1255</v>
      </c>
      <c r="H18705" s="21">
        <v>772.17</v>
      </c>
    </row>
    <row r="18706" spans="1:8" customFormat="1" x14ac:dyDescent="0.25">
      <c r="A18706" t="str">
        <f>"161804"</f>
        <v>161804</v>
      </c>
      <c r="B18706" t="s">
        <v>2438</v>
      </c>
      <c r="C18706" t="s">
        <v>124</v>
      </c>
      <c r="D18706" s="21" t="s">
        <v>34</v>
      </c>
      <c r="E18706" s="21" t="s">
        <v>71</v>
      </c>
      <c r="F18706">
        <v>10160197</v>
      </c>
      <c r="G18706" t="s">
        <v>4472</v>
      </c>
      <c r="H18706" s="21">
        <v>772.17</v>
      </c>
    </row>
    <row r="18707" spans="1:8" customFormat="1" x14ac:dyDescent="0.25">
      <c r="A18707" t="str">
        <f>"9245966"</f>
        <v>9245966</v>
      </c>
      <c r="B18707" t="s">
        <v>19419</v>
      </c>
      <c r="C18707" t="s">
        <v>187</v>
      </c>
      <c r="D18707" s="21" t="s">
        <v>34</v>
      </c>
      <c r="E18707" s="21" t="s">
        <v>35</v>
      </c>
      <c r="F18707">
        <v>8920309</v>
      </c>
      <c r="G18707" t="s">
        <v>1894</v>
      </c>
      <c r="H18707" s="21">
        <v>772.17</v>
      </c>
    </row>
    <row r="18708" spans="1:8" customFormat="1" x14ac:dyDescent="0.25">
      <c r="A18708" t="str">
        <f>"9216326"</f>
        <v>9216326</v>
      </c>
      <c r="B18708" t="s">
        <v>17783</v>
      </c>
      <c r="C18708" t="s">
        <v>2520</v>
      </c>
      <c r="D18708" s="21" t="s">
        <v>34</v>
      </c>
      <c r="E18708" s="21" t="s">
        <v>71</v>
      </c>
      <c r="F18708">
        <v>3290029</v>
      </c>
      <c r="G18708" t="s">
        <v>11486</v>
      </c>
      <c r="H18708" s="21">
        <v>772.17</v>
      </c>
    </row>
    <row r="18709" spans="1:8" customFormat="1" x14ac:dyDescent="0.25">
      <c r="A18709" t="str">
        <f>"9432062"</f>
        <v>9432062</v>
      </c>
      <c r="B18709" t="s">
        <v>12363</v>
      </c>
      <c r="C18709" t="s">
        <v>1665</v>
      </c>
      <c r="D18709" s="21" t="s">
        <v>34</v>
      </c>
      <c r="E18709" s="21" t="s">
        <v>35</v>
      </c>
      <c r="F18709">
        <v>8940073</v>
      </c>
      <c r="G18709" t="s">
        <v>1085</v>
      </c>
      <c r="H18709" s="21">
        <v>772.17</v>
      </c>
    </row>
    <row r="18710" spans="1:8" customFormat="1" x14ac:dyDescent="0.25">
      <c r="A18710" t="str">
        <f>"5317707"</f>
        <v>5317707</v>
      </c>
      <c r="B18710" t="s">
        <v>10645</v>
      </c>
      <c r="C18710" t="s">
        <v>139</v>
      </c>
      <c r="D18710" s="21" t="s">
        <v>34</v>
      </c>
      <c r="E18710" s="21" t="s">
        <v>35</v>
      </c>
      <c r="F18710">
        <v>12530146</v>
      </c>
      <c r="G18710" t="s">
        <v>10916</v>
      </c>
      <c r="H18710" s="21">
        <v>772.17</v>
      </c>
    </row>
    <row r="18711" spans="1:8" customFormat="1" x14ac:dyDescent="0.25">
      <c r="A18711" t="str">
        <f>"5317898"</f>
        <v>5317898</v>
      </c>
      <c r="B18711" t="s">
        <v>9390</v>
      </c>
      <c r="C18711" t="s">
        <v>2907</v>
      </c>
      <c r="D18711" s="21" t="s">
        <v>34</v>
      </c>
      <c r="E18711" s="21" t="s">
        <v>71</v>
      </c>
      <c r="F18711">
        <v>12530010</v>
      </c>
      <c r="G18711" t="s">
        <v>7994</v>
      </c>
      <c r="H18711" s="21">
        <v>772.17</v>
      </c>
    </row>
    <row r="18712" spans="1:8" customFormat="1" x14ac:dyDescent="0.25">
      <c r="A18712" t="str">
        <f>"537597"</f>
        <v>537597</v>
      </c>
      <c r="B18712" t="s">
        <v>6634</v>
      </c>
      <c r="C18712" t="s">
        <v>40</v>
      </c>
      <c r="D18712" s="21" t="s">
        <v>34</v>
      </c>
      <c r="E18712" s="21" t="s">
        <v>71</v>
      </c>
      <c r="F18712">
        <v>12530074</v>
      </c>
      <c r="G18712" t="s">
        <v>6425</v>
      </c>
      <c r="H18712" s="21">
        <v>772.17</v>
      </c>
    </row>
    <row r="18713" spans="1:8" customFormat="1" x14ac:dyDescent="0.25">
      <c r="A18713" t="str">
        <f>"5724028"</f>
        <v>5724028</v>
      </c>
      <c r="B18713" t="s">
        <v>690</v>
      </c>
      <c r="C18713" t="s">
        <v>1231</v>
      </c>
      <c r="D18713" s="21" t="s">
        <v>34</v>
      </c>
      <c r="E18713" s="21" t="s">
        <v>1089</v>
      </c>
      <c r="F18713">
        <v>6570191</v>
      </c>
      <c r="G18713" t="s">
        <v>15791</v>
      </c>
      <c r="H18713" s="21">
        <v>772.17</v>
      </c>
    </row>
    <row r="18714" spans="1:8" customFormat="1" x14ac:dyDescent="0.25">
      <c r="A18714" t="str">
        <f>"617803"</f>
        <v>617803</v>
      </c>
      <c r="B18714" t="s">
        <v>14110</v>
      </c>
      <c r="C18714" t="s">
        <v>664</v>
      </c>
      <c r="D18714" s="21" t="s">
        <v>34</v>
      </c>
      <c r="E18714" s="21" t="s">
        <v>254</v>
      </c>
      <c r="F18714">
        <v>9610004</v>
      </c>
      <c r="G18714" t="s">
        <v>1042</v>
      </c>
      <c r="H18714" s="21">
        <v>772.17</v>
      </c>
    </row>
    <row r="18715" spans="1:8" customFormat="1" x14ac:dyDescent="0.25">
      <c r="A18715" t="str">
        <f>"44410"</f>
        <v>44410</v>
      </c>
      <c r="B18715" t="s">
        <v>15922</v>
      </c>
      <c r="C18715" t="s">
        <v>967</v>
      </c>
      <c r="D18715" s="21" t="s">
        <v>34</v>
      </c>
      <c r="E18715" s="21" t="s">
        <v>35</v>
      </c>
      <c r="F18715">
        <v>12440014</v>
      </c>
      <c r="G18715" t="s">
        <v>6767</v>
      </c>
      <c r="H18715" s="21">
        <v>772.17</v>
      </c>
    </row>
    <row r="18716" spans="1:8" customFormat="1" x14ac:dyDescent="0.25">
      <c r="A18716" t="str">
        <f>"4917869"</f>
        <v>4917869</v>
      </c>
      <c r="B18716" t="s">
        <v>1551</v>
      </c>
      <c r="C18716" t="s">
        <v>249</v>
      </c>
      <c r="D18716" s="21" t="s">
        <v>34</v>
      </c>
      <c r="E18716" s="21" t="s">
        <v>71</v>
      </c>
      <c r="F18716">
        <v>12490080</v>
      </c>
      <c r="G18716" t="s">
        <v>5692</v>
      </c>
      <c r="H18716" s="21">
        <v>772.17</v>
      </c>
    </row>
    <row r="18717" spans="1:8" customFormat="1" x14ac:dyDescent="0.25">
      <c r="A18717" t="str">
        <f>"2928347"</f>
        <v>2928347</v>
      </c>
      <c r="B18717" t="s">
        <v>8926</v>
      </c>
      <c r="C18717" t="s">
        <v>239</v>
      </c>
      <c r="D18717" s="21" t="s">
        <v>34</v>
      </c>
      <c r="E18717" s="21" t="s">
        <v>254</v>
      </c>
      <c r="F18717">
        <v>3290255</v>
      </c>
      <c r="G18717" t="s">
        <v>2852</v>
      </c>
      <c r="H18717" s="21">
        <v>772.17</v>
      </c>
    </row>
    <row r="18718" spans="1:8" customFormat="1" x14ac:dyDescent="0.25">
      <c r="A18718" t="str">
        <f>"282523"</f>
        <v>282523</v>
      </c>
      <c r="B18718" t="s">
        <v>15522</v>
      </c>
      <c r="C18718" t="s">
        <v>1665</v>
      </c>
      <c r="D18718" s="21" t="s">
        <v>34</v>
      </c>
      <c r="E18718" s="21" t="s">
        <v>254</v>
      </c>
      <c r="F18718">
        <v>4280202</v>
      </c>
      <c r="G18718" t="s">
        <v>2945</v>
      </c>
      <c r="H18718" s="21">
        <v>772.17</v>
      </c>
    </row>
    <row r="18719" spans="1:8" customFormat="1" x14ac:dyDescent="0.25">
      <c r="A18719" t="str">
        <f>"2930186"</f>
        <v>2930186</v>
      </c>
      <c r="B18719" t="s">
        <v>6686</v>
      </c>
      <c r="C18719" t="s">
        <v>15478</v>
      </c>
      <c r="D18719" s="21" t="s">
        <v>34</v>
      </c>
      <c r="E18719" s="21" t="s">
        <v>71</v>
      </c>
      <c r="F18719">
        <v>3290232</v>
      </c>
      <c r="G18719" t="s">
        <v>9588</v>
      </c>
      <c r="H18719" s="21">
        <v>772.17</v>
      </c>
    </row>
    <row r="18720" spans="1:8" customFormat="1" x14ac:dyDescent="0.25">
      <c r="A18720" t="str">
        <f>"4210980"</f>
        <v>4210980</v>
      </c>
      <c r="B18720" t="s">
        <v>400</v>
      </c>
      <c r="C18720" t="s">
        <v>16512</v>
      </c>
      <c r="D18720" s="21" t="s">
        <v>34</v>
      </c>
      <c r="E18720" s="21" t="s">
        <v>35</v>
      </c>
      <c r="F18720">
        <v>1420162</v>
      </c>
      <c r="G18720" t="s">
        <v>11209</v>
      </c>
      <c r="H18720" s="21">
        <v>772.17</v>
      </c>
    </row>
    <row r="18721" spans="1:8" customFormat="1" x14ac:dyDescent="0.25">
      <c r="A18721" t="str">
        <f>"7511173"</f>
        <v>7511173</v>
      </c>
      <c r="B18721" t="s">
        <v>11963</v>
      </c>
      <c r="C18721" t="s">
        <v>209</v>
      </c>
      <c r="D18721" s="21" t="s">
        <v>34</v>
      </c>
      <c r="E18721" s="21" t="s">
        <v>35</v>
      </c>
      <c r="F18721">
        <v>1690220</v>
      </c>
      <c r="G18721" t="s">
        <v>16783</v>
      </c>
      <c r="H18721" s="21">
        <v>772.17</v>
      </c>
    </row>
    <row r="18722" spans="1:8" customFormat="1" x14ac:dyDescent="0.25">
      <c r="A18722" t="str">
        <f>"2926147"</f>
        <v>2926147</v>
      </c>
      <c r="B18722" t="s">
        <v>14316</v>
      </c>
      <c r="C18722" t="s">
        <v>328</v>
      </c>
      <c r="D18722" s="21" t="s">
        <v>34</v>
      </c>
      <c r="E18722" s="21" t="s">
        <v>35</v>
      </c>
      <c r="F18722">
        <v>3290229</v>
      </c>
      <c r="G18722" t="s">
        <v>408</v>
      </c>
      <c r="H18722" s="21">
        <v>772.17</v>
      </c>
    </row>
    <row r="18723" spans="1:8" customFormat="1" x14ac:dyDescent="0.25">
      <c r="A18723" t="str">
        <f>"7728540"</f>
        <v>7728540</v>
      </c>
      <c r="B18723" t="s">
        <v>2883</v>
      </c>
      <c r="C18723" t="s">
        <v>65</v>
      </c>
      <c r="D18723" s="21" t="s">
        <v>34</v>
      </c>
      <c r="E18723" s="21" t="s">
        <v>71</v>
      </c>
      <c r="F18723">
        <v>8771501</v>
      </c>
      <c r="G18723" t="s">
        <v>10128</v>
      </c>
      <c r="H18723" s="21">
        <v>772.04</v>
      </c>
    </row>
    <row r="18724" spans="1:8" customFormat="1" x14ac:dyDescent="0.25">
      <c r="A18724" t="str">
        <f>"4110164"</f>
        <v>4110164</v>
      </c>
      <c r="B18724" t="s">
        <v>14702</v>
      </c>
      <c r="C18724" t="s">
        <v>156</v>
      </c>
      <c r="D18724" s="21" t="s">
        <v>34</v>
      </c>
      <c r="E18724" s="21" t="s">
        <v>254</v>
      </c>
      <c r="F18724">
        <v>4410636</v>
      </c>
      <c r="G18724" t="s">
        <v>8111</v>
      </c>
      <c r="H18724" s="21">
        <v>771.92</v>
      </c>
    </row>
    <row r="18725" spans="1:8" customFormat="1" x14ac:dyDescent="0.25">
      <c r="A18725" t="str">
        <f>"1717412"</f>
        <v>1717412</v>
      </c>
      <c r="B18725" t="s">
        <v>22105</v>
      </c>
      <c r="C18725" t="s">
        <v>156</v>
      </c>
      <c r="D18725" s="21" t="s">
        <v>34</v>
      </c>
      <c r="E18725" s="21" t="s">
        <v>35</v>
      </c>
      <c r="F18725">
        <v>10170158</v>
      </c>
      <c r="G18725" t="s">
        <v>1262</v>
      </c>
      <c r="H18725" s="21">
        <v>771.92</v>
      </c>
    </row>
    <row r="18726" spans="1:8" customFormat="1" x14ac:dyDescent="0.25">
      <c r="A18726" t="str">
        <f>"349185"</f>
        <v>349185</v>
      </c>
      <c r="B18726" t="s">
        <v>16070</v>
      </c>
      <c r="C18726" t="s">
        <v>879</v>
      </c>
      <c r="D18726" s="21" t="s">
        <v>34</v>
      </c>
      <c r="E18726" s="21" t="s">
        <v>254</v>
      </c>
      <c r="F18726">
        <v>11340053</v>
      </c>
      <c r="G18726" t="s">
        <v>9935</v>
      </c>
      <c r="H18726" s="21">
        <v>771.92</v>
      </c>
    </row>
    <row r="18727" spans="1:8" customFormat="1" x14ac:dyDescent="0.25">
      <c r="A18727" t="str">
        <f>"5312631"</f>
        <v>5312631</v>
      </c>
      <c r="B18727" t="s">
        <v>2690</v>
      </c>
      <c r="C18727" t="s">
        <v>121</v>
      </c>
      <c r="D18727" s="21" t="s">
        <v>34</v>
      </c>
      <c r="E18727" s="21" t="s">
        <v>35</v>
      </c>
      <c r="F18727">
        <v>12530106</v>
      </c>
      <c r="G18727" t="s">
        <v>27079</v>
      </c>
      <c r="H18727" s="21">
        <v>771.92</v>
      </c>
    </row>
    <row r="18728" spans="1:8" customFormat="1" x14ac:dyDescent="0.25">
      <c r="A18728" t="str">
        <f>"9234780"</f>
        <v>9234780</v>
      </c>
      <c r="B18728" t="s">
        <v>14682</v>
      </c>
      <c r="C18728" t="s">
        <v>801</v>
      </c>
      <c r="D18728" s="21" t="s">
        <v>34</v>
      </c>
      <c r="E18728" s="21" t="s">
        <v>35</v>
      </c>
      <c r="F18728">
        <v>8931462</v>
      </c>
      <c r="G18728" t="s">
        <v>14683</v>
      </c>
      <c r="H18728" s="21">
        <v>771.79</v>
      </c>
    </row>
    <row r="18729" spans="1:8" customFormat="1" x14ac:dyDescent="0.25">
      <c r="A18729" t="str">
        <f>"2513483"</f>
        <v>2513483</v>
      </c>
      <c r="B18729" t="s">
        <v>17501</v>
      </c>
      <c r="C18729" t="s">
        <v>90</v>
      </c>
      <c r="D18729" s="21" t="s">
        <v>34</v>
      </c>
      <c r="E18729" s="21" t="s">
        <v>71</v>
      </c>
      <c r="F18729">
        <v>2250186</v>
      </c>
      <c r="G18729" t="s">
        <v>7290</v>
      </c>
      <c r="H18729" s="21">
        <v>771.67</v>
      </c>
    </row>
    <row r="18730" spans="1:8" customFormat="1" x14ac:dyDescent="0.25">
      <c r="A18730" t="str">
        <f>"5970502"</f>
        <v>5970502</v>
      </c>
      <c r="B18730" t="s">
        <v>16742</v>
      </c>
      <c r="C18730" t="s">
        <v>285</v>
      </c>
      <c r="D18730" s="21" t="s">
        <v>34</v>
      </c>
      <c r="E18730" s="21" t="s">
        <v>35</v>
      </c>
      <c r="F18730">
        <v>7590281</v>
      </c>
      <c r="G18730" t="s">
        <v>7165</v>
      </c>
      <c r="H18730" s="21">
        <v>771.67</v>
      </c>
    </row>
    <row r="18731" spans="1:8" customFormat="1" x14ac:dyDescent="0.25">
      <c r="A18731" t="str">
        <f>"9143365"</f>
        <v>9143365</v>
      </c>
      <c r="B18731" t="s">
        <v>13178</v>
      </c>
      <c r="C18731" t="s">
        <v>55</v>
      </c>
      <c r="D18731" s="21" t="s">
        <v>34</v>
      </c>
      <c r="E18731" s="21" t="s">
        <v>71</v>
      </c>
      <c r="F18731">
        <v>8910652</v>
      </c>
      <c r="G18731" t="s">
        <v>6533</v>
      </c>
      <c r="H18731" s="21">
        <v>771.67</v>
      </c>
    </row>
    <row r="18732" spans="1:8" customFormat="1" x14ac:dyDescent="0.25">
      <c r="A18732" t="str">
        <f>"0112518"</f>
        <v>0112518</v>
      </c>
      <c r="B18732" t="s">
        <v>15607</v>
      </c>
      <c r="C18732" t="s">
        <v>239</v>
      </c>
      <c r="D18732" s="21" t="s">
        <v>34</v>
      </c>
      <c r="E18732" s="21" t="s">
        <v>35</v>
      </c>
      <c r="F18732">
        <v>1010031</v>
      </c>
      <c r="G18732" t="s">
        <v>8957</v>
      </c>
      <c r="H18732" s="21">
        <v>771.67</v>
      </c>
    </row>
    <row r="18733" spans="1:8" customFormat="1" x14ac:dyDescent="0.25">
      <c r="A18733" t="str">
        <f>"751222"</f>
        <v>751222</v>
      </c>
      <c r="B18733" t="s">
        <v>15251</v>
      </c>
      <c r="C18733" t="s">
        <v>171</v>
      </c>
      <c r="D18733" s="21" t="s">
        <v>34</v>
      </c>
      <c r="E18733" s="21" t="s">
        <v>71</v>
      </c>
      <c r="F18733">
        <v>8751271</v>
      </c>
      <c r="G18733" t="s">
        <v>1067</v>
      </c>
      <c r="H18733" s="21">
        <v>771.67</v>
      </c>
    </row>
    <row r="18734" spans="1:8" customFormat="1" x14ac:dyDescent="0.25">
      <c r="A18734" t="str">
        <f>"3316659"</f>
        <v>3316659</v>
      </c>
      <c r="B18734" t="s">
        <v>15857</v>
      </c>
      <c r="C18734" t="s">
        <v>415</v>
      </c>
      <c r="D18734" s="21" t="s">
        <v>34</v>
      </c>
      <c r="E18734" s="21" t="s">
        <v>71</v>
      </c>
      <c r="F18734">
        <v>10330040</v>
      </c>
      <c r="G18734" t="s">
        <v>1492</v>
      </c>
      <c r="H18734" s="21">
        <v>771.67</v>
      </c>
    </row>
    <row r="18735" spans="1:8" customFormat="1" x14ac:dyDescent="0.25">
      <c r="A18735" t="str">
        <f>"193862"</f>
        <v>193862</v>
      </c>
      <c r="B18735" t="s">
        <v>16569</v>
      </c>
      <c r="C18735" t="s">
        <v>269</v>
      </c>
      <c r="D18735" s="21" t="s">
        <v>34</v>
      </c>
      <c r="E18735" s="21" t="s">
        <v>254</v>
      </c>
      <c r="F18735">
        <v>10190111</v>
      </c>
      <c r="G18735" t="s">
        <v>13161</v>
      </c>
      <c r="H18735" s="21">
        <v>771.67</v>
      </c>
    </row>
    <row r="18736" spans="1:8" customFormat="1" x14ac:dyDescent="0.25">
      <c r="A18736" t="str">
        <f>"5963664"</f>
        <v>5963664</v>
      </c>
      <c r="B18736" t="s">
        <v>15422</v>
      </c>
      <c r="C18736" t="s">
        <v>87</v>
      </c>
      <c r="D18736" s="21" t="s">
        <v>34</v>
      </c>
      <c r="E18736" s="21" t="s">
        <v>35</v>
      </c>
      <c r="F18736">
        <v>7590392</v>
      </c>
      <c r="G18736" t="s">
        <v>154</v>
      </c>
      <c r="H18736" s="21">
        <v>771.67</v>
      </c>
    </row>
    <row r="18737" spans="1:8" customFormat="1" x14ac:dyDescent="0.25">
      <c r="A18737" t="str">
        <f>"767339"</f>
        <v>767339</v>
      </c>
      <c r="B18737" t="s">
        <v>3428</v>
      </c>
      <c r="C18737" t="s">
        <v>822</v>
      </c>
      <c r="D18737" s="21" t="s">
        <v>34</v>
      </c>
      <c r="E18737" s="21" t="s">
        <v>71</v>
      </c>
      <c r="F18737">
        <v>9760082</v>
      </c>
      <c r="G18737" t="s">
        <v>2387</v>
      </c>
      <c r="H18737" s="21">
        <v>771.67</v>
      </c>
    </row>
    <row r="18738" spans="1:8" customFormat="1" x14ac:dyDescent="0.25">
      <c r="A18738" t="str">
        <f>"1162"</f>
        <v>1162</v>
      </c>
      <c r="B18738" t="s">
        <v>14868</v>
      </c>
      <c r="C18738" t="s">
        <v>14987</v>
      </c>
      <c r="D18738" s="21" t="s">
        <v>34</v>
      </c>
      <c r="E18738" s="21" t="s">
        <v>254</v>
      </c>
      <c r="F18738">
        <v>11110013</v>
      </c>
      <c r="G18738" t="s">
        <v>640</v>
      </c>
      <c r="H18738" s="21">
        <v>771.67</v>
      </c>
    </row>
    <row r="18739" spans="1:8" customFormat="1" x14ac:dyDescent="0.25">
      <c r="A18739" t="str">
        <f>"6720876"</f>
        <v>6720876</v>
      </c>
      <c r="B18739" t="s">
        <v>15118</v>
      </c>
      <c r="C18739" t="s">
        <v>879</v>
      </c>
      <c r="D18739" s="21" t="s">
        <v>34</v>
      </c>
      <c r="E18739" s="21" t="s">
        <v>35</v>
      </c>
      <c r="F18739">
        <v>6670219</v>
      </c>
      <c r="G18739" t="s">
        <v>9361</v>
      </c>
      <c r="H18739" s="21">
        <v>771.67</v>
      </c>
    </row>
    <row r="18740" spans="1:8" customFormat="1" x14ac:dyDescent="0.25">
      <c r="A18740" t="str">
        <f>"7211195"</f>
        <v>7211195</v>
      </c>
      <c r="B18740" t="s">
        <v>1872</v>
      </c>
      <c r="C18740" t="s">
        <v>547</v>
      </c>
      <c r="D18740" s="21" t="s">
        <v>34</v>
      </c>
      <c r="E18740" s="21" t="s">
        <v>1089</v>
      </c>
      <c r="F18740">
        <v>12720020</v>
      </c>
      <c r="G18740" t="s">
        <v>8402</v>
      </c>
      <c r="H18740" s="21">
        <v>771.67</v>
      </c>
    </row>
    <row r="18741" spans="1:8" customFormat="1" x14ac:dyDescent="0.25">
      <c r="A18741" t="str">
        <f>"7218663"</f>
        <v>7218663</v>
      </c>
      <c r="B18741" t="s">
        <v>8668</v>
      </c>
      <c r="C18741" t="s">
        <v>1142</v>
      </c>
      <c r="D18741" s="21" t="s">
        <v>34</v>
      </c>
      <c r="E18741" s="21" t="s">
        <v>71</v>
      </c>
      <c r="F18741">
        <v>12720050</v>
      </c>
      <c r="G18741" t="s">
        <v>5522</v>
      </c>
      <c r="H18741" s="21">
        <v>771.67</v>
      </c>
    </row>
    <row r="18742" spans="1:8" customFormat="1" x14ac:dyDescent="0.25">
      <c r="A18742" t="str">
        <f>"4919036"</f>
        <v>4919036</v>
      </c>
      <c r="B18742" t="s">
        <v>15809</v>
      </c>
      <c r="C18742" t="s">
        <v>2730</v>
      </c>
      <c r="D18742" s="21" t="s">
        <v>34</v>
      </c>
      <c r="E18742" s="21" t="s">
        <v>71</v>
      </c>
      <c r="F18742">
        <v>12490132</v>
      </c>
      <c r="G18742" t="s">
        <v>1125</v>
      </c>
      <c r="H18742" s="21">
        <v>771.67</v>
      </c>
    </row>
    <row r="18743" spans="1:8" customFormat="1" x14ac:dyDescent="0.25">
      <c r="A18743" t="str">
        <f>"7617136"</f>
        <v>7617136</v>
      </c>
      <c r="B18743" t="s">
        <v>4787</v>
      </c>
      <c r="C18743" t="s">
        <v>124</v>
      </c>
      <c r="D18743" s="21" t="s">
        <v>34</v>
      </c>
      <c r="E18743" s="21" t="s">
        <v>71</v>
      </c>
      <c r="F18743">
        <v>9760266</v>
      </c>
      <c r="G18743" t="s">
        <v>1891</v>
      </c>
      <c r="H18743" s="21">
        <v>771.67</v>
      </c>
    </row>
    <row r="18744" spans="1:8" customFormat="1" x14ac:dyDescent="0.25">
      <c r="A18744" t="str">
        <f>"523226"</f>
        <v>523226</v>
      </c>
      <c r="B18744" t="s">
        <v>5804</v>
      </c>
      <c r="C18744" t="s">
        <v>768</v>
      </c>
      <c r="D18744" s="21" t="s">
        <v>34</v>
      </c>
      <c r="E18744" s="21" t="s">
        <v>35</v>
      </c>
      <c r="F18744">
        <v>12850016</v>
      </c>
      <c r="G18744" t="s">
        <v>26554</v>
      </c>
      <c r="H18744" s="21">
        <v>771.67</v>
      </c>
    </row>
    <row r="18745" spans="1:8" customFormat="1" x14ac:dyDescent="0.25">
      <c r="A18745" t="str">
        <f>"9135774"</f>
        <v>9135774</v>
      </c>
      <c r="B18745" t="s">
        <v>14527</v>
      </c>
      <c r="C18745" t="s">
        <v>12899</v>
      </c>
      <c r="D18745" s="21" t="s">
        <v>34</v>
      </c>
      <c r="E18745" s="21" t="s">
        <v>35</v>
      </c>
      <c r="F18745">
        <v>8910028</v>
      </c>
      <c r="G18745" t="s">
        <v>2634</v>
      </c>
      <c r="H18745" s="21">
        <v>771.67</v>
      </c>
    </row>
    <row r="18746" spans="1:8" customFormat="1" x14ac:dyDescent="0.25">
      <c r="A18746" t="str">
        <f>"4924356"</f>
        <v>4924356</v>
      </c>
      <c r="B18746" t="s">
        <v>14745</v>
      </c>
      <c r="C18746" t="s">
        <v>14746</v>
      </c>
      <c r="D18746" s="21" t="s">
        <v>34</v>
      </c>
      <c r="E18746" s="21" t="s">
        <v>35</v>
      </c>
      <c r="F18746">
        <v>12490061</v>
      </c>
      <c r="G18746" t="s">
        <v>969</v>
      </c>
      <c r="H18746" s="21">
        <v>771.67</v>
      </c>
    </row>
    <row r="18747" spans="1:8" customFormat="1" x14ac:dyDescent="0.25">
      <c r="A18747" t="str">
        <f>"162919"</f>
        <v>162919</v>
      </c>
      <c r="B18747" t="s">
        <v>15796</v>
      </c>
      <c r="C18747" t="s">
        <v>1271</v>
      </c>
      <c r="D18747" s="21" t="s">
        <v>34</v>
      </c>
      <c r="E18747" s="21" t="s">
        <v>1089</v>
      </c>
      <c r="F18747">
        <v>10160044</v>
      </c>
      <c r="G18747" t="s">
        <v>4941</v>
      </c>
      <c r="H18747" s="21">
        <v>771.67</v>
      </c>
    </row>
    <row r="18748" spans="1:8" customFormat="1" x14ac:dyDescent="0.25">
      <c r="A18748" t="str">
        <f>"9115630"</f>
        <v>9115630</v>
      </c>
      <c r="B18748" t="s">
        <v>14184</v>
      </c>
      <c r="C18748" t="s">
        <v>14185</v>
      </c>
      <c r="D18748" s="21" t="s">
        <v>34</v>
      </c>
      <c r="E18748" s="21" t="s">
        <v>254</v>
      </c>
      <c r="F18748">
        <v>13830031</v>
      </c>
      <c r="G18748" t="s">
        <v>8301</v>
      </c>
      <c r="H18748" s="21">
        <v>771.67</v>
      </c>
    </row>
    <row r="18749" spans="1:8" customFormat="1" x14ac:dyDescent="0.25">
      <c r="A18749" t="str">
        <f>"6316562"</f>
        <v>6316562</v>
      </c>
      <c r="B18749" t="s">
        <v>21203</v>
      </c>
      <c r="C18749" t="s">
        <v>1132</v>
      </c>
      <c r="D18749" s="21" t="s">
        <v>34</v>
      </c>
      <c r="E18749" s="21" t="s">
        <v>35</v>
      </c>
      <c r="F18749">
        <v>1630330</v>
      </c>
      <c r="G18749" t="s">
        <v>7263</v>
      </c>
      <c r="H18749" s="21">
        <v>771.67</v>
      </c>
    </row>
    <row r="18750" spans="1:8" customFormat="1" x14ac:dyDescent="0.25">
      <c r="A18750" t="str">
        <f>"9434495"</f>
        <v>9434495</v>
      </c>
      <c r="B18750" t="s">
        <v>14045</v>
      </c>
      <c r="C18750" t="s">
        <v>65</v>
      </c>
      <c r="D18750" s="21" t="s">
        <v>34</v>
      </c>
      <c r="E18750" s="21" t="s">
        <v>71</v>
      </c>
      <c r="F18750">
        <v>8750007</v>
      </c>
      <c r="G18750" t="s">
        <v>775</v>
      </c>
      <c r="H18750" s="21">
        <v>771.54</v>
      </c>
    </row>
    <row r="18751" spans="1:8" customFormat="1" x14ac:dyDescent="0.25">
      <c r="A18751" t="str">
        <f>"3537218"</f>
        <v>3537218</v>
      </c>
      <c r="B18751" t="s">
        <v>1861</v>
      </c>
      <c r="C18751" t="s">
        <v>82</v>
      </c>
      <c r="D18751" s="21" t="s">
        <v>34</v>
      </c>
      <c r="E18751" s="21" t="s">
        <v>35</v>
      </c>
      <c r="F18751">
        <v>3350060</v>
      </c>
      <c r="G18751" t="s">
        <v>38</v>
      </c>
      <c r="H18751" s="21">
        <v>771.5</v>
      </c>
    </row>
    <row r="18752" spans="1:8" customFormat="1" x14ac:dyDescent="0.25">
      <c r="A18752" t="str">
        <f>"4710998"</f>
        <v>4710998</v>
      </c>
      <c r="B18752" t="s">
        <v>2261</v>
      </c>
      <c r="C18752" t="s">
        <v>17345</v>
      </c>
      <c r="D18752" s="21" t="s">
        <v>34</v>
      </c>
      <c r="E18752" s="21" t="s">
        <v>254</v>
      </c>
      <c r="F18752">
        <v>10470006</v>
      </c>
      <c r="G18752" t="s">
        <v>1225</v>
      </c>
      <c r="H18752" s="21">
        <v>771.42</v>
      </c>
    </row>
    <row r="18753" spans="1:8" customFormat="1" x14ac:dyDescent="0.25">
      <c r="A18753" t="str">
        <f>"667377"</f>
        <v>667377</v>
      </c>
      <c r="B18753" t="s">
        <v>9739</v>
      </c>
      <c r="C18753" t="s">
        <v>204</v>
      </c>
      <c r="D18753" s="21" t="s">
        <v>34</v>
      </c>
      <c r="E18753" s="21" t="s">
        <v>35</v>
      </c>
      <c r="F18753">
        <v>11660011</v>
      </c>
      <c r="G18753" t="s">
        <v>4641</v>
      </c>
      <c r="H18753" s="21">
        <v>771.42</v>
      </c>
    </row>
    <row r="18754" spans="1:8" customFormat="1" x14ac:dyDescent="0.25">
      <c r="A18754" t="str">
        <f>"5947464"</f>
        <v>5947464</v>
      </c>
      <c r="B18754" t="s">
        <v>1206</v>
      </c>
      <c r="C18754" t="s">
        <v>156</v>
      </c>
      <c r="D18754" s="21" t="s">
        <v>34</v>
      </c>
      <c r="E18754" s="21" t="s">
        <v>71</v>
      </c>
      <c r="F18754">
        <v>7590053</v>
      </c>
      <c r="G18754" t="s">
        <v>2825</v>
      </c>
      <c r="H18754" s="21">
        <v>771.42</v>
      </c>
    </row>
    <row r="18755" spans="1:8" customFormat="1" x14ac:dyDescent="0.25">
      <c r="A18755" t="str">
        <f>"5325388"</f>
        <v>5325388</v>
      </c>
      <c r="B18755" t="s">
        <v>16368</v>
      </c>
      <c r="C18755" t="s">
        <v>209</v>
      </c>
      <c r="D18755" s="21" t="s">
        <v>34</v>
      </c>
      <c r="E18755" s="21" t="s">
        <v>71</v>
      </c>
      <c r="F18755">
        <v>12530072</v>
      </c>
      <c r="G18755" t="s">
        <v>7342</v>
      </c>
      <c r="H18755" s="21">
        <v>771.17</v>
      </c>
    </row>
    <row r="18756" spans="1:8" customFormat="1" x14ac:dyDescent="0.25">
      <c r="A18756" t="str">
        <f>"2213306"</f>
        <v>2213306</v>
      </c>
      <c r="B18756" t="s">
        <v>1551</v>
      </c>
      <c r="C18756" t="s">
        <v>171</v>
      </c>
      <c r="D18756" s="21" t="s">
        <v>34</v>
      </c>
      <c r="E18756" s="21" t="s">
        <v>35</v>
      </c>
      <c r="F18756">
        <v>3220011</v>
      </c>
      <c r="G18756" t="s">
        <v>27394</v>
      </c>
      <c r="H18756" s="21">
        <v>771.17</v>
      </c>
    </row>
    <row r="18757" spans="1:8" customFormat="1" x14ac:dyDescent="0.25">
      <c r="A18757" t="str">
        <f>"7611767"</f>
        <v>7611767</v>
      </c>
      <c r="B18757" t="s">
        <v>14637</v>
      </c>
      <c r="C18757" t="s">
        <v>65</v>
      </c>
      <c r="D18757" s="21" t="s">
        <v>34</v>
      </c>
      <c r="E18757" s="21" t="s">
        <v>35</v>
      </c>
      <c r="F18757">
        <v>9760448</v>
      </c>
      <c r="G18757" t="s">
        <v>11345</v>
      </c>
      <c r="H18757" s="21">
        <v>771.17</v>
      </c>
    </row>
    <row r="18758" spans="1:8" customFormat="1" x14ac:dyDescent="0.25">
      <c r="A18758" t="str">
        <f>"5425354"</f>
        <v>5425354</v>
      </c>
      <c r="B18758" t="s">
        <v>9380</v>
      </c>
      <c r="C18758" t="s">
        <v>608</v>
      </c>
      <c r="D18758" s="21" t="s">
        <v>34</v>
      </c>
      <c r="E18758" s="21" t="s">
        <v>35</v>
      </c>
      <c r="F18758">
        <v>6540040</v>
      </c>
      <c r="G18758" t="s">
        <v>256</v>
      </c>
      <c r="H18758" s="21">
        <v>771.17</v>
      </c>
    </row>
    <row r="18759" spans="1:8" customFormat="1" x14ac:dyDescent="0.25">
      <c r="A18759" t="str">
        <f>"5714039"</f>
        <v>5714039</v>
      </c>
      <c r="B18759" t="s">
        <v>16134</v>
      </c>
      <c r="C18759" t="s">
        <v>60</v>
      </c>
      <c r="D18759" s="21" t="s">
        <v>34</v>
      </c>
      <c r="E18759" s="21" t="s">
        <v>71</v>
      </c>
      <c r="F18759">
        <v>6570125</v>
      </c>
      <c r="G18759" t="s">
        <v>14599</v>
      </c>
      <c r="H18759" s="21">
        <v>771.17</v>
      </c>
    </row>
    <row r="18760" spans="1:8" customFormat="1" x14ac:dyDescent="0.25">
      <c r="A18760" t="str">
        <f>"2714349"</f>
        <v>2714349</v>
      </c>
      <c r="B18760" t="s">
        <v>15417</v>
      </c>
      <c r="C18760" t="s">
        <v>462</v>
      </c>
      <c r="D18760" s="21" t="s">
        <v>34</v>
      </c>
      <c r="E18760" s="21" t="s">
        <v>71</v>
      </c>
      <c r="F18760">
        <v>9270069</v>
      </c>
      <c r="G18760" t="s">
        <v>3509</v>
      </c>
      <c r="H18760" s="21">
        <v>771.17</v>
      </c>
    </row>
    <row r="18761" spans="1:8" customFormat="1" x14ac:dyDescent="0.25">
      <c r="A18761" t="str">
        <f>"2713123"</f>
        <v>2713123</v>
      </c>
      <c r="B18761" t="s">
        <v>146</v>
      </c>
      <c r="C18761" t="s">
        <v>249</v>
      </c>
      <c r="D18761" s="21" t="s">
        <v>34</v>
      </c>
      <c r="E18761" s="21" t="s">
        <v>35</v>
      </c>
      <c r="F18761">
        <v>9270175</v>
      </c>
      <c r="G18761" t="s">
        <v>1909</v>
      </c>
      <c r="H18761" s="21">
        <v>771.17</v>
      </c>
    </row>
    <row r="18762" spans="1:8" customFormat="1" x14ac:dyDescent="0.25">
      <c r="A18762" t="str">
        <f>"7710924"</f>
        <v>7710924</v>
      </c>
      <c r="B18762" t="s">
        <v>16775</v>
      </c>
      <c r="C18762" t="s">
        <v>263</v>
      </c>
      <c r="D18762" s="21" t="s">
        <v>34</v>
      </c>
      <c r="E18762" s="21" t="s">
        <v>254</v>
      </c>
      <c r="F18762">
        <v>8771394</v>
      </c>
      <c r="G18762" t="s">
        <v>1933</v>
      </c>
      <c r="H18762" s="21">
        <v>771.17</v>
      </c>
    </row>
    <row r="18763" spans="1:8" customFormat="1" x14ac:dyDescent="0.25">
      <c r="A18763" t="str">
        <f>"2911720"</f>
        <v>2911720</v>
      </c>
      <c r="B18763" t="s">
        <v>7847</v>
      </c>
      <c r="C18763" t="s">
        <v>3073</v>
      </c>
      <c r="D18763" s="21" t="s">
        <v>34</v>
      </c>
      <c r="E18763" s="21" t="s">
        <v>71</v>
      </c>
      <c r="F18763">
        <v>3290047</v>
      </c>
      <c r="G18763" t="s">
        <v>2874</v>
      </c>
      <c r="H18763" s="21">
        <v>771.17</v>
      </c>
    </row>
    <row r="18764" spans="1:8" customFormat="1" x14ac:dyDescent="0.25">
      <c r="A18764" t="str">
        <f>"3725123"</f>
        <v>3725123</v>
      </c>
      <c r="B18764" t="s">
        <v>17940</v>
      </c>
      <c r="C18764" t="s">
        <v>17458</v>
      </c>
      <c r="D18764" s="21" t="s">
        <v>34</v>
      </c>
      <c r="E18764" s="21" t="s">
        <v>35</v>
      </c>
      <c r="F18764">
        <v>4370015</v>
      </c>
      <c r="G18764" t="s">
        <v>17941</v>
      </c>
      <c r="H18764" s="21">
        <v>771.17</v>
      </c>
    </row>
    <row r="18765" spans="1:8" customFormat="1" x14ac:dyDescent="0.25">
      <c r="A18765" t="str">
        <f>"419491"</f>
        <v>419491</v>
      </c>
      <c r="B18765" t="s">
        <v>3646</v>
      </c>
      <c r="C18765" t="s">
        <v>381</v>
      </c>
      <c r="D18765" s="21" t="s">
        <v>34</v>
      </c>
      <c r="E18765" s="21" t="s">
        <v>71</v>
      </c>
      <c r="F18765">
        <v>4410083</v>
      </c>
      <c r="G18765" t="s">
        <v>2333</v>
      </c>
      <c r="H18765" s="21">
        <v>771.17</v>
      </c>
    </row>
    <row r="18766" spans="1:8" customFormat="1" x14ac:dyDescent="0.25">
      <c r="A18766" t="str">
        <f>"4418384"</f>
        <v>4418384</v>
      </c>
      <c r="B18766" t="s">
        <v>8373</v>
      </c>
      <c r="C18766" t="s">
        <v>249</v>
      </c>
      <c r="D18766" s="21" t="s">
        <v>34</v>
      </c>
      <c r="E18766" s="21" t="s">
        <v>254</v>
      </c>
      <c r="F18766">
        <v>12440266</v>
      </c>
      <c r="G18766" t="s">
        <v>924</v>
      </c>
      <c r="H18766" s="21">
        <v>771.17</v>
      </c>
    </row>
    <row r="18767" spans="1:8" customFormat="1" x14ac:dyDescent="0.25">
      <c r="A18767" t="str">
        <f>"7611065"</f>
        <v>7611065</v>
      </c>
      <c r="B18767" t="s">
        <v>16239</v>
      </c>
      <c r="C18767" t="s">
        <v>2529</v>
      </c>
      <c r="D18767" s="21" t="s">
        <v>34</v>
      </c>
      <c r="E18767" s="21" t="s">
        <v>71</v>
      </c>
      <c r="F18767">
        <v>9760351</v>
      </c>
      <c r="G18767" t="s">
        <v>5898</v>
      </c>
      <c r="H18767" s="21">
        <v>771.17</v>
      </c>
    </row>
    <row r="18768" spans="1:8" customFormat="1" x14ac:dyDescent="0.25">
      <c r="A18768" t="str">
        <f>"508533"</f>
        <v>508533</v>
      </c>
      <c r="B18768" t="s">
        <v>3146</v>
      </c>
      <c r="C18768" t="s">
        <v>33</v>
      </c>
      <c r="D18768" s="21" t="s">
        <v>34</v>
      </c>
      <c r="E18768" s="21" t="s">
        <v>71</v>
      </c>
      <c r="F18768">
        <v>9500015</v>
      </c>
      <c r="G18768" t="s">
        <v>3389</v>
      </c>
      <c r="H18768" s="21">
        <v>771.17</v>
      </c>
    </row>
    <row r="18769" spans="1:8" customFormat="1" x14ac:dyDescent="0.25">
      <c r="A18769" t="str">
        <f>"8515619"</f>
        <v>8515619</v>
      </c>
      <c r="B18769" t="s">
        <v>2645</v>
      </c>
      <c r="C18769" t="s">
        <v>486</v>
      </c>
      <c r="D18769" s="21" t="s">
        <v>34</v>
      </c>
      <c r="E18769" s="21" t="s">
        <v>35</v>
      </c>
      <c r="F18769">
        <v>12850109</v>
      </c>
      <c r="G18769" t="s">
        <v>2714</v>
      </c>
      <c r="H18769" s="21">
        <v>771.17</v>
      </c>
    </row>
    <row r="18770" spans="1:8" customFormat="1" x14ac:dyDescent="0.25">
      <c r="A18770" t="str">
        <f>"617470"</f>
        <v>617470</v>
      </c>
      <c r="B18770" t="s">
        <v>9000</v>
      </c>
      <c r="C18770" t="s">
        <v>171</v>
      </c>
      <c r="D18770" s="21" t="s">
        <v>34</v>
      </c>
      <c r="E18770" s="21" t="s">
        <v>71</v>
      </c>
      <c r="F18770">
        <v>9610039</v>
      </c>
      <c r="G18770" t="s">
        <v>3965</v>
      </c>
      <c r="H18770" s="21">
        <v>771.17</v>
      </c>
    </row>
    <row r="18771" spans="1:8" customFormat="1" x14ac:dyDescent="0.25">
      <c r="A18771" t="str">
        <f>"628637"</f>
        <v>628637</v>
      </c>
      <c r="B18771" t="s">
        <v>13698</v>
      </c>
      <c r="C18771" t="s">
        <v>233</v>
      </c>
      <c r="D18771" s="21" t="s">
        <v>34</v>
      </c>
      <c r="E18771" s="21" t="s">
        <v>71</v>
      </c>
      <c r="F18771">
        <v>7620048</v>
      </c>
      <c r="G18771" t="s">
        <v>7467</v>
      </c>
      <c r="H18771" s="21">
        <v>771.17</v>
      </c>
    </row>
    <row r="18772" spans="1:8" customFormat="1" x14ac:dyDescent="0.25">
      <c r="A18772" t="str">
        <f>"1425168"</f>
        <v>1425168</v>
      </c>
      <c r="B18772" t="s">
        <v>582</v>
      </c>
      <c r="C18772" t="s">
        <v>1708</v>
      </c>
      <c r="D18772" s="21" t="s">
        <v>34</v>
      </c>
      <c r="E18772" s="21" t="s">
        <v>35</v>
      </c>
      <c r="F18772">
        <v>9140189</v>
      </c>
      <c r="G18772" t="s">
        <v>4200</v>
      </c>
      <c r="H18772" s="21">
        <v>771.17</v>
      </c>
    </row>
    <row r="18773" spans="1:8" customFormat="1" x14ac:dyDescent="0.25">
      <c r="A18773" t="str">
        <f>"941664"</f>
        <v>941664</v>
      </c>
      <c r="B18773" t="s">
        <v>13937</v>
      </c>
      <c r="C18773" t="s">
        <v>198</v>
      </c>
      <c r="D18773" s="21" t="s">
        <v>34</v>
      </c>
      <c r="E18773" s="21" t="s">
        <v>254</v>
      </c>
      <c r="F18773">
        <v>8940975</v>
      </c>
      <c r="G18773" t="s">
        <v>7959</v>
      </c>
      <c r="H18773" s="21">
        <v>771.17</v>
      </c>
    </row>
    <row r="18774" spans="1:8" customFormat="1" x14ac:dyDescent="0.25">
      <c r="A18774" t="str">
        <f>"7875412"</f>
        <v>7875412</v>
      </c>
      <c r="B18774" t="s">
        <v>16102</v>
      </c>
      <c r="C18774" t="s">
        <v>16103</v>
      </c>
      <c r="D18774" s="21" t="s">
        <v>34</v>
      </c>
      <c r="E18774" s="21" t="s">
        <v>35</v>
      </c>
      <c r="F18774">
        <v>8781176</v>
      </c>
      <c r="G18774" t="s">
        <v>3659</v>
      </c>
      <c r="H18774" s="21">
        <v>771.17</v>
      </c>
    </row>
    <row r="18775" spans="1:8" customFormat="1" x14ac:dyDescent="0.25">
      <c r="A18775" t="str">
        <f>"3417515"</f>
        <v>3417515</v>
      </c>
      <c r="B18775" t="s">
        <v>15900</v>
      </c>
      <c r="C18775" t="s">
        <v>114</v>
      </c>
      <c r="D18775" s="21" t="s">
        <v>34</v>
      </c>
      <c r="E18775" s="21" t="s">
        <v>254</v>
      </c>
      <c r="F18775">
        <v>11340065</v>
      </c>
      <c r="G18775" t="s">
        <v>2022</v>
      </c>
      <c r="H18775" s="21">
        <v>771.17</v>
      </c>
    </row>
    <row r="18776" spans="1:8" customFormat="1" x14ac:dyDescent="0.25">
      <c r="A18776" t="str">
        <f>"345592"</f>
        <v>345592</v>
      </c>
      <c r="B18776" t="s">
        <v>4818</v>
      </c>
      <c r="C18776" t="s">
        <v>528</v>
      </c>
      <c r="D18776" s="21" t="s">
        <v>34</v>
      </c>
      <c r="E18776" s="21" t="s">
        <v>71</v>
      </c>
      <c r="F18776">
        <v>11340022</v>
      </c>
      <c r="G18776" t="s">
        <v>4663</v>
      </c>
      <c r="H18776" s="21">
        <v>771.17</v>
      </c>
    </row>
    <row r="18777" spans="1:8" customFormat="1" x14ac:dyDescent="0.25">
      <c r="A18777" t="str">
        <f>"7913343"</f>
        <v>7913343</v>
      </c>
      <c r="B18777" t="s">
        <v>8281</v>
      </c>
      <c r="C18777" t="s">
        <v>269</v>
      </c>
      <c r="D18777" s="21" t="s">
        <v>34</v>
      </c>
      <c r="E18777" s="21" t="s">
        <v>71</v>
      </c>
      <c r="F18777">
        <v>10790228</v>
      </c>
      <c r="G18777" t="s">
        <v>6692</v>
      </c>
      <c r="H18777" s="21">
        <v>771</v>
      </c>
    </row>
    <row r="18778" spans="1:8" customFormat="1" x14ac:dyDescent="0.25">
      <c r="A18778" t="str">
        <f>"5326311"</f>
        <v>5326311</v>
      </c>
      <c r="B18778" t="s">
        <v>18701</v>
      </c>
      <c r="C18778" t="s">
        <v>18702</v>
      </c>
      <c r="D18778" s="21" t="s">
        <v>34</v>
      </c>
      <c r="E18778" s="21" t="s">
        <v>35</v>
      </c>
      <c r="F18778">
        <v>12530078</v>
      </c>
      <c r="G18778" t="s">
        <v>3677</v>
      </c>
      <c r="H18778" s="21">
        <v>770.92</v>
      </c>
    </row>
    <row r="18779" spans="1:8" customFormat="1" x14ac:dyDescent="0.25">
      <c r="A18779" t="str">
        <f>"5952103"</f>
        <v>5952103</v>
      </c>
      <c r="B18779" t="s">
        <v>16872</v>
      </c>
      <c r="C18779" t="s">
        <v>87</v>
      </c>
      <c r="D18779" s="21" t="s">
        <v>34</v>
      </c>
      <c r="E18779" s="21" t="s">
        <v>71</v>
      </c>
      <c r="F18779">
        <v>7590176</v>
      </c>
      <c r="G18779" t="s">
        <v>4079</v>
      </c>
      <c r="H18779" s="21">
        <v>770.92</v>
      </c>
    </row>
    <row r="18780" spans="1:8" customFormat="1" x14ac:dyDescent="0.25">
      <c r="A18780" t="str">
        <f>"821578"</f>
        <v>821578</v>
      </c>
      <c r="B18780" t="s">
        <v>15323</v>
      </c>
      <c r="C18780" t="s">
        <v>428</v>
      </c>
      <c r="D18780" s="21" t="s">
        <v>34</v>
      </c>
      <c r="E18780" s="21" t="s">
        <v>35</v>
      </c>
      <c r="F18780">
        <v>11820027</v>
      </c>
      <c r="G18780" t="s">
        <v>15324</v>
      </c>
      <c r="H18780" s="21">
        <v>770.92</v>
      </c>
    </row>
    <row r="18781" spans="1:8" customFormat="1" x14ac:dyDescent="0.25">
      <c r="A18781" t="str">
        <f>"9424412"</f>
        <v>9424412</v>
      </c>
      <c r="B18781" t="s">
        <v>16700</v>
      </c>
      <c r="C18781" t="s">
        <v>130</v>
      </c>
      <c r="D18781" s="21" t="s">
        <v>34</v>
      </c>
      <c r="E18781" s="21" t="s">
        <v>71</v>
      </c>
      <c r="F18781">
        <v>8940535</v>
      </c>
      <c r="G18781" t="s">
        <v>2628</v>
      </c>
      <c r="H18781" s="21">
        <v>770.79</v>
      </c>
    </row>
    <row r="18782" spans="1:8" customFormat="1" x14ac:dyDescent="0.25">
      <c r="A18782" t="str">
        <f>"663002"</f>
        <v>663002</v>
      </c>
      <c r="B18782" t="s">
        <v>16764</v>
      </c>
      <c r="C18782" t="s">
        <v>239</v>
      </c>
      <c r="D18782" s="21" t="s">
        <v>34</v>
      </c>
      <c r="E18782" s="21" t="s">
        <v>254</v>
      </c>
      <c r="F18782">
        <v>11660021</v>
      </c>
      <c r="G18782" t="s">
        <v>16765</v>
      </c>
      <c r="H18782" s="21">
        <v>770.67</v>
      </c>
    </row>
    <row r="18783" spans="1:8" customFormat="1" x14ac:dyDescent="0.25">
      <c r="A18783" t="str">
        <f>"4428735"</f>
        <v>4428735</v>
      </c>
      <c r="B18783" t="s">
        <v>14900</v>
      </c>
      <c r="C18783" t="s">
        <v>58</v>
      </c>
      <c r="D18783" s="21" t="s">
        <v>34</v>
      </c>
      <c r="E18783" s="21" t="s">
        <v>35</v>
      </c>
      <c r="F18783">
        <v>12440058</v>
      </c>
      <c r="G18783" t="s">
        <v>394</v>
      </c>
      <c r="H18783" s="21">
        <v>770.67</v>
      </c>
    </row>
    <row r="18784" spans="1:8" customFormat="1" x14ac:dyDescent="0.25">
      <c r="A18784" t="str">
        <f>"685108"</f>
        <v>685108</v>
      </c>
      <c r="B18784" t="s">
        <v>14473</v>
      </c>
      <c r="C18784" t="s">
        <v>2479</v>
      </c>
      <c r="D18784" s="21" t="s">
        <v>34</v>
      </c>
      <c r="E18784" s="21" t="s">
        <v>254</v>
      </c>
      <c r="F18784">
        <v>6680102</v>
      </c>
      <c r="G18784" t="s">
        <v>1232</v>
      </c>
      <c r="H18784" s="21">
        <v>770.67</v>
      </c>
    </row>
    <row r="18785" spans="1:8" customFormat="1" x14ac:dyDescent="0.25">
      <c r="A18785" t="str">
        <f>"6110772"</f>
        <v>6110772</v>
      </c>
      <c r="B18785" t="s">
        <v>2777</v>
      </c>
      <c r="C18785" t="s">
        <v>879</v>
      </c>
      <c r="D18785" s="21" t="s">
        <v>34</v>
      </c>
      <c r="E18785" s="21" t="s">
        <v>71</v>
      </c>
      <c r="F18785">
        <v>9610122</v>
      </c>
      <c r="G18785" t="s">
        <v>4349</v>
      </c>
      <c r="H18785" s="21">
        <v>770.67</v>
      </c>
    </row>
    <row r="18786" spans="1:8" customFormat="1" x14ac:dyDescent="0.25">
      <c r="A18786" t="str">
        <f>"7719131"</f>
        <v>7719131</v>
      </c>
      <c r="B18786" t="s">
        <v>4379</v>
      </c>
      <c r="C18786" t="s">
        <v>169</v>
      </c>
      <c r="D18786" s="21" t="s">
        <v>34</v>
      </c>
      <c r="E18786" s="21" t="s">
        <v>71</v>
      </c>
      <c r="F18786">
        <v>8771511</v>
      </c>
      <c r="G18786" t="s">
        <v>15221</v>
      </c>
      <c r="H18786" s="21">
        <v>770.67</v>
      </c>
    </row>
    <row r="18787" spans="1:8" customFormat="1" x14ac:dyDescent="0.25">
      <c r="A18787" t="str">
        <f>"5010355"</f>
        <v>5010355</v>
      </c>
      <c r="B18787" t="s">
        <v>27542</v>
      </c>
      <c r="C18787" t="s">
        <v>1142</v>
      </c>
      <c r="D18787" s="21" t="s">
        <v>34</v>
      </c>
      <c r="E18787" s="21" t="s">
        <v>35</v>
      </c>
      <c r="F18787">
        <v>9140235</v>
      </c>
      <c r="G18787" t="s">
        <v>165</v>
      </c>
      <c r="H18787" s="21">
        <v>770.67</v>
      </c>
    </row>
    <row r="18788" spans="1:8" customFormat="1" x14ac:dyDescent="0.25">
      <c r="A18788" t="str">
        <f>"4923799"</f>
        <v>4923799</v>
      </c>
      <c r="B18788" t="s">
        <v>1986</v>
      </c>
      <c r="C18788" t="s">
        <v>198</v>
      </c>
      <c r="D18788" s="21" t="s">
        <v>34</v>
      </c>
      <c r="E18788" s="21" t="s">
        <v>35</v>
      </c>
      <c r="F18788">
        <v>12490080</v>
      </c>
      <c r="G18788" t="s">
        <v>5692</v>
      </c>
      <c r="H18788" s="21">
        <v>770.67</v>
      </c>
    </row>
    <row r="18789" spans="1:8" customFormat="1" x14ac:dyDescent="0.25">
      <c r="A18789" t="str">
        <f>"169801"</f>
        <v>169801</v>
      </c>
      <c r="B18789" t="s">
        <v>8804</v>
      </c>
      <c r="C18789" t="s">
        <v>285</v>
      </c>
      <c r="D18789" s="21" t="s">
        <v>34</v>
      </c>
      <c r="E18789" s="21" t="s">
        <v>35</v>
      </c>
      <c r="F18789">
        <v>10160240</v>
      </c>
      <c r="G18789" t="s">
        <v>7095</v>
      </c>
      <c r="H18789" s="21">
        <v>770.67</v>
      </c>
    </row>
    <row r="18790" spans="1:8" customFormat="1" x14ac:dyDescent="0.25">
      <c r="A18790" t="str">
        <f>"114109"</f>
        <v>114109</v>
      </c>
      <c r="B18790" t="s">
        <v>15254</v>
      </c>
      <c r="C18790" t="s">
        <v>60</v>
      </c>
      <c r="D18790" s="21" t="s">
        <v>34</v>
      </c>
      <c r="E18790" s="21" t="s">
        <v>35</v>
      </c>
      <c r="F18790">
        <v>11110013</v>
      </c>
      <c r="G18790" t="s">
        <v>640</v>
      </c>
      <c r="H18790" s="21">
        <v>770.67</v>
      </c>
    </row>
    <row r="18791" spans="1:8" customFormat="1" x14ac:dyDescent="0.25">
      <c r="A18791" t="str">
        <f>"622322"</f>
        <v>622322</v>
      </c>
      <c r="B18791" t="s">
        <v>3089</v>
      </c>
      <c r="C18791" t="s">
        <v>147</v>
      </c>
      <c r="D18791" s="21" t="s">
        <v>34</v>
      </c>
      <c r="E18791" s="21" t="s">
        <v>71</v>
      </c>
      <c r="F18791">
        <v>7620018</v>
      </c>
      <c r="G18791" t="s">
        <v>6568</v>
      </c>
      <c r="H18791" s="21">
        <v>770.67</v>
      </c>
    </row>
    <row r="18792" spans="1:8" customFormat="1" x14ac:dyDescent="0.25">
      <c r="A18792" t="str">
        <f>"9111081"</f>
        <v>9111081</v>
      </c>
      <c r="B18792" t="s">
        <v>16482</v>
      </c>
      <c r="C18792" t="s">
        <v>87</v>
      </c>
      <c r="D18792" s="21" t="s">
        <v>34</v>
      </c>
      <c r="E18792" s="21" t="s">
        <v>35</v>
      </c>
      <c r="F18792">
        <v>4280004</v>
      </c>
      <c r="G18792" t="s">
        <v>91</v>
      </c>
      <c r="H18792" s="21">
        <v>770.67</v>
      </c>
    </row>
    <row r="18793" spans="1:8" customFormat="1" x14ac:dyDescent="0.25">
      <c r="A18793" t="str">
        <f>"089341"</f>
        <v>089341</v>
      </c>
      <c r="B18793" t="s">
        <v>17230</v>
      </c>
      <c r="C18793" t="s">
        <v>55</v>
      </c>
      <c r="D18793" s="21" t="s">
        <v>34</v>
      </c>
      <c r="E18793" s="21" t="s">
        <v>71</v>
      </c>
      <c r="F18793">
        <v>6080053</v>
      </c>
      <c r="G18793" t="s">
        <v>12951</v>
      </c>
      <c r="H18793" s="21">
        <v>770.67</v>
      </c>
    </row>
    <row r="18794" spans="1:8" customFormat="1" x14ac:dyDescent="0.25">
      <c r="A18794" t="str">
        <f>"5429606"</f>
        <v>5429606</v>
      </c>
      <c r="B18794" t="s">
        <v>20557</v>
      </c>
      <c r="C18794" t="s">
        <v>1539</v>
      </c>
      <c r="D18794" s="21" t="s">
        <v>34</v>
      </c>
      <c r="E18794" s="21" t="s">
        <v>35</v>
      </c>
      <c r="F18794">
        <v>6540151</v>
      </c>
      <c r="G18794" t="s">
        <v>12078</v>
      </c>
      <c r="H18794" s="21">
        <v>770.67</v>
      </c>
    </row>
    <row r="18795" spans="1:8" customFormat="1" x14ac:dyDescent="0.25">
      <c r="A18795" t="str">
        <f>"66732"</f>
        <v>66732</v>
      </c>
      <c r="B18795" t="s">
        <v>13731</v>
      </c>
      <c r="C18795" t="s">
        <v>209</v>
      </c>
      <c r="D18795" s="21" t="s">
        <v>34</v>
      </c>
      <c r="E18795" s="21" t="s">
        <v>254</v>
      </c>
      <c r="F18795">
        <v>11660011</v>
      </c>
      <c r="G18795" t="s">
        <v>4641</v>
      </c>
      <c r="H18795" s="21">
        <v>770.67</v>
      </c>
    </row>
    <row r="18796" spans="1:8" customFormat="1" x14ac:dyDescent="0.25">
      <c r="A18796" t="str">
        <f>"161764"</f>
        <v>161764</v>
      </c>
      <c r="B18796" t="s">
        <v>2690</v>
      </c>
      <c r="C18796" t="s">
        <v>1841</v>
      </c>
      <c r="D18796" s="21" t="s">
        <v>34</v>
      </c>
      <c r="E18796" s="21" t="s">
        <v>254</v>
      </c>
      <c r="F18796">
        <v>10160196</v>
      </c>
      <c r="G18796" t="s">
        <v>13348</v>
      </c>
      <c r="H18796" s="21">
        <v>770.67</v>
      </c>
    </row>
    <row r="18797" spans="1:8" customFormat="1" x14ac:dyDescent="0.25">
      <c r="A18797" t="str">
        <f>"688391"</f>
        <v>688391</v>
      </c>
      <c r="B18797" t="s">
        <v>15460</v>
      </c>
      <c r="C18797" t="s">
        <v>130</v>
      </c>
      <c r="D18797" s="21" t="s">
        <v>34</v>
      </c>
      <c r="E18797" s="21" t="s">
        <v>254</v>
      </c>
      <c r="F18797">
        <v>6670202</v>
      </c>
      <c r="G18797" t="s">
        <v>605</v>
      </c>
      <c r="H18797" s="21">
        <v>770.67</v>
      </c>
    </row>
    <row r="18798" spans="1:8" customFormat="1" x14ac:dyDescent="0.25">
      <c r="A18798" t="str">
        <f>"537910"</f>
        <v>537910</v>
      </c>
      <c r="B18798" t="s">
        <v>1826</v>
      </c>
      <c r="C18798" t="s">
        <v>328</v>
      </c>
      <c r="D18798" s="21" t="s">
        <v>34</v>
      </c>
      <c r="E18798" s="21" t="s">
        <v>35</v>
      </c>
      <c r="F18798">
        <v>12530088</v>
      </c>
      <c r="G18798" t="s">
        <v>10746</v>
      </c>
      <c r="H18798" s="21">
        <v>770.67</v>
      </c>
    </row>
    <row r="18799" spans="1:8" customFormat="1" x14ac:dyDescent="0.25">
      <c r="A18799" t="str">
        <f>"5929128"</f>
        <v>5929128</v>
      </c>
      <c r="B18799" t="s">
        <v>14021</v>
      </c>
      <c r="C18799" t="s">
        <v>149</v>
      </c>
      <c r="D18799" s="21" t="s">
        <v>34</v>
      </c>
      <c r="E18799" s="21" t="s">
        <v>35</v>
      </c>
      <c r="F18799">
        <v>7590237</v>
      </c>
      <c r="G18799" t="s">
        <v>3600</v>
      </c>
      <c r="H18799" s="21">
        <v>770.67</v>
      </c>
    </row>
    <row r="18800" spans="1:8" customFormat="1" x14ac:dyDescent="0.25">
      <c r="A18800" t="str">
        <f>"509964"</f>
        <v>509964</v>
      </c>
      <c r="B18800" t="s">
        <v>16069</v>
      </c>
      <c r="C18800" t="s">
        <v>144</v>
      </c>
      <c r="D18800" s="21" t="s">
        <v>34</v>
      </c>
      <c r="E18800" s="21" t="s">
        <v>71</v>
      </c>
      <c r="F18800">
        <v>9500009</v>
      </c>
      <c r="G18800" t="s">
        <v>2230</v>
      </c>
      <c r="H18800" s="21">
        <v>770.67</v>
      </c>
    </row>
    <row r="18801" spans="1:8" customFormat="1" x14ac:dyDescent="0.25">
      <c r="A18801" t="str">
        <f>"2717491"</f>
        <v>2717491</v>
      </c>
      <c r="B18801" t="s">
        <v>27543</v>
      </c>
      <c r="C18801" t="s">
        <v>1559</v>
      </c>
      <c r="D18801" s="21" t="s">
        <v>34</v>
      </c>
      <c r="E18801" s="21" t="s">
        <v>35</v>
      </c>
      <c r="F18801">
        <v>9270004</v>
      </c>
      <c r="G18801" t="s">
        <v>13439</v>
      </c>
      <c r="H18801" s="21">
        <v>770.67</v>
      </c>
    </row>
    <row r="18802" spans="1:8" customFormat="1" x14ac:dyDescent="0.25">
      <c r="A18802" t="str">
        <f>"011488"</f>
        <v>011488</v>
      </c>
      <c r="B18802" t="s">
        <v>1533</v>
      </c>
      <c r="C18802" t="s">
        <v>171</v>
      </c>
      <c r="D18802" s="21" t="s">
        <v>34</v>
      </c>
      <c r="E18802" s="21" t="s">
        <v>35</v>
      </c>
      <c r="F18802">
        <v>12850028</v>
      </c>
      <c r="G18802" t="s">
        <v>1700</v>
      </c>
      <c r="H18802" s="21">
        <v>770.67</v>
      </c>
    </row>
    <row r="18803" spans="1:8" customFormat="1" x14ac:dyDescent="0.25">
      <c r="A18803" t="str">
        <f>"244687"</f>
        <v>244687</v>
      </c>
      <c r="B18803" t="s">
        <v>146</v>
      </c>
      <c r="C18803" t="s">
        <v>55</v>
      </c>
      <c r="D18803" s="21" t="s">
        <v>34</v>
      </c>
      <c r="E18803" s="21" t="s">
        <v>71</v>
      </c>
      <c r="F18803">
        <v>10240006</v>
      </c>
      <c r="G18803" t="s">
        <v>7296</v>
      </c>
      <c r="H18803" s="21">
        <v>770.67</v>
      </c>
    </row>
    <row r="18804" spans="1:8" customFormat="1" x14ac:dyDescent="0.25">
      <c r="A18804" t="str">
        <f>"9116434"</f>
        <v>9116434</v>
      </c>
      <c r="B18804" t="s">
        <v>6659</v>
      </c>
      <c r="C18804" t="s">
        <v>486</v>
      </c>
      <c r="D18804" s="21" t="s">
        <v>34</v>
      </c>
      <c r="E18804" s="21" t="s">
        <v>254</v>
      </c>
      <c r="F18804">
        <v>8910434</v>
      </c>
      <c r="G18804" t="s">
        <v>681</v>
      </c>
      <c r="H18804" s="21">
        <v>770.54</v>
      </c>
    </row>
    <row r="18805" spans="1:8" customFormat="1" x14ac:dyDescent="0.25">
      <c r="A18805" t="str">
        <f>"148254"</f>
        <v>148254</v>
      </c>
      <c r="B18805" t="s">
        <v>10550</v>
      </c>
      <c r="C18805" t="s">
        <v>1803</v>
      </c>
      <c r="D18805" s="21" t="s">
        <v>34</v>
      </c>
      <c r="E18805" s="21" t="s">
        <v>35</v>
      </c>
      <c r="F18805">
        <v>9140072</v>
      </c>
      <c r="G18805" t="s">
        <v>4810</v>
      </c>
      <c r="H18805" s="21">
        <v>770.42</v>
      </c>
    </row>
    <row r="18806" spans="1:8" customFormat="1" x14ac:dyDescent="0.25">
      <c r="A18806" t="str">
        <f>"7517952"</f>
        <v>7517952</v>
      </c>
      <c r="B18806" t="s">
        <v>27544</v>
      </c>
      <c r="C18806" t="s">
        <v>27545</v>
      </c>
      <c r="D18806" s="21" t="s">
        <v>34</v>
      </c>
      <c r="E18806" s="21" t="s">
        <v>35</v>
      </c>
      <c r="F18806">
        <v>8751124</v>
      </c>
      <c r="G18806" t="s">
        <v>1481</v>
      </c>
      <c r="H18806" s="21">
        <v>770.42</v>
      </c>
    </row>
    <row r="18807" spans="1:8" customFormat="1" x14ac:dyDescent="0.25">
      <c r="A18807" t="str">
        <f>"505858"</f>
        <v>505858</v>
      </c>
      <c r="B18807" t="s">
        <v>3278</v>
      </c>
      <c r="C18807" t="s">
        <v>4267</v>
      </c>
      <c r="D18807" s="21" t="s">
        <v>34</v>
      </c>
      <c r="E18807" s="21" t="s">
        <v>254</v>
      </c>
      <c r="F18807">
        <v>9500107</v>
      </c>
      <c r="G18807" t="s">
        <v>9792</v>
      </c>
      <c r="H18807" s="21">
        <v>770.17</v>
      </c>
    </row>
    <row r="18808" spans="1:8" customFormat="1" x14ac:dyDescent="0.25">
      <c r="A18808" t="str">
        <f>"493393"</f>
        <v>493393</v>
      </c>
      <c r="B18808" t="s">
        <v>15252</v>
      </c>
      <c r="C18808" t="s">
        <v>198</v>
      </c>
      <c r="D18808" s="21" t="s">
        <v>34</v>
      </c>
      <c r="E18808" s="21" t="s">
        <v>254</v>
      </c>
      <c r="F18808">
        <v>12490038</v>
      </c>
      <c r="G18808" t="s">
        <v>467</v>
      </c>
      <c r="H18808" s="21">
        <v>770.17</v>
      </c>
    </row>
    <row r="18809" spans="1:8" customFormat="1" x14ac:dyDescent="0.25">
      <c r="A18809" t="str">
        <f>"562312"</f>
        <v>562312</v>
      </c>
      <c r="B18809" t="s">
        <v>14618</v>
      </c>
      <c r="C18809" t="s">
        <v>267</v>
      </c>
      <c r="D18809" s="21" t="s">
        <v>34</v>
      </c>
      <c r="E18809" s="21" t="s">
        <v>254</v>
      </c>
      <c r="F18809">
        <v>3560028</v>
      </c>
      <c r="G18809" t="s">
        <v>5916</v>
      </c>
      <c r="H18809" s="21">
        <v>770.17</v>
      </c>
    </row>
    <row r="18810" spans="1:8" customFormat="1" x14ac:dyDescent="0.25">
      <c r="A18810" t="str">
        <f>"169691"</f>
        <v>169691</v>
      </c>
      <c r="B18810" t="s">
        <v>10397</v>
      </c>
      <c r="C18810" t="s">
        <v>253</v>
      </c>
      <c r="D18810" s="21" t="s">
        <v>34</v>
      </c>
      <c r="E18810" s="21" t="s">
        <v>71</v>
      </c>
      <c r="F18810">
        <v>10160185</v>
      </c>
      <c r="G18810" t="s">
        <v>2035</v>
      </c>
      <c r="H18810" s="21">
        <v>770.17</v>
      </c>
    </row>
    <row r="18811" spans="1:8" customFormat="1" x14ac:dyDescent="0.25">
      <c r="A18811" t="str">
        <f>"5965875"</f>
        <v>5965875</v>
      </c>
      <c r="B18811" t="s">
        <v>17746</v>
      </c>
      <c r="C18811" t="s">
        <v>187</v>
      </c>
      <c r="D18811" s="21" t="s">
        <v>34</v>
      </c>
      <c r="E18811" s="21" t="s">
        <v>71</v>
      </c>
      <c r="F18811">
        <v>7590413</v>
      </c>
      <c r="G18811" t="s">
        <v>6848</v>
      </c>
      <c r="H18811" s="21">
        <v>770.17</v>
      </c>
    </row>
    <row r="18812" spans="1:8" customFormat="1" x14ac:dyDescent="0.25">
      <c r="A18812" t="str">
        <f>"686084"</f>
        <v>686084</v>
      </c>
      <c r="B18812" t="s">
        <v>14292</v>
      </c>
      <c r="C18812" t="s">
        <v>879</v>
      </c>
      <c r="D18812" s="21" t="s">
        <v>34</v>
      </c>
      <c r="E18812" s="21" t="s">
        <v>71</v>
      </c>
      <c r="F18812">
        <v>6680080</v>
      </c>
      <c r="G18812" t="s">
        <v>7771</v>
      </c>
      <c r="H18812" s="21">
        <v>770.17</v>
      </c>
    </row>
    <row r="18813" spans="1:8" customFormat="1" x14ac:dyDescent="0.25">
      <c r="A18813" t="str">
        <f>"844454"</f>
        <v>844454</v>
      </c>
      <c r="B18813" t="s">
        <v>14001</v>
      </c>
      <c r="C18813" t="s">
        <v>239</v>
      </c>
      <c r="D18813" s="21" t="s">
        <v>34</v>
      </c>
      <c r="E18813" s="21" t="s">
        <v>71</v>
      </c>
      <c r="F18813">
        <v>13840038</v>
      </c>
      <c r="G18813" t="s">
        <v>8931</v>
      </c>
      <c r="H18813" s="21">
        <v>770.17</v>
      </c>
    </row>
    <row r="18814" spans="1:8" customFormat="1" x14ac:dyDescent="0.25">
      <c r="A18814" t="str">
        <f>"2812840"</f>
        <v>2812840</v>
      </c>
      <c r="B18814" t="s">
        <v>16718</v>
      </c>
      <c r="C18814" t="s">
        <v>13282</v>
      </c>
      <c r="D18814" s="21" t="s">
        <v>34</v>
      </c>
      <c r="E18814" s="21" t="s">
        <v>35</v>
      </c>
      <c r="F18814">
        <v>4280005</v>
      </c>
      <c r="G18814" t="s">
        <v>5760</v>
      </c>
      <c r="H18814" s="21">
        <v>770.17</v>
      </c>
    </row>
    <row r="18815" spans="1:8" customFormat="1" x14ac:dyDescent="0.25">
      <c r="A18815" t="str">
        <f>"62435"</f>
        <v>62435</v>
      </c>
      <c r="B18815" t="s">
        <v>12643</v>
      </c>
      <c r="C18815" t="s">
        <v>114</v>
      </c>
      <c r="D18815" s="21" t="s">
        <v>34</v>
      </c>
      <c r="E18815" s="21" t="s">
        <v>254</v>
      </c>
      <c r="F18815">
        <v>7590044</v>
      </c>
      <c r="G18815" t="s">
        <v>2029</v>
      </c>
      <c r="H18815" s="21">
        <v>770.17</v>
      </c>
    </row>
    <row r="18816" spans="1:8" customFormat="1" x14ac:dyDescent="0.25">
      <c r="A18816" t="str">
        <f>"8611359"</f>
        <v>8611359</v>
      </c>
      <c r="B18816" t="s">
        <v>16332</v>
      </c>
      <c r="C18816" t="s">
        <v>249</v>
      </c>
      <c r="D18816" s="21" t="s">
        <v>34</v>
      </c>
      <c r="E18816" s="21" t="s">
        <v>35</v>
      </c>
      <c r="F18816">
        <v>10860038</v>
      </c>
      <c r="G18816" t="s">
        <v>8925</v>
      </c>
      <c r="H18816" s="21">
        <v>770.17</v>
      </c>
    </row>
    <row r="18817" spans="1:8" customFormat="1" x14ac:dyDescent="0.25">
      <c r="A18817" t="str">
        <f>"4450265"</f>
        <v>4450265</v>
      </c>
      <c r="B18817" t="s">
        <v>4063</v>
      </c>
      <c r="C18817" t="s">
        <v>55</v>
      </c>
      <c r="D18817" s="21" t="s">
        <v>34</v>
      </c>
      <c r="E18817" s="21" t="s">
        <v>71</v>
      </c>
      <c r="F18817">
        <v>12440139</v>
      </c>
      <c r="G18817" t="s">
        <v>2655</v>
      </c>
      <c r="H18817" s="21">
        <v>770.17</v>
      </c>
    </row>
    <row r="18818" spans="1:8" customFormat="1" x14ac:dyDescent="0.25">
      <c r="A18818" t="str">
        <f>"066180"</f>
        <v>066180</v>
      </c>
      <c r="B18818" t="s">
        <v>16414</v>
      </c>
      <c r="C18818" t="s">
        <v>90</v>
      </c>
      <c r="D18818" s="21" t="s">
        <v>34</v>
      </c>
      <c r="E18818" s="21" t="s">
        <v>35</v>
      </c>
      <c r="F18818">
        <v>13840062</v>
      </c>
      <c r="G18818" t="s">
        <v>17239</v>
      </c>
      <c r="H18818" s="21">
        <v>770.17</v>
      </c>
    </row>
    <row r="18819" spans="1:8" customFormat="1" x14ac:dyDescent="0.25">
      <c r="A18819" t="str">
        <f>"257826"</f>
        <v>257826</v>
      </c>
      <c r="B18819" t="s">
        <v>679</v>
      </c>
      <c r="C18819" t="s">
        <v>211</v>
      </c>
      <c r="D18819" s="21" t="s">
        <v>34</v>
      </c>
      <c r="E18819" s="21" t="s">
        <v>71</v>
      </c>
      <c r="F18819">
        <v>2250192</v>
      </c>
      <c r="G18819" t="s">
        <v>14058</v>
      </c>
      <c r="H18819" s="21">
        <v>770.17</v>
      </c>
    </row>
    <row r="18820" spans="1:8" customFormat="1" x14ac:dyDescent="0.25">
      <c r="A18820" t="str">
        <f>"7610823"</f>
        <v>7610823</v>
      </c>
      <c r="B18820" t="s">
        <v>7424</v>
      </c>
      <c r="C18820" t="s">
        <v>33</v>
      </c>
      <c r="D18820" s="21" t="s">
        <v>34</v>
      </c>
      <c r="E18820" s="21" t="s">
        <v>71</v>
      </c>
      <c r="F18820">
        <v>9760425</v>
      </c>
      <c r="G18820" t="s">
        <v>5012</v>
      </c>
      <c r="H18820" s="21">
        <v>770.17</v>
      </c>
    </row>
    <row r="18821" spans="1:8" customFormat="1" x14ac:dyDescent="0.25">
      <c r="A18821" t="str">
        <f>"6315289"</f>
        <v>6315289</v>
      </c>
      <c r="B18821" t="s">
        <v>5339</v>
      </c>
      <c r="C18821" t="s">
        <v>82</v>
      </c>
      <c r="D18821" s="21" t="s">
        <v>34</v>
      </c>
      <c r="E18821" s="21" t="s">
        <v>35</v>
      </c>
      <c r="F18821">
        <v>1630308</v>
      </c>
      <c r="G18821" t="s">
        <v>8083</v>
      </c>
      <c r="H18821" s="21">
        <v>770.17</v>
      </c>
    </row>
    <row r="18822" spans="1:8" customFormat="1" x14ac:dyDescent="0.25">
      <c r="A18822" t="str">
        <f>"221819"</f>
        <v>221819</v>
      </c>
      <c r="B18822" t="s">
        <v>15848</v>
      </c>
      <c r="C18822" t="s">
        <v>817</v>
      </c>
      <c r="D18822" s="21" t="s">
        <v>34</v>
      </c>
      <c r="E18822" s="21" t="s">
        <v>254</v>
      </c>
      <c r="F18822">
        <v>3220037</v>
      </c>
      <c r="G18822" t="s">
        <v>13306</v>
      </c>
      <c r="H18822" s="21">
        <v>770.17</v>
      </c>
    </row>
    <row r="18823" spans="1:8" customFormat="1" x14ac:dyDescent="0.25">
      <c r="A18823" t="str">
        <f>"3718426"</f>
        <v>3718426</v>
      </c>
      <c r="B18823" t="s">
        <v>6098</v>
      </c>
      <c r="C18823" t="s">
        <v>169</v>
      </c>
      <c r="D18823" s="21" t="s">
        <v>34</v>
      </c>
      <c r="E18823" s="21" t="s">
        <v>71</v>
      </c>
      <c r="F18823">
        <v>4370709</v>
      </c>
      <c r="G18823" t="s">
        <v>5714</v>
      </c>
      <c r="H18823" s="21">
        <v>770.17</v>
      </c>
    </row>
    <row r="18824" spans="1:8" customFormat="1" x14ac:dyDescent="0.25">
      <c r="A18824" t="str">
        <f>"88385"</f>
        <v>88385</v>
      </c>
      <c r="B18824" t="s">
        <v>3416</v>
      </c>
      <c r="C18824" t="s">
        <v>3648</v>
      </c>
      <c r="D18824" s="21" t="s">
        <v>34</v>
      </c>
      <c r="E18824" s="21" t="s">
        <v>1089</v>
      </c>
      <c r="F18824">
        <v>6880022</v>
      </c>
      <c r="G18824" t="s">
        <v>339</v>
      </c>
      <c r="H18824" s="21">
        <v>770.17</v>
      </c>
    </row>
    <row r="18825" spans="1:8" customFormat="1" x14ac:dyDescent="0.25">
      <c r="A18825" t="str">
        <f>"1315364"</f>
        <v>1315364</v>
      </c>
      <c r="B18825" t="s">
        <v>1959</v>
      </c>
      <c r="C18825" t="s">
        <v>239</v>
      </c>
      <c r="D18825" s="21" t="s">
        <v>34</v>
      </c>
      <c r="E18825" s="21" t="s">
        <v>71</v>
      </c>
      <c r="F18825">
        <v>13130146</v>
      </c>
      <c r="G18825" t="s">
        <v>2471</v>
      </c>
      <c r="H18825" s="21">
        <v>770.04</v>
      </c>
    </row>
    <row r="18826" spans="1:8" customFormat="1" x14ac:dyDescent="0.25">
      <c r="A18826" t="str">
        <f>"346214"</f>
        <v>346214</v>
      </c>
      <c r="B18826" t="s">
        <v>697</v>
      </c>
      <c r="C18826" t="s">
        <v>3522</v>
      </c>
      <c r="D18826" s="21" t="s">
        <v>34</v>
      </c>
      <c r="E18826" s="21" t="s">
        <v>71</v>
      </c>
      <c r="F18826">
        <v>11340035</v>
      </c>
      <c r="G18826" t="s">
        <v>10724</v>
      </c>
      <c r="H18826" s="21">
        <v>769.92</v>
      </c>
    </row>
    <row r="18827" spans="1:8" customFormat="1" x14ac:dyDescent="0.25">
      <c r="A18827" t="str">
        <f>"937082"</f>
        <v>937082</v>
      </c>
      <c r="B18827" t="s">
        <v>15059</v>
      </c>
      <c r="C18827" t="s">
        <v>33</v>
      </c>
      <c r="D18827" s="21" t="s">
        <v>34</v>
      </c>
      <c r="E18827" s="21" t="s">
        <v>71</v>
      </c>
      <c r="F18827">
        <v>8751058</v>
      </c>
      <c r="G18827" t="s">
        <v>4202</v>
      </c>
      <c r="H18827" s="21">
        <v>769.92</v>
      </c>
    </row>
    <row r="18828" spans="1:8" customFormat="1" x14ac:dyDescent="0.25">
      <c r="A18828" t="str">
        <f>"5112989"</f>
        <v>5112989</v>
      </c>
      <c r="B18828" t="s">
        <v>16610</v>
      </c>
      <c r="C18828" t="s">
        <v>1412</v>
      </c>
      <c r="D18828" s="21" t="s">
        <v>34</v>
      </c>
      <c r="E18828" s="21" t="s">
        <v>35</v>
      </c>
      <c r="F18828">
        <v>6510064</v>
      </c>
      <c r="G18828" t="s">
        <v>6183</v>
      </c>
      <c r="H18828" s="21">
        <v>769.67</v>
      </c>
    </row>
    <row r="18829" spans="1:8" customFormat="1" x14ac:dyDescent="0.25">
      <c r="A18829" t="str">
        <f>"916316"</f>
        <v>916316</v>
      </c>
      <c r="B18829" t="s">
        <v>5077</v>
      </c>
      <c r="C18829" t="s">
        <v>239</v>
      </c>
      <c r="D18829" s="21" t="s">
        <v>34</v>
      </c>
      <c r="E18829" s="21" t="s">
        <v>71</v>
      </c>
      <c r="F18829">
        <v>6670014</v>
      </c>
      <c r="G18829" t="s">
        <v>4258</v>
      </c>
      <c r="H18829" s="21">
        <v>769.67</v>
      </c>
    </row>
    <row r="18830" spans="1:8" customFormat="1" x14ac:dyDescent="0.25">
      <c r="A18830" t="str">
        <f>"421225"</f>
        <v>421225</v>
      </c>
      <c r="B18830" t="s">
        <v>17448</v>
      </c>
      <c r="C18830" t="s">
        <v>4842</v>
      </c>
      <c r="D18830" s="21" t="s">
        <v>34</v>
      </c>
      <c r="E18830" s="21" t="s">
        <v>254</v>
      </c>
      <c r="F18830">
        <v>1420160</v>
      </c>
      <c r="G18830" t="s">
        <v>5488</v>
      </c>
      <c r="H18830" s="21">
        <v>769.67</v>
      </c>
    </row>
    <row r="18831" spans="1:8" customFormat="1" x14ac:dyDescent="0.25">
      <c r="A18831" t="str">
        <f>"2783"</f>
        <v>2783</v>
      </c>
      <c r="B18831" t="s">
        <v>16808</v>
      </c>
      <c r="C18831" t="s">
        <v>412</v>
      </c>
      <c r="D18831" s="21" t="s">
        <v>34</v>
      </c>
      <c r="E18831" s="21" t="s">
        <v>254</v>
      </c>
      <c r="F18831">
        <v>9270005</v>
      </c>
      <c r="G18831" t="s">
        <v>1255</v>
      </c>
      <c r="H18831" s="21">
        <v>769.67</v>
      </c>
    </row>
    <row r="18832" spans="1:8" customFormat="1" x14ac:dyDescent="0.25">
      <c r="A18832" t="str">
        <f>"5113031"</f>
        <v>5113031</v>
      </c>
      <c r="B18832" t="s">
        <v>6098</v>
      </c>
      <c r="C18832" t="s">
        <v>305</v>
      </c>
      <c r="D18832" s="21" t="s">
        <v>34</v>
      </c>
      <c r="E18832" s="21" t="s">
        <v>35</v>
      </c>
      <c r="F18832">
        <v>6510004</v>
      </c>
      <c r="G18832" t="s">
        <v>9465</v>
      </c>
      <c r="H18832" s="21">
        <v>769.67</v>
      </c>
    </row>
    <row r="18833" spans="1:8" customFormat="1" x14ac:dyDescent="0.25">
      <c r="A18833" t="str">
        <f>"3334537"</f>
        <v>3334537</v>
      </c>
      <c r="B18833" t="s">
        <v>7664</v>
      </c>
      <c r="C18833" t="s">
        <v>55</v>
      </c>
      <c r="D18833" s="21" t="s">
        <v>34</v>
      </c>
      <c r="E18833" s="21" t="s">
        <v>35</v>
      </c>
      <c r="F18833">
        <v>10330028</v>
      </c>
      <c r="G18833" t="s">
        <v>4553</v>
      </c>
      <c r="H18833" s="21">
        <v>769.67</v>
      </c>
    </row>
    <row r="18834" spans="1:8" customFormat="1" x14ac:dyDescent="0.25">
      <c r="A18834" t="str">
        <f>"10419"</f>
        <v>10419</v>
      </c>
      <c r="B18834" t="s">
        <v>15501</v>
      </c>
      <c r="C18834" t="s">
        <v>2529</v>
      </c>
      <c r="D18834" s="21" t="s">
        <v>34</v>
      </c>
      <c r="E18834" s="21" t="s">
        <v>254</v>
      </c>
      <c r="F18834">
        <v>6100046</v>
      </c>
      <c r="G18834" t="s">
        <v>12853</v>
      </c>
      <c r="H18834" s="21">
        <v>769.67</v>
      </c>
    </row>
    <row r="18835" spans="1:8" customFormat="1" x14ac:dyDescent="0.25">
      <c r="A18835" t="str">
        <f>"4518781"</f>
        <v>4518781</v>
      </c>
      <c r="B18835" t="s">
        <v>15497</v>
      </c>
      <c r="C18835" t="s">
        <v>169</v>
      </c>
      <c r="D18835" s="21" t="s">
        <v>34</v>
      </c>
      <c r="E18835" s="21" t="s">
        <v>35</v>
      </c>
      <c r="F18835">
        <v>4450751</v>
      </c>
      <c r="G18835" t="s">
        <v>442</v>
      </c>
      <c r="H18835" s="21">
        <v>769.67</v>
      </c>
    </row>
    <row r="18836" spans="1:8" customFormat="1" x14ac:dyDescent="0.25">
      <c r="A18836" t="str">
        <f>"3517527"</f>
        <v>3517527</v>
      </c>
      <c r="B18836" t="s">
        <v>2645</v>
      </c>
      <c r="C18836" t="s">
        <v>87</v>
      </c>
      <c r="D18836" s="21" t="s">
        <v>34</v>
      </c>
      <c r="E18836" s="21" t="s">
        <v>35</v>
      </c>
      <c r="F18836">
        <v>3350092</v>
      </c>
      <c r="G18836" t="s">
        <v>26881</v>
      </c>
      <c r="H18836" s="21">
        <v>769.67</v>
      </c>
    </row>
    <row r="18837" spans="1:8" customFormat="1" x14ac:dyDescent="0.25">
      <c r="A18837" t="str">
        <f>"628802"</f>
        <v>628802</v>
      </c>
      <c r="B18837" t="s">
        <v>2218</v>
      </c>
      <c r="C18837" t="s">
        <v>3889</v>
      </c>
      <c r="D18837" s="21" t="s">
        <v>34</v>
      </c>
      <c r="E18837" s="21" t="s">
        <v>254</v>
      </c>
      <c r="F18837">
        <v>7620011</v>
      </c>
      <c r="G18837" t="s">
        <v>10839</v>
      </c>
      <c r="H18837" s="21">
        <v>769.67</v>
      </c>
    </row>
    <row r="18838" spans="1:8" customFormat="1" x14ac:dyDescent="0.25">
      <c r="A18838" t="str">
        <f>"5410926"</f>
        <v>5410926</v>
      </c>
      <c r="B18838" t="s">
        <v>14677</v>
      </c>
      <c r="C18838" t="s">
        <v>239</v>
      </c>
      <c r="D18838" s="21" t="s">
        <v>34</v>
      </c>
      <c r="E18838" s="21" t="s">
        <v>71</v>
      </c>
      <c r="F18838">
        <v>6550009</v>
      </c>
      <c r="G18838" t="s">
        <v>7080</v>
      </c>
      <c r="H18838" s="21">
        <v>769.67</v>
      </c>
    </row>
    <row r="18839" spans="1:8" customFormat="1" x14ac:dyDescent="0.25">
      <c r="A18839" t="str">
        <f>"9419856"</f>
        <v>9419856</v>
      </c>
      <c r="B18839" t="s">
        <v>8800</v>
      </c>
      <c r="C18839" t="s">
        <v>239</v>
      </c>
      <c r="D18839" s="21" t="s">
        <v>34</v>
      </c>
      <c r="E18839" s="21" t="s">
        <v>71</v>
      </c>
      <c r="F18839">
        <v>8780496</v>
      </c>
      <c r="G18839" t="s">
        <v>2477</v>
      </c>
      <c r="H18839" s="21">
        <v>769.67</v>
      </c>
    </row>
    <row r="18840" spans="1:8" customFormat="1" x14ac:dyDescent="0.25">
      <c r="A18840" t="str">
        <f>"58601"</f>
        <v>58601</v>
      </c>
      <c r="B18840" t="s">
        <v>1092</v>
      </c>
      <c r="C18840" t="s">
        <v>4721</v>
      </c>
      <c r="D18840" s="21" t="s">
        <v>34</v>
      </c>
      <c r="E18840" s="21" t="s">
        <v>35</v>
      </c>
      <c r="F18840">
        <v>2580006</v>
      </c>
      <c r="G18840" t="s">
        <v>4813</v>
      </c>
      <c r="H18840" s="21">
        <v>769.67</v>
      </c>
    </row>
    <row r="18841" spans="1:8" customFormat="1" x14ac:dyDescent="0.25">
      <c r="A18841" t="str">
        <f>"5613314"</f>
        <v>5613314</v>
      </c>
      <c r="B18841" t="s">
        <v>15935</v>
      </c>
      <c r="C18841" t="s">
        <v>209</v>
      </c>
      <c r="D18841" s="21" t="s">
        <v>34</v>
      </c>
      <c r="E18841" s="21" t="s">
        <v>71</v>
      </c>
      <c r="F18841">
        <v>3560096</v>
      </c>
      <c r="G18841" t="s">
        <v>2771</v>
      </c>
      <c r="H18841" s="21">
        <v>769.67</v>
      </c>
    </row>
    <row r="18842" spans="1:8" customFormat="1" x14ac:dyDescent="0.25">
      <c r="A18842" t="str">
        <f>"51178"</f>
        <v>51178</v>
      </c>
      <c r="B18842" t="s">
        <v>946</v>
      </c>
      <c r="C18842" t="s">
        <v>1914</v>
      </c>
      <c r="D18842" s="21" t="s">
        <v>34</v>
      </c>
      <c r="E18842" s="21" t="s">
        <v>254</v>
      </c>
      <c r="F18842">
        <v>10640015</v>
      </c>
      <c r="G18842" t="s">
        <v>10196</v>
      </c>
      <c r="H18842" s="21">
        <v>769.67</v>
      </c>
    </row>
    <row r="18843" spans="1:8" customFormat="1" x14ac:dyDescent="0.25">
      <c r="A18843" t="str">
        <f>"5713175"</f>
        <v>5713175</v>
      </c>
      <c r="B18843" t="s">
        <v>14832</v>
      </c>
      <c r="C18843" t="s">
        <v>4989</v>
      </c>
      <c r="D18843" s="21" t="s">
        <v>34</v>
      </c>
      <c r="E18843" s="21" t="s">
        <v>254</v>
      </c>
      <c r="F18843">
        <v>6570030</v>
      </c>
      <c r="G18843" t="s">
        <v>851</v>
      </c>
      <c r="H18843" s="21">
        <v>769.67</v>
      </c>
    </row>
    <row r="18844" spans="1:8" customFormat="1" x14ac:dyDescent="0.25">
      <c r="A18844" t="str">
        <f>"49344"</f>
        <v>49344</v>
      </c>
      <c r="B18844" t="s">
        <v>2746</v>
      </c>
      <c r="C18844" t="s">
        <v>3010</v>
      </c>
      <c r="D18844" s="21" t="s">
        <v>34</v>
      </c>
      <c r="E18844" s="21" t="s">
        <v>254</v>
      </c>
      <c r="F18844">
        <v>12490124</v>
      </c>
      <c r="G18844" t="s">
        <v>677</v>
      </c>
      <c r="H18844" s="21">
        <v>769.42</v>
      </c>
    </row>
    <row r="18845" spans="1:8" customFormat="1" x14ac:dyDescent="0.25">
      <c r="A18845" t="str">
        <f>"2212136"</f>
        <v>2212136</v>
      </c>
      <c r="B18845" t="s">
        <v>9883</v>
      </c>
      <c r="C18845" t="s">
        <v>236</v>
      </c>
      <c r="D18845" s="21" t="s">
        <v>34</v>
      </c>
      <c r="E18845" s="21" t="s">
        <v>254</v>
      </c>
      <c r="F18845">
        <v>3220048</v>
      </c>
      <c r="G18845" t="s">
        <v>26532</v>
      </c>
      <c r="H18845" s="21">
        <v>769.42</v>
      </c>
    </row>
    <row r="18846" spans="1:8" customFormat="1" x14ac:dyDescent="0.25">
      <c r="A18846" t="str">
        <f>"36835"</f>
        <v>36835</v>
      </c>
      <c r="B18846" t="s">
        <v>6472</v>
      </c>
      <c r="C18846" t="s">
        <v>2904</v>
      </c>
      <c r="D18846" s="21" t="s">
        <v>34</v>
      </c>
      <c r="E18846" s="21" t="s">
        <v>254</v>
      </c>
      <c r="F18846">
        <v>4360605</v>
      </c>
      <c r="G18846" t="s">
        <v>6003</v>
      </c>
      <c r="H18846" s="21">
        <v>769.42</v>
      </c>
    </row>
    <row r="18847" spans="1:8" customFormat="1" x14ac:dyDescent="0.25">
      <c r="A18847" t="str">
        <f>"7220047"</f>
        <v>7220047</v>
      </c>
      <c r="B18847" t="s">
        <v>6418</v>
      </c>
      <c r="C18847" t="s">
        <v>867</v>
      </c>
      <c r="D18847" s="21" t="s">
        <v>34</v>
      </c>
      <c r="E18847" s="21" t="s">
        <v>35</v>
      </c>
      <c r="F18847">
        <v>12720120</v>
      </c>
      <c r="G18847" t="s">
        <v>2509</v>
      </c>
      <c r="H18847" s="21">
        <v>769.29</v>
      </c>
    </row>
    <row r="18848" spans="1:8" customFormat="1" x14ac:dyDescent="0.25">
      <c r="A18848" t="str">
        <f>"9228488"</f>
        <v>9228488</v>
      </c>
      <c r="B18848" t="s">
        <v>15793</v>
      </c>
      <c r="C18848" t="s">
        <v>1812</v>
      </c>
      <c r="D18848" s="21" t="s">
        <v>34</v>
      </c>
      <c r="E18848" s="21" t="s">
        <v>35</v>
      </c>
      <c r="F18848">
        <v>8920309</v>
      </c>
      <c r="G18848" t="s">
        <v>1894</v>
      </c>
      <c r="H18848" s="21">
        <v>769.29</v>
      </c>
    </row>
    <row r="18849" spans="1:8" customFormat="1" x14ac:dyDescent="0.25">
      <c r="A18849" t="str">
        <f>"5728659"</f>
        <v>5728659</v>
      </c>
      <c r="B18849" t="s">
        <v>9251</v>
      </c>
      <c r="C18849" t="s">
        <v>114</v>
      </c>
      <c r="D18849" s="21" t="s">
        <v>34</v>
      </c>
      <c r="E18849" s="21" t="s">
        <v>71</v>
      </c>
      <c r="F18849">
        <v>6570075</v>
      </c>
      <c r="G18849" t="s">
        <v>3008</v>
      </c>
      <c r="H18849" s="21">
        <v>769.17</v>
      </c>
    </row>
    <row r="18850" spans="1:8" customFormat="1" x14ac:dyDescent="0.25">
      <c r="A18850" t="str">
        <f>"6212464"</f>
        <v>6212464</v>
      </c>
      <c r="B18850" t="s">
        <v>14811</v>
      </c>
      <c r="C18850" t="s">
        <v>60</v>
      </c>
      <c r="D18850" s="21" t="s">
        <v>34</v>
      </c>
      <c r="E18850" s="21" t="s">
        <v>35</v>
      </c>
      <c r="F18850">
        <v>7620044</v>
      </c>
      <c r="G18850" t="s">
        <v>2961</v>
      </c>
      <c r="H18850" s="21">
        <v>769.17</v>
      </c>
    </row>
    <row r="18851" spans="1:8" customFormat="1" x14ac:dyDescent="0.25">
      <c r="A18851" t="str">
        <f>"7220342"</f>
        <v>7220342</v>
      </c>
      <c r="B18851" t="s">
        <v>2863</v>
      </c>
      <c r="C18851" t="s">
        <v>33</v>
      </c>
      <c r="D18851" s="21" t="s">
        <v>34</v>
      </c>
      <c r="E18851" s="21" t="s">
        <v>35</v>
      </c>
      <c r="F18851">
        <v>12720143</v>
      </c>
      <c r="G18851" t="s">
        <v>3881</v>
      </c>
      <c r="H18851" s="21">
        <v>769.17</v>
      </c>
    </row>
    <row r="18852" spans="1:8" customFormat="1" x14ac:dyDescent="0.25">
      <c r="A18852" t="str">
        <f>"3524723"</f>
        <v>3524723</v>
      </c>
      <c r="B18852" t="s">
        <v>15302</v>
      </c>
      <c r="C18852" t="s">
        <v>169</v>
      </c>
      <c r="D18852" s="21" t="s">
        <v>34</v>
      </c>
      <c r="E18852" s="21" t="s">
        <v>35</v>
      </c>
      <c r="F18852">
        <v>3350065</v>
      </c>
      <c r="G18852" t="s">
        <v>5910</v>
      </c>
      <c r="H18852" s="21">
        <v>769.17</v>
      </c>
    </row>
    <row r="18853" spans="1:8" customFormat="1" x14ac:dyDescent="0.25">
      <c r="A18853" t="str">
        <f>"6720733"</f>
        <v>6720733</v>
      </c>
      <c r="B18853" t="s">
        <v>14159</v>
      </c>
      <c r="C18853" t="s">
        <v>4721</v>
      </c>
      <c r="D18853" s="21" t="s">
        <v>34</v>
      </c>
      <c r="E18853" s="21" t="s">
        <v>254</v>
      </c>
      <c r="F18853">
        <v>6670265</v>
      </c>
      <c r="G18853" t="s">
        <v>12966</v>
      </c>
      <c r="H18853" s="21">
        <v>769.17</v>
      </c>
    </row>
    <row r="18854" spans="1:8" customFormat="1" x14ac:dyDescent="0.25">
      <c r="A18854" t="str">
        <f>"6017528"</f>
        <v>6017528</v>
      </c>
      <c r="B18854" t="s">
        <v>889</v>
      </c>
      <c r="C18854" t="s">
        <v>204</v>
      </c>
      <c r="D18854" s="21" t="s">
        <v>34</v>
      </c>
      <c r="E18854" s="21" t="s">
        <v>71</v>
      </c>
      <c r="F18854">
        <v>7600015</v>
      </c>
      <c r="G18854" t="s">
        <v>8343</v>
      </c>
      <c r="H18854" s="21">
        <v>769.17</v>
      </c>
    </row>
    <row r="18855" spans="1:8" customFormat="1" x14ac:dyDescent="0.25">
      <c r="A18855" t="str">
        <f>"692034"</f>
        <v>692034</v>
      </c>
      <c r="B18855" t="s">
        <v>3179</v>
      </c>
      <c r="C18855" t="s">
        <v>33</v>
      </c>
      <c r="D18855" s="21" t="s">
        <v>34</v>
      </c>
      <c r="E18855" s="21" t="s">
        <v>71</v>
      </c>
      <c r="F18855">
        <v>1690013</v>
      </c>
      <c r="G18855" t="s">
        <v>26900</v>
      </c>
      <c r="H18855" s="21">
        <v>769.17</v>
      </c>
    </row>
    <row r="18856" spans="1:8" customFormat="1" x14ac:dyDescent="0.25">
      <c r="A18856" t="str">
        <f>"772977"</f>
        <v>772977</v>
      </c>
      <c r="B18856" t="s">
        <v>10011</v>
      </c>
      <c r="C18856" t="s">
        <v>720</v>
      </c>
      <c r="D18856" s="21" t="s">
        <v>34</v>
      </c>
      <c r="E18856" s="21" t="s">
        <v>254</v>
      </c>
      <c r="F18856">
        <v>8770489</v>
      </c>
      <c r="G18856" t="s">
        <v>1763</v>
      </c>
      <c r="H18856" s="21">
        <v>769.17</v>
      </c>
    </row>
    <row r="18857" spans="1:8" customFormat="1" x14ac:dyDescent="0.25">
      <c r="A18857" t="str">
        <f>"5421830"</f>
        <v>5421830</v>
      </c>
      <c r="B18857" t="s">
        <v>15846</v>
      </c>
      <c r="C18857" t="s">
        <v>415</v>
      </c>
      <c r="D18857" s="21" t="s">
        <v>34</v>
      </c>
      <c r="E18857" s="21" t="s">
        <v>35</v>
      </c>
      <c r="F18857">
        <v>6540104</v>
      </c>
      <c r="G18857" t="s">
        <v>10448</v>
      </c>
      <c r="H18857" s="21">
        <v>769.17</v>
      </c>
    </row>
    <row r="18858" spans="1:8" customFormat="1" x14ac:dyDescent="0.25">
      <c r="A18858" t="str">
        <f>"2920460"</f>
        <v>2920460</v>
      </c>
      <c r="B18858" t="s">
        <v>27546</v>
      </c>
      <c r="C18858" t="s">
        <v>253</v>
      </c>
      <c r="D18858" s="21" t="s">
        <v>34</v>
      </c>
      <c r="E18858" s="21" t="s">
        <v>71</v>
      </c>
      <c r="F18858">
        <v>3290006</v>
      </c>
      <c r="G18858" t="s">
        <v>13009</v>
      </c>
      <c r="H18858" s="21">
        <v>769.17</v>
      </c>
    </row>
    <row r="18859" spans="1:8" customFormat="1" x14ac:dyDescent="0.25">
      <c r="A18859" t="str">
        <f>"50437"</f>
        <v>50437</v>
      </c>
      <c r="B18859" t="s">
        <v>15325</v>
      </c>
      <c r="C18859" t="s">
        <v>598</v>
      </c>
      <c r="D18859" s="21" t="s">
        <v>34</v>
      </c>
      <c r="E18859" s="21" t="s">
        <v>254</v>
      </c>
      <c r="F18859">
        <v>9500059</v>
      </c>
      <c r="G18859" t="s">
        <v>26714</v>
      </c>
      <c r="H18859" s="21">
        <v>769.17</v>
      </c>
    </row>
    <row r="18860" spans="1:8" customFormat="1" x14ac:dyDescent="0.25">
      <c r="A18860" t="str">
        <f>"9238907"</f>
        <v>9238907</v>
      </c>
      <c r="B18860" t="s">
        <v>482</v>
      </c>
      <c r="C18860" t="s">
        <v>598</v>
      </c>
      <c r="D18860" s="21" t="s">
        <v>34</v>
      </c>
      <c r="E18860" s="21" t="s">
        <v>71</v>
      </c>
      <c r="F18860">
        <v>8920151</v>
      </c>
      <c r="G18860" t="s">
        <v>1434</v>
      </c>
      <c r="H18860" s="21">
        <v>769.17</v>
      </c>
    </row>
    <row r="18861" spans="1:8" customFormat="1" x14ac:dyDescent="0.25">
      <c r="A18861" t="str">
        <f>"6928705"</f>
        <v>6928705</v>
      </c>
      <c r="B18861" t="s">
        <v>23298</v>
      </c>
      <c r="C18861" t="s">
        <v>5384</v>
      </c>
      <c r="D18861" s="21" t="s">
        <v>34</v>
      </c>
      <c r="E18861" s="21" t="s">
        <v>35</v>
      </c>
      <c r="F18861">
        <v>1690160</v>
      </c>
      <c r="G18861" t="s">
        <v>4599</v>
      </c>
      <c r="H18861" s="21">
        <v>769.17</v>
      </c>
    </row>
    <row r="18862" spans="1:8" customFormat="1" x14ac:dyDescent="0.25">
      <c r="A18862" t="str">
        <f>"7813426"</f>
        <v>7813426</v>
      </c>
      <c r="B18862" t="s">
        <v>11000</v>
      </c>
      <c r="C18862" t="s">
        <v>139</v>
      </c>
      <c r="D18862" s="21" t="s">
        <v>34</v>
      </c>
      <c r="E18862" s="21" t="s">
        <v>35</v>
      </c>
      <c r="F18862">
        <v>8780114</v>
      </c>
      <c r="G18862" t="s">
        <v>927</v>
      </c>
      <c r="H18862" s="21">
        <v>769</v>
      </c>
    </row>
    <row r="18863" spans="1:8" customFormat="1" x14ac:dyDescent="0.25">
      <c r="A18863" t="str">
        <f>"6810203"</f>
        <v>6810203</v>
      </c>
      <c r="B18863" t="s">
        <v>15617</v>
      </c>
      <c r="C18863" t="s">
        <v>15618</v>
      </c>
      <c r="D18863" s="21" t="s">
        <v>34</v>
      </c>
      <c r="E18863" s="21" t="s">
        <v>35</v>
      </c>
      <c r="F18863">
        <v>6680080</v>
      </c>
      <c r="G18863" t="s">
        <v>7771</v>
      </c>
      <c r="H18863" s="21">
        <v>768.67</v>
      </c>
    </row>
    <row r="18864" spans="1:8" customFormat="1" x14ac:dyDescent="0.25">
      <c r="A18864" t="str">
        <f>"5948508"</f>
        <v>5948508</v>
      </c>
      <c r="B18864" t="s">
        <v>9353</v>
      </c>
      <c r="C18864" t="s">
        <v>1819</v>
      </c>
      <c r="D18864" s="21" t="s">
        <v>34</v>
      </c>
      <c r="E18864" s="21" t="s">
        <v>35</v>
      </c>
      <c r="F18864">
        <v>7620029</v>
      </c>
      <c r="G18864" t="s">
        <v>7730</v>
      </c>
      <c r="H18864" s="21">
        <v>768.67</v>
      </c>
    </row>
    <row r="18865" spans="1:8" customFormat="1" x14ac:dyDescent="0.25">
      <c r="A18865" t="str">
        <f>"069252"</f>
        <v>069252</v>
      </c>
      <c r="B18865" t="s">
        <v>15665</v>
      </c>
      <c r="C18865" t="s">
        <v>415</v>
      </c>
      <c r="D18865" s="21" t="s">
        <v>34</v>
      </c>
      <c r="E18865" s="21" t="s">
        <v>71</v>
      </c>
      <c r="F18865">
        <v>13060101</v>
      </c>
      <c r="G18865" t="s">
        <v>5947</v>
      </c>
      <c r="H18865" s="21">
        <v>768.67</v>
      </c>
    </row>
    <row r="18866" spans="1:8" customFormat="1" x14ac:dyDescent="0.25">
      <c r="A18866" t="str">
        <f>"5941519"</f>
        <v>5941519</v>
      </c>
      <c r="B18866" t="s">
        <v>15404</v>
      </c>
      <c r="C18866" t="s">
        <v>169</v>
      </c>
      <c r="D18866" s="21" t="s">
        <v>34</v>
      </c>
      <c r="E18866" s="21" t="s">
        <v>71</v>
      </c>
      <c r="F18866">
        <v>7590376</v>
      </c>
      <c r="G18866" t="s">
        <v>15405</v>
      </c>
      <c r="H18866" s="21">
        <v>768.67</v>
      </c>
    </row>
    <row r="18867" spans="1:8" customFormat="1" x14ac:dyDescent="0.25">
      <c r="A18867" t="str">
        <f>"2918708"</f>
        <v>2918708</v>
      </c>
      <c r="B18867" t="s">
        <v>14590</v>
      </c>
      <c r="C18867" t="s">
        <v>198</v>
      </c>
      <c r="D18867" s="21" t="s">
        <v>34</v>
      </c>
      <c r="E18867" s="21" t="s">
        <v>71</v>
      </c>
      <c r="F18867">
        <v>3290023</v>
      </c>
      <c r="G18867" t="s">
        <v>3883</v>
      </c>
      <c r="H18867" s="21">
        <v>768.67</v>
      </c>
    </row>
    <row r="18868" spans="1:8" customFormat="1" x14ac:dyDescent="0.25">
      <c r="A18868" t="str">
        <f>"066382"</f>
        <v>066382</v>
      </c>
      <c r="B18868" t="s">
        <v>3140</v>
      </c>
      <c r="C18868" t="s">
        <v>269</v>
      </c>
      <c r="D18868" s="21" t="s">
        <v>34</v>
      </c>
      <c r="E18868" s="21" t="s">
        <v>71</v>
      </c>
      <c r="F18868">
        <v>11300004</v>
      </c>
      <c r="G18868" t="s">
        <v>758</v>
      </c>
      <c r="H18868" s="21">
        <v>768.67</v>
      </c>
    </row>
    <row r="18869" spans="1:8" customFormat="1" x14ac:dyDescent="0.25">
      <c r="A18869" t="str">
        <f>"319652"</f>
        <v>319652</v>
      </c>
      <c r="B18869" t="s">
        <v>6336</v>
      </c>
      <c r="C18869" t="s">
        <v>239</v>
      </c>
      <c r="D18869" s="21" t="s">
        <v>34</v>
      </c>
      <c r="E18869" s="21" t="s">
        <v>1089</v>
      </c>
      <c r="F18869">
        <v>11310126</v>
      </c>
      <c r="G18869" t="s">
        <v>3383</v>
      </c>
      <c r="H18869" s="21">
        <v>768.67</v>
      </c>
    </row>
    <row r="18870" spans="1:8" customFormat="1" x14ac:dyDescent="0.25">
      <c r="A18870" t="str">
        <f>"3528698"</f>
        <v>3528698</v>
      </c>
      <c r="B18870" t="s">
        <v>15210</v>
      </c>
      <c r="C18870" t="s">
        <v>1539</v>
      </c>
      <c r="D18870" s="21" t="s">
        <v>34</v>
      </c>
      <c r="E18870" s="21" t="s">
        <v>71</v>
      </c>
      <c r="F18870">
        <v>3350213</v>
      </c>
      <c r="G18870" t="s">
        <v>13671</v>
      </c>
      <c r="H18870" s="21">
        <v>768.67</v>
      </c>
    </row>
    <row r="18871" spans="1:8" customFormat="1" x14ac:dyDescent="0.25">
      <c r="A18871" t="str">
        <f>"2111653"</f>
        <v>2111653</v>
      </c>
      <c r="B18871" t="s">
        <v>15942</v>
      </c>
      <c r="C18871" t="s">
        <v>209</v>
      </c>
      <c r="D18871" s="21" t="s">
        <v>34</v>
      </c>
      <c r="E18871" s="21" t="s">
        <v>254</v>
      </c>
      <c r="F18871">
        <v>2210126</v>
      </c>
      <c r="G18871" t="s">
        <v>10773</v>
      </c>
      <c r="H18871" s="21">
        <v>768.67</v>
      </c>
    </row>
    <row r="18872" spans="1:8" customFormat="1" x14ac:dyDescent="0.25">
      <c r="A18872" t="str">
        <f>"8522366"</f>
        <v>8522366</v>
      </c>
      <c r="B18872" t="s">
        <v>1349</v>
      </c>
      <c r="C18872" t="s">
        <v>151</v>
      </c>
      <c r="D18872" s="21" t="s">
        <v>34</v>
      </c>
      <c r="E18872" s="21" t="s">
        <v>35</v>
      </c>
      <c r="F18872">
        <v>12850031</v>
      </c>
      <c r="G18872" t="s">
        <v>3180</v>
      </c>
      <c r="H18872" s="21">
        <v>768.67</v>
      </c>
    </row>
    <row r="18873" spans="1:8" customFormat="1" x14ac:dyDescent="0.25">
      <c r="A18873" t="str">
        <f>"6939754"</f>
        <v>6939754</v>
      </c>
      <c r="B18873" t="s">
        <v>18227</v>
      </c>
      <c r="C18873" t="s">
        <v>87</v>
      </c>
      <c r="D18873" s="21" t="s">
        <v>34</v>
      </c>
      <c r="E18873" s="21" t="s">
        <v>71</v>
      </c>
      <c r="F18873">
        <v>1690185</v>
      </c>
      <c r="G18873" t="s">
        <v>10841</v>
      </c>
      <c r="H18873" s="21">
        <v>768.67</v>
      </c>
    </row>
    <row r="18874" spans="1:8" customFormat="1" x14ac:dyDescent="0.25">
      <c r="A18874" t="str">
        <f>"023829"</f>
        <v>023829</v>
      </c>
      <c r="B18874" t="s">
        <v>1065</v>
      </c>
      <c r="C18874" t="s">
        <v>1474</v>
      </c>
      <c r="D18874" s="21" t="s">
        <v>34</v>
      </c>
      <c r="E18874" s="21" t="s">
        <v>35</v>
      </c>
      <c r="F18874">
        <v>7021014</v>
      </c>
      <c r="G18874" t="s">
        <v>15834</v>
      </c>
      <c r="H18874" s="21">
        <v>768.67</v>
      </c>
    </row>
    <row r="18875" spans="1:8" customFormat="1" x14ac:dyDescent="0.25">
      <c r="A18875" t="str">
        <f>"2510953"</f>
        <v>2510953</v>
      </c>
      <c r="B18875" t="s">
        <v>15472</v>
      </c>
      <c r="C18875" t="s">
        <v>2529</v>
      </c>
      <c r="D18875" s="21" t="s">
        <v>34</v>
      </c>
      <c r="E18875" s="21" t="s">
        <v>71</v>
      </c>
      <c r="F18875">
        <v>2250070</v>
      </c>
      <c r="G18875" t="s">
        <v>3923</v>
      </c>
      <c r="H18875" s="21">
        <v>768.67</v>
      </c>
    </row>
    <row r="18876" spans="1:8" customFormat="1" x14ac:dyDescent="0.25">
      <c r="A18876" t="str">
        <f>"5324808"</f>
        <v>5324808</v>
      </c>
      <c r="B18876" t="s">
        <v>10908</v>
      </c>
      <c r="C18876" t="s">
        <v>98</v>
      </c>
      <c r="D18876" s="21" t="s">
        <v>34</v>
      </c>
      <c r="E18876" s="21" t="s">
        <v>35</v>
      </c>
      <c r="F18876">
        <v>12530098</v>
      </c>
      <c r="G18876" t="s">
        <v>8852</v>
      </c>
      <c r="H18876" s="21">
        <v>768.67</v>
      </c>
    </row>
    <row r="18877" spans="1:8" customFormat="1" x14ac:dyDescent="0.25">
      <c r="A18877" t="str">
        <f>"0612902"</f>
        <v>0612902</v>
      </c>
      <c r="B18877" t="s">
        <v>350</v>
      </c>
      <c r="C18877" t="s">
        <v>119</v>
      </c>
      <c r="D18877" s="21" t="s">
        <v>34</v>
      </c>
      <c r="E18877" s="21" t="s">
        <v>35</v>
      </c>
      <c r="F18877">
        <v>13060031</v>
      </c>
      <c r="G18877" t="s">
        <v>9379</v>
      </c>
      <c r="H18877" s="21">
        <v>768.67</v>
      </c>
    </row>
    <row r="18878" spans="1:8" customFormat="1" x14ac:dyDescent="0.25">
      <c r="A18878" t="str">
        <f>"9245951"</f>
        <v>9245951</v>
      </c>
      <c r="B18878" t="s">
        <v>5084</v>
      </c>
      <c r="C18878" t="s">
        <v>169</v>
      </c>
      <c r="D18878" s="21" t="s">
        <v>34</v>
      </c>
      <c r="E18878" s="21" t="s">
        <v>35</v>
      </c>
      <c r="F18878">
        <v>8920140</v>
      </c>
      <c r="G18878" t="s">
        <v>3762</v>
      </c>
      <c r="H18878" s="21">
        <v>768.67</v>
      </c>
    </row>
    <row r="18879" spans="1:8" customFormat="1" x14ac:dyDescent="0.25">
      <c r="A18879" t="str">
        <f>"2513163"</f>
        <v>2513163</v>
      </c>
      <c r="B18879" t="s">
        <v>14057</v>
      </c>
      <c r="C18879" t="s">
        <v>171</v>
      </c>
      <c r="D18879" s="21" t="s">
        <v>34</v>
      </c>
      <c r="E18879" s="21" t="s">
        <v>71</v>
      </c>
      <c r="F18879">
        <v>2250192</v>
      </c>
      <c r="G18879" t="s">
        <v>14058</v>
      </c>
      <c r="H18879" s="21">
        <v>768.67</v>
      </c>
    </row>
    <row r="18880" spans="1:8" customFormat="1" x14ac:dyDescent="0.25">
      <c r="A18880" t="str">
        <f>"4429012"</f>
        <v>4429012</v>
      </c>
      <c r="B18880" t="s">
        <v>15564</v>
      </c>
      <c r="C18880" t="s">
        <v>269</v>
      </c>
      <c r="D18880" s="21" t="s">
        <v>34</v>
      </c>
      <c r="E18880" s="21" t="s">
        <v>71</v>
      </c>
      <c r="F18880">
        <v>12440080</v>
      </c>
      <c r="G18880" t="s">
        <v>14103</v>
      </c>
      <c r="H18880" s="21">
        <v>768.42</v>
      </c>
    </row>
    <row r="18881" spans="1:8" customFormat="1" x14ac:dyDescent="0.25">
      <c r="A18881" t="str">
        <f>"6313507"</f>
        <v>6313507</v>
      </c>
      <c r="B18881" t="s">
        <v>16670</v>
      </c>
      <c r="C18881" t="s">
        <v>40</v>
      </c>
      <c r="D18881" s="21" t="s">
        <v>34</v>
      </c>
      <c r="E18881" s="21" t="s">
        <v>71</v>
      </c>
      <c r="F18881">
        <v>1630243</v>
      </c>
      <c r="G18881" t="s">
        <v>9163</v>
      </c>
      <c r="H18881" s="21">
        <v>768.42</v>
      </c>
    </row>
    <row r="18882" spans="1:8" customFormat="1" x14ac:dyDescent="0.25">
      <c r="A18882" t="str">
        <f>"6212185"</f>
        <v>6212185</v>
      </c>
      <c r="B18882" t="s">
        <v>15137</v>
      </c>
      <c r="C18882" t="s">
        <v>236</v>
      </c>
      <c r="D18882" s="21" t="s">
        <v>34</v>
      </c>
      <c r="E18882" s="21" t="s">
        <v>71</v>
      </c>
      <c r="F18882">
        <v>7620058</v>
      </c>
      <c r="G18882" t="s">
        <v>602</v>
      </c>
      <c r="H18882" s="21">
        <v>768.17</v>
      </c>
    </row>
    <row r="18883" spans="1:8" customFormat="1" x14ac:dyDescent="0.25">
      <c r="A18883" t="str">
        <f>"062711"</f>
        <v>062711</v>
      </c>
      <c r="B18883" t="s">
        <v>14846</v>
      </c>
      <c r="C18883" t="s">
        <v>453</v>
      </c>
      <c r="D18883" s="21" t="s">
        <v>34</v>
      </c>
      <c r="E18883" s="21" t="s">
        <v>71</v>
      </c>
      <c r="F18883">
        <v>13060031</v>
      </c>
      <c r="G18883" t="s">
        <v>9379</v>
      </c>
      <c r="H18883" s="21">
        <v>768.17</v>
      </c>
    </row>
    <row r="18884" spans="1:8" customFormat="1" x14ac:dyDescent="0.25">
      <c r="A18884" t="str">
        <f>"6014292"</f>
        <v>6014292</v>
      </c>
      <c r="B18884" t="s">
        <v>1886</v>
      </c>
      <c r="C18884" t="s">
        <v>415</v>
      </c>
      <c r="D18884" s="21" t="s">
        <v>34</v>
      </c>
      <c r="E18884" s="21" t="s">
        <v>254</v>
      </c>
      <c r="F18884">
        <v>7600114</v>
      </c>
      <c r="G18884" t="s">
        <v>4584</v>
      </c>
      <c r="H18884" s="21">
        <v>768.17</v>
      </c>
    </row>
    <row r="18885" spans="1:8" customFormat="1" x14ac:dyDescent="0.25">
      <c r="A18885" t="str">
        <f>"591223"</f>
        <v>591223</v>
      </c>
      <c r="B18885" t="s">
        <v>4335</v>
      </c>
      <c r="C18885" t="s">
        <v>412</v>
      </c>
      <c r="D18885" s="21" t="s">
        <v>34</v>
      </c>
      <c r="E18885" s="21" t="s">
        <v>71</v>
      </c>
      <c r="F18885">
        <v>7590061</v>
      </c>
      <c r="G18885" t="s">
        <v>1207</v>
      </c>
      <c r="H18885" s="21">
        <v>768.17</v>
      </c>
    </row>
    <row r="18886" spans="1:8" customFormat="1" x14ac:dyDescent="0.25">
      <c r="A18886" t="str">
        <f>"565275"</f>
        <v>565275</v>
      </c>
      <c r="B18886" t="s">
        <v>10186</v>
      </c>
      <c r="C18886" t="s">
        <v>412</v>
      </c>
      <c r="D18886" s="21" t="s">
        <v>34</v>
      </c>
      <c r="E18886" s="21" t="s">
        <v>1089</v>
      </c>
      <c r="F18886">
        <v>3560044</v>
      </c>
      <c r="G18886" t="s">
        <v>4890</v>
      </c>
      <c r="H18886" s="21">
        <v>768.17</v>
      </c>
    </row>
    <row r="18887" spans="1:8" customFormat="1" x14ac:dyDescent="0.25">
      <c r="A18887" t="str">
        <f>"82899"</f>
        <v>82899</v>
      </c>
      <c r="B18887" t="s">
        <v>17878</v>
      </c>
      <c r="C18887" t="s">
        <v>415</v>
      </c>
      <c r="D18887" s="21" t="s">
        <v>34</v>
      </c>
      <c r="E18887" s="21" t="s">
        <v>71</v>
      </c>
      <c r="F18887">
        <v>11820035</v>
      </c>
      <c r="G18887" t="s">
        <v>16643</v>
      </c>
      <c r="H18887" s="21">
        <v>768.17</v>
      </c>
    </row>
    <row r="18888" spans="1:8" customFormat="1" x14ac:dyDescent="0.25">
      <c r="A18888" t="str">
        <f>"4436105"</f>
        <v>4436105</v>
      </c>
      <c r="B18888" t="s">
        <v>14486</v>
      </c>
      <c r="C18888" t="s">
        <v>7923</v>
      </c>
      <c r="D18888" s="21" t="s">
        <v>34</v>
      </c>
      <c r="E18888" s="21" t="s">
        <v>71</v>
      </c>
      <c r="F18888">
        <v>12440182</v>
      </c>
      <c r="G18888" t="s">
        <v>2915</v>
      </c>
      <c r="H18888" s="21">
        <v>768.17</v>
      </c>
    </row>
    <row r="18889" spans="1:8" customFormat="1" x14ac:dyDescent="0.25">
      <c r="A18889" t="str">
        <f>"635010"</f>
        <v>635010</v>
      </c>
      <c r="B18889" t="s">
        <v>16149</v>
      </c>
      <c r="C18889" t="s">
        <v>528</v>
      </c>
      <c r="D18889" s="21" t="s">
        <v>34</v>
      </c>
      <c r="E18889" s="21" t="s">
        <v>254</v>
      </c>
      <c r="F18889">
        <v>1630303</v>
      </c>
      <c r="G18889" t="s">
        <v>8915</v>
      </c>
      <c r="H18889" s="21">
        <v>768.17</v>
      </c>
    </row>
    <row r="18890" spans="1:8" customFormat="1" x14ac:dyDescent="0.25">
      <c r="A18890" t="str">
        <f>"8515387"</f>
        <v>8515387</v>
      </c>
      <c r="B18890" t="s">
        <v>15037</v>
      </c>
      <c r="C18890" t="s">
        <v>139</v>
      </c>
      <c r="D18890" s="21" t="s">
        <v>34</v>
      </c>
      <c r="E18890" s="21" t="s">
        <v>35</v>
      </c>
      <c r="F18890">
        <v>12850153</v>
      </c>
      <c r="G18890" t="s">
        <v>5794</v>
      </c>
      <c r="H18890" s="21">
        <v>768.17</v>
      </c>
    </row>
    <row r="18891" spans="1:8" customFormat="1" x14ac:dyDescent="0.25">
      <c r="A18891" t="str">
        <f>"637638"</f>
        <v>637638</v>
      </c>
      <c r="B18891" t="s">
        <v>7079</v>
      </c>
      <c r="C18891" t="s">
        <v>412</v>
      </c>
      <c r="D18891" s="21" t="s">
        <v>34</v>
      </c>
      <c r="E18891" s="21" t="s">
        <v>254</v>
      </c>
      <c r="F18891">
        <v>1630298</v>
      </c>
      <c r="G18891" t="s">
        <v>7247</v>
      </c>
      <c r="H18891" s="21">
        <v>768.17</v>
      </c>
    </row>
    <row r="18892" spans="1:8" customFormat="1" x14ac:dyDescent="0.25">
      <c r="A18892" t="str">
        <f>"9141258"</f>
        <v>9141258</v>
      </c>
      <c r="B18892" t="s">
        <v>15814</v>
      </c>
      <c r="C18892" t="s">
        <v>114</v>
      </c>
      <c r="D18892" s="21" t="s">
        <v>34</v>
      </c>
      <c r="E18892" s="21" t="s">
        <v>71</v>
      </c>
      <c r="F18892">
        <v>8910667</v>
      </c>
      <c r="G18892" t="s">
        <v>2361</v>
      </c>
      <c r="H18892" s="21">
        <v>768.17</v>
      </c>
    </row>
    <row r="18893" spans="1:8" customFormat="1" x14ac:dyDescent="0.25">
      <c r="A18893" t="str">
        <f>"671040"</f>
        <v>671040</v>
      </c>
      <c r="B18893" t="s">
        <v>14122</v>
      </c>
      <c r="C18893" t="s">
        <v>822</v>
      </c>
      <c r="D18893" s="21" t="s">
        <v>34</v>
      </c>
      <c r="E18893" s="21" t="s">
        <v>254</v>
      </c>
      <c r="F18893">
        <v>6670216</v>
      </c>
      <c r="G18893" t="s">
        <v>2194</v>
      </c>
      <c r="H18893" s="21">
        <v>768.17</v>
      </c>
    </row>
    <row r="18894" spans="1:8" customFormat="1" x14ac:dyDescent="0.25">
      <c r="A18894" t="str">
        <f>"2926699"</f>
        <v>2926699</v>
      </c>
      <c r="B18894" t="s">
        <v>13838</v>
      </c>
      <c r="C18894" t="s">
        <v>1110</v>
      </c>
      <c r="D18894" s="21" t="s">
        <v>34</v>
      </c>
      <c r="E18894" s="21" t="s">
        <v>71</v>
      </c>
      <c r="F18894">
        <v>3290282</v>
      </c>
      <c r="G18894" t="s">
        <v>4855</v>
      </c>
      <c r="H18894" s="21">
        <v>768.17</v>
      </c>
    </row>
    <row r="18895" spans="1:8" customFormat="1" x14ac:dyDescent="0.25">
      <c r="A18895" t="str">
        <f>"666958"</f>
        <v>666958</v>
      </c>
      <c r="B18895" t="s">
        <v>16462</v>
      </c>
      <c r="C18895" t="s">
        <v>926</v>
      </c>
      <c r="D18895" s="21" t="s">
        <v>34</v>
      </c>
      <c r="E18895" s="21" t="s">
        <v>71</v>
      </c>
      <c r="F18895">
        <v>11660020</v>
      </c>
      <c r="G18895" t="s">
        <v>10247</v>
      </c>
      <c r="H18895" s="21">
        <v>768.04</v>
      </c>
    </row>
    <row r="18896" spans="1:8" customFormat="1" x14ac:dyDescent="0.25">
      <c r="A18896" t="str">
        <f>"498612"</f>
        <v>498612</v>
      </c>
      <c r="B18896" t="s">
        <v>16910</v>
      </c>
      <c r="C18896" t="s">
        <v>147</v>
      </c>
      <c r="D18896" s="21" t="s">
        <v>34</v>
      </c>
      <c r="E18896" s="21" t="s">
        <v>35</v>
      </c>
      <c r="F18896">
        <v>8930003</v>
      </c>
      <c r="G18896" t="s">
        <v>13083</v>
      </c>
      <c r="H18896" s="21">
        <v>768.04</v>
      </c>
    </row>
    <row r="18897" spans="1:8" customFormat="1" x14ac:dyDescent="0.25">
      <c r="A18897" t="str">
        <f>"4515014"</f>
        <v>4515014</v>
      </c>
      <c r="B18897" t="s">
        <v>15363</v>
      </c>
      <c r="C18897" t="s">
        <v>33</v>
      </c>
      <c r="D18897" s="21" t="s">
        <v>34</v>
      </c>
      <c r="E18897" s="21" t="s">
        <v>71</v>
      </c>
      <c r="F18897">
        <v>4450573</v>
      </c>
      <c r="G18897" t="s">
        <v>4106</v>
      </c>
      <c r="H18897" s="21">
        <v>767.92</v>
      </c>
    </row>
    <row r="18898" spans="1:8" customFormat="1" x14ac:dyDescent="0.25">
      <c r="A18898" t="str">
        <f>"9137214"</f>
        <v>9137214</v>
      </c>
      <c r="B18898" t="s">
        <v>15989</v>
      </c>
      <c r="C18898" t="s">
        <v>246</v>
      </c>
      <c r="D18898" s="21" t="s">
        <v>34</v>
      </c>
      <c r="E18898" s="21" t="s">
        <v>35</v>
      </c>
      <c r="F18898">
        <v>8911021</v>
      </c>
      <c r="G18898" t="s">
        <v>4198</v>
      </c>
      <c r="H18898" s="21">
        <v>767.92</v>
      </c>
    </row>
    <row r="18899" spans="1:8" customFormat="1" x14ac:dyDescent="0.25">
      <c r="A18899" t="str">
        <f>"0812161"</f>
        <v>0812161</v>
      </c>
      <c r="B18899" t="s">
        <v>17141</v>
      </c>
      <c r="C18899" t="s">
        <v>3807</v>
      </c>
      <c r="D18899" s="21" t="s">
        <v>34</v>
      </c>
      <c r="E18899" s="21" t="s">
        <v>35</v>
      </c>
      <c r="F18899">
        <v>6080017</v>
      </c>
      <c r="G18899" t="s">
        <v>5023</v>
      </c>
      <c r="H18899" s="21">
        <v>767.92</v>
      </c>
    </row>
    <row r="18900" spans="1:8" customFormat="1" x14ac:dyDescent="0.25">
      <c r="A18900" t="str">
        <f>"9439714"</f>
        <v>9439714</v>
      </c>
      <c r="B18900" t="s">
        <v>2489</v>
      </c>
      <c r="C18900" t="s">
        <v>169</v>
      </c>
      <c r="D18900" s="21" t="s">
        <v>34</v>
      </c>
      <c r="E18900" s="21" t="s">
        <v>35</v>
      </c>
      <c r="F18900">
        <v>8940012</v>
      </c>
      <c r="G18900" t="s">
        <v>1648</v>
      </c>
      <c r="H18900" s="21">
        <v>767.92</v>
      </c>
    </row>
    <row r="18901" spans="1:8" customFormat="1" x14ac:dyDescent="0.25">
      <c r="A18901" t="str">
        <f>"9138842"</f>
        <v>9138842</v>
      </c>
      <c r="B18901" t="s">
        <v>14909</v>
      </c>
      <c r="C18901" t="s">
        <v>611</v>
      </c>
      <c r="D18901" s="21" t="s">
        <v>34</v>
      </c>
      <c r="E18901" s="21" t="s">
        <v>35</v>
      </c>
      <c r="F18901">
        <v>8910004</v>
      </c>
      <c r="G18901" t="s">
        <v>9637</v>
      </c>
      <c r="H18901" s="21">
        <v>767.79</v>
      </c>
    </row>
    <row r="18902" spans="1:8" customFormat="1" x14ac:dyDescent="0.25">
      <c r="A18902" t="str">
        <f>"6714931"</f>
        <v>6714931</v>
      </c>
      <c r="B18902" t="s">
        <v>14870</v>
      </c>
      <c r="C18902" t="s">
        <v>598</v>
      </c>
      <c r="D18902" s="21" t="s">
        <v>34</v>
      </c>
      <c r="E18902" s="21" t="s">
        <v>35</v>
      </c>
      <c r="F18902">
        <v>6670201</v>
      </c>
      <c r="G18902" t="s">
        <v>8483</v>
      </c>
      <c r="H18902" s="21">
        <v>767.75</v>
      </c>
    </row>
    <row r="18903" spans="1:8" customFormat="1" x14ac:dyDescent="0.25">
      <c r="A18903" t="str">
        <f>"8519621"</f>
        <v>8519621</v>
      </c>
      <c r="B18903" t="s">
        <v>5545</v>
      </c>
      <c r="C18903" t="s">
        <v>58</v>
      </c>
      <c r="D18903" s="21" t="s">
        <v>34</v>
      </c>
      <c r="E18903" s="21" t="s">
        <v>35</v>
      </c>
      <c r="F18903">
        <v>12850170</v>
      </c>
      <c r="G18903" t="s">
        <v>3349</v>
      </c>
      <c r="H18903" s="21">
        <v>767.67</v>
      </c>
    </row>
    <row r="18904" spans="1:8" customFormat="1" x14ac:dyDescent="0.25">
      <c r="A18904" t="str">
        <f>"2513226"</f>
        <v>2513226</v>
      </c>
      <c r="B18904" t="s">
        <v>27547</v>
      </c>
      <c r="C18904" t="s">
        <v>82</v>
      </c>
      <c r="D18904" s="21" t="s">
        <v>34</v>
      </c>
      <c r="E18904" s="21" t="s">
        <v>35</v>
      </c>
      <c r="F18904">
        <v>2250216</v>
      </c>
      <c r="G18904" t="s">
        <v>11454</v>
      </c>
      <c r="H18904" s="21">
        <v>767.67</v>
      </c>
    </row>
    <row r="18905" spans="1:8" customFormat="1" x14ac:dyDescent="0.25">
      <c r="A18905" t="str">
        <f>"7876904"</f>
        <v>7876904</v>
      </c>
      <c r="B18905" t="s">
        <v>19940</v>
      </c>
      <c r="C18905" t="s">
        <v>444</v>
      </c>
      <c r="D18905" s="21" t="s">
        <v>34</v>
      </c>
      <c r="E18905" s="21" t="s">
        <v>71</v>
      </c>
      <c r="F18905">
        <v>8780128</v>
      </c>
      <c r="G18905" t="s">
        <v>4201</v>
      </c>
      <c r="H18905" s="21">
        <v>767.67</v>
      </c>
    </row>
    <row r="18906" spans="1:8" customFormat="1" x14ac:dyDescent="0.25">
      <c r="A18906" t="str">
        <f>"72565"</f>
        <v>72565</v>
      </c>
      <c r="B18906" t="s">
        <v>15094</v>
      </c>
      <c r="C18906" t="s">
        <v>1142</v>
      </c>
      <c r="D18906" s="21" t="s">
        <v>34</v>
      </c>
      <c r="E18906" s="21" t="s">
        <v>1089</v>
      </c>
      <c r="F18906">
        <v>12720104</v>
      </c>
      <c r="G18906" t="s">
        <v>224</v>
      </c>
      <c r="H18906" s="21">
        <v>767.67</v>
      </c>
    </row>
    <row r="18907" spans="1:8" customFormat="1" x14ac:dyDescent="0.25">
      <c r="A18907" t="str">
        <f>"5613656"</f>
        <v>5613656</v>
      </c>
      <c r="B18907" t="s">
        <v>1802</v>
      </c>
      <c r="C18907" t="s">
        <v>415</v>
      </c>
      <c r="D18907" s="21" t="s">
        <v>34</v>
      </c>
      <c r="E18907" s="21" t="s">
        <v>71</v>
      </c>
      <c r="F18907">
        <v>3560071</v>
      </c>
      <c r="G18907" t="s">
        <v>8573</v>
      </c>
      <c r="H18907" s="21">
        <v>767.67</v>
      </c>
    </row>
    <row r="18908" spans="1:8" customFormat="1" x14ac:dyDescent="0.25">
      <c r="A18908" t="str">
        <f>"2212366"</f>
        <v>2212366</v>
      </c>
      <c r="B18908" t="s">
        <v>7072</v>
      </c>
      <c r="C18908" t="s">
        <v>1665</v>
      </c>
      <c r="D18908" s="21" t="s">
        <v>34</v>
      </c>
      <c r="E18908" s="21" t="s">
        <v>35</v>
      </c>
      <c r="F18908">
        <v>3220127</v>
      </c>
      <c r="G18908" t="s">
        <v>26652</v>
      </c>
      <c r="H18908" s="21">
        <v>767.67</v>
      </c>
    </row>
    <row r="18909" spans="1:8" customFormat="1" x14ac:dyDescent="0.25">
      <c r="A18909" t="str">
        <f>"7216404"</f>
        <v>7216404</v>
      </c>
      <c r="B18909" t="s">
        <v>16501</v>
      </c>
      <c r="C18909" t="s">
        <v>239</v>
      </c>
      <c r="D18909" s="21" t="s">
        <v>34</v>
      </c>
      <c r="E18909" s="21" t="s">
        <v>1089</v>
      </c>
      <c r="F18909">
        <v>12720104</v>
      </c>
      <c r="G18909" t="s">
        <v>224</v>
      </c>
      <c r="H18909" s="21">
        <v>767.67</v>
      </c>
    </row>
    <row r="18910" spans="1:8" customFormat="1" x14ac:dyDescent="0.25">
      <c r="A18910" t="str">
        <f>"8520324"</f>
        <v>8520324</v>
      </c>
      <c r="B18910" t="s">
        <v>6611</v>
      </c>
      <c r="C18910" t="s">
        <v>124</v>
      </c>
      <c r="D18910" s="21" t="s">
        <v>34</v>
      </c>
      <c r="E18910" s="21" t="s">
        <v>35</v>
      </c>
      <c r="F18910">
        <v>12850040</v>
      </c>
      <c r="G18910" t="s">
        <v>2074</v>
      </c>
      <c r="H18910" s="21">
        <v>767.67</v>
      </c>
    </row>
    <row r="18911" spans="1:8" customFormat="1" x14ac:dyDescent="0.25">
      <c r="A18911" t="str">
        <f>"396728"</f>
        <v>396728</v>
      </c>
      <c r="B18911" t="s">
        <v>18740</v>
      </c>
      <c r="C18911" t="s">
        <v>412</v>
      </c>
      <c r="D18911" s="21" t="s">
        <v>34</v>
      </c>
      <c r="E18911" s="21" t="s">
        <v>1089</v>
      </c>
      <c r="F18911">
        <v>2390007</v>
      </c>
      <c r="G18911" t="s">
        <v>3365</v>
      </c>
      <c r="H18911" s="21">
        <v>767.67</v>
      </c>
    </row>
    <row r="18912" spans="1:8" customFormat="1" x14ac:dyDescent="0.25">
      <c r="A18912" t="str">
        <f>"47544"</f>
        <v>47544</v>
      </c>
      <c r="B18912" t="s">
        <v>697</v>
      </c>
      <c r="C18912" t="s">
        <v>3309</v>
      </c>
      <c r="D18912" s="21" t="s">
        <v>34</v>
      </c>
      <c r="E18912" s="21" t="s">
        <v>35</v>
      </c>
      <c r="F18912">
        <v>10470009</v>
      </c>
      <c r="G18912" t="s">
        <v>4915</v>
      </c>
      <c r="H18912" s="21">
        <v>767.67</v>
      </c>
    </row>
    <row r="18913" spans="1:8" customFormat="1" x14ac:dyDescent="0.25">
      <c r="A18913" t="str">
        <f>"037080"</f>
        <v>037080</v>
      </c>
      <c r="B18913" t="s">
        <v>15306</v>
      </c>
      <c r="C18913" t="s">
        <v>233</v>
      </c>
      <c r="D18913" s="21" t="s">
        <v>34</v>
      </c>
      <c r="E18913" s="21" t="s">
        <v>35</v>
      </c>
      <c r="F18913">
        <v>1030310</v>
      </c>
      <c r="G18913" t="s">
        <v>13666</v>
      </c>
      <c r="H18913" s="21">
        <v>767.67</v>
      </c>
    </row>
    <row r="18914" spans="1:8" customFormat="1" x14ac:dyDescent="0.25">
      <c r="A18914" t="str">
        <f>"6713454"</f>
        <v>6713454</v>
      </c>
      <c r="B18914" t="s">
        <v>12979</v>
      </c>
      <c r="C18914" t="s">
        <v>459</v>
      </c>
      <c r="D18914" s="21" t="s">
        <v>34</v>
      </c>
      <c r="E18914" s="21" t="s">
        <v>71</v>
      </c>
      <c r="F18914">
        <v>6670141</v>
      </c>
      <c r="G18914" t="s">
        <v>5030</v>
      </c>
      <c r="H18914" s="21">
        <v>767.67</v>
      </c>
    </row>
    <row r="18915" spans="1:8" customFormat="1" x14ac:dyDescent="0.25">
      <c r="A18915" t="str">
        <f>"034853"</f>
        <v>034853</v>
      </c>
      <c r="B18915" t="s">
        <v>15375</v>
      </c>
      <c r="C18915" t="s">
        <v>209</v>
      </c>
      <c r="D18915" s="21" t="s">
        <v>34</v>
      </c>
      <c r="E18915" s="21" t="s">
        <v>254</v>
      </c>
      <c r="F18915">
        <v>1630015</v>
      </c>
      <c r="G18915" t="s">
        <v>2097</v>
      </c>
      <c r="H18915" s="21">
        <v>767.67</v>
      </c>
    </row>
    <row r="18916" spans="1:8" customFormat="1" x14ac:dyDescent="0.25">
      <c r="A18916" t="str">
        <f>"692830"</f>
        <v>692830</v>
      </c>
      <c r="B18916" t="s">
        <v>16857</v>
      </c>
      <c r="C18916" t="s">
        <v>3905</v>
      </c>
      <c r="D18916" s="21" t="s">
        <v>34</v>
      </c>
      <c r="E18916" s="21" t="s">
        <v>254</v>
      </c>
      <c r="F18916">
        <v>1010063</v>
      </c>
      <c r="G18916" t="s">
        <v>5215</v>
      </c>
      <c r="H18916" s="21">
        <v>767.67</v>
      </c>
    </row>
    <row r="18917" spans="1:8" customFormat="1" x14ac:dyDescent="0.25">
      <c r="A18917" t="str">
        <f>"5942559"</f>
        <v>5942559</v>
      </c>
      <c r="B18917" t="s">
        <v>16843</v>
      </c>
      <c r="C18917" t="s">
        <v>149</v>
      </c>
      <c r="D18917" s="21" t="s">
        <v>34</v>
      </c>
      <c r="E18917" s="21" t="s">
        <v>35</v>
      </c>
      <c r="F18917">
        <v>7590122</v>
      </c>
      <c r="G18917" t="s">
        <v>5608</v>
      </c>
      <c r="H18917" s="21">
        <v>767.67</v>
      </c>
    </row>
    <row r="18918" spans="1:8" customFormat="1" x14ac:dyDescent="0.25">
      <c r="A18918" t="str">
        <f>"4449138"</f>
        <v>4449138</v>
      </c>
      <c r="B18918" t="s">
        <v>2489</v>
      </c>
      <c r="C18918" t="s">
        <v>169</v>
      </c>
      <c r="D18918" s="21" t="s">
        <v>34</v>
      </c>
      <c r="E18918" s="21" t="s">
        <v>35</v>
      </c>
      <c r="F18918">
        <v>12440127</v>
      </c>
      <c r="G18918" t="s">
        <v>7692</v>
      </c>
      <c r="H18918" s="21">
        <v>767.67</v>
      </c>
    </row>
    <row r="18919" spans="1:8" customFormat="1" x14ac:dyDescent="0.25">
      <c r="A18919" t="str">
        <f>"6930635"</f>
        <v>6930635</v>
      </c>
      <c r="B18919" t="s">
        <v>14565</v>
      </c>
      <c r="C18919" t="s">
        <v>169</v>
      </c>
      <c r="D18919" s="21" t="s">
        <v>34</v>
      </c>
      <c r="E18919" s="21" t="s">
        <v>71</v>
      </c>
      <c r="F18919">
        <v>1690194</v>
      </c>
      <c r="G18919" t="s">
        <v>5285</v>
      </c>
      <c r="H18919" s="21">
        <v>767.67</v>
      </c>
    </row>
    <row r="18920" spans="1:8" customFormat="1" x14ac:dyDescent="0.25">
      <c r="A18920" t="str">
        <f>"886397"</f>
        <v>886397</v>
      </c>
      <c r="B18920" t="s">
        <v>15343</v>
      </c>
      <c r="C18920" t="s">
        <v>151</v>
      </c>
      <c r="D18920" s="21" t="s">
        <v>34</v>
      </c>
      <c r="E18920" s="21" t="s">
        <v>71</v>
      </c>
      <c r="F18920">
        <v>3350055</v>
      </c>
      <c r="G18920" t="s">
        <v>6720</v>
      </c>
      <c r="H18920" s="21">
        <v>767.67</v>
      </c>
    </row>
    <row r="18921" spans="1:8" customFormat="1" x14ac:dyDescent="0.25">
      <c r="A18921" t="str">
        <f>"558516"</f>
        <v>558516</v>
      </c>
      <c r="B18921" t="s">
        <v>4335</v>
      </c>
      <c r="C18921" t="s">
        <v>269</v>
      </c>
      <c r="D18921" s="21" t="s">
        <v>34</v>
      </c>
      <c r="E18921" s="21" t="s">
        <v>71</v>
      </c>
      <c r="F18921">
        <v>6550001</v>
      </c>
      <c r="G18921" t="s">
        <v>8790</v>
      </c>
      <c r="H18921" s="21">
        <v>767.67</v>
      </c>
    </row>
    <row r="18922" spans="1:8" customFormat="1" x14ac:dyDescent="0.25">
      <c r="A18922" t="str">
        <f>"9139899"</f>
        <v>9139899</v>
      </c>
      <c r="B18922" t="s">
        <v>14921</v>
      </c>
      <c r="C18922" t="s">
        <v>40</v>
      </c>
      <c r="D18922" s="21" t="s">
        <v>34</v>
      </c>
      <c r="E18922" s="21" t="s">
        <v>35</v>
      </c>
      <c r="F18922">
        <v>8910578</v>
      </c>
      <c r="G18922" t="s">
        <v>5776</v>
      </c>
      <c r="H18922" s="21">
        <v>767.67</v>
      </c>
    </row>
    <row r="18923" spans="1:8" customFormat="1" x14ac:dyDescent="0.25">
      <c r="A18923" t="str">
        <f>"3520243"</f>
        <v>3520243</v>
      </c>
      <c r="B18923" t="s">
        <v>19222</v>
      </c>
      <c r="C18923" t="s">
        <v>130</v>
      </c>
      <c r="D18923" s="21" t="s">
        <v>34</v>
      </c>
      <c r="E18923" s="21" t="s">
        <v>71</v>
      </c>
      <c r="F18923">
        <v>3350021</v>
      </c>
      <c r="G18923" t="s">
        <v>1758</v>
      </c>
      <c r="H18923" s="21">
        <v>767.67</v>
      </c>
    </row>
    <row r="18924" spans="1:8" customFormat="1" x14ac:dyDescent="0.25">
      <c r="A18924" t="str">
        <f>"2920234"</f>
        <v>2920234</v>
      </c>
      <c r="B18924" t="s">
        <v>27548</v>
      </c>
      <c r="C18924" t="s">
        <v>33</v>
      </c>
      <c r="D18924" s="21" t="s">
        <v>34</v>
      </c>
      <c r="E18924" s="21" t="s">
        <v>35</v>
      </c>
      <c r="F18924">
        <v>3290263</v>
      </c>
      <c r="G18924" t="s">
        <v>4108</v>
      </c>
      <c r="H18924" s="21">
        <v>767.67</v>
      </c>
    </row>
    <row r="18925" spans="1:8" customFormat="1" x14ac:dyDescent="0.25">
      <c r="A18925" t="str">
        <f>"6942551"</f>
        <v>6942551</v>
      </c>
      <c r="B18925" t="s">
        <v>15398</v>
      </c>
      <c r="C18925" t="s">
        <v>169</v>
      </c>
      <c r="D18925" s="21" t="s">
        <v>34</v>
      </c>
      <c r="E18925" s="21" t="s">
        <v>71</v>
      </c>
      <c r="F18925">
        <v>1690047</v>
      </c>
      <c r="G18925" t="s">
        <v>4223</v>
      </c>
      <c r="H18925" s="21">
        <v>767.67</v>
      </c>
    </row>
    <row r="18926" spans="1:8" customFormat="1" x14ac:dyDescent="0.25">
      <c r="A18926" t="str">
        <f>"1710135"</f>
        <v>1710135</v>
      </c>
      <c r="B18926" t="s">
        <v>13565</v>
      </c>
      <c r="C18926" t="s">
        <v>1142</v>
      </c>
      <c r="D18926" s="21" t="s">
        <v>34</v>
      </c>
      <c r="E18926" s="21" t="s">
        <v>1089</v>
      </c>
      <c r="F18926">
        <v>9760036</v>
      </c>
      <c r="G18926" t="s">
        <v>279</v>
      </c>
      <c r="H18926" s="21">
        <v>767.67</v>
      </c>
    </row>
    <row r="18927" spans="1:8" customFormat="1" x14ac:dyDescent="0.25">
      <c r="A18927" t="str">
        <f>"862573"</f>
        <v>862573</v>
      </c>
      <c r="B18927" t="s">
        <v>15093</v>
      </c>
      <c r="C18927" t="s">
        <v>198</v>
      </c>
      <c r="D18927" s="21" t="s">
        <v>34</v>
      </c>
      <c r="E18927" s="21" t="s">
        <v>71</v>
      </c>
      <c r="F18927">
        <v>10860035</v>
      </c>
      <c r="G18927" t="s">
        <v>4019</v>
      </c>
      <c r="H18927" s="21">
        <v>767.67</v>
      </c>
    </row>
    <row r="18928" spans="1:8" customFormat="1" x14ac:dyDescent="0.25">
      <c r="A18928" t="str">
        <f>"0613236"</f>
        <v>0613236</v>
      </c>
      <c r="B18928" t="s">
        <v>15360</v>
      </c>
      <c r="C18928" t="s">
        <v>1665</v>
      </c>
      <c r="D18928" s="21" t="s">
        <v>34</v>
      </c>
      <c r="E18928" s="21" t="s">
        <v>71</v>
      </c>
      <c r="F18928">
        <v>13060005</v>
      </c>
      <c r="G18928" t="s">
        <v>3609</v>
      </c>
      <c r="H18928" s="21">
        <v>767.67</v>
      </c>
    </row>
    <row r="18929" spans="1:8" customFormat="1" x14ac:dyDescent="0.25">
      <c r="A18929" t="str">
        <f>"08315"</f>
        <v>08315</v>
      </c>
      <c r="B18929" t="s">
        <v>875</v>
      </c>
      <c r="C18929" t="s">
        <v>15191</v>
      </c>
      <c r="D18929" s="21" t="s">
        <v>34</v>
      </c>
      <c r="E18929" s="21" t="s">
        <v>254</v>
      </c>
      <c r="F18929">
        <v>6080005</v>
      </c>
      <c r="G18929" t="s">
        <v>8965</v>
      </c>
      <c r="H18929" s="21">
        <v>767.67</v>
      </c>
    </row>
    <row r="18930" spans="1:8" customFormat="1" x14ac:dyDescent="0.25">
      <c r="A18930" t="str">
        <f>"476105"</f>
        <v>476105</v>
      </c>
      <c r="B18930" t="s">
        <v>6018</v>
      </c>
      <c r="C18930" t="s">
        <v>187</v>
      </c>
      <c r="D18930" s="21" t="s">
        <v>34</v>
      </c>
      <c r="E18930" s="21" t="s">
        <v>254</v>
      </c>
      <c r="F18930">
        <v>10470004</v>
      </c>
      <c r="G18930" t="s">
        <v>15474</v>
      </c>
      <c r="H18930" s="21">
        <v>767.67</v>
      </c>
    </row>
    <row r="18931" spans="1:8" customFormat="1" x14ac:dyDescent="0.25">
      <c r="A18931" t="str">
        <f>"4447718"</f>
        <v>4447718</v>
      </c>
      <c r="B18931" t="s">
        <v>537</v>
      </c>
      <c r="C18931" t="s">
        <v>415</v>
      </c>
      <c r="D18931" s="21" t="s">
        <v>34</v>
      </c>
      <c r="E18931" s="21" t="s">
        <v>71</v>
      </c>
      <c r="F18931">
        <v>12440141</v>
      </c>
      <c r="G18931" t="s">
        <v>3234</v>
      </c>
      <c r="H18931" s="21">
        <v>767.67</v>
      </c>
    </row>
    <row r="18932" spans="1:8" customFormat="1" x14ac:dyDescent="0.25">
      <c r="A18932" t="str">
        <f>"2720394"</f>
        <v>2720394</v>
      </c>
      <c r="B18932" t="s">
        <v>16157</v>
      </c>
      <c r="C18932" t="s">
        <v>1142</v>
      </c>
      <c r="D18932" s="21" t="s">
        <v>34</v>
      </c>
      <c r="E18932" s="21" t="s">
        <v>254</v>
      </c>
      <c r="F18932">
        <v>9270112</v>
      </c>
      <c r="G18932" t="s">
        <v>5124</v>
      </c>
      <c r="H18932" s="21">
        <v>767.54</v>
      </c>
    </row>
    <row r="18933" spans="1:8" customFormat="1" x14ac:dyDescent="0.25">
      <c r="A18933" t="str">
        <f>"1311139"</f>
        <v>1311139</v>
      </c>
      <c r="B18933" t="s">
        <v>3089</v>
      </c>
      <c r="C18933" t="s">
        <v>114</v>
      </c>
      <c r="D18933" s="21" t="s">
        <v>34</v>
      </c>
      <c r="E18933" s="21" t="s">
        <v>254</v>
      </c>
      <c r="F18933">
        <v>13130152</v>
      </c>
      <c r="G18933" t="s">
        <v>906</v>
      </c>
      <c r="H18933" s="21">
        <v>767.42</v>
      </c>
    </row>
    <row r="18934" spans="1:8" customFormat="1" x14ac:dyDescent="0.25">
      <c r="A18934" t="str">
        <f>"9420159"</f>
        <v>9420159</v>
      </c>
      <c r="B18934" t="s">
        <v>1974</v>
      </c>
      <c r="C18934" t="s">
        <v>149</v>
      </c>
      <c r="D18934" s="21" t="s">
        <v>34</v>
      </c>
      <c r="E18934" s="21" t="s">
        <v>35</v>
      </c>
      <c r="F18934">
        <v>11340060</v>
      </c>
      <c r="G18934" t="s">
        <v>1275</v>
      </c>
      <c r="H18934" s="21">
        <v>767.29</v>
      </c>
    </row>
    <row r="18935" spans="1:8" customFormat="1" x14ac:dyDescent="0.25">
      <c r="A18935" t="str">
        <f>"8610124"</f>
        <v>8610124</v>
      </c>
      <c r="B18935" t="s">
        <v>4119</v>
      </c>
      <c r="C18935" t="s">
        <v>149</v>
      </c>
      <c r="D18935" s="21" t="s">
        <v>34</v>
      </c>
      <c r="E18935" s="21" t="s">
        <v>35</v>
      </c>
      <c r="F18935">
        <v>10860149</v>
      </c>
      <c r="G18935" t="s">
        <v>17376</v>
      </c>
      <c r="H18935" s="21">
        <v>767.29</v>
      </c>
    </row>
    <row r="18936" spans="1:8" customFormat="1" x14ac:dyDescent="0.25">
      <c r="A18936" t="str">
        <f>"7626926"</f>
        <v>7626926</v>
      </c>
      <c r="B18936" t="s">
        <v>4315</v>
      </c>
      <c r="C18936" t="s">
        <v>43</v>
      </c>
      <c r="D18936" s="21" t="s">
        <v>34</v>
      </c>
      <c r="E18936" s="21" t="s">
        <v>35</v>
      </c>
      <c r="F18936">
        <v>12440147</v>
      </c>
      <c r="G18936" t="s">
        <v>5472</v>
      </c>
      <c r="H18936" s="21">
        <v>767.17</v>
      </c>
    </row>
    <row r="18937" spans="1:8" customFormat="1" x14ac:dyDescent="0.25">
      <c r="A18937" t="str">
        <f>"3111376"</f>
        <v>3111376</v>
      </c>
      <c r="B18937" t="s">
        <v>17504</v>
      </c>
      <c r="C18937" t="s">
        <v>253</v>
      </c>
      <c r="D18937" s="21" t="s">
        <v>34</v>
      </c>
      <c r="E18937" s="21" t="s">
        <v>35</v>
      </c>
      <c r="F18937">
        <v>11310129</v>
      </c>
      <c r="G18937" t="s">
        <v>4672</v>
      </c>
      <c r="H18937" s="21">
        <v>767.17</v>
      </c>
    </row>
    <row r="18938" spans="1:8" customFormat="1" x14ac:dyDescent="0.25">
      <c r="A18938" t="str">
        <f>"1614165"</f>
        <v>1614165</v>
      </c>
      <c r="B18938" t="s">
        <v>20653</v>
      </c>
      <c r="C18938" t="s">
        <v>169</v>
      </c>
      <c r="D18938" s="21" t="s">
        <v>34</v>
      </c>
      <c r="E18938" s="21" t="s">
        <v>35</v>
      </c>
      <c r="F18938">
        <v>10160236</v>
      </c>
      <c r="G18938" t="s">
        <v>7202</v>
      </c>
      <c r="H18938" s="21">
        <v>767.17</v>
      </c>
    </row>
    <row r="18939" spans="1:8" customFormat="1" x14ac:dyDescent="0.25">
      <c r="A18939" t="str">
        <f>"931669"</f>
        <v>931669</v>
      </c>
      <c r="B18939" t="s">
        <v>13279</v>
      </c>
      <c r="C18939" t="s">
        <v>2479</v>
      </c>
      <c r="D18939" s="21" t="s">
        <v>34</v>
      </c>
      <c r="E18939" s="21" t="s">
        <v>71</v>
      </c>
      <c r="F18939">
        <v>8930148</v>
      </c>
      <c r="G18939" t="s">
        <v>1915</v>
      </c>
      <c r="H18939" s="21">
        <v>767.17</v>
      </c>
    </row>
    <row r="18940" spans="1:8" customFormat="1" x14ac:dyDescent="0.25">
      <c r="A18940" t="str">
        <f>"695126"</f>
        <v>695126</v>
      </c>
      <c r="B18940" t="s">
        <v>12791</v>
      </c>
      <c r="C18940" t="s">
        <v>3073</v>
      </c>
      <c r="D18940" s="21" t="s">
        <v>34</v>
      </c>
      <c r="E18940" s="21" t="s">
        <v>254</v>
      </c>
      <c r="F18940">
        <v>1380262</v>
      </c>
      <c r="G18940" t="s">
        <v>1216</v>
      </c>
      <c r="H18940" s="21">
        <v>767.17</v>
      </c>
    </row>
    <row r="18941" spans="1:8" customFormat="1" x14ac:dyDescent="0.25">
      <c r="A18941" t="str">
        <f>"256024"</f>
        <v>256024</v>
      </c>
      <c r="B18941" t="s">
        <v>7006</v>
      </c>
      <c r="C18941" t="s">
        <v>198</v>
      </c>
      <c r="D18941" s="21" t="s">
        <v>34</v>
      </c>
      <c r="E18941" s="21" t="s">
        <v>71</v>
      </c>
      <c r="F18941">
        <v>2250179</v>
      </c>
      <c r="G18941" t="s">
        <v>7007</v>
      </c>
      <c r="H18941" s="21">
        <v>767.17</v>
      </c>
    </row>
    <row r="18942" spans="1:8" customFormat="1" x14ac:dyDescent="0.25">
      <c r="A18942" t="str">
        <f>"9135013"</f>
        <v>9135013</v>
      </c>
      <c r="B18942" t="s">
        <v>15090</v>
      </c>
      <c r="C18942" t="s">
        <v>209</v>
      </c>
      <c r="D18942" s="21" t="s">
        <v>34</v>
      </c>
      <c r="E18942" s="21" t="s">
        <v>35</v>
      </c>
      <c r="F18942">
        <v>8910310</v>
      </c>
      <c r="G18942" t="s">
        <v>6645</v>
      </c>
      <c r="H18942" s="21">
        <v>767.17</v>
      </c>
    </row>
    <row r="18943" spans="1:8" customFormat="1" x14ac:dyDescent="0.25">
      <c r="A18943" t="str">
        <f>"698559"</f>
        <v>698559</v>
      </c>
      <c r="B18943" t="s">
        <v>15357</v>
      </c>
      <c r="C18943" t="s">
        <v>87</v>
      </c>
      <c r="D18943" s="21" t="s">
        <v>34</v>
      </c>
      <c r="E18943" s="21" t="s">
        <v>35</v>
      </c>
      <c r="F18943">
        <v>1690169</v>
      </c>
      <c r="G18943" t="s">
        <v>10963</v>
      </c>
      <c r="H18943" s="21">
        <v>767.17</v>
      </c>
    </row>
    <row r="18944" spans="1:8" customFormat="1" x14ac:dyDescent="0.25">
      <c r="A18944" t="str">
        <f>"7849797"</f>
        <v>7849797</v>
      </c>
      <c r="B18944" t="s">
        <v>15763</v>
      </c>
      <c r="C18944" t="s">
        <v>544</v>
      </c>
      <c r="D18944" s="21" t="s">
        <v>34</v>
      </c>
      <c r="E18944" s="21" t="s">
        <v>35</v>
      </c>
      <c r="F18944">
        <v>8781469</v>
      </c>
      <c r="G18944" t="s">
        <v>4779</v>
      </c>
      <c r="H18944" s="21">
        <v>767.17</v>
      </c>
    </row>
    <row r="18945" spans="1:8" customFormat="1" x14ac:dyDescent="0.25">
      <c r="A18945" t="str">
        <f>"652929"</f>
        <v>652929</v>
      </c>
      <c r="B18945" t="s">
        <v>14934</v>
      </c>
      <c r="C18945" t="s">
        <v>209</v>
      </c>
      <c r="D18945" s="21" t="s">
        <v>34</v>
      </c>
      <c r="E18945" s="21" t="s">
        <v>35</v>
      </c>
      <c r="F18945">
        <v>11650034</v>
      </c>
      <c r="G18945" t="s">
        <v>1989</v>
      </c>
      <c r="H18945" s="21">
        <v>767.17</v>
      </c>
    </row>
    <row r="18946" spans="1:8" customFormat="1" x14ac:dyDescent="0.25">
      <c r="A18946" t="str">
        <f>"7511391"</f>
        <v>7511391</v>
      </c>
      <c r="B18946" t="s">
        <v>14766</v>
      </c>
      <c r="C18946" t="s">
        <v>3905</v>
      </c>
      <c r="D18946" s="21" t="s">
        <v>34</v>
      </c>
      <c r="E18946" s="21" t="s">
        <v>71</v>
      </c>
      <c r="F18946">
        <v>13830068</v>
      </c>
      <c r="G18946" t="s">
        <v>6181</v>
      </c>
      <c r="H18946" s="21">
        <v>767.17</v>
      </c>
    </row>
    <row r="18947" spans="1:8" customFormat="1" x14ac:dyDescent="0.25">
      <c r="A18947" t="str">
        <f>"637929"</f>
        <v>637929</v>
      </c>
      <c r="B18947" t="s">
        <v>15685</v>
      </c>
      <c r="C18947" t="s">
        <v>285</v>
      </c>
      <c r="D18947" s="21" t="s">
        <v>34</v>
      </c>
      <c r="E18947" s="21" t="s">
        <v>35</v>
      </c>
      <c r="F18947">
        <v>1630243</v>
      </c>
      <c r="G18947" t="s">
        <v>9163</v>
      </c>
      <c r="H18947" s="21">
        <v>767.17</v>
      </c>
    </row>
    <row r="18948" spans="1:8" customFormat="1" x14ac:dyDescent="0.25">
      <c r="A18948" t="str">
        <f>"444251"</f>
        <v>444251</v>
      </c>
      <c r="B18948" t="s">
        <v>15644</v>
      </c>
      <c r="C18948" t="s">
        <v>1665</v>
      </c>
      <c r="D18948" s="21" t="s">
        <v>34</v>
      </c>
      <c r="E18948" s="21" t="s">
        <v>1089</v>
      </c>
      <c r="F18948">
        <v>12440182</v>
      </c>
      <c r="G18948" t="s">
        <v>2915</v>
      </c>
      <c r="H18948" s="21">
        <v>767.17</v>
      </c>
    </row>
    <row r="18949" spans="1:8" customFormat="1" x14ac:dyDescent="0.25">
      <c r="A18949" t="str">
        <f>"2715814"</f>
        <v>2715814</v>
      </c>
      <c r="B18949" t="s">
        <v>13616</v>
      </c>
      <c r="C18949" t="s">
        <v>249</v>
      </c>
      <c r="D18949" s="21" t="s">
        <v>34</v>
      </c>
      <c r="E18949" s="21" t="s">
        <v>71</v>
      </c>
      <c r="F18949">
        <v>9270162</v>
      </c>
      <c r="G18949" t="s">
        <v>1865</v>
      </c>
      <c r="H18949" s="21">
        <v>767.17</v>
      </c>
    </row>
    <row r="18950" spans="1:8" customFormat="1" x14ac:dyDescent="0.25">
      <c r="A18950" t="str">
        <f>"349179"</f>
        <v>349179</v>
      </c>
      <c r="B18950" t="s">
        <v>18088</v>
      </c>
      <c r="C18950" t="s">
        <v>187</v>
      </c>
      <c r="D18950" s="21" t="s">
        <v>34</v>
      </c>
      <c r="E18950" s="21" t="s">
        <v>35</v>
      </c>
      <c r="F18950">
        <v>11340073</v>
      </c>
      <c r="G18950" t="s">
        <v>15005</v>
      </c>
      <c r="H18950" s="21">
        <v>767.17</v>
      </c>
    </row>
    <row r="18951" spans="1:8" customFormat="1" x14ac:dyDescent="0.25">
      <c r="A18951" t="str">
        <f>"35559"</f>
        <v>35559</v>
      </c>
      <c r="B18951" t="s">
        <v>13944</v>
      </c>
      <c r="C18951" t="s">
        <v>1841</v>
      </c>
      <c r="D18951" s="21" t="s">
        <v>34</v>
      </c>
      <c r="E18951" s="21" t="s">
        <v>254</v>
      </c>
      <c r="F18951">
        <v>3350021</v>
      </c>
      <c r="G18951" t="s">
        <v>1758</v>
      </c>
      <c r="H18951" s="21">
        <v>767.17</v>
      </c>
    </row>
    <row r="18952" spans="1:8" customFormat="1" x14ac:dyDescent="0.25">
      <c r="A18952" t="str">
        <f>"2110107"</f>
        <v>2110107</v>
      </c>
      <c r="B18952" t="s">
        <v>14900</v>
      </c>
      <c r="C18952" t="s">
        <v>60</v>
      </c>
      <c r="D18952" s="21" t="s">
        <v>34</v>
      </c>
      <c r="E18952" s="21" t="s">
        <v>35</v>
      </c>
      <c r="F18952">
        <v>2210059</v>
      </c>
      <c r="G18952" t="s">
        <v>3142</v>
      </c>
      <c r="H18952" s="21">
        <v>767.17</v>
      </c>
    </row>
    <row r="18953" spans="1:8" customFormat="1" x14ac:dyDescent="0.25">
      <c r="A18953" t="str">
        <f>"4455375"</f>
        <v>4455375</v>
      </c>
      <c r="B18953" t="s">
        <v>5252</v>
      </c>
      <c r="C18953" t="s">
        <v>121</v>
      </c>
      <c r="D18953" s="21" t="s">
        <v>34</v>
      </c>
      <c r="E18953" s="21" t="s">
        <v>35</v>
      </c>
      <c r="F18953">
        <v>12440262</v>
      </c>
      <c r="G18953" t="s">
        <v>4590</v>
      </c>
      <c r="H18953" s="21">
        <v>767.17</v>
      </c>
    </row>
    <row r="18954" spans="1:8" customFormat="1" x14ac:dyDescent="0.25">
      <c r="A18954" t="str">
        <f>"7856107"</f>
        <v>7856107</v>
      </c>
      <c r="B18954" t="s">
        <v>17352</v>
      </c>
      <c r="C18954" t="s">
        <v>11441</v>
      </c>
      <c r="D18954" s="21" t="s">
        <v>34</v>
      </c>
      <c r="E18954" s="21" t="s">
        <v>71</v>
      </c>
      <c r="F18954">
        <v>8780890</v>
      </c>
      <c r="G18954" t="s">
        <v>6456</v>
      </c>
      <c r="H18954" s="21">
        <v>767.17</v>
      </c>
    </row>
    <row r="18955" spans="1:8" customFormat="1" x14ac:dyDescent="0.25">
      <c r="A18955" t="str">
        <f>"6017199"</f>
        <v>6017199</v>
      </c>
      <c r="B18955" t="s">
        <v>27549</v>
      </c>
      <c r="C18955" t="s">
        <v>109</v>
      </c>
      <c r="D18955" s="21" t="s">
        <v>34</v>
      </c>
      <c r="E18955" s="21" t="s">
        <v>35</v>
      </c>
      <c r="F18955">
        <v>7600088</v>
      </c>
      <c r="G18955" t="s">
        <v>334</v>
      </c>
      <c r="H18955" s="21">
        <v>767</v>
      </c>
    </row>
    <row r="18956" spans="1:8" customFormat="1" x14ac:dyDescent="0.25">
      <c r="A18956" t="str">
        <f>"6940638"</f>
        <v>6940638</v>
      </c>
      <c r="B18956" t="s">
        <v>16081</v>
      </c>
      <c r="C18956" t="s">
        <v>121</v>
      </c>
      <c r="D18956" s="21" t="s">
        <v>34</v>
      </c>
      <c r="E18956" s="21" t="s">
        <v>71</v>
      </c>
      <c r="F18956">
        <v>1690023</v>
      </c>
      <c r="G18956" t="s">
        <v>647</v>
      </c>
      <c r="H18956" s="21">
        <v>767</v>
      </c>
    </row>
    <row r="18957" spans="1:8" customFormat="1" x14ac:dyDescent="0.25">
      <c r="A18957" t="str">
        <f>"9531282"</f>
        <v>9531282</v>
      </c>
      <c r="B18957" t="s">
        <v>17699</v>
      </c>
      <c r="C18957" t="s">
        <v>17700</v>
      </c>
      <c r="D18957" s="21" t="s">
        <v>34</v>
      </c>
      <c r="E18957" s="21" t="s">
        <v>71</v>
      </c>
      <c r="F18957">
        <v>8951273</v>
      </c>
      <c r="G18957" t="s">
        <v>2382</v>
      </c>
      <c r="H18957" s="21">
        <v>766.92</v>
      </c>
    </row>
    <row r="18958" spans="1:8" customFormat="1" x14ac:dyDescent="0.25">
      <c r="A18958" t="str">
        <f>"44817"</f>
        <v>44817</v>
      </c>
      <c r="B18958" t="s">
        <v>15192</v>
      </c>
      <c r="C18958" t="s">
        <v>822</v>
      </c>
      <c r="D18958" s="21" t="s">
        <v>34</v>
      </c>
      <c r="E18958" s="21" t="s">
        <v>254</v>
      </c>
      <c r="F18958">
        <v>12440023</v>
      </c>
      <c r="G18958" t="s">
        <v>3507</v>
      </c>
      <c r="H18958" s="21">
        <v>766.92</v>
      </c>
    </row>
    <row r="18959" spans="1:8" customFormat="1" x14ac:dyDescent="0.25">
      <c r="A18959" t="str">
        <f>"507401"</f>
        <v>507401</v>
      </c>
      <c r="B18959" t="s">
        <v>14959</v>
      </c>
      <c r="C18959" t="s">
        <v>119</v>
      </c>
      <c r="D18959" s="21" t="s">
        <v>34</v>
      </c>
      <c r="E18959" s="21" t="s">
        <v>35</v>
      </c>
      <c r="F18959">
        <v>9500025</v>
      </c>
      <c r="G18959" t="s">
        <v>665</v>
      </c>
      <c r="H18959" s="21">
        <v>766.92</v>
      </c>
    </row>
    <row r="18960" spans="1:8" customFormat="1" x14ac:dyDescent="0.25">
      <c r="A18960" t="str">
        <f>"691794"</f>
        <v>691794</v>
      </c>
      <c r="B18960" t="s">
        <v>14382</v>
      </c>
      <c r="C18960" t="s">
        <v>4842</v>
      </c>
      <c r="D18960" s="21" t="s">
        <v>34</v>
      </c>
      <c r="E18960" s="21" t="s">
        <v>254</v>
      </c>
      <c r="F18960">
        <v>1690090</v>
      </c>
      <c r="G18960" t="s">
        <v>6286</v>
      </c>
      <c r="H18960" s="21">
        <v>766.92</v>
      </c>
    </row>
    <row r="18961" spans="1:8" customFormat="1" x14ac:dyDescent="0.25">
      <c r="A18961" t="str">
        <f>"9218506"</f>
        <v>9218506</v>
      </c>
      <c r="B18961" t="s">
        <v>7439</v>
      </c>
      <c r="C18961" t="s">
        <v>236</v>
      </c>
      <c r="D18961" s="21" t="s">
        <v>34</v>
      </c>
      <c r="E18961" s="21" t="s">
        <v>71</v>
      </c>
      <c r="F18961">
        <v>10170029</v>
      </c>
      <c r="G18961" t="s">
        <v>9383</v>
      </c>
      <c r="H18961" s="21">
        <v>766.92</v>
      </c>
    </row>
    <row r="18962" spans="1:8" customFormat="1" x14ac:dyDescent="0.25">
      <c r="A18962" t="str">
        <f>"138458"</f>
        <v>138458</v>
      </c>
      <c r="B18962" t="s">
        <v>12512</v>
      </c>
      <c r="C18962" t="s">
        <v>1110</v>
      </c>
      <c r="D18962" s="21" t="s">
        <v>34</v>
      </c>
      <c r="E18962" s="21" t="s">
        <v>71</v>
      </c>
      <c r="F18962">
        <v>13130026</v>
      </c>
      <c r="G18962" t="s">
        <v>3792</v>
      </c>
      <c r="H18962" s="21">
        <v>766.79</v>
      </c>
    </row>
    <row r="18963" spans="1:8" customFormat="1" x14ac:dyDescent="0.25">
      <c r="A18963" t="str">
        <f>"1712937"</f>
        <v>1712937</v>
      </c>
      <c r="B18963" t="s">
        <v>16599</v>
      </c>
      <c r="C18963" t="s">
        <v>124</v>
      </c>
      <c r="D18963" s="21" t="s">
        <v>34</v>
      </c>
      <c r="E18963" s="21" t="s">
        <v>254</v>
      </c>
      <c r="F18963">
        <v>12490038</v>
      </c>
      <c r="G18963" t="s">
        <v>467</v>
      </c>
      <c r="H18963" s="21">
        <v>766.75</v>
      </c>
    </row>
    <row r="18964" spans="1:8" customFormat="1" x14ac:dyDescent="0.25">
      <c r="A18964" t="str">
        <f>"26179"</f>
        <v>26179</v>
      </c>
      <c r="B18964" t="s">
        <v>3966</v>
      </c>
      <c r="C18964" t="s">
        <v>1588</v>
      </c>
      <c r="D18964" s="21" t="s">
        <v>34</v>
      </c>
      <c r="E18964" s="21" t="s">
        <v>1089</v>
      </c>
      <c r="F18964">
        <v>1260054</v>
      </c>
      <c r="G18964" t="s">
        <v>358</v>
      </c>
      <c r="H18964" s="21">
        <v>766.67</v>
      </c>
    </row>
    <row r="18965" spans="1:8" customFormat="1" x14ac:dyDescent="0.25">
      <c r="A18965" t="str">
        <f>"513056"</f>
        <v>513056</v>
      </c>
      <c r="B18965" t="s">
        <v>7732</v>
      </c>
      <c r="C18965" t="s">
        <v>40</v>
      </c>
      <c r="D18965" s="21" t="s">
        <v>34</v>
      </c>
      <c r="E18965" s="21" t="s">
        <v>254</v>
      </c>
      <c r="F18965">
        <v>11340017</v>
      </c>
      <c r="G18965" t="s">
        <v>10668</v>
      </c>
      <c r="H18965" s="21">
        <v>766.67</v>
      </c>
    </row>
    <row r="18966" spans="1:8" customFormat="1" x14ac:dyDescent="0.25">
      <c r="A18966" t="str">
        <f>"1610729"</f>
        <v>1610729</v>
      </c>
      <c r="B18966" t="s">
        <v>2881</v>
      </c>
      <c r="C18966" t="s">
        <v>156</v>
      </c>
      <c r="D18966" s="21" t="s">
        <v>34</v>
      </c>
      <c r="E18966" s="21" t="s">
        <v>254</v>
      </c>
      <c r="F18966">
        <v>10160232</v>
      </c>
      <c r="G18966" t="s">
        <v>2882</v>
      </c>
      <c r="H18966" s="21">
        <v>766.67</v>
      </c>
    </row>
    <row r="18967" spans="1:8" customFormat="1" x14ac:dyDescent="0.25">
      <c r="A18967" t="str">
        <f>"304200"</f>
        <v>304200</v>
      </c>
      <c r="B18967" t="s">
        <v>13731</v>
      </c>
      <c r="C18967" t="s">
        <v>169</v>
      </c>
      <c r="D18967" s="21" t="s">
        <v>34</v>
      </c>
      <c r="E18967" s="21" t="s">
        <v>71</v>
      </c>
      <c r="F18967">
        <v>11300008</v>
      </c>
      <c r="G18967" t="s">
        <v>3165</v>
      </c>
      <c r="H18967" s="21">
        <v>766.67</v>
      </c>
    </row>
    <row r="18968" spans="1:8" customFormat="1" x14ac:dyDescent="0.25">
      <c r="A18968" t="str">
        <f>"4931770"</f>
        <v>4931770</v>
      </c>
      <c r="B18968" t="s">
        <v>16804</v>
      </c>
      <c r="C18968" t="s">
        <v>547</v>
      </c>
      <c r="D18968" s="21" t="s">
        <v>34</v>
      </c>
      <c r="E18968" s="21" t="s">
        <v>71</v>
      </c>
      <c r="F18968">
        <v>12490098</v>
      </c>
      <c r="G18968" t="s">
        <v>2670</v>
      </c>
      <c r="H18968" s="21">
        <v>766.67</v>
      </c>
    </row>
    <row r="18969" spans="1:8" customFormat="1" x14ac:dyDescent="0.25">
      <c r="A18969" t="str">
        <f>"74864"</f>
        <v>74864</v>
      </c>
      <c r="B18969" t="s">
        <v>15569</v>
      </c>
      <c r="C18969" t="s">
        <v>3010</v>
      </c>
      <c r="D18969" s="21" t="s">
        <v>34</v>
      </c>
      <c r="E18969" s="21" t="s">
        <v>254</v>
      </c>
      <c r="F18969">
        <v>1010059</v>
      </c>
      <c r="G18969" t="s">
        <v>15570</v>
      </c>
      <c r="H18969" s="21">
        <v>766.67</v>
      </c>
    </row>
    <row r="18970" spans="1:8" customFormat="1" x14ac:dyDescent="0.25">
      <c r="A18970" t="str">
        <f>"217952"</f>
        <v>217952</v>
      </c>
      <c r="B18970" t="s">
        <v>15120</v>
      </c>
      <c r="C18970" t="s">
        <v>109</v>
      </c>
      <c r="D18970" s="21" t="s">
        <v>34</v>
      </c>
      <c r="E18970" s="21" t="s">
        <v>71</v>
      </c>
      <c r="F18970">
        <v>2210101</v>
      </c>
      <c r="G18970" t="s">
        <v>1374</v>
      </c>
      <c r="H18970" s="21">
        <v>766.67</v>
      </c>
    </row>
    <row r="18971" spans="1:8" customFormat="1" x14ac:dyDescent="0.25">
      <c r="A18971" t="str">
        <f>"7219403"</f>
        <v>7219403</v>
      </c>
      <c r="B18971" t="s">
        <v>16439</v>
      </c>
      <c r="C18971" t="s">
        <v>493</v>
      </c>
      <c r="D18971" s="21" t="s">
        <v>34</v>
      </c>
      <c r="E18971" s="21" t="s">
        <v>71</v>
      </c>
      <c r="F18971">
        <v>12720067</v>
      </c>
      <c r="G18971" t="s">
        <v>10622</v>
      </c>
      <c r="H18971" s="21">
        <v>766.67</v>
      </c>
    </row>
    <row r="18972" spans="1:8" customFormat="1" x14ac:dyDescent="0.25">
      <c r="A18972" t="str">
        <f>"82824"</f>
        <v>82824</v>
      </c>
      <c r="B18972" t="s">
        <v>15389</v>
      </c>
      <c r="C18972" t="s">
        <v>236</v>
      </c>
      <c r="D18972" s="21" t="s">
        <v>34</v>
      </c>
      <c r="E18972" s="21" t="s">
        <v>71</v>
      </c>
      <c r="F18972">
        <v>11820011</v>
      </c>
      <c r="G18972" t="s">
        <v>2611</v>
      </c>
      <c r="H18972" s="21">
        <v>766.67</v>
      </c>
    </row>
    <row r="18973" spans="1:8" customFormat="1" x14ac:dyDescent="0.25">
      <c r="A18973" t="str">
        <f>"16498"</f>
        <v>16498</v>
      </c>
      <c r="B18973" t="s">
        <v>16072</v>
      </c>
      <c r="C18973" t="s">
        <v>822</v>
      </c>
      <c r="D18973" s="21" t="s">
        <v>34</v>
      </c>
      <c r="E18973" s="21" t="s">
        <v>6185</v>
      </c>
      <c r="F18973">
        <v>10160232</v>
      </c>
      <c r="G18973" t="s">
        <v>2882</v>
      </c>
      <c r="H18973" s="21">
        <v>766.67</v>
      </c>
    </row>
    <row r="18974" spans="1:8" customFormat="1" x14ac:dyDescent="0.25">
      <c r="A18974" t="str">
        <f>"9522079"</f>
        <v>9522079</v>
      </c>
      <c r="B18974" t="s">
        <v>10222</v>
      </c>
      <c r="C18974" t="s">
        <v>33</v>
      </c>
      <c r="D18974" s="21" t="s">
        <v>34</v>
      </c>
      <c r="E18974" s="21" t="s">
        <v>35</v>
      </c>
      <c r="F18974">
        <v>9270071</v>
      </c>
      <c r="G18974" t="s">
        <v>7815</v>
      </c>
      <c r="H18974" s="21">
        <v>766.67</v>
      </c>
    </row>
    <row r="18975" spans="1:8" customFormat="1" x14ac:dyDescent="0.25">
      <c r="A18975" t="str">
        <f>"2928314"</f>
        <v>2928314</v>
      </c>
      <c r="B18975" t="s">
        <v>2544</v>
      </c>
      <c r="C18975" t="s">
        <v>40</v>
      </c>
      <c r="D18975" s="21" t="s">
        <v>34</v>
      </c>
      <c r="E18975" s="21" t="s">
        <v>35</v>
      </c>
      <c r="F18975">
        <v>3290208</v>
      </c>
      <c r="G18975" t="s">
        <v>1553</v>
      </c>
      <c r="H18975" s="21">
        <v>766.67</v>
      </c>
    </row>
    <row r="18976" spans="1:8" customFormat="1" x14ac:dyDescent="0.25">
      <c r="A18976" t="str">
        <f>"2714639"</f>
        <v>2714639</v>
      </c>
      <c r="B18976" t="s">
        <v>27550</v>
      </c>
      <c r="C18976" t="s">
        <v>109</v>
      </c>
      <c r="D18976" s="21" t="s">
        <v>34</v>
      </c>
      <c r="E18976" s="21" t="s">
        <v>71</v>
      </c>
      <c r="F18976">
        <v>9270063</v>
      </c>
      <c r="G18976" t="s">
        <v>808</v>
      </c>
      <c r="H18976" s="21">
        <v>766.54</v>
      </c>
    </row>
    <row r="18977" spans="1:8" customFormat="1" x14ac:dyDescent="0.25">
      <c r="A18977" t="str">
        <f>"7517207"</f>
        <v>7517207</v>
      </c>
      <c r="B18977" t="s">
        <v>15952</v>
      </c>
      <c r="C18977" t="s">
        <v>15953</v>
      </c>
      <c r="D18977" s="21" t="s">
        <v>34</v>
      </c>
      <c r="E18977" s="21" t="s">
        <v>35</v>
      </c>
      <c r="F18977">
        <v>8751163</v>
      </c>
      <c r="G18977" t="s">
        <v>80</v>
      </c>
      <c r="H18977" s="21">
        <v>766.42</v>
      </c>
    </row>
    <row r="18978" spans="1:8" customFormat="1" x14ac:dyDescent="0.25">
      <c r="A18978" t="str">
        <f>"255817"</f>
        <v>255817</v>
      </c>
      <c r="B18978" t="s">
        <v>14389</v>
      </c>
      <c r="C18978" t="s">
        <v>249</v>
      </c>
      <c r="D18978" s="21" t="s">
        <v>34</v>
      </c>
      <c r="E18978" s="21" t="s">
        <v>254</v>
      </c>
      <c r="F18978">
        <v>2250190</v>
      </c>
      <c r="G18978" t="s">
        <v>6917</v>
      </c>
      <c r="H18978" s="21">
        <v>766.17</v>
      </c>
    </row>
    <row r="18979" spans="1:8" customFormat="1" x14ac:dyDescent="0.25">
      <c r="A18979" t="str">
        <f>"4924763"</f>
        <v>4924763</v>
      </c>
      <c r="B18979" t="s">
        <v>4780</v>
      </c>
      <c r="C18979" t="s">
        <v>1559</v>
      </c>
      <c r="D18979" s="21" t="s">
        <v>34</v>
      </c>
      <c r="E18979" s="21" t="s">
        <v>71</v>
      </c>
      <c r="F18979">
        <v>12490026</v>
      </c>
      <c r="G18979" t="s">
        <v>6274</v>
      </c>
      <c r="H18979" s="21">
        <v>766.17</v>
      </c>
    </row>
    <row r="18980" spans="1:8" customFormat="1" x14ac:dyDescent="0.25">
      <c r="A18980" t="str">
        <f>"704938"</f>
        <v>704938</v>
      </c>
      <c r="B18980" t="s">
        <v>2925</v>
      </c>
      <c r="C18980" t="s">
        <v>415</v>
      </c>
      <c r="D18980" s="21" t="s">
        <v>34</v>
      </c>
      <c r="E18980" s="21" t="s">
        <v>254</v>
      </c>
      <c r="F18980">
        <v>2700014</v>
      </c>
      <c r="G18980" t="s">
        <v>7714</v>
      </c>
      <c r="H18980" s="21">
        <v>766.17</v>
      </c>
    </row>
    <row r="18981" spans="1:8" customFormat="1" x14ac:dyDescent="0.25">
      <c r="A18981" t="str">
        <f>"7515294"</f>
        <v>7515294</v>
      </c>
      <c r="B18981" t="s">
        <v>14338</v>
      </c>
      <c r="C18981" t="s">
        <v>8749</v>
      </c>
      <c r="D18981" s="21" t="s">
        <v>34</v>
      </c>
      <c r="E18981" s="21" t="s">
        <v>254</v>
      </c>
      <c r="F18981">
        <v>8751163</v>
      </c>
      <c r="G18981" t="s">
        <v>80</v>
      </c>
      <c r="H18981" s="21">
        <v>766.17</v>
      </c>
    </row>
    <row r="18982" spans="1:8" customFormat="1" x14ac:dyDescent="0.25">
      <c r="A18982" t="str">
        <f>"671825"</f>
        <v>671825</v>
      </c>
      <c r="B18982" t="s">
        <v>16473</v>
      </c>
      <c r="C18982" t="s">
        <v>130</v>
      </c>
      <c r="D18982" s="21" t="s">
        <v>34</v>
      </c>
      <c r="E18982" s="21" t="s">
        <v>254</v>
      </c>
      <c r="F18982">
        <v>6670246</v>
      </c>
      <c r="G18982" t="s">
        <v>7707</v>
      </c>
      <c r="H18982" s="21">
        <v>766.17</v>
      </c>
    </row>
    <row r="18983" spans="1:8" customFormat="1" x14ac:dyDescent="0.25">
      <c r="A18983" t="str">
        <f>"813668"</f>
        <v>813668</v>
      </c>
      <c r="B18983" t="s">
        <v>5150</v>
      </c>
      <c r="C18983" t="s">
        <v>2984</v>
      </c>
      <c r="D18983" s="21" t="s">
        <v>34</v>
      </c>
      <c r="E18983" s="21" t="s">
        <v>71</v>
      </c>
      <c r="F18983">
        <v>7590412</v>
      </c>
      <c r="G18983" t="s">
        <v>489</v>
      </c>
      <c r="H18983" s="21">
        <v>766.17</v>
      </c>
    </row>
    <row r="18984" spans="1:8" customFormat="1" x14ac:dyDescent="0.25">
      <c r="A18984" t="str">
        <f>"592274"</f>
        <v>592274</v>
      </c>
      <c r="B18984" t="s">
        <v>15723</v>
      </c>
      <c r="C18984" t="s">
        <v>253</v>
      </c>
      <c r="D18984" s="21" t="s">
        <v>34</v>
      </c>
      <c r="E18984" s="21" t="s">
        <v>254</v>
      </c>
      <c r="F18984">
        <v>7590112</v>
      </c>
      <c r="G18984" t="s">
        <v>3534</v>
      </c>
      <c r="H18984" s="21">
        <v>766.17</v>
      </c>
    </row>
    <row r="18985" spans="1:8" customFormat="1" x14ac:dyDescent="0.25">
      <c r="A18985" t="str">
        <f>"319533"</f>
        <v>319533</v>
      </c>
      <c r="B18985" t="s">
        <v>13813</v>
      </c>
      <c r="C18985" t="s">
        <v>720</v>
      </c>
      <c r="D18985" s="21" t="s">
        <v>34</v>
      </c>
      <c r="E18985" s="21" t="s">
        <v>35</v>
      </c>
      <c r="F18985">
        <v>11310099</v>
      </c>
      <c r="G18985" t="s">
        <v>8881</v>
      </c>
      <c r="H18985" s="21">
        <v>766.17</v>
      </c>
    </row>
    <row r="18986" spans="1:8" customFormat="1" x14ac:dyDescent="0.25">
      <c r="A18986" t="str">
        <f>"9138101"</f>
        <v>9138101</v>
      </c>
      <c r="B18986" t="s">
        <v>16357</v>
      </c>
      <c r="C18986" t="s">
        <v>16358</v>
      </c>
      <c r="D18986" s="21" t="s">
        <v>34</v>
      </c>
      <c r="E18986" s="21" t="s">
        <v>71</v>
      </c>
      <c r="F18986">
        <v>8910042</v>
      </c>
      <c r="G18986" t="s">
        <v>4009</v>
      </c>
      <c r="H18986" s="21">
        <v>766.17</v>
      </c>
    </row>
    <row r="18987" spans="1:8" customFormat="1" x14ac:dyDescent="0.25">
      <c r="A18987" t="str">
        <f>"6314052"</f>
        <v>6314052</v>
      </c>
      <c r="B18987" t="s">
        <v>709</v>
      </c>
      <c r="C18987" t="s">
        <v>269</v>
      </c>
      <c r="D18987" s="21" t="s">
        <v>34</v>
      </c>
      <c r="E18987" s="21" t="s">
        <v>71</v>
      </c>
      <c r="F18987">
        <v>1630289</v>
      </c>
      <c r="G18987" t="s">
        <v>8900</v>
      </c>
      <c r="H18987" s="21">
        <v>766.17</v>
      </c>
    </row>
    <row r="18988" spans="1:8" customFormat="1" x14ac:dyDescent="0.25">
      <c r="A18988" t="str">
        <f>"7642292"</f>
        <v>7642292</v>
      </c>
      <c r="B18988" t="s">
        <v>14595</v>
      </c>
      <c r="C18988" t="s">
        <v>147</v>
      </c>
      <c r="D18988" s="21" t="s">
        <v>34</v>
      </c>
      <c r="E18988" s="21" t="s">
        <v>35</v>
      </c>
      <c r="F18988">
        <v>9760018</v>
      </c>
      <c r="G18988" t="s">
        <v>117</v>
      </c>
      <c r="H18988" s="21">
        <v>766.04</v>
      </c>
    </row>
    <row r="18989" spans="1:8" customFormat="1" x14ac:dyDescent="0.25">
      <c r="A18989" t="str">
        <f>"652155"</f>
        <v>652155</v>
      </c>
      <c r="B18989" t="s">
        <v>5273</v>
      </c>
      <c r="C18989" t="s">
        <v>2520</v>
      </c>
      <c r="D18989" s="21" t="s">
        <v>34</v>
      </c>
      <c r="E18989" s="21" t="s">
        <v>71</v>
      </c>
      <c r="F18989">
        <v>11650016</v>
      </c>
      <c r="G18989" t="s">
        <v>9559</v>
      </c>
      <c r="H18989" s="21">
        <v>765.92</v>
      </c>
    </row>
    <row r="18990" spans="1:8" customFormat="1" x14ac:dyDescent="0.25">
      <c r="A18990" t="str">
        <f>"2812372"</f>
        <v>2812372</v>
      </c>
      <c r="B18990" t="s">
        <v>14661</v>
      </c>
      <c r="C18990" t="s">
        <v>320</v>
      </c>
      <c r="D18990" s="21" t="s">
        <v>34</v>
      </c>
      <c r="E18990" s="21" t="s">
        <v>71</v>
      </c>
      <c r="F18990">
        <v>4280517</v>
      </c>
      <c r="G18990" t="s">
        <v>436</v>
      </c>
      <c r="H18990" s="21">
        <v>765.92</v>
      </c>
    </row>
    <row r="18991" spans="1:8" customFormat="1" x14ac:dyDescent="0.25">
      <c r="A18991" t="str">
        <f>"4410069"</f>
        <v>4410069</v>
      </c>
      <c r="B18991" t="s">
        <v>15737</v>
      </c>
      <c r="C18991" t="s">
        <v>40</v>
      </c>
      <c r="D18991" s="21" t="s">
        <v>34</v>
      </c>
      <c r="E18991" s="21" t="s">
        <v>35</v>
      </c>
      <c r="F18991">
        <v>12440060</v>
      </c>
      <c r="G18991" t="s">
        <v>9953</v>
      </c>
      <c r="H18991" s="21">
        <v>765.92</v>
      </c>
    </row>
    <row r="18992" spans="1:8" customFormat="1" x14ac:dyDescent="0.25">
      <c r="A18992" t="str">
        <f>"7879072"</f>
        <v>7879072</v>
      </c>
      <c r="B18992" t="s">
        <v>20235</v>
      </c>
      <c r="C18992" t="s">
        <v>1489</v>
      </c>
      <c r="D18992" s="21" t="s">
        <v>34</v>
      </c>
      <c r="E18992" s="21" t="s">
        <v>35</v>
      </c>
      <c r="F18992">
        <v>8781469</v>
      </c>
      <c r="G18992" t="s">
        <v>4779</v>
      </c>
      <c r="H18992" s="21">
        <v>765.79</v>
      </c>
    </row>
    <row r="18993" spans="1:8" customFormat="1" x14ac:dyDescent="0.25">
      <c r="A18993" t="str">
        <f>"4440228"</f>
        <v>4440228</v>
      </c>
      <c r="B18993" t="s">
        <v>67</v>
      </c>
      <c r="C18993" t="s">
        <v>198</v>
      </c>
      <c r="D18993" s="21" t="s">
        <v>34</v>
      </c>
      <c r="E18993" s="21" t="s">
        <v>35</v>
      </c>
      <c r="F18993">
        <v>12440263</v>
      </c>
      <c r="G18993" t="s">
        <v>9503</v>
      </c>
      <c r="H18993" s="21">
        <v>765.67</v>
      </c>
    </row>
    <row r="18994" spans="1:8" customFormat="1" x14ac:dyDescent="0.25">
      <c r="A18994" t="str">
        <f>"241595"</f>
        <v>241595</v>
      </c>
      <c r="B18994" t="s">
        <v>15135</v>
      </c>
      <c r="C18994" t="s">
        <v>246</v>
      </c>
      <c r="D18994" s="21" t="s">
        <v>34</v>
      </c>
      <c r="E18994" s="21" t="s">
        <v>254</v>
      </c>
      <c r="F18994">
        <v>10240009</v>
      </c>
      <c r="G18994" t="s">
        <v>15136</v>
      </c>
      <c r="H18994" s="21">
        <v>765.67</v>
      </c>
    </row>
    <row r="18995" spans="1:8" customFormat="1" x14ac:dyDescent="0.25">
      <c r="A18995" t="str">
        <f>"254935"</f>
        <v>254935</v>
      </c>
      <c r="B18995" t="s">
        <v>15301</v>
      </c>
      <c r="C18995" t="s">
        <v>263</v>
      </c>
      <c r="D18995" s="21" t="s">
        <v>34</v>
      </c>
      <c r="E18995" s="21" t="s">
        <v>254</v>
      </c>
      <c r="F18995">
        <v>2250181</v>
      </c>
      <c r="G18995" t="s">
        <v>494</v>
      </c>
      <c r="H18995" s="21">
        <v>765.67</v>
      </c>
    </row>
    <row r="18996" spans="1:8" customFormat="1" x14ac:dyDescent="0.25">
      <c r="A18996" t="str">
        <f>"145461"</f>
        <v>145461</v>
      </c>
      <c r="B18996" t="s">
        <v>14989</v>
      </c>
      <c r="C18996" t="s">
        <v>598</v>
      </c>
      <c r="D18996" s="21" t="s">
        <v>34</v>
      </c>
      <c r="E18996" s="21" t="s">
        <v>254</v>
      </c>
      <c r="F18996">
        <v>9140019</v>
      </c>
      <c r="G18996" t="s">
        <v>3901</v>
      </c>
      <c r="H18996" s="21">
        <v>765.67</v>
      </c>
    </row>
    <row r="18997" spans="1:8" customFormat="1" x14ac:dyDescent="0.25">
      <c r="A18997" t="str">
        <f>"9235398"</f>
        <v>9235398</v>
      </c>
      <c r="B18997" t="s">
        <v>890</v>
      </c>
      <c r="C18997" t="s">
        <v>169</v>
      </c>
      <c r="D18997" s="21" t="s">
        <v>34</v>
      </c>
      <c r="E18997" s="21" t="s">
        <v>35</v>
      </c>
      <c r="F18997">
        <v>8920067</v>
      </c>
      <c r="G18997" t="s">
        <v>258</v>
      </c>
      <c r="H18997" s="21">
        <v>765.67</v>
      </c>
    </row>
    <row r="18998" spans="1:8" customFormat="1" x14ac:dyDescent="0.25">
      <c r="A18998" t="str">
        <f>"7510968"</f>
        <v>7510968</v>
      </c>
      <c r="B18998" t="s">
        <v>15432</v>
      </c>
      <c r="C18998" t="s">
        <v>891</v>
      </c>
      <c r="D18998" s="21" t="s">
        <v>34</v>
      </c>
      <c r="E18998" s="21" t="s">
        <v>35</v>
      </c>
      <c r="F18998">
        <v>1380173</v>
      </c>
      <c r="G18998" t="s">
        <v>9553</v>
      </c>
      <c r="H18998" s="21">
        <v>765.67</v>
      </c>
    </row>
    <row r="18999" spans="1:8" customFormat="1" x14ac:dyDescent="0.25">
      <c r="A18999" t="str">
        <f>"9229877"</f>
        <v>9229877</v>
      </c>
      <c r="B18999" t="s">
        <v>16192</v>
      </c>
      <c r="C18999" t="s">
        <v>119</v>
      </c>
      <c r="D18999" s="21" t="s">
        <v>34</v>
      </c>
      <c r="E18999" s="21" t="s">
        <v>35</v>
      </c>
      <c r="F18999">
        <v>12440021</v>
      </c>
      <c r="G18999" t="s">
        <v>429</v>
      </c>
      <c r="H18999" s="21">
        <v>765.67</v>
      </c>
    </row>
    <row r="19000" spans="1:8" customFormat="1" x14ac:dyDescent="0.25">
      <c r="A19000" t="str">
        <f>"1423315"</f>
        <v>1423315</v>
      </c>
      <c r="B19000" t="s">
        <v>15497</v>
      </c>
      <c r="C19000" t="s">
        <v>576</v>
      </c>
      <c r="D19000" s="21" t="s">
        <v>34</v>
      </c>
      <c r="E19000" s="21" t="s">
        <v>35</v>
      </c>
      <c r="F19000">
        <v>9140111</v>
      </c>
      <c r="G19000" t="s">
        <v>3601</v>
      </c>
      <c r="H19000" s="21">
        <v>765.67</v>
      </c>
    </row>
    <row r="19001" spans="1:8" customFormat="1" x14ac:dyDescent="0.25">
      <c r="A19001" t="str">
        <f>"5717428"</f>
        <v>5717428</v>
      </c>
      <c r="B19001" t="s">
        <v>14357</v>
      </c>
      <c r="C19001" t="s">
        <v>33</v>
      </c>
      <c r="D19001" s="21" t="s">
        <v>34</v>
      </c>
      <c r="E19001" s="21" t="s">
        <v>35</v>
      </c>
      <c r="F19001">
        <v>6570093</v>
      </c>
      <c r="G19001" t="s">
        <v>6118</v>
      </c>
      <c r="H19001" s="21">
        <v>765.67</v>
      </c>
    </row>
    <row r="19002" spans="1:8" customFormat="1" x14ac:dyDescent="0.25">
      <c r="A19002" t="str">
        <f>"8526626"</f>
        <v>8526626</v>
      </c>
      <c r="B19002" t="s">
        <v>17764</v>
      </c>
      <c r="C19002" t="s">
        <v>302</v>
      </c>
      <c r="D19002" s="21" t="s">
        <v>34</v>
      </c>
      <c r="E19002" s="21" t="s">
        <v>71</v>
      </c>
      <c r="F19002">
        <v>12850024</v>
      </c>
      <c r="G19002" t="s">
        <v>140</v>
      </c>
      <c r="H19002" s="21">
        <v>765.67</v>
      </c>
    </row>
    <row r="19003" spans="1:8" customFormat="1" x14ac:dyDescent="0.25">
      <c r="A19003" t="str">
        <f>"793295"</f>
        <v>793295</v>
      </c>
      <c r="B19003" t="s">
        <v>16217</v>
      </c>
      <c r="C19003" t="s">
        <v>462</v>
      </c>
      <c r="D19003" s="21" t="s">
        <v>34</v>
      </c>
      <c r="E19003" s="21" t="s">
        <v>71</v>
      </c>
      <c r="F19003">
        <v>10790229</v>
      </c>
      <c r="G19003" t="s">
        <v>27165</v>
      </c>
      <c r="H19003" s="21">
        <v>765.67</v>
      </c>
    </row>
    <row r="19004" spans="1:8" customFormat="1" x14ac:dyDescent="0.25">
      <c r="A19004" t="str">
        <f>"5966074"</f>
        <v>5966074</v>
      </c>
      <c r="B19004" t="s">
        <v>27479</v>
      </c>
      <c r="C19004" t="s">
        <v>87</v>
      </c>
      <c r="D19004" s="21" t="s">
        <v>34</v>
      </c>
      <c r="E19004" s="21" t="s">
        <v>35</v>
      </c>
      <c r="F19004">
        <v>7590131</v>
      </c>
      <c r="G19004" t="s">
        <v>6300</v>
      </c>
      <c r="H19004" s="21">
        <v>765.67</v>
      </c>
    </row>
    <row r="19005" spans="1:8" customFormat="1" x14ac:dyDescent="0.25">
      <c r="A19005" t="str">
        <f>"1611888"</f>
        <v>1611888</v>
      </c>
      <c r="B19005" t="s">
        <v>14518</v>
      </c>
      <c r="C19005" t="s">
        <v>269</v>
      </c>
      <c r="D19005" s="21" t="s">
        <v>34</v>
      </c>
      <c r="E19005" s="21" t="s">
        <v>71</v>
      </c>
      <c r="F19005">
        <v>10160069</v>
      </c>
      <c r="G19005" t="s">
        <v>5379</v>
      </c>
      <c r="H19005" s="21">
        <v>765.67</v>
      </c>
    </row>
    <row r="19006" spans="1:8" customFormat="1" x14ac:dyDescent="0.25">
      <c r="A19006" t="str">
        <f>"4426781"</f>
        <v>4426781</v>
      </c>
      <c r="B19006" t="s">
        <v>7008</v>
      </c>
      <c r="C19006" t="s">
        <v>3309</v>
      </c>
      <c r="D19006" s="21" t="s">
        <v>34</v>
      </c>
      <c r="E19006" s="21" t="s">
        <v>35</v>
      </c>
      <c r="F19006">
        <v>12440125</v>
      </c>
      <c r="G19006" t="s">
        <v>8347</v>
      </c>
      <c r="H19006" s="21">
        <v>765.67</v>
      </c>
    </row>
    <row r="19007" spans="1:8" customFormat="1" x14ac:dyDescent="0.25">
      <c r="A19007" t="str">
        <f>"6020850"</f>
        <v>6020850</v>
      </c>
      <c r="B19007" t="s">
        <v>136</v>
      </c>
      <c r="C19007" t="s">
        <v>187</v>
      </c>
      <c r="D19007" s="21" t="s">
        <v>34</v>
      </c>
      <c r="E19007" s="21" t="s">
        <v>71</v>
      </c>
      <c r="F19007">
        <v>7600132</v>
      </c>
      <c r="G19007" t="s">
        <v>15366</v>
      </c>
      <c r="H19007" s="21">
        <v>765.67</v>
      </c>
    </row>
    <row r="19008" spans="1:8" customFormat="1" x14ac:dyDescent="0.25">
      <c r="A19008" t="str">
        <f>"761335"</f>
        <v>761335</v>
      </c>
      <c r="B19008" t="s">
        <v>2046</v>
      </c>
      <c r="C19008" t="s">
        <v>2305</v>
      </c>
      <c r="D19008" s="21" t="s">
        <v>34</v>
      </c>
      <c r="E19008" s="21" t="s">
        <v>254</v>
      </c>
      <c r="F19008">
        <v>9760082</v>
      </c>
      <c r="G19008" t="s">
        <v>2387</v>
      </c>
      <c r="H19008" s="21">
        <v>765.67</v>
      </c>
    </row>
    <row r="19009" spans="1:8" customFormat="1" x14ac:dyDescent="0.25">
      <c r="A19009" t="str">
        <f>"5314834"</f>
        <v>5314834</v>
      </c>
      <c r="B19009" t="s">
        <v>15829</v>
      </c>
      <c r="C19009" t="s">
        <v>144</v>
      </c>
      <c r="D19009" s="21" t="s">
        <v>34</v>
      </c>
      <c r="E19009" s="21" t="s">
        <v>35</v>
      </c>
      <c r="F19009">
        <v>12530146</v>
      </c>
      <c r="G19009" t="s">
        <v>10916</v>
      </c>
      <c r="H19009" s="21">
        <v>765.67</v>
      </c>
    </row>
    <row r="19010" spans="1:8" customFormat="1" x14ac:dyDescent="0.25">
      <c r="A19010" t="str">
        <f>"26982"</f>
        <v>26982</v>
      </c>
      <c r="B19010" t="s">
        <v>16508</v>
      </c>
      <c r="C19010" t="s">
        <v>547</v>
      </c>
      <c r="D19010" s="21" t="s">
        <v>34</v>
      </c>
      <c r="E19010" s="21" t="s">
        <v>254</v>
      </c>
      <c r="F19010">
        <v>1260040</v>
      </c>
      <c r="G19010" t="s">
        <v>10768</v>
      </c>
      <c r="H19010" s="21">
        <v>765.67</v>
      </c>
    </row>
    <row r="19011" spans="1:8" customFormat="1" x14ac:dyDescent="0.25">
      <c r="A19011" t="str">
        <f>"5714692"</f>
        <v>5714692</v>
      </c>
      <c r="B19011" t="s">
        <v>14231</v>
      </c>
      <c r="C19011" t="s">
        <v>267</v>
      </c>
      <c r="D19011" s="21" t="s">
        <v>34</v>
      </c>
      <c r="E19011" s="21" t="s">
        <v>254</v>
      </c>
      <c r="F19011">
        <v>6570179</v>
      </c>
      <c r="G19011" t="s">
        <v>9205</v>
      </c>
      <c r="H19011" s="21">
        <v>765.67</v>
      </c>
    </row>
    <row r="19012" spans="1:8" customFormat="1" x14ac:dyDescent="0.25">
      <c r="A19012" t="str">
        <f>"617265"</f>
        <v>617265</v>
      </c>
      <c r="B19012" t="s">
        <v>12025</v>
      </c>
      <c r="C19012" t="s">
        <v>109</v>
      </c>
      <c r="D19012" s="21" t="s">
        <v>34</v>
      </c>
      <c r="E19012" s="21" t="s">
        <v>35</v>
      </c>
      <c r="F19012">
        <v>9610135</v>
      </c>
      <c r="G19012" t="s">
        <v>8227</v>
      </c>
      <c r="H19012" s="21">
        <v>765.67</v>
      </c>
    </row>
    <row r="19013" spans="1:8" customFormat="1" x14ac:dyDescent="0.25">
      <c r="A19013" t="str">
        <f>"171231"</f>
        <v>171231</v>
      </c>
      <c r="B19013" t="s">
        <v>15183</v>
      </c>
      <c r="C19013" t="s">
        <v>598</v>
      </c>
      <c r="D19013" s="21" t="s">
        <v>34</v>
      </c>
      <c r="E19013" s="21" t="s">
        <v>1089</v>
      </c>
      <c r="F19013">
        <v>10170064</v>
      </c>
      <c r="G19013" t="s">
        <v>1900</v>
      </c>
      <c r="H19013" s="21">
        <v>765.67</v>
      </c>
    </row>
    <row r="19014" spans="1:8" customFormat="1" x14ac:dyDescent="0.25">
      <c r="A19014" t="str">
        <f>"42398"</f>
        <v>42398</v>
      </c>
      <c r="B19014" t="s">
        <v>3930</v>
      </c>
      <c r="C19014" t="s">
        <v>750</v>
      </c>
      <c r="D19014" s="21" t="s">
        <v>34</v>
      </c>
      <c r="E19014" s="21" t="s">
        <v>71</v>
      </c>
      <c r="F19014">
        <v>1420152</v>
      </c>
      <c r="G19014" t="s">
        <v>2948</v>
      </c>
      <c r="H19014" s="21">
        <v>765.67</v>
      </c>
    </row>
    <row r="19015" spans="1:8" customFormat="1" x14ac:dyDescent="0.25">
      <c r="A19015" t="str">
        <f>"2517290"</f>
        <v>2517290</v>
      </c>
      <c r="B19015" t="s">
        <v>19208</v>
      </c>
      <c r="C19015" t="s">
        <v>253</v>
      </c>
      <c r="D19015" s="21" t="s">
        <v>34</v>
      </c>
      <c r="E19015" s="21" t="s">
        <v>254</v>
      </c>
      <c r="F19015">
        <v>2250221</v>
      </c>
      <c r="G19015" t="s">
        <v>18307</v>
      </c>
      <c r="H19015" s="21">
        <v>765.67</v>
      </c>
    </row>
    <row r="19016" spans="1:8" customFormat="1" x14ac:dyDescent="0.25">
      <c r="A19016" t="str">
        <f>"5723014"</f>
        <v>5723014</v>
      </c>
      <c r="B19016" t="s">
        <v>11985</v>
      </c>
      <c r="C19016" t="s">
        <v>1812</v>
      </c>
      <c r="D19016" s="21" t="s">
        <v>34</v>
      </c>
      <c r="E19016" s="21" t="s">
        <v>71</v>
      </c>
      <c r="F19016">
        <v>6570159</v>
      </c>
      <c r="G19016" t="s">
        <v>7565</v>
      </c>
      <c r="H19016" s="21">
        <v>765.42</v>
      </c>
    </row>
    <row r="19017" spans="1:8" customFormat="1" x14ac:dyDescent="0.25">
      <c r="A19017" t="str">
        <f>"2935679"</f>
        <v>2935679</v>
      </c>
      <c r="B19017" t="s">
        <v>15482</v>
      </c>
      <c r="C19017" t="s">
        <v>269</v>
      </c>
      <c r="D19017" s="21" t="s">
        <v>34</v>
      </c>
      <c r="E19017" s="21" t="s">
        <v>71</v>
      </c>
      <c r="F19017">
        <v>3290200</v>
      </c>
      <c r="G19017" t="s">
        <v>3488</v>
      </c>
      <c r="H19017" s="21">
        <v>765.42</v>
      </c>
    </row>
    <row r="19018" spans="1:8" customFormat="1" x14ac:dyDescent="0.25">
      <c r="A19018" t="str">
        <f>"7517012"</f>
        <v>7517012</v>
      </c>
      <c r="B19018" t="s">
        <v>268</v>
      </c>
      <c r="C19018" t="s">
        <v>144</v>
      </c>
      <c r="D19018" s="21" t="s">
        <v>34</v>
      </c>
      <c r="E19018" s="21" t="s">
        <v>35</v>
      </c>
      <c r="F19018">
        <v>8751455</v>
      </c>
      <c r="G19018" t="s">
        <v>14280</v>
      </c>
      <c r="H19018" s="21">
        <v>765.42</v>
      </c>
    </row>
    <row r="19019" spans="1:8" customFormat="1" x14ac:dyDescent="0.25">
      <c r="A19019" t="str">
        <f>"5612435"</f>
        <v>5612435</v>
      </c>
      <c r="B19019" t="s">
        <v>15755</v>
      </c>
      <c r="C19019" t="s">
        <v>15756</v>
      </c>
      <c r="D19019" s="21" t="s">
        <v>34</v>
      </c>
      <c r="E19019" s="21" t="s">
        <v>254</v>
      </c>
      <c r="F19019">
        <v>3560091</v>
      </c>
      <c r="G19019" t="s">
        <v>27212</v>
      </c>
      <c r="H19019" s="21">
        <v>765.42</v>
      </c>
    </row>
    <row r="19020" spans="1:8" customFormat="1" x14ac:dyDescent="0.25">
      <c r="A19020" t="str">
        <f>"9318148"</f>
        <v>9318148</v>
      </c>
      <c r="B19020" t="s">
        <v>18868</v>
      </c>
      <c r="C19020" t="s">
        <v>109</v>
      </c>
      <c r="D19020" s="21" t="s">
        <v>34</v>
      </c>
      <c r="E19020" s="21" t="s">
        <v>35</v>
      </c>
      <c r="F19020">
        <v>8930598</v>
      </c>
      <c r="G19020" t="s">
        <v>445</v>
      </c>
      <c r="H19020" s="21">
        <v>765.29</v>
      </c>
    </row>
    <row r="19021" spans="1:8" customFormat="1" x14ac:dyDescent="0.25">
      <c r="A19021" t="str">
        <f>"557113"</f>
        <v>557113</v>
      </c>
      <c r="B19021" t="s">
        <v>18231</v>
      </c>
      <c r="C19021" t="s">
        <v>415</v>
      </c>
      <c r="D19021" s="21" t="s">
        <v>34</v>
      </c>
      <c r="E19021" s="21" t="s">
        <v>35</v>
      </c>
      <c r="F19021">
        <v>6080047</v>
      </c>
      <c r="G19021" t="s">
        <v>4632</v>
      </c>
      <c r="H19021" s="21">
        <v>765.29</v>
      </c>
    </row>
    <row r="19022" spans="1:8" customFormat="1" x14ac:dyDescent="0.25">
      <c r="A19022" t="str">
        <f>"3422311"</f>
        <v>3422311</v>
      </c>
      <c r="B19022" t="s">
        <v>8303</v>
      </c>
      <c r="C19022" t="s">
        <v>1708</v>
      </c>
      <c r="D19022" s="21" t="s">
        <v>34</v>
      </c>
      <c r="E19022" s="21" t="s">
        <v>35</v>
      </c>
      <c r="F19022">
        <v>11340010</v>
      </c>
      <c r="G19022" t="s">
        <v>66</v>
      </c>
      <c r="H19022" s="21">
        <v>765.17</v>
      </c>
    </row>
    <row r="19023" spans="1:8" customFormat="1" x14ac:dyDescent="0.25">
      <c r="A19023" t="str">
        <f>"029826"</f>
        <v>029826</v>
      </c>
      <c r="B19023" t="s">
        <v>15487</v>
      </c>
      <c r="C19023" t="s">
        <v>171</v>
      </c>
      <c r="D19023" s="21" t="s">
        <v>34</v>
      </c>
      <c r="E19023" s="21" t="s">
        <v>35</v>
      </c>
      <c r="F19023">
        <v>7021009</v>
      </c>
      <c r="G19023" t="s">
        <v>2739</v>
      </c>
      <c r="H19023" s="21">
        <v>765.17</v>
      </c>
    </row>
    <row r="19024" spans="1:8" customFormat="1" x14ac:dyDescent="0.25">
      <c r="A19024" t="str">
        <f>"9232962"</f>
        <v>9232962</v>
      </c>
      <c r="B19024" t="s">
        <v>12992</v>
      </c>
      <c r="C19024" t="s">
        <v>233</v>
      </c>
      <c r="D19024" s="21" t="s">
        <v>34</v>
      </c>
      <c r="E19024" s="21" t="s">
        <v>71</v>
      </c>
      <c r="F19024">
        <v>8920111</v>
      </c>
      <c r="G19024" t="s">
        <v>1064</v>
      </c>
      <c r="H19024" s="21">
        <v>765.17</v>
      </c>
    </row>
    <row r="19025" spans="1:8" customFormat="1" x14ac:dyDescent="0.25">
      <c r="A19025" t="str">
        <f>"60979"</f>
        <v>60979</v>
      </c>
      <c r="B19025" t="s">
        <v>7980</v>
      </c>
      <c r="C19025" t="s">
        <v>1025</v>
      </c>
      <c r="D19025" s="21" t="s">
        <v>34</v>
      </c>
      <c r="E19025" s="21" t="s">
        <v>254</v>
      </c>
      <c r="F19025">
        <v>7600041</v>
      </c>
      <c r="G19025" t="s">
        <v>8033</v>
      </c>
      <c r="H19025" s="21">
        <v>765.17</v>
      </c>
    </row>
    <row r="19026" spans="1:8" customFormat="1" x14ac:dyDescent="0.25">
      <c r="A19026" t="str">
        <f>"943128"</f>
        <v>943128</v>
      </c>
      <c r="B19026" t="s">
        <v>15866</v>
      </c>
      <c r="C19026" t="s">
        <v>15867</v>
      </c>
      <c r="D19026" s="21" t="s">
        <v>34</v>
      </c>
      <c r="E19026" s="21" t="s">
        <v>71</v>
      </c>
      <c r="F19026">
        <v>8940121</v>
      </c>
      <c r="G19026" t="s">
        <v>8351</v>
      </c>
      <c r="H19026" s="21">
        <v>765.17</v>
      </c>
    </row>
    <row r="19027" spans="1:8" customFormat="1" x14ac:dyDescent="0.25">
      <c r="A19027" t="str">
        <f>"5422212"</f>
        <v>5422212</v>
      </c>
      <c r="B19027" t="s">
        <v>15056</v>
      </c>
      <c r="C19027" t="s">
        <v>130</v>
      </c>
      <c r="D19027" s="21" t="s">
        <v>34</v>
      </c>
      <c r="E19027" s="21" t="s">
        <v>71</v>
      </c>
      <c r="F19027">
        <v>6540088</v>
      </c>
      <c r="G19027" t="s">
        <v>2108</v>
      </c>
      <c r="H19027" s="21">
        <v>765.17</v>
      </c>
    </row>
    <row r="19028" spans="1:8" customFormat="1" x14ac:dyDescent="0.25">
      <c r="A19028" t="str">
        <f>"9132454"</f>
        <v>9132454</v>
      </c>
      <c r="B19028" t="s">
        <v>14810</v>
      </c>
      <c r="C19028" t="s">
        <v>249</v>
      </c>
      <c r="D19028" s="21" t="s">
        <v>34</v>
      </c>
      <c r="E19028" s="21" t="s">
        <v>71</v>
      </c>
      <c r="F19028">
        <v>8910578</v>
      </c>
      <c r="G19028" t="s">
        <v>5776</v>
      </c>
      <c r="H19028" s="21">
        <v>765.17</v>
      </c>
    </row>
    <row r="19029" spans="1:8" customFormat="1" x14ac:dyDescent="0.25">
      <c r="A19029" t="str">
        <f>"1612055"</f>
        <v>1612055</v>
      </c>
      <c r="B19029" t="s">
        <v>15470</v>
      </c>
      <c r="C19029" t="s">
        <v>156</v>
      </c>
      <c r="D19029" s="21" t="s">
        <v>34</v>
      </c>
      <c r="E19029" s="21" t="s">
        <v>71</v>
      </c>
      <c r="F19029">
        <v>10160237</v>
      </c>
      <c r="G19029" t="s">
        <v>8818</v>
      </c>
      <c r="H19029" s="21">
        <v>765.17</v>
      </c>
    </row>
    <row r="19030" spans="1:8" customFormat="1" x14ac:dyDescent="0.25">
      <c r="A19030" t="str">
        <f>"764731"</f>
        <v>764731</v>
      </c>
      <c r="B19030" t="s">
        <v>15838</v>
      </c>
      <c r="C19030" t="s">
        <v>239</v>
      </c>
      <c r="D19030" s="21" t="s">
        <v>34</v>
      </c>
      <c r="E19030" s="21" t="s">
        <v>254</v>
      </c>
      <c r="F19030">
        <v>9760129</v>
      </c>
      <c r="G19030" t="s">
        <v>6147</v>
      </c>
      <c r="H19030" s="21">
        <v>765.17</v>
      </c>
    </row>
    <row r="19031" spans="1:8" customFormat="1" x14ac:dyDescent="0.25">
      <c r="A19031" t="str">
        <f>"638251"</f>
        <v>638251</v>
      </c>
      <c r="B19031" t="s">
        <v>1028</v>
      </c>
      <c r="C19031" t="s">
        <v>1665</v>
      </c>
      <c r="D19031" s="21" t="s">
        <v>34</v>
      </c>
      <c r="E19031" s="21" t="s">
        <v>254</v>
      </c>
      <c r="F19031">
        <v>1630261</v>
      </c>
      <c r="G19031" t="s">
        <v>1382</v>
      </c>
      <c r="H19031" s="21">
        <v>765.17</v>
      </c>
    </row>
    <row r="19032" spans="1:8" customFormat="1" x14ac:dyDescent="0.25">
      <c r="A19032" t="str">
        <f>"1417245"</f>
        <v>1417245</v>
      </c>
      <c r="B19032" t="s">
        <v>16532</v>
      </c>
      <c r="C19032" t="s">
        <v>209</v>
      </c>
      <c r="D19032" s="21" t="s">
        <v>34</v>
      </c>
      <c r="E19032" s="21" t="s">
        <v>71</v>
      </c>
      <c r="F19032">
        <v>9140052</v>
      </c>
      <c r="G19032" t="s">
        <v>26563</v>
      </c>
      <c r="H19032" s="21">
        <v>765.17</v>
      </c>
    </row>
    <row r="19033" spans="1:8" customFormat="1" x14ac:dyDescent="0.25">
      <c r="A19033" t="str">
        <f>"873987"</f>
        <v>873987</v>
      </c>
      <c r="B19033" t="s">
        <v>8577</v>
      </c>
      <c r="C19033" t="s">
        <v>169</v>
      </c>
      <c r="D19033" s="21" t="s">
        <v>34</v>
      </c>
      <c r="E19033" s="21" t="s">
        <v>71</v>
      </c>
      <c r="F19033">
        <v>10870110</v>
      </c>
      <c r="G19033" t="s">
        <v>5888</v>
      </c>
      <c r="H19033" s="21">
        <v>765.17</v>
      </c>
    </row>
    <row r="19034" spans="1:8" customFormat="1" x14ac:dyDescent="0.25">
      <c r="A19034" t="str">
        <f>"4434027"</f>
        <v>4434027</v>
      </c>
      <c r="B19034" t="s">
        <v>9092</v>
      </c>
      <c r="C19034" t="s">
        <v>2356</v>
      </c>
      <c r="D19034" s="21" t="s">
        <v>34</v>
      </c>
      <c r="E19034" s="21" t="s">
        <v>35</v>
      </c>
      <c r="F19034">
        <v>12440104</v>
      </c>
      <c r="G19034" t="s">
        <v>5862</v>
      </c>
      <c r="H19034" s="21">
        <v>765.17</v>
      </c>
    </row>
    <row r="19035" spans="1:8" customFormat="1" x14ac:dyDescent="0.25">
      <c r="A19035" t="str">
        <f>"5934061"</f>
        <v>5934061</v>
      </c>
      <c r="B19035" t="s">
        <v>8729</v>
      </c>
      <c r="C19035" t="s">
        <v>1705</v>
      </c>
      <c r="D19035" s="21" t="s">
        <v>34</v>
      </c>
      <c r="E19035" s="21" t="s">
        <v>254</v>
      </c>
      <c r="F19035">
        <v>7590127</v>
      </c>
      <c r="G19035" t="s">
        <v>214</v>
      </c>
      <c r="H19035" s="21">
        <v>765.17</v>
      </c>
    </row>
    <row r="19036" spans="1:8" customFormat="1" x14ac:dyDescent="0.25">
      <c r="A19036" t="str">
        <f>"5921880"</f>
        <v>5921880</v>
      </c>
      <c r="B19036" t="s">
        <v>15445</v>
      </c>
      <c r="C19036" t="s">
        <v>459</v>
      </c>
      <c r="D19036" s="21" t="s">
        <v>34</v>
      </c>
      <c r="E19036" s="21" t="s">
        <v>35</v>
      </c>
      <c r="F19036">
        <v>7590006</v>
      </c>
      <c r="G19036" t="s">
        <v>4165</v>
      </c>
      <c r="H19036" s="21">
        <v>765.17</v>
      </c>
    </row>
    <row r="19037" spans="1:8" customFormat="1" x14ac:dyDescent="0.25">
      <c r="A19037" t="str">
        <f>"139945"</f>
        <v>139945</v>
      </c>
      <c r="B19037" t="s">
        <v>6221</v>
      </c>
      <c r="C19037" t="s">
        <v>96</v>
      </c>
      <c r="D19037" s="21" t="s">
        <v>34</v>
      </c>
      <c r="E19037" s="21" t="s">
        <v>35</v>
      </c>
      <c r="F19037">
        <v>10640003</v>
      </c>
      <c r="G19037" t="s">
        <v>1594</v>
      </c>
      <c r="H19037" s="21">
        <v>765.04</v>
      </c>
    </row>
    <row r="19038" spans="1:8" customFormat="1" x14ac:dyDescent="0.25">
      <c r="A19038" t="str">
        <f>"3535920"</f>
        <v>3535920</v>
      </c>
      <c r="B19038" t="s">
        <v>19784</v>
      </c>
      <c r="C19038" t="s">
        <v>2678</v>
      </c>
      <c r="D19038" s="21" t="s">
        <v>34</v>
      </c>
      <c r="E19038" s="21" t="s">
        <v>35</v>
      </c>
      <c r="F19038">
        <v>3350048</v>
      </c>
      <c r="G19038" t="s">
        <v>2303</v>
      </c>
      <c r="H19038" s="21">
        <v>765.04</v>
      </c>
    </row>
    <row r="19039" spans="1:8" customFormat="1" x14ac:dyDescent="0.25">
      <c r="A19039" t="str">
        <f>"619622"</f>
        <v>619622</v>
      </c>
      <c r="B19039" t="s">
        <v>12119</v>
      </c>
      <c r="C19039" t="s">
        <v>262</v>
      </c>
      <c r="D19039" s="21" t="s">
        <v>34</v>
      </c>
      <c r="E19039" s="21" t="s">
        <v>71</v>
      </c>
      <c r="F19039">
        <v>9610009</v>
      </c>
      <c r="G19039" t="s">
        <v>282</v>
      </c>
      <c r="H19039" s="21">
        <v>764.92</v>
      </c>
    </row>
    <row r="19040" spans="1:8" customFormat="1" x14ac:dyDescent="0.25">
      <c r="A19040" t="str">
        <f>"2930122"</f>
        <v>2930122</v>
      </c>
      <c r="B19040" t="s">
        <v>2017</v>
      </c>
      <c r="C19040" t="s">
        <v>198</v>
      </c>
      <c r="D19040" s="21" t="s">
        <v>34</v>
      </c>
      <c r="E19040" s="21" t="s">
        <v>254</v>
      </c>
      <c r="F19040">
        <v>3290207</v>
      </c>
      <c r="G19040" t="s">
        <v>8805</v>
      </c>
      <c r="H19040" s="21">
        <v>764.92</v>
      </c>
    </row>
    <row r="19041" spans="1:8" customFormat="1" x14ac:dyDescent="0.25">
      <c r="A19041" t="str">
        <f>"2810682"</f>
        <v>2810682</v>
      </c>
      <c r="B19041" t="s">
        <v>7470</v>
      </c>
      <c r="C19041" t="s">
        <v>82</v>
      </c>
      <c r="D19041" s="21" t="s">
        <v>34</v>
      </c>
      <c r="E19041" s="21" t="s">
        <v>35</v>
      </c>
      <c r="F19041">
        <v>4280121</v>
      </c>
      <c r="G19041" t="s">
        <v>4565</v>
      </c>
      <c r="H19041" s="21">
        <v>764.92</v>
      </c>
    </row>
    <row r="19042" spans="1:8" customFormat="1" x14ac:dyDescent="0.25">
      <c r="A19042" t="str">
        <f>"5321099"</f>
        <v>5321099</v>
      </c>
      <c r="B19042" t="s">
        <v>17804</v>
      </c>
      <c r="C19042" t="s">
        <v>269</v>
      </c>
      <c r="D19042" s="21" t="s">
        <v>34</v>
      </c>
      <c r="E19042" s="21" t="s">
        <v>35</v>
      </c>
      <c r="F19042">
        <v>12538903</v>
      </c>
      <c r="G19042" t="s">
        <v>6439</v>
      </c>
      <c r="H19042" s="21">
        <v>764.92</v>
      </c>
    </row>
    <row r="19043" spans="1:8" customFormat="1" x14ac:dyDescent="0.25">
      <c r="A19043" t="str">
        <f>"9442960"</f>
        <v>9442960</v>
      </c>
      <c r="B19043" t="s">
        <v>16675</v>
      </c>
      <c r="C19043" t="s">
        <v>812</v>
      </c>
      <c r="D19043" s="21" t="s">
        <v>34</v>
      </c>
      <c r="E19043" s="21" t="s">
        <v>254</v>
      </c>
      <c r="F19043">
        <v>8940535</v>
      </c>
      <c r="G19043" t="s">
        <v>2628</v>
      </c>
      <c r="H19043" s="21">
        <v>764.79</v>
      </c>
    </row>
    <row r="19044" spans="1:8" customFormat="1" x14ac:dyDescent="0.25">
      <c r="A19044" t="str">
        <f>"7624833"</f>
        <v>7624833</v>
      </c>
      <c r="B19044" t="s">
        <v>11784</v>
      </c>
      <c r="C19044" t="s">
        <v>33</v>
      </c>
      <c r="D19044" s="21" t="s">
        <v>34</v>
      </c>
      <c r="E19044" s="21" t="s">
        <v>71</v>
      </c>
      <c r="F19044">
        <v>9760214</v>
      </c>
      <c r="G19044" t="s">
        <v>12889</v>
      </c>
      <c r="H19044" s="21">
        <v>764.67</v>
      </c>
    </row>
    <row r="19045" spans="1:8" customFormat="1" x14ac:dyDescent="0.25">
      <c r="A19045" t="str">
        <f>"6725115"</f>
        <v>6725115</v>
      </c>
      <c r="B19045" t="s">
        <v>20011</v>
      </c>
      <c r="C19045" t="s">
        <v>712</v>
      </c>
      <c r="D19045" s="21" t="s">
        <v>34</v>
      </c>
      <c r="E19045" s="21" t="s">
        <v>71</v>
      </c>
      <c r="F19045">
        <v>6670014</v>
      </c>
      <c r="G19045" t="s">
        <v>4258</v>
      </c>
      <c r="H19045" s="21">
        <v>764.67</v>
      </c>
    </row>
    <row r="19046" spans="1:8" customFormat="1" x14ac:dyDescent="0.25">
      <c r="A19046" t="str">
        <f>"168632"</f>
        <v>168632</v>
      </c>
      <c r="B19046" t="s">
        <v>15103</v>
      </c>
      <c r="C19046" t="s">
        <v>62</v>
      </c>
      <c r="D19046" s="21" t="s">
        <v>34</v>
      </c>
      <c r="E19046" s="21" t="s">
        <v>71</v>
      </c>
      <c r="F19046">
        <v>10160047</v>
      </c>
      <c r="G19046" t="s">
        <v>13957</v>
      </c>
      <c r="H19046" s="21">
        <v>764.67</v>
      </c>
    </row>
    <row r="19047" spans="1:8" customFormat="1" x14ac:dyDescent="0.25">
      <c r="A19047" t="str">
        <f>"2213913"</f>
        <v>2213913</v>
      </c>
      <c r="B19047" t="s">
        <v>3455</v>
      </c>
      <c r="C19047" t="s">
        <v>82</v>
      </c>
      <c r="D19047" s="21" t="s">
        <v>34</v>
      </c>
      <c r="E19047" s="21" t="s">
        <v>35</v>
      </c>
      <c r="F19047">
        <v>3220022</v>
      </c>
      <c r="G19047" t="s">
        <v>27551</v>
      </c>
      <c r="H19047" s="21">
        <v>764.67</v>
      </c>
    </row>
    <row r="19048" spans="1:8" customFormat="1" x14ac:dyDescent="0.25">
      <c r="A19048" t="str">
        <f>"5010308"</f>
        <v>5010308</v>
      </c>
      <c r="B19048" t="s">
        <v>14958</v>
      </c>
      <c r="C19048" t="s">
        <v>239</v>
      </c>
      <c r="D19048" s="21" t="s">
        <v>34</v>
      </c>
      <c r="E19048" s="21" t="s">
        <v>1089</v>
      </c>
      <c r="F19048">
        <v>10170026</v>
      </c>
      <c r="G19048" t="s">
        <v>4850</v>
      </c>
      <c r="H19048" s="21">
        <v>764.67</v>
      </c>
    </row>
    <row r="19049" spans="1:8" customFormat="1" x14ac:dyDescent="0.25">
      <c r="A19049" t="str">
        <f>"833798"</f>
        <v>833798</v>
      </c>
      <c r="B19049" t="s">
        <v>15164</v>
      </c>
      <c r="C19049" t="s">
        <v>249</v>
      </c>
      <c r="D19049" s="21" t="s">
        <v>34</v>
      </c>
      <c r="E19049" s="21" t="s">
        <v>71</v>
      </c>
      <c r="F19049">
        <v>13130166</v>
      </c>
      <c r="G19049" t="s">
        <v>2539</v>
      </c>
      <c r="H19049" s="21">
        <v>764.67</v>
      </c>
    </row>
    <row r="19050" spans="1:8" customFormat="1" x14ac:dyDescent="0.25">
      <c r="A19050" t="str">
        <f>"219797"</f>
        <v>219797</v>
      </c>
      <c r="B19050" t="s">
        <v>15195</v>
      </c>
      <c r="C19050" t="s">
        <v>87</v>
      </c>
      <c r="D19050" s="21" t="s">
        <v>34</v>
      </c>
      <c r="E19050" s="21" t="s">
        <v>71</v>
      </c>
      <c r="F19050">
        <v>2210005</v>
      </c>
      <c r="G19050" t="s">
        <v>5020</v>
      </c>
      <c r="H19050" s="21">
        <v>764.67</v>
      </c>
    </row>
    <row r="19051" spans="1:8" customFormat="1" x14ac:dyDescent="0.25">
      <c r="A19051" t="str">
        <f>"7211108"</f>
        <v>7211108</v>
      </c>
      <c r="B19051" t="s">
        <v>15884</v>
      </c>
      <c r="C19051" t="s">
        <v>528</v>
      </c>
      <c r="D19051" s="21" t="s">
        <v>34</v>
      </c>
      <c r="E19051" s="21" t="s">
        <v>71</v>
      </c>
      <c r="F19051">
        <v>11480027</v>
      </c>
      <c r="G19051" t="s">
        <v>2950</v>
      </c>
      <c r="H19051" s="21">
        <v>764.67</v>
      </c>
    </row>
    <row r="19052" spans="1:8" customFormat="1" x14ac:dyDescent="0.25">
      <c r="A19052" t="str">
        <f>"788493"</f>
        <v>788493</v>
      </c>
      <c r="B19052" t="s">
        <v>10145</v>
      </c>
      <c r="C19052" t="s">
        <v>598</v>
      </c>
      <c r="D19052" s="21" t="s">
        <v>34</v>
      </c>
      <c r="E19052" s="21" t="s">
        <v>71</v>
      </c>
      <c r="F19052">
        <v>8780023</v>
      </c>
      <c r="G19052" t="s">
        <v>1496</v>
      </c>
      <c r="H19052" s="21">
        <v>764.67</v>
      </c>
    </row>
    <row r="19053" spans="1:8" customFormat="1" x14ac:dyDescent="0.25">
      <c r="A19053" t="str">
        <f>"9535607"</f>
        <v>9535607</v>
      </c>
      <c r="B19053" t="s">
        <v>18245</v>
      </c>
      <c r="C19053" t="s">
        <v>1714</v>
      </c>
      <c r="D19053" s="21" t="s">
        <v>34</v>
      </c>
      <c r="E19053" s="21" t="s">
        <v>71</v>
      </c>
      <c r="F19053">
        <v>8950882</v>
      </c>
      <c r="G19053" t="s">
        <v>9516</v>
      </c>
      <c r="H19053" s="21">
        <v>764.67</v>
      </c>
    </row>
    <row r="19054" spans="1:8" customFormat="1" x14ac:dyDescent="0.25">
      <c r="A19054" t="str">
        <f>"165728"</f>
        <v>165728</v>
      </c>
      <c r="B19054" t="s">
        <v>14744</v>
      </c>
      <c r="C19054" t="s">
        <v>269</v>
      </c>
      <c r="D19054" s="21" t="s">
        <v>34</v>
      </c>
      <c r="E19054" s="21" t="s">
        <v>254</v>
      </c>
      <c r="F19054">
        <v>10160042</v>
      </c>
      <c r="G19054" t="s">
        <v>7461</v>
      </c>
      <c r="H19054" s="21">
        <v>764.67</v>
      </c>
    </row>
    <row r="19055" spans="1:8" customFormat="1" x14ac:dyDescent="0.25">
      <c r="A19055" t="str">
        <f>"79473"</f>
        <v>79473</v>
      </c>
      <c r="B19055" t="s">
        <v>4180</v>
      </c>
      <c r="C19055" t="s">
        <v>1620</v>
      </c>
      <c r="D19055" s="21" t="s">
        <v>34</v>
      </c>
      <c r="E19055" s="21" t="s">
        <v>254</v>
      </c>
      <c r="F19055">
        <v>10790042</v>
      </c>
      <c r="G19055" t="s">
        <v>2092</v>
      </c>
      <c r="H19055" s="21">
        <v>764.67</v>
      </c>
    </row>
    <row r="19056" spans="1:8" customFormat="1" x14ac:dyDescent="0.25">
      <c r="A19056" t="str">
        <f>"47422"</f>
        <v>47422</v>
      </c>
      <c r="B19056" t="s">
        <v>15165</v>
      </c>
      <c r="C19056" t="s">
        <v>209</v>
      </c>
      <c r="D19056" s="21" t="s">
        <v>34</v>
      </c>
      <c r="E19056" s="21" t="s">
        <v>71</v>
      </c>
      <c r="F19056">
        <v>10470007</v>
      </c>
      <c r="G19056" t="s">
        <v>3049</v>
      </c>
      <c r="H19056" s="21">
        <v>764.67</v>
      </c>
    </row>
    <row r="19057" spans="1:8" customFormat="1" x14ac:dyDescent="0.25">
      <c r="A19057" t="str">
        <f>"6935055"</f>
        <v>6935055</v>
      </c>
      <c r="B19057" t="s">
        <v>16151</v>
      </c>
      <c r="C19057" t="s">
        <v>156</v>
      </c>
      <c r="D19057" s="21" t="s">
        <v>34</v>
      </c>
      <c r="E19057" s="21" t="s">
        <v>71</v>
      </c>
      <c r="F19057">
        <v>1690211</v>
      </c>
      <c r="G19057" t="s">
        <v>9152</v>
      </c>
      <c r="H19057" s="21">
        <v>764.67</v>
      </c>
    </row>
    <row r="19058" spans="1:8" customFormat="1" x14ac:dyDescent="0.25">
      <c r="A19058" t="str">
        <f>"0113947"</f>
        <v>0113947</v>
      </c>
      <c r="B19058" t="s">
        <v>27552</v>
      </c>
      <c r="C19058" t="s">
        <v>27553</v>
      </c>
      <c r="D19058" s="21" t="s">
        <v>34</v>
      </c>
      <c r="E19058" s="21" t="s">
        <v>254</v>
      </c>
      <c r="F19058">
        <v>1740038</v>
      </c>
      <c r="G19058" t="s">
        <v>26517</v>
      </c>
      <c r="H19058" s="21">
        <v>764.67</v>
      </c>
    </row>
    <row r="19059" spans="1:8" customFormat="1" x14ac:dyDescent="0.25">
      <c r="A19059" t="str">
        <f>"1315592"</f>
        <v>1315592</v>
      </c>
      <c r="B19059" t="s">
        <v>9832</v>
      </c>
      <c r="C19059" t="s">
        <v>147</v>
      </c>
      <c r="D19059" s="21" t="s">
        <v>34</v>
      </c>
      <c r="E19059" s="21" t="s">
        <v>35</v>
      </c>
      <c r="F19059">
        <v>13130152</v>
      </c>
      <c r="G19059" t="s">
        <v>906</v>
      </c>
      <c r="H19059" s="21">
        <v>764.67</v>
      </c>
    </row>
    <row r="19060" spans="1:8" customFormat="1" x14ac:dyDescent="0.25">
      <c r="A19060" t="str">
        <f>"9414174"</f>
        <v>9414174</v>
      </c>
      <c r="B19060" t="s">
        <v>4335</v>
      </c>
      <c r="C19060" t="s">
        <v>239</v>
      </c>
      <c r="D19060" s="21" t="s">
        <v>34</v>
      </c>
      <c r="E19060" s="21" t="s">
        <v>1089</v>
      </c>
      <c r="F19060">
        <v>8780338</v>
      </c>
      <c r="G19060" t="s">
        <v>4145</v>
      </c>
      <c r="H19060" s="21">
        <v>764.67</v>
      </c>
    </row>
    <row r="19061" spans="1:8" customFormat="1" x14ac:dyDescent="0.25">
      <c r="A19061" t="str">
        <f>"81532"</f>
        <v>81532</v>
      </c>
      <c r="B19061" t="s">
        <v>16685</v>
      </c>
      <c r="C19061" t="s">
        <v>55</v>
      </c>
      <c r="D19061" s="21" t="s">
        <v>34</v>
      </c>
      <c r="E19061" s="21" t="s">
        <v>71</v>
      </c>
      <c r="F19061">
        <v>11810033</v>
      </c>
      <c r="G19061" t="s">
        <v>3852</v>
      </c>
      <c r="H19061" s="21">
        <v>764.42</v>
      </c>
    </row>
    <row r="19062" spans="1:8" customFormat="1" x14ac:dyDescent="0.25">
      <c r="A19062" t="str">
        <f>"2917513"</f>
        <v>2917513</v>
      </c>
      <c r="B19062" t="s">
        <v>14025</v>
      </c>
      <c r="C19062" t="s">
        <v>302</v>
      </c>
      <c r="D19062" s="21" t="s">
        <v>34</v>
      </c>
      <c r="E19062" s="21" t="s">
        <v>35</v>
      </c>
      <c r="F19062">
        <v>3290262</v>
      </c>
      <c r="G19062" t="s">
        <v>1139</v>
      </c>
      <c r="H19062" s="21">
        <v>764.42</v>
      </c>
    </row>
    <row r="19063" spans="1:8" customFormat="1" x14ac:dyDescent="0.25">
      <c r="A19063" t="str">
        <f>"5615922"</f>
        <v>5615922</v>
      </c>
      <c r="B19063" t="s">
        <v>4834</v>
      </c>
      <c r="C19063" t="s">
        <v>269</v>
      </c>
      <c r="D19063" s="21" t="s">
        <v>34</v>
      </c>
      <c r="E19063" s="21" t="s">
        <v>71</v>
      </c>
      <c r="F19063">
        <v>3560005</v>
      </c>
      <c r="G19063" t="s">
        <v>2101</v>
      </c>
      <c r="H19063" s="21">
        <v>764.42</v>
      </c>
    </row>
    <row r="19064" spans="1:8" customFormat="1" x14ac:dyDescent="0.25">
      <c r="A19064" t="str">
        <f>"5934344"</f>
        <v>5934344</v>
      </c>
      <c r="B19064" t="s">
        <v>16214</v>
      </c>
      <c r="C19064" t="s">
        <v>2907</v>
      </c>
      <c r="D19064" s="21" t="s">
        <v>34</v>
      </c>
      <c r="E19064" s="21" t="s">
        <v>71</v>
      </c>
      <c r="F19064">
        <v>7590048</v>
      </c>
      <c r="G19064" t="s">
        <v>4608</v>
      </c>
      <c r="H19064" s="21">
        <v>764.17</v>
      </c>
    </row>
    <row r="19065" spans="1:8" customFormat="1" x14ac:dyDescent="0.25">
      <c r="A19065" t="str">
        <f>"288822"</f>
        <v>288822</v>
      </c>
      <c r="B19065" t="s">
        <v>623</v>
      </c>
      <c r="C19065" t="s">
        <v>55</v>
      </c>
      <c r="D19065" s="21" t="s">
        <v>34</v>
      </c>
      <c r="E19065" s="21" t="s">
        <v>71</v>
      </c>
      <c r="F19065">
        <v>4280612</v>
      </c>
      <c r="G19065" t="s">
        <v>6809</v>
      </c>
      <c r="H19065" s="21">
        <v>764.17</v>
      </c>
    </row>
    <row r="19066" spans="1:8" customFormat="1" x14ac:dyDescent="0.25">
      <c r="A19066" t="str">
        <f>"7617769"</f>
        <v>7617769</v>
      </c>
      <c r="B19066" t="s">
        <v>8553</v>
      </c>
      <c r="C19066" t="s">
        <v>33</v>
      </c>
      <c r="D19066" s="21" t="s">
        <v>34</v>
      </c>
      <c r="E19066" s="21" t="s">
        <v>35</v>
      </c>
      <c r="F19066">
        <v>9760014</v>
      </c>
      <c r="G19066" t="s">
        <v>1017</v>
      </c>
      <c r="H19066" s="21">
        <v>764.17</v>
      </c>
    </row>
    <row r="19067" spans="1:8" customFormat="1" x14ac:dyDescent="0.25">
      <c r="A19067" t="str">
        <f>"6021475"</f>
        <v>6021475</v>
      </c>
      <c r="B19067" t="s">
        <v>17662</v>
      </c>
      <c r="C19067" t="s">
        <v>3393</v>
      </c>
      <c r="D19067" s="21" t="s">
        <v>34</v>
      </c>
      <c r="E19067" s="21" t="s">
        <v>35</v>
      </c>
      <c r="F19067">
        <v>7600117</v>
      </c>
      <c r="G19067" t="s">
        <v>9823</v>
      </c>
      <c r="H19067" s="21">
        <v>764.17</v>
      </c>
    </row>
    <row r="19068" spans="1:8" customFormat="1" x14ac:dyDescent="0.25">
      <c r="A19068" t="str">
        <f>"0115185"</f>
        <v>0115185</v>
      </c>
      <c r="B19068" t="s">
        <v>18620</v>
      </c>
      <c r="C19068" t="s">
        <v>1812</v>
      </c>
      <c r="D19068" s="21" t="s">
        <v>34</v>
      </c>
      <c r="E19068" s="21" t="s">
        <v>71</v>
      </c>
      <c r="F19068">
        <v>1010068</v>
      </c>
      <c r="G19068" t="s">
        <v>4755</v>
      </c>
      <c r="H19068" s="21">
        <v>764.17</v>
      </c>
    </row>
    <row r="19069" spans="1:8" customFormat="1" x14ac:dyDescent="0.25">
      <c r="A19069" t="str">
        <f>"2922480"</f>
        <v>2922480</v>
      </c>
      <c r="B19069" t="s">
        <v>23477</v>
      </c>
      <c r="C19069" t="s">
        <v>169</v>
      </c>
      <c r="D19069" s="21" t="s">
        <v>34</v>
      </c>
      <c r="E19069" s="21" t="s">
        <v>35</v>
      </c>
      <c r="F19069">
        <v>3290266</v>
      </c>
      <c r="G19069" t="s">
        <v>1783</v>
      </c>
      <c r="H19069" s="21">
        <v>764.17</v>
      </c>
    </row>
    <row r="19070" spans="1:8" customFormat="1" x14ac:dyDescent="0.25">
      <c r="A19070" t="str">
        <f>"4214997"</f>
        <v>4214997</v>
      </c>
      <c r="B19070" t="s">
        <v>14730</v>
      </c>
      <c r="C19070" t="s">
        <v>462</v>
      </c>
      <c r="D19070" s="21" t="s">
        <v>34</v>
      </c>
      <c r="E19070" s="21" t="s">
        <v>35</v>
      </c>
      <c r="F19070">
        <v>1420156</v>
      </c>
      <c r="G19070" t="s">
        <v>5635</v>
      </c>
      <c r="H19070" s="21">
        <v>764.17</v>
      </c>
    </row>
    <row r="19071" spans="1:8" customFormat="1" x14ac:dyDescent="0.25">
      <c r="A19071" t="str">
        <f>"23201"</f>
        <v>23201</v>
      </c>
      <c r="B19071" t="s">
        <v>14991</v>
      </c>
      <c r="C19071" t="s">
        <v>2479</v>
      </c>
      <c r="D19071" s="21" t="s">
        <v>34</v>
      </c>
      <c r="E19071" s="21" t="s">
        <v>254</v>
      </c>
      <c r="F19071">
        <v>10230105</v>
      </c>
      <c r="G19071" t="s">
        <v>9926</v>
      </c>
      <c r="H19071" s="21">
        <v>764.17</v>
      </c>
    </row>
    <row r="19072" spans="1:8" customFormat="1" x14ac:dyDescent="0.25">
      <c r="A19072" t="str">
        <f>"251657"</f>
        <v>251657</v>
      </c>
      <c r="B19072" t="s">
        <v>9961</v>
      </c>
      <c r="C19072" t="s">
        <v>246</v>
      </c>
      <c r="D19072" s="21" t="s">
        <v>34</v>
      </c>
      <c r="E19072" s="21" t="s">
        <v>254</v>
      </c>
      <c r="F19072">
        <v>2250017</v>
      </c>
      <c r="G19072" t="s">
        <v>521</v>
      </c>
      <c r="H19072" s="21">
        <v>764.17</v>
      </c>
    </row>
    <row r="19073" spans="1:8" customFormat="1" x14ac:dyDescent="0.25">
      <c r="A19073" t="str">
        <f>"7913442"</f>
        <v>7913442</v>
      </c>
      <c r="B19073" t="s">
        <v>14237</v>
      </c>
      <c r="C19073" t="s">
        <v>169</v>
      </c>
      <c r="D19073" s="21" t="s">
        <v>34</v>
      </c>
      <c r="E19073" s="21" t="s">
        <v>71</v>
      </c>
      <c r="F19073">
        <v>10790039</v>
      </c>
      <c r="G19073" t="s">
        <v>14238</v>
      </c>
      <c r="H19073" s="21">
        <v>764.17</v>
      </c>
    </row>
    <row r="19074" spans="1:8" customFormat="1" x14ac:dyDescent="0.25">
      <c r="A19074" t="str">
        <f>"844119"</f>
        <v>844119</v>
      </c>
      <c r="B19074" t="s">
        <v>16055</v>
      </c>
      <c r="C19074" t="s">
        <v>204</v>
      </c>
      <c r="D19074" s="21" t="s">
        <v>34</v>
      </c>
      <c r="E19074" s="21" t="s">
        <v>35</v>
      </c>
      <c r="F19074">
        <v>1260001</v>
      </c>
      <c r="G19074" t="s">
        <v>16056</v>
      </c>
      <c r="H19074" s="21">
        <v>764.17</v>
      </c>
    </row>
    <row r="19075" spans="1:8" customFormat="1" x14ac:dyDescent="0.25">
      <c r="A19075" t="str">
        <f>"027528"</f>
        <v>027528</v>
      </c>
      <c r="B19075" t="s">
        <v>16797</v>
      </c>
      <c r="C19075" t="s">
        <v>263</v>
      </c>
      <c r="D19075" s="21" t="s">
        <v>34</v>
      </c>
      <c r="E19075" s="21" t="s">
        <v>254</v>
      </c>
      <c r="F19075">
        <v>7020065</v>
      </c>
      <c r="G19075" t="s">
        <v>4852</v>
      </c>
      <c r="H19075" s="21">
        <v>764.17</v>
      </c>
    </row>
    <row r="19076" spans="1:8" customFormat="1" x14ac:dyDescent="0.25">
      <c r="A19076" t="str">
        <f>"2926954"</f>
        <v>2926954</v>
      </c>
      <c r="B19076" t="s">
        <v>8561</v>
      </c>
      <c r="C19076" t="s">
        <v>3115</v>
      </c>
      <c r="D19076" s="21" t="s">
        <v>34</v>
      </c>
      <c r="E19076" s="21" t="s">
        <v>35</v>
      </c>
      <c r="F19076">
        <v>3290266</v>
      </c>
      <c r="G19076" t="s">
        <v>1783</v>
      </c>
      <c r="H19076" s="21">
        <v>764.17</v>
      </c>
    </row>
    <row r="19077" spans="1:8" customFormat="1" x14ac:dyDescent="0.25">
      <c r="A19077" t="str">
        <f>"617794"</f>
        <v>617794</v>
      </c>
      <c r="B19077" t="s">
        <v>4321</v>
      </c>
      <c r="C19077" t="s">
        <v>2520</v>
      </c>
      <c r="D19077" s="21" t="s">
        <v>34</v>
      </c>
      <c r="E19077" s="21" t="s">
        <v>254</v>
      </c>
      <c r="F19077">
        <v>9610073</v>
      </c>
      <c r="G19077" t="s">
        <v>8382</v>
      </c>
      <c r="H19077" s="21">
        <v>764.17</v>
      </c>
    </row>
    <row r="19078" spans="1:8" customFormat="1" x14ac:dyDescent="0.25">
      <c r="A19078" t="str">
        <f>"9122730"</f>
        <v>9122730</v>
      </c>
      <c r="B19078" t="s">
        <v>27554</v>
      </c>
      <c r="C19078" t="s">
        <v>130</v>
      </c>
      <c r="D19078" s="21" t="s">
        <v>34</v>
      </c>
      <c r="E19078" s="21" t="s">
        <v>35</v>
      </c>
      <c r="F19078">
        <v>8910667</v>
      </c>
      <c r="G19078" t="s">
        <v>2361</v>
      </c>
      <c r="H19078" s="21">
        <v>764.17</v>
      </c>
    </row>
    <row r="19079" spans="1:8" customFormat="1" x14ac:dyDescent="0.25">
      <c r="A19079" t="str">
        <f>"2513580"</f>
        <v>2513580</v>
      </c>
      <c r="B19079" t="s">
        <v>15703</v>
      </c>
      <c r="C19079" t="s">
        <v>528</v>
      </c>
      <c r="D19079" s="21" t="s">
        <v>34</v>
      </c>
      <c r="E19079" s="21" t="s">
        <v>71</v>
      </c>
      <c r="F19079">
        <v>2250196</v>
      </c>
      <c r="G19079" t="s">
        <v>27452</v>
      </c>
      <c r="H19079" s="21">
        <v>764.17</v>
      </c>
    </row>
    <row r="19080" spans="1:8" customFormat="1" x14ac:dyDescent="0.25">
      <c r="A19080" t="str">
        <f>"6015094"</f>
        <v>6015094</v>
      </c>
      <c r="B19080" t="s">
        <v>7144</v>
      </c>
      <c r="C19080" t="s">
        <v>187</v>
      </c>
      <c r="D19080" s="21" t="s">
        <v>34</v>
      </c>
      <c r="E19080" s="21" t="s">
        <v>71</v>
      </c>
      <c r="F19080">
        <v>7600111</v>
      </c>
      <c r="G19080" t="s">
        <v>6914</v>
      </c>
      <c r="H19080" s="21">
        <v>764.17</v>
      </c>
    </row>
    <row r="19081" spans="1:8" customFormat="1" x14ac:dyDescent="0.25">
      <c r="A19081" t="str">
        <f>"877708"</f>
        <v>877708</v>
      </c>
      <c r="B19081" t="s">
        <v>15642</v>
      </c>
      <c r="C19081" t="s">
        <v>209</v>
      </c>
      <c r="D19081" s="21" t="s">
        <v>34</v>
      </c>
      <c r="E19081" s="21" t="s">
        <v>1089</v>
      </c>
      <c r="F19081">
        <v>10870007</v>
      </c>
      <c r="G19081" t="s">
        <v>8903</v>
      </c>
      <c r="H19081" s="21">
        <v>764.17</v>
      </c>
    </row>
    <row r="19082" spans="1:8" customFormat="1" x14ac:dyDescent="0.25">
      <c r="A19082" t="str">
        <f>"9526276"</f>
        <v>9526276</v>
      </c>
      <c r="B19082" t="s">
        <v>2964</v>
      </c>
      <c r="C19082" t="s">
        <v>15658</v>
      </c>
      <c r="D19082" s="21" t="s">
        <v>34</v>
      </c>
      <c r="E19082" s="21" t="s">
        <v>35</v>
      </c>
      <c r="F19082">
        <v>8950435</v>
      </c>
      <c r="G19082" t="s">
        <v>6404</v>
      </c>
      <c r="H19082" s="21">
        <v>764.17</v>
      </c>
    </row>
    <row r="19083" spans="1:8" customFormat="1" x14ac:dyDescent="0.25">
      <c r="A19083" t="str">
        <f>"324702"</f>
        <v>324702</v>
      </c>
      <c r="B19083" t="s">
        <v>1076</v>
      </c>
      <c r="C19083" t="s">
        <v>90</v>
      </c>
      <c r="D19083" s="21" t="s">
        <v>34</v>
      </c>
      <c r="E19083" s="21" t="s">
        <v>35</v>
      </c>
      <c r="F19083">
        <v>11320041</v>
      </c>
      <c r="G19083" t="s">
        <v>4802</v>
      </c>
      <c r="H19083" s="21">
        <v>763.92</v>
      </c>
    </row>
    <row r="19084" spans="1:8" customFormat="1" x14ac:dyDescent="0.25">
      <c r="A19084" t="str">
        <f>"9143635"</f>
        <v>9143635</v>
      </c>
      <c r="B19084" t="s">
        <v>18717</v>
      </c>
      <c r="C19084" t="s">
        <v>33</v>
      </c>
      <c r="D19084" s="21" t="s">
        <v>34</v>
      </c>
      <c r="E19084" s="21" t="s">
        <v>71</v>
      </c>
      <c r="F19084">
        <v>8910402</v>
      </c>
      <c r="G19084" t="s">
        <v>1371</v>
      </c>
      <c r="H19084" s="21">
        <v>763.92</v>
      </c>
    </row>
    <row r="19085" spans="1:8" customFormat="1" x14ac:dyDescent="0.25">
      <c r="A19085" t="str">
        <f>"4424541"</f>
        <v>4424541</v>
      </c>
      <c r="B19085" t="s">
        <v>10067</v>
      </c>
      <c r="C19085" t="s">
        <v>124</v>
      </c>
      <c r="D19085" s="21" t="s">
        <v>34</v>
      </c>
      <c r="E19085" s="21" t="s">
        <v>71</v>
      </c>
      <c r="F19085">
        <v>12440093</v>
      </c>
      <c r="G19085" t="s">
        <v>10627</v>
      </c>
      <c r="H19085" s="21">
        <v>763.92</v>
      </c>
    </row>
    <row r="19086" spans="1:8" customFormat="1" x14ac:dyDescent="0.25">
      <c r="A19086" t="str">
        <f>"953524"</f>
        <v>953524</v>
      </c>
      <c r="B19086" t="s">
        <v>13939</v>
      </c>
      <c r="C19086" t="s">
        <v>55</v>
      </c>
      <c r="D19086" s="21" t="s">
        <v>34</v>
      </c>
      <c r="E19086" s="21" t="s">
        <v>35</v>
      </c>
      <c r="F19086">
        <v>12440067</v>
      </c>
      <c r="G19086" t="s">
        <v>1723</v>
      </c>
      <c r="H19086" s="21">
        <v>763.67</v>
      </c>
    </row>
    <row r="19087" spans="1:8" customFormat="1" x14ac:dyDescent="0.25">
      <c r="A19087" t="str">
        <f>"7813351"</f>
        <v>7813351</v>
      </c>
      <c r="B19087" t="s">
        <v>1883</v>
      </c>
      <c r="C19087" t="s">
        <v>2529</v>
      </c>
      <c r="D19087" s="21" t="s">
        <v>34</v>
      </c>
      <c r="E19087" s="21" t="s">
        <v>254</v>
      </c>
      <c r="F19087">
        <v>4280716</v>
      </c>
      <c r="G19087" t="s">
        <v>5281</v>
      </c>
      <c r="H19087" s="21">
        <v>763.67</v>
      </c>
    </row>
    <row r="19088" spans="1:8" customFormat="1" x14ac:dyDescent="0.25">
      <c r="A19088" t="str">
        <f>"7624860"</f>
        <v>7624860</v>
      </c>
      <c r="B19088" t="s">
        <v>16954</v>
      </c>
      <c r="C19088" t="s">
        <v>576</v>
      </c>
      <c r="D19088" s="21" t="s">
        <v>34</v>
      </c>
      <c r="E19088" s="21" t="s">
        <v>35</v>
      </c>
      <c r="F19088">
        <v>9760129</v>
      </c>
      <c r="G19088" t="s">
        <v>6147</v>
      </c>
      <c r="H19088" s="21">
        <v>763.67</v>
      </c>
    </row>
    <row r="19089" spans="1:8" customFormat="1" x14ac:dyDescent="0.25">
      <c r="A19089" t="str">
        <f>"9535404"</f>
        <v>9535404</v>
      </c>
      <c r="B19089" t="s">
        <v>17613</v>
      </c>
      <c r="C19089" t="s">
        <v>17614</v>
      </c>
      <c r="D19089" s="21" t="s">
        <v>34</v>
      </c>
      <c r="E19089" s="21" t="s">
        <v>71</v>
      </c>
      <c r="F19089">
        <v>8950570</v>
      </c>
      <c r="G19089" t="s">
        <v>3226</v>
      </c>
      <c r="H19089" s="21">
        <v>763.67</v>
      </c>
    </row>
    <row r="19090" spans="1:8" customFormat="1" x14ac:dyDescent="0.25">
      <c r="A19090" t="str">
        <f>"888"</f>
        <v>888</v>
      </c>
      <c r="B19090" t="s">
        <v>5431</v>
      </c>
      <c r="C19090" t="s">
        <v>114</v>
      </c>
      <c r="D19090" s="21" t="s">
        <v>34</v>
      </c>
      <c r="E19090" s="21" t="s">
        <v>254</v>
      </c>
      <c r="F19090">
        <v>6880145</v>
      </c>
      <c r="G19090" t="s">
        <v>1303</v>
      </c>
      <c r="H19090" s="21">
        <v>763.67</v>
      </c>
    </row>
    <row r="19091" spans="1:8" customFormat="1" x14ac:dyDescent="0.25">
      <c r="A19091" t="str">
        <f>"027195"</f>
        <v>027195</v>
      </c>
      <c r="B19091" t="s">
        <v>16383</v>
      </c>
      <c r="C19091" t="s">
        <v>151</v>
      </c>
      <c r="D19091" s="21" t="s">
        <v>34</v>
      </c>
      <c r="E19091" s="21" t="s">
        <v>71</v>
      </c>
      <c r="F19091">
        <v>7020044</v>
      </c>
      <c r="G19091" t="s">
        <v>4690</v>
      </c>
      <c r="H19091" s="21">
        <v>763.67</v>
      </c>
    </row>
    <row r="19092" spans="1:8" customFormat="1" x14ac:dyDescent="0.25">
      <c r="A19092" t="str">
        <f>"1417463"</f>
        <v>1417463</v>
      </c>
      <c r="B19092" t="s">
        <v>5915</v>
      </c>
      <c r="C19092" t="s">
        <v>1812</v>
      </c>
      <c r="D19092" s="21" t="s">
        <v>34</v>
      </c>
      <c r="E19092" s="21" t="s">
        <v>35</v>
      </c>
      <c r="F19092">
        <v>9140211</v>
      </c>
      <c r="G19092" t="s">
        <v>5784</v>
      </c>
      <c r="H19092" s="21">
        <v>763.67</v>
      </c>
    </row>
    <row r="19093" spans="1:8" customFormat="1" x14ac:dyDescent="0.25">
      <c r="A19093" t="str">
        <f>"145363"</f>
        <v>145363</v>
      </c>
      <c r="B19093" t="s">
        <v>13268</v>
      </c>
      <c r="C19093" t="s">
        <v>1841</v>
      </c>
      <c r="D19093" s="21" t="s">
        <v>34</v>
      </c>
      <c r="E19093" s="21" t="s">
        <v>71</v>
      </c>
      <c r="F19093">
        <v>9140233</v>
      </c>
      <c r="G19093" t="s">
        <v>13269</v>
      </c>
      <c r="H19093" s="21">
        <v>763.67</v>
      </c>
    </row>
    <row r="19094" spans="1:8" customFormat="1" x14ac:dyDescent="0.25">
      <c r="A19094" t="str">
        <f>"9515387"</f>
        <v>9515387</v>
      </c>
      <c r="B19094" t="s">
        <v>623</v>
      </c>
      <c r="C19094" t="s">
        <v>453</v>
      </c>
      <c r="D19094" s="21" t="s">
        <v>34</v>
      </c>
      <c r="E19094" s="21" t="s">
        <v>254</v>
      </c>
      <c r="F19094">
        <v>8950103</v>
      </c>
      <c r="G19094" t="s">
        <v>440</v>
      </c>
      <c r="H19094" s="21">
        <v>763.67</v>
      </c>
    </row>
    <row r="19095" spans="1:8" customFormat="1" x14ac:dyDescent="0.25">
      <c r="A19095" t="str">
        <f>"761540"</f>
        <v>761540</v>
      </c>
      <c r="B19095" t="s">
        <v>4007</v>
      </c>
      <c r="C19095" t="s">
        <v>2529</v>
      </c>
      <c r="D19095" s="21" t="s">
        <v>34</v>
      </c>
      <c r="E19095" s="21" t="s">
        <v>71</v>
      </c>
      <c r="F19095">
        <v>9760028</v>
      </c>
      <c r="G19095" t="s">
        <v>4086</v>
      </c>
      <c r="H19095" s="21">
        <v>763.67</v>
      </c>
    </row>
    <row r="19096" spans="1:8" customFormat="1" x14ac:dyDescent="0.25">
      <c r="A19096" t="str">
        <f>"3115516"</f>
        <v>3115516</v>
      </c>
      <c r="B19096" t="s">
        <v>16320</v>
      </c>
      <c r="C19096" t="s">
        <v>2752</v>
      </c>
      <c r="D19096" s="21" t="s">
        <v>34</v>
      </c>
      <c r="E19096" s="21" t="s">
        <v>35</v>
      </c>
      <c r="F19096">
        <v>11310124</v>
      </c>
      <c r="G19096" t="s">
        <v>7977</v>
      </c>
      <c r="H19096" s="21">
        <v>763.67</v>
      </c>
    </row>
    <row r="19097" spans="1:8" customFormat="1" x14ac:dyDescent="0.25">
      <c r="A19097" t="str">
        <f>"3415061"</f>
        <v>3415061</v>
      </c>
      <c r="B19097" t="s">
        <v>8455</v>
      </c>
      <c r="C19097" t="s">
        <v>601</v>
      </c>
      <c r="D19097" s="21" t="s">
        <v>34</v>
      </c>
      <c r="E19097" s="21" t="s">
        <v>35</v>
      </c>
      <c r="F19097">
        <v>11340059</v>
      </c>
      <c r="G19097" t="s">
        <v>10368</v>
      </c>
      <c r="H19097" s="21">
        <v>763.67</v>
      </c>
    </row>
    <row r="19098" spans="1:8" customFormat="1" x14ac:dyDescent="0.25">
      <c r="A19098" t="str">
        <f>"6011440"</f>
        <v>6011440</v>
      </c>
      <c r="B19098" t="s">
        <v>650</v>
      </c>
      <c r="C19098" t="s">
        <v>114</v>
      </c>
      <c r="D19098" s="21" t="s">
        <v>34</v>
      </c>
      <c r="E19098" s="21" t="s">
        <v>71</v>
      </c>
      <c r="F19098">
        <v>7600024</v>
      </c>
      <c r="G19098" t="s">
        <v>1234</v>
      </c>
      <c r="H19098" s="21">
        <v>763.67</v>
      </c>
    </row>
    <row r="19099" spans="1:8" customFormat="1" x14ac:dyDescent="0.25">
      <c r="A19099" t="str">
        <f>"884775"</f>
        <v>884775</v>
      </c>
      <c r="B19099" t="s">
        <v>15707</v>
      </c>
      <c r="C19099" t="s">
        <v>198</v>
      </c>
      <c r="D19099" s="21" t="s">
        <v>34</v>
      </c>
      <c r="E19099" s="21" t="s">
        <v>71</v>
      </c>
      <c r="F19099">
        <v>6880071</v>
      </c>
      <c r="G19099" t="s">
        <v>4226</v>
      </c>
      <c r="H19099" s="21">
        <v>763.67</v>
      </c>
    </row>
    <row r="19100" spans="1:8" customFormat="1" x14ac:dyDescent="0.25">
      <c r="A19100" t="str">
        <f>"1410982"</f>
        <v>1410982</v>
      </c>
      <c r="B19100" t="s">
        <v>2489</v>
      </c>
      <c r="C19100" t="s">
        <v>462</v>
      </c>
      <c r="D19100" s="21" t="s">
        <v>34</v>
      </c>
      <c r="E19100" s="21" t="s">
        <v>35</v>
      </c>
      <c r="F19100">
        <v>3290208</v>
      </c>
      <c r="G19100" t="s">
        <v>1553</v>
      </c>
      <c r="H19100" s="21">
        <v>763.67</v>
      </c>
    </row>
    <row r="19101" spans="1:8" customFormat="1" x14ac:dyDescent="0.25">
      <c r="A19101" t="str">
        <f>"759508"</f>
        <v>759508</v>
      </c>
      <c r="B19101" t="s">
        <v>14708</v>
      </c>
      <c r="C19101" t="s">
        <v>87</v>
      </c>
      <c r="D19101" s="21" t="s">
        <v>34</v>
      </c>
      <c r="E19101" s="21" t="s">
        <v>254</v>
      </c>
      <c r="F19101">
        <v>8751423</v>
      </c>
      <c r="G19101" t="s">
        <v>4556</v>
      </c>
      <c r="H19101" s="21">
        <v>763.67</v>
      </c>
    </row>
    <row r="19102" spans="1:8" customFormat="1" x14ac:dyDescent="0.25">
      <c r="A19102" t="str">
        <f>"9423682"</f>
        <v>9423682</v>
      </c>
      <c r="B19102" t="s">
        <v>15583</v>
      </c>
      <c r="C19102" t="s">
        <v>2520</v>
      </c>
      <c r="D19102" s="21" t="s">
        <v>34</v>
      </c>
      <c r="E19102" s="21" t="s">
        <v>71</v>
      </c>
      <c r="F19102">
        <v>8941100</v>
      </c>
      <c r="G19102" t="s">
        <v>4974</v>
      </c>
      <c r="H19102" s="21">
        <v>763.67</v>
      </c>
    </row>
    <row r="19103" spans="1:8" customFormat="1" x14ac:dyDescent="0.25">
      <c r="A19103" t="str">
        <f>"534664"</f>
        <v>534664</v>
      </c>
      <c r="B19103" t="s">
        <v>14651</v>
      </c>
      <c r="C19103" t="s">
        <v>267</v>
      </c>
      <c r="D19103" s="21" t="s">
        <v>34</v>
      </c>
      <c r="E19103" s="21" t="s">
        <v>1089</v>
      </c>
      <c r="F19103">
        <v>12530058</v>
      </c>
      <c r="G19103" t="s">
        <v>3128</v>
      </c>
      <c r="H19103" s="21">
        <v>763.67</v>
      </c>
    </row>
    <row r="19104" spans="1:8" customFormat="1" x14ac:dyDescent="0.25">
      <c r="A19104" t="str">
        <f>"62256"</f>
        <v>62256</v>
      </c>
      <c r="B19104" t="s">
        <v>12276</v>
      </c>
      <c r="C19104" t="s">
        <v>1705</v>
      </c>
      <c r="D19104" s="21" t="s">
        <v>34</v>
      </c>
      <c r="E19104" s="21" t="s">
        <v>254</v>
      </c>
      <c r="F19104">
        <v>13050013</v>
      </c>
      <c r="G19104" t="s">
        <v>6666</v>
      </c>
      <c r="H19104" s="21">
        <v>763.42</v>
      </c>
    </row>
    <row r="19105" spans="1:8" customFormat="1" x14ac:dyDescent="0.25">
      <c r="A19105" t="str">
        <f>"955933"</f>
        <v>955933</v>
      </c>
      <c r="B19105" t="s">
        <v>16793</v>
      </c>
      <c r="C19105" t="s">
        <v>239</v>
      </c>
      <c r="D19105" s="21" t="s">
        <v>34</v>
      </c>
      <c r="E19105" s="21" t="s">
        <v>254</v>
      </c>
      <c r="F19105">
        <v>8950479</v>
      </c>
      <c r="G19105" t="s">
        <v>728</v>
      </c>
      <c r="H19105" s="21">
        <v>763.42</v>
      </c>
    </row>
    <row r="19106" spans="1:8" customFormat="1" x14ac:dyDescent="0.25">
      <c r="A19106" t="str">
        <f>"3528784"</f>
        <v>3528784</v>
      </c>
      <c r="B19106" t="s">
        <v>2505</v>
      </c>
      <c r="C19106" t="s">
        <v>269</v>
      </c>
      <c r="D19106" s="21" t="s">
        <v>34</v>
      </c>
      <c r="E19106" s="21" t="s">
        <v>71</v>
      </c>
      <c r="F19106">
        <v>3350207</v>
      </c>
      <c r="G19106" t="s">
        <v>3668</v>
      </c>
      <c r="H19106" s="21">
        <v>763.29</v>
      </c>
    </row>
    <row r="19107" spans="1:8" customFormat="1" x14ac:dyDescent="0.25">
      <c r="A19107" t="str">
        <f>"6012659"</f>
        <v>6012659</v>
      </c>
      <c r="B19107" t="s">
        <v>16187</v>
      </c>
      <c r="C19107" t="s">
        <v>119</v>
      </c>
      <c r="D19107" s="21" t="s">
        <v>34</v>
      </c>
      <c r="E19107" s="21" t="s">
        <v>71</v>
      </c>
      <c r="F19107">
        <v>7600015</v>
      </c>
      <c r="G19107" t="s">
        <v>8343</v>
      </c>
      <c r="H19107" s="21">
        <v>763.29</v>
      </c>
    </row>
    <row r="19108" spans="1:8" customFormat="1" x14ac:dyDescent="0.25">
      <c r="A19108" t="str">
        <f>"197502"</f>
        <v>197502</v>
      </c>
      <c r="B19108" t="s">
        <v>1525</v>
      </c>
      <c r="C19108" t="s">
        <v>1714</v>
      </c>
      <c r="D19108" s="21" t="s">
        <v>34</v>
      </c>
      <c r="E19108" s="21" t="s">
        <v>35</v>
      </c>
      <c r="F19108">
        <v>10190129</v>
      </c>
      <c r="G19108" t="s">
        <v>16206</v>
      </c>
      <c r="H19108" s="21">
        <v>763.17</v>
      </c>
    </row>
    <row r="19109" spans="1:8" customFormat="1" x14ac:dyDescent="0.25">
      <c r="A19109" t="str">
        <f>"2715902"</f>
        <v>2715902</v>
      </c>
      <c r="B19109" t="s">
        <v>16104</v>
      </c>
      <c r="C19109" t="s">
        <v>428</v>
      </c>
      <c r="D19109" s="21" t="s">
        <v>34</v>
      </c>
      <c r="E19109" s="21" t="s">
        <v>254</v>
      </c>
      <c r="F19109">
        <v>9270069</v>
      </c>
      <c r="G19109" t="s">
        <v>3509</v>
      </c>
      <c r="H19109" s="21">
        <v>763.17</v>
      </c>
    </row>
    <row r="19110" spans="1:8" customFormat="1" x14ac:dyDescent="0.25">
      <c r="A19110" t="str">
        <f>"5021082"</f>
        <v>5021082</v>
      </c>
      <c r="B19110" t="s">
        <v>2505</v>
      </c>
      <c r="C19110" t="s">
        <v>119</v>
      </c>
      <c r="D19110" s="21" t="s">
        <v>34</v>
      </c>
      <c r="E19110" s="21" t="s">
        <v>35</v>
      </c>
      <c r="F19110">
        <v>9500112</v>
      </c>
      <c r="G19110" t="s">
        <v>1668</v>
      </c>
      <c r="H19110" s="21">
        <v>763.17</v>
      </c>
    </row>
    <row r="19111" spans="1:8" customFormat="1" x14ac:dyDescent="0.25">
      <c r="A19111" t="str">
        <f>"5921172"</f>
        <v>5921172</v>
      </c>
      <c r="B19111" t="s">
        <v>8784</v>
      </c>
      <c r="C19111" t="s">
        <v>267</v>
      </c>
      <c r="D19111" s="21" t="s">
        <v>34</v>
      </c>
      <c r="E19111" s="21" t="s">
        <v>71</v>
      </c>
      <c r="F19111">
        <v>7590250</v>
      </c>
      <c r="G19111" t="s">
        <v>13017</v>
      </c>
      <c r="H19111" s="21">
        <v>763.17</v>
      </c>
    </row>
    <row r="19112" spans="1:8" customFormat="1" x14ac:dyDescent="0.25">
      <c r="A19112" t="str">
        <f>"8018705"</f>
        <v>8018705</v>
      </c>
      <c r="B19112" t="s">
        <v>482</v>
      </c>
      <c r="C19112" t="s">
        <v>1474</v>
      </c>
      <c r="D19112" s="21" t="s">
        <v>34</v>
      </c>
      <c r="E19112" s="21" t="s">
        <v>35</v>
      </c>
      <c r="F19112">
        <v>7800125</v>
      </c>
      <c r="G19112" t="s">
        <v>11339</v>
      </c>
      <c r="H19112" s="21">
        <v>763.17</v>
      </c>
    </row>
    <row r="19113" spans="1:8" customFormat="1" x14ac:dyDescent="0.25">
      <c r="A19113" t="str">
        <f>"153905"</f>
        <v>153905</v>
      </c>
      <c r="B19113" t="s">
        <v>9305</v>
      </c>
      <c r="C19113" t="s">
        <v>16276</v>
      </c>
      <c r="D19113" s="21" t="s">
        <v>34</v>
      </c>
      <c r="E19113" s="21" t="s">
        <v>35</v>
      </c>
      <c r="F19113">
        <v>10190134</v>
      </c>
      <c r="G19113" t="s">
        <v>27150</v>
      </c>
      <c r="H19113" s="21">
        <v>763.17</v>
      </c>
    </row>
    <row r="19114" spans="1:8" customFormat="1" x14ac:dyDescent="0.25">
      <c r="A19114" t="str">
        <f>"087901"</f>
        <v>087901</v>
      </c>
      <c r="B19114" t="s">
        <v>11096</v>
      </c>
      <c r="C19114" t="s">
        <v>209</v>
      </c>
      <c r="D19114" s="21" t="s">
        <v>34</v>
      </c>
      <c r="E19114" s="21" t="s">
        <v>35</v>
      </c>
      <c r="F19114">
        <v>6080029</v>
      </c>
      <c r="G19114" t="s">
        <v>6788</v>
      </c>
      <c r="H19114" s="21">
        <v>763.17</v>
      </c>
    </row>
    <row r="19115" spans="1:8" customFormat="1" x14ac:dyDescent="0.25">
      <c r="A19115" t="str">
        <f>"318255"</f>
        <v>318255</v>
      </c>
      <c r="B19115" t="s">
        <v>15258</v>
      </c>
      <c r="C19115" t="s">
        <v>825</v>
      </c>
      <c r="D19115" s="21" t="s">
        <v>34</v>
      </c>
      <c r="E19115" s="21" t="s">
        <v>254</v>
      </c>
      <c r="F19115">
        <v>11310006</v>
      </c>
      <c r="G19115" t="s">
        <v>419</v>
      </c>
      <c r="H19115" s="21">
        <v>763.17</v>
      </c>
    </row>
    <row r="19116" spans="1:8" customFormat="1" x14ac:dyDescent="0.25">
      <c r="A19116" t="str">
        <f>"4457656"</f>
        <v>4457656</v>
      </c>
      <c r="B19116" t="s">
        <v>27555</v>
      </c>
      <c r="C19116" t="s">
        <v>462</v>
      </c>
      <c r="D19116" s="21" t="s">
        <v>34</v>
      </c>
      <c r="E19116" s="21" t="s">
        <v>71</v>
      </c>
      <c r="F19116">
        <v>12440139</v>
      </c>
      <c r="G19116" t="s">
        <v>2655</v>
      </c>
      <c r="H19116" s="21">
        <v>763.17</v>
      </c>
    </row>
    <row r="19117" spans="1:8" customFormat="1" x14ac:dyDescent="0.25">
      <c r="A19117" t="str">
        <f>"7846571"</f>
        <v>7846571</v>
      </c>
      <c r="B19117" t="s">
        <v>8226</v>
      </c>
      <c r="C19117" t="s">
        <v>139</v>
      </c>
      <c r="D19117" s="21" t="s">
        <v>34</v>
      </c>
      <c r="E19117" s="21" t="s">
        <v>35</v>
      </c>
      <c r="F19117">
        <v>8780002</v>
      </c>
      <c r="G19117" t="s">
        <v>2196</v>
      </c>
      <c r="H19117" s="21">
        <v>763.17</v>
      </c>
    </row>
    <row r="19118" spans="1:8" customFormat="1" x14ac:dyDescent="0.25">
      <c r="A19118" t="str">
        <f>"5320553"</f>
        <v>5320553</v>
      </c>
      <c r="B19118" t="s">
        <v>461</v>
      </c>
      <c r="C19118" t="s">
        <v>169</v>
      </c>
      <c r="D19118" s="21" t="s">
        <v>34</v>
      </c>
      <c r="E19118" s="21" t="s">
        <v>35</v>
      </c>
      <c r="F19118">
        <v>12530021</v>
      </c>
      <c r="G19118" t="s">
        <v>15713</v>
      </c>
      <c r="H19118" s="21">
        <v>763.17</v>
      </c>
    </row>
    <row r="19119" spans="1:8" customFormat="1" x14ac:dyDescent="0.25">
      <c r="A19119" t="str">
        <f>"836204"</f>
        <v>836204</v>
      </c>
      <c r="B19119" t="s">
        <v>26813</v>
      </c>
      <c r="C19119" t="s">
        <v>40</v>
      </c>
      <c r="D19119" s="21" t="s">
        <v>34</v>
      </c>
      <c r="E19119" s="21" t="s">
        <v>71</v>
      </c>
      <c r="F19119">
        <v>13830085</v>
      </c>
      <c r="G19119" t="s">
        <v>478</v>
      </c>
      <c r="H19119" s="21">
        <v>763.17</v>
      </c>
    </row>
    <row r="19120" spans="1:8" customFormat="1" x14ac:dyDescent="0.25">
      <c r="A19120" t="str">
        <f>"8522439"</f>
        <v>8522439</v>
      </c>
      <c r="B19120" t="s">
        <v>882</v>
      </c>
      <c r="C19120" t="s">
        <v>1559</v>
      </c>
      <c r="D19120" s="21" t="s">
        <v>34</v>
      </c>
      <c r="E19120" s="21" t="s">
        <v>35</v>
      </c>
      <c r="F19120">
        <v>12851018</v>
      </c>
      <c r="G19120" t="s">
        <v>8085</v>
      </c>
      <c r="H19120" s="21">
        <v>763.17</v>
      </c>
    </row>
    <row r="19121" spans="1:8" customFormat="1" x14ac:dyDescent="0.25">
      <c r="A19121" t="str">
        <f>"4423352"</f>
        <v>4423352</v>
      </c>
      <c r="B19121" t="s">
        <v>5583</v>
      </c>
      <c r="C19121" t="s">
        <v>239</v>
      </c>
      <c r="D19121" s="21" t="s">
        <v>34</v>
      </c>
      <c r="E19121" s="21" t="s">
        <v>1089</v>
      </c>
      <c r="F19121">
        <v>12440073</v>
      </c>
      <c r="G19121" t="s">
        <v>3492</v>
      </c>
      <c r="H19121" s="21">
        <v>762.92</v>
      </c>
    </row>
    <row r="19122" spans="1:8" customFormat="1" x14ac:dyDescent="0.25">
      <c r="A19122" t="str">
        <f>"4430929"</f>
        <v>4430929</v>
      </c>
      <c r="B19122" t="s">
        <v>15638</v>
      </c>
      <c r="C19122" t="s">
        <v>16838</v>
      </c>
      <c r="D19122" s="21" t="s">
        <v>34</v>
      </c>
      <c r="E19122" s="21" t="s">
        <v>35</v>
      </c>
      <c r="F19122">
        <v>12440028</v>
      </c>
      <c r="G19122" t="s">
        <v>1314</v>
      </c>
      <c r="H19122" s="21">
        <v>762.92</v>
      </c>
    </row>
    <row r="19123" spans="1:8" customFormat="1" x14ac:dyDescent="0.25">
      <c r="A19123" t="str">
        <f>"4936839"</f>
        <v>4936839</v>
      </c>
      <c r="B19123" t="s">
        <v>1626</v>
      </c>
      <c r="C19123" t="s">
        <v>171</v>
      </c>
      <c r="D19123" s="21" t="s">
        <v>34</v>
      </c>
      <c r="E19123" s="21" t="s">
        <v>35</v>
      </c>
      <c r="F19123">
        <v>12490124</v>
      </c>
      <c r="G19123" t="s">
        <v>677</v>
      </c>
      <c r="H19123" s="21">
        <v>762.92</v>
      </c>
    </row>
    <row r="19124" spans="1:8" customFormat="1" x14ac:dyDescent="0.25">
      <c r="A19124" t="str">
        <f>"198969"</f>
        <v>198969</v>
      </c>
      <c r="B19124" t="s">
        <v>15856</v>
      </c>
      <c r="C19124" t="s">
        <v>139</v>
      </c>
      <c r="D19124" s="21" t="s">
        <v>34</v>
      </c>
      <c r="E19124" s="21" t="s">
        <v>71</v>
      </c>
      <c r="F19124">
        <v>10190134</v>
      </c>
      <c r="G19124" t="s">
        <v>27150</v>
      </c>
      <c r="H19124" s="21">
        <v>762.79</v>
      </c>
    </row>
    <row r="19125" spans="1:8" customFormat="1" x14ac:dyDescent="0.25">
      <c r="A19125" t="str">
        <f>"8817455"</f>
        <v>8817455</v>
      </c>
      <c r="B19125" t="s">
        <v>1607</v>
      </c>
      <c r="C19125" t="s">
        <v>58</v>
      </c>
      <c r="D19125" s="21" t="s">
        <v>34</v>
      </c>
      <c r="E19125" s="21" t="s">
        <v>35</v>
      </c>
      <c r="F19125">
        <v>6880002</v>
      </c>
      <c r="G19125" t="s">
        <v>501</v>
      </c>
      <c r="H19125" s="21">
        <v>762.79</v>
      </c>
    </row>
    <row r="19126" spans="1:8" customFormat="1" x14ac:dyDescent="0.25">
      <c r="A19126" t="str">
        <f>"2111219"</f>
        <v>2111219</v>
      </c>
      <c r="B19126" t="s">
        <v>16208</v>
      </c>
      <c r="C19126" t="s">
        <v>16209</v>
      </c>
      <c r="D19126" s="21" t="s">
        <v>34</v>
      </c>
      <c r="E19126" s="21" t="s">
        <v>35</v>
      </c>
      <c r="F19126">
        <v>2210101</v>
      </c>
      <c r="G19126" t="s">
        <v>1374</v>
      </c>
      <c r="H19126" s="21">
        <v>762.67</v>
      </c>
    </row>
    <row r="19127" spans="1:8" customFormat="1" x14ac:dyDescent="0.25">
      <c r="A19127" t="str">
        <f>"036832"</f>
        <v>036832</v>
      </c>
      <c r="B19127" t="s">
        <v>5827</v>
      </c>
      <c r="C19127" t="s">
        <v>202</v>
      </c>
      <c r="D19127" s="21" t="s">
        <v>34</v>
      </c>
      <c r="E19127" s="21" t="s">
        <v>71</v>
      </c>
      <c r="F19127">
        <v>1030212</v>
      </c>
      <c r="G19127" t="s">
        <v>3479</v>
      </c>
      <c r="H19127" s="21">
        <v>762.67</v>
      </c>
    </row>
    <row r="19128" spans="1:8" customFormat="1" x14ac:dyDescent="0.25">
      <c r="A19128" t="str">
        <f>"0112520"</f>
        <v>0112520</v>
      </c>
      <c r="B19128" t="s">
        <v>16969</v>
      </c>
      <c r="C19128" t="s">
        <v>187</v>
      </c>
      <c r="D19128" s="21" t="s">
        <v>34</v>
      </c>
      <c r="E19128" s="21" t="s">
        <v>35</v>
      </c>
      <c r="F19128">
        <v>1010027</v>
      </c>
      <c r="G19128" t="s">
        <v>6318</v>
      </c>
      <c r="H19128" s="21">
        <v>762.67</v>
      </c>
    </row>
    <row r="19129" spans="1:8" customFormat="1" x14ac:dyDescent="0.25">
      <c r="A19129" t="str">
        <f>"429005"</f>
        <v>429005</v>
      </c>
      <c r="B19129" t="s">
        <v>14806</v>
      </c>
      <c r="C19129" t="s">
        <v>926</v>
      </c>
      <c r="D19129" s="21" t="s">
        <v>34</v>
      </c>
      <c r="E19129" s="21" t="s">
        <v>254</v>
      </c>
      <c r="F19129">
        <v>1420006</v>
      </c>
      <c r="G19129" t="s">
        <v>6019</v>
      </c>
      <c r="H19129" s="21">
        <v>762.67</v>
      </c>
    </row>
    <row r="19130" spans="1:8" customFormat="1" x14ac:dyDescent="0.25">
      <c r="A19130" t="str">
        <f>"021378"</f>
        <v>021378</v>
      </c>
      <c r="B19130" t="s">
        <v>14855</v>
      </c>
      <c r="C19130" t="s">
        <v>598</v>
      </c>
      <c r="D19130" s="21" t="s">
        <v>34</v>
      </c>
      <c r="E19130" s="21" t="s">
        <v>1089</v>
      </c>
      <c r="F19130">
        <v>7020065</v>
      </c>
      <c r="G19130" t="s">
        <v>4852</v>
      </c>
      <c r="H19130" s="21">
        <v>762.67</v>
      </c>
    </row>
    <row r="19131" spans="1:8" customFormat="1" x14ac:dyDescent="0.25">
      <c r="A19131" t="str">
        <f>"7634266"</f>
        <v>7634266</v>
      </c>
      <c r="B19131" t="s">
        <v>15505</v>
      </c>
      <c r="C19131" t="s">
        <v>267</v>
      </c>
      <c r="D19131" s="21" t="s">
        <v>34</v>
      </c>
      <c r="E19131" s="21" t="s">
        <v>254</v>
      </c>
      <c r="F19131">
        <v>9760230</v>
      </c>
      <c r="G19131" t="s">
        <v>12511</v>
      </c>
      <c r="H19131" s="21">
        <v>762.67</v>
      </c>
    </row>
    <row r="19132" spans="1:8" customFormat="1" x14ac:dyDescent="0.25">
      <c r="A19132" t="str">
        <f>"643181"</f>
        <v>643181</v>
      </c>
      <c r="B19132" t="s">
        <v>15957</v>
      </c>
      <c r="C19132" t="s">
        <v>55</v>
      </c>
      <c r="D19132" s="21" t="s">
        <v>34</v>
      </c>
      <c r="E19132" s="21" t="s">
        <v>35</v>
      </c>
      <c r="F19132">
        <v>10640013</v>
      </c>
      <c r="G19132" t="s">
        <v>4626</v>
      </c>
      <c r="H19132" s="21">
        <v>762.67</v>
      </c>
    </row>
    <row r="19133" spans="1:8" customFormat="1" x14ac:dyDescent="0.25">
      <c r="A19133" t="str">
        <f>"1416369"</f>
        <v>1416369</v>
      </c>
      <c r="B19133" t="s">
        <v>8875</v>
      </c>
      <c r="C19133" t="s">
        <v>926</v>
      </c>
      <c r="D19133" s="21" t="s">
        <v>34</v>
      </c>
      <c r="E19133" s="21" t="s">
        <v>35</v>
      </c>
      <c r="F19133">
        <v>3350183</v>
      </c>
      <c r="G19133" t="s">
        <v>2572</v>
      </c>
      <c r="H19133" s="21">
        <v>762.67</v>
      </c>
    </row>
    <row r="19134" spans="1:8" customFormat="1" x14ac:dyDescent="0.25">
      <c r="A19134" t="str">
        <f>"1419217"</f>
        <v>1419217</v>
      </c>
      <c r="B19134" t="s">
        <v>3000</v>
      </c>
      <c r="C19134" t="s">
        <v>2365</v>
      </c>
      <c r="D19134" s="21" t="s">
        <v>34</v>
      </c>
      <c r="E19134" s="21" t="s">
        <v>71</v>
      </c>
      <c r="F19134">
        <v>9140003</v>
      </c>
      <c r="G19134" t="s">
        <v>6152</v>
      </c>
      <c r="H19134" s="21">
        <v>762.67</v>
      </c>
    </row>
    <row r="19135" spans="1:8" customFormat="1" x14ac:dyDescent="0.25">
      <c r="A19135" t="str">
        <f>"5112718"</f>
        <v>5112718</v>
      </c>
      <c r="B19135" t="s">
        <v>392</v>
      </c>
      <c r="C19135" t="s">
        <v>62</v>
      </c>
      <c r="D19135" s="21" t="s">
        <v>34</v>
      </c>
      <c r="E19135" s="21" t="s">
        <v>35</v>
      </c>
      <c r="F19135">
        <v>6510053</v>
      </c>
      <c r="G19135" t="s">
        <v>27203</v>
      </c>
      <c r="H19135" s="21">
        <v>762.67</v>
      </c>
    </row>
    <row r="19136" spans="1:8" customFormat="1" x14ac:dyDescent="0.25">
      <c r="A19136" t="str">
        <f>"554332"</f>
        <v>554332</v>
      </c>
      <c r="B19136" t="s">
        <v>15790</v>
      </c>
      <c r="C19136" t="s">
        <v>40</v>
      </c>
      <c r="D19136" s="21" t="s">
        <v>34</v>
      </c>
      <c r="E19136" s="21" t="s">
        <v>71</v>
      </c>
      <c r="F19136">
        <v>6570015</v>
      </c>
      <c r="G19136" t="s">
        <v>749</v>
      </c>
      <c r="H19136" s="21">
        <v>762.67</v>
      </c>
    </row>
    <row r="19137" spans="1:8" customFormat="1" x14ac:dyDescent="0.25">
      <c r="A19137" t="str">
        <f>"5918481"</f>
        <v>5918481</v>
      </c>
      <c r="B19137" t="s">
        <v>1593</v>
      </c>
      <c r="C19137" t="s">
        <v>462</v>
      </c>
      <c r="D19137" s="21" t="s">
        <v>34</v>
      </c>
      <c r="E19137" s="21" t="s">
        <v>71</v>
      </c>
      <c r="F19137">
        <v>7590228</v>
      </c>
      <c r="G19137" t="s">
        <v>1798</v>
      </c>
      <c r="H19137" s="21">
        <v>762.67</v>
      </c>
    </row>
    <row r="19138" spans="1:8" customFormat="1" x14ac:dyDescent="0.25">
      <c r="A19138" t="str">
        <f>"3536063"</f>
        <v>3536063</v>
      </c>
      <c r="B19138" t="s">
        <v>27556</v>
      </c>
      <c r="C19138" t="s">
        <v>1402</v>
      </c>
      <c r="D19138" s="21" t="s">
        <v>34</v>
      </c>
      <c r="E19138" s="21" t="s">
        <v>35</v>
      </c>
      <c r="F19138">
        <v>3350125</v>
      </c>
      <c r="G19138" t="s">
        <v>16195</v>
      </c>
      <c r="H19138" s="21">
        <v>762.67</v>
      </c>
    </row>
    <row r="19139" spans="1:8" customFormat="1" x14ac:dyDescent="0.25">
      <c r="A19139" t="str">
        <f>"878113"</f>
        <v>878113</v>
      </c>
      <c r="B19139" t="s">
        <v>15647</v>
      </c>
      <c r="C19139" t="s">
        <v>33</v>
      </c>
      <c r="D19139" s="21" t="s">
        <v>34</v>
      </c>
      <c r="E19139" s="21" t="s">
        <v>35</v>
      </c>
      <c r="F19139">
        <v>10870130</v>
      </c>
      <c r="G19139" t="s">
        <v>7564</v>
      </c>
      <c r="H19139" s="21">
        <v>762.67</v>
      </c>
    </row>
    <row r="19140" spans="1:8" customFormat="1" x14ac:dyDescent="0.25">
      <c r="A19140" t="str">
        <f>"1425718"</f>
        <v>1425718</v>
      </c>
      <c r="B19140" t="s">
        <v>5416</v>
      </c>
      <c r="C19140" t="s">
        <v>263</v>
      </c>
      <c r="D19140" s="21" t="s">
        <v>34</v>
      </c>
      <c r="E19140" s="21" t="s">
        <v>71</v>
      </c>
      <c r="F19140">
        <v>9140235</v>
      </c>
      <c r="G19140" t="s">
        <v>165</v>
      </c>
      <c r="H19140" s="21">
        <v>762.67</v>
      </c>
    </row>
    <row r="19141" spans="1:8" customFormat="1" x14ac:dyDescent="0.25">
      <c r="A19141" t="str">
        <f>"0618282"</f>
        <v>0618282</v>
      </c>
      <c r="B19141" t="s">
        <v>3209</v>
      </c>
      <c r="C19141" t="s">
        <v>15934</v>
      </c>
      <c r="D19141" s="21" t="s">
        <v>34</v>
      </c>
      <c r="E19141" s="21" t="s">
        <v>35</v>
      </c>
      <c r="F19141">
        <v>13060066</v>
      </c>
      <c r="G19141" t="s">
        <v>2556</v>
      </c>
      <c r="H19141" s="21">
        <v>762.67</v>
      </c>
    </row>
    <row r="19142" spans="1:8" customFormat="1" x14ac:dyDescent="0.25">
      <c r="A19142" t="str">
        <f>"5413908"</f>
        <v>5413908</v>
      </c>
      <c r="B19142" t="s">
        <v>16096</v>
      </c>
      <c r="C19142" t="s">
        <v>209</v>
      </c>
      <c r="D19142" s="21" t="s">
        <v>34</v>
      </c>
      <c r="E19142" s="21" t="s">
        <v>35</v>
      </c>
      <c r="F19142">
        <v>6540082</v>
      </c>
      <c r="G19142" t="s">
        <v>9816</v>
      </c>
      <c r="H19142" s="21">
        <v>762.67</v>
      </c>
    </row>
    <row r="19143" spans="1:8" customFormat="1" x14ac:dyDescent="0.25">
      <c r="A19143" t="str">
        <f>"9751887"</f>
        <v>9751887</v>
      </c>
      <c r="B19143" t="s">
        <v>14993</v>
      </c>
      <c r="C19143" t="s">
        <v>1271</v>
      </c>
      <c r="D19143" s="21" t="s">
        <v>34</v>
      </c>
      <c r="E19143" s="21" t="s">
        <v>71</v>
      </c>
      <c r="F19143">
        <v>8940976</v>
      </c>
      <c r="G19143" t="s">
        <v>615</v>
      </c>
      <c r="H19143" s="21">
        <v>762.67</v>
      </c>
    </row>
    <row r="19144" spans="1:8" customFormat="1" x14ac:dyDescent="0.25">
      <c r="A19144" t="str">
        <f>"4936376"</f>
        <v>4936376</v>
      </c>
      <c r="B19144" t="s">
        <v>7015</v>
      </c>
      <c r="C19144" t="s">
        <v>98</v>
      </c>
      <c r="D19144" s="21" t="s">
        <v>34</v>
      </c>
      <c r="E19144" s="21" t="s">
        <v>35</v>
      </c>
      <c r="F19144">
        <v>12490052</v>
      </c>
      <c r="G19144" t="s">
        <v>2732</v>
      </c>
      <c r="H19144" s="21">
        <v>762.5</v>
      </c>
    </row>
    <row r="19145" spans="1:8" customFormat="1" x14ac:dyDescent="0.25">
      <c r="A19145" t="str">
        <f>"9238891"</f>
        <v>9238891</v>
      </c>
      <c r="B19145" t="s">
        <v>8415</v>
      </c>
      <c r="C19145" t="s">
        <v>453</v>
      </c>
      <c r="D19145" s="21" t="s">
        <v>34</v>
      </c>
      <c r="E19145" s="21" t="s">
        <v>254</v>
      </c>
      <c r="F19145">
        <v>8920018</v>
      </c>
      <c r="G19145" t="s">
        <v>1281</v>
      </c>
      <c r="H19145" s="21">
        <v>762.42</v>
      </c>
    </row>
    <row r="19146" spans="1:8" customFormat="1" x14ac:dyDescent="0.25">
      <c r="A19146" t="str">
        <f>"6720721"</f>
        <v>6720721</v>
      </c>
      <c r="B19146" t="s">
        <v>8880</v>
      </c>
      <c r="C19146" t="s">
        <v>60</v>
      </c>
      <c r="D19146" s="21" t="s">
        <v>34</v>
      </c>
      <c r="E19146" s="21" t="s">
        <v>35</v>
      </c>
      <c r="F19146">
        <v>6670027</v>
      </c>
      <c r="G19146" t="s">
        <v>2791</v>
      </c>
      <c r="H19146" s="21">
        <v>762.17</v>
      </c>
    </row>
    <row r="19147" spans="1:8" customFormat="1" x14ac:dyDescent="0.25">
      <c r="A19147" t="str">
        <f>"514917"</f>
        <v>514917</v>
      </c>
      <c r="B19147" t="s">
        <v>9536</v>
      </c>
      <c r="C19147" t="s">
        <v>55</v>
      </c>
      <c r="D19147" s="21" t="s">
        <v>34</v>
      </c>
      <c r="E19147" s="21" t="s">
        <v>35</v>
      </c>
      <c r="F19147">
        <v>6510004</v>
      </c>
      <c r="G19147" t="s">
        <v>9465</v>
      </c>
      <c r="H19147" s="21">
        <v>762.17</v>
      </c>
    </row>
    <row r="19148" spans="1:8" customFormat="1" x14ac:dyDescent="0.25">
      <c r="A19148" t="str">
        <f>"5421353"</f>
        <v>5421353</v>
      </c>
      <c r="B19148" t="s">
        <v>16991</v>
      </c>
      <c r="C19148" t="s">
        <v>328</v>
      </c>
      <c r="D19148" s="21" t="s">
        <v>34</v>
      </c>
      <c r="E19148" s="21" t="s">
        <v>35</v>
      </c>
      <c r="F19148">
        <v>6540194</v>
      </c>
      <c r="G19148" t="s">
        <v>7171</v>
      </c>
      <c r="H19148" s="21">
        <v>762.17</v>
      </c>
    </row>
    <row r="19149" spans="1:8" customFormat="1" x14ac:dyDescent="0.25">
      <c r="A19149" t="str">
        <f>"4428214"</f>
        <v>4428214</v>
      </c>
      <c r="B19149" t="s">
        <v>2231</v>
      </c>
      <c r="C19149" t="s">
        <v>209</v>
      </c>
      <c r="D19149" s="21" t="s">
        <v>34</v>
      </c>
      <c r="E19149" s="21" t="s">
        <v>35</v>
      </c>
      <c r="F19149">
        <v>12440032</v>
      </c>
      <c r="G19149" t="s">
        <v>9296</v>
      </c>
      <c r="H19149" s="21">
        <v>762.17</v>
      </c>
    </row>
    <row r="19150" spans="1:8" customFormat="1" x14ac:dyDescent="0.25">
      <c r="A19150" t="str">
        <f>"7211821"</f>
        <v>7211821</v>
      </c>
      <c r="B19150" t="s">
        <v>461</v>
      </c>
      <c r="C19150" t="s">
        <v>87</v>
      </c>
      <c r="D19150" s="21" t="s">
        <v>34</v>
      </c>
      <c r="E19150" s="21" t="s">
        <v>35</v>
      </c>
      <c r="F19150">
        <v>12720062</v>
      </c>
      <c r="G19150" t="s">
        <v>4026</v>
      </c>
      <c r="H19150" s="21">
        <v>762.17</v>
      </c>
    </row>
    <row r="19151" spans="1:8" customFormat="1" x14ac:dyDescent="0.25">
      <c r="A19151" t="str">
        <f>"9525992"</f>
        <v>9525992</v>
      </c>
      <c r="B19151" t="s">
        <v>765</v>
      </c>
      <c r="C19151" t="s">
        <v>576</v>
      </c>
      <c r="D19151" s="21" t="s">
        <v>34</v>
      </c>
      <c r="E19151" s="21" t="s">
        <v>35</v>
      </c>
      <c r="F19151">
        <v>8950022</v>
      </c>
      <c r="G19151" t="s">
        <v>2785</v>
      </c>
      <c r="H19151" s="21">
        <v>762.17</v>
      </c>
    </row>
    <row r="19152" spans="1:8" customFormat="1" x14ac:dyDescent="0.25">
      <c r="A19152" t="str">
        <f>"2916385"</f>
        <v>2916385</v>
      </c>
      <c r="B19152" t="s">
        <v>16437</v>
      </c>
      <c r="C19152" t="s">
        <v>598</v>
      </c>
      <c r="D19152" s="21" t="s">
        <v>34</v>
      </c>
      <c r="E19152" s="21" t="s">
        <v>71</v>
      </c>
      <c r="F19152">
        <v>3290039</v>
      </c>
      <c r="G19152" t="s">
        <v>3988</v>
      </c>
      <c r="H19152" s="21">
        <v>762.17</v>
      </c>
    </row>
    <row r="19153" spans="1:8" customFormat="1" x14ac:dyDescent="0.25">
      <c r="A19153" t="str">
        <f>"1713014"</f>
        <v>1713014</v>
      </c>
      <c r="B19153" t="s">
        <v>14767</v>
      </c>
      <c r="C19153" t="s">
        <v>263</v>
      </c>
      <c r="D19153" s="21" t="s">
        <v>34</v>
      </c>
      <c r="E19153" s="21" t="s">
        <v>71</v>
      </c>
      <c r="F19153">
        <v>10170012</v>
      </c>
      <c r="G19153" t="s">
        <v>14768</v>
      </c>
      <c r="H19153" s="21">
        <v>762.17</v>
      </c>
    </row>
    <row r="19154" spans="1:8" customFormat="1" x14ac:dyDescent="0.25">
      <c r="A19154" t="str">
        <f>"037117"</f>
        <v>037117</v>
      </c>
      <c r="B19154" t="s">
        <v>11281</v>
      </c>
      <c r="C19154" t="s">
        <v>2520</v>
      </c>
      <c r="D19154" s="21" t="s">
        <v>34</v>
      </c>
      <c r="E19154" s="21" t="s">
        <v>254</v>
      </c>
      <c r="F19154">
        <v>1030291</v>
      </c>
      <c r="G19154" t="s">
        <v>14963</v>
      </c>
      <c r="H19154" s="21">
        <v>762.17</v>
      </c>
    </row>
    <row r="19155" spans="1:8" customFormat="1" x14ac:dyDescent="0.25">
      <c r="A19155" t="str">
        <f>"7642940"</f>
        <v>7642940</v>
      </c>
      <c r="B19155" t="s">
        <v>185</v>
      </c>
      <c r="C19155" t="s">
        <v>209</v>
      </c>
      <c r="D19155" s="21" t="s">
        <v>34</v>
      </c>
      <c r="E19155" s="21" t="s">
        <v>71</v>
      </c>
      <c r="F19155">
        <v>9760041</v>
      </c>
      <c r="G19155" t="s">
        <v>452</v>
      </c>
      <c r="H19155" s="21">
        <v>762.17</v>
      </c>
    </row>
    <row r="19156" spans="1:8" customFormat="1" x14ac:dyDescent="0.25">
      <c r="A19156" t="str">
        <f>"8520886"</f>
        <v>8520886</v>
      </c>
      <c r="B19156" t="s">
        <v>890</v>
      </c>
      <c r="C19156" t="s">
        <v>328</v>
      </c>
      <c r="D19156" s="21" t="s">
        <v>34</v>
      </c>
      <c r="E19156" s="21" t="s">
        <v>35</v>
      </c>
      <c r="F19156">
        <v>12490026</v>
      </c>
      <c r="G19156" t="s">
        <v>6274</v>
      </c>
      <c r="H19156" s="21">
        <v>762.17</v>
      </c>
    </row>
    <row r="19157" spans="1:8" customFormat="1" x14ac:dyDescent="0.25">
      <c r="A19157" t="str">
        <f>"875919"</f>
        <v>875919</v>
      </c>
      <c r="B19157" t="s">
        <v>4352</v>
      </c>
      <c r="C19157" t="s">
        <v>712</v>
      </c>
      <c r="D19157" s="21" t="s">
        <v>34</v>
      </c>
      <c r="E19157" s="21" t="s">
        <v>35</v>
      </c>
      <c r="F19157">
        <v>10870007</v>
      </c>
      <c r="G19157" t="s">
        <v>8903</v>
      </c>
      <c r="H19157" s="21">
        <v>762.17</v>
      </c>
    </row>
    <row r="19158" spans="1:8" customFormat="1" x14ac:dyDescent="0.25">
      <c r="A19158" t="str">
        <f>"256324"</f>
        <v>256324</v>
      </c>
      <c r="B19158" t="s">
        <v>13861</v>
      </c>
      <c r="C19158" t="s">
        <v>926</v>
      </c>
      <c r="D19158" s="21" t="s">
        <v>34</v>
      </c>
      <c r="E19158" s="21" t="s">
        <v>254</v>
      </c>
      <c r="F19158">
        <v>2250052</v>
      </c>
      <c r="G19158" t="s">
        <v>5443</v>
      </c>
      <c r="H19158" s="21">
        <v>762.17</v>
      </c>
    </row>
    <row r="19159" spans="1:8" customFormat="1" x14ac:dyDescent="0.25">
      <c r="A19159" t="str">
        <f>"0115172"</f>
        <v>0115172</v>
      </c>
      <c r="B19159" t="s">
        <v>17905</v>
      </c>
      <c r="C19159" t="s">
        <v>462</v>
      </c>
      <c r="D19159" s="21" t="s">
        <v>34</v>
      </c>
      <c r="E19159" s="21" t="s">
        <v>71</v>
      </c>
      <c r="F19159">
        <v>1010069</v>
      </c>
      <c r="G19159" t="s">
        <v>1707</v>
      </c>
      <c r="H19159" s="21">
        <v>761.92</v>
      </c>
    </row>
    <row r="19160" spans="1:8" customFormat="1" x14ac:dyDescent="0.25">
      <c r="A19160" t="str">
        <f>"3716964"</f>
        <v>3716964</v>
      </c>
      <c r="B19160" t="s">
        <v>16162</v>
      </c>
      <c r="C19160" t="s">
        <v>40</v>
      </c>
      <c r="D19160" s="21" t="s">
        <v>34</v>
      </c>
      <c r="E19160" s="21" t="s">
        <v>71</v>
      </c>
      <c r="F19160">
        <v>4370709</v>
      </c>
      <c r="G19160" t="s">
        <v>5714</v>
      </c>
      <c r="H19160" s="21">
        <v>761.92</v>
      </c>
    </row>
    <row r="19161" spans="1:8" customFormat="1" x14ac:dyDescent="0.25">
      <c r="A19161" t="str">
        <f>"3313293"</f>
        <v>3313293</v>
      </c>
      <c r="B19161" t="s">
        <v>14569</v>
      </c>
      <c r="C19161" t="s">
        <v>144</v>
      </c>
      <c r="D19161" s="21" t="s">
        <v>34</v>
      </c>
      <c r="E19161" s="21" t="s">
        <v>71</v>
      </c>
      <c r="F19161">
        <v>10330020</v>
      </c>
      <c r="G19161" t="s">
        <v>7481</v>
      </c>
      <c r="H19161" s="21">
        <v>761.92</v>
      </c>
    </row>
    <row r="19162" spans="1:8" customFormat="1" x14ac:dyDescent="0.25">
      <c r="A19162" t="str">
        <f>"3720063"</f>
        <v>3720063</v>
      </c>
      <c r="B19162" t="s">
        <v>15500</v>
      </c>
      <c r="C19162" t="s">
        <v>822</v>
      </c>
      <c r="D19162" s="21" t="s">
        <v>34</v>
      </c>
      <c r="E19162" s="21" t="s">
        <v>1089</v>
      </c>
      <c r="F19162">
        <v>4370269</v>
      </c>
      <c r="G19162" t="s">
        <v>4277</v>
      </c>
      <c r="H19162" s="21">
        <v>761.79</v>
      </c>
    </row>
    <row r="19163" spans="1:8" customFormat="1" x14ac:dyDescent="0.25">
      <c r="A19163" t="str">
        <f>"9237468"</f>
        <v>9237468</v>
      </c>
      <c r="B19163" t="s">
        <v>5839</v>
      </c>
      <c r="C19163" t="s">
        <v>288</v>
      </c>
      <c r="D19163" s="21" t="s">
        <v>34</v>
      </c>
      <c r="E19163" s="21" t="s">
        <v>71</v>
      </c>
      <c r="F19163">
        <v>8920389</v>
      </c>
      <c r="G19163" t="s">
        <v>1739</v>
      </c>
      <c r="H19163" s="21">
        <v>761.79</v>
      </c>
    </row>
    <row r="19164" spans="1:8" customFormat="1" x14ac:dyDescent="0.25">
      <c r="A19164" t="str">
        <f>"418266"</f>
        <v>418266</v>
      </c>
      <c r="B19164" t="s">
        <v>16068</v>
      </c>
      <c r="C19164" t="s">
        <v>1714</v>
      </c>
      <c r="D19164" s="21" t="s">
        <v>34</v>
      </c>
      <c r="E19164" s="21" t="s">
        <v>254</v>
      </c>
      <c r="F19164">
        <v>4410537</v>
      </c>
      <c r="G19164" t="s">
        <v>6515</v>
      </c>
      <c r="H19164" s="21">
        <v>761.79</v>
      </c>
    </row>
    <row r="19165" spans="1:8" customFormat="1" x14ac:dyDescent="0.25">
      <c r="A19165" t="str">
        <f>"4425257"</f>
        <v>4425257</v>
      </c>
      <c r="B19165" t="s">
        <v>16631</v>
      </c>
      <c r="C19165" t="s">
        <v>7923</v>
      </c>
      <c r="D19165" s="21" t="s">
        <v>34</v>
      </c>
      <c r="E19165" s="21" t="s">
        <v>71</v>
      </c>
      <c r="F19165">
        <v>12440056</v>
      </c>
      <c r="G19165" t="s">
        <v>2037</v>
      </c>
      <c r="H19165" s="21">
        <v>761.67</v>
      </c>
    </row>
    <row r="19166" spans="1:8" customFormat="1" x14ac:dyDescent="0.25">
      <c r="A19166" t="str">
        <f>"7712593"</f>
        <v>7712593</v>
      </c>
      <c r="B19166" t="s">
        <v>8783</v>
      </c>
      <c r="C19166" t="s">
        <v>3905</v>
      </c>
      <c r="D19166" s="21" t="s">
        <v>34</v>
      </c>
      <c r="E19166" s="21" t="s">
        <v>254</v>
      </c>
      <c r="F19166">
        <v>8770166</v>
      </c>
      <c r="G19166" t="s">
        <v>653</v>
      </c>
      <c r="H19166" s="21">
        <v>761.67</v>
      </c>
    </row>
    <row r="19167" spans="1:8" customFormat="1" x14ac:dyDescent="0.25">
      <c r="A19167" t="str">
        <f>"863448"</f>
        <v>863448</v>
      </c>
      <c r="B19167" t="s">
        <v>16087</v>
      </c>
      <c r="C19167" t="s">
        <v>269</v>
      </c>
      <c r="D19167" s="21" t="s">
        <v>34</v>
      </c>
      <c r="E19167" s="21" t="s">
        <v>71</v>
      </c>
      <c r="F19167">
        <v>10860084</v>
      </c>
      <c r="G19167" t="s">
        <v>7471</v>
      </c>
      <c r="H19167" s="21">
        <v>761.67</v>
      </c>
    </row>
    <row r="19168" spans="1:8" customFormat="1" x14ac:dyDescent="0.25">
      <c r="A19168" t="str">
        <f>"8814798"</f>
        <v>8814798</v>
      </c>
      <c r="B19168" t="s">
        <v>15779</v>
      </c>
      <c r="C19168" t="s">
        <v>379</v>
      </c>
      <c r="D19168" s="21" t="s">
        <v>34</v>
      </c>
      <c r="E19168" s="21" t="s">
        <v>35</v>
      </c>
      <c r="F19168">
        <v>6880021</v>
      </c>
      <c r="G19168" t="s">
        <v>15780</v>
      </c>
      <c r="H19168" s="21">
        <v>761.67</v>
      </c>
    </row>
    <row r="19169" spans="1:8" customFormat="1" x14ac:dyDescent="0.25">
      <c r="A19169" t="str">
        <f>"9418626"</f>
        <v>9418626</v>
      </c>
      <c r="B19169" t="s">
        <v>2398</v>
      </c>
      <c r="C19169" t="s">
        <v>209</v>
      </c>
      <c r="D19169" s="21" t="s">
        <v>34</v>
      </c>
      <c r="E19169" s="21" t="s">
        <v>35</v>
      </c>
      <c r="F19169">
        <v>8780935</v>
      </c>
      <c r="G19169" t="s">
        <v>1944</v>
      </c>
      <c r="H19169" s="21">
        <v>761.67</v>
      </c>
    </row>
    <row r="19170" spans="1:8" customFormat="1" x14ac:dyDescent="0.25">
      <c r="A19170" t="str">
        <f>"7632983"</f>
        <v>7632983</v>
      </c>
      <c r="B19170" t="s">
        <v>503</v>
      </c>
      <c r="C19170" t="s">
        <v>62</v>
      </c>
      <c r="D19170" s="21" t="s">
        <v>34</v>
      </c>
      <c r="E19170" s="21" t="s">
        <v>35</v>
      </c>
      <c r="F19170">
        <v>9760420</v>
      </c>
      <c r="G19170" t="s">
        <v>11290</v>
      </c>
      <c r="H19170" s="21">
        <v>761.67</v>
      </c>
    </row>
    <row r="19171" spans="1:8" customFormat="1" x14ac:dyDescent="0.25">
      <c r="A19171" t="str">
        <f>"7222201"</f>
        <v>7222201</v>
      </c>
      <c r="B19171" t="s">
        <v>11402</v>
      </c>
      <c r="C19171" t="s">
        <v>151</v>
      </c>
      <c r="D19171" s="21" t="s">
        <v>34</v>
      </c>
      <c r="E19171" s="21" t="s">
        <v>35</v>
      </c>
      <c r="F19171">
        <v>12720045</v>
      </c>
      <c r="G19171" t="s">
        <v>2484</v>
      </c>
      <c r="H19171" s="21">
        <v>761.67</v>
      </c>
    </row>
    <row r="19172" spans="1:8" customFormat="1" x14ac:dyDescent="0.25">
      <c r="A19172" t="str">
        <f>"7729923"</f>
        <v>7729923</v>
      </c>
      <c r="B19172" t="s">
        <v>8662</v>
      </c>
      <c r="C19172" t="s">
        <v>3073</v>
      </c>
      <c r="D19172" s="21" t="s">
        <v>34</v>
      </c>
      <c r="E19172" s="21" t="s">
        <v>71</v>
      </c>
      <c r="F19172">
        <v>8771448</v>
      </c>
      <c r="G19172" t="s">
        <v>11540</v>
      </c>
      <c r="H19172" s="21">
        <v>761.67</v>
      </c>
    </row>
    <row r="19173" spans="1:8" customFormat="1" x14ac:dyDescent="0.25">
      <c r="A19173" t="str">
        <f>"4422558"</f>
        <v>4422558</v>
      </c>
      <c r="B19173" t="s">
        <v>13529</v>
      </c>
      <c r="C19173" t="s">
        <v>33</v>
      </c>
      <c r="D19173" s="21" t="s">
        <v>34</v>
      </c>
      <c r="E19173" s="21" t="s">
        <v>71</v>
      </c>
      <c r="F19173">
        <v>12440236</v>
      </c>
      <c r="G19173" t="s">
        <v>27164</v>
      </c>
      <c r="H19173" s="21">
        <v>761.67</v>
      </c>
    </row>
    <row r="19174" spans="1:8" customFormat="1" x14ac:dyDescent="0.25">
      <c r="A19174" t="str">
        <f>"685888"</f>
        <v>685888</v>
      </c>
      <c r="B19174" t="s">
        <v>850</v>
      </c>
      <c r="C19174" t="s">
        <v>249</v>
      </c>
      <c r="D19174" s="21" t="s">
        <v>34</v>
      </c>
      <c r="E19174" s="21" t="s">
        <v>71</v>
      </c>
      <c r="F19174">
        <v>6680130</v>
      </c>
      <c r="G19174" t="s">
        <v>26772</v>
      </c>
      <c r="H19174" s="21">
        <v>761.67</v>
      </c>
    </row>
    <row r="19175" spans="1:8" customFormat="1" x14ac:dyDescent="0.25">
      <c r="A19175" t="str">
        <f>"5315659"</f>
        <v>5315659</v>
      </c>
      <c r="B19175" t="s">
        <v>15456</v>
      </c>
      <c r="C19175" t="s">
        <v>812</v>
      </c>
      <c r="D19175" s="21" t="s">
        <v>34</v>
      </c>
      <c r="E19175" s="21" t="s">
        <v>35</v>
      </c>
      <c r="F19175">
        <v>12720071</v>
      </c>
      <c r="G19175" t="s">
        <v>783</v>
      </c>
      <c r="H19175" s="21">
        <v>761.67</v>
      </c>
    </row>
    <row r="19176" spans="1:8" customFormat="1" x14ac:dyDescent="0.25">
      <c r="A19176" t="str">
        <f>"5952946"</f>
        <v>5952946</v>
      </c>
      <c r="B19176" t="s">
        <v>13961</v>
      </c>
      <c r="C19176" t="s">
        <v>239</v>
      </c>
      <c r="D19176" s="21" t="s">
        <v>34</v>
      </c>
      <c r="E19176" s="21" t="s">
        <v>1089</v>
      </c>
      <c r="F19176">
        <v>7590400</v>
      </c>
      <c r="G19176" t="s">
        <v>26692</v>
      </c>
      <c r="H19176" s="21">
        <v>761.67</v>
      </c>
    </row>
    <row r="19177" spans="1:8" customFormat="1" x14ac:dyDescent="0.25">
      <c r="A19177" t="str">
        <f>"715973"</f>
        <v>715973</v>
      </c>
      <c r="B19177" t="s">
        <v>16945</v>
      </c>
      <c r="C19177" t="s">
        <v>40</v>
      </c>
      <c r="D19177" s="21" t="s">
        <v>34</v>
      </c>
      <c r="E19177" s="21" t="s">
        <v>71</v>
      </c>
      <c r="F19177">
        <v>2710041</v>
      </c>
      <c r="G19177" t="s">
        <v>389</v>
      </c>
      <c r="H19177" s="21">
        <v>761.67</v>
      </c>
    </row>
    <row r="19178" spans="1:8" customFormat="1" x14ac:dyDescent="0.25">
      <c r="A19178" t="str">
        <f>"569380"</f>
        <v>569380</v>
      </c>
      <c r="B19178" t="s">
        <v>11376</v>
      </c>
      <c r="C19178" t="s">
        <v>211</v>
      </c>
      <c r="D19178" s="21" t="s">
        <v>34</v>
      </c>
      <c r="E19178" s="21" t="s">
        <v>71</v>
      </c>
      <c r="F19178">
        <v>3560050</v>
      </c>
      <c r="G19178" t="s">
        <v>5322</v>
      </c>
      <c r="H19178" s="21">
        <v>761.67</v>
      </c>
    </row>
    <row r="19179" spans="1:8" customFormat="1" x14ac:dyDescent="0.25">
      <c r="A19179" t="str">
        <f>"4433944"</f>
        <v>4433944</v>
      </c>
      <c r="B19179" t="s">
        <v>16812</v>
      </c>
      <c r="C19179" t="s">
        <v>16813</v>
      </c>
      <c r="D19179" s="21" t="s">
        <v>34</v>
      </c>
      <c r="E19179" s="21" t="s">
        <v>254</v>
      </c>
      <c r="F19179">
        <v>12440084</v>
      </c>
      <c r="G19179" t="s">
        <v>1014</v>
      </c>
      <c r="H19179" s="21">
        <v>761.67</v>
      </c>
    </row>
    <row r="19180" spans="1:8" customFormat="1" x14ac:dyDescent="0.25">
      <c r="A19180" t="str">
        <f>"9138949"</f>
        <v>9138949</v>
      </c>
      <c r="B19180" t="s">
        <v>27557</v>
      </c>
      <c r="C19180" t="s">
        <v>3393</v>
      </c>
      <c r="D19180" s="21" t="s">
        <v>34</v>
      </c>
      <c r="E19180" s="21" t="s">
        <v>35</v>
      </c>
      <c r="F19180">
        <v>8780107</v>
      </c>
      <c r="G19180" t="s">
        <v>4186</v>
      </c>
      <c r="H19180" s="21">
        <v>761.67</v>
      </c>
    </row>
    <row r="19181" spans="1:8" customFormat="1" x14ac:dyDescent="0.25">
      <c r="A19181" t="str">
        <f>"5957458"</f>
        <v>5957458</v>
      </c>
      <c r="B19181" t="s">
        <v>11134</v>
      </c>
      <c r="C19181" t="s">
        <v>285</v>
      </c>
      <c r="D19181" s="21" t="s">
        <v>34</v>
      </c>
      <c r="E19181" s="21" t="s">
        <v>35</v>
      </c>
      <c r="F19181">
        <v>7590102</v>
      </c>
      <c r="G19181" t="s">
        <v>1091</v>
      </c>
      <c r="H19181" s="21">
        <v>761.67</v>
      </c>
    </row>
    <row r="19182" spans="1:8" customFormat="1" x14ac:dyDescent="0.25">
      <c r="A19182" t="str">
        <f>"5961511"</f>
        <v>5961511</v>
      </c>
      <c r="B19182" t="s">
        <v>15162</v>
      </c>
      <c r="C19182" t="s">
        <v>33</v>
      </c>
      <c r="D19182" s="21" t="s">
        <v>34</v>
      </c>
      <c r="E19182" s="21" t="s">
        <v>35</v>
      </c>
      <c r="F19182">
        <v>7590055</v>
      </c>
      <c r="G19182" t="s">
        <v>1573</v>
      </c>
      <c r="H19182" s="21">
        <v>761.67</v>
      </c>
    </row>
    <row r="19183" spans="1:8" customFormat="1" x14ac:dyDescent="0.25">
      <c r="A19183" t="str">
        <f>"606065"</f>
        <v>606065</v>
      </c>
      <c r="B19183" t="s">
        <v>16463</v>
      </c>
      <c r="C19183" t="s">
        <v>323</v>
      </c>
      <c r="D19183" s="21" t="s">
        <v>34</v>
      </c>
      <c r="E19183" s="21" t="s">
        <v>254</v>
      </c>
      <c r="F19183">
        <v>7600114</v>
      </c>
      <c r="G19183" t="s">
        <v>4584</v>
      </c>
      <c r="H19183" s="21">
        <v>761.67</v>
      </c>
    </row>
    <row r="19184" spans="1:8" customFormat="1" x14ac:dyDescent="0.25">
      <c r="A19184" t="str">
        <f>"608516"</f>
        <v>608516</v>
      </c>
      <c r="B19184" t="s">
        <v>14129</v>
      </c>
      <c r="C19184" t="s">
        <v>249</v>
      </c>
      <c r="D19184" s="21" t="s">
        <v>34</v>
      </c>
      <c r="E19184" s="21" t="s">
        <v>71</v>
      </c>
      <c r="F19184">
        <v>7600112</v>
      </c>
      <c r="G19184" t="s">
        <v>9272</v>
      </c>
      <c r="H19184" s="21">
        <v>761.67</v>
      </c>
    </row>
    <row r="19185" spans="1:8" customFormat="1" x14ac:dyDescent="0.25">
      <c r="A19185" t="str">
        <f>"7828873"</f>
        <v>7828873</v>
      </c>
      <c r="B19185" t="s">
        <v>12925</v>
      </c>
      <c r="C19185" t="s">
        <v>124</v>
      </c>
      <c r="D19185" s="21" t="s">
        <v>34</v>
      </c>
      <c r="E19185" s="21" t="s">
        <v>71</v>
      </c>
      <c r="F19185">
        <v>8780585</v>
      </c>
      <c r="G19185" t="s">
        <v>4630</v>
      </c>
      <c r="H19185" s="21">
        <v>761.67</v>
      </c>
    </row>
    <row r="19186" spans="1:8" customFormat="1" x14ac:dyDescent="0.25">
      <c r="A19186" t="str">
        <f>"639708"</f>
        <v>639708</v>
      </c>
      <c r="B19186" t="s">
        <v>24593</v>
      </c>
      <c r="C19186" t="s">
        <v>60</v>
      </c>
      <c r="D19186" s="21" t="s">
        <v>34</v>
      </c>
      <c r="E19186" s="21" t="s">
        <v>35</v>
      </c>
      <c r="F19186">
        <v>1630249</v>
      </c>
      <c r="G19186" t="s">
        <v>1237</v>
      </c>
      <c r="H19186" s="21">
        <v>761.67</v>
      </c>
    </row>
    <row r="19187" spans="1:8" customFormat="1" x14ac:dyDescent="0.25">
      <c r="A19187" t="str">
        <f>"8527204"</f>
        <v>8527204</v>
      </c>
      <c r="B19187" t="s">
        <v>461</v>
      </c>
      <c r="C19187" t="s">
        <v>43</v>
      </c>
      <c r="D19187" s="21" t="s">
        <v>34</v>
      </c>
      <c r="E19187" s="21" t="s">
        <v>35</v>
      </c>
      <c r="F19187">
        <v>12850026</v>
      </c>
      <c r="G19187" t="s">
        <v>1400</v>
      </c>
      <c r="H19187" s="21">
        <v>761.67</v>
      </c>
    </row>
    <row r="19188" spans="1:8" customFormat="1" x14ac:dyDescent="0.25">
      <c r="A19188" t="str">
        <f>"844738"</f>
        <v>844738</v>
      </c>
      <c r="B19188" t="s">
        <v>9879</v>
      </c>
      <c r="C19188" t="s">
        <v>33</v>
      </c>
      <c r="D19188" s="21" t="s">
        <v>34</v>
      </c>
      <c r="E19188" s="21" t="s">
        <v>35</v>
      </c>
      <c r="F19188">
        <v>13840006</v>
      </c>
      <c r="G19188" t="s">
        <v>10139</v>
      </c>
      <c r="H19188" s="21">
        <v>761.42</v>
      </c>
    </row>
    <row r="19189" spans="1:8" customFormat="1" x14ac:dyDescent="0.25">
      <c r="A19189" t="str">
        <f>"26154"</f>
        <v>26154</v>
      </c>
      <c r="B19189" t="s">
        <v>14585</v>
      </c>
      <c r="C19189" t="s">
        <v>253</v>
      </c>
      <c r="D19189" s="21" t="s">
        <v>34</v>
      </c>
      <c r="E19189" s="21" t="s">
        <v>254</v>
      </c>
      <c r="F19189">
        <v>1260010</v>
      </c>
      <c r="G19189" t="s">
        <v>3944</v>
      </c>
      <c r="H19189" s="21">
        <v>761.17</v>
      </c>
    </row>
    <row r="19190" spans="1:8" customFormat="1" x14ac:dyDescent="0.25">
      <c r="A19190" t="str">
        <f>"744272"</f>
        <v>744272</v>
      </c>
      <c r="B19190" t="s">
        <v>15506</v>
      </c>
      <c r="C19190" t="s">
        <v>3648</v>
      </c>
      <c r="D19190" s="21" t="s">
        <v>34</v>
      </c>
      <c r="E19190" s="21" t="s">
        <v>254</v>
      </c>
      <c r="F19190">
        <v>1740069</v>
      </c>
      <c r="G19190" t="s">
        <v>8151</v>
      </c>
      <c r="H19190" s="21">
        <v>761.17</v>
      </c>
    </row>
    <row r="19191" spans="1:8" customFormat="1" x14ac:dyDescent="0.25">
      <c r="A19191" t="str">
        <f>"4448621"</f>
        <v>4448621</v>
      </c>
      <c r="B19191" t="s">
        <v>1802</v>
      </c>
      <c r="C19191" t="s">
        <v>2806</v>
      </c>
      <c r="D19191" s="21" t="s">
        <v>34</v>
      </c>
      <c r="E19191" s="21" t="s">
        <v>35</v>
      </c>
      <c r="F19191">
        <v>12440020</v>
      </c>
      <c r="G19191" t="s">
        <v>4606</v>
      </c>
      <c r="H19191" s="21">
        <v>761.17</v>
      </c>
    </row>
    <row r="19192" spans="1:8" customFormat="1" x14ac:dyDescent="0.25">
      <c r="A19192" t="str">
        <f>"2923504"</f>
        <v>2923504</v>
      </c>
      <c r="B19192" t="s">
        <v>15810</v>
      </c>
      <c r="C19192" t="s">
        <v>2520</v>
      </c>
      <c r="D19192" s="21" t="s">
        <v>34</v>
      </c>
      <c r="E19192" s="21" t="s">
        <v>35</v>
      </c>
      <c r="F19192">
        <v>3290090</v>
      </c>
      <c r="G19192" t="s">
        <v>1390</v>
      </c>
      <c r="H19192" s="21">
        <v>761.17</v>
      </c>
    </row>
    <row r="19193" spans="1:8" customFormat="1" x14ac:dyDescent="0.25">
      <c r="A19193" t="str">
        <f>"4418125"</f>
        <v>4418125</v>
      </c>
      <c r="B19193" t="s">
        <v>15226</v>
      </c>
      <c r="C19193" t="s">
        <v>825</v>
      </c>
      <c r="D19193" s="21" t="s">
        <v>34</v>
      </c>
      <c r="E19193" s="21" t="s">
        <v>71</v>
      </c>
      <c r="F19193">
        <v>12440074</v>
      </c>
      <c r="G19193" t="s">
        <v>2436</v>
      </c>
      <c r="H19193" s="21">
        <v>761.17</v>
      </c>
    </row>
    <row r="19194" spans="1:8" customFormat="1" x14ac:dyDescent="0.25">
      <c r="A19194" t="str">
        <f>"95558"</f>
        <v>95558</v>
      </c>
      <c r="B19194" t="s">
        <v>12622</v>
      </c>
      <c r="C19194" t="s">
        <v>209</v>
      </c>
      <c r="D19194" s="21" t="s">
        <v>34</v>
      </c>
      <c r="E19194" s="21" t="s">
        <v>254</v>
      </c>
      <c r="F19194">
        <v>8950262</v>
      </c>
      <c r="G19194" t="s">
        <v>1881</v>
      </c>
      <c r="H19194" s="21">
        <v>761.17</v>
      </c>
    </row>
    <row r="19195" spans="1:8" customFormat="1" x14ac:dyDescent="0.25">
      <c r="A19195" t="str">
        <f>"378934"</f>
        <v>378934</v>
      </c>
      <c r="B19195" t="s">
        <v>3209</v>
      </c>
      <c r="C19195" t="s">
        <v>65</v>
      </c>
      <c r="D19195" s="21" t="s">
        <v>34</v>
      </c>
      <c r="E19195" s="21" t="s">
        <v>71</v>
      </c>
      <c r="F19195">
        <v>4370583</v>
      </c>
      <c r="G19195" t="s">
        <v>13975</v>
      </c>
      <c r="H19195" s="21">
        <v>761.17</v>
      </c>
    </row>
    <row r="19196" spans="1:8" customFormat="1" x14ac:dyDescent="0.25">
      <c r="A19196" t="str">
        <f>"748657"</f>
        <v>748657</v>
      </c>
      <c r="B19196" t="s">
        <v>15510</v>
      </c>
      <c r="C19196" t="s">
        <v>121</v>
      </c>
      <c r="D19196" s="21" t="s">
        <v>34</v>
      </c>
      <c r="E19196" s="21" t="s">
        <v>254</v>
      </c>
      <c r="F19196">
        <v>1740069</v>
      </c>
      <c r="G19196" t="s">
        <v>8151</v>
      </c>
      <c r="H19196" s="21">
        <v>761.17</v>
      </c>
    </row>
    <row r="19197" spans="1:8" customFormat="1" x14ac:dyDescent="0.25">
      <c r="A19197" t="str">
        <f>"9521619"</f>
        <v>9521619</v>
      </c>
      <c r="B19197" t="s">
        <v>15927</v>
      </c>
      <c r="C19197" t="s">
        <v>204</v>
      </c>
      <c r="D19197" s="21" t="s">
        <v>34</v>
      </c>
      <c r="E19197" s="21" t="s">
        <v>71</v>
      </c>
      <c r="F19197">
        <v>8951366</v>
      </c>
      <c r="G19197" t="s">
        <v>3708</v>
      </c>
      <c r="H19197" s="21">
        <v>761.17</v>
      </c>
    </row>
    <row r="19198" spans="1:8" customFormat="1" x14ac:dyDescent="0.25">
      <c r="A19198" t="str">
        <f>"5714929"</f>
        <v>5714929</v>
      </c>
      <c r="B19198" t="s">
        <v>5814</v>
      </c>
      <c r="C19198" t="s">
        <v>249</v>
      </c>
      <c r="D19198" s="21" t="s">
        <v>34</v>
      </c>
      <c r="E19198" s="21" t="s">
        <v>71</v>
      </c>
      <c r="F19198">
        <v>7590013</v>
      </c>
      <c r="G19198" t="s">
        <v>4839</v>
      </c>
      <c r="H19198" s="21">
        <v>761.17</v>
      </c>
    </row>
    <row r="19199" spans="1:8" customFormat="1" x14ac:dyDescent="0.25">
      <c r="A19199" t="str">
        <f>"5620910"</f>
        <v>5620910</v>
      </c>
      <c r="B19199" t="s">
        <v>27558</v>
      </c>
      <c r="C19199" t="s">
        <v>27559</v>
      </c>
      <c r="D19199" s="21" t="s">
        <v>34</v>
      </c>
      <c r="E19199" s="21" t="s">
        <v>35</v>
      </c>
      <c r="F19199">
        <v>3560019</v>
      </c>
      <c r="G19199" t="s">
        <v>13051</v>
      </c>
      <c r="H19199" s="21">
        <v>761.17</v>
      </c>
    </row>
    <row r="19200" spans="1:8" customFormat="1" x14ac:dyDescent="0.25">
      <c r="A19200" t="str">
        <f>"7841086"</f>
        <v>7841086</v>
      </c>
      <c r="B19200" t="s">
        <v>14894</v>
      </c>
      <c r="C19200" t="s">
        <v>98</v>
      </c>
      <c r="D19200" s="21" t="s">
        <v>34</v>
      </c>
      <c r="E19200" s="21" t="s">
        <v>71</v>
      </c>
      <c r="F19200">
        <v>8780401</v>
      </c>
      <c r="G19200" t="s">
        <v>9116</v>
      </c>
      <c r="H19200" s="21">
        <v>761.17</v>
      </c>
    </row>
    <row r="19201" spans="1:8" customFormat="1" x14ac:dyDescent="0.25">
      <c r="A19201" t="str">
        <f>"878646"</f>
        <v>878646</v>
      </c>
      <c r="B19201" t="s">
        <v>27560</v>
      </c>
      <c r="C19201" t="s">
        <v>269</v>
      </c>
      <c r="D19201" s="21" t="s">
        <v>34</v>
      </c>
      <c r="E19201" s="21" t="s">
        <v>71</v>
      </c>
      <c r="F19201">
        <v>10870081</v>
      </c>
      <c r="G19201" t="s">
        <v>6698</v>
      </c>
      <c r="H19201" s="21">
        <v>761.17</v>
      </c>
    </row>
    <row r="19202" spans="1:8" customFormat="1" x14ac:dyDescent="0.25">
      <c r="A19202" t="str">
        <f>"745872"</f>
        <v>745872</v>
      </c>
      <c r="B19202" t="s">
        <v>17977</v>
      </c>
      <c r="C19202" t="s">
        <v>109</v>
      </c>
      <c r="D19202" s="21" t="s">
        <v>34</v>
      </c>
      <c r="E19202" s="21" t="s">
        <v>35</v>
      </c>
      <c r="F19202">
        <v>11300010</v>
      </c>
      <c r="G19202" t="s">
        <v>6282</v>
      </c>
      <c r="H19202" s="21">
        <v>760.92</v>
      </c>
    </row>
    <row r="19203" spans="1:8" customFormat="1" x14ac:dyDescent="0.25">
      <c r="A19203" t="str">
        <f>"085055"</f>
        <v>085055</v>
      </c>
      <c r="B19203" t="s">
        <v>1575</v>
      </c>
      <c r="C19203" t="s">
        <v>1588</v>
      </c>
      <c r="D19203" s="21" t="s">
        <v>34</v>
      </c>
      <c r="E19203" s="21" t="s">
        <v>1089</v>
      </c>
      <c r="F19203">
        <v>6080043</v>
      </c>
      <c r="G19203" t="s">
        <v>961</v>
      </c>
      <c r="H19203" s="21">
        <v>760.92</v>
      </c>
    </row>
    <row r="19204" spans="1:8" customFormat="1" x14ac:dyDescent="0.25">
      <c r="A19204" t="str">
        <f>"217194"</f>
        <v>217194</v>
      </c>
      <c r="B19204" t="s">
        <v>15853</v>
      </c>
      <c r="C19204" t="s">
        <v>1146</v>
      </c>
      <c r="D19204" s="21" t="s">
        <v>34</v>
      </c>
      <c r="E19204" s="21" t="s">
        <v>71</v>
      </c>
      <c r="F19204">
        <v>4180157</v>
      </c>
      <c r="G19204" t="s">
        <v>11170</v>
      </c>
      <c r="H19204" s="21">
        <v>760.67</v>
      </c>
    </row>
    <row r="19205" spans="1:8" customFormat="1" x14ac:dyDescent="0.25">
      <c r="A19205" t="str">
        <f>"8522134"</f>
        <v>8522134</v>
      </c>
      <c r="B19205" t="s">
        <v>15207</v>
      </c>
      <c r="C19205" t="s">
        <v>139</v>
      </c>
      <c r="D19205" s="21" t="s">
        <v>34</v>
      </c>
      <c r="E19205" s="21" t="s">
        <v>35</v>
      </c>
      <c r="F19205">
        <v>12851012</v>
      </c>
      <c r="G19205" t="s">
        <v>1963</v>
      </c>
      <c r="H19205" s="21">
        <v>760.67</v>
      </c>
    </row>
    <row r="19206" spans="1:8" customFormat="1" x14ac:dyDescent="0.25">
      <c r="A19206" t="str">
        <f>"4511486"</f>
        <v>4511486</v>
      </c>
      <c r="B19206" t="s">
        <v>14420</v>
      </c>
      <c r="C19206" t="s">
        <v>263</v>
      </c>
      <c r="D19206" s="21" t="s">
        <v>34</v>
      </c>
      <c r="E19206" s="21" t="s">
        <v>71</v>
      </c>
      <c r="F19206">
        <v>1630009</v>
      </c>
      <c r="G19206" t="s">
        <v>6021</v>
      </c>
      <c r="H19206" s="21">
        <v>760.67</v>
      </c>
    </row>
    <row r="19207" spans="1:8" customFormat="1" x14ac:dyDescent="0.25">
      <c r="A19207" t="str">
        <f>"792935"</f>
        <v>792935</v>
      </c>
      <c r="B19207" t="s">
        <v>15157</v>
      </c>
      <c r="C19207" t="s">
        <v>109</v>
      </c>
      <c r="D19207" s="21" t="s">
        <v>34</v>
      </c>
      <c r="E19207" s="21" t="s">
        <v>35</v>
      </c>
      <c r="F19207">
        <v>4450702</v>
      </c>
      <c r="G19207" t="s">
        <v>1772</v>
      </c>
      <c r="H19207" s="21">
        <v>760.67</v>
      </c>
    </row>
    <row r="19208" spans="1:8" customFormat="1" x14ac:dyDescent="0.25">
      <c r="A19208" t="str">
        <f>"3715829"</f>
        <v>3715829</v>
      </c>
      <c r="B19208" t="s">
        <v>5434</v>
      </c>
      <c r="C19208" t="s">
        <v>209</v>
      </c>
      <c r="D19208" s="21" t="s">
        <v>34</v>
      </c>
      <c r="E19208" s="21" t="s">
        <v>254</v>
      </c>
      <c r="F19208">
        <v>4370033</v>
      </c>
      <c r="G19208" t="s">
        <v>7556</v>
      </c>
      <c r="H19208" s="21">
        <v>760.67</v>
      </c>
    </row>
    <row r="19209" spans="1:8" customFormat="1" x14ac:dyDescent="0.25">
      <c r="A19209" t="str">
        <f>"3534250"</f>
        <v>3534250</v>
      </c>
      <c r="B19209" t="s">
        <v>16983</v>
      </c>
      <c r="C19209" t="s">
        <v>139</v>
      </c>
      <c r="D19209" s="21" t="s">
        <v>34</v>
      </c>
      <c r="E19209" s="21" t="s">
        <v>35</v>
      </c>
      <c r="F19209">
        <v>3350030</v>
      </c>
      <c r="G19209" t="s">
        <v>4549</v>
      </c>
      <c r="H19209" s="21">
        <v>760.67</v>
      </c>
    </row>
    <row r="19210" spans="1:8" customFormat="1" x14ac:dyDescent="0.25">
      <c r="A19210" t="str">
        <f>"2916195"</f>
        <v>2916195</v>
      </c>
      <c r="B19210" t="s">
        <v>2544</v>
      </c>
      <c r="C19210" t="s">
        <v>598</v>
      </c>
      <c r="D19210" s="21" t="s">
        <v>34</v>
      </c>
      <c r="E19210" s="21" t="s">
        <v>254</v>
      </c>
      <c r="F19210">
        <v>3290235</v>
      </c>
      <c r="G19210" t="s">
        <v>12128</v>
      </c>
      <c r="H19210" s="21">
        <v>760.67</v>
      </c>
    </row>
    <row r="19211" spans="1:8" customFormat="1" x14ac:dyDescent="0.25">
      <c r="A19211" t="str">
        <f>"589912"</f>
        <v>589912</v>
      </c>
      <c r="B19211" t="s">
        <v>1986</v>
      </c>
      <c r="C19211" t="s">
        <v>244</v>
      </c>
      <c r="D19211" s="21" t="s">
        <v>34</v>
      </c>
      <c r="E19211" s="21" t="s">
        <v>35</v>
      </c>
      <c r="F19211">
        <v>12440048</v>
      </c>
      <c r="G19211" t="s">
        <v>2090</v>
      </c>
      <c r="H19211" s="21">
        <v>760.67</v>
      </c>
    </row>
    <row r="19212" spans="1:8" customFormat="1" x14ac:dyDescent="0.25">
      <c r="A19212" t="str">
        <f>"083836"</f>
        <v>083836</v>
      </c>
      <c r="B19212" t="s">
        <v>14840</v>
      </c>
      <c r="C19212" t="s">
        <v>1588</v>
      </c>
      <c r="D19212" s="21" t="s">
        <v>34</v>
      </c>
      <c r="E19212" s="21" t="s">
        <v>254</v>
      </c>
      <c r="F19212">
        <v>6080013</v>
      </c>
      <c r="G19212" t="s">
        <v>1532</v>
      </c>
      <c r="H19212" s="21">
        <v>760.67</v>
      </c>
    </row>
    <row r="19213" spans="1:8" customFormat="1" x14ac:dyDescent="0.25">
      <c r="A19213" t="str">
        <f>"5918878"</f>
        <v>5918878</v>
      </c>
      <c r="B19213" t="s">
        <v>1604</v>
      </c>
      <c r="C19213" t="s">
        <v>1132</v>
      </c>
      <c r="D19213" s="21" t="s">
        <v>34</v>
      </c>
      <c r="E19213" s="21" t="s">
        <v>35</v>
      </c>
      <c r="F19213">
        <v>7590395</v>
      </c>
      <c r="G19213" t="s">
        <v>15061</v>
      </c>
      <c r="H19213" s="21">
        <v>760.67</v>
      </c>
    </row>
    <row r="19214" spans="1:8" customFormat="1" x14ac:dyDescent="0.25">
      <c r="A19214" t="str">
        <f>"0110379"</f>
        <v>0110379</v>
      </c>
      <c r="B19214" t="s">
        <v>16000</v>
      </c>
      <c r="C19214" t="s">
        <v>547</v>
      </c>
      <c r="D19214" s="21" t="s">
        <v>34</v>
      </c>
      <c r="E19214" s="21" t="s">
        <v>71</v>
      </c>
      <c r="F19214">
        <v>1010061</v>
      </c>
      <c r="G19214" t="s">
        <v>9290</v>
      </c>
      <c r="H19214" s="21">
        <v>760.67</v>
      </c>
    </row>
    <row r="19215" spans="1:8" customFormat="1" x14ac:dyDescent="0.25">
      <c r="A19215" t="str">
        <f>"939402"</f>
        <v>939402</v>
      </c>
      <c r="B19215" t="s">
        <v>15277</v>
      </c>
      <c r="C19215" t="s">
        <v>60</v>
      </c>
      <c r="D19215" s="21" t="s">
        <v>34</v>
      </c>
      <c r="E19215" s="21" t="s">
        <v>35</v>
      </c>
      <c r="F19215">
        <v>8931461</v>
      </c>
      <c r="G19215" t="s">
        <v>1811</v>
      </c>
      <c r="H19215" s="21">
        <v>760.67</v>
      </c>
    </row>
    <row r="19216" spans="1:8" customFormat="1" x14ac:dyDescent="0.25">
      <c r="A19216" t="str">
        <f>"7711436"</f>
        <v>7711436</v>
      </c>
      <c r="B19216" t="s">
        <v>2851</v>
      </c>
      <c r="C19216" t="s">
        <v>453</v>
      </c>
      <c r="D19216" s="21" t="s">
        <v>34</v>
      </c>
      <c r="E19216" s="21" t="s">
        <v>254</v>
      </c>
      <c r="F19216">
        <v>7590013</v>
      </c>
      <c r="G19216" t="s">
        <v>4839</v>
      </c>
      <c r="H19216" s="21">
        <v>760.67</v>
      </c>
    </row>
    <row r="19217" spans="1:8" customFormat="1" x14ac:dyDescent="0.25">
      <c r="A19217" t="str">
        <f>"6919"</f>
        <v>6919</v>
      </c>
      <c r="B19217" t="s">
        <v>400</v>
      </c>
      <c r="C19217" t="s">
        <v>263</v>
      </c>
      <c r="D19217" s="21" t="s">
        <v>34</v>
      </c>
      <c r="E19217" s="21" t="s">
        <v>254</v>
      </c>
      <c r="F19217">
        <v>1690001</v>
      </c>
      <c r="G19217" t="s">
        <v>3275</v>
      </c>
      <c r="H19217" s="21">
        <v>760.67</v>
      </c>
    </row>
    <row r="19218" spans="1:8" customFormat="1" x14ac:dyDescent="0.25">
      <c r="A19218" t="str">
        <f>"814827"</f>
        <v>814827</v>
      </c>
      <c r="B19218" t="s">
        <v>6280</v>
      </c>
      <c r="C19218" t="s">
        <v>114</v>
      </c>
      <c r="D19218" s="21" t="s">
        <v>34</v>
      </c>
      <c r="E19218" s="21" t="s">
        <v>35</v>
      </c>
      <c r="F19218">
        <v>11810028</v>
      </c>
      <c r="G19218" t="s">
        <v>5817</v>
      </c>
      <c r="H19218" s="21">
        <v>760.54</v>
      </c>
    </row>
    <row r="19219" spans="1:8" customFormat="1" x14ac:dyDescent="0.25">
      <c r="A19219" t="str">
        <f>"3725541"</f>
        <v>3725541</v>
      </c>
      <c r="B19219" t="s">
        <v>7306</v>
      </c>
      <c r="C19219" t="s">
        <v>528</v>
      </c>
      <c r="D19219" s="21" t="s">
        <v>34</v>
      </c>
      <c r="E19219" s="21" t="s">
        <v>71</v>
      </c>
      <c r="F19219">
        <v>4370269</v>
      </c>
      <c r="G19219" t="s">
        <v>4277</v>
      </c>
      <c r="H19219" s="21">
        <v>760.54</v>
      </c>
    </row>
    <row r="19220" spans="1:8" customFormat="1" x14ac:dyDescent="0.25">
      <c r="A19220" t="str">
        <f>"725438"</f>
        <v>725438</v>
      </c>
      <c r="B19220" t="s">
        <v>15520</v>
      </c>
      <c r="C19220" t="s">
        <v>139</v>
      </c>
      <c r="D19220" s="21" t="s">
        <v>34</v>
      </c>
      <c r="E19220" s="21" t="s">
        <v>35</v>
      </c>
      <c r="F19220">
        <v>12720016</v>
      </c>
      <c r="G19220" t="s">
        <v>11791</v>
      </c>
      <c r="H19220" s="21">
        <v>760.54</v>
      </c>
    </row>
    <row r="19221" spans="1:8" customFormat="1" x14ac:dyDescent="0.25">
      <c r="A19221" t="str">
        <f>"7619543"</f>
        <v>7619543</v>
      </c>
      <c r="B19221" t="s">
        <v>17518</v>
      </c>
      <c r="C19221" t="s">
        <v>62</v>
      </c>
      <c r="D19221" s="21" t="s">
        <v>34</v>
      </c>
      <c r="E19221" s="21" t="s">
        <v>35</v>
      </c>
      <c r="F19221">
        <v>9270047</v>
      </c>
      <c r="G19221" t="s">
        <v>4420</v>
      </c>
      <c r="H19221" s="21">
        <v>760.42</v>
      </c>
    </row>
    <row r="19222" spans="1:8" customFormat="1" x14ac:dyDescent="0.25">
      <c r="A19222" t="str">
        <f>"901228"</f>
        <v>901228</v>
      </c>
      <c r="B19222" t="s">
        <v>16285</v>
      </c>
      <c r="C19222" t="s">
        <v>267</v>
      </c>
      <c r="D19222" s="21" t="s">
        <v>34</v>
      </c>
      <c r="E19222" s="21" t="s">
        <v>254</v>
      </c>
      <c r="F19222">
        <v>2900038</v>
      </c>
      <c r="G19222" t="s">
        <v>6415</v>
      </c>
      <c r="H19222" s="21">
        <v>760.42</v>
      </c>
    </row>
    <row r="19223" spans="1:8" customFormat="1" x14ac:dyDescent="0.25">
      <c r="A19223" t="str">
        <f>"6229336"</f>
        <v>6229336</v>
      </c>
      <c r="B19223" t="s">
        <v>2023</v>
      </c>
      <c r="C19223" t="s">
        <v>87</v>
      </c>
      <c r="D19223" s="21" t="s">
        <v>34</v>
      </c>
      <c r="E19223" s="21" t="s">
        <v>35</v>
      </c>
      <c r="F19223">
        <v>7620019</v>
      </c>
      <c r="G19223" t="s">
        <v>723</v>
      </c>
      <c r="H19223" s="21">
        <v>760.42</v>
      </c>
    </row>
    <row r="19224" spans="1:8" customFormat="1" x14ac:dyDescent="0.25">
      <c r="A19224" t="str">
        <f>"2931300"</f>
        <v>2931300</v>
      </c>
      <c r="B19224" t="s">
        <v>16427</v>
      </c>
      <c r="C19224" t="s">
        <v>139</v>
      </c>
      <c r="D19224" s="21" t="s">
        <v>34</v>
      </c>
      <c r="E19224" s="21" t="s">
        <v>71</v>
      </c>
      <c r="F19224">
        <v>3290221</v>
      </c>
      <c r="G19224" t="s">
        <v>3544</v>
      </c>
      <c r="H19224" s="21">
        <v>760.42</v>
      </c>
    </row>
    <row r="19225" spans="1:8" customFormat="1" x14ac:dyDescent="0.25">
      <c r="A19225" t="str">
        <f>"2110897"</f>
        <v>2110897</v>
      </c>
      <c r="B19225" t="s">
        <v>17383</v>
      </c>
      <c r="C19225" t="s">
        <v>269</v>
      </c>
      <c r="D19225" s="21" t="s">
        <v>34</v>
      </c>
      <c r="E19225" s="21" t="s">
        <v>35</v>
      </c>
      <c r="F19225">
        <v>2210088</v>
      </c>
      <c r="G19225" t="s">
        <v>2896</v>
      </c>
      <c r="H19225" s="21">
        <v>760.17</v>
      </c>
    </row>
    <row r="19226" spans="1:8" customFormat="1" x14ac:dyDescent="0.25">
      <c r="A19226" t="str">
        <f>"854220"</f>
        <v>854220</v>
      </c>
      <c r="B19226" t="s">
        <v>10193</v>
      </c>
      <c r="C19226" t="s">
        <v>198</v>
      </c>
      <c r="D19226" s="21" t="s">
        <v>34</v>
      </c>
      <c r="E19226" s="21" t="s">
        <v>254</v>
      </c>
      <c r="F19226">
        <v>12850078</v>
      </c>
      <c r="G19226" t="s">
        <v>5639</v>
      </c>
      <c r="H19226" s="21">
        <v>760.17</v>
      </c>
    </row>
    <row r="19227" spans="1:8" customFormat="1" x14ac:dyDescent="0.25">
      <c r="A19227" t="str">
        <f>"9531615"</f>
        <v>9531615</v>
      </c>
      <c r="B19227" t="s">
        <v>27561</v>
      </c>
      <c r="C19227" t="s">
        <v>211</v>
      </c>
      <c r="D19227" s="21" t="s">
        <v>34</v>
      </c>
      <c r="E19227" s="21" t="s">
        <v>35</v>
      </c>
      <c r="F19227">
        <v>8950424</v>
      </c>
      <c r="G19227" t="s">
        <v>12098</v>
      </c>
      <c r="H19227" s="21">
        <v>760.17</v>
      </c>
    </row>
    <row r="19228" spans="1:8" customFormat="1" x14ac:dyDescent="0.25">
      <c r="A19228" t="str">
        <f>"6219359"</f>
        <v>6219359</v>
      </c>
      <c r="B19228" t="s">
        <v>14549</v>
      </c>
      <c r="C19228" t="s">
        <v>601</v>
      </c>
      <c r="D19228" s="21" t="s">
        <v>34</v>
      </c>
      <c r="E19228" s="21" t="s">
        <v>254</v>
      </c>
      <c r="F19228">
        <v>7620154</v>
      </c>
      <c r="G19228" t="s">
        <v>13064</v>
      </c>
      <c r="H19228" s="21">
        <v>760.17</v>
      </c>
    </row>
    <row r="19229" spans="1:8" customFormat="1" x14ac:dyDescent="0.25">
      <c r="A19229" t="str">
        <f>"219956"</f>
        <v>219956</v>
      </c>
      <c r="B19229" t="s">
        <v>2189</v>
      </c>
      <c r="C19229" t="s">
        <v>209</v>
      </c>
      <c r="D19229" s="21" t="s">
        <v>34</v>
      </c>
      <c r="E19229" s="21" t="s">
        <v>71</v>
      </c>
      <c r="F19229">
        <v>2210101</v>
      </c>
      <c r="G19229" t="s">
        <v>1374</v>
      </c>
      <c r="H19229" s="21">
        <v>760.17</v>
      </c>
    </row>
    <row r="19230" spans="1:8" customFormat="1" x14ac:dyDescent="0.25">
      <c r="A19230" t="str">
        <f>"035120"</f>
        <v>035120</v>
      </c>
      <c r="B19230" t="s">
        <v>15594</v>
      </c>
      <c r="C19230" t="s">
        <v>2907</v>
      </c>
      <c r="D19230" s="21" t="s">
        <v>34</v>
      </c>
      <c r="E19230" s="21" t="s">
        <v>254</v>
      </c>
      <c r="F19230">
        <v>1030300</v>
      </c>
      <c r="G19230" t="s">
        <v>7676</v>
      </c>
      <c r="H19230" s="21">
        <v>760.17</v>
      </c>
    </row>
    <row r="19231" spans="1:8" customFormat="1" x14ac:dyDescent="0.25">
      <c r="A19231" t="str">
        <f>"823191"</f>
        <v>823191</v>
      </c>
      <c r="B19231" t="s">
        <v>15671</v>
      </c>
      <c r="C19231" t="s">
        <v>82</v>
      </c>
      <c r="D19231" s="21" t="s">
        <v>34</v>
      </c>
      <c r="E19231" s="21" t="s">
        <v>35</v>
      </c>
      <c r="F19231">
        <v>11820032</v>
      </c>
      <c r="G19231" t="s">
        <v>14258</v>
      </c>
      <c r="H19231" s="21">
        <v>760.17</v>
      </c>
    </row>
    <row r="19232" spans="1:8" customFormat="1" x14ac:dyDescent="0.25">
      <c r="A19232" t="str">
        <f>"28880"</f>
        <v>28880</v>
      </c>
      <c r="B19232" t="s">
        <v>6187</v>
      </c>
      <c r="C19232" t="s">
        <v>55</v>
      </c>
      <c r="D19232" s="21" t="s">
        <v>34</v>
      </c>
      <c r="E19232" s="21" t="s">
        <v>71</v>
      </c>
      <c r="F19232">
        <v>4280404</v>
      </c>
      <c r="G19232" t="s">
        <v>13467</v>
      </c>
      <c r="H19232" s="21">
        <v>760.17</v>
      </c>
    </row>
    <row r="19233" spans="1:8" customFormat="1" x14ac:dyDescent="0.25">
      <c r="A19233" t="str">
        <f>"2713474"</f>
        <v>2713474</v>
      </c>
      <c r="B19233" t="s">
        <v>12140</v>
      </c>
      <c r="C19233" t="s">
        <v>209</v>
      </c>
      <c r="D19233" s="21" t="s">
        <v>34</v>
      </c>
      <c r="E19233" s="21" t="s">
        <v>35</v>
      </c>
      <c r="F19233">
        <v>9270008</v>
      </c>
      <c r="G19233" t="s">
        <v>7853</v>
      </c>
      <c r="H19233" s="21">
        <v>760.17</v>
      </c>
    </row>
    <row r="19234" spans="1:8" customFormat="1" x14ac:dyDescent="0.25">
      <c r="A19234" t="str">
        <f>"597719"</f>
        <v>597719</v>
      </c>
      <c r="B19234" t="s">
        <v>27562</v>
      </c>
      <c r="C19234" t="s">
        <v>33</v>
      </c>
      <c r="D19234" s="21" t="s">
        <v>34</v>
      </c>
      <c r="E19234" s="21" t="s">
        <v>71</v>
      </c>
      <c r="F19234">
        <v>7590120</v>
      </c>
      <c r="G19234" t="s">
        <v>5351</v>
      </c>
      <c r="H19234" s="21">
        <v>760.17</v>
      </c>
    </row>
    <row r="19235" spans="1:8" customFormat="1" x14ac:dyDescent="0.25">
      <c r="A19235" t="str">
        <f>"846300"</f>
        <v>846300</v>
      </c>
      <c r="B19235" t="s">
        <v>16511</v>
      </c>
      <c r="C19235" t="s">
        <v>1231</v>
      </c>
      <c r="D19235" s="21" t="s">
        <v>34</v>
      </c>
      <c r="E19235" s="21" t="s">
        <v>71</v>
      </c>
      <c r="F19235">
        <v>13840012</v>
      </c>
      <c r="G19235" t="s">
        <v>5143</v>
      </c>
      <c r="H19235" s="21">
        <v>760.17</v>
      </c>
    </row>
    <row r="19236" spans="1:8" customFormat="1" x14ac:dyDescent="0.25">
      <c r="A19236" t="str">
        <f>"3815272"</f>
        <v>3815272</v>
      </c>
      <c r="B19236" t="s">
        <v>759</v>
      </c>
      <c r="C19236" t="s">
        <v>415</v>
      </c>
      <c r="D19236" s="21" t="s">
        <v>34</v>
      </c>
      <c r="E19236" s="21" t="s">
        <v>71</v>
      </c>
      <c r="F19236">
        <v>1380057</v>
      </c>
      <c r="G19236" t="s">
        <v>26700</v>
      </c>
      <c r="H19236" s="21">
        <v>760.17</v>
      </c>
    </row>
    <row r="19237" spans="1:8" customFormat="1" x14ac:dyDescent="0.25">
      <c r="A19237" t="str">
        <f>"7628317"</f>
        <v>7628317</v>
      </c>
      <c r="B19237" t="s">
        <v>16666</v>
      </c>
      <c r="C19237" t="s">
        <v>269</v>
      </c>
      <c r="D19237" s="21" t="s">
        <v>34</v>
      </c>
      <c r="E19237" s="21" t="s">
        <v>71</v>
      </c>
      <c r="F19237">
        <v>9270063</v>
      </c>
      <c r="G19237" t="s">
        <v>808</v>
      </c>
      <c r="H19237" s="21">
        <v>760.04</v>
      </c>
    </row>
    <row r="19238" spans="1:8" customFormat="1" x14ac:dyDescent="0.25">
      <c r="A19238" t="str">
        <f>"2614426"</f>
        <v>2614426</v>
      </c>
      <c r="B19238" t="s">
        <v>27563</v>
      </c>
      <c r="C19238" t="s">
        <v>2305</v>
      </c>
      <c r="D19238" s="21" t="s">
        <v>34</v>
      </c>
      <c r="E19238" s="21" t="s">
        <v>35</v>
      </c>
      <c r="F19238">
        <v>1260001</v>
      </c>
      <c r="G19238" t="s">
        <v>16056</v>
      </c>
      <c r="H19238" s="21">
        <v>760</v>
      </c>
    </row>
    <row r="19239" spans="1:8" customFormat="1" x14ac:dyDescent="0.25">
      <c r="A19239" t="str">
        <f>"4920921"</f>
        <v>4920921</v>
      </c>
      <c r="B19239" t="s">
        <v>14534</v>
      </c>
      <c r="C19239" t="s">
        <v>879</v>
      </c>
      <c r="D19239" s="21" t="s">
        <v>34</v>
      </c>
      <c r="E19239" s="21" t="s">
        <v>254</v>
      </c>
      <c r="F19239">
        <v>12490062</v>
      </c>
      <c r="G19239" t="s">
        <v>9920</v>
      </c>
      <c r="H19239" s="21">
        <v>759.92</v>
      </c>
    </row>
    <row r="19240" spans="1:8" customFormat="1" x14ac:dyDescent="0.25">
      <c r="A19240" t="str">
        <f>"443937"</f>
        <v>443937</v>
      </c>
      <c r="B19240" t="s">
        <v>14932</v>
      </c>
      <c r="C19240" t="s">
        <v>2520</v>
      </c>
      <c r="D19240" s="21" t="s">
        <v>34</v>
      </c>
      <c r="E19240" s="21" t="s">
        <v>1089</v>
      </c>
      <c r="F19240">
        <v>12440038</v>
      </c>
      <c r="G19240" t="s">
        <v>2057</v>
      </c>
      <c r="H19240" s="21">
        <v>759.92</v>
      </c>
    </row>
    <row r="19241" spans="1:8" customFormat="1" x14ac:dyDescent="0.25">
      <c r="A19241" t="str">
        <f>"948795"</f>
        <v>948795</v>
      </c>
      <c r="B19241" t="s">
        <v>15889</v>
      </c>
      <c r="C19241" t="s">
        <v>15890</v>
      </c>
      <c r="D19241" s="21" t="s">
        <v>34</v>
      </c>
      <c r="E19241" s="21" t="s">
        <v>254</v>
      </c>
      <c r="F19241">
        <v>8940033</v>
      </c>
      <c r="G19241" t="s">
        <v>1376</v>
      </c>
      <c r="H19241" s="21">
        <v>759.92</v>
      </c>
    </row>
    <row r="19242" spans="1:8" customFormat="1" x14ac:dyDescent="0.25">
      <c r="A19242" t="str">
        <f>"755611"</f>
        <v>755611</v>
      </c>
      <c r="B19242" t="s">
        <v>108</v>
      </c>
      <c r="C19242" t="s">
        <v>285</v>
      </c>
      <c r="D19242" s="21" t="s">
        <v>34</v>
      </c>
      <c r="E19242" s="21" t="s">
        <v>71</v>
      </c>
      <c r="F19242">
        <v>8751271</v>
      </c>
      <c r="G19242" t="s">
        <v>1067</v>
      </c>
      <c r="H19242" s="21">
        <v>759.92</v>
      </c>
    </row>
    <row r="19243" spans="1:8" customFormat="1" x14ac:dyDescent="0.25">
      <c r="A19243" t="str">
        <f>"407590"</f>
        <v>407590</v>
      </c>
      <c r="B19243" t="s">
        <v>17683</v>
      </c>
      <c r="C19243" t="s">
        <v>209</v>
      </c>
      <c r="D19243" s="21" t="s">
        <v>34</v>
      </c>
      <c r="E19243" s="21" t="s">
        <v>71</v>
      </c>
      <c r="F19243">
        <v>10400025</v>
      </c>
      <c r="G19243" t="s">
        <v>5655</v>
      </c>
      <c r="H19243" s="21">
        <v>759.79</v>
      </c>
    </row>
    <row r="19244" spans="1:8" customFormat="1" x14ac:dyDescent="0.25">
      <c r="A19244" t="str">
        <f>"9456257"</f>
        <v>9456257</v>
      </c>
      <c r="B19244" t="s">
        <v>17221</v>
      </c>
      <c r="C19244" t="s">
        <v>3073</v>
      </c>
      <c r="D19244" s="21" t="s">
        <v>34</v>
      </c>
      <c r="E19244" s="21" t="s">
        <v>1089</v>
      </c>
      <c r="F19244">
        <v>8940448</v>
      </c>
      <c r="G19244" t="s">
        <v>1691</v>
      </c>
      <c r="H19244" s="21">
        <v>759.79</v>
      </c>
    </row>
    <row r="19245" spans="1:8" customFormat="1" x14ac:dyDescent="0.25">
      <c r="A19245" t="str">
        <f>"145334"</f>
        <v>145334</v>
      </c>
      <c r="B19245" t="s">
        <v>9961</v>
      </c>
      <c r="C19245" t="s">
        <v>1110</v>
      </c>
      <c r="D19245" s="21" t="s">
        <v>34</v>
      </c>
      <c r="E19245" s="21" t="s">
        <v>254</v>
      </c>
      <c r="F19245">
        <v>9140054</v>
      </c>
      <c r="G19245" t="s">
        <v>3300</v>
      </c>
      <c r="H19245" s="21">
        <v>759.67</v>
      </c>
    </row>
    <row r="19246" spans="1:8" customFormat="1" x14ac:dyDescent="0.25">
      <c r="A19246" t="str">
        <f>"8517711"</f>
        <v>8517711</v>
      </c>
      <c r="B19246" t="s">
        <v>4224</v>
      </c>
      <c r="C19246" t="s">
        <v>598</v>
      </c>
      <c r="D19246" s="21" t="s">
        <v>34</v>
      </c>
      <c r="E19246" s="21" t="s">
        <v>1089</v>
      </c>
      <c r="F19246">
        <v>12850040</v>
      </c>
      <c r="G19246" t="s">
        <v>2074</v>
      </c>
      <c r="H19246" s="21">
        <v>759.67</v>
      </c>
    </row>
    <row r="19247" spans="1:8" customFormat="1" x14ac:dyDescent="0.25">
      <c r="A19247" t="str">
        <f>"0114484"</f>
        <v>0114484</v>
      </c>
      <c r="B19247" t="s">
        <v>16331</v>
      </c>
      <c r="C19247" t="s">
        <v>13466</v>
      </c>
      <c r="D19247" s="21" t="s">
        <v>34</v>
      </c>
      <c r="E19247" s="21" t="s">
        <v>35</v>
      </c>
      <c r="F19247">
        <v>1010033</v>
      </c>
      <c r="G19247" t="s">
        <v>14583</v>
      </c>
      <c r="H19247" s="21">
        <v>759.67</v>
      </c>
    </row>
    <row r="19248" spans="1:8" customFormat="1" x14ac:dyDescent="0.25">
      <c r="A19248" t="str">
        <f>"3326292"</f>
        <v>3326292</v>
      </c>
      <c r="B19248" t="s">
        <v>13923</v>
      </c>
      <c r="C19248" t="s">
        <v>2208</v>
      </c>
      <c r="D19248" s="21" t="s">
        <v>34</v>
      </c>
      <c r="E19248" s="21" t="s">
        <v>35</v>
      </c>
      <c r="F19248">
        <v>10330098</v>
      </c>
      <c r="G19248" t="s">
        <v>8299</v>
      </c>
      <c r="H19248" s="21">
        <v>759.67</v>
      </c>
    </row>
    <row r="19249" spans="1:8" customFormat="1" x14ac:dyDescent="0.25">
      <c r="A19249" t="str">
        <f>"777210"</f>
        <v>777210</v>
      </c>
      <c r="B19249" t="s">
        <v>16810</v>
      </c>
      <c r="C19249" t="s">
        <v>209</v>
      </c>
      <c r="D19249" s="21" t="s">
        <v>34</v>
      </c>
      <c r="E19249" s="21" t="s">
        <v>71</v>
      </c>
      <c r="F19249">
        <v>13840037</v>
      </c>
      <c r="G19249" t="s">
        <v>2019</v>
      </c>
      <c r="H19249" s="21">
        <v>759.67</v>
      </c>
    </row>
    <row r="19250" spans="1:8" customFormat="1" x14ac:dyDescent="0.25">
      <c r="A19250" t="str">
        <f>"763026"</f>
        <v>763026</v>
      </c>
      <c r="B19250" t="s">
        <v>16340</v>
      </c>
      <c r="C19250" t="s">
        <v>2232</v>
      </c>
      <c r="D19250" s="21" t="s">
        <v>34</v>
      </c>
      <c r="E19250" s="21" t="s">
        <v>1089</v>
      </c>
      <c r="F19250">
        <v>9760442</v>
      </c>
      <c r="G19250" t="s">
        <v>5753</v>
      </c>
      <c r="H19250" s="21">
        <v>759.67</v>
      </c>
    </row>
    <row r="19251" spans="1:8" customFormat="1" x14ac:dyDescent="0.25">
      <c r="A19251" t="str">
        <f>"027085"</f>
        <v>027085</v>
      </c>
      <c r="B19251" t="s">
        <v>15806</v>
      </c>
      <c r="C19251" t="s">
        <v>124</v>
      </c>
      <c r="D19251" s="21" t="s">
        <v>34</v>
      </c>
      <c r="E19251" s="21" t="s">
        <v>35</v>
      </c>
      <c r="F19251">
        <v>7020055</v>
      </c>
      <c r="G19251" t="s">
        <v>8987</v>
      </c>
      <c r="H19251" s="21">
        <v>759.67</v>
      </c>
    </row>
    <row r="19252" spans="1:8" customFormat="1" x14ac:dyDescent="0.25">
      <c r="A19252" t="str">
        <f>"2935005"</f>
        <v>2935005</v>
      </c>
      <c r="B19252" t="s">
        <v>10894</v>
      </c>
      <c r="C19252" t="s">
        <v>119</v>
      </c>
      <c r="D19252" s="21" t="s">
        <v>34</v>
      </c>
      <c r="E19252" s="21" t="s">
        <v>71</v>
      </c>
      <c r="F19252">
        <v>3290014</v>
      </c>
      <c r="G19252" t="s">
        <v>10174</v>
      </c>
      <c r="H19252" s="21">
        <v>759.67</v>
      </c>
    </row>
    <row r="19253" spans="1:8" customFormat="1" x14ac:dyDescent="0.25">
      <c r="A19253" t="str">
        <f>"0114372"</f>
        <v>0114372</v>
      </c>
      <c r="B19253" t="s">
        <v>18853</v>
      </c>
      <c r="C19253" t="s">
        <v>1110</v>
      </c>
      <c r="D19253" s="21" t="s">
        <v>34</v>
      </c>
      <c r="E19253" s="21" t="s">
        <v>71</v>
      </c>
      <c r="F19253">
        <v>1010063</v>
      </c>
      <c r="G19253" t="s">
        <v>5215</v>
      </c>
      <c r="H19253" s="21">
        <v>759.67</v>
      </c>
    </row>
    <row r="19254" spans="1:8" customFormat="1" x14ac:dyDescent="0.25">
      <c r="A19254" t="str">
        <f>"6214284"</f>
        <v>6214284</v>
      </c>
      <c r="B19254" t="s">
        <v>15408</v>
      </c>
      <c r="C19254" t="s">
        <v>598</v>
      </c>
      <c r="D19254" s="21" t="s">
        <v>34</v>
      </c>
      <c r="E19254" s="21" t="s">
        <v>254</v>
      </c>
      <c r="F19254">
        <v>7620139</v>
      </c>
      <c r="G19254" t="s">
        <v>2061</v>
      </c>
      <c r="H19254" s="21">
        <v>759.67</v>
      </c>
    </row>
    <row r="19255" spans="1:8" customFormat="1" x14ac:dyDescent="0.25">
      <c r="A19255" t="str">
        <f>"8526165"</f>
        <v>8526165</v>
      </c>
      <c r="B19255" t="s">
        <v>15376</v>
      </c>
      <c r="C19255" t="s">
        <v>926</v>
      </c>
      <c r="D19255" s="21" t="s">
        <v>34</v>
      </c>
      <c r="E19255" s="21" t="s">
        <v>71</v>
      </c>
      <c r="F19255">
        <v>12851011</v>
      </c>
      <c r="G19255" t="s">
        <v>1445</v>
      </c>
      <c r="H19255" s="21">
        <v>759.67</v>
      </c>
    </row>
    <row r="19256" spans="1:8" customFormat="1" x14ac:dyDescent="0.25">
      <c r="A19256" t="str">
        <f>"4111619"</f>
        <v>4111619</v>
      </c>
      <c r="B19256" t="s">
        <v>956</v>
      </c>
      <c r="C19256" t="s">
        <v>263</v>
      </c>
      <c r="D19256" s="21" t="s">
        <v>34</v>
      </c>
      <c r="E19256" s="21" t="s">
        <v>254</v>
      </c>
      <c r="F19256">
        <v>4410729</v>
      </c>
      <c r="G19256" t="s">
        <v>4427</v>
      </c>
      <c r="H19256" s="21">
        <v>759.67</v>
      </c>
    </row>
    <row r="19257" spans="1:8" customFormat="1" x14ac:dyDescent="0.25">
      <c r="A19257" t="str">
        <f>"594114"</f>
        <v>594114</v>
      </c>
      <c r="B19257" t="s">
        <v>13584</v>
      </c>
      <c r="C19257" t="s">
        <v>1705</v>
      </c>
      <c r="D19257" s="21" t="s">
        <v>34</v>
      </c>
      <c r="E19257" s="21" t="s">
        <v>1089</v>
      </c>
      <c r="F19257">
        <v>7590251</v>
      </c>
      <c r="G19257" t="s">
        <v>9254</v>
      </c>
      <c r="H19257" s="21">
        <v>759.67</v>
      </c>
    </row>
    <row r="19258" spans="1:8" customFormat="1" x14ac:dyDescent="0.25">
      <c r="A19258" t="str">
        <f>"613639"</f>
        <v>613639</v>
      </c>
      <c r="B19258" t="s">
        <v>16644</v>
      </c>
      <c r="C19258" t="s">
        <v>7939</v>
      </c>
      <c r="D19258" s="21" t="s">
        <v>34</v>
      </c>
      <c r="E19258" s="21" t="s">
        <v>1089</v>
      </c>
      <c r="F19258">
        <v>9610136</v>
      </c>
      <c r="G19258" t="s">
        <v>6052</v>
      </c>
      <c r="H19258" s="21">
        <v>759.67</v>
      </c>
    </row>
    <row r="19259" spans="1:8" customFormat="1" x14ac:dyDescent="0.25">
      <c r="A19259" t="str">
        <f>"777238"</f>
        <v>777238</v>
      </c>
      <c r="B19259" t="s">
        <v>13961</v>
      </c>
      <c r="C19259" t="s">
        <v>267</v>
      </c>
      <c r="D19259" s="21" t="s">
        <v>34</v>
      </c>
      <c r="E19259" s="21" t="s">
        <v>1089</v>
      </c>
      <c r="F19259">
        <v>8771170</v>
      </c>
      <c r="G19259" t="s">
        <v>50</v>
      </c>
      <c r="H19259" s="21">
        <v>759.67</v>
      </c>
    </row>
    <row r="19260" spans="1:8" customFormat="1" x14ac:dyDescent="0.25">
      <c r="A19260" t="str">
        <f>"6314732"</f>
        <v>6314732</v>
      </c>
      <c r="B19260" t="s">
        <v>12900</v>
      </c>
      <c r="C19260" t="s">
        <v>209</v>
      </c>
      <c r="D19260" s="21" t="s">
        <v>34</v>
      </c>
      <c r="E19260" s="21" t="s">
        <v>71</v>
      </c>
      <c r="F19260">
        <v>1630281</v>
      </c>
      <c r="G19260" t="s">
        <v>1190</v>
      </c>
      <c r="H19260" s="21">
        <v>759.67</v>
      </c>
    </row>
    <row r="19261" spans="1:8" customFormat="1" x14ac:dyDescent="0.25">
      <c r="A19261" t="str">
        <f>"62939"</f>
        <v>62939</v>
      </c>
      <c r="B19261" t="s">
        <v>15308</v>
      </c>
      <c r="C19261" t="s">
        <v>156</v>
      </c>
      <c r="D19261" s="21" t="s">
        <v>34</v>
      </c>
      <c r="E19261" s="21" t="s">
        <v>254</v>
      </c>
      <c r="F19261">
        <v>7620028</v>
      </c>
      <c r="G19261" t="s">
        <v>7217</v>
      </c>
      <c r="H19261" s="21">
        <v>759.67</v>
      </c>
    </row>
    <row r="19262" spans="1:8" customFormat="1" x14ac:dyDescent="0.25">
      <c r="A19262" t="str">
        <f>"9128916"</f>
        <v>9128916</v>
      </c>
      <c r="B19262" t="s">
        <v>16540</v>
      </c>
      <c r="C19262" t="s">
        <v>3073</v>
      </c>
      <c r="D19262" s="21" t="s">
        <v>34</v>
      </c>
      <c r="E19262" s="21" t="s">
        <v>254</v>
      </c>
      <c r="F19262">
        <v>8910102</v>
      </c>
      <c r="G19262" t="s">
        <v>3079</v>
      </c>
      <c r="H19262" s="21">
        <v>759.67</v>
      </c>
    </row>
    <row r="19263" spans="1:8" customFormat="1" x14ac:dyDescent="0.25">
      <c r="A19263" t="str">
        <f>"2930152"</f>
        <v>2930152</v>
      </c>
      <c r="B19263" t="s">
        <v>9832</v>
      </c>
      <c r="C19263" t="s">
        <v>187</v>
      </c>
      <c r="D19263" s="21" t="s">
        <v>34</v>
      </c>
      <c r="E19263" s="21" t="s">
        <v>71</v>
      </c>
      <c r="F19263">
        <v>3290090</v>
      </c>
      <c r="G19263" t="s">
        <v>1390</v>
      </c>
      <c r="H19263" s="21">
        <v>759.67</v>
      </c>
    </row>
    <row r="19264" spans="1:8" customFormat="1" x14ac:dyDescent="0.25">
      <c r="A19264" t="str">
        <f>"841524"</f>
        <v>841524</v>
      </c>
      <c r="B19264" t="s">
        <v>15153</v>
      </c>
      <c r="C19264" t="s">
        <v>169</v>
      </c>
      <c r="D19264" s="21" t="s">
        <v>34</v>
      </c>
      <c r="E19264" s="21" t="s">
        <v>71</v>
      </c>
      <c r="F19264">
        <v>13840037</v>
      </c>
      <c r="G19264" t="s">
        <v>2019</v>
      </c>
      <c r="H19264" s="21">
        <v>759.67</v>
      </c>
    </row>
    <row r="19265" spans="1:8" customFormat="1" x14ac:dyDescent="0.25">
      <c r="A19265" t="str">
        <f>"7713514"</f>
        <v>7713514</v>
      </c>
      <c r="B19265" t="s">
        <v>13416</v>
      </c>
      <c r="C19265" t="s">
        <v>124</v>
      </c>
      <c r="D19265" s="21" t="s">
        <v>34</v>
      </c>
      <c r="E19265" s="21" t="s">
        <v>71</v>
      </c>
      <c r="F19265">
        <v>8770426</v>
      </c>
      <c r="G19265" t="s">
        <v>1847</v>
      </c>
      <c r="H19265" s="21">
        <v>759.67</v>
      </c>
    </row>
    <row r="19266" spans="1:8" customFormat="1" x14ac:dyDescent="0.25">
      <c r="A19266" t="str">
        <f>"9127601"</f>
        <v>9127601</v>
      </c>
      <c r="B19266" t="s">
        <v>14639</v>
      </c>
      <c r="C19266" t="s">
        <v>3648</v>
      </c>
      <c r="D19266" s="21" t="s">
        <v>34</v>
      </c>
      <c r="E19266" s="21" t="s">
        <v>254</v>
      </c>
      <c r="F19266">
        <v>10330076</v>
      </c>
      <c r="G19266" t="s">
        <v>3769</v>
      </c>
      <c r="H19266" s="21">
        <v>759.54</v>
      </c>
    </row>
    <row r="19267" spans="1:8" customFormat="1" x14ac:dyDescent="0.25">
      <c r="A19267" t="str">
        <f>"4421842"</f>
        <v>4421842</v>
      </c>
      <c r="B19267" t="s">
        <v>11553</v>
      </c>
      <c r="C19267" t="s">
        <v>187</v>
      </c>
      <c r="D19267" s="21" t="s">
        <v>34</v>
      </c>
      <c r="E19267" s="21" t="s">
        <v>254</v>
      </c>
      <c r="F19267">
        <v>12440195</v>
      </c>
      <c r="G19267" t="s">
        <v>3117</v>
      </c>
      <c r="H19267" s="21">
        <v>759.42</v>
      </c>
    </row>
    <row r="19268" spans="1:8" customFormat="1" x14ac:dyDescent="0.25">
      <c r="A19268" t="str">
        <f>"7730575"</f>
        <v>7730575</v>
      </c>
      <c r="B19268" t="s">
        <v>17555</v>
      </c>
      <c r="C19268" t="s">
        <v>598</v>
      </c>
      <c r="D19268" s="21" t="s">
        <v>34</v>
      </c>
      <c r="E19268" s="21" t="s">
        <v>71</v>
      </c>
      <c r="F19268">
        <v>8770562</v>
      </c>
      <c r="G19268" t="s">
        <v>4847</v>
      </c>
      <c r="H19268" s="21">
        <v>759.42</v>
      </c>
    </row>
    <row r="19269" spans="1:8" customFormat="1" x14ac:dyDescent="0.25">
      <c r="A19269" t="str">
        <f>"784718"</f>
        <v>784718</v>
      </c>
      <c r="B19269" t="s">
        <v>1056</v>
      </c>
      <c r="C19269" t="s">
        <v>87</v>
      </c>
      <c r="D19269" s="21" t="s">
        <v>34</v>
      </c>
      <c r="E19269" s="21" t="s">
        <v>71</v>
      </c>
      <c r="F19269">
        <v>8780627</v>
      </c>
      <c r="G19269" t="s">
        <v>6097</v>
      </c>
      <c r="H19269" s="21">
        <v>759.42</v>
      </c>
    </row>
    <row r="19270" spans="1:8" customFormat="1" x14ac:dyDescent="0.25">
      <c r="A19270" t="str">
        <f>"227138"</f>
        <v>227138</v>
      </c>
      <c r="B19270" t="s">
        <v>16579</v>
      </c>
      <c r="C19270" t="s">
        <v>2479</v>
      </c>
      <c r="D19270" s="21" t="s">
        <v>34</v>
      </c>
      <c r="E19270" s="21" t="s">
        <v>254</v>
      </c>
      <c r="F19270">
        <v>3220129</v>
      </c>
      <c r="G19270" t="s">
        <v>16580</v>
      </c>
      <c r="H19270" s="21">
        <v>759.17</v>
      </c>
    </row>
    <row r="19271" spans="1:8" customFormat="1" x14ac:dyDescent="0.25">
      <c r="A19271" t="str">
        <f>"4446722"</f>
        <v>4446722</v>
      </c>
      <c r="B19271" t="s">
        <v>23726</v>
      </c>
      <c r="C19271" t="s">
        <v>209</v>
      </c>
      <c r="D19271" s="21" t="s">
        <v>34</v>
      </c>
      <c r="E19271" s="21" t="s">
        <v>71</v>
      </c>
      <c r="F19271">
        <v>12440028</v>
      </c>
      <c r="G19271" t="s">
        <v>1314</v>
      </c>
      <c r="H19271" s="21">
        <v>759.17</v>
      </c>
    </row>
    <row r="19272" spans="1:8" customFormat="1" x14ac:dyDescent="0.25">
      <c r="A19272" t="str">
        <f>"4930577"</f>
        <v>4930577</v>
      </c>
      <c r="B19272" t="s">
        <v>9537</v>
      </c>
      <c r="C19272" t="s">
        <v>209</v>
      </c>
      <c r="D19272" s="21" t="s">
        <v>34</v>
      </c>
      <c r="E19272" s="21" t="s">
        <v>71</v>
      </c>
      <c r="F19272">
        <v>12490124</v>
      </c>
      <c r="G19272" t="s">
        <v>677</v>
      </c>
      <c r="H19272" s="21">
        <v>759.17</v>
      </c>
    </row>
    <row r="19273" spans="1:8" customFormat="1" x14ac:dyDescent="0.25">
      <c r="A19273" t="str">
        <f>"4217725"</f>
        <v>4217725</v>
      </c>
      <c r="B19273" t="s">
        <v>17894</v>
      </c>
      <c r="C19273" t="s">
        <v>486</v>
      </c>
      <c r="D19273" s="21" t="s">
        <v>34</v>
      </c>
      <c r="E19273" s="21" t="s">
        <v>35</v>
      </c>
      <c r="F19273">
        <v>1420163</v>
      </c>
      <c r="G19273" t="s">
        <v>2424</v>
      </c>
      <c r="H19273" s="21">
        <v>759.17</v>
      </c>
    </row>
    <row r="19274" spans="1:8" customFormat="1" x14ac:dyDescent="0.25">
      <c r="A19274" t="str">
        <f>"823557"</f>
        <v>823557</v>
      </c>
      <c r="B19274" t="s">
        <v>1604</v>
      </c>
      <c r="C19274" t="s">
        <v>55</v>
      </c>
      <c r="D19274" s="21" t="s">
        <v>34</v>
      </c>
      <c r="E19274" s="21" t="s">
        <v>71</v>
      </c>
      <c r="F19274">
        <v>11820007</v>
      </c>
      <c r="G19274" t="s">
        <v>532</v>
      </c>
      <c r="H19274" s="21">
        <v>759.17</v>
      </c>
    </row>
    <row r="19275" spans="1:8" customFormat="1" x14ac:dyDescent="0.25">
      <c r="A19275" t="str">
        <f>"7610354"</f>
        <v>7610354</v>
      </c>
      <c r="B19275" t="s">
        <v>4654</v>
      </c>
      <c r="C19275" t="s">
        <v>817</v>
      </c>
      <c r="D19275" s="21" t="s">
        <v>34</v>
      </c>
      <c r="E19275" s="21" t="s">
        <v>71</v>
      </c>
      <c r="F19275">
        <v>9760082</v>
      </c>
      <c r="G19275" t="s">
        <v>2387</v>
      </c>
      <c r="H19275" s="21">
        <v>759.17</v>
      </c>
    </row>
    <row r="19276" spans="1:8" customFormat="1" x14ac:dyDescent="0.25">
      <c r="A19276" t="str">
        <f>"7113757"</f>
        <v>7113757</v>
      </c>
      <c r="B19276" t="s">
        <v>17588</v>
      </c>
      <c r="C19276" t="s">
        <v>17589</v>
      </c>
      <c r="D19276" s="21" t="s">
        <v>34</v>
      </c>
      <c r="E19276" s="21" t="s">
        <v>35</v>
      </c>
      <c r="F19276">
        <v>2710083</v>
      </c>
      <c r="G19276" t="s">
        <v>17590</v>
      </c>
      <c r="H19276" s="21">
        <v>759.17</v>
      </c>
    </row>
    <row r="19277" spans="1:8" customFormat="1" x14ac:dyDescent="0.25">
      <c r="A19277" t="str">
        <f>"4451724"</f>
        <v>4451724</v>
      </c>
      <c r="B19277" t="s">
        <v>16311</v>
      </c>
      <c r="C19277" t="s">
        <v>1025</v>
      </c>
      <c r="D19277" s="21" t="s">
        <v>34</v>
      </c>
      <c r="E19277" s="21" t="s">
        <v>71</v>
      </c>
      <c r="F19277">
        <v>12440141</v>
      </c>
      <c r="G19277" t="s">
        <v>3234</v>
      </c>
      <c r="H19277" s="21">
        <v>759.17</v>
      </c>
    </row>
    <row r="19278" spans="1:8" customFormat="1" x14ac:dyDescent="0.25">
      <c r="A19278" t="str">
        <f>"6226417"</f>
        <v>6226417</v>
      </c>
      <c r="B19278" t="s">
        <v>18650</v>
      </c>
      <c r="C19278" t="s">
        <v>285</v>
      </c>
      <c r="D19278" s="21" t="s">
        <v>34</v>
      </c>
      <c r="E19278" s="21" t="s">
        <v>35</v>
      </c>
      <c r="F19278">
        <v>4370548</v>
      </c>
      <c r="G19278" t="s">
        <v>7106</v>
      </c>
      <c r="H19278" s="21">
        <v>759.17</v>
      </c>
    </row>
    <row r="19279" spans="1:8" customFormat="1" x14ac:dyDescent="0.25">
      <c r="A19279" t="str">
        <f>"5018190"</f>
        <v>5018190</v>
      </c>
      <c r="B19279" t="s">
        <v>14940</v>
      </c>
      <c r="C19279" t="s">
        <v>151</v>
      </c>
      <c r="D19279" s="21" t="s">
        <v>34</v>
      </c>
      <c r="E19279" s="21" t="s">
        <v>35</v>
      </c>
      <c r="F19279">
        <v>9500161</v>
      </c>
      <c r="G19279" t="s">
        <v>11812</v>
      </c>
      <c r="H19279" s="21">
        <v>759.17</v>
      </c>
    </row>
    <row r="19280" spans="1:8" customFormat="1" x14ac:dyDescent="0.25">
      <c r="A19280" t="str">
        <f>"2719968"</f>
        <v>2719968</v>
      </c>
      <c r="B19280" t="s">
        <v>849</v>
      </c>
      <c r="C19280" t="s">
        <v>926</v>
      </c>
      <c r="D19280" s="21" t="s">
        <v>34</v>
      </c>
      <c r="E19280" s="21" t="s">
        <v>35</v>
      </c>
      <c r="F19280">
        <v>9270156</v>
      </c>
      <c r="G19280" t="s">
        <v>3751</v>
      </c>
      <c r="H19280" s="21">
        <v>759.17</v>
      </c>
    </row>
    <row r="19281" spans="1:8" customFormat="1" x14ac:dyDescent="0.25">
      <c r="A19281" t="str">
        <f>"805734"</f>
        <v>805734</v>
      </c>
      <c r="B19281" t="s">
        <v>12563</v>
      </c>
      <c r="C19281" t="s">
        <v>62</v>
      </c>
      <c r="D19281" s="21" t="s">
        <v>34</v>
      </c>
      <c r="E19281" s="21" t="s">
        <v>35</v>
      </c>
      <c r="F19281">
        <v>7800040</v>
      </c>
      <c r="G19281" t="s">
        <v>1448</v>
      </c>
      <c r="H19281" s="21">
        <v>759.17</v>
      </c>
    </row>
    <row r="19282" spans="1:8" customFormat="1" x14ac:dyDescent="0.25">
      <c r="A19282" t="str">
        <f>"2510886"</f>
        <v>2510886</v>
      </c>
      <c r="B19282" t="s">
        <v>13004</v>
      </c>
      <c r="C19282" t="s">
        <v>13005</v>
      </c>
      <c r="D19282" s="21" t="s">
        <v>34</v>
      </c>
      <c r="E19282" s="21" t="s">
        <v>1089</v>
      </c>
      <c r="F19282">
        <v>2250066</v>
      </c>
      <c r="G19282" t="s">
        <v>5321</v>
      </c>
      <c r="H19282" s="21">
        <v>759.17</v>
      </c>
    </row>
    <row r="19283" spans="1:8" customFormat="1" x14ac:dyDescent="0.25">
      <c r="A19283" t="str">
        <f>"3318739"</f>
        <v>3318739</v>
      </c>
      <c r="B19283" t="s">
        <v>17188</v>
      </c>
      <c r="C19283" t="s">
        <v>236</v>
      </c>
      <c r="D19283" s="21" t="s">
        <v>34</v>
      </c>
      <c r="E19283" s="21" t="s">
        <v>254</v>
      </c>
      <c r="F19283">
        <v>10330024</v>
      </c>
      <c r="G19283" t="s">
        <v>16744</v>
      </c>
      <c r="H19283" s="21">
        <v>759.17</v>
      </c>
    </row>
    <row r="19284" spans="1:8" customFormat="1" x14ac:dyDescent="0.25">
      <c r="A19284" t="str">
        <f>"378926"</f>
        <v>378926</v>
      </c>
      <c r="B19284" t="s">
        <v>15338</v>
      </c>
      <c r="C19284" t="s">
        <v>169</v>
      </c>
      <c r="D19284" s="21" t="s">
        <v>34</v>
      </c>
      <c r="E19284" s="21" t="s">
        <v>35</v>
      </c>
      <c r="F19284">
        <v>12490092</v>
      </c>
      <c r="G19284" t="s">
        <v>1854</v>
      </c>
      <c r="H19284" s="21">
        <v>758.92</v>
      </c>
    </row>
    <row r="19285" spans="1:8" customFormat="1" x14ac:dyDescent="0.25">
      <c r="A19285" t="str">
        <f>"933129"</f>
        <v>933129</v>
      </c>
      <c r="B19285" t="s">
        <v>1885</v>
      </c>
      <c r="C19285" t="s">
        <v>2520</v>
      </c>
      <c r="D19285" s="21" t="s">
        <v>34</v>
      </c>
      <c r="E19285" s="21" t="s">
        <v>254</v>
      </c>
      <c r="F19285">
        <v>7600015</v>
      </c>
      <c r="G19285" t="s">
        <v>8343</v>
      </c>
      <c r="H19285" s="21">
        <v>758.67</v>
      </c>
    </row>
    <row r="19286" spans="1:8" customFormat="1" x14ac:dyDescent="0.25">
      <c r="A19286" t="str">
        <f>"61634"</f>
        <v>61634</v>
      </c>
      <c r="B19286" t="s">
        <v>7586</v>
      </c>
      <c r="C19286" t="s">
        <v>2479</v>
      </c>
      <c r="D19286" s="21" t="s">
        <v>34</v>
      </c>
      <c r="E19286" s="21" t="s">
        <v>71</v>
      </c>
      <c r="F19286">
        <v>9610055</v>
      </c>
      <c r="G19286" t="s">
        <v>13803</v>
      </c>
      <c r="H19286" s="21">
        <v>758.67</v>
      </c>
    </row>
    <row r="19287" spans="1:8" customFormat="1" x14ac:dyDescent="0.25">
      <c r="A19287" t="str">
        <f>"733595"</f>
        <v>733595</v>
      </c>
      <c r="B19287" t="s">
        <v>16014</v>
      </c>
      <c r="C19287" t="s">
        <v>253</v>
      </c>
      <c r="D19287" s="21" t="s">
        <v>34</v>
      </c>
      <c r="E19287" s="21" t="s">
        <v>71</v>
      </c>
      <c r="F19287">
        <v>1730007</v>
      </c>
      <c r="G19287" t="s">
        <v>6989</v>
      </c>
      <c r="H19287" s="21">
        <v>758.67</v>
      </c>
    </row>
    <row r="19288" spans="1:8" customFormat="1" x14ac:dyDescent="0.25">
      <c r="A19288" t="str">
        <f>"7515012"</f>
        <v>7515012</v>
      </c>
      <c r="B19288" t="s">
        <v>15327</v>
      </c>
      <c r="C19288" t="s">
        <v>15328</v>
      </c>
      <c r="D19288" s="21" t="s">
        <v>34</v>
      </c>
      <c r="E19288" s="21" t="s">
        <v>71</v>
      </c>
      <c r="F19288">
        <v>8750141</v>
      </c>
      <c r="G19288" t="s">
        <v>1514</v>
      </c>
      <c r="H19288" s="21">
        <v>758.67</v>
      </c>
    </row>
    <row r="19289" spans="1:8" customFormat="1" x14ac:dyDescent="0.25">
      <c r="A19289" t="str">
        <f>"4517629"</f>
        <v>4517629</v>
      </c>
      <c r="B19289" t="s">
        <v>14937</v>
      </c>
      <c r="C19289" t="s">
        <v>249</v>
      </c>
      <c r="D19289" s="21" t="s">
        <v>34</v>
      </c>
      <c r="E19289" s="21" t="s">
        <v>254</v>
      </c>
      <c r="F19289">
        <v>4450573</v>
      </c>
      <c r="G19289" t="s">
        <v>4106</v>
      </c>
      <c r="H19289" s="21">
        <v>758.67</v>
      </c>
    </row>
    <row r="19290" spans="1:8" customFormat="1" x14ac:dyDescent="0.25">
      <c r="A19290" t="str">
        <f>"4215345"</f>
        <v>4215345</v>
      </c>
      <c r="B19290" t="s">
        <v>14616</v>
      </c>
      <c r="C19290" t="s">
        <v>15645</v>
      </c>
      <c r="D19290" s="21" t="s">
        <v>34</v>
      </c>
      <c r="E19290" s="21" t="s">
        <v>35</v>
      </c>
      <c r="F19290">
        <v>1420148</v>
      </c>
      <c r="G19290" t="s">
        <v>10763</v>
      </c>
      <c r="H19290" s="21">
        <v>758.67</v>
      </c>
    </row>
    <row r="19291" spans="1:8" customFormat="1" x14ac:dyDescent="0.25">
      <c r="A19291" t="str">
        <f>"838852"</f>
        <v>838852</v>
      </c>
      <c r="B19291" t="s">
        <v>16030</v>
      </c>
      <c r="C19291" t="s">
        <v>11797</v>
      </c>
      <c r="D19291" s="21" t="s">
        <v>34</v>
      </c>
      <c r="E19291" s="21" t="s">
        <v>35</v>
      </c>
      <c r="F19291">
        <v>13830085</v>
      </c>
      <c r="G19291" t="s">
        <v>478</v>
      </c>
      <c r="H19291" s="21">
        <v>758.67</v>
      </c>
    </row>
    <row r="19292" spans="1:8" customFormat="1" x14ac:dyDescent="0.25">
      <c r="A19292" t="str">
        <f>"1417938"</f>
        <v>1417938</v>
      </c>
      <c r="B19292" t="s">
        <v>13849</v>
      </c>
      <c r="C19292" t="s">
        <v>1132</v>
      </c>
      <c r="D19292" s="21" t="s">
        <v>34</v>
      </c>
      <c r="E19292" s="21" t="s">
        <v>71</v>
      </c>
      <c r="F19292">
        <v>9140123</v>
      </c>
      <c r="G19292" t="s">
        <v>661</v>
      </c>
      <c r="H19292" s="21">
        <v>758.67</v>
      </c>
    </row>
    <row r="19293" spans="1:8" customFormat="1" x14ac:dyDescent="0.25">
      <c r="A19293" t="str">
        <f>"1314923"</f>
        <v>1314923</v>
      </c>
      <c r="B19293" t="s">
        <v>16314</v>
      </c>
      <c r="C19293" t="s">
        <v>87</v>
      </c>
      <c r="D19293" s="21" t="s">
        <v>34</v>
      </c>
      <c r="E19293" s="21" t="s">
        <v>35</v>
      </c>
      <c r="F19293">
        <v>10330002</v>
      </c>
      <c r="G19293" t="s">
        <v>53</v>
      </c>
      <c r="H19293" s="21">
        <v>758.67</v>
      </c>
    </row>
    <row r="19294" spans="1:8" customFormat="1" x14ac:dyDescent="0.25">
      <c r="A19294" t="str">
        <f>"663287"</f>
        <v>663287</v>
      </c>
      <c r="B19294" t="s">
        <v>16499</v>
      </c>
      <c r="C19294" t="s">
        <v>156</v>
      </c>
      <c r="D19294" s="21" t="s">
        <v>34</v>
      </c>
      <c r="E19294" s="21" t="s">
        <v>35</v>
      </c>
      <c r="F19294">
        <v>11660038</v>
      </c>
      <c r="G19294" t="s">
        <v>8493</v>
      </c>
      <c r="H19294" s="21">
        <v>758.67</v>
      </c>
    </row>
    <row r="19295" spans="1:8" customFormat="1" x14ac:dyDescent="0.25">
      <c r="A19295" t="str">
        <f>"623721"</f>
        <v>623721</v>
      </c>
      <c r="B19295" t="s">
        <v>16506</v>
      </c>
      <c r="C19295" t="s">
        <v>209</v>
      </c>
      <c r="D19295" s="21" t="s">
        <v>34</v>
      </c>
      <c r="E19295" s="21" t="s">
        <v>254</v>
      </c>
      <c r="F19295">
        <v>7590228</v>
      </c>
      <c r="G19295" t="s">
        <v>1798</v>
      </c>
      <c r="H19295" s="21">
        <v>758.67</v>
      </c>
    </row>
    <row r="19296" spans="1:8" customFormat="1" x14ac:dyDescent="0.25">
      <c r="A19296" t="str">
        <f>"78413"</f>
        <v>78413</v>
      </c>
      <c r="B19296" t="s">
        <v>14845</v>
      </c>
      <c r="C19296" t="s">
        <v>1605</v>
      </c>
      <c r="D19296" s="21" t="s">
        <v>34</v>
      </c>
      <c r="E19296" s="21" t="s">
        <v>254</v>
      </c>
      <c r="F19296">
        <v>8780114</v>
      </c>
      <c r="G19296" t="s">
        <v>927</v>
      </c>
      <c r="H19296" s="21">
        <v>758.67</v>
      </c>
    </row>
    <row r="19297" spans="1:8" customFormat="1" x14ac:dyDescent="0.25">
      <c r="A19297" t="str">
        <f>"595849"</f>
        <v>595849</v>
      </c>
      <c r="B19297" t="s">
        <v>12880</v>
      </c>
      <c r="C19297" t="s">
        <v>12304</v>
      </c>
      <c r="D19297" s="21" t="s">
        <v>34</v>
      </c>
      <c r="E19297" s="21" t="s">
        <v>254</v>
      </c>
      <c r="F19297">
        <v>7590004</v>
      </c>
      <c r="G19297" t="s">
        <v>4816</v>
      </c>
      <c r="H19297" s="21">
        <v>758.67</v>
      </c>
    </row>
    <row r="19298" spans="1:8" customFormat="1" x14ac:dyDescent="0.25">
      <c r="A19298" t="str">
        <f>"3013443"</f>
        <v>3013443</v>
      </c>
      <c r="B19298" t="s">
        <v>5367</v>
      </c>
      <c r="C19298" t="s">
        <v>121</v>
      </c>
      <c r="D19298" s="21" t="s">
        <v>34</v>
      </c>
      <c r="E19298" s="21" t="s">
        <v>71</v>
      </c>
      <c r="F19298">
        <v>11300004</v>
      </c>
      <c r="G19298" t="s">
        <v>758</v>
      </c>
      <c r="H19298" s="21">
        <v>758.67</v>
      </c>
    </row>
    <row r="19299" spans="1:8" customFormat="1" x14ac:dyDescent="0.25">
      <c r="A19299" t="str">
        <f>"5018578"</f>
        <v>5018578</v>
      </c>
      <c r="B19299" t="s">
        <v>4095</v>
      </c>
      <c r="C19299" t="s">
        <v>206</v>
      </c>
      <c r="D19299" s="21" t="s">
        <v>34</v>
      </c>
      <c r="E19299" s="21" t="s">
        <v>35</v>
      </c>
      <c r="F19299">
        <v>9500082</v>
      </c>
      <c r="G19299" t="s">
        <v>11183</v>
      </c>
      <c r="H19299" s="21">
        <v>758.67</v>
      </c>
    </row>
    <row r="19300" spans="1:8" customFormat="1" x14ac:dyDescent="0.25">
      <c r="A19300" t="str">
        <f>"2812591"</f>
        <v>2812591</v>
      </c>
      <c r="B19300" t="s">
        <v>17603</v>
      </c>
      <c r="C19300" t="s">
        <v>576</v>
      </c>
      <c r="D19300" s="21" t="s">
        <v>34</v>
      </c>
      <c r="E19300" s="21" t="s">
        <v>35</v>
      </c>
      <c r="F19300">
        <v>4280593</v>
      </c>
      <c r="G19300" t="s">
        <v>4536</v>
      </c>
      <c r="H19300" s="21">
        <v>758.67</v>
      </c>
    </row>
    <row r="19301" spans="1:8" customFormat="1" x14ac:dyDescent="0.25">
      <c r="A19301" t="str">
        <f>"621827"</f>
        <v>621827</v>
      </c>
      <c r="B19301" t="s">
        <v>15241</v>
      </c>
      <c r="C19301" t="s">
        <v>598</v>
      </c>
      <c r="D19301" s="21" t="s">
        <v>34</v>
      </c>
      <c r="E19301" s="21" t="s">
        <v>254</v>
      </c>
      <c r="F19301">
        <v>7620029</v>
      </c>
      <c r="G19301" t="s">
        <v>7730</v>
      </c>
      <c r="H19301" s="21">
        <v>758.67</v>
      </c>
    </row>
    <row r="19302" spans="1:8" customFormat="1" x14ac:dyDescent="0.25">
      <c r="A19302" t="str">
        <f>"5936575"</f>
        <v>5936575</v>
      </c>
      <c r="B19302" t="s">
        <v>16576</v>
      </c>
      <c r="C19302" t="s">
        <v>233</v>
      </c>
      <c r="D19302" s="21" t="s">
        <v>34</v>
      </c>
      <c r="E19302" s="21" t="s">
        <v>71</v>
      </c>
      <c r="F19302">
        <v>7620079</v>
      </c>
      <c r="G19302" t="s">
        <v>9718</v>
      </c>
      <c r="H19302" s="21">
        <v>758.67</v>
      </c>
    </row>
    <row r="19303" spans="1:8" customFormat="1" x14ac:dyDescent="0.25">
      <c r="A19303" t="str">
        <f>"8310330"</f>
        <v>8310330</v>
      </c>
      <c r="B19303" t="s">
        <v>16327</v>
      </c>
      <c r="C19303" t="s">
        <v>239</v>
      </c>
      <c r="D19303" s="21" t="s">
        <v>34</v>
      </c>
      <c r="E19303" s="21" t="s">
        <v>1089</v>
      </c>
      <c r="F19303">
        <v>13830044</v>
      </c>
      <c r="G19303" t="s">
        <v>945</v>
      </c>
      <c r="H19303" s="21">
        <v>758.67</v>
      </c>
    </row>
    <row r="19304" spans="1:8" customFormat="1" x14ac:dyDescent="0.25">
      <c r="A19304" t="str">
        <f>"265"</f>
        <v>265</v>
      </c>
      <c r="B19304" t="s">
        <v>16384</v>
      </c>
      <c r="C19304" t="s">
        <v>1110</v>
      </c>
      <c r="D19304" s="21" t="s">
        <v>34</v>
      </c>
      <c r="E19304" s="21" t="s">
        <v>254</v>
      </c>
      <c r="F19304">
        <v>1260001</v>
      </c>
      <c r="G19304" t="s">
        <v>16056</v>
      </c>
      <c r="H19304" s="21">
        <v>758.67</v>
      </c>
    </row>
    <row r="19305" spans="1:8" customFormat="1" x14ac:dyDescent="0.25">
      <c r="A19305" t="str">
        <f>"443141"</f>
        <v>443141</v>
      </c>
      <c r="B19305" t="s">
        <v>7152</v>
      </c>
      <c r="C19305" t="s">
        <v>269</v>
      </c>
      <c r="D19305" s="21" t="s">
        <v>34</v>
      </c>
      <c r="E19305" s="21" t="s">
        <v>1089</v>
      </c>
      <c r="F19305">
        <v>12440105</v>
      </c>
      <c r="G19305" t="s">
        <v>594</v>
      </c>
      <c r="H19305" s="21">
        <v>758.42</v>
      </c>
    </row>
    <row r="19306" spans="1:8" customFormat="1" x14ac:dyDescent="0.25">
      <c r="A19306" t="str">
        <f>"2719113"</f>
        <v>2719113</v>
      </c>
      <c r="B19306" t="s">
        <v>12532</v>
      </c>
      <c r="C19306" t="s">
        <v>598</v>
      </c>
      <c r="D19306" s="21" t="s">
        <v>34</v>
      </c>
      <c r="E19306" s="21" t="s">
        <v>254</v>
      </c>
      <c r="F19306">
        <v>9270110</v>
      </c>
      <c r="G19306" t="s">
        <v>7417</v>
      </c>
      <c r="H19306" s="21">
        <v>758.42</v>
      </c>
    </row>
    <row r="19307" spans="1:8" customFormat="1" x14ac:dyDescent="0.25">
      <c r="A19307" t="str">
        <f>"9129658"</f>
        <v>9129658</v>
      </c>
      <c r="B19307" t="s">
        <v>17044</v>
      </c>
      <c r="C19307" t="s">
        <v>985</v>
      </c>
      <c r="D19307" s="21" t="s">
        <v>34</v>
      </c>
      <c r="E19307" s="21" t="s">
        <v>35</v>
      </c>
      <c r="F19307">
        <v>8910442</v>
      </c>
      <c r="G19307" t="s">
        <v>1336</v>
      </c>
      <c r="H19307" s="21">
        <v>758.42</v>
      </c>
    </row>
    <row r="19308" spans="1:8" customFormat="1" x14ac:dyDescent="0.25">
      <c r="A19308" t="str">
        <f>"707129"</f>
        <v>707129</v>
      </c>
      <c r="B19308" t="s">
        <v>18447</v>
      </c>
      <c r="C19308" t="s">
        <v>109</v>
      </c>
      <c r="D19308" s="21" t="s">
        <v>34</v>
      </c>
      <c r="E19308" s="21" t="s">
        <v>35</v>
      </c>
      <c r="F19308">
        <v>2700094</v>
      </c>
      <c r="G19308" t="s">
        <v>18448</v>
      </c>
      <c r="H19308" s="21">
        <v>758.29</v>
      </c>
    </row>
    <row r="19309" spans="1:8" customFormat="1" x14ac:dyDescent="0.25">
      <c r="A19309" t="str">
        <f>"814796"</f>
        <v>814796</v>
      </c>
      <c r="B19309" t="s">
        <v>19677</v>
      </c>
      <c r="C19309" t="s">
        <v>1142</v>
      </c>
      <c r="D19309" s="21" t="s">
        <v>34</v>
      </c>
      <c r="E19309" s="21" t="s">
        <v>254</v>
      </c>
      <c r="F19309">
        <v>11810032</v>
      </c>
      <c r="G19309" t="s">
        <v>7859</v>
      </c>
      <c r="H19309" s="21">
        <v>758.29</v>
      </c>
    </row>
    <row r="19310" spans="1:8" customFormat="1" x14ac:dyDescent="0.25">
      <c r="A19310" t="str">
        <f>"881783"</f>
        <v>881783</v>
      </c>
      <c r="B19310" t="s">
        <v>15627</v>
      </c>
      <c r="C19310" t="s">
        <v>1146</v>
      </c>
      <c r="D19310" s="21" t="s">
        <v>34</v>
      </c>
      <c r="E19310" s="21" t="s">
        <v>6185</v>
      </c>
      <c r="F19310">
        <v>6880071</v>
      </c>
      <c r="G19310" t="s">
        <v>4226</v>
      </c>
      <c r="H19310" s="21">
        <v>758.17</v>
      </c>
    </row>
    <row r="19311" spans="1:8" customFormat="1" x14ac:dyDescent="0.25">
      <c r="A19311" t="str">
        <f>"646838"</f>
        <v>646838</v>
      </c>
      <c r="B19311" t="s">
        <v>17561</v>
      </c>
      <c r="C19311" t="s">
        <v>65</v>
      </c>
      <c r="D19311" s="21" t="s">
        <v>34</v>
      </c>
      <c r="E19311" s="21" t="s">
        <v>35</v>
      </c>
      <c r="F19311">
        <v>10640004</v>
      </c>
      <c r="G19311" t="s">
        <v>26618</v>
      </c>
      <c r="H19311" s="21">
        <v>758.17</v>
      </c>
    </row>
    <row r="19312" spans="1:8" customFormat="1" x14ac:dyDescent="0.25">
      <c r="A19312" t="str">
        <f>"9520255"</f>
        <v>9520255</v>
      </c>
      <c r="B19312" t="s">
        <v>15920</v>
      </c>
      <c r="C19312" t="s">
        <v>156</v>
      </c>
      <c r="D19312" s="21" t="s">
        <v>34</v>
      </c>
      <c r="E19312" s="21" t="s">
        <v>71</v>
      </c>
      <c r="F19312">
        <v>8950978</v>
      </c>
      <c r="G19312" t="s">
        <v>1164</v>
      </c>
      <c r="H19312" s="21">
        <v>758.17</v>
      </c>
    </row>
    <row r="19313" spans="1:8" customFormat="1" x14ac:dyDescent="0.25">
      <c r="A19313" t="str">
        <f>"3419244"</f>
        <v>3419244</v>
      </c>
      <c r="B19313" t="s">
        <v>1833</v>
      </c>
      <c r="C19313" t="s">
        <v>415</v>
      </c>
      <c r="D19313" s="21" t="s">
        <v>34</v>
      </c>
      <c r="E19313" s="21" t="s">
        <v>71</v>
      </c>
      <c r="F19313">
        <v>11340047</v>
      </c>
      <c r="G19313" t="s">
        <v>4303</v>
      </c>
      <c r="H19313" s="21">
        <v>758.17</v>
      </c>
    </row>
    <row r="19314" spans="1:8" customFormat="1" x14ac:dyDescent="0.25">
      <c r="A19314" t="str">
        <f>"569128"</f>
        <v>569128</v>
      </c>
      <c r="B19314" t="s">
        <v>14410</v>
      </c>
      <c r="C19314" t="s">
        <v>462</v>
      </c>
      <c r="D19314" s="21" t="s">
        <v>34</v>
      </c>
      <c r="E19314" s="21" t="s">
        <v>71</v>
      </c>
      <c r="F19314">
        <v>3560023</v>
      </c>
      <c r="G19314" t="s">
        <v>8213</v>
      </c>
      <c r="H19314" s="21">
        <v>758.17</v>
      </c>
    </row>
    <row r="19315" spans="1:8" customFormat="1" x14ac:dyDescent="0.25">
      <c r="A19315" t="str">
        <f>"7827129"</f>
        <v>7827129</v>
      </c>
      <c r="B19315" t="s">
        <v>14463</v>
      </c>
      <c r="C19315" t="s">
        <v>3648</v>
      </c>
      <c r="D19315" s="21" t="s">
        <v>34</v>
      </c>
      <c r="E19315" s="21" t="s">
        <v>71</v>
      </c>
      <c r="F19315">
        <v>12720042</v>
      </c>
      <c r="G19315" t="s">
        <v>922</v>
      </c>
      <c r="H19315" s="21">
        <v>758.17</v>
      </c>
    </row>
    <row r="19316" spans="1:8" customFormat="1" x14ac:dyDescent="0.25">
      <c r="A19316" t="str">
        <f>"726391"</f>
        <v>726391</v>
      </c>
      <c r="B19316" t="s">
        <v>10361</v>
      </c>
      <c r="C19316" t="s">
        <v>55</v>
      </c>
      <c r="D19316" s="21" t="s">
        <v>34</v>
      </c>
      <c r="E19316" s="21" t="s">
        <v>71</v>
      </c>
      <c r="F19316">
        <v>12720044</v>
      </c>
      <c r="G19316" t="s">
        <v>7176</v>
      </c>
      <c r="H19316" s="21">
        <v>758.17</v>
      </c>
    </row>
    <row r="19317" spans="1:8" customFormat="1" x14ac:dyDescent="0.25">
      <c r="A19317" t="str">
        <f>"364839"</f>
        <v>364839</v>
      </c>
      <c r="B19317" t="s">
        <v>17356</v>
      </c>
      <c r="C19317" t="s">
        <v>656</v>
      </c>
      <c r="D19317" s="21" t="s">
        <v>34</v>
      </c>
      <c r="E19317" s="21" t="s">
        <v>35</v>
      </c>
      <c r="F19317">
        <v>4360605</v>
      </c>
      <c r="G19317" t="s">
        <v>6003</v>
      </c>
      <c r="H19317" s="21">
        <v>758.17</v>
      </c>
    </row>
    <row r="19318" spans="1:8" customFormat="1" x14ac:dyDescent="0.25">
      <c r="A19318" t="str">
        <f>"089731"</f>
        <v>089731</v>
      </c>
      <c r="B19318" t="s">
        <v>2400</v>
      </c>
      <c r="C19318" t="s">
        <v>399</v>
      </c>
      <c r="D19318" s="21" t="s">
        <v>34</v>
      </c>
      <c r="E19318" s="21" t="s">
        <v>35</v>
      </c>
      <c r="F19318">
        <v>6080015</v>
      </c>
      <c r="G19318" t="s">
        <v>15205</v>
      </c>
      <c r="H19318" s="21">
        <v>758.17</v>
      </c>
    </row>
    <row r="19319" spans="1:8" customFormat="1" x14ac:dyDescent="0.25">
      <c r="A19319" t="str">
        <f>"064959"</f>
        <v>064959</v>
      </c>
      <c r="B19319" t="s">
        <v>15515</v>
      </c>
      <c r="C19319" t="s">
        <v>15516</v>
      </c>
      <c r="D19319" s="21" t="s">
        <v>34</v>
      </c>
      <c r="E19319" s="21" t="s">
        <v>35</v>
      </c>
      <c r="F19319">
        <v>13060064</v>
      </c>
      <c r="G19319" t="s">
        <v>976</v>
      </c>
      <c r="H19319" s="21">
        <v>758.17</v>
      </c>
    </row>
    <row r="19320" spans="1:8" customFormat="1" x14ac:dyDescent="0.25">
      <c r="A19320" t="str">
        <f>"624008"</f>
        <v>624008</v>
      </c>
      <c r="B19320" t="s">
        <v>3146</v>
      </c>
      <c r="C19320" t="s">
        <v>415</v>
      </c>
      <c r="D19320" s="21" t="s">
        <v>34</v>
      </c>
      <c r="E19320" s="21" t="s">
        <v>254</v>
      </c>
      <c r="F19320">
        <v>7620042</v>
      </c>
      <c r="G19320" t="s">
        <v>8102</v>
      </c>
      <c r="H19320" s="21">
        <v>758.17</v>
      </c>
    </row>
    <row r="19321" spans="1:8" customFormat="1" x14ac:dyDescent="0.25">
      <c r="A19321" t="str">
        <f>"5958607"</f>
        <v>5958607</v>
      </c>
      <c r="B19321" t="s">
        <v>15673</v>
      </c>
      <c r="C19321" t="s">
        <v>3648</v>
      </c>
      <c r="D19321" s="21" t="s">
        <v>34</v>
      </c>
      <c r="E19321" s="21" t="s">
        <v>35</v>
      </c>
      <c r="F19321">
        <v>11110015</v>
      </c>
      <c r="G19321" t="s">
        <v>26669</v>
      </c>
      <c r="H19321" s="21">
        <v>758.17</v>
      </c>
    </row>
    <row r="19322" spans="1:8" customFormat="1" x14ac:dyDescent="0.25">
      <c r="A19322" t="str">
        <f>"747436"</f>
        <v>747436</v>
      </c>
      <c r="B19322" t="s">
        <v>15297</v>
      </c>
      <c r="C19322" t="s">
        <v>15298</v>
      </c>
      <c r="D19322" s="21" t="s">
        <v>34</v>
      </c>
      <c r="E19322" s="21" t="s">
        <v>71</v>
      </c>
      <c r="F19322">
        <v>11300014</v>
      </c>
      <c r="G19322" t="s">
        <v>2345</v>
      </c>
      <c r="H19322" s="21">
        <v>758.17</v>
      </c>
    </row>
    <row r="19323" spans="1:8" customFormat="1" x14ac:dyDescent="0.25">
      <c r="A19323" t="str">
        <f>"7871728"</f>
        <v>7871728</v>
      </c>
      <c r="B19323" t="s">
        <v>12206</v>
      </c>
      <c r="C19323" t="s">
        <v>139</v>
      </c>
      <c r="D19323" s="21" t="s">
        <v>34</v>
      </c>
      <c r="E19323" s="21" t="s">
        <v>35</v>
      </c>
      <c r="F19323">
        <v>8780356</v>
      </c>
      <c r="G19323" t="s">
        <v>5449</v>
      </c>
      <c r="H19323" s="21">
        <v>758.17</v>
      </c>
    </row>
    <row r="19324" spans="1:8" customFormat="1" x14ac:dyDescent="0.25">
      <c r="A19324" t="str">
        <f>"026950"</f>
        <v>026950</v>
      </c>
      <c r="B19324" t="s">
        <v>15614</v>
      </c>
      <c r="C19324" t="s">
        <v>187</v>
      </c>
      <c r="D19324" s="21" t="s">
        <v>34</v>
      </c>
      <c r="E19324" s="21" t="s">
        <v>35</v>
      </c>
      <c r="F19324">
        <v>7020080</v>
      </c>
      <c r="G19324" t="s">
        <v>5600</v>
      </c>
      <c r="H19324" s="21">
        <v>758.17</v>
      </c>
    </row>
    <row r="19325" spans="1:8" customFormat="1" x14ac:dyDescent="0.25">
      <c r="A19325" t="str">
        <f>"6917369"</f>
        <v>6917369</v>
      </c>
      <c r="B19325" t="s">
        <v>10520</v>
      </c>
      <c r="C19325" t="s">
        <v>469</v>
      </c>
      <c r="D19325" s="21" t="s">
        <v>34</v>
      </c>
      <c r="E19325" s="21" t="s">
        <v>254</v>
      </c>
      <c r="F19325">
        <v>1690103</v>
      </c>
      <c r="G19325" t="s">
        <v>5411</v>
      </c>
      <c r="H19325" s="21">
        <v>758.17</v>
      </c>
    </row>
    <row r="19326" spans="1:8" customFormat="1" x14ac:dyDescent="0.25">
      <c r="A19326" t="str">
        <f>"5010982"</f>
        <v>5010982</v>
      </c>
      <c r="B19326" t="s">
        <v>27564</v>
      </c>
      <c r="C19326" t="s">
        <v>4267</v>
      </c>
      <c r="D19326" s="21" t="s">
        <v>34</v>
      </c>
      <c r="E19326" s="21" t="s">
        <v>71</v>
      </c>
      <c r="F19326">
        <v>9500048</v>
      </c>
      <c r="G19326" t="s">
        <v>1804</v>
      </c>
      <c r="H19326" s="21">
        <v>758.17</v>
      </c>
    </row>
    <row r="19327" spans="1:8" customFormat="1" x14ac:dyDescent="0.25">
      <c r="A19327" t="str">
        <f>"3333632"</f>
        <v>3333632</v>
      </c>
      <c r="B19327" t="s">
        <v>3146</v>
      </c>
      <c r="C19327" t="s">
        <v>60</v>
      </c>
      <c r="D19327" s="21" t="s">
        <v>34</v>
      </c>
      <c r="E19327" s="21" t="s">
        <v>35</v>
      </c>
      <c r="F19327">
        <v>10330018</v>
      </c>
      <c r="G19327" t="s">
        <v>15112</v>
      </c>
      <c r="H19327" s="21">
        <v>758.04</v>
      </c>
    </row>
    <row r="19328" spans="1:8" customFormat="1" x14ac:dyDescent="0.25">
      <c r="A19328" t="str">
        <f>"1423145"</f>
        <v>1423145</v>
      </c>
      <c r="B19328" t="s">
        <v>5416</v>
      </c>
      <c r="C19328" t="s">
        <v>87</v>
      </c>
      <c r="D19328" s="21" t="s">
        <v>34</v>
      </c>
      <c r="E19328" s="21" t="s">
        <v>71</v>
      </c>
      <c r="F19328">
        <v>9140216</v>
      </c>
      <c r="G19328" t="s">
        <v>11740</v>
      </c>
      <c r="H19328" s="21">
        <v>758.04</v>
      </c>
    </row>
    <row r="19329" spans="1:8" customFormat="1" x14ac:dyDescent="0.25">
      <c r="A19329" t="str">
        <f>"7722757"</f>
        <v>7722757</v>
      </c>
      <c r="B19329" t="s">
        <v>6485</v>
      </c>
      <c r="C19329" t="s">
        <v>98</v>
      </c>
      <c r="D19329" s="21" t="s">
        <v>34</v>
      </c>
      <c r="E19329" s="21" t="s">
        <v>35</v>
      </c>
      <c r="F19329">
        <v>8770955</v>
      </c>
      <c r="G19329" t="s">
        <v>9946</v>
      </c>
      <c r="H19329" s="21">
        <v>757.92</v>
      </c>
    </row>
    <row r="19330" spans="1:8" customFormat="1" x14ac:dyDescent="0.25">
      <c r="A19330" t="str">
        <f>"4437057"</f>
        <v>4437057</v>
      </c>
      <c r="B19330" t="s">
        <v>15441</v>
      </c>
      <c r="C19330" t="s">
        <v>15442</v>
      </c>
      <c r="D19330" s="21" t="s">
        <v>34</v>
      </c>
      <c r="E19330" s="21" t="s">
        <v>35</v>
      </c>
      <c r="F19330">
        <v>12440073</v>
      </c>
      <c r="G19330" t="s">
        <v>3492</v>
      </c>
      <c r="H19330" s="21">
        <v>757.92</v>
      </c>
    </row>
    <row r="19331" spans="1:8" customFormat="1" x14ac:dyDescent="0.25">
      <c r="A19331" t="str">
        <f>"668395"</f>
        <v>668395</v>
      </c>
      <c r="B19331" t="s">
        <v>27565</v>
      </c>
      <c r="C19331" t="s">
        <v>5861</v>
      </c>
      <c r="D19331" s="21" t="s">
        <v>34</v>
      </c>
      <c r="E19331" s="21" t="s">
        <v>35</v>
      </c>
      <c r="F19331">
        <v>11660016</v>
      </c>
      <c r="G19331" t="s">
        <v>4510</v>
      </c>
      <c r="H19331" s="21">
        <v>757.92</v>
      </c>
    </row>
    <row r="19332" spans="1:8" customFormat="1" x14ac:dyDescent="0.25">
      <c r="A19332" t="str">
        <f>"5313187"</f>
        <v>5313187</v>
      </c>
      <c r="B19332" t="s">
        <v>877</v>
      </c>
      <c r="C19332" t="s">
        <v>253</v>
      </c>
      <c r="D19332" s="21" t="s">
        <v>34</v>
      </c>
      <c r="E19332" s="21" t="s">
        <v>254</v>
      </c>
      <c r="F19332">
        <v>12530060</v>
      </c>
      <c r="G19332" t="s">
        <v>1356</v>
      </c>
      <c r="H19332" s="21">
        <v>757.92</v>
      </c>
    </row>
    <row r="19333" spans="1:8" customFormat="1" x14ac:dyDescent="0.25">
      <c r="A19333" t="str">
        <f>"172876"</f>
        <v>172876</v>
      </c>
      <c r="B19333" t="s">
        <v>17290</v>
      </c>
      <c r="C19333" t="s">
        <v>40</v>
      </c>
      <c r="D19333" s="21" t="s">
        <v>34</v>
      </c>
      <c r="E19333" s="21" t="s">
        <v>254</v>
      </c>
      <c r="F19333">
        <v>10170033</v>
      </c>
      <c r="G19333" t="s">
        <v>3756</v>
      </c>
      <c r="H19333" s="21">
        <v>757.92</v>
      </c>
    </row>
    <row r="19334" spans="1:8" customFormat="1" x14ac:dyDescent="0.25">
      <c r="A19334" t="str">
        <f>"5733643"</f>
        <v>5733643</v>
      </c>
      <c r="B19334" t="s">
        <v>19361</v>
      </c>
      <c r="C19334" t="s">
        <v>249</v>
      </c>
      <c r="D19334" s="21" t="s">
        <v>34</v>
      </c>
      <c r="E19334" s="21" t="s">
        <v>35</v>
      </c>
      <c r="F19334">
        <v>6570175</v>
      </c>
      <c r="G19334" t="s">
        <v>9707</v>
      </c>
      <c r="H19334" s="21">
        <v>757.67</v>
      </c>
    </row>
    <row r="19335" spans="1:8" customFormat="1" x14ac:dyDescent="0.25">
      <c r="A19335" t="str">
        <f>"8813032"</f>
        <v>8813032</v>
      </c>
      <c r="B19335" t="s">
        <v>15567</v>
      </c>
      <c r="C19335" t="s">
        <v>37</v>
      </c>
      <c r="D19335" s="21" t="s">
        <v>34</v>
      </c>
      <c r="E19335" s="21" t="s">
        <v>71</v>
      </c>
      <c r="F19335">
        <v>6880073</v>
      </c>
      <c r="G19335" t="s">
        <v>6648</v>
      </c>
      <c r="H19335" s="21">
        <v>757.67</v>
      </c>
    </row>
    <row r="19336" spans="1:8" customFormat="1" x14ac:dyDescent="0.25">
      <c r="A19336" t="str">
        <f>"2930064"</f>
        <v>2930064</v>
      </c>
      <c r="B19336" t="s">
        <v>15235</v>
      </c>
      <c r="C19336" t="s">
        <v>55</v>
      </c>
      <c r="D19336" s="21" t="s">
        <v>34</v>
      </c>
      <c r="E19336" s="21" t="s">
        <v>71</v>
      </c>
      <c r="F19336">
        <v>3290285</v>
      </c>
      <c r="G19336" t="s">
        <v>2234</v>
      </c>
      <c r="H19336" s="21">
        <v>757.67</v>
      </c>
    </row>
    <row r="19337" spans="1:8" customFormat="1" x14ac:dyDescent="0.25">
      <c r="A19337" t="str">
        <f>"9226523"</f>
        <v>9226523</v>
      </c>
      <c r="B19337" t="s">
        <v>27566</v>
      </c>
      <c r="C19337" t="s">
        <v>2730</v>
      </c>
      <c r="D19337" s="21" t="s">
        <v>34</v>
      </c>
      <c r="E19337" s="21" t="s">
        <v>71</v>
      </c>
      <c r="F19337">
        <v>8781267</v>
      </c>
      <c r="G19337" t="s">
        <v>13791</v>
      </c>
      <c r="H19337" s="21">
        <v>757.67</v>
      </c>
    </row>
    <row r="19338" spans="1:8" customFormat="1" x14ac:dyDescent="0.25">
      <c r="A19338" t="str">
        <f>"2515021"</f>
        <v>2515021</v>
      </c>
      <c r="B19338" t="s">
        <v>3582</v>
      </c>
      <c r="C19338" t="s">
        <v>174</v>
      </c>
      <c r="D19338" s="21" t="s">
        <v>34</v>
      </c>
      <c r="E19338" s="21" t="s">
        <v>35</v>
      </c>
      <c r="F19338">
        <v>2250211</v>
      </c>
      <c r="G19338" t="s">
        <v>9174</v>
      </c>
      <c r="H19338" s="21">
        <v>757.67</v>
      </c>
    </row>
    <row r="19339" spans="1:8" customFormat="1" x14ac:dyDescent="0.25">
      <c r="A19339" t="str">
        <f>"594894"</f>
        <v>594894</v>
      </c>
      <c r="B19339" t="s">
        <v>14494</v>
      </c>
      <c r="C19339" t="s">
        <v>55</v>
      </c>
      <c r="D19339" s="21" t="s">
        <v>34</v>
      </c>
      <c r="E19339" s="21" t="s">
        <v>71</v>
      </c>
      <c r="F19339">
        <v>7590127</v>
      </c>
      <c r="G19339" t="s">
        <v>214</v>
      </c>
      <c r="H19339" s="21">
        <v>757.67</v>
      </c>
    </row>
    <row r="19340" spans="1:8" customFormat="1" x14ac:dyDescent="0.25">
      <c r="A19340" t="str">
        <f>"7635774"</f>
        <v>7635774</v>
      </c>
      <c r="B19340" t="s">
        <v>1661</v>
      </c>
      <c r="C19340" t="s">
        <v>269</v>
      </c>
      <c r="D19340" s="21" t="s">
        <v>34</v>
      </c>
      <c r="E19340" s="21" t="s">
        <v>71</v>
      </c>
      <c r="F19340">
        <v>9760430</v>
      </c>
      <c r="G19340" t="s">
        <v>11565</v>
      </c>
      <c r="H19340" s="21">
        <v>757.67</v>
      </c>
    </row>
    <row r="19341" spans="1:8" customFormat="1" x14ac:dyDescent="0.25">
      <c r="A19341" t="str">
        <f>"037174"</f>
        <v>037174</v>
      </c>
      <c r="B19341" t="s">
        <v>17869</v>
      </c>
      <c r="C19341" t="s">
        <v>1110</v>
      </c>
      <c r="D19341" s="21" t="s">
        <v>34</v>
      </c>
      <c r="E19341" s="21" t="s">
        <v>254</v>
      </c>
      <c r="F19341">
        <v>1030291</v>
      </c>
      <c r="G19341" t="s">
        <v>14963</v>
      </c>
      <c r="H19341" s="21">
        <v>757.67</v>
      </c>
    </row>
    <row r="19342" spans="1:8" customFormat="1" x14ac:dyDescent="0.25">
      <c r="A19342" t="str">
        <f>"6016389"</f>
        <v>6016389</v>
      </c>
      <c r="B19342" t="s">
        <v>27567</v>
      </c>
      <c r="C19342" t="s">
        <v>486</v>
      </c>
      <c r="D19342" s="21" t="s">
        <v>34</v>
      </c>
      <c r="E19342" s="21" t="s">
        <v>35</v>
      </c>
      <c r="F19342">
        <v>8770937</v>
      </c>
      <c r="G19342" t="s">
        <v>2119</v>
      </c>
      <c r="H19342" s="21">
        <v>757.67</v>
      </c>
    </row>
    <row r="19343" spans="1:8" customFormat="1" x14ac:dyDescent="0.25">
      <c r="A19343" t="str">
        <f>"192599"</f>
        <v>192599</v>
      </c>
      <c r="B19343" t="s">
        <v>16642</v>
      </c>
      <c r="C19343" t="s">
        <v>239</v>
      </c>
      <c r="D19343" s="21" t="s">
        <v>34</v>
      </c>
      <c r="E19343" s="21" t="s">
        <v>1089</v>
      </c>
      <c r="F19343">
        <v>11820035</v>
      </c>
      <c r="G19343" t="s">
        <v>16643</v>
      </c>
      <c r="H19343" s="21">
        <v>757.67</v>
      </c>
    </row>
    <row r="19344" spans="1:8" customFormat="1" x14ac:dyDescent="0.25">
      <c r="A19344" t="str">
        <f>"608377"</f>
        <v>608377</v>
      </c>
      <c r="B19344" t="s">
        <v>15356</v>
      </c>
      <c r="C19344" t="s">
        <v>33</v>
      </c>
      <c r="D19344" s="21" t="s">
        <v>34</v>
      </c>
      <c r="E19344" s="21" t="s">
        <v>35</v>
      </c>
      <c r="F19344">
        <v>7600054</v>
      </c>
      <c r="G19344" t="s">
        <v>1352</v>
      </c>
      <c r="H19344" s="21">
        <v>757.67</v>
      </c>
    </row>
    <row r="19345" spans="1:8" customFormat="1" x14ac:dyDescent="0.25">
      <c r="A19345" t="str">
        <f>"5418347"</f>
        <v>5418347</v>
      </c>
      <c r="B19345" t="s">
        <v>4361</v>
      </c>
      <c r="C19345" t="s">
        <v>926</v>
      </c>
      <c r="D19345" s="21" t="s">
        <v>34</v>
      </c>
      <c r="E19345" s="21" t="s">
        <v>254</v>
      </c>
      <c r="F19345">
        <v>2250016</v>
      </c>
      <c r="G19345" t="s">
        <v>1709</v>
      </c>
      <c r="H19345" s="21">
        <v>757.67</v>
      </c>
    </row>
    <row r="19346" spans="1:8" customFormat="1" x14ac:dyDescent="0.25">
      <c r="A19346" t="str">
        <f>"3322663"</f>
        <v>3322663</v>
      </c>
      <c r="B19346" t="s">
        <v>16702</v>
      </c>
      <c r="C19346" t="s">
        <v>209</v>
      </c>
      <c r="D19346" s="21" t="s">
        <v>34</v>
      </c>
      <c r="E19346" s="21" t="s">
        <v>71</v>
      </c>
      <c r="F19346">
        <v>10330017</v>
      </c>
      <c r="G19346" t="s">
        <v>2754</v>
      </c>
      <c r="H19346" s="21">
        <v>757.67</v>
      </c>
    </row>
    <row r="19347" spans="1:8" customFormat="1" x14ac:dyDescent="0.25">
      <c r="A19347" t="str">
        <f>"5939650"</f>
        <v>5939650</v>
      </c>
      <c r="B19347" t="s">
        <v>5150</v>
      </c>
      <c r="C19347" t="s">
        <v>1714</v>
      </c>
      <c r="D19347" s="21" t="s">
        <v>34</v>
      </c>
      <c r="E19347" s="21" t="s">
        <v>71</v>
      </c>
      <c r="F19347">
        <v>7590047</v>
      </c>
      <c r="G19347" t="s">
        <v>5788</v>
      </c>
      <c r="H19347" s="21">
        <v>757.67</v>
      </c>
    </row>
    <row r="19348" spans="1:8" customFormat="1" x14ac:dyDescent="0.25">
      <c r="A19348" t="str">
        <f>"851974"</f>
        <v>851974</v>
      </c>
      <c r="B19348" t="s">
        <v>6773</v>
      </c>
      <c r="C19348" t="s">
        <v>16027</v>
      </c>
      <c r="D19348" s="21" t="s">
        <v>34</v>
      </c>
      <c r="E19348" s="21" t="s">
        <v>254</v>
      </c>
      <c r="F19348">
        <v>12850097</v>
      </c>
      <c r="G19348" t="s">
        <v>4111</v>
      </c>
      <c r="H19348" s="21">
        <v>757.67</v>
      </c>
    </row>
    <row r="19349" spans="1:8" customFormat="1" x14ac:dyDescent="0.25">
      <c r="A19349" t="str">
        <f>"1312036"</f>
        <v>1312036</v>
      </c>
      <c r="B19349" t="s">
        <v>3645</v>
      </c>
      <c r="C19349" t="s">
        <v>139</v>
      </c>
      <c r="D19349" s="21" t="s">
        <v>34</v>
      </c>
      <c r="E19349" s="21" t="s">
        <v>71</v>
      </c>
      <c r="F19349">
        <v>13130162</v>
      </c>
      <c r="G19349" t="s">
        <v>13411</v>
      </c>
      <c r="H19349" s="21">
        <v>757.67</v>
      </c>
    </row>
    <row r="19350" spans="1:8" customFormat="1" x14ac:dyDescent="0.25">
      <c r="A19350" t="str">
        <f>"7622291"</f>
        <v>7622291</v>
      </c>
      <c r="B19350" t="s">
        <v>1826</v>
      </c>
      <c r="C19350" t="s">
        <v>547</v>
      </c>
      <c r="D19350" s="21" t="s">
        <v>34</v>
      </c>
      <c r="E19350" s="21" t="s">
        <v>71</v>
      </c>
      <c r="F19350">
        <v>9760270</v>
      </c>
      <c r="G19350" t="s">
        <v>4167</v>
      </c>
      <c r="H19350" s="21">
        <v>757.67</v>
      </c>
    </row>
    <row r="19351" spans="1:8" customFormat="1" x14ac:dyDescent="0.25">
      <c r="A19351" t="str">
        <f>"4910707"</f>
        <v>4910707</v>
      </c>
      <c r="B19351" t="s">
        <v>4926</v>
      </c>
      <c r="C19351" t="s">
        <v>269</v>
      </c>
      <c r="D19351" s="21" t="s">
        <v>34</v>
      </c>
      <c r="E19351" s="21" t="s">
        <v>71</v>
      </c>
      <c r="F19351">
        <v>12490022</v>
      </c>
      <c r="G19351" t="s">
        <v>1450</v>
      </c>
      <c r="H19351" s="21">
        <v>757.67</v>
      </c>
    </row>
    <row r="19352" spans="1:8" customFormat="1" x14ac:dyDescent="0.25">
      <c r="A19352" t="str">
        <f>"7859057"</f>
        <v>7859057</v>
      </c>
      <c r="B19352" t="s">
        <v>1533</v>
      </c>
      <c r="C19352" t="s">
        <v>151</v>
      </c>
      <c r="D19352" s="21" t="s">
        <v>34</v>
      </c>
      <c r="E19352" s="21" t="s">
        <v>71</v>
      </c>
      <c r="F19352">
        <v>8780329</v>
      </c>
      <c r="G19352" t="s">
        <v>917</v>
      </c>
      <c r="H19352" s="21">
        <v>757.67</v>
      </c>
    </row>
    <row r="19353" spans="1:8" customFormat="1" x14ac:dyDescent="0.25">
      <c r="A19353" t="str">
        <f>"4458266"</f>
        <v>4458266</v>
      </c>
      <c r="B19353" t="s">
        <v>25482</v>
      </c>
      <c r="C19353" t="s">
        <v>27568</v>
      </c>
      <c r="D19353" s="21" t="s">
        <v>34</v>
      </c>
      <c r="E19353" s="21" t="s">
        <v>35</v>
      </c>
      <c r="F19353">
        <v>12440266</v>
      </c>
      <c r="G19353" t="s">
        <v>924</v>
      </c>
      <c r="H19353" s="21">
        <v>757.42</v>
      </c>
    </row>
    <row r="19354" spans="1:8" customFormat="1" x14ac:dyDescent="0.25">
      <c r="A19354" t="str">
        <f>"3516122"</f>
        <v>3516122</v>
      </c>
      <c r="B19354" t="s">
        <v>1012</v>
      </c>
      <c r="C19354" t="s">
        <v>1146</v>
      </c>
      <c r="D19354" s="21" t="s">
        <v>34</v>
      </c>
      <c r="E19354" s="21" t="s">
        <v>1089</v>
      </c>
      <c r="F19354">
        <v>8780660</v>
      </c>
      <c r="G19354" t="s">
        <v>2801</v>
      </c>
      <c r="H19354" s="21">
        <v>757.42</v>
      </c>
    </row>
    <row r="19355" spans="1:8" customFormat="1" x14ac:dyDescent="0.25">
      <c r="A19355" t="str">
        <f>"4510831"</f>
        <v>4510831</v>
      </c>
      <c r="B19355" t="s">
        <v>641</v>
      </c>
      <c r="C19355" t="s">
        <v>169</v>
      </c>
      <c r="D19355" s="21" t="s">
        <v>34</v>
      </c>
      <c r="E19355" s="21" t="s">
        <v>35</v>
      </c>
      <c r="F19355">
        <v>4450576</v>
      </c>
      <c r="G19355" t="s">
        <v>26857</v>
      </c>
      <c r="H19355" s="21">
        <v>757.29</v>
      </c>
    </row>
    <row r="19356" spans="1:8" customFormat="1" x14ac:dyDescent="0.25">
      <c r="A19356" t="str">
        <f>"2719051"</f>
        <v>2719051</v>
      </c>
      <c r="B19356" t="s">
        <v>1961</v>
      </c>
      <c r="C19356" t="s">
        <v>65</v>
      </c>
      <c r="D19356" s="21" t="s">
        <v>34</v>
      </c>
      <c r="E19356" s="21" t="s">
        <v>35</v>
      </c>
      <c r="F19356">
        <v>9270164</v>
      </c>
      <c r="G19356" t="s">
        <v>8686</v>
      </c>
      <c r="H19356" s="21">
        <v>757.29</v>
      </c>
    </row>
    <row r="19357" spans="1:8" customFormat="1" x14ac:dyDescent="0.25">
      <c r="A19357" t="str">
        <f>"422580"</f>
        <v>422580</v>
      </c>
      <c r="B19357" t="s">
        <v>15403</v>
      </c>
      <c r="C19357" t="s">
        <v>269</v>
      </c>
      <c r="D19357" s="21" t="s">
        <v>34</v>
      </c>
      <c r="E19357" s="21" t="s">
        <v>35</v>
      </c>
      <c r="F19357">
        <v>1420163</v>
      </c>
      <c r="G19357" t="s">
        <v>2424</v>
      </c>
      <c r="H19357" s="21">
        <v>757.29</v>
      </c>
    </row>
    <row r="19358" spans="1:8" customFormat="1" x14ac:dyDescent="0.25">
      <c r="A19358" t="str">
        <f>"8528251"</f>
        <v>8528251</v>
      </c>
      <c r="B19358" t="s">
        <v>10179</v>
      </c>
      <c r="C19358" t="s">
        <v>269</v>
      </c>
      <c r="D19358" s="21" t="s">
        <v>34</v>
      </c>
      <c r="E19358" s="21" t="s">
        <v>71</v>
      </c>
      <c r="F19358">
        <v>12850097</v>
      </c>
      <c r="G19358" t="s">
        <v>4111</v>
      </c>
      <c r="H19358" s="21">
        <v>757.29</v>
      </c>
    </row>
    <row r="19359" spans="1:8" customFormat="1" x14ac:dyDescent="0.25">
      <c r="A19359" t="str">
        <f>"6310949"</f>
        <v>6310949</v>
      </c>
      <c r="B19359" t="s">
        <v>17320</v>
      </c>
      <c r="C19359" t="s">
        <v>87</v>
      </c>
      <c r="D19359" s="21" t="s">
        <v>34</v>
      </c>
      <c r="E19359" s="21" t="s">
        <v>71</v>
      </c>
      <c r="F19359">
        <v>1630185</v>
      </c>
      <c r="G19359" t="s">
        <v>858</v>
      </c>
      <c r="H19359" s="21">
        <v>757.17</v>
      </c>
    </row>
    <row r="19360" spans="1:8" customFormat="1" x14ac:dyDescent="0.25">
      <c r="A19360" t="str">
        <f>"651468"</f>
        <v>651468</v>
      </c>
      <c r="B19360" t="s">
        <v>16302</v>
      </c>
      <c r="C19360" t="s">
        <v>156</v>
      </c>
      <c r="D19360" s="21" t="s">
        <v>34</v>
      </c>
      <c r="E19360" s="21" t="s">
        <v>71</v>
      </c>
      <c r="F19360">
        <v>11310131</v>
      </c>
      <c r="G19360" t="s">
        <v>16303</v>
      </c>
      <c r="H19360" s="21">
        <v>757.17</v>
      </c>
    </row>
    <row r="19361" spans="1:8" customFormat="1" x14ac:dyDescent="0.25">
      <c r="A19361" t="str">
        <f>"80779"</f>
        <v>80779</v>
      </c>
      <c r="B19361" t="s">
        <v>5944</v>
      </c>
      <c r="C19361" t="s">
        <v>124</v>
      </c>
      <c r="D19361" s="21" t="s">
        <v>34</v>
      </c>
      <c r="E19361" s="21" t="s">
        <v>35</v>
      </c>
      <c r="F19361">
        <v>7800106</v>
      </c>
      <c r="G19361" t="s">
        <v>2466</v>
      </c>
      <c r="H19361" s="21">
        <v>757.17</v>
      </c>
    </row>
    <row r="19362" spans="1:8" customFormat="1" x14ac:dyDescent="0.25">
      <c r="A19362" t="str">
        <f>"443716"</f>
        <v>443716</v>
      </c>
      <c r="B19362" t="s">
        <v>15982</v>
      </c>
      <c r="C19362" t="s">
        <v>381</v>
      </c>
      <c r="D19362" s="21" t="s">
        <v>34</v>
      </c>
      <c r="E19362" s="21" t="s">
        <v>254</v>
      </c>
      <c r="F19362">
        <v>12440139</v>
      </c>
      <c r="G19362" t="s">
        <v>2655</v>
      </c>
      <c r="H19362" s="21">
        <v>757.17</v>
      </c>
    </row>
    <row r="19363" spans="1:8" customFormat="1" x14ac:dyDescent="0.25">
      <c r="A19363" t="str">
        <f>"276189"</f>
        <v>276189</v>
      </c>
      <c r="B19363" t="s">
        <v>6472</v>
      </c>
      <c r="C19363" t="s">
        <v>608</v>
      </c>
      <c r="D19363" s="21" t="s">
        <v>34</v>
      </c>
      <c r="E19363" s="21" t="s">
        <v>71</v>
      </c>
      <c r="F19363">
        <v>9270168</v>
      </c>
      <c r="G19363" t="s">
        <v>5126</v>
      </c>
      <c r="H19363" s="21">
        <v>757.17</v>
      </c>
    </row>
    <row r="19364" spans="1:8" customFormat="1" x14ac:dyDescent="0.25">
      <c r="A19364" t="str">
        <f>"014811"</f>
        <v>014811</v>
      </c>
      <c r="B19364" t="s">
        <v>16242</v>
      </c>
      <c r="C19364" t="s">
        <v>267</v>
      </c>
      <c r="D19364" s="21" t="s">
        <v>34</v>
      </c>
      <c r="E19364" s="21" t="s">
        <v>254</v>
      </c>
      <c r="F19364">
        <v>1010004</v>
      </c>
      <c r="G19364" t="s">
        <v>9066</v>
      </c>
      <c r="H19364" s="21">
        <v>757.17</v>
      </c>
    </row>
    <row r="19365" spans="1:8" customFormat="1" x14ac:dyDescent="0.25">
      <c r="A19365" t="str">
        <f>"2513945"</f>
        <v>2513945</v>
      </c>
      <c r="B19365" t="s">
        <v>13961</v>
      </c>
      <c r="C19365" t="s">
        <v>544</v>
      </c>
      <c r="D19365" s="21" t="s">
        <v>34</v>
      </c>
      <c r="E19365" s="21" t="s">
        <v>35</v>
      </c>
      <c r="F19365">
        <v>2250229</v>
      </c>
      <c r="G19365" t="s">
        <v>5004</v>
      </c>
      <c r="H19365" s="21">
        <v>757.17</v>
      </c>
    </row>
    <row r="19366" spans="1:8" customFormat="1" x14ac:dyDescent="0.25">
      <c r="A19366" t="str">
        <f>"3425681"</f>
        <v>3425681</v>
      </c>
      <c r="B19366" t="s">
        <v>3224</v>
      </c>
      <c r="C19366" t="s">
        <v>87</v>
      </c>
      <c r="D19366" s="21" t="s">
        <v>34</v>
      </c>
      <c r="E19366" s="21" t="s">
        <v>71</v>
      </c>
      <c r="F19366">
        <v>11340075</v>
      </c>
      <c r="G19366" t="s">
        <v>18069</v>
      </c>
      <c r="H19366" s="21">
        <v>757.17</v>
      </c>
    </row>
    <row r="19367" spans="1:8" customFormat="1" x14ac:dyDescent="0.25">
      <c r="A19367" t="str">
        <f>"4456086"</f>
        <v>4456086</v>
      </c>
      <c r="B19367" t="s">
        <v>11010</v>
      </c>
      <c r="C19367" t="s">
        <v>87</v>
      </c>
      <c r="D19367" s="21" t="s">
        <v>34</v>
      </c>
      <c r="E19367" s="21" t="s">
        <v>35</v>
      </c>
      <c r="F19367">
        <v>12440039</v>
      </c>
      <c r="G19367" t="s">
        <v>9650</v>
      </c>
      <c r="H19367" s="21">
        <v>757.17</v>
      </c>
    </row>
    <row r="19368" spans="1:8" customFormat="1" x14ac:dyDescent="0.25">
      <c r="A19368" t="str">
        <f>"805340"</f>
        <v>805340</v>
      </c>
      <c r="B19368" t="s">
        <v>13848</v>
      </c>
      <c r="C19368" t="s">
        <v>302</v>
      </c>
      <c r="D19368" s="21" t="s">
        <v>34</v>
      </c>
      <c r="E19368" s="21" t="s">
        <v>35</v>
      </c>
      <c r="F19368">
        <v>13830083</v>
      </c>
      <c r="G19368" t="s">
        <v>2159</v>
      </c>
      <c r="H19368" s="21">
        <v>757.17</v>
      </c>
    </row>
    <row r="19369" spans="1:8" customFormat="1" x14ac:dyDescent="0.25">
      <c r="A19369" t="str">
        <f>"4213649"</f>
        <v>4213649</v>
      </c>
      <c r="B19369" t="s">
        <v>15365</v>
      </c>
      <c r="C19369" t="s">
        <v>453</v>
      </c>
      <c r="D19369" s="21" t="s">
        <v>34</v>
      </c>
      <c r="E19369" s="21" t="s">
        <v>1089</v>
      </c>
      <c r="F19369">
        <v>11300041</v>
      </c>
      <c r="G19369" t="s">
        <v>8074</v>
      </c>
      <c r="H19369" s="21">
        <v>757.17</v>
      </c>
    </row>
    <row r="19370" spans="1:8" customFormat="1" x14ac:dyDescent="0.25">
      <c r="A19370" t="str">
        <f>"406385"</f>
        <v>406385</v>
      </c>
      <c r="B19370" t="s">
        <v>15375</v>
      </c>
      <c r="C19370" t="s">
        <v>169</v>
      </c>
      <c r="D19370" s="21" t="s">
        <v>34</v>
      </c>
      <c r="E19370" s="21" t="s">
        <v>71</v>
      </c>
      <c r="F19370">
        <v>10400026</v>
      </c>
      <c r="G19370" t="s">
        <v>9919</v>
      </c>
      <c r="H19370" s="21">
        <v>757.17</v>
      </c>
    </row>
    <row r="19371" spans="1:8" customFormat="1" x14ac:dyDescent="0.25">
      <c r="A19371" t="str">
        <f>"5925065"</f>
        <v>5925065</v>
      </c>
      <c r="B19371" t="s">
        <v>14814</v>
      </c>
      <c r="C19371" t="s">
        <v>87</v>
      </c>
      <c r="D19371" s="21" t="s">
        <v>34</v>
      </c>
      <c r="E19371" s="21" t="s">
        <v>71</v>
      </c>
      <c r="F19371">
        <v>7590003</v>
      </c>
      <c r="G19371" t="s">
        <v>1166</v>
      </c>
      <c r="H19371" s="21">
        <v>757.17</v>
      </c>
    </row>
    <row r="19372" spans="1:8" customFormat="1" x14ac:dyDescent="0.25">
      <c r="A19372" t="str">
        <f>"761669"</f>
        <v>761669</v>
      </c>
      <c r="B19372" t="s">
        <v>17208</v>
      </c>
      <c r="C19372" t="s">
        <v>2305</v>
      </c>
      <c r="D19372" s="21" t="s">
        <v>34</v>
      </c>
      <c r="E19372" s="21" t="s">
        <v>6185</v>
      </c>
      <c r="F19372">
        <v>9760127</v>
      </c>
      <c r="G19372" t="s">
        <v>7132</v>
      </c>
      <c r="H19372" s="21">
        <v>757.17</v>
      </c>
    </row>
    <row r="19373" spans="1:8" customFormat="1" x14ac:dyDescent="0.25">
      <c r="A19373" t="str">
        <f>"7110705"</f>
        <v>7110705</v>
      </c>
      <c r="B19373" t="s">
        <v>2065</v>
      </c>
      <c r="C19373" t="s">
        <v>8120</v>
      </c>
      <c r="D19373" s="21" t="s">
        <v>34</v>
      </c>
      <c r="E19373" s="21" t="s">
        <v>71</v>
      </c>
      <c r="F19373">
        <v>2710002</v>
      </c>
      <c r="G19373" t="s">
        <v>6838</v>
      </c>
      <c r="H19373" s="21">
        <v>757.17</v>
      </c>
    </row>
    <row r="19374" spans="1:8" customFormat="1" x14ac:dyDescent="0.25">
      <c r="A19374" t="str">
        <f>"443478"</f>
        <v>443478</v>
      </c>
      <c r="B19374" t="s">
        <v>1601</v>
      </c>
      <c r="C19374" t="s">
        <v>55</v>
      </c>
      <c r="D19374" s="21" t="s">
        <v>34</v>
      </c>
      <c r="E19374" s="21" t="s">
        <v>71</v>
      </c>
      <c r="F19374">
        <v>12440197</v>
      </c>
      <c r="G19374" t="s">
        <v>1101</v>
      </c>
      <c r="H19374" s="21">
        <v>757.17</v>
      </c>
    </row>
    <row r="19375" spans="1:8" customFormat="1" x14ac:dyDescent="0.25">
      <c r="A19375" t="str">
        <f>"687833"</f>
        <v>687833</v>
      </c>
      <c r="B19375" t="s">
        <v>12857</v>
      </c>
      <c r="C19375" t="s">
        <v>415</v>
      </c>
      <c r="D19375" s="21" t="s">
        <v>34</v>
      </c>
      <c r="E19375" s="21" t="s">
        <v>35</v>
      </c>
      <c r="F19375">
        <v>6680128</v>
      </c>
      <c r="G19375" t="s">
        <v>341</v>
      </c>
      <c r="H19375" s="21">
        <v>757.17</v>
      </c>
    </row>
    <row r="19376" spans="1:8" customFormat="1" x14ac:dyDescent="0.25">
      <c r="A19376" t="str">
        <f>"85919"</f>
        <v>85919</v>
      </c>
      <c r="B19376" t="s">
        <v>15428</v>
      </c>
      <c r="C19376" t="s">
        <v>598</v>
      </c>
      <c r="D19376" s="21" t="s">
        <v>34</v>
      </c>
      <c r="E19376" s="21" t="s">
        <v>6185</v>
      </c>
      <c r="F19376">
        <v>12850026</v>
      </c>
      <c r="G19376" t="s">
        <v>1400</v>
      </c>
      <c r="H19376" s="21">
        <v>757.17</v>
      </c>
    </row>
    <row r="19377" spans="1:8" customFormat="1" x14ac:dyDescent="0.25">
      <c r="A19377" t="str">
        <f>"276111"</f>
        <v>276111</v>
      </c>
      <c r="B19377" t="s">
        <v>5933</v>
      </c>
      <c r="C19377" t="s">
        <v>55</v>
      </c>
      <c r="D19377" s="21" t="s">
        <v>34</v>
      </c>
      <c r="E19377" s="21" t="s">
        <v>35</v>
      </c>
      <c r="F19377">
        <v>9270153</v>
      </c>
      <c r="G19377" t="s">
        <v>15651</v>
      </c>
      <c r="H19377" s="21">
        <v>757.17</v>
      </c>
    </row>
    <row r="19378" spans="1:8" customFormat="1" x14ac:dyDescent="0.25">
      <c r="A19378" t="str">
        <f>"509403"</f>
        <v>509403</v>
      </c>
      <c r="B19378" t="s">
        <v>1094</v>
      </c>
      <c r="C19378" t="s">
        <v>926</v>
      </c>
      <c r="D19378" s="21" t="s">
        <v>34</v>
      </c>
      <c r="E19378" s="21" t="s">
        <v>71</v>
      </c>
      <c r="F19378">
        <v>9500143</v>
      </c>
      <c r="G19378" t="s">
        <v>2884</v>
      </c>
      <c r="H19378" s="21">
        <v>757.17</v>
      </c>
    </row>
    <row r="19379" spans="1:8" customFormat="1" x14ac:dyDescent="0.25">
      <c r="A19379" t="str">
        <f>"381457"</f>
        <v>381457</v>
      </c>
      <c r="B19379" t="s">
        <v>15160</v>
      </c>
      <c r="C19379" t="s">
        <v>156</v>
      </c>
      <c r="D19379" s="21" t="s">
        <v>34</v>
      </c>
      <c r="E19379" s="21" t="s">
        <v>254</v>
      </c>
      <c r="F19379">
        <v>1380157</v>
      </c>
      <c r="G19379" t="s">
        <v>9044</v>
      </c>
      <c r="H19379" s="21">
        <v>757.17</v>
      </c>
    </row>
    <row r="19380" spans="1:8" customFormat="1" x14ac:dyDescent="0.25">
      <c r="A19380" t="str">
        <f>"711290"</f>
        <v>711290</v>
      </c>
      <c r="B19380" t="s">
        <v>14310</v>
      </c>
      <c r="C19380" t="s">
        <v>253</v>
      </c>
      <c r="D19380" s="21" t="s">
        <v>34</v>
      </c>
      <c r="E19380" s="21" t="s">
        <v>254</v>
      </c>
      <c r="F19380">
        <v>2710023</v>
      </c>
      <c r="G19380" t="s">
        <v>3549</v>
      </c>
      <c r="H19380" s="21">
        <v>757.17</v>
      </c>
    </row>
    <row r="19381" spans="1:8" customFormat="1" x14ac:dyDescent="0.25">
      <c r="A19381" t="str">
        <f>"7718844"</f>
        <v>7718844</v>
      </c>
      <c r="B19381" t="s">
        <v>27569</v>
      </c>
      <c r="C19381" t="s">
        <v>9063</v>
      </c>
      <c r="D19381" s="21" t="s">
        <v>34</v>
      </c>
      <c r="E19381" s="21" t="s">
        <v>35</v>
      </c>
      <c r="F19381">
        <v>8770895</v>
      </c>
      <c r="G19381" t="s">
        <v>4795</v>
      </c>
      <c r="H19381" s="21">
        <v>757.04</v>
      </c>
    </row>
    <row r="19382" spans="1:8" customFormat="1" x14ac:dyDescent="0.25">
      <c r="A19382" t="str">
        <f>"9251666"</f>
        <v>9251666</v>
      </c>
      <c r="B19382" t="s">
        <v>12299</v>
      </c>
      <c r="C19382" t="s">
        <v>302</v>
      </c>
      <c r="D19382" s="21" t="s">
        <v>34</v>
      </c>
      <c r="E19382" s="21" t="s">
        <v>71</v>
      </c>
      <c r="F19382">
        <v>8920389</v>
      </c>
      <c r="G19382" t="s">
        <v>1739</v>
      </c>
      <c r="H19382" s="21">
        <v>757.04</v>
      </c>
    </row>
    <row r="19383" spans="1:8" customFormat="1" x14ac:dyDescent="0.25">
      <c r="A19383" t="str">
        <f>"7921555"</f>
        <v>7921555</v>
      </c>
      <c r="B19383" t="s">
        <v>15412</v>
      </c>
      <c r="C19383" t="s">
        <v>2529</v>
      </c>
      <c r="D19383" s="21" t="s">
        <v>34</v>
      </c>
      <c r="E19383" s="21" t="s">
        <v>71</v>
      </c>
      <c r="F19383">
        <v>10790163</v>
      </c>
      <c r="G19383" t="s">
        <v>2015</v>
      </c>
      <c r="H19383" s="21">
        <v>757</v>
      </c>
    </row>
    <row r="19384" spans="1:8" customFormat="1" x14ac:dyDescent="0.25">
      <c r="A19384" t="str">
        <f>"9219425"</f>
        <v>9219425</v>
      </c>
      <c r="B19384" t="s">
        <v>13422</v>
      </c>
      <c r="C19384" t="s">
        <v>3456</v>
      </c>
      <c r="D19384" s="21" t="s">
        <v>34</v>
      </c>
      <c r="E19384" s="21" t="s">
        <v>35</v>
      </c>
      <c r="F19384">
        <v>12440116</v>
      </c>
      <c r="G19384" t="s">
        <v>26673</v>
      </c>
      <c r="H19384" s="21">
        <v>756.92</v>
      </c>
    </row>
    <row r="19385" spans="1:8" customFormat="1" x14ac:dyDescent="0.25">
      <c r="A19385" t="str">
        <f>"0211250"</f>
        <v>0211250</v>
      </c>
      <c r="B19385" t="s">
        <v>10525</v>
      </c>
      <c r="C19385" t="s">
        <v>2907</v>
      </c>
      <c r="D19385" s="21" t="s">
        <v>34</v>
      </c>
      <c r="E19385" s="21" t="s">
        <v>71</v>
      </c>
      <c r="F19385">
        <v>7020014</v>
      </c>
      <c r="G19385" t="s">
        <v>10400</v>
      </c>
      <c r="H19385" s="21">
        <v>756.79</v>
      </c>
    </row>
    <row r="19386" spans="1:8" customFormat="1" x14ac:dyDescent="0.25">
      <c r="A19386" t="str">
        <f>"7630960"</f>
        <v>7630960</v>
      </c>
      <c r="B19386" t="s">
        <v>9498</v>
      </c>
      <c r="C19386" t="s">
        <v>4769</v>
      </c>
      <c r="D19386" s="21" t="s">
        <v>34</v>
      </c>
      <c r="E19386" s="21" t="s">
        <v>71</v>
      </c>
      <c r="F19386">
        <v>9760448</v>
      </c>
      <c r="G19386" t="s">
        <v>11345</v>
      </c>
      <c r="H19386" s="21">
        <v>756.67</v>
      </c>
    </row>
    <row r="19387" spans="1:8" customFormat="1" x14ac:dyDescent="0.25">
      <c r="A19387" t="str">
        <f>"451373"</f>
        <v>451373</v>
      </c>
      <c r="B19387" t="s">
        <v>15449</v>
      </c>
      <c r="C19387" t="s">
        <v>598</v>
      </c>
      <c r="D19387" s="21" t="s">
        <v>34</v>
      </c>
      <c r="E19387" s="21" t="s">
        <v>1089</v>
      </c>
      <c r="F19387">
        <v>10330004</v>
      </c>
      <c r="G19387" t="s">
        <v>525</v>
      </c>
      <c r="H19387" s="21">
        <v>756.67</v>
      </c>
    </row>
    <row r="19388" spans="1:8" customFormat="1" x14ac:dyDescent="0.25">
      <c r="A19388" t="str">
        <f>"0618660"</f>
        <v>0618660</v>
      </c>
      <c r="B19388" t="s">
        <v>18742</v>
      </c>
      <c r="C19388" t="s">
        <v>62</v>
      </c>
      <c r="D19388" s="21" t="s">
        <v>34</v>
      </c>
      <c r="E19388" s="21" t="s">
        <v>35</v>
      </c>
      <c r="F19388">
        <v>13060110</v>
      </c>
      <c r="G19388" t="s">
        <v>3268</v>
      </c>
      <c r="H19388" s="21">
        <v>756.67</v>
      </c>
    </row>
    <row r="19389" spans="1:8" customFormat="1" x14ac:dyDescent="0.25">
      <c r="A19389" t="str">
        <f>"5319787"</f>
        <v>5319787</v>
      </c>
      <c r="B19389" t="s">
        <v>14825</v>
      </c>
      <c r="C19389" t="s">
        <v>598</v>
      </c>
      <c r="D19389" s="21" t="s">
        <v>34</v>
      </c>
      <c r="E19389" s="21" t="s">
        <v>254</v>
      </c>
      <c r="F19389">
        <v>12530116</v>
      </c>
      <c r="G19389" t="s">
        <v>7881</v>
      </c>
      <c r="H19389" s="21">
        <v>756.67</v>
      </c>
    </row>
    <row r="19390" spans="1:8" customFormat="1" x14ac:dyDescent="0.25">
      <c r="A19390" t="str">
        <f>"9218544"</f>
        <v>9218544</v>
      </c>
      <c r="B19390" t="s">
        <v>3936</v>
      </c>
      <c r="C19390" t="s">
        <v>40</v>
      </c>
      <c r="D19390" s="21" t="s">
        <v>34</v>
      </c>
      <c r="E19390" s="21" t="s">
        <v>254</v>
      </c>
      <c r="F19390">
        <v>8920140</v>
      </c>
      <c r="G19390" t="s">
        <v>3762</v>
      </c>
      <c r="H19390" s="21">
        <v>756.67</v>
      </c>
    </row>
    <row r="19391" spans="1:8" customFormat="1" x14ac:dyDescent="0.25">
      <c r="A19391" t="str">
        <f>"904591"</f>
        <v>904591</v>
      </c>
      <c r="B19391" t="s">
        <v>16234</v>
      </c>
      <c r="C19391" t="s">
        <v>598</v>
      </c>
      <c r="D19391" s="21" t="s">
        <v>34</v>
      </c>
      <c r="E19391" s="21" t="s">
        <v>71</v>
      </c>
      <c r="F19391">
        <v>2900003</v>
      </c>
      <c r="G19391" t="s">
        <v>1742</v>
      </c>
      <c r="H19391" s="21">
        <v>756.67</v>
      </c>
    </row>
    <row r="19392" spans="1:8" customFormat="1" x14ac:dyDescent="0.25">
      <c r="A19392" t="str">
        <f>"228493"</f>
        <v>228493</v>
      </c>
      <c r="B19392" t="s">
        <v>16577</v>
      </c>
      <c r="C19392" t="s">
        <v>249</v>
      </c>
      <c r="D19392" s="21" t="s">
        <v>34</v>
      </c>
      <c r="E19392" s="21" t="s">
        <v>35</v>
      </c>
      <c r="F19392">
        <v>3220037</v>
      </c>
      <c r="G19392" t="s">
        <v>13306</v>
      </c>
      <c r="H19392" s="21">
        <v>756.67</v>
      </c>
    </row>
    <row r="19393" spans="1:8" customFormat="1" x14ac:dyDescent="0.25">
      <c r="A19393" t="str">
        <f>"5914435"</f>
        <v>5914435</v>
      </c>
      <c r="B19393" t="s">
        <v>946</v>
      </c>
      <c r="C19393" t="s">
        <v>171</v>
      </c>
      <c r="D19393" s="21" t="s">
        <v>34</v>
      </c>
      <c r="E19393" s="21" t="s">
        <v>71</v>
      </c>
      <c r="F19393">
        <v>7590036</v>
      </c>
      <c r="G19393" t="s">
        <v>3802</v>
      </c>
      <c r="H19393" s="21">
        <v>756.67</v>
      </c>
    </row>
    <row r="19394" spans="1:8" customFormat="1" x14ac:dyDescent="0.25">
      <c r="A19394" t="str">
        <f>"9424338"</f>
        <v>9424338</v>
      </c>
      <c r="B19394" t="s">
        <v>9587</v>
      </c>
      <c r="C19394" t="s">
        <v>455</v>
      </c>
      <c r="D19394" s="21" t="s">
        <v>34</v>
      </c>
      <c r="E19394" s="21" t="s">
        <v>35</v>
      </c>
      <c r="F19394">
        <v>8940326</v>
      </c>
      <c r="G19394" t="s">
        <v>659</v>
      </c>
      <c r="H19394" s="21">
        <v>756.67</v>
      </c>
    </row>
    <row r="19395" spans="1:8" customFormat="1" x14ac:dyDescent="0.25">
      <c r="A19395" t="str">
        <f>"3814269"</f>
        <v>3814269</v>
      </c>
      <c r="B19395" t="s">
        <v>14710</v>
      </c>
      <c r="C19395" t="s">
        <v>1914</v>
      </c>
      <c r="D19395" s="21" t="s">
        <v>34</v>
      </c>
      <c r="E19395" s="21" t="s">
        <v>254</v>
      </c>
      <c r="F19395">
        <v>1380045</v>
      </c>
      <c r="G19395" t="s">
        <v>2114</v>
      </c>
      <c r="H19395" s="21">
        <v>756.67</v>
      </c>
    </row>
    <row r="19396" spans="1:8" customFormat="1" x14ac:dyDescent="0.25">
      <c r="A19396" t="str">
        <f>"5427862"</f>
        <v>5427862</v>
      </c>
      <c r="B19396" t="s">
        <v>17280</v>
      </c>
      <c r="C19396" t="s">
        <v>119</v>
      </c>
      <c r="D19396" s="21" t="s">
        <v>34</v>
      </c>
      <c r="E19396" s="21" t="s">
        <v>71</v>
      </c>
      <c r="F19396">
        <v>6540097</v>
      </c>
      <c r="G19396" t="s">
        <v>12434</v>
      </c>
      <c r="H19396" s="21">
        <v>756.67</v>
      </c>
    </row>
    <row r="19397" spans="1:8" customFormat="1" x14ac:dyDescent="0.25">
      <c r="A19397" t="str">
        <f>"176445"</f>
        <v>176445</v>
      </c>
      <c r="B19397" t="s">
        <v>15022</v>
      </c>
      <c r="C19397" t="s">
        <v>40</v>
      </c>
      <c r="D19397" s="21" t="s">
        <v>34</v>
      </c>
      <c r="E19397" s="21" t="s">
        <v>71</v>
      </c>
      <c r="F19397">
        <v>10170049</v>
      </c>
      <c r="G19397" t="s">
        <v>15023</v>
      </c>
      <c r="H19397" s="21">
        <v>756.67</v>
      </c>
    </row>
    <row r="19398" spans="1:8" customFormat="1" x14ac:dyDescent="0.25">
      <c r="A19398" t="str">
        <f>"5965934"</f>
        <v>5965934</v>
      </c>
      <c r="B19398" t="s">
        <v>16987</v>
      </c>
      <c r="C19398" t="s">
        <v>209</v>
      </c>
      <c r="D19398" s="21" t="s">
        <v>34</v>
      </c>
      <c r="E19398" s="21" t="s">
        <v>35</v>
      </c>
      <c r="F19398">
        <v>7590063</v>
      </c>
      <c r="G19398" t="s">
        <v>3426</v>
      </c>
      <c r="H19398" s="21">
        <v>756.67</v>
      </c>
    </row>
    <row r="19399" spans="1:8" customFormat="1" x14ac:dyDescent="0.25">
      <c r="A19399" t="str">
        <f>"2921425"</f>
        <v>2921425</v>
      </c>
      <c r="B19399" t="s">
        <v>1751</v>
      </c>
      <c r="C19399" t="s">
        <v>2100</v>
      </c>
      <c r="D19399" s="21" t="s">
        <v>34</v>
      </c>
      <c r="E19399" s="21" t="s">
        <v>71</v>
      </c>
      <c r="F19399">
        <v>3290262</v>
      </c>
      <c r="G19399" t="s">
        <v>1139</v>
      </c>
      <c r="H19399" s="21">
        <v>756.67</v>
      </c>
    </row>
    <row r="19400" spans="1:8" customFormat="1" x14ac:dyDescent="0.25">
      <c r="A19400" t="str">
        <f>"9B254"</f>
        <v>9B254</v>
      </c>
      <c r="B19400" t="s">
        <v>14354</v>
      </c>
      <c r="C19400" t="s">
        <v>8749</v>
      </c>
      <c r="D19400" s="21" t="s">
        <v>34</v>
      </c>
      <c r="E19400" s="21" t="s">
        <v>35</v>
      </c>
      <c r="F19400" t="s">
        <v>10239</v>
      </c>
      <c r="G19400" t="s">
        <v>10240</v>
      </c>
      <c r="H19400" s="21">
        <v>756.54</v>
      </c>
    </row>
    <row r="19401" spans="1:8" customFormat="1" x14ac:dyDescent="0.25">
      <c r="A19401" t="str">
        <f>"767331"</f>
        <v>767331</v>
      </c>
      <c r="B19401" t="s">
        <v>16682</v>
      </c>
      <c r="C19401" t="s">
        <v>664</v>
      </c>
      <c r="D19401" s="21" t="s">
        <v>34</v>
      </c>
      <c r="E19401" s="21" t="s">
        <v>254</v>
      </c>
      <c r="F19401">
        <v>11660007</v>
      </c>
      <c r="G19401" t="s">
        <v>5840</v>
      </c>
      <c r="H19401" s="21">
        <v>756.42</v>
      </c>
    </row>
    <row r="19402" spans="1:8" customFormat="1" x14ac:dyDescent="0.25">
      <c r="A19402" t="str">
        <f>"5926221"</f>
        <v>5926221</v>
      </c>
      <c r="B19402" t="s">
        <v>13611</v>
      </c>
      <c r="C19402" t="s">
        <v>269</v>
      </c>
      <c r="D19402" s="21" t="s">
        <v>34</v>
      </c>
      <c r="E19402" s="21" t="s">
        <v>35</v>
      </c>
      <c r="F19402">
        <v>7590080</v>
      </c>
      <c r="G19402" t="s">
        <v>1715</v>
      </c>
      <c r="H19402" s="21">
        <v>756.42</v>
      </c>
    </row>
    <row r="19403" spans="1:8" customFormat="1" x14ac:dyDescent="0.25">
      <c r="A19403" t="str">
        <f>"2814970"</f>
        <v>2814970</v>
      </c>
      <c r="B19403" t="s">
        <v>7608</v>
      </c>
      <c r="C19403" t="s">
        <v>144</v>
      </c>
      <c r="D19403" s="21" t="s">
        <v>34</v>
      </c>
      <c r="E19403" s="21" t="s">
        <v>35</v>
      </c>
      <c r="F19403">
        <v>4280121</v>
      </c>
      <c r="G19403" t="s">
        <v>4565</v>
      </c>
      <c r="H19403" s="21">
        <v>756.29</v>
      </c>
    </row>
    <row r="19404" spans="1:8" customFormat="1" x14ac:dyDescent="0.25">
      <c r="A19404" t="str">
        <f>"0112242"</f>
        <v>0112242</v>
      </c>
      <c r="B19404" t="s">
        <v>1347</v>
      </c>
      <c r="C19404" t="s">
        <v>2533</v>
      </c>
      <c r="D19404" s="21" t="s">
        <v>34</v>
      </c>
      <c r="E19404" s="21" t="s">
        <v>35</v>
      </c>
      <c r="F19404">
        <v>1010061</v>
      </c>
      <c r="G19404" t="s">
        <v>9290</v>
      </c>
      <c r="H19404" s="21">
        <v>756.29</v>
      </c>
    </row>
    <row r="19405" spans="1:8" customFormat="1" x14ac:dyDescent="0.25">
      <c r="A19405" t="str">
        <f>"5619916"</f>
        <v>5619916</v>
      </c>
      <c r="B19405" t="s">
        <v>16572</v>
      </c>
      <c r="C19405" t="s">
        <v>121</v>
      </c>
      <c r="D19405" s="21" t="s">
        <v>34</v>
      </c>
      <c r="E19405" s="21" t="s">
        <v>35</v>
      </c>
      <c r="F19405">
        <v>3560049</v>
      </c>
      <c r="G19405" t="s">
        <v>8021</v>
      </c>
      <c r="H19405" s="21">
        <v>756.17</v>
      </c>
    </row>
    <row r="19406" spans="1:8" customFormat="1" x14ac:dyDescent="0.25">
      <c r="A19406" t="str">
        <f>"567066"</f>
        <v>567066</v>
      </c>
      <c r="B19406" t="s">
        <v>15026</v>
      </c>
      <c r="C19406" t="s">
        <v>15027</v>
      </c>
      <c r="D19406" s="21" t="s">
        <v>34</v>
      </c>
      <c r="E19406" s="21" t="s">
        <v>254</v>
      </c>
      <c r="F19406">
        <v>3560038</v>
      </c>
      <c r="G19406" t="s">
        <v>3598</v>
      </c>
      <c r="H19406" s="21">
        <v>756.17</v>
      </c>
    </row>
    <row r="19407" spans="1:8" customFormat="1" x14ac:dyDescent="0.25">
      <c r="A19407" t="str">
        <f>"7912321"</f>
        <v>7912321</v>
      </c>
      <c r="B19407" t="s">
        <v>14556</v>
      </c>
      <c r="C19407" t="s">
        <v>2479</v>
      </c>
      <c r="D19407" s="21" t="s">
        <v>34</v>
      </c>
      <c r="E19407" s="21" t="s">
        <v>71</v>
      </c>
      <c r="F19407">
        <v>10790005</v>
      </c>
      <c r="G19407" t="s">
        <v>1948</v>
      </c>
      <c r="H19407" s="21">
        <v>756.17</v>
      </c>
    </row>
    <row r="19408" spans="1:8" customFormat="1" x14ac:dyDescent="0.25">
      <c r="A19408" t="str">
        <f>"2928958"</f>
        <v>2928958</v>
      </c>
      <c r="B19408" t="s">
        <v>9940</v>
      </c>
      <c r="C19408" t="s">
        <v>58</v>
      </c>
      <c r="D19408" s="21" t="s">
        <v>34</v>
      </c>
      <c r="E19408" s="21" t="s">
        <v>35</v>
      </c>
      <c r="F19408">
        <v>3290014</v>
      </c>
      <c r="G19408" t="s">
        <v>10174</v>
      </c>
      <c r="H19408" s="21">
        <v>756.17</v>
      </c>
    </row>
    <row r="19409" spans="1:8" customFormat="1" x14ac:dyDescent="0.25">
      <c r="A19409" t="str">
        <f>"429515"</f>
        <v>429515</v>
      </c>
      <c r="B19409" t="s">
        <v>13157</v>
      </c>
      <c r="C19409" t="s">
        <v>415</v>
      </c>
      <c r="D19409" s="21" t="s">
        <v>34</v>
      </c>
      <c r="E19409" s="21" t="s">
        <v>254</v>
      </c>
      <c r="F19409">
        <v>1420156</v>
      </c>
      <c r="G19409" t="s">
        <v>5635</v>
      </c>
      <c r="H19409" s="21">
        <v>756.17</v>
      </c>
    </row>
    <row r="19410" spans="1:8" customFormat="1" x14ac:dyDescent="0.25">
      <c r="A19410" t="str">
        <f>"6936251"</f>
        <v>6936251</v>
      </c>
      <c r="B19410" t="s">
        <v>2049</v>
      </c>
      <c r="C19410" t="s">
        <v>598</v>
      </c>
      <c r="D19410" s="21" t="s">
        <v>34</v>
      </c>
      <c r="E19410" s="21" t="s">
        <v>35</v>
      </c>
      <c r="F19410">
        <v>1690199</v>
      </c>
      <c r="G19410" t="s">
        <v>12608</v>
      </c>
      <c r="H19410" s="21">
        <v>756.17</v>
      </c>
    </row>
    <row r="19411" spans="1:8" customFormat="1" x14ac:dyDescent="0.25">
      <c r="A19411" t="str">
        <f>"5012646"</f>
        <v>5012646</v>
      </c>
      <c r="B19411" t="s">
        <v>6207</v>
      </c>
      <c r="C19411" t="s">
        <v>114</v>
      </c>
      <c r="D19411" s="21" t="s">
        <v>34</v>
      </c>
      <c r="E19411" s="21" t="s">
        <v>254</v>
      </c>
      <c r="F19411">
        <v>9500059</v>
      </c>
      <c r="G19411" t="s">
        <v>26714</v>
      </c>
      <c r="H19411" s="21">
        <v>756.17</v>
      </c>
    </row>
    <row r="19412" spans="1:8" customFormat="1" x14ac:dyDescent="0.25">
      <c r="A19412" t="str">
        <f>"066687"</f>
        <v>066687</v>
      </c>
      <c r="B19412" t="s">
        <v>17312</v>
      </c>
      <c r="C19412" t="s">
        <v>249</v>
      </c>
      <c r="D19412" s="21" t="s">
        <v>34</v>
      </c>
      <c r="E19412" s="21" t="s">
        <v>71</v>
      </c>
      <c r="F19412">
        <v>13060064</v>
      </c>
      <c r="G19412" t="s">
        <v>976</v>
      </c>
      <c r="H19412" s="21">
        <v>756.17</v>
      </c>
    </row>
    <row r="19413" spans="1:8" customFormat="1" x14ac:dyDescent="0.25">
      <c r="A19413" t="str">
        <f>"641044"</f>
        <v>641044</v>
      </c>
      <c r="B19413" t="s">
        <v>4495</v>
      </c>
      <c r="C19413" t="s">
        <v>822</v>
      </c>
      <c r="D19413" s="21" t="s">
        <v>34</v>
      </c>
      <c r="E19413" s="21" t="s">
        <v>254</v>
      </c>
      <c r="F19413">
        <v>10640010</v>
      </c>
      <c r="G19413" t="s">
        <v>9410</v>
      </c>
      <c r="H19413" s="21">
        <v>756.17</v>
      </c>
    </row>
    <row r="19414" spans="1:8" customFormat="1" x14ac:dyDescent="0.25">
      <c r="A19414" t="str">
        <f>"4220354"</f>
        <v>4220354</v>
      </c>
      <c r="B19414" t="s">
        <v>970</v>
      </c>
      <c r="C19414" t="s">
        <v>879</v>
      </c>
      <c r="D19414" s="21" t="s">
        <v>34</v>
      </c>
      <c r="E19414" s="21" t="s">
        <v>71</v>
      </c>
      <c r="F19414">
        <v>1420299</v>
      </c>
      <c r="G19414" t="s">
        <v>8013</v>
      </c>
      <c r="H19414" s="21">
        <v>756.17</v>
      </c>
    </row>
    <row r="19415" spans="1:8" customFormat="1" x14ac:dyDescent="0.25">
      <c r="A19415" t="str">
        <f>"8613449"</f>
        <v>8613449</v>
      </c>
      <c r="B19415" t="s">
        <v>17240</v>
      </c>
      <c r="C19415" t="s">
        <v>3905</v>
      </c>
      <c r="D19415" s="21" t="s">
        <v>34</v>
      </c>
      <c r="E19415" s="21" t="s">
        <v>71</v>
      </c>
      <c r="F19415">
        <v>10860234</v>
      </c>
      <c r="G19415" t="s">
        <v>1966</v>
      </c>
      <c r="H19415" s="21">
        <v>756.17</v>
      </c>
    </row>
    <row r="19416" spans="1:8" customFormat="1" x14ac:dyDescent="0.25">
      <c r="A19416" t="str">
        <f>"087981"</f>
        <v>087981</v>
      </c>
      <c r="B19416" t="s">
        <v>6658</v>
      </c>
      <c r="C19416" t="s">
        <v>121</v>
      </c>
      <c r="D19416" s="21" t="s">
        <v>34</v>
      </c>
      <c r="E19416" s="21" t="s">
        <v>35</v>
      </c>
      <c r="F19416">
        <v>6080044</v>
      </c>
      <c r="G19416" t="s">
        <v>7450</v>
      </c>
      <c r="H19416" s="21">
        <v>756.17</v>
      </c>
    </row>
    <row r="19417" spans="1:8" customFormat="1" x14ac:dyDescent="0.25">
      <c r="A19417" t="str">
        <f>"5956892"</f>
        <v>5956892</v>
      </c>
      <c r="B19417" t="s">
        <v>3952</v>
      </c>
      <c r="C19417" t="s">
        <v>598</v>
      </c>
      <c r="D19417" s="21" t="s">
        <v>34</v>
      </c>
      <c r="E19417" s="21" t="s">
        <v>71</v>
      </c>
      <c r="F19417">
        <v>7590017</v>
      </c>
      <c r="G19417" t="s">
        <v>1316</v>
      </c>
      <c r="H19417" s="21">
        <v>756.17</v>
      </c>
    </row>
    <row r="19418" spans="1:8" customFormat="1" x14ac:dyDescent="0.25">
      <c r="A19418" t="str">
        <f>"1316311"</f>
        <v>1316311</v>
      </c>
      <c r="B19418" t="s">
        <v>12456</v>
      </c>
      <c r="C19418" t="s">
        <v>202</v>
      </c>
      <c r="D19418" s="21" t="s">
        <v>34</v>
      </c>
      <c r="E19418" s="21" t="s">
        <v>35</v>
      </c>
      <c r="F19418">
        <v>13130133</v>
      </c>
      <c r="G19418" t="s">
        <v>12333</v>
      </c>
      <c r="H19418" s="21">
        <v>756.17</v>
      </c>
    </row>
    <row r="19419" spans="1:8" customFormat="1" x14ac:dyDescent="0.25">
      <c r="A19419" t="str">
        <f>"12227"</f>
        <v>12227</v>
      </c>
      <c r="B19419" t="s">
        <v>16186</v>
      </c>
      <c r="C19419" t="s">
        <v>1142</v>
      </c>
      <c r="D19419" s="21" t="s">
        <v>34</v>
      </c>
      <c r="E19419" s="21" t="s">
        <v>1089</v>
      </c>
      <c r="F19419">
        <v>11120026</v>
      </c>
      <c r="G19419" t="s">
        <v>9107</v>
      </c>
      <c r="H19419" s="21">
        <v>756.17</v>
      </c>
    </row>
    <row r="19420" spans="1:8" customFormat="1" x14ac:dyDescent="0.25">
      <c r="A19420" t="str">
        <f>"7814423"</f>
        <v>7814423</v>
      </c>
      <c r="B19420" t="s">
        <v>15031</v>
      </c>
      <c r="C19420" t="s">
        <v>988</v>
      </c>
      <c r="D19420" s="21" t="s">
        <v>34</v>
      </c>
      <c r="E19420" s="21" t="s">
        <v>35</v>
      </c>
      <c r="F19420">
        <v>8780660</v>
      </c>
      <c r="G19420" t="s">
        <v>2801</v>
      </c>
      <c r="H19420" s="21">
        <v>756.04</v>
      </c>
    </row>
    <row r="19421" spans="1:8" customFormat="1" x14ac:dyDescent="0.25">
      <c r="A19421" t="str">
        <f>"2923453"</f>
        <v>2923453</v>
      </c>
      <c r="B19421" t="s">
        <v>10203</v>
      </c>
      <c r="C19421" t="s">
        <v>2984</v>
      </c>
      <c r="D19421" s="21" t="s">
        <v>34</v>
      </c>
      <c r="E19421" s="21" t="s">
        <v>71</v>
      </c>
      <c r="F19421">
        <v>3290026</v>
      </c>
      <c r="G19421" t="s">
        <v>7421</v>
      </c>
      <c r="H19421" s="21">
        <v>756</v>
      </c>
    </row>
    <row r="19422" spans="1:8" customFormat="1" x14ac:dyDescent="0.25">
      <c r="A19422" t="str">
        <f>"7625253"</f>
        <v>7625253</v>
      </c>
      <c r="B19422" t="s">
        <v>12645</v>
      </c>
      <c r="C19422" t="s">
        <v>65</v>
      </c>
      <c r="D19422" s="21" t="s">
        <v>34</v>
      </c>
      <c r="E19422" s="21" t="s">
        <v>71</v>
      </c>
      <c r="F19422">
        <v>10170158</v>
      </c>
      <c r="G19422" t="s">
        <v>1262</v>
      </c>
      <c r="H19422" s="21">
        <v>756</v>
      </c>
    </row>
    <row r="19423" spans="1:8" customFormat="1" x14ac:dyDescent="0.25">
      <c r="A19423" t="str">
        <f>"771524"</f>
        <v>771524</v>
      </c>
      <c r="B19423" t="s">
        <v>1198</v>
      </c>
      <c r="C19423" t="s">
        <v>33</v>
      </c>
      <c r="D19423" s="21" t="s">
        <v>34</v>
      </c>
      <c r="E19423" s="21" t="s">
        <v>35</v>
      </c>
      <c r="F19423">
        <v>8771304</v>
      </c>
      <c r="G19423" t="s">
        <v>5314</v>
      </c>
      <c r="H19423" s="21">
        <v>756</v>
      </c>
    </row>
    <row r="19424" spans="1:8" customFormat="1" x14ac:dyDescent="0.25">
      <c r="A19424" t="str">
        <f>"2924385"</f>
        <v>2924385</v>
      </c>
      <c r="B19424" t="s">
        <v>11850</v>
      </c>
      <c r="C19424" t="s">
        <v>269</v>
      </c>
      <c r="D19424" s="21" t="s">
        <v>34</v>
      </c>
      <c r="E19424" s="21" t="s">
        <v>71</v>
      </c>
      <c r="F19424">
        <v>3290262</v>
      </c>
      <c r="G19424" t="s">
        <v>1139</v>
      </c>
      <c r="H19424" s="21">
        <v>755.92</v>
      </c>
    </row>
    <row r="19425" spans="1:8" customFormat="1" x14ac:dyDescent="0.25">
      <c r="A19425" t="str">
        <f>"824111"</f>
        <v>824111</v>
      </c>
      <c r="B19425" t="s">
        <v>8887</v>
      </c>
      <c r="C19425" t="s">
        <v>275</v>
      </c>
      <c r="D19425" s="21" t="s">
        <v>34</v>
      </c>
      <c r="E19425" s="21" t="s">
        <v>35</v>
      </c>
      <c r="F19425">
        <v>11820026</v>
      </c>
      <c r="G19425" t="s">
        <v>9372</v>
      </c>
      <c r="H19425" s="21">
        <v>755.92</v>
      </c>
    </row>
    <row r="19426" spans="1:8" customFormat="1" x14ac:dyDescent="0.25">
      <c r="A19426" t="str">
        <f>"1310338"</f>
        <v>1310338</v>
      </c>
      <c r="B19426" t="s">
        <v>205</v>
      </c>
      <c r="C19426" t="s">
        <v>33</v>
      </c>
      <c r="D19426" s="21" t="s">
        <v>34</v>
      </c>
      <c r="E19426" s="21" t="s">
        <v>71</v>
      </c>
      <c r="F19426">
        <v>13130012</v>
      </c>
      <c r="G19426" t="s">
        <v>68</v>
      </c>
      <c r="H19426" s="21">
        <v>755.92</v>
      </c>
    </row>
    <row r="19427" spans="1:8" customFormat="1" x14ac:dyDescent="0.25">
      <c r="A19427" t="str">
        <f>"93762"</f>
        <v>93762</v>
      </c>
      <c r="B19427" t="s">
        <v>15331</v>
      </c>
      <c r="C19427" t="s">
        <v>130</v>
      </c>
      <c r="D19427" s="21" t="s">
        <v>34</v>
      </c>
      <c r="E19427" s="21" t="s">
        <v>1089</v>
      </c>
      <c r="F19427">
        <v>8930430</v>
      </c>
      <c r="G19427" t="s">
        <v>995</v>
      </c>
      <c r="H19427" s="21">
        <v>755.92</v>
      </c>
    </row>
    <row r="19428" spans="1:8" customFormat="1" x14ac:dyDescent="0.25">
      <c r="A19428" t="str">
        <f>"4930303"</f>
        <v>4930303</v>
      </c>
      <c r="B19428" t="s">
        <v>10725</v>
      </c>
      <c r="C19428" t="s">
        <v>109</v>
      </c>
      <c r="D19428" s="21" t="s">
        <v>34</v>
      </c>
      <c r="E19428" s="21" t="s">
        <v>35</v>
      </c>
      <c r="F19428">
        <v>12490124</v>
      </c>
      <c r="G19428" t="s">
        <v>677</v>
      </c>
      <c r="H19428" s="21">
        <v>755.88</v>
      </c>
    </row>
    <row r="19429" spans="1:8" customFormat="1" x14ac:dyDescent="0.25">
      <c r="A19429" t="str">
        <f>"3421671"</f>
        <v>3421671</v>
      </c>
      <c r="B19429" t="s">
        <v>15256</v>
      </c>
      <c r="C19429" t="s">
        <v>926</v>
      </c>
      <c r="D19429" s="21" t="s">
        <v>34</v>
      </c>
      <c r="E19429" s="21" t="s">
        <v>35</v>
      </c>
      <c r="F19429">
        <v>11340017</v>
      </c>
      <c r="G19429" t="s">
        <v>10668</v>
      </c>
      <c r="H19429" s="21">
        <v>755.79</v>
      </c>
    </row>
    <row r="19430" spans="1:8" customFormat="1" x14ac:dyDescent="0.25">
      <c r="A19430" t="str">
        <f>"851722"</f>
        <v>851722</v>
      </c>
      <c r="B19430" t="s">
        <v>14037</v>
      </c>
      <c r="C19430" t="s">
        <v>379</v>
      </c>
      <c r="D19430" s="21" t="s">
        <v>34</v>
      </c>
      <c r="E19430" s="21" t="s">
        <v>254</v>
      </c>
      <c r="F19430">
        <v>12850136</v>
      </c>
      <c r="G19430" t="s">
        <v>2536</v>
      </c>
      <c r="H19430" s="21">
        <v>755.79</v>
      </c>
    </row>
    <row r="19431" spans="1:8" customFormat="1" x14ac:dyDescent="0.25">
      <c r="A19431" t="str">
        <f>"992122"</f>
        <v>992122</v>
      </c>
      <c r="B19431" t="s">
        <v>1349</v>
      </c>
      <c r="C19431" t="s">
        <v>33</v>
      </c>
      <c r="D19431" s="21" t="s">
        <v>34</v>
      </c>
      <c r="E19431" s="21" t="s">
        <v>35</v>
      </c>
      <c r="F19431">
        <v>5990009</v>
      </c>
      <c r="G19431" t="s">
        <v>3127</v>
      </c>
      <c r="H19431" s="21">
        <v>755.79</v>
      </c>
    </row>
    <row r="19432" spans="1:8" customFormat="1" x14ac:dyDescent="0.25">
      <c r="A19432" t="str">
        <f>"82331"</f>
        <v>82331</v>
      </c>
      <c r="B19432" t="s">
        <v>15284</v>
      </c>
      <c r="C19432" t="s">
        <v>236</v>
      </c>
      <c r="D19432" s="21" t="s">
        <v>34</v>
      </c>
      <c r="E19432" s="21" t="s">
        <v>254</v>
      </c>
      <c r="F19432">
        <v>11820007</v>
      </c>
      <c r="G19432" t="s">
        <v>532</v>
      </c>
      <c r="H19432" s="21">
        <v>755.67</v>
      </c>
    </row>
    <row r="19433" spans="1:8" customFormat="1" x14ac:dyDescent="0.25">
      <c r="A19433" t="str">
        <f>"757171"</f>
        <v>757171</v>
      </c>
      <c r="B19433" t="s">
        <v>15050</v>
      </c>
      <c r="C19433" t="s">
        <v>15051</v>
      </c>
      <c r="D19433" s="21" t="s">
        <v>34</v>
      </c>
      <c r="E19433" s="21" t="s">
        <v>71</v>
      </c>
      <c r="F19433">
        <v>8750141</v>
      </c>
      <c r="G19433" t="s">
        <v>1514</v>
      </c>
      <c r="H19433" s="21">
        <v>755.67</v>
      </c>
    </row>
    <row r="19434" spans="1:8" customFormat="1" x14ac:dyDescent="0.25">
      <c r="A19434" t="str">
        <f>"167982"</f>
        <v>167982</v>
      </c>
      <c r="B19434" t="s">
        <v>1885</v>
      </c>
      <c r="C19434" t="s">
        <v>453</v>
      </c>
      <c r="D19434" s="21" t="s">
        <v>34</v>
      </c>
      <c r="E19434" s="21" t="s">
        <v>254</v>
      </c>
      <c r="F19434">
        <v>10160223</v>
      </c>
      <c r="G19434" t="s">
        <v>5750</v>
      </c>
      <c r="H19434" s="21">
        <v>755.67</v>
      </c>
    </row>
    <row r="19435" spans="1:8" customFormat="1" x14ac:dyDescent="0.25">
      <c r="A19435" t="str">
        <f>"442422"</f>
        <v>442422</v>
      </c>
      <c r="B19435" t="s">
        <v>10579</v>
      </c>
      <c r="C19435" t="s">
        <v>211</v>
      </c>
      <c r="D19435" s="21" t="s">
        <v>34</v>
      </c>
      <c r="E19435" s="21" t="s">
        <v>71</v>
      </c>
      <c r="F19435">
        <v>12440141</v>
      </c>
      <c r="G19435" t="s">
        <v>3234</v>
      </c>
      <c r="H19435" s="21">
        <v>755.67</v>
      </c>
    </row>
    <row r="19436" spans="1:8" customFormat="1" x14ac:dyDescent="0.25">
      <c r="A19436" t="str">
        <f>"4516207"</f>
        <v>4516207</v>
      </c>
      <c r="B19436" t="s">
        <v>355</v>
      </c>
      <c r="C19436" t="s">
        <v>239</v>
      </c>
      <c r="D19436" s="21" t="s">
        <v>34</v>
      </c>
      <c r="E19436" s="21" t="s">
        <v>254</v>
      </c>
      <c r="F19436">
        <v>4450750</v>
      </c>
      <c r="G19436" t="s">
        <v>6572</v>
      </c>
      <c r="H19436" s="21">
        <v>755.67</v>
      </c>
    </row>
    <row r="19437" spans="1:8" customFormat="1" x14ac:dyDescent="0.25">
      <c r="A19437" t="str">
        <f>"9237836"</f>
        <v>9237836</v>
      </c>
      <c r="B19437" t="s">
        <v>16224</v>
      </c>
      <c r="C19437" t="s">
        <v>209</v>
      </c>
      <c r="D19437" s="21" t="s">
        <v>34</v>
      </c>
      <c r="E19437" s="21" t="s">
        <v>254</v>
      </c>
      <c r="F19437">
        <v>3560034</v>
      </c>
      <c r="G19437" t="s">
        <v>2220</v>
      </c>
      <c r="H19437" s="21">
        <v>755.67</v>
      </c>
    </row>
    <row r="19438" spans="1:8" customFormat="1" x14ac:dyDescent="0.25">
      <c r="A19438" t="str">
        <f>"5936311"</f>
        <v>5936311</v>
      </c>
      <c r="B19438" t="s">
        <v>9802</v>
      </c>
      <c r="C19438" t="s">
        <v>415</v>
      </c>
      <c r="D19438" s="21" t="s">
        <v>34</v>
      </c>
      <c r="E19438" s="21" t="s">
        <v>71</v>
      </c>
      <c r="F19438">
        <v>7620112</v>
      </c>
      <c r="G19438" t="s">
        <v>5663</v>
      </c>
      <c r="H19438" s="21">
        <v>755.67</v>
      </c>
    </row>
    <row r="19439" spans="1:8" customFormat="1" x14ac:dyDescent="0.25">
      <c r="A19439" t="str">
        <f>"679657"</f>
        <v>679657</v>
      </c>
      <c r="B19439" t="s">
        <v>15307</v>
      </c>
      <c r="C19439" t="s">
        <v>3010</v>
      </c>
      <c r="D19439" s="21" t="s">
        <v>34</v>
      </c>
      <c r="E19439" s="21" t="s">
        <v>1089</v>
      </c>
      <c r="F19439">
        <v>6670202</v>
      </c>
      <c r="G19439" t="s">
        <v>605</v>
      </c>
      <c r="H19439" s="21">
        <v>755.67</v>
      </c>
    </row>
    <row r="19440" spans="1:8" customFormat="1" x14ac:dyDescent="0.25">
      <c r="A19440" t="str">
        <f>"7518684"</f>
        <v>7518684</v>
      </c>
      <c r="B19440" t="s">
        <v>17800</v>
      </c>
      <c r="C19440" t="s">
        <v>96</v>
      </c>
      <c r="D19440" s="21" t="s">
        <v>34</v>
      </c>
      <c r="E19440" s="21" t="s">
        <v>35</v>
      </c>
      <c r="F19440">
        <v>13130067</v>
      </c>
      <c r="G19440" t="s">
        <v>1420</v>
      </c>
      <c r="H19440" s="21">
        <v>755.67</v>
      </c>
    </row>
    <row r="19441" spans="1:8" customFormat="1" x14ac:dyDescent="0.25">
      <c r="A19441" t="str">
        <f>"2610933"</f>
        <v>2610933</v>
      </c>
      <c r="B19441" t="s">
        <v>10805</v>
      </c>
      <c r="C19441" t="s">
        <v>598</v>
      </c>
      <c r="D19441" s="21" t="s">
        <v>34</v>
      </c>
      <c r="E19441" s="21" t="s">
        <v>71</v>
      </c>
      <c r="F19441">
        <v>1260065</v>
      </c>
      <c r="G19441" t="s">
        <v>1958</v>
      </c>
      <c r="H19441" s="21">
        <v>755.67</v>
      </c>
    </row>
    <row r="19442" spans="1:8" customFormat="1" x14ac:dyDescent="0.25">
      <c r="A19442" t="str">
        <f>"7515716"</f>
        <v>7515716</v>
      </c>
      <c r="B19442" t="s">
        <v>8091</v>
      </c>
      <c r="C19442" t="s">
        <v>187</v>
      </c>
      <c r="D19442" s="21" t="s">
        <v>34</v>
      </c>
      <c r="E19442" s="21" t="s">
        <v>35</v>
      </c>
      <c r="F19442">
        <v>3560049</v>
      </c>
      <c r="G19442" t="s">
        <v>8021</v>
      </c>
      <c r="H19442" s="21">
        <v>755.67</v>
      </c>
    </row>
    <row r="19443" spans="1:8" customFormat="1" x14ac:dyDescent="0.25">
      <c r="A19443" t="str">
        <f>"024650"</f>
        <v>024650</v>
      </c>
      <c r="B19443" t="s">
        <v>27570</v>
      </c>
      <c r="C19443" t="s">
        <v>267</v>
      </c>
      <c r="D19443" s="21" t="s">
        <v>34</v>
      </c>
      <c r="E19443" s="21" t="s">
        <v>254</v>
      </c>
      <c r="F19443">
        <v>7020062</v>
      </c>
      <c r="G19443" t="s">
        <v>1505</v>
      </c>
      <c r="H19443" s="21">
        <v>755.67</v>
      </c>
    </row>
    <row r="19444" spans="1:8" customFormat="1" x14ac:dyDescent="0.25">
      <c r="A19444" t="str">
        <f>"6017216"</f>
        <v>6017216</v>
      </c>
      <c r="B19444" t="s">
        <v>17155</v>
      </c>
      <c r="C19444" t="s">
        <v>528</v>
      </c>
      <c r="D19444" s="21" t="s">
        <v>34</v>
      </c>
      <c r="E19444" s="21" t="s">
        <v>35</v>
      </c>
      <c r="F19444">
        <v>7600086</v>
      </c>
      <c r="G19444" t="s">
        <v>2399</v>
      </c>
      <c r="H19444" s="21">
        <v>755.67</v>
      </c>
    </row>
    <row r="19445" spans="1:8" customFormat="1" x14ac:dyDescent="0.25">
      <c r="A19445" t="str">
        <f>"3719991"</f>
        <v>3719991</v>
      </c>
      <c r="B19445" t="s">
        <v>1388</v>
      </c>
      <c r="C19445" t="s">
        <v>812</v>
      </c>
      <c r="D19445" s="21" t="s">
        <v>34</v>
      </c>
      <c r="E19445" s="21" t="s">
        <v>71</v>
      </c>
      <c r="F19445">
        <v>4370183</v>
      </c>
      <c r="G19445" t="s">
        <v>231</v>
      </c>
      <c r="H19445" s="21">
        <v>755.67</v>
      </c>
    </row>
    <row r="19446" spans="1:8" customFormat="1" x14ac:dyDescent="0.25">
      <c r="A19446" t="str">
        <f>"663776"</f>
        <v>663776</v>
      </c>
      <c r="B19446" t="s">
        <v>7423</v>
      </c>
      <c r="C19446" t="s">
        <v>621</v>
      </c>
      <c r="D19446" s="21" t="s">
        <v>34</v>
      </c>
      <c r="E19446" s="21" t="s">
        <v>71</v>
      </c>
      <c r="F19446">
        <v>11660032</v>
      </c>
      <c r="G19446" t="s">
        <v>3232</v>
      </c>
      <c r="H19446" s="21">
        <v>755.67</v>
      </c>
    </row>
    <row r="19447" spans="1:8" customFormat="1" x14ac:dyDescent="0.25">
      <c r="A19447" t="str">
        <f>"7870324"</f>
        <v>7870324</v>
      </c>
      <c r="B19447" t="s">
        <v>16823</v>
      </c>
      <c r="C19447" t="s">
        <v>249</v>
      </c>
      <c r="D19447" s="21" t="s">
        <v>34</v>
      </c>
      <c r="E19447" s="21" t="s">
        <v>71</v>
      </c>
      <c r="F19447">
        <v>8780107</v>
      </c>
      <c r="G19447" t="s">
        <v>4186</v>
      </c>
      <c r="H19447" s="21">
        <v>755.67</v>
      </c>
    </row>
    <row r="19448" spans="1:8" customFormat="1" x14ac:dyDescent="0.25">
      <c r="A19448" t="str">
        <f>"591923"</f>
        <v>591923</v>
      </c>
      <c r="B19448" t="s">
        <v>15652</v>
      </c>
      <c r="C19448" t="s">
        <v>1819</v>
      </c>
      <c r="D19448" s="21" t="s">
        <v>34</v>
      </c>
      <c r="E19448" s="21" t="s">
        <v>254</v>
      </c>
      <c r="F19448">
        <v>7590087</v>
      </c>
      <c r="G19448" t="s">
        <v>2112</v>
      </c>
      <c r="H19448" s="21">
        <v>755.67</v>
      </c>
    </row>
    <row r="19449" spans="1:8" customFormat="1" x14ac:dyDescent="0.25">
      <c r="A19449" t="str">
        <f>"9447648"</f>
        <v>9447648</v>
      </c>
      <c r="B19449" t="s">
        <v>15662</v>
      </c>
      <c r="C19449" t="s">
        <v>656</v>
      </c>
      <c r="D19449" s="21" t="s">
        <v>34</v>
      </c>
      <c r="E19449" s="21" t="s">
        <v>35</v>
      </c>
      <c r="F19449">
        <v>8941460</v>
      </c>
      <c r="G19449" t="s">
        <v>7189</v>
      </c>
      <c r="H19449" s="21">
        <v>755.67</v>
      </c>
    </row>
    <row r="19450" spans="1:8" customFormat="1" x14ac:dyDescent="0.25">
      <c r="A19450" t="str">
        <f>"2611829"</f>
        <v>2611829</v>
      </c>
      <c r="B19450" t="s">
        <v>5431</v>
      </c>
      <c r="C19450" t="s">
        <v>144</v>
      </c>
      <c r="D19450" s="21" t="s">
        <v>34</v>
      </c>
      <c r="E19450" s="21" t="s">
        <v>35</v>
      </c>
      <c r="F19450">
        <v>1260034</v>
      </c>
      <c r="G19450" t="s">
        <v>1884</v>
      </c>
      <c r="H19450" s="21">
        <v>755.67</v>
      </c>
    </row>
    <row r="19451" spans="1:8" customFormat="1" x14ac:dyDescent="0.25">
      <c r="A19451" t="str">
        <f>"786013"</f>
        <v>786013</v>
      </c>
      <c r="B19451" t="s">
        <v>4134</v>
      </c>
      <c r="C19451" t="s">
        <v>608</v>
      </c>
      <c r="D19451" s="21" t="s">
        <v>34</v>
      </c>
      <c r="E19451" s="21" t="s">
        <v>254</v>
      </c>
      <c r="F19451">
        <v>8780447</v>
      </c>
      <c r="G19451" t="s">
        <v>9215</v>
      </c>
      <c r="H19451" s="21">
        <v>755.67</v>
      </c>
    </row>
    <row r="19452" spans="1:8" customFormat="1" x14ac:dyDescent="0.25">
      <c r="A19452" t="str">
        <f>"365906"</f>
        <v>365906</v>
      </c>
      <c r="B19452" t="s">
        <v>18415</v>
      </c>
      <c r="C19452" t="s">
        <v>239</v>
      </c>
      <c r="D19452" s="21" t="s">
        <v>34</v>
      </c>
      <c r="E19452" s="21" t="s">
        <v>71</v>
      </c>
      <c r="F19452">
        <v>4360726</v>
      </c>
      <c r="G19452" t="s">
        <v>5506</v>
      </c>
      <c r="H19452" s="21">
        <v>755.42</v>
      </c>
    </row>
    <row r="19453" spans="1:8" customFormat="1" x14ac:dyDescent="0.25">
      <c r="A19453" t="str">
        <f>"3338732"</f>
        <v>3338732</v>
      </c>
      <c r="B19453" t="s">
        <v>16690</v>
      </c>
      <c r="C19453" t="s">
        <v>263</v>
      </c>
      <c r="D19453" s="21" t="s">
        <v>34</v>
      </c>
      <c r="E19453" s="21" t="s">
        <v>35</v>
      </c>
      <c r="F19453">
        <v>10330121</v>
      </c>
      <c r="G19453" t="s">
        <v>5145</v>
      </c>
      <c r="H19453" s="21">
        <v>755.42</v>
      </c>
    </row>
    <row r="19454" spans="1:8" customFormat="1" x14ac:dyDescent="0.25">
      <c r="A19454" t="str">
        <f>"778480"</f>
        <v>778480</v>
      </c>
      <c r="B19454" t="s">
        <v>14669</v>
      </c>
      <c r="C19454" t="s">
        <v>202</v>
      </c>
      <c r="D19454" s="21" t="s">
        <v>34</v>
      </c>
      <c r="E19454" s="21" t="s">
        <v>254</v>
      </c>
      <c r="F19454">
        <v>8771025</v>
      </c>
      <c r="G19454" t="s">
        <v>5469</v>
      </c>
      <c r="H19454" s="21">
        <v>755.29</v>
      </c>
    </row>
    <row r="19455" spans="1:8" customFormat="1" x14ac:dyDescent="0.25">
      <c r="A19455" t="str">
        <f>"3110989"</f>
        <v>3110989</v>
      </c>
      <c r="B19455" t="s">
        <v>2275</v>
      </c>
      <c r="C19455" t="s">
        <v>1146</v>
      </c>
      <c r="D19455" s="21" t="s">
        <v>34</v>
      </c>
      <c r="E19455" s="21" t="s">
        <v>71</v>
      </c>
      <c r="F19455">
        <v>11310060</v>
      </c>
      <c r="G19455" t="s">
        <v>2448</v>
      </c>
      <c r="H19455" s="21">
        <v>755.17</v>
      </c>
    </row>
    <row r="19456" spans="1:8" customFormat="1" x14ac:dyDescent="0.25">
      <c r="A19456" t="str">
        <f>"086803"</f>
        <v>086803</v>
      </c>
      <c r="B19456" t="s">
        <v>27571</v>
      </c>
      <c r="C19456" t="s">
        <v>1675</v>
      </c>
      <c r="D19456" s="21" t="s">
        <v>34</v>
      </c>
      <c r="E19456" s="21" t="s">
        <v>35</v>
      </c>
      <c r="F19456">
        <v>6080082</v>
      </c>
      <c r="G19456" t="s">
        <v>2401</v>
      </c>
      <c r="H19456" s="21">
        <v>755.17</v>
      </c>
    </row>
    <row r="19457" spans="1:8" customFormat="1" x14ac:dyDescent="0.25">
      <c r="A19457" t="str">
        <f>"623677"</f>
        <v>623677</v>
      </c>
      <c r="B19457" t="s">
        <v>9821</v>
      </c>
      <c r="C19457" t="s">
        <v>285</v>
      </c>
      <c r="D19457" s="21" t="s">
        <v>34</v>
      </c>
      <c r="E19457" s="21" t="s">
        <v>35</v>
      </c>
      <c r="F19457">
        <v>7620054</v>
      </c>
      <c r="G19457" t="s">
        <v>1677</v>
      </c>
      <c r="H19457" s="21">
        <v>755.17</v>
      </c>
    </row>
    <row r="19458" spans="1:8" customFormat="1" x14ac:dyDescent="0.25">
      <c r="A19458" t="str">
        <f>"5931304"</f>
        <v>5931304</v>
      </c>
      <c r="B19458" t="s">
        <v>890</v>
      </c>
      <c r="C19458" t="s">
        <v>1142</v>
      </c>
      <c r="D19458" s="21" t="s">
        <v>34</v>
      </c>
      <c r="E19458" s="21" t="s">
        <v>71</v>
      </c>
      <c r="F19458">
        <v>7590176</v>
      </c>
      <c r="G19458" t="s">
        <v>4079</v>
      </c>
      <c r="H19458" s="21">
        <v>755.17</v>
      </c>
    </row>
    <row r="19459" spans="1:8" customFormat="1" x14ac:dyDescent="0.25">
      <c r="A19459" t="str">
        <f>"7611959"</f>
        <v>7611959</v>
      </c>
      <c r="B19459" t="s">
        <v>503</v>
      </c>
      <c r="C19459" t="s">
        <v>169</v>
      </c>
      <c r="D19459" s="21" t="s">
        <v>34</v>
      </c>
      <c r="E19459" s="21" t="s">
        <v>35</v>
      </c>
      <c r="F19459">
        <v>9140237</v>
      </c>
      <c r="G19459" t="s">
        <v>4722</v>
      </c>
      <c r="H19459" s="21">
        <v>755.17</v>
      </c>
    </row>
    <row r="19460" spans="1:8" customFormat="1" x14ac:dyDescent="0.25">
      <c r="A19460" t="str">
        <f>"4913735"</f>
        <v>4913735</v>
      </c>
      <c r="B19460" t="s">
        <v>15232</v>
      </c>
      <c r="C19460" t="s">
        <v>209</v>
      </c>
      <c r="D19460" s="21" t="s">
        <v>34</v>
      </c>
      <c r="E19460" s="21" t="s">
        <v>71</v>
      </c>
      <c r="F19460">
        <v>12490098</v>
      </c>
      <c r="G19460" t="s">
        <v>2670</v>
      </c>
      <c r="H19460" s="21">
        <v>755.17</v>
      </c>
    </row>
    <row r="19461" spans="1:8" customFormat="1" x14ac:dyDescent="0.25">
      <c r="A19461" t="str">
        <f>"691447"</f>
        <v>691447</v>
      </c>
      <c r="B19461" t="s">
        <v>146</v>
      </c>
      <c r="C19461" t="s">
        <v>1271</v>
      </c>
      <c r="D19461" s="21" t="s">
        <v>34</v>
      </c>
      <c r="E19461" s="21" t="s">
        <v>254</v>
      </c>
      <c r="F19461">
        <v>1690062</v>
      </c>
      <c r="G19461" t="s">
        <v>5907</v>
      </c>
      <c r="H19461" s="21">
        <v>755.17</v>
      </c>
    </row>
    <row r="19462" spans="1:8" customFormat="1" x14ac:dyDescent="0.25">
      <c r="A19462" t="str">
        <f>"9418730"</f>
        <v>9418730</v>
      </c>
      <c r="B19462" t="s">
        <v>11315</v>
      </c>
      <c r="C19462" t="s">
        <v>1146</v>
      </c>
      <c r="D19462" s="21" t="s">
        <v>34</v>
      </c>
      <c r="E19462" s="21" t="s">
        <v>254</v>
      </c>
      <c r="F19462">
        <v>11340049</v>
      </c>
      <c r="G19462" t="s">
        <v>13479</v>
      </c>
      <c r="H19462" s="21">
        <v>755.17</v>
      </c>
    </row>
    <row r="19463" spans="1:8" customFormat="1" x14ac:dyDescent="0.25">
      <c r="A19463" t="str">
        <f>"424255"</f>
        <v>424255</v>
      </c>
      <c r="B19463" t="s">
        <v>4286</v>
      </c>
      <c r="C19463" t="s">
        <v>631</v>
      </c>
      <c r="D19463" s="21" t="s">
        <v>34</v>
      </c>
      <c r="E19463" s="21" t="s">
        <v>1089</v>
      </c>
      <c r="F19463">
        <v>1420078</v>
      </c>
      <c r="G19463" t="s">
        <v>4287</v>
      </c>
      <c r="H19463" s="21">
        <v>755.17</v>
      </c>
    </row>
    <row r="19464" spans="1:8" customFormat="1" x14ac:dyDescent="0.25">
      <c r="A19464" t="str">
        <f>"2720546"</f>
        <v>2720546</v>
      </c>
      <c r="B19464" t="s">
        <v>8105</v>
      </c>
      <c r="C19464" t="s">
        <v>60</v>
      </c>
      <c r="D19464" s="21" t="s">
        <v>34</v>
      </c>
      <c r="E19464" s="21" t="s">
        <v>35</v>
      </c>
      <c r="F19464">
        <v>9270176</v>
      </c>
      <c r="G19464" t="s">
        <v>5799</v>
      </c>
      <c r="H19464" s="21">
        <v>755.17</v>
      </c>
    </row>
    <row r="19465" spans="1:8" customFormat="1" x14ac:dyDescent="0.25">
      <c r="A19465" t="str">
        <f>"9424192"</f>
        <v>9424192</v>
      </c>
      <c r="B19465" t="s">
        <v>17109</v>
      </c>
      <c r="C19465" t="s">
        <v>2734</v>
      </c>
      <c r="D19465" s="21" t="s">
        <v>34</v>
      </c>
      <c r="E19465" s="21" t="s">
        <v>35</v>
      </c>
      <c r="F19465">
        <v>8940458</v>
      </c>
      <c r="G19465" t="s">
        <v>26774</v>
      </c>
      <c r="H19465" s="21">
        <v>755.17</v>
      </c>
    </row>
    <row r="19466" spans="1:8" customFormat="1" x14ac:dyDescent="0.25">
      <c r="A19466" t="str">
        <f>"496070"</f>
        <v>496070</v>
      </c>
      <c r="B19466" t="s">
        <v>5523</v>
      </c>
      <c r="C19466" t="s">
        <v>598</v>
      </c>
      <c r="D19466" s="21" t="s">
        <v>34</v>
      </c>
      <c r="E19466" s="21" t="s">
        <v>254</v>
      </c>
      <c r="F19466">
        <v>12490006</v>
      </c>
      <c r="G19466" t="s">
        <v>1480</v>
      </c>
      <c r="H19466" s="21">
        <v>755.17</v>
      </c>
    </row>
    <row r="19467" spans="1:8" customFormat="1" x14ac:dyDescent="0.25">
      <c r="A19467" t="str">
        <f>"9114167"</f>
        <v>9114167</v>
      </c>
      <c r="B19467" t="s">
        <v>27572</v>
      </c>
      <c r="C19467" t="s">
        <v>269</v>
      </c>
      <c r="D19467" s="21" t="s">
        <v>34</v>
      </c>
      <c r="E19467" s="21" t="s">
        <v>71</v>
      </c>
      <c r="F19467">
        <v>8910004</v>
      </c>
      <c r="G19467" t="s">
        <v>9637</v>
      </c>
      <c r="H19467" s="21">
        <v>755.17</v>
      </c>
    </row>
    <row r="19468" spans="1:8" customFormat="1" x14ac:dyDescent="0.25">
      <c r="A19468" t="str">
        <f>"673096"</f>
        <v>673096</v>
      </c>
      <c r="B19468" t="s">
        <v>4096</v>
      </c>
      <c r="C19468" t="s">
        <v>253</v>
      </c>
      <c r="D19468" s="21" t="s">
        <v>34</v>
      </c>
      <c r="E19468" s="21" t="s">
        <v>254</v>
      </c>
      <c r="F19468">
        <v>6670187</v>
      </c>
      <c r="G19468" t="s">
        <v>240</v>
      </c>
      <c r="H19468" s="21">
        <v>755.17</v>
      </c>
    </row>
    <row r="19469" spans="1:8" customFormat="1" x14ac:dyDescent="0.25">
      <c r="A19469" t="str">
        <f>"6110895"</f>
        <v>6110895</v>
      </c>
      <c r="B19469" t="s">
        <v>1533</v>
      </c>
      <c r="C19469" t="s">
        <v>169</v>
      </c>
      <c r="D19469" s="21" t="s">
        <v>34</v>
      </c>
      <c r="E19469" s="21" t="s">
        <v>35</v>
      </c>
      <c r="F19469">
        <v>9610108</v>
      </c>
      <c r="G19469" t="s">
        <v>14594</v>
      </c>
      <c r="H19469" s="21">
        <v>755.17</v>
      </c>
    </row>
    <row r="19470" spans="1:8" customFormat="1" x14ac:dyDescent="0.25">
      <c r="A19470" t="str">
        <f>"2910135"</f>
        <v>2910135</v>
      </c>
      <c r="B19470" t="s">
        <v>16992</v>
      </c>
      <c r="C19470" t="s">
        <v>114</v>
      </c>
      <c r="D19470" s="21" t="s">
        <v>34</v>
      </c>
      <c r="E19470" s="21" t="s">
        <v>254</v>
      </c>
      <c r="F19470">
        <v>3290276</v>
      </c>
      <c r="G19470" t="s">
        <v>26710</v>
      </c>
      <c r="H19470" s="21">
        <v>755.17</v>
      </c>
    </row>
    <row r="19471" spans="1:8" customFormat="1" x14ac:dyDescent="0.25">
      <c r="A19471" t="str">
        <f>"105917"</f>
        <v>105917</v>
      </c>
      <c r="B19471" t="s">
        <v>16026</v>
      </c>
      <c r="C19471" t="s">
        <v>130</v>
      </c>
      <c r="D19471" s="21" t="s">
        <v>34</v>
      </c>
      <c r="E19471" s="21" t="s">
        <v>71</v>
      </c>
      <c r="F19471">
        <v>6100035</v>
      </c>
      <c r="G19471" t="s">
        <v>26807</v>
      </c>
      <c r="H19471" s="21">
        <v>755.17</v>
      </c>
    </row>
    <row r="19472" spans="1:8" customFormat="1" x14ac:dyDescent="0.25">
      <c r="A19472" t="str">
        <f>"5970703"</f>
        <v>5970703</v>
      </c>
      <c r="B19472" t="s">
        <v>16132</v>
      </c>
      <c r="C19472" t="s">
        <v>926</v>
      </c>
      <c r="D19472" s="21" t="s">
        <v>34</v>
      </c>
      <c r="E19472" s="21" t="s">
        <v>35</v>
      </c>
      <c r="F19472">
        <v>7590164</v>
      </c>
      <c r="G19472" t="s">
        <v>2451</v>
      </c>
      <c r="H19472" s="21">
        <v>755.17</v>
      </c>
    </row>
    <row r="19473" spans="1:8" customFormat="1" x14ac:dyDescent="0.25">
      <c r="A19473" t="str">
        <f>"667971"</f>
        <v>667971</v>
      </c>
      <c r="B19473" t="s">
        <v>16648</v>
      </c>
      <c r="C19473" t="s">
        <v>9714</v>
      </c>
      <c r="D19473" s="21" t="s">
        <v>34</v>
      </c>
      <c r="E19473" s="21" t="s">
        <v>1089</v>
      </c>
      <c r="F19473">
        <v>11660020</v>
      </c>
      <c r="G19473" t="s">
        <v>10247</v>
      </c>
      <c r="H19473" s="21">
        <v>755.17</v>
      </c>
    </row>
    <row r="19474" spans="1:8" customFormat="1" x14ac:dyDescent="0.25">
      <c r="A19474" t="str">
        <f>"4218028"</f>
        <v>4218028</v>
      </c>
      <c r="B19474" t="s">
        <v>9444</v>
      </c>
      <c r="C19474" t="s">
        <v>156</v>
      </c>
      <c r="D19474" s="21" t="s">
        <v>34</v>
      </c>
      <c r="E19474" s="21" t="s">
        <v>71</v>
      </c>
      <c r="F19474">
        <v>1730076</v>
      </c>
      <c r="G19474" t="s">
        <v>936</v>
      </c>
      <c r="H19474" s="21">
        <v>755.17</v>
      </c>
    </row>
    <row r="19475" spans="1:8" customFormat="1" x14ac:dyDescent="0.25">
      <c r="A19475" t="str">
        <f>"9317169"</f>
        <v>9317169</v>
      </c>
      <c r="B19475" t="s">
        <v>17222</v>
      </c>
      <c r="C19475" t="s">
        <v>87</v>
      </c>
      <c r="D19475" s="21" t="s">
        <v>34</v>
      </c>
      <c r="E19475" s="21" t="s">
        <v>35</v>
      </c>
      <c r="F19475">
        <v>8940549</v>
      </c>
      <c r="G19475" t="s">
        <v>454</v>
      </c>
      <c r="H19475" s="21">
        <v>755.04</v>
      </c>
    </row>
    <row r="19476" spans="1:8" customFormat="1" x14ac:dyDescent="0.25">
      <c r="A19476" t="str">
        <f>"291066"</f>
        <v>291066</v>
      </c>
      <c r="B19476" t="s">
        <v>146</v>
      </c>
      <c r="C19476" t="s">
        <v>3073</v>
      </c>
      <c r="D19476" s="21" t="s">
        <v>34</v>
      </c>
      <c r="E19476" s="21" t="s">
        <v>254</v>
      </c>
      <c r="F19476">
        <v>3290241</v>
      </c>
      <c r="G19476" t="s">
        <v>9595</v>
      </c>
      <c r="H19476" s="21">
        <v>755</v>
      </c>
    </row>
    <row r="19477" spans="1:8" customFormat="1" x14ac:dyDescent="0.25">
      <c r="A19477" t="str">
        <f>"9316283"</f>
        <v>9316283</v>
      </c>
      <c r="B19477" t="s">
        <v>16568</v>
      </c>
      <c r="C19477" t="s">
        <v>269</v>
      </c>
      <c r="D19477" s="21" t="s">
        <v>34</v>
      </c>
      <c r="E19477" s="21" t="s">
        <v>71</v>
      </c>
      <c r="F19477">
        <v>8930598</v>
      </c>
      <c r="G19477" t="s">
        <v>445</v>
      </c>
      <c r="H19477" s="21">
        <v>754.92</v>
      </c>
    </row>
    <row r="19478" spans="1:8" customFormat="1" x14ac:dyDescent="0.25">
      <c r="A19478" t="str">
        <f>"9111422"</f>
        <v>9111422</v>
      </c>
      <c r="B19478" t="s">
        <v>12963</v>
      </c>
      <c r="C19478" t="s">
        <v>415</v>
      </c>
      <c r="D19478" s="21" t="s">
        <v>34</v>
      </c>
      <c r="E19478" s="21" t="s">
        <v>254</v>
      </c>
      <c r="F19478">
        <v>8751061</v>
      </c>
      <c r="G19478" t="s">
        <v>26628</v>
      </c>
      <c r="H19478" s="21">
        <v>754.92</v>
      </c>
    </row>
    <row r="19479" spans="1:8" customFormat="1" x14ac:dyDescent="0.25">
      <c r="A19479" t="str">
        <f>"7510286"</f>
        <v>7510286</v>
      </c>
      <c r="B19479" t="s">
        <v>16207</v>
      </c>
      <c r="C19479" t="s">
        <v>926</v>
      </c>
      <c r="D19479" s="21" t="s">
        <v>34</v>
      </c>
      <c r="E19479" s="21" t="s">
        <v>254</v>
      </c>
      <c r="F19479">
        <v>10860229</v>
      </c>
      <c r="G19479" t="s">
        <v>9680</v>
      </c>
      <c r="H19479" s="21">
        <v>754.92</v>
      </c>
    </row>
    <row r="19480" spans="1:8" customFormat="1" x14ac:dyDescent="0.25">
      <c r="A19480" t="str">
        <f>"452656"</f>
        <v>452656</v>
      </c>
      <c r="B19480" t="s">
        <v>11984</v>
      </c>
      <c r="C19480" t="s">
        <v>169</v>
      </c>
      <c r="D19480" s="21" t="s">
        <v>34</v>
      </c>
      <c r="E19480" s="21" t="s">
        <v>71</v>
      </c>
      <c r="F19480">
        <v>4450617</v>
      </c>
      <c r="G19480" t="s">
        <v>4708</v>
      </c>
      <c r="H19480" s="21">
        <v>754.92</v>
      </c>
    </row>
    <row r="19481" spans="1:8" customFormat="1" x14ac:dyDescent="0.25">
      <c r="A19481" t="str">
        <f>"7858977"</f>
        <v>7858977</v>
      </c>
      <c r="B19481" t="s">
        <v>16940</v>
      </c>
      <c r="C19481" t="s">
        <v>130</v>
      </c>
      <c r="D19481" s="21" t="s">
        <v>34</v>
      </c>
      <c r="E19481" s="21" t="s">
        <v>71</v>
      </c>
      <c r="F19481">
        <v>8780329</v>
      </c>
      <c r="G19481" t="s">
        <v>917</v>
      </c>
      <c r="H19481" s="21">
        <v>754.92</v>
      </c>
    </row>
    <row r="19482" spans="1:8" customFormat="1" x14ac:dyDescent="0.25">
      <c r="A19482" t="str">
        <f>"4932643"</f>
        <v>4932643</v>
      </c>
      <c r="B19482" t="s">
        <v>146</v>
      </c>
      <c r="C19482" t="s">
        <v>253</v>
      </c>
      <c r="D19482" s="21" t="s">
        <v>34</v>
      </c>
      <c r="E19482" s="21" t="s">
        <v>35</v>
      </c>
      <c r="F19482">
        <v>12490066</v>
      </c>
      <c r="G19482" t="s">
        <v>1051</v>
      </c>
      <c r="H19482" s="21">
        <v>754.79</v>
      </c>
    </row>
    <row r="19483" spans="1:8" customFormat="1" x14ac:dyDescent="0.25">
      <c r="A19483" t="str">
        <f>"4435876"</f>
        <v>4435876</v>
      </c>
      <c r="B19483" t="s">
        <v>16389</v>
      </c>
      <c r="C19483" t="s">
        <v>43</v>
      </c>
      <c r="D19483" s="21" t="s">
        <v>34</v>
      </c>
      <c r="E19483" s="21" t="s">
        <v>35</v>
      </c>
      <c r="F19483">
        <v>12440101</v>
      </c>
      <c r="G19483" t="s">
        <v>3482</v>
      </c>
      <c r="H19483" s="21">
        <v>754.67</v>
      </c>
    </row>
    <row r="19484" spans="1:8" customFormat="1" x14ac:dyDescent="0.25">
      <c r="A19484" t="str">
        <f>"9250195"</f>
        <v>9250195</v>
      </c>
      <c r="B19484" t="s">
        <v>19605</v>
      </c>
      <c r="C19484" t="s">
        <v>62</v>
      </c>
      <c r="D19484" s="21" t="s">
        <v>34</v>
      </c>
      <c r="E19484" s="21" t="s">
        <v>35</v>
      </c>
      <c r="F19484">
        <v>8921256</v>
      </c>
      <c r="G19484" t="s">
        <v>1038</v>
      </c>
      <c r="H19484" s="21">
        <v>754.67</v>
      </c>
    </row>
    <row r="19485" spans="1:8" customFormat="1" x14ac:dyDescent="0.25">
      <c r="A19485" t="str">
        <f>"5732484"</f>
        <v>5732484</v>
      </c>
      <c r="B19485" t="s">
        <v>5418</v>
      </c>
      <c r="C19485" t="s">
        <v>40</v>
      </c>
      <c r="D19485" s="21" t="s">
        <v>34</v>
      </c>
      <c r="E19485" s="21" t="s">
        <v>71</v>
      </c>
      <c r="F19485">
        <v>6570154</v>
      </c>
      <c r="G19485" t="s">
        <v>3935</v>
      </c>
      <c r="H19485" s="21">
        <v>754.67</v>
      </c>
    </row>
    <row r="19486" spans="1:8" customFormat="1" x14ac:dyDescent="0.25">
      <c r="A19486" t="str">
        <f>"0810334"</f>
        <v>0810334</v>
      </c>
      <c r="B19486" t="s">
        <v>14780</v>
      </c>
      <c r="C19486" t="s">
        <v>55</v>
      </c>
      <c r="D19486" s="21" t="s">
        <v>34</v>
      </c>
      <c r="E19486" s="21" t="s">
        <v>35</v>
      </c>
      <c r="F19486">
        <v>6080057</v>
      </c>
      <c r="G19486" t="s">
        <v>10034</v>
      </c>
      <c r="H19486" s="21">
        <v>754.67</v>
      </c>
    </row>
    <row r="19487" spans="1:8" customFormat="1" x14ac:dyDescent="0.25">
      <c r="A19487" t="str">
        <f>"3720167"</f>
        <v>3720167</v>
      </c>
      <c r="B19487" t="s">
        <v>14688</v>
      </c>
      <c r="C19487" t="s">
        <v>33</v>
      </c>
      <c r="D19487" s="21" t="s">
        <v>34</v>
      </c>
      <c r="E19487" s="21" t="s">
        <v>71</v>
      </c>
      <c r="F19487">
        <v>4370709</v>
      </c>
      <c r="G19487" t="s">
        <v>5714</v>
      </c>
      <c r="H19487" s="21">
        <v>754.67</v>
      </c>
    </row>
    <row r="19488" spans="1:8" customFormat="1" x14ac:dyDescent="0.25">
      <c r="A19488" t="str">
        <f>"191601"</f>
        <v>191601</v>
      </c>
      <c r="B19488" t="s">
        <v>17512</v>
      </c>
      <c r="C19488" t="s">
        <v>2730</v>
      </c>
      <c r="D19488" s="21" t="s">
        <v>34</v>
      </c>
      <c r="E19488" s="21" t="s">
        <v>71</v>
      </c>
      <c r="F19488">
        <v>10190120</v>
      </c>
      <c r="G19488" t="s">
        <v>4616</v>
      </c>
      <c r="H19488" s="21">
        <v>754.67</v>
      </c>
    </row>
    <row r="19489" spans="1:8" customFormat="1" x14ac:dyDescent="0.25">
      <c r="A19489" t="str">
        <f>"6810781"</f>
        <v>6810781</v>
      </c>
      <c r="B19489" t="s">
        <v>15391</v>
      </c>
      <c r="C19489" t="s">
        <v>598</v>
      </c>
      <c r="D19489" s="21" t="s">
        <v>34</v>
      </c>
      <c r="E19489" s="21" t="s">
        <v>254</v>
      </c>
      <c r="F19489">
        <v>6680091</v>
      </c>
      <c r="G19489" t="s">
        <v>693</v>
      </c>
      <c r="H19489" s="21">
        <v>754.67</v>
      </c>
    </row>
    <row r="19490" spans="1:8" customFormat="1" x14ac:dyDescent="0.25">
      <c r="A19490" t="str">
        <f>"9119204"</f>
        <v>9119204</v>
      </c>
      <c r="B19490" t="s">
        <v>877</v>
      </c>
      <c r="C19490" t="s">
        <v>2907</v>
      </c>
      <c r="D19490" s="21" t="s">
        <v>34</v>
      </c>
      <c r="E19490" s="21" t="s">
        <v>254</v>
      </c>
      <c r="F19490">
        <v>13830014</v>
      </c>
      <c r="G19490" t="s">
        <v>5757</v>
      </c>
      <c r="H19490" s="21">
        <v>754.67</v>
      </c>
    </row>
    <row r="19491" spans="1:8" customFormat="1" x14ac:dyDescent="0.25">
      <c r="A19491" t="str">
        <f>"477101"</f>
        <v>477101</v>
      </c>
      <c r="B19491" t="s">
        <v>16974</v>
      </c>
      <c r="C19491" t="s">
        <v>109</v>
      </c>
      <c r="D19491" s="21" t="s">
        <v>34</v>
      </c>
      <c r="E19491" s="21" t="s">
        <v>71</v>
      </c>
      <c r="F19491">
        <v>10470021</v>
      </c>
      <c r="G19491" t="s">
        <v>1034</v>
      </c>
      <c r="H19491" s="21">
        <v>754.67</v>
      </c>
    </row>
    <row r="19492" spans="1:8" customFormat="1" x14ac:dyDescent="0.25">
      <c r="A19492" t="str">
        <f>"179494"</f>
        <v>179494</v>
      </c>
      <c r="B19492" t="s">
        <v>3072</v>
      </c>
      <c r="C19492" t="s">
        <v>428</v>
      </c>
      <c r="D19492" s="21" t="s">
        <v>34</v>
      </c>
      <c r="E19492" s="21" t="s">
        <v>35</v>
      </c>
      <c r="F19492">
        <v>10170138</v>
      </c>
      <c r="G19492" t="s">
        <v>13853</v>
      </c>
      <c r="H19492" s="21">
        <v>754.67</v>
      </c>
    </row>
    <row r="19493" spans="1:8" customFormat="1" x14ac:dyDescent="0.25">
      <c r="A19493" t="str">
        <f>"5712866"</f>
        <v>5712866</v>
      </c>
      <c r="B19493" t="s">
        <v>27573</v>
      </c>
      <c r="C19493" t="s">
        <v>608</v>
      </c>
      <c r="D19493" s="21" t="s">
        <v>34</v>
      </c>
      <c r="E19493" s="21" t="s">
        <v>35</v>
      </c>
      <c r="F19493">
        <v>6570199</v>
      </c>
      <c r="G19493" t="s">
        <v>5711</v>
      </c>
      <c r="H19493" s="21">
        <v>754.67</v>
      </c>
    </row>
    <row r="19494" spans="1:8" customFormat="1" x14ac:dyDescent="0.25">
      <c r="A19494" t="str">
        <f>"1421146"</f>
        <v>1421146</v>
      </c>
      <c r="B19494" t="s">
        <v>15544</v>
      </c>
      <c r="C19494" t="s">
        <v>263</v>
      </c>
      <c r="D19494" s="21" t="s">
        <v>34</v>
      </c>
      <c r="E19494" s="21" t="s">
        <v>1089</v>
      </c>
      <c r="F19494">
        <v>9140156</v>
      </c>
      <c r="G19494" t="s">
        <v>645</v>
      </c>
      <c r="H19494" s="21">
        <v>754.67</v>
      </c>
    </row>
    <row r="19495" spans="1:8" customFormat="1" x14ac:dyDescent="0.25">
      <c r="A19495" t="str">
        <f>"2930111"</f>
        <v>2930111</v>
      </c>
      <c r="B19495" t="s">
        <v>3848</v>
      </c>
      <c r="C19495" t="s">
        <v>239</v>
      </c>
      <c r="D19495" s="21" t="s">
        <v>34</v>
      </c>
      <c r="E19495" s="21" t="s">
        <v>35</v>
      </c>
      <c r="F19495">
        <v>3290044</v>
      </c>
      <c r="G19495" t="s">
        <v>3897</v>
      </c>
      <c r="H19495" s="21">
        <v>754.67</v>
      </c>
    </row>
    <row r="19496" spans="1:8" customFormat="1" x14ac:dyDescent="0.25">
      <c r="A19496" t="str">
        <f>"4926495"</f>
        <v>4926495</v>
      </c>
      <c r="B19496" t="s">
        <v>4183</v>
      </c>
      <c r="C19496" t="s">
        <v>263</v>
      </c>
      <c r="D19496" s="21" t="s">
        <v>34</v>
      </c>
      <c r="E19496" s="21" t="s">
        <v>254</v>
      </c>
      <c r="F19496">
        <v>12490032</v>
      </c>
      <c r="G19496" t="s">
        <v>6233</v>
      </c>
      <c r="H19496" s="21">
        <v>754.67</v>
      </c>
    </row>
    <row r="19497" spans="1:8" customFormat="1" x14ac:dyDescent="0.25">
      <c r="A19497" t="str">
        <f>"519195"</f>
        <v>519195</v>
      </c>
      <c r="B19497" t="s">
        <v>15540</v>
      </c>
      <c r="C19497" t="s">
        <v>462</v>
      </c>
      <c r="D19497" s="21" t="s">
        <v>34</v>
      </c>
      <c r="E19497" s="21" t="s">
        <v>71</v>
      </c>
      <c r="F19497">
        <v>6510053</v>
      </c>
      <c r="G19497" t="s">
        <v>27203</v>
      </c>
      <c r="H19497" s="21">
        <v>754.67</v>
      </c>
    </row>
    <row r="19498" spans="1:8" customFormat="1" x14ac:dyDescent="0.25">
      <c r="A19498" t="str">
        <f>"5619595"</f>
        <v>5619595</v>
      </c>
      <c r="B19498" t="s">
        <v>17515</v>
      </c>
      <c r="C19498" t="s">
        <v>484</v>
      </c>
      <c r="D19498" s="21" t="s">
        <v>34</v>
      </c>
      <c r="E19498" s="21" t="s">
        <v>35</v>
      </c>
      <c r="F19498">
        <v>3560014</v>
      </c>
      <c r="G19498" t="s">
        <v>8206</v>
      </c>
      <c r="H19498" s="21">
        <v>754.67</v>
      </c>
    </row>
    <row r="19499" spans="1:8" customFormat="1" x14ac:dyDescent="0.25">
      <c r="A19499" t="str">
        <f>"5110607"</f>
        <v>5110607</v>
      </c>
      <c r="B19499" t="s">
        <v>2052</v>
      </c>
      <c r="C19499" t="s">
        <v>1146</v>
      </c>
      <c r="D19499" s="21" t="s">
        <v>34</v>
      </c>
      <c r="E19499" s="21" t="s">
        <v>71</v>
      </c>
      <c r="F19499">
        <v>6510051</v>
      </c>
      <c r="G19499" t="s">
        <v>13878</v>
      </c>
      <c r="H19499" s="21">
        <v>754.67</v>
      </c>
    </row>
    <row r="19500" spans="1:8" customFormat="1" x14ac:dyDescent="0.25">
      <c r="A19500" t="str">
        <f>"645337"</f>
        <v>645337</v>
      </c>
      <c r="B19500" t="s">
        <v>16562</v>
      </c>
      <c r="C19500" t="s">
        <v>486</v>
      </c>
      <c r="D19500" s="21" t="s">
        <v>34</v>
      </c>
      <c r="E19500" s="21" t="s">
        <v>35</v>
      </c>
      <c r="F19500">
        <v>10640019</v>
      </c>
      <c r="G19500" t="s">
        <v>3123</v>
      </c>
      <c r="H19500" s="21">
        <v>754.54</v>
      </c>
    </row>
    <row r="19501" spans="1:8" customFormat="1" x14ac:dyDescent="0.25">
      <c r="A19501" t="str">
        <f>"8013259"</f>
        <v>8013259</v>
      </c>
      <c r="B19501" t="s">
        <v>623</v>
      </c>
      <c r="C19501" t="s">
        <v>1325</v>
      </c>
      <c r="D19501" s="21" t="s">
        <v>34</v>
      </c>
      <c r="E19501" s="21" t="s">
        <v>35</v>
      </c>
      <c r="F19501">
        <v>7800040</v>
      </c>
      <c r="G19501" t="s">
        <v>1448</v>
      </c>
      <c r="H19501" s="21">
        <v>754.5</v>
      </c>
    </row>
    <row r="19502" spans="1:8" customFormat="1" x14ac:dyDescent="0.25">
      <c r="A19502" t="str">
        <f>"089666"</f>
        <v>089666</v>
      </c>
      <c r="B19502" t="s">
        <v>10048</v>
      </c>
      <c r="C19502" t="s">
        <v>16147</v>
      </c>
      <c r="D19502" s="21" t="s">
        <v>34</v>
      </c>
      <c r="E19502" s="21" t="s">
        <v>254</v>
      </c>
      <c r="F19502">
        <v>6080013</v>
      </c>
      <c r="G19502" t="s">
        <v>1532</v>
      </c>
      <c r="H19502" s="21">
        <v>754.42</v>
      </c>
    </row>
    <row r="19503" spans="1:8" customFormat="1" x14ac:dyDescent="0.25">
      <c r="A19503" t="str">
        <f>"296753"</f>
        <v>296753</v>
      </c>
      <c r="B19503" t="s">
        <v>16021</v>
      </c>
      <c r="C19503" t="s">
        <v>486</v>
      </c>
      <c r="D19503" s="21" t="s">
        <v>34</v>
      </c>
      <c r="E19503" s="21" t="s">
        <v>35</v>
      </c>
      <c r="F19503">
        <v>3290212</v>
      </c>
      <c r="G19503" t="s">
        <v>6046</v>
      </c>
      <c r="H19503" s="21">
        <v>754.42</v>
      </c>
    </row>
    <row r="19504" spans="1:8" customFormat="1" x14ac:dyDescent="0.25">
      <c r="A19504" t="str">
        <f>"244953"</f>
        <v>244953</v>
      </c>
      <c r="B19504" t="s">
        <v>16278</v>
      </c>
      <c r="C19504" t="s">
        <v>269</v>
      </c>
      <c r="D19504" s="21" t="s">
        <v>34</v>
      </c>
      <c r="E19504" s="21" t="s">
        <v>71</v>
      </c>
      <c r="F19504">
        <v>10240030</v>
      </c>
      <c r="G19504" t="s">
        <v>8997</v>
      </c>
      <c r="H19504" s="21">
        <v>754.42</v>
      </c>
    </row>
    <row r="19505" spans="1:8" customFormat="1" x14ac:dyDescent="0.25">
      <c r="A19505" t="str">
        <f>"2811369"</f>
        <v>2811369</v>
      </c>
      <c r="B19505" t="s">
        <v>5117</v>
      </c>
      <c r="C19505" t="s">
        <v>262</v>
      </c>
      <c r="D19505" s="21" t="s">
        <v>34</v>
      </c>
      <c r="E19505" s="21" t="s">
        <v>71</v>
      </c>
      <c r="F19505">
        <v>4280716</v>
      </c>
      <c r="G19505" t="s">
        <v>5281</v>
      </c>
      <c r="H19505" s="21">
        <v>754.17</v>
      </c>
    </row>
    <row r="19506" spans="1:8" customFormat="1" x14ac:dyDescent="0.25">
      <c r="A19506" t="str">
        <f>"892806"</f>
        <v>892806</v>
      </c>
      <c r="B19506" t="s">
        <v>1028</v>
      </c>
      <c r="C19506" t="s">
        <v>40</v>
      </c>
      <c r="D19506" s="21" t="s">
        <v>34</v>
      </c>
      <c r="E19506" s="21" t="s">
        <v>254</v>
      </c>
      <c r="F19506">
        <v>2890010</v>
      </c>
      <c r="G19506" t="s">
        <v>3790</v>
      </c>
      <c r="H19506" s="21">
        <v>754.17</v>
      </c>
    </row>
    <row r="19507" spans="1:8" customFormat="1" x14ac:dyDescent="0.25">
      <c r="A19507" t="str">
        <f>"2934237"</f>
        <v>2934237</v>
      </c>
      <c r="B19507" t="s">
        <v>15168</v>
      </c>
      <c r="C19507" t="s">
        <v>576</v>
      </c>
      <c r="D19507" s="21" t="s">
        <v>34</v>
      </c>
      <c r="E19507" s="21" t="s">
        <v>35</v>
      </c>
      <c r="F19507">
        <v>3290244</v>
      </c>
      <c r="G19507" t="s">
        <v>573</v>
      </c>
      <c r="H19507" s="21">
        <v>754.17</v>
      </c>
    </row>
    <row r="19508" spans="1:8" customFormat="1" x14ac:dyDescent="0.25">
      <c r="A19508" t="str">
        <f>"857395"</f>
        <v>857395</v>
      </c>
      <c r="B19508" t="s">
        <v>8804</v>
      </c>
      <c r="C19508" t="s">
        <v>926</v>
      </c>
      <c r="D19508" s="21" t="s">
        <v>34</v>
      </c>
      <c r="E19508" s="21" t="s">
        <v>71</v>
      </c>
      <c r="F19508">
        <v>12850153</v>
      </c>
      <c r="G19508" t="s">
        <v>5794</v>
      </c>
      <c r="H19508" s="21">
        <v>754.17</v>
      </c>
    </row>
    <row r="19509" spans="1:8" customFormat="1" x14ac:dyDescent="0.25">
      <c r="A19509" t="str">
        <f>"723775"</f>
        <v>723775</v>
      </c>
      <c r="B19509" t="s">
        <v>14620</v>
      </c>
      <c r="C19509" t="s">
        <v>3393</v>
      </c>
      <c r="D19509" s="21" t="s">
        <v>34</v>
      </c>
      <c r="E19509" s="21" t="s">
        <v>35</v>
      </c>
      <c r="F19509">
        <v>12720066</v>
      </c>
      <c r="G19509" t="s">
        <v>3571</v>
      </c>
      <c r="H19509" s="21">
        <v>754.17</v>
      </c>
    </row>
    <row r="19510" spans="1:8" customFormat="1" x14ac:dyDescent="0.25">
      <c r="A19510" t="str">
        <f>"4519425"</f>
        <v>4519425</v>
      </c>
      <c r="B19510" t="s">
        <v>15709</v>
      </c>
      <c r="C19510" t="s">
        <v>98</v>
      </c>
      <c r="D19510" s="21" t="s">
        <v>34</v>
      </c>
      <c r="E19510" s="21" t="s">
        <v>35</v>
      </c>
      <c r="F19510">
        <v>4450267</v>
      </c>
      <c r="G19510" t="s">
        <v>15710</v>
      </c>
      <c r="H19510" s="21">
        <v>754.17</v>
      </c>
    </row>
    <row r="19511" spans="1:8" customFormat="1" x14ac:dyDescent="0.25">
      <c r="A19511" t="str">
        <f>"461350"</f>
        <v>461350</v>
      </c>
      <c r="B19511" t="s">
        <v>3904</v>
      </c>
      <c r="C19511" t="s">
        <v>209</v>
      </c>
      <c r="D19511" s="21" t="s">
        <v>34</v>
      </c>
      <c r="E19511" s="21" t="s">
        <v>71</v>
      </c>
      <c r="F19511">
        <v>11460021</v>
      </c>
      <c r="G19511" t="s">
        <v>6727</v>
      </c>
      <c r="H19511" s="21">
        <v>754.17</v>
      </c>
    </row>
    <row r="19512" spans="1:8" customFormat="1" x14ac:dyDescent="0.25">
      <c r="A19512" t="str">
        <f>"7811640"</f>
        <v>7811640</v>
      </c>
      <c r="B19512" t="s">
        <v>27574</v>
      </c>
      <c r="C19512" t="s">
        <v>2305</v>
      </c>
      <c r="D19512" s="21" t="s">
        <v>34</v>
      </c>
      <c r="E19512" s="21" t="s">
        <v>71</v>
      </c>
      <c r="F19512">
        <v>12850072</v>
      </c>
      <c r="G19512" t="s">
        <v>7184</v>
      </c>
      <c r="H19512" s="21">
        <v>754.17</v>
      </c>
    </row>
    <row r="19513" spans="1:8" customFormat="1" x14ac:dyDescent="0.25">
      <c r="A19513" t="str">
        <f>"9530247"</f>
        <v>9530247</v>
      </c>
      <c r="B19513" t="s">
        <v>16063</v>
      </c>
      <c r="C19513" t="s">
        <v>109</v>
      </c>
      <c r="D19513" s="21" t="s">
        <v>34</v>
      </c>
      <c r="E19513" s="21" t="s">
        <v>35</v>
      </c>
      <c r="F19513">
        <v>8950083</v>
      </c>
      <c r="G19513" t="s">
        <v>405</v>
      </c>
      <c r="H19513" s="21">
        <v>754.17</v>
      </c>
    </row>
    <row r="19514" spans="1:8" customFormat="1" x14ac:dyDescent="0.25">
      <c r="A19514" t="str">
        <f>"5319440"</f>
        <v>5319440</v>
      </c>
      <c r="B19514" t="s">
        <v>16264</v>
      </c>
      <c r="C19514" t="s">
        <v>269</v>
      </c>
      <c r="D19514" s="21" t="s">
        <v>34</v>
      </c>
      <c r="E19514" s="21" t="s">
        <v>71</v>
      </c>
      <c r="F19514">
        <v>12538903</v>
      </c>
      <c r="G19514" t="s">
        <v>6439</v>
      </c>
      <c r="H19514" s="21">
        <v>754.17</v>
      </c>
    </row>
    <row r="19515" spans="1:8" customFormat="1" x14ac:dyDescent="0.25">
      <c r="A19515" t="str">
        <f>"6311028"</f>
        <v>6311028</v>
      </c>
      <c r="B19515" t="s">
        <v>17538</v>
      </c>
      <c r="C19515" t="s">
        <v>169</v>
      </c>
      <c r="D19515" s="21" t="s">
        <v>34</v>
      </c>
      <c r="E19515" s="21" t="s">
        <v>71</v>
      </c>
      <c r="F19515">
        <v>1630185</v>
      </c>
      <c r="G19515" t="s">
        <v>858</v>
      </c>
      <c r="H19515" s="21">
        <v>754.17</v>
      </c>
    </row>
    <row r="19516" spans="1:8" customFormat="1" x14ac:dyDescent="0.25">
      <c r="A19516" t="str">
        <f>"691187"</f>
        <v>691187</v>
      </c>
      <c r="B19516" t="s">
        <v>10241</v>
      </c>
      <c r="C19516" t="s">
        <v>453</v>
      </c>
      <c r="D19516" s="21" t="s">
        <v>34</v>
      </c>
      <c r="E19516" s="21" t="s">
        <v>1089</v>
      </c>
      <c r="F19516">
        <v>1690052</v>
      </c>
      <c r="G19516" t="s">
        <v>273</v>
      </c>
      <c r="H19516" s="21">
        <v>754.17</v>
      </c>
    </row>
    <row r="19517" spans="1:8" customFormat="1" x14ac:dyDescent="0.25">
      <c r="A19517" t="str">
        <f>"492622"</f>
        <v>492622</v>
      </c>
      <c r="B19517" t="s">
        <v>7653</v>
      </c>
      <c r="C19517" t="s">
        <v>598</v>
      </c>
      <c r="D19517" s="21" t="s">
        <v>34</v>
      </c>
      <c r="E19517" s="21" t="s">
        <v>1089</v>
      </c>
      <c r="F19517">
        <v>12490117</v>
      </c>
      <c r="G19517" t="s">
        <v>10141</v>
      </c>
      <c r="H19517" s="21">
        <v>754.17</v>
      </c>
    </row>
    <row r="19518" spans="1:8" customFormat="1" x14ac:dyDescent="0.25">
      <c r="A19518" t="str">
        <f>"5925148"</f>
        <v>5925148</v>
      </c>
      <c r="B19518" t="s">
        <v>3740</v>
      </c>
      <c r="C19518" t="s">
        <v>33</v>
      </c>
      <c r="D19518" s="21" t="s">
        <v>34</v>
      </c>
      <c r="E19518" s="21" t="s">
        <v>35</v>
      </c>
      <c r="F19518">
        <v>7590100</v>
      </c>
      <c r="G19518" t="s">
        <v>1660</v>
      </c>
      <c r="H19518" s="21">
        <v>754</v>
      </c>
    </row>
    <row r="19519" spans="1:8" customFormat="1" x14ac:dyDescent="0.25">
      <c r="A19519" t="str">
        <f>"3825218"</f>
        <v>3825218</v>
      </c>
      <c r="B19519" t="s">
        <v>16373</v>
      </c>
      <c r="C19519" t="s">
        <v>2529</v>
      </c>
      <c r="D19519" s="21" t="s">
        <v>34</v>
      </c>
      <c r="E19519" s="21" t="s">
        <v>35</v>
      </c>
      <c r="F19519">
        <v>1380076</v>
      </c>
      <c r="G19519" t="s">
        <v>8543</v>
      </c>
      <c r="H19519" s="21">
        <v>754</v>
      </c>
    </row>
    <row r="19520" spans="1:8" customFormat="1" x14ac:dyDescent="0.25">
      <c r="A19520" t="str">
        <f>"9216407"</f>
        <v>9216407</v>
      </c>
      <c r="B19520" t="s">
        <v>4499</v>
      </c>
      <c r="C19520" t="s">
        <v>302</v>
      </c>
      <c r="D19520" s="21" t="s">
        <v>34</v>
      </c>
      <c r="E19520" s="21" t="s">
        <v>35</v>
      </c>
      <c r="F19520">
        <v>8751163</v>
      </c>
      <c r="G19520" t="s">
        <v>80</v>
      </c>
      <c r="H19520" s="21">
        <v>753.92</v>
      </c>
    </row>
    <row r="19521" spans="1:8" customFormat="1" x14ac:dyDescent="0.25">
      <c r="A19521" t="str">
        <f>"623141"</f>
        <v>623141</v>
      </c>
      <c r="B19521" t="s">
        <v>15097</v>
      </c>
      <c r="C19521" t="s">
        <v>124</v>
      </c>
      <c r="D19521" s="21" t="s">
        <v>34</v>
      </c>
      <c r="E19521" s="21" t="s">
        <v>254</v>
      </c>
      <c r="F19521">
        <v>7620110</v>
      </c>
      <c r="G19521" t="s">
        <v>2681</v>
      </c>
      <c r="H19521" s="21">
        <v>753.92</v>
      </c>
    </row>
    <row r="19522" spans="1:8" customFormat="1" x14ac:dyDescent="0.25">
      <c r="A19522" t="str">
        <f>"9754638"</f>
        <v>9754638</v>
      </c>
      <c r="B19522" t="s">
        <v>14885</v>
      </c>
      <c r="C19522" t="s">
        <v>547</v>
      </c>
      <c r="D19522" s="21" t="s">
        <v>34</v>
      </c>
      <c r="E19522" s="21" t="s">
        <v>254</v>
      </c>
      <c r="F19522" t="s">
        <v>10239</v>
      </c>
      <c r="G19522" t="s">
        <v>10240</v>
      </c>
      <c r="H19522" s="21">
        <v>753.79</v>
      </c>
    </row>
    <row r="19523" spans="1:8" customFormat="1" x14ac:dyDescent="0.25">
      <c r="A19523" t="str">
        <f>"024769"</f>
        <v>024769</v>
      </c>
      <c r="B19523" t="s">
        <v>15294</v>
      </c>
      <c r="C19523" t="s">
        <v>65</v>
      </c>
      <c r="D19523" s="21" t="s">
        <v>34</v>
      </c>
      <c r="E19523" s="21" t="s">
        <v>35</v>
      </c>
      <c r="F19523">
        <v>7020064</v>
      </c>
      <c r="G19523" t="s">
        <v>8396</v>
      </c>
      <c r="H19523" s="21">
        <v>753.79</v>
      </c>
    </row>
    <row r="19524" spans="1:8" customFormat="1" x14ac:dyDescent="0.25">
      <c r="A19524" t="str">
        <f>"3513198"</f>
        <v>3513198</v>
      </c>
      <c r="B19524" t="s">
        <v>14634</v>
      </c>
      <c r="C19524" t="s">
        <v>40</v>
      </c>
      <c r="D19524" s="21" t="s">
        <v>34</v>
      </c>
      <c r="E19524" s="21" t="s">
        <v>254</v>
      </c>
      <c r="F19524">
        <v>3350212</v>
      </c>
      <c r="G19524" t="s">
        <v>5154</v>
      </c>
      <c r="H19524" s="21">
        <v>753.67</v>
      </c>
    </row>
    <row r="19525" spans="1:8" customFormat="1" x14ac:dyDescent="0.25">
      <c r="A19525" t="str">
        <f>"6018556"</f>
        <v>6018556</v>
      </c>
      <c r="B19525" t="s">
        <v>15990</v>
      </c>
      <c r="C19525" t="s">
        <v>328</v>
      </c>
      <c r="D19525" s="21" t="s">
        <v>34</v>
      </c>
      <c r="E19525" s="21" t="s">
        <v>35</v>
      </c>
      <c r="F19525">
        <v>6100021</v>
      </c>
      <c r="G19525" t="s">
        <v>7789</v>
      </c>
      <c r="H19525" s="21">
        <v>753.67</v>
      </c>
    </row>
    <row r="19526" spans="1:8" customFormat="1" x14ac:dyDescent="0.25">
      <c r="A19526" t="str">
        <f>"37271"</f>
        <v>37271</v>
      </c>
      <c r="B19526" t="s">
        <v>9702</v>
      </c>
      <c r="C19526" t="s">
        <v>233</v>
      </c>
      <c r="D19526" s="21" t="s">
        <v>34</v>
      </c>
      <c r="E19526" s="21" t="s">
        <v>71</v>
      </c>
      <c r="F19526">
        <v>4370533</v>
      </c>
      <c r="G19526" t="s">
        <v>10553</v>
      </c>
      <c r="H19526" s="21">
        <v>753.67</v>
      </c>
    </row>
    <row r="19527" spans="1:8" customFormat="1" x14ac:dyDescent="0.25">
      <c r="A19527" t="str">
        <f>"7218862"</f>
        <v>7218862</v>
      </c>
      <c r="B19527" t="s">
        <v>4888</v>
      </c>
      <c r="C19527" t="s">
        <v>598</v>
      </c>
      <c r="D19527" s="21" t="s">
        <v>34</v>
      </c>
      <c r="E19527" s="21" t="s">
        <v>254</v>
      </c>
      <c r="F19527">
        <v>12720141</v>
      </c>
      <c r="G19527" t="s">
        <v>12632</v>
      </c>
      <c r="H19527" s="21">
        <v>753.67</v>
      </c>
    </row>
    <row r="19528" spans="1:8" customFormat="1" x14ac:dyDescent="0.25">
      <c r="A19528" t="str">
        <f>"8515620"</f>
        <v>8515620</v>
      </c>
      <c r="B19528" t="s">
        <v>15655</v>
      </c>
      <c r="C19528" t="s">
        <v>1605</v>
      </c>
      <c r="D19528" s="21" t="s">
        <v>34</v>
      </c>
      <c r="E19528" s="21" t="s">
        <v>71</v>
      </c>
      <c r="F19528">
        <v>12850148</v>
      </c>
      <c r="G19528" t="s">
        <v>2380</v>
      </c>
      <c r="H19528" s="21">
        <v>753.67</v>
      </c>
    </row>
    <row r="19529" spans="1:8" customFormat="1" x14ac:dyDescent="0.25">
      <c r="A19529" t="str">
        <f>"4929217"</f>
        <v>4929217</v>
      </c>
      <c r="B19529" t="s">
        <v>517</v>
      </c>
      <c r="C19529" t="s">
        <v>121</v>
      </c>
      <c r="D19529" s="21" t="s">
        <v>34</v>
      </c>
      <c r="E19529" s="21" t="s">
        <v>35</v>
      </c>
      <c r="F19529">
        <v>12490092</v>
      </c>
      <c r="G19529" t="s">
        <v>1854</v>
      </c>
      <c r="H19529" s="21">
        <v>753.67</v>
      </c>
    </row>
    <row r="19530" spans="1:8" customFormat="1" x14ac:dyDescent="0.25">
      <c r="A19530" t="str">
        <f>"5962949"</f>
        <v>5962949</v>
      </c>
      <c r="B19530" t="s">
        <v>17177</v>
      </c>
      <c r="C19530" t="s">
        <v>267</v>
      </c>
      <c r="D19530" s="21" t="s">
        <v>34</v>
      </c>
      <c r="E19530" s="21" t="s">
        <v>35</v>
      </c>
      <c r="F19530">
        <v>7590331</v>
      </c>
      <c r="G19530" t="s">
        <v>4882</v>
      </c>
      <c r="H19530" s="21">
        <v>753.67</v>
      </c>
    </row>
    <row r="19531" spans="1:8" customFormat="1" x14ac:dyDescent="0.25">
      <c r="A19531" t="str">
        <f>"9122202"</f>
        <v>9122202</v>
      </c>
      <c r="B19531" t="s">
        <v>201</v>
      </c>
      <c r="C19531" t="s">
        <v>269</v>
      </c>
      <c r="D19531" s="21" t="s">
        <v>34</v>
      </c>
      <c r="E19531" s="21" t="s">
        <v>71</v>
      </c>
      <c r="F19531">
        <v>8770426</v>
      </c>
      <c r="G19531" t="s">
        <v>1847</v>
      </c>
      <c r="H19531" s="21">
        <v>753.67</v>
      </c>
    </row>
    <row r="19532" spans="1:8" customFormat="1" x14ac:dyDescent="0.25">
      <c r="A19532" t="str">
        <f>"76470"</f>
        <v>76470</v>
      </c>
      <c r="B19532" t="s">
        <v>2883</v>
      </c>
      <c r="C19532" t="s">
        <v>2730</v>
      </c>
      <c r="D19532" s="21" t="s">
        <v>34</v>
      </c>
      <c r="E19532" s="21" t="s">
        <v>1089</v>
      </c>
      <c r="F19532">
        <v>9760014</v>
      </c>
      <c r="G19532" t="s">
        <v>1017</v>
      </c>
      <c r="H19532" s="21">
        <v>753.67</v>
      </c>
    </row>
    <row r="19533" spans="1:8" customFormat="1" x14ac:dyDescent="0.25">
      <c r="A19533" t="str">
        <f>"6945599"</f>
        <v>6945599</v>
      </c>
      <c r="B19533" t="s">
        <v>7809</v>
      </c>
      <c r="C19533" t="s">
        <v>198</v>
      </c>
      <c r="D19533" s="21" t="s">
        <v>34</v>
      </c>
      <c r="E19533" s="21" t="s">
        <v>35</v>
      </c>
      <c r="F19533">
        <v>1690002</v>
      </c>
      <c r="G19533" t="s">
        <v>5604</v>
      </c>
      <c r="H19533" s="21">
        <v>753.67</v>
      </c>
    </row>
    <row r="19534" spans="1:8" customFormat="1" x14ac:dyDescent="0.25">
      <c r="A19534" t="str">
        <f>"57168"</f>
        <v>57168</v>
      </c>
      <c r="B19534" t="s">
        <v>15577</v>
      </c>
      <c r="C19534" t="s">
        <v>2904</v>
      </c>
      <c r="D19534" s="21" t="s">
        <v>34</v>
      </c>
      <c r="E19534" s="21" t="s">
        <v>254</v>
      </c>
      <c r="F19534">
        <v>6570014</v>
      </c>
      <c r="G19534" t="s">
        <v>72</v>
      </c>
      <c r="H19534" s="21">
        <v>753.67</v>
      </c>
    </row>
    <row r="19535" spans="1:8" customFormat="1" x14ac:dyDescent="0.25">
      <c r="A19535" t="str">
        <f>"3722341"</f>
        <v>3722341</v>
      </c>
      <c r="B19535" t="s">
        <v>1954</v>
      </c>
      <c r="C19535" t="s">
        <v>169</v>
      </c>
      <c r="D19535" s="21" t="s">
        <v>34</v>
      </c>
      <c r="E19535" s="21" t="s">
        <v>35</v>
      </c>
      <c r="F19535">
        <v>4370615</v>
      </c>
      <c r="G19535" t="s">
        <v>7437</v>
      </c>
      <c r="H19535" s="21">
        <v>753.67</v>
      </c>
    </row>
    <row r="19536" spans="1:8" customFormat="1" x14ac:dyDescent="0.25">
      <c r="A19536" t="str">
        <f>"6314914"</f>
        <v>6314914</v>
      </c>
      <c r="B19536" t="s">
        <v>15741</v>
      </c>
      <c r="C19536" t="s">
        <v>305</v>
      </c>
      <c r="D19536" s="21" t="s">
        <v>34</v>
      </c>
      <c r="E19536" s="21" t="s">
        <v>35</v>
      </c>
      <c r="F19536">
        <v>1630327</v>
      </c>
      <c r="G19536" t="s">
        <v>13353</v>
      </c>
      <c r="H19536" s="21">
        <v>753.67</v>
      </c>
    </row>
    <row r="19537" spans="1:8" customFormat="1" x14ac:dyDescent="0.25">
      <c r="A19537" t="str">
        <f>"7515783"</f>
        <v>7515783</v>
      </c>
      <c r="B19537" t="s">
        <v>18216</v>
      </c>
      <c r="C19537" t="s">
        <v>3098</v>
      </c>
      <c r="D19537" s="21" t="s">
        <v>34</v>
      </c>
      <c r="E19537" s="21" t="s">
        <v>71</v>
      </c>
      <c r="F19537">
        <v>8751061</v>
      </c>
      <c r="G19537" t="s">
        <v>26628</v>
      </c>
      <c r="H19537" s="21">
        <v>753.67</v>
      </c>
    </row>
    <row r="19538" spans="1:8" customFormat="1" x14ac:dyDescent="0.25">
      <c r="A19538" t="str">
        <f>"80620"</f>
        <v>80620</v>
      </c>
      <c r="B19538" t="s">
        <v>15188</v>
      </c>
      <c r="C19538" t="s">
        <v>267</v>
      </c>
      <c r="D19538" s="21" t="s">
        <v>34</v>
      </c>
      <c r="E19538" s="21" t="s">
        <v>1089</v>
      </c>
      <c r="F19538">
        <v>7800015</v>
      </c>
      <c r="G19538" t="s">
        <v>8701</v>
      </c>
      <c r="H19538" s="21">
        <v>753.67</v>
      </c>
    </row>
    <row r="19539" spans="1:8" customFormat="1" x14ac:dyDescent="0.25">
      <c r="A19539" t="str">
        <f>"6811910"</f>
        <v>6811910</v>
      </c>
      <c r="B19539" t="s">
        <v>13809</v>
      </c>
      <c r="C19539" t="s">
        <v>13810</v>
      </c>
      <c r="D19539" s="21" t="s">
        <v>34</v>
      </c>
      <c r="E19539" s="21" t="s">
        <v>254</v>
      </c>
      <c r="F19539">
        <v>6680138</v>
      </c>
      <c r="G19539" t="s">
        <v>10497</v>
      </c>
      <c r="H19539" s="21">
        <v>753.67</v>
      </c>
    </row>
    <row r="19540" spans="1:8" customFormat="1" x14ac:dyDescent="0.25">
      <c r="A19540" t="str">
        <f>"3315878"</f>
        <v>3315878</v>
      </c>
      <c r="B19540" t="s">
        <v>2854</v>
      </c>
      <c r="C19540" t="s">
        <v>211</v>
      </c>
      <c r="D19540" s="21" t="s">
        <v>34</v>
      </c>
      <c r="E19540" s="21" t="s">
        <v>35</v>
      </c>
      <c r="F19540">
        <v>10330125</v>
      </c>
      <c r="G19540" t="s">
        <v>3753</v>
      </c>
      <c r="H19540" s="21">
        <v>753.67</v>
      </c>
    </row>
    <row r="19541" spans="1:8" customFormat="1" x14ac:dyDescent="0.25">
      <c r="A19541" t="str">
        <f>"6111995"</f>
        <v>6111995</v>
      </c>
      <c r="B19541" t="s">
        <v>3367</v>
      </c>
      <c r="C19541" t="s">
        <v>124</v>
      </c>
      <c r="D19541" s="21" t="s">
        <v>34</v>
      </c>
      <c r="E19541" s="21" t="s">
        <v>254</v>
      </c>
      <c r="F19541">
        <v>9610031</v>
      </c>
      <c r="G19541" t="s">
        <v>1792</v>
      </c>
      <c r="H19541" s="21">
        <v>753.67</v>
      </c>
    </row>
    <row r="19542" spans="1:8" customFormat="1" x14ac:dyDescent="0.25">
      <c r="A19542" t="str">
        <f>"9130010"</f>
        <v>9130010</v>
      </c>
      <c r="B19542" t="s">
        <v>16009</v>
      </c>
      <c r="C19542" t="s">
        <v>486</v>
      </c>
      <c r="D19542" s="21" t="s">
        <v>34</v>
      </c>
      <c r="E19542" s="21" t="s">
        <v>35</v>
      </c>
      <c r="F19542">
        <v>8911395</v>
      </c>
      <c r="G19542" t="s">
        <v>8758</v>
      </c>
      <c r="H19542" s="21">
        <v>753.67</v>
      </c>
    </row>
    <row r="19543" spans="1:8" customFormat="1" x14ac:dyDescent="0.25">
      <c r="A19543" t="str">
        <f>"8514367"</f>
        <v>8514367</v>
      </c>
      <c r="B19543" t="s">
        <v>10802</v>
      </c>
      <c r="C19543" t="s">
        <v>121</v>
      </c>
      <c r="D19543" s="21" t="s">
        <v>34</v>
      </c>
      <c r="E19543" s="21" t="s">
        <v>35</v>
      </c>
      <c r="F19543">
        <v>12850069</v>
      </c>
      <c r="G19543" t="s">
        <v>2154</v>
      </c>
      <c r="H19543" s="21">
        <v>753.67</v>
      </c>
    </row>
    <row r="19544" spans="1:8" customFormat="1" x14ac:dyDescent="0.25">
      <c r="A19544" t="str">
        <f>"3411373"</f>
        <v>3411373</v>
      </c>
      <c r="B19544" t="s">
        <v>15078</v>
      </c>
      <c r="C19544" t="s">
        <v>323</v>
      </c>
      <c r="D19544" s="21" t="s">
        <v>34</v>
      </c>
      <c r="E19544" s="21" t="s">
        <v>71</v>
      </c>
      <c r="F19544">
        <v>11340059</v>
      </c>
      <c r="G19544" t="s">
        <v>10368</v>
      </c>
      <c r="H19544" s="21">
        <v>753.67</v>
      </c>
    </row>
    <row r="19545" spans="1:8" customFormat="1" x14ac:dyDescent="0.25">
      <c r="A19545" t="str">
        <f>"4418095"</f>
        <v>4418095</v>
      </c>
      <c r="B19545" t="s">
        <v>4071</v>
      </c>
      <c r="C19545" t="s">
        <v>202</v>
      </c>
      <c r="D19545" s="21" t="s">
        <v>34</v>
      </c>
      <c r="E19545" s="21" t="s">
        <v>6185</v>
      </c>
      <c r="F19545">
        <v>12440195</v>
      </c>
      <c r="G19545" t="s">
        <v>3117</v>
      </c>
      <c r="H19545" s="21">
        <v>753.67</v>
      </c>
    </row>
    <row r="19546" spans="1:8" customFormat="1" x14ac:dyDescent="0.25">
      <c r="A19546" t="str">
        <f>"2933705"</f>
        <v>2933705</v>
      </c>
      <c r="B19546" t="s">
        <v>15448</v>
      </c>
      <c r="C19546" t="s">
        <v>198</v>
      </c>
      <c r="D19546" s="21" t="s">
        <v>34</v>
      </c>
      <c r="E19546" s="21" t="s">
        <v>71</v>
      </c>
      <c r="F19546">
        <v>3290036</v>
      </c>
      <c r="G19546" t="s">
        <v>3903</v>
      </c>
      <c r="H19546" s="21">
        <v>753.67</v>
      </c>
    </row>
    <row r="19547" spans="1:8" customFormat="1" x14ac:dyDescent="0.25">
      <c r="A19547" t="str">
        <f>"1413039"</f>
        <v>1413039</v>
      </c>
      <c r="B19547" t="s">
        <v>16133</v>
      </c>
      <c r="C19547" t="s">
        <v>486</v>
      </c>
      <c r="D19547" s="21" t="s">
        <v>34</v>
      </c>
      <c r="E19547" s="21" t="s">
        <v>35</v>
      </c>
      <c r="F19547">
        <v>9140063</v>
      </c>
      <c r="G19547" t="s">
        <v>4764</v>
      </c>
      <c r="H19547" s="21">
        <v>753.67</v>
      </c>
    </row>
    <row r="19548" spans="1:8" customFormat="1" x14ac:dyDescent="0.25">
      <c r="A19548" t="str">
        <f>"2712752"</f>
        <v>2712752</v>
      </c>
      <c r="B19548" t="s">
        <v>14301</v>
      </c>
      <c r="C19548" t="s">
        <v>1597</v>
      </c>
      <c r="D19548" s="21" t="s">
        <v>34</v>
      </c>
      <c r="E19548" s="21" t="s">
        <v>35</v>
      </c>
      <c r="F19548">
        <v>9270152</v>
      </c>
      <c r="G19548" t="s">
        <v>1985</v>
      </c>
      <c r="H19548" s="21">
        <v>753.67</v>
      </c>
    </row>
    <row r="19549" spans="1:8" customFormat="1" x14ac:dyDescent="0.25">
      <c r="A19549" t="str">
        <f>"792134"</f>
        <v>792134</v>
      </c>
      <c r="B19549" t="s">
        <v>3972</v>
      </c>
      <c r="C19549" t="s">
        <v>239</v>
      </c>
      <c r="D19549" s="21" t="s">
        <v>34</v>
      </c>
      <c r="E19549" s="21" t="s">
        <v>71</v>
      </c>
      <c r="F19549">
        <v>10790002</v>
      </c>
      <c r="G19549" t="s">
        <v>6612</v>
      </c>
      <c r="H19549" s="21">
        <v>753.67</v>
      </c>
    </row>
    <row r="19550" spans="1:8" customFormat="1" x14ac:dyDescent="0.25">
      <c r="A19550" t="str">
        <f>"3118830"</f>
        <v>3118830</v>
      </c>
      <c r="B19550" t="s">
        <v>1551</v>
      </c>
      <c r="C19550" t="s">
        <v>379</v>
      </c>
      <c r="D19550" s="21" t="s">
        <v>34</v>
      </c>
      <c r="E19550" s="21" t="s">
        <v>1089</v>
      </c>
      <c r="F19550">
        <v>11310123</v>
      </c>
      <c r="G19550" t="s">
        <v>3915</v>
      </c>
      <c r="H19550" s="21">
        <v>753.67</v>
      </c>
    </row>
    <row r="19551" spans="1:8" customFormat="1" x14ac:dyDescent="0.25">
      <c r="A19551" t="str">
        <f>"545677"</f>
        <v>545677</v>
      </c>
      <c r="B19551" t="s">
        <v>10941</v>
      </c>
      <c r="C19551" t="s">
        <v>40</v>
      </c>
      <c r="D19551" s="21" t="s">
        <v>34</v>
      </c>
      <c r="E19551" s="21" t="s">
        <v>71</v>
      </c>
      <c r="F19551">
        <v>6540040</v>
      </c>
      <c r="G19551" t="s">
        <v>256</v>
      </c>
      <c r="H19551" s="21">
        <v>753.67</v>
      </c>
    </row>
    <row r="19552" spans="1:8" customFormat="1" x14ac:dyDescent="0.25">
      <c r="A19552" t="str">
        <f>"186975"</f>
        <v>186975</v>
      </c>
      <c r="B19552" t="s">
        <v>8887</v>
      </c>
      <c r="C19552" t="s">
        <v>204</v>
      </c>
      <c r="D19552" s="21" t="s">
        <v>34</v>
      </c>
      <c r="E19552" s="21" t="s">
        <v>35</v>
      </c>
      <c r="F19552">
        <v>4180174</v>
      </c>
      <c r="G19552" t="s">
        <v>3046</v>
      </c>
      <c r="H19552" s="21">
        <v>753.67</v>
      </c>
    </row>
    <row r="19553" spans="1:8" customFormat="1" x14ac:dyDescent="0.25">
      <c r="A19553" t="str">
        <f>"838997"</f>
        <v>838997</v>
      </c>
      <c r="B19553" t="s">
        <v>788</v>
      </c>
      <c r="C19553" t="s">
        <v>547</v>
      </c>
      <c r="D19553" s="21" t="s">
        <v>34</v>
      </c>
      <c r="E19553" s="21" t="s">
        <v>254</v>
      </c>
      <c r="F19553">
        <v>13830083</v>
      </c>
      <c r="G19553" t="s">
        <v>2159</v>
      </c>
      <c r="H19553" s="21">
        <v>753.42</v>
      </c>
    </row>
    <row r="19554" spans="1:8" customFormat="1" x14ac:dyDescent="0.25">
      <c r="A19554" t="str">
        <f>"4411009"</f>
        <v>4411009</v>
      </c>
      <c r="B19554" t="s">
        <v>16397</v>
      </c>
      <c r="C19554" t="s">
        <v>124</v>
      </c>
      <c r="D19554" s="21" t="s">
        <v>34</v>
      </c>
      <c r="E19554" s="21" t="s">
        <v>35</v>
      </c>
      <c r="F19554">
        <v>12440160</v>
      </c>
      <c r="G19554" t="s">
        <v>6939</v>
      </c>
      <c r="H19554" s="21">
        <v>753.42</v>
      </c>
    </row>
    <row r="19555" spans="1:8" customFormat="1" x14ac:dyDescent="0.25">
      <c r="A19555" t="str">
        <f>"1423817"</f>
        <v>1423817</v>
      </c>
      <c r="B19555" t="s">
        <v>17254</v>
      </c>
      <c r="C19555" t="s">
        <v>1946</v>
      </c>
      <c r="D19555" s="21" t="s">
        <v>34</v>
      </c>
      <c r="E19555" s="21" t="s">
        <v>71</v>
      </c>
      <c r="F19555">
        <v>9140128</v>
      </c>
      <c r="G19555" t="s">
        <v>2798</v>
      </c>
      <c r="H19555" s="21">
        <v>753.42</v>
      </c>
    </row>
    <row r="19556" spans="1:8" customFormat="1" x14ac:dyDescent="0.25">
      <c r="A19556" t="str">
        <f>"2937194"</f>
        <v>2937194</v>
      </c>
      <c r="B19556" t="s">
        <v>16071</v>
      </c>
      <c r="C19556" t="s">
        <v>209</v>
      </c>
      <c r="D19556" s="21" t="s">
        <v>34</v>
      </c>
      <c r="E19556" s="21" t="s">
        <v>71</v>
      </c>
      <c r="F19556">
        <v>3290202</v>
      </c>
      <c r="G19556" t="s">
        <v>3314</v>
      </c>
      <c r="H19556" s="21">
        <v>753.42</v>
      </c>
    </row>
    <row r="19557" spans="1:8" customFormat="1" x14ac:dyDescent="0.25">
      <c r="A19557" t="str">
        <f>"5421853"</f>
        <v>5421853</v>
      </c>
      <c r="B19557" t="s">
        <v>16010</v>
      </c>
      <c r="C19557" t="s">
        <v>2520</v>
      </c>
      <c r="D19557" s="21" t="s">
        <v>34</v>
      </c>
      <c r="E19557" s="21" t="s">
        <v>71</v>
      </c>
      <c r="F19557">
        <v>6540034</v>
      </c>
      <c r="G19557" t="s">
        <v>2211</v>
      </c>
      <c r="H19557" s="21">
        <v>753.42</v>
      </c>
    </row>
    <row r="19558" spans="1:8" customFormat="1" x14ac:dyDescent="0.25">
      <c r="A19558" t="str">
        <f>"5947888"</f>
        <v>5947888</v>
      </c>
      <c r="B19558" t="s">
        <v>14399</v>
      </c>
      <c r="C19558" t="s">
        <v>2678</v>
      </c>
      <c r="D19558" s="21" t="s">
        <v>34</v>
      </c>
      <c r="E19558" s="21" t="s">
        <v>35</v>
      </c>
      <c r="F19558">
        <v>12490131</v>
      </c>
      <c r="G19558" t="s">
        <v>12847</v>
      </c>
      <c r="H19558" s="21">
        <v>753.17</v>
      </c>
    </row>
    <row r="19559" spans="1:8" customFormat="1" x14ac:dyDescent="0.25">
      <c r="A19559" t="str">
        <f>"4934870"</f>
        <v>4934870</v>
      </c>
      <c r="B19559" t="s">
        <v>739</v>
      </c>
      <c r="C19559" t="s">
        <v>87</v>
      </c>
      <c r="D19559" s="21" t="s">
        <v>34</v>
      </c>
      <c r="E19559" s="21" t="s">
        <v>35</v>
      </c>
      <c r="F19559">
        <v>12490073</v>
      </c>
      <c r="G19559" t="s">
        <v>296</v>
      </c>
      <c r="H19559" s="21">
        <v>753.17</v>
      </c>
    </row>
    <row r="19560" spans="1:8" customFormat="1" x14ac:dyDescent="0.25">
      <c r="A19560" t="str">
        <f>"0211298"</f>
        <v>0211298</v>
      </c>
      <c r="B19560" t="s">
        <v>1198</v>
      </c>
      <c r="C19560" t="s">
        <v>459</v>
      </c>
      <c r="D19560" s="21" t="s">
        <v>34</v>
      </c>
      <c r="E19560" s="21" t="s">
        <v>71</v>
      </c>
      <c r="F19560">
        <v>7020024</v>
      </c>
      <c r="G19560" t="s">
        <v>4860</v>
      </c>
      <c r="H19560" s="21">
        <v>753.17</v>
      </c>
    </row>
    <row r="19561" spans="1:8" customFormat="1" x14ac:dyDescent="0.25">
      <c r="A19561" t="str">
        <f>"756483"</f>
        <v>756483</v>
      </c>
      <c r="B19561" t="s">
        <v>811</v>
      </c>
      <c r="C19561" t="s">
        <v>62</v>
      </c>
      <c r="D19561" s="21" t="s">
        <v>34</v>
      </c>
      <c r="E19561" s="21" t="s">
        <v>71</v>
      </c>
      <c r="F19561">
        <v>10860038</v>
      </c>
      <c r="G19561" t="s">
        <v>8925</v>
      </c>
      <c r="H19561" s="21">
        <v>753.17</v>
      </c>
    </row>
    <row r="19562" spans="1:8" customFormat="1" x14ac:dyDescent="0.25">
      <c r="A19562" t="str">
        <f>"12948"</f>
        <v>12948</v>
      </c>
      <c r="B19562" t="s">
        <v>15517</v>
      </c>
      <c r="C19562" t="s">
        <v>415</v>
      </c>
      <c r="D19562" s="21" t="s">
        <v>34</v>
      </c>
      <c r="E19562" s="21" t="s">
        <v>254</v>
      </c>
      <c r="F19562">
        <v>11120017</v>
      </c>
      <c r="G19562" t="s">
        <v>6560</v>
      </c>
      <c r="H19562" s="21">
        <v>753.17</v>
      </c>
    </row>
    <row r="19563" spans="1:8" customFormat="1" x14ac:dyDescent="0.25">
      <c r="A19563" t="str">
        <f>"8525042"</f>
        <v>8525042</v>
      </c>
      <c r="B19563" t="s">
        <v>4728</v>
      </c>
      <c r="C19563" t="s">
        <v>198</v>
      </c>
      <c r="D19563" s="21" t="s">
        <v>34</v>
      </c>
      <c r="E19563" s="21" t="s">
        <v>35</v>
      </c>
      <c r="F19563">
        <v>12850148</v>
      </c>
      <c r="G19563" t="s">
        <v>2380</v>
      </c>
      <c r="H19563" s="21">
        <v>753.17</v>
      </c>
    </row>
    <row r="19564" spans="1:8" customFormat="1" x14ac:dyDescent="0.25">
      <c r="A19564" t="str">
        <f>"5929524"</f>
        <v>5929524</v>
      </c>
      <c r="B19564" t="s">
        <v>16177</v>
      </c>
      <c r="C19564" t="s">
        <v>40</v>
      </c>
      <c r="D19564" s="21" t="s">
        <v>34</v>
      </c>
      <c r="E19564" s="21" t="s">
        <v>254</v>
      </c>
      <c r="F19564">
        <v>7590044</v>
      </c>
      <c r="G19564" t="s">
        <v>2029</v>
      </c>
      <c r="H19564" s="21">
        <v>753.17</v>
      </c>
    </row>
    <row r="19565" spans="1:8" customFormat="1" x14ac:dyDescent="0.25">
      <c r="A19565" t="str">
        <f>"7513125"</f>
        <v>7513125</v>
      </c>
      <c r="B19565" t="s">
        <v>14325</v>
      </c>
      <c r="C19565" t="s">
        <v>249</v>
      </c>
      <c r="D19565" s="21" t="s">
        <v>34</v>
      </c>
      <c r="E19565" s="21" t="s">
        <v>35</v>
      </c>
      <c r="F19565">
        <v>8930928</v>
      </c>
      <c r="G19565" t="s">
        <v>606</v>
      </c>
      <c r="H19565" s="21">
        <v>753.17</v>
      </c>
    </row>
    <row r="19566" spans="1:8" customFormat="1" x14ac:dyDescent="0.25">
      <c r="A19566" t="str">
        <f>"5981906"</f>
        <v>5981906</v>
      </c>
      <c r="B19566" t="s">
        <v>22144</v>
      </c>
      <c r="C19566" t="s">
        <v>43</v>
      </c>
      <c r="D19566" s="21" t="s">
        <v>34</v>
      </c>
      <c r="E19566" s="21" t="s">
        <v>35</v>
      </c>
      <c r="F19566">
        <v>7590372</v>
      </c>
      <c r="G19566" t="s">
        <v>3638</v>
      </c>
      <c r="H19566" s="21">
        <v>753.17</v>
      </c>
    </row>
    <row r="19567" spans="1:8" customFormat="1" x14ac:dyDescent="0.25">
      <c r="A19567" t="str">
        <f>"406493"</f>
        <v>406493</v>
      </c>
      <c r="B19567" t="s">
        <v>5146</v>
      </c>
      <c r="C19567" t="s">
        <v>1665</v>
      </c>
      <c r="D19567" s="21" t="s">
        <v>34</v>
      </c>
      <c r="E19567" s="21" t="s">
        <v>71</v>
      </c>
      <c r="F19567">
        <v>10400002</v>
      </c>
      <c r="G19567" t="s">
        <v>1975</v>
      </c>
      <c r="H19567" s="21">
        <v>753.17</v>
      </c>
    </row>
    <row r="19568" spans="1:8" customFormat="1" x14ac:dyDescent="0.25">
      <c r="A19568" t="str">
        <f>"497174"</f>
        <v>497174</v>
      </c>
      <c r="B19568" t="s">
        <v>10801</v>
      </c>
      <c r="C19568" t="s">
        <v>1605</v>
      </c>
      <c r="D19568" s="21" t="s">
        <v>34</v>
      </c>
      <c r="E19568" s="21" t="s">
        <v>254</v>
      </c>
      <c r="F19568">
        <v>12490106</v>
      </c>
      <c r="G19568" t="s">
        <v>4555</v>
      </c>
      <c r="H19568" s="21">
        <v>753.17</v>
      </c>
    </row>
    <row r="19569" spans="1:8" customFormat="1" x14ac:dyDescent="0.25">
      <c r="A19569" t="str">
        <f>"9250114"</f>
        <v>9250114</v>
      </c>
      <c r="B19569" t="s">
        <v>20138</v>
      </c>
      <c r="C19569" t="s">
        <v>121</v>
      </c>
      <c r="D19569" s="21" t="s">
        <v>34</v>
      </c>
      <c r="E19569" s="21" t="s">
        <v>35</v>
      </c>
      <c r="F19569">
        <v>8920309</v>
      </c>
      <c r="G19569" t="s">
        <v>1894</v>
      </c>
      <c r="H19569" s="21">
        <v>753.17</v>
      </c>
    </row>
    <row r="19570" spans="1:8" customFormat="1" x14ac:dyDescent="0.25">
      <c r="A19570" t="str">
        <f>"4517815"</f>
        <v>4517815</v>
      </c>
      <c r="B19570" t="s">
        <v>15938</v>
      </c>
      <c r="C19570" t="s">
        <v>33</v>
      </c>
      <c r="D19570" s="21" t="s">
        <v>34</v>
      </c>
      <c r="E19570" s="21" t="s">
        <v>35</v>
      </c>
      <c r="F19570">
        <v>4450026</v>
      </c>
      <c r="G19570" t="s">
        <v>291</v>
      </c>
      <c r="H19570" s="21">
        <v>753.17</v>
      </c>
    </row>
    <row r="19571" spans="1:8" customFormat="1" x14ac:dyDescent="0.25">
      <c r="A19571" t="str">
        <f>"188556"</f>
        <v>188556</v>
      </c>
      <c r="B19571" t="s">
        <v>14422</v>
      </c>
      <c r="C19571" t="s">
        <v>171</v>
      </c>
      <c r="D19571" s="21" t="s">
        <v>34</v>
      </c>
      <c r="E19571" s="21" t="s">
        <v>71</v>
      </c>
      <c r="F19571">
        <v>4180613</v>
      </c>
      <c r="G19571" t="s">
        <v>422</v>
      </c>
      <c r="H19571" s="21">
        <v>753.17</v>
      </c>
    </row>
    <row r="19572" spans="1:8" customFormat="1" x14ac:dyDescent="0.25">
      <c r="A19572" t="str">
        <f>"761904"</f>
        <v>761904</v>
      </c>
      <c r="B19572" t="s">
        <v>15840</v>
      </c>
      <c r="C19572" t="s">
        <v>124</v>
      </c>
      <c r="D19572" s="21" t="s">
        <v>34</v>
      </c>
      <c r="E19572" s="21" t="s">
        <v>254</v>
      </c>
      <c r="F19572">
        <v>9760004</v>
      </c>
      <c r="G19572" t="s">
        <v>56</v>
      </c>
      <c r="H19572" s="21">
        <v>753.17</v>
      </c>
    </row>
    <row r="19573" spans="1:8" customFormat="1" x14ac:dyDescent="0.25">
      <c r="A19573" t="str">
        <f>"7625130"</f>
        <v>7625130</v>
      </c>
      <c r="B19573" t="s">
        <v>15418</v>
      </c>
      <c r="C19573" t="s">
        <v>65</v>
      </c>
      <c r="D19573" s="21" t="s">
        <v>34</v>
      </c>
      <c r="E19573" s="21" t="s">
        <v>71</v>
      </c>
      <c r="F19573">
        <v>9760127</v>
      </c>
      <c r="G19573" t="s">
        <v>7132</v>
      </c>
      <c r="H19573" s="21">
        <v>753.17</v>
      </c>
    </row>
    <row r="19574" spans="1:8" customFormat="1" x14ac:dyDescent="0.25">
      <c r="A19574" t="str">
        <f>"5953539"</f>
        <v>5953539</v>
      </c>
      <c r="B19574" t="s">
        <v>17147</v>
      </c>
      <c r="C19574" t="s">
        <v>169</v>
      </c>
      <c r="D19574" s="21" t="s">
        <v>34</v>
      </c>
      <c r="E19574" s="21" t="s">
        <v>71</v>
      </c>
      <c r="F19574">
        <v>7620145</v>
      </c>
      <c r="G19574" t="s">
        <v>2068</v>
      </c>
      <c r="H19574" s="21">
        <v>753.17</v>
      </c>
    </row>
    <row r="19575" spans="1:8" customFormat="1" x14ac:dyDescent="0.25">
      <c r="A19575" t="str">
        <f>"6943505"</f>
        <v>6943505</v>
      </c>
      <c r="B19575" t="s">
        <v>17745</v>
      </c>
      <c r="C19575" t="s">
        <v>336</v>
      </c>
      <c r="D19575" s="21" t="s">
        <v>34</v>
      </c>
      <c r="E19575" s="21" t="s">
        <v>71</v>
      </c>
      <c r="F19575">
        <v>1690105</v>
      </c>
      <c r="G19575" t="s">
        <v>9580</v>
      </c>
      <c r="H19575" s="21">
        <v>753.17</v>
      </c>
    </row>
    <row r="19576" spans="1:8" customFormat="1" x14ac:dyDescent="0.25">
      <c r="A19576" t="str">
        <f>"2516727"</f>
        <v>2516727</v>
      </c>
      <c r="B19576" t="s">
        <v>11838</v>
      </c>
      <c r="C19576" t="s">
        <v>985</v>
      </c>
      <c r="D19576" s="21" t="s">
        <v>34</v>
      </c>
      <c r="E19576" s="21" t="s">
        <v>35</v>
      </c>
      <c r="F19576">
        <v>2250015</v>
      </c>
      <c r="G19576" t="s">
        <v>4776</v>
      </c>
      <c r="H19576" s="21">
        <v>753.04</v>
      </c>
    </row>
    <row r="19577" spans="1:8" customFormat="1" x14ac:dyDescent="0.25">
      <c r="A19577" t="str">
        <f>"5324223"</f>
        <v>5324223</v>
      </c>
      <c r="B19577" t="s">
        <v>23261</v>
      </c>
      <c r="C19577" t="s">
        <v>49</v>
      </c>
      <c r="D19577" s="21" t="s">
        <v>34</v>
      </c>
      <c r="E19577" s="21" t="s">
        <v>35</v>
      </c>
      <c r="F19577">
        <v>12530008</v>
      </c>
      <c r="G19577" t="s">
        <v>7920</v>
      </c>
      <c r="H19577" s="21">
        <v>752.92</v>
      </c>
    </row>
    <row r="19578" spans="1:8" customFormat="1" x14ac:dyDescent="0.25">
      <c r="A19578" t="str">
        <f>"2716806"</f>
        <v>2716806</v>
      </c>
      <c r="B19578" t="s">
        <v>16413</v>
      </c>
      <c r="C19578" t="s">
        <v>462</v>
      </c>
      <c r="D19578" s="21" t="s">
        <v>34</v>
      </c>
      <c r="E19578" s="21" t="s">
        <v>71</v>
      </c>
      <c r="F19578">
        <v>9270187</v>
      </c>
      <c r="G19578" t="s">
        <v>6733</v>
      </c>
      <c r="H19578" s="21">
        <v>752.92</v>
      </c>
    </row>
    <row r="19579" spans="1:8" customFormat="1" x14ac:dyDescent="0.25">
      <c r="A19579" t="str">
        <f>"124378"</f>
        <v>124378</v>
      </c>
      <c r="B19579" t="s">
        <v>987</v>
      </c>
      <c r="C19579" t="s">
        <v>598</v>
      </c>
      <c r="D19579" s="21" t="s">
        <v>34</v>
      </c>
      <c r="E19579" s="21" t="s">
        <v>254</v>
      </c>
      <c r="F19579">
        <v>11120004</v>
      </c>
      <c r="G19579" t="s">
        <v>2311</v>
      </c>
      <c r="H19579" s="21">
        <v>752.79</v>
      </c>
    </row>
    <row r="19580" spans="1:8" customFormat="1" x14ac:dyDescent="0.25">
      <c r="A19580" t="str">
        <f>"6942327"</f>
        <v>6942327</v>
      </c>
      <c r="B19580" t="s">
        <v>16023</v>
      </c>
      <c r="C19580" t="s">
        <v>16024</v>
      </c>
      <c r="D19580" s="21" t="s">
        <v>34</v>
      </c>
      <c r="E19580" s="21" t="s">
        <v>254</v>
      </c>
      <c r="F19580">
        <v>1690041</v>
      </c>
      <c r="G19580" t="s">
        <v>7892</v>
      </c>
      <c r="H19580" s="21">
        <v>752.67</v>
      </c>
    </row>
    <row r="19581" spans="1:8" customFormat="1" x14ac:dyDescent="0.25">
      <c r="A19581" t="str">
        <f>"4111453"</f>
        <v>4111453</v>
      </c>
      <c r="B19581" t="s">
        <v>16003</v>
      </c>
      <c r="C19581" t="s">
        <v>10760</v>
      </c>
      <c r="D19581" s="21" t="s">
        <v>34</v>
      </c>
      <c r="E19581" s="21" t="s">
        <v>71</v>
      </c>
      <c r="F19581">
        <v>4410726</v>
      </c>
      <c r="G19581" t="s">
        <v>7298</v>
      </c>
      <c r="H19581" s="21">
        <v>752.67</v>
      </c>
    </row>
    <row r="19582" spans="1:8" customFormat="1" x14ac:dyDescent="0.25">
      <c r="A19582" t="str">
        <f>"5982021"</f>
        <v>5982021</v>
      </c>
      <c r="B19582" t="s">
        <v>22041</v>
      </c>
      <c r="C19582" t="s">
        <v>90</v>
      </c>
      <c r="D19582" s="21" t="s">
        <v>34</v>
      </c>
      <c r="E19582" s="21" t="s">
        <v>35</v>
      </c>
      <c r="F19582">
        <v>7590126</v>
      </c>
      <c r="G19582" t="s">
        <v>4749</v>
      </c>
      <c r="H19582" s="21">
        <v>752.67</v>
      </c>
    </row>
    <row r="19583" spans="1:8" customFormat="1" x14ac:dyDescent="0.25">
      <c r="A19583" t="str">
        <f>"7513036"</f>
        <v>7513036</v>
      </c>
      <c r="B19583" t="s">
        <v>15575</v>
      </c>
      <c r="C19583" t="s">
        <v>198</v>
      </c>
      <c r="D19583" s="21" t="s">
        <v>34</v>
      </c>
      <c r="E19583" s="21" t="s">
        <v>35</v>
      </c>
      <c r="F19583">
        <v>8751371</v>
      </c>
      <c r="G19583" t="s">
        <v>6605</v>
      </c>
      <c r="H19583" s="21">
        <v>752.67</v>
      </c>
    </row>
    <row r="19584" spans="1:8" customFormat="1" x14ac:dyDescent="0.25">
      <c r="A19584" t="str">
        <f>"366735"</f>
        <v>366735</v>
      </c>
      <c r="B19584" t="s">
        <v>2690</v>
      </c>
      <c r="C19584" t="s">
        <v>124</v>
      </c>
      <c r="D19584" s="21" t="s">
        <v>34</v>
      </c>
      <c r="E19584" s="21" t="s">
        <v>71</v>
      </c>
      <c r="F19584">
        <v>4360454</v>
      </c>
      <c r="G19584" t="s">
        <v>637</v>
      </c>
      <c r="H19584" s="21">
        <v>752.67</v>
      </c>
    </row>
    <row r="19585" spans="1:8" customFormat="1" x14ac:dyDescent="0.25">
      <c r="A19585" t="str">
        <f>"6313102"</f>
        <v>6313102</v>
      </c>
      <c r="B19585" t="s">
        <v>16525</v>
      </c>
      <c r="C19585" t="s">
        <v>1946</v>
      </c>
      <c r="D19585" s="21" t="s">
        <v>34</v>
      </c>
      <c r="E19585" s="21" t="s">
        <v>35</v>
      </c>
      <c r="F19585">
        <v>1630330</v>
      </c>
      <c r="G19585" t="s">
        <v>7263</v>
      </c>
      <c r="H19585" s="21">
        <v>752.67</v>
      </c>
    </row>
    <row r="19586" spans="1:8" customFormat="1" x14ac:dyDescent="0.25">
      <c r="A19586" t="str">
        <f>"866006"</f>
        <v>866006</v>
      </c>
      <c r="B19586" t="s">
        <v>4377</v>
      </c>
      <c r="C19586" t="s">
        <v>87</v>
      </c>
      <c r="D19586" s="21" t="s">
        <v>34</v>
      </c>
      <c r="E19586" s="21" t="s">
        <v>35</v>
      </c>
      <c r="F19586">
        <v>10860084</v>
      </c>
      <c r="G19586" t="s">
        <v>7471</v>
      </c>
      <c r="H19586" s="21">
        <v>752.67</v>
      </c>
    </row>
    <row r="19587" spans="1:8" customFormat="1" x14ac:dyDescent="0.25">
      <c r="A19587" t="str">
        <f>"871867"</f>
        <v>871867</v>
      </c>
      <c r="B19587" t="s">
        <v>8105</v>
      </c>
      <c r="C19587" t="s">
        <v>156</v>
      </c>
      <c r="D19587" s="21" t="s">
        <v>34</v>
      </c>
      <c r="E19587" s="21" t="s">
        <v>71</v>
      </c>
      <c r="F19587">
        <v>10870110</v>
      </c>
      <c r="G19587" t="s">
        <v>5888</v>
      </c>
      <c r="H19587" s="21">
        <v>752.67</v>
      </c>
    </row>
    <row r="19588" spans="1:8" customFormat="1" x14ac:dyDescent="0.25">
      <c r="A19588" t="str">
        <f>"8012342"</f>
        <v>8012342</v>
      </c>
      <c r="B19588" t="s">
        <v>12877</v>
      </c>
      <c r="C19588" t="s">
        <v>151</v>
      </c>
      <c r="D19588" s="21" t="s">
        <v>34</v>
      </c>
      <c r="E19588" s="21" t="s">
        <v>71</v>
      </c>
      <c r="F19588">
        <v>7800128</v>
      </c>
      <c r="G19588" t="s">
        <v>3147</v>
      </c>
      <c r="H19588" s="21">
        <v>752.67</v>
      </c>
    </row>
    <row r="19589" spans="1:8" customFormat="1" x14ac:dyDescent="0.25">
      <c r="A19589" t="str">
        <f>"5717261"</f>
        <v>5717261</v>
      </c>
      <c r="B19589" t="s">
        <v>11448</v>
      </c>
      <c r="C19589" t="s">
        <v>2730</v>
      </c>
      <c r="D19589" s="21" t="s">
        <v>34</v>
      </c>
      <c r="E19589" s="21" t="s">
        <v>71</v>
      </c>
      <c r="F19589">
        <v>6570200</v>
      </c>
      <c r="G19589" t="s">
        <v>10682</v>
      </c>
      <c r="H19589" s="21">
        <v>752.67</v>
      </c>
    </row>
    <row r="19590" spans="1:8" customFormat="1" x14ac:dyDescent="0.25">
      <c r="A19590" t="str">
        <f>"029589"</f>
        <v>029589</v>
      </c>
      <c r="B19590" t="s">
        <v>15757</v>
      </c>
      <c r="C19590" t="s">
        <v>98</v>
      </c>
      <c r="D19590" s="21" t="s">
        <v>34</v>
      </c>
      <c r="E19590" s="21" t="s">
        <v>35</v>
      </c>
      <c r="F19590">
        <v>7020009</v>
      </c>
      <c r="G19590" t="s">
        <v>3362</v>
      </c>
      <c r="H19590" s="21">
        <v>752.67</v>
      </c>
    </row>
    <row r="19591" spans="1:8" customFormat="1" x14ac:dyDescent="0.25">
      <c r="A19591" t="str">
        <f>"139614"</f>
        <v>139614</v>
      </c>
      <c r="B19591" t="s">
        <v>14798</v>
      </c>
      <c r="C19591" t="s">
        <v>60</v>
      </c>
      <c r="D19591" s="21" t="s">
        <v>34</v>
      </c>
      <c r="E19591" s="21" t="s">
        <v>35</v>
      </c>
      <c r="F19591">
        <v>1740038</v>
      </c>
      <c r="G19591" t="s">
        <v>26517</v>
      </c>
      <c r="H19591" s="21">
        <v>752.67</v>
      </c>
    </row>
    <row r="19592" spans="1:8" customFormat="1" x14ac:dyDescent="0.25">
      <c r="A19592" t="str">
        <f>"904557"</f>
        <v>904557</v>
      </c>
      <c r="B19592" t="s">
        <v>16798</v>
      </c>
      <c r="C19592" t="s">
        <v>926</v>
      </c>
      <c r="D19592" s="21" t="s">
        <v>34</v>
      </c>
      <c r="E19592" s="21" t="s">
        <v>35</v>
      </c>
      <c r="F19592">
        <v>2900028</v>
      </c>
      <c r="G19592" t="s">
        <v>1541</v>
      </c>
      <c r="H19592" s="21">
        <v>752.67</v>
      </c>
    </row>
    <row r="19593" spans="1:8" customFormat="1" x14ac:dyDescent="0.25">
      <c r="A19593" t="str">
        <f>"388826"</f>
        <v>388826</v>
      </c>
      <c r="B19593" t="s">
        <v>15504</v>
      </c>
      <c r="C19593" t="s">
        <v>236</v>
      </c>
      <c r="D19593" s="21" t="s">
        <v>34</v>
      </c>
      <c r="E19593" s="21" t="s">
        <v>254</v>
      </c>
      <c r="F19593">
        <v>1380173</v>
      </c>
      <c r="G19593" t="s">
        <v>9553</v>
      </c>
      <c r="H19593" s="21">
        <v>752.67</v>
      </c>
    </row>
    <row r="19594" spans="1:8" customFormat="1" x14ac:dyDescent="0.25">
      <c r="A19594" t="str">
        <f>"667540"</f>
        <v>667540</v>
      </c>
      <c r="B19594" t="s">
        <v>19877</v>
      </c>
      <c r="C19594" t="s">
        <v>119</v>
      </c>
      <c r="D19594" s="21" t="s">
        <v>34</v>
      </c>
      <c r="E19594" s="21" t="s">
        <v>35</v>
      </c>
      <c r="F19594">
        <v>11660011</v>
      </c>
      <c r="G19594" t="s">
        <v>4641</v>
      </c>
      <c r="H19594" s="21">
        <v>752.54</v>
      </c>
    </row>
    <row r="19595" spans="1:8" customFormat="1" x14ac:dyDescent="0.25">
      <c r="A19595" t="str">
        <f>"704323"</f>
        <v>704323</v>
      </c>
      <c r="B19595" t="s">
        <v>1263</v>
      </c>
      <c r="C19595" t="s">
        <v>825</v>
      </c>
      <c r="D19595" s="21" t="s">
        <v>34</v>
      </c>
      <c r="E19595" s="21" t="s">
        <v>254</v>
      </c>
      <c r="F19595">
        <v>2700015</v>
      </c>
      <c r="G19595" t="s">
        <v>9856</v>
      </c>
      <c r="H19595" s="21">
        <v>752.54</v>
      </c>
    </row>
    <row r="19596" spans="1:8" customFormat="1" x14ac:dyDescent="0.25">
      <c r="A19596" t="str">
        <f>"4933260"</f>
        <v>4933260</v>
      </c>
      <c r="B19596" t="s">
        <v>16037</v>
      </c>
      <c r="C19596" t="s">
        <v>109</v>
      </c>
      <c r="D19596" s="21" t="s">
        <v>34</v>
      </c>
      <c r="E19596" s="21" t="s">
        <v>35</v>
      </c>
      <c r="F19596">
        <v>12490066</v>
      </c>
      <c r="G19596" t="s">
        <v>1051</v>
      </c>
      <c r="H19596" s="21">
        <v>752.54</v>
      </c>
    </row>
    <row r="19597" spans="1:8" customFormat="1" x14ac:dyDescent="0.25">
      <c r="A19597" t="str">
        <f>"757516"</f>
        <v>757516</v>
      </c>
      <c r="B19597" t="s">
        <v>14684</v>
      </c>
      <c r="C19597" t="s">
        <v>2520</v>
      </c>
      <c r="D19597" s="21" t="s">
        <v>34</v>
      </c>
      <c r="E19597" s="21" t="s">
        <v>1089</v>
      </c>
      <c r="F19597">
        <v>10170050</v>
      </c>
      <c r="G19597" t="s">
        <v>2514</v>
      </c>
      <c r="H19597" s="21">
        <v>752.42</v>
      </c>
    </row>
    <row r="19598" spans="1:8" customFormat="1" x14ac:dyDescent="0.25">
      <c r="A19598" t="str">
        <f>"189267"</f>
        <v>189267</v>
      </c>
      <c r="B19598" t="s">
        <v>19657</v>
      </c>
      <c r="C19598" t="s">
        <v>119</v>
      </c>
      <c r="D19598" s="21" t="s">
        <v>34</v>
      </c>
      <c r="E19598" s="21" t="s">
        <v>71</v>
      </c>
      <c r="F19598">
        <v>4180304</v>
      </c>
      <c r="G19598" t="s">
        <v>4003</v>
      </c>
      <c r="H19598" s="21">
        <v>752.29</v>
      </c>
    </row>
    <row r="19599" spans="1:8" customFormat="1" x14ac:dyDescent="0.25">
      <c r="A19599" t="str">
        <f>"6915654"</f>
        <v>6915654</v>
      </c>
      <c r="B19599" t="s">
        <v>67</v>
      </c>
      <c r="C19599" t="s">
        <v>209</v>
      </c>
      <c r="D19599" s="21" t="s">
        <v>34</v>
      </c>
      <c r="E19599" s="21" t="s">
        <v>71</v>
      </c>
      <c r="F19599">
        <v>1690162</v>
      </c>
      <c r="G19599" t="s">
        <v>7358</v>
      </c>
      <c r="H19599" s="21">
        <v>752.17</v>
      </c>
    </row>
    <row r="19600" spans="1:8" customFormat="1" x14ac:dyDescent="0.25">
      <c r="A19600" t="str">
        <f>"484366"</f>
        <v>484366</v>
      </c>
      <c r="B19600" t="s">
        <v>27575</v>
      </c>
      <c r="C19600" t="s">
        <v>1539</v>
      </c>
      <c r="D19600" s="21" t="s">
        <v>34</v>
      </c>
      <c r="E19600" s="21" t="s">
        <v>35</v>
      </c>
      <c r="F19600">
        <v>11480027</v>
      </c>
      <c r="G19600" t="s">
        <v>2950</v>
      </c>
      <c r="H19600" s="21">
        <v>752.17</v>
      </c>
    </row>
    <row r="19601" spans="1:8" customFormat="1" x14ac:dyDescent="0.25">
      <c r="A19601" t="str">
        <f>"6811196"</f>
        <v>6811196</v>
      </c>
      <c r="B19601" t="s">
        <v>2976</v>
      </c>
      <c r="C19601" t="s">
        <v>1705</v>
      </c>
      <c r="D19601" s="21" t="s">
        <v>34</v>
      </c>
      <c r="E19601" s="21" t="s">
        <v>254</v>
      </c>
      <c r="F19601">
        <v>6680135</v>
      </c>
      <c r="G19601" t="s">
        <v>14743</v>
      </c>
      <c r="H19601" s="21">
        <v>752.17</v>
      </c>
    </row>
    <row r="19602" spans="1:8" customFormat="1" x14ac:dyDescent="0.25">
      <c r="A19602" t="str">
        <f>"5916383"</f>
        <v>5916383</v>
      </c>
      <c r="B19602" t="s">
        <v>15122</v>
      </c>
      <c r="C19602" t="s">
        <v>169</v>
      </c>
      <c r="D19602" s="21" t="s">
        <v>34</v>
      </c>
      <c r="E19602" s="21" t="s">
        <v>35</v>
      </c>
      <c r="F19602">
        <v>7590170</v>
      </c>
      <c r="G19602" t="s">
        <v>868</v>
      </c>
      <c r="H19602" s="21">
        <v>752.17</v>
      </c>
    </row>
    <row r="19603" spans="1:8" customFormat="1" x14ac:dyDescent="0.25">
      <c r="A19603" t="str">
        <f>"165693"</f>
        <v>165693</v>
      </c>
      <c r="B19603" t="s">
        <v>13550</v>
      </c>
      <c r="C19603" t="s">
        <v>98</v>
      </c>
      <c r="D19603" s="21" t="s">
        <v>34</v>
      </c>
      <c r="E19603" s="21" t="s">
        <v>35</v>
      </c>
      <c r="F19603">
        <v>10160051</v>
      </c>
      <c r="G19603" t="s">
        <v>7167</v>
      </c>
      <c r="H19603" s="21">
        <v>752.17</v>
      </c>
    </row>
    <row r="19604" spans="1:8" customFormat="1" x14ac:dyDescent="0.25">
      <c r="A19604" t="str">
        <f>"9242536"</f>
        <v>9242536</v>
      </c>
      <c r="B19604" t="s">
        <v>27576</v>
      </c>
      <c r="C19604" t="s">
        <v>55</v>
      </c>
      <c r="D19604" s="21" t="s">
        <v>34</v>
      </c>
      <c r="E19604" s="21" t="s">
        <v>71</v>
      </c>
      <c r="F19604">
        <v>13060064</v>
      </c>
      <c r="G19604" t="s">
        <v>976</v>
      </c>
      <c r="H19604" s="21">
        <v>752.17</v>
      </c>
    </row>
    <row r="19605" spans="1:8" customFormat="1" x14ac:dyDescent="0.25">
      <c r="A19605" t="str">
        <f>"2511870"</f>
        <v>2511870</v>
      </c>
      <c r="B19605" t="s">
        <v>9216</v>
      </c>
      <c r="C19605" t="s">
        <v>263</v>
      </c>
      <c r="D19605" s="21" t="s">
        <v>34</v>
      </c>
      <c r="E19605" s="21" t="s">
        <v>254</v>
      </c>
      <c r="F19605">
        <v>2250110</v>
      </c>
      <c r="G19605" t="s">
        <v>9363</v>
      </c>
      <c r="H19605" s="21">
        <v>752.17</v>
      </c>
    </row>
    <row r="19606" spans="1:8" customFormat="1" x14ac:dyDescent="0.25">
      <c r="A19606" t="str">
        <f>"6018661"</f>
        <v>6018661</v>
      </c>
      <c r="B19606" t="s">
        <v>4834</v>
      </c>
      <c r="C19606" t="s">
        <v>82</v>
      </c>
      <c r="D19606" s="21" t="s">
        <v>34</v>
      </c>
      <c r="E19606" s="21" t="s">
        <v>35</v>
      </c>
      <c r="F19606">
        <v>13050008</v>
      </c>
      <c r="G19606" t="s">
        <v>12322</v>
      </c>
      <c r="H19606" s="21">
        <v>752.17</v>
      </c>
    </row>
    <row r="19607" spans="1:8" customFormat="1" x14ac:dyDescent="0.25">
      <c r="A19607" t="str">
        <f>"6110101"</f>
        <v>6110101</v>
      </c>
      <c r="B19607" t="s">
        <v>14990</v>
      </c>
      <c r="C19607" t="s">
        <v>90</v>
      </c>
      <c r="D19607" s="21" t="s">
        <v>34</v>
      </c>
      <c r="E19607" s="21" t="s">
        <v>35</v>
      </c>
      <c r="F19607">
        <v>9610095</v>
      </c>
      <c r="G19607" t="s">
        <v>4870</v>
      </c>
      <c r="H19607" s="21">
        <v>752.17</v>
      </c>
    </row>
    <row r="19608" spans="1:8" customFormat="1" x14ac:dyDescent="0.25">
      <c r="A19608" t="str">
        <f>"8517583"</f>
        <v>8517583</v>
      </c>
      <c r="B19608" t="s">
        <v>14226</v>
      </c>
      <c r="C19608" t="s">
        <v>239</v>
      </c>
      <c r="D19608" s="21" t="s">
        <v>34</v>
      </c>
      <c r="E19608" s="21" t="s">
        <v>35</v>
      </c>
      <c r="F19608">
        <v>12850095</v>
      </c>
      <c r="G19608" t="s">
        <v>13112</v>
      </c>
      <c r="H19608" s="21">
        <v>752.17</v>
      </c>
    </row>
    <row r="19609" spans="1:8" customFormat="1" x14ac:dyDescent="0.25">
      <c r="A19609" t="str">
        <f>"9139830"</f>
        <v>9139830</v>
      </c>
      <c r="B19609" t="s">
        <v>8365</v>
      </c>
      <c r="C19609" t="s">
        <v>124</v>
      </c>
      <c r="D19609" s="21" t="s">
        <v>34</v>
      </c>
      <c r="E19609" s="21" t="s">
        <v>71</v>
      </c>
      <c r="F19609">
        <v>8910303</v>
      </c>
      <c r="G19609" t="s">
        <v>1244</v>
      </c>
      <c r="H19609" s="21">
        <v>752.17</v>
      </c>
    </row>
    <row r="19610" spans="1:8" customFormat="1" x14ac:dyDescent="0.25">
      <c r="A19610" t="str">
        <f>"5615546"</f>
        <v>5615546</v>
      </c>
      <c r="B19610" t="s">
        <v>1886</v>
      </c>
      <c r="C19610" t="s">
        <v>1142</v>
      </c>
      <c r="D19610" s="21" t="s">
        <v>34</v>
      </c>
      <c r="E19610" s="21" t="s">
        <v>71</v>
      </c>
      <c r="F19610">
        <v>3560060</v>
      </c>
      <c r="G19610" t="s">
        <v>8368</v>
      </c>
      <c r="H19610" s="21">
        <v>752.17</v>
      </c>
    </row>
    <row r="19611" spans="1:8" customFormat="1" x14ac:dyDescent="0.25">
      <c r="A19611" t="str">
        <f>"578165"</f>
        <v>578165</v>
      </c>
      <c r="B19611" t="s">
        <v>7512</v>
      </c>
      <c r="C19611" t="s">
        <v>124</v>
      </c>
      <c r="D19611" s="21" t="s">
        <v>34</v>
      </c>
      <c r="E19611" s="21" t="s">
        <v>254</v>
      </c>
      <c r="F19611">
        <v>6570075</v>
      </c>
      <c r="G19611" t="s">
        <v>3008</v>
      </c>
      <c r="H19611" s="21">
        <v>752.17</v>
      </c>
    </row>
    <row r="19612" spans="1:8" customFormat="1" x14ac:dyDescent="0.25">
      <c r="A19612" t="str">
        <f>"472043"</f>
        <v>472043</v>
      </c>
      <c r="B19612" t="s">
        <v>14883</v>
      </c>
      <c r="C19612" t="s">
        <v>55</v>
      </c>
      <c r="D19612" s="21" t="s">
        <v>34</v>
      </c>
      <c r="E19612" s="21" t="s">
        <v>71</v>
      </c>
      <c r="F19612">
        <v>10470021</v>
      </c>
      <c r="G19612" t="s">
        <v>1034</v>
      </c>
      <c r="H19612" s="21">
        <v>752.04</v>
      </c>
    </row>
    <row r="19613" spans="1:8" customFormat="1" x14ac:dyDescent="0.25">
      <c r="A19613" t="str">
        <f>"09379"</f>
        <v>09379</v>
      </c>
      <c r="B19613" t="s">
        <v>16271</v>
      </c>
      <c r="C19613" t="s">
        <v>1231</v>
      </c>
      <c r="D19613" s="21" t="s">
        <v>34</v>
      </c>
      <c r="E19613" s="21" t="s">
        <v>254</v>
      </c>
      <c r="F19613">
        <v>11090009</v>
      </c>
      <c r="G19613" t="s">
        <v>14796</v>
      </c>
      <c r="H19613" s="21">
        <v>752.04</v>
      </c>
    </row>
    <row r="19614" spans="1:8" customFormat="1" x14ac:dyDescent="0.25">
      <c r="A19614" t="str">
        <f>"8923"</f>
        <v>8923</v>
      </c>
      <c r="B19614" t="s">
        <v>16821</v>
      </c>
      <c r="C19614" t="s">
        <v>652</v>
      </c>
      <c r="D19614" s="21" t="s">
        <v>34</v>
      </c>
      <c r="E19614" s="21" t="s">
        <v>254</v>
      </c>
      <c r="F19614">
        <v>2890006</v>
      </c>
      <c r="G19614" t="s">
        <v>2044</v>
      </c>
      <c r="H19614" s="21">
        <v>752</v>
      </c>
    </row>
    <row r="19615" spans="1:8" customFormat="1" x14ac:dyDescent="0.25">
      <c r="A19615" t="str">
        <f>"3343862"</f>
        <v>3343862</v>
      </c>
      <c r="B19615" t="s">
        <v>10725</v>
      </c>
      <c r="C19615" t="s">
        <v>130</v>
      </c>
      <c r="D19615" s="21" t="s">
        <v>34</v>
      </c>
      <c r="E19615" s="21" t="s">
        <v>71</v>
      </c>
      <c r="F19615">
        <v>10330125</v>
      </c>
      <c r="G19615" t="s">
        <v>3753</v>
      </c>
      <c r="H19615" s="21">
        <v>751.92</v>
      </c>
    </row>
    <row r="19616" spans="1:8" customFormat="1" x14ac:dyDescent="0.25">
      <c r="A19616" t="str">
        <f>"4929697"</f>
        <v>4929697</v>
      </c>
      <c r="B19616" t="s">
        <v>12079</v>
      </c>
      <c r="C19616" t="s">
        <v>253</v>
      </c>
      <c r="D19616" s="21" t="s">
        <v>34</v>
      </c>
      <c r="E19616" s="21" t="s">
        <v>254</v>
      </c>
      <c r="F19616">
        <v>12490029</v>
      </c>
      <c r="G19616" t="s">
        <v>3485</v>
      </c>
      <c r="H19616" s="21">
        <v>751.92</v>
      </c>
    </row>
    <row r="19617" spans="1:8" customFormat="1" x14ac:dyDescent="0.25">
      <c r="A19617" t="str">
        <f>"4510047"</f>
        <v>4510047</v>
      </c>
      <c r="B19617" t="s">
        <v>890</v>
      </c>
      <c r="C19617" t="s">
        <v>328</v>
      </c>
      <c r="D19617" s="21" t="s">
        <v>34</v>
      </c>
      <c r="E19617" s="21" t="s">
        <v>35</v>
      </c>
      <c r="F19617">
        <v>4450760</v>
      </c>
      <c r="G19617" t="s">
        <v>5775</v>
      </c>
      <c r="H19617" s="21">
        <v>751.79</v>
      </c>
    </row>
    <row r="19618" spans="1:8" customFormat="1" x14ac:dyDescent="0.25">
      <c r="A19618" t="str">
        <f>"8812406"</f>
        <v>8812406</v>
      </c>
      <c r="B19618" t="s">
        <v>27577</v>
      </c>
      <c r="C19618" t="s">
        <v>8893</v>
      </c>
      <c r="D19618" s="21" t="s">
        <v>34</v>
      </c>
      <c r="E19618" s="21" t="s">
        <v>254</v>
      </c>
      <c r="F19618">
        <v>6880140</v>
      </c>
      <c r="G19618" t="s">
        <v>4827</v>
      </c>
      <c r="H19618" s="21">
        <v>751.79</v>
      </c>
    </row>
    <row r="19619" spans="1:8" customFormat="1" x14ac:dyDescent="0.25">
      <c r="A19619" t="str">
        <f>"7812693"</f>
        <v>7812693</v>
      </c>
      <c r="B19619" t="s">
        <v>2765</v>
      </c>
      <c r="C19619" t="s">
        <v>87</v>
      </c>
      <c r="D19619" s="21" t="s">
        <v>34</v>
      </c>
      <c r="E19619" s="21" t="s">
        <v>71</v>
      </c>
      <c r="F19619">
        <v>8780886</v>
      </c>
      <c r="G19619" t="s">
        <v>3161</v>
      </c>
      <c r="H19619" s="21">
        <v>751.67</v>
      </c>
    </row>
    <row r="19620" spans="1:8" customFormat="1" x14ac:dyDescent="0.25">
      <c r="A19620" t="str">
        <f>"161609"</f>
        <v>161609</v>
      </c>
      <c r="B19620" t="s">
        <v>4281</v>
      </c>
      <c r="C19620" t="s">
        <v>2520</v>
      </c>
      <c r="D19620" s="21" t="s">
        <v>34</v>
      </c>
      <c r="E19620" s="21" t="s">
        <v>254</v>
      </c>
      <c r="F19620">
        <v>10160197</v>
      </c>
      <c r="G19620" t="s">
        <v>4472</v>
      </c>
      <c r="H19620" s="21">
        <v>751.67</v>
      </c>
    </row>
    <row r="19621" spans="1:8" customFormat="1" x14ac:dyDescent="0.25">
      <c r="A19621" t="str">
        <f>"7831144"</f>
        <v>7831144</v>
      </c>
      <c r="B19621" t="s">
        <v>7173</v>
      </c>
      <c r="C19621" t="s">
        <v>3648</v>
      </c>
      <c r="D19621" s="21" t="s">
        <v>34</v>
      </c>
      <c r="E19621" s="21" t="s">
        <v>35</v>
      </c>
      <c r="F19621">
        <v>8780571</v>
      </c>
      <c r="G19621" t="s">
        <v>2336</v>
      </c>
      <c r="H19621" s="21">
        <v>751.67</v>
      </c>
    </row>
    <row r="19622" spans="1:8" customFormat="1" x14ac:dyDescent="0.25">
      <c r="A19622" t="str">
        <f>"4450348"</f>
        <v>4450348</v>
      </c>
      <c r="B19622" t="s">
        <v>27578</v>
      </c>
      <c r="C19622" t="s">
        <v>58</v>
      </c>
      <c r="D19622" s="21" t="s">
        <v>34</v>
      </c>
      <c r="E19622" s="21" t="s">
        <v>35</v>
      </c>
      <c r="F19622">
        <v>12440087</v>
      </c>
      <c r="G19622" t="s">
        <v>1860</v>
      </c>
      <c r="H19622" s="21">
        <v>751.67</v>
      </c>
    </row>
    <row r="19623" spans="1:8" customFormat="1" x14ac:dyDescent="0.25">
      <c r="A19623" t="str">
        <f>"3712738"</f>
        <v>3712738</v>
      </c>
      <c r="B19623" t="s">
        <v>956</v>
      </c>
      <c r="C19623" t="s">
        <v>211</v>
      </c>
      <c r="D19623" s="21" t="s">
        <v>34</v>
      </c>
      <c r="E19623" s="21" t="s">
        <v>71</v>
      </c>
      <c r="F19623">
        <v>4370439</v>
      </c>
      <c r="G19623" t="s">
        <v>2956</v>
      </c>
      <c r="H19623" s="21">
        <v>751.67</v>
      </c>
    </row>
    <row r="19624" spans="1:8" customFormat="1" x14ac:dyDescent="0.25">
      <c r="A19624" t="str">
        <f>"7515742"</f>
        <v>7515742</v>
      </c>
      <c r="B19624" t="s">
        <v>10785</v>
      </c>
      <c r="C19624" t="s">
        <v>14764</v>
      </c>
      <c r="D19624" s="21" t="s">
        <v>34</v>
      </c>
      <c r="E19624" s="21" t="s">
        <v>71</v>
      </c>
      <c r="F19624">
        <v>8750141</v>
      </c>
      <c r="G19624" t="s">
        <v>1514</v>
      </c>
      <c r="H19624" s="21">
        <v>751.67</v>
      </c>
    </row>
    <row r="19625" spans="1:8" customFormat="1" x14ac:dyDescent="0.25">
      <c r="A19625" t="str">
        <f>"3829704"</f>
        <v>3829704</v>
      </c>
      <c r="B19625" t="s">
        <v>5800</v>
      </c>
      <c r="C19625" t="s">
        <v>263</v>
      </c>
      <c r="D19625" s="21" t="s">
        <v>34</v>
      </c>
      <c r="E19625" s="21" t="s">
        <v>71</v>
      </c>
      <c r="F19625">
        <v>1380296</v>
      </c>
      <c r="G19625" t="s">
        <v>2810</v>
      </c>
      <c r="H19625" s="21">
        <v>751.67</v>
      </c>
    </row>
    <row r="19626" spans="1:8" customFormat="1" x14ac:dyDescent="0.25">
      <c r="A19626" t="str">
        <f>"043355"</f>
        <v>043355</v>
      </c>
      <c r="B19626" t="s">
        <v>16344</v>
      </c>
      <c r="C19626" t="s">
        <v>40</v>
      </c>
      <c r="D19626" s="21" t="s">
        <v>34</v>
      </c>
      <c r="E19626" s="21" t="s">
        <v>71</v>
      </c>
      <c r="F19626">
        <v>13040030</v>
      </c>
      <c r="G19626" t="s">
        <v>1903</v>
      </c>
      <c r="H19626" s="21">
        <v>751.67</v>
      </c>
    </row>
    <row r="19627" spans="1:8" customFormat="1" x14ac:dyDescent="0.25">
      <c r="A19627" t="str">
        <f>"5943641"</f>
        <v>5943641</v>
      </c>
      <c r="B19627" t="s">
        <v>12594</v>
      </c>
      <c r="C19627" t="s">
        <v>2520</v>
      </c>
      <c r="D19627" s="21" t="s">
        <v>34</v>
      </c>
      <c r="E19627" s="21" t="s">
        <v>1089</v>
      </c>
      <c r="F19627">
        <v>7590082</v>
      </c>
      <c r="G19627" t="s">
        <v>10063</v>
      </c>
      <c r="H19627" s="21">
        <v>751.67</v>
      </c>
    </row>
    <row r="19628" spans="1:8" customFormat="1" x14ac:dyDescent="0.25">
      <c r="A19628" t="str">
        <f>"4923254"</f>
        <v>4923254</v>
      </c>
      <c r="B19628" t="s">
        <v>15582</v>
      </c>
      <c r="C19628" t="s">
        <v>209</v>
      </c>
      <c r="D19628" s="21" t="s">
        <v>34</v>
      </c>
      <c r="E19628" s="21" t="s">
        <v>71</v>
      </c>
      <c r="F19628">
        <v>12490017</v>
      </c>
      <c r="G19628" t="s">
        <v>9393</v>
      </c>
      <c r="H19628" s="21">
        <v>751.67</v>
      </c>
    </row>
    <row r="19629" spans="1:8" customFormat="1" x14ac:dyDescent="0.25">
      <c r="A19629" t="str">
        <f>"579278"</f>
        <v>579278</v>
      </c>
      <c r="B19629" t="s">
        <v>771</v>
      </c>
      <c r="C19629" t="s">
        <v>233</v>
      </c>
      <c r="D19629" s="21" t="s">
        <v>34</v>
      </c>
      <c r="E19629" s="21" t="s">
        <v>254</v>
      </c>
      <c r="F19629">
        <v>6570008</v>
      </c>
      <c r="G19629" t="s">
        <v>899</v>
      </c>
      <c r="H19629" s="21">
        <v>751.67</v>
      </c>
    </row>
    <row r="19630" spans="1:8" customFormat="1" x14ac:dyDescent="0.25">
      <c r="A19630" t="str">
        <f>"644573"</f>
        <v>644573</v>
      </c>
      <c r="B19630" t="s">
        <v>1103</v>
      </c>
      <c r="C19630" t="s">
        <v>109</v>
      </c>
      <c r="D19630" s="21" t="s">
        <v>34</v>
      </c>
      <c r="E19630" s="21" t="s">
        <v>71</v>
      </c>
      <c r="F19630">
        <v>10640019</v>
      </c>
      <c r="G19630" t="s">
        <v>3123</v>
      </c>
      <c r="H19630" s="21">
        <v>751.67</v>
      </c>
    </row>
    <row r="19631" spans="1:8" customFormat="1" x14ac:dyDescent="0.25">
      <c r="A19631" t="str">
        <f>"5967373"</f>
        <v>5967373</v>
      </c>
      <c r="B19631" t="s">
        <v>15579</v>
      </c>
      <c r="C19631" t="s">
        <v>98</v>
      </c>
      <c r="D19631" s="21" t="s">
        <v>34</v>
      </c>
      <c r="E19631" s="21" t="s">
        <v>35</v>
      </c>
      <c r="F19631">
        <v>7590215</v>
      </c>
      <c r="G19631" t="s">
        <v>15580</v>
      </c>
      <c r="H19631" s="21">
        <v>751.67</v>
      </c>
    </row>
    <row r="19632" spans="1:8" customFormat="1" x14ac:dyDescent="0.25">
      <c r="A19632" t="str">
        <f>"3833285"</f>
        <v>3833285</v>
      </c>
      <c r="B19632" t="s">
        <v>27579</v>
      </c>
      <c r="C19632" t="s">
        <v>719</v>
      </c>
      <c r="D19632" s="21" t="s">
        <v>34</v>
      </c>
      <c r="E19632" s="21" t="s">
        <v>35</v>
      </c>
      <c r="F19632">
        <v>1380298</v>
      </c>
      <c r="G19632" t="s">
        <v>5868</v>
      </c>
      <c r="H19632" s="21">
        <v>751.67</v>
      </c>
    </row>
    <row r="19633" spans="1:8" customFormat="1" x14ac:dyDescent="0.25">
      <c r="A19633" t="str">
        <f>"144605"</f>
        <v>144605</v>
      </c>
      <c r="B19633" t="s">
        <v>4328</v>
      </c>
      <c r="C19633" t="s">
        <v>40</v>
      </c>
      <c r="D19633" s="21" t="s">
        <v>34</v>
      </c>
      <c r="E19633" s="21" t="s">
        <v>254</v>
      </c>
      <c r="F19633">
        <v>9140147</v>
      </c>
      <c r="G19633" t="s">
        <v>7584</v>
      </c>
      <c r="H19633" s="21">
        <v>751.67</v>
      </c>
    </row>
    <row r="19634" spans="1:8" customFormat="1" x14ac:dyDescent="0.25">
      <c r="A19634" t="str">
        <f>"3719583"</f>
        <v>3719583</v>
      </c>
      <c r="B19634" t="s">
        <v>16236</v>
      </c>
      <c r="C19634" t="s">
        <v>2276</v>
      </c>
      <c r="D19634" s="21" t="s">
        <v>34</v>
      </c>
      <c r="E19634" s="21" t="s">
        <v>254</v>
      </c>
      <c r="F19634">
        <v>4370681</v>
      </c>
      <c r="G19634" t="s">
        <v>4508</v>
      </c>
      <c r="H19634" s="21">
        <v>751.67</v>
      </c>
    </row>
    <row r="19635" spans="1:8" customFormat="1" x14ac:dyDescent="0.25">
      <c r="A19635" t="str">
        <f>"1423258"</f>
        <v>1423258</v>
      </c>
      <c r="B19635" t="s">
        <v>3253</v>
      </c>
      <c r="C19635" t="s">
        <v>285</v>
      </c>
      <c r="D19635" s="21" t="s">
        <v>34</v>
      </c>
      <c r="E19635" s="21" t="s">
        <v>35</v>
      </c>
      <c r="F19635">
        <v>9140162</v>
      </c>
      <c r="G19635" t="s">
        <v>7663</v>
      </c>
      <c r="H19635" s="21">
        <v>751.67</v>
      </c>
    </row>
    <row r="19636" spans="1:8" customFormat="1" x14ac:dyDescent="0.25">
      <c r="A19636" t="str">
        <f>"8818101"</f>
        <v>8818101</v>
      </c>
      <c r="B19636" t="s">
        <v>14126</v>
      </c>
      <c r="C19636" t="s">
        <v>3522</v>
      </c>
      <c r="D19636" s="21" t="s">
        <v>34</v>
      </c>
      <c r="E19636" s="21" t="s">
        <v>254</v>
      </c>
      <c r="F19636">
        <v>6880002</v>
      </c>
      <c r="G19636" t="s">
        <v>501</v>
      </c>
      <c r="H19636" s="21">
        <v>751.67</v>
      </c>
    </row>
    <row r="19637" spans="1:8" customFormat="1" x14ac:dyDescent="0.25">
      <c r="A19637" t="str">
        <f>"3826086"</f>
        <v>3826086</v>
      </c>
      <c r="B19637" t="s">
        <v>15985</v>
      </c>
      <c r="C19637" t="s">
        <v>124</v>
      </c>
      <c r="D19637" s="21" t="s">
        <v>34</v>
      </c>
      <c r="E19637" s="21" t="s">
        <v>71</v>
      </c>
      <c r="F19637">
        <v>1380173</v>
      </c>
      <c r="G19637" t="s">
        <v>9553</v>
      </c>
      <c r="H19637" s="21">
        <v>751.67</v>
      </c>
    </row>
    <row r="19638" spans="1:8" customFormat="1" x14ac:dyDescent="0.25">
      <c r="A19638" t="str">
        <f>"901911"</f>
        <v>901911</v>
      </c>
      <c r="B19638" t="s">
        <v>15498</v>
      </c>
      <c r="C19638" t="s">
        <v>269</v>
      </c>
      <c r="D19638" s="21" t="s">
        <v>34</v>
      </c>
      <c r="E19638" s="21" t="s">
        <v>71</v>
      </c>
      <c r="F19638">
        <v>2900039</v>
      </c>
      <c r="G19638" t="s">
        <v>26615</v>
      </c>
      <c r="H19638" s="21">
        <v>751.67</v>
      </c>
    </row>
    <row r="19639" spans="1:8" customFormat="1" x14ac:dyDescent="0.25">
      <c r="A19639" t="str">
        <f>"6023786"</f>
        <v>6023786</v>
      </c>
      <c r="B19639" t="s">
        <v>19456</v>
      </c>
      <c r="C19639" t="s">
        <v>462</v>
      </c>
      <c r="D19639" s="21" t="s">
        <v>34</v>
      </c>
      <c r="E19639" s="21" t="s">
        <v>71</v>
      </c>
      <c r="F19639">
        <v>7600018</v>
      </c>
      <c r="G19639" t="s">
        <v>5838</v>
      </c>
      <c r="H19639" s="21">
        <v>751.67</v>
      </c>
    </row>
    <row r="19640" spans="1:8" customFormat="1" x14ac:dyDescent="0.25">
      <c r="A19640" t="str">
        <f>"2935191"</f>
        <v>2935191</v>
      </c>
      <c r="B19640" t="s">
        <v>15433</v>
      </c>
      <c r="C19640" t="s">
        <v>1812</v>
      </c>
      <c r="D19640" s="21" t="s">
        <v>34</v>
      </c>
      <c r="E19640" s="21" t="s">
        <v>71</v>
      </c>
      <c r="F19640">
        <v>3290081</v>
      </c>
      <c r="G19640" t="s">
        <v>3819</v>
      </c>
      <c r="H19640" s="21">
        <v>751.67</v>
      </c>
    </row>
    <row r="19641" spans="1:8" customFormat="1" x14ac:dyDescent="0.25">
      <c r="A19641" t="str">
        <f>"945656"</f>
        <v>945656</v>
      </c>
      <c r="B19641" t="s">
        <v>16294</v>
      </c>
      <c r="C19641" t="s">
        <v>87</v>
      </c>
      <c r="D19641" s="21" t="s">
        <v>34</v>
      </c>
      <c r="E19641" s="21" t="s">
        <v>71</v>
      </c>
      <c r="F19641">
        <v>8940894</v>
      </c>
      <c r="G19641" t="s">
        <v>481</v>
      </c>
      <c r="H19641" s="21">
        <v>751.54</v>
      </c>
    </row>
    <row r="19642" spans="1:8" customFormat="1" x14ac:dyDescent="0.25">
      <c r="A19642" t="str">
        <f>"7922534"</f>
        <v>7922534</v>
      </c>
      <c r="B19642" t="s">
        <v>17549</v>
      </c>
      <c r="C19642" t="s">
        <v>305</v>
      </c>
      <c r="D19642" s="21" t="s">
        <v>34</v>
      </c>
      <c r="E19642" s="21" t="s">
        <v>35</v>
      </c>
      <c r="F19642">
        <v>10790043</v>
      </c>
      <c r="G19642" t="s">
        <v>2828</v>
      </c>
      <c r="H19642" s="21">
        <v>751.42</v>
      </c>
    </row>
    <row r="19643" spans="1:8" customFormat="1" x14ac:dyDescent="0.25">
      <c r="A19643" t="str">
        <f>"288039"</f>
        <v>288039</v>
      </c>
      <c r="B19643" t="s">
        <v>15216</v>
      </c>
      <c r="C19643" t="s">
        <v>156</v>
      </c>
      <c r="D19643" s="21" t="s">
        <v>34</v>
      </c>
      <c r="E19643" s="21" t="s">
        <v>71</v>
      </c>
      <c r="F19643">
        <v>4280529</v>
      </c>
      <c r="G19643" t="s">
        <v>2970</v>
      </c>
      <c r="H19643" s="21">
        <v>751.42</v>
      </c>
    </row>
    <row r="19644" spans="1:8" customFormat="1" x14ac:dyDescent="0.25">
      <c r="A19644" t="str">
        <f>"6228879"</f>
        <v>6228879</v>
      </c>
      <c r="B19644" t="s">
        <v>18558</v>
      </c>
      <c r="C19644" t="s">
        <v>169</v>
      </c>
      <c r="D19644" s="21" t="s">
        <v>34</v>
      </c>
      <c r="E19644" s="21" t="s">
        <v>71</v>
      </c>
      <c r="F19644">
        <v>7620031</v>
      </c>
      <c r="G19644" t="s">
        <v>2182</v>
      </c>
      <c r="H19644" s="21">
        <v>751.17</v>
      </c>
    </row>
    <row r="19645" spans="1:8" customFormat="1" x14ac:dyDescent="0.25">
      <c r="A19645" t="str">
        <f>"221319"</f>
        <v>221319</v>
      </c>
      <c r="B19645" t="s">
        <v>16084</v>
      </c>
      <c r="C19645" t="s">
        <v>124</v>
      </c>
      <c r="D19645" s="21" t="s">
        <v>34</v>
      </c>
      <c r="E19645" s="21" t="s">
        <v>254</v>
      </c>
      <c r="F19645">
        <v>3220047</v>
      </c>
      <c r="G19645" t="s">
        <v>131</v>
      </c>
      <c r="H19645" s="21">
        <v>751.17</v>
      </c>
    </row>
    <row r="19646" spans="1:8" customFormat="1" x14ac:dyDescent="0.25">
      <c r="A19646" t="str">
        <f>"5318131"</f>
        <v>5318131</v>
      </c>
      <c r="B19646" t="s">
        <v>853</v>
      </c>
      <c r="C19646" t="s">
        <v>288</v>
      </c>
      <c r="D19646" s="21" t="s">
        <v>34</v>
      </c>
      <c r="E19646" s="21" t="s">
        <v>35</v>
      </c>
      <c r="F19646">
        <v>12530054</v>
      </c>
      <c r="G19646" t="s">
        <v>354</v>
      </c>
      <c r="H19646" s="21">
        <v>751.17</v>
      </c>
    </row>
    <row r="19647" spans="1:8" customFormat="1" x14ac:dyDescent="0.25">
      <c r="A19647" t="str">
        <f>"4924775"</f>
        <v>4924775</v>
      </c>
      <c r="B19647" t="s">
        <v>14866</v>
      </c>
      <c r="C19647" t="s">
        <v>198</v>
      </c>
      <c r="D19647" s="21" t="s">
        <v>34</v>
      </c>
      <c r="E19647" s="21" t="s">
        <v>71</v>
      </c>
      <c r="F19647">
        <v>12490074</v>
      </c>
      <c r="G19647" t="s">
        <v>6711</v>
      </c>
      <c r="H19647" s="21">
        <v>751.17</v>
      </c>
    </row>
    <row r="19648" spans="1:8" customFormat="1" x14ac:dyDescent="0.25">
      <c r="A19648" t="str">
        <f>"698936"</f>
        <v>698936</v>
      </c>
      <c r="B19648" t="s">
        <v>1094</v>
      </c>
      <c r="C19648" t="s">
        <v>1054</v>
      </c>
      <c r="D19648" s="21" t="s">
        <v>34</v>
      </c>
      <c r="E19648" s="21" t="s">
        <v>254</v>
      </c>
      <c r="F19648">
        <v>1690218</v>
      </c>
      <c r="G19648" t="s">
        <v>3637</v>
      </c>
      <c r="H19648" s="21">
        <v>751.17</v>
      </c>
    </row>
    <row r="19649" spans="1:8" customFormat="1" x14ac:dyDescent="0.25">
      <c r="A19649" t="str">
        <f>"768817"</f>
        <v>768817</v>
      </c>
      <c r="B19649" t="s">
        <v>14281</v>
      </c>
      <c r="C19649" t="s">
        <v>239</v>
      </c>
      <c r="D19649" s="21" t="s">
        <v>34</v>
      </c>
      <c r="E19649" s="21" t="s">
        <v>1089</v>
      </c>
      <c r="F19649">
        <v>9760333</v>
      </c>
      <c r="G19649" t="s">
        <v>27096</v>
      </c>
      <c r="H19649" s="21">
        <v>751.17</v>
      </c>
    </row>
    <row r="19650" spans="1:8" customFormat="1" x14ac:dyDescent="0.25">
      <c r="A19650" t="str">
        <f>"5017689"</f>
        <v>5017689</v>
      </c>
      <c r="B19650" t="s">
        <v>3012</v>
      </c>
      <c r="C19650" t="s">
        <v>87</v>
      </c>
      <c r="D19650" s="21" t="s">
        <v>34</v>
      </c>
      <c r="E19650" s="21" t="s">
        <v>35</v>
      </c>
      <c r="F19650">
        <v>9500048</v>
      </c>
      <c r="G19650" t="s">
        <v>1804</v>
      </c>
      <c r="H19650" s="21">
        <v>751.17</v>
      </c>
    </row>
    <row r="19651" spans="1:8" customFormat="1" x14ac:dyDescent="0.25">
      <c r="A19651" t="str">
        <f>"035192"</f>
        <v>035192</v>
      </c>
      <c r="B19651" t="s">
        <v>27580</v>
      </c>
      <c r="C19651" t="s">
        <v>5009</v>
      </c>
      <c r="D19651" s="21" t="s">
        <v>34</v>
      </c>
      <c r="E19651" s="21" t="s">
        <v>35</v>
      </c>
      <c r="F19651">
        <v>1030308</v>
      </c>
      <c r="G19651" t="s">
        <v>1485</v>
      </c>
      <c r="H19651" s="21">
        <v>751.17</v>
      </c>
    </row>
    <row r="19652" spans="1:8" customFormat="1" x14ac:dyDescent="0.25">
      <c r="A19652" t="str">
        <f>"7627806"</f>
        <v>7627806</v>
      </c>
      <c r="B19652" t="s">
        <v>14624</v>
      </c>
      <c r="C19652" t="s">
        <v>951</v>
      </c>
      <c r="D19652" s="21" t="s">
        <v>34</v>
      </c>
      <c r="E19652" s="21" t="s">
        <v>35</v>
      </c>
      <c r="F19652">
        <v>9760046</v>
      </c>
      <c r="G19652" t="s">
        <v>14625</v>
      </c>
      <c r="H19652" s="21">
        <v>751.17</v>
      </c>
    </row>
    <row r="19653" spans="1:8" customFormat="1" x14ac:dyDescent="0.25">
      <c r="A19653" t="str">
        <f>"2928118"</f>
        <v>2928118</v>
      </c>
      <c r="B19653" t="s">
        <v>10369</v>
      </c>
      <c r="C19653" t="s">
        <v>1199</v>
      </c>
      <c r="D19653" s="21" t="s">
        <v>34</v>
      </c>
      <c r="E19653" s="21" t="s">
        <v>71</v>
      </c>
      <c r="F19653">
        <v>3290029</v>
      </c>
      <c r="G19653" t="s">
        <v>11486</v>
      </c>
      <c r="H19653" s="21">
        <v>751.17</v>
      </c>
    </row>
    <row r="19654" spans="1:8" customFormat="1" x14ac:dyDescent="0.25">
      <c r="A19654" t="str">
        <f>"373434"</f>
        <v>373434</v>
      </c>
      <c r="B19654" t="s">
        <v>11414</v>
      </c>
      <c r="C19654" t="s">
        <v>1705</v>
      </c>
      <c r="D19654" s="21" t="s">
        <v>34</v>
      </c>
      <c r="E19654" s="21" t="s">
        <v>254</v>
      </c>
      <c r="F19654">
        <v>4370349</v>
      </c>
      <c r="G19654" t="s">
        <v>2287</v>
      </c>
      <c r="H19654" s="21">
        <v>751.17</v>
      </c>
    </row>
    <row r="19655" spans="1:8" customFormat="1" x14ac:dyDescent="0.25">
      <c r="A19655" t="str">
        <f>"2719566"</f>
        <v>2719566</v>
      </c>
      <c r="B19655" t="s">
        <v>17543</v>
      </c>
      <c r="C19655" t="s">
        <v>2520</v>
      </c>
      <c r="D19655" s="21" t="s">
        <v>34</v>
      </c>
      <c r="E19655" s="21" t="s">
        <v>254</v>
      </c>
      <c r="F19655">
        <v>9270060</v>
      </c>
      <c r="G19655" t="s">
        <v>1982</v>
      </c>
      <c r="H19655" s="21">
        <v>751.17</v>
      </c>
    </row>
    <row r="19656" spans="1:8" customFormat="1" x14ac:dyDescent="0.25">
      <c r="A19656" t="str">
        <f>"798162"</f>
        <v>798162</v>
      </c>
      <c r="B19656" t="s">
        <v>13167</v>
      </c>
      <c r="C19656" t="s">
        <v>171</v>
      </c>
      <c r="D19656" s="21" t="s">
        <v>34</v>
      </c>
      <c r="E19656" s="21" t="s">
        <v>71</v>
      </c>
      <c r="F19656">
        <v>10790186</v>
      </c>
      <c r="G19656" t="s">
        <v>16305</v>
      </c>
      <c r="H19656" s="21">
        <v>751.17</v>
      </c>
    </row>
    <row r="19657" spans="1:8" customFormat="1" x14ac:dyDescent="0.25">
      <c r="A19657" t="str">
        <f>"3110775"</f>
        <v>3110775</v>
      </c>
      <c r="B19657" t="s">
        <v>16215</v>
      </c>
      <c r="C19657" t="s">
        <v>151</v>
      </c>
      <c r="D19657" s="21" t="s">
        <v>34</v>
      </c>
      <c r="E19657" s="21" t="s">
        <v>71</v>
      </c>
      <c r="F19657">
        <v>11310126</v>
      </c>
      <c r="G19657" t="s">
        <v>3383</v>
      </c>
      <c r="H19657" s="21">
        <v>751.17</v>
      </c>
    </row>
    <row r="19658" spans="1:8" customFormat="1" x14ac:dyDescent="0.25">
      <c r="A19658" t="str">
        <f>"6811905"</f>
        <v>6811905</v>
      </c>
      <c r="B19658" t="s">
        <v>17012</v>
      </c>
      <c r="C19658" t="s">
        <v>867</v>
      </c>
      <c r="D19658" s="21" t="s">
        <v>34</v>
      </c>
      <c r="E19658" s="21" t="s">
        <v>35</v>
      </c>
      <c r="F19658">
        <v>6680128</v>
      </c>
      <c r="G19658" t="s">
        <v>341</v>
      </c>
      <c r="H19658" s="21">
        <v>751.17</v>
      </c>
    </row>
    <row r="19659" spans="1:8" customFormat="1" x14ac:dyDescent="0.25">
      <c r="A19659" t="str">
        <f>"192684"</f>
        <v>192684</v>
      </c>
      <c r="B19659" t="s">
        <v>15932</v>
      </c>
      <c r="C19659" t="s">
        <v>130</v>
      </c>
      <c r="D19659" s="21" t="s">
        <v>34</v>
      </c>
      <c r="E19659" s="21" t="s">
        <v>254</v>
      </c>
      <c r="F19659">
        <v>10190066</v>
      </c>
      <c r="G19659" t="s">
        <v>15933</v>
      </c>
      <c r="H19659" s="21">
        <v>751.17</v>
      </c>
    </row>
    <row r="19660" spans="1:8" customFormat="1" x14ac:dyDescent="0.25">
      <c r="A19660" t="str">
        <f>"287593"</f>
        <v>287593</v>
      </c>
      <c r="B19660" t="s">
        <v>890</v>
      </c>
      <c r="C19660" t="s">
        <v>209</v>
      </c>
      <c r="D19660" s="21" t="s">
        <v>34</v>
      </c>
      <c r="E19660" s="21" t="s">
        <v>71</v>
      </c>
      <c r="F19660">
        <v>4280593</v>
      </c>
      <c r="G19660" t="s">
        <v>4536</v>
      </c>
      <c r="H19660" s="21">
        <v>751.17</v>
      </c>
    </row>
    <row r="19661" spans="1:8" customFormat="1" x14ac:dyDescent="0.25">
      <c r="A19661" t="str">
        <f>"5973130"</f>
        <v>5973130</v>
      </c>
      <c r="B19661" t="s">
        <v>17563</v>
      </c>
      <c r="C19661" t="s">
        <v>169</v>
      </c>
      <c r="D19661" s="21" t="s">
        <v>34</v>
      </c>
      <c r="E19661" s="21" t="s">
        <v>35</v>
      </c>
      <c r="F19661">
        <v>7590048</v>
      </c>
      <c r="G19661" t="s">
        <v>4608</v>
      </c>
      <c r="H19661" s="21">
        <v>751.04</v>
      </c>
    </row>
    <row r="19662" spans="1:8" customFormat="1" x14ac:dyDescent="0.25">
      <c r="A19662" t="str">
        <f>"7513614"</f>
        <v>7513614</v>
      </c>
      <c r="B19662" t="s">
        <v>14851</v>
      </c>
      <c r="C19662" t="s">
        <v>263</v>
      </c>
      <c r="D19662" s="21" t="s">
        <v>34</v>
      </c>
      <c r="E19662" s="21" t="s">
        <v>71</v>
      </c>
      <c r="F19662">
        <v>8751260</v>
      </c>
      <c r="G19662" t="s">
        <v>10641</v>
      </c>
      <c r="H19662" s="21">
        <v>751.04</v>
      </c>
    </row>
    <row r="19663" spans="1:8" customFormat="1" x14ac:dyDescent="0.25">
      <c r="A19663" t="str">
        <f>"179118"</f>
        <v>179118</v>
      </c>
      <c r="B19663" t="s">
        <v>11259</v>
      </c>
      <c r="C19663" t="s">
        <v>9688</v>
      </c>
      <c r="D19663" s="21" t="s">
        <v>34</v>
      </c>
      <c r="E19663" s="21" t="s">
        <v>35</v>
      </c>
      <c r="F19663">
        <v>10790022</v>
      </c>
      <c r="G19663" t="s">
        <v>7916</v>
      </c>
      <c r="H19663" s="21">
        <v>751</v>
      </c>
    </row>
    <row r="19664" spans="1:8" customFormat="1" x14ac:dyDescent="0.25">
      <c r="A19664" t="str">
        <f>"7629278"</f>
        <v>7629278</v>
      </c>
      <c r="B19664" t="s">
        <v>7697</v>
      </c>
      <c r="C19664" t="s">
        <v>1468</v>
      </c>
      <c r="D19664" s="21" t="s">
        <v>34</v>
      </c>
      <c r="E19664" s="21" t="s">
        <v>254</v>
      </c>
      <c r="F19664">
        <v>9760107</v>
      </c>
      <c r="G19664" t="s">
        <v>122</v>
      </c>
      <c r="H19664" s="21">
        <v>751</v>
      </c>
    </row>
    <row r="19665" spans="1:8" customFormat="1" x14ac:dyDescent="0.25">
      <c r="A19665" t="str">
        <f>"0812224"</f>
        <v>0812224</v>
      </c>
      <c r="B19665" t="s">
        <v>21797</v>
      </c>
      <c r="C19665" t="s">
        <v>2232</v>
      </c>
      <c r="D19665" s="21" t="s">
        <v>34</v>
      </c>
      <c r="E19665" s="21" t="s">
        <v>35</v>
      </c>
      <c r="F19665">
        <v>6080064</v>
      </c>
      <c r="G19665" t="s">
        <v>5825</v>
      </c>
      <c r="H19665" s="21">
        <v>750.79</v>
      </c>
    </row>
    <row r="19666" spans="1:8" customFormat="1" x14ac:dyDescent="0.25">
      <c r="A19666" t="str">
        <f>"47152"</f>
        <v>47152</v>
      </c>
      <c r="B19666" t="s">
        <v>10378</v>
      </c>
      <c r="C19666" t="s">
        <v>598</v>
      </c>
      <c r="D19666" s="21" t="s">
        <v>34</v>
      </c>
      <c r="E19666" s="21" t="s">
        <v>71</v>
      </c>
      <c r="F19666">
        <v>10470007</v>
      </c>
      <c r="G19666" t="s">
        <v>3049</v>
      </c>
      <c r="H19666" s="21">
        <v>750.67</v>
      </c>
    </row>
    <row r="19667" spans="1:8" customFormat="1" x14ac:dyDescent="0.25">
      <c r="A19667" t="str">
        <f>"517307"</f>
        <v>517307</v>
      </c>
      <c r="B19667" t="s">
        <v>15530</v>
      </c>
      <c r="C19667" t="s">
        <v>598</v>
      </c>
      <c r="D19667" s="21" t="s">
        <v>34</v>
      </c>
      <c r="E19667" s="21" t="s">
        <v>1089</v>
      </c>
      <c r="F19667">
        <v>6510069</v>
      </c>
      <c r="G19667" t="s">
        <v>13766</v>
      </c>
      <c r="H19667" s="21">
        <v>750.67</v>
      </c>
    </row>
    <row r="19668" spans="1:8" customFormat="1" x14ac:dyDescent="0.25">
      <c r="A19668" t="str">
        <f>"7626972"</f>
        <v>7626972</v>
      </c>
      <c r="B19668" t="s">
        <v>4211</v>
      </c>
      <c r="C19668" t="s">
        <v>12304</v>
      </c>
      <c r="D19668" s="21" t="s">
        <v>34</v>
      </c>
      <c r="E19668" s="21" t="s">
        <v>1089</v>
      </c>
      <c r="F19668">
        <v>9760011</v>
      </c>
      <c r="G19668" t="s">
        <v>2562</v>
      </c>
      <c r="H19668" s="21">
        <v>750.67</v>
      </c>
    </row>
    <row r="19669" spans="1:8" customFormat="1" x14ac:dyDescent="0.25">
      <c r="A19669" t="str">
        <f>"277795"</f>
        <v>277795</v>
      </c>
      <c r="B19669" t="s">
        <v>13841</v>
      </c>
      <c r="C19669" t="s">
        <v>13842</v>
      </c>
      <c r="D19669" s="21" t="s">
        <v>34</v>
      </c>
      <c r="E19669" s="21" t="s">
        <v>71</v>
      </c>
      <c r="F19669">
        <v>9270071</v>
      </c>
      <c r="G19669" t="s">
        <v>7815</v>
      </c>
      <c r="H19669" s="21">
        <v>750.67</v>
      </c>
    </row>
    <row r="19670" spans="1:8" customFormat="1" x14ac:dyDescent="0.25">
      <c r="A19670" t="str">
        <f>"905638"</f>
        <v>905638</v>
      </c>
      <c r="B19670" t="s">
        <v>3645</v>
      </c>
      <c r="C19670" t="s">
        <v>2546</v>
      </c>
      <c r="D19670" s="21" t="s">
        <v>34</v>
      </c>
      <c r="E19670" s="21" t="s">
        <v>254</v>
      </c>
      <c r="F19670">
        <v>2900046</v>
      </c>
      <c r="G19670" t="s">
        <v>4101</v>
      </c>
      <c r="H19670" s="21">
        <v>750.67</v>
      </c>
    </row>
    <row r="19671" spans="1:8" customFormat="1" x14ac:dyDescent="0.25">
      <c r="A19671" t="str">
        <f>"723376"</f>
        <v>723376</v>
      </c>
      <c r="B19671" t="s">
        <v>2386</v>
      </c>
      <c r="C19671" t="s">
        <v>121</v>
      </c>
      <c r="D19671" s="21" t="s">
        <v>34</v>
      </c>
      <c r="E19671" s="21" t="s">
        <v>35</v>
      </c>
      <c r="F19671">
        <v>12720023</v>
      </c>
      <c r="G19671" t="s">
        <v>1898</v>
      </c>
      <c r="H19671" s="21">
        <v>750.67</v>
      </c>
    </row>
    <row r="19672" spans="1:8" customFormat="1" x14ac:dyDescent="0.25">
      <c r="A19672" t="str">
        <f>"9312709"</f>
        <v>9312709</v>
      </c>
      <c r="B19672" t="s">
        <v>7828</v>
      </c>
      <c r="C19672" t="s">
        <v>15172</v>
      </c>
      <c r="D19672" s="21" t="s">
        <v>34</v>
      </c>
      <c r="E19672" s="21" t="s">
        <v>35</v>
      </c>
      <c r="F19672">
        <v>12720005</v>
      </c>
      <c r="G19672" t="s">
        <v>999</v>
      </c>
      <c r="H19672" s="21">
        <v>750.67</v>
      </c>
    </row>
    <row r="19673" spans="1:8" customFormat="1" x14ac:dyDescent="0.25">
      <c r="A19673" t="str">
        <f>"5019336"</f>
        <v>5019336</v>
      </c>
      <c r="B19673" t="s">
        <v>7966</v>
      </c>
      <c r="C19673" t="s">
        <v>60</v>
      </c>
      <c r="D19673" s="21" t="s">
        <v>34</v>
      </c>
      <c r="E19673" s="21" t="s">
        <v>35</v>
      </c>
      <c r="F19673">
        <v>9500131</v>
      </c>
      <c r="G19673" t="s">
        <v>1073</v>
      </c>
      <c r="H19673" s="21">
        <v>750.67</v>
      </c>
    </row>
    <row r="19674" spans="1:8" customFormat="1" x14ac:dyDescent="0.25">
      <c r="A19674" t="str">
        <f>"3827471"</f>
        <v>3827471</v>
      </c>
      <c r="B19674" t="s">
        <v>12795</v>
      </c>
      <c r="C19674" t="s">
        <v>6263</v>
      </c>
      <c r="D19674" s="21" t="s">
        <v>34</v>
      </c>
      <c r="E19674" s="21" t="s">
        <v>254</v>
      </c>
      <c r="F19674">
        <v>1380028</v>
      </c>
      <c r="G19674" t="s">
        <v>374</v>
      </c>
      <c r="H19674" s="21">
        <v>750.67</v>
      </c>
    </row>
    <row r="19675" spans="1:8" customFormat="1" x14ac:dyDescent="0.25">
      <c r="A19675" t="str">
        <f>"4218569"</f>
        <v>4218569</v>
      </c>
      <c r="B19675" t="s">
        <v>17760</v>
      </c>
      <c r="C19675" t="s">
        <v>608</v>
      </c>
      <c r="D19675" s="21" t="s">
        <v>34</v>
      </c>
      <c r="E19675" s="21" t="s">
        <v>35</v>
      </c>
      <c r="F19675">
        <v>1420148</v>
      </c>
      <c r="G19675" t="s">
        <v>10763</v>
      </c>
      <c r="H19675" s="21">
        <v>750.67</v>
      </c>
    </row>
    <row r="19676" spans="1:8" customFormat="1" x14ac:dyDescent="0.25">
      <c r="A19676" t="str">
        <f>"65140"</f>
        <v>65140</v>
      </c>
      <c r="B19676" t="s">
        <v>17433</v>
      </c>
      <c r="C19676" t="s">
        <v>547</v>
      </c>
      <c r="D19676" s="21" t="s">
        <v>34</v>
      </c>
      <c r="E19676" s="21" t="s">
        <v>254</v>
      </c>
      <c r="F19676">
        <v>11650017</v>
      </c>
      <c r="G19676" t="s">
        <v>13273</v>
      </c>
      <c r="H19676" s="21">
        <v>750.67</v>
      </c>
    </row>
    <row r="19677" spans="1:8" customFormat="1" x14ac:dyDescent="0.25">
      <c r="A19677" t="str">
        <f>"219852"</f>
        <v>219852</v>
      </c>
      <c r="B19677" t="s">
        <v>20885</v>
      </c>
      <c r="C19677" t="s">
        <v>87</v>
      </c>
      <c r="D19677" s="21" t="s">
        <v>34</v>
      </c>
      <c r="E19677" s="21" t="s">
        <v>35</v>
      </c>
      <c r="F19677">
        <v>4450417</v>
      </c>
      <c r="G19677" t="s">
        <v>2284</v>
      </c>
      <c r="H19677" s="21">
        <v>750.67</v>
      </c>
    </row>
    <row r="19678" spans="1:8" customFormat="1" x14ac:dyDescent="0.25">
      <c r="A19678" t="str">
        <f>"184239"</f>
        <v>184239</v>
      </c>
      <c r="B19678" t="s">
        <v>5927</v>
      </c>
      <c r="C19678" t="s">
        <v>187</v>
      </c>
      <c r="D19678" s="21" t="s">
        <v>34</v>
      </c>
      <c r="E19678" s="21" t="s">
        <v>35</v>
      </c>
      <c r="F19678">
        <v>4180737</v>
      </c>
      <c r="G19678" t="s">
        <v>26856</v>
      </c>
      <c r="H19678" s="21">
        <v>750.67</v>
      </c>
    </row>
    <row r="19679" spans="1:8" customFormat="1" x14ac:dyDescent="0.25">
      <c r="A19679" t="str">
        <f>"179162"</f>
        <v>179162</v>
      </c>
      <c r="B19679" t="s">
        <v>15628</v>
      </c>
      <c r="C19679" t="s">
        <v>719</v>
      </c>
      <c r="D19679" s="21" t="s">
        <v>34</v>
      </c>
      <c r="E19679" s="21" t="s">
        <v>35</v>
      </c>
      <c r="F19679">
        <v>10170073</v>
      </c>
      <c r="G19679" t="s">
        <v>9689</v>
      </c>
      <c r="H19679" s="21">
        <v>750.67</v>
      </c>
    </row>
    <row r="19680" spans="1:8" customFormat="1" x14ac:dyDescent="0.25">
      <c r="A19680" t="str">
        <f>"8514611"</f>
        <v>8514611</v>
      </c>
      <c r="B19680" t="s">
        <v>16831</v>
      </c>
      <c r="C19680" t="s">
        <v>169</v>
      </c>
      <c r="D19680" s="21" t="s">
        <v>34</v>
      </c>
      <c r="E19680" s="21" t="s">
        <v>71</v>
      </c>
      <c r="F19680">
        <v>12850107</v>
      </c>
      <c r="G19680" t="s">
        <v>12181</v>
      </c>
      <c r="H19680" s="21">
        <v>750.67</v>
      </c>
    </row>
    <row r="19681" spans="1:8" customFormat="1" x14ac:dyDescent="0.25">
      <c r="A19681" t="str">
        <f>"7825390"</f>
        <v>7825390</v>
      </c>
      <c r="B19681" t="s">
        <v>760</v>
      </c>
      <c r="C19681" t="s">
        <v>87</v>
      </c>
      <c r="D19681" s="21" t="s">
        <v>34</v>
      </c>
      <c r="E19681" s="21" t="s">
        <v>71</v>
      </c>
      <c r="F19681">
        <v>8910303</v>
      </c>
      <c r="G19681" t="s">
        <v>1244</v>
      </c>
      <c r="H19681" s="21">
        <v>750.54</v>
      </c>
    </row>
    <row r="19682" spans="1:8" customFormat="1" x14ac:dyDescent="0.25">
      <c r="A19682" t="str">
        <f>"9536455"</f>
        <v>9536455</v>
      </c>
      <c r="B19682" t="s">
        <v>19408</v>
      </c>
      <c r="C19682" t="s">
        <v>124</v>
      </c>
      <c r="D19682" s="21" t="s">
        <v>34</v>
      </c>
      <c r="E19682" s="21" t="s">
        <v>71</v>
      </c>
      <c r="F19682">
        <v>8950262</v>
      </c>
      <c r="G19682" t="s">
        <v>1881</v>
      </c>
      <c r="H19682" s="21">
        <v>750.54</v>
      </c>
    </row>
    <row r="19683" spans="1:8" customFormat="1" x14ac:dyDescent="0.25">
      <c r="A19683" t="str">
        <f>"366540"</f>
        <v>366540</v>
      </c>
      <c r="B19683" t="s">
        <v>16897</v>
      </c>
      <c r="C19683" t="s">
        <v>204</v>
      </c>
      <c r="D19683" s="21" t="s">
        <v>34</v>
      </c>
      <c r="E19683" s="21" t="s">
        <v>71</v>
      </c>
      <c r="F19683">
        <v>4360707</v>
      </c>
      <c r="G19683" t="s">
        <v>6621</v>
      </c>
      <c r="H19683" s="21">
        <v>750.54</v>
      </c>
    </row>
    <row r="19684" spans="1:8" customFormat="1" x14ac:dyDescent="0.25">
      <c r="A19684" t="str">
        <f>"871959"</f>
        <v>871959</v>
      </c>
      <c r="B19684" t="s">
        <v>10725</v>
      </c>
      <c r="C19684" t="s">
        <v>211</v>
      </c>
      <c r="D19684" s="21" t="s">
        <v>34</v>
      </c>
      <c r="E19684" s="21" t="s">
        <v>35</v>
      </c>
      <c r="F19684">
        <v>10870102</v>
      </c>
      <c r="G19684" t="s">
        <v>15067</v>
      </c>
      <c r="H19684" s="21">
        <v>750.42</v>
      </c>
    </row>
    <row r="19685" spans="1:8" customFormat="1" x14ac:dyDescent="0.25">
      <c r="A19685" t="str">
        <f>"4417016"</f>
        <v>4417016</v>
      </c>
      <c r="B19685" t="s">
        <v>9594</v>
      </c>
      <c r="C19685" t="s">
        <v>1146</v>
      </c>
      <c r="D19685" s="21" t="s">
        <v>34</v>
      </c>
      <c r="E19685" s="21" t="s">
        <v>254</v>
      </c>
      <c r="F19685">
        <v>12440021</v>
      </c>
      <c r="G19685" t="s">
        <v>429</v>
      </c>
      <c r="H19685" s="21">
        <v>750.42</v>
      </c>
    </row>
    <row r="19686" spans="1:8" customFormat="1" x14ac:dyDescent="0.25">
      <c r="A19686" t="str">
        <f>"1613326"</f>
        <v>1613326</v>
      </c>
      <c r="B19686" t="s">
        <v>17379</v>
      </c>
      <c r="C19686" t="s">
        <v>926</v>
      </c>
      <c r="D19686" s="21" t="s">
        <v>34</v>
      </c>
      <c r="E19686" s="21" t="s">
        <v>71</v>
      </c>
      <c r="F19686">
        <v>10160240</v>
      </c>
      <c r="G19686" t="s">
        <v>7095</v>
      </c>
      <c r="H19686" s="21">
        <v>750.42</v>
      </c>
    </row>
    <row r="19687" spans="1:8" customFormat="1" x14ac:dyDescent="0.25">
      <c r="A19687" t="str">
        <f>"461245"</f>
        <v>461245</v>
      </c>
      <c r="B19687" t="s">
        <v>1347</v>
      </c>
      <c r="C19687" t="s">
        <v>988</v>
      </c>
      <c r="D19687" s="21" t="s">
        <v>34</v>
      </c>
      <c r="E19687" s="21" t="s">
        <v>35</v>
      </c>
      <c r="F19687">
        <v>11460021</v>
      </c>
      <c r="G19687" t="s">
        <v>6727</v>
      </c>
      <c r="H19687" s="21">
        <v>750.42</v>
      </c>
    </row>
    <row r="19688" spans="1:8" customFormat="1" x14ac:dyDescent="0.25">
      <c r="A19688" t="str">
        <f>"6813567"</f>
        <v>6813567</v>
      </c>
      <c r="B19688" t="s">
        <v>20006</v>
      </c>
      <c r="C19688" t="s">
        <v>621</v>
      </c>
      <c r="D19688" s="21" t="s">
        <v>34</v>
      </c>
      <c r="E19688" s="21" t="s">
        <v>254</v>
      </c>
      <c r="F19688">
        <v>6680080</v>
      </c>
      <c r="G19688" t="s">
        <v>7771</v>
      </c>
      <c r="H19688" s="21">
        <v>750.42</v>
      </c>
    </row>
    <row r="19689" spans="1:8" customFormat="1" x14ac:dyDescent="0.25">
      <c r="A19689" t="str">
        <f>"9427486"</f>
        <v>9427486</v>
      </c>
      <c r="B19689" t="s">
        <v>6280</v>
      </c>
      <c r="C19689" t="s">
        <v>17117</v>
      </c>
      <c r="D19689" s="21" t="s">
        <v>34</v>
      </c>
      <c r="E19689" s="21" t="s">
        <v>35</v>
      </c>
      <c r="F19689">
        <v>11310129</v>
      </c>
      <c r="G19689" t="s">
        <v>4672</v>
      </c>
      <c r="H19689" s="21">
        <v>750.42</v>
      </c>
    </row>
    <row r="19690" spans="1:8" customFormat="1" x14ac:dyDescent="0.25">
      <c r="A19690" t="str">
        <f>"761158"</f>
        <v>761158</v>
      </c>
      <c r="B19690" t="s">
        <v>16516</v>
      </c>
      <c r="C19690" t="s">
        <v>3010</v>
      </c>
      <c r="D19690" s="21" t="s">
        <v>34</v>
      </c>
      <c r="E19690" s="21" t="s">
        <v>254</v>
      </c>
      <c r="F19690">
        <v>9760377</v>
      </c>
      <c r="G19690" t="s">
        <v>6631</v>
      </c>
      <c r="H19690" s="21">
        <v>750.17</v>
      </c>
    </row>
    <row r="19691" spans="1:8" customFormat="1" x14ac:dyDescent="0.25">
      <c r="A19691" t="str">
        <f>"70860"</f>
        <v>70860</v>
      </c>
      <c r="B19691" t="s">
        <v>15114</v>
      </c>
      <c r="C19691" t="s">
        <v>12684</v>
      </c>
      <c r="D19691" s="21" t="s">
        <v>34</v>
      </c>
      <c r="E19691" s="21" t="s">
        <v>71</v>
      </c>
      <c r="F19691">
        <v>2700005</v>
      </c>
      <c r="G19691" t="s">
        <v>5290</v>
      </c>
      <c r="H19691" s="21">
        <v>750.17</v>
      </c>
    </row>
    <row r="19692" spans="1:8" customFormat="1" x14ac:dyDescent="0.25">
      <c r="A19692" t="str">
        <f>"318840"</f>
        <v>318840</v>
      </c>
      <c r="B19692" t="s">
        <v>17391</v>
      </c>
      <c r="C19692" t="s">
        <v>598</v>
      </c>
      <c r="D19692" s="21" t="s">
        <v>34</v>
      </c>
      <c r="E19692" s="21" t="s">
        <v>71</v>
      </c>
      <c r="F19692">
        <v>11310064</v>
      </c>
      <c r="G19692" t="s">
        <v>931</v>
      </c>
      <c r="H19692" s="21">
        <v>750.17</v>
      </c>
    </row>
    <row r="19693" spans="1:8" customFormat="1" x14ac:dyDescent="0.25">
      <c r="A19693" t="str">
        <f>"617885"</f>
        <v>617885</v>
      </c>
      <c r="B19693" t="s">
        <v>6283</v>
      </c>
      <c r="C19693" t="s">
        <v>239</v>
      </c>
      <c r="D19693" s="21" t="s">
        <v>34</v>
      </c>
      <c r="E19693" s="21" t="s">
        <v>71</v>
      </c>
      <c r="F19693">
        <v>9610073</v>
      </c>
      <c r="G19693" t="s">
        <v>8382</v>
      </c>
      <c r="H19693" s="21">
        <v>750.17</v>
      </c>
    </row>
    <row r="19694" spans="1:8" customFormat="1" x14ac:dyDescent="0.25">
      <c r="A19694" t="str">
        <f>"7630992"</f>
        <v>7630992</v>
      </c>
      <c r="B19694" t="s">
        <v>8455</v>
      </c>
      <c r="C19694" t="s">
        <v>6774</v>
      </c>
      <c r="D19694" s="21" t="s">
        <v>34</v>
      </c>
      <c r="E19694" s="21" t="s">
        <v>35</v>
      </c>
      <c r="F19694">
        <v>9760320</v>
      </c>
      <c r="G19694" t="s">
        <v>4917</v>
      </c>
      <c r="H19694" s="21">
        <v>750.17</v>
      </c>
    </row>
    <row r="19695" spans="1:8" customFormat="1" x14ac:dyDescent="0.25">
      <c r="A19695" t="str">
        <f>"3720748"</f>
        <v>3720748</v>
      </c>
      <c r="B19695" t="s">
        <v>2851</v>
      </c>
      <c r="C19695" t="s">
        <v>3905</v>
      </c>
      <c r="D19695" s="21" t="s">
        <v>34</v>
      </c>
      <c r="E19695" s="21" t="s">
        <v>1089</v>
      </c>
      <c r="F19695">
        <v>4370566</v>
      </c>
      <c r="G19695" t="s">
        <v>4710</v>
      </c>
      <c r="H19695" s="21">
        <v>750.17</v>
      </c>
    </row>
    <row r="19696" spans="1:8" customFormat="1" x14ac:dyDescent="0.25">
      <c r="A19696" t="str">
        <f>"5325032"</f>
        <v>5325032</v>
      </c>
      <c r="B19696" t="s">
        <v>16875</v>
      </c>
      <c r="C19696" t="s">
        <v>169</v>
      </c>
      <c r="D19696" s="21" t="s">
        <v>34</v>
      </c>
      <c r="E19696" s="21" t="s">
        <v>71</v>
      </c>
      <c r="F19696">
        <v>12530054</v>
      </c>
      <c r="G19696" t="s">
        <v>354</v>
      </c>
      <c r="H19696" s="21">
        <v>750.17</v>
      </c>
    </row>
    <row r="19697" spans="1:8" customFormat="1" x14ac:dyDescent="0.25">
      <c r="A19697" t="str">
        <f>"5953937"</f>
        <v>5953937</v>
      </c>
      <c r="B19697" t="s">
        <v>15667</v>
      </c>
      <c r="C19697" t="s">
        <v>40</v>
      </c>
      <c r="D19697" s="21" t="s">
        <v>34</v>
      </c>
      <c r="E19697" s="21" t="s">
        <v>71</v>
      </c>
      <c r="F19697">
        <v>7590415</v>
      </c>
      <c r="G19697" t="s">
        <v>15668</v>
      </c>
      <c r="H19697" s="21">
        <v>750.17</v>
      </c>
    </row>
    <row r="19698" spans="1:8" customFormat="1" x14ac:dyDescent="0.25">
      <c r="A19698" t="str">
        <f>"473554"</f>
        <v>473554</v>
      </c>
      <c r="B19698" t="s">
        <v>15898</v>
      </c>
      <c r="C19698" t="s">
        <v>109</v>
      </c>
      <c r="D19698" s="21" t="s">
        <v>34</v>
      </c>
      <c r="E19698" s="21" t="s">
        <v>254</v>
      </c>
      <c r="F19698">
        <v>11460012</v>
      </c>
      <c r="G19698" t="s">
        <v>5929</v>
      </c>
      <c r="H19698" s="21">
        <v>750.17</v>
      </c>
    </row>
    <row r="19699" spans="1:8" customFormat="1" x14ac:dyDescent="0.25">
      <c r="A19699" t="str">
        <f>"1317612"</f>
        <v>1317612</v>
      </c>
      <c r="B19699" t="s">
        <v>16001</v>
      </c>
      <c r="C19699" t="s">
        <v>288</v>
      </c>
      <c r="D19699" s="21" t="s">
        <v>34</v>
      </c>
      <c r="E19699" s="21" t="s">
        <v>71</v>
      </c>
      <c r="F19699">
        <v>13130124</v>
      </c>
      <c r="G19699" t="s">
        <v>5311</v>
      </c>
      <c r="H19699" s="21">
        <v>750.17</v>
      </c>
    </row>
    <row r="19700" spans="1:8" customFormat="1" x14ac:dyDescent="0.25">
      <c r="A19700" t="str">
        <f>"5611672"</f>
        <v>5611672</v>
      </c>
      <c r="B19700" t="s">
        <v>15462</v>
      </c>
      <c r="C19700" t="s">
        <v>119</v>
      </c>
      <c r="D19700" s="21" t="s">
        <v>34</v>
      </c>
      <c r="E19700" s="21" t="s">
        <v>35</v>
      </c>
      <c r="F19700">
        <v>10330082</v>
      </c>
      <c r="G19700" t="s">
        <v>5564</v>
      </c>
      <c r="H19700" s="21">
        <v>750.17</v>
      </c>
    </row>
    <row r="19701" spans="1:8" customFormat="1" x14ac:dyDescent="0.25">
      <c r="A19701" t="str">
        <f>"7844701"</f>
        <v>7844701</v>
      </c>
      <c r="B19701" t="s">
        <v>14244</v>
      </c>
      <c r="C19701" t="s">
        <v>3456</v>
      </c>
      <c r="D19701" s="21" t="s">
        <v>34</v>
      </c>
      <c r="E19701" s="21" t="s">
        <v>35</v>
      </c>
      <c r="F19701">
        <v>8780660</v>
      </c>
      <c r="G19701" t="s">
        <v>2801</v>
      </c>
      <c r="H19701" s="21">
        <v>750.17</v>
      </c>
    </row>
    <row r="19702" spans="1:8" customFormat="1" x14ac:dyDescent="0.25">
      <c r="A19702" t="str">
        <f>"676111"</f>
        <v>676111</v>
      </c>
      <c r="B19702" t="s">
        <v>10821</v>
      </c>
      <c r="C19702" t="s">
        <v>8442</v>
      </c>
      <c r="D19702" s="21" t="s">
        <v>34</v>
      </c>
      <c r="E19702" s="21" t="s">
        <v>71</v>
      </c>
      <c r="F19702">
        <v>6670160</v>
      </c>
      <c r="G19702" t="s">
        <v>908</v>
      </c>
      <c r="H19702" s="21">
        <v>750.17</v>
      </c>
    </row>
    <row r="19703" spans="1:8" customFormat="1" x14ac:dyDescent="0.25">
      <c r="A19703" t="str">
        <f>"043638"</f>
        <v>043638</v>
      </c>
      <c r="B19703" t="s">
        <v>17016</v>
      </c>
      <c r="C19703" t="s">
        <v>65</v>
      </c>
      <c r="D19703" s="21" t="s">
        <v>34</v>
      </c>
      <c r="E19703" s="21" t="s">
        <v>35</v>
      </c>
      <c r="F19703">
        <v>13040005</v>
      </c>
      <c r="G19703" t="s">
        <v>7115</v>
      </c>
      <c r="H19703" s="21">
        <v>750.17</v>
      </c>
    </row>
    <row r="19704" spans="1:8" customFormat="1" x14ac:dyDescent="0.25">
      <c r="A19704" t="str">
        <f>"6228164"</f>
        <v>6228164</v>
      </c>
      <c r="B19704" t="s">
        <v>15809</v>
      </c>
      <c r="C19704" t="s">
        <v>139</v>
      </c>
      <c r="D19704" s="21" t="s">
        <v>34</v>
      </c>
      <c r="E19704" s="21" t="s">
        <v>71</v>
      </c>
      <c r="F19704">
        <v>7620024</v>
      </c>
      <c r="G19704" t="s">
        <v>2975</v>
      </c>
      <c r="H19704" s="21">
        <v>750.17</v>
      </c>
    </row>
    <row r="19705" spans="1:8" customFormat="1" x14ac:dyDescent="0.25">
      <c r="A19705" t="str">
        <f>"371012"</f>
        <v>371012</v>
      </c>
      <c r="B19705" t="s">
        <v>14873</v>
      </c>
      <c r="C19705" t="s">
        <v>415</v>
      </c>
      <c r="D19705" s="21" t="s">
        <v>34</v>
      </c>
      <c r="E19705" s="21" t="s">
        <v>71</v>
      </c>
      <c r="F19705">
        <v>4370346</v>
      </c>
      <c r="G19705" t="s">
        <v>8269</v>
      </c>
      <c r="H19705" s="21">
        <v>750.17</v>
      </c>
    </row>
    <row r="19706" spans="1:8" customFormat="1" x14ac:dyDescent="0.25">
      <c r="A19706" t="str">
        <f>"6926498"</f>
        <v>6926498</v>
      </c>
      <c r="B19706" t="s">
        <v>17983</v>
      </c>
      <c r="C19706" t="s">
        <v>62</v>
      </c>
      <c r="D19706" s="21" t="s">
        <v>34</v>
      </c>
      <c r="E19706" s="21" t="s">
        <v>35</v>
      </c>
      <c r="F19706">
        <v>6570190</v>
      </c>
      <c r="G19706" t="s">
        <v>622</v>
      </c>
      <c r="H19706" s="21">
        <v>750.17</v>
      </c>
    </row>
    <row r="19707" spans="1:8" customFormat="1" x14ac:dyDescent="0.25">
      <c r="A19707" t="str">
        <f>"1714555"</f>
        <v>1714555</v>
      </c>
      <c r="B19707" t="s">
        <v>15369</v>
      </c>
      <c r="C19707" t="s">
        <v>249</v>
      </c>
      <c r="D19707" s="21" t="s">
        <v>34</v>
      </c>
      <c r="E19707" s="21" t="s">
        <v>71</v>
      </c>
      <c r="F19707">
        <v>10170028</v>
      </c>
      <c r="G19707" t="s">
        <v>649</v>
      </c>
      <c r="H19707" s="21">
        <v>750.17</v>
      </c>
    </row>
    <row r="19708" spans="1:8" customFormat="1" x14ac:dyDescent="0.25">
      <c r="A19708" t="str">
        <f>"1715024"</f>
        <v>1715024</v>
      </c>
      <c r="B19708" t="s">
        <v>1351</v>
      </c>
      <c r="C19708" t="s">
        <v>17912</v>
      </c>
      <c r="D19708" s="21" t="s">
        <v>34</v>
      </c>
      <c r="E19708" s="21" t="s">
        <v>35</v>
      </c>
      <c r="F19708">
        <v>1260045</v>
      </c>
      <c r="G19708" t="s">
        <v>401</v>
      </c>
      <c r="H19708" s="21">
        <v>750.04</v>
      </c>
    </row>
    <row r="19709" spans="1:8" customFormat="1" x14ac:dyDescent="0.25">
      <c r="A19709" t="str">
        <f>"1717164"</f>
        <v>1717164</v>
      </c>
      <c r="B19709" t="s">
        <v>3273</v>
      </c>
      <c r="C19709" t="s">
        <v>33</v>
      </c>
      <c r="D19709" s="21" t="s">
        <v>34</v>
      </c>
      <c r="E19709" s="21" t="s">
        <v>35</v>
      </c>
      <c r="F19709">
        <v>10170178</v>
      </c>
      <c r="G19709" t="s">
        <v>17278</v>
      </c>
      <c r="H19709" s="21">
        <v>750.04</v>
      </c>
    </row>
    <row r="19710" spans="1:8" customFormat="1" x14ac:dyDescent="0.25">
      <c r="A19710" t="str">
        <f>"2922507"</f>
        <v>2922507</v>
      </c>
      <c r="B19710" t="s">
        <v>14607</v>
      </c>
      <c r="C19710" t="s">
        <v>151</v>
      </c>
      <c r="D19710" s="21" t="s">
        <v>34</v>
      </c>
      <c r="E19710" s="21" t="s">
        <v>35</v>
      </c>
      <c r="F19710">
        <v>3290009</v>
      </c>
      <c r="G19710" t="s">
        <v>4358</v>
      </c>
      <c r="H19710" s="21">
        <v>750</v>
      </c>
    </row>
    <row r="19711" spans="1:8" customFormat="1" x14ac:dyDescent="0.25">
      <c r="A19711" t="str">
        <f>"5315141"</f>
        <v>5315141</v>
      </c>
      <c r="B19711" t="s">
        <v>13936</v>
      </c>
      <c r="C19711" t="s">
        <v>1853</v>
      </c>
      <c r="D19711" s="21" t="s">
        <v>34</v>
      </c>
      <c r="E19711" s="21" t="s">
        <v>71</v>
      </c>
      <c r="F19711">
        <v>12530146</v>
      </c>
      <c r="G19711" t="s">
        <v>10916</v>
      </c>
      <c r="H19711" s="21">
        <v>749.92</v>
      </c>
    </row>
    <row r="19712" spans="1:8" customFormat="1" x14ac:dyDescent="0.25">
      <c r="A19712" t="str">
        <f>"5324109"</f>
        <v>5324109</v>
      </c>
      <c r="B19712" t="s">
        <v>14469</v>
      </c>
      <c r="C19712" t="s">
        <v>598</v>
      </c>
      <c r="D19712" s="21" t="s">
        <v>34</v>
      </c>
      <c r="E19712" s="21" t="s">
        <v>71</v>
      </c>
      <c r="F19712">
        <v>12530065</v>
      </c>
      <c r="G19712" t="s">
        <v>10009</v>
      </c>
      <c r="H19712" s="21">
        <v>749.92</v>
      </c>
    </row>
    <row r="19713" spans="1:8" customFormat="1" x14ac:dyDescent="0.25">
      <c r="A19713" t="str">
        <f>"5945404"</f>
        <v>5945404</v>
      </c>
      <c r="B19713" t="s">
        <v>15754</v>
      </c>
      <c r="C19713" t="s">
        <v>719</v>
      </c>
      <c r="D19713" s="21" t="s">
        <v>34</v>
      </c>
      <c r="E19713" s="21" t="s">
        <v>35</v>
      </c>
      <c r="F19713">
        <v>7590235</v>
      </c>
      <c r="G19713" t="s">
        <v>5121</v>
      </c>
      <c r="H19713" s="21">
        <v>749.92</v>
      </c>
    </row>
    <row r="19714" spans="1:8" customFormat="1" x14ac:dyDescent="0.25">
      <c r="A19714" t="str">
        <f>"9124015"</f>
        <v>9124015</v>
      </c>
      <c r="B19714" t="s">
        <v>19179</v>
      </c>
      <c r="C19714" t="s">
        <v>415</v>
      </c>
      <c r="D19714" s="21" t="s">
        <v>34</v>
      </c>
      <c r="E19714" s="21" t="s">
        <v>71</v>
      </c>
      <c r="F19714">
        <v>8911083</v>
      </c>
      <c r="G19714" t="s">
        <v>7357</v>
      </c>
      <c r="H19714" s="21">
        <v>749.92</v>
      </c>
    </row>
    <row r="19715" spans="1:8" customFormat="1" x14ac:dyDescent="0.25">
      <c r="A19715" t="str">
        <f>"212958"</f>
        <v>212958</v>
      </c>
      <c r="B19715" t="s">
        <v>15769</v>
      </c>
      <c r="C19715" t="s">
        <v>4721</v>
      </c>
      <c r="D19715" s="21" t="s">
        <v>34</v>
      </c>
      <c r="E19715" s="21" t="s">
        <v>6185</v>
      </c>
      <c r="F19715">
        <v>2210048</v>
      </c>
      <c r="G19715" t="s">
        <v>7499</v>
      </c>
      <c r="H19715" s="21">
        <v>749.67</v>
      </c>
    </row>
    <row r="19716" spans="1:8" customFormat="1" x14ac:dyDescent="0.25">
      <c r="A19716" t="str">
        <f>"5920797"</f>
        <v>5920797</v>
      </c>
      <c r="B19716" t="s">
        <v>457</v>
      </c>
      <c r="C19716" t="s">
        <v>147</v>
      </c>
      <c r="D19716" s="21" t="s">
        <v>34</v>
      </c>
      <c r="E19716" s="21" t="s">
        <v>35</v>
      </c>
      <c r="F19716">
        <v>7590047</v>
      </c>
      <c r="G19716" t="s">
        <v>5788</v>
      </c>
      <c r="H19716" s="21">
        <v>749.67</v>
      </c>
    </row>
    <row r="19717" spans="1:8" customFormat="1" x14ac:dyDescent="0.25">
      <c r="A19717" t="str">
        <f>"7632532"</f>
        <v>7632532</v>
      </c>
      <c r="B19717" t="s">
        <v>108</v>
      </c>
      <c r="C19717" t="s">
        <v>82</v>
      </c>
      <c r="D19717" s="21" t="s">
        <v>34</v>
      </c>
      <c r="E19717" s="21" t="s">
        <v>35</v>
      </c>
      <c r="F19717">
        <v>9760270</v>
      </c>
      <c r="G19717" t="s">
        <v>4167</v>
      </c>
      <c r="H19717" s="21">
        <v>749.67</v>
      </c>
    </row>
    <row r="19718" spans="1:8" customFormat="1" x14ac:dyDescent="0.25">
      <c r="A19718" t="str">
        <f>"736204"</f>
        <v>736204</v>
      </c>
      <c r="B19718" t="s">
        <v>15304</v>
      </c>
      <c r="C19718" t="s">
        <v>15305</v>
      </c>
      <c r="D19718" s="21" t="s">
        <v>34</v>
      </c>
      <c r="E19718" s="21" t="s">
        <v>35</v>
      </c>
      <c r="F19718">
        <v>1730048</v>
      </c>
      <c r="G19718" t="s">
        <v>3173</v>
      </c>
      <c r="H19718" s="21">
        <v>749.67</v>
      </c>
    </row>
    <row r="19719" spans="1:8" customFormat="1" x14ac:dyDescent="0.25">
      <c r="A19719" t="str">
        <f>"0211345"</f>
        <v>0211345</v>
      </c>
      <c r="B19719" t="s">
        <v>3016</v>
      </c>
      <c r="C19719" t="s">
        <v>1605</v>
      </c>
      <c r="D19719" s="21" t="s">
        <v>34</v>
      </c>
      <c r="E19719" s="21" t="s">
        <v>71</v>
      </c>
      <c r="F19719">
        <v>7020064</v>
      </c>
      <c r="G19719" t="s">
        <v>8396</v>
      </c>
      <c r="H19719" s="21">
        <v>749.67</v>
      </c>
    </row>
    <row r="19720" spans="1:8" customFormat="1" x14ac:dyDescent="0.25">
      <c r="A19720" t="str">
        <f>"63385"</f>
        <v>63385</v>
      </c>
      <c r="B19720" t="s">
        <v>1490</v>
      </c>
      <c r="C19720" t="s">
        <v>87</v>
      </c>
      <c r="D19720" s="21" t="s">
        <v>34</v>
      </c>
      <c r="E19720" s="21" t="s">
        <v>35</v>
      </c>
      <c r="F19720">
        <v>1630059</v>
      </c>
      <c r="G19720" t="s">
        <v>2486</v>
      </c>
      <c r="H19720" s="21">
        <v>749.67</v>
      </c>
    </row>
    <row r="19721" spans="1:8" customFormat="1" x14ac:dyDescent="0.25">
      <c r="A19721" t="str">
        <f>"533147"</f>
        <v>533147</v>
      </c>
      <c r="B19721" t="s">
        <v>14874</v>
      </c>
      <c r="C19721" t="s">
        <v>547</v>
      </c>
      <c r="D19721" s="21" t="s">
        <v>34</v>
      </c>
      <c r="E19721" s="21" t="s">
        <v>254</v>
      </c>
      <c r="F19721">
        <v>12530060</v>
      </c>
      <c r="G19721" t="s">
        <v>1356</v>
      </c>
      <c r="H19721" s="21">
        <v>749.67</v>
      </c>
    </row>
    <row r="19722" spans="1:8" customFormat="1" x14ac:dyDescent="0.25">
      <c r="A19722" t="str">
        <f>"5934810"</f>
        <v>5934810</v>
      </c>
      <c r="B19722" t="s">
        <v>16578</v>
      </c>
      <c r="C19722" t="s">
        <v>328</v>
      </c>
      <c r="D19722" s="21" t="s">
        <v>34</v>
      </c>
      <c r="E19722" s="21" t="s">
        <v>35</v>
      </c>
      <c r="F19722">
        <v>7590068</v>
      </c>
      <c r="G19722" t="s">
        <v>1005</v>
      </c>
      <c r="H19722" s="21">
        <v>749.67</v>
      </c>
    </row>
    <row r="19723" spans="1:8" customFormat="1" x14ac:dyDescent="0.25">
      <c r="A19723" t="str">
        <f>"2611058"</f>
        <v>2611058</v>
      </c>
      <c r="B19723" t="s">
        <v>16574</v>
      </c>
      <c r="C19723" t="s">
        <v>985</v>
      </c>
      <c r="D19723" s="21" t="s">
        <v>34</v>
      </c>
      <c r="E19723" s="21" t="s">
        <v>71</v>
      </c>
      <c r="F19723">
        <v>1260004</v>
      </c>
      <c r="G19723" t="s">
        <v>1429</v>
      </c>
      <c r="H19723" s="21">
        <v>749.67</v>
      </c>
    </row>
    <row r="19724" spans="1:8" customFormat="1" x14ac:dyDescent="0.25">
      <c r="A19724" t="str">
        <f>"555933"</f>
        <v>555933</v>
      </c>
      <c r="B19724" t="s">
        <v>9742</v>
      </c>
      <c r="C19724" t="s">
        <v>1025</v>
      </c>
      <c r="D19724" s="21" t="s">
        <v>34</v>
      </c>
      <c r="E19724" s="21" t="s">
        <v>71</v>
      </c>
      <c r="F19724">
        <v>6550009</v>
      </c>
      <c r="G19724" t="s">
        <v>7080</v>
      </c>
      <c r="H19724" s="21">
        <v>749.67</v>
      </c>
    </row>
    <row r="19725" spans="1:8" customFormat="1" x14ac:dyDescent="0.25">
      <c r="A19725" t="str">
        <f>"167950"</f>
        <v>167950</v>
      </c>
      <c r="B19725" t="s">
        <v>9448</v>
      </c>
      <c r="C19725" t="s">
        <v>87</v>
      </c>
      <c r="D19725" s="21" t="s">
        <v>34</v>
      </c>
      <c r="E19725" s="21" t="s">
        <v>35</v>
      </c>
      <c r="F19725">
        <v>11310033</v>
      </c>
      <c r="G19725" t="s">
        <v>18036</v>
      </c>
      <c r="H19725" s="21">
        <v>749.67</v>
      </c>
    </row>
    <row r="19726" spans="1:8" customFormat="1" x14ac:dyDescent="0.25">
      <c r="A19726" t="str">
        <f>"4930286"</f>
        <v>4930286</v>
      </c>
      <c r="B19726" t="s">
        <v>17473</v>
      </c>
      <c r="C19726" t="s">
        <v>249</v>
      </c>
      <c r="D19726" s="21" t="s">
        <v>34</v>
      </c>
      <c r="E19726" s="21" t="s">
        <v>71</v>
      </c>
      <c r="F19726">
        <v>12490038</v>
      </c>
      <c r="G19726" t="s">
        <v>467</v>
      </c>
      <c r="H19726" s="21">
        <v>749.67</v>
      </c>
    </row>
    <row r="19727" spans="1:8" customFormat="1" x14ac:dyDescent="0.25">
      <c r="A19727" t="str">
        <f>"8525384"</f>
        <v>8525384</v>
      </c>
      <c r="B19727" t="s">
        <v>3135</v>
      </c>
      <c r="C19727" t="s">
        <v>82</v>
      </c>
      <c r="D19727" s="21" t="s">
        <v>34</v>
      </c>
      <c r="E19727" s="21" t="s">
        <v>35</v>
      </c>
      <c r="F19727">
        <v>12850046</v>
      </c>
      <c r="G19727" t="s">
        <v>3136</v>
      </c>
      <c r="H19727" s="21">
        <v>749.67</v>
      </c>
    </row>
    <row r="19728" spans="1:8" customFormat="1" x14ac:dyDescent="0.25">
      <c r="A19728" t="str">
        <f>"36495"</f>
        <v>36495</v>
      </c>
      <c r="B19728" t="s">
        <v>10257</v>
      </c>
      <c r="C19728" t="s">
        <v>1605</v>
      </c>
      <c r="D19728" s="21" t="s">
        <v>34</v>
      </c>
      <c r="E19728" s="21" t="s">
        <v>254</v>
      </c>
      <c r="F19728">
        <v>4360343</v>
      </c>
      <c r="G19728" t="s">
        <v>6348</v>
      </c>
      <c r="H19728" s="21">
        <v>749.54</v>
      </c>
    </row>
    <row r="19729" spans="1:8" customFormat="1" x14ac:dyDescent="0.25">
      <c r="A19729" t="str">
        <f>"6922408"</f>
        <v>6922408</v>
      </c>
      <c r="B19729" t="s">
        <v>16061</v>
      </c>
      <c r="C19729" t="s">
        <v>3648</v>
      </c>
      <c r="D19729" s="21" t="s">
        <v>34</v>
      </c>
      <c r="E19729" s="21" t="s">
        <v>1089</v>
      </c>
      <c r="F19729">
        <v>1690090</v>
      </c>
      <c r="G19729" t="s">
        <v>6286</v>
      </c>
      <c r="H19729" s="21">
        <v>749.42</v>
      </c>
    </row>
    <row r="19730" spans="1:8" customFormat="1" x14ac:dyDescent="0.25">
      <c r="A19730" t="str">
        <f>"5325896"</f>
        <v>5325896</v>
      </c>
      <c r="B19730" t="s">
        <v>18382</v>
      </c>
      <c r="C19730" t="s">
        <v>156</v>
      </c>
      <c r="D19730" s="21" t="s">
        <v>34</v>
      </c>
      <c r="E19730" s="21" t="s">
        <v>35</v>
      </c>
      <c r="F19730">
        <v>12530136</v>
      </c>
      <c r="G19730" t="s">
        <v>4866</v>
      </c>
      <c r="H19730" s="21">
        <v>749.42</v>
      </c>
    </row>
    <row r="19731" spans="1:8" customFormat="1" x14ac:dyDescent="0.25">
      <c r="A19731" t="str">
        <f>"6929068"</f>
        <v>6929068</v>
      </c>
      <c r="B19731" t="s">
        <v>1974</v>
      </c>
      <c r="C19731" t="s">
        <v>40</v>
      </c>
      <c r="D19731" s="21" t="s">
        <v>34</v>
      </c>
      <c r="E19731" s="21" t="s">
        <v>254</v>
      </c>
      <c r="F19731">
        <v>1690185</v>
      </c>
      <c r="G19731" t="s">
        <v>10841</v>
      </c>
      <c r="H19731" s="21">
        <v>749.42</v>
      </c>
    </row>
    <row r="19732" spans="1:8" customFormat="1" x14ac:dyDescent="0.25">
      <c r="A19732" t="str">
        <f>"2937450"</f>
        <v>2937450</v>
      </c>
      <c r="B19732" t="s">
        <v>16931</v>
      </c>
      <c r="C19732" t="s">
        <v>55</v>
      </c>
      <c r="D19732" s="21" t="s">
        <v>34</v>
      </c>
      <c r="E19732" s="21" t="s">
        <v>71</v>
      </c>
      <c r="F19732">
        <v>3290285</v>
      </c>
      <c r="G19732" t="s">
        <v>2234</v>
      </c>
      <c r="H19732" s="21">
        <v>749.42</v>
      </c>
    </row>
    <row r="19733" spans="1:8" customFormat="1" x14ac:dyDescent="0.25">
      <c r="A19733" t="str">
        <f>"088913"</f>
        <v>088913</v>
      </c>
      <c r="B19733" t="s">
        <v>6435</v>
      </c>
      <c r="C19733" t="s">
        <v>1853</v>
      </c>
      <c r="D19733" s="21" t="s">
        <v>34</v>
      </c>
      <c r="E19733" s="21" t="s">
        <v>71</v>
      </c>
      <c r="F19733">
        <v>6080013</v>
      </c>
      <c r="G19733" t="s">
        <v>1532</v>
      </c>
      <c r="H19733" s="21">
        <v>749.42</v>
      </c>
    </row>
    <row r="19734" spans="1:8" customFormat="1" x14ac:dyDescent="0.25">
      <c r="A19734" t="str">
        <f>"509517"</f>
        <v>509517</v>
      </c>
      <c r="B19734" t="s">
        <v>17397</v>
      </c>
      <c r="C19734" t="s">
        <v>239</v>
      </c>
      <c r="D19734" s="21" t="s">
        <v>34</v>
      </c>
      <c r="E19734" s="21" t="s">
        <v>254</v>
      </c>
      <c r="F19734">
        <v>9500013</v>
      </c>
      <c r="G19734" t="s">
        <v>992</v>
      </c>
      <c r="H19734" s="21">
        <v>749.42</v>
      </c>
    </row>
    <row r="19735" spans="1:8" customFormat="1" x14ac:dyDescent="0.25">
      <c r="A19735" t="str">
        <f>"9435700"</f>
        <v>9435700</v>
      </c>
      <c r="B19735" t="s">
        <v>27581</v>
      </c>
      <c r="C19735" t="s">
        <v>415</v>
      </c>
      <c r="D19735" s="21" t="s">
        <v>34</v>
      </c>
      <c r="E19735" s="21" t="s">
        <v>71</v>
      </c>
      <c r="F19735">
        <v>8920389</v>
      </c>
      <c r="G19735" t="s">
        <v>1739</v>
      </c>
      <c r="H19735" s="21">
        <v>749.42</v>
      </c>
    </row>
    <row r="19736" spans="1:8" customFormat="1" x14ac:dyDescent="0.25">
      <c r="A19736" t="str">
        <f>"9319590"</f>
        <v>9319590</v>
      </c>
      <c r="B19736" t="s">
        <v>21186</v>
      </c>
      <c r="C19736" t="s">
        <v>275</v>
      </c>
      <c r="D19736" s="21" t="s">
        <v>34</v>
      </c>
      <c r="E19736" s="21" t="s">
        <v>35</v>
      </c>
      <c r="F19736">
        <v>9760011</v>
      </c>
      <c r="G19736" t="s">
        <v>2562</v>
      </c>
      <c r="H19736" s="21">
        <v>749.29</v>
      </c>
    </row>
    <row r="19737" spans="1:8" customFormat="1" x14ac:dyDescent="0.25">
      <c r="A19737" t="str">
        <f>"6315199"</f>
        <v>6315199</v>
      </c>
      <c r="B19737" t="s">
        <v>3610</v>
      </c>
      <c r="C19737" t="s">
        <v>239</v>
      </c>
      <c r="D19737" s="21" t="s">
        <v>34</v>
      </c>
      <c r="E19737" s="21" t="s">
        <v>254</v>
      </c>
      <c r="F19737">
        <v>1630145</v>
      </c>
      <c r="G19737" t="s">
        <v>13804</v>
      </c>
      <c r="H19737" s="21">
        <v>749.17</v>
      </c>
    </row>
    <row r="19738" spans="1:8" customFormat="1" x14ac:dyDescent="0.25">
      <c r="A19738" t="str">
        <f>"069243"</f>
        <v>069243</v>
      </c>
      <c r="B19738" t="s">
        <v>16366</v>
      </c>
      <c r="C19738" t="s">
        <v>156</v>
      </c>
      <c r="D19738" s="21" t="s">
        <v>34</v>
      </c>
      <c r="E19738" s="21" t="s">
        <v>254</v>
      </c>
      <c r="F19738">
        <v>6520040</v>
      </c>
      <c r="G19738" t="s">
        <v>16367</v>
      </c>
      <c r="H19738" s="21">
        <v>749.17</v>
      </c>
    </row>
    <row r="19739" spans="1:8" customFormat="1" x14ac:dyDescent="0.25">
      <c r="A19739" t="str">
        <f>"861331"</f>
        <v>861331</v>
      </c>
      <c r="B19739" t="s">
        <v>15783</v>
      </c>
      <c r="C19739" t="s">
        <v>55</v>
      </c>
      <c r="D19739" s="21" t="s">
        <v>34</v>
      </c>
      <c r="E19739" s="21" t="s">
        <v>254</v>
      </c>
      <c r="F19739">
        <v>10860193</v>
      </c>
      <c r="G19739" t="s">
        <v>1603</v>
      </c>
      <c r="H19739" s="21">
        <v>749.17</v>
      </c>
    </row>
    <row r="19740" spans="1:8" customFormat="1" x14ac:dyDescent="0.25">
      <c r="A19740" t="str">
        <f>"572032"</f>
        <v>572032</v>
      </c>
      <c r="B19740" t="s">
        <v>2082</v>
      </c>
      <c r="C19740" t="s">
        <v>114</v>
      </c>
      <c r="D19740" s="21" t="s">
        <v>34</v>
      </c>
      <c r="E19740" s="21" t="s">
        <v>1089</v>
      </c>
      <c r="F19740">
        <v>6570088</v>
      </c>
      <c r="G19740" t="s">
        <v>3461</v>
      </c>
      <c r="H19740" s="21">
        <v>749.17</v>
      </c>
    </row>
    <row r="19741" spans="1:8" customFormat="1" x14ac:dyDescent="0.25">
      <c r="A19741" t="str">
        <f>"5923065"</f>
        <v>5923065</v>
      </c>
      <c r="B19741" t="s">
        <v>6157</v>
      </c>
      <c r="C19741" t="s">
        <v>7952</v>
      </c>
      <c r="D19741" s="21" t="s">
        <v>34</v>
      </c>
      <c r="E19741" s="21" t="s">
        <v>254</v>
      </c>
      <c r="F19741">
        <v>7590137</v>
      </c>
      <c r="G19741" t="s">
        <v>4246</v>
      </c>
      <c r="H19741" s="21">
        <v>749.17</v>
      </c>
    </row>
    <row r="19742" spans="1:8" customFormat="1" x14ac:dyDescent="0.25">
      <c r="A19742" t="str">
        <f>"271503"</f>
        <v>271503</v>
      </c>
      <c r="B19742" t="s">
        <v>16137</v>
      </c>
      <c r="C19742" t="s">
        <v>462</v>
      </c>
      <c r="D19742" s="21" t="s">
        <v>34</v>
      </c>
      <c r="E19742" s="21" t="s">
        <v>71</v>
      </c>
      <c r="F19742">
        <v>9270110</v>
      </c>
      <c r="G19742" t="s">
        <v>7417</v>
      </c>
      <c r="H19742" s="21">
        <v>749.17</v>
      </c>
    </row>
    <row r="19743" spans="1:8" customFormat="1" x14ac:dyDescent="0.25">
      <c r="A19743" t="str">
        <f>"193362"</f>
        <v>193362</v>
      </c>
      <c r="B19743" t="s">
        <v>11238</v>
      </c>
      <c r="C19743" t="s">
        <v>484</v>
      </c>
      <c r="D19743" s="21" t="s">
        <v>34</v>
      </c>
      <c r="E19743" s="21" t="s">
        <v>35</v>
      </c>
      <c r="F19743">
        <v>10190133</v>
      </c>
      <c r="G19743" t="s">
        <v>13392</v>
      </c>
      <c r="H19743" s="21">
        <v>749.17</v>
      </c>
    </row>
    <row r="19744" spans="1:8" customFormat="1" x14ac:dyDescent="0.25">
      <c r="A19744" t="str">
        <f>"3529175"</f>
        <v>3529175</v>
      </c>
      <c r="B19744" t="s">
        <v>15508</v>
      </c>
      <c r="C19744" t="s">
        <v>15509</v>
      </c>
      <c r="D19744" s="21" t="s">
        <v>34</v>
      </c>
      <c r="E19744" s="21" t="s">
        <v>71</v>
      </c>
      <c r="F19744">
        <v>3350092</v>
      </c>
      <c r="G19744" t="s">
        <v>26881</v>
      </c>
      <c r="H19744" s="21">
        <v>749.17</v>
      </c>
    </row>
    <row r="19745" spans="1:8" customFormat="1" x14ac:dyDescent="0.25">
      <c r="A19745" t="str">
        <f>"5714728"</f>
        <v>5714728</v>
      </c>
      <c r="B19745" t="s">
        <v>14488</v>
      </c>
      <c r="C19745" t="s">
        <v>1231</v>
      </c>
      <c r="D19745" s="21" t="s">
        <v>34</v>
      </c>
      <c r="E19745" s="21" t="s">
        <v>254</v>
      </c>
      <c r="F19745">
        <v>6570179</v>
      </c>
      <c r="G19745" t="s">
        <v>9205</v>
      </c>
      <c r="H19745" s="21">
        <v>749.17</v>
      </c>
    </row>
    <row r="19746" spans="1:8" customFormat="1" x14ac:dyDescent="0.25">
      <c r="A19746" t="str">
        <f>"6218426"</f>
        <v>6218426</v>
      </c>
      <c r="B19746" t="s">
        <v>14899</v>
      </c>
      <c r="C19746" t="s">
        <v>2520</v>
      </c>
      <c r="D19746" s="21" t="s">
        <v>34</v>
      </c>
      <c r="E19746" s="21" t="s">
        <v>71</v>
      </c>
      <c r="F19746">
        <v>7620048</v>
      </c>
      <c r="G19746" t="s">
        <v>7467</v>
      </c>
      <c r="H19746" s="21">
        <v>749.17</v>
      </c>
    </row>
    <row r="19747" spans="1:8" customFormat="1" x14ac:dyDescent="0.25">
      <c r="A19747" t="str">
        <f>"251051"</f>
        <v>251051</v>
      </c>
      <c r="B19747" t="s">
        <v>15902</v>
      </c>
      <c r="C19747" t="s">
        <v>510</v>
      </c>
      <c r="D19747" s="21" t="s">
        <v>34</v>
      </c>
      <c r="E19747" s="21" t="s">
        <v>254</v>
      </c>
      <c r="F19747">
        <v>2250059</v>
      </c>
      <c r="G19747" t="s">
        <v>10904</v>
      </c>
      <c r="H19747" s="21">
        <v>749.17</v>
      </c>
    </row>
    <row r="19748" spans="1:8" customFormat="1" x14ac:dyDescent="0.25">
      <c r="A19748" t="str">
        <f>"5012919"</f>
        <v>5012919</v>
      </c>
      <c r="B19748" t="s">
        <v>16090</v>
      </c>
      <c r="C19748" t="s">
        <v>269</v>
      </c>
      <c r="D19748" s="21" t="s">
        <v>34</v>
      </c>
      <c r="E19748" s="21" t="s">
        <v>35</v>
      </c>
      <c r="F19748">
        <v>9500087</v>
      </c>
      <c r="G19748" t="s">
        <v>12569</v>
      </c>
      <c r="H19748" s="21">
        <v>749.17</v>
      </c>
    </row>
    <row r="19749" spans="1:8" customFormat="1" x14ac:dyDescent="0.25">
      <c r="A19749" t="str">
        <f>"637295"</f>
        <v>637295</v>
      </c>
      <c r="B19749" t="s">
        <v>16347</v>
      </c>
      <c r="C19749" t="s">
        <v>3784</v>
      </c>
      <c r="D19749" s="21" t="s">
        <v>34</v>
      </c>
      <c r="E19749" s="21" t="s">
        <v>254</v>
      </c>
      <c r="F19749">
        <v>1630329</v>
      </c>
      <c r="G19749" t="s">
        <v>13763</v>
      </c>
      <c r="H19749" s="21">
        <v>749.17</v>
      </c>
    </row>
    <row r="19750" spans="1:8" customFormat="1" x14ac:dyDescent="0.25">
      <c r="A19750" t="str">
        <f>"7630496"</f>
        <v>7630496</v>
      </c>
      <c r="B19750" t="s">
        <v>15115</v>
      </c>
      <c r="C19750" t="s">
        <v>169</v>
      </c>
      <c r="D19750" s="21" t="s">
        <v>34</v>
      </c>
      <c r="E19750" s="21" t="s">
        <v>254</v>
      </c>
      <c r="F19750">
        <v>9760270</v>
      </c>
      <c r="G19750" t="s">
        <v>4167</v>
      </c>
      <c r="H19750" s="21">
        <v>749.17</v>
      </c>
    </row>
    <row r="19751" spans="1:8" customFormat="1" x14ac:dyDescent="0.25">
      <c r="A19751" t="str">
        <f>"1710645"</f>
        <v>1710645</v>
      </c>
      <c r="B19751" t="s">
        <v>4128</v>
      </c>
      <c r="C19751" t="s">
        <v>171</v>
      </c>
      <c r="D19751" s="21" t="s">
        <v>34</v>
      </c>
      <c r="E19751" s="21" t="s">
        <v>35</v>
      </c>
      <c r="F19751">
        <v>10170046</v>
      </c>
      <c r="G19751" t="s">
        <v>7370</v>
      </c>
      <c r="H19751" s="21">
        <v>749</v>
      </c>
    </row>
    <row r="19752" spans="1:8" customFormat="1" x14ac:dyDescent="0.25">
      <c r="A19752" t="str">
        <f>"9437476"</f>
        <v>9437476</v>
      </c>
      <c r="B19752" t="s">
        <v>16763</v>
      </c>
      <c r="C19752" t="s">
        <v>169</v>
      </c>
      <c r="D19752" s="21" t="s">
        <v>34</v>
      </c>
      <c r="E19752" s="21" t="s">
        <v>71</v>
      </c>
      <c r="F19752">
        <v>8940655</v>
      </c>
      <c r="G19752" t="s">
        <v>10168</v>
      </c>
      <c r="H19752" s="21">
        <v>748.92</v>
      </c>
    </row>
    <row r="19753" spans="1:8" customFormat="1" x14ac:dyDescent="0.25">
      <c r="A19753" t="str">
        <f>"7852209"</f>
        <v>7852209</v>
      </c>
      <c r="B19753" t="s">
        <v>4728</v>
      </c>
      <c r="C19753" t="s">
        <v>269</v>
      </c>
      <c r="D19753" s="21" t="s">
        <v>34</v>
      </c>
      <c r="E19753" s="21" t="s">
        <v>71</v>
      </c>
      <c r="F19753">
        <v>8780890</v>
      </c>
      <c r="G19753" t="s">
        <v>6456</v>
      </c>
      <c r="H19753" s="21">
        <v>748.92</v>
      </c>
    </row>
    <row r="19754" spans="1:8" customFormat="1" x14ac:dyDescent="0.25">
      <c r="A19754" t="str">
        <f>"215236"</f>
        <v>215236</v>
      </c>
      <c r="B19754" t="s">
        <v>15962</v>
      </c>
      <c r="C19754" t="s">
        <v>55</v>
      </c>
      <c r="D19754" s="21" t="s">
        <v>34</v>
      </c>
      <c r="E19754" s="21" t="s">
        <v>71</v>
      </c>
      <c r="F19754">
        <v>2210126</v>
      </c>
      <c r="G19754" t="s">
        <v>10773</v>
      </c>
      <c r="H19754" s="21">
        <v>748.92</v>
      </c>
    </row>
    <row r="19755" spans="1:8" customFormat="1" x14ac:dyDescent="0.25">
      <c r="A19755" t="str">
        <f>"9726542"</f>
        <v>9726542</v>
      </c>
      <c r="B19755" t="s">
        <v>15373</v>
      </c>
      <c r="C19755" t="s">
        <v>15374</v>
      </c>
      <c r="D19755" s="21" t="s">
        <v>34</v>
      </c>
      <c r="E19755" s="21" t="s">
        <v>254</v>
      </c>
      <c r="F19755" t="s">
        <v>8815</v>
      </c>
      <c r="G19755" t="s">
        <v>8816</v>
      </c>
      <c r="H19755" s="21">
        <v>748.92</v>
      </c>
    </row>
    <row r="19756" spans="1:8" customFormat="1" x14ac:dyDescent="0.25">
      <c r="A19756" t="str">
        <f>"367424"</f>
        <v>367424</v>
      </c>
      <c r="B19756" t="s">
        <v>7041</v>
      </c>
      <c r="C19756" t="s">
        <v>3843</v>
      </c>
      <c r="D19756" s="21" t="s">
        <v>34</v>
      </c>
      <c r="E19756" s="21" t="s">
        <v>71</v>
      </c>
      <c r="F19756">
        <v>4360454</v>
      </c>
      <c r="G19756" t="s">
        <v>637</v>
      </c>
      <c r="H19756" s="21">
        <v>748.92</v>
      </c>
    </row>
    <row r="19757" spans="1:8" customFormat="1" x14ac:dyDescent="0.25">
      <c r="A19757" t="str">
        <f>"809889"</f>
        <v>809889</v>
      </c>
      <c r="B19757" t="s">
        <v>3555</v>
      </c>
      <c r="C19757" t="s">
        <v>415</v>
      </c>
      <c r="D19757" s="21" t="s">
        <v>34</v>
      </c>
      <c r="E19757" s="21" t="s">
        <v>254</v>
      </c>
      <c r="F19757">
        <v>7800064</v>
      </c>
      <c r="G19757" t="s">
        <v>4496</v>
      </c>
      <c r="H19757" s="21">
        <v>748.67</v>
      </c>
    </row>
    <row r="19758" spans="1:8" customFormat="1" x14ac:dyDescent="0.25">
      <c r="A19758" t="str">
        <f>"3518571"</f>
        <v>3518571</v>
      </c>
      <c r="B19758" t="s">
        <v>16353</v>
      </c>
      <c r="C19758" t="s">
        <v>1199</v>
      </c>
      <c r="D19758" s="21" t="s">
        <v>34</v>
      </c>
      <c r="E19758" s="21" t="s">
        <v>254</v>
      </c>
      <c r="F19758">
        <v>3350136</v>
      </c>
      <c r="G19758" t="s">
        <v>2773</v>
      </c>
      <c r="H19758" s="21">
        <v>748.67</v>
      </c>
    </row>
    <row r="19759" spans="1:8" customFormat="1" x14ac:dyDescent="0.25">
      <c r="A19759" t="str">
        <f>"7518010"</f>
        <v>7518010</v>
      </c>
      <c r="B19759" t="s">
        <v>15603</v>
      </c>
      <c r="C19759" t="s">
        <v>15604</v>
      </c>
      <c r="D19759" s="21" t="s">
        <v>34</v>
      </c>
      <c r="E19759" s="21" t="s">
        <v>71</v>
      </c>
      <c r="F19759">
        <v>8751423</v>
      </c>
      <c r="G19759" t="s">
        <v>4556</v>
      </c>
      <c r="H19759" s="21">
        <v>748.67</v>
      </c>
    </row>
    <row r="19760" spans="1:8" customFormat="1" x14ac:dyDescent="0.25">
      <c r="A19760" t="str">
        <f>"162109"</f>
        <v>162109</v>
      </c>
      <c r="B19760" t="s">
        <v>6312</v>
      </c>
      <c r="C19760" t="s">
        <v>87</v>
      </c>
      <c r="D19760" s="21" t="s">
        <v>34</v>
      </c>
      <c r="E19760" s="21" t="s">
        <v>71</v>
      </c>
      <c r="F19760">
        <v>10160030</v>
      </c>
      <c r="G19760" t="s">
        <v>13173</v>
      </c>
      <c r="H19760" s="21">
        <v>748.67</v>
      </c>
    </row>
    <row r="19761" spans="1:8" customFormat="1" x14ac:dyDescent="0.25">
      <c r="A19761" t="str">
        <f>"80511"</f>
        <v>80511</v>
      </c>
      <c r="B19761" t="s">
        <v>15568</v>
      </c>
      <c r="C19761" t="s">
        <v>528</v>
      </c>
      <c r="D19761" s="21" t="s">
        <v>34</v>
      </c>
      <c r="E19761" s="21" t="s">
        <v>254</v>
      </c>
      <c r="F19761">
        <v>7800011</v>
      </c>
      <c r="G19761" t="s">
        <v>2253</v>
      </c>
      <c r="H19761" s="21">
        <v>748.67</v>
      </c>
    </row>
    <row r="19762" spans="1:8" customFormat="1" x14ac:dyDescent="0.25">
      <c r="A19762" t="str">
        <f>"259994"</f>
        <v>259994</v>
      </c>
      <c r="B19762" t="s">
        <v>11281</v>
      </c>
      <c r="C19762" t="s">
        <v>484</v>
      </c>
      <c r="D19762" s="21" t="s">
        <v>34</v>
      </c>
      <c r="E19762" s="21" t="s">
        <v>35</v>
      </c>
      <c r="F19762">
        <v>2250186</v>
      </c>
      <c r="G19762" t="s">
        <v>7290</v>
      </c>
      <c r="H19762" s="21">
        <v>748.67</v>
      </c>
    </row>
    <row r="19763" spans="1:8" customFormat="1" x14ac:dyDescent="0.25">
      <c r="A19763" t="str">
        <f>"449684"</f>
        <v>449684</v>
      </c>
      <c r="B19763" t="s">
        <v>15309</v>
      </c>
      <c r="C19763" t="s">
        <v>750</v>
      </c>
      <c r="D19763" s="21" t="s">
        <v>34</v>
      </c>
      <c r="E19763" s="21" t="s">
        <v>71</v>
      </c>
      <c r="F19763">
        <v>12440113</v>
      </c>
      <c r="G19763" t="s">
        <v>15310</v>
      </c>
      <c r="H19763" s="21">
        <v>748.67</v>
      </c>
    </row>
    <row r="19764" spans="1:8" customFormat="1" x14ac:dyDescent="0.25">
      <c r="A19764" t="str">
        <f>"5322270"</f>
        <v>5322270</v>
      </c>
      <c r="B19764" t="s">
        <v>16168</v>
      </c>
      <c r="C19764" t="s">
        <v>62</v>
      </c>
      <c r="D19764" s="21" t="s">
        <v>34</v>
      </c>
      <c r="E19764" s="21" t="s">
        <v>35</v>
      </c>
      <c r="F19764">
        <v>12538909</v>
      </c>
      <c r="G19764" t="s">
        <v>13536</v>
      </c>
      <c r="H19764" s="21">
        <v>748.67</v>
      </c>
    </row>
    <row r="19765" spans="1:8" customFormat="1" x14ac:dyDescent="0.25">
      <c r="A19765" t="str">
        <f>"6110800"</f>
        <v>6110800</v>
      </c>
      <c r="B19765" t="s">
        <v>10303</v>
      </c>
      <c r="C19765" t="s">
        <v>119</v>
      </c>
      <c r="D19765" s="21" t="s">
        <v>34</v>
      </c>
      <c r="E19765" s="21" t="s">
        <v>35</v>
      </c>
      <c r="F19765">
        <v>9610035</v>
      </c>
      <c r="G19765" t="s">
        <v>7061</v>
      </c>
      <c r="H19765" s="21">
        <v>748.67</v>
      </c>
    </row>
    <row r="19766" spans="1:8" customFormat="1" x14ac:dyDescent="0.25">
      <c r="A19766" t="str">
        <f>"067042"</f>
        <v>067042</v>
      </c>
      <c r="B19766" t="s">
        <v>15625</v>
      </c>
      <c r="C19766" t="s">
        <v>119</v>
      </c>
      <c r="D19766" s="21" t="s">
        <v>34</v>
      </c>
      <c r="E19766" s="21" t="s">
        <v>71</v>
      </c>
      <c r="F19766">
        <v>13060066</v>
      </c>
      <c r="G19766" t="s">
        <v>2556</v>
      </c>
      <c r="H19766" s="21">
        <v>748.67</v>
      </c>
    </row>
    <row r="19767" spans="1:8" customFormat="1" x14ac:dyDescent="0.25">
      <c r="A19767" t="str">
        <f>"271813"</f>
        <v>271813</v>
      </c>
      <c r="B19767" t="s">
        <v>8817</v>
      </c>
      <c r="C19767" t="s">
        <v>263</v>
      </c>
      <c r="D19767" s="21" t="s">
        <v>34</v>
      </c>
      <c r="E19767" s="21" t="s">
        <v>254</v>
      </c>
      <c r="F19767">
        <v>9270060</v>
      </c>
      <c r="G19767" t="s">
        <v>1982</v>
      </c>
      <c r="H19767" s="21">
        <v>748.67</v>
      </c>
    </row>
    <row r="19768" spans="1:8" customFormat="1" x14ac:dyDescent="0.25">
      <c r="A19768" t="str">
        <f>"7640732"</f>
        <v>7640732</v>
      </c>
      <c r="B19768" t="s">
        <v>18851</v>
      </c>
      <c r="C19768" t="s">
        <v>1025</v>
      </c>
      <c r="D19768" s="21" t="s">
        <v>34</v>
      </c>
      <c r="E19768" s="21" t="s">
        <v>35</v>
      </c>
      <c r="F19768">
        <v>9760414</v>
      </c>
      <c r="G19768" t="s">
        <v>142</v>
      </c>
      <c r="H19768" s="21">
        <v>748.67</v>
      </c>
    </row>
    <row r="19769" spans="1:8" customFormat="1" x14ac:dyDescent="0.25">
      <c r="A19769" t="str">
        <f>"2212307"</f>
        <v>2212307</v>
      </c>
      <c r="B19769" t="s">
        <v>146</v>
      </c>
      <c r="C19769" t="s">
        <v>598</v>
      </c>
      <c r="D19769" s="21" t="s">
        <v>34</v>
      </c>
      <c r="E19769" s="21" t="s">
        <v>1089</v>
      </c>
      <c r="F19769">
        <v>3220128</v>
      </c>
      <c r="G19769" t="s">
        <v>26938</v>
      </c>
      <c r="H19769" s="21">
        <v>748.67</v>
      </c>
    </row>
    <row r="19770" spans="1:8" customFormat="1" x14ac:dyDescent="0.25">
      <c r="A19770" t="str">
        <f>"5952425"</f>
        <v>5952425</v>
      </c>
      <c r="B19770" t="s">
        <v>15816</v>
      </c>
      <c r="C19770" t="s">
        <v>33</v>
      </c>
      <c r="D19770" s="21" t="s">
        <v>34</v>
      </c>
      <c r="E19770" s="21" t="s">
        <v>71</v>
      </c>
      <c r="F19770">
        <v>7590131</v>
      </c>
      <c r="G19770" t="s">
        <v>6300</v>
      </c>
      <c r="H19770" s="21">
        <v>748.67</v>
      </c>
    </row>
    <row r="19771" spans="1:8" customFormat="1" x14ac:dyDescent="0.25">
      <c r="A19771" t="str">
        <f>"9D1199"</f>
        <v>9D1199</v>
      </c>
      <c r="B19771" t="s">
        <v>14212</v>
      </c>
      <c r="C19771" t="s">
        <v>486</v>
      </c>
      <c r="D19771" s="21" t="s">
        <v>34</v>
      </c>
      <c r="E19771" s="21" t="s">
        <v>35</v>
      </c>
      <c r="F19771" t="s">
        <v>1477</v>
      </c>
      <c r="G19771" t="s">
        <v>1478</v>
      </c>
      <c r="H19771" s="21">
        <v>748.67</v>
      </c>
    </row>
    <row r="19772" spans="1:8" customFormat="1" x14ac:dyDescent="0.25">
      <c r="A19772" t="str">
        <f>"042724"</f>
        <v>042724</v>
      </c>
      <c r="B19772" t="s">
        <v>15295</v>
      </c>
      <c r="C19772" t="s">
        <v>198</v>
      </c>
      <c r="D19772" s="21" t="s">
        <v>34</v>
      </c>
      <c r="E19772" s="21" t="s">
        <v>71</v>
      </c>
      <c r="F19772">
        <v>13040015</v>
      </c>
      <c r="G19772" t="s">
        <v>7151</v>
      </c>
      <c r="H19772" s="21">
        <v>748.67</v>
      </c>
    </row>
    <row r="19773" spans="1:8" customFormat="1" x14ac:dyDescent="0.25">
      <c r="A19773" t="str">
        <f>"7623378"</f>
        <v>7623378</v>
      </c>
      <c r="B19773" t="s">
        <v>4888</v>
      </c>
      <c r="C19773" t="s">
        <v>598</v>
      </c>
      <c r="D19773" s="21" t="s">
        <v>34</v>
      </c>
      <c r="E19773" s="21" t="s">
        <v>254</v>
      </c>
      <c r="F19773">
        <v>9270095</v>
      </c>
      <c r="G19773" t="s">
        <v>1681</v>
      </c>
      <c r="H19773" s="21">
        <v>748.67</v>
      </c>
    </row>
    <row r="19774" spans="1:8" customFormat="1" x14ac:dyDescent="0.25">
      <c r="A19774" t="str">
        <f>"5617666"</f>
        <v>5617666</v>
      </c>
      <c r="B19774" t="s">
        <v>10186</v>
      </c>
      <c r="C19774" t="s">
        <v>109</v>
      </c>
      <c r="D19774" s="21" t="s">
        <v>34</v>
      </c>
      <c r="E19774" s="21" t="s">
        <v>71</v>
      </c>
      <c r="F19774">
        <v>3560094</v>
      </c>
      <c r="G19774" t="s">
        <v>10313</v>
      </c>
      <c r="H19774" s="21">
        <v>748.67</v>
      </c>
    </row>
    <row r="19775" spans="1:8" customFormat="1" x14ac:dyDescent="0.25">
      <c r="A19775" t="str">
        <f>"6212804"</f>
        <v>6212804</v>
      </c>
      <c r="B19775" t="s">
        <v>14809</v>
      </c>
      <c r="C19775" t="s">
        <v>2546</v>
      </c>
      <c r="D19775" s="21" t="s">
        <v>34</v>
      </c>
      <c r="E19775" s="21" t="s">
        <v>254</v>
      </c>
      <c r="F19775">
        <v>7620131</v>
      </c>
      <c r="G19775" t="s">
        <v>9562</v>
      </c>
      <c r="H19775" s="21">
        <v>748.67</v>
      </c>
    </row>
    <row r="19776" spans="1:8" customFormat="1" x14ac:dyDescent="0.25">
      <c r="A19776" t="str">
        <f>"594906"</f>
        <v>594906</v>
      </c>
      <c r="B19776" t="s">
        <v>17565</v>
      </c>
      <c r="C19776" t="s">
        <v>412</v>
      </c>
      <c r="D19776" s="21" t="s">
        <v>34</v>
      </c>
      <c r="E19776" s="21" t="s">
        <v>1089</v>
      </c>
      <c r="F19776">
        <v>7590231</v>
      </c>
      <c r="G19776" t="s">
        <v>207</v>
      </c>
      <c r="H19776" s="21">
        <v>748.67</v>
      </c>
    </row>
    <row r="19777" spans="1:8" customFormat="1" x14ac:dyDescent="0.25">
      <c r="A19777" t="str">
        <f>"9316556"</f>
        <v>9316556</v>
      </c>
      <c r="B19777" t="s">
        <v>18367</v>
      </c>
      <c r="C19777" t="s">
        <v>98</v>
      </c>
      <c r="D19777" s="21" t="s">
        <v>34</v>
      </c>
      <c r="E19777" s="21" t="s">
        <v>35</v>
      </c>
      <c r="F19777">
        <v>8930430</v>
      </c>
      <c r="G19777" t="s">
        <v>995</v>
      </c>
      <c r="H19777" s="21">
        <v>748.54</v>
      </c>
    </row>
    <row r="19778" spans="1:8" customFormat="1" x14ac:dyDescent="0.25">
      <c r="A19778" t="str">
        <f>"6814455"</f>
        <v>6814455</v>
      </c>
      <c r="B19778" t="s">
        <v>19066</v>
      </c>
      <c r="C19778" t="s">
        <v>3073</v>
      </c>
      <c r="D19778" s="21" t="s">
        <v>34</v>
      </c>
      <c r="E19778" s="21" t="s">
        <v>1089</v>
      </c>
      <c r="F19778">
        <v>6680125</v>
      </c>
      <c r="G19778" t="s">
        <v>6543</v>
      </c>
      <c r="H19778" s="21">
        <v>748.42</v>
      </c>
    </row>
    <row r="19779" spans="1:8" customFormat="1" x14ac:dyDescent="0.25">
      <c r="A19779" t="str">
        <f>"3113718"</f>
        <v>3113718</v>
      </c>
      <c r="B19779" t="s">
        <v>15416</v>
      </c>
      <c r="C19779" t="s">
        <v>415</v>
      </c>
      <c r="D19779" s="21" t="s">
        <v>34</v>
      </c>
      <c r="E19779" s="21" t="s">
        <v>1089</v>
      </c>
      <c r="F19779">
        <v>11310075</v>
      </c>
      <c r="G19779" t="s">
        <v>2531</v>
      </c>
      <c r="H19779" s="21">
        <v>748.42</v>
      </c>
    </row>
    <row r="19780" spans="1:8" customFormat="1" x14ac:dyDescent="0.25">
      <c r="A19780" t="str">
        <f>"7642076"</f>
        <v>7642076</v>
      </c>
      <c r="B19780" t="s">
        <v>15287</v>
      </c>
      <c r="C19780" t="s">
        <v>2276</v>
      </c>
      <c r="D19780" s="21" t="s">
        <v>34</v>
      </c>
      <c r="E19780" s="21" t="s">
        <v>71</v>
      </c>
      <c r="F19780">
        <v>9760351</v>
      </c>
      <c r="G19780" t="s">
        <v>5898</v>
      </c>
      <c r="H19780" s="21">
        <v>748.42</v>
      </c>
    </row>
    <row r="19781" spans="1:8" customFormat="1" x14ac:dyDescent="0.25">
      <c r="A19781" t="str">
        <f>"9121848"</f>
        <v>9121848</v>
      </c>
      <c r="B19781" t="s">
        <v>13983</v>
      </c>
      <c r="C19781" t="s">
        <v>3098</v>
      </c>
      <c r="D19781" s="21" t="s">
        <v>34</v>
      </c>
      <c r="E19781" s="21" t="s">
        <v>254</v>
      </c>
      <c r="F19781">
        <v>8911430</v>
      </c>
      <c r="G19781" t="s">
        <v>3523</v>
      </c>
      <c r="H19781" s="21">
        <v>748.17</v>
      </c>
    </row>
    <row r="19782" spans="1:8" customFormat="1" x14ac:dyDescent="0.25">
      <c r="A19782" t="str">
        <f>"4925892"</f>
        <v>4925892</v>
      </c>
      <c r="B19782" t="s">
        <v>3197</v>
      </c>
      <c r="C19782" t="s">
        <v>198</v>
      </c>
      <c r="D19782" s="21" t="s">
        <v>34</v>
      </c>
      <c r="E19782" s="21" t="s">
        <v>71</v>
      </c>
      <c r="F19782">
        <v>12490052</v>
      </c>
      <c r="G19782" t="s">
        <v>2732</v>
      </c>
      <c r="H19782" s="21">
        <v>748.17</v>
      </c>
    </row>
    <row r="19783" spans="1:8" customFormat="1" x14ac:dyDescent="0.25">
      <c r="A19783" t="str">
        <f>"318214"</f>
        <v>318214</v>
      </c>
      <c r="B19783" t="s">
        <v>16153</v>
      </c>
      <c r="C19783" t="s">
        <v>14635</v>
      </c>
      <c r="D19783" s="21" t="s">
        <v>34</v>
      </c>
      <c r="E19783" s="21" t="s">
        <v>35</v>
      </c>
      <c r="F19783">
        <v>11310070</v>
      </c>
      <c r="G19783" t="s">
        <v>11563</v>
      </c>
      <c r="H19783" s="21">
        <v>748.17</v>
      </c>
    </row>
    <row r="19784" spans="1:8" customFormat="1" x14ac:dyDescent="0.25">
      <c r="A19784" t="str">
        <f>"2511671"</f>
        <v>2511671</v>
      </c>
      <c r="B19784" t="s">
        <v>8027</v>
      </c>
      <c r="C19784" t="s">
        <v>124</v>
      </c>
      <c r="D19784" s="21" t="s">
        <v>34</v>
      </c>
      <c r="E19784" s="21" t="s">
        <v>71</v>
      </c>
      <c r="F19784">
        <v>2250151</v>
      </c>
      <c r="G19784" t="s">
        <v>7964</v>
      </c>
      <c r="H19784" s="21">
        <v>748.17</v>
      </c>
    </row>
    <row r="19785" spans="1:8" customFormat="1" x14ac:dyDescent="0.25">
      <c r="A19785" t="str">
        <f>"8015686"</f>
        <v>8015686</v>
      </c>
      <c r="B19785" t="s">
        <v>16446</v>
      </c>
      <c r="C19785" t="s">
        <v>2479</v>
      </c>
      <c r="D19785" s="21" t="s">
        <v>34</v>
      </c>
      <c r="E19785" s="21" t="s">
        <v>254</v>
      </c>
      <c r="F19785">
        <v>7800153</v>
      </c>
      <c r="G19785" t="s">
        <v>13728</v>
      </c>
      <c r="H19785" s="21">
        <v>748.17</v>
      </c>
    </row>
    <row r="19786" spans="1:8" customFormat="1" x14ac:dyDescent="0.25">
      <c r="A19786" t="str">
        <f>"812670"</f>
        <v>812670</v>
      </c>
      <c r="B19786" t="s">
        <v>15640</v>
      </c>
      <c r="C19786" t="s">
        <v>598</v>
      </c>
      <c r="D19786" s="21" t="s">
        <v>34</v>
      </c>
      <c r="E19786" s="21" t="s">
        <v>254</v>
      </c>
      <c r="F19786">
        <v>11810015</v>
      </c>
      <c r="G19786" t="s">
        <v>9678</v>
      </c>
      <c r="H19786" s="21">
        <v>748.17</v>
      </c>
    </row>
    <row r="19787" spans="1:8" customFormat="1" x14ac:dyDescent="0.25">
      <c r="A19787" t="str">
        <f>"7410190"</f>
        <v>7410190</v>
      </c>
      <c r="B19787" t="s">
        <v>17526</v>
      </c>
      <c r="C19787" t="s">
        <v>33</v>
      </c>
      <c r="D19787" s="21" t="s">
        <v>34</v>
      </c>
      <c r="E19787" s="21" t="s">
        <v>35</v>
      </c>
      <c r="F19787">
        <v>1740090</v>
      </c>
      <c r="G19787" t="s">
        <v>1369</v>
      </c>
      <c r="H19787" s="21">
        <v>748.17</v>
      </c>
    </row>
    <row r="19788" spans="1:8" customFormat="1" x14ac:dyDescent="0.25">
      <c r="A19788" t="str">
        <f>"8512654"</f>
        <v>8512654</v>
      </c>
      <c r="B19788" t="s">
        <v>15354</v>
      </c>
      <c r="C19788" t="s">
        <v>598</v>
      </c>
      <c r="D19788" s="21" t="s">
        <v>34</v>
      </c>
      <c r="E19788" s="21" t="s">
        <v>254</v>
      </c>
      <c r="F19788">
        <v>12850126</v>
      </c>
      <c r="G19788" t="s">
        <v>15355</v>
      </c>
      <c r="H19788" s="21">
        <v>748.17</v>
      </c>
    </row>
    <row r="19789" spans="1:8" customFormat="1" x14ac:dyDescent="0.25">
      <c r="A19789" t="str">
        <f>"9444926"</f>
        <v>9444926</v>
      </c>
      <c r="B19789" t="s">
        <v>4027</v>
      </c>
      <c r="C19789" t="s">
        <v>5979</v>
      </c>
      <c r="D19789" s="21" t="s">
        <v>34</v>
      </c>
      <c r="E19789" s="21" t="s">
        <v>35</v>
      </c>
      <c r="F19789">
        <v>8940976</v>
      </c>
      <c r="G19789" t="s">
        <v>615</v>
      </c>
      <c r="H19789" s="21">
        <v>748.17</v>
      </c>
    </row>
    <row r="19790" spans="1:8" customFormat="1" x14ac:dyDescent="0.25">
      <c r="A19790" t="str">
        <f>"686433"</f>
        <v>686433</v>
      </c>
      <c r="B19790" t="s">
        <v>16478</v>
      </c>
      <c r="C19790" t="s">
        <v>8442</v>
      </c>
      <c r="D19790" s="21" t="s">
        <v>34</v>
      </c>
      <c r="E19790" s="21" t="s">
        <v>35</v>
      </c>
      <c r="F19790">
        <v>6680138</v>
      </c>
      <c r="G19790" t="s">
        <v>10497</v>
      </c>
      <c r="H19790" s="21">
        <v>748.17</v>
      </c>
    </row>
    <row r="19791" spans="1:8" customFormat="1" x14ac:dyDescent="0.25">
      <c r="A19791" t="str">
        <f>"5324707"</f>
        <v>5324707</v>
      </c>
      <c r="B19791" t="s">
        <v>16745</v>
      </c>
      <c r="C19791" t="s">
        <v>275</v>
      </c>
      <c r="D19791" s="21" t="s">
        <v>34</v>
      </c>
      <c r="E19791" s="21" t="s">
        <v>35</v>
      </c>
      <c r="F19791">
        <v>12530058</v>
      </c>
      <c r="G19791" t="s">
        <v>3128</v>
      </c>
      <c r="H19791" s="21">
        <v>748.17</v>
      </c>
    </row>
    <row r="19792" spans="1:8" customFormat="1" x14ac:dyDescent="0.25">
      <c r="A19792" t="str">
        <f>"3512626"</f>
        <v>3512626</v>
      </c>
      <c r="B19792" t="s">
        <v>17070</v>
      </c>
      <c r="C19792" t="s">
        <v>130</v>
      </c>
      <c r="D19792" s="21" t="s">
        <v>34</v>
      </c>
      <c r="E19792" s="21" t="s">
        <v>71</v>
      </c>
      <c r="F19792">
        <v>3350074</v>
      </c>
      <c r="G19792" t="s">
        <v>5432</v>
      </c>
      <c r="H19792" s="21">
        <v>748.17</v>
      </c>
    </row>
    <row r="19793" spans="1:8" customFormat="1" x14ac:dyDescent="0.25">
      <c r="A19793" t="str">
        <f>"5720629"</f>
        <v>5720629</v>
      </c>
      <c r="B19793" t="s">
        <v>17377</v>
      </c>
      <c r="C19793" t="s">
        <v>33</v>
      </c>
      <c r="D19793" s="21" t="s">
        <v>34</v>
      </c>
      <c r="E19793" s="21" t="s">
        <v>71</v>
      </c>
      <c r="F19793">
        <v>6570070</v>
      </c>
      <c r="G19793" t="s">
        <v>1765</v>
      </c>
      <c r="H19793" s="21">
        <v>748.17</v>
      </c>
    </row>
    <row r="19794" spans="1:8" customFormat="1" x14ac:dyDescent="0.25">
      <c r="A19794" t="str">
        <f>"641577"</f>
        <v>641577</v>
      </c>
      <c r="B19794" t="s">
        <v>15471</v>
      </c>
      <c r="C19794" t="s">
        <v>1665</v>
      </c>
      <c r="D19794" s="21" t="s">
        <v>34</v>
      </c>
      <c r="E19794" s="21" t="s">
        <v>254</v>
      </c>
      <c r="F19794">
        <v>10640006</v>
      </c>
      <c r="G19794" t="s">
        <v>3872</v>
      </c>
      <c r="H19794" s="21">
        <v>748.17</v>
      </c>
    </row>
    <row r="19795" spans="1:8" customFormat="1" x14ac:dyDescent="0.25">
      <c r="A19795" t="str">
        <f>"882872"</f>
        <v>882872</v>
      </c>
      <c r="B19795" t="s">
        <v>15430</v>
      </c>
      <c r="C19795" t="s">
        <v>33</v>
      </c>
      <c r="D19795" s="21" t="s">
        <v>34</v>
      </c>
      <c r="E19795" s="21" t="s">
        <v>35</v>
      </c>
      <c r="F19795">
        <v>6880140</v>
      </c>
      <c r="G19795" t="s">
        <v>4827</v>
      </c>
      <c r="H19795" s="21">
        <v>748.17</v>
      </c>
    </row>
    <row r="19796" spans="1:8" customFormat="1" x14ac:dyDescent="0.25">
      <c r="A19796" t="str">
        <f>"2514076"</f>
        <v>2514076</v>
      </c>
      <c r="B19796" t="s">
        <v>1094</v>
      </c>
      <c r="C19796" t="s">
        <v>87</v>
      </c>
      <c r="D19796" s="21" t="s">
        <v>34</v>
      </c>
      <c r="E19796" s="21" t="s">
        <v>71</v>
      </c>
      <c r="F19796">
        <v>2250181</v>
      </c>
      <c r="G19796" t="s">
        <v>494</v>
      </c>
      <c r="H19796" s="21">
        <v>748.17</v>
      </c>
    </row>
    <row r="19797" spans="1:8" customFormat="1" x14ac:dyDescent="0.25">
      <c r="A19797" t="str">
        <f>"5016294"</f>
        <v>5016294</v>
      </c>
      <c r="B19797" t="s">
        <v>3848</v>
      </c>
      <c r="C19797" t="s">
        <v>130</v>
      </c>
      <c r="D19797" s="21" t="s">
        <v>34</v>
      </c>
      <c r="E19797" s="21" t="s">
        <v>35</v>
      </c>
      <c r="F19797">
        <v>9500132</v>
      </c>
      <c r="G19797" t="s">
        <v>11167</v>
      </c>
      <c r="H19797" s="21">
        <v>748.17</v>
      </c>
    </row>
    <row r="19798" spans="1:8" customFormat="1" x14ac:dyDescent="0.25">
      <c r="A19798" t="str">
        <f>"597169"</f>
        <v>597169</v>
      </c>
      <c r="B19798" t="s">
        <v>1696</v>
      </c>
      <c r="C19798" t="s">
        <v>233</v>
      </c>
      <c r="D19798" s="21" t="s">
        <v>34</v>
      </c>
      <c r="E19798" s="21" t="s">
        <v>71</v>
      </c>
      <c r="F19798">
        <v>7590006</v>
      </c>
      <c r="G19798" t="s">
        <v>4165</v>
      </c>
      <c r="H19798" s="21">
        <v>748.17</v>
      </c>
    </row>
    <row r="19799" spans="1:8" customFormat="1" x14ac:dyDescent="0.25">
      <c r="A19799" t="str">
        <f>"4444045"</f>
        <v>4444045</v>
      </c>
      <c r="B19799" t="s">
        <v>16554</v>
      </c>
      <c r="C19799" t="s">
        <v>33</v>
      </c>
      <c r="D19799" s="21" t="s">
        <v>34</v>
      </c>
      <c r="E19799" s="21" t="s">
        <v>71</v>
      </c>
      <c r="F19799">
        <v>12440021</v>
      </c>
      <c r="G19799" t="s">
        <v>429</v>
      </c>
      <c r="H19799" s="21">
        <v>747.92</v>
      </c>
    </row>
    <row r="19800" spans="1:8" customFormat="1" x14ac:dyDescent="0.25">
      <c r="A19800" t="str">
        <f>"4521661"</f>
        <v>4521661</v>
      </c>
      <c r="B19800" t="s">
        <v>15465</v>
      </c>
      <c r="C19800" t="s">
        <v>109</v>
      </c>
      <c r="D19800" s="21" t="s">
        <v>34</v>
      </c>
      <c r="E19800" s="21" t="s">
        <v>35</v>
      </c>
      <c r="F19800">
        <v>4450571</v>
      </c>
      <c r="G19800" t="s">
        <v>188</v>
      </c>
      <c r="H19800" s="21">
        <v>747.79</v>
      </c>
    </row>
    <row r="19801" spans="1:8" customFormat="1" x14ac:dyDescent="0.25">
      <c r="A19801" t="str">
        <f>"5315890"</f>
        <v>5315890</v>
      </c>
      <c r="B19801" t="s">
        <v>15797</v>
      </c>
      <c r="C19801" t="s">
        <v>98</v>
      </c>
      <c r="D19801" s="21" t="s">
        <v>34</v>
      </c>
      <c r="E19801" s="21" t="s">
        <v>71</v>
      </c>
      <c r="F19801">
        <v>12538899</v>
      </c>
      <c r="G19801" t="s">
        <v>10436</v>
      </c>
      <c r="H19801" s="21">
        <v>747.67</v>
      </c>
    </row>
    <row r="19802" spans="1:8" customFormat="1" x14ac:dyDescent="0.25">
      <c r="A19802" t="str">
        <f>"37542"</f>
        <v>37542</v>
      </c>
      <c r="B19802" t="s">
        <v>2189</v>
      </c>
      <c r="C19802" t="s">
        <v>2479</v>
      </c>
      <c r="D19802" s="21" t="s">
        <v>34</v>
      </c>
      <c r="E19802" s="21" t="s">
        <v>254</v>
      </c>
      <c r="F19802">
        <v>4370183</v>
      </c>
      <c r="G19802" t="s">
        <v>231</v>
      </c>
      <c r="H19802" s="21">
        <v>747.67</v>
      </c>
    </row>
    <row r="19803" spans="1:8" customFormat="1" x14ac:dyDescent="0.25">
      <c r="A19803" t="str">
        <f>"1421923"</f>
        <v>1421923</v>
      </c>
      <c r="B19803" t="s">
        <v>11200</v>
      </c>
      <c r="C19803" t="s">
        <v>926</v>
      </c>
      <c r="D19803" s="21" t="s">
        <v>34</v>
      </c>
      <c r="E19803" s="21" t="s">
        <v>35</v>
      </c>
      <c r="F19803">
        <v>9140071</v>
      </c>
      <c r="G19803" t="s">
        <v>1775</v>
      </c>
      <c r="H19803" s="21">
        <v>747.67</v>
      </c>
    </row>
    <row r="19804" spans="1:8" customFormat="1" x14ac:dyDescent="0.25">
      <c r="A19804" t="str">
        <f>"0211275"</f>
        <v>0211275</v>
      </c>
      <c r="B19804" t="s">
        <v>19245</v>
      </c>
      <c r="C19804" t="s">
        <v>486</v>
      </c>
      <c r="D19804" s="21" t="s">
        <v>34</v>
      </c>
      <c r="E19804" s="21" t="s">
        <v>35</v>
      </c>
      <c r="F19804">
        <v>7020024</v>
      </c>
      <c r="G19804" t="s">
        <v>4860</v>
      </c>
      <c r="H19804" s="21">
        <v>747.67</v>
      </c>
    </row>
    <row r="19805" spans="1:8" customFormat="1" x14ac:dyDescent="0.25">
      <c r="A19805" t="str">
        <f>"6918359"</f>
        <v>6918359</v>
      </c>
      <c r="B19805" t="s">
        <v>67</v>
      </c>
      <c r="C19805" t="s">
        <v>209</v>
      </c>
      <c r="D19805" s="21" t="s">
        <v>34</v>
      </c>
      <c r="E19805" s="21" t="s">
        <v>71</v>
      </c>
      <c r="F19805">
        <v>2250110</v>
      </c>
      <c r="G19805" t="s">
        <v>9363</v>
      </c>
      <c r="H19805" s="21">
        <v>747.67</v>
      </c>
    </row>
    <row r="19806" spans="1:8" customFormat="1" x14ac:dyDescent="0.25">
      <c r="A19806" t="str">
        <f>"4419423"</f>
        <v>4419423</v>
      </c>
      <c r="B19806" t="s">
        <v>3577</v>
      </c>
      <c r="C19806" t="s">
        <v>415</v>
      </c>
      <c r="D19806" s="21" t="s">
        <v>34</v>
      </c>
      <c r="E19806" s="21" t="s">
        <v>35</v>
      </c>
      <c r="F19806">
        <v>12440149</v>
      </c>
      <c r="G19806" t="s">
        <v>15804</v>
      </c>
      <c r="H19806" s="21">
        <v>747.67</v>
      </c>
    </row>
    <row r="19807" spans="1:8" customFormat="1" x14ac:dyDescent="0.25">
      <c r="A19807" t="str">
        <f>"374768"</f>
        <v>374768</v>
      </c>
      <c r="B19807" t="s">
        <v>8105</v>
      </c>
      <c r="C19807" t="s">
        <v>598</v>
      </c>
      <c r="D19807" s="21" t="s">
        <v>34</v>
      </c>
      <c r="E19807" s="21" t="s">
        <v>254</v>
      </c>
      <c r="F19807">
        <v>4370439</v>
      </c>
      <c r="G19807" t="s">
        <v>2956</v>
      </c>
      <c r="H19807" s="21">
        <v>747.67</v>
      </c>
    </row>
    <row r="19808" spans="1:8" customFormat="1" x14ac:dyDescent="0.25">
      <c r="A19808" t="str">
        <f>"278784"</f>
        <v>278784</v>
      </c>
      <c r="B19808" t="s">
        <v>15349</v>
      </c>
      <c r="C19808" t="s">
        <v>209</v>
      </c>
      <c r="D19808" s="21" t="s">
        <v>34</v>
      </c>
      <c r="E19808" s="21" t="s">
        <v>71</v>
      </c>
      <c r="F19808">
        <v>9270013</v>
      </c>
      <c r="G19808" t="s">
        <v>26924</v>
      </c>
      <c r="H19808" s="21">
        <v>747.67</v>
      </c>
    </row>
    <row r="19809" spans="1:8" customFormat="1" x14ac:dyDescent="0.25">
      <c r="A19809" t="str">
        <f>"85319"</f>
        <v>85319</v>
      </c>
      <c r="B19809" t="s">
        <v>4918</v>
      </c>
      <c r="C19809" t="s">
        <v>598</v>
      </c>
      <c r="D19809" s="21" t="s">
        <v>34</v>
      </c>
      <c r="E19809" s="21" t="s">
        <v>254</v>
      </c>
      <c r="F19809">
        <v>12440239</v>
      </c>
      <c r="G19809" t="s">
        <v>11158</v>
      </c>
      <c r="H19809" s="21">
        <v>747.67</v>
      </c>
    </row>
    <row r="19810" spans="1:8" customFormat="1" x14ac:dyDescent="0.25">
      <c r="A19810" t="str">
        <f>"735635"</f>
        <v>735635</v>
      </c>
      <c r="B19810" t="s">
        <v>8880</v>
      </c>
      <c r="C19810" t="s">
        <v>415</v>
      </c>
      <c r="D19810" s="21" t="s">
        <v>34</v>
      </c>
      <c r="E19810" s="21" t="s">
        <v>71</v>
      </c>
      <c r="F19810">
        <v>1730048</v>
      </c>
      <c r="G19810" t="s">
        <v>3173</v>
      </c>
      <c r="H19810" s="21">
        <v>747.67</v>
      </c>
    </row>
    <row r="19811" spans="1:8" customFormat="1" x14ac:dyDescent="0.25">
      <c r="A19811" t="str">
        <f>"4218159"</f>
        <v>4218159</v>
      </c>
      <c r="B19811" t="s">
        <v>18322</v>
      </c>
      <c r="C19811" t="s">
        <v>576</v>
      </c>
      <c r="D19811" s="21" t="s">
        <v>34</v>
      </c>
      <c r="E19811" s="21" t="s">
        <v>35</v>
      </c>
      <c r="F19811">
        <v>1420154</v>
      </c>
      <c r="G19811" t="s">
        <v>11034</v>
      </c>
      <c r="H19811" s="21">
        <v>747.67</v>
      </c>
    </row>
    <row r="19812" spans="1:8" customFormat="1" x14ac:dyDescent="0.25">
      <c r="A19812" t="str">
        <f>"5316738"</f>
        <v>5316738</v>
      </c>
      <c r="B19812" t="s">
        <v>3372</v>
      </c>
      <c r="C19812" t="s">
        <v>1665</v>
      </c>
      <c r="D19812" s="21" t="s">
        <v>34</v>
      </c>
      <c r="E19812" s="21" t="s">
        <v>71</v>
      </c>
      <c r="F19812">
        <v>12530087</v>
      </c>
      <c r="G19812" t="s">
        <v>3860</v>
      </c>
      <c r="H19812" s="21">
        <v>747.67</v>
      </c>
    </row>
    <row r="19813" spans="1:8" customFormat="1" x14ac:dyDescent="0.25">
      <c r="A19813" t="str">
        <f>"9129815"</f>
        <v>9129815</v>
      </c>
      <c r="B19813" t="s">
        <v>15526</v>
      </c>
      <c r="C19813" t="s">
        <v>498</v>
      </c>
      <c r="D19813" s="21" t="s">
        <v>34</v>
      </c>
      <c r="E19813" s="21" t="s">
        <v>35</v>
      </c>
      <c r="F19813">
        <v>8910366</v>
      </c>
      <c r="G19813" t="s">
        <v>14371</v>
      </c>
      <c r="H19813" s="21">
        <v>747.67</v>
      </c>
    </row>
    <row r="19814" spans="1:8" customFormat="1" x14ac:dyDescent="0.25">
      <c r="A19814" t="str">
        <f>"415401"</f>
        <v>415401</v>
      </c>
      <c r="B19814" t="s">
        <v>3505</v>
      </c>
      <c r="C19814" t="s">
        <v>2305</v>
      </c>
      <c r="D19814" s="21" t="s">
        <v>34</v>
      </c>
      <c r="E19814" s="21" t="s">
        <v>35</v>
      </c>
      <c r="F19814">
        <v>4410017</v>
      </c>
      <c r="G19814" t="s">
        <v>2363</v>
      </c>
      <c r="H19814" s="21">
        <v>747.67</v>
      </c>
    </row>
    <row r="19815" spans="1:8" customFormat="1" x14ac:dyDescent="0.25">
      <c r="A19815" t="str">
        <f>"571314"</f>
        <v>571314</v>
      </c>
      <c r="B19815" t="s">
        <v>3259</v>
      </c>
      <c r="C19815" t="s">
        <v>598</v>
      </c>
      <c r="D19815" s="21" t="s">
        <v>34</v>
      </c>
      <c r="E19815" s="21" t="s">
        <v>1089</v>
      </c>
      <c r="F19815">
        <v>6570190</v>
      </c>
      <c r="G19815" t="s">
        <v>622</v>
      </c>
      <c r="H19815" s="21">
        <v>747.67</v>
      </c>
    </row>
    <row r="19816" spans="1:8" customFormat="1" x14ac:dyDescent="0.25">
      <c r="A19816" t="str">
        <f>"7859046"</f>
        <v>7859046</v>
      </c>
      <c r="B19816" t="s">
        <v>16247</v>
      </c>
      <c r="C19816" t="s">
        <v>55</v>
      </c>
      <c r="D19816" s="21" t="s">
        <v>34</v>
      </c>
      <c r="E19816" s="21" t="s">
        <v>71</v>
      </c>
      <c r="F19816">
        <v>7600134</v>
      </c>
      <c r="G19816" t="s">
        <v>8819</v>
      </c>
      <c r="H19816" s="21">
        <v>747.67</v>
      </c>
    </row>
    <row r="19817" spans="1:8" customFormat="1" x14ac:dyDescent="0.25">
      <c r="A19817" t="str">
        <f>"582571"</f>
        <v>582571</v>
      </c>
      <c r="B19817" t="s">
        <v>9149</v>
      </c>
      <c r="C19817" t="s">
        <v>209</v>
      </c>
      <c r="D19817" s="21" t="s">
        <v>34</v>
      </c>
      <c r="E19817" s="21" t="s">
        <v>71</v>
      </c>
      <c r="F19817">
        <v>2580089</v>
      </c>
      <c r="G19817" t="s">
        <v>15805</v>
      </c>
      <c r="H19817" s="21">
        <v>747.67</v>
      </c>
    </row>
    <row r="19818" spans="1:8" customFormat="1" x14ac:dyDescent="0.25">
      <c r="A19818" t="str">
        <f>"086914"</f>
        <v>086914</v>
      </c>
      <c r="B19818" t="s">
        <v>15130</v>
      </c>
      <c r="C19818" t="s">
        <v>209</v>
      </c>
      <c r="D19818" s="21" t="s">
        <v>34</v>
      </c>
      <c r="E19818" s="21" t="s">
        <v>254</v>
      </c>
      <c r="F19818">
        <v>6080035</v>
      </c>
      <c r="G19818" t="s">
        <v>583</v>
      </c>
      <c r="H19818" s="21">
        <v>747.67</v>
      </c>
    </row>
    <row r="19819" spans="1:8" customFormat="1" x14ac:dyDescent="0.25">
      <c r="A19819" t="str">
        <f>"644164"</f>
        <v>644164</v>
      </c>
      <c r="B19819" t="s">
        <v>3664</v>
      </c>
      <c r="C19819" t="s">
        <v>130</v>
      </c>
      <c r="D19819" s="21" t="s">
        <v>34</v>
      </c>
      <c r="E19819" s="21" t="s">
        <v>71</v>
      </c>
      <c r="F19819">
        <v>10640023</v>
      </c>
      <c r="G19819" t="s">
        <v>8567</v>
      </c>
      <c r="H19819" s="21">
        <v>747.67</v>
      </c>
    </row>
    <row r="19820" spans="1:8" customFormat="1" x14ac:dyDescent="0.25">
      <c r="A19820" t="str">
        <f>"686108"</f>
        <v>686108</v>
      </c>
      <c r="B19820" t="s">
        <v>2766</v>
      </c>
      <c r="C19820" t="s">
        <v>288</v>
      </c>
      <c r="D19820" s="21" t="s">
        <v>34</v>
      </c>
      <c r="E19820" s="21" t="s">
        <v>71</v>
      </c>
      <c r="F19820">
        <v>6680080</v>
      </c>
      <c r="G19820" t="s">
        <v>7771</v>
      </c>
      <c r="H19820" s="21">
        <v>747.67</v>
      </c>
    </row>
    <row r="19821" spans="1:8" customFormat="1" x14ac:dyDescent="0.25">
      <c r="A19821" t="str">
        <f>"3520287"</f>
        <v>3520287</v>
      </c>
      <c r="B19821" t="s">
        <v>12552</v>
      </c>
      <c r="C19821" t="s">
        <v>269</v>
      </c>
      <c r="D19821" s="21" t="s">
        <v>34</v>
      </c>
      <c r="E19821" s="21" t="s">
        <v>71</v>
      </c>
      <c r="F19821">
        <v>3350029</v>
      </c>
      <c r="G19821" t="s">
        <v>16914</v>
      </c>
      <c r="H19821" s="21">
        <v>747.67</v>
      </c>
    </row>
    <row r="19822" spans="1:8" customFormat="1" x14ac:dyDescent="0.25">
      <c r="A19822" t="str">
        <f>"2511457"</f>
        <v>2511457</v>
      </c>
      <c r="B19822" t="s">
        <v>5707</v>
      </c>
      <c r="C19822" t="s">
        <v>65</v>
      </c>
      <c r="D19822" s="21" t="s">
        <v>34</v>
      </c>
      <c r="E19822" s="21" t="s">
        <v>35</v>
      </c>
      <c r="F19822">
        <v>2250197</v>
      </c>
      <c r="G19822" t="s">
        <v>12054</v>
      </c>
      <c r="H19822" s="21">
        <v>747.67</v>
      </c>
    </row>
    <row r="19823" spans="1:8" customFormat="1" x14ac:dyDescent="0.25">
      <c r="A19823" t="str">
        <f>"718391"</f>
        <v>718391</v>
      </c>
      <c r="B19823" t="s">
        <v>16663</v>
      </c>
      <c r="C19823" t="s">
        <v>87</v>
      </c>
      <c r="D19823" s="21" t="s">
        <v>34</v>
      </c>
      <c r="E19823" s="21" t="s">
        <v>71</v>
      </c>
      <c r="F19823">
        <v>2710067</v>
      </c>
      <c r="G19823" t="s">
        <v>284</v>
      </c>
      <c r="H19823" s="21">
        <v>747.67</v>
      </c>
    </row>
    <row r="19824" spans="1:8" customFormat="1" x14ac:dyDescent="0.25">
      <c r="A19824" t="str">
        <f>"083897"</f>
        <v>083897</v>
      </c>
      <c r="B19824" t="s">
        <v>1349</v>
      </c>
      <c r="C19824" t="s">
        <v>209</v>
      </c>
      <c r="D19824" s="21" t="s">
        <v>34</v>
      </c>
      <c r="E19824" s="21" t="s">
        <v>71</v>
      </c>
      <c r="F19824">
        <v>6080043</v>
      </c>
      <c r="G19824" t="s">
        <v>961</v>
      </c>
      <c r="H19824" s="21">
        <v>747.54</v>
      </c>
    </row>
    <row r="19825" spans="1:8" customFormat="1" x14ac:dyDescent="0.25">
      <c r="A19825" t="str">
        <f>"4213495"</f>
        <v>4213495</v>
      </c>
      <c r="B19825" t="s">
        <v>16715</v>
      </c>
      <c r="C19825" t="s">
        <v>2100</v>
      </c>
      <c r="D19825" s="21" t="s">
        <v>34</v>
      </c>
      <c r="E19825" s="21" t="s">
        <v>71</v>
      </c>
      <c r="F19825">
        <v>1420124</v>
      </c>
      <c r="G19825" t="s">
        <v>3195</v>
      </c>
      <c r="H19825" s="21">
        <v>747.54</v>
      </c>
    </row>
    <row r="19826" spans="1:8" customFormat="1" x14ac:dyDescent="0.25">
      <c r="A19826" t="str">
        <f>"5324324"</f>
        <v>5324324</v>
      </c>
      <c r="B19826" t="s">
        <v>7072</v>
      </c>
      <c r="C19826" t="s">
        <v>484</v>
      </c>
      <c r="D19826" s="21" t="s">
        <v>34</v>
      </c>
      <c r="E19826" s="21" t="s">
        <v>71</v>
      </c>
      <c r="F19826">
        <v>12530038</v>
      </c>
      <c r="G19826" t="s">
        <v>4955</v>
      </c>
      <c r="H19826" s="21">
        <v>747.42</v>
      </c>
    </row>
    <row r="19827" spans="1:8" customFormat="1" x14ac:dyDescent="0.25">
      <c r="A19827" t="str">
        <f>"428439"</f>
        <v>428439</v>
      </c>
      <c r="B19827" t="s">
        <v>17258</v>
      </c>
      <c r="C19827" t="s">
        <v>2520</v>
      </c>
      <c r="D19827" s="21" t="s">
        <v>34</v>
      </c>
      <c r="E19827" s="21" t="s">
        <v>71</v>
      </c>
      <c r="F19827">
        <v>1420117</v>
      </c>
      <c r="G19827" t="s">
        <v>2649</v>
      </c>
      <c r="H19827" s="21">
        <v>747.42</v>
      </c>
    </row>
    <row r="19828" spans="1:8" customFormat="1" x14ac:dyDescent="0.25">
      <c r="A19828" t="str">
        <f>"9145712"</f>
        <v>9145712</v>
      </c>
      <c r="B19828" t="s">
        <v>4458</v>
      </c>
      <c r="C19828" t="s">
        <v>169</v>
      </c>
      <c r="D19828" s="21" t="s">
        <v>34</v>
      </c>
      <c r="E19828" s="21" t="s">
        <v>35</v>
      </c>
      <c r="F19828">
        <v>8910165</v>
      </c>
      <c r="G19828" t="s">
        <v>3184</v>
      </c>
      <c r="H19828" s="21">
        <v>747.29</v>
      </c>
    </row>
    <row r="19829" spans="1:8" customFormat="1" x14ac:dyDescent="0.25">
      <c r="A19829" t="str">
        <f>"504924"</f>
        <v>504924</v>
      </c>
      <c r="B19829" t="s">
        <v>3424</v>
      </c>
      <c r="C19829" t="s">
        <v>598</v>
      </c>
      <c r="D19829" s="21" t="s">
        <v>34</v>
      </c>
      <c r="E19829" s="21" t="s">
        <v>1089</v>
      </c>
      <c r="F19829">
        <v>9500112</v>
      </c>
      <c r="G19829" t="s">
        <v>1668</v>
      </c>
      <c r="H19829" s="21">
        <v>747.17</v>
      </c>
    </row>
    <row r="19830" spans="1:8" customFormat="1" x14ac:dyDescent="0.25">
      <c r="A19830" t="str">
        <f>"687581"</f>
        <v>687581</v>
      </c>
      <c r="B19830" t="s">
        <v>18001</v>
      </c>
      <c r="C19830" t="s">
        <v>1665</v>
      </c>
      <c r="D19830" s="21" t="s">
        <v>34</v>
      </c>
      <c r="E19830" s="21" t="s">
        <v>254</v>
      </c>
      <c r="F19830">
        <v>6680071</v>
      </c>
      <c r="G19830" t="s">
        <v>2899</v>
      </c>
      <c r="H19830" s="21">
        <v>747.17</v>
      </c>
    </row>
    <row r="19831" spans="1:8" customFormat="1" x14ac:dyDescent="0.25">
      <c r="A19831" t="str">
        <f>"187529"</f>
        <v>187529</v>
      </c>
      <c r="B19831" t="s">
        <v>1349</v>
      </c>
      <c r="C19831" t="s">
        <v>239</v>
      </c>
      <c r="D19831" s="21" t="s">
        <v>34</v>
      </c>
      <c r="E19831" s="21" t="s">
        <v>254</v>
      </c>
      <c r="F19831">
        <v>4180716</v>
      </c>
      <c r="G19831" t="s">
        <v>7669</v>
      </c>
      <c r="H19831" s="21">
        <v>747.17</v>
      </c>
    </row>
    <row r="19832" spans="1:8" customFormat="1" x14ac:dyDescent="0.25">
      <c r="A19832" t="str">
        <f>"4412939"</f>
        <v>4412939</v>
      </c>
      <c r="B19832" t="s">
        <v>15859</v>
      </c>
      <c r="C19832" t="s">
        <v>60</v>
      </c>
      <c r="D19832" s="21" t="s">
        <v>34</v>
      </c>
      <c r="E19832" s="21" t="s">
        <v>35</v>
      </c>
      <c r="F19832">
        <v>12440038</v>
      </c>
      <c r="G19832" t="s">
        <v>2057</v>
      </c>
      <c r="H19832" s="21">
        <v>747.17</v>
      </c>
    </row>
    <row r="19833" spans="1:8" customFormat="1" x14ac:dyDescent="0.25">
      <c r="A19833" t="str">
        <f>"217796"</f>
        <v>217796</v>
      </c>
      <c r="B19833" t="s">
        <v>23160</v>
      </c>
      <c r="C19833" t="s">
        <v>1705</v>
      </c>
      <c r="D19833" s="21" t="s">
        <v>34</v>
      </c>
      <c r="E19833" s="21" t="s">
        <v>71</v>
      </c>
      <c r="F19833">
        <v>2210048</v>
      </c>
      <c r="G19833" t="s">
        <v>7499</v>
      </c>
      <c r="H19833" s="21">
        <v>747.17</v>
      </c>
    </row>
    <row r="19834" spans="1:8" customFormat="1" x14ac:dyDescent="0.25">
      <c r="A19834" t="str">
        <f>"4213483"</f>
        <v>4213483</v>
      </c>
      <c r="B19834" t="s">
        <v>2573</v>
      </c>
      <c r="C19834" t="s">
        <v>5861</v>
      </c>
      <c r="D19834" s="21" t="s">
        <v>34</v>
      </c>
      <c r="E19834" s="21" t="s">
        <v>254</v>
      </c>
      <c r="F19834">
        <v>1420055</v>
      </c>
      <c r="G19834" t="s">
        <v>5421</v>
      </c>
      <c r="H19834" s="21">
        <v>747.17</v>
      </c>
    </row>
    <row r="19835" spans="1:8" customFormat="1" x14ac:dyDescent="0.25">
      <c r="A19835" t="str">
        <f>"244845"</f>
        <v>244845</v>
      </c>
      <c r="B19835" t="s">
        <v>3000</v>
      </c>
      <c r="C19835" t="s">
        <v>528</v>
      </c>
      <c r="D19835" s="21" t="s">
        <v>34</v>
      </c>
      <c r="E19835" s="21" t="s">
        <v>35</v>
      </c>
      <c r="F19835">
        <v>10240002</v>
      </c>
      <c r="G19835" t="s">
        <v>2935</v>
      </c>
      <c r="H19835" s="21">
        <v>747.17</v>
      </c>
    </row>
    <row r="19836" spans="1:8" customFormat="1" x14ac:dyDescent="0.25">
      <c r="A19836" t="str">
        <f>"9228105"</f>
        <v>9228105</v>
      </c>
      <c r="B19836" t="s">
        <v>15100</v>
      </c>
      <c r="C19836" t="s">
        <v>43</v>
      </c>
      <c r="D19836" s="21" t="s">
        <v>34</v>
      </c>
      <c r="E19836" s="21" t="s">
        <v>35</v>
      </c>
      <c r="F19836">
        <v>4370637</v>
      </c>
      <c r="G19836" t="s">
        <v>3941</v>
      </c>
      <c r="H19836" s="21">
        <v>747.17</v>
      </c>
    </row>
    <row r="19837" spans="1:8" customFormat="1" x14ac:dyDescent="0.25">
      <c r="A19837" t="str">
        <f>"3528297"</f>
        <v>3528297</v>
      </c>
      <c r="B19837" t="s">
        <v>18999</v>
      </c>
      <c r="C19837" t="s">
        <v>1539</v>
      </c>
      <c r="D19837" s="21" t="s">
        <v>34</v>
      </c>
      <c r="E19837" s="21" t="s">
        <v>35</v>
      </c>
      <c r="F19837">
        <v>3350001</v>
      </c>
      <c r="G19837" t="s">
        <v>17502</v>
      </c>
      <c r="H19837" s="21">
        <v>747.17</v>
      </c>
    </row>
    <row r="19838" spans="1:8" customFormat="1" x14ac:dyDescent="0.25">
      <c r="A19838" t="str">
        <f>"5920617"</f>
        <v>5920617</v>
      </c>
      <c r="B19838" t="s">
        <v>2265</v>
      </c>
      <c r="C19838" t="s">
        <v>412</v>
      </c>
      <c r="D19838" s="21" t="s">
        <v>34</v>
      </c>
      <c r="E19838" s="21" t="s">
        <v>71</v>
      </c>
      <c r="F19838">
        <v>7590048</v>
      </c>
      <c r="G19838" t="s">
        <v>4608</v>
      </c>
      <c r="H19838" s="21">
        <v>747.17</v>
      </c>
    </row>
    <row r="19839" spans="1:8" customFormat="1" x14ac:dyDescent="0.25">
      <c r="A19839" t="str">
        <f>"951629"</f>
        <v>951629</v>
      </c>
      <c r="B19839" t="s">
        <v>12779</v>
      </c>
      <c r="C19839" t="s">
        <v>2529</v>
      </c>
      <c r="D19839" s="21" t="s">
        <v>34</v>
      </c>
      <c r="E19839" s="21" t="s">
        <v>254</v>
      </c>
      <c r="F19839">
        <v>8950978</v>
      </c>
      <c r="G19839" t="s">
        <v>1164</v>
      </c>
      <c r="H19839" s="21">
        <v>747.17</v>
      </c>
    </row>
    <row r="19840" spans="1:8" customFormat="1" x14ac:dyDescent="0.25">
      <c r="A19840" t="str">
        <f>"5616517"</f>
        <v>5616517</v>
      </c>
      <c r="B19840" t="s">
        <v>1349</v>
      </c>
      <c r="C19840" t="s">
        <v>2150</v>
      </c>
      <c r="D19840" s="21" t="s">
        <v>34</v>
      </c>
      <c r="E19840" s="21" t="s">
        <v>71</v>
      </c>
      <c r="F19840">
        <v>3560090</v>
      </c>
      <c r="G19840" t="s">
        <v>7777</v>
      </c>
      <c r="H19840" s="21">
        <v>747.17</v>
      </c>
    </row>
    <row r="19841" spans="1:8" customFormat="1" x14ac:dyDescent="0.25">
      <c r="A19841" t="str">
        <f>"3531201"</f>
        <v>3531201</v>
      </c>
      <c r="B19841" t="s">
        <v>4740</v>
      </c>
      <c r="C19841" t="s">
        <v>55</v>
      </c>
      <c r="D19841" s="21" t="s">
        <v>34</v>
      </c>
      <c r="E19841" s="21" t="s">
        <v>71</v>
      </c>
      <c r="F19841">
        <v>3350087</v>
      </c>
      <c r="G19841" t="s">
        <v>7430</v>
      </c>
      <c r="H19841" s="21">
        <v>747.17</v>
      </c>
    </row>
    <row r="19842" spans="1:8" customFormat="1" x14ac:dyDescent="0.25">
      <c r="A19842" t="str">
        <f>"60265"</f>
        <v>60265</v>
      </c>
      <c r="B19842" t="s">
        <v>15222</v>
      </c>
      <c r="C19842" t="s">
        <v>879</v>
      </c>
      <c r="D19842" s="21" t="s">
        <v>34</v>
      </c>
      <c r="E19842" s="21" t="s">
        <v>254</v>
      </c>
      <c r="F19842">
        <v>7600008</v>
      </c>
      <c r="G19842" t="s">
        <v>4646</v>
      </c>
      <c r="H19842" s="21">
        <v>747.17</v>
      </c>
    </row>
    <row r="19843" spans="1:8" customFormat="1" x14ac:dyDescent="0.25">
      <c r="A19843" t="str">
        <f>"4924040"</f>
        <v>4924040</v>
      </c>
      <c r="B19843" t="s">
        <v>16321</v>
      </c>
      <c r="C19843" t="s">
        <v>169</v>
      </c>
      <c r="D19843" s="21" t="s">
        <v>34</v>
      </c>
      <c r="E19843" s="21" t="s">
        <v>35</v>
      </c>
      <c r="F19843">
        <v>12490030</v>
      </c>
      <c r="G19843" t="s">
        <v>8366</v>
      </c>
      <c r="H19843" s="21">
        <v>747.17</v>
      </c>
    </row>
    <row r="19844" spans="1:8" customFormat="1" x14ac:dyDescent="0.25">
      <c r="A19844" t="str">
        <f>"6917815"</f>
        <v>6917815</v>
      </c>
      <c r="B19844" t="s">
        <v>7512</v>
      </c>
      <c r="C19844" t="s">
        <v>249</v>
      </c>
      <c r="D19844" s="21" t="s">
        <v>34</v>
      </c>
      <c r="E19844" s="21" t="s">
        <v>35</v>
      </c>
      <c r="F19844">
        <v>8911021</v>
      </c>
      <c r="G19844" t="s">
        <v>4198</v>
      </c>
      <c r="H19844" s="21">
        <v>747.04</v>
      </c>
    </row>
    <row r="19845" spans="1:8" customFormat="1" x14ac:dyDescent="0.25">
      <c r="A19845" t="str">
        <f>"5612451"</f>
        <v>5612451</v>
      </c>
      <c r="B19845" t="s">
        <v>5064</v>
      </c>
      <c r="C19845" t="s">
        <v>412</v>
      </c>
      <c r="D19845" s="21" t="s">
        <v>34</v>
      </c>
      <c r="E19845" s="21" t="s">
        <v>6185</v>
      </c>
      <c r="F19845">
        <v>3560005</v>
      </c>
      <c r="G19845" t="s">
        <v>2101</v>
      </c>
      <c r="H19845" s="21">
        <v>746.92</v>
      </c>
    </row>
    <row r="19846" spans="1:8" customFormat="1" x14ac:dyDescent="0.25">
      <c r="A19846" t="str">
        <f>"6015665"</f>
        <v>6015665</v>
      </c>
      <c r="B19846" t="s">
        <v>16033</v>
      </c>
      <c r="C19846" t="s">
        <v>209</v>
      </c>
      <c r="D19846" s="21" t="s">
        <v>34</v>
      </c>
      <c r="E19846" s="21" t="s">
        <v>254</v>
      </c>
      <c r="F19846">
        <v>10640015</v>
      </c>
      <c r="G19846" t="s">
        <v>10196</v>
      </c>
      <c r="H19846" s="21">
        <v>746.92</v>
      </c>
    </row>
    <row r="19847" spans="1:8" customFormat="1" x14ac:dyDescent="0.25">
      <c r="A19847" t="str">
        <f>"5318221"</f>
        <v>5318221</v>
      </c>
      <c r="B19847" t="s">
        <v>2851</v>
      </c>
      <c r="C19847" t="s">
        <v>209</v>
      </c>
      <c r="D19847" s="21" t="s">
        <v>34</v>
      </c>
      <c r="E19847" s="21" t="s">
        <v>71</v>
      </c>
      <c r="F19847">
        <v>12530010</v>
      </c>
      <c r="G19847" t="s">
        <v>7994</v>
      </c>
      <c r="H19847" s="21">
        <v>746.92</v>
      </c>
    </row>
    <row r="19848" spans="1:8" customFormat="1" x14ac:dyDescent="0.25">
      <c r="A19848" t="str">
        <f>"7728357"</f>
        <v>7728357</v>
      </c>
      <c r="B19848" t="s">
        <v>16167</v>
      </c>
      <c r="C19848" t="s">
        <v>40</v>
      </c>
      <c r="D19848" s="21" t="s">
        <v>34</v>
      </c>
      <c r="E19848" s="21" t="s">
        <v>35</v>
      </c>
      <c r="F19848">
        <v>8771025</v>
      </c>
      <c r="G19848" t="s">
        <v>5469</v>
      </c>
      <c r="H19848" s="21">
        <v>746.79</v>
      </c>
    </row>
    <row r="19849" spans="1:8" customFormat="1" x14ac:dyDescent="0.25">
      <c r="A19849" t="str">
        <f>"2513028"</f>
        <v>2513028</v>
      </c>
      <c r="B19849" t="s">
        <v>1833</v>
      </c>
      <c r="C19849" t="s">
        <v>288</v>
      </c>
      <c r="D19849" s="21" t="s">
        <v>34</v>
      </c>
      <c r="E19849" s="21" t="s">
        <v>71</v>
      </c>
      <c r="F19849">
        <v>2250033</v>
      </c>
      <c r="G19849" t="s">
        <v>4951</v>
      </c>
      <c r="H19849" s="21">
        <v>746.67</v>
      </c>
    </row>
    <row r="19850" spans="1:8" customFormat="1" x14ac:dyDescent="0.25">
      <c r="A19850" t="str">
        <f>"676604"</f>
        <v>676604</v>
      </c>
      <c r="B19850" t="s">
        <v>14598</v>
      </c>
      <c r="C19850" t="s">
        <v>2752</v>
      </c>
      <c r="D19850" s="21" t="s">
        <v>34</v>
      </c>
      <c r="E19850" s="21" t="s">
        <v>254</v>
      </c>
      <c r="F19850">
        <v>6670066</v>
      </c>
      <c r="G19850" t="s">
        <v>12245</v>
      </c>
      <c r="H19850" s="21">
        <v>746.67</v>
      </c>
    </row>
    <row r="19851" spans="1:8" customFormat="1" x14ac:dyDescent="0.25">
      <c r="A19851" t="str">
        <f>"599009"</f>
        <v>599009</v>
      </c>
      <c r="B19851" t="s">
        <v>1773</v>
      </c>
      <c r="C19851" t="s">
        <v>3905</v>
      </c>
      <c r="D19851" s="21" t="s">
        <v>34</v>
      </c>
      <c r="E19851" s="21" t="s">
        <v>254</v>
      </c>
      <c r="F19851">
        <v>7590005</v>
      </c>
      <c r="G19851" t="s">
        <v>540</v>
      </c>
      <c r="H19851" s="21">
        <v>746.67</v>
      </c>
    </row>
    <row r="19852" spans="1:8" customFormat="1" x14ac:dyDescent="0.25">
      <c r="A19852" t="str">
        <f>"309613"</f>
        <v>309613</v>
      </c>
      <c r="B19852" t="s">
        <v>1945</v>
      </c>
      <c r="C19852" t="s">
        <v>1231</v>
      </c>
      <c r="D19852" s="21" t="s">
        <v>34</v>
      </c>
      <c r="E19852" s="21" t="s">
        <v>71</v>
      </c>
      <c r="F19852">
        <v>11300007</v>
      </c>
      <c r="G19852" t="s">
        <v>361</v>
      </c>
      <c r="H19852" s="21">
        <v>746.67</v>
      </c>
    </row>
    <row r="19853" spans="1:8" customFormat="1" x14ac:dyDescent="0.25">
      <c r="A19853" t="str">
        <f>"5934081"</f>
        <v>5934081</v>
      </c>
      <c r="B19853" t="s">
        <v>17119</v>
      </c>
      <c r="C19853" t="s">
        <v>119</v>
      </c>
      <c r="D19853" s="21" t="s">
        <v>34</v>
      </c>
      <c r="E19853" s="21" t="s">
        <v>35</v>
      </c>
      <c r="F19853">
        <v>7590027</v>
      </c>
      <c r="G19853" t="s">
        <v>629</v>
      </c>
      <c r="H19853" s="21">
        <v>746.67</v>
      </c>
    </row>
    <row r="19854" spans="1:8" customFormat="1" x14ac:dyDescent="0.25">
      <c r="A19854" t="str">
        <f>"6219889"</f>
        <v>6219889</v>
      </c>
      <c r="B19854" t="s">
        <v>7396</v>
      </c>
      <c r="C19854" t="s">
        <v>415</v>
      </c>
      <c r="D19854" s="21" t="s">
        <v>34</v>
      </c>
      <c r="E19854" s="21" t="s">
        <v>254</v>
      </c>
      <c r="F19854">
        <v>7620080</v>
      </c>
      <c r="G19854" t="s">
        <v>6056</v>
      </c>
      <c r="H19854" s="21">
        <v>746.67</v>
      </c>
    </row>
    <row r="19855" spans="1:8" customFormat="1" x14ac:dyDescent="0.25">
      <c r="A19855" t="str">
        <f>"3816691"</f>
        <v>3816691</v>
      </c>
      <c r="B19855" t="s">
        <v>16193</v>
      </c>
      <c r="C19855" t="s">
        <v>109</v>
      </c>
      <c r="D19855" s="21" t="s">
        <v>34</v>
      </c>
      <c r="E19855" s="21" t="s">
        <v>71</v>
      </c>
      <c r="F19855">
        <v>1380241</v>
      </c>
      <c r="G19855" t="s">
        <v>2819</v>
      </c>
      <c r="H19855" s="21">
        <v>746.67</v>
      </c>
    </row>
    <row r="19856" spans="1:8" customFormat="1" x14ac:dyDescent="0.25">
      <c r="A19856" t="str">
        <f>"4925743"</f>
        <v>4925743</v>
      </c>
      <c r="B19856" t="s">
        <v>14193</v>
      </c>
      <c r="C19856" t="s">
        <v>98</v>
      </c>
      <c r="D19856" s="21" t="s">
        <v>34</v>
      </c>
      <c r="E19856" s="21" t="s">
        <v>35</v>
      </c>
      <c r="F19856">
        <v>12490004</v>
      </c>
      <c r="G19856" t="s">
        <v>6198</v>
      </c>
      <c r="H19856" s="21">
        <v>746.67</v>
      </c>
    </row>
    <row r="19857" spans="1:8" customFormat="1" x14ac:dyDescent="0.25">
      <c r="A19857" t="str">
        <f>"7827504"</f>
        <v>7827504</v>
      </c>
      <c r="B19857" t="s">
        <v>15220</v>
      </c>
      <c r="C19857" t="s">
        <v>1812</v>
      </c>
      <c r="D19857" s="21" t="s">
        <v>34</v>
      </c>
      <c r="E19857" s="21" t="s">
        <v>71</v>
      </c>
      <c r="F19857">
        <v>8780529</v>
      </c>
      <c r="G19857" t="s">
        <v>8624</v>
      </c>
      <c r="H19857" s="21">
        <v>746.67</v>
      </c>
    </row>
    <row r="19858" spans="1:8" customFormat="1" x14ac:dyDescent="0.25">
      <c r="A19858" t="str">
        <f>"4420058"</f>
        <v>4420058</v>
      </c>
      <c r="B19858" t="s">
        <v>15742</v>
      </c>
      <c r="C19858" t="s">
        <v>209</v>
      </c>
      <c r="D19858" s="21" t="s">
        <v>34</v>
      </c>
      <c r="E19858" s="21" t="s">
        <v>254</v>
      </c>
      <c r="F19858">
        <v>12440081</v>
      </c>
      <c r="G19858" t="s">
        <v>617</v>
      </c>
      <c r="H19858" s="21">
        <v>746.67</v>
      </c>
    </row>
    <row r="19859" spans="1:8" customFormat="1" x14ac:dyDescent="0.25">
      <c r="A19859" t="str">
        <f>"699648"</f>
        <v>699648</v>
      </c>
      <c r="B19859" t="s">
        <v>15773</v>
      </c>
      <c r="C19859" t="s">
        <v>209</v>
      </c>
      <c r="D19859" s="21" t="s">
        <v>34</v>
      </c>
      <c r="E19859" s="21" t="s">
        <v>71</v>
      </c>
      <c r="F19859">
        <v>1690029</v>
      </c>
      <c r="G19859" t="s">
        <v>6554</v>
      </c>
      <c r="H19859" s="21">
        <v>746.67</v>
      </c>
    </row>
    <row r="19860" spans="1:8" customFormat="1" x14ac:dyDescent="0.25">
      <c r="A19860" t="str">
        <f>"37459"</f>
        <v>37459</v>
      </c>
      <c r="B19860" t="s">
        <v>15966</v>
      </c>
      <c r="C19860" t="s">
        <v>598</v>
      </c>
      <c r="D19860" s="21" t="s">
        <v>34</v>
      </c>
      <c r="E19860" s="21" t="s">
        <v>1089</v>
      </c>
      <c r="F19860">
        <v>4370694</v>
      </c>
      <c r="G19860" t="s">
        <v>989</v>
      </c>
      <c r="H19860" s="21">
        <v>746.67</v>
      </c>
    </row>
    <row r="19861" spans="1:8" customFormat="1" x14ac:dyDescent="0.25">
      <c r="A19861" t="str">
        <f>"706694"</f>
        <v>706694</v>
      </c>
      <c r="B19861" t="s">
        <v>4668</v>
      </c>
      <c r="C19861" t="s">
        <v>988</v>
      </c>
      <c r="D19861" s="21" t="s">
        <v>34</v>
      </c>
      <c r="E19861" s="21" t="s">
        <v>35</v>
      </c>
      <c r="F19861">
        <v>2700005</v>
      </c>
      <c r="G19861" t="s">
        <v>5290</v>
      </c>
      <c r="H19861" s="21">
        <v>746.54</v>
      </c>
    </row>
    <row r="19862" spans="1:8" customFormat="1" x14ac:dyDescent="0.25">
      <c r="A19862" t="str">
        <f>"2516626"</f>
        <v>2516626</v>
      </c>
      <c r="B19862" t="s">
        <v>17207</v>
      </c>
      <c r="C19862" t="s">
        <v>198</v>
      </c>
      <c r="D19862" s="21" t="s">
        <v>34</v>
      </c>
      <c r="E19862" s="21" t="s">
        <v>71</v>
      </c>
      <c r="F19862">
        <v>2250232</v>
      </c>
      <c r="G19862" t="s">
        <v>14919</v>
      </c>
      <c r="H19862" s="21">
        <v>746.54</v>
      </c>
    </row>
    <row r="19863" spans="1:8" customFormat="1" x14ac:dyDescent="0.25">
      <c r="A19863" t="str">
        <f>"4434947"</f>
        <v>4434947</v>
      </c>
      <c r="B19863" t="s">
        <v>679</v>
      </c>
      <c r="C19863" t="s">
        <v>119</v>
      </c>
      <c r="D19863" s="21" t="s">
        <v>34</v>
      </c>
      <c r="E19863" s="21" t="s">
        <v>71</v>
      </c>
      <c r="F19863">
        <v>12440023</v>
      </c>
      <c r="G19863" t="s">
        <v>3507</v>
      </c>
      <c r="H19863" s="21">
        <v>746.42</v>
      </c>
    </row>
    <row r="19864" spans="1:8" customFormat="1" x14ac:dyDescent="0.25">
      <c r="A19864" t="str">
        <f>"939257"</f>
        <v>939257</v>
      </c>
      <c r="B19864" t="s">
        <v>15541</v>
      </c>
      <c r="C19864" t="s">
        <v>3648</v>
      </c>
      <c r="D19864" s="21" t="s">
        <v>34</v>
      </c>
      <c r="E19864" s="21" t="s">
        <v>254</v>
      </c>
      <c r="F19864">
        <v>8930185</v>
      </c>
      <c r="G19864" t="s">
        <v>3846</v>
      </c>
      <c r="H19864" s="21">
        <v>746.42</v>
      </c>
    </row>
    <row r="19865" spans="1:8" customFormat="1" x14ac:dyDescent="0.25">
      <c r="A19865" t="str">
        <f>"9241837"</f>
        <v>9241837</v>
      </c>
      <c r="B19865" t="s">
        <v>5657</v>
      </c>
      <c r="C19865" t="s">
        <v>2072</v>
      </c>
      <c r="D19865" s="21" t="s">
        <v>34</v>
      </c>
      <c r="E19865" s="21" t="s">
        <v>71</v>
      </c>
      <c r="F19865">
        <v>8920151</v>
      </c>
      <c r="G19865" t="s">
        <v>1434</v>
      </c>
      <c r="H19865" s="21">
        <v>746.29</v>
      </c>
    </row>
    <row r="19866" spans="1:8" customFormat="1" x14ac:dyDescent="0.25">
      <c r="A19866" t="str">
        <f>"46918"</f>
        <v>46918</v>
      </c>
      <c r="B19866" t="s">
        <v>16837</v>
      </c>
      <c r="C19866" t="s">
        <v>8967</v>
      </c>
      <c r="D19866" s="21" t="s">
        <v>34</v>
      </c>
      <c r="E19866" s="21" t="s">
        <v>254</v>
      </c>
      <c r="F19866">
        <v>11460022</v>
      </c>
      <c r="G19866" t="s">
        <v>9720</v>
      </c>
      <c r="H19866" s="21">
        <v>746.29</v>
      </c>
    </row>
    <row r="19867" spans="1:8" customFormat="1" x14ac:dyDescent="0.25">
      <c r="A19867" t="str">
        <f>"631293"</f>
        <v>631293</v>
      </c>
      <c r="B19867" t="s">
        <v>16803</v>
      </c>
      <c r="C19867" t="s">
        <v>209</v>
      </c>
      <c r="D19867" s="21" t="s">
        <v>34</v>
      </c>
      <c r="E19867" s="21" t="s">
        <v>71</v>
      </c>
      <c r="F19867">
        <v>1630191</v>
      </c>
      <c r="G19867" t="s">
        <v>11303</v>
      </c>
      <c r="H19867" s="21">
        <v>746.17</v>
      </c>
    </row>
    <row r="19868" spans="1:8" customFormat="1" x14ac:dyDescent="0.25">
      <c r="A19868" t="str">
        <f>"05746"</f>
        <v>05746</v>
      </c>
      <c r="B19868" t="s">
        <v>17087</v>
      </c>
      <c r="C19868" t="s">
        <v>1539</v>
      </c>
      <c r="D19868" s="21" t="s">
        <v>34</v>
      </c>
      <c r="E19868" s="21" t="s">
        <v>71</v>
      </c>
      <c r="F19868">
        <v>13050013</v>
      </c>
      <c r="G19868" t="s">
        <v>6666</v>
      </c>
      <c r="H19868" s="21">
        <v>746.17</v>
      </c>
    </row>
    <row r="19869" spans="1:8" customFormat="1" x14ac:dyDescent="0.25">
      <c r="A19869" t="str">
        <f>"519292"</f>
        <v>519292</v>
      </c>
      <c r="B19869" t="s">
        <v>15619</v>
      </c>
      <c r="C19869" t="s">
        <v>415</v>
      </c>
      <c r="D19869" s="21" t="s">
        <v>34</v>
      </c>
      <c r="E19869" s="21" t="s">
        <v>71</v>
      </c>
      <c r="F19869">
        <v>6510114</v>
      </c>
      <c r="G19869" t="s">
        <v>14120</v>
      </c>
      <c r="H19869" s="21">
        <v>746.17</v>
      </c>
    </row>
    <row r="19870" spans="1:8" customFormat="1" x14ac:dyDescent="0.25">
      <c r="A19870" t="str">
        <f>"955285"</f>
        <v>955285</v>
      </c>
      <c r="B19870" t="s">
        <v>1278</v>
      </c>
      <c r="C19870" t="s">
        <v>1665</v>
      </c>
      <c r="D19870" s="21" t="s">
        <v>34</v>
      </c>
      <c r="E19870" s="21" t="s">
        <v>254</v>
      </c>
      <c r="F19870">
        <v>7590044</v>
      </c>
      <c r="G19870" t="s">
        <v>2029</v>
      </c>
      <c r="H19870" s="21">
        <v>746.17</v>
      </c>
    </row>
    <row r="19871" spans="1:8" customFormat="1" x14ac:dyDescent="0.25">
      <c r="A19871" t="str">
        <f>"7862794"</f>
        <v>7862794</v>
      </c>
      <c r="B19871" t="s">
        <v>16255</v>
      </c>
      <c r="C19871" t="s">
        <v>486</v>
      </c>
      <c r="D19871" s="21" t="s">
        <v>34</v>
      </c>
      <c r="E19871" s="21" t="s">
        <v>71</v>
      </c>
      <c r="F19871">
        <v>8780023</v>
      </c>
      <c r="G19871" t="s">
        <v>1496</v>
      </c>
      <c r="H19871" s="21">
        <v>746.17</v>
      </c>
    </row>
    <row r="19872" spans="1:8" customFormat="1" x14ac:dyDescent="0.25">
      <c r="A19872" t="str">
        <f>"734883"</f>
        <v>734883</v>
      </c>
      <c r="B19872" t="s">
        <v>16776</v>
      </c>
      <c r="C19872" t="s">
        <v>40</v>
      </c>
      <c r="D19872" s="21" t="s">
        <v>34</v>
      </c>
      <c r="E19872" s="21" t="s">
        <v>71</v>
      </c>
      <c r="F19872">
        <v>1730077</v>
      </c>
      <c r="G19872" t="s">
        <v>1517</v>
      </c>
      <c r="H19872" s="21">
        <v>746.17</v>
      </c>
    </row>
    <row r="19873" spans="1:8" customFormat="1" x14ac:dyDescent="0.25">
      <c r="A19873" t="str">
        <f>"3718732"</f>
        <v>3718732</v>
      </c>
      <c r="B19873" t="s">
        <v>17712</v>
      </c>
      <c r="C19873" t="s">
        <v>62</v>
      </c>
      <c r="D19873" s="21" t="s">
        <v>34</v>
      </c>
      <c r="E19873" s="21" t="s">
        <v>71</v>
      </c>
      <c r="F19873">
        <v>4370709</v>
      </c>
      <c r="G19873" t="s">
        <v>5714</v>
      </c>
      <c r="H19873" s="21">
        <v>746.17</v>
      </c>
    </row>
    <row r="19874" spans="1:8" customFormat="1" x14ac:dyDescent="0.25">
      <c r="A19874" t="str">
        <f>"3529057"</f>
        <v>3529057</v>
      </c>
      <c r="B19874" t="s">
        <v>205</v>
      </c>
      <c r="C19874" t="s">
        <v>2907</v>
      </c>
      <c r="D19874" s="21" t="s">
        <v>34</v>
      </c>
      <c r="E19874" s="21" t="s">
        <v>71</v>
      </c>
      <c r="F19874">
        <v>3350102</v>
      </c>
      <c r="G19874" t="s">
        <v>4942</v>
      </c>
      <c r="H19874" s="21">
        <v>746.17</v>
      </c>
    </row>
    <row r="19875" spans="1:8" customFormat="1" x14ac:dyDescent="0.25">
      <c r="A19875" t="str">
        <f>"139639"</f>
        <v>139639</v>
      </c>
      <c r="B19875" t="s">
        <v>4686</v>
      </c>
      <c r="C19875" t="s">
        <v>147</v>
      </c>
      <c r="D19875" s="21" t="s">
        <v>34</v>
      </c>
      <c r="E19875" s="21" t="s">
        <v>35</v>
      </c>
      <c r="F19875">
        <v>13130118</v>
      </c>
      <c r="G19875" t="s">
        <v>27466</v>
      </c>
      <c r="H19875" s="21">
        <v>746.17</v>
      </c>
    </row>
    <row r="19876" spans="1:8" customFormat="1" x14ac:dyDescent="0.25">
      <c r="A19876" t="str">
        <f>"4424881"</f>
        <v>4424881</v>
      </c>
      <c r="B19876" t="s">
        <v>27582</v>
      </c>
      <c r="C19876" t="s">
        <v>415</v>
      </c>
      <c r="D19876" s="21" t="s">
        <v>34</v>
      </c>
      <c r="E19876" s="21" t="s">
        <v>254</v>
      </c>
      <c r="F19876">
        <v>12440032</v>
      </c>
      <c r="G19876" t="s">
        <v>9296</v>
      </c>
      <c r="H19876" s="21">
        <v>746.17</v>
      </c>
    </row>
    <row r="19877" spans="1:8" customFormat="1" x14ac:dyDescent="0.25">
      <c r="A19877" t="str">
        <f>"8814063"</f>
        <v>8814063</v>
      </c>
      <c r="B19877" t="s">
        <v>1102</v>
      </c>
      <c r="C19877" t="s">
        <v>484</v>
      </c>
      <c r="D19877" s="21" t="s">
        <v>34</v>
      </c>
      <c r="E19877" s="21" t="s">
        <v>71</v>
      </c>
      <c r="F19877">
        <v>6880051</v>
      </c>
      <c r="G19877" t="s">
        <v>6116</v>
      </c>
      <c r="H19877" s="21">
        <v>746.17</v>
      </c>
    </row>
    <row r="19878" spans="1:8" customFormat="1" x14ac:dyDescent="0.25">
      <c r="A19878" t="str">
        <f>"8316427"</f>
        <v>8316427</v>
      </c>
      <c r="B19878" t="s">
        <v>21628</v>
      </c>
      <c r="C19878" t="s">
        <v>305</v>
      </c>
      <c r="D19878" s="21" t="s">
        <v>34</v>
      </c>
      <c r="E19878" s="21" t="s">
        <v>35</v>
      </c>
      <c r="F19878">
        <v>13830022</v>
      </c>
      <c r="G19878" t="s">
        <v>633</v>
      </c>
      <c r="H19878" s="21">
        <v>746.17</v>
      </c>
    </row>
    <row r="19879" spans="1:8" customFormat="1" x14ac:dyDescent="0.25">
      <c r="A19879" t="str">
        <f>"904895"</f>
        <v>904895</v>
      </c>
      <c r="B19879" t="s">
        <v>5921</v>
      </c>
      <c r="C19879" t="s">
        <v>263</v>
      </c>
      <c r="D19879" s="21" t="s">
        <v>34</v>
      </c>
      <c r="E19879" s="21" t="s">
        <v>71</v>
      </c>
      <c r="F19879">
        <v>2900015</v>
      </c>
      <c r="G19879" t="s">
        <v>10349</v>
      </c>
      <c r="H19879" s="21">
        <v>746.17</v>
      </c>
    </row>
    <row r="19880" spans="1:8" customFormat="1" x14ac:dyDescent="0.25">
      <c r="A19880" t="str">
        <f>"7410567"</f>
        <v>7410567</v>
      </c>
      <c r="B19880" t="s">
        <v>15546</v>
      </c>
      <c r="C19880" t="s">
        <v>253</v>
      </c>
      <c r="D19880" s="21" t="s">
        <v>34</v>
      </c>
      <c r="E19880" s="21" t="s">
        <v>71</v>
      </c>
      <c r="F19880">
        <v>1740020</v>
      </c>
      <c r="G19880" t="s">
        <v>881</v>
      </c>
      <c r="H19880" s="21">
        <v>746.17</v>
      </c>
    </row>
    <row r="19881" spans="1:8" customFormat="1" x14ac:dyDescent="0.25">
      <c r="A19881" t="str">
        <f>"7916850"</f>
        <v>7916850</v>
      </c>
      <c r="B19881" t="s">
        <v>12334</v>
      </c>
      <c r="C19881" t="s">
        <v>879</v>
      </c>
      <c r="D19881" s="21" t="s">
        <v>34</v>
      </c>
      <c r="E19881" s="21" t="s">
        <v>71</v>
      </c>
      <c r="F19881">
        <v>10790234</v>
      </c>
      <c r="G19881" t="s">
        <v>13166</v>
      </c>
      <c r="H19881" s="21">
        <v>746.17</v>
      </c>
    </row>
    <row r="19882" spans="1:8" customFormat="1" x14ac:dyDescent="0.25">
      <c r="A19882" t="str">
        <f>"5610171"</f>
        <v>5610171</v>
      </c>
      <c r="B19882" t="s">
        <v>2835</v>
      </c>
      <c r="C19882" t="s">
        <v>1142</v>
      </c>
      <c r="D19882" s="21" t="s">
        <v>34</v>
      </c>
      <c r="E19882" s="21" t="s">
        <v>254</v>
      </c>
      <c r="F19882">
        <v>3560045</v>
      </c>
      <c r="G19882" t="s">
        <v>4969</v>
      </c>
      <c r="H19882" s="21">
        <v>746.17</v>
      </c>
    </row>
    <row r="19883" spans="1:8" customFormat="1" x14ac:dyDescent="0.25">
      <c r="A19883" t="str">
        <f>"954227"</f>
        <v>954227</v>
      </c>
      <c r="B19883" t="s">
        <v>15075</v>
      </c>
      <c r="C19883" t="s">
        <v>156</v>
      </c>
      <c r="D19883" s="21" t="s">
        <v>34</v>
      </c>
      <c r="E19883" s="21" t="s">
        <v>6185</v>
      </c>
      <c r="F19883">
        <v>8950262</v>
      </c>
      <c r="G19883" t="s">
        <v>1881</v>
      </c>
      <c r="H19883" s="21">
        <v>746.17</v>
      </c>
    </row>
    <row r="19884" spans="1:8" customFormat="1" x14ac:dyDescent="0.25">
      <c r="A19884" t="str">
        <f>"557097"</f>
        <v>557097</v>
      </c>
      <c r="B19884" t="s">
        <v>15749</v>
      </c>
      <c r="C19884" t="s">
        <v>60</v>
      </c>
      <c r="D19884" s="21" t="s">
        <v>34</v>
      </c>
      <c r="E19884" s="21" t="s">
        <v>35</v>
      </c>
      <c r="F19884">
        <v>6550020</v>
      </c>
      <c r="G19884" t="s">
        <v>7526</v>
      </c>
      <c r="H19884" s="21">
        <v>746.17</v>
      </c>
    </row>
    <row r="19885" spans="1:8" customFormat="1" x14ac:dyDescent="0.25">
      <c r="A19885" t="str">
        <f>"7859014"</f>
        <v>7859014</v>
      </c>
      <c r="B19885" t="s">
        <v>14834</v>
      </c>
      <c r="C19885" t="s">
        <v>879</v>
      </c>
      <c r="D19885" s="21" t="s">
        <v>34</v>
      </c>
      <c r="E19885" s="21" t="s">
        <v>71</v>
      </c>
      <c r="F19885">
        <v>8780447</v>
      </c>
      <c r="G19885" t="s">
        <v>9215</v>
      </c>
      <c r="H19885" s="21">
        <v>746.17</v>
      </c>
    </row>
    <row r="19886" spans="1:8" customFormat="1" x14ac:dyDescent="0.25">
      <c r="A19886" t="str">
        <f>"446895"</f>
        <v>446895</v>
      </c>
      <c r="B19886" t="s">
        <v>13601</v>
      </c>
      <c r="C19886" t="s">
        <v>598</v>
      </c>
      <c r="D19886" s="21" t="s">
        <v>34</v>
      </c>
      <c r="E19886" s="21" t="s">
        <v>254</v>
      </c>
      <c r="F19886">
        <v>12440176</v>
      </c>
      <c r="G19886" t="s">
        <v>1020</v>
      </c>
      <c r="H19886" s="21">
        <v>746.17</v>
      </c>
    </row>
    <row r="19887" spans="1:8" customFormat="1" x14ac:dyDescent="0.25">
      <c r="A19887" t="str">
        <f>"683455"</f>
        <v>683455</v>
      </c>
      <c r="B19887" t="s">
        <v>2243</v>
      </c>
      <c r="C19887" t="s">
        <v>6285</v>
      </c>
      <c r="D19887" s="21" t="s">
        <v>34</v>
      </c>
      <c r="E19887" s="21" t="s">
        <v>6185</v>
      </c>
      <c r="F19887">
        <v>6680080</v>
      </c>
      <c r="G19887" t="s">
        <v>7771</v>
      </c>
      <c r="H19887" s="21">
        <v>746.17</v>
      </c>
    </row>
    <row r="19888" spans="1:8" customFormat="1" x14ac:dyDescent="0.25">
      <c r="A19888" t="str">
        <f>"275932"</f>
        <v>275932</v>
      </c>
      <c r="B19888" t="s">
        <v>15784</v>
      </c>
      <c r="C19888" t="s">
        <v>119</v>
      </c>
      <c r="D19888" s="21" t="s">
        <v>34</v>
      </c>
      <c r="E19888" s="21" t="s">
        <v>35</v>
      </c>
      <c r="F19888">
        <v>8941458</v>
      </c>
      <c r="G19888" t="s">
        <v>15785</v>
      </c>
      <c r="H19888" s="21">
        <v>746.17</v>
      </c>
    </row>
    <row r="19889" spans="1:8" customFormat="1" x14ac:dyDescent="0.25">
      <c r="A19889" t="str">
        <f>"7819032"</f>
        <v>7819032</v>
      </c>
      <c r="B19889" t="s">
        <v>556</v>
      </c>
      <c r="C19889" t="s">
        <v>3905</v>
      </c>
      <c r="D19889" s="21" t="s">
        <v>34</v>
      </c>
      <c r="E19889" s="21" t="s">
        <v>71</v>
      </c>
      <c r="F19889">
        <v>8781432</v>
      </c>
      <c r="G19889" t="s">
        <v>9227</v>
      </c>
      <c r="H19889" s="21">
        <v>746.04</v>
      </c>
    </row>
    <row r="19890" spans="1:8" customFormat="1" x14ac:dyDescent="0.25">
      <c r="A19890" t="str">
        <f>"2219354"</f>
        <v>2219354</v>
      </c>
      <c r="B19890" t="s">
        <v>16366</v>
      </c>
      <c r="C19890" t="s">
        <v>43</v>
      </c>
      <c r="D19890" s="21" t="s">
        <v>34</v>
      </c>
      <c r="E19890" s="21" t="s">
        <v>35</v>
      </c>
      <c r="F19890">
        <v>3220005</v>
      </c>
      <c r="G19890" t="s">
        <v>26718</v>
      </c>
      <c r="H19890" s="21">
        <v>746.04</v>
      </c>
    </row>
    <row r="19891" spans="1:8" customFormat="1" x14ac:dyDescent="0.25">
      <c r="A19891" t="str">
        <f>"5017629"</f>
        <v>5017629</v>
      </c>
      <c r="B19891" t="s">
        <v>3555</v>
      </c>
      <c r="C19891" t="s">
        <v>302</v>
      </c>
      <c r="D19891" s="21" t="s">
        <v>34</v>
      </c>
      <c r="E19891" s="21" t="s">
        <v>71</v>
      </c>
      <c r="F19891">
        <v>9500011</v>
      </c>
      <c r="G19891" t="s">
        <v>4903</v>
      </c>
      <c r="H19891" s="21">
        <v>746.04</v>
      </c>
    </row>
    <row r="19892" spans="1:8" customFormat="1" x14ac:dyDescent="0.25">
      <c r="A19892" t="str">
        <f>"6224229"</f>
        <v>6224229</v>
      </c>
      <c r="B19892" t="s">
        <v>15842</v>
      </c>
      <c r="C19892" t="s">
        <v>151</v>
      </c>
      <c r="D19892" s="21" t="s">
        <v>34</v>
      </c>
      <c r="E19892" s="21" t="s">
        <v>35</v>
      </c>
      <c r="F19892">
        <v>7620042</v>
      </c>
      <c r="G19892" t="s">
        <v>8102</v>
      </c>
      <c r="H19892" s="21">
        <v>746</v>
      </c>
    </row>
    <row r="19893" spans="1:8" customFormat="1" x14ac:dyDescent="0.25">
      <c r="A19893" t="str">
        <f>"089408"</f>
        <v>089408</v>
      </c>
      <c r="B19893" t="s">
        <v>9733</v>
      </c>
      <c r="C19893" t="s">
        <v>156</v>
      </c>
      <c r="D19893" s="21" t="s">
        <v>34</v>
      </c>
      <c r="E19893" s="21" t="s">
        <v>1089</v>
      </c>
      <c r="F19893">
        <v>6080082</v>
      </c>
      <c r="G19893" t="s">
        <v>2401</v>
      </c>
      <c r="H19893" s="21">
        <v>746</v>
      </c>
    </row>
    <row r="19894" spans="1:8" customFormat="1" x14ac:dyDescent="0.25">
      <c r="A19894" t="str">
        <f>"396468"</f>
        <v>396468</v>
      </c>
      <c r="B19894" t="s">
        <v>15592</v>
      </c>
      <c r="C19894" t="s">
        <v>130</v>
      </c>
      <c r="D19894" s="21" t="s">
        <v>34</v>
      </c>
      <c r="E19894" s="21" t="s">
        <v>254</v>
      </c>
      <c r="F19894">
        <v>2390007</v>
      </c>
      <c r="G19894" t="s">
        <v>3365</v>
      </c>
      <c r="H19894" s="21">
        <v>745.92</v>
      </c>
    </row>
    <row r="19895" spans="1:8" customFormat="1" x14ac:dyDescent="0.25">
      <c r="A19895" t="str">
        <f>"9313809"</f>
        <v>9313809</v>
      </c>
      <c r="B19895" t="s">
        <v>3427</v>
      </c>
      <c r="C19895" t="s">
        <v>469</v>
      </c>
      <c r="D19895" s="21" t="s">
        <v>34</v>
      </c>
      <c r="E19895" s="21" t="s">
        <v>71</v>
      </c>
      <c r="F19895">
        <v>8930148</v>
      </c>
      <c r="G19895" t="s">
        <v>1915</v>
      </c>
      <c r="H19895" s="21">
        <v>745.92</v>
      </c>
    </row>
    <row r="19896" spans="1:8" customFormat="1" x14ac:dyDescent="0.25">
      <c r="A19896" t="str">
        <f>"85311"</f>
        <v>85311</v>
      </c>
      <c r="B19896" t="s">
        <v>4282</v>
      </c>
      <c r="C19896" t="s">
        <v>486</v>
      </c>
      <c r="D19896" s="21" t="s">
        <v>34</v>
      </c>
      <c r="E19896" s="21" t="s">
        <v>71</v>
      </c>
      <c r="F19896">
        <v>12851011</v>
      </c>
      <c r="G19896" t="s">
        <v>1445</v>
      </c>
      <c r="H19896" s="21">
        <v>745.92</v>
      </c>
    </row>
    <row r="19897" spans="1:8" customFormat="1" x14ac:dyDescent="0.25">
      <c r="A19897" t="str">
        <f>"523460"</f>
        <v>523460</v>
      </c>
      <c r="B19897" t="s">
        <v>15104</v>
      </c>
      <c r="C19897" t="s">
        <v>275</v>
      </c>
      <c r="D19897" s="21" t="s">
        <v>34</v>
      </c>
      <c r="E19897" s="21" t="s">
        <v>35</v>
      </c>
      <c r="F19897">
        <v>6520002</v>
      </c>
      <c r="G19897" t="s">
        <v>15105</v>
      </c>
      <c r="H19897" s="21">
        <v>745.92</v>
      </c>
    </row>
    <row r="19898" spans="1:8" customFormat="1" x14ac:dyDescent="0.25">
      <c r="A19898" t="str">
        <f>"888184"</f>
        <v>888184</v>
      </c>
      <c r="B19898" t="s">
        <v>15167</v>
      </c>
      <c r="C19898" t="s">
        <v>1146</v>
      </c>
      <c r="D19898" s="21" t="s">
        <v>34</v>
      </c>
      <c r="E19898" s="21" t="s">
        <v>1089</v>
      </c>
      <c r="F19898">
        <v>6880086</v>
      </c>
      <c r="G19898" t="s">
        <v>3245</v>
      </c>
      <c r="H19898" s="21">
        <v>745.92</v>
      </c>
    </row>
    <row r="19899" spans="1:8" customFormat="1" x14ac:dyDescent="0.25">
      <c r="A19899" t="str">
        <f>"4213657"</f>
        <v>4213657</v>
      </c>
      <c r="B19899" t="s">
        <v>16573</v>
      </c>
      <c r="C19899" t="s">
        <v>2529</v>
      </c>
      <c r="D19899" s="21" t="s">
        <v>34</v>
      </c>
      <c r="E19899" s="21" t="s">
        <v>71</v>
      </c>
      <c r="F19899">
        <v>1420070</v>
      </c>
      <c r="G19899" t="s">
        <v>27046</v>
      </c>
      <c r="H19899" s="21">
        <v>745.92</v>
      </c>
    </row>
    <row r="19900" spans="1:8" customFormat="1" x14ac:dyDescent="0.25">
      <c r="A19900" t="str">
        <f>"286696"</f>
        <v>286696</v>
      </c>
      <c r="B19900" t="s">
        <v>19223</v>
      </c>
      <c r="C19900" t="s">
        <v>239</v>
      </c>
      <c r="D19900" s="21" t="s">
        <v>34</v>
      </c>
      <c r="E19900" s="21" t="s">
        <v>71</v>
      </c>
      <c r="F19900">
        <v>4280681</v>
      </c>
      <c r="G19900" t="s">
        <v>1656</v>
      </c>
      <c r="H19900" s="21">
        <v>745.79</v>
      </c>
    </row>
    <row r="19901" spans="1:8" customFormat="1" x14ac:dyDescent="0.25">
      <c r="A19901" t="str">
        <f>"814494"</f>
        <v>814494</v>
      </c>
      <c r="B19901" t="s">
        <v>17875</v>
      </c>
      <c r="C19901" t="s">
        <v>169</v>
      </c>
      <c r="D19901" s="21" t="s">
        <v>34</v>
      </c>
      <c r="E19901" s="21" t="s">
        <v>35</v>
      </c>
      <c r="F19901">
        <v>11810001</v>
      </c>
      <c r="G19901" t="s">
        <v>26998</v>
      </c>
      <c r="H19901" s="21">
        <v>745.67</v>
      </c>
    </row>
    <row r="19902" spans="1:8" customFormat="1" x14ac:dyDescent="0.25">
      <c r="A19902" t="str">
        <f>"7512636"</f>
        <v>7512636</v>
      </c>
      <c r="B19902" t="s">
        <v>16727</v>
      </c>
      <c r="C19902" t="s">
        <v>233</v>
      </c>
      <c r="D19902" s="21" t="s">
        <v>34</v>
      </c>
      <c r="E19902" s="21" t="s">
        <v>71</v>
      </c>
      <c r="F19902">
        <v>8750141</v>
      </c>
      <c r="G19902" t="s">
        <v>1514</v>
      </c>
      <c r="H19902" s="21">
        <v>745.67</v>
      </c>
    </row>
    <row r="19903" spans="1:8" customFormat="1" x14ac:dyDescent="0.25">
      <c r="A19903" t="str">
        <f>"27482"</f>
        <v>27482</v>
      </c>
      <c r="B19903" t="s">
        <v>7241</v>
      </c>
      <c r="C19903" t="s">
        <v>40</v>
      </c>
      <c r="D19903" s="21" t="s">
        <v>34</v>
      </c>
      <c r="E19903" s="21" t="s">
        <v>254</v>
      </c>
      <c r="F19903">
        <v>9270181</v>
      </c>
      <c r="G19903" t="s">
        <v>2952</v>
      </c>
      <c r="H19903" s="21">
        <v>745.67</v>
      </c>
    </row>
    <row r="19904" spans="1:8" customFormat="1" x14ac:dyDescent="0.25">
      <c r="A19904" t="str">
        <f>"931423"</f>
        <v>931423</v>
      </c>
      <c r="B19904" t="s">
        <v>7035</v>
      </c>
      <c r="C19904" t="s">
        <v>598</v>
      </c>
      <c r="D19904" s="21" t="s">
        <v>34</v>
      </c>
      <c r="E19904" s="21" t="s">
        <v>1089</v>
      </c>
      <c r="F19904">
        <v>3560023</v>
      </c>
      <c r="G19904" t="s">
        <v>8213</v>
      </c>
      <c r="H19904" s="21">
        <v>745.67</v>
      </c>
    </row>
    <row r="19905" spans="1:8" customFormat="1" x14ac:dyDescent="0.25">
      <c r="A19905" t="str">
        <f>"4795"</f>
        <v>4795</v>
      </c>
      <c r="B19905" t="s">
        <v>390</v>
      </c>
      <c r="C19905" t="s">
        <v>412</v>
      </c>
      <c r="D19905" s="21" t="s">
        <v>34</v>
      </c>
      <c r="E19905" s="21" t="s">
        <v>6185</v>
      </c>
      <c r="F19905">
        <v>10470001</v>
      </c>
      <c r="G19905" t="s">
        <v>391</v>
      </c>
      <c r="H19905" s="21">
        <v>745.67</v>
      </c>
    </row>
    <row r="19906" spans="1:8" customFormat="1" x14ac:dyDescent="0.25">
      <c r="A19906" t="str">
        <f>"878591"</f>
        <v>878591</v>
      </c>
      <c r="B19906" t="s">
        <v>16387</v>
      </c>
      <c r="C19906" t="s">
        <v>156</v>
      </c>
      <c r="D19906" s="21" t="s">
        <v>34</v>
      </c>
      <c r="E19906" s="21" t="s">
        <v>35</v>
      </c>
      <c r="F19906">
        <v>10870101</v>
      </c>
      <c r="G19906" t="s">
        <v>6607</v>
      </c>
      <c r="H19906" s="21">
        <v>745.67</v>
      </c>
    </row>
    <row r="19907" spans="1:8" customFormat="1" x14ac:dyDescent="0.25">
      <c r="A19907" t="str">
        <f>"6016392"</f>
        <v>6016392</v>
      </c>
      <c r="B19907" t="s">
        <v>15155</v>
      </c>
      <c r="C19907" t="s">
        <v>1665</v>
      </c>
      <c r="D19907" s="21" t="s">
        <v>34</v>
      </c>
      <c r="E19907" s="21" t="s">
        <v>254</v>
      </c>
      <c r="F19907">
        <v>6670202</v>
      </c>
      <c r="G19907" t="s">
        <v>605</v>
      </c>
      <c r="H19907" s="21">
        <v>745.67</v>
      </c>
    </row>
    <row r="19908" spans="1:8" customFormat="1" x14ac:dyDescent="0.25">
      <c r="A19908" t="str">
        <f>"8519729"</f>
        <v>8519729</v>
      </c>
      <c r="B19908" t="s">
        <v>16587</v>
      </c>
      <c r="C19908" t="s">
        <v>60</v>
      </c>
      <c r="D19908" s="21" t="s">
        <v>34</v>
      </c>
      <c r="E19908" s="21" t="s">
        <v>35</v>
      </c>
      <c r="F19908">
        <v>12850046</v>
      </c>
      <c r="G19908" t="s">
        <v>3136</v>
      </c>
      <c r="H19908" s="21">
        <v>745.67</v>
      </c>
    </row>
    <row r="19909" spans="1:8" customFormat="1" x14ac:dyDescent="0.25">
      <c r="A19909" t="str">
        <f>"26208"</f>
        <v>26208</v>
      </c>
      <c r="B19909" t="s">
        <v>9826</v>
      </c>
      <c r="C19909" t="s">
        <v>119</v>
      </c>
      <c r="D19909" s="21" t="s">
        <v>34</v>
      </c>
      <c r="E19909" s="21" t="s">
        <v>71</v>
      </c>
      <c r="F19909">
        <v>1260040</v>
      </c>
      <c r="G19909" t="s">
        <v>10768</v>
      </c>
      <c r="H19909" s="21">
        <v>745.67</v>
      </c>
    </row>
    <row r="19910" spans="1:8" customFormat="1" x14ac:dyDescent="0.25">
      <c r="A19910" t="str">
        <f>"6210900"</f>
        <v>6210900</v>
      </c>
      <c r="B19910" t="s">
        <v>12864</v>
      </c>
      <c r="C19910" t="s">
        <v>96</v>
      </c>
      <c r="D19910" s="21" t="s">
        <v>34</v>
      </c>
      <c r="E19910" s="21" t="s">
        <v>35</v>
      </c>
      <c r="F19910">
        <v>7620096</v>
      </c>
      <c r="G19910" t="s">
        <v>5829</v>
      </c>
      <c r="H19910" s="21">
        <v>745.67</v>
      </c>
    </row>
    <row r="19911" spans="1:8" customFormat="1" x14ac:dyDescent="0.25">
      <c r="A19911" t="str">
        <f>"18504"</f>
        <v>18504</v>
      </c>
      <c r="B19911" t="s">
        <v>15265</v>
      </c>
      <c r="C19911" t="s">
        <v>598</v>
      </c>
      <c r="D19911" s="21" t="s">
        <v>34</v>
      </c>
      <c r="E19911" s="21" t="s">
        <v>1089</v>
      </c>
      <c r="F19911">
        <v>4180621</v>
      </c>
      <c r="G19911" t="s">
        <v>14060</v>
      </c>
      <c r="H19911" s="21">
        <v>745.67</v>
      </c>
    </row>
    <row r="19912" spans="1:8" customFormat="1" x14ac:dyDescent="0.25">
      <c r="A19912" t="str">
        <f>"6215007"</f>
        <v>6215007</v>
      </c>
      <c r="B19912" t="s">
        <v>16017</v>
      </c>
      <c r="C19912" t="s">
        <v>109</v>
      </c>
      <c r="D19912" s="21" t="s">
        <v>34</v>
      </c>
      <c r="E19912" s="21" t="s">
        <v>71</v>
      </c>
      <c r="F19912">
        <v>7620131</v>
      </c>
      <c r="G19912" t="s">
        <v>9562</v>
      </c>
      <c r="H19912" s="21">
        <v>745.67</v>
      </c>
    </row>
    <row r="19913" spans="1:8" customFormat="1" x14ac:dyDescent="0.25">
      <c r="A19913" t="str">
        <f>"5419308"</f>
        <v>5419308</v>
      </c>
      <c r="B19913" t="s">
        <v>15929</v>
      </c>
      <c r="C19913" t="s">
        <v>1025</v>
      </c>
      <c r="D19913" s="21" t="s">
        <v>34</v>
      </c>
      <c r="E19913" s="21" t="s">
        <v>254</v>
      </c>
      <c r="F19913">
        <v>6540016</v>
      </c>
      <c r="G19913" t="s">
        <v>14523</v>
      </c>
      <c r="H19913" s="21">
        <v>745.67</v>
      </c>
    </row>
    <row r="19914" spans="1:8" customFormat="1" x14ac:dyDescent="0.25">
      <c r="A19914" t="str">
        <f>"2923537"</f>
        <v>2923537</v>
      </c>
      <c r="B19914" t="s">
        <v>14775</v>
      </c>
      <c r="C19914" t="s">
        <v>415</v>
      </c>
      <c r="D19914" s="21" t="s">
        <v>34</v>
      </c>
      <c r="E19914" s="21" t="s">
        <v>71</v>
      </c>
      <c r="F19914">
        <v>3290018</v>
      </c>
      <c r="G19914" t="s">
        <v>1706</v>
      </c>
      <c r="H19914" s="21">
        <v>745.54</v>
      </c>
    </row>
    <row r="19915" spans="1:8" customFormat="1" x14ac:dyDescent="0.25">
      <c r="A19915" t="str">
        <f>"2912331"</f>
        <v>2912331</v>
      </c>
      <c r="B19915" t="s">
        <v>10708</v>
      </c>
      <c r="C19915" t="s">
        <v>2322</v>
      </c>
      <c r="D19915" s="21" t="s">
        <v>34</v>
      </c>
      <c r="E19915" s="21" t="s">
        <v>71</v>
      </c>
      <c r="F19915">
        <v>3290229</v>
      </c>
      <c r="G19915" t="s">
        <v>408</v>
      </c>
      <c r="H19915" s="21">
        <v>745.42</v>
      </c>
    </row>
    <row r="19916" spans="1:8" customFormat="1" x14ac:dyDescent="0.25">
      <c r="A19916" t="str">
        <f>"40351"</f>
        <v>40351</v>
      </c>
      <c r="B19916" t="s">
        <v>3639</v>
      </c>
      <c r="C19916" t="s">
        <v>1146</v>
      </c>
      <c r="D19916" s="21" t="s">
        <v>34</v>
      </c>
      <c r="E19916" s="21" t="s">
        <v>6185</v>
      </c>
      <c r="F19916">
        <v>10400003</v>
      </c>
      <c r="G19916" t="s">
        <v>5110</v>
      </c>
      <c r="H19916" s="21">
        <v>745.17</v>
      </c>
    </row>
    <row r="19917" spans="1:8" customFormat="1" x14ac:dyDescent="0.25">
      <c r="A19917" t="str">
        <f>"859215"</f>
        <v>859215</v>
      </c>
      <c r="B19917" t="s">
        <v>1885</v>
      </c>
      <c r="C19917" t="s">
        <v>156</v>
      </c>
      <c r="D19917" s="21" t="s">
        <v>34</v>
      </c>
      <c r="E19917" s="21" t="s">
        <v>71</v>
      </c>
      <c r="F19917">
        <v>12850016</v>
      </c>
      <c r="G19917" t="s">
        <v>26554</v>
      </c>
      <c r="H19917" s="21">
        <v>745.17</v>
      </c>
    </row>
    <row r="19918" spans="1:8" customFormat="1" x14ac:dyDescent="0.25">
      <c r="A19918" t="str">
        <f>"5324756"</f>
        <v>5324756</v>
      </c>
      <c r="B19918" t="s">
        <v>482</v>
      </c>
      <c r="C19918" t="s">
        <v>8546</v>
      </c>
      <c r="D19918" s="21" t="s">
        <v>34</v>
      </c>
      <c r="E19918" s="21" t="s">
        <v>35</v>
      </c>
      <c r="F19918">
        <v>12530119</v>
      </c>
      <c r="G19918" t="s">
        <v>9943</v>
      </c>
      <c r="H19918" s="21">
        <v>745.17</v>
      </c>
    </row>
    <row r="19919" spans="1:8" customFormat="1" x14ac:dyDescent="0.25">
      <c r="A19919" t="str">
        <f>"545026"</f>
        <v>545026</v>
      </c>
      <c r="B19919" t="s">
        <v>6312</v>
      </c>
      <c r="C19919" t="s">
        <v>750</v>
      </c>
      <c r="D19919" s="21" t="s">
        <v>34</v>
      </c>
      <c r="E19919" s="21" t="s">
        <v>254</v>
      </c>
      <c r="F19919">
        <v>6540008</v>
      </c>
      <c r="G19919" t="s">
        <v>3891</v>
      </c>
      <c r="H19919" s="21">
        <v>745.17</v>
      </c>
    </row>
    <row r="19920" spans="1:8" customFormat="1" x14ac:dyDescent="0.25">
      <c r="A19920" t="str">
        <f>"8528201"</f>
        <v>8528201</v>
      </c>
      <c r="B19920" t="s">
        <v>3022</v>
      </c>
      <c r="C19920" t="s">
        <v>249</v>
      </c>
      <c r="D19920" s="21" t="s">
        <v>34</v>
      </c>
      <c r="E19920" s="21" t="s">
        <v>35</v>
      </c>
      <c r="F19920">
        <v>12850023</v>
      </c>
      <c r="G19920" t="s">
        <v>3121</v>
      </c>
      <c r="H19920" s="21">
        <v>745.17</v>
      </c>
    </row>
    <row r="19921" spans="1:8" customFormat="1" x14ac:dyDescent="0.25">
      <c r="A19921" t="str">
        <f>"9143222"</f>
        <v>9143222</v>
      </c>
      <c r="B19921" t="s">
        <v>16465</v>
      </c>
      <c r="C19921" t="s">
        <v>147</v>
      </c>
      <c r="D19921" s="21" t="s">
        <v>34</v>
      </c>
      <c r="E19921" s="21" t="s">
        <v>35</v>
      </c>
      <c r="F19921">
        <v>8911323</v>
      </c>
      <c r="G19921" t="s">
        <v>555</v>
      </c>
      <c r="H19921" s="21">
        <v>745.17</v>
      </c>
    </row>
    <row r="19922" spans="1:8" customFormat="1" x14ac:dyDescent="0.25">
      <c r="A19922" t="str">
        <f>"813381"</f>
        <v>813381</v>
      </c>
      <c r="B19922" t="s">
        <v>19440</v>
      </c>
      <c r="C19922" t="s">
        <v>2276</v>
      </c>
      <c r="D19922" s="21" t="s">
        <v>34</v>
      </c>
      <c r="E19922" s="21" t="s">
        <v>35</v>
      </c>
      <c r="F19922">
        <v>11810030</v>
      </c>
      <c r="G19922" t="s">
        <v>27055</v>
      </c>
      <c r="H19922" s="21">
        <v>745.17</v>
      </c>
    </row>
    <row r="19923" spans="1:8" customFormat="1" x14ac:dyDescent="0.25">
      <c r="A19923" t="str">
        <f>"782790"</f>
        <v>782790</v>
      </c>
      <c r="B19923" t="s">
        <v>15693</v>
      </c>
      <c r="C19923" t="s">
        <v>169</v>
      </c>
      <c r="D19923" s="21" t="s">
        <v>34</v>
      </c>
      <c r="E19923" s="21" t="s">
        <v>35</v>
      </c>
      <c r="F19923">
        <v>8781467</v>
      </c>
      <c r="G19923" t="s">
        <v>3838</v>
      </c>
      <c r="H19923" s="21">
        <v>745.17</v>
      </c>
    </row>
    <row r="19924" spans="1:8" customFormat="1" x14ac:dyDescent="0.25">
      <c r="A19924" t="str">
        <f>"5611145"</f>
        <v>5611145</v>
      </c>
      <c r="B19924" t="s">
        <v>15372</v>
      </c>
      <c r="C19924" t="s">
        <v>209</v>
      </c>
      <c r="D19924" s="21" t="s">
        <v>34</v>
      </c>
      <c r="E19924" s="21" t="s">
        <v>71</v>
      </c>
      <c r="F19924">
        <v>3560039</v>
      </c>
      <c r="G19924" t="s">
        <v>167</v>
      </c>
      <c r="H19924" s="21">
        <v>745.17</v>
      </c>
    </row>
    <row r="19925" spans="1:8" customFormat="1" x14ac:dyDescent="0.25">
      <c r="A19925" t="str">
        <f>"9417092"</f>
        <v>9417092</v>
      </c>
      <c r="B19925" t="s">
        <v>15776</v>
      </c>
      <c r="C19925" t="s">
        <v>55</v>
      </c>
      <c r="D19925" s="21" t="s">
        <v>34</v>
      </c>
      <c r="E19925" s="21" t="s">
        <v>71</v>
      </c>
      <c r="F19925">
        <v>8940926</v>
      </c>
      <c r="G19925" t="s">
        <v>4065</v>
      </c>
      <c r="H19925" s="21">
        <v>745.17</v>
      </c>
    </row>
    <row r="19926" spans="1:8" customFormat="1" x14ac:dyDescent="0.25">
      <c r="A19926" t="str">
        <f>"452457"</f>
        <v>452457</v>
      </c>
      <c r="B19926" t="s">
        <v>15194</v>
      </c>
      <c r="C19926" t="s">
        <v>598</v>
      </c>
      <c r="D19926" s="21" t="s">
        <v>34</v>
      </c>
      <c r="E19926" s="21" t="s">
        <v>1089</v>
      </c>
      <c r="F19926">
        <v>4450663</v>
      </c>
      <c r="G19926" t="s">
        <v>2527</v>
      </c>
      <c r="H19926" s="21">
        <v>745.17</v>
      </c>
    </row>
    <row r="19927" spans="1:8" customFormat="1" x14ac:dyDescent="0.25">
      <c r="A19927" t="str">
        <f>"684373"</f>
        <v>684373</v>
      </c>
      <c r="B19927" t="s">
        <v>9535</v>
      </c>
      <c r="C19927" t="s">
        <v>879</v>
      </c>
      <c r="D19927" s="21" t="s">
        <v>34</v>
      </c>
      <c r="E19927" s="21" t="s">
        <v>71</v>
      </c>
      <c r="F19927">
        <v>6680091</v>
      </c>
      <c r="G19927" t="s">
        <v>693</v>
      </c>
      <c r="H19927" s="21">
        <v>745.17</v>
      </c>
    </row>
    <row r="19928" spans="1:8" customFormat="1" x14ac:dyDescent="0.25">
      <c r="A19928" t="str">
        <f>"456003"</f>
        <v>456003</v>
      </c>
      <c r="B19928" t="s">
        <v>2046</v>
      </c>
      <c r="C19928" t="s">
        <v>2365</v>
      </c>
      <c r="D19928" s="21" t="s">
        <v>34</v>
      </c>
      <c r="E19928" s="21" t="s">
        <v>254</v>
      </c>
      <c r="F19928">
        <v>4450757</v>
      </c>
      <c r="G19928" t="s">
        <v>3829</v>
      </c>
      <c r="H19928" s="21">
        <v>745.17</v>
      </c>
    </row>
    <row r="19929" spans="1:8" customFormat="1" x14ac:dyDescent="0.25">
      <c r="A19929" t="str">
        <f>"6311391"</f>
        <v>6311391</v>
      </c>
      <c r="B19929" t="s">
        <v>14598</v>
      </c>
      <c r="C19929" t="s">
        <v>156</v>
      </c>
      <c r="D19929" s="21" t="s">
        <v>34</v>
      </c>
      <c r="E19929" s="21" t="s">
        <v>254</v>
      </c>
      <c r="F19929">
        <v>1630317</v>
      </c>
      <c r="G19929" t="s">
        <v>7523</v>
      </c>
      <c r="H19929" s="21">
        <v>745.17</v>
      </c>
    </row>
    <row r="19930" spans="1:8" customFormat="1" x14ac:dyDescent="0.25">
      <c r="A19930" t="str">
        <f>"6218145"</f>
        <v>6218145</v>
      </c>
      <c r="B19930" t="s">
        <v>4107</v>
      </c>
      <c r="C19930" t="s">
        <v>127</v>
      </c>
      <c r="D19930" s="21" t="s">
        <v>34</v>
      </c>
      <c r="E19930" s="21" t="s">
        <v>35</v>
      </c>
      <c r="F19930">
        <v>7620168</v>
      </c>
      <c r="G19930" t="s">
        <v>15521</v>
      </c>
      <c r="H19930" s="21">
        <v>745.17</v>
      </c>
    </row>
    <row r="19931" spans="1:8" customFormat="1" x14ac:dyDescent="0.25">
      <c r="A19931" t="str">
        <f>"2212406"</f>
        <v>2212406</v>
      </c>
      <c r="B19931" t="s">
        <v>4818</v>
      </c>
      <c r="C19931" t="s">
        <v>664</v>
      </c>
      <c r="D19931" s="21" t="s">
        <v>34</v>
      </c>
      <c r="E19931" s="21" t="s">
        <v>71</v>
      </c>
      <c r="F19931">
        <v>3220037</v>
      </c>
      <c r="G19931" t="s">
        <v>13306</v>
      </c>
      <c r="H19931" s="21">
        <v>745.17</v>
      </c>
    </row>
    <row r="19932" spans="1:8" customFormat="1" x14ac:dyDescent="0.25">
      <c r="A19932" t="str">
        <f>"3312975"</f>
        <v>3312975</v>
      </c>
      <c r="B19932" t="s">
        <v>15598</v>
      </c>
      <c r="C19932" t="s">
        <v>415</v>
      </c>
      <c r="D19932" s="21" t="s">
        <v>34</v>
      </c>
      <c r="E19932" s="21" t="s">
        <v>71</v>
      </c>
      <c r="F19932">
        <v>10330045</v>
      </c>
      <c r="G19932" t="s">
        <v>4506</v>
      </c>
      <c r="H19932" s="21">
        <v>745.04</v>
      </c>
    </row>
    <row r="19933" spans="1:8" customFormat="1" x14ac:dyDescent="0.25">
      <c r="A19933" t="str">
        <f>"714941"</f>
        <v>714941</v>
      </c>
      <c r="B19933" t="s">
        <v>14566</v>
      </c>
      <c r="C19933" t="s">
        <v>14567</v>
      </c>
      <c r="D19933" s="21" t="s">
        <v>34</v>
      </c>
      <c r="E19933" s="21" t="s">
        <v>35</v>
      </c>
      <c r="F19933">
        <v>2390002</v>
      </c>
      <c r="G19933" t="s">
        <v>9132</v>
      </c>
      <c r="H19933" s="21">
        <v>745.04</v>
      </c>
    </row>
    <row r="19934" spans="1:8" customFormat="1" x14ac:dyDescent="0.25">
      <c r="A19934" t="str">
        <f>"034063"</f>
        <v>034063</v>
      </c>
      <c r="B19934" t="s">
        <v>16632</v>
      </c>
      <c r="C19934" t="s">
        <v>1110</v>
      </c>
      <c r="D19934" s="21" t="s">
        <v>34</v>
      </c>
      <c r="E19934" s="21" t="s">
        <v>35</v>
      </c>
      <c r="F19934">
        <v>8780338</v>
      </c>
      <c r="G19934" t="s">
        <v>4145</v>
      </c>
      <c r="H19934" s="21">
        <v>744.92</v>
      </c>
    </row>
    <row r="19935" spans="1:8" customFormat="1" x14ac:dyDescent="0.25">
      <c r="A19935" t="str">
        <f>"5967643"</f>
        <v>5967643</v>
      </c>
      <c r="B19935" t="s">
        <v>16787</v>
      </c>
      <c r="C19935" t="s">
        <v>119</v>
      </c>
      <c r="D19935" s="21" t="s">
        <v>34</v>
      </c>
      <c r="E19935" s="21" t="s">
        <v>35</v>
      </c>
      <c r="F19935">
        <v>7590170</v>
      </c>
      <c r="G19935" t="s">
        <v>868</v>
      </c>
      <c r="H19935" s="21">
        <v>744.92</v>
      </c>
    </row>
    <row r="19936" spans="1:8" customFormat="1" x14ac:dyDescent="0.25">
      <c r="A19936" t="str">
        <f>"589994"</f>
        <v>589994</v>
      </c>
      <c r="B19936" t="s">
        <v>17007</v>
      </c>
      <c r="C19936" t="s">
        <v>119</v>
      </c>
      <c r="D19936" s="21" t="s">
        <v>34</v>
      </c>
      <c r="E19936" s="21" t="s">
        <v>35</v>
      </c>
      <c r="F19936">
        <v>2580006</v>
      </c>
      <c r="G19936" t="s">
        <v>4813</v>
      </c>
      <c r="H19936" s="21">
        <v>744.92</v>
      </c>
    </row>
    <row r="19937" spans="1:8" customFormat="1" x14ac:dyDescent="0.25">
      <c r="A19937" t="str">
        <f>"2929170"</f>
        <v>2929170</v>
      </c>
      <c r="B19937" t="s">
        <v>16138</v>
      </c>
      <c r="C19937" t="s">
        <v>269</v>
      </c>
      <c r="D19937" s="21" t="s">
        <v>34</v>
      </c>
      <c r="E19937" s="21" t="s">
        <v>71</v>
      </c>
      <c r="F19937">
        <v>3290284</v>
      </c>
      <c r="G19937" t="s">
        <v>8972</v>
      </c>
      <c r="H19937" s="21">
        <v>744.79</v>
      </c>
    </row>
    <row r="19938" spans="1:8" customFormat="1" x14ac:dyDescent="0.25">
      <c r="A19938" t="str">
        <f>"3415065"</f>
        <v>3415065</v>
      </c>
      <c r="B19938" t="s">
        <v>27583</v>
      </c>
      <c r="C19938" t="s">
        <v>156</v>
      </c>
      <c r="D19938" s="21" t="s">
        <v>34</v>
      </c>
      <c r="E19938" s="21" t="s">
        <v>35</v>
      </c>
      <c r="F19938">
        <v>1630327</v>
      </c>
      <c r="G19938" t="s">
        <v>13353</v>
      </c>
      <c r="H19938" s="21">
        <v>744.79</v>
      </c>
    </row>
    <row r="19939" spans="1:8" customFormat="1" x14ac:dyDescent="0.25">
      <c r="A19939" t="str">
        <f>"79378"</f>
        <v>79378</v>
      </c>
      <c r="B19939" t="s">
        <v>16156</v>
      </c>
      <c r="C19939" t="s">
        <v>263</v>
      </c>
      <c r="D19939" s="21" t="s">
        <v>34</v>
      </c>
      <c r="E19939" s="21" t="s">
        <v>71</v>
      </c>
      <c r="F19939">
        <v>10790020</v>
      </c>
      <c r="G19939" t="s">
        <v>10221</v>
      </c>
      <c r="H19939" s="21">
        <v>744.67</v>
      </c>
    </row>
    <row r="19940" spans="1:8" customFormat="1" x14ac:dyDescent="0.25">
      <c r="A19940" t="str">
        <f>"5717534"</f>
        <v>5717534</v>
      </c>
      <c r="B19940" t="s">
        <v>16721</v>
      </c>
      <c r="C19940" t="s">
        <v>114</v>
      </c>
      <c r="D19940" s="21" t="s">
        <v>34</v>
      </c>
      <c r="E19940" s="21" t="s">
        <v>71</v>
      </c>
      <c r="F19940">
        <v>6570102</v>
      </c>
      <c r="G19940" t="s">
        <v>16722</v>
      </c>
      <c r="H19940" s="21">
        <v>744.67</v>
      </c>
    </row>
    <row r="19941" spans="1:8" customFormat="1" x14ac:dyDescent="0.25">
      <c r="A19941" t="str">
        <f>"5014487"</f>
        <v>5014487</v>
      </c>
      <c r="B19941" t="s">
        <v>16156</v>
      </c>
      <c r="C19941" t="s">
        <v>547</v>
      </c>
      <c r="D19941" s="21" t="s">
        <v>34</v>
      </c>
      <c r="E19941" s="21" t="s">
        <v>254</v>
      </c>
      <c r="F19941">
        <v>9500069</v>
      </c>
      <c r="G19941" t="s">
        <v>26997</v>
      </c>
      <c r="H19941" s="21">
        <v>744.67</v>
      </c>
    </row>
    <row r="19942" spans="1:8" customFormat="1" x14ac:dyDescent="0.25">
      <c r="A19942" t="str">
        <f>"6214210"</f>
        <v>6214210</v>
      </c>
      <c r="B19942" t="s">
        <v>14728</v>
      </c>
      <c r="C19942" t="s">
        <v>1132</v>
      </c>
      <c r="D19942" s="21" t="s">
        <v>34</v>
      </c>
      <c r="E19942" s="21" t="s">
        <v>71</v>
      </c>
      <c r="F19942">
        <v>7620044</v>
      </c>
      <c r="G19942" t="s">
        <v>2961</v>
      </c>
      <c r="H19942" s="21">
        <v>744.67</v>
      </c>
    </row>
    <row r="19943" spans="1:8" customFormat="1" x14ac:dyDescent="0.25">
      <c r="A19943" t="str">
        <f>"2915689"</f>
        <v>2915689</v>
      </c>
      <c r="B19943" t="s">
        <v>4902</v>
      </c>
      <c r="C19943" t="s">
        <v>598</v>
      </c>
      <c r="D19943" s="21" t="s">
        <v>34</v>
      </c>
      <c r="E19943" s="21" t="s">
        <v>254</v>
      </c>
      <c r="F19943">
        <v>3290284</v>
      </c>
      <c r="G19943" t="s">
        <v>8972</v>
      </c>
      <c r="H19943" s="21">
        <v>744.67</v>
      </c>
    </row>
    <row r="19944" spans="1:8" customFormat="1" x14ac:dyDescent="0.25">
      <c r="A19944" t="str">
        <f>"5948058"</f>
        <v>5948058</v>
      </c>
      <c r="B19944" t="s">
        <v>19137</v>
      </c>
      <c r="C19944" t="s">
        <v>249</v>
      </c>
      <c r="D19944" s="21" t="s">
        <v>34</v>
      </c>
      <c r="E19944" s="21" t="s">
        <v>1089</v>
      </c>
      <c r="F19944">
        <v>7590020</v>
      </c>
      <c r="G19944" t="s">
        <v>5181</v>
      </c>
      <c r="H19944" s="21">
        <v>744.67</v>
      </c>
    </row>
    <row r="19945" spans="1:8" customFormat="1" x14ac:dyDescent="0.25">
      <c r="A19945" t="str">
        <f>"2514931"</f>
        <v>2514931</v>
      </c>
      <c r="B19945" t="s">
        <v>15653</v>
      </c>
      <c r="C19945" t="s">
        <v>2305</v>
      </c>
      <c r="D19945" s="21" t="s">
        <v>34</v>
      </c>
      <c r="E19945" s="21" t="s">
        <v>71</v>
      </c>
      <c r="F19945">
        <v>2250059</v>
      </c>
      <c r="G19945" t="s">
        <v>10904</v>
      </c>
      <c r="H19945" s="21">
        <v>744.67</v>
      </c>
    </row>
    <row r="19946" spans="1:8" customFormat="1" x14ac:dyDescent="0.25">
      <c r="A19946" t="str">
        <f>"2214811"</f>
        <v>2214811</v>
      </c>
      <c r="B19946" t="s">
        <v>15893</v>
      </c>
      <c r="C19946" t="s">
        <v>428</v>
      </c>
      <c r="D19946" s="21" t="s">
        <v>34</v>
      </c>
      <c r="E19946" s="21" t="s">
        <v>35</v>
      </c>
      <c r="F19946">
        <v>3220087</v>
      </c>
      <c r="G19946" t="s">
        <v>3540</v>
      </c>
      <c r="H19946" s="21">
        <v>744.67</v>
      </c>
    </row>
    <row r="19947" spans="1:8" customFormat="1" x14ac:dyDescent="0.25">
      <c r="A19947" t="str">
        <f>"6212852"</f>
        <v>6212852</v>
      </c>
      <c r="B19947" t="s">
        <v>15715</v>
      </c>
      <c r="C19947" t="s">
        <v>33</v>
      </c>
      <c r="D19947" s="21" t="s">
        <v>34</v>
      </c>
      <c r="E19947" s="21" t="s">
        <v>35</v>
      </c>
      <c r="F19947">
        <v>7620016</v>
      </c>
      <c r="G19947" t="s">
        <v>6850</v>
      </c>
      <c r="H19947" s="21">
        <v>744.67</v>
      </c>
    </row>
    <row r="19948" spans="1:8" customFormat="1" x14ac:dyDescent="0.25">
      <c r="A19948" t="str">
        <f>"7631532"</f>
        <v>7631532</v>
      </c>
      <c r="B19948" t="s">
        <v>15340</v>
      </c>
      <c r="C19948" t="s">
        <v>15341</v>
      </c>
      <c r="D19948" s="21" t="s">
        <v>34</v>
      </c>
      <c r="E19948" s="21" t="s">
        <v>71</v>
      </c>
      <c r="F19948">
        <v>9760331</v>
      </c>
      <c r="G19948" t="s">
        <v>5134</v>
      </c>
      <c r="H19948" s="21">
        <v>744.67</v>
      </c>
    </row>
    <row r="19949" spans="1:8" customFormat="1" x14ac:dyDescent="0.25">
      <c r="A19949" t="str">
        <f>"7717643"</f>
        <v>7717643</v>
      </c>
      <c r="B19949" t="s">
        <v>16083</v>
      </c>
      <c r="C19949" t="s">
        <v>239</v>
      </c>
      <c r="D19949" s="21" t="s">
        <v>34</v>
      </c>
      <c r="E19949" s="21" t="s">
        <v>35</v>
      </c>
      <c r="F19949">
        <v>8770988</v>
      </c>
      <c r="G19949" t="s">
        <v>6334</v>
      </c>
      <c r="H19949" s="21">
        <v>744.67</v>
      </c>
    </row>
    <row r="19950" spans="1:8" customFormat="1" x14ac:dyDescent="0.25">
      <c r="A19950" t="str">
        <f>"3816407"</f>
        <v>3816407</v>
      </c>
      <c r="B19950" t="s">
        <v>27584</v>
      </c>
      <c r="C19950" t="s">
        <v>2365</v>
      </c>
      <c r="D19950" s="21" t="s">
        <v>34</v>
      </c>
      <c r="E19950" s="21" t="s">
        <v>254</v>
      </c>
      <c r="F19950">
        <v>1380275</v>
      </c>
      <c r="G19950" t="s">
        <v>8042</v>
      </c>
      <c r="H19950" s="21">
        <v>744.67</v>
      </c>
    </row>
    <row r="19951" spans="1:8" customFormat="1" x14ac:dyDescent="0.25">
      <c r="A19951" t="str">
        <f>"641045"</f>
        <v>641045</v>
      </c>
      <c r="B19951" t="s">
        <v>14738</v>
      </c>
      <c r="C19951" t="s">
        <v>209</v>
      </c>
      <c r="D19951" s="21" t="s">
        <v>34</v>
      </c>
      <c r="E19951" s="21" t="s">
        <v>71</v>
      </c>
      <c r="F19951">
        <v>10640010</v>
      </c>
      <c r="G19951" t="s">
        <v>9410</v>
      </c>
      <c r="H19951" s="21">
        <v>744.67</v>
      </c>
    </row>
    <row r="19952" spans="1:8" customFormat="1" x14ac:dyDescent="0.25">
      <c r="A19952" t="str">
        <f>"4210233"</f>
        <v>4210233</v>
      </c>
      <c r="B19952" t="s">
        <v>816</v>
      </c>
      <c r="C19952" t="s">
        <v>239</v>
      </c>
      <c r="D19952" s="21" t="s">
        <v>34</v>
      </c>
      <c r="E19952" s="21" t="s">
        <v>254</v>
      </c>
      <c r="F19952">
        <v>1420006</v>
      </c>
      <c r="G19952" t="s">
        <v>6019</v>
      </c>
      <c r="H19952" s="21">
        <v>744.67</v>
      </c>
    </row>
    <row r="19953" spans="1:8" customFormat="1" x14ac:dyDescent="0.25">
      <c r="A19953" t="str">
        <f>"35652"</f>
        <v>35652</v>
      </c>
      <c r="B19953" t="s">
        <v>11557</v>
      </c>
      <c r="C19953" t="s">
        <v>598</v>
      </c>
      <c r="D19953" s="21" t="s">
        <v>34</v>
      </c>
      <c r="E19953" s="21" t="s">
        <v>71</v>
      </c>
      <c r="F19953">
        <v>3350041</v>
      </c>
      <c r="G19953" t="s">
        <v>1589</v>
      </c>
      <c r="H19953" s="21">
        <v>744.67</v>
      </c>
    </row>
    <row r="19954" spans="1:8" customFormat="1" x14ac:dyDescent="0.25">
      <c r="A19954" t="str">
        <f>"9242622"</f>
        <v>9242622</v>
      </c>
      <c r="B19954" t="s">
        <v>16438</v>
      </c>
      <c r="C19954" t="s">
        <v>114</v>
      </c>
      <c r="D19954" s="21" t="s">
        <v>34</v>
      </c>
      <c r="E19954" s="21" t="s">
        <v>35</v>
      </c>
      <c r="F19954">
        <v>8921182</v>
      </c>
      <c r="G19954" t="s">
        <v>26954</v>
      </c>
      <c r="H19954" s="21">
        <v>744.67</v>
      </c>
    </row>
    <row r="19955" spans="1:8" customFormat="1" x14ac:dyDescent="0.25">
      <c r="A19955" t="str">
        <f>"277343"</f>
        <v>277343</v>
      </c>
      <c r="B19955" t="s">
        <v>15116</v>
      </c>
      <c r="C19955" t="s">
        <v>209</v>
      </c>
      <c r="D19955" s="21" t="s">
        <v>34</v>
      </c>
      <c r="E19955" s="21" t="s">
        <v>71</v>
      </c>
      <c r="F19955">
        <v>9270013</v>
      </c>
      <c r="G19955" t="s">
        <v>26924</v>
      </c>
      <c r="H19955" s="21">
        <v>744.67</v>
      </c>
    </row>
    <row r="19956" spans="1:8" customFormat="1" x14ac:dyDescent="0.25">
      <c r="A19956" t="str">
        <f>"758512"</f>
        <v>758512</v>
      </c>
      <c r="B19956" t="s">
        <v>197</v>
      </c>
      <c r="C19956" t="s">
        <v>253</v>
      </c>
      <c r="D19956" s="21" t="s">
        <v>34</v>
      </c>
      <c r="E19956" s="21" t="s">
        <v>1089</v>
      </c>
      <c r="F19956">
        <v>8781162</v>
      </c>
      <c r="G19956" t="s">
        <v>7991</v>
      </c>
      <c r="H19956" s="21">
        <v>744.67</v>
      </c>
    </row>
    <row r="19957" spans="1:8" customFormat="1" x14ac:dyDescent="0.25">
      <c r="A19957" t="str">
        <f>"9B913"</f>
        <v>9B913</v>
      </c>
      <c r="B19957" t="s">
        <v>15914</v>
      </c>
      <c r="C19957" t="s">
        <v>260</v>
      </c>
      <c r="D19957" s="21" t="s">
        <v>34</v>
      </c>
      <c r="E19957" s="21" t="s">
        <v>35</v>
      </c>
      <c r="F19957" t="s">
        <v>10239</v>
      </c>
      <c r="G19957" t="s">
        <v>10240</v>
      </c>
      <c r="H19957" s="21">
        <v>744.67</v>
      </c>
    </row>
    <row r="19958" spans="1:8" customFormat="1" x14ac:dyDescent="0.25">
      <c r="A19958" t="str">
        <f>"857865"</f>
        <v>857865</v>
      </c>
      <c r="B19958" t="s">
        <v>17017</v>
      </c>
      <c r="C19958" t="s">
        <v>2135</v>
      </c>
      <c r="D19958" s="21" t="s">
        <v>34</v>
      </c>
      <c r="E19958" s="21" t="s">
        <v>254</v>
      </c>
      <c r="F19958">
        <v>12850138</v>
      </c>
      <c r="G19958" t="s">
        <v>6879</v>
      </c>
      <c r="H19958" s="21">
        <v>744.67</v>
      </c>
    </row>
    <row r="19959" spans="1:8" customFormat="1" x14ac:dyDescent="0.25">
      <c r="A19959" t="str">
        <f>"275971"</f>
        <v>275971</v>
      </c>
      <c r="B19959" t="s">
        <v>18038</v>
      </c>
      <c r="C19959" t="s">
        <v>415</v>
      </c>
      <c r="D19959" s="21" t="s">
        <v>34</v>
      </c>
      <c r="E19959" s="21" t="s">
        <v>254</v>
      </c>
      <c r="F19959">
        <v>9270152</v>
      </c>
      <c r="G19959" t="s">
        <v>1985</v>
      </c>
      <c r="H19959" s="21">
        <v>744.67</v>
      </c>
    </row>
    <row r="19960" spans="1:8" customFormat="1" x14ac:dyDescent="0.25">
      <c r="A19960" t="str">
        <f>"859120"</f>
        <v>859120</v>
      </c>
      <c r="B19960" t="s">
        <v>6098</v>
      </c>
      <c r="C19960" t="s">
        <v>412</v>
      </c>
      <c r="D19960" s="21" t="s">
        <v>34</v>
      </c>
      <c r="E19960" s="21" t="s">
        <v>254</v>
      </c>
      <c r="F19960">
        <v>12850138</v>
      </c>
      <c r="G19960" t="s">
        <v>6879</v>
      </c>
      <c r="H19960" s="21">
        <v>744.67</v>
      </c>
    </row>
    <row r="19961" spans="1:8" customFormat="1" x14ac:dyDescent="0.25">
      <c r="A19961" t="str">
        <f>"3520508"</f>
        <v>3520508</v>
      </c>
      <c r="B19961" t="s">
        <v>1945</v>
      </c>
      <c r="C19961" t="s">
        <v>40</v>
      </c>
      <c r="D19961" s="21" t="s">
        <v>34</v>
      </c>
      <c r="E19961" s="21" t="s">
        <v>71</v>
      </c>
      <c r="F19961">
        <v>3350132</v>
      </c>
      <c r="G19961" t="s">
        <v>17921</v>
      </c>
      <c r="H19961" s="21">
        <v>744.67</v>
      </c>
    </row>
    <row r="19962" spans="1:8" customFormat="1" x14ac:dyDescent="0.25">
      <c r="A19962" t="str">
        <f>"9443420"</f>
        <v>9443420</v>
      </c>
      <c r="B19962" t="s">
        <v>5343</v>
      </c>
      <c r="C19962" t="s">
        <v>598</v>
      </c>
      <c r="D19962" s="21" t="s">
        <v>34</v>
      </c>
      <c r="E19962" s="21" t="s">
        <v>71</v>
      </c>
      <c r="F19962">
        <v>8940866</v>
      </c>
      <c r="G19962" t="s">
        <v>519</v>
      </c>
      <c r="H19962" s="21">
        <v>744.54</v>
      </c>
    </row>
    <row r="19963" spans="1:8" customFormat="1" x14ac:dyDescent="0.25">
      <c r="A19963" t="str">
        <f>"3530639"</f>
        <v>3530639</v>
      </c>
      <c r="B19963" t="s">
        <v>5222</v>
      </c>
      <c r="C19963" t="s">
        <v>209</v>
      </c>
      <c r="D19963" s="21" t="s">
        <v>34</v>
      </c>
      <c r="E19963" s="21" t="s">
        <v>35</v>
      </c>
      <c r="F19963">
        <v>3350027</v>
      </c>
      <c r="G19963" t="s">
        <v>2760</v>
      </c>
      <c r="H19963" s="21">
        <v>744.5</v>
      </c>
    </row>
    <row r="19964" spans="1:8" customFormat="1" x14ac:dyDescent="0.25">
      <c r="A19964" t="str">
        <f>"538272"</f>
        <v>538272</v>
      </c>
      <c r="B19964" t="s">
        <v>3183</v>
      </c>
      <c r="C19964" t="s">
        <v>267</v>
      </c>
      <c r="D19964" s="21" t="s">
        <v>34</v>
      </c>
      <c r="E19964" s="21" t="s">
        <v>254</v>
      </c>
      <c r="F19964">
        <v>12530018</v>
      </c>
      <c r="G19964" t="s">
        <v>8768</v>
      </c>
      <c r="H19964" s="21">
        <v>744.42</v>
      </c>
    </row>
    <row r="19965" spans="1:8" customFormat="1" x14ac:dyDescent="0.25">
      <c r="A19965" t="str">
        <f>"8516279"</f>
        <v>8516279</v>
      </c>
      <c r="B19965" t="s">
        <v>15134</v>
      </c>
      <c r="C19965" t="s">
        <v>239</v>
      </c>
      <c r="D19965" s="21" t="s">
        <v>34</v>
      </c>
      <c r="E19965" s="21" t="s">
        <v>71</v>
      </c>
      <c r="F19965">
        <v>12850033</v>
      </c>
      <c r="G19965" t="s">
        <v>703</v>
      </c>
      <c r="H19965" s="21">
        <v>744.29</v>
      </c>
    </row>
    <row r="19966" spans="1:8" customFormat="1" x14ac:dyDescent="0.25">
      <c r="A19966" t="str">
        <f>"7832546"</f>
        <v>7832546</v>
      </c>
      <c r="B19966" t="s">
        <v>14857</v>
      </c>
      <c r="C19966" t="s">
        <v>187</v>
      </c>
      <c r="D19966" s="21" t="s">
        <v>34</v>
      </c>
      <c r="E19966" s="21" t="s">
        <v>71</v>
      </c>
      <c r="F19966">
        <v>8780447</v>
      </c>
      <c r="G19966" t="s">
        <v>9215</v>
      </c>
      <c r="H19966" s="21">
        <v>744.29</v>
      </c>
    </row>
    <row r="19967" spans="1:8" customFormat="1" x14ac:dyDescent="0.25">
      <c r="A19967" t="str">
        <f>"9236611"</f>
        <v>9236611</v>
      </c>
      <c r="B19967" t="s">
        <v>1953</v>
      </c>
      <c r="C19967" t="s">
        <v>712</v>
      </c>
      <c r="D19967" s="21" t="s">
        <v>34</v>
      </c>
      <c r="E19967" s="21" t="s">
        <v>254</v>
      </c>
      <c r="F19967">
        <v>8920049</v>
      </c>
      <c r="G19967" t="s">
        <v>237</v>
      </c>
      <c r="H19967" s="21">
        <v>744.29</v>
      </c>
    </row>
    <row r="19968" spans="1:8" customFormat="1" x14ac:dyDescent="0.25">
      <c r="A19968" t="str">
        <f>"227692"</f>
        <v>227692</v>
      </c>
      <c r="B19968" t="s">
        <v>1601</v>
      </c>
      <c r="C19968" t="s">
        <v>198</v>
      </c>
      <c r="D19968" s="21" t="s">
        <v>34</v>
      </c>
      <c r="E19968" s="21" t="s">
        <v>71</v>
      </c>
      <c r="F19968">
        <v>3220132</v>
      </c>
      <c r="G19968" t="s">
        <v>27242</v>
      </c>
      <c r="H19968" s="21">
        <v>744.17</v>
      </c>
    </row>
    <row r="19969" spans="1:8" customFormat="1" x14ac:dyDescent="0.25">
      <c r="A19969" t="str">
        <f>"441230"</f>
        <v>441230</v>
      </c>
      <c r="B19969" t="s">
        <v>13577</v>
      </c>
      <c r="C19969" t="s">
        <v>453</v>
      </c>
      <c r="D19969" s="21" t="s">
        <v>34</v>
      </c>
      <c r="E19969" s="21" t="s">
        <v>254</v>
      </c>
      <c r="F19969">
        <v>12440034</v>
      </c>
      <c r="G19969" t="s">
        <v>10586</v>
      </c>
      <c r="H19969" s="21">
        <v>744.17</v>
      </c>
    </row>
    <row r="19970" spans="1:8" customFormat="1" x14ac:dyDescent="0.25">
      <c r="A19970" t="str">
        <f>"7912559"</f>
        <v>7912559</v>
      </c>
      <c r="B19970" t="s">
        <v>17355</v>
      </c>
      <c r="C19970" t="s">
        <v>43</v>
      </c>
      <c r="D19970" s="21" t="s">
        <v>34</v>
      </c>
      <c r="E19970" s="21" t="s">
        <v>35</v>
      </c>
      <c r="F19970">
        <v>10860193</v>
      </c>
      <c r="G19970" t="s">
        <v>1603</v>
      </c>
      <c r="H19970" s="21">
        <v>744.17</v>
      </c>
    </row>
    <row r="19971" spans="1:8" customFormat="1" x14ac:dyDescent="0.25">
      <c r="A19971" t="str">
        <f>"3720035"</f>
        <v>3720035</v>
      </c>
      <c r="B19971" t="s">
        <v>5972</v>
      </c>
      <c r="C19971" t="s">
        <v>285</v>
      </c>
      <c r="D19971" s="21" t="s">
        <v>34</v>
      </c>
      <c r="E19971" s="21" t="s">
        <v>35</v>
      </c>
      <c r="F19971">
        <v>4370442</v>
      </c>
      <c r="G19971" t="s">
        <v>7869</v>
      </c>
      <c r="H19971" s="21">
        <v>744.17</v>
      </c>
    </row>
    <row r="19972" spans="1:8" customFormat="1" x14ac:dyDescent="0.25">
      <c r="A19972" t="str">
        <f>"5731226"</f>
        <v>5731226</v>
      </c>
      <c r="B19972" t="s">
        <v>2851</v>
      </c>
      <c r="C19972" t="s">
        <v>204</v>
      </c>
      <c r="D19972" s="21" t="s">
        <v>34</v>
      </c>
      <c r="E19972" s="21" t="s">
        <v>71</v>
      </c>
      <c r="F19972">
        <v>6570019</v>
      </c>
      <c r="G19972" t="s">
        <v>1510</v>
      </c>
      <c r="H19972" s="21">
        <v>744.17</v>
      </c>
    </row>
    <row r="19973" spans="1:8" customFormat="1" x14ac:dyDescent="0.25">
      <c r="A19973" t="str">
        <f>"7716553"</f>
        <v>7716553</v>
      </c>
      <c r="B19973" t="s">
        <v>15887</v>
      </c>
      <c r="C19973" t="s">
        <v>269</v>
      </c>
      <c r="D19973" s="21" t="s">
        <v>34</v>
      </c>
      <c r="E19973" s="21" t="s">
        <v>71</v>
      </c>
      <c r="F19973">
        <v>8771315</v>
      </c>
      <c r="G19973" t="s">
        <v>7070</v>
      </c>
      <c r="H19973" s="21">
        <v>744.17</v>
      </c>
    </row>
    <row r="19974" spans="1:8" customFormat="1" x14ac:dyDescent="0.25">
      <c r="A19974" t="str">
        <f>"736260"</f>
        <v>736260</v>
      </c>
      <c r="B19974" t="s">
        <v>15997</v>
      </c>
      <c r="C19974" t="s">
        <v>15998</v>
      </c>
      <c r="D19974" s="21" t="s">
        <v>34</v>
      </c>
      <c r="E19974" s="21" t="s">
        <v>35</v>
      </c>
      <c r="F19974">
        <v>1690150</v>
      </c>
      <c r="G19974" t="s">
        <v>19630</v>
      </c>
      <c r="H19974" s="21">
        <v>744.17</v>
      </c>
    </row>
    <row r="19975" spans="1:8" customFormat="1" x14ac:dyDescent="0.25">
      <c r="A19975" t="str">
        <f>"8512785"</f>
        <v>8512785</v>
      </c>
      <c r="B19975" t="s">
        <v>10753</v>
      </c>
      <c r="C19975" t="s">
        <v>169</v>
      </c>
      <c r="D19975" s="21" t="s">
        <v>34</v>
      </c>
      <c r="E19975" s="21" t="s">
        <v>35</v>
      </c>
      <c r="F19975">
        <v>12850042</v>
      </c>
      <c r="G19975" t="s">
        <v>5342</v>
      </c>
      <c r="H19975" s="21">
        <v>744.17</v>
      </c>
    </row>
    <row r="19976" spans="1:8" customFormat="1" x14ac:dyDescent="0.25">
      <c r="A19976" t="str">
        <f>"6314430"</f>
        <v>6314430</v>
      </c>
      <c r="B19976" t="s">
        <v>17000</v>
      </c>
      <c r="C19976" t="s">
        <v>926</v>
      </c>
      <c r="D19976" s="21" t="s">
        <v>34</v>
      </c>
      <c r="E19976" s="21" t="s">
        <v>35</v>
      </c>
      <c r="F19976">
        <v>1630009</v>
      </c>
      <c r="G19976" t="s">
        <v>6021</v>
      </c>
      <c r="H19976" s="21">
        <v>744.17</v>
      </c>
    </row>
    <row r="19977" spans="1:8" customFormat="1" x14ac:dyDescent="0.25">
      <c r="A19977" t="str">
        <f>"8611812"</f>
        <v>8611812</v>
      </c>
      <c r="B19977" t="s">
        <v>17457</v>
      </c>
      <c r="C19977" t="s">
        <v>17458</v>
      </c>
      <c r="D19977" s="21" t="s">
        <v>34</v>
      </c>
      <c r="E19977" s="21" t="s">
        <v>35</v>
      </c>
      <c r="F19977">
        <v>10860193</v>
      </c>
      <c r="G19977" t="s">
        <v>1603</v>
      </c>
      <c r="H19977" s="21">
        <v>744.17</v>
      </c>
    </row>
    <row r="19978" spans="1:8" customFormat="1" x14ac:dyDescent="0.25">
      <c r="A19978" t="str">
        <f>"2931427"</f>
        <v>2931427</v>
      </c>
      <c r="B19978" t="s">
        <v>691</v>
      </c>
      <c r="C19978" t="s">
        <v>4092</v>
      </c>
      <c r="D19978" s="21" t="s">
        <v>34</v>
      </c>
      <c r="E19978" s="21" t="s">
        <v>71</v>
      </c>
      <c r="F19978">
        <v>3290090</v>
      </c>
      <c r="G19978" t="s">
        <v>1390</v>
      </c>
      <c r="H19978" s="21">
        <v>744.17</v>
      </c>
    </row>
    <row r="19979" spans="1:8" customFormat="1" x14ac:dyDescent="0.25">
      <c r="A19979" t="str">
        <f>"59192"</f>
        <v>59192</v>
      </c>
      <c r="B19979" t="s">
        <v>14927</v>
      </c>
      <c r="C19979" t="s">
        <v>1914</v>
      </c>
      <c r="D19979" s="21" t="s">
        <v>34</v>
      </c>
      <c r="E19979" s="21" t="s">
        <v>254</v>
      </c>
      <c r="F19979">
        <v>7590123</v>
      </c>
      <c r="G19979" t="s">
        <v>85</v>
      </c>
      <c r="H19979" s="21">
        <v>744.17</v>
      </c>
    </row>
    <row r="19980" spans="1:8" customFormat="1" x14ac:dyDescent="0.25">
      <c r="A19980" t="str">
        <f>"5414001"</f>
        <v>5414001</v>
      </c>
      <c r="B19980" t="s">
        <v>27585</v>
      </c>
      <c r="C19980" t="s">
        <v>139</v>
      </c>
      <c r="D19980" s="21" t="s">
        <v>34</v>
      </c>
      <c r="E19980" s="21" t="s">
        <v>71</v>
      </c>
      <c r="F19980">
        <v>6540047</v>
      </c>
      <c r="G19980" t="s">
        <v>5423</v>
      </c>
      <c r="H19980" s="21">
        <v>744.17</v>
      </c>
    </row>
    <row r="19981" spans="1:8" customFormat="1" x14ac:dyDescent="0.25">
      <c r="A19981" t="str">
        <f>"7911088"</f>
        <v>7911088</v>
      </c>
      <c r="B19981" t="s">
        <v>16833</v>
      </c>
      <c r="C19981" t="s">
        <v>428</v>
      </c>
      <c r="D19981" s="21" t="s">
        <v>34</v>
      </c>
      <c r="E19981" s="21" t="s">
        <v>71</v>
      </c>
      <c r="F19981">
        <v>10790163</v>
      </c>
      <c r="G19981" t="s">
        <v>2015</v>
      </c>
      <c r="H19981" s="21">
        <v>744.17</v>
      </c>
    </row>
    <row r="19982" spans="1:8" customFormat="1" x14ac:dyDescent="0.25">
      <c r="A19982" t="str">
        <f>"6120"</f>
        <v>6120</v>
      </c>
      <c r="B19982" t="s">
        <v>15585</v>
      </c>
      <c r="C19982" t="s">
        <v>781</v>
      </c>
      <c r="D19982" s="21" t="s">
        <v>34</v>
      </c>
      <c r="E19982" s="21" t="s">
        <v>71</v>
      </c>
      <c r="F19982">
        <v>9610122</v>
      </c>
      <c r="G19982" t="s">
        <v>4349</v>
      </c>
      <c r="H19982" s="21">
        <v>744.17</v>
      </c>
    </row>
    <row r="19983" spans="1:8" customFormat="1" x14ac:dyDescent="0.25">
      <c r="A19983" t="str">
        <f>"355768"</f>
        <v>355768</v>
      </c>
      <c r="B19983" t="s">
        <v>4535</v>
      </c>
      <c r="C19983" t="s">
        <v>124</v>
      </c>
      <c r="D19983" s="21" t="s">
        <v>34</v>
      </c>
      <c r="E19983" s="21" t="s">
        <v>71</v>
      </c>
      <c r="F19983">
        <v>3350102</v>
      </c>
      <c r="G19983" t="s">
        <v>4942</v>
      </c>
      <c r="H19983" s="21">
        <v>744.17</v>
      </c>
    </row>
    <row r="19984" spans="1:8" customFormat="1" x14ac:dyDescent="0.25">
      <c r="A19984" t="str">
        <f>"331056"</f>
        <v>331056</v>
      </c>
      <c r="B19984" t="s">
        <v>15631</v>
      </c>
      <c r="C19984" t="s">
        <v>1146</v>
      </c>
      <c r="D19984" s="21" t="s">
        <v>34</v>
      </c>
      <c r="E19984" s="21" t="s">
        <v>254</v>
      </c>
      <c r="F19984">
        <v>10330037</v>
      </c>
      <c r="G19984" t="s">
        <v>5960</v>
      </c>
      <c r="H19984" s="21">
        <v>744.17</v>
      </c>
    </row>
    <row r="19985" spans="1:8" customFormat="1" x14ac:dyDescent="0.25">
      <c r="A19985" t="str">
        <f>"1612288"</f>
        <v>1612288</v>
      </c>
      <c r="B19985" t="s">
        <v>2571</v>
      </c>
      <c r="C19985" t="s">
        <v>119</v>
      </c>
      <c r="D19985" s="21" t="s">
        <v>34</v>
      </c>
      <c r="E19985" s="21" t="s">
        <v>35</v>
      </c>
      <c r="F19985">
        <v>10160024</v>
      </c>
      <c r="G19985" t="s">
        <v>511</v>
      </c>
      <c r="H19985" s="21">
        <v>744.17</v>
      </c>
    </row>
    <row r="19986" spans="1:8" customFormat="1" x14ac:dyDescent="0.25">
      <c r="A19986" t="str">
        <f>"7619686"</f>
        <v>7619686</v>
      </c>
      <c r="B19986" t="s">
        <v>8362</v>
      </c>
      <c r="C19986" t="s">
        <v>4721</v>
      </c>
      <c r="D19986" s="21" t="s">
        <v>34</v>
      </c>
      <c r="E19986" s="21" t="s">
        <v>1089</v>
      </c>
      <c r="F19986">
        <v>9270047</v>
      </c>
      <c r="G19986" t="s">
        <v>4420</v>
      </c>
      <c r="H19986" s="21">
        <v>744.17</v>
      </c>
    </row>
    <row r="19987" spans="1:8" customFormat="1" x14ac:dyDescent="0.25">
      <c r="A19987" t="str">
        <f>"4428346"</f>
        <v>4428346</v>
      </c>
      <c r="B19987" t="s">
        <v>16268</v>
      </c>
      <c r="C19987" t="s">
        <v>55</v>
      </c>
      <c r="D19987" s="21" t="s">
        <v>34</v>
      </c>
      <c r="E19987" s="21" t="s">
        <v>71</v>
      </c>
      <c r="F19987">
        <v>3220048</v>
      </c>
      <c r="G19987" t="s">
        <v>26532</v>
      </c>
      <c r="H19987" s="21">
        <v>744.04</v>
      </c>
    </row>
    <row r="19988" spans="1:8" customFormat="1" x14ac:dyDescent="0.25">
      <c r="A19988" t="str">
        <f>"2713174"</f>
        <v>2713174</v>
      </c>
      <c r="B19988" t="s">
        <v>11251</v>
      </c>
      <c r="C19988" t="s">
        <v>130</v>
      </c>
      <c r="D19988" s="21" t="s">
        <v>34</v>
      </c>
      <c r="E19988" s="21" t="s">
        <v>71</v>
      </c>
      <c r="F19988">
        <v>9270139</v>
      </c>
      <c r="G19988" t="s">
        <v>6955</v>
      </c>
      <c r="H19988" s="21">
        <v>743.67</v>
      </c>
    </row>
    <row r="19989" spans="1:8" customFormat="1" x14ac:dyDescent="0.25">
      <c r="A19989" t="str">
        <f>"5977797"</f>
        <v>5977797</v>
      </c>
      <c r="B19989" t="s">
        <v>2835</v>
      </c>
      <c r="C19989" t="s">
        <v>65</v>
      </c>
      <c r="D19989" s="21" t="s">
        <v>34</v>
      </c>
      <c r="E19989" s="21" t="s">
        <v>35</v>
      </c>
      <c r="F19989">
        <v>7590392</v>
      </c>
      <c r="G19989" t="s">
        <v>154</v>
      </c>
      <c r="H19989" s="21">
        <v>743.67</v>
      </c>
    </row>
    <row r="19990" spans="1:8" customFormat="1" x14ac:dyDescent="0.25">
      <c r="A19990" t="str">
        <f>"5111250"</f>
        <v>5111250</v>
      </c>
      <c r="B19990" t="s">
        <v>17577</v>
      </c>
      <c r="C19990" t="s">
        <v>608</v>
      </c>
      <c r="D19990" s="21" t="s">
        <v>34</v>
      </c>
      <c r="E19990" s="21" t="s">
        <v>35</v>
      </c>
      <c r="F19990">
        <v>6510042</v>
      </c>
      <c r="G19990" t="s">
        <v>15015</v>
      </c>
      <c r="H19990" s="21">
        <v>743.67</v>
      </c>
    </row>
    <row r="19991" spans="1:8" customFormat="1" x14ac:dyDescent="0.25">
      <c r="A19991" t="str">
        <f>"7875096"</f>
        <v>7875096</v>
      </c>
      <c r="B19991" t="s">
        <v>10802</v>
      </c>
      <c r="C19991" t="s">
        <v>109</v>
      </c>
      <c r="D19991" s="21" t="s">
        <v>34</v>
      </c>
      <c r="E19991" s="21" t="s">
        <v>254</v>
      </c>
      <c r="F19991">
        <v>8780114</v>
      </c>
      <c r="G19991" t="s">
        <v>927</v>
      </c>
      <c r="H19991" s="21">
        <v>743.67</v>
      </c>
    </row>
    <row r="19992" spans="1:8" customFormat="1" x14ac:dyDescent="0.25">
      <c r="A19992" t="str">
        <f>"8014437"</f>
        <v>8014437</v>
      </c>
      <c r="B19992" t="s">
        <v>18341</v>
      </c>
      <c r="C19992" t="s">
        <v>288</v>
      </c>
      <c r="D19992" s="21" t="s">
        <v>34</v>
      </c>
      <c r="E19992" s="21" t="s">
        <v>35</v>
      </c>
      <c r="F19992">
        <v>7800126</v>
      </c>
      <c r="G19992" t="s">
        <v>1105</v>
      </c>
      <c r="H19992" s="21">
        <v>743.67</v>
      </c>
    </row>
    <row r="19993" spans="1:8" customFormat="1" x14ac:dyDescent="0.25">
      <c r="A19993" t="str">
        <f>"5311700"</f>
        <v>5311700</v>
      </c>
      <c r="B19993" t="s">
        <v>8222</v>
      </c>
      <c r="C19993" t="s">
        <v>198</v>
      </c>
      <c r="D19993" s="21" t="s">
        <v>34</v>
      </c>
      <c r="E19993" s="21" t="s">
        <v>71</v>
      </c>
      <c r="F19993">
        <v>12530146</v>
      </c>
      <c r="G19993" t="s">
        <v>10916</v>
      </c>
      <c r="H19993" s="21">
        <v>743.67</v>
      </c>
    </row>
    <row r="19994" spans="1:8" customFormat="1" x14ac:dyDescent="0.25">
      <c r="A19994" t="str">
        <f>"1313480"</f>
        <v>1313480</v>
      </c>
      <c r="B19994" t="s">
        <v>15350</v>
      </c>
      <c r="C19994" t="s">
        <v>62</v>
      </c>
      <c r="D19994" s="21" t="s">
        <v>34</v>
      </c>
      <c r="E19994" s="21" t="s">
        <v>35</v>
      </c>
      <c r="F19994">
        <v>13130164</v>
      </c>
      <c r="G19994" t="s">
        <v>15351</v>
      </c>
      <c r="H19994" s="21">
        <v>743.67</v>
      </c>
    </row>
    <row r="19995" spans="1:8" customFormat="1" x14ac:dyDescent="0.25">
      <c r="A19995" t="str">
        <f>"3110919"</f>
        <v>3110919</v>
      </c>
      <c r="B19995" t="s">
        <v>17081</v>
      </c>
      <c r="C19995" t="s">
        <v>1199</v>
      </c>
      <c r="D19995" s="21" t="s">
        <v>34</v>
      </c>
      <c r="E19995" s="21" t="s">
        <v>71</v>
      </c>
      <c r="F19995">
        <v>11310006</v>
      </c>
      <c r="G19995" t="s">
        <v>419</v>
      </c>
      <c r="H19995" s="21">
        <v>743.67</v>
      </c>
    </row>
    <row r="19996" spans="1:8" customFormat="1" x14ac:dyDescent="0.25">
      <c r="A19996" t="str">
        <f>"8513356"</f>
        <v>8513356</v>
      </c>
      <c r="B19996" t="s">
        <v>16873</v>
      </c>
      <c r="C19996" t="s">
        <v>119</v>
      </c>
      <c r="D19996" s="21" t="s">
        <v>34</v>
      </c>
      <c r="E19996" s="21" t="s">
        <v>35</v>
      </c>
      <c r="F19996">
        <v>4370608</v>
      </c>
      <c r="G19996" t="s">
        <v>11068</v>
      </c>
      <c r="H19996" s="21">
        <v>743.67</v>
      </c>
    </row>
    <row r="19997" spans="1:8" customFormat="1" x14ac:dyDescent="0.25">
      <c r="A19997" t="str">
        <f>"7920981"</f>
        <v>7920981</v>
      </c>
      <c r="B19997" t="s">
        <v>17216</v>
      </c>
      <c r="C19997" t="s">
        <v>462</v>
      </c>
      <c r="D19997" s="21" t="s">
        <v>34</v>
      </c>
      <c r="E19997" s="21" t="s">
        <v>71</v>
      </c>
      <c r="F19997">
        <v>10790163</v>
      </c>
      <c r="G19997" t="s">
        <v>2015</v>
      </c>
      <c r="H19997" s="21">
        <v>743.67</v>
      </c>
    </row>
    <row r="19998" spans="1:8" customFormat="1" x14ac:dyDescent="0.25">
      <c r="A19998" t="str">
        <f>"7221648"</f>
        <v>7221648</v>
      </c>
      <c r="B19998" t="s">
        <v>19782</v>
      </c>
      <c r="C19998" t="s">
        <v>249</v>
      </c>
      <c r="D19998" s="21" t="s">
        <v>34</v>
      </c>
      <c r="E19998" s="21" t="s">
        <v>35</v>
      </c>
      <c r="F19998">
        <v>12720049</v>
      </c>
      <c r="G19998" t="s">
        <v>1627</v>
      </c>
      <c r="H19998" s="21">
        <v>743.67</v>
      </c>
    </row>
    <row r="19999" spans="1:8" customFormat="1" x14ac:dyDescent="0.25">
      <c r="A19999" t="str">
        <f>"1316788"</f>
        <v>1316788</v>
      </c>
      <c r="B19999" t="s">
        <v>17170</v>
      </c>
      <c r="C19999" t="s">
        <v>62</v>
      </c>
      <c r="D19999" s="21" t="s">
        <v>34</v>
      </c>
      <c r="E19999" s="21" t="s">
        <v>71</v>
      </c>
      <c r="F19999">
        <v>13130162</v>
      </c>
      <c r="G19999" t="s">
        <v>13411</v>
      </c>
      <c r="H19999" s="21">
        <v>743.67</v>
      </c>
    </row>
    <row r="20000" spans="1:8" customFormat="1" x14ac:dyDescent="0.25">
      <c r="A20000" t="str">
        <f>"5320296"</f>
        <v>5320296</v>
      </c>
      <c r="B20000" t="s">
        <v>10642</v>
      </c>
      <c r="C20000" t="s">
        <v>249</v>
      </c>
      <c r="D20000" s="21" t="s">
        <v>34</v>
      </c>
      <c r="E20000" s="21" t="s">
        <v>35</v>
      </c>
      <c r="F20000">
        <v>12538910</v>
      </c>
      <c r="G20000" t="s">
        <v>8855</v>
      </c>
      <c r="H20000" s="21">
        <v>743.67</v>
      </c>
    </row>
    <row r="20001" spans="1:8" customFormat="1" x14ac:dyDescent="0.25">
      <c r="A20001" t="str">
        <f>"846378"</f>
        <v>846378</v>
      </c>
      <c r="B20001" t="s">
        <v>16887</v>
      </c>
      <c r="C20001" t="s">
        <v>119</v>
      </c>
      <c r="D20001" s="21" t="s">
        <v>34</v>
      </c>
      <c r="E20001" s="21" t="s">
        <v>35</v>
      </c>
      <c r="F20001">
        <v>13840058</v>
      </c>
      <c r="G20001" t="s">
        <v>7032</v>
      </c>
      <c r="H20001" s="21">
        <v>743.67</v>
      </c>
    </row>
    <row r="20002" spans="1:8" customFormat="1" x14ac:dyDescent="0.25">
      <c r="A20002" t="str">
        <f>"9133375"</f>
        <v>9133375</v>
      </c>
      <c r="B20002" t="s">
        <v>15299</v>
      </c>
      <c r="C20002" t="s">
        <v>639</v>
      </c>
      <c r="D20002" s="21" t="s">
        <v>34</v>
      </c>
      <c r="E20002" s="21" t="s">
        <v>254</v>
      </c>
      <c r="F20002">
        <v>8910285</v>
      </c>
      <c r="G20002" t="s">
        <v>26604</v>
      </c>
      <c r="H20002" s="21">
        <v>743.67</v>
      </c>
    </row>
    <row r="20003" spans="1:8" customFormat="1" x14ac:dyDescent="0.25">
      <c r="A20003" t="str">
        <f>"2712071"</f>
        <v>2712071</v>
      </c>
      <c r="B20003" t="s">
        <v>7877</v>
      </c>
      <c r="C20003" t="s">
        <v>1271</v>
      </c>
      <c r="D20003" s="21" t="s">
        <v>34</v>
      </c>
      <c r="E20003" s="21" t="s">
        <v>71</v>
      </c>
      <c r="F20003">
        <v>9270008</v>
      </c>
      <c r="G20003" t="s">
        <v>7853</v>
      </c>
      <c r="H20003" s="21">
        <v>743.67</v>
      </c>
    </row>
    <row r="20004" spans="1:8" customFormat="1" x14ac:dyDescent="0.25">
      <c r="A20004" t="str">
        <f>"2811057"</f>
        <v>2811057</v>
      </c>
      <c r="B20004" t="s">
        <v>15726</v>
      </c>
      <c r="C20004" t="s">
        <v>652</v>
      </c>
      <c r="D20004" s="21" t="s">
        <v>34</v>
      </c>
      <c r="E20004" s="21" t="s">
        <v>254</v>
      </c>
      <c r="F20004">
        <v>4280722</v>
      </c>
      <c r="G20004" t="s">
        <v>8251</v>
      </c>
      <c r="H20004" s="21">
        <v>743.67</v>
      </c>
    </row>
    <row r="20005" spans="1:8" customFormat="1" x14ac:dyDescent="0.25">
      <c r="A20005" t="str">
        <f>"102956"</f>
        <v>102956</v>
      </c>
      <c r="B20005" t="s">
        <v>465</v>
      </c>
      <c r="C20005" t="s">
        <v>206</v>
      </c>
      <c r="D20005" s="21" t="s">
        <v>34</v>
      </c>
      <c r="E20005" s="21" t="s">
        <v>35</v>
      </c>
      <c r="F20005">
        <v>6670268</v>
      </c>
      <c r="G20005" t="s">
        <v>8908</v>
      </c>
      <c r="H20005" s="21">
        <v>743.67</v>
      </c>
    </row>
    <row r="20006" spans="1:8" customFormat="1" x14ac:dyDescent="0.25">
      <c r="A20006" t="str">
        <f>"142989"</f>
        <v>142989</v>
      </c>
      <c r="B20006" t="s">
        <v>23554</v>
      </c>
      <c r="C20006" t="s">
        <v>498</v>
      </c>
      <c r="D20006" s="21" t="s">
        <v>34</v>
      </c>
      <c r="E20006" s="21" t="s">
        <v>35</v>
      </c>
      <c r="F20006">
        <v>8780108</v>
      </c>
      <c r="G20006" t="s">
        <v>4329</v>
      </c>
      <c r="H20006" s="21">
        <v>743.54</v>
      </c>
    </row>
    <row r="20007" spans="1:8" customFormat="1" x14ac:dyDescent="0.25">
      <c r="A20007" t="str">
        <f>"9443010"</f>
        <v>9443010</v>
      </c>
      <c r="B20007" t="s">
        <v>14881</v>
      </c>
      <c r="C20007" t="s">
        <v>2479</v>
      </c>
      <c r="D20007" s="21" t="s">
        <v>34</v>
      </c>
      <c r="E20007" s="21" t="s">
        <v>35</v>
      </c>
      <c r="F20007">
        <v>8940535</v>
      </c>
      <c r="G20007" t="s">
        <v>2628</v>
      </c>
      <c r="H20007" s="21">
        <v>743.42</v>
      </c>
    </row>
    <row r="20008" spans="1:8" customFormat="1" x14ac:dyDescent="0.25">
      <c r="A20008" t="str">
        <f>"6940200"</f>
        <v>6940200</v>
      </c>
      <c r="B20008" t="s">
        <v>19794</v>
      </c>
      <c r="C20008" t="s">
        <v>147</v>
      </c>
      <c r="D20008" s="21" t="s">
        <v>34</v>
      </c>
      <c r="E20008" s="21" t="s">
        <v>254</v>
      </c>
      <c r="F20008">
        <v>1690109</v>
      </c>
      <c r="G20008" t="s">
        <v>3028</v>
      </c>
      <c r="H20008" s="21">
        <v>743.42</v>
      </c>
    </row>
    <row r="20009" spans="1:8" customFormat="1" x14ac:dyDescent="0.25">
      <c r="A20009" t="str">
        <f>"5967658"</f>
        <v>5967658</v>
      </c>
      <c r="B20009" t="s">
        <v>4302</v>
      </c>
      <c r="C20009" t="s">
        <v>388</v>
      </c>
      <c r="D20009" s="21" t="s">
        <v>34</v>
      </c>
      <c r="E20009" s="21" t="s">
        <v>35</v>
      </c>
      <c r="F20009">
        <v>7590005</v>
      </c>
      <c r="G20009" t="s">
        <v>540</v>
      </c>
      <c r="H20009" s="21">
        <v>743.29</v>
      </c>
    </row>
    <row r="20010" spans="1:8" customFormat="1" x14ac:dyDescent="0.25">
      <c r="A20010" t="str">
        <f>"5718255"</f>
        <v>5718255</v>
      </c>
      <c r="B20010" t="s">
        <v>16202</v>
      </c>
      <c r="C20010" t="s">
        <v>1231</v>
      </c>
      <c r="D20010" s="21" t="s">
        <v>34</v>
      </c>
      <c r="E20010" s="21" t="s">
        <v>71</v>
      </c>
      <c r="F20010">
        <v>6570174</v>
      </c>
      <c r="G20010" t="s">
        <v>12454</v>
      </c>
      <c r="H20010" s="21">
        <v>743.29</v>
      </c>
    </row>
    <row r="20011" spans="1:8" customFormat="1" x14ac:dyDescent="0.25">
      <c r="A20011" t="str">
        <f>"191288"</f>
        <v>191288</v>
      </c>
      <c r="B20011" t="s">
        <v>27586</v>
      </c>
      <c r="C20011" t="s">
        <v>486</v>
      </c>
      <c r="D20011" s="21" t="s">
        <v>34</v>
      </c>
      <c r="E20011" s="21" t="s">
        <v>35</v>
      </c>
      <c r="F20011">
        <v>10190120</v>
      </c>
      <c r="G20011" t="s">
        <v>4616</v>
      </c>
      <c r="H20011" s="21">
        <v>743.17</v>
      </c>
    </row>
    <row r="20012" spans="1:8" customFormat="1" x14ac:dyDescent="0.25">
      <c r="A20012" t="str">
        <f>"026033"</f>
        <v>026033</v>
      </c>
      <c r="B20012" t="s">
        <v>820</v>
      </c>
      <c r="C20012" t="s">
        <v>267</v>
      </c>
      <c r="D20012" s="21" t="s">
        <v>34</v>
      </c>
      <c r="E20012" s="21" t="s">
        <v>71</v>
      </c>
      <c r="F20012">
        <v>4370146</v>
      </c>
      <c r="G20012" t="s">
        <v>10990</v>
      </c>
      <c r="H20012" s="21">
        <v>743.17</v>
      </c>
    </row>
    <row r="20013" spans="1:8" customFormat="1" x14ac:dyDescent="0.25">
      <c r="A20013" t="str">
        <f>"2925162"</f>
        <v>2925162</v>
      </c>
      <c r="B20013" t="s">
        <v>10147</v>
      </c>
      <c r="C20013" t="s">
        <v>55</v>
      </c>
      <c r="D20013" s="21" t="s">
        <v>34</v>
      </c>
      <c r="E20013" s="21" t="s">
        <v>71</v>
      </c>
      <c r="F20013">
        <v>3290266</v>
      </c>
      <c r="G20013" t="s">
        <v>1783</v>
      </c>
      <c r="H20013" s="21">
        <v>743.17</v>
      </c>
    </row>
    <row r="20014" spans="1:8" customFormat="1" x14ac:dyDescent="0.25">
      <c r="A20014" t="str">
        <f>"422432"</f>
        <v>422432</v>
      </c>
      <c r="B20014" t="s">
        <v>1096</v>
      </c>
      <c r="C20014" t="s">
        <v>2529</v>
      </c>
      <c r="D20014" s="21" t="s">
        <v>34</v>
      </c>
      <c r="E20014" s="21" t="s">
        <v>71</v>
      </c>
      <c r="F20014">
        <v>1420070</v>
      </c>
      <c r="G20014" t="s">
        <v>27046</v>
      </c>
      <c r="H20014" s="21">
        <v>743.17</v>
      </c>
    </row>
    <row r="20015" spans="1:8" customFormat="1" x14ac:dyDescent="0.25">
      <c r="A20015" t="str">
        <f>"36612"</f>
        <v>36612</v>
      </c>
      <c r="B20015" t="s">
        <v>5919</v>
      </c>
      <c r="C20015" t="s">
        <v>1841</v>
      </c>
      <c r="D20015" s="21" t="s">
        <v>34</v>
      </c>
      <c r="E20015" s="21" t="s">
        <v>1089</v>
      </c>
      <c r="F20015">
        <v>4360454</v>
      </c>
      <c r="G20015" t="s">
        <v>637</v>
      </c>
      <c r="H20015" s="21">
        <v>743.17</v>
      </c>
    </row>
    <row r="20016" spans="1:8" customFormat="1" x14ac:dyDescent="0.25">
      <c r="A20016" t="str">
        <f>"676820"</f>
        <v>676820</v>
      </c>
      <c r="B20016" t="s">
        <v>14491</v>
      </c>
      <c r="C20016" t="s">
        <v>598</v>
      </c>
      <c r="D20016" s="21" t="s">
        <v>34</v>
      </c>
      <c r="E20016" s="21" t="s">
        <v>71</v>
      </c>
      <c r="F20016">
        <v>6670219</v>
      </c>
      <c r="G20016" t="s">
        <v>9361</v>
      </c>
      <c r="H20016" s="21">
        <v>743.17</v>
      </c>
    </row>
    <row r="20017" spans="1:8" customFormat="1" x14ac:dyDescent="0.25">
      <c r="A20017" t="str">
        <f>"065947"</f>
        <v>065947</v>
      </c>
      <c r="B20017" t="s">
        <v>5064</v>
      </c>
      <c r="C20017" t="s">
        <v>33</v>
      </c>
      <c r="D20017" s="21" t="s">
        <v>34</v>
      </c>
      <c r="E20017" s="21" t="s">
        <v>71</v>
      </c>
      <c r="F20017">
        <v>13060064</v>
      </c>
      <c r="G20017" t="s">
        <v>976</v>
      </c>
      <c r="H20017" s="21">
        <v>743.17</v>
      </c>
    </row>
    <row r="20018" spans="1:8" customFormat="1" x14ac:dyDescent="0.25">
      <c r="A20018" t="str">
        <f>"9536867"</f>
        <v>9536867</v>
      </c>
      <c r="B20018" t="s">
        <v>21470</v>
      </c>
      <c r="C20018" t="s">
        <v>3497</v>
      </c>
      <c r="D20018" s="21" t="s">
        <v>34</v>
      </c>
      <c r="E20018" s="21" t="s">
        <v>35</v>
      </c>
      <c r="F20018">
        <v>8950103</v>
      </c>
      <c r="G20018" t="s">
        <v>440</v>
      </c>
      <c r="H20018" s="21">
        <v>743.17</v>
      </c>
    </row>
    <row r="20019" spans="1:8" customFormat="1" x14ac:dyDescent="0.25">
      <c r="A20019" t="str">
        <f>"3515441"</f>
        <v>3515441</v>
      </c>
      <c r="B20019" t="s">
        <v>2134</v>
      </c>
      <c r="C20019" t="s">
        <v>87</v>
      </c>
      <c r="D20019" s="21" t="s">
        <v>34</v>
      </c>
      <c r="E20019" s="21" t="s">
        <v>35</v>
      </c>
      <c r="F20019">
        <v>3350042</v>
      </c>
      <c r="G20019" t="s">
        <v>12707</v>
      </c>
      <c r="H20019" s="21">
        <v>743.17</v>
      </c>
    </row>
    <row r="20020" spans="1:8" customFormat="1" x14ac:dyDescent="0.25">
      <c r="A20020" t="str">
        <f>"6014126"</f>
        <v>6014126</v>
      </c>
      <c r="B20020" t="s">
        <v>15637</v>
      </c>
      <c r="C20020" t="s">
        <v>119</v>
      </c>
      <c r="D20020" s="21" t="s">
        <v>34</v>
      </c>
      <c r="E20020" s="21" t="s">
        <v>71</v>
      </c>
      <c r="F20020">
        <v>7600054</v>
      </c>
      <c r="G20020" t="s">
        <v>1352</v>
      </c>
      <c r="H20020" s="21">
        <v>743.17</v>
      </c>
    </row>
    <row r="20021" spans="1:8" customFormat="1" x14ac:dyDescent="0.25">
      <c r="A20021" t="str">
        <f>"599151"</f>
        <v>599151</v>
      </c>
      <c r="B20021" t="s">
        <v>15079</v>
      </c>
      <c r="C20021" t="s">
        <v>40</v>
      </c>
      <c r="D20021" s="21" t="s">
        <v>34</v>
      </c>
      <c r="E20021" s="21" t="s">
        <v>71</v>
      </c>
      <c r="F20021">
        <v>7590033</v>
      </c>
      <c r="G20021" t="s">
        <v>6329</v>
      </c>
      <c r="H20021" s="21">
        <v>743.17</v>
      </c>
    </row>
    <row r="20022" spans="1:8" customFormat="1" x14ac:dyDescent="0.25">
      <c r="A20022" t="str">
        <f>"7521066"</f>
        <v>7521066</v>
      </c>
      <c r="B20022" t="s">
        <v>18164</v>
      </c>
      <c r="C20022" t="s">
        <v>18165</v>
      </c>
      <c r="D20022" s="21" t="s">
        <v>34</v>
      </c>
      <c r="E20022" s="21" t="s">
        <v>254</v>
      </c>
      <c r="F20022">
        <v>8751423</v>
      </c>
      <c r="G20022" t="s">
        <v>4556</v>
      </c>
      <c r="H20022" s="21">
        <v>743.17</v>
      </c>
    </row>
    <row r="20023" spans="1:8" customFormat="1" x14ac:dyDescent="0.25">
      <c r="A20023" t="str">
        <f>"6018594"</f>
        <v>6018594</v>
      </c>
      <c r="B20023" t="s">
        <v>27587</v>
      </c>
      <c r="C20023" t="s">
        <v>428</v>
      </c>
      <c r="D20023" s="21" t="s">
        <v>34</v>
      </c>
      <c r="E20023" s="21" t="s">
        <v>35</v>
      </c>
      <c r="F20023">
        <v>7600027</v>
      </c>
      <c r="G20023" t="s">
        <v>2137</v>
      </c>
      <c r="H20023" s="21">
        <v>743.17</v>
      </c>
    </row>
    <row r="20024" spans="1:8" customFormat="1" x14ac:dyDescent="0.25">
      <c r="A20024" t="str">
        <f>"648379"</f>
        <v>648379</v>
      </c>
      <c r="B20024" t="s">
        <v>19694</v>
      </c>
      <c r="C20024" t="s">
        <v>598</v>
      </c>
      <c r="D20024" s="21" t="s">
        <v>34</v>
      </c>
      <c r="E20024" s="21" t="s">
        <v>71</v>
      </c>
      <c r="F20024">
        <v>10640001</v>
      </c>
      <c r="G20024" t="s">
        <v>2419</v>
      </c>
      <c r="H20024" s="21">
        <v>743.17</v>
      </c>
    </row>
    <row r="20025" spans="1:8" customFormat="1" x14ac:dyDescent="0.25">
      <c r="A20025" t="str">
        <f>"5314550"</f>
        <v>5314550</v>
      </c>
      <c r="B20025" t="s">
        <v>16947</v>
      </c>
      <c r="C20025" t="s">
        <v>1803</v>
      </c>
      <c r="D20025" s="21" t="s">
        <v>34</v>
      </c>
      <c r="E20025" s="21" t="s">
        <v>35</v>
      </c>
      <c r="F20025">
        <v>12530046</v>
      </c>
      <c r="G20025" t="s">
        <v>10191</v>
      </c>
      <c r="H20025" s="21">
        <v>743.17</v>
      </c>
    </row>
    <row r="20026" spans="1:8" customFormat="1" x14ac:dyDescent="0.25">
      <c r="A20026" t="str">
        <f>"9526232"</f>
        <v>9526232</v>
      </c>
      <c r="B20026" t="s">
        <v>16097</v>
      </c>
      <c r="C20026" t="s">
        <v>249</v>
      </c>
      <c r="D20026" s="21" t="s">
        <v>34</v>
      </c>
      <c r="E20026" s="21" t="s">
        <v>71</v>
      </c>
      <c r="F20026">
        <v>8951411</v>
      </c>
      <c r="G20026" t="s">
        <v>416</v>
      </c>
      <c r="H20026" s="21">
        <v>743.17</v>
      </c>
    </row>
    <row r="20027" spans="1:8" customFormat="1" x14ac:dyDescent="0.25">
      <c r="A20027" t="str">
        <f>"5972087"</f>
        <v>5972087</v>
      </c>
      <c r="B20027" t="s">
        <v>17201</v>
      </c>
      <c r="C20027" t="s">
        <v>65</v>
      </c>
      <c r="D20027" s="21" t="s">
        <v>34</v>
      </c>
      <c r="E20027" s="21" t="s">
        <v>35</v>
      </c>
      <c r="F20027">
        <v>7590170</v>
      </c>
      <c r="G20027" t="s">
        <v>868</v>
      </c>
      <c r="H20027" s="21">
        <v>743.17</v>
      </c>
    </row>
    <row r="20028" spans="1:8" customFormat="1" x14ac:dyDescent="0.25">
      <c r="A20028" t="str">
        <f>"7923476"</f>
        <v>7923476</v>
      </c>
      <c r="B20028" t="s">
        <v>623</v>
      </c>
      <c r="C20028" t="s">
        <v>121</v>
      </c>
      <c r="D20028" s="21" t="s">
        <v>34</v>
      </c>
      <c r="E20028" s="21" t="s">
        <v>35</v>
      </c>
      <c r="F20028">
        <v>10790069</v>
      </c>
      <c r="G20028" t="s">
        <v>689</v>
      </c>
      <c r="H20028" s="21">
        <v>743.17</v>
      </c>
    </row>
    <row r="20029" spans="1:8" customFormat="1" x14ac:dyDescent="0.25">
      <c r="A20029" t="str">
        <f>"6721812"</f>
        <v>6721812</v>
      </c>
      <c r="B20029" t="s">
        <v>27588</v>
      </c>
      <c r="C20029" t="s">
        <v>1539</v>
      </c>
      <c r="D20029" s="21" t="s">
        <v>34</v>
      </c>
      <c r="E20029" s="21" t="s">
        <v>254</v>
      </c>
      <c r="F20029">
        <v>6670066</v>
      </c>
      <c r="G20029" t="s">
        <v>12245</v>
      </c>
      <c r="H20029" s="21">
        <v>743.17</v>
      </c>
    </row>
    <row r="20030" spans="1:8" customFormat="1" x14ac:dyDescent="0.25">
      <c r="A20030" t="str">
        <f>"5961342"</f>
        <v>5961342</v>
      </c>
      <c r="B20030" t="s">
        <v>22466</v>
      </c>
      <c r="C20030" t="s">
        <v>187</v>
      </c>
      <c r="D20030" s="21" t="s">
        <v>34</v>
      </c>
      <c r="E20030" s="21" t="s">
        <v>35</v>
      </c>
      <c r="F20030">
        <v>7590105</v>
      </c>
      <c r="G20030" t="s">
        <v>887</v>
      </c>
      <c r="H20030" s="21">
        <v>743.17</v>
      </c>
    </row>
    <row r="20031" spans="1:8" customFormat="1" x14ac:dyDescent="0.25">
      <c r="A20031" t="str">
        <f>"878022"</f>
        <v>878022</v>
      </c>
      <c r="B20031" t="s">
        <v>16618</v>
      </c>
      <c r="C20031" t="s">
        <v>415</v>
      </c>
      <c r="D20031" s="21" t="s">
        <v>34</v>
      </c>
      <c r="E20031" s="21" t="s">
        <v>1089</v>
      </c>
      <c r="F20031">
        <v>10870037</v>
      </c>
      <c r="G20031" t="s">
        <v>3554</v>
      </c>
      <c r="H20031" s="21">
        <v>743.17</v>
      </c>
    </row>
    <row r="20032" spans="1:8" customFormat="1" x14ac:dyDescent="0.25">
      <c r="A20032" t="str">
        <f>"644786"</f>
        <v>644786</v>
      </c>
      <c r="B20032" t="s">
        <v>14640</v>
      </c>
      <c r="C20032" t="s">
        <v>119</v>
      </c>
      <c r="D20032" s="21" t="s">
        <v>34</v>
      </c>
      <c r="E20032" s="21" t="s">
        <v>35</v>
      </c>
      <c r="F20032">
        <v>10640010</v>
      </c>
      <c r="G20032" t="s">
        <v>9410</v>
      </c>
      <c r="H20032" s="21">
        <v>743.04</v>
      </c>
    </row>
    <row r="20033" spans="1:8" customFormat="1" x14ac:dyDescent="0.25">
      <c r="A20033" t="str">
        <f>"7879960"</f>
        <v>7879960</v>
      </c>
      <c r="B20033" t="s">
        <v>19743</v>
      </c>
      <c r="C20033" t="s">
        <v>151</v>
      </c>
      <c r="D20033" s="21" t="s">
        <v>34</v>
      </c>
      <c r="E20033" s="21" t="s">
        <v>35</v>
      </c>
      <c r="F20033">
        <v>8780890</v>
      </c>
      <c r="G20033" t="s">
        <v>6456</v>
      </c>
      <c r="H20033" s="21">
        <v>743.04</v>
      </c>
    </row>
    <row r="20034" spans="1:8" customFormat="1" x14ac:dyDescent="0.25">
      <c r="A20034" t="str">
        <f>"216840"</f>
        <v>216840</v>
      </c>
      <c r="B20034" t="s">
        <v>8655</v>
      </c>
      <c r="C20034" t="s">
        <v>55</v>
      </c>
      <c r="D20034" s="21" t="s">
        <v>34</v>
      </c>
      <c r="E20034" s="21" t="s">
        <v>71</v>
      </c>
      <c r="F20034">
        <v>2210005</v>
      </c>
      <c r="G20034" t="s">
        <v>5020</v>
      </c>
      <c r="H20034" s="21">
        <v>743.04</v>
      </c>
    </row>
    <row r="20035" spans="1:8" customFormat="1" x14ac:dyDescent="0.25">
      <c r="A20035" t="str">
        <f>"9513386"</f>
        <v>9513386</v>
      </c>
      <c r="B20035" t="s">
        <v>15499</v>
      </c>
      <c r="C20035" t="s">
        <v>209</v>
      </c>
      <c r="D20035" s="21" t="s">
        <v>34</v>
      </c>
      <c r="E20035" s="21" t="s">
        <v>254</v>
      </c>
      <c r="F20035">
        <v>8951386</v>
      </c>
      <c r="G20035" t="s">
        <v>7765</v>
      </c>
      <c r="H20035" s="21">
        <v>742.92</v>
      </c>
    </row>
    <row r="20036" spans="1:8" customFormat="1" x14ac:dyDescent="0.25">
      <c r="A20036" t="str">
        <f>"9126608"</f>
        <v>9126608</v>
      </c>
      <c r="B20036" t="s">
        <v>4652</v>
      </c>
      <c r="C20036" t="s">
        <v>209</v>
      </c>
      <c r="D20036" s="21" t="s">
        <v>34</v>
      </c>
      <c r="E20036" s="21" t="s">
        <v>71</v>
      </c>
      <c r="F20036">
        <v>8910004</v>
      </c>
      <c r="G20036" t="s">
        <v>9637</v>
      </c>
      <c r="H20036" s="21">
        <v>742.92</v>
      </c>
    </row>
    <row r="20037" spans="1:8" customFormat="1" x14ac:dyDescent="0.25">
      <c r="A20037" t="str">
        <f>"9754409"</f>
        <v>9754409</v>
      </c>
      <c r="B20037" t="s">
        <v>17202</v>
      </c>
      <c r="C20037" t="s">
        <v>267</v>
      </c>
      <c r="D20037" s="21" t="s">
        <v>34</v>
      </c>
      <c r="E20037" s="21" t="s">
        <v>1089</v>
      </c>
      <c r="F20037" t="s">
        <v>590</v>
      </c>
      <c r="G20037" t="s">
        <v>591</v>
      </c>
      <c r="H20037" s="21">
        <v>742.92</v>
      </c>
    </row>
    <row r="20038" spans="1:8" customFormat="1" x14ac:dyDescent="0.25">
      <c r="A20038" t="str">
        <f>"7221603"</f>
        <v>7221603</v>
      </c>
      <c r="B20038" t="s">
        <v>10935</v>
      </c>
      <c r="C20038" t="s">
        <v>65</v>
      </c>
      <c r="D20038" s="21" t="s">
        <v>34</v>
      </c>
      <c r="E20038" s="21" t="s">
        <v>71</v>
      </c>
      <c r="F20038">
        <v>12720147</v>
      </c>
      <c r="G20038" t="s">
        <v>27267</v>
      </c>
      <c r="H20038" s="21">
        <v>742.92</v>
      </c>
    </row>
    <row r="20039" spans="1:8" customFormat="1" x14ac:dyDescent="0.25">
      <c r="A20039" t="str">
        <f>"2931665"</f>
        <v>2931665</v>
      </c>
      <c r="B20039" t="s">
        <v>16585</v>
      </c>
      <c r="C20039" t="s">
        <v>130</v>
      </c>
      <c r="D20039" s="21" t="s">
        <v>34</v>
      </c>
      <c r="E20039" s="21" t="s">
        <v>254</v>
      </c>
      <c r="F20039">
        <v>3290003</v>
      </c>
      <c r="G20039" t="s">
        <v>3764</v>
      </c>
      <c r="H20039" s="21">
        <v>742.79</v>
      </c>
    </row>
    <row r="20040" spans="1:8" customFormat="1" x14ac:dyDescent="0.25">
      <c r="A20040" t="str">
        <f>"5430794"</f>
        <v>5430794</v>
      </c>
      <c r="B20040" t="s">
        <v>3890</v>
      </c>
      <c r="C20040" t="s">
        <v>239</v>
      </c>
      <c r="D20040" s="21" t="s">
        <v>34</v>
      </c>
      <c r="E20040" s="21" t="s">
        <v>71</v>
      </c>
      <c r="F20040">
        <v>6540157</v>
      </c>
      <c r="G20040" t="s">
        <v>10647</v>
      </c>
      <c r="H20040" s="21">
        <v>742.67</v>
      </c>
    </row>
    <row r="20041" spans="1:8" customFormat="1" x14ac:dyDescent="0.25">
      <c r="A20041" t="str">
        <f>"164177"</f>
        <v>164177</v>
      </c>
      <c r="B20041" t="s">
        <v>27589</v>
      </c>
      <c r="C20041" t="s">
        <v>305</v>
      </c>
      <c r="D20041" s="21" t="s">
        <v>34</v>
      </c>
      <c r="E20041" s="21" t="s">
        <v>35</v>
      </c>
      <c r="F20041">
        <v>10160049</v>
      </c>
      <c r="G20041" t="s">
        <v>12117</v>
      </c>
      <c r="H20041" s="21">
        <v>742.67</v>
      </c>
    </row>
    <row r="20042" spans="1:8" customFormat="1" x14ac:dyDescent="0.25">
      <c r="A20042" t="str">
        <f>"8524050"</f>
        <v>8524050</v>
      </c>
      <c r="B20042" t="s">
        <v>27590</v>
      </c>
      <c r="C20042" t="s">
        <v>82</v>
      </c>
      <c r="D20042" s="21" t="s">
        <v>34</v>
      </c>
      <c r="E20042" s="21" t="s">
        <v>35</v>
      </c>
      <c r="F20042">
        <v>10790058</v>
      </c>
      <c r="G20042" t="s">
        <v>6512</v>
      </c>
      <c r="H20042" s="21">
        <v>742.67</v>
      </c>
    </row>
    <row r="20043" spans="1:8" customFormat="1" x14ac:dyDescent="0.25">
      <c r="A20043" t="str">
        <f>"037513"</f>
        <v>037513</v>
      </c>
      <c r="B20043" t="s">
        <v>18472</v>
      </c>
      <c r="C20043" t="s">
        <v>1665</v>
      </c>
      <c r="D20043" s="21" t="s">
        <v>34</v>
      </c>
      <c r="E20043" s="21" t="s">
        <v>71</v>
      </c>
      <c r="F20043">
        <v>1030082</v>
      </c>
      <c r="G20043" t="s">
        <v>26828</v>
      </c>
      <c r="H20043" s="21">
        <v>742.67</v>
      </c>
    </row>
    <row r="20044" spans="1:8" customFormat="1" x14ac:dyDescent="0.25">
      <c r="A20044" t="str">
        <f>"674209"</f>
        <v>674209</v>
      </c>
      <c r="B20044" t="s">
        <v>16181</v>
      </c>
      <c r="C20044" t="s">
        <v>547</v>
      </c>
      <c r="D20044" s="21" t="s">
        <v>34</v>
      </c>
      <c r="E20044" s="21" t="s">
        <v>254</v>
      </c>
      <c r="F20044">
        <v>6670066</v>
      </c>
      <c r="G20044" t="s">
        <v>12245</v>
      </c>
      <c r="H20044" s="21">
        <v>742.67</v>
      </c>
    </row>
    <row r="20045" spans="1:8" customFormat="1" x14ac:dyDescent="0.25">
      <c r="A20045" t="str">
        <f>"417044"</f>
        <v>417044</v>
      </c>
      <c r="B20045" t="s">
        <v>15712</v>
      </c>
      <c r="C20045" t="s">
        <v>40</v>
      </c>
      <c r="D20045" s="21" t="s">
        <v>34</v>
      </c>
      <c r="E20045" s="21" t="s">
        <v>71</v>
      </c>
      <c r="F20045">
        <v>9610002</v>
      </c>
      <c r="G20045" t="s">
        <v>75</v>
      </c>
      <c r="H20045" s="21">
        <v>742.67</v>
      </c>
    </row>
    <row r="20046" spans="1:8" customFormat="1" x14ac:dyDescent="0.25">
      <c r="A20046" t="str">
        <f>"6016670"</f>
        <v>6016670</v>
      </c>
      <c r="B20046" t="s">
        <v>16152</v>
      </c>
      <c r="C20046" t="s">
        <v>87</v>
      </c>
      <c r="D20046" s="21" t="s">
        <v>34</v>
      </c>
      <c r="E20046" s="21" t="s">
        <v>71</v>
      </c>
      <c r="F20046">
        <v>7600132</v>
      </c>
      <c r="G20046" t="s">
        <v>15366</v>
      </c>
      <c r="H20046" s="21">
        <v>742.67</v>
      </c>
    </row>
    <row r="20047" spans="1:8" customFormat="1" x14ac:dyDescent="0.25">
      <c r="A20047" t="str">
        <f>"336985"</f>
        <v>336985</v>
      </c>
      <c r="B20047" t="s">
        <v>1451</v>
      </c>
      <c r="C20047" t="s">
        <v>2276</v>
      </c>
      <c r="D20047" s="21" t="s">
        <v>34</v>
      </c>
      <c r="E20047" s="21" t="s">
        <v>254</v>
      </c>
      <c r="F20047">
        <v>10330069</v>
      </c>
      <c r="G20047" t="s">
        <v>15951</v>
      </c>
      <c r="H20047" s="21">
        <v>742.67</v>
      </c>
    </row>
    <row r="20048" spans="1:8" customFormat="1" x14ac:dyDescent="0.25">
      <c r="A20048" t="str">
        <f>"5324687"</f>
        <v>5324687</v>
      </c>
      <c r="B20048" t="s">
        <v>15476</v>
      </c>
      <c r="C20048" t="s">
        <v>1446</v>
      </c>
      <c r="D20048" s="21" t="s">
        <v>34</v>
      </c>
      <c r="E20048" s="21" t="s">
        <v>71</v>
      </c>
      <c r="F20048">
        <v>12530136</v>
      </c>
      <c r="G20048" t="s">
        <v>4866</v>
      </c>
      <c r="H20048" s="21">
        <v>742.67</v>
      </c>
    </row>
    <row r="20049" spans="1:8" customFormat="1" x14ac:dyDescent="0.25">
      <c r="A20049" t="str">
        <f>"715721"</f>
        <v>715721</v>
      </c>
      <c r="B20049" t="s">
        <v>461</v>
      </c>
      <c r="C20049" t="s">
        <v>926</v>
      </c>
      <c r="D20049" s="21" t="s">
        <v>34</v>
      </c>
      <c r="E20049" s="21" t="s">
        <v>71</v>
      </c>
      <c r="F20049">
        <v>2710082</v>
      </c>
      <c r="G20049" t="s">
        <v>7738</v>
      </c>
      <c r="H20049" s="21">
        <v>742.67</v>
      </c>
    </row>
    <row r="20050" spans="1:8" customFormat="1" x14ac:dyDescent="0.25">
      <c r="A20050" t="str">
        <f>"1314693"</f>
        <v>1314693</v>
      </c>
      <c r="B20050" t="s">
        <v>16650</v>
      </c>
      <c r="C20050" t="s">
        <v>96</v>
      </c>
      <c r="D20050" s="21" t="s">
        <v>34</v>
      </c>
      <c r="E20050" s="21" t="s">
        <v>71</v>
      </c>
      <c r="F20050">
        <v>13130161</v>
      </c>
      <c r="G20050" t="s">
        <v>1171</v>
      </c>
      <c r="H20050" s="21">
        <v>742.67</v>
      </c>
    </row>
    <row r="20051" spans="1:8" customFormat="1" x14ac:dyDescent="0.25">
      <c r="A20051" t="str">
        <f>"5010842"</f>
        <v>5010842</v>
      </c>
      <c r="B20051" t="s">
        <v>15947</v>
      </c>
      <c r="C20051" t="s">
        <v>82</v>
      </c>
      <c r="D20051" s="21" t="s">
        <v>34</v>
      </c>
      <c r="E20051" s="21" t="s">
        <v>35</v>
      </c>
      <c r="F20051">
        <v>9500087</v>
      </c>
      <c r="G20051" t="s">
        <v>12569</v>
      </c>
      <c r="H20051" s="21">
        <v>742.67</v>
      </c>
    </row>
    <row r="20052" spans="1:8" customFormat="1" x14ac:dyDescent="0.25">
      <c r="A20052" t="str">
        <f>"5979683"</f>
        <v>5979683</v>
      </c>
      <c r="B20052" t="s">
        <v>3930</v>
      </c>
      <c r="C20052" t="s">
        <v>119</v>
      </c>
      <c r="D20052" s="21" t="s">
        <v>34</v>
      </c>
      <c r="E20052" s="21" t="s">
        <v>71</v>
      </c>
      <c r="F20052">
        <v>7590069</v>
      </c>
      <c r="G20052" t="s">
        <v>7225</v>
      </c>
      <c r="H20052" s="21">
        <v>742.67</v>
      </c>
    </row>
    <row r="20053" spans="1:8" customFormat="1" x14ac:dyDescent="0.25">
      <c r="A20053" t="str">
        <f>"5412129"</f>
        <v>5412129</v>
      </c>
      <c r="B20053" t="s">
        <v>14525</v>
      </c>
      <c r="C20053" t="s">
        <v>119</v>
      </c>
      <c r="D20053" s="21" t="s">
        <v>34</v>
      </c>
      <c r="E20053" s="21" t="s">
        <v>71</v>
      </c>
      <c r="F20053">
        <v>6540097</v>
      </c>
      <c r="G20053" t="s">
        <v>12434</v>
      </c>
      <c r="H20053" s="21">
        <v>742.67</v>
      </c>
    </row>
    <row r="20054" spans="1:8" customFormat="1" x14ac:dyDescent="0.25">
      <c r="A20054" t="str">
        <f>"429004"</f>
        <v>429004</v>
      </c>
      <c r="B20054" t="s">
        <v>16105</v>
      </c>
      <c r="C20054" t="s">
        <v>144</v>
      </c>
      <c r="D20054" s="21" t="s">
        <v>34</v>
      </c>
      <c r="E20054" s="21" t="s">
        <v>35</v>
      </c>
      <c r="F20054">
        <v>11300023</v>
      </c>
      <c r="G20054" t="s">
        <v>2679</v>
      </c>
      <c r="H20054" s="21">
        <v>742.67</v>
      </c>
    </row>
    <row r="20055" spans="1:8" customFormat="1" x14ac:dyDescent="0.25">
      <c r="A20055" t="str">
        <f>"6229393"</f>
        <v>6229393</v>
      </c>
      <c r="B20055" t="s">
        <v>25706</v>
      </c>
      <c r="C20055" t="s">
        <v>9895</v>
      </c>
      <c r="D20055" s="21" t="s">
        <v>34</v>
      </c>
      <c r="E20055" s="21" t="s">
        <v>35</v>
      </c>
      <c r="F20055">
        <v>7620104</v>
      </c>
      <c r="G20055" t="s">
        <v>635</v>
      </c>
      <c r="H20055" s="21">
        <v>742.67</v>
      </c>
    </row>
    <row r="20056" spans="1:8" customFormat="1" x14ac:dyDescent="0.25">
      <c r="A20056" t="str">
        <f>"0112442"</f>
        <v>0112442</v>
      </c>
      <c r="B20056" t="s">
        <v>13773</v>
      </c>
      <c r="C20056" t="s">
        <v>2520</v>
      </c>
      <c r="D20056" s="21" t="s">
        <v>34</v>
      </c>
      <c r="E20056" s="21" t="s">
        <v>1089</v>
      </c>
      <c r="F20056">
        <v>1690023</v>
      </c>
      <c r="G20056" t="s">
        <v>647</v>
      </c>
      <c r="H20056" s="21">
        <v>742.67</v>
      </c>
    </row>
    <row r="20057" spans="1:8" customFormat="1" x14ac:dyDescent="0.25">
      <c r="A20057" t="str">
        <f>"86397"</f>
        <v>86397</v>
      </c>
      <c r="B20057" t="s">
        <v>15975</v>
      </c>
      <c r="C20057" t="s">
        <v>5861</v>
      </c>
      <c r="D20057" s="21" t="s">
        <v>34</v>
      </c>
      <c r="E20057" s="21" t="s">
        <v>254</v>
      </c>
      <c r="F20057">
        <v>10860021</v>
      </c>
      <c r="G20057" t="s">
        <v>26820</v>
      </c>
      <c r="H20057" s="21">
        <v>742.67</v>
      </c>
    </row>
    <row r="20058" spans="1:8" customFormat="1" x14ac:dyDescent="0.25">
      <c r="A20058" t="str">
        <f>"7513114"</f>
        <v>7513114</v>
      </c>
      <c r="B20058" t="s">
        <v>14209</v>
      </c>
      <c r="C20058" t="s">
        <v>156</v>
      </c>
      <c r="D20058" s="21" t="s">
        <v>34</v>
      </c>
      <c r="E20058" s="21" t="s">
        <v>71</v>
      </c>
      <c r="F20058">
        <v>8750074</v>
      </c>
      <c r="G20058" t="s">
        <v>698</v>
      </c>
      <c r="H20058" s="21">
        <v>742.67</v>
      </c>
    </row>
    <row r="20059" spans="1:8" customFormat="1" x14ac:dyDescent="0.25">
      <c r="A20059" t="str">
        <f>"0810510"</f>
        <v>0810510</v>
      </c>
      <c r="B20059" t="s">
        <v>16696</v>
      </c>
      <c r="C20059" t="s">
        <v>462</v>
      </c>
      <c r="D20059" s="21" t="s">
        <v>34</v>
      </c>
      <c r="E20059" s="21" t="s">
        <v>71</v>
      </c>
      <c r="F20059">
        <v>6080074</v>
      </c>
      <c r="G20059" t="s">
        <v>13069</v>
      </c>
      <c r="H20059" s="21">
        <v>742.67</v>
      </c>
    </row>
    <row r="20060" spans="1:8" customFormat="1" x14ac:dyDescent="0.25">
      <c r="A20060" t="str">
        <f>"6710427"</f>
        <v>6710427</v>
      </c>
      <c r="B20060" t="s">
        <v>16319</v>
      </c>
      <c r="C20060" t="s">
        <v>130</v>
      </c>
      <c r="D20060" s="21" t="s">
        <v>34</v>
      </c>
      <c r="E20060" s="21" t="s">
        <v>35</v>
      </c>
      <c r="F20060">
        <v>6670246</v>
      </c>
      <c r="G20060" t="s">
        <v>7707</v>
      </c>
      <c r="H20060" s="21">
        <v>742.67</v>
      </c>
    </row>
    <row r="20061" spans="1:8" customFormat="1" x14ac:dyDescent="0.25">
      <c r="A20061" t="str">
        <f>"5936761"</f>
        <v>5936761</v>
      </c>
      <c r="B20061" t="s">
        <v>18053</v>
      </c>
      <c r="C20061" t="s">
        <v>119</v>
      </c>
      <c r="D20061" s="21" t="s">
        <v>34</v>
      </c>
      <c r="E20061" s="21" t="s">
        <v>71</v>
      </c>
      <c r="F20061">
        <v>7590068</v>
      </c>
      <c r="G20061" t="s">
        <v>1005</v>
      </c>
      <c r="H20061" s="21">
        <v>742.67</v>
      </c>
    </row>
    <row r="20062" spans="1:8" customFormat="1" x14ac:dyDescent="0.25">
      <c r="A20062" t="str">
        <f>"5942614"</f>
        <v>5942614</v>
      </c>
      <c r="B20062" t="s">
        <v>563</v>
      </c>
      <c r="C20062" t="s">
        <v>156</v>
      </c>
      <c r="D20062" s="21" t="s">
        <v>34</v>
      </c>
      <c r="E20062" s="21" t="s">
        <v>35</v>
      </c>
      <c r="F20062">
        <v>7590023</v>
      </c>
      <c r="G20062" t="s">
        <v>7058</v>
      </c>
      <c r="H20062" s="21">
        <v>742.67</v>
      </c>
    </row>
    <row r="20063" spans="1:8" customFormat="1" x14ac:dyDescent="0.25">
      <c r="A20063" t="str">
        <f>"9123827"</f>
        <v>9123827</v>
      </c>
      <c r="B20063" t="s">
        <v>15193</v>
      </c>
      <c r="C20063" t="s">
        <v>1705</v>
      </c>
      <c r="D20063" s="21" t="s">
        <v>34</v>
      </c>
      <c r="E20063" s="21" t="s">
        <v>254</v>
      </c>
      <c r="F20063">
        <v>8910876</v>
      </c>
      <c r="G20063" t="s">
        <v>1721</v>
      </c>
      <c r="H20063" s="21">
        <v>742.67</v>
      </c>
    </row>
    <row r="20064" spans="1:8" customFormat="1" x14ac:dyDescent="0.25">
      <c r="A20064" t="str">
        <f>"7221120"</f>
        <v>7221120</v>
      </c>
      <c r="B20064" t="s">
        <v>2726</v>
      </c>
      <c r="C20064" t="s">
        <v>169</v>
      </c>
      <c r="D20064" s="21" t="s">
        <v>34</v>
      </c>
      <c r="E20064" s="21" t="s">
        <v>35</v>
      </c>
      <c r="F20064">
        <v>12720120</v>
      </c>
      <c r="G20064" t="s">
        <v>2509</v>
      </c>
      <c r="H20064" s="21">
        <v>742.54</v>
      </c>
    </row>
    <row r="20065" spans="1:8" customFormat="1" x14ac:dyDescent="0.25">
      <c r="A20065" t="str">
        <f>"212580"</f>
        <v>212580</v>
      </c>
      <c r="B20065" t="s">
        <v>15181</v>
      </c>
      <c r="C20065" t="s">
        <v>598</v>
      </c>
      <c r="D20065" s="21" t="s">
        <v>34</v>
      </c>
      <c r="E20065" s="21" t="s">
        <v>254</v>
      </c>
      <c r="F20065">
        <v>2210048</v>
      </c>
      <c r="G20065" t="s">
        <v>7499</v>
      </c>
      <c r="H20065" s="21">
        <v>742.54</v>
      </c>
    </row>
    <row r="20066" spans="1:8" customFormat="1" x14ac:dyDescent="0.25">
      <c r="A20066" t="str">
        <f>"4456761"</f>
        <v>4456761</v>
      </c>
      <c r="B20066" t="s">
        <v>16582</v>
      </c>
      <c r="C20066" t="s">
        <v>576</v>
      </c>
      <c r="D20066" s="21" t="s">
        <v>34</v>
      </c>
      <c r="E20066" s="21" t="s">
        <v>35</v>
      </c>
      <c r="F20066">
        <v>12440030</v>
      </c>
      <c r="G20066" t="s">
        <v>5524</v>
      </c>
      <c r="H20066" s="21">
        <v>742.42</v>
      </c>
    </row>
    <row r="20067" spans="1:8" customFormat="1" x14ac:dyDescent="0.25">
      <c r="A20067" t="str">
        <f>"9136103"</f>
        <v>9136103</v>
      </c>
      <c r="B20067" t="s">
        <v>15315</v>
      </c>
      <c r="C20067" t="s">
        <v>2529</v>
      </c>
      <c r="D20067" s="21" t="s">
        <v>34</v>
      </c>
      <c r="E20067" s="21" t="s">
        <v>35</v>
      </c>
      <c r="F20067">
        <v>8910214</v>
      </c>
      <c r="G20067" t="s">
        <v>986</v>
      </c>
      <c r="H20067" s="21">
        <v>742.42</v>
      </c>
    </row>
    <row r="20068" spans="1:8" customFormat="1" x14ac:dyDescent="0.25">
      <c r="A20068" t="str">
        <f>"561525"</f>
        <v>561525</v>
      </c>
      <c r="B20068" t="s">
        <v>8561</v>
      </c>
      <c r="C20068" t="s">
        <v>2232</v>
      </c>
      <c r="D20068" s="21" t="s">
        <v>34</v>
      </c>
      <c r="E20068" s="21" t="s">
        <v>254</v>
      </c>
      <c r="F20068">
        <v>3560002</v>
      </c>
      <c r="G20068" t="s">
        <v>5437</v>
      </c>
      <c r="H20068" s="21">
        <v>742.42</v>
      </c>
    </row>
    <row r="20069" spans="1:8" customFormat="1" x14ac:dyDescent="0.25">
      <c r="A20069" t="str">
        <f>"6943512"</f>
        <v>6943512</v>
      </c>
      <c r="B20069" t="s">
        <v>17725</v>
      </c>
      <c r="C20069" t="s">
        <v>528</v>
      </c>
      <c r="D20069" s="21" t="s">
        <v>34</v>
      </c>
      <c r="E20069" s="21" t="s">
        <v>71</v>
      </c>
      <c r="F20069">
        <v>1690058</v>
      </c>
      <c r="G20069" t="s">
        <v>1644</v>
      </c>
      <c r="H20069" s="21">
        <v>742.29</v>
      </c>
    </row>
    <row r="20070" spans="1:8" customFormat="1" x14ac:dyDescent="0.25">
      <c r="A20070" t="str">
        <f>"9225933"</f>
        <v>9225933</v>
      </c>
      <c r="B20070" t="s">
        <v>6696</v>
      </c>
      <c r="C20070" t="s">
        <v>4350</v>
      </c>
      <c r="D20070" s="21" t="s">
        <v>34</v>
      </c>
      <c r="E20070" s="21" t="s">
        <v>71</v>
      </c>
      <c r="F20070">
        <v>12490010</v>
      </c>
      <c r="G20070" t="s">
        <v>4838</v>
      </c>
      <c r="H20070" s="21">
        <v>742.29</v>
      </c>
    </row>
    <row r="20071" spans="1:8" customFormat="1" x14ac:dyDescent="0.25">
      <c r="A20071" t="str">
        <f>"629722"</f>
        <v>629722</v>
      </c>
      <c r="B20071" t="s">
        <v>15976</v>
      </c>
      <c r="C20071" t="s">
        <v>462</v>
      </c>
      <c r="D20071" s="21" t="s">
        <v>34</v>
      </c>
      <c r="E20071" s="21" t="s">
        <v>71</v>
      </c>
      <c r="F20071">
        <v>7620062</v>
      </c>
      <c r="G20071" t="s">
        <v>12602</v>
      </c>
      <c r="H20071" s="21">
        <v>742.17</v>
      </c>
    </row>
    <row r="20072" spans="1:8" customFormat="1" x14ac:dyDescent="0.25">
      <c r="A20072" t="str">
        <f>"853827"</f>
        <v>853827</v>
      </c>
      <c r="B20072" t="s">
        <v>14226</v>
      </c>
      <c r="C20072" t="s">
        <v>428</v>
      </c>
      <c r="D20072" s="21" t="s">
        <v>34</v>
      </c>
      <c r="E20072" s="21" t="s">
        <v>71</v>
      </c>
      <c r="F20072">
        <v>12850095</v>
      </c>
      <c r="G20072" t="s">
        <v>13112</v>
      </c>
      <c r="H20072" s="21">
        <v>742.17</v>
      </c>
    </row>
    <row r="20073" spans="1:8" customFormat="1" x14ac:dyDescent="0.25">
      <c r="A20073" t="str">
        <f>"5731242"</f>
        <v>5731242</v>
      </c>
      <c r="B20073" t="s">
        <v>17726</v>
      </c>
      <c r="C20073" t="s">
        <v>90</v>
      </c>
      <c r="D20073" s="21" t="s">
        <v>34</v>
      </c>
      <c r="E20073" s="21" t="s">
        <v>35</v>
      </c>
      <c r="F20073">
        <v>6570168</v>
      </c>
      <c r="G20073" t="s">
        <v>152</v>
      </c>
      <c r="H20073" s="21">
        <v>742.17</v>
      </c>
    </row>
    <row r="20074" spans="1:8" customFormat="1" x14ac:dyDescent="0.25">
      <c r="A20074" t="str">
        <f>"846469"</f>
        <v>846469</v>
      </c>
      <c r="B20074" t="s">
        <v>16856</v>
      </c>
      <c r="C20074" t="s">
        <v>151</v>
      </c>
      <c r="D20074" s="21" t="s">
        <v>34</v>
      </c>
      <c r="E20074" s="21" t="s">
        <v>71</v>
      </c>
      <c r="F20074">
        <v>13840045</v>
      </c>
      <c r="G20074" t="s">
        <v>11703</v>
      </c>
      <c r="H20074" s="21">
        <v>742.17</v>
      </c>
    </row>
    <row r="20075" spans="1:8" customFormat="1" x14ac:dyDescent="0.25">
      <c r="A20075" t="str">
        <f>"7613337"</f>
        <v>7613337</v>
      </c>
      <c r="B20075" t="s">
        <v>3620</v>
      </c>
      <c r="C20075" t="s">
        <v>174</v>
      </c>
      <c r="D20075" s="21" t="s">
        <v>34</v>
      </c>
      <c r="E20075" s="21" t="s">
        <v>35</v>
      </c>
      <c r="F20075">
        <v>9760270</v>
      </c>
      <c r="G20075" t="s">
        <v>4167</v>
      </c>
      <c r="H20075" s="21">
        <v>742.17</v>
      </c>
    </row>
    <row r="20076" spans="1:8" customFormat="1" x14ac:dyDescent="0.25">
      <c r="A20076" t="str">
        <f>"5928344"</f>
        <v>5928344</v>
      </c>
      <c r="B20076" t="s">
        <v>4493</v>
      </c>
      <c r="C20076" t="s">
        <v>926</v>
      </c>
      <c r="D20076" s="21" t="s">
        <v>34</v>
      </c>
      <c r="E20076" s="21" t="s">
        <v>71</v>
      </c>
      <c r="F20076">
        <v>7590105</v>
      </c>
      <c r="G20076" t="s">
        <v>887</v>
      </c>
      <c r="H20076" s="21">
        <v>742.17</v>
      </c>
    </row>
    <row r="20077" spans="1:8" customFormat="1" x14ac:dyDescent="0.25">
      <c r="A20077" t="str">
        <f>"038982"</f>
        <v>038982</v>
      </c>
      <c r="B20077" t="s">
        <v>18052</v>
      </c>
      <c r="C20077" t="s">
        <v>124</v>
      </c>
      <c r="D20077" s="21" t="s">
        <v>34</v>
      </c>
      <c r="E20077" s="21" t="s">
        <v>71</v>
      </c>
      <c r="F20077">
        <v>1030310</v>
      </c>
      <c r="G20077" t="s">
        <v>13666</v>
      </c>
      <c r="H20077" s="21">
        <v>742.17</v>
      </c>
    </row>
    <row r="20078" spans="1:8" customFormat="1" x14ac:dyDescent="0.25">
      <c r="A20078" t="str">
        <f>"088177"</f>
        <v>088177</v>
      </c>
      <c r="B20078" t="s">
        <v>650</v>
      </c>
      <c r="C20078" t="s">
        <v>198</v>
      </c>
      <c r="D20078" s="21" t="s">
        <v>34</v>
      </c>
      <c r="E20078" s="21" t="s">
        <v>254</v>
      </c>
      <c r="F20078">
        <v>10170016</v>
      </c>
      <c r="G20078" t="s">
        <v>88</v>
      </c>
      <c r="H20078" s="21">
        <v>742.17</v>
      </c>
    </row>
    <row r="20079" spans="1:8" customFormat="1" x14ac:dyDescent="0.25">
      <c r="A20079" t="str">
        <f>"6019282"</f>
        <v>6019282</v>
      </c>
      <c r="B20079" t="s">
        <v>16628</v>
      </c>
      <c r="C20079" t="s">
        <v>4961</v>
      </c>
      <c r="D20079" s="21" t="s">
        <v>34</v>
      </c>
      <c r="E20079" s="21" t="s">
        <v>71</v>
      </c>
      <c r="F20079">
        <v>7600088</v>
      </c>
      <c r="G20079" t="s">
        <v>334</v>
      </c>
      <c r="H20079" s="21">
        <v>742.17</v>
      </c>
    </row>
    <row r="20080" spans="1:8" customFormat="1" x14ac:dyDescent="0.25">
      <c r="A20080" t="str">
        <f>"365716"</f>
        <v>365716</v>
      </c>
      <c r="B20080" t="s">
        <v>16429</v>
      </c>
      <c r="C20080" t="s">
        <v>209</v>
      </c>
      <c r="D20080" s="21" t="s">
        <v>34</v>
      </c>
      <c r="E20080" s="21" t="s">
        <v>71</v>
      </c>
      <c r="F20080">
        <v>4360123</v>
      </c>
      <c r="G20080" t="s">
        <v>4121</v>
      </c>
      <c r="H20080" s="21">
        <v>742.17</v>
      </c>
    </row>
    <row r="20081" spans="1:8" customFormat="1" x14ac:dyDescent="0.25">
      <c r="A20081" t="str">
        <f>"5324319"</f>
        <v>5324319</v>
      </c>
      <c r="B20081" t="s">
        <v>1435</v>
      </c>
      <c r="C20081" t="s">
        <v>98</v>
      </c>
      <c r="D20081" s="21" t="s">
        <v>34</v>
      </c>
      <c r="E20081" s="21" t="s">
        <v>35</v>
      </c>
      <c r="F20081">
        <v>12530095</v>
      </c>
      <c r="G20081" t="s">
        <v>5381</v>
      </c>
      <c r="H20081" s="21">
        <v>741.92</v>
      </c>
    </row>
    <row r="20082" spans="1:8" customFormat="1" x14ac:dyDescent="0.25">
      <c r="A20082" t="str">
        <f>"5428122"</f>
        <v>5428122</v>
      </c>
      <c r="B20082" t="s">
        <v>17178</v>
      </c>
      <c r="C20082" t="s">
        <v>528</v>
      </c>
      <c r="D20082" s="21" t="s">
        <v>34</v>
      </c>
      <c r="E20082" s="21" t="s">
        <v>254</v>
      </c>
      <c r="F20082">
        <v>6540032</v>
      </c>
      <c r="G20082" t="s">
        <v>63</v>
      </c>
      <c r="H20082" s="21">
        <v>741.92</v>
      </c>
    </row>
    <row r="20083" spans="1:8" customFormat="1" x14ac:dyDescent="0.25">
      <c r="A20083" t="str">
        <f>"8612910"</f>
        <v>8612910</v>
      </c>
      <c r="B20083" t="s">
        <v>461</v>
      </c>
      <c r="C20083" t="s">
        <v>60</v>
      </c>
      <c r="D20083" s="21" t="s">
        <v>34</v>
      </c>
      <c r="E20083" s="21" t="s">
        <v>35</v>
      </c>
      <c r="F20083">
        <v>10860149</v>
      </c>
      <c r="G20083" t="s">
        <v>17376</v>
      </c>
      <c r="H20083" s="21">
        <v>741.67</v>
      </c>
    </row>
    <row r="20084" spans="1:8" customFormat="1" x14ac:dyDescent="0.25">
      <c r="A20084" t="str">
        <f>"7864950"</f>
        <v>7864950</v>
      </c>
      <c r="B20084" t="s">
        <v>15046</v>
      </c>
      <c r="C20084" t="s">
        <v>288</v>
      </c>
      <c r="D20084" s="21" t="s">
        <v>34</v>
      </c>
      <c r="E20084" s="21" t="s">
        <v>35</v>
      </c>
      <c r="F20084">
        <v>8780130</v>
      </c>
      <c r="G20084" t="s">
        <v>5752</v>
      </c>
      <c r="H20084" s="21">
        <v>741.67</v>
      </c>
    </row>
    <row r="20085" spans="1:8" customFormat="1" x14ac:dyDescent="0.25">
      <c r="A20085" t="str">
        <f>"441171"</f>
        <v>441171</v>
      </c>
      <c r="B20085" t="s">
        <v>4654</v>
      </c>
      <c r="C20085" t="s">
        <v>124</v>
      </c>
      <c r="D20085" s="21" t="s">
        <v>34</v>
      </c>
      <c r="E20085" s="21" t="s">
        <v>71</v>
      </c>
      <c r="F20085">
        <v>12440176</v>
      </c>
      <c r="G20085" t="s">
        <v>1020</v>
      </c>
      <c r="H20085" s="21">
        <v>741.67</v>
      </c>
    </row>
    <row r="20086" spans="1:8" customFormat="1" x14ac:dyDescent="0.25">
      <c r="A20086" t="str">
        <f>"1425717"</f>
        <v>1425717</v>
      </c>
      <c r="B20086" t="s">
        <v>19923</v>
      </c>
      <c r="C20086" t="s">
        <v>288</v>
      </c>
      <c r="D20086" s="21" t="s">
        <v>34</v>
      </c>
      <c r="E20086" s="21" t="s">
        <v>35</v>
      </c>
      <c r="F20086">
        <v>9140128</v>
      </c>
      <c r="G20086" t="s">
        <v>2798</v>
      </c>
      <c r="H20086" s="21">
        <v>741.67</v>
      </c>
    </row>
    <row r="20087" spans="1:8" customFormat="1" x14ac:dyDescent="0.25">
      <c r="A20087" t="str">
        <f>"6810698"</f>
        <v>6810698</v>
      </c>
      <c r="B20087" t="s">
        <v>16220</v>
      </c>
      <c r="C20087" t="s">
        <v>269</v>
      </c>
      <c r="D20087" s="21" t="s">
        <v>34</v>
      </c>
      <c r="E20087" s="21" t="s">
        <v>71</v>
      </c>
      <c r="F20087">
        <v>6680128</v>
      </c>
      <c r="G20087" t="s">
        <v>341</v>
      </c>
      <c r="H20087" s="21">
        <v>741.67</v>
      </c>
    </row>
    <row r="20088" spans="1:8" customFormat="1" x14ac:dyDescent="0.25">
      <c r="A20088" t="str">
        <f>"034793"</f>
        <v>034793</v>
      </c>
      <c r="B20088" t="s">
        <v>15733</v>
      </c>
      <c r="C20088" t="s">
        <v>2100</v>
      </c>
      <c r="D20088" s="21" t="s">
        <v>34</v>
      </c>
      <c r="E20088" s="21" t="s">
        <v>71</v>
      </c>
      <c r="F20088">
        <v>4180729</v>
      </c>
      <c r="G20088" t="s">
        <v>15734</v>
      </c>
      <c r="H20088" s="21">
        <v>741.67</v>
      </c>
    </row>
    <row r="20089" spans="1:8" customFormat="1" x14ac:dyDescent="0.25">
      <c r="A20089" t="str">
        <f>"4931827"</f>
        <v>4931827</v>
      </c>
      <c r="B20089" t="s">
        <v>2010</v>
      </c>
      <c r="C20089" t="s">
        <v>121</v>
      </c>
      <c r="D20089" s="21" t="s">
        <v>34</v>
      </c>
      <c r="E20089" s="21" t="s">
        <v>35</v>
      </c>
      <c r="F20089">
        <v>12490006</v>
      </c>
      <c r="G20089" t="s">
        <v>1480</v>
      </c>
      <c r="H20089" s="21">
        <v>741.67</v>
      </c>
    </row>
    <row r="20090" spans="1:8" customFormat="1" x14ac:dyDescent="0.25">
      <c r="A20090" t="str">
        <f>"2925675"</f>
        <v>2925675</v>
      </c>
      <c r="B20090" t="s">
        <v>15803</v>
      </c>
      <c r="C20090" t="s">
        <v>130</v>
      </c>
      <c r="D20090" s="21" t="s">
        <v>34</v>
      </c>
      <c r="E20090" s="21" t="s">
        <v>71</v>
      </c>
      <c r="F20090">
        <v>3290005</v>
      </c>
      <c r="G20090" t="s">
        <v>1253</v>
      </c>
      <c r="H20090" s="21">
        <v>741.67</v>
      </c>
    </row>
    <row r="20091" spans="1:8" customFormat="1" x14ac:dyDescent="0.25">
      <c r="A20091" t="str">
        <f>"624223"</f>
        <v>624223</v>
      </c>
      <c r="B20091" t="s">
        <v>15715</v>
      </c>
      <c r="C20091" t="s">
        <v>2520</v>
      </c>
      <c r="D20091" s="21" t="s">
        <v>34</v>
      </c>
      <c r="E20091" s="21" t="s">
        <v>254</v>
      </c>
      <c r="F20091">
        <v>7620051</v>
      </c>
      <c r="G20091" t="s">
        <v>2741</v>
      </c>
      <c r="H20091" s="21">
        <v>741.67</v>
      </c>
    </row>
    <row r="20092" spans="1:8" customFormat="1" x14ac:dyDescent="0.25">
      <c r="A20092" t="str">
        <f>"7858796"</f>
        <v>7858796</v>
      </c>
      <c r="B20092" t="s">
        <v>16243</v>
      </c>
      <c r="C20092" t="s">
        <v>62</v>
      </c>
      <c r="D20092" s="21" t="s">
        <v>34</v>
      </c>
      <c r="E20092" s="21" t="s">
        <v>35</v>
      </c>
      <c r="F20092">
        <v>8781266</v>
      </c>
      <c r="G20092" t="s">
        <v>26704</v>
      </c>
      <c r="H20092" s="21">
        <v>741.67</v>
      </c>
    </row>
    <row r="20093" spans="1:8" customFormat="1" x14ac:dyDescent="0.25">
      <c r="A20093" t="str">
        <f>"5719281"</f>
        <v>5719281</v>
      </c>
      <c r="B20093" t="s">
        <v>2243</v>
      </c>
      <c r="C20093" t="s">
        <v>249</v>
      </c>
      <c r="D20093" s="21" t="s">
        <v>34</v>
      </c>
      <c r="E20093" s="21" t="s">
        <v>35</v>
      </c>
      <c r="F20093">
        <v>6570088</v>
      </c>
      <c r="G20093" t="s">
        <v>3461</v>
      </c>
      <c r="H20093" s="21">
        <v>741.67</v>
      </c>
    </row>
    <row r="20094" spans="1:8" customFormat="1" x14ac:dyDescent="0.25">
      <c r="A20094" t="str">
        <f>"5967521"</f>
        <v>5967521</v>
      </c>
      <c r="B20094" t="s">
        <v>18197</v>
      </c>
      <c r="C20094" t="s">
        <v>169</v>
      </c>
      <c r="D20094" s="21" t="s">
        <v>34</v>
      </c>
      <c r="E20094" s="21" t="s">
        <v>71</v>
      </c>
      <c r="F20094">
        <v>7590075</v>
      </c>
      <c r="G20094" t="s">
        <v>6459</v>
      </c>
      <c r="H20094" s="21">
        <v>741.67</v>
      </c>
    </row>
    <row r="20095" spans="1:8" customFormat="1" x14ac:dyDescent="0.25">
      <c r="A20095" t="str">
        <f>"629640"</f>
        <v>629640</v>
      </c>
      <c r="B20095" t="s">
        <v>27591</v>
      </c>
      <c r="C20095" t="s">
        <v>253</v>
      </c>
      <c r="D20095" s="21" t="s">
        <v>34</v>
      </c>
      <c r="E20095" s="21" t="s">
        <v>71</v>
      </c>
      <c r="F20095">
        <v>7620088</v>
      </c>
      <c r="G20095" t="s">
        <v>3342</v>
      </c>
      <c r="H20095" s="21">
        <v>741.67</v>
      </c>
    </row>
    <row r="20096" spans="1:8" customFormat="1" x14ac:dyDescent="0.25">
      <c r="A20096" t="str">
        <f>"8522478"</f>
        <v>8522478</v>
      </c>
      <c r="B20096" t="s">
        <v>7455</v>
      </c>
      <c r="C20096" t="s">
        <v>33</v>
      </c>
      <c r="D20096" s="21" t="s">
        <v>34</v>
      </c>
      <c r="E20096" s="21" t="s">
        <v>35</v>
      </c>
      <c r="F20096">
        <v>12850171</v>
      </c>
      <c r="G20096" t="s">
        <v>2687</v>
      </c>
      <c r="H20096" s="21">
        <v>741.67</v>
      </c>
    </row>
    <row r="20097" spans="1:8" customFormat="1" x14ac:dyDescent="0.25">
      <c r="A20097" t="str">
        <f>"4447269"</f>
        <v>4447269</v>
      </c>
      <c r="B20097" t="s">
        <v>17564</v>
      </c>
      <c r="C20097" t="s">
        <v>302</v>
      </c>
      <c r="D20097" s="21" t="s">
        <v>34</v>
      </c>
      <c r="E20097" s="21" t="s">
        <v>35</v>
      </c>
      <c r="F20097">
        <v>12440056</v>
      </c>
      <c r="G20097" t="s">
        <v>2037</v>
      </c>
      <c r="H20097" s="21">
        <v>741.67</v>
      </c>
    </row>
    <row r="20098" spans="1:8" customFormat="1" x14ac:dyDescent="0.25">
      <c r="A20098" t="str">
        <f>"5610126"</f>
        <v>5610126</v>
      </c>
      <c r="B20098" t="s">
        <v>3313</v>
      </c>
      <c r="C20098" t="s">
        <v>209</v>
      </c>
      <c r="D20098" s="21" t="s">
        <v>34</v>
      </c>
      <c r="E20098" s="21" t="s">
        <v>254</v>
      </c>
      <c r="F20098">
        <v>3560036</v>
      </c>
      <c r="G20098" t="s">
        <v>910</v>
      </c>
      <c r="H20098" s="21">
        <v>741.67</v>
      </c>
    </row>
    <row r="20099" spans="1:8" customFormat="1" x14ac:dyDescent="0.25">
      <c r="A20099" t="str">
        <f>"039079"</f>
        <v>039079</v>
      </c>
      <c r="B20099" t="s">
        <v>20986</v>
      </c>
      <c r="C20099" t="s">
        <v>249</v>
      </c>
      <c r="D20099" s="21" t="s">
        <v>34</v>
      </c>
      <c r="E20099" s="21" t="s">
        <v>71</v>
      </c>
      <c r="F20099">
        <v>1030165</v>
      </c>
      <c r="G20099" t="s">
        <v>2357</v>
      </c>
      <c r="H20099" s="21">
        <v>741.67</v>
      </c>
    </row>
    <row r="20100" spans="1:8" customFormat="1" x14ac:dyDescent="0.25">
      <c r="A20100" t="str">
        <f>"5963754"</f>
        <v>5963754</v>
      </c>
      <c r="B20100" t="s">
        <v>15052</v>
      </c>
      <c r="C20100" t="s">
        <v>239</v>
      </c>
      <c r="D20100" s="21" t="s">
        <v>34</v>
      </c>
      <c r="E20100" s="21" t="s">
        <v>71</v>
      </c>
      <c r="F20100">
        <v>7590310</v>
      </c>
      <c r="G20100" t="s">
        <v>10278</v>
      </c>
      <c r="H20100" s="21">
        <v>741.67</v>
      </c>
    </row>
    <row r="20101" spans="1:8" customFormat="1" x14ac:dyDescent="0.25">
      <c r="A20101" t="str">
        <f>"705063"</f>
        <v>705063</v>
      </c>
      <c r="B20101" t="s">
        <v>17330</v>
      </c>
      <c r="C20101" t="s">
        <v>263</v>
      </c>
      <c r="D20101" s="21" t="s">
        <v>34</v>
      </c>
      <c r="E20101" s="21" t="s">
        <v>254</v>
      </c>
      <c r="F20101">
        <v>2700009</v>
      </c>
      <c r="G20101" t="s">
        <v>2156</v>
      </c>
      <c r="H20101" s="21">
        <v>741.54</v>
      </c>
    </row>
    <row r="20102" spans="1:8" customFormat="1" x14ac:dyDescent="0.25">
      <c r="A20102" t="str">
        <f>"102117"</f>
        <v>102117</v>
      </c>
      <c r="B20102" t="s">
        <v>5458</v>
      </c>
      <c r="C20102" t="s">
        <v>124</v>
      </c>
      <c r="D20102" s="21" t="s">
        <v>34</v>
      </c>
      <c r="E20102" s="21" t="s">
        <v>254</v>
      </c>
      <c r="F20102">
        <v>6100041</v>
      </c>
      <c r="G20102" t="s">
        <v>14552</v>
      </c>
      <c r="H20102" s="21">
        <v>741.54</v>
      </c>
    </row>
    <row r="20103" spans="1:8" customFormat="1" x14ac:dyDescent="0.25">
      <c r="A20103" t="str">
        <f>"2717463"</f>
        <v>2717463</v>
      </c>
      <c r="B20103" t="s">
        <v>17691</v>
      </c>
      <c r="C20103" t="s">
        <v>60</v>
      </c>
      <c r="D20103" s="21" t="s">
        <v>34</v>
      </c>
      <c r="E20103" s="21" t="s">
        <v>35</v>
      </c>
      <c r="F20103">
        <v>9270069</v>
      </c>
      <c r="G20103" t="s">
        <v>3509</v>
      </c>
      <c r="H20103" s="21">
        <v>741.54</v>
      </c>
    </row>
    <row r="20104" spans="1:8" customFormat="1" x14ac:dyDescent="0.25">
      <c r="A20104" t="str">
        <f>"367284"</f>
        <v>367284</v>
      </c>
      <c r="B20104" t="s">
        <v>16880</v>
      </c>
      <c r="C20104" t="s">
        <v>2752</v>
      </c>
      <c r="D20104" s="21" t="s">
        <v>34</v>
      </c>
      <c r="E20104" s="21" t="s">
        <v>71</v>
      </c>
      <c r="F20104">
        <v>4360728</v>
      </c>
      <c r="G20104" t="s">
        <v>12735</v>
      </c>
      <c r="H20104" s="21">
        <v>741.42</v>
      </c>
    </row>
    <row r="20105" spans="1:8" customFormat="1" x14ac:dyDescent="0.25">
      <c r="A20105" t="str">
        <f>"3111925"</f>
        <v>3111925</v>
      </c>
      <c r="B20105" t="s">
        <v>12703</v>
      </c>
      <c r="C20105" t="s">
        <v>62</v>
      </c>
      <c r="D20105" s="21" t="s">
        <v>34</v>
      </c>
      <c r="E20105" s="21" t="s">
        <v>35</v>
      </c>
      <c r="F20105">
        <v>11310117</v>
      </c>
      <c r="G20105" t="s">
        <v>10279</v>
      </c>
      <c r="H20105" s="21">
        <v>741.42</v>
      </c>
    </row>
    <row r="20106" spans="1:8" customFormat="1" x14ac:dyDescent="0.25">
      <c r="A20106" t="str">
        <f>"5948109"</f>
        <v>5948109</v>
      </c>
      <c r="B20106" t="s">
        <v>9940</v>
      </c>
      <c r="C20106" t="s">
        <v>55</v>
      </c>
      <c r="D20106" s="21" t="s">
        <v>34</v>
      </c>
      <c r="E20106" s="21" t="s">
        <v>71</v>
      </c>
      <c r="F20106">
        <v>7590044</v>
      </c>
      <c r="G20106" t="s">
        <v>2029</v>
      </c>
      <c r="H20106" s="21">
        <v>741.29</v>
      </c>
    </row>
    <row r="20107" spans="1:8" customFormat="1" x14ac:dyDescent="0.25">
      <c r="A20107" t="str">
        <f>"9514887"</f>
        <v>9514887</v>
      </c>
      <c r="B20107" t="s">
        <v>2964</v>
      </c>
      <c r="C20107" t="s">
        <v>18257</v>
      </c>
      <c r="D20107" s="21" t="s">
        <v>34</v>
      </c>
      <c r="E20107" s="21" t="s">
        <v>71</v>
      </c>
      <c r="F20107">
        <v>8951399</v>
      </c>
      <c r="G20107" t="s">
        <v>6745</v>
      </c>
      <c r="H20107" s="21">
        <v>741.29</v>
      </c>
    </row>
    <row r="20108" spans="1:8" customFormat="1" x14ac:dyDescent="0.25">
      <c r="A20108" t="str">
        <f>"448753"</f>
        <v>448753</v>
      </c>
      <c r="B20108" t="s">
        <v>27592</v>
      </c>
      <c r="C20108" t="s">
        <v>124</v>
      </c>
      <c r="D20108" s="21" t="s">
        <v>34</v>
      </c>
      <c r="E20108" s="21" t="s">
        <v>71</v>
      </c>
      <c r="F20108">
        <v>12440014</v>
      </c>
      <c r="G20108" t="s">
        <v>6767</v>
      </c>
      <c r="H20108" s="21">
        <v>741.17</v>
      </c>
    </row>
    <row r="20109" spans="1:8" customFormat="1" x14ac:dyDescent="0.25">
      <c r="A20109" t="str">
        <f>"4435802"</f>
        <v>4435802</v>
      </c>
      <c r="B20109" t="s">
        <v>16523</v>
      </c>
      <c r="C20109" t="s">
        <v>513</v>
      </c>
      <c r="D20109" s="21" t="s">
        <v>34</v>
      </c>
      <c r="E20109" s="21" t="s">
        <v>35</v>
      </c>
      <c r="F20109">
        <v>12440239</v>
      </c>
      <c r="G20109" t="s">
        <v>11158</v>
      </c>
      <c r="H20109" s="21">
        <v>741.17</v>
      </c>
    </row>
    <row r="20110" spans="1:8" customFormat="1" x14ac:dyDescent="0.25">
      <c r="A20110" t="str">
        <f>"8813029"</f>
        <v>8813029</v>
      </c>
      <c r="B20110" t="s">
        <v>15043</v>
      </c>
      <c r="C20110" t="s">
        <v>263</v>
      </c>
      <c r="D20110" s="21" t="s">
        <v>34</v>
      </c>
      <c r="E20110" s="21" t="s">
        <v>71</v>
      </c>
      <c r="F20110">
        <v>6880049</v>
      </c>
      <c r="G20110" t="s">
        <v>4514</v>
      </c>
      <c r="H20110" s="21">
        <v>741.17</v>
      </c>
    </row>
    <row r="20111" spans="1:8" customFormat="1" x14ac:dyDescent="0.25">
      <c r="A20111" t="str">
        <f>"1424039"</f>
        <v>1424039</v>
      </c>
      <c r="B20111" t="s">
        <v>17630</v>
      </c>
      <c r="C20111" t="s">
        <v>269</v>
      </c>
      <c r="D20111" s="21" t="s">
        <v>34</v>
      </c>
      <c r="E20111" s="21" t="s">
        <v>35</v>
      </c>
      <c r="F20111">
        <v>9140052</v>
      </c>
      <c r="G20111" t="s">
        <v>26563</v>
      </c>
      <c r="H20111" s="21">
        <v>741.17</v>
      </c>
    </row>
    <row r="20112" spans="1:8" customFormat="1" x14ac:dyDescent="0.25">
      <c r="A20112" t="str">
        <f>"026025"</f>
        <v>026025</v>
      </c>
      <c r="B20112" t="s">
        <v>13501</v>
      </c>
      <c r="C20112" t="s">
        <v>269</v>
      </c>
      <c r="D20112" s="21" t="s">
        <v>34</v>
      </c>
      <c r="E20112" s="21" t="s">
        <v>71</v>
      </c>
      <c r="F20112">
        <v>7020055</v>
      </c>
      <c r="G20112" t="s">
        <v>8987</v>
      </c>
      <c r="H20112" s="21">
        <v>741.17</v>
      </c>
    </row>
    <row r="20113" spans="1:8" customFormat="1" x14ac:dyDescent="0.25">
      <c r="A20113" t="str">
        <f>"7712551"</f>
        <v>7712551</v>
      </c>
      <c r="B20113" t="s">
        <v>14805</v>
      </c>
      <c r="C20113" t="s">
        <v>415</v>
      </c>
      <c r="D20113" s="21" t="s">
        <v>34</v>
      </c>
      <c r="E20113" s="21" t="s">
        <v>71</v>
      </c>
      <c r="F20113">
        <v>8770166</v>
      </c>
      <c r="G20113" t="s">
        <v>653</v>
      </c>
      <c r="H20113" s="21">
        <v>741.17</v>
      </c>
    </row>
    <row r="20114" spans="1:8" customFormat="1" x14ac:dyDescent="0.25">
      <c r="A20114" t="str">
        <f>"6922194"</f>
        <v>6922194</v>
      </c>
      <c r="B20114" t="s">
        <v>13731</v>
      </c>
      <c r="C20114" t="s">
        <v>209</v>
      </c>
      <c r="D20114" s="21" t="s">
        <v>34</v>
      </c>
      <c r="E20114" s="21" t="s">
        <v>71</v>
      </c>
      <c r="F20114">
        <v>1690090</v>
      </c>
      <c r="G20114" t="s">
        <v>6286</v>
      </c>
      <c r="H20114" s="21">
        <v>741.17</v>
      </c>
    </row>
    <row r="20115" spans="1:8" customFormat="1" x14ac:dyDescent="0.25">
      <c r="A20115" t="str">
        <f>"354699"</f>
        <v>354699</v>
      </c>
      <c r="B20115" t="s">
        <v>15227</v>
      </c>
      <c r="C20115" t="s">
        <v>169</v>
      </c>
      <c r="D20115" s="21" t="s">
        <v>34</v>
      </c>
      <c r="E20115" s="21" t="s">
        <v>35</v>
      </c>
      <c r="F20115">
        <v>3350047</v>
      </c>
      <c r="G20115" t="s">
        <v>9797</v>
      </c>
      <c r="H20115" s="21">
        <v>741.17</v>
      </c>
    </row>
    <row r="20116" spans="1:8" customFormat="1" x14ac:dyDescent="0.25">
      <c r="A20116" t="str">
        <f>"6814181"</f>
        <v>6814181</v>
      </c>
      <c r="B20116" t="s">
        <v>16567</v>
      </c>
      <c r="C20116" t="s">
        <v>198</v>
      </c>
      <c r="D20116" s="21" t="s">
        <v>34</v>
      </c>
      <c r="E20116" s="21" t="s">
        <v>35</v>
      </c>
      <c r="F20116">
        <v>6680139</v>
      </c>
      <c r="G20116" t="s">
        <v>8652</v>
      </c>
      <c r="H20116" s="21">
        <v>741.17</v>
      </c>
    </row>
    <row r="20117" spans="1:8" customFormat="1" x14ac:dyDescent="0.25">
      <c r="A20117" t="str">
        <f>"331897"</f>
        <v>331897</v>
      </c>
      <c r="B20117" t="s">
        <v>8453</v>
      </c>
      <c r="C20117" t="s">
        <v>453</v>
      </c>
      <c r="D20117" s="21" t="s">
        <v>34</v>
      </c>
      <c r="E20117" s="21" t="s">
        <v>1089</v>
      </c>
      <c r="F20117">
        <v>10330077</v>
      </c>
      <c r="G20117" t="s">
        <v>4274</v>
      </c>
      <c r="H20117" s="21">
        <v>741.17</v>
      </c>
    </row>
    <row r="20118" spans="1:8" customFormat="1" x14ac:dyDescent="0.25">
      <c r="A20118" t="str">
        <f>"2513652"</f>
        <v>2513652</v>
      </c>
      <c r="B20118" t="s">
        <v>67</v>
      </c>
      <c r="C20118" t="s">
        <v>174</v>
      </c>
      <c r="D20118" s="21" t="s">
        <v>34</v>
      </c>
      <c r="E20118" s="21" t="s">
        <v>35</v>
      </c>
      <c r="F20118">
        <v>4370346</v>
      </c>
      <c r="G20118" t="s">
        <v>8269</v>
      </c>
      <c r="H20118" s="21">
        <v>741.17</v>
      </c>
    </row>
    <row r="20119" spans="1:8" customFormat="1" x14ac:dyDescent="0.25">
      <c r="A20119" t="str">
        <f>"186357"</f>
        <v>186357</v>
      </c>
      <c r="B20119" t="s">
        <v>2711</v>
      </c>
      <c r="C20119" t="s">
        <v>2305</v>
      </c>
      <c r="D20119" s="21" t="s">
        <v>34</v>
      </c>
      <c r="E20119" s="21" t="s">
        <v>254</v>
      </c>
      <c r="F20119">
        <v>4180238</v>
      </c>
      <c r="G20119" t="s">
        <v>7304</v>
      </c>
      <c r="H20119" s="21">
        <v>741.17</v>
      </c>
    </row>
    <row r="20120" spans="1:8" customFormat="1" x14ac:dyDescent="0.25">
      <c r="A20120" t="str">
        <f>"723006"</f>
        <v>723006</v>
      </c>
      <c r="B20120" t="s">
        <v>17450</v>
      </c>
      <c r="C20120" t="s">
        <v>1446</v>
      </c>
      <c r="D20120" s="21" t="s">
        <v>34</v>
      </c>
      <c r="E20120" s="21" t="s">
        <v>35</v>
      </c>
      <c r="F20120">
        <v>11820011</v>
      </c>
      <c r="G20120" t="s">
        <v>2611</v>
      </c>
      <c r="H20120" s="21">
        <v>741.17</v>
      </c>
    </row>
    <row r="20121" spans="1:8" customFormat="1" x14ac:dyDescent="0.25">
      <c r="A20121" t="str">
        <f>"6013363"</f>
        <v>6013363</v>
      </c>
      <c r="B20121" t="s">
        <v>27593</v>
      </c>
      <c r="C20121" t="s">
        <v>249</v>
      </c>
      <c r="D20121" s="21" t="s">
        <v>34</v>
      </c>
      <c r="E20121" s="21" t="s">
        <v>71</v>
      </c>
      <c r="F20121">
        <v>9140007</v>
      </c>
      <c r="G20121" t="s">
        <v>434</v>
      </c>
      <c r="H20121" s="21">
        <v>741.17</v>
      </c>
    </row>
    <row r="20122" spans="1:8" customFormat="1" x14ac:dyDescent="0.25">
      <c r="A20122" t="str">
        <f>"2931279"</f>
        <v>2931279</v>
      </c>
      <c r="B20122" t="s">
        <v>11871</v>
      </c>
      <c r="C20122" t="s">
        <v>7923</v>
      </c>
      <c r="D20122" s="21" t="s">
        <v>34</v>
      </c>
      <c r="E20122" s="21" t="s">
        <v>35</v>
      </c>
      <c r="F20122">
        <v>3290281</v>
      </c>
      <c r="G20122" t="s">
        <v>11077</v>
      </c>
      <c r="H20122" s="21">
        <v>741.17</v>
      </c>
    </row>
    <row r="20123" spans="1:8" customFormat="1" x14ac:dyDescent="0.25">
      <c r="A20123" t="str">
        <f>"7919003"</f>
        <v>7919003</v>
      </c>
      <c r="B20123" t="s">
        <v>10552</v>
      </c>
      <c r="C20123" t="s">
        <v>513</v>
      </c>
      <c r="D20123" s="21" t="s">
        <v>34</v>
      </c>
      <c r="E20123" s="21" t="s">
        <v>35</v>
      </c>
      <c r="F20123">
        <v>10790020</v>
      </c>
      <c r="G20123" t="s">
        <v>10221</v>
      </c>
      <c r="H20123" s="21">
        <v>741.17</v>
      </c>
    </row>
    <row r="20124" spans="1:8" customFormat="1" x14ac:dyDescent="0.25">
      <c r="A20124" t="str">
        <f>"3335731"</f>
        <v>3335731</v>
      </c>
      <c r="B20124" t="s">
        <v>11840</v>
      </c>
      <c r="C20124" t="s">
        <v>40</v>
      </c>
      <c r="D20124" s="21" t="s">
        <v>34</v>
      </c>
      <c r="E20124" s="21" t="s">
        <v>35</v>
      </c>
      <c r="F20124">
        <v>10330050</v>
      </c>
      <c r="G20124" t="s">
        <v>2488</v>
      </c>
      <c r="H20124" s="21">
        <v>741.17</v>
      </c>
    </row>
    <row r="20125" spans="1:8" customFormat="1" x14ac:dyDescent="0.25">
      <c r="A20125" t="str">
        <f>"833871"</f>
        <v>833871</v>
      </c>
      <c r="B20125" t="s">
        <v>14876</v>
      </c>
      <c r="C20125" t="s">
        <v>198</v>
      </c>
      <c r="D20125" s="21" t="s">
        <v>34</v>
      </c>
      <c r="E20125" s="21" t="s">
        <v>71</v>
      </c>
      <c r="F20125">
        <v>13830015</v>
      </c>
      <c r="G20125" t="s">
        <v>4011</v>
      </c>
      <c r="H20125" s="21">
        <v>741.17</v>
      </c>
    </row>
    <row r="20126" spans="1:8" customFormat="1" x14ac:dyDescent="0.25">
      <c r="A20126" t="str">
        <f>"4916294"</f>
        <v>4916294</v>
      </c>
      <c r="B20126" t="s">
        <v>2903</v>
      </c>
      <c r="C20126" t="s">
        <v>926</v>
      </c>
      <c r="D20126" s="21" t="s">
        <v>34</v>
      </c>
      <c r="E20126" s="21" t="s">
        <v>71</v>
      </c>
      <c r="F20126">
        <v>12490046</v>
      </c>
      <c r="G20126" t="s">
        <v>9773</v>
      </c>
      <c r="H20126" s="21">
        <v>741.04</v>
      </c>
    </row>
    <row r="20127" spans="1:8" customFormat="1" x14ac:dyDescent="0.25">
      <c r="A20127" t="str">
        <f>"2710199"</f>
        <v>2710199</v>
      </c>
      <c r="B20127" t="s">
        <v>5083</v>
      </c>
      <c r="C20127" t="s">
        <v>198</v>
      </c>
      <c r="D20127" s="21" t="s">
        <v>34</v>
      </c>
      <c r="E20127" s="21" t="s">
        <v>71</v>
      </c>
      <c r="F20127">
        <v>9270166</v>
      </c>
      <c r="G20127" t="s">
        <v>16629</v>
      </c>
      <c r="H20127" s="21">
        <v>740.92</v>
      </c>
    </row>
    <row r="20128" spans="1:8" customFormat="1" x14ac:dyDescent="0.25">
      <c r="A20128" t="str">
        <f>"271101"</f>
        <v>271101</v>
      </c>
      <c r="B20128" t="s">
        <v>392</v>
      </c>
      <c r="C20128" t="s">
        <v>1665</v>
      </c>
      <c r="D20128" s="21" t="s">
        <v>34</v>
      </c>
      <c r="E20128" s="21" t="s">
        <v>1089</v>
      </c>
      <c r="F20128">
        <v>9270095</v>
      </c>
      <c r="G20128" t="s">
        <v>1681</v>
      </c>
      <c r="H20128" s="21">
        <v>740.79</v>
      </c>
    </row>
    <row r="20129" spans="1:8" customFormat="1" x14ac:dyDescent="0.25">
      <c r="A20129" t="str">
        <f>"8528813"</f>
        <v>8528813</v>
      </c>
      <c r="B20129" t="s">
        <v>15715</v>
      </c>
      <c r="C20129" t="s">
        <v>1705</v>
      </c>
      <c r="D20129" s="21" t="s">
        <v>34</v>
      </c>
      <c r="E20129" s="21" t="s">
        <v>254</v>
      </c>
      <c r="F20129">
        <v>12851024</v>
      </c>
      <c r="G20129" t="s">
        <v>25858</v>
      </c>
      <c r="H20129" s="21">
        <v>740.79</v>
      </c>
    </row>
    <row r="20130" spans="1:8" customFormat="1" x14ac:dyDescent="0.25">
      <c r="A20130" t="str">
        <f>"517836"</f>
        <v>517836</v>
      </c>
      <c r="B20130" t="s">
        <v>14119</v>
      </c>
      <c r="C20130" t="s">
        <v>33</v>
      </c>
      <c r="D20130" s="21" t="s">
        <v>34</v>
      </c>
      <c r="E20130" s="21" t="s">
        <v>71</v>
      </c>
      <c r="F20130">
        <v>6510114</v>
      </c>
      <c r="G20130" t="s">
        <v>14120</v>
      </c>
      <c r="H20130" s="21">
        <v>740.67</v>
      </c>
    </row>
    <row r="20131" spans="1:8" customFormat="1" x14ac:dyDescent="0.25">
      <c r="A20131" t="str">
        <f>"80725"</f>
        <v>80725</v>
      </c>
      <c r="B20131" t="s">
        <v>16275</v>
      </c>
      <c r="C20131" t="s">
        <v>2520</v>
      </c>
      <c r="D20131" s="21" t="s">
        <v>34</v>
      </c>
      <c r="E20131" s="21" t="s">
        <v>254</v>
      </c>
      <c r="F20131">
        <v>7800018</v>
      </c>
      <c r="G20131" t="s">
        <v>10207</v>
      </c>
      <c r="H20131" s="21">
        <v>740.67</v>
      </c>
    </row>
    <row r="20132" spans="1:8" customFormat="1" x14ac:dyDescent="0.25">
      <c r="A20132" t="str">
        <f>"424631"</f>
        <v>424631</v>
      </c>
      <c r="B20132" t="s">
        <v>8774</v>
      </c>
      <c r="C20132" t="s">
        <v>33</v>
      </c>
      <c r="D20132" s="21" t="s">
        <v>34</v>
      </c>
      <c r="E20132" s="21" t="s">
        <v>71</v>
      </c>
      <c r="F20132">
        <v>1420106</v>
      </c>
      <c r="G20132" t="s">
        <v>6244</v>
      </c>
      <c r="H20132" s="21">
        <v>740.67</v>
      </c>
    </row>
    <row r="20133" spans="1:8" customFormat="1" x14ac:dyDescent="0.25">
      <c r="A20133" t="str">
        <f>"3521958"</f>
        <v>3521958</v>
      </c>
      <c r="B20133" t="s">
        <v>1533</v>
      </c>
      <c r="C20133" t="s">
        <v>169</v>
      </c>
      <c r="D20133" s="21" t="s">
        <v>34</v>
      </c>
      <c r="E20133" s="21" t="s">
        <v>71</v>
      </c>
      <c r="F20133">
        <v>3350122</v>
      </c>
      <c r="G20133" t="s">
        <v>3069</v>
      </c>
      <c r="H20133" s="21">
        <v>740.67</v>
      </c>
    </row>
    <row r="20134" spans="1:8" customFormat="1" x14ac:dyDescent="0.25">
      <c r="A20134" t="str">
        <f>"2929661"</f>
        <v>2929661</v>
      </c>
      <c r="B20134" t="s">
        <v>15332</v>
      </c>
      <c r="C20134" t="s">
        <v>87</v>
      </c>
      <c r="D20134" s="21" t="s">
        <v>34</v>
      </c>
      <c r="E20134" s="21" t="s">
        <v>35</v>
      </c>
      <c r="F20134">
        <v>3290207</v>
      </c>
      <c r="G20134" t="s">
        <v>8805</v>
      </c>
      <c r="H20134" s="21">
        <v>740.67</v>
      </c>
    </row>
    <row r="20135" spans="1:8" customFormat="1" x14ac:dyDescent="0.25">
      <c r="A20135" t="str">
        <f>"271885"</f>
        <v>271885</v>
      </c>
      <c r="B20135" t="s">
        <v>3200</v>
      </c>
      <c r="C20135" t="s">
        <v>40</v>
      </c>
      <c r="D20135" s="21" t="s">
        <v>34</v>
      </c>
      <c r="E20135" s="21" t="s">
        <v>254</v>
      </c>
      <c r="F20135">
        <v>9270060</v>
      </c>
      <c r="G20135" t="s">
        <v>1982</v>
      </c>
      <c r="H20135" s="21">
        <v>740.67</v>
      </c>
    </row>
    <row r="20136" spans="1:8" customFormat="1" x14ac:dyDescent="0.25">
      <c r="A20136" t="str">
        <f>"7622116"</f>
        <v>7622116</v>
      </c>
      <c r="B20136" t="s">
        <v>12694</v>
      </c>
      <c r="C20136" t="s">
        <v>209</v>
      </c>
      <c r="D20136" s="21" t="s">
        <v>34</v>
      </c>
      <c r="E20136" s="21" t="s">
        <v>254</v>
      </c>
      <c r="F20136">
        <v>9760403</v>
      </c>
      <c r="G20136" t="s">
        <v>11140</v>
      </c>
      <c r="H20136" s="21">
        <v>740.67</v>
      </c>
    </row>
    <row r="20137" spans="1:8" customFormat="1" x14ac:dyDescent="0.25">
      <c r="A20137" t="str">
        <f>"2925454"</f>
        <v>2925454</v>
      </c>
      <c r="B20137" t="s">
        <v>14411</v>
      </c>
      <c r="C20137" t="s">
        <v>528</v>
      </c>
      <c r="D20137" s="21" t="s">
        <v>34</v>
      </c>
      <c r="E20137" s="21" t="s">
        <v>254</v>
      </c>
      <c r="F20137">
        <v>3290081</v>
      </c>
      <c r="G20137" t="s">
        <v>3819</v>
      </c>
      <c r="H20137" s="21">
        <v>740.67</v>
      </c>
    </row>
    <row r="20138" spans="1:8" customFormat="1" x14ac:dyDescent="0.25">
      <c r="A20138" t="str">
        <f>"663119"</f>
        <v>663119</v>
      </c>
      <c r="B20138" t="s">
        <v>5638</v>
      </c>
      <c r="C20138" t="s">
        <v>187</v>
      </c>
      <c r="D20138" s="21" t="s">
        <v>34</v>
      </c>
      <c r="E20138" s="21" t="s">
        <v>254</v>
      </c>
      <c r="F20138">
        <v>11660003</v>
      </c>
      <c r="G20138" t="s">
        <v>5188</v>
      </c>
      <c r="H20138" s="21">
        <v>740.67</v>
      </c>
    </row>
    <row r="20139" spans="1:8" customFormat="1" x14ac:dyDescent="0.25">
      <c r="A20139" t="str">
        <f>"1415903"</f>
        <v>1415903</v>
      </c>
      <c r="B20139" t="s">
        <v>27594</v>
      </c>
      <c r="C20139" t="s">
        <v>87</v>
      </c>
      <c r="D20139" s="21" t="s">
        <v>34</v>
      </c>
      <c r="E20139" s="21" t="s">
        <v>35</v>
      </c>
      <c r="F20139">
        <v>9140162</v>
      </c>
      <c r="G20139" t="s">
        <v>7663</v>
      </c>
      <c r="H20139" s="21">
        <v>740.67</v>
      </c>
    </row>
    <row r="20140" spans="1:8" customFormat="1" x14ac:dyDescent="0.25">
      <c r="A20140" t="str">
        <f>"1420235"</f>
        <v>1420235</v>
      </c>
      <c r="B20140" t="s">
        <v>16145</v>
      </c>
      <c r="C20140" t="s">
        <v>60</v>
      </c>
      <c r="D20140" s="21" t="s">
        <v>34</v>
      </c>
      <c r="E20140" s="21" t="s">
        <v>35</v>
      </c>
      <c r="F20140">
        <v>9140147</v>
      </c>
      <c r="G20140" t="s">
        <v>7584</v>
      </c>
      <c r="H20140" s="21">
        <v>740.67</v>
      </c>
    </row>
    <row r="20141" spans="1:8" customFormat="1" x14ac:dyDescent="0.25">
      <c r="A20141" t="str">
        <f>"5957697"</f>
        <v>5957697</v>
      </c>
      <c r="B20141" t="s">
        <v>27595</v>
      </c>
      <c r="C20141" t="s">
        <v>16280</v>
      </c>
      <c r="D20141" s="21" t="s">
        <v>34</v>
      </c>
      <c r="E20141" s="21" t="s">
        <v>35</v>
      </c>
      <c r="F20141">
        <v>7590354</v>
      </c>
      <c r="G20141" t="s">
        <v>5786</v>
      </c>
      <c r="H20141" s="21">
        <v>740.67</v>
      </c>
    </row>
    <row r="20142" spans="1:8" customFormat="1" x14ac:dyDescent="0.25">
      <c r="A20142" t="str">
        <f>"5920112"</f>
        <v>5920112</v>
      </c>
      <c r="B20142" t="s">
        <v>15123</v>
      </c>
      <c r="C20142" t="s">
        <v>171</v>
      </c>
      <c r="D20142" s="21" t="s">
        <v>34</v>
      </c>
      <c r="E20142" s="21" t="s">
        <v>1089</v>
      </c>
      <c r="F20142">
        <v>7590170</v>
      </c>
      <c r="G20142" t="s">
        <v>868</v>
      </c>
      <c r="H20142" s="21">
        <v>740.67</v>
      </c>
    </row>
    <row r="20143" spans="1:8" customFormat="1" x14ac:dyDescent="0.25">
      <c r="A20143" t="str">
        <f>"2585"</f>
        <v>2585</v>
      </c>
      <c r="B20143" t="s">
        <v>14835</v>
      </c>
      <c r="C20143" t="s">
        <v>114</v>
      </c>
      <c r="D20143" s="21" t="s">
        <v>34</v>
      </c>
      <c r="E20143" s="21" t="s">
        <v>254</v>
      </c>
      <c r="F20143">
        <v>2250216</v>
      </c>
      <c r="G20143" t="s">
        <v>11454</v>
      </c>
      <c r="H20143" s="21">
        <v>740.67</v>
      </c>
    </row>
    <row r="20144" spans="1:8" customFormat="1" x14ac:dyDescent="0.25">
      <c r="A20144" t="str">
        <f>"2928164"</f>
        <v>2928164</v>
      </c>
      <c r="B20144" t="s">
        <v>15880</v>
      </c>
      <c r="C20144" t="s">
        <v>15881</v>
      </c>
      <c r="D20144" s="21" t="s">
        <v>34</v>
      </c>
      <c r="E20144" s="21" t="s">
        <v>254</v>
      </c>
      <c r="F20144">
        <v>3290286</v>
      </c>
      <c r="G20144" t="s">
        <v>18777</v>
      </c>
      <c r="H20144" s="21">
        <v>740.67</v>
      </c>
    </row>
    <row r="20145" spans="1:8" customFormat="1" x14ac:dyDescent="0.25">
      <c r="A20145" t="str">
        <f>"634864"</f>
        <v>634864</v>
      </c>
      <c r="B20145" t="s">
        <v>1098</v>
      </c>
      <c r="C20145" t="s">
        <v>40</v>
      </c>
      <c r="D20145" s="21" t="s">
        <v>34</v>
      </c>
      <c r="E20145" s="21" t="s">
        <v>71</v>
      </c>
      <c r="F20145">
        <v>1630009</v>
      </c>
      <c r="G20145" t="s">
        <v>6021</v>
      </c>
      <c r="H20145" s="21">
        <v>740.67</v>
      </c>
    </row>
    <row r="20146" spans="1:8" customFormat="1" x14ac:dyDescent="0.25">
      <c r="A20146" t="str">
        <f>"508280"</f>
        <v>508280</v>
      </c>
      <c r="B20146" t="s">
        <v>17816</v>
      </c>
      <c r="C20146" t="s">
        <v>55</v>
      </c>
      <c r="D20146" s="21" t="s">
        <v>34</v>
      </c>
      <c r="E20146" s="21" t="s">
        <v>35</v>
      </c>
      <c r="F20146">
        <v>9500164</v>
      </c>
      <c r="G20146" t="s">
        <v>9818</v>
      </c>
      <c r="H20146" s="21">
        <v>740.67</v>
      </c>
    </row>
    <row r="20147" spans="1:8" customFormat="1" x14ac:dyDescent="0.25">
      <c r="A20147" t="str">
        <f>"366590"</f>
        <v>366590</v>
      </c>
      <c r="B20147" t="s">
        <v>26148</v>
      </c>
      <c r="C20147" t="s">
        <v>119</v>
      </c>
      <c r="D20147" s="21" t="s">
        <v>34</v>
      </c>
      <c r="E20147" s="21" t="s">
        <v>35</v>
      </c>
      <c r="F20147">
        <v>10170218</v>
      </c>
      <c r="G20147" t="s">
        <v>8381</v>
      </c>
      <c r="H20147" s="21">
        <v>740.67</v>
      </c>
    </row>
    <row r="20148" spans="1:8" customFormat="1" x14ac:dyDescent="0.25">
      <c r="A20148" t="str">
        <f>"8315826"</f>
        <v>8315826</v>
      </c>
      <c r="B20148" t="s">
        <v>8321</v>
      </c>
      <c r="C20148" t="s">
        <v>817</v>
      </c>
      <c r="D20148" s="21" t="s">
        <v>34</v>
      </c>
      <c r="E20148" s="21" t="s">
        <v>71</v>
      </c>
      <c r="F20148">
        <v>13830068</v>
      </c>
      <c r="G20148" t="s">
        <v>6181</v>
      </c>
      <c r="H20148" s="21">
        <v>740.67</v>
      </c>
    </row>
    <row r="20149" spans="1:8" customFormat="1" x14ac:dyDescent="0.25">
      <c r="A20149" t="str">
        <f>"905302"</f>
        <v>905302</v>
      </c>
      <c r="B20149" t="s">
        <v>17001</v>
      </c>
      <c r="C20149" t="s">
        <v>43</v>
      </c>
      <c r="D20149" s="21" t="s">
        <v>34</v>
      </c>
      <c r="E20149" s="21" t="s">
        <v>35</v>
      </c>
      <c r="F20149">
        <v>2900041</v>
      </c>
      <c r="G20149" t="s">
        <v>4635</v>
      </c>
      <c r="H20149" s="21">
        <v>740.67</v>
      </c>
    </row>
    <row r="20150" spans="1:8" customFormat="1" x14ac:dyDescent="0.25">
      <c r="A20150" t="str">
        <f>"3338677"</f>
        <v>3338677</v>
      </c>
      <c r="B20150" t="s">
        <v>17535</v>
      </c>
      <c r="C20150" t="s">
        <v>1914</v>
      </c>
      <c r="D20150" s="21" t="s">
        <v>34</v>
      </c>
      <c r="E20150" s="21" t="s">
        <v>71</v>
      </c>
      <c r="F20150">
        <v>10330032</v>
      </c>
      <c r="G20150" t="s">
        <v>4408</v>
      </c>
      <c r="H20150" s="21">
        <v>740.67</v>
      </c>
    </row>
    <row r="20151" spans="1:8" customFormat="1" x14ac:dyDescent="0.25">
      <c r="A20151" t="str">
        <f>"5012858"</f>
        <v>5012858</v>
      </c>
      <c r="B20151" t="s">
        <v>2010</v>
      </c>
      <c r="C20151" t="s">
        <v>3905</v>
      </c>
      <c r="D20151" s="21" t="s">
        <v>34</v>
      </c>
      <c r="E20151" s="21" t="s">
        <v>1089</v>
      </c>
      <c r="F20151">
        <v>9500088</v>
      </c>
      <c r="G20151" t="s">
        <v>15949</v>
      </c>
      <c r="H20151" s="21">
        <v>740.67</v>
      </c>
    </row>
    <row r="20152" spans="1:8" customFormat="1" x14ac:dyDescent="0.25">
      <c r="A20152" t="str">
        <f>"3718035"</f>
        <v>3718035</v>
      </c>
      <c r="B20152" t="s">
        <v>14162</v>
      </c>
      <c r="C20152" t="s">
        <v>547</v>
      </c>
      <c r="D20152" s="21" t="s">
        <v>34</v>
      </c>
      <c r="E20152" s="21" t="s">
        <v>254</v>
      </c>
      <c r="F20152">
        <v>4370033</v>
      </c>
      <c r="G20152" t="s">
        <v>7556</v>
      </c>
      <c r="H20152" s="21">
        <v>740.67</v>
      </c>
    </row>
    <row r="20153" spans="1:8" customFormat="1" x14ac:dyDescent="0.25">
      <c r="A20153" t="str">
        <f>"80793"</f>
        <v>80793</v>
      </c>
      <c r="B20153" t="s">
        <v>108</v>
      </c>
      <c r="C20153" t="s">
        <v>1914</v>
      </c>
      <c r="D20153" s="21" t="s">
        <v>34</v>
      </c>
      <c r="E20153" s="21" t="s">
        <v>71</v>
      </c>
      <c r="F20153">
        <v>7800106</v>
      </c>
      <c r="G20153" t="s">
        <v>2466</v>
      </c>
      <c r="H20153" s="21">
        <v>740.67</v>
      </c>
    </row>
    <row r="20154" spans="1:8" customFormat="1" x14ac:dyDescent="0.25">
      <c r="A20154" t="str">
        <f>"072070"</f>
        <v>072070</v>
      </c>
      <c r="B20154" t="s">
        <v>16039</v>
      </c>
      <c r="C20154" t="s">
        <v>124</v>
      </c>
      <c r="D20154" s="21" t="s">
        <v>34</v>
      </c>
      <c r="E20154" s="21" t="s">
        <v>35</v>
      </c>
      <c r="F20154">
        <v>1260024</v>
      </c>
      <c r="G20154" t="s">
        <v>2685</v>
      </c>
      <c r="H20154" s="21">
        <v>740.67</v>
      </c>
    </row>
    <row r="20155" spans="1:8" customFormat="1" x14ac:dyDescent="0.25">
      <c r="A20155" t="str">
        <f>"3012666"</f>
        <v>3012666</v>
      </c>
      <c r="B20155" t="s">
        <v>27596</v>
      </c>
      <c r="C20155" t="s">
        <v>37</v>
      </c>
      <c r="D20155" s="21" t="s">
        <v>34</v>
      </c>
      <c r="E20155" s="21" t="s">
        <v>35</v>
      </c>
      <c r="F20155">
        <v>11340053</v>
      </c>
      <c r="G20155" t="s">
        <v>9935</v>
      </c>
      <c r="H20155" s="21">
        <v>740.54</v>
      </c>
    </row>
    <row r="20156" spans="1:8" customFormat="1" x14ac:dyDescent="0.25">
      <c r="A20156" t="str">
        <f>"6225865"</f>
        <v>6225865</v>
      </c>
      <c r="B20156" t="s">
        <v>17182</v>
      </c>
      <c r="C20156" t="s">
        <v>33</v>
      </c>
      <c r="D20156" s="21" t="s">
        <v>34</v>
      </c>
      <c r="E20156" s="21" t="s">
        <v>35</v>
      </c>
      <c r="F20156">
        <v>7620058</v>
      </c>
      <c r="G20156" t="s">
        <v>602</v>
      </c>
      <c r="H20156" s="21">
        <v>740.54</v>
      </c>
    </row>
    <row r="20157" spans="1:8" customFormat="1" x14ac:dyDescent="0.25">
      <c r="A20157" t="str">
        <f>"4452459"</f>
        <v>4452459</v>
      </c>
      <c r="B20157" t="s">
        <v>11561</v>
      </c>
      <c r="C20157" t="s">
        <v>60</v>
      </c>
      <c r="D20157" s="21" t="s">
        <v>34</v>
      </c>
      <c r="E20157" s="21" t="s">
        <v>35</v>
      </c>
      <c r="F20157">
        <v>12440038</v>
      </c>
      <c r="G20157" t="s">
        <v>2057</v>
      </c>
      <c r="H20157" s="21">
        <v>740.42</v>
      </c>
    </row>
    <row r="20158" spans="1:8" customFormat="1" x14ac:dyDescent="0.25">
      <c r="A20158" t="str">
        <f>"723050"</f>
        <v>723050</v>
      </c>
      <c r="B20158" t="s">
        <v>2469</v>
      </c>
      <c r="C20158" t="s">
        <v>209</v>
      </c>
      <c r="D20158" s="21" t="s">
        <v>34</v>
      </c>
      <c r="E20158" s="21" t="s">
        <v>35</v>
      </c>
      <c r="F20158">
        <v>12720091</v>
      </c>
      <c r="G20158" t="s">
        <v>10895</v>
      </c>
      <c r="H20158" s="21">
        <v>740.42</v>
      </c>
    </row>
    <row r="20159" spans="1:8" customFormat="1" x14ac:dyDescent="0.25">
      <c r="A20159" t="str">
        <f>"9745018"</f>
        <v>9745018</v>
      </c>
      <c r="B20159" t="s">
        <v>15636</v>
      </c>
      <c r="C20159" t="s">
        <v>1468</v>
      </c>
      <c r="D20159" s="21" t="s">
        <v>34</v>
      </c>
      <c r="E20159" s="21" t="s">
        <v>35</v>
      </c>
      <c r="F20159" t="s">
        <v>1458</v>
      </c>
      <c r="G20159" t="s">
        <v>1459</v>
      </c>
      <c r="H20159" s="21">
        <v>740.29</v>
      </c>
    </row>
    <row r="20160" spans="1:8" customFormat="1" x14ac:dyDescent="0.25">
      <c r="A20160" t="str">
        <f>"482789"</f>
        <v>482789</v>
      </c>
      <c r="B20160" t="s">
        <v>15518</v>
      </c>
      <c r="C20160" t="s">
        <v>119</v>
      </c>
      <c r="D20160" s="21" t="s">
        <v>34</v>
      </c>
      <c r="E20160" s="21" t="s">
        <v>35</v>
      </c>
      <c r="F20160">
        <v>11480020</v>
      </c>
      <c r="G20160" t="s">
        <v>5221</v>
      </c>
      <c r="H20160" s="21">
        <v>740.17</v>
      </c>
    </row>
    <row r="20161" spans="1:8" customFormat="1" x14ac:dyDescent="0.25">
      <c r="A20161" t="str">
        <f>"6211238"</f>
        <v>6211238</v>
      </c>
      <c r="B20161" t="s">
        <v>15454</v>
      </c>
      <c r="C20161" t="s">
        <v>1914</v>
      </c>
      <c r="D20161" s="21" t="s">
        <v>34</v>
      </c>
      <c r="E20161" s="21" t="s">
        <v>254</v>
      </c>
      <c r="F20161">
        <v>7620154</v>
      </c>
      <c r="G20161" t="s">
        <v>13064</v>
      </c>
      <c r="H20161" s="21">
        <v>740.17</v>
      </c>
    </row>
    <row r="20162" spans="1:8" customFormat="1" x14ac:dyDescent="0.25">
      <c r="A20162" t="str">
        <f>"2611083"</f>
        <v>2611083</v>
      </c>
      <c r="B20162" t="s">
        <v>205</v>
      </c>
      <c r="C20162" t="s">
        <v>2305</v>
      </c>
      <c r="D20162" s="21" t="s">
        <v>34</v>
      </c>
      <c r="E20162" s="21" t="s">
        <v>1089</v>
      </c>
      <c r="F20162">
        <v>1260068</v>
      </c>
      <c r="G20162" t="s">
        <v>6531</v>
      </c>
      <c r="H20162" s="21">
        <v>740.17</v>
      </c>
    </row>
    <row r="20163" spans="1:8" customFormat="1" x14ac:dyDescent="0.25">
      <c r="A20163" t="str">
        <f>"5415194"</f>
        <v>5415194</v>
      </c>
      <c r="B20163" t="s">
        <v>2464</v>
      </c>
      <c r="C20163" t="s">
        <v>249</v>
      </c>
      <c r="D20163" s="21" t="s">
        <v>34</v>
      </c>
      <c r="E20163" s="21" t="s">
        <v>254</v>
      </c>
      <c r="F20163">
        <v>6540184</v>
      </c>
      <c r="G20163" t="s">
        <v>4395</v>
      </c>
      <c r="H20163" s="21">
        <v>740.17</v>
      </c>
    </row>
    <row r="20164" spans="1:8" customFormat="1" x14ac:dyDescent="0.25">
      <c r="A20164" t="str">
        <f>"6943474"</f>
        <v>6943474</v>
      </c>
      <c r="B20164" t="s">
        <v>17609</v>
      </c>
      <c r="C20164" t="s">
        <v>515</v>
      </c>
      <c r="D20164" s="21" t="s">
        <v>34</v>
      </c>
      <c r="E20164" s="21" t="s">
        <v>71</v>
      </c>
      <c r="F20164">
        <v>1690002</v>
      </c>
      <c r="G20164" t="s">
        <v>5604</v>
      </c>
      <c r="H20164" s="21">
        <v>740.17</v>
      </c>
    </row>
    <row r="20165" spans="1:8" customFormat="1" x14ac:dyDescent="0.25">
      <c r="A20165" t="str">
        <f>"2212385"</f>
        <v>2212385</v>
      </c>
      <c r="B20165" t="s">
        <v>12870</v>
      </c>
      <c r="C20165" t="s">
        <v>1271</v>
      </c>
      <c r="D20165" s="21" t="s">
        <v>34</v>
      </c>
      <c r="E20165" s="21" t="s">
        <v>71</v>
      </c>
      <c r="F20165">
        <v>3220123</v>
      </c>
      <c r="G20165" t="s">
        <v>26953</v>
      </c>
      <c r="H20165" s="21">
        <v>740.17</v>
      </c>
    </row>
    <row r="20166" spans="1:8" customFormat="1" x14ac:dyDescent="0.25">
      <c r="A20166" t="str">
        <f>"758963"</f>
        <v>758963</v>
      </c>
      <c r="B20166" t="s">
        <v>16990</v>
      </c>
      <c r="C20166" t="s">
        <v>14510</v>
      </c>
      <c r="D20166" s="21" t="s">
        <v>34</v>
      </c>
      <c r="E20166" s="21" t="s">
        <v>71</v>
      </c>
      <c r="F20166">
        <v>8751231</v>
      </c>
      <c r="G20166" t="s">
        <v>12843</v>
      </c>
      <c r="H20166" s="21">
        <v>740.17</v>
      </c>
    </row>
    <row r="20167" spans="1:8" customFormat="1" x14ac:dyDescent="0.25">
      <c r="A20167" t="str">
        <f>"3322525"</f>
        <v>3322525</v>
      </c>
      <c r="B20167" t="s">
        <v>27597</v>
      </c>
      <c r="C20167" t="s">
        <v>269</v>
      </c>
      <c r="D20167" s="21" t="s">
        <v>34</v>
      </c>
      <c r="E20167" s="21" t="s">
        <v>71</v>
      </c>
      <c r="F20167">
        <v>13060114</v>
      </c>
      <c r="G20167" t="s">
        <v>4501</v>
      </c>
      <c r="H20167" s="21">
        <v>740.17</v>
      </c>
    </row>
    <row r="20168" spans="1:8" customFormat="1" x14ac:dyDescent="0.25">
      <c r="A20168" t="str">
        <f>"1610891"</f>
        <v>1610891</v>
      </c>
      <c r="B20168" t="s">
        <v>18803</v>
      </c>
      <c r="C20168" t="s">
        <v>43</v>
      </c>
      <c r="D20168" s="21" t="s">
        <v>34</v>
      </c>
      <c r="E20168" s="21" t="s">
        <v>35</v>
      </c>
      <c r="F20168">
        <v>10160024</v>
      </c>
      <c r="G20168" t="s">
        <v>511</v>
      </c>
      <c r="H20168" s="21">
        <v>740.17</v>
      </c>
    </row>
    <row r="20169" spans="1:8" customFormat="1" x14ac:dyDescent="0.25">
      <c r="A20169" t="str">
        <f>"165377"</f>
        <v>165377</v>
      </c>
      <c r="B20169" t="s">
        <v>16561</v>
      </c>
      <c r="C20169" t="s">
        <v>415</v>
      </c>
      <c r="D20169" s="21" t="s">
        <v>34</v>
      </c>
      <c r="E20169" s="21" t="s">
        <v>71</v>
      </c>
      <c r="F20169">
        <v>10160240</v>
      </c>
      <c r="G20169" t="s">
        <v>7095</v>
      </c>
      <c r="H20169" s="21">
        <v>740.17</v>
      </c>
    </row>
    <row r="20170" spans="1:8" customFormat="1" x14ac:dyDescent="0.25">
      <c r="A20170" t="str">
        <f>"87842"</f>
        <v>87842</v>
      </c>
      <c r="B20170" t="s">
        <v>64</v>
      </c>
      <c r="C20170" t="s">
        <v>253</v>
      </c>
      <c r="D20170" s="21" t="s">
        <v>34</v>
      </c>
      <c r="E20170" s="21" t="s">
        <v>254</v>
      </c>
      <c r="F20170">
        <v>10870003</v>
      </c>
      <c r="G20170" t="s">
        <v>1187</v>
      </c>
      <c r="H20170" s="21">
        <v>740.17</v>
      </c>
    </row>
    <row r="20171" spans="1:8" customFormat="1" x14ac:dyDescent="0.25">
      <c r="A20171" t="str">
        <f>"5969507"</f>
        <v>5969507</v>
      </c>
      <c r="B20171" t="s">
        <v>27598</v>
      </c>
      <c r="C20171" t="s">
        <v>55</v>
      </c>
      <c r="D20171" s="21" t="s">
        <v>34</v>
      </c>
      <c r="E20171" s="21" t="s">
        <v>71</v>
      </c>
      <c r="F20171">
        <v>7590338</v>
      </c>
      <c r="G20171" t="s">
        <v>682</v>
      </c>
      <c r="H20171" s="21">
        <v>740.17</v>
      </c>
    </row>
    <row r="20172" spans="1:8" customFormat="1" x14ac:dyDescent="0.25">
      <c r="A20172" t="str">
        <f>"861747"</f>
        <v>861747</v>
      </c>
      <c r="B20172" t="s">
        <v>2189</v>
      </c>
      <c r="C20172" t="s">
        <v>267</v>
      </c>
      <c r="D20172" s="21" t="s">
        <v>34</v>
      </c>
      <c r="E20172" s="21" t="s">
        <v>254</v>
      </c>
      <c r="F20172">
        <v>10860017</v>
      </c>
      <c r="G20172" t="s">
        <v>2439</v>
      </c>
      <c r="H20172" s="21">
        <v>740.17</v>
      </c>
    </row>
    <row r="20173" spans="1:8" customFormat="1" x14ac:dyDescent="0.25">
      <c r="A20173" t="str">
        <f>"293232"</f>
        <v>293232</v>
      </c>
      <c r="B20173" t="s">
        <v>1551</v>
      </c>
      <c r="C20173" t="s">
        <v>187</v>
      </c>
      <c r="D20173" s="21" t="s">
        <v>34</v>
      </c>
      <c r="E20173" s="21" t="s">
        <v>71</v>
      </c>
      <c r="F20173">
        <v>3290232</v>
      </c>
      <c r="G20173" t="s">
        <v>9588</v>
      </c>
      <c r="H20173" s="21">
        <v>740.17</v>
      </c>
    </row>
    <row r="20174" spans="1:8" customFormat="1" x14ac:dyDescent="0.25">
      <c r="A20174" t="str">
        <f>"505393"</f>
        <v>505393</v>
      </c>
      <c r="B20174" t="s">
        <v>2656</v>
      </c>
      <c r="C20174" t="s">
        <v>415</v>
      </c>
      <c r="D20174" s="21" t="s">
        <v>34</v>
      </c>
      <c r="E20174" s="21" t="s">
        <v>254</v>
      </c>
      <c r="F20174">
        <v>9500073</v>
      </c>
      <c r="G20174" t="s">
        <v>5393</v>
      </c>
      <c r="H20174" s="21">
        <v>740.17</v>
      </c>
    </row>
    <row r="20175" spans="1:8" customFormat="1" x14ac:dyDescent="0.25">
      <c r="A20175" t="str">
        <f>"383610"</f>
        <v>383610</v>
      </c>
      <c r="B20175" t="s">
        <v>15014</v>
      </c>
      <c r="C20175" t="s">
        <v>55</v>
      </c>
      <c r="D20175" s="21" t="s">
        <v>34</v>
      </c>
      <c r="E20175" s="21" t="s">
        <v>71</v>
      </c>
      <c r="F20175">
        <v>1380275</v>
      </c>
      <c r="G20175" t="s">
        <v>8042</v>
      </c>
      <c r="H20175" s="21">
        <v>740.17</v>
      </c>
    </row>
    <row r="20176" spans="1:8" customFormat="1" x14ac:dyDescent="0.25">
      <c r="A20176" t="str">
        <f>"566914"</f>
        <v>566914</v>
      </c>
      <c r="B20176" t="s">
        <v>7517</v>
      </c>
      <c r="C20176" t="s">
        <v>2393</v>
      </c>
      <c r="D20176" s="21" t="s">
        <v>34</v>
      </c>
      <c r="E20176" s="21" t="s">
        <v>35</v>
      </c>
      <c r="F20176">
        <v>3290276</v>
      </c>
      <c r="G20176" t="s">
        <v>26710</v>
      </c>
      <c r="H20176" s="21">
        <v>740.17</v>
      </c>
    </row>
    <row r="20177" spans="1:8" customFormat="1" x14ac:dyDescent="0.25">
      <c r="A20177" t="str">
        <f>"3512273"</f>
        <v>3512273</v>
      </c>
      <c r="B20177" t="s">
        <v>15861</v>
      </c>
      <c r="C20177" t="s">
        <v>269</v>
      </c>
      <c r="D20177" s="21" t="s">
        <v>34</v>
      </c>
      <c r="E20177" s="21" t="s">
        <v>71</v>
      </c>
      <c r="F20177">
        <v>3350022</v>
      </c>
      <c r="G20177" t="s">
        <v>1287</v>
      </c>
      <c r="H20177" s="21">
        <v>740.17</v>
      </c>
    </row>
    <row r="20178" spans="1:8" customFormat="1" x14ac:dyDescent="0.25">
      <c r="A20178" t="str">
        <f>"7814011"</f>
        <v>7814011</v>
      </c>
      <c r="B20178" t="s">
        <v>16539</v>
      </c>
      <c r="C20178" t="s">
        <v>269</v>
      </c>
      <c r="D20178" s="21" t="s">
        <v>34</v>
      </c>
      <c r="E20178" s="21" t="s">
        <v>71</v>
      </c>
      <c r="F20178">
        <v>8780585</v>
      </c>
      <c r="G20178" t="s">
        <v>4630</v>
      </c>
      <c r="H20178" s="21">
        <v>740.17</v>
      </c>
    </row>
    <row r="20179" spans="1:8" customFormat="1" x14ac:dyDescent="0.25">
      <c r="A20179" t="str">
        <f>"7517788"</f>
        <v>7517788</v>
      </c>
      <c r="B20179" t="s">
        <v>6187</v>
      </c>
      <c r="C20179" t="s">
        <v>598</v>
      </c>
      <c r="D20179" s="21" t="s">
        <v>34</v>
      </c>
      <c r="E20179" s="21" t="s">
        <v>71</v>
      </c>
      <c r="F20179">
        <v>8750007</v>
      </c>
      <c r="G20179" t="s">
        <v>775</v>
      </c>
      <c r="H20179" s="21">
        <v>739.92</v>
      </c>
    </row>
    <row r="20180" spans="1:8" customFormat="1" x14ac:dyDescent="0.25">
      <c r="A20180" t="str">
        <f>"5319965"</f>
        <v>5319965</v>
      </c>
      <c r="B20180" t="s">
        <v>16546</v>
      </c>
      <c r="C20180" t="s">
        <v>40</v>
      </c>
      <c r="D20180" s="21" t="s">
        <v>34</v>
      </c>
      <c r="E20180" s="21" t="s">
        <v>71</v>
      </c>
      <c r="F20180">
        <v>12530023</v>
      </c>
      <c r="G20180" t="s">
        <v>5879</v>
      </c>
      <c r="H20180" s="21">
        <v>739.67</v>
      </c>
    </row>
    <row r="20181" spans="1:8" customFormat="1" x14ac:dyDescent="0.25">
      <c r="A20181" t="str">
        <f>"7874361"</f>
        <v>7874361</v>
      </c>
      <c r="B20181" t="s">
        <v>17316</v>
      </c>
      <c r="C20181" t="s">
        <v>12016</v>
      </c>
      <c r="D20181" s="21" t="s">
        <v>34</v>
      </c>
      <c r="E20181" s="21" t="s">
        <v>71</v>
      </c>
      <c r="F20181">
        <v>8780678</v>
      </c>
      <c r="G20181" t="s">
        <v>8556</v>
      </c>
      <c r="H20181" s="21">
        <v>739.67</v>
      </c>
    </row>
    <row r="20182" spans="1:8" customFormat="1" x14ac:dyDescent="0.25">
      <c r="A20182" t="str">
        <f>"1314132"</f>
        <v>1314132</v>
      </c>
      <c r="B20182" t="s">
        <v>16490</v>
      </c>
      <c r="C20182" t="s">
        <v>130</v>
      </c>
      <c r="D20182" s="21" t="s">
        <v>34</v>
      </c>
      <c r="E20182" s="21" t="s">
        <v>35</v>
      </c>
      <c r="F20182">
        <v>13130026</v>
      </c>
      <c r="G20182" t="s">
        <v>3792</v>
      </c>
      <c r="H20182" s="21">
        <v>739.67</v>
      </c>
    </row>
    <row r="20183" spans="1:8" customFormat="1" x14ac:dyDescent="0.25">
      <c r="A20183" t="str">
        <f>"6919516"</f>
        <v>6919516</v>
      </c>
      <c r="B20183" t="s">
        <v>5426</v>
      </c>
      <c r="C20183" t="s">
        <v>249</v>
      </c>
      <c r="D20183" s="21" t="s">
        <v>34</v>
      </c>
      <c r="E20183" s="21" t="s">
        <v>71</v>
      </c>
      <c r="F20183">
        <v>1690040</v>
      </c>
      <c r="G20183" t="s">
        <v>15960</v>
      </c>
      <c r="H20183" s="21">
        <v>739.67</v>
      </c>
    </row>
    <row r="20184" spans="1:8" customFormat="1" x14ac:dyDescent="0.25">
      <c r="A20184" t="str">
        <f>"4422907"</f>
        <v>4422907</v>
      </c>
      <c r="B20184" t="s">
        <v>14522</v>
      </c>
      <c r="C20184" t="s">
        <v>209</v>
      </c>
      <c r="D20184" s="21" t="s">
        <v>34</v>
      </c>
      <c r="E20184" s="21" t="s">
        <v>71</v>
      </c>
      <c r="F20184">
        <v>3290224</v>
      </c>
      <c r="G20184" t="s">
        <v>7829</v>
      </c>
      <c r="H20184" s="21">
        <v>739.67</v>
      </c>
    </row>
    <row r="20185" spans="1:8" customFormat="1" x14ac:dyDescent="0.25">
      <c r="A20185" t="str">
        <f>"9130043"</f>
        <v>9130043</v>
      </c>
      <c r="B20185" t="s">
        <v>16849</v>
      </c>
      <c r="C20185" t="s">
        <v>87</v>
      </c>
      <c r="D20185" s="21" t="s">
        <v>34</v>
      </c>
      <c r="E20185" s="21" t="s">
        <v>35</v>
      </c>
      <c r="F20185">
        <v>8910881</v>
      </c>
      <c r="G20185" t="s">
        <v>1300</v>
      </c>
      <c r="H20185" s="21">
        <v>739.67</v>
      </c>
    </row>
    <row r="20186" spans="1:8" customFormat="1" x14ac:dyDescent="0.25">
      <c r="A20186" t="str">
        <f>"4431299"</f>
        <v>4431299</v>
      </c>
      <c r="B20186" t="s">
        <v>10658</v>
      </c>
      <c r="C20186" t="s">
        <v>119</v>
      </c>
      <c r="D20186" s="21" t="s">
        <v>34</v>
      </c>
      <c r="E20186" s="21" t="s">
        <v>71</v>
      </c>
      <c r="F20186">
        <v>12440059</v>
      </c>
      <c r="G20186" t="s">
        <v>6697</v>
      </c>
      <c r="H20186" s="21">
        <v>739.67</v>
      </c>
    </row>
    <row r="20187" spans="1:8" customFormat="1" x14ac:dyDescent="0.25">
      <c r="A20187" t="str">
        <f>"6938775"</f>
        <v>6938775</v>
      </c>
      <c r="B20187" t="s">
        <v>18501</v>
      </c>
      <c r="C20187" t="s">
        <v>4952</v>
      </c>
      <c r="D20187" s="21" t="s">
        <v>34</v>
      </c>
      <c r="E20187" s="21" t="s">
        <v>35</v>
      </c>
      <c r="F20187">
        <v>1420017</v>
      </c>
      <c r="G20187" t="s">
        <v>1296</v>
      </c>
      <c r="H20187" s="21">
        <v>739.67</v>
      </c>
    </row>
    <row r="20188" spans="1:8" customFormat="1" x14ac:dyDescent="0.25">
      <c r="A20188" t="str">
        <f>"8011514"</f>
        <v>8011514</v>
      </c>
      <c r="B20188" t="s">
        <v>10143</v>
      </c>
      <c r="C20188" t="s">
        <v>151</v>
      </c>
      <c r="D20188" s="21" t="s">
        <v>34</v>
      </c>
      <c r="E20188" s="21" t="s">
        <v>71</v>
      </c>
      <c r="F20188">
        <v>7800008</v>
      </c>
      <c r="G20188" t="s">
        <v>842</v>
      </c>
      <c r="H20188" s="21">
        <v>739.67</v>
      </c>
    </row>
    <row r="20189" spans="1:8" customFormat="1" x14ac:dyDescent="0.25">
      <c r="A20189" t="str">
        <f>"342079"</f>
        <v>342079</v>
      </c>
      <c r="B20189" t="s">
        <v>7482</v>
      </c>
      <c r="C20189" t="s">
        <v>3648</v>
      </c>
      <c r="D20189" s="21" t="s">
        <v>34</v>
      </c>
      <c r="E20189" s="21" t="s">
        <v>254</v>
      </c>
      <c r="F20189">
        <v>11340040</v>
      </c>
      <c r="G20189" t="s">
        <v>5695</v>
      </c>
      <c r="H20189" s="21">
        <v>739.67</v>
      </c>
    </row>
    <row r="20190" spans="1:8" customFormat="1" x14ac:dyDescent="0.25">
      <c r="A20190" t="str">
        <f>"0210126"</f>
        <v>0210126</v>
      </c>
      <c r="B20190" t="s">
        <v>15925</v>
      </c>
      <c r="C20190" t="s">
        <v>2520</v>
      </c>
      <c r="D20190" s="21" t="s">
        <v>34</v>
      </c>
      <c r="E20190" s="21" t="s">
        <v>254</v>
      </c>
      <c r="F20190">
        <v>7020040</v>
      </c>
      <c r="G20190" t="s">
        <v>1698</v>
      </c>
      <c r="H20190" s="21">
        <v>739.67</v>
      </c>
    </row>
    <row r="20191" spans="1:8" customFormat="1" x14ac:dyDescent="0.25">
      <c r="A20191" t="str">
        <f>"428960"</f>
        <v>428960</v>
      </c>
      <c r="B20191" t="s">
        <v>16126</v>
      </c>
      <c r="C20191" t="s">
        <v>822</v>
      </c>
      <c r="D20191" s="21" t="s">
        <v>34</v>
      </c>
      <c r="E20191" s="21" t="s">
        <v>254</v>
      </c>
      <c r="F20191">
        <v>1420055</v>
      </c>
      <c r="G20191" t="s">
        <v>5421</v>
      </c>
      <c r="H20191" s="21">
        <v>739.67</v>
      </c>
    </row>
    <row r="20192" spans="1:8" customFormat="1" x14ac:dyDescent="0.25">
      <c r="A20192" t="str">
        <f>"6221041"</f>
        <v>6221041</v>
      </c>
      <c r="B20192" t="s">
        <v>8761</v>
      </c>
      <c r="C20192" t="s">
        <v>328</v>
      </c>
      <c r="D20192" s="21" t="s">
        <v>34</v>
      </c>
      <c r="E20192" s="21" t="s">
        <v>35</v>
      </c>
      <c r="F20192">
        <v>7620143</v>
      </c>
      <c r="G20192" t="s">
        <v>8762</v>
      </c>
      <c r="H20192" s="21">
        <v>739.67</v>
      </c>
    </row>
    <row r="20193" spans="1:8" customFormat="1" x14ac:dyDescent="0.25">
      <c r="A20193" t="str">
        <f>"1612515"</f>
        <v>1612515</v>
      </c>
      <c r="B20193" t="s">
        <v>17903</v>
      </c>
      <c r="C20193" t="s">
        <v>263</v>
      </c>
      <c r="D20193" s="21" t="s">
        <v>34</v>
      </c>
      <c r="E20193" s="21" t="s">
        <v>71</v>
      </c>
      <c r="F20193">
        <v>10160013</v>
      </c>
      <c r="G20193" t="s">
        <v>12672</v>
      </c>
      <c r="H20193" s="21">
        <v>739.67</v>
      </c>
    </row>
    <row r="20194" spans="1:8" customFormat="1" x14ac:dyDescent="0.25">
      <c r="A20194" t="str">
        <f>"6924651"</f>
        <v>6924651</v>
      </c>
      <c r="B20194" t="s">
        <v>610</v>
      </c>
      <c r="C20194" t="s">
        <v>1914</v>
      </c>
      <c r="D20194" s="21" t="s">
        <v>34</v>
      </c>
      <c r="E20194" s="21" t="s">
        <v>71</v>
      </c>
      <c r="F20194">
        <v>1690201</v>
      </c>
      <c r="G20194" t="s">
        <v>11274</v>
      </c>
      <c r="H20194" s="21">
        <v>739.67</v>
      </c>
    </row>
    <row r="20195" spans="1:8" customFormat="1" x14ac:dyDescent="0.25">
      <c r="A20195" t="str">
        <f>"9125587"</f>
        <v>9125587</v>
      </c>
      <c r="B20195" t="s">
        <v>16514</v>
      </c>
      <c r="C20195" t="s">
        <v>1025</v>
      </c>
      <c r="D20195" s="21" t="s">
        <v>34</v>
      </c>
      <c r="E20195" s="21" t="s">
        <v>254</v>
      </c>
      <c r="F20195">
        <v>8911083</v>
      </c>
      <c r="G20195" t="s">
        <v>7357</v>
      </c>
      <c r="H20195" s="21">
        <v>739.67</v>
      </c>
    </row>
    <row r="20196" spans="1:8" customFormat="1" x14ac:dyDescent="0.25">
      <c r="A20196" t="str">
        <f>"5313573"</f>
        <v>5313573</v>
      </c>
      <c r="B20196" t="s">
        <v>8303</v>
      </c>
      <c r="C20196" t="s">
        <v>926</v>
      </c>
      <c r="D20196" s="21" t="s">
        <v>34</v>
      </c>
      <c r="E20196" s="21" t="s">
        <v>254</v>
      </c>
      <c r="F20196">
        <v>12530093</v>
      </c>
      <c r="G20196" t="s">
        <v>7865</v>
      </c>
      <c r="H20196" s="21">
        <v>739.67</v>
      </c>
    </row>
    <row r="20197" spans="1:8" customFormat="1" x14ac:dyDescent="0.25">
      <c r="A20197" t="str">
        <f>"4422327"</f>
        <v>4422327</v>
      </c>
      <c r="B20197" t="s">
        <v>21751</v>
      </c>
      <c r="C20197" t="s">
        <v>328</v>
      </c>
      <c r="D20197" s="21" t="s">
        <v>34</v>
      </c>
      <c r="E20197" s="21" t="s">
        <v>35</v>
      </c>
      <c r="F20197">
        <v>8951273</v>
      </c>
      <c r="G20197" t="s">
        <v>2382</v>
      </c>
      <c r="H20197" s="21">
        <v>739.67</v>
      </c>
    </row>
    <row r="20198" spans="1:8" customFormat="1" x14ac:dyDescent="0.25">
      <c r="A20198" t="str">
        <f>"461312"</f>
        <v>461312</v>
      </c>
      <c r="B20198" t="s">
        <v>5839</v>
      </c>
      <c r="C20198" t="s">
        <v>209</v>
      </c>
      <c r="D20198" s="21" t="s">
        <v>34</v>
      </c>
      <c r="E20198" s="21" t="s">
        <v>71</v>
      </c>
      <c r="F20198">
        <v>11460021</v>
      </c>
      <c r="G20198" t="s">
        <v>6727</v>
      </c>
      <c r="H20198" s="21">
        <v>739.67</v>
      </c>
    </row>
    <row r="20199" spans="1:8" customFormat="1" x14ac:dyDescent="0.25">
      <c r="A20199" t="str">
        <f>"2926450"</f>
        <v>2926450</v>
      </c>
      <c r="B20199" t="s">
        <v>16942</v>
      </c>
      <c r="C20199" t="s">
        <v>130</v>
      </c>
      <c r="D20199" s="21" t="s">
        <v>34</v>
      </c>
      <c r="E20199" s="21" t="s">
        <v>71</v>
      </c>
      <c r="F20199">
        <v>3290005</v>
      </c>
      <c r="G20199" t="s">
        <v>1253</v>
      </c>
      <c r="H20199" s="21">
        <v>739.54</v>
      </c>
    </row>
    <row r="20200" spans="1:8" customFormat="1" x14ac:dyDescent="0.25">
      <c r="A20200" t="str">
        <f>"67336"</f>
        <v>67336</v>
      </c>
      <c r="B20200" t="s">
        <v>16724</v>
      </c>
      <c r="C20200" t="s">
        <v>269</v>
      </c>
      <c r="D20200" s="21" t="s">
        <v>34</v>
      </c>
      <c r="E20200" s="21" t="s">
        <v>71</v>
      </c>
      <c r="F20200">
        <v>6670092</v>
      </c>
      <c r="G20200" t="s">
        <v>10845</v>
      </c>
      <c r="H20200" s="21">
        <v>739.42</v>
      </c>
    </row>
    <row r="20201" spans="1:8" customFormat="1" x14ac:dyDescent="0.25">
      <c r="A20201" t="str">
        <f>"878678"</f>
        <v>878678</v>
      </c>
      <c r="B20201" t="s">
        <v>15819</v>
      </c>
      <c r="C20201" t="s">
        <v>55</v>
      </c>
      <c r="D20201" s="21" t="s">
        <v>34</v>
      </c>
      <c r="E20201" s="21" t="s">
        <v>71</v>
      </c>
      <c r="F20201">
        <v>10870029</v>
      </c>
      <c r="G20201" t="s">
        <v>15820</v>
      </c>
      <c r="H20201" s="21">
        <v>739.42</v>
      </c>
    </row>
    <row r="20202" spans="1:8" customFormat="1" x14ac:dyDescent="0.25">
      <c r="A20202" t="str">
        <f>"5953816"</f>
        <v>5953816</v>
      </c>
      <c r="B20202" t="s">
        <v>16398</v>
      </c>
      <c r="C20202" t="s">
        <v>2520</v>
      </c>
      <c r="D20202" s="21" t="s">
        <v>34</v>
      </c>
      <c r="E20202" s="21" t="s">
        <v>71</v>
      </c>
      <c r="F20202">
        <v>7590123</v>
      </c>
      <c r="G20202" t="s">
        <v>85</v>
      </c>
      <c r="H20202" s="21">
        <v>739.42</v>
      </c>
    </row>
    <row r="20203" spans="1:8" customFormat="1" x14ac:dyDescent="0.25">
      <c r="A20203" t="str">
        <f>"76640"</f>
        <v>76640</v>
      </c>
      <c r="B20203" t="s">
        <v>14994</v>
      </c>
      <c r="C20203" t="s">
        <v>239</v>
      </c>
      <c r="D20203" s="21" t="s">
        <v>34</v>
      </c>
      <c r="E20203" s="21" t="s">
        <v>1089</v>
      </c>
      <c r="F20203">
        <v>9760004</v>
      </c>
      <c r="G20203" t="s">
        <v>56</v>
      </c>
      <c r="H20203" s="21">
        <v>739.42</v>
      </c>
    </row>
    <row r="20204" spans="1:8" customFormat="1" x14ac:dyDescent="0.25">
      <c r="A20204" t="str">
        <f>"9312190"</f>
        <v>9312190</v>
      </c>
      <c r="B20204" t="s">
        <v>16158</v>
      </c>
      <c r="C20204" t="s">
        <v>812</v>
      </c>
      <c r="D20204" s="21" t="s">
        <v>34</v>
      </c>
      <c r="E20204" s="21" t="s">
        <v>35</v>
      </c>
      <c r="F20204">
        <v>11310115</v>
      </c>
      <c r="G20204" t="s">
        <v>10519</v>
      </c>
      <c r="H20204" s="21">
        <v>739.42</v>
      </c>
    </row>
    <row r="20205" spans="1:8" customFormat="1" x14ac:dyDescent="0.25">
      <c r="A20205" t="str">
        <f>"5613770"</f>
        <v>5613770</v>
      </c>
      <c r="B20205" t="s">
        <v>802</v>
      </c>
      <c r="C20205" t="s">
        <v>58</v>
      </c>
      <c r="D20205" s="21" t="s">
        <v>34</v>
      </c>
      <c r="E20205" s="21" t="s">
        <v>35</v>
      </c>
      <c r="F20205">
        <v>3560050</v>
      </c>
      <c r="G20205" t="s">
        <v>5322</v>
      </c>
      <c r="H20205" s="21">
        <v>739.17</v>
      </c>
    </row>
    <row r="20206" spans="1:8" customFormat="1" x14ac:dyDescent="0.25">
      <c r="A20206" t="str">
        <f>"6316010"</f>
        <v>6316010</v>
      </c>
      <c r="B20206" t="s">
        <v>5948</v>
      </c>
      <c r="C20206" t="s">
        <v>17678</v>
      </c>
      <c r="D20206" s="21" t="s">
        <v>34</v>
      </c>
      <c r="E20206" s="21" t="s">
        <v>35</v>
      </c>
      <c r="F20206">
        <v>1630249</v>
      </c>
      <c r="G20206" t="s">
        <v>1237</v>
      </c>
      <c r="H20206" s="21">
        <v>739.17</v>
      </c>
    </row>
    <row r="20207" spans="1:8" customFormat="1" x14ac:dyDescent="0.25">
      <c r="A20207" t="str">
        <f>"8523827"</f>
        <v>8523827</v>
      </c>
      <c r="B20207" t="s">
        <v>16109</v>
      </c>
      <c r="C20207" t="s">
        <v>3073</v>
      </c>
      <c r="D20207" s="21" t="s">
        <v>34</v>
      </c>
      <c r="E20207" s="21" t="s">
        <v>254</v>
      </c>
      <c r="F20207">
        <v>12850111</v>
      </c>
      <c r="G20207" t="s">
        <v>9234</v>
      </c>
      <c r="H20207" s="21">
        <v>739.17</v>
      </c>
    </row>
    <row r="20208" spans="1:8" customFormat="1" x14ac:dyDescent="0.25">
      <c r="A20208" t="str">
        <f>"8524531"</f>
        <v>8524531</v>
      </c>
      <c r="B20208" t="s">
        <v>17693</v>
      </c>
      <c r="C20208" t="s">
        <v>17694</v>
      </c>
      <c r="D20208" s="21" t="s">
        <v>34</v>
      </c>
      <c r="E20208" s="21" t="s">
        <v>71</v>
      </c>
      <c r="F20208">
        <v>12850136</v>
      </c>
      <c r="G20208" t="s">
        <v>2536</v>
      </c>
      <c r="H20208" s="21">
        <v>739.17</v>
      </c>
    </row>
    <row r="20209" spans="1:8" customFormat="1" x14ac:dyDescent="0.25">
      <c r="A20209" t="str">
        <f>"7210995"</f>
        <v>7210995</v>
      </c>
      <c r="B20209" t="s">
        <v>5132</v>
      </c>
      <c r="C20209" t="s">
        <v>130</v>
      </c>
      <c r="D20209" s="21" t="s">
        <v>34</v>
      </c>
      <c r="E20209" s="21" t="s">
        <v>35</v>
      </c>
      <c r="F20209">
        <v>12720050</v>
      </c>
      <c r="G20209" t="s">
        <v>5522</v>
      </c>
      <c r="H20209" s="21">
        <v>739.17</v>
      </c>
    </row>
    <row r="20210" spans="1:8" customFormat="1" x14ac:dyDescent="0.25">
      <c r="A20210" t="str">
        <f>"168358"</f>
        <v>168358</v>
      </c>
      <c r="B20210" t="s">
        <v>8455</v>
      </c>
      <c r="C20210" t="s">
        <v>249</v>
      </c>
      <c r="D20210" s="21" t="s">
        <v>34</v>
      </c>
      <c r="E20210" s="21" t="s">
        <v>71</v>
      </c>
      <c r="F20210">
        <v>10160049</v>
      </c>
      <c r="G20210" t="s">
        <v>12117</v>
      </c>
      <c r="H20210" s="21">
        <v>739.17</v>
      </c>
    </row>
    <row r="20211" spans="1:8" customFormat="1" x14ac:dyDescent="0.25">
      <c r="A20211" t="str">
        <f>"1613688"</f>
        <v>1613688</v>
      </c>
      <c r="B20211" t="s">
        <v>4147</v>
      </c>
      <c r="C20211" t="s">
        <v>209</v>
      </c>
      <c r="D20211" s="21" t="s">
        <v>34</v>
      </c>
      <c r="E20211" s="21" t="s">
        <v>71</v>
      </c>
      <c r="F20211">
        <v>10160240</v>
      </c>
      <c r="G20211" t="s">
        <v>7095</v>
      </c>
      <c r="H20211" s="21">
        <v>739.17</v>
      </c>
    </row>
    <row r="20212" spans="1:8" customFormat="1" x14ac:dyDescent="0.25">
      <c r="A20212" t="str">
        <f>"6315659"</f>
        <v>6315659</v>
      </c>
      <c r="B20212" t="s">
        <v>17300</v>
      </c>
      <c r="C20212" t="s">
        <v>204</v>
      </c>
      <c r="D20212" s="21" t="s">
        <v>34</v>
      </c>
      <c r="E20212" s="21" t="s">
        <v>35</v>
      </c>
      <c r="F20212">
        <v>1630325</v>
      </c>
      <c r="G20212" t="s">
        <v>10751</v>
      </c>
      <c r="H20212" s="21">
        <v>739.17</v>
      </c>
    </row>
    <row r="20213" spans="1:8" customFormat="1" x14ac:dyDescent="0.25">
      <c r="A20213" t="str">
        <f>"593264"</f>
        <v>593264</v>
      </c>
      <c r="B20213" t="s">
        <v>17064</v>
      </c>
      <c r="C20213" t="s">
        <v>124</v>
      </c>
      <c r="D20213" s="21" t="s">
        <v>34</v>
      </c>
      <c r="E20213" s="21" t="s">
        <v>71</v>
      </c>
      <c r="F20213">
        <v>7590040</v>
      </c>
      <c r="G20213" t="s">
        <v>104</v>
      </c>
      <c r="H20213" s="21">
        <v>739.17</v>
      </c>
    </row>
    <row r="20214" spans="1:8" customFormat="1" x14ac:dyDescent="0.25">
      <c r="A20214" t="str">
        <f>"5010955"</f>
        <v>5010955</v>
      </c>
      <c r="B20214" t="s">
        <v>2656</v>
      </c>
      <c r="C20214" t="s">
        <v>285</v>
      </c>
      <c r="D20214" s="21" t="s">
        <v>34</v>
      </c>
      <c r="E20214" s="21" t="s">
        <v>71</v>
      </c>
      <c r="F20214">
        <v>9500163</v>
      </c>
      <c r="G20214" t="s">
        <v>2750</v>
      </c>
      <c r="H20214" s="21">
        <v>739.17</v>
      </c>
    </row>
    <row r="20215" spans="1:8" customFormat="1" x14ac:dyDescent="0.25">
      <c r="A20215" t="str">
        <f>"6210071"</f>
        <v>6210071</v>
      </c>
      <c r="B20215" t="s">
        <v>17498</v>
      </c>
      <c r="C20215" t="s">
        <v>209</v>
      </c>
      <c r="D20215" s="21" t="s">
        <v>34</v>
      </c>
      <c r="E20215" s="21" t="s">
        <v>71</v>
      </c>
      <c r="F20215">
        <v>4180157</v>
      </c>
      <c r="G20215" t="s">
        <v>11170</v>
      </c>
      <c r="H20215" s="21">
        <v>739.17</v>
      </c>
    </row>
    <row r="20216" spans="1:8" customFormat="1" x14ac:dyDescent="0.25">
      <c r="A20216" t="str">
        <f>"14407"</f>
        <v>14407</v>
      </c>
      <c r="B20216" t="s">
        <v>17740</v>
      </c>
      <c r="C20216" t="s">
        <v>415</v>
      </c>
      <c r="D20216" s="21" t="s">
        <v>34</v>
      </c>
      <c r="E20216" s="21" t="s">
        <v>6185</v>
      </c>
      <c r="F20216">
        <v>9140147</v>
      </c>
      <c r="G20216" t="s">
        <v>7584</v>
      </c>
      <c r="H20216" s="21">
        <v>739.17</v>
      </c>
    </row>
    <row r="20217" spans="1:8" customFormat="1" x14ac:dyDescent="0.25">
      <c r="A20217" t="str">
        <f>"6013300"</f>
        <v>6013300</v>
      </c>
      <c r="B20217" t="s">
        <v>2023</v>
      </c>
      <c r="C20217" t="s">
        <v>249</v>
      </c>
      <c r="D20217" s="21" t="s">
        <v>34</v>
      </c>
      <c r="E20217" s="21" t="s">
        <v>71</v>
      </c>
      <c r="F20217">
        <v>7600054</v>
      </c>
      <c r="G20217" t="s">
        <v>1352</v>
      </c>
      <c r="H20217" s="21">
        <v>739.17</v>
      </c>
    </row>
    <row r="20218" spans="1:8" customFormat="1" x14ac:dyDescent="0.25">
      <c r="A20218" t="str">
        <f>"257146"</f>
        <v>257146</v>
      </c>
      <c r="B20218" t="s">
        <v>14638</v>
      </c>
      <c r="C20218" t="s">
        <v>412</v>
      </c>
      <c r="D20218" s="21" t="s">
        <v>34</v>
      </c>
      <c r="E20218" s="21" t="s">
        <v>1089</v>
      </c>
      <c r="F20218">
        <v>2250196</v>
      </c>
      <c r="G20218" t="s">
        <v>27452</v>
      </c>
      <c r="H20218" s="21">
        <v>739.17</v>
      </c>
    </row>
    <row r="20219" spans="1:8" customFormat="1" x14ac:dyDescent="0.25">
      <c r="A20219" t="str">
        <f>"5011570"</f>
        <v>5011570</v>
      </c>
      <c r="B20219" t="s">
        <v>27599</v>
      </c>
      <c r="C20219" t="s">
        <v>33</v>
      </c>
      <c r="D20219" s="21" t="s">
        <v>34</v>
      </c>
      <c r="E20219" s="21" t="s">
        <v>71</v>
      </c>
      <c r="F20219">
        <v>9500023</v>
      </c>
      <c r="G20219" t="s">
        <v>4876</v>
      </c>
      <c r="H20219" s="21">
        <v>739.17</v>
      </c>
    </row>
    <row r="20220" spans="1:8" customFormat="1" x14ac:dyDescent="0.25">
      <c r="A20220" t="str">
        <f>"3825010"</f>
        <v>3825010</v>
      </c>
      <c r="B20220" t="s">
        <v>12579</v>
      </c>
      <c r="C20220" t="s">
        <v>169</v>
      </c>
      <c r="D20220" s="21" t="s">
        <v>34</v>
      </c>
      <c r="E20220" s="21" t="s">
        <v>71</v>
      </c>
      <c r="F20220">
        <v>1380130</v>
      </c>
      <c r="G20220" t="s">
        <v>6667</v>
      </c>
      <c r="H20220" s="21">
        <v>739.17</v>
      </c>
    </row>
    <row r="20221" spans="1:8" customFormat="1" x14ac:dyDescent="0.25">
      <c r="A20221" t="str">
        <f>"2710700"</f>
        <v>2710700</v>
      </c>
      <c r="B20221" t="s">
        <v>6925</v>
      </c>
      <c r="C20221" t="s">
        <v>328</v>
      </c>
      <c r="D20221" s="21" t="s">
        <v>34</v>
      </c>
      <c r="E20221" s="21" t="s">
        <v>35</v>
      </c>
      <c r="F20221">
        <v>9270095</v>
      </c>
      <c r="G20221" t="s">
        <v>1681</v>
      </c>
      <c r="H20221" s="21">
        <v>739.04</v>
      </c>
    </row>
    <row r="20222" spans="1:8" customFormat="1" x14ac:dyDescent="0.25">
      <c r="A20222" t="str">
        <f>"4518253"</f>
        <v>4518253</v>
      </c>
      <c r="B20222" t="s">
        <v>19127</v>
      </c>
      <c r="C20222" t="s">
        <v>187</v>
      </c>
      <c r="D20222" s="21" t="s">
        <v>34</v>
      </c>
      <c r="E20222" s="21" t="s">
        <v>35</v>
      </c>
      <c r="F20222">
        <v>4450762</v>
      </c>
      <c r="G20222" t="s">
        <v>8632</v>
      </c>
      <c r="H20222" s="21">
        <v>739.04</v>
      </c>
    </row>
    <row r="20223" spans="1:8" customFormat="1" x14ac:dyDescent="0.25">
      <c r="A20223" t="str">
        <f>"161476"</f>
        <v>161476</v>
      </c>
      <c r="B20223" t="s">
        <v>16328</v>
      </c>
      <c r="C20223" t="s">
        <v>547</v>
      </c>
      <c r="D20223" s="21" t="s">
        <v>34</v>
      </c>
      <c r="E20223" s="21" t="s">
        <v>1089</v>
      </c>
      <c r="F20223">
        <v>10160042</v>
      </c>
      <c r="G20223" t="s">
        <v>7461</v>
      </c>
      <c r="H20223" s="21">
        <v>738.92</v>
      </c>
    </row>
    <row r="20224" spans="1:8" customFormat="1" x14ac:dyDescent="0.25">
      <c r="A20224" t="str">
        <f>"089290"</f>
        <v>089290</v>
      </c>
      <c r="B20224" t="s">
        <v>16891</v>
      </c>
      <c r="C20224" t="s">
        <v>60</v>
      </c>
      <c r="D20224" s="21" t="s">
        <v>34</v>
      </c>
      <c r="E20224" s="21" t="s">
        <v>35</v>
      </c>
      <c r="F20224">
        <v>4450417</v>
      </c>
      <c r="G20224" t="s">
        <v>2284</v>
      </c>
      <c r="H20224" s="21">
        <v>738.92</v>
      </c>
    </row>
    <row r="20225" spans="1:8" customFormat="1" x14ac:dyDescent="0.25">
      <c r="A20225" t="str">
        <f>"8511887"</f>
        <v>8511887</v>
      </c>
      <c r="B20225" t="s">
        <v>15573</v>
      </c>
      <c r="C20225" t="s">
        <v>926</v>
      </c>
      <c r="D20225" s="21" t="s">
        <v>34</v>
      </c>
      <c r="E20225" s="21" t="s">
        <v>254</v>
      </c>
      <c r="F20225">
        <v>12850020</v>
      </c>
      <c r="G20225" t="s">
        <v>725</v>
      </c>
      <c r="H20225" s="21">
        <v>738.79</v>
      </c>
    </row>
    <row r="20226" spans="1:8" customFormat="1" x14ac:dyDescent="0.25">
      <c r="A20226" t="str">
        <f>"6215"</f>
        <v>6215</v>
      </c>
      <c r="B20226" t="s">
        <v>19067</v>
      </c>
      <c r="C20226" t="s">
        <v>236</v>
      </c>
      <c r="D20226" s="21" t="s">
        <v>34</v>
      </c>
      <c r="E20226" s="21" t="s">
        <v>35</v>
      </c>
      <c r="F20226">
        <v>7620057</v>
      </c>
      <c r="G20226" t="s">
        <v>184</v>
      </c>
      <c r="H20226" s="21">
        <v>738.67</v>
      </c>
    </row>
    <row r="20227" spans="1:8" customFormat="1" x14ac:dyDescent="0.25">
      <c r="A20227" t="str">
        <f>"7631116"</f>
        <v>7631116</v>
      </c>
      <c r="B20227" t="s">
        <v>16726</v>
      </c>
      <c r="C20227" t="s">
        <v>65</v>
      </c>
      <c r="D20227" s="21" t="s">
        <v>34</v>
      </c>
      <c r="E20227" s="21" t="s">
        <v>71</v>
      </c>
      <c r="F20227">
        <v>9760377</v>
      </c>
      <c r="G20227" t="s">
        <v>6631</v>
      </c>
      <c r="H20227" s="21">
        <v>738.67</v>
      </c>
    </row>
    <row r="20228" spans="1:8" customFormat="1" x14ac:dyDescent="0.25">
      <c r="A20228" t="str">
        <f>"5711238"</f>
        <v>5711238</v>
      </c>
      <c r="B20228" t="s">
        <v>16008</v>
      </c>
      <c r="C20228" t="s">
        <v>267</v>
      </c>
      <c r="D20228" s="21" t="s">
        <v>34</v>
      </c>
      <c r="E20228" s="21" t="s">
        <v>35</v>
      </c>
      <c r="F20228">
        <v>6570179</v>
      </c>
      <c r="G20228" t="s">
        <v>9205</v>
      </c>
      <c r="H20228" s="21">
        <v>738.67</v>
      </c>
    </row>
    <row r="20229" spans="1:8" customFormat="1" x14ac:dyDescent="0.25">
      <c r="A20229" t="str">
        <f>"5322513"</f>
        <v>5322513</v>
      </c>
      <c r="B20229" t="s">
        <v>1525</v>
      </c>
      <c r="C20229" t="s">
        <v>17779</v>
      </c>
      <c r="D20229" s="21" t="s">
        <v>34</v>
      </c>
      <c r="E20229" s="21" t="s">
        <v>35</v>
      </c>
      <c r="F20229">
        <v>12530114</v>
      </c>
      <c r="G20229" t="s">
        <v>1342</v>
      </c>
      <c r="H20229" s="21">
        <v>738.67</v>
      </c>
    </row>
    <row r="20230" spans="1:8" customFormat="1" x14ac:dyDescent="0.25">
      <c r="A20230" t="str">
        <f>"5960098"</f>
        <v>5960098</v>
      </c>
      <c r="B20230" t="s">
        <v>15860</v>
      </c>
      <c r="C20230" t="s">
        <v>1271</v>
      </c>
      <c r="D20230" s="21" t="s">
        <v>34</v>
      </c>
      <c r="E20230" s="21" t="s">
        <v>71</v>
      </c>
      <c r="F20230">
        <v>7590402</v>
      </c>
      <c r="G20230" t="s">
        <v>1623</v>
      </c>
      <c r="H20230" s="21">
        <v>738.67</v>
      </c>
    </row>
    <row r="20231" spans="1:8" customFormat="1" x14ac:dyDescent="0.25">
      <c r="A20231" t="str">
        <f>"038312"</f>
        <v>038312</v>
      </c>
      <c r="B20231" t="s">
        <v>946</v>
      </c>
      <c r="C20231" t="s">
        <v>249</v>
      </c>
      <c r="D20231" s="21" t="s">
        <v>34</v>
      </c>
      <c r="E20231" s="21" t="s">
        <v>71</v>
      </c>
      <c r="F20231">
        <v>1030310</v>
      </c>
      <c r="G20231" t="s">
        <v>13666</v>
      </c>
      <c r="H20231" s="21">
        <v>738.67</v>
      </c>
    </row>
    <row r="20232" spans="1:8" customFormat="1" x14ac:dyDescent="0.25">
      <c r="A20232" t="str">
        <f>"3340410"</f>
        <v>3340410</v>
      </c>
      <c r="B20232" t="s">
        <v>940</v>
      </c>
      <c r="C20232" t="s">
        <v>169</v>
      </c>
      <c r="D20232" s="21" t="s">
        <v>34</v>
      </c>
      <c r="E20232" s="21" t="s">
        <v>35</v>
      </c>
      <c r="F20232">
        <v>10330046</v>
      </c>
      <c r="G20232" t="s">
        <v>1787</v>
      </c>
      <c r="H20232" s="21">
        <v>738.67</v>
      </c>
    </row>
    <row r="20233" spans="1:8" customFormat="1" x14ac:dyDescent="0.25">
      <c r="A20233" t="str">
        <f>"626796"</f>
        <v>626796</v>
      </c>
      <c r="B20233" t="s">
        <v>14946</v>
      </c>
      <c r="C20233" t="s">
        <v>2479</v>
      </c>
      <c r="D20233" s="21" t="s">
        <v>34</v>
      </c>
      <c r="E20233" s="21" t="s">
        <v>254</v>
      </c>
      <c r="F20233">
        <v>7620176</v>
      </c>
      <c r="G20233" t="s">
        <v>3111</v>
      </c>
      <c r="H20233" s="21">
        <v>738.67</v>
      </c>
    </row>
    <row r="20234" spans="1:8" customFormat="1" x14ac:dyDescent="0.25">
      <c r="A20234" t="str">
        <f>"4437550"</f>
        <v>4437550</v>
      </c>
      <c r="B20234" t="s">
        <v>15525</v>
      </c>
      <c r="C20234" t="s">
        <v>62</v>
      </c>
      <c r="D20234" s="21" t="s">
        <v>34</v>
      </c>
      <c r="E20234" s="21" t="s">
        <v>35</v>
      </c>
      <c r="F20234">
        <v>12440020</v>
      </c>
      <c r="G20234" t="s">
        <v>4606</v>
      </c>
      <c r="H20234" s="21">
        <v>738.67</v>
      </c>
    </row>
    <row r="20235" spans="1:8" customFormat="1" x14ac:dyDescent="0.25">
      <c r="A20235" t="str">
        <f>"6214895"</f>
        <v>6214895</v>
      </c>
      <c r="B20235" t="s">
        <v>27600</v>
      </c>
      <c r="C20235" t="s">
        <v>462</v>
      </c>
      <c r="D20235" s="21" t="s">
        <v>34</v>
      </c>
      <c r="E20235" s="21" t="s">
        <v>71</v>
      </c>
      <c r="F20235">
        <v>7620108</v>
      </c>
      <c r="G20235" t="s">
        <v>3035</v>
      </c>
      <c r="H20235" s="21">
        <v>738.67</v>
      </c>
    </row>
    <row r="20236" spans="1:8" customFormat="1" x14ac:dyDescent="0.25">
      <c r="A20236" t="str">
        <f>"616969"</f>
        <v>616969</v>
      </c>
      <c r="B20236" t="s">
        <v>16019</v>
      </c>
      <c r="C20236" t="s">
        <v>130</v>
      </c>
      <c r="D20236" s="21" t="s">
        <v>34</v>
      </c>
      <c r="E20236" s="21" t="s">
        <v>71</v>
      </c>
      <c r="F20236">
        <v>6080004</v>
      </c>
      <c r="G20236" t="s">
        <v>2059</v>
      </c>
      <c r="H20236" s="21">
        <v>738.67</v>
      </c>
    </row>
    <row r="20237" spans="1:8" customFormat="1" x14ac:dyDescent="0.25">
      <c r="A20237" t="str">
        <f>"5012525"</f>
        <v>5012525</v>
      </c>
      <c r="B20237" t="s">
        <v>8525</v>
      </c>
      <c r="C20237" t="s">
        <v>328</v>
      </c>
      <c r="D20237" s="21" t="s">
        <v>34</v>
      </c>
      <c r="E20237" s="21" t="s">
        <v>71</v>
      </c>
      <c r="F20237">
        <v>9500121</v>
      </c>
      <c r="G20237" t="s">
        <v>7360</v>
      </c>
      <c r="H20237" s="21">
        <v>738.67</v>
      </c>
    </row>
    <row r="20238" spans="1:8" customFormat="1" x14ac:dyDescent="0.25">
      <c r="A20238" t="str">
        <f>"7614751"</f>
        <v>7614751</v>
      </c>
      <c r="B20238" t="s">
        <v>15919</v>
      </c>
      <c r="C20238" t="s">
        <v>415</v>
      </c>
      <c r="D20238" s="21" t="s">
        <v>34</v>
      </c>
      <c r="E20238" s="21" t="s">
        <v>35</v>
      </c>
      <c r="F20238">
        <v>9760320</v>
      </c>
      <c r="G20238" t="s">
        <v>4917</v>
      </c>
      <c r="H20238" s="21">
        <v>738.67</v>
      </c>
    </row>
    <row r="20239" spans="1:8" customFormat="1" x14ac:dyDescent="0.25">
      <c r="A20239" t="str">
        <f>"80581"</f>
        <v>80581</v>
      </c>
      <c r="B20239" t="s">
        <v>10184</v>
      </c>
      <c r="C20239" t="s">
        <v>2520</v>
      </c>
      <c r="D20239" s="21" t="s">
        <v>34</v>
      </c>
      <c r="E20239" s="21" t="s">
        <v>254</v>
      </c>
      <c r="F20239">
        <v>7800014</v>
      </c>
      <c r="G20239" t="s">
        <v>9881</v>
      </c>
      <c r="H20239" s="21">
        <v>738.67</v>
      </c>
    </row>
    <row r="20240" spans="1:8" customFormat="1" x14ac:dyDescent="0.25">
      <c r="A20240" t="str">
        <f>"292461"</f>
        <v>292461</v>
      </c>
      <c r="B20240" t="s">
        <v>16443</v>
      </c>
      <c r="C20240" t="s">
        <v>239</v>
      </c>
      <c r="D20240" s="21" t="s">
        <v>34</v>
      </c>
      <c r="E20240" s="21" t="s">
        <v>254</v>
      </c>
      <c r="F20240">
        <v>3290283</v>
      </c>
      <c r="G20240" t="s">
        <v>12108</v>
      </c>
      <c r="H20240" s="21">
        <v>738.67</v>
      </c>
    </row>
    <row r="20241" spans="1:8" customFormat="1" x14ac:dyDescent="0.25">
      <c r="A20241" t="str">
        <f>"7113684"</f>
        <v>7113684</v>
      </c>
      <c r="B20241" t="s">
        <v>1405</v>
      </c>
      <c r="C20241" t="s">
        <v>169</v>
      </c>
      <c r="D20241" s="21" t="s">
        <v>34</v>
      </c>
      <c r="E20241" s="21" t="s">
        <v>35</v>
      </c>
      <c r="F20241">
        <v>2710041</v>
      </c>
      <c r="G20241" t="s">
        <v>389</v>
      </c>
      <c r="H20241" s="21">
        <v>738.67</v>
      </c>
    </row>
    <row r="20242" spans="1:8" customFormat="1" x14ac:dyDescent="0.25">
      <c r="A20242" t="str">
        <f>"524492"</f>
        <v>524492</v>
      </c>
      <c r="B20242" t="s">
        <v>12320</v>
      </c>
      <c r="C20242" t="s">
        <v>12772</v>
      </c>
      <c r="D20242" s="21" t="s">
        <v>34</v>
      </c>
      <c r="E20242" s="21" t="s">
        <v>71</v>
      </c>
      <c r="F20242">
        <v>6520054</v>
      </c>
      <c r="G20242" t="s">
        <v>2142</v>
      </c>
      <c r="H20242" s="21">
        <v>738.67</v>
      </c>
    </row>
    <row r="20243" spans="1:8" customFormat="1" x14ac:dyDescent="0.25">
      <c r="A20243" t="str">
        <f>"3112769"</f>
        <v>3112769</v>
      </c>
      <c r="B20243" t="s">
        <v>2883</v>
      </c>
      <c r="C20243" t="s">
        <v>90</v>
      </c>
      <c r="D20243" s="21" t="s">
        <v>34</v>
      </c>
      <c r="E20243" s="21" t="s">
        <v>35</v>
      </c>
      <c r="F20243">
        <v>11810032</v>
      </c>
      <c r="G20243" t="s">
        <v>7859</v>
      </c>
      <c r="H20243" s="21">
        <v>738.67</v>
      </c>
    </row>
    <row r="20244" spans="1:8" customFormat="1" x14ac:dyDescent="0.25">
      <c r="A20244" t="str">
        <f>"1414506"</f>
        <v>1414506</v>
      </c>
      <c r="B20244" t="s">
        <v>2505</v>
      </c>
      <c r="C20244" t="s">
        <v>249</v>
      </c>
      <c r="D20244" s="21" t="s">
        <v>34</v>
      </c>
      <c r="E20244" s="21" t="s">
        <v>71</v>
      </c>
      <c r="F20244">
        <v>9140083</v>
      </c>
      <c r="G20244" t="s">
        <v>8440</v>
      </c>
      <c r="H20244" s="21">
        <v>738.67</v>
      </c>
    </row>
    <row r="20245" spans="1:8" customFormat="1" x14ac:dyDescent="0.25">
      <c r="A20245" t="str">
        <f>"5930535"</f>
        <v>5930535</v>
      </c>
      <c r="B20245" t="s">
        <v>18183</v>
      </c>
      <c r="C20245" t="s">
        <v>119</v>
      </c>
      <c r="D20245" s="21" t="s">
        <v>34</v>
      </c>
      <c r="E20245" s="21" t="s">
        <v>35</v>
      </c>
      <c r="F20245">
        <v>7590071</v>
      </c>
      <c r="G20245" t="s">
        <v>2602</v>
      </c>
      <c r="H20245" s="21">
        <v>738.67</v>
      </c>
    </row>
    <row r="20246" spans="1:8" customFormat="1" x14ac:dyDescent="0.25">
      <c r="A20246" t="str">
        <f>"1412125"</f>
        <v>1412125</v>
      </c>
      <c r="B20246" t="s">
        <v>17242</v>
      </c>
      <c r="C20246" t="s">
        <v>139</v>
      </c>
      <c r="D20246" s="21" t="s">
        <v>34</v>
      </c>
      <c r="E20246" s="21" t="s">
        <v>35</v>
      </c>
      <c r="F20246">
        <v>9140072</v>
      </c>
      <c r="G20246" t="s">
        <v>4810</v>
      </c>
      <c r="H20246" s="21">
        <v>738.54</v>
      </c>
    </row>
    <row r="20247" spans="1:8" customFormat="1" x14ac:dyDescent="0.25">
      <c r="A20247" t="str">
        <f>"844857"</f>
        <v>844857</v>
      </c>
      <c r="B20247" t="s">
        <v>16423</v>
      </c>
      <c r="C20247" t="s">
        <v>139</v>
      </c>
      <c r="D20247" s="21" t="s">
        <v>34</v>
      </c>
      <c r="E20247" s="21" t="s">
        <v>71</v>
      </c>
      <c r="F20247">
        <v>13840058</v>
      </c>
      <c r="G20247" t="s">
        <v>7032</v>
      </c>
      <c r="H20247" s="21">
        <v>738.42</v>
      </c>
    </row>
    <row r="20248" spans="1:8" customFormat="1" x14ac:dyDescent="0.25">
      <c r="A20248" t="str">
        <f>"6020440"</f>
        <v>6020440</v>
      </c>
      <c r="B20248" t="s">
        <v>18287</v>
      </c>
      <c r="C20248" t="s">
        <v>5009</v>
      </c>
      <c r="D20248" s="21" t="s">
        <v>34</v>
      </c>
      <c r="E20248" s="21" t="s">
        <v>35</v>
      </c>
      <c r="F20248">
        <v>7600112</v>
      </c>
      <c r="G20248" t="s">
        <v>9272</v>
      </c>
      <c r="H20248" s="21">
        <v>738.42</v>
      </c>
    </row>
    <row r="20249" spans="1:8" customFormat="1" x14ac:dyDescent="0.25">
      <c r="A20249" t="str">
        <f>"9317863"</f>
        <v>9317863</v>
      </c>
      <c r="B20249" t="s">
        <v>16378</v>
      </c>
      <c r="C20249" t="s">
        <v>1325</v>
      </c>
      <c r="D20249" s="21" t="s">
        <v>34</v>
      </c>
      <c r="E20249" s="21" t="s">
        <v>254</v>
      </c>
      <c r="F20249">
        <v>8930610</v>
      </c>
      <c r="G20249" t="s">
        <v>3002</v>
      </c>
      <c r="H20249" s="21">
        <v>738.42</v>
      </c>
    </row>
    <row r="20250" spans="1:8" customFormat="1" x14ac:dyDescent="0.25">
      <c r="A20250" t="str">
        <f>"6111486"</f>
        <v>6111486</v>
      </c>
      <c r="B20250" t="s">
        <v>2010</v>
      </c>
      <c r="C20250" t="s">
        <v>139</v>
      </c>
      <c r="D20250" s="21" t="s">
        <v>34</v>
      </c>
      <c r="E20250" s="21" t="s">
        <v>35</v>
      </c>
      <c r="F20250">
        <v>9610119</v>
      </c>
      <c r="G20250" t="s">
        <v>6655</v>
      </c>
      <c r="H20250" s="21">
        <v>738.42</v>
      </c>
    </row>
    <row r="20251" spans="1:8" customFormat="1" x14ac:dyDescent="0.25">
      <c r="A20251" t="str">
        <f>"6316083"</f>
        <v>6316083</v>
      </c>
      <c r="B20251" t="s">
        <v>1737</v>
      </c>
      <c r="C20251" t="s">
        <v>1782</v>
      </c>
      <c r="D20251" s="21" t="s">
        <v>34</v>
      </c>
      <c r="E20251" s="21" t="s">
        <v>35</v>
      </c>
      <c r="F20251">
        <v>1630298</v>
      </c>
      <c r="G20251" t="s">
        <v>7247</v>
      </c>
      <c r="H20251" s="21">
        <v>738.42</v>
      </c>
    </row>
    <row r="20252" spans="1:8" customFormat="1" x14ac:dyDescent="0.25">
      <c r="A20252" t="str">
        <f>"5312318"</f>
        <v>5312318</v>
      </c>
      <c r="B20252" t="s">
        <v>9315</v>
      </c>
      <c r="C20252" t="s">
        <v>428</v>
      </c>
      <c r="D20252" s="21" t="s">
        <v>34</v>
      </c>
      <c r="E20252" s="21" t="s">
        <v>71</v>
      </c>
      <c r="F20252">
        <v>12530146</v>
      </c>
      <c r="G20252" t="s">
        <v>10916</v>
      </c>
      <c r="H20252" s="21">
        <v>738.42</v>
      </c>
    </row>
    <row r="20253" spans="1:8" customFormat="1" x14ac:dyDescent="0.25">
      <c r="A20253" t="str">
        <f>"323016"</f>
        <v>323016</v>
      </c>
      <c r="B20253" t="s">
        <v>14673</v>
      </c>
      <c r="C20253" t="s">
        <v>486</v>
      </c>
      <c r="D20253" s="21" t="s">
        <v>34</v>
      </c>
      <c r="E20253" s="21" t="s">
        <v>71</v>
      </c>
      <c r="F20253">
        <v>11320042</v>
      </c>
      <c r="G20253" t="s">
        <v>234</v>
      </c>
      <c r="H20253" s="21">
        <v>738.29</v>
      </c>
    </row>
    <row r="20254" spans="1:8" customFormat="1" x14ac:dyDescent="0.25">
      <c r="A20254" t="str">
        <f>"4424101"</f>
        <v>4424101</v>
      </c>
      <c r="B20254" t="s">
        <v>2868</v>
      </c>
      <c r="C20254" t="s">
        <v>209</v>
      </c>
      <c r="D20254" s="21" t="s">
        <v>34</v>
      </c>
      <c r="E20254" s="21" t="s">
        <v>35</v>
      </c>
      <c r="F20254">
        <v>3560094</v>
      </c>
      <c r="G20254" t="s">
        <v>10313</v>
      </c>
      <c r="H20254" s="21">
        <v>738.17</v>
      </c>
    </row>
    <row r="20255" spans="1:8" customFormat="1" x14ac:dyDescent="0.25">
      <c r="A20255" t="str">
        <f>"2512166"</f>
        <v>2512166</v>
      </c>
      <c r="B20255" t="s">
        <v>17737</v>
      </c>
      <c r="C20255" t="s">
        <v>17738</v>
      </c>
      <c r="D20255" s="21" t="s">
        <v>34</v>
      </c>
      <c r="E20255" s="21" t="s">
        <v>71</v>
      </c>
      <c r="F20255">
        <v>2250024</v>
      </c>
      <c r="G20255" t="s">
        <v>751</v>
      </c>
      <c r="H20255" s="21">
        <v>738.17</v>
      </c>
    </row>
    <row r="20256" spans="1:8" customFormat="1" x14ac:dyDescent="0.25">
      <c r="A20256" t="str">
        <f>"7213971"</f>
        <v>7213971</v>
      </c>
      <c r="B20256" t="s">
        <v>6315</v>
      </c>
      <c r="C20256" t="s">
        <v>2479</v>
      </c>
      <c r="D20256" s="21" t="s">
        <v>34</v>
      </c>
      <c r="E20256" s="21" t="s">
        <v>254</v>
      </c>
      <c r="F20256">
        <v>12850143</v>
      </c>
      <c r="G20256" t="s">
        <v>1625</v>
      </c>
      <c r="H20256" s="21">
        <v>738.17</v>
      </c>
    </row>
    <row r="20257" spans="1:8" customFormat="1" x14ac:dyDescent="0.25">
      <c r="A20257" t="str">
        <f>"5948334"</f>
        <v>5948334</v>
      </c>
      <c r="B20257" t="s">
        <v>16680</v>
      </c>
      <c r="C20257" t="s">
        <v>65</v>
      </c>
      <c r="D20257" s="21" t="s">
        <v>34</v>
      </c>
      <c r="E20257" s="21" t="s">
        <v>35</v>
      </c>
      <c r="F20257">
        <v>7590020</v>
      </c>
      <c r="G20257" t="s">
        <v>5181</v>
      </c>
      <c r="H20257" s="21">
        <v>738.17</v>
      </c>
    </row>
    <row r="20258" spans="1:8" customFormat="1" x14ac:dyDescent="0.25">
      <c r="A20258" t="str">
        <f>"5937027"</f>
        <v>5937027</v>
      </c>
      <c r="B20258" t="s">
        <v>10182</v>
      </c>
      <c r="C20258" t="s">
        <v>87</v>
      </c>
      <c r="D20258" s="21" t="s">
        <v>34</v>
      </c>
      <c r="E20258" s="21" t="s">
        <v>71</v>
      </c>
      <c r="F20258">
        <v>1260006</v>
      </c>
      <c r="G20258" t="s">
        <v>790</v>
      </c>
      <c r="H20258" s="21">
        <v>738.17</v>
      </c>
    </row>
    <row r="20259" spans="1:8" customFormat="1" x14ac:dyDescent="0.25">
      <c r="A20259" t="str">
        <f>"5726945"</f>
        <v>5726945</v>
      </c>
      <c r="B20259" t="s">
        <v>16246</v>
      </c>
      <c r="C20259" t="s">
        <v>1132</v>
      </c>
      <c r="D20259" s="21" t="s">
        <v>34</v>
      </c>
      <c r="E20259" s="21" t="s">
        <v>71</v>
      </c>
      <c r="F20259">
        <v>6570193</v>
      </c>
      <c r="G20259" t="s">
        <v>13003</v>
      </c>
      <c r="H20259" s="21">
        <v>738.17</v>
      </c>
    </row>
    <row r="20260" spans="1:8" customFormat="1" x14ac:dyDescent="0.25">
      <c r="A20260" t="str">
        <f>"351409"</f>
        <v>351409</v>
      </c>
      <c r="B20260" t="s">
        <v>5746</v>
      </c>
      <c r="C20260" t="s">
        <v>1146</v>
      </c>
      <c r="D20260" s="21" t="s">
        <v>34</v>
      </c>
      <c r="E20260" s="21" t="s">
        <v>1089</v>
      </c>
      <c r="F20260">
        <v>3350233</v>
      </c>
      <c r="G20260" t="s">
        <v>27023</v>
      </c>
      <c r="H20260" s="21">
        <v>738.17</v>
      </c>
    </row>
    <row r="20261" spans="1:8" customFormat="1" x14ac:dyDescent="0.25">
      <c r="A20261" t="str">
        <f>"08432"</f>
        <v>08432</v>
      </c>
      <c r="B20261" t="s">
        <v>17073</v>
      </c>
      <c r="C20261" t="s">
        <v>598</v>
      </c>
      <c r="D20261" s="21" t="s">
        <v>34</v>
      </c>
      <c r="E20261" s="21" t="s">
        <v>254</v>
      </c>
      <c r="F20261">
        <v>6080057</v>
      </c>
      <c r="G20261" t="s">
        <v>10034</v>
      </c>
      <c r="H20261" s="21">
        <v>738.17</v>
      </c>
    </row>
    <row r="20262" spans="1:8" customFormat="1" x14ac:dyDescent="0.25">
      <c r="A20262" t="str">
        <f>"7636345"</f>
        <v>7636345</v>
      </c>
      <c r="B20262" t="s">
        <v>17513</v>
      </c>
      <c r="C20262" t="s">
        <v>60</v>
      </c>
      <c r="D20262" s="21" t="s">
        <v>34</v>
      </c>
      <c r="E20262" s="21" t="s">
        <v>35</v>
      </c>
      <c r="F20262">
        <v>9760018</v>
      </c>
      <c r="G20262" t="s">
        <v>117</v>
      </c>
      <c r="H20262" s="21">
        <v>738.17</v>
      </c>
    </row>
    <row r="20263" spans="1:8" customFormat="1" x14ac:dyDescent="0.25">
      <c r="A20263" t="str">
        <f>"6943789"</f>
        <v>6943789</v>
      </c>
      <c r="B20263" t="s">
        <v>2189</v>
      </c>
      <c r="C20263" t="s">
        <v>305</v>
      </c>
      <c r="D20263" s="21" t="s">
        <v>34</v>
      </c>
      <c r="E20263" s="21" t="s">
        <v>35</v>
      </c>
      <c r="F20263">
        <v>1690175</v>
      </c>
      <c r="G20263" t="s">
        <v>410</v>
      </c>
      <c r="H20263" s="21">
        <v>738.17</v>
      </c>
    </row>
    <row r="20264" spans="1:8" customFormat="1" x14ac:dyDescent="0.25">
      <c r="A20264" t="str">
        <f>"5960587"</f>
        <v>5960587</v>
      </c>
      <c r="B20264" t="s">
        <v>4888</v>
      </c>
      <c r="C20264" t="s">
        <v>43</v>
      </c>
      <c r="D20264" s="21" t="s">
        <v>34</v>
      </c>
      <c r="E20264" s="21" t="s">
        <v>35</v>
      </c>
      <c r="F20264">
        <v>7590016</v>
      </c>
      <c r="G20264" t="s">
        <v>5653</v>
      </c>
      <c r="H20264" s="21">
        <v>738.17</v>
      </c>
    </row>
    <row r="20265" spans="1:8" customFormat="1" x14ac:dyDescent="0.25">
      <c r="A20265" t="str">
        <f>"6720736"</f>
        <v>6720736</v>
      </c>
      <c r="B20265" t="s">
        <v>15855</v>
      </c>
      <c r="C20265" t="s">
        <v>2730</v>
      </c>
      <c r="D20265" s="21" t="s">
        <v>34</v>
      </c>
      <c r="E20265" s="21" t="s">
        <v>254</v>
      </c>
      <c r="F20265">
        <v>6670265</v>
      </c>
      <c r="G20265" t="s">
        <v>12966</v>
      </c>
      <c r="H20265" s="21">
        <v>738.17</v>
      </c>
    </row>
    <row r="20266" spans="1:8" customFormat="1" x14ac:dyDescent="0.25">
      <c r="A20266" t="str">
        <f>"275518"</f>
        <v>275518</v>
      </c>
      <c r="B20266" t="s">
        <v>3725</v>
      </c>
      <c r="C20266" t="s">
        <v>269</v>
      </c>
      <c r="D20266" s="21" t="s">
        <v>34</v>
      </c>
      <c r="E20266" s="21" t="s">
        <v>254</v>
      </c>
      <c r="F20266">
        <v>9270156</v>
      </c>
      <c r="G20266" t="s">
        <v>3751</v>
      </c>
      <c r="H20266" s="21">
        <v>738.17</v>
      </c>
    </row>
    <row r="20267" spans="1:8" customFormat="1" x14ac:dyDescent="0.25">
      <c r="A20267" t="str">
        <f>"7640658"</f>
        <v>7640658</v>
      </c>
      <c r="B20267" t="s">
        <v>18391</v>
      </c>
      <c r="C20267" t="s">
        <v>867</v>
      </c>
      <c r="D20267" s="21" t="s">
        <v>34</v>
      </c>
      <c r="E20267" s="21" t="s">
        <v>35</v>
      </c>
      <c r="F20267">
        <v>9760331</v>
      </c>
      <c r="G20267" t="s">
        <v>5134</v>
      </c>
      <c r="H20267" s="21">
        <v>738.17</v>
      </c>
    </row>
    <row r="20268" spans="1:8" customFormat="1" x14ac:dyDescent="0.25">
      <c r="A20268" t="str">
        <f>"2716727"</f>
        <v>2716727</v>
      </c>
      <c r="B20268" t="s">
        <v>1012</v>
      </c>
      <c r="C20268" t="s">
        <v>1025</v>
      </c>
      <c r="D20268" s="21" t="s">
        <v>34</v>
      </c>
      <c r="E20268" s="21" t="s">
        <v>35</v>
      </c>
      <c r="F20268">
        <v>9270148</v>
      </c>
      <c r="G20268" t="s">
        <v>8058</v>
      </c>
      <c r="H20268" s="21">
        <v>738.17</v>
      </c>
    </row>
    <row r="20269" spans="1:8" customFormat="1" x14ac:dyDescent="0.25">
      <c r="A20269" t="str">
        <f>"8517246"</f>
        <v>8517246</v>
      </c>
      <c r="B20269" t="s">
        <v>882</v>
      </c>
      <c r="C20269" t="s">
        <v>415</v>
      </c>
      <c r="D20269" s="21" t="s">
        <v>34</v>
      </c>
      <c r="E20269" s="21" t="s">
        <v>71</v>
      </c>
      <c r="F20269">
        <v>12850104</v>
      </c>
      <c r="G20269" t="s">
        <v>6556</v>
      </c>
      <c r="H20269" s="21">
        <v>738.17</v>
      </c>
    </row>
    <row r="20270" spans="1:8" customFormat="1" x14ac:dyDescent="0.25">
      <c r="A20270" t="str">
        <f>"013199"</f>
        <v>013199</v>
      </c>
      <c r="B20270" t="s">
        <v>7725</v>
      </c>
      <c r="C20270" t="s">
        <v>33</v>
      </c>
      <c r="D20270" s="21" t="s">
        <v>34</v>
      </c>
      <c r="E20270" s="21" t="s">
        <v>35</v>
      </c>
      <c r="F20270">
        <v>1690166</v>
      </c>
      <c r="G20270" t="s">
        <v>3886</v>
      </c>
      <c r="H20270" s="21">
        <v>738.17</v>
      </c>
    </row>
    <row r="20271" spans="1:8" customFormat="1" x14ac:dyDescent="0.25">
      <c r="A20271" t="str">
        <f>"5018389"</f>
        <v>5018389</v>
      </c>
      <c r="B20271" t="s">
        <v>17926</v>
      </c>
      <c r="C20271" t="s">
        <v>33</v>
      </c>
      <c r="D20271" s="21" t="s">
        <v>34</v>
      </c>
      <c r="E20271" s="21" t="s">
        <v>35</v>
      </c>
      <c r="F20271">
        <v>9500124</v>
      </c>
      <c r="G20271" t="s">
        <v>3726</v>
      </c>
      <c r="H20271" s="21">
        <v>738.17</v>
      </c>
    </row>
    <row r="20272" spans="1:8" customFormat="1" x14ac:dyDescent="0.25">
      <c r="A20272" t="str">
        <f>"508375"</f>
        <v>508375</v>
      </c>
      <c r="B20272" t="s">
        <v>15352</v>
      </c>
      <c r="C20272" t="s">
        <v>15353</v>
      </c>
      <c r="D20272" s="21" t="s">
        <v>34</v>
      </c>
      <c r="E20272" s="21" t="s">
        <v>71</v>
      </c>
      <c r="F20272">
        <v>9500046</v>
      </c>
      <c r="G20272" t="s">
        <v>11349</v>
      </c>
      <c r="H20272" s="21">
        <v>738.17</v>
      </c>
    </row>
    <row r="20273" spans="1:8" customFormat="1" x14ac:dyDescent="0.25">
      <c r="A20273" t="str">
        <f>"779156"</f>
        <v>779156</v>
      </c>
      <c r="B20273" t="s">
        <v>12095</v>
      </c>
      <c r="C20273" t="s">
        <v>2475</v>
      </c>
      <c r="D20273" s="21" t="s">
        <v>34</v>
      </c>
      <c r="E20273" s="21" t="s">
        <v>254</v>
      </c>
      <c r="F20273">
        <v>8771402</v>
      </c>
      <c r="G20273" t="s">
        <v>15493</v>
      </c>
      <c r="H20273" s="21">
        <v>738.17</v>
      </c>
    </row>
    <row r="20274" spans="1:8" customFormat="1" x14ac:dyDescent="0.25">
      <c r="A20274" t="str">
        <f>"9245560"</f>
        <v>9245560</v>
      </c>
      <c r="B20274" t="s">
        <v>17131</v>
      </c>
      <c r="C20274" t="s">
        <v>62</v>
      </c>
      <c r="D20274" s="21" t="s">
        <v>34</v>
      </c>
      <c r="E20274" s="21" t="s">
        <v>35</v>
      </c>
      <c r="F20274">
        <v>8921099</v>
      </c>
      <c r="G20274" t="s">
        <v>11455</v>
      </c>
      <c r="H20274" s="21">
        <v>738.17</v>
      </c>
    </row>
    <row r="20275" spans="1:8" customFormat="1" x14ac:dyDescent="0.25">
      <c r="A20275" t="str">
        <f>"3510933"</f>
        <v>3510933</v>
      </c>
      <c r="B20275" t="s">
        <v>6098</v>
      </c>
      <c r="C20275" t="s">
        <v>2520</v>
      </c>
      <c r="D20275" s="21" t="s">
        <v>34</v>
      </c>
      <c r="E20275" s="21" t="s">
        <v>254</v>
      </c>
      <c r="F20275">
        <v>3350113</v>
      </c>
      <c r="G20275" t="s">
        <v>7631</v>
      </c>
      <c r="H20275" s="21">
        <v>738.17</v>
      </c>
    </row>
    <row r="20276" spans="1:8" customFormat="1" x14ac:dyDescent="0.25">
      <c r="A20276" t="str">
        <f>"9144470"</f>
        <v>9144470</v>
      </c>
      <c r="B20276" t="s">
        <v>8976</v>
      </c>
      <c r="C20276" t="s">
        <v>33</v>
      </c>
      <c r="D20276" s="21" t="s">
        <v>34</v>
      </c>
      <c r="E20276" s="21" t="s">
        <v>35</v>
      </c>
      <c r="F20276">
        <v>8911206</v>
      </c>
      <c r="G20276" t="s">
        <v>17661</v>
      </c>
      <c r="H20276" s="21">
        <v>738.17</v>
      </c>
    </row>
    <row r="20277" spans="1:8" customFormat="1" x14ac:dyDescent="0.25">
      <c r="A20277" t="str">
        <f>"8015707"</f>
        <v>8015707</v>
      </c>
      <c r="B20277" t="s">
        <v>16260</v>
      </c>
      <c r="C20277" t="s">
        <v>60</v>
      </c>
      <c r="D20277" s="21" t="s">
        <v>34</v>
      </c>
      <c r="E20277" s="21" t="s">
        <v>35</v>
      </c>
      <c r="F20277">
        <v>7620005</v>
      </c>
      <c r="G20277" t="s">
        <v>200</v>
      </c>
      <c r="H20277" s="21">
        <v>738.17</v>
      </c>
    </row>
    <row r="20278" spans="1:8" customFormat="1" x14ac:dyDescent="0.25">
      <c r="A20278" t="str">
        <f>"613117"</f>
        <v>613117</v>
      </c>
      <c r="B20278" t="s">
        <v>15552</v>
      </c>
      <c r="C20278" t="s">
        <v>151</v>
      </c>
      <c r="D20278" s="21" t="s">
        <v>34</v>
      </c>
      <c r="E20278" s="21" t="s">
        <v>71</v>
      </c>
      <c r="F20278">
        <v>9610148</v>
      </c>
      <c r="G20278" t="s">
        <v>8163</v>
      </c>
      <c r="H20278" s="21">
        <v>738.17</v>
      </c>
    </row>
    <row r="20279" spans="1:8" customFormat="1" x14ac:dyDescent="0.25">
      <c r="A20279" t="str">
        <f>"6312016"</f>
        <v>6312016</v>
      </c>
      <c r="B20279" t="s">
        <v>27601</v>
      </c>
      <c r="C20279" t="s">
        <v>27602</v>
      </c>
      <c r="D20279" s="21" t="s">
        <v>34</v>
      </c>
      <c r="E20279" s="21" t="s">
        <v>35</v>
      </c>
      <c r="F20279">
        <v>1630261</v>
      </c>
      <c r="G20279" t="s">
        <v>1382</v>
      </c>
      <c r="H20279" s="21">
        <v>738</v>
      </c>
    </row>
    <row r="20280" spans="1:8" customFormat="1" x14ac:dyDescent="0.25">
      <c r="A20280" t="str">
        <f>"629634"</f>
        <v>629634</v>
      </c>
      <c r="B20280" t="s">
        <v>17180</v>
      </c>
      <c r="C20280" t="s">
        <v>1132</v>
      </c>
      <c r="D20280" s="21" t="s">
        <v>34</v>
      </c>
      <c r="E20280" s="21" t="s">
        <v>35</v>
      </c>
      <c r="F20280">
        <v>7620185</v>
      </c>
      <c r="G20280" t="s">
        <v>1561</v>
      </c>
      <c r="H20280" s="21">
        <v>738</v>
      </c>
    </row>
    <row r="20281" spans="1:8" customFormat="1" x14ac:dyDescent="0.25">
      <c r="A20281" t="str">
        <f>"163713"</f>
        <v>163713</v>
      </c>
      <c r="B20281" t="s">
        <v>1048</v>
      </c>
      <c r="C20281" t="s">
        <v>236</v>
      </c>
      <c r="D20281" s="21" t="s">
        <v>34</v>
      </c>
      <c r="E20281" s="21" t="s">
        <v>254</v>
      </c>
      <c r="F20281">
        <v>10160042</v>
      </c>
      <c r="G20281" t="s">
        <v>7461</v>
      </c>
      <c r="H20281" s="21">
        <v>737.92</v>
      </c>
    </row>
    <row r="20282" spans="1:8" customFormat="1" x14ac:dyDescent="0.25">
      <c r="A20282" t="str">
        <f>"5618320"</f>
        <v>5618320</v>
      </c>
      <c r="B20282" t="s">
        <v>6104</v>
      </c>
      <c r="C20282" t="s">
        <v>16865</v>
      </c>
      <c r="D20282" s="21" t="s">
        <v>34</v>
      </c>
      <c r="E20282" s="21" t="s">
        <v>35</v>
      </c>
      <c r="F20282">
        <v>3560055</v>
      </c>
      <c r="G20282" t="s">
        <v>8371</v>
      </c>
      <c r="H20282" s="21">
        <v>737.92</v>
      </c>
    </row>
    <row r="20283" spans="1:8" customFormat="1" x14ac:dyDescent="0.25">
      <c r="A20283" t="str">
        <f>"309617"</f>
        <v>309617</v>
      </c>
      <c r="B20283" t="s">
        <v>15739</v>
      </c>
      <c r="C20283" t="s">
        <v>2520</v>
      </c>
      <c r="D20283" s="21" t="s">
        <v>34</v>
      </c>
      <c r="E20283" s="21" t="s">
        <v>254</v>
      </c>
      <c r="F20283">
        <v>11300014</v>
      </c>
      <c r="G20283" t="s">
        <v>2345</v>
      </c>
      <c r="H20283" s="21">
        <v>737.79</v>
      </c>
    </row>
    <row r="20284" spans="1:8" customFormat="1" x14ac:dyDescent="0.25">
      <c r="A20284" t="str">
        <f>"7641379"</f>
        <v>7641379</v>
      </c>
      <c r="B20284" t="s">
        <v>15731</v>
      </c>
      <c r="C20284" t="s">
        <v>33</v>
      </c>
      <c r="D20284" s="21" t="s">
        <v>34</v>
      </c>
      <c r="E20284" s="21" t="s">
        <v>71</v>
      </c>
      <c r="F20284">
        <v>9760168</v>
      </c>
      <c r="G20284" t="s">
        <v>179</v>
      </c>
      <c r="H20284" s="21">
        <v>737.67</v>
      </c>
    </row>
    <row r="20285" spans="1:8" customFormat="1" x14ac:dyDescent="0.25">
      <c r="A20285" t="str">
        <f>"151480"</f>
        <v>151480</v>
      </c>
      <c r="B20285" t="s">
        <v>17487</v>
      </c>
      <c r="C20285" t="s">
        <v>114</v>
      </c>
      <c r="D20285" s="21" t="s">
        <v>34</v>
      </c>
      <c r="E20285" s="21" t="s">
        <v>71</v>
      </c>
      <c r="F20285">
        <v>1150290</v>
      </c>
      <c r="G20285" t="s">
        <v>12544</v>
      </c>
      <c r="H20285" s="21">
        <v>737.67</v>
      </c>
    </row>
    <row r="20286" spans="1:8" customFormat="1" x14ac:dyDescent="0.25">
      <c r="A20286" t="str">
        <f>"5940365"</f>
        <v>5940365</v>
      </c>
      <c r="B20286" t="s">
        <v>15144</v>
      </c>
      <c r="C20286" t="s">
        <v>269</v>
      </c>
      <c r="D20286" s="21" t="s">
        <v>34</v>
      </c>
      <c r="E20286" s="21" t="s">
        <v>71</v>
      </c>
      <c r="F20286">
        <v>7590288</v>
      </c>
      <c r="G20286" t="s">
        <v>6972</v>
      </c>
      <c r="H20286" s="21">
        <v>737.67</v>
      </c>
    </row>
    <row r="20287" spans="1:8" customFormat="1" x14ac:dyDescent="0.25">
      <c r="A20287" t="str">
        <f>"5720570"</f>
        <v>5720570</v>
      </c>
      <c r="B20287" t="s">
        <v>2789</v>
      </c>
      <c r="C20287" t="s">
        <v>169</v>
      </c>
      <c r="D20287" s="21" t="s">
        <v>34</v>
      </c>
      <c r="E20287" s="21" t="s">
        <v>71</v>
      </c>
      <c r="F20287">
        <v>6570188</v>
      </c>
      <c r="G20287" t="s">
        <v>12145</v>
      </c>
      <c r="H20287" s="21">
        <v>737.67</v>
      </c>
    </row>
    <row r="20288" spans="1:8" customFormat="1" x14ac:dyDescent="0.25">
      <c r="A20288" t="str">
        <f>"4931393"</f>
        <v>4931393</v>
      </c>
      <c r="B20288" t="s">
        <v>6696</v>
      </c>
      <c r="C20288" t="s">
        <v>566</v>
      </c>
      <c r="D20288" s="21" t="s">
        <v>34</v>
      </c>
      <c r="E20288" s="21" t="s">
        <v>35</v>
      </c>
      <c r="F20288">
        <v>12490006</v>
      </c>
      <c r="G20288" t="s">
        <v>1480</v>
      </c>
      <c r="H20288" s="21">
        <v>737.67</v>
      </c>
    </row>
    <row r="20289" spans="1:8" customFormat="1" x14ac:dyDescent="0.25">
      <c r="A20289" t="str">
        <f>"69282"</f>
        <v>69282</v>
      </c>
      <c r="B20289" t="s">
        <v>5118</v>
      </c>
      <c r="C20289" t="s">
        <v>822</v>
      </c>
      <c r="D20289" s="21" t="s">
        <v>34</v>
      </c>
      <c r="E20289" s="21" t="s">
        <v>6185</v>
      </c>
      <c r="F20289">
        <v>1690006</v>
      </c>
      <c r="G20289" t="s">
        <v>2543</v>
      </c>
      <c r="H20289" s="21">
        <v>737.67</v>
      </c>
    </row>
    <row r="20290" spans="1:8" customFormat="1" x14ac:dyDescent="0.25">
      <c r="A20290" t="str">
        <f>"113112"</f>
        <v>113112</v>
      </c>
      <c r="B20290" t="s">
        <v>970</v>
      </c>
      <c r="C20290" t="s">
        <v>611</v>
      </c>
      <c r="D20290" s="21" t="s">
        <v>34</v>
      </c>
      <c r="E20290" s="21" t="s">
        <v>35</v>
      </c>
      <c r="F20290">
        <v>11110013</v>
      </c>
      <c r="G20290" t="s">
        <v>640</v>
      </c>
      <c r="H20290" s="21">
        <v>737.67</v>
      </c>
    </row>
    <row r="20291" spans="1:8" customFormat="1" x14ac:dyDescent="0.25">
      <c r="A20291" t="str">
        <f>"428618"</f>
        <v>428618</v>
      </c>
      <c r="B20291" t="s">
        <v>11732</v>
      </c>
      <c r="C20291" t="s">
        <v>209</v>
      </c>
      <c r="D20291" s="21" t="s">
        <v>34</v>
      </c>
      <c r="E20291" s="21" t="s">
        <v>71</v>
      </c>
      <c r="F20291">
        <v>1420014</v>
      </c>
      <c r="G20291" t="s">
        <v>3864</v>
      </c>
      <c r="H20291" s="21">
        <v>737.67</v>
      </c>
    </row>
    <row r="20292" spans="1:8" customFormat="1" x14ac:dyDescent="0.25">
      <c r="A20292" t="str">
        <f>"583205"</f>
        <v>583205</v>
      </c>
      <c r="B20292" t="s">
        <v>15877</v>
      </c>
      <c r="C20292" t="s">
        <v>1841</v>
      </c>
      <c r="D20292" s="21" t="s">
        <v>34</v>
      </c>
      <c r="E20292" s="21" t="s">
        <v>254</v>
      </c>
      <c r="F20292">
        <v>2580012</v>
      </c>
      <c r="G20292" t="s">
        <v>1144</v>
      </c>
      <c r="H20292" s="21">
        <v>737.67</v>
      </c>
    </row>
    <row r="20293" spans="1:8" customFormat="1" x14ac:dyDescent="0.25">
      <c r="A20293" t="str">
        <f>"1714295"</f>
        <v>1714295</v>
      </c>
      <c r="B20293" t="s">
        <v>1349</v>
      </c>
      <c r="C20293" t="s">
        <v>462</v>
      </c>
      <c r="D20293" s="21" t="s">
        <v>34</v>
      </c>
      <c r="E20293" s="21" t="s">
        <v>71</v>
      </c>
      <c r="F20293">
        <v>10170223</v>
      </c>
      <c r="G20293" t="s">
        <v>7057</v>
      </c>
      <c r="H20293" s="21">
        <v>737.67</v>
      </c>
    </row>
    <row r="20294" spans="1:8" customFormat="1" x14ac:dyDescent="0.25">
      <c r="A20294" t="str">
        <f>"15534"</f>
        <v>15534</v>
      </c>
      <c r="B20294" t="s">
        <v>16120</v>
      </c>
      <c r="C20294" t="s">
        <v>267</v>
      </c>
      <c r="D20294" s="21" t="s">
        <v>34</v>
      </c>
      <c r="E20294" s="21" t="s">
        <v>254</v>
      </c>
      <c r="F20294">
        <v>1150145</v>
      </c>
      <c r="G20294" t="s">
        <v>6857</v>
      </c>
      <c r="H20294" s="21">
        <v>737.67</v>
      </c>
    </row>
    <row r="20295" spans="1:8" customFormat="1" x14ac:dyDescent="0.25">
      <c r="A20295" t="str">
        <f>"287039"</f>
        <v>287039</v>
      </c>
      <c r="B20295" t="s">
        <v>15674</v>
      </c>
      <c r="C20295" t="s">
        <v>598</v>
      </c>
      <c r="D20295" s="21" t="s">
        <v>34</v>
      </c>
      <c r="E20295" s="21" t="s">
        <v>71</v>
      </c>
      <c r="F20295">
        <v>4280045</v>
      </c>
      <c r="G20295" t="s">
        <v>787</v>
      </c>
      <c r="H20295" s="21">
        <v>737.67</v>
      </c>
    </row>
    <row r="20296" spans="1:8" customFormat="1" x14ac:dyDescent="0.25">
      <c r="A20296" t="str">
        <f>"551263"</f>
        <v>551263</v>
      </c>
      <c r="B20296" t="s">
        <v>8046</v>
      </c>
      <c r="C20296" t="s">
        <v>2904</v>
      </c>
      <c r="D20296" s="21" t="s">
        <v>34</v>
      </c>
      <c r="E20296" s="21" t="s">
        <v>254</v>
      </c>
      <c r="F20296">
        <v>6550020</v>
      </c>
      <c r="G20296" t="s">
        <v>7526</v>
      </c>
      <c r="H20296" s="21">
        <v>737.67</v>
      </c>
    </row>
    <row r="20297" spans="1:8" customFormat="1" x14ac:dyDescent="0.25">
      <c r="A20297" t="str">
        <f>"8525126"</f>
        <v>8525126</v>
      </c>
      <c r="B20297" t="s">
        <v>3197</v>
      </c>
      <c r="C20297" t="s">
        <v>1196</v>
      </c>
      <c r="D20297" s="21" t="s">
        <v>34</v>
      </c>
      <c r="E20297" s="21" t="s">
        <v>35</v>
      </c>
      <c r="F20297">
        <v>12850093</v>
      </c>
      <c r="G20297" t="s">
        <v>3371</v>
      </c>
      <c r="H20297" s="21">
        <v>737.67</v>
      </c>
    </row>
    <row r="20298" spans="1:8" customFormat="1" x14ac:dyDescent="0.25">
      <c r="A20298" t="str">
        <f>"4416618"</f>
        <v>4416618</v>
      </c>
      <c r="B20298" t="s">
        <v>18051</v>
      </c>
      <c r="C20298" t="s">
        <v>65</v>
      </c>
      <c r="D20298" s="21" t="s">
        <v>34</v>
      </c>
      <c r="E20298" s="21" t="s">
        <v>35</v>
      </c>
      <c r="F20298">
        <v>12440260</v>
      </c>
      <c r="G20298" t="s">
        <v>26759</v>
      </c>
      <c r="H20298" s="21">
        <v>737.67</v>
      </c>
    </row>
    <row r="20299" spans="1:8" customFormat="1" x14ac:dyDescent="0.25">
      <c r="A20299" t="str">
        <f>"4216830"</f>
        <v>4216830</v>
      </c>
      <c r="B20299" t="s">
        <v>1590</v>
      </c>
      <c r="C20299" t="s">
        <v>55</v>
      </c>
      <c r="D20299" s="21" t="s">
        <v>34</v>
      </c>
      <c r="E20299" s="21" t="s">
        <v>71</v>
      </c>
      <c r="F20299">
        <v>1420163</v>
      </c>
      <c r="G20299" t="s">
        <v>2424</v>
      </c>
      <c r="H20299" s="21">
        <v>737.67</v>
      </c>
    </row>
    <row r="20300" spans="1:8" customFormat="1" x14ac:dyDescent="0.25">
      <c r="A20300" t="str">
        <f>"7637851"</f>
        <v>7637851</v>
      </c>
      <c r="B20300" t="s">
        <v>2854</v>
      </c>
      <c r="C20300" t="s">
        <v>60</v>
      </c>
      <c r="D20300" s="21" t="s">
        <v>34</v>
      </c>
      <c r="E20300" s="21" t="s">
        <v>35</v>
      </c>
      <c r="F20300">
        <v>9760351</v>
      </c>
      <c r="G20300" t="s">
        <v>5898</v>
      </c>
      <c r="H20300" s="21">
        <v>737.67</v>
      </c>
    </row>
    <row r="20301" spans="1:8" customFormat="1" x14ac:dyDescent="0.25">
      <c r="A20301" t="str">
        <f>"5315856"</f>
        <v>5315856</v>
      </c>
      <c r="B20301" t="s">
        <v>9879</v>
      </c>
      <c r="C20301" t="s">
        <v>2546</v>
      </c>
      <c r="D20301" s="21" t="s">
        <v>34</v>
      </c>
      <c r="E20301" s="21" t="s">
        <v>35</v>
      </c>
      <c r="F20301">
        <v>12850024</v>
      </c>
      <c r="G20301" t="s">
        <v>140</v>
      </c>
      <c r="H20301" s="21">
        <v>737.67</v>
      </c>
    </row>
    <row r="20302" spans="1:8" customFormat="1" x14ac:dyDescent="0.25">
      <c r="A20302" t="str">
        <f>"8016772"</f>
        <v>8016772</v>
      </c>
      <c r="B20302" t="s">
        <v>10917</v>
      </c>
      <c r="C20302" t="s">
        <v>55</v>
      </c>
      <c r="D20302" s="21" t="s">
        <v>34</v>
      </c>
      <c r="E20302" s="21" t="s">
        <v>71</v>
      </c>
      <c r="F20302">
        <v>7800072</v>
      </c>
      <c r="G20302" t="s">
        <v>10919</v>
      </c>
      <c r="H20302" s="21">
        <v>737.67</v>
      </c>
    </row>
    <row r="20303" spans="1:8" customFormat="1" x14ac:dyDescent="0.25">
      <c r="A20303" t="str">
        <f>"3012710"</f>
        <v>3012710</v>
      </c>
      <c r="B20303" t="s">
        <v>1825</v>
      </c>
      <c r="C20303" t="s">
        <v>156</v>
      </c>
      <c r="D20303" s="21" t="s">
        <v>34</v>
      </c>
      <c r="E20303" s="21" t="s">
        <v>35</v>
      </c>
      <c r="F20303">
        <v>11300040</v>
      </c>
      <c r="G20303" t="s">
        <v>13373</v>
      </c>
      <c r="H20303" s="21">
        <v>737.67</v>
      </c>
    </row>
    <row r="20304" spans="1:8" customFormat="1" x14ac:dyDescent="0.25">
      <c r="A20304" t="str">
        <f>"7727503"</f>
        <v>7727503</v>
      </c>
      <c r="B20304" t="s">
        <v>9529</v>
      </c>
      <c r="C20304" t="s">
        <v>114</v>
      </c>
      <c r="D20304" s="21" t="s">
        <v>34</v>
      </c>
      <c r="E20304" s="21" t="s">
        <v>71</v>
      </c>
      <c r="F20304">
        <v>8771518</v>
      </c>
      <c r="G20304" t="s">
        <v>12274</v>
      </c>
      <c r="H20304" s="21">
        <v>737.54</v>
      </c>
    </row>
    <row r="20305" spans="1:8" customFormat="1" x14ac:dyDescent="0.25">
      <c r="A20305" t="str">
        <f>"9511955"</f>
        <v>9511955</v>
      </c>
      <c r="B20305" t="s">
        <v>14966</v>
      </c>
      <c r="C20305" t="s">
        <v>14967</v>
      </c>
      <c r="D20305" s="21" t="s">
        <v>34</v>
      </c>
      <c r="E20305" s="21" t="s">
        <v>254</v>
      </c>
      <c r="F20305">
        <v>8950978</v>
      </c>
      <c r="G20305" t="s">
        <v>1164</v>
      </c>
      <c r="H20305" s="21">
        <v>737.54</v>
      </c>
    </row>
    <row r="20306" spans="1:8" customFormat="1" x14ac:dyDescent="0.25">
      <c r="A20306" t="str">
        <f>"9142522"</f>
        <v>9142522</v>
      </c>
      <c r="B20306" t="s">
        <v>19082</v>
      </c>
      <c r="C20306" t="s">
        <v>305</v>
      </c>
      <c r="D20306" s="21" t="s">
        <v>34</v>
      </c>
      <c r="E20306" s="21" t="s">
        <v>35</v>
      </c>
      <c r="F20306">
        <v>8910438</v>
      </c>
      <c r="G20306" t="s">
        <v>761</v>
      </c>
      <c r="H20306" s="21">
        <v>737.54</v>
      </c>
    </row>
    <row r="20307" spans="1:8" customFormat="1" x14ac:dyDescent="0.25">
      <c r="A20307" t="str">
        <f>"365675"</f>
        <v>365675</v>
      </c>
      <c r="B20307" t="s">
        <v>5746</v>
      </c>
      <c r="C20307" t="s">
        <v>302</v>
      </c>
      <c r="D20307" s="21" t="s">
        <v>34</v>
      </c>
      <c r="E20307" s="21" t="s">
        <v>71</v>
      </c>
      <c r="F20307">
        <v>4360725</v>
      </c>
      <c r="G20307" t="s">
        <v>11151</v>
      </c>
      <c r="H20307" s="21">
        <v>737.54</v>
      </c>
    </row>
    <row r="20308" spans="1:8" customFormat="1" x14ac:dyDescent="0.25">
      <c r="A20308" t="str">
        <f>"83749"</f>
        <v>83749</v>
      </c>
      <c r="B20308" t="s">
        <v>19785</v>
      </c>
      <c r="C20308" t="s">
        <v>40</v>
      </c>
      <c r="D20308" s="21" t="s">
        <v>34</v>
      </c>
      <c r="E20308" s="21" t="s">
        <v>71</v>
      </c>
      <c r="F20308">
        <v>13130067</v>
      </c>
      <c r="G20308" t="s">
        <v>1420</v>
      </c>
      <c r="H20308" s="21">
        <v>737.42</v>
      </c>
    </row>
    <row r="20309" spans="1:8" customFormat="1" x14ac:dyDescent="0.25">
      <c r="A20309" t="str">
        <f>"672452"</f>
        <v>672452</v>
      </c>
      <c r="B20309" t="s">
        <v>13680</v>
      </c>
      <c r="C20309" t="s">
        <v>453</v>
      </c>
      <c r="D20309" s="21" t="s">
        <v>34</v>
      </c>
      <c r="E20309" s="21" t="s">
        <v>254</v>
      </c>
      <c r="F20309">
        <v>13830014</v>
      </c>
      <c r="G20309" t="s">
        <v>5757</v>
      </c>
      <c r="H20309" s="21">
        <v>737.42</v>
      </c>
    </row>
    <row r="20310" spans="1:8" customFormat="1" x14ac:dyDescent="0.25">
      <c r="A20310" t="str">
        <f>"63765"</f>
        <v>63765</v>
      </c>
      <c r="B20310" t="s">
        <v>16625</v>
      </c>
      <c r="C20310" t="s">
        <v>253</v>
      </c>
      <c r="D20310" s="21" t="s">
        <v>34</v>
      </c>
      <c r="E20310" s="21" t="s">
        <v>1089</v>
      </c>
      <c r="F20310">
        <v>1630145</v>
      </c>
      <c r="G20310" t="s">
        <v>13804</v>
      </c>
      <c r="H20310" s="21">
        <v>737.42</v>
      </c>
    </row>
    <row r="20311" spans="1:8" customFormat="1" x14ac:dyDescent="0.25">
      <c r="A20311" t="str">
        <f>"1426525"</f>
        <v>1426525</v>
      </c>
      <c r="B20311" t="s">
        <v>3067</v>
      </c>
      <c r="C20311" t="s">
        <v>288</v>
      </c>
      <c r="D20311" s="21" t="s">
        <v>34</v>
      </c>
      <c r="E20311" s="21" t="s">
        <v>71</v>
      </c>
      <c r="F20311">
        <v>9140052</v>
      </c>
      <c r="G20311" t="s">
        <v>26563</v>
      </c>
      <c r="H20311" s="21">
        <v>737.42</v>
      </c>
    </row>
    <row r="20312" spans="1:8" customFormat="1" x14ac:dyDescent="0.25">
      <c r="A20312" t="str">
        <f>"272917"</f>
        <v>272917</v>
      </c>
      <c r="B20312" t="s">
        <v>16350</v>
      </c>
      <c r="C20312" t="s">
        <v>33</v>
      </c>
      <c r="D20312" s="21" t="s">
        <v>34</v>
      </c>
      <c r="E20312" s="21" t="s">
        <v>71</v>
      </c>
      <c r="F20312">
        <v>9270127</v>
      </c>
      <c r="G20312" t="s">
        <v>16351</v>
      </c>
      <c r="H20312" s="21">
        <v>737.29</v>
      </c>
    </row>
    <row r="20313" spans="1:8" customFormat="1" x14ac:dyDescent="0.25">
      <c r="A20313" t="str">
        <f>"719084"</f>
        <v>719084</v>
      </c>
      <c r="B20313" t="s">
        <v>15768</v>
      </c>
      <c r="C20313" t="s">
        <v>139</v>
      </c>
      <c r="D20313" s="21" t="s">
        <v>34</v>
      </c>
      <c r="E20313" s="21" t="s">
        <v>35</v>
      </c>
      <c r="F20313">
        <v>2710067</v>
      </c>
      <c r="G20313" t="s">
        <v>284</v>
      </c>
      <c r="H20313" s="21">
        <v>737.17</v>
      </c>
    </row>
    <row r="20314" spans="1:8" customFormat="1" x14ac:dyDescent="0.25">
      <c r="A20314" t="str">
        <f>"895038"</f>
        <v>895038</v>
      </c>
      <c r="B20314" t="s">
        <v>17127</v>
      </c>
      <c r="C20314" t="s">
        <v>124</v>
      </c>
      <c r="D20314" s="21" t="s">
        <v>34</v>
      </c>
      <c r="E20314" s="21" t="s">
        <v>35</v>
      </c>
      <c r="F20314">
        <v>2890050</v>
      </c>
      <c r="G20314" t="s">
        <v>14236</v>
      </c>
      <c r="H20314" s="21">
        <v>737.17</v>
      </c>
    </row>
    <row r="20315" spans="1:8" customFormat="1" x14ac:dyDescent="0.25">
      <c r="A20315" t="str">
        <f>"083311"</f>
        <v>083311</v>
      </c>
      <c r="B20315" t="s">
        <v>15761</v>
      </c>
      <c r="C20315" t="s">
        <v>43</v>
      </c>
      <c r="D20315" s="21" t="s">
        <v>34</v>
      </c>
      <c r="E20315" s="21" t="s">
        <v>35</v>
      </c>
      <c r="F20315">
        <v>6080024</v>
      </c>
      <c r="G20315" t="s">
        <v>5511</v>
      </c>
      <c r="H20315" s="21">
        <v>737.17</v>
      </c>
    </row>
    <row r="20316" spans="1:8" customFormat="1" x14ac:dyDescent="0.25">
      <c r="A20316" t="str">
        <f>"6165"</f>
        <v>6165</v>
      </c>
      <c r="B20316" t="s">
        <v>15248</v>
      </c>
      <c r="C20316" t="s">
        <v>2546</v>
      </c>
      <c r="D20316" s="21" t="s">
        <v>34</v>
      </c>
      <c r="E20316" s="21" t="s">
        <v>1089</v>
      </c>
      <c r="F20316">
        <v>9610037</v>
      </c>
      <c r="G20316" t="s">
        <v>12283</v>
      </c>
      <c r="H20316" s="21">
        <v>737.17</v>
      </c>
    </row>
    <row r="20317" spans="1:8" customFormat="1" x14ac:dyDescent="0.25">
      <c r="A20317" t="str">
        <f>"862345"</f>
        <v>862345</v>
      </c>
      <c r="B20317" t="s">
        <v>1653</v>
      </c>
      <c r="C20317" t="s">
        <v>124</v>
      </c>
      <c r="D20317" s="21" t="s">
        <v>34</v>
      </c>
      <c r="E20317" s="21" t="s">
        <v>71</v>
      </c>
      <c r="F20317">
        <v>10860015</v>
      </c>
      <c r="G20317" t="s">
        <v>3680</v>
      </c>
      <c r="H20317" s="21">
        <v>737.17</v>
      </c>
    </row>
    <row r="20318" spans="1:8" customFormat="1" x14ac:dyDescent="0.25">
      <c r="A20318" t="str">
        <f>"9423874"</f>
        <v>9423874</v>
      </c>
      <c r="B20318" t="s">
        <v>15142</v>
      </c>
      <c r="C20318" t="s">
        <v>239</v>
      </c>
      <c r="D20318" s="21" t="s">
        <v>34</v>
      </c>
      <c r="E20318" s="21" t="s">
        <v>254</v>
      </c>
      <c r="F20318">
        <v>8940926</v>
      </c>
      <c r="G20318" t="s">
        <v>4065</v>
      </c>
      <c r="H20318" s="21">
        <v>737.17</v>
      </c>
    </row>
    <row r="20319" spans="1:8" customFormat="1" x14ac:dyDescent="0.25">
      <c r="A20319" t="str">
        <f>"9127476"</f>
        <v>9127476</v>
      </c>
      <c r="B20319" t="s">
        <v>14473</v>
      </c>
      <c r="C20319" t="s">
        <v>608</v>
      </c>
      <c r="D20319" s="21" t="s">
        <v>34</v>
      </c>
      <c r="E20319" s="21" t="s">
        <v>71</v>
      </c>
      <c r="F20319">
        <v>8910102</v>
      </c>
      <c r="G20319" t="s">
        <v>3079</v>
      </c>
      <c r="H20319" s="21">
        <v>737.17</v>
      </c>
    </row>
    <row r="20320" spans="1:8" customFormat="1" x14ac:dyDescent="0.25">
      <c r="A20320" t="str">
        <f>"5946517"</f>
        <v>5946517</v>
      </c>
      <c r="B20320" t="s">
        <v>17466</v>
      </c>
      <c r="C20320" t="s">
        <v>109</v>
      </c>
      <c r="D20320" s="21" t="s">
        <v>34</v>
      </c>
      <c r="E20320" s="21" t="s">
        <v>71</v>
      </c>
      <c r="F20320">
        <v>7620060</v>
      </c>
      <c r="G20320" t="s">
        <v>2179</v>
      </c>
      <c r="H20320" s="21">
        <v>737.17</v>
      </c>
    </row>
    <row r="20321" spans="1:8" customFormat="1" x14ac:dyDescent="0.25">
      <c r="A20321" t="str">
        <f>"6314103"</f>
        <v>6314103</v>
      </c>
      <c r="B20321" t="s">
        <v>16767</v>
      </c>
      <c r="C20321" t="s">
        <v>33</v>
      </c>
      <c r="D20321" s="21" t="s">
        <v>34</v>
      </c>
      <c r="E20321" s="21" t="s">
        <v>71</v>
      </c>
      <c r="F20321">
        <v>1630012</v>
      </c>
      <c r="G20321" t="s">
        <v>8636</v>
      </c>
      <c r="H20321" s="21">
        <v>737.17</v>
      </c>
    </row>
    <row r="20322" spans="1:8" customFormat="1" x14ac:dyDescent="0.25">
      <c r="A20322" t="str">
        <f>"5963117"</f>
        <v>5963117</v>
      </c>
      <c r="B20322" t="s">
        <v>6847</v>
      </c>
      <c r="C20322" t="s">
        <v>40</v>
      </c>
      <c r="D20322" s="21" t="s">
        <v>34</v>
      </c>
      <c r="E20322" s="21" t="s">
        <v>35</v>
      </c>
      <c r="F20322">
        <v>7590310</v>
      </c>
      <c r="G20322" t="s">
        <v>10278</v>
      </c>
      <c r="H20322" s="21">
        <v>737.17</v>
      </c>
    </row>
    <row r="20323" spans="1:8" customFormat="1" x14ac:dyDescent="0.25">
      <c r="A20323" t="str">
        <f>"706010"</f>
        <v>706010</v>
      </c>
      <c r="B20323" t="s">
        <v>15543</v>
      </c>
      <c r="C20323" t="s">
        <v>139</v>
      </c>
      <c r="D20323" s="21" t="s">
        <v>34</v>
      </c>
      <c r="E20323" s="21" t="s">
        <v>35</v>
      </c>
      <c r="F20323">
        <v>2700074</v>
      </c>
      <c r="G20323" t="s">
        <v>27108</v>
      </c>
      <c r="H20323" s="21">
        <v>737.17</v>
      </c>
    </row>
    <row r="20324" spans="1:8" customFormat="1" x14ac:dyDescent="0.25">
      <c r="A20324" t="str">
        <f>"26126"</f>
        <v>26126</v>
      </c>
      <c r="B20324" t="s">
        <v>1731</v>
      </c>
      <c r="C20324" t="s">
        <v>415</v>
      </c>
      <c r="D20324" s="21" t="s">
        <v>34</v>
      </c>
      <c r="E20324" s="21" t="s">
        <v>254</v>
      </c>
      <c r="F20324">
        <v>1260010</v>
      </c>
      <c r="G20324" t="s">
        <v>3944</v>
      </c>
      <c r="H20324" s="21">
        <v>737.17</v>
      </c>
    </row>
    <row r="20325" spans="1:8" customFormat="1" x14ac:dyDescent="0.25">
      <c r="A20325" t="str">
        <f>"6810351"</f>
        <v>6810351</v>
      </c>
      <c r="B20325" t="s">
        <v>16535</v>
      </c>
      <c r="C20325" t="s">
        <v>4674</v>
      </c>
      <c r="D20325" s="21" t="s">
        <v>34</v>
      </c>
      <c r="E20325" s="21" t="s">
        <v>71</v>
      </c>
      <c r="F20325">
        <v>6680118</v>
      </c>
      <c r="G20325" t="s">
        <v>4346</v>
      </c>
      <c r="H20325" s="21">
        <v>737.17</v>
      </c>
    </row>
    <row r="20326" spans="1:8" customFormat="1" x14ac:dyDescent="0.25">
      <c r="A20326" t="str">
        <f>"6223264"</f>
        <v>6223264</v>
      </c>
      <c r="B20326" t="s">
        <v>12020</v>
      </c>
      <c r="C20326" t="s">
        <v>60</v>
      </c>
      <c r="D20326" s="21" t="s">
        <v>34</v>
      </c>
      <c r="E20326" s="21" t="s">
        <v>35</v>
      </c>
      <c r="F20326">
        <v>7620042</v>
      </c>
      <c r="G20326" t="s">
        <v>8102</v>
      </c>
      <c r="H20326" s="21">
        <v>737.17</v>
      </c>
    </row>
    <row r="20327" spans="1:8" customFormat="1" x14ac:dyDescent="0.25">
      <c r="A20327" t="str">
        <f>"875935"</f>
        <v>875935</v>
      </c>
      <c r="B20327" t="s">
        <v>4652</v>
      </c>
      <c r="C20327" t="s">
        <v>2132</v>
      </c>
      <c r="D20327" s="21" t="s">
        <v>34</v>
      </c>
      <c r="E20327" s="21" t="s">
        <v>71</v>
      </c>
      <c r="F20327">
        <v>9760442</v>
      </c>
      <c r="G20327" t="s">
        <v>5753</v>
      </c>
      <c r="H20327" s="21">
        <v>737.04</v>
      </c>
    </row>
    <row r="20328" spans="1:8" customFormat="1" x14ac:dyDescent="0.25">
      <c r="A20328" t="str">
        <f>"7517940"</f>
        <v>7517940</v>
      </c>
      <c r="B20328" t="s">
        <v>13786</v>
      </c>
      <c r="C20328" t="s">
        <v>867</v>
      </c>
      <c r="D20328" s="21" t="s">
        <v>34</v>
      </c>
      <c r="E20328" s="21" t="s">
        <v>35</v>
      </c>
      <c r="F20328">
        <v>8751271</v>
      </c>
      <c r="G20328" t="s">
        <v>1067</v>
      </c>
      <c r="H20328" s="21">
        <v>736.92</v>
      </c>
    </row>
    <row r="20329" spans="1:8" customFormat="1" x14ac:dyDescent="0.25">
      <c r="A20329" t="str">
        <f>"3313141"</f>
        <v>3313141</v>
      </c>
      <c r="B20329" t="s">
        <v>8878</v>
      </c>
      <c r="C20329" t="s">
        <v>239</v>
      </c>
      <c r="D20329" s="21" t="s">
        <v>34</v>
      </c>
      <c r="E20329" s="21" t="s">
        <v>254</v>
      </c>
      <c r="F20329">
        <v>10330078</v>
      </c>
      <c r="G20329" t="s">
        <v>7597</v>
      </c>
      <c r="H20329" s="21">
        <v>736.92</v>
      </c>
    </row>
    <row r="20330" spans="1:8" customFormat="1" x14ac:dyDescent="0.25">
      <c r="A20330" t="str">
        <f>"4110941"</f>
        <v>4110941</v>
      </c>
      <c r="B20330" t="s">
        <v>18342</v>
      </c>
      <c r="C20330" t="s">
        <v>926</v>
      </c>
      <c r="D20330" s="21" t="s">
        <v>34</v>
      </c>
      <c r="E20330" s="21" t="s">
        <v>71</v>
      </c>
      <c r="F20330">
        <v>4410615</v>
      </c>
      <c r="G20330" t="s">
        <v>4897</v>
      </c>
      <c r="H20330" s="21">
        <v>736.79</v>
      </c>
    </row>
    <row r="20331" spans="1:8" customFormat="1" x14ac:dyDescent="0.25">
      <c r="A20331" t="str">
        <f>"7640150"</f>
        <v>7640150</v>
      </c>
      <c r="B20331" t="s">
        <v>2656</v>
      </c>
      <c r="C20331" t="s">
        <v>576</v>
      </c>
      <c r="D20331" s="21" t="s">
        <v>34</v>
      </c>
      <c r="E20331" s="21" t="s">
        <v>35</v>
      </c>
      <c r="F20331">
        <v>10330050</v>
      </c>
      <c r="G20331" t="s">
        <v>2488</v>
      </c>
      <c r="H20331" s="21">
        <v>736.79</v>
      </c>
    </row>
    <row r="20332" spans="1:8" customFormat="1" x14ac:dyDescent="0.25">
      <c r="A20332" t="str">
        <f>"4437130"</f>
        <v>4437130</v>
      </c>
      <c r="B20332" t="s">
        <v>19528</v>
      </c>
      <c r="C20332" t="s">
        <v>253</v>
      </c>
      <c r="D20332" s="21" t="s">
        <v>34</v>
      </c>
      <c r="E20332" s="21" t="s">
        <v>1089</v>
      </c>
      <c r="F20332">
        <v>12530090</v>
      </c>
      <c r="G20332" t="s">
        <v>6132</v>
      </c>
      <c r="H20332" s="21">
        <v>736.67</v>
      </c>
    </row>
    <row r="20333" spans="1:8" customFormat="1" x14ac:dyDescent="0.25">
      <c r="A20333" t="str">
        <f>"306480"</f>
        <v>306480</v>
      </c>
      <c r="B20333" t="s">
        <v>12779</v>
      </c>
      <c r="C20333" t="s">
        <v>269</v>
      </c>
      <c r="D20333" s="21" t="s">
        <v>34</v>
      </c>
      <c r="E20333" s="21" t="s">
        <v>71</v>
      </c>
      <c r="F20333">
        <v>11300039</v>
      </c>
      <c r="G20333" t="s">
        <v>10680</v>
      </c>
      <c r="H20333" s="21">
        <v>736.67</v>
      </c>
    </row>
    <row r="20334" spans="1:8" customFormat="1" x14ac:dyDescent="0.25">
      <c r="A20334" t="str">
        <f>"5943474"</f>
        <v>5943474</v>
      </c>
      <c r="B20334" t="s">
        <v>18067</v>
      </c>
      <c r="C20334" t="s">
        <v>33</v>
      </c>
      <c r="D20334" s="21" t="s">
        <v>34</v>
      </c>
      <c r="E20334" s="21" t="s">
        <v>35</v>
      </c>
      <c r="F20334">
        <v>7620153</v>
      </c>
      <c r="G20334" t="s">
        <v>5104</v>
      </c>
      <c r="H20334" s="21">
        <v>736.67</v>
      </c>
    </row>
    <row r="20335" spans="1:8" customFormat="1" x14ac:dyDescent="0.25">
      <c r="A20335" t="str">
        <f>"3514349"</f>
        <v>3514349</v>
      </c>
      <c r="B20335" t="s">
        <v>15268</v>
      </c>
      <c r="C20335" t="s">
        <v>33</v>
      </c>
      <c r="D20335" s="21" t="s">
        <v>34</v>
      </c>
      <c r="E20335" s="21" t="s">
        <v>71</v>
      </c>
      <c r="F20335">
        <v>3220038</v>
      </c>
      <c r="G20335" t="s">
        <v>27039</v>
      </c>
      <c r="H20335" s="21">
        <v>736.67</v>
      </c>
    </row>
    <row r="20336" spans="1:8" customFormat="1" x14ac:dyDescent="0.25">
      <c r="A20336" t="str">
        <f>"711204"</f>
        <v>711204</v>
      </c>
      <c r="B20336" t="s">
        <v>2405</v>
      </c>
      <c r="C20336" t="s">
        <v>1146</v>
      </c>
      <c r="D20336" s="21" t="s">
        <v>34</v>
      </c>
      <c r="E20336" s="21" t="s">
        <v>1089</v>
      </c>
      <c r="F20336">
        <v>2710008</v>
      </c>
      <c r="G20336" t="s">
        <v>10040</v>
      </c>
      <c r="H20336" s="21">
        <v>736.67</v>
      </c>
    </row>
    <row r="20337" spans="1:8" customFormat="1" x14ac:dyDescent="0.25">
      <c r="A20337" t="str">
        <f>"8512434"</f>
        <v>8512434</v>
      </c>
      <c r="B20337" t="s">
        <v>16296</v>
      </c>
      <c r="C20337" t="s">
        <v>33</v>
      </c>
      <c r="D20337" s="21" t="s">
        <v>34</v>
      </c>
      <c r="E20337" s="21" t="s">
        <v>71</v>
      </c>
      <c r="F20337">
        <v>12850014</v>
      </c>
      <c r="G20337" t="s">
        <v>10467</v>
      </c>
      <c r="H20337" s="21">
        <v>736.67</v>
      </c>
    </row>
    <row r="20338" spans="1:8" customFormat="1" x14ac:dyDescent="0.25">
      <c r="A20338" t="str">
        <f>"852584"</f>
        <v>852584</v>
      </c>
      <c r="B20338" t="s">
        <v>4284</v>
      </c>
      <c r="C20338" t="s">
        <v>1199</v>
      </c>
      <c r="D20338" s="21" t="s">
        <v>34</v>
      </c>
      <c r="E20338" s="21" t="s">
        <v>254</v>
      </c>
      <c r="F20338">
        <v>12850125</v>
      </c>
      <c r="G20338" t="s">
        <v>9898</v>
      </c>
      <c r="H20338" s="21">
        <v>736.67</v>
      </c>
    </row>
    <row r="20339" spans="1:8" customFormat="1" x14ac:dyDescent="0.25">
      <c r="A20339" t="str">
        <f>"5426503"</f>
        <v>5426503</v>
      </c>
      <c r="B20339" t="s">
        <v>17332</v>
      </c>
      <c r="C20339" t="s">
        <v>2232</v>
      </c>
      <c r="D20339" s="21" t="s">
        <v>34</v>
      </c>
      <c r="E20339" s="21" t="s">
        <v>71</v>
      </c>
      <c r="F20339">
        <v>6540190</v>
      </c>
      <c r="G20339" t="s">
        <v>9727</v>
      </c>
      <c r="H20339" s="21">
        <v>736.67</v>
      </c>
    </row>
    <row r="20340" spans="1:8" customFormat="1" x14ac:dyDescent="0.25">
      <c r="A20340" t="str">
        <f>"805724"</f>
        <v>805724</v>
      </c>
      <c r="B20340" t="s">
        <v>16036</v>
      </c>
      <c r="C20340" t="s">
        <v>249</v>
      </c>
      <c r="D20340" s="21" t="s">
        <v>34</v>
      </c>
      <c r="E20340" s="21" t="s">
        <v>71</v>
      </c>
      <c r="F20340">
        <v>7800013</v>
      </c>
      <c r="G20340" t="s">
        <v>10778</v>
      </c>
      <c r="H20340" s="21">
        <v>736.67</v>
      </c>
    </row>
    <row r="20341" spans="1:8" customFormat="1" x14ac:dyDescent="0.25">
      <c r="A20341" t="str">
        <f>"8517408"</f>
        <v>8517408</v>
      </c>
      <c r="B20341" t="s">
        <v>15736</v>
      </c>
      <c r="C20341" t="s">
        <v>90</v>
      </c>
      <c r="D20341" s="21" t="s">
        <v>34</v>
      </c>
      <c r="E20341" s="21" t="s">
        <v>35</v>
      </c>
      <c r="F20341">
        <v>12850014</v>
      </c>
      <c r="G20341" t="s">
        <v>10467</v>
      </c>
      <c r="H20341" s="21">
        <v>736.67</v>
      </c>
    </row>
    <row r="20342" spans="1:8" customFormat="1" x14ac:dyDescent="0.25">
      <c r="A20342" t="str">
        <f>"62520"</f>
        <v>62520</v>
      </c>
      <c r="B20342" t="s">
        <v>9076</v>
      </c>
      <c r="C20342" t="s">
        <v>547</v>
      </c>
      <c r="D20342" s="21" t="s">
        <v>34</v>
      </c>
      <c r="E20342" s="21" t="s">
        <v>1089</v>
      </c>
      <c r="F20342">
        <v>7620028</v>
      </c>
      <c r="G20342" t="s">
        <v>7217</v>
      </c>
      <c r="H20342" s="21">
        <v>736.67</v>
      </c>
    </row>
    <row r="20343" spans="1:8" customFormat="1" x14ac:dyDescent="0.25">
      <c r="A20343" t="str">
        <f>"0610251"</f>
        <v>0610251</v>
      </c>
      <c r="B20343" t="s">
        <v>16016</v>
      </c>
      <c r="C20343" t="s">
        <v>547</v>
      </c>
      <c r="D20343" s="21" t="s">
        <v>34</v>
      </c>
      <c r="E20343" s="21" t="s">
        <v>71</v>
      </c>
      <c r="F20343">
        <v>13060102</v>
      </c>
      <c r="G20343" t="s">
        <v>2918</v>
      </c>
      <c r="H20343" s="21">
        <v>736.67</v>
      </c>
    </row>
    <row r="20344" spans="1:8" customFormat="1" x14ac:dyDescent="0.25">
      <c r="A20344" t="str">
        <f>"312133"</f>
        <v>312133</v>
      </c>
      <c r="B20344" t="s">
        <v>15383</v>
      </c>
      <c r="C20344" t="s">
        <v>15384</v>
      </c>
      <c r="D20344" s="21" t="s">
        <v>34</v>
      </c>
      <c r="E20344" s="21" t="s">
        <v>254</v>
      </c>
      <c r="F20344">
        <v>11310029</v>
      </c>
      <c r="G20344" t="s">
        <v>3717</v>
      </c>
      <c r="H20344" s="21">
        <v>736.67</v>
      </c>
    </row>
    <row r="20345" spans="1:8" customFormat="1" x14ac:dyDescent="0.25">
      <c r="A20345" t="str">
        <f>"9531083"</f>
        <v>9531083</v>
      </c>
      <c r="B20345" t="s">
        <v>8130</v>
      </c>
      <c r="C20345" t="s">
        <v>4271</v>
      </c>
      <c r="D20345" s="21" t="s">
        <v>34</v>
      </c>
      <c r="E20345" s="21" t="s">
        <v>35</v>
      </c>
      <c r="F20345">
        <v>8950092</v>
      </c>
      <c r="G20345" t="s">
        <v>2039</v>
      </c>
      <c r="H20345" s="21">
        <v>736.54</v>
      </c>
    </row>
    <row r="20346" spans="1:8" customFormat="1" x14ac:dyDescent="0.25">
      <c r="A20346" t="str">
        <f>"628041"</f>
        <v>628041</v>
      </c>
      <c r="B20346" t="s">
        <v>3334</v>
      </c>
      <c r="C20346" t="s">
        <v>33</v>
      </c>
      <c r="D20346" s="21" t="s">
        <v>34</v>
      </c>
      <c r="E20346" s="21" t="s">
        <v>35</v>
      </c>
      <c r="F20346">
        <v>7620104</v>
      </c>
      <c r="G20346" t="s">
        <v>635</v>
      </c>
      <c r="H20346" s="21">
        <v>736.54</v>
      </c>
    </row>
    <row r="20347" spans="1:8" customFormat="1" x14ac:dyDescent="0.25">
      <c r="A20347" t="str">
        <f>"432583"</f>
        <v>432583</v>
      </c>
      <c r="B20347" t="s">
        <v>14513</v>
      </c>
      <c r="C20347" t="s">
        <v>269</v>
      </c>
      <c r="D20347" s="21" t="s">
        <v>34</v>
      </c>
      <c r="E20347" s="21" t="s">
        <v>35</v>
      </c>
      <c r="F20347">
        <v>1420308</v>
      </c>
      <c r="G20347" t="s">
        <v>14514</v>
      </c>
      <c r="H20347" s="21">
        <v>736.54</v>
      </c>
    </row>
    <row r="20348" spans="1:8" customFormat="1" x14ac:dyDescent="0.25">
      <c r="A20348" t="str">
        <f>"09271"</f>
        <v>09271</v>
      </c>
      <c r="B20348" t="s">
        <v>14795</v>
      </c>
      <c r="C20348" t="s">
        <v>156</v>
      </c>
      <c r="D20348" s="21" t="s">
        <v>34</v>
      </c>
      <c r="E20348" s="21" t="s">
        <v>1089</v>
      </c>
      <c r="F20348">
        <v>11090009</v>
      </c>
      <c r="G20348" t="s">
        <v>14796</v>
      </c>
      <c r="H20348" s="21">
        <v>736.54</v>
      </c>
    </row>
    <row r="20349" spans="1:8" customFormat="1" x14ac:dyDescent="0.25">
      <c r="A20349" t="str">
        <f>"1713927"</f>
        <v>1713927</v>
      </c>
      <c r="B20349" t="s">
        <v>3785</v>
      </c>
      <c r="C20349" t="s">
        <v>58</v>
      </c>
      <c r="D20349" s="21" t="s">
        <v>34</v>
      </c>
      <c r="E20349" s="21" t="s">
        <v>35</v>
      </c>
      <c r="F20349">
        <v>10170029</v>
      </c>
      <c r="G20349" t="s">
        <v>9383</v>
      </c>
      <c r="H20349" s="21">
        <v>736.42</v>
      </c>
    </row>
    <row r="20350" spans="1:8" customFormat="1" x14ac:dyDescent="0.25">
      <c r="A20350" t="str">
        <f>"5939717"</f>
        <v>5939717</v>
      </c>
      <c r="B20350" t="s">
        <v>14917</v>
      </c>
      <c r="C20350" t="s">
        <v>55</v>
      </c>
      <c r="D20350" s="21" t="s">
        <v>34</v>
      </c>
      <c r="E20350" s="21" t="s">
        <v>71</v>
      </c>
      <c r="F20350">
        <v>3290244</v>
      </c>
      <c r="G20350" t="s">
        <v>573</v>
      </c>
      <c r="H20350" s="21">
        <v>736.42</v>
      </c>
    </row>
    <row r="20351" spans="1:8" customFormat="1" x14ac:dyDescent="0.25">
      <c r="A20351" t="str">
        <f>"3713442"</f>
        <v>3713442</v>
      </c>
      <c r="B20351" t="s">
        <v>14323</v>
      </c>
      <c r="C20351" t="s">
        <v>40</v>
      </c>
      <c r="D20351" s="21" t="s">
        <v>34</v>
      </c>
      <c r="E20351" s="21" t="s">
        <v>254</v>
      </c>
      <c r="F20351">
        <v>1150306</v>
      </c>
      <c r="G20351" t="s">
        <v>14324</v>
      </c>
      <c r="H20351" s="21">
        <v>736.29</v>
      </c>
    </row>
    <row r="20352" spans="1:8" customFormat="1" x14ac:dyDescent="0.25">
      <c r="A20352" t="str">
        <f>"942836"</f>
        <v>942836</v>
      </c>
      <c r="B20352" t="s">
        <v>15204</v>
      </c>
      <c r="C20352" t="s">
        <v>109</v>
      </c>
      <c r="D20352" s="21" t="s">
        <v>34</v>
      </c>
      <c r="E20352" s="21" t="s">
        <v>71</v>
      </c>
      <c r="F20352">
        <v>8771501</v>
      </c>
      <c r="G20352" t="s">
        <v>10128</v>
      </c>
      <c r="H20352" s="21">
        <v>736.17</v>
      </c>
    </row>
    <row r="20353" spans="1:8" customFormat="1" x14ac:dyDescent="0.25">
      <c r="A20353" t="str">
        <f>"407494"</f>
        <v>407494</v>
      </c>
      <c r="B20353" t="s">
        <v>18595</v>
      </c>
      <c r="C20353" t="s">
        <v>13011</v>
      </c>
      <c r="D20353" s="21" t="s">
        <v>34</v>
      </c>
      <c r="E20353" s="21" t="s">
        <v>254</v>
      </c>
      <c r="F20353">
        <v>10400002</v>
      </c>
      <c r="G20353" t="s">
        <v>1975</v>
      </c>
      <c r="H20353" s="21">
        <v>736.17</v>
      </c>
    </row>
    <row r="20354" spans="1:8" customFormat="1" x14ac:dyDescent="0.25">
      <c r="A20354" t="str">
        <f>"3534345"</f>
        <v>3534345</v>
      </c>
      <c r="B20354" t="s">
        <v>17211</v>
      </c>
      <c r="C20354" t="s">
        <v>82</v>
      </c>
      <c r="D20354" s="21" t="s">
        <v>34</v>
      </c>
      <c r="E20354" s="21" t="s">
        <v>35</v>
      </c>
      <c r="F20354">
        <v>3350035</v>
      </c>
      <c r="G20354" t="s">
        <v>9970</v>
      </c>
      <c r="H20354" s="21">
        <v>736.17</v>
      </c>
    </row>
    <row r="20355" spans="1:8" customFormat="1" x14ac:dyDescent="0.25">
      <c r="A20355" t="str">
        <f>"7617626"</f>
        <v>7617626</v>
      </c>
      <c r="B20355" t="s">
        <v>17164</v>
      </c>
      <c r="C20355" t="s">
        <v>33</v>
      </c>
      <c r="D20355" s="21" t="s">
        <v>34</v>
      </c>
      <c r="E20355" s="21" t="s">
        <v>35</v>
      </c>
      <c r="F20355">
        <v>9760018</v>
      </c>
      <c r="G20355" t="s">
        <v>117</v>
      </c>
      <c r="H20355" s="21">
        <v>736.17</v>
      </c>
    </row>
    <row r="20356" spans="1:8" customFormat="1" x14ac:dyDescent="0.25">
      <c r="A20356" t="str">
        <f>"413433"</f>
        <v>413433</v>
      </c>
      <c r="B20356" t="s">
        <v>15175</v>
      </c>
      <c r="C20356" t="s">
        <v>453</v>
      </c>
      <c r="D20356" s="21" t="s">
        <v>34</v>
      </c>
      <c r="E20356" s="21" t="s">
        <v>1089</v>
      </c>
      <c r="F20356">
        <v>4410636</v>
      </c>
      <c r="G20356" t="s">
        <v>8111</v>
      </c>
      <c r="H20356" s="21">
        <v>736.17</v>
      </c>
    </row>
    <row r="20357" spans="1:8" customFormat="1" x14ac:dyDescent="0.25">
      <c r="A20357" t="str">
        <f>"199260"</f>
        <v>199260</v>
      </c>
      <c r="B20357" t="s">
        <v>13744</v>
      </c>
      <c r="C20357" t="s">
        <v>598</v>
      </c>
      <c r="D20357" s="21" t="s">
        <v>34</v>
      </c>
      <c r="E20357" s="21" t="s">
        <v>71</v>
      </c>
      <c r="F20357">
        <v>10190073</v>
      </c>
      <c r="G20357" t="s">
        <v>2366</v>
      </c>
      <c r="H20357" s="21">
        <v>736.17</v>
      </c>
    </row>
    <row r="20358" spans="1:8" customFormat="1" x14ac:dyDescent="0.25">
      <c r="A20358" t="str">
        <f>"63887"</f>
        <v>63887</v>
      </c>
      <c r="B20358" t="s">
        <v>15659</v>
      </c>
      <c r="C20358" t="s">
        <v>253</v>
      </c>
      <c r="D20358" s="21" t="s">
        <v>34</v>
      </c>
      <c r="E20358" s="21" t="s">
        <v>1089</v>
      </c>
      <c r="F20358">
        <v>1630125</v>
      </c>
      <c r="G20358" t="s">
        <v>6858</v>
      </c>
      <c r="H20358" s="21">
        <v>736.17</v>
      </c>
    </row>
    <row r="20359" spans="1:8" customFormat="1" x14ac:dyDescent="0.25">
      <c r="A20359" t="str">
        <f>"7623061"</f>
        <v>7623061</v>
      </c>
      <c r="B20359" t="s">
        <v>3386</v>
      </c>
      <c r="C20359" t="s">
        <v>3010</v>
      </c>
      <c r="D20359" s="21" t="s">
        <v>34</v>
      </c>
      <c r="E20359" s="21" t="s">
        <v>254</v>
      </c>
      <c r="F20359">
        <v>9760414</v>
      </c>
      <c r="G20359" t="s">
        <v>142</v>
      </c>
      <c r="H20359" s="21">
        <v>736.17</v>
      </c>
    </row>
    <row r="20360" spans="1:8" customFormat="1" x14ac:dyDescent="0.25">
      <c r="A20360" t="str">
        <f>"6813059"</f>
        <v>6813059</v>
      </c>
      <c r="B20360" t="s">
        <v>15511</v>
      </c>
      <c r="C20360" t="s">
        <v>415</v>
      </c>
      <c r="D20360" s="21" t="s">
        <v>34</v>
      </c>
      <c r="E20360" s="21" t="s">
        <v>71</v>
      </c>
      <c r="F20360">
        <v>6680006</v>
      </c>
      <c r="G20360" t="s">
        <v>5266</v>
      </c>
      <c r="H20360" s="21">
        <v>736.17</v>
      </c>
    </row>
    <row r="20361" spans="1:8" customFormat="1" x14ac:dyDescent="0.25">
      <c r="A20361" t="str">
        <f>"49723"</f>
        <v>49723</v>
      </c>
      <c r="B20361" t="s">
        <v>6273</v>
      </c>
      <c r="C20361" t="s">
        <v>564</v>
      </c>
      <c r="D20361" s="21" t="s">
        <v>34</v>
      </c>
      <c r="E20361" s="21" t="s">
        <v>1089</v>
      </c>
      <c r="F20361">
        <v>12490026</v>
      </c>
      <c r="G20361" t="s">
        <v>6274</v>
      </c>
      <c r="H20361" s="21">
        <v>736.17</v>
      </c>
    </row>
    <row r="20362" spans="1:8" customFormat="1" x14ac:dyDescent="0.25">
      <c r="A20362" t="str">
        <f>"224708"</f>
        <v>224708</v>
      </c>
      <c r="B20362" t="s">
        <v>3328</v>
      </c>
      <c r="C20362" t="s">
        <v>2100</v>
      </c>
      <c r="D20362" s="21" t="s">
        <v>34</v>
      </c>
      <c r="E20362" s="21" t="s">
        <v>1089</v>
      </c>
      <c r="F20362">
        <v>3220008</v>
      </c>
      <c r="G20362" t="s">
        <v>6845</v>
      </c>
      <c r="H20362" s="21">
        <v>736.17</v>
      </c>
    </row>
    <row r="20363" spans="1:8" customFormat="1" x14ac:dyDescent="0.25">
      <c r="A20363" t="str">
        <f>"6222931"</f>
        <v>6222931</v>
      </c>
      <c r="B20363" t="s">
        <v>15849</v>
      </c>
      <c r="C20363" t="s">
        <v>2520</v>
      </c>
      <c r="D20363" s="21" t="s">
        <v>34</v>
      </c>
      <c r="E20363" s="21" t="s">
        <v>71</v>
      </c>
      <c r="F20363">
        <v>7620130</v>
      </c>
      <c r="G20363" t="s">
        <v>4386</v>
      </c>
      <c r="H20363" s="21">
        <v>736.17</v>
      </c>
    </row>
    <row r="20364" spans="1:8" customFormat="1" x14ac:dyDescent="0.25">
      <c r="A20364" t="str">
        <f>"4429174"</f>
        <v>4429174</v>
      </c>
      <c r="B20364" t="s">
        <v>15747</v>
      </c>
      <c r="C20364" t="s">
        <v>156</v>
      </c>
      <c r="D20364" s="21" t="s">
        <v>34</v>
      </c>
      <c r="E20364" s="21" t="s">
        <v>254</v>
      </c>
      <c r="F20364">
        <v>12440011</v>
      </c>
      <c r="G20364" t="s">
        <v>5650</v>
      </c>
      <c r="H20364" s="21">
        <v>736.17</v>
      </c>
    </row>
    <row r="20365" spans="1:8" customFormat="1" x14ac:dyDescent="0.25">
      <c r="A20365" t="str">
        <f>"421847"</f>
        <v>421847</v>
      </c>
      <c r="B20365" t="s">
        <v>15620</v>
      </c>
      <c r="C20365" t="s">
        <v>1110</v>
      </c>
      <c r="D20365" s="21" t="s">
        <v>34</v>
      </c>
      <c r="E20365" s="21" t="s">
        <v>71</v>
      </c>
      <c r="F20365">
        <v>1420078</v>
      </c>
      <c r="G20365" t="s">
        <v>4287</v>
      </c>
      <c r="H20365" s="21">
        <v>736.17</v>
      </c>
    </row>
    <row r="20366" spans="1:8" customFormat="1" x14ac:dyDescent="0.25">
      <c r="A20366" t="str">
        <f>"9134997"</f>
        <v>9134997</v>
      </c>
      <c r="B20366" t="s">
        <v>6570</v>
      </c>
      <c r="C20366" t="s">
        <v>9688</v>
      </c>
      <c r="D20366" s="21" t="s">
        <v>34</v>
      </c>
      <c r="E20366" s="21" t="s">
        <v>71</v>
      </c>
      <c r="F20366">
        <v>8910578</v>
      </c>
      <c r="G20366" t="s">
        <v>5776</v>
      </c>
      <c r="H20366" s="21">
        <v>736.04</v>
      </c>
    </row>
    <row r="20367" spans="1:8" customFormat="1" x14ac:dyDescent="0.25">
      <c r="A20367" t="str">
        <f>"5318712"</f>
        <v>5318712</v>
      </c>
      <c r="B20367" t="s">
        <v>1827</v>
      </c>
      <c r="C20367" t="s">
        <v>187</v>
      </c>
      <c r="D20367" s="21" t="s">
        <v>34</v>
      </c>
      <c r="E20367" s="21" t="s">
        <v>71</v>
      </c>
      <c r="F20367">
        <v>12440094</v>
      </c>
      <c r="G20367" t="s">
        <v>892</v>
      </c>
      <c r="H20367" s="21">
        <v>735.92</v>
      </c>
    </row>
    <row r="20368" spans="1:8" customFormat="1" x14ac:dyDescent="0.25">
      <c r="A20368" t="str">
        <f>"864745"</f>
        <v>864745</v>
      </c>
      <c r="B20368" t="s">
        <v>16645</v>
      </c>
      <c r="C20368" t="s">
        <v>1812</v>
      </c>
      <c r="D20368" s="21" t="s">
        <v>34</v>
      </c>
      <c r="E20368" s="21" t="s">
        <v>71</v>
      </c>
      <c r="F20368">
        <v>10860038</v>
      </c>
      <c r="G20368" t="s">
        <v>8925</v>
      </c>
      <c r="H20368" s="21">
        <v>735.92</v>
      </c>
    </row>
    <row r="20369" spans="1:8" customFormat="1" x14ac:dyDescent="0.25">
      <c r="A20369" t="str">
        <f>"186951"</f>
        <v>186951</v>
      </c>
      <c r="B20369" t="s">
        <v>3661</v>
      </c>
      <c r="C20369" t="s">
        <v>1146</v>
      </c>
      <c r="D20369" s="21" t="s">
        <v>34</v>
      </c>
      <c r="E20369" s="21" t="s">
        <v>254</v>
      </c>
      <c r="F20369">
        <v>4180057</v>
      </c>
      <c r="G20369" t="s">
        <v>9021</v>
      </c>
      <c r="H20369" s="21">
        <v>735.79</v>
      </c>
    </row>
    <row r="20370" spans="1:8" customFormat="1" x14ac:dyDescent="0.25">
      <c r="A20370" t="str">
        <f>"952437"</f>
        <v>952437</v>
      </c>
      <c r="B20370" t="s">
        <v>1611</v>
      </c>
      <c r="C20370" t="s">
        <v>209</v>
      </c>
      <c r="D20370" s="21" t="s">
        <v>34</v>
      </c>
      <c r="E20370" s="21" t="s">
        <v>254</v>
      </c>
      <c r="F20370">
        <v>8950330</v>
      </c>
      <c r="G20370" t="s">
        <v>794</v>
      </c>
      <c r="H20370" s="21">
        <v>735.67</v>
      </c>
    </row>
    <row r="20371" spans="1:8" customFormat="1" x14ac:dyDescent="0.25">
      <c r="A20371" t="str">
        <f>"7522666"</f>
        <v>7522666</v>
      </c>
      <c r="B20371" t="s">
        <v>27603</v>
      </c>
      <c r="C20371" t="s">
        <v>27604</v>
      </c>
      <c r="D20371" s="21" t="s">
        <v>34</v>
      </c>
      <c r="E20371" s="21" t="s">
        <v>254</v>
      </c>
      <c r="F20371">
        <v>8750100</v>
      </c>
      <c r="G20371" t="s">
        <v>10521</v>
      </c>
      <c r="H20371" s="21">
        <v>735.67</v>
      </c>
    </row>
    <row r="20372" spans="1:8" customFormat="1" x14ac:dyDescent="0.25">
      <c r="A20372" t="str">
        <f>"3712388"</f>
        <v>3712388</v>
      </c>
      <c r="B20372" t="s">
        <v>5283</v>
      </c>
      <c r="C20372" t="s">
        <v>10958</v>
      </c>
      <c r="D20372" s="21" t="s">
        <v>34</v>
      </c>
      <c r="E20372" s="21" t="s">
        <v>35</v>
      </c>
      <c r="F20372">
        <v>4370655</v>
      </c>
      <c r="G20372" t="s">
        <v>14574</v>
      </c>
      <c r="H20372" s="21">
        <v>735.67</v>
      </c>
    </row>
    <row r="20373" spans="1:8" customFormat="1" x14ac:dyDescent="0.25">
      <c r="A20373" t="str">
        <f>"2218695"</f>
        <v>2218695</v>
      </c>
      <c r="B20373" t="s">
        <v>16782</v>
      </c>
      <c r="C20373" t="s">
        <v>415</v>
      </c>
      <c r="D20373" s="21" t="s">
        <v>34</v>
      </c>
      <c r="E20373" s="21" t="s">
        <v>254</v>
      </c>
      <c r="F20373">
        <v>3220139</v>
      </c>
      <c r="G20373" t="s">
        <v>27114</v>
      </c>
      <c r="H20373" s="21">
        <v>735.67</v>
      </c>
    </row>
    <row r="20374" spans="1:8" customFormat="1" x14ac:dyDescent="0.25">
      <c r="A20374" t="str">
        <f>"7520245"</f>
        <v>7520245</v>
      </c>
      <c r="B20374" t="s">
        <v>18679</v>
      </c>
      <c r="C20374" t="s">
        <v>169</v>
      </c>
      <c r="D20374" s="21" t="s">
        <v>34</v>
      </c>
      <c r="E20374" s="21" t="s">
        <v>71</v>
      </c>
      <c r="F20374">
        <v>8750074</v>
      </c>
      <c r="G20374" t="s">
        <v>698</v>
      </c>
      <c r="H20374" s="21">
        <v>735.67</v>
      </c>
    </row>
    <row r="20375" spans="1:8" customFormat="1" x14ac:dyDescent="0.25">
      <c r="A20375" t="str">
        <f>"0114782"</f>
        <v>0114782</v>
      </c>
      <c r="B20375" t="s">
        <v>5800</v>
      </c>
      <c r="C20375" t="s">
        <v>33</v>
      </c>
      <c r="D20375" s="21" t="s">
        <v>34</v>
      </c>
      <c r="E20375" s="21" t="s">
        <v>35</v>
      </c>
      <c r="F20375">
        <v>1010059</v>
      </c>
      <c r="G20375" t="s">
        <v>15570</v>
      </c>
      <c r="H20375" s="21">
        <v>735.67</v>
      </c>
    </row>
    <row r="20376" spans="1:8" customFormat="1" x14ac:dyDescent="0.25">
      <c r="A20376" t="str">
        <f>"7819460"</f>
        <v>7819460</v>
      </c>
      <c r="B20376" t="s">
        <v>392</v>
      </c>
      <c r="C20376" t="s">
        <v>151</v>
      </c>
      <c r="D20376" s="21" t="s">
        <v>34</v>
      </c>
      <c r="E20376" s="21" t="s">
        <v>71</v>
      </c>
      <c r="F20376">
        <v>8780130</v>
      </c>
      <c r="G20376" t="s">
        <v>5752</v>
      </c>
      <c r="H20376" s="21">
        <v>735.67</v>
      </c>
    </row>
    <row r="20377" spans="1:8" customFormat="1" x14ac:dyDescent="0.25">
      <c r="A20377" t="str">
        <f>"59546"</f>
        <v>59546</v>
      </c>
      <c r="B20377" t="s">
        <v>2854</v>
      </c>
      <c r="C20377" t="s">
        <v>124</v>
      </c>
      <c r="D20377" s="21" t="s">
        <v>34</v>
      </c>
      <c r="E20377" s="21" t="s">
        <v>254</v>
      </c>
      <c r="F20377">
        <v>7590046</v>
      </c>
      <c r="G20377" t="s">
        <v>12324</v>
      </c>
      <c r="H20377" s="21">
        <v>735.67</v>
      </c>
    </row>
    <row r="20378" spans="1:8" customFormat="1" x14ac:dyDescent="0.25">
      <c r="A20378" t="str">
        <f>"6913132"</f>
        <v>6913132</v>
      </c>
      <c r="B20378" t="s">
        <v>8239</v>
      </c>
      <c r="C20378" t="s">
        <v>453</v>
      </c>
      <c r="D20378" s="21" t="s">
        <v>34</v>
      </c>
      <c r="E20378" s="21" t="s">
        <v>254</v>
      </c>
      <c r="F20378">
        <v>1420165</v>
      </c>
      <c r="G20378" t="s">
        <v>27111</v>
      </c>
      <c r="H20378" s="21">
        <v>735.67</v>
      </c>
    </row>
    <row r="20379" spans="1:8" customFormat="1" x14ac:dyDescent="0.25">
      <c r="A20379" t="str">
        <f>"4922895"</f>
        <v>4922895</v>
      </c>
      <c r="B20379" t="s">
        <v>118</v>
      </c>
      <c r="C20379" t="s">
        <v>415</v>
      </c>
      <c r="D20379" s="21" t="s">
        <v>34</v>
      </c>
      <c r="E20379" s="21" t="s">
        <v>254</v>
      </c>
      <c r="F20379">
        <v>12490061</v>
      </c>
      <c r="G20379" t="s">
        <v>969</v>
      </c>
      <c r="H20379" s="21">
        <v>735.67</v>
      </c>
    </row>
    <row r="20380" spans="1:8" customFormat="1" x14ac:dyDescent="0.25">
      <c r="A20380" t="str">
        <f>"2716651"</f>
        <v>2716651</v>
      </c>
      <c r="B20380" t="s">
        <v>1939</v>
      </c>
      <c r="C20380" t="s">
        <v>114</v>
      </c>
      <c r="D20380" s="21" t="s">
        <v>34</v>
      </c>
      <c r="E20380" s="21" t="s">
        <v>71</v>
      </c>
      <c r="F20380">
        <v>9270071</v>
      </c>
      <c r="G20380" t="s">
        <v>7815</v>
      </c>
      <c r="H20380" s="21">
        <v>735.67</v>
      </c>
    </row>
    <row r="20381" spans="1:8" customFormat="1" x14ac:dyDescent="0.25">
      <c r="A20381" t="str">
        <f>"2516959"</f>
        <v>2516959</v>
      </c>
      <c r="B20381" t="s">
        <v>3458</v>
      </c>
      <c r="C20381" t="s">
        <v>598</v>
      </c>
      <c r="D20381" s="21" t="s">
        <v>34</v>
      </c>
      <c r="E20381" s="21" t="s">
        <v>1089</v>
      </c>
      <c r="F20381">
        <v>2250016</v>
      </c>
      <c r="G20381" t="s">
        <v>1709</v>
      </c>
      <c r="H20381" s="21">
        <v>735.67</v>
      </c>
    </row>
    <row r="20382" spans="1:8" customFormat="1" x14ac:dyDescent="0.25">
      <c r="A20382" t="str">
        <f>"3531666"</f>
        <v>3531666</v>
      </c>
      <c r="B20382" t="s">
        <v>13686</v>
      </c>
      <c r="C20382" t="s">
        <v>246</v>
      </c>
      <c r="D20382" s="21" t="s">
        <v>34</v>
      </c>
      <c r="E20382" s="21" t="s">
        <v>35</v>
      </c>
      <c r="F20382">
        <v>3350125</v>
      </c>
      <c r="G20382" t="s">
        <v>16195</v>
      </c>
      <c r="H20382" s="21">
        <v>735.67</v>
      </c>
    </row>
    <row r="20383" spans="1:8" customFormat="1" x14ac:dyDescent="0.25">
      <c r="A20383" t="str">
        <f>"9139834"</f>
        <v>9139834</v>
      </c>
      <c r="B20383" t="s">
        <v>3009</v>
      </c>
      <c r="C20383" t="s">
        <v>65</v>
      </c>
      <c r="D20383" s="21" t="s">
        <v>34</v>
      </c>
      <c r="E20383" s="21" t="s">
        <v>35</v>
      </c>
      <c r="F20383">
        <v>8911461</v>
      </c>
      <c r="G20383" t="s">
        <v>6705</v>
      </c>
      <c r="H20383" s="21">
        <v>735.67</v>
      </c>
    </row>
    <row r="20384" spans="1:8" customFormat="1" x14ac:dyDescent="0.25">
      <c r="A20384" t="str">
        <f>"755682"</f>
        <v>755682</v>
      </c>
      <c r="B20384" t="s">
        <v>15873</v>
      </c>
      <c r="C20384" t="s">
        <v>1054</v>
      </c>
      <c r="D20384" s="21" t="s">
        <v>34</v>
      </c>
      <c r="E20384" s="21" t="s">
        <v>254</v>
      </c>
      <c r="F20384">
        <v>8780632</v>
      </c>
      <c r="G20384" t="s">
        <v>1571</v>
      </c>
      <c r="H20384" s="21">
        <v>735.67</v>
      </c>
    </row>
    <row r="20385" spans="1:8" customFormat="1" x14ac:dyDescent="0.25">
      <c r="A20385" t="str">
        <f>"456960"</f>
        <v>456960</v>
      </c>
      <c r="B20385" t="s">
        <v>9594</v>
      </c>
      <c r="C20385" t="s">
        <v>14635</v>
      </c>
      <c r="D20385" s="21" t="s">
        <v>34</v>
      </c>
      <c r="E20385" s="21" t="s">
        <v>71</v>
      </c>
      <c r="F20385">
        <v>4450573</v>
      </c>
      <c r="G20385" t="s">
        <v>4106</v>
      </c>
      <c r="H20385" s="21">
        <v>735.42</v>
      </c>
    </row>
    <row r="20386" spans="1:8" customFormat="1" x14ac:dyDescent="0.25">
      <c r="A20386" t="str">
        <f>"3425839"</f>
        <v>3425839</v>
      </c>
      <c r="B20386" t="s">
        <v>27605</v>
      </c>
      <c r="C20386" t="s">
        <v>1142</v>
      </c>
      <c r="D20386" s="21" t="s">
        <v>34</v>
      </c>
      <c r="E20386" s="21" t="s">
        <v>254</v>
      </c>
      <c r="F20386">
        <v>11340014</v>
      </c>
      <c r="G20386" t="s">
        <v>1455</v>
      </c>
      <c r="H20386" s="21">
        <v>735.42</v>
      </c>
    </row>
    <row r="20387" spans="1:8" customFormat="1" x14ac:dyDescent="0.25">
      <c r="A20387" t="str">
        <f>"362287"</f>
        <v>362287</v>
      </c>
      <c r="B20387" t="s">
        <v>16461</v>
      </c>
      <c r="C20387" t="s">
        <v>267</v>
      </c>
      <c r="D20387" s="21" t="s">
        <v>34</v>
      </c>
      <c r="E20387" s="21" t="s">
        <v>254</v>
      </c>
      <c r="F20387">
        <v>4360315</v>
      </c>
      <c r="G20387" t="s">
        <v>6888</v>
      </c>
      <c r="H20387" s="21">
        <v>735.42</v>
      </c>
    </row>
    <row r="20388" spans="1:8" customFormat="1" x14ac:dyDescent="0.25">
      <c r="A20388" t="str">
        <f>"9533926"</f>
        <v>9533926</v>
      </c>
      <c r="B20388" t="s">
        <v>1441</v>
      </c>
      <c r="C20388" t="s">
        <v>209</v>
      </c>
      <c r="D20388" s="21" t="s">
        <v>34</v>
      </c>
      <c r="E20388" s="21" t="s">
        <v>71</v>
      </c>
      <c r="F20388">
        <v>8950262</v>
      </c>
      <c r="G20388" t="s">
        <v>1881</v>
      </c>
      <c r="H20388" s="21">
        <v>735.29</v>
      </c>
    </row>
    <row r="20389" spans="1:8" customFormat="1" x14ac:dyDescent="0.25">
      <c r="A20389" t="str">
        <f>"2930951"</f>
        <v>2930951</v>
      </c>
      <c r="B20389" t="s">
        <v>16254</v>
      </c>
      <c r="C20389" t="s">
        <v>263</v>
      </c>
      <c r="D20389" s="21" t="s">
        <v>34</v>
      </c>
      <c r="E20389" s="21" t="s">
        <v>35</v>
      </c>
      <c r="F20389">
        <v>3290215</v>
      </c>
      <c r="G20389" t="s">
        <v>5058</v>
      </c>
      <c r="H20389" s="21">
        <v>735.29</v>
      </c>
    </row>
    <row r="20390" spans="1:8" customFormat="1" x14ac:dyDescent="0.25">
      <c r="A20390" t="str">
        <f>"7712976"</f>
        <v>7712976</v>
      </c>
      <c r="B20390" t="s">
        <v>15519</v>
      </c>
      <c r="C20390" t="s">
        <v>171</v>
      </c>
      <c r="D20390" s="21" t="s">
        <v>34</v>
      </c>
      <c r="E20390" s="21" t="s">
        <v>35</v>
      </c>
      <c r="F20390">
        <v>8921344</v>
      </c>
      <c r="G20390" t="s">
        <v>27476</v>
      </c>
      <c r="H20390" s="21">
        <v>735.17</v>
      </c>
    </row>
    <row r="20391" spans="1:8" customFormat="1" x14ac:dyDescent="0.25">
      <c r="A20391" t="str">
        <f>"01620"</f>
        <v>01620</v>
      </c>
      <c r="B20391" t="s">
        <v>16570</v>
      </c>
      <c r="C20391" t="s">
        <v>2305</v>
      </c>
      <c r="D20391" s="21" t="s">
        <v>34</v>
      </c>
      <c r="E20391" s="21" t="s">
        <v>254</v>
      </c>
      <c r="F20391">
        <v>1690212</v>
      </c>
      <c r="G20391" t="s">
        <v>7834</v>
      </c>
      <c r="H20391" s="21">
        <v>735.17</v>
      </c>
    </row>
    <row r="20392" spans="1:8" customFormat="1" x14ac:dyDescent="0.25">
      <c r="A20392" t="str">
        <f>"6220984"</f>
        <v>6220984</v>
      </c>
      <c r="B20392" t="s">
        <v>17337</v>
      </c>
      <c r="C20392" t="s">
        <v>174</v>
      </c>
      <c r="D20392" s="21" t="s">
        <v>34</v>
      </c>
      <c r="E20392" s="21" t="s">
        <v>35</v>
      </c>
      <c r="F20392">
        <v>7620131</v>
      </c>
      <c r="G20392" t="s">
        <v>9562</v>
      </c>
      <c r="H20392" s="21">
        <v>735.17</v>
      </c>
    </row>
    <row r="20393" spans="1:8" customFormat="1" x14ac:dyDescent="0.25">
      <c r="A20393" t="str">
        <f>"3116692"</f>
        <v>3116692</v>
      </c>
      <c r="B20393" t="s">
        <v>18898</v>
      </c>
      <c r="C20393" t="s">
        <v>119</v>
      </c>
      <c r="D20393" s="21" t="s">
        <v>34</v>
      </c>
      <c r="E20393" s="21" t="s">
        <v>35</v>
      </c>
      <c r="F20393">
        <v>11310124</v>
      </c>
      <c r="G20393" t="s">
        <v>7977</v>
      </c>
      <c r="H20393" s="21">
        <v>735.17</v>
      </c>
    </row>
    <row r="20394" spans="1:8" customFormat="1" x14ac:dyDescent="0.25">
      <c r="A20394" t="str">
        <f>"7624687"</f>
        <v>7624687</v>
      </c>
      <c r="B20394" t="s">
        <v>7267</v>
      </c>
      <c r="C20394" t="s">
        <v>249</v>
      </c>
      <c r="D20394" s="21" t="s">
        <v>34</v>
      </c>
      <c r="E20394" s="21" t="s">
        <v>71</v>
      </c>
      <c r="F20394">
        <v>9760168</v>
      </c>
      <c r="G20394" t="s">
        <v>179</v>
      </c>
      <c r="H20394" s="21">
        <v>735.17</v>
      </c>
    </row>
    <row r="20395" spans="1:8" customFormat="1" x14ac:dyDescent="0.25">
      <c r="A20395" t="str">
        <f>"5019344"</f>
        <v>5019344</v>
      </c>
      <c r="B20395" t="s">
        <v>14693</v>
      </c>
      <c r="C20395" t="s">
        <v>1100</v>
      </c>
      <c r="D20395" s="21" t="s">
        <v>34</v>
      </c>
      <c r="E20395" s="21" t="s">
        <v>35</v>
      </c>
      <c r="F20395">
        <v>9500162</v>
      </c>
      <c r="G20395" t="s">
        <v>11252</v>
      </c>
      <c r="H20395" s="21">
        <v>735.17</v>
      </c>
    </row>
    <row r="20396" spans="1:8" customFormat="1" x14ac:dyDescent="0.25">
      <c r="A20396" t="str">
        <f>"808987"</f>
        <v>808987</v>
      </c>
      <c r="B20396" t="s">
        <v>2552</v>
      </c>
      <c r="C20396" t="s">
        <v>253</v>
      </c>
      <c r="D20396" s="21" t="s">
        <v>34</v>
      </c>
      <c r="E20396" s="21" t="s">
        <v>1089</v>
      </c>
      <c r="F20396">
        <v>7800020</v>
      </c>
      <c r="G20396" t="s">
        <v>11608</v>
      </c>
      <c r="H20396" s="21">
        <v>735.17</v>
      </c>
    </row>
    <row r="20397" spans="1:8" customFormat="1" x14ac:dyDescent="0.25">
      <c r="A20397" t="str">
        <f>"535762"</f>
        <v>535762</v>
      </c>
      <c r="B20397" t="s">
        <v>19527</v>
      </c>
      <c r="C20397" t="s">
        <v>2100</v>
      </c>
      <c r="D20397" s="21" t="s">
        <v>34</v>
      </c>
      <c r="E20397" s="21" t="s">
        <v>71</v>
      </c>
      <c r="F20397">
        <v>12530108</v>
      </c>
      <c r="G20397" t="s">
        <v>16085</v>
      </c>
      <c r="H20397" s="21">
        <v>735.17</v>
      </c>
    </row>
    <row r="20398" spans="1:8" customFormat="1" x14ac:dyDescent="0.25">
      <c r="A20398" t="str">
        <f>"4210427"</f>
        <v>4210427</v>
      </c>
      <c r="B20398" t="s">
        <v>13962</v>
      </c>
      <c r="C20398" t="s">
        <v>2305</v>
      </c>
      <c r="D20398" s="21" t="s">
        <v>34</v>
      </c>
      <c r="E20398" s="21" t="s">
        <v>71</v>
      </c>
      <c r="F20398">
        <v>1420080</v>
      </c>
      <c r="G20398" t="s">
        <v>10230</v>
      </c>
      <c r="H20398" s="21">
        <v>735.17</v>
      </c>
    </row>
    <row r="20399" spans="1:8" customFormat="1" x14ac:dyDescent="0.25">
      <c r="A20399" t="str">
        <f>"4444591"</f>
        <v>4444591</v>
      </c>
      <c r="B20399" t="s">
        <v>4282</v>
      </c>
      <c r="C20399" t="s">
        <v>43</v>
      </c>
      <c r="D20399" s="21" t="s">
        <v>34</v>
      </c>
      <c r="E20399" s="21" t="s">
        <v>35</v>
      </c>
      <c r="F20399">
        <v>12440117</v>
      </c>
      <c r="G20399" t="s">
        <v>14099</v>
      </c>
      <c r="H20399" s="21">
        <v>735.17</v>
      </c>
    </row>
    <row r="20400" spans="1:8" customFormat="1" x14ac:dyDescent="0.25">
      <c r="A20400" t="str">
        <f>"5923038"</f>
        <v>5923038</v>
      </c>
      <c r="B20400" t="s">
        <v>15150</v>
      </c>
      <c r="C20400" t="s">
        <v>209</v>
      </c>
      <c r="D20400" s="21" t="s">
        <v>34</v>
      </c>
      <c r="E20400" s="21" t="s">
        <v>71</v>
      </c>
      <c r="F20400">
        <v>7590024</v>
      </c>
      <c r="G20400" t="s">
        <v>14009</v>
      </c>
      <c r="H20400" s="21">
        <v>735.17</v>
      </c>
    </row>
    <row r="20401" spans="1:8" customFormat="1" x14ac:dyDescent="0.25">
      <c r="A20401" t="str">
        <f>"1318712"</f>
        <v>1318712</v>
      </c>
      <c r="B20401" t="s">
        <v>17531</v>
      </c>
      <c r="C20401" t="s">
        <v>124</v>
      </c>
      <c r="D20401" s="21" t="s">
        <v>34</v>
      </c>
      <c r="E20401" s="21" t="s">
        <v>254</v>
      </c>
      <c r="F20401">
        <v>13130138</v>
      </c>
      <c r="G20401" t="s">
        <v>5409</v>
      </c>
      <c r="H20401" s="21">
        <v>735.17</v>
      </c>
    </row>
    <row r="20402" spans="1:8" customFormat="1" x14ac:dyDescent="0.25">
      <c r="A20402" t="str">
        <f>"2910579"</f>
        <v>2910579</v>
      </c>
      <c r="B20402" t="s">
        <v>15319</v>
      </c>
      <c r="C20402" t="s">
        <v>926</v>
      </c>
      <c r="D20402" s="21" t="s">
        <v>34</v>
      </c>
      <c r="E20402" s="21" t="s">
        <v>254</v>
      </c>
      <c r="F20402">
        <v>3290010</v>
      </c>
      <c r="G20402" t="s">
        <v>1453</v>
      </c>
      <c r="H20402" s="21">
        <v>735.17</v>
      </c>
    </row>
    <row r="20403" spans="1:8" customFormat="1" x14ac:dyDescent="0.25">
      <c r="A20403" t="str">
        <f>"1312351"</f>
        <v>1312351</v>
      </c>
      <c r="B20403" t="s">
        <v>8773</v>
      </c>
      <c r="C20403" t="s">
        <v>1025</v>
      </c>
      <c r="D20403" s="21" t="s">
        <v>34</v>
      </c>
      <c r="E20403" s="21" t="s">
        <v>35</v>
      </c>
      <c r="F20403">
        <v>13130138</v>
      </c>
      <c r="G20403" t="s">
        <v>5409</v>
      </c>
      <c r="H20403" s="21">
        <v>735</v>
      </c>
    </row>
    <row r="20404" spans="1:8" customFormat="1" x14ac:dyDescent="0.25">
      <c r="A20404" t="str">
        <f>"598947"</f>
        <v>598947</v>
      </c>
      <c r="B20404" t="s">
        <v>15885</v>
      </c>
      <c r="C20404" t="s">
        <v>484</v>
      </c>
      <c r="D20404" s="21" t="s">
        <v>34</v>
      </c>
      <c r="E20404" s="21" t="s">
        <v>35</v>
      </c>
      <c r="F20404">
        <v>7590012</v>
      </c>
      <c r="G20404" t="s">
        <v>15886</v>
      </c>
      <c r="H20404" s="21">
        <v>734.92</v>
      </c>
    </row>
    <row r="20405" spans="1:8" customFormat="1" x14ac:dyDescent="0.25">
      <c r="A20405" t="str">
        <f>"757949"</f>
        <v>757949</v>
      </c>
      <c r="B20405" t="s">
        <v>16333</v>
      </c>
      <c r="C20405" t="s">
        <v>151</v>
      </c>
      <c r="D20405" s="21" t="s">
        <v>34</v>
      </c>
      <c r="E20405" s="21" t="s">
        <v>71</v>
      </c>
      <c r="F20405">
        <v>8750292</v>
      </c>
      <c r="G20405" t="s">
        <v>9069</v>
      </c>
      <c r="H20405" s="21">
        <v>734.92</v>
      </c>
    </row>
    <row r="20406" spans="1:8" customFormat="1" x14ac:dyDescent="0.25">
      <c r="A20406" t="str">
        <f>"3326632"</f>
        <v>3326632</v>
      </c>
      <c r="B20406" t="s">
        <v>17852</v>
      </c>
      <c r="C20406" t="s">
        <v>1146</v>
      </c>
      <c r="D20406" s="21" t="s">
        <v>34</v>
      </c>
      <c r="E20406" s="21" t="s">
        <v>1089</v>
      </c>
      <c r="F20406">
        <v>10330045</v>
      </c>
      <c r="G20406" t="s">
        <v>4506</v>
      </c>
      <c r="H20406" s="21">
        <v>734.79</v>
      </c>
    </row>
    <row r="20407" spans="1:8" customFormat="1" x14ac:dyDescent="0.25">
      <c r="A20407" t="str">
        <f>"264370"</f>
        <v>264370</v>
      </c>
      <c r="B20407" t="s">
        <v>17059</v>
      </c>
      <c r="C20407" t="s">
        <v>171</v>
      </c>
      <c r="D20407" s="21" t="s">
        <v>34</v>
      </c>
      <c r="E20407" s="21" t="s">
        <v>71</v>
      </c>
      <c r="F20407">
        <v>1260045</v>
      </c>
      <c r="G20407" t="s">
        <v>401</v>
      </c>
      <c r="H20407" s="21">
        <v>734.67</v>
      </c>
    </row>
    <row r="20408" spans="1:8" customFormat="1" x14ac:dyDescent="0.25">
      <c r="A20408" t="str">
        <f>"5934273"</f>
        <v>5934273</v>
      </c>
      <c r="B20408" t="s">
        <v>17089</v>
      </c>
      <c r="C20408" t="s">
        <v>209</v>
      </c>
      <c r="D20408" s="21" t="s">
        <v>34</v>
      </c>
      <c r="E20408" s="21" t="s">
        <v>71</v>
      </c>
      <c r="F20408">
        <v>7620147</v>
      </c>
      <c r="G20408" t="s">
        <v>4455</v>
      </c>
      <c r="H20408" s="21">
        <v>734.67</v>
      </c>
    </row>
    <row r="20409" spans="1:8" customFormat="1" x14ac:dyDescent="0.25">
      <c r="A20409" t="str">
        <f>"026117"</f>
        <v>026117</v>
      </c>
      <c r="B20409" t="s">
        <v>5197</v>
      </c>
      <c r="C20409" t="s">
        <v>156</v>
      </c>
      <c r="D20409" s="21" t="s">
        <v>34</v>
      </c>
      <c r="E20409" s="21" t="s">
        <v>71</v>
      </c>
      <c r="F20409">
        <v>7020080</v>
      </c>
      <c r="G20409" t="s">
        <v>5600</v>
      </c>
      <c r="H20409" s="21">
        <v>734.67</v>
      </c>
    </row>
    <row r="20410" spans="1:8" customFormat="1" x14ac:dyDescent="0.25">
      <c r="A20410" t="str">
        <f>"2937198"</f>
        <v>2937198</v>
      </c>
      <c r="B20410" t="s">
        <v>14077</v>
      </c>
      <c r="C20410" t="s">
        <v>169</v>
      </c>
      <c r="D20410" s="21" t="s">
        <v>34</v>
      </c>
      <c r="E20410" s="21" t="s">
        <v>71</v>
      </c>
      <c r="F20410">
        <v>3290215</v>
      </c>
      <c r="G20410" t="s">
        <v>5058</v>
      </c>
      <c r="H20410" s="21">
        <v>734.67</v>
      </c>
    </row>
    <row r="20411" spans="1:8" customFormat="1" x14ac:dyDescent="0.25">
      <c r="A20411" t="str">
        <f>"634770"</f>
        <v>634770</v>
      </c>
      <c r="B20411" t="s">
        <v>15905</v>
      </c>
      <c r="C20411" t="s">
        <v>1142</v>
      </c>
      <c r="D20411" s="21" t="s">
        <v>34</v>
      </c>
      <c r="E20411" s="21" t="s">
        <v>1089</v>
      </c>
      <c r="F20411">
        <v>1630085</v>
      </c>
      <c r="G20411" t="s">
        <v>2968</v>
      </c>
      <c r="H20411" s="21">
        <v>734.67</v>
      </c>
    </row>
    <row r="20412" spans="1:8" customFormat="1" x14ac:dyDescent="0.25">
      <c r="A20412" t="str">
        <f>"3714195"</f>
        <v>3714195</v>
      </c>
      <c r="B20412" t="s">
        <v>17078</v>
      </c>
      <c r="C20412" t="s">
        <v>2520</v>
      </c>
      <c r="D20412" s="21" t="s">
        <v>34</v>
      </c>
      <c r="E20412" s="21" t="s">
        <v>254</v>
      </c>
      <c r="F20412">
        <v>4370465</v>
      </c>
      <c r="G20412" t="s">
        <v>26922</v>
      </c>
      <c r="H20412" s="21">
        <v>734.67</v>
      </c>
    </row>
    <row r="20413" spans="1:8" customFormat="1" x14ac:dyDescent="0.25">
      <c r="A20413" t="str">
        <f>"4436091"</f>
        <v>4436091</v>
      </c>
      <c r="B20413" t="s">
        <v>18528</v>
      </c>
      <c r="C20413" t="s">
        <v>98</v>
      </c>
      <c r="D20413" s="21" t="s">
        <v>34</v>
      </c>
      <c r="E20413" s="21" t="s">
        <v>35</v>
      </c>
      <c r="F20413">
        <v>12440076</v>
      </c>
      <c r="G20413" t="s">
        <v>1750</v>
      </c>
      <c r="H20413" s="21">
        <v>734.67</v>
      </c>
    </row>
    <row r="20414" spans="1:8" customFormat="1" x14ac:dyDescent="0.25">
      <c r="A20414" t="str">
        <f>"114320"</f>
        <v>114320</v>
      </c>
      <c r="B20414" t="s">
        <v>1111</v>
      </c>
      <c r="C20414" t="s">
        <v>269</v>
      </c>
      <c r="D20414" s="21" t="s">
        <v>34</v>
      </c>
      <c r="E20414" s="21" t="s">
        <v>71</v>
      </c>
      <c r="F20414">
        <v>11110023</v>
      </c>
      <c r="G20414" t="s">
        <v>1849</v>
      </c>
      <c r="H20414" s="21">
        <v>734.67</v>
      </c>
    </row>
    <row r="20415" spans="1:8" customFormat="1" x14ac:dyDescent="0.25">
      <c r="A20415" t="str">
        <f>"7729112"</f>
        <v>7729112</v>
      </c>
      <c r="B20415" t="s">
        <v>16491</v>
      </c>
      <c r="C20415" t="s">
        <v>305</v>
      </c>
      <c r="D20415" s="21" t="s">
        <v>34</v>
      </c>
      <c r="E20415" s="21" t="s">
        <v>35</v>
      </c>
      <c r="F20415">
        <v>8770911</v>
      </c>
      <c r="G20415" t="s">
        <v>4824</v>
      </c>
      <c r="H20415" s="21">
        <v>734.67</v>
      </c>
    </row>
    <row r="20416" spans="1:8" customFormat="1" x14ac:dyDescent="0.25">
      <c r="A20416" t="str">
        <f>"5928202"</f>
        <v>5928202</v>
      </c>
      <c r="B20416" t="s">
        <v>16258</v>
      </c>
      <c r="C20416" t="s">
        <v>1199</v>
      </c>
      <c r="D20416" s="21" t="s">
        <v>34</v>
      </c>
      <c r="E20416" s="21" t="s">
        <v>254</v>
      </c>
      <c r="F20416">
        <v>7590403</v>
      </c>
      <c r="G20416" t="s">
        <v>2545</v>
      </c>
      <c r="H20416" s="21">
        <v>734.67</v>
      </c>
    </row>
    <row r="20417" spans="1:8" customFormat="1" x14ac:dyDescent="0.25">
      <c r="A20417" t="str">
        <f>"4436337"</f>
        <v>4436337</v>
      </c>
      <c r="B20417" t="s">
        <v>9413</v>
      </c>
      <c r="C20417" t="s">
        <v>55</v>
      </c>
      <c r="D20417" s="21" t="s">
        <v>34</v>
      </c>
      <c r="E20417" s="21" t="s">
        <v>71</v>
      </c>
      <c r="F20417">
        <v>12440021</v>
      </c>
      <c r="G20417" t="s">
        <v>429</v>
      </c>
      <c r="H20417" s="21">
        <v>734.67</v>
      </c>
    </row>
    <row r="20418" spans="1:8" customFormat="1" x14ac:dyDescent="0.25">
      <c r="A20418" t="str">
        <f>"562744"</f>
        <v>562744</v>
      </c>
      <c r="B20418" t="s">
        <v>1094</v>
      </c>
      <c r="C20418" t="s">
        <v>822</v>
      </c>
      <c r="D20418" s="21" t="s">
        <v>34</v>
      </c>
      <c r="E20418" s="21" t="s">
        <v>1089</v>
      </c>
      <c r="F20418">
        <v>3560071</v>
      </c>
      <c r="G20418" t="s">
        <v>8573</v>
      </c>
      <c r="H20418" s="21">
        <v>734.67</v>
      </c>
    </row>
    <row r="20419" spans="1:8" customFormat="1" x14ac:dyDescent="0.25">
      <c r="A20419" t="str">
        <f>"6231013"</f>
        <v>6231013</v>
      </c>
      <c r="B20419" t="s">
        <v>5702</v>
      </c>
      <c r="C20419" t="s">
        <v>40</v>
      </c>
      <c r="D20419" s="21" t="s">
        <v>34</v>
      </c>
      <c r="E20419" s="21" t="s">
        <v>71</v>
      </c>
      <c r="F20419">
        <v>7620149</v>
      </c>
      <c r="G20419" t="s">
        <v>16598</v>
      </c>
      <c r="H20419" s="21">
        <v>734.67</v>
      </c>
    </row>
    <row r="20420" spans="1:8" customFormat="1" x14ac:dyDescent="0.25">
      <c r="A20420" t="str">
        <f>"087915"</f>
        <v>087915</v>
      </c>
      <c r="B20420" t="s">
        <v>15714</v>
      </c>
      <c r="C20420" t="s">
        <v>462</v>
      </c>
      <c r="D20420" s="21" t="s">
        <v>34</v>
      </c>
      <c r="E20420" s="21" t="s">
        <v>35</v>
      </c>
      <c r="F20420">
        <v>6080059</v>
      </c>
      <c r="G20420" t="s">
        <v>4242</v>
      </c>
      <c r="H20420" s="21">
        <v>734.67</v>
      </c>
    </row>
    <row r="20421" spans="1:8" customFormat="1" x14ac:dyDescent="0.25">
      <c r="A20421" t="str">
        <f>"9230613"</f>
        <v>9230613</v>
      </c>
      <c r="B20421" t="s">
        <v>6693</v>
      </c>
      <c r="C20421" t="s">
        <v>87</v>
      </c>
      <c r="D20421" s="21" t="s">
        <v>34</v>
      </c>
      <c r="E20421" s="21" t="s">
        <v>71</v>
      </c>
      <c r="F20421">
        <v>8920126</v>
      </c>
      <c r="G20421" t="s">
        <v>1168</v>
      </c>
      <c r="H20421" s="21">
        <v>734.67</v>
      </c>
    </row>
    <row r="20422" spans="1:8" customFormat="1" x14ac:dyDescent="0.25">
      <c r="A20422" t="str">
        <f>"7211017"</f>
        <v>7211017</v>
      </c>
      <c r="B20422" t="s">
        <v>509</v>
      </c>
      <c r="C20422" t="s">
        <v>244</v>
      </c>
      <c r="D20422" s="21" t="s">
        <v>34</v>
      </c>
      <c r="E20422" s="21" t="s">
        <v>35</v>
      </c>
      <c r="F20422">
        <v>12720051</v>
      </c>
      <c r="G20422" t="s">
        <v>9476</v>
      </c>
      <c r="H20422" s="21">
        <v>734.67</v>
      </c>
    </row>
    <row r="20423" spans="1:8" customFormat="1" x14ac:dyDescent="0.25">
      <c r="A20423" t="str">
        <f>"2717432"</f>
        <v>2717432</v>
      </c>
      <c r="B20423" t="s">
        <v>16639</v>
      </c>
      <c r="C20423" t="s">
        <v>33</v>
      </c>
      <c r="D20423" s="21" t="s">
        <v>34</v>
      </c>
      <c r="E20423" s="21" t="s">
        <v>35</v>
      </c>
      <c r="F20423">
        <v>9270187</v>
      </c>
      <c r="G20423" t="s">
        <v>6733</v>
      </c>
      <c r="H20423" s="21">
        <v>734.67</v>
      </c>
    </row>
    <row r="20424" spans="1:8" customFormat="1" x14ac:dyDescent="0.25">
      <c r="A20424" t="str">
        <f>"444931"</f>
        <v>444931</v>
      </c>
      <c r="B20424" t="s">
        <v>4493</v>
      </c>
      <c r="C20424" t="s">
        <v>598</v>
      </c>
      <c r="D20424" s="21" t="s">
        <v>34</v>
      </c>
      <c r="E20424" s="21" t="s">
        <v>254</v>
      </c>
      <c r="F20424">
        <v>12440015</v>
      </c>
      <c r="G20424" t="s">
        <v>8421</v>
      </c>
      <c r="H20424" s="21">
        <v>734.67</v>
      </c>
    </row>
    <row r="20425" spans="1:8" customFormat="1" x14ac:dyDescent="0.25">
      <c r="A20425" t="str">
        <f>"515264"</f>
        <v>515264</v>
      </c>
      <c r="B20425" t="s">
        <v>350</v>
      </c>
      <c r="C20425" t="s">
        <v>33</v>
      </c>
      <c r="D20425" s="21" t="s">
        <v>34</v>
      </c>
      <c r="E20425" s="21" t="s">
        <v>35</v>
      </c>
      <c r="F20425">
        <v>6510054</v>
      </c>
      <c r="G20425" t="s">
        <v>10062</v>
      </c>
      <c r="H20425" s="21">
        <v>734.67</v>
      </c>
    </row>
    <row r="20426" spans="1:8" customFormat="1" x14ac:dyDescent="0.25">
      <c r="A20426" t="str">
        <f>"389508"</f>
        <v>389508</v>
      </c>
      <c r="B20426" t="s">
        <v>15910</v>
      </c>
      <c r="C20426" t="s">
        <v>288</v>
      </c>
      <c r="D20426" s="21" t="s">
        <v>34</v>
      </c>
      <c r="E20426" s="21" t="s">
        <v>254</v>
      </c>
      <c r="F20426">
        <v>1380045</v>
      </c>
      <c r="G20426" t="s">
        <v>2114</v>
      </c>
      <c r="H20426" s="21">
        <v>734.67</v>
      </c>
    </row>
    <row r="20427" spans="1:8" customFormat="1" x14ac:dyDescent="0.25">
      <c r="A20427" t="str">
        <f>"851899"</f>
        <v>851899</v>
      </c>
      <c r="B20427" t="s">
        <v>15559</v>
      </c>
      <c r="C20427" t="s">
        <v>209</v>
      </c>
      <c r="D20427" s="21" t="s">
        <v>34</v>
      </c>
      <c r="E20427" s="21" t="s">
        <v>71</v>
      </c>
      <c r="F20427">
        <v>12850007</v>
      </c>
      <c r="G20427" t="s">
        <v>7649</v>
      </c>
      <c r="H20427" s="21">
        <v>734.67</v>
      </c>
    </row>
    <row r="20428" spans="1:8" customFormat="1" x14ac:dyDescent="0.25">
      <c r="A20428" t="str">
        <f>"5318540"</f>
        <v>5318540</v>
      </c>
      <c r="B20428" t="s">
        <v>14688</v>
      </c>
      <c r="C20428" t="s">
        <v>82</v>
      </c>
      <c r="D20428" s="21" t="s">
        <v>34</v>
      </c>
      <c r="E20428" s="21" t="s">
        <v>35</v>
      </c>
      <c r="F20428">
        <v>12530146</v>
      </c>
      <c r="G20428" t="s">
        <v>10916</v>
      </c>
      <c r="H20428" s="21">
        <v>734.42</v>
      </c>
    </row>
    <row r="20429" spans="1:8" customFormat="1" x14ac:dyDescent="0.25">
      <c r="A20429" t="str">
        <f>"365549"</f>
        <v>365549</v>
      </c>
      <c r="B20429" t="s">
        <v>17146</v>
      </c>
      <c r="C20429" t="s">
        <v>598</v>
      </c>
      <c r="D20429" s="21" t="s">
        <v>34</v>
      </c>
      <c r="E20429" s="21" t="s">
        <v>254</v>
      </c>
      <c r="F20429">
        <v>4360726</v>
      </c>
      <c r="G20429" t="s">
        <v>5506</v>
      </c>
      <c r="H20429" s="21">
        <v>734.42</v>
      </c>
    </row>
    <row r="20430" spans="1:8" customFormat="1" x14ac:dyDescent="0.25">
      <c r="A20430" t="str">
        <f>"679318"</f>
        <v>679318</v>
      </c>
      <c r="B20430" t="s">
        <v>16111</v>
      </c>
      <c r="C20430" t="s">
        <v>2520</v>
      </c>
      <c r="D20430" s="21" t="s">
        <v>34</v>
      </c>
      <c r="E20430" s="21" t="s">
        <v>71</v>
      </c>
      <c r="F20430">
        <v>6670216</v>
      </c>
      <c r="G20430" t="s">
        <v>2194</v>
      </c>
      <c r="H20430" s="21">
        <v>734.17</v>
      </c>
    </row>
    <row r="20431" spans="1:8" customFormat="1" x14ac:dyDescent="0.25">
      <c r="A20431" t="str">
        <f>"8014448"</f>
        <v>8014448</v>
      </c>
      <c r="B20431" t="s">
        <v>14630</v>
      </c>
      <c r="C20431" t="s">
        <v>2479</v>
      </c>
      <c r="D20431" s="21" t="s">
        <v>34</v>
      </c>
      <c r="E20431" s="21" t="s">
        <v>35</v>
      </c>
      <c r="F20431">
        <v>7800106</v>
      </c>
      <c r="G20431" t="s">
        <v>2466</v>
      </c>
      <c r="H20431" s="21">
        <v>734.17</v>
      </c>
    </row>
    <row r="20432" spans="1:8" customFormat="1" x14ac:dyDescent="0.25">
      <c r="A20432" t="str">
        <f>"629903"</f>
        <v>629903</v>
      </c>
      <c r="B20432" t="s">
        <v>15788</v>
      </c>
      <c r="C20432" t="s">
        <v>822</v>
      </c>
      <c r="D20432" s="21" t="s">
        <v>34</v>
      </c>
      <c r="E20432" s="21" t="s">
        <v>1089</v>
      </c>
      <c r="F20432">
        <v>7620139</v>
      </c>
      <c r="G20432" t="s">
        <v>2061</v>
      </c>
      <c r="H20432" s="21">
        <v>734.17</v>
      </c>
    </row>
    <row r="20433" spans="1:8" customFormat="1" x14ac:dyDescent="0.25">
      <c r="A20433" t="str">
        <f>"5941205"</f>
        <v>5941205</v>
      </c>
      <c r="B20433" t="s">
        <v>585</v>
      </c>
      <c r="C20433" t="s">
        <v>62</v>
      </c>
      <c r="D20433" s="21" t="s">
        <v>34</v>
      </c>
      <c r="E20433" s="21" t="s">
        <v>35</v>
      </c>
      <c r="F20433">
        <v>7590151</v>
      </c>
      <c r="G20433" t="s">
        <v>12236</v>
      </c>
      <c r="H20433" s="21">
        <v>734.17</v>
      </c>
    </row>
    <row r="20434" spans="1:8" customFormat="1" x14ac:dyDescent="0.25">
      <c r="A20434" t="str">
        <f>"3332317"</f>
        <v>3332317</v>
      </c>
      <c r="B20434" t="s">
        <v>2851</v>
      </c>
      <c r="C20434" t="s">
        <v>124</v>
      </c>
      <c r="D20434" s="21" t="s">
        <v>34</v>
      </c>
      <c r="E20434" s="21" t="s">
        <v>35</v>
      </c>
      <c r="F20434">
        <v>10330086</v>
      </c>
      <c r="G20434" t="s">
        <v>785</v>
      </c>
      <c r="H20434" s="21">
        <v>734.17</v>
      </c>
    </row>
    <row r="20435" spans="1:8" customFormat="1" x14ac:dyDescent="0.25">
      <c r="A20435" t="str">
        <f>"725686"</f>
        <v>725686</v>
      </c>
      <c r="B20435" t="s">
        <v>3978</v>
      </c>
      <c r="C20435" t="s">
        <v>1841</v>
      </c>
      <c r="D20435" s="21" t="s">
        <v>34</v>
      </c>
      <c r="E20435" s="21" t="s">
        <v>254</v>
      </c>
      <c r="F20435">
        <v>12720070</v>
      </c>
      <c r="G20435" t="s">
        <v>2348</v>
      </c>
      <c r="H20435" s="21">
        <v>734.17</v>
      </c>
    </row>
    <row r="20436" spans="1:8" customFormat="1" x14ac:dyDescent="0.25">
      <c r="A20436" t="str">
        <f>"8523361"</f>
        <v>8523361</v>
      </c>
      <c r="B20436" t="s">
        <v>15973</v>
      </c>
      <c r="C20436" t="s">
        <v>269</v>
      </c>
      <c r="D20436" s="21" t="s">
        <v>34</v>
      </c>
      <c r="E20436" s="21" t="s">
        <v>71</v>
      </c>
      <c r="F20436">
        <v>12851016</v>
      </c>
      <c r="G20436" t="s">
        <v>1862</v>
      </c>
      <c r="H20436" s="21">
        <v>734.17</v>
      </c>
    </row>
    <row r="20437" spans="1:8" customFormat="1" x14ac:dyDescent="0.25">
      <c r="A20437" t="str">
        <f>"4437945"</f>
        <v>4437945</v>
      </c>
      <c r="B20437" t="s">
        <v>14464</v>
      </c>
      <c r="C20437" t="s">
        <v>1132</v>
      </c>
      <c r="D20437" s="21" t="s">
        <v>34</v>
      </c>
      <c r="E20437" s="21" t="s">
        <v>71</v>
      </c>
      <c r="F20437">
        <v>12440004</v>
      </c>
      <c r="G20437" t="s">
        <v>26530</v>
      </c>
      <c r="H20437" s="21">
        <v>734.17</v>
      </c>
    </row>
    <row r="20438" spans="1:8" customFormat="1" x14ac:dyDescent="0.25">
      <c r="A20438" t="str">
        <f>"137774"</f>
        <v>137774</v>
      </c>
      <c r="B20438" t="s">
        <v>16343</v>
      </c>
      <c r="C20438" t="s">
        <v>275</v>
      </c>
      <c r="D20438" s="21" t="s">
        <v>34</v>
      </c>
      <c r="E20438" s="21" t="s">
        <v>35</v>
      </c>
      <c r="F20438">
        <v>13130004</v>
      </c>
      <c r="G20438" t="s">
        <v>942</v>
      </c>
      <c r="H20438" s="21">
        <v>734.17</v>
      </c>
    </row>
    <row r="20439" spans="1:8" customFormat="1" x14ac:dyDescent="0.25">
      <c r="A20439" t="str">
        <f>"9511044"</f>
        <v>9511044</v>
      </c>
      <c r="B20439" t="s">
        <v>15288</v>
      </c>
      <c r="C20439" t="s">
        <v>15289</v>
      </c>
      <c r="D20439" s="21" t="s">
        <v>34</v>
      </c>
      <c r="E20439" s="21" t="s">
        <v>254</v>
      </c>
      <c r="F20439">
        <v>8950330</v>
      </c>
      <c r="G20439" t="s">
        <v>794</v>
      </c>
      <c r="H20439" s="21">
        <v>734.17</v>
      </c>
    </row>
    <row r="20440" spans="1:8" customFormat="1" x14ac:dyDescent="0.25">
      <c r="A20440" t="str">
        <f>"5011062"</f>
        <v>5011062</v>
      </c>
      <c r="B20440" t="s">
        <v>14616</v>
      </c>
      <c r="C20440" t="s">
        <v>664</v>
      </c>
      <c r="D20440" s="21" t="s">
        <v>34</v>
      </c>
      <c r="E20440" s="21" t="s">
        <v>254</v>
      </c>
      <c r="F20440">
        <v>9500014</v>
      </c>
      <c r="G20440" t="s">
        <v>12474</v>
      </c>
      <c r="H20440" s="21">
        <v>734.17</v>
      </c>
    </row>
    <row r="20441" spans="1:8" customFormat="1" x14ac:dyDescent="0.25">
      <c r="A20441" t="str">
        <f>"6213007"</f>
        <v>6213007</v>
      </c>
      <c r="B20441" t="s">
        <v>4574</v>
      </c>
      <c r="C20441" t="s">
        <v>1142</v>
      </c>
      <c r="D20441" s="21" t="s">
        <v>34</v>
      </c>
      <c r="E20441" s="21" t="s">
        <v>254</v>
      </c>
      <c r="F20441">
        <v>7620032</v>
      </c>
      <c r="G20441" t="s">
        <v>11181</v>
      </c>
      <c r="H20441" s="21">
        <v>734.17</v>
      </c>
    </row>
    <row r="20442" spans="1:8" customFormat="1" x14ac:dyDescent="0.25">
      <c r="A20442" t="str">
        <f>"7632957"</f>
        <v>7632957</v>
      </c>
      <c r="B20442" t="s">
        <v>17896</v>
      </c>
      <c r="C20442" t="s">
        <v>156</v>
      </c>
      <c r="D20442" s="21" t="s">
        <v>34</v>
      </c>
      <c r="E20442" s="21" t="s">
        <v>254</v>
      </c>
      <c r="F20442">
        <v>9760414</v>
      </c>
      <c r="G20442" t="s">
        <v>142</v>
      </c>
      <c r="H20442" s="21">
        <v>734.17</v>
      </c>
    </row>
    <row r="20443" spans="1:8" customFormat="1" x14ac:dyDescent="0.25">
      <c r="A20443" t="str">
        <f>"433051"</f>
        <v>433051</v>
      </c>
      <c r="B20443" t="s">
        <v>16053</v>
      </c>
      <c r="C20443" t="s">
        <v>209</v>
      </c>
      <c r="D20443" s="21" t="s">
        <v>34</v>
      </c>
      <c r="E20443" s="21" t="s">
        <v>254</v>
      </c>
      <c r="F20443">
        <v>1420291</v>
      </c>
      <c r="G20443" t="s">
        <v>13231</v>
      </c>
      <c r="H20443" s="21">
        <v>734.17</v>
      </c>
    </row>
    <row r="20444" spans="1:8" customFormat="1" x14ac:dyDescent="0.25">
      <c r="A20444" t="str">
        <f>"2920263"</f>
        <v>2920263</v>
      </c>
      <c r="B20444" t="s">
        <v>6731</v>
      </c>
      <c r="C20444" t="s">
        <v>58</v>
      </c>
      <c r="D20444" s="21" t="s">
        <v>34</v>
      </c>
      <c r="E20444" s="21" t="s">
        <v>71</v>
      </c>
      <c r="F20444">
        <v>3290010</v>
      </c>
      <c r="G20444" t="s">
        <v>1453</v>
      </c>
      <c r="H20444" s="21">
        <v>734.17</v>
      </c>
    </row>
    <row r="20445" spans="1:8" customFormat="1" x14ac:dyDescent="0.25">
      <c r="A20445" t="str">
        <f>"6928950"</f>
        <v>6928950</v>
      </c>
      <c r="B20445" t="s">
        <v>3984</v>
      </c>
      <c r="C20445" t="s">
        <v>33</v>
      </c>
      <c r="D20445" s="21" t="s">
        <v>34</v>
      </c>
      <c r="E20445" s="21" t="s">
        <v>71</v>
      </c>
      <c r="F20445">
        <v>1690047</v>
      </c>
      <c r="G20445" t="s">
        <v>4223</v>
      </c>
      <c r="H20445" s="21">
        <v>734.17</v>
      </c>
    </row>
    <row r="20446" spans="1:8" customFormat="1" x14ac:dyDescent="0.25">
      <c r="A20446" t="str">
        <f>"068712"</f>
        <v>068712</v>
      </c>
      <c r="B20446" t="s">
        <v>16542</v>
      </c>
      <c r="C20446" t="s">
        <v>209</v>
      </c>
      <c r="D20446" s="21" t="s">
        <v>34</v>
      </c>
      <c r="E20446" s="21" t="s">
        <v>71</v>
      </c>
      <c r="F20446">
        <v>13060063</v>
      </c>
      <c r="G20446" t="s">
        <v>2001</v>
      </c>
      <c r="H20446" s="21">
        <v>734.17</v>
      </c>
    </row>
    <row r="20447" spans="1:8" customFormat="1" x14ac:dyDescent="0.25">
      <c r="A20447" t="str">
        <f>"3312578"</f>
        <v>3312578</v>
      </c>
      <c r="B20447" t="s">
        <v>15770</v>
      </c>
      <c r="C20447" t="s">
        <v>267</v>
      </c>
      <c r="D20447" s="21" t="s">
        <v>34</v>
      </c>
      <c r="E20447" s="21" t="s">
        <v>254</v>
      </c>
      <c r="F20447">
        <v>10330031</v>
      </c>
      <c r="G20447" t="s">
        <v>2452</v>
      </c>
      <c r="H20447" s="21">
        <v>734.17</v>
      </c>
    </row>
    <row r="20448" spans="1:8" customFormat="1" x14ac:dyDescent="0.25">
      <c r="A20448" t="str">
        <f>"4431504"</f>
        <v>4431504</v>
      </c>
      <c r="B20448" t="s">
        <v>15638</v>
      </c>
      <c r="C20448" t="s">
        <v>144</v>
      </c>
      <c r="D20448" s="21" t="s">
        <v>34</v>
      </c>
      <c r="E20448" s="21" t="s">
        <v>254</v>
      </c>
      <c r="F20448">
        <v>12440028</v>
      </c>
      <c r="G20448" t="s">
        <v>1314</v>
      </c>
      <c r="H20448" s="21">
        <v>733.92</v>
      </c>
    </row>
    <row r="20449" spans="1:8" customFormat="1" x14ac:dyDescent="0.25">
      <c r="A20449" t="str">
        <f>"4214568"</f>
        <v>4214568</v>
      </c>
      <c r="B20449" t="s">
        <v>1626</v>
      </c>
      <c r="C20449" t="s">
        <v>121</v>
      </c>
      <c r="D20449" s="21" t="s">
        <v>34</v>
      </c>
      <c r="E20449" s="21" t="s">
        <v>35</v>
      </c>
      <c r="F20449">
        <v>1690107</v>
      </c>
      <c r="G20449" t="s">
        <v>4163</v>
      </c>
      <c r="H20449" s="21">
        <v>733.67</v>
      </c>
    </row>
    <row r="20450" spans="1:8" customFormat="1" x14ac:dyDescent="0.25">
      <c r="A20450" t="str">
        <f>"8528313"</f>
        <v>8528313</v>
      </c>
      <c r="B20450" t="s">
        <v>4352</v>
      </c>
      <c r="C20450" t="s">
        <v>611</v>
      </c>
      <c r="D20450" s="21" t="s">
        <v>34</v>
      </c>
      <c r="E20450" s="21" t="s">
        <v>35</v>
      </c>
      <c r="F20450">
        <v>12851025</v>
      </c>
      <c r="G20450" t="s">
        <v>26858</v>
      </c>
      <c r="H20450" s="21">
        <v>733.67</v>
      </c>
    </row>
    <row r="20451" spans="1:8" customFormat="1" x14ac:dyDescent="0.25">
      <c r="A20451" t="str">
        <f>"175983"</f>
        <v>175983</v>
      </c>
      <c r="B20451" t="s">
        <v>16909</v>
      </c>
      <c r="C20451" t="s">
        <v>652</v>
      </c>
      <c r="D20451" s="21" t="s">
        <v>34</v>
      </c>
      <c r="E20451" s="21" t="s">
        <v>71</v>
      </c>
      <c r="F20451">
        <v>10170050</v>
      </c>
      <c r="G20451" t="s">
        <v>2514</v>
      </c>
      <c r="H20451" s="21">
        <v>733.67</v>
      </c>
    </row>
    <row r="20452" spans="1:8" customFormat="1" x14ac:dyDescent="0.25">
      <c r="A20452" t="str">
        <f>"848326"</f>
        <v>848326</v>
      </c>
      <c r="B20452" t="s">
        <v>16688</v>
      </c>
      <c r="C20452" t="s">
        <v>130</v>
      </c>
      <c r="D20452" s="21" t="s">
        <v>34</v>
      </c>
      <c r="E20452" s="21" t="s">
        <v>35</v>
      </c>
      <c r="F20452">
        <v>13840004</v>
      </c>
      <c r="G20452" t="s">
        <v>8611</v>
      </c>
      <c r="H20452" s="21">
        <v>733.67</v>
      </c>
    </row>
    <row r="20453" spans="1:8" customFormat="1" x14ac:dyDescent="0.25">
      <c r="A20453" t="str">
        <f>"5914740"</f>
        <v>5914740</v>
      </c>
      <c r="B20453" t="s">
        <v>15505</v>
      </c>
      <c r="C20453" t="s">
        <v>239</v>
      </c>
      <c r="D20453" s="21" t="s">
        <v>34</v>
      </c>
      <c r="E20453" s="21" t="s">
        <v>254</v>
      </c>
      <c r="F20453">
        <v>7590218</v>
      </c>
      <c r="G20453" t="s">
        <v>26769</v>
      </c>
      <c r="H20453" s="21">
        <v>733.67</v>
      </c>
    </row>
    <row r="20454" spans="1:8" customFormat="1" x14ac:dyDescent="0.25">
      <c r="A20454" t="str">
        <f>"4442636"</f>
        <v>4442636</v>
      </c>
      <c r="B20454" t="s">
        <v>15955</v>
      </c>
      <c r="C20454" t="s">
        <v>62</v>
      </c>
      <c r="D20454" s="21" t="s">
        <v>34</v>
      </c>
      <c r="E20454" s="21" t="s">
        <v>35</v>
      </c>
      <c r="F20454">
        <v>12440104</v>
      </c>
      <c r="G20454" t="s">
        <v>5862</v>
      </c>
      <c r="H20454" s="21">
        <v>733.67</v>
      </c>
    </row>
    <row r="20455" spans="1:8" customFormat="1" x14ac:dyDescent="0.25">
      <c r="A20455" t="str">
        <f>"586188"</f>
        <v>586188</v>
      </c>
      <c r="B20455" t="s">
        <v>16442</v>
      </c>
      <c r="C20455" t="s">
        <v>462</v>
      </c>
      <c r="D20455" s="21" t="s">
        <v>34</v>
      </c>
      <c r="E20455" s="21" t="s">
        <v>71</v>
      </c>
      <c r="F20455">
        <v>2580019</v>
      </c>
      <c r="G20455" t="s">
        <v>8527</v>
      </c>
      <c r="H20455" s="21">
        <v>733.67</v>
      </c>
    </row>
    <row r="20456" spans="1:8" customFormat="1" x14ac:dyDescent="0.25">
      <c r="A20456" t="str">
        <f>"857850"</f>
        <v>857850</v>
      </c>
      <c r="B20456" t="s">
        <v>11487</v>
      </c>
      <c r="C20456" t="s">
        <v>3115</v>
      </c>
      <c r="D20456" s="21" t="s">
        <v>34</v>
      </c>
      <c r="E20456" s="21" t="s">
        <v>254</v>
      </c>
      <c r="F20456">
        <v>12850148</v>
      </c>
      <c r="G20456" t="s">
        <v>2380</v>
      </c>
      <c r="H20456" s="21">
        <v>733.67</v>
      </c>
    </row>
    <row r="20457" spans="1:8" customFormat="1" x14ac:dyDescent="0.25">
      <c r="A20457" t="str">
        <f>"7610835"</f>
        <v>7610835</v>
      </c>
      <c r="B20457" t="s">
        <v>15858</v>
      </c>
      <c r="C20457" t="s">
        <v>2305</v>
      </c>
      <c r="D20457" s="21" t="s">
        <v>34</v>
      </c>
      <c r="E20457" s="21" t="s">
        <v>6185</v>
      </c>
      <c r="F20457">
        <v>9760272</v>
      </c>
      <c r="G20457" t="s">
        <v>5526</v>
      </c>
      <c r="H20457" s="21">
        <v>733.67</v>
      </c>
    </row>
    <row r="20458" spans="1:8" customFormat="1" x14ac:dyDescent="0.25">
      <c r="A20458" t="str">
        <f>"3424820"</f>
        <v>3424820</v>
      </c>
      <c r="B20458" t="s">
        <v>19928</v>
      </c>
      <c r="C20458" t="s">
        <v>285</v>
      </c>
      <c r="D20458" s="21" t="s">
        <v>34</v>
      </c>
      <c r="E20458" s="21" t="s">
        <v>71</v>
      </c>
      <c r="F20458">
        <v>11340018</v>
      </c>
      <c r="G20458" t="s">
        <v>2421</v>
      </c>
      <c r="H20458" s="21">
        <v>733.67</v>
      </c>
    </row>
    <row r="20459" spans="1:8" customFormat="1" x14ac:dyDescent="0.25">
      <c r="A20459" t="str">
        <f>"106745"</f>
        <v>106745</v>
      </c>
      <c r="B20459" t="s">
        <v>17200</v>
      </c>
      <c r="C20459" t="s">
        <v>3217</v>
      </c>
      <c r="D20459" s="21" t="s">
        <v>34</v>
      </c>
      <c r="E20459" s="21" t="s">
        <v>35</v>
      </c>
      <c r="F20459">
        <v>6100032</v>
      </c>
      <c r="G20459" t="s">
        <v>1641</v>
      </c>
      <c r="H20459" s="21">
        <v>733.67</v>
      </c>
    </row>
    <row r="20460" spans="1:8" customFormat="1" x14ac:dyDescent="0.25">
      <c r="A20460" t="str">
        <f>"5920177"</f>
        <v>5920177</v>
      </c>
      <c r="B20460" t="s">
        <v>14907</v>
      </c>
      <c r="C20460" t="s">
        <v>55</v>
      </c>
      <c r="D20460" s="21" t="s">
        <v>34</v>
      </c>
      <c r="E20460" s="21" t="s">
        <v>71</v>
      </c>
      <c r="F20460">
        <v>7590043</v>
      </c>
      <c r="G20460" t="s">
        <v>10565</v>
      </c>
      <c r="H20460" s="21">
        <v>733.67</v>
      </c>
    </row>
    <row r="20461" spans="1:8" customFormat="1" x14ac:dyDescent="0.25">
      <c r="A20461" t="str">
        <f>"425670"</f>
        <v>425670</v>
      </c>
      <c r="B20461" t="s">
        <v>16165</v>
      </c>
      <c r="C20461" t="s">
        <v>87</v>
      </c>
      <c r="D20461" s="21" t="s">
        <v>34</v>
      </c>
      <c r="E20461" s="21" t="s">
        <v>35</v>
      </c>
      <c r="F20461">
        <v>1420152</v>
      </c>
      <c r="G20461" t="s">
        <v>2948</v>
      </c>
      <c r="H20461" s="21">
        <v>733.67</v>
      </c>
    </row>
    <row r="20462" spans="1:8" customFormat="1" x14ac:dyDescent="0.25">
      <c r="A20462" t="str">
        <f>"312098"</f>
        <v>312098</v>
      </c>
      <c r="B20462" t="s">
        <v>16575</v>
      </c>
      <c r="C20462" t="s">
        <v>12174</v>
      </c>
      <c r="D20462" s="21" t="s">
        <v>34</v>
      </c>
      <c r="E20462" s="21" t="s">
        <v>254</v>
      </c>
      <c r="F20462">
        <v>11310123</v>
      </c>
      <c r="G20462" t="s">
        <v>3915</v>
      </c>
      <c r="H20462" s="21">
        <v>733.67</v>
      </c>
    </row>
    <row r="20463" spans="1:8" customFormat="1" x14ac:dyDescent="0.25">
      <c r="A20463" t="str">
        <f>"8517978"</f>
        <v>8517978</v>
      </c>
      <c r="B20463" t="s">
        <v>18444</v>
      </c>
      <c r="C20463" t="s">
        <v>2529</v>
      </c>
      <c r="D20463" s="21" t="s">
        <v>34</v>
      </c>
      <c r="E20463" s="21" t="s">
        <v>71</v>
      </c>
      <c r="F20463">
        <v>12850021</v>
      </c>
      <c r="G20463" t="s">
        <v>4760</v>
      </c>
      <c r="H20463" s="21">
        <v>733.67</v>
      </c>
    </row>
    <row r="20464" spans="1:8" customFormat="1" x14ac:dyDescent="0.25">
      <c r="A20464" t="str">
        <f>"914077"</f>
        <v>914077</v>
      </c>
      <c r="B20464" t="s">
        <v>16035</v>
      </c>
      <c r="C20464" t="s">
        <v>415</v>
      </c>
      <c r="D20464" s="21" t="s">
        <v>34</v>
      </c>
      <c r="E20464" s="21" t="s">
        <v>1089</v>
      </c>
      <c r="F20464">
        <v>8911083</v>
      </c>
      <c r="G20464" t="s">
        <v>7357</v>
      </c>
      <c r="H20464" s="21">
        <v>733.67</v>
      </c>
    </row>
    <row r="20465" spans="1:8" customFormat="1" x14ac:dyDescent="0.25">
      <c r="A20465" t="str">
        <f>"542215"</f>
        <v>542215</v>
      </c>
      <c r="B20465" t="s">
        <v>16484</v>
      </c>
      <c r="C20465" t="s">
        <v>2904</v>
      </c>
      <c r="D20465" s="21" t="s">
        <v>34</v>
      </c>
      <c r="E20465" s="21" t="s">
        <v>254</v>
      </c>
      <c r="F20465">
        <v>6540088</v>
      </c>
      <c r="G20465" t="s">
        <v>2108</v>
      </c>
      <c r="H20465" s="21">
        <v>733.67</v>
      </c>
    </row>
    <row r="20466" spans="1:8" customFormat="1" x14ac:dyDescent="0.25">
      <c r="A20466" t="str">
        <f>"836688"</f>
        <v>836688</v>
      </c>
      <c r="B20466" t="s">
        <v>14646</v>
      </c>
      <c r="C20466" t="s">
        <v>379</v>
      </c>
      <c r="D20466" s="21" t="s">
        <v>34</v>
      </c>
      <c r="E20466" s="21" t="s">
        <v>1089</v>
      </c>
      <c r="F20466">
        <v>13830068</v>
      </c>
      <c r="G20466" t="s">
        <v>6181</v>
      </c>
      <c r="H20466" s="21">
        <v>733.67</v>
      </c>
    </row>
    <row r="20467" spans="1:8" customFormat="1" x14ac:dyDescent="0.25">
      <c r="A20467" t="str">
        <f>"5916978"</f>
        <v>5916978</v>
      </c>
      <c r="B20467" t="s">
        <v>16046</v>
      </c>
      <c r="C20467" t="s">
        <v>130</v>
      </c>
      <c r="D20467" s="21" t="s">
        <v>34</v>
      </c>
      <c r="E20467" s="21" t="s">
        <v>35</v>
      </c>
      <c r="F20467">
        <v>7590041</v>
      </c>
      <c r="G20467" t="s">
        <v>16047</v>
      </c>
      <c r="H20467" s="21">
        <v>733.67</v>
      </c>
    </row>
    <row r="20468" spans="1:8" customFormat="1" x14ac:dyDescent="0.25">
      <c r="A20468" t="str">
        <f>"9210909"</f>
        <v>9210909</v>
      </c>
      <c r="B20468" t="s">
        <v>15902</v>
      </c>
      <c r="C20468" t="s">
        <v>2520</v>
      </c>
      <c r="D20468" s="21" t="s">
        <v>34</v>
      </c>
      <c r="E20468" s="21" t="s">
        <v>71</v>
      </c>
      <c r="F20468">
        <v>8920031</v>
      </c>
      <c r="G20468" t="s">
        <v>552</v>
      </c>
      <c r="H20468" s="21">
        <v>733.67</v>
      </c>
    </row>
    <row r="20469" spans="1:8" customFormat="1" x14ac:dyDescent="0.25">
      <c r="A20469" t="str">
        <f>"4924414"</f>
        <v>4924414</v>
      </c>
      <c r="B20469" t="s">
        <v>16560</v>
      </c>
      <c r="C20469" t="s">
        <v>2520</v>
      </c>
      <c r="D20469" s="21" t="s">
        <v>34</v>
      </c>
      <c r="E20469" s="21" t="s">
        <v>254</v>
      </c>
      <c r="F20469">
        <v>12490098</v>
      </c>
      <c r="G20469" t="s">
        <v>2670</v>
      </c>
      <c r="H20469" s="21">
        <v>733.67</v>
      </c>
    </row>
    <row r="20470" spans="1:8" customFormat="1" x14ac:dyDescent="0.25">
      <c r="A20470" t="str">
        <f>"61110"</f>
        <v>61110</v>
      </c>
      <c r="B20470" t="s">
        <v>3146</v>
      </c>
      <c r="C20470" t="s">
        <v>1841</v>
      </c>
      <c r="D20470" s="21" t="s">
        <v>34</v>
      </c>
      <c r="E20470" s="21" t="s">
        <v>1089</v>
      </c>
      <c r="F20470">
        <v>9610122</v>
      </c>
      <c r="G20470" t="s">
        <v>4349</v>
      </c>
      <c r="H20470" s="21">
        <v>733.67</v>
      </c>
    </row>
    <row r="20471" spans="1:8" customFormat="1" x14ac:dyDescent="0.25">
      <c r="A20471" t="str">
        <f>"61682"</f>
        <v>61682</v>
      </c>
      <c r="B20471" t="s">
        <v>6266</v>
      </c>
      <c r="C20471" t="s">
        <v>598</v>
      </c>
      <c r="D20471" s="21" t="s">
        <v>34</v>
      </c>
      <c r="E20471" s="21" t="s">
        <v>1089</v>
      </c>
      <c r="F20471">
        <v>9610073</v>
      </c>
      <c r="G20471" t="s">
        <v>8382</v>
      </c>
      <c r="H20471" s="21">
        <v>733.42</v>
      </c>
    </row>
    <row r="20472" spans="1:8" customFormat="1" x14ac:dyDescent="0.25">
      <c r="A20472" t="str">
        <f>"3333528"</f>
        <v>3333528</v>
      </c>
      <c r="B20472" t="s">
        <v>1611</v>
      </c>
      <c r="C20472" t="s">
        <v>2520</v>
      </c>
      <c r="D20472" s="21" t="s">
        <v>34</v>
      </c>
      <c r="E20472" s="21" t="s">
        <v>71</v>
      </c>
      <c r="F20472">
        <v>10330022</v>
      </c>
      <c r="G20472" t="s">
        <v>1830</v>
      </c>
      <c r="H20472" s="21">
        <v>733.42</v>
      </c>
    </row>
    <row r="20473" spans="1:8" customFormat="1" x14ac:dyDescent="0.25">
      <c r="A20473" t="str">
        <f>"6016932"</f>
        <v>6016932</v>
      </c>
      <c r="B20473" t="s">
        <v>16377</v>
      </c>
      <c r="C20473" t="s">
        <v>55</v>
      </c>
      <c r="D20473" s="21" t="s">
        <v>34</v>
      </c>
      <c r="E20473" s="21" t="s">
        <v>71</v>
      </c>
      <c r="F20473">
        <v>7600074</v>
      </c>
      <c r="G20473" t="s">
        <v>1912</v>
      </c>
      <c r="H20473" s="21">
        <v>733.42</v>
      </c>
    </row>
    <row r="20474" spans="1:8" customFormat="1" x14ac:dyDescent="0.25">
      <c r="A20474" t="str">
        <f>"3821510"</f>
        <v>3821510</v>
      </c>
      <c r="B20474" t="s">
        <v>13245</v>
      </c>
      <c r="C20474" t="s">
        <v>40</v>
      </c>
      <c r="D20474" s="21" t="s">
        <v>34</v>
      </c>
      <c r="E20474" s="21" t="s">
        <v>71</v>
      </c>
      <c r="F20474">
        <v>1380241</v>
      </c>
      <c r="G20474" t="s">
        <v>2819</v>
      </c>
      <c r="H20474" s="21">
        <v>733.42</v>
      </c>
    </row>
    <row r="20475" spans="1:8" customFormat="1" x14ac:dyDescent="0.25">
      <c r="A20475" t="str">
        <f>"301287"</f>
        <v>301287</v>
      </c>
      <c r="B20475" t="s">
        <v>8462</v>
      </c>
      <c r="C20475" t="s">
        <v>33</v>
      </c>
      <c r="D20475" s="21" t="s">
        <v>34</v>
      </c>
      <c r="E20475" s="21" t="s">
        <v>71</v>
      </c>
      <c r="F20475">
        <v>11300014</v>
      </c>
      <c r="G20475" t="s">
        <v>2345</v>
      </c>
      <c r="H20475" s="21">
        <v>733.29</v>
      </c>
    </row>
    <row r="20476" spans="1:8" customFormat="1" x14ac:dyDescent="0.25">
      <c r="A20476" t="str">
        <f>"071269"</f>
        <v>071269</v>
      </c>
      <c r="B20476" t="s">
        <v>13332</v>
      </c>
      <c r="C20476" t="s">
        <v>209</v>
      </c>
      <c r="D20476" s="21" t="s">
        <v>34</v>
      </c>
      <c r="E20476" s="21" t="s">
        <v>71</v>
      </c>
      <c r="F20476">
        <v>1260061</v>
      </c>
      <c r="G20476" t="s">
        <v>6363</v>
      </c>
      <c r="H20476" s="21">
        <v>733.17</v>
      </c>
    </row>
    <row r="20477" spans="1:8" customFormat="1" x14ac:dyDescent="0.25">
      <c r="A20477" t="str">
        <f>"5411789"</f>
        <v>5411789</v>
      </c>
      <c r="B20477" t="s">
        <v>17034</v>
      </c>
      <c r="C20477" t="s">
        <v>2520</v>
      </c>
      <c r="D20477" s="21" t="s">
        <v>34</v>
      </c>
      <c r="E20477" s="21" t="s">
        <v>254</v>
      </c>
      <c r="F20477">
        <v>6540028</v>
      </c>
      <c r="G20477" t="s">
        <v>3201</v>
      </c>
      <c r="H20477" s="21">
        <v>733.17</v>
      </c>
    </row>
    <row r="20478" spans="1:8" customFormat="1" x14ac:dyDescent="0.25">
      <c r="A20478" t="str">
        <f>"7877514"</f>
        <v>7877514</v>
      </c>
      <c r="B20478" t="s">
        <v>17679</v>
      </c>
      <c r="C20478" t="s">
        <v>33</v>
      </c>
      <c r="D20478" s="21" t="s">
        <v>34</v>
      </c>
      <c r="E20478" s="21" t="s">
        <v>71</v>
      </c>
      <c r="F20478">
        <v>8780329</v>
      </c>
      <c r="G20478" t="s">
        <v>917</v>
      </c>
      <c r="H20478" s="21">
        <v>733.17</v>
      </c>
    </row>
    <row r="20479" spans="1:8" customFormat="1" x14ac:dyDescent="0.25">
      <c r="A20479" t="str">
        <f>"573855"</f>
        <v>573855</v>
      </c>
      <c r="B20479" t="s">
        <v>1268</v>
      </c>
      <c r="C20479" t="s">
        <v>2520</v>
      </c>
      <c r="D20479" s="21" t="s">
        <v>34</v>
      </c>
      <c r="E20479" s="21" t="s">
        <v>254</v>
      </c>
      <c r="F20479">
        <v>6540036</v>
      </c>
      <c r="G20479" t="s">
        <v>3612</v>
      </c>
      <c r="H20479" s="21">
        <v>733.17</v>
      </c>
    </row>
    <row r="20480" spans="1:8" customFormat="1" x14ac:dyDescent="0.25">
      <c r="A20480" t="str">
        <f>"6921296"</f>
        <v>6921296</v>
      </c>
      <c r="B20480" t="s">
        <v>15257</v>
      </c>
      <c r="C20480" t="s">
        <v>5355</v>
      </c>
      <c r="D20480" s="21" t="s">
        <v>34</v>
      </c>
      <c r="E20480" s="21" t="s">
        <v>71</v>
      </c>
      <c r="F20480">
        <v>1690105</v>
      </c>
      <c r="G20480" t="s">
        <v>9580</v>
      </c>
      <c r="H20480" s="21">
        <v>733.17</v>
      </c>
    </row>
    <row r="20481" spans="1:8" customFormat="1" x14ac:dyDescent="0.25">
      <c r="A20481" t="str">
        <f>"6944380"</f>
        <v>6944380</v>
      </c>
      <c r="B20481" t="s">
        <v>16888</v>
      </c>
      <c r="C20481" t="s">
        <v>1853</v>
      </c>
      <c r="D20481" s="21" t="s">
        <v>34</v>
      </c>
      <c r="E20481" s="21" t="s">
        <v>35</v>
      </c>
      <c r="F20481">
        <v>1690220</v>
      </c>
      <c r="G20481" t="s">
        <v>16783</v>
      </c>
      <c r="H20481" s="21">
        <v>733.17</v>
      </c>
    </row>
    <row r="20482" spans="1:8" customFormat="1" x14ac:dyDescent="0.25">
      <c r="A20482" t="str">
        <f>"271410"</f>
        <v>271410</v>
      </c>
      <c r="B20482" t="s">
        <v>3635</v>
      </c>
      <c r="C20482" t="s">
        <v>40</v>
      </c>
      <c r="D20482" s="21" t="s">
        <v>34</v>
      </c>
      <c r="E20482" s="21" t="s">
        <v>254</v>
      </c>
      <c r="F20482">
        <v>9270138</v>
      </c>
      <c r="G20482" t="s">
        <v>6112</v>
      </c>
      <c r="H20482" s="21">
        <v>733.17</v>
      </c>
    </row>
    <row r="20483" spans="1:8" customFormat="1" x14ac:dyDescent="0.25">
      <c r="A20483" t="str">
        <f>"546305"</f>
        <v>546305</v>
      </c>
      <c r="B20483" t="s">
        <v>15801</v>
      </c>
      <c r="C20483" t="s">
        <v>55</v>
      </c>
      <c r="D20483" s="21" t="s">
        <v>34</v>
      </c>
      <c r="E20483" s="21" t="s">
        <v>71</v>
      </c>
      <c r="F20483">
        <v>6540019</v>
      </c>
      <c r="G20483" t="s">
        <v>6413</v>
      </c>
      <c r="H20483" s="21">
        <v>733.17</v>
      </c>
    </row>
    <row r="20484" spans="1:8" customFormat="1" x14ac:dyDescent="0.25">
      <c r="A20484" t="str">
        <f>"3424722"</f>
        <v>3424722</v>
      </c>
      <c r="B20484" t="s">
        <v>6142</v>
      </c>
      <c r="C20484" t="s">
        <v>2479</v>
      </c>
      <c r="D20484" s="21" t="s">
        <v>34</v>
      </c>
      <c r="E20484" s="21" t="s">
        <v>1089</v>
      </c>
      <c r="F20484">
        <v>11340067</v>
      </c>
      <c r="G20484" t="s">
        <v>2895</v>
      </c>
      <c r="H20484" s="21">
        <v>733.17</v>
      </c>
    </row>
    <row r="20485" spans="1:8" customFormat="1" x14ac:dyDescent="0.25">
      <c r="A20485" t="str">
        <f>"178188"</f>
        <v>178188</v>
      </c>
      <c r="B20485" t="s">
        <v>616</v>
      </c>
      <c r="C20485" t="s">
        <v>124</v>
      </c>
      <c r="D20485" s="21" t="s">
        <v>34</v>
      </c>
      <c r="E20485" s="21" t="s">
        <v>254</v>
      </c>
      <c r="F20485">
        <v>10170050</v>
      </c>
      <c r="G20485" t="s">
        <v>2514</v>
      </c>
      <c r="H20485" s="21">
        <v>733.17</v>
      </c>
    </row>
    <row r="20486" spans="1:8" customFormat="1" x14ac:dyDescent="0.25">
      <c r="A20486" t="str">
        <f>"5919944"</f>
        <v>5919944</v>
      </c>
      <c r="B20486" t="s">
        <v>14936</v>
      </c>
      <c r="C20486" t="s">
        <v>209</v>
      </c>
      <c r="D20486" s="21" t="s">
        <v>34</v>
      </c>
      <c r="E20486" s="21" t="s">
        <v>71</v>
      </c>
      <c r="F20486">
        <v>7590011</v>
      </c>
      <c r="G20486" t="s">
        <v>2147</v>
      </c>
      <c r="H20486" s="21">
        <v>733.17</v>
      </c>
    </row>
    <row r="20487" spans="1:8" customFormat="1" x14ac:dyDescent="0.25">
      <c r="A20487" t="str">
        <f>"916191"</f>
        <v>916191</v>
      </c>
      <c r="B20487" t="s">
        <v>14978</v>
      </c>
      <c r="C20487" t="s">
        <v>14979</v>
      </c>
      <c r="D20487" s="21" t="s">
        <v>34</v>
      </c>
      <c r="E20487" s="21" t="s">
        <v>1089</v>
      </c>
      <c r="F20487">
        <v>3560085</v>
      </c>
      <c r="G20487" t="s">
        <v>11473</v>
      </c>
      <c r="H20487" s="21">
        <v>733.17</v>
      </c>
    </row>
    <row r="20488" spans="1:8" customFormat="1" x14ac:dyDescent="0.25">
      <c r="A20488" t="str">
        <f>"7824125"</f>
        <v>7824125</v>
      </c>
      <c r="B20488" t="s">
        <v>1525</v>
      </c>
      <c r="C20488" t="s">
        <v>5384</v>
      </c>
      <c r="D20488" s="21" t="s">
        <v>34</v>
      </c>
      <c r="E20488" s="21" t="s">
        <v>71</v>
      </c>
      <c r="F20488">
        <v>8920309</v>
      </c>
      <c r="G20488" t="s">
        <v>1894</v>
      </c>
      <c r="H20488" s="21">
        <v>733.17</v>
      </c>
    </row>
    <row r="20489" spans="1:8" customFormat="1" x14ac:dyDescent="0.25">
      <c r="A20489" t="str">
        <f>"182299"</f>
        <v>182299</v>
      </c>
      <c r="B20489" t="s">
        <v>6106</v>
      </c>
      <c r="C20489" t="s">
        <v>269</v>
      </c>
      <c r="D20489" s="21" t="s">
        <v>34</v>
      </c>
      <c r="E20489" s="21" t="s">
        <v>254</v>
      </c>
      <c r="F20489">
        <v>4180682</v>
      </c>
      <c r="G20489" t="s">
        <v>5261</v>
      </c>
      <c r="H20489" s="21">
        <v>733.17</v>
      </c>
    </row>
    <row r="20490" spans="1:8" customFormat="1" x14ac:dyDescent="0.25">
      <c r="A20490" t="str">
        <f>"9315851"</f>
        <v>9315851</v>
      </c>
      <c r="B20490" t="s">
        <v>27606</v>
      </c>
      <c r="C20490" t="s">
        <v>60</v>
      </c>
      <c r="D20490" s="21" t="s">
        <v>34</v>
      </c>
      <c r="E20490" s="21" t="s">
        <v>35</v>
      </c>
      <c r="F20490">
        <v>8930113</v>
      </c>
      <c r="G20490" t="s">
        <v>368</v>
      </c>
      <c r="H20490" s="21">
        <v>733.17</v>
      </c>
    </row>
    <row r="20491" spans="1:8" customFormat="1" x14ac:dyDescent="0.25">
      <c r="A20491" t="str">
        <f>"7921953"</f>
        <v>7921953</v>
      </c>
      <c r="B20491" t="s">
        <v>17530</v>
      </c>
      <c r="C20491" t="s">
        <v>263</v>
      </c>
      <c r="D20491" s="21" t="s">
        <v>34</v>
      </c>
      <c r="E20491" s="21" t="s">
        <v>35</v>
      </c>
      <c r="F20491">
        <v>10790234</v>
      </c>
      <c r="G20491" t="s">
        <v>13166</v>
      </c>
      <c r="H20491" s="21">
        <v>733.17</v>
      </c>
    </row>
    <row r="20492" spans="1:8" customFormat="1" x14ac:dyDescent="0.25">
      <c r="A20492" t="str">
        <f>"304655"</f>
        <v>304655</v>
      </c>
      <c r="B20492" t="s">
        <v>14693</v>
      </c>
      <c r="C20492" t="s">
        <v>2100</v>
      </c>
      <c r="D20492" s="21" t="s">
        <v>34</v>
      </c>
      <c r="E20492" s="21" t="s">
        <v>254</v>
      </c>
      <c r="F20492">
        <v>11810032</v>
      </c>
      <c r="G20492" t="s">
        <v>7859</v>
      </c>
      <c r="H20492" s="21">
        <v>733.17</v>
      </c>
    </row>
    <row r="20493" spans="1:8" customFormat="1" x14ac:dyDescent="0.25">
      <c r="A20493" t="str">
        <f>"5923163"</f>
        <v>5923163</v>
      </c>
      <c r="B20493" t="s">
        <v>15243</v>
      </c>
      <c r="C20493" t="s">
        <v>1705</v>
      </c>
      <c r="D20493" s="21" t="s">
        <v>34</v>
      </c>
      <c r="E20493" s="21" t="s">
        <v>71</v>
      </c>
      <c r="F20493">
        <v>7590313</v>
      </c>
      <c r="G20493" t="s">
        <v>5529</v>
      </c>
      <c r="H20493" s="21">
        <v>733.17</v>
      </c>
    </row>
    <row r="20494" spans="1:8" customFormat="1" x14ac:dyDescent="0.25">
      <c r="A20494" t="str">
        <f>"3524205"</f>
        <v>3524205</v>
      </c>
      <c r="B20494" t="s">
        <v>5435</v>
      </c>
      <c r="C20494" t="s">
        <v>119</v>
      </c>
      <c r="D20494" s="21" t="s">
        <v>34</v>
      </c>
      <c r="E20494" s="21" t="s">
        <v>71</v>
      </c>
      <c r="F20494">
        <v>3560050</v>
      </c>
      <c r="G20494" t="s">
        <v>5322</v>
      </c>
      <c r="H20494" s="21">
        <v>733.17</v>
      </c>
    </row>
    <row r="20495" spans="1:8" customFormat="1" x14ac:dyDescent="0.25">
      <c r="A20495" t="str">
        <f>"5618510"</f>
        <v>5618510</v>
      </c>
      <c r="B20495" t="s">
        <v>15992</v>
      </c>
      <c r="C20495" t="s">
        <v>1605</v>
      </c>
      <c r="D20495" s="21" t="s">
        <v>34</v>
      </c>
      <c r="E20495" s="21" t="s">
        <v>35</v>
      </c>
      <c r="F20495">
        <v>3560039</v>
      </c>
      <c r="G20495" t="s">
        <v>167</v>
      </c>
      <c r="H20495" s="21">
        <v>733.17</v>
      </c>
    </row>
    <row r="20496" spans="1:8" customFormat="1" x14ac:dyDescent="0.25">
      <c r="A20496" t="str">
        <f>"1715508"</f>
        <v>1715508</v>
      </c>
      <c r="B20496" t="s">
        <v>9060</v>
      </c>
      <c r="C20496" t="s">
        <v>462</v>
      </c>
      <c r="D20496" s="21" t="s">
        <v>34</v>
      </c>
      <c r="E20496" s="21" t="s">
        <v>35</v>
      </c>
      <c r="F20496">
        <v>10170033</v>
      </c>
      <c r="G20496" t="s">
        <v>3756</v>
      </c>
      <c r="H20496" s="21">
        <v>733.17</v>
      </c>
    </row>
    <row r="20497" spans="1:8" customFormat="1" x14ac:dyDescent="0.25">
      <c r="A20497" t="str">
        <f>"9518505"</f>
        <v>9518505</v>
      </c>
      <c r="B20497" t="s">
        <v>6881</v>
      </c>
      <c r="C20497" t="s">
        <v>16800</v>
      </c>
      <c r="D20497" s="21" t="s">
        <v>34</v>
      </c>
      <c r="E20497" s="21" t="s">
        <v>71</v>
      </c>
      <c r="F20497">
        <v>8951399</v>
      </c>
      <c r="G20497" t="s">
        <v>6745</v>
      </c>
      <c r="H20497" s="21">
        <v>733.17</v>
      </c>
    </row>
    <row r="20498" spans="1:8" customFormat="1" x14ac:dyDescent="0.25">
      <c r="A20498" t="str">
        <f>"911801"</f>
        <v>911801</v>
      </c>
      <c r="B20498" t="s">
        <v>15802</v>
      </c>
      <c r="C20498" t="s">
        <v>1665</v>
      </c>
      <c r="D20498" s="21" t="s">
        <v>34</v>
      </c>
      <c r="E20498" s="21" t="s">
        <v>254</v>
      </c>
      <c r="F20498">
        <v>8911083</v>
      </c>
      <c r="G20498" t="s">
        <v>7357</v>
      </c>
      <c r="H20498" s="21">
        <v>733.04</v>
      </c>
    </row>
    <row r="20499" spans="1:8" customFormat="1" x14ac:dyDescent="0.25">
      <c r="A20499" t="str">
        <f>"616144"</f>
        <v>616144</v>
      </c>
      <c r="B20499" t="s">
        <v>1791</v>
      </c>
      <c r="C20499" t="s">
        <v>18578</v>
      </c>
      <c r="D20499" s="21" t="s">
        <v>34</v>
      </c>
      <c r="E20499" s="21" t="s">
        <v>35</v>
      </c>
      <c r="F20499">
        <v>9610017</v>
      </c>
      <c r="G20499" t="s">
        <v>12194</v>
      </c>
      <c r="H20499" s="21">
        <v>732.92</v>
      </c>
    </row>
    <row r="20500" spans="1:8" customFormat="1" x14ac:dyDescent="0.25">
      <c r="A20500" t="str">
        <f>"5325459"</f>
        <v>5325459</v>
      </c>
      <c r="B20500" t="s">
        <v>15730</v>
      </c>
      <c r="C20500" t="s">
        <v>621</v>
      </c>
      <c r="D20500" s="21" t="s">
        <v>34</v>
      </c>
      <c r="E20500" s="21" t="s">
        <v>35</v>
      </c>
      <c r="F20500">
        <v>12530050</v>
      </c>
      <c r="G20500" t="s">
        <v>5196</v>
      </c>
      <c r="H20500" s="21">
        <v>732.92</v>
      </c>
    </row>
    <row r="20501" spans="1:8" customFormat="1" x14ac:dyDescent="0.25">
      <c r="A20501" t="str">
        <f>"822473"</f>
        <v>822473</v>
      </c>
      <c r="B20501" t="s">
        <v>17522</v>
      </c>
      <c r="C20501" t="s">
        <v>33</v>
      </c>
      <c r="D20501" s="21" t="s">
        <v>34</v>
      </c>
      <c r="E20501" s="21" t="s">
        <v>35</v>
      </c>
      <c r="F20501">
        <v>11820026</v>
      </c>
      <c r="G20501" t="s">
        <v>9372</v>
      </c>
      <c r="H20501" s="21">
        <v>732.79</v>
      </c>
    </row>
    <row r="20502" spans="1:8" customFormat="1" x14ac:dyDescent="0.25">
      <c r="A20502" t="str">
        <f>"942969"</f>
        <v>942969</v>
      </c>
      <c r="B20502" t="s">
        <v>16172</v>
      </c>
      <c r="C20502" t="s">
        <v>40</v>
      </c>
      <c r="D20502" s="21" t="s">
        <v>34</v>
      </c>
      <c r="E20502" s="21" t="s">
        <v>254</v>
      </c>
      <c r="F20502">
        <v>8940326</v>
      </c>
      <c r="G20502" t="s">
        <v>659</v>
      </c>
      <c r="H20502" s="21">
        <v>732.79</v>
      </c>
    </row>
    <row r="20503" spans="1:8" customFormat="1" x14ac:dyDescent="0.25">
      <c r="A20503" t="str">
        <f>"7412705"</f>
        <v>7412705</v>
      </c>
      <c r="B20503" t="s">
        <v>17357</v>
      </c>
      <c r="C20503" t="s">
        <v>156</v>
      </c>
      <c r="D20503" s="21" t="s">
        <v>34</v>
      </c>
      <c r="E20503" s="21" t="s">
        <v>71</v>
      </c>
      <c r="F20503">
        <v>6670078</v>
      </c>
      <c r="G20503" t="s">
        <v>11329</v>
      </c>
      <c r="H20503" s="21">
        <v>732.67</v>
      </c>
    </row>
    <row r="20504" spans="1:8" customFormat="1" x14ac:dyDescent="0.25">
      <c r="A20504" t="str">
        <f>"5321778"</f>
        <v>5321778</v>
      </c>
      <c r="B20504" t="s">
        <v>12577</v>
      </c>
      <c r="C20504" t="s">
        <v>147</v>
      </c>
      <c r="D20504" s="21" t="s">
        <v>34</v>
      </c>
      <c r="E20504" s="21" t="s">
        <v>35</v>
      </c>
      <c r="F20504">
        <v>12530033</v>
      </c>
      <c r="G20504" t="s">
        <v>10046</v>
      </c>
      <c r="H20504" s="21">
        <v>732.67</v>
      </c>
    </row>
    <row r="20505" spans="1:8" customFormat="1" x14ac:dyDescent="0.25">
      <c r="A20505" t="str">
        <f>"6216028"</f>
        <v>6216028</v>
      </c>
      <c r="B20505" t="s">
        <v>17970</v>
      </c>
      <c r="C20505" t="s">
        <v>87</v>
      </c>
      <c r="D20505" s="21" t="s">
        <v>34</v>
      </c>
      <c r="E20505" s="21" t="s">
        <v>71</v>
      </c>
      <c r="F20505">
        <v>7620032</v>
      </c>
      <c r="G20505" t="s">
        <v>11181</v>
      </c>
      <c r="H20505" s="21">
        <v>732.67</v>
      </c>
    </row>
    <row r="20506" spans="1:8" customFormat="1" x14ac:dyDescent="0.25">
      <c r="A20506" t="str">
        <f>"7620878"</f>
        <v>7620878</v>
      </c>
      <c r="B20506" t="s">
        <v>17043</v>
      </c>
      <c r="C20506" t="s">
        <v>209</v>
      </c>
      <c r="D20506" s="21" t="s">
        <v>34</v>
      </c>
      <c r="E20506" s="21" t="s">
        <v>254</v>
      </c>
      <c r="F20506">
        <v>9760368</v>
      </c>
      <c r="G20506" t="s">
        <v>8267</v>
      </c>
      <c r="H20506" s="21">
        <v>732.67</v>
      </c>
    </row>
    <row r="20507" spans="1:8" customFormat="1" x14ac:dyDescent="0.25">
      <c r="A20507" t="str">
        <f>"6712234"</f>
        <v>6712234</v>
      </c>
      <c r="B20507" t="s">
        <v>15649</v>
      </c>
      <c r="C20507" t="s">
        <v>639</v>
      </c>
      <c r="D20507" s="21" t="s">
        <v>34</v>
      </c>
      <c r="E20507" s="21" t="s">
        <v>254</v>
      </c>
      <c r="F20507">
        <v>6670066</v>
      </c>
      <c r="G20507" t="s">
        <v>12245</v>
      </c>
      <c r="H20507" s="21">
        <v>732.67</v>
      </c>
    </row>
    <row r="20508" spans="1:8" customFormat="1" x14ac:dyDescent="0.25">
      <c r="A20508" t="str">
        <f>"9515049"</f>
        <v>9515049</v>
      </c>
      <c r="B20508" t="s">
        <v>16703</v>
      </c>
      <c r="C20508" t="s">
        <v>60</v>
      </c>
      <c r="D20508" s="21" t="s">
        <v>34</v>
      </c>
      <c r="E20508" s="21" t="s">
        <v>35</v>
      </c>
      <c r="F20508">
        <v>8951092</v>
      </c>
      <c r="G20508" t="s">
        <v>5801</v>
      </c>
      <c r="H20508" s="21">
        <v>732.67</v>
      </c>
    </row>
    <row r="20509" spans="1:8" customFormat="1" x14ac:dyDescent="0.25">
      <c r="A20509" t="str">
        <f>"615258"</f>
        <v>615258</v>
      </c>
      <c r="B20509" t="s">
        <v>2210</v>
      </c>
      <c r="C20509" t="s">
        <v>33</v>
      </c>
      <c r="D20509" s="21" t="s">
        <v>34</v>
      </c>
      <c r="E20509" s="21" t="s">
        <v>71</v>
      </c>
      <c r="F20509">
        <v>9610148</v>
      </c>
      <c r="G20509" t="s">
        <v>8163</v>
      </c>
      <c r="H20509" s="21">
        <v>732.67</v>
      </c>
    </row>
    <row r="20510" spans="1:8" customFormat="1" x14ac:dyDescent="0.25">
      <c r="A20510" t="str">
        <f>"496555"</f>
        <v>496555</v>
      </c>
      <c r="B20510" t="s">
        <v>16018</v>
      </c>
      <c r="C20510" t="s">
        <v>1605</v>
      </c>
      <c r="D20510" s="21" t="s">
        <v>34</v>
      </c>
      <c r="E20510" s="21" t="s">
        <v>254</v>
      </c>
      <c r="F20510">
        <v>12490032</v>
      </c>
      <c r="G20510" t="s">
        <v>6233</v>
      </c>
      <c r="H20510" s="21">
        <v>732.67</v>
      </c>
    </row>
    <row r="20511" spans="1:8" customFormat="1" x14ac:dyDescent="0.25">
      <c r="A20511" t="str">
        <f>"0111076"</f>
        <v>0111076</v>
      </c>
      <c r="B20511" t="s">
        <v>17471</v>
      </c>
      <c r="C20511" t="s">
        <v>62</v>
      </c>
      <c r="D20511" s="21" t="s">
        <v>34</v>
      </c>
      <c r="E20511" s="21" t="s">
        <v>35</v>
      </c>
      <c r="F20511">
        <v>1010069</v>
      </c>
      <c r="G20511" t="s">
        <v>1707</v>
      </c>
      <c r="H20511" s="21">
        <v>732.67</v>
      </c>
    </row>
    <row r="20512" spans="1:8" customFormat="1" x14ac:dyDescent="0.25">
      <c r="A20512" t="str">
        <f>"588404"</f>
        <v>588404</v>
      </c>
      <c r="B20512" t="s">
        <v>27607</v>
      </c>
      <c r="C20512" t="s">
        <v>664</v>
      </c>
      <c r="D20512" s="21" t="s">
        <v>34</v>
      </c>
      <c r="E20512" s="21" t="s">
        <v>71</v>
      </c>
      <c r="F20512">
        <v>2580076</v>
      </c>
      <c r="G20512" t="s">
        <v>3666</v>
      </c>
      <c r="H20512" s="21">
        <v>732.67</v>
      </c>
    </row>
    <row r="20513" spans="1:8" customFormat="1" x14ac:dyDescent="0.25">
      <c r="A20513" t="str">
        <f>"5914774"</f>
        <v>5914774</v>
      </c>
      <c r="B20513" t="s">
        <v>16387</v>
      </c>
      <c r="C20513" t="s">
        <v>547</v>
      </c>
      <c r="D20513" s="21" t="s">
        <v>34</v>
      </c>
      <c r="E20513" s="21" t="s">
        <v>35</v>
      </c>
      <c r="F20513">
        <v>8920031</v>
      </c>
      <c r="G20513" t="s">
        <v>552</v>
      </c>
      <c r="H20513" s="21">
        <v>732.67</v>
      </c>
    </row>
    <row r="20514" spans="1:8" customFormat="1" x14ac:dyDescent="0.25">
      <c r="A20514" t="str">
        <f>"8510152"</f>
        <v>8510152</v>
      </c>
      <c r="B20514" t="s">
        <v>17708</v>
      </c>
      <c r="C20514" t="s">
        <v>82</v>
      </c>
      <c r="D20514" s="21" t="s">
        <v>34</v>
      </c>
      <c r="E20514" s="21" t="s">
        <v>35</v>
      </c>
      <c r="F20514">
        <v>12850135</v>
      </c>
      <c r="G20514" t="s">
        <v>5201</v>
      </c>
      <c r="H20514" s="21">
        <v>732.67</v>
      </c>
    </row>
    <row r="20515" spans="1:8" customFormat="1" x14ac:dyDescent="0.25">
      <c r="A20515" t="str">
        <f>"3824188"</f>
        <v>3824188</v>
      </c>
      <c r="B20515" t="s">
        <v>1653</v>
      </c>
      <c r="C20515" t="s">
        <v>151</v>
      </c>
      <c r="D20515" s="21" t="s">
        <v>34</v>
      </c>
      <c r="E20515" s="21" t="s">
        <v>35</v>
      </c>
      <c r="F20515">
        <v>1380286</v>
      </c>
      <c r="G20515" t="s">
        <v>16669</v>
      </c>
      <c r="H20515" s="21">
        <v>732.67</v>
      </c>
    </row>
    <row r="20516" spans="1:8" customFormat="1" x14ac:dyDescent="0.25">
      <c r="A20516" t="str">
        <f>"5318384"</f>
        <v>5318384</v>
      </c>
      <c r="B20516" t="s">
        <v>2797</v>
      </c>
      <c r="C20516" t="s">
        <v>17154</v>
      </c>
      <c r="D20516" s="21" t="s">
        <v>34</v>
      </c>
      <c r="E20516" s="21" t="s">
        <v>254</v>
      </c>
      <c r="F20516">
        <v>1380275</v>
      </c>
      <c r="G20516" t="s">
        <v>8042</v>
      </c>
      <c r="H20516" s="21">
        <v>732.67</v>
      </c>
    </row>
    <row r="20517" spans="1:8" customFormat="1" x14ac:dyDescent="0.25">
      <c r="A20517" t="str">
        <f>"2917830"</f>
        <v>2917830</v>
      </c>
      <c r="B20517" t="s">
        <v>465</v>
      </c>
      <c r="C20517" t="s">
        <v>209</v>
      </c>
      <c r="D20517" s="21" t="s">
        <v>34</v>
      </c>
      <c r="E20517" s="21" t="s">
        <v>35</v>
      </c>
      <c r="F20517">
        <v>3290006</v>
      </c>
      <c r="G20517" t="s">
        <v>13009</v>
      </c>
      <c r="H20517" s="21">
        <v>732.67</v>
      </c>
    </row>
    <row r="20518" spans="1:8" customFormat="1" x14ac:dyDescent="0.25">
      <c r="A20518" t="str">
        <f>"424190"</f>
        <v>424190</v>
      </c>
      <c r="B20518" t="s">
        <v>16379</v>
      </c>
      <c r="C20518" t="s">
        <v>198</v>
      </c>
      <c r="D20518" s="21" t="s">
        <v>34</v>
      </c>
      <c r="E20518" s="21" t="s">
        <v>71</v>
      </c>
      <c r="F20518">
        <v>1420108</v>
      </c>
      <c r="G20518" t="s">
        <v>9177</v>
      </c>
      <c r="H20518" s="21">
        <v>732.67</v>
      </c>
    </row>
    <row r="20519" spans="1:8" customFormat="1" x14ac:dyDescent="0.25">
      <c r="A20519" t="str">
        <f>"6712291"</f>
        <v>6712291</v>
      </c>
      <c r="B20519" t="s">
        <v>18040</v>
      </c>
      <c r="C20519" t="s">
        <v>27608</v>
      </c>
      <c r="D20519" s="21" t="s">
        <v>34</v>
      </c>
      <c r="E20519" s="21" t="s">
        <v>71</v>
      </c>
      <c r="F20519">
        <v>6670041</v>
      </c>
      <c r="G20519" t="s">
        <v>1971</v>
      </c>
      <c r="H20519" s="21">
        <v>732.67</v>
      </c>
    </row>
    <row r="20520" spans="1:8" customFormat="1" x14ac:dyDescent="0.25">
      <c r="A20520" t="str">
        <f>"426058"</f>
        <v>426058</v>
      </c>
      <c r="B20520" t="s">
        <v>13294</v>
      </c>
      <c r="C20520" t="s">
        <v>40</v>
      </c>
      <c r="D20520" s="21" t="s">
        <v>34</v>
      </c>
      <c r="E20520" s="21" t="s">
        <v>254</v>
      </c>
      <c r="F20520">
        <v>1420144</v>
      </c>
      <c r="G20520" t="s">
        <v>9603</v>
      </c>
      <c r="H20520" s="21">
        <v>732.67</v>
      </c>
    </row>
    <row r="20521" spans="1:8" customFormat="1" x14ac:dyDescent="0.25">
      <c r="A20521" t="str">
        <f>"6019309"</f>
        <v>6019309</v>
      </c>
      <c r="B20521" t="s">
        <v>4959</v>
      </c>
      <c r="C20521" t="s">
        <v>412</v>
      </c>
      <c r="D20521" s="21" t="s">
        <v>34</v>
      </c>
      <c r="E20521" s="21" t="s">
        <v>35</v>
      </c>
      <c r="F20521">
        <v>7600161</v>
      </c>
      <c r="G20521" t="s">
        <v>6023</v>
      </c>
      <c r="H20521" s="21">
        <v>732.67</v>
      </c>
    </row>
    <row r="20522" spans="1:8" customFormat="1" x14ac:dyDescent="0.25">
      <c r="A20522" t="str">
        <f>"858909"</f>
        <v>858909</v>
      </c>
      <c r="B20522" t="s">
        <v>10314</v>
      </c>
      <c r="C20522" t="s">
        <v>2907</v>
      </c>
      <c r="D20522" s="21" t="s">
        <v>34</v>
      </c>
      <c r="E20522" s="21" t="s">
        <v>254</v>
      </c>
      <c r="F20522">
        <v>12850134</v>
      </c>
      <c r="G20522" t="s">
        <v>2359</v>
      </c>
      <c r="H20522" s="21">
        <v>732.67</v>
      </c>
    </row>
    <row r="20523" spans="1:8" customFormat="1" x14ac:dyDescent="0.25">
      <c r="A20523" t="str">
        <f>"6947228"</f>
        <v>6947228</v>
      </c>
      <c r="B20523" t="s">
        <v>7966</v>
      </c>
      <c r="C20523" t="s">
        <v>139</v>
      </c>
      <c r="D20523" s="21" t="s">
        <v>34</v>
      </c>
      <c r="E20523" s="21" t="s">
        <v>35</v>
      </c>
      <c r="F20523">
        <v>1690147</v>
      </c>
      <c r="G20523" t="s">
        <v>7245</v>
      </c>
      <c r="H20523" s="21">
        <v>732.67</v>
      </c>
    </row>
    <row r="20524" spans="1:8" customFormat="1" x14ac:dyDescent="0.25">
      <c r="A20524" t="str">
        <f>"705542"</f>
        <v>705542</v>
      </c>
      <c r="B20524" t="s">
        <v>16949</v>
      </c>
      <c r="C20524" t="s">
        <v>415</v>
      </c>
      <c r="D20524" s="21" t="s">
        <v>34</v>
      </c>
      <c r="E20524" s="21" t="s">
        <v>35</v>
      </c>
      <c r="F20524">
        <v>2700089</v>
      </c>
      <c r="G20524" t="s">
        <v>2570</v>
      </c>
      <c r="H20524" s="21">
        <v>732.67</v>
      </c>
    </row>
    <row r="20525" spans="1:8" customFormat="1" x14ac:dyDescent="0.25">
      <c r="A20525" t="str">
        <f>"2934423"</f>
        <v>2934423</v>
      </c>
      <c r="B20525" t="s">
        <v>15182</v>
      </c>
      <c r="C20525" t="s">
        <v>1853</v>
      </c>
      <c r="D20525" s="21" t="s">
        <v>34</v>
      </c>
      <c r="E20525" s="21" t="s">
        <v>71</v>
      </c>
      <c r="F20525">
        <v>3290249</v>
      </c>
      <c r="G20525" t="s">
        <v>7914</v>
      </c>
      <c r="H20525" s="21">
        <v>732.67</v>
      </c>
    </row>
    <row r="20526" spans="1:8" customFormat="1" x14ac:dyDescent="0.25">
      <c r="A20526" t="str">
        <f>"81400"</f>
        <v>81400</v>
      </c>
      <c r="B20526" t="s">
        <v>16509</v>
      </c>
      <c r="C20526" t="s">
        <v>576</v>
      </c>
      <c r="D20526" s="21" t="s">
        <v>34</v>
      </c>
      <c r="E20526" s="21" t="s">
        <v>35</v>
      </c>
      <c r="F20526">
        <v>11810008</v>
      </c>
      <c r="G20526" t="s">
        <v>8796</v>
      </c>
      <c r="H20526" s="21">
        <v>732.67</v>
      </c>
    </row>
    <row r="20527" spans="1:8" customFormat="1" x14ac:dyDescent="0.25">
      <c r="A20527" t="str">
        <f>"4919743"</f>
        <v>4919743</v>
      </c>
      <c r="B20527" t="s">
        <v>1074</v>
      </c>
      <c r="C20527" t="s">
        <v>187</v>
      </c>
      <c r="D20527" s="21" t="s">
        <v>34</v>
      </c>
      <c r="E20527" s="21" t="s">
        <v>71</v>
      </c>
      <c r="F20527">
        <v>12490120</v>
      </c>
      <c r="G20527" t="s">
        <v>2316</v>
      </c>
      <c r="H20527" s="21">
        <v>732.67</v>
      </c>
    </row>
    <row r="20528" spans="1:8" customFormat="1" x14ac:dyDescent="0.25">
      <c r="A20528" t="str">
        <f>"951005"</f>
        <v>951005</v>
      </c>
      <c r="B20528" t="s">
        <v>15215</v>
      </c>
      <c r="C20528" t="s">
        <v>1119</v>
      </c>
      <c r="D20528" s="21" t="s">
        <v>34</v>
      </c>
      <c r="E20528" s="21" t="s">
        <v>71</v>
      </c>
      <c r="F20528">
        <v>8950479</v>
      </c>
      <c r="G20528" t="s">
        <v>728</v>
      </c>
      <c r="H20528" s="21">
        <v>732.67</v>
      </c>
    </row>
    <row r="20529" spans="1:8" customFormat="1" x14ac:dyDescent="0.25">
      <c r="A20529" t="str">
        <f>"5923662"</f>
        <v>5923662</v>
      </c>
      <c r="B20529" t="s">
        <v>15771</v>
      </c>
      <c r="C20529" t="s">
        <v>236</v>
      </c>
      <c r="D20529" s="21" t="s">
        <v>34</v>
      </c>
      <c r="E20529" s="21" t="s">
        <v>71</v>
      </c>
      <c r="F20529">
        <v>7590361</v>
      </c>
      <c r="G20529" t="s">
        <v>3071</v>
      </c>
      <c r="H20529" s="21">
        <v>732.67</v>
      </c>
    </row>
    <row r="20530" spans="1:8" customFormat="1" x14ac:dyDescent="0.25">
      <c r="A20530" t="str">
        <f>"832496"</f>
        <v>832496</v>
      </c>
      <c r="B20530" t="s">
        <v>208</v>
      </c>
      <c r="C20530" t="s">
        <v>3355</v>
      </c>
      <c r="D20530" s="21" t="s">
        <v>34</v>
      </c>
      <c r="E20530" s="21" t="s">
        <v>35</v>
      </c>
      <c r="F20530">
        <v>13830062</v>
      </c>
      <c r="G20530" t="s">
        <v>9074</v>
      </c>
      <c r="H20530" s="21">
        <v>732.42</v>
      </c>
    </row>
    <row r="20531" spans="1:8" customFormat="1" x14ac:dyDescent="0.25">
      <c r="A20531" t="str">
        <f>"5963026"</f>
        <v>5963026</v>
      </c>
      <c r="B20531" t="s">
        <v>16835</v>
      </c>
      <c r="C20531" t="s">
        <v>656</v>
      </c>
      <c r="D20531" s="21" t="s">
        <v>34</v>
      </c>
      <c r="E20531" s="21" t="s">
        <v>35</v>
      </c>
      <c r="F20531">
        <v>7590419</v>
      </c>
      <c r="G20531" t="s">
        <v>8051</v>
      </c>
      <c r="H20531" s="21">
        <v>732.42</v>
      </c>
    </row>
    <row r="20532" spans="1:8" customFormat="1" x14ac:dyDescent="0.25">
      <c r="A20532" t="str">
        <f>"4423917"</f>
        <v>4423917</v>
      </c>
      <c r="B20532" t="s">
        <v>13756</v>
      </c>
      <c r="C20532" t="s">
        <v>198</v>
      </c>
      <c r="D20532" s="21" t="s">
        <v>34</v>
      </c>
      <c r="E20532" s="21" t="s">
        <v>71</v>
      </c>
      <c r="F20532">
        <v>12440004</v>
      </c>
      <c r="G20532" t="s">
        <v>26530</v>
      </c>
      <c r="H20532" s="21">
        <v>732.42</v>
      </c>
    </row>
    <row r="20533" spans="1:8" customFormat="1" x14ac:dyDescent="0.25">
      <c r="A20533" t="str">
        <f>"4434708"</f>
        <v>4434708</v>
      </c>
      <c r="B20533" t="s">
        <v>16818</v>
      </c>
      <c r="C20533" t="s">
        <v>263</v>
      </c>
      <c r="D20533" s="21" t="s">
        <v>34</v>
      </c>
      <c r="E20533" s="21" t="s">
        <v>71</v>
      </c>
      <c r="F20533">
        <v>12440136</v>
      </c>
      <c r="G20533" t="s">
        <v>3271</v>
      </c>
      <c r="H20533" s="21">
        <v>732.17</v>
      </c>
    </row>
    <row r="20534" spans="1:8" customFormat="1" x14ac:dyDescent="0.25">
      <c r="A20534" t="str">
        <f>"8010280"</f>
        <v>8010280</v>
      </c>
      <c r="B20534" t="s">
        <v>2577</v>
      </c>
      <c r="C20534" t="s">
        <v>206</v>
      </c>
      <c r="D20534" s="21" t="s">
        <v>34</v>
      </c>
      <c r="E20534" s="21" t="s">
        <v>35</v>
      </c>
      <c r="F20534">
        <v>7800004</v>
      </c>
      <c r="G20534" t="s">
        <v>748</v>
      </c>
      <c r="H20534" s="21">
        <v>732.17</v>
      </c>
    </row>
    <row r="20535" spans="1:8" customFormat="1" x14ac:dyDescent="0.25">
      <c r="A20535" t="str">
        <f>"5324541"</f>
        <v>5324541</v>
      </c>
      <c r="B20535" t="s">
        <v>16747</v>
      </c>
      <c r="C20535" t="s">
        <v>269</v>
      </c>
      <c r="D20535" s="21" t="s">
        <v>34</v>
      </c>
      <c r="E20535" s="21" t="s">
        <v>35</v>
      </c>
      <c r="F20535">
        <v>12530093</v>
      </c>
      <c r="G20535" t="s">
        <v>7865</v>
      </c>
      <c r="H20535" s="21">
        <v>732.17</v>
      </c>
    </row>
    <row r="20536" spans="1:8" customFormat="1" x14ac:dyDescent="0.25">
      <c r="A20536" t="str">
        <f>"2916104"</f>
        <v>2916104</v>
      </c>
      <c r="B20536" t="s">
        <v>3167</v>
      </c>
      <c r="C20536" t="s">
        <v>10500</v>
      </c>
      <c r="D20536" s="21" t="s">
        <v>34</v>
      </c>
      <c r="E20536" s="21" t="s">
        <v>254</v>
      </c>
      <c r="F20536">
        <v>3290031</v>
      </c>
      <c r="G20536" t="s">
        <v>8207</v>
      </c>
      <c r="H20536" s="21">
        <v>732.17</v>
      </c>
    </row>
    <row r="20537" spans="1:8" customFormat="1" x14ac:dyDescent="0.25">
      <c r="A20537" t="str">
        <f>"448382"</f>
        <v>448382</v>
      </c>
      <c r="B20537" t="s">
        <v>14027</v>
      </c>
      <c r="C20537" t="s">
        <v>119</v>
      </c>
      <c r="D20537" s="21" t="s">
        <v>34</v>
      </c>
      <c r="E20537" s="21" t="s">
        <v>35</v>
      </c>
      <c r="F20537">
        <v>12440266</v>
      </c>
      <c r="G20537" t="s">
        <v>924</v>
      </c>
      <c r="H20537" s="21">
        <v>732.17</v>
      </c>
    </row>
    <row r="20538" spans="1:8" customFormat="1" x14ac:dyDescent="0.25">
      <c r="A20538" t="str">
        <f>"3722446"</f>
        <v>3722446</v>
      </c>
      <c r="B20538" t="s">
        <v>15475</v>
      </c>
      <c r="C20538" t="s">
        <v>169</v>
      </c>
      <c r="D20538" s="21" t="s">
        <v>34</v>
      </c>
      <c r="E20538" s="21" t="s">
        <v>35</v>
      </c>
      <c r="F20538">
        <v>4370289</v>
      </c>
      <c r="G20538" t="s">
        <v>7887</v>
      </c>
      <c r="H20538" s="21">
        <v>732.17</v>
      </c>
    </row>
    <row r="20539" spans="1:8" customFormat="1" x14ac:dyDescent="0.25">
      <c r="A20539" t="str">
        <f>"7629394"</f>
        <v>7629394</v>
      </c>
      <c r="B20539" t="s">
        <v>3689</v>
      </c>
      <c r="C20539" t="s">
        <v>209</v>
      </c>
      <c r="D20539" s="21" t="s">
        <v>34</v>
      </c>
      <c r="E20539" s="21" t="s">
        <v>71</v>
      </c>
      <c r="F20539">
        <v>9760230</v>
      </c>
      <c r="G20539" t="s">
        <v>12511</v>
      </c>
      <c r="H20539" s="21">
        <v>732.17</v>
      </c>
    </row>
    <row r="20540" spans="1:8" customFormat="1" x14ac:dyDescent="0.25">
      <c r="A20540" t="str">
        <f>"4447068"</f>
        <v>4447068</v>
      </c>
      <c r="B20540" t="s">
        <v>16308</v>
      </c>
      <c r="C20540" t="s">
        <v>598</v>
      </c>
      <c r="D20540" s="21" t="s">
        <v>34</v>
      </c>
      <c r="E20540" s="21" t="s">
        <v>254</v>
      </c>
      <c r="F20540">
        <v>12440073</v>
      </c>
      <c r="G20540" t="s">
        <v>3492</v>
      </c>
      <c r="H20540" s="21">
        <v>732.17</v>
      </c>
    </row>
    <row r="20541" spans="1:8" customFormat="1" x14ac:dyDescent="0.25">
      <c r="A20541" t="str">
        <f>"3519277"</f>
        <v>3519277</v>
      </c>
      <c r="B20541" t="s">
        <v>1802</v>
      </c>
      <c r="C20541" t="s">
        <v>1605</v>
      </c>
      <c r="D20541" s="21" t="s">
        <v>34</v>
      </c>
      <c r="E20541" s="21" t="s">
        <v>71</v>
      </c>
      <c r="F20541">
        <v>3350212</v>
      </c>
      <c r="G20541" t="s">
        <v>5154</v>
      </c>
      <c r="H20541" s="21">
        <v>732.17</v>
      </c>
    </row>
    <row r="20542" spans="1:8" customFormat="1" x14ac:dyDescent="0.25">
      <c r="A20542" t="str">
        <f>"758578"</f>
        <v>758578</v>
      </c>
      <c r="B20542" t="s">
        <v>17065</v>
      </c>
      <c r="C20542" t="s">
        <v>462</v>
      </c>
      <c r="D20542" s="21" t="s">
        <v>34</v>
      </c>
      <c r="E20542" s="21" t="s">
        <v>71</v>
      </c>
      <c r="F20542">
        <v>8750007</v>
      </c>
      <c r="G20542" t="s">
        <v>775</v>
      </c>
      <c r="H20542" s="21">
        <v>732.17</v>
      </c>
    </row>
    <row r="20543" spans="1:8" customFormat="1" x14ac:dyDescent="0.25">
      <c r="A20543" t="str">
        <f>"5931801"</f>
        <v>5931801</v>
      </c>
      <c r="B20543" t="s">
        <v>14905</v>
      </c>
      <c r="C20543" t="s">
        <v>267</v>
      </c>
      <c r="D20543" s="21" t="s">
        <v>34</v>
      </c>
      <c r="E20543" s="21" t="s">
        <v>254</v>
      </c>
      <c r="F20543">
        <v>7590281</v>
      </c>
      <c r="G20543" t="s">
        <v>7165</v>
      </c>
      <c r="H20543" s="21">
        <v>732.17</v>
      </c>
    </row>
    <row r="20544" spans="1:8" customFormat="1" x14ac:dyDescent="0.25">
      <c r="A20544" t="str">
        <f>"7620884"</f>
        <v>7620884</v>
      </c>
      <c r="B20544" t="s">
        <v>15185</v>
      </c>
      <c r="C20544" t="s">
        <v>55</v>
      </c>
      <c r="D20544" s="21" t="s">
        <v>34</v>
      </c>
      <c r="E20544" s="21" t="s">
        <v>71</v>
      </c>
      <c r="F20544">
        <v>9760425</v>
      </c>
      <c r="G20544" t="s">
        <v>5012</v>
      </c>
      <c r="H20544" s="21">
        <v>732.17</v>
      </c>
    </row>
    <row r="20545" spans="1:8" customFormat="1" x14ac:dyDescent="0.25">
      <c r="A20545" t="str">
        <f>"609583"</f>
        <v>609583</v>
      </c>
      <c r="B20545" t="s">
        <v>9494</v>
      </c>
      <c r="C20545" t="s">
        <v>124</v>
      </c>
      <c r="D20545" s="21" t="s">
        <v>34</v>
      </c>
      <c r="E20545" s="21" t="s">
        <v>71</v>
      </c>
      <c r="F20545">
        <v>7600027</v>
      </c>
      <c r="G20545" t="s">
        <v>2137</v>
      </c>
      <c r="H20545" s="21">
        <v>732.17</v>
      </c>
    </row>
    <row r="20546" spans="1:8" customFormat="1" x14ac:dyDescent="0.25">
      <c r="A20546" t="str">
        <f>"2812103"</f>
        <v>2812103</v>
      </c>
      <c r="B20546" t="s">
        <v>17758</v>
      </c>
      <c r="C20546" t="s">
        <v>209</v>
      </c>
      <c r="D20546" s="21" t="s">
        <v>34</v>
      </c>
      <c r="E20546" s="21" t="s">
        <v>35</v>
      </c>
      <c r="F20546">
        <v>4280632</v>
      </c>
      <c r="G20546" t="s">
        <v>6825</v>
      </c>
      <c r="H20546" s="21">
        <v>732.17</v>
      </c>
    </row>
    <row r="20547" spans="1:8" customFormat="1" x14ac:dyDescent="0.25">
      <c r="A20547" t="str">
        <f>"601997"</f>
        <v>601997</v>
      </c>
      <c r="B20547" t="s">
        <v>16859</v>
      </c>
      <c r="C20547" t="s">
        <v>267</v>
      </c>
      <c r="D20547" s="21" t="s">
        <v>34</v>
      </c>
      <c r="E20547" s="21" t="s">
        <v>254</v>
      </c>
      <c r="F20547">
        <v>7600015</v>
      </c>
      <c r="G20547" t="s">
        <v>8343</v>
      </c>
      <c r="H20547" s="21">
        <v>732.17</v>
      </c>
    </row>
    <row r="20548" spans="1:8" customFormat="1" x14ac:dyDescent="0.25">
      <c r="A20548" t="str">
        <f>"8315043"</f>
        <v>8315043</v>
      </c>
      <c r="B20548" t="s">
        <v>19664</v>
      </c>
      <c r="C20548" t="s">
        <v>988</v>
      </c>
      <c r="D20548" s="21" t="s">
        <v>34</v>
      </c>
      <c r="E20548" s="21" t="s">
        <v>35</v>
      </c>
      <c r="F20548">
        <v>13830085</v>
      </c>
      <c r="G20548" t="s">
        <v>478</v>
      </c>
      <c r="H20548" s="21">
        <v>732.17</v>
      </c>
    </row>
    <row r="20549" spans="1:8" customFormat="1" x14ac:dyDescent="0.25">
      <c r="A20549" t="str">
        <f>"226103"</f>
        <v>226103</v>
      </c>
      <c r="B20549" t="s">
        <v>6993</v>
      </c>
      <c r="C20549" t="s">
        <v>547</v>
      </c>
      <c r="D20549" s="21" t="s">
        <v>34</v>
      </c>
      <c r="E20549" s="21" t="s">
        <v>254</v>
      </c>
      <c r="F20549">
        <v>3220037</v>
      </c>
      <c r="G20549" t="s">
        <v>13306</v>
      </c>
      <c r="H20549" s="21">
        <v>732.17</v>
      </c>
    </row>
    <row r="20550" spans="1:8" customFormat="1" x14ac:dyDescent="0.25">
      <c r="A20550" t="str">
        <f>"4511325"</f>
        <v>4511325</v>
      </c>
      <c r="B20550" t="s">
        <v>16245</v>
      </c>
      <c r="C20550" t="s">
        <v>5966</v>
      </c>
      <c r="D20550" s="21" t="s">
        <v>34</v>
      </c>
      <c r="E20550" s="21" t="s">
        <v>71</v>
      </c>
      <c r="F20550">
        <v>4450429</v>
      </c>
      <c r="G20550" t="s">
        <v>15149</v>
      </c>
      <c r="H20550" s="21">
        <v>732.17</v>
      </c>
    </row>
    <row r="20551" spans="1:8" customFormat="1" x14ac:dyDescent="0.25">
      <c r="A20551" t="str">
        <f>"367655"</f>
        <v>367655</v>
      </c>
      <c r="B20551" t="s">
        <v>8455</v>
      </c>
      <c r="C20551" t="s">
        <v>33</v>
      </c>
      <c r="D20551" s="21" t="s">
        <v>34</v>
      </c>
      <c r="E20551" s="21" t="s">
        <v>35</v>
      </c>
      <c r="F20551">
        <v>4360315</v>
      </c>
      <c r="G20551" t="s">
        <v>6888</v>
      </c>
      <c r="H20551" s="21">
        <v>732.17</v>
      </c>
    </row>
    <row r="20552" spans="1:8" customFormat="1" x14ac:dyDescent="0.25">
      <c r="A20552" t="str">
        <f>"5018919"</f>
        <v>5018919</v>
      </c>
      <c r="B20552" t="s">
        <v>18825</v>
      </c>
      <c r="C20552" t="s">
        <v>60</v>
      </c>
      <c r="D20552" s="21" t="s">
        <v>34</v>
      </c>
      <c r="E20552" s="21" t="s">
        <v>35</v>
      </c>
      <c r="F20552">
        <v>9500088</v>
      </c>
      <c r="G20552" t="s">
        <v>15949</v>
      </c>
      <c r="H20552" s="21">
        <v>732.17</v>
      </c>
    </row>
    <row r="20553" spans="1:8" customFormat="1" x14ac:dyDescent="0.25">
      <c r="A20553" t="str">
        <f>"2937832"</f>
        <v>2937832</v>
      </c>
      <c r="B20553" t="s">
        <v>12448</v>
      </c>
      <c r="C20553" t="s">
        <v>33</v>
      </c>
      <c r="D20553" s="21" t="s">
        <v>34</v>
      </c>
      <c r="E20553" s="21" t="s">
        <v>35</v>
      </c>
      <c r="F20553">
        <v>3290290</v>
      </c>
      <c r="G20553" t="s">
        <v>27072</v>
      </c>
      <c r="H20553" s="21">
        <v>732.17</v>
      </c>
    </row>
    <row r="20554" spans="1:8" customFormat="1" x14ac:dyDescent="0.25">
      <c r="A20554" t="str">
        <f>"8814395"</f>
        <v>8814395</v>
      </c>
      <c r="B20554" t="s">
        <v>15363</v>
      </c>
      <c r="C20554" t="s">
        <v>87</v>
      </c>
      <c r="D20554" s="21" t="s">
        <v>34</v>
      </c>
      <c r="E20554" s="21" t="s">
        <v>71</v>
      </c>
      <c r="F20554">
        <v>6880073</v>
      </c>
      <c r="G20554" t="s">
        <v>6648</v>
      </c>
      <c r="H20554" s="21">
        <v>732.17</v>
      </c>
    </row>
    <row r="20555" spans="1:8" customFormat="1" x14ac:dyDescent="0.25">
      <c r="A20555" t="str">
        <f>"7729991"</f>
        <v>7729991</v>
      </c>
      <c r="B20555" t="s">
        <v>17135</v>
      </c>
      <c r="C20555" t="s">
        <v>17136</v>
      </c>
      <c r="D20555" s="21" t="s">
        <v>34</v>
      </c>
      <c r="E20555" s="21" t="s">
        <v>35</v>
      </c>
      <c r="F20555">
        <v>8770408</v>
      </c>
      <c r="G20555" t="s">
        <v>212</v>
      </c>
      <c r="H20555" s="21">
        <v>732.17</v>
      </c>
    </row>
    <row r="20556" spans="1:8" customFormat="1" x14ac:dyDescent="0.25">
      <c r="A20556" t="str">
        <f>"229665"</f>
        <v>229665</v>
      </c>
      <c r="B20556" t="s">
        <v>13926</v>
      </c>
      <c r="C20556" t="s">
        <v>209</v>
      </c>
      <c r="D20556" s="21" t="s">
        <v>34</v>
      </c>
      <c r="E20556" s="21" t="s">
        <v>71</v>
      </c>
      <c r="F20556">
        <v>3220038</v>
      </c>
      <c r="G20556" t="s">
        <v>27039</v>
      </c>
      <c r="H20556" s="21">
        <v>732.17</v>
      </c>
    </row>
    <row r="20557" spans="1:8" customFormat="1" x14ac:dyDescent="0.25">
      <c r="A20557" t="str">
        <f>"404832"</f>
        <v>404832</v>
      </c>
      <c r="B20557" t="s">
        <v>16944</v>
      </c>
      <c r="C20557" t="s">
        <v>40</v>
      </c>
      <c r="D20557" s="21" t="s">
        <v>34</v>
      </c>
      <c r="E20557" s="21" t="s">
        <v>254</v>
      </c>
      <c r="F20557">
        <v>10400010</v>
      </c>
      <c r="G20557" t="s">
        <v>2446</v>
      </c>
      <c r="H20557" s="21">
        <v>732.17</v>
      </c>
    </row>
    <row r="20558" spans="1:8" customFormat="1" x14ac:dyDescent="0.25">
      <c r="A20558" t="str">
        <f>"021290"</f>
        <v>021290</v>
      </c>
      <c r="B20558" t="s">
        <v>14752</v>
      </c>
      <c r="C20558" t="s">
        <v>209</v>
      </c>
      <c r="D20558" s="21" t="s">
        <v>34</v>
      </c>
      <c r="E20558" s="21" t="s">
        <v>71</v>
      </c>
      <c r="F20558">
        <v>7020080</v>
      </c>
      <c r="G20558" t="s">
        <v>5600</v>
      </c>
      <c r="H20558" s="21">
        <v>732.17</v>
      </c>
    </row>
    <row r="20559" spans="1:8" customFormat="1" x14ac:dyDescent="0.25">
      <c r="A20559" t="str">
        <f>"7870336"</f>
        <v>7870336</v>
      </c>
      <c r="B20559" t="s">
        <v>2645</v>
      </c>
      <c r="C20559" t="s">
        <v>139</v>
      </c>
      <c r="D20559" s="21" t="s">
        <v>34</v>
      </c>
      <c r="E20559" s="21" t="s">
        <v>35</v>
      </c>
      <c r="F20559">
        <v>8780886</v>
      </c>
      <c r="G20559" t="s">
        <v>3161</v>
      </c>
      <c r="H20559" s="21">
        <v>732.04</v>
      </c>
    </row>
    <row r="20560" spans="1:8" customFormat="1" x14ac:dyDescent="0.25">
      <c r="A20560" t="str">
        <f>"9241323"</f>
        <v>9241323</v>
      </c>
      <c r="B20560" t="s">
        <v>17447</v>
      </c>
      <c r="C20560" t="s">
        <v>55</v>
      </c>
      <c r="D20560" s="21" t="s">
        <v>34</v>
      </c>
      <c r="E20560" s="21" t="s">
        <v>71</v>
      </c>
      <c r="F20560">
        <v>8920503</v>
      </c>
      <c r="G20560" t="s">
        <v>9047</v>
      </c>
      <c r="H20560" s="21">
        <v>731.79</v>
      </c>
    </row>
    <row r="20561" spans="1:8" customFormat="1" x14ac:dyDescent="0.25">
      <c r="A20561" t="str">
        <f>"1414727"</f>
        <v>1414727</v>
      </c>
      <c r="B20561" t="s">
        <v>9256</v>
      </c>
      <c r="C20561" t="s">
        <v>462</v>
      </c>
      <c r="D20561" s="21" t="s">
        <v>34</v>
      </c>
      <c r="E20561" s="21" t="s">
        <v>35</v>
      </c>
      <c r="F20561">
        <v>9140235</v>
      </c>
      <c r="G20561" t="s">
        <v>165</v>
      </c>
      <c r="H20561" s="21">
        <v>731.79</v>
      </c>
    </row>
    <row r="20562" spans="1:8" customFormat="1" x14ac:dyDescent="0.25">
      <c r="A20562" t="str">
        <f>"624330"</f>
        <v>624330</v>
      </c>
      <c r="B20562" t="s">
        <v>16386</v>
      </c>
      <c r="C20562" t="s">
        <v>3522</v>
      </c>
      <c r="D20562" s="21" t="s">
        <v>34</v>
      </c>
      <c r="E20562" s="21" t="s">
        <v>71</v>
      </c>
      <c r="F20562">
        <v>7620100</v>
      </c>
      <c r="G20562" t="s">
        <v>145</v>
      </c>
      <c r="H20562" s="21">
        <v>731.67</v>
      </c>
    </row>
    <row r="20563" spans="1:8" customFormat="1" x14ac:dyDescent="0.25">
      <c r="A20563" t="str">
        <f>"783703"</f>
        <v>783703</v>
      </c>
      <c r="B20563" t="s">
        <v>4505</v>
      </c>
      <c r="C20563" t="s">
        <v>825</v>
      </c>
      <c r="D20563" s="21" t="s">
        <v>34</v>
      </c>
      <c r="E20563" s="21" t="s">
        <v>1089</v>
      </c>
      <c r="F20563">
        <v>8780078</v>
      </c>
      <c r="G20563" t="s">
        <v>229</v>
      </c>
      <c r="H20563" s="21">
        <v>731.67</v>
      </c>
    </row>
    <row r="20564" spans="1:8" customFormat="1" x14ac:dyDescent="0.25">
      <c r="A20564" t="str">
        <f>"5915121"</f>
        <v>5915121</v>
      </c>
      <c r="B20564" t="s">
        <v>16433</v>
      </c>
      <c r="C20564" t="s">
        <v>2958</v>
      </c>
      <c r="D20564" s="21" t="s">
        <v>34</v>
      </c>
      <c r="E20564" s="21" t="s">
        <v>1089</v>
      </c>
      <c r="F20564">
        <v>7590011</v>
      </c>
      <c r="G20564" t="s">
        <v>2147</v>
      </c>
      <c r="H20564" s="21">
        <v>731.67</v>
      </c>
    </row>
    <row r="20565" spans="1:8" customFormat="1" x14ac:dyDescent="0.25">
      <c r="A20565" t="str">
        <f>"6941908"</f>
        <v>6941908</v>
      </c>
      <c r="B20565" t="s">
        <v>17666</v>
      </c>
      <c r="C20565" t="s">
        <v>233</v>
      </c>
      <c r="D20565" s="21" t="s">
        <v>34</v>
      </c>
      <c r="E20565" s="21" t="s">
        <v>71</v>
      </c>
      <c r="F20565">
        <v>1690206</v>
      </c>
      <c r="G20565" t="s">
        <v>17667</v>
      </c>
      <c r="H20565" s="21">
        <v>731.67</v>
      </c>
    </row>
    <row r="20566" spans="1:8" customFormat="1" x14ac:dyDescent="0.25">
      <c r="A20566" t="str">
        <f>"9527211"</f>
        <v>9527211</v>
      </c>
      <c r="B20566" t="s">
        <v>14393</v>
      </c>
      <c r="C20566" t="s">
        <v>187</v>
      </c>
      <c r="D20566" s="21" t="s">
        <v>34</v>
      </c>
      <c r="E20566" s="21" t="s">
        <v>71</v>
      </c>
      <c r="F20566">
        <v>8950103</v>
      </c>
      <c r="G20566" t="s">
        <v>440</v>
      </c>
      <c r="H20566" s="21">
        <v>731.67</v>
      </c>
    </row>
    <row r="20567" spans="1:8" customFormat="1" x14ac:dyDescent="0.25">
      <c r="A20567" t="str">
        <f>"717253"</f>
        <v>717253</v>
      </c>
      <c r="B20567" t="s">
        <v>10405</v>
      </c>
      <c r="C20567" t="s">
        <v>198</v>
      </c>
      <c r="D20567" s="21" t="s">
        <v>34</v>
      </c>
      <c r="E20567" s="21" t="s">
        <v>71</v>
      </c>
      <c r="F20567">
        <v>7590089</v>
      </c>
      <c r="G20567" t="s">
        <v>1418</v>
      </c>
      <c r="H20567" s="21">
        <v>731.67</v>
      </c>
    </row>
    <row r="20568" spans="1:8" customFormat="1" x14ac:dyDescent="0.25">
      <c r="A20568" t="str">
        <f>"2930506"</f>
        <v>2930506</v>
      </c>
      <c r="B20568" t="s">
        <v>16310</v>
      </c>
      <c r="C20568" t="s">
        <v>55</v>
      </c>
      <c r="D20568" s="21" t="s">
        <v>34</v>
      </c>
      <c r="E20568" s="21" t="s">
        <v>35</v>
      </c>
      <c r="F20568">
        <v>3290228</v>
      </c>
      <c r="G20568" t="s">
        <v>8738</v>
      </c>
      <c r="H20568" s="21">
        <v>731.67</v>
      </c>
    </row>
    <row r="20569" spans="1:8" customFormat="1" x14ac:dyDescent="0.25">
      <c r="A20569" t="str">
        <f>"7712015"</f>
        <v>7712015</v>
      </c>
      <c r="B20569" t="s">
        <v>3427</v>
      </c>
      <c r="C20569" t="s">
        <v>750</v>
      </c>
      <c r="D20569" s="21" t="s">
        <v>34</v>
      </c>
      <c r="E20569" s="21" t="s">
        <v>1089</v>
      </c>
      <c r="F20569">
        <v>9270047</v>
      </c>
      <c r="G20569" t="s">
        <v>4420</v>
      </c>
      <c r="H20569" s="21">
        <v>731.67</v>
      </c>
    </row>
    <row r="20570" spans="1:8" customFormat="1" x14ac:dyDescent="0.25">
      <c r="A20570" t="str">
        <f>"644399"</f>
        <v>644399</v>
      </c>
      <c r="B20570" t="s">
        <v>16455</v>
      </c>
      <c r="C20570" t="s">
        <v>40</v>
      </c>
      <c r="D20570" s="21" t="s">
        <v>34</v>
      </c>
      <c r="E20570" s="21" t="s">
        <v>71</v>
      </c>
      <c r="F20570">
        <v>10640010</v>
      </c>
      <c r="G20570" t="s">
        <v>9410</v>
      </c>
      <c r="H20570" s="21">
        <v>731.67</v>
      </c>
    </row>
    <row r="20571" spans="1:8" customFormat="1" x14ac:dyDescent="0.25">
      <c r="A20571" t="str">
        <f>"855999"</f>
        <v>855999</v>
      </c>
      <c r="B20571" t="s">
        <v>7379</v>
      </c>
      <c r="C20571" t="s">
        <v>2479</v>
      </c>
      <c r="D20571" s="21" t="s">
        <v>34</v>
      </c>
      <c r="E20571" s="21" t="s">
        <v>254</v>
      </c>
      <c r="F20571">
        <v>12850148</v>
      </c>
      <c r="G20571" t="s">
        <v>2380</v>
      </c>
      <c r="H20571" s="21">
        <v>731.67</v>
      </c>
    </row>
    <row r="20572" spans="1:8" customFormat="1" x14ac:dyDescent="0.25">
      <c r="A20572" t="str">
        <f>"5013991"</f>
        <v>5013991</v>
      </c>
      <c r="B20572" t="s">
        <v>15436</v>
      </c>
      <c r="C20572" t="s">
        <v>415</v>
      </c>
      <c r="D20572" s="21" t="s">
        <v>34</v>
      </c>
      <c r="E20572" s="21" t="s">
        <v>254</v>
      </c>
      <c r="F20572">
        <v>9500160</v>
      </c>
      <c r="G20572" t="s">
        <v>11418</v>
      </c>
      <c r="H20572" s="21">
        <v>731.67</v>
      </c>
    </row>
    <row r="20573" spans="1:8" customFormat="1" x14ac:dyDescent="0.25">
      <c r="A20573" t="str">
        <f>"599160"</f>
        <v>599160</v>
      </c>
      <c r="B20573" t="s">
        <v>15903</v>
      </c>
      <c r="C20573" t="s">
        <v>40</v>
      </c>
      <c r="D20573" s="21" t="s">
        <v>34</v>
      </c>
      <c r="E20573" s="21" t="s">
        <v>254</v>
      </c>
      <c r="F20573">
        <v>7590164</v>
      </c>
      <c r="G20573" t="s">
        <v>2451</v>
      </c>
      <c r="H20573" s="21">
        <v>731.67</v>
      </c>
    </row>
    <row r="20574" spans="1:8" customFormat="1" x14ac:dyDescent="0.25">
      <c r="A20574" t="str">
        <f>"5617122"</f>
        <v>5617122</v>
      </c>
      <c r="B20574" t="s">
        <v>16847</v>
      </c>
      <c r="C20574" t="s">
        <v>1025</v>
      </c>
      <c r="D20574" s="21" t="s">
        <v>34</v>
      </c>
      <c r="E20574" s="21" t="s">
        <v>35</v>
      </c>
      <c r="F20574">
        <v>3560050</v>
      </c>
      <c r="G20574" t="s">
        <v>5322</v>
      </c>
      <c r="H20574" s="21">
        <v>731.67</v>
      </c>
    </row>
    <row r="20575" spans="1:8" customFormat="1" x14ac:dyDescent="0.25">
      <c r="A20575" t="str">
        <f>"5018496"</f>
        <v>5018496</v>
      </c>
      <c r="B20575" t="s">
        <v>3158</v>
      </c>
      <c r="C20575" t="s">
        <v>1025</v>
      </c>
      <c r="D20575" s="21" t="s">
        <v>34</v>
      </c>
      <c r="E20575" s="21" t="s">
        <v>71</v>
      </c>
      <c r="F20575">
        <v>9500030</v>
      </c>
      <c r="G20575" t="s">
        <v>2166</v>
      </c>
      <c r="H20575" s="21">
        <v>731.67</v>
      </c>
    </row>
    <row r="20576" spans="1:8" customFormat="1" x14ac:dyDescent="0.25">
      <c r="A20576" t="str">
        <f>"852408"</f>
        <v>852408</v>
      </c>
      <c r="B20576" t="s">
        <v>4133</v>
      </c>
      <c r="C20576" t="s">
        <v>598</v>
      </c>
      <c r="D20576" s="21" t="s">
        <v>34</v>
      </c>
      <c r="E20576" s="21" t="s">
        <v>1089</v>
      </c>
      <c r="F20576">
        <v>10170042</v>
      </c>
      <c r="G20576" t="s">
        <v>5014</v>
      </c>
      <c r="H20576" s="21">
        <v>731.67</v>
      </c>
    </row>
    <row r="20577" spans="1:8" customFormat="1" x14ac:dyDescent="0.25">
      <c r="A20577" t="str">
        <f>"5961067"</f>
        <v>5961067</v>
      </c>
      <c r="B20577" t="s">
        <v>17165</v>
      </c>
      <c r="C20577" t="s">
        <v>33</v>
      </c>
      <c r="D20577" s="21" t="s">
        <v>34</v>
      </c>
      <c r="E20577" s="21" t="s">
        <v>35</v>
      </c>
      <c r="F20577">
        <v>7590123</v>
      </c>
      <c r="G20577" t="s">
        <v>85</v>
      </c>
      <c r="H20577" s="21">
        <v>731.67</v>
      </c>
    </row>
    <row r="20578" spans="1:8" customFormat="1" x14ac:dyDescent="0.25">
      <c r="A20578" t="str">
        <f>"106587"</f>
        <v>106587</v>
      </c>
      <c r="B20578" t="s">
        <v>6194</v>
      </c>
      <c r="C20578" t="s">
        <v>87</v>
      </c>
      <c r="D20578" s="21" t="s">
        <v>34</v>
      </c>
      <c r="E20578" s="21" t="s">
        <v>71</v>
      </c>
      <c r="F20578">
        <v>6100021</v>
      </c>
      <c r="G20578" t="s">
        <v>7789</v>
      </c>
      <c r="H20578" s="21">
        <v>731.67</v>
      </c>
    </row>
    <row r="20579" spans="1:8" customFormat="1" x14ac:dyDescent="0.25">
      <c r="A20579" t="str">
        <f>"4422556"</f>
        <v>4422556</v>
      </c>
      <c r="B20579" t="s">
        <v>2315</v>
      </c>
      <c r="C20579" t="s">
        <v>15189</v>
      </c>
      <c r="D20579" s="21" t="s">
        <v>34</v>
      </c>
      <c r="E20579" s="21" t="s">
        <v>71</v>
      </c>
      <c r="F20579">
        <v>12850024</v>
      </c>
      <c r="G20579" t="s">
        <v>140</v>
      </c>
      <c r="H20579" s="21">
        <v>731.67</v>
      </c>
    </row>
    <row r="20580" spans="1:8" customFormat="1" x14ac:dyDescent="0.25">
      <c r="A20580" t="str">
        <f>"7639366"</f>
        <v>7639366</v>
      </c>
      <c r="B20580" t="s">
        <v>19589</v>
      </c>
      <c r="C20580" t="s">
        <v>43</v>
      </c>
      <c r="D20580" s="21" t="s">
        <v>34</v>
      </c>
      <c r="E20580" s="21" t="s">
        <v>35</v>
      </c>
      <c r="F20580">
        <v>9760269</v>
      </c>
      <c r="G20580" t="s">
        <v>10282</v>
      </c>
      <c r="H20580" s="21">
        <v>731.67</v>
      </c>
    </row>
    <row r="20581" spans="1:8" customFormat="1" x14ac:dyDescent="0.25">
      <c r="A20581" t="str">
        <f>"4430725"</f>
        <v>4430725</v>
      </c>
      <c r="B20581" t="s">
        <v>67</v>
      </c>
      <c r="C20581" t="s">
        <v>171</v>
      </c>
      <c r="D20581" s="21" t="s">
        <v>34</v>
      </c>
      <c r="E20581" s="21" t="s">
        <v>254</v>
      </c>
      <c r="F20581">
        <v>3560025</v>
      </c>
      <c r="G20581" t="s">
        <v>14020</v>
      </c>
      <c r="H20581" s="21">
        <v>731.67</v>
      </c>
    </row>
    <row r="20582" spans="1:8" customFormat="1" x14ac:dyDescent="0.25">
      <c r="A20582" t="str">
        <f>"617686"</f>
        <v>617686</v>
      </c>
      <c r="B20582" t="s">
        <v>16059</v>
      </c>
      <c r="C20582" t="s">
        <v>1025</v>
      </c>
      <c r="D20582" s="21" t="s">
        <v>34</v>
      </c>
      <c r="E20582" s="21" t="s">
        <v>71</v>
      </c>
      <c r="F20582">
        <v>9610104</v>
      </c>
      <c r="G20582" t="s">
        <v>7197</v>
      </c>
      <c r="H20582" s="21">
        <v>731.67</v>
      </c>
    </row>
    <row r="20583" spans="1:8" customFormat="1" x14ac:dyDescent="0.25">
      <c r="A20583" t="str">
        <f>"144218"</f>
        <v>144218</v>
      </c>
      <c r="B20583" t="s">
        <v>16146</v>
      </c>
      <c r="C20583" t="s">
        <v>2072</v>
      </c>
      <c r="D20583" s="21" t="s">
        <v>34</v>
      </c>
      <c r="E20583" s="21" t="s">
        <v>71</v>
      </c>
      <c r="F20583">
        <v>9140054</v>
      </c>
      <c r="G20583" t="s">
        <v>3300</v>
      </c>
      <c r="H20583" s="21">
        <v>731.5</v>
      </c>
    </row>
    <row r="20584" spans="1:8" customFormat="1" x14ac:dyDescent="0.25">
      <c r="A20584" t="str">
        <f>"30287"</f>
        <v>30287</v>
      </c>
      <c r="B20584" t="s">
        <v>16989</v>
      </c>
      <c r="C20584" t="s">
        <v>1146</v>
      </c>
      <c r="D20584" s="21" t="s">
        <v>34</v>
      </c>
      <c r="E20584" s="21" t="s">
        <v>254</v>
      </c>
      <c r="F20584">
        <v>11300016</v>
      </c>
      <c r="G20584" t="s">
        <v>157</v>
      </c>
      <c r="H20584" s="21">
        <v>731.42</v>
      </c>
    </row>
    <row r="20585" spans="1:8" customFormat="1" x14ac:dyDescent="0.25">
      <c r="A20585" t="str">
        <f>"067314"</f>
        <v>067314</v>
      </c>
      <c r="B20585" t="s">
        <v>16155</v>
      </c>
      <c r="C20585" t="s">
        <v>109</v>
      </c>
      <c r="D20585" s="21" t="s">
        <v>34</v>
      </c>
      <c r="E20585" s="21" t="s">
        <v>71</v>
      </c>
      <c r="F20585">
        <v>13060063</v>
      </c>
      <c r="G20585" t="s">
        <v>2001</v>
      </c>
      <c r="H20585" s="21">
        <v>731.17</v>
      </c>
    </row>
    <row r="20586" spans="1:8" customFormat="1" x14ac:dyDescent="0.25">
      <c r="A20586" t="str">
        <f>"2217920"</f>
        <v>2217920</v>
      </c>
      <c r="B20586" t="s">
        <v>9832</v>
      </c>
      <c r="C20586" t="s">
        <v>109</v>
      </c>
      <c r="D20586" s="21" t="s">
        <v>34</v>
      </c>
      <c r="E20586" s="21" t="s">
        <v>71</v>
      </c>
      <c r="F20586">
        <v>3220002</v>
      </c>
      <c r="G20586" t="s">
        <v>26727</v>
      </c>
      <c r="H20586" s="21">
        <v>731.17</v>
      </c>
    </row>
    <row r="20587" spans="1:8" customFormat="1" x14ac:dyDescent="0.25">
      <c r="A20587" t="str">
        <f>"2719672"</f>
        <v>2719672</v>
      </c>
      <c r="B20587" t="s">
        <v>4013</v>
      </c>
      <c r="C20587" t="s">
        <v>151</v>
      </c>
      <c r="D20587" s="21" t="s">
        <v>34</v>
      </c>
      <c r="E20587" s="21" t="s">
        <v>71</v>
      </c>
      <c r="F20587">
        <v>9270030</v>
      </c>
      <c r="G20587" t="s">
        <v>5853</v>
      </c>
      <c r="H20587" s="21">
        <v>731.17</v>
      </c>
    </row>
    <row r="20588" spans="1:8" customFormat="1" x14ac:dyDescent="0.25">
      <c r="A20588" t="str">
        <f>"404621"</f>
        <v>404621</v>
      </c>
      <c r="B20588" t="s">
        <v>4091</v>
      </c>
      <c r="C20588" t="s">
        <v>249</v>
      </c>
      <c r="D20588" s="21" t="s">
        <v>34</v>
      </c>
      <c r="E20588" s="21" t="s">
        <v>71</v>
      </c>
      <c r="F20588">
        <v>10400003</v>
      </c>
      <c r="G20588" t="s">
        <v>5110</v>
      </c>
      <c r="H20588" s="21">
        <v>731.17</v>
      </c>
    </row>
    <row r="20589" spans="1:8" customFormat="1" x14ac:dyDescent="0.25">
      <c r="A20589" t="str">
        <f>"0613025"</f>
        <v>0613025</v>
      </c>
      <c r="B20589" t="s">
        <v>16850</v>
      </c>
      <c r="C20589" t="s">
        <v>2520</v>
      </c>
      <c r="D20589" s="21" t="s">
        <v>34</v>
      </c>
      <c r="E20589" s="21" t="s">
        <v>254</v>
      </c>
      <c r="F20589">
        <v>13060043</v>
      </c>
      <c r="G20589" t="s">
        <v>4761</v>
      </c>
      <c r="H20589" s="21">
        <v>731.17</v>
      </c>
    </row>
    <row r="20590" spans="1:8" customFormat="1" x14ac:dyDescent="0.25">
      <c r="A20590" t="str">
        <f>"7876223"</f>
        <v>7876223</v>
      </c>
      <c r="B20590" t="s">
        <v>20612</v>
      </c>
      <c r="C20590" t="s">
        <v>33</v>
      </c>
      <c r="D20590" s="21" t="s">
        <v>34</v>
      </c>
      <c r="E20590" s="21" t="s">
        <v>35</v>
      </c>
      <c r="F20590">
        <v>8780568</v>
      </c>
      <c r="G20590" t="s">
        <v>5279</v>
      </c>
      <c r="H20590" s="21">
        <v>731.17</v>
      </c>
    </row>
    <row r="20591" spans="1:8" customFormat="1" x14ac:dyDescent="0.25">
      <c r="A20591" t="str">
        <f>"872159"</f>
        <v>872159</v>
      </c>
      <c r="B20591" t="s">
        <v>1531</v>
      </c>
      <c r="C20591" t="s">
        <v>130</v>
      </c>
      <c r="D20591" s="21" t="s">
        <v>34</v>
      </c>
      <c r="E20591" s="21" t="s">
        <v>35</v>
      </c>
      <c r="F20591">
        <v>10870081</v>
      </c>
      <c r="G20591" t="s">
        <v>6698</v>
      </c>
      <c r="H20591" s="21">
        <v>731.17</v>
      </c>
    </row>
    <row r="20592" spans="1:8" customFormat="1" x14ac:dyDescent="0.25">
      <c r="A20592" t="str">
        <f>"903497"</f>
        <v>903497</v>
      </c>
      <c r="B20592" t="s">
        <v>4128</v>
      </c>
      <c r="C20592" t="s">
        <v>269</v>
      </c>
      <c r="D20592" s="21" t="s">
        <v>34</v>
      </c>
      <c r="E20592" s="21" t="s">
        <v>71</v>
      </c>
      <c r="F20592">
        <v>2900023</v>
      </c>
      <c r="G20592" t="s">
        <v>4360</v>
      </c>
      <c r="H20592" s="21">
        <v>731.17</v>
      </c>
    </row>
    <row r="20593" spans="1:8" customFormat="1" x14ac:dyDescent="0.25">
      <c r="A20593" t="str">
        <f>"6012991"</f>
        <v>6012991</v>
      </c>
      <c r="B20593" t="s">
        <v>4609</v>
      </c>
      <c r="C20593" t="s">
        <v>139</v>
      </c>
      <c r="D20593" s="21" t="s">
        <v>34</v>
      </c>
      <c r="E20593" s="21" t="s">
        <v>35</v>
      </c>
      <c r="F20593">
        <v>1690102</v>
      </c>
      <c r="G20593" t="s">
        <v>2081</v>
      </c>
      <c r="H20593" s="21">
        <v>731.17</v>
      </c>
    </row>
    <row r="20594" spans="1:8" customFormat="1" x14ac:dyDescent="0.25">
      <c r="A20594" t="str">
        <f>"2918184"</f>
        <v>2918184</v>
      </c>
      <c r="B20594" t="s">
        <v>16198</v>
      </c>
      <c r="C20594" t="s">
        <v>2730</v>
      </c>
      <c r="D20594" s="21" t="s">
        <v>34</v>
      </c>
      <c r="E20594" s="21" t="s">
        <v>71</v>
      </c>
      <c r="F20594">
        <v>3290264</v>
      </c>
      <c r="G20594" t="s">
        <v>6934</v>
      </c>
      <c r="H20594" s="21">
        <v>731.17</v>
      </c>
    </row>
    <row r="20595" spans="1:8" customFormat="1" x14ac:dyDescent="0.25">
      <c r="A20595" t="str">
        <f>"6315524"</f>
        <v>6315524</v>
      </c>
      <c r="B20595" t="s">
        <v>16498</v>
      </c>
      <c r="C20595" t="s">
        <v>3522</v>
      </c>
      <c r="D20595" s="21" t="s">
        <v>34</v>
      </c>
      <c r="E20595" s="21" t="s">
        <v>35</v>
      </c>
      <c r="F20595">
        <v>1630322</v>
      </c>
      <c r="G20595" t="s">
        <v>13419</v>
      </c>
      <c r="H20595" s="21">
        <v>731.17</v>
      </c>
    </row>
    <row r="20596" spans="1:8" customFormat="1" x14ac:dyDescent="0.25">
      <c r="A20596" t="str">
        <f>"289492"</f>
        <v>289492</v>
      </c>
      <c r="B20596" t="s">
        <v>14153</v>
      </c>
      <c r="C20596" t="s">
        <v>14154</v>
      </c>
      <c r="D20596" s="21" t="s">
        <v>34</v>
      </c>
      <c r="E20596" s="21" t="s">
        <v>254</v>
      </c>
      <c r="F20596">
        <v>4280716</v>
      </c>
      <c r="G20596" t="s">
        <v>5281</v>
      </c>
      <c r="H20596" s="21">
        <v>731.17</v>
      </c>
    </row>
    <row r="20597" spans="1:8" customFormat="1" x14ac:dyDescent="0.25">
      <c r="A20597" t="str">
        <f>"5946222"</f>
        <v>5946222</v>
      </c>
      <c r="B20597" t="s">
        <v>17721</v>
      </c>
      <c r="C20597" t="s">
        <v>40</v>
      </c>
      <c r="D20597" s="21" t="s">
        <v>34</v>
      </c>
      <c r="E20597" s="21" t="s">
        <v>254</v>
      </c>
      <c r="F20597">
        <v>1260004</v>
      </c>
      <c r="G20597" t="s">
        <v>1429</v>
      </c>
      <c r="H20597" s="21">
        <v>731.17</v>
      </c>
    </row>
    <row r="20598" spans="1:8" customFormat="1" x14ac:dyDescent="0.25">
      <c r="A20598" t="str">
        <f>"775186"</f>
        <v>775186</v>
      </c>
      <c r="B20598" t="s">
        <v>18192</v>
      </c>
      <c r="C20598" t="s">
        <v>720</v>
      </c>
      <c r="D20598" s="21" t="s">
        <v>34</v>
      </c>
      <c r="E20598" s="21" t="s">
        <v>254</v>
      </c>
      <c r="F20598">
        <v>8770865</v>
      </c>
      <c r="G20598" t="s">
        <v>1426</v>
      </c>
      <c r="H20598" s="21">
        <v>730.92</v>
      </c>
    </row>
    <row r="20599" spans="1:8" customFormat="1" x14ac:dyDescent="0.25">
      <c r="A20599" t="str">
        <f>"5933608"</f>
        <v>5933608</v>
      </c>
      <c r="B20599" t="s">
        <v>27609</v>
      </c>
      <c r="C20599" t="s">
        <v>114</v>
      </c>
      <c r="D20599" s="21" t="s">
        <v>34</v>
      </c>
      <c r="E20599" s="21" t="s">
        <v>35</v>
      </c>
      <c r="F20599">
        <v>7590131</v>
      </c>
      <c r="G20599" t="s">
        <v>6300</v>
      </c>
      <c r="H20599" s="21">
        <v>730.92</v>
      </c>
    </row>
    <row r="20600" spans="1:8" customFormat="1" x14ac:dyDescent="0.25">
      <c r="A20600" t="str">
        <f>"8520864"</f>
        <v>8520864</v>
      </c>
      <c r="B20600" t="s">
        <v>16082</v>
      </c>
      <c r="C20600" t="s">
        <v>121</v>
      </c>
      <c r="D20600" s="21" t="s">
        <v>34</v>
      </c>
      <c r="E20600" s="21" t="s">
        <v>71</v>
      </c>
      <c r="F20600">
        <v>12851025</v>
      </c>
      <c r="G20600" t="s">
        <v>26858</v>
      </c>
      <c r="H20600" s="21">
        <v>730.79</v>
      </c>
    </row>
    <row r="20601" spans="1:8" customFormat="1" x14ac:dyDescent="0.25">
      <c r="A20601" t="str">
        <f>"146622"</f>
        <v>146622</v>
      </c>
      <c r="B20601" t="s">
        <v>14935</v>
      </c>
      <c r="C20601" t="s">
        <v>576</v>
      </c>
      <c r="D20601" s="21" t="s">
        <v>34</v>
      </c>
      <c r="E20601" s="21" t="s">
        <v>35</v>
      </c>
      <c r="F20601">
        <v>9140083</v>
      </c>
      <c r="G20601" t="s">
        <v>8440</v>
      </c>
      <c r="H20601" s="21">
        <v>730.79</v>
      </c>
    </row>
    <row r="20602" spans="1:8" customFormat="1" x14ac:dyDescent="0.25">
      <c r="A20602" t="str">
        <f>"0614204"</f>
        <v>0614204</v>
      </c>
      <c r="B20602" t="s">
        <v>17474</v>
      </c>
      <c r="C20602" t="s">
        <v>462</v>
      </c>
      <c r="D20602" s="21" t="s">
        <v>34</v>
      </c>
      <c r="E20602" s="21" t="s">
        <v>71</v>
      </c>
      <c r="F20602">
        <v>13060064</v>
      </c>
      <c r="G20602" t="s">
        <v>976</v>
      </c>
      <c r="H20602" s="21">
        <v>730.79</v>
      </c>
    </row>
    <row r="20603" spans="1:8" customFormat="1" x14ac:dyDescent="0.25">
      <c r="A20603" t="str">
        <f>"4938254"</f>
        <v>4938254</v>
      </c>
      <c r="B20603" t="s">
        <v>20087</v>
      </c>
      <c r="C20603" t="s">
        <v>328</v>
      </c>
      <c r="D20603" s="21" t="s">
        <v>34</v>
      </c>
      <c r="E20603" s="21" t="s">
        <v>35</v>
      </c>
      <c r="F20603">
        <v>12490017</v>
      </c>
      <c r="G20603" t="s">
        <v>9393</v>
      </c>
      <c r="H20603" s="21">
        <v>730.67</v>
      </c>
    </row>
    <row r="20604" spans="1:8" customFormat="1" x14ac:dyDescent="0.25">
      <c r="A20604" t="str">
        <f>"5977591"</f>
        <v>5977591</v>
      </c>
      <c r="B20604" t="s">
        <v>18144</v>
      </c>
      <c r="C20604" t="s">
        <v>33</v>
      </c>
      <c r="D20604" s="21" t="s">
        <v>34</v>
      </c>
      <c r="E20604" s="21" t="s">
        <v>71</v>
      </c>
      <c r="F20604">
        <v>7590402</v>
      </c>
      <c r="G20604" t="s">
        <v>1623</v>
      </c>
      <c r="H20604" s="21">
        <v>730.67</v>
      </c>
    </row>
    <row r="20605" spans="1:8" customFormat="1" x14ac:dyDescent="0.25">
      <c r="A20605" t="str">
        <f>"5927746"</f>
        <v>5927746</v>
      </c>
      <c r="B20605" t="s">
        <v>27610</v>
      </c>
      <c r="C20605" t="s">
        <v>288</v>
      </c>
      <c r="D20605" s="21" t="s">
        <v>34</v>
      </c>
      <c r="E20605" s="21" t="s">
        <v>35</v>
      </c>
      <c r="F20605">
        <v>7590310</v>
      </c>
      <c r="G20605" t="s">
        <v>10278</v>
      </c>
      <c r="H20605" s="21">
        <v>730.67</v>
      </c>
    </row>
    <row r="20606" spans="1:8" customFormat="1" x14ac:dyDescent="0.25">
      <c r="A20606" t="str">
        <f>"6942879"</f>
        <v>6942879</v>
      </c>
      <c r="B20606" t="s">
        <v>17198</v>
      </c>
      <c r="C20606" t="s">
        <v>812</v>
      </c>
      <c r="D20606" s="21" t="s">
        <v>34</v>
      </c>
      <c r="E20606" s="21" t="s">
        <v>71</v>
      </c>
      <c r="F20606">
        <v>1690186</v>
      </c>
      <c r="G20606" t="s">
        <v>438</v>
      </c>
      <c r="H20606" s="21">
        <v>730.67</v>
      </c>
    </row>
    <row r="20607" spans="1:8" customFormat="1" x14ac:dyDescent="0.25">
      <c r="A20607" t="str">
        <f>"5011726"</f>
        <v>5011726</v>
      </c>
      <c r="B20607" t="s">
        <v>435</v>
      </c>
      <c r="C20607" t="s">
        <v>269</v>
      </c>
      <c r="D20607" s="21" t="s">
        <v>34</v>
      </c>
      <c r="E20607" s="21" t="s">
        <v>71</v>
      </c>
      <c r="F20607">
        <v>9500012</v>
      </c>
      <c r="G20607" t="s">
        <v>10097</v>
      </c>
      <c r="H20607" s="21">
        <v>730.67</v>
      </c>
    </row>
    <row r="20608" spans="1:8" customFormat="1" x14ac:dyDescent="0.25">
      <c r="A20608" t="str">
        <f>"274947"</f>
        <v>274947</v>
      </c>
      <c r="B20608" t="s">
        <v>16479</v>
      </c>
      <c r="C20608" t="s">
        <v>90</v>
      </c>
      <c r="D20608" s="21" t="s">
        <v>34</v>
      </c>
      <c r="E20608" s="21" t="s">
        <v>254</v>
      </c>
      <c r="F20608">
        <v>9270071</v>
      </c>
      <c r="G20608" t="s">
        <v>7815</v>
      </c>
      <c r="H20608" s="21">
        <v>730.67</v>
      </c>
    </row>
    <row r="20609" spans="1:8" customFormat="1" x14ac:dyDescent="0.25">
      <c r="A20609" t="str">
        <f>"135676"</f>
        <v>135676</v>
      </c>
      <c r="B20609" t="s">
        <v>16376</v>
      </c>
      <c r="C20609" t="s">
        <v>453</v>
      </c>
      <c r="D20609" s="21" t="s">
        <v>34</v>
      </c>
      <c r="E20609" s="21" t="s">
        <v>1089</v>
      </c>
      <c r="F20609">
        <v>13840058</v>
      </c>
      <c r="G20609" t="s">
        <v>7032</v>
      </c>
      <c r="H20609" s="21">
        <v>730.67</v>
      </c>
    </row>
    <row r="20610" spans="1:8" customFormat="1" x14ac:dyDescent="0.25">
      <c r="A20610" t="str">
        <f>"418094"</f>
        <v>418094</v>
      </c>
      <c r="B20610" t="s">
        <v>15906</v>
      </c>
      <c r="C20610" t="s">
        <v>305</v>
      </c>
      <c r="D20610" s="21" t="s">
        <v>34</v>
      </c>
      <c r="E20610" s="21" t="s">
        <v>35</v>
      </c>
      <c r="F20610">
        <v>4410279</v>
      </c>
      <c r="G20610" t="s">
        <v>3499</v>
      </c>
      <c r="H20610" s="21">
        <v>730.67</v>
      </c>
    </row>
    <row r="20611" spans="1:8" customFormat="1" x14ac:dyDescent="0.25">
      <c r="A20611" t="str">
        <f>"774865"</f>
        <v>774865</v>
      </c>
      <c r="B20611" t="s">
        <v>15996</v>
      </c>
      <c r="C20611" t="s">
        <v>169</v>
      </c>
      <c r="D20611" s="21" t="s">
        <v>34</v>
      </c>
      <c r="E20611" s="21" t="s">
        <v>71</v>
      </c>
      <c r="F20611">
        <v>8770955</v>
      </c>
      <c r="G20611" t="s">
        <v>9946</v>
      </c>
      <c r="H20611" s="21">
        <v>730.67</v>
      </c>
    </row>
    <row r="20612" spans="1:8" customFormat="1" x14ac:dyDescent="0.25">
      <c r="A20612" t="str">
        <f>"79389"</f>
        <v>79389</v>
      </c>
      <c r="B20612" t="s">
        <v>12444</v>
      </c>
      <c r="C20612" t="s">
        <v>124</v>
      </c>
      <c r="D20612" s="21" t="s">
        <v>34</v>
      </c>
      <c r="E20612" s="21" t="s">
        <v>35</v>
      </c>
      <c r="F20612">
        <v>10790204</v>
      </c>
      <c r="G20612" t="s">
        <v>5681</v>
      </c>
      <c r="H20612" s="21">
        <v>730.67</v>
      </c>
    </row>
    <row r="20613" spans="1:8" customFormat="1" x14ac:dyDescent="0.25">
      <c r="A20613" t="str">
        <f>"761184"</f>
        <v>761184</v>
      </c>
      <c r="B20613" t="s">
        <v>10041</v>
      </c>
      <c r="C20613" t="s">
        <v>114</v>
      </c>
      <c r="D20613" s="21" t="s">
        <v>34</v>
      </c>
      <c r="E20613" s="21" t="s">
        <v>254</v>
      </c>
      <c r="F20613">
        <v>9760070</v>
      </c>
      <c r="G20613" t="s">
        <v>6226</v>
      </c>
      <c r="H20613" s="21">
        <v>730.67</v>
      </c>
    </row>
    <row r="20614" spans="1:8" customFormat="1" x14ac:dyDescent="0.25">
      <c r="A20614" t="str">
        <f>"4438519"</f>
        <v>4438519</v>
      </c>
      <c r="B20614" t="s">
        <v>6729</v>
      </c>
      <c r="C20614" t="s">
        <v>381</v>
      </c>
      <c r="D20614" s="21" t="s">
        <v>34</v>
      </c>
      <c r="E20614" s="21" t="s">
        <v>71</v>
      </c>
      <c r="F20614">
        <v>12440141</v>
      </c>
      <c r="G20614" t="s">
        <v>3234</v>
      </c>
      <c r="H20614" s="21">
        <v>730.67</v>
      </c>
    </row>
    <row r="20615" spans="1:8" customFormat="1" x14ac:dyDescent="0.25">
      <c r="A20615" t="str">
        <f>"555135"</f>
        <v>555135</v>
      </c>
      <c r="B20615" t="s">
        <v>15956</v>
      </c>
      <c r="C20615" t="s">
        <v>1810</v>
      </c>
      <c r="D20615" s="21" t="s">
        <v>34</v>
      </c>
      <c r="E20615" s="21" t="s">
        <v>254</v>
      </c>
      <c r="F20615">
        <v>6550003</v>
      </c>
      <c r="G20615" t="s">
        <v>7721</v>
      </c>
      <c r="H20615" s="21">
        <v>730.67</v>
      </c>
    </row>
    <row r="20616" spans="1:8" customFormat="1" x14ac:dyDescent="0.25">
      <c r="A20616" t="str">
        <f>"3415079"</f>
        <v>3415079</v>
      </c>
      <c r="B20616" t="s">
        <v>6089</v>
      </c>
      <c r="C20616" t="s">
        <v>198</v>
      </c>
      <c r="D20616" s="21" t="s">
        <v>34</v>
      </c>
      <c r="E20616" s="21" t="s">
        <v>71</v>
      </c>
      <c r="F20616">
        <v>11340067</v>
      </c>
      <c r="G20616" t="s">
        <v>2895</v>
      </c>
      <c r="H20616" s="21">
        <v>730.67</v>
      </c>
    </row>
    <row r="20617" spans="1:8" customFormat="1" x14ac:dyDescent="0.25">
      <c r="A20617" t="str">
        <f>"5933952"</f>
        <v>5933952</v>
      </c>
      <c r="B20617" t="s">
        <v>6458</v>
      </c>
      <c r="C20617" t="s">
        <v>2276</v>
      </c>
      <c r="D20617" s="21" t="s">
        <v>34</v>
      </c>
      <c r="E20617" s="21" t="s">
        <v>254</v>
      </c>
      <c r="F20617">
        <v>7590075</v>
      </c>
      <c r="G20617" t="s">
        <v>6459</v>
      </c>
      <c r="H20617" s="21">
        <v>730.67</v>
      </c>
    </row>
    <row r="20618" spans="1:8" customFormat="1" x14ac:dyDescent="0.25">
      <c r="A20618" t="str">
        <f>"4213027"</f>
        <v>4213027</v>
      </c>
      <c r="B20618" t="s">
        <v>16749</v>
      </c>
      <c r="C20618" t="s">
        <v>412</v>
      </c>
      <c r="D20618" s="21" t="s">
        <v>34</v>
      </c>
      <c r="E20618" s="21" t="s">
        <v>254</v>
      </c>
      <c r="F20618">
        <v>1420162</v>
      </c>
      <c r="G20618" t="s">
        <v>11209</v>
      </c>
      <c r="H20618" s="21">
        <v>730.67</v>
      </c>
    </row>
    <row r="20619" spans="1:8" customFormat="1" x14ac:dyDescent="0.25">
      <c r="A20619" t="str">
        <f>"445622"</f>
        <v>445622</v>
      </c>
      <c r="B20619" t="s">
        <v>16956</v>
      </c>
      <c r="C20619" t="s">
        <v>1588</v>
      </c>
      <c r="D20619" s="21" t="s">
        <v>34</v>
      </c>
      <c r="E20619" s="21" t="s">
        <v>1089</v>
      </c>
      <c r="F20619">
        <v>12440038</v>
      </c>
      <c r="G20619" t="s">
        <v>2057</v>
      </c>
      <c r="H20619" s="21">
        <v>730.67</v>
      </c>
    </row>
    <row r="20620" spans="1:8" customFormat="1" x14ac:dyDescent="0.25">
      <c r="A20620" t="str">
        <f>"8016178"</f>
        <v>8016178</v>
      </c>
      <c r="B20620" t="s">
        <v>14289</v>
      </c>
      <c r="C20620" t="s">
        <v>1539</v>
      </c>
      <c r="D20620" s="21" t="s">
        <v>34</v>
      </c>
      <c r="E20620" s="21" t="s">
        <v>71</v>
      </c>
      <c r="F20620">
        <v>7800008</v>
      </c>
      <c r="G20620" t="s">
        <v>842</v>
      </c>
      <c r="H20620" s="21">
        <v>730.67</v>
      </c>
    </row>
    <row r="20621" spans="1:8" customFormat="1" x14ac:dyDescent="0.25">
      <c r="A20621" t="str">
        <f>"7727527"</f>
        <v>7727527</v>
      </c>
      <c r="B20621" t="s">
        <v>17576</v>
      </c>
      <c r="C20621" t="s">
        <v>169</v>
      </c>
      <c r="D20621" s="21" t="s">
        <v>34</v>
      </c>
      <c r="E20621" s="21" t="s">
        <v>35</v>
      </c>
      <c r="F20621">
        <v>8771401</v>
      </c>
      <c r="G20621" t="s">
        <v>6636</v>
      </c>
      <c r="H20621" s="21">
        <v>730.67</v>
      </c>
    </row>
    <row r="20622" spans="1:8" customFormat="1" x14ac:dyDescent="0.25">
      <c r="A20622" t="str">
        <f>"5919331"</f>
        <v>5919331</v>
      </c>
      <c r="B20622" t="s">
        <v>27611</v>
      </c>
      <c r="C20622" t="s">
        <v>119</v>
      </c>
      <c r="D20622" s="21" t="s">
        <v>34</v>
      </c>
      <c r="E20622" s="21" t="s">
        <v>35</v>
      </c>
      <c r="F20622">
        <v>7590049</v>
      </c>
      <c r="G20622" t="s">
        <v>11040</v>
      </c>
      <c r="H20622" s="21">
        <v>730.67</v>
      </c>
    </row>
    <row r="20623" spans="1:8" customFormat="1" x14ac:dyDescent="0.25">
      <c r="A20623" t="str">
        <f>"533290"</f>
        <v>533290</v>
      </c>
      <c r="B20623" t="s">
        <v>17828</v>
      </c>
      <c r="C20623" t="s">
        <v>2907</v>
      </c>
      <c r="D20623" s="21" t="s">
        <v>34</v>
      </c>
      <c r="E20623" s="21" t="s">
        <v>71</v>
      </c>
      <c r="F20623">
        <v>12530062</v>
      </c>
      <c r="G20623" t="s">
        <v>1116</v>
      </c>
      <c r="H20623" s="21">
        <v>730.67</v>
      </c>
    </row>
    <row r="20624" spans="1:8" customFormat="1" x14ac:dyDescent="0.25">
      <c r="A20624" t="str">
        <f>"7717648"</f>
        <v>7717648</v>
      </c>
      <c r="B20624" t="s">
        <v>5702</v>
      </c>
      <c r="C20624" t="s">
        <v>10545</v>
      </c>
      <c r="D20624" s="21" t="s">
        <v>34</v>
      </c>
      <c r="E20624" s="21" t="s">
        <v>71</v>
      </c>
      <c r="F20624">
        <v>8770202</v>
      </c>
      <c r="G20624" t="s">
        <v>1999</v>
      </c>
      <c r="H20624" s="21">
        <v>730.67</v>
      </c>
    </row>
    <row r="20625" spans="1:8" customFormat="1" x14ac:dyDescent="0.25">
      <c r="A20625" t="str">
        <f>"99746"</f>
        <v>99746</v>
      </c>
      <c r="B20625" t="s">
        <v>108</v>
      </c>
      <c r="C20625" t="s">
        <v>5075</v>
      </c>
      <c r="D20625" s="21" t="s">
        <v>34</v>
      </c>
      <c r="E20625" s="21" t="s">
        <v>71</v>
      </c>
      <c r="F20625">
        <v>9500013</v>
      </c>
      <c r="G20625" t="s">
        <v>992</v>
      </c>
      <c r="H20625" s="21">
        <v>730.67</v>
      </c>
    </row>
    <row r="20626" spans="1:8" customFormat="1" x14ac:dyDescent="0.25">
      <c r="A20626" t="str">
        <f>"737594"</f>
        <v>737594</v>
      </c>
      <c r="B20626" t="s">
        <v>13425</v>
      </c>
      <c r="C20626" t="s">
        <v>1110</v>
      </c>
      <c r="D20626" s="21" t="s">
        <v>34</v>
      </c>
      <c r="E20626" s="21" t="s">
        <v>71</v>
      </c>
      <c r="F20626">
        <v>12851025</v>
      </c>
      <c r="G20626" t="s">
        <v>26858</v>
      </c>
      <c r="H20626" s="21">
        <v>730.67</v>
      </c>
    </row>
    <row r="20627" spans="1:8" customFormat="1" x14ac:dyDescent="0.25">
      <c r="A20627" t="str">
        <f>"5423515"</f>
        <v>5423515</v>
      </c>
      <c r="B20627" t="s">
        <v>15459</v>
      </c>
      <c r="C20627" t="s">
        <v>239</v>
      </c>
      <c r="D20627" s="21" t="s">
        <v>34</v>
      </c>
      <c r="E20627" s="21" t="s">
        <v>254</v>
      </c>
      <c r="F20627">
        <v>6540043</v>
      </c>
      <c r="G20627" t="s">
        <v>947</v>
      </c>
      <c r="H20627" s="21">
        <v>730.54</v>
      </c>
    </row>
    <row r="20628" spans="1:8" customFormat="1" x14ac:dyDescent="0.25">
      <c r="A20628" t="str">
        <f>"089080"</f>
        <v>089080</v>
      </c>
      <c r="B20628" t="s">
        <v>4314</v>
      </c>
      <c r="C20628" t="s">
        <v>1588</v>
      </c>
      <c r="D20628" s="21" t="s">
        <v>34</v>
      </c>
      <c r="E20628" s="21" t="s">
        <v>254</v>
      </c>
      <c r="F20628">
        <v>6080092</v>
      </c>
      <c r="G20628" t="s">
        <v>7668</v>
      </c>
      <c r="H20628" s="21">
        <v>730.54</v>
      </c>
    </row>
    <row r="20629" spans="1:8" customFormat="1" x14ac:dyDescent="0.25">
      <c r="A20629" t="str">
        <f>"7815249"</f>
        <v>7815249</v>
      </c>
      <c r="B20629" t="s">
        <v>8854</v>
      </c>
      <c r="C20629" t="s">
        <v>415</v>
      </c>
      <c r="D20629" s="21" t="s">
        <v>34</v>
      </c>
      <c r="E20629" s="21" t="s">
        <v>254</v>
      </c>
      <c r="F20629">
        <v>8780016</v>
      </c>
      <c r="G20629" t="s">
        <v>3153</v>
      </c>
      <c r="H20629" s="21">
        <v>730.5</v>
      </c>
    </row>
    <row r="20630" spans="1:8" customFormat="1" x14ac:dyDescent="0.25">
      <c r="A20630" t="str">
        <f>"4524173"</f>
        <v>4524173</v>
      </c>
      <c r="B20630" t="s">
        <v>27612</v>
      </c>
      <c r="C20630" t="s">
        <v>22587</v>
      </c>
      <c r="D20630" s="21" t="s">
        <v>34</v>
      </c>
      <c r="E20630" s="21" t="s">
        <v>35</v>
      </c>
      <c r="F20630">
        <v>4450108</v>
      </c>
      <c r="G20630" t="s">
        <v>2354</v>
      </c>
      <c r="H20630" s="21">
        <v>730.42</v>
      </c>
    </row>
    <row r="20631" spans="1:8" customFormat="1" x14ac:dyDescent="0.25">
      <c r="A20631" t="str">
        <f>"3332860"</f>
        <v>3332860</v>
      </c>
      <c r="B20631" t="s">
        <v>5785</v>
      </c>
      <c r="C20631" t="s">
        <v>60</v>
      </c>
      <c r="D20631" s="21" t="s">
        <v>34</v>
      </c>
      <c r="E20631" s="21" t="s">
        <v>35</v>
      </c>
      <c r="F20631">
        <v>10330074</v>
      </c>
      <c r="G20631" t="s">
        <v>12024</v>
      </c>
      <c r="H20631" s="21">
        <v>730.42</v>
      </c>
    </row>
    <row r="20632" spans="1:8" customFormat="1" x14ac:dyDescent="0.25">
      <c r="A20632" t="str">
        <f>"60136"</f>
        <v>60136</v>
      </c>
      <c r="B20632" t="s">
        <v>16592</v>
      </c>
      <c r="C20632" t="s">
        <v>198</v>
      </c>
      <c r="D20632" s="21" t="s">
        <v>34</v>
      </c>
      <c r="E20632" s="21" t="s">
        <v>1089</v>
      </c>
      <c r="F20632">
        <v>7600170</v>
      </c>
      <c r="G20632" t="s">
        <v>16044</v>
      </c>
      <c r="H20632" s="21">
        <v>730.17</v>
      </c>
    </row>
    <row r="20633" spans="1:8" customFormat="1" x14ac:dyDescent="0.25">
      <c r="A20633" t="str">
        <f>"6018319"</f>
        <v>6018319</v>
      </c>
      <c r="B20633" t="s">
        <v>1282</v>
      </c>
      <c r="C20633" t="s">
        <v>65</v>
      </c>
      <c r="D20633" s="21" t="s">
        <v>34</v>
      </c>
      <c r="E20633" s="21" t="s">
        <v>35</v>
      </c>
      <c r="F20633">
        <v>7600074</v>
      </c>
      <c r="G20633" t="s">
        <v>1912</v>
      </c>
      <c r="H20633" s="21">
        <v>730.17</v>
      </c>
    </row>
    <row r="20634" spans="1:8" customFormat="1" x14ac:dyDescent="0.25">
      <c r="A20634" t="str">
        <f>"304331"</f>
        <v>304331</v>
      </c>
      <c r="B20634" t="s">
        <v>27613</v>
      </c>
      <c r="C20634" t="s">
        <v>2730</v>
      </c>
      <c r="D20634" s="21" t="s">
        <v>34</v>
      </c>
      <c r="E20634" s="21" t="s">
        <v>254</v>
      </c>
      <c r="F20634">
        <v>11300019</v>
      </c>
      <c r="G20634" t="s">
        <v>27201</v>
      </c>
      <c r="H20634" s="21">
        <v>730.17</v>
      </c>
    </row>
    <row r="20635" spans="1:8" customFormat="1" x14ac:dyDescent="0.25">
      <c r="A20635" t="str">
        <f>"648277"</f>
        <v>648277</v>
      </c>
      <c r="B20635" t="s">
        <v>8278</v>
      </c>
      <c r="C20635" t="s">
        <v>249</v>
      </c>
      <c r="D20635" s="21" t="s">
        <v>34</v>
      </c>
      <c r="E20635" s="21" t="s">
        <v>71</v>
      </c>
      <c r="F20635">
        <v>10640003</v>
      </c>
      <c r="G20635" t="s">
        <v>1594</v>
      </c>
      <c r="H20635" s="21">
        <v>730.17</v>
      </c>
    </row>
    <row r="20636" spans="1:8" customFormat="1" x14ac:dyDescent="0.25">
      <c r="A20636" t="str">
        <f>"7612943"</f>
        <v>7612943</v>
      </c>
      <c r="B20636" t="s">
        <v>402</v>
      </c>
      <c r="C20636" t="s">
        <v>428</v>
      </c>
      <c r="D20636" s="21" t="s">
        <v>34</v>
      </c>
      <c r="E20636" s="21" t="s">
        <v>254</v>
      </c>
      <c r="F20636">
        <v>9760039</v>
      </c>
      <c r="G20636" t="s">
        <v>9501</v>
      </c>
      <c r="H20636" s="21">
        <v>730.17</v>
      </c>
    </row>
    <row r="20637" spans="1:8" customFormat="1" x14ac:dyDescent="0.25">
      <c r="A20637" t="str">
        <f>"9138226"</f>
        <v>9138226</v>
      </c>
      <c r="B20637" t="s">
        <v>15036</v>
      </c>
      <c r="C20637" t="s">
        <v>547</v>
      </c>
      <c r="D20637" s="21" t="s">
        <v>34</v>
      </c>
      <c r="E20637" s="21" t="s">
        <v>71</v>
      </c>
      <c r="F20637">
        <v>8910214</v>
      </c>
      <c r="G20637" t="s">
        <v>986</v>
      </c>
      <c r="H20637" s="21">
        <v>730.17</v>
      </c>
    </row>
    <row r="20638" spans="1:8" customFormat="1" x14ac:dyDescent="0.25">
      <c r="A20638" t="str">
        <f>"5319003"</f>
        <v>5319003</v>
      </c>
      <c r="B20638" t="s">
        <v>4944</v>
      </c>
      <c r="C20638" t="s">
        <v>288</v>
      </c>
      <c r="D20638" s="21" t="s">
        <v>34</v>
      </c>
      <c r="E20638" s="21" t="s">
        <v>35</v>
      </c>
      <c r="F20638">
        <v>12490026</v>
      </c>
      <c r="G20638" t="s">
        <v>6274</v>
      </c>
      <c r="H20638" s="21">
        <v>730.17</v>
      </c>
    </row>
    <row r="20639" spans="1:8" customFormat="1" x14ac:dyDescent="0.25">
      <c r="A20639" t="str">
        <f>"3325818"</f>
        <v>3325818</v>
      </c>
      <c r="B20639" t="s">
        <v>12582</v>
      </c>
      <c r="C20639" t="s">
        <v>40</v>
      </c>
      <c r="D20639" s="21" t="s">
        <v>34</v>
      </c>
      <c r="E20639" s="21" t="s">
        <v>71</v>
      </c>
      <c r="F20639">
        <v>10330038</v>
      </c>
      <c r="G20639" t="s">
        <v>4280</v>
      </c>
      <c r="H20639" s="21">
        <v>730.17</v>
      </c>
    </row>
    <row r="20640" spans="1:8" customFormat="1" x14ac:dyDescent="0.25">
      <c r="A20640" t="str">
        <f>"504790"</f>
        <v>504790</v>
      </c>
      <c r="B20640" t="s">
        <v>16307</v>
      </c>
      <c r="C20640" t="s">
        <v>3905</v>
      </c>
      <c r="D20640" s="21" t="s">
        <v>34</v>
      </c>
      <c r="E20640" s="21" t="s">
        <v>71</v>
      </c>
      <c r="F20640">
        <v>9500015</v>
      </c>
      <c r="G20640" t="s">
        <v>3389</v>
      </c>
      <c r="H20640" s="21">
        <v>730.17</v>
      </c>
    </row>
    <row r="20641" spans="1:8" customFormat="1" x14ac:dyDescent="0.25">
      <c r="A20641" t="str">
        <f>"483561"</f>
        <v>483561</v>
      </c>
      <c r="B20641" t="s">
        <v>146</v>
      </c>
      <c r="C20641" t="s">
        <v>169</v>
      </c>
      <c r="D20641" s="21" t="s">
        <v>34</v>
      </c>
      <c r="E20641" s="21" t="s">
        <v>35</v>
      </c>
      <c r="F20641">
        <v>11480028</v>
      </c>
      <c r="G20641" t="s">
        <v>14531</v>
      </c>
      <c r="H20641" s="21">
        <v>730.17</v>
      </c>
    </row>
    <row r="20642" spans="1:8" customFormat="1" x14ac:dyDescent="0.25">
      <c r="A20642" t="str">
        <f>"431876"</f>
        <v>431876</v>
      </c>
      <c r="B20642" t="s">
        <v>8153</v>
      </c>
      <c r="C20642" t="s">
        <v>720</v>
      </c>
      <c r="D20642" s="21" t="s">
        <v>34</v>
      </c>
      <c r="E20642" s="21" t="s">
        <v>71</v>
      </c>
      <c r="F20642">
        <v>11480027</v>
      </c>
      <c r="G20642" t="s">
        <v>2950</v>
      </c>
      <c r="H20642" s="21">
        <v>730.17</v>
      </c>
    </row>
    <row r="20643" spans="1:8" customFormat="1" x14ac:dyDescent="0.25">
      <c r="A20643" t="str">
        <f>"071266"</f>
        <v>071266</v>
      </c>
      <c r="B20643" t="s">
        <v>4243</v>
      </c>
      <c r="C20643" t="s">
        <v>1705</v>
      </c>
      <c r="D20643" s="21" t="s">
        <v>34</v>
      </c>
      <c r="E20643" s="21" t="s">
        <v>71</v>
      </c>
      <c r="F20643">
        <v>1260061</v>
      </c>
      <c r="G20643" t="s">
        <v>6363</v>
      </c>
      <c r="H20643" s="21">
        <v>730.17</v>
      </c>
    </row>
    <row r="20644" spans="1:8" customFormat="1" x14ac:dyDescent="0.25">
      <c r="A20644" t="str">
        <f>"6236"</f>
        <v>6236</v>
      </c>
      <c r="B20644" t="s">
        <v>13162</v>
      </c>
      <c r="C20644" t="s">
        <v>1142</v>
      </c>
      <c r="D20644" s="21" t="s">
        <v>34</v>
      </c>
      <c r="E20644" s="21" t="s">
        <v>1089</v>
      </c>
      <c r="F20644">
        <v>7620005</v>
      </c>
      <c r="G20644" t="s">
        <v>200</v>
      </c>
      <c r="H20644" s="21">
        <v>730.17</v>
      </c>
    </row>
    <row r="20645" spans="1:8" customFormat="1" x14ac:dyDescent="0.25">
      <c r="A20645" t="str">
        <f>"5415763"</f>
        <v>5415763</v>
      </c>
      <c r="B20645" t="s">
        <v>946</v>
      </c>
      <c r="C20645" t="s">
        <v>263</v>
      </c>
      <c r="D20645" s="21" t="s">
        <v>34</v>
      </c>
      <c r="E20645" s="21" t="s">
        <v>71</v>
      </c>
      <c r="F20645">
        <v>6540040</v>
      </c>
      <c r="G20645" t="s">
        <v>256</v>
      </c>
      <c r="H20645" s="21">
        <v>730.17</v>
      </c>
    </row>
    <row r="20646" spans="1:8" customFormat="1" x14ac:dyDescent="0.25">
      <c r="A20646" t="str">
        <f>"3722320"</f>
        <v>3722320</v>
      </c>
      <c r="B20646" t="s">
        <v>16196</v>
      </c>
      <c r="C20646" t="s">
        <v>469</v>
      </c>
      <c r="D20646" s="21" t="s">
        <v>34</v>
      </c>
      <c r="E20646" s="21" t="s">
        <v>35</v>
      </c>
      <c r="F20646">
        <v>4370346</v>
      </c>
      <c r="G20646" t="s">
        <v>8269</v>
      </c>
      <c r="H20646" s="21">
        <v>730.17</v>
      </c>
    </row>
    <row r="20647" spans="1:8" customFormat="1" x14ac:dyDescent="0.25">
      <c r="A20647" t="str">
        <f>"2713700"</f>
        <v>2713700</v>
      </c>
      <c r="B20647" t="s">
        <v>16322</v>
      </c>
      <c r="C20647" t="s">
        <v>302</v>
      </c>
      <c r="D20647" s="21" t="s">
        <v>34</v>
      </c>
      <c r="E20647" s="21" t="s">
        <v>71</v>
      </c>
      <c r="F20647">
        <v>9270139</v>
      </c>
      <c r="G20647" t="s">
        <v>6955</v>
      </c>
      <c r="H20647" s="21">
        <v>730.17</v>
      </c>
    </row>
    <row r="20648" spans="1:8" customFormat="1" x14ac:dyDescent="0.25">
      <c r="A20648" t="str">
        <f>"291933"</f>
        <v>291933</v>
      </c>
      <c r="B20648" t="s">
        <v>14437</v>
      </c>
      <c r="C20648" t="s">
        <v>1142</v>
      </c>
      <c r="D20648" s="21" t="s">
        <v>34</v>
      </c>
      <c r="E20648" s="21" t="s">
        <v>1089</v>
      </c>
      <c r="F20648">
        <v>3290285</v>
      </c>
      <c r="G20648" t="s">
        <v>2234</v>
      </c>
      <c r="H20648" s="21">
        <v>730.17</v>
      </c>
    </row>
    <row r="20649" spans="1:8" customFormat="1" x14ac:dyDescent="0.25">
      <c r="A20649" t="str">
        <f>"918407"</f>
        <v>918407</v>
      </c>
      <c r="B20649" t="s">
        <v>15751</v>
      </c>
      <c r="C20649" t="s">
        <v>1665</v>
      </c>
      <c r="D20649" s="21" t="s">
        <v>34</v>
      </c>
      <c r="E20649" s="21" t="s">
        <v>71</v>
      </c>
      <c r="F20649">
        <v>8911280</v>
      </c>
      <c r="G20649" t="s">
        <v>3417</v>
      </c>
      <c r="H20649" s="21">
        <v>730.04</v>
      </c>
    </row>
    <row r="20650" spans="1:8" customFormat="1" x14ac:dyDescent="0.25">
      <c r="A20650" t="str">
        <f>"9414962"</f>
        <v>9414962</v>
      </c>
      <c r="B20650" t="s">
        <v>9940</v>
      </c>
      <c r="C20650" t="s">
        <v>40</v>
      </c>
      <c r="D20650" s="21" t="s">
        <v>34</v>
      </c>
      <c r="E20650" s="21" t="s">
        <v>254</v>
      </c>
      <c r="F20650">
        <v>8940458</v>
      </c>
      <c r="G20650" t="s">
        <v>26774</v>
      </c>
      <c r="H20650" s="21">
        <v>730.04</v>
      </c>
    </row>
    <row r="20651" spans="1:8" customFormat="1" x14ac:dyDescent="0.25">
      <c r="A20651" t="str">
        <f>"794116"</f>
        <v>794116</v>
      </c>
      <c r="B20651" t="s">
        <v>17183</v>
      </c>
      <c r="C20651" t="s">
        <v>121</v>
      </c>
      <c r="D20651" s="21" t="s">
        <v>34</v>
      </c>
      <c r="E20651" s="21" t="s">
        <v>35</v>
      </c>
      <c r="F20651">
        <v>4360009</v>
      </c>
      <c r="G20651" t="s">
        <v>6259</v>
      </c>
      <c r="H20651" s="21">
        <v>730</v>
      </c>
    </row>
    <row r="20652" spans="1:8" customFormat="1" x14ac:dyDescent="0.25">
      <c r="A20652" t="str">
        <f>"5621006"</f>
        <v>5621006</v>
      </c>
      <c r="B20652" t="s">
        <v>17668</v>
      </c>
      <c r="C20652" t="s">
        <v>285</v>
      </c>
      <c r="D20652" s="21" t="s">
        <v>34</v>
      </c>
      <c r="E20652" s="21" t="s">
        <v>35</v>
      </c>
      <c r="F20652">
        <v>3560044</v>
      </c>
      <c r="G20652" t="s">
        <v>4890</v>
      </c>
      <c r="H20652" s="21">
        <v>729.92</v>
      </c>
    </row>
    <row r="20653" spans="1:8" customFormat="1" x14ac:dyDescent="0.25">
      <c r="A20653" t="str">
        <f>"8814123"</f>
        <v>8814123</v>
      </c>
      <c r="B20653" t="s">
        <v>15616</v>
      </c>
      <c r="C20653" t="s">
        <v>415</v>
      </c>
      <c r="D20653" s="21" t="s">
        <v>34</v>
      </c>
      <c r="E20653" s="21" t="s">
        <v>71</v>
      </c>
      <c r="F20653">
        <v>6880002</v>
      </c>
      <c r="G20653" t="s">
        <v>501</v>
      </c>
      <c r="H20653" s="21">
        <v>729.92</v>
      </c>
    </row>
    <row r="20654" spans="1:8" customFormat="1" x14ac:dyDescent="0.25">
      <c r="A20654" t="str">
        <f>"9422555"</f>
        <v>9422555</v>
      </c>
      <c r="B20654" t="s">
        <v>17260</v>
      </c>
      <c r="C20654" t="s">
        <v>269</v>
      </c>
      <c r="D20654" s="21" t="s">
        <v>34</v>
      </c>
      <c r="E20654" s="21" t="s">
        <v>35</v>
      </c>
      <c r="F20654">
        <v>8771518</v>
      </c>
      <c r="G20654" t="s">
        <v>12274</v>
      </c>
      <c r="H20654" s="21">
        <v>729.92</v>
      </c>
    </row>
    <row r="20655" spans="1:8" customFormat="1" x14ac:dyDescent="0.25">
      <c r="A20655" t="str">
        <f>"756196"</f>
        <v>756196</v>
      </c>
      <c r="B20655" t="s">
        <v>17370</v>
      </c>
      <c r="C20655" t="s">
        <v>598</v>
      </c>
      <c r="D20655" s="21" t="s">
        <v>34</v>
      </c>
      <c r="E20655" s="21" t="s">
        <v>71</v>
      </c>
      <c r="F20655">
        <v>9140156</v>
      </c>
      <c r="G20655" t="s">
        <v>645</v>
      </c>
      <c r="H20655" s="21">
        <v>729.67</v>
      </c>
    </row>
    <row r="20656" spans="1:8" customFormat="1" x14ac:dyDescent="0.25">
      <c r="A20656" t="str">
        <f>"633352"</f>
        <v>633352</v>
      </c>
      <c r="B20656" t="s">
        <v>11757</v>
      </c>
      <c r="C20656" t="s">
        <v>381</v>
      </c>
      <c r="D20656" s="21" t="s">
        <v>34</v>
      </c>
      <c r="E20656" s="21" t="s">
        <v>254</v>
      </c>
      <c r="F20656">
        <v>1630123</v>
      </c>
      <c r="G20656" t="s">
        <v>1036</v>
      </c>
      <c r="H20656" s="21">
        <v>729.67</v>
      </c>
    </row>
    <row r="20657" spans="1:8" customFormat="1" x14ac:dyDescent="0.25">
      <c r="A20657" t="str">
        <f>"1715821"</f>
        <v>1715821</v>
      </c>
      <c r="B20657" t="s">
        <v>4728</v>
      </c>
      <c r="C20657" t="s">
        <v>130</v>
      </c>
      <c r="D20657" s="21" t="s">
        <v>34</v>
      </c>
      <c r="E20657" s="21" t="s">
        <v>71</v>
      </c>
      <c r="F20657">
        <v>10170046</v>
      </c>
      <c r="G20657" t="s">
        <v>7370</v>
      </c>
      <c r="H20657" s="21">
        <v>729.67</v>
      </c>
    </row>
    <row r="20658" spans="1:8" customFormat="1" x14ac:dyDescent="0.25">
      <c r="A20658" t="str">
        <f>"4446372"</f>
        <v>4446372</v>
      </c>
      <c r="B20658" t="s">
        <v>15930</v>
      </c>
      <c r="C20658" t="s">
        <v>6774</v>
      </c>
      <c r="D20658" s="21" t="s">
        <v>34</v>
      </c>
      <c r="E20658" s="21" t="s">
        <v>35</v>
      </c>
      <c r="F20658">
        <v>12440020</v>
      </c>
      <c r="G20658" t="s">
        <v>4606</v>
      </c>
      <c r="H20658" s="21">
        <v>729.67</v>
      </c>
    </row>
    <row r="20659" spans="1:8" customFormat="1" x14ac:dyDescent="0.25">
      <c r="A20659" t="str">
        <f>"781579"</f>
        <v>781579</v>
      </c>
      <c r="B20659" t="s">
        <v>2282</v>
      </c>
      <c r="C20659" t="s">
        <v>1146</v>
      </c>
      <c r="D20659" s="21" t="s">
        <v>34</v>
      </c>
      <c r="E20659" s="21" t="s">
        <v>254</v>
      </c>
      <c r="F20659">
        <v>3560036</v>
      </c>
      <c r="G20659" t="s">
        <v>910</v>
      </c>
      <c r="H20659" s="21">
        <v>729.67</v>
      </c>
    </row>
    <row r="20660" spans="1:8" customFormat="1" x14ac:dyDescent="0.25">
      <c r="A20660" t="str">
        <f>"3720625"</f>
        <v>3720625</v>
      </c>
      <c r="B20660" t="s">
        <v>16348</v>
      </c>
      <c r="C20660" t="s">
        <v>263</v>
      </c>
      <c r="D20660" s="21" t="s">
        <v>34</v>
      </c>
      <c r="E20660" s="21" t="s">
        <v>1089</v>
      </c>
      <c r="F20660">
        <v>1730076</v>
      </c>
      <c r="G20660" t="s">
        <v>936</v>
      </c>
      <c r="H20660" s="21">
        <v>729.67</v>
      </c>
    </row>
    <row r="20661" spans="1:8" customFormat="1" x14ac:dyDescent="0.25">
      <c r="A20661" t="str">
        <f>"625025"</f>
        <v>625025</v>
      </c>
      <c r="B20661" t="s">
        <v>1888</v>
      </c>
      <c r="C20661" t="s">
        <v>879</v>
      </c>
      <c r="D20661" s="21" t="s">
        <v>34</v>
      </c>
      <c r="E20661" s="21" t="s">
        <v>1089</v>
      </c>
      <c r="F20661">
        <v>7620063</v>
      </c>
      <c r="G20661" t="s">
        <v>1889</v>
      </c>
      <c r="H20661" s="21">
        <v>729.67</v>
      </c>
    </row>
    <row r="20662" spans="1:8" customFormat="1" x14ac:dyDescent="0.25">
      <c r="A20662" t="str">
        <f>"492612"</f>
        <v>492612</v>
      </c>
      <c r="B20662" t="s">
        <v>2746</v>
      </c>
      <c r="C20662" t="s">
        <v>415</v>
      </c>
      <c r="D20662" s="21" t="s">
        <v>34</v>
      </c>
      <c r="E20662" s="21" t="s">
        <v>71</v>
      </c>
      <c r="F20662">
        <v>12490117</v>
      </c>
      <c r="G20662" t="s">
        <v>10141</v>
      </c>
      <c r="H20662" s="21">
        <v>729.67</v>
      </c>
    </row>
    <row r="20663" spans="1:8" customFormat="1" x14ac:dyDescent="0.25">
      <c r="A20663" t="str">
        <f>"0210581"</f>
        <v>0210581</v>
      </c>
      <c r="B20663" t="s">
        <v>185</v>
      </c>
      <c r="C20663" t="s">
        <v>124</v>
      </c>
      <c r="D20663" s="21" t="s">
        <v>34</v>
      </c>
      <c r="E20663" s="21" t="s">
        <v>71</v>
      </c>
      <c r="F20663">
        <v>7020044</v>
      </c>
      <c r="G20663" t="s">
        <v>4690</v>
      </c>
      <c r="H20663" s="21">
        <v>729.67</v>
      </c>
    </row>
    <row r="20664" spans="1:8" customFormat="1" x14ac:dyDescent="0.25">
      <c r="A20664" t="str">
        <f>"067034"</f>
        <v>067034</v>
      </c>
      <c r="B20664" t="s">
        <v>16029</v>
      </c>
      <c r="C20664" t="s">
        <v>1812</v>
      </c>
      <c r="D20664" s="21" t="s">
        <v>34</v>
      </c>
      <c r="E20664" s="21" t="s">
        <v>71</v>
      </c>
      <c r="F20664">
        <v>13060001</v>
      </c>
      <c r="G20664" t="s">
        <v>8961</v>
      </c>
      <c r="H20664" s="21">
        <v>729.67</v>
      </c>
    </row>
    <row r="20665" spans="1:8" customFormat="1" x14ac:dyDescent="0.25">
      <c r="A20665" t="str">
        <f>"9528098"</f>
        <v>9528098</v>
      </c>
      <c r="B20665" t="s">
        <v>16136</v>
      </c>
      <c r="C20665" t="s">
        <v>60</v>
      </c>
      <c r="D20665" s="21" t="s">
        <v>34</v>
      </c>
      <c r="E20665" s="21" t="s">
        <v>35</v>
      </c>
      <c r="F20665">
        <v>8950553</v>
      </c>
      <c r="G20665" t="s">
        <v>1058</v>
      </c>
      <c r="H20665" s="21">
        <v>729.67</v>
      </c>
    </row>
    <row r="20666" spans="1:8" customFormat="1" x14ac:dyDescent="0.25">
      <c r="A20666" t="str">
        <f>"492599"</f>
        <v>492599</v>
      </c>
      <c r="B20666" t="s">
        <v>14450</v>
      </c>
      <c r="C20666" t="s">
        <v>598</v>
      </c>
      <c r="D20666" s="21" t="s">
        <v>34</v>
      </c>
      <c r="E20666" s="21" t="s">
        <v>1089</v>
      </c>
      <c r="F20666">
        <v>12490117</v>
      </c>
      <c r="G20666" t="s">
        <v>10141</v>
      </c>
      <c r="H20666" s="21">
        <v>729.67</v>
      </c>
    </row>
    <row r="20667" spans="1:8" customFormat="1" x14ac:dyDescent="0.25">
      <c r="A20667" t="str">
        <f>"673832"</f>
        <v>673832</v>
      </c>
      <c r="B20667" t="s">
        <v>16022</v>
      </c>
      <c r="C20667" t="s">
        <v>275</v>
      </c>
      <c r="D20667" s="21" t="s">
        <v>34</v>
      </c>
      <c r="E20667" s="21" t="s">
        <v>35</v>
      </c>
      <c r="F20667">
        <v>6670041</v>
      </c>
      <c r="G20667" t="s">
        <v>1971</v>
      </c>
      <c r="H20667" s="21">
        <v>729.67</v>
      </c>
    </row>
    <row r="20668" spans="1:8" customFormat="1" x14ac:dyDescent="0.25">
      <c r="A20668" t="str">
        <f>"5019575"</f>
        <v>5019575</v>
      </c>
      <c r="B20668" t="s">
        <v>17105</v>
      </c>
      <c r="C20668" t="s">
        <v>547</v>
      </c>
      <c r="D20668" s="21" t="s">
        <v>34</v>
      </c>
      <c r="E20668" s="21" t="s">
        <v>254</v>
      </c>
      <c r="F20668">
        <v>9500058</v>
      </c>
      <c r="G20668" t="s">
        <v>1585</v>
      </c>
      <c r="H20668" s="21">
        <v>729.67</v>
      </c>
    </row>
    <row r="20669" spans="1:8" customFormat="1" x14ac:dyDescent="0.25">
      <c r="A20669" t="str">
        <f>"6112843"</f>
        <v>6112843</v>
      </c>
      <c r="B20669" t="s">
        <v>3661</v>
      </c>
      <c r="C20669" t="s">
        <v>62</v>
      </c>
      <c r="D20669" s="21" t="s">
        <v>34</v>
      </c>
      <c r="E20669" s="21" t="s">
        <v>35</v>
      </c>
      <c r="F20669">
        <v>9610087</v>
      </c>
      <c r="G20669" t="s">
        <v>2661</v>
      </c>
      <c r="H20669" s="21">
        <v>729.67</v>
      </c>
    </row>
    <row r="20670" spans="1:8" customFormat="1" x14ac:dyDescent="0.25">
      <c r="A20670" t="str">
        <f>"1714346"</f>
        <v>1714346</v>
      </c>
      <c r="B20670" t="s">
        <v>509</v>
      </c>
      <c r="C20670" t="s">
        <v>109</v>
      </c>
      <c r="D20670" s="21" t="s">
        <v>34</v>
      </c>
      <c r="E20670" s="21" t="s">
        <v>35</v>
      </c>
      <c r="F20670">
        <v>10170003</v>
      </c>
      <c r="G20670" t="s">
        <v>10432</v>
      </c>
      <c r="H20670" s="21">
        <v>729.67</v>
      </c>
    </row>
    <row r="20671" spans="1:8" customFormat="1" x14ac:dyDescent="0.25">
      <c r="A20671" t="str">
        <f>"4215879"</f>
        <v>4215879</v>
      </c>
      <c r="B20671" t="s">
        <v>6122</v>
      </c>
      <c r="C20671" t="s">
        <v>3648</v>
      </c>
      <c r="D20671" s="21" t="s">
        <v>34</v>
      </c>
      <c r="E20671" s="21" t="s">
        <v>254</v>
      </c>
      <c r="F20671">
        <v>1420106</v>
      </c>
      <c r="G20671" t="s">
        <v>6244</v>
      </c>
      <c r="H20671" s="21">
        <v>729.67</v>
      </c>
    </row>
    <row r="20672" spans="1:8" customFormat="1" x14ac:dyDescent="0.25">
      <c r="A20672" t="str">
        <f>"7840979"</f>
        <v>7840979</v>
      </c>
      <c r="B20672" t="s">
        <v>16106</v>
      </c>
      <c r="C20672" t="s">
        <v>90</v>
      </c>
      <c r="D20672" s="21" t="s">
        <v>34</v>
      </c>
      <c r="E20672" s="21" t="s">
        <v>71</v>
      </c>
      <c r="F20672">
        <v>8780128</v>
      </c>
      <c r="G20672" t="s">
        <v>4201</v>
      </c>
      <c r="H20672" s="21">
        <v>729.67</v>
      </c>
    </row>
    <row r="20673" spans="1:8" customFormat="1" x14ac:dyDescent="0.25">
      <c r="A20673" t="str">
        <f>"865586"</f>
        <v>865586</v>
      </c>
      <c r="B20673" t="s">
        <v>15282</v>
      </c>
      <c r="C20673" t="s">
        <v>288</v>
      </c>
      <c r="D20673" s="21" t="s">
        <v>34</v>
      </c>
      <c r="E20673" s="21" t="s">
        <v>35</v>
      </c>
      <c r="F20673">
        <v>10860005</v>
      </c>
      <c r="G20673" t="s">
        <v>7474</v>
      </c>
      <c r="H20673" s="21">
        <v>729.67</v>
      </c>
    </row>
    <row r="20674" spans="1:8" customFormat="1" x14ac:dyDescent="0.25">
      <c r="A20674" t="str">
        <f>"636798"</f>
        <v>636798</v>
      </c>
      <c r="B20674" t="s">
        <v>16263</v>
      </c>
      <c r="C20674" t="s">
        <v>239</v>
      </c>
      <c r="D20674" s="21" t="s">
        <v>34</v>
      </c>
      <c r="E20674" s="21" t="s">
        <v>254</v>
      </c>
      <c r="F20674">
        <v>1630308</v>
      </c>
      <c r="G20674" t="s">
        <v>8083</v>
      </c>
      <c r="H20674" s="21">
        <v>729.67</v>
      </c>
    </row>
    <row r="20675" spans="1:8" customFormat="1" x14ac:dyDescent="0.25">
      <c r="A20675" t="str">
        <f>"6023938"</f>
        <v>6023938</v>
      </c>
      <c r="B20675" t="s">
        <v>11177</v>
      </c>
      <c r="C20675" t="s">
        <v>139</v>
      </c>
      <c r="D20675" s="21" t="s">
        <v>34</v>
      </c>
      <c r="E20675" s="21" t="s">
        <v>35</v>
      </c>
      <c r="F20675">
        <v>7600031</v>
      </c>
      <c r="G20675" t="s">
        <v>3283</v>
      </c>
      <c r="H20675" s="21">
        <v>729.54</v>
      </c>
    </row>
    <row r="20676" spans="1:8" customFormat="1" x14ac:dyDescent="0.25">
      <c r="A20676" t="str">
        <f>"736733"</f>
        <v>736733</v>
      </c>
      <c r="B20676" t="s">
        <v>18348</v>
      </c>
      <c r="C20676" t="s">
        <v>33</v>
      </c>
      <c r="D20676" s="21" t="s">
        <v>34</v>
      </c>
      <c r="E20676" s="21" t="s">
        <v>71</v>
      </c>
      <c r="F20676">
        <v>1730051</v>
      </c>
      <c r="G20676" t="s">
        <v>5293</v>
      </c>
      <c r="H20676" s="21">
        <v>729.54</v>
      </c>
    </row>
    <row r="20677" spans="1:8" customFormat="1" x14ac:dyDescent="0.25">
      <c r="A20677" t="str">
        <f>"9234032"</f>
        <v>9234032</v>
      </c>
      <c r="B20677" t="s">
        <v>14308</v>
      </c>
      <c r="C20677" t="s">
        <v>3887</v>
      </c>
      <c r="D20677" s="21" t="s">
        <v>34</v>
      </c>
      <c r="E20677" s="21" t="s">
        <v>35</v>
      </c>
      <c r="F20677">
        <v>8920075</v>
      </c>
      <c r="G20677" t="s">
        <v>317</v>
      </c>
      <c r="H20677" s="21">
        <v>729.42</v>
      </c>
    </row>
    <row r="20678" spans="1:8" customFormat="1" x14ac:dyDescent="0.25">
      <c r="A20678" t="str">
        <f>"5618301"</f>
        <v>5618301</v>
      </c>
      <c r="B20678" t="s">
        <v>17194</v>
      </c>
      <c r="C20678" t="s">
        <v>239</v>
      </c>
      <c r="D20678" s="21" t="s">
        <v>34</v>
      </c>
      <c r="E20678" s="21" t="s">
        <v>71</v>
      </c>
      <c r="F20678">
        <v>3560043</v>
      </c>
      <c r="G20678" t="s">
        <v>11635</v>
      </c>
      <c r="H20678" s="21">
        <v>729.42</v>
      </c>
    </row>
    <row r="20679" spans="1:8" customFormat="1" x14ac:dyDescent="0.25">
      <c r="A20679" t="str">
        <f>"44510"</f>
        <v>44510</v>
      </c>
      <c r="B20679" t="s">
        <v>11984</v>
      </c>
      <c r="C20679" t="s">
        <v>249</v>
      </c>
      <c r="D20679" s="21" t="s">
        <v>34</v>
      </c>
      <c r="E20679" s="21" t="s">
        <v>71</v>
      </c>
      <c r="F20679">
        <v>12440017</v>
      </c>
      <c r="G20679" t="s">
        <v>7683</v>
      </c>
      <c r="H20679" s="21">
        <v>729.42</v>
      </c>
    </row>
    <row r="20680" spans="1:8" customFormat="1" x14ac:dyDescent="0.25">
      <c r="A20680" t="str">
        <f>"9141838"</f>
        <v>9141838</v>
      </c>
      <c r="B20680" t="s">
        <v>18512</v>
      </c>
      <c r="C20680" t="s">
        <v>204</v>
      </c>
      <c r="D20680" s="21" t="s">
        <v>34</v>
      </c>
      <c r="E20680" s="21" t="s">
        <v>35</v>
      </c>
      <c r="F20680">
        <v>8911064</v>
      </c>
      <c r="G20680" t="s">
        <v>2209</v>
      </c>
      <c r="H20680" s="21">
        <v>729.42</v>
      </c>
    </row>
    <row r="20681" spans="1:8" customFormat="1" x14ac:dyDescent="0.25">
      <c r="A20681" t="str">
        <f>"7113534"</f>
        <v>7113534</v>
      </c>
      <c r="B20681" t="s">
        <v>8789</v>
      </c>
      <c r="C20681" t="s">
        <v>415</v>
      </c>
      <c r="D20681" s="21" t="s">
        <v>34</v>
      </c>
      <c r="E20681" s="21" t="s">
        <v>35</v>
      </c>
      <c r="F20681">
        <v>2710082</v>
      </c>
      <c r="G20681" t="s">
        <v>7738</v>
      </c>
      <c r="H20681" s="21">
        <v>729.42</v>
      </c>
    </row>
    <row r="20682" spans="1:8" customFormat="1" x14ac:dyDescent="0.25">
      <c r="A20682" t="str">
        <f>"2617898"</f>
        <v>2617898</v>
      </c>
      <c r="B20682" t="s">
        <v>17301</v>
      </c>
      <c r="C20682" t="s">
        <v>459</v>
      </c>
      <c r="D20682" s="21" t="s">
        <v>34</v>
      </c>
      <c r="E20682" s="21" t="s">
        <v>71</v>
      </c>
      <c r="F20682">
        <v>1260040</v>
      </c>
      <c r="G20682" t="s">
        <v>10768</v>
      </c>
      <c r="H20682" s="21">
        <v>729.42</v>
      </c>
    </row>
    <row r="20683" spans="1:8" customFormat="1" x14ac:dyDescent="0.25">
      <c r="A20683" t="str">
        <f>"02282"</f>
        <v>02282</v>
      </c>
      <c r="B20683" t="s">
        <v>16753</v>
      </c>
      <c r="C20683" t="s">
        <v>2520</v>
      </c>
      <c r="D20683" s="21" t="s">
        <v>34</v>
      </c>
      <c r="E20683" s="21" t="s">
        <v>1089</v>
      </c>
      <c r="F20683">
        <v>7020044</v>
      </c>
      <c r="G20683" t="s">
        <v>4690</v>
      </c>
      <c r="H20683" s="21">
        <v>729.17</v>
      </c>
    </row>
    <row r="20684" spans="1:8" customFormat="1" x14ac:dyDescent="0.25">
      <c r="A20684" t="str">
        <f>"5319281"</f>
        <v>5319281</v>
      </c>
      <c r="B20684" t="s">
        <v>17836</v>
      </c>
      <c r="C20684" t="s">
        <v>119</v>
      </c>
      <c r="D20684" s="21" t="s">
        <v>34</v>
      </c>
      <c r="E20684" s="21" t="s">
        <v>35</v>
      </c>
      <c r="F20684">
        <v>12538899</v>
      </c>
      <c r="G20684" t="s">
        <v>10436</v>
      </c>
      <c r="H20684" s="21">
        <v>729.17</v>
      </c>
    </row>
    <row r="20685" spans="1:8" customFormat="1" x14ac:dyDescent="0.25">
      <c r="A20685" t="str">
        <f>"035988"</f>
        <v>035988</v>
      </c>
      <c r="B20685" t="s">
        <v>17624</v>
      </c>
      <c r="C20685" t="s">
        <v>598</v>
      </c>
      <c r="D20685" s="21" t="s">
        <v>34</v>
      </c>
      <c r="E20685" s="21" t="s">
        <v>71</v>
      </c>
      <c r="F20685">
        <v>1030227</v>
      </c>
      <c r="G20685" t="s">
        <v>5679</v>
      </c>
      <c r="H20685" s="21">
        <v>729.17</v>
      </c>
    </row>
    <row r="20686" spans="1:8" customFormat="1" x14ac:dyDescent="0.25">
      <c r="A20686" t="str">
        <f>"5978946"</f>
        <v>5978946</v>
      </c>
      <c r="B20686" t="s">
        <v>108</v>
      </c>
      <c r="C20686" t="s">
        <v>328</v>
      </c>
      <c r="D20686" s="21" t="s">
        <v>34</v>
      </c>
      <c r="E20686" s="21" t="s">
        <v>71</v>
      </c>
      <c r="F20686">
        <v>7590006</v>
      </c>
      <c r="G20686" t="s">
        <v>4165</v>
      </c>
      <c r="H20686" s="21">
        <v>729.17</v>
      </c>
    </row>
    <row r="20687" spans="1:8" customFormat="1" x14ac:dyDescent="0.25">
      <c r="A20687" t="str">
        <f>"7211356"</f>
        <v>7211356</v>
      </c>
      <c r="B20687" t="s">
        <v>17454</v>
      </c>
      <c r="C20687" t="s">
        <v>288</v>
      </c>
      <c r="D20687" s="21" t="s">
        <v>34</v>
      </c>
      <c r="E20687" s="21" t="s">
        <v>35</v>
      </c>
      <c r="F20687">
        <v>12720034</v>
      </c>
      <c r="G20687" t="s">
        <v>4561</v>
      </c>
      <c r="H20687" s="21">
        <v>729.17</v>
      </c>
    </row>
    <row r="20688" spans="1:8" customFormat="1" x14ac:dyDescent="0.25">
      <c r="A20688" t="str">
        <f>"631599"</f>
        <v>631599</v>
      </c>
      <c r="B20688" t="s">
        <v>16352</v>
      </c>
      <c r="C20688" t="s">
        <v>249</v>
      </c>
      <c r="D20688" s="21" t="s">
        <v>34</v>
      </c>
      <c r="E20688" s="21" t="s">
        <v>254</v>
      </c>
      <c r="F20688">
        <v>1630289</v>
      </c>
      <c r="G20688" t="s">
        <v>8900</v>
      </c>
      <c r="H20688" s="21">
        <v>729.17</v>
      </c>
    </row>
    <row r="20689" spans="1:8" customFormat="1" x14ac:dyDescent="0.25">
      <c r="A20689" t="str">
        <f>"405784"</f>
        <v>405784</v>
      </c>
      <c r="B20689" t="s">
        <v>2078</v>
      </c>
      <c r="C20689" t="s">
        <v>55</v>
      </c>
      <c r="D20689" s="21" t="s">
        <v>34</v>
      </c>
      <c r="E20689" s="21" t="s">
        <v>35</v>
      </c>
      <c r="F20689">
        <v>10400025</v>
      </c>
      <c r="G20689" t="s">
        <v>5655</v>
      </c>
      <c r="H20689" s="21">
        <v>729.17</v>
      </c>
    </row>
    <row r="20690" spans="1:8" customFormat="1" x14ac:dyDescent="0.25">
      <c r="A20690" t="str">
        <f>"5016814"</f>
        <v>5016814</v>
      </c>
      <c r="B20690" t="s">
        <v>16127</v>
      </c>
      <c r="C20690" t="s">
        <v>209</v>
      </c>
      <c r="D20690" s="21" t="s">
        <v>34</v>
      </c>
      <c r="E20690" s="21" t="s">
        <v>71</v>
      </c>
      <c r="F20690">
        <v>9500107</v>
      </c>
      <c r="G20690" t="s">
        <v>9792</v>
      </c>
      <c r="H20690" s="21">
        <v>729.17</v>
      </c>
    </row>
    <row r="20691" spans="1:8" customFormat="1" x14ac:dyDescent="0.25">
      <c r="A20691" t="str">
        <f>"9448550"</f>
        <v>9448550</v>
      </c>
      <c r="B20691" t="s">
        <v>18526</v>
      </c>
      <c r="C20691" t="s">
        <v>18527</v>
      </c>
      <c r="D20691" s="21" t="s">
        <v>34</v>
      </c>
      <c r="E20691" s="21" t="s">
        <v>71</v>
      </c>
      <c r="F20691">
        <v>8940073</v>
      </c>
      <c r="G20691" t="s">
        <v>1085</v>
      </c>
      <c r="H20691" s="21">
        <v>729.17</v>
      </c>
    </row>
    <row r="20692" spans="1:8" customFormat="1" x14ac:dyDescent="0.25">
      <c r="A20692" t="str">
        <f>"072206"</f>
        <v>072206</v>
      </c>
      <c r="B20692" t="s">
        <v>27614</v>
      </c>
      <c r="C20692" t="s">
        <v>576</v>
      </c>
      <c r="D20692" s="21" t="s">
        <v>34</v>
      </c>
      <c r="E20692" s="21" t="s">
        <v>35</v>
      </c>
      <c r="F20692">
        <v>4370464</v>
      </c>
      <c r="G20692" t="s">
        <v>5348</v>
      </c>
      <c r="H20692" s="21">
        <v>729.17</v>
      </c>
    </row>
    <row r="20693" spans="1:8" customFormat="1" x14ac:dyDescent="0.25">
      <c r="A20693" t="str">
        <f>"6227300"</f>
        <v>6227300</v>
      </c>
      <c r="B20693" t="s">
        <v>7301</v>
      </c>
      <c r="C20693" t="s">
        <v>719</v>
      </c>
      <c r="D20693" s="21" t="s">
        <v>34</v>
      </c>
      <c r="E20693" s="21" t="s">
        <v>35</v>
      </c>
      <c r="F20693">
        <v>7620092</v>
      </c>
      <c r="G20693" t="s">
        <v>9874</v>
      </c>
      <c r="H20693" s="21">
        <v>729.17</v>
      </c>
    </row>
    <row r="20694" spans="1:8" customFormat="1" x14ac:dyDescent="0.25">
      <c r="A20694" t="str">
        <f>"7632867"</f>
        <v>7632867</v>
      </c>
      <c r="B20694" t="s">
        <v>13251</v>
      </c>
      <c r="C20694" t="s">
        <v>119</v>
      </c>
      <c r="D20694" s="21" t="s">
        <v>34</v>
      </c>
      <c r="E20694" s="21" t="s">
        <v>35</v>
      </c>
      <c r="F20694">
        <v>9760420</v>
      </c>
      <c r="G20694" t="s">
        <v>11290</v>
      </c>
      <c r="H20694" s="21">
        <v>729.17</v>
      </c>
    </row>
    <row r="20695" spans="1:8" customFormat="1" x14ac:dyDescent="0.25">
      <c r="A20695" t="str">
        <f>"2511122"</f>
        <v>2511122</v>
      </c>
      <c r="B20695" t="s">
        <v>17004</v>
      </c>
      <c r="C20695" t="s">
        <v>825</v>
      </c>
      <c r="D20695" s="21" t="s">
        <v>34</v>
      </c>
      <c r="E20695" s="21" t="s">
        <v>71</v>
      </c>
      <c r="F20695">
        <v>2250137</v>
      </c>
      <c r="G20695" t="s">
        <v>182</v>
      </c>
      <c r="H20695" s="21">
        <v>729.17</v>
      </c>
    </row>
    <row r="20696" spans="1:8" customFormat="1" x14ac:dyDescent="0.25">
      <c r="A20696" t="str">
        <f>"5718514"</f>
        <v>5718514</v>
      </c>
      <c r="B20696" t="s">
        <v>15154</v>
      </c>
      <c r="C20696" t="s">
        <v>147</v>
      </c>
      <c r="D20696" s="21" t="s">
        <v>34</v>
      </c>
      <c r="E20696" s="21" t="s">
        <v>254</v>
      </c>
      <c r="F20696">
        <v>6570024</v>
      </c>
      <c r="G20696" t="s">
        <v>464</v>
      </c>
      <c r="H20696" s="21">
        <v>729.17</v>
      </c>
    </row>
    <row r="20697" spans="1:8" customFormat="1" x14ac:dyDescent="0.25">
      <c r="A20697" t="str">
        <f>"9424152"</f>
        <v>9424152</v>
      </c>
      <c r="B20697" t="s">
        <v>27615</v>
      </c>
      <c r="C20697" t="s">
        <v>462</v>
      </c>
      <c r="D20697" s="21" t="s">
        <v>34</v>
      </c>
      <c r="E20697" s="21" t="s">
        <v>254</v>
      </c>
      <c r="F20697">
        <v>8941359</v>
      </c>
      <c r="G20697" t="s">
        <v>14474</v>
      </c>
      <c r="H20697" s="21">
        <v>729</v>
      </c>
    </row>
    <row r="20698" spans="1:8" customFormat="1" x14ac:dyDescent="0.25">
      <c r="A20698" t="str">
        <f>"1317611"</f>
        <v>1317611</v>
      </c>
      <c r="B20698" t="s">
        <v>27616</v>
      </c>
      <c r="C20698" t="s">
        <v>10760</v>
      </c>
      <c r="D20698" s="21" t="s">
        <v>34</v>
      </c>
      <c r="E20698" s="21" t="s">
        <v>35</v>
      </c>
      <c r="F20698">
        <v>13130133</v>
      </c>
      <c r="G20698" t="s">
        <v>12333</v>
      </c>
      <c r="H20698" s="21">
        <v>728.92</v>
      </c>
    </row>
    <row r="20699" spans="1:8" customFormat="1" x14ac:dyDescent="0.25">
      <c r="A20699" t="str">
        <f>"653614"</f>
        <v>653614</v>
      </c>
      <c r="B20699" t="s">
        <v>19404</v>
      </c>
      <c r="C20699" t="s">
        <v>598</v>
      </c>
      <c r="D20699" s="21" t="s">
        <v>34</v>
      </c>
      <c r="E20699" s="21" t="s">
        <v>254</v>
      </c>
      <c r="F20699">
        <v>11650034</v>
      </c>
      <c r="G20699" t="s">
        <v>1989</v>
      </c>
      <c r="H20699" s="21">
        <v>728.92</v>
      </c>
    </row>
    <row r="20700" spans="1:8" customFormat="1" x14ac:dyDescent="0.25">
      <c r="A20700" t="str">
        <f>"4430625"</f>
        <v>4430625</v>
      </c>
      <c r="B20700" t="s">
        <v>2054</v>
      </c>
      <c r="C20700" t="s">
        <v>2232</v>
      </c>
      <c r="D20700" s="21" t="s">
        <v>34</v>
      </c>
      <c r="E20700" s="21" t="s">
        <v>71</v>
      </c>
      <c r="F20700">
        <v>12440131</v>
      </c>
      <c r="G20700" t="s">
        <v>15572</v>
      </c>
      <c r="H20700" s="21">
        <v>728.92</v>
      </c>
    </row>
    <row r="20701" spans="1:8" customFormat="1" x14ac:dyDescent="0.25">
      <c r="A20701" t="str">
        <f>"621723"</f>
        <v>621723</v>
      </c>
      <c r="B20701" t="s">
        <v>8281</v>
      </c>
      <c r="C20701" t="s">
        <v>453</v>
      </c>
      <c r="D20701" s="21" t="s">
        <v>34</v>
      </c>
      <c r="E20701" s="21" t="s">
        <v>71</v>
      </c>
      <c r="F20701">
        <v>7620108</v>
      </c>
      <c r="G20701" t="s">
        <v>3035</v>
      </c>
      <c r="H20701" s="21">
        <v>728.67</v>
      </c>
    </row>
    <row r="20702" spans="1:8" customFormat="1" x14ac:dyDescent="0.25">
      <c r="A20702" t="str">
        <f>"665697"</f>
        <v>665697</v>
      </c>
      <c r="B20702" t="s">
        <v>17510</v>
      </c>
      <c r="C20702" t="s">
        <v>109</v>
      </c>
      <c r="D20702" s="21" t="s">
        <v>34</v>
      </c>
      <c r="E20702" s="21" t="s">
        <v>71</v>
      </c>
      <c r="F20702">
        <v>11660011</v>
      </c>
      <c r="G20702" t="s">
        <v>4641</v>
      </c>
      <c r="H20702" s="21">
        <v>728.67</v>
      </c>
    </row>
    <row r="20703" spans="1:8" customFormat="1" x14ac:dyDescent="0.25">
      <c r="A20703" t="str">
        <f>"3531910"</f>
        <v>3531910</v>
      </c>
      <c r="B20703" t="s">
        <v>4419</v>
      </c>
      <c r="C20703" t="s">
        <v>285</v>
      </c>
      <c r="D20703" s="21" t="s">
        <v>34</v>
      </c>
      <c r="E20703" s="21" t="s">
        <v>35</v>
      </c>
      <c r="F20703">
        <v>3350217</v>
      </c>
      <c r="G20703" t="s">
        <v>6797</v>
      </c>
      <c r="H20703" s="21">
        <v>728.67</v>
      </c>
    </row>
    <row r="20704" spans="1:8" customFormat="1" x14ac:dyDescent="0.25">
      <c r="A20704" t="str">
        <f>"0611491"</f>
        <v>0611491</v>
      </c>
      <c r="B20704" t="s">
        <v>2398</v>
      </c>
      <c r="C20704" t="s">
        <v>87</v>
      </c>
      <c r="D20704" s="21" t="s">
        <v>34</v>
      </c>
      <c r="E20704" s="21" t="s">
        <v>254</v>
      </c>
      <c r="F20704">
        <v>13060063</v>
      </c>
      <c r="G20704" t="s">
        <v>2001</v>
      </c>
      <c r="H20704" s="21">
        <v>728.67</v>
      </c>
    </row>
    <row r="20705" spans="1:8" customFormat="1" x14ac:dyDescent="0.25">
      <c r="A20705" t="str">
        <f>"7869908"</f>
        <v>7869908</v>
      </c>
      <c r="B20705" t="s">
        <v>16925</v>
      </c>
      <c r="C20705" t="s">
        <v>16926</v>
      </c>
      <c r="D20705" s="21" t="s">
        <v>34</v>
      </c>
      <c r="E20705" s="21" t="s">
        <v>35</v>
      </c>
      <c r="F20705">
        <v>8781473</v>
      </c>
      <c r="G20705" t="s">
        <v>1097</v>
      </c>
      <c r="H20705" s="21">
        <v>728.67</v>
      </c>
    </row>
    <row r="20706" spans="1:8" customFormat="1" x14ac:dyDescent="0.25">
      <c r="A20706" t="str">
        <f>"3523535"</f>
        <v>3523535</v>
      </c>
      <c r="B20706" t="s">
        <v>15458</v>
      </c>
      <c r="C20706" t="s">
        <v>209</v>
      </c>
      <c r="D20706" s="21" t="s">
        <v>34</v>
      </c>
      <c r="E20706" s="21" t="s">
        <v>35</v>
      </c>
      <c r="F20706">
        <v>3350233</v>
      </c>
      <c r="G20706" t="s">
        <v>27023</v>
      </c>
      <c r="H20706" s="21">
        <v>728.67</v>
      </c>
    </row>
    <row r="20707" spans="1:8" customFormat="1" x14ac:dyDescent="0.25">
      <c r="A20707" t="str">
        <f>"6226948"</f>
        <v>6226948</v>
      </c>
      <c r="B20707" t="s">
        <v>15774</v>
      </c>
      <c r="C20707" t="s">
        <v>285</v>
      </c>
      <c r="D20707" s="21" t="s">
        <v>34</v>
      </c>
      <c r="E20707" s="21" t="s">
        <v>35</v>
      </c>
      <c r="F20707">
        <v>13830066</v>
      </c>
      <c r="G20707" t="s">
        <v>7148</v>
      </c>
      <c r="H20707" s="21">
        <v>728.67</v>
      </c>
    </row>
    <row r="20708" spans="1:8" customFormat="1" x14ac:dyDescent="0.25">
      <c r="A20708" t="str">
        <f>"717070"</f>
        <v>717070</v>
      </c>
      <c r="B20708" t="s">
        <v>15807</v>
      </c>
      <c r="C20708" t="s">
        <v>233</v>
      </c>
      <c r="D20708" s="21" t="s">
        <v>34</v>
      </c>
      <c r="E20708" s="21" t="s">
        <v>71</v>
      </c>
      <c r="F20708">
        <v>2710025</v>
      </c>
      <c r="G20708" t="s">
        <v>2719</v>
      </c>
      <c r="H20708" s="21">
        <v>728.67</v>
      </c>
    </row>
    <row r="20709" spans="1:8" customFormat="1" x14ac:dyDescent="0.25">
      <c r="A20709" t="str">
        <f>"4427568"</f>
        <v>4427568</v>
      </c>
      <c r="B20709" t="s">
        <v>16418</v>
      </c>
      <c r="C20709" t="s">
        <v>55</v>
      </c>
      <c r="D20709" s="21" t="s">
        <v>34</v>
      </c>
      <c r="E20709" s="21" t="s">
        <v>71</v>
      </c>
      <c r="F20709">
        <v>12440012</v>
      </c>
      <c r="G20709" t="s">
        <v>807</v>
      </c>
      <c r="H20709" s="21">
        <v>728.67</v>
      </c>
    </row>
    <row r="20710" spans="1:8" customFormat="1" x14ac:dyDescent="0.25">
      <c r="A20710" t="str">
        <f>"578966"</f>
        <v>578966</v>
      </c>
      <c r="B20710" t="s">
        <v>15064</v>
      </c>
      <c r="C20710" t="s">
        <v>239</v>
      </c>
      <c r="D20710" s="21" t="s">
        <v>34</v>
      </c>
      <c r="E20710" s="21" t="s">
        <v>35</v>
      </c>
      <c r="F20710">
        <v>6570016</v>
      </c>
      <c r="G20710" t="s">
        <v>11808</v>
      </c>
      <c r="H20710" s="21">
        <v>728.67</v>
      </c>
    </row>
    <row r="20711" spans="1:8" customFormat="1" x14ac:dyDescent="0.25">
      <c r="A20711" t="str">
        <f>"5318420"</f>
        <v>5318420</v>
      </c>
      <c r="B20711" t="s">
        <v>2487</v>
      </c>
      <c r="C20711" t="s">
        <v>139</v>
      </c>
      <c r="D20711" s="21" t="s">
        <v>34</v>
      </c>
      <c r="E20711" s="21" t="s">
        <v>35</v>
      </c>
      <c r="F20711">
        <v>12530096</v>
      </c>
      <c r="G20711" t="s">
        <v>8595</v>
      </c>
      <c r="H20711" s="21">
        <v>728.67</v>
      </c>
    </row>
    <row r="20712" spans="1:8" customFormat="1" x14ac:dyDescent="0.25">
      <c r="A20712" t="str">
        <f>"1413334"</f>
        <v>1413334</v>
      </c>
      <c r="B20712" t="s">
        <v>5783</v>
      </c>
      <c r="C20712" t="s">
        <v>33</v>
      </c>
      <c r="D20712" s="21" t="s">
        <v>34</v>
      </c>
      <c r="E20712" s="21" t="s">
        <v>35</v>
      </c>
      <c r="F20712">
        <v>9140111</v>
      </c>
      <c r="G20712" t="s">
        <v>3601</v>
      </c>
      <c r="H20712" s="21">
        <v>728.67</v>
      </c>
    </row>
    <row r="20713" spans="1:8" customFormat="1" x14ac:dyDescent="0.25">
      <c r="A20713" t="str">
        <f>"594369"</f>
        <v>594369</v>
      </c>
      <c r="B20713" t="s">
        <v>465</v>
      </c>
      <c r="C20713" t="s">
        <v>239</v>
      </c>
      <c r="D20713" s="21" t="s">
        <v>34</v>
      </c>
      <c r="E20713" s="21" t="s">
        <v>254</v>
      </c>
      <c r="F20713">
        <v>7590027</v>
      </c>
      <c r="G20713" t="s">
        <v>629</v>
      </c>
      <c r="H20713" s="21">
        <v>728.67</v>
      </c>
    </row>
    <row r="20714" spans="1:8" customFormat="1" x14ac:dyDescent="0.25">
      <c r="A20714" t="str">
        <f>"5316152"</f>
        <v>5316152</v>
      </c>
      <c r="B20714" t="s">
        <v>17558</v>
      </c>
      <c r="C20714" t="s">
        <v>854</v>
      </c>
      <c r="D20714" s="21" t="s">
        <v>34</v>
      </c>
      <c r="E20714" s="21" t="s">
        <v>71</v>
      </c>
      <c r="F20714">
        <v>3350010</v>
      </c>
      <c r="G20714" t="s">
        <v>14315</v>
      </c>
      <c r="H20714" s="21">
        <v>728.67</v>
      </c>
    </row>
    <row r="20715" spans="1:8" customFormat="1" x14ac:dyDescent="0.25">
      <c r="A20715" t="str">
        <f>"611308"</f>
        <v>611308</v>
      </c>
      <c r="B20715" t="s">
        <v>146</v>
      </c>
      <c r="C20715" t="s">
        <v>2479</v>
      </c>
      <c r="D20715" s="21" t="s">
        <v>34</v>
      </c>
      <c r="E20715" s="21" t="s">
        <v>254</v>
      </c>
      <c r="F20715">
        <v>9610002</v>
      </c>
      <c r="G20715" t="s">
        <v>75</v>
      </c>
      <c r="H20715" s="21">
        <v>728.67</v>
      </c>
    </row>
    <row r="20716" spans="1:8" customFormat="1" x14ac:dyDescent="0.25">
      <c r="A20716" t="str">
        <f>"597171"</f>
        <v>597171</v>
      </c>
      <c r="B20716" t="s">
        <v>4424</v>
      </c>
      <c r="C20716" t="s">
        <v>453</v>
      </c>
      <c r="D20716" s="21" t="s">
        <v>34</v>
      </c>
      <c r="E20716" s="21" t="s">
        <v>71</v>
      </c>
      <c r="F20716">
        <v>7590008</v>
      </c>
      <c r="G20716" t="s">
        <v>110</v>
      </c>
      <c r="H20716" s="21">
        <v>728.67</v>
      </c>
    </row>
    <row r="20717" spans="1:8" customFormat="1" x14ac:dyDescent="0.25">
      <c r="A20717" t="str">
        <f>"7639963"</f>
        <v>7639963</v>
      </c>
      <c r="B20717" t="s">
        <v>19642</v>
      </c>
      <c r="C20717" t="s">
        <v>269</v>
      </c>
      <c r="D20717" s="21" t="s">
        <v>34</v>
      </c>
      <c r="E20717" s="21" t="s">
        <v>35</v>
      </c>
      <c r="F20717">
        <v>9760025</v>
      </c>
      <c r="G20717" t="s">
        <v>2620</v>
      </c>
      <c r="H20717" s="21">
        <v>728.67</v>
      </c>
    </row>
    <row r="20718" spans="1:8" customFormat="1" x14ac:dyDescent="0.25">
      <c r="A20718" t="str">
        <f>"1310433"</f>
        <v>1310433</v>
      </c>
      <c r="B20718" t="s">
        <v>16612</v>
      </c>
      <c r="C20718" t="s">
        <v>109</v>
      </c>
      <c r="D20718" s="21" t="s">
        <v>34</v>
      </c>
      <c r="E20718" s="21" t="s">
        <v>35</v>
      </c>
      <c r="F20718">
        <v>13130161</v>
      </c>
      <c r="G20718" t="s">
        <v>1171</v>
      </c>
      <c r="H20718" s="21">
        <v>728.54</v>
      </c>
    </row>
    <row r="20719" spans="1:8" customFormat="1" x14ac:dyDescent="0.25">
      <c r="A20719" t="str">
        <f>"536377"</f>
        <v>536377</v>
      </c>
      <c r="B20719" t="s">
        <v>7241</v>
      </c>
      <c r="C20719" t="s">
        <v>462</v>
      </c>
      <c r="D20719" s="21" t="s">
        <v>34</v>
      </c>
      <c r="E20719" s="21" t="s">
        <v>71</v>
      </c>
      <c r="F20719">
        <v>12530112</v>
      </c>
      <c r="G20719" t="s">
        <v>4617</v>
      </c>
      <c r="H20719" s="21">
        <v>728.42</v>
      </c>
    </row>
    <row r="20720" spans="1:8" customFormat="1" x14ac:dyDescent="0.25">
      <c r="A20720" t="str">
        <f>"842988"</f>
        <v>842988</v>
      </c>
      <c r="B20720" t="s">
        <v>4970</v>
      </c>
      <c r="C20720" t="s">
        <v>652</v>
      </c>
      <c r="D20720" s="21" t="s">
        <v>34</v>
      </c>
      <c r="E20720" s="21" t="s">
        <v>1089</v>
      </c>
      <c r="F20720">
        <v>13840001</v>
      </c>
      <c r="G20720" t="s">
        <v>972</v>
      </c>
      <c r="H20720" s="21">
        <v>728.42</v>
      </c>
    </row>
    <row r="20721" spans="1:8" customFormat="1" x14ac:dyDescent="0.25">
      <c r="A20721" t="str">
        <f>"678296"</f>
        <v>678296</v>
      </c>
      <c r="B20721" t="s">
        <v>16402</v>
      </c>
      <c r="C20721" t="s">
        <v>114</v>
      </c>
      <c r="D20721" s="21" t="s">
        <v>34</v>
      </c>
      <c r="E20721" s="21" t="s">
        <v>71</v>
      </c>
      <c r="F20721">
        <v>6670200</v>
      </c>
      <c r="G20721" t="s">
        <v>27156</v>
      </c>
      <c r="H20721" s="21">
        <v>728.42</v>
      </c>
    </row>
    <row r="20722" spans="1:8" customFormat="1" x14ac:dyDescent="0.25">
      <c r="A20722" t="str">
        <f>"8811960"</f>
        <v>8811960</v>
      </c>
      <c r="B20722" t="s">
        <v>2690</v>
      </c>
      <c r="C20722" t="s">
        <v>40</v>
      </c>
      <c r="D20722" s="21" t="s">
        <v>34</v>
      </c>
      <c r="E20722" s="21" t="s">
        <v>71</v>
      </c>
      <c r="F20722">
        <v>4370284</v>
      </c>
      <c r="G20722" t="s">
        <v>3584</v>
      </c>
      <c r="H20722" s="21">
        <v>728.17</v>
      </c>
    </row>
    <row r="20723" spans="1:8" customFormat="1" x14ac:dyDescent="0.25">
      <c r="A20723" t="str">
        <f>"5941643"</f>
        <v>5941643</v>
      </c>
      <c r="B20723" t="s">
        <v>14361</v>
      </c>
      <c r="C20723" t="s">
        <v>109</v>
      </c>
      <c r="D20723" s="21" t="s">
        <v>34</v>
      </c>
      <c r="E20723" s="21" t="s">
        <v>35</v>
      </c>
      <c r="F20723">
        <v>7590392</v>
      </c>
      <c r="G20723" t="s">
        <v>154</v>
      </c>
      <c r="H20723" s="21">
        <v>728.17</v>
      </c>
    </row>
    <row r="20724" spans="1:8" customFormat="1" x14ac:dyDescent="0.25">
      <c r="A20724" t="str">
        <f>"6214888"</f>
        <v>6214888</v>
      </c>
      <c r="B20724" t="s">
        <v>16966</v>
      </c>
      <c r="C20724" t="s">
        <v>263</v>
      </c>
      <c r="D20724" s="21" t="s">
        <v>34</v>
      </c>
      <c r="E20724" s="21" t="s">
        <v>71</v>
      </c>
      <c r="F20724">
        <v>7620032</v>
      </c>
      <c r="G20724" t="s">
        <v>11181</v>
      </c>
      <c r="H20724" s="21">
        <v>728.17</v>
      </c>
    </row>
    <row r="20725" spans="1:8" customFormat="1" x14ac:dyDescent="0.25">
      <c r="A20725" t="str">
        <f>"5911060"</f>
        <v>5911060</v>
      </c>
      <c r="B20725" t="s">
        <v>10032</v>
      </c>
      <c r="C20725" t="s">
        <v>62</v>
      </c>
      <c r="D20725" s="21" t="s">
        <v>34</v>
      </c>
      <c r="E20725" s="21" t="s">
        <v>35</v>
      </c>
      <c r="F20725">
        <v>7590088</v>
      </c>
      <c r="G20725" t="s">
        <v>11178</v>
      </c>
      <c r="H20725" s="21">
        <v>728.17</v>
      </c>
    </row>
    <row r="20726" spans="1:8" customFormat="1" x14ac:dyDescent="0.25">
      <c r="A20726" t="str">
        <f>"9241437"</f>
        <v>9241437</v>
      </c>
      <c r="B20726" t="s">
        <v>16141</v>
      </c>
      <c r="C20726" t="s">
        <v>209</v>
      </c>
      <c r="D20726" s="21" t="s">
        <v>34</v>
      </c>
      <c r="E20726" s="21" t="s">
        <v>35</v>
      </c>
      <c r="F20726">
        <v>8921164</v>
      </c>
      <c r="G20726" t="s">
        <v>5203</v>
      </c>
      <c r="H20726" s="21">
        <v>728.17</v>
      </c>
    </row>
    <row r="20727" spans="1:8" customFormat="1" x14ac:dyDescent="0.25">
      <c r="A20727" t="str">
        <f>"9520277"</f>
        <v>9520277</v>
      </c>
      <c r="B20727" t="s">
        <v>146</v>
      </c>
      <c r="C20727" t="s">
        <v>127</v>
      </c>
      <c r="D20727" s="21" t="s">
        <v>34</v>
      </c>
      <c r="E20727" s="21" t="s">
        <v>35</v>
      </c>
      <c r="F20727">
        <v>8950917</v>
      </c>
      <c r="G20727" t="s">
        <v>3823</v>
      </c>
      <c r="H20727" s="21">
        <v>728.17</v>
      </c>
    </row>
    <row r="20728" spans="1:8" customFormat="1" x14ac:dyDescent="0.25">
      <c r="A20728" t="str">
        <f>"5616373"</f>
        <v>5616373</v>
      </c>
      <c r="B20728" t="s">
        <v>4027</v>
      </c>
      <c r="C20728" t="s">
        <v>60</v>
      </c>
      <c r="D20728" s="21" t="s">
        <v>34</v>
      </c>
      <c r="E20728" s="21" t="s">
        <v>35</v>
      </c>
      <c r="F20728">
        <v>3560063</v>
      </c>
      <c r="G20728" t="s">
        <v>16878</v>
      </c>
      <c r="H20728" s="21">
        <v>728.17</v>
      </c>
    </row>
    <row r="20729" spans="1:8" customFormat="1" x14ac:dyDescent="0.25">
      <c r="A20729" t="str">
        <f>"02187"</f>
        <v>02187</v>
      </c>
      <c r="B20729" t="s">
        <v>5982</v>
      </c>
      <c r="C20729" t="s">
        <v>1812</v>
      </c>
      <c r="D20729" s="21" t="s">
        <v>34</v>
      </c>
      <c r="E20729" s="21" t="s">
        <v>254</v>
      </c>
      <c r="F20729">
        <v>7020009</v>
      </c>
      <c r="G20729" t="s">
        <v>3362</v>
      </c>
      <c r="H20729" s="21">
        <v>728.17</v>
      </c>
    </row>
    <row r="20730" spans="1:8" customFormat="1" x14ac:dyDescent="0.25">
      <c r="A20730" t="str">
        <f>"2812257"</f>
        <v>2812257</v>
      </c>
      <c r="B20730" t="s">
        <v>16289</v>
      </c>
      <c r="C20730" t="s">
        <v>5525</v>
      </c>
      <c r="D20730" s="21" t="s">
        <v>34</v>
      </c>
      <c r="E20730" s="21" t="s">
        <v>35</v>
      </c>
      <c r="F20730">
        <v>4280049</v>
      </c>
      <c r="G20730" t="s">
        <v>7855</v>
      </c>
      <c r="H20730" s="21">
        <v>728.17</v>
      </c>
    </row>
    <row r="20731" spans="1:8" customFormat="1" x14ac:dyDescent="0.25">
      <c r="A20731" t="str">
        <f>"3521849"</f>
        <v>3521849</v>
      </c>
      <c r="B20731" t="s">
        <v>16093</v>
      </c>
      <c r="C20731" t="s">
        <v>16913</v>
      </c>
      <c r="D20731" s="21" t="s">
        <v>34</v>
      </c>
      <c r="E20731" s="21" t="s">
        <v>71</v>
      </c>
      <c r="F20731">
        <v>12490063</v>
      </c>
      <c r="G20731" t="s">
        <v>329</v>
      </c>
      <c r="H20731" s="21">
        <v>728.17</v>
      </c>
    </row>
    <row r="20732" spans="1:8" customFormat="1" x14ac:dyDescent="0.25">
      <c r="A20732" t="str">
        <f>"517110"</f>
        <v>517110</v>
      </c>
      <c r="B20732" t="s">
        <v>27617</v>
      </c>
      <c r="C20732" t="s">
        <v>209</v>
      </c>
      <c r="D20732" s="21" t="s">
        <v>34</v>
      </c>
      <c r="E20732" s="21" t="s">
        <v>254</v>
      </c>
      <c r="F20732">
        <v>6510018</v>
      </c>
      <c r="G20732" t="s">
        <v>3055</v>
      </c>
      <c r="H20732" s="21">
        <v>728.17</v>
      </c>
    </row>
    <row r="20733" spans="1:8" customFormat="1" x14ac:dyDescent="0.25">
      <c r="A20733" t="str">
        <f>"5965978"</f>
        <v>5965978</v>
      </c>
      <c r="B20733" t="s">
        <v>7114</v>
      </c>
      <c r="C20733" t="s">
        <v>174</v>
      </c>
      <c r="D20733" s="21" t="s">
        <v>34</v>
      </c>
      <c r="E20733" s="21" t="s">
        <v>35</v>
      </c>
      <c r="F20733">
        <v>7590281</v>
      </c>
      <c r="G20733" t="s">
        <v>7165</v>
      </c>
      <c r="H20733" s="21">
        <v>728.17</v>
      </c>
    </row>
    <row r="20734" spans="1:8" customFormat="1" x14ac:dyDescent="0.25">
      <c r="A20734" t="str">
        <f>"1611290"</f>
        <v>1611290</v>
      </c>
      <c r="B20734" t="s">
        <v>4558</v>
      </c>
      <c r="C20734" t="s">
        <v>119</v>
      </c>
      <c r="D20734" s="21" t="s">
        <v>34</v>
      </c>
      <c r="E20734" s="21" t="s">
        <v>71</v>
      </c>
      <c r="F20734">
        <v>10160042</v>
      </c>
      <c r="G20734" t="s">
        <v>7461</v>
      </c>
      <c r="H20734" s="21">
        <v>728.17</v>
      </c>
    </row>
    <row r="20735" spans="1:8" customFormat="1" x14ac:dyDescent="0.25">
      <c r="A20735" t="str">
        <f>"1410938"</f>
        <v>1410938</v>
      </c>
      <c r="B20735" t="s">
        <v>18413</v>
      </c>
      <c r="C20735" t="s">
        <v>1142</v>
      </c>
      <c r="D20735" s="21" t="s">
        <v>34</v>
      </c>
      <c r="E20735" s="21" t="s">
        <v>254</v>
      </c>
      <c r="F20735">
        <v>9140209</v>
      </c>
      <c r="G20735" t="s">
        <v>27492</v>
      </c>
      <c r="H20735" s="21">
        <v>728.17</v>
      </c>
    </row>
    <row r="20736" spans="1:8" customFormat="1" x14ac:dyDescent="0.25">
      <c r="A20736" t="str">
        <f>"3343357"</f>
        <v>3343357</v>
      </c>
      <c r="B20736" t="s">
        <v>1824</v>
      </c>
      <c r="C20736" t="s">
        <v>127</v>
      </c>
      <c r="D20736" s="21" t="s">
        <v>34</v>
      </c>
      <c r="E20736" s="21" t="s">
        <v>35</v>
      </c>
      <c r="F20736">
        <v>10330019</v>
      </c>
      <c r="G20736" t="s">
        <v>1761</v>
      </c>
      <c r="H20736" s="21">
        <v>728.17</v>
      </c>
    </row>
    <row r="20737" spans="1:8" customFormat="1" x14ac:dyDescent="0.25">
      <c r="A20737" t="str">
        <f>"1711939"</f>
        <v>1711939</v>
      </c>
      <c r="B20737" t="s">
        <v>18005</v>
      </c>
      <c r="C20737" t="s">
        <v>33</v>
      </c>
      <c r="D20737" s="21" t="s">
        <v>34</v>
      </c>
      <c r="E20737" s="21" t="s">
        <v>71</v>
      </c>
      <c r="F20737">
        <v>11810024</v>
      </c>
      <c r="G20737" t="s">
        <v>2095</v>
      </c>
      <c r="H20737" s="21">
        <v>727.92</v>
      </c>
    </row>
    <row r="20738" spans="1:8" customFormat="1" x14ac:dyDescent="0.25">
      <c r="A20738" t="str">
        <f>"639166"</f>
        <v>639166</v>
      </c>
      <c r="B20738" t="s">
        <v>1833</v>
      </c>
      <c r="C20738" t="s">
        <v>60</v>
      </c>
      <c r="D20738" s="21" t="s">
        <v>34</v>
      </c>
      <c r="E20738" s="21" t="s">
        <v>35</v>
      </c>
      <c r="F20738">
        <v>1630301</v>
      </c>
      <c r="G20738" t="s">
        <v>7897</v>
      </c>
      <c r="H20738" s="21">
        <v>727.79</v>
      </c>
    </row>
    <row r="20739" spans="1:8" customFormat="1" x14ac:dyDescent="0.25">
      <c r="A20739" t="str">
        <f>"198092"</f>
        <v>198092</v>
      </c>
      <c r="B20739" t="s">
        <v>8193</v>
      </c>
      <c r="C20739" t="s">
        <v>60</v>
      </c>
      <c r="D20739" s="21" t="s">
        <v>34</v>
      </c>
      <c r="E20739" s="21" t="s">
        <v>35</v>
      </c>
      <c r="F20739">
        <v>10190120</v>
      </c>
      <c r="G20739" t="s">
        <v>4616</v>
      </c>
      <c r="H20739" s="21">
        <v>727.67</v>
      </c>
    </row>
    <row r="20740" spans="1:8" customFormat="1" x14ac:dyDescent="0.25">
      <c r="A20740" t="str">
        <f>"75653"</f>
        <v>75653</v>
      </c>
      <c r="B20740" t="s">
        <v>16362</v>
      </c>
      <c r="C20740" t="s">
        <v>867</v>
      </c>
      <c r="D20740" s="21" t="s">
        <v>34</v>
      </c>
      <c r="E20740" s="21" t="s">
        <v>1089</v>
      </c>
      <c r="F20740">
        <v>11340065</v>
      </c>
      <c r="G20740" t="s">
        <v>2022</v>
      </c>
      <c r="H20740" s="21">
        <v>727.67</v>
      </c>
    </row>
    <row r="20741" spans="1:8" customFormat="1" x14ac:dyDescent="0.25">
      <c r="A20741" t="str">
        <f>"7616215"</f>
        <v>7616215</v>
      </c>
      <c r="B20741" t="s">
        <v>4162</v>
      </c>
      <c r="C20741" t="s">
        <v>55</v>
      </c>
      <c r="D20741" s="21" t="s">
        <v>34</v>
      </c>
      <c r="E20741" s="21" t="s">
        <v>35</v>
      </c>
      <c r="F20741">
        <v>9760069</v>
      </c>
      <c r="G20741" t="s">
        <v>13196</v>
      </c>
      <c r="H20741" s="21">
        <v>727.67</v>
      </c>
    </row>
    <row r="20742" spans="1:8" customFormat="1" x14ac:dyDescent="0.25">
      <c r="A20742" t="str">
        <f>"175685"</f>
        <v>175685</v>
      </c>
      <c r="B20742" t="s">
        <v>3091</v>
      </c>
      <c r="C20742" t="s">
        <v>1110</v>
      </c>
      <c r="D20742" s="21" t="s">
        <v>34</v>
      </c>
      <c r="E20742" s="21" t="s">
        <v>254</v>
      </c>
      <c r="F20742">
        <v>10170034</v>
      </c>
      <c r="G20742" t="s">
        <v>17256</v>
      </c>
      <c r="H20742" s="21">
        <v>727.67</v>
      </c>
    </row>
    <row r="20743" spans="1:8" customFormat="1" x14ac:dyDescent="0.25">
      <c r="A20743" t="str">
        <f>"7410537"</f>
        <v>7410537</v>
      </c>
      <c r="B20743" t="s">
        <v>16801</v>
      </c>
      <c r="C20743" t="s">
        <v>484</v>
      </c>
      <c r="D20743" s="21" t="s">
        <v>34</v>
      </c>
      <c r="E20743" s="21" t="s">
        <v>35</v>
      </c>
      <c r="F20743">
        <v>1740065</v>
      </c>
      <c r="G20743" t="s">
        <v>5226</v>
      </c>
      <c r="H20743" s="21">
        <v>727.67</v>
      </c>
    </row>
    <row r="20744" spans="1:8" customFormat="1" x14ac:dyDescent="0.25">
      <c r="A20744" t="str">
        <f>"898137"</f>
        <v>898137</v>
      </c>
      <c r="B20744" t="s">
        <v>17429</v>
      </c>
      <c r="C20744" t="s">
        <v>486</v>
      </c>
      <c r="D20744" s="21" t="s">
        <v>34</v>
      </c>
      <c r="E20744" s="21" t="s">
        <v>71</v>
      </c>
      <c r="F20744">
        <v>2890010</v>
      </c>
      <c r="G20744" t="s">
        <v>3790</v>
      </c>
      <c r="H20744" s="21">
        <v>727.67</v>
      </c>
    </row>
    <row r="20745" spans="1:8" customFormat="1" x14ac:dyDescent="0.25">
      <c r="A20745" t="str">
        <f>"7875515"</f>
        <v>7875515</v>
      </c>
      <c r="B20745" t="s">
        <v>16470</v>
      </c>
      <c r="C20745" t="s">
        <v>98</v>
      </c>
      <c r="D20745" s="21" t="s">
        <v>34</v>
      </c>
      <c r="E20745" s="21" t="s">
        <v>35</v>
      </c>
      <c r="F20745">
        <v>8780114</v>
      </c>
      <c r="G20745" t="s">
        <v>927</v>
      </c>
      <c r="H20745" s="21">
        <v>727.67</v>
      </c>
    </row>
    <row r="20746" spans="1:8" customFormat="1" x14ac:dyDescent="0.25">
      <c r="A20746" t="str">
        <f>"6021792"</f>
        <v>6021792</v>
      </c>
      <c r="B20746" t="s">
        <v>4711</v>
      </c>
      <c r="C20746" t="s">
        <v>656</v>
      </c>
      <c r="D20746" s="21" t="s">
        <v>34</v>
      </c>
      <c r="E20746" s="21" t="s">
        <v>35</v>
      </c>
      <c r="F20746">
        <v>7600004</v>
      </c>
      <c r="G20746" t="s">
        <v>848</v>
      </c>
      <c r="H20746" s="21">
        <v>727.67</v>
      </c>
    </row>
    <row r="20747" spans="1:8" customFormat="1" x14ac:dyDescent="0.25">
      <c r="A20747" t="str">
        <f>"535352"</f>
        <v>535352</v>
      </c>
      <c r="B20747" t="s">
        <v>3367</v>
      </c>
      <c r="C20747" t="s">
        <v>239</v>
      </c>
      <c r="D20747" s="21" t="s">
        <v>34</v>
      </c>
      <c r="E20747" s="21" t="s">
        <v>254</v>
      </c>
      <c r="F20747">
        <v>12530010</v>
      </c>
      <c r="G20747" t="s">
        <v>7994</v>
      </c>
      <c r="H20747" s="21">
        <v>727.67</v>
      </c>
    </row>
    <row r="20748" spans="1:8" customFormat="1" x14ac:dyDescent="0.25">
      <c r="A20748" t="str">
        <f>"6196"</f>
        <v>6196</v>
      </c>
      <c r="B20748" t="s">
        <v>1737</v>
      </c>
      <c r="C20748" t="s">
        <v>412</v>
      </c>
      <c r="D20748" s="21" t="s">
        <v>34</v>
      </c>
      <c r="E20748" s="21" t="s">
        <v>6185</v>
      </c>
      <c r="F20748">
        <v>9610004</v>
      </c>
      <c r="G20748" t="s">
        <v>1042</v>
      </c>
      <c r="H20748" s="21">
        <v>727.67</v>
      </c>
    </row>
    <row r="20749" spans="1:8" customFormat="1" x14ac:dyDescent="0.25">
      <c r="A20749" t="str">
        <f>"592001"</f>
        <v>592001</v>
      </c>
      <c r="B20749" t="s">
        <v>2656</v>
      </c>
      <c r="C20749" t="s">
        <v>879</v>
      </c>
      <c r="D20749" s="21" t="s">
        <v>34</v>
      </c>
      <c r="E20749" s="21" t="s">
        <v>1089</v>
      </c>
      <c r="F20749">
        <v>7590184</v>
      </c>
      <c r="G20749" t="s">
        <v>6722</v>
      </c>
      <c r="H20749" s="21">
        <v>727.67</v>
      </c>
    </row>
    <row r="20750" spans="1:8" customFormat="1" x14ac:dyDescent="0.25">
      <c r="A20750" t="str">
        <f>"685662"</f>
        <v>685662</v>
      </c>
      <c r="B20750" t="s">
        <v>13019</v>
      </c>
      <c r="C20750" t="s">
        <v>147</v>
      </c>
      <c r="D20750" s="21" t="s">
        <v>34</v>
      </c>
      <c r="E20750" s="21" t="s">
        <v>35</v>
      </c>
      <c r="F20750">
        <v>6680118</v>
      </c>
      <c r="G20750" t="s">
        <v>4346</v>
      </c>
      <c r="H20750" s="21">
        <v>727.67</v>
      </c>
    </row>
    <row r="20751" spans="1:8" customFormat="1" x14ac:dyDescent="0.25">
      <c r="A20751" t="str">
        <f>"9448584"</f>
        <v>9448584</v>
      </c>
      <c r="B20751" t="s">
        <v>19128</v>
      </c>
      <c r="C20751" t="s">
        <v>812</v>
      </c>
      <c r="D20751" s="21" t="s">
        <v>34</v>
      </c>
      <c r="E20751" s="21" t="s">
        <v>35</v>
      </c>
      <c r="F20751">
        <v>8940012</v>
      </c>
      <c r="G20751" t="s">
        <v>1648</v>
      </c>
      <c r="H20751" s="21">
        <v>727.67</v>
      </c>
    </row>
    <row r="20752" spans="1:8" customFormat="1" x14ac:dyDescent="0.25">
      <c r="A20752" t="str">
        <f>"8526218"</f>
        <v>8526218</v>
      </c>
      <c r="B20752" t="s">
        <v>5932</v>
      </c>
      <c r="C20752" t="s">
        <v>144</v>
      </c>
      <c r="D20752" s="21" t="s">
        <v>34</v>
      </c>
      <c r="E20752" s="21" t="s">
        <v>35</v>
      </c>
      <c r="F20752">
        <v>12850026</v>
      </c>
      <c r="G20752" t="s">
        <v>1400</v>
      </c>
      <c r="H20752" s="21">
        <v>727.67</v>
      </c>
    </row>
    <row r="20753" spans="1:8" customFormat="1" x14ac:dyDescent="0.25">
      <c r="A20753" t="str">
        <f>"855516"</f>
        <v>855516</v>
      </c>
      <c r="B20753" t="s">
        <v>1986</v>
      </c>
      <c r="C20753" t="s">
        <v>652</v>
      </c>
      <c r="D20753" s="21" t="s">
        <v>34</v>
      </c>
      <c r="E20753" s="21" t="s">
        <v>1089</v>
      </c>
      <c r="F20753">
        <v>12850138</v>
      </c>
      <c r="G20753" t="s">
        <v>6879</v>
      </c>
      <c r="H20753" s="21">
        <v>727.67</v>
      </c>
    </row>
    <row r="20754" spans="1:8" customFormat="1" x14ac:dyDescent="0.25">
      <c r="A20754" t="str">
        <f>"4436416"</f>
        <v>4436416</v>
      </c>
      <c r="B20754" t="s">
        <v>15980</v>
      </c>
      <c r="C20754" t="s">
        <v>576</v>
      </c>
      <c r="D20754" s="21" t="s">
        <v>34</v>
      </c>
      <c r="E20754" s="21" t="s">
        <v>35</v>
      </c>
      <c r="F20754">
        <v>12440048</v>
      </c>
      <c r="G20754" t="s">
        <v>2090</v>
      </c>
      <c r="H20754" s="21">
        <v>727.67</v>
      </c>
    </row>
    <row r="20755" spans="1:8" customFormat="1" x14ac:dyDescent="0.25">
      <c r="A20755" t="str">
        <f>"3521921"</f>
        <v>3521921</v>
      </c>
      <c r="B20755" t="s">
        <v>3209</v>
      </c>
      <c r="C20755" t="s">
        <v>139</v>
      </c>
      <c r="D20755" s="21" t="s">
        <v>34</v>
      </c>
      <c r="E20755" s="21" t="s">
        <v>71</v>
      </c>
      <c r="F20755">
        <v>3350183</v>
      </c>
      <c r="G20755" t="s">
        <v>2572</v>
      </c>
      <c r="H20755" s="21">
        <v>727.67</v>
      </c>
    </row>
    <row r="20756" spans="1:8" customFormat="1" x14ac:dyDescent="0.25">
      <c r="A20756" t="str">
        <f>"7411194"</f>
        <v>7411194</v>
      </c>
      <c r="B20756" t="s">
        <v>6561</v>
      </c>
      <c r="C20756" t="s">
        <v>16814</v>
      </c>
      <c r="D20756" s="21" t="s">
        <v>34</v>
      </c>
      <c r="E20756" s="21" t="s">
        <v>71</v>
      </c>
      <c r="F20756">
        <v>11340018</v>
      </c>
      <c r="G20756" t="s">
        <v>2421</v>
      </c>
      <c r="H20756" s="21">
        <v>727.67</v>
      </c>
    </row>
    <row r="20757" spans="1:8" customFormat="1" x14ac:dyDescent="0.25">
      <c r="A20757" t="str">
        <f>"863117"</f>
        <v>863117</v>
      </c>
      <c r="B20757" t="s">
        <v>13219</v>
      </c>
      <c r="C20757" t="s">
        <v>428</v>
      </c>
      <c r="D20757" s="21" t="s">
        <v>34</v>
      </c>
      <c r="E20757" s="21" t="s">
        <v>35</v>
      </c>
      <c r="F20757">
        <v>11810015</v>
      </c>
      <c r="G20757" t="s">
        <v>9678</v>
      </c>
      <c r="H20757" s="21">
        <v>727.54</v>
      </c>
    </row>
    <row r="20758" spans="1:8" customFormat="1" x14ac:dyDescent="0.25">
      <c r="A20758" t="str">
        <f>"8518521"</f>
        <v>8518521</v>
      </c>
      <c r="B20758" t="s">
        <v>2755</v>
      </c>
      <c r="C20758" t="s">
        <v>302</v>
      </c>
      <c r="D20758" s="21" t="s">
        <v>34</v>
      </c>
      <c r="E20758" s="21" t="s">
        <v>35</v>
      </c>
      <c r="F20758">
        <v>12850046</v>
      </c>
      <c r="G20758" t="s">
        <v>3136</v>
      </c>
      <c r="H20758" s="21">
        <v>727.42</v>
      </c>
    </row>
    <row r="20759" spans="1:8" customFormat="1" x14ac:dyDescent="0.25">
      <c r="A20759" t="str">
        <f>"1318328"</f>
        <v>1318328</v>
      </c>
      <c r="B20759" t="s">
        <v>16290</v>
      </c>
      <c r="C20759" t="s">
        <v>263</v>
      </c>
      <c r="D20759" s="21" t="s">
        <v>34</v>
      </c>
      <c r="E20759" s="21" t="s">
        <v>35</v>
      </c>
      <c r="F20759">
        <v>13130166</v>
      </c>
      <c r="G20759" t="s">
        <v>2539</v>
      </c>
      <c r="H20759" s="21">
        <v>727.29</v>
      </c>
    </row>
    <row r="20760" spans="1:8" customFormat="1" x14ac:dyDescent="0.25">
      <c r="A20760" t="str">
        <f>"1423908"</f>
        <v>1423908</v>
      </c>
      <c r="B20760" t="s">
        <v>13715</v>
      </c>
      <c r="C20760" t="s">
        <v>43</v>
      </c>
      <c r="D20760" s="21" t="s">
        <v>34</v>
      </c>
      <c r="E20760" s="21" t="s">
        <v>35</v>
      </c>
      <c r="F20760">
        <v>9140237</v>
      </c>
      <c r="G20760" t="s">
        <v>4722</v>
      </c>
      <c r="H20760" s="21">
        <v>727.17</v>
      </c>
    </row>
    <row r="20761" spans="1:8" customFormat="1" x14ac:dyDescent="0.25">
      <c r="A20761" t="str">
        <f>"084026"</f>
        <v>084026</v>
      </c>
      <c r="B20761" t="s">
        <v>15565</v>
      </c>
      <c r="C20761" t="s">
        <v>156</v>
      </c>
      <c r="D20761" s="21" t="s">
        <v>34</v>
      </c>
      <c r="E20761" s="21" t="s">
        <v>254</v>
      </c>
      <c r="F20761">
        <v>6080035</v>
      </c>
      <c r="G20761" t="s">
        <v>583</v>
      </c>
      <c r="H20761" s="21">
        <v>727.17</v>
      </c>
    </row>
    <row r="20762" spans="1:8" customFormat="1" x14ac:dyDescent="0.25">
      <c r="A20762" t="str">
        <f>"5012863"</f>
        <v>5012863</v>
      </c>
      <c r="B20762" t="s">
        <v>4524</v>
      </c>
      <c r="C20762" t="s">
        <v>1665</v>
      </c>
      <c r="D20762" s="21" t="s">
        <v>34</v>
      </c>
      <c r="E20762" s="21" t="s">
        <v>71</v>
      </c>
      <c r="F20762">
        <v>9500014</v>
      </c>
      <c r="G20762" t="s">
        <v>12474</v>
      </c>
      <c r="H20762" s="21">
        <v>727.17</v>
      </c>
    </row>
    <row r="20763" spans="1:8" customFormat="1" x14ac:dyDescent="0.25">
      <c r="A20763" t="str">
        <f>"449000"</f>
        <v>449000</v>
      </c>
      <c r="B20763" t="s">
        <v>17071</v>
      </c>
      <c r="C20763" t="s">
        <v>1665</v>
      </c>
      <c r="D20763" s="21" t="s">
        <v>34</v>
      </c>
      <c r="E20763" s="21" t="s">
        <v>254</v>
      </c>
      <c r="F20763">
        <v>12440111</v>
      </c>
      <c r="G20763" t="s">
        <v>17072</v>
      </c>
      <c r="H20763" s="21">
        <v>727.17</v>
      </c>
    </row>
    <row r="20764" spans="1:8" customFormat="1" x14ac:dyDescent="0.25">
      <c r="A20764" t="str">
        <f>"3818131"</f>
        <v>3818131</v>
      </c>
      <c r="B20764" t="s">
        <v>11027</v>
      </c>
      <c r="C20764" t="s">
        <v>249</v>
      </c>
      <c r="D20764" s="21" t="s">
        <v>34</v>
      </c>
      <c r="E20764" s="21" t="s">
        <v>71</v>
      </c>
      <c r="F20764">
        <v>1380262</v>
      </c>
      <c r="G20764" t="s">
        <v>1216</v>
      </c>
      <c r="H20764" s="21">
        <v>727.17</v>
      </c>
    </row>
    <row r="20765" spans="1:8" customFormat="1" x14ac:dyDescent="0.25">
      <c r="A20765" t="str">
        <f>"519626"</f>
        <v>519626</v>
      </c>
      <c r="B20765" t="s">
        <v>17924</v>
      </c>
      <c r="C20765" t="s">
        <v>87</v>
      </c>
      <c r="D20765" s="21" t="s">
        <v>34</v>
      </c>
      <c r="E20765" s="21" t="s">
        <v>35</v>
      </c>
      <c r="F20765">
        <v>6510004</v>
      </c>
      <c r="G20765" t="s">
        <v>9465</v>
      </c>
      <c r="H20765" s="21">
        <v>727.17</v>
      </c>
    </row>
    <row r="20766" spans="1:8" customFormat="1" x14ac:dyDescent="0.25">
      <c r="A20766" t="str">
        <f>"7910081"</f>
        <v>7910081</v>
      </c>
      <c r="B20766" t="s">
        <v>4516</v>
      </c>
      <c r="C20766" t="s">
        <v>263</v>
      </c>
      <c r="D20766" s="21" t="s">
        <v>34</v>
      </c>
      <c r="E20766" s="21" t="s">
        <v>254</v>
      </c>
      <c r="F20766">
        <v>10790009</v>
      </c>
      <c r="G20766" t="s">
        <v>1155</v>
      </c>
      <c r="H20766" s="21">
        <v>727.17</v>
      </c>
    </row>
    <row r="20767" spans="1:8" customFormat="1" x14ac:dyDescent="0.25">
      <c r="A20767" t="str">
        <f>"2513184"</f>
        <v>2513184</v>
      </c>
      <c r="B20767" t="s">
        <v>17061</v>
      </c>
      <c r="C20767" t="s">
        <v>1588</v>
      </c>
      <c r="D20767" s="21" t="s">
        <v>34</v>
      </c>
      <c r="E20767" s="21" t="s">
        <v>71</v>
      </c>
      <c r="F20767">
        <v>2250154</v>
      </c>
      <c r="G20767" t="s">
        <v>1973</v>
      </c>
      <c r="H20767" s="21">
        <v>727.17</v>
      </c>
    </row>
    <row r="20768" spans="1:8" customFormat="1" x14ac:dyDescent="0.25">
      <c r="A20768" t="str">
        <f>"2910145"</f>
        <v>2910145</v>
      </c>
      <c r="B20768" t="s">
        <v>16760</v>
      </c>
      <c r="C20768" t="s">
        <v>598</v>
      </c>
      <c r="D20768" s="21" t="s">
        <v>34</v>
      </c>
      <c r="E20768" s="21" t="s">
        <v>1089</v>
      </c>
      <c r="F20768">
        <v>3290255</v>
      </c>
      <c r="G20768" t="s">
        <v>2852</v>
      </c>
      <c r="H20768" s="21">
        <v>727.17</v>
      </c>
    </row>
    <row r="20769" spans="1:8" customFormat="1" x14ac:dyDescent="0.25">
      <c r="A20769" t="str">
        <f>"3519287"</f>
        <v>3519287</v>
      </c>
      <c r="B20769" t="s">
        <v>16191</v>
      </c>
      <c r="C20769" t="s">
        <v>249</v>
      </c>
      <c r="D20769" s="21" t="s">
        <v>34</v>
      </c>
      <c r="E20769" s="21" t="s">
        <v>71</v>
      </c>
      <c r="F20769">
        <v>3350160</v>
      </c>
      <c r="G20769" t="s">
        <v>13252</v>
      </c>
      <c r="H20769" s="21">
        <v>727.17</v>
      </c>
    </row>
    <row r="20770" spans="1:8" customFormat="1" x14ac:dyDescent="0.25">
      <c r="A20770" t="str">
        <f>"6112348"</f>
        <v>6112348</v>
      </c>
      <c r="B20770" t="s">
        <v>8292</v>
      </c>
      <c r="C20770" t="s">
        <v>486</v>
      </c>
      <c r="D20770" s="21" t="s">
        <v>34</v>
      </c>
      <c r="E20770" s="21" t="s">
        <v>35</v>
      </c>
      <c r="F20770">
        <v>9610115</v>
      </c>
      <c r="G20770" t="s">
        <v>17938</v>
      </c>
      <c r="H20770" s="21">
        <v>727.17</v>
      </c>
    </row>
    <row r="20771" spans="1:8" customFormat="1" x14ac:dyDescent="0.25">
      <c r="A20771" t="str">
        <f>"304233"</f>
        <v>304233</v>
      </c>
      <c r="B20771" t="s">
        <v>3664</v>
      </c>
      <c r="C20771" t="s">
        <v>198</v>
      </c>
      <c r="D20771" s="21" t="s">
        <v>34</v>
      </c>
      <c r="E20771" s="21" t="s">
        <v>71</v>
      </c>
      <c r="F20771">
        <v>11300025</v>
      </c>
      <c r="G20771" t="s">
        <v>1211</v>
      </c>
      <c r="H20771" s="21">
        <v>727.17</v>
      </c>
    </row>
    <row r="20772" spans="1:8" customFormat="1" x14ac:dyDescent="0.25">
      <c r="A20772" t="str">
        <f>"73720"</f>
        <v>73720</v>
      </c>
      <c r="B20772" t="s">
        <v>15551</v>
      </c>
      <c r="C20772" t="s">
        <v>415</v>
      </c>
      <c r="D20772" s="21" t="s">
        <v>34</v>
      </c>
      <c r="E20772" s="21" t="s">
        <v>254</v>
      </c>
      <c r="F20772">
        <v>1730048</v>
      </c>
      <c r="G20772" t="s">
        <v>3173</v>
      </c>
      <c r="H20772" s="21">
        <v>727.17</v>
      </c>
    </row>
    <row r="20773" spans="1:8" customFormat="1" x14ac:dyDescent="0.25">
      <c r="A20773" t="str">
        <f>"5019337"</f>
        <v>5019337</v>
      </c>
      <c r="B20773" t="s">
        <v>15948</v>
      </c>
      <c r="C20773" t="s">
        <v>209</v>
      </c>
      <c r="D20773" s="21" t="s">
        <v>34</v>
      </c>
      <c r="E20773" s="21" t="s">
        <v>35</v>
      </c>
      <c r="F20773">
        <v>9500088</v>
      </c>
      <c r="G20773" t="s">
        <v>15949</v>
      </c>
      <c r="H20773" s="21">
        <v>727.17</v>
      </c>
    </row>
    <row r="20774" spans="1:8" customFormat="1" x14ac:dyDescent="0.25">
      <c r="A20774" t="str">
        <f>"5620273"</f>
        <v>5620273</v>
      </c>
      <c r="B20774" t="s">
        <v>7650</v>
      </c>
      <c r="C20774" t="s">
        <v>598</v>
      </c>
      <c r="D20774" s="21" t="s">
        <v>34</v>
      </c>
      <c r="E20774" s="21" t="s">
        <v>71</v>
      </c>
      <c r="F20774">
        <v>3560002</v>
      </c>
      <c r="G20774" t="s">
        <v>5437</v>
      </c>
      <c r="H20774" s="21">
        <v>727.17</v>
      </c>
    </row>
    <row r="20775" spans="1:8" customFormat="1" x14ac:dyDescent="0.25">
      <c r="A20775" t="str">
        <f>"813347"</f>
        <v>813347</v>
      </c>
      <c r="B20775" t="s">
        <v>5422</v>
      </c>
      <c r="C20775" t="s">
        <v>169</v>
      </c>
      <c r="D20775" s="21" t="s">
        <v>34</v>
      </c>
      <c r="E20775" s="21" t="s">
        <v>71</v>
      </c>
      <c r="F20775">
        <v>11810013</v>
      </c>
      <c r="G20775" t="s">
        <v>8833</v>
      </c>
      <c r="H20775" s="21">
        <v>727.17</v>
      </c>
    </row>
    <row r="20776" spans="1:8" customFormat="1" x14ac:dyDescent="0.25">
      <c r="A20776" t="str">
        <f>"4931856"</f>
        <v>4931856</v>
      </c>
      <c r="B20776" t="s">
        <v>17110</v>
      </c>
      <c r="C20776" t="s">
        <v>124</v>
      </c>
      <c r="D20776" s="21" t="s">
        <v>34</v>
      </c>
      <c r="E20776" s="21" t="s">
        <v>35</v>
      </c>
      <c r="F20776">
        <v>12490106</v>
      </c>
      <c r="G20776" t="s">
        <v>4555</v>
      </c>
      <c r="H20776" s="21">
        <v>726.92</v>
      </c>
    </row>
    <row r="20777" spans="1:8" customFormat="1" x14ac:dyDescent="0.25">
      <c r="A20777" t="str">
        <f>"5113010"</f>
        <v>5113010</v>
      </c>
      <c r="B20777" t="s">
        <v>18230</v>
      </c>
      <c r="C20777" t="s">
        <v>1539</v>
      </c>
      <c r="D20777" s="21" t="s">
        <v>34</v>
      </c>
      <c r="E20777" s="21" t="s">
        <v>35</v>
      </c>
      <c r="F20777">
        <v>6510040</v>
      </c>
      <c r="G20777" t="s">
        <v>9113</v>
      </c>
      <c r="H20777" s="21">
        <v>726.92</v>
      </c>
    </row>
    <row r="20778" spans="1:8" customFormat="1" x14ac:dyDescent="0.25">
      <c r="A20778" t="str">
        <f>"371021"</f>
        <v>371021</v>
      </c>
      <c r="B20778" t="s">
        <v>16205</v>
      </c>
      <c r="C20778" t="s">
        <v>2475</v>
      </c>
      <c r="D20778" s="21" t="s">
        <v>34</v>
      </c>
      <c r="E20778" s="21" t="s">
        <v>254</v>
      </c>
      <c r="F20778">
        <v>4370346</v>
      </c>
      <c r="G20778" t="s">
        <v>8269</v>
      </c>
      <c r="H20778" s="21">
        <v>726.92</v>
      </c>
    </row>
    <row r="20779" spans="1:8" customFormat="1" x14ac:dyDescent="0.25">
      <c r="A20779" t="str">
        <f>"9321058"</f>
        <v>9321058</v>
      </c>
      <c r="B20779" t="s">
        <v>18334</v>
      </c>
      <c r="C20779" t="s">
        <v>169</v>
      </c>
      <c r="D20779" s="21" t="s">
        <v>34</v>
      </c>
      <c r="E20779" s="21" t="s">
        <v>35</v>
      </c>
      <c r="F20779">
        <v>8931358</v>
      </c>
      <c r="G20779" t="s">
        <v>560</v>
      </c>
      <c r="H20779" s="21">
        <v>726.79</v>
      </c>
    </row>
    <row r="20780" spans="1:8" customFormat="1" x14ac:dyDescent="0.25">
      <c r="A20780" t="str">
        <f>"2920310"</f>
        <v>2920310</v>
      </c>
      <c r="B20780" t="s">
        <v>27618</v>
      </c>
      <c r="C20780" t="s">
        <v>124</v>
      </c>
      <c r="D20780" s="21" t="s">
        <v>34</v>
      </c>
      <c r="E20780" s="21" t="s">
        <v>71</v>
      </c>
      <c r="F20780">
        <v>3220123</v>
      </c>
      <c r="G20780" t="s">
        <v>26953</v>
      </c>
      <c r="H20780" s="21">
        <v>726.79</v>
      </c>
    </row>
    <row r="20781" spans="1:8" customFormat="1" x14ac:dyDescent="0.25">
      <c r="A20781" t="str">
        <f>"931327"</f>
        <v>931327</v>
      </c>
      <c r="B20781" t="s">
        <v>12115</v>
      </c>
      <c r="C20781" t="s">
        <v>40</v>
      </c>
      <c r="D20781" s="21" t="s">
        <v>34</v>
      </c>
      <c r="E20781" s="21" t="s">
        <v>254</v>
      </c>
      <c r="F20781">
        <v>8930113</v>
      </c>
      <c r="G20781" t="s">
        <v>368</v>
      </c>
      <c r="H20781" s="21">
        <v>726.79</v>
      </c>
    </row>
    <row r="20782" spans="1:8" customFormat="1" x14ac:dyDescent="0.25">
      <c r="A20782" t="str">
        <f>"1412907"</f>
        <v>1412907</v>
      </c>
      <c r="B20782" t="s">
        <v>1601</v>
      </c>
      <c r="C20782" t="s">
        <v>209</v>
      </c>
      <c r="D20782" s="21" t="s">
        <v>34</v>
      </c>
      <c r="E20782" s="21" t="s">
        <v>71</v>
      </c>
      <c r="F20782">
        <v>9140072</v>
      </c>
      <c r="G20782" t="s">
        <v>4810</v>
      </c>
      <c r="H20782" s="21">
        <v>726.67</v>
      </c>
    </row>
    <row r="20783" spans="1:8" customFormat="1" x14ac:dyDescent="0.25">
      <c r="A20783" t="str">
        <f>"6931046"</f>
        <v>6931046</v>
      </c>
      <c r="B20783" t="s">
        <v>16541</v>
      </c>
      <c r="C20783" t="s">
        <v>174</v>
      </c>
      <c r="D20783" s="21" t="s">
        <v>34</v>
      </c>
      <c r="E20783" s="21" t="s">
        <v>35</v>
      </c>
      <c r="F20783">
        <v>4360002</v>
      </c>
      <c r="G20783" t="s">
        <v>222</v>
      </c>
      <c r="H20783" s="21">
        <v>726.67</v>
      </c>
    </row>
    <row r="20784" spans="1:8" customFormat="1" x14ac:dyDescent="0.25">
      <c r="A20784" t="str">
        <f>"2921537"</f>
        <v>2921537</v>
      </c>
      <c r="B20784" t="s">
        <v>14949</v>
      </c>
      <c r="C20784" t="s">
        <v>528</v>
      </c>
      <c r="D20784" s="21" t="s">
        <v>34</v>
      </c>
      <c r="E20784" s="21" t="s">
        <v>71</v>
      </c>
      <c r="F20784">
        <v>3290010</v>
      </c>
      <c r="G20784" t="s">
        <v>1453</v>
      </c>
      <c r="H20784" s="21">
        <v>726.67</v>
      </c>
    </row>
    <row r="20785" spans="1:8" customFormat="1" x14ac:dyDescent="0.25">
      <c r="A20785" t="str">
        <f>"9135973"</f>
        <v>9135973</v>
      </c>
      <c r="B20785" t="s">
        <v>26145</v>
      </c>
      <c r="C20785" t="s">
        <v>96</v>
      </c>
      <c r="D20785" s="21" t="s">
        <v>34</v>
      </c>
      <c r="E20785" s="21" t="s">
        <v>35</v>
      </c>
      <c r="F20785">
        <v>8911458</v>
      </c>
      <c r="G20785" t="s">
        <v>16448</v>
      </c>
      <c r="H20785" s="21">
        <v>726.67</v>
      </c>
    </row>
    <row r="20786" spans="1:8" customFormat="1" x14ac:dyDescent="0.25">
      <c r="A20786" t="str">
        <f>"4511776"</f>
        <v>4511776</v>
      </c>
      <c r="B20786" t="s">
        <v>1525</v>
      </c>
      <c r="C20786" t="s">
        <v>15246</v>
      </c>
      <c r="D20786" s="21" t="s">
        <v>34</v>
      </c>
      <c r="E20786" s="21" t="s">
        <v>35</v>
      </c>
      <c r="F20786">
        <v>4450410</v>
      </c>
      <c r="G20786" t="s">
        <v>26525</v>
      </c>
      <c r="H20786" s="21">
        <v>726.67</v>
      </c>
    </row>
    <row r="20787" spans="1:8" customFormat="1" x14ac:dyDescent="0.25">
      <c r="A20787" t="str">
        <f>"537934"</f>
        <v>537934</v>
      </c>
      <c r="B20787" t="s">
        <v>1355</v>
      </c>
      <c r="C20787" t="s">
        <v>1231</v>
      </c>
      <c r="D20787" s="21" t="s">
        <v>34</v>
      </c>
      <c r="E20787" s="21" t="s">
        <v>6185</v>
      </c>
      <c r="F20787">
        <v>12530108</v>
      </c>
      <c r="G20787" t="s">
        <v>16085</v>
      </c>
      <c r="H20787" s="21">
        <v>726.67</v>
      </c>
    </row>
    <row r="20788" spans="1:8" customFormat="1" x14ac:dyDescent="0.25">
      <c r="A20788" t="str">
        <f>"1716317"</f>
        <v>1716317</v>
      </c>
      <c r="B20788" t="s">
        <v>17191</v>
      </c>
      <c r="C20788" t="s">
        <v>17192</v>
      </c>
      <c r="D20788" s="21" t="s">
        <v>34</v>
      </c>
      <c r="E20788" s="21" t="s">
        <v>35</v>
      </c>
      <c r="F20788">
        <v>10170229</v>
      </c>
      <c r="G20788" t="s">
        <v>11677</v>
      </c>
      <c r="H20788" s="21">
        <v>726.67</v>
      </c>
    </row>
    <row r="20789" spans="1:8" customFormat="1" x14ac:dyDescent="0.25">
      <c r="A20789" t="str">
        <f>"4434448"</f>
        <v>4434448</v>
      </c>
      <c r="B20789" t="s">
        <v>16657</v>
      </c>
      <c r="C20789" t="s">
        <v>169</v>
      </c>
      <c r="D20789" s="21" t="s">
        <v>34</v>
      </c>
      <c r="E20789" s="21" t="s">
        <v>35</v>
      </c>
      <c r="F20789">
        <v>12440015</v>
      </c>
      <c r="G20789" t="s">
        <v>8421</v>
      </c>
      <c r="H20789" s="21">
        <v>726.67</v>
      </c>
    </row>
    <row r="20790" spans="1:8" customFormat="1" x14ac:dyDescent="0.25">
      <c r="A20790" t="str">
        <f>"393862"</f>
        <v>393862</v>
      </c>
      <c r="B20790" t="s">
        <v>14482</v>
      </c>
      <c r="C20790" t="s">
        <v>1146</v>
      </c>
      <c r="D20790" s="21" t="s">
        <v>34</v>
      </c>
      <c r="E20790" s="21" t="s">
        <v>254</v>
      </c>
      <c r="F20790">
        <v>2390091</v>
      </c>
      <c r="G20790" t="s">
        <v>7093</v>
      </c>
      <c r="H20790" s="21">
        <v>726.67</v>
      </c>
    </row>
    <row r="20791" spans="1:8" customFormat="1" x14ac:dyDescent="0.25">
      <c r="A20791" t="str">
        <f>"735397"</f>
        <v>735397</v>
      </c>
      <c r="B20791" t="s">
        <v>461</v>
      </c>
      <c r="C20791" t="s">
        <v>1559</v>
      </c>
      <c r="D20791" s="21" t="s">
        <v>34</v>
      </c>
      <c r="E20791" s="21" t="s">
        <v>71</v>
      </c>
      <c r="F20791">
        <v>1730077</v>
      </c>
      <c r="G20791" t="s">
        <v>1517</v>
      </c>
      <c r="H20791" s="21">
        <v>726.67</v>
      </c>
    </row>
    <row r="20792" spans="1:8" customFormat="1" x14ac:dyDescent="0.25">
      <c r="A20792" t="str">
        <f>"7720066"</f>
        <v>7720066</v>
      </c>
      <c r="B20792" t="s">
        <v>105</v>
      </c>
      <c r="C20792" t="s">
        <v>720</v>
      </c>
      <c r="D20792" s="21" t="s">
        <v>34</v>
      </c>
      <c r="E20792" s="21" t="s">
        <v>1089</v>
      </c>
      <c r="F20792">
        <v>8771029</v>
      </c>
      <c r="G20792" t="s">
        <v>4447</v>
      </c>
      <c r="H20792" s="21">
        <v>726.67</v>
      </c>
    </row>
    <row r="20793" spans="1:8" customFormat="1" x14ac:dyDescent="0.25">
      <c r="A20793" t="str">
        <f>"6920406"</f>
        <v>6920406</v>
      </c>
      <c r="B20793" t="s">
        <v>27619</v>
      </c>
      <c r="C20793" t="s">
        <v>65</v>
      </c>
      <c r="D20793" s="21" t="s">
        <v>34</v>
      </c>
      <c r="E20793" s="21" t="s">
        <v>35</v>
      </c>
      <c r="F20793">
        <v>1380298</v>
      </c>
      <c r="G20793" t="s">
        <v>5868</v>
      </c>
      <c r="H20793" s="21">
        <v>726.67</v>
      </c>
    </row>
    <row r="20794" spans="1:8" customFormat="1" x14ac:dyDescent="0.25">
      <c r="A20794" t="str">
        <f>"3112778"</f>
        <v>3112778</v>
      </c>
      <c r="B20794" t="s">
        <v>16636</v>
      </c>
      <c r="C20794" t="s">
        <v>598</v>
      </c>
      <c r="D20794" s="21" t="s">
        <v>34</v>
      </c>
      <c r="E20794" s="21" t="s">
        <v>71</v>
      </c>
      <c r="F20794">
        <v>11310070</v>
      </c>
      <c r="G20794" t="s">
        <v>11563</v>
      </c>
      <c r="H20794" s="21">
        <v>726.67</v>
      </c>
    </row>
    <row r="20795" spans="1:8" customFormat="1" x14ac:dyDescent="0.25">
      <c r="A20795" t="str">
        <f>"198380"</f>
        <v>198380</v>
      </c>
      <c r="B20795" t="s">
        <v>15988</v>
      </c>
      <c r="C20795" t="s">
        <v>124</v>
      </c>
      <c r="D20795" s="21" t="s">
        <v>34</v>
      </c>
      <c r="E20795" s="21" t="s">
        <v>35</v>
      </c>
      <c r="F20795">
        <v>10190133</v>
      </c>
      <c r="G20795" t="s">
        <v>13392</v>
      </c>
      <c r="H20795" s="21">
        <v>726.67</v>
      </c>
    </row>
    <row r="20796" spans="1:8" customFormat="1" x14ac:dyDescent="0.25">
      <c r="A20796" t="str">
        <f>"7631887"</f>
        <v>7631887</v>
      </c>
      <c r="B20796" t="s">
        <v>15716</v>
      </c>
      <c r="C20796" t="s">
        <v>275</v>
      </c>
      <c r="D20796" s="21" t="s">
        <v>34</v>
      </c>
      <c r="E20796" s="21" t="s">
        <v>35</v>
      </c>
      <c r="F20796">
        <v>9760259</v>
      </c>
      <c r="G20796" t="s">
        <v>6926</v>
      </c>
      <c r="H20796" s="21">
        <v>726.67</v>
      </c>
    </row>
    <row r="20797" spans="1:8" customFormat="1" x14ac:dyDescent="0.25">
      <c r="A20797" t="str">
        <f>"17702"</f>
        <v>17702</v>
      </c>
      <c r="B20797" t="s">
        <v>7439</v>
      </c>
      <c r="C20797" t="s">
        <v>1887</v>
      </c>
      <c r="D20797" s="21" t="s">
        <v>34</v>
      </c>
      <c r="E20797" s="21" t="s">
        <v>1089</v>
      </c>
      <c r="F20797">
        <v>10170158</v>
      </c>
      <c r="G20797" t="s">
        <v>1262</v>
      </c>
      <c r="H20797" s="21">
        <v>726.67</v>
      </c>
    </row>
    <row r="20798" spans="1:8" customFormat="1" x14ac:dyDescent="0.25">
      <c r="A20798" t="str">
        <f>"3527088"</f>
        <v>3527088</v>
      </c>
      <c r="B20798" t="s">
        <v>16698</v>
      </c>
      <c r="C20798" t="s">
        <v>55</v>
      </c>
      <c r="D20798" s="21" t="s">
        <v>34</v>
      </c>
      <c r="E20798" s="21" t="s">
        <v>71</v>
      </c>
      <c r="F20798">
        <v>3350091</v>
      </c>
      <c r="G20798" t="s">
        <v>5864</v>
      </c>
      <c r="H20798" s="21">
        <v>726.67</v>
      </c>
    </row>
    <row r="20799" spans="1:8" customFormat="1" x14ac:dyDescent="0.25">
      <c r="A20799" t="str">
        <f>"6721809"</f>
        <v>6721809</v>
      </c>
      <c r="B20799" t="s">
        <v>16929</v>
      </c>
      <c r="C20799" t="s">
        <v>262</v>
      </c>
      <c r="D20799" s="21" t="s">
        <v>34</v>
      </c>
      <c r="E20799" s="21" t="s">
        <v>35</v>
      </c>
      <c r="F20799">
        <v>6670203</v>
      </c>
      <c r="G20799" t="s">
        <v>2371</v>
      </c>
      <c r="H20799" s="21">
        <v>726.67</v>
      </c>
    </row>
    <row r="20800" spans="1:8" customFormat="1" x14ac:dyDescent="0.25">
      <c r="A20800" t="str">
        <f>"215810"</f>
        <v>215810</v>
      </c>
      <c r="B20800" t="s">
        <v>16550</v>
      </c>
      <c r="C20800" t="s">
        <v>1620</v>
      </c>
      <c r="D20800" s="21" t="s">
        <v>34</v>
      </c>
      <c r="E20800" s="21" t="s">
        <v>254</v>
      </c>
      <c r="F20800">
        <v>2210088</v>
      </c>
      <c r="G20800" t="s">
        <v>2896</v>
      </c>
      <c r="H20800" s="21">
        <v>726.67</v>
      </c>
    </row>
    <row r="20801" spans="1:8" customFormat="1" x14ac:dyDescent="0.25">
      <c r="A20801" t="str">
        <f>"4417732"</f>
        <v>4417732</v>
      </c>
      <c r="B20801" t="s">
        <v>17484</v>
      </c>
      <c r="C20801" t="s">
        <v>169</v>
      </c>
      <c r="D20801" s="21" t="s">
        <v>34</v>
      </c>
      <c r="E20801" s="21" t="s">
        <v>71</v>
      </c>
      <c r="F20801">
        <v>12440097</v>
      </c>
      <c r="G20801" t="s">
        <v>14273</v>
      </c>
      <c r="H20801" s="21">
        <v>726.67</v>
      </c>
    </row>
    <row r="20802" spans="1:8" customFormat="1" x14ac:dyDescent="0.25">
      <c r="A20802" t="str">
        <f>"9440642"</f>
        <v>9440642</v>
      </c>
      <c r="B20802" t="s">
        <v>19124</v>
      </c>
      <c r="C20802" t="s">
        <v>55</v>
      </c>
      <c r="D20802" s="21" t="s">
        <v>34</v>
      </c>
      <c r="E20802" s="21" t="s">
        <v>71</v>
      </c>
      <c r="F20802">
        <v>8941282</v>
      </c>
      <c r="G20802" t="s">
        <v>5040</v>
      </c>
      <c r="H20802" s="21">
        <v>726.67</v>
      </c>
    </row>
    <row r="20803" spans="1:8" customFormat="1" x14ac:dyDescent="0.25">
      <c r="A20803" t="str">
        <f>"298420"</f>
        <v>298420</v>
      </c>
      <c r="B20803" t="s">
        <v>11317</v>
      </c>
      <c r="C20803" t="s">
        <v>139</v>
      </c>
      <c r="D20803" s="21" t="s">
        <v>34</v>
      </c>
      <c r="E20803" s="21" t="s">
        <v>35</v>
      </c>
      <c r="F20803">
        <v>3290005</v>
      </c>
      <c r="G20803" t="s">
        <v>1253</v>
      </c>
      <c r="H20803" s="21">
        <v>726.54</v>
      </c>
    </row>
    <row r="20804" spans="1:8" customFormat="1" x14ac:dyDescent="0.25">
      <c r="A20804" t="str">
        <f>"1716805"</f>
        <v>1716805</v>
      </c>
      <c r="B20804" t="s">
        <v>1462</v>
      </c>
      <c r="C20804" t="s">
        <v>43</v>
      </c>
      <c r="D20804" s="21" t="s">
        <v>34</v>
      </c>
      <c r="E20804" s="21" t="s">
        <v>35</v>
      </c>
      <c r="F20804">
        <v>10170178</v>
      </c>
      <c r="G20804" t="s">
        <v>17278</v>
      </c>
      <c r="H20804" s="21">
        <v>726.54</v>
      </c>
    </row>
    <row r="20805" spans="1:8" customFormat="1" x14ac:dyDescent="0.25">
      <c r="A20805" t="str">
        <f>"4928416"</f>
        <v>4928416</v>
      </c>
      <c r="B20805" t="s">
        <v>17730</v>
      </c>
      <c r="C20805" t="s">
        <v>269</v>
      </c>
      <c r="D20805" s="21" t="s">
        <v>34</v>
      </c>
      <c r="E20805" s="21" t="s">
        <v>71</v>
      </c>
      <c r="F20805">
        <v>3560053</v>
      </c>
      <c r="G20805" t="s">
        <v>298</v>
      </c>
      <c r="H20805" s="21">
        <v>726.42</v>
      </c>
    </row>
    <row r="20806" spans="1:8" customFormat="1" x14ac:dyDescent="0.25">
      <c r="A20806" t="str">
        <f>"541298"</f>
        <v>541298</v>
      </c>
      <c r="B20806" t="s">
        <v>15677</v>
      </c>
      <c r="C20806" t="s">
        <v>40</v>
      </c>
      <c r="D20806" s="21" t="s">
        <v>34</v>
      </c>
      <c r="E20806" s="21" t="s">
        <v>254</v>
      </c>
      <c r="F20806">
        <v>6540088</v>
      </c>
      <c r="G20806" t="s">
        <v>2108</v>
      </c>
      <c r="H20806" s="21">
        <v>726.42</v>
      </c>
    </row>
    <row r="20807" spans="1:8" customFormat="1" x14ac:dyDescent="0.25">
      <c r="A20807" t="str">
        <f>"0210622"</f>
        <v>0210622</v>
      </c>
      <c r="B20807" t="s">
        <v>16403</v>
      </c>
      <c r="C20807" t="s">
        <v>5574</v>
      </c>
      <c r="D20807" s="21" t="s">
        <v>34</v>
      </c>
      <c r="E20807" s="21" t="s">
        <v>71</v>
      </c>
      <c r="F20807">
        <v>7020009</v>
      </c>
      <c r="G20807" t="s">
        <v>3362</v>
      </c>
      <c r="H20807" s="21">
        <v>726.29</v>
      </c>
    </row>
    <row r="20808" spans="1:8" customFormat="1" x14ac:dyDescent="0.25">
      <c r="A20808" t="str">
        <f>"592477"</f>
        <v>592477</v>
      </c>
      <c r="B20808" t="s">
        <v>3759</v>
      </c>
      <c r="C20808" t="s">
        <v>3010</v>
      </c>
      <c r="D20808" s="21" t="s">
        <v>34</v>
      </c>
      <c r="E20808" s="21" t="s">
        <v>71</v>
      </c>
      <c r="F20808">
        <v>5990021</v>
      </c>
      <c r="G20808" t="s">
        <v>14243</v>
      </c>
      <c r="H20808" s="21">
        <v>726.29</v>
      </c>
    </row>
    <row r="20809" spans="1:8" customFormat="1" x14ac:dyDescent="0.25">
      <c r="A20809" t="str">
        <f>"378719"</f>
        <v>378719</v>
      </c>
      <c r="B20809" t="s">
        <v>3885</v>
      </c>
      <c r="C20809" t="s">
        <v>233</v>
      </c>
      <c r="D20809" s="21" t="s">
        <v>34</v>
      </c>
      <c r="E20809" s="21" t="s">
        <v>71</v>
      </c>
      <c r="F20809">
        <v>4370030</v>
      </c>
      <c r="G20809" t="s">
        <v>14081</v>
      </c>
      <c r="H20809" s="21">
        <v>726.17</v>
      </c>
    </row>
    <row r="20810" spans="1:8" customFormat="1" x14ac:dyDescent="0.25">
      <c r="A20810" t="str">
        <f>"677414"</f>
        <v>677414</v>
      </c>
      <c r="B20810" t="s">
        <v>1548</v>
      </c>
      <c r="C20810" t="s">
        <v>1812</v>
      </c>
      <c r="D20810" s="21" t="s">
        <v>34</v>
      </c>
      <c r="E20810" s="21" t="s">
        <v>254</v>
      </c>
      <c r="F20810">
        <v>6670078</v>
      </c>
      <c r="G20810" t="s">
        <v>11329</v>
      </c>
      <c r="H20810" s="21">
        <v>726.17</v>
      </c>
    </row>
    <row r="20811" spans="1:8" customFormat="1" x14ac:dyDescent="0.25">
      <c r="A20811" t="str">
        <f>"6232954"</f>
        <v>6232954</v>
      </c>
      <c r="B20811" t="s">
        <v>15497</v>
      </c>
      <c r="C20811" t="s">
        <v>486</v>
      </c>
      <c r="D20811" s="21" t="s">
        <v>34</v>
      </c>
      <c r="E20811" s="21" t="s">
        <v>35</v>
      </c>
      <c r="F20811">
        <v>7620077</v>
      </c>
      <c r="G20811" t="s">
        <v>4131</v>
      </c>
      <c r="H20811" s="21">
        <v>726.17</v>
      </c>
    </row>
    <row r="20812" spans="1:8" customFormat="1" x14ac:dyDescent="0.25">
      <c r="A20812" t="str">
        <f>"2512963"</f>
        <v>2512963</v>
      </c>
      <c r="B20812" t="s">
        <v>16970</v>
      </c>
      <c r="C20812" t="s">
        <v>171</v>
      </c>
      <c r="D20812" s="21" t="s">
        <v>34</v>
      </c>
      <c r="E20812" s="21" t="s">
        <v>35</v>
      </c>
      <c r="F20812">
        <v>2250229</v>
      </c>
      <c r="G20812" t="s">
        <v>5004</v>
      </c>
      <c r="H20812" s="21">
        <v>726.17</v>
      </c>
    </row>
    <row r="20813" spans="1:8" customFormat="1" x14ac:dyDescent="0.25">
      <c r="A20813" t="str">
        <f>"8611224"</f>
        <v>8611224</v>
      </c>
      <c r="B20813" t="s">
        <v>890</v>
      </c>
      <c r="C20813" t="s">
        <v>40</v>
      </c>
      <c r="D20813" s="21" t="s">
        <v>34</v>
      </c>
      <c r="E20813" s="21" t="s">
        <v>71</v>
      </c>
      <c r="F20813">
        <v>10860187</v>
      </c>
      <c r="G20813" t="s">
        <v>9991</v>
      </c>
      <c r="H20813" s="21">
        <v>726.17</v>
      </c>
    </row>
    <row r="20814" spans="1:8" customFormat="1" x14ac:dyDescent="0.25">
      <c r="A20814" t="str">
        <f>"9521667"</f>
        <v>9521667</v>
      </c>
      <c r="B20814" t="s">
        <v>2202</v>
      </c>
      <c r="C20814" t="s">
        <v>267</v>
      </c>
      <c r="D20814" s="21" t="s">
        <v>34</v>
      </c>
      <c r="E20814" s="21" t="s">
        <v>254</v>
      </c>
      <c r="F20814">
        <v>10330128</v>
      </c>
      <c r="G20814" t="s">
        <v>13670</v>
      </c>
      <c r="H20814" s="21">
        <v>726.17</v>
      </c>
    </row>
    <row r="20815" spans="1:8" customFormat="1" x14ac:dyDescent="0.25">
      <c r="A20815" t="str">
        <f>"5950220"</f>
        <v>5950220</v>
      </c>
      <c r="B20815" t="s">
        <v>17578</v>
      </c>
      <c r="C20815" t="s">
        <v>171</v>
      </c>
      <c r="D20815" s="21" t="s">
        <v>34</v>
      </c>
      <c r="E20815" s="21" t="s">
        <v>71</v>
      </c>
      <c r="F20815">
        <v>7590065</v>
      </c>
      <c r="G20815" t="s">
        <v>1598</v>
      </c>
      <c r="H20815" s="21">
        <v>726.17</v>
      </c>
    </row>
    <row r="20816" spans="1:8" customFormat="1" x14ac:dyDescent="0.25">
      <c r="A20816" t="str">
        <f>"3725975"</f>
        <v>3725975</v>
      </c>
      <c r="B20816" t="s">
        <v>16705</v>
      </c>
      <c r="C20816" t="s">
        <v>60</v>
      </c>
      <c r="D20816" s="21" t="s">
        <v>34</v>
      </c>
      <c r="E20816" s="21" t="s">
        <v>71</v>
      </c>
      <c r="F20816">
        <v>4370349</v>
      </c>
      <c r="G20816" t="s">
        <v>2287</v>
      </c>
      <c r="H20816" s="21">
        <v>726.17</v>
      </c>
    </row>
    <row r="20817" spans="1:8" customFormat="1" x14ac:dyDescent="0.25">
      <c r="A20817" t="str">
        <f>"851392"</f>
        <v>851392</v>
      </c>
      <c r="B20817" t="s">
        <v>10753</v>
      </c>
      <c r="C20817" t="s">
        <v>2100</v>
      </c>
      <c r="D20817" s="21" t="s">
        <v>34</v>
      </c>
      <c r="E20817" s="21" t="s">
        <v>35</v>
      </c>
      <c r="F20817">
        <v>12850042</v>
      </c>
      <c r="G20817" t="s">
        <v>5342</v>
      </c>
      <c r="H20817" s="21">
        <v>726.17</v>
      </c>
    </row>
    <row r="20818" spans="1:8" customFormat="1" x14ac:dyDescent="0.25">
      <c r="A20818" t="str">
        <f>"662662"</f>
        <v>662662</v>
      </c>
      <c r="B20818" t="s">
        <v>16283</v>
      </c>
      <c r="C20818" t="s">
        <v>16284</v>
      </c>
      <c r="D20818" s="21" t="s">
        <v>34</v>
      </c>
      <c r="E20818" s="21" t="s">
        <v>35</v>
      </c>
      <c r="F20818">
        <v>11660038</v>
      </c>
      <c r="G20818" t="s">
        <v>8493</v>
      </c>
      <c r="H20818" s="21">
        <v>726.17</v>
      </c>
    </row>
    <row r="20819" spans="1:8" customFormat="1" x14ac:dyDescent="0.25">
      <c r="A20819" t="str">
        <f>"167596"</f>
        <v>167596</v>
      </c>
      <c r="B20819" t="s">
        <v>7455</v>
      </c>
      <c r="C20819" t="s">
        <v>288</v>
      </c>
      <c r="D20819" s="21" t="s">
        <v>34</v>
      </c>
      <c r="E20819" s="21" t="s">
        <v>35</v>
      </c>
      <c r="F20819">
        <v>10160002</v>
      </c>
      <c r="G20819" t="s">
        <v>15000</v>
      </c>
      <c r="H20819" s="21">
        <v>726.17</v>
      </c>
    </row>
    <row r="20820" spans="1:8" customFormat="1" x14ac:dyDescent="0.25">
      <c r="A20820" t="str">
        <f>"614127"</f>
        <v>614127</v>
      </c>
      <c r="B20820" t="s">
        <v>27620</v>
      </c>
      <c r="C20820" t="s">
        <v>119</v>
      </c>
      <c r="D20820" s="21" t="s">
        <v>34</v>
      </c>
      <c r="E20820" s="21" t="s">
        <v>35</v>
      </c>
      <c r="F20820">
        <v>9610108</v>
      </c>
      <c r="G20820" t="s">
        <v>14594</v>
      </c>
      <c r="H20820" s="21">
        <v>726.17</v>
      </c>
    </row>
    <row r="20821" spans="1:8" customFormat="1" x14ac:dyDescent="0.25">
      <c r="A20821" t="str">
        <f>"3337619"</f>
        <v>3337619</v>
      </c>
      <c r="B20821" t="s">
        <v>1341</v>
      </c>
      <c r="C20821" t="s">
        <v>33</v>
      </c>
      <c r="D20821" s="21" t="s">
        <v>34</v>
      </c>
      <c r="E20821" s="21" t="s">
        <v>35</v>
      </c>
      <c r="F20821">
        <v>10330018</v>
      </c>
      <c r="G20821" t="s">
        <v>15112</v>
      </c>
      <c r="H20821" s="21">
        <v>726.17</v>
      </c>
    </row>
    <row r="20822" spans="1:8" customFormat="1" x14ac:dyDescent="0.25">
      <c r="A20822" t="str">
        <f>"5935356"</f>
        <v>5935356</v>
      </c>
      <c r="B20822" t="s">
        <v>1533</v>
      </c>
      <c r="C20822" t="s">
        <v>2520</v>
      </c>
      <c r="D20822" s="21" t="s">
        <v>34</v>
      </c>
      <c r="E20822" s="21" t="s">
        <v>71</v>
      </c>
      <c r="F20822">
        <v>7590259</v>
      </c>
      <c r="G20822" t="s">
        <v>6385</v>
      </c>
      <c r="H20822" s="21">
        <v>726.17</v>
      </c>
    </row>
    <row r="20823" spans="1:8" customFormat="1" x14ac:dyDescent="0.25">
      <c r="A20823" t="str">
        <f>"297730"</f>
        <v>297730</v>
      </c>
      <c r="B20823" t="s">
        <v>2308</v>
      </c>
      <c r="C20823" t="s">
        <v>1841</v>
      </c>
      <c r="D20823" s="21" t="s">
        <v>34</v>
      </c>
      <c r="E20823" s="21" t="s">
        <v>254</v>
      </c>
      <c r="F20823">
        <v>3290087</v>
      </c>
      <c r="G20823" t="s">
        <v>364</v>
      </c>
      <c r="H20823" s="21">
        <v>726.17</v>
      </c>
    </row>
    <row r="20824" spans="1:8" customFormat="1" x14ac:dyDescent="0.25">
      <c r="A20824" t="str">
        <f>"959627"</f>
        <v>959627</v>
      </c>
      <c r="B20824" t="s">
        <v>27621</v>
      </c>
      <c r="C20824" t="s">
        <v>547</v>
      </c>
      <c r="D20824" s="21" t="s">
        <v>34</v>
      </c>
      <c r="E20824" s="21" t="s">
        <v>254</v>
      </c>
      <c r="F20824">
        <v>8951092</v>
      </c>
      <c r="G20824" t="s">
        <v>5801</v>
      </c>
      <c r="H20824" s="21">
        <v>726</v>
      </c>
    </row>
    <row r="20825" spans="1:8" customFormat="1" x14ac:dyDescent="0.25">
      <c r="A20825" t="str">
        <f>"4216536"</f>
        <v>4216536</v>
      </c>
      <c r="B20825" t="s">
        <v>4601</v>
      </c>
      <c r="C20825" t="s">
        <v>33</v>
      </c>
      <c r="D20825" s="21" t="s">
        <v>34</v>
      </c>
      <c r="E20825" s="21" t="s">
        <v>71</v>
      </c>
      <c r="F20825">
        <v>1420018</v>
      </c>
      <c r="G20825" t="s">
        <v>9778</v>
      </c>
      <c r="H20825" s="21">
        <v>726</v>
      </c>
    </row>
    <row r="20826" spans="1:8" customFormat="1" x14ac:dyDescent="0.25">
      <c r="A20826" t="str">
        <f>"809236"</f>
        <v>809236</v>
      </c>
      <c r="B20826" t="s">
        <v>27622</v>
      </c>
      <c r="C20826" t="s">
        <v>929</v>
      </c>
      <c r="D20826" s="21" t="s">
        <v>34</v>
      </c>
      <c r="E20826" s="21" t="s">
        <v>35</v>
      </c>
      <c r="F20826">
        <v>7800126</v>
      </c>
      <c r="G20826" t="s">
        <v>1105</v>
      </c>
      <c r="H20826" s="21">
        <v>726</v>
      </c>
    </row>
    <row r="20827" spans="1:8" customFormat="1" x14ac:dyDescent="0.25">
      <c r="A20827" t="str">
        <f>"5432450"</f>
        <v>5432450</v>
      </c>
      <c r="B20827" t="s">
        <v>21969</v>
      </c>
      <c r="C20827" t="s">
        <v>62</v>
      </c>
      <c r="D20827" s="21" t="s">
        <v>34</v>
      </c>
      <c r="E20827" s="21" t="s">
        <v>35</v>
      </c>
      <c r="F20827">
        <v>6540036</v>
      </c>
      <c r="G20827" t="s">
        <v>3612</v>
      </c>
      <c r="H20827" s="21">
        <v>725.92</v>
      </c>
    </row>
    <row r="20828" spans="1:8" customFormat="1" x14ac:dyDescent="0.25">
      <c r="A20828" t="str">
        <f>"7519162"</f>
        <v>7519162</v>
      </c>
      <c r="B20828" t="s">
        <v>18591</v>
      </c>
      <c r="C20828" t="s">
        <v>462</v>
      </c>
      <c r="D20828" s="21" t="s">
        <v>34</v>
      </c>
      <c r="E20828" s="21" t="s">
        <v>254</v>
      </c>
      <c r="F20828">
        <v>8750100</v>
      </c>
      <c r="G20828" t="s">
        <v>10521</v>
      </c>
      <c r="H20828" s="21">
        <v>725.92</v>
      </c>
    </row>
    <row r="20829" spans="1:8" customFormat="1" x14ac:dyDescent="0.25">
      <c r="A20829" t="str">
        <f>"9143537"</f>
        <v>9143537</v>
      </c>
      <c r="B20829" t="s">
        <v>1200</v>
      </c>
      <c r="C20829" t="s">
        <v>305</v>
      </c>
      <c r="D20829" s="21" t="s">
        <v>34</v>
      </c>
      <c r="E20829" s="21" t="s">
        <v>35</v>
      </c>
      <c r="F20829">
        <v>8910042</v>
      </c>
      <c r="G20829" t="s">
        <v>4009</v>
      </c>
      <c r="H20829" s="21">
        <v>725.92</v>
      </c>
    </row>
    <row r="20830" spans="1:8" customFormat="1" x14ac:dyDescent="0.25">
      <c r="A20830" t="str">
        <f>"445546"</f>
        <v>445546</v>
      </c>
      <c r="B20830" t="s">
        <v>27623</v>
      </c>
      <c r="C20830" t="s">
        <v>3784</v>
      </c>
      <c r="D20830" s="21" t="s">
        <v>34</v>
      </c>
      <c r="E20830" s="21" t="s">
        <v>1089</v>
      </c>
      <c r="F20830">
        <v>12440038</v>
      </c>
      <c r="G20830" t="s">
        <v>2057</v>
      </c>
      <c r="H20830" s="21">
        <v>725.92</v>
      </c>
    </row>
    <row r="20831" spans="1:8" customFormat="1" x14ac:dyDescent="0.25">
      <c r="A20831" t="str">
        <f>"091101"</f>
        <v>091101</v>
      </c>
      <c r="B20831" t="s">
        <v>15553</v>
      </c>
      <c r="C20831" t="s">
        <v>652</v>
      </c>
      <c r="D20831" s="21" t="s">
        <v>34</v>
      </c>
      <c r="E20831" s="21" t="s">
        <v>254</v>
      </c>
      <c r="F20831">
        <v>11090014</v>
      </c>
      <c r="G20831" t="s">
        <v>9140</v>
      </c>
      <c r="H20831" s="21">
        <v>725.79</v>
      </c>
    </row>
    <row r="20832" spans="1:8" customFormat="1" x14ac:dyDescent="0.25">
      <c r="A20832" t="str">
        <f>"5967581"</f>
        <v>5967581</v>
      </c>
      <c r="B20832" t="s">
        <v>16203</v>
      </c>
      <c r="C20832" t="s">
        <v>43</v>
      </c>
      <c r="D20832" s="21" t="s">
        <v>34</v>
      </c>
      <c r="E20832" s="21" t="s">
        <v>35</v>
      </c>
      <c r="F20832">
        <v>7590057</v>
      </c>
      <c r="G20832" t="s">
        <v>7575</v>
      </c>
      <c r="H20832" s="21">
        <v>725.67</v>
      </c>
    </row>
    <row r="20833" spans="1:8" customFormat="1" x14ac:dyDescent="0.25">
      <c r="A20833" t="str">
        <f>"3117341"</f>
        <v>3117341</v>
      </c>
      <c r="B20833" t="s">
        <v>17958</v>
      </c>
      <c r="C20833" t="s">
        <v>415</v>
      </c>
      <c r="D20833" s="21" t="s">
        <v>34</v>
      </c>
      <c r="E20833" s="21" t="s">
        <v>35</v>
      </c>
      <c r="F20833">
        <v>11310029</v>
      </c>
      <c r="G20833" t="s">
        <v>3717</v>
      </c>
      <c r="H20833" s="21">
        <v>725.67</v>
      </c>
    </row>
    <row r="20834" spans="1:8" customFormat="1" x14ac:dyDescent="0.25">
      <c r="A20834" t="str">
        <f>"069077"</f>
        <v>069077</v>
      </c>
      <c r="B20834" t="s">
        <v>17108</v>
      </c>
      <c r="C20834" t="s">
        <v>412</v>
      </c>
      <c r="D20834" s="21" t="s">
        <v>34</v>
      </c>
      <c r="E20834" s="21" t="s">
        <v>71</v>
      </c>
      <c r="F20834">
        <v>13060111</v>
      </c>
      <c r="G20834" t="s">
        <v>26647</v>
      </c>
      <c r="H20834" s="21">
        <v>725.67</v>
      </c>
    </row>
    <row r="20835" spans="1:8" customFormat="1" x14ac:dyDescent="0.25">
      <c r="A20835" t="str">
        <f>"6217993"</f>
        <v>6217993</v>
      </c>
      <c r="B20835" t="s">
        <v>18378</v>
      </c>
      <c r="C20835" t="s">
        <v>1705</v>
      </c>
      <c r="D20835" s="21" t="s">
        <v>34</v>
      </c>
      <c r="E20835" s="21" t="s">
        <v>254</v>
      </c>
      <c r="F20835">
        <v>7590402</v>
      </c>
      <c r="G20835" t="s">
        <v>1623</v>
      </c>
      <c r="H20835" s="21">
        <v>725.67</v>
      </c>
    </row>
    <row r="20836" spans="1:8" customFormat="1" x14ac:dyDescent="0.25">
      <c r="A20836" t="str">
        <f>"187489"</f>
        <v>187489</v>
      </c>
      <c r="B20836" t="s">
        <v>2082</v>
      </c>
      <c r="C20836" t="s">
        <v>209</v>
      </c>
      <c r="D20836" s="21" t="s">
        <v>34</v>
      </c>
      <c r="E20836" s="21" t="s">
        <v>71</v>
      </c>
      <c r="F20836">
        <v>4180727</v>
      </c>
      <c r="G20836" t="s">
        <v>8025</v>
      </c>
      <c r="H20836" s="21">
        <v>725.67</v>
      </c>
    </row>
    <row r="20837" spans="1:8" customFormat="1" x14ac:dyDescent="0.25">
      <c r="A20837" t="str">
        <f>"4434731"</f>
        <v>4434731</v>
      </c>
      <c r="B20837" t="s">
        <v>16935</v>
      </c>
      <c r="C20837" t="s">
        <v>121</v>
      </c>
      <c r="D20837" s="21" t="s">
        <v>34</v>
      </c>
      <c r="E20837" s="21" t="s">
        <v>71</v>
      </c>
      <c r="F20837">
        <v>12440024</v>
      </c>
      <c r="G20837" t="s">
        <v>2205</v>
      </c>
      <c r="H20837" s="21">
        <v>725.67</v>
      </c>
    </row>
    <row r="20838" spans="1:8" customFormat="1" x14ac:dyDescent="0.25">
      <c r="A20838" t="str">
        <f>"792816"</f>
        <v>792816</v>
      </c>
      <c r="B20838" t="s">
        <v>15227</v>
      </c>
      <c r="C20838" t="s">
        <v>65</v>
      </c>
      <c r="D20838" s="21" t="s">
        <v>34</v>
      </c>
      <c r="E20838" s="21" t="s">
        <v>35</v>
      </c>
      <c r="F20838">
        <v>10790009</v>
      </c>
      <c r="G20838" t="s">
        <v>1155</v>
      </c>
      <c r="H20838" s="21">
        <v>725.67</v>
      </c>
    </row>
    <row r="20839" spans="1:8" customFormat="1" x14ac:dyDescent="0.25">
      <c r="A20839" t="str">
        <f>"4515923"</f>
        <v>4515923</v>
      </c>
      <c r="B20839" t="s">
        <v>17351</v>
      </c>
      <c r="C20839" t="s">
        <v>65</v>
      </c>
      <c r="D20839" s="21" t="s">
        <v>34</v>
      </c>
      <c r="E20839" s="21" t="s">
        <v>35</v>
      </c>
      <c r="F20839">
        <v>4450663</v>
      </c>
      <c r="G20839" t="s">
        <v>2527</v>
      </c>
      <c r="H20839" s="21">
        <v>725.67</v>
      </c>
    </row>
    <row r="20840" spans="1:8" customFormat="1" x14ac:dyDescent="0.25">
      <c r="A20840" t="str">
        <f>"5319635"</f>
        <v>5319635</v>
      </c>
      <c r="B20840" t="s">
        <v>2658</v>
      </c>
      <c r="C20840" t="s">
        <v>55</v>
      </c>
      <c r="D20840" s="21" t="s">
        <v>34</v>
      </c>
      <c r="E20840" s="21" t="s">
        <v>71</v>
      </c>
      <c r="F20840">
        <v>12530022</v>
      </c>
      <c r="G20840" t="s">
        <v>914</v>
      </c>
      <c r="H20840" s="21">
        <v>725.67</v>
      </c>
    </row>
    <row r="20841" spans="1:8" customFormat="1" x14ac:dyDescent="0.25">
      <c r="A20841" t="str">
        <f>"023856"</f>
        <v>023856</v>
      </c>
      <c r="B20841" t="s">
        <v>17465</v>
      </c>
      <c r="C20841" t="s">
        <v>209</v>
      </c>
      <c r="D20841" s="21" t="s">
        <v>34</v>
      </c>
      <c r="E20841" s="21" t="s">
        <v>71</v>
      </c>
      <c r="F20841">
        <v>7020073</v>
      </c>
      <c r="G20841" t="s">
        <v>8304</v>
      </c>
      <c r="H20841" s="21">
        <v>725.67</v>
      </c>
    </row>
    <row r="20842" spans="1:8" customFormat="1" x14ac:dyDescent="0.25">
      <c r="A20842" t="str">
        <f>"9312906"</f>
        <v>9312906</v>
      </c>
      <c r="B20842" t="s">
        <v>17424</v>
      </c>
      <c r="C20842" t="s">
        <v>1597</v>
      </c>
      <c r="D20842" s="21" t="s">
        <v>34</v>
      </c>
      <c r="E20842" s="21" t="s">
        <v>1089</v>
      </c>
      <c r="F20842">
        <v>10240006</v>
      </c>
      <c r="G20842" t="s">
        <v>7296</v>
      </c>
      <c r="H20842" s="21">
        <v>725.67</v>
      </c>
    </row>
    <row r="20843" spans="1:8" customFormat="1" x14ac:dyDescent="0.25">
      <c r="A20843" t="str">
        <f>"441336"</f>
        <v>441336</v>
      </c>
      <c r="B20843" t="s">
        <v>318</v>
      </c>
      <c r="C20843" t="s">
        <v>263</v>
      </c>
      <c r="D20843" s="21" t="s">
        <v>34</v>
      </c>
      <c r="E20843" s="21" t="s">
        <v>254</v>
      </c>
      <c r="F20843">
        <v>12440266</v>
      </c>
      <c r="G20843" t="s">
        <v>924</v>
      </c>
      <c r="H20843" s="21">
        <v>725.67</v>
      </c>
    </row>
    <row r="20844" spans="1:8" customFormat="1" x14ac:dyDescent="0.25">
      <c r="A20844" t="str">
        <f>"8019220"</f>
        <v>8019220</v>
      </c>
      <c r="B20844" t="s">
        <v>6085</v>
      </c>
      <c r="C20844" t="s">
        <v>453</v>
      </c>
      <c r="D20844" s="21" t="s">
        <v>34</v>
      </c>
      <c r="E20844" s="21" t="s">
        <v>254</v>
      </c>
      <c r="F20844">
        <v>7800067</v>
      </c>
      <c r="G20844" t="s">
        <v>16355</v>
      </c>
      <c r="H20844" s="21">
        <v>725.67</v>
      </c>
    </row>
    <row r="20845" spans="1:8" customFormat="1" x14ac:dyDescent="0.25">
      <c r="A20845" t="str">
        <f>"958100"</f>
        <v>958100</v>
      </c>
      <c r="B20845" t="s">
        <v>23648</v>
      </c>
      <c r="C20845" t="s">
        <v>239</v>
      </c>
      <c r="D20845" s="21" t="s">
        <v>34</v>
      </c>
      <c r="E20845" s="21" t="s">
        <v>71</v>
      </c>
      <c r="F20845">
        <v>11300055</v>
      </c>
      <c r="G20845" t="s">
        <v>14655</v>
      </c>
      <c r="H20845" s="21">
        <v>725.67</v>
      </c>
    </row>
    <row r="20846" spans="1:8" customFormat="1" x14ac:dyDescent="0.25">
      <c r="A20846" t="str">
        <f>"5942106"</f>
        <v>5942106</v>
      </c>
      <c r="B20846" t="s">
        <v>27624</v>
      </c>
      <c r="C20846" t="s">
        <v>65</v>
      </c>
      <c r="D20846" s="21" t="s">
        <v>34</v>
      </c>
      <c r="E20846" s="21" t="s">
        <v>35</v>
      </c>
      <c r="F20846">
        <v>7590130</v>
      </c>
      <c r="G20846" t="s">
        <v>1311</v>
      </c>
      <c r="H20846" s="21">
        <v>725.67</v>
      </c>
    </row>
    <row r="20847" spans="1:8" customFormat="1" x14ac:dyDescent="0.25">
      <c r="A20847" t="str">
        <f>"7111352"</f>
        <v>7111352</v>
      </c>
      <c r="B20847" t="s">
        <v>16739</v>
      </c>
      <c r="C20847" t="s">
        <v>328</v>
      </c>
      <c r="D20847" s="21" t="s">
        <v>34</v>
      </c>
      <c r="E20847" s="21" t="s">
        <v>35</v>
      </c>
      <c r="F20847">
        <v>2710067</v>
      </c>
      <c r="G20847" t="s">
        <v>284</v>
      </c>
      <c r="H20847" s="21">
        <v>725.67</v>
      </c>
    </row>
    <row r="20848" spans="1:8" customFormat="1" x14ac:dyDescent="0.25">
      <c r="A20848" t="str">
        <f>"5015046"</f>
        <v>5015046</v>
      </c>
      <c r="B20848" t="s">
        <v>15469</v>
      </c>
      <c r="C20848" t="s">
        <v>55</v>
      </c>
      <c r="D20848" s="21" t="s">
        <v>34</v>
      </c>
      <c r="E20848" s="21" t="s">
        <v>71</v>
      </c>
      <c r="F20848">
        <v>9500031</v>
      </c>
      <c r="G20848" t="s">
        <v>11126</v>
      </c>
      <c r="H20848" s="21">
        <v>725.67</v>
      </c>
    </row>
    <row r="20849" spans="1:8" customFormat="1" x14ac:dyDescent="0.25">
      <c r="A20849" t="str">
        <f>"6021218"</f>
        <v>6021218</v>
      </c>
      <c r="B20849" t="s">
        <v>17245</v>
      </c>
      <c r="C20849" t="s">
        <v>43</v>
      </c>
      <c r="D20849" s="21" t="s">
        <v>34</v>
      </c>
      <c r="E20849" s="21" t="s">
        <v>35</v>
      </c>
      <c r="F20849">
        <v>7600112</v>
      </c>
      <c r="G20849" t="s">
        <v>9272</v>
      </c>
      <c r="H20849" s="21">
        <v>725.67</v>
      </c>
    </row>
    <row r="20850" spans="1:8" customFormat="1" x14ac:dyDescent="0.25">
      <c r="A20850" t="str">
        <f>"457250"</f>
        <v>457250</v>
      </c>
      <c r="B20850" t="s">
        <v>15531</v>
      </c>
      <c r="C20850" t="s">
        <v>2520</v>
      </c>
      <c r="D20850" s="21" t="s">
        <v>34</v>
      </c>
      <c r="E20850" s="21" t="s">
        <v>254</v>
      </c>
      <c r="F20850">
        <v>4450706</v>
      </c>
      <c r="G20850" t="s">
        <v>4482</v>
      </c>
      <c r="H20850" s="21">
        <v>725.67</v>
      </c>
    </row>
    <row r="20851" spans="1:8" customFormat="1" x14ac:dyDescent="0.25">
      <c r="A20851" t="str">
        <f>"4445759"</f>
        <v>4445759</v>
      </c>
      <c r="B20851" t="s">
        <v>5427</v>
      </c>
      <c r="C20851" t="s">
        <v>249</v>
      </c>
      <c r="D20851" s="21" t="s">
        <v>34</v>
      </c>
      <c r="E20851" s="21" t="s">
        <v>71</v>
      </c>
      <c r="F20851">
        <v>12440199</v>
      </c>
      <c r="G20851" t="s">
        <v>4653</v>
      </c>
      <c r="H20851" s="21">
        <v>725.67</v>
      </c>
    </row>
    <row r="20852" spans="1:8" customFormat="1" x14ac:dyDescent="0.25">
      <c r="A20852" t="str">
        <f>"731634"</f>
        <v>731634</v>
      </c>
      <c r="B20852" t="s">
        <v>816</v>
      </c>
      <c r="C20852" t="s">
        <v>169</v>
      </c>
      <c r="D20852" s="21" t="s">
        <v>34</v>
      </c>
      <c r="E20852" s="21" t="s">
        <v>35</v>
      </c>
      <c r="F20852">
        <v>1730083</v>
      </c>
      <c r="G20852" t="s">
        <v>10955</v>
      </c>
      <c r="H20852" s="21">
        <v>725.67</v>
      </c>
    </row>
    <row r="20853" spans="1:8" customFormat="1" x14ac:dyDescent="0.25">
      <c r="A20853" t="str">
        <f>"339120"</f>
        <v>339120</v>
      </c>
      <c r="B20853" t="s">
        <v>16674</v>
      </c>
      <c r="C20853" t="s">
        <v>412</v>
      </c>
      <c r="D20853" s="21" t="s">
        <v>34</v>
      </c>
      <c r="E20853" s="21" t="s">
        <v>71</v>
      </c>
      <c r="F20853">
        <v>10330077</v>
      </c>
      <c r="G20853" t="s">
        <v>4274</v>
      </c>
      <c r="H20853" s="21">
        <v>725.67</v>
      </c>
    </row>
    <row r="20854" spans="1:8" customFormat="1" x14ac:dyDescent="0.25">
      <c r="A20854" t="str">
        <f>"533286"</f>
        <v>533286</v>
      </c>
      <c r="B20854" t="s">
        <v>12577</v>
      </c>
      <c r="C20854" t="s">
        <v>2384</v>
      </c>
      <c r="D20854" s="21" t="s">
        <v>34</v>
      </c>
      <c r="E20854" s="21" t="s">
        <v>71</v>
      </c>
      <c r="F20854">
        <v>12530147</v>
      </c>
      <c r="G20854" t="s">
        <v>1851</v>
      </c>
      <c r="H20854" s="21">
        <v>725.67</v>
      </c>
    </row>
    <row r="20855" spans="1:8" customFormat="1" x14ac:dyDescent="0.25">
      <c r="A20855" t="str">
        <f>"6315595"</f>
        <v>6315595</v>
      </c>
      <c r="B20855" t="s">
        <v>18640</v>
      </c>
      <c r="C20855" t="s">
        <v>239</v>
      </c>
      <c r="D20855" s="21" t="s">
        <v>34</v>
      </c>
      <c r="E20855" s="21" t="s">
        <v>71</v>
      </c>
      <c r="F20855">
        <v>1630015</v>
      </c>
      <c r="G20855" t="s">
        <v>2097</v>
      </c>
      <c r="H20855" s="21">
        <v>725.67</v>
      </c>
    </row>
    <row r="20856" spans="1:8" customFormat="1" x14ac:dyDescent="0.25">
      <c r="A20856" t="str">
        <f>"2922654"</f>
        <v>2922654</v>
      </c>
      <c r="B20856" t="s">
        <v>3313</v>
      </c>
      <c r="C20856" t="s">
        <v>951</v>
      </c>
      <c r="D20856" s="21" t="s">
        <v>34</v>
      </c>
      <c r="E20856" s="21" t="s">
        <v>35</v>
      </c>
      <c r="F20856">
        <v>3290237</v>
      </c>
      <c r="G20856" t="s">
        <v>8731</v>
      </c>
      <c r="H20856" s="21">
        <v>725.67</v>
      </c>
    </row>
    <row r="20857" spans="1:8" customFormat="1" x14ac:dyDescent="0.25">
      <c r="A20857" t="str">
        <f>"923035"</f>
        <v>923035</v>
      </c>
      <c r="B20857" t="s">
        <v>5627</v>
      </c>
      <c r="C20857" t="s">
        <v>15967</v>
      </c>
      <c r="D20857" s="21" t="s">
        <v>34</v>
      </c>
      <c r="E20857" s="21" t="s">
        <v>254</v>
      </c>
      <c r="F20857">
        <v>8921182</v>
      </c>
      <c r="G20857" t="s">
        <v>26954</v>
      </c>
      <c r="H20857" s="21">
        <v>725.67</v>
      </c>
    </row>
    <row r="20858" spans="1:8" customFormat="1" x14ac:dyDescent="0.25">
      <c r="A20858" t="str">
        <f>"707284"</f>
        <v>707284</v>
      </c>
      <c r="B20858" t="s">
        <v>20791</v>
      </c>
      <c r="C20858" t="s">
        <v>288</v>
      </c>
      <c r="D20858" s="21" t="s">
        <v>34</v>
      </c>
      <c r="E20858" s="21" t="s">
        <v>35</v>
      </c>
      <c r="F20858">
        <v>2700077</v>
      </c>
      <c r="G20858" t="s">
        <v>9311</v>
      </c>
      <c r="H20858" s="21">
        <v>725.67</v>
      </c>
    </row>
    <row r="20859" spans="1:8" customFormat="1" x14ac:dyDescent="0.25">
      <c r="A20859" t="str">
        <f>"1421597"</f>
        <v>1421597</v>
      </c>
      <c r="B20859" t="s">
        <v>17606</v>
      </c>
      <c r="C20859" t="s">
        <v>60</v>
      </c>
      <c r="D20859" s="21" t="s">
        <v>34</v>
      </c>
      <c r="E20859" s="21" t="s">
        <v>71</v>
      </c>
      <c r="F20859">
        <v>9140111</v>
      </c>
      <c r="G20859" t="s">
        <v>3601</v>
      </c>
      <c r="H20859" s="21">
        <v>725.67</v>
      </c>
    </row>
    <row r="20860" spans="1:8" customFormat="1" x14ac:dyDescent="0.25">
      <c r="A20860" t="str">
        <f>"283245"</f>
        <v>283245</v>
      </c>
      <c r="B20860" t="s">
        <v>2946</v>
      </c>
      <c r="C20860" t="s">
        <v>598</v>
      </c>
      <c r="D20860" s="21" t="s">
        <v>34</v>
      </c>
      <c r="E20860" s="21" t="s">
        <v>254</v>
      </c>
      <c r="F20860">
        <v>4280251</v>
      </c>
      <c r="G20860" t="s">
        <v>16982</v>
      </c>
      <c r="H20860" s="21">
        <v>725.67</v>
      </c>
    </row>
    <row r="20861" spans="1:8" customFormat="1" x14ac:dyDescent="0.25">
      <c r="A20861" t="str">
        <f>"394447"</f>
        <v>394447</v>
      </c>
      <c r="B20861" t="s">
        <v>16291</v>
      </c>
      <c r="C20861" t="s">
        <v>1146</v>
      </c>
      <c r="D20861" s="21" t="s">
        <v>34</v>
      </c>
      <c r="E20861" s="21" t="s">
        <v>71</v>
      </c>
      <c r="F20861">
        <v>2390095</v>
      </c>
      <c r="G20861" t="s">
        <v>2676</v>
      </c>
      <c r="H20861" s="21">
        <v>725.67</v>
      </c>
    </row>
    <row r="20862" spans="1:8" customFormat="1" x14ac:dyDescent="0.25">
      <c r="A20862" t="str">
        <f>"9116653"</f>
        <v>9116653</v>
      </c>
      <c r="B20862" t="s">
        <v>2313</v>
      </c>
      <c r="C20862" t="s">
        <v>16409</v>
      </c>
      <c r="D20862" s="21" t="s">
        <v>34</v>
      </c>
      <c r="E20862" s="21" t="s">
        <v>1089</v>
      </c>
      <c r="F20862">
        <v>8911280</v>
      </c>
      <c r="G20862" t="s">
        <v>3417</v>
      </c>
      <c r="H20862" s="21">
        <v>725.54</v>
      </c>
    </row>
    <row r="20863" spans="1:8" customFormat="1" x14ac:dyDescent="0.25">
      <c r="A20863" t="str">
        <f>"7843818"</f>
        <v>7843818</v>
      </c>
      <c r="B20863" t="s">
        <v>16394</v>
      </c>
      <c r="C20863" t="s">
        <v>33</v>
      </c>
      <c r="D20863" s="21" t="s">
        <v>34</v>
      </c>
      <c r="E20863" s="21" t="s">
        <v>35</v>
      </c>
      <c r="F20863">
        <v>8781248</v>
      </c>
      <c r="G20863" t="s">
        <v>2005</v>
      </c>
      <c r="H20863" s="21">
        <v>725.54</v>
      </c>
    </row>
    <row r="20864" spans="1:8" customFormat="1" x14ac:dyDescent="0.25">
      <c r="A20864" t="str">
        <f>"279085"</f>
        <v>279085</v>
      </c>
      <c r="B20864" t="s">
        <v>17163</v>
      </c>
      <c r="C20864" t="s">
        <v>239</v>
      </c>
      <c r="D20864" s="21" t="s">
        <v>34</v>
      </c>
      <c r="E20864" s="21" t="s">
        <v>1089</v>
      </c>
      <c r="F20864">
        <v>9270161</v>
      </c>
      <c r="G20864" t="s">
        <v>10104</v>
      </c>
      <c r="H20864" s="21">
        <v>725.54</v>
      </c>
    </row>
    <row r="20865" spans="1:8" customFormat="1" x14ac:dyDescent="0.25">
      <c r="A20865" t="str">
        <f>"2914425"</f>
        <v>2914425</v>
      </c>
      <c r="B20865" t="s">
        <v>16050</v>
      </c>
      <c r="C20865" t="s">
        <v>867</v>
      </c>
      <c r="D20865" s="21" t="s">
        <v>34</v>
      </c>
      <c r="E20865" s="21" t="s">
        <v>254</v>
      </c>
      <c r="F20865">
        <v>3290010</v>
      </c>
      <c r="G20865" t="s">
        <v>1453</v>
      </c>
      <c r="H20865" s="21">
        <v>725.42</v>
      </c>
    </row>
    <row r="20866" spans="1:8" customFormat="1" x14ac:dyDescent="0.25">
      <c r="A20866" t="str">
        <f>"7518576"</f>
        <v>7518576</v>
      </c>
      <c r="B20866" t="s">
        <v>17033</v>
      </c>
      <c r="C20866" t="s">
        <v>124</v>
      </c>
      <c r="D20866" s="21" t="s">
        <v>34</v>
      </c>
      <c r="E20866" s="21" t="s">
        <v>71</v>
      </c>
      <c r="F20866">
        <v>12538899</v>
      </c>
      <c r="G20866" t="s">
        <v>10436</v>
      </c>
      <c r="H20866" s="21">
        <v>725.42</v>
      </c>
    </row>
    <row r="20867" spans="1:8" customFormat="1" x14ac:dyDescent="0.25">
      <c r="A20867" t="str">
        <f>"27380"</f>
        <v>27380</v>
      </c>
      <c r="B20867" t="s">
        <v>10960</v>
      </c>
      <c r="C20867" t="s">
        <v>124</v>
      </c>
      <c r="D20867" s="21" t="s">
        <v>34</v>
      </c>
      <c r="E20867" s="21" t="s">
        <v>254</v>
      </c>
      <c r="F20867">
        <v>9270015</v>
      </c>
      <c r="G20867" t="s">
        <v>8095</v>
      </c>
      <c r="H20867" s="21">
        <v>725.17</v>
      </c>
    </row>
    <row r="20868" spans="1:8" customFormat="1" x14ac:dyDescent="0.25">
      <c r="A20868" t="str">
        <f>"4512830"</f>
        <v>4512830</v>
      </c>
      <c r="B20868" t="s">
        <v>9498</v>
      </c>
      <c r="C20868" t="s">
        <v>2984</v>
      </c>
      <c r="D20868" s="21" t="s">
        <v>34</v>
      </c>
      <c r="E20868" s="21" t="s">
        <v>254</v>
      </c>
      <c r="F20868">
        <v>4450561</v>
      </c>
      <c r="G20868" t="s">
        <v>10125</v>
      </c>
      <c r="H20868" s="21">
        <v>725.17</v>
      </c>
    </row>
    <row r="20869" spans="1:8" customFormat="1" x14ac:dyDescent="0.25">
      <c r="A20869" t="str">
        <f>"4522686"</f>
        <v>4522686</v>
      </c>
      <c r="B20869" t="s">
        <v>18370</v>
      </c>
      <c r="C20869" t="s">
        <v>967</v>
      </c>
      <c r="D20869" s="21" t="s">
        <v>34</v>
      </c>
      <c r="E20869" s="21" t="s">
        <v>35</v>
      </c>
      <c r="F20869">
        <v>4450751</v>
      </c>
      <c r="G20869" t="s">
        <v>442</v>
      </c>
      <c r="H20869" s="21">
        <v>725.17</v>
      </c>
    </row>
    <row r="20870" spans="1:8" customFormat="1" x14ac:dyDescent="0.25">
      <c r="A20870" t="str">
        <f>"49210"</f>
        <v>49210</v>
      </c>
      <c r="B20870" t="s">
        <v>1749</v>
      </c>
      <c r="C20870" t="s">
        <v>415</v>
      </c>
      <c r="D20870" s="21" t="s">
        <v>34</v>
      </c>
      <c r="E20870" s="21" t="s">
        <v>254</v>
      </c>
      <c r="F20870">
        <v>12490122</v>
      </c>
      <c r="G20870" t="s">
        <v>26752</v>
      </c>
      <c r="H20870" s="21">
        <v>725.17</v>
      </c>
    </row>
    <row r="20871" spans="1:8" customFormat="1" x14ac:dyDescent="0.25">
      <c r="A20871" t="str">
        <f>"605545"</f>
        <v>605545</v>
      </c>
      <c r="B20871" t="s">
        <v>15250</v>
      </c>
      <c r="C20871" t="s">
        <v>598</v>
      </c>
      <c r="D20871" s="21" t="s">
        <v>34</v>
      </c>
      <c r="E20871" s="21" t="s">
        <v>254</v>
      </c>
      <c r="F20871">
        <v>9270069</v>
      </c>
      <c r="G20871" t="s">
        <v>3509</v>
      </c>
      <c r="H20871" s="21">
        <v>725.17</v>
      </c>
    </row>
    <row r="20872" spans="1:8" customFormat="1" x14ac:dyDescent="0.25">
      <c r="A20872" t="str">
        <f>"5019228"</f>
        <v>5019228</v>
      </c>
      <c r="B20872" t="s">
        <v>16334</v>
      </c>
      <c r="C20872" t="s">
        <v>204</v>
      </c>
      <c r="D20872" s="21" t="s">
        <v>34</v>
      </c>
      <c r="E20872" s="21" t="s">
        <v>35</v>
      </c>
      <c r="F20872">
        <v>9500088</v>
      </c>
      <c r="G20872" t="s">
        <v>15949</v>
      </c>
      <c r="H20872" s="21">
        <v>725.17</v>
      </c>
    </row>
    <row r="20873" spans="1:8" customFormat="1" x14ac:dyDescent="0.25">
      <c r="A20873" t="str">
        <f>"038652"</f>
        <v>038652</v>
      </c>
      <c r="B20873" t="s">
        <v>18659</v>
      </c>
      <c r="C20873" t="s">
        <v>18660</v>
      </c>
      <c r="D20873" s="21" t="s">
        <v>34</v>
      </c>
      <c r="E20873" s="21" t="s">
        <v>254</v>
      </c>
      <c r="F20873">
        <v>1030310</v>
      </c>
      <c r="G20873" t="s">
        <v>13666</v>
      </c>
      <c r="H20873" s="21">
        <v>725.17</v>
      </c>
    </row>
    <row r="20874" spans="1:8" customFormat="1" x14ac:dyDescent="0.25">
      <c r="A20874" t="str">
        <f>"837715"</f>
        <v>837715</v>
      </c>
      <c r="B20874" t="s">
        <v>765</v>
      </c>
      <c r="C20874" t="s">
        <v>156</v>
      </c>
      <c r="D20874" s="21" t="s">
        <v>34</v>
      </c>
      <c r="E20874" s="21" t="s">
        <v>254</v>
      </c>
      <c r="F20874">
        <v>11300014</v>
      </c>
      <c r="G20874" t="s">
        <v>2345</v>
      </c>
      <c r="H20874" s="21">
        <v>725.17</v>
      </c>
    </row>
    <row r="20875" spans="1:8" customFormat="1" x14ac:dyDescent="0.25">
      <c r="A20875" t="str">
        <f>"148127"</f>
        <v>148127</v>
      </c>
      <c r="B20875" t="s">
        <v>16557</v>
      </c>
      <c r="C20875" t="s">
        <v>55</v>
      </c>
      <c r="D20875" s="21" t="s">
        <v>34</v>
      </c>
      <c r="E20875" s="21" t="s">
        <v>71</v>
      </c>
      <c r="F20875">
        <v>9140055</v>
      </c>
      <c r="G20875" t="s">
        <v>344</v>
      </c>
      <c r="H20875" s="21">
        <v>725.17</v>
      </c>
    </row>
    <row r="20876" spans="1:8" customFormat="1" x14ac:dyDescent="0.25">
      <c r="A20876" t="str">
        <f>"393543"</f>
        <v>393543</v>
      </c>
      <c r="B20876" t="s">
        <v>9183</v>
      </c>
      <c r="C20876" t="s">
        <v>498</v>
      </c>
      <c r="D20876" s="21" t="s">
        <v>34</v>
      </c>
      <c r="E20876" s="21" t="s">
        <v>71</v>
      </c>
      <c r="F20876">
        <v>2390095</v>
      </c>
      <c r="G20876" t="s">
        <v>2676</v>
      </c>
      <c r="H20876" s="21">
        <v>725.17</v>
      </c>
    </row>
    <row r="20877" spans="1:8" customFormat="1" x14ac:dyDescent="0.25">
      <c r="A20877" t="str">
        <f>"5730502"</f>
        <v>5730502</v>
      </c>
      <c r="B20877" t="s">
        <v>3725</v>
      </c>
      <c r="C20877" t="s">
        <v>17345</v>
      </c>
      <c r="D20877" s="21" t="s">
        <v>34</v>
      </c>
      <c r="E20877" s="21" t="s">
        <v>71</v>
      </c>
      <c r="F20877">
        <v>6570180</v>
      </c>
      <c r="G20877" t="s">
        <v>456</v>
      </c>
      <c r="H20877" s="21">
        <v>725.17</v>
      </c>
    </row>
    <row r="20878" spans="1:8" customFormat="1" x14ac:dyDescent="0.25">
      <c r="A20878" t="str">
        <f>"3720121"</f>
        <v>3720121</v>
      </c>
      <c r="B20878" t="s">
        <v>582</v>
      </c>
      <c r="C20878" t="s">
        <v>65</v>
      </c>
      <c r="D20878" s="21" t="s">
        <v>34</v>
      </c>
      <c r="E20878" s="21" t="s">
        <v>71</v>
      </c>
      <c r="F20878">
        <v>4370011</v>
      </c>
      <c r="G20878" t="s">
        <v>3672</v>
      </c>
      <c r="H20878" s="21">
        <v>725.17</v>
      </c>
    </row>
    <row r="20879" spans="1:8" customFormat="1" x14ac:dyDescent="0.25">
      <c r="A20879" t="str">
        <f>"3711594"</f>
        <v>3711594</v>
      </c>
      <c r="B20879" t="s">
        <v>8107</v>
      </c>
      <c r="C20879" t="s">
        <v>55</v>
      </c>
      <c r="D20879" s="21" t="s">
        <v>34</v>
      </c>
      <c r="E20879" s="21" t="s">
        <v>71</v>
      </c>
      <c r="F20879">
        <v>4370030</v>
      </c>
      <c r="G20879" t="s">
        <v>14081</v>
      </c>
      <c r="H20879" s="21">
        <v>725.17</v>
      </c>
    </row>
    <row r="20880" spans="1:8" customFormat="1" x14ac:dyDescent="0.25">
      <c r="A20880" t="str">
        <f>"034521"</f>
        <v>034521</v>
      </c>
      <c r="B20880" t="s">
        <v>1103</v>
      </c>
      <c r="C20880" t="s">
        <v>209</v>
      </c>
      <c r="D20880" s="21" t="s">
        <v>34</v>
      </c>
      <c r="E20880" s="21" t="s">
        <v>254</v>
      </c>
      <c r="F20880">
        <v>1030128</v>
      </c>
      <c r="G20880" t="s">
        <v>7355</v>
      </c>
      <c r="H20880" s="21">
        <v>725</v>
      </c>
    </row>
    <row r="20881" spans="1:8" customFormat="1" x14ac:dyDescent="0.25">
      <c r="A20881" t="str">
        <f>"2218298"</f>
        <v>2218298</v>
      </c>
      <c r="B20881" t="s">
        <v>17126</v>
      </c>
      <c r="C20881" t="s">
        <v>1299</v>
      </c>
      <c r="D20881" s="21" t="s">
        <v>34</v>
      </c>
      <c r="E20881" s="21" t="s">
        <v>71</v>
      </c>
      <c r="F20881">
        <v>3220013</v>
      </c>
      <c r="G20881" t="s">
        <v>27198</v>
      </c>
      <c r="H20881" s="21">
        <v>724.92</v>
      </c>
    </row>
    <row r="20882" spans="1:8" customFormat="1" x14ac:dyDescent="0.25">
      <c r="A20882" t="str">
        <f>"187816"</f>
        <v>187816</v>
      </c>
      <c r="B20882" t="s">
        <v>15876</v>
      </c>
      <c r="C20882" t="s">
        <v>55</v>
      </c>
      <c r="D20882" s="21" t="s">
        <v>34</v>
      </c>
      <c r="E20882" s="21" t="s">
        <v>71</v>
      </c>
      <c r="F20882">
        <v>4180057</v>
      </c>
      <c r="G20882" t="s">
        <v>9021</v>
      </c>
      <c r="H20882" s="21">
        <v>724.79</v>
      </c>
    </row>
    <row r="20883" spans="1:8" customFormat="1" x14ac:dyDescent="0.25">
      <c r="A20883" t="str">
        <f>"5726143"</f>
        <v>5726143</v>
      </c>
      <c r="B20883" t="s">
        <v>18132</v>
      </c>
      <c r="C20883" t="s">
        <v>18133</v>
      </c>
      <c r="D20883" s="21" t="s">
        <v>34</v>
      </c>
      <c r="E20883" s="21" t="s">
        <v>254</v>
      </c>
      <c r="F20883">
        <v>6570024</v>
      </c>
      <c r="G20883" t="s">
        <v>464</v>
      </c>
      <c r="H20883" s="21">
        <v>724.79</v>
      </c>
    </row>
    <row r="20884" spans="1:8" customFormat="1" x14ac:dyDescent="0.25">
      <c r="A20884" t="str">
        <f>"65138"</f>
        <v>65138</v>
      </c>
      <c r="B20884" t="s">
        <v>6315</v>
      </c>
      <c r="C20884" t="s">
        <v>239</v>
      </c>
      <c r="D20884" s="21" t="s">
        <v>34</v>
      </c>
      <c r="E20884" s="21" t="s">
        <v>1089</v>
      </c>
      <c r="F20884">
        <v>11650017</v>
      </c>
      <c r="G20884" t="s">
        <v>13273</v>
      </c>
      <c r="H20884" s="21">
        <v>724.67</v>
      </c>
    </row>
    <row r="20885" spans="1:8" customFormat="1" x14ac:dyDescent="0.25">
      <c r="A20885" t="str">
        <f>"6936417"</f>
        <v>6936417</v>
      </c>
      <c r="B20885" t="s">
        <v>6729</v>
      </c>
      <c r="C20885" t="s">
        <v>1299</v>
      </c>
      <c r="D20885" s="21" t="s">
        <v>34</v>
      </c>
      <c r="E20885" s="21" t="s">
        <v>71</v>
      </c>
      <c r="F20885">
        <v>11310123</v>
      </c>
      <c r="G20885" t="s">
        <v>3915</v>
      </c>
      <c r="H20885" s="21">
        <v>724.67</v>
      </c>
    </row>
    <row r="20886" spans="1:8" customFormat="1" x14ac:dyDescent="0.25">
      <c r="A20886" t="str">
        <f>"0211276"</f>
        <v>0211276</v>
      </c>
      <c r="B20886" t="s">
        <v>2210</v>
      </c>
      <c r="C20886" t="s">
        <v>19134</v>
      </c>
      <c r="D20886" s="21" t="s">
        <v>34</v>
      </c>
      <c r="E20886" s="21" t="s">
        <v>35</v>
      </c>
      <c r="F20886">
        <v>7020024</v>
      </c>
      <c r="G20886" t="s">
        <v>4860</v>
      </c>
      <c r="H20886" s="21">
        <v>724.67</v>
      </c>
    </row>
    <row r="20887" spans="1:8" customFormat="1" x14ac:dyDescent="0.25">
      <c r="A20887" t="str">
        <f>"226410"</f>
        <v>226410</v>
      </c>
      <c r="B20887" t="s">
        <v>5092</v>
      </c>
      <c r="C20887" t="s">
        <v>1841</v>
      </c>
      <c r="D20887" s="21" t="s">
        <v>34</v>
      </c>
      <c r="E20887" s="21" t="s">
        <v>254</v>
      </c>
      <c r="F20887">
        <v>3220127</v>
      </c>
      <c r="G20887" t="s">
        <v>26652</v>
      </c>
      <c r="H20887" s="21">
        <v>724.67</v>
      </c>
    </row>
    <row r="20888" spans="1:8" customFormat="1" x14ac:dyDescent="0.25">
      <c r="A20888" t="str">
        <f>"3828690"</f>
        <v>3828690</v>
      </c>
      <c r="B20888" t="s">
        <v>20079</v>
      </c>
      <c r="C20888" t="s">
        <v>239</v>
      </c>
      <c r="D20888" s="21" t="s">
        <v>34</v>
      </c>
      <c r="E20888" s="21" t="s">
        <v>254</v>
      </c>
      <c r="F20888">
        <v>1380296</v>
      </c>
      <c r="G20888" t="s">
        <v>2810</v>
      </c>
      <c r="H20888" s="21">
        <v>724.67</v>
      </c>
    </row>
    <row r="20889" spans="1:8" customFormat="1" x14ac:dyDescent="0.25">
      <c r="A20889" t="str">
        <f>"6231291"</f>
        <v>6231291</v>
      </c>
      <c r="B20889" t="s">
        <v>2667</v>
      </c>
      <c r="C20889" t="s">
        <v>187</v>
      </c>
      <c r="D20889" s="21" t="s">
        <v>34</v>
      </c>
      <c r="E20889" s="21" t="s">
        <v>35</v>
      </c>
      <c r="F20889">
        <v>7620058</v>
      </c>
      <c r="G20889" t="s">
        <v>602</v>
      </c>
      <c r="H20889" s="21">
        <v>724.67</v>
      </c>
    </row>
    <row r="20890" spans="1:8" customFormat="1" x14ac:dyDescent="0.25">
      <c r="A20890" t="str">
        <f>"5919465"</f>
        <v>5919465</v>
      </c>
      <c r="B20890" t="s">
        <v>16609</v>
      </c>
      <c r="C20890" t="s">
        <v>412</v>
      </c>
      <c r="D20890" s="21" t="s">
        <v>34</v>
      </c>
      <c r="E20890" s="21" t="s">
        <v>71</v>
      </c>
      <c r="F20890">
        <v>7590223</v>
      </c>
      <c r="G20890" t="s">
        <v>5218</v>
      </c>
      <c r="H20890" s="21">
        <v>724.67</v>
      </c>
    </row>
    <row r="20891" spans="1:8" customFormat="1" x14ac:dyDescent="0.25">
      <c r="A20891" t="str">
        <f>"5921549"</f>
        <v>5921549</v>
      </c>
      <c r="B20891" t="s">
        <v>27625</v>
      </c>
      <c r="C20891" t="s">
        <v>285</v>
      </c>
      <c r="D20891" s="21" t="s">
        <v>34</v>
      </c>
      <c r="E20891" s="21" t="s">
        <v>35</v>
      </c>
      <c r="F20891">
        <v>7590404</v>
      </c>
      <c r="G20891" t="s">
        <v>12173</v>
      </c>
      <c r="H20891" s="21">
        <v>724.67</v>
      </c>
    </row>
    <row r="20892" spans="1:8" customFormat="1" x14ac:dyDescent="0.25">
      <c r="A20892" t="str">
        <f>"614633"</f>
        <v>614633</v>
      </c>
      <c r="B20892" t="s">
        <v>10072</v>
      </c>
      <c r="C20892" t="s">
        <v>33</v>
      </c>
      <c r="D20892" s="21" t="s">
        <v>34</v>
      </c>
      <c r="E20892" s="21" t="s">
        <v>71</v>
      </c>
      <c r="F20892">
        <v>12720028</v>
      </c>
      <c r="G20892" t="s">
        <v>4381</v>
      </c>
      <c r="H20892" s="21">
        <v>724.67</v>
      </c>
    </row>
    <row r="20893" spans="1:8" customFormat="1" x14ac:dyDescent="0.25">
      <c r="A20893" t="str">
        <f>"9125588"</f>
        <v>9125588</v>
      </c>
      <c r="B20893" t="s">
        <v>702</v>
      </c>
      <c r="C20893" t="s">
        <v>428</v>
      </c>
      <c r="D20893" s="21" t="s">
        <v>34</v>
      </c>
      <c r="E20893" s="21" t="s">
        <v>254</v>
      </c>
      <c r="F20893">
        <v>1630310</v>
      </c>
      <c r="G20893" t="s">
        <v>6314</v>
      </c>
      <c r="H20893" s="21">
        <v>724.67</v>
      </c>
    </row>
    <row r="20894" spans="1:8" customFormat="1" x14ac:dyDescent="0.25">
      <c r="A20894" t="str">
        <f>"3422251"</f>
        <v>3422251</v>
      </c>
      <c r="B20894" t="s">
        <v>18335</v>
      </c>
      <c r="C20894" t="s">
        <v>169</v>
      </c>
      <c r="D20894" s="21" t="s">
        <v>34</v>
      </c>
      <c r="E20894" s="21" t="s">
        <v>35</v>
      </c>
      <c r="F20894">
        <v>11340017</v>
      </c>
      <c r="G20894" t="s">
        <v>10668</v>
      </c>
      <c r="H20894" s="21">
        <v>724.67</v>
      </c>
    </row>
    <row r="20895" spans="1:8" customFormat="1" x14ac:dyDescent="0.25">
      <c r="A20895" t="str">
        <f>"6931026"</f>
        <v>6931026</v>
      </c>
      <c r="B20895" t="s">
        <v>17346</v>
      </c>
      <c r="C20895" t="s">
        <v>2529</v>
      </c>
      <c r="D20895" s="21" t="s">
        <v>34</v>
      </c>
      <c r="E20895" s="21" t="s">
        <v>71</v>
      </c>
      <c r="F20895">
        <v>1690030</v>
      </c>
      <c r="G20895" t="s">
        <v>432</v>
      </c>
      <c r="H20895" s="21">
        <v>724.67</v>
      </c>
    </row>
    <row r="20896" spans="1:8" customFormat="1" x14ac:dyDescent="0.25">
      <c r="A20896" t="str">
        <f>"5314982"</f>
        <v>5314982</v>
      </c>
      <c r="B20896" t="s">
        <v>3568</v>
      </c>
      <c r="C20896" t="s">
        <v>3784</v>
      </c>
      <c r="D20896" s="21" t="s">
        <v>34</v>
      </c>
      <c r="E20896" s="21" t="s">
        <v>1089</v>
      </c>
      <c r="F20896">
        <v>12530108</v>
      </c>
      <c r="G20896" t="s">
        <v>16085</v>
      </c>
      <c r="H20896" s="21">
        <v>724.67</v>
      </c>
    </row>
    <row r="20897" spans="1:8" customFormat="1" x14ac:dyDescent="0.25">
      <c r="A20897" t="str">
        <f>"2212801"</f>
        <v>2212801</v>
      </c>
      <c r="B20897" t="s">
        <v>16229</v>
      </c>
      <c r="C20897" t="s">
        <v>239</v>
      </c>
      <c r="D20897" s="21" t="s">
        <v>34</v>
      </c>
      <c r="E20897" s="21" t="s">
        <v>71</v>
      </c>
      <c r="F20897">
        <v>3220033</v>
      </c>
      <c r="G20897" t="s">
        <v>657</v>
      </c>
      <c r="H20897" s="21">
        <v>724.67</v>
      </c>
    </row>
    <row r="20898" spans="1:8" customFormat="1" x14ac:dyDescent="0.25">
      <c r="A20898" t="str">
        <f>"695633"</f>
        <v>695633</v>
      </c>
      <c r="B20898" t="s">
        <v>15911</v>
      </c>
      <c r="C20898" t="s">
        <v>65</v>
      </c>
      <c r="D20898" s="21" t="s">
        <v>34</v>
      </c>
      <c r="E20898" s="21" t="s">
        <v>71</v>
      </c>
      <c r="F20898">
        <v>1690201</v>
      </c>
      <c r="G20898" t="s">
        <v>11274</v>
      </c>
      <c r="H20898" s="21">
        <v>724.67</v>
      </c>
    </row>
    <row r="20899" spans="1:8" customFormat="1" x14ac:dyDescent="0.25">
      <c r="A20899" t="str">
        <f>"9445437"</f>
        <v>9445437</v>
      </c>
      <c r="B20899" t="s">
        <v>27626</v>
      </c>
      <c r="C20899" t="s">
        <v>109</v>
      </c>
      <c r="D20899" s="21" t="s">
        <v>34</v>
      </c>
      <c r="E20899" s="21" t="s">
        <v>35</v>
      </c>
      <c r="F20899">
        <v>8940012</v>
      </c>
      <c r="G20899" t="s">
        <v>1648</v>
      </c>
      <c r="H20899" s="21">
        <v>724.67</v>
      </c>
    </row>
    <row r="20900" spans="1:8" customFormat="1" x14ac:dyDescent="0.25">
      <c r="A20900" t="str">
        <f>"506761"</f>
        <v>506761</v>
      </c>
      <c r="B20900" t="s">
        <v>18412</v>
      </c>
      <c r="C20900" t="s">
        <v>547</v>
      </c>
      <c r="D20900" s="21" t="s">
        <v>34</v>
      </c>
      <c r="E20900" s="21" t="s">
        <v>254</v>
      </c>
      <c r="F20900">
        <v>9500111</v>
      </c>
      <c r="G20900" t="s">
        <v>6591</v>
      </c>
      <c r="H20900" s="21">
        <v>724.67</v>
      </c>
    </row>
    <row r="20901" spans="1:8" customFormat="1" x14ac:dyDescent="0.25">
      <c r="A20901" t="str">
        <f>"4924914"</f>
        <v>4924914</v>
      </c>
      <c r="B20901" t="s">
        <v>16286</v>
      </c>
      <c r="C20901" t="s">
        <v>204</v>
      </c>
      <c r="D20901" s="21" t="s">
        <v>34</v>
      </c>
      <c r="E20901" s="21" t="s">
        <v>35</v>
      </c>
      <c r="F20901">
        <v>12490062</v>
      </c>
      <c r="G20901" t="s">
        <v>9920</v>
      </c>
      <c r="H20901" s="21">
        <v>724.42</v>
      </c>
    </row>
    <row r="20902" spans="1:8" customFormat="1" x14ac:dyDescent="0.25">
      <c r="A20902" t="str">
        <f>"1317140"</f>
        <v>1317140</v>
      </c>
      <c r="B20902" t="s">
        <v>18193</v>
      </c>
      <c r="C20902" t="s">
        <v>239</v>
      </c>
      <c r="D20902" s="21" t="s">
        <v>34</v>
      </c>
      <c r="E20902" s="21" t="s">
        <v>254</v>
      </c>
      <c r="F20902">
        <v>13130012</v>
      </c>
      <c r="G20902" t="s">
        <v>68</v>
      </c>
      <c r="H20902" s="21">
        <v>724.42</v>
      </c>
    </row>
    <row r="20903" spans="1:8" customFormat="1" x14ac:dyDescent="0.25">
      <c r="A20903" t="str">
        <f>"7216041"</f>
        <v>7216041</v>
      </c>
      <c r="B20903" t="s">
        <v>17084</v>
      </c>
      <c r="C20903" t="s">
        <v>15362</v>
      </c>
      <c r="D20903" s="21" t="s">
        <v>34</v>
      </c>
      <c r="E20903" s="21" t="s">
        <v>35</v>
      </c>
      <c r="F20903">
        <v>12720091</v>
      </c>
      <c r="G20903" t="s">
        <v>10895</v>
      </c>
      <c r="H20903" s="21">
        <v>724.42</v>
      </c>
    </row>
    <row r="20904" spans="1:8" customFormat="1" x14ac:dyDescent="0.25">
      <c r="A20904" t="str">
        <f>"1714197"</f>
        <v>1714197</v>
      </c>
      <c r="B20904" t="s">
        <v>16892</v>
      </c>
      <c r="C20904" t="s">
        <v>1605</v>
      </c>
      <c r="D20904" s="21" t="s">
        <v>34</v>
      </c>
      <c r="E20904" s="21" t="s">
        <v>1089</v>
      </c>
      <c r="F20904">
        <v>10170050</v>
      </c>
      <c r="G20904" t="s">
        <v>2514</v>
      </c>
      <c r="H20904" s="21">
        <v>724.42</v>
      </c>
    </row>
    <row r="20905" spans="1:8" customFormat="1" x14ac:dyDescent="0.25">
      <c r="A20905" t="str">
        <f>"45300"</f>
        <v>45300</v>
      </c>
      <c r="B20905" t="s">
        <v>17966</v>
      </c>
      <c r="C20905" t="s">
        <v>3073</v>
      </c>
      <c r="D20905" s="21" t="s">
        <v>34</v>
      </c>
      <c r="E20905" s="21" t="s">
        <v>254</v>
      </c>
      <c r="F20905">
        <v>4450184</v>
      </c>
      <c r="G20905" t="s">
        <v>3956</v>
      </c>
      <c r="H20905" s="21">
        <v>724.17</v>
      </c>
    </row>
    <row r="20906" spans="1:8" customFormat="1" x14ac:dyDescent="0.25">
      <c r="A20906" t="str">
        <f>"847237"</f>
        <v>847237</v>
      </c>
      <c r="B20906" t="s">
        <v>6379</v>
      </c>
      <c r="C20906" t="s">
        <v>62</v>
      </c>
      <c r="D20906" s="21" t="s">
        <v>34</v>
      </c>
      <c r="E20906" s="21" t="s">
        <v>35</v>
      </c>
      <c r="F20906">
        <v>11340053</v>
      </c>
      <c r="G20906" t="s">
        <v>9935</v>
      </c>
      <c r="H20906" s="21">
        <v>724.17</v>
      </c>
    </row>
    <row r="20907" spans="1:8" customFormat="1" x14ac:dyDescent="0.25">
      <c r="A20907" t="str">
        <f>"5973905"</f>
        <v>5973905</v>
      </c>
      <c r="B20907" t="s">
        <v>18074</v>
      </c>
      <c r="C20907" t="s">
        <v>4623</v>
      </c>
      <c r="D20907" s="21" t="s">
        <v>34</v>
      </c>
      <c r="E20907" s="21" t="s">
        <v>35</v>
      </c>
      <c r="F20907">
        <v>7590390</v>
      </c>
      <c r="G20907" t="s">
        <v>18075</v>
      </c>
      <c r="H20907" s="21">
        <v>724.17</v>
      </c>
    </row>
    <row r="20908" spans="1:8" customFormat="1" x14ac:dyDescent="0.25">
      <c r="A20908" t="str">
        <f>"3424464"</f>
        <v>3424464</v>
      </c>
      <c r="B20908" t="s">
        <v>17762</v>
      </c>
      <c r="C20908" t="s">
        <v>127</v>
      </c>
      <c r="D20908" s="21" t="s">
        <v>34</v>
      </c>
      <c r="E20908" s="21" t="s">
        <v>35</v>
      </c>
      <c r="F20908">
        <v>11340065</v>
      </c>
      <c r="G20908" t="s">
        <v>2022</v>
      </c>
      <c r="H20908" s="21">
        <v>724.17</v>
      </c>
    </row>
    <row r="20909" spans="1:8" customFormat="1" x14ac:dyDescent="0.25">
      <c r="A20909" t="str">
        <f>"5977927"</f>
        <v>5977927</v>
      </c>
      <c r="B20909" t="s">
        <v>12461</v>
      </c>
      <c r="C20909" t="s">
        <v>926</v>
      </c>
      <c r="D20909" s="21" t="s">
        <v>34</v>
      </c>
      <c r="E20909" s="21" t="s">
        <v>71</v>
      </c>
      <c r="F20909">
        <v>7590235</v>
      </c>
      <c r="G20909" t="s">
        <v>5121</v>
      </c>
      <c r="H20909" s="21">
        <v>724.17</v>
      </c>
    </row>
    <row r="20910" spans="1:8" customFormat="1" x14ac:dyDescent="0.25">
      <c r="A20910" t="str">
        <f>"036112"</f>
        <v>036112</v>
      </c>
      <c r="B20910" t="s">
        <v>15818</v>
      </c>
      <c r="C20910" t="s">
        <v>528</v>
      </c>
      <c r="D20910" s="21" t="s">
        <v>34</v>
      </c>
      <c r="E20910" s="21" t="s">
        <v>71</v>
      </c>
      <c r="F20910">
        <v>1030082</v>
      </c>
      <c r="G20910" t="s">
        <v>26828</v>
      </c>
      <c r="H20910" s="21">
        <v>724.17</v>
      </c>
    </row>
    <row r="20911" spans="1:8" customFormat="1" x14ac:dyDescent="0.25">
      <c r="A20911" t="str">
        <f>"1423792"</f>
        <v>1423792</v>
      </c>
      <c r="B20911" t="s">
        <v>18077</v>
      </c>
      <c r="C20911" t="s">
        <v>867</v>
      </c>
      <c r="D20911" s="21" t="s">
        <v>34</v>
      </c>
      <c r="E20911" s="21" t="s">
        <v>35</v>
      </c>
      <c r="F20911">
        <v>9140083</v>
      </c>
      <c r="G20911" t="s">
        <v>8440</v>
      </c>
      <c r="H20911" s="21">
        <v>724.17</v>
      </c>
    </row>
    <row r="20912" spans="1:8" customFormat="1" x14ac:dyDescent="0.25">
      <c r="A20912" t="str">
        <f>"9523699"</f>
        <v>9523699</v>
      </c>
      <c r="B20912" t="s">
        <v>6309</v>
      </c>
      <c r="C20912" t="s">
        <v>453</v>
      </c>
      <c r="D20912" s="21" t="s">
        <v>34</v>
      </c>
      <c r="E20912" s="21" t="s">
        <v>1089</v>
      </c>
      <c r="F20912">
        <v>3560051</v>
      </c>
      <c r="G20912" t="s">
        <v>14709</v>
      </c>
      <c r="H20912" s="21">
        <v>724.17</v>
      </c>
    </row>
    <row r="20913" spans="1:8" customFormat="1" x14ac:dyDescent="0.25">
      <c r="A20913" t="str">
        <f>"2719040"</f>
        <v>2719040</v>
      </c>
      <c r="B20913" t="s">
        <v>18876</v>
      </c>
      <c r="C20913" t="s">
        <v>119</v>
      </c>
      <c r="D20913" s="21" t="s">
        <v>34</v>
      </c>
      <c r="E20913" s="21" t="s">
        <v>35</v>
      </c>
      <c r="F20913">
        <v>9270095</v>
      </c>
      <c r="G20913" t="s">
        <v>1681</v>
      </c>
      <c r="H20913" s="21">
        <v>724.17</v>
      </c>
    </row>
    <row r="20914" spans="1:8" customFormat="1" x14ac:dyDescent="0.25">
      <c r="A20914" t="str">
        <f>"6019159"</f>
        <v>6019159</v>
      </c>
      <c r="B20914" t="s">
        <v>7903</v>
      </c>
      <c r="C20914" t="s">
        <v>269</v>
      </c>
      <c r="D20914" s="21" t="s">
        <v>34</v>
      </c>
      <c r="E20914" s="21" t="s">
        <v>35</v>
      </c>
      <c r="F20914">
        <v>7600069</v>
      </c>
      <c r="G20914" t="s">
        <v>195</v>
      </c>
      <c r="H20914" s="21">
        <v>724.17</v>
      </c>
    </row>
    <row r="20915" spans="1:8" customFormat="1" x14ac:dyDescent="0.25">
      <c r="A20915" t="str">
        <f>"3721920"</f>
        <v>3721920</v>
      </c>
      <c r="B20915" t="s">
        <v>7530</v>
      </c>
      <c r="C20915" t="s">
        <v>249</v>
      </c>
      <c r="D20915" s="21" t="s">
        <v>34</v>
      </c>
      <c r="E20915" s="21" t="s">
        <v>71</v>
      </c>
      <c r="F20915">
        <v>4370681</v>
      </c>
      <c r="G20915" t="s">
        <v>4508</v>
      </c>
      <c r="H20915" s="21">
        <v>724.17</v>
      </c>
    </row>
    <row r="20916" spans="1:8" customFormat="1" x14ac:dyDescent="0.25">
      <c r="A20916" t="str">
        <f>"2214448"</f>
        <v>2214448</v>
      </c>
      <c r="B20916" t="s">
        <v>2489</v>
      </c>
      <c r="C20916" t="s">
        <v>239</v>
      </c>
      <c r="D20916" s="21" t="s">
        <v>34</v>
      </c>
      <c r="E20916" s="21" t="s">
        <v>254</v>
      </c>
      <c r="F20916">
        <v>3220123</v>
      </c>
      <c r="G20916" t="s">
        <v>26953</v>
      </c>
      <c r="H20916" s="21">
        <v>724.17</v>
      </c>
    </row>
    <row r="20917" spans="1:8" customFormat="1" x14ac:dyDescent="0.25">
      <c r="A20917" t="str">
        <f>"034148"</f>
        <v>034148</v>
      </c>
      <c r="B20917" t="s">
        <v>16326</v>
      </c>
      <c r="C20917" t="s">
        <v>926</v>
      </c>
      <c r="D20917" s="21" t="s">
        <v>34</v>
      </c>
      <c r="E20917" s="21" t="s">
        <v>254</v>
      </c>
      <c r="F20917">
        <v>1030035</v>
      </c>
      <c r="G20917" t="s">
        <v>2343</v>
      </c>
      <c r="H20917" s="21">
        <v>724.17</v>
      </c>
    </row>
    <row r="20918" spans="1:8" customFormat="1" x14ac:dyDescent="0.25">
      <c r="A20918" t="str">
        <f>"479429"</f>
        <v>479429</v>
      </c>
      <c r="B20918" t="s">
        <v>18670</v>
      </c>
      <c r="C20918" t="s">
        <v>202</v>
      </c>
      <c r="D20918" s="21" t="s">
        <v>34</v>
      </c>
      <c r="E20918" s="21" t="s">
        <v>35</v>
      </c>
      <c r="F20918">
        <v>10470009</v>
      </c>
      <c r="G20918" t="s">
        <v>4915</v>
      </c>
      <c r="H20918" s="21">
        <v>724.17</v>
      </c>
    </row>
    <row r="20919" spans="1:8" customFormat="1" x14ac:dyDescent="0.25">
      <c r="A20919" t="str">
        <f>"3828765"</f>
        <v>3828765</v>
      </c>
      <c r="B20919" t="s">
        <v>27627</v>
      </c>
      <c r="C20919" t="s">
        <v>156</v>
      </c>
      <c r="D20919" s="21" t="s">
        <v>34</v>
      </c>
      <c r="E20919" s="21" t="s">
        <v>35</v>
      </c>
      <c r="F20919">
        <v>1380273</v>
      </c>
      <c r="G20919" t="s">
        <v>7554</v>
      </c>
      <c r="H20919" s="21">
        <v>724.17</v>
      </c>
    </row>
    <row r="20920" spans="1:8" customFormat="1" x14ac:dyDescent="0.25">
      <c r="A20920" t="str">
        <f>"2711789"</f>
        <v>2711789</v>
      </c>
      <c r="B20920" t="s">
        <v>17324</v>
      </c>
      <c r="C20920" t="s">
        <v>62</v>
      </c>
      <c r="D20920" s="21" t="s">
        <v>34</v>
      </c>
      <c r="E20920" s="21" t="s">
        <v>71</v>
      </c>
      <c r="F20920">
        <v>9270180</v>
      </c>
      <c r="G20920" t="s">
        <v>10755</v>
      </c>
      <c r="H20920" s="21">
        <v>724.17</v>
      </c>
    </row>
    <row r="20921" spans="1:8" customFormat="1" x14ac:dyDescent="0.25">
      <c r="A20921" t="str">
        <f>"5939582"</f>
        <v>5939582</v>
      </c>
      <c r="B20921" t="s">
        <v>11458</v>
      </c>
      <c r="C20921" t="s">
        <v>4842</v>
      </c>
      <c r="D20921" s="21" t="s">
        <v>34</v>
      </c>
      <c r="E20921" s="21" t="s">
        <v>71</v>
      </c>
      <c r="F20921">
        <v>7590351</v>
      </c>
      <c r="G20921" t="s">
        <v>8495</v>
      </c>
      <c r="H20921" s="21">
        <v>724.17</v>
      </c>
    </row>
    <row r="20922" spans="1:8" customFormat="1" x14ac:dyDescent="0.25">
      <c r="A20922" t="str">
        <f>"2516275"</f>
        <v>2516275</v>
      </c>
      <c r="B20922" t="s">
        <v>18081</v>
      </c>
      <c r="C20922" t="s">
        <v>415</v>
      </c>
      <c r="D20922" s="21" t="s">
        <v>34</v>
      </c>
      <c r="E20922" s="21" t="s">
        <v>71</v>
      </c>
      <c r="F20922">
        <v>2250083</v>
      </c>
      <c r="G20922" t="s">
        <v>3808</v>
      </c>
      <c r="H20922" s="21">
        <v>724.17</v>
      </c>
    </row>
    <row r="20923" spans="1:8" customFormat="1" x14ac:dyDescent="0.25">
      <c r="A20923" t="str">
        <f>"2917555"</f>
        <v>2917555</v>
      </c>
      <c r="B20923" t="s">
        <v>1463</v>
      </c>
      <c r="C20923" t="s">
        <v>2276</v>
      </c>
      <c r="D20923" s="21" t="s">
        <v>34</v>
      </c>
      <c r="E20923" s="21" t="s">
        <v>71</v>
      </c>
      <c r="F20923">
        <v>3290011</v>
      </c>
      <c r="G20923" t="s">
        <v>7083</v>
      </c>
      <c r="H20923" s="21">
        <v>724.17</v>
      </c>
    </row>
    <row r="20924" spans="1:8" customFormat="1" x14ac:dyDescent="0.25">
      <c r="A20924" t="str">
        <f>"4444481"</f>
        <v>4444481</v>
      </c>
      <c r="B20924" t="s">
        <v>16589</v>
      </c>
      <c r="C20924" t="s">
        <v>719</v>
      </c>
      <c r="D20924" s="21" t="s">
        <v>34</v>
      </c>
      <c r="E20924" s="21" t="s">
        <v>35</v>
      </c>
      <c r="F20924">
        <v>12440134</v>
      </c>
      <c r="G20924" t="s">
        <v>10580</v>
      </c>
      <c r="H20924" s="21">
        <v>724.17</v>
      </c>
    </row>
    <row r="20925" spans="1:8" customFormat="1" x14ac:dyDescent="0.25">
      <c r="A20925" t="str">
        <f>"9422512"</f>
        <v>9422512</v>
      </c>
      <c r="B20925" t="s">
        <v>16058</v>
      </c>
      <c r="C20925" t="s">
        <v>825</v>
      </c>
      <c r="D20925" s="21" t="s">
        <v>34</v>
      </c>
      <c r="E20925" s="21" t="s">
        <v>71</v>
      </c>
      <c r="F20925">
        <v>8940033</v>
      </c>
      <c r="G20925" t="s">
        <v>1376</v>
      </c>
      <c r="H20925" s="21">
        <v>724.17</v>
      </c>
    </row>
    <row r="20926" spans="1:8" customFormat="1" x14ac:dyDescent="0.25">
      <c r="A20926" t="str">
        <f>"623799"</f>
        <v>623799</v>
      </c>
      <c r="B20926" t="s">
        <v>15940</v>
      </c>
      <c r="C20926" t="s">
        <v>60</v>
      </c>
      <c r="D20926" s="21" t="s">
        <v>34</v>
      </c>
      <c r="E20926" s="21" t="s">
        <v>35</v>
      </c>
      <c r="F20926">
        <v>7620040</v>
      </c>
      <c r="G20926" t="s">
        <v>1319</v>
      </c>
      <c r="H20926" s="21">
        <v>724.04</v>
      </c>
    </row>
    <row r="20927" spans="1:8" customFormat="1" x14ac:dyDescent="0.25">
      <c r="A20927" t="str">
        <f>"904721"</f>
        <v>904721</v>
      </c>
      <c r="B20927" t="s">
        <v>8926</v>
      </c>
      <c r="C20927" t="s">
        <v>139</v>
      </c>
      <c r="D20927" s="21" t="s">
        <v>34</v>
      </c>
      <c r="E20927" s="21" t="s">
        <v>35</v>
      </c>
      <c r="F20927">
        <v>2900003</v>
      </c>
      <c r="G20927" t="s">
        <v>1742</v>
      </c>
      <c r="H20927" s="21">
        <v>724.04</v>
      </c>
    </row>
    <row r="20928" spans="1:8" customFormat="1" x14ac:dyDescent="0.25">
      <c r="A20928" t="str">
        <f>"392951"</f>
        <v>392951</v>
      </c>
      <c r="B20928" t="s">
        <v>16627</v>
      </c>
      <c r="C20928" t="s">
        <v>249</v>
      </c>
      <c r="D20928" s="21" t="s">
        <v>34</v>
      </c>
      <c r="E20928" s="21" t="s">
        <v>71</v>
      </c>
      <c r="F20928">
        <v>2390089</v>
      </c>
      <c r="G20928" t="s">
        <v>5194</v>
      </c>
      <c r="H20928" s="21">
        <v>723.92</v>
      </c>
    </row>
    <row r="20929" spans="1:8" customFormat="1" x14ac:dyDescent="0.25">
      <c r="A20929" t="str">
        <f>"7857738"</f>
        <v>7857738</v>
      </c>
      <c r="B20929" t="s">
        <v>2122</v>
      </c>
      <c r="C20929" t="s">
        <v>169</v>
      </c>
      <c r="D20929" s="21" t="s">
        <v>34</v>
      </c>
      <c r="E20929" s="21" t="s">
        <v>35</v>
      </c>
      <c r="F20929">
        <v>8781333</v>
      </c>
      <c r="G20929" t="s">
        <v>14833</v>
      </c>
      <c r="H20929" s="21">
        <v>723.92</v>
      </c>
    </row>
    <row r="20930" spans="1:8" customFormat="1" x14ac:dyDescent="0.25">
      <c r="A20930" t="str">
        <f>"012380"</f>
        <v>012380</v>
      </c>
      <c r="B20930" t="s">
        <v>3582</v>
      </c>
      <c r="C20930" t="s">
        <v>428</v>
      </c>
      <c r="D20930" s="21" t="s">
        <v>34</v>
      </c>
      <c r="E20930" s="21" t="s">
        <v>71</v>
      </c>
      <c r="F20930">
        <v>12490064</v>
      </c>
      <c r="G20930" t="s">
        <v>8425</v>
      </c>
      <c r="H20930" s="21">
        <v>723.79</v>
      </c>
    </row>
    <row r="20931" spans="1:8" customFormat="1" x14ac:dyDescent="0.25">
      <c r="A20931" t="str">
        <f>"72264"</f>
        <v>72264</v>
      </c>
      <c r="B20931" t="s">
        <v>2690</v>
      </c>
      <c r="C20931" t="s">
        <v>2100</v>
      </c>
      <c r="D20931" s="21" t="s">
        <v>34</v>
      </c>
      <c r="E20931" s="21" t="s">
        <v>1089</v>
      </c>
      <c r="F20931">
        <v>12720084</v>
      </c>
      <c r="G20931" t="s">
        <v>7532</v>
      </c>
      <c r="H20931" s="21">
        <v>723.67</v>
      </c>
    </row>
    <row r="20932" spans="1:8" customFormat="1" x14ac:dyDescent="0.25">
      <c r="A20932" t="str">
        <f>"2714376"</f>
        <v>2714376</v>
      </c>
      <c r="B20932" t="s">
        <v>5846</v>
      </c>
      <c r="C20932" t="s">
        <v>109</v>
      </c>
      <c r="D20932" s="21" t="s">
        <v>34</v>
      </c>
      <c r="E20932" s="21" t="s">
        <v>35</v>
      </c>
      <c r="F20932">
        <v>9270008</v>
      </c>
      <c r="G20932" t="s">
        <v>7853</v>
      </c>
      <c r="H20932" s="21">
        <v>723.67</v>
      </c>
    </row>
    <row r="20933" spans="1:8" customFormat="1" x14ac:dyDescent="0.25">
      <c r="A20933" t="str">
        <f>"728846"</f>
        <v>728846</v>
      </c>
      <c r="B20933" t="s">
        <v>16359</v>
      </c>
      <c r="C20933" t="s">
        <v>664</v>
      </c>
      <c r="D20933" s="21" t="s">
        <v>34</v>
      </c>
      <c r="E20933" s="21" t="s">
        <v>71</v>
      </c>
      <c r="F20933">
        <v>12720081</v>
      </c>
      <c r="G20933" t="s">
        <v>6360</v>
      </c>
      <c r="H20933" s="21">
        <v>723.67</v>
      </c>
    </row>
    <row r="20934" spans="1:8" customFormat="1" x14ac:dyDescent="0.25">
      <c r="A20934" t="str">
        <f>"652990"</f>
        <v>652990</v>
      </c>
      <c r="B20934" t="s">
        <v>16312</v>
      </c>
      <c r="C20934" t="s">
        <v>169</v>
      </c>
      <c r="D20934" s="21" t="s">
        <v>34</v>
      </c>
      <c r="E20934" s="21" t="s">
        <v>35</v>
      </c>
      <c r="F20934">
        <v>11650014</v>
      </c>
      <c r="G20934" t="s">
        <v>9313</v>
      </c>
      <c r="H20934" s="21">
        <v>723.67</v>
      </c>
    </row>
    <row r="20935" spans="1:8" customFormat="1" x14ac:dyDescent="0.25">
      <c r="A20935" t="str">
        <f>"7847099"</f>
        <v>7847099</v>
      </c>
      <c r="B20935" t="s">
        <v>201</v>
      </c>
      <c r="C20935" t="s">
        <v>87</v>
      </c>
      <c r="D20935" s="21" t="s">
        <v>34</v>
      </c>
      <c r="E20935" s="21" t="s">
        <v>71</v>
      </c>
      <c r="F20935">
        <v>8780224</v>
      </c>
      <c r="G20935" t="s">
        <v>8599</v>
      </c>
      <c r="H20935" s="21">
        <v>723.67</v>
      </c>
    </row>
    <row r="20936" spans="1:8" customFormat="1" x14ac:dyDescent="0.25">
      <c r="A20936" t="str">
        <f>"722155"</f>
        <v>722155</v>
      </c>
      <c r="B20936" t="s">
        <v>9653</v>
      </c>
      <c r="C20936" t="s">
        <v>328</v>
      </c>
      <c r="D20936" s="21" t="s">
        <v>34</v>
      </c>
      <c r="E20936" s="21" t="s">
        <v>71</v>
      </c>
      <c r="F20936">
        <v>12720078</v>
      </c>
      <c r="G20936" t="s">
        <v>5085</v>
      </c>
      <c r="H20936" s="21">
        <v>723.67</v>
      </c>
    </row>
    <row r="20937" spans="1:8" customFormat="1" x14ac:dyDescent="0.25">
      <c r="A20937" t="str">
        <f>"9222204"</f>
        <v>9222204</v>
      </c>
      <c r="B20937" t="s">
        <v>15702</v>
      </c>
      <c r="C20937" t="s">
        <v>209</v>
      </c>
      <c r="D20937" s="21" t="s">
        <v>34</v>
      </c>
      <c r="E20937" s="21" t="s">
        <v>71</v>
      </c>
      <c r="F20937">
        <v>8921164</v>
      </c>
      <c r="G20937" t="s">
        <v>5203</v>
      </c>
      <c r="H20937" s="21">
        <v>723.67</v>
      </c>
    </row>
    <row r="20938" spans="1:8" customFormat="1" x14ac:dyDescent="0.25">
      <c r="A20938" t="str">
        <f>"7712600"</f>
        <v>7712600</v>
      </c>
      <c r="B20938" t="s">
        <v>16672</v>
      </c>
      <c r="C20938" t="s">
        <v>124</v>
      </c>
      <c r="D20938" s="21" t="s">
        <v>34</v>
      </c>
      <c r="E20938" s="21" t="s">
        <v>254</v>
      </c>
      <c r="F20938">
        <v>8770169</v>
      </c>
      <c r="G20938" t="s">
        <v>1001</v>
      </c>
      <c r="H20938" s="21">
        <v>723.67</v>
      </c>
    </row>
    <row r="20939" spans="1:8" customFormat="1" x14ac:dyDescent="0.25">
      <c r="A20939" t="str">
        <f>"367418"</f>
        <v>367418</v>
      </c>
      <c r="B20939" t="s">
        <v>15106</v>
      </c>
      <c r="C20939" t="s">
        <v>267</v>
      </c>
      <c r="D20939" s="21" t="s">
        <v>34</v>
      </c>
      <c r="E20939" s="21" t="s">
        <v>1089</v>
      </c>
      <c r="F20939">
        <v>4360653</v>
      </c>
      <c r="G20939" t="s">
        <v>7955</v>
      </c>
      <c r="H20939" s="21">
        <v>723.67</v>
      </c>
    </row>
    <row r="20940" spans="1:8" customFormat="1" x14ac:dyDescent="0.25">
      <c r="A20940" t="str">
        <f>"1611329"</f>
        <v>1611329</v>
      </c>
      <c r="B20940" t="s">
        <v>15387</v>
      </c>
      <c r="C20940" t="s">
        <v>879</v>
      </c>
      <c r="D20940" s="21" t="s">
        <v>34</v>
      </c>
      <c r="E20940" s="21" t="s">
        <v>254</v>
      </c>
      <c r="F20940">
        <v>10160237</v>
      </c>
      <c r="G20940" t="s">
        <v>8818</v>
      </c>
      <c r="H20940" s="21">
        <v>723.67</v>
      </c>
    </row>
    <row r="20941" spans="1:8" customFormat="1" x14ac:dyDescent="0.25">
      <c r="A20941" t="str">
        <f>"9112778"</f>
        <v>9112778</v>
      </c>
      <c r="B20941" t="s">
        <v>27628</v>
      </c>
      <c r="C20941" t="s">
        <v>817</v>
      </c>
      <c r="D20941" s="21" t="s">
        <v>34</v>
      </c>
      <c r="E20941" s="21" t="s">
        <v>254</v>
      </c>
      <c r="F20941">
        <v>8910359</v>
      </c>
      <c r="G20941" t="s">
        <v>1204</v>
      </c>
      <c r="H20941" s="21">
        <v>723.67</v>
      </c>
    </row>
    <row r="20942" spans="1:8" customFormat="1" x14ac:dyDescent="0.25">
      <c r="A20942" t="str">
        <f>"722852"</f>
        <v>722852</v>
      </c>
      <c r="B20942" t="s">
        <v>16265</v>
      </c>
      <c r="C20942" t="s">
        <v>1142</v>
      </c>
      <c r="D20942" s="21" t="s">
        <v>34</v>
      </c>
      <c r="E20942" s="21" t="s">
        <v>254</v>
      </c>
      <c r="F20942">
        <v>12720009</v>
      </c>
      <c r="G20942" t="s">
        <v>6928</v>
      </c>
      <c r="H20942" s="21">
        <v>723.67</v>
      </c>
    </row>
    <row r="20943" spans="1:8" customFormat="1" x14ac:dyDescent="0.25">
      <c r="A20943" t="str">
        <f>"592129"</f>
        <v>592129</v>
      </c>
      <c r="B20943" t="s">
        <v>1048</v>
      </c>
      <c r="C20943" t="s">
        <v>3905</v>
      </c>
      <c r="D20943" s="21" t="s">
        <v>34</v>
      </c>
      <c r="E20943" s="21" t="s">
        <v>71</v>
      </c>
      <c r="F20943">
        <v>7590392</v>
      </c>
      <c r="G20943" t="s">
        <v>154</v>
      </c>
      <c r="H20943" s="21">
        <v>723.67</v>
      </c>
    </row>
    <row r="20944" spans="1:8" customFormat="1" x14ac:dyDescent="0.25">
      <c r="A20944" t="str">
        <f>"377699"</f>
        <v>377699</v>
      </c>
      <c r="B20944" t="s">
        <v>946</v>
      </c>
      <c r="C20944" t="s">
        <v>462</v>
      </c>
      <c r="D20944" s="21" t="s">
        <v>34</v>
      </c>
      <c r="E20944" s="21" t="s">
        <v>71</v>
      </c>
      <c r="F20944">
        <v>4370002</v>
      </c>
      <c r="G20944" t="s">
        <v>112</v>
      </c>
      <c r="H20944" s="21">
        <v>723.67</v>
      </c>
    </row>
    <row r="20945" spans="1:8" customFormat="1" x14ac:dyDescent="0.25">
      <c r="A20945" t="str">
        <f>"2914048"</f>
        <v>2914048</v>
      </c>
      <c r="B20945" t="s">
        <v>17390</v>
      </c>
      <c r="C20945" t="s">
        <v>267</v>
      </c>
      <c r="D20945" s="21" t="s">
        <v>34</v>
      </c>
      <c r="E20945" s="21" t="s">
        <v>71</v>
      </c>
      <c r="F20945">
        <v>3290214</v>
      </c>
      <c r="G20945" t="s">
        <v>10975</v>
      </c>
      <c r="H20945" s="21">
        <v>723.67</v>
      </c>
    </row>
    <row r="20946" spans="1:8" customFormat="1" x14ac:dyDescent="0.25">
      <c r="A20946" t="str">
        <f>"417584"</f>
        <v>417584</v>
      </c>
      <c r="B20946" t="s">
        <v>11437</v>
      </c>
      <c r="C20946" t="s">
        <v>267</v>
      </c>
      <c r="D20946" s="21" t="s">
        <v>34</v>
      </c>
      <c r="E20946" s="21" t="s">
        <v>254</v>
      </c>
      <c r="F20946">
        <v>12851018</v>
      </c>
      <c r="G20946" t="s">
        <v>8085</v>
      </c>
      <c r="H20946" s="21">
        <v>723.67</v>
      </c>
    </row>
    <row r="20947" spans="1:8" customFormat="1" x14ac:dyDescent="0.25">
      <c r="A20947" t="str">
        <f>"496036"</f>
        <v>496036</v>
      </c>
      <c r="B20947" t="s">
        <v>17292</v>
      </c>
      <c r="C20947" t="s">
        <v>17293</v>
      </c>
      <c r="D20947" s="21" t="s">
        <v>34</v>
      </c>
      <c r="E20947" s="21" t="s">
        <v>1089</v>
      </c>
      <c r="F20947">
        <v>12490076</v>
      </c>
      <c r="G20947" t="s">
        <v>2086</v>
      </c>
      <c r="H20947" s="21">
        <v>723.67</v>
      </c>
    </row>
    <row r="20948" spans="1:8" customFormat="1" x14ac:dyDescent="0.25">
      <c r="A20948" t="str">
        <f>"62289"</f>
        <v>62289</v>
      </c>
      <c r="B20948" t="s">
        <v>16199</v>
      </c>
      <c r="C20948" t="s">
        <v>267</v>
      </c>
      <c r="D20948" s="21" t="s">
        <v>34</v>
      </c>
      <c r="E20948" s="21" t="s">
        <v>1089</v>
      </c>
      <c r="F20948">
        <v>7620047</v>
      </c>
      <c r="G20948" t="s">
        <v>16200</v>
      </c>
      <c r="H20948" s="21">
        <v>723.67</v>
      </c>
    </row>
    <row r="20949" spans="1:8" customFormat="1" x14ac:dyDescent="0.25">
      <c r="A20949" t="str">
        <f>"642616"</f>
        <v>642616</v>
      </c>
      <c r="B20949" t="s">
        <v>12467</v>
      </c>
      <c r="C20949" t="s">
        <v>1132</v>
      </c>
      <c r="D20949" s="21" t="s">
        <v>34</v>
      </c>
      <c r="E20949" s="21" t="s">
        <v>71</v>
      </c>
      <c r="F20949">
        <v>10640013</v>
      </c>
      <c r="G20949" t="s">
        <v>4626</v>
      </c>
      <c r="H20949" s="21">
        <v>723.67</v>
      </c>
    </row>
    <row r="20950" spans="1:8" customFormat="1" x14ac:dyDescent="0.25">
      <c r="A20950" t="str">
        <f>"4415271"</f>
        <v>4415271</v>
      </c>
      <c r="B20950" t="s">
        <v>16679</v>
      </c>
      <c r="C20950" t="s">
        <v>2520</v>
      </c>
      <c r="D20950" s="21" t="s">
        <v>34</v>
      </c>
      <c r="E20950" s="21" t="s">
        <v>254</v>
      </c>
      <c r="F20950">
        <v>12440048</v>
      </c>
      <c r="G20950" t="s">
        <v>2090</v>
      </c>
      <c r="H20950" s="21">
        <v>723.67</v>
      </c>
    </row>
    <row r="20951" spans="1:8" customFormat="1" x14ac:dyDescent="0.25">
      <c r="A20951" t="str">
        <f>"9248224"</f>
        <v>9248224</v>
      </c>
      <c r="B20951" t="s">
        <v>17958</v>
      </c>
      <c r="C20951" t="s">
        <v>156</v>
      </c>
      <c r="D20951" s="21" t="s">
        <v>34</v>
      </c>
      <c r="E20951" s="21" t="s">
        <v>35</v>
      </c>
      <c r="F20951">
        <v>8920075</v>
      </c>
      <c r="G20951" t="s">
        <v>317</v>
      </c>
      <c r="H20951" s="21">
        <v>723.54</v>
      </c>
    </row>
    <row r="20952" spans="1:8" customFormat="1" x14ac:dyDescent="0.25">
      <c r="A20952" t="str">
        <f>"7512779"</f>
        <v>7512779</v>
      </c>
      <c r="B20952" t="s">
        <v>4296</v>
      </c>
      <c r="C20952" t="s">
        <v>267</v>
      </c>
      <c r="D20952" s="21" t="s">
        <v>34</v>
      </c>
      <c r="E20952" s="21" t="s">
        <v>71</v>
      </c>
      <c r="F20952">
        <v>8750074</v>
      </c>
      <c r="G20952" t="s">
        <v>698</v>
      </c>
      <c r="H20952" s="21">
        <v>723.42</v>
      </c>
    </row>
    <row r="20953" spans="1:8" customFormat="1" x14ac:dyDescent="0.25">
      <c r="A20953" t="str">
        <f>"79937"</f>
        <v>79937</v>
      </c>
      <c r="B20953" t="s">
        <v>9072</v>
      </c>
      <c r="C20953" t="s">
        <v>412</v>
      </c>
      <c r="D20953" s="21" t="s">
        <v>34</v>
      </c>
      <c r="E20953" s="21" t="s">
        <v>6185</v>
      </c>
      <c r="F20953">
        <v>10790235</v>
      </c>
      <c r="G20953" t="s">
        <v>413</v>
      </c>
      <c r="H20953" s="21">
        <v>723.42</v>
      </c>
    </row>
    <row r="20954" spans="1:8" customFormat="1" x14ac:dyDescent="0.25">
      <c r="A20954" t="str">
        <f>"5320269"</f>
        <v>5320269</v>
      </c>
      <c r="B20954" t="s">
        <v>17505</v>
      </c>
      <c r="C20954" t="s">
        <v>98</v>
      </c>
      <c r="D20954" s="21" t="s">
        <v>34</v>
      </c>
      <c r="E20954" s="21" t="s">
        <v>35</v>
      </c>
      <c r="F20954">
        <v>12530064</v>
      </c>
      <c r="G20954" t="s">
        <v>3699</v>
      </c>
      <c r="H20954" s="21">
        <v>723.42</v>
      </c>
    </row>
    <row r="20955" spans="1:8" customFormat="1" x14ac:dyDescent="0.25">
      <c r="A20955" t="str">
        <f>"844655"</f>
        <v>844655</v>
      </c>
      <c r="B20955" t="s">
        <v>16423</v>
      </c>
      <c r="C20955" t="s">
        <v>2904</v>
      </c>
      <c r="D20955" s="21" t="s">
        <v>34</v>
      </c>
      <c r="E20955" s="21" t="s">
        <v>71</v>
      </c>
      <c r="F20955">
        <v>13840005</v>
      </c>
      <c r="G20955" t="s">
        <v>2145</v>
      </c>
      <c r="H20955" s="21">
        <v>723.42</v>
      </c>
    </row>
    <row r="20956" spans="1:8" customFormat="1" x14ac:dyDescent="0.25">
      <c r="A20956" t="str">
        <f>"2936858"</f>
        <v>2936858</v>
      </c>
      <c r="B20956" t="s">
        <v>6133</v>
      </c>
      <c r="C20956" t="s">
        <v>462</v>
      </c>
      <c r="D20956" s="21" t="s">
        <v>34</v>
      </c>
      <c r="E20956" s="21" t="s">
        <v>71</v>
      </c>
      <c r="F20956">
        <v>3290081</v>
      </c>
      <c r="G20956" t="s">
        <v>3819</v>
      </c>
      <c r="H20956" s="21">
        <v>723.42</v>
      </c>
    </row>
    <row r="20957" spans="1:8" customFormat="1" x14ac:dyDescent="0.25">
      <c r="A20957" t="str">
        <f>"4514134"</f>
        <v>4514134</v>
      </c>
      <c r="B20957" t="s">
        <v>17883</v>
      </c>
      <c r="C20957" t="s">
        <v>12176</v>
      </c>
      <c r="D20957" s="21" t="s">
        <v>34</v>
      </c>
      <c r="E20957" s="21" t="s">
        <v>71</v>
      </c>
      <c r="F20957">
        <v>8911379</v>
      </c>
      <c r="G20957" t="s">
        <v>8430</v>
      </c>
      <c r="H20957" s="21">
        <v>723.29</v>
      </c>
    </row>
    <row r="20958" spans="1:8" customFormat="1" x14ac:dyDescent="0.25">
      <c r="A20958" t="str">
        <f>"9131096"</f>
        <v>9131096</v>
      </c>
      <c r="B20958" t="s">
        <v>17660</v>
      </c>
      <c r="C20958" t="s">
        <v>55</v>
      </c>
      <c r="D20958" s="21" t="s">
        <v>34</v>
      </c>
      <c r="E20958" s="21" t="s">
        <v>71</v>
      </c>
      <c r="F20958">
        <v>8911206</v>
      </c>
      <c r="G20958" t="s">
        <v>17661</v>
      </c>
      <c r="H20958" s="21">
        <v>723.17</v>
      </c>
    </row>
    <row r="20959" spans="1:8" customFormat="1" x14ac:dyDescent="0.25">
      <c r="A20959" t="str">
        <f>"539254"</f>
        <v>539254</v>
      </c>
      <c r="B20959" t="s">
        <v>9305</v>
      </c>
      <c r="C20959" t="s">
        <v>169</v>
      </c>
      <c r="D20959" s="21" t="s">
        <v>34</v>
      </c>
      <c r="E20959" s="21" t="s">
        <v>35</v>
      </c>
      <c r="F20959">
        <v>12530049</v>
      </c>
      <c r="G20959" t="s">
        <v>9306</v>
      </c>
      <c r="H20959" s="21">
        <v>723.17</v>
      </c>
    </row>
    <row r="20960" spans="1:8" customFormat="1" x14ac:dyDescent="0.25">
      <c r="A20960" t="str">
        <f>"06429"</f>
        <v>06429</v>
      </c>
      <c r="B20960" t="s">
        <v>27629</v>
      </c>
      <c r="C20960" t="s">
        <v>18874</v>
      </c>
      <c r="D20960" s="21" t="s">
        <v>34</v>
      </c>
      <c r="E20960" s="21" t="s">
        <v>254</v>
      </c>
      <c r="F20960">
        <v>13060037</v>
      </c>
      <c r="G20960" t="s">
        <v>9521</v>
      </c>
      <c r="H20960" s="21">
        <v>723.17</v>
      </c>
    </row>
    <row r="20961" spans="1:8" customFormat="1" x14ac:dyDescent="0.25">
      <c r="A20961" t="str">
        <f>"178006"</f>
        <v>178006</v>
      </c>
      <c r="B20961" t="s">
        <v>15984</v>
      </c>
      <c r="C20961" t="s">
        <v>1142</v>
      </c>
      <c r="D20961" s="21" t="s">
        <v>34</v>
      </c>
      <c r="E20961" s="21" t="s">
        <v>35</v>
      </c>
      <c r="F20961">
        <v>10170046</v>
      </c>
      <c r="G20961" t="s">
        <v>7370</v>
      </c>
      <c r="H20961" s="21">
        <v>723.17</v>
      </c>
    </row>
    <row r="20962" spans="1:8" customFormat="1" x14ac:dyDescent="0.25">
      <c r="A20962" t="str">
        <f>"934457"</f>
        <v>934457</v>
      </c>
      <c r="B20962" t="s">
        <v>16178</v>
      </c>
      <c r="C20962" t="s">
        <v>253</v>
      </c>
      <c r="D20962" s="21" t="s">
        <v>34</v>
      </c>
      <c r="E20962" s="21" t="s">
        <v>254</v>
      </c>
      <c r="F20962">
        <v>8931011</v>
      </c>
      <c r="G20962" t="s">
        <v>530</v>
      </c>
      <c r="H20962" s="21">
        <v>723.17</v>
      </c>
    </row>
    <row r="20963" spans="1:8" customFormat="1" x14ac:dyDescent="0.25">
      <c r="A20963" t="str">
        <f>"795918"</f>
        <v>795918</v>
      </c>
      <c r="B20963" t="s">
        <v>136</v>
      </c>
      <c r="C20963" t="s">
        <v>2904</v>
      </c>
      <c r="D20963" s="21" t="s">
        <v>34</v>
      </c>
      <c r="E20963" s="21" t="s">
        <v>254</v>
      </c>
      <c r="F20963">
        <v>10790038</v>
      </c>
      <c r="G20963" t="s">
        <v>5857</v>
      </c>
      <c r="H20963" s="21">
        <v>723.17</v>
      </c>
    </row>
    <row r="20964" spans="1:8" customFormat="1" x14ac:dyDescent="0.25">
      <c r="A20964" t="str">
        <f>"7846708"</f>
        <v>7846708</v>
      </c>
      <c r="B20964" t="s">
        <v>4261</v>
      </c>
      <c r="C20964" t="s">
        <v>87</v>
      </c>
      <c r="D20964" s="21" t="s">
        <v>34</v>
      </c>
      <c r="E20964" s="21" t="s">
        <v>71</v>
      </c>
      <c r="F20964">
        <v>8780485</v>
      </c>
      <c r="G20964" t="s">
        <v>1279</v>
      </c>
      <c r="H20964" s="21">
        <v>723.17</v>
      </c>
    </row>
    <row r="20965" spans="1:8" customFormat="1" x14ac:dyDescent="0.25">
      <c r="A20965" t="str">
        <f>"374925"</f>
        <v>374925</v>
      </c>
      <c r="B20965" t="s">
        <v>16965</v>
      </c>
      <c r="C20965" t="s">
        <v>209</v>
      </c>
      <c r="D20965" s="21" t="s">
        <v>34</v>
      </c>
      <c r="E20965" s="21" t="s">
        <v>254</v>
      </c>
      <c r="F20965">
        <v>4370694</v>
      </c>
      <c r="G20965" t="s">
        <v>989</v>
      </c>
      <c r="H20965" s="21">
        <v>723.17</v>
      </c>
    </row>
    <row r="20966" spans="1:8" customFormat="1" x14ac:dyDescent="0.25">
      <c r="A20966" t="str">
        <f>"258190"</f>
        <v>258190</v>
      </c>
      <c r="B20966" t="s">
        <v>10292</v>
      </c>
      <c r="C20966" t="s">
        <v>198</v>
      </c>
      <c r="D20966" s="21" t="s">
        <v>34</v>
      </c>
      <c r="E20966" s="21" t="s">
        <v>71</v>
      </c>
      <c r="F20966">
        <v>2250083</v>
      </c>
      <c r="G20966" t="s">
        <v>3808</v>
      </c>
      <c r="H20966" s="21">
        <v>723.17</v>
      </c>
    </row>
    <row r="20967" spans="1:8" customFormat="1" x14ac:dyDescent="0.25">
      <c r="A20967" t="str">
        <f>"6310473"</f>
        <v>6310473</v>
      </c>
      <c r="B20967" t="s">
        <v>16015</v>
      </c>
      <c r="C20967" t="s">
        <v>239</v>
      </c>
      <c r="D20967" s="21" t="s">
        <v>34</v>
      </c>
      <c r="E20967" s="21" t="s">
        <v>71</v>
      </c>
      <c r="F20967">
        <v>1630310</v>
      </c>
      <c r="G20967" t="s">
        <v>6314</v>
      </c>
      <c r="H20967" s="21">
        <v>723.17</v>
      </c>
    </row>
    <row r="20968" spans="1:8" customFormat="1" x14ac:dyDescent="0.25">
      <c r="A20968" t="str">
        <f>"85352"</f>
        <v>85352</v>
      </c>
      <c r="B20968" t="s">
        <v>2315</v>
      </c>
      <c r="C20968" t="s">
        <v>124</v>
      </c>
      <c r="D20968" s="21" t="s">
        <v>34</v>
      </c>
      <c r="E20968" s="21" t="s">
        <v>71</v>
      </c>
      <c r="F20968">
        <v>12850093</v>
      </c>
      <c r="G20968" t="s">
        <v>3371</v>
      </c>
      <c r="H20968" s="21">
        <v>723.17</v>
      </c>
    </row>
    <row r="20969" spans="1:8" customFormat="1" x14ac:dyDescent="0.25">
      <c r="A20969" t="str">
        <f>"617657"</f>
        <v>617657</v>
      </c>
      <c r="B20969" t="s">
        <v>6541</v>
      </c>
      <c r="C20969" t="s">
        <v>124</v>
      </c>
      <c r="D20969" s="21" t="s">
        <v>34</v>
      </c>
      <c r="E20969" s="21" t="s">
        <v>35</v>
      </c>
      <c r="F20969">
        <v>9610031</v>
      </c>
      <c r="G20969" t="s">
        <v>1792</v>
      </c>
      <c r="H20969" s="21">
        <v>723.17</v>
      </c>
    </row>
    <row r="20970" spans="1:8" customFormat="1" x14ac:dyDescent="0.25">
      <c r="A20970" t="str">
        <f>"637633"</f>
        <v>637633</v>
      </c>
      <c r="B20970" t="s">
        <v>16292</v>
      </c>
      <c r="C20970" t="s">
        <v>415</v>
      </c>
      <c r="D20970" s="21" t="s">
        <v>34</v>
      </c>
      <c r="E20970" s="21" t="s">
        <v>71</v>
      </c>
      <c r="F20970">
        <v>1630134</v>
      </c>
      <c r="G20970" t="s">
        <v>11787</v>
      </c>
      <c r="H20970" s="21">
        <v>723.17</v>
      </c>
    </row>
    <row r="20971" spans="1:8" customFormat="1" x14ac:dyDescent="0.25">
      <c r="A20971" t="str">
        <f>"395248"</f>
        <v>395248</v>
      </c>
      <c r="B20971" t="s">
        <v>27630</v>
      </c>
      <c r="C20971" t="s">
        <v>124</v>
      </c>
      <c r="D20971" s="21" t="s">
        <v>34</v>
      </c>
      <c r="E20971" s="21" t="s">
        <v>71</v>
      </c>
      <c r="F20971">
        <v>9140052</v>
      </c>
      <c r="G20971" t="s">
        <v>26563</v>
      </c>
      <c r="H20971" s="21">
        <v>723.17</v>
      </c>
    </row>
    <row r="20972" spans="1:8" customFormat="1" x14ac:dyDescent="0.25">
      <c r="A20972" t="str">
        <f>"671889"</f>
        <v>671889</v>
      </c>
      <c r="B20972" t="s">
        <v>12079</v>
      </c>
      <c r="C20972" t="s">
        <v>564</v>
      </c>
      <c r="D20972" s="21" t="s">
        <v>34</v>
      </c>
      <c r="E20972" s="21" t="s">
        <v>254</v>
      </c>
      <c r="F20972">
        <v>6670114</v>
      </c>
      <c r="G20972" t="s">
        <v>3084</v>
      </c>
      <c r="H20972" s="21">
        <v>723.17</v>
      </c>
    </row>
    <row r="20973" spans="1:8" customFormat="1" x14ac:dyDescent="0.25">
      <c r="A20973" t="str">
        <f>"7613151"</f>
        <v>7613151</v>
      </c>
      <c r="B20973" t="s">
        <v>3000</v>
      </c>
      <c r="C20973" t="s">
        <v>1588</v>
      </c>
      <c r="D20973" s="21" t="s">
        <v>34</v>
      </c>
      <c r="E20973" s="21" t="s">
        <v>71</v>
      </c>
      <c r="F20973">
        <v>9760351</v>
      </c>
      <c r="G20973" t="s">
        <v>5898</v>
      </c>
      <c r="H20973" s="21">
        <v>723.17</v>
      </c>
    </row>
    <row r="20974" spans="1:8" customFormat="1" x14ac:dyDescent="0.25">
      <c r="A20974" t="str">
        <f>"1613717"</f>
        <v>1613717</v>
      </c>
      <c r="B20974" t="s">
        <v>17257</v>
      </c>
      <c r="C20974" t="s">
        <v>156</v>
      </c>
      <c r="D20974" s="21" t="s">
        <v>34</v>
      </c>
      <c r="E20974" s="21" t="s">
        <v>254</v>
      </c>
      <c r="F20974">
        <v>10160028</v>
      </c>
      <c r="G20974" t="s">
        <v>12565</v>
      </c>
      <c r="H20974" s="21">
        <v>723.17</v>
      </c>
    </row>
    <row r="20975" spans="1:8" customFormat="1" x14ac:dyDescent="0.25">
      <c r="A20975" t="str">
        <f>"8524418"</f>
        <v>8524418</v>
      </c>
      <c r="B20975" t="s">
        <v>17353</v>
      </c>
      <c r="C20975" t="s">
        <v>169</v>
      </c>
      <c r="D20975" s="21" t="s">
        <v>34</v>
      </c>
      <c r="E20975" s="21" t="s">
        <v>35</v>
      </c>
      <c r="F20975">
        <v>12850125</v>
      </c>
      <c r="G20975" t="s">
        <v>9898</v>
      </c>
      <c r="H20975" s="21">
        <v>723.17</v>
      </c>
    </row>
    <row r="20976" spans="1:8" customFormat="1" x14ac:dyDescent="0.25">
      <c r="A20976" t="str">
        <f>"781083"</f>
        <v>781083</v>
      </c>
      <c r="B20976" t="s">
        <v>1295</v>
      </c>
      <c r="C20976" t="s">
        <v>2479</v>
      </c>
      <c r="D20976" s="21" t="s">
        <v>34</v>
      </c>
      <c r="E20976" s="21" t="s">
        <v>254</v>
      </c>
      <c r="F20976">
        <v>8781144</v>
      </c>
      <c r="G20976" t="s">
        <v>4714</v>
      </c>
      <c r="H20976" s="21">
        <v>723.17</v>
      </c>
    </row>
    <row r="20977" spans="1:8" customFormat="1" x14ac:dyDescent="0.25">
      <c r="A20977" t="str">
        <f>"551347"</f>
        <v>551347</v>
      </c>
      <c r="B20977" t="s">
        <v>16007</v>
      </c>
      <c r="C20977" t="s">
        <v>2730</v>
      </c>
      <c r="D20977" s="21" t="s">
        <v>34</v>
      </c>
      <c r="E20977" s="21" t="s">
        <v>1089</v>
      </c>
      <c r="F20977">
        <v>6550026</v>
      </c>
      <c r="G20977" t="s">
        <v>14543</v>
      </c>
      <c r="H20977" s="21">
        <v>723.17</v>
      </c>
    </row>
    <row r="20978" spans="1:8" customFormat="1" x14ac:dyDescent="0.25">
      <c r="A20978" t="str">
        <f>"534964"</f>
        <v>534964</v>
      </c>
      <c r="B20978" t="s">
        <v>7945</v>
      </c>
      <c r="C20978" t="s">
        <v>652</v>
      </c>
      <c r="D20978" s="21" t="s">
        <v>34</v>
      </c>
      <c r="E20978" s="21" t="s">
        <v>254</v>
      </c>
      <c r="F20978">
        <v>12530008</v>
      </c>
      <c r="G20978" t="s">
        <v>7920</v>
      </c>
      <c r="H20978" s="21">
        <v>723.17</v>
      </c>
    </row>
    <row r="20979" spans="1:8" customFormat="1" x14ac:dyDescent="0.25">
      <c r="A20979" t="str">
        <f>"407083"</f>
        <v>407083</v>
      </c>
      <c r="B20979" t="s">
        <v>13323</v>
      </c>
      <c r="C20979" t="s">
        <v>239</v>
      </c>
      <c r="D20979" s="21" t="s">
        <v>34</v>
      </c>
      <c r="E20979" s="21" t="s">
        <v>35</v>
      </c>
      <c r="F20979">
        <v>10400013</v>
      </c>
      <c r="G20979" t="s">
        <v>6238</v>
      </c>
      <c r="H20979" s="21">
        <v>723.04</v>
      </c>
    </row>
    <row r="20980" spans="1:8" customFormat="1" x14ac:dyDescent="0.25">
      <c r="A20980" t="str">
        <f>"1614044"</f>
        <v>1614044</v>
      </c>
      <c r="B20980" t="s">
        <v>17827</v>
      </c>
      <c r="C20980" t="s">
        <v>124</v>
      </c>
      <c r="D20980" s="21" t="s">
        <v>34</v>
      </c>
      <c r="E20980" s="21" t="s">
        <v>71</v>
      </c>
      <c r="F20980">
        <v>10160085</v>
      </c>
      <c r="G20980" t="s">
        <v>10818</v>
      </c>
      <c r="H20980" s="21">
        <v>723</v>
      </c>
    </row>
    <row r="20981" spans="1:8" customFormat="1" x14ac:dyDescent="0.25">
      <c r="A20981" t="str">
        <f>"6310817"</f>
        <v>6310817</v>
      </c>
      <c r="B20981" t="s">
        <v>17223</v>
      </c>
      <c r="C20981" t="s">
        <v>33</v>
      </c>
      <c r="D20981" s="21" t="s">
        <v>34</v>
      </c>
      <c r="E20981" s="21" t="s">
        <v>71</v>
      </c>
      <c r="F20981">
        <v>1630191</v>
      </c>
      <c r="G20981" t="s">
        <v>11303</v>
      </c>
      <c r="H20981" s="21">
        <v>722.92</v>
      </c>
    </row>
    <row r="20982" spans="1:8" customFormat="1" x14ac:dyDescent="0.25">
      <c r="A20982" t="str">
        <f>"594798"</f>
        <v>594798</v>
      </c>
      <c r="B20982" t="s">
        <v>2962</v>
      </c>
      <c r="C20982" t="s">
        <v>415</v>
      </c>
      <c r="D20982" s="21" t="s">
        <v>34</v>
      </c>
      <c r="E20982" s="21" t="s">
        <v>254</v>
      </c>
      <c r="F20982">
        <v>7590363</v>
      </c>
      <c r="G20982" t="s">
        <v>5167</v>
      </c>
      <c r="H20982" s="21">
        <v>722.92</v>
      </c>
    </row>
    <row r="20983" spans="1:8" customFormat="1" x14ac:dyDescent="0.25">
      <c r="A20983" t="str">
        <f>"2933903"</f>
        <v>2933903</v>
      </c>
      <c r="B20983" t="s">
        <v>1533</v>
      </c>
      <c r="C20983" t="s">
        <v>124</v>
      </c>
      <c r="D20983" s="21" t="s">
        <v>34</v>
      </c>
      <c r="E20983" s="21" t="s">
        <v>254</v>
      </c>
      <c r="F20983">
        <v>3290277</v>
      </c>
      <c r="G20983" t="s">
        <v>1671</v>
      </c>
      <c r="H20983" s="21">
        <v>722.92</v>
      </c>
    </row>
    <row r="20984" spans="1:8" customFormat="1" x14ac:dyDescent="0.25">
      <c r="A20984" t="str">
        <f>"3322157"</f>
        <v>3322157</v>
      </c>
      <c r="B20984" t="s">
        <v>16140</v>
      </c>
      <c r="C20984" t="s">
        <v>879</v>
      </c>
      <c r="D20984" s="21" t="s">
        <v>34</v>
      </c>
      <c r="E20984" s="21" t="s">
        <v>254</v>
      </c>
      <c r="F20984">
        <v>10330020</v>
      </c>
      <c r="G20984" t="s">
        <v>7481</v>
      </c>
      <c r="H20984" s="21">
        <v>722.67</v>
      </c>
    </row>
    <row r="20985" spans="1:8" customFormat="1" x14ac:dyDescent="0.25">
      <c r="A20985" t="str">
        <f>"745818"</f>
        <v>745818</v>
      </c>
      <c r="B20985" t="s">
        <v>15663</v>
      </c>
      <c r="C20985" t="s">
        <v>547</v>
      </c>
      <c r="D20985" s="21" t="s">
        <v>34</v>
      </c>
      <c r="E20985" s="21" t="s">
        <v>71</v>
      </c>
      <c r="F20985">
        <v>1740063</v>
      </c>
      <c r="G20985" t="s">
        <v>9745</v>
      </c>
      <c r="H20985" s="21">
        <v>722.67</v>
      </c>
    </row>
    <row r="20986" spans="1:8" customFormat="1" x14ac:dyDescent="0.25">
      <c r="A20986" t="str">
        <f>"7837016"</f>
        <v>7837016</v>
      </c>
      <c r="B20986" t="s">
        <v>16337</v>
      </c>
      <c r="C20986" t="s">
        <v>415</v>
      </c>
      <c r="D20986" s="21" t="s">
        <v>34</v>
      </c>
      <c r="E20986" s="21" t="s">
        <v>254</v>
      </c>
      <c r="F20986">
        <v>8781176</v>
      </c>
      <c r="G20986" t="s">
        <v>3659</v>
      </c>
      <c r="H20986" s="21">
        <v>722.67</v>
      </c>
    </row>
    <row r="20987" spans="1:8" customFormat="1" x14ac:dyDescent="0.25">
      <c r="A20987" t="str">
        <f>"026191"</f>
        <v>026191</v>
      </c>
      <c r="B20987" t="s">
        <v>1682</v>
      </c>
      <c r="C20987" t="s">
        <v>608</v>
      </c>
      <c r="D20987" s="21" t="s">
        <v>34</v>
      </c>
      <c r="E20987" s="21" t="s">
        <v>71</v>
      </c>
      <c r="F20987">
        <v>10470006</v>
      </c>
      <c r="G20987" t="s">
        <v>1225</v>
      </c>
      <c r="H20987" s="21">
        <v>722.67</v>
      </c>
    </row>
    <row r="20988" spans="1:8" customFormat="1" x14ac:dyDescent="0.25">
      <c r="A20988" t="str">
        <f>"5415311"</f>
        <v>5415311</v>
      </c>
      <c r="B20988" t="s">
        <v>15794</v>
      </c>
      <c r="C20988" t="s">
        <v>55</v>
      </c>
      <c r="D20988" s="21" t="s">
        <v>34</v>
      </c>
      <c r="E20988" s="21" t="s">
        <v>35</v>
      </c>
      <c r="F20988">
        <v>13060088</v>
      </c>
      <c r="G20988" t="s">
        <v>15538</v>
      </c>
      <c r="H20988" s="21">
        <v>722.67</v>
      </c>
    </row>
    <row r="20989" spans="1:8" customFormat="1" x14ac:dyDescent="0.25">
      <c r="A20989" t="str">
        <f>"304652"</f>
        <v>304652</v>
      </c>
      <c r="B20989" t="s">
        <v>8695</v>
      </c>
      <c r="C20989" t="s">
        <v>1597</v>
      </c>
      <c r="D20989" s="21" t="s">
        <v>34</v>
      </c>
      <c r="E20989" s="21" t="s">
        <v>254</v>
      </c>
      <c r="F20989">
        <v>11300041</v>
      </c>
      <c r="G20989" t="s">
        <v>8074</v>
      </c>
      <c r="H20989" s="21">
        <v>722.67</v>
      </c>
    </row>
    <row r="20990" spans="1:8" customFormat="1" x14ac:dyDescent="0.25">
      <c r="A20990" t="str">
        <f>"7845360"</f>
        <v>7845360</v>
      </c>
      <c r="B20990" t="s">
        <v>17979</v>
      </c>
      <c r="C20990" t="s">
        <v>263</v>
      </c>
      <c r="D20990" s="21" t="s">
        <v>34</v>
      </c>
      <c r="E20990" s="21" t="s">
        <v>71</v>
      </c>
      <c r="F20990">
        <v>8781473</v>
      </c>
      <c r="G20990" t="s">
        <v>1097</v>
      </c>
      <c r="H20990" s="21">
        <v>722.67</v>
      </c>
    </row>
    <row r="20991" spans="1:8" customFormat="1" x14ac:dyDescent="0.25">
      <c r="A20991" t="str">
        <f>"291204"</f>
        <v>291204</v>
      </c>
      <c r="B20991" t="s">
        <v>6465</v>
      </c>
      <c r="C20991" t="s">
        <v>598</v>
      </c>
      <c r="D20991" s="21" t="s">
        <v>34</v>
      </c>
      <c r="E20991" s="21" t="s">
        <v>254</v>
      </c>
      <c r="F20991">
        <v>3290276</v>
      </c>
      <c r="G20991" t="s">
        <v>26710</v>
      </c>
      <c r="H20991" s="21">
        <v>722.67</v>
      </c>
    </row>
    <row r="20992" spans="1:8" customFormat="1" x14ac:dyDescent="0.25">
      <c r="A20992" t="str">
        <f>"8018187"</f>
        <v>8018187</v>
      </c>
      <c r="B20992" t="s">
        <v>17482</v>
      </c>
      <c r="C20992" t="s">
        <v>33</v>
      </c>
      <c r="D20992" s="21" t="s">
        <v>34</v>
      </c>
      <c r="E20992" s="21" t="s">
        <v>71</v>
      </c>
      <c r="F20992">
        <v>7800156</v>
      </c>
      <c r="G20992" t="s">
        <v>12924</v>
      </c>
      <c r="H20992" s="21">
        <v>722.67</v>
      </c>
    </row>
    <row r="20993" spans="1:8" customFormat="1" x14ac:dyDescent="0.25">
      <c r="A20993" t="str">
        <f>"8526331"</f>
        <v>8526331</v>
      </c>
      <c r="B20993" t="s">
        <v>8910</v>
      </c>
      <c r="C20993" t="s">
        <v>275</v>
      </c>
      <c r="D20993" s="21" t="s">
        <v>34</v>
      </c>
      <c r="E20993" s="21" t="s">
        <v>35</v>
      </c>
      <c r="F20993">
        <v>12850118</v>
      </c>
      <c r="G20993" t="s">
        <v>6811</v>
      </c>
      <c r="H20993" s="21">
        <v>722.67</v>
      </c>
    </row>
    <row r="20994" spans="1:8" customFormat="1" x14ac:dyDescent="0.25">
      <c r="A20994" t="str">
        <f>"043317"</f>
        <v>043317</v>
      </c>
      <c r="B20994" t="s">
        <v>17833</v>
      </c>
      <c r="C20994" t="s">
        <v>40</v>
      </c>
      <c r="D20994" s="21" t="s">
        <v>34</v>
      </c>
      <c r="E20994" s="21" t="s">
        <v>71</v>
      </c>
      <c r="F20994">
        <v>13040030</v>
      </c>
      <c r="G20994" t="s">
        <v>1903</v>
      </c>
      <c r="H20994" s="21">
        <v>722.67</v>
      </c>
    </row>
    <row r="20995" spans="1:8" customFormat="1" x14ac:dyDescent="0.25">
      <c r="A20995" t="str">
        <f>"3524863"</f>
        <v>3524863</v>
      </c>
      <c r="B20995" t="s">
        <v>27631</v>
      </c>
      <c r="C20995" t="s">
        <v>2806</v>
      </c>
      <c r="D20995" s="21" t="s">
        <v>34</v>
      </c>
      <c r="E20995" s="21" t="s">
        <v>71</v>
      </c>
      <c r="F20995">
        <v>3350113</v>
      </c>
      <c r="G20995" t="s">
        <v>7631</v>
      </c>
      <c r="H20995" s="21">
        <v>722.67</v>
      </c>
    </row>
    <row r="20996" spans="1:8" customFormat="1" x14ac:dyDescent="0.25">
      <c r="A20996" t="str">
        <f>"021506"</f>
        <v>021506</v>
      </c>
      <c r="B20996" t="s">
        <v>8340</v>
      </c>
      <c r="C20996" t="s">
        <v>198</v>
      </c>
      <c r="D20996" s="21" t="s">
        <v>34</v>
      </c>
      <c r="E20996" s="21" t="s">
        <v>71</v>
      </c>
      <c r="F20996">
        <v>7021014</v>
      </c>
      <c r="G20996" t="s">
        <v>15834</v>
      </c>
      <c r="H20996" s="21">
        <v>722.67</v>
      </c>
    </row>
    <row r="20997" spans="1:8" customFormat="1" x14ac:dyDescent="0.25">
      <c r="A20997" t="str">
        <f>"6720781"</f>
        <v>6720781</v>
      </c>
      <c r="B20997" t="s">
        <v>17121</v>
      </c>
      <c r="C20997" t="s">
        <v>4721</v>
      </c>
      <c r="D20997" s="21" t="s">
        <v>34</v>
      </c>
      <c r="E20997" s="21" t="s">
        <v>71</v>
      </c>
      <c r="F20997">
        <v>6670115</v>
      </c>
      <c r="G20997" t="s">
        <v>3798</v>
      </c>
      <c r="H20997" s="21">
        <v>722.67</v>
      </c>
    </row>
    <row r="20998" spans="1:8" customFormat="1" x14ac:dyDescent="0.25">
      <c r="A20998" t="str">
        <f>"2920818"</f>
        <v>2920818</v>
      </c>
      <c r="B20998" t="s">
        <v>16603</v>
      </c>
      <c r="C20998" t="s">
        <v>204</v>
      </c>
      <c r="D20998" s="21" t="s">
        <v>34</v>
      </c>
      <c r="E20998" s="21" t="s">
        <v>35</v>
      </c>
      <c r="F20998">
        <v>3290223</v>
      </c>
      <c r="G20998" t="s">
        <v>2636</v>
      </c>
      <c r="H20998" s="21">
        <v>722.67</v>
      </c>
    </row>
    <row r="20999" spans="1:8" customFormat="1" x14ac:dyDescent="0.25">
      <c r="A20999" t="str">
        <f>"3526754"</f>
        <v>3526754</v>
      </c>
      <c r="B20999" t="s">
        <v>15959</v>
      </c>
      <c r="C20999" t="s">
        <v>598</v>
      </c>
      <c r="D20999" s="21" t="s">
        <v>34</v>
      </c>
      <c r="E20999" s="21" t="s">
        <v>71</v>
      </c>
      <c r="F20999">
        <v>3350210</v>
      </c>
      <c r="G20999" t="s">
        <v>12171</v>
      </c>
      <c r="H20999" s="21">
        <v>722.67</v>
      </c>
    </row>
    <row r="21000" spans="1:8" customFormat="1" x14ac:dyDescent="0.25">
      <c r="A21000" t="str">
        <f>"6112834"</f>
        <v>6112834</v>
      </c>
      <c r="B21000" t="s">
        <v>12330</v>
      </c>
      <c r="C21000" t="s">
        <v>174</v>
      </c>
      <c r="D21000" s="21" t="s">
        <v>34</v>
      </c>
      <c r="E21000" s="21" t="s">
        <v>35</v>
      </c>
      <c r="F21000">
        <v>9610035</v>
      </c>
      <c r="G21000" t="s">
        <v>7061</v>
      </c>
      <c r="H21000" s="21">
        <v>722.67</v>
      </c>
    </row>
    <row r="21001" spans="1:8" customFormat="1" x14ac:dyDescent="0.25">
      <c r="A21001" t="str">
        <f>"502212"</f>
        <v>502212</v>
      </c>
      <c r="B21001" t="s">
        <v>16588</v>
      </c>
      <c r="C21001" t="s">
        <v>2276</v>
      </c>
      <c r="D21001" s="21" t="s">
        <v>34</v>
      </c>
      <c r="E21001" s="21" t="s">
        <v>254</v>
      </c>
      <c r="F21001">
        <v>9500112</v>
      </c>
      <c r="G21001" t="s">
        <v>1668</v>
      </c>
      <c r="H21001" s="21">
        <v>722.67</v>
      </c>
    </row>
    <row r="21002" spans="1:8" customFormat="1" x14ac:dyDescent="0.25">
      <c r="A21002" t="str">
        <f>"5018191"</f>
        <v>5018191</v>
      </c>
      <c r="B21002" t="s">
        <v>7695</v>
      </c>
      <c r="C21002" t="s">
        <v>664</v>
      </c>
      <c r="D21002" s="21" t="s">
        <v>34</v>
      </c>
      <c r="E21002" s="21" t="s">
        <v>254</v>
      </c>
      <c r="F21002">
        <v>9500161</v>
      </c>
      <c r="G21002" t="s">
        <v>11812</v>
      </c>
      <c r="H21002" s="21">
        <v>722.67</v>
      </c>
    </row>
    <row r="21003" spans="1:8" customFormat="1" x14ac:dyDescent="0.25">
      <c r="A21003" t="str">
        <f>"5930108"</f>
        <v>5930108</v>
      </c>
      <c r="B21003" t="s">
        <v>6805</v>
      </c>
      <c r="C21003" t="s">
        <v>576</v>
      </c>
      <c r="D21003" s="21" t="s">
        <v>34</v>
      </c>
      <c r="E21003" s="21" t="s">
        <v>35</v>
      </c>
      <c r="F21003">
        <v>7590024</v>
      </c>
      <c r="G21003" t="s">
        <v>14009</v>
      </c>
      <c r="H21003" s="21">
        <v>722.67</v>
      </c>
    </row>
    <row r="21004" spans="1:8" customFormat="1" x14ac:dyDescent="0.25">
      <c r="A21004" t="str">
        <f>"8526606"</f>
        <v>8526606</v>
      </c>
      <c r="B21004" t="s">
        <v>4618</v>
      </c>
      <c r="C21004" t="s">
        <v>87</v>
      </c>
      <c r="D21004" s="21" t="s">
        <v>34</v>
      </c>
      <c r="E21004" s="21" t="s">
        <v>71</v>
      </c>
      <c r="F21004">
        <v>12850021</v>
      </c>
      <c r="G21004" t="s">
        <v>4760</v>
      </c>
      <c r="H21004" s="21">
        <v>722.67</v>
      </c>
    </row>
    <row r="21005" spans="1:8" customFormat="1" x14ac:dyDescent="0.25">
      <c r="A21005" t="str">
        <f>"7875263"</f>
        <v>7875263</v>
      </c>
      <c r="B21005" t="s">
        <v>18491</v>
      </c>
      <c r="C21005" t="s">
        <v>124</v>
      </c>
      <c r="D21005" s="21" t="s">
        <v>34</v>
      </c>
      <c r="E21005" s="21" t="s">
        <v>71</v>
      </c>
      <c r="F21005">
        <v>8780440</v>
      </c>
      <c r="G21005" t="s">
        <v>6629</v>
      </c>
      <c r="H21005" s="21">
        <v>722.54</v>
      </c>
    </row>
    <row r="21006" spans="1:8" customFormat="1" x14ac:dyDescent="0.25">
      <c r="A21006" t="str">
        <f>"6221655"</f>
        <v>6221655</v>
      </c>
      <c r="B21006" t="s">
        <v>4458</v>
      </c>
      <c r="C21006" t="s">
        <v>1832</v>
      </c>
      <c r="D21006" s="21" t="s">
        <v>34</v>
      </c>
      <c r="E21006" s="21" t="s">
        <v>35</v>
      </c>
      <c r="F21006">
        <v>7620061</v>
      </c>
      <c r="G21006" t="s">
        <v>4448</v>
      </c>
      <c r="H21006" s="21">
        <v>722.42</v>
      </c>
    </row>
    <row r="21007" spans="1:8" customFormat="1" x14ac:dyDescent="0.25">
      <c r="A21007" t="str">
        <f>"5429709"</f>
        <v>5429709</v>
      </c>
      <c r="B21007" t="s">
        <v>17014</v>
      </c>
      <c r="C21007" t="s">
        <v>60</v>
      </c>
      <c r="D21007" s="21" t="s">
        <v>34</v>
      </c>
      <c r="E21007" s="21" t="s">
        <v>35</v>
      </c>
      <c r="F21007">
        <v>6540194</v>
      </c>
      <c r="G21007" t="s">
        <v>7171</v>
      </c>
      <c r="H21007" s="21">
        <v>722.42</v>
      </c>
    </row>
    <row r="21008" spans="1:8" customFormat="1" x14ac:dyDescent="0.25">
      <c r="A21008" t="str">
        <f>"242543"</f>
        <v>242543</v>
      </c>
      <c r="B21008" t="s">
        <v>15502</v>
      </c>
      <c r="C21008" t="s">
        <v>249</v>
      </c>
      <c r="D21008" s="21" t="s">
        <v>34</v>
      </c>
      <c r="E21008" s="21" t="s">
        <v>71</v>
      </c>
      <c r="F21008">
        <v>10240015</v>
      </c>
      <c r="G21008" t="s">
        <v>8589</v>
      </c>
      <c r="H21008" s="21">
        <v>722.29</v>
      </c>
    </row>
    <row r="21009" spans="1:8" customFormat="1" x14ac:dyDescent="0.25">
      <c r="A21009" t="str">
        <f>"565419"</f>
        <v>565419</v>
      </c>
      <c r="B21009" t="s">
        <v>15262</v>
      </c>
      <c r="C21009" t="s">
        <v>469</v>
      </c>
      <c r="D21009" s="21" t="s">
        <v>34</v>
      </c>
      <c r="E21009" s="21" t="s">
        <v>35</v>
      </c>
      <c r="F21009">
        <v>3290229</v>
      </c>
      <c r="G21009" t="s">
        <v>408</v>
      </c>
      <c r="H21009" s="21">
        <v>722.17</v>
      </c>
    </row>
    <row r="21010" spans="1:8" customFormat="1" x14ac:dyDescent="0.25">
      <c r="A21010" t="str">
        <f>"2918433"</f>
        <v>2918433</v>
      </c>
      <c r="B21010" t="s">
        <v>18445</v>
      </c>
      <c r="C21010" t="s">
        <v>631</v>
      </c>
      <c r="D21010" s="21" t="s">
        <v>34</v>
      </c>
      <c r="E21010" s="21" t="s">
        <v>71</v>
      </c>
      <c r="F21010">
        <v>3290018</v>
      </c>
      <c r="G21010" t="s">
        <v>1706</v>
      </c>
      <c r="H21010" s="21">
        <v>722.17</v>
      </c>
    </row>
    <row r="21011" spans="1:8" customFormat="1" x14ac:dyDescent="0.25">
      <c r="A21011" t="str">
        <f>"275325"</f>
        <v>275325</v>
      </c>
      <c r="B21011" t="s">
        <v>6712</v>
      </c>
      <c r="C21011" t="s">
        <v>40</v>
      </c>
      <c r="D21011" s="21" t="s">
        <v>34</v>
      </c>
      <c r="E21011" s="21" t="s">
        <v>71</v>
      </c>
      <c r="F21011">
        <v>9270136</v>
      </c>
      <c r="G21011" t="s">
        <v>5896</v>
      </c>
      <c r="H21011" s="21">
        <v>722.17</v>
      </c>
    </row>
    <row r="21012" spans="1:8" customFormat="1" x14ac:dyDescent="0.25">
      <c r="A21012" t="str">
        <f>"5312241"</f>
        <v>5312241</v>
      </c>
      <c r="B21012" t="s">
        <v>3878</v>
      </c>
      <c r="C21012" t="s">
        <v>547</v>
      </c>
      <c r="D21012" s="21" t="s">
        <v>34</v>
      </c>
      <c r="E21012" s="21" t="s">
        <v>35</v>
      </c>
      <c r="F21012">
        <v>12530046</v>
      </c>
      <c r="G21012" t="s">
        <v>10191</v>
      </c>
      <c r="H21012" s="21">
        <v>722.17</v>
      </c>
    </row>
    <row r="21013" spans="1:8" customFormat="1" x14ac:dyDescent="0.25">
      <c r="A21013" t="str">
        <f>"087150"</f>
        <v>087150</v>
      </c>
      <c r="B21013" t="s">
        <v>15845</v>
      </c>
      <c r="C21013" t="s">
        <v>169</v>
      </c>
      <c r="D21013" s="21" t="s">
        <v>34</v>
      </c>
      <c r="E21013" s="21" t="s">
        <v>71</v>
      </c>
      <c r="F21013">
        <v>6080076</v>
      </c>
      <c r="G21013" t="s">
        <v>1767</v>
      </c>
      <c r="H21013" s="21">
        <v>722.17</v>
      </c>
    </row>
    <row r="21014" spans="1:8" customFormat="1" x14ac:dyDescent="0.25">
      <c r="A21014" t="str">
        <f>"637621"</f>
        <v>637621</v>
      </c>
      <c r="B21014" t="s">
        <v>911</v>
      </c>
      <c r="C21014" t="s">
        <v>822</v>
      </c>
      <c r="D21014" s="21" t="s">
        <v>34</v>
      </c>
      <c r="E21014" s="21" t="s">
        <v>1089</v>
      </c>
      <c r="F21014">
        <v>1630005</v>
      </c>
      <c r="G21014" t="s">
        <v>8825</v>
      </c>
      <c r="H21014" s="21">
        <v>722.17</v>
      </c>
    </row>
    <row r="21015" spans="1:8" customFormat="1" x14ac:dyDescent="0.25">
      <c r="A21015" t="str">
        <f>"5949008"</f>
        <v>5949008</v>
      </c>
      <c r="B21015" t="s">
        <v>15528</v>
      </c>
      <c r="C21015" t="s">
        <v>65</v>
      </c>
      <c r="D21015" s="21" t="s">
        <v>34</v>
      </c>
      <c r="E21015" s="21" t="s">
        <v>35</v>
      </c>
      <c r="F21015">
        <v>7590004</v>
      </c>
      <c r="G21015" t="s">
        <v>4816</v>
      </c>
      <c r="H21015" s="21">
        <v>722.17</v>
      </c>
    </row>
    <row r="21016" spans="1:8" customFormat="1" x14ac:dyDescent="0.25">
      <c r="A21016" t="str">
        <f>"5322434"</f>
        <v>5322434</v>
      </c>
      <c r="B21016" t="s">
        <v>295</v>
      </c>
      <c r="C21016" t="s">
        <v>486</v>
      </c>
      <c r="D21016" s="21" t="s">
        <v>34</v>
      </c>
      <c r="E21016" s="21" t="s">
        <v>71</v>
      </c>
      <c r="F21016">
        <v>12530095</v>
      </c>
      <c r="G21016" t="s">
        <v>5381</v>
      </c>
      <c r="H21016" s="21">
        <v>722.17</v>
      </c>
    </row>
    <row r="21017" spans="1:8" customFormat="1" x14ac:dyDescent="0.25">
      <c r="A21017" t="str">
        <f>"6811200"</f>
        <v>6811200</v>
      </c>
      <c r="B21017" t="s">
        <v>1133</v>
      </c>
      <c r="C21017" t="s">
        <v>2907</v>
      </c>
      <c r="D21017" s="21" t="s">
        <v>34</v>
      </c>
      <c r="E21017" s="21" t="s">
        <v>71</v>
      </c>
      <c r="F21017">
        <v>6680135</v>
      </c>
      <c r="G21017" t="s">
        <v>14743</v>
      </c>
      <c r="H21017" s="21">
        <v>722.17</v>
      </c>
    </row>
    <row r="21018" spans="1:8" customFormat="1" x14ac:dyDescent="0.25">
      <c r="A21018" t="str">
        <f>"686995"</f>
        <v>686995</v>
      </c>
      <c r="B21018" t="s">
        <v>3660</v>
      </c>
      <c r="C21018" t="s">
        <v>3073</v>
      </c>
      <c r="D21018" s="21" t="s">
        <v>34</v>
      </c>
      <c r="E21018" s="21" t="s">
        <v>1089</v>
      </c>
      <c r="F21018">
        <v>6680082</v>
      </c>
      <c r="G21018" t="s">
        <v>289</v>
      </c>
      <c r="H21018" s="21">
        <v>722.17</v>
      </c>
    </row>
    <row r="21019" spans="1:8" customFormat="1" x14ac:dyDescent="0.25">
      <c r="A21019" t="str">
        <f>"338190"</f>
        <v>338190</v>
      </c>
      <c r="B21019" t="s">
        <v>15664</v>
      </c>
      <c r="C21019" t="s">
        <v>249</v>
      </c>
      <c r="D21019" s="21" t="s">
        <v>34</v>
      </c>
      <c r="E21019" s="21" t="s">
        <v>71</v>
      </c>
      <c r="F21019">
        <v>10330117</v>
      </c>
      <c r="G21019" t="s">
        <v>1942</v>
      </c>
      <c r="H21019" s="21">
        <v>722.17</v>
      </c>
    </row>
    <row r="21020" spans="1:8" customFormat="1" x14ac:dyDescent="0.25">
      <c r="A21020" t="str">
        <f>"226967"</f>
        <v>226967</v>
      </c>
      <c r="B21020" t="s">
        <v>7608</v>
      </c>
      <c r="C21020" t="s">
        <v>3905</v>
      </c>
      <c r="D21020" s="21" t="s">
        <v>34</v>
      </c>
      <c r="E21020" s="21" t="s">
        <v>254</v>
      </c>
      <c r="F21020">
        <v>3220041</v>
      </c>
      <c r="G21020" t="s">
        <v>27133</v>
      </c>
      <c r="H21020" s="21">
        <v>722.17</v>
      </c>
    </row>
    <row r="21021" spans="1:8" customFormat="1" x14ac:dyDescent="0.25">
      <c r="A21021" t="str">
        <f>"639091"</f>
        <v>639091</v>
      </c>
      <c r="B21021" t="s">
        <v>6227</v>
      </c>
      <c r="C21021" t="s">
        <v>1146</v>
      </c>
      <c r="D21021" s="21" t="s">
        <v>34</v>
      </c>
      <c r="E21021" s="21" t="s">
        <v>254</v>
      </c>
      <c r="F21021">
        <v>1630184</v>
      </c>
      <c r="G21021" t="s">
        <v>26702</v>
      </c>
      <c r="H21021" s="21">
        <v>722.17</v>
      </c>
    </row>
    <row r="21022" spans="1:8" customFormat="1" x14ac:dyDescent="0.25">
      <c r="A21022" t="str">
        <f>"8818140"</f>
        <v>8818140</v>
      </c>
      <c r="B21022" t="s">
        <v>20354</v>
      </c>
      <c r="C21022" t="s">
        <v>37</v>
      </c>
      <c r="D21022" s="21" t="s">
        <v>34</v>
      </c>
      <c r="E21022" s="21" t="s">
        <v>35</v>
      </c>
      <c r="F21022">
        <v>6880010</v>
      </c>
      <c r="G21022" t="s">
        <v>1029</v>
      </c>
      <c r="H21022" s="21">
        <v>722.04</v>
      </c>
    </row>
    <row r="21023" spans="1:8" customFormat="1" x14ac:dyDescent="0.25">
      <c r="A21023" t="str">
        <f>"4426304"</f>
        <v>4426304</v>
      </c>
      <c r="B21023" t="s">
        <v>15657</v>
      </c>
      <c r="C21023" t="s">
        <v>209</v>
      </c>
      <c r="D21023" s="21" t="s">
        <v>34</v>
      </c>
      <c r="E21023" s="21" t="s">
        <v>71</v>
      </c>
      <c r="F21023">
        <v>12440017</v>
      </c>
      <c r="G21023" t="s">
        <v>7683</v>
      </c>
      <c r="H21023" s="21">
        <v>721.92</v>
      </c>
    </row>
    <row r="21024" spans="1:8" customFormat="1" x14ac:dyDescent="0.25">
      <c r="A21024" t="str">
        <f>"1321099"</f>
        <v>1321099</v>
      </c>
      <c r="B21024" t="s">
        <v>23707</v>
      </c>
      <c r="C21024" t="s">
        <v>55</v>
      </c>
      <c r="D21024" s="21" t="s">
        <v>34</v>
      </c>
      <c r="E21024" s="21" t="s">
        <v>35</v>
      </c>
      <c r="F21024">
        <v>13130067</v>
      </c>
      <c r="G21024" t="s">
        <v>1420</v>
      </c>
      <c r="H21024" s="21">
        <v>721.92</v>
      </c>
    </row>
    <row r="21025" spans="1:8" customFormat="1" x14ac:dyDescent="0.25">
      <c r="A21025" t="str">
        <f>"5326344"</f>
        <v>5326344</v>
      </c>
      <c r="B21025" t="s">
        <v>3209</v>
      </c>
      <c r="C21025" t="s">
        <v>10958</v>
      </c>
      <c r="D21025" s="21" t="s">
        <v>34</v>
      </c>
      <c r="E21025" s="21" t="s">
        <v>35</v>
      </c>
      <c r="F21025">
        <v>12530010</v>
      </c>
      <c r="G21025" t="s">
        <v>7994</v>
      </c>
      <c r="H21025" s="21">
        <v>721.92</v>
      </c>
    </row>
    <row r="21026" spans="1:8" customFormat="1" x14ac:dyDescent="0.25">
      <c r="A21026" t="str">
        <f>"725986"</f>
        <v>725986</v>
      </c>
      <c r="B21026" t="s">
        <v>16789</v>
      </c>
      <c r="C21026" t="s">
        <v>2276</v>
      </c>
      <c r="D21026" s="21" t="s">
        <v>34</v>
      </c>
      <c r="E21026" s="21" t="s">
        <v>254</v>
      </c>
      <c r="F21026">
        <v>12720027</v>
      </c>
      <c r="G21026" t="s">
        <v>3562</v>
      </c>
      <c r="H21026" s="21">
        <v>721.92</v>
      </c>
    </row>
    <row r="21027" spans="1:8" customFormat="1" x14ac:dyDescent="0.25">
      <c r="A21027" t="str">
        <f>"394010"</f>
        <v>394010</v>
      </c>
      <c r="B21027" t="s">
        <v>7079</v>
      </c>
      <c r="C21027" t="s">
        <v>198</v>
      </c>
      <c r="D21027" s="21" t="s">
        <v>34</v>
      </c>
      <c r="E21027" s="21" t="s">
        <v>71</v>
      </c>
      <c r="F21027">
        <v>2390002</v>
      </c>
      <c r="G21027" t="s">
        <v>9132</v>
      </c>
      <c r="H21027" s="21">
        <v>721.79</v>
      </c>
    </row>
    <row r="21028" spans="1:8" customFormat="1" x14ac:dyDescent="0.25">
      <c r="A21028" t="str">
        <f>"28917"</f>
        <v>28917</v>
      </c>
      <c r="B21028" t="s">
        <v>16405</v>
      </c>
      <c r="C21028" t="s">
        <v>65</v>
      </c>
      <c r="D21028" s="21" t="s">
        <v>34</v>
      </c>
      <c r="E21028" s="21" t="s">
        <v>71</v>
      </c>
      <c r="F21028">
        <v>8780338</v>
      </c>
      <c r="G21028" t="s">
        <v>4145</v>
      </c>
      <c r="H21028" s="21">
        <v>721.79</v>
      </c>
    </row>
    <row r="21029" spans="1:8" customFormat="1" x14ac:dyDescent="0.25">
      <c r="A21029" t="str">
        <f>"6011249"</f>
        <v>6011249</v>
      </c>
      <c r="B21029" t="s">
        <v>2842</v>
      </c>
      <c r="C21029" t="s">
        <v>275</v>
      </c>
      <c r="D21029" s="21" t="s">
        <v>34</v>
      </c>
      <c r="E21029" s="21" t="s">
        <v>35</v>
      </c>
      <c r="F21029">
        <v>7600088</v>
      </c>
      <c r="G21029" t="s">
        <v>334</v>
      </c>
      <c r="H21029" s="21">
        <v>721.67</v>
      </c>
    </row>
    <row r="21030" spans="1:8" customFormat="1" x14ac:dyDescent="0.25">
      <c r="A21030" t="str">
        <f>"615068"</f>
        <v>615068</v>
      </c>
      <c r="B21030" t="s">
        <v>16756</v>
      </c>
      <c r="C21030" t="s">
        <v>239</v>
      </c>
      <c r="D21030" s="21" t="s">
        <v>34</v>
      </c>
      <c r="E21030" s="21" t="s">
        <v>254</v>
      </c>
      <c r="F21030">
        <v>9610011</v>
      </c>
      <c r="G21030" t="s">
        <v>6031</v>
      </c>
      <c r="H21030" s="21">
        <v>721.67</v>
      </c>
    </row>
    <row r="21031" spans="1:8" customFormat="1" x14ac:dyDescent="0.25">
      <c r="A21031" t="str">
        <f>"9221905"</f>
        <v>9221905</v>
      </c>
      <c r="B21031" t="s">
        <v>16449</v>
      </c>
      <c r="C21031" t="s">
        <v>169</v>
      </c>
      <c r="D21031" s="21" t="s">
        <v>34</v>
      </c>
      <c r="E21031" s="21" t="s">
        <v>71</v>
      </c>
      <c r="F21031">
        <v>8920505</v>
      </c>
      <c r="G21031" t="s">
        <v>12288</v>
      </c>
      <c r="H21031" s="21">
        <v>721.67</v>
      </c>
    </row>
    <row r="21032" spans="1:8" customFormat="1" x14ac:dyDescent="0.25">
      <c r="A21032" t="str">
        <f>"3113781"</f>
        <v>3113781</v>
      </c>
      <c r="B21032" t="s">
        <v>18355</v>
      </c>
      <c r="C21032" t="s">
        <v>253</v>
      </c>
      <c r="D21032" s="21" t="s">
        <v>34</v>
      </c>
      <c r="E21032" s="21" t="s">
        <v>71</v>
      </c>
      <c r="F21032">
        <v>11310126</v>
      </c>
      <c r="G21032" t="s">
        <v>3383</v>
      </c>
      <c r="H21032" s="21">
        <v>721.67</v>
      </c>
    </row>
    <row r="21033" spans="1:8" customFormat="1" x14ac:dyDescent="0.25">
      <c r="A21033" t="str">
        <f>"3116395"</f>
        <v>3116395</v>
      </c>
      <c r="B21033" t="s">
        <v>17750</v>
      </c>
      <c r="C21033" t="s">
        <v>262</v>
      </c>
      <c r="D21033" s="21" t="s">
        <v>34</v>
      </c>
      <c r="E21033" s="21" t="s">
        <v>35</v>
      </c>
      <c r="F21033">
        <v>11310126</v>
      </c>
      <c r="G21033" t="s">
        <v>3383</v>
      </c>
      <c r="H21033" s="21">
        <v>721.67</v>
      </c>
    </row>
    <row r="21034" spans="1:8" customFormat="1" x14ac:dyDescent="0.25">
      <c r="A21034" t="str">
        <f>"8018849"</f>
        <v>8018849</v>
      </c>
      <c r="B21034" t="s">
        <v>17243</v>
      </c>
      <c r="C21034" t="s">
        <v>608</v>
      </c>
      <c r="D21034" s="21" t="s">
        <v>34</v>
      </c>
      <c r="E21034" s="21" t="s">
        <v>254</v>
      </c>
      <c r="F21034">
        <v>7800156</v>
      </c>
      <c r="G21034" t="s">
        <v>12924</v>
      </c>
      <c r="H21034" s="21">
        <v>721.67</v>
      </c>
    </row>
    <row r="21035" spans="1:8" customFormat="1" x14ac:dyDescent="0.25">
      <c r="A21035" t="str">
        <f>"7214558"</f>
        <v>7214558</v>
      </c>
      <c r="B21035" t="s">
        <v>16973</v>
      </c>
      <c r="C21035" t="s">
        <v>124</v>
      </c>
      <c r="D21035" s="21" t="s">
        <v>34</v>
      </c>
      <c r="E21035" s="21" t="s">
        <v>71</v>
      </c>
      <c r="F21035">
        <v>12720144</v>
      </c>
      <c r="G21035" t="s">
        <v>15102</v>
      </c>
      <c r="H21035" s="21">
        <v>721.67</v>
      </c>
    </row>
    <row r="21036" spans="1:8" customFormat="1" x14ac:dyDescent="0.25">
      <c r="A21036" t="str">
        <f>"2913373"</f>
        <v>2913373</v>
      </c>
      <c r="B21036" t="s">
        <v>2138</v>
      </c>
      <c r="C21036" t="s">
        <v>2520</v>
      </c>
      <c r="D21036" s="21" t="s">
        <v>34</v>
      </c>
      <c r="E21036" s="21" t="s">
        <v>71</v>
      </c>
      <c r="F21036">
        <v>3290202</v>
      </c>
      <c r="G21036" t="s">
        <v>3314</v>
      </c>
      <c r="H21036" s="21">
        <v>721.67</v>
      </c>
    </row>
    <row r="21037" spans="1:8" customFormat="1" x14ac:dyDescent="0.25">
      <c r="A21037" t="str">
        <f>"598905"</f>
        <v>598905</v>
      </c>
      <c r="B21037" t="s">
        <v>1737</v>
      </c>
      <c r="C21037" t="s">
        <v>4260</v>
      </c>
      <c r="D21037" s="21" t="s">
        <v>34</v>
      </c>
      <c r="E21037" s="21" t="s">
        <v>254</v>
      </c>
      <c r="F21037">
        <v>7590046</v>
      </c>
      <c r="G21037" t="s">
        <v>12324</v>
      </c>
      <c r="H21037" s="21">
        <v>721.67</v>
      </c>
    </row>
    <row r="21038" spans="1:8" customFormat="1" x14ac:dyDescent="0.25">
      <c r="A21038" t="str">
        <f>"2517088"</f>
        <v>2517088</v>
      </c>
      <c r="B21038" t="s">
        <v>595</v>
      </c>
      <c r="C21038" t="s">
        <v>109</v>
      </c>
      <c r="D21038" s="21" t="s">
        <v>34</v>
      </c>
      <c r="E21038" s="21" t="s">
        <v>71</v>
      </c>
      <c r="F21038">
        <v>2250001</v>
      </c>
      <c r="G21038" t="s">
        <v>424</v>
      </c>
      <c r="H21038" s="21">
        <v>721.67</v>
      </c>
    </row>
    <row r="21039" spans="1:8" customFormat="1" x14ac:dyDescent="0.25">
      <c r="A21039" t="str">
        <f>"60460"</f>
        <v>60460</v>
      </c>
      <c r="B21039" t="s">
        <v>10441</v>
      </c>
      <c r="C21039" t="s">
        <v>249</v>
      </c>
      <c r="D21039" s="21" t="s">
        <v>34</v>
      </c>
      <c r="E21039" s="21" t="s">
        <v>71</v>
      </c>
      <c r="F21039">
        <v>7600141</v>
      </c>
      <c r="G21039" t="s">
        <v>3592</v>
      </c>
      <c r="H21039" s="21">
        <v>721.67</v>
      </c>
    </row>
    <row r="21040" spans="1:8" customFormat="1" x14ac:dyDescent="0.25">
      <c r="A21040" t="str">
        <f>"011482"</f>
        <v>011482</v>
      </c>
      <c r="B21040" t="s">
        <v>24806</v>
      </c>
      <c r="C21040" t="s">
        <v>812</v>
      </c>
      <c r="D21040" s="21" t="s">
        <v>34</v>
      </c>
      <c r="E21040" s="21" t="s">
        <v>254</v>
      </c>
      <c r="F21040">
        <v>1010033</v>
      </c>
      <c r="G21040" t="s">
        <v>14583</v>
      </c>
      <c r="H21040" s="21">
        <v>721.67</v>
      </c>
    </row>
    <row r="21041" spans="1:8" customFormat="1" x14ac:dyDescent="0.25">
      <c r="A21041" t="str">
        <f>"5413169"</f>
        <v>5413169</v>
      </c>
      <c r="B21041" t="s">
        <v>17709</v>
      </c>
      <c r="C21041" t="s">
        <v>428</v>
      </c>
      <c r="D21041" s="21" t="s">
        <v>34</v>
      </c>
      <c r="E21041" s="21" t="s">
        <v>35</v>
      </c>
      <c r="F21041">
        <v>6540008</v>
      </c>
      <c r="G21041" t="s">
        <v>3891</v>
      </c>
      <c r="H21041" s="21">
        <v>721.67</v>
      </c>
    </row>
    <row r="21042" spans="1:8" customFormat="1" x14ac:dyDescent="0.25">
      <c r="A21042" t="str">
        <f>"5926593"</f>
        <v>5926593</v>
      </c>
      <c r="B21042" t="s">
        <v>10103</v>
      </c>
      <c r="C21042" t="s">
        <v>198</v>
      </c>
      <c r="D21042" s="21" t="s">
        <v>34</v>
      </c>
      <c r="E21042" s="21" t="s">
        <v>254</v>
      </c>
      <c r="F21042">
        <v>7590164</v>
      </c>
      <c r="G21042" t="s">
        <v>2451</v>
      </c>
      <c r="H21042" s="21">
        <v>721.67</v>
      </c>
    </row>
    <row r="21043" spans="1:8" customFormat="1" x14ac:dyDescent="0.25">
      <c r="A21043" t="str">
        <f>"1316985"</f>
        <v>1316985</v>
      </c>
      <c r="B21043" t="s">
        <v>15227</v>
      </c>
      <c r="C21043" t="s">
        <v>124</v>
      </c>
      <c r="D21043" s="21" t="s">
        <v>34</v>
      </c>
      <c r="E21043" s="21" t="s">
        <v>71</v>
      </c>
      <c r="F21043">
        <v>13130170</v>
      </c>
      <c r="G21043" t="s">
        <v>10164</v>
      </c>
      <c r="H21043" s="21">
        <v>721.67</v>
      </c>
    </row>
    <row r="21044" spans="1:8" customFormat="1" x14ac:dyDescent="0.25">
      <c r="A21044" t="str">
        <f>"3112037"</f>
        <v>3112037</v>
      </c>
      <c r="B21044" t="s">
        <v>890</v>
      </c>
      <c r="C21044" t="s">
        <v>87</v>
      </c>
      <c r="D21044" s="21" t="s">
        <v>34</v>
      </c>
      <c r="E21044" s="21" t="s">
        <v>71</v>
      </c>
      <c r="F21044">
        <v>11310070</v>
      </c>
      <c r="G21044" t="s">
        <v>11563</v>
      </c>
      <c r="H21044" s="21">
        <v>721.67</v>
      </c>
    </row>
    <row r="21045" spans="1:8" customFormat="1" x14ac:dyDescent="0.25">
      <c r="A21045" t="str">
        <f>"621478"</f>
        <v>621478</v>
      </c>
      <c r="B21045" t="s">
        <v>11299</v>
      </c>
      <c r="C21045" t="s">
        <v>2520</v>
      </c>
      <c r="D21045" s="21" t="s">
        <v>34</v>
      </c>
      <c r="E21045" s="21" t="s">
        <v>254</v>
      </c>
      <c r="F21045">
        <v>7620065</v>
      </c>
      <c r="G21045" t="s">
        <v>6550</v>
      </c>
      <c r="H21045" s="21">
        <v>721.67</v>
      </c>
    </row>
    <row r="21046" spans="1:8" customFormat="1" x14ac:dyDescent="0.25">
      <c r="A21046" t="str">
        <f>"6228486"</f>
        <v>6228486</v>
      </c>
      <c r="B21046" t="s">
        <v>17037</v>
      </c>
      <c r="C21046" t="s">
        <v>2520</v>
      </c>
      <c r="D21046" s="21" t="s">
        <v>34</v>
      </c>
      <c r="E21046" s="21" t="s">
        <v>35</v>
      </c>
      <c r="F21046">
        <v>7620121</v>
      </c>
      <c r="G21046" t="s">
        <v>7146</v>
      </c>
      <c r="H21046" s="21">
        <v>721.67</v>
      </c>
    </row>
    <row r="21047" spans="1:8" customFormat="1" x14ac:dyDescent="0.25">
      <c r="A21047" t="str">
        <f>"302501"</f>
        <v>302501</v>
      </c>
      <c r="B21047" t="s">
        <v>970</v>
      </c>
      <c r="C21047" t="s">
        <v>547</v>
      </c>
      <c r="D21047" s="21" t="s">
        <v>34</v>
      </c>
      <c r="E21047" s="21" t="s">
        <v>254</v>
      </c>
      <c r="F21047">
        <v>11300023</v>
      </c>
      <c r="G21047" t="s">
        <v>2679</v>
      </c>
      <c r="H21047" s="21">
        <v>721.67</v>
      </c>
    </row>
    <row r="21048" spans="1:8" customFormat="1" x14ac:dyDescent="0.25">
      <c r="A21048" t="str">
        <f>"218782"</f>
        <v>218782</v>
      </c>
      <c r="B21048" t="s">
        <v>3947</v>
      </c>
      <c r="C21048" t="s">
        <v>130</v>
      </c>
      <c r="D21048" s="21" t="s">
        <v>34</v>
      </c>
      <c r="E21048" s="21" t="s">
        <v>71</v>
      </c>
      <c r="F21048">
        <v>2210123</v>
      </c>
      <c r="G21048" t="s">
        <v>11231</v>
      </c>
      <c r="H21048" s="21">
        <v>721.67</v>
      </c>
    </row>
    <row r="21049" spans="1:8" customFormat="1" x14ac:dyDescent="0.25">
      <c r="A21049" t="str">
        <f>"029289"</f>
        <v>029289</v>
      </c>
      <c r="B21049" t="s">
        <v>6656</v>
      </c>
      <c r="C21049" t="s">
        <v>249</v>
      </c>
      <c r="D21049" s="21" t="s">
        <v>34</v>
      </c>
      <c r="E21049" s="21" t="s">
        <v>71</v>
      </c>
      <c r="F21049">
        <v>7020019</v>
      </c>
      <c r="G21049" t="s">
        <v>7912</v>
      </c>
      <c r="H21049" s="21">
        <v>721.67</v>
      </c>
    </row>
    <row r="21050" spans="1:8" customFormat="1" x14ac:dyDescent="0.25">
      <c r="A21050" t="str">
        <f>"7856075"</f>
        <v>7856075</v>
      </c>
      <c r="B21050" t="s">
        <v>17262</v>
      </c>
      <c r="C21050" t="s">
        <v>15865</v>
      </c>
      <c r="D21050" s="21" t="s">
        <v>34</v>
      </c>
      <c r="E21050" s="21" t="s">
        <v>71</v>
      </c>
      <c r="F21050">
        <v>3560092</v>
      </c>
      <c r="G21050" t="s">
        <v>10630</v>
      </c>
      <c r="H21050" s="21">
        <v>721.67</v>
      </c>
    </row>
    <row r="21051" spans="1:8" customFormat="1" x14ac:dyDescent="0.25">
      <c r="A21051" t="str">
        <f>"8518393"</f>
        <v>8518393</v>
      </c>
      <c r="B21051" t="s">
        <v>427</v>
      </c>
      <c r="C21051" t="s">
        <v>275</v>
      </c>
      <c r="D21051" s="21" t="s">
        <v>34</v>
      </c>
      <c r="E21051" s="21" t="s">
        <v>35</v>
      </c>
      <c r="F21051">
        <v>12850039</v>
      </c>
      <c r="G21051" t="s">
        <v>7123</v>
      </c>
      <c r="H21051" s="21">
        <v>721.67</v>
      </c>
    </row>
    <row r="21052" spans="1:8" customFormat="1" x14ac:dyDescent="0.25">
      <c r="A21052" t="str">
        <f>"4924240"</f>
        <v>4924240</v>
      </c>
      <c r="B21052" t="s">
        <v>16936</v>
      </c>
      <c r="C21052" t="s">
        <v>664</v>
      </c>
      <c r="D21052" s="21" t="s">
        <v>34</v>
      </c>
      <c r="E21052" s="21" t="s">
        <v>254</v>
      </c>
      <c r="F21052">
        <v>12490073</v>
      </c>
      <c r="G21052" t="s">
        <v>296</v>
      </c>
      <c r="H21052" s="21">
        <v>721.67</v>
      </c>
    </row>
    <row r="21053" spans="1:8" customFormat="1" x14ac:dyDescent="0.25">
      <c r="A21053" t="str">
        <f>"422802"</f>
        <v>422802</v>
      </c>
      <c r="B21053" t="s">
        <v>1939</v>
      </c>
      <c r="C21053" t="s">
        <v>239</v>
      </c>
      <c r="D21053" s="21" t="s">
        <v>34</v>
      </c>
      <c r="E21053" s="21" t="s">
        <v>254</v>
      </c>
      <c r="F21053">
        <v>1420155</v>
      </c>
      <c r="G21053" t="s">
        <v>12788</v>
      </c>
      <c r="H21053" s="21">
        <v>721.67</v>
      </c>
    </row>
    <row r="21054" spans="1:8" customFormat="1" x14ac:dyDescent="0.25">
      <c r="A21054" t="str">
        <f>"3724837"</f>
        <v>3724837</v>
      </c>
      <c r="B21054" t="s">
        <v>2362</v>
      </c>
      <c r="C21054" t="s">
        <v>60</v>
      </c>
      <c r="D21054" s="21" t="s">
        <v>34</v>
      </c>
      <c r="E21054" s="21" t="s">
        <v>35</v>
      </c>
      <c r="F21054">
        <v>4370655</v>
      </c>
      <c r="G21054" t="s">
        <v>14574</v>
      </c>
      <c r="H21054" s="21">
        <v>721.67</v>
      </c>
    </row>
    <row r="21055" spans="1:8" customFormat="1" x14ac:dyDescent="0.25">
      <c r="A21055" t="str">
        <f>"5425878"</f>
        <v>5425878</v>
      </c>
      <c r="B21055" t="s">
        <v>3706</v>
      </c>
      <c r="C21055" t="s">
        <v>1665</v>
      </c>
      <c r="D21055" s="21" t="s">
        <v>34</v>
      </c>
      <c r="E21055" s="21" t="s">
        <v>71</v>
      </c>
      <c r="F21055">
        <v>6540056</v>
      </c>
      <c r="G21055" t="s">
        <v>1136</v>
      </c>
      <c r="H21055" s="21">
        <v>721.54</v>
      </c>
    </row>
    <row r="21056" spans="1:8" customFormat="1" x14ac:dyDescent="0.25">
      <c r="A21056" t="str">
        <f>"5111529"</f>
        <v>5111529</v>
      </c>
      <c r="B21056" t="s">
        <v>27632</v>
      </c>
      <c r="C21056" t="s">
        <v>171</v>
      </c>
      <c r="D21056" s="21" t="s">
        <v>34</v>
      </c>
      <c r="E21056" s="21" t="s">
        <v>35</v>
      </c>
      <c r="F21056">
        <v>6510001</v>
      </c>
      <c r="G21056" t="s">
        <v>286</v>
      </c>
      <c r="H21056" s="21">
        <v>721.42</v>
      </c>
    </row>
    <row r="21057" spans="1:8" customFormat="1" x14ac:dyDescent="0.25">
      <c r="A21057" t="str">
        <f>"797452"</f>
        <v>797452</v>
      </c>
      <c r="B21057" t="s">
        <v>20173</v>
      </c>
      <c r="C21057" t="s">
        <v>109</v>
      </c>
      <c r="D21057" s="21" t="s">
        <v>34</v>
      </c>
      <c r="E21057" s="21" t="s">
        <v>35</v>
      </c>
      <c r="F21057">
        <v>10790040</v>
      </c>
      <c r="G21057" t="s">
        <v>27633</v>
      </c>
      <c r="H21057" s="21">
        <v>721.42</v>
      </c>
    </row>
    <row r="21058" spans="1:8" customFormat="1" x14ac:dyDescent="0.25">
      <c r="A21058" t="str">
        <f>"539074"</f>
        <v>539074</v>
      </c>
      <c r="B21058" t="s">
        <v>16750</v>
      </c>
      <c r="C21058" t="s">
        <v>544</v>
      </c>
      <c r="D21058" s="21" t="s">
        <v>34</v>
      </c>
      <c r="E21058" s="21" t="s">
        <v>71</v>
      </c>
      <c r="F21058">
        <v>12530018</v>
      </c>
      <c r="G21058" t="s">
        <v>8768</v>
      </c>
      <c r="H21058" s="21">
        <v>721.42</v>
      </c>
    </row>
    <row r="21059" spans="1:8" customFormat="1" x14ac:dyDescent="0.25">
      <c r="A21059" t="str">
        <f>"7852525"</f>
        <v>7852525</v>
      </c>
      <c r="B21059" t="s">
        <v>8548</v>
      </c>
      <c r="C21059" t="s">
        <v>82</v>
      </c>
      <c r="D21059" s="21" t="s">
        <v>34</v>
      </c>
      <c r="E21059" s="21" t="s">
        <v>35</v>
      </c>
      <c r="F21059">
        <v>8781467</v>
      </c>
      <c r="G21059" t="s">
        <v>3838</v>
      </c>
      <c r="H21059" s="21">
        <v>721.42</v>
      </c>
    </row>
    <row r="21060" spans="1:8" customFormat="1" x14ac:dyDescent="0.25">
      <c r="A21060" t="str">
        <f>"878106"</f>
        <v>878106</v>
      </c>
      <c r="B21060" t="s">
        <v>13979</v>
      </c>
      <c r="C21060" t="s">
        <v>379</v>
      </c>
      <c r="D21060" s="21" t="s">
        <v>34</v>
      </c>
      <c r="E21060" s="21" t="s">
        <v>71</v>
      </c>
      <c r="F21060">
        <v>10870130</v>
      </c>
      <c r="G21060" t="s">
        <v>7564</v>
      </c>
      <c r="H21060" s="21">
        <v>721.42</v>
      </c>
    </row>
    <row r="21061" spans="1:8" customFormat="1" x14ac:dyDescent="0.25">
      <c r="A21061" t="str">
        <f>"5710130"</f>
        <v>5710130</v>
      </c>
      <c r="B21061" t="s">
        <v>2763</v>
      </c>
      <c r="C21061" t="s">
        <v>493</v>
      </c>
      <c r="D21061" s="21" t="s">
        <v>34</v>
      </c>
      <c r="E21061" s="21" t="s">
        <v>35</v>
      </c>
      <c r="F21061">
        <v>6570132</v>
      </c>
      <c r="G21061" t="s">
        <v>26746</v>
      </c>
      <c r="H21061" s="21">
        <v>721.17</v>
      </c>
    </row>
    <row r="21062" spans="1:8" customFormat="1" x14ac:dyDescent="0.25">
      <c r="A21062" t="str">
        <f>"632876"</f>
        <v>632876</v>
      </c>
      <c r="B21062" t="s">
        <v>2766</v>
      </c>
      <c r="C21062" t="s">
        <v>3073</v>
      </c>
      <c r="D21062" s="21" t="s">
        <v>34</v>
      </c>
      <c r="E21062" s="21" t="s">
        <v>254</v>
      </c>
      <c r="F21062">
        <v>1630145</v>
      </c>
      <c r="G21062" t="s">
        <v>13804</v>
      </c>
      <c r="H21062" s="21">
        <v>721.17</v>
      </c>
    </row>
    <row r="21063" spans="1:8" customFormat="1" x14ac:dyDescent="0.25">
      <c r="A21063" t="str">
        <f>"5920628"</f>
        <v>5920628</v>
      </c>
      <c r="B21063" t="s">
        <v>595</v>
      </c>
      <c r="C21063" t="s">
        <v>1539</v>
      </c>
      <c r="D21063" s="21" t="s">
        <v>34</v>
      </c>
      <c r="E21063" s="21" t="s">
        <v>71</v>
      </c>
      <c r="F21063">
        <v>7590071</v>
      </c>
      <c r="G21063" t="s">
        <v>2602</v>
      </c>
      <c r="H21063" s="21">
        <v>721.17</v>
      </c>
    </row>
    <row r="21064" spans="1:8" customFormat="1" x14ac:dyDescent="0.25">
      <c r="A21064" t="str">
        <f>"9135447"</f>
        <v>9135447</v>
      </c>
      <c r="B21064" t="s">
        <v>15870</v>
      </c>
      <c r="C21064" t="s">
        <v>15871</v>
      </c>
      <c r="D21064" s="21" t="s">
        <v>34</v>
      </c>
      <c r="E21064" s="21" t="s">
        <v>254</v>
      </c>
      <c r="F21064">
        <v>4410724</v>
      </c>
      <c r="G21064" t="s">
        <v>15872</v>
      </c>
      <c r="H21064" s="21">
        <v>721.17</v>
      </c>
    </row>
    <row r="21065" spans="1:8" customFormat="1" x14ac:dyDescent="0.25">
      <c r="A21065" t="str">
        <f>"259599"</f>
        <v>259599</v>
      </c>
      <c r="B21065" t="s">
        <v>17097</v>
      </c>
      <c r="C21065" t="s">
        <v>65</v>
      </c>
      <c r="D21065" s="21" t="s">
        <v>34</v>
      </c>
      <c r="E21065" s="21" t="s">
        <v>35</v>
      </c>
      <c r="F21065">
        <v>2250137</v>
      </c>
      <c r="G21065" t="s">
        <v>182</v>
      </c>
      <c r="H21065" s="21">
        <v>721.17</v>
      </c>
    </row>
    <row r="21066" spans="1:8" customFormat="1" x14ac:dyDescent="0.25">
      <c r="A21066" t="str">
        <f>"859080"</f>
        <v>859080</v>
      </c>
      <c r="B21066" t="s">
        <v>882</v>
      </c>
      <c r="C21066" t="s">
        <v>611</v>
      </c>
      <c r="D21066" s="21" t="s">
        <v>34</v>
      </c>
      <c r="E21066" s="21" t="s">
        <v>71</v>
      </c>
      <c r="F21066">
        <v>12490132</v>
      </c>
      <c r="G21066" t="s">
        <v>1125</v>
      </c>
      <c r="H21066" s="21">
        <v>721.17</v>
      </c>
    </row>
    <row r="21067" spans="1:8" customFormat="1" x14ac:dyDescent="0.25">
      <c r="A21067" t="str">
        <f>"7862659"</f>
        <v>7862659</v>
      </c>
      <c r="B21067" t="s">
        <v>19824</v>
      </c>
      <c r="C21067" t="s">
        <v>40</v>
      </c>
      <c r="D21067" s="21" t="s">
        <v>34</v>
      </c>
      <c r="E21067" s="21" t="s">
        <v>71</v>
      </c>
      <c r="F21067">
        <v>8780627</v>
      </c>
      <c r="G21067" t="s">
        <v>6097</v>
      </c>
      <c r="H21067" s="21">
        <v>721.17</v>
      </c>
    </row>
    <row r="21068" spans="1:8" customFormat="1" x14ac:dyDescent="0.25">
      <c r="A21068" t="str">
        <f>"794478"</f>
        <v>794478</v>
      </c>
      <c r="B21068" t="s">
        <v>17038</v>
      </c>
      <c r="C21068" t="s">
        <v>239</v>
      </c>
      <c r="D21068" s="21" t="s">
        <v>34</v>
      </c>
      <c r="E21068" s="21" t="s">
        <v>254</v>
      </c>
      <c r="F21068">
        <v>10790058</v>
      </c>
      <c r="G21068" t="s">
        <v>6512</v>
      </c>
      <c r="H21068" s="21">
        <v>721.17</v>
      </c>
    </row>
    <row r="21069" spans="1:8" customFormat="1" x14ac:dyDescent="0.25">
      <c r="A21069" t="str">
        <f>"5728574"</f>
        <v>5728574</v>
      </c>
      <c r="B21069" t="s">
        <v>16906</v>
      </c>
      <c r="C21069" t="s">
        <v>3073</v>
      </c>
      <c r="D21069" s="21" t="s">
        <v>34</v>
      </c>
      <c r="E21069" s="21" t="s">
        <v>71</v>
      </c>
      <c r="F21069">
        <v>6570132</v>
      </c>
      <c r="G21069" t="s">
        <v>26746</v>
      </c>
      <c r="H21069" s="21">
        <v>721.17</v>
      </c>
    </row>
    <row r="21070" spans="1:8" customFormat="1" x14ac:dyDescent="0.25">
      <c r="A21070" t="str">
        <f>"7724472"</f>
        <v>7724472</v>
      </c>
      <c r="B21070" t="s">
        <v>17460</v>
      </c>
      <c r="C21070" t="s">
        <v>249</v>
      </c>
      <c r="D21070" s="21" t="s">
        <v>34</v>
      </c>
      <c r="E21070" s="21" t="s">
        <v>71</v>
      </c>
      <c r="F21070">
        <v>8771514</v>
      </c>
      <c r="G21070" t="s">
        <v>10058</v>
      </c>
      <c r="H21070" s="21">
        <v>721.17</v>
      </c>
    </row>
    <row r="21071" spans="1:8" customFormat="1" x14ac:dyDescent="0.25">
      <c r="A21071" t="str">
        <f>"037279"</f>
        <v>037279</v>
      </c>
      <c r="B21071" t="s">
        <v>17599</v>
      </c>
      <c r="C21071" t="s">
        <v>528</v>
      </c>
      <c r="D21071" s="21" t="s">
        <v>34</v>
      </c>
      <c r="E21071" s="21" t="s">
        <v>71</v>
      </c>
      <c r="F21071">
        <v>1030312</v>
      </c>
      <c r="G21071" t="s">
        <v>7573</v>
      </c>
      <c r="H21071" s="21">
        <v>721.17</v>
      </c>
    </row>
    <row r="21072" spans="1:8" customFormat="1" x14ac:dyDescent="0.25">
      <c r="A21072" t="str">
        <f>"685072"</f>
        <v>685072</v>
      </c>
      <c r="B21072" t="s">
        <v>27634</v>
      </c>
      <c r="C21072" t="s">
        <v>130</v>
      </c>
      <c r="D21072" s="21" t="s">
        <v>34</v>
      </c>
      <c r="E21072" s="21" t="s">
        <v>71</v>
      </c>
      <c r="F21072">
        <v>6680118</v>
      </c>
      <c r="G21072" t="s">
        <v>4346</v>
      </c>
      <c r="H21072" s="21">
        <v>721.17</v>
      </c>
    </row>
    <row r="21073" spans="1:8" customFormat="1" x14ac:dyDescent="0.25">
      <c r="A21073" t="str">
        <f>"812550"</f>
        <v>812550</v>
      </c>
      <c r="B21073" t="s">
        <v>13621</v>
      </c>
      <c r="C21073" t="s">
        <v>16614</v>
      </c>
      <c r="D21073" s="21" t="s">
        <v>34</v>
      </c>
      <c r="E21073" s="21" t="s">
        <v>71</v>
      </c>
      <c r="F21073">
        <v>11810028</v>
      </c>
      <c r="G21073" t="s">
        <v>5817</v>
      </c>
      <c r="H21073" s="21">
        <v>721.17</v>
      </c>
    </row>
    <row r="21074" spans="1:8" customFormat="1" x14ac:dyDescent="0.25">
      <c r="A21074" t="str">
        <f>"812356"</f>
        <v>812356</v>
      </c>
      <c r="B21074" t="s">
        <v>16496</v>
      </c>
      <c r="C21074" t="s">
        <v>33</v>
      </c>
      <c r="D21074" s="21" t="s">
        <v>34</v>
      </c>
      <c r="E21074" s="21" t="s">
        <v>35</v>
      </c>
      <c r="F21074">
        <v>11820032</v>
      </c>
      <c r="G21074" t="s">
        <v>14258</v>
      </c>
      <c r="H21074" s="21">
        <v>721.17</v>
      </c>
    </row>
    <row r="21075" spans="1:8" customFormat="1" x14ac:dyDescent="0.25">
      <c r="A21075" t="str">
        <f>"4449450"</f>
        <v>4449450</v>
      </c>
      <c r="B21075" t="s">
        <v>5835</v>
      </c>
      <c r="C21075" t="s">
        <v>55</v>
      </c>
      <c r="D21075" s="21" t="s">
        <v>34</v>
      </c>
      <c r="E21075" s="21" t="s">
        <v>35</v>
      </c>
      <c r="F21075">
        <v>12440142</v>
      </c>
      <c r="G21075" t="s">
        <v>3285</v>
      </c>
      <c r="H21075" s="21">
        <v>721.17</v>
      </c>
    </row>
    <row r="21076" spans="1:8" customFormat="1" x14ac:dyDescent="0.25">
      <c r="A21076" t="str">
        <f>"499020"</f>
        <v>499020</v>
      </c>
      <c r="B21076" t="s">
        <v>5734</v>
      </c>
      <c r="C21076" t="s">
        <v>2752</v>
      </c>
      <c r="D21076" s="21" t="s">
        <v>34</v>
      </c>
      <c r="E21076" s="21" t="s">
        <v>35</v>
      </c>
      <c r="F21076">
        <v>12490035</v>
      </c>
      <c r="G21076" t="s">
        <v>9242</v>
      </c>
      <c r="H21076" s="21">
        <v>721.17</v>
      </c>
    </row>
    <row r="21077" spans="1:8" customFormat="1" x14ac:dyDescent="0.25">
      <c r="A21077" t="str">
        <f>"2930271"</f>
        <v>2930271</v>
      </c>
      <c r="B21077" t="s">
        <v>16399</v>
      </c>
      <c r="C21077" t="s">
        <v>262</v>
      </c>
      <c r="D21077" s="21" t="s">
        <v>34</v>
      </c>
      <c r="E21077" s="21" t="s">
        <v>35</v>
      </c>
      <c r="F21077">
        <v>3290227</v>
      </c>
      <c r="G21077" t="s">
        <v>16400</v>
      </c>
      <c r="H21077" s="21">
        <v>721.17</v>
      </c>
    </row>
    <row r="21078" spans="1:8" customFormat="1" x14ac:dyDescent="0.25">
      <c r="A21078" t="str">
        <f>"4451999"</f>
        <v>4451999</v>
      </c>
      <c r="B21078" t="s">
        <v>2784</v>
      </c>
      <c r="C21078" t="s">
        <v>121</v>
      </c>
      <c r="D21078" s="21" t="s">
        <v>34</v>
      </c>
      <c r="E21078" s="21" t="s">
        <v>35</v>
      </c>
      <c r="F21078">
        <v>12440276</v>
      </c>
      <c r="G21078" t="s">
        <v>26991</v>
      </c>
      <c r="H21078" s="21">
        <v>721.17</v>
      </c>
    </row>
    <row r="21079" spans="1:8" customFormat="1" x14ac:dyDescent="0.25">
      <c r="A21079" t="str">
        <f>"5320045"</f>
        <v>5320045</v>
      </c>
      <c r="B21079" t="s">
        <v>27635</v>
      </c>
      <c r="C21079" t="s">
        <v>82</v>
      </c>
      <c r="D21079" s="21" t="s">
        <v>34</v>
      </c>
      <c r="E21079" s="21" t="s">
        <v>35</v>
      </c>
      <c r="F21079">
        <v>12530055</v>
      </c>
      <c r="G21079" t="s">
        <v>3814</v>
      </c>
      <c r="H21079" s="21">
        <v>720.92</v>
      </c>
    </row>
    <row r="21080" spans="1:8" customFormat="1" x14ac:dyDescent="0.25">
      <c r="A21080" t="str">
        <f>"9420707"</f>
        <v>9420707</v>
      </c>
      <c r="B21080" t="s">
        <v>16054</v>
      </c>
      <c r="C21080" t="s">
        <v>209</v>
      </c>
      <c r="D21080" s="21" t="s">
        <v>34</v>
      </c>
      <c r="E21080" s="21" t="s">
        <v>254</v>
      </c>
      <c r="F21080">
        <v>8940524</v>
      </c>
      <c r="G21080" t="s">
        <v>6176</v>
      </c>
      <c r="H21080" s="21">
        <v>720.92</v>
      </c>
    </row>
    <row r="21081" spans="1:8" customFormat="1" x14ac:dyDescent="0.25">
      <c r="A21081" t="str">
        <f>"106717"</f>
        <v>106717</v>
      </c>
      <c r="B21081" t="s">
        <v>19984</v>
      </c>
      <c r="C21081" t="s">
        <v>926</v>
      </c>
      <c r="D21081" s="21" t="s">
        <v>34</v>
      </c>
      <c r="E21081" s="21" t="s">
        <v>35</v>
      </c>
      <c r="F21081">
        <v>6100016</v>
      </c>
      <c r="G21081" t="s">
        <v>7558</v>
      </c>
      <c r="H21081" s="21">
        <v>720.92</v>
      </c>
    </row>
    <row r="21082" spans="1:8" customFormat="1" x14ac:dyDescent="0.25">
      <c r="A21082" t="str">
        <f>"3411184"</f>
        <v>3411184</v>
      </c>
      <c r="B21082" t="s">
        <v>16060</v>
      </c>
      <c r="C21082" t="s">
        <v>486</v>
      </c>
      <c r="D21082" s="21" t="s">
        <v>34</v>
      </c>
      <c r="E21082" s="21" t="s">
        <v>71</v>
      </c>
      <c r="F21082">
        <v>11340047</v>
      </c>
      <c r="G21082" t="s">
        <v>4303</v>
      </c>
      <c r="H21082" s="21">
        <v>720.92</v>
      </c>
    </row>
    <row r="21083" spans="1:8" customFormat="1" x14ac:dyDescent="0.25">
      <c r="A21083" t="str">
        <f>"9318443"</f>
        <v>9318443</v>
      </c>
      <c r="B21083" t="s">
        <v>2991</v>
      </c>
      <c r="C21083" t="s">
        <v>43</v>
      </c>
      <c r="D21083" s="21" t="s">
        <v>34</v>
      </c>
      <c r="E21083" s="21" t="s">
        <v>35</v>
      </c>
      <c r="F21083">
        <v>8930113</v>
      </c>
      <c r="G21083" t="s">
        <v>368</v>
      </c>
      <c r="H21083" s="21">
        <v>720.92</v>
      </c>
    </row>
    <row r="21084" spans="1:8" customFormat="1" x14ac:dyDescent="0.25">
      <c r="A21084" t="str">
        <f>"9144369"</f>
        <v>9144369</v>
      </c>
      <c r="B21084" t="s">
        <v>4493</v>
      </c>
      <c r="C21084" t="s">
        <v>656</v>
      </c>
      <c r="D21084" s="21" t="s">
        <v>34</v>
      </c>
      <c r="E21084" s="21" t="s">
        <v>35</v>
      </c>
      <c r="F21084">
        <v>8911454</v>
      </c>
      <c r="G21084" t="s">
        <v>8016</v>
      </c>
      <c r="H21084" s="21">
        <v>720.92</v>
      </c>
    </row>
    <row r="21085" spans="1:8" customFormat="1" x14ac:dyDescent="0.25">
      <c r="A21085" t="str">
        <f>"8312152"</f>
        <v>8312152</v>
      </c>
      <c r="B21085" t="s">
        <v>14372</v>
      </c>
      <c r="C21085" t="s">
        <v>233</v>
      </c>
      <c r="D21085" s="21" t="s">
        <v>34</v>
      </c>
      <c r="E21085" s="21" t="s">
        <v>35</v>
      </c>
      <c r="F21085">
        <v>13830064</v>
      </c>
      <c r="G21085" t="s">
        <v>8410</v>
      </c>
      <c r="H21085" s="21">
        <v>720.79</v>
      </c>
    </row>
    <row r="21086" spans="1:8" customFormat="1" x14ac:dyDescent="0.25">
      <c r="A21086" t="str">
        <f>"2933059"</f>
        <v>2933059</v>
      </c>
      <c r="B21086" t="s">
        <v>17634</v>
      </c>
      <c r="C21086" t="s">
        <v>55</v>
      </c>
      <c r="D21086" s="21" t="s">
        <v>34</v>
      </c>
      <c r="E21086" s="21" t="s">
        <v>71</v>
      </c>
      <c r="F21086">
        <v>3290045</v>
      </c>
      <c r="G21086" t="s">
        <v>17635</v>
      </c>
      <c r="H21086" s="21">
        <v>720.67</v>
      </c>
    </row>
    <row r="21087" spans="1:8" customFormat="1" x14ac:dyDescent="0.25">
      <c r="A21087" t="str">
        <f>"042959"</f>
        <v>042959</v>
      </c>
      <c r="B21087" t="s">
        <v>19641</v>
      </c>
      <c r="C21087" t="s">
        <v>209</v>
      </c>
      <c r="D21087" s="21" t="s">
        <v>34</v>
      </c>
      <c r="E21087" s="21" t="s">
        <v>254</v>
      </c>
      <c r="F21087">
        <v>13040024</v>
      </c>
      <c r="G21087" t="s">
        <v>5900</v>
      </c>
      <c r="H21087" s="21">
        <v>720.67</v>
      </c>
    </row>
    <row r="21088" spans="1:8" customFormat="1" x14ac:dyDescent="0.25">
      <c r="A21088" t="str">
        <f>"318724"</f>
        <v>318724</v>
      </c>
      <c r="B21088" t="s">
        <v>1028</v>
      </c>
      <c r="C21088" t="s">
        <v>288</v>
      </c>
      <c r="D21088" s="21" t="s">
        <v>34</v>
      </c>
      <c r="E21088" s="21" t="s">
        <v>35</v>
      </c>
      <c r="F21088">
        <v>11310060</v>
      </c>
      <c r="G21088" t="s">
        <v>2448</v>
      </c>
      <c r="H21088" s="21">
        <v>720.67</v>
      </c>
    </row>
    <row r="21089" spans="1:8" customFormat="1" x14ac:dyDescent="0.25">
      <c r="A21089" t="str">
        <f>"8522739"</f>
        <v>8522739</v>
      </c>
      <c r="B21089" t="s">
        <v>17991</v>
      </c>
      <c r="C21089" t="s">
        <v>169</v>
      </c>
      <c r="D21089" s="21" t="s">
        <v>34</v>
      </c>
      <c r="E21089" s="21" t="s">
        <v>35</v>
      </c>
      <c r="F21089">
        <v>12850091</v>
      </c>
      <c r="G21089" t="s">
        <v>4233</v>
      </c>
      <c r="H21089" s="21">
        <v>720.67</v>
      </c>
    </row>
    <row r="21090" spans="1:8" customFormat="1" x14ac:dyDescent="0.25">
      <c r="A21090" t="str">
        <f>"6936336"</f>
        <v>6936336</v>
      </c>
      <c r="B21090" t="s">
        <v>13065</v>
      </c>
      <c r="C21090" t="s">
        <v>109</v>
      </c>
      <c r="D21090" s="21" t="s">
        <v>34</v>
      </c>
      <c r="E21090" s="21" t="s">
        <v>35</v>
      </c>
      <c r="F21090">
        <v>1690224</v>
      </c>
      <c r="G21090" t="s">
        <v>27093</v>
      </c>
      <c r="H21090" s="21">
        <v>720.67</v>
      </c>
    </row>
    <row r="21091" spans="1:8" customFormat="1" x14ac:dyDescent="0.25">
      <c r="A21091" t="str">
        <f>"61485"</f>
        <v>61485</v>
      </c>
      <c r="B21091" t="s">
        <v>14940</v>
      </c>
      <c r="C21091" t="s">
        <v>267</v>
      </c>
      <c r="D21091" s="21" t="s">
        <v>34</v>
      </c>
      <c r="E21091" s="21" t="s">
        <v>254</v>
      </c>
      <c r="F21091">
        <v>9610035</v>
      </c>
      <c r="G21091" t="s">
        <v>7061</v>
      </c>
      <c r="H21091" s="21">
        <v>720.67</v>
      </c>
    </row>
    <row r="21092" spans="1:8" customFormat="1" x14ac:dyDescent="0.25">
      <c r="A21092" t="str">
        <f>"0750"</f>
        <v>0750</v>
      </c>
      <c r="B21092" t="s">
        <v>4138</v>
      </c>
      <c r="C21092" t="s">
        <v>156</v>
      </c>
      <c r="D21092" s="21" t="s">
        <v>34</v>
      </c>
      <c r="E21092" s="21" t="s">
        <v>6185</v>
      </c>
      <c r="F21092">
        <v>1260035</v>
      </c>
      <c r="G21092" t="s">
        <v>9835</v>
      </c>
      <c r="H21092" s="21">
        <v>720.67</v>
      </c>
    </row>
    <row r="21093" spans="1:8" customFormat="1" x14ac:dyDescent="0.25">
      <c r="A21093" t="str">
        <f>"2719700"</f>
        <v>2719700</v>
      </c>
      <c r="B21093" t="s">
        <v>14912</v>
      </c>
      <c r="C21093" t="s">
        <v>204</v>
      </c>
      <c r="D21093" s="21" t="s">
        <v>34</v>
      </c>
      <c r="E21093" s="21" t="s">
        <v>35</v>
      </c>
      <c r="F21093">
        <v>9270175</v>
      </c>
      <c r="G21093" t="s">
        <v>1909</v>
      </c>
      <c r="H21093" s="21">
        <v>720.67</v>
      </c>
    </row>
    <row r="21094" spans="1:8" customFormat="1" x14ac:dyDescent="0.25">
      <c r="A21094" t="str">
        <f>"626951"</f>
        <v>626951</v>
      </c>
      <c r="B21094" t="s">
        <v>16212</v>
      </c>
      <c r="C21094" t="s">
        <v>285</v>
      </c>
      <c r="D21094" s="21" t="s">
        <v>34</v>
      </c>
      <c r="E21094" s="21" t="s">
        <v>35</v>
      </c>
      <c r="F21094">
        <v>8920025</v>
      </c>
      <c r="G21094" t="s">
        <v>159</v>
      </c>
      <c r="H21094" s="21">
        <v>720.67</v>
      </c>
    </row>
    <row r="21095" spans="1:8" customFormat="1" x14ac:dyDescent="0.25">
      <c r="A21095" t="str">
        <f>"6945566"</f>
        <v>6945566</v>
      </c>
      <c r="B21095" t="s">
        <v>20029</v>
      </c>
      <c r="C21095" t="s">
        <v>781</v>
      </c>
      <c r="D21095" s="21" t="s">
        <v>34</v>
      </c>
      <c r="E21095" s="21" t="s">
        <v>35</v>
      </c>
      <c r="F21095">
        <v>1690103</v>
      </c>
      <c r="G21095" t="s">
        <v>5411</v>
      </c>
      <c r="H21095" s="21">
        <v>720.67</v>
      </c>
    </row>
    <row r="21096" spans="1:8" customFormat="1" x14ac:dyDescent="0.25">
      <c r="A21096" t="str">
        <f>"3727994"</f>
        <v>3727994</v>
      </c>
      <c r="B21096" t="s">
        <v>17889</v>
      </c>
      <c r="C21096" t="s">
        <v>139</v>
      </c>
      <c r="D21096" s="21" t="s">
        <v>34</v>
      </c>
      <c r="E21096" s="21" t="s">
        <v>71</v>
      </c>
      <c r="F21096">
        <v>4370729</v>
      </c>
      <c r="G21096" t="s">
        <v>15423</v>
      </c>
      <c r="H21096" s="21">
        <v>720.67</v>
      </c>
    </row>
    <row r="21097" spans="1:8" customFormat="1" x14ac:dyDescent="0.25">
      <c r="A21097" t="str">
        <f>"5934254"</f>
        <v>5934254</v>
      </c>
      <c r="B21097" t="s">
        <v>15643</v>
      </c>
      <c r="C21097" t="s">
        <v>1812</v>
      </c>
      <c r="D21097" s="21" t="s">
        <v>34</v>
      </c>
      <c r="E21097" s="21" t="s">
        <v>254</v>
      </c>
      <c r="F21097">
        <v>7590024</v>
      </c>
      <c r="G21097" t="s">
        <v>14009</v>
      </c>
      <c r="H21097" s="21">
        <v>720.67</v>
      </c>
    </row>
    <row r="21098" spans="1:8" customFormat="1" x14ac:dyDescent="0.25">
      <c r="A21098" t="str">
        <f>"195644"</f>
        <v>195644</v>
      </c>
      <c r="B21098" t="s">
        <v>10203</v>
      </c>
      <c r="C21098" t="s">
        <v>13005</v>
      </c>
      <c r="D21098" s="21" t="s">
        <v>34</v>
      </c>
      <c r="E21098" s="21" t="s">
        <v>35</v>
      </c>
      <c r="F21098">
        <v>10190145</v>
      </c>
      <c r="G21098" t="s">
        <v>10954</v>
      </c>
      <c r="H21098" s="21">
        <v>720.67</v>
      </c>
    </row>
    <row r="21099" spans="1:8" customFormat="1" x14ac:dyDescent="0.25">
      <c r="A21099" t="str">
        <f>"804944"</f>
        <v>804944</v>
      </c>
      <c r="B21099" t="s">
        <v>8239</v>
      </c>
      <c r="C21099" t="s">
        <v>33</v>
      </c>
      <c r="D21099" s="21" t="s">
        <v>34</v>
      </c>
      <c r="E21099" s="21" t="s">
        <v>71</v>
      </c>
      <c r="F21099">
        <v>7800067</v>
      </c>
      <c r="G21099" t="s">
        <v>16355</v>
      </c>
      <c r="H21099" s="21">
        <v>720.67</v>
      </c>
    </row>
    <row r="21100" spans="1:8" customFormat="1" x14ac:dyDescent="0.25">
      <c r="A21100" t="str">
        <f>"5914065"</f>
        <v>5914065</v>
      </c>
      <c r="B21100" t="s">
        <v>17125</v>
      </c>
      <c r="C21100" t="s">
        <v>127</v>
      </c>
      <c r="D21100" s="21" t="s">
        <v>34</v>
      </c>
      <c r="E21100" s="21" t="s">
        <v>35</v>
      </c>
      <c r="F21100">
        <v>7590050</v>
      </c>
      <c r="G21100" t="s">
        <v>473</v>
      </c>
      <c r="H21100" s="21">
        <v>720.67</v>
      </c>
    </row>
    <row r="21101" spans="1:8" customFormat="1" x14ac:dyDescent="0.25">
      <c r="A21101" t="str">
        <f>"4925135"</f>
        <v>4925135</v>
      </c>
      <c r="B21101" t="s">
        <v>2489</v>
      </c>
      <c r="C21101" t="s">
        <v>40</v>
      </c>
      <c r="D21101" s="21" t="s">
        <v>34</v>
      </c>
      <c r="E21101" s="21" t="s">
        <v>71</v>
      </c>
      <c r="F21101">
        <v>12490038</v>
      </c>
      <c r="G21101" t="s">
        <v>467</v>
      </c>
      <c r="H21101" s="21">
        <v>720.67</v>
      </c>
    </row>
    <row r="21102" spans="1:8" customFormat="1" x14ac:dyDescent="0.25">
      <c r="A21102" t="str">
        <f>"7211864"</f>
        <v>7211864</v>
      </c>
      <c r="B21102" t="s">
        <v>9459</v>
      </c>
      <c r="C21102" t="s">
        <v>269</v>
      </c>
      <c r="D21102" s="21" t="s">
        <v>34</v>
      </c>
      <c r="E21102" s="21" t="s">
        <v>71</v>
      </c>
      <c r="F21102">
        <v>12720062</v>
      </c>
      <c r="G21102" t="s">
        <v>4026</v>
      </c>
      <c r="H21102" s="21">
        <v>720.67</v>
      </c>
    </row>
    <row r="21103" spans="1:8" customFormat="1" x14ac:dyDescent="0.25">
      <c r="A21103" t="str">
        <f>"4420756"</f>
        <v>4420756</v>
      </c>
      <c r="B21103" t="s">
        <v>551</v>
      </c>
      <c r="C21103" t="s">
        <v>17785</v>
      </c>
      <c r="D21103" s="21" t="s">
        <v>34</v>
      </c>
      <c r="E21103" s="21" t="s">
        <v>1089</v>
      </c>
      <c r="F21103">
        <v>12440034</v>
      </c>
      <c r="G21103" t="s">
        <v>10586</v>
      </c>
      <c r="H21103" s="21">
        <v>720.67</v>
      </c>
    </row>
    <row r="21104" spans="1:8" customFormat="1" x14ac:dyDescent="0.25">
      <c r="A21104" t="str">
        <f>"253849"</f>
        <v>253849</v>
      </c>
      <c r="B21104" t="s">
        <v>5076</v>
      </c>
      <c r="C21104" t="s">
        <v>528</v>
      </c>
      <c r="D21104" s="21" t="s">
        <v>34</v>
      </c>
      <c r="E21104" s="21" t="s">
        <v>35</v>
      </c>
      <c r="F21104">
        <v>2250125</v>
      </c>
      <c r="G21104" t="s">
        <v>26911</v>
      </c>
      <c r="H21104" s="21">
        <v>720.67</v>
      </c>
    </row>
    <row r="21105" spans="1:8" customFormat="1" x14ac:dyDescent="0.25">
      <c r="A21105" t="str">
        <f>"9129665"</f>
        <v>9129665</v>
      </c>
      <c r="B21105" t="s">
        <v>27636</v>
      </c>
      <c r="C21105" t="s">
        <v>988</v>
      </c>
      <c r="D21105" s="21" t="s">
        <v>34</v>
      </c>
      <c r="E21105" s="21" t="s">
        <v>35</v>
      </c>
      <c r="F21105">
        <v>11650034</v>
      </c>
      <c r="G21105" t="s">
        <v>1989</v>
      </c>
      <c r="H21105" s="21">
        <v>720.67</v>
      </c>
    </row>
    <row r="21106" spans="1:8" customFormat="1" x14ac:dyDescent="0.25">
      <c r="A21106" t="str">
        <f>"797456"</f>
        <v>797456</v>
      </c>
      <c r="B21106" t="s">
        <v>19026</v>
      </c>
      <c r="C21106" t="s">
        <v>209</v>
      </c>
      <c r="D21106" s="21" t="s">
        <v>34</v>
      </c>
      <c r="E21106" s="21" t="s">
        <v>71</v>
      </c>
      <c r="F21106">
        <v>10790043</v>
      </c>
      <c r="G21106" t="s">
        <v>2828</v>
      </c>
      <c r="H21106" s="21">
        <v>720.67</v>
      </c>
    </row>
    <row r="21107" spans="1:8" customFormat="1" x14ac:dyDescent="0.25">
      <c r="A21107" t="str">
        <f>"1714499"</f>
        <v>1714499</v>
      </c>
      <c r="B21107" t="s">
        <v>5484</v>
      </c>
      <c r="C21107" t="s">
        <v>817</v>
      </c>
      <c r="D21107" s="21" t="s">
        <v>34</v>
      </c>
      <c r="E21107" s="21" t="s">
        <v>254</v>
      </c>
      <c r="F21107">
        <v>10170050</v>
      </c>
      <c r="G21107" t="s">
        <v>2514</v>
      </c>
      <c r="H21107" s="21">
        <v>720.67</v>
      </c>
    </row>
    <row r="21108" spans="1:8" customFormat="1" x14ac:dyDescent="0.25">
      <c r="A21108" t="str">
        <f>"0812097"</f>
        <v>0812097</v>
      </c>
      <c r="B21108" t="s">
        <v>5343</v>
      </c>
      <c r="C21108" t="s">
        <v>1468</v>
      </c>
      <c r="D21108" s="21" t="s">
        <v>34</v>
      </c>
      <c r="E21108" s="21" t="s">
        <v>35</v>
      </c>
      <c r="F21108">
        <v>6080045</v>
      </c>
      <c r="G21108" t="s">
        <v>5632</v>
      </c>
      <c r="H21108" s="21">
        <v>720.67</v>
      </c>
    </row>
    <row r="21109" spans="1:8" customFormat="1" x14ac:dyDescent="0.25">
      <c r="A21109" t="str">
        <f>"2915615"</f>
        <v>2915615</v>
      </c>
      <c r="B21109" t="s">
        <v>1802</v>
      </c>
      <c r="C21109" t="s">
        <v>239</v>
      </c>
      <c r="D21109" s="21" t="s">
        <v>34</v>
      </c>
      <c r="E21109" s="21" t="s">
        <v>71</v>
      </c>
      <c r="F21109">
        <v>3290217</v>
      </c>
      <c r="G21109" t="s">
        <v>6770</v>
      </c>
      <c r="H21109" s="21">
        <v>720.67</v>
      </c>
    </row>
    <row r="21110" spans="1:8" customFormat="1" x14ac:dyDescent="0.25">
      <c r="A21110" t="str">
        <f>"949227"</f>
        <v>949227</v>
      </c>
      <c r="B21110" t="s">
        <v>16411</v>
      </c>
      <c r="C21110" t="s">
        <v>269</v>
      </c>
      <c r="D21110" s="21" t="s">
        <v>34</v>
      </c>
      <c r="E21110" s="21" t="s">
        <v>71</v>
      </c>
      <c r="F21110">
        <v>8910102</v>
      </c>
      <c r="G21110" t="s">
        <v>3079</v>
      </c>
      <c r="H21110" s="21">
        <v>720.67</v>
      </c>
    </row>
    <row r="21111" spans="1:8" customFormat="1" x14ac:dyDescent="0.25">
      <c r="A21111" t="str">
        <f>"5730555"</f>
        <v>5730555</v>
      </c>
      <c r="B21111" t="s">
        <v>20699</v>
      </c>
      <c r="C21111" t="s">
        <v>49</v>
      </c>
      <c r="D21111" s="21" t="s">
        <v>34</v>
      </c>
      <c r="E21111" s="21" t="s">
        <v>35</v>
      </c>
      <c r="F21111">
        <v>6570168</v>
      </c>
      <c r="G21111" t="s">
        <v>152</v>
      </c>
      <c r="H21111" s="21">
        <v>720.54</v>
      </c>
    </row>
    <row r="21112" spans="1:8" customFormat="1" x14ac:dyDescent="0.25">
      <c r="A21112" t="str">
        <f>"4529458"</f>
        <v>4529458</v>
      </c>
      <c r="B21112" t="s">
        <v>1547</v>
      </c>
      <c r="C21112" t="s">
        <v>169</v>
      </c>
      <c r="D21112" s="21" t="s">
        <v>34</v>
      </c>
      <c r="E21112" s="21" t="s">
        <v>35</v>
      </c>
      <c r="F21112">
        <v>4450762</v>
      </c>
      <c r="G21112" t="s">
        <v>8632</v>
      </c>
      <c r="H21112" s="21">
        <v>720.54</v>
      </c>
    </row>
    <row r="21113" spans="1:8" customFormat="1" x14ac:dyDescent="0.25">
      <c r="A21113" t="str">
        <f>"5918570"</f>
        <v>5918570</v>
      </c>
      <c r="B21113" t="s">
        <v>17048</v>
      </c>
      <c r="C21113" t="s">
        <v>169</v>
      </c>
      <c r="D21113" s="21" t="s">
        <v>34</v>
      </c>
      <c r="E21113" s="21" t="s">
        <v>35</v>
      </c>
      <c r="F21113">
        <v>7590114</v>
      </c>
      <c r="G21113" t="s">
        <v>6332</v>
      </c>
      <c r="H21113" s="21">
        <v>720.42</v>
      </c>
    </row>
    <row r="21114" spans="1:8" customFormat="1" x14ac:dyDescent="0.25">
      <c r="A21114" t="str">
        <f>"9321301"</f>
        <v>9321301</v>
      </c>
      <c r="B21114" t="s">
        <v>13627</v>
      </c>
      <c r="C21114" t="s">
        <v>121</v>
      </c>
      <c r="D21114" s="21" t="s">
        <v>34</v>
      </c>
      <c r="E21114" s="21" t="s">
        <v>71</v>
      </c>
      <c r="F21114">
        <v>8930452</v>
      </c>
      <c r="G21114" t="s">
        <v>83</v>
      </c>
      <c r="H21114" s="21">
        <v>720.42</v>
      </c>
    </row>
    <row r="21115" spans="1:8" customFormat="1" x14ac:dyDescent="0.25">
      <c r="A21115" t="str">
        <f>"5918950"</f>
        <v>5918950</v>
      </c>
      <c r="B21115" t="s">
        <v>16488</v>
      </c>
      <c r="C21115" t="s">
        <v>1714</v>
      </c>
      <c r="D21115" s="21" t="s">
        <v>34</v>
      </c>
      <c r="E21115" s="21" t="s">
        <v>71</v>
      </c>
      <c r="F21115">
        <v>7590347</v>
      </c>
      <c r="G21115" t="s">
        <v>6041</v>
      </c>
      <c r="H21115" s="21">
        <v>720.42</v>
      </c>
    </row>
    <row r="21116" spans="1:8" customFormat="1" x14ac:dyDescent="0.25">
      <c r="A21116" t="str">
        <f>"2513321"</f>
        <v>2513321</v>
      </c>
      <c r="B21116" t="s">
        <v>15209</v>
      </c>
      <c r="C21116" t="s">
        <v>2479</v>
      </c>
      <c r="D21116" s="21" t="s">
        <v>34</v>
      </c>
      <c r="E21116" s="21" t="s">
        <v>71</v>
      </c>
      <c r="F21116">
        <v>8780108</v>
      </c>
      <c r="G21116" t="s">
        <v>4329</v>
      </c>
      <c r="H21116" s="21">
        <v>720.29</v>
      </c>
    </row>
    <row r="21117" spans="1:8" customFormat="1" x14ac:dyDescent="0.25">
      <c r="A21117" t="str">
        <f>"2923201"</f>
        <v>2923201</v>
      </c>
      <c r="B21117" t="s">
        <v>6312</v>
      </c>
      <c r="C21117" t="s">
        <v>1104</v>
      </c>
      <c r="D21117" s="21" t="s">
        <v>34</v>
      </c>
      <c r="E21117" s="21" t="s">
        <v>35</v>
      </c>
      <c r="F21117">
        <v>3290229</v>
      </c>
      <c r="G21117" t="s">
        <v>408</v>
      </c>
      <c r="H21117" s="21">
        <v>720.29</v>
      </c>
    </row>
    <row r="21118" spans="1:8" customFormat="1" x14ac:dyDescent="0.25">
      <c r="A21118" t="str">
        <f>"9441826"</f>
        <v>9441826</v>
      </c>
      <c r="B21118" t="s">
        <v>15571</v>
      </c>
      <c r="C21118" t="s">
        <v>926</v>
      </c>
      <c r="D21118" s="21" t="s">
        <v>34</v>
      </c>
      <c r="E21118" s="21" t="s">
        <v>71</v>
      </c>
      <c r="F21118">
        <v>8940535</v>
      </c>
      <c r="G21118" t="s">
        <v>2628</v>
      </c>
      <c r="H21118" s="21">
        <v>720.29</v>
      </c>
    </row>
    <row r="21119" spans="1:8" customFormat="1" x14ac:dyDescent="0.25">
      <c r="A21119" t="str">
        <f>"704457"</f>
        <v>704457</v>
      </c>
      <c r="B21119" t="s">
        <v>17046</v>
      </c>
      <c r="C21119" t="s">
        <v>187</v>
      </c>
      <c r="D21119" s="21" t="s">
        <v>34</v>
      </c>
      <c r="E21119" s="21" t="s">
        <v>71</v>
      </c>
      <c r="F21119">
        <v>13830044</v>
      </c>
      <c r="G21119" t="s">
        <v>945</v>
      </c>
      <c r="H21119" s="21">
        <v>720.29</v>
      </c>
    </row>
    <row r="21120" spans="1:8" customFormat="1" x14ac:dyDescent="0.25">
      <c r="A21120" t="str">
        <f>"4711100"</f>
        <v>4711100</v>
      </c>
      <c r="B21120" t="s">
        <v>22750</v>
      </c>
      <c r="C21120" t="s">
        <v>285</v>
      </c>
      <c r="D21120" s="21" t="s">
        <v>34</v>
      </c>
      <c r="E21120" s="21" t="s">
        <v>35</v>
      </c>
      <c r="F21120">
        <v>10470005</v>
      </c>
      <c r="G21120" t="s">
        <v>4216</v>
      </c>
      <c r="H21120" s="21">
        <v>720.29</v>
      </c>
    </row>
    <row r="21121" spans="1:8" customFormat="1" x14ac:dyDescent="0.25">
      <c r="A21121" t="str">
        <f>"419347"</f>
        <v>419347</v>
      </c>
      <c r="B21121" t="s">
        <v>18159</v>
      </c>
      <c r="C21121" t="s">
        <v>2305</v>
      </c>
      <c r="D21121" s="21" t="s">
        <v>34</v>
      </c>
      <c r="E21121" s="21" t="s">
        <v>254</v>
      </c>
      <c r="F21121">
        <v>4450663</v>
      </c>
      <c r="G21121" t="s">
        <v>2527</v>
      </c>
      <c r="H21121" s="21">
        <v>720.17</v>
      </c>
    </row>
    <row r="21122" spans="1:8" customFormat="1" x14ac:dyDescent="0.25">
      <c r="A21122" t="str">
        <f>"4429141"</f>
        <v>4429141</v>
      </c>
      <c r="B21122" t="s">
        <v>11393</v>
      </c>
      <c r="C21122" t="s">
        <v>263</v>
      </c>
      <c r="D21122" s="21" t="s">
        <v>34</v>
      </c>
      <c r="E21122" s="21" t="s">
        <v>71</v>
      </c>
      <c r="F21122">
        <v>12440059</v>
      </c>
      <c r="G21122" t="s">
        <v>6697</v>
      </c>
      <c r="H21122" s="21">
        <v>720.17</v>
      </c>
    </row>
    <row r="21123" spans="1:8" customFormat="1" x14ac:dyDescent="0.25">
      <c r="A21123" t="str">
        <f>"6214003"</f>
        <v>6214003</v>
      </c>
      <c r="B21123" t="s">
        <v>27637</v>
      </c>
      <c r="C21123" t="s">
        <v>130</v>
      </c>
      <c r="D21123" s="21" t="s">
        <v>34</v>
      </c>
      <c r="E21123" s="21" t="s">
        <v>71</v>
      </c>
      <c r="F21123">
        <v>7620079</v>
      </c>
      <c r="G21123" t="s">
        <v>9718</v>
      </c>
      <c r="H21123" s="21">
        <v>720.17</v>
      </c>
    </row>
    <row r="21124" spans="1:8" customFormat="1" x14ac:dyDescent="0.25">
      <c r="A21124" t="str">
        <f>"0210156"</f>
        <v>0210156</v>
      </c>
      <c r="B21124" t="s">
        <v>17152</v>
      </c>
      <c r="C21124" t="s">
        <v>462</v>
      </c>
      <c r="D21124" s="21" t="s">
        <v>34</v>
      </c>
      <c r="E21124" s="21" t="s">
        <v>35</v>
      </c>
      <c r="F21124">
        <v>7021009</v>
      </c>
      <c r="G21124" t="s">
        <v>2739</v>
      </c>
      <c r="H21124" s="21">
        <v>720.17</v>
      </c>
    </row>
    <row r="21125" spans="1:8" customFormat="1" x14ac:dyDescent="0.25">
      <c r="A21125" t="str">
        <f>"3722629"</f>
        <v>3722629</v>
      </c>
      <c r="B21125" t="s">
        <v>15475</v>
      </c>
      <c r="C21125" t="s">
        <v>98</v>
      </c>
      <c r="D21125" s="21" t="s">
        <v>34</v>
      </c>
      <c r="E21125" s="21" t="s">
        <v>35</v>
      </c>
      <c r="F21125">
        <v>4370289</v>
      </c>
      <c r="G21125" t="s">
        <v>7887</v>
      </c>
      <c r="H21125" s="21">
        <v>720.17</v>
      </c>
    </row>
    <row r="21126" spans="1:8" customFormat="1" x14ac:dyDescent="0.25">
      <c r="A21126" t="str">
        <f>"667809"</f>
        <v>667809</v>
      </c>
      <c r="B21126" t="s">
        <v>18965</v>
      </c>
      <c r="C21126" t="s">
        <v>40</v>
      </c>
      <c r="D21126" s="21" t="s">
        <v>34</v>
      </c>
      <c r="E21126" s="21" t="s">
        <v>71</v>
      </c>
      <c r="F21126">
        <v>11660009</v>
      </c>
      <c r="G21126" t="s">
        <v>26624</v>
      </c>
      <c r="H21126" s="21">
        <v>720.17</v>
      </c>
    </row>
    <row r="21127" spans="1:8" customFormat="1" x14ac:dyDescent="0.25">
      <c r="A21127" t="str">
        <f>"0212286"</f>
        <v>0212286</v>
      </c>
      <c r="B21127" t="s">
        <v>27638</v>
      </c>
      <c r="C21127" t="s">
        <v>87</v>
      </c>
      <c r="D21127" s="21" t="s">
        <v>34</v>
      </c>
      <c r="E21127" s="21" t="s">
        <v>35</v>
      </c>
      <c r="F21127">
        <v>7021015</v>
      </c>
      <c r="G21127" t="s">
        <v>27639</v>
      </c>
      <c r="H21127" s="21">
        <v>720.17</v>
      </c>
    </row>
    <row r="21128" spans="1:8" customFormat="1" x14ac:dyDescent="0.25">
      <c r="A21128" t="str">
        <f>"6220053"</f>
        <v>6220053</v>
      </c>
      <c r="B21128" t="s">
        <v>1872</v>
      </c>
      <c r="C21128" t="s">
        <v>55</v>
      </c>
      <c r="D21128" s="21" t="s">
        <v>34</v>
      </c>
      <c r="E21128" s="21" t="s">
        <v>71</v>
      </c>
      <c r="F21128">
        <v>7620027</v>
      </c>
      <c r="G21128" t="s">
        <v>980</v>
      </c>
      <c r="H21128" s="21">
        <v>720.17</v>
      </c>
    </row>
    <row r="21129" spans="1:8" customFormat="1" x14ac:dyDescent="0.25">
      <c r="A21129" t="str">
        <f>"166100"</f>
        <v>166100</v>
      </c>
      <c r="B21129" t="s">
        <v>18336</v>
      </c>
      <c r="C21129" t="s">
        <v>2520</v>
      </c>
      <c r="D21129" s="21" t="s">
        <v>34</v>
      </c>
      <c r="E21129" s="21" t="s">
        <v>254</v>
      </c>
      <c r="F21129">
        <v>10160018</v>
      </c>
      <c r="G21129" t="s">
        <v>6900</v>
      </c>
      <c r="H21129" s="21">
        <v>720.17</v>
      </c>
    </row>
    <row r="21130" spans="1:8" customFormat="1" x14ac:dyDescent="0.25">
      <c r="A21130" t="str">
        <f>"6917175"</f>
        <v>6917175</v>
      </c>
      <c r="B21130" t="s">
        <v>27640</v>
      </c>
      <c r="C21130" t="s">
        <v>109</v>
      </c>
      <c r="D21130" s="21" t="s">
        <v>34</v>
      </c>
      <c r="E21130" s="21" t="s">
        <v>71</v>
      </c>
      <c r="F21130">
        <v>1690184</v>
      </c>
      <c r="G21130" t="s">
        <v>4992</v>
      </c>
      <c r="H21130" s="21">
        <v>720.17</v>
      </c>
    </row>
    <row r="21131" spans="1:8" customFormat="1" x14ac:dyDescent="0.25">
      <c r="A21131" t="str">
        <f>"082901"</f>
        <v>082901</v>
      </c>
      <c r="B21131" t="s">
        <v>16253</v>
      </c>
      <c r="C21131" t="s">
        <v>65</v>
      </c>
      <c r="D21131" s="21" t="s">
        <v>34</v>
      </c>
      <c r="E21131" s="21" t="s">
        <v>71</v>
      </c>
      <c r="F21131">
        <v>6080029</v>
      </c>
      <c r="G21131" t="s">
        <v>6788</v>
      </c>
      <c r="H21131" s="21">
        <v>720.17</v>
      </c>
    </row>
    <row r="21132" spans="1:8" customFormat="1" x14ac:dyDescent="0.25">
      <c r="A21132" t="str">
        <f>"4519351"</f>
        <v>4519351</v>
      </c>
      <c r="B21132" t="s">
        <v>16125</v>
      </c>
      <c r="C21132" t="s">
        <v>119</v>
      </c>
      <c r="D21132" s="21" t="s">
        <v>34</v>
      </c>
      <c r="E21132" s="21" t="s">
        <v>71</v>
      </c>
      <c r="F21132">
        <v>4450410</v>
      </c>
      <c r="G21132" t="s">
        <v>26525</v>
      </c>
      <c r="H21132" s="21">
        <v>720.17</v>
      </c>
    </row>
    <row r="21133" spans="1:8" customFormat="1" x14ac:dyDescent="0.25">
      <c r="A21133" t="str">
        <f>"2914845"</f>
        <v>2914845</v>
      </c>
      <c r="B21133" t="s">
        <v>4418</v>
      </c>
      <c r="C21133" t="s">
        <v>2520</v>
      </c>
      <c r="D21133" s="21" t="s">
        <v>34</v>
      </c>
      <c r="E21133" s="21" t="s">
        <v>254</v>
      </c>
      <c r="F21133">
        <v>3290203</v>
      </c>
      <c r="G21133" t="s">
        <v>9395</v>
      </c>
      <c r="H21133" s="21">
        <v>720.17</v>
      </c>
    </row>
    <row r="21134" spans="1:8" customFormat="1" x14ac:dyDescent="0.25">
      <c r="A21134" t="str">
        <f>"1410306"</f>
        <v>1410306</v>
      </c>
      <c r="B21134" t="s">
        <v>8930</v>
      </c>
      <c r="C21134" t="s">
        <v>40</v>
      </c>
      <c r="D21134" s="21" t="s">
        <v>34</v>
      </c>
      <c r="E21134" s="21" t="s">
        <v>254</v>
      </c>
      <c r="F21134">
        <v>9140201</v>
      </c>
      <c r="G21134" t="s">
        <v>13327</v>
      </c>
      <c r="H21134" s="21">
        <v>720.17</v>
      </c>
    </row>
    <row r="21135" spans="1:8" customFormat="1" x14ac:dyDescent="0.25">
      <c r="A21135" t="str">
        <f>"7720510"</f>
        <v>7720510</v>
      </c>
      <c r="B21135" t="s">
        <v>11004</v>
      </c>
      <c r="C21135" t="s">
        <v>1631</v>
      </c>
      <c r="D21135" s="21" t="s">
        <v>34</v>
      </c>
      <c r="E21135" s="21" t="s">
        <v>71</v>
      </c>
      <c r="F21135">
        <v>8770988</v>
      </c>
      <c r="G21135" t="s">
        <v>6334</v>
      </c>
      <c r="H21135" s="21">
        <v>720.04</v>
      </c>
    </row>
    <row r="21136" spans="1:8" customFormat="1" x14ac:dyDescent="0.25">
      <c r="A21136" t="str">
        <f>"899189"</f>
        <v>899189</v>
      </c>
      <c r="B21136" t="s">
        <v>5842</v>
      </c>
      <c r="C21136" t="s">
        <v>151</v>
      </c>
      <c r="D21136" s="21" t="s">
        <v>34</v>
      </c>
      <c r="E21136" s="21" t="s">
        <v>254</v>
      </c>
      <c r="F21136">
        <v>2890058</v>
      </c>
      <c r="G21136" t="s">
        <v>13102</v>
      </c>
      <c r="H21136" s="21">
        <v>720.04</v>
      </c>
    </row>
    <row r="21137" spans="1:8" customFormat="1" x14ac:dyDescent="0.25">
      <c r="A21137" t="str">
        <f>"511347"</f>
        <v>511347</v>
      </c>
      <c r="B21137" t="s">
        <v>5793</v>
      </c>
      <c r="C21137" t="s">
        <v>415</v>
      </c>
      <c r="D21137" s="21" t="s">
        <v>34</v>
      </c>
      <c r="E21137" s="21" t="s">
        <v>1089</v>
      </c>
      <c r="F21137">
        <v>6080087</v>
      </c>
      <c r="G21137" t="s">
        <v>7405</v>
      </c>
      <c r="H21137" s="21">
        <v>719.92</v>
      </c>
    </row>
    <row r="21138" spans="1:8" customFormat="1" x14ac:dyDescent="0.25">
      <c r="A21138" t="str">
        <f>"6112347"</f>
        <v>6112347</v>
      </c>
      <c r="B21138" t="s">
        <v>16582</v>
      </c>
      <c r="C21138" t="s">
        <v>33</v>
      </c>
      <c r="D21138" s="21" t="s">
        <v>34</v>
      </c>
      <c r="E21138" s="21" t="s">
        <v>35</v>
      </c>
      <c r="F21138">
        <v>9610115</v>
      </c>
      <c r="G21138" t="s">
        <v>17938</v>
      </c>
      <c r="H21138" s="21">
        <v>719.92</v>
      </c>
    </row>
    <row r="21139" spans="1:8" customFormat="1" x14ac:dyDescent="0.25">
      <c r="A21139" t="str">
        <f>"9441"</f>
        <v>9441</v>
      </c>
      <c r="B21139" t="s">
        <v>17243</v>
      </c>
      <c r="C21139" t="s">
        <v>253</v>
      </c>
      <c r="D21139" s="21" t="s">
        <v>34</v>
      </c>
      <c r="E21139" s="21" t="s">
        <v>6185</v>
      </c>
      <c r="F21139">
        <v>11460017</v>
      </c>
      <c r="G21139" t="s">
        <v>7665</v>
      </c>
      <c r="H21139" s="21">
        <v>719.92</v>
      </c>
    </row>
    <row r="21140" spans="1:8" customFormat="1" x14ac:dyDescent="0.25">
      <c r="A21140" t="str">
        <f>"9228382"</f>
        <v>9228382</v>
      </c>
      <c r="B21140" t="s">
        <v>16704</v>
      </c>
      <c r="C21140" t="s">
        <v>121</v>
      </c>
      <c r="D21140" s="21" t="s">
        <v>34</v>
      </c>
      <c r="E21140" s="21" t="s">
        <v>35</v>
      </c>
      <c r="F21140">
        <v>8951331</v>
      </c>
      <c r="G21140" t="s">
        <v>1134</v>
      </c>
      <c r="H21140" s="21">
        <v>719.79</v>
      </c>
    </row>
    <row r="21141" spans="1:8" customFormat="1" x14ac:dyDescent="0.25">
      <c r="A21141" t="str">
        <f>"3117558"</f>
        <v>3117558</v>
      </c>
      <c r="B21141" t="s">
        <v>17716</v>
      </c>
      <c r="C21141" t="s">
        <v>139</v>
      </c>
      <c r="D21141" s="21" t="s">
        <v>34</v>
      </c>
      <c r="E21141" s="21" t="s">
        <v>35</v>
      </c>
      <c r="F21141">
        <v>11310117</v>
      </c>
      <c r="G21141" t="s">
        <v>10279</v>
      </c>
      <c r="H21141" s="21">
        <v>719.79</v>
      </c>
    </row>
    <row r="21142" spans="1:8" customFormat="1" x14ac:dyDescent="0.25">
      <c r="A21142" t="str">
        <f>"6015018"</f>
        <v>6015018</v>
      </c>
      <c r="B21142" t="s">
        <v>16318</v>
      </c>
      <c r="C21142" t="s">
        <v>462</v>
      </c>
      <c r="D21142" s="21" t="s">
        <v>34</v>
      </c>
      <c r="E21142" s="21" t="s">
        <v>71</v>
      </c>
      <c r="F21142">
        <v>7600031</v>
      </c>
      <c r="G21142" t="s">
        <v>3283</v>
      </c>
      <c r="H21142" s="21">
        <v>719.67</v>
      </c>
    </row>
    <row r="21143" spans="1:8" customFormat="1" x14ac:dyDescent="0.25">
      <c r="A21143" t="str">
        <f>"214666"</f>
        <v>214666</v>
      </c>
      <c r="B21143" t="s">
        <v>27641</v>
      </c>
      <c r="C21143" t="s">
        <v>381</v>
      </c>
      <c r="D21143" s="21" t="s">
        <v>34</v>
      </c>
      <c r="E21143" s="21" t="s">
        <v>71</v>
      </c>
      <c r="F21143">
        <v>10860015</v>
      </c>
      <c r="G21143" t="s">
        <v>3680</v>
      </c>
      <c r="H21143" s="21">
        <v>719.67</v>
      </c>
    </row>
    <row r="21144" spans="1:8" customFormat="1" x14ac:dyDescent="0.25">
      <c r="A21144" t="str">
        <f>"845746"</f>
        <v>845746</v>
      </c>
      <c r="B21144" t="s">
        <v>7238</v>
      </c>
      <c r="C21144" t="s">
        <v>16235</v>
      </c>
      <c r="D21144" s="21" t="s">
        <v>34</v>
      </c>
      <c r="E21144" s="21" t="s">
        <v>71</v>
      </c>
      <c r="F21144">
        <v>13840025</v>
      </c>
      <c r="G21144" t="s">
        <v>7580</v>
      </c>
      <c r="H21144" s="21">
        <v>719.67</v>
      </c>
    </row>
    <row r="21145" spans="1:8" customFormat="1" x14ac:dyDescent="0.25">
      <c r="A21145" t="str">
        <f>"4931015"</f>
        <v>4931015</v>
      </c>
      <c r="B21145" t="s">
        <v>18386</v>
      </c>
      <c r="C21145" t="s">
        <v>812</v>
      </c>
      <c r="D21145" s="21" t="s">
        <v>34</v>
      </c>
      <c r="E21145" s="21" t="s">
        <v>71</v>
      </c>
      <c r="F21145">
        <v>12490067</v>
      </c>
      <c r="G21145" t="s">
        <v>7654</v>
      </c>
      <c r="H21145" s="21">
        <v>719.67</v>
      </c>
    </row>
    <row r="21146" spans="1:8" customFormat="1" x14ac:dyDescent="0.25">
      <c r="A21146" t="str">
        <f>"8516502"</f>
        <v>8516502</v>
      </c>
      <c r="B21146" t="s">
        <v>16946</v>
      </c>
      <c r="C21146" t="s">
        <v>263</v>
      </c>
      <c r="D21146" s="21" t="s">
        <v>34</v>
      </c>
      <c r="E21146" s="21" t="s">
        <v>71</v>
      </c>
      <c r="F21146">
        <v>12850171</v>
      </c>
      <c r="G21146" t="s">
        <v>2687</v>
      </c>
      <c r="H21146" s="21">
        <v>719.67</v>
      </c>
    </row>
    <row r="21147" spans="1:8" customFormat="1" x14ac:dyDescent="0.25">
      <c r="A21147" t="str">
        <f>"1313379"</f>
        <v>1313379</v>
      </c>
      <c r="B21147" t="s">
        <v>16408</v>
      </c>
      <c r="C21147" t="s">
        <v>381</v>
      </c>
      <c r="D21147" s="21" t="s">
        <v>34</v>
      </c>
      <c r="E21147" s="21" t="s">
        <v>35</v>
      </c>
      <c r="F21147">
        <v>13130159</v>
      </c>
      <c r="G21147" t="s">
        <v>199</v>
      </c>
      <c r="H21147" s="21">
        <v>719.67</v>
      </c>
    </row>
    <row r="21148" spans="1:8" customFormat="1" x14ac:dyDescent="0.25">
      <c r="A21148" t="str">
        <f>"567684"</f>
        <v>567684</v>
      </c>
      <c r="B21148" t="s">
        <v>27642</v>
      </c>
      <c r="C21148" t="s">
        <v>576</v>
      </c>
      <c r="D21148" s="21" t="s">
        <v>34</v>
      </c>
      <c r="E21148" s="21" t="s">
        <v>35</v>
      </c>
      <c r="F21148">
        <v>3560066</v>
      </c>
      <c r="G21148" t="s">
        <v>1156</v>
      </c>
      <c r="H21148" s="21">
        <v>719.67</v>
      </c>
    </row>
    <row r="21149" spans="1:8" customFormat="1" x14ac:dyDescent="0.25">
      <c r="A21149" t="str">
        <f>"1612916"</f>
        <v>1612916</v>
      </c>
      <c r="B21149" t="s">
        <v>1737</v>
      </c>
      <c r="C21149" t="s">
        <v>60</v>
      </c>
      <c r="D21149" s="21" t="s">
        <v>34</v>
      </c>
      <c r="E21149" s="21" t="s">
        <v>35</v>
      </c>
      <c r="F21149">
        <v>10160023</v>
      </c>
      <c r="G21149" t="s">
        <v>2246</v>
      </c>
      <c r="H21149" s="21">
        <v>719.67</v>
      </c>
    </row>
    <row r="21150" spans="1:8" customFormat="1" x14ac:dyDescent="0.25">
      <c r="A21150" t="str">
        <f>"794176"</f>
        <v>794176</v>
      </c>
      <c r="B21150" t="s">
        <v>15018</v>
      </c>
      <c r="C21150" t="s">
        <v>719</v>
      </c>
      <c r="D21150" s="21" t="s">
        <v>34</v>
      </c>
      <c r="E21150" s="21" t="s">
        <v>35</v>
      </c>
      <c r="F21150">
        <v>10790126</v>
      </c>
      <c r="G21150" t="s">
        <v>15019</v>
      </c>
      <c r="H21150" s="21">
        <v>719.67</v>
      </c>
    </row>
    <row r="21151" spans="1:8" customFormat="1" x14ac:dyDescent="0.25">
      <c r="A21151" t="str">
        <f>"3812530"</f>
        <v>3812530</v>
      </c>
      <c r="B21151" t="s">
        <v>6609</v>
      </c>
      <c r="C21151" t="s">
        <v>2752</v>
      </c>
      <c r="D21151" s="21" t="s">
        <v>34</v>
      </c>
      <c r="E21151" s="21" t="s">
        <v>71</v>
      </c>
      <c r="F21151">
        <v>1380108</v>
      </c>
      <c r="G21151" t="s">
        <v>6103</v>
      </c>
      <c r="H21151" s="21">
        <v>719.67</v>
      </c>
    </row>
    <row r="21152" spans="1:8" customFormat="1" x14ac:dyDescent="0.25">
      <c r="A21152" t="str">
        <f>"4439418"</f>
        <v>4439418</v>
      </c>
      <c r="B21152" t="s">
        <v>4332</v>
      </c>
      <c r="C21152" t="s">
        <v>114</v>
      </c>
      <c r="D21152" s="21" t="s">
        <v>34</v>
      </c>
      <c r="E21152" s="21" t="s">
        <v>35</v>
      </c>
      <c r="F21152">
        <v>12440029</v>
      </c>
      <c r="G21152" t="s">
        <v>567</v>
      </c>
      <c r="H21152" s="21">
        <v>719.67</v>
      </c>
    </row>
    <row r="21153" spans="1:8" customFormat="1" x14ac:dyDescent="0.25">
      <c r="A21153" t="str">
        <f>"2813113"</f>
        <v>2813113</v>
      </c>
      <c r="B21153" t="s">
        <v>17295</v>
      </c>
      <c r="C21153" t="s">
        <v>2907</v>
      </c>
      <c r="D21153" s="21" t="s">
        <v>34</v>
      </c>
      <c r="E21153" s="21" t="s">
        <v>35</v>
      </c>
      <c r="F21153">
        <v>4280718</v>
      </c>
      <c r="G21153" t="s">
        <v>12393</v>
      </c>
      <c r="H21153" s="21">
        <v>719.67</v>
      </c>
    </row>
    <row r="21154" spans="1:8" customFormat="1" x14ac:dyDescent="0.25">
      <c r="A21154" t="str">
        <f>"9124227"</f>
        <v>9124227</v>
      </c>
      <c r="B21154" t="s">
        <v>12979</v>
      </c>
      <c r="C21154" t="s">
        <v>1142</v>
      </c>
      <c r="D21154" s="21" t="s">
        <v>34</v>
      </c>
      <c r="E21154" s="21" t="s">
        <v>1089</v>
      </c>
      <c r="F21154">
        <v>8910916</v>
      </c>
      <c r="G21154" t="s">
        <v>2251</v>
      </c>
      <c r="H21154" s="21">
        <v>719.67</v>
      </c>
    </row>
    <row r="21155" spans="1:8" customFormat="1" x14ac:dyDescent="0.25">
      <c r="A21155" t="str">
        <f>"2937086"</f>
        <v>2937086</v>
      </c>
      <c r="B21155" t="s">
        <v>16996</v>
      </c>
      <c r="C21155" t="s">
        <v>3355</v>
      </c>
      <c r="D21155" s="21" t="s">
        <v>34</v>
      </c>
      <c r="E21155" s="21" t="s">
        <v>35</v>
      </c>
      <c r="F21155">
        <v>3560060</v>
      </c>
      <c r="G21155" t="s">
        <v>8368</v>
      </c>
      <c r="H21155" s="21">
        <v>719.67</v>
      </c>
    </row>
    <row r="21156" spans="1:8" customFormat="1" x14ac:dyDescent="0.25">
      <c r="A21156" t="str">
        <f>"9132099"</f>
        <v>9132099</v>
      </c>
      <c r="B21156" t="s">
        <v>3505</v>
      </c>
      <c r="C21156" t="s">
        <v>288</v>
      </c>
      <c r="D21156" s="21" t="s">
        <v>34</v>
      </c>
      <c r="E21156" s="21" t="s">
        <v>35</v>
      </c>
      <c r="F21156">
        <v>8911064</v>
      </c>
      <c r="G21156" t="s">
        <v>2209</v>
      </c>
      <c r="H21156" s="21">
        <v>719.67</v>
      </c>
    </row>
    <row r="21157" spans="1:8" customFormat="1" x14ac:dyDescent="0.25">
      <c r="A21157" t="str">
        <f>"756953"</f>
        <v>756953</v>
      </c>
      <c r="B21157" t="s">
        <v>6798</v>
      </c>
      <c r="C21157" t="s">
        <v>55</v>
      </c>
      <c r="D21157" s="21" t="s">
        <v>34</v>
      </c>
      <c r="E21157" s="21" t="s">
        <v>254</v>
      </c>
      <c r="F21157">
        <v>2210119</v>
      </c>
      <c r="G21157" t="s">
        <v>16361</v>
      </c>
      <c r="H21157" s="21">
        <v>719.67</v>
      </c>
    </row>
    <row r="21158" spans="1:8" customFormat="1" x14ac:dyDescent="0.25">
      <c r="A21158" t="str">
        <f>"878583"</f>
        <v>878583</v>
      </c>
      <c r="B21158" t="s">
        <v>17817</v>
      </c>
      <c r="C21158" t="s">
        <v>1782</v>
      </c>
      <c r="D21158" s="21" t="s">
        <v>34</v>
      </c>
      <c r="E21158" s="21" t="s">
        <v>35</v>
      </c>
      <c r="F21158">
        <v>10870028</v>
      </c>
      <c r="G21158" t="s">
        <v>2689</v>
      </c>
      <c r="H21158" s="21">
        <v>719.67</v>
      </c>
    </row>
    <row r="21159" spans="1:8" customFormat="1" x14ac:dyDescent="0.25">
      <c r="A21159" t="str">
        <f>"5970594"</f>
        <v>5970594</v>
      </c>
      <c r="B21159" t="s">
        <v>19572</v>
      </c>
      <c r="C21159" t="s">
        <v>49</v>
      </c>
      <c r="D21159" s="21" t="s">
        <v>34</v>
      </c>
      <c r="E21159" s="21" t="s">
        <v>35</v>
      </c>
      <c r="F21159">
        <v>7590281</v>
      </c>
      <c r="G21159" t="s">
        <v>7165</v>
      </c>
      <c r="H21159" s="21">
        <v>719.67</v>
      </c>
    </row>
    <row r="21160" spans="1:8" customFormat="1" x14ac:dyDescent="0.25">
      <c r="A21160" t="str">
        <f>"033613"</f>
        <v>033613</v>
      </c>
      <c r="B21160" t="s">
        <v>27643</v>
      </c>
      <c r="C21160" t="s">
        <v>720</v>
      </c>
      <c r="D21160" s="21" t="s">
        <v>34</v>
      </c>
      <c r="E21160" s="21" t="s">
        <v>71</v>
      </c>
      <c r="F21160">
        <v>1030291</v>
      </c>
      <c r="G21160" t="s">
        <v>14963</v>
      </c>
      <c r="H21160" s="21">
        <v>719.67</v>
      </c>
    </row>
    <row r="21161" spans="1:8" customFormat="1" x14ac:dyDescent="0.25">
      <c r="A21161" t="str">
        <f>"4914972"</f>
        <v>4914972</v>
      </c>
      <c r="B21161" t="s">
        <v>824</v>
      </c>
      <c r="C21161" t="s">
        <v>1588</v>
      </c>
      <c r="D21161" s="21" t="s">
        <v>34</v>
      </c>
      <c r="E21161" s="21" t="s">
        <v>1089</v>
      </c>
      <c r="F21161">
        <v>12490092</v>
      </c>
      <c r="G21161" t="s">
        <v>1854</v>
      </c>
      <c r="H21161" s="21">
        <v>719.67</v>
      </c>
    </row>
    <row r="21162" spans="1:8" customFormat="1" x14ac:dyDescent="0.25">
      <c r="A21162" t="str">
        <f>"1545"</f>
        <v>1545</v>
      </c>
      <c r="B21162" t="s">
        <v>5724</v>
      </c>
      <c r="C21162" t="s">
        <v>267</v>
      </c>
      <c r="D21162" s="21" t="s">
        <v>34</v>
      </c>
      <c r="E21162" s="21" t="s">
        <v>254</v>
      </c>
      <c r="F21162">
        <v>1150148</v>
      </c>
      <c r="G21162" t="s">
        <v>7485</v>
      </c>
      <c r="H21162" s="21">
        <v>719.67</v>
      </c>
    </row>
    <row r="21163" spans="1:8" customFormat="1" x14ac:dyDescent="0.25">
      <c r="A21163" t="str">
        <f>"415489"</f>
        <v>415489</v>
      </c>
      <c r="B21163" t="s">
        <v>14000</v>
      </c>
      <c r="C21163" t="s">
        <v>114</v>
      </c>
      <c r="D21163" s="21" t="s">
        <v>34</v>
      </c>
      <c r="E21163" s="21" t="s">
        <v>71</v>
      </c>
      <c r="F21163">
        <v>4410696</v>
      </c>
      <c r="G21163" t="s">
        <v>5909</v>
      </c>
      <c r="H21163" s="21">
        <v>719.67</v>
      </c>
    </row>
    <row r="21164" spans="1:8" customFormat="1" x14ac:dyDescent="0.25">
      <c r="A21164" t="str">
        <f>"5717506"</f>
        <v>5717506</v>
      </c>
      <c r="B21164" t="s">
        <v>15190</v>
      </c>
      <c r="C21164" t="s">
        <v>114</v>
      </c>
      <c r="D21164" s="21" t="s">
        <v>34</v>
      </c>
      <c r="E21164" s="21" t="s">
        <v>71</v>
      </c>
      <c r="F21164">
        <v>6570060</v>
      </c>
      <c r="G21164" t="s">
        <v>4397</v>
      </c>
      <c r="H21164" s="21">
        <v>719.67</v>
      </c>
    </row>
    <row r="21165" spans="1:8" customFormat="1" x14ac:dyDescent="0.25">
      <c r="A21165" t="str">
        <f>"035161"</f>
        <v>035161</v>
      </c>
      <c r="B21165" t="s">
        <v>4389</v>
      </c>
      <c r="C21165" t="s">
        <v>750</v>
      </c>
      <c r="D21165" s="21" t="s">
        <v>34</v>
      </c>
      <c r="E21165" s="21" t="s">
        <v>71</v>
      </c>
      <c r="F21165">
        <v>1030165</v>
      </c>
      <c r="G21165" t="s">
        <v>2357</v>
      </c>
      <c r="H21165" s="21">
        <v>719.67</v>
      </c>
    </row>
    <row r="21166" spans="1:8" customFormat="1" x14ac:dyDescent="0.25">
      <c r="A21166" t="str">
        <f>"3424547"</f>
        <v>3424547</v>
      </c>
      <c r="B21166" t="s">
        <v>9314</v>
      </c>
      <c r="C21166" t="s">
        <v>2904</v>
      </c>
      <c r="D21166" s="21" t="s">
        <v>34</v>
      </c>
      <c r="E21166" s="21" t="s">
        <v>254</v>
      </c>
      <c r="F21166">
        <v>11340018</v>
      </c>
      <c r="G21166" t="s">
        <v>2421</v>
      </c>
      <c r="H21166" s="21">
        <v>719.67</v>
      </c>
    </row>
    <row r="21167" spans="1:8" customFormat="1" x14ac:dyDescent="0.25">
      <c r="A21167" t="str">
        <f>"3532968"</f>
        <v>3532968</v>
      </c>
      <c r="B21167" t="s">
        <v>18333</v>
      </c>
      <c r="C21167" t="s">
        <v>812</v>
      </c>
      <c r="D21167" s="21" t="s">
        <v>34</v>
      </c>
      <c r="E21167" s="21" t="s">
        <v>35</v>
      </c>
      <c r="F21167">
        <v>3350212</v>
      </c>
      <c r="G21167" t="s">
        <v>5154</v>
      </c>
      <c r="H21167" s="21">
        <v>719.67</v>
      </c>
    </row>
    <row r="21168" spans="1:8" customFormat="1" x14ac:dyDescent="0.25">
      <c r="A21168" t="str">
        <f>"9136350"</f>
        <v>9136350</v>
      </c>
      <c r="B21168" t="s">
        <v>16329</v>
      </c>
      <c r="C21168" t="s">
        <v>1539</v>
      </c>
      <c r="D21168" s="21" t="s">
        <v>34</v>
      </c>
      <c r="E21168" s="21" t="s">
        <v>35</v>
      </c>
      <c r="F21168">
        <v>8910303</v>
      </c>
      <c r="G21168" t="s">
        <v>1244</v>
      </c>
      <c r="H21168" s="21">
        <v>719.54</v>
      </c>
    </row>
    <row r="21169" spans="1:8" customFormat="1" x14ac:dyDescent="0.25">
      <c r="A21169" t="str">
        <f>"4510768"</f>
        <v>4510768</v>
      </c>
      <c r="B21169" t="s">
        <v>18395</v>
      </c>
      <c r="C21169" t="s">
        <v>1025</v>
      </c>
      <c r="D21169" s="21" t="s">
        <v>34</v>
      </c>
      <c r="E21169" s="21" t="s">
        <v>254</v>
      </c>
      <c r="F21169">
        <v>4450663</v>
      </c>
      <c r="G21169" t="s">
        <v>2527</v>
      </c>
      <c r="H21169" s="21">
        <v>719.54</v>
      </c>
    </row>
    <row r="21170" spans="1:8" customFormat="1" x14ac:dyDescent="0.25">
      <c r="A21170" t="str">
        <f>"5322653"</f>
        <v>5322653</v>
      </c>
      <c r="B21170" t="s">
        <v>1885</v>
      </c>
      <c r="C21170" t="s">
        <v>263</v>
      </c>
      <c r="D21170" s="21" t="s">
        <v>34</v>
      </c>
      <c r="E21170" s="21" t="s">
        <v>35</v>
      </c>
      <c r="F21170">
        <v>12530072</v>
      </c>
      <c r="G21170" t="s">
        <v>7342</v>
      </c>
      <c r="H21170" s="21">
        <v>719.42</v>
      </c>
    </row>
    <row r="21171" spans="1:8" customFormat="1" x14ac:dyDescent="0.25">
      <c r="A21171" t="str">
        <f>"3521991"</f>
        <v>3521991</v>
      </c>
      <c r="B21171" t="s">
        <v>24112</v>
      </c>
      <c r="C21171" t="s">
        <v>144</v>
      </c>
      <c r="D21171" s="21" t="s">
        <v>34</v>
      </c>
      <c r="E21171" s="21" t="s">
        <v>35</v>
      </c>
      <c r="F21171">
        <v>3350022</v>
      </c>
      <c r="G21171" t="s">
        <v>1287</v>
      </c>
      <c r="H21171" s="21">
        <v>719.42</v>
      </c>
    </row>
    <row r="21172" spans="1:8" customFormat="1" x14ac:dyDescent="0.25">
      <c r="A21172" t="str">
        <f>"375162"</f>
        <v>375162</v>
      </c>
      <c r="B21172" t="s">
        <v>17259</v>
      </c>
      <c r="C21172" t="s">
        <v>269</v>
      </c>
      <c r="D21172" s="21" t="s">
        <v>34</v>
      </c>
      <c r="E21172" s="21" t="s">
        <v>254</v>
      </c>
      <c r="F21172">
        <v>4370615</v>
      </c>
      <c r="G21172" t="s">
        <v>7437</v>
      </c>
      <c r="H21172" s="21">
        <v>719.17</v>
      </c>
    </row>
    <row r="21173" spans="1:8" customFormat="1" x14ac:dyDescent="0.25">
      <c r="A21173" t="str">
        <f>"6222498"</f>
        <v>6222498</v>
      </c>
      <c r="B21173" t="s">
        <v>15001</v>
      </c>
      <c r="C21173" t="s">
        <v>169</v>
      </c>
      <c r="D21173" s="21" t="s">
        <v>34</v>
      </c>
      <c r="E21173" s="21" t="s">
        <v>71</v>
      </c>
      <c r="F21173">
        <v>7620149</v>
      </c>
      <c r="G21173" t="s">
        <v>16598</v>
      </c>
      <c r="H21173" s="21">
        <v>719.17</v>
      </c>
    </row>
    <row r="21174" spans="1:8" customFormat="1" x14ac:dyDescent="0.25">
      <c r="A21174" t="str">
        <f>"0612197"</f>
        <v>0612197</v>
      </c>
      <c r="B21174" t="s">
        <v>17261</v>
      </c>
      <c r="C21174" t="s">
        <v>1100</v>
      </c>
      <c r="D21174" s="21" t="s">
        <v>34</v>
      </c>
      <c r="E21174" s="21" t="s">
        <v>71</v>
      </c>
      <c r="F21174">
        <v>13060088</v>
      </c>
      <c r="G21174" t="s">
        <v>15538</v>
      </c>
      <c r="H21174" s="21">
        <v>719.17</v>
      </c>
    </row>
    <row r="21175" spans="1:8" customFormat="1" x14ac:dyDescent="0.25">
      <c r="A21175" t="str">
        <f>"7858792"</f>
        <v>7858792</v>
      </c>
      <c r="B21175" t="s">
        <v>582</v>
      </c>
      <c r="C21175" t="s">
        <v>415</v>
      </c>
      <c r="D21175" s="21" t="s">
        <v>34</v>
      </c>
      <c r="E21175" s="21" t="s">
        <v>35</v>
      </c>
      <c r="F21175">
        <v>8781266</v>
      </c>
      <c r="G21175" t="s">
        <v>26704</v>
      </c>
      <c r="H21175" s="21">
        <v>719.17</v>
      </c>
    </row>
    <row r="21176" spans="1:8" customFormat="1" x14ac:dyDescent="0.25">
      <c r="A21176" t="str">
        <f>"6228158"</f>
        <v>6228158</v>
      </c>
      <c r="B21176" t="s">
        <v>18313</v>
      </c>
      <c r="C21176" t="s">
        <v>2520</v>
      </c>
      <c r="D21176" s="21" t="s">
        <v>34</v>
      </c>
      <c r="E21176" s="21" t="s">
        <v>254</v>
      </c>
      <c r="F21176">
        <v>7620178</v>
      </c>
      <c r="G21176" t="s">
        <v>11090</v>
      </c>
      <c r="H21176" s="21">
        <v>719.17</v>
      </c>
    </row>
    <row r="21177" spans="1:8" customFormat="1" x14ac:dyDescent="0.25">
      <c r="A21177" t="str">
        <f>"6012754"</f>
        <v>6012754</v>
      </c>
      <c r="B21177" t="s">
        <v>15539</v>
      </c>
      <c r="C21177" t="s">
        <v>90</v>
      </c>
      <c r="D21177" s="21" t="s">
        <v>34</v>
      </c>
      <c r="E21177" s="21" t="s">
        <v>35</v>
      </c>
      <c r="F21177">
        <v>7600017</v>
      </c>
      <c r="G21177" t="s">
        <v>8498</v>
      </c>
      <c r="H21177" s="21">
        <v>719.17</v>
      </c>
    </row>
    <row r="21178" spans="1:8" customFormat="1" x14ac:dyDescent="0.25">
      <c r="A21178" t="str">
        <f>"2510315"</f>
        <v>2510315</v>
      </c>
      <c r="B21178" t="s">
        <v>15479</v>
      </c>
      <c r="C21178" t="s">
        <v>124</v>
      </c>
      <c r="D21178" s="21" t="s">
        <v>34</v>
      </c>
      <c r="E21178" s="21" t="s">
        <v>71</v>
      </c>
      <c r="F21178">
        <v>2250125</v>
      </c>
      <c r="G21178" t="s">
        <v>26911</v>
      </c>
      <c r="H21178" s="21">
        <v>719.17</v>
      </c>
    </row>
    <row r="21179" spans="1:8" customFormat="1" x14ac:dyDescent="0.25">
      <c r="A21179" t="str">
        <f>"3521176"</f>
        <v>3521176</v>
      </c>
      <c r="B21179" t="s">
        <v>16711</v>
      </c>
      <c r="C21179" t="s">
        <v>288</v>
      </c>
      <c r="D21179" s="21" t="s">
        <v>34</v>
      </c>
      <c r="E21179" s="21" t="s">
        <v>35</v>
      </c>
      <c r="F21179">
        <v>1380028</v>
      </c>
      <c r="G21179" t="s">
        <v>374</v>
      </c>
      <c r="H21179" s="21">
        <v>719.17</v>
      </c>
    </row>
    <row r="21180" spans="1:8" customFormat="1" x14ac:dyDescent="0.25">
      <c r="A21180" t="str">
        <f>"8516916"</f>
        <v>8516916</v>
      </c>
      <c r="B21180" t="s">
        <v>577</v>
      </c>
      <c r="C21180" t="s">
        <v>415</v>
      </c>
      <c r="D21180" s="21" t="s">
        <v>34</v>
      </c>
      <c r="E21180" s="21" t="s">
        <v>71</v>
      </c>
      <c r="F21180">
        <v>12850031</v>
      </c>
      <c r="G21180" t="s">
        <v>3180</v>
      </c>
      <c r="H21180" s="21">
        <v>719.17</v>
      </c>
    </row>
    <row r="21181" spans="1:8" customFormat="1" x14ac:dyDescent="0.25">
      <c r="A21181" t="str">
        <f>"043115"</f>
        <v>043115</v>
      </c>
      <c r="B21181" t="s">
        <v>17958</v>
      </c>
      <c r="C21181" t="s">
        <v>598</v>
      </c>
      <c r="D21181" s="21" t="s">
        <v>34</v>
      </c>
      <c r="E21181" s="21" t="s">
        <v>71</v>
      </c>
      <c r="F21181">
        <v>13040024</v>
      </c>
      <c r="G21181" t="s">
        <v>5900</v>
      </c>
      <c r="H21181" s="21">
        <v>719.17</v>
      </c>
    </row>
    <row r="21182" spans="1:8" customFormat="1" x14ac:dyDescent="0.25">
      <c r="A21182" t="str">
        <f>"6021002"</f>
        <v>6021002</v>
      </c>
      <c r="B21182" t="s">
        <v>13342</v>
      </c>
      <c r="C21182" t="s">
        <v>388</v>
      </c>
      <c r="D21182" s="21" t="s">
        <v>34</v>
      </c>
      <c r="E21182" s="21" t="s">
        <v>35</v>
      </c>
      <c r="F21182">
        <v>7600146</v>
      </c>
      <c r="G21182" t="s">
        <v>8647</v>
      </c>
      <c r="H21182" s="21">
        <v>719.17</v>
      </c>
    </row>
    <row r="21183" spans="1:8" customFormat="1" x14ac:dyDescent="0.25">
      <c r="A21183" t="str">
        <f>"5412623"</f>
        <v>5412623</v>
      </c>
      <c r="B21183" t="s">
        <v>463</v>
      </c>
      <c r="C21183" t="s">
        <v>415</v>
      </c>
      <c r="D21183" s="21" t="s">
        <v>34</v>
      </c>
      <c r="E21183" s="21" t="s">
        <v>71</v>
      </c>
      <c r="F21183">
        <v>6540184</v>
      </c>
      <c r="G21183" t="s">
        <v>4395</v>
      </c>
      <c r="H21183" s="21">
        <v>719.17</v>
      </c>
    </row>
    <row r="21184" spans="1:8" customFormat="1" x14ac:dyDescent="0.25">
      <c r="A21184" t="str">
        <f>"9110137"</f>
        <v>9110137</v>
      </c>
      <c r="B21184" t="s">
        <v>14336</v>
      </c>
      <c r="C21184" t="s">
        <v>267</v>
      </c>
      <c r="D21184" s="21" t="s">
        <v>34</v>
      </c>
      <c r="E21184" s="21" t="s">
        <v>35</v>
      </c>
      <c r="F21184">
        <v>8911454</v>
      </c>
      <c r="G21184" t="s">
        <v>8016</v>
      </c>
      <c r="H21184" s="21">
        <v>719.17</v>
      </c>
    </row>
    <row r="21185" spans="1:8" customFormat="1" x14ac:dyDescent="0.25">
      <c r="A21185" t="str">
        <f>"6230034"</f>
        <v>6230034</v>
      </c>
      <c r="B21185" t="s">
        <v>17548</v>
      </c>
      <c r="C21185" t="s">
        <v>275</v>
      </c>
      <c r="D21185" s="21" t="s">
        <v>34</v>
      </c>
      <c r="E21185" s="21" t="s">
        <v>35</v>
      </c>
      <c r="F21185">
        <v>7620108</v>
      </c>
      <c r="G21185" t="s">
        <v>3035</v>
      </c>
      <c r="H21185" s="21">
        <v>719.17</v>
      </c>
    </row>
    <row r="21186" spans="1:8" customFormat="1" x14ac:dyDescent="0.25">
      <c r="A21186" t="str">
        <f>"569110"</f>
        <v>569110</v>
      </c>
      <c r="B21186" t="s">
        <v>16773</v>
      </c>
      <c r="C21186" t="s">
        <v>90</v>
      </c>
      <c r="D21186" s="21" t="s">
        <v>34</v>
      </c>
      <c r="E21186" s="21" t="s">
        <v>35</v>
      </c>
      <c r="F21186">
        <v>3220011</v>
      </c>
      <c r="G21186" t="s">
        <v>27394</v>
      </c>
      <c r="H21186" s="21">
        <v>719.17</v>
      </c>
    </row>
    <row r="21187" spans="1:8" customFormat="1" x14ac:dyDescent="0.25">
      <c r="A21187" t="str">
        <f>"6023754"</f>
        <v>6023754</v>
      </c>
      <c r="B21187" t="s">
        <v>21912</v>
      </c>
      <c r="C21187" t="s">
        <v>328</v>
      </c>
      <c r="D21187" s="21" t="s">
        <v>34</v>
      </c>
      <c r="E21187" s="21" t="s">
        <v>35</v>
      </c>
      <c r="F21187">
        <v>7600167</v>
      </c>
      <c r="G21187" t="s">
        <v>12431</v>
      </c>
      <c r="H21187" s="21">
        <v>719.17</v>
      </c>
    </row>
    <row r="21188" spans="1:8" customFormat="1" x14ac:dyDescent="0.25">
      <c r="A21188" t="str">
        <f>"1611748"</f>
        <v>1611748</v>
      </c>
      <c r="B21188" t="s">
        <v>16755</v>
      </c>
      <c r="C21188" t="s">
        <v>453</v>
      </c>
      <c r="D21188" s="21" t="s">
        <v>34</v>
      </c>
      <c r="E21188" s="21" t="s">
        <v>71</v>
      </c>
      <c r="F21188">
        <v>10160186</v>
      </c>
      <c r="G21188" t="s">
        <v>4819</v>
      </c>
      <c r="H21188" s="21">
        <v>719.17</v>
      </c>
    </row>
    <row r="21189" spans="1:8" customFormat="1" x14ac:dyDescent="0.25">
      <c r="A21189" t="str">
        <f>"7220667"</f>
        <v>7220667</v>
      </c>
      <c r="B21189" t="s">
        <v>18015</v>
      </c>
      <c r="C21189" t="s">
        <v>5232</v>
      </c>
      <c r="D21189" s="21" t="s">
        <v>34</v>
      </c>
      <c r="E21189" s="21" t="s">
        <v>254</v>
      </c>
      <c r="F21189">
        <v>12720056</v>
      </c>
      <c r="G21189" t="s">
        <v>9231</v>
      </c>
      <c r="H21189" s="21">
        <v>719.04</v>
      </c>
    </row>
    <row r="21190" spans="1:8" customFormat="1" x14ac:dyDescent="0.25">
      <c r="A21190" t="str">
        <f>"034564"</f>
        <v>034564</v>
      </c>
      <c r="B21190" t="s">
        <v>3413</v>
      </c>
      <c r="C21190" t="s">
        <v>87</v>
      </c>
      <c r="D21190" s="21" t="s">
        <v>34</v>
      </c>
      <c r="E21190" s="21" t="s">
        <v>71</v>
      </c>
      <c r="F21190">
        <v>10330010</v>
      </c>
      <c r="G21190" t="s">
        <v>2831</v>
      </c>
      <c r="H21190" s="21">
        <v>719.04</v>
      </c>
    </row>
    <row r="21191" spans="1:8" customFormat="1" x14ac:dyDescent="0.25">
      <c r="A21191" t="str">
        <f>"351717"</f>
        <v>351717</v>
      </c>
      <c r="B21191" t="s">
        <v>16673</v>
      </c>
      <c r="C21191" t="s">
        <v>33</v>
      </c>
      <c r="D21191" s="21" t="s">
        <v>34</v>
      </c>
      <c r="E21191" s="21" t="s">
        <v>71</v>
      </c>
      <c r="F21191">
        <v>3350027</v>
      </c>
      <c r="G21191" t="s">
        <v>2760</v>
      </c>
      <c r="H21191" s="21">
        <v>718.92</v>
      </c>
    </row>
    <row r="21192" spans="1:8" customFormat="1" x14ac:dyDescent="0.25">
      <c r="A21192" t="str">
        <f>"823205"</f>
        <v>823205</v>
      </c>
      <c r="B21192" t="s">
        <v>27644</v>
      </c>
      <c r="C21192" t="s">
        <v>598</v>
      </c>
      <c r="D21192" s="21" t="s">
        <v>34</v>
      </c>
      <c r="E21192" s="21" t="s">
        <v>71</v>
      </c>
      <c r="F21192">
        <v>11820007</v>
      </c>
      <c r="G21192" t="s">
        <v>532</v>
      </c>
      <c r="H21192" s="21">
        <v>718.92</v>
      </c>
    </row>
    <row r="21193" spans="1:8" customFormat="1" x14ac:dyDescent="0.25">
      <c r="A21193" t="str">
        <f>"419427"</f>
        <v>419427</v>
      </c>
      <c r="B21193" t="s">
        <v>7844</v>
      </c>
      <c r="C21193" t="s">
        <v>124</v>
      </c>
      <c r="D21193" s="21" t="s">
        <v>34</v>
      </c>
      <c r="E21193" s="21" t="s">
        <v>71</v>
      </c>
      <c r="F21193">
        <v>4410636</v>
      </c>
      <c r="G21193" t="s">
        <v>8111</v>
      </c>
      <c r="H21193" s="21">
        <v>718.92</v>
      </c>
    </row>
    <row r="21194" spans="1:8" customFormat="1" x14ac:dyDescent="0.25">
      <c r="A21194" t="str">
        <f>"122985"</f>
        <v>122985</v>
      </c>
      <c r="B21194" t="s">
        <v>4723</v>
      </c>
      <c r="C21194" t="s">
        <v>124</v>
      </c>
      <c r="D21194" s="21" t="s">
        <v>34</v>
      </c>
      <c r="E21194" s="21" t="s">
        <v>71</v>
      </c>
      <c r="F21194">
        <v>11120024</v>
      </c>
      <c r="G21194" t="s">
        <v>12259</v>
      </c>
      <c r="H21194" s="21">
        <v>718.88</v>
      </c>
    </row>
    <row r="21195" spans="1:8" customFormat="1" x14ac:dyDescent="0.25">
      <c r="A21195" t="str">
        <f>"7825001"</f>
        <v>7825001</v>
      </c>
      <c r="B21195" t="s">
        <v>15909</v>
      </c>
      <c r="C21195" t="s">
        <v>40</v>
      </c>
      <c r="D21195" s="21" t="s">
        <v>34</v>
      </c>
      <c r="E21195" s="21" t="s">
        <v>254</v>
      </c>
      <c r="F21195">
        <v>8781176</v>
      </c>
      <c r="G21195" t="s">
        <v>3659</v>
      </c>
      <c r="H21195" s="21">
        <v>718.79</v>
      </c>
    </row>
    <row r="21196" spans="1:8" customFormat="1" x14ac:dyDescent="0.25">
      <c r="A21196" t="str">
        <f>"4929210"</f>
        <v>4929210</v>
      </c>
      <c r="B21196" t="s">
        <v>10609</v>
      </c>
      <c r="C21196" t="s">
        <v>239</v>
      </c>
      <c r="D21196" s="21" t="s">
        <v>34</v>
      </c>
      <c r="E21196" s="21" t="s">
        <v>35</v>
      </c>
      <c r="F21196">
        <v>12490127</v>
      </c>
      <c r="G21196" t="s">
        <v>4034</v>
      </c>
      <c r="H21196" s="21">
        <v>718.67</v>
      </c>
    </row>
    <row r="21197" spans="1:8" customFormat="1" x14ac:dyDescent="0.25">
      <c r="A21197" t="str">
        <f>"5011498"</f>
        <v>5011498</v>
      </c>
      <c r="B21197" t="s">
        <v>2656</v>
      </c>
      <c r="C21197" t="s">
        <v>263</v>
      </c>
      <c r="D21197" s="21" t="s">
        <v>34</v>
      </c>
      <c r="E21197" s="21" t="s">
        <v>71</v>
      </c>
      <c r="F21197">
        <v>9500088</v>
      </c>
      <c r="G21197" t="s">
        <v>15949</v>
      </c>
      <c r="H21197" s="21">
        <v>718.67</v>
      </c>
    </row>
    <row r="21198" spans="1:8" customFormat="1" x14ac:dyDescent="0.25">
      <c r="A21198" t="str">
        <f>"171570"</f>
        <v>171570</v>
      </c>
      <c r="B21198" t="s">
        <v>1908</v>
      </c>
      <c r="C21198" t="s">
        <v>267</v>
      </c>
      <c r="D21198" s="21" t="s">
        <v>34</v>
      </c>
      <c r="E21198" s="21" t="s">
        <v>254</v>
      </c>
      <c r="F21198">
        <v>10170034</v>
      </c>
      <c r="G21198" t="s">
        <v>17256</v>
      </c>
      <c r="H21198" s="21">
        <v>718.67</v>
      </c>
    </row>
    <row r="21199" spans="1:8" customFormat="1" x14ac:dyDescent="0.25">
      <c r="A21199" t="str">
        <f>"7213909"</f>
        <v>7213909</v>
      </c>
      <c r="B21199" t="s">
        <v>16466</v>
      </c>
      <c r="C21199" t="s">
        <v>209</v>
      </c>
      <c r="D21199" s="21" t="s">
        <v>34</v>
      </c>
      <c r="E21199" s="21" t="s">
        <v>71</v>
      </c>
      <c r="F21199">
        <v>12720144</v>
      </c>
      <c r="G21199" t="s">
        <v>15102</v>
      </c>
      <c r="H21199" s="21">
        <v>718.67</v>
      </c>
    </row>
    <row r="21200" spans="1:8" customFormat="1" x14ac:dyDescent="0.25">
      <c r="A21200" t="str">
        <f>"596068"</f>
        <v>596068</v>
      </c>
      <c r="B21200" t="s">
        <v>16923</v>
      </c>
      <c r="C21200" t="s">
        <v>239</v>
      </c>
      <c r="D21200" s="21" t="s">
        <v>34</v>
      </c>
      <c r="E21200" s="21" t="s">
        <v>1089</v>
      </c>
      <c r="F21200">
        <v>7590057</v>
      </c>
      <c r="G21200" t="s">
        <v>7575</v>
      </c>
      <c r="H21200" s="21">
        <v>718.67</v>
      </c>
    </row>
    <row r="21201" spans="1:8" customFormat="1" x14ac:dyDescent="0.25">
      <c r="A21201" t="str">
        <f>"5410795"</f>
        <v>5410795</v>
      </c>
      <c r="B21201" t="s">
        <v>16251</v>
      </c>
      <c r="C21201" t="s">
        <v>169</v>
      </c>
      <c r="D21201" s="21" t="s">
        <v>34</v>
      </c>
      <c r="E21201" s="21" t="s">
        <v>35</v>
      </c>
      <c r="F21201">
        <v>6540032</v>
      </c>
      <c r="G21201" t="s">
        <v>63</v>
      </c>
      <c r="H21201" s="21">
        <v>718.67</v>
      </c>
    </row>
    <row r="21202" spans="1:8" customFormat="1" x14ac:dyDescent="0.25">
      <c r="A21202" t="str">
        <f>"7727637"</f>
        <v>7727637</v>
      </c>
      <c r="B21202" t="s">
        <v>1614</v>
      </c>
      <c r="C21202" t="s">
        <v>249</v>
      </c>
      <c r="D21202" s="21" t="s">
        <v>34</v>
      </c>
      <c r="E21202" s="21" t="s">
        <v>71</v>
      </c>
      <c r="F21202">
        <v>8770562</v>
      </c>
      <c r="G21202" t="s">
        <v>4847</v>
      </c>
      <c r="H21202" s="21">
        <v>718.67</v>
      </c>
    </row>
    <row r="21203" spans="1:8" customFormat="1" x14ac:dyDescent="0.25">
      <c r="A21203" t="str">
        <f>"6929286"</f>
        <v>6929286</v>
      </c>
      <c r="B21203" t="s">
        <v>15643</v>
      </c>
      <c r="C21203" t="s">
        <v>124</v>
      </c>
      <c r="D21203" s="21" t="s">
        <v>34</v>
      </c>
      <c r="E21203" s="21" t="s">
        <v>71</v>
      </c>
      <c r="F21203">
        <v>1690184</v>
      </c>
      <c r="G21203" t="s">
        <v>4992</v>
      </c>
      <c r="H21203" s="21">
        <v>718.67</v>
      </c>
    </row>
    <row r="21204" spans="1:8" customFormat="1" x14ac:dyDescent="0.25">
      <c r="A21204" t="str">
        <f>"1423113"</f>
        <v>1423113</v>
      </c>
      <c r="B21204" t="s">
        <v>16135</v>
      </c>
      <c r="C21204" t="s">
        <v>3217</v>
      </c>
      <c r="D21204" s="21" t="s">
        <v>34</v>
      </c>
      <c r="E21204" s="21" t="s">
        <v>35</v>
      </c>
      <c r="F21204">
        <v>9140007</v>
      </c>
      <c r="G21204" t="s">
        <v>434</v>
      </c>
      <c r="H21204" s="21">
        <v>718.67</v>
      </c>
    </row>
    <row r="21205" spans="1:8" customFormat="1" x14ac:dyDescent="0.25">
      <c r="A21205" t="str">
        <f>"791680"</f>
        <v>791680</v>
      </c>
      <c r="B21205" t="s">
        <v>9229</v>
      </c>
      <c r="C21205" t="s">
        <v>1199</v>
      </c>
      <c r="D21205" s="21" t="s">
        <v>34</v>
      </c>
      <c r="E21205" s="21" t="s">
        <v>254</v>
      </c>
      <c r="F21205">
        <v>10790045</v>
      </c>
      <c r="G21205" t="s">
        <v>1498</v>
      </c>
      <c r="H21205" s="21">
        <v>718.67</v>
      </c>
    </row>
    <row r="21206" spans="1:8" customFormat="1" x14ac:dyDescent="0.25">
      <c r="A21206" t="str">
        <f>"625377"</f>
        <v>625377</v>
      </c>
      <c r="B21206" t="s">
        <v>7220</v>
      </c>
      <c r="C21206" t="s">
        <v>114</v>
      </c>
      <c r="D21206" s="21" t="s">
        <v>34</v>
      </c>
      <c r="E21206" s="21" t="s">
        <v>35</v>
      </c>
      <c r="F21206">
        <v>7620096</v>
      </c>
      <c r="G21206" t="s">
        <v>5829</v>
      </c>
      <c r="H21206" s="21">
        <v>718.67</v>
      </c>
    </row>
    <row r="21207" spans="1:8" customFormat="1" x14ac:dyDescent="0.25">
      <c r="A21207" t="str">
        <f>"7641687"</f>
        <v>7641687</v>
      </c>
      <c r="B21207" t="s">
        <v>17208</v>
      </c>
      <c r="C21207" t="s">
        <v>217</v>
      </c>
      <c r="D21207" s="21" t="s">
        <v>34</v>
      </c>
      <c r="E21207" s="21" t="s">
        <v>35</v>
      </c>
      <c r="F21207">
        <v>9760014</v>
      </c>
      <c r="G21207" t="s">
        <v>1017</v>
      </c>
      <c r="H21207" s="21">
        <v>718.67</v>
      </c>
    </row>
    <row r="21208" spans="1:8" customFormat="1" x14ac:dyDescent="0.25">
      <c r="A21208" t="str">
        <f>"7913762"</f>
        <v>7913762</v>
      </c>
      <c r="B21208" t="s">
        <v>13579</v>
      </c>
      <c r="C21208" t="s">
        <v>174</v>
      </c>
      <c r="D21208" s="21" t="s">
        <v>34</v>
      </c>
      <c r="E21208" s="21" t="s">
        <v>35</v>
      </c>
      <c r="F21208">
        <v>10790003</v>
      </c>
      <c r="G21208" t="s">
        <v>10465</v>
      </c>
      <c r="H21208" s="21">
        <v>718.67</v>
      </c>
    </row>
    <row r="21209" spans="1:8" customFormat="1" x14ac:dyDescent="0.25">
      <c r="A21209" t="str">
        <f>"5318419"</f>
        <v>5318419</v>
      </c>
      <c r="B21209" t="s">
        <v>537</v>
      </c>
      <c r="C21209" t="s">
        <v>209</v>
      </c>
      <c r="D21209" s="21" t="s">
        <v>34</v>
      </c>
      <c r="E21209" s="21" t="s">
        <v>71</v>
      </c>
      <c r="F21209">
        <v>12530022</v>
      </c>
      <c r="G21209" t="s">
        <v>914</v>
      </c>
      <c r="H21209" s="21">
        <v>718.67</v>
      </c>
    </row>
    <row r="21210" spans="1:8" customFormat="1" x14ac:dyDescent="0.25">
      <c r="A21210" t="str">
        <f>"444063"</f>
        <v>444063</v>
      </c>
      <c r="B21210" t="s">
        <v>9345</v>
      </c>
      <c r="C21210" t="s">
        <v>239</v>
      </c>
      <c r="D21210" s="21" t="s">
        <v>34</v>
      </c>
      <c r="E21210" s="21" t="s">
        <v>71</v>
      </c>
      <c r="F21210">
        <v>12440152</v>
      </c>
      <c r="G21210" t="s">
        <v>5481</v>
      </c>
      <c r="H21210" s="21">
        <v>718.67</v>
      </c>
    </row>
    <row r="21211" spans="1:8" customFormat="1" x14ac:dyDescent="0.25">
      <c r="A21211" t="str">
        <f>"594253"</f>
        <v>594253</v>
      </c>
      <c r="B21211" t="s">
        <v>15001</v>
      </c>
      <c r="C21211" t="s">
        <v>4092</v>
      </c>
      <c r="D21211" s="21" t="s">
        <v>34</v>
      </c>
      <c r="E21211" s="21" t="s">
        <v>71</v>
      </c>
      <c r="F21211">
        <v>7590260</v>
      </c>
      <c r="G21211" t="s">
        <v>3043</v>
      </c>
      <c r="H21211" s="21">
        <v>718.67</v>
      </c>
    </row>
    <row r="21212" spans="1:8" customFormat="1" x14ac:dyDescent="0.25">
      <c r="A21212" t="str">
        <f>"4915222"</f>
        <v>4915222</v>
      </c>
      <c r="B21212" t="s">
        <v>11772</v>
      </c>
      <c r="C21212" t="s">
        <v>96</v>
      </c>
      <c r="D21212" s="21" t="s">
        <v>34</v>
      </c>
      <c r="E21212" s="21" t="s">
        <v>254</v>
      </c>
      <c r="F21212">
        <v>12850021</v>
      </c>
      <c r="G21212" t="s">
        <v>4760</v>
      </c>
      <c r="H21212" s="21">
        <v>718.67</v>
      </c>
    </row>
    <row r="21213" spans="1:8" customFormat="1" x14ac:dyDescent="0.25">
      <c r="A21213" t="str">
        <f>"762393"</f>
        <v>762393</v>
      </c>
      <c r="B21213" t="s">
        <v>3634</v>
      </c>
      <c r="C21213" t="s">
        <v>2305</v>
      </c>
      <c r="D21213" s="21" t="s">
        <v>34</v>
      </c>
      <c r="E21213" s="21" t="s">
        <v>254</v>
      </c>
      <c r="F21213">
        <v>9760201</v>
      </c>
      <c r="G21213" t="s">
        <v>11358</v>
      </c>
      <c r="H21213" s="21">
        <v>718.67</v>
      </c>
    </row>
    <row r="21214" spans="1:8" customFormat="1" x14ac:dyDescent="0.25">
      <c r="A21214" t="str">
        <f>"376966"</f>
        <v>376966</v>
      </c>
      <c r="B21214" t="s">
        <v>14774</v>
      </c>
      <c r="C21214" t="s">
        <v>415</v>
      </c>
      <c r="D21214" s="21" t="s">
        <v>34</v>
      </c>
      <c r="E21214" s="21" t="s">
        <v>71</v>
      </c>
      <c r="F21214">
        <v>4370002</v>
      </c>
      <c r="G21214" t="s">
        <v>112</v>
      </c>
      <c r="H21214" s="21">
        <v>718.67</v>
      </c>
    </row>
    <row r="21215" spans="1:8" customFormat="1" x14ac:dyDescent="0.25">
      <c r="A21215" t="str">
        <f>"5016088"</f>
        <v>5016088</v>
      </c>
      <c r="B21215" t="s">
        <v>15435</v>
      </c>
      <c r="C21215" t="s">
        <v>169</v>
      </c>
      <c r="D21215" s="21" t="s">
        <v>34</v>
      </c>
      <c r="E21215" s="21" t="s">
        <v>35</v>
      </c>
      <c r="F21215">
        <v>9500058</v>
      </c>
      <c r="G21215" t="s">
        <v>1585</v>
      </c>
      <c r="H21215" s="21">
        <v>718.67</v>
      </c>
    </row>
    <row r="21216" spans="1:8" customFormat="1" x14ac:dyDescent="0.25">
      <c r="A21216" t="str">
        <f>"3827693"</f>
        <v>3827693</v>
      </c>
      <c r="B21216" t="s">
        <v>16832</v>
      </c>
      <c r="C21216" t="s">
        <v>285</v>
      </c>
      <c r="D21216" s="21" t="s">
        <v>34</v>
      </c>
      <c r="E21216" s="21" t="s">
        <v>71</v>
      </c>
      <c r="F21216">
        <v>1380164</v>
      </c>
      <c r="G21216" t="s">
        <v>2728</v>
      </c>
      <c r="H21216" s="21">
        <v>718.67</v>
      </c>
    </row>
    <row r="21217" spans="1:8" customFormat="1" x14ac:dyDescent="0.25">
      <c r="A21217" t="str">
        <f>"224295"</f>
        <v>224295</v>
      </c>
      <c r="B21217" t="s">
        <v>14675</v>
      </c>
      <c r="C21217" t="s">
        <v>576</v>
      </c>
      <c r="D21217" s="21" t="s">
        <v>34</v>
      </c>
      <c r="E21217" s="21" t="s">
        <v>35</v>
      </c>
      <c r="F21217">
        <v>3220078</v>
      </c>
      <c r="G21217" t="s">
        <v>27356</v>
      </c>
      <c r="H21217" s="21">
        <v>718.67</v>
      </c>
    </row>
    <row r="21218" spans="1:8" customFormat="1" x14ac:dyDescent="0.25">
      <c r="A21218" t="str">
        <f>"4433020"</f>
        <v>4433020</v>
      </c>
      <c r="B21218" t="s">
        <v>6593</v>
      </c>
      <c r="C21218" t="s">
        <v>263</v>
      </c>
      <c r="D21218" s="21" t="s">
        <v>34</v>
      </c>
      <c r="E21218" s="21" t="s">
        <v>35</v>
      </c>
      <c r="F21218">
        <v>12440277</v>
      </c>
      <c r="G21218" t="s">
        <v>10430</v>
      </c>
      <c r="H21218" s="21">
        <v>718.67</v>
      </c>
    </row>
    <row r="21219" spans="1:8" customFormat="1" x14ac:dyDescent="0.25">
      <c r="A21219" t="str">
        <f>"579004"</f>
        <v>579004</v>
      </c>
      <c r="B21219" t="s">
        <v>17418</v>
      </c>
      <c r="C21219" t="s">
        <v>598</v>
      </c>
      <c r="D21219" s="21" t="s">
        <v>34</v>
      </c>
      <c r="E21219" s="21" t="s">
        <v>71</v>
      </c>
      <c r="F21219">
        <v>6570200</v>
      </c>
      <c r="G21219" t="s">
        <v>10682</v>
      </c>
      <c r="H21219" s="21">
        <v>718.67</v>
      </c>
    </row>
    <row r="21220" spans="1:8" customFormat="1" x14ac:dyDescent="0.25">
      <c r="A21220" t="str">
        <f>"443721"</f>
        <v>443721</v>
      </c>
      <c r="B21220" t="s">
        <v>136</v>
      </c>
      <c r="C21220" t="s">
        <v>598</v>
      </c>
      <c r="D21220" s="21" t="s">
        <v>34</v>
      </c>
      <c r="E21220" s="21" t="s">
        <v>1089</v>
      </c>
      <c r="F21220">
        <v>12440139</v>
      </c>
      <c r="G21220" t="s">
        <v>2655</v>
      </c>
      <c r="H21220" s="21">
        <v>718.67</v>
      </c>
    </row>
    <row r="21221" spans="1:8" customFormat="1" x14ac:dyDescent="0.25">
      <c r="A21221" t="str">
        <f>"6023853"</f>
        <v>6023853</v>
      </c>
      <c r="B21221" t="s">
        <v>22100</v>
      </c>
      <c r="C21221" t="s">
        <v>169</v>
      </c>
      <c r="D21221" s="21" t="s">
        <v>34</v>
      </c>
      <c r="E21221" s="21" t="s">
        <v>71</v>
      </c>
      <c r="F21221">
        <v>7600171</v>
      </c>
      <c r="G21221" t="s">
        <v>4705</v>
      </c>
      <c r="H21221" s="21">
        <v>718.67</v>
      </c>
    </row>
    <row r="21222" spans="1:8" customFormat="1" x14ac:dyDescent="0.25">
      <c r="A21222" t="str">
        <f>"9218502"</f>
        <v>9218502</v>
      </c>
      <c r="B21222" t="s">
        <v>3454</v>
      </c>
      <c r="C21222" t="s">
        <v>15865</v>
      </c>
      <c r="D21222" s="21" t="s">
        <v>34</v>
      </c>
      <c r="E21222" s="21" t="s">
        <v>254</v>
      </c>
      <c r="F21222">
        <v>8910544</v>
      </c>
      <c r="G21222" t="s">
        <v>3552</v>
      </c>
      <c r="H21222" s="21">
        <v>718.67</v>
      </c>
    </row>
    <row r="21223" spans="1:8" customFormat="1" x14ac:dyDescent="0.25">
      <c r="A21223" t="str">
        <f>"5955527"</f>
        <v>5955527</v>
      </c>
      <c r="B21223" t="s">
        <v>19512</v>
      </c>
      <c r="C21223" t="s">
        <v>62</v>
      </c>
      <c r="D21223" s="21" t="s">
        <v>34</v>
      </c>
      <c r="E21223" s="21" t="s">
        <v>35</v>
      </c>
      <c r="F21223">
        <v>7590126</v>
      </c>
      <c r="G21223" t="s">
        <v>4749</v>
      </c>
      <c r="H21223" s="21">
        <v>718.42</v>
      </c>
    </row>
    <row r="21224" spans="1:8" customFormat="1" x14ac:dyDescent="0.25">
      <c r="A21224" t="str">
        <f>"7217328"</f>
        <v>7217328</v>
      </c>
      <c r="B21224" t="s">
        <v>1833</v>
      </c>
      <c r="C21224" t="s">
        <v>65</v>
      </c>
      <c r="D21224" s="21" t="s">
        <v>34</v>
      </c>
      <c r="E21224" s="21" t="s">
        <v>35</v>
      </c>
      <c r="F21224">
        <v>12720078</v>
      </c>
      <c r="G21224" t="s">
        <v>5085</v>
      </c>
      <c r="H21224" s="21">
        <v>718.29</v>
      </c>
    </row>
    <row r="21225" spans="1:8" customFormat="1" x14ac:dyDescent="0.25">
      <c r="A21225" t="str">
        <f>"3815552"</f>
        <v>3815552</v>
      </c>
      <c r="B21225" t="s">
        <v>2138</v>
      </c>
      <c r="C21225" t="s">
        <v>169</v>
      </c>
      <c r="D21225" s="21" t="s">
        <v>34</v>
      </c>
      <c r="E21225" s="21" t="s">
        <v>35</v>
      </c>
      <c r="F21225">
        <v>3290047</v>
      </c>
      <c r="G21225" t="s">
        <v>2874</v>
      </c>
      <c r="H21225" s="21">
        <v>718.29</v>
      </c>
    </row>
    <row r="21226" spans="1:8" customFormat="1" x14ac:dyDescent="0.25">
      <c r="A21226" t="str">
        <f>"7513545"</f>
        <v>7513545</v>
      </c>
      <c r="B21226" t="s">
        <v>10689</v>
      </c>
      <c r="C21226" t="s">
        <v>1539</v>
      </c>
      <c r="D21226" s="21" t="s">
        <v>34</v>
      </c>
      <c r="E21226" s="21" t="s">
        <v>71</v>
      </c>
      <c r="F21226">
        <v>8950479</v>
      </c>
      <c r="G21226" t="s">
        <v>728</v>
      </c>
      <c r="H21226" s="21">
        <v>718.29</v>
      </c>
    </row>
    <row r="21227" spans="1:8" customFormat="1" x14ac:dyDescent="0.25">
      <c r="A21227" t="str">
        <f>"3824088"</f>
        <v>3824088</v>
      </c>
      <c r="B21227" t="s">
        <v>2362</v>
      </c>
      <c r="C21227" t="s">
        <v>40</v>
      </c>
      <c r="D21227" s="21" t="s">
        <v>34</v>
      </c>
      <c r="E21227" s="21" t="s">
        <v>71</v>
      </c>
      <c r="F21227">
        <v>1380045</v>
      </c>
      <c r="G21227" t="s">
        <v>2114</v>
      </c>
      <c r="H21227" s="21">
        <v>718.17</v>
      </c>
    </row>
    <row r="21228" spans="1:8" customFormat="1" x14ac:dyDescent="0.25">
      <c r="A21228" t="str">
        <f>"7859331"</f>
        <v>7859331</v>
      </c>
      <c r="B21228" t="s">
        <v>18483</v>
      </c>
      <c r="C21228" t="s">
        <v>119</v>
      </c>
      <c r="D21228" s="21" t="s">
        <v>34</v>
      </c>
      <c r="E21228" s="21" t="s">
        <v>71</v>
      </c>
      <c r="F21228">
        <v>8780108</v>
      </c>
      <c r="G21228" t="s">
        <v>4329</v>
      </c>
      <c r="H21228" s="21">
        <v>718.17</v>
      </c>
    </row>
    <row r="21229" spans="1:8" customFormat="1" x14ac:dyDescent="0.25">
      <c r="A21229" t="str">
        <f>"4919355"</f>
        <v>4919355</v>
      </c>
      <c r="B21229" t="s">
        <v>16785</v>
      </c>
      <c r="C21229" t="s">
        <v>267</v>
      </c>
      <c r="D21229" s="21" t="s">
        <v>34</v>
      </c>
      <c r="E21229" s="21" t="s">
        <v>254</v>
      </c>
      <c r="F21229">
        <v>6670247</v>
      </c>
      <c r="G21229" t="s">
        <v>7594</v>
      </c>
      <c r="H21229" s="21">
        <v>718.17</v>
      </c>
    </row>
    <row r="21230" spans="1:8" customFormat="1" x14ac:dyDescent="0.25">
      <c r="A21230" t="str">
        <f>"015564"</f>
        <v>015564</v>
      </c>
      <c r="B21230" t="s">
        <v>16435</v>
      </c>
      <c r="C21230" t="s">
        <v>493</v>
      </c>
      <c r="D21230" s="21" t="s">
        <v>34</v>
      </c>
      <c r="E21230" s="21" t="s">
        <v>35</v>
      </c>
      <c r="F21230">
        <v>1010060</v>
      </c>
      <c r="G21230" t="s">
        <v>5128</v>
      </c>
      <c r="H21230" s="21">
        <v>718.17</v>
      </c>
    </row>
    <row r="21231" spans="1:8" customFormat="1" x14ac:dyDescent="0.25">
      <c r="A21231" t="str">
        <f>"6942797"</f>
        <v>6942797</v>
      </c>
      <c r="B21231" t="s">
        <v>6418</v>
      </c>
      <c r="C21231" t="s">
        <v>415</v>
      </c>
      <c r="D21231" s="21" t="s">
        <v>34</v>
      </c>
      <c r="E21231" s="21" t="s">
        <v>71</v>
      </c>
      <c r="F21231">
        <v>1690185</v>
      </c>
      <c r="G21231" t="s">
        <v>10841</v>
      </c>
      <c r="H21231" s="21">
        <v>718.17</v>
      </c>
    </row>
    <row r="21232" spans="1:8" customFormat="1" x14ac:dyDescent="0.25">
      <c r="A21232" t="str">
        <f>"6227136"</f>
        <v>6227136</v>
      </c>
      <c r="B21232" t="s">
        <v>7772</v>
      </c>
      <c r="C21232" t="s">
        <v>43</v>
      </c>
      <c r="D21232" s="21" t="s">
        <v>34</v>
      </c>
      <c r="E21232" s="21" t="s">
        <v>35</v>
      </c>
      <c r="F21232">
        <v>7620096</v>
      </c>
      <c r="G21232" t="s">
        <v>5829</v>
      </c>
      <c r="H21232" s="21">
        <v>718.17</v>
      </c>
    </row>
    <row r="21233" spans="1:8" customFormat="1" x14ac:dyDescent="0.25">
      <c r="A21233" t="str">
        <f>"6310254"</f>
        <v>6310254</v>
      </c>
      <c r="B21233" t="s">
        <v>16988</v>
      </c>
      <c r="C21233" t="s">
        <v>1142</v>
      </c>
      <c r="D21233" s="21" t="s">
        <v>34</v>
      </c>
      <c r="E21233" s="21" t="s">
        <v>71</v>
      </c>
      <c r="F21233">
        <v>1630145</v>
      </c>
      <c r="G21233" t="s">
        <v>13804</v>
      </c>
      <c r="H21233" s="21">
        <v>718.17</v>
      </c>
    </row>
    <row r="21234" spans="1:8" customFormat="1" x14ac:dyDescent="0.25">
      <c r="A21234" t="str">
        <f>"855587"</f>
        <v>855587</v>
      </c>
      <c r="B21234" t="s">
        <v>15694</v>
      </c>
      <c r="C21234" t="s">
        <v>4721</v>
      </c>
      <c r="D21234" s="21" t="s">
        <v>34</v>
      </c>
      <c r="E21234" s="21" t="s">
        <v>1089</v>
      </c>
      <c r="F21234">
        <v>12851016</v>
      </c>
      <c r="G21234" t="s">
        <v>1862</v>
      </c>
      <c r="H21234" s="21">
        <v>718.17</v>
      </c>
    </row>
    <row r="21235" spans="1:8" customFormat="1" x14ac:dyDescent="0.25">
      <c r="A21235" t="str">
        <f>"4430058"</f>
        <v>4430058</v>
      </c>
      <c r="B21235" t="s">
        <v>1614</v>
      </c>
      <c r="C21235" t="s">
        <v>209</v>
      </c>
      <c r="D21235" s="21" t="s">
        <v>34</v>
      </c>
      <c r="E21235" s="21" t="s">
        <v>254</v>
      </c>
      <c r="F21235">
        <v>12440020</v>
      </c>
      <c r="G21235" t="s">
        <v>4606</v>
      </c>
      <c r="H21235" s="21">
        <v>718.17</v>
      </c>
    </row>
    <row r="21236" spans="1:8" customFormat="1" x14ac:dyDescent="0.25">
      <c r="A21236" t="str">
        <f>"5620059"</f>
        <v>5620059</v>
      </c>
      <c r="B21236" t="s">
        <v>18108</v>
      </c>
      <c r="C21236" t="s">
        <v>236</v>
      </c>
      <c r="D21236" s="21" t="s">
        <v>34</v>
      </c>
      <c r="E21236" s="21" t="s">
        <v>35</v>
      </c>
      <c r="F21236">
        <v>3560006</v>
      </c>
      <c r="G21236" t="s">
        <v>2708</v>
      </c>
      <c r="H21236" s="21">
        <v>718.17</v>
      </c>
    </row>
    <row r="21237" spans="1:8" customFormat="1" x14ac:dyDescent="0.25">
      <c r="A21237" t="str">
        <f>"9127454"</f>
        <v>9127454</v>
      </c>
      <c r="B21237" t="s">
        <v>970</v>
      </c>
      <c r="C21237" t="s">
        <v>209</v>
      </c>
      <c r="D21237" s="21" t="s">
        <v>34</v>
      </c>
      <c r="E21237" s="21" t="s">
        <v>71</v>
      </c>
      <c r="F21237">
        <v>12440141</v>
      </c>
      <c r="G21237" t="s">
        <v>3234</v>
      </c>
      <c r="H21237" s="21">
        <v>718.17</v>
      </c>
    </row>
    <row r="21238" spans="1:8" customFormat="1" x14ac:dyDescent="0.25">
      <c r="A21238" t="str">
        <f>"2910119"</f>
        <v>2910119</v>
      </c>
      <c r="B21238" t="s">
        <v>16622</v>
      </c>
      <c r="C21238" t="s">
        <v>7952</v>
      </c>
      <c r="D21238" s="21" t="s">
        <v>34</v>
      </c>
      <c r="E21238" s="21" t="s">
        <v>1089</v>
      </c>
      <c r="F21238">
        <v>3290208</v>
      </c>
      <c r="G21238" t="s">
        <v>1553</v>
      </c>
      <c r="H21238" s="21">
        <v>718.17</v>
      </c>
    </row>
    <row r="21239" spans="1:8" customFormat="1" x14ac:dyDescent="0.25">
      <c r="A21239" t="str">
        <f>"607010"</f>
        <v>607010</v>
      </c>
      <c r="B21239" t="s">
        <v>6081</v>
      </c>
      <c r="C21239" t="s">
        <v>469</v>
      </c>
      <c r="D21239" s="21" t="s">
        <v>34</v>
      </c>
      <c r="E21239" s="21" t="s">
        <v>71</v>
      </c>
      <c r="F21239">
        <v>7590215</v>
      </c>
      <c r="G21239" t="s">
        <v>15580</v>
      </c>
      <c r="H21239" s="21">
        <v>718.17</v>
      </c>
    </row>
    <row r="21240" spans="1:8" customFormat="1" x14ac:dyDescent="0.25">
      <c r="A21240" t="str">
        <f>"152670"</f>
        <v>152670</v>
      </c>
      <c r="B21240" t="s">
        <v>18374</v>
      </c>
      <c r="C21240" t="s">
        <v>124</v>
      </c>
      <c r="D21240" s="21" t="s">
        <v>34</v>
      </c>
      <c r="E21240" s="21" t="s">
        <v>35</v>
      </c>
      <c r="F21240">
        <v>4360123</v>
      </c>
      <c r="G21240" t="s">
        <v>4121</v>
      </c>
      <c r="H21240" s="21">
        <v>718.17</v>
      </c>
    </row>
    <row r="21241" spans="1:8" customFormat="1" x14ac:dyDescent="0.25">
      <c r="A21241" t="str">
        <f>"425741"</f>
        <v>425741</v>
      </c>
      <c r="B21241" t="s">
        <v>17980</v>
      </c>
      <c r="C21241" t="s">
        <v>204</v>
      </c>
      <c r="D21241" s="21" t="s">
        <v>34</v>
      </c>
      <c r="E21241" s="21" t="s">
        <v>35</v>
      </c>
      <c r="F21241">
        <v>1420036</v>
      </c>
      <c r="G21241" t="s">
        <v>17218</v>
      </c>
      <c r="H21241" s="21">
        <v>718.17</v>
      </c>
    </row>
    <row r="21242" spans="1:8" customFormat="1" x14ac:dyDescent="0.25">
      <c r="A21242" t="str">
        <f>"5919187"</f>
        <v>5919187</v>
      </c>
      <c r="B21242" t="s">
        <v>12811</v>
      </c>
      <c r="C21242" t="s">
        <v>169</v>
      </c>
      <c r="D21242" s="21" t="s">
        <v>34</v>
      </c>
      <c r="E21242" s="21" t="s">
        <v>71</v>
      </c>
      <c r="F21242">
        <v>6100004</v>
      </c>
      <c r="G21242" t="s">
        <v>496</v>
      </c>
      <c r="H21242" s="21">
        <v>718.04</v>
      </c>
    </row>
    <row r="21243" spans="1:8" customFormat="1" x14ac:dyDescent="0.25">
      <c r="A21243" t="str">
        <f>"3312463"</f>
        <v>3312463</v>
      </c>
      <c r="B21243" t="s">
        <v>15065</v>
      </c>
      <c r="C21243" t="s">
        <v>169</v>
      </c>
      <c r="D21243" s="21" t="s">
        <v>34</v>
      </c>
      <c r="E21243" s="21" t="s">
        <v>71</v>
      </c>
      <c r="F21243">
        <v>10330099</v>
      </c>
      <c r="G21243" t="s">
        <v>10670</v>
      </c>
      <c r="H21243" s="21">
        <v>717.92</v>
      </c>
    </row>
    <row r="21244" spans="1:8" customFormat="1" x14ac:dyDescent="0.25">
      <c r="A21244" t="str">
        <f>"432149"</f>
        <v>432149</v>
      </c>
      <c r="B21244" t="s">
        <v>14928</v>
      </c>
      <c r="C21244" t="s">
        <v>415</v>
      </c>
      <c r="D21244" s="21" t="s">
        <v>34</v>
      </c>
      <c r="E21244" s="21" t="s">
        <v>254</v>
      </c>
      <c r="F21244">
        <v>1420299</v>
      </c>
      <c r="G21244" t="s">
        <v>8013</v>
      </c>
      <c r="H21244" s="21">
        <v>717.79</v>
      </c>
    </row>
    <row r="21245" spans="1:8" customFormat="1" x14ac:dyDescent="0.25">
      <c r="A21245" t="str">
        <f>"061479"</f>
        <v>061479</v>
      </c>
      <c r="B21245" t="s">
        <v>17880</v>
      </c>
      <c r="C21245" t="s">
        <v>236</v>
      </c>
      <c r="D21245" s="21" t="s">
        <v>34</v>
      </c>
      <c r="E21245" s="21" t="s">
        <v>71</v>
      </c>
      <c r="F21245">
        <v>13060005</v>
      </c>
      <c r="G21245" t="s">
        <v>3609</v>
      </c>
      <c r="H21245" s="21">
        <v>717.79</v>
      </c>
    </row>
    <row r="21246" spans="1:8" customFormat="1" x14ac:dyDescent="0.25">
      <c r="A21246" t="str">
        <f>"89655"</f>
        <v>89655</v>
      </c>
      <c r="B21246" t="s">
        <v>582</v>
      </c>
      <c r="C21246" t="s">
        <v>263</v>
      </c>
      <c r="D21246" s="21" t="s">
        <v>34</v>
      </c>
      <c r="E21246" s="21" t="s">
        <v>71</v>
      </c>
      <c r="F21246">
        <v>2890005</v>
      </c>
      <c r="G21246" t="s">
        <v>2889</v>
      </c>
      <c r="H21246" s="21">
        <v>717.67</v>
      </c>
    </row>
    <row r="21247" spans="1:8" customFormat="1" x14ac:dyDescent="0.25">
      <c r="A21247" t="str">
        <f>"674794"</f>
        <v>674794</v>
      </c>
      <c r="B21247" t="s">
        <v>18082</v>
      </c>
      <c r="C21247" t="s">
        <v>239</v>
      </c>
      <c r="D21247" s="21" t="s">
        <v>34</v>
      </c>
      <c r="E21247" s="21" t="s">
        <v>71</v>
      </c>
      <c r="F21247">
        <v>6670178</v>
      </c>
      <c r="G21247" t="s">
        <v>10001</v>
      </c>
      <c r="H21247" s="21">
        <v>717.67</v>
      </c>
    </row>
    <row r="21248" spans="1:8" customFormat="1" x14ac:dyDescent="0.25">
      <c r="A21248" t="str">
        <f>"674084"</f>
        <v>674084</v>
      </c>
      <c r="B21248" t="s">
        <v>16827</v>
      </c>
      <c r="C21248" t="s">
        <v>3073</v>
      </c>
      <c r="D21248" s="21" t="s">
        <v>34</v>
      </c>
      <c r="E21248" s="21" t="s">
        <v>1089</v>
      </c>
      <c r="F21248">
        <v>6670129</v>
      </c>
      <c r="G21248" t="s">
        <v>12249</v>
      </c>
      <c r="H21248" s="21">
        <v>717.67</v>
      </c>
    </row>
    <row r="21249" spans="1:8" customFormat="1" x14ac:dyDescent="0.25">
      <c r="A21249" t="str">
        <f>"6315150"</f>
        <v>6315150</v>
      </c>
      <c r="B21249" t="s">
        <v>17271</v>
      </c>
      <c r="C21249" t="s">
        <v>62</v>
      </c>
      <c r="D21249" s="21" t="s">
        <v>34</v>
      </c>
      <c r="E21249" s="21" t="s">
        <v>35</v>
      </c>
      <c r="F21249">
        <v>1630015</v>
      </c>
      <c r="G21249" t="s">
        <v>2097</v>
      </c>
      <c r="H21249" s="21">
        <v>717.67</v>
      </c>
    </row>
    <row r="21250" spans="1:8" customFormat="1" x14ac:dyDescent="0.25">
      <c r="A21250" t="str">
        <f>"336474"</f>
        <v>336474</v>
      </c>
      <c r="B21250" t="s">
        <v>27645</v>
      </c>
      <c r="C21250" t="s">
        <v>60</v>
      </c>
      <c r="D21250" s="21" t="s">
        <v>34</v>
      </c>
      <c r="E21250" s="21" t="s">
        <v>35</v>
      </c>
      <c r="F21250">
        <v>10330010</v>
      </c>
      <c r="G21250" t="s">
        <v>2831</v>
      </c>
      <c r="H21250" s="21">
        <v>717.67</v>
      </c>
    </row>
    <row r="21251" spans="1:8" customFormat="1" x14ac:dyDescent="0.25">
      <c r="A21251" t="str">
        <f>"2512552"</f>
        <v>2512552</v>
      </c>
      <c r="B21251" t="s">
        <v>6729</v>
      </c>
      <c r="C21251" t="s">
        <v>87</v>
      </c>
      <c r="D21251" s="21" t="s">
        <v>34</v>
      </c>
      <c r="E21251" s="21" t="s">
        <v>71</v>
      </c>
      <c r="F21251">
        <v>1010071</v>
      </c>
      <c r="G21251" t="s">
        <v>8104</v>
      </c>
      <c r="H21251" s="21">
        <v>717.67</v>
      </c>
    </row>
    <row r="21252" spans="1:8" customFormat="1" x14ac:dyDescent="0.25">
      <c r="A21252" t="str">
        <f>"6214798"</f>
        <v>6214798</v>
      </c>
      <c r="B21252" t="s">
        <v>17659</v>
      </c>
      <c r="C21252" t="s">
        <v>65</v>
      </c>
      <c r="D21252" s="21" t="s">
        <v>34</v>
      </c>
      <c r="E21252" s="21" t="s">
        <v>35</v>
      </c>
      <c r="F21252">
        <v>7620183</v>
      </c>
      <c r="G21252" t="s">
        <v>8030</v>
      </c>
      <c r="H21252" s="21">
        <v>717.67</v>
      </c>
    </row>
    <row r="21253" spans="1:8" customFormat="1" x14ac:dyDescent="0.25">
      <c r="A21253" t="str">
        <f>"662170"</f>
        <v>662170</v>
      </c>
      <c r="B21253" t="s">
        <v>8566</v>
      </c>
      <c r="C21253" t="s">
        <v>336</v>
      </c>
      <c r="D21253" s="21" t="s">
        <v>34</v>
      </c>
      <c r="E21253" s="21" t="s">
        <v>254</v>
      </c>
      <c r="F21253">
        <v>11660009</v>
      </c>
      <c r="G21253" t="s">
        <v>26624</v>
      </c>
      <c r="H21253" s="21">
        <v>717.67</v>
      </c>
    </row>
    <row r="21254" spans="1:8" customFormat="1" x14ac:dyDescent="0.25">
      <c r="A21254" t="str">
        <f>"504777"</f>
        <v>504777</v>
      </c>
      <c r="B21254" t="s">
        <v>17276</v>
      </c>
      <c r="C21254" t="s">
        <v>239</v>
      </c>
      <c r="D21254" s="21" t="s">
        <v>34</v>
      </c>
      <c r="E21254" s="21" t="s">
        <v>254</v>
      </c>
      <c r="F21254">
        <v>9500132</v>
      </c>
      <c r="G21254" t="s">
        <v>11167</v>
      </c>
      <c r="H21254" s="21">
        <v>717.67</v>
      </c>
    </row>
    <row r="21255" spans="1:8" customFormat="1" x14ac:dyDescent="0.25">
      <c r="A21255" t="str">
        <f>"9144311"</f>
        <v>9144311</v>
      </c>
      <c r="B21255" t="s">
        <v>10929</v>
      </c>
      <c r="C21255" t="s">
        <v>246</v>
      </c>
      <c r="D21255" s="21" t="s">
        <v>34</v>
      </c>
      <c r="E21255" s="21" t="s">
        <v>254</v>
      </c>
      <c r="F21255">
        <v>8911439</v>
      </c>
      <c r="G21255" t="s">
        <v>3953</v>
      </c>
      <c r="H21255" s="21">
        <v>717.67</v>
      </c>
    </row>
    <row r="21256" spans="1:8" customFormat="1" x14ac:dyDescent="0.25">
      <c r="A21256" t="str">
        <f>"7222923"</f>
        <v>7222923</v>
      </c>
      <c r="B21256" t="s">
        <v>27646</v>
      </c>
      <c r="C21256" t="s">
        <v>33</v>
      </c>
      <c r="D21256" s="21" t="s">
        <v>34</v>
      </c>
      <c r="E21256" s="21" t="s">
        <v>35</v>
      </c>
      <c r="F21256">
        <v>12720141</v>
      </c>
      <c r="G21256" t="s">
        <v>12632</v>
      </c>
      <c r="H21256" s="21">
        <v>717.67</v>
      </c>
    </row>
    <row r="21257" spans="1:8" customFormat="1" x14ac:dyDescent="0.25">
      <c r="A21257" t="str">
        <f>"7917126"</f>
        <v>7917126</v>
      </c>
      <c r="B21257" t="s">
        <v>16094</v>
      </c>
      <c r="C21257" t="s">
        <v>415</v>
      </c>
      <c r="D21257" s="21" t="s">
        <v>34</v>
      </c>
      <c r="E21257" s="21" t="s">
        <v>1089</v>
      </c>
      <c r="F21257">
        <v>10790235</v>
      </c>
      <c r="G21257" t="s">
        <v>413</v>
      </c>
      <c r="H21257" s="21">
        <v>717.67</v>
      </c>
    </row>
    <row r="21258" spans="1:8" customFormat="1" x14ac:dyDescent="0.25">
      <c r="A21258" t="str">
        <f>"793871"</f>
        <v>793871</v>
      </c>
      <c r="B21258" t="s">
        <v>17608</v>
      </c>
      <c r="C21258" t="s">
        <v>40</v>
      </c>
      <c r="D21258" s="21" t="s">
        <v>34</v>
      </c>
      <c r="E21258" s="21" t="s">
        <v>71</v>
      </c>
      <c r="F21258">
        <v>10790186</v>
      </c>
      <c r="G21258" t="s">
        <v>16305</v>
      </c>
      <c r="H21258" s="21">
        <v>717.67</v>
      </c>
    </row>
    <row r="21259" spans="1:8" customFormat="1" x14ac:dyDescent="0.25">
      <c r="A21259" t="str">
        <f>"4936541"</f>
        <v>4936541</v>
      </c>
      <c r="B21259" t="s">
        <v>17897</v>
      </c>
      <c r="C21259" t="s">
        <v>17898</v>
      </c>
      <c r="D21259" s="21" t="s">
        <v>34</v>
      </c>
      <c r="E21259" s="21" t="s">
        <v>35</v>
      </c>
      <c r="F21259">
        <v>12490061</v>
      </c>
      <c r="G21259" t="s">
        <v>969</v>
      </c>
      <c r="H21259" s="21">
        <v>717.67</v>
      </c>
    </row>
    <row r="21260" spans="1:8" customFormat="1" x14ac:dyDescent="0.25">
      <c r="A21260" t="str">
        <f>"5963525"</f>
        <v>5963525</v>
      </c>
      <c r="B21260" t="s">
        <v>18246</v>
      </c>
      <c r="C21260" t="s">
        <v>109</v>
      </c>
      <c r="D21260" s="21" t="s">
        <v>34</v>
      </c>
      <c r="E21260" s="21" t="s">
        <v>35</v>
      </c>
      <c r="F21260">
        <v>7590413</v>
      </c>
      <c r="G21260" t="s">
        <v>6848</v>
      </c>
      <c r="H21260" s="21">
        <v>717.67</v>
      </c>
    </row>
    <row r="21261" spans="1:8" customFormat="1" x14ac:dyDescent="0.25">
      <c r="A21261" t="str">
        <f>"4410750"</f>
        <v>4410750</v>
      </c>
      <c r="B21261" t="s">
        <v>16048</v>
      </c>
      <c r="C21261" t="s">
        <v>90</v>
      </c>
      <c r="D21261" s="21" t="s">
        <v>34</v>
      </c>
      <c r="E21261" s="21" t="s">
        <v>35</v>
      </c>
      <c r="F21261">
        <v>12851025</v>
      </c>
      <c r="G21261" t="s">
        <v>26858</v>
      </c>
      <c r="H21261" s="21">
        <v>717.67</v>
      </c>
    </row>
    <row r="21262" spans="1:8" customFormat="1" x14ac:dyDescent="0.25">
      <c r="A21262" t="str">
        <f>"6710332"</f>
        <v>6710332</v>
      </c>
      <c r="B21262" t="s">
        <v>27647</v>
      </c>
      <c r="C21262" t="s">
        <v>10114</v>
      </c>
      <c r="D21262" s="21" t="s">
        <v>34</v>
      </c>
      <c r="E21262" s="21" t="s">
        <v>71</v>
      </c>
      <c r="F21262">
        <v>6670195</v>
      </c>
      <c r="G21262" t="s">
        <v>3974</v>
      </c>
      <c r="H21262" s="21">
        <v>717.67</v>
      </c>
    </row>
    <row r="21263" spans="1:8" customFormat="1" x14ac:dyDescent="0.25">
      <c r="A21263" t="str">
        <f>"591433"</f>
        <v>591433</v>
      </c>
      <c r="B21263" t="s">
        <v>16274</v>
      </c>
      <c r="C21263" t="s">
        <v>1110</v>
      </c>
      <c r="D21263" s="21" t="s">
        <v>34</v>
      </c>
      <c r="E21263" s="21" t="s">
        <v>1089</v>
      </c>
      <c r="F21263">
        <v>7590345</v>
      </c>
      <c r="G21263" t="s">
        <v>3297</v>
      </c>
      <c r="H21263" s="21">
        <v>717.67</v>
      </c>
    </row>
    <row r="21264" spans="1:8" customFormat="1" x14ac:dyDescent="0.25">
      <c r="A21264" t="str">
        <f>"1422622"</f>
        <v>1422622</v>
      </c>
      <c r="B21264" t="s">
        <v>14959</v>
      </c>
      <c r="C21264" t="s">
        <v>119</v>
      </c>
      <c r="D21264" s="21" t="s">
        <v>34</v>
      </c>
      <c r="E21264" s="21" t="s">
        <v>71</v>
      </c>
      <c r="F21264">
        <v>9140054</v>
      </c>
      <c r="G21264" t="s">
        <v>3300</v>
      </c>
      <c r="H21264" s="21">
        <v>717.67</v>
      </c>
    </row>
    <row r="21265" spans="1:8" customFormat="1" x14ac:dyDescent="0.25">
      <c r="A21265" t="str">
        <f>"7630755"</f>
        <v>7630755</v>
      </c>
      <c r="B21265" t="s">
        <v>13470</v>
      </c>
      <c r="C21265" t="s">
        <v>55</v>
      </c>
      <c r="D21265" s="21" t="s">
        <v>34</v>
      </c>
      <c r="E21265" s="21" t="s">
        <v>71</v>
      </c>
      <c r="F21265">
        <v>9760391</v>
      </c>
      <c r="G21265" t="s">
        <v>10757</v>
      </c>
      <c r="H21265" s="21">
        <v>717.67</v>
      </c>
    </row>
    <row r="21266" spans="1:8" customFormat="1" x14ac:dyDescent="0.25">
      <c r="A21266" t="str">
        <f>"7217203"</f>
        <v>7217203</v>
      </c>
      <c r="B21266" t="s">
        <v>10516</v>
      </c>
      <c r="C21266" t="s">
        <v>119</v>
      </c>
      <c r="D21266" s="21" t="s">
        <v>34</v>
      </c>
      <c r="E21266" s="21" t="s">
        <v>35</v>
      </c>
      <c r="F21266">
        <v>12720143</v>
      </c>
      <c r="G21266" t="s">
        <v>3881</v>
      </c>
      <c r="H21266" s="21">
        <v>717.67</v>
      </c>
    </row>
    <row r="21267" spans="1:8" customFormat="1" x14ac:dyDescent="0.25">
      <c r="A21267" t="str">
        <f>"4426181"</f>
        <v>4426181</v>
      </c>
      <c r="B21267" t="s">
        <v>5146</v>
      </c>
      <c r="C21267" t="s">
        <v>202</v>
      </c>
      <c r="D21267" s="21" t="s">
        <v>34</v>
      </c>
      <c r="E21267" s="21" t="s">
        <v>1089</v>
      </c>
      <c r="F21267">
        <v>12440129</v>
      </c>
      <c r="G21267" t="s">
        <v>11755</v>
      </c>
      <c r="H21267" s="21">
        <v>717.67</v>
      </c>
    </row>
    <row r="21268" spans="1:8" customFormat="1" x14ac:dyDescent="0.25">
      <c r="A21268" t="str">
        <f>"7628887"</f>
        <v>7628887</v>
      </c>
      <c r="B21268" t="s">
        <v>17347</v>
      </c>
      <c r="C21268" t="s">
        <v>2384</v>
      </c>
      <c r="D21268" s="21" t="s">
        <v>34</v>
      </c>
      <c r="E21268" s="21" t="s">
        <v>71</v>
      </c>
      <c r="F21268">
        <v>9760069</v>
      </c>
      <c r="G21268" t="s">
        <v>13196</v>
      </c>
      <c r="H21268" s="21">
        <v>717.67</v>
      </c>
    </row>
    <row r="21269" spans="1:8" customFormat="1" x14ac:dyDescent="0.25">
      <c r="A21269" t="str">
        <f>"444430"</f>
        <v>444430</v>
      </c>
      <c r="B21269" t="s">
        <v>8854</v>
      </c>
      <c r="C21269" t="s">
        <v>1110</v>
      </c>
      <c r="D21269" s="21" t="s">
        <v>34</v>
      </c>
      <c r="E21269" s="21" t="s">
        <v>254</v>
      </c>
      <c r="F21269">
        <v>12440266</v>
      </c>
      <c r="G21269" t="s">
        <v>924</v>
      </c>
      <c r="H21269" s="21">
        <v>717.5</v>
      </c>
    </row>
    <row r="21270" spans="1:8" customFormat="1" x14ac:dyDescent="0.25">
      <c r="A21270" t="str">
        <f>"9442640"</f>
        <v>9442640</v>
      </c>
      <c r="B21270" t="s">
        <v>16492</v>
      </c>
      <c r="C21270" t="s">
        <v>2479</v>
      </c>
      <c r="D21270" s="21" t="s">
        <v>34</v>
      </c>
      <c r="E21270" s="21" t="s">
        <v>71</v>
      </c>
      <c r="F21270">
        <v>12440049</v>
      </c>
      <c r="G21270" t="s">
        <v>3339</v>
      </c>
      <c r="H21270" s="21">
        <v>717.42</v>
      </c>
    </row>
    <row r="21271" spans="1:8" customFormat="1" x14ac:dyDescent="0.25">
      <c r="A21271" t="str">
        <f>"445994"</f>
        <v>445994</v>
      </c>
      <c r="B21271" t="s">
        <v>15918</v>
      </c>
      <c r="C21271" t="s">
        <v>114</v>
      </c>
      <c r="D21271" s="21" t="s">
        <v>34</v>
      </c>
      <c r="E21271" s="21" t="s">
        <v>71</v>
      </c>
      <c r="F21271">
        <v>12440160</v>
      </c>
      <c r="G21271" t="s">
        <v>6939</v>
      </c>
      <c r="H21271" s="21">
        <v>717.42</v>
      </c>
    </row>
    <row r="21272" spans="1:8" customFormat="1" x14ac:dyDescent="0.25">
      <c r="A21272" t="str">
        <f>"8810527"</f>
        <v>8810527</v>
      </c>
      <c r="B21272" t="s">
        <v>16524</v>
      </c>
      <c r="C21272" t="s">
        <v>236</v>
      </c>
      <c r="D21272" s="21" t="s">
        <v>34</v>
      </c>
      <c r="E21272" s="21" t="s">
        <v>35</v>
      </c>
      <c r="F21272">
        <v>6880140</v>
      </c>
      <c r="G21272" t="s">
        <v>4827</v>
      </c>
      <c r="H21272" s="21">
        <v>717.42</v>
      </c>
    </row>
    <row r="21273" spans="1:8" customFormat="1" x14ac:dyDescent="0.25">
      <c r="A21273" t="str">
        <f>"587502"</f>
        <v>587502</v>
      </c>
      <c r="B21273" t="s">
        <v>14706</v>
      </c>
      <c r="C21273" t="s">
        <v>275</v>
      </c>
      <c r="D21273" s="21" t="s">
        <v>34</v>
      </c>
      <c r="E21273" s="21" t="s">
        <v>35</v>
      </c>
      <c r="F21273">
        <v>2580093</v>
      </c>
      <c r="G21273" t="s">
        <v>9104</v>
      </c>
      <c r="H21273" s="21">
        <v>717.42</v>
      </c>
    </row>
    <row r="21274" spans="1:8" customFormat="1" x14ac:dyDescent="0.25">
      <c r="A21274" t="str">
        <f>"2514356"</f>
        <v>2514356</v>
      </c>
      <c r="B21274" t="s">
        <v>16267</v>
      </c>
      <c r="C21274" t="s">
        <v>239</v>
      </c>
      <c r="D21274" s="21" t="s">
        <v>34</v>
      </c>
      <c r="E21274" s="21" t="s">
        <v>71</v>
      </c>
      <c r="F21274">
        <v>2250024</v>
      </c>
      <c r="G21274" t="s">
        <v>751</v>
      </c>
      <c r="H21274" s="21">
        <v>717.42</v>
      </c>
    </row>
    <row r="21275" spans="1:8" customFormat="1" x14ac:dyDescent="0.25">
      <c r="A21275" t="str">
        <f>"6021622"</f>
        <v>6021622</v>
      </c>
      <c r="B21275" t="s">
        <v>4944</v>
      </c>
      <c r="C21275" t="s">
        <v>43</v>
      </c>
      <c r="D21275" s="21" t="s">
        <v>34</v>
      </c>
      <c r="E21275" s="21" t="s">
        <v>35</v>
      </c>
      <c r="F21275">
        <v>7600024</v>
      </c>
      <c r="G21275" t="s">
        <v>1234</v>
      </c>
      <c r="H21275" s="21">
        <v>717.29</v>
      </c>
    </row>
    <row r="21276" spans="1:8" customFormat="1" x14ac:dyDescent="0.25">
      <c r="A21276" t="str">
        <f>"2216883"</f>
        <v>2216883</v>
      </c>
      <c r="B21276" t="s">
        <v>15832</v>
      </c>
      <c r="C21276" t="s">
        <v>1199</v>
      </c>
      <c r="D21276" s="21" t="s">
        <v>34</v>
      </c>
      <c r="E21276" s="21" t="s">
        <v>35</v>
      </c>
      <c r="F21276">
        <v>3220007</v>
      </c>
      <c r="G21276" t="s">
        <v>26946</v>
      </c>
      <c r="H21276" s="21">
        <v>717.29</v>
      </c>
    </row>
    <row r="21277" spans="1:8" customFormat="1" x14ac:dyDescent="0.25">
      <c r="A21277" t="str">
        <f>"554710"</f>
        <v>554710</v>
      </c>
      <c r="B21277" t="s">
        <v>1951</v>
      </c>
      <c r="C21277" t="s">
        <v>388</v>
      </c>
      <c r="D21277" s="21" t="s">
        <v>34</v>
      </c>
      <c r="E21277" s="21" t="s">
        <v>71</v>
      </c>
      <c r="F21277">
        <v>2210059</v>
      </c>
      <c r="G21277" t="s">
        <v>3142</v>
      </c>
      <c r="H21277" s="21">
        <v>717.17</v>
      </c>
    </row>
    <row r="21278" spans="1:8" customFormat="1" x14ac:dyDescent="0.25">
      <c r="A21278" t="str">
        <f>"0211553"</f>
        <v>0211553</v>
      </c>
      <c r="B21278" t="s">
        <v>17439</v>
      </c>
      <c r="C21278" t="s">
        <v>60</v>
      </c>
      <c r="D21278" s="21" t="s">
        <v>34</v>
      </c>
      <c r="E21278" s="21" t="s">
        <v>35</v>
      </c>
      <c r="F21278">
        <v>7020001</v>
      </c>
      <c r="G21278" t="s">
        <v>3854</v>
      </c>
      <c r="H21278" s="21">
        <v>717.17</v>
      </c>
    </row>
    <row r="21279" spans="1:8" customFormat="1" x14ac:dyDescent="0.25">
      <c r="A21279" t="str">
        <f>"8520251"</f>
        <v>8520251</v>
      </c>
      <c r="B21279" t="s">
        <v>16977</v>
      </c>
      <c r="C21279" t="s">
        <v>879</v>
      </c>
      <c r="D21279" s="21" t="s">
        <v>34</v>
      </c>
      <c r="E21279" s="21" t="s">
        <v>71</v>
      </c>
      <c r="F21279">
        <v>12850016</v>
      </c>
      <c r="G21279" t="s">
        <v>26554</v>
      </c>
      <c r="H21279" s="21">
        <v>717.17</v>
      </c>
    </row>
    <row r="21280" spans="1:8" customFormat="1" x14ac:dyDescent="0.25">
      <c r="A21280" t="str">
        <f>"9144724"</f>
        <v>9144724</v>
      </c>
      <c r="B21280" t="s">
        <v>18756</v>
      </c>
      <c r="C21280" t="s">
        <v>236</v>
      </c>
      <c r="D21280" s="21" t="s">
        <v>34</v>
      </c>
      <c r="E21280" s="21" t="s">
        <v>35</v>
      </c>
      <c r="F21280">
        <v>8910918</v>
      </c>
      <c r="G21280" t="s">
        <v>332</v>
      </c>
      <c r="H21280" s="21">
        <v>717.17</v>
      </c>
    </row>
    <row r="21281" spans="1:8" customFormat="1" x14ac:dyDescent="0.25">
      <c r="A21281" t="str">
        <f>"9431500"</f>
        <v>9431500</v>
      </c>
      <c r="B21281" t="s">
        <v>2058</v>
      </c>
      <c r="C21281" t="s">
        <v>139</v>
      </c>
      <c r="D21281" s="21" t="s">
        <v>34</v>
      </c>
      <c r="E21281" s="21" t="s">
        <v>71</v>
      </c>
      <c r="F21281">
        <v>8941282</v>
      </c>
      <c r="G21281" t="s">
        <v>5040</v>
      </c>
      <c r="H21281" s="21">
        <v>717.17</v>
      </c>
    </row>
    <row r="21282" spans="1:8" customFormat="1" x14ac:dyDescent="0.25">
      <c r="A21282" t="str">
        <f>"148147"</f>
        <v>148147</v>
      </c>
      <c r="B21282" t="s">
        <v>4515</v>
      </c>
      <c r="C21282" t="s">
        <v>2546</v>
      </c>
      <c r="D21282" s="21" t="s">
        <v>34</v>
      </c>
      <c r="E21282" s="21" t="s">
        <v>71</v>
      </c>
      <c r="F21282">
        <v>9140115</v>
      </c>
      <c r="G21282" t="s">
        <v>26590</v>
      </c>
      <c r="H21282" s="21">
        <v>717.17</v>
      </c>
    </row>
    <row r="21283" spans="1:8" customFormat="1" x14ac:dyDescent="0.25">
      <c r="A21283" t="str">
        <f>"2513382"</f>
        <v>2513382</v>
      </c>
      <c r="B21283" t="s">
        <v>17516</v>
      </c>
      <c r="C21283" t="s">
        <v>547</v>
      </c>
      <c r="D21283" s="21" t="s">
        <v>34</v>
      </c>
      <c r="E21283" s="21" t="s">
        <v>71</v>
      </c>
      <c r="F21283">
        <v>2250229</v>
      </c>
      <c r="G21283" t="s">
        <v>5004</v>
      </c>
      <c r="H21283" s="21">
        <v>717.17</v>
      </c>
    </row>
    <row r="21284" spans="1:8" customFormat="1" x14ac:dyDescent="0.25">
      <c r="A21284" t="str">
        <f>"89931"</f>
        <v>89931</v>
      </c>
      <c r="B21284" t="s">
        <v>17456</v>
      </c>
      <c r="C21284" t="s">
        <v>249</v>
      </c>
      <c r="D21284" s="21" t="s">
        <v>34</v>
      </c>
      <c r="E21284" s="21" t="s">
        <v>254</v>
      </c>
      <c r="F21284">
        <v>3290081</v>
      </c>
      <c r="G21284" t="s">
        <v>3819</v>
      </c>
      <c r="H21284" s="21">
        <v>717.17</v>
      </c>
    </row>
    <row r="21285" spans="1:8" customFormat="1" x14ac:dyDescent="0.25">
      <c r="A21285" t="str">
        <f>"3816417"</f>
        <v>3816417</v>
      </c>
      <c r="B21285" t="s">
        <v>650</v>
      </c>
      <c r="C21285" t="s">
        <v>263</v>
      </c>
      <c r="D21285" s="21" t="s">
        <v>34</v>
      </c>
      <c r="E21285" s="21" t="s">
        <v>71</v>
      </c>
      <c r="F21285">
        <v>1380273</v>
      </c>
      <c r="G21285" t="s">
        <v>7554</v>
      </c>
      <c r="H21285" s="21">
        <v>717.17</v>
      </c>
    </row>
    <row r="21286" spans="1:8" customFormat="1" x14ac:dyDescent="0.25">
      <c r="A21286" t="str">
        <f>"81499"</f>
        <v>81499</v>
      </c>
      <c r="B21286" t="s">
        <v>16078</v>
      </c>
      <c r="C21286" t="s">
        <v>879</v>
      </c>
      <c r="D21286" s="21" t="s">
        <v>34</v>
      </c>
      <c r="E21286" s="21" t="s">
        <v>254</v>
      </c>
      <c r="F21286">
        <v>11810015</v>
      </c>
      <c r="G21286" t="s">
        <v>9678</v>
      </c>
      <c r="H21286" s="21">
        <v>717.17</v>
      </c>
    </row>
    <row r="21287" spans="1:8" customFormat="1" x14ac:dyDescent="0.25">
      <c r="A21287" t="str">
        <f>"2930268"</f>
        <v>2930268</v>
      </c>
      <c r="B21287" t="s">
        <v>15319</v>
      </c>
      <c r="C21287" t="s">
        <v>379</v>
      </c>
      <c r="D21287" s="21" t="s">
        <v>34</v>
      </c>
      <c r="E21287" s="21" t="s">
        <v>71</v>
      </c>
      <c r="F21287">
        <v>3290003</v>
      </c>
      <c r="G21287" t="s">
        <v>3764</v>
      </c>
      <c r="H21287" s="21">
        <v>717.17</v>
      </c>
    </row>
    <row r="21288" spans="1:8" customFormat="1" x14ac:dyDescent="0.25">
      <c r="A21288" t="str">
        <f>"767389"</f>
        <v>767389</v>
      </c>
      <c r="B21288" t="s">
        <v>8310</v>
      </c>
      <c r="C21288" t="s">
        <v>239</v>
      </c>
      <c r="D21288" s="21" t="s">
        <v>34</v>
      </c>
      <c r="E21288" s="21" t="s">
        <v>1089</v>
      </c>
      <c r="F21288">
        <v>9760382</v>
      </c>
      <c r="G21288" t="s">
        <v>2737</v>
      </c>
      <c r="H21288" s="21">
        <v>717.17</v>
      </c>
    </row>
    <row r="21289" spans="1:8" customFormat="1" x14ac:dyDescent="0.25">
      <c r="A21289" t="str">
        <f>"143253"</f>
        <v>143253</v>
      </c>
      <c r="B21289" t="s">
        <v>4328</v>
      </c>
      <c r="C21289" t="s">
        <v>16869</v>
      </c>
      <c r="D21289" s="21" t="s">
        <v>34</v>
      </c>
      <c r="E21289" s="21" t="s">
        <v>71</v>
      </c>
      <c r="F21289">
        <v>9140127</v>
      </c>
      <c r="G21289" t="s">
        <v>6641</v>
      </c>
      <c r="H21289" s="21">
        <v>717.17</v>
      </c>
    </row>
    <row r="21290" spans="1:8" customFormat="1" x14ac:dyDescent="0.25">
      <c r="A21290" t="str">
        <f>"5616543"</f>
        <v>5616543</v>
      </c>
      <c r="B21290" t="s">
        <v>11374</v>
      </c>
      <c r="C21290" t="s">
        <v>87</v>
      </c>
      <c r="D21290" s="21" t="s">
        <v>34</v>
      </c>
      <c r="E21290" s="21" t="s">
        <v>71</v>
      </c>
      <c r="F21290">
        <v>3560087</v>
      </c>
      <c r="G21290" t="s">
        <v>7767</v>
      </c>
      <c r="H21290" s="21">
        <v>717.17</v>
      </c>
    </row>
    <row r="21291" spans="1:8" customFormat="1" x14ac:dyDescent="0.25">
      <c r="A21291" t="str">
        <f>"2510370"</f>
        <v>2510370</v>
      </c>
      <c r="B21291" t="s">
        <v>1048</v>
      </c>
      <c r="C21291" t="s">
        <v>415</v>
      </c>
      <c r="D21291" s="21" t="s">
        <v>34</v>
      </c>
      <c r="E21291" s="21" t="s">
        <v>254</v>
      </c>
      <c r="F21291">
        <v>2250193</v>
      </c>
      <c r="G21291" t="s">
        <v>2584</v>
      </c>
      <c r="H21291" s="21">
        <v>717.17</v>
      </c>
    </row>
    <row r="21292" spans="1:8" customFormat="1" x14ac:dyDescent="0.25">
      <c r="A21292" t="str">
        <f>"0617583"</f>
        <v>0617583</v>
      </c>
      <c r="B21292" t="s">
        <v>18465</v>
      </c>
      <c r="C21292" t="s">
        <v>5979</v>
      </c>
      <c r="D21292" s="21" t="s">
        <v>34</v>
      </c>
      <c r="E21292" s="21" t="s">
        <v>35</v>
      </c>
      <c r="F21292">
        <v>13060005</v>
      </c>
      <c r="G21292" t="s">
        <v>3609</v>
      </c>
      <c r="H21292" s="21">
        <v>717.17</v>
      </c>
    </row>
    <row r="21293" spans="1:8" customFormat="1" x14ac:dyDescent="0.25">
      <c r="A21293" t="str">
        <f>"7631822"</f>
        <v>7631822</v>
      </c>
      <c r="B21293" t="s">
        <v>946</v>
      </c>
      <c r="C21293" t="s">
        <v>320</v>
      </c>
      <c r="D21293" s="21" t="s">
        <v>34</v>
      </c>
      <c r="E21293" s="21" t="s">
        <v>35</v>
      </c>
      <c r="F21293">
        <v>9760420</v>
      </c>
      <c r="G21293" t="s">
        <v>11290</v>
      </c>
      <c r="H21293" s="21">
        <v>717.17</v>
      </c>
    </row>
    <row r="21294" spans="1:8" customFormat="1" x14ac:dyDescent="0.25">
      <c r="A21294" t="str">
        <f>"8521135"</f>
        <v>8521135</v>
      </c>
      <c r="B21294" t="s">
        <v>18111</v>
      </c>
      <c r="C21294" t="s">
        <v>55</v>
      </c>
      <c r="D21294" s="21" t="s">
        <v>34</v>
      </c>
      <c r="E21294" s="21" t="s">
        <v>35</v>
      </c>
      <c r="F21294">
        <v>12850136</v>
      </c>
      <c r="G21294" t="s">
        <v>2536</v>
      </c>
      <c r="H21294" s="21">
        <v>717.04</v>
      </c>
    </row>
    <row r="21295" spans="1:8" customFormat="1" x14ac:dyDescent="0.25">
      <c r="A21295" t="str">
        <f>"951057"</f>
        <v>951057</v>
      </c>
      <c r="B21295" t="s">
        <v>11860</v>
      </c>
      <c r="C21295" t="s">
        <v>1146</v>
      </c>
      <c r="D21295" s="21" t="s">
        <v>34</v>
      </c>
      <c r="E21295" s="21" t="s">
        <v>1089</v>
      </c>
      <c r="F21295">
        <v>8950531</v>
      </c>
      <c r="G21295" t="s">
        <v>7983</v>
      </c>
      <c r="H21295" s="21">
        <v>716.92</v>
      </c>
    </row>
    <row r="21296" spans="1:8" customFormat="1" x14ac:dyDescent="0.25">
      <c r="A21296" t="str">
        <f>"8523571"</f>
        <v>8523571</v>
      </c>
      <c r="B21296" t="s">
        <v>18746</v>
      </c>
      <c r="C21296" t="s">
        <v>82</v>
      </c>
      <c r="D21296" s="21" t="s">
        <v>34</v>
      </c>
      <c r="E21296" s="21" t="s">
        <v>35</v>
      </c>
      <c r="F21296">
        <v>12850163</v>
      </c>
      <c r="G21296" t="s">
        <v>9811</v>
      </c>
      <c r="H21296" s="21">
        <v>716.92</v>
      </c>
    </row>
    <row r="21297" spans="1:8" customFormat="1" x14ac:dyDescent="0.25">
      <c r="A21297" t="str">
        <f>"3721744"</f>
        <v>3721744</v>
      </c>
      <c r="B21297" t="s">
        <v>8044</v>
      </c>
      <c r="C21297" t="s">
        <v>1812</v>
      </c>
      <c r="D21297" s="21" t="s">
        <v>34</v>
      </c>
      <c r="E21297" s="21" t="s">
        <v>35</v>
      </c>
      <c r="F21297">
        <v>4370269</v>
      </c>
      <c r="G21297" t="s">
        <v>4277</v>
      </c>
      <c r="H21297" s="21">
        <v>716.79</v>
      </c>
    </row>
    <row r="21298" spans="1:8" customFormat="1" x14ac:dyDescent="0.25">
      <c r="A21298" t="str">
        <f>"5310112"</f>
        <v>5310112</v>
      </c>
      <c r="B21298" t="s">
        <v>201</v>
      </c>
      <c r="C21298" t="s">
        <v>2479</v>
      </c>
      <c r="D21298" s="21" t="s">
        <v>34</v>
      </c>
      <c r="E21298" s="21" t="s">
        <v>254</v>
      </c>
      <c r="F21298">
        <v>9610017</v>
      </c>
      <c r="G21298" t="s">
        <v>12194</v>
      </c>
      <c r="H21298" s="21">
        <v>716.67</v>
      </c>
    </row>
    <row r="21299" spans="1:8" customFormat="1" x14ac:dyDescent="0.25">
      <c r="A21299" t="str">
        <f>"7725390"</f>
        <v>7725390</v>
      </c>
      <c r="B21299" t="s">
        <v>2160</v>
      </c>
      <c r="C21299" t="s">
        <v>202</v>
      </c>
      <c r="D21299" s="21" t="s">
        <v>34</v>
      </c>
      <c r="E21299" s="21" t="s">
        <v>35</v>
      </c>
      <c r="F21299">
        <v>8770988</v>
      </c>
      <c r="G21299" t="s">
        <v>6334</v>
      </c>
      <c r="H21299" s="21">
        <v>716.67</v>
      </c>
    </row>
    <row r="21300" spans="1:8" customFormat="1" x14ac:dyDescent="0.25">
      <c r="A21300" t="str">
        <f>"103204"</f>
        <v>103204</v>
      </c>
      <c r="B21300" t="s">
        <v>16693</v>
      </c>
      <c r="C21300" t="s">
        <v>16694</v>
      </c>
      <c r="D21300" s="21" t="s">
        <v>34</v>
      </c>
      <c r="E21300" s="21" t="s">
        <v>254</v>
      </c>
      <c r="F21300">
        <v>6100005</v>
      </c>
      <c r="G21300" t="s">
        <v>855</v>
      </c>
      <c r="H21300" s="21">
        <v>716.67</v>
      </c>
    </row>
    <row r="21301" spans="1:8" customFormat="1" x14ac:dyDescent="0.25">
      <c r="A21301" t="str">
        <f>"4415827"</f>
        <v>4415827</v>
      </c>
      <c r="B21301" t="s">
        <v>12932</v>
      </c>
      <c r="C21301" t="s">
        <v>817</v>
      </c>
      <c r="D21301" s="21" t="s">
        <v>34</v>
      </c>
      <c r="E21301" s="21" t="s">
        <v>71</v>
      </c>
      <c r="F21301">
        <v>12440104</v>
      </c>
      <c r="G21301" t="s">
        <v>5862</v>
      </c>
      <c r="H21301" s="21">
        <v>716.67</v>
      </c>
    </row>
    <row r="21302" spans="1:8" customFormat="1" x14ac:dyDescent="0.25">
      <c r="A21302" t="str">
        <f>"447462"</f>
        <v>447462</v>
      </c>
      <c r="B21302" t="s">
        <v>17049</v>
      </c>
      <c r="C21302" t="s">
        <v>169</v>
      </c>
      <c r="D21302" s="21" t="s">
        <v>34</v>
      </c>
      <c r="E21302" s="21" t="s">
        <v>35</v>
      </c>
      <c r="F21302">
        <v>12440001</v>
      </c>
      <c r="G21302" t="s">
        <v>6999</v>
      </c>
      <c r="H21302" s="21">
        <v>716.67</v>
      </c>
    </row>
    <row r="21303" spans="1:8" customFormat="1" x14ac:dyDescent="0.25">
      <c r="A21303" t="str">
        <f>"5938743"</f>
        <v>5938743</v>
      </c>
      <c r="B21303" t="s">
        <v>17305</v>
      </c>
      <c r="C21303" t="s">
        <v>40</v>
      </c>
      <c r="D21303" s="21" t="s">
        <v>34</v>
      </c>
      <c r="E21303" s="21" t="s">
        <v>35</v>
      </c>
      <c r="F21303">
        <v>4410724</v>
      </c>
      <c r="G21303" t="s">
        <v>15872</v>
      </c>
      <c r="H21303" s="21">
        <v>716.67</v>
      </c>
    </row>
    <row r="21304" spans="1:8" customFormat="1" x14ac:dyDescent="0.25">
      <c r="A21304" t="str">
        <f>"5939796"</f>
        <v>5939796</v>
      </c>
      <c r="B21304" t="s">
        <v>15743</v>
      </c>
      <c r="C21304" t="s">
        <v>171</v>
      </c>
      <c r="D21304" s="21" t="s">
        <v>34</v>
      </c>
      <c r="E21304" s="21" t="s">
        <v>254</v>
      </c>
      <c r="F21304">
        <v>7590033</v>
      </c>
      <c r="G21304" t="s">
        <v>6329</v>
      </c>
      <c r="H21304" s="21">
        <v>716.67</v>
      </c>
    </row>
    <row r="21305" spans="1:8" customFormat="1" x14ac:dyDescent="0.25">
      <c r="A21305" t="str">
        <f>"5612191"</f>
        <v>5612191</v>
      </c>
      <c r="B21305" t="s">
        <v>16230</v>
      </c>
      <c r="C21305" t="s">
        <v>60</v>
      </c>
      <c r="D21305" s="21" t="s">
        <v>34</v>
      </c>
      <c r="E21305" s="21" t="s">
        <v>35</v>
      </c>
      <c r="F21305">
        <v>3560031</v>
      </c>
      <c r="G21305" t="s">
        <v>738</v>
      </c>
      <c r="H21305" s="21">
        <v>716.67</v>
      </c>
    </row>
    <row r="21306" spans="1:8" customFormat="1" x14ac:dyDescent="0.25">
      <c r="A21306" t="str">
        <f>"9519931"</f>
        <v>9519931</v>
      </c>
      <c r="B21306" t="s">
        <v>16123</v>
      </c>
      <c r="C21306" t="s">
        <v>169</v>
      </c>
      <c r="D21306" s="21" t="s">
        <v>34</v>
      </c>
      <c r="E21306" s="21" t="s">
        <v>71</v>
      </c>
      <c r="F21306">
        <v>8950564</v>
      </c>
      <c r="G21306" t="s">
        <v>9523</v>
      </c>
      <c r="H21306" s="21">
        <v>716.67</v>
      </c>
    </row>
    <row r="21307" spans="1:8" customFormat="1" x14ac:dyDescent="0.25">
      <c r="A21307" t="str">
        <f>"123245"</f>
        <v>123245</v>
      </c>
      <c r="B21307" t="s">
        <v>17031</v>
      </c>
      <c r="C21307" t="s">
        <v>121</v>
      </c>
      <c r="D21307" s="21" t="s">
        <v>34</v>
      </c>
      <c r="E21307" s="21" t="s">
        <v>35</v>
      </c>
      <c r="F21307">
        <v>11120044</v>
      </c>
      <c r="G21307" t="s">
        <v>15823</v>
      </c>
      <c r="H21307" s="21">
        <v>716.67</v>
      </c>
    </row>
    <row r="21308" spans="1:8" customFormat="1" x14ac:dyDescent="0.25">
      <c r="A21308" t="str">
        <f>"391708"</f>
        <v>391708</v>
      </c>
      <c r="B21308" t="s">
        <v>17986</v>
      </c>
      <c r="C21308" t="s">
        <v>2305</v>
      </c>
      <c r="D21308" s="21" t="s">
        <v>34</v>
      </c>
      <c r="E21308" s="21" t="s">
        <v>254</v>
      </c>
      <c r="F21308">
        <v>2390080</v>
      </c>
      <c r="G21308" t="s">
        <v>15549</v>
      </c>
      <c r="H21308" s="21">
        <v>716.67</v>
      </c>
    </row>
    <row r="21309" spans="1:8" customFormat="1" x14ac:dyDescent="0.25">
      <c r="A21309" t="str">
        <f>"942809"</f>
        <v>942809</v>
      </c>
      <c r="B21309" t="s">
        <v>3770</v>
      </c>
      <c r="C21309" t="s">
        <v>198</v>
      </c>
      <c r="D21309" s="21" t="s">
        <v>34</v>
      </c>
      <c r="E21309" s="21" t="s">
        <v>254</v>
      </c>
      <c r="F21309">
        <v>8940326</v>
      </c>
      <c r="G21309" t="s">
        <v>659</v>
      </c>
      <c r="H21309" s="21">
        <v>716.67</v>
      </c>
    </row>
    <row r="21310" spans="1:8" customFormat="1" x14ac:dyDescent="0.25">
      <c r="A21310" t="str">
        <f>"8018345"</f>
        <v>8018345</v>
      </c>
      <c r="B21310" t="s">
        <v>17091</v>
      </c>
      <c r="C21310" t="s">
        <v>415</v>
      </c>
      <c r="D21310" s="21" t="s">
        <v>34</v>
      </c>
      <c r="E21310" s="21" t="s">
        <v>254</v>
      </c>
      <c r="F21310">
        <v>7800013</v>
      </c>
      <c r="G21310" t="s">
        <v>10778</v>
      </c>
      <c r="H21310" s="21">
        <v>716.67</v>
      </c>
    </row>
    <row r="21311" spans="1:8" customFormat="1" x14ac:dyDescent="0.25">
      <c r="A21311" t="str">
        <f>"842548"</f>
        <v>842548</v>
      </c>
      <c r="B21311" t="s">
        <v>16691</v>
      </c>
      <c r="C21311" t="s">
        <v>547</v>
      </c>
      <c r="D21311" s="21" t="s">
        <v>34</v>
      </c>
      <c r="E21311" s="21" t="s">
        <v>254</v>
      </c>
      <c r="F21311">
        <v>13840038</v>
      </c>
      <c r="G21311" t="s">
        <v>8931</v>
      </c>
      <c r="H21311" s="21">
        <v>716.67</v>
      </c>
    </row>
    <row r="21312" spans="1:8" customFormat="1" x14ac:dyDescent="0.25">
      <c r="A21312" t="str">
        <f>"1714252"</f>
        <v>1714252</v>
      </c>
      <c r="B21312" t="s">
        <v>13635</v>
      </c>
      <c r="C21312" t="s">
        <v>109</v>
      </c>
      <c r="D21312" s="21" t="s">
        <v>34</v>
      </c>
      <c r="E21312" s="21" t="s">
        <v>71</v>
      </c>
      <c r="F21312">
        <v>10170050</v>
      </c>
      <c r="G21312" t="s">
        <v>2514</v>
      </c>
      <c r="H21312" s="21">
        <v>716.67</v>
      </c>
    </row>
    <row r="21313" spans="1:8" customFormat="1" x14ac:dyDescent="0.25">
      <c r="A21313" t="str">
        <f>"5731757"</f>
        <v>5731757</v>
      </c>
      <c r="B21313" t="s">
        <v>18692</v>
      </c>
      <c r="C21313" t="s">
        <v>1812</v>
      </c>
      <c r="D21313" s="21" t="s">
        <v>34</v>
      </c>
      <c r="E21313" s="21" t="s">
        <v>71</v>
      </c>
      <c r="F21313">
        <v>6570132</v>
      </c>
      <c r="G21313" t="s">
        <v>26746</v>
      </c>
      <c r="H21313" s="21">
        <v>716.67</v>
      </c>
    </row>
    <row r="21314" spans="1:8" customFormat="1" x14ac:dyDescent="0.25">
      <c r="A21314" t="str">
        <f>"9137644"</f>
        <v>9137644</v>
      </c>
      <c r="B21314" t="s">
        <v>16417</v>
      </c>
      <c r="C21314" t="s">
        <v>1782</v>
      </c>
      <c r="D21314" s="21" t="s">
        <v>34</v>
      </c>
      <c r="E21314" s="21" t="s">
        <v>35</v>
      </c>
      <c r="F21314">
        <v>8910578</v>
      </c>
      <c r="G21314" t="s">
        <v>5776</v>
      </c>
      <c r="H21314" s="21">
        <v>716.67</v>
      </c>
    </row>
    <row r="21315" spans="1:8" customFormat="1" x14ac:dyDescent="0.25">
      <c r="A21315" t="str">
        <f>"6015443"</f>
        <v>6015443</v>
      </c>
      <c r="B21315" t="s">
        <v>2143</v>
      </c>
      <c r="C21315" t="s">
        <v>33</v>
      </c>
      <c r="D21315" s="21" t="s">
        <v>34</v>
      </c>
      <c r="E21315" s="21" t="s">
        <v>71</v>
      </c>
      <c r="F21315">
        <v>11340035</v>
      </c>
      <c r="G21315" t="s">
        <v>10724</v>
      </c>
      <c r="H21315" s="21">
        <v>716.67</v>
      </c>
    </row>
    <row r="21316" spans="1:8" customFormat="1" x14ac:dyDescent="0.25">
      <c r="A21316" t="str">
        <f>"5724215"</f>
        <v>5724215</v>
      </c>
      <c r="B21316" t="s">
        <v>18837</v>
      </c>
      <c r="C21316" t="s">
        <v>4267</v>
      </c>
      <c r="D21316" s="21" t="s">
        <v>34</v>
      </c>
      <c r="E21316" s="21" t="s">
        <v>1089</v>
      </c>
      <c r="F21316">
        <v>6570125</v>
      </c>
      <c r="G21316" t="s">
        <v>14599</v>
      </c>
      <c r="H21316" s="21">
        <v>716.67</v>
      </c>
    </row>
    <row r="21317" spans="1:8" customFormat="1" x14ac:dyDescent="0.25">
      <c r="A21317" t="str">
        <f>"8526456"</f>
        <v>8526456</v>
      </c>
      <c r="B21317" t="s">
        <v>18573</v>
      </c>
      <c r="C21317" t="s">
        <v>249</v>
      </c>
      <c r="D21317" s="21" t="s">
        <v>34</v>
      </c>
      <c r="E21317" s="21" t="s">
        <v>35</v>
      </c>
      <c r="F21317">
        <v>12850057</v>
      </c>
      <c r="G21317" t="s">
        <v>1291</v>
      </c>
      <c r="H21317" s="21">
        <v>716.67</v>
      </c>
    </row>
    <row r="21318" spans="1:8" customFormat="1" x14ac:dyDescent="0.25">
      <c r="A21318" t="str">
        <f>"5910526"</f>
        <v>5910526</v>
      </c>
      <c r="B21318" t="s">
        <v>16315</v>
      </c>
      <c r="C21318" t="s">
        <v>249</v>
      </c>
      <c r="D21318" s="21" t="s">
        <v>34</v>
      </c>
      <c r="E21318" s="21" t="s">
        <v>71</v>
      </c>
      <c r="F21318">
        <v>7590194</v>
      </c>
      <c r="G21318" t="s">
        <v>460</v>
      </c>
      <c r="H21318" s="21">
        <v>716.67</v>
      </c>
    </row>
    <row r="21319" spans="1:8" customFormat="1" x14ac:dyDescent="0.25">
      <c r="A21319" t="str">
        <f>"5113007"</f>
        <v>5113007</v>
      </c>
      <c r="B21319" t="s">
        <v>108</v>
      </c>
      <c r="C21319" t="s">
        <v>486</v>
      </c>
      <c r="D21319" s="21" t="s">
        <v>34</v>
      </c>
      <c r="E21319" s="21" t="s">
        <v>35</v>
      </c>
      <c r="F21319">
        <v>6510064</v>
      </c>
      <c r="G21319" t="s">
        <v>6183</v>
      </c>
      <c r="H21319" s="21">
        <v>716.67</v>
      </c>
    </row>
    <row r="21320" spans="1:8" customFormat="1" x14ac:dyDescent="0.25">
      <c r="A21320" t="str">
        <f>"4528259"</f>
        <v>4528259</v>
      </c>
      <c r="B21320" t="s">
        <v>15936</v>
      </c>
      <c r="C21320" t="s">
        <v>109</v>
      </c>
      <c r="D21320" s="21" t="s">
        <v>34</v>
      </c>
      <c r="E21320" s="21" t="s">
        <v>71</v>
      </c>
      <c r="F21320">
        <v>4450751</v>
      </c>
      <c r="G21320" t="s">
        <v>442</v>
      </c>
      <c r="H21320" s="21">
        <v>716.67</v>
      </c>
    </row>
    <row r="21321" spans="1:8" customFormat="1" x14ac:dyDescent="0.25">
      <c r="A21321" t="str">
        <f>"071921"</f>
        <v>071921</v>
      </c>
      <c r="B21321" t="s">
        <v>8321</v>
      </c>
      <c r="C21321" t="s">
        <v>598</v>
      </c>
      <c r="D21321" s="21" t="s">
        <v>34</v>
      </c>
      <c r="E21321" s="21" t="s">
        <v>254</v>
      </c>
      <c r="F21321">
        <v>1260024</v>
      </c>
      <c r="G21321" t="s">
        <v>2685</v>
      </c>
      <c r="H21321" s="21">
        <v>716.54</v>
      </c>
    </row>
    <row r="21322" spans="1:8" customFormat="1" x14ac:dyDescent="0.25">
      <c r="A21322" t="str">
        <f>"847146"</f>
        <v>847146</v>
      </c>
      <c r="B21322" t="s">
        <v>17494</v>
      </c>
      <c r="C21322" t="s">
        <v>6784</v>
      </c>
      <c r="D21322" s="21" t="s">
        <v>34</v>
      </c>
      <c r="E21322" s="21" t="s">
        <v>71</v>
      </c>
      <c r="F21322">
        <v>13840038</v>
      </c>
      <c r="G21322" t="s">
        <v>8931</v>
      </c>
      <c r="H21322" s="21">
        <v>716.42</v>
      </c>
    </row>
    <row r="21323" spans="1:8" customFormat="1" x14ac:dyDescent="0.25">
      <c r="A21323" t="str">
        <f>"4426441"</f>
        <v>4426441</v>
      </c>
      <c r="B21323" t="s">
        <v>15275</v>
      </c>
      <c r="C21323" t="s">
        <v>288</v>
      </c>
      <c r="D21323" s="21" t="s">
        <v>34</v>
      </c>
      <c r="E21323" s="21" t="s">
        <v>35</v>
      </c>
      <c r="F21323">
        <v>12440042</v>
      </c>
      <c r="G21323" t="s">
        <v>10312</v>
      </c>
      <c r="H21323" s="21">
        <v>716.42</v>
      </c>
    </row>
    <row r="21324" spans="1:8" customFormat="1" x14ac:dyDescent="0.25">
      <c r="A21324" t="str">
        <f>"7113071"</f>
        <v>7113071</v>
      </c>
      <c r="B21324" t="s">
        <v>17843</v>
      </c>
      <c r="C21324" t="s">
        <v>17844</v>
      </c>
      <c r="D21324" s="21" t="s">
        <v>34</v>
      </c>
      <c r="E21324" s="21" t="s">
        <v>35</v>
      </c>
      <c r="F21324">
        <v>2710042</v>
      </c>
      <c r="G21324" t="s">
        <v>1997</v>
      </c>
      <c r="H21324" s="21">
        <v>716.42</v>
      </c>
    </row>
    <row r="21325" spans="1:8" customFormat="1" x14ac:dyDescent="0.25">
      <c r="A21325" t="str">
        <f>"6021469"</f>
        <v>6021469</v>
      </c>
      <c r="B21325" t="s">
        <v>17102</v>
      </c>
      <c r="C21325" t="s">
        <v>55</v>
      </c>
      <c r="D21325" s="21" t="s">
        <v>34</v>
      </c>
      <c r="E21325" s="21" t="s">
        <v>35</v>
      </c>
      <c r="F21325">
        <v>7600009</v>
      </c>
      <c r="G21325" t="s">
        <v>11824</v>
      </c>
      <c r="H21325" s="21">
        <v>716.42</v>
      </c>
    </row>
    <row r="21326" spans="1:8" customFormat="1" x14ac:dyDescent="0.25">
      <c r="A21326" t="str">
        <f>"9133377"</f>
        <v>9133377</v>
      </c>
      <c r="B21326" t="s">
        <v>2402</v>
      </c>
      <c r="C21326" t="s">
        <v>239</v>
      </c>
      <c r="D21326" s="21" t="s">
        <v>34</v>
      </c>
      <c r="E21326" s="21" t="s">
        <v>1089</v>
      </c>
      <c r="F21326">
        <v>8911083</v>
      </c>
      <c r="G21326" t="s">
        <v>7357</v>
      </c>
      <c r="H21326" s="21">
        <v>716.29</v>
      </c>
    </row>
    <row r="21327" spans="1:8" customFormat="1" x14ac:dyDescent="0.25">
      <c r="A21327" t="str">
        <f>"785211"</f>
        <v>785211</v>
      </c>
      <c r="B21327" t="s">
        <v>359</v>
      </c>
      <c r="C21327" t="s">
        <v>269</v>
      </c>
      <c r="D21327" s="21" t="s">
        <v>34</v>
      </c>
      <c r="E21327" s="21" t="s">
        <v>35</v>
      </c>
      <c r="F21327">
        <v>8950129</v>
      </c>
      <c r="G21327" t="s">
        <v>10701</v>
      </c>
      <c r="H21327" s="21">
        <v>716.17</v>
      </c>
    </row>
    <row r="21328" spans="1:8" customFormat="1" x14ac:dyDescent="0.25">
      <c r="A21328" t="str">
        <f>"7725034"</f>
        <v>7725034</v>
      </c>
      <c r="B21328" t="s">
        <v>16551</v>
      </c>
      <c r="C21328" t="s">
        <v>484</v>
      </c>
      <c r="D21328" s="21" t="s">
        <v>34</v>
      </c>
      <c r="E21328" s="21" t="s">
        <v>35</v>
      </c>
      <c r="F21328">
        <v>8771085</v>
      </c>
      <c r="G21328" t="s">
        <v>11894</v>
      </c>
      <c r="H21328" s="21">
        <v>716.17</v>
      </c>
    </row>
    <row r="21329" spans="1:8" customFormat="1" x14ac:dyDescent="0.25">
      <c r="A21329" t="str">
        <f>"9321787"</f>
        <v>9321787</v>
      </c>
      <c r="B21329" t="s">
        <v>16391</v>
      </c>
      <c r="C21329" t="s">
        <v>27648</v>
      </c>
      <c r="D21329" s="21" t="s">
        <v>34</v>
      </c>
      <c r="E21329" s="21" t="s">
        <v>71</v>
      </c>
      <c r="F21329">
        <v>8930598</v>
      </c>
      <c r="G21329" t="s">
        <v>445</v>
      </c>
      <c r="H21329" s="21">
        <v>716.17</v>
      </c>
    </row>
    <row r="21330" spans="1:8" customFormat="1" x14ac:dyDescent="0.25">
      <c r="A21330" t="str">
        <f>"8018248"</f>
        <v>8018248</v>
      </c>
      <c r="B21330" t="s">
        <v>18243</v>
      </c>
      <c r="C21330" t="s">
        <v>267</v>
      </c>
      <c r="D21330" s="21" t="s">
        <v>34</v>
      </c>
      <c r="E21330" s="21" t="s">
        <v>35</v>
      </c>
      <c r="F21330">
        <v>7800008</v>
      </c>
      <c r="G21330" t="s">
        <v>842</v>
      </c>
      <c r="H21330" s="21">
        <v>716.17</v>
      </c>
    </row>
    <row r="21331" spans="1:8" customFormat="1" x14ac:dyDescent="0.25">
      <c r="A21331" t="str">
        <f>"6912897"</f>
        <v>6912897</v>
      </c>
      <c r="B21331" t="s">
        <v>7847</v>
      </c>
      <c r="C21331" t="s">
        <v>3648</v>
      </c>
      <c r="D21331" s="21" t="s">
        <v>34</v>
      </c>
      <c r="E21331" s="21" t="s">
        <v>254</v>
      </c>
      <c r="F21331">
        <v>1690107</v>
      </c>
      <c r="G21331" t="s">
        <v>4163</v>
      </c>
      <c r="H21331" s="21">
        <v>716.17</v>
      </c>
    </row>
    <row r="21332" spans="1:8" customFormat="1" x14ac:dyDescent="0.25">
      <c r="A21332" t="str">
        <f>"691972"</f>
        <v>691972</v>
      </c>
      <c r="B21332" t="s">
        <v>15828</v>
      </c>
      <c r="C21332" t="s">
        <v>812</v>
      </c>
      <c r="D21332" s="21" t="s">
        <v>34</v>
      </c>
      <c r="E21332" s="21" t="s">
        <v>254</v>
      </c>
      <c r="F21332">
        <v>1380045</v>
      </c>
      <c r="G21332" t="s">
        <v>2114</v>
      </c>
      <c r="H21332" s="21">
        <v>716.17</v>
      </c>
    </row>
    <row r="21333" spans="1:8" customFormat="1" x14ac:dyDescent="0.25">
      <c r="A21333" t="str">
        <f>"2812068"</f>
        <v>2812068</v>
      </c>
      <c r="B21333" t="s">
        <v>15311</v>
      </c>
      <c r="C21333" t="s">
        <v>453</v>
      </c>
      <c r="D21333" s="21" t="s">
        <v>34</v>
      </c>
      <c r="E21333" s="21" t="s">
        <v>254</v>
      </c>
      <c r="F21333">
        <v>4450589</v>
      </c>
      <c r="G21333" t="s">
        <v>19465</v>
      </c>
      <c r="H21333" s="21">
        <v>716.17</v>
      </c>
    </row>
    <row r="21334" spans="1:8" customFormat="1" x14ac:dyDescent="0.25">
      <c r="A21334" t="str">
        <f>"605392"</f>
        <v>605392</v>
      </c>
      <c r="B21334" t="s">
        <v>17879</v>
      </c>
      <c r="C21334" t="s">
        <v>198</v>
      </c>
      <c r="D21334" s="21" t="s">
        <v>34</v>
      </c>
      <c r="E21334" s="21" t="s">
        <v>1089</v>
      </c>
      <c r="F21334">
        <v>1150306</v>
      </c>
      <c r="G21334" t="s">
        <v>14324</v>
      </c>
      <c r="H21334" s="21">
        <v>716.17</v>
      </c>
    </row>
    <row r="21335" spans="1:8" customFormat="1" x14ac:dyDescent="0.25">
      <c r="A21335" t="str">
        <f>"035719"</f>
        <v>035719</v>
      </c>
      <c r="B21335" t="s">
        <v>11717</v>
      </c>
      <c r="C21335" t="s">
        <v>547</v>
      </c>
      <c r="D21335" s="21" t="s">
        <v>34</v>
      </c>
      <c r="E21335" s="21" t="s">
        <v>254</v>
      </c>
      <c r="F21335">
        <v>1030299</v>
      </c>
      <c r="G21335" t="s">
        <v>2631</v>
      </c>
      <c r="H21335" s="21">
        <v>716.17</v>
      </c>
    </row>
    <row r="21336" spans="1:8" customFormat="1" x14ac:dyDescent="0.25">
      <c r="A21336" t="str">
        <f>"508311"</f>
        <v>508311</v>
      </c>
      <c r="B21336" t="s">
        <v>1490</v>
      </c>
      <c r="C21336" t="s">
        <v>209</v>
      </c>
      <c r="D21336" s="21" t="s">
        <v>34</v>
      </c>
      <c r="E21336" s="21" t="s">
        <v>71</v>
      </c>
      <c r="F21336">
        <v>9500069</v>
      </c>
      <c r="G21336" t="s">
        <v>26997</v>
      </c>
      <c r="H21336" s="21">
        <v>716.17</v>
      </c>
    </row>
    <row r="21337" spans="1:8" customFormat="1" x14ac:dyDescent="0.25">
      <c r="A21337" t="str">
        <f>"313615"</f>
        <v>313615</v>
      </c>
      <c r="B21337" t="s">
        <v>7086</v>
      </c>
      <c r="C21337" t="s">
        <v>320</v>
      </c>
      <c r="D21337" s="21" t="s">
        <v>34</v>
      </c>
      <c r="E21337" s="21" t="s">
        <v>71</v>
      </c>
      <c r="F21337">
        <v>11310033</v>
      </c>
      <c r="G21337" t="s">
        <v>18036</v>
      </c>
      <c r="H21337" s="21">
        <v>716.17</v>
      </c>
    </row>
    <row r="21338" spans="1:8" customFormat="1" x14ac:dyDescent="0.25">
      <c r="A21338" t="str">
        <f>"1315570"</f>
        <v>1315570</v>
      </c>
      <c r="B21338" t="s">
        <v>15641</v>
      </c>
      <c r="C21338" t="s">
        <v>288</v>
      </c>
      <c r="D21338" s="21" t="s">
        <v>34</v>
      </c>
      <c r="E21338" s="21" t="s">
        <v>35</v>
      </c>
      <c r="F21338">
        <v>13130161</v>
      </c>
      <c r="G21338" t="s">
        <v>1171</v>
      </c>
      <c r="H21338" s="21">
        <v>716.17</v>
      </c>
    </row>
    <row r="21339" spans="1:8" customFormat="1" x14ac:dyDescent="0.25">
      <c r="A21339" t="str">
        <f>"135059"</f>
        <v>135059</v>
      </c>
      <c r="B21339" t="s">
        <v>15924</v>
      </c>
      <c r="C21339" t="s">
        <v>1110</v>
      </c>
      <c r="D21339" s="21" t="s">
        <v>34</v>
      </c>
      <c r="E21339" s="21" t="s">
        <v>71</v>
      </c>
      <c r="F21339">
        <v>13130013</v>
      </c>
      <c r="G21339" t="s">
        <v>13234</v>
      </c>
      <c r="H21339" s="21">
        <v>716.17</v>
      </c>
    </row>
    <row r="21340" spans="1:8" customFormat="1" x14ac:dyDescent="0.25">
      <c r="A21340" t="str">
        <f>"589228"</f>
        <v>589228</v>
      </c>
      <c r="B21340" t="s">
        <v>18299</v>
      </c>
      <c r="C21340" t="s">
        <v>169</v>
      </c>
      <c r="D21340" s="21" t="s">
        <v>34</v>
      </c>
      <c r="E21340" s="21" t="s">
        <v>71</v>
      </c>
      <c r="F21340">
        <v>2580010</v>
      </c>
      <c r="G21340" t="s">
        <v>1965</v>
      </c>
      <c r="H21340" s="21">
        <v>716.17</v>
      </c>
    </row>
    <row r="21341" spans="1:8" customFormat="1" x14ac:dyDescent="0.25">
      <c r="A21341" t="str">
        <f>"9229973"</f>
        <v>9229973</v>
      </c>
      <c r="B21341" t="s">
        <v>14975</v>
      </c>
      <c r="C21341" t="s">
        <v>2907</v>
      </c>
      <c r="D21341" s="21" t="s">
        <v>34</v>
      </c>
      <c r="E21341" s="21" t="s">
        <v>35</v>
      </c>
      <c r="F21341">
        <v>8920025</v>
      </c>
      <c r="G21341" t="s">
        <v>159</v>
      </c>
      <c r="H21341" s="21">
        <v>716.17</v>
      </c>
    </row>
    <row r="21342" spans="1:8" customFormat="1" x14ac:dyDescent="0.25">
      <c r="A21342" t="str">
        <f>"704150"</f>
        <v>704150</v>
      </c>
      <c r="B21342" t="s">
        <v>21231</v>
      </c>
      <c r="C21342" t="s">
        <v>288</v>
      </c>
      <c r="D21342" s="21" t="s">
        <v>34</v>
      </c>
      <c r="E21342" s="21" t="s">
        <v>35</v>
      </c>
      <c r="F21342">
        <v>2700085</v>
      </c>
      <c r="G21342" t="s">
        <v>7691</v>
      </c>
      <c r="H21342" s="21">
        <v>716.17</v>
      </c>
    </row>
    <row r="21343" spans="1:8" customFormat="1" x14ac:dyDescent="0.25">
      <c r="A21343" t="str">
        <f>"621487"</f>
        <v>621487</v>
      </c>
      <c r="B21343" t="s">
        <v>17247</v>
      </c>
      <c r="C21343" t="s">
        <v>7952</v>
      </c>
      <c r="D21343" s="21" t="s">
        <v>34</v>
      </c>
      <c r="E21343" s="21" t="s">
        <v>254</v>
      </c>
      <c r="F21343">
        <v>7620002</v>
      </c>
      <c r="G21343" t="s">
        <v>11925</v>
      </c>
      <c r="H21343" s="21">
        <v>716.17</v>
      </c>
    </row>
    <row r="21344" spans="1:8" customFormat="1" x14ac:dyDescent="0.25">
      <c r="A21344" t="str">
        <f>"4524239"</f>
        <v>4524239</v>
      </c>
      <c r="B21344" t="s">
        <v>697</v>
      </c>
      <c r="C21344" t="s">
        <v>169</v>
      </c>
      <c r="D21344" s="21" t="s">
        <v>34</v>
      </c>
      <c r="E21344" s="21" t="s">
        <v>35</v>
      </c>
      <c r="F21344">
        <v>4450757</v>
      </c>
      <c r="G21344" t="s">
        <v>3829</v>
      </c>
      <c r="H21344" s="21">
        <v>716.17</v>
      </c>
    </row>
    <row r="21345" spans="1:8" customFormat="1" x14ac:dyDescent="0.25">
      <c r="A21345" t="str">
        <f>"2215040"</f>
        <v>2215040</v>
      </c>
      <c r="B21345" t="s">
        <v>2842</v>
      </c>
      <c r="C21345" t="s">
        <v>198</v>
      </c>
      <c r="D21345" s="21" t="s">
        <v>34</v>
      </c>
      <c r="E21345" s="21" t="s">
        <v>71</v>
      </c>
      <c r="F21345">
        <v>3220127</v>
      </c>
      <c r="G21345" t="s">
        <v>26652</v>
      </c>
      <c r="H21345" s="21">
        <v>716.17</v>
      </c>
    </row>
    <row r="21346" spans="1:8" customFormat="1" x14ac:dyDescent="0.25">
      <c r="A21346" t="str">
        <f>"372346"</f>
        <v>372346</v>
      </c>
      <c r="B21346" t="s">
        <v>2765</v>
      </c>
      <c r="C21346" t="s">
        <v>198</v>
      </c>
      <c r="D21346" s="21" t="s">
        <v>34</v>
      </c>
      <c r="E21346" s="21" t="s">
        <v>254</v>
      </c>
      <c r="F21346">
        <v>12850143</v>
      </c>
      <c r="G21346" t="s">
        <v>1625</v>
      </c>
      <c r="H21346" s="21">
        <v>716.17</v>
      </c>
    </row>
    <row r="21347" spans="1:8" customFormat="1" x14ac:dyDescent="0.25">
      <c r="A21347" t="str">
        <f>"8352"</f>
        <v>8352</v>
      </c>
      <c r="B21347" t="s">
        <v>16420</v>
      </c>
      <c r="C21347" t="s">
        <v>822</v>
      </c>
      <c r="D21347" s="21" t="s">
        <v>34</v>
      </c>
      <c r="E21347" s="21" t="s">
        <v>254</v>
      </c>
      <c r="F21347">
        <v>13830051</v>
      </c>
      <c r="G21347" t="s">
        <v>2031</v>
      </c>
      <c r="H21347" s="21">
        <v>716.17</v>
      </c>
    </row>
    <row r="21348" spans="1:8" customFormat="1" x14ac:dyDescent="0.25">
      <c r="A21348" t="str">
        <f>"442286"</f>
        <v>442286</v>
      </c>
      <c r="B21348" t="s">
        <v>970</v>
      </c>
      <c r="C21348" t="s">
        <v>209</v>
      </c>
      <c r="D21348" s="21" t="s">
        <v>34</v>
      </c>
      <c r="E21348" s="21" t="s">
        <v>71</v>
      </c>
      <c r="F21348">
        <v>12440075</v>
      </c>
      <c r="G21348" t="s">
        <v>1437</v>
      </c>
      <c r="H21348" s="21">
        <v>716.17</v>
      </c>
    </row>
    <row r="21349" spans="1:8" customFormat="1" x14ac:dyDescent="0.25">
      <c r="A21349" t="str">
        <f>"5324597"</f>
        <v>5324597</v>
      </c>
      <c r="B21349" t="s">
        <v>16486</v>
      </c>
      <c r="C21349" t="s">
        <v>1104</v>
      </c>
      <c r="D21349" s="21" t="s">
        <v>34</v>
      </c>
      <c r="E21349" s="21" t="s">
        <v>35</v>
      </c>
      <c r="F21349">
        <v>12530088</v>
      </c>
      <c r="G21349" t="s">
        <v>10746</v>
      </c>
      <c r="H21349" s="21">
        <v>715.92</v>
      </c>
    </row>
    <row r="21350" spans="1:8" customFormat="1" x14ac:dyDescent="0.25">
      <c r="A21350" t="str">
        <f>"9524305"</f>
        <v>9524305</v>
      </c>
      <c r="B21350" t="s">
        <v>14490</v>
      </c>
      <c r="C21350" t="s">
        <v>124</v>
      </c>
      <c r="D21350" s="21" t="s">
        <v>34</v>
      </c>
      <c r="E21350" s="21" t="s">
        <v>71</v>
      </c>
      <c r="F21350">
        <v>7600166</v>
      </c>
      <c r="G21350" t="s">
        <v>9171</v>
      </c>
      <c r="H21350" s="21">
        <v>715.92</v>
      </c>
    </row>
    <row r="21351" spans="1:8" customFormat="1" x14ac:dyDescent="0.25">
      <c r="A21351" t="str">
        <f>"9318047"</f>
        <v>9318047</v>
      </c>
      <c r="B21351" t="s">
        <v>16143</v>
      </c>
      <c r="C21351" t="s">
        <v>415</v>
      </c>
      <c r="D21351" s="21" t="s">
        <v>34</v>
      </c>
      <c r="E21351" s="21" t="s">
        <v>71</v>
      </c>
      <c r="F21351">
        <v>8930430</v>
      </c>
      <c r="G21351" t="s">
        <v>995</v>
      </c>
      <c r="H21351" s="21">
        <v>715.92</v>
      </c>
    </row>
    <row r="21352" spans="1:8" customFormat="1" x14ac:dyDescent="0.25">
      <c r="A21352" t="str">
        <f>"0618328"</f>
        <v>0618328</v>
      </c>
      <c r="B21352" t="s">
        <v>10674</v>
      </c>
      <c r="C21352" t="s">
        <v>262</v>
      </c>
      <c r="D21352" s="21" t="s">
        <v>34</v>
      </c>
      <c r="E21352" s="21" t="s">
        <v>71</v>
      </c>
      <c r="F21352">
        <v>13060114</v>
      </c>
      <c r="G21352" t="s">
        <v>4501</v>
      </c>
      <c r="H21352" s="21">
        <v>715.92</v>
      </c>
    </row>
    <row r="21353" spans="1:8" customFormat="1" x14ac:dyDescent="0.25">
      <c r="A21353" t="str">
        <f>"30266"</f>
        <v>30266</v>
      </c>
      <c r="B21353" t="s">
        <v>5668</v>
      </c>
      <c r="C21353" t="s">
        <v>15745</v>
      </c>
      <c r="D21353" s="21" t="s">
        <v>34</v>
      </c>
      <c r="E21353" s="21" t="s">
        <v>254</v>
      </c>
      <c r="F21353">
        <v>11300014</v>
      </c>
      <c r="G21353" t="s">
        <v>2345</v>
      </c>
      <c r="H21353" s="21">
        <v>715.67</v>
      </c>
    </row>
    <row r="21354" spans="1:8" customFormat="1" x14ac:dyDescent="0.25">
      <c r="A21354" t="str">
        <f>"088545"</f>
        <v>088545</v>
      </c>
      <c r="B21354" t="s">
        <v>16477</v>
      </c>
      <c r="C21354" t="s">
        <v>246</v>
      </c>
      <c r="D21354" s="21" t="s">
        <v>34</v>
      </c>
      <c r="E21354" s="21" t="s">
        <v>254</v>
      </c>
      <c r="F21354">
        <v>6080074</v>
      </c>
      <c r="G21354" t="s">
        <v>13069</v>
      </c>
      <c r="H21354" s="21">
        <v>715.67</v>
      </c>
    </row>
    <row r="21355" spans="1:8" customFormat="1" x14ac:dyDescent="0.25">
      <c r="A21355" t="str">
        <f>"9137105"</f>
        <v>9137105</v>
      </c>
      <c r="B21355" t="s">
        <v>16759</v>
      </c>
      <c r="C21355" t="s">
        <v>712</v>
      </c>
      <c r="D21355" s="21" t="s">
        <v>34</v>
      </c>
      <c r="E21355" s="21" t="s">
        <v>71</v>
      </c>
      <c r="F21355">
        <v>8910042</v>
      </c>
      <c r="G21355" t="s">
        <v>4009</v>
      </c>
      <c r="H21355" s="21">
        <v>715.67</v>
      </c>
    </row>
    <row r="21356" spans="1:8" customFormat="1" x14ac:dyDescent="0.25">
      <c r="A21356" t="str">
        <f>"1420091"</f>
        <v>1420091</v>
      </c>
      <c r="B21356" t="s">
        <v>18371</v>
      </c>
      <c r="C21356" t="s">
        <v>2730</v>
      </c>
      <c r="D21356" s="21" t="s">
        <v>34</v>
      </c>
      <c r="E21356" s="21" t="s">
        <v>71</v>
      </c>
      <c r="F21356">
        <v>9140063</v>
      </c>
      <c r="G21356" t="s">
        <v>4764</v>
      </c>
      <c r="H21356" s="21">
        <v>715.67</v>
      </c>
    </row>
    <row r="21357" spans="1:8" customFormat="1" x14ac:dyDescent="0.25">
      <c r="A21357" t="str">
        <f>"2929935"</f>
        <v>2929935</v>
      </c>
      <c r="B21357" t="s">
        <v>17862</v>
      </c>
      <c r="C21357" t="s">
        <v>33</v>
      </c>
      <c r="D21357" s="21" t="s">
        <v>34</v>
      </c>
      <c r="E21357" s="21" t="s">
        <v>71</v>
      </c>
      <c r="F21357">
        <v>3290278</v>
      </c>
      <c r="G21357" t="s">
        <v>3649</v>
      </c>
      <c r="H21357" s="21">
        <v>715.67</v>
      </c>
    </row>
    <row r="21358" spans="1:8" customFormat="1" x14ac:dyDescent="0.25">
      <c r="A21358" t="str">
        <f>"702452"</f>
        <v>702452</v>
      </c>
      <c r="B21358" t="s">
        <v>17024</v>
      </c>
      <c r="C21358" t="s">
        <v>246</v>
      </c>
      <c r="D21358" s="21" t="s">
        <v>34</v>
      </c>
      <c r="E21358" s="21" t="s">
        <v>71</v>
      </c>
      <c r="F21358">
        <v>2700046</v>
      </c>
      <c r="G21358" t="s">
        <v>12717</v>
      </c>
      <c r="H21358" s="21">
        <v>715.67</v>
      </c>
    </row>
    <row r="21359" spans="1:8" customFormat="1" x14ac:dyDescent="0.25">
      <c r="A21359" t="str">
        <f>"7715667"</f>
        <v>7715667</v>
      </c>
      <c r="B21359" t="s">
        <v>3647</v>
      </c>
      <c r="C21359" t="s">
        <v>415</v>
      </c>
      <c r="D21359" s="21" t="s">
        <v>34</v>
      </c>
      <c r="E21359" s="21" t="s">
        <v>254</v>
      </c>
      <c r="F21359">
        <v>8771401</v>
      </c>
      <c r="G21359" t="s">
        <v>6636</v>
      </c>
      <c r="H21359" s="21">
        <v>715.67</v>
      </c>
    </row>
    <row r="21360" spans="1:8" customFormat="1" x14ac:dyDescent="0.25">
      <c r="A21360" t="str">
        <f>"084964"</f>
        <v>084964</v>
      </c>
      <c r="B21360" t="s">
        <v>2400</v>
      </c>
      <c r="C21360" t="s">
        <v>2752</v>
      </c>
      <c r="D21360" s="21" t="s">
        <v>34</v>
      </c>
      <c r="E21360" s="21" t="s">
        <v>71</v>
      </c>
      <c r="F21360">
        <v>6080045</v>
      </c>
      <c r="G21360" t="s">
        <v>5632</v>
      </c>
      <c r="H21360" s="21">
        <v>715.67</v>
      </c>
    </row>
    <row r="21361" spans="1:8" customFormat="1" x14ac:dyDescent="0.25">
      <c r="A21361" t="str">
        <f>"6947957"</f>
        <v>6947957</v>
      </c>
      <c r="B21361" t="s">
        <v>20397</v>
      </c>
      <c r="C21361" t="s">
        <v>2305</v>
      </c>
      <c r="D21361" s="21" t="s">
        <v>34</v>
      </c>
      <c r="E21361" s="21" t="s">
        <v>71</v>
      </c>
      <c r="F21361">
        <v>1690167</v>
      </c>
      <c r="G21361" t="s">
        <v>11267</v>
      </c>
      <c r="H21361" s="21">
        <v>715.67</v>
      </c>
    </row>
    <row r="21362" spans="1:8" customFormat="1" x14ac:dyDescent="0.25">
      <c r="A21362" t="str">
        <f>"494672"</f>
        <v>494672</v>
      </c>
      <c r="B21362" t="s">
        <v>15117</v>
      </c>
      <c r="C21362" t="s">
        <v>17813</v>
      </c>
      <c r="D21362" s="21" t="s">
        <v>34</v>
      </c>
      <c r="E21362" s="21" t="s">
        <v>254</v>
      </c>
      <c r="F21362">
        <v>12490117</v>
      </c>
      <c r="G21362" t="s">
        <v>10141</v>
      </c>
      <c r="H21362" s="21">
        <v>715.67</v>
      </c>
    </row>
    <row r="21363" spans="1:8" customFormat="1" x14ac:dyDescent="0.25">
      <c r="A21363" t="str">
        <f>"6220401"</f>
        <v>6220401</v>
      </c>
      <c r="B21363" t="s">
        <v>17899</v>
      </c>
      <c r="C21363" t="s">
        <v>263</v>
      </c>
      <c r="D21363" s="21" t="s">
        <v>34</v>
      </c>
      <c r="E21363" s="21" t="s">
        <v>71</v>
      </c>
      <c r="F21363">
        <v>7620044</v>
      </c>
      <c r="G21363" t="s">
        <v>2961</v>
      </c>
      <c r="H21363" s="21">
        <v>715.67</v>
      </c>
    </row>
    <row r="21364" spans="1:8" customFormat="1" x14ac:dyDescent="0.25">
      <c r="A21364" t="str">
        <f>"4210366"</f>
        <v>4210366</v>
      </c>
      <c r="B21364" t="s">
        <v>2052</v>
      </c>
      <c r="C21364" t="s">
        <v>825</v>
      </c>
      <c r="D21364" s="21" t="s">
        <v>34</v>
      </c>
      <c r="E21364" s="21" t="s">
        <v>71</v>
      </c>
      <c r="F21364">
        <v>1420070</v>
      </c>
      <c r="G21364" t="s">
        <v>27046</v>
      </c>
      <c r="H21364" s="21">
        <v>715.67</v>
      </c>
    </row>
    <row r="21365" spans="1:8" customFormat="1" x14ac:dyDescent="0.25">
      <c r="A21365" t="str">
        <f>"16576"</f>
        <v>16576</v>
      </c>
      <c r="B21365" t="s">
        <v>2118</v>
      </c>
      <c r="C21365" t="s">
        <v>209</v>
      </c>
      <c r="D21365" s="21" t="s">
        <v>34</v>
      </c>
      <c r="E21365" s="21" t="s">
        <v>71</v>
      </c>
      <c r="F21365">
        <v>10160030</v>
      </c>
      <c r="G21365" t="s">
        <v>13173</v>
      </c>
      <c r="H21365" s="21">
        <v>715.67</v>
      </c>
    </row>
    <row r="21366" spans="1:8" customFormat="1" x14ac:dyDescent="0.25">
      <c r="A21366" t="str">
        <f>"12284"</f>
        <v>12284</v>
      </c>
      <c r="B21366" t="s">
        <v>16338</v>
      </c>
      <c r="C21366" t="s">
        <v>459</v>
      </c>
      <c r="D21366" s="21" t="s">
        <v>34</v>
      </c>
      <c r="E21366" s="21" t="s">
        <v>35</v>
      </c>
      <c r="F21366">
        <v>11120047</v>
      </c>
      <c r="G21366" t="s">
        <v>14107</v>
      </c>
      <c r="H21366" s="21">
        <v>715.67</v>
      </c>
    </row>
    <row r="21367" spans="1:8" customFormat="1" x14ac:dyDescent="0.25">
      <c r="A21367" t="str">
        <f>"888430"</f>
        <v>888430</v>
      </c>
      <c r="B21367" t="s">
        <v>8962</v>
      </c>
      <c r="C21367" t="s">
        <v>1841</v>
      </c>
      <c r="D21367" s="21" t="s">
        <v>34</v>
      </c>
      <c r="E21367" s="21" t="s">
        <v>1089</v>
      </c>
      <c r="F21367">
        <v>6880002</v>
      </c>
      <c r="G21367" t="s">
        <v>501</v>
      </c>
      <c r="H21367" s="21">
        <v>715.67</v>
      </c>
    </row>
    <row r="21368" spans="1:8" customFormat="1" x14ac:dyDescent="0.25">
      <c r="A21368" t="str">
        <f>"013324"</f>
        <v>013324</v>
      </c>
      <c r="B21368" t="s">
        <v>16547</v>
      </c>
      <c r="C21368" t="s">
        <v>87</v>
      </c>
      <c r="D21368" s="21" t="s">
        <v>34</v>
      </c>
      <c r="E21368" s="21" t="s">
        <v>71</v>
      </c>
      <c r="F21368">
        <v>1010033</v>
      </c>
      <c r="G21368" t="s">
        <v>14583</v>
      </c>
      <c r="H21368" s="21">
        <v>715.67</v>
      </c>
    </row>
    <row r="21369" spans="1:8" customFormat="1" x14ac:dyDescent="0.25">
      <c r="A21369" t="str">
        <f>"8018840"</f>
        <v>8018840</v>
      </c>
      <c r="B21369" t="s">
        <v>6089</v>
      </c>
      <c r="C21369" t="s">
        <v>55</v>
      </c>
      <c r="D21369" s="21" t="s">
        <v>34</v>
      </c>
      <c r="E21369" s="21" t="s">
        <v>71</v>
      </c>
      <c r="F21369">
        <v>7800018</v>
      </c>
      <c r="G21369" t="s">
        <v>10207</v>
      </c>
      <c r="H21369" s="21">
        <v>715.67</v>
      </c>
    </row>
    <row r="21370" spans="1:8" customFormat="1" x14ac:dyDescent="0.25">
      <c r="A21370" t="str">
        <f>"954440"</f>
        <v>954440</v>
      </c>
      <c r="B21370" t="s">
        <v>17313</v>
      </c>
      <c r="C21370" t="s">
        <v>3905</v>
      </c>
      <c r="D21370" s="21" t="s">
        <v>34</v>
      </c>
      <c r="E21370" s="21" t="s">
        <v>1089</v>
      </c>
      <c r="F21370">
        <v>8951092</v>
      </c>
      <c r="G21370" t="s">
        <v>5801</v>
      </c>
      <c r="H21370" s="21">
        <v>715.54</v>
      </c>
    </row>
    <row r="21371" spans="1:8" customFormat="1" x14ac:dyDescent="0.25">
      <c r="A21371" t="str">
        <f>"589757"</f>
        <v>589757</v>
      </c>
      <c r="B21371" t="s">
        <v>18237</v>
      </c>
      <c r="C21371" t="s">
        <v>3098</v>
      </c>
      <c r="D21371" s="21" t="s">
        <v>34</v>
      </c>
      <c r="E21371" s="21" t="s">
        <v>71</v>
      </c>
      <c r="F21371">
        <v>2580091</v>
      </c>
      <c r="G21371" t="s">
        <v>13057</v>
      </c>
      <c r="H21371" s="21">
        <v>715.42</v>
      </c>
    </row>
    <row r="21372" spans="1:8" customFormat="1" x14ac:dyDescent="0.25">
      <c r="A21372" t="str">
        <f>"455756"</f>
        <v>455756</v>
      </c>
      <c r="B21372" t="s">
        <v>16876</v>
      </c>
      <c r="C21372" t="s">
        <v>156</v>
      </c>
      <c r="D21372" s="21" t="s">
        <v>34</v>
      </c>
      <c r="E21372" s="21" t="s">
        <v>254</v>
      </c>
      <c r="F21372">
        <v>4450209</v>
      </c>
      <c r="G21372" t="s">
        <v>10425</v>
      </c>
      <c r="H21372" s="21">
        <v>715.42</v>
      </c>
    </row>
    <row r="21373" spans="1:8" customFormat="1" x14ac:dyDescent="0.25">
      <c r="A21373" t="str">
        <f>"3811239"</f>
        <v>3811239</v>
      </c>
      <c r="B21373" t="s">
        <v>16805</v>
      </c>
      <c r="C21373" t="s">
        <v>130</v>
      </c>
      <c r="D21373" s="21" t="s">
        <v>34</v>
      </c>
      <c r="E21373" s="21" t="s">
        <v>254</v>
      </c>
      <c r="F21373">
        <v>1380045</v>
      </c>
      <c r="G21373" t="s">
        <v>2114</v>
      </c>
      <c r="H21373" s="21">
        <v>715.17</v>
      </c>
    </row>
    <row r="21374" spans="1:8" customFormat="1" x14ac:dyDescent="0.25">
      <c r="A21374" t="str">
        <f>"8016736"</f>
        <v>8016736</v>
      </c>
      <c r="B21374" t="s">
        <v>18629</v>
      </c>
      <c r="C21374" t="s">
        <v>719</v>
      </c>
      <c r="D21374" s="21" t="s">
        <v>34</v>
      </c>
      <c r="E21374" s="21" t="s">
        <v>35</v>
      </c>
      <c r="F21374">
        <v>7800003</v>
      </c>
      <c r="G21374" t="s">
        <v>276</v>
      </c>
      <c r="H21374" s="21">
        <v>715.17</v>
      </c>
    </row>
    <row r="21375" spans="1:8" customFormat="1" x14ac:dyDescent="0.25">
      <c r="A21375" t="str">
        <f>"7640958"</f>
        <v>7640958</v>
      </c>
      <c r="B21375" t="s">
        <v>9281</v>
      </c>
      <c r="C21375" t="s">
        <v>267</v>
      </c>
      <c r="D21375" s="21" t="s">
        <v>34</v>
      </c>
      <c r="E21375" s="21" t="s">
        <v>35</v>
      </c>
      <c r="F21375">
        <v>9760417</v>
      </c>
      <c r="G21375" t="s">
        <v>11996</v>
      </c>
      <c r="H21375" s="21">
        <v>715.17</v>
      </c>
    </row>
    <row r="21376" spans="1:8" customFormat="1" x14ac:dyDescent="0.25">
      <c r="A21376" t="str">
        <f>"6315780"</f>
        <v>6315780</v>
      </c>
      <c r="B21376" t="s">
        <v>19676</v>
      </c>
      <c r="C21376" t="s">
        <v>598</v>
      </c>
      <c r="D21376" s="21" t="s">
        <v>34</v>
      </c>
      <c r="E21376" s="21" t="s">
        <v>35</v>
      </c>
      <c r="F21376">
        <v>1630085</v>
      </c>
      <c r="G21376" t="s">
        <v>2968</v>
      </c>
      <c r="H21376" s="21">
        <v>715.17</v>
      </c>
    </row>
    <row r="21377" spans="1:8" customFormat="1" x14ac:dyDescent="0.25">
      <c r="A21377" t="str">
        <f>"8510456"</f>
        <v>8510456</v>
      </c>
      <c r="B21377" t="s">
        <v>17517</v>
      </c>
      <c r="C21377" t="s">
        <v>156</v>
      </c>
      <c r="D21377" s="21" t="s">
        <v>34</v>
      </c>
      <c r="E21377" s="21" t="s">
        <v>254</v>
      </c>
      <c r="F21377">
        <v>12850026</v>
      </c>
      <c r="G21377" t="s">
        <v>1400</v>
      </c>
      <c r="H21377" s="21">
        <v>715.17</v>
      </c>
    </row>
    <row r="21378" spans="1:8" customFormat="1" x14ac:dyDescent="0.25">
      <c r="A21378" t="str">
        <f>"103990"</f>
        <v>103990</v>
      </c>
      <c r="B21378" t="s">
        <v>16497</v>
      </c>
      <c r="C21378" t="s">
        <v>171</v>
      </c>
      <c r="D21378" s="21" t="s">
        <v>34</v>
      </c>
      <c r="E21378" s="21" t="s">
        <v>71</v>
      </c>
      <c r="F21378">
        <v>6100007</v>
      </c>
      <c r="G21378" t="s">
        <v>9706</v>
      </c>
      <c r="H21378" s="21">
        <v>715.17</v>
      </c>
    </row>
    <row r="21379" spans="1:8" customFormat="1" x14ac:dyDescent="0.25">
      <c r="A21379" t="str">
        <f>"23962"</f>
        <v>23962</v>
      </c>
      <c r="B21379" t="s">
        <v>3505</v>
      </c>
      <c r="C21379" t="s">
        <v>486</v>
      </c>
      <c r="D21379" s="21" t="s">
        <v>34</v>
      </c>
      <c r="E21379" s="21" t="s">
        <v>35</v>
      </c>
      <c r="F21379">
        <v>10870031</v>
      </c>
      <c r="G21379" t="s">
        <v>959</v>
      </c>
      <c r="H21379" s="21">
        <v>715.17</v>
      </c>
    </row>
    <row r="21380" spans="1:8" customFormat="1" x14ac:dyDescent="0.25">
      <c r="A21380" t="str">
        <f>"686544"</f>
        <v>686544</v>
      </c>
      <c r="B21380" t="s">
        <v>17741</v>
      </c>
      <c r="C21380" t="s">
        <v>288</v>
      </c>
      <c r="D21380" s="21" t="s">
        <v>34</v>
      </c>
      <c r="E21380" s="21" t="s">
        <v>35</v>
      </c>
      <c r="F21380">
        <v>10640017</v>
      </c>
      <c r="G21380" t="s">
        <v>2454</v>
      </c>
      <c r="H21380" s="21">
        <v>715.17</v>
      </c>
    </row>
    <row r="21381" spans="1:8" customFormat="1" x14ac:dyDescent="0.25">
      <c r="A21381" t="str">
        <f>"218156"</f>
        <v>218156</v>
      </c>
      <c r="B21381" t="s">
        <v>16807</v>
      </c>
      <c r="C21381" t="s">
        <v>209</v>
      </c>
      <c r="D21381" s="21" t="s">
        <v>34</v>
      </c>
      <c r="E21381" s="21" t="s">
        <v>71</v>
      </c>
      <c r="F21381">
        <v>2210029</v>
      </c>
      <c r="G21381" t="s">
        <v>6983</v>
      </c>
      <c r="H21381" s="21">
        <v>715.17</v>
      </c>
    </row>
    <row r="21382" spans="1:8" customFormat="1" x14ac:dyDescent="0.25">
      <c r="A21382" t="str">
        <f>"597314"</f>
        <v>597314</v>
      </c>
      <c r="B21382" t="s">
        <v>3070</v>
      </c>
      <c r="C21382" t="s">
        <v>2479</v>
      </c>
      <c r="D21382" s="21" t="s">
        <v>34</v>
      </c>
      <c r="E21382" s="21" t="s">
        <v>254</v>
      </c>
      <c r="F21382">
        <v>7590361</v>
      </c>
      <c r="G21382" t="s">
        <v>3071</v>
      </c>
      <c r="H21382" s="21">
        <v>715.17</v>
      </c>
    </row>
    <row r="21383" spans="1:8" customFormat="1" x14ac:dyDescent="0.25">
      <c r="A21383" t="str">
        <f>"6111188"</f>
        <v>6111188</v>
      </c>
      <c r="B21383" t="s">
        <v>3930</v>
      </c>
      <c r="C21383" t="s">
        <v>198</v>
      </c>
      <c r="D21383" s="21" t="s">
        <v>34</v>
      </c>
      <c r="E21383" s="21" t="s">
        <v>254</v>
      </c>
      <c r="F21383">
        <v>9610115</v>
      </c>
      <c r="G21383" t="s">
        <v>17938</v>
      </c>
      <c r="H21383" s="21">
        <v>715.17</v>
      </c>
    </row>
    <row r="21384" spans="1:8" customFormat="1" x14ac:dyDescent="0.25">
      <c r="A21384" t="str">
        <f>"592200"</f>
        <v>592200</v>
      </c>
      <c r="B21384" t="s">
        <v>14732</v>
      </c>
      <c r="C21384" t="s">
        <v>1812</v>
      </c>
      <c r="D21384" s="21" t="s">
        <v>34</v>
      </c>
      <c r="E21384" s="21" t="s">
        <v>254</v>
      </c>
      <c r="F21384">
        <v>7590011</v>
      </c>
      <c r="G21384" t="s">
        <v>2147</v>
      </c>
      <c r="H21384" s="21">
        <v>715.17</v>
      </c>
    </row>
    <row r="21385" spans="1:8" customFormat="1" x14ac:dyDescent="0.25">
      <c r="A21385" t="str">
        <f>"4933150"</f>
        <v>4933150</v>
      </c>
      <c r="B21385" t="s">
        <v>11251</v>
      </c>
      <c r="C21385" t="s">
        <v>951</v>
      </c>
      <c r="D21385" s="21" t="s">
        <v>34</v>
      </c>
      <c r="E21385" s="21" t="s">
        <v>35</v>
      </c>
      <c r="F21385">
        <v>12490039</v>
      </c>
      <c r="G21385" t="s">
        <v>3453</v>
      </c>
      <c r="H21385" s="21">
        <v>715.17</v>
      </c>
    </row>
    <row r="21386" spans="1:8" customFormat="1" x14ac:dyDescent="0.25">
      <c r="A21386" t="str">
        <f>"1312289"</f>
        <v>1312289</v>
      </c>
      <c r="B21386" t="s">
        <v>27649</v>
      </c>
      <c r="C21386" t="s">
        <v>37</v>
      </c>
      <c r="D21386" s="21" t="s">
        <v>34</v>
      </c>
      <c r="E21386" s="21" t="s">
        <v>35</v>
      </c>
      <c r="F21386">
        <v>13130138</v>
      </c>
      <c r="G21386" t="s">
        <v>5409</v>
      </c>
      <c r="H21386" s="21">
        <v>715.17</v>
      </c>
    </row>
    <row r="21387" spans="1:8" customFormat="1" x14ac:dyDescent="0.25">
      <c r="A21387" t="str">
        <f>"3816870"</f>
        <v>3816870</v>
      </c>
      <c r="B21387" t="s">
        <v>16476</v>
      </c>
      <c r="C21387" t="s">
        <v>60</v>
      </c>
      <c r="D21387" s="21" t="s">
        <v>34</v>
      </c>
      <c r="E21387" s="21" t="s">
        <v>35</v>
      </c>
      <c r="F21387">
        <v>1380189</v>
      </c>
      <c r="G21387" t="s">
        <v>8143</v>
      </c>
      <c r="H21387" s="21">
        <v>715.17</v>
      </c>
    </row>
    <row r="21388" spans="1:8" customFormat="1" x14ac:dyDescent="0.25">
      <c r="A21388" t="str">
        <f>"778152"</f>
        <v>778152</v>
      </c>
      <c r="B21388" t="s">
        <v>16795</v>
      </c>
      <c r="C21388" t="s">
        <v>233</v>
      </c>
      <c r="D21388" s="21" t="s">
        <v>34</v>
      </c>
      <c r="E21388" s="21" t="s">
        <v>71</v>
      </c>
      <c r="F21388">
        <v>8770250</v>
      </c>
      <c r="G21388" t="s">
        <v>2595</v>
      </c>
      <c r="H21388" s="21">
        <v>715.17</v>
      </c>
    </row>
    <row r="21389" spans="1:8" customFormat="1" x14ac:dyDescent="0.25">
      <c r="A21389" t="str">
        <f>"7521368"</f>
        <v>7521368</v>
      </c>
      <c r="B21389" t="s">
        <v>13271</v>
      </c>
      <c r="C21389" t="s">
        <v>33</v>
      </c>
      <c r="D21389" s="21" t="s">
        <v>34</v>
      </c>
      <c r="E21389" s="21" t="s">
        <v>71</v>
      </c>
      <c r="F21389">
        <v>8751459</v>
      </c>
      <c r="G21389" t="s">
        <v>27461</v>
      </c>
      <c r="H21389" s="21">
        <v>714.92</v>
      </c>
    </row>
    <row r="21390" spans="1:8" customFormat="1" x14ac:dyDescent="0.25">
      <c r="A21390" t="str">
        <f>"406389"</f>
        <v>406389</v>
      </c>
      <c r="B21390" t="s">
        <v>1945</v>
      </c>
      <c r="C21390" t="s">
        <v>16732</v>
      </c>
      <c r="D21390" s="21" t="s">
        <v>34</v>
      </c>
      <c r="E21390" s="21" t="s">
        <v>35</v>
      </c>
      <c r="F21390">
        <v>10400024</v>
      </c>
      <c r="G21390" t="s">
        <v>4680</v>
      </c>
      <c r="H21390" s="21">
        <v>714.79</v>
      </c>
    </row>
    <row r="21391" spans="1:8" customFormat="1" x14ac:dyDescent="0.25">
      <c r="A21391" t="str">
        <f>"839081"</f>
        <v>839081</v>
      </c>
      <c r="B21391" t="s">
        <v>461</v>
      </c>
      <c r="C21391" t="s">
        <v>2546</v>
      </c>
      <c r="D21391" s="21" t="s">
        <v>34</v>
      </c>
      <c r="E21391" s="21" t="s">
        <v>1089</v>
      </c>
      <c r="F21391">
        <v>13830085</v>
      </c>
      <c r="G21391" t="s">
        <v>478</v>
      </c>
      <c r="H21391" s="21">
        <v>714.67</v>
      </c>
    </row>
    <row r="21392" spans="1:8" customFormat="1" x14ac:dyDescent="0.25">
      <c r="A21392" t="str">
        <f>"9753392"</f>
        <v>9753392</v>
      </c>
      <c r="B21392" t="s">
        <v>16360</v>
      </c>
      <c r="C21392" t="s">
        <v>8375</v>
      </c>
      <c r="D21392" s="21" t="s">
        <v>34</v>
      </c>
      <c r="E21392" s="21" t="s">
        <v>254</v>
      </c>
      <c r="F21392" t="s">
        <v>5520</v>
      </c>
      <c r="G21392" t="s">
        <v>5521</v>
      </c>
      <c r="H21392" s="21">
        <v>714.67</v>
      </c>
    </row>
    <row r="21393" spans="1:8" customFormat="1" x14ac:dyDescent="0.25">
      <c r="A21393" t="str">
        <f>"848292"</f>
        <v>848292</v>
      </c>
      <c r="B21393" t="s">
        <v>19811</v>
      </c>
      <c r="C21393" t="s">
        <v>19812</v>
      </c>
      <c r="D21393" s="21" t="s">
        <v>34</v>
      </c>
      <c r="E21393" s="21" t="s">
        <v>35</v>
      </c>
      <c r="F21393">
        <v>13840001</v>
      </c>
      <c r="G21393" t="s">
        <v>972</v>
      </c>
      <c r="H21393" s="21">
        <v>714.67</v>
      </c>
    </row>
    <row r="21394" spans="1:8" customFormat="1" x14ac:dyDescent="0.25">
      <c r="A21394" t="str">
        <f>"6214764"</f>
        <v>6214764</v>
      </c>
      <c r="B21394" t="s">
        <v>482</v>
      </c>
      <c r="C21394" t="s">
        <v>2520</v>
      </c>
      <c r="D21394" s="21" t="s">
        <v>34</v>
      </c>
      <c r="E21394" s="21" t="s">
        <v>254</v>
      </c>
      <c r="F21394">
        <v>7620153</v>
      </c>
      <c r="G21394" t="s">
        <v>5104</v>
      </c>
      <c r="H21394" s="21">
        <v>714.67</v>
      </c>
    </row>
    <row r="21395" spans="1:8" customFormat="1" x14ac:dyDescent="0.25">
      <c r="A21395" t="str">
        <f>"50470"</f>
        <v>50470</v>
      </c>
      <c r="B21395" t="s">
        <v>3087</v>
      </c>
      <c r="C21395" t="s">
        <v>2907</v>
      </c>
      <c r="D21395" s="21" t="s">
        <v>34</v>
      </c>
      <c r="E21395" s="21" t="s">
        <v>71</v>
      </c>
      <c r="F21395">
        <v>9500163</v>
      </c>
      <c r="G21395" t="s">
        <v>2750</v>
      </c>
      <c r="H21395" s="21">
        <v>714.67</v>
      </c>
    </row>
    <row r="21396" spans="1:8" customFormat="1" x14ac:dyDescent="0.25">
      <c r="A21396" t="str">
        <f>"10220"</f>
        <v>10220</v>
      </c>
      <c r="B21396" t="s">
        <v>3559</v>
      </c>
      <c r="C21396" t="s">
        <v>453</v>
      </c>
      <c r="D21396" s="21" t="s">
        <v>34</v>
      </c>
      <c r="E21396" s="21" t="s">
        <v>1089</v>
      </c>
      <c r="F21396">
        <v>6100021</v>
      </c>
      <c r="G21396" t="s">
        <v>7789</v>
      </c>
      <c r="H21396" s="21">
        <v>714.67</v>
      </c>
    </row>
    <row r="21397" spans="1:8" customFormat="1" x14ac:dyDescent="0.25">
      <c r="A21397" t="str">
        <f>"4210269"</f>
        <v>4210269</v>
      </c>
      <c r="B21397" t="s">
        <v>17759</v>
      </c>
      <c r="C21397" t="s">
        <v>453</v>
      </c>
      <c r="D21397" s="21" t="s">
        <v>34</v>
      </c>
      <c r="E21397" s="21" t="s">
        <v>254</v>
      </c>
      <c r="F21397">
        <v>1420048</v>
      </c>
      <c r="G21397" t="s">
        <v>745</v>
      </c>
      <c r="H21397" s="21">
        <v>714.67</v>
      </c>
    </row>
    <row r="21398" spans="1:8" customFormat="1" x14ac:dyDescent="0.25">
      <c r="A21398" t="str">
        <f>"3421834"</f>
        <v>3421834</v>
      </c>
      <c r="B21398" t="s">
        <v>14669</v>
      </c>
      <c r="C21398" t="s">
        <v>3648</v>
      </c>
      <c r="D21398" s="21" t="s">
        <v>34</v>
      </c>
      <c r="E21398" s="21" t="s">
        <v>1089</v>
      </c>
      <c r="F21398">
        <v>11340076</v>
      </c>
      <c r="G21398" t="s">
        <v>26665</v>
      </c>
      <c r="H21398" s="21">
        <v>714.67</v>
      </c>
    </row>
    <row r="21399" spans="1:8" customFormat="1" x14ac:dyDescent="0.25">
      <c r="A21399" t="str">
        <f>"1410949"</f>
        <v>1410949</v>
      </c>
      <c r="B21399" t="s">
        <v>14358</v>
      </c>
      <c r="C21399" t="s">
        <v>1605</v>
      </c>
      <c r="D21399" s="21" t="s">
        <v>34</v>
      </c>
      <c r="E21399" s="21" t="s">
        <v>1089</v>
      </c>
      <c r="F21399">
        <v>9140019</v>
      </c>
      <c r="G21399" t="s">
        <v>3901</v>
      </c>
      <c r="H21399" s="21">
        <v>714.67</v>
      </c>
    </row>
    <row r="21400" spans="1:8" customFormat="1" x14ac:dyDescent="0.25">
      <c r="A21400" t="str">
        <f>"4216849"</f>
        <v>4216849</v>
      </c>
      <c r="B21400" t="s">
        <v>17224</v>
      </c>
      <c r="C21400" t="s">
        <v>239</v>
      </c>
      <c r="D21400" s="21" t="s">
        <v>34</v>
      </c>
      <c r="E21400" s="21" t="s">
        <v>71</v>
      </c>
      <c r="F21400">
        <v>1420080</v>
      </c>
      <c r="G21400" t="s">
        <v>10230</v>
      </c>
      <c r="H21400" s="21">
        <v>714.67</v>
      </c>
    </row>
    <row r="21401" spans="1:8" customFormat="1" x14ac:dyDescent="0.25">
      <c r="A21401" t="str">
        <f>"9F1707"</f>
        <v>9F1707</v>
      </c>
      <c r="B21401" t="s">
        <v>4596</v>
      </c>
      <c r="C21401" t="s">
        <v>498</v>
      </c>
      <c r="D21401" s="21" t="s">
        <v>34</v>
      </c>
      <c r="E21401" s="21" t="s">
        <v>35</v>
      </c>
      <c r="F21401" t="s">
        <v>2126</v>
      </c>
      <c r="G21401" t="s">
        <v>2127</v>
      </c>
      <c r="H21401" s="21">
        <v>714.67</v>
      </c>
    </row>
    <row r="21402" spans="1:8" customFormat="1" x14ac:dyDescent="0.25">
      <c r="A21402" t="str">
        <f>"8612017"</f>
        <v>8612017</v>
      </c>
      <c r="B21402" t="s">
        <v>27650</v>
      </c>
      <c r="C21402" t="s">
        <v>62</v>
      </c>
      <c r="D21402" s="21" t="s">
        <v>34</v>
      </c>
      <c r="E21402" s="21" t="s">
        <v>35</v>
      </c>
      <c r="F21402">
        <v>10860006</v>
      </c>
      <c r="G21402" t="s">
        <v>3004</v>
      </c>
      <c r="H21402" s="21">
        <v>714.67</v>
      </c>
    </row>
    <row r="21403" spans="1:8" customFormat="1" x14ac:dyDescent="0.25">
      <c r="A21403" t="str">
        <f>"6231160"</f>
        <v>6231160</v>
      </c>
      <c r="B21403" t="s">
        <v>18784</v>
      </c>
      <c r="C21403" t="s">
        <v>239</v>
      </c>
      <c r="D21403" s="21" t="s">
        <v>34</v>
      </c>
      <c r="E21403" s="21" t="s">
        <v>71</v>
      </c>
      <c r="F21403">
        <v>7620121</v>
      </c>
      <c r="G21403" t="s">
        <v>7146</v>
      </c>
      <c r="H21403" s="21">
        <v>714.67</v>
      </c>
    </row>
    <row r="21404" spans="1:8" customFormat="1" x14ac:dyDescent="0.25">
      <c r="A21404" t="str">
        <f>"7633101"</f>
        <v>7633101</v>
      </c>
      <c r="B21404" t="s">
        <v>17618</v>
      </c>
      <c r="C21404" t="s">
        <v>415</v>
      </c>
      <c r="D21404" s="21" t="s">
        <v>34</v>
      </c>
      <c r="E21404" s="21" t="s">
        <v>1089</v>
      </c>
      <c r="F21404">
        <v>9760430</v>
      </c>
      <c r="G21404" t="s">
        <v>11565</v>
      </c>
      <c r="H21404" s="21">
        <v>714.67</v>
      </c>
    </row>
    <row r="21405" spans="1:8" customFormat="1" x14ac:dyDescent="0.25">
      <c r="A21405" t="str">
        <f>"3520073"</f>
        <v>3520073</v>
      </c>
      <c r="B21405" t="s">
        <v>16781</v>
      </c>
      <c r="C21405" t="s">
        <v>209</v>
      </c>
      <c r="D21405" s="21" t="s">
        <v>34</v>
      </c>
      <c r="E21405" s="21" t="s">
        <v>71</v>
      </c>
      <c r="F21405">
        <v>3350016</v>
      </c>
      <c r="G21405" t="s">
        <v>133</v>
      </c>
      <c r="H21405" s="21">
        <v>714.67</v>
      </c>
    </row>
    <row r="21406" spans="1:8" customFormat="1" x14ac:dyDescent="0.25">
      <c r="A21406" t="str">
        <f>"2618173"</f>
        <v>2618173</v>
      </c>
      <c r="B21406" t="s">
        <v>12494</v>
      </c>
      <c r="C21406" t="s">
        <v>302</v>
      </c>
      <c r="D21406" s="21" t="s">
        <v>34</v>
      </c>
      <c r="E21406" s="21" t="s">
        <v>35</v>
      </c>
      <c r="F21406">
        <v>1260068</v>
      </c>
      <c r="G21406" t="s">
        <v>6531</v>
      </c>
      <c r="H21406" s="21">
        <v>714.67</v>
      </c>
    </row>
    <row r="21407" spans="1:8" customFormat="1" x14ac:dyDescent="0.25">
      <c r="A21407" t="str">
        <f>"3515380"</f>
        <v>3515380</v>
      </c>
      <c r="B21407" t="s">
        <v>16955</v>
      </c>
      <c r="C21407" t="s">
        <v>209</v>
      </c>
      <c r="D21407" s="21" t="s">
        <v>34</v>
      </c>
      <c r="E21407" s="21" t="s">
        <v>254</v>
      </c>
      <c r="F21407">
        <v>3350122</v>
      </c>
      <c r="G21407" t="s">
        <v>3069</v>
      </c>
      <c r="H21407" s="21">
        <v>714.67</v>
      </c>
    </row>
    <row r="21408" spans="1:8" customFormat="1" x14ac:dyDescent="0.25">
      <c r="A21408" t="str">
        <f>"1314306"</f>
        <v>1314306</v>
      </c>
      <c r="B21408" t="s">
        <v>9058</v>
      </c>
      <c r="C21408" t="s">
        <v>3010</v>
      </c>
      <c r="D21408" s="21" t="s">
        <v>34</v>
      </c>
      <c r="E21408" s="21" t="s">
        <v>254</v>
      </c>
      <c r="F21408">
        <v>13130138</v>
      </c>
      <c r="G21408" t="s">
        <v>5409</v>
      </c>
      <c r="H21408" s="21">
        <v>714.67</v>
      </c>
    </row>
    <row r="21409" spans="1:8" customFormat="1" x14ac:dyDescent="0.25">
      <c r="A21409" t="str">
        <f>"4445870"</f>
        <v>4445870</v>
      </c>
      <c r="B21409" t="s">
        <v>5613</v>
      </c>
      <c r="C21409" t="s">
        <v>171</v>
      </c>
      <c r="D21409" s="21" t="s">
        <v>34</v>
      </c>
      <c r="E21409" s="21" t="s">
        <v>71</v>
      </c>
      <c r="F21409">
        <v>12440049</v>
      </c>
      <c r="G21409" t="s">
        <v>3339</v>
      </c>
      <c r="H21409" s="21">
        <v>714.67</v>
      </c>
    </row>
    <row r="21410" spans="1:8" customFormat="1" x14ac:dyDescent="0.25">
      <c r="A21410" t="str">
        <f>"25724"</f>
        <v>25724</v>
      </c>
      <c r="B21410" t="s">
        <v>16558</v>
      </c>
      <c r="C21410" t="s">
        <v>233</v>
      </c>
      <c r="D21410" s="21" t="s">
        <v>34</v>
      </c>
      <c r="E21410" s="21" t="s">
        <v>1089</v>
      </c>
      <c r="F21410">
        <v>2250033</v>
      </c>
      <c r="G21410" t="s">
        <v>4951</v>
      </c>
      <c r="H21410" s="21">
        <v>714.67</v>
      </c>
    </row>
    <row r="21411" spans="1:8" customFormat="1" x14ac:dyDescent="0.25">
      <c r="A21411" t="str">
        <f>"1316444"</f>
        <v>1316444</v>
      </c>
      <c r="B21411" t="s">
        <v>18464</v>
      </c>
      <c r="C21411" t="s">
        <v>169</v>
      </c>
      <c r="D21411" s="21" t="s">
        <v>34</v>
      </c>
      <c r="E21411" s="21" t="s">
        <v>35</v>
      </c>
      <c r="F21411">
        <v>13130138</v>
      </c>
      <c r="G21411" t="s">
        <v>5409</v>
      </c>
      <c r="H21411" s="21">
        <v>714.67</v>
      </c>
    </row>
    <row r="21412" spans="1:8" customFormat="1" x14ac:dyDescent="0.25">
      <c r="A21412" t="str">
        <f>"916182"</f>
        <v>916182</v>
      </c>
      <c r="B21412" t="s">
        <v>9500</v>
      </c>
      <c r="C21412" t="s">
        <v>267</v>
      </c>
      <c r="D21412" s="21" t="s">
        <v>34</v>
      </c>
      <c r="E21412" s="21" t="s">
        <v>71</v>
      </c>
      <c r="F21412">
        <v>8910642</v>
      </c>
      <c r="G21412" t="s">
        <v>27027</v>
      </c>
      <c r="H21412" s="21">
        <v>714.67</v>
      </c>
    </row>
    <row r="21413" spans="1:8" customFormat="1" x14ac:dyDescent="0.25">
      <c r="A21413" t="str">
        <f>"9140795"</f>
        <v>9140795</v>
      </c>
      <c r="B21413" t="s">
        <v>16967</v>
      </c>
      <c r="C21413" t="s">
        <v>204</v>
      </c>
      <c r="D21413" s="21" t="s">
        <v>34</v>
      </c>
      <c r="E21413" s="21" t="s">
        <v>71</v>
      </c>
      <c r="F21413">
        <v>8910578</v>
      </c>
      <c r="G21413" t="s">
        <v>5776</v>
      </c>
      <c r="H21413" s="21">
        <v>714.67</v>
      </c>
    </row>
    <row r="21414" spans="1:8" customFormat="1" x14ac:dyDescent="0.25">
      <c r="A21414" t="str">
        <f>"645592"</f>
        <v>645592</v>
      </c>
      <c r="B21414" t="s">
        <v>27651</v>
      </c>
      <c r="C21414" t="s">
        <v>486</v>
      </c>
      <c r="D21414" s="21" t="s">
        <v>34</v>
      </c>
      <c r="E21414" s="21" t="s">
        <v>35</v>
      </c>
      <c r="F21414">
        <v>10640019</v>
      </c>
      <c r="G21414" t="s">
        <v>3123</v>
      </c>
      <c r="H21414" s="21">
        <v>714.67</v>
      </c>
    </row>
    <row r="21415" spans="1:8" customFormat="1" x14ac:dyDescent="0.25">
      <c r="A21415" t="str">
        <f>"3729352"</f>
        <v>3729352</v>
      </c>
      <c r="B21415" t="s">
        <v>3587</v>
      </c>
      <c r="C21415" t="s">
        <v>43</v>
      </c>
      <c r="D21415" s="21" t="s">
        <v>34</v>
      </c>
      <c r="E21415" s="21" t="s">
        <v>35</v>
      </c>
      <c r="F21415">
        <v>4370694</v>
      </c>
      <c r="G21415" t="s">
        <v>989</v>
      </c>
      <c r="H21415" s="21">
        <v>714.67</v>
      </c>
    </row>
    <row r="21416" spans="1:8" customFormat="1" x14ac:dyDescent="0.25">
      <c r="A21416" t="str">
        <f>"852092"</f>
        <v>852092</v>
      </c>
      <c r="B21416" t="s">
        <v>350</v>
      </c>
      <c r="C21416" t="s">
        <v>209</v>
      </c>
      <c r="D21416" s="21" t="s">
        <v>34</v>
      </c>
      <c r="E21416" s="21" t="s">
        <v>71</v>
      </c>
      <c r="F21416">
        <v>12850097</v>
      </c>
      <c r="G21416" t="s">
        <v>4111</v>
      </c>
      <c r="H21416" s="21">
        <v>714.67</v>
      </c>
    </row>
    <row r="21417" spans="1:8" customFormat="1" x14ac:dyDescent="0.25">
      <c r="A21417" t="str">
        <f>"7215893"</f>
        <v>7215893</v>
      </c>
      <c r="B21417" t="s">
        <v>17157</v>
      </c>
      <c r="C21417" t="s">
        <v>82</v>
      </c>
      <c r="D21417" s="21" t="s">
        <v>34</v>
      </c>
      <c r="E21417" s="21" t="s">
        <v>35</v>
      </c>
      <c r="F21417">
        <v>12720027</v>
      </c>
      <c r="G21417" t="s">
        <v>3562</v>
      </c>
      <c r="H21417" s="21">
        <v>714.67</v>
      </c>
    </row>
    <row r="21418" spans="1:8" customFormat="1" x14ac:dyDescent="0.25">
      <c r="A21418" t="str">
        <f>"3411339"</f>
        <v>3411339</v>
      </c>
      <c r="B21418" t="s">
        <v>760</v>
      </c>
      <c r="C21418" t="s">
        <v>233</v>
      </c>
      <c r="D21418" s="21" t="s">
        <v>34</v>
      </c>
      <c r="E21418" s="21" t="s">
        <v>254</v>
      </c>
      <c r="F21418">
        <v>11340018</v>
      </c>
      <c r="G21418" t="s">
        <v>2421</v>
      </c>
      <c r="H21418" s="21">
        <v>714.42</v>
      </c>
    </row>
    <row r="21419" spans="1:8" customFormat="1" x14ac:dyDescent="0.25">
      <c r="A21419" t="str">
        <f>"1320754"</f>
        <v>1320754</v>
      </c>
      <c r="B21419" t="s">
        <v>2881</v>
      </c>
      <c r="C21419" t="s">
        <v>249</v>
      </c>
      <c r="D21419" s="21" t="s">
        <v>34</v>
      </c>
      <c r="E21419" s="21" t="s">
        <v>71</v>
      </c>
      <c r="F21419">
        <v>13130152</v>
      </c>
      <c r="G21419" t="s">
        <v>906</v>
      </c>
      <c r="H21419" s="21">
        <v>714.29</v>
      </c>
    </row>
    <row r="21420" spans="1:8" customFormat="1" x14ac:dyDescent="0.25">
      <c r="A21420" t="str">
        <f>"1612226"</f>
        <v>1612226</v>
      </c>
      <c r="B21420" t="s">
        <v>17318</v>
      </c>
      <c r="C21420" t="s">
        <v>65</v>
      </c>
      <c r="D21420" s="21" t="s">
        <v>34</v>
      </c>
      <c r="E21420" s="21" t="s">
        <v>71</v>
      </c>
      <c r="F21420">
        <v>10160051</v>
      </c>
      <c r="G21420" t="s">
        <v>7167</v>
      </c>
      <c r="H21420" s="21">
        <v>714.17</v>
      </c>
    </row>
    <row r="21421" spans="1:8" customFormat="1" x14ac:dyDescent="0.25">
      <c r="A21421" t="str">
        <f>"282706"</f>
        <v>282706</v>
      </c>
      <c r="B21421" t="s">
        <v>14788</v>
      </c>
      <c r="C21421" t="s">
        <v>119</v>
      </c>
      <c r="D21421" s="21" t="s">
        <v>34</v>
      </c>
      <c r="E21421" s="21" t="s">
        <v>35</v>
      </c>
      <c r="F21421">
        <v>4280632</v>
      </c>
      <c r="G21421" t="s">
        <v>6825</v>
      </c>
      <c r="H21421" s="21">
        <v>714.17</v>
      </c>
    </row>
    <row r="21422" spans="1:8" customFormat="1" x14ac:dyDescent="0.25">
      <c r="A21422" t="str">
        <f>"5320780"</f>
        <v>5320780</v>
      </c>
      <c r="B21422" t="s">
        <v>16993</v>
      </c>
      <c r="C21422" t="s">
        <v>1142</v>
      </c>
      <c r="D21422" s="21" t="s">
        <v>34</v>
      </c>
      <c r="E21422" s="21" t="s">
        <v>254</v>
      </c>
      <c r="F21422">
        <v>12530010</v>
      </c>
      <c r="G21422" t="s">
        <v>7994</v>
      </c>
      <c r="H21422" s="21">
        <v>714.17</v>
      </c>
    </row>
    <row r="21423" spans="1:8" customFormat="1" x14ac:dyDescent="0.25">
      <c r="A21423" t="str">
        <f>"5916551"</f>
        <v>5916551</v>
      </c>
      <c r="B21423" t="s">
        <v>16687</v>
      </c>
      <c r="C21423" t="s">
        <v>822</v>
      </c>
      <c r="D21423" s="21" t="s">
        <v>34</v>
      </c>
      <c r="E21423" s="21" t="s">
        <v>6185</v>
      </c>
      <c r="F21423">
        <v>7590043</v>
      </c>
      <c r="G21423" t="s">
        <v>10565</v>
      </c>
      <c r="H21423" s="21">
        <v>714.17</v>
      </c>
    </row>
    <row r="21424" spans="1:8" customFormat="1" x14ac:dyDescent="0.25">
      <c r="A21424" t="str">
        <f>"8012595"</f>
        <v>8012595</v>
      </c>
      <c r="B21424" t="s">
        <v>392</v>
      </c>
      <c r="C21424" t="s">
        <v>484</v>
      </c>
      <c r="D21424" s="21" t="s">
        <v>34</v>
      </c>
      <c r="E21424" s="21" t="s">
        <v>71</v>
      </c>
      <c r="F21424">
        <v>7800079</v>
      </c>
      <c r="G21424" t="s">
        <v>14753</v>
      </c>
      <c r="H21424" s="21">
        <v>714.17</v>
      </c>
    </row>
    <row r="21425" spans="1:8" customFormat="1" x14ac:dyDescent="0.25">
      <c r="A21425" t="str">
        <f>"625987"</f>
        <v>625987</v>
      </c>
      <c r="B21425" t="s">
        <v>10518</v>
      </c>
      <c r="C21425" t="s">
        <v>109</v>
      </c>
      <c r="D21425" s="21" t="s">
        <v>34</v>
      </c>
      <c r="E21425" s="21" t="s">
        <v>35</v>
      </c>
      <c r="F21425">
        <v>7620024</v>
      </c>
      <c r="G21425" t="s">
        <v>2975</v>
      </c>
      <c r="H21425" s="21">
        <v>714.17</v>
      </c>
    </row>
    <row r="21426" spans="1:8" customFormat="1" x14ac:dyDescent="0.25">
      <c r="A21426" t="str">
        <f>"166765"</f>
        <v>166765</v>
      </c>
      <c r="B21426" t="s">
        <v>15395</v>
      </c>
      <c r="C21426" t="s">
        <v>263</v>
      </c>
      <c r="D21426" s="21" t="s">
        <v>34</v>
      </c>
      <c r="E21426" s="21" t="s">
        <v>254</v>
      </c>
      <c r="F21426">
        <v>10160028</v>
      </c>
      <c r="G21426" t="s">
        <v>12565</v>
      </c>
      <c r="H21426" s="21">
        <v>714.17</v>
      </c>
    </row>
    <row r="21427" spans="1:8" customFormat="1" x14ac:dyDescent="0.25">
      <c r="A21427" t="str">
        <f>"3326993"</f>
        <v>3326993</v>
      </c>
      <c r="B21427" t="s">
        <v>2445</v>
      </c>
      <c r="C21427" t="s">
        <v>1665</v>
      </c>
      <c r="D21427" s="21" t="s">
        <v>34</v>
      </c>
      <c r="E21427" s="21" t="s">
        <v>71</v>
      </c>
      <c r="F21427">
        <v>10330077</v>
      </c>
      <c r="G21427" t="s">
        <v>4274</v>
      </c>
      <c r="H21427" s="21">
        <v>714.17</v>
      </c>
    </row>
    <row r="21428" spans="1:8" customFormat="1" x14ac:dyDescent="0.25">
      <c r="A21428" t="str">
        <f>"2911587"</f>
        <v>2911587</v>
      </c>
      <c r="B21428" t="s">
        <v>17092</v>
      </c>
      <c r="C21428" t="s">
        <v>1025</v>
      </c>
      <c r="D21428" s="21" t="s">
        <v>34</v>
      </c>
      <c r="E21428" s="21" t="s">
        <v>254</v>
      </c>
      <c r="F21428">
        <v>3290009</v>
      </c>
      <c r="G21428" t="s">
        <v>4358</v>
      </c>
      <c r="H21428" s="21">
        <v>714.17</v>
      </c>
    </row>
    <row r="21429" spans="1:8" customFormat="1" x14ac:dyDescent="0.25">
      <c r="A21429" t="str">
        <f>"9532335"</f>
        <v>9532335</v>
      </c>
      <c r="B21429" t="s">
        <v>16976</v>
      </c>
      <c r="C21429" t="s">
        <v>1100</v>
      </c>
      <c r="D21429" s="21" t="s">
        <v>34</v>
      </c>
      <c r="E21429" s="21" t="s">
        <v>35</v>
      </c>
      <c r="F21429">
        <v>8951449</v>
      </c>
      <c r="G21429" t="s">
        <v>4475</v>
      </c>
      <c r="H21429" s="21">
        <v>714.17</v>
      </c>
    </row>
    <row r="21430" spans="1:8" customFormat="1" x14ac:dyDescent="0.25">
      <c r="A21430" t="str">
        <f>"297248"</f>
        <v>297248</v>
      </c>
      <c r="B21430" t="s">
        <v>15558</v>
      </c>
      <c r="C21430" t="s">
        <v>151</v>
      </c>
      <c r="D21430" s="21" t="s">
        <v>34</v>
      </c>
      <c r="E21430" s="21" t="s">
        <v>71</v>
      </c>
      <c r="F21430">
        <v>3290273</v>
      </c>
      <c r="G21430" t="s">
        <v>2972</v>
      </c>
      <c r="H21430" s="21">
        <v>714.17</v>
      </c>
    </row>
    <row r="21431" spans="1:8" customFormat="1" x14ac:dyDescent="0.25">
      <c r="A21431" t="str">
        <f>"5980793"</f>
        <v>5980793</v>
      </c>
      <c r="B21431" t="s">
        <v>20592</v>
      </c>
      <c r="C21431" t="s">
        <v>236</v>
      </c>
      <c r="D21431" s="21" t="s">
        <v>34</v>
      </c>
      <c r="E21431" s="21" t="s">
        <v>71</v>
      </c>
      <c r="F21431">
        <v>7590100</v>
      </c>
      <c r="G21431" t="s">
        <v>1660</v>
      </c>
      <c r="H21431" s="21">
        <v>714.17</v>
      </c>
    </row>
    <row r="21432" spans="1:8" customFormat="1" x14ac:dyDescent="0.25">
      <c r="A21432" t="str">
        <f>"2932713"</f>
        <v>2932713</v>
      </c>
      <c r="B21432" t="s">
        <v>16616</v>
      </c>
      <c r="C21432" t="s">
        <v>130</v>
      </c>
      <c r="D21432" s="21" t="s">
        <v>34</v>
      </c>
      <c r="E21432" s="21" t="s">
        <v>71</v>
      </c>
      <c r="F21432">
        <v>3290266</v>
      </c>
      <c r="G21432" t="s">
        <v>1783</v>
      </c>
      <c r="H21432" s="21">
        <v>714.17</v>
      </c>
    </row>
    <row r="21433" spans="1:8" customFormat="1" x14ac:dyDescent="0.25">
      <c r="A21433" t="str">
        <f>"8515621"</f>
        <v>8515621</v>
      </c>
      <c r="B21433" t="s">
        <v>2204</v>
      </c>
      <c r="C21433" t="s">
        <v>33</v>
      </c>
      <c r="D21433" s="21" t="s">
        <v>34</v>
      </c>
      <c r="E21433" s="21" t="s">
        <v>35</v>
      </c>
      <c r="F21433">
        <v>12850107</v>
      </c>
      <c r="G21433" t="s">
        <v>12181</v>
      </c>
      <c r="H21433" s="21">
        <v>714.17</v>
      </c>
    </row>
    <row r="21434" spans="1:8" customFormat="1" x14ac:dyDescent="0.25">
      <c r="A21434" t="str">
        <f>"171038"</f>
        <v>171038</v>
      </c>
      <c r="B21434" t="s">
        <v>16335</v>
      </c>
      <c r="C21434" t="s">
        <v>1914</v>
      </c>
      <c r="D21434" s="21" t="s">
        <v>34</v>
      </c>
      <c r="E21434" s="21" t="s">
        <v>254</v>
      </c>
      <c r="F21434">
        <v>10170029</v>
      </c>
      <c r="G21434" t="s">
        <v>9383</v>
      </c>
      <c r="H21434" s="21">
        <v>714.17</v>
      </c>
    </row>
    <row r="21435" spans="1:8" customFormat="1" x14ac:dyDescent="0.25">
      <c r="A21435" t="str">
        <f>"7865676"</f>
        <v>7865676</v>
      </c>
      <c r="B21435" t="s">
        <v>16845</v>
      </c>
      <c r="C21435" t="s">
        <v>16846</v>
      </c>
      <c r="D21435" s="21" t="s">
        <v>34</v>
      </c>
      <c r="E21435" s="21" t="s">
        <v>35</v>
      </c>
      <c r="F21435">
        <v>8780678</v>
      </c>
      <c r="G21435" t="s">
        <v>8556</v>
      </c>
      <c r="H21435" s="21">
        <v>714.17</v>
      </c>
    </row>
    <row r="21436" spans="1:8" customFormat="1" x14ac:dyDescent="0.25">
      <c r="A21436" t="str">
        <f>"2515724"</f>
        <v>2515724</v>
      </c>
      <c r="B21436" t="s">
        <v>16915</v>
      </c>
      <c r="C21436" t="s">
        <v>119</v>
      </c>
      <c r="D21436" s="21" t="s">
        <v>34</v>
      </c>
      <c r="E21436" s="21" t="s">
        <v>71</v>
      </c>
      <c r="F21436">
        <v>2250162</v>
      </c>
      <c r="G21436" t="s">
        <v>7388</v>
      </c>
      <c r="H21436" s="21">
        <v>714.17</v>
      </c>
    </row>
    <row r="21437" spans="1:8" customFormat="1" x14ac:dyDescent="0.25">
      <c r="A21437" t="str">
        <f>"7213800"</f>
        <v>7213800</v>
      </c>
      <c r="B21437" t="s">
        <v>1347</v>
      </c>
      <c r="C21437" t="s">
        <v>3073</v>
      </c>
      <c r="D21437" s="21" t="s">
        <v>34</v>
      </c>
      <c r="E21437" s="21" t="s">
        <v>254</v>
      </c>
      <c r="F21437">
        <v>12720079</v>
      </c>
      <c r="G21437" t="s">
        <v>4028</v>
      </c>
      <c r="H21437" s="21">
        <v>714.17</v>
      </c>
    </row>
    <row r="21438" spans="1:8" customFormat="1" x14ac:dyDescent="0.25">
      <c r="A21438" t="str">
        <f>"6214906"</f>
        <v>6214906</v>
      </c>
      <c r="B21438" t="s">
        <v>7388</v>
      </c>
      <c r="C21438" t="s">
        <v>156</v>
      </c>
      <c r="D21438" s="21" t="s">
        <v>34</v>
      </c>
      <c r="E21438" s="21" t="s">
        <v>71</v>
      </c>
      <c r="F21438">
        <v>7620056</v>
      </c>
      <c r="G21438" t="s">
        <v>11211</v>
      </c>
      <c r="H21438" s="21">
        <v>714.17</v>
      </c>
    </row>
    <row r="21439" spans="1:8" customFormat="1" x14ac:dyDescent="0.25">
      <c r="A21439" t="str">
        <f>"5730146"</f>
        <v>5730146</v>
      </c>
      <c r="B21439" t="s">
        <v>17834</v>
      </c>
      <c r="C21439" t="s">
        <v>926</v>
      </c>
      <c r="D21439" s="21" t="s">
        <v>34</v>
      </c>
      <c r="E21439" s="21" t="s">
        <v>35</v>
      </c>
      <c r="F21439">
        <v>6570024</v>
      </c>
      <c r="G21439" t="s">
        <v>464</v>
      </c>
      <c r="H21439" s="21">
        <v>714.17</v>
      </c>
    </row>
    <row r="21440" spans="1:8" customFormat="1" x14ac:dyDescent="0.25">
      <c r="A21440" t="str">
        <f>"6312515"</f>
        <v>6312515</v>
      </c>
      <c r="B21440" t="s">
        <v>2210</v>
      </c>
      <c r="C21440" t="s">
        <v>62</v>
      </c>
      <c r="D21440" s="21" t="s">
        <v>34</v>
      </c>
      <c r="E21440" s="21" t="s">
        <v>35</v>
      </c>
      <c r="F21440">
        <v>1630332</v>
      </c>
      <c r="G21440" t="s">
        <v>27136</v>
      </c>
      <c r="H21440" s="21">
        <v>714.17</v>
      </c>
    </row>
    <row r="21441" spans="1:8" customFormat="1" x14ac:dyDescent="0.25">
      <c r="A21441" t="str">
        <f>"701436"</f>
        <v>701436</v>
      </c>
      <c r="B21441" t="s">
        <v>8046</v>
      </c>
      <c r="C21441" t="s">
        <v>510</v>
      </c>
      <c r="D21441" s="21" t="s">
        <v>34</v>
      </c>
      <c r="E21441" s="21" t="s">
        <v>254</v>
      </c>
      <c r="F21441">
        <v>2700074</v>
      </c>
      <c r="G21441" t="s">
        <v>27108</v>
      </c>
      <c r="H21441" s="21">
        <v>714.04</v>
      </c>
    </row>
    <row r="21442" spans="1:8" customFormat="1" x14ac:dyDescent="0.25">
      <c r="A21442" t="str">
        <f>"9131909"</f>
        <v>9131909</v>
      </c>
      <c r="B21442" t="s">
        <v>11944</v>
      </c>
      <c r="C21442" t="s">
        <v>249</v>
      </c>
      <c r="D21442" s="21" t="s">
        <v>34</v>
      </c>
      <c r="E21442" s="21" t="s">
        <v>71</v>
      </c>
      <c r="F21442">
        <v>8910359</v>
      </c>
      <c r="G21442" t="s">
        <v>1204</v>
      </c>
      <c r="H21442" s="21">
        <v>713.92</v>
      </c>
    </row>
    <row r="21443" spans="1:8" customFormat="1" x14ac:dyDescent="0.25">
      <c r="A21443" t="str">
        <f>"5717550"</f>
        <v>5717550</v>
      </c>
      <c r="B21443" t="s">
        <v>17461</v>
      </c>
      <c r="C21443" t="s">
        <v>139</v>
      </c>
      <c r="D21443" s="21" t="s">
        <v>34</v>
      </c>
      <c r="E21443" s="21" t="s">
        <v>35</v>
      </c>
      <c r="F21443">
        <v>10330121</v>
      </c>
      <c r="G21443" t="s">
        <v>5145</v>
      </c>
      <c r="H21443" s="21">
        <v>713.92</v>
      </c>
    </row>
    <row r="21444" spans="1:8" customFormat="1" x14ac:dyDescent="0.25">
      <c r="A21444" t="str">
        <f>"2210909"</f>
        <v>2210909</v>
      </c>
      <c r="B21444" t="s">
        <v>14296</v>
      </c>
      <c r="C21444" t="s">
        <v>547</v>
      </c>
      <c r="D21444" s="21" t="s">
        <v>34</v>
      </c>
      <c r="E21444" s="21" t="s">
        <v>35</v>
      </c>
      <c r="F21444">
        <v>3220007</v>
      </c>
      <c r="G21444" t="s">
        <v>26946</v>
      </c>
      <c r="H21444" s="21">
        <v>713.92</v>
      </c>
    </row>
    <row r="21445" spans="1:8" customFormat="1" x14ac:dyDescent="0.25">
      <c r="A21445" t="str">
        <f>"9242859"</f>
        <v>9242859</v>
      </c>
      <c r="B21445" t="s">
        <v>7482</v>
      </c>
      <c r="C21445" t="s">
        <v>33</v>
      </c>
      <c r="D21445" s="21" t="s">
        <v>34</v>
      </c>
      <c r="E21445" s="21" t="s">
        <v>35</v>
      </c>
      <c r="F21445">
        <v>8920066</v>
      </c>
      <c r="G21445" t="s">
        <v>4899</v>
      </c>
      <c r="H21445" s="21">
        <v>713.92</v>
      </c>
    </row>
    <row r="21446" spans="1:8" customFormat="1" x14ac:dyDescent="0.25">
      <c r="A21446" t="str">
        <f>"7726649"</f>
        <v>7726649</v>
      </c>
      <c r="B21446" t="s">
        <v>20709</v>
      </c>
      <c r="C21446" t="s">
        <v>109</v>
      </c>
      <c r="D21446" s="21" t="s">
        <v>34</v>
      </c>
      <c r="E21446" s="21" t="s">
        <v>35</v>
      </c>
      <c r="F21446">
        <v>8771446</v>
      </c>
      <c r="G21446" t="s">
        <v>830</v>
      </c>
      <c r="H21446" s="21">
        <v>713.92</v>
      </c>
    </row>
    <row r="21447" spans="1:8" customFormat="1" x14ac:dyDescent="0.25">
      <c r="A21447" t="str">
        <f>"2214196"</f>
        <v>2214196</v>
      </c>
      <c r="B21447" t="s">
        <v>9185</v>
      </c>
      <c r="C21447" t="s">
        <v>119</v>
      </c>
      <c r="D21447" s="21" t="s">
        <v>34</v>
      </c>
      <c r="E21447" s="21" t="s">
        <v>71</v>
      </c>
      <c r="F21447">
        <v>3560093</v>
      </c>
      <c r="G21447" t="s">
        <v>11246</v>
      </c>
      <c r="H21447" s="21">
        <v>713.79</v>
      </c>
    </row>
    <row r="21448" spans="1:8" customFormat="1" x14ac:dyDescent="0.25">
      <c r="A21448" t="str">
        <f>"9B724"</f>
        <v>9B724</v>
      </c>
      <c r="B21448" t="s">
        <v>17171</v>
      </c>
      <c r="C21448" t="s">
        <v>415</v>
      </c>
      <c r="D21448" s="21" t="s">
        <v>34</v>
      </c>
      <c r="E21448" s="21" t="s">
        <v>71</v>
      </c>
      <c r="F21448" t="s">
        <v>17172</v>
      </c>
      <c r="G21448" t="s">
        <v>17173</v>
      </c>
      <c r="H21448" s="21">
        <v>713.67</v>
      </c>
    </row>
    <row r="21449" spans="1:8" customFormat="1" x14ac:dyDescent="0.25">
      <c r="A21449" t="str">
        <f>"104773"</f>
        <v>104773</v>
      </c>
      <c r="B21449" t="s">
        <v>4368</v>
      </c>
      <c r="C21449" t="s">
        <v>169</v>
      </c>
      <c r="D21449" s="21" t="s">
        <v>34</v>
      </c>
      <c r="E21449" s="21" t="s">
        <v>35</v>
      </c>
      <c r="F21449">
        <v>11120004</v>
      </c>
      <c r="G21449" t="s">
        <v>2311</v>
      </c>
      <c r="H21449" s="21">
        <v>713.67</v>
      </c>
    </row>
    <row r="21450" spans="1:8" customFormat="1" x14ac:dyDescent="0.25">
      <c r="A21450" t="str">
        <f>"584207"</f>
        <v>584207</v>
      </c>
      <c r="B21450" t="s">
        <v>6693</v>
      </c>
      <c r="C21450" t="s">
        <v>453</v>
      </c>
      <c r="D21450" s="21" t="s">
        <v>34</v>
      </c>
      <c r="E21450" s="21" t="s">
        <v>254</v>
      </c>
      <c r="F21450">
        <v>2580078</v>
      </c>
      <c r="G21450" t="s">
        <v>4432</v>
      </c>
      <c r="H21450" s="21">
        <v>713.67</v>
      </c>
    </row>
    <row r="21451" spans="1:8" customFormat="1" x14ac:dyDescent="0.25">
      <c r="A21451" t="str">
        <f>"8526773"</f>
        <v>8526773</v>
      </c>
      <c r="B21451" t="s">
        <v>18346</v>
      </c>
      <c r="C21451" t="s">
        <v>415</v>
      </c>
      <c r="D21451" s="21" t="s">
        <v>34</v>
      </c>
      <c r="E21451" s="21" t="s">
        <v>35</v>
      </c>
      <c r="F21451">
        <v>12850016</v>
      </c>
      <c r="G21451" t="s">
        <v>26554</v>
      </c>
      <c r="H21451" s="21">
        <v>713.67</v>
      </c>
    </row>
    <row r="21452" spans="1:8" customFormat="1" x14ac:dyDescent="0.25">
      <c r="A21452" t="str">
        <f>"9237200"</f>
        <v>9237200</v>
      </c>
      <c r="B21452" t="s">
        <v>16493</v>
      </c>
      <c r="C21452" t="s">
        <v>305</v>
      </c>
      <c r="D21452" s="21" t="s">
        <v>34</v>
      </c>
      <c r="E21452" s="21" t="s">
        <v>35</v>
      </c>
      <c r="F21452">
        <v>8920503</v>
      </c>
      <c r="G21452" t="s">
        <v>9047</v>
      </c>
      <c r="H21452" s="21">
        <v>713.67</v>
      </c>
    </row>
    <row r="21453" spans="1:8" customFormat="1" x14ac:dyDescent="0.25">
      <c r="A21453" t="str">
        <f>"6217266"</f>
        <v>6217266</v>
      </c>
      <c r="B21453" t="s">
        <v>4527</v>
      </c>
      <c r="C21453" t="s">
        <v>33</v>
      </c>
      <c r="D21453" s="21" t="s">
        <v>34</v>
      </c>
      <c r="E21453" s="21" t="s">
        <v>35</v>
      </c>
      <c r="F21453">
        <v>8911439</v>
      </c>
      <c r="G21453" t="s">
        <v>3953</v>
      </c>
      <c r="H21453" s="21">
        <v>713.67</v>
      </c>
    </row>
    <row r="21454" spans="1:8" customFormat="1" x14ac:dyDescent="0.25">
      <c r="A21454" t="str">
        <f>"224121"</f>
        <v>224121</v>
      </c>
      <c r="B21454" t="s">
        <v>5072</v>
      </c>
      <c r="C21454" t="s">
        <v>3355</v>
      </c>
      <c r="D21454" s="21" t="s">
        <v>34</v>
      </c>
      <c r="E21454" s="21" t="s">
        <v>35</v>
      </c>
      <c r="F21454">
        <v>3220013</v>
      </c>
      <c r="G21454" t="s">
        <v>27198</v>
      </c>
      <c r="H21454" s="21">
        <v>713.67</v>
      </c>
    </row>
    <row r="21455" spans="1:8" customFormat="1" x14ac:dyDescent="0.25">
      <c r="A21455" t="str">
        <f>"085056"</f>
        <v>085056</v>
      </c>
      <c r="B21455" t="s">
        <v>17529</v>
      </c>
      <c r="C21455" t="s">
        <v>547</v>
      </c>
      <c r="D21455" s="21" t="s">
        <v>34</v>
      </c>
      <c r="E21455" s="21" t="s">
        <v>71</v>
      </c>
      <c r="F21455">
        <v>6080053</v>
      </c>
      <c r="G21455" t="s">
        <v>12951</v>
      </c>
      <c r="H21455" s="21">
        <v>713.67</v>
      </c>
    </row>
    <row r="21456" spans="1:8" customFormat="1" x14ac:dyDescent="0.25">
      <c r="A21456" t="str">
        <f>"63485"</f>
        <v>63485</v>
      </c>
      <c r="B21456" t="s">
        <v>16634</v>
      </c>
      <c r="C21456" t="s">
        <v>253</v>
      </c>
      <c r="D21456" s="21" t="s">
        <v>34</v>
      </c>
      <c r="E21456" s="21" t="s">
        <v>254</v>
      </c>
      <c r="F21456">
        <v>1630185</v>
      </c>
      <c r="G21456" t="s">
        <v>858</v>
      </c>
      <c r="H21456" s="21">
        <v>713.67</v>
      </c>
    </row>
    <row r="21457" spans="1:8" customFormat="1" x14ac:dyDescent="0.25">
      <c r="A21457" t="str">
        <f>"3011084"</f>
        <v>3011084</v>
      </c>
      <c r="B21457" t="s">
        <v>5725</v>
      </c>
      <c r="C21457" t="s">
        <v>1325</v>
      </c>
      <c r="D21457" s="21" t="s">
        <v>34</v>
      </c>
      <c r="E21457" s="21" t="s">
        <v>35</v>
      </c>
      <c r="F21457">
        <v>11300010</v>
      </c>
      <c r="G21457" t="s">
        <v>6282</v>
      </c>
      <c r="H21457" s="21">
        <v>713.67</v>
      </c>
    </row>
    <row r="21458" spans="1:8" customFormat="1" x14ac:dyDescent="0.25">
      <c r="A21458" t="str">
        <f>"5413748"</f>
        <v>5413748</v>
      </c>
      <c r="B21458" t="s">
        <v>4352</v>
      </c>
      <c r="C21458" t="s">
        <v>4721</v>
      </c>
      <c r="D21458" s="21" t="s">
        <v>34</v>
      </c>
      <c r="E21458" s="21" t="s">
        <v>71</v>
      </c>
      <c r="F21458">
        <v>6540108</v>
      </c>
      <c r="G21458" t="s">
        <v>4340</v>
      </c>
      <c r="H21458" s="21">
        <v>713.67</v>
      </c>
    </row>
    <row r="21459" spans="1:8" customFormat="1" x14ac:dyDescent="0.25">
      <c r="A21459" t="str">
        <f>"5911375"</f>
        <v>5911375</v>
      </c>
      <c r="B21459" t="s">
        <v>15908</v>
      </c>
      <c r="C21459" t="s">
        <v>1142</v>
      </c>
      <c r="D21459" s="21" t="s">
        <v>34</v>
      </c>
      <c r="E21459" s="21" t="s">
        <v>71</v>
      </c>
      <c r="F21459">
        <v>7590013</v>
      </c>
      <c r="G21459" t="s">
        <v>4839</v>
      </c>
      <c r="H21459" s="21">
        <v>713.67</v>
      </c>
    </row>
    <row r="21460" spans="1:8" customFormat="1" x14ac:dyDescent="0.25">
      <c r="A21460" t="str">
        <f>"8860"</f>
        <v>8860</v>
      </c>
      <c r="B21460" t="s">
        <v>16556</v>
      </c>
      <c r="C21460" t="s">
        <v>1146</v>
      </c>
      <c r="D21460" s="21" t="s">
        <v>34</v>
      </c>
      <c r="E21460" s="21" t="s">
        <v>71</v>
      </c>
      <c r="F21460">
        <v>6880002</v>
      </c>
      <c r="G21460" t="s">
        <v>501</v>
      </c>
      <c r="H21460" s="21">
        <v>713.67</v>
      </c>
    </row>
    <row r="21461" spans="1:8" customFormat="1" x14ac:dyDescent="0.25">
      <c r="A21461" t="str">
        <f>"4921827"</f>
        <v>4921827</v>
      </c>
      <c r="B21461" t="s">
        <v>7161</v>
      </c>
      <c r="C21461" t="s">
        <v>1853</v>
      </c>
      <c r="D21461" s="21" t="s">
        <v>34</v>
      </c>
      <c r="E21461" s="21" t="s">
        <v>35</v>
      </c>
      <c r="F21461">
        <v>12490014</v>
      </c>
      <c r="G21461" t="s">
        <v>8547</v>
      </c>
      <c r="H21461" s="21">
        <v>713.67</v>
      </c>
    </row>
    <row r="21462" spans="1:8" customFormat="1" x14ac:dyDescent="0.25">
      <c r="A21462" t="str">
        <f>"7638313"</f>
        <v>7638313</v>
      </c>
      <c r="B21462" t="s">
        <v>17583</v>
      </c>
      <c r="C21462" t="s">
        <v>17584</v>
      </c>
      <c r="D21462" s="21" t="s">
        <v>34</v>
      </c>
      <c r="E21462" s="21" t="s">
        <v>35</v>
      </c>
      <c r="F21462">
        <v>9760382</v>
      </c>
      <c r="G21462" t="s">
        <v>2737</v>
      </c>
      <c r="H21462" s="21">
        <v>713.67</v>
      </c>
    </row>
    <row r="21463" spans="1:8" customFormat="1" x14ac:dyDescent="0.25">
      <c r="A21463" t="str">
        <f>"219353"</f>
        <v>219353</v>
      </c>
      <c r="B21463" t="s">
        <v>6460</v>
      </c>
      <c r="C21463" t="s">
        <v>114</v>
      </c>
      <c r="D21463" s="21" t="s">
        <v>34</v>
      </c>
      <c r="E21463" s="21" t="s">
        <v>254</v>
      </c>
      <c r="F21463">
        <v>2210007</v>
      </c>
      <c r="G21463" t="s">
        <v>26848</v>
      </c>
      <c r="H21463" s="21">
        <v>713.67</v>
      </c>
    </row>
    <row r="21464" spans="1:8" customFormat="1" x14ac:dyDescent="0.25">
      <c r="A21464" t="str">
        <f>"1420092"</f>
        <v>1420092</v>
      </c>
      <c r="B21464" t="s">
        <v>16385</v>
      </c>
      <c r="C21464" t="s">
        <v>3098</v>
      </c>
      <c r="D21464" s="21" t="s">
        <v>34</v>
      </c>
      <c r="E21464" s="21" t="s">
        <v>35</v>
      </c>
      <c r="F21464">
        <v>9140063</v>
      </c>
      <c r="G21464" t="s">
        <v>4764</v>
      </c>
      <c r="H21464" s="21">
        <v>713.67</v>
      </c>
    </row>
    <row r="21465" spans="1:8" customFormat="1" x14ac:dyDescent="0.25">
      <c r="A21465" t="str">
        <f>"5721494"</f>
        <v>5721494</v>
      </c>
      <c r="B21465" t="s">
        <v>16341</v>
      </c>
      <c r="C21465" t="s">
        <v>12969</v>
      </c>
      <c r="D21465" s="21" t="s">
        <v>34</v>
      </c>
      <c r="E21465" s="21" t="s">
        <v>1089</v>
      </c>
      <c r="F21465">
        <v>6570146</v>
      </c>
      <c r="G21465" t="s">
        <v>1556</v>
      </c>
      <c r="H21465" s="21">
        <v>713.67</v>
      </c>
    </row>
    <row r="21466" spans="1:8" customFormat="1" x14ac:dyDescent="0.25">
      <c r="A21466" t="str">
        <f>"3711909"</f>
        <v>3711909</v>
      </c>
      <c r="B21466" t="s">
        <v>946</v>
      </c>
      <c r="C21466" t="s">
        <v>267</v>
      </c>
      <c r="D21466" s="21" t="s">
        <v>34</v>
      </c>
      <c r="E21466" s="21" t="s">
        <v>254</v>
      </c>
      <c r="F21466">
        <v>4370349</v>
      </c>
      <c r="G21466" t="s">
        <v>2287</v>
      </c>
      <c r="H21466" s="21">
        <v>713.67</v>
      </c>
    </row>
    <row r="21467" spans="1:8" customFormat="1" x14ac:dyDescent="0.25">
      <c r="A21467" t="str">
        <f>"2719473"</f>
        <v>2719473</v>
      </c>
      <c r="B21467" t="s">
        <v>4315</v>
      </c>
      <c r="C21467" t="s">
        <v>90</v>
      </c>
      <c r="D21467" s="21" t="s">
        <v>34</v>
      </c>
      <c r="E21467" s="21" t="s">
        <v>35</v>
      </c>
      <c r="F21467">
        <v>9270005</v>
      </c>
      <c r="G21467" t="s">
        <v>1255</v>
      </c>
      <c r="H21467" s="21">
        <v>713.67</v>
      </c>
    </row>
    <row r="21468" spans="1:8" customFormat="1" x14ac:dyDescent="0.25">
      <c r="A21468" t="str">
        <f>"0110111"</f>
        <v>0110111</v>
      </c>
      <c r="B21468" t="s">
        <v>17714</v>
      </c>
      <c r="C21468" t="s">
        <v>498</v>
      </c>
      <c r="D21468" s="21" t="s">
        <v>34</v>
      </c>
      <c r="E21468" s="21" t="s">
        <v>35</v>
      </c>
      <c r="F21468">
        <v>3560056</v>
      </c>
      <c r="G21468" t="s">
        <v>3145</v>
      </c>
      <c r="H21468" s="21">
        <v>713.54</v>
      </c>
    </row>
    <row r="21469" spans="1:8" customFormat="1" x14ac:dyDescent="0.25">
      <c r="A21469" t="str">
        <f>"2720867"</f>
        <v>2720867</v>
      </c>
      <c r="B21469" t="s">
        <v>9061</v>
      </c>
      <c r="C21469" t="s">
        <v>305</v>
      </c>
      <c r="D21469" s="21" t="s">
        <v>34</v>
      </c>
      <c r="E21469" s="21" t="s">
        <v>35</v>
      </c>
      <c r="F21469">
        <v>9270126</v>
      </c>
      <c r="G21469" t="s">
        <v>7569</v>
      </c>
      <c r="H21469" s="21">
        <v>713.42</v>
      </c>
    </row>
    <row r="21470" spans="1:8" customFormat="1" x14ac:dyDescent="0.25">
      <c r="A21470" t="str">
        <f>"3515915"</f>
        <v>3515915</v>
      </c>
      <c r="B21470" t="s">
        <v>12759</v>
      </c>
      <c r="C21470" t="s">
        <v>233</v>
      </c>
      <c r="D21470" s="21" t="s">
        <v>34</v>
      </c>
      <c r="E21470" s="21" t="s">
        <v>254</v>
      </c>
      <c r="F21470">
        <v>3350011</v>
      </c>
      <c r="G21470" t="s">
        <v>2404</v>
      </c>
      <c r="H21470" s="21">
        <v>713.17</v>
      </c>
    </row>
    <row r="21471" spans="1:8" customFormat="1" x14ac:dyDescent="0.25">
      <c r="A21471" t="str">
        <f>"536749"</f>
        <v>536749</v>
      </c>
      <c r="B21471" t="s">
        <v>402</v>
      </c>
      <c r="C21471" t="s">
        <v>2276</v>
      </c>
      <c r="D21471" s="21" t="s">
        <v>34</v>
      </c>
      <c r="E21471" s="21" t="s">
        <v>254</v>
      </c>
      <c r="F21471">
        <v>12530143</v>
      </c>
      <c r="G21471" t="s">
        <v>8386</v>
      </c>
      <c r="H21471" s="21">
        <v>713.17</v>
      </c>
    </row>
    <row r="21472" spans="1:8" customFormat="1" x14ac:dyDescent="0.25">
      <c r="A21472" t="str">
        <f>"5014687"</f>
        <v>5014687</v>
      </c>
      <c r="B21472" t="s">
        <v>14951</v>
      </c>
      <c r="C21472" t="s">
        <v>65</v>
      </c>
      <c r="D21472" s="21" t="s">
        <v>34</v>
      </c>
      <c r="E21472" s="21" t="s">
        <v>35</v>
      </c>
      <c r="F21472">
        <v>9500059</v>
      </c>
      <c r="G21472" t="s">
        <v>26714</v>
      </c>
      <c r="H21472" s="21">
        <v>713.17</v>
      </c>
    </row>
    <row r="21473" spans="1:8" customFormat="1" x14ac:dyDescent="0.25">
      <c r="A21473" t="str">
        <f>"461649"</f>
        <v>461649</v>
      </c>
      <c r="B21473" t="s">
        <v>18072</v>
      </c>
      <c r="C21473" t="s">
        <v>119</v>
      </c>
      <c r="D21473" s="21" t="s">
        <v>34</v>
      </c>
      <c r="E21473" s="21" t="s">
        <v>35</v>
      </c>
      <c r="F21473">
        <v>11460023</v>
      </c>
      <c r="G21473" t="s">
        <v>5430</v>
      </c>
      <c r="H21473" s="21">
        <v>713.17</v>
      </c>
    </row>
    <row r="21474" spans="1:8" customFormat="1" x14ac:dyDescent="0.25">
      <c r="A21474" t="str">
        <f>"517891"</f>
        <v>517891</v>
      </c>
      <c r="B21474" t="s">
        <v>27652</v>
      </c>
      <c r="C21474" t="s">
        <v>249</v>
      </c>
      <c r="D21474" s="21" t="s">
        <v>34</v>
      </c>
      <c r="E21474" s="21" t="s">
        <v>71</v>
      </c>
      <c r="F21474">
        <v>1730007</v>
      </c>
      <c r="G21474" t="s">
        <v>6989</v>
      </c>
      <c r="H21474" s="21">
        <v>713.17</v>
      </c>
    </row>
    <row r="21475" spans="1:8" customFormat="1" x14ac:dyDescent="0.25">
      <c r="A21475" t="str">
        <f>"4442267"</f>
        <v>4442267</v>
      </c>
      <c r="B21475" t="s">
        <v>17361</v>
      </c>
      <c r="C21475" t="s">
        <v>82</v>
      </c>
      <c r="D21475" s="21" t="s">
        <v>34</v>
      </c>
      <c r="E21475" s="21" t="s">
        <v>35</v>
      </c>
      <c r="F21475">
        <v>12440182</v>
      </c>
      <c r="G21475" t="s">
        <v>2915</v>
      </c>
      <c r="H21475" s="21">
        <v>713.17</v>
      </c>
    </row>
    <row r="21476" spans="1:8" customFormat="1" x14ac:dyDescent="0.25">
      <c r="A21476" t="str">
        <f>"152396"</f>
        <v>152396</v>
      </c>
      <c r="B21476" t="s">
        <v>17864</v>
      </c>
      <c r="C21476" t="s">
        <v>151</v>
      </c>
      <c r="D21476" s="21" t="s">
        <v>34</v>
      </c>
      <c r="E21476" s="21" t="s">
        <v>35</v>
      </c>
      <c r="F21476">
        <v>1150291</v>
      </c>
      <c r="G21476" t="s">
        <v>17865</v>
      </c>
      <c r="H21476" s="21">
        <v>713.17</v>
      </c>
    </row>
    <row r="21477" spans="1:8" customFormat="1" x14ac:dyDescent="0.25">
      <c r="A21477" t="str">
        <f>"5322288"</f>
        <v>5322288</v>
      </c>
      <c r="B21477" t="s">
        <v>13084</v>
      </c>
      <c r="C21477" t="s">
        <v>147</v>
      </c>
      <c r="D21477" s="21" t="s">
        <v>34</v>
      </c>
      <c r="E21477" s="21" t="s">
        <v>35</v>
      </c>
      <c r="F21477">
        <v>12530065</v>
      </c>
      <c r="G21477" t="s">
        <v>10009</v>
      </c>
      <c r="H21477" s="21">
        <v>713.17</v>
      </c>
    </row>
    <row r="21478" spans="1:8" customFormat="1" x14ac:dyDescent="0.25">
      <c r="A21478" t="str">
        <f>"9526007"</f>
        <v>9526007</v>
      </c>
      <c r="B21478" t="s">
        <v>16581</v>
      </c>
      <c r="C21478" t="s">
        <v>3807</v>
      </c>
      <c r="D21478" s="21" t="s">
        <v>34</v>
      </c>
      <c r="E21478" s="21" t="s">
        <v>35</v>
      </c>
      <c r="F21478">
        <v>8920309</v>
      </c>
      <c r="G21478" t="s">
        <v>1894</v>
      </c>
      <c r="H21478" s="21">
        <v>713.17</v>
      </c>
    </row>
    <row r="21479" spans="1:8" customFormat="1" x14ac:dyDescent="0.25">
      <c r="A21479" t="str">
        <f>"3425858"</f>
        <v>3425858</v>
      </c>
      <c r="B21479" t="s">
        <v>3930</v>
      </c>
      <c r="C21479" t="s">
        <v>33</v>
      </c>
      <c r="D21479" s="21" t="s">
        <v>34</v>
      </c>
      <c r="E21479" s="21" t="s">
        <v>35</v>
      </c>
      <c r="F21479">
        <v>11340072</v>
      </c>
      <c r="G21479" t="s">
        <v>4785</v>
      </c>
      <c r="H21479" s="21">
        <v>713.04</v>
      </c>
    </row>
    <row r="21480" spans="1:8" customFormat="1" x14ac:dyDescent="0.25">
      <c r="A21480" t="str">
        <f>"847481"</f>
        <v>847481</v>
      </c>
      <c r="B21480" t="s">
        <v>1094</v>
      </c>
      <c r="C21480" t="s">
        <v>109</v>
      </c>
      <c r="D21480" s="21" t="s">
        <v>34</v>
      </c>
      <c r="E21480" s="21" t="s">
        <v>71</v>
      </c>
      <c r="F21480">
        <v>13840062</v>
      </c>
      <c r="G21480" t="s">
        <v>17239</v>
      </c>
      <c r="H21480" s="21">
        <v>713.04</v>
      </c>
    </row>
    <row r="21481" spans="1:8" customFormat="1" x14ac:dyDescent="0.25">
      <c r="A21481" t="str">
        <f>"9420990"</f>
        <v>9420990</v>
      </c>
      <c r="B21481" t="s">
        <v>21349</v>
      </c>
      <c r="C21481" t="s">
        <v>98</v>
      </c>
      <c r="D21481" s="21" t="s">
        <v>34</v>
      </c>
      <c r="E21481" s="21" t="s">
        <v>35</v>
      </c>
      <c r="F21481">
        <v>8771154</v>
      </c>
      <c r="G21481" t="s">
        <v>3625</v>
      </c>
      <c r="H21481" s="21">
        <v>712.92</v>
      </c>
    </row>
    <row r="21482" spans="1:8" customFormat="1" x14ac:dyDescent="0.25">
      <c r="A21482" t="str">
        <f>"6935087"</f>
        <v>6935087</v>
      </c>
      <c r="B21482" t="s">
        <v>18752</v>
      </c>
      <c r="C21482" t="s">
        <v>18753</v>
      </c>
      <c r="D21482" s="21" t="s">
        <v>34</v>
      </c>
      <c r="E21482" s="21" t="s">
        <v>254</v>
      </c>
      <c r="F21482">
        <v>1690218</v>
      </c>
      <c r="G21482" t="s">
        <v>3637</v>
      </c>
      <c r="H21482" s="21">
        <v>712.92</v>
      </c>
    </row>
    <row r="21483" spans="1:8" customFormat="1" x14ac:dyDescent="0.25">
      <c r="A21483" t="str">
        <f>"7515942"</f>
        <v>7515942</v>
      </c>
      <c r="B21483" t="s">
        <v>5098</v>
      </c>
      <c r="C21483" t="s">
        <v>16842</v>
      </c>
      <c r="D21483" s="21" t="s">
        <v>34</v>
      </c>
      <c r="E21483" s="21" t="s">
        <v>254</v>
      </c>
      <c r="F21483">
        <v>8751249</v>
      </c>
      <c r="G21483" t="s">
        <v>2803</v>
      </c>
      <c r="H21483" s="21">
        <v>712.92</v>
      </c>
    </row>
    <row r="21484" spans="1:8" customFormat="1" x14ac:dyDescent="0.25">
      <c r="A21484" t="str">
        <f>"289988"</f>
        <v>289988</v>
      </c>
      <c r="B21484" t="s">
        <v>9961</v>
      </c>
      <c r="C21484" t="s">
        <v>263</v>
      </c>
      <c r="D21484" s="21" t="s">
        <v>34</v>
      </c>
      <c r="E21484" s="21" t="s">
        <v>71</v>
      </c>
      <c r="F21484">
        <v>4280681</v>
      </c>
      <c r="G21484" t="s">
        <v>1656</v>
      </c>
      <c r="H21484" s="21">
        <v>712.67</v>
      </c>
    </row>
    <row r="21485" spans="1:8" customFormat="1" x14ac:dyDescent="0.25">
      <c r="A21485" t="str">
        <f>"1424047"</f>
        <v>1424047</v>
      </c>
      <c r="B21485" t="s">
        <v>8932</v>
      </c>
      <c r="C21485" t="s">
        <v>209</v>
      </c>
      <c r="D21485" s="21" t="s">
        <v>34</v>
      </c>
      <c r="E21485" s="21" t="s">
        <v>254</v>
      </c>
      <c r="F21485">
        <v>9140234</v>
      </c>
      <c r="G21485" t="s">
        <v>5548</v>
      </c>
      <c r="H21485" s="21">
        <v>712.67</v>
      </c>
    </row>
    <row r="21486" spans="1:8" customFormat="1" x14ac:dyDescent="0.25">
      <c r="A21486" t="str">
        <f>"3820354"</f>
        <v>3820354</v>
      </c>
      <c r="B21486" t="s">
        <v>7383</v>
      </c>
      <c r="C21486" t="s">
        <v>169</v>
      </c>
      <c r="D21486" s="21" t="s">
        <v>34</v>
      </c>
      <c r="E21486" s="21" t="s">
        <v>35</v>
      </c>
      <c r="F21486">
        <v>1380290</v>
      </c>
      <c r="G21486" t="s">
        <v>619</v>
      </c>
      <c r="H21486" s="21">
        <v>712.67</v>
      </c>
    </row>
    <row r="21487" spans="1:8" customFormat="1" x14ac:dyDescent="0.25">
      <c r="A21487" t="str">
        <f>"68767"</f>
        <v>68767</v>
      </c>
      <c r="B21487" t="s">
        <v>16720</v>
      </c>
      <c r="C21487" t="s">
        <v>639</v>
      </c>
      <c r="D21487" s="21" t="s">
        <v>34</v>
      </c>
      <c r="E21487" s="21" t="s">
        <v>1089</v>
      </c>
      <c r="F21487">
        <v>6680071</v>
      </c>
      <c r="G21487" t="s">
        <v>2899</v>
      </c>
      <c r="H21487" s="21">
        <v>712.67</v>
      </c>
    </row>
    <row r="21488" spans="1:8" customFormat="1" x14ac:dyDescent="0.25">
      <c r="A21488" t="str">
        <f>"5920522"</f>
        <v>5920522</v>
      </c>
      <c r="B21488" t="s">
        <v>17795</v>
      </c>
      <c r="C21488" t="s">
        <v>3712</v>
      </c>
      <c r="D21488" s="21" t="s">
        <v>34</v>
      </c>
      <c r="E21488" s="21" t="s">
        <v>254</v>
      </c>
      <c r="F21488">
        <v>7590080</v>
      </c>
      <c r="G21488" t="s">
        <v>1715</v>
      </c>
      <c r="H21488" s="21">
        <v>712.67</v>
      </c>
    </row>
    <row r="21489" spans="1:8" customFormat="1" x14ac:dyDescent="0.25">
      <c r="A21489" t="str">
        <f>"944181"</f>
        <v>944181</v>
      </c>
      <c r="B21489" t="s">
        <v>3322</v>
      </c>
      <c r="C21489" t="s">
        <v>879</v>
      </c>
      <c r="D21489" s="21" t="s">
        <v>34</v>
      </c>
      <c r="E21489" s="21" t="s">
        <v>254</v>
      </c>
      <c r="F21489">
        <v>3560091</v>
      </c>
      <c r="G21489" t="s">
        <v>27212</v>
      </c>
      <c r="H21489" s="21">
        <v>712.67</v>
      </c>
    </row>
    <row r="21490" spans="1:8" customFormat="1" x14ac:dyDescent="0.25">
      <c r="A21490" t="str">
        <f>"3723161"</f>
        <v>3723161</v>
      </c>
      <c r="B21490" t="s">
        <v>16505</v>
      </c>
      <c r="C21490" t="s">
        <v>65</v>
      </c>
      <c r="D21490" s="21" t="s">
        <v>34</v>
      </c>
      <c r="E21490" s="21" t="s">
        <v>35</v>
      </c>
      <c r="F21490">
        <v>4370349</v>
      </c>
      <c r="G21490" t="s">
        <v>2287</v>
      </c>
      <c r="H21490" s="21">
        <v>712.67</v>
      </c>
    </row>
    <row r="21491" spans="1:8" customFormat="1" x14ac:dyDescent="0.25">
      <c r="A21491" t="str">
        <f>"2210986"</f>
        <v>2210986</v>
      </c>
      <c r="B21491" t="s">
        <v>4124</v>
      </c>
      <c r="C21491" t="s">
        <v>130</v>
      </c>
      <c r="D21491" s="21" t="s">
        <v>34</v>
      </c>
      <c r="E21491" s="21" t="s">
        <v>254</v>
      </c>
      <c r="F21491">
        <v>3220030</v>
      </c>
      <c r="G21491" t="s">
        <v>26821</v>
      </c>
      <c r="H21491" s="21">
        <v>712.67</v>
      </c>
    </row>
    <row r="21492" spans="1:8" customFormat="1" x14ac:dyDescent="0.25">
      <c r="A21492" t="str">
        <f>"4412488"</f>
        <v>4412488</v>
      </c>
      <c r="B21492" t="s">
        <v>16401</v>
      </c>
      <c r="C21492" t="s">
        <v>1231</v>
      </c>
      <c r="D21492" s="21" t="s">
        <v>34</v>
      </c>
      <c r="E21492" s="21" t="s">
        <v>254</v>
      </c>
      <c r="F21492">
        <v>12440088</v>
      </c>
      <c r="G21492" t="s">
        <v>17289</v>
      </c>
      <c r="H21492" s="21">
        <v>712.67</v>
      </c>
    </row>
    <row r="21493" spans="1:8" customFormat="1" x14ac:dyDescent="0.25">
      <c r="A21493" t="str">
        <f>"441158"</f>
        <v>441158</v>
      </c>
      <c r="B21493" t="s">
        <v>5280</v>
      </c>
      <c r="C21493" t="s">
        <v>415</v>
      </c>
      <c r="D21493" s="21" t="s">
        <v>34</v>
      </c>
      <c r="E21493" s="21" t="s">
        <v>254</v>
      </c>
      <c r="F21493">
        <v>12440034</v>
      </c>
      <c r="G21493" t="s">
        <v>10586</v>
      </c>
      <c r="H21493" s="21">
        <v>712.67</v>
      </c>
    </row>
    <row r="21494" spans="1:8" customFormat="1" x14ac:dyDescent="0.25">
      <c r="A21494" t="str">
        <f>"3512583"</f>
        <v>3512583</v>
      </c>
      <c r="B21494" t="s">
        <v>6779</v>
      </c>
      <c r="C21494" t="s">
        <v>4721</v>
      </c>
      <c r="D21494" s="21" t="s">
        <v>34</v>
      </c>
      <c r="E21494" s="21" t="s">
        <v>254</v>
      </c>
      <c r="F21494">
        <v>3350183</v>
      </c>
      <c r="G21494" t="s">
        <v>2572</v>
      </c>
      <c r="H21494" s="21">
        <v>712.67</v>
      </c>
    </row>
    <row r="21495" spans="1:8" customFormat="1" x14ac:dyDescent="0.25">
      <c r="A21495" t="str">
        <f>"3531715"</f>
        <v>3531715</v>
      </c>
      <c r="B21495" t="s">
        <v>11120</v>
      </c>
      <c r="C21495" t="s">
        <v>269</v>
      </c>
      <c r="D21495" s="21" t="s">
        <v>34</v>
      </c>
      <c r="E21495" s="21" t="s">
        <v>71</v>
      </c>
      <c r="F21495">
        <v>9500124</v>
      </c>
      <c r="G21495" t="s">
        <v>3726</v>
      </c>
      <c r="H21495" s="21">
        <v>712.67</v>
      </c>
    </row>
    <row r="21496" spans="1:8" customFormat="1" x14ac:dyDescent="0.25">
      <c r="A21496" t="str">
        <f>"186318"</f>
        <v>186318</v>
      </c>
      <c r="B21496" t="s">
        <v>17775</v>
      </c>
      <c r="C21496" t="s">
        <v>269</v>
      </c>
      <c r="D21496" s="21" t="s">
        <v>34</v>
      </c>
      <c r="E21496" s="21" t="s">
        <v>71</v>
      </c>
      <c r="F21496">
        <v>4180711</v>
      </c>
      <c r="G21496" t="s">
        <v>13350</v>
      </c>
      <c r="H21496" s="21">
        <v>712.67</v>
      </c>
    </row>
    <row r="21497" spans="1:8" customFormat="1" x14ac:dyDescent="0.25">
      <c r="A21497" t="str">
        <f>"5319480"</f>
        <v>5319480</v>
      </c>
      <c r="B21497" t="s">
        <v>2405</v>
      </c>
      <c r="C21497" t="s">
        <v>15817</v>
      </c>
      <c r="D21497" s="21" t="s">
        <v>34</v>
      </c>
      <c r="E21497" s="21" t="s">
        <v>254</v>
      </c>
      <c r="F21497">
        <v>12530041</v>
      </c>
      <c r="G21497" t="s">
        <v>27057</v>
      </c>
      <c r="H21497" s="21">
        <v>712.67</v>
      </c>
    </row>
    <row r="21498" spans="1:8" customFormat="1" x14ac:dyDescent="0.25">
      <c r="A21498" t="str">
        <f>"5944433"</f>
        <v>5944433</v>
      </c>
      <c r="B21498" t="s">
        <v>16770</v>
      </c>
      <c r="C21498" t="s">
        <v>598</v>
      </c>
      <c r="D21498" s="21" t="s">
        <v>34</v>
      </c>
      <c r="E21498" s="21" t="s">
        <v>254</v>
      </c>
      <c r="F21498">
        <v>7620149</v>
      </c>
      <c r="G21498" t="s">
        <v>16598</v>
      </c>
      <c r="H21498" s="21">
        <v>712.67</v>
      </c>
    </row>
    <row r="21499" spans="1:8" customFormat="1" x14ac:dyDescent="0.25">
      <c r="A21499" t="str">
        <f>"394622"</f>
        <v>394622</v>
      </c>
      <c r="B21499" t="s">
        <v>16633</v>
      </c>
      <c r="C21499" t="s">
        <v>598</v>
      </c>
      <c r="D21499" s="21" t="s">
        <v>34</v>
      </c>
      <c r="E21499" s="21" t="s">
        <v>71</v>
      </c>
      <c r="F21499">
        <v>2390067</v>
      </c>
      <c r="G21499" t="s">
        <v>15841</v>
      </c>
      <c r="H21499" s="21">
        <v>712.67</v>
      </c>
    </row>
    <row r="21500" spans="1:8" customFormat="1" x14ac:dyDescent="0.25">
      <c r="A21500" t="str">
        <f>"7613723"</f>
        <v>7613723</v>
      </c>
      <c r="B21500" t="s">
        <v>17232</v>
      </c>
      <c r="C21500" t="s">
        <v>119</v>
      </c>
      <c r="D21500" s="21" t="s">
        <v>34</v>
      </c>
      <c r="E21500" s="21" t="s">
        <v>71</v>
      </c>
      <c r="F21500">
        <v>9760012</v>
      </c>
      <c r="G21500" t="s">
        <v>17233</v>
      </c>
      <c r="H21500" s="21">
        <v>712.67</v>
      </c>
    </row>
    <row r="21501" spans="1:8" customFormat="1" x14ac:dyDescent="0.25">
      <c r="A21501" t="str">
        <f>"6311894"</f>
        <v>6311894</v>
      </c>
      <c r="B21501" t="s">
        <v>16528</v>
      </c>
      <c r="C21501" t="s">
        <v>13117</v>
      </c>
      <c r="D21501" s="21" t="s">
        <v>34</v>
      </c>
      <c r="E21501" s="21" t="s">
        <v>71</v>
      </c>
      <c r="F21501">
        <v>1630261</v>
      </c>
      <c r="G21501" t="s">
        <v>1382</v>
      </c>
      <c r="H21501" s="21">
        <v>712.67</v>
      </c>
    </row>
    <row r="21502" spans="1:8" customFormat="1" x14ac:dyDescent="0.25">
      <c r="A21502" t="str">
        <f>"133746"</f>
        <v>133746</v>
      </c>
      <c r="B21502" t="s">
        <v>16345</v>
      </c>
      <c r="C21502" t="s">
        <v>109</v>
      </c>
      <c r="D21502" s="21" t="s">
        <v>34</v>
      </c>
      <c r="E21502" s="21" t="s">
        <v>35</v>
      </c>
      <c r="F21502">
        <v>13130133</v>
      </c>
      <c r="G21502" t="s">
        <v>12333</v>
      </c>
      <c r="H21502" s="21">
        <v>712.67</v>
      </c>
    </row>
    <row r="21503" spans="1:8" customFormat="1" x14ac:dyDescent="0.25">
      <c r="A21503" t="str">
        <f>"9450584"</f>
        <v>9450584</v>
      </c>
      <c r="B21503" t="s">
        <v>10208</v>
      </c>
      <c r="C21503" t="s">
        <v>2384</v>
      </c>
      <c r="D21503" s="21" t="s">
        <v>34</v>
      </c>
      <c r="E21503" s="21" t="s">
        <v>71</v>
      </c>
      <c r="F21503">
        <v>8940894</v>
      </c>
      <c r="G21503" t="s">
        <v>481</v>
      </c>
      <c r="H21503" s="21">
        <v>712.54</v>
      </c>
    </row>
    <row r="21504" spans="1:8" customFormat="1" x14ac:dyDescent="0.25">
      <c r="A21504" t="str">
        <f>"433619"</f>
        <v>433619</v>
      </c>
      <c r="B21504" t="s">
        <v>2413</v>
      </c>
      <c r="C21504" t="s">
        <v>236</v>
      </c>
      <c r="D21504" s="21" t="s">
        <v>34</v>
      </c>
      <c r="E21504" s="21" t="s">
        <v>35</v>
      </c>
      <c r="F21504">
        <v>1420299</v>
      </c>
      <c r="G21504" t="s">
        <v>8013</v>
      </c>
      <c r="H21504" s="21">
        <v>712.42</v>
      </c>
    </row>
    <row r="21505" spans="1:8" customFormat="1" x14ac:dyDescent="0.25">
      <c r="A21505" t="str">
        <f>"2111365"</f>
        <v>2111365</v>
      </c>
      <c r="B21505" t="s">
        <v>18938</v>
      </c>
      <c r="C21505" t="s">
        <v>139</v>
      </c>
      <c r="D21505" s="21" t="s">
        <v>34</v>
      </c>
      <c r="E21505" s="21" t="s">
        <v>35</v>
      </c>
      <c r="F21505">
        <v>2210126</v>
      </c>
      <c r="G21505" t="s">
        <v>10773</v>
      </c>
      <c r="H21505" s="21">
        <v>712.42</v>
      </c>
    </row>
    <row r="21506" spans="1:8" customFormat="1" x14ac:dyDescent="0.25">
      <c r="A21506" t="str">
        <f>"5324243"</f>
        <v>5324243</v>
      </c>
      <c r="B21506" t="s">
        <v>1079</v>
      </c>
      <c r="C21506" t="s">
        <v>209</v>
      </c>
      <c r="D21506" s="21" t="s">
        <v>34</v>
      </c>
      <c r="E21506" s="21" t="s">
        <v>71</v>
      </c>
      <c r="F21506">
        <v>12530048</v>
      </c>
      <c r="G21506" t="s">
        <v>7103</v>
      </c>
      <c r="H21506" s="21">
        <v>712.42</v>
      </c>
    </row>
    <row r="21507" spans="1:8" customFormat="1" x14ac:dyDescent="0.25">
      <c r="A21507" t="str">
        <f>"3323"</f>
        <v>3323</v>
      </c>
      <c r="B21507" t="s">
        <v>14868</v>
      </c>
      <c r="C21507" t="s">
        <v>3010</v>
      </c>
      <c r="D21507" s="21" t="s">
        <v>34</v>
      </c>
      <c r="E21507" s="21" t="s">
        <v>1089</v>
      </c>
      <c r="F21507">
        <v>10330002</v>
      </c>
      <c r="G21507" t="s">
        <v>53</v>
      </c>
      <c r="H21507" s="21">
        <v>712.42</v>
      </c>
    </row>
    <row r="21508" spans="1:8" customFormat="1" x14ac:dyDescent="0.25">
      <c r="A21508" t="str">
        <f>"341144"</f>
        <v>341144</v>
      </c>
      <c r="B21508" t="s">
        <v>3942</v>
      </c>
      <c r="C21508" t="s">
        <v>453</v>
      </c>
      <c r="D21508" s="21" t="s">
        <v>34</v>
      </c>
      <c r="E21508" s="21" t="s">
        <v>254</v>
      </c>
      <c r="F21508">
        <v>11300003</v>
      </c>
      <c r="G21508" t="s">
        <v>7949</v>
      </c>
      <c r="H21508" s="21">
        <v>712.42</v>
      </c>
    </row>
    <row r="21509" spans="1:8" customFormat="1" x14ac:dyDescent="0.25">
      <c r="A21509" t="str">
        <f>"675754"</f>
        <v>675754</v>
      </c>
      <c r="B21509" t="s">
        <v>16552</v>
      </c>
      <c r="C21509" t="s">
        <v>198</v>
      </c>
      <c r="D21509" s="21" t="s">
        <v>34</v>
      </c>
      <c r="E21509" s="21" t="s">
        <v>254</v>
      </c>
      <c r="F21509">
        <v>10170016</v>
      </c>
      <c r="G21509" t="s">
        <v>88</v>
      </c>
      <c r="H21509" s="21">
        <v>712.29</v>
      </c>
    </row>
    <row r="21510" spans="1:8" customFormat="1" x14ac:dyDescent="0.25">
      <c r="A21510" t="str">
        <f>"2721156"</f>
        <v>2721156</v>
      </c>
      <c r="B21510" t="s">
        <v>8455</v>
      </c>
      <c r="C21510" t="s">
        <v>209</v>
      </c>
      <c r="D21510" s="21" t="s">
        <v>34</v>
      </c>
      <c r="E21510" s="21" t="s">
        <v>71</v>
      </c>
      <c r="F21510">
        <v>9270021</v>
      </c>
      <c r="G21510" t="s">
        <v>4934</v>
      </c>
      <c r="H21510" s="21">
        <v>712.17</v>
      </c>
    </row>
    <row r="21511" spans="1:8" customFormat="1" x14ac:dyDescent="0.25">
      <c r="A21511" t="str">
        <f>"4212379"</f>
        <v>4212379</v>
      </c>
      <c r="B21511" t="s">
        <v>14878</v>
      </c>
      <c r="C21511" t="s">
        <v>239</v>
      </c>
      <c r="D21511" s="21" t="s">
        <v>34</v>
      </c>
      <c r="E21511" s="21" t="s">
        <v>254</v>
      </c>
      <c r="F21511">
        <v>1420014</v>
      </c>
      <c r="G21511" t="s">
        <v>3864</v>
      </c>
      <c r="H21511" s="21">
        <v>712.17</v>
      </c>
    </row>
    <row r="21512" spans="1:8" customFormat="1" x14ac:dyDescent="0.25">
      <c r="A21512" t="str">
        <f>"4412385"</f>
        <v>4412385</v>
      </c>
      <c r="B21512" t="s">
        <v>16637</v>
      </c>
      <c r="C21512" t="s">
        <v>1146</v>
      </c>
      <c r="D21512" s="21" t="s">
        <v>34</v>
      </c>
      <c r="E21512" s="21" t="s">
        <v>71</v>
      </c>
      <c r="F21512">
        <v>12440055</v>
      </c>
      <c r="G21512" t="s">
        <v>2979</v>
      </c>
      <c r="H21512" s="21">
        <v>712.17</v>
      </c>
    </row>
    <row r="21513" spans="1:8" customFormat="1" x14ac:dyDescent="0.25">
      <c r="A21513" t="str">
        <f>"441347"</f>
        <v>441347</v>
      </c>
      <c r="B21513" t="s">
        <v>13307</v>
      </c>
      <c r="C21513" t="s">
        <v>598</v>
      </c>
      <c r="D21513" s="21" t="s">
        <v>34</v>
      </c>
      <c r="E21513" s="21" t="s">
        <v>6185</v>
      </c>
      <c r="F21513">
        <v>12440038</v>
      </c>
      <c r="G21513" t="s">
        <v>2057</v>
      </c>
      <c r="H21513" s="21">
        <v>712.17</v>
      </c>
    </row>
    <row r="21514" spans="1:8" customFormat="1" x14ac:dyDescent="0.25">
      <c r="A21514" t="str">
        <f>"4451446"</f>
        <v>4451446</v>
      </c>
      <c r="B21514" t="s">
        <v>16456</v>
      </c>
      <c r="C21514" t="s">
        <v>16457</v>
      </c>
      <c r="D21514" s="21" t="s">
        <v>34</v>
      </c>
      <c r="E21514" s="21" t="s">
        <v>35</v>
      </c>
      <c r="F21514">
        <v>12440141</v>
      </c>
      <c r="G21514" t="s">
        <v>3234</v>
      </c>
      <c r="H21514" s="21">
        <v>712.17</v>
      </c>
    </row>
    <row r="21515" spans="1:8" customFormat="1" x14ac:dyDescent="0.25">
      <c r="A21515" t="str">
        <f>"4110871"</f>
        <v>4110871</v>
      </c>
      <c r="B21515" t="s">
        <v>18652</v>
      </c>
      <c r="C21515" t="s">
        <v>249</v>
      </c>
      <c r="D21515" s="21" t="s">
        <v>34</v>
      </c>
      <c r="E21515" s="21" t="s">
        <v>35</v>
      </c>
      <c r="F21515">
        <v>4360341</v>
      </c>
      <c r="G21515" t="s">
        <v>4912</v>
      </c>
      <c r="H21515" s="21">
        <v>712.17</v>
      </c>
    </row>
    <row r="21516" spans="1:8" customFormat="1" x14ac:dyDescent="0.25">
      <c r="A21516" t="str">
        <f>"568588"</f>
        <v>568588</v>
      </c>
      <c r="B21516" t="s">
        <v>17298</v>
      </c>
      <c r="C21516" t="s">
        <v>381</v>
      </c>
      <c r="D21516" s="21" t="s">
        <v>34</v>
      </c>
      <c r="E21516" s="21" t="s">
        <v>71</v>
      </c>
      <c r="F21516">
        <v>3560053</v>
      </c>
      <c r="G21516" t="s">
        <v>298</v>
      </c>
      <c r="H21516" s="21">
        <v>712.17</v>
      </c>
    </row>
    <row r="21517" spans="1:8" customFormat="1" x14ac:dyDescent="0.25">
      <c r="A21517" t="str">
        <f>"6221043"</f>
        <v>6221043</v>
      </c>
      <c r="B21517" t="s">
        <v>16515</v>
      </c>
      <c r="C21517" t="s">
        <v>263</v>
      </c>
      <c r="D21517" s="21" t="s">
        <v>34</v>
      </c>
      <c r="E21517" s="21" t="s">
        <v>71</v>
      </c>
      <c r="F21517">
        <v>7620067</v>
      </c>
      <c r="G21517" t="s">
        <v>860</v>
      </c>
      <c r="H21517" s="21">
        <v>712.17</v>
      </c>
    </row>
    <row r="21518" spans="1:8" customFormat="1" x14ac:dyDescent="0.25">
      <c r="A21518" t="str">
        <f>"591033"</f>
        <v>591033</v>
      </c>
      <c r="B21518" t="s">
        <v>17338</v>
      </c>
      <c r="C21518" t="s">
        <v>2479</v>
      </c>
      <c r="D21518" s="21" t="s">
        <v>34</v>
      </c>
      <c r="E21518" s="21" t="s">
        <v>254</v>
      </c>
      <c r="F21518">
        <v>7590120</v>
      </c>
      <c r="G21518" t="s">
        <v>5351</v>
      </c>
      <c r="H21518" s="21">
        <v>712.17</v>
      </c>
    </row>
    <row r="21519" spans="1:8" customFormat="1" x14ac:dyDescent="0.25">
      <c r="A21519" t="str">
        <f>"5715944"</f>
        <v>5715944</v>
      </c>
      <c r="B21519" t="s">
        <v>1883</v>
      </c>
      <c r="C21519" t="s">
        <v>3073</v>
      </c>
      <c r="D21519" s="21" t="s">
        <v>34</v>
      </c>
      <c r="E21519" s="21" t="s">
        <v>1089</v>
      </c>
      <c r="F21519">
        <v>6570137</v>
      </c>
      <c r="G21519" t="s">
        <v>13134</v>
      </c>
      <c r="H21519" s="21">
        <v>712.17</v>
      </c>
    </row>
    <row r="21520" spans="1:8" customFormat="1" x14ac:dyDescent="0.25">
      <c r="A21520" t="str">
        <f>"2111371"</f>
        <v>2111371</v>
      </c>
      <c r="B21520" t="s">
        <v>19681</v>
      </c>
      <c r="C21520" t="s">
        <v>486</v>
      </c>
      <c r="D21520" s="21" t="s">
        <v>34</v>
      </c>
      <c r="E21520" s="21" t="s">
        <v>35</v>
      </c>
      <c r="F21520">
        <v>2250196</v>
      </c>
      <c r="G21520" t="s">
        <v>27452</v>
      </c>
      <c r="H21520" s="21">
        <v>712.17</v>
      </c>
    </row>
    <row r="21521" spans="1:8" customFormat="1" x14ac:dyDescent="0.25">
      <c r="A21521" t="str">
        <f>"6112135"</f>
        <v>6112135</v>
      </c>
      <c r="B21521" t="s">
        <v>19088</v>
      </c>
      <c r="C21521" t="s">
        <v>269</v>
      </c>
      <c r="D21521" s="21" t="s">
        <v>34</v>
      </c>
      <c r="E21521" s="21" t="s">
        <v>35</v>
      </c>
      <c r="F21521">
        <v>9610104</v>
      </c>
      <c r="G21521" t="s">
        <v>7197</v>
      </c>
      <c r="H21521" s="21">
        <v>712.17</v>
      </c>
    </row>
    <row r="21522" spans="1:8" customFormat="1" x14ac:dyDescent="0.25">
      <c r="A21522" t="str">
        <f>"931880"</f>
        <v>931880</v>
      </c>
      <c r="B21522" t="s">
        <v>17650</v>
      </c>
      <c r="C21522" t="s">
        <v>119</v>
      </c>
      <c r="D21522" s="21" t="s">
        <v>34</v>
      </c>
      <c r="E21522" s="21" t="s">
        <v>35</v>
      </c>
      <c r="F21522">
        <v>13130152</v>
      </c>
      <c r="G21522" t="s">
        <v>906</v>
      </c>
      <c r="H21522" s="21">
        <v>712.17</v>
      </c>
    </row>
    <row r="21523" spans="1:8" customFormat="1" x14ac:dyDescent="0.25">
      <c r="A21523" t="str">
        <f>"9143822"</f>
        <v>9143822</v>
      </c>
      <c r="B21523" t="s">
        <v>19913</v>
      </c>
      <c r="C21523" t="s">
        <v>528</v>
      </c>
      <c r="D21523" s="21" t="s">
        <v>34</v>
      </c>
      <c r="E21523" s="21" t="s">
        <v>71</v>
      </c>
      <c r="F21523">
        <v>8910918</v>
      </c>
      <c r="G21523" t="s">
        <v>332</v>
      </c>
      <c r="H21523" s="21">
        <v>712.17</v>
      </c>
    </row>
    <row r="21524" spans="1:8" customFormat="1" x14ac:dyDescent="0.25">
      <c r="A21524" t="str">
        <f>"663"</f>
        <v>663</v>
      </c>
      <c r="B21524" t="s">
        <v>5652</v>
      </c>
      <c r="C21524" t="s">
        <v>130</v>
      </c>
      <c r="D21524" s="21" t="s">
        <v>34</v>
      </c>
      <c r="E21524" s="21" t="s">
        <v>1089</v>
      </c>
      <c r="F21524">
        <v>11660001</v>
      </c>
      <c r="G21524" t="s">
        <v>8203</v>
      </c>
      <c r="H21524" s="21">
        <v>712.17</v>
      </c>
    </row>
    <row r="21525" spans="1:8" customFormat="1" x14ac:dyDescent="0.25">
      <c r="A21525" t="str">
        <f>"767340"</f>
        <v>767340</v>
      </c>
      <c r="B21525" t="s">
        <v>16370</v>
      </c>
      <c r="C21525" t="s">
        <v>253</v>
      </c>
      <c r="D21525" s="21" t="s">
        <v>34</v>
      </c>
      <c r="E21525" s="21" t="s">
        <v>254</v>
      </c>
      <c r="F21525">
        <v>9760082</v>
      </c>
      <c r="G21525" t="s">
        <v>2387</v>
      </c>
      <c r="H21525" s="21">
        <v>712.17</v>
      </c>
    </row>
    <row r="21526" spans="1:8" customFormat="1" x14ac:dyDescent="0.25">
      <c r="A21526" t="str">
        <f>"9125883"</f>
        <v>9125883</v>
      </c>
      <c r="B21526" t="s">
        <v>16256</v>
      </c>
      <c r="C21526" t="s">
        <v>82</v>
      </c>
      <c r="D21526" s="21" t="s">
        <v>34</v>
      </c>
      <c r="E21526" s="21" t="s">
        <v>35</v>
      </c>
      <c r="F21526">
        <v>2890058</v>
      </c>
      <c r="G21526" t="s">
        <v>13102</v>
      </c>
      <c r="H21526" s="21">
        <v>712.04</v>
      </c>
    </row>
    <row r="21527" spans="1:8" customFormat="1" x14ac:dyDescent="0.25">
      <c r="A21527" t="str">
        <f>"9445155"</f>
        <v>9445155</v>
      </c>
      <c r="B21527" t="s">
        <v>19227</v>
      </c>
      <c r="C21527" t="s">
        <v>60</v>
      </c>
      <c r="D21527" s="21" t="s">
        <v>34</v>
      </c>
      <c r="E21527" s="21" t="s">
        <v>35</v>
      </c>
      <c r="F21527">
        <v>8941461</v>
      </c>
      <c r="G21527" t="s">
        <v>10447</v>
      </c>
      <c r="H21527" s="21">
        <v>712.04</v>
      </c>
    </row>
    <row r="21528" spans="1:8" customFormat="1" x14ac:dyDescent="0.25">
      <c r="A21528" t="str">
        <f>"5016988"</f>
        <v>5016988</v>
      </c>
      <c r="B21528" t="s">
        <v>5315</v>
      </c>
      <c r="C21528" t="s">
        <v>60</v>
      </c>
      <c r="D21528" s="21" t="s">
        <v>34</v>
      </c>
      <c r="E21528" s="21" t="s">
        <v>35</v>
      </c>
      <c r="F21528">
        <v>9500153</v>
      </c>
      <c r="G21528" t="s">
        <v>5779</v>
      </c>
      <c r="H21528" s="21">
        <v>712</v>
      </c>
    </row>
    <row r="21529" spans="1:8" customFormat="1" x14ac:dyDescent="0.25">
      <c r="A21529" t="str">
        <f>"5326394"</f>
        <v>5326394</v>
      </c>
      <c r="B21529" t="s">
        <v>6729</v>
      </c>
      <c r="C21529" t="s">
        <v>198</v>
      </c>
      <c r="D21529" s="21" t="s">
        <v>34</v>
      </c>
      <c r="E21529" s="21" t="s">
        <v>71</v>
      </c>
      <c r="F21529">
        <v>12530112</v>
      </c>
      <c r="G21529" t="s">
        <v>4617</v>
      </c>
      <c r="H21529" s="21">
        <v>711.92</v>
      </c>
    </row>
    <row r="21530" spans="1:8" customFormat="1" x14ac:dyDescent="0.25">
      <c r="A21530" t="str">
        <f>"941909"</f>
        <v>941909</v>
      </c>
      <c r="B21530" t="s">
        <v>18642</v>
      </c>
      <c r="C21530" t="s">
        <v>985</v>
      </c>
      <c r="D21530" s="21" t="s">
        <v>34</v>
      </c>
      <c r="E21530" s="21" t="s">
        <v>1089</v>
      </c>
      <c r="F21530">
        <v>8941352</v>
      </c>
      <c r="G21530" t="s">
        <v>3778</v>
      </c>
      <c r="H21530" s="21">
        <v>711.92</v>
      </c>
    </row>
    <row r="21531" spans="1:8" customFormat="1" x14ac:dyDescent="0.25">
      <c r="A21531" t="str">
        <f>"7918932"</f>
        <v>7918932</v>
      </c>
      <c r="B21531" t="s">
        <v>7512</v>
      </c>
      <c r="C21531" t="s">
        <v>96</v>
      </c>
      <c r="D21531" s="21" t="s">
        <v>34</v>
      </c>
      <c r="E21531" s="21" t="s">
        <v>35</v>
      </c>
      <c r="F21531">
        <v>10790005</v>
      </c>
      <c r="G21531" t="s">
        <v>1948</v>
      </c>
      <c r="H21531" s="21">
        <v>711.92</v>
      </c>
    </row>
    <row r="21532" spans="1:8" customFormat="1" x14ac:dyDescent="0.25">
      <c r="A21532" t="str">
        <f>"9129147"</f>
        <v>9129147</v>
      </c>
      <c r="B21532" t="s">
        <v>6252</v>
      </c>
      <c r="C21532" t="s">
        <v>62</v>
      </c>
      <c r="D21532" s="21" t="s">
        <v>34</v>
      </c>
      <c r="E21532" s="21" t="s">
        <v>71</v>
      </c>
      <c r="F21532">
        <v>8911456</v>
      </c>
      <c r="G21532" t="s">
        <v>6481</v>
      </c>
      <c r="H21532" s="21">
        <v>711.79</v>
      </c>
    </row>
    <row r="21533" spans="1:8" customFormat="1" x14ac:dyDescent="0.25">
      <c r="A21533" t="str">
        <f>"7629370"</f>
        <v>7629370</v>
      </c>
      <c r="B21533" t="s">
        <v>6352</v>
      </c>
      <c r="C21533" t="s">
        <v>40</v>
      </c>
      <c r="D21533" s="21" t="s">
        <v>34</v>
      </c>
      <c r="E21533" s="21" t="s">
        <v>254</v>
      </c>
      <c r="F21533">
        <v>9760127</v>
      </c>
      <c r="G21533" t="s">
        <v>7132</v>
      </c>
      <c r="H21533" s="21">
        <v>711.79</v>
      </c>
    </row>
    <row r="21534" spans="1:8" customFormat="1" x14ac:dyDescent="0.25">
      <c r="A21534" t="str">
        <f>"869551"</f>
        <v>869551</v>
      </c>
      <c r="B21534" t="s">
        <v>4493</v>
      </c>
      <c r="C21534" t="s">
        <v>285</v>
      </c>
      <c r="D21534" s="21" t="s">
        <v>34</v>
      </c>
      <c r="E21534" s="21" t="s">
        <v>35</v>
      </c>
      <c r="F21534">
        <v>1260004</v>
      </c>
      <c r="G21534" t="s">
        <v>1429</v>
      </c>
      <c r="H21534" s="21">
        <v>711.67</v>
      </c>
    </row>
    <row r="21535" spans="1:8" customFormat="1" x14ac:dyDescent="0.25">
      <c r="A21535" t="str">
        <f>"4440643"</f>
        <v>4440643</v>
      </c>
      <c r="B21535" t="s">
        <v>16483</v>
      </c>
      <c r="C21535" t="s">
        <v>109</v>
      </c>
      <c r="D21535" s="21" t="s">
        <v>34</v>
      </c>
      <c r="E21535" s="21" t="s">
        <v>71</v>
      </c>
      <c r="F21535">
        <v>12440101</v>
      </c>
      <c r="G21535" t="s">
        <v>3482</v>
      </c>
      <c r="H21535" s="21">
        <v>711.67</v>
      </c>
    </row>
    <row r="21536" spans="1:8" customFormat="1" x14ac:dyDescent="0.25">
      <c r="A21536" t="str">
        <f>"4217097"</f>
        <v>4217097</v>
      </c>
      <c r="B21536" t="s">
        <v>17554</v>
      </c>
      <c r="C21536" t="s">
        <v>484</v>
      </c>
      <c r="D21536" s="21" t="s">
        <v>34</v>
      </c>
      <c r="E21536" s="21" t="s">
        <v>35</v>
      </c>
      <c r="F21536">
        <v>1420154</v>
      </c>
      <c r="G21536" t="s">
        <v>11034</v>
      </c>
      <c r="H21536" s="21">
        <v>711.67</v>
      </c>
    </row>
    <row r="21537" spans="1:8" customFormat="1" x14ac:dyDescent="0.25">
      <c r="A21537" t="str">
        <f>"8516247"</f>
        <v>8516247</v>
      </c>
      <c r="B21537" t="s">
        <v>4128</v>
      </c>
      <c r="C21537" t="s">
        <v>209</v>
      </c>
      <c r="D21537" s="21" t="s">
        <v>34</v>
      </c>
      <c r="E21537" s="21" t="s">
        <v>254</v>
      </c>
      <c r="F21537">
        <v>12850057</v>
      </c>
      <c r="G21537" t="s">
        <v>1291</v>
      </c>
      <c r="H21537" s="21">
        <v>711.67</v>
      </c>
    </row>
    <row r="21538" spans="1:8" customFormat="1" x14ac:dyDescent="0.25">
      <c r="A21538" t="str">
        <f>"6720577"</f>
        <v>6720577</v>
      </c>
      <c r="B21538" t="s">
        <v>14468</v>
      </c>
      <c r="C21538" t="s">
        <v>209</v>
      </c>
      <c r="D21538" s="21" t="s">
        <v>34</v>
      </c>
      <c r="E21538" s="21" t="s">
        <v>35</v>
      </c>
      <c r="F21538">
        <v>6670178</v>
      </c>
      <c r="G21538" t="s">
        <v>10001</v>
      </c>
      <c r="H21538" s="21">
        <v>711.67</v>
      </c>
    </row>
    <row r="21539" spans="1:8" customFormat="1" x14ac:dyDescent="0.25">
      <c r="A21539" t="str">
        <f>"0811114"</f>
        <v>0811114</v>
      </c>
      <c r="B21539" t="s">
        <v>16475</v>
      </c>
      <c r="C21539" t="s">
        <v>209</v>
      </c>
      <c r="D21539" s="21" t="s">
        <v>34</v>
      </c>
      <c r="E21539" s="21" t="s">
        <v>254</v>
      </c>
      <c r="F21539">
        <v>6080035</v>
      </c>
      <c r="G21539" t="s">
        <v>583</v>
      </c>
      <c r="H21539" s="21">
        <v>711.67</v>
      </c>
    </row>
    <row r="21540" spans="1:8" customFormat="1" x14ac:dyDescent="0.25">
      <c r="A21540" t="str">
        <f>"556812"</f>
        <v>556812</v>
      </c>
      <c r="B21540" t="s">
        <v>13236</v>
      </c>
      <c r="C21540" t="s">
        <v>204</v>
      </c>
      <c r="D21540" s="21" t="s">
        <v>34</v>
      </c>
      <c r="E21540" s="21" t="s">
        <v>35</v>
      </c>
      <c r="F21540">
        <v>6550032</v>
      </c>
      <c r="G21540" t="s">
        <v>8081</v>
      </c>
      <c r="H21540" s="21">
        <v>711.67</v>
      </c>
    </row>
    <row r="21541" spans="1:8" customFormat="1" x14ac:dyDescent="0.25">
      <c r="A21541" t="str">
        <f>"50415"</f>
        <v>50415</v>
      </c>
      <c r="B21541" t="s">
        <v>1609</v>
      </c>
      <c r="C21541" t="s">
        <v>1841</v>
      </c>
      <c r="D21541" s="21" t="s">
        <v>34</v>
      </c>
      <c r="E21541" s="21" t="s">
        <v>1089</v>
      </c>
      <c r="F21541">
        <v>9500022</v>
      </c>
      <c r="G21541" t="s">
        <v>4324</v>
      </c>
      <c r="H21541" s="21">
        <v>711.67</v>
      </c>
    </row>
    <row r="21542" spans="1:8" customFormat="1" x14ac:dyDescent="0.25">
      <c r="A21542" t="str">
        <f>"636839"</f>
        <v>636839</v>
      </c>
      <c r="B21542" t="s">
        <v>15979</v>
      </c>
      <c r="C21542" t="s">
        <v>130</v>
      </c>
      <c r="D21542" s="21" t="s">
        <v>34</v>
      </c>
      <c r="E21542" s="21" t="s">
        <v>254</v>
      </c>
      <c r="F21542">
        <v>1630078</v>
      </c>
      <c r="G21542" t="s">
        <v>326</v>
      </c>
      <c r="H21542" s="21">
        <v>711.67</v>
      </c>
    </row>
    <row r="21543" spans="1:8" customFormat="1" x14ac:dyDescent="0.25">
      <c r="A21543" t="str">
        <f>"627697"</f>
        <v>627697</v>
      </c>
      <c r="B21543" t="s">
        <v>15648</v>
      </c>
      <c r="C21543" t="s">
        <v>812</v>
      </c>
      <c r="D21543" s="21" t="s">
        <v>34</v>
      </c>
      <c r="E21543" s="21" t="s">
        <v>254</v>
      </c>
      <c r="F21543">
        <v>7620063</v>
      </c>
      <c r="G21543" t="s">
        <v>1889</v>
      </c>
      <c r="H21543" s="21">
        <v>711.67</v>
      </c>
    </row>
    <row r="21544" spans="1:8" customFormat="1" x14ac:dyDescent="0.25">
      <c r="A21544" t="str">
        <f>"74994"</f>
        <v>74994</v>
      </c>
      <c r="B21544" t="s">
        <v>16180</v>
      </c>
      <c r="C21544" t="s">
        <v>121</v>
      </c>
      <c r="D21544" s="21" t="s">
        <v>34</v>
      </c>
      <c r="E21544" s="21" t="s">
        <v>71</v>
      </c>
      <c r="F21544">
        <v>1740065</v>
      </c>
      <c r="G21544" t="s">
        <v>5226</v>
      </c>
      <c r="H21544" s="21">
        <v>711.67</v>
      </c>
    </row>
    <row r="21545" spans="1:8" customFormat="1" x14ac:dyDescent="0.25">
      <c r="A21545" t="str">
        <f>"6011178"</f>
        <v>6011178</v>
      </c>
      <c r="B21545" t="s">
        <v>17765</v>
      </c>
      <c r="C21545" t="s">
        <v>124</v>
      </c>
      <c r="D21545" s="21" t="s">
        <v>34</v>
      </c>
      <c r="E21545" s="21" t="s">
        <v>71</v>
      </c>
      <c r="F21545">
        <v>7600005</v>
      </c>
      <c r="G21545" t="s">
        <v>2299</v>
      </c>
      <c r="H21545" s="21">
        <v>711.67</v>
      </c>
    </row>
    <row r="21546" spans="1:8" customFormat="1" x14ac:dyDescent="0.25">
      <c r="A21546" t="str">
        <f>"4521840"</f>
        <v>4521840</v>
      </c>
      <c r="B21546" t="s">
        <v>17601</v>
      </c>
      <c r="C21546" t="s">
        <v>263</v>
      </c>
      <c r="D21546" s="21" t="s">
        <v>34</v>
      </c>
      <c r="E21546" s="21" t="s">
        <v>71</v>
      </c>
      <c r="F21546">
        <v>4450413</v>
      </c>
      <c r="G21546" t="s">
        <v>11734</v>
      </c>
      <c r="H21546" s="21">
        <v>711.67</v>
      </c>
    </row>
    <row r="21547" spans="1:8" customFormat="1" x14ac:dyDescent="0.25">
      <c r="A21547" t="str">
        <f>"3825460"</f>
        <v>3825460</v>
      </c>
      <c r="B21547" t="s">
        <v>13293</v>
      </c>
      <c r="C21547" t="s">
        <v>147</v>
      </c>
      <c r="D21547" s="21" t="s">
        <v>34</v>
      </c>
      <c r="E21547" s="21" t="s">
        <v>71</v>
      </c>
      <c r="F21547">
        <v>1380157</v>
      </c>
      <c r="G21547" t="s">
        <v>9044</v>
      </c>
      <c r="H21547" s="21">
        <v>711.67</v>
      </c>
    </row>
    <row r="21548" spans="1:8" customFormat="1" x14ac:dyDescent="0.25">
      <c r="A21548" t="str">
        <f>"648731"</f>
        <v>648731</v>
      </c>
      <c r="B21548" t="s">
        <v>8800</v>
      </c>
      <c r="C21548" t="s">
        <v>3889</v>
      </c>
      <c r="D21548" s="21" t="s">
        <v>34</v>
      </c>
      <c r="E21548" s="21" t="s">
        <v>254</v>
      </c>
      <c r="F21548">
        <v>10640008</v>
      </c>
      <c r="G21548" t="s">
        <v>1694</v>
      </c>
      <c r="H21548" s="21">
        <v>711.67</v>
      </c>
    </row>
    <row r="21549" spans="1:8" customFormat="1" x14ac:dyDescent="0.25">
      <c r="A21549" t="str">
        <f>"7730572"</f>
        <v>7730572</v>
      </c>
      <c r="B21549" t="s">
        <v>11428</v>
      </c>
      <c r="C21549" t="s">
        <v>817</v>
      </c>
      <c r="D21549" s="21" t="s">
        <v>34</v>
      </c>
      <c r="E21549" s="21" t="s">
        <v>71</v>
      </c>
      <c r="F21549">
        <v>8770562</v>
      </c>
      <c r="G21549" t="s">
        <v>4847</v>
      </c>
      <c r="H21549" s="21">
        <v>711.67</v>
      </c>
    </row>
    <row r="21550" spans="1:8" customFormat="1" x14ac:dyDescent="0.25">
      <c r="A21550" t="str">
        <f>"7410714"</f>
        <v>7410714</v>
      </c>
      <c r="B21550" t="s">
        <v>20137</v>
      </c>
      <c r="C21550" t="s">
        <v>1782</v>
      </c>
      <c r="D21550" s="21" t="s">
        <v>34</v>
      </c>
      <c r="E21550" s="21" t="s">
        <v>35</v>
      </c>
      <c r="F21550">
        <v>1740077</v>
      </c>
      <c r="G21550" t="s">
        <v>19636</v>
      </c>
      <c r="H21550" s="21">
        <v>711.67</v>
      </c>
    </row>
    <row r="21551" spans="1:8" customFormat="1" x14ac:dyDescent="0.25">
      <c r="A21551" t="str">
        <f>"9531571"</f>
        <v>9531571</v>
      </c>
      <c r="B21551" t="s">
        <v>15888</v>
      </c>
      <c r="C21551" t="s">
        <v>114</v>
      </c>
      <c r="D21551" s="21" t="s">
        <v>34</v>
      </c>
      <c r="E21551" s="21" t="s">
        <v>71</v>
      </c>
      <c r="F21551">
        <v>8950479</v>
      </c>
      <c r="G21551" t="s">
        <v>728</v>
      </c>
      <c r="H21551" s="21">
        <v>711.67</v>
      </c>
    </row>
    <row r="21552" spans="1:8" customFormat="1" x14ac:dyDescent="0.25">
      <c r="A21552" t="str">
        <f>"804582"</f>
        <v>804582</v>
      </c>
      <c r="B21552" t="s">
        <v>16902</v>
      </c>
      <c r="C21552" t="s">
        <v>462</v>
      </c>
      <c r="D21552" s="21" t="s">
        <v>34</v>
      </c>
      <c r="E21552" s="21" t="s">
        <v>71</v>
      </c>
      <c r="F21552">
        <v>7800067</v>
      </c>
      <c r="G21552" t="s">
        <v>16355</v>
      </c>
      <c r="H21552" s="21">
        <v>711.67</v>
      </c>
    </row>
    <row r="21553" spans="1:8" customFormat="1" x14ac:dyDescent="0.25">
      <c r="A21553" t="str">
        <f>"5325403"</f>
        <v>5325403</v>
      </c>
      <c r="B21553" t="s">
        <v>15574</v>
      </c>
      <c r="C21553" t="s">
        <v>33</v>
      </c>
      <c r="D21553" s="21" t="s">
        <v>34</v>
      </c>
      <c r="E21553" s="21" t="s">
        <v>35</v>
      </c>
      <c r="F21553">
        <v>12530054</v>
      </c>
      <c r="G21553" t="s">
        <v>354</v>
      </c>
      <c r="H21553" s="21">
        <v>711.42</v>
      </c>
    </row>
    <row r="21554" spans="1:8" customFormat="1" x14ac:dyDescent="0.25">
      <c r="A21554" t="str">
        <f>"5312314"</f>
        <v>5312314</v>
      </c>
      <c r="B21554" t="s">
        <v>1099</v>
      </c>
      <c r="C21554" t="s">
        <v>33</v>
      </c>
      <c r="D21554" s="21" t="s">
        <v>34</v>
      </c>
      <c r="E21554" s="21" t="s">
        <v>35</v>
      </c>
      <c r="F21554">
        <v>12530146</v>
      </c>
      <c r="G21554" t="s">
        <v>10916</v>
      </c>
      <c r="H21554" s="21">
        <v>711.42</v>
      </c>
    </row>
    <row r="21555" spans="1:8" customFormat="1" x14ac:dyDescent="0.25">
      <c r="A21555" t="str">
        <f>"7923786"</f>
        <v>7923786</v>
      </c>
      <c r="B21555" t="s">
        <v>20553</v>
      </c>
      <c r="C21555" t="s">
        <v>926</v>
      </c>
      <c r="D21555" s="21" t="s">
        <v>34</v>
      </c>
      <c r="E21555" s="21" t="s">
        <v>35</v>
      </c>
      <c r="F21555">
        <v>10790009</v>
      </c>
      <c r="G21555" t="s">
        <v>1155</v>
      </c>
      <c r="H21555" s="21">
        <v>711.42</v>
      </c>
    </row>
    <row r="21556" spans="1:8" customFormat="1" x14ac:dyDescent="0.25">
      <c r="A21556" t="str">
        <f>"5430509"</f>
        <v>5430509</v>
      </c>
      <c r="B21556" t="s">
        <v>11472</v>
      </c>
      <c r="C21556" t="s">
        <v>139</v>
      </c>
      <c r="D21556" s="21" t="s">
        <v>34</v>
      </c>
      <c r="E21556" s="21" t="s">
        <v>35</v>
      </c>
      <c r="F21556">
        <v>6540028</v>
      </c>
      <c r="G21556" t="s">
        <v>3201</v>
      </c>
      <c r="H21556" s="21">
        <v>711.42</v>
      </c>
    </row>
    <row r="21557" spans="1:8" customFormat="1" x14ac:dyDescent="0.25">
      <c r="A21557" t="str">
        <f>"7111029"</f>
        <v>7111029</v>
      </c>
      <c r="B21557" t="s">
        <v>6702</v>
      </c>
      <c r="C21557" t="s">
        <v>33</v>
      </c>
      <c r="D21557" s="21" t="s">
        <v>34</v>
      </c>
      <c r="E21557" s="21" t="s">
        <v>35</v>
      </c>
      <c r="F21557">
        <v>2710082</v>
      </c>
      <c r="G21557" t="s">
        <v>7738</v>
      </c>
      <c r="H21557" s="21">
        <v>711.42</v>
      </c>
    </row>
    <row r="21558" spans="1:8" customFormat="1" x14ac:dyDescent="0.25">
      <c r="A21558" t="str">
        <f>"44608"</f>
        <v>44608</v>
      </c>
      <c r="B21558" t="s">
        <v>679</v>
      </c>
      <c r="C21558" t="s">
        <v>2305</v>
      </c>
      <c r="D21558" s="21" t="s">
        <v>34</v>
      </c>
      <c r="E21558" s="21" t="s">
        <v>6185</v>
      </c>
      <c r="F21558">
        <v>12440088</v>
      </c>
      <c r="G21558" t="s">
        <v>17289</v>
      </c>
      <c r="H21558" s="21">
        <v>711.42</v>
      </c>
    </row>
    <row r="21559" spans="1:8" customFormat="1" x14ac:dyDescent="0.25">
      <c r="A21559" t="str">
        <f>"5012969"</f>
        <v>5012969</v>
      </c>
      <c r="B21559" t="s">
        <v>4335</v>
      </c>
      <c r="C21559" t="s">
        <v>87</v>
      </c>
      <c r="D21559" s="21" t="s">
        <v>34</v>
      </c>
      <c r="E21559" s="21" t="s">
        <v>35</v>
      </c>
      <c r="F21559">
        <v>6510018</v>
      </c>
      <c r="G21559" t="s">
        <v>3055</v>
      </c>
      <c r="H21559" s="21">
        <v>711.42</v>
      </c>
    </row>
    <row r="21560" spans="1:8" customFormat="1" x14ac:dyDescent="0.25">
      <c r="A21560" t="str">
        <f>"3831669"</f>
        <v>3831669</v>
      </c>
      <c r="B21560" t="s">
        <v>2143</v>
      </c>
      <c r="C21560" t="s">
        <v>244</v>
      </c>
      <c r="D21560" s="21" t="s">
        <v>34</v>
      </c>
      <c r="E21560" s="21" t="s">
        <v>35</v>
      </c>
      <c r="F21560">
        <v>1380293</v>
      </c>
      <c r="G21560" t="s">
        <v>2103</v>
      </c>
      <c r="H21560" s="21">
        <v>711.29</v>
      </c>
    </row>
    <row r="21561" spans="1:8" customFormat="1" x14ac:dyDescent="0.25">
      <c r="A21561" t="str">
        <f>"4912880"</f>
        <v>4912880</v>
      </c>
      <c r="B21561" t="s">
        <v>8773</v>
      </c>
      <c r="C21561" t="s">
        <v>139</v>
      </c>
      <c r="D21561" s="21" t="s">
        <v>34</v>
      </c>
      <c r="E21561" s="21" t="s">
        <v>35</v>
      </c>
      <c r="F21561">
        <v>4370024</v>
      </c>
      <c r="G21561" t="s">
        <v>1718</v>
      </c>
      <c r="H21561" s="21">
        <v>711.17</v>
      </c>
    </row>
    <row r="21562" spans="1:8" customFormat="1" x14ac:dyDescent="0.25">
      <c r="A21562" t="str">
        <f>"5723038"</f>
        <v>5723038</v>
      </c>
      <c r="B21562" t="s">
        <v>13511</v>
      </c>
      <c r="C21562" t="s">
        <v>275</v>
      </c>
      <c r="D21562" s="21" t="s">
        <v>34</v>
      </c>
      <c r="E21562" s="21" t="s">
        <v>71</v>
      </c>
      <c r="F21562">
        <v>6570191</v>
      </c>
      <c r="G21562" t="s">
        <v>15791</v>
      </c>
      <c r="H21562" s="21">
        <v>711.17</v>
      </c>
    </row>
    <row r="21563" spans="1:8" customFormat="1" x14ac:dyDescent="0.25">
      <c r="A21563" t="str">
        <f>"482700"</f>
        <v>482700</v>
      </c>
      <c r="B21563" t="s">
        <v>8635</v>
      </c>
      <c r="C21563" t="s">
        <v>428</v>
      </c>
      <c r="D21563" s="21" t="s">
        <v>34</v>
      </c>
      <c r="E21563" s="21" t="s">
        <v>35</v>
      </c>
      <c r="F21563">
        <v>11480002</v>
      </c>
      <c r="G21563" t="s">
        <v>14650</v>
      </c>
      <c r="H21563" s="21">
        <v>711.17</v>
      </c>
    </row>
    <row r="21564" spans="1:8" customFormat="1" x14ac:dyDescent="0.25">
      <c r="A21564" t="str">
        <f>"581305"</f>
        <v>581305</v>
      </c>
      <c r="B21564" t="s">
        <v>16591</v>
      </c>
      <c r="C21564" t="s">
        <v>33</v>
      </c>
      <c r="D21564" s="21" t="s">
        <v>34</v>
      </c>
      <c r="E21564" s="21" t="s">
        <v>35</v>
      </c>
      <c r="F21564">
        <v>2580019</v>
      </c>
      <c r="G21564" t="s">
        <v>8527</v>
      </c>
      <c r="H21564" s="21">
        <v>711.17</v>
      </c>
    </row>
    <row r="21565" spans="1:8" customFormat="1" x14ac:dyDescent="0.25">
      <c r="A21565" t="str">
        <f>"6312585"</f>
        <v>6312585</v>
      </c>
      <c r="B21565" t="s">
        <v>17527</v>
      </c>
      <c r="C21565" t="s">
        <v>55</v>
      </c>
      <c r="D21565" s="21" t="s">
        <v>34</v>
      </c>
      <c r="E21565" s="21" t="s">
        <v>35</v>
      </c>
      <c r="F21565">
        <v>1630317</v>
      </c>
      <c r="G21565" t="s">
        <v>7523</v>
      </c>
      <c r="H21565" s="21">
        <v>711.17</v>
      </c>
    </row>
    <row r="21566" spans="1:8" customFormat="1" x14ac:dyDescent="0.25">
      <c r="A21566" t="str">
        <f>"7727394"</f>
        <v>7727394</v>
      </c>
      <c r="B21566" t="s">
        <v>6055</v>
      </c>
      <c r="C21566" t="s">
        <v>415</v>
      </c>
      <c r="D21566" s="21" t="s">
        <v>34</v>
      </c>
      <c r="E21566" s="21" t="s">
        <v>35</v>
      </c>
      <c r="F21566">
        <v>8771337</v>
      </c>
      <c r="G21566" t="s">
        <v>4661</v>
      </c>
      <c r="H21566" s="21">
        <v>711.17</v>
      </c>
    </row>
    <row r="21567" spans="1:8" customFormat="1" x14ac:dyDescent="0.25">
      <c r="A21567" t="str">
        <f>"4431108"</f>
        <v>4431108</v>
      </c>
      <c r="B21567" t="s">
        <v>1185</v>
      </c>
      <c r="C21567" t="s">
        <v>1588</v>
      </c>
      <c r="D21567" s="21" t="s">
        <v>34</v>
      </c>
      <c r="E21567" s="21" t="s">
        <v>71</v>
      </c>
      <c r="F21567">
        <v>12440131</v>
      </c>
      <c r="G21567" t="s">
        <v>15572</v>
      </c>
      <c r="H21567" s="21">
        <v>711.17</v>
      </c>
    </row>
    <row r="21568" spans="1:8" customFormat="1" x14ac:dyDescent="0.25">
      <c r="A21568" t="str">
        <f>"7512288"</f>
        <v>7512288</v>
      </c>
      <c r="B21568" t="s">
        <v>22501</v>
      </c>
      <c r="C21568" t="s">
        <v>812</v>
      </c>
      <c r="D21568" s="21" t="s">
        <v>34</v>
      </c>
      <c r="E21568" s="21" t="s">
        <v>35</v>
      </c>
      <c r="F21568">
        <v>4280612</v>
      </c>
      <c r="G21568" t="s">
        <v>6809</v>
      </c>
      <c r="H21568" s="21">
        <v>711.17</v>
      </c>
    </row>
    <row r="21569" spans="1:8" customFormat="1" x14ac:dyDescent="0.25">
      <c r="A21569" t="str">
        <f>"7212385"</f>
        <v>7212385</v>
      </c>
      <c r="B21569" t="s">
        <v>461</v>
      </c>
      <c r="C21569" t="s">
        <v>262</v>
      </c>
      <c r="D21569" s="21" t="s">
        <v>34</v>
      </c>
      <c r="E21569" s="21" t="s">
        <v>35</v>
      </c>
      <c r="F21569">
        <v>12720108</v>
      </c>
      <c r="G21569" t="s">
        <v>27287</v>
      </c>
      <c r="H21569" s="21">
        <v>711.17</v>
      </c>
    </row>
    <row r="21570" spans="1:8" customFormat="1" x14ac:dyDescent="0.25">
      <c r="A21570" t="str">
        <f>"619358"</f>
        <v>619358</v>
      </c>
      <c r="B21570" t="s">
        <v>18026</v>
      </c>
      <c r="C21570" t="s">
        <v>18027</v>
      </c>
      <c r="D21570" s="21" t="s">
        <v>34</v>
      </c>
      <c r="E21570" s="21" t="s">
        <v>254</v>
      </c>
      <c r="F21570">
        <v>9140012</v>
      </c>
      <c r="G21570" t="s">
        <v>26518</v>
      </c>
      <c r="H21570" s="21">
        <v>711.17</v>
      </c>
    </row>
    <row r="21571" spans="1:8" customFormat="1" x14ac:dyDescent="0.25">
      <c r="A21571" t="str">
        <f>"774593"</f>
        <v>774593</v>
      </c>
      <c r="B21571" t="s">
        <v>877</v>
      </c>
      <c r="C21571" t="s">
        <v>109</v>
      </c>
      <c r="D21571" s="21" t="s">
        <v>34</v>
      </c>
      <c r="E21571" s="21" t="s">
        <v>71</v>
      </c>
      <c r="F21571">
        <v>8771315</v>
      </c>
      <c r="G21571" t="s">
        <v>7070</v>
      </c>
      <c r="H21571" s="21">
        <v>711.17</v>
      </c>
    </row>
    <row r="21572" spans="1:8" customFormat="1" x14ac:dyDescent="0.25">
      <c r="A21572" t="str">
        <f>"7614583"</f>
        <v>7614583</v>
      </c>
      <c r="B21572" t="s">
        <v>6357</v>
      </c>
      <c r="C21572" t="s">
        <v>124</v>
      </c>
      <c r="D21572" s="21" t="s">
        <v>34</v>
      </c>
      <c r="E21572" s="21" t="s">
        <v>1089</v>
      </c>
      <c r="F21572">
        <v>9760107</v>
      </c>
      <c r="G21572" t="s">
        <v>122</v>
      </c>
      <c r="H21572" s="21">
        <v>711.17</v>
      </c>
    </row>
    <row r="21573" spans="1:8" customFormat="1" x14ac:dyDescent="0.25">
      <c r="A21573" t="str">
        <f>"1426721"</f>
        <v>1426721</v>
      </c>
      <c r="B21573" t="s">
        <v>10945</v>
      </c>
      <c r="C21573" t="s">
        <v>1271</v>
      </c>
      <c r="D21573" s="21" t="s">
        <v>34</v>
      </c>
      <c r="E21573" s="21" t="s">
        <v>254</v>
      </c>
      <c r="F21573">
        <v>9140123</v>
      </c>
      <c r="G21573" t="s">
        <v>661</v>
      </c>
      <c r="H21573" s="21">
        <v>711.17</v>
      </c>
    </row>
    <row r="21574" spans="1:8" customFormat="1" x14ac:dyDescent="0.25">
      <c r="A21574" t="str">
        <f>"3013401"</f>
        <v>3013401</v>
      </c>
      <c r="B21574" t="s">
        <v>18878</v>
      </c>
      <c r="C21574" t="s">
        <v>209</v>
      </c>
      <c r="D21574" s="21" t="s">
        <v>34</v>
      </c>
      <c r="E21574" s="21" t="s">
        <v>35</v>
      </c>
      <c r="F21574">
        <v>11300028</v>
      </c>
      <c r="G21574" t="s">
        <v>18879</v>
      </c>
      <c r="H21574" s="21">
        <v>711.17</v>
      </c>
    </row>
    <row r="21575" spans="1:8" customFormat="1" x14ac:dyDescent="0.25">
      <c r="A21575" t="str">
        <f>"7615124"</f>
        <v>7615124</v>
      </c>
      <c r="B21575" t="s">
        <v>10132</v>
      </c>
      <c r="C21575" t="s">
        <v>249</v>
      </c>
      <c r="D21575" s="21" t="s">
        <v>34</v>
      </c>
      <c r="E21575" s="21" t="s">
        <v>35</v>
      </c>
      <c r="F21575">
        <v>9760442</v>
      </c>
      <c r="G21575" t="s">
        <v>5753</v>
      </c>
      <c r="H21575" s="21">
        <v>711.17</v>
      </c>
    </row>
    <row r="21576" spans="1:8" customFormat="1" x14ac:dyDescent="0.25">
      <c r="A21576" t="str">
        <f>"5111751"</f>
        <v>5111751</v>
      </c>
      <c r="B21576" t="s">
        <v>9541</v>
      </c>
      <c r="C21576" t="s">
        <v>55</v>
      </c>
      <c r="D21576" s="21" t="s">
        <v>34</v>
      </c>
      <c r="E21576" s="21" t="s">
        <v>35</v>
      </c>
      <c r="F21576">
        <v>6510042</v>
      </c>
      <c r="G21576" t="s">
        <v>15015</v>
      </c>
      <c r="H21576" s="21">
        <v>711.17</v>
      </c>
    </row>
    <row r="21577" spans="1:8" customFormat="1" x14ac:dyDescent="0.25">
      <c r="A21577" t="str">
        <f>"0112887"</f>
        <v>0112887</v>
      </c>
      <c r="B21577" t="s">
        <v>3212</v>
      </c>
      <c r="C21577" t="s">
        <v>267</v>
      </c>
      <c r="D21577" s="21" t="s">
        <v>34</v>
      </c>
      <c r="E21577" s="21" t="s">
        <v>1089</v>
      </c>
      <c r="F21577">
        <v>1740003</v>
      </c>
      <c r="G21577" t="s">
        <v>982</v>
      </c>
      <c r="H21577" s="21">
        <v>711.17</v>
      </c>
    </row>
    <row r="21578" spans="1:8" customFormat="1" x14ac:dyDescent="0.25">
      <c r="A21578" t="str">
        <f>"7627208"</f>
        <v>7627208</v>
      </c>
      <c r="B21578" t="s">
        <v>17904</v>
      </c>
      <c r="C21578" t="s">
        <v>3109</v>
      </c>
      <c r="D21578" s="21" t="s">
        <v>34</v>
      </c>
      <c r="E21578" s="21" t="s">
        <v>35</v>
      </c>
      <c r="F21578">
        <v>9760315</v>
      </c>
      <c r="G21578" t="s">
        <v>12345</v>
      </c>
      <c r="H21578" s="21">
        <v>711.17</v>
      </c>
    </row>
    <row r="21579" spans="1:8" customFormat="1" x14ac:dyDescent="0.25">
      <c r="A21579" t="str">
        <f>"54278"</f>
        <v>54278</v>
      </c>
      <c r="B21579" t="s">
        <v>17995</v>
      </c>
      <c r="C21579" t="s">
        <v>1119</v>
      </c>
      <c r="D21579" s="21" t="s">
        <v>34</v>
      </c>
      <c r="E21579" s="21" t="s">
        <v>1089</v>
      </c>
      <c r="F21579">
        <v>6540016</v>
      </c>
      <c r="G21579" t="s">
        <v>14523</v>
      </c>
      <c r="H21579" s="21">
        <v>711.17</v>
      </c>
    </row>
    <row r="21580" spans="1:8" customFormat="1" x14ac:dyDescent="0.25">
      <c r="A21580" t="str">
        <f>"4522680"</f>
        <v>4522680</v>
      </c>
      <c r="B21580" t="s">
        <v>18017</v>
      </c>
      <c r="C21580" t="s">
        <v>415</v>
      </c>
      <c r="D21580" s="21" t="s">
        <v>34</v>
      </c>
      <c r="E21580" s="21" t="s">
        <v>71</v>
      </c>
      <c r="F21580">
        <v>4450663</v>
      </c>
      <c r="G21580" t="s">
        <v>2527</v>
      </c>
      <c r="H21580" s="21">
        <v>711.17</v>
      </c>
    </row>
    <row r="21581" spans="1:8" customFormat="1" x14ac:dyDescent="0.25">
      <c r="A21581" t="str">
        <f>"9439964"</f>
        <v>9439964</v>
      </c>
      <c r="B21581" t="s">
        <v>940</v>
      </c>
      <c r="C21581" t="s">
        <v>209</v>
      </c>
      <c r="D21581" s="21" t="s">
        <v>34</v>
      </c>
      <c r="E21581" s="21" t="s">
        <v>35</v>
      </c>
      <c r="F21581">
        <v>8751371</v>
      </c>
      <c r="G21581" t="s">
        <v>6605</v>
      </c>
      <c r="H21581" s="21">
        <v>711.17</v>
      </c>
    </row>
    <row r="21582" spans="1:8" customFormat="1" x14ac:dyDescent="0.25">
      <c r="A21582" t="str">
        <f>"4216182"</f>
        <v>4216182</v>
      </c>
      <c r="B21582" t="s">
        <v>17365</v>
      </c>
      <c r="C21582" t="s">
        <v>169</v>
      </c>
      <c r="D21582" s="21" t="s">
        <v>34</v>
      </c>
      <c r="E21582" s="21" t="s">
        <v>35</v>
      </c>
      <c r="F21582">
        <v>1420160</v>
      </c>
      <c r="G21582" t="s">
        <v>5488</v>
      </c>
      <c r="H21582" s="21">
        <v>711.17</v>
      </c>
    </row>
    <row r="21583" spans="1:8" customFormat="1" x14ac:dyDescent="0.25">
      <c r="A21583" t="str">
        <f>"4455514"</f>
        <v>4455514</v>
      </c>
      <c r="B21583" t="s">
        <v>20668</v>
      </c>
      <c r="C21583" t="s">
        <v>239</v>
      </c>
      <c r="D21583" s="21" t="s">
        <v>34</v>
      </c>
      <c r="E21583" s="21" t="s">
        <v>71</v>
      </c>
      <c r="F21583">
        <v>12440028</v>
      </c>
      <c r="G21583" t="s">
        <v>1314</v>
      </c>
      <c r="H21583" s="21">
        <v>711.17</v>
      </c>
    </row>
    <row r="21584" spans="1:8" customFormat="1" x14ac:dyDescent="0.25">
      <c r="A21584" t="str">
        <f>"243372"</f>
        <v>243372</v>
      </c>
      <c r="B21584" t="s">
        <v>18368</v>
      </c>
      <c r="C21584" t="s">
        <v>879</v>
      </c>
      <c r="D21584" s="21" t="s">
        <v>34</v>
      </c>
      <c r="E21584" s="21" t="s">
        <v>71</v>
      </c>
      <c r="F21584">
        <v>10240006</v>
      </c>
      <c r="G21584" t="s">
        <v>7296</v>
      </c>
      <c r="H21584" s="21">
        <v>711.17</v>
      </c>
    </row>
    <row r="21585" spans="1:8" customFormat="1" x14ac:dyDescent="0.25">
      <c r="A21585" t="str">
        <f>"524035"</f>
        <v>524035</v>
      </c>
      <c r="B21585" t="s">
        <v>11035</v>
      </c>
      <c r="C21585" t="s">
        <v>879</v>
      </c>
      <c r="D21585" s="21" t="s">
        <v>34</v>
      </c>
      <c r="E21585" s="21" t="s">
        <v>71</v>
      </c>
      <c r="F21585">
        <v>6520047</v>
      </c>
      <c r="G21585" t="s">
        <v>16108</v>
      </c>
      <c r="H21585" s="21">
        <v>711.17</v>
      </c>
    </row>
    <row r="21586" spans="1:8" customFormat="1" x14ac:dyDescent="0.25">
      <c r="A21586" t="str">
        <f>"1612011"</f>
        <v>1612011</v>
      </c>
      <c r="B21586" t="s">
        <v>1986</v>
      </c>
      <c r="C21586" t="s">
        <v>109</v>
      </c>
      <c r="D21586" s="21" t="s">
        <v>34</v>
      </c>
      <c r="E21586" s="21" t="s">
        <v>35</v>
      </c>
      <c r="F21586">
        <v>10160186</v>
      </c>
      <c r="G21586" t="s">
        <v>4819</v>
      </c>
      <c r="H21586" s="21">
        <v>711.04</v>
      </c>
    </row>
    <row r="21587" spans="1:8" customFormat="1" x14ac:dyDescent="0.25">
      <c r="A21587" t="str">
        <f>"9122816"</f>
        <v>9122816</v>
      </c>
      <c r="B21587" t="s">
        <v>18761</v>
      </c>
      <c r="C21587" t="s">
        <v>169</v>
      </c>
      <c r="D21587" s="21" t="s">
        <v>34</v>
      </c>
      <c r="E21587" s="21" t="s">
        <v>71</v>
      </c>
      <c r="F21587">
        <v>6510019</v>
      </c>
      <c r="G21587" t="s">
        <v>11388</v>
      </c>
      <c r="H21587" s="21">
        <v>710.92</v>
      </c>
    </row>
    <row r="21588" spans="1:8" customFormat="1" x14ac:dyDescent="0.25">
      <c r="A21588" t="str">
        <f>"7511828"</f>
        <v>7511828</v>
      </c>
      <c r="B21588" t="s">
        <v>16555</v>
      </c>
      <c r="C21588" t="s">
        <v>253</v>
      </c>
      <c r="D21588" s="21" t="s">
        <v>34</v>
      </c>
      <c r="E21588" s="21" t="s">
        <v>254</v>
      </c>
      <c r="F21588">
        <v>8751058</v>
      </c>
      <c r="G21588" t="s">
        <v>4202</v>
      </c>
      <c r="H21588" s="21">
        <v>710.92</v>
      </c>
    </row>
    <row r="21589" spans="1:8" customFormat="1" x14ac:dyDescent="0.25">
      <c r="A21589" t="str">
        <f>"7223447"</f>
        <v>7223447</v>
      </c>
      <c r="B21589" t="s">
        <v>197</v>
      </c>
      <c r="C21589" t="s">
        <v>27653</v>
      </c>
      <c r="D21589" s="21" t="s">
        <v>34</v>
      </c>
      <c r="E21589" s="21" t="s">
        <v>71</v>
      </c>
      <c r="F21589">
        <v>12720144</v>
      </c>
      <c r="G21589" t="s">
        <v>15102</v>
      </c>
      <c r="H21589" s="21">
        <v>710.67</v>
      </c>
    </row>
    <row r="21590" spans="1:8" customFormat="1" x14ac:dyDescent="0.25">
      <c r="A21590" t="str">
        <f>"3512536"</f>
        <v>3512536</v>
      </c>
      <c r="B21590" t="s">
        <v>9314</v>
      </c>
      <c r="C21590" t="s">
        <v>2276</v>
      </c>
      <c r="D21590" s="21" t="s">
        <v>34</v>
      </c>
      <c r="E21590" s="21" t="s">
        <v>1089</v>
      </c>
      <c r="F21590">
        <v>3350026</v>
      </c>
      <c r="G21590" t="s">
        <v>16468</v>
      </c>
      <c r="H21590" s="21">
        <v>710.67</v>
      </c>
    </row>
    <row r="21591" spans="1:8" customFormat="1" x14ac:dyDescent="0.25">
      <c r="A21591" t="str">
        <f>"1612792"</f>
        <v>1612792</v>
      </c>
      <c r="B21591" t="s">
        <v>760</v>
      </c>
      <c r="C21591" t="s">
        <v>263</v>
      </c>
      <c r="D21591" s="21" t="s">
        <v>34</v>
      </c>
      <c r="E21591" s="21" t="s">
        <v>35</v>
      </c>
      <c r="F21591">
        <v>10160010</v>
      </c>
      <c r="G21591" t="s">
        <v>5491</v>
      </c>
      <c r="H21591" s="21">
        <v>710.67</v>
      </c>
    </row>
    <row r="21592" spans="1:8" customFormat="1" x14ac:dyDescent="0.25">
      <c r="A21592" t="str">
        <f>"197799"</f>
        <v>197799</v>
      </c>
      <c r="B21592" t="s">
        <v>6487</v>
      </c>
      <c r="C21592" t="s">
        <v>2907</v>
      </c>
      <c r="D21592" s="21" t="s">
        <v>34</v>
      </c>
      <c r="E21592" s="21" t="s">
        <v>1089</v>
      </c>
      <c r="F21592">
        <v>7620080</v>
      </c>
      <c r="G21592" t="s">
        <v>6056</v>
      </c>
      <c r="H21592" s="21">
        <v>710.67</v>
      </c>
    </row>
    <row r="21593" spans="1:8" customFormat="1" x14ac:dyDescent="0.25">
      <c r="A21593" t="str">
        <f>"2611208"</f>
        <v>2611208</v>
      </c>
      <c r="B21593" t="s">
        <v>27654</v>
      </c>
      <c r="C21593" t="s">
        <v>1119</v>
      </c>
      <c r="D21593" s="21" t="s">
        <v>34</v>
      </c>
      <c r="E21593" s="21" t="s">
        <v>35</v>
      </c>
      <c r="F21593">
        <v>1260045</v>
      </c>
      <c r="G21593" t="s">
        <v>401</v>
      </c>
      <c r="H21593" s="21">
        <v>710.67</v>
      </c>
    </row>
    <row r="21594" spans="1:8" customFormat="1" x14ac:dyDescent="0.25">
      <c r="A21594" t="str">
        <f>"94648"</f>
        <v>94648</v>
      </c>
      <c r="B21594" t="s">
        <v>16605</v>
      </c>
      <c r="C21594" t="s">
        <v>236</v>
      </c>
      <c r="D21594" s="21" t="s">
        <v>34</v>
      </c>
      <c r="E21594" s="21" t="s">
        <v>1089</v>
      </c>
      <c r="F21594">
        <v>8940448</v>
      </c>
      <c r="G21594" t="s">
        <v>1691</v>
      </c>
      <c r="H21594" s="21">
        <v>710.67</v>
      </c>
    </row>
    <row r="21595" spans="1:8" customFormat="1" x14ac:dyDescent="0.25">
      <c r="A21595" t="str">
        <f>"5945859"</f>
        <v>5945859</v>
      </c>
      <c r="B21595" t="s">
        <v>13537</v>
      </c>
      <c r="C21595" t="s">
        <v>55</v>
      </c>
      <c r="D21595" s="21" t="s">
        <v>34</v>
      </c>
      <c r="E21595" s="21" t="s">
        <v>71</v>
      </c>
      <c r="F21595">
        <v>7590078</v>
      </c>
      <c r="G21595" t="s">
        <v>13287</v>
      </c>
      <c r="H21595" s="21">
        <v>710.67</v>
      </c>
    </row>
    <row r="21596" spans="1:8" customFormat="1" x14ac:dyDescent="0.25">
      <c r="A21596" t="str">
        <f>"7688"</f>
        <v>7688</v>
      </c>
      <c r="B21596" t="s">
        <v>16462</v>
      </c>
      <c r="C21596" t="s">
        <v>547</v>
      </c>
      <c r="D21596" s="21" t="s">
        <v>34</v>
      </c>
      <c r="E21596" s="21" t="s">
        <v>1089</v>
      </c>
      <c r="F21596">
        <v>9760018</v>
      </c>
      <c r="G21596" t="s">
        <v>117</v>
      </c>
      <c r="H21596" s="21">
        <v>710.67</v>
      </c>
    </row>
    <row r="21597" spans="1:8" customFormat="1" x14ac:dyDescent="0.25">
      <c r="A21597" t="str">
        <f>"2814144"</f>
        <v>2814144</v>
      </c>
      <c r="B21597" t="s">
        <v>2505</v>
      </c>
      <c r="C21597" t="s">
        <v>124</v>
      </c>
      <c r="D21597" s="21" t="s">
        <v>34</v>
      </c>
      <c r="E21597" s="21" t="s">
        <v>71</v>
      </c>
      <c r="F21597">
        <v>4280005</v>
      </c>
      <c r="G21597" t="s">
        <v>5760</v>
      </c>
      <c r="H21597" s="21">
        <v>710.67</v>
      </c>
    </row>
    <row r="21598" spans="1:8" customFormat="1" x14ac:dyDescent="0.25">
      <c r="A21598" t="str">
        <f>"542366"</f>
        <v>542366</v>
      </c>
      <c r="B21598" t="s">
        <v>238</v>
      </c>
      <c r="C21598" t="s">
        <v>1841</v>
      </c>
      <c r="D21598" s="21" t="s">
        <v>34</v>
      </c>
      <c r="E21598" s="21" t="s">
        <v>254</v>
      </c>
      <c r="F21598">
        <v>6540108</v>
      </c>
      <c r="G21598" t="s">
        <v>4340</v>
      </c>
      <c r="H21598" s="21">
        <v>710.67</v>
      </c>
    </row>
    <row r="21599" spans="1:8" customFormat="1" x14ac:dyDescent="0.25">
      <c r="A21599" t="str">
        <f>"624965"</f>
        <v>624965</v>
      </c>
      <c r="B21599" t="s">
        <v>14540</v>
      </c>
      <c r="C21599" t="s">
        <v>263</v>
      </c>
      <c r="D21599" s="21" t="s">
        <v>34</v>
      </c>
      <c r="E21599" s="21" t="s">
        <v>254</v>
      </c>
      <c r="F21599">
        <v>7620067</v>
      </c>
      <c r="G21599" t="s">
        <v>860</v>
      </c>
      <c r="H21599" s="21">
        <v>710.67</v>
      </c>
    </row>
    <row r="21600" spans="1:8" customFormat="1" x14ac:dyDescent="0.25">
      <c r="A21600" t="str">
        <f>"699475"</f>
        <v>699475</v>
      </c>
      <c r="B21600" t="s">
        <v>16530</v>
      </c>
      <c r="C21600" t="s">
        <v>2520</v>
      </c>
      <c r="D21600" s="21" t="s">
        <v>34</v>
      </c>
      <c r="E21600" s="21" t="s">
        <v>254</v>
      </c>
      <c r="F21600">
        <v>1690102</v>
      </c>
      <c r="G21600" t="s">
        <v>2081</v>
      </c>
      <c r="H21600" s="21">
        <v>710.67</v>
      </c>
    </row>
    <row r="21601" spans="1:8" customFormat="1" x14ac:dyDescent="0.25">
      <c r="A21601" t="str">
        <f>"443050"</f>
        <v>443050</v>
      </c>
      <c r="B21601" t="s">
        <v>9055</v>
      </c>
      <c r="C21601" t="s">
        <v>1605</v>
      </c>
      <c r="D21601" s="21" t="s">
        <v>34</v>
      </c>
      <c r="E21601" s="21" t="s">
        <v>254</v>
      </c>
      <c r="F21601">
        <v>12440101</v>
      </c>
      <c r="G21601" t="s">
        <v>3482</v>
      </c>
      <c r="H21601" s="21">
        <v>710.67</v>
      </c>
    </row>
    <row r="21602" spans="1:8" customFormat="1" x14ac:dyDescent="0.25">
      <c r="A21602" t="str">
        <f>"58700"</f>
        <v>58700</v>
      </c>
      <c r="B21602" t="s">
        <v>16374</v>
      </c>
      <c r="C21602" t="s">
        <v>239</v>
      </c>
      <c r="D21602" s="21" t="s">
        <v>34</v>
      </c>
      <c r="E21602" s="21" t="s">
        <v>1089</v>
      </c>
      <c r="F21602">
        <v>2580012</v>
      </c>
      <c r="G21602" t="s">
        <v>1144</v>
      </c>
      <c r="H21602" s="21">
        <v>710.67</v>
      </c>
    </row>
    <row r="21603" spans="1:8" customFormat="1" x14ac:dyDescent="0.25">
      <c r="A21603" t="str">
        <f>"4523355"</f>
        <v>4523355</v>
      </c>
      <c r="B21603" t="s">
        <v>12880</v>
      </c>
      <c r="C21603" t="s">
        <v>87</v>
      </c>
      <c r="D21603" s="21" t="s">
        <v>34</v>
      </c>
      <c r="E21603" s="21" t="s">
        <v>35</v>
      </c>
      <c r="F21603">
        <v>4450417</v>
      </c>
      <c r="G21603" t="s">
        <v>2284</v>
      </c>
      <c r="H21603" s="21">
        <v>710.67</v>
      </c>
    </row>
    <row r="21604" spans="1:8" customFormat="1" x14ac:dyDescent="0.25">
      <c r="A21604" t="str">
        <f>"364412"</f>
        <v>364412</v>
      </c>
      <c r="B21604" t="s">
        <v>18025</v>
      </c>
      <c r="C21604" t="s">
        <v>98</v>
      </c>
      <c r="D21604" s="21" t="s">
        <v>34</v>
      </c>
      <c r="E21604" s="21" t="s">
        <v>35</v>
      </c>
      <c r="F21604">
        <v>10240020</v>
      </c>
      <c r="G21604" t="s">
        <v>870</v>
      </c>
      <c r="H21604" s="21">
        <v>710.67</v>
      </c>
    </row>
    <row r="21605" spans="1:8" customFormat="1" x14ac:dyDescent="0.25">
      <c r="A21605" t="str">
        <f>"9D2737"</f>
        <v>9D2737</v>
      </c>
      <c r="B21605" t="s">
        <v>18296</v>
      </c>
      <c r="C21605" t="s">
        <v>867</v>
      </c>
      <c r="D21605" s="21" t="s">
        <v>34</v>
      </c>
      <c r="E21605" s="21" t="s">
        <v>35</v>
      </c>
      <c r="F21605" t="s">
        <v>2462</v>
      </c>
      <c r="G21605" t="s">
        <v>2463</v>
      </c>
      <c r="H21605" s="21">
        <v>710.67</v>
      </c>
    </row>
    <row r="21606" spans="1:8" customFormat="1" x14ac:dyDescent="0.25">
      <c r="A21606" t="str">
        <f>"869407"</f>
        <v>869407</v>
      </c>
      <c r="B21606" t="s">
        <v>1081</v>
      </c>
      <c r="C21606" t="s">
        <v>65</v>
      </c>
      <c r="D21606" s="21" t="s">
        <v>34</v>
      </c>
      <c r="E21606" s="21" t="s">
        <v>35</v>
      </c>
      <c r="F21606">
        <v>10860213</v>
      </c>
      <c r="G21606" t="s">
        <v>17902</v>
      </c>
      <c r="H21606" s="21">
        <v>710.67</v>
      </c>
    </row>
    <row r="21607" spans="1:8" customFormat="1" x14ac:dyDescent="0.25">
      <c r="A21607" t="str">
        <f>"9532963"</f>
        <v>9532963</v>
      </c>
      <c r="B21607" t="s">
        <v>9781</v>
      </c>
      <c r="C21607" t="s">
        <v>267</v>
      </c>
      <c r="D21607" s="21" t="s">
        <v>34</v>
      </c>
      <c r="E21607" s="21" t="s">
        <v>254</v>
      </c>
      <c r="F21607">
        <v>8950330</v>
      </c>
      <c r="G21607" t="s">
        <v>794</v>
      </c>
      <c r="H21607" s="21">
        <v>710.54</v>
      </c>
    </row>
    <row r="21608" spans="1:8" customFormat="1" x14ac:dyDescent="0.25">
      <c r="A21608" t="str">
        <f>"554292"</f>
        <v>554292</v>
      </c>
      <c r="B21608" t="s">
        <v>27655</v>
      </c>
      <c r="C21608" t="s">
        <v>493</v>
      </c>
      <c r="D21608" s="21" t="s">
        <v>34</v>
      </c>
      <c r="E21608" s="21" t="s">
        <v>71</v>
      </c>
      <c r="F21608">
        <v>6550020</v>
      </c>
      <c r="G21608" t="s">
        <v>7526</v>
      </c>
      <c r="H21608" s="21">
        <v>710.5</v>
      </c>
    </row>
    <row r="21609" spans="1:8" customFormat="1" x14ac:dyDescent="0.25">
      <c r="A21609" t="str">
        <f>"4938600"</f>
        <v>4938600</v>
      </c>
      <c r="B21609" t="s">
        <v>10928</v>
      </c>
      <c r="C21609" t="s">
        <v>7923</v>
      </c>
      <c r="D21609" s="21" t="s">
        <v>34</v>
      </c>
      <c r="E21609" s="21" t="s">
        <v>35</v>
      </c>
      <c r="F21609">
        <v>12490120</v>
      </c>
      <c r="G21609" t="s">
        <v>2316</v>
      </c>
      <c r="H21609" s="21">
        <v>710.42</v>
      </c>
    </row>
    <row r="21610" spans="1:8" customFormat="1" x14ac:dyDescent="0.25">
      <c r="A21610" t="str">
        <f>"5724077"</f>
        <v>5724077</v>
      </c>
      <c r="B21610" t="s">
        <v>16994</v>
      </c>
      <c r="C21610" t="s">
        <v>114</v>
      </c>
      <c r="D21610" s="21" t="s">
        <v>34</v>
      </c>
      <c r="E21610" s="21" t="s">
        <v>254</v>
      </c>
      <c r="F21610">
        <v>6570146</v>
      </c>
      <c r="G21610" t="s">
        <v>1556</v>
      </c>
      <c r="H21610" s="21">
        <v>710.42</v>
      </c>
    </row>
    <row r="21611" spans="1:8" customFormat="1" x14ac:dyDescent="0.25">
      <c r="A21611" t="str">
        <f>"678281"</f>
        <v>678281</v>
      </c>
      <c r="B21611" t="s">
        <v>16855</v>
      </c>
      <c r="C21611" t="s">
        <v>302</v>
      </c>
      <c r="D21611" s="21" t="s">
        <v>34</v>
      </c>
      <c r="E21611" s="21" t="s">
        <v>35</v>
      </c>
      <c r="F21611">
        <v>6670200</v>
      </c>
      <c r="G21611" t="s">
        <v>27156</v>
      </c>
      <c r="H21611" s="21">
        <v>710.42</v>
      </c>
    </row>
    <row r="21612" spans="1:8" customFormat="1" x14ac:dyDescent="0.25">
      <c r="A21612" t="str">
        <f>"713833"</f>
        <v>713833</v>
      </c>
      <c r="B21612" t="s">
        <v>1422</v>
      </c>
      <c r="C21612" t="s">
        <v>486</v>
      </c>
      <c r="D21612" s="21" t="s">
        <v>34</v>
      </c>
      <c r="E21612" s="21" t="s">
        <v>71</v>
      </c>
      <c r="F21612">
        <v>2710071</v>
      </c>
      <c r="G21612" t="s">
        <v>18603</v>
      </c>
      <c r="H21612" s="21">
        <v>710.29</v>
      </c>
    </row>
    <row r="21613" spans="1:8" customFormat="1" x14ac:dyDescent="0.25">
      <c r="A21613" t="str">
        <f>"5942581"</f>
        <v>5942581</v>
      </c>
      <c r="B21613" t="s">
        <v>13369</v>
      </c>
      <c r="C21613" t="s">
        <v>87</v>
      </c>
      <c r="D21613" s="21" t="s">
        <v>34</v>
      </c>
      <c r="E21613" s="21" t="s">
        <v>35</v>
      </c>
      <c r="F21613">
        <v>7590080</v>
      </c>
      <c r="G21613" t="s">
        <v>1715</v>
      </c>
      <c r="H21613" s="21">
        <v>710.17</v>
      </c>
    </row>
    <row r="21614" spans="1:8" customFormat="1" x14ac:dyDescent="0.25">
      <c r="A21614" t="str">
        <f>"52210"</f>
        <v>52210</v>
      </c>
      <c r="B21614" t="s">
        <v>17161</v>
      </c>
      <c r="C21614" t="s">
        <v>1146</v>
      </c>
      <c r="D21614" s="21" t="s">
        <v>34</v>
      </c>
      <c r="E21614" s="21" t="s">
        <v>254</v>
      </c>
      <c r="F21614">
        <v>6520022</v>
      </c>
      <c r="G21614" t="s">
        <v>2041</v>
      </c>
      <c r="H21614" s="21">
        <v>710.17</v>
      </c>
    </row>
    <row r="21615" spans="1:8" customFormat="1" x14ac:dyDescent="0.25">
      <c r="A21615" t="str">
        <f>"2933780"</f>
        <v>2933780</v>
      </c>
      <c r="B21615" t="s">
        <v>18328</v>
      </c>
      <c r="C21615" t="s">
        <v>33</v>
      </c>
      <c r="D21615" s="21" t="s">
        <v>34</v>
      </c>
      <c r="E21615" s="21" t="s">
        <v>71</v>
      </c>
      <c r="F21615">
        <v>3290276</v>
      </c>
      <c r="G21615" t="s">
        <v>26710</v>
      </c>
      <c r="H21615" s="21">
        <v>710.17</v>
      </c>
    </row>
    <row r="21616" spans="1:8" customFormat="1" x14ac:dyDescent="0.25">
      <c r="A21616" t="str">
        <f>"2510006"</f>
        <v>2510006</v>
      </c>
      <c r="B21616" t="s">
        <v>27656</v>
      </c>
      <c r="C21616" t="s">
        <v>267</v>
      </c>
      <c r="D21616" s="21" t="s">
        <v>34</v>
      </c>
      <c r="E21616" s="21" t="s">
        <v>1089</v>
      </c>
      <c r="F21616">
        <v>2250162</v>
      </c>
      <c r="G21616" t="s">
        <v>7388</v>
      </c>
      <c r="H21616" s="21">
        <v>710.17</v>
      </c>
    </row>
    <row r="21617" spans="1:8" customFormat="1" x14ac:dyDescent="0.25">
      <c r="A21617" t="str">
        <f>"904031"</f>
        <v>904031</v>
      </c>
      <c r="B21617" t="s">
        <v>17116</v>
      </c>
      <c r="C21617" t="s">
        <v>121</v>
      </c>
      <c r="D21617" s="21" t="s">
        <v>34</v>
      </c>
      <c r="E21617" s="21" t="s">
        <v>35</v>
      </c>
      <c r="F21617">
        <v>2700075</v>
      </c>
      <c r="G21617" t="s">
        <v>10511</v>
      </c>
      <c r="H21617" s="21">
        <v>710.17</v>
      </c>
    </row>
    <row r="21618" spans="1:8" customFormat="1" x14ac:dyDescent="0.25">
      <c r="A21618" t="str">
        <f>"3512863"</f>
        <v>3512863</v>
      </c>
      <c r="B21618" t="s">
        <v>16980</v>
      </c>
      <c r="C21618" t="s">
        <v>55</v>
      </c>
      <c r="D21618" s="21" t="s">
        <v>34</v>
      </c>
      <c r="E21618" s="21" t="s">
        <v>71</v>
      </c>
      <c r="F21618">
        <v>3350050</v>
      </c>
      <c r="G21618" t="s">
        <v>6931</v>
      </c>
      <c r="H21618" s="21">
        <v>710.17</v>
      </c>
    </row>
    <row r="21619" spans="1:8" customFormat="1" x14ac:dyDescent="0.25">
      <c r="A21619" t="str">
        <f>"5722812"</f>
        <v>5722812</v>
      </c>
      <c r="B21619" t="s">
        <v>15632</v>
      </c>
      <c r="C21619" t="s">
        <v>236</v>
      </c>
      <c r="D21619" s="21" t="s">
        <v>34</v>
      </c>
      <c r="E21619" s="21" t="s">
        <v>71</v>
      </c>
      <c r="F21619">
        <v>6570015</v>
      </c>
      <c r="G21619" t="s">
        <v>749</v>
      </c>
      <c r="H21619" s="21">
        <v>710.17</v>
      </c>
    </row>
    <row r="21620" spans="1:8" customFormat="1" x14ac:dyDescent="0.25">
      <c r="A21620" t="str">
        <f>"9236727"</f>
        <v>9236727</v>
      </c>
      <c r="B21620" t="s">
        <v>16259</v>
      </c>
      <c r="C21620" t="s">
        <v>124</v>
      </c>
      <c r="D21620" s="21" t="s">
        <v>34</v>
      </c>
      <c r="E21620" s="21" t="s">
        <v>71</v>
      </c>
      <c r="F21620">
        <v>8920075</v>
      </c>
      <c r="G21620" t="s">
        <v>317</v>
      </c>
      <c r="H21620" s="21">
        <v>710.17</v>
      </c>
    </row>
    <row r="21621" spans="1:8" customFormat="1" x14ac:dyDescent="0.25">
      <c r="A21621" t="str">
        <f>"8010597"</f>
        <v>8010597</v>
      </c>
      <c r="B21621" t="s">
        <v>6487</v>
      </c>
      <c r="C21621" t="s">
        <v>17317</v>
      </c>
      <c r="D21621" s="21" t="s">
        <v>34</v>
      </c>
      <c r="E21621" s="21" t="s">
        <v>254</v>
      </c>
      <c r="F21621">
        <v>7800013</v>
      </c>
      <c r="G21621" t="s">
        <v>10778</v>
      </c>
      <c r="H21621" s="21">
        <v>710.17</v>
      </c>
    </row>
    <row r="21622" spans="1:8" customFormat="1" x14ac:dyDescent="0.25">
      <c r="A21622" t="str">
        <f>"3115987"</f>
        <v>3115987</v>
      </c>
      <c r="B21622" t="s">
        <v>16237</v>
      </c>
      <c r="C21622" t="s">
        <v>712</v>
      </c>
      <c r="D21622" s="21" t="s">
        <v>34</v>
      </c>
      <c r="E21622" s="21" t="s">
        <v>35</v>
      </c>
      <c r="F21622">
        <v>11310123</v>
      </c>
      <c r="G21622" t="s">
        <v>3915</v>
      </c>
      <c r="H21622" s="21">
        <v>710.17</v>
      </c>
    </row>
    <row r="21623" spans="1:8" customFormat="1" x14ac:dyDescent="0.25">
      <c r="A21623" t="str">
        <f>"9448172"</f>
        <v>9448172</v>
      </c>
      <c r="B21623" t="s">
        <v>18102</v>
      </c>
      <c r="C21623" t="s">
        <v>209</v>
      </c>
      <c r="D21623" s="21" t="s">
        <v>34</v>
      </c>
      <c r="E21623" s="21" t="s">
        <v>71</v>
      </c>
      <c r="F21623">
        <v>8940524</v>
      </c>
      <c r="G21623" t="s">
        <v>6176</v>
      </c>
      <c r="H21623" s="21">
        <v>710.17</v>
      </c>
    </row>
    <row r="21624" spans="1:8" customFormat="1" x14ac:dyDescent="0.25">
      <c r="A21624" t="str">
        <f>"855093"</f>
        <v>855093</v>
      </c>
      <c r="B21624" t="s">
        <v>10609</v>
      </c>
      <c r="C21624" t="s">
        <v>1025</v>
      </c>
      <c r="D21624" s="21" t="s">
        <v>34</v>
      </c>
      <c r="E21624" s="21" t="s">
        <v>35</v>
      </c>
      <c r="F21624">
        <v>12851011</v>
      </c>
      <c r="G21624" t="s">
        <v>1445</v>
      </c>
      <c r="H21624" s="21">
        <v>710.17</v>
      </c>
    </row>
    <row r="21625" spans="1:8" customFormat="1" x14ac:dyDescent="0.25">
      <c r="A21625" t="str">
        <f>"4453261"</f>
        <v>4453261</v>
      </c>
      <c r="B21625" t="s">
        <v>17378</v>
      </c>
      <c r="C21625" t="s">
        <v>269</v>
      </c>
      <c r="D21625" s="21" t="s">
        <v>34</v>
      </c>
      <c r="E21625" s="21" t="s">
        <v>71</v>
      </c>
      <c r="F21625">
        <v>12440174</v>
      </c>
      <c r="G21625" t="s">
        <v>27498</v>
      </c>
      <c r="H21625" s="21">
        <v>710.17</v>
      </c>
    </row>
    <row r="21626" spans="1:8" customFormat="1" x14ac:dyDescent="0.25">
      <c r="A21626" t="str">
        <f>"7514859"</f>
        <v>7514859</v>
      </c>
      <c r="B21626" t="s">
        <v>556</v>
      </c>
      <c r="C21626" t="s">
        <v>62</v>
      </c>
      <c r="D21626" s="21" t="s">
        <v>34</v>
      </c>
      <c r="E21626" s="21" t="s">
        <v>35</v>
      </c>
      <c r="F21626">
        <v>7600004</v>
      </c>
      <c r="G21626" t="s">
        <v>848</v>
      </c>
      <c r="H21626" s="21">
        <v>710.17</v>
      </c>
    </row>
    <row r="21627" spans="1:8" customFormat="1" x14ac:dyDescent="0.25">
      <c r="A21627" t="str">
        <f>"244496"</f>
        <v>244496</v>
      </c>
      <c r="B21627" t="s">
        <v>482</v>
      </c>
      <c r="C21627" t="s">
        <v>87</v>
      </c>
      <c r="D21627" s="21" t="s">
        <v>34</v>
      </c>
      <c r="E21627" s="21" t="s">
        <v>71</v>
      </c>
      <c r="F21627">
        <v>10470021</v>
      </c>
      <c r="G21627" t="s">
        <v>1034</v>
      </c>
      <c r="H21627" s="21">
        <v>710.17</v>
      </c>
    </row>
    <row r="21628" spans="1:8" customFormat="1" x14ac:dyDescent="0.25">
      <c r="A21628" t="str">
        <f>"9228383"</f>
        <v>9228383</v>
      </c>
      <c r="B21628" t="s">
        <v>15851</v>
      </c>
      <c r="C21628" t="s">
        <v>249</v>
      </c>
      <c r="D21628" s="21" t="s">
        <v>34</v>
      </c>
      <c r="E21628" s="21" t="s">
        <v>71</v>
      </c>
      <c r="F21628">
        <v>8920066</v>
      </c>
      <c r="G21628" t="s">
        <v>4899</v>
      </c>
      <c r="H21628" s="21">
        <v>710.17</v>
      </c>
    </row>
    <row r="21629" spans="1:8" customFormat="1" x14ac:dyDescent="0.25">
      <c r="A21629" t="str">
        <f>"35622"</f>
        <v>35622</v>
      </c>
      <c r="B21629" t="s">
        <v>17199</v>
      </c>
      <c r="C21629" t="s">
        <v>209</v>
      </c>
      <c r="D21629" s="21" t="s">
        <v>34</v>
      </c>
      <c r="E21629" s="21" t="s">
        <v>254</v>
      </c>
      <c r="F21629">
        <v>3350009</v>
      </c>
      <c r="G21629" t="s">
        <v>1823</v>
      </c>
      <c r="H21629" s="21">
        <v>710.17</v>
      </c>
    </row>
    <row r="21630" spans="1:8" customFormat="1" x14ac:dyDescent="0.25">
      <c r="A21630" t="str">
        <f>"0211539"</f>
        <v>0211539</v>
      </c>
      <c r="B21630" t="s">
        <v>16040</v>
      </c>
      <c r="C21630" t="s">
        <v>249</v>
      </c>
      <c r="D21630" s="21" t="s">
        <v>34</v>
      </c>
      <c r="E21630" s="21" t="s">
        <v>254</v>
      </c>
      <c r="F21630">
        <v>7021013</v>
      </c>
      <c r="G21630" t="s">
        <v>3527</v>
      </c>
      <c r="H21630" s="21">
        <v>710.17</v>
      </c>
    </row>
    <row r="21631" spans="1:8" customFormat="1" x14ac:dyDescent="0.25">
      <c r="A21631" t="str">
        <f>"4527284"</f>
        <v>4527284</v>
      </c>
      <c r="B21631" t="s">
        <v>20128</v>
      </c>
      <c r="C21631" t="s">
        <v>2806</v>
      </c>
      <c r="D21631" s="21" t="s">
        <v>34</v>
      </c>
      <c r="E21631" s="21" t="s">
        <v>35</v>
      </c>
      <c r="F21631">
        <v>4450417</v>
      </c>
      <c r="G21631" t="s">
        <v>2284</v>
      </c>
      <c r="H21631" s="21">
        <v>710.17</v>
      </c>
    </row>
    <row r="21632" spans="1:8" customFormat="1" x14ac:dyDescent="0.25">
      <c r="A21632" t="str">
        <f>"7728511"</f>
        <v>7728511</v>
      </c>
      <c r="B21632" t="s">
        <v>18049</v>
      </c>
      <c r="C21632" t="s">
        <v>288</v>
      </c>
      <c r="D21632" s="21" t="s">
        <v>34</v>
      </c>
      <c r="E21632" s="21" t="s">
        <v>71</v>
      </c>
      <c r="F21632">
        <v>8770562</v>
      </c>
      <c r="G21632" t="s">
        <v>4847</v>
      </c>
      <c r="H21632" s="21">
        <v>710.17</v>
      </c>
    </row>
    <row r="21633" spans="1:8" customFormat="1" x14ac:dyDescent="0.25">
      <c r="A21633" t="str">
        <f>"8517221"</f>
        <v>8517221</v>
      </c>
      <c r="B21633" t="s">
        <v>16851</v>
      </c>
      <c r="C21633" t="s">
        <v>96</v>
      </c>
      <c r="D21633" s="21" t="s">
        <v>34</v>
      </c>
      <c r="E21633" s="21" t="s">
        <v>35</v>
      </c>
      <c r="F21633">
        <v>12851025</v>
      </c>
      <c r="G21633" t="s">
        <v>26858</v>
      </c>
      <c r="H21633" s="21">
        <v>710.17</v>
      </c>
    </row>
    <row r="21634" spans="1:8" customFormat="1" x14ac:dyDescent="0.25">
      <c r="A21634" t="str">
        <f>"9143217"</f>
        <v>9143217</v>
      </c>
      <c r="B21634" t="s">
        <v>7940</v>
      </c>
      <c r="C21634" t="s">
        <v>2730</v>
      </c>
      <c r="D21634" s="21" t="s">
        <v>34</v>
      </c>
      <c r="E21634" s="21" t="s">
        <v>254</v>
      </c>
      <c r="F21634">
        <v>8911050</v>
      </c>
      <c r="G21634" t="s">
        <v>1606</v>
      </c>
      <c r="H21634" s="21">
        <v>710.17</v>
      </c>
    </row>
    <row r="21635" spans="1:8" customFormat="1" x14ac:dyDescent="0.25">
      <c r="A21635" t="str">
        <f>"8517959"</f>
        <v>8517959</v>
      </c>
      <c r="B21635" t="s">
        <v>17623</v>
      </c>
      <c r="C21635" t="s">
        <v>462</v>
      </c>
      <c r="D21635" s="21" t="s">
        <v>34</v>
      </c>
      <c r="E21635" s="21" t="s">
        <v>71</v>
      </c>
      <c r="F21635">
        <v>12850057</v>
      </c>
      <c r="G21635" t="s">
        <v>1291</v>
      </c>
      <c r="H21635" s="21">
        <v>710.17</v>
      </c>
    </row>
    <row r="21636" spans="1:8" customFormat="1" x14ac:dyDescent="0.25">
      <c r="A21636" t="str">
        <f>"9413155"</f>
        <v>9413155</v>
      </c>
      <c r="B21636" t="s">
        <v>213</v>
      </c>
      <c r="C21636" t="s">
        <v>2520</v>
      </c>
      <c r="D21636" s="21" t="s">
        <v>34</v>
      </c>
      <c r="E21636" s="21" t="s">
        <v>6185</v>
      </c>
      <c r="F21636">
        <v>8941461</v>
      </c>
      <c r="G21636" t="s">
        <v>10447</v>
      </c>
      <c r="H21636" s="21">
        <v>710.17</v>
      </c>
    </row>
    <row r="21637" spans="1:8" customFormat="1" x14ac:dyDescent="0.25">
      <c r="A21637" t="str">
        <f>"4937621"</f>
        <v>4937621</v>
      </c>
      <c r="B21637" t="s">
        <v>8587</v>
      </c>
      <c r="C21637" t="s">
        <v>144</v>
      </c>
      <c r="D21637" s="21" t="s">
        <v>34</v>
      </c>
      <c r="E21637" s="21" t="s">
        <v>35</v>
      </c>
      <c r="F21637">
        <v>12490057</v>
      </c>
      <c r="G21637" t="s">
        <v>5946</v>
      </c>
      <c r="H21637" s="21">
        <v>710.12</v>
      </c>
    </row>
    <row r="21638" spans="1:8" customFormat="1" x14ac:dyDescent="0.25">
      <c r="A21638" t="str">
        <f>"7518575"</f>
        <v>7518575</v>
      </c>
      <c r="B21638" t="s">
        <v>1547</v>
      </c>
      <c r="C21638" t="s">
        <v>62</v>
      </c>
      <c r="D21638" s="21" t="s">
        <v>34</v>
      </c>
      <c r="E21638" s="21" t="s">
        <v>71</v>
      </c>
      <c r="F21638">
        <v>8920646</v>
      </c>
      <c r="G21638" t="s">
        <v>2864</v>
      </c>
      <c r="H21638" s="21">
        <v>710.04</v>
      </c>
    </row>
    <row r="21639" spans="1:8" customFormat="1" x14ac:dyDescent="0.25">
      <c r="A21639" t="str">
        <f>"501957"</f>
        <v>501957</v>
      </c>
      <c r="B21639" t="s">
        <v>17615</v>
      </c>
      <c r="C21639" t="s">
        <v>236</v>
      </c>
      <c r="D21639" s="21" t="s">
        <v>34</v>
      </c>
      <c r="E21639" s="21" t="s">
        <v>254</v>
      </c>
      <c r="F21639">
        <v>9500015</v>
      </c>
      <c r="G21639" t="s">
        <v>3389</v>
      </c>
      <c r="H21639" s="21">
        <v>710.04</v>
      </c>
    </row>
    <row r="21640" spans="1:8" customFormat="1" x14ac:dyDescent="0.25">
      <c r="A21640" t="str">
        <f>"4529380"</f>
        <v>4529380</v>
      </c>
      <c r="B21640" t="s">
        <v>8234</v>
      </c>
      <c r="C21640" t="s">
        <v>43</v>
      </c>
      <c r="D21640" s="21" t="s">
        <v>34</v>
      </c>
      <c r="E21640" s="21" t="s">
        <v>35</v>
      </c>
      <c r="F21640">
        <v>4450773</v>
      </c>
      <c r="G21640" t="s">
        <v>26903</v>
      </c>
      <c r="H21640" s="21">
        <v>709.92</v>
      </c>
    </row>
    <row r="21641" spans="1:8" customFormat="1" x14ac:dyDescent="0.25">
      <c r="A21641" t="str">
        <f>"4524274"</f>
        <v>4524274</v>
      </c>
      <c r="B21641" t="s">
        <v>17506</v>
      </c>
      <c r="C21641" t="s">
        <v>1675</v>
      </c>
      <c r="D21641" s="21" t="s">
        <v>34</v>
      </c>
      <c r="E21641" s="21" t="s">
        <v>35</v>
      </c>
      <c r="F21641">
        <v>4450059</v>
      </c>
      <c r="G21641" t="s">
        <v>16170</v>
      </c>
      <c r="H21641" s="21">
        <v>709.92</v>
      </c>
    </row>
    <row r="21642" spans="1:8" customFormat="1" x14ac:dyDescent="0.25">
      <c r="A21642" t="str">
        <f>"3332467"</f>
        <v>3332467</v>
      </c>
      <c r="B21642" t="s">
        <v>20212</v>
      </c>
      <c r="C21642" t="s">
        <v>119</v>
      </c>
      <c r="D21642" s="21" t="s">
        <v>34</v>
      </c>
      <c r="E21642" s="21" t="s">
        <v>35</v>
      </c>
      <c r="F21642">
        <v>10330080</v>
      </c>
      <c r="G21642" t="s">
        <v>5634</v>
      </c>
      <c r="H21642" s="21">
        <v>709.92</v>
      </c>
    </row>
    <row r="21643" spans="1:8" customFormat="1" x14ac:dyDescent="0.25">
      <c r="A21643" t="str">
        <f>"9125684"</f>
        <v>9125684</v>
      </c>
      <c r="B21643" t="s">
        <v>4335</v>
      </c>
      <c r="C21643" t="s">
        <v>267</v>
      </c>
      <c r="D21643" s="21" t="s">
        <v>34</v>
      </c>
      <c r="E21643" s="21" t="s">
        <v>71</v>
      </c>
      <c r="F21643">
        <v>8750117</v>
      </c>
      <c r="G21643" t="s">
        <v>3516</v>
      </c>
      <c r="H21643" s="21">
        <v>709.67</v>
      </c>
    </row>
    <row r="21644" spans="1:8" customFormat="1" x14ac:dyDescent="0.25">
      <c r="A21644" t="str">
        <f>"3811270"</f>
        <v>3811270</v>
      </c>
      <c r="B21644" t="s">
        <v>17143</v>
      </c>
      <c r="C21644" t="s">
        <v>233</v>
      </c>
      <c r="D21644" s="21" t="s">
        <v>34</v>
      </c>
      <c r="E21644" s="21" t="s">
        <v>254</v>
      </c>
      <c r="F21644">
        <v>1380157</v>
      </c>
      <c r="G21644" t="s">
        <v>9044</v>
      </c>
      <c r="H21644" s="21">
        <v>709.67</v>
      </c>
    </row>
    <row r="21645" spans="1:8" customFormat="1" x14ac:dyDescent="0.25">
      <c r="A21645" t="str">
        <f>"636086"</f>
        <v>636086</v>
      </c>
      <c r="B21645" t="s">
        <v>16485</v>
      </c>
      <c r="C21645" t="s">
        <v>428</v>
      </c>
      <c r="D21645" s="21" t="s">
        <v>34</v>
      </c>
      <c r="E21645" s="21" t="s">
        <v>71</v>
      </c>
      <c r="F21645">
        <v>1630134</v>
      </c>
      <c r="G21645" t="s">
        <v>11787</v>
      </c>
      <c r="H21645" s="21">
        <v>709.67</v>
      </c>
    </row>
    <row r="21646" spans="1:8" customFormat="1" x14ac:dyDescent="0.25">
      <c r="A21646" t="str">
        <f>"631657"</f>
        <v>631657</v>
      </c>
      <c r="B21646" t="s">
        <v>16830</v>
      </c>
      <c r="C21646" t="s">
        <v>1812</v>
      </c>
      <c r="D21646" s="21" t="s">
        <v>34</v>
      </c>
      <c r="E21646" s="21" t="s">
        <v>254</v>
      </c>
      <c r="F21646">
        <v>1630114</v>
      </c>
      <c r="G21646" t="s">
        <v>10269</v>
      </c>
      <c r="H21646" s="21">
        <v>709.67</v>
      </c>
    </row>
    <row r="21647" spans="1:8" customFormat="1" x14ac:dyDescent="0.25">
      <c r="A21647" t="str">
        <f>"78365"</f>
        <v>78365</v>
      </c>
      <c r="B21647" t="s">
        <v>16098</v>
      </c>
      <c r="C21647" t="s">
        <v>198</v>
      </c>
      <c r="D21647" s="21" t="s">
        <v>34</v>
      </c>
      <c r="E21647" s="21" t="s">
        <v>71</v>
      </c>
      <c r="F21647">
        <v>8780108</v>
      </c>
      <c r="G21647" t="s">
        <v>4329</v>
      </c>
      <c r="H21647" s="21">
        <v>709.67</v>
      </c>
    </row>
    <row r="21648" spans="1:8" customFormat="1" x14ac:dyDescent="0.25">
      <c r="A21648" t="str">
        <f>"444516"</f>
        <v>444516</v>
      </c>
      <c r="B21648" t="s">
        <v>15921</v>
      </c>
      <c r="C21648" t="s">
        <v>40</v>
      </c>
      <c r="D21648" s="21" t="s">
        <v>34</v>
      </c>
      <c r="E21648" s="21" t="s">
        <v>71</v>
      </c>
      <c r="F21648">
        <v>12440073</v>
      </c>
      <c r="G21648" t="s">
        <v>3492</v>
      </c>
      <c r="H21648" s="21">
        <v>709.67</v>
      </c>
    </row>
    <row r="21649" spans="1:8" customFormat="1" x14ac:dyDescent="0.25">
      <c r="A21649" t="str">
        <f>"5015264"</f>
        <v>5015264</v>
      </c>
      <c r="B21649" t="s">
        <v>3671</v>
      </c>
      <c r="C21649" t="s">
        <v>249</v>
      </c>
      <c r="D21649" s="21" t="s">
        <v>34</v>
      </c>
      <c r="E21649" s="21" t="s">
        <v>71</v>
      </c>
      <c r="F21649">
        <v>9500013</v>
      </c>
      <c r="G21649" t="s">
        <v>992</v>
      </c>
      <c r="H21649" s="21">
        <v>709.67</v>
      </c>
    </row>
    <row r="21650" spans="1:8" customFormat="1" x14ac:dyDescent="0.25">
      <c r="A21650" t="str">
        <f>"855651"</f>
        <v>855651</v>
      </c>
      <c r="B21650" t="s">
        <v>16184</v>
      </c>
      <c r="C21650" t="s">
        <v>119</v>
      </c>
      <c r="D21650" s="21" t="s">
        <v>34</v>
      </c>
      <c r="E21650" s="21" t="s">
        <v>71</v>
      </c>
      <c r="F21650">
        <v>12850162</v>
      </c>
      <c r="G21650" t="s">
        <v>15095</v>
      </c>
      <c r="H21650" s="21">
        <v>709.67</v>
      </c>
    </row>
    <row r="21651" spans="1:8" customFormat="1" x14ac:dyDescent="0.25">
      <c r="A21651" t="str">
        <f>"94958"</f>
        <v>94958</v>
      </c>
      <c r="B21651" t="s">
        <v>12992</v>
      </c>
      <c r="C21651" t="s">
        <v>156</v>
      </c>
      <c r="D21651" s="21" t="s">
        <v>34</v>
      </c>
      <c r="E21651" s="21" t="s">
        <v>254</v>
      </c>
      <c r="F21651">
        <v>8940524</v>
      </c>
      <c r="G21651" t="s">
        <v>6176</v>
      </c>
      <c r="H21651" s="21">
        <v>709.67</v>
      </c>
    </row>
    <row r="21652" spans="1:8" customFormat="1" x14ac:dyDescent="0.25">
      <c r="A21652" t="str">
        <f>"1416202"</f>
        <v>1416202</v>
      </c>
      <c r="B21652" t="s">
        <v>461</v>
      </c>
      <c r="C21652" t="s">
        <v>415</v>
      </c>
      <c r="D21652" s="21" t="s">
        <v>34</v>
      </c>
      <c r="E21652" s="21" t="s">
        <v>1089</v>
      </c>
      <c r="F21652">
        <v>9140228</v>
      </c>
      <c r="G21652" t="s">
        <v>16772</v>
      </c>
      <c r="H21652" s="21">
        <v>709.67</v>
      </c>
    </row>
    <row r="21653" spans="1:8" customFormat="1" x14ac:dyDescent="0.25">
      <c r="A21653" t="str">
        <f>"9311926"</f>
        <v>9311926</v>
      </c>
      <c r="B21653" t="s">
        <v>14971</v>
      </c>
      <c r="C21653" t="s">
        <v>82</v>
      </c>
      <c r="D21653" s="21" t="s">
        <v>34</v>
      </c>
      <c r="E21653" s="21" t="s">
        <v>35</v>
      </c>
      <c r="F21653">
        <v>8930113</v>
      </c>
      <c r="G21653" t="s">
        <v>368</v>
      </c>
      <c r="H21653" s="21">
        <v>709.67</v>
      </c>
    </row>
    <row r="21654" spans="1:8" customFormat="1" x14ac:dyDescent="0.25">
      <c r="A21654" t="str">
        <f>"8518715"</f>
        <v>8518715</v>
      </c>
      <c r="B21654" t="s">
        <v>2489</v>
      </c>
      <c r="C21654" t="s">
        <v>119</v>
      </c>
      <c r="D21654" s="21" t="s">
        <v>34</v>
      </c>
      <c r="E21654" s="21" t="s">
        <v>71</v>
      </c>
      <c r="F21654">
        <v>12850136</v>
      </c>
      <c r="G21654" t="s">
        <v>2536</v>
      </c>
      <c r="H21654" s="21">
        <v>709.67</v>
      </c>
    </row>
    <row r="21655" spans="1:8" customFormat="1" x14ac:dyDescent="0.25">
      <c r="A21655" t="str">
        <f>"7628305"</f>
        <v>7628305</v>
      </c>
      <c r="B21655" t="s">
        <v>18354</v>
      </c>
      <c r="C21655" t="s">
        <v>249</v>
      </c>
      <c r="D21655" s="21" t="s">
        <v>34</v>
      </c>
      <c r="E21655" s="21" t="s">
        <v>71</v>
      </c>
      <c r="F21655">
        <v>9760430</v>
      </c>
      <c r="G21655" t="s">
        <v>11565</v>
      </c>
      <c r="H21655" s="21">
        <v>709.67</v>
      </c>
    </row>
    <row r="21656" spans="1:8" customFormat="1" x14ac:dyDescent="0.25">
      <c r="A21656" t="str">
        <f>"7726635"</f>
        <v>7726635</v>
      </c>
      <c r="B21656" t="s">
        <v>16870</v>
      </c>
      <c r="C21656" t="s">
        <v>926</v>
      </c>
      <c r="D21656" s="21" t="s">
        <v>34</v>
      </c>
      <c r="E21656" s="21" t="s">
        <v>71</v>
      </c>
      <c r="F21656">
        <v>8771508</v>
      </c>
      <c r="G21656" t="s">
        <v>4072</v>
      </c>
      <c r="H21656" s="21">
        <v>709.67</v>
      </c>
    </row>
    <row r="21657" spans="1:8" customFormat="1" x14ac:dyDescent="0.25">
      <c r="A21657" t="str">
        <f>"2715498"</f>
        <v>2715498</v>
      </c>
      <c r="B21657" t="s">
        <v>16323</v>
      </c>
      <c r="C21657" t="s">
        <v>40</v>
      </c>
      <c r="D21657" s="21" t="s">
        <v>34</v>
      </c>
      <c r="E21657" s="21" t="s">
        <v>254</v>
      </c>
      <c r="F21657">
        <v>9270169</v>
      </c>
      <c r="G21657" t="s">
        <v>6217</v>
      </c>
      <c r="H21657" s="21">
        <v>709.67</v>
      </c>
    </row>
    <row r="21658" spans="1:8" customFormat="1" x14ac:dyDescent="0.25">
      <c r="A21658" t="str">
        <f>"5965962"</f>
        <v>5965962</v>
      </c>
      <c r="B21658" t="s">
        <v>2231</v>
      </c>
      <c r="C21658" t="s">
        <v>285</v>
      </c>
      <c r="D21658" s="21" t="s">
        <v>34</v>
      </c>
      <c r="E21658" s="21" t="s">
        <v>35</v>
      </c>
      <c r="F21658">
        <v>7590105</v>
      </c>
      <c r="G21658" t="s">
        <v>887</v>
      </c>
      <c r="H21658" s="21">
        <v>709.67</v>
      </c>
    </row>
    <row r="21659" spans="1:8" customFormat="1" x14ac:dyDescent="0.25">
      <c r="A21659" t="str">
        <f>"5010445"</f>
        <v>5010445</v>
      </c>
      <c r="B21659" t="s">
        <v>16124</v>
      </c>
      <c r="C21659" t="s">
        <v>253</v>
      </c>
      <c r="D21659" s="21" t="s">
        <v>34</v>
      </c>
      <c r="E21659" s="21" t="s">
        <v>71</v>
      </c>
      <c r="F21659">
        <v>9500088</v>
      </c>
      <c r="G21659" t="s">
        <v>15949</v>
      </c>
      <c r="H21659" s="21">
        <v>709.67</v>
      </c>
    </row>
    <row r="21660" spans="1:8" customFormat="1" x14ac:dyDescent="0.25">
      <c r="A21660" t="str">
        <f>"6711804"</f>
        <v>6711804</v>
      </c>
      <c r="B21660" t="s">
        <v>10546</v>
      </c>
      <c r="C21660" t="s">
        <v>453</v>
      </c>
      <c r="D21660" s="21" t="s">
        <v>34</v>
      </c>
      <c r="E21660" s="21" t="s">
        <v>1089</v>
      </c>
      <c r="F21660">
        <v>6670122</v>
      </c>
      <c r="G21660" t="s">
        <v>3126</v>
      </c>
      <c r="H21660" s="21">
        <v>709.67</v>
      </c>
    </row>
    <row r="21661" spans="1:8" customFormat="1" x14ac:dyDescent="0.25">
      <c r="A21661" t="str">
        <f>"5926549"</f>
        <v>5926549</v>
      </c>
      <c r="B21661" t="s">
        <v>2183</v>
      </c>
      <c r="C21661" t="s">
        <v>253</v>
      </c>
      <c r="D21661" s="21" t="s">
        <v>34</v>
      </c>
      <c r="E21661" s="21" t="s">
        <v>6185</v>
      </c>
      <c r="F21661">
        <v>7590363</v>
      </c>
      <c r="G21661" t="s">
        <v>5167</v>
      </c>
      <c r="H21661" s="21">
        <v>709.67</v>
      </c>
    </row>
    <row r="21662" spans="1:8" customFormat="1" x14ac:dyDescent="0.25">
      <c r="A21662" t="str">
        <f>"6218403"</f>
        <v>6218403</v>
      </c>
      <c r="B21662" t="s">
        <v>3952</v>
      </c>
      <c r="C21662" t="s">
        <v>55</v>
      </c>
      <c r="D21662" s="21" t="s">
        <v>34</v>
      </c>
      <c r="E21662" s="21" t="s">
        <v>71</v>
      </c>
      <c r="F21662">
        <v>7620031</v>
      </c>
      <c r="G21662" t="s">
        <v>2182</v>
      </c>
      <c r="H21662" s="21">
        <v>709.67</v>
      </c>
    </row>
    <row r="21663" spans="1:8" customFormat="1" x14ac:dyDescent="0.25">
      <c r="A21663" t="str">
        <f>"1318969"</f>
        <v>1318969</v>
      </c>
      <c r="B21663" t="s">
        <v>18445</v>
      </c>
      <c r="C21663" t="s">
        <v>2904</v>
      </c>
      <c r="D21663" s="21" t="s">
        <v>34</v>
      </c>
      <c r="E21663" s="21" t="s">
        <v>71</v>
      </c>
      <c r="F21663">
        <v>13130162</v>
      </c>
      <c r="G21663" t="s">
        <v>13411</v>
      </c>
      <c r="H21663" s="21">
        <v>709.67</v>
      </c>
    </row>
    <row r="21664" spans="1:8" customFormat="1" x14ac:dyDescent="0.25">
      <c r="A21664" t="str">
        <f>"619173"</f>
        <v>619173</v>
      </c>
      <c r="B21664" t="s">
        <v>8077</v>
      </c>
      <c r="C21664" t="s">
        <v>169</v>
      </c>
      <c r="D21664" s="21" t="s">
        <v>34</v>
      </c>
      <c r="E21664" s="21" t="s">
        <v>35</v>
      </c>
      <c r="F21664">
        <v>9610097</v>
      </c>
      <c r="G21664" t="s">
        <v>9432</v>
      </c>
      <c r="H21664" s="21">
        <v>709.67</v>
      </c>
    </row>
    <row r="21665" spans="1:8" customFormat="1" x14ac:dyDescent="0.25">
      <c r="A21665" t="str">
        <f>"8010073"</f>
        <v>8010073</v>
      </c>
      <c r="B21665" t="s">
        <v>18209</v>
      </c>
      <c r="C21665" t="s">
        <v>528</v>
      </c>
      <c r="D21665" s="21" t="s">
        <v>34</v>
      </c>
      <c r="E21665" s="21" t="s">
        <v>254</v>
      </c>
      <c r="F21665">
        <v>7800153</v>
      </c>
      <c r="G21665" t="s">
        <v>13728</v>
      </c>
      <c r="H21665" s="21">
        <v>709.67</v>
      </c>
    </row>
    <row r="21666" spans="1:8" customFormat="1" x14ac:dyDescent="0.25">
      <c r="A21666" t="str">
        <f>"8527496"</f>
        <v>8527496</v>
      </c>
      <c r="B21666" t="s">
        <v>2644</v>
      </c>
      <c r="C21666" t="s">
        <v>2907</v>
      </c>
      <c r="D21666" s="21" t="s">
        <v>34</v>
      </c>
      <c r="E21666" s="21" t="s">
        <v>254</v>
      </c>
      <c r="F21666">
        <v>12850020</v>
      </c>
      <c r="G21666" t="s">
        <v>725</v>
      </c>
      <c r="H21666" s="21">
        <v>709.67</v>
      </c>
    </row>
    <row r="21667" spans="1:8" customFormat="1" x14ac:dyDescent="0.25">
      <c r="A21667" t="str">
        <f>"5717216"</f>
        <v>5717216</v>
      </c>
      <c r="B21667" t="s">
        <v>15781</v>
      </c>
      <c r="C21667" t="s">
        <v>1539</v>
      </c>
      <c r="D21667" s="21" t="s">
        <v>34</v>
      </c>
      <c r="E21667" s="21" t="s">
        <v>254</v>
      </c>
      <c r="F21667">
        <v>6570019</v>
      </c>
      <c r="G21667" t="s">
        <v>1510</v>
      </c>
      <c r="H21667" s="21">
        <v>709.67</v>
      </c>
    </row>
    <row r="21668" spans="1:8" customFormat="1" x14ac:dyDescent="0.25">
      <c r="A21668" t="str">
        <f>"2718625"</f>
        <v>2718625</v>
      </c>
      <c r="B21668" t="s">
        <v>11927</v>
      </c>
      <c r="C21668" t="s">
        <v>9430</v>
      </c>
      <c r="D21668" s="21" t="s">
        <v>34</v>
      </c>
      <c r="E21668" s="21" t="s">
        <v>71</v>
      </c>
      <c r="F21668">
        <v>9270188</v>
      </c>
      <c r="G21668" t="s">
        <v>11292</v>
      </c>
      <c r="H21668" s="21">
        <v>709.29</v>
      </c>
    </row>
    <row r="21669" spans="1:8" customFormat="1" x14ac:dyDescent="0.25">
      <c r="A21669" t="str">
        <f>"5614999"</f>
        <v>5614999</v>
      </c>
      <c r="B21669" t="s">
        <v>17039</v>
      </c>
      <c r="C21669" t="s">
        <v>40</v>
      </c>
      <c r="D21669" s="21" t="s">
        <v>34</v>
      </c>
      <c r="E21669" s="21" t="s">
        <v>35</v>
      </c>
      <c r="F21669">
        <v>3560022</v>
      </c>
      <c r="G21669" t="s">
        <v>2547</v>
      </c>
      <c r="H21669" s="21">
        <v>709.17</v>
      </c>
    </row>
    <row r="21670" spans="1:8" customFormat="1" x14ac:dyDescent="0.25">
      <c r="A21670" t="str">
        <f>"6724124"</f>
        <v>6724124</v>
      </c>
      <c r="B21670" t="s">
        <v>16364</v>
      </c>
      <c r="C21670" t="s">
        <v>664</v>
      </c>
      <c r="D21670" s="21" t="s">
        <v>34</v>
      </c>
      <c r="E21670" s="21" t="s">
        <v>35</v>
      </c>
      <c r="F21670">
        <v>6670141</v>
      </c>
      <c r="G21670" t="s">
        <v>5030</v>
      </c>
      <c r="H21670" s="21">
        <v>709.17</v>
      </c>
    </row>
    <row r="21671" spans="1:8" customFormat="1" x14ac:dyDescent="0.25">
      <c r="A21671" t="str">
        <f>"429715"</f>
        <v>429715</v>
      </c>
      <c r="B21671" t="s">
        <v>1833</v>
      </c>
      <c r="C21671" t="s">
        <v>1914</v>
      </c>
      <c r="D21671" s="21" t="s">
        <v>34</v>
      </c>
      <c r="E21671" s="21" t="s">
        <v>35</v>
      </c>
      <c r="F21671">
        <v>1420156</v>
      </c>
      <c r="G21671" t="s">
        <v>5635</v>
      </c>
      <c r="H21671" s="21">
        <v>709.17</v>
      </c>
    </row>
    <row r="21672" spans="1:8" customFormat="1" x14ac:dyDescent="0.25">
      <c r="A21672" t="str">
        <f>"124937"</f>
        <v>124937</v>
      </c>
      <c r="B21672" t="s">
        <v>8635</v>
      </c>
      <c r="C21672" t="s">
        <v>198</v>
      </c>
      <c r="D21672" s="21" t="s">
        <v>34</v>
      </c>
      <c r="E21672" s="21" t="s">
        <v>35</v>
      </c>
      <c r="F21672">
        <v>11120004</v>
      </c>
      <c r="G21672" t="s">
        <v>2311</v>
      </c>
      <c r="H21672" s="21">
        <v>709.17</v>
      </c>
    </row>
    <row r="21673" spans="1:8" customFormat="1" x14ac:dyDescent="0.25">
      <c r="A21673" t="str">
        <f>"1314735"</f>
        <v>1314735</v>
      </c>
      <c r="B21673" t="s">
        <v>16998</v>
      </c>
      <c r="C21673" t="s">
        <v>87</v>
      </c>
      <c r="D21673" s="21" t="s">
        <v>34</v>
      </c>
      <c r="E21673" s="21" t="s">
        <v>71</v>
      </c>
      <c r="F21673">
        <v>13130013</v>
      </c>
      <c r="G21673" t="s">
        <v>13234</v>
      </c>
      <c r="H21673" s="21">
        <v>709.17</v>
      </c>
    </row>
    <row r="21674" spans="1:8" customFormat="1" x14ac:dyDescent="0.25">
      <c r="A21674" t="str">
        <f>"5970480"</f>
        <v>5970480</v>
      </c>
      <c r="B21674" t="s">
        <v>18210</v>
      </c>
      <c r="C21674" t="s">
        <v>62</v>
      </c>
      <c r="D21674" s="21" t="s">
        <v>34</v>
      </c>
      <c r="E21674" s="21" t="s">
        <v>71</v>
      </c>
      <c r="F21674">
        <v>7590004</v>
      </c>
      <c r="G21674" t="s">
        <v>4816</v>
      </c>
      <c r="H21674" s="21">
        <v>709.17</v>
      </c>
    </row>
    <row r="21675" spans="1:8" customFormat="1" x14ac:dyDescent="0.25">
      <c r="A21675" t="str">
        <f>"1711249"</f>
        <v>1711249</v>
      </c>
      <c r="B21675" t="s">
        <v>651</v>
      </c>
      <c r="C21675" t="s">
        <v>262</v>
      </c>
      <c r="D21675" s="21" t="s">
        <v>34</v>
      </c>
      <c r="E21675" s="21" t="s">
        <v>71</v>
      </c>
      <c r="F21675">
        <v>10170042</v>
      </c>
      <c r="G21675" t="s">
        <v>5014</v>
      </c>
      <c r="H21675" s="21">
        <v>709.17</v>
      </c>
    </row>
    <row r="21676" spans="1:8" customFormat="1" x14ac:dyDescent="0.25">
      <c r="A21676" t="str">
        <f>"25950"</f>
        <v>25950</v>
      </c>
      <c r="B21676" t="s">
        <v>4261</v>
      </c>
      <c r="C21676" t="s">
        <v>1271</v>
      </c>
      <c r="D21676" s="21" t="s">
        <v>34</v>
      </c>
      <c r="E21676" s="21" t="s">
        <v>254</v>
      </c>
      <c r="F21676">
        <v>2250052</v>
      </c>
      <c r="G21676" t="s">
        <v>5443</v>
      </c>
      <c r="H21676" s="21">
        <v>709.17</v>
      </c>
    </row>
    <row r="21677" spans="1:8" customFormat="1" x14ac:dyDescent="0.25">
      <c r="A21677" t="str">
        <f>"3112985"</f>
        <v>3112985</v>
      </c>
      <c r="B21677" t="s">
        <v>17398</v>
      </c>
      <c r="C21677" t="s">
        <v>1705</v>
      </c>
      <c r="D21677" s="21" t="s">
        <v>34</v>
      </c>
      <c r="E21677" s="21" t="s">
        <v>35</v>
      </c>
      <c r="F21677">
        <v>11310008</v>
      </c>
      <c r="G21677" t="s">
        <v>4269</v>
      </c>
      <c r="H21677" s="21">
        <v>709.17</v>
      </c>
    </row>
    <row r="21678" spans="1:8" customFormat="1" x14ac:dyDescent="0.25">
      <c r="A21678" t="str">
        <f>"1611582"</f>
        <v>1611582</v>
      </c>
      <c r="B21678" t="s">
        <v>4654</v>
      </c>
      <c r="C21678" t="s">
        <v>285</v>
      </c>
      <c r="D21678" s="21" t="s">
        <v>34</v>
      </c>
      <c r="E21678" s="21" t="s">
        <v>35</v>
      </c>
      <c r="F21678">
        <v>10160085</v>
      </c>
      <c r="G21678" t="s">
        <v>10818</v>
      </c>
      <c r="H21678" s="21">
        <v>709.17</v>
      </c>
    </row>
    <row r="21679" spans="1:8" customFormat="1" x14ac:dyDescent="0.25">
      <c r="A21679" t="str">
        <f>"628813"</f>
        <v>628813</v>
      </c>
      <c r="B21679" t="s">
        <v>2576</v>
      </c>
      <c r="C21679" t="s">
        <v>822</v>
      </c>
      <c r="D21679" s="21" t="s">
        <v>34</v>
      </c>
      <c r="E21679" s="21" t="s">
        <v>254</v>
      </c>
      <c r="F21679">
        <v>7620112</v>
      </c>
      <c r="G21679" t="s">
        <v>5663</v>
      </c>
      <c r="H21679" s="21">
        <v>709.17</v>
      </c>
    </row>
    <row r="21680" spans="1:8" customFormat="1" x14ac:dyDescent="0.25">
      <c r="A21680" t="str">
        <f>"84320"</f>
        <v>84320</v>
      </c>
      <c r="B21680" t="s">
        <v>17158</v>
      </c>
      <c r="C21680" t="s">
        <v>236</v>
      </c>
      <c r="D21680" s="21" t="s">
        <v>34</v>
      </c>
      <c r="E21680" s="21" t="s">
        <v>71</v>
      </c>
      <c r="F21680">
        <v>13840028</v>
      </c>
      <c r="G21680" t="s">
        <v>4139</v>
      </c>
      <c r="H21680" s="21">
        <v>709.17</v>
      </c>
    </row>
    <row r="21681" spans="1:8" customFormat="1" x14ac:dyDescent="0.25">
      <c r="A21681" t="str">
        <f>"292255"</f>
        <v>292255</v>
      </c>
      <c r="B21681" t="s">
        <v>16513</v>
      </c>
      <c r="C21681" t="s">
        <v>2520</v>
      </c>
      <c r="D21681" s="21" t="s">
        <v>34</v>
      </c>
      <c r="E21681" s="21" t="s">
        <v>254</v>
      </c>
      <c r="F21681">
        <v>3290280</v>
      </c>
      <c r="G21681" t="s">
        <v>4913</v>
      </c>
      <c r="H21681" s="21">
        <v>709.17</v>
      </c>
    </row>
    <row r="21682" spans="1:8" customFormat="1" x14ac:dyDescent="0.25">
      <c r="A21682" t="str">
        <f>"775181"</f>
        <v>775181</v>
      </c>
      <c r="B21682" t="s">
        <v>16486</v>
      </c>
      <c r="C21682" t="s">
        <v>198</v>
      </c>
      <c r="D21682" s="21" t="s">
        <v>34</v>
      </c>
      <c r="E21682" s="21" t="s">
        <v>71</v>
      </c>
      <c r="F21682">
        <v>10170016</v>
      </c>
      <c r="G21682" t="s">
        <v>88</v>
      </c>
      <c r="H21682" s="21">
        <v>709.17</v>
      </c>
    </row>
    <row r="21683" spans="1:8" customFormat="1" x14ac:dyDescent="0.25">
      <c r="A21683" t="str">
        <f>"6925482"</f>
        <v>6925482</v>
      </c>
      <c r="B21683" t="s">
        <v>16148</v>
      </c>
      <c r="C21683" t="s">
        <v>1146</v>
      </c>
      <c r="D21683" s="21" t="s">
        <v>34</v>
      </c>
      <c r="E21683" s="21" t="s">
        <v>254</v>
      </c>
      <c r="F21683">
        <v>1690104</v>
      </c>
      <c r="G21683" t="s">
        <v>3501</v>
      </c>
      <c r="H21683" s="21">
        <v>709.17</v>
      </c>
    </row>
    <row r="21684" spans="1:8" customFormat="1" x14ac:dyDescent="0.25">
      <c r="A21684" t="str">
        <f>"038401"</f>
        <v>038401</v>
      </c>
      <c r="B21684" t="s">
        <v>17794</v>
      </c>
      <c r="C21684" t="s">
        <v>169</v>
      </c>
      <c r="D21684" s="21" t="s">
        <v>34</v>
      </c>
      <c r="E21684" s="21" t="s">
        <v>71</v>
      </c>
      <c r="F21684">
        <v>1030042</v>
      </c>
      <c r="G21684" t="s">
        <v>7798</v>
      </c>
      <c r="H21684" s="21">
        <v>709.17</v>
      </c>
    </row>
    <row r="21685" spans="1:8" customFormat="1" x14ac:dyDescent="0.25">
      <c r="A21685" t="str">
        <f>"2931879"</f>
        <v>2931879</v>
      </c>
      <c r="B21685" t="s">
        <v>3646</v>
      </c>
      <c r="C21685" t="s">
        <v>209</v>
      </c>
      <c r="D21685" s="21" t="s">
        <v>34</v>
      </c>
      <c r="E21685" s="21" t="s">
        <v>254</v>
      </c>
      <c r="F21685">
        <v>3290087</v>
      </c>
      <c r="G21685" t="s">
        <v>364</v>
      </c>
      <c r="H21685" s="21">
        <v>709.17</v>
      </c>
    </row>
    <row r="21686" spans="1:8" customFormat="1" x14ac:dyDescent="0.25">
      <c r="A21686" t="str">
        <f>"3333557"</f>
        <v>3333557</v>
      </c>
      <c r="B21686" t="s">
        <v>16297</v>
      </c>
      <c r="C21686" t="s">
        <v>62</v>
      </c>
      <c r="D21686" s="21" t="s">
        <v>34</v>
      </c>
      <c r="E21686" s="21" t="s">
        <v>71</v>
      </c>
      <c r="F21686">
        <v>10330123</v>
      </c>
      <c r="G21686" t="s">
        <v>12101</v>
      </c>
      <c r="H21686" s="21">
        <v>709.17</v>
      </c>
    </row>
    <row r="21687" spans="1:8" customFormat="1" x14ac:dyDescent="0.25">
      <c r="A21687" t="str">
        <f>"9530982"</f>
        <v>9530982</v>
      </c>
      <c r="B21687" t="s">
        <v>17976</v>
      </c>
      <c r="C21687" t="s">
        <v>263</v>
      </c>
      <c r="D21687" s="21" t="s">
        <v>34</v>
      </c>
      <c r="E21687" s="21" t="s">
        <v>71</v>
      </c>
      <c r="F21687">
        <v>8950103</v>
      </c>
      <c r="G21687" t="s">
        <v>440</v>
      </c>
      <c r="H21687" s="21">
        <v>709.04</v>
      </c>
    </row>
    <row r="21688" spans="1:8" customFormat="1" x14ac:dyDescent="0.25">
      <c r="A21688" t="str">
        <f>"946393"</f>
        <v>946393</v>
      </c>
      <c r="B21688" t="s">
        <v>15268</v>
      </c>
      <c r="C21688" t="s">
        <v>498</v>
      </c>
      <c r="D21688" s="21" t="s">
        <v>34</v>
      </c>
      <c r="E21688" s="21" t="s">
        <v>71</v>
      </c>
      <c r="F21688">
        <v>8940012</v>
      </c>
      <c r="G21688" t="s">
        <v>1648</v>
      </c>
      <c r="H21688" s="21">
        <v>708.92</v>
      </c>
    </row>
    <row r="21689" spans="1:8" customFormat="1" x14ac:dyDescent="0.25">
      <c r="A21689" t="str">
        <f>"9144398"</f>
        <v>9144398</v>
      </c>
      <c r="B21689" t="s">
        <v>18400</v>
      </c>
      <c r="C21689" t="s">
        <v>484</v>
      </c>
      <c r="D21689" s="21" t="s">
        <v>34</v>
      </c>
      <c r="E21689" s="21" t="s">
        <v>35</v>
      </c>
      <c r="F21689">
        <v>8910102</v>
      </c>
      <c r="G21689" t="s">
        <v>3079</v>
      </c>
      <c r="H21689" s="21">
        <v>708.92</v>
      </c>
    </row>
    <row r="21690" spans="1:8" customFormat="1" x14ac:dyDescent="0.25">
      <c r="A21690" t="str">
        <f>"06637"</f>
        <v>06637</v>
      </c>
      <c r="B21690" t="s">
        <v>15014</v>
      </c>
      <c r="C21690" t="s">
        <v>453</v>
      </c>
      <c r="D21690" s="21" t="s">
        <v>34</v>
      </c>
      <c r="E21690" s="21" t="s">
        <v>254</v>
      </c>
      <c r="F21690">
        <v>13060066</v>
      </c>
      <c r="G21690" t="s">
        <v>2556</v>
      </c>
      <c r="H21690" s="21">
        <v>708.79</v>
      </c>
    </row>
    <row r="21691" spans="1:8" customFormat="1" x14ac:dyDescent="0.25">
      <c r="A21691" t="str">
        <f>"14707"</f>
        <v>14707</v>
      </c>
      <c r="B21691" t="s">
        <v>16661</v>
      </c>
      <c r="C21691" t="s">
        <v>412</v>
      </c>
      <c r="D21691" s="21" t="s">
        <v>34</v>
      </c>
      <c r="E21691" s="21" t="s">
        <v>1089</v>
      </c>
      <c r="F21691">
        <v>9140237</v>
      </c>
      <c r="G21691" t="s">
        <v>4722</v>
      </c>
      <c r="H21691" s="21">
        <v>708.67</v>
      </c>
    </row>
    <row r="21692" spans="1:8" customFormat="1" x14ac:dyDescent="0.25">
      <c r="A21692" t="str">
        <f>"365241"</f>
        <v>365241</v>
      </c>
      <c r="B21692" t="s">
        <v>17514</v>
      </c>
      <c r="C21692" t="s">
        <v>114</v>
      </c>
      <c r="D21692" s="21" t="s">
        <v>34</v>
      </c>
      <c r="E21692" s="21" t="s">
        <v>71</v>
      </c>
      <c r="F21692">
        <v>4360723</v>
      </c>
      <c r="G21692" t="s">
        <v>27127</v>
      </c>
      <c r="H21692" s="21">
        <v>708.67</v>
      </c>
    </row>
    <row r="21693" spans="1:8" customFormat="1" x14ac:dyDescent="0.25">
      <c r="A21693" t="str">
        <f>"7879073"</f>
        <v>7879073</v>
      </c>
      <c r="B21693" t="s">
        <v>22189</v>
      </c>
      <c r="C21693" t="s">
        <v>130</v>
      </c>
      <c r="D21693" s="21" t="s">
        <v>34</v>
      </c>
      <c r="E21693" s="21" t="s">
        <v>71</v>
      </c>
      <c r="F21693">
        <v>8780674</v>
      </c>
      <c r="G21693" t="s">
        <v>26585</v>
      </c>
      <c r="H21693" s="21">
        <v>708.67</v>
      </c>
    </row>
    <row r="21694" spans="1:8" customFormat="1" x14ac:dyDescent="0.25">
      <c r="A21694" t="str">
        <f>"1313227"</f>
        <v>1313227</v>
      </c>
      <c r="B21694" t="s">
        <v>16668</v>
      </c>
      <c r="C21694" t="s">
        <v>198</v>
      </c>
      <c r="D21694" s="21" t="s">
        <v>34</v>
      </c>
      <c r="E21694" s="21" t="s">
        <v>71</v>
      </c>
      <c r="F21694">
        <v>9760291</v>
      </c>
      <c r="G21694" t="s">
        <v>26611</v>
      </c>
      <c r="H21694" s="21">
        <v>708.67</v>
      </c>
    </row>
    <row r="21695" spans="1:8" customFormat="1" x14ac:dyDescent="0.25">
      <c r="A21695" t="str">
        <f>"5946830"</f>
        <v>5946830</v>
      </c>
      <c r="B21695" t="s">
        <v>27657</v>
      </c>
      <c r="C21695" t="s">
        <v>60</v>
      </c>
      <c r="D21695" s="21" t="s">
        <v>34</v>
      </c>
      <c r="E21695" s="21" t="s">
        <v>35</v>
      </c>
      <c r="F21695">
        <v>7590027</v>
      </c>
      <c r="G21695" t="s">
        <v>629</v>
      </c>
      <c r="H21695" s="21">
        <v>708.67</v>
      </c>
    </row>
    <row r="21696" spans="1:8" customFormat="1" x14ac:dyDescent="0.25">
      <c r="A21696" t="str">
        <f>"992343"</f>
        <v>992343</v>
      </c>
      <c r="B21696" t="s">
        <v>18381</v>
      </c>
      <c r="C21696" t="s">
        <v>263</v>
      </c>
      <c r="D21696" s="21" t="s">
        <v>34</v>
      </c>
      <c r="E21696" s="21" t="s">
        <v>254</v>
      </c>
      <c r="F21696">
        <v>5990022</v>
      </c>
      <c r="G21696" t="s">
        <v>9912</v>
      </c>
      <c r="H21696" s="21">
        <v>708.67</v>
      </c>
    </row>
    <row r="21697" spans="1:8" customFormat="1" x14ac:dyDescent="0.25">
      <c r="A21697" t="str">
        <f>"6021484"</f>
        <v>6021484</v>
      </c>
      <c r="B21697" t="s">
        <v>18844</v>
      </c>
      <c r="C21697" t="s">
        <v>486</v>
      </c>
      <c r="D21697" s="21" t="s">
        <v>34</v>
      </c>
      <c r="E21697" s="21" t="s">
        <v>35</v>
      </c>
      <c r="F21697">
        <v>7600015</v>
      </c>
      <c r="G21697" t="s">
        <v>8343</v>
      </c>
      <c r="H21697" s="21">
        <v>708.67</v>
      </c>
    </row>
    <row r="21698" spans="1:8" customFormat="1" x14ac:dyDescent="0.25">
      <c r="A21698" t="str">
        <f>"7853508"</f>
        <v>7853508</v>
      </c>
      <c r="B21698" t="s">
        <v>17989</v>
      </c>
      <c r="C21698" t="s">
        <v>17990</v>
      </c>
      <c r="D21698" s="21" t="s">
        <v>34</v>
      </c>
      <c r="E21698" s="21" t="s">
        <v>35</v>
      </c>
      <c r="F21698">
        <v>8780356</v>
      </c>
      <c r="G21698" t="s">
        <v>5449</v>
      </c>
      <c r="H21698" s="21">
        <v>708.67</v>
      </c>
    </row>
    <row r="21699" spans="1:8" customFormat="1" x14ac:dyDescent="0.25">
      <c r="A21699" t="str">
        <f>"57449"</f>
        <v>57449</v>
      </c>
      <c r="B21699" t="s">
        <v>16533</v>
      </c>
      <c r="C21699" t="s">
        <v>544</v>
      </c>
      <c r="D21699" s="21" t="s">
        <v>34</v>
      </c>
      <c r="E21699" s="21" t="s">
        <v>1089</v>
      </c>
      <c r="F21699">
        <v>6570093</v>
      </c>
      <c r="G21699" t="s">
        <v>6118</v>
      </c>
      <c r="H21699" s="21">
        <v>708.67</v>
      </c>
    </row>
    <row r="21700" spans="1:8" customFormat="1" x14ac:dyDescent="0.25">
      <c r="A21700" t="str">
        <f>"543131"</f>
        <v>543131</v>
      </c>
      <c r="B21700" t="s">
        <v>16504</v>
      </c>
      <c r="C21700" t="s">
        <v>486</v>
      </c>
      <c r="D21700" s="21" t="s">
        <v>34</v>
      </c>
      <c r="E21700" s="21" t="s">
        <v>35</v>
      </c>
      <c r="F21700">
        <v>6540014</v>
      </c>
      <c r="G21700" t="s">
        <v>1483</v>
      </c>
      <c r="H21700" s="21">
        <v>708.67</v>
      </c>
    </row>
    <row r="21701" spans="1:8" customFormat="1" x14ac:dyDescent="0.25">
      <c r="A21701" t="str">
        <f>"259803"</f>
        <v>259803</v>
      </c>
      <c r="B21701" t="s">
        <v>18220</v>
      </c>
      <c r="C21701" t="s">
        <v>33</v>
      </c>
      <c r="D21701" s="21" t="s">
        <v>34</v>
      </c>
      <c r="E21701" s="21" t="s">
        <v>71</v>
      </c>
      <c r="F21701">
        <v>1260035</v>
      </c>
      <c r="G21701" t="s">
        <v>9835</v>
      </c>
      <c r="H21701" s="21">
        <v>708.67</v>
      </c>
    </row>
    <row r="21702" spans="1:8" customFormat="1" x14ac:dyDescent="0.25">
      <c r="A21702" t="str">
        <f>"7722244"</f>
        <v>7722244</v>
      </c>
      <c r="B21702" t="s">
        <v>27658</v>
      </c>
      <c r="C21702" t="s">
        <v>2356</v>
      </c>
      <c r="D21702" s="21" t="s">
        <v>34</v>
      </c>
      <c r="E21702" s="21" t="s">
        <v>35</v>
      </c>
      <c r="F21702">
        <v>11460027</v>
      </c>
      <c r="G21702" t="s">
        <v>26580</v>
      </c>
      <c r="H21702" s="21">
        <v>708.67</v>
      </c>
    </row>
    <row r="21703" spans="1:8" customFormat="1" x14ac:dyDescent="0.25">
      <c r="A21703" t="str">
        <f>"4447007"</f>
        <v>4447007</v>
      </c>
      <c r="B21703" t="s">
        <v>12542</v>
      </c>
      <c r="C21703" t="s">
        <v>62</v>
      </c>
      <c r="D21703" s="21" t="s">
        <v>34</v>
      </c>
      <c r="E21703" s="21" t="s">
        <v>35</v>
      </c>
      <c r="F21703">
        <v>12440197</v>
      </c>
      <c r="G21703" t="s">
        <v>1101</v>
      </c>
      <c r="H21703" s="21">
        <v>708.67</v>
      </c>
    </row>
    <row r="21704" spans="1:8" customFormat="1" x14ac:dyDescent="0.25">
      <c r="A21704" t="str">
        <f>"6213480"</f>
        <v>6213480</v>
      </c>
      <c r="B21704" t="s">
        <v>17632</v>
      </c>
      <c r="C21704" t="s">
        <v>169</v>
      </c>
      <c r="D21704" s="21" t="s">
        <v>34</v>
      </c>
      <c r="E21704" s="21" t="s">
        <v>71</v>
      </c>
      <c r="F21704">
        <v>7620067</v>
      </c>
      <c r="G21704" t="s">
        <v>860</v>
      </c>
      <c r="H21704" s="21">
        <v>708.67</v>
      </c>
    </row>
    <row r="21705" spans="1:8" customFormat="1" x14ac:dyDescent="0.25">
      <c r="A21705" t="str">
        <f>"29559"</f>
        <v>29559</v>
      </c>
      <c r="B21705" t="s">
        <v>11389</v>
      </c>
      <c r="C21705" t="s">
        <v>781</v>
      </c>
      <c r="D21705" s="21" t="s">
        <v>34</v>
      </c>
      <c r="E21705" s="21" t="s">
        <v>254</v>
      </c>
      <c r="F21705">
        <v>3290221</v>
      </c>
      <c r="G21705" t="s">
        <v>3544</v>
      </c>
      <c r="H21705" s="21">
        <v>708.67</v>
      </c>
    </row>
    <row r="21706" spans="1:8" customFormat="1" x14ac:dyDescent="0.25">
      <c r="A21706" t="str">
        <f>"7623158"</f>
        <v>7623158</v>
      </c>
      <c r="B21706" t="s">
        <v>18013</v>
      </c>
      <c r="C21706" t="s">
        <v>169</v>
      </c>
      <c r="D21706" s="21" t="s">
        <v>34</v>
      </c>
      <c r="E21706" s="21" t="s">
        <v>35</v>
      </c>
      <c r="F21706">
        <v>9760457</v>
      </c>
      <c r="G21706" t="s">
        <v>6912</v>
      </c>
      <c r="H21706" s="21">
        <v>708.67</v>
      </c>
    </row>
    <row r="21707" spans="1:8" customFormat="1" x14ac:dyDescent="0.25">
      <c r="A21707" t="str">
        <f>"443014"</f>
        <v>443014</v>
      </c>
      <c r="B21707" t="s">
        <v>10016</v>
      </c>
      <c r="C21707" t="s">
        <v>65</v>
      </c>
      <c r="D21707" s="21" t="s">
        <v>34</v>
      </c>
      <c r="E21707" s="21" t="s">
        <v>71</v>
      </c>
      <c r="F21707">
        <v>12440099</v>
      </c>
      <c r="G21707" t="s">
        <v>11536</v>
      </c>
      <c r="H21707" s="21">
        <v>708.67</v>
      </c>
    </row>
    <row r="21708" spans="1:8" customFormat="1" x14ac:dyDescent="0.25">
      <c r="A21708" t="str">
        <f>"2510907"</f>
        <v>2510907</v>
      </c>
      <c r="B21708" t="s">
        <v>17334</v>
      </c>
      <c r="C21708" t="s">
        <v>269</v>
      </c>
      <c r="D21708" s="21" t="s">
        <v>34</v>
      </c>
      <c r="E21708" s="21" t="s">
        <v>35</v>
      </c>
      <c r="F21708">
        <v>2250196</v>
      </c>
      <c r="G21708" t="s">
        <v>27452</v>
      </c>
      <c r="H21708" s="21">
        <v>708.67</v>
      </c>
    </row>
    <row r="21709" spans="1:8" customFormat="1" x14ac:dyDescent="0.25">
      <c r="A21709" t="str">
        <f>"2935798"</f>
        <v>2935798</v>
      </c>
      <c r="B21709" t="s">
        <v>27659</v>
      </c>
      <c r="C21709" t="s">
        <v>98</v>
      </c>
      <c r="D21709" s="21" t="s">
        <v>34</v>
      </c>
      <c r="E21709" s="21" t="s">
        <v>35</v>
      </c>
      <c r="F21709">
        <v>3290029</v>
      </c>
      <c r="G21709" t="s">
        <v>11486</v>
      </c>
      <c r="H21709" s="21">
        <v>708.67</v>
      </c>
    </row>
    <row r="21710" spans="1:8" customFormat="1" x14ac:dyDescent="0.25">
      <c r="A21710" t="str">
        <f>"16389"</f>
        <v>16389</v>
      </c>
      <c r="B21710" t="s">
        <v>5062</v>
      </c>
      <c r="C21710" t="s">
        <v>547</v>
      </c>
      <c r="D21710" s="21" t="s">
        <v>34</v>
      </c>
      <c r="E21710" s="21" t="s">
        <v>6185</v>
      </c>
      <c r="F21710">
        <v>10160029</v>
      </c>
      <c r="G21710" t="s">
        <v>896</v>
      </c>
      <c r="H21710" s="21">
        <v>708.67</v>
      </c>
    </row>
    <row r="21711" spans="1:8" customFormat="1" x14ac:dyDescent="0.25">
      <c r="A21711" t="str">
        <f>"497732"</f>
        <v>497732</v>
      </c>
      <c r="B21711" t="s">
        <v>3613</v>
      </c>
      <c r="C21711" t="s">
        <v>415</v>
      </c>
      <c r="D21711" s="21" t="s">
        <v>34</v>
      </c>
      <c r="E21711" s="21" t="s">
        <v>254</v>
      </c>
      <c r="F21711">
        <v>12490080</v>
      </c>
      <c r="G21711" t="s">
        <v>5692</v>
      </c>
      <c r="H21711" s="21">
        <v>708.67</v>
      </c>
    </row>
    <row r="21712" spans="1:8" customFormat="1" x14ac:dyDescent="0.25">
      <c r="A21712" t="str">
        <f>"7810195"</f>
        <v>7810195</v>
      </c>
      <c r="B21712" t="s">
        <v>4542</v>
      </c>
      <c r="C21712" t="s">
        <v>209</v>
      </c>
      <c r="D21712" s="21" t="s">
        <v>34</v>
      </c>
      <c r="E21712" s="21" t="s">
        <v>254</v>
      </c>
      <c r="F21712">
        <v>8780674</v>
      </c>
      <c r="G21712" t="s">
        <v>26585</v>
      </c>
      <c r="H21712" s="21">
        <v>708.67</v>
      </c>
    </row>
    <row r="21713" spans="1:8" customFormat="1" x14ac:dyDescent="0.25">
      <c r="A21713" t="str">
        <f>"9241195"</f>
        <v>9241195</v>
      </c>
      <c r="B21713" t="s">
        <v>7882</v>
      </c>
      <c r="C21713" t="s">
        <v>204</v>
      </c>
      <c r="D21713" s="21" t="s">
        <v>34</v>
      </c>
      <c r="E21713" s="21" t="s">
        <v>35</v>
      </c>
      <c r="F21713">
        <v>8921256</v>
      </c>
      <c r="G21713" t="s">
        <v>1038</v>
      </c>
      <c r="H21713" s="21">
        <v>708.67</v>
      </c>
    </row>
    <row r="21714" spans="1:8" customFormat="1" x14ac:dyDescent="0.25">
      <c r="A21714" t="str">
        <f>"2714530"</f>
        <v>2714530</v>
      </c>
      <c r="B21714" t="s">
        <v>27660</v>
      </c>
      <c r="C21714" t="s">
        <v>9063</v>
      </c>
      <c r="D21714" s="21" t="s">
        <v>34</v>
      </c>
      <c r="E21714" s="21" t="s">
        <v>35</v>
      </c>
      <c r="F21714">
        <v>9270126</v>
      </c>
      <c r="G21714" t="s">
        <v>7569</v>
      </c>
      <c r="H21714" s="21">
        <v>708.67</v>
      </c>
    </row>
    <row r="21715" spans="1:8" customFormat="1" x14ac:dyDescent="0.25">
      <c r="A21715" t="str">
        <f>"5941420"</f>
        <v>5941420</v>
      </c>
      <c r="B21715" t="s">
        <v>17478</v>
      </c>
      <c r="C21715" t="s">
        <v>127</v>
      </c>
      <c r="D21715" s="21" t="s">
        <v>34</v>
      </c>
      <c r="E21715" s="21" t="s">
        <v>35</v>
      </c>
      <c r="F21715">
        <v>7620151</v>
      </c>
      <c r="G21715" t="s">
        <v>14891</v>
      </c>
      <c r="H21715" s="21">
        <v>708.67</v>
      </c>
    </row>
    <row r="21716" spans="1:8" customFormat="1" x14ac:dyDescent="0.25">
      <c r="A21716" t="str">
        <f>"3722620"</f>
        <v>3722620</v>
      </c>
      <c r="B21716" t="s">
        <v>18043</v>
      </c>
      <c r="C21716" t="s">
        <v>249</v>
      </c>
      <c r="D21716" s="21" t="s">
        <v>34</v>
      </c>
      <c r="E21716" s="21" t="s">
        <v>71</v>
      </c>
      <c r="F21716">
        <v>4370439</v>
      </c>
      <c r="G21716" t="s">
        <v>2956</v>
      </c>
      <c r="H21716" s="21">
        <v>708.67</v>
      </c>
    </row>
    <row r="21717" spans="1:8" customFormat="1" x14ac:dyDescent="0.25">
      <c r="A21717" t="str">
        <f>"7619684"</f>
        <v>7619684</v>
      </c>
      <c r="B21717" t="s">
        <v>16241</v>
      </c>
      <c r="C21717" t="s">
        <v>547</v>
      </c>
      <c r="D21717" s="21" t="s">
        <v>34</v>
      </c>
      <c r="E21717" s="21" t="s">
        <v>71</v>
      </c>
      <c r="F21717">
        <v>9760382</v>
      </c>
      <c r="G21717" t="s">
        <v>2737</v>
      </c>
      <c r="H21717" s="21">
        <v>708.67</v>
      </c>
    </row>
    <row r="21718" spans="1:8" customFormat="1" x14ac:dyDescent="0.25">
      <c r="A21718" t="str">
        <f>"441244"</f>
        <v>441244</v>
      </c>
      <c r="B21718" t="s">
        <v>697</v>
      </c>
      <c r="C21718" t="s">
        <v>2520</v>
      </c>
      <c r="D21718" s="21" t="s">
        <v>34</v>
      </c>
      <c r="E21718" s="21" t="s">
        <v>1089</v>
      </c>
      <c r="F21718">
        <v>12440033</v>
      </c>
      <c r="G21718" t="s">
        <v>1638</v>
      </c>
      <c r="H21718" s="21">
        <v>708.67</v>
      </c>
    </row>
    <row r="21719" spans="1:8" customFormat="1" x14ac:dyDescent="0.25">
      <c r="A21719" t="str">
        <f>"9139991"</f>
        <v>9139991</v>
      </c>
      <c r="B21719" t="s">
        <v>27661</v>
      </c>
      <c r="C21719" t="s">
        <v>260</v>
      </c>
      <c r="D21719" s="21" t="s">
        <v>34</v>
      </c>
      <c r="E21719" s="21" t="s">
        <v>35</v>
      </c>
      <c r="F21719">
        <v>8910642</v>
      </c>
      <c r="G21719" t="s">
        <v>27027</v>
      </c>
      <c r="H21719" s="21">
        <v>708.54</v>
      </c>
    </row>
    <row r="21720" spans="1:8" customFormat="1" x14ac:dyDescent="0.25">
      <c r="A21720" t="str">
        <f>"1314163"</f>
        <v>1314163</v>
      </c>
      <c r="B21720" t="s">
        <v>8153</v>
      </c>
      <c r="C21720" t="s">
        <v>1620</v>
      </c>
      <c r="D21720" s="21" t="s">
        <v>34</v>
      </c>
      <c r="E21720" s="21" t="s">
        <v>71</v>
      </c>
      <c r="F21720">
        <v>13130118</v>
      </c>
      <c r="G21720" t="s">
        <v>27466</v>
      </c>
      <c r="H21720" s="21">
        <v>708.42</v>
      </c>
    </row>
    <row r="21721" spans="1:8" customFormat="1" x14ac:dyDescent="0.25">
      <c r="A21721" t="str">
        <f>"5979935"</f>
        <v>5979935</v>
      </c>
      <c r="B21721" t="s">
        <v>22689</v>
      </c>
      <c r="C21721" t="s">
        <v>87</v>
      </c>
      <c r="D21721" s="21" t="s">
        <v>34</v>
      </c>
      <c r="E21721" s="21" t="s">
        <v>35</v>
      </c>
      <c r="F21721">
        <v>7590053</v>
      </c>
      <c r="G21721" t="s">
        <v>2825</v>
      </c>
      <c r="H21721" s="21">
        <v>708.42</v>
      </c>
    </row>
    <row r="21722" spans="1:8" customFormat="1" x14ac:dyDescent="0.25">
      <c r="A21722" t="str">
        <f>"629773"</f>
        <v>629773</v>
      </c>
      <c r="B21722" t="s">
        <v>15334</v>
      </c>
      <c r="C21722" t="s">
        <v>40</v>
      </c>
      <c r="D21722" s="21" t="s">
        <v>34</v>
      </c>
      <c r="E21722" s="21" t="s">
        <v>71</v>
      </c>
      <c r="F21722">
        <v>7620088</v>
      </c>
      <c r="G21722" t="s">
        <v>3342</v>
      </c>
      <c r="H21722" s="21">
        <v>708.42</v>
      </c>
    </row>
    <row r="21723" spans="1:8" customFormat="1" x14ac:dyDescent="0.25">
      <c r="A21723" t="str">
        <f>"272194"</f>
        <v>272194</v>
      </c>
      <c r="B21723" t="s">
        <v>15974</v>
      </c>
      <c r="C21723" t="s">
        <v>14185</v>
      </c>
      <c r="D21723" s="21" t="s">
        <v>34</v>
      </c>
      <c r="E21723" s="21" t="s">
        <v>254</v>
      </c>
      <c r="F21723">
        <v>9270071</v>
      </c>
      <c r="G21723" t="s">
        <v>7815</v>
      </c>
      <c r="H21723" s="21">
        <v>708.42</v>
      </c>
    </row>
    <row r="21724" spans="1:8" customFormat="1" x14ac:dyDescent="0.25">
      <c r="A21724" t="str">
        <f>"4518966"</f>
        <v>4518966</v>
      </c>
      <c r="B21724" t="s">
        <v>17419</v>
      </c>
      <c r="C21724" t="s">
        <v>10958</v>
      </c>
      <c r="D21724" s="21" t="s">
        <v>34</v>
      </c>
      <c r="E21724" s="21" t="s">
        <v>35</v>
      </c>
      <c r="F21724">
        <v>4450144</v>
      </c>
      <c r="G21724" t="s">
        <v>6941</v>
      </c>
      <c r="H21724" s="21">
        <v>708.42</v>
      </c>
    </row>
    <row r="21725" spans="1:8" customFormat="1" x14ac:dyDescent="0.25">
      <c r="A21725" t="str">
        <f>"9213612"</f>
        <v>9213612</v>
      </c>
      <c r="B21725" t="s">
        <v>16279</v>
      </c>
      <c r="C21725" t="s">
        <v>16280</v>
      </c>
      <c r="D21725" s="21" t="s">
        <v>34</v>
      </c>
      <c r="E21725" s="21" t="s">
        <v>35</v>
      </c>
      <c r="F21725">
        <v>8921458</v>
      </c>
      <c r="G21725" t="s">
        <v>162</v>
      </c>
      <c r="H21725" s="21">
        <v>708.17</v>
      </c>
    </row>
    <row r="21726" spans="1:8" customFormat="1" x14ac:dyDescent="0.25">
      <c r="A21726" t="str">
        <f>"9118276"</f>
        <v>9118276</v>
      </c>
      <c r="B21726" t="s">
        <v>15084</v>
      </c>
      <c r="C21726" t="s">
        <v>3889</v>
      </c>
      <c r="D21726" s="21" t="s">
        <v>34</v>
      </c>
      <c r="E21726" s="21" t="s">
        <v>254</v>
      </c>
      <c r="F21726">
        <v>4450754</v>
      </c>
      <c r="G21726" t="s">
        <v>2695</v>
      </c>
      <c r="H21726" s="21">
        <v>708.17</v>
      </c>
    </row>
    <row r="21727" spans="1:8" customFormat="1" x14ac:dyDescent="0.25">
      <c r="A21727" t="str">
        <f>"5324686"</f>
        <v>5324686</v>
      </c>
      <c r="B21727" t="s">
        <v>11706</v>
      </c>
      <c r="C21727" t="s">
        <v>2479</v>
      </c>
      <c r="D21727" s="21" t="s">
        <v>34</v>
      </c>
      <c r="E21727" s="21" t="s">
        <v>1089</v>
      </c>
      <c r="F21727">
        <v>12530068</v>
      </c>
      <c r="G21727" t="s">
        <v>5165</v>
      </c>
      <c r="H21727" s="21">
        <v>708.17</v>
      </c>
    </row>
    <row r="21728" spans="1:8" customFormat="1" x14ac:dyDescent="0.25">
      <c r="A21728" t="str">
        <f>"038702"</f>
        <v>038702</v>
      </c>
      <c r="B21728" t="s">
        <v>19690</v>
      </c>
      <c r="C21728" t="s">
        <v>40</v>
      </c>
      <c r="D21728" s="21" t="s">
        <v>34</v>
      </c>
      <c r="E21728" s="21" t="s">
        <v>71</v>
      </c>
      <c r="F21728">
        <v>1030300</v>
      </c>
      <c r="G21728" t="s">
        <v>7676</v>
      </c>
      <c r="H21728" s="21">
        <v>708.17</v>
      </c>
    </row>
    <row r="21729" spans="1:8" customFormat="1" x14ac:dyDescent="0.25">
      <c r="A21729" t="str">
        <f>"628922"</f>
        <v>628922</v>
      </c>
      <c r="B21729" t="s">
        <v>6805</v>
      </c>
      <c r="C21729" t="s">
        <v>11347</v>
      </c>
      <c r="D21729" s="21" t="s">
        <v>34</v>
      </c>
      <c r="E21729" s="21" t="s">
        <v>1089</v>
      </c>
      <c r="F21729">
        <v>7620091</v>
      </c>
      <c r="G21729" t="s">
        <v>11533</v>
      </c>
      <c r="H21729" s="21">
        <v>708.17</v>
      </c>
    </row>
    <row r="21730" spans="1:8" customFormat="1" x14ac:dyDescent="0.25">
      <c r="A21730" t="str">
        <f>"2616528"</f>
        <v>2616528</v>
      </c>
      <c r="B21730" t="s">
        <v>18903</v>
      </c>
      <c r="C21730" t="s">
        <v>60</v>
      </c>
      <c r="D21730" s="21" t="s">
        <v>34</v>
      </c>
      <c r="E21730" s="21" t="s">
        <v>35</v>
      </c>
      <c r="F21730">
        <v>1260065</v>
      </c>
      <c r="G21730" t="s">
        <v>1958</v>
      </c>
      <c r="H21730" s="21">
        <v>708.17</v>
      </c>
    </row>
    <row r="21731" spans="1:8" customFormat="1" x14ac:dyDescent="0.25">
      <c r="A21731" t="str">
        <f>"5113480"</f>
        <v>5113480</v>
      </c>
      <c r="B21731" t="s">
        <v>27662</v>
      </c>
      <c r="C21731" t="s">
        <v>926</v>
      </c>
      <c r="D21731" s="21" t="s">
        <v>34</v>
      </c>
      <c r="E21731" s="21" t="s">
        <v>35</v>
      </c>
      <c r="F21731">
        <v>6510110</v>
      </c>
      <c r="G21731" t="s">
        <v>9011</v>
      </c>
      <c r="H21731" s="21">
        <v>708.17</v>
      </c>
    </row>
    <row r="21732" spans="1:8" customFormat="1" x14ac:dyDescent="0.25">
      <c r="A21732" t="str">
        <f>"9534377"</f>
        <v>9534377</v>
      </c>
      <c r="B21732" t="s">
        <v>482</v>
      </c>
      <c r="C21732" t="s">
        <v>1146</v>
      </c>
      <c r="D21732" s="21" t="s">
        <v>34</v>
      </c>
      <c r="E21732" s="21" t="s">
        <v>254</v>
      </c>
      <c r="F21732">
        <v>8950103</v>
      </c>
      <c r="G21732" t="s">
        <v>440</v>
      </c>
      <c r="H21732" s="21">
        <v>708.17</v>
      </c>
    </row>
    <row r="21733" spans="1:8" customFormat="1" x14ac:dyDescent="0.25">
      <c r="A21733" t="str">
        <f>"835623"</f>
        <v>835623</v>
      </c>
      <c r="B21733" t="s">
        <v>17587</v>
      </c>
      <c r="C21733" t="s">
        <v>40</v>
      </c>
      <c r="D21733" s="21" t="s">
        <v>34</v>
      </c>
      <c r="E21733" s="21" t="s">
        <v>254</v>
      </c>
      <c r="F21733">
        <v>13830025</v>
      </c>
      <c r="G21733" t="s">
        <v>106</v>
      </c>
      <c r="H21733" s="21">
        <v>708.17</v>
      </c>
    </row>
    <row r="21734" spans="1:8" customFormat="1" x14ac:dyDescent="0.25">
      <c r="A21734" t="str">
        <f>"3533377"</f>
        <v>3533377</v>
      </c>
      <c r="B21734" t="s">
        <v>17295</v>
      </c>
      <c r="C21734" t="s">
        <v>269</v>
      </c>
      <c r="D21734" s="21" t="s">
        <v>34</v>
      </c>
      <c r="E21734" s="21" t="s">
        <v>71</v>
      </c>
      <c r="F21734">
        <v>3350102</v>
      </c>
      <c r="G21734" t="s">
        <v>4942</v>
      </c>
      <c r="H21734" s="21">
        <v>708.17</v>
      </c>
    </row>
    <row r="21735" spans="1:8" customFormat="1" x14ac:dyDescent="0.25">
      <c r="A21735" t="str">
        <f>"6932456"</f>
        <v>6932456</v>
      </c>
      <c r="B21735" t="s">
        <v>16380</v>
      </c>
      <c r="C21735" t="s">
        <v>288</v>
      </c>
      <c r="D21735" s="21" t="s">
        <v>34</v>
      </c>
      <c r="E21735" s="21" t="s">
        <v>71</v>
      </c>
      <c r="F21735">
        <v>1690062</v>
      </c>
      <c r="G21735" t="s">
        <v>5907</v>
      </c>
      <c r="H21735" s="21">
        <v>708.17</v>
      </c>
    </row>
    <row r="21736" spans="1:8" customFormat="1" x14ac:dyDescent="0.25">
      <c r="A21736" t="str">
        <f>"6210985"</f>
        <v>6210985</v>
      </c>
      <c r="B21736" t="s">
        <v>4834</v>
      </c>
      <c r="C21736" t="s">
        <v>98</v>
      </c>
      <c r="D21736" s="21" t="s">
        <v>34</v>
      </c>
      <c r="E21736" s="21" t="s">
        <v>35</v>
      </c>
      <c r="F21736">
        <v>7620054</v>
      </c>
      <c r="G21736" t="s">
        <v>1677</v>
      </c>
      <c r="H21736" s="21">
        <v>708.17</v>
      </c>
    </row>
    <row r="21737" spans="1:8" customFormat="1" x14ac:dyDescent="0.25">
      <c r="A21737" t="str">
        <f>"5426821"</f>
        <v>5426821</v>
      </c>
      <c r="B21737" t="s">
        <v>11588</v>
      </c>
      <c r="C21737" t="s">
        <v>269</v>
      </c>
      <c r="D21737" s="21" t="s">
        <v>34</v>
      </c>
      <c r="E21737" s="21" t="s">
        <v>35</v>
      </c>
      <c r="F21737">
        <v>6540135</v>
      </c>
      <c r="G21737" t="s">
        <v>11525</v>
      </c>
      <c r="H21737" s="21">
        <v>708.17</v>
      </c>
    </row>
    <row r="21738" spans="1:8" customFormat="1" x14ac:dyDescent="0.25">
      <c r="A21738" t="str">
        <f>"6225459"</f>
        <v>6225459</v>
      </c>
      <c r="B21738" t="s">
        <v>13694</v>
      </c>
      <c r="C21738" t="s">
        <v>90</v>
      </c>
      <c r="D21738" s="21" t="s">
        <v>34</v>
      </c>
      <c r="E21738" s="21" t="s">
        <v>35</v>
      </c>
      <c r="F21738">
        <v>7620047</v>
      </c>
      <c r="G21738" t="s">
        <v>16200</v>
      </c>
      <c r="H21738" s="21">
        <v>708.17</v>
      </c>
    </row>
    <row r="21739" spans="1:8" customFormat="1" x14ac:dyDescent="0.25">
      <c r="A21739" t="str">
        <f>"4454507"</f>
        <v>4454507</v>
      </c>
      <c r="B21739" t="s">
        <v>21950</v>
      </c>
      <c r="C21739" t="s">
        <v>2208</v>
      </c>
      <c r="D21739" s="21" t="s">
        <v>34</v>
      </c>
      <c r="E21739" s="21" t="s">
        <v>35</v>
      </c>
      <c r="F21739">
        <v>12440139</v>
      </c>
      <c r="G21739" t="s">
        <v>2655</v>
      </c>
      <c r="H21739" s="21">
        <v>708.17</v>
      </c>
    </row>
    <row r="21740" spans="1:8" customFormat="1" x14ac:dyDescent="0.25">
      <c r="A21740" t="str">
        <f>"889664"</f>
        <v>889664</v>
      </c>
      <c r="B21740" t="s">
        <v>19771</v>
      </c>
      <c r="C21740" t="s">
        <v>1220</v>
      </c>
      <c r="D21740" s="21" t="s">
        <v>34</v>
      </c>
      <c r="E21740" s="21" t="s">
        <v>71</v>
      </c>
      <c r="F21740">
        <v>6880143</v>
      </c>
      <c r="G21740" t="s">
        <v>8078</v>
      </c>
      <c r="H21740" s="21">
        <v>708.17</v>
      </c>
    </row>
    <row r="21741" spans="1:8" customFormat="1" x14ac:dyDescent="0.25">
      <c r="A21741" t="str">
        <f>"4523903"</f>
        <v>4523903</v>
      </c>
      <c r="B21741" t="s">
        <v>16586</v>
      </c>
      <c r="C21741" t="s">
        <v>2305</v>
      </c>
      <c r="D21741" s="21" t="s">
        <v>34</v>
      </c>
      <c r="E21741" s="21" t="s">
        <v>35</v>
      </c>
      <c r="F21741">
        <v>4450616</v>
      </c>
      <c r="G21741" t="s">
        <v>3254</v>
      </c>
      <c r="H21741" s="21">
        <v>708.17</v>
      </c>
    </row>
    <row r="21742" spans="1:8" customFormat="1" x14ac:dyDescent="0.25">
      <c r="A21742" t="str">
        <f>"8311143"</f>
        <v>8311143</v>
      </c>
      <c r="B21742" t="s">
        <v>19410</v>
      </c>
      <c r="C21742" t="s">
        <v>926</v>
      </c>
      <c r="D21742" s="21" t="s">
        <v>34</v>
      </c>
      <c r="E21742" s="21" t="s">
        <v>35</v>
      </c>
      <c r="F21742">
        <v>13050026</v>
      </c>
      <c r="G21742" t="s">
        <v>18179</v>
      </c>
      <c r="H21742" s="21">
        <v>708.04</v>
      </c>
    </row>
    <row r="21743" spans="1:8" customFormat="1" x14ac:dyDescent="0.25">
      <c r="A21743" t="str">
        <f>"9515670"</f>
        <v>9515670</v>
      </c>
      <c r="B21743" t="s">
        <v>17632</v>
      </c>
      <c r="C21743" t="s">
        <v>750</v>
      </c>
      <c r="D21743" s="21" t="s">
        <v>34</v>
      </c>
      <c r="E21743" s="21" t="s">
        <v>71</v>
      </c>
      <c r="F21743">
        <v>8951386</v>
      </c>
      <c r="G21743" t="s">
        <v>7765</v>
      </c>
      <c r="H21743" s="21">
        <v>708.04</v>
      </c>
    </row>
    <row r="21744" spans="1:8" customFormat="1" x14ac:dyDescent="0.25">
      <c r="A21744" t="str">
        <f>"4414965"</f>
        <v>4414965</v>
      </c>
      <c r="B21744" t="s">
        <v>67</v>
      </c>
      <c r="C21744" t="s">
        <v>2907</v>
      </c>
      <c r="D21744" s="21" t="s">
        <v>34</v>
      </c>
      <c r="E21744" s="21" t="s">
        <v>254</v>
      </c>
      <c r="F21744">
        <v>12440034</v>
      </c>
      <c r="G21744" t="s">
        <v>10586</v>
      </c>
      <c r="H21744" s="21">
        <v>707.92</v>
      </c>
    </row>
    <row r="21745" spans="1:8" customFormat="1" x14ac:dyDescent="0.25">
      <c r="A21745" t="str">
        <f>"946420"</f>
        <v>946420</v>
      </c>
      <c r="B21745" t="s">
        <v>18658</v>
      </c>
      <c r="C21745" t="s">
        <v>55</v>
      </c>
      <c r="D21745" s="21" t="s">
        <v>34</v>
      </c>
      <c r="E21745" s="21" t="s">
        <v>35</v>
      </c>
      <c r="F21745">
        <v>8771501</v>
      </c>
      <c r="G21745" t="s">
        <v>10128</v>
      </c>
      <c r="H21745" s="21">
        <v>707.92</v>
      </c>
    </row>
    <row r="21746" spans="1:8" customFormat="1" x14ac:dyDescent="0.25">
      <c r="A21746" t="str">
        <f>"9427294"</f>
        <v>9427294</v>
      </c>
      <c r="B21746" t="s">
        <v>5160</v>
      </c>
      <c r="C21746" t="s">
        <v>90</v>
      </c>
      <c r="D21746" s="21" t="s">
        <v>34</v>
      </c>
      <c r="E21746" s="21" t="s">
        <v>254</v>
      </c>
      <c r="F21746">
        <v>8941343</v>
      </c>
      <c r="G21746" t="s">
        <v>9614</v>
      </c>
      <c r="H21746" s="21">
        <v>707.79</v>
      </c>
    </row>
    <row r="21747" spans="1:8" customFormat="1" x14ac:dyDescent="0.25">
      <c r="A21747" t="str">
        <f>"942883"</f>
        <v>942883</v>
      </c>
      <c r="B21747" t="s">
        <v>4095</v>
      </c>
      <c r="C21747" t="s">
        <v>239</v>
      </c>
      <c r="D21747" s="21" t="s">
        <v>34</v>
      </c>
      <c r="E21747" s="21" t="s">
        <v>1089</v>
      </c>
      <c r="F21747">
        <v>8940458</v>
      </c>
      <c r="G21747" t="s">
        <v>26774</v>
      </c>
      <c r="H21747" s="21">
        <v>707.79</v>
      </c>
    </row>
    <row r="21748" spans="1:8" customFormat="1" x14ac:dyDescent="0.25">
      <c r="A21748" t="str">
        <f>"5311609"</f>
        <v>5311609</v>
      </c>
      <c r="B21748" t="s">
        <v>1626</v>
      </c>
      <c r="C21748" t="s">
        <v>1665</v>
      </c>
      <c r="D21748" s="21" t="s">
        <v>34</v>
      </c>
      <c r="E21748" s="21" t="s">
        <v>71</v>
      </c>
      <c r="F21748">
        <v>12530041</v>
      </c>
      <c r="G21748" t="s">
        <v>27057</v>
      </c>
      <c r="H21748" s="21">
        <v>707.67</v>
      </c>
    </row>
    <row r="21749" spans="1:8" customFormat="1" x14ac:dyDescent="0.25">
      <c r="A21749" t="str">
        <f>"6311640"</f>
        <v>6311640</v>
      </c>
      <c r="B21749" t="s">
        <v>17756</v>
      </c>
      <c r="C21749" t="s">
        <v>40</v>
      </c>
      <c r="D21749" s="21" t="s">
        <v>34</v>
      </c>
      <c r="E21749" s="21" t="s">
        <v>71</v>
      </c>
      <c r="F21749">
        <v>10400013</v>
      </c>
      <c r="G21749" t="s">
        <v>6238</v>
      </c>
      <c r="H21749" s="21">
        <v>707.67</v>
      </c>
    </row>
    <row r="21750" spans="1:8" customFormat="1" x14ac:dyDescent="0.25">
      <c r="A21750" t="str">
        <f>"5937189"</f>
        <v>5937189</v>
      </c>
      <c r="B21750" t="s">
        <v>4393</v>
      </c>
      <c r="C21750" t="s">
        <v>169</v>
      </c>
      <c r="D21750" s="21" t="s">
        <v>34</v>
      </c>
      <c r="E21750" s="21" t="s">
        <v>35</v>
      </c>
      <c r="F21750">
        <v>7590006</v>
      </c>
      <c r="G21750" t="s">
        <v>4165</v>
      </c>
      <c r="H21750" s="21">
        <v>707.67</v>
      </c>
    </row>
    <row r="21751" spans="1:8" customFormat="1" x14ac:dyDescent="0.25">
      <c r="A21751" t="str">
        <f>"594732"</f>
        <v>594732</v>
      </c>
      <c r="B21751" t="s">
        <v>8001</v>
      </c>
      <c r="C21751" t="s">
        <v>40</v>
      </c>
      <c r="D21751" s="21" t="s">
        <v>34</v>
      </c>
      <c r="E21751" s="21" t="s">
        <v>254</v>
      </c>
      <c r="F21751">
        <v>7590088</v>
      </c>
      <c r="G21751" t="s">
        <v>11178</v>
      </c>
      <c r="H21751" s="21">
        <v>707.67</v>
      </c>
    </row>
    <row r="21752" spans="1:8" customFormat="1" x14ac:dyDescent="0.25">
      <c r="A21752" t="str">
        <f>"7639934"</f>
        <v>7639934</v>
      </c>
      <c r="B21752" t="s">
        <v>15523</v>
      </c>
      <c r="C21752" t="s">
        <v>169</v>
      </c>
      <c r="D21752" s="21" t="s">
        <v>34</v>
      </c>
      <c r="E21752" s="21" t="s">
        <v>35</v>
      </c>
      <c r="F21752">
        <v>9760374</v>
      </c>
      <c r="G21752" t="s">
        <v>6867</v>
      </c>
      <c r="H21752" s="21">
        <v>707.67</v>
      </c>
    </row>
    <row r="21753" spans="1:8" customFormat="1" x14ac:dyDescent="0.25">
      <c r="A21753" t="str">
        <f>"7919170"</f>
        <v>7919170</v>
      </c>
      <c r="B21753" t="s">
        <v>5644</v>
      </c>
      <c r="C21753" t="s">
        <v>1665</v>
      </c>
      <c r="D21753" s="21" t="s">
        <v>34</v>
      </c>
      <c r="E21753" s="21" t="s">
        <v>71</v>
      </c>
      <c r="F21753">
        <v>10790058</v>
      </c>
      <c r="G21753" t="s">
        <v>6512</v>
      </c>
      <c r="H21753" s="21">
        <v>707.67</v>
      </c>
    </row>
    <row r="21754" spans="1:8" customFormat="1" x14ac:dyDescent="0.25">
      <c r="A21754" t="str">
        <f>"7640457"</f>
        <v>7640457</v>
      </c>
      <c r="B21754" t="s">
        <v>17570</v>
      </c>
      <c r="C21754" t="s">
        <v>1812</v>
      </c>
      <c r="D21754" s="21" t="s">
        <v>34</v>
      </c>
      <c r="E21754" s="21" t="s">
        <v>71</v>
      </c>
      <c r="F21754">
        <v>9760396</v>
      </c>
      <c r="G21754" t="s">
        <v>3875</v>
      </c>
      <c r="H21754" s="21">
        <v>707.67</v>
      </c>
    </row>
    <row r="21755" spans="1:8" customFormat="1" x14ac:dyDescent="0.25">
      <c r="A21755" t="str">
        <f>"334778"</f>
        <v>334778</v>
      </c>
      <c r="B21755" t="s">
        <v>9099</v>
      </c>
      <c r="C21755" t="s">
        <v>16826</v>
      </c>
      <c r="D21755" s="21" t="s">
        <v>34</v>
      </c>
      <c r="E21755" s="21" t="s">
        <v>254</v>
      </c>
      <c r="F21755">
        <v>10330018</v>
      </c>
      <c r="G21755" t="s">
        <v>15112</v>
      </c>
      <c r="H21755" s="21">
        <v>707.67</v>
      </c>
    </row>
    <row r="21756" spans="1:8" customFormat="1" x14ac:dyDescent="0.25">
      <c r="A21756" t="str">
        <f>"7514584"</f>
        <v>7514584</v>
      </c>
      <c r="B21756" t="s">
        <v>17455</v>
      </c>
      <c r="C21756" t="s">
        <v>1142</v>
      </c>
      <c r="D21756" s="21" t="s">
        <v>34</v>
      </c>
      <c r="E21756" s="21" t="s">
        <v>254</v>
      </c>
      <c r="F21756">
        <v>8751459</v>
      </c>
      <c r="G21756" t="s">
        <v>27461</v>
      </c>
      <c r="H21756" s="21">
        <v>707.67</v>
      </c>
    </row>
    <row r="21757" spans="1:8" customFormat="1" x14ac:dyDescent="0.25">
      <c r="A21757" t="str">
        <f>"3721458"</f>
        <v>3721458</v>
      </c>
      <c r="B21757" t="s">
        <v>5833</v>
      </c>
      <c r="C21757" t="s">
        <v>109</v>
      </c>
      <c r="D21757" s="21" t="s">
        <v>34</v>
      </c>
      <c r="E21757" s="21" t="s">
        <v>35</v>
      </c>
      <c r="F21757">
        <v>4370024</v>
      </c>
      <c r="G21757" t="s">
        <v>1718</v>
      </c>
      <c r="H21757" s="21">
        <v>707.67</v>
      </c>
    </row>
    <row r="21758" spans="1:8" customFormat="1" x14ac:dyDescent="0.25">
      <c r="A21758" t="str">
        <f>"5921854"</f>
        <v>5921854</v>
      </c>
      <c r="B21758" t="s">
        <v>6847</v>
      </c>
      <c r="C21758" t="s">
        <v>263</v>
      </c>
      <c r="D21758" s="21" t="s">
        <v>34</v>
      </c>
      <c r="E21758" s="21" t="s">
        <v>71</v>
      </c>
      <c r="F21758">
        <v>7590112</v>
      </c>
      <c r="G21758" t="s">
        <v>3534</v>
      </c>
      <c r="H21758" s="21">
        <v>707.67</v>
      </c>
    </row>
    <row r="21759" spans="1:8" customFormat="1" x14ac:dyDescent="0.25">
      <c r="A21759" t="str">
        <f>"031224"</f>
        <v>031224</v>
      </c>
      <c r="B21759" t="s">
        <v>5431</v>
      </c>
      <c r="C21759" t="s">
        <v>156</v>
      </c>
      <c r="D21759" s="21" t="s">
        <v>34</v>
      </c>
      <c r="E21759" s="21" t="s">
        <v>1089</v>
      </c>
      <c r="F21759">
        <v>1030212</v>
      </c>
      <c r="G21759" t="s">
        <v>3479</v>
      </c>
      <c r="H21759" s="21">
        <v>707.67</v>
      </c>
    </row>
    <row r="21760" spans="1:8" customFormat="1" x14ac:dyDescent="0.25">
      <c r="A21760" t="str">
        <f>"5936812"</f>
        <v>5936812</v>
      </c>
      <c r="B21760" t="s">
        <v>27663</v>
      </c>
      <c r="C21760" t="s">
        <v>1468</v>
      </c>
      <c r="D21760" s="21" t="s">
        <v>34</v>
      </c>
      <c r="E21760" s="21" t="s">
        <v>35</v>
      </c>
      <c r="F21760">
        <v>7590011</v>
      </c>
      <c r="G21760" t="s">
        <v>2147</v>
      </c>
      <c r="H21760" s="21">
        <v>707.67</v>
      </c>
    </row>
    <row r="21761" spans="1:8" customFormat="1" x14ac:dyDescent="0.25">
      <c r="A21761" t="str">
        <f>"9525482"</f>
        <v>9525482</v>
      </c>
      <c r="B21761" t="s">
        <v>17685</v>
      </c>
      <c r="C21761" t="s">
        <v>109</v>
      </c>
      <c r="D21761" s="21" t="s">
        <v>34</v>
      </c>
      <c r="E21761" s="21" t="s">
        <v>71</v>
      </c>
      <c r="F21761">
        <v>8950481</v>
      </c>
      <c r="G21761" t="s">
        <v>1472</v>
      </c>
      <c r="H21761" s="21">
        <v>707.67</v>
      </c>
    </row>
    <row r="21762" spans="1:8" customFormat="1" x14ac:dyDescent="0.25">
      <c r="A21762" t="str">
        <f>"7636077"</f>
        <v>7636077</v>
      </c>
      <c r="B21762" t="s">
        <v>1939</v>
      </c>
      <c r="C21762" t="s">
        <v>817</v>
      </c>
      <c r="D21762" s="21" t="s">
        <v>34</v>
      </c>
      <c r="E21762" s="21" t="s">
        <v>71</v>
      </c>
      <c r="F21762">
        <v>9760046</v>
      </c>
      <c r="G21762" t="s">
        <v>14625</v>
      </c>
      <c r="H21762" s="21">
        <v>707.67</v>
      </c>
    </row>
    <row r="21763" spans="1:8" customFormat="1" x14ac:dyDescent="0.25">
      <c r="A21763" t="str">
        <f>"4727"</f>
        <v>4727</v>
      </c>
      <c r="B21763" t="s">
        <v>15971</v>
      </c>
      <c r="C21763" t="s">
        <v>202</v>
      </c>
      <c r="D21763" s="21" t="s">
        <v>34</v>
      </c>
      <c r="E21763" s="21" t="s">
        <v>1089</v>
      </c>
      <c r="F21763">
        <v>10470002</v>
      </c>
      <c r="G21763" t="s">
        <v>13066</v>
      </c>
      <c r="H21763" s="21">
        <v>707.67</v>
      </c>
    </row>
    <row r="21764" spans="1:8" customFormat="1" x14ac:dyDescent="0.25">
      <c r="A21764" t="str">
        <f>"5937401"</f>
        <v>5937401</v>
      </c>
      <c r="B21764" t="s">
        <v>6721</v>
      </c>
      <c r="C21764" t="s">
        <v>263</v>
      </c>
      <c r="D21764" s="21" t="s">
        <v>34</v>
      </c>
      <c r="E21764" s="21" t="s">
        <v>71</v>
      </c>
      <c r="F21764">
        <v>7590175</v>
      </c>
      <c r="G21764" t="s">
        <v>3063</v>
      </c>
      <c r="H21764" s="21">
        <v>707.67</v>
      </c>
    </row>
    <row r="21765" spans="1:8" customFormat="1" x14ac:dyDescent="0.25">
      <c r="A21765" t="str">
        <f>"45850"</f>
        <v>45850</v>
      </c>
      <c r="B21765" t="s">
        <v>16701</v>
      </c>
      <c r="C21765" t="s">
        <v>40</v>
      </c>
      <c r="D21765" s="21" t="s">
        <v>34</v>
      </c>
      <c r="E21765" s="21" t="s">
        <v>71</v>
      </c>
      <c r="F21765">
        <v>4450617</v>
      </c>
      <c r="G21765" t="s">
        <v>4708</v>
      </c>
      <c r="H21765" s="21">
        <v>707.67</v>
      </c>
    </row>
    <row r="21766" spans="1:8" customFormat="1" x14ac:dyDescent="0.25">
      <c r="A21766" t="str">
        <f>"2510729"</f>
        <v>2510729</v>
      </c>
      <c r="B21766" t="s">
        <v>1867</v>
      </c>
      <c r="C21766" t="s">
        <v>33</v>
      </c>
      <c r="D21766" s="21" t="s">
        <v>34</v>
      </c>
      <c r="E21766" s="21" t="s">
        <v>71</v>
      </c>
      <c r="F21766">
        <v>2250181</v>
      </c>
      <c r="G21766" t="s">
        <v>494</v>
      </c>
      <c r="H21766" s="21">
        <v>707.67</v>
      </c>
    </row>
    <row r="21767" spans="1:8" customFormat="1" x14ac:dyDescent="0.25">
      <c r="A21767" t="str">
        <f>"5957142"</f>
        <v>5957142</v>
      </c>
      <c r="B21767" t="s">
        <v>18417</v>
      </c>
      <c r="C21767" t="s">
        <v>415</v>
      </c>
      <c r="D21767" s="21" t="s">
        <v>34</v>
      </c>
      <c r="E21767" s="21" t="s">
        <v>71</v>
      </c>
      <c r="F21767">
        <v>7590131</v>
      </c>
      <c r="G21767" t="s">
        <v>6300</v>
      </c>
      <c r="H21767" s="21">
        <v>707.67</v>
      </c>
    </row>
    <row r="21768" spans="1:8" customFormat="1" x14ac:dyDescent="0.25">
      <c r="A21768" t="str">
        <f>"5717682"</f>
        <v>5717682</v>
      </c>
      <c r="B21768" t="s">
        <v>18933</v>
      </c>
      <c r="C21768" t="s">
        <v>18934</v>
      </c>
      <c r="D21768" s="21" t="s">
        <v>34</v>
      </c>
      <c r="E21768" s="21" t="s">
        <v>71</v>
      </c>
      <c r="F21768">
        <v>6570180</v>
      </c>
      <c r="G21768" t="s">
        <v>456</v>
      </c>
      <c r="H21768" s="21">
        <v>707.67</v>
      </c>
    </row>
    <row r="21769" spans="1:8" customFormat="1" x14ac:dyDescent="0.25">
      <c r="A21769" t="str">
        <f>"6942371"</f>
        <v>6942371</v>
      </c>
      <c r="B21769" t="s">
        <v>17681</v>
      </c>
      <c r="C21769" t="s">
        <v>249</v>
      </c>
      <c r="D21769" s="21" t="s">
        <v>34</v>
      </c>
      <c r="E21769" s="21" t="s">
        <v>71</v>
      </c>
      <c r="F21769">
        <v>1690186</v>
      </c>
      <c r="G21769" t="s">
        <v>438</v>
      </c>
      <c r="H21769" s="21">
        <v>707.67</v>
      </c>
    </row>
    <row r="21770" spans="1:8" customFormat="1" x14ac:dyDescent="0.25">
      <c r="A21770" t="str">
        <f>"161721"</f>
        <v>161721</v>
      </c>
      <c r="B21770" t="s">
        <v>11259</v>
      </c>
      <c r="C21770" t="s">
        <v>1146</v>
      </c>
      <c r="D21770" s="21" t="s">
        <v>34</v>
      </c>
      <c r="E21770" s="21" t="s">
        <v>71</v>
      </c>
      <c r="F21770">
        <v>10160024</v>
      </c>
      <c r="G21770" t="s">
        <v>511</v>
      </c>
      <c r="H21770" s="21">
        <v>707.67</v>
      </c>
    </row>
    <row r="21771" spans="1:8" customFormat="1" x14ac:dyDescent="0.25">
      <c r="A21771" t="str">
        <f>"624585"</f>
        <v>624585</v>
      </c>
      <c r="B21771" t="s">
        <v>11142</v>
      </c>
      <c r="C21771" t="s">
        <v>263</v>
      </c>
      <c r="D21771" s="21" t="s">
        <v>34</v>
      </c>
      <c r="E21771" s="21" t="s">
        <v>71</v>
      </c>
      <c r="F21771">
        <v>7620121</v>
      </c>
      <c r="G21771" t="s">
        <v>7146</v>
      </c>
      <c r="H21771" s="21">
        <v>707.67</v>
      </c>
    </row>
    <row r="21772" spans="1:8" customFormat="1" x14ac:dyDescent="0.25">
      <c r="A21772" t="str">
        <f>"8517307"</f>
        <v>8517307</v>
      </c>
      <c r="B21772" t="s">
        <v>16981</v>
      </c>
      <c r="C21772" t="s">
        <v>139</v>
      </c>
      <c r="D21772" s="21" t="s">
        <v>34</v>
      </c>
      <c r="E21772" s="21" t="s">
        <v>71</v>
      </c>
      <c r="F21772">
        <v>12850031</v>
      </c>
      <c r="G21772" t="s">
        <v>3180</v>
      </c>
      <c r="H21772" s="21">
        <v>707.67</v>
      </c>
    </row>
    <row r="21773" spans="1:8" customFormat="1" x14ac:dyDescent="0.25">
      <c r="A21773" t="str">
        <f>"3811267"</f>
        <v>3811267</v>
      </c>
      <c r="B21773" t="s">
        <v>16600</v>
      </c>
      <c r="C21773" t="s">
        <v>43</v>
      </c>
      <c r="D21773" s="21" t="s">
        <v>34</v>
      </c>
      <c r="E21773" s="21" t="s">
        <v>35</v>
      </c>
      <c r="F21773">
        <v>1380130</v>
      </c>
      <c r="G21773" t="s">
        <v>6667</v>
      </c>
      <c r="H21773" s="21">
        <v>707.67</v>
      </c>
    </row>
    <row r="21774" spans="1:8" customFormat="1" x14ac:dyDescent="0.25">
      <c r="A21774" t="str">
        <f>"7724625"</f>
        <v>7724625</v>
      </c>
      <c r="B21774" t="s">
        <v>17823</v>
      </c>
      <c r="C21774" t="s">
        <v>151</v>
      </c>
      <c r="D21774" s="21" t="s">
        <v>34</v>
      </c>
      <c r="E21774" s="21" t="s">
        <v>35</v>
      </c>
      <c r="F21774">
        <v>8771025</v>
      </c>
      <c r="G21774" t="s">
        <v>5469</v>
      </c>
      <c r="H21774" s="21">
        <v>707.54</v>
      </c>
    </row>
    <row r="21775" spans="1:8" customFormat="1" x14ac:dyDescent="0.25">
      <c r="A21775" t="str">
        <f>"324306"</f>
        <v>324306</v>
      </c>
      <c r="B21775" t="s">
        <v>18261</v>
      </c>
      <c r="C21775" t="s">
        <v>926</v>
      </c>
      <c r="D21775" s="21" t="s">
        <v>34</v>
      </c>
      <c r="E21775" s="21" t="s">
        <v>35</v>
      </c>
      <c r="F21775">
        <v>11320032</v>
      </c>
      <c r="G21775" t="s">
        <v>5722</v>
      </c>
      <c r="H21775" s="21">
        <v>707.42</v>
      </c>
    </row>
    <row r="21776" spans="1:8" customFormat="1" x14ac:dyDescent="0.25">
      <c r="A21776" t="str">
        <f>"4929687"</f>
        <v>4929687</v>
      </c>
      <c r="B21776" t="s">
        <v>3197</v>
      </c>
      <c r="C21776" t="s">
        <v>33</v>
      </c>
      <c r="D21776" s="21" t="s">
        <v>34</v>
      </c>
      <c r="E21776" s="21" t="s">
        <v>35</v>
      </c>
      <c r="F21776">
        <v>12490129</v>
      </c>
      <c r="G21776" t="s">
        <v>7607</v>
      </c>
      <c r="H21776" s="21">
        <v>707.42</v>
      </c>
    </row>
    <row r="21777" spans="1:8" customFormat="1" x14ac:dyDescent="0.25">
      <c r="A21777" t="str">
        <f>"5325919"</f>
        <v>5325919</v>
      </c>
      <c r="B21777" t="s">
        <v>18864</v>
      </c>
      <c r="C21777" t="s">
        <v>55</v>
      </c>
      <c r="D21777" s="21" t="s">
        <v>34</v>
      </c>
      <c r="E21777" s="21" t="s">
        <v>35</v>
      </c>
      <c r="F21777">
        <v>12530074</v>
      </c>
      <c r="G21777" t="s">
        <v>6425</v>
      </c>
      <c r="H21777" s="21">
        <v>707.42</v>
      </c>
    </row>
    <row r="21778" spans="1:8" customFormat="1" x14ac:dyDescent="0.25">
      <c r="A21778" t="str">
        <f>"2929215"</f>
        <v>2929215</v>
      </c>
      <c r="B21778" t="s">
        <v>27664</v>
      </c>
      <c r="C21778" t="s">
        <v>55</v>
      </c>
      <c r="D21778" s="21" t="s">
        <v>34</v>
      </c>
      <c r="E21778" s="21" t="s">
        <v>35</v>
      </c>
      <c r="F21778">
        <v>3290036</v>
      </c>
      <c r="G21778" t="s">
        <v>3903</v>
      </c>
      <c r="H21778" s="21">
        <v>707.42</v>
      </c>
    </row>
    <row r="21779" spans="1:8" customFormat="1" x14ac:dyDescent="0.25">
      <c r="A21779" t="str">
        <f>"3339346"</f>
        <v>3339346</v>
      </c>
      <c r="B21779" t="s">
        <v>17364</v>
      </c>
      <c r="C21779" t="s">
        <v>302</v>
      </c>
      <c r="D21779" s="21" t="s">
        <v>34</v>
      </c>
      <c r="E21779" s="21" t="s">
        <v>35</v>
      </c>
      <c r="F21779">
        <v>10330084</v>
      </c>
      <c r="G21779" t="s">
        <v>1124</v>
      </c>
      <c r="H21779" s="21">
        <v>707.29</v>
      </c>
    </row>
    <row r="21780" spans="1:8" customFormat="1" x14ac:dyDescent="0.25">
      <c r="A21780" t="str">
        <f>"312178"</f>
        <v>312178</v>
      </c>
      <c r="B21780" t="s">
        <v>17366</v>
      </c>
      <c r="C21780" t="s">
        <v>17367</v>
      </c>
      <c r="D21780" s="21" t="s">
        <v>34</v>
      </c>
      <c r="E21780" s="21" t="s">
        <v>254</v>
      </c>
      <c r="F21780">
        <v>8911439</v>
      </c>
      <c r="G21780" t="s">
        <v>3953</v>
      </c>
      <c r="H21780" s="21">
        <v>707.29</v>
      </c>
    </row>
    <row r="21781" spans="1:8" customFormat="1" x14ac:dyDescent="0.25">
      <c r="A21781" t="str">
        <f>"5425426"</f>
        <v>5425426</v>
      </c>
      <c r="B21781" t="s">
        <v>17653</v>
      </c>
      <c r="C21781" t="s">
        <v>139</v>
      </c>
      <c r="D21781" s="21" t="s">
        <v>34</v>
      </c>
      <c r="E21781" s="21" t="s">
        <v>35</v>
      </c>
      <c r="F21781">
        <v>6540088</v>
      </c>
      <c r="G21781" t="s">
        <v>2108</v>
      </c>
      <c r="H21781" s="21">
        <v>707.17</v>
      </c>
    </row>
    <row r="21782" spans="1:8" customFormat="1" x14ac:dyDescent="0.25">
      <c r="A21782" t="str">
        <f>"1612654"</f>
        <v>1612654</v>
      </c>
      <c r="B21782" t="s">
        <v>4602</v>
      </c>
      <c r="C21782" t="s">
        <v>1104</v>
      </c>
      <c r="D21782" s="21" t="s">
        <v>34</v>
      </c>
      <c r="E21782" s="21" t="s">
        <v>35</v>
      </c>
      <c r="F21782">
        <v>10160024</v>
      </c>
      <c r="G21782" t="s">
        <v>511</v>
      </c>
      <c r="H21782" s="21">
        <v>707.17</v>
      </c>
    </row>
    <row r="21783" spans="1:8" customFormat="1" x14ac:dyDescent="0.25">
      <c r="A21783" t="str">
        <f>"3826835"</f>
        <v>3826835</v>
      </c>
      <c r="B21783" t="s">
        <v>17151</v>
      </c>
      <c r="C21783" t="s">
        <v>209</v>
      </c>
      <c r="D21783" s="21" t="s">
        <v>34</v>
      </c>
      <c r="E21783" s="21" t="s">
        <v>71</v>
      </c>
      <c r="F21783">
        <v>1380275</v>
      </c>
      <c r="G21783" t="s">
        <v>8042</v>
      </c>
      <c r="H21783" s="21">
        <v>707.17</v>
      </c>
    </row>
    <row r="21784" spans="1:8" customFormat="1" x14ac:dyDescent="0.25">
      <c r="A21784" t="str">
        <f>"8315561"</f>
        <v>8315561</v>
      </c>
      <c r="B21784" t="s">
        <v>5785</v>
      </c>
      <c r="C21784" t="s">
        <v>822</v>
      </c>
      <c r="D21784" s="21" t="s">
        <v>34</v>
      </c>
      <c r="E21784" s="21" t="s">
        <v>254</v>
      </c>
      <c r="F21784">
        <v>13830071</v>
      </c>
      <c r="G21784" t="s">
        <v>3221</v>
      </c>
      <c r="H21784" s="21">
        <v>707.17</v>
      </c>
    </row>
    <row r="21785" spans="1:8" customFormat="1" x14ac:dyDescent="0.25">
      <c r="A21785" t="str">
        <f>"5620556"</f>
        <v>5620556</v>
      </c>
      <c r="B21785" t="s">
        <v>5341</v>
      </c>
      <c r="C21785" t="s">
        <v>288</v>
      </c>
      <c r="D21785" s="21" t="s">
        <v>34</v>
      </c>
      <c r="E21785" s="21" t="s">
        <v>35</v>
      </c>
      <c r="F21785">
        <v>3560025</v>
      </c>
      <c r="G21785" t="s">
        <v>14020</v>
      </c>
      <c r="H21785" s="21">
        <v>707.17</v>
      </c>
    </row>
    <row r="21786" spans="1:8" customFormat="1" x14ac:dyDescent="0.25">
      <c r="A21786" t="str">
        <f>"135026"</f>
        <v>135026</v>
      </c>
      <c r="B21786" t="s">
        <v>16295</v>
      </c>
      <c r="C21786" t="s">
        <v>2520</v>
      </c>
      <c r="D21786" s="21" t="s">
        <v>34</v>
      </c>
      <c r="E21786" s="21" t="s">
        <v>254</v>
      </c>
      <c r="F21786">
        <v>13130137</v>
      </c>
      <c r="G21786" t="s">
        <v>6996</v>
      </c>
      <c r="H21786" s="21">
        <v>707.17</v>
      </c>
    </row>
    <row r="21787" spans="1:8" customFormat="1" x14ac:dyDescent="0.25">
      <c r="A21787" t="str">
        <f>"389267"</f>
        <v>389267</v>
      </c>
      <c r="B21787" t="s">
        <v>18337</v>
      </c>
      <c r="C21787" t="s">
        <v>18338</v>
      </c>
      <c r="D21787" s="21" t="s">
        <v>34</v>
      </c>
      <c r="E21787" s="21" t="s">
        <v>35</v>
      </c>
      <c r="F21787">
        <v>1380045</v>
      </c>
      <c r="G21787" t="s">
        <v>2114</v>
      </c>
      <c r="H21787" s="21">
        <v>707.17</v>
      </c>
    </row>
    <row r="21788" spans="1:8" customFormat="1" x14ac:dyDescent="0.25">
      <c r="A21788" t="str">
        <f>"5937884"</f>
        <v>5937884</v>
      </c>
      <c r="B21788" t="s">
        <v>17015</v>
      </c>
      <c r="C21788" t="s">
        <v>415</v>
      </c>
      <c r="D21788" s="21" t="s">
        <v>34</v>
      </c>
      <c r="E21788" s="21" t="s">
        <v>254</v>
      </c>
      <c r="F21788">
        <v>7590003</v>
      </c>
      <c r="G21788" t="s">
        <v>1166</v>
      </c>
      <c r="H21788" s="21">
        <v>707.17</v>
      </c>
    </row>
    <row r="21789" spans="1:8" customFormat="1" x14ac:dyDescent="0.25">
      <c r="A21789" t="str">
        <f>"563028"</f>
        <v>563028</v>
      </c>
      <c r="B21789" t="s">
        <v>16932</v>
      </c>
      <c r="C21789" t="s">
        <v>2520</v>
      </c>
      <c r="D21789" s="21" t="s">
        <v>34</v>
      </c>
      <c r="E21789" s="21" t="s">
        <v>1089</v>
      </c>
      <c r="F21789">
        <v>3560094</v>
      </c>
      <c r="G21789" t="s">
        <v>10313</v>
      </c>
      <c r="H21789" s="21">
        <v>707.17</v>
      </c>
    </row>
    <row r="21790" spans="1:8" customFormat="1" x14ac:dyDescent="0.25">
      <c r="A21790" t="str">
        <f>"3717078"</f>
        <v>3717078</v>
      </c>
      <c r="B21790" t="s">
        <v>9325</v>
      </c>
      <c r="C21790" t="s">
        <v>109</v>
      </c>
      <c r="D21790" s="21" t="s">
        <v>34</v>
      </c>
      <c r="E21790" s="21" t="s">
        <v>71</v>
      </c>
      <c r="F21790">
        <v>4370682</v>
      </c>
      <c r="G21790" t="s">
        <v>10454</v>
      </c>
      <c r="H21790" s="21">
        <v>707.17</v>
      </c>
    </row>
    <row r="21791" spans="1:8" customFormat="1" x14ac:dyDescent="0.25">
      <c r="A21791" t="str">
        <f>"1714458"</f>
        <v>1714458</v>
      </c>
      <c r="B21791" t="s">
        <v>18634</v>
      </c>
      <c r="C21791" t="s">
        <v>58</v>
      </c>
      <c r="D21791" s="21" t="s">
        <v>34</v>
      </c>
      <c r="E21791" s="21" t="s">
        <v>35</v>
      </c>
      <c r="F21791">
        <v>10170049</v>
      </c>
      <c r="G21791" t="s">
        <v>15023</v>
      </c>
      <c r="H21791" s="21">
        <v>707.17</v>
      </c>
    </row>
    <row r="21792" spans="1:8" customFormat="1" x14ac:dyDescent="0.25">
      <c r="A21792" t="str">
        <f>"278568"</f>
        <v>278568</v>
      </c>
      <c r="B21792" t="s">
        <v>17917</v>
      </c>
      <c r="C21792" t="s">
        <v>33</v>
      </c>
      <c r="D21792" s="21" t="s">
        <v>34</v>
      </c>
      <c r="E21792" s="21" t="s">
        <v>71</v>
      </c>
      <c r="F21792">
        <v>9140201</v>
      </c>
      <c r="G21792" t="s">
        <v>13327</v>
      </c>
      <c r="H21792" s="21">
        <v>707.17</v>
      </c>
    </row>
    <row r="21793" spans="1:8" customFormat="1" x14ac:dyDescent="0.25">
      <c r="A21793" t="str">
        <f>"6213371"</f>
        <v>6213371</v>
      </c>
      <c r="B21793" t="s">
        <v>10889</v>
      </c>
      <c r="C21793" t="s">
        <v>547</v>
      </c>
      <c r="D21793" s="21" t="s">
        <v>34</v>
      </c>
      <c r="E21793" s="21" t="s">
        <v>254</v>
      </c>
      <c r="F21793">
        <v>7620112</v>
      </c>
      <c r="G21793" t="s">
        <v>5663</v>
      </c>
      <c r="H21793" s="21">
        <v>707.17</v>
      </c>
    </row>
    <row r="21794" spans="1:8" customFormat="1" x14ac:dyDescent="0.25">
      <c r="A21794" t="str">
        <f>"538871"</f>
        <v>538871</v>
      </c>
      <c r="B21794" t="s">
        <v>5403</v>
      </c>
      <c r="C21794" t="s">
        <v>139</v>
      </c>
      <c r="D21794" s="21" t="s">
        <v>34</v>
      </c>
      <c r="E21794" s="21" t="s">
        <v>71</v>
      </c>
      <c r="F21794">
        <v>12530007</v>
      </c>
      <c r="G21794" t="s">
        <v>2966</v>
      </c>
      <c r="H21794" s="21">
        <v>707.17</v>
      </c>
    </row>
    <row r="21795" spans="1:8" customFormat="1" x14ac:dyDescent="0.25">
      <c r="A21795" t="str">
        <f>"792460"</f>
        <v>792460</v>
      </c>
      <c r="B21795" t="s">
        <v>16647</v>
      </c>
      <c r="C21795" t="s">
        <v>2520</v>
      </c>
      <c r="D21795" s="21" t="s">
        <v>34</v>
      </c>
      <c r="E21795" s="21" t="s">
        <v>254</v>
      </c>
      <c r="F21795">
        <v>10790186</v>
      </c>
      <c r="G21795" t="s">
        <v>16305</v>
      </c>
      <c r="H21795" s="21">
        <v>707.17</v>
      </c>
    </row>
    <row r="21796" spans="1:8" customFormat="1" x14ac:dyDescent="0.25">
      <c r="A21796" t="str">
        <f>"6312630"</f>
        <v>6312630</v>
      </c>
      <c r="B21796" t="s">
        <v>16219</v>
      </c>
      <c r="C21796" t="s">
        <v>1665</v>
      </c>
      <c r="D21796" s="21" t="s">
        <v>34</v>
      </c>
      <c r="E21796" s="21" t="s">
        <v>254</v>
      </c>
      <c r="F21796">
        <v>1630114</v>
      </c>
      <c r="G21796" t="s">
        <v>10269</v>
      </c>
      <c r="H21796" s="21">
        <v>707.17</v>
      </c>
    </row>
    <row r="21797" spans="1:8" customFormat="1" x14ac:dyDescent="0.25">
      <c r="A21797" t="str">
        <f>"2112227"</f>
        <v>2112227</v>
      </c>
      <c r="B21797" t="s">
        <v>19739</v>
      </c>
      <c r="C21797" t="s">
        <v>156</v>
      </c>
      <c r="D21797" s="21" t="s">
        <v>34</v>
      </c>
      <c r="E21797" s="21" t="s">
        <v>35</v>
      </c>
      <c r="F21797">
        <v>2210005</v>
      </c>
      <c r="G21797" t="s">
        <v>5020</v>
      </c>
      <c r="H21797" s="21">
        <v>707.17</v>
      </c>
    </row>
    <row r="21798" spans="1:8" customFormat="1" x14ac:dyDescent="0.25">
      <c r="A21798" t="str">
        <f>"2615626"</f>
        <v>2615626</v>
      </c>
      <c r="B21798" t="s">
        <v>2240</v>
      </c>
      <c r="C21798" t="s">
        <v>812</v>
      </c>
      <c r="D21798" s="21" t="s">
        <v>34</v>
      </c>
      <c r="E21798" s="21" t="s">
        <v>35</v>
      </c>
      <c r="F21798">
        <v>1260010</v>
      </c>
      <c r="G21798" t="s">
        <v>3944</v>
      </c>
      <c r="H21798" s="21">
        <v>707.04</v>
      </c>
    </row>
    <row r="21799" spans="1:8" customFormat="1" x14ac:dyDescent="0.25">
      <c r="A21799" t="str">
        <f>"418893"</f>
        <v>418893</v>
      </c>
      <c r="B21799" t="s">
        <v>5416</v>
      </c>
      <c r="C21799" t="s">
        <v>33</v>
      </c>
      <c r="D21799" s="21" t="s">
        <v>34</v>
      </c>
      <c r="E21799" s="21" t="s">
        <v>35</v>
      </c>
      <c r="F21799">
        <v>4410612</v>
      </c>
      <c r="G21799" t="s">
        <v>815</v>
      </c>
      <c r="H21799" s="21">
        <v>707</v>
      </c>
    </row>
    <row r="21800" spans="1:8" customFormat="1" x14ac:dyDescent="0.25">
      <c r="A21800" t="str">
        <f>"089095"</f>
        <v>089095</v>
      </c>
      <c r="B21800" t="s">
        <v>9207</v>
      </c>
      <c r="C21800" t="s">
        <v>211</v>
      </c>
      <c r="D21800" s="21" t="s">
        <v>34</v>
      </c>
      <c r="E21800" s="21" t="s">
        <v>71</v>
      </c>
      <c r="F21800">
        <v>6080015</v>
      </c>
      <c r="G21800" t="s">
        <v>15205</v>
      </c>
      <c r="H21800" s="21">
        <v>706.92</v>
      </c>
    </row>
    <row r="21801" spans="1:8" customFormat="1" x14ac:dyDescent="0.25">
      <c r="A21801" t="str">
        <f>"5714731"</f>
        <v>5714731</v>
      </c>
      <c r="B21801" t="s">
        <v>15811</v>
      </c>
      <c r="C21801" t="s">
        <v>124</v>
      </c>
      <c r="D21801" s="21" t="s">
        <v>34</v>
      </c>
      <c r="E21801" s="21" t="s">
        <v>71</v>
      </c>
      <c r="F21801">
        <v>6570179</v>
      </c>
      <c r="G21801" t="s">
        <v>9205</v>
      </c>
      <c r="H21801" s="21">
        <v>706.92</v>
      </c>
    </row>
    <row r="21802" spans="1:8" customFormat="1" x14ac:dyDescent="0.25">
      <c r="A21802" t="str">
        <f>"8018948"</f>
        <v>8018948</v>
      </c>
      <c r="B21802" t="s">
        <v>10184</v>
      </c>
      <c r="C21802" t="s">
        <v>2356</v>
      </c>
      <c r="D21802" s="21" t="s">
        <v>34</v>
      </c>
      <c r="E21802" s="21" t="s">
        <v>71</v>
      </c>
      <c r="F21802">
        <v>7800014</v>
      </c>
      <c r="G21802" t="s">
        <v>9881</v>
      </c>
      <c r="H21802" s="21">
        <v>706.92</v>
      </c>
    </row>
    <row r="21803" spans="1:8" customFormat="1" x14ac:dyDescent="0.25">
      <c r="A21803" t="str">
        <f>"7626151"</f>
        <v>7626151</v>
      </c>
      <c r="B21803" t="s">
        <v>17104</v>
      </c>
      <c r="C21803" t="s">
        <v>263</v>
      </c>
      <c r="D21803" s="21" t="s">
        <v>34</v>
      </c>
      <c r="E21803" s="21" t="s">
        <v>71</v>
      </c>
      <c r="F21803">
        <v>9760351</v>
      </c>
      <c r="G21803" t="s">
        <v>5898</v>
      </c>
      <c r="H21803" s="21">
        <v>706.92</v>
      </c>
    </row>
    <row r="21804" spans="1:8" customFormat="1" x14ac:dyDescent="0.25">
      <c r="A21804" t="str">
        <f>"014814"</f>
        <v>014814</v>
      </c>
      <c r="B21804" t="s">
        <v>2082</v>
      </c>
      <c r="C21804" t="s">
        <v>1665</v>
      </c>
      <c r="D21804" s="21" t="s">
        <v>34</v>
      </c>
      <c r="E21804" s="21" t="s">
        <v>35</v>
      </c>
      <c r="F21804">
        <v>1740057</v>
      </c>
      <c r="G21804" t="s">
        <v>1567</v>
      </c>
      <c r="H21804" s="21">
        <v>706.79</v>
      </c>
    </row>
    <row r="21805" spans="1:8" customFormat="1" x14ac:dyDescent="0.25">
      <c r="A21805" t="str">
        <f>"867911"</f>
        <v>867911</v>
      </c>
      <c r="B21805" t="s">
        <v>16638</v>
      </c>
      <c r="C21805" t="s">
        <v>2356</v>
      </c>
      <c r="D21805" s="21" t="s">
        <v>34</v>
      </c>
      <c r="E21805" s="21" t="s">
        <v>71</v>
      </c>
      <c r="F21805">
        <v>10860005</v>
      </c>
      <c r="G21805" t="s">
        <v>7474</v>
      </c>
      <c r="H21805" s="21">
        <v>706.67</v>
      </c>
    </row>
    <row r="21806" spans="1:8" customFormat="1" x14ac:dyDescent="0.25">
      <c r="A21806" t="str">
        <f>"8316241"</f>
        <v>8316241</v>
      </c>
      <c r="B21806" t="s">
        <v>22173</v>
      </c>
      <c r="C21806" t="s">
        <v>144</v>
      </c>
      <c r="D21806" s="21" t="s">
        <v>34</v>
      </c>
      <c r="E21806" s="21" t="s">
        <v>35</v>
      </c>
      <c r="F21806">
        <v>13830071</v>
      </c>
      <c r="G21806" t="s">
        <v>3221</v>
      </c>
      <c r="H21806" s="21">
        <v>706.67</v>
      </c>
    </row>
    <row r="21807" spans="1:8" customFormat="1" x14ac:dyDescent="0.25">
      <c r="A21807" t="str">
        <f>"6216763"</f>
        <v>6216763</v>
      </c>
      <c r="B21807" t="s">
        <v>13361</v>
      </c>
      <c r="C21807" t="s">
        <v>263</v>
      </c>
      <c r="D21807" s="21" t="s">
        <v>34</v>
      </c>
      <c r="E21807" s="21" t="s">
        <v>71</v>
      </c>
      <c r="F21807">
        <v>7620150</v>
      </c>
      <c r="G21807" t="s">
        <v>7141</v>
      </c>
      <c r="H21807" s="21">
        <v>706.67</v>
      </c>
    </row>
    <row r="21808" spans="1:8" customFormat="1" x14ac:dyDescent="0.25">
      <c r="A21808" t="str">
        <f>"6211653"</f>
        <v>6211653</v>
      </c>
      <c r="B21808" t="s">
        <v>16522</v>
      </c>
      <c r="C21808" t="s">
        <v>328</v>
      </c>
      <c r="D21808" s="21" t="s">
        <v>34</v>
      </c>
      <c r="E21808" s="21" t="s">
        <v>35</v>
      </c>
      <c r="F21808">
        <v>7620088</v>
      </c>
      <c r="G21808" t="s">
        <v>3342</v>
      </c>
      <c r="H21808" s="21">
        <v>706.67</v>
      </c>
    </row>
    <row r="21809" spans="1:8" customFormat="1" x14ac:dyDescent="0.25">
      <c r="A21809" t="str">
        <f>"612060"</f>
        <v>612060</v>
      </c>
      <c r="B21809" t="s">
        <v>19324</v>
      </c>
      <c r="C21809" t="s">
        <v>1705</v>
      </c>
      <c r="D21809" s="21" t="s">
        <v>34</v>
      </c>
      <c r="E21809" s="21" t="s">
        <v>254</v>
      </c>
      <c r="F21809">
        <v>9610119</v>
      </c>
      <c r="G21809" t="s">
        <v>6655</v>
      </c>
      <c r="H21809" s="21">
        <v>706.67</v>
      </c>
    </row>
    <row r="21810" spans="1:8" customFormat="1" x14ac:dyDescent="0.25">
      <c r="A21810" t="str">
        <f>"3332048"</f>
        <v>3332048</v>
      </c>
      <c r="B21810" t="s">
        <v>11766</v>
      </c>
      <c r="C21810" t="s">
        <v>169</v>
      </c>
      <c r="D21810" s="21" t="s">
        <v>34</v>
      </c>
      <c r="E21810" s="21" t="s">
        <v>71</v>
      </c>
      <c r="F21810">
        <v>10330099</v>
      </c>
      <c r="G21810" t="s">
        <v>10670</v>
      </c>
      <c r="H21810" s="21">
        <v>706.67</v>
      </c>
    </row>
    <row r="21811" spans="1:8" customFormat="1" x14ac:dyDescent="0.25">
      <c r="A21811" t="str">
        <f>"62118"</f>
        <v>62118</v>
      </c>
      <c r="B21811" t="s">
        <v>16436</v>
      </c>
      <c r="C21811" t="s">
        <v>267</v>
      </c>
      <c r="D21811" s="21" t="s">
        <v>34</v>
      </c>
      <c r="E21811" s="21" t="s">
        <v>254</v>
      </c>
      <c r="F21811">
        <v>7620110</v>
      </c>
      <c r="G21811" t="s">
        <v>2681</v>
      </c>
      <c r="H21811" s="21">
        <v>706.67</v>
      </c>
    </row>
    <row r="21812" spans="1:8" customFormat="1" x14ac:dyDescent="0.25">
      <c r="A21812" t="str">
        <f>"4210885"</f>
        <v>4210885</v>
      </c>
      <c r="B21812" t="s">
        <v>17809</v>
      </c>
      <c r="C21812" t="s">
        <v>253</v>
      </c>
      <c r="D21812" s="21" t="s">
        <v>34</v>
      </c>
      <c r="E21812" s="21" t="s">
        <v>254</v>
      </c>
      <c r="F21812">
        <v>1420078</v>
      </c>
      <c r="G21812" t="s">
        <v>4287</v>
      </c>
      <c r="H21812" s="21">
        <v>706.67</v>
      </c>
    </row>
    <row r="21813" spans="1:8" customFormat="1" x14ac:dyDescent="0.25">
      <c r="A21813" t="str">
        <f>"591665"</f>
        <v>591665</v>
      </c>
      <c r="B21813" t="s">
        <v>16953</v>
      </c>
      <c r="C21813" t="s">
        <v>130</v>
      </c>
      <c r="D21813" s="21" t="s">
        <v>34</v>
      </c>
      <c r="E21813" s="21" t="s">
        <v>254</v>
      </c>
      <c r="F21813">
        <v>7590327</v>
      </c>
      <c r="G21813" t="s">
        <v>2330</v>
      </c>
      <c r="H21813" s="21">
        <v>706.67</v>
      </c>
    </row>
    <row r="21814" spans="1:8" customFormat="1" x14ac:dyDescent="0.25">
      <c r="A21814" t="str">
        <f>"8310293"</f>
        <v>8310293</v>
      </c>
      <c r="B21814" t="s">
        <v>18060</v>
      </c>
      <c r="C21814" t="s">
        <v>87</v>
      </c>
      <c r="D21814" s="21" t="s">
        <v>34</v>
      </c>
      <c r="E21814" s="21" t="s">
        <v>71</v>
      </c>
      <c r="F21814">
        <v>13830090</v>
      </c>
      <c r="G21814" t="s">
        <v>1535</v>
      </c>
      <c r="H21814" s="21">
        <v>706.67</v>
      </c>
    </row>
    <row r="21815" spans="1:8" customFormat="1" x14ac:dyDescent="0.25">
      <c r="A21815" t="str">
        <f>"541050"</f>
        <v>541050</v>
      </c>
      <c r="B21815" t="s">
        <v>16336</v>
      </c>
      <c r="C21815" t="s">
        <v>40</v>
      </c>
      <c r="D21815" s="21" t="s">
        <v>34</v>
      </c>
      <c r="E21815" s="21" t="s">
        <v>254</v>
      </c>
      <c r="F21815">
        <v>6540055</v>
      </c>
      <c r="G21815" t="s">
        <v>9080</v>
      </c>
      <c r="H21815" s="21">
        <v>706.67</v>
      </c>
    </row>
    <row r="21816" spans="1:8" customFormat="1" x14ac:dyDescent="0.25">
      <c r="A21816" t="str">
        <f>"91659"</f>
        <v>91659</v>
      </c>
      <c r="B21816" t="s">
        <v>650</v>
      </c>
      <c r="C21816" t="s">
        <v>5861</v>
      </c>
      <c r="D21816" s="21" t="s">
        <v>34</v>
      </c>
      <c r="E21816" s="21" t="s">
        <v>6185</v>
      </c>
      <c r="F21816">
        <v>12850008</v>
      </c>
      <c r="G21816" t="s">
        <v>4248</v>
      </c>
      <c r="H21816" s="21">
        <v>706.67</v>
      </c>
    </row>
    <row r="21817" spans="1:8" customFormat="1" x14ac:dyDescent="0.25">
      <c r="A21817" t="str">
        <f>"9526885"</f>
        <v>9526885</v>
      </c>
      <c r="B21817" t="s">
        <v>15705</v>
      </c>
      <c r="C21817" t="s">
        <v>15706</v>
      </c>
      <c r="D21817" s="21" t="s">
        <v>34</v>
      </c>
      <c r="E21817" s="21" t="s">
        <v>35</v>
      </c>
      <c r="F21817">
        <v>8950564</v>
      </c>
      <c r="G21817" t="s">
        <v>9523</v>
      </c>
      <c r="H21817" s="21">
        <v>706.67</v>
      </c>
    </row>
    <row r="21818" spans="1:8" customFormat="1" x14ac:dyDescent="0.25">
      <c r="A21818" t="str">
        <f>"72422"</f>
        <v>72422</v>
      </c>
      <c r="B21818" t="s">
        <v>16660</v>
      </c>
      <c r="C21818" t="s">
        <v>209</v>
      </c>
      <c r="D21818" s="21" t="s">
        <v>34</v>
      </c>
      <c r="E21818" s="21" t="s">
        <v>254</v>
      </c>
      <c r="F21818">
        <v>12720120</v>
      </c>
      <c r="G21818" t="s">
        <v>2509</v>
      </c>
      <c r="H21818" s="21">
        <v>706.67</v>
      </c>
    </row>
    <row r="21819" spans="1:8" customFormat="1" x14ac:dyDescent="0.25">
      <c r="A21819" t="str">
        <f>"3815359"</f>
        <v>3815359</v>
      </c>
      <c r="B21819" t="s">
        <v>27665</v>
      </c>
      <c r="C21819" t="s">
        <v>43</v>
      </c>
      <c r="D21819" s="21" t="s">
        <v>34</v>
      </c>
      <c r="E21819" s="21" t="s">
        <v>35</v>
      </c>
      <c r="F21819">
        <v>1380267</v>
      </c>
      <c r="G21819" t="s">
        <v>1002</v>
      </c>
      <c r="H21819" s="21">
        <v>706.67</v>
      </c>
    </row>
    <row r="21820" spans="1:8" customFormat="1" x14ac:dyDescent="0.25">
      <c r="A21820" t="str">
        <f>"9429459"</f>
        <v>9429459</v>
      </c>
      <c r="B21820" t="s">
        <v>27666</v>
      </c>
      <c r="C21820" t="s">
        <v>87</v>
      </c>
      <c r="D21820" s="21" t="s">
        <v>34</v>
      </c>
      <c r="E21820" s="21" t="s">
        <v>71</v>
      </c>
      <c r="F21820">
        <v>8941100</v>
      </c>
      <c r="G21820" t="s">
        <v>4974</v>
      </c>
      <c r="H21820" s="21">
        <v>706.67</v>
      </c>
    </row>
    <row r="21821" spans="1:8" customFormat="1" x14ac:dyDescent="0.25">
      <c r="A21821" t="str">
        <f>"888381"</f>
        <v>888381</v>
      </c>
      <c r="B21821" t="s">
        <v>17368</v>
      </c>
      <c r="C21821" t="s">
        <v>55</v>
      </c>
      <c r="D21821" s="21" t="s">
        <v>34</v>
      </c>
      <c r="E21821" s="21" t="s">
        <v>254</v>
      </c>
      <c r="F21821">
        <v>6880110</v>
      </c>
      <c r="G21821" t="s">
        <v>4990</v>
      </c>
      <c r="H21821" s="21">
        <v>706.67</v>
      </c>
    </row>
    <row r="21822" spans="1:8" customFormat="1" x14ac:dyDescent="0.25">
      <c r="A21822" t="str">
        <f>"1411026"</f>
        <v>1411026</v>
      </c>
      <c r="B21822" t="s">
        <v>16416</v>
      </c>
      <c r="C21822" t="s">
        <v>55</v>
      </c>
      <c r="D21822" s="21" t="s">
        <v>34</v>
      </c>
      <c r="E21822" s="21" t="s">
        <v>71</v>
      </c>
      <c r="F21822">
        <v>9140127</v>
      </c>
      <c r="G21822" t="s">
        <v>6641</v>
      </c>
      <c r="H21822" s="21">
        <v>706.67</v>
      </c>
    </row>
    <row r="21823" spans="1:8" customFormat="1" x14ac:dyDescent="0.25">
      <c r="A21823" t="str">
        <f>"3421783"</f>
        <v>3421783</v>
      </c>
      <c r="B21823" t="s">
        <v>17118</v>
      </c>
      <c r="C21823" t="s">
        <v>58</v>
      </c>
      <c r="D21823" s="21" t="s">
        <v>34</v>
      </c>
      <c r="E21823" s="21" t="s">
        <v>35</v>
      </c>
      <c r="F21823">
        <v>11340018</v>
      </c>
      <c r="G21823" t="s">
        <v>2421</v>
      </c>
      <c r="H21823" s="21">
        <v>706.67</v>
      </c>
    </row>
    <row r="21824" spans="1:8" customFormat="1" x14ac:dyDescent="0.25">
      <c r="A21824" t="str">
        <f>"105614"</f>
        <v>105614</v>
      </c>
      <c r="B21824" t="s">
        <v>17430</v>
      </c>
      <c r="C21824" t="s">
        <v>55</v>
      </c>
      <c r="D21824" s="21" t="s">
        <v>34</v>
      </c>
      <c r="E21824" s="21" t="s">
        <v>35</v>
      </c>
      <c r="F21824">
        <v>6100015</v>
      </c>
      <c r="G21824" t="s">
        <v>6173</v>
      </c>
      <c r="H21824" s="21">
        <v>706.67</v>
      </c>
    </row>
    <row r="21825" spans="1:8" customFormat="1" x14ac:dyDescent="0.25">
      <c r="A21825" t="str">
        <f>"5929224"</f>
        <v>5929224</v>
      </c>
      <c r="B21825" t="s">
        <v>1738</v>
      </c>
      <c r="C21825" t="s">
        <v>5701</v>
      </c>
      <c r="D21825" s="21" t="s">
        <v>34</v>
      </c>
      <c r="E21825" s="21" t="s">
        <v>71</v>
      </c>
      <c r="F21825">
        <v>7590048</v>
      </c>
      <c r="G21825" t="s">
        <v>4608</v>
      </c>
      <c r="H21825" s="21">
        <v>706.67</v>
      </c>
    </row>
    <row r="21826" spans="1:8" customFormat="1" x14ac:dyDescent="0.25">
      <c r="A21826" t="str">
        <f>"4413789"</f>
        <v>4413789</v>
      </c>
      <c r="B21826" t="s">
        <v>16467</v>
      </c>
      <c r="C21826" t="s">
        <v>2305</v>
      </c>
      <c r="D21826" s="21" t="s">
        <v>34</v>
      </c>
      <c r="E21826" s="21" t="s">
        <v>1089</v>
      </c>
      <c r="F21826">
        <v>12440116</v>
      </c>
      <c r="G21826" t="s">
        <v>26673</v>
      </c>
      <c r="H21826" s="21">
        <v>706.67</v>
      </c>
    </row>
    <row r="21827" spans="1:8" customFormat="1" x14ac:dyDescent="0.25">
      <c r="A21827" t="str">
        <f>"9514226"</f>
        <v>9514226</v>
      </c>
      <c r="B21827" t="s">
        <v>10514</v>
      </c>
      <c r="C21827" t="s">
        <v>412</v>
      </c>
      <c r="D21827" s="21" t="s">
        <v>34</v>
      </c>
      <c r="E21827" s="21" t="s">
        <v>254</v>
      </c>
      <c r="F21827">
        <v>11300004</v>
      </c>
      <c r="G21827" t="s">
        <v>758</v>
      </c>
      <c r="H21827" s="21">
        <v>706.67</v>
      </c>
    </row>
    <row r="21828" spans="1:8" customFormat="1" x14ac:dyDescent="0.25">
      <c r="A21828" t="str">
        <f>"6316643"</f>
        <v>6316643</v>
      </c>
      <c r="B21828" t="s">
        <v>22191</v>
      </c>
      <c r="C21828" t="s">
        <v>139</v>
      </c>
      <c r="D21828" s="21" t="s">
        <v>34</v>
      </c>
      <c r="E21828" s="21" t="s">
        <v>35</v>
      </c>
      <c r="F21828">
        <v>1630015</v>
      </c>
      <c r="G21828" t="s">
        <v>2097</v>
      </c>
      <c r="H21828" s="21">
        <v>706.67</v>
      </c>
    </row>
    <row r="21829" spans="1:8" customFormat="1" x14ac:dyDescent="0.25">
      <c r="A21829" t="str">
        <f>"2711958"</f>
        <v>2711958</v>
      </c>
      <c r="B21829" t="s">
        <v>2319</v>
      </c>
      <c r="C21829" t="s">
        <v>98</v>
      </c>
      <c r="D21829" s="21" t="s">
        <v>34</v>
      </c>
      <c r="E21829" s="21" t="s">
        <v>71</v>
      </c>
      <c r="F21829">
        <v>9270138</v>
      </c>
      <c r="G21829" t="s">
        <v>6112</v>
      </c>
      <c r="H21829" s="21">
        <v>706.67</v>
      </c>
    </row>
    <row r="21830" spans="1:8" customFormat="1" x14ac:dyDescent="0.25">
      <c r="A21830" t="str">
        <f>"5936840"</f>
        <v>5936840</v>
      </c>
      <c r="B21830" t="s">
        <v>17399</v>
      </c>
      <c r="C21830" t="s">
        <v>33</v>
      </c>
      <c r="D21830" s="21" t="s">
        <v>34</v>
      </c>
      <c r="E21830" s="21" t="s">
        <v>35</v>
      </c>
      <c r="F21830">
        <v>7590123</v>
      </c>
      <c r="G21830" t="s">
        <v>85</v>
      </c>
      <c r="H21830" s="21">
        <v>706.67</v>
      </c>
    </row>
    <row r="21831" spans="1:8" customFormat="1" x14ac:dyDescent="0.25">
      <c r="A21831" t="str">
        <f>"2515038"</f>
        <v>2515038</v>
      </c>
      <c r="B21831" t="s">
        <v>16786</v>
      </c>
      <c r="C21831" t="s">
        <v>109</v>
      </c>
      <c r="D21831" s="21" t="s">
        <v>34</v>
      </c>
      <c r="E21831" s="21" t="s">
        <v>71</v>
      </c>
      <c r="F21831">
        <v>2250193</v>
      </c>
      <c r="G21831" t="s">
        <v>2584</v>
      </c>
      <c r="H21831" s="21">
        <v>706.67</v>
      </c>
    </row>
    <row r="21832" spans="1:8" customFormat="1" x14ac:dyDescent="0.25">
      <c r="A21832" t="str">
        <f>"4439320"</f>
        <v>4439320</v>
      </c>
      <c r="B21832" t="s">
        <v>1349</v>
      </c>
      <c r="C21832" t="s">
        <v>428</v>
      </c>
      <c r="D21832" s="21" t="s">
        <v>34</v>
      </c>
      <c r="E21832" s="21" t="s">
        <v>71</v>
      </c>
      <c r="F21832">
        <v>12440127</v>
      </c>
      <c r="G21832" t="s">
        <v>7692</v>
      </c>
      <c r="H21832" s="21">
        <v>706.67</v>
      </c>
    </row>
    <row r="21833" spans="1:8" customFormat="1" x14ac:dyDescent="0.25">
      <c r="A21833" t="str">
        <f>"695121"</f>
        <v>695121</v>
      </c>
      <c r="B21833" t="s">
        <v>17162</v>
      </c>
      <c r="C21833" t="s">
        <v>2806</v>
      </c>
      <c r="D21833" s="21" t="s">
        <v>34</v>
      </c>
      <c r="E21833" s="21" t="s">
        <v>1089</v>
      </c>
      <c r="F21833">
        <v>1690013</v>
      </c>
      <c r="G21833" t="s">
        <v>26900</v>
      </c>
      <c r="H21833" s="21">
        <v>706.67</v>
      </c>
    </row>
    <row r="21834" spans="1:8" customFormat="1" x14ac:dyDescent="0.25">
      <c r="A21834" t="str">
        <f>"3325676"</f>
        <v>3325676</v>
      </c>
      <c r="B21834" t="s">
        <v>18983</v>
      </c>
      <c r="C21834" t="s">
        <v>33</v>
      </c>
      <c r="D21834" s="21" t="s">
        <v>34</v>
      </c>
      <c r="E21834" s="21" t="s">
        <v>35</v>
      </c>
      <c r="F21834">
        <v>10330129</v>
      </c>
      <c r="G21834" t="s">
        <v>5977</v>
      </c>
      <c r="H21834" s="21">
        <v>706.67</v>
      </c>
    </row>
    <row r="21835" spans="1:8" customFormat="1" x14ac:dyDescent="0.25">
      <c r="A21835" t="str">
        <f>"759521"</f>
        <v>759521</v>
      </c>
      <c r="B21835" t="s">
        <v>8524</v>
      </c>
      <c r="C21835" t="s">
        <v>55</v>
      </c>
      <c r="D21835" s="21" t="s">
        <v>34</v>
      </c>
      <c r="E21835" s="21" t="s">
        <v>71</v>
      </c>
      <c r="F21835">
        <v>11650034</v>
      </c>
      <c r="G21835" t="s">
        <v>1989</v>
      </c>
      <c r="H21835" s="21">
        <v>706.54</v>
      </c>
    </row>
    <row r="21836" spans="1:8" customFormat="1" x14ac:dyDescent="0.25">
      <c r="A21836" t="str">
        <f>"4437163"</f>
        <v>4437163</v>
      </c>
      <c r="B21836" t="s">
        <v>13676</v>
      </c>
      <c r="C21836" t="s">
        <v>253</v>
      </c>
      <c r="D21836" s="21" t="s">
        <v>34</v>
      </c>
      <c r="E21836" s="21" t="s">
        <v>35</v>
      </c>
      <c r="F21836">
        <v>12440092</v>
      </c>
      <c r="G21836" t="s">
        <v>8475</v>
      </c>
      <c r="H21836" s="21">
        <v>706.42</v>
      </c>
    </row>
    <row r="21837" spans="1:8" customFormat="1" x14ac:dyDescent="0.25">
      <c r="A21837" t="str">
        <f>"4514345"</f>
        <v>4514345</v>
      </c>
      <c r="B21837" t="s">
        <v>4493</v>
      </c>
      <c r="C21837" t="s">
        <v>2907</v>
      </c>
      <c r="D21837" s="21" t="s">
        <v>34</v>
      </c>
      <c r="E21837" s="21" t="s">
        <v>71</v>
      </c>
      <c r="F21837">
        <v>4450184</v>
      </c>
      <c r="G21837" t="s">
        <v>3956</v>
      </c>
      <c r="H21837" s="21">
        <v>706.42</v>
      </c>
    </row>
    <row r="21838" spans="1:8" customFormat="1" x14ac:dyDescent="0.25">
      <c r="A21838" t="str">
        <f>"3416654"</f>
        <v>3416654</v>
      </c>
      <c r="B21838" t="s">
        <v>15991</v>
      </c>
      <c r="C21838" t="s">
        <v>293</v>
      </c>
      <c r="D21838" s="21" t="s">
        <v>34</v>
      </c>
      <c r="E21838" s="21" t="s">
        <v>71</v>
      </c>
      <c r="F21838">
        <v>11340067</v>
      </c>
      <c r="G21838" t="s">
        <v>2895</v>
      </c>
      <c r="H21838" s="21">
        <v>706.42</v>
      </c>
    </row>
    <row r="21839" spans="1:8" customFormat="1" x14ac:dyDescent="0.25">
      <c r="A21839" t="str">
        <f>"396642"</f>
        <v>396642</v>
      </c>
      <c r="B21839" t="s">
        <v>18996</v>
      </c>
      <c r="C21839" t="s">
        <v>1025</v>
      </c>
      <c r="D21839" s="21" t="s">
        <v>34</v>
      </c>
      <c r="E21839" s="21" t="s">
        <v>35</v>
      </c>
      <c r="F21839">
        <v>2390022</v>
      </c>
      <c r="G21839" t="s">
        <v>17032</v>
      </c>
      <c r="H21839" s="21">
        <v>706.42</v>
      </c>
    </row>
    <row r="21840" spans="1:8" customFormat="1" x14ac:dyDescent="0.25">
      <c r="A21840" t="str">
        <f>"675633"</f>
        <v>675633</v>
      </c>
      <c r="B21840" t="s">
        <v>14711</v>
      </c>
      <c r="C21840" t="s">
        <v>547</v>
      </c>
      <c r="D21840" s="21" t="s">
        <v>34</v>
      </c>
      <c r="E21840" s="21" t="s">
        <v>71</v>
      </c>
      <c r="F21840">
        <v>6670041</v>
      </c>
      <c r="G21840" t="s">
        <v>1971</v>
      </c>
      <c r="H21840" s="21">
        <v>706.42</v>
      </c>
    </row>
    <row r="21841" spans="1:8" customFormat="1" x14ac:dyDescent="0.25">
      <c r="A21841" t="str">
        <f>"2214276"</f>
        <v>2214276</v>
      </c>
      <c r="B21841" t="s">
        <v>6862</v>
      </c>
      <c r="C21841" t="s">
        <v>763</v>
      </c>
      <c r="D21841" s="21" t="s">
        <v>34</v>
      </c>
      <c r="E21841" s="21" t="s">
        <v>35</v>
      </c>
      <c r="F21841">
        <v>3220139</v>
      </c>
      <c r="G21841" t="s">
        <v>27114</v>
      </c>
      <c r="H21841" s="21">
        <v>706.42</v>
      </c>
    </row>
    <row r="21842" spans="1:8" customFormat="1" x14ac:dyDescent="0.25">
      <c r="A21842" t="str">
        <f>"5323123"</f>
        <v>5323123</v>
      </c>
      <c r="B21842" t="s">
        <v>3582</v>
      </c>
      <c r="C21842" t="s">
        <v>926</v>
      </c>
      <c r="D21842" s="21" t="s">
        <v>34</v>
      </c>
      <c r="E21842" s="21" t="s">
        <v>35</v>
      </c>
      <c r="F21842">
        <v>12530010</v>
      </c>
      <c r="G21842" t="s">
        <v>7994</v>
      </c>
      <c r="H21842" s="21">
        <v>706.42</v>
      </c>
    </row>
    <row r="21843" spans="1:8" customFormat="1" x14ac:dyDescent="0.25">
      <c r="A21843" t="str">
        <f>"6227826"</f>
        <v>6227826</v>
      </c>
      <c r="B21843" t="s">
        <v>2218</v>
      </c>
      <c r="C21843" t="s">
        <v>2520</v>
      </c>
      <c r="D21843" s="21" t="s">
        <v>34</v>
      </c>
      <c r="E21843" s="21" t="s">
        <v>71</v>
      </c>
      <c r="F21843">
        <v>7620046</v>
      </c>
      <c r="G21843" t="s">
        <v>242</v>
      </c>
      <c r="H21843" s="21">
        <v>706.29</v>
      </c>
    </row>
    <row r="21844" spans="1:8" customFormat="1" x14ac:dyDescent="0.25">
      <c r="A21844" t="str">
        <f>"788826"</f>
        <v>788826</v>
      </c>
      <c r="B21844" t="s">
        <v>18781</v>
      </c>
      <c r="C21844" t="s">
        <v>1110</v>
      </c>
      <c r="D21844" s="21" t="s">
        <v>34</v>
      </c>
      <c r="E21844" s="21" t="s">
        <v>254</v>
      </c>
      <c r="F21844">
        <v>8780568</v>
      </c>
      <c r="G21844" t="s">
        <v>5279</v>
      </c>
      <c r="H21844" s="21">
        <v>706.29</v>
      </c>
    </row>
    <row r="21845" spans="1:8" customFormat="1" x14ac:dyDescent="0.25">
      <c r="A21845" t="str">
        <f>"7511625"</f>
        <v>7511625</v>
      </c>
      <c r="B21845" t="s">
        <v>4834</v>
      </c>
      <c r="C21845" t="s">
        <v>1110</v>
      </c>
      <c r="D21845" s="21" t="s">
        <v>34</v>
      </c>
      <c r="E21845" s="21" t="s">
        <v>1089</v>
      </c>
      <c r="F21845">
        <v>8750060</v>
      </c>
      <c r="G21845" t="s">
        <v>2821</v>
      </c>
      <c r="H21845" s="21">
        <v>706.29</v>
      </c>
    </row>
    <row r="21846" spans="1:8" customFormat="1" x14ac:dyDescent="0.25">
      <c r="A21846" t="str">
        <f>"085904"</f>
        <v>085904</v>
      </c>
      <c r="B21846" t="s">
        <v>18390</v>
      </c>
      <c r="C21846" t="s">
        <v>171</v>
      </c>
      <c r="D21846" s="21" t="s">
        <v>34</v>
      </c>
      <c r="E21846" s="21" t="s">
        <v>71</v>
      </c>
      <c r="F21846">
        <v>6080053</v>
      </c>
      <c r="G21846" t="s">
        <v>12951</v>
      </c>
      <c r="H21846" s="21">
        <v>706.17</v>
      </c>
    </row>
    <row r="21847" spans="1:8" customFormat="1" x14ac:dyDescent="0.25">
      <c r="A21847" t="str">
        <f>"7721893"</f>
        <v>7721893</v>
      </c>
      <c r="B21847" t="s">
        <v>17672</v>
      </c>
      <c r="C21847" t="s">
        <v>17673</v>
      </c>
      <c r="D21847" s="21" t="s">
        <v>34</v>
      </c>
      <c r="E21847" s="21" t="s">
        <v>71</v>
      </c>
      <c r="F21847">
        <v>8770911</v>
      </c>
      <c r="G21847" t="s">
        <v>4824</v>
      </c>
      <c r="H21847" s="21">
        <v>706.17</v>
      </c>
    </row>
    <row r="21848" spans="1:8" customFormat="1" x14ac:dyDescent="0.25">
      <c r="A21848" t="str">
        <f>"5973079"</f>
        <v>5973079</v>
      </c>
      <c r="B21848" t="s">
        <v>16419</v>
      </c>
      <c r="C21848" t="s">
        <v>130</v>
      </c>
      <c r="D21848" s="21" t="s">
        <v>34</v>
      </c>
      <c r="E21848" s="21" t="s">
        <v>71</v>
      </c>
      <c r="F21848">
        <v>7590075</v>
      </c>
      <c r="G21848" t="s">
        <v>6459</v>
      </c>
      <c r="H21848" s="21">
        <v>706.17</v>
      </c>
    </row>
    <row r="21849" spans="1:8" customFormat="1" x14ac:dyDescent="0.25">
      <c r="A21849" t="str">
        <f>"5949567"</f>
        <v>5949567</v>
      </c>
      <c r="B21849" t="s">
        <v>17139</v>
      </c>
      <c r="C21849" t="s">
        <v>114</v>
      </c>
      <c r="D21849" s="21" t="s">
        <v>34</v>
      </c>
      <c r="E21849" s="21" t="s">
        <v>71</v>
      </c>
      <c r="F21849">
        <v>7620046</v>
      </c>
      <c r="G21849" t="s">
        <v>242</v>
      </c>
      <c r="H21849" s="21">
        <v>706.17</v>
      </c>
    </row>
    <row r="21850" spans="1:8" customFormat="1" x14ac:dyDescent="0.25">
      <c r="A21850" t="str">
        <f>"8610320"</f>
        <v>8610320</v>
      </c>
      <c r="B21850" t="s">
        <v>9345</v>
      </c>
      <c r="C21850" t="s">
        <v>144</v>
      </c>
      <c r="D21850" s="21" t="s">
        <v>34</v>
      </c>
      <c r="E21850" s="21" t="s">
        <v>71</v>
      </c>
      <c r="F21850">
        <v>4370307</v>
      </c>
      <c r="G21850" t="s">
        <v>7652</v>
      </c>
      <c r="H21850" s="21">
        <v>706.17</v>
      </c>
    </row>
    <row r="21851" spans="1:8" customFormat="1" x14ac:dyDescent="0.25">
      <c r="A21851" t="str">
        <f>"5617881"</f>
        <v>5617881</v>
      </c>
      <c r="B21851" t="s">
        <v>8784</v>
      </c>
      <c r="C21851" t="s">
        <v>428</v>
      </c>
      <c r="D21851" s="21" t="s">
        <v>34</v>
      </c>
      <c r="E21851" s="21" t="s">
        <v>71</v>
      </c>
      <c r="F21851">
        <v>3560087</v>
      </c>
      <c r="G21851" t="s">
        <v>7767</v>
      </c>
      <c r="H21851" s="21">
        <v>706.17</v>
      </c>
    </row>
    <row r="21852" spans="1:8" customFormat="1" x14ac:dyDescent="0.25">
      <c r="A21852" t="str">
        <f>"0617781"</f>
        <v>0617781</v>
      </c>
      <c r="B21852" t="s">
        <v>4335</v>
      </c>
      <c r="C21852" t="s">
        <v>109</v>
      </c>
      <c r="D21852" s="21" t="s">
        <v>34</v>
      </c>
      <c r="E21852" s="21" t="s">
        <v>35</v>
      </c>
      <c r="F21852">
        <v>13060082</v>
      </c>
      <c r="G21852" t="s">
        <v>11729</v>
      </c>
      <c r="H21852" s="21">
        <v>706.17</v>
      </c>
    </row>
    <row r="21853" spans="1:8" customFormat="1" x14ac:dyDescent="0.25">
      <c r="A21853" t="str">
        <f>"021815"</f>
        <v>021815</v>
      </c>
      <c r="B21853" t="s">
        <v>2032</v>
      </c>
      <c r="C21853" t="s">
        <v>415</v>
      </c>
      <c r="D21853" s="21" t="s">
        <v>34</v>
      </c>
      <c r="E21853" s="21" t="s">
        <v>1089</v>
      </c>
      <c r="F21853">
        <v>7020009</v>
      </c>
      <c r="G21853" t="s">
        <v>3362</v>
      </c>
      <c r="H21853" s="21">
        <v>706.17</v>
      </c>
    </row>
    <row r="21854" spans="1:8" customFormat="1" x14ac:dyDescent="0.25">
      <c r="A21854" t="str">
        <f>"0616684"</f>
        <v>0616684</v>
      </c>
      <c r="B21854" t="s">
        <v>650</v>
      </c>
      <c r="C21854" t="s">
        <v>285</v>
      </c>
      <c r="D21854" s="21" t="s">
        <v>34</v>
      </c>
      <c r="E21854" s="21" t="s">
        <v>71</v>
      </c>
      <c r="F21854">
        <v>13060064</v>
      </c>
      <c r="G21854" t="s">
        <v>976</v>
      </c>
      <c r="H21854" s="21">
        <v>706.17</v>
      </c>
    </row>
    <row r="21855" spans="1:8" customFormat="1" x14ac:dyDescent="0.25">
      <c r="A21855" t="str">
        <f>"276132"</f>
        <v>276132</v>
      </c>
      <c r="B21855" t="s">
        <v>18962</v>
      </c>
      <c r="C21855" t="s">
        <v>1914</v>
      </c>
      <c r="D21855" s="21" t="s">
        <v>34</v>
      </c>
      <c r="E21855" s="21" t="s">
        <v>254</v>
      </c>
      <c r="F21855">
        <v>9270150</v>
      </c>
      <c r="G21855" t="s">
        <v>11661</v>
      </c>
      <c r="H21855" s="21">
        <v>706.17</v>
      </c>
    </row>
    <row r="21856" spans="1:8" customFormat="1" x14ac:dyDescent="0.25">
      <c r="A21856" t="str">
        <f>"4429056"</f>
        <v>4429056</v>
      </c>
      <c r="B21856" t="s">
        <v>16882</v>
      </c>
      <c r="C21856" t="s">
        <v>462</v>
      </c>
      <c r="D21856" s="21" t="s">
        <v>34</v>
      </c>
      <c r="E21856" s="21" t="s">
        <v>71</v>
      </c>
      <c r="F21856">
        <v>12440004</v>
      </c>
      <c r="G21856" t="s">
        <v>26530</v>
      </c>
      <c r="H21856" s="21">
        <v>706.17</v>
      </c>
    </row>
    <row r="21857" spans="1:8" customFormat="1" x14ac:dyDescent="0.25">
      <c r="A21857" t="str">
        <f>"2930047"</f>
        <v>2930047</v>
      </c>
      <c r="B21857" t="s">
        <v>9049</v>
      </c>
      <c r="C21857" t="s">
        <v>3010</v>
      </c>
      <c r="D21857" s="21" t="s">
        <v>34</v>
      </c>
      <c r="E21857" s="21" t="s">
        <v>1089</v>
      </c>
      <c r="F21857">
        <v>3290090</v>
      </c>
      <c r="G21857" t="s">
        <v>1390</v>
      </c>
      <c r="H21857" s="21">
        <v>706.17</v>
      </c>
    </row>
    <row r="21858" spans="1:8" customFormat="1" x14ac:dyDescent="0.25">
      <c r="A21858" t="str">
        <f>"92756"</f>
        <v>92756</v>
      </c>
      <c r="B21858" t="s">
        <v>5609</v>
      </c>
      <c r="C21858" t="s">
        <v>412</v>
      </c>
      <c r="D21858" s="21" t="s">
        <v>34</v>
      </c>
      <c r="E21858" s="21" t="s">
        <v>254</v>
      </c>
      <c r="F21858">
        <v>8920076</v>
      </c>
      <c r="G21858" t="s">
        <v>2281</v>
      </c>
      <c r="H21858" s="21">
        <v>706.17</v>
      </c>
    </row>
    <row r="21859" spans="1:8" customFormat="1" x14ac:dyDescent="0.25">
      <c r="A21859" t="str">
        <f>"5914253"</f>
        <v>5914253</v>
      </c>
      <c r="B21859" t="s">
        <v>17226</v>
      </c>
      <c r="C21859" t="s">
        <v>2520</v>
      </c>
      <c r="D21859" s="21" t="s">
        <v>34</v>
      </c>
      <c r="E21859" s="21" t="s">
        <v>1089</v>
      </c>
      <c r="F21859">
        <v>7590033</v>
      </c>
      <c r="G21859" t="s">
        <v>6329</v>
      </c>
      <c r="H21859" s="21">
        <v>706.17</v>
      </c>
    </row>
    <row r="21860" spans="1:8" customFormat="1" x14ac:dyDescent="0.25">
      <c r="A21860" t="str">
        <f>"443593"</f>
        <v>443593</v>
      </c>
      <c r="B21860" t="s">
        <v>17051</v>
      </c>
      <c r="C21860" t="s">
        <v>3648</v>
      </c>
      <c r="D21860" s="21" t="s">
        <v>34</v>
      </c>
      <c r="E21860" s="21" t="s">
        <v>1089</v>
      </c>
      <c r="F21860">
        <v>12440038</v>
      </c>
      <c r="G21860" t="s">
        <v>2057</v>
      </c>
      <c r="H21860" s="21">
        <v>706.17</v>
      </c>
    </row>
    <row r="21861" spans="1:8" customFormat="1" x14ac:dyDescent="0.25">
      <c r="A21861" t="str">
        <f>"58116"</f>
        <v>58116</v>
      </c>
      <c r="B21861" t="s">
        <v>16169</v>
      </c>
      <c r="C21861" t="s">
        <v>3073</v>
      </c>
      <c r="D21861" s="21" t="s">
        <v>34</v>
      </c>
      <c r="E21861" s="21" t="s">
        <v>254</v>
      </c>
      <c r="F21861">
        <v>2580007</v>
      </c>
      <c r="G21861" t="s">
        <v>1503</v>
      </c>
      <c r="H21861" s="21">
        <v>706.17</v>
      </c>
    </row>
    <row r="21862" spans="1:8" customFormat="1" x14ac:dyDescent="0.25">
      <c r="A21862" t="str">
        <f>"951017"</f>
        <v>951017</v>
      </c>
      <c r="B21862" t="s">
        <v>15856</v>
      </c>
      <c r="C21862" t="s">
        <v>3648</v>
      </c>
      <c r="D21862" s="21" t="s">
        <v>34</v>
      </c>
      <c r="E21862" s="21" t="s">
        <v>1089</v>
      </c>
      <c r="F21862">
        <v>8920140</v>
      </c>
      <c r="G21862" t="s">
        <v>3762</v>
      </c>
      <c r="H21862" s="21">
        <v>706.17</v>
      </c>
    </row>
    <row r="21863" spans="1:8" customFormat="1" x14ac:dyDescent="0.25">
      <c r="A21863" t="str">
        <f>"4452605"</f>
        <v>4452605</v>
      </c>
      <c r="B21863" t="s">
        <v>18688</v>
      </c>
      <c r="C21863" t="s">
        <v>269</v>
      </c>
      <c r="D21863" s="21" t="s">
        <v>34</v>
      </c>
      <c r="E21863" s="21" t="s">
        <v>71</v>
      </c>
      <c r="F21863">
        <v>12440274</v>
      </c>
      <c r="G21863" t="s">
        <v>3459</v>
      </c>
      <c r="H21863" s="21">
        <v>706.17</v>
      </c>
    </row>
    <row r="21864" spans="1:8" customFormat="1" x14ac:dyDescent="0.25">
      <c r="A21864" t="str">
        <f>"838900"</f>
        <v>838900</v>
      </c>
      <c r="B21864" t="s">
        <v>2434</v>
      </c>
      <c r="C21864" t="s">
        <v>486</v>
      </c>
      <c r="D21864" s="21" t="s">
        <v>34</v>
      </c>
      <c r="E21864" s="21" t="s">
        <v>35</v>
      </c>
      <c r="F21864">
        <v>13830085</v>
      </c>
      <c r="G21864" t="s">
        <v>478</v>
      </c>
      <c r="H21864" s="21">
        <v>706.17</v>
      </c>
    </row>
    <row r="21865" spans="1:8" customFormat="1" x14ac:dyDescent="0.25">
      <c r="A21865" t="str">
        <f>"5319478"</f>
        <v>5319478</v>
      </c>
      <c r="B21865" t="s">
        <v>2842</v>
      </c>
      <c r="C21865" t="s">
        <v>3784</v>
      </c>
      <c r="D21865" s="21" t="s">
        <v>34</v>
      </c>
      <c r="E21865" s="21" t="s">
        <v>71</v>
      </c>
      <c r="F21865">
        <v>12530079</v>
      </c>
      <c r="G21865" t="s">
        <v>3090</v>
      </c>
      <c r="H21865" s="21">
        <v>706.17</v>
      </c>
    </row>
    <row r="21866" spans="1:8" customFormat="1" x14ac:dyDescent="0.25">
      <c r="A21866" t="str">
        <f>"2926781"</f>
        <v>2926781</v>
      </c>
      <c r="B21866" t="s">
        <v>14409</v>
      </c>
      <c r="C21866" t="s">
        <v>1025</v>
      </c>
      <c r="D21866" s="21" t="s">
        <v>34</v>
      </c>
      <c r="E21866" s="21" t="s">
        <v>71</v>
      </c>
      <c r="F21866">
        <v>3290228</v>
      </c>
      <c r="G21866" t="s">
        <v>8738</v>
      </c>
      <c r="H21866" s="21">
        <v>706.17</v>
      </c>
    </row>
    <row r="21867" spans="1:8" customFormat="1" x14ac:dyDescent="0.25">
      <c r="A21867" t="str">
        <f>"3339458"</f>
        <v>3339458</v>
      </c>
      <c r="B21867" t="s">
        <v>19198</v>
      </c>
      <c r="C21867" t="s">
        <v>33</v>
      </c>
      <c r="D21867" s="21" t="s">
        <v>34</v>
      </c>
      <c r="E21867" s="21" t="s">
        <v>35</v>
      </c>
      <c r="F21867">
        <v>10330011</v>
      </c>
      <c r="G21867" t="s">
        <v>1789</v>
      </c>
      <c r="H21867" s="21">
        <v>706.17</v>
      </c>
    </row>
    <row r="21868" spans="1:8" customFormat="1" x14ac:dyDescent="0.25">
      <c r="A21868" t="str">
        <f>"7847735"</f>
        <v>7847735</v>
      </c>
      <c r="B21868" t="s">
        <v>16269</v>
      </c>
      <c r="C21868" t="s">
        <v>16270</v>
      </c>
      <c r="D21868" s="21" t="s">
        <v>34</v>
      </c>
      <c r="E21868" s="21" t="s">
        <v>254</v>
      </c>
      <c r="F21868">
        <v>8780890</v>
      </c>
      <c r="G21868" t="s">
        <v>6456</v>
      </c>
      <c r="H21868" s="21">
        <v>706.17</v>
      </c>
    </row>
    <row r="21869" spans="1:8" customFormat="1" x14ac:dyDescent="0.25">
      <c r="A21869" t="str">
        <f>"916193"</f>
        <v>916193</v>
      </c>
      <c r="B21869" t="s">
        <v>16894</v>
      </c>
      <c r="C21869" t="s">
        <v>1061</v>
      </c>
      <c r="D21869" s="21" t="s">
        <v>34</v>
      </c>
      <c r="E21869" s="21" t="s">
        <v>71</v>
      </c>
      <c r="F21869">
        <v>8910916</v>
      </c>
      <c r="G21869" t="s">
        <v>2251</v>
      </c>
      <c r="H21869" s="21">
        <v>705.92</v>
      </c>
    </row>
    <row r="21870" spans="1:8" customFormat="1" x14ac:dyDescent="0.25">
      <c r="A21870" t="str">
        <f>"2919540"</f>
        <v>2919540</v>
      </c>
      <c r="B21870" t="s">
        <v>17503</v>
      </c>
      <c r="C21870" t="s">
        <v>156</v>
      </c>
      <c r="D21870" s="21" t="s">
        <v>34</v>
      </c>
      <c r="E21870" s="21" t="s">
        <v>254</v>
      </c>
      <c r="F21870">
        <v>3290010</v>
      </c>
      <c r="G21870" t="s">
        <v>1453</v>
      </c>
      <c r="H21870" s="21">
        <v>705.92</v>
      </c>
    </row>
    <row r="21871" spans="1:8" customFormat="1" x14ac:dyDescent="0.25">
      <c r="A21871" t="str">
        <f>"5973074"</f>
        <v>5973074</v>
      </c>
      <c r="B21871" t="s">
        <v>20912</v>
      </c>
      <c r="C21871" t="s">
        <v>33</v>
      </c>
      <c r="D21871" s="21" t="s">
        <v>34</v>
      </c>
      <c r="E21871" s="21" t="s">
        <v>71</v>
      </c>
      <c r="F21871">
        <v>7590068</v>
      </c>
      <c r="G21871" t="s">
        <v>1005</v>
      </c>
      <c r="H21871" s="21">
        <v>705.92</v>
      </c>
    </row>
    <row r="21872" spans="1:8" customFormat="1" x14ac:dyDescent="0.25">
      <c r="A21872" t="str">
        <f>"3411229"</f>
        <v>3411229</v>
      </c>
      <c r="B21872" t="s">
        <v>27667</v>
      </c>
      <c r="C21872" t="s">
        <v>87</v>
      </c>
      <c r="D21872" s="21" t="s">
        <v>34</v>
      </c>
      <c r="E21872" s="21" t="s">
        <v>35</v>
      </c>
      <c r="F21872">
        <v>11820027</v>
      </c>
      <c r="G21872" t="s">
        <v>15324</v>
      </c>
      <c r="H21872" s="21">
        <v>705.92</v>
      </c>
    </row>
    <row r="21873" spans="1:8" customFormat="1" x14ac:dyDescent="0.25">
      <c r="A21873" t="str">
        <f>"7877460"</f>
        <v>7877460</v>
      </c>
      <c r="B21873" t="s">
        <v>14875</v>
      </c>
      <c r="C21873" t="s">
        <v>209</v>
      </c>
      <c r="D21873" s="21" t="s">
        <v>34</v>
      </c>
      <c r="E21873" s="21" t="s">
        <v>35</v>
      </c>
      <c r="F21873">
        <v>8780529</v>
      </c>
      <c r="G21873" t="s">
        <v>8624</v>
      </c>
      <c r="H21873" s="21">
        <v>705.79</v>
      </c>
    </row>
    <row r="21874" spans="1:8" customFormat="1" x14ac:dyDescent="0.25">
      <c r="A21874" t="str">
        <f>"3536691"</f>
        <v>3536691</v>
      </c>
      <c r="B21874" t="s">
        <v>2489</v>
      </c>
      <c r="C21874" t="s">
        <v>712</v>
      </c>
      <c r="D21874" s="21" t="s">
        <v>34</v>
      </c>
      <c r="E21874" s="21" t="s">
        <v>35</v>
      </c>
      <c r="F21874">
        <v>3350027</v>
      </c>
      <c r="G21874" t="s">
        <v>2760</v>
      </c>
      <c r="H21874" s="21">
        <v>705.79</v>
      </c>
    </row>
    <row r="21875" spans="1:8" customFormat="1" x14ac:dyDescent="0.25">
      <c r="A21875" t="str">
        <f>"51432"</f>
        <v>51432</v>
      </c>
      <c r="B21875" t="s">
        <v>232</v>
      </c>
      <c r="C21875" t="s">
        <v>55</v>
      </c>
      <c r="D21875" s="21" t="s">
        <v>34</v>
      </c>
      <c r="E21875" s="21" t="s">
        <v>71</v>
      </c>
      <c r="F21875">
        <v>6510071</v>
      </c>
      <c r="G21875" t="s">
        <v>3031</v>
      </c>
      <c r="H21875" s="21">
        <v>705.67</v>
      </c>
    </row>
    <row r="21876" spans="1:8" customFormat="1" x14ac:dyDescent="0.25">
      <c r="A21876" t="str">
        <f>"105239"</f>
        <v>105239</v>
      </c>
      <c r="B21876" t="s">
        <v>1882</v>
      </c>
      <c r="C21876" t="s">
        <v>249</v>
      </c>
      <c r="D21876" s="21" t="s">
        <v>34</v>
      </c>
      <c r="E21876" s="21" t="s">
        <v>71</v>
      </c>
      <c r="F21876">
        <v>6100016</v>
      </c>
      <c r="G21876" t="s">
        <v>7558</v>
      </c>
      <c r="H21876" s="21">
        <v>705.67</v>
      </c>
    </row>
    <row r="21877" spans="1:8" customFormat="1" x14ac:dyDescent="0.25">
      <c r="A21877" t="str">
        <f>"188415"</f>
        <v>188415</v>
      </c>
      <c r="B21877" t="s">
        <v>17329</v>
      </c>
      <c r="C21877" t="s">
        <v>139</v>
      </c>
      <c r="D21877" s="21" t="s">
        <v>34</v>
      </c>
      <c r="E21877" s="21" t="s">
        <v>35</v>
      </c>
      <c r="F21877">
        <v>4180732</v>
      </c>
      <c r="G21877" t="s">
        <v>14645</v>
      </c>
      <c r="H21877" s="21">
        <v>705.67</v>
      </c>
    </row>
    <row r="21878" spans="1:8" customFormat="1" x14ac:dyDescent="0.25">
      <c r="A21878" t="str">
        <f>"5016302"</f>
        <v>5016302</v>
      </c>
      <c r="B21878" t="s">
        <v>11253</v>
      </c>
      <c r="C21878" t="s">
        <v>62</v>
      </c>
      <c r="D21878" s="21" t="s">
        <v>34</v>
      </c>
      <c r="E21878" s="21" t="s">
        <v>35</v>
      </c>
      <c r="F21878">
        <v>9500121</v>
      </c>
      <c r="G21878" t="s">
        <v>7360</v>
      </c>
      <c r="H21878" s="21">
        <v>705.67</v>
      </c>
    </row>
    <row r="21879" spans="1:8" customFormat="1" x14ac:dyDescent="0.25">
      <c r="A21879" t="str">
        <f>"189152"</f>
        <v>189152</v>
      </c>
      <c r="B21879" t="s">
        <v>1939</v>
      </c>
      <c r="C21879" t="s">
        <v>19087</v>
      </c>
      <c r="D21879" s="21" t="s">
        <v>34</v>
      </c>
      <c r="E21879" s="21" t="s">
        <v>35</v>
      </c>
      <c r="F21879">
        <v>4180696</v>
      </c>
      <c r="G21879" t="s">
        <v>3018</v>
      </c>
      <c r="H21879" s="21">
        <v>705.67</v>
      </c>
    </row>
    <row r="21880" spans="1:8" customFormat="1" x14ac:dyDescent="0.25">
      <c r="A21880" t="str">
        <f>"2913582"</f>
        <v>2913582</v>
      </c>
      <c r="B21880" t="s">
        <v>17098</v>
      </c>
      <c r="C21880" t="s">
        <v>2520</v>
      </c>
      <c r="D21880" s="21" t="s">
        <v>34</v>
      </c>
      <c r="E21880" s="21" t="s">
        <v>254</v>
      </c>
      <c r="F21880">
        <v>3290023</v>
      </c>
      <c r="G21880" t="s">
        <v>3883</v>
      </c>
      <c r="H21880" s="21">
        <v>705.67</v>
      </c>
    </row>
    <row r="21881" spans="1:8" customFormat="1" x14ac:dyDescent="0.25">
      <c r="A21881" t="str">
        <f>"5958537"</f>
        <v>5958537</v>
      </c>
      <c r="B21881" t="s">
        <v>108</v>
      </c>
      <c r="C21881" t="s">
        <v>233</v>
      </c>
      <c r="D21881" s="21" t="s">
        <v>34</v>
      </c>
      <c r="E21881" s="21" t="s">
        <v>71</v>
      </c>
      <c r="F21881">
        <v>7590068</v>
      </c>
      <c r="G21881" t="s">
        <v>1005</v>
      </c>
      <c r="H21881" s="21">
        <v>705.67</v>
      </c>
    </row>
    <row r="21882" spans="1:8" customFormat="1" x14ac:dyDescent="0.25">
      <c r="A21882" t="str">
        <f>"5934214"</f>
        <v>5934214</v>
      </c>
      <c r="B21882" t="s">
        <v>15085</v>
      </c>
      <c r="C21882" t="s">
        <v>239</v>
      </c>
      <c r="D21882" s="21" t="s">
        <v>34</v>
      </c>
      <c r="E21882" s="21" t="s">
        <v>254</v>
      </c>
      <c r="F21882">
        <v>7590194</v>
      </c>
      <c r="G21882" t="s">
        <v>460</v>
      </c>
      <c r="H21882" s="21">
        <v>705.67</v>
      </c>
    </row>
    <row r="21883" spans="1:8" customFormat="1" x14ac:dyDescent="0.25">
      <c r="A21883" t="str">
        <f>"088868"</f>
        <v>088868</v>
      </c>
      <c r="B21883" t="s">
        <v>16919</v>
      </c>
      <c r="C21883" t="s">
        <v>249</v>
      </c>
      <c r="D21883" s="21" t="s">
        <v>34</v>
      </c>
      <c r="E21883" s="21" t="s">
        <v>254</v>
      </c>
      <c r="F21883">
        <v>6080050</v>
      </c>
      <c r="G21883" t="s">
        <v>7840</v>
      </c>
      <c r="H21883" s="21">
        <v>705.67</v>
      </c>
    </row>
    <row r="21884" spans="1:8" customFormat="1" x14ac:dyDescent="0.25">
      <c r="A21884" t="str">
        <f>"6013931"</f>
        <v>6013931</v>
      </c>
      <c r="B21884" t="s">
        <v>786</v>
      </c>
      <c r="C21884" t="s">
        <v>263</v>
      </c>
      <c r="D21884" s="21" t="s">
        <v>34</v>
      </c>
      <c r="E21884" s="21" t="s">
        <v>71</v>
      </c>
      <c r="F21884">
        <v>7600054</v>
      </c>
      <c r="G21884" t="s">
        <v>1352</v>
      </c>
      <c r="H21884" s="21">
        <v>705.67</v>
      </c>
    </row>
    <row r="21885" spans="1:8" customFormat="1" x14ac:dyDescent="0.25">
      <c r="A21885" t="str">
        <f>"746103"</f>
        <v>746103</v>
      </c>
      <c r="B21885" t="s">
        <v>2012</v>
      </c>
      <c r="C21885" t="s">
        <v>1665</v>
      </c>
      <c r="D21885" s="21" t="s">
        <v>34</v>
      </c>
      <c r="E21885" s="21" t="s">
        <v>71</v>
      </c>
      <c r="F21885">
        <v>1740080</v>
      </c>
      <c r="G21885" t="s">
        <v>12809</v>
      </c>
      <c r="H21885" s="21">
        <v>705.67</v>
      </c>
    </row>
    <row r="21886" spans="1:8" customFormat="1" x14ac:dyDescent="0.25">
      <c r="A21886" t="str">
        <f>"6019696"</f>
        <v>6019696</v>
      </c>
      <c r="B21886" t="s">
        <v>7016</v>
      </c>
      <c r="C21886" t="s">
        <v>139</v>
      </c>
      <c r="D21886" s="21" t="s">
        <v>34</v>
      </c>
      <c r="E21886" s="21" t="s">
        <v>35</v>
      </c>
      <c r="F21886">
        <v>7600044</v>
      </c>
      <c r="G21886" t="s">
        <v>3411</v>
      </c>
      <c r="H21886" s="21">
        <v>705.67</v>
      </c>
    </row>
    <row r="21887" spans="1:8" customFormat="1" x14ac:dyDescent="0.25">
      <c r="A21887" t="str">
        <f>"308439"</f>
        <v>308439</v>
      </c>
      <c r="B21887" t="s">
        <v>3930</v>
      </c>
      <c r="C21887" t="s">
        <v>43</v>
      </c>
      <c r="D21887" s="21" t="s">
        <v>34</v>
      </c>
      <c r="E21887" s="21" t="s">
        <v>35</v>
      </c>
      <c r="F21887">
        <v>11300008</v>
      </c>
      <c r="G21887" t="s">
        <v>3165</v>
      </c>
      <c r="H21887" s="21">
        <v>705.67</v>
      </c>
    </row>
    <row r="21888" spans="1:8" customFormat="1" x14ac:dyDescent="0.25">
      <c r="A21888" t="str">
        <f>"3514022"</f>
        <v>3514022</v>
      </c>
      <c r="B21888" t="s">
        <v>17850</v>
      </c>
      <c r="C21888" t="s">
        <v>817</v>
      </c>
      <c r="D21888" s="21" t="s">
        <v>34</v>
      </c>
      <c r="E21888" s="21" t="s">
        <v>254</v>
      </c>
      <c r="F21888">
        <v>3350160</v>
      </c>
      <c r="G21888" t="s">
        <v>13252</v>
      </c>
      <c r="H21888" s="21">
        <v>705.67</v>
      </c>
    </row>
    <row r="21889" spans="1:8" customFormat="1" x14ac:dyDescent="0.25">
      <c r="A21889" t="str">
        <f>"5946730"</f>
        <v>5946730</v>
      </c>
      <c r="B21889" t="s">
        <v>17633</v>
      </c>
      <c r="C21889" t="s">
        <v>267</v>
      </c>
      <c r="D21889" s="21" t="s">
        <v>34</v>
      </c>
      <c r="E21889" s="21" t="s">
        <v>1089</v>
      </c>
      <c r="F21889">
        <v>7590347</v>
      </c>
      <c r="G21889" t="s">
        <v>6041</v>
      </c>
      <c r="H21889" s="21">
        <v>705.67</v>
      </c>
    </row>
    <row r="21890" spans="1:8" customFormat="1" x14ac:dyDescent="0.25">
      <c r="A21890" t="str">
        <f>"3526822"</f>
        <v>3526822</v>
      </c>
      <c r="B21890" t="s">
        <v>2317</v>
      </c>
      <c r="C21890" t="s">
        <v>4721</v>
      </c>
      <c r="D21890" s="21" t="s">
        <v>34</v>
      </c>
      <c r="E21890" s="21" t="s">
        <v>254</v>
      </c>
      <c r="F21890">
        <v>3350209</v>
      </c>
      <c r="G21890" t="s">
        <v>3023</v>
      </c>
      <c r="H21890" s="21">
        <v>705.67</v>
      </c>
    </row>
    <row r="21891" spans="1:8" customFormat="1" x14ac:dyDescent="0.25">
      <c r="A21891" t="str">
        <f>"259906"</f>
        <v>259906</v>
      </c>
      <c r="B21891" t="s">
        <v>6997</v>
      </c>
      <c r="C21891" t="s">
        <v>87</v>
      </c>
      <c r="D21891" s="21" t="s">
        <v>34</v>
      </c>
      <c r="E21891" s="21" t="s">
        <v>35</v>
      </c>
      <c r="F21891">
        <v>2250186</v>
      </c>
      <c r="G21891" t="s">
        <v>7290</v>
      </c>
      <c r="H21891" s="21">
        <v>705.67</v>
      </c>
    </row>
    <row r="21892" spans="1:8" customFormat="1" x14ac:dyDescent="0.25">
      <c r="A21892" t="str">
        <f>"5929945"</f>
        <v>5929945</v>
      </c>
      <c r="B21892" t="s">
        <v>18710</v>
      </c>
      <c r="C21892" t="s">
        <v>269</v>
      </c>
      <c r="D21892" s="21" t="s">
        <v>34</v>
      </c>
      <c r="E21892" s="21" t="s">
        <v>71</v>
      </c>
      <c r="F21892">
        <v>7590057</v>
      </c>
      <c r="G21892" t="s">
        <v>7575</v>
      </c>
      <c r="H21892" s="21">
        <v>705.67</v>
      </c>
    </row>
    <row r="21893" spans="1:8" customFormat="1" x14ac:dyDescent="0.25">
      <c r="A21893" t="str">
        <f>"3818379"</f>
        <v>3818379</v>
      </c>
      <c r="B21893" t="s">
        <v>890</v>
      </c>
      <c r="C21893" t="s">
        <v>65</v>
      </c>
      <c r="D21893" s="21" t="s">
        <v>34</v>
      </c>
      <c r="E21893" s="21" t="s">
        <v>71</v>
      </c>
      <c r="F21893">
        <v>10170051</v>
      </c>
      <c r="G21893" t="s">
        <v>826</v>
      </c>
      <c r="H21893" s="21">
        <v>705.67</v>
      </c>
    </row>
    <row r="21894" spans="1:8" customFormat="1" x14ac:dyDescent="0.25">
      <c r="A21894" t="str">
        <f>"8514437"</f>
        <v>8514437</v>
      </c>
      <c r="B21894" t="s">
        <v>6137</v>
      </c>
      <c r="C21894" t="s">
        <v>209</v>
      </c>
      <c r="D21894" s="21" t="s">
        <v>34</v>
      </c>
      <c r="E21894" s="21" t="s">
        <v>254</v>
      </c>
      <c r="F21894">
        <v>12850046</v>
      </c>
      <c r="G21894" t="s">
        <v>3136</v>
      </c>
      <c r="H21894" s="21">
        <v>705.67</v>
      </c>
    </row>
    <row r="21895" spans="1:8" customFormat="1" x14ac:dyDescent="0.25">
      <c r="A21895" t="str">
        <f>"7711586"</f>
        <v>7711586</v>
      </c>
      <c r="B21895" t="s">
        <v>15728</v>
      </c>
      <c r="C21895" t="s">
        <v>328</v>
      </c>
      <c r="D21895" s="21" t="s">
        <v>34</v>
      </c>
      <c r="E21895" s="21" t="s">
        <v>35</v>
      </c>
      <c r="F21895">
        <v>8771201</v>
      </c>
      <c r="G21895" t="s">
        <v>9153</v>
      </c>
      <c r="H21895" s="21">
        <v>705.54</v>
      </c>
    </row>
    <row r="21896" spans="1:8" customFormat="1" x14ac:dyDescent="0.25">
      <c r="A21896" t="str">
        <f>"416330"</f>
        <v>416330</v>
      </c>
      <c r="B21896" t="s">
        <v>16174</v>
      </c>
      <c r="C21896" t="s">
        <v>4721</v>
      </c>
      <c r="D21896" s="21" t="s">
        <v>34</v>
      </c>
      <c r="E21896" s="21" t="s">
        <v>1089</v>
      </c>
      <c r="F21896">
        <v>4410466</v>
      </c>
      <c r="G21896" t="s">
        <v>678</v>
      </c>
      <c r="H21896" s="21">
        <v>705.54</v>
      </c>
    </row>
    <row r="21897" spans="1:8" customFormat="1" x14ac:dyDescent="0.25">
      <c r="A21897" t="str">
        <f>"417351"</f>
        <v>417351</v>
      </c>
      <c r="B21897" t="s">
        <v>17124</v>
      </c>
      <c r="C21897" t="s">
        <v>65</v>
      </c>
      <c r="D21897" s="21" t="s">
        <v>34</v>
      </c>
      <c r="E21897" s="21" t="s">
        <v>71</v>
      </c>
      <c r="F21897">
        <v>4410612</v>
      </c>
      <c r="G21897" t="s">
        <v>815</v>
      </c>
      <c r="H21897" s="21">
        <v>705.54</v>
      </c>
    </row>
    <row r="21898" spans="1:8" customFormat="1" x14ac:dyDescent="0.25">
      <c r="A21898" t="str">
        <f>"3343717"</f>
        <v>3343717</v>
      </c>
      <c r="B21898" t="s">
        <v>19814</v>
      </c>
      <c r="C21898" t="s">
        <v>6626</v>
      </c>
      <c r="D21898" s="21" t="s">
        <v>34</v>
      </c>
      <c r="E21898" s="21" t="s">
        <v>35</v>
      </c>
      <c r="F21898">
        <v>10330078</v>
      </c>
      <c r="G21898" t="s">
        <v>7597</v>
      </c>
      <c r="H21898" s="21">
        <v>705.42</v>
      </c>
    </row>
    <row r="21899" spans="1:8" customFormat="1" x14ac:dyDescent="0.25">
      <c r="A21899" t="str">
        <f>"4452905"</f>
        <v>4452905</v>
      </c>
      <c r="B21899" t="s">
        <v>2489</v>
      </c>
      <c r="C21899" t="s">
        <v>263</v>
      </c>
      <c r="D21899" s="21" t="s">
        <v>34</v>
      </c>
      <c r="E21899" s="21" t="s">
        <v>71</v>
      </c>
      <c r="F21899">
        <v>12440019</v>
      </c>
      <c r="G21899" t="s">
        <v>7258</v>
      </c>
      <c r="H21899" s="21">
        <v>705.29</v>
      </c>
    </row>
    <row r="21900" spans="1:8" customFormat="1" x14ac:dyDescent="0.25">
      <c r="A21900" t="str">
        <f>"2513257"</f>
        <v>2513257</v>
      </c>
      <c r="B21900" t="s">
        <v>16819</v>
      </c>
      <c r="C21900" t="s">
        <v>428</v>
      </c>
      <c r="D21900" s="21" t="s">
        <v>34</v>
      </c>
      <c r="E21900" s="21" t="s">
        <v>71</v>
      </c>
      <c r="F21900">
        <v>2250162</v>
      </c>
      <c r="G21900" t="s">
        <v>7388</v>
      </c>
      <c r="H21900" s="21">
        <v>705.17</v>
      </c>
    </row>
    <row r="21901" spans="1:8" customFormat="1" x14ac:dyDescent="0.25">
      <c r="A21901" t="str">
        <f>"636781"</f>
        <v>636781</v>
      </c>
      <c r="B21901" t="s">
        <v>3108</v>
      </c>
      <c r="C21901" t="s">
        <v>236</v>
      </c>
      <c r="D21901" s="21" t="s">
        <v>34</v>
      </c>
      <c r="E21901" s="21" t="s">
        <v>254</v>
      </c>
      <c r="F21901">
        <v>1630331</v>
      </c>
      <c r="G21901" t="s">
        <v>12919</v>
      </c>
      <c r="H21901" s="21">
        <v>705.17</v>
      </c>
    </row>
    <row r="21902" spans="1:8" customFormat="1" x14ac:dyDescent="0.25">
      <c r="A21902" t="str">
        <f>"0110998"</f>
        <v>0110998</v>
      </c>
      <c r="B21902" t="s">
        <v>17106</v>
      </c>
      <c r="C21902" t="s">
        <v>249</v>
      </c>
      <c r="D21902" s="21" t="s">
        <v>34</v>
      </c>
      <c r="E21902" s="21" t="s">
        <v>35</v>
      </c>
      <c r="F21902">
        <v>1010017</v>
      </c>
      <c r="G21902" t="s">
        <v>6502</v>
      </c>
      <c r="H21902" s="21">
        <v>705.17</v>
      </c>
    </row>
    <row r="21903" spans="1:8" customFormat="1" x14ac:dyDescent="0.25">
      <c r="A21903" t="str">
        <f>"947953"</f>
        <v>947953</v>
      </c>
      <c r="B21903" t="s">
        <v>18590</v>
      </c>
      <c r="C21903" t="s">
        <v>3712</v>
      </c>
      <c r="D21903" s="21" t="s">
        <v>34</v>
      </c>
      <c r="E21903" s="21" t="s">
        <v>71</v>
      </c>
      <c r="F21903">
        <v>8930148</v>
      </c>
      <c r="G21903" t="s">
        <v>1915</v>
      </c>
      <c r="H21903" s="21">
        <v>705.17</v>
      </c>
    </row>
    <row r="21904" spans="1:8" customFormat="1" x14ac:dyDescent="0.25">
      <c r="A21904" t="str">
        <f>"7221359"</f>
        <v>7221359</v>
      </c>
      <c r="B21904" t="s">
        <v>8853</v>
      </c>
      <c r="C21904" t="s">
        <v>209</v>
      </c>
      <c r="D21904" s="21" t="s">
        <v>34</v>
      </c>
      <c r="E21904" s="21" t="s">
        <v>71</v>
      </c>
      <c r="F21904">
        <v>12720052</v>
      </c>
      <c r="G21904" t="s">
        <v>9628</v>
      </c>
      <c r="H21904" s="21">
        <v>705.17</v>
      </c>
    </row>
    <row r="21905" spans="1:8" customFormat="1" x14ac:dyDescent="0.25">
      <c r="A21905" t="str">
        <f>"3536973"</f>
        <v>3536973</v>
      </c>
      <c r="B21905" t="s">
        <v>20313</v>
      </c>
      <c r="C21905" t="s">
        <v>90</v>
      </c>
      <c r="D21905" s="21" t="s">
        <v>34</v>
      </c>
      <c r="E21905" s="21" t="s">
        <v>35</v>
      </c>
      <c r="F21905">
        <v>3350067</v>
      </c>
      <c r="G21905" t="s">
        <v>4439</v>
      </c>
      <c r="H21905" s="21">
        <v>705.17</v>
      </c>
    </row>
    <row r="21906" spans="1:8" customFormat="1" x14ac:dyDescent="0.25">
      <c r="A21906" t="str">
        <f>"7215664"</f>
        <v>7215664</v>
      </c>
      <c r="B21906" t="s">
        <v>16507</v>
      </c>
      <c r="C21906" t="s">
        <v>2520</v>
      </c>
      <c r="D21906" s="21" t="s">
        <v>34</v>
      </c>
      <c r="E21906" s="21" t="s">
        <v>71</v>
      </c>
      <c r="F21906">
        <v>12720051</v>
      </c>
      <c r="G21906" t="s">
        <v>9476</v>
      </c>
      <c r="H21906" s="21">
        <v>705.17</v>
      </c>
    </row>
    <row r="21907" spans="1:8" customFormat="1" x14ac:dyDescent="0.25">
      <c r="A21907" t="str">
        <f>"5014520"</f>
        <v>5014520</v>
      </c>
      <c r="B21907" t="s">
        <v>5913</v>
      </c>
      <c r="C21907" t="s">
        <v>236</v>
      </c>
      <c r="D21907" s="21" t="s">
        <v>34</v>
      </c>
      <c r="E21907" s="21" t="s">
        <v>71</v>
      </c>
      <c r="F21907">
        <v>9500107</v>
      </c>
      <c r="G21907" t="s">
        <v>9792</v>
      </c>
      <c r="H21907" s="21">
        <v>705.17</v>
      </c>
    </row>
    <row r="21908" spans="1:8" customFormat="1" x14ac:dyDescent="0.25">
      <c r="A21908" t="str">
        <f>"4435667"</f>
        <v>4435667</v>
      </c>
      <c r="B21908" t="s">
        <v>17477</v>
      </c>
      <c r="C21908" t="s">
        <v>156</v>
      </c>
      <c r="D21908" s="21" t="s">
        <v>34</v>
      </c>
      <c r="E21908" s="21" t="s">
        <v>35</v>
      </c>
      <c r="F21908">
        <v>12440199</v>
      </c>
      <c r="G21908" t="s">
        <v>4653</v>
      </c>
      <c r="H21908" s="21">
        <v>705.17</v>
      </c>
    </row>
    <row r="21909" spans="1:8" customFormat="1" x14ac:dyDescent="0.25">
      <c r="A21909" t="str">
        <f>"822978"</f>
        <v>822978</v>
      </c>
      <c r="B21909" t="s">
        <v>482</v>
      </c>
      <c r="C21909" t="s">
        <v>239</v>
      </c>
      <c r="D21909" s="21" t="s">
        <v>34</v>
      </c>
      <c r="E21909" s="21" t="s">
        <v>35</v>
      </c>
      <c r="F21909">
        <v>11820031</v>
      </c>
      <c r="G21909" t="s">
        <v>18667</v>
      </c>
      <c r="H21909" s="21">
        <v>705.17</v>
      </c>
    </row>
    <row r="21910" spans="1:8" customFormat="1" x14ac:dyDescent="0.25">
      <c r="A21910" t="str">
        <f>"5919573"</f>
        <v>5919573</v>
      </c>
      <c r="B21910" t="s">
        <v>6105</v>
      </c>
      <c r="C21910" t="s">
        <v>43</v>
      </c>
      <c r="D21910" s="21" t="s">
        <v>34</v>
      </c>
      <c r="E21910" s="21" t="s">
        <v>35</v>
      </c>
      <c r="F21910">
        <v>7590151</v>
      </c>
      <c r="G21910" t="s">
        <v>12236</v>
      </c>
      <c r="H21910" s="21">
        <v>705.17</v>
      </c>
    </row>
    <row r="21911" spans="1:8" customFormat="1" x14ac:dyDescent="0.25">
      <c r="A21911" t="str">
        <f>"6942529"</f>
        <v>6942529</v>
      </c>
      <c r="B21911" t="s">
        <v>22217</v>
      </c>
      <c r="C21911" t="s">
        <v>2305</v>
      </c>
      <c r="D21911" s="21" t="s">
        <v>34</v>
      </c>
      <c r="E21911" s="21" t="s">
        <v>71</v>
      </c>
      <c r="F21911">
        <v>1690090</v>
      </c>
      <c r="G21911" t="s">
        <v>6286</v>
      </c>
      <c r="H21911" s="21">
        <v>705.17</v>
      </c>
    </row>
    <row r="21912" spans="1:8" customFormat="1" x14ac:dyDescent="0.25">
      <c r="A21912" t="str">
        <f>"685712"</f>
        <v>685712</v>
      </c>
      <c r="B21912" t="s">
        <v>17971</v>
      </c>
      <c r="C21912" t="s">
        <v>453</v>
      </c>
      <c r="D21912" s="21" t="s">
        <v>34</v>
      </c>
      <c r="E21912" s="21" t="s">
        <v>71</v>
      </c>
      <c r="F21912">
        <v>6680059</v>
      </c>
      <c r="G21912" t="s">
        <v>11282</v>
      </c>
      <c r="H21912" s="21">
        <v>705.17</v>
      </c>
    </row>
    <row r="21913" spans="1:8" customFormat="1" x14ac:dyDescent="0.25">
      <c r="A21913" t="str">
        <f>"2921311"</f>
        <v>2921311</v>
      </c>
      <c r="B21913" t="s">
        <v>16020</v>
      </c>
      <c r="C21913" t="s">
        <v>169</v>
      </c>
      <c r="D21913" s="21" t="s">
        <v>34</v>
      </c>
      <c r="E21913" s="21" t="s">
        <v>35</v>
      </c>
      <c r="F21913">
        <v>3290044</v>
      </c>
      <c r="G21913" t="s">
        <v>3897</v>
      </c>
      <c r="H21913" s="21">
        <v>704.92</v>
      </c>
    </row>
    <row r="21914" spans="1:8" customFormat="1" x14ac:dyDescent="0.25">
      <c r="A21914" t="str">
        <f>"5942231"</f>
        <v>5942231</v>
      </c>
      <c r="B21914" t="s">
        <v>17291</v>
      </c>
      <c r="C21914" t="s">
        <v>87</v>
      </c>
      <c r="D21914" s="21" t="s">
        <v>34</v>
      </c>
      <c r="E21914" s="21" t="s">
        <v>71</v>
      </c>
      <c r="F21914">
        <v>7590170</v>
      </c>
      <c r="G21914" t="s">
        <v>868</v>
      </c>
      <c r="H21914" s="21">
        <v>704.92</v>
      </c>
    </row>
    <row r="21915" spans="1:8" customFormat="1" x14ac:dyDescent="0.25">
      <c r="A21915" t="str">
        <f>"9226778"</f>
        <v>9226778</v>
      </c>
      <c r="B21915" t="s">
        <v>22552</v>
      </c>
      <c r="C21915" t="s">
        <v>2479</v>
      </c>
      <c r="D21915" s="21" t="s">
        <v>34</v>
      </c>
      <c r="E21915" s="21" t="s">
        <v>71</v>
      </c>
      <c r="F21915">
        <v>8750292</v>
      </c>
      <c r="G21915" t="s">
        <v>9069</v>
      </c>
      <c r="H21915" s="21">
        <v>704.92</v>
      </c>
    </row>
    <row r="21916" spans="1:8" customFormat="1" x14ac:dyDescent="0.25">
      <c r="A21916" t="str">
        <f>"365367"</f>
        <v>365367</v>
      </c>
      <c r="B21916" t="s">
        <v>16699</v>
      </c>
      <c r="C21916" t="s">
        <v>926</v>
      </c>
      <c r="D21916" s="21" t="s">
        <v>34</v>
      </c>
      <c r="E21916" s="21" t="s">
        <v>71</v>
      </c>
      <c r="F21916">
        <v>4360341</v>
      </c>
      <c r="G21916" t="s">
        <v>4912</v>
      </c>
      <c r="H21916" s="21">
        <v>704.79</v>
      </c>
    </row>
    <row r="21917" spans="1:8" customFormat="1" x14ac:dyDescent="0.25">
      <c r="A21917" t="str">
        <f>"3111845"</f>
        <v>3111845</v>
      </c>
      <c r="B21917" t="s">
        <v>17270</v>
      </c>
      <c r="C21917" t="s">
        <v>2907</v>
      </c>
      <c r="D21917" s="21" t="s">
        <v>34</v>
      </c>
      <c r="E21917" s="21" t="s">
        <v>71</v>
      </c>
      <c r="F21917">
        <v>11310126</v>
      </c>
      <c r="G21917" t="s">
        <v>3383</v>
      </c>
      <c r="H21917" s="21">
        <v>704.67</v>
      </c>
    </row>
    <row r="21918" spans="1:8" customFormat="1" x14ac:dyDescent="0.25">
      <c r="A21918" t="str">
        <f>"4920060"</f>
        <v>4920060</v>
      </c>
      <c r="B21918" t="s">
        <v>16131</v>
      </c>
      <c r="C21918" t="s">
        <v>412</v>
      </c>
      <c r="D21918" s="21" t="s">
        <v>34</v>
      </c>
      <c r="E21918" s="21" t="s">
        <v>1089</v>
      </c>
      <c r="F21918">
        <v>12490073</v>
      </c>
      <c r="G21918" t="s">
        <v>296</v>
      </c>
      <c r="H21918" s="21">
        <v>704.67</v>
      </c>
    </row>
    <row r="21919" spans="1:8" customFormat="1" x14ac:dyDescent="0.25">
      <c r="A21919" t="str">
        <f>"539572"</f>
        <v>539572</v>
      </c>
      <c r="B21919" t="s">
        <v>16432</v>
      </c>
      <c r="C21919" t="s">
        <v>40</v>
      </c>
      <c r="D21919" s="21" t="s">
        <v>34</v>
      </c>
      <c r="E21919" s="21" t="s">
        <v>71</v>
      </c>
      <c r="F21919">
        <v>12530033</v>
      </c>
      <c r="G21919" t="s">
        <v>10046</v>
      </c>
      <c r="H21919" s="21">
        <v>704.67</v>
      </c>
    </row>
    <row r="21920" spans="1:8" customFormat="1" x14ac:dyDescent="0.25">
      <c r="A21920" t="str">
        <f>"6111210"</f>
        <v>6111210</v>
      </c>
      <c r="B21920" t="s">
        <v>679</v>
      </c>
      <c r="C21920" t="s">
        <v>169</v>
      </c>
      <c r="D21920" s="21" t="s">
        <v>34</v>
      </c>
      <c r="E21920" s="21" t="s">
        <v>35</v>
      </c>
      <c r="F21920">
        <v>9610073</v>
      </c>
      <c r="G21920" t="s">
        <v>8382</v>
      </c>
      <c r="H21920" s="21">
        <v>704.67</v>
      </c>
    </row>
    <row r="21921" spans="1:8" customFormat="1" x14ac:dyDescent="0.25">
      <c r="A21921" t="str">
        <f>"9411558"</f>
        <v>9411558</v>
      </c>
      <c r="B21921" t="s">
        <v>15400</v>
      </c>
      <c r="C21921" t="s">
        <v>15401</v>
      </c>
      <c r="D21921" s="21" t="s">
        <v>34</v>
      </c>
      <c r="E21921" s="21" t="s">
        <v>254</v>
      </c>
      <c r="F21921">
        <v>10170012</v>
      </c>
      <c r="G21921" t="s">
        <v>14768</v>
      </c>
      <c r="H21921" s="21">
        <v>704.67</v>
      </c>
    </row>
    <row r="21922" spans="1:8" customFormat="1" x14ac:dyDescent="0.25">
      <c r="A21922" t="str">
        <f>"768246"</f>
        <v>768246</v>
      </c>
      <c r="B21922" t="s">
        <v>14537</v>
      </c>
      <c r="C21922" t="s">
        <v>412</v>
      </c>
      <c r="D21922" s="21" t="s">
        <v>34</v>
      </c>
      <c r="E21922" s="21" t="s">
        <v>254</v>
      </c>
      <c r="F21922">
        <v>9760291</v>
      </c>
      <c r="G21922" t="s">
        <v>26611</v>
      </c>
      <c r="H21922" s="21">
        <v>704.67</v>
      </c>
    </row>
    <row r="21923" spans="1:8" customFormat="1" x14ac:dyDescent="0.25">
      <c r="A21923" t="str">
        <f>"38524"</f>
        <v>38524</v>
      </c>
      <c r="B21923" t="s">
        <v>10981</v>
      </c>
      <c r="C21923" t="s">
        <v>547</v>
      </c>
      <c r="D21923" s="21" t="s">
        <v>34</v>
      </c>
      <c r="E21923" s="21" t="s">
        <v>6185</v>
      </c>
      <c r="F21923">
        <v>1380057</v>
      </c>
      <c r="G21923" t="s">
        <v>26700</v>
      </c>
      <c r="H21923" s="21">
        <v>704.67</v>
      </c>
    </row>
    <row r="21924" spans="1:8" customFormat="1" x14ac:dyDescent="0.25">
      <c r="A21924" t="str">
        <f>"5972775"</f>
        <v>5972775</v>
      </c>
      <c r="B21924" t="s">
        <v>1147</v>
      </c>
      <c r="C21924" t="s">
        <v>2479</v>
      </c>
      <c r="D21924" s="21" t="s">
        <v>34</v>
      </c>
      <c r="E21924" s="21" t="s">
        <v>1089</v>
      </c>
      <c r="F21924">
        <v>7590288</v>
      </c>
      <c r="G21924" t="s">
        <v>6972</v>
      </c>
      <c r="H21924" s="21">
        <v>704.67</v>
      </c>
    </row>
    <row r="21925" spans="1:8" customFormat="1" x14ac:dyDescent="0.25">
      <c r="A21925" t="str">
        <f>"3534290"</f>
        <v>3534290</v>
      </c>
      <c r="B21925" t="s">
        <v>18255</v>
      </c>
      <c r="C21925" t="s">
        <v>2904</v>
      </c>
      <c r="D21925" s="21" t="s">
        <v>34</v>
      </c>
      <c r="E21925" s="21" t="s">
        <v>71</v>
      </c>
      <c r="F21925">
        <v>3350209</v>
      </c>
      <c r="G21925" t="s">
        <v>3023</v>
      </c>
      <c r="H21925" s="21">
        <v>704.67</v>
      </c>
    </row>
    <row r="21926" spans="1:8" customFormat="1" x14ac:dyDescent="0.25">
      <c r="A21926" t="str">
        <f>"4516225"</f>
        <v>4516225</v>
      </c>
      <c r="B21926" t="s">
        <v>1547</v>
      </c>
      <c r="C21926" t="s">
        <v>7923</v>
      </c>
      <c r="D21926" s="21" t="s">
        <v>34</v>
      </c>
      <c r="E21926" s="21" t="s">
        <v>71</v>
      </c>
      <c r="F21926">
        <v>4450737</v>
      </c>
      <c r="G21926" t="s">
        <v>11798</v>
      </c>
      <c r="H21926" s="21">
        <v>704.67</v>
      </c>
    </row>
    <row r="21927" spans="1:8" customFormat="1" x14ac:dyDescent="0.25">
      <c r="A21927" t="str">
        <f>"4920911"</f>
        <v>4920911</v>
      </c>
      <c r="B21927" t="s">
        <v>17449</v>
      </c>
      <c r="C21927" t="s">
        <v>1812</v>
      </c>
      <c r="D21927" s="21" t="s">
        <v>34</v>
      </c>
      <c r="E21927" s="21" t="s">
        <v>35</v>
      </c>
      <c r="F21927">
        <v>12490120</v>
      </c>
      <c r="G21927" t="s">
        <v>2316</v>
      </c>
      <c r="H21927" s="21">
        <v>704.67</v>
      </c>
    </row>
    <row r="21928" spans="1:8" customFormat="1" x14ac:dyDescent="0.25">
      <c r="A21928" t="str">
        <f>"7516274"</f>
        <v>7516274</v>
      </c>
      <c r="B21928" t="s">
        <v>17019</v>
      </c>
      <c r="C21928" t="s">
        <v>2301</v>
      </c>
      <c r="D21928" s="21" t="s">
        <v>34</v>
      </c>
      <c r="E21928" s="21" t="s">
        <v>71</v>
      </c>
      <c r="F21928">
        <v>8751124</v>
      </c>
      <c r="G21928" t="s">
        <v>1481</v>
      </c>
      <c r="H21928" s="21">
        <v>704.67</v>
      </c>
    </row>
    <row r="21929" spans="1:8" customFormat="1" x14ac:dyDescent="0.25">
      <c r="A21929" t="str">
        <f>"5016636"</f>
        <v>5016636</v>
      </c>
      <c r="B21929" t="s">
        <v>13224</v>
      </c>
      <c r="C21929" t="s">
        <v>19775</v>
      </c>
      <c r="D21929" s="21" t="s">
        <v>34</v>
      </c>
      <c r="E21929" s="21" t="s">
        <v>71</v>
      </c>
      <c r="F21929">
        <v>9500014</v>
      </c>
      <c r="G21929" t="s">
        <v>12474</v>
      </c>
      <c r="H21929" s="21">
        <v>704.67</v>
      </c>
    </row>
    <row r="21930" spans="1:8" customFormat="1" x14ac:dyDescent="0.25">
      <c r="A21930" t="str">
        <f>"7513252"</f>
        <v>7513252</v>
      </c>
      <c r="B21930" t="s">
        <v>9100</v>
      </c>
      <c r="C21930" t="s">
        <v>209</v>
      </c>
      <c r="D21930" s="21" t="s">
        <v>34</v>
      </c>
      <c r="E21930" s="21" t="s">
        <v>35</v>
      </c>
      <c r="F21930">
        <v>8751163</v>
      </c>
      <c r="G21930" t="s">
        <v>80</v>
      </c>
      <c r="H21930" s="21">
        <v>704.67</v>
      </c>
    </row>
    <row r="21931" spans="1:8" customFormat="1" x14ac:dyDescent="0.25">
      <c r="A21931" t="str">
        <f>"3828092"</f>
        <v>3828092</v>
      </c>
      <c r="B21931" t="s">
        <v>17392</v>
      </c>
      <c r="C21931" t="s">
        <v>4271</v>
      </c>
      <c r="D21931" s="21" t="s">
        <v>34</v>
      </c>
      <c r="E21931" s="21" t="s">
        <v>35</v>
      </c>
      <c r="F21931">
        <v>12440048</v>
      </c>
      <c r="G21931" t="s">
        <v>2090</v>
      </c>
      <c r="H21931" s="21">
        <v>704.67</v>
      </c>
    </row>
    <row r="21932" spans="1:8" customFormat="1" x14ac:dyDescent="0.25">
      <c r="A21932" t="str">
        <f>"7718833"</f>
        <v>7718833</v>
      </c>
      <c r="B21932" t="s">
        <v>10779</v>
      </c>
      <c r="C21932" t="s">
        <v>60</v>
      </c>
      <c r="D21932" s="21" t="s">
        <v>34</v>
      </c>
      <c r="E21932" s="21" t="s">
        <v>35</v>
      </c>
      <c r="F21932">
        <v>11820026</v>
      </c>
      <c r="G21932" t="s">
        <v>9372</v>
      </c>
      <c r="H21932" s="21">
        <v>704.67</v>
      </c>
    </row>
    <row r="21933" spans="1:8" customFormat="1" x14ac:dyDescent="0.25">
      <c r="A21933" t="str">
        <f>"7619295"</f>
        <v>7619295</v>
      </c>
      <c r="B21933" t="s">
        <v>4865</v>
      </c>
      <c r="C21933" t="s">
        <v>547</v>
      </c>
      <c r="D21933" s="21" t="s">
        <v>34</v>
      </c>
      <c r="E21933" s="21" t="s">
        <v>71</v>
      </c>
      <c r="F21933">
        <v>9760396</v>
      </c>
      <c r="G21933" t="s">
        <v>3875</v>
      </c>
      <c r="H21933" s="21">
        <v>704.67</v>
      </c>
    </row>
    <row r="21934" spans="1:8" customFormat="1" x14ac:dyDescent="0.25">
      <c r="A21934" t="str">
        <f>"374013"</f>
        <v>374013</v>
      </c>
      <c r="B21934" t="s">
        <v>482</v>
      </c>
      <c r="C21934" t="s">
        <v>428</v>
      </c>
      <c r="D21934" s="21" t="s">
        <v>34</v>
      </c>
      <c r="E21934" s="21" t="s">
        <v>71</v>
      </c>
      <c r="F21934">
        <v>4370464</v>
      </c>
      <c r="G21934" t="s">
        <v>5348</v>
      </c>
      <c r="H21934" s="21">
        <v>704.67</v>
      </c>
    </row>
    <row r="21935" spans="1:8" customFormat="1" x14ac:dyDescent="0.25">
      <c r="A21935" t="str">
        <f>"5935456"</f>
        <v>5935456</v>
      </c>
      <c r="B21935" t="s">
        <v>17946</v>
      </c>
      <c r="C21935" t="s">
        <v>469</v>
      </c>
      <c r="D21935" s="21" t="s">
        <v>34</v>
      </c>
      <c r="E21935" s="21" t="s">
        <v>254</v>
      </c>
      <c r="F21935">
        <v>7590100</v>
      </c>
      <c r="G21935" t="s">
        <v>1660</v>
      </c>
      <c r="H21935" s="21">
        <v>704.67</v>
      </c>
    </row>
    <row r="21936" spans="1:8" customFormat="1" x14ac:dyDescent="0.25">
      <c r="A21936" t="str">
        <f>"309129"</f>
        <v>309129</v>
      </c>
      <c r="B21936" t="s">
        <v>16608</v>
      </c>
      <c r="C21936" t="s">
        <v>33</v>
      </c>
      <c r="D21936" s="21" t="s">
        <v>34</v>
      </c>
      <c r="E21936" s="21" t="s">
        <v>35</v>
      </c>
      <c r="F21936">
        <v>11300023</v>
      </c>
      <c r="G21936" t="s">
        <v>2679</v>
      </c>
      <c r="H21936" s="21">
        <v>704.67</v>
      </c>
    </row>
    <row r="21937" spans="1:8" customFormat="1" x14ac:dyDescent="0.25">
      <c r="A21937" t="str">
        <f>"4417165"</f>
        <v>4417165</v>
      </c>
      <c r="B21937" t="s">
        <v>18280</v>
      </c>
      <c r="C21937" t="s">
        <v>40</v>
      </c>
      <c r="D21937" s="21" t="s">
        <v>34</v>
      </c>
      <c r="E21937" s="21" t="s">
        <v>254</v>
      </c>
      <c r="F21937">
        <v>12440038</v>
      </c>
      <c r="G21937" t="s">
        <v>2057</v>
      </c>
      <c r="H21937" s="21">
        <v>704.67</v>
      </c>
    </row>
    <row r="21938" spans="1:8" customFormat="1" x14ac:dyDescent="0.25">
      <c r="A21938" t="str">
        <f>"5926237"</f>
        <v>5926237</v>
      </c>
      <c r="B21938" t="s">
        <v>4909</v>
      </c>
      <c r="C21938" t="s">
        <v>40</v>
      </c>
      <c r="D21938" s="21" t="s">
        <v>34</v>
      </c>
      <c r="E21938" s="21" t="s">
        <v>254</v>
      </c>
      <c r="F21938">
        <v>7590149</v>
      </c>
      <c r="G21938" t="s">
        <v>11632</v>
      </c>
      <c r="H21938" s="21">
        <v>704.67</v>
      </c>
    </row>
    <row r="21939" spans="1:8" customFormat="1" x14ac:dyDescent="0.25">
      <c r="A21939" t="str">
        <f>"5615463"</f>
        <v>5615463</v>
      </c>
      <c r="B21939" t="s">
        <v>16371</v>
      </c>
      <c r="C21939" t="s">
        <v>16372</v>
      </c>
      <c r="D21939" s="21" t="s">
        <v>34</v>
      </c>
      <c r="E21939" s="21" t="s">
        <v>35</v>
      </c>
      <c r="F21939">
        <v>3560045</v>
      </c>
      <c r="G21939" t="s">
        <v>4969</v>
      </c>
      <c r="H21939" s="21">
        <v>704.67</v>
      </c>
    </row>
    <row r="21940" spans="1:8" customFormat="1" x14ac:dyDescent="0.25">
      <c r="A21940" t="str">
        <f>"02587"</f>
        <v>02587</v>
      </c>
      <c r="B21940" t="s">
        <v>3156</v>
      </c>
      <c r="C21940" t="s">
        <v>2730</v>
      </c>
      <c r="D21940" s="21" t="s">
        <v>34</v>
      </c>
      <c r="E21940" s="21" t="s">
        <v>6185</v>
      </c>
      <c r="F21940">
        <v>4450751</v>
      </c>
      <c r="G21940" t="s">
        <v>442</v>
      </c>
      <c r="H21940" s="21">
        <v>704.67</v>
      </c>
    </row>
    <row r="21941" spans="1:8" customFormat="1" x14ac:dyDescent="0.25">
      <c r="A21941" t="str">
        <f>"682095"</f>
        <v>682095</v>
      </c>
      <c r="B21941" t="s">
        <v>16968</v>
      </c>
      <c r="C21941" t="s">
        <v>879</v>
      </c>
      <c r="D21941" s="21" t="s">
        <v>34</v>
      </c>
      <c r="E21941" s="21" t="s">
        <v>254</v>
      </c>
      <c r="F21941">
        <v>6680091</v>
      </c>
      <c r="G21941" t="s">
        <v>693</v>
      </c>
      <c r="H21941" s="21">
        <v>704.67</v>
      </c>
    </row>
    <row r="21942" spans="1:8" customFormat="1" x14ac:dyDescent="0.25">
      <c r="A21942" t="str">
        <f>"41116"</f>
        <v>41116</v>
      </c>
      <c r="B21942" t="s">
        <v>765</v>
      </c>
      <c r="C21942" t="s">
        <v>124</v>
      </c>
      <c r="D21942" s="21" t="s">
        <v>34</v>
      </c>
      <c r="E21942" s="21" t="s">
        <v>6185</v>
      </c>
      <c r="F21942">
        <v>4180696</v>
      </c>
      <c r="G21942" t="s">
        <v>3018</v>
      </c>
      <c r="H21942" s="21">
        <v>704.67</v>
      </c>
    </row>
    <row r="21943" spans="1:8" customFormat="1" x14ac:dyDescent="0.25">
      <c r="A21943" t="str">
        <f>"637545"</f>
        <v>637545</v>
      </c>
      <c r="B21943" t="s">
        <v>15835</v>
      </c>
      <c r="C21943" t="s">
        <v>124</v>
      </c>
      <c r="D21943" s="21" t="s">
        <v>34</v>
      </c>
      <c r="E21943" s="21" t="s">
        <v>1089</v>
      </c>
      <c r="F21943">
        <v>11300014</v>
      </c>
      <c r="G21943" t="s">
        <v>2345</v>
      </c>
      <c r="H21943" s="21">
        <v>704.54</v>
      </c>
    </row>
    <row r="21944" spans="1:8" customFormat="1" x14ac:dyDescent="0.25">
      <c r="A21944" t="str">
        <f>"6314455"</f>
        <v>6314455</v>
      </c>
      <c r="B21944" t="s">
        <v>1048</v>
      </c>
      <c r="C21944" t="s">
        <v>236</v>
      </c>
      <c r="D21944" s="21" t="s">
        <v>34</v>
      </c>
      <c r="E21944" s="21" t="s">
        <v>71</v>
      </c>
      <c r="F21944">
        <v>1630307</v>
      </c>
      <c r="G21944" t="s">
        <v>15524</v>
      </c>
      <c r="H21944" s="21">
        <v>704.42</v>
      </c>
    </row>
    <row r="21945" spans="1:8" customFormat="1" x14ac:dyDescent="0.25">
      <c r="A21945" t="str">
        <f>"1612068"</f>
        <v>1612068</v>
      </c>
      <c r="B21945" t="s">
        <v>6883</v>
      </c>
      <c r="C21945" t="s">
        <v>484</v>
      </c>
      <c r="D21945" s="21" t="s">
        <v>34</v>
      </c>
      <c r="E21945" s="21" t="s">
        <v>35</v>
      </c>
      <c r="F21945">
        <v>10160240</v>
      </c>
      <c r="G21945" t="s">
        <v>7095</v>
      </c>
      <c r="H21945" s="21">
        <v>704.42</v>
      </c>
    </row>
    <row r="21946" spans="1:8" customFormat="1" x14ac:dyDescent="0.25">
      <c r="A21946" t="str">
        <f>"338958"</f>
        <v>338958</v>
      </c>
      <c r="B21946" t="s">
        <v>16809</v>
      </c>
      <c r="C21946" t="s">
        <v>415</v>
      </c>
      <c r="D21946" s="21" t="s">
        <v>34</v>
      </c>
      <c r="E21946" s="21" t="s">
        <v>254</v>
      </c>
      <c r="F21946">
        <v>10330125</v>
      </c>
      <c r="G21946" t="s">
        <v>3753</v>
      </c>
      <c r="H21946" s="21">
        <v>704.42</v>
      </c>
    </row>
    <row r="21947" spans="1:8" customFormat="1" x14ac:dyDescent="0.25">
      <c r="A21947" t="str">
        <f>"5425752"</f>
        <v>5425752</v>
      </c>
      <c r="B21947" t="s">
        <v>1349</v>
      </c>
      <c r="C21947" t="s">
        <v>198</v>
      </c>
      <c r="D21947" s="21" t="s">
        <v>34</v>
      </c>
      <c r="E21947" s="21" t="s">
        <v>35</v>
      </c>
      <c r="F21947">
        <v>6540088</v>
      </c>
      <c r="G21947" t="s">
        <v>2108</v>
      </c>
      <c r="H21947" s="21">
        <v>704.42</v>
      </c>
    </row>
    <row r="21948" spans="1:8" customFormat="1" x14ac:dyDescent="0.25">
      <c r="A21948" t="str">
        <f>"5955659"</f>
        <v>5955659</v>
      </c>
      <c r="B21948" t="s">
        <v>27668</v>
      </c>
      <c r="C21948" t="s">
        <v>55</v>
      </c>
      <c r="D21948" s="21" t="s">
        <v>34</v>
      </c>
      <c r="E21948" s="21" t="s">
        <v>71</v>
      </c>
      <c r="F21948">
        <v>7590126</v>
      </c>
      <c r="G21948" t="s">
        <v>4749</v>
      </c>
      <c r="H21948" s="21">
        <v>704.42</v>
      </c>
    </row>
    <row r="21949" spans="1:8" customFormat="1" x14ac:dyDescent="0.25">
      <c r="A21949" t="str">
        <f>"3339994"</f>
        <v>3339994</v>
      </c>
      <c r="B21949" t="s">
        <v>17308</v>
      </c>
      <c r="C21949" t="s">
        <v>82</v>
      </c>
      <c r="D21949" s="21" t="s">
        <v>34</v>
      </c>
      <c r="E21949" s="21" t="s">
        <v>35</v>
      </c>
      <c r="F21949">
        <v>10330002</v>
      </c>
      <c r="G21949" t="s">
        <v>53</v>
      </c>
      <c r="H21949" s="21">
        <v>704.17</v>
      </c>
    </row>
    <row r="21950" spans="1:8" customFormat="1" x14ac:dyDescent="0.25">
      <c r="A21950" t="str">
        <f>"161616"</f>
        <v>161616</v>
      </c>
      <c r="B21950" t="s">
        <v>9086</v>
      </c>
      <c r="C21950" t="s">
        <v>1605</v>
      </c>
      <c r="D21950" s="21" t="s">
        <v>34</v>
      </c>
      <c r="E21950" s="21" t="s">
        <v>254</v>
      </c>
      <c r="F21950">
        <v>10160030</v>
      </c>
      <c r="G21950" t="s">
        <v>13173</v>
      </c>
      <c r="H21950" s="21">
        <v>704.17</v>
      </c>
    </row>
    <row r="21951" spans="1:8" customFormat="1" x14ac:dyDescent="0.25">
      <c r="A21951" t="str">
        <f>"242785"</f>
        <v>242785</v>
      </c>
      <c r="B21951" t="s">
        <v>1490</v>
      </c>
      <c r="C21951" t="s">
        <v>114</v>
      </c>
      <c r="D21951" s="21" t="s">
        <v>34</v>
      </c>
      <c r="E21951" s="21" t="s">
        <v>35</v>
      </c>
      <c r="F21951">
        <v>10240015</v>
      </c>
      <c r="G21951" t="s">
        <v>8589</v>
      </c>
      <c r="H21951" s="21">
        <v>704.17</v>
      </c>
    </row>
    <row r="21952" spans="1:8" customFormat="1" x14ac:dyDescent="0.25">
      <c r="A21952" t="str">
        <f>"7520142"</f>
        <v>7520142</v>
      </c>
      <c r="B21952" t="s">
        <v>19508</v>
      </c>
      <c r="C21952" t="s">
        <v>2305</v>
      </c>
      <c r="D21952" s="21" t="s">
        <v>34</v>
      </c>
      <c r="E21952" s="21" t="s">
        <v>254</v>
      </c>
      <c r="F21952">
        <v>8751423</v>
      </c>
      <c r="G21952" t="s">
        <v>4556</v>
      </c>
      <c r="H21952" s="21">
        <v>704.17</v>
      </c>
    </row>
    <row r="21953" spans="1:8" customFormat="1" x14ac:dyDescent="0.25">
      <c r="A21953" t="str">
        <f>"612458"</f>
        <v>612458</v>
      </c>
      <c r="B21953" t="s">
        <v>6462</v>
      </c>
      <c r="C21953" t="s">
        <v>269</v>
      </c>
      <c r="D21953" s="21" t="s">
        <v>34</v>
      </c>
      <c r="E21953" s="21" t="s">
        <v>71</v>
      </c>
      <c r="F21953">
        <v>9610015</v>
      </c>
      <c r="G21953" t="s">
        <v>3690</v>
      </c>
      <c r="H21953" s="21">
        <v>704.17</v>
      </c>
    </row>
    <row r="21954" spans="1:8" customFormat="1" x14ac:dyDescent="0.25">
      <c r="A21954" t="str">
        <f>"623520"</f>
        <v>623520</v>
      </c>
      <c r="B21954" t="s">
        <v>17354</v>
      </c>
      <c r="C21954" t="s">
        <v>2100</v>
      </c>
      <c r="D21954" s="21" t="s">
        <v>34</v>
      </c>
      <c r="E21954" s="21" t="s">
        <v>71</v>
      </c>
      <c r="F21954">
        <v>7620007</v>
      </c>
      <c r="G21954" t="s">
        <v>2133</v>
      </c>
      <c r="H21954" s="21">
        <v>704.17</v>
      </c>
    </row>
    <row r="21955" spans="1:8" customFormat="1" x14ac:dyDescent="0.25">
      <c r="A21955" t="str">
        <f>"615667"</f>
        <v>615667</v>
      </c>
      <c r="B21955" t="s">
        <v>1228</v>
      </c>
      <c r="C21955" t="s">
        <v>33</v>
      </c>
      <c r="D21955" s="21" t="s">
        <v>34</v>
      </c>
      <c r="E21955" s="21" t="s">
        <v>71</v>
      </c>
      <c r="F21955">
        <v>9610101</v>
      </c>
      <c r="G21955" t="s">
        <v>3969</v>
      </c>
      <c r="H21955" s="21">
        <v>704.17</v>
      </c>
    </row>
    <row r="21956" spans="1:8" customFormat="1" x14ac:dyDescent="0.25">
      <c r="A21956" t="str">
        <f>"308180"</f>
        <v>308180</v>
      </c>
      <c r="B21956" t="s">
        <v>8930</v>
      </c>
      <c r="C21956" t="s">
        <v>1665</v>
      </c>
      <c r="D21956" s="21" t="s">
        <v>34</v>
      </c>
      <c r="E21956" s="21" t="s">
        <v>71</v>
      </c>
      <c r="F21956">
        <v>11300014</v>
      </c>
      <c r="G21956" t="s">
        <v>2345</v>
      </c>
      <c r="H21956" s="21">
        <v>704.17</v>
      </c>
    </row>
    <row r="21957" spans="1:8" customFormat="1" x14ac:dyDescent="0.25">
      <c r="A21957" t="str">
        <f>"5016205"</f>
        <v>5016205</v>
      </c>
      <c r="B21957" t="s">
        <v>16754</v>
      </c>
      <c r="C21957" t="s">
        <v>139</v>
      </c>
      <c r="D21957" s="21" t="s">
        <v>34</v>
      </c>
      <c r="E21957" s="21" t="s">
        <v>35</v>
      </c>
      <c r="F21957">
        <v>9500139</v>
      </c>
      <c r="G21957" t="s">
        <v>6892</v>
      </c>
      <c r="H21957" s="21">
        <v>704.17</v>
      </c>
    </row>
    <row r="21958" spans="1:8" customFormat="1" x14ac:dyDescent="0.25">
      <c r="A21958" t="str">
        <f>"636013"</f>
        <v>636013</v>
      </c>
      <c r="B21958" t="s">
        <v>27669</v>
      </c>
      <c r="C21958" t="s">
        <v>3456</v>
      </c>
      <c r="D21958" s="21" t="s">
        <v>34</v>
      </c>
      <c r="E21958" s="21" t="s">
        <v>71</v>
      </c>
      <c r="F21958">
        <v>1630318</v>
      </c>
      <c r="G21958" t="s">
        <v>8341</v>
      </c>
      <c r="H21958" s="21">
        <v>704.17</v>
      </c>
    </row>
    <row r="21959" spans="1:8" customFormat="1" x14ac:dyDescent="0.25">
      <c r="A21959" t="str">
        <f>"361786"</f>
        <v>361786</v>
      </c>
      <c r="B21959" t="s">
        <v>16421</v>
      </c>
      <c r="C21959" t="s">
        <v>817</v>
      </c>
      <c r="D21959" s="21" t="s">
        <v>34</v>
      </c>
      <c r="E21959" s="21" t="s">
        <v>254</v>
      </c>
      <c r="F21959">
        <v>4360605</v>
      </c>
      <c r="G21959" t="s">
        <v>6003</v>
      </c>
      <c r="H21959" s="21">
        <v>704.17</v>
      </c>
    </row>
    <row r="21960" spans="1:8" customFormat="1" x14ac:dyDescent="0.25">
      <c r="A21960" t="str">
        <f>"7727443"</f>
        <v>7727443</v>
      </c>
      <c r="B21960" t="s">
        <v>6048</v>
      </c>
      <c r="C21960" t="s">
        <v>139</v>
      </c>
      <c r="D21960" s="21" t="s">
        <v>34</v>
      </c>
      <c r="E21960" s="21" t="s">
        <v>35</v>
      </c>
      <c r="F21960">
        <v>8770166</v>
      </c>
      <c r="G21960" t="s">
        <v>653</v>
      </c>
      <c r="H21960" s="21">
        <v>704.17</v>
      </c>
    </row>
    <row r="21961" spans="1:8" customFormat="1" x14ac:dyDescent="0.25">
      <c r="A21961" t="str">
        <f>"5325177"</f>
        <v>5325177</v>
      </c>
      <c r="B21961" t="s">
        <v>27670</v>
      </c>
      <c r="C21961" t="s">
        <v>98</v>
      </c>
      <c r="D21961" s="21" t="s">
        <v>34</v>
      </c>
      <c r="E21961" s="21" t="s">
        <v>35</v>
      </c>
      <c r="F21961">
        <v>12538910</v>
      </c>
      <c r="G21961" t="s">
        <v>8855</v>
      </c>
      <c r="H21961" s="21">
        <v>704.17</v>
      </c>
    </row>
    <row r="21962" spans="1:8" customFormat="1" x14ac:dyDescent="0.25">
      <c r="A21962" t="str">
        <f>"256232"</f>
        <v>256232</v>
      </c>
      <c r="B21962" t="s">
        <v>5783</v>
      </c>
      <c r="C21962" t="s">
        <v>209</v>
      </c>
      <c r="D21962" s="21" t="s">
        <v>34</v>
      </c>
      <c r="E21962" s="21" t="s">
        <v>71</v>
      </c>
      <c r="F21962">
        <v>2250031</v>
      </c>
      <c r="G21962" t="s">
        <v>3011</v>
      </c>
      <c r="H21962" s="21">
        <v>704.17</v>
      </c>
    </row>
    <row r="21963" spans="1:8" customFormat="1" x14ac:dyDescent="0.25">
      <c r="A21963" t="str">
        <f>"1447"</f>
        <v>1447</v>
      </c>
      <c r="B21963" t="s">
        <v>11253</v>
      </c>
      <c r="C21963" t="s">
        <v>253</v>
      </c>
      <c r="D21963" s="21" t="s">
        <v>34</v>
      </c>
      <c r="E21963" s="21" t="s">
        <v>1089</v>
      </c>
      <c r="F21963">
        <v>9140003</v>
      </c>
      <c r="G21963" t="s">
        <v>6152</v>
      </c>
      <c r="H21963" s="21">
        <v>704.17</v>
      </c>
    </row>
    <row r="21964" spans="1:8" customFormat="1" x14ac:dyDescent="0.25">
      <c r="A21964" t="str">
        <f>"3726155"</f>
        <v>3726155</v>
      </c>
      <c r="B21964" t="s">
        <v>12643</v>
      </c>
      <c r="C21964" t="s">
        <v>169</v>
      </c>
      <c r="D21964" s="21" t="s">
        <v>34</v>
      </c>
      <c r="E21964" s="21" t="s">
        <v>35</v>
      </c>
      <c r="F21964">
        <v>4370013</v>
      </c>
      <c r="G21964" t="s">
        <v>7097</v>
      </c>
      <c r="H21964" s="21">
        <v>704.17</v>
      </c>
    </row>
    <row r="21965" spans="1:8" customFormat="1" x14ac:dyDescent="0.25">
      <c r="A21965" t="str">
        <f>"2513530"</f>
        <v>2513530</v>
      </c>
      <c r="B21965" t="s">
        <v>2134</v>
      </c>
      <c r="C21965" t="s">
        <v>2907</v>
      </c>
      <c r="D21965" s="21" t="s">
        <v>34</v>
      </c>
      <c r="E21965" s="21" t="s">
        <v>254</v>
      </c>
      <c r="F21965">
        <v>2250007</v>
      </c>
      <c r="G21965" t="s">
        <v>1137</v>
      </c>
      <c r="H21965" s="21">
        <v>704.12</v>
      </c>
    </row>
    <row r="21966" spans="1:8" customFormat="1" x14ac:dyDescent="0.25">
      <c r="A21966" t="str">
        <f>"033150"</f>
        <v>033150</v>
      </c>
      <c r="B21966" t="s">
        <v>17374</v>
      </c>
      <c r="C21966" t="s">
        <v>58</v>
      </c>
      <c r="D21966" s="21" t="s">
        <v>34</v>
      </c>
      <c r="E21966" s="21" t="s">
        <v>35</v>
      </c>
      <c r="F21966">
        <v>1630059</v>
      </c>
      <c r="G21966" t="s">
        <v>2486</v>
      </c>
      <c r="H21966" s="21">
        <v>704</v>
      </c>
    </row>
    <row r="21967" spans="1:8" customFormat="1" x14ac:dyDescent="0.25">
      <c r="A21967" t="str">
        <f>"2938550"</f>
        <v>2938550</v>
      </c>
      <c r="B21967" t="s">
        <v>2233</v>
      </c>
      <c r="C21967" t="s">
        <v>62</v>
      </c>
      <c r="D21967" s="21" t="s">
        <v>34</v>
      </c>
      <c r="E21967" s="21" t="s">
        <v>35</v>
      </c>
      <c r="F21967">
        <v>3290244</v>
      </c>
      <c r="G21967" t="s">
        <v>573</v>
      </c>
      <c r="H21967" s="21">
        <v>703.92</v>
      </c>
    </row>
    <row r="21968" spans="1:8" customFormat="1" x14ac:dyDescent="0.25">
      <c r="A21968" t="str">
        <f>"9314668"</f>
        <v>9314668</v>
      </c>
      <c r="B21968" t="s">
        <v>197</v>
      </c>
      <c r="C21968" t="s">
        <v>459</v>
      </c>
      <c r="D21968" s="21" t="s">
        <v>34</v>
      </c>
      <c r="E21968" s="21" t="s">
        <v>71</v>
      </c>
      <c r="F21968">
        <v>8930452</v>
      </c>
      <c r="G21968" t="s">
        <v>83</v>
      </c>
      <c r="H21968" s="21">
        <v>703.92</v>
      </c>
    </row>
    <row r="21969" spans="1:8" customFormat="1" x14ac:dyDescent="0.25">
      <c r="A21969" t="str">
        <f>"2810870"</f>
        <v>2810870</v>
      </c>
      <c r="B21969" t="s">
        <v>18397</v>
      </c>
      <c r="C21969" t="s">
        <v>249</v>
      </c>
      <c r="D21969" s="21" t="s">
        <v>34</v>
      </c>
      <c r="E21969" s="21" t="s">
        <v>71</v>
      </c>
      <c r="F21969">
        <v>4280045</v>
      </c>
      <c r="G21969" t="s">
        <v>787</v>
      </c>
      <c r="H21969" s="21">
        <v>703.92</v>
      </c>
    </row>
    <row r="21970" spans="1:8" customFormat="1" x14ac:dyDescent="0.25">
      <c r="A21970" t="str">
        <f>"759861"</f>
        <v>759861</v>
      </c>
      <c r="B21970" t="s">
        <v>15047</v>
      </c>
      <c r="C21970" t="s">
        <v>15048</v>
      </c>
      <c r="D21970" s="21" t="s">
        <v>34</v>
      </c>
      <c r="E21970" s="21" t="s">
        <v>254</v>
      </c>
      <c r="F21970">
        <v>8750487</v>
      </c>
      <c r="G21970" t="s">
        <v>6793</v>
      </c>
      <c r="H21970" s="21">
        <v>703.79</v>
      </c>
    </row>
    <row r="21971" spans="1:8" customFormat="1" x14ac:dyDescent="0.25">
      <c r="A21971" t="str">
        <f>"2510872"</f>
        <v>2510872</v>
      </c>
      <c r="B21971" t="s">
        <v>3546</v>
      </c>
      <c r="C21971" t="s">
        <v>1665</v>
      </c>
      <c r="D21971" s="21" t="s">
        <v>34</v>
      </c>
      <c r="E21971" s="21" t="s">
        <v>254</v>
      </c>
      <c r="F21971">
        <v>2250213</v>
      </c>
      <c r="G21971" t="s">
        <v>1969</v>
      </c>
      <c r="H21971" s="21">
        <v>703.67</v>
      </c>
    </row>
    <row r="21972" spans="1:8" customFormat="1" x14ac:dyDescent="0.25">
      <c r="A21972" t="str">
        <f>"404573"</f>
        <v>404573</v>
      </c>
      <c r="B21972" t="s">
        <v>11518</v>
      </c>
      <c r="C21972" t="s">
        <v>169</v>
      </c>
      <c r="D21972" s="21" t="s">
        <v>34</v>
      </c>
      <c r="E21972" s="21" t="s">
        <v>254</v>
      </c>
      <c r="F21972">
        <v>10400009</v>
      </c>
      <c r="G21972" t="s">
        <v>5378</v>
      </c>
      <c r="H21972" s="21">
        <v>703.67</v>
      </c>
    </row>
    <row r="21973" spans="1:8" customFormat="1" x14ac:dyDescent="0.25">
      <c r="A21973" t="str">
        <f>"8517343"</f>
        <v>8517343</v>
      </c>
      <c r="B21973" t="s">
        <v>19982</v>
      </c>
      <c r="C21973" t="s">
        <v>62</v>
      </c>
      <c r="D21973" s="21" t="s">
        <v>34</v>
      </c>
      <c r="E21973" s="21" t="s">
        <v>35</v>
      </c>
      <c r="F21973">
        <v>12850153</v>
      </c>
      <c r="G21973" t="s">
        <v>5794</v>
      </c>
      <c r="H21973" s="21">
        <v>703.67</v>
      </c>
    </row>
    <row r="21974" spans="1:8" customFormat="1" x14ac:dyDescent="0.25">
      <c r="A21974" t="str">
        <f>"6314523"</f>
        <v>6314523</v>
      </c>
      <c r="B21974" t="s">
        <v>17386</v>
      </c>
      <c r="C21974" t="s">
        <v>43</v>
      </c>
      <c r="D21974" s="21" t="s">
        <v>34</v>
      </c>
      <c r="E21974" s="21" t="s">
        <v>35</v>
      </c>
      <c r="F21974">
        <v>1630307</v>
      </c>
      <c r="G21974" t="s">
        <v>15524</v>
      </c>
      <c r="H21974" s="21">
        <v>703.67</v>
      </c>
    </row>
    <row r="21975" spans="1:8" customFormat="1" x14ac:dyDescent="0.25">
      <c r="A21975" t="str">
        <f>"5912801"</f>
        <v>5912801</v>
      </c>
      <c r="B21975" t="s">
        <v>16356</v>
      </c>
      <c r="C21975" t="s">
        <v>187</v>
      </c>
      <c r="D21975" s="21" t="s">
        <v>34</v>
      </c>
      <c r="E21975" s="21" t="s">
        <v>35</v>
      </c>
      <c r="F21975">
        <v>7590017</v>
      </c>
      <c r="G21975" t="s">
        <v>1316</v>
      </c>
      <c r="H21975" s="21">
        <v>703.67</v>
      </c>
    </row>
    <row r="21976" spans="1:8" customFormat="1" x14ac:dyDescent="0.25">
      <c r="A21976" t="str">
        <f>"3413729"</f>
        <v>3413729</v>
      </c>
      <c r="B21976" t="s">
        <v>16453</v>
      </c>
      <c r="C21976" t="s">
        <v>415</v>
      </c>
      <c r="D21976" s="21" t="s">
        <v>34</v>
      </c>
      <c r="E21976" s="21" t="s">
        <v>254</v>
      </c>
      <c r="F21976">
        <v>11340065</v>
      </c>
      <c r="G21976" t="s">
        <v>2022</v>
      </c>
      <c r="H21976" s="21">
        <v>703.67</v>
      </c>
    </row>
    <row r="21977" spans="1:8" customFormat="1" x14ac:dyDescent="0.25">
      <c r="A21977" t="str">
        <f>"8525219"</f>
        <v>8525219</v>
      </c>
      <c r="B21977" t="s">
        <v>9228</v>
      </c>
      <c r="C21977" t="s">
        <v>3522</v>
      </c>
      <c r="D21977" s="21" t="s">
        <v>34</v>
      </c>
      <c r="E21977" s="21" t="s">
        <v>35</v>
      </c>
      <c r="F21977">
        <v>12850104</v>
      </c>
      <c r="G21977" t="s">
        <v>6556</v>
      </c>
      <c r="H21977" s="21">
        <v>703.67</v>
      </c>
    </row>
    <row r="21978" spans="1:8" customFormat="1" x14ac:dyDescent="0.25">
      <c r="A21978" t="str">
        <f>"592561"</f>
        <v>592561</v>
      </c>
      <c r="B21978" t="s">
        <v>16049</v>
      </c>
      <c r="C21978" t="s">
        <v>65</v>
      </c>
      <c r="D21978" s="21" t="s">
        <v>34</v>
      </c>
      <c r="E21978" s="21" t="s">
        <v>254</v>
      </c>
      <c r="F21978">
        <v>7590331</v>
      </c>
      <c r="G21978" t="s">
        <v>4882</v>
      </c>
      <c r="H21978" s="21">
        <v>703.67</v>
      </c>
    </row>
    <row r="21979" spans="1:8" customFormat="1" x14ac:dyDescent="0.25">
      <c r="A21979" t="str">
        <f>"89350"</f>
        <v>89350</v>
      </c>
      <c r="B21979" t="s">
        <v>17557</v>
      </c>
      <c r="C21979" t="s">
        <v>388</v>
      </c>
      <c r="D21979" s="21" t="s">
        <v>34</v>
      </c>
      <c r="E21979" s="21" t="s">
        <v>1089</v>
      </c>
      <c r="F21979">
        <v>13130067</v>
      </c>
      <c r="G21979" t="s">
        <v>1420</v>
      </c>
      <c r="H21979" s="21">
        <v>703.67</v>
      </c>
    </row>
    <row r="21980" spans="1:8" customFormat="1" x14ac:dyDescent="0.25">
      <c r="A21980" t="str">
        <f>"591209"</f>
        <v>591209</v>
      </c>
      <c r="B21980" t="s">
        <v>14517</v>
      </c>
      <c r="C21980" t="s">
        <v>2479</v>
      </c>
      <c r="D21980" s="21" t="s">
        <v>34</v>
      </c>
      <c r="E21980" s="21" t="s">
        <v>1089</v>
      </c>
      <c r="F21980">
        <v>7590237</v>
      </c>
      <c r="G21980" t="s">
        <v>3600</v>
      </c>
      <c r="H21980" s="21">
        <v>703.67</v>
      </c>
    </row>
    <row r="21981" spans="1:8" customFormat="1" x14ac:dyDescent="0.25">
      <c r="A21981" t="str">
        <f>"6931332"</f>
        <v>6931332</v>
      </c>
      <c r="B21981" t="s">
        <v>17605</v>
      </c>
      <c r="C21981" t="s">
        <v>60</v>
      </c>
      <c r="D21981" s="21" t="s">
        <v>34</v>
      </c>
      <c r="E21981" s="21" t="s">
        <v>35</v>
      </c>
      <c r="F21981">
        <v>1690212</v>
      </c>
      <c r="G21981" t="s">
        <v>7834</v>
      </c>
      <c r="H21981" s="21">
        <v>703.67</v>
      </c>
    </row>
    <row r="21982" spans="1:8" customFormat="1" x14ac:dyDescent="0.25">
      <c r="A21982" t="str">
        <f>"3416777"</f>
        <v>3416777</v>
      </c>
      <c r="B21982" t="s">
        <v>13562</v>
      </c>
      <c r="C21982" t="s">
        <v>124</v>
      </c>
      <c r="D21982" s="21" t="s">
        <v>34</v>
      </c>
      <c r="E21982" s="21" t="s">
        <v>35</v>
      </c>
      <c r="F21982">
        <v>11340003</v>
      </c>
      <c r="G21982" t="s">
        <v>3326</v>
      </c>
      <c r="H21982" s="21">
        <v>703.67</v>
      </c>
    </row>
    <row r="21983" spans="1:8" customFormat="1" x14ac:dyDescent="0.25">
      <c r="A21983" t="str">
        <f>"564932"</f>
        <v>564932</v>
      </c>
      <c r="B21983" t="s">
        <v>18034</v>
      </c>
      <c r="C21983" t="s">
        <v>18035</v>
      </c>
      <c r="D21983" s="21" t="s">
        <v>34</v>
      </c>
      <c r="E21983" s="21" t="s">
        <v>254</v>
      </c>
      <c r="F21983">
        <v>3560096</v>
      </c>
      <c r="G21983" t="s">
        <v>2771</v>
      </c>
      <c r="H21983" s="21">
        <v>703.67</v>
      </c>
    </row>
    <row r="21984" spans="1:8" customFormat="1" x14ac:dyDescent="0.25">
      <c r="A21984" t="str">
        <f>"571229"</f>
        <v>571229</v>
      </c>
      <c r="B21984" t="s">
        <v>2082</v>
      </c>
      <c r="C21984" t="s">
        <v>15293</v>
      </c>
      <c r="D21984" s="21" t="s">
        <v>34</v>
      </c>
      <c r="E21984" s="21" t="s">
        <v>254</v>
      </c>
      <c r="F21984">
        <v>6570088</v>
      </c>
      <c r="G21984" t="s">
        <v>3461</v>
      </c>
      <c r="H21984" s="21">
        <v>703.67</v>
      </c>
    </row>
    <row r="21985" spans="1:8" customFormat="1" x14ac:dyDescent="0.25">
      <c r="A21985" t="str">
        <f>"166779"</f>
        <v>166779</v>
      </c>
      <c r="B21985" t="s">
        <v>1954</v>
      </c>
      <c r="C21985" t="s">
        <v>2907</v>
      </c>
      <c r="D21985" s="21" t="s">
        <v>34</v>
      </c>
      <c r="E21985" s="21" t="s">
        <v>71</v>
      </c>
      <c r="F21985">
        <v>10160196</v>
      </c>
      <c r="G21985" t="s">
        <v>13348</v>
      </c>
      <c r="H21985" s="21">
        <v>703.67</v>
      </c>
    </row>
    <row r="21986" spans="1:8" customFormat="1" x14ac:dyDescent="0.25">
      <c r="A21986" t="str">
        <f>"3341046"</f>
        <v>3341046</v>
      </c>
      <c r="B21986" t="s">
        <v>105</v>
      </c>
      <c r="C21986" t="s">
        <v>988</v>
      </c>
      <c r="D21986" s="21" t="s">
        <v>34</v>
      </c>
      <c r="E21986" s="21" t="s">
        <v>35</v>
      </c>
      <c r="F21986">
        <v>10330127</v>
      </c>
      <c r="G21986" t="s">
        <v>9051</v>
      </c>
      <c r="H21986" s="21">
        <v>703.67</v>
      </c>
    </row>
    <row r="21987" spans="1:8" customFormat="1" x14ac:dyDescent="0.25">
      <c r="A21987" t="str">
        <f>"8810735"</f>
        <v>8810735</v>
      </c>
      <c r="B21987" t="s">
        <v>67</v>
      </c>
      <c r="C21987" t="s">
        <v>2546</v>
      </c>
      <c r="D21987" s="21" t="s">
        <v>34</v>
      </c>
      <c r="E21987" s="21" t="s">
        <v>254</v>
      </c>
      <c r="F21987">
        <v>6880002</v>
      </c>
      <c r="G21987" t="s">
        <v>501</v>
      </c>
      <c r="H21987" s="21">
        <v>703.67</v>
      </c>
    </row>
    <row r="21988" spans="1:8" customFormat="1" x14ac:dyDescent="0.25">
      <c r="A21988" t="str">
        <f>"4451568"</f>
        <v>4451568</v>
      </c>
      <c r="B21988" t="s">
        <v>2438</v>
      </c>
      <c r="C21988" t="s">
        <v>121</v>
      </c>
      <c r="D21988" s="21" t="s">
        <v>34</v>
      </c>
      <c r="E21988" s="21" t="s">
        <v>35</v>
      </c>
      <c r="F21988">
        <v>12440094</v>
      </c>
      <c r="G21988" t="s">
        <v>892</v>
      </c>
      <c r="H21988" s="21">
        <v>703.67</v>
      </c>
    </row>
    <row r="21989" spans="1:8" customFormat="1" x14ac:dyDescent="0.25">
      <c r="A21989" t="str">
        <f>"9532708"</f>
        <v>9532708</v>
      </c>
      <c r="B21989" t="s">
        <v>18699</v>
      </c>
      <c r="C21989" t="s">
        <v>37</v>
      </c>
      <c r="D21989" s="21" t="s">
        <v>34</v>
      </c>
      <c r="E21989" s="21" t="s">
        <v>35</v>
      </c>
      <c r="F21989">
        <v>8950119</v>
      </c>
      <c r="G21989" t="s">
        <v>8174</v>
      </c>
      <c r="H21989" s="21">
        <v>703.67</v>
      </c>
    </row>
    <row r="21990" spans="1:8" customFormat="1" x14ac:dyDescent="0.25">
      <c r="A21990" t="str">
        <f>"6811199"</f>
        <v>6811199</v>
      </c>
      <c r="B21990" t="s">
        <v>16293</v>
      </c>
      <c r="C21990" t="s">
        <v>2479</v>
      </c>
      <c r="D21990" s="21" t="s">
        <v>34</v>
      </c>
      <c r="E21990" s="21" t="s">
        <v>1089</v>
      </c>
      <c r="F21990">
        <v>6680135</v>
      </c>
      <c r="G21990" t="s">
        <v>14743</v>
      </c>
      <c r="H21990" s="21">
        <v>703.67</v>
      </c>
    </row>
    <row r="21991" spans="1:8" customFormat="1" x14ac:dyDescent="0.25">
      <c r="A21991" t="str">
        <f>"4432132"</f>
        <v>4432132</v>
      </c>
      <c r="B21991" t="s">
        <v>14291</v>
      </c>
      <c r="C21991" t="s">
        <v>147</v>
      </c>
      <c r="D21991" s="21" t="s">
        <v>34</v>
      </c>
      <c r="E21991" s="21" t="s">
        <v>35</v>
      </c>
      <c r="F21991">
        <v>12440199</v>
      </c>
      <c r="G21991" t="s">
        <v>4653</v>
      </c>
      <c r="H21991" s="21">
        <v>703.67</v>
      </c>
    </row>
    <row r="21992" spans="1:8" customFormat="1" x14ac:dyDescent="0.25">
      <c r="A21992" t="str">
        <f>"372330"</f>
        <v>372330</v>
      </c>
      <c r="B21992" t="s">
        <v>3947</v>
      </c>
      <c r="C21992" t="s">
        <v>233</v>
      </c>
      <c r="D21992" s="21" t="s">
        <v>34</v>
      </c>
      <c r="E21992" s="21" t="s">
        <v>71</v>
      </c>
      <c r="F21992">
        <v>4370548</v>
      </c>
      <c r="G21992" t="s">
        <v>7106</v>
      </c>
      <c r="H21992" s="21">
        <v>703.67</v>
      </c>
    </row>
    <row r="21993" spans="1:8" customFormat="1" x14ac:dyDescent="0.25">
      <c r="A21993" t="str">
        <f>"618389"</f>
        <v>618389</v>
      </c>
      <c r="B21993" t="s">
        <v>5602</v>
      </c>
      <c r="C21993" t="s">
        <v>98</v>
      </c>
      <c r="D21993" s="21" t="s">
        <v>34</v>
      </c>
      <c r="E21993" s="21" t="s">
        <v>35</v>
      </c>
      <c r="F21993">
        <v>9610037</v>
      </c>
      <c r="G21993" t="s">
        <v>12283</v>
      </c>
      <c r="H21993" s="21">
        <v>703.67</v>
      </c>
    </row>
    <row r="21994" spans="1:8" customFormat="1" x14ac:dyDescent="0.25">
      <c r="A21994" t="str">
        <f>"169488"</f>
        <v>169488</v>
      </c>
      <c r="B21994" t="s">
        <v>16659</v>
      </c>
      <c r="C21994" t="s">
        <v>87</v>
      </c>
      <c r="D21994" s="21" t="s">
        <v>34</v>
      </c>
      <c r="E21994" s="21" t="s">
        <v>71</v>
      </c>
      <c r="F21994">
        <v>10160018</v>
      </c>
      <c r="G21994" t="s">
        <v>6900</v>
      </c>
      <c r="H21994" s="21">
        <v>703.67</v>
      </c>
    </row>
    <row r="21995" spans="1:8" customFormat="1" x14ac:dyDescent="0.25">
      <c r="A21995" t="str">
        <f>"9125592"</f>
        <v>9125592</v>
      </c>
      <c r="B21995" t="s">
        <v>16447</v>
      </c>
      <c r="C21995" t="s">
        <v>2529</v>
      </c>
      <c r="D21995" s="21" t="s">
        <v>34</v>
      </c>
      <c r="E21995" s="21" t="s">
        <v>71</v>
      </c>
      <c r="F21995">
        <v>8911458</v>
      </c>
      <c r="G21995" t="s">
        <v>16448</v>
      </c>
      <c r="H21995" s="21">
        <v>703.67</v>
      </c>
    </row>
    <row r="21996" spans="1:8" customFormat="1" x14ac:dyDescent="0.25">
      <c r="A21996" t="str">
        <f>"7111250"</f>
        <v>7111250</v>
      </c>
      <c r="B21996" t="s">
        <v>16733</v>
      </c>
      <c r="C21996" t="s">
        <v>415</v>
      </c>
      <c r="D21996" s="21" t="s">
        <v>34</v>
      </c>
      <c r="E21996" s="21" t="s">
        <v>254</v>
      </c>
      <c r="F21996">
        <v>2710008</v>
      </c>
      <c r="G21996" t="s">
        <v>10040</v>
      </c>
      <c r="H21996" s="21">
        <v>703.54</v>
      </c>
    </row>
    <row r="21997" spans="1:8" customFormat="1" x14ac:dyDescent="0.25">
      <c r="A21997" t="str">
        <f>"8313985"</f>
        <v>8313985</v>
      </c>
      <c r="B21997" t="s">
        <v>205</v>
      </c>
      <c r="C21997" t="s">
        <v>65</v>
      </c>
      <c r="D21997" s="21" t="s">
        <v>34</v>
      </c>
      <c r="E21997" s="21" t="s">
        <v>35</v>
      </c>
      <c r="F21997">
        <v>13830044</v>
      </c>
      <c r="G21997" t="s">
        <v>945</v>
      </c>
      <c r="H21997" s="21">
        <v>703.42</v>
      </c>
    </row>
    <row r="21998" spans="1:8" customFormat="1" x14ac:dyDescent="0.25">
      <c r="A21998" t="str">
        <f>"8816747"</f>
        <v>8816747</v>
      </c>
      <c r="B21998" t="s">
        <v>185</v>
      </c>
      <c r="C21998" t="s">
        <v>198</v>
      </c>
      <c r="D21998" s="21" t="s">
        <v>34</v>
      </c>
      <c r="E21998" s="21" t="s">
        <v>71</v>
      </c>
      <c r="F21998">
        <v>6880086</v>
      </c>
      <c r="G21998" t="s">
        <v>3245</v>
      </c>
      <c r="H21998" s="21">
        <v>703.29</v>
      </c>
    </row>
    <row r="21999" spans="1:8" customFormat="1" x14ac:dyDescent="0.25">
      <c r="A21999" t="str">
        <f>"37632"</f>
        <v>37632</v>
      </c>
      <c r="B21999" t="s">
        <v>15812</v>
      </c>
      <c r="C21999" t="s">
        <v>1887</v>
      </c>
      <c r="D21999" s="21" t="s">
        <v>34</v>
      </c>
      <c r="E21999" s="21" t="s">
        <v>6185</v>
      </c>
      <c r="F21999">
        <v>4370132</v>
      </c>
      <c r="G21999" t="s">
        <v>2262</v>
      </c>
      <c r="H21999" s="21">
        <v>703.17</v>
      </c>
    </row>
    <row r="22000" spans="1:8" customFormat="1" x14ac:dyDescent="0.25">
      <c r="A22000" t="str">
        <f>"4438896"</f>
        <v>4438896</v>
      </c>
      <c r="B22000" t="s">
        <v>3725</v>
      </c>
      <c r="C22000" t="s">
        <v>1110</v>
      </c>
      <c r="D22000" s="21" t="s">
        <v>34</v>
      </c>
      <c r="E22000" s="21" t="s">
        <v>254</v>
      </c>
      <c r="F22000">
        <v>12440193</v>
      </c>
      <c r="G22000" t="s">
        <v>3786</v>
      </c>
      <c r="H22000" s="21">
        <v>703.17</v>
      </c>
    </row>
    <row r="22001" spans="1:8" customFormat="1" x14ac:dyDescent="0.25">
      <c r="A22001" t="str">
        <f>"472832"</f>
        <v>472832</v>
      </c>
      <c r="B22001" t="s">
        <v>5827</v>
      </c>
      <c r="C22001" t="s">
        <v>10114</v>
      </c>
      <c r="D22001" s="21" t="s">
        <v>34</v>
      </c>
      <c r="E22001" s="21" t="s">
        <v>71</v>
      </c>
      <c r="F22001">
        <v>10470021</v>
      </c>
      <c r="G22001" t="s">
        <v>1034</v>
      </c>
      <c r="H22001" s="21">
        <v>703.17</v>
      </c>
    </row>
    <row r="22002" spans="1:8" customFormat="1" x14ac:dyDescent="0.25">
      <c r="A22002" t="str">
        <f>"7911716"</f>
        <v>7911716</v>
      </c>
      <c r="B22002" t="s">
        <v>5487</v>
      </c>
      <c r="C22002" t="s">
        <v>415</v>
      </c>
      <c r="D22002" s="21" t="s">
        <v>34</v>
      </c>
      <c r="E22002" s="21" t="s">
        <v>71</v>
      </c>
      <c r="F22002">
        <v>10790158</v>
      </c>
      <c r="G22002" t="s">
        <v>9319</v>
      </c>
      <c r="H22002" s="21">
        <v>703.17</v>
      </c>
    </row>
    <row r="22003" spans="1:8" customFormat="1" x14ac:dyDescent="0.25">
      <c r="A22003" t="str">
        <f>"1614005"</f>
        <v>1614005</v>
      </c>
      <c r="B22003" t="s">
        <v>7512</v>
      </c>
      <c r="C22003" t="s">
        <v>19837</v>
      </c>
      <c r="D22003" s="21" t="s">
        <v>34</v>
      </c>
      <c r="E22003" s="21" t="s">
        <v>35</v>
      </c>
      <c r="F22003">
        <v>10160237</v>
      </c>
      <c r="G22003" t="s">
        <v>8818</v>
      </c>
      <c r="H22003" s="21">
        <v>703.17</v>
      </c>
    </row>
    <row r="22004" spans="1:8" customFormat="1" x14ac:dyDescent="0.25">
      <c r="A22004" t="str">
        <f>"8313820"</f>
        <v>8313820</v>
      </c>
      <c r="B22004" t="s">
        <v>17629</v>
      </c>
      <c r="C22004" t="s">
        <v>60</v>
      </c>
      <c r="D22004" s="21" t="s">
        <v>34</v>
      </c>
      <c r="E22004" s="21" t="s">
        <v>35</v>
      </c>
      <c r="F22004">
        <v>13830064</v>
      </c>
      <c r="G22004" t="s">
        <v>8410</v>
      </c>
      <c r="H22004" s="21">
        <v>703.17</v>
      </c>
    </row>
    <row r="22005" spans="1:8" customFormat="1" x14ac:dyDescent="0.25">
      <c r="A22005" t="str">
        <f>"5941238"</f>
        <v>5941238</v>
      </c>
      <c r="B22005" t="s">
        <v>9386</v>
      </c>
      <c r="C22005" t="s">
        <v>87</v>
      </c>
      <c r="D22005" s="21" t="s">
        <v>34</v>
      </c>
      <c r="E22005" s="21" t="s">
        <v>71</v>
      </c>
      <c r="F22005">
        <v>7590361</v>
      </c>
      <c r="G22005" t="s">
        <v>3071</v>
      </c>
      <c r="H22005" s="21">
        <v>703.17</v>
      </c>
    </row>
    <row r="22006" spans="1:8" customFormat="1" x14ac:dyDescent="0.25">
      <c r="A22006" t="str">
        <f>"626421"</f>
        <v>626421</v>
      </c>
      <c r="B22006" t="s">
        <v>16454</v>
      </c>
      <c r="C22006" t="s">
        <v>2520</v>
      </c>
      <c r="D22006" s="21" t="s">
        <v>34</v>
      </c>
      <c r="E22006" s="21" t="s">
        <v>71</v>
      </c>
      <c r="F22006">
        <v>7620131</v>
      </c>
      <c r="G22006" t="s">
        <v>9562</v>
      </c>
      <c r="H22006" s="21">
        <v>703.17</v>
      </c>
    </row>
    <row r="22007" spans="1:8" customFormat="1" x14ac:dyDescent="0.25">
      <c r="A22007" t="str">
        <f>"278258"</f>
        <v>278258</v>
      </c>
      <c r="B22007" t="s">
        <v>17856</v>
      </c>
      <c r="C22007" t="s">
        <v>130</v>
      </c>
      <c r="D22007" s="21" t="s">
        <v>34</v>
      </c>
      <c r="E22007" s="21" t="s">
        <v>35</v>
      </c>
      <c r="F22007">
        <v>9270006</v>
      </c>
      <c r="G22007" t="s">
        <v>780</v>
      </c>
      <c r="H22007" s="21">
        <v>703.17</v>
      </c>
    </row>
    <row r="22008" spans="1:8" customFormat="1" x14ac:dyDescent="0.25">
      <c r="A22008" t="str">
        <f>"22270"</f>
        <v>22270</v>
      </c>
      <c r="B22008" t="s">
        <v>16677</v>
      </c>
      <c r="C22008" t="s">
        <v>453</v>
      </c>
      <c r="D22008" s="21" t="s">
        <v>34</v>
      </c>
      <c r="E22008" s="21" t="s">
        <v>1089</v>
      </c>
      <c r="F22008">
        <v>3560043</v>
      </c>
      <c r="G22008" t="s">
        <v>11635</v>
      </c>
      <c r="H22008" s="21">
        <v>703.17</v>
      </c>
    </row>
    <row r="22009" spans="1:8" customFormat="1" x14ac:dyDescent="0.25">
      <c r="A22009" t="str">
        <f>"693992"</f>
        <v>693992</v>
      </c>
      <c r="B22009" t="s">
        <v>16553</v>
      </c>
      <c r="C22009" t="s">
        <v>267</v>
      </c>
      <c r="D22009" s="21" t="s">
        <v>34</v>
      </c>
      <c r="E22009" s="21" t="s">
        <v>254</v>
      </c>
      <c r="F22009">
        <v>1690004</v>
      </c>
      <c r="G22009" t="s">
        <v>12294</v>
      </c>
      <c r="H22009" s="21">
        <v>703.17</v>
      </c>
    </row>
    <row r="22010" spans="1:8" customFormat="1" x14ac:dyDescent="0.25">
      <c r="A22010" t="str">
        <f>"6310164"</f>
        <v>6310164</v>
      </c>
      <c r="B22010" t="s">
        <v>10061</v>
      </c>
      <c r="C22010" t="s">
        <v>926</v>
      </c>
      <c r="D22010" s="21" t="s">
        <v>34</v>
      </c>
      <c r="E22010" s="21" t="s">
        <v>254</v>
      </c>
      <c r="F22010">
        <v>1630184</v>
      </c>
      <c r="G22010" t="s">
        <v>26702</v>
      </c>
      <c r="H22010" s="21">
        <v>703.17</v>
      </c>
    </row>
    <row r="22011" spans="1:8" customFormat="1" x14ac:dyDescent="0.25">
      <c r="A22011" t="str">
        <f>"728993"</f>
        <v>728993</v>
      </c>
      <c r="B22011" t="s">
        <v>16734</v>
      </c>
      <c r="C22011" t="s">
        <v>124</v>
      </c>
      <c r="D22011" s="21" t="s">
        <v>34</v>
      </c>
      <c r="E22011" s="21" t="s">
        <v>254</v>
      </c>
      <c r="F22011">
        <v>12720078</v>
      </c>
      <c r="G22011" t="s">
        <v>5085</v>
      </c>
      <c r="H22011" s="21">
        <v>703.17</v>
      </c>
    </row>
    <row r="22012" spans="1:8" customFormat="1" x14ac:dyDescent="0.25">
      <c r="A22012" t="str">
        <f>"5421135"</f>
        <v>5421135</v>
      </c>
      <c r="B22012" t="s">
        <v>17100</v>
      </c>
      <c r="C22012" t="s">
        <v>139</v>
      </c>
      <c r="D22012" s="21" t="s">
        <v>34</v>
      </c>
      <c r="E22012" s="21" t="s">
        <v>35</v>
      </c>
      <c r="F22012">
        <v>6540008</v>
      </c>
      <c r="G22012" t="s">
        <v>3891</v>
      </c>
      <c r="H22012" s="21">
        <v>703.17</v>
      </c>
    </row>
    <row r="22013" spans="1:8" customFormat="1" x14ac:dyDescent="0.25">
      <c r="A22013" t="str">
        <f>"2810732"</f>
        <v>2810732</v>
      </c>
      <c r="B22013" t="s">
        <v>16388</v>
      </c>
      <c r="C22013" t="s">
        <v>87</v>
      </c>
      <c r="D22013" s="21" t="s">
        <v>34</v>
      </c>
      <c r="E22013" s="21" t="s">
        <v>35</v>
      </c>
      <c r="F22013">
        <v>4280104</v>
      </c>
      <c r="G22013" t="s">
        <v>8480</v>
      </c>
      <c r="H22013" s="21">
        <v>703.17</v>
      </c>
    </row>
    <row r="22014" spans="1:8" customFormat="1" x14ac:dyDescent="0.25">
      <c r="A22014" t="str">
        <f>"803101"</f>
        <v>803101</v>
      </c>
      <c r="B22014" t="s">
        <v>18883</v>
      </c>
      <c r="C22014" t="s">
        <v>926</v>
      </c>
      <c r="D22014" s="21" t="s">
        <v>34</v>
      </c>
      <c r="E22014" s="21" t="s">
        <v>254</v>
      </c>
      <c r="F22014">
        <v>7800061</v>
      </c>
      <c r="G22014" t="s">
        <v>1330</v>
      </c>
      <c r="H22014" s="21">
        <v>703.17</v>
      </c>
    </row>
    <row r="22015" spans="1:8" customFormat="1" x14ac:dyDescent="0.25">
      <c r="A22015" t="str">
        <f>"713499"</f>
        <v>713499</v>
      </c>
      <c r="B22015" t="s">
        <v>16451</v>
      </c>
      <c r="C22015" t="s">
        <v>156</v>
      </c>
      <c r="D22015" s="21" t="s">
        <v>34</v>
      </c>
      <c r="E22015" s="21" t="s">
        <v>254</v>
      </c>
      <c r="F22015">
        <v>2710049</v>
      </c>
      <c r="G22015" t="s">
        <v>11357</v>
      </c>
      <c r="H22015" s="21">
        <v>703.17</v>
      </c>
    </row>
    <row r="22016" spans="1:8" customFormat="1" x14ac:dyDescent="0.25">
      <c r="A22016" t="str">
        <f>"5010968"</f>
        <v>5010968</v>
      </c>
      <c r="B22016" t="s">
        <v>1407</v>
      </c>
      <c r="C22016" t="s">
        <v>2168</v>
      </c>
      <c r="D22016" s="21" t="s">
        <v>34</v>
      </c>
      <c r="E22016" s="21" t="s">
        <v>35</v>
      </c>
      <c r="F22016">
        <v>9500088</v>
      </c>
      <c r="G22016" t="s">
        <v>15949</v>
      </c>
      <c r="H22016" s="21">
        <v>703.17</v>
      </c>
    </row>
    <row r="22017" spans="1:8" customFormat="1" x14ac:dyDescent="0.25">
      <c r="A22017" t="str">
        <f>"4444111"</f>
        <v>4444111</v>
      </c>
      <c r="B22017" t="s">
        <v>11027</v>
      </c>
      <c r="C22017" t="s">
        <v>65</v>
      </c>
      <c r="D22017" s="21" t="s">
        <v>34</v>
      </c>
      <c r="E22017" s="21" t="s">
        <v>71</v>
      </c>
      <c r="F22017">
        <v>12440033</v>
      </c>
      <c r="G22017" t="s">
        <v>1638</v>
      </c>
      <c r="H22017" s="21">
        <v>703.17</v>
      </c>
    </row>
    <row r="22018" spans="1:8" customFormat="1" x14ac:dyDescent="0.25">
      <c r="A22018" t="str">
        <f>"2928180"</f>
        <v>2928180</v>
      </c>
      <c r="B22018" t="s">
        <v>8926</v>
      </c>
      <c r="C22018" t="s">
        <v>1665</v>
      </c>
      <c r="D22018" s="21" t="s">
        <v>34</v>
      </c>
      <c r="E22018" s="21" t="s">
        <v>71</v>
      </c>
      <c r="F22018">
        <v>3290009</v>
      </c>
      <c r="G22018" t="s">
        <v>4358</v>
      </c>
      <c r="H22018" s="21">
        <v>703.17</v>
      </c>
    </row>
    <row r="22019" spans="1:8" customFormat="1" x14ac:dyDescent="0.25">
      <c r="A22019" t="str">
        <f>"3412814"</f>
        <v>3412814</v>
      </c>
      <c r="B22019" t="s">
        <v>10514</v>
      </c>
      <c r="C22019" t="s">
        <v>926</v>
      </c>
      <c r="D22019" s="21" t="s">
        <v>34</v>
      </c>
      <c r="E22019" s="21" t="s">
        <v>1089</v>
      </c>
      <c r="F22019">
        <v>11340053</v>
      </c>
      <c r="G22019" t="s">
        <v>9935</v>
      </c>
      <c r="H22019" s="21">
        <v>703.17</v>
      </c>
    </row>
    <row r="22020" spans="1:8" customFormat="1" x14ac:dyDescent="0.25">
      <c r="A22020" t="str">
        <f>"7725809"</f>
        <v>7725809</v>
      </c>
      <c r="B22020" t="s">
        <v>18162</v>
      </c>
      <c r="C22020" t="s">
        <v>18163</v>
      </c>
      <c r="D22020" s="21" t="s">
        <v>34</v>
      </c>
      <c r="E22020" s="21" t="s">
        <v>71</v>
      </c>
      <c r="F22020">
        <v>8771398</v>
      </c>
      <c r="G22020" t="s">
        <v>2759</v>
      </c>
      <c r="H22020" s="21">
        <v>703.04</v>
      </c>
    </row>
    <row r="22021" spans="1:8" customFormat="1" x14ac:dyDescent="0.25">
      <c r="A22021" t="str">
        <f>"371874"</f>
        <v>371874</v>
      </c>
      <c r="B22021" t="s">
        <v>15862</v>
      </c>
      <c r="C22021" t="s">
        <v>462</v>
      </c>
      <c r="D22021" s="21" t="s">
        <v>34</v>
      </c>
      <c r="E22021" s="21" t="s">
        <v>71</v>
      </c>
      <c r="F22021">
        <v>4370002</v>
      </c>
      <c r="G22021" t="s">
        <v>112</v>
      </c>
      <c r="H22021" s="21">
        <v>702.92</v>
      </c>
    </row>
    <row r="22022" spans="1:8" customFormat="1" x14ac:dyDescent="0.25">
      <c r="A22022" t="str">
        <f>"7861862"</f>
        <v>7861862</v>
      </c>
      <c r="B22022" t="s">
        <v>21055</v>
      </c>
      <c r="C22022" t="s">
        <v>233</v>
      </c>
      <c r="D22022" s="21" t="s">
        <v>34</v>
      </c>
      <c r="E22022" s="21" t="s">
        <v>35</v>
      </c>
      <c r="F22022">
        <v>8780128</v>
      </c>
      <c r="G22022" t="s">
        <v>4201</v>
      </c>
      <c r="H22022" s="21">
        <v>702.79</v>
      </c>
    </row>
    <row r="22023" spans="1:8" customFormat="1" x14ac:dyDescent="0.25">
      <c r="A22023" t="str">
        <f>"105053"</f>
        <v>105053</v>
      </c>
      <c r="B22023" t="s">
        <v>11838</v>
      </c>
      <c r="C22023" t="s">
        <v>144</v>
      </c>
      <c r="D22023" s="21" t="s">
        <v>34</v>
      </c>
      <c r="E22023" s="21" t="s">
        <v>35</v>
      </c>
      <c r="F22023">
        <v>6100035</v>
      </c>
      <c r="G22023" t="s">
        <v>26807</v>
      </c>
      <c r="H22023" s="21">
        <v>702.67</v>
      </c>
    </row>
    <row r="22024" spans="1:8" customFormat="1" x14ac:dyDescent="0.25">
      <c r="A22024" t="str">
        <f>"646700"</f>
        <v>646700</v>
      </c>
      <c r="B22024" t="s">
        <v>17742</v>
      </c>
      <c r="C22024" t="s">
        <v>486</v>
      </c>
      <c r="D22024" s="21" t="s">
        <v>34</v>
      </c>
      <c r="E22024" s="21" t="s">
        <v>35</v>
      </c>
      <c r="F22024">
        <v>10640013</v>
      </c>
      <c r="G22024" t="s">
        <v>4626</v>
      </c>
      <c r="H22024" s="21">
        <v>702.67</v>
      </c>
    </row>
    <row r="22025" spans="1:8" customFormat="1" x14ac:dyDescent="0.25">
      <c r="A22025" t="str">
        <f>"5617271"</f>
        <v>5617271</v>
      </c>
      <c r="B22025" t="s">
        <v>14762</v>
      </c>
      <c r="C22025" t="s">
        <v>119</v>
      </c>
      <c r="D22025" s="21" t="s">
        <v>34</v>
      </c>
      <c r="E22025" s="21" t="s">
        <v>35</v>
      </c>
      <c r="F22025">
        <v>3560049</v>
      </c>
      <c r="G22025" t="s">
        <v>8021</v>
      </c>
      <c r="H22025" s="21">
        <v>702.67</v>
      </c>
    </row>
    <row r="22026" spans="1:8" customFormat="1" x14ac:dyDescent="0.25">
      <c r="A22026" t="str">
        <f>"407009"</f>
        <v>407009</v>
      </c>
      <c r="B22026" t="s">
        <v>2201</v>
      </c>
      <c r="C22026" t="s">
        <v>328</v>
      </c>
      <c r="D22026" s="21" t="s">
        <v>34</v>
      </c>
      <c r="E22026" s="21" t="s">
        <v>35</v>
      </c>
      <c r="F22026">
        <v>10400024</v>
      </c>
      <c r="G22026" t="s">
        <v>4680</v>
      </c>
      <c r="H22026" s="21">
        <v>702.67</v>
      </c>
    </row>
    <row r="22027" spans="1:8" customFormat="1" x14ac:dyDescent="0.25">
      <c r="A22027" t="str">
        <f>"6111404"</f>
        <v>6111404</v>
      </c>
      <c r="B22027" t="s">
        <v>5343</v>
      </c>
      <c r="C22027" t="s">
        <v>3456</v>
      </c>
      <c r="D22027" s="21" t="s">
        <v>34</v>
      </c>
      <c r="E22027" s="21" t="s">
        <v>71</v>
      </c>
      <c r="F22027">
        <v>9610122</v>
      </c>
      <c r="G22027" t="s">
        <v>4349</v>
      </c>
      <c r="H22027" s="21">
        <v>702.67</v>
      </c>
    </row>
    <row r="22028" spans="1:8" customFormat="1" x14ac:dyDescent="0.25">
      <c r="A22028" t="str">
        <f>"611353"</f>
        <v>611353</v>
      </c>
      <c r="B22028" t="s">
        <v>16853</v>
      </c>
      <c r="C22028" t="s">
        <v>249</v>
      </c>
      <c r="D22028" s="21" t="s">
        <v>34</v>
      </c>
      <c r="E22028" s="21" t="s">
        <v>71</v>
      </c>
      <c r="F22028">
        <v>9610040</v>
      </c>
      <c r="G22028" t="s">
        <v>10321</v>
      </c>
      <c r="H22028" s="21">
        <v>702.67</v>
      </c>
    </row>
    <row r="22029" spans="1:8" customFormat="1" x14ac:dyDescent="0.25">
      <c r="A22029" t="str">
        <f>"377205"</f>
        <v>377205</v>
      </c>
      <c r="B22029" t="s">
        <v>2084</v>
      </c>
      <c r="C22029" t="s">
        <v>87</v>
      </c>
      <c r="D22029" s="21" t="s">
        <v>34</v>
      </c>
      <c r="E22029" s="21" t="s">
        <v>35</v>
      </c>
      <c r="F22029">
        <v>4370690</v>
      </c>
      <c r="G22029" t="s">
        <v>8128</v>
      </c>
      <c r="H22029" s="21">
        <v>702.67</v>
      </c>
    </row>
    <row r="22030" spans="1:8" customFormat="1" x14ac:dyDescent="0.25">
      <c r="A22030" t="str">
        <f>"629820"</f>
        <v>629820</v>
      </c>
      <c r="B22030" t="s">
        <v>13490</v>
      </c>
      <c r="C22030" t="s">
        <v>269</v>
      </c>
      <c r="D22030" s="21" t="s">
        <v>34</v>
      </c>
      <c r="E22030" s="21" t="s">
        <v>254</v>
      </c>
      <c r="F22030">
        <v>7620087</v>
      </c>
      <c r="G22030" t="s">
        <v>7637</v>
      </c>
      <c r="H22030" s="21">
        <v>702.67</v>
      </c>
    </row>
    <row r="22031" spans="1:8" customFormat="1" x14ac:dyDescent="0.25">
      <c r="A22031" t="str">
        <f>"5430532"</f>
        <v>5430532</v>
      </c>
      <c r="B22031" t="s">
        <v>17969</v>
      </c>
      <c r="C22031" t="s">
        <v>33</v>
      </c>
      <c r="D22031" s="21" t="s">
        <v>34</v>
      </c>
      <c r="E22031" s="21" t="s">
        <v>35</v>
      </c>
      <c r="F22031">
        <v>6540184</v>
      </c>
      <c r="G22031" t="s">
        <v>4395</v>
      </c>
      <c r="H22031" s="21">
        <v>702.67</v>
      </c>
    </row>
    <row r="22032" spans="1:8" customFormat="1" x14ac:dyDescent="0.25">
      <c r="A22032" t="str">
        <f>"9226397"</f>
        <v>9226397</v>
      </c>
      <c r="B22032" t="s">
        <v>14152</v>
      </c>
      <c r="C22032" t="s">
        <v>62</v>
      </c>
      <c r="D22032" s="21" t="s">
        <v>34</v>
      </c>
      <c r="E22032" s="21" t="s">
        <v>71</v>
      </c>
      <c r="F22032">
        <v>8780224</v>
      </c>
      <c r="G22032" t="s">
        <v>8599</v>
      </c>
      <c r="H22032" s="21">
        <v>702.67</v>
      </c>
    </row>
    <row r="22033" spans="1:8" customFormat="1" x14ac:dyDescent="0.25">
      <c r="A22033" t="str">
        <f>"372590"</f>
        <v>372590</v>
      </c>
      <c r="B22033" t="s">
        <v>5597</v>
      </c>
      <c r="C22033" t="s">
        <v>415</v>
      </c>
      <c r="D22033" s="21" t="s">
        <v>34</v>
      </c>
      <c r="E22033" s="21" t="s">
        <v>254</v>
      </c>
      <c r="F22033">
        <v>4370307</v>
      </c>
      <c r="G22033" t="s">
        <v>7652</v>
      </c>
      <c r="H22033" s="21">
        <v>702.67</v>
      </c>
    </row>
    <row r="22034" spans="1:8" customFormat="1" x14ac:dyDescent="0.25">
      <c r="A22034" t="str">
        <f>"1413477"</f>
        <v>1413477</v>
      </c>
      <c r="B22034" t="s">
        <v>14724</v>
      </c>
      <c r="C22034" t="s">
        <v>544</v>
      </c>
      <c r="D22034" s="21" t="s">
        <v>34</v>
      </c>
      <c r="E22034" s="21" t="s">
        <v>71</v>
      </c>
      <c r="F22034">
        <v>9140054</v>
      </c>
      <c r="G22034" t="s">
        <v>3300</v>
      </c>
      <c r="H22034" s="21">
        <v>702.67</v>
      </c>
    </row>
    <row r="22035" spans="1:8" customFormat="1" x14ac:dyDescent="0.25">
      <c r="A22035" t="str">
        <f>"9423026"</f>
        <v>9423026</v>
      </c>
      <c r="B22035" t="s">
        <v>1590</v>
      </c>
      <c r="C22035" t="s">
        <v>239</v>
      </c>
      <c r="D22035" s="21" t="s">
        <v>34</v>
      </c>
      <c r="E22035" s="21" t="s">
        <v>35</v>
      </c>
      <c r="F22035">
        <v>12440008</v>
      </c>
      <c r="G22035" t="s">
        <v>4570</v>
      </c>
      <c r="H22035" s="21">
        <v>702.67</v>
      </c>
    </row>
    <row r="22036" spans="1:8" customFormat="1" x14ac:dyDescent="0.25">
      <c r="A22036" t="str">
        <f>"7828685"</f>
        <v>7828685</v>
      </c>
      <c r="B22036" t="s">
        <v>18099</v>
      </c>
      <c r="C22036" t="s">
        <v>33</v>
      </c>
      <c r="D22036" s="21" t="s">
        <v>34</v>
      </c>
      <c r="E22036" s="21" t="s">
        <v>35</v>
      </c>
      <c r="F22036">
        <v>12440185</v>
      </c>
      <c r="G22036" t="s">
        <v>12476</v>
      </c>
      <c r="H22036" s="21">
        <v>702.67</v>
      </c>
    </row>
    <row r="22037" spans="1:8" customFormat="1" x14ac:dyDescent="0.25">
      <c r="A22037" t="str">
        <f>"5618386"</f>
        <v>5618386</v>
      </c>
      <c r="B22037" t="s">
        <v>17287</v>
      </c>
      <c r="C22037" t="s">
        <v>130</v>
      </c>
      <c r="D22037" s="21" t="s">
        <v>34</v>
      </c>
      <c r="E22037" s="21" t="s">
        <v>35</v>
      </c>
      <c r="F22037">
        <v>3560017</v>
      </c>
      <c r="G22037" t="s">
        <v>5745</v>
      </c>
      <c r="H22037" s="21">
        <v>702.67</v>
      </c>
    </row>
    <row r="22038" spans="1:8" customFormat="1" x14ac:dyDescent="0.25">
      <c r="A22038" t="str">
        <f>"2510827"</f>
        <v>2510827</v>
      </c>
      <c r="B22038" t="s">
        <v>16458</v>
      </c>
      <c r="C22038" t="s">
        <v>564</v>
      </c>
      <c r="D22038" s="21" t="s">
        <v>34</v>
      </c>
      <c r="E22038" s="21" t="s">
        <v>71</v>
      </c>
      <c r="F22038">
        <v>2250033</v>
      </c>
      <c r="G22038" t="s">
        <v>4951</v>
      </c>
      <c r="H22038" s="21">
        <v>702.67</v>
      </c>
    </row>
    <row r="22039" spans="1:8" customFormat="1" x14ac:dyDescent="0.25">
      <c r="A22039" t="str">
        <f>"76252"</f>
        <v>76252</v>
      </c>
      <c r="B22039" t="s">
        <v>17029</v>
      </c>
      <c r="C22039" t="s">
        <v>253</v>
      </c>
      <c r="D22039" s="21" t="s">
        <v>34</v>
      </c>
      <c r="E22039" s="21" t="s">
        <v>6185</v>
      </c>
      <c r="F22039">
        <v>9760007</v>
      </c>
      <c r="G22039" t="s">
        <v>7255</v>
      </c>
      <c r="H22039" s="21">
        <v>702.67</v>
      </c>
    </row>
    <row r="22040" spans="1:8" customFormat="1" x14ac:dyDescent="0.25">
      <c r="A22040" t="str">
        <f>"7635985"</f>
        <v>7635985</v>
      </c>
      <c r="B22040" t="s">
        <v>1872</v>
      </c>
      <c r="C22040" t="s">
        <v>187</v>
      </c>
      <c r="D22040" s="21" t="s">
        <v>34</v>
      </c>
      <c r="E22040" s="21" t="s">
        <v>71</v>
      </c>
      <c r="F22040">
        <v>9760294</v>
      </c>
      <c r="G22040" t="s">
        <v>8313</v>
      </c>
      <c r="H22040" s="21">
        <v>702.67</v>
      </c>
    </row>
    <row r="22041" spans="1:8" customFormat="1" x14ac:dyDescent="0.25">
      <c r="A22041" t="str">
        <f>"219312"</f>
        <v>219312</v>
      </c>
      <c r="B22041" t="s">
        <v>17282</v>
      </c>
      <c r="C22041" t="s">
        <v>486</v>
      </c>
      <c r="D22041" s="21" t="s">
        <v>34</v>
      </c>
      <c r="E22041" s="21" t="s">
        <v>71</v>
      </c>
      <c r="F22041">
        <v>2210007</v>
      </c>
      <c r="G22041" t="s">
        <v>26848</v>
      </c>
      <c r="H22041" s="21">
        <v>702.67</v>
      </c>
    </row>
    <row r="22042" spans="1:8" customFormat="1" x14ac:dyDescent="0.25">
      <c r="A22042" t="str">
        <f>"4423300"</f>
        <v>4423300</v>
      </c>
      <c r="B22042" t="s">
        <v>3082</v>
      </c>
      <c r="C22042" t="s">
        <v>174</v>
      </c>
      <c r="D22042" s="21" t="s">
        <v>34</v>
      </c>
      <c r="E22042" s="21" t="s">
        <v>35</v>
      </c>
      <c r="F22042">
        <v>12440160</v>
      </c>
      <c r="G22042" t="s">
        <v>6939</v>
      </c>
      <c r="H22042" s="21">
        <v>702.67</v>
      </c>
    </row>
    <row r="22043" spans="1:8" customFormat="1" x14ac:dyDescent="0.25">
      <c r="A22043" t="str">
        <f>"56853"</f>
        <v>56853</v>
      </c>
      <c r="B22043" t="s">
        <v>1590</v>
      </c>
      <c r="C22043" t="s">
        <v>415</v>
      </c>
      <c r="D22043" s="21" t="s">
        <v>34</v>
      </c>
      <c r="E22043" s="21" t="s">
        <v>254</v>
      </c>
      <c r="F22043">
        <v>3560051</v>
      </c>
      <c r="G22043" t="s">
        <v>14709</v>
      </c>
      <c r="H22043" s="21">
        <v>702.67</v>
      </c>
    </row>
    <row r="22044" spans="1:8" customFormat="1" x14ac:dyDescent="0.25">
      <c r="A22044" t="str">
        <f>"2217372"</f>
        <v>2217372</v>
      </c>
      <c r="B22044" t="s">
        <v>1094</v>
      </c>
      <c r="C22044" t="s">
        <v>428</v>
      </c>
      <c r="D22044" s="21" t="s">
        <v>34</v>
      </c>
      <c r="E22044" s="21" t="s">
        <v>35</v>
      </c>
      <c r="F22044">
        <v>3220037</v>
      </c>
      <c r="G22044" t="s">
        <v>13306</v>
      </c>
      <c r="H22044" s="21">
        <v>702.67</v>
      </c>
    </row>
    <row r="22045" spans="1:8" customFormat="1" x14ac:dyDescent="0.25">
      <c r="A22045" t="str">
        <f>"719604"</f>
        <v>719604</v>
      </c>
      <c r="B22045" t="s">
        <v>16862</v>
      </c>
      <c r="C22045" t="s">
        <v>328</v>
      </c>
      <c r="D22045" s="21" t="s">
        <v>34</v>
      </c>
      <c r="E22045" s="21" t="s">
        <v>35</v>
      </c>
      <c r="F22045">
        <v>2710067</v>
      </c>
      <c r="G22045" t="s">
        <v>284</v>
      </c>
      <c r="H22045" s="21">
        <v>702.67</v>
      </c>
    </row>
    <row r="22046" spans="1:8" customFormat="1" x14ac:dyDescent="0.25">
      <c r="A22046" t="str">
        <f>"279524"</f>
        <v>279524</v>
      </c>
      <c r="B22046" t="s">
        <v>27671</v>
      </c>
      <c r="C22046" t="s">
        <v>249</v>
      </c>
      <c r="D22046" s="21" t="s">
        <v>34</v>
      </c>
      <c r="E22046" s="21" t="s">
        <v>35</v>
      </c>
      <c r="F22046">
        <v>9270151</v>
      </c>
      <c r="G22046" t="s">
        <v>626</v>
      </c>
      <c r="H22046" s="21">
        <v>702.54</v>
      </c>
    </row>
    <row r="22047" spans="1:8" customFormat="1" x14ac:dyDescent="0.25">
      <c r="A22047" t="str">
        <f>"5969204"</f>
        <v>5969204</v>
      </c>
      <c r="B22047" t="s">
        <v>17311</v>
      </c>
      <c r="C22047" t="s">
        <v>269</v>
      </c>
      <c r="D22047" s="21" t="s">
        <v>34</v>
      </c>
      <c r="E22047" s="21" t="s">
        <v>35</v>
      </c>
      <c r="F22047">
        <v>7590068</v>
      </c>
      <c r="G22047" t="s">
        <v>1005</v>
      </c>
      <c r="H22047" s="21">
        <v>702.42</v>
      </c>
    </row>
    <row r="22048" spans="1:8" customFormat="1" x14ac:dyDescent="0.25">
      <c r="A22048" t="str">
        <f>"4447517"</f>
        <v>4447517</v>
      </c>
      <c r="B22048" t="s">
        <v>18782</v>
      </c>
      <c r="C22048" t="s">
        <v>462</v>
      </c>
      <c r="D22048" s="21" t="s">
        <v>34</v>
      </c>
      <c r="E22048" s="21" t="s">
        <v>35</v>
      </c>
      <c r="F22048">
        <v>12440042</v>
      </c>
      <c r="G22048" t="s">
        <v>10312</v>
      </c>
      <c r="H22048" s="21">
        <v>702.42</v>
      </c>
    </row>
    <row r="22049" spans="1:8" customFormat="1" x14ac:dyDescent="0.25">
      <c r="A22049" t="str">
        <f>"3718303"</f>
        <v>3718303</v>
      </c>
      <c r="B22049" t="s">
        <v>18850</v>
      </c>
      <c r="C22049" t="s">
        <v>65</v>
      </c>
      <c r="D22049" s="21" t="s">
        <v>34</v>
      </c>
      <c r="E22049" s="21" t="s">
        <v>35</v>
      </c>
      <c r="F22049">
        <v>4370167</v>
      </c>
      <c r="G22049" t="s">
        <v>8834</v>
      </c>
      <c r="H22049" s="21">
        <v>702.29</v>
      </c>
    </row>
    <row r="22050" spans="1:8" customFormat="1" x14ac:dyDescent="0.25">
      <c r="A22050" t="str">
        <f>"5939934"</f>
        <v>5939934</v>
      </c>
      <c r="B22050" t="s">
        <v>17263</v>
      </c>
      <c r="C22050" t="s">
        <v>40</v>
      </c>
      <c r="D22050" s="21" t="s">
        <v>34</v>
      </c>
      <c r="E22050" s="21" t="s">
        <v>71</v>
      </c>
      <c r="F22050">
        <v>7590013</v>
      </c>
      <c r="G22050" t="s">
        <v>4839</v>
      </c>
      <c r="H22050" s="21">
        <v>702.17</v>
      </c>
    </row>
    <row r="22051" spans="1:8" customFormat="1" x14ac:dyDescent="0.25">
      <c r="A22051" t="str">
        <f>"5612562"</f>
        <v>5612562</v>
      </c>
      <c r="B22051" t="s">
        <v>2690</v>
      </c>
      <c r="C22051" t="s">
        <v>87</v>
      </c>
      <c r="D22051" s="21" t="s">
        <v>34</v>
      </c>
      <c r="E22051" s="21" t="s">
        <v>35</v>
      </c>
      <c r="F22051">
        <v>3560051</v>
      </c>
      <c r="G22051" t="s">
        <v>14709</v>
      </c>
      <c r="H22051" s="21">
        <v>702.17</v>
      </c>
    </row>
    <row r="22052" spans="1:8" customFormat="1" x14ac:dyDescent="0.25">
      <c r="A22052" t="str">
        <f>"4410210"</f>
        <v>4410210</v>
      </c>
      <c r="B22052" t="s">
        <v>7257</v>
      </c>
      <c r="C22052" t="s">
        <v>198</v>
      </c>
      <c r="D22052" s="21" t="s">
        <v>34</v>
      </c>
      <c r="E22052" s="21" t="s">
        <v>71</v>
      </c>
      <c r="F22052">
        <v>12440136</v>
      </c>
      <c r="G22052" t="s">
        <v>3271</v>
      </c>
      <c r="H22052" s="21">
        <v>702.17</v>
      </c>
    </row>
    <row r="22053" spans="1:8" customFormat="1" x14ac:dyDescent="0.25">
      <c r="A22053" t="str">
        <f>"5966873"</f>
        <v>5966873</v>
      </c>
      <c r="B22053" t="s">
        <v>64</v>
      </c>
      <c r="C22053" t="s">
        <v>124</v>
      </c>
      <c r="D22053" s="21" t="s">
        <v>34</v>
      </c>
      <c r="E22053" s="21" t="s">
        <v>254</v>
      </c>
      <c r="F22053">
        <v>10330031</v>
      </c>
      <c r="G22053" t="s">
        <v>2452</v>
      </c>
      <c r="H22053" s="21">
        <v>702.17</v>
      </c>
    </row>
    <row r="22054" spans="1:8" customFormat="1" x14ac:dyDescent="0.25">
      <c r="A22054" t="str">
        <f>"9417079"</f>
        <v>9417079</v>
      </c>
      <c r="B22054" t="s">
        <v>10287</v>
      </c>
      <c r="C22054" t="s">
        <v>119</v>
      </c>
      <c r="D22054" s="21" t="s">
        <v>34</v>
      </c>
      <c r="E22054" s="21" t="s">
        <v>35</v>
      </c>
      <c r="F22054">
        <v>8921164</v>
      </c>
      <c r="G22054" t="s">
        <v>5203</v>
      </c>
      <c r="H22054" s="21">
        <v>702.17</v>
      </c>
    </row>
    <row r="22055" spans="1:8" customFormat="1" x14ac:dyDescent="0.25">
      <c r="A22055" t="str">
        <f>"5973659"</f>
        <v>5973659</v>
      </c>
      <c r="B22055" t="s">
        <v>108</v>
      </c>
      <c r="C22055" t="s">
        <v>169</v>
      </c>
      <c r="D22055" s="21" t="s">
        <v>34</v>
      </c>
      <c r="E22055" s="21" t="s">
        <v>35</v>
      </c>
      <c r="F22055">
        <v>7590075</v>
      </c>
      <c r="G22055" t="s">
        <v>6459</v>
      </c>
      <c r="H22055" s="21">
        <v>702.17</v>
      </c>
    </row>
    <row r="22056" spans="1:8" customFormat="1" x14ac:dyDescent="0.25">
      <c r="A22056" t="str">
        <f>"7217997"</f>
        <v>7217997</v>
      </c>
      <c r="B22056" t="s">
        <v>17395</v>
      </c>
      <c r="C22056" t="s">
        <v>2276</v>
      </c>
      <c r="D22056" s="21" t="s">
        <v>34</v>
      </c>
      <c r="E22056" s="21" t="s">
        <v>1089</v>
      </c>
      <c r="F22056">
        <v>12720004</v>
      </c>
      <c r="G22056" t="s">
        <v>2328</v>
      </c>
      <c r="H22056" s="21">
        <v>702.17</v>
      </c>
    </row>
    <row r="22057" spans="1:8" customFormat="1" x14ac:dyDescent="0.25">
      <c r="A22057" t="str">
        <f>"142023"</f>
        <v>142023</v>
      </c>
      <c r="B22057" t="s">
        <v>17105</v>
      </c>
      <c r="C22057" t="s">
        <v>198</v>
      </c>
      <c r="D22057" s="21" t="s">
        <v>34</v>
      </c>
      <c r="E22057" s="21" t="s">
        <v>71</v>
      </c>
      <c r="F22057">
        <v>9140233</v>
      </c>
      <c r="G22057" t="s">
        <v>13269</v>
      </c>
      <c r="H22057" s="21">
        <v>702.17</v>
      </c>
    </row>
    <row r="22058" spans="1:8" customFormat="1" x14ac:dyDescent="0.25">
      <c r="A22058" t="str">
        <f>"9320090"</f>
        <v>9320090</v>
      </c>
      <c r="B22058" t="s">
        <v>19184</v>
      </c>
      <c r="C22058" t="s">
        <v>598</v>
      </c>
      <c r="D22058" s="21" t="s">
        <v>34</v>
      </c>
      <c r="E22058" s="21" t="s">
        <v>71</v>
      </c>
      <c r="F22058">
        <v>8930598</v>
      </c>
      <c r="G22058" t="s">
        <v>445</v>
      </c>
      <c r="H22058" s="21">
        <v>702.17</v>
      </c>
    </row>
    <row r="22059" spans="1:8" customFormat="1" x14ac:dyDescent="0.25">
      <c r="A22059" t="str">
        <f>"37572"</f>
        <v>37572</v>
      </c>
      <c r="B22059" t="s">
        <v>16920</v>
      </c>
      <c r="C22059" t="s">
        <v>598</v>
      </c>
      <c r="D22059" s="21" t="s">
        <v>34</v>
      </c>
      <c r="E22059" s="21" t="s">
        <v>6185</v>
      </c>
      <c r="F22059">
        <v>4370033</v>
      </c>
      <c r="G22059" t="s">
        <v>7556</v>
      </c>
      <c r="H22059" s="21">
        <v>702.17</v>
      </c>
    </row>
    <row r="22060" spans="1:8" customFormat="1" x14ac:dyDescent="0.25">
      <c r="A22060" t="str">
        <f>"5928825"</f>
        <v>5928825</v>
      </c>
      <c r="B22060" t="s">
        <v>16559</v>
      </c>
      <c r="C22060" t="s">
        <v>43</v>
      </c>
      <c r="D22060" s="21" t="s">
        <v>34</v>
      </c>
      <c r="E22060" s="21" t="s">
        <v>35</v>
      </c>
      <c r="F22060">
        <v>7590195</v>
      </c>
      <c r="G22060" t="s">
        <v>5332</v>
      </c>
      <c r="H22060" s="21">
        <v>702.17</v>
      </c>
    </row>
    <row r="22061" spans="1:8" customFormat="1" x14ac:dyDescent="0.25">
      <c r="A22061" t="str">
        <f>"2711340"</f>
        <v>2711340</v>
      </c>
      <c r="B22061" t="s">
        <v>16688</v>
      </c>
      <c r="C22061" t="s">
        <v>285</v>
      </c>
      <c r="D22061" s="21" t="s">
        <v>34</v>
      </c>
      <c r="E22061" s="21" t="s">
        <v>35</v>
      </c>
      <c r="F22061">
        <v>9270150</v>
      </c>
      <c r="G22061" t="s">
        <v>11661</v>
      </c>
      <c r="H22061" s="21">
        <v>702.17</v>
      </c>
    </row>
    <row r="22062" spans="1:8" customFormat="1" x14ac:dyDescent="0.25">
      <c r="A22062" t="str">
        <f>"9534011"</f>
        <v>9534011</v>
      </c>
      <c r="B22062" t="s">
        <v>2489</v>
      </c>
      <c r="C22062" t="s">
        <v>18485</v>
      </c>
      <c r="D22062" s="21" t="s">
        <v>34</v>
      </c>
      <c r="E22062" s="21" t="s">
        <v>254</v>
      </c>
      <c r="F22062">
        <v>8950022</v>
      </c>
      <c r="G22062" t="s">
        <v>2785</v>
      </c>
      <c r="H22062" s="21">
        <v>702.17</v>
      </c>
    </row>
    <row r="22063" spans="1:8" customFormat="1" x14ac:dyDescent="0.25">
      <c r="A22063" t="str">
        <f>"2719913"</f>
        <v>2719913</v>
      </c>
      <c r="B22063" t="s">
        <v>17401</v>
      </c>
      <c r="C22063" t="s">
        <v>130</v>
      </c>
      <c r="D22063" s="21" t="s">
        <v>34</v>
      </c>
      <c r="E22063" s="21" t="s">
        <v>71</v>
      </c>
      <c r="F22063">
        <v>9270095</v>
      </c>
      <c r="G22063" t="s">
        <v>1681</v>
      </c>
      <c r="H22063" s="21">
        <v>702.17</v>
      </c>
    </row>
    <row r="22064" spans="1:8" customFormat="1" x14ac:dyDescent="0.25">
      <c r="A22064" t="str">
        <f>"501345"</f>
        <v>501345</v>
      </c>
      <c r="B22064" t="s">
        <v>16107</v>
      </c>
      <c r="C22064" t="s">
        <v>1271</v>
      </c>
      <c r="D22064" s="21" t="s">
        <v>34</v>
      </c>
      <c r="E22064" s="21" t="s">
        <v>6185</v>
      </c>
      <c r="F22064">
        <v>9500117</v>
      </c>
      <c r="G22064" t="s">
        <v>247</v>
      </c>
      <c r="H22064" s="21">
        <v>702.17</v>
      </c>
    </row>
    <row r="22065" spans="1:8" customFormat="1" x14ac:dyDescent="0.25">
      <c r="A22065" t="str">
        <f>"5315850"</f>
        <v>5315850</v>
      </c>
      <c r="B22065" t="s">
        <v>3715</v>
      </c>
      <c r="C22065" t="s">
        <v>305</v>
      </c>
      <c r="D22065" s="21" t="s">
        <v>34</v>
      </c>
      <c r="E22065" s="21" t="s">
        <v>35</v>
      </c>
      <c r="F22065">
        <v>12530068</v>
      </c>
      <c r="G22065" t="s">
        <v>5165</v>
      </c>
      <c r="H22065" s="21">
        <v>702.17</v>
      </c>
    </row>
    <row r="22066" spans="1:8" customFormat="1" x14ac:dyDescent="0.25">
      <c r="A22066" t="str">
        <f>"1318089"</f>
        <v>1318089</v>
      </c>
      <c r="B22066" t="s">
        <v>12461</v>
      </c>
      <c r="C22066" t="s">
        <v>1605</v>
      </c>
      <c r="D22066" s="21" t="s">
        <v>34</v>
      </c>
      <c r="E22066" s="21" t="s">
        <v>35</v>
      </c>
      <c r="F22066">
        <v>13130004</v>
      </c>
      <c r="G22066" t="s">
        <v>942</v>
      </c>
      <c r="H22066" s="21">
        <v>702.17</v>
      </c>
    </row>
    <row r="22067" spans="1:8" customFormat="1" x14ac:dyDescent="0.25">
      <c r="A22067" t="str">
        <f>"396795"</f>
        <v>396795</v>
      </c>
      <c r="B22067" t="s">
        <v>21315</v>
      </c>
      <c r="C22067" t="s">
        <v>269</v>
      </c>
      <c r="D22067" s="21" t="s">
        <v>34</v>
      </c>
      <c r="E22067" s="21" t="s">
        <v>35</v>
      </c>
      <c r="F22067">
        <v>2390007</v>
      </c>
      <c r="G22067" t="s">
        <v>3365</v>
      </c>
      <c r="H22067" s="21">
        <v>702.04</v>
      </c>
    </row>
    <row r="22068" spans="1:8" customFormat="1" x14ac:dyDescent="0.25">
      <c r="A22068" t="str">
        <f>"5432344"</f>
        <v>5432344</v>
      </c>
      <c r="B22068" t="s">
        <v>27672</v>
      </c>
      <c r="C22068" t="s">
        <v>428</v>
      </c>
      <c r="D22068" s="21" t="s">
        <v>34</v>
      </c>
      <c r="E22068" s="21" t="s">
        <v>35</v>
      </c>
      <c r="F22068">
        <v>6540157</v>
      </c>
      <c r="G22068" t="s">
        <v>10647</v>
      </c>
      <c r="H22068" s="21">
        <v>702.04</v>
      </c>
    </row>
    <row r="22069" spans="1:8" customFormat="1" x14ac:dyDescent="0.25">
      <c r="A22069" t="str">
        <f>"9522411"</f>
        <v>9522411</v>
      </c>
      <c r="B22069" t="s">
        <v>8321</v>
      </c>
      <c r="C22069" t="s">
        <v>130</v>
      </c>
      <c r="D22069" s="21" t="s">
        <v>34</v>
      </c>
      <c r="E22069" s="21" t="s">
        <v>35</v>
      </c>
      <c r="F22069">
        <v>8950531</v>
      </c>
      <c r="G22069" t="s">
        <v>7983</v>
      </c>
      <c r="H22069" s="21">
        <v>702.04</v>
      </c>
    </row>
    <row r="22070" spans="1:8" customFormat="1" x14ac:dyDescent="0.25">
      <c r="A22070" t="str">
        <f>"4513834"</f>
        <v>4513834</v>
      </c>
      <c r="B22070" t="s">
        <v>15318</v>
      </c>
      <c r="C22070" t="s">
        <v>1665</v>
      </c>
      <c r="D22070" s="21" t="s">
        <v>34</v>
      </c>
      <c r="E22070" s="21" t="s">
        <v>71</v>
      </c>
      <c r="F22070">
        <v>4450571</v>
      </c>
      <c r="G22070" t="s">
        <v>188</v>
      </c>
      <c r="H22070" s="21">
        <v>702.04</v>
      </c>
    </row>
    <row r="22071" spans="1:8" customFormat="1" x14ac:dyDescent="0.25">
      <c r="A22071" t="str">
        <f>"712940"</f>
        <v>712940</v>
      </c>
      <c r="B22071" t="s">
        <v>17327</v>
      </c>
      <c r="C22071" t="s">
        <v>171</v>
      </c>
      <c r="D22071" s="21" t="s">
        <v>34</v>
      </c>
      <c r="E22071" s="21" t="s">
        <v>254</v>
      </c>
      <c r="F22071">
        <v>3560036</v>
      </c>
      <c r="G22071" t="s">
        <v>910</v>
      </c>
      <c r="H22071" s="21">
        <v>701.92</v>
      </c>
    </row>
    <row r="22072" spans="1:8" customFormat="1" x14ac:dyDescent="0.25">
      <c r="A22072" t="str">
        <f>"492313"</f>
        <v>492313</v>
      </c>
      <c r="B22072" t="s">
        <v>15159</v>
      </c>
      <c r="C22072" t="s">
        <v>253</v>
      </c>
      <c r="D22072" s="21" t="s">
        <v>34</v>
      </c>
      <c r="E22072" s="21" t="s">
        <v>1089</v>
      </c>
      <c r="F22072">
        <v>12490076</v>
      </c>
      <c r="G22072" t="s">
        <v>2086</v>
      </c>
      <c r="H22072" s="21">
        <v>701.92</v>
      </c>
    </row>
    <row r="22073" spans="1:8" customFormat="1" x14ac:dyDescent="0.25">
      <c r="A22073" t="str">
        <f>"3422355"</f>
        <v>3422355</v>
      </c>
      <c r="B22073" t="s">
        <v>18754</v>
      </c>
      <c r="C22073" t="s">
        <v>65</v>
      </c>
      <c r="D22073" s="21" t="s">
        <v>34</v>
      </c>
      <c r="E22073" s="21" t="s">
        <v>35</v>
      </c>
      <c r="F22073">
        <v>11340053</v>
      </c>
      <c r="G22073" t="s">
        <v>9935</v>
      </c>
      <c r="H22073" s="21">
        <v>701.92</v>
      </c>
    </row>
    <row r="22074" spans="1:8" customFormat="1" x14ac:dyDescent="0.25">
      <c r="A22074" t="str">
        <f>"324631"</f>
        <v>324631</v>
      </c>
      <c r="B22074" t="s">
        <v>27673</v>
      </c>
      <c r="C22074" t="s">
        <v>12684</v>
      </c>
      <c r="D22074" s="21" t="s">
        <v>34</v>
      </c>
      <c r="E22074" s="21" t="s">
        <v>71</v>
      </c>
      <c r="F22074">
        <v>11320005</v>
      </c>
      <c r="G22074" t="s">
        <v>120</v>
      </c>
      <c r="H22074" s="21">
        <v>701.92</v>
      </c>
    </row>
    <row r="22075" spans="1:8" customFormat="1" x14ac:dyDescent="0.25">
      <c r="A22075" t="str">
        <f>"931082"</f>
        <v>931082</v>
      </c>
      <c r="B22075" t="s">
        <v>392</v>
      </c>
      <c r="C22075" t="s">
        <v>4721</v>
      </c>
      <c r="D22075" s="21" t="s">
        <v>34</v>
      </c>
      <c r="E22075" s="21" t="s">
        <v>254</v>
      </c>
      <c r="F22075">
        <v>13130100</v>
      </c>
      <c r="G22075" t="s">
        <v>2893</v>
      </c>
      <c r="H22075" s="21">
        <v>701.67</v>
      </c>
    </row>
    <row r="22076" spans="1:8" customFormat="1" x14ac:dyDescent="0.25">
      <c r="A22076" t="str">
        <f>"196115"</f>
        <v>196115</v>
      </c>
      <c r="B22076" t="s">
        <v>17115</v>
      </c>
      <c r="C22076" t="s">
        <v>114</v>
      </c>
      <c r="D22076" s="21" t="s">
        <v>34</v>
      </c>
      <c r="E22076" s="21" t="s">
        <v>35</v>
      </c>
      <c r="F22076">
        <v>10190145</v>
      </c>
      <c r="G22076" t="s">
        <v>10954</v>
      </c>
      <c r="H22076" s="21">
        <v>701.67</v>
      </c>
    </row>
    <row r="22077" spans="1:8" customFormat="1" x14ac:dyDescent="0.25">
      <c r="A22077" t="str">
        <f>"5973147"</f>
        <v>5973147</v>
      </c>
      <c r="B22077" t="s">
        <v>19286</v>
      </c>
      <c r="C22077" t="s">
        <v>98</v>
      </c>
      <c r="D22077" s="21" t="s">
        <v>34</v>
      </c>
      <c r="E22077" s="21" t="s">
        <v>35</v>
      </c>
      <c r="F22077">
        <v>7590331</v>
      </c>
      <c r="G22077" t="s">
        <v>4882</v>
      </c>
      <c r="H22077" s="21">
        <v>701.67</v>
      </c>
    </row>
    <row r="22078" spans="1:8" customFormat="1" x14ac:dyDescent="0.25">
      <c r="A22078" t="str">
        <f>"363404"</f>
        <v>363404</v>
      </c>
      <c r="B22078" t="s">
        <v>16460</v>
      </c>
      <c r="C22078" t="s">
        <v>33</v>
      </c>
      <c r="D22078" s="21" t="s">
        <v>34</v>
      </c>
      <c r="E22078" s="21" t="s">
        <v>71</v>
      </c>
      <c r="F22078">
        <v>4360727</v>
      </c>
      <c r="G22078" t="s">
        <v>10026</v>
      </c>
      <c r="H22078" s="21">
        <v>701.67</v>
      </c>
    </row>
    <row r="22079" spans="1:8" customFormat="1" x14ac:dyDescent="0.25">
      <c r="A22079" t="str">
        <f>"6939788"</f>
        <v>6939788</v>
      </c>
      <c r="B22079" t="s">
        <v>16822</v>
      </c>
      <c r="C22079" t="s">
        <v>498</v>
      </c>
      <c r="D22079" s="21" t="s">
        <v>34</v>
      </c>
      <c r="E22079" s="21" t="s">
        <v>71</v>
      </c>
      <c r="F22079">
        <v>1690105</v>
      </c>
      <c r="G22079" t="s">
        <v>9580</v>
      </c>
      <c r="H22079" s="21">
        <v>701.67</v>
      </c>
    </row>
    <row r="22080" spans="1:8" customFormat="1" x14ac:dyDescent="0.25">
      <c r="A22080" t="str">
        <f>"198348"</f>
        <v>198348</v>
      </c>
      <c r="B22080" t="s">
        <v>4825</v>
      </c>
      <c r="C22080" t="s">
        <v>55</v>
      </c>
      <c r="D22080" s="21" t="s">
        <v>34</v>
      </c>
      <c r="E22080" s="21" t="s">
        <v>71</v>
      </c>
      <c r="F22080">
        <v>10190144</v>
      </c>
      <c r="G22080" t="s">
        <v>8165</v>
      </c>
      <c r="H22080" s="21">
        <v>701.67</v>
      </c>
    </row>
    <row r="22081" spans="1:8" customFormat="1" x14ac:dyDescent="0.25">
      <c r="A22081" t="str">
        <f>"2812124"</f>
        <v>2812124</v>
      </c>
      <c r="B22081" t="s">
        <v>27674</v>
      </c>
      <c r="C22081" t="s">
        <v>27675</v>
      </c>
      <c r="D22081" s="21" t="s">
        <v>34</v>
      </c>
      <c r="E22081" s="21" t="s">
        <v>35</v>
      </c>
      <c r="F22081">
        <v>12440087</v>
      </c>
      <c r="G22081" t="s">
        <v>1860</v>
      </c>
      <c r="H22081" s="21">
        <v>701.67</v>
      </c>
    </row>
    <row r="22082" spans="1:8" customFormat="1" x14ac:dyDescent="0.25">
      <c r="A22082" t="str">
        <f>"2710017"</f>
        <v>2710017</v>
      </c>
      <c r="B22082" t="s">
        <v>15905</v>
      </c>
      <c r="C22082" t="s">
        <v>156</v>
      </c>
      <c r="D22082" s="21" t="s">
        <v>34</v>
      </c>
      <c r="E22082" s="21" t="s">
        <v>71</v>
      </c>
      <c r="F22082">
        <v>9270069</v>
      </c>
      <c r="G22082" t="s">
        <v>3509</v>
      </c>
      <c r="H22082" s="21">
        <v>701.67</v>
      </c>
    </row>
    <row r="22083" spans="1:8" customFormat="1" x14ac:dyDescent="0.25">
      <c r="A22083" t="str">
        <f>"5012957"</f>
        <v>5012957</v>
      </c>
      <c r="B22083" t="s">
        <v>19393</v>
      </c>
      <c r="C22083" t="s">
        <v>55</v>
      </c>
      <c r="D22083" s="21" t="s">
        <v>34</v>
      </c>
      <c r="E22083" s="21" t="s">
        <v>35</v>
      </c>
      <c r="F22083">
        <v>9500015</v>
      </c>
      <c r="G22083" t="s">
        <v>3389</v>
      </c>
      <c r="H22083" s="21">
        <v>701.67</v>
      </c>
    </row>
    <row r="22084" spans="1:8" customFormat="1" x14ac:dyDescent="0.25">
      <c r="A22084" t="str">
        <f>"3316145"</f>
        <v>3316145</v>
      </c>
      <c r="B22084" t="s">
        <v>16117</v>
      </c>
      <c r="C22084" t="s">
        <v>263</v>
      </c>
      <c r="D22084" s="21" t="s">
        <v>34</v>
      </c>
      <c r="E22084" s="21" t="s">
        <v>35</v>
      </c>
      <c r="F22084">
        <v>10330117</v>
      </c>
      <c r="G22084" t="s">
        <v>1942</v>
      </c>
      <c r="H22084" s="21">
        <v>701.67</v>
      </c>
    </row>
    <row r="22085" spans="1:8" customFormat="1" x14ac:dyDescent="0.25">
      <c r="A22085" t="str">
        <f>"245755"</f>
        <v>245755</v>
      </c>
      <c r="B22085" t="s">
        <v>18492</v>
      </c>
      <c r="C22085" t="s">
        <v>712</v>
      </c>
      <c r="D22085" s="21" t="s">
        <v>34</v>
      </c>
      <c r="E22085" s="21" t="s">
        <v>71</v>
      </c>
      <c r="F22085">
        <v>10240006</v>
      </c>
      <c r="G22085" t="s">
        <v>7296</v>
      </c>
      <c r="H22085" s="21">
        <v>701.67</v>
      </c>
    </row>
    <row r="22086" spans="1:8" customFormat="1" x14ac:dyDescent="0.25">
      <c r="A22086" t="str">
        <f>"8524930"</f>
        <v>8524930</v>
      </c>
      <c r="B22086" t="s">
        <v>27676</v>
      </c>
      <c r="C22086" t="s">
        <v>37</v>
      </c>
      <c r="D22086" s="21" t="s">
        <v>34</v>
      </c>
      <c r="E22086" s="21" t="s">
        <v>71</v>
      </c>
      <c r="F22086" t="s">
        <v>5881</v>
      </c>
      <c r="G22086" t="s">
        <v>5882</v>
      </c>
      <c r="H22086" s="21">
        <v>701.67</v>
      </c>
    </row>
    <row r="22087" spans="1:8" customFormat="1" x14ac:dyDescent="0.25">
      <c r="A22087" t="str">
        <f>"1611337"</f>
        <v>1611337</v>
      </c>
      <c r="B22087" t="s">
        <v>3367</v>
      </c>
      <c r="C22087" t="s">
        <v>65</v>
      </c>
      <c r="D22087" s="21" t="s">
        <v>34</v>
      </c>
      <c r="E22087" s="21" t="s">
        <v>35</v>
      </c>
      <c r="F22087">
        <v>10160237</v>
      </c>
      <c r="G22087" t="s">
        <v>8818</v>
      </c>
      <c r="H22087" s="21">
        <v>701.67</v>
      </c>
    </row>
    <row r="22088" spans="1:8" customFormat="1" x14ac:dyDescent="0.25">
      <c r="A22088" t="str">
        <f>"2217919"</f>
        <v>2217919</v>
      </c>
      <c r="B22088" t="s">
        <v>18150</v>
      </c>
      <c r="C22088" t="s">
        <v>12491</v>
      </c>
      <c r="D22088" s="21" t="s">
        <v>34</v>
      </c>
      <c r="E22088" s="21" t="s">
        <v>71</v>
      </c>
      <c r="F22088">
        <v>3220011</v>
      </c>
      <c r="G22088" t="s">
        <v>27394</v>
      </c>
      <c r="H22088" s="21">
        <v>701.67</v>
      </c>
    </row>
    <row r="22089" spans="1:8" customFormat="1" x14ac:dyDescent="0.25">
      <c r="A22089" t="str">
        <f>"5616515"</f>
        <v>5616515</v>
      </c>
      <c r="B22089" t="s">
        <v>3367</v>
      </c>
      <c r="C22089" t="s">
        <v>1110</v>
      </c>
      <c r="D22089" s="21" t="s">
        <v>34</v>
      </c>
      <c r="E22089" s="21" t="s">
        <v>254</v>
      </c>
      <c r="F22089">
        <v>3560020</v>
      </c>
      <c r="G22089" t="s">
        <v>426</v>
      </c>
      <c r="H22089" s="21">
        <v>701.67</v>
      </c>
    </row>
    <row r="22090" spans="1:8" customFormat="1" x14ac:dyDescent="0.25">
      <c r="A22090" t="str">
        <f>"4442081"</f>
        <v>4442081</v>
      </c>
      <c r="B22090" t="s">
        <v>27677</v>
      </c>
      <c r="C22090" t="s">
        <v>65</v>
      </c>
      <c r="D22090" s="21" t="s">
        <v>34</v>
      </c>
      <c r="E22090" s="21" t="s">
        <v>35</v>
      </c>
      <c r="F22090">
        <v>12440160</v>
      </c>
      <c r="G22090" t="s">
        <v>6939</v>
      </c>
      <c r="H22090" s="21">
        <v>701.67</v>
      </c>
    </row>
    <row r="22091" spans="1:8" customFormat="1" x14ac:dyDescent="0.25">
      <c r="A22091" t="str">
        <f>"7821519"</f>
        <v>7821519</v>
      </c>
      <c r="B22091" t="s">
        <v>17196</v>
      </c>
      <c r="C22091" t="s">
        <v>459</v>
      </c>
      <c r="D22091" s="21" t="s">
        <v>34</v>
      </c>
      <c r="E22091" s="21" t="s">
        <v>71</v>
      </c>
      <c r="F22091">
        <v>8781474</v>
      </c>
      <c r="G22091" t="s">
        <v>17197</v>
      </c>
      <c r="H22091" s="21">
        <v>701.67</v>
      </c>
    </row>
    <row r="22092" spans="1:8" customFormat="1" x14ac:dyDescent="0.25">
      <c r="A22092" t="str">
        <f>"7516773"</f>
        <v>7516773</v>
      </c>
      <c r="B22092" t="s">
        <v>16676</v>
      </c>
      <c r="C22092" t="s">
        <v>249</v>
      </c>
      <c r="D22092" s="21" t="s">
        <v>34</v>
      </c>
      <c r="E22092" s="21" t="s">
        <v>71</v>
      </c>
      <c r="F22092">
        <v>12440142</v>
      </c>
      <c r="G22092" t="s">
        <v>3285</v>
      </c>
      <c r="H22092" s="21">
        <v>701.67</v>
      </c>
    </row>
    <row r="22093" spans="1:8" customFormat="1" x14ac:dyDescent="0.25">
      <c r="A22093" t="str">
        <f>"5619104"</f>
        <v>5619104</v>
      </c>
      <c r="B22093" t="s">
        <v>17861</v>
      </c>
      <c r="C22093" t="s">
        <v>233</v>
      </c>
      <c r="D22093" s="21" t="s">
        <v>34</v>
      </c>
      <c r="E22093" s="21" t="s">
        <v>35</v>
      </c>
      <c r="F22093">
        <v>3560057</v>
      </c>
      <c r="G22093" t="s">
        <v>17793</v>
      </c>
      <c r="H22093" s="21">
        <v>701.67</v>
      </c>
    </row>
    <row r="22094" spans="1:8" customFormat="1" x14ac:dyDescent="0.25">
      <c r="A22094" t="str">
        <f>"0211533"</f>
        <v>0211533</v>
      </c>
      <c r="B22094" t="s">
        <v>17228</v>
      </c>
      <c r="C22094" t="s">
        <v>1803</v>
      </c>
      <c r="D22094" s="21" t="s">
        <v>34</v>
      </c>
      <c r="E22094" s="21" t="s">
        <v>35</v>
      </c>
      <c r="F22094">
        <v>7020009</v>
      </c>
      <c r="G22094" t="s">
        <v>3362</v>
      </c>
      <c r="H22094" s="21">
        <v>701.67</v>
      </c>
    </row>
    <row r="22095" spans="1:8" customFormat="1" x14ac:dyDescent="0.25">
      <c r="A22095" t="str">
        <f>"425816"</f>
        <v>425816</v>
      </c>
      <c r="B22095" t="s">
        <v>17423</v>
      </c>
      <c r="C22095" t="s">
        <v>822</v>
      </c>
      <c r="D22095" s="21" t="s">
        <v>34</v>
      </c>
      <c r="E22095" s="21" t="s">
        <v>254</v>
      </c>
      <c r="F22095">
        <v>1420138</v>
      </c>
      <c r="G22095" t="s">
        <v>27002</v>
      </c>
      <c r="H22095" s="21">
        <v>701.67</v>
      </c>
    </row>
    <row r="22096" spans="1:8" customFormat="1" x14ac:dyDescent="0.25">
      <c r="A22096" t="str">
        <f>"5323618"</f>
        <v>5323618</v>
      </c>
      <c r="B22096" t="s">
        <v>18418</v>
      </c>
      <c r="C22096" t="s">
        <v>139</v>
      </c>
      <c r="D22096" s="21" t="s">
        <v>34</v>
      </c>
      <c r="E22096" s="21" t="s">
        <v>35</v>
      </c>
      <c r="F22096">
        <v>12530072</v>
      </c>
      <c r="G22096" t="s">
        <v>7342</v>
      </c>
      <c r="H22096" s="21">
        <v>701.67</v>
      </c>
    </row>
    <row r="22097" spans="1:8" customFormat="1" x14ac:dyDescent="0.25">
      <c r="A22097" t="str">
        <f>"7637296"</f>
        <v>7637296</v>
      </c>
      <c r="B22097" t="s">
        <v>19315</v>
      </c>
      <c r="C22097" t="s">
        <v>631</v>
      </c>
      <c r="D22097" s="21" t="s">
        <v>34</v>
      </c>
      <c r="E22097" s="21" t="s">
        <v>35</v>
      </c>
      <c r="F22097">
        <v>9760136</v>
      </c>
      <c r="G22097" t="s">
        <v>5035</v>
      </c>
      <c r="H22097" s="21">
        <v>701.67</v>
      </c>
    </row>
    <row r="22098" spans="1:8" customFormat="1" x14ac:dyDescent="0.25">
      <c r="A22098" t="str">
        <f>"6012702"</f>
        <v>6012702</v>
      </c>
      <c r="B22098" t="s">
        <v>18160</v>
      </c>
      <c r="C22098" t="s">
        <v>712</v>
      </c>
      <c r="D22098" s="21" t="s">
        <v>34</v>
      </c>
      <c r="E22098" s="21" t="s">
        <v>71</v>
      </c>
      <c r="F22098">
        <v>7600017</v>
      </c>
      <c r="G22098" t="s">
        <v>8498</v>
      </c>
      <c r="H22098" s="21">
        <v>701.67</v>
      </c>
    </row>
    <row r="22099" spans="1:8" customFormat="1" x14ac:dyDescent="0.25">
      <c r="A22099" t="str">
        <f>"3344941"</f>
        <v>3344941</v>
      </c>
      <c r="B22099" t="s">
        <v>1883</v>
      </c>
      <c r="C22099" t="s">
        <v>6504</v>
      </c>
      <c r="D22099" s="21" t="s">
        <v>34</v>
      </c>
      <c r="E22099" s="21" t="s">
        <v>35</v>
      </c>
      <c r="F22099">
        <v>10330130</v>
      </c>
      <c r="G22099" t="s">
        <v>13867</v>
      </c>
      <c r="H22099" s="21">
        <v>701.54</v>
      </c>
    </row>
    <row r="22100" spans="1:8" customFormat="1" x14ac:dyDescent="0.25">
      <c r="A22100" t="str">
        <f>"123533"</f>
        <v>123533</v>
      </c>
      <c r="B22100" t="s">
        <v>1546</v>
      </c>
      <c r="C22100" t="s">
        <v>263</v>
      </c>
      <c r="D22100" s="21" t="s">
        <v>34</v>
      </c>
      <c r="E22100" s="21" t="s">
        <v>71</v>
      </c>
      <c r="F22100">
        <v>11120024</v>
      </c>
      <c r="G22100" t="s">
        <v>12259</v>
      </c>
      <c r="H22100" s="21">
        <v>701.54</v>
      </c>
    </row>
    <row r="22101" spans="1:8" customFormat="1" x14ac:dyDescent="0.25">
      <c r="A22101" t="str">
        <f>"199990"</f>
        <v>199990</v>
      </c>
      <c r="B22101" t="s">
        <v>19028</v>
      </c>
      <c r="C22101" t="s">
        <v>204</v>
      </c>
      <c r="D22101" s="21" t="s">
        <v>34</v>
      </c>
      <c r="E22101" s="21" t="s">
        <v>35</v>
      </c>
      <c r="F22101">
        <v>10190129</v>
      </c>
      <c r="G22101" t="s">
        <v>16206</v>
      </c>
      <c r="H22101" s="21">
        <v>701.42</v>
      </c>
    </row>
    <row r="22102" spans="1:8" customFormat="1" x14ac:dyDescent="0.25">
      <c r="A22102" t="str">
        <f>"6228892"</f>
        <v>6228892</v>
      </c>
      <c r="B22102" t="s">
        <v>17296</v>
      </c>
      <c r="C22102" t="s">
        <v>879</v>
      </c>
      <c r="D22102" s="21" t="s">
        <v>34</v>
      </c>
      <c r="E22102" s="21" t="s">
        <v>71</v>
      </c>
      <c r="F22102">
        <v>7620119</v>
      </c>
      <c r="G22102" t="s">
        <v>5233</v>
      </c>
      <c r="H22102" s="21">
        <v>701.42</v>
      </c>
    </row>
    <row r="22103" spans="1:8" customFormat="1" x14ac:dyDescent="0.25">
      <c r="A22103" t="str">
        <f>"9428665"</f>
        <v>9428665</v>
      </c>
      <c r="B22103" t="s">
        <v>18845</v>
      </c>
      <c r="C22103" t="s">
        <v>2072</v>
      </c>
      <c r="D22103" s="21" t="s">
        <v>34</v>
      </c>
      <c r="E22103" s="21" t="s">
        <v>71</v>
      </c>
      <c r="F22103">
        <v>8940524</v>
      </c>
      <c r="G22103" t="s">
        <v>6176</v>
      </c>
      <c r="H22103" s="21">
        <v>701.29</v>
      </c>
    </row>
    <row r="22104" spans="1:8" customFormat="1" x14ac:dyDescent="0.25">
      <c r="A22104" t="str">
        <f>"5916093"</f>
        <v>5916093</v>
      </c>
      <c r="B22104" t="s">
        <v>15505</v>
      </c>
      <c r="C22104" t="s">
        <v>469</v>
      </c>
      <c r="D22104" s="21" t="s">
        <v>34</v>
      </c>
      <c r="E22104" s="21" t="s">
        <v>35</v>
      </c>
      <c r="F22104">
        <v>7590034</v>
      </c>
      <c r="G22104" t="s">
        <v>17085</v>
      </c>
      <c r="H22104" s="21">
        <v>701.25</v>
      </c>
    </row>
    <row r="22105" spans="1:8" customFormat="1" x14ac:dyDescent="0.25">
      <c r="A22105" t="str">
        <f>"1713488"</f>
        <v>1713488</v>
      </c>
      <c r="B22105" t="s">
        <v>18536</v>
      </c>
      <c r="C22105" t="s">
        <v>1914</v>
      </c>
      <c r="D22105" s="21" t="s">
        <v>34</v>
      </c>
      <c r="E22105" s="21" t="s">
        <v>254</v>
      </c>
      <c r="F22105">
        <v>10170012</v>
      </c>
      <c r="G22105" t="s">
        <v>14768</v>
      </c>
      <c r="H22105" s="21">
        <v>701.17</v>
      </c>
    </row>
    <row r="22106" spans="1:8" customFormat="1" x14ac:dyDescent="0.25">
      <c r="A22106" t="str">
        <f>"3719995"</f>
        <v>3719995</v>
      </c>
      <c r="B22106" t="s">
        <v>18616</v>
      </c>
      <c r="C22106" t="s">
        <v>60</v>
      </c>
      <c r="D22106" s="21" t="s">
        <v>34</v>
      </c>
      <c r="E22106" s="21" t="s">
        <v>35</v>
      </c>
      <c r="F22106">
        <v>4370349</v>
      </c>
      <c r="G22106" t="s">
        <v>2287</v>
      </c>
      <c r="H22106" s="21">
        <v>701.17</v>
      </c>
    </row>
    <row r="22107" spans="1:8" customFormat="1" x14ac:dyDescent="0.25">
      <c r="A22107" t="str">
        <f>"5611707"</f>
        <v>5611707</v>
      </c>
      <c r="B22107" t="s">
        <v>18612</v>
      </c>
      <c r="C22107" t="s">
        <v>2100</v>
      </c>
      <c r="D22107" s="21" t="s">
        <v>34</v>
      </c>
      <c r="E22107" s="21" t="s">
        <v>71</v>
      </c>
      <c r="F22107">
        <v>3560016</v>
      </c>
      <c r="G22107" t="s">
        <v>15201</v>
      </c>
      <c r="H22107" s="21">
        <v>701.17</v>
      </c>
    </row>
    <row r="22108" spans="1:8" customFormat="1" x14ac:dyDescent="0.25">
      <c r="A22108" t="str">
        <f>"716064"</f>
        <v>716064</v>
      </c>
      <c r="B22108" t="s">
        <v>5077</v>
      </c>
      <c r="C22108" t="s">
        <v>96</v>
      </c>
      <c r="D22108" s="21" t="s">
        <v>34</v>
      </c>
      <c r="E22108" s="21" t="s">
        <v>35</v>
      </c>
      <c r="F22108">
        <v>13130166</v>
      </c>
      <c r="G22108" t="s">
        <v>2539</v>
      </c>
      <c r="H22108" s="21">
        <v>701.17</v>
      </c>
    </row>
    <row r="22109" spans="1:8" customFormat="1" x14ac:dyDescent="0.25">
      <c r="A22109" t="str">
        <f>"051156"</f>
        <v>051156</v>
      </c>
      <c r="B22109" t="s">
        <v>18178</v>
      </c>
      <c r="C22109" t="s">
        <v>114</v>
      </c>
      <c r="D22109" s="21" t="s">
        <v>34</v>
      </c>
      <c r="E22109" s="21" t="s">
        <v>254</v>
      </c>
      <c r="F22109">
        <v>13050026</v>
      </c>
      <c r="G22109" t="s">
        <v>18179</v>
      </c>
      <c r="H22109" s="21">
        <v>701.17</v>
      </c>
    </row>
    <row r="22110" spans="1:8" customFormat="1" x14ac:dyDescent="0.25">
      <c r="A22110" t="str">
        <f>"3829029"</f>
        <v>3829029</v>
      </c>
      <c r="B22110" t="s">
        <v>17710</v>
      </c>
      <c r="C22110" t="s">
        <v>114</v>
      </c>
      <c r="D22110" s="21" t="s">
        <v>34</v>
      </c>
      <c r="E22110" s="21" t="s">
        <v>71</v>
      </c>
      <c r="F22110">
        <v>1380241</v>
      </c>
      <c r="G22110" t="s">
        <v>2819</v>
      </c>
      <c r="H22110" s="21">
        <v>701.17</v>
      </c>
    </row>
    <row r="22111" spans="1:8" customFormat="1" x14ac:dyDescent="0.25">
      <c r="A22111" t="str">
        <f>"3520913"</f>
        <v>3520913</v>
      </c>
      <c r="B22111" t="s">
        <v>16189</v>
      </c>
      <c r="C22111" t="s">
        <v>114</v>
      </c>
      <c r="D22111" s="21" t="s">
        <v>34</v>
      </c>
      <c r="E22111" s="21" t="s">
        <v>254</v>
      </c>
      <c r="F22111">
        <v>3350122</v>
      </c>
      <c r="G22111" t="s">
        <v>3069</v>
      </c>
      <c r="H22111" s="21">
        <v>701.17</v>
      </c>
    </row>
    <row r="22112" spans="1:8" customFormat="1" x14ac:dyDescent="0.25">
      <c r="A22112" t="str">
        <f>"38686"</f>
        <v>38686</v>
      </c>
      <c r="B22112" t="s">
        <v>1317</v>
      </c>
      <c r="C22112" t="s">
        <v>598</v>
      </c>
      <c r="D22112" s="21" t="s">
        <v>34</v>
      </c>
      <c r="E22112" s="21" t="s">
        <v>6185</v>
      </c>
      <c r="F22112">
        <v>1380290</v>
      </c>
      <c r="G22112" t="s">
        <v>619</v>
      </c>
      <c r="H22112" s="21">
        <v>701.17</v>
      </c>
    </row>
    <row r="22113" spans="1:8" customFormat="1" x14ac:dyDescent="0.25">
      <c r="A22113" t="str">
        <f>"5914889"</f>
        <v>5914889</v>
      </c>
      <c r="B22113" t="s">
        <v>11696</v>
      </c>
      <c r="C22113" t="s">
        <v>209</v>
      </c>
      <c r="D22113" s="21" t="s">
        <v>34</v>
      </c>
      <c r="E22113" s="21" t="s">
        <v>254</v>
      </c>
      <c r="F22113">
        <v>7590173</v>
      </c>
      <c r="G22113" t="s">
        <v>5675</v>
      </c>
      <c r="H22113" s="21">
        <v>701.17</v>
      </c>
    </row>
    <row r="22114" spans="1:8" customFormat="1" x14ac:dyDescent="0.25">
      <c r="A22114" t="str">
        <f>"9125139"</f>
        <v>9125139</v>
      </c>
      <c r="B22114" t="s">
        <v>11499</v>
      </c>
      <c r="C22114" t="s">
        <v>719</v>
      </c>
      <c r="D22114" s="21" t="s">
        <v>34</v>
      </c>
      <c r="E22114" s="21" t="s">
        <v>35</v>
      </c>
      <c r="F22114">
        <v>8910434</v>
      </c>
      <c r="G22114" t="s">
        <v>681</v>
      </c>
      <c r="H22114" s="21">
        <v>701.17</v>
      </c>
    </row>
    <row r="22115" spans="1:8" customFormat="1" x14ac:dyDescent="0.25">
      <c r="A22115" t="str">
        <f>"605403"</f>
        <v>605403</v>
      </c>
      <c r="B22115" t="s">
        <v>17642</v>
      </c>
      <c r="C22115" t="s">
        <v>3456</v>
      </c>
      <c r="D22115" s="21" t="s">
        <v>34</v>
      </c>
      <c r="E22115" s="21" t="s">
        <v>254</v>
      </c>
      <c r="F22115">
        <v>9760015</v>
      </c>
      <c r="G22115" t="s">
        <v>5277</v>
      </c>
      <c r="H22115" s="21">
        <v>701.17</v>
      </c>
    </row>
    <row r="22116" spans="1:8" customFormat="1" x14ac:dyDescent="0.25">
      <c r="A22116" t="str">
        <f>"2714522"</f>
        <v>2714522</v>
      </c>
      <c r="B22116" t="s">
        <v>15128</v>
      </c>
      <c r="C22116" t="s">
        <v>812</v>
      </c>
      <c r="D22116" s="21" t="s">
        <v>34</v>
      </c>
      <c r="E22116" s="21" t="s">
        <v>71</v>
      </c>
      <c r="F22116">
        <v>9270164</v>
      </c>
      <c r="G22116" t="s">
        <v>8686</v>
      </c>
      <c r="H22116" s="21">
        <v>701.17</v>
      </c>
    </row>
    <row r="22117" spans="1:8" customFormat="1" x14ac:dyDescent="0.25">
      <c r="A22117" t="str">
        <f>"4413547"</f>
        <v>4413547</v>
      </c>
      <c r="B22117" t="s">
        <v>2010</v>
      </c>
      <c r="C22117" t="s">
        <v>58</v>
      </c>
      <c r="D22117" s="21" t="s">
        <v>34</v>
      </c>
      <c r="E22117" s="21" t="s">
        <v>35</v>
      </c>
      <c r="F22117">
        <v>12440099</v>
      </c>
      <c r="G22117" t="s">
        <v>11536</v>
      </c>
      <c r="H22117" s="21">
        <v>701.17</v>
      </c>
    </row>
    <row r="22118" spans="1:8" customFormat="1" x14ac:dyDescent="0.25">
      <c r="A22118" t="str">
        <f>"8015493"</f>
        <v>8015493</v>
      </c>
      <c r="B22118" t="s">
        <v>17959</v>
      </c>
      <c r="C22118" t="s">
        <v>60</v>
      </c>
      <c r="D22118" s="21" t="s">
        <v>34</v>
      </c>
      <c r="E22118" s="21" t="s">
        <v>35</v>
      </c>
      <c r="F22118">
        <v>7800062</v>
      </c>
      <c r="G22118" t="s">
        <v>5176</v>
      </c>
      <c r="H22118" s="21">
        <v>701.17</v>
      </c>
    </row>
    <row r="22119" spans="1:8" customFormat="1" x14ac:dyDescent="0.25">
      <c r="A22119" t="str">
        <f>"593191"</f>
        <v>593191</v>
      </c>
      <c r="B22119" t="s">
        <v>3103</v>
      </c>
      <c r="C22119" t="s">
        <v>926</v>
      </c>
      <c r="D22119" s="21" t="s">
        <v>34</v>
      </c>
      <c r="E22119" s="21" t="s">
        <v>71</v>
      </c>
      <c r="F22119">
        <v>7590392</v>
      </c>
      <c r="G22119" t="s">
        <v>154</v>
      </c>
      <c r="H22119" s="21">
        <v>701.17</v>
      </c>
    </row>
    <row r="22120" spans="1:8" customFormat="1" x14ac:dyDescent="0.25">
      <c r="A22120" t="str">
        <f>"565785"</f>
        <v>565785</v>
      </c>
      <c r="B22120" t="s">
        <v>7020</v>
      </c>
      <c r="C22120" t="s">
        <v>263</v>
      </c>
      <c r="D22120" s="21" t="s">
        <v>34</v>
      </c>
      <c r="E22120" s="21" t="s">
        <v>71</v>
      </c>
      <c r="F22120">
        <v>3560023</v>
      </c>
      <c r="G22120" t="s">
        <v>8213</v>
      </c>
      <c r="H22120" s="21">
        <v>701.17</v>
      </c>
    </row>
    <row r="22121" spans="1:8" customFormat="1" x14ac:dyDescent="0.25">
      <c r="A22121" t="str">
        <f>"7612556"</f>
        <v>7612556</v>
      </c>
      <c r="B22121" t="s">
        <v>197</v>
      </c>
      <c r="C22121" t="s">
        <v>263</v>
      </c>
      <c r="D22121" s="21" t="s">
        <v>34</v>
      </c>
      <c r="E22121" s="21" t="s">
        <v>254</v>
      </c>
      <c r="F22121">
        <v>9760320</v>
      </c>
      <c r="G22121" t="s">
        <v>4917</v>
      </c>
      <c r="H22121" s="21">
        <v>701.04</v>
      </c>
    </row>
    <row r="22122" spans="1:8" customFormat="1" x14ac:dyDescent="0.25">
      <c r="A22122" t="str">
        <f>"3526184"</f>
        <v>3526184</v>
      </c>
      <c r="B22122" t="s">
        <v>27678</v>
      </c>
      <c r="C22122" t="s">
        <v>486</v>
      </c>
      <c r="D22122" s="21" t="s">
        <v>34</v>
      </c>
      <c r="E22122" s="21" t="s">
        <v>35</v>
      </c>
      <c r="F22122">
        <v>8931358</v>
      </c>
      <c r="G22122" t="s">
        <v>560</v>
      </c>
      <c r="H22122" s="21">
        <v>701</v>
      </c>
    </row>
    <row r="22123" spans="1:8" customFormat="1" x14ac:dyDescent="0.25">
      <c r="A22123" t="str">
        <f>"8818032"</f>
        <v>8818032</v>
      </c>
      <c r="B22123" t="s">
        <v>19917</v>
      </c>
      <c r="C22123" t="s">
        <v>275</v>
      </c>
      <c r="D22123" s="21" t="s">
        <v>34</v>
      </c>
      <c r="E22123" s="21" t="s">
        <v>35</v>
      </c>
      <c r="F22123">
        <v>6880002</v>
      </c>
      <c r="G22123" t="s">
        <v>501</v>
      </c>
      <c r="H22123" s="21">
        <v>700.92</v>
      </c>
    </row>
    <row r="22124" spans="1:8" customFormat="1" x14ac:dyDescent="0.25">
      <c r="A22124" t="str">
        <f>"7875112"</f>
        <v>7875112</v>
      </c>
      <c r="B22124" t="s">
        <v>4516</v>
      </c>
      <c r="C22124" t="s">
        <v>462</v>
      </c>
      <c r="D22124" s="21" t="s">
        <v>34</v>
      </c>
      <c r="E22124" s="21" t="s">
        <v>35</v>
      </c>
      <c r="F22124">
        <v>8781176</v>
      </c>
      <c r="G22124" t="s">
        <v>3659</v>
      </c>
      <c r="H22124" s="21">
        <v>700.92</v>
      </c>
    </row>
    <row r="22125" spans="1:8" customFormat="1" x14ac:dyDescent="0.25">
      <c r="A22125" t="str">
        <f>"4927376"</f>
        <v>4927376</v>
      </c>
      <c r="B22125" t="s">
        <v>765</v>
      </c>
      <c r="C22125" t="s">
        <v>1665</v>
      </c>
      <c r="D22125" s="21" t="s">
        <v>34</v>
      </c>
      <c r="E22125" s="21" t="s">
        <v>71</v>
      </c>
      <c r="F22125">
        <v>12490129</v>
      </c>
      <c r="G22125" t="s">
        <v>7607</v>
      </c>
      <c r="H22125" s="21">
        <v>700.92</v>
      </c>
    </row>
    <row r="22126" spans="1:8" customFormat="1" x14ac:dyDescent="0.25">
      <c r="A22126" t="str">
        <f>"365798"</f>
        <v>365798</v>
      </c>
      <c r="B22126" t="s">
        <v>16978</v>
      </c>
      <c r="C22126" t="s">
        <v>263</v>
      </c>
      <c r="D22126" s="21" t="s">
        <v>34</v>
      </c>
      <c r="E22126" s="21" t="s">
        <v>71</v>
      </c>
      <c r="F22126">
        <v>4360723</v>
      </c>
      <c r="G22126" t="s">
        <v>27127</v>
      </c>
      <c r="H22126" s="21">
        <v>700.79</v>
      </c>
    </row>
    <row r="22127" spans="1:8" customFormat="1" x14ac:dyDescent="0.25">
      <c r="A22127" t="str">
        <f>"6112696"</f>
        <v>6112696</v>
      </c>
      <c r="B22127" t="s">
        <v>21553</v>
      </c>
      <c r="C22127" t="s">
        <v>55</v>
      </c>
      <c r="D22127" s="21" t="s">
        <v>34</v>
      </c>
      <c r="E22127" s="21" t="s">
        <v>35</v>
      </c>
      <c r="F22127">
        <v>9610017</v>
      </c>
      <c r="G22127" t="s">
        <v>12194</v>
      </c>
      <c r="H22127" s="21">
        <v>700.67</v>
      </c>
    </row>
    <row r="22128" spans="1:8" customFormat="1" x14ac:dyDescent="0.25">
      <c r="A22128" t="str">
        <f>"254359"</f>
        <v>254359</v>
      </c>
      <c r="B22128" t="s">
        <v>5320</v>
      </c>
      <c r="C22128" t="s">
        <v>1665</v>
      </c>
      <c r="D22128" s="21" t="s">
        <v>34</v>
      </c>
      <c r="E22128" s="21" t="s">
        <v>254</v>
      </c>
      <c r="F22128">
        <v>2250162</v>
      </c>
      <c r="G22128" t="s">
        <v>7388</v>
      </c>
      <c r="H22128" s="21">
        <v>700.67</v>
      </c>
    </row>
    <row r="22129" spans="1:8" customFormat="1" x14ac:dyDescent="0.25">
      <c r="A22129" t="str">
        <f>"3427229"</f>
        <v>3427229</v>
      </c>
      <c r="B22129" t="s">
        <v>27679</v>
      </c>
      <c r="C22129" t="s">
        <v>37</v>
      </c>
      <c r="D22129" s="21" t="s">
        <v>34</v>
      </c>
      <c r="E22129" s="21" t="s">
        <v>35</v>
      </c>
      <c r="F22129">
        <v>11340076</v>
      </c>
      <c r="G22129" t="s">
        <v>26665</v>
      </c>
      <c r="H22129" s="21">
        <v>700.67</v>
      </c>
    </row>
    <row r="22130" spans="1:8" customFormat="1" x14ac:dyDescent="0.25">
      <c r="A22130" t="str">
        <f>"383189"</f>
        <v>383189</v>
      </c>
      <c r="B22130" t="s">
        <v>27680</v>
      </c>
      <c r="C22130" t="s">
        <v>130</v>
      </c>
      <c r="D22130" s="21" t="s">
        <v>34</v>
      </c>
      <c r="E22130" s="21" t="s">
        <v>254</v>
      </c>
      <c r="F22130">
        <v>1380262</v>
      </c>
      <c r="G22130" t="s">
        <v>1216</v>
      </c>
      <c r="H22130" s="21">
        <v>700.67</v>
      </c>
    </row>
    <row r="22131" spans="1:8" customFormat="1" x14ac:dyDescent="0.25">
      <c r="A22131" t="str">
        <f>"84262"</f>
        <v>84262</v>
      </c>
      <c r="B22131" t="s">
        <v>27681</v>
      </c>
      <c r="C22131" t="s">
        <v>3784</v>
      </c>
      <c r="D22131" s="21" t="s">
        <v>34</v>
      </c>
      <c r="E22131" s="21" t="s">
        <v>6185</v>
      </c>
      <c r="F22131">
        <v>13840025</v>
      </c>
      <c r="G22131" t="s">
        <v>7580</v>
      </c>
      <c r="H22131" s="21">
        <v>700.67</v>
      </c>
    </row>
    <row r="22132" spans="1:8" customFormat="1" x14ac:dyDescent="0.25">
      <c r="A22132" t="str">
        <f>"106082"</f>
        <v>106082</v>
      </c>
      <c r="B22132" t="s">
        <v>10999</v>
      </c>
      <c r="C22132" t="s">
        <v>249</v>
      </c>
      <c r="D22132" s="21" t="s">
        <v>34</v>
      </c>
      <c r="E22132" s="21" t="s">
        <v>71</v>
      </c>
      <c r="F22132">
        <v>6100016</v>
      </c>
      <c r="G22132" t="s">
        <v>7558</v>
      </c>
      <c r="H22132" s="21">
        <v>700.67</v>
      </c>
    </row>
    <row r="22133" spans="1:8" customFormat="1" x14ac:dyDescent="0.25">
      <c r="A22133" t="str">
        <f>"4930037"</f>
        <v>4930037</v>
      </c>
      <c r="B22133" t="s">
        <v>1079</v>
      </c>
      <c r="C22133" t="s">
        <v>121</v>
      </c>
      <c r="D22133" s="21" t="s">
        <v>34</v>
      </c>
      <c r="E22133" s="21" t="s">
        <v>35</v>
      </c>
      <c r="F22133">
        <v>12490129</v>
      </c>
      <c r="G22133" t="s">
        <v>7607</v>
      </c>
      <c r="H22133" s="21">
        <v>700.67</v>
      </c>
    </row>
    <row r="22134" spans="1:8" customFormat="1" x14ac:dyDescent="0.25">
      <c r="A22134" t="str">
        <f>"181272"</f>
        <v>181272</v>
      </c>
      <c r="B22134" t="s">
        <v>5814</v>
      </c>
      <c r="C22134" t="s">
        <v>253</v>
      </c>
      <c r="D22134" s="21" t="s">
        <v>34</v>
      </c>
      <c r="E22134" s="21" t="s">
        <v>254</v>
      </c>
      <c r="F22134">
        <v>4180696</v>
      </c>
      <c r="G22134" t="s">
        <v>3018</v>
      </c>
      <c r="H22134" s="21">
        <v>700.67</v>
      </c>
    </row>
    <row r="22135" spans="1:8" customFormat="1" x14ac:dyDescent="0.25">
      <c r="A22135" t="str">
        <f>"6212636"</f>
        <v>6212636</v>
      </c>
      <c r="B22135" t="s">
        <v>16883</v>
      </c>
      <c r="C22135" t="s">
        <v>109</v>
      </c>
      <c r="D22135" s="21" t="s">
        <v>34</v>
      </c>
      <c r="E22135" s="21" t="s">
        <v>71</v>
      </c>
      <c r="F22135">
        <v>7620104</v>
      </c>
      <c r="G22135" t="s">
        <v>635</v>
      </c>
      <c r="H22135" s="21">
        <v>700.67</v>
      </c>
    </row>
    <row r="22136" spans="1:8" customFormat="1" x14ac:dyDescent="0.25">
      <c r="A22136" t="str">
        <f>"1419269"</f>
        <v>1419269</v>
      </c>
      <c r="B22136" t="s">
        <v>11327</v>
      </c>
      <c r="C22136" t="s">
        <v>611</v>
      </c>
      <c r="D22136" s="21" t="s">
        <v>34</v>
      </c>
      <c r="E22136" s="21" t="s">
        <v>35</v>
      </c>
      <c r="F22136">
        <v>9140224</v>
      </c>
      <c r="G22136" t="s">
        <v>14177</v>
      </c>
      <c r="H22136" s="21">
        <v>700.67</v>
      </c>
    </row>
    <row r="22137" spans="1:8" customFormat="1" x14ac:dyDescent="0.25">
      <c r="A22137" t="str">
        <f>"2924569"</f>
        <v>2924569</v>
      </c>
      <c r="B22137" t="s">
        <v>3543</v>
      </c>
      <c r="C22137" t="s">
        <v>1705</v>
      </c>
      <c r="D22137" s="21" t="s">
        <v>34</v>
      </c>
      <c r="E22137" s="21" t="s">
        <v>254</v>
      </c>
      <c r="F22137">
        <v>3290200</v>
      </c>
      <c r="G22137" t="s">
        <v>3488</v>
      </c>
      <c r="H22137" s="21">
        <v>700.67</v>
      </c>
    </row>
    <row r="22138" spans="1:8" customFormat="1" x14ac:dyDescent="0.25">
      <c r="A22138" t="str">
        <f>"776908"</f>
        <v>776908</v>
      </c>
      <c r="B22138" t="s">
        <v>17934</v>
      </c>
      <c r="C22138" t="s">
        <v>547</v>
      </c>
      <c r="D22138" s="21" t="s">
        <v>34</v>
      </c>
      <c r="E22138" s="21" t="s">
        <v>254</v>
      </c>
      <c r="F22138">
        <v>8770988</v>
      </c>
      <c r="G22138" t="s">
        <v>6334</v>
      </c>
      <c r="H22138" s="21">
        <v>700.67</v>
      </c>
    </row>
    <row r="22139" spans="1:8" customFormat="1" x14ac:dyDescent="0.25">
      <c r="A22139" t="str">
        <f>"8514890"</f>
        <v>8514890</v>
      </c>
      <c r="B22139" t="s">
        <v>5673</v>
      </c>
      <c r="C22139" t="s">
        <v>33</v>
      </c>
      <c r="D22139" s="21" t="s">
        <v>34</v>
      </c>
      <c r="E22139" s="21" t="s">
        <v>71</v>
      </c>
      <c r="F22139">
        <v>12850167</v>
      </c>
      <c r="G22139" t="s">
        <v>7617</v>
      </c>
      <c r="H22139" s="21">
        <v>700.67</v>
      </c>
    </row>
    <row r="22140" spans="1:8" customFormat="1" x14ac:dyDescent="0.25">
      <c r="A22140" t="str">
        <f>"6639"</f>
        <v>6639</v>
      </c>
      <c r="B22140" t="s">
        <v>834</v>
      </c>
      <c r="C22140" t="s">
        <v>1110</v>
      </c>
      <c r="D22140" s="21" t="s">
        <v>34</v>
      </c>
      <c r="E22140" s="21" t="s">
        <v>6185</v>
      </c>
      <c r="F22140">
        <v>11660003</v>
      </c>
      <c r="G22140" t="s">
        <v>5188</v>
      </c>
      <c r="H22140" s="21">
        <v>700.67</v>
      </c>
    </row>
    <row r="22141" spans="1:8" customFormat="1" x14ac:dyDescent="0.25">
      <c r="A22141" t="str">
        <f>"2514818"</f>
        <v>2514818</v>
      </c>
      <c r="B22141" t="s">
        <v>17719</v>
      </c>
      <c r="C22141" t="s">
        <v>2479</v>
      </c>
      <c r="D22141" s="21" t="s">
        <v>34</v>
      </c>
      <c r="E22141" s="21" t="s">
        <v>254</v>
      </c>
      <c r="F22141">
        <v>2250192</v>
      </c>
      <c r="G22141" t="s">
        <v>14058</v>
      </c>
      <c r="H22141" s="21">
        <v>700.67</v>
      </c>
    </row>
    <row r="22142" spans="1:8" customFormat="1" x14ac:dyDescent="0.25">
      <c r="A22142" t="str">
        <f>"782173"</f>
        <v>782173</v>
      </c>
      <c r="B22142" t="s">
        <v>16583</v>
      </c>
      <c r="C22142" t="s">
        <v>253</v>
      </c>
      <c r="D22142" s="21" t="s">
        <v>34</v>
      </c>
      <c r="E22142" s="21" t="s">
        <v>1089</v>
      </c>
      <c r="F22142">
        <v>8780447</v>
      </c>
      <c r="G22142" t="s">
        <v>9215</v>
      </c>
      <c r="H22142" s="21">
        <v>700.67</v>
      </c>
    </row>
    <row r="22143" spans="1:8" customFormat="1" x14ac:dyDescent="0.25">
      <c r="A22143" t="str">
        <f>"566846"</f>
        <v>566846</v>
      </c>
      <c r="B22143" t="s">
        <v>17307</v>
      </c>
      <c r="C22143" t="s">
        <v>124</v>
      </c>
      <c r="D22143" s="21" t="s">
        <v>34</v>
      </c>
      <c r="E22143" s="21" t="s">
        <v>254</v>
      </c>
      <c r="F22143">
        <v>3560037</v>
      </c>
      <c r="G22143" t="s">
        <v>10491</v>
      </c>
      <c r="H22143" s="21">
        <v>700.67</v>
      </c>
    </row>
    <row r="22144" spans="1:8" customFormat="1" x14ac:dyDescent="0.25">
      <c r="A22144" t="str">
        <f>"09809"</f>
        <v>09809</v>
      </c>
      <c r="B22144" t="s">
        <v>380</v>
      </c>
      <c r="C22144" t="s">
        <v>253</v>
      </c>
      <c r="D22144" s="21" t="s">
        <v>34</v>
      </c>
      <c r="E22144" s="21" t="s">
        <v>1089</v>
      </c>
      <c r="F22144">
        <v>11090014</v>
      </c>
      <c r="G22144" t="s">
        <v>9140</v>
      </c>
      <c r="H22144" s="21">
        <v>700.67</v>
      </c>
    </row>
    <row r="22145" spans="1:8" customFormat="1" x14ac:dyDescent="0.25">
      <c r="A22145" t="str">
        <f>"2218371"</f>
        <v>2218371</v>
      </c>
      <c r="B22145" t="s">
        <v>27682</v>
      </c>
      <c r="C22145" t="s">
        <v>60</v>
      </c>
      <c r="D22145" s="21" t="s">
        <v>34</v>
      </c>
      <c r="E22145" s="21" t="s">
        <v>35</v>
      </c>
      <c r="F22145">
        <v>3220128</v>
      </c>
      <c r="G22145" t="s">
        <v>26938</v>
      </c>
      <c r="H22145" s="21">
        <v>700.67</v>
      </c>
    </row>
    <row r="22146" spans="1:8" customFormat="1" x14ac:dyDescent="0.25">
      <c r="A22146" t="str">
        <f>"153640"</f>
        <v>153640</v>
      </c>
      <c r="B22146" t="s">
        <v>7619</v>
      </c>
      <c r="C22146" t="s">
        <v>2529</v>
      </c>
      <c r="D22146" s="21" t="s">
        <v>34</v>
      </c>
      <c r="E22146" s="21" t="s">
        <v>254</v>
      </c>
      <c r="F22146">
        <v>1150148</v>
      </c>
      <c r="G22146" t="s">
        <v>7485</v>
      </c>
      <c r="H22146" s="21">
        <v>700.67</v>
      </c>
    </row>
    <row r="22147" spans="1:8" customFormat="1" x14ac:dyDescent="0.25">
      <c r="A22147" t="str">
        <f>"9535577"</f>
        <v>9535577</v>
      </c>
      <c r="B22147" t="s">
        <v>19203</v>
      </c>
      <c r="C22147" t="s">
        <v>12016</v>
      </c>
      <c r="D22147" s="21" t="s">
        <v>34</v>
      </c>
      <c r="E22147" s="21" t="s">
        <v>71</v>
      </c>
      <c r="F22147">
        <v>8950570</v>
      </c>
      <c r="G22147" t="s">
        <v>3226</v>
      </c>
      <c r="H22147" s="21">
        <v>700.67</v>
      </c>
    </row>
    <row r="22148" spans="1:8" customFormat="1" x14ac:dyDescent="0.25">
      <c r="A22148" t="str">
        <f>"195247"</f>
        <v>195247</v>
      </c>
      <c r="B22148" t="s">
        <v>17939</v>
      </c>
      <c r="C22148" t="s">
        <v>1110</v>
      </c>
      <c r="D22148" s="21" t="s">
        <v>34</v>
      </c>
      <c r="E22148" s="21" t="s">
        <v>6185</v>
      </c>
      <c r="F22148">
        <v>10190129</v>
      </c>
      <c r="G22148" t="s">
        <v>16206</v>
      </c>
      <c r="H22148" s="21">
        <v>700.67</v>
      </c>
    </row>
    <row r="22149" spans="1:8" customFormat="1" x14ac:dyDescent="0.25">
      <c r="A22149" t="str">
        <f>"218218"</f>
        <v>218218</v>
      </c>
      <c r="B22149" t="s">
        <v>8817</v>
      </c>
      <c r="C22149" t="s">
        <v>812</v>
      </c>
      <c r="D22149" s="21" t="s">
        <v>34</v>
      </c>
      <c r="E22149" s="21" t="s">
        <v>71</v>
      </c>
      <c r="F22149">
        <v>2210037</v>
      </c>
      <c r="G22149" t="s">
        <v>16889</v>
      </c>
      <c r="H22149" s="21">
        <v>700.54</v>
      </c>
    </row>
    <row r="22150" spans="1:8" customFormat="1" x14ac:dyDescent="0.25">
      <c r="A22150" t="str">
        <f>"4451319"</f>
        <v>4451319</v>
      </c>
      <c r="B22150" t="s">
        <v>1203</v>
      </c>
      <c r="C22150" t="s">
        <v>27683</v>
      </c>
      <c r="D22150" s="21" t="s">
        <v>34</v>
      </c>
      <c r="E22150" s="21" t="s">
        <v>35</v>
      </c>
      <c r="F22150">
        <v>12440273</v>
      </c>
      <c r="G22150" t="s">
        <v>27684</v>
      </c>
      <c r="H22150" s="21">
        <v>700.42</v>
      </c>
    </row>
    <row r="22151" spans="1:8" customFormat="1" x14ac:dyDescent="0.25">
      <c r="A22151" t="str">
        <f>"751061"</f>
        <v>751061</v>
      </c>
      <c r="B22151" t="s">
        <v>17241</v>
      </c>
      <c r="C22151" t="s">
        <v>239</v>
      </c>
      <c r="D22151" s="21" t="s">
        <v>34</v>
      </c>
      <c r="E22151" s="21" t="s">
        <v>254</v>
      </c>
      <c r="F22151">
        <v>8931463</v>
      </c>
      <c r="G22151" t="s">
        <v>27685</v>
      </c>
      <c r="H22151" s="21">
        <v>700.42</v>
      </c>
    </row>
    <row r="22152" spans="1:8" customFormat="1" x14ac:dyDescent="0.25">
      <c r="A22152" t="str">
        <f>"153774"</f>
        <v>153774</v>
      </c>
      <c r="B22152" t="s">
        <v>16398</v>
      </c>
      <c r="C22152" t="s">
        <v>267</v>
      </c>
      <c r="D22152" s="21" t="s">
        <v>34</v>
      </c>
      <c r="E22152" s="21" t="s">
        <v>71</v>
      </c>
      <c r="F22152">
        <v>1150307</v>
      </c>
      <c r="G22152" t="s">
        <v>26826</v>
      </c>
      <c r="H22152" s="21">
        <v>700.42</v>
      </c>
    </row>
    <row r="22153" spans="1:8" customFormat="1" x14ac:dyDescent="0.25">
      <c r="A22153" t="str">
        <f>"508954"</f>
        <v>508954</v>
      </c>
      <c r="B22153" t="s">
        <v>2726</v>
      </c>
      <c r="C22153" t="s">
        <v>55</v>
      </c>
      <c r="D22153" s="21" t="s">
        <v>34</v>
      </c>
      <c r="E22153" s="21" t="s">
        <v>35</v>
      </c>
      <c r="F22153">
        <v>9500059</v>
      </c>
      <c r="G22153" t="s">
        <v>26714</v>
      </c>
      <c r="H22153" s="21">
        <v>700.17</v>
      </c>
    </row>
    <row r="22154" spans="1:8" customFormat="1" x14ac:dyDescent="0.25">
      <c r="A22154" t="str">
        <f>"1319873"</f>
        <v>1319873</v>
      </c>
      <c r="B22154" t="s">
        <v>27686</v>
      </c>
      <c r="C22154" t="s">
        <v>55</v>
      </c>
      <c r="D22154" s="21" t="s">
        <v>34</v>
      </c>
      <c r="E22154" s="21" t="s">
        <v>35</v>
      </c>
      <c r="F22154">
        <v>13130156</v>
      </c>
      <c r="G22154" t="s">
        <v>16738</v>
      </c>
      <c r="H22154" s="21">
        <v>700.17</v>
      </c>
    </row>
    <row r="22155" spans="1:8" customFormat="1" x14ac:dyDescent="0.25">
      <c r="A22155" t="str">
        <f>"282383"</f>
        <v>282383</v>
      </c>
      <c r="B22155" t="s">
        <v>4527</v>
      </c>
      <c r="C22155" t="s">
        <v>412</v>
      </c>
      <c r="D22155" s="21" t="s">
        <v>34</v>
      </c>
      <c r="E22155" s="21" t="s">
        <v>71</v>
      </c>
      <c r="F22155">
        <v>4280610</v>
      </c>
      <c r="G22155" t="s">
        <v>8180</v>
      </c>
      <c r="H22155" s="21">
        <v>700.17</v>
      </c>
    </row>
    <row r="22156" spans="1:8" customFormat="1" x14ac:dyDescent="0.25">
      <c r="A22156" t="str">
        <f>"4512714"</f>
        <v>4512714</v>
      </c>
      <c r="B22156" t="s">
        <v>2964</v>
      </c>
      <c r="C22156" t="s">
        <v>119</v>
      </c>
      <c r="D22156" s="21" t="s">
        <v>34</v>
      </c>
      <c r="E22156" s="21" t="s">
        <v>71</v>
      </c>
      <c r="F22156">
        <v>4450309</v>
      </c>
      <c r="G22156" t="s">
        <v>15692</v>
      </c>
      <c r="H22156" s="21">
        <v>700.17</v>
      </c>
    </row>
    <row r="22157" spans="1:8" customFormat="1" x14ac:dyDescent="0.25">
      <c r="A22157" t="str">
        <f>"28575"</f>
        <v>28575</v>
      </c>
      <c r="B22157" t="s">
        <v>10392</v>
      </c>
      <c r="C22157" t="s">
        <v>453</v>
      </c>
      <c r="D22157" s="21" t="s">
        <v>34</v>
      </c>
      <c r="E22157" s="21" t="s">
        <v>254</v>
      </c>
      <c r="F22157">
        <v>4280202</v>
      </c>
      <c r="G22157" t="s">
        <v>2945</v>
      </c>
      <c r="H22157" s="21">
        <v>700.17</v>
      </c>
    </row>
    <row r="22158" spans="1:8" customFormat="1" x14ac:dyDescent="0.25">
      <c r="A22158" t="str">
        <f>"2517066"</f>
        <v>2517066</v>
      </c>
      <c r="B22158" t="s">
        <v>12071</v>
      </c>
      <c r="C22158" t="s">
        <v>40</v>
      </c>
      <c r="D22158" s="21" t="s">
        <v>34</v>
      </c>
      <c r="E22158" s="21" t="s">
        <v>71</v>
      </c>
      <c r="F22158">
        <v>2250001</v>
      </c>
      <c r="G22158" t="s">
        <v>424</v>
      </c>
      <c r="H22158" s="21">
        <v>700.17</v>
      </c>
    </row>
    <row r="22159" spans="1:8" customFormat="1" x14ac:dyDescent="0.25">
      <c r="A22159" t="str">
        <f>"5912407"</f>
        <v>5912407</v>
      </c>
      <c r="B22159" t="s">
        <v>17074</v>
      </c>
      <c r="C22159" t="s">
        <v>130</v>
      </c>
      <c r="D22159" s="21" t="s">
        <v>34</v>
      </c>
      <c r="E22159" s="21" t="s">
        <v>254</v>
      </c>
      <c r="F22159">
        <v>7590003</v>
      </c>
      <c r="G22159" t="s">
        <v>1166</v>
      </c>
      <c r="H22159" s="21">
        <v>700.17</v>
      </c>
    </row>
    <row r="22160" spans="1:8" customFormat="1" x14ac:dyDescent="0.25">
      <c r="A22160" t="str">
        <f>"36854"</f>
        <v>36854</v>
      </c>
      <c r="B22160" t="s">
        <v>18134</v>
      </c>
      <c r="C22160" t="s">
        <v>1214</v>
      </c>
      <c r="D22160" s="21" t="s">
        <v>34</v>
      </c>
      <c r="E22160" s="21" t="s">
        <v>254</v>
      </c>
      <c r="F22160">
        <v>4360454</v>
      </c>
      <c r="G22160" t="s">
        <v>637</v>
      </c>
      <c r="H22160" s="21">
        <v>700.17</v>
      </c>
    </row>
    <row r="22161" spans="1:8" customFormat="1" x14ac:dyDescent="0.25">
      <c r="A22161" t="str">
        <f>"8527633"</f>
        <v>8527633</v>
      </c>
      <c r="B22161" t="s">
        <v>2598</v>
      </c>
      <c r="C22161" t="s">
        <v>60</v>
      </c>
      <c r="D22161" s="21" t="s">
        <v>34</v>
      </c>
      <c r="E22161" s="21" t="s">
        <v>35</v>
      </c>
      <c r="F22161">
        <v>12850015</v>
      </c>
      <c r="G22161" t="s">
        <v>4076</v>
      </c>
      <c r="H22161" s="21">
        <v>700.17</v>
      </c>
    </row>
    <row r="22162" spans="1:8" customFormat="1" x14ac:dyDescent="0.25">
      <c r="A22162" t="str">
        <f>"566825"</f>
        <v>566825</v>
      </c>
      <c r="B22162" t="s">
        <v>4081</v>
      </c>
      <c r="C22162" t="s">
        <v>65</v>
      </c>
      <c r="D22162" s="21" t="s">
        <v>34</v>
      </c>
      <c r="E22162" s="21" t="s">
        <v>71</v>
      </c>
      <c r="F22162">
        <v>3560096</v>
      </c>
      <c r="G22162" t="s">
        <v>2771</v>
      </c>
      <c r="H22162" s="21">
        <v>700.17</v>
      </c>
    </row>
    <row r="22163" spans="1:8" customFormat="1" x14ac:dyDescent="0.25">
      <c r="A22163" t="str">
        <f>"4414966"</f>
        <v>4414966</v>
      </c>
      <c r="B22163" t="s">
        <v>17407</v>
      </c>
      <c r="C22163" t="s">
        <v>40</v>
      </c>
      <c r="D22163" s="21" t="s">
        <v>34</v>
      </c>
      <c r="E22163" s="21" t="s">
        <v>254</v>
      </c>
      <c r="F22163">
        <v>12440034</v>
      </c>
      <c r="G22163" t="s">
        <v>10586</v>
      </c>
      <c r="H22163" s="21">
        <v>700.17</v>
      </c>
    </row>
    <row r="22164" spans="1:8" customFormat="1" x14ac:dyDescent="0.25">
      <c r="A22164" t="str">
        <f>"832925"</f>
        <v>832925</v>
      </c>
      <c r="B22164" t="s">
        <v>11835</v>
      </c>
      <c r="C22164" t="s">
        <v>652</v>
      </c>
      <c r="D22164" s="21" t="s">
        <v>34</v>
      </c>
      <c r="E22164" s="21" t="s">
        <v>254</v>
      </c>
      <c r="F22164">
        <v>13830031</v>
      </c>
      <c r="G22164" t="s">
        <v>8301</v>
      </c>
      <c r="H22164" s="21">
        <v>700.17</v>
      </c>
    </row>
    <row r="22165" spans="1:8" customFormat="1" x14ac:dyDescent="0.25">
      <c r="A22165" t="str">
        <f>"7634766"</f>
        <v>7634766</v>
      </c>
      <c r="B22165" t="s">
        <v>16784</v>
      </c>
      <c r="C22165" t="s">
        <v>87</v>
      </c>
      <c r="D22165" s="21" t="s">
        <v>34</v>
      </c>
      <c r="E22165" s="21" t="s">
        <v>71</v>
      </c>
      <c r="F22165">
        <v>9760414</v>
      </c>
      <c r="G22165" t="s">
        <v>142</v>
      </c>
      <c r="H22165" s="21">
        <v>700.17</v>
      </c>
    </row>
    <row r="22166" spans="1:8" customFormat="1" x14ac:dyDescent="0.25">
      <c r="A22166" t="str">
        <f>"4210389"</f>
        <v>4210389</v>
      </c>
      <c r="B22166" t="s">
        <v>9176</v>
      </c>
      <c r="C22166" t="s">
        <v>415</v>
      </c>
      <c r="D22166" s="21" t="s">
        <v>34</v>
      </c>
      <c r="E22166" s="21" t="s">
        <v>35</v>
      </c>
      <c r="F22166">
        <v>1420048</v>
      </c>
      <c r="G22166" t="s">
        <v>745</v>
      </c>
      <c r="H22166" s="21">
        <v>700.17</v>
      </c>
    </row>
    <row r="22167" spans="1:8" customFormat="1" x14ac:dyDescent="0.25">
      <c r="A22167" t="str">
        <f>"4453819"</f>
        <v>4453819</v>
      </c>
      <c r="B22167" t="s">
        <v>7910</v>
      </c>
      <c r="C22167" t="s">
        <v>65</v>
      </c>
      <c r="D22167" s="21" t="s">
        <v>34</v>
      </c>
      <c r="E22167" s="21" t="s">
        <v>35</v>
      </c>
      <c r="F22167">
        <v>12440142</v>
      </c>
      <c r="G22167" t="s">
        <v>3285</v>
      </c>
      <c r="H22167" s="21">
        <v>700.17</v>
      </c>
    </row>
    <row r="22168" spans="1:8" customFormat="1" x14ac:dyDescent="0.25">
      <c r="A22168" t="str">
        <f>"6017289"</f>
        <v>6017289</v>
      </c>
      <c r="B22168" t="s">
        <v>27687</v>
      </c>
      <c r="C22168" t="s">
        <v>121</v>
      </c>
      <c r="D22168" s="21" t="s">
        <v>34</v>
      </c>
      <c r="E22168" s="21" t="s">
        <v>35</v>
      </c>
      <c r="F22168">
        <v>7600037</v>
      </c>
      <c r="G22168" t="s">
        <v>7185</v>
      </c>
      <c r="H22168" s="21">
        <v>700.04</v>
      </c>
    </row>
    <row r="22169" spans="1:8" customFormat="1" x14ac:dyDescent="0.25">
      <c r="A22169" t="str">
        <f>"932405"</f>
        <v>932405</v>
      </c>
      <c r="B22169" t="s">
        <v>2505</v>
      </c>
      <c r="C22169" t="s">
        <v>239</v>
      </c>
      <c r="D22169" s="21" t="s">
        <v>34</v>
      </c>
      <c r="E22169" s="21" t="s">
        <v>71</v>
      </c>
      <c r="F22169">
        <v>8931057</v>
      </c>
      <c r="G22169" t="s">
        <v>1011</v>
      </c>
      <c r="H22169" s="21">
        <v>700.04</v>
      </c>
    </row>
    <row r="22170" spans="1:8" customFormat="1" x14ac:dyDescent="0.25">
      <c r="A22170" t="str">
        <f>"367400"</f>
        <v>367400</v>
      </c>
      <c r="B22170" t="s">
        <v>7551</v>
      </c>
      <c r="C22170" t="s">
        <v>65</v>
      </c>
      <c r="D22170" s="21" t="s">
        <v>34</v>
      </c>
      <c r="E22170" s="21" t="s">
        <v>35</v>
      </c>
      <c r="F22170">
        <v>4360454</v>
      </c>
      <c r="G22170" t="s">
        <v>637</v>
      </c>
      <c r="H22170" s="21">
        <v>700.04</v>
      </c>
    </row>
    <row r="22171" spans="1:8" customFormat="1" x14ac:dyDescent="0.25">
      <c r="A22171" t="str">
        <f>"3512397"</f>
        <v>3512397</v>
      </c>
      <c r="B22171" t="s">
        <v>16121</v>
      </c>
      <c r="C22171" t="s">
        <v>55</v>
      </c>
      <c r="D22171" s="21" t="s">
        <v>34</v>
      </c>
      <c r="E22171" s="21" t="s">
        <v>71</v>
      </c>
      <c r="F22171">
        <v>3350011</v>
      </c>
      <c r="G22171" t="s">
        <v>2404</v>
      </c>
      <c r="H22171" s="21">
        <v>699.92</v>
      </c>
    </row>
    <row r="22172" spans="1:8" customFormat="1" x14ac:dyDescent="0.25">
      <c r="A22172" t="str">
        <f>"9316923"</f>
        <v>9316923</v>
      </c>
      <c r="B22172" t="s">
        <v>19749</v>
      </c>
      <c r="C22172" t="s">
        <v>19750</v>
      </c>
      <c r="D22172" s="21" t="s">
        <v>34</v>
      </c>
      <c r="E22172" s="21" t="s">
        <v>71</v>
      </c>
      <c r="F22172">
        <v>8931320</v>
      </c>
      <c r="G22172" t="s">
        <v>1537</v>
      </c>
      <c r="H22172" s="21">
        <v>699.79</v>
      </c>
    </row>
    <row r="22173" spans="1:8" customFormat="1" x14ac:dyDescent="0.25">
      <c r="A22173" t="str">
        <f>"067009"</f>
        <v>067009</v>
      </c>
      <c r="B22173" t="s">
        <v>18847</v>
      </c>
      <c r="C22173" t="s">
        <v>598</v>
      </c>
      <c r="D22173" s="21" t="s">
        <v>34</v>
      </c>
      <c r="E22173" s="21" t="s">
        <v>71</v>
      </c>
      <c r="F22173">
        <v>13060063</v>
      </c>
      <c r="G22173" t="s">
        <v>2001</v>
      </c>
      <c r="H22173" s="21">
        <v>699.67</v>
      </c>
    </row>
    <row r="22174" spans="1:8" customFormat="1" x14ac:dyDescent="0.25">
      <c r="A22174" t="str">
        <f>"928918"</f>
        <v>928918</v>
      </c>
      <c r="B22174" t="s">
        <v>5066</v>
      </c>
      <c r="C22174" t="s">
        <v>253</v>
      </c>
      <c r="D22174" s="21" t="s">
        <v>34</v>
      </c>
      <c r="E22174" s="21" t="s">
        <v>1089</v>
      </c>
      <c r="F22174">
        <v>8921182</v>
      </c>
      <c r="G22174" t="s">
        <v>26954</v>
      </c>
      <c r="H22174" s="21">
        <v>699.67</v>
      </c>
    </row>
    <row r="22175" spans="1:8" customFormat="1" x14ac:dyDescent="0.25">
      <c r="A22175" t="str">
        <f>"5621508"</f>
        <v>5621508</v>
      </c>
      <c r="B22175" t="s">
        <v>16318</v>
      </c>
      <c r="C22175" t="s">
        <v>87</v>
      </c>
      <c r="D22175" s="21" t="s">
        <v>34</v>
      </c>
      <c r="E22175" s="21" t="s">
        <v>35</v>
      </c>
      <c r="F22175">
        <v>3560052</v>
      </c>
      <c r="G22175" t="s">
        <v>18504</v>
      </c>
      <c r="H22175" s="21">
        <v>699.67</v>
      </c>
    </row>
    <row r="22176" spans="1:8" customFormat="1" x14ac:dyDescent="0.25">
      <c r="A22176" t="str">
        <f>"088139"</f>
        <v>088139</v>
      </c>
      <c r="B22176" t="s">
        <v>16531</v>
      </c>
      <c r="C22176" t="s">
        <v>1410</v>
      </c>
      <c r="D22176" s="21" t="s">
        <v>34</v>
      </c>
      <c r="E22176" s="21" t="s">
        <v>35</v>
      </c>
      <c r="F22176">
        <v>6080072</v>
      </c>
      <c r="G22176" t="s">
        <v>6765</v>
      </c>
      <c r="H22176" s="21">
        <v>699.67</v>
      </c>
    </row>
    <row r="22177" spans="1:8" customFormat="1" x14ac:dyDescent="0.25">
      <c r="A22177" t="str">
        <f>"9121306"</f>
        <v>9121306</v>
      </c>
      <c r="B22177" t="s">
        <v>17336</v>
      </c>
      <c r="C22177" t="s">
        <v>462</v>
      </c>
      <c r="D22177" s="21" t="s">
        <v>34</v>
      </c>
      <c r="E22177" s="21" t="s">
        <v>254</v>
      </c>
      <c r="F22177">
        <v>8911430</v>
      </c>
      <c r="G22177" t="s">
        <v>3523</v>
      </c>
      <c r="H22177" s="21">
        <v>699.67</v>
      </c>
    </row>
    <row r="22178" spans="1:8" customFormat="1" x14ac:dyDescent="0.25">
      <c r="A22178" t="str">
        <f>"3263"</f>
        <v>3263</v>
      </c>
      <c r="B22178" t="s">
        <v>16735</v>
      </c>
      <c r="C22178" t="s">
        <v>1142</v>
      </c>
      <c r="D22178" s="21" t="s">
        <v>34</v>
      </c>
      <c r="E22178" s="21" t="s">
        <v>1089</v>
      </c>
      <c r="F22178">
        <v>11320005</v>
      </c>
      <c r="G22178" t="s">
        <v>120</v>
      </c>
      <c r="H22178" s="21">
        <v>699.67</v>
      </c>
    </row>
    <row r="22179" spans="1:8" customFormat="1" x14ac:dyDescent="0.25">
      <c r="A22179" t="str">
        <f>"418276"</f>
        <v>418276</v>
      </c>
      <c r="B22179" t="s">
        <v>18191</v>
      </c>
      <c r="C22179" t="s">
        <v>144</v>
      </c>
      <c r="D22179" s="21" t="s">
        <v>34</v>
      </c>
      <c r="E22179" s="21" t="s">
        <v>71</v>
      </c>
      <c r="F22179">
        <v>4410467</v>
      </c>
      <c r="G22179" t="s">
        <v>6362</v>
      </c>
      <c r="H22179" s="21">
        <v>699.67</v>
      </c>
    </row>
    <row r="22180" spans="1:8" customFormat="1" x14ac:dyDescent="0.25">
      <c r="A22180" t="str">
        <f>"4515924"</f>
        <v>4515924</v>
      </c>
      <c r="B22180" t="s">
        <v>11869</v>
      </c>
      <c r="C22180" t="s">
        <v>33</v>
      </c>
      <c r="D22180" s="21" t="s">
        <v>34</v>
      </c>
      <c r="E22180" s="21" t="s">
        <v>35</v>
      </c>
      <c r="F22180">
        <v>4450663</v>
      </c>
      <c r="G22180" t="s">
        <v>2527</v>
      </c>
      <c r="H22180" s="21">
        <v>699.67</v>
      </c>
    </row>
    <row r="22181" spans="1:8" customFormat="1" x14ac:dyDescent="0.25">
      <c r="A22181" t="str">
        <f>"4923007"</f>
        <v>4923007</v>
      </c>
      <c r="B22181" t="s">
        <v>15152</v>
      </c>
      <c r="C22181" t="s">
        <v>16824</v>
      </c>
      <c r="D22181" s="21" t="s">
        <v>34</v>
      </c>
      <c r="E22181" s="21" t="s">
        <v>71</v>
      </c>
      <c r="F22181">
        <v>12490044</v>
      </c>
      <c r="G22181" t="s">
        <v>16825</v>
      </c>
      <c r="H22181" s="21">
        <v>699.67</v>
      </c>
    </row>
    <row r="22182" spans="1:8" customFormat="1" x14ac:dyDescent="0.25">
      <c r="A22182" t="str">
        <f>"8012660"</f>
        <v>8012660</v>
      </c>
      <c r="B22182" t="s">
        <v>3759</v>
      </c>
      <c r="C22182" t="s">
        <v>547</v>
      </c>
      <c r="D22182" s="21" t="s">
        <v>34</v>
      </c>
      <c r="E22182" s="21" t="s">
        <v>254</v>
      </c>
      <c r="F22182">
        <v>7800018</v>
      </c>
      <c r="G22182" t="s">
        <v>10207</v>
      </c>
      <c r="H22182" s="21">
        <v>699.67</v>
      </c>
    </row>
    <row r="22183" spans="1:8" customFormat="1" x14ac:dyDescent="0.25">
      <c r="A22183" t="str">
        <f>"06754"</f>
        <v>06754</v>
      </c>
      <c r="B22183" t="s">
        <v>17251</v>
      </c>
      <c r="C22183" t="s">
        <v>1146</v>
      </c>
      <c r="D22183" s="21" t="s">
        <v>34</v>
      </c>
      <c r="E22183" s="21" t="s">
        <v>254</v>
      </c>
      <c r="F22183">
        <v>13060085</v>
      </c>
      <c r="G22183" t="s">
        <v>2703</v>
      </c>
      <c r="H22183" s="21">
        <v>699.67</v>
      </c>
    </row>
    <row r="22184" spans="1:8" customFormat="1" x14ac:dyDescent="0.25">
      <c r="A22184" t="str">
        <f>"365843"</f>
        <v>365843</v>
      </c>
      <c r="B22184" t="s">
        <v>2313</v>
      </c>
      <c r="C22184" t="s">
        <v>285</v>
      </c>
      <c r="D22184" s="21" t="s">
        <v>34</v>
      </c>
      <c r="E22184" s="21" t="s">
        <v>254</v>
      </c>
      <c r="F22184">
        <v>4360605</v>
      </c>
      <c r="G22184" t="s">
        <v>6003</v>
      </c>
      <c r="H22184" s="21">
        <v>699.67</v>
      </c>
    </row>
    <row r="22185" spans="1:8" customFormat="1" x14ac:dyDescent="0.25">
      <c r="A22185" t="str">
        <f>"4452955"</f>
        <v>4452955</v>
      </c>
      <c r="B22185" t="s">
        <v>4335</v>
      </c>
      <c r="C22185" t="s">
        <v>109</v>
      </c>
      <c r="D22185" s="21" t="s">
        <v>34</v>
      </c>
      <c r="E22185" s="21" t="s">
        <v>35</v>
      </c>
      <c r="F22185">
        <v>12440081</v>
      </c>
      <c r="G22185" t="s">
        <v>617</v>
      </c>
      <c r="H22185" s="21">
        <v>699.67</v>
      </c>
    </row>
    <row r="22186" spans="1:8" customFormat="1" x14ac:dyDescent="0.25">
      <c r="A22186" t="str">
        <f>"454819"</f>
        <v>454819</v>
      </c>
      <c r="B22186" t="s">
        <v>15691</v>
      </c>
      <c r="C22186" t="s">
        <v>323</v>
      </c>
      <c r="D22186" s="21" t="s">
        <v>34</v>
      </c>
      <c r="E22186" s="21" t="s">
        <v>254</v>
      </c>
      <c r="F22186">
        <v>4450309</v>
      </c>
      <c r="G22186" t="s">
        <v>15692</v>
      </c>
      <c r="H22186" s="21">
        <v>699.67</v>
      </c>
    </row>
    <row r="22187" spans="1:8" customFormat="1" x14ac:dyDescent="0.25">
      <c r="A22187" t="str">
        <f>"614147"</f>
        <v>614147</v>
      </c>
      <c r="B22187" t="s">
        <v>15981</v>
      </c>
      <c r="C22187" t="s">
        <v>198</v>
      </c>
      <c r="D22187" s="21" t="s">
        <v>34</v>
      </c>
      <c r="E22187" s="21" t="s">
        <v>254</v>
      </c>
      <c r="F22187">
        <v>9610011</v>
      </c>
      <c r="G22187" t="s">
        <v>6031</v>
      </c>
      <c r="H22187" s="21">
        <v>699.67</v>
      </c>
    </row>
    <row r="22188" spans="1:8" customFormat="1" x14ac:dyDescent="0.25">
      <c r="A22188" t="str">
        <f>"2719713"</f>
        <v>2719713</v>
      </c>
      <c r="B22188" t="s">
        <v>19091</v>
      </c>
      <c r="C22188" t="s">
        <v>2529</v>
      </c>
      <c r="D22188" s="21" t="s">
        <v>34</v>
      </c>
      <c r="E22188" s="21" t="s">
        <v>35</v>
      </c>
      <c r="F22188">
        <v>9270063</v>
      </c>
      <c r="G22188" t="s">
        <v>808</v>
      </c>
      <c r="H22188" s="21">
        <v>699.67</v>
      </c>
    </row>
    <row r="22189" spans="1:8" customFormat="1" x14ac:dyDescent="0.25">
      <c r="A22189" t="str">
        <f>"6938715"</f>
        <v>6938715</v>
      </c>
      <c r="B22189" t="s">
        <v>16791</v>
      </c>
      <c r="C22189" t="s">
        <v>130</v>
      </c>
      <c r="D22189" s="21" t="s">
        <v>34</v>
      </c>
      <c r="E22189" s="21" t="s">
        <v>254</v>
      </c>
      <c r="F22189">
        <v>1690062</v>
      </c>
      <c r="G22189" t="s">
        <v>5907</v>
      </c>
      <c r="H22189" s="21">
        <v>699.67</v>
      </c>
    </row>
    <row r="22190" spans="1:8" customFormat="1" x14ac:dyDescent="0.25">
      <c r="A22190" t="str">
        <f>"6315499"</f>
        <v>6315499</v>
      </c>
      <c r="B22190" t="s">
        <v>15766</v>
      </c>
      <c r="C22190" t="s">
        <v>43</v>
      </c>
      <c r="D22190" s="21" t="s">
        <v>34</v>
      </c>
      <c r="E22190" s="21" t="s">
        <v>35</v>
      </c>
      <c r="F22190">
        <v>1630331</v>
      </c>
      <c r="G22190" t="s">
        <v>12919</v>
      </c>
      <c r="H22190" s="21">
        <v>699.67</v>
      </c>
    </row>
    <row r="22191" spans="1:8" customFormat="1" x14ac:dyDescent="0.25">
      <c r="A22191" t="str">
        <f>"534252"</f>
        <v>534252</v>
      </c>
      <c r="B22191" t="s">
        <v>2203</v>
      </c>
      <c r="C22191" t="s">
        <v>1142</v>
      </c>
      <c r="D22191" s="21" t="s">
        <v>34</v>
      </c>
      <c r="E22191" s="21" t="s">
        <v>254</v>
      </c>
      <c r="F22191">
        <v>12530049</v>
      </c>
      <c r="G22191" t="s">
        <v>9306</v>
      </c>
      <c r="H22191" s="21">
        <v>699.67</v>
      </c>
    </row>
    <row r="22192" spans="1:8" customFormat="1" x14ac:dyDescent="0.25">
      <c r="A22192" t="str">
        <f>"3531670"</f>
        <v>3531670</v>
      </c>
      <c r="B22192" t="s">
        <v>2398</v>
      </c>
      <c r="C22192" t="s">
        <v>288</v>
      </c>
      <c r="D22192" s="21" t="s">
        <v>34</v>
      </c>
      <c r="E22192" s="21" t="s">
        <v>35</v>
      </c>
      <c r="F22192">
        <v>3350125</v>
      </c>
      <c r="G22192" t="s">
        <v>16195</v>
      </c>
      <c r="H22192" s="21">
        <v>699.67</v>
      </c>
    </row>
    <row r="22193" spans="1:8" customFormat="1" x14ac:dyDescent="0.25">
      <c r="A22193" t="str">
        <f>"712315"</f>
        <v>712315</v>
      </c>
      <c r="B22193" t="s">
        <v>10937</v>
      </c>
      <c r="C22193" t="s">
        <v>253</v>
      </c>
      <c r="D22193" s="21" t="s">
        <v>34</v>
      </c>
      <c r="E22193" s="21" t="s">
        <v>6185</v>
      </c>
      <c r="F22193">
        <v>2710042</v>
      </c>
      <c r="G22193" t="s">
        <v>1997</v>
      </c>
      <c r="H22193" s="21">
        <v>699.67</v>
      </c>
    </row>
    <row r="22194" spans="1:8" customFormat="1" x14ac:dyDescent="0.25">
      <c r="A22194" t="str">
        <f>"019522"</f>
        <v>019522</v>
      </c>
      <c r="B22194" t="s">
        <v>16299</v>
      </c>
      <c r="C22194" t="s">
        <v>62</v>
      </c>
      <c r="D22194" s="21" t="s">
        <v>34</v>
      </c>
      <c r="E22194" s="21" t="s">
        <v>71</v>
      </c>
      <c r="F22194">
        <v>1010063</v>
      </c>
      <c r="G22194" t="s">
        <v>5215</v>
      </c>
      <c r="H22194" s="21">
        <v>699.67</v>
      </c>
    </row>
    <row r="22195" spans="1:8" customFormat="1" x14ac:dyDescent="0.25">
      <c r="A22195" t="str">
        <f>"3820637"</f>
        <v>3820637</v>
      </c>
      <c r="B22195" t="s">
        <v>16710</v>
      </c>
      <c r="C22195" t="s">
        <v>55</v>
      </c>
      <c r="D22195" s="21" t="s">
        <v>34</v>
      </c>
      <c r="E22195" s="21" t="s">
        <v>71</v>
      </c>
      <c r="F22195">
        <v>1380290</v>
      </c>
      <c r="G22195" t="s">
        <v>619</v>
      </c>
      <c r="H22195" s="21">
        <v>699.67</v>
      </c>
    </row>
    <row r="22196" spans="1:8" customFormat="1" x14ac:dyDescent="0.25">
      <c r="A22196" t="str">
        <f>"3526622"</f>
        <v>3526622</v>
      </c>
      <c r="B22196" t="s">
        <v>19535</v>
      </c>
      <c r="C22196" t="s">
        <v>1812</v>
      </c>
      <c r="D22196" s="21" t="s">
        <v>34</v>
      </c>
      <c r="E22196" s="21" t="s">
        <v>71</v>
      </c>
      <c r="F22196">
        <v>3350130</v>
      </c>
      <c r="G22196" t="s">
        <v>7335</v>
      </c>
      <c r="H22196" s="21">
        <v>699.67</v>
      </c>
    </row>
    <row r="22197" spans="1:8" customFormat="1" x14ac:dyDescent="0.25">
      <c r="A22197" t="str">
        <f>"7625092"</f>
        <v>7625092</v>
      </c>
      <c r="B22197" t="s">
        <v>9376</v>
      </c>
      <c r="C22197" t="s">
        <v>328</v>
      </c>
      <c r="D22197" s="21" t="s">
        <v>34</v>
      </c>
      <c r="E22197" s="21" t="s">
        <v>71</v>
      </c>
      <c r="F22197">
        <v>9760315</v>
      </c>
      <c r="G22197" t="s">
        <v>12345</v>
      </c>
      <c r="H22197" s="21">
        <v>699.67</v>
      </c>
    </row>
    <row r="22198" spans="1:8" customFormat="1" x14ac:dyDescent="0.25">
      <c r="A22198" t="str">
        <f>"4449979"</f>
        <v>4449979</v>
      </c>
      <c r="B22198" t="s">
        <v>18365</v>
      </c>
      <c r="C22198" t="s">
        <v>598</v>
      </c>
      <c r="D22198" s="21" t="s">
        <v>34</v>
      </c>
      <c r="E22198" s="21" t="s">
        <v>71</v>
      </c>
      <c r="F22198">
        <v>12440125</v>
      </c>
      <c r="G22198" t="s">
        <v>8347</v>
      </c>
      <c r="H22198" s="21">
        <v>699.54</v>
      </c>
    </row>
    <row r="22199" spans="1:8" customFormat="1" x14ac:dyDescent="0.25">
      <c r="A22199" t="str">
        <f>"5621034"</f>
        <v>5621034</v>
      </c>
      <c r="B22199" t="s">
        <v>18381</v>
      </c>
      <c r="C22199" t="s">
        <v>43</v>
      </c>
      <c r="D22199" s="21" t="s">
        <v>34</v>
      </c>
      <c r="E22199" s="21" t="s">
        <v>35</v>
      </c>
      <c r="F22199">
        <v>3560037</v>
      </c>
      <c r="G22199" t="s">
        <v>10491</v>
      </c>
      <c r="H22199" s="21">
        <v>699.42</v>
      </c>
    </row>
    <row r="22200" spans="1:8" customFormat="1" x14ac:dyDescent="0.25">
      <c r="A22200" t="str">
        <f>"7714471"</f>
        <v>7714471</v>
      </c>
      <c r="B22200" t="s">
        <v>1143</v>
      </c>
      <c r="C22200" t="s">
        <v>55</v>
      </c>
      <c r="D22200" s="21" t="s">
        <v>34</v>
      </c>
      <c r="E22200" s="21" t="s">
        <v>71</v>
      </c>
      <c r="F22200">
        <v>8771229</v>
      </c>
      <c r="G22200" t="s">
        <v>26815</v>
      </c>
      <c r="H22200" s="21">
        <v>699.29</v>
      </c>
    </row>
    <row r="22201" spans="1:8" customFormat="1" x14ac:dyDescent="0.25">
      <c r="A22201" t="str">
        <f>"927016"</f>
        <v>927016</v>
      </c>
      <c r="B22201" t="s">
        <v>17942</v>
      </c>
      <c r="C22201" t="s">
        <v>209</v>
      </c>
      <c r="D22201" s="21" t="s">
        <v>34</v>
      </c>
      <c r="E22201" s="21" t="s">
        <v>71</v>
      </c>
      <c r="F22201">
        <v>8921244</v>
      </c>
      <c r="G22201" t="s">
        <v>2908</v>
      </c>
      <c r="H22201" s="21">
        <v>699.17</v>
      </c>
    </row>
    <row r="22202" spans="1:8" customFormat="1" x14ac:dyDescent="0.25">
      <c r="A22202" t="str">
        <f>"6218907"</f>
        <v>6218907</v>
      </c>
      <c r="B22202" t="s">
        <v>5785</v>
      </c>
      <c r="C22202" t="s">
        <v>415</v>
      </c>
      <c r="D22202" s="21" t="s">
        <v>34</v>
      </c>
      <c r="E22202" s="21" t="s">
        <v>71</v>
      </c>
      <c r="F22202">
        <v>7620038</v>
      </c>
      <c r="G22202" t="s">
        <v>5049</v>
      </c>
      <c r="H22202" s="21">
        <v>699.17</v>
      </c>
    </row>
    <row r="22203" spans="1:8" customFormat="1" x14ac:dyDescent="0.25">
      <c r="A22203" t="str">
        <f>"1613092"</f>
        <v>1613092</v>
      </c>
      <c r="B22203" t="s">
        <v>7646</v>
      </c>
      <c r="C22203" t="s">
        <v>87</v>
      </c>
      <c r="D22203" s="21" t="s">
        <v>34</v>
      </c>
      <c r="E22203" s="21" t="s">
        <v>35</v>
      </c>
      <c r="F22203">
        <v>10160225</v>
      </c>
      <c r="G22203" t="s">
        <v>2865</v>
      </c>
      <c r="H22203" s="21">
        <v>699.17</v>
      </c>
    </row>
    <row r="22204" spans="1:8" customFormat="1" x14ac:dyDescent="0.25">
      <c r="A22204" t="str">
        <f>"857408"</f>
        <v>857408</v>
      </c>
      <c r="B22204" t="s">
        <v>16004</v>
      </c>
      <c r="C22204" t="s">
        <v>139</v>
      </c>
      <c r="D22204" s="21" t="s">
        <v>34</v>
      </c>
      <c r="E22204" s="21" t="s">
        <v>35</v>
      </c>
      <c r="F22204">
        <v>12850154</v>
      </c>
      <c r="G22204" t="s">
        <v>7078</v>
      </c>
      <c r="H22204" s="21">
        <v>699.17</v>
      </c>
    </row>
    <row r="22205" spans="1:8" customFormat="1" x14ac:dyDescent="0.25">
      <c r="A22205" t="str">
        <f>"173450"</f>
        <v>173450</v>
      </c>
      <c r="B22205" t="s">
        <v>16313</v>
      </c>
      <c r="C22205" t="s">
        <v>209</v>
      </c>
      <c r="D22205" s="21" t="s">
        <v>34</v>
      </c>
      <c r="E22205" s="21" t="s">
        <v>254</v>
      </c>
      <c r="F22205">
        <v>10170050</v>
      </c>
      <c r="G22205" t="s">
        <v>2514</v>
      </c>
      <c r="H22205" s="21">
        <v>699.17</v>
      </c>
    </row>
    <row r="22206" spans="1:8" customFormat="1" x14ac:dyDescent="0.25">
      <c r="A22206" t="str">
        <f>"4210095"</f>
        <v>4210095</v>
      </c>
      <c r="B22206" t="s">
        <v>11773</v>
      </c>
      <c r="C22206" t="s">
        <v>822</v>
      </c>
      <c r="D22206" s="21" t="s">
        <v>34</v>
      </c>
      <c r="E22206" s="21" t="s">
        <v>1089</v>
      </c>
      <c r="F22206">
        <v>1420106</v>
      </c>
      <c r="G22206" t="s">
        <v>6244</v>
      </c>
      <c r="H22206" s="21">
        <v>699.17</v>
      </c>
    </row>
    <row r="22207" spans="1:8" customFormat="1" x14ac:dyDescent="0.25">
      <c r="A22207" t="str">
        <f>"5322394"</f>
        <v>5322394</v>
      </c>
      <c r="B22207" t="s">
        <v>17333</v>
      </c>
      <c r="C22207" t="s">
        <v>58</v>
      </c>
      <c r="D22207" s="21" t="s">
        <v>34</v>
      </c>
      <c r="E22207" s="21" t="s">
        <v>35</v>
      </c>
      <c r="F22207">
        <v>12530120</v>
      </c>
      <c r="G22207" t="s">
        <v>26791</v>
      </c>
      <c r="H22207" s="21">
        <v>699.17</v>
      </c>
    </row>
    <row r="22208" spans="1:8" customFormat="1" x14ac:dyDescent="0.25">
      <c r="A22208" t="str">
        <f>"5425410"</f>
        <v>5425410</v>
      </c>
      <c r="B22208" t="s">
        <v>18073</v>
      </c>
      <c r="C22208" t="s">
        <v>288</v>
      </c>
      <c r="D22208" s="21" t="s">
        <v>34</v>
      </c>
      <c r="E22208" s="21" t="s">
        <v>35</v>
      </c>
      <c r="F22208">
        <v>6540190</v>
      </c>
      <c r="G22208" t="s">
        <v>9727</v>
      </c>
      <c r="H22208" s="21">
        <v>699.17</v>
      </c>
    </row>
    <row r="22209" spans="1:8" customFormat="1" x14ac:dyDescent="0.25">
      <c r="A22209" t="str">
        <f>"5010983"</f>
        <v>5010983</v>
      </c>
      <c r="B22209" t="s">
        <v>12577</v>
      </c>
      <c r="C22209" t="s">
        <v>2520</v>
      </c>
      <c r="D22209" s="21" t="s">
        <v>34</v>
      </c>
      <c r="E22209" s="21" t="s">
        <v>254</v>
      </c>
      <c r="F22209">
        <v>9500132</v>
      </c>
      <c r="G22209" t="s">
        <v>11167</v>
      </c>
      <c r="H22209" s="21">
        <v>699.17</v>
      </c>
    </row>
    <row r="22210" spans="1:8" customFormat="1" x14ac:dyDescent="0.25">
      <c r="A22210" t="str">
        <f>"543136"</f>
        <v>543136</v>
      </c>
      <c r="B22210" t="s">
        <v>3396</v>
      </c>
      <c r="C22210" t="s">
        <v>547</v>
      </c>
      <c r="D22210" s="21" t="s">
        <v>34</v>
      </c>
      <c r="E22210" s="21" t="s">
        <v>254</v>
      </c>
      <c r="F22210">
        <v>6540115</v>
      </c>
      <c r="G22210" t="s">
        <v>3398</v>
      </c>
      <c r="H22210" s="21">
        <v>699.17</v>
      </c>
    </row>
    <row r="22211" spans="1:8" customFormat="1" x14ac:dyDescent="0.25">
      <c r="A22211" t="str">
        <f>"851390"</f>
        <v>851390</v>
      </c>
      <c r="B22211" t="s">
        <v>7122</v>
      </c>
      <c r="C22211" t="s">
        <v>267</v>
      </c>
      <c r="D22211" s="21" t="s">
        <v>34</v>
      </c>
      <c r="E22211" s="21" t="s">
        <v>71</v>
      </c>
      <c r="F22211">
        <v>12850126</v>
      </c>
      <c r="G22211" t="s">
        <v>15355</v>
      </c>
      <c r="H22211" s="21">
        <v>699.17</v>
      </c>
    </row>
    <row r="22212" spans="1:8" customFormat="1" x14ac:dyDescent="0.25">
      <c r="A22212" t="str">
        <f>"599008"</f>
        <v>599008</v>
      </c>
      <c r="B22212" t="s">
        <v>16899</v>
      </c>
      <c r="C22212" t="s">
        <v>598</v>
      </c>
      <c r="D22212" s="21" t="s">
        <v>34</v>
      </c>
      <c r="E22212" s="21" t="s">
        <v>71</v>
      </c>
      <c r="F22212">
        <v>7590005</v>
      </c>
      <c r="G22212" t="s">
        <v>540</v>
      </c>
      <c r="H22212" s="21">
        <v>699.17</v>
      </c>
    </row>
    <row r="22213" spans="1:8" customFormat="1" x14ac:dyDescent="0.25">
      <c r="A22213" t="str">
        <f>"365840"</f>
        <v>365840</v>
      </c>
      <c r="B22213" t="s">
        <v>12130</v>
      </c>
      <c r="C22213" t="s">
        <v>2053</v>
      </c>
      <c r="D22213" s="21" t="s">
        <v>34</v>
      </c>
      <c r="E22213" s="21" t="s">
        <v>35</v>
      </c>
      <c r="F22213">
        <v>4360727</v>
      </c>
      <c r="G22213" t="s">
        <v>10026</v>
      </c>
      <c r="H22213" s="21">
        <v>699.17</v>
      </c>
    </row>
    <row r="22214" spans="1:8" customFormat="1" x14ac:dyDescent="0.25">
      <c r="A22214" t="str">
        <f>"619938"</f>
        <v>619938</v>
      </c>
      <c r="B22214" t="s">
        <v>18023</v>
      </c>
      <c r="C22214" t="s">
        <v>598</v>
      </c>
      <c r="D22214" s="21" t="s">
        <v>34</v>
      </c>
      <c r="E22214" s="21" t="s">
        <v>254</v>
      </c>
      <c r="F22214">
        <v>9610009</v>
      </c>
      <c r="G22214" t="s">
        <v>282</v>
      </c>
      <c r="H22214" s="21">
        <v>699.17</v>
      </c>
    </row>
    <row r="22215" spans="1:8" customFormat="1" x14ac:dyDescent="0.25">
      <c r="A22215" t="str">
        <f>"751136"</f>
        <v>751136</v>
      </c>
      <c r="B22215" t="s">
        <v>15863</v>
      </c>
      <c r="C22215" t="s">
        <v>1142</v>
      </c>
      <c r="D22215" s="21" t="s">
        <v>34</v>
      </c>
      <c r="E22215" s="21" t="s">
        <v>1089</v>
      </c>
      <c r="F22215">
        <v>8750292</v>
      </c>
      <c r="G22215" t="s">
        <v>9069</v>
      </c>
      <c r="H22215" s="21">
        <v>699.04</v>
      </c>
    </row>
    <row r="22216" spans="1:8" customFormat="1" x14ac:dyDescent="0.25">
      <c r="A22216" t="str">
        <f>"7518752"</f>
        <v>7518752</v>
      </c>
      <c r="B22216" t="s">
        <v>11607</v>
      </c>
      <c r="C22216" t="s">
        <v>2479</v>
      </c>
      <c r="D22216" s="21" t="s">
        <v>34</v>
      </c>
      <c r="E22216" s="21" t="s">
        <v>254</v>
      </c>
      <c r="F22216">
        <v>8751249</v>
      </c>
      <c r="G22216" t="s">
        <v>2803</v>
      </c>
      <c r="H22216" s="21">
        <v>698.92</v>
      </c>
    </row>
    <row r="22217" spans="1:8" customFormat="1" x14ac:dyDescent="0.25">
      <c r="A22217" t="str">
        <f>"4527207"</f>
        <v>4527207</v>
      </c>
      <c r="B22217" t="s">
        <v>2067</v>
      </c>
      <c r="C22217" t="s">
        <v>127</v>
      </c>
      <c r="D22217" s="21" t="s">
        <v>34</v>
      </c>
      <c r="E22217" s="21" t="s">
        <v>35</v>
      </c>
      <c r="F22217">
        <v>4450209</v>
      </c>
      <c r="G22217" t="s">
        <v>10425</v>
      </c>
      <c r="H22217" s="21">
        <v>698.92</v>
      </c>
    </row>
    <row r="22218" spans="1:8" customFormat="1" x14ac:dyDescent="0.25">
      <c r="A22218" t="str">
        <f>"188841"</f>
        <v>188841</v>
      </c>
      <c r="B22218" t="s">
        <v>27688</v>
      </c>
      <c r="C22218" t="s">
        <v>90</v>
      </c>
      <c r="D22218" s="21" t="s">
        <v>34</v>
      </c>
      <c r="E22218" s="21" t="s">
        <v>35</v>
      </c>
      <c r="F22218">
        <v>4180485</v>
      </c>
      <c r="G22218" t="s">
        <v>345</v>
      </c>
      <c r="H22218" s="21">
        <v>698.79</v>
      </c>
    </row>
    <row r="22219" spans="1:8" customFormat="1" x14ac:dyDescent="0.25">
      <c r="A22219" t="str">
        <f>"7877022"</f>
        <v>7877022</v>
      </c>
      <c r="B22219" t="s">
        <v>17553</v>
      </c>
      <c r="C22219" t="s">
        <v>209</v>
      </c>
      <c r="D22219" s="21" t="s">
        <v>34</v>
      </c>
      <c r="E22219" s="21" t="s">
        <v>254</v>
      </c>
      <c r="F22219">
        <v>8780892</v>
      </c>
      <c r="G22219" t="s">
        <v>3021</v>
      </c>
      <c r="H22219" s="21">
        <v>698.79</v>
      </c>
    </row>
    <row r="22220" spans="1:8" customFormat="1" x14ac:dyDescent="0.25">
      <c r="A22220" t="str">
        <f>"295404"</f>
        <v>295404</v>
      </c>
      <c r="B22220" t="s">
        <v>2851</v>
      </c>
      <c r="C22220" t="s">
        <v>598</v>
      </c>
      <c r="D22220" s="21" t="s">
        <v>34</v>
      </c>
      <c r="E22220" s="21" t="s">
        <v>254</v>
      </c>
      <c r="F22220">
        <v>3290087</v>
      </c>
      <c r="G22220" t="s">
        <v>364</v>
      </c>
      <c r="H22220" s="21">
        <v>698.67</v>
      </c>
    </row>
    <row r="22221" spans="1:8" customFormat="1" x14ac:dyDescent="0.25">
      <c r="A22221" t="str">
        <f>"135749"</f>
        <v>135749</v>
      </c>
      <c r="B22221" t="s">
        <v>5135</v>
      </c>
      <c r="C22221" t="s">
        <v>236</v>
      </c>
      <c r="D22221" s="21" t="s">
        <v>34</v>
      </c>
      <c r="E22221" s="21" t="s">
        <v>71</v>
      </c>
      <c r="F22221">
        <v>13130122</v>
      </c>
      <c r="G22221" t="s">
        <v>6354</v>
      </c>
      <c r="H22221" s="21">
        <v>698.67</v>
      </c>
    </row>
    <row r="22222" spans="1:8" customFormat="1" x14ac:dyDescent="0.25">
      <c r="A22222" t="str">
        <f>"407140"</f>
        <v>407140</v>
      </c>
      <c r="B22222" t="s">
        <v>1263</v>
      </c>
      <c r="C22222" t="s">
        <v>37</v>
      </c>
      <c r="D22222" s="21" t="s">
        <v>34</v>
      </c>
      <c r="E22222" s="21" t="s">
        <v>35</v>
      </c>
      <c r="F22222">
        <v>10400009</v>
      </c>
      <c r="G22222" t="s">
        <v>5378</v>
      </c>
      <c r="H22222" s="21">
        <v>698.67</v>
      </c>
    </row>
    <row r="22223" spans="1:8" customFormat="1" x14ac:dyDescent="0.25">
      <c r="A22223" t="str">
        <f>"9445642"</f>
        <v>9445642</v>
      </c>
      <c r="B22223" t="s">
        <v>4344</v>
      </c>
      <c r="C22223" t="s">
        <v>2651</v>
      </c>
      <c r="D22223" s="21" t="s">
        <v>34</v>
      </c>
      <c r="E22223" s="21" t="s">
        <v>35</v>
      </c>
      <c r="F22223">
        <v>8940926</v>
      </c>
      <c r="G22223" t="s">
        <v>4065</v>
      </c>
      <c r="H22223" s="21">
        <v>698.67</v>
      </c>
    </row>
    <row r="22224" spans="1:8" customFormat="1" x14ac:dyDescent="0.25">
      <c r="A22224" t="str">
        <f>"3515265"</f>
        <v>3515265</v>
      </c>
      <c r="B22224" t="s">
        <v>18713</v>
      </c>
      <c r="C22224" t="s">
        <v>576</v>
      </c>
      <c r="D22224" s="21" t="s">
        <v>34</v>
      </c>
      <c r="E22224" s="21" t="s">
        <v>35</v>
      </c>
      <c r="F22224">
        <v>3350132</v>
      </c>
      <c r="G22224" t="s">
        <v>17921</v>
      </c>
      <c r="H22224" s="21">
        <v>698.67</v>
      </c>
    </row>
    <row r="22225" spans="1:8" customFormat="1" x14ac:dyDescent="0.25">
      <c r="A22225" t="str">
        <f>"2914762"</f>
        <v>2914762</v>
      </c>
      <c r="B22225" t="s">
        <v>8461</v>
      </c>
      <c r="C22225" t="s">
        <v>1110</v>
      </c>
      <c r="D22225" s="21" t="s">
        <v>34</v>
      </c>
      <c r="E22225" s="21" t="s">
        <v>1089</v>
      </c>
      <c r="F22225">
        <v>3290264</v>
      </c>
      <c r="G22225" t="s">
        <v>6934</v>
      </c>
      <c r="H22225" s="21">
        <v>698.67</v>
      </c>
    </row>
    <row r="22226" spans="1:8" customFormat="1" x14ac:dyDescent="0.25">
      <c r="A22226" t="str">
        <f>"3721324"</f>
        <v>3721324</v>
      </c>
      <c r="B22226" t="s">
        <v>16811</v>
      </c>
      <c r="C22226" t="s">
        <v>2117</v>
      </c>
      <c r="D22226" s="21" t="s">
        <v>34</v>
      </c>
      <c r="E22226" s="21" t="s">
        <v>71</v>
      </c>
      <c r="F22226">
        <v>4370346</v>
      </c>
      <c r="G22226" t="s">
        <v>8269</v>
      </c>
      <c r="H22226" s="21">
        <v>698.67</v>
      </c>
    </row>
    <row r="22227" spans="1:8" customFormat="1" x14ac:dyDescent="0.25">
      <c r="A22227" t="str">
        <f>"3821305"</f>
        <v>3821305</v>
      </c>
      <c r="B22227" t="s">
        <v>16261</v>
      </c>
      <c r="C22227" t="s">
        <v>267</v>
      </c>
      <c r="D22227" s="21" t="s">
        <v>34</v>
      </c>
      <c r="E22227" s="21" t="s">
        <v>1089</v>
      </c>
      <c r="F22227">
        <v>1380290</v>
      </c>
      <c r="G22227" t="s">
        <v>619</v>
      </c>
      <c r="H22227" s="21">
        <v>698.67</v>
      </c>
    </row>
    <row r="22228" spans="1:8" customFormat="1" x14ac:dyDescent="0.25">
      <c r="A22228" t="str">
        <f>"063371"</f>
        <v>063371</v>
      </c>
      <c r="B22228" t="s">
        <v>16757</v>
      </c>
      <c r="C22228" t="s">
        <v>598</v>
      </c>
      <c r="D22228" s="21" t="s">
        <v>34</v>
      </c>
      <c r="E22228" s="21" t="s">
        <v>254</v>
      </c>
      <c r="F22228">
        <v>13060031</v>
      </c>
      <c r="G22228" t="s">
        <v>9379</v>
      </c>
      <c r="H22228" s="21">
        <v>698.67</v>
      </c>
    </row>
    <row r="22229" spans="1:8" customFormat="1" x14ac:dyDescent="0.25">
      <c r="A22229" t="str">
        <f>"517032"</f>
        <v>517032</v>
      </c>
      <c r="B22229" t="s">
        <v>16159</v>
      </c>
      <c r="C22229" t="s">
        <v>62</v>
      </c>
      <c r="D22229" s="21" t="s">
        <v>34</v>
      </c>
      <c r="E22229" s="21" t="s">
        <v>71</v>
      </c>
      <c r="F22229">
        <v>6510008</v>
      </c>
      <c r="G22229" t="s">
        <v>26622</v>
      </c>
      <c r="H22229" s="21">
        <v>698.67</v>
      </c>
    </row>
    <row r="22230" spans="1:8" customFormat="1" x14ac:dyDescent="0.25">
      <c r="A22230" t="str">
        <f>"9532967"</f>
        <v>9532967</v>
      </c>
      <c r="B22230" t="s">
        <v>17943</v>
      </c>
      <c r="C22230" t="s">
        <v>576</v>
      </c>
      <c r="D22230" s="21" t="s">
        <v>34</v>
      </c>
      <c r="E22230" s="21" t="s">
        <v>35</v>
      </c>
      <c r="F22230">
        <v>8951449</v>
      </c>
      <c r="G22230" t="s">
        <v>4475</v>
      </c>
      <c r="H22230" s="21">
        <v>698.67</v>
      </c>
    </row>
    <row r="22231" spans="1:8" customFormat="1" x14ac:dyDescent="0.25">
      <c r="A22231" t="str">
        <f>"5018713"</f>
        <v>5018713</v>
      </c>
      <c r="B22231" t="s">
        <v>14244</v>
      </c>
      <c r="C22231" t="s">
        <v>121</v>
      </c>
      <c r="D22231" s="21" t="s">
        <v>34</v>
      </c>
      <c r="E22231" s="21" t="s">
        <v>35</v>
      </c>
      <c r="F22231">
        <v>9500015</v>
      </c>
      <c r="G22231" t="s">
        <v>3389</v>
      </c>
      <c r="H22231" s="21">
        <v>698.67</v>
      </c>
    </row>
    <row r="22232" spans="1:8" customFormat="1" x14ac:dyDescent="0.25">
      <c r="A22232" t="str">
        <f>"0811296"</f>
        <v>0811296</v>
      </c>
      <c r="B22232" t="s">
        <v>17369</v>
      </c>
      <c r="C22232" t="s">
        <v>169</v>
      </c>
      <c r="D22232" s="21" t="s">
        <v>34</v>
      </c>
      <c r="E22232" s="21" t="s">
        <v>35</v>
      </c>
      <c r="F22232">
        <v>6080024</v>
      </c>
      <c r="G22232" t="s">
        <v>5511</v>
      </c>
      <c r="H22232" s="21">
        <v>698.67</v>
      </c>
    </row>
    <row r="22233" spans="1:8" customFormat="1" x14ac:dyDescent="0.25">
      <c r="A22233" t="str">
        <f>"7717290"</f>
        <v>7717290</v>
      </c>
      <c r="B22233" t="s">
        <v>18602</v>
      </c>
      <c r="C22233" t="s">
        <v>87</v>
      </c>
      <c r="D22233" s="21" t="s">
        <v>34</v>
      </c>
      <c r="E22233" s="21" t="s">
        <v>71</v>
      </c>
      <c r="F22233">
        <v>8771394</v>
      </c>
      <c r="G22233" t="s">
        <v>1933</v>
      </c>
      <c r="H22233" s="21">
        <v>698.67</v>
      </c>
    </row>
    <row r="22234" spans="1:8" customFormat="1" x14ac:dyDescent="0.25">
      <c r="A22234" t="str">
        <f>"4924686"</f>
        <v>4924686</v>
      </c>
      <c r="B22234" t="s">
        <v>4818</v>
      </c>
      <c r="C22234" t="s">
        <v>209</v>
      </c>
      <c r="D22234" s="21" t="s">
        <v>34</v>
      </c>
      <c r="E22234" s="21" t="s">
        <v>71</v>
      </c>
      <c r="F22234">
        <v>12490098</v>
      </c>
      <c r="G22234" t="s">
        <v>2670</v>
      </c>
      <c r="H22234" s="21">
        <v>698.67</v>
      </c>
    </row>
    <row r="22235" spans="1:8" customFormat="1" x14ac:dyDescent="0.25">
      <c r="A22235" t="str">
        <f>"8516517"</f>
        <v>8516517</v>
      </c>
      <c r="B22235" t="s">
        <v>1838</v>
      </c>
      <c r="C22235" t="s">
        <v>96</v>
      </c>
      <c r="D22235" s="21" t="s">
        <v>34</v>
      </c>
      <c r="E22235" s="21" t="s">
        <v>35</v>
      </c>
      <c r="F22235">
        <v>12850134</v>
      </c>
      <c r="G22235" t="s">
        <v>2359</v>
      </c>
      <c r="H22235" s="21">
        <v>698.67</v>
      </c>
    </row>
    <row r="22236" spans="1:8" customFormat="1" x14ac:dyDescent="0.25">
      <c r="A22236" t="str">
        <f>"5945701"</f>
        <v>5945701</v>
      </c>
      <c r="B22236" t="s">
        <v>2313</v>
      </c>
      <c r="C22236" t="s">
        <v>62</v>
      </c>
      <c r="D22236" s="21" t="s">
        <v>34</v>
      </c>
      <c r="E22236" s="21" t="s">
        <v>254</v>
      </c>
      <c r="F22236">
        <v>7590173</v>
      </c>
      <c r="G22236" t="s">
        <v>5675</v>
      </c>
      <c r="H22236" s="21">
        <v>698.67</v>
      </c>
    </row>
    <row r="22237" spans="1:8" customFormat="1" x14ac:dyDescent="0.25">
      <c r="A22237" t="str">
        <f>"547612"</f>
        <v>547612</v>
      </c>
      <c r="B22237" t="s">
        <v>16964</v>
      </c>
      <c r="C22237" t="s">
        <v>1539</v>
      </c>
      <c r="D22237" s="21" t="s">
        <v>34</v>
      </c>
      <c r="E22237" s="21" t="s">
        <v>254</v>
      </c>
      <c r="F22237">
        <v>6540056</v>
      </c>
      <c r="G22237" t="s">
        <v>1136</v>
      </c>
      <c r="H22237" s="21">
        <v>698.67</v>
      </c>
    </row>
    <row r="22238" spans="1:8" customFormat="1" x14ac:dyDescent="0.25">
      <c r="A22238" t="str">
        <f>"6710374"</f>
        <v>6710374</v>
      </c>
      <c r="B22238" t="s">
        <v>12861</v>
      </c>
      <c r="C22238" t="s">
        <v>547</v>
      </c>
      <c r="D22238" s="21" t="s">
        <v>34</v>
      </c>
      <c r="E22238" s="21" t="s">
        <v>71</v>
      </c>
      <c r="F22238">
        <v>6670187</v>
      </c>
      <c r="G22238" t="s">
        <v>240</v>
      </c>
      <c r="H22238" s="21">
        <v>698.67</v>
      </c>
    </row>
    <row r="22239" spans="1:8" customFormat="1" x14ac:dyDescent="0.25">
      <c r="A22239" t="str">
        <f>"5967606"</f>
        <v>5967606</v>
      </c>
      <c r="B22239" t="s">
        <v>18037</v>
      </c>
      <c r="C22239" t="s">
        <v>12515</v>
      </c>
      <c r="D22239" s="21" t="s">
        <v>34</v>
      </c>
      <c r="E22239" s="21" t="s">
        <v>35</v>
      </c>
      <c r="F22239">
        <v>7590153</v>
      </c>
      <c r="G22239" t="s">
        <v>9484</v>
      </c>
      <c r="H22239" s="21">
        <v>698.67</v>
      </c>
    </row>
    <row r="22240" spans="1:8" customFormat="1" x14ac:dyDescent="0.25">
      <c r="A22240" t="str">
        <f>"7641294"</f>
        <v>7641294</v>
      </c>
      <c r="B22240" t="s">
        <v>582</v>
      </c>
      <c r="C22240" t="s">
        <v>4161</v>
      </c>
      <c r="D22240" s="21" t="s">
        <v>34</v>
      </c>
      <c r="E22240" s="21" t="s">
        <v>35</v>
      </c>
      <c r="F22240">
        <v>9760034</v>
      </c>
      <c r="G22240" t="s">
        <v>1242</v>
      </c>
      <c r="H22240" s="21">
        <v>698.67</v>
      </c>
    </row>
    <row r="22241" spans="1:8" customFormat="1" x14ac:dyDescent="0.25">
      <c r="A22241" t="str">
        <f>"855147"</f>
        <v>855147</v>
      </c>
      <c r="B22241" t="s">
        <v>17596</v>
      </c>
      <c r="C22241" t="s">
        <v>1705</v>
      </c>
      <c r="D22241" s="21" t="s">
        <v>34</v>
      </c>
      <c r="E22241" s="21" t="s">
        <v>71</v>
      </c>
      <c r="F22241">
        <v>12850051</v>
      </c>
      <c r="G22241" t="s">
        <v>5185</v>
      </c>
      <c r="H22241" s="21">
        <v>698.67</v>
      </c>
    </row>
    <row r="22242" spans="1:8" customFormat="1" x14ac:dyDescent="0.25">
      <c r="A22242" t="str">
        <f>"5014463"</f>
        <v>5014463</v>
      </c>
      <c r="B22242" t="s">
        <v>15928</v>
      </c>
      <c r="C22242" t="s">
        <v>934</v>
      </c>
      <c r="D22242" s="21" t="s">
        <v>34</v>
      </c>
      <c r="E22242" s="21" t="s">
        <v>35</v>
      </c>
      <c r="F22242">
        <v>9500164</v>
      </c>
      <c r="G22242" t="s">
        <v>9818</v>
      </c>
      <c r="H22242" s="21">
        <v>698.67</v>
      </c>
    </row>
    <row r="22243" spans="1:8" customFormat="1" x14ac:dyDescent="0.25">
      <c r="A22243" t="str">
        <f>"5929018"</f>
        <v>5929018</v>
      </c>
      <c r="B22243" t="s">
        <v>18029</v>
      </c>
      <c r="C22243" t="s">
        <v>87</v>
      </c>
      <c r="D22243" s="21" t="s">
        <v>34</v>
      </c>
      <c r="E22243" s="21" t="s">
        <v>35</v>
      </c>
      <c r="F22243">
        <v>7590007</v>
      </c>
      <c r="G22243" t="s">
        <v>13674</v>
      </c>
      <c r="H22243" s="21">
        <v>698.67</v>
      </c>
    </row>
    <row r="22244" spans="1:8" customFormat="1" x14ac:dyDescent="0.25">
      <c r="A22244" t="str">
        <f>"4922387"</f>
        <v>4922387</v>
      </c>
      <c r="B22244" t="s">
        <v>64</v>
      </c>
      <c r="C22244" t="s">
        <v>169</v>
      </c>
      <c r="D22244" s="21" t="s">
        <v>34</v>
      </c>
      <c r="E22244" s="21" t="s">
        <v>35</v>
      </c>
      <c r="F22244">
        <v>12490032</v>
      </c>
      <c r="G22244" t="s">
        <v>6233</v>
      </c>
      <c r="H22244" s="21">
        <v>698.54</v>
      </c>
    </row>
    <row r="22245" spans="1:8" customFormat="1" x14ac:dyDescent="0.25">
      <c r="A22245" t="str">
        <f>"024660"</f>
        <v>024660</v>
      </c>
      <c r="B22245" t="s">
        <v>16921</v>
      </c>
      <c r="C22245" t="s">
        <v>2546</v>
      </c>
      <c r="D22245" s="21" t="s">
        <v>34</v>
      </c>
      <c r="E22245" s="21" t="s">
        <v>254</v>
      </c>
      <c r="F22245">
        <v>7020040</v>
      </c>
      <c r="G22245" t="s">
        <v>1698</v>
      </c>
      <c r="H22245" s="21">
        <v>698.42</v>
      </c>
    </row>
    <row r="22246" spans="1:8" customFormat="1" x14ac:dyDescent="0.25">
      <c r="A22246" t="str">
        <f>"5610909"</f>
        <v>5610909</v>
      </c>
      <c r="B22246" t="s">
        <v>16736</v>
      </c>
      <c r="C22246" t="s">
        <v>209</v>
      </c>
      <c r="D22246" s="21" t="s">
        <v>34</v>
      </c>
      <c r="E22246" s="21" t="s">
        <v>254</v>
      </c>
      <c r="F22246">
        <v>10170042</v>
      </c>
      <c r="G22246" t="s">
        <v>5014</v>
      </c>
      <c r="H22246" s="21">
        <v>698.42</v>
      </c>
    </row>
    <row r="22247" spans="1:8" customFormat="1" x14ac:dyDescent="0.25">
      <c r="A22247" t="str">
        <f>"5324232"</f>
        <v>5324232</v>
      </c>
      <c r="B22247" t="s">
        <v>853</v>
      </c>
      <c r="C22247" t="s">
        <v>1803</v>
      </c>
      <c r="D22247" s="21" t="s">
        <v>34</v>
      </c>
      <c r="E22247" s="21" t="s">
        <v>35</v>
      </c>
      <c r="F22247">
        <v>12530121</v>
      </c>
      <c r="G22247" t="s">
        <v>16301</v>
      </c>
      <c r="H22247" s="21">
        <v>698.42</v>
      </c>
    </row>
    <row r="22248" spans="1:8" customFormat="1" x14ac:dyDescent="0.25">
      <c r="A22248" t="str">
        <f>"9535238"</f>
        <v>9535238</v>
      </c>
      <c r="B22248" t="s">
        <v>18538</v>
      </c>
      <c r="C22248" t="s">
        <v>18539</v>
      </c>
      <c r="D22248" s="21" t="s">
        <v>34</v>
      </c>
      <c r="E22248" s="21" t="s">
        <v>35</v>
      </c>
      <c r="F22248">
        <v>8950479</v>
      </c>
      <c r="G22248" t="s">
        <v>728</v>
      </c>
      <c r="H22248" s="21">
        <v>698.29</v>
      </c>
    </row>
    <row r="22249" spans="1:8" customFormat="1" x14ac:dyDescent="0.25">
      <c r="A22249" t="str">
        <f>"5922483"</f>
        <v>5922483</v>
      </c>
      <c r="B22249" t="s">
        <v>16395</v>
      </c>
      <c r="C22249" t="s">
        <v>812</v>
      </c>
      <c r="D22249" s="21" t="s">
        <v>34</v>
      </c>
      <c r="E22249" s="21" t="s">
        <v>71</v>
      </c>
      <c r="F22249">
        <v>7590120</v>
      </c>
      <c r="G22249" t="s">
        <v>5351</v>
      </c>
      <c r="H22249" s="21">
        <v>698.17</v>
      </c>
    </row>
    <row r="22250" spans="1:8" customFormat="1" x14ac:dyDescent="0.25">
      <c r="A22250" t="str">
        <f>"6225572"</f>
        <v>6225572</v>
      </c>
      <c r="B22250" t="s">
        <v>3133</v>
      </c>
      <c r="C22250" t="s">
        <v>249</v>
      </c>
      <c r="D22250" s="21" t="s">
        <v>34</v>
      </c>
      <c r="E22250" s="21" t="s">
        <v>254</v>
      </c>
      <c r="F22250">
        <v>7620047</v>
      </c>
      <c r="G22250" t="s">
        <v>16200</v>
      </c>
      <c r="H22250" s="21">
        <v>698.17</v>
      </c>
    </row>
    <row r="22251" spans="1:8" customFormat="1" x14ac:dyDescent="0.25">
      <c r="A22251" t="str">
        <f>"3111375"</f>
        <v>3111375</v>
      </c>
      <c r="B22251" t="s">
        <v>17328</v>
      </c>
      <c r="C22251" t="s">
        <v>209</v>
      </c>
      <c r="D22251" s="21" t="s">
        <v>34</v>
      </c>
      <c r="E22251" s="21" t="s">
        <v>71</v>
      </c>
      <c r="F22251">
        <v>11310129</v>
      </c>
      <c r="G22251" t="s">
        <v>4672</v>
      </c>
      <c r="H22251" s="21">
        <v>698.17</v>
      </c>
    </row>
    <row r="22252" spans="1:8" customFormat="1" x14ac:dyDescent="0.25">
      <c r="A22252" t="str">
        <f>"245150"</f>
        <v>245150</v>
      </c>
      <c r="B22252" t="s">
        <v>16806</v>
      </c>
      <c r="C22252" t="s">
        <v>3456</v>
      </c>
      <c r="D22252" s="21" t="s">
        <v>34</v>
      </c>
      <c r="E22252" s="21" t="s">
        <v>1089</v>
      </c>
      <c r="F22252">
        <v>10240001</v>
      </c>
      <c r="G22252" t="s">
        <v>10102</v>
      </c>
      <c r="H22252" s="21">
        <v>698.17</v>
      </c>
    </row>
    <row r="22253" spans="1:8" customFormat="1" x14ac:dyDescent="0.25">
      <c r="A22253" t="str">
        <f>"774400"</f>
        <v>774400</v>
      </c>
      <c r="B22253" t="s">
        <v>18271</v>
      </c>
      <c r="C22253" t="s">
        <v>1271</v>
      </c>
      <c r="D22253" s="21" t="s">
        <v>34</v>
      </c>
      <c r="E22253" s="21" t="s">
        <v>71</v>
      </c>
      <c r="F22253">
        <v>8771172</v>
      </c>
      <c r="G22253" t="s">
        <v>12662</v>
      </c>
      <c r="H22253" s="21">
        <v>698.17</v>
      </c>
    </row>
    <row r="22254" spans="1:8" customFormat="1" x14ac:dyDescent="0.25">
      <c r="A22254" t="str">
        <f>"9235264"</f>
        <v>9235264</v>
      </c>
      <c r="B22254" t="s">
        <v>16908</v>
      </c>
      <c r="C22254" t="s">
        <v>169</v>
      </c>
      <c r="D22254" s="21" t="s">
        <v>34</v>
      </c>
      <c r="E22254" s="21" t="s">
        <v>35</v>
      </c>
      <c r="F22254">
        <v>8911395</v>
      </c>
      <c r="G22254" t="s">
        <v>8758</v>
      </c>
      <c r="H22254" s="21">
        <v>698.17</v>
      </c>
    </row>
    <row r="22255" spans="1:8" customFormat="1" x14ac:dyDescent="0.25">
      <c r="A22255" t="str">
        <f>"699364"</f>
        <v>699364</v>
      </c>
      <c r="B22255" t="s">
        <v>16655</v>
      </c>
      <c r="C22255" t="s">
        <v>16656</v>
      </c>
      <c r="D22255" s="21" t="s">
        <v>34</v>
      </c>
      <c r="E22255" s="21" t="s">
        <v>254</v>
      </c>
      <c r="F22255">
        <v>1380296</v>
      </c>
      <c r="G22255" t="s">
        <v>2810</v>
      </c>
      <c r="H22255" s="21">
        <v>698.17</v>
      </c>
    </row>
    <row r="22256" spans="1:8" customFormat="1" x14ac:dyDescent="0.25">
      <c r="A22256" t="str">
        <f>"113734"</f>
        <v>113734</v>
      </c>
      <c r="B22256" t="s">
        <v>17525</v>
      </c>
      <c r="C22256" t="s">
        <v>249</v>
      </c>
      <c r="D22256" s="21" t="s">
        <v>34</v>
      </c>
      <c r="E22256" s="21" t="s">
        <v>35</v>
      </c>
      <c r="F22256">
        <v>11110029</v>
      </c>
      <c r="G22256" t="s">
        <v>9387</v>
      </c>
      <c r="H22256" s="21">
        <v>698.17</v>
      </c>
    </row>
    <row r="22257" spans="1:8" customFormat="1" x14ac:dyDescent="0.25">
      <c r="A22257" t="str">
        <f>"2220076"</f>
        <v>2220076</v>
      </c>
      <c r="B22257" t="s">
        <v>6558</v>
      </c>
      <c r="C22257" t="s">
        <v>1325</v>
      </c>
      <c r="D22257" s="21" t="s">
        <v>34</v>
      </c>
      <c r="E22257" s="21" t="s">
        <v>35</v>
      </c>
      <c r="F22257">
        <v>3350227</v>
      </c>
      <c r="G22257" t="s">
        <v>9187</v>
      </c>
      <c r="H22257" s="21">
        <v>698.17</v>
      </c>
    </row>
    <row r="22258" spans="1:8" customFormat="1" x14ac:dyDescent="0.25">
      <c r="A22258" t="str">
        <f>"803037"</f>
        <v>803037</v>
      </c>
      <c r="B22258" t="s">
        <v>17174</v>
      </c>
      <c r="C22258" t="s">
        <v>263</v>
      </c>
      <c r="D22258" s="21" t="s">
        <v>34</v>
      </c>
      <c r="E22258" s="21" t="s">
        <v>254</v>
      </c>
      <c r="F22258">
        <v>7800102</v>
      </c>
      <c r="G22258" t="s">
        <v>1148</v>
      </c>
      <c r="H22258" s="21">
        <v>698.17</v>
      </c>
    </row>
    <row r="22259" spans="1:8" customFormat="1" x14ac:dyDescent="0.25">
      <c r="A22259" t="str">
        <f>"6225505"</f>
        <v>6225505</v>
      </c>
      <c r="B22259" t="s">
        <v>17674</v>
      </c>
      <c r="C22259" t="s">
        <v>236</v>
      </c>
      <c r="D22259" s="21" t="s">
        <v>34</v>
      </c>
      <c r="E22259" s="21" t="s">
        <v>71</v>
      </c>
      <c r="F22259">
        <v>7620176</v>
      </c>
      <c r="G22259" t="s">
        <v>3111</v>
      </c>
      <c r="H22259" s="21">
        <v>698.17</v>
      </c>
    </row>
    <row r="22260" spans="1:8" customFormat="1" x14ac:dyDescent="0.25">
      <c r="A22260" t="str">
        <f>"9445406"</f>
        <v>9445406</v>
      </c>
      <c r="B22260" t="s">
        <v>17322</v>
      </c>
      <c r="C22260" t="s">
        <v>124</v>
      </c>
      <c r="D22260" s="21" t="s">
        <v>34</v>
      </c>
      <c r="E22260" s="21" t="s">
        <v>35</v>
      </c>
      <c r="F22260">
        <v>8940894</v>
      </c>
      <c r="G22260" t="s">
        <v>481</v>
      </c>
      <c r="H22260" s="21">
        <v>698.17</v>
      </c>
    </row>
    <row r="22261" spans="1:8" customFormat="1" x14ac:dyDescent="0.25">
      <c r="A22261" t="str">
        <f>"287644"</f>
        <v>287644</v>
      </c>
      <c r="B22261" t="s">
        <v>8804</v>
      </c>
      <c r="C22261" t="s">
        <v>1110</v>
      </c>
      <c r="D22261" s="21" t="s">
        <v>34</v>
      </c>
      <c r="E22261" s="21" t="s">
        <v>1089</v>
      </c>
      <c r="F22261">
        <v>4280517</v>
      </c>
      <c r="G22261" t="s">
        <v>436</v>
      </c>
      <c r="H22261" s="21">
        <v>698.17</v>
      </c>
    </row>
    <row r="22262" spans="1:8" customFormat="1" x14ac:dyDescent="0.25">
      <c r="A22262" t="str">
        <f>"5714810"</f>
        <v>5714810</v>
      </c>
      <c r="B22262" t="s">
        <v>17682</v>
      </c>
      <c r="C22262" t="s">
        <v>3010</v>
      </c>
      <c r="D22262" s="21" t="s">
        <v>34</v>
      </c>
      <c r="E22262" s="21" t="s">
        <v>254</v>
      </c>
      <c r="F22262">
        <v>6570015</v>
      </c>
      <c r="G22262" t="s">
        <v>749</v>
      </c>
      <c r="H22262" s="21">
        <v>698.17</v>
      </c>
    </row>
    <row r="22263" spans="1:8" customFormat="1" x14ac:dyDescent="0.25">
      <c r="A22263" t="str">
        <f>"639254"</f>
        <v>639254</v>
      </c>
      <c r="B22263" t="s">
        <v>17985</v>
      </c>
      <c r="C22263" t="s">
        <v>65</v>
      </c>
      <c r="D22263" s="21" t="s">
        <v>34</v>
      </c>
      <c r="E22263" s="21" t="s">
        <v>71</v>
      </c>
      <c r="F22263">
        <v>1630145</v>
      </c>
      <c r="G22263" t="s">
        <v>13804</v>
      </c>
      <c r="H22263" s="21">
        <v>698.17</v>
      </c>
    </row>
    <row r="22264" spans="1:8" customFormat="1" x14ac:dyDescent="0.25">
      <c r="A22264" t="str">
        <f>"3710071"</f>
        <v>3710071</v>
      </c>
      <c r="B22264" t="s">
        <v>9880</v>
      </c>
      <c r="C22264" t="s">
        <v>2520</v>
      </c>
      <c r="D22264" s="21" t="s">
        <v>34</v>
      </c>
      <c r="E22264" s="21" t="s">
        <v>71</v>
      </c>
      <c r="F22264">
        <v>4370011</v>
      </c>
      <c r="G22264" t="s">
        <v>3672</v>
      </c>
      <c r="H22264" s="21">
        <v>698.17</v>
      </c>
    </row>
    <row r="22265" spans="1:8" customFormat="1" x14ac:dyDescent="0.25">
      <c r="A22265" t="str">
        <f>"7220063"</f>
        <v>7220063</v>
      </c>
      <c r="B22265" t="s">
        <v>10516</v>
      </c>
      <c r="C22265" t="s">
        <v>8106</v>
      </c>
      <c r="D22265" s="21" t="s">
        <v>34</v>
      </c>
      <c r="E22265" s="21" t="s">
        <v>35</v>
      </c>
      <c r="F22265">
        <v>12720058</v>
      </c>
      <c r="G22265" t="s">
        <v>17331</v>
      </c>
      <c r="H22265" s="21">
        <v>698.17</v>
      </c>
    </row>
    <row r="22266" spans="1:8" customFormat="1" x14ac:dyDescent="0.25">
      <c r="A22266" t="str">
        <f>"4510756"</f>
        <v>4510756</v>
      </c>
      <c r="B22266" t="s">
        <v>2203</v>
      </c>
      <c r="C22266" t="s">
        <v>33</v>
      </c>
      <c r="D22266" s="21" t="s">
        <v>34</v>
      </c>
      <c r="E22266" s="21" t="s">
        <v>35</v>
      </c>
      <c r="F22266">
        <v>4450059</v>
      </c>
      <c r="G22266" t="s">
        <v>16170</v>
      </c>
      <c r="H22266" s="21">
        <v>698.17</v>
      </c>
    </row>
    <row r="22267" spans="1:8" customFormat="1" x14ac:dyDescent="0.25">
      <c r="A22267" t="str">
        <f>"7513322"</f>
        <v>7513322</v>
      </c>
      <c r="B22267" t="s">
        <v>17093</v>
      </c>
      <c r="C22267" t="s">
        <v>58</v>
      </c>
      <c r="D22267" s="21" t="s">
        <v>34</v>
      </c>
      <c r="E22267" s="21" t="s">
        <v>35</v>
      </c>
      <c r="F22267">
        <v>8751265</v>
      </c>
      <c r="G22267" t="s">
        <v>15965</v>
      </c>
      <c r="H22267" s="21">
        <v>698.17</v>
      </c>
    </row>
    <row r="22268" spans="1:8" customFormat="1" x14ac:dyDescent="0.25">
      <c r="A22268" t="str">
        <f>"4452482"</f>
        <v>4452482</v>
      </c>
      <c r="B22268" t="s">
        <v>3602</v>
      </c>
      <c r="C22268" t="s">
        <v>58</v>
      </c>
      <c r="D22268" s="21" t="s">
        <v>34</v>
      </c>
      <c r="E22268" s="21" t="s">
        <v>35</v>
      </c>
      <c r="F22268">
        <v>12440009</v>
      </c>
      <c r="G22268" t="s">
        <v>1983</v>
      </c>
      <c r="H22268" s="21">
        <v>698.17</v>
      </c>
    </row>
    <row r="22269" spans="1:8" customFormat="1" x14ac:dyDescent="0.25">
      <c r="A22269" t="str">
        <f>"676294"</f>
        <v>676294</v>
      </c>
      <c r="B22269" t="s">
        <v>2243</v>
      </c>
      <c r="C22269" t="s">
        <v>239</v>
      </c>
      <c r="D22269" s="21" t="s">
        <v>34</v>
      </c>
      <c r="E22269" s="21" t="s">
        <v>71</v>
      </c>
      <c r="F22269">
        <v>6670107</v>
      </c>
      <c r="G22269" t="s">
        <v>5610</v>
      </c>
      <c r="H22269" s="21">
        <v>698.17</v>
      </c>
    </row>
    <row r="22270" spans="1:8" customFormat="1" x14ac:dyDescent="0.25">
      <c r="A22270" t="str">
        <f>"80770"</f>
        <v>80770</v>
      </c>
      <c r="B22270" t="s">
        <v>13657</v>
      </c>
      <c r="C22270" t="s">
        <v>817</v>
      </c>
      <c r="D22270" s="21" t="s">
        <v>34</v>
      </c>
      <c r="E22270" s="21" t="s">
        <v>254</v>
      </c>
      <c r="F22270">
        <v>7800023</v>
      </c>
      <c r="G22270" t="s">
        <v>8137</v>
      </c>
      <c r="H22270" s="21">
        <v>698.17</v>
      </c>
    </row>
    <row r="22271" spans="1:8" customFormat="1" x14ac:dyDescent="0.25">
      <c r="A22271" t="str">
        <f>"5321201"</f>
        <v>5321201</v>
      </c>
      <c r="B22271" t="s">
        <v>13087</v>
      </c>
      <c r="C22271" t="s">
        <v>288</v>
      </c>
      <c r="D22271" s="21" t="s">
        <v>34</v>
      </c>
      <c r="E22271" s="21" t="s">
        <v>35</v>
      </c>
      <c r="F22271">
        <v>12530062</v>
      </c>
      <c r="G22271" t="s">
        <v>1116</v>
      </c>
      <c r="H22271" s="21">
        <v>698.17</v>
      </c>
    </row>
    <row r="22272" spans="1:8" customFormat="1" x14ac:dyDescent="0.25">
      <c r="A22272" t="str">
        <f>"7718575"</f>
        <v>7718575</v>
      </c>
      <c r="B22272" t="s">
        <v>18443</v>
      </c>
      <c r="C22272" t="s">
        <v>130</v>
      </c>
      <c r="D22272" s="21" t="s">
        <v>34</v>
      </c>
      <c r="E22272" s="21" t="s">
        <v>35</v>
      </c>
      <c r="F22272">
        <v>8771448</v>
      </c>
      <c r="G22272" t="s">
        <v>11540</v>
      </c>
      <c r="H22272" s="21">
        <v>698.04</v>
      </c>
    </row>
    <row r="22273" spans="1:8" customFormat="1" x14ac:dyDescent="0.25">
      <c r="A22273" t="str">
        <f>"9242661"</f>
        <v>9242661</v>
      </c>
      <c r="B22273" t="s">
        <v>6472</v>
      </c>
      <c r="C22273" t="s">
        <v>249</v>
      </c>
      <c r="D22273" s="21" t="s">
        <v>34</v>
      </c>
      <c r="E22273" s="21" t="s">
        <v>35</v>
      </c>
      <c r="F22273">
        <v>8921182</v>
      </c>
      <c r="G22273" t="s">
        <v>26954</v>
      </c>
      <c r="H22273" s="21">
        <v>697.92</v>
      </c>
    </row>
    <row r="22274" spans="1:8" customFormat="1" x14ac:dyDescent="0.25">
      <c r="A22274" t="str">
        <f>"2515613"</f>
        <v>2515613</v>
      </c>
      <c r="B22274" t="s">
        <v>17676</v>
      </c>
      <c r="C22274" t="s">
        <v>62</v>
      </c>
      <c r="D22274" s="21" t="s">
        <v>34</v>
      </c>
      <c r="E22274" s="21" t="s">
        <v>35</v>
      </c>
      <c r="F22274">
        <v>2250224</v>
      </c>
      <c r="G22274" t="s">
        <v>9217</v>
      </c>
      <c r="H22274" s="21">
        <v>697.92</v>
      </c>
    </row>
    <row r="22275" spans="1:8" customFormat="1" x14ac:dyDescent="0.25">
      <c r="A22275" t="str">
        <f>"6924583"</f>
        <v>6924583</v>
      </c>
      <c r="B22275" t="s">
        <v>1959</v>
      </c>
      <c r="C22275" t="s">
        <v>33</v>
      </c>
      <c r="D22275" s="21" t="s">
        <v>34</v>
      </c>
      <c r="E22275" s="21" t="s">
        <v>35</v>
      </c>
      <c r="F22275">
        <v>1690004</v>
      </c>
      <c r="G22275" t="s">
        <v>12294</v>
      </c>
      <c r="H22275" s="21">
        <v>697.67</v>
      </c>
    </row>
    <row r="22276" spans="1:8" customFormat="1" x14ac:dyDescent="0.25">
      <c r="A22276" t="str">
        <f>"9320324"</f>
        <v>9320324</v>
      </c>
      <c r="B22276" t="s">
        <v>27689</v>
      </c>
      <c r="C22276" t="s">
        <v>147</v>
      </c>
      <c r="D22276" s="21" t="s">
        <v>34</v>
      </c>
      <c r="E22276" s="21" t="s">
        <v>35</v>
      </c>
      <c r="F22276">
        <v>8770988</v>
      </c>
      <c r="G22276" t="s">
        <v>6334</v>
      </c>
      <c r="H22276" s="21">
        <v>697.67</v>
      </c>
    </row>
    <row r="22277" spans="1:8" customFormat="1" x14ac:dyDescent="0.25">
      <c r="A22277" t="str">
        <f>"3534354"</f>
        <v>3534354</v>
      </c>
      <c r="B22277" t="s">
        <v>2726</v>
      </c>
      <c r="C22277" t="s">
        <v>156</v>
      </c>
      <c r="D22277" s="21" t="s">
        <v>34</v>
      </c>
      <c r="E22277" s="21" t="s">
        <v>71</v>
      </c>
      <c r="F22277">
        <v>3350031</v>
      </c>
      <c r="G22277" t="s">
        <v>13199</v>
      </c>
      <c r="H22277" s="21">
        <v>697.67</v>
      </c>
    </row>
    <row r="22278" spans="1:8" customFormat="1" x14ac:dyDescent="0.25">
      <c r="A22278" t="str">
        <f>"3524548"</f>
        <v>3524548</v>
      </c>
      <c r="B22278" t="s">
        <v>2203</v>
      </c>
      <c r="C22278" t="s">
        <v>4721</v>
      </c>
      <c r="D22278" s="21" t="s">
        <v>34</v>
      </c>
      <c r="E22278" s="21" t="s">
        <v>1089</v>
      </c>
      <c r="F22278">
        <v>3350074</v>
      </c>
      <c r="G22278" t="s">
        <v>5432</v>
      </c>
      <c r="H22278" s="21">
        <v>697.67</v>
      </c>
    </row>
    <row r="22279" spans="1:8" customFormat="1" x14ac:dyDescent="0.25">
      <c r="A22279" t="str">
        <f>"72407"</f>
        <v>72407</v>
      </c>
      <c r="B22279" t="s">
        <v>1008</v>
      </c>
      <c r="C22279" t="s">
        <v>253</v>
      </c>
      <c r="D22279" s="21" t="s">
        <v>34</v>
      </c>
      <c r="E22279" s="21" t="s">
        <v>1089</v>
      </c>
      <c r="F22279">
        <v>12720006</v>
      </c>
      <c r="G22279" t="s">
        <v>4022</v>
      </c>
      <c r="H22279" s="21">
        <v>697.67</v>
      </c>
    </row>
    <row r="22280" spans="1:8" customFormat="1" x14ac:dyDescent="0.25">
      <c r="A22280" t="str">
        <f>"612978"</f>
        <v>612978</v>
      </c>
      <c r="B22280" t="s">
        <v>19861</v>
      </c>
      <c r="C22280" t="s">
        <v>87</v>
      </c>
      <c r="D22280" s="21" t="s">
        <v>34</v>
      </c>
      <c r="E22280" s="21" t="s">
        <v>35</v>
      </c>
      <c r="F22280">
        <v>12720042</v>
      </c>
      <c r="G22280" t="s">
        <v>922</v>
      </c>
      <c r="H22280" s="21">
        <v>697.67</v>
      </c>
    </row>
    <row r="22281" spans="1:8" customFormat="1" x14ac:dyDescent="0.25">
      <c r="A22281" t="str">
        <f>"621644"</f>
        <v>621644</v>
      </c>
      <c r="B22281" t="s">
        <v>7907</v>
      </c>
      <c r="C22281" t="s">
        <v>1841</v>
      </c>
      <c r="D22281" s="21" t="s">
        <v>34</v>
      </c>
      <c r="E22281" s="21" t="s">
        <v>254</v>
      </c>
      <c r="F22281">
        <v>7620031</v>
      </c>
      <c r="G22281" t="s">
        <v>2182</v>
      </c>
      <c r="H22281" s="21">
        <v>697.67</v>
      </c>
    </row>
    <row r="22282" spans="1:8" customFormat="1" x14ac:dyDescent="0.25">
      <c r="A22282" t="str">
        <f>"595026"</f>
        <v>595026</v>
      </c>
      <c r="B22282" t="s">
        <v>5500</v>
      </c>
      <c r="C22282" t="s">
        <v>9423</v>
      </c>
      <c r="D22282" s="21" t="s">
        <v>34</v>
      </c>
      <c r="E22282" s="21" t="s">
        <v>71</v>
      </c>
      <c r="F22282">
        <v>7590327</v>
      </c>
      <c r="G22282" t="s">
        <v>2330</v>
      </c>
      <c r="H22282" s="21">
        <v>697.67</v>
      </c>
    </row>
    <row r="22283" spans="1:8" customFormat="1" x14ac:dyDescent="0.25">
      <c r="A22283" t="str">
        <f>"3829757"</f>
        <v>3829757</v>
      </c>
      <c r="B22283" t="s">
        <v>2692</v>
      </c>
      <c r="C22283" t="s">
        <v>1812</v>
      </c>
      <c r="D22283" s="21" t="s">
        <v>34</v>
      </c>
      <c r="E22283" s="21" t="s">
        <v>71</v>
      </c>
      <c r="F22283">
        <v>1380130</v>
      </c>
      <c r="G22283" t="s">
        <v>6667</v>
      </c>
      <c r="H22283" s="21">
        <v>697.67</v>
      </c>
    </row>
    <row r="22284" spans="1:8" customFormat="1" x14ac:dyDescent="0.25">
      <c r="A22284" t="str">
        <f>"4419503"</f>
        <v>4419503</v>
      </c>
      <c r="B22284" t="s">
        <v>14018</v>
      </c>
      <c r="C22284" t="s">
        <v>2525</v>
      </c>
      <c r="D22284" s="21" t="s">
        <v>34</v>
      </c>
      <c r="E22284" s="21" t="s">
        <v>35</v>
      </c>
      <c r="F22284">
        <v>12440042</v>
      </c>
      <c r="G22284" t="s">
        <v>10312</v>
      </c>
      <c r="H22284" s="21">
        <v>697.67</v>
      </c>
    </row>
    <row r="22285" spans="1:8" customFormat="1" x14ac:dyDescent="0.25">
      <c r="A22285" t="str">
        <f>"5324185"</f>
        <v>5324185</v>
      </c>
      <c r="B22285" t="s">
        <v>27690</v>
      </c>
      <c r="C22285" t="s">
        <v>3348</v>
      </c>
      <c r="D22285" s="21" t="s">
        <v>34</v>
      </c>
      <c r="E22285" s="21" t="s">
        <v>1089</v>
      </c>
      <c r="F22285">
        <v>12530018</v>
      </c>
      <c r="G22285" t="s">
        <v>8768</v>
      </c>
      <c r="H22285" s="21">
        <v>697.67</v>
      </c>
    </row>
    <row r="22286" spans="1:8" customFormat="1" x14ac:dyDescent="0.25">
      <c r="A22286" t="str">
        <f>"42122"</f>
        <v>42122</v>
      </c>
      <c r="B22286" t="s">
        <v>16640</v>
      </c>
      <c r="C22286" t="s">
        <v>3905</v>
      </c>
      <c r="D22286" s="21" t="s">
        <v>34</v>
      </c>
      <c r="E22286" s="21" t="s">
        <v>1089</v>
      </c>
      <c r="F22286">
        <v>1420010</v>
      </c>
      <c r="G22286" t="s">
        <v>1937</v>
      </c>
      <c r="H22286" s="21">
        <v>697.67</v>
      </c>
    </row>
    <row r="22287" spans="1:8" customFormat="1" x14ac:dyDescent="0.25">
      <c r="A22287" t="str">
        <f>"492116"</f>
        <v>492116</v>
      </c>
      <c r="B22287" t="s">
        <v>12578</v>
      </c>
      <c r="C22287" t="s">
        <v>1072</v>
      </c>
      <c r="D22287" s="21" t="s">
        <v>34</v>
      </c>
      <c r="E22287" s="21" t="s">
        <v>1089</v>
      </c>
      <c r="F22287">
        <v>12490093</v>
      </c>
      <c r="G22287" t="s">
        <v>16868</v>
      </c>
      <c r="H22287" s="21">
        <v>697.67</v>
      </c>
    </row>
    <row r="22288" spans="1:8" customFormat="1" x14ac:dyDescent="0.25">
      <c r="A22288" t="str">
        <f>"124114"</f>
        <v>124114</v>
      </c>
      <c r="B22288" t="s">
        <v>14682</v>
      </c>
      <c r="C22288" t="s">
        <v>1025</v>
      </c>
      <c r="D22288" s="21" t="s">
        <v>34</v>
      </c>
      <c r="E22288" s="21" t="s">
        <v>254</v>
      </c>
      <c r="F22288">
        <v>11120043</v>
      </c>
      <c r="G22288" t="s">
        <v>9111</v>
      </c>
      <c r="H22288" s="21">
        <v>697.67</v>
      </c>
    </row>
    <row r="22289" spans="1:8" customFormat="1" x14ac:dyDescent="0.25">
      <c r="A22289" t="str">
        <f>"806848"</f>
        <v>806848</v>
      </c>
      <c r="B22289" t="s">
        <v>1695</v>
      </c>
      <c r="C22289" t="s">
        <v>3073</v>
      </c>
      <c r="D22289" s="21" t="s">
        <v>34</v>
      </c>
      <c r="E22289" s="21" t="s">
        <v>254</v>
      </c>
      <c r="F22289">
        <v>7800079</v>
      </c>
      <c r="G22289" t="s">
        <v>14753</v>
      </c>
      <c r="H22289" s="21">
        <v>697.67</v>
      </c>
    </row>
    <row r="22290" spans="1:8" customFormat="1" x14ac:dyDescent="0.25">
      <c r="A22290" t="str">
        <f>"7617864"</f>
        <v>7617864</v>
      </c>
      <c r="B22290" t="s">
        <v>17009</v>
      </c>
      <c r="C22290" t="s">
        <v>109</v>
      </c>
      <c r="D22290" s="21" t="s">
        <v>34</v>
      </c>
      <c r="E22290" s="21" t="s">
        <v>35</v>
      </c>
      <c r="F22290">
        <v>9760458</v>
      </c>
      <c r="G22290" t="s">
        <v>3594</v>
      </c>
      <c r="H22290" s="21">
        <v>697.67</v>
      </c>
    </row>
    <row r="22291" spans="1:8" customFormat="1" x14ac:dyDescent="0.25">
      <c r="A22291" t="str">
        <f>"3525035"</f>
        <v>3525035</v>
      </c>
      <c r="B22291" t="s">
        <v>18373</v>
      </c>
      <c r="C22291" t="s">
        <v>498</v>
      </c>
      <c r="D22291" s="21" t="s">
        <v>34</v>
      </c>
      <c r="E22291" s="21" t="s">
        <v>35</v>
      </c>
      <c r="F22291">
        <v>3350014</v>
      </c>
      <c r="G22291" t="s">
        <v>1078</v>
      </c>
      <c r="H22291" s="21">
        <v>697.67</v>
      </c>
    </row>
    <row r="22292" spans="1:8" customFormat="1" x14ac:dyDescent="0.25">
      <c r="A22292" t="str">
        <f>"2930659"</f>
        <v>2930659</v>
      </c>
      <c r="B22292" t="s">
        <v>2954</v>
      </c>
      <c r="C22292" t="s">
        <v>2322</v>
      </c>
      <c r="D22292" s="21" t="s">
        <v>34</v>
      </c>
      <c r="E22292" s="21" t="s">
        <v>35</v>
      </c>
      <c r="F22292">
        <v>3290290</v>
      </c>
      <c r="G22292" t="s">
        <v>27072</v>
      </c>
      <c r="H22292" s="21">
        <v>697.67</v>
      </c>
    </row>
    <row r="22293" spans="1:8" customFormat="1" x14ac:dyDescent="0.25">
      <c r="A22293" t="str">
        <f>"6810970"</f>
        <v>6810970</v>
      </c>
      <c r="B22293" t="s">
        <v>3140</v>
      </c>
      <c r="C22293" t="s">
        <v>249</v>
      </c>
      <c r="D22293" s="21" t="s">
        <v>34</v>
      </c>
      <c r="E22293" s="21" t="s">
        <v>35</v>
      </c>
      <c r="F22293">
        <v>6680006</v>
      </c>
      <c r="G22293" t="s">
        <v>5266</v>
      </c>
      <c r="H22293" s="21">
        <v>697.67</v>
      </c>
    </row>
    <row r="22294" spans="1:8" customFormat="1" x14ac:dyDescent="0.25">
      <c r="A22294" t="str">
        <f>"715465"</f>
        <v>715465</v>
      </c>
      <c r="B22294" t="s">
        <v>18264</v>
      </c>
      <c r="C22294" t="s">
        <v>576</v>
      </c>
      <c r="D22294" s="21" t="s">
        <v>34</v>
      </c>
      <c r="E22294" s="21" t="s">
        <v>35</v>
      </c>
      <c r="F22294">
        <v>1260054</v>
      </c>
      <c r="G22294" t="s">
        <v>358</v>
      </c>
      <c r="H22294" s="21">
        <v>697.67</v>
      </c>
    </row>
    <row r="22295" spans="1:8" customFormat="1" x14ac:dyDescent="0.25">
      <c r="A22295" t="str">
        <f>"6230483"</f>
        <v>6230483</v>
      </c>
      <c r="B22295" t="s">
        <v>15451</v>
      </c>
      <c r="C22295" t="s">
        <v>1665</v>
      </c>
      <c r="D22295" s="21" t="s">
        <v>34</v>
      </c>
      <c r="E22295" s="21" t="s">
        <v>71</v>
      </c>
      <c r="F22295">
        <v>7590354</v>
      </c>
      <c r="G22295" t="s">
        <v>5786</v>
      </c>
      <c r="H22295" s="21">
        <v>697.67</v>
      </c>
    </row>
    <row r="22296" spans="1:8" customFormat="1" x14ac:dyDescent="0.25">
      <c r="A22296" t="str">
        <f>"4212579"</f>
        <v>4212579</v>
      </c>
      <c r="B22296" t="s">
        <v>4461</v>
      </c>
      <c r="C22296" t="s">
        <v>288</v>
      </c>
      <c r="D22296" s="21" t="s">
        <v>34</v>
      </c>
      <c r="E22296" s="21" t="s">
        <v>71</v>
      </c>
      <c r="F22296">
        <v>1420080</v>
      </c>
      <c r="G22296" t="s">
        <v>10230</v>
      </c>
      <c r="H22296" s="21">
        <v>697.67</v>
      </c>
    </row>
    <row r="22297" spans="1:8" customFormat="1" x14ac:dyDescent="0.25">
      <c r="A22297" t="str">
        <f>"147333"</f>
        <v>147333</v>
      </c>
      <c r="B22297" t="s">
        <v>9756</v>
      </c>
      <c r="C22297" t="s">
        <v>187</v>
      </c>
      <c r="D22297" s="21" t="s">
        <v>34</v>
      </c>
      <c r="E22297" s="21" t="s">
        <v>71</v>
      </c>
      <c r="F22297">
        <v>9140023</v>
      </c>
      <c r="G22297" t="s">
        <v>2318</v>
      </c>
      <c r="H22297" s="21">
        <v>697.54</v>
      </c>
    </row>
    <row r="22298" spans="1:8" customFormat="1" x14ac:dyDescent="0.25">
      <c r="A22298" t="str">
        <f>"1422919"</f>
        <v>1422919</v>
      </c>
      <c r="B22298" t="s">
        <v>89</v>
      </c>
      <c r="C22298" t="s">
        <v>926</v>
      </c>
      <c r="D22298" s="21" t="s">
        <v>34</v>
      </c>
      <c r="E22298" s="21" t="s">
        <v>71</v>
      </c>
      <c r="F22298">
        <v>9140235</v>
      </c>
      <c r="G22298" t="s">
        <v>165</v>
      </c>
      <c r="H22298" s="21">
        <v>697.42</v>
      </c>
    </row>
    <row r="22299" spans="1:8" customFormat="1" x14ac:dyDescent="0.25">
      <c r="A22299" t="str">
        <f>"7911723"</f>
        <v>7911723</v>
      </c>
      <c r="B22299" t="s">
        <v>18167</v>
      </c>
      <c r="C22299" t="s">
        <v>15916</v>
      </c>
      <c r="D22299" s="21" t="s">
        <v>34</v>
      </c>
      <c r="E22299" s="21" t="s">
        <v>35</v>
      </c>
      <c r="F22299">
        <v>12490059</v>
      </c>
      <c r="G22299" t="s">
        <v>5063</v>
      </c>
      <c r="H22299" s="21">
        <v>697.29</v>
      </c>
    </row>
    <row r="22300" spans="1:8" customFormat="1" x14ac:dyDescent="0.25">
      <c r="A22300" t="str">
        <f>"027469"</f>
        <v>027469</v>
      </c>
      <c r="B22300" t="s">
        <v>15939</v>
      </c>
      <c r="C22300" t="s">
        <v>124</v>
      </c>
      <c r="D22300" s="21" t="s">
        <v>34</v>
      </c>
      <c r="E22300" s="21" t="s">
        <v>71</v>
      </c>
      <c r="F22300">
        <v>7020044</v>
      </c>
      <c r="G22300" t="s">
        <v>4690</v>
      </c>
      <c r="H22300" s="21">
        <v>697.17</v>
      </c>
    </row>
    <row r="22301" spans="1:8" customFormat="1" x14ac:dyDescent="0.25">
      <c r="A22301" t="str">
        <f>"8517973"</f>
        <v>8517973</v>
      </c>
      <c r="B22301" t="s">
        <v>509</v>
      </c>
      <c r="C22301" t="s">
        <v>750</v>
      </c>
      <c r="D22301" s="21" t="s">
        <v>34</v>
      </c>
      <c r="E22301" s="21" t="s">
        <v>254</v>
      </c>
      <c r="F22301">
        <v>12850015</v>
      </c>
      <c r="G22301" t="s">
        <v>4076</v>
      </c>
      <c r="H22301" s="21">
        <v>697.17</v>
      </c>
    </row>
    <row r="22302" spans="1:8" customFormat="1" x14ac:dyDescent="0.25">
      <c r="A22302" t="str">
        <f>"3320183"</f>
        <v>3320183</v>
      </c>
      <c r="B22302" t="s">
        <v>27691</v>
      </c>
      <c r="C22302" t="s">
        <v>415</v>
      </c>
      <c r="D22302" s="21" t="s">
        <v>34</v>
      </c>
      <c r="E22302" s="21" t="s">
        <v>254</v>
      </c>
      <c r="F22302">
        <v>10400003</v>
      </c>
      <c r="G22302" t="s">
        <v>5110</v>
      </c>
      <c r="H22302" s="21">
        <v>697.17</v>
      </c>
    </row>
    <row r="22303" spans="1:8" customFormat="1" x14ac:dyDescent="0.25">
      <c r="A22303" t="str">
        <f>"8524742"</f>
        <v>8524742</v>
      </c>
      <c r="B22303" t="s">
        <v>3096</v>
      </c>
      <c r="C22303" t="s">
        <v>249</v>
      </c>
      <c r="D22303" s="21" t="s">
        <v>34</v>
      </c>
      <c r="E22303" s="21" t="s">
        <v>71</v>
      </c>
      <c r="F22303">
        <v>12850014</v>
      </c>
      <c r="G22303" t="s">
        <v>10467</v>
      </c>
      <c r="H22303" s="21">
        <v>697.17</v>
      </c>
    </row>
    <row r="22304" spans="1:8" customFormat="1" x14ac:dyDescent="0.25">
      <c r="A22304" t="str">
        <f>"1423202"</f>
        <v>1423202</v>
      </c>
      <c r="B22304" t="s">
        <v>5477</v>
      </c>
      <c r="C22304" t="s">
        <v>1299</v>
      </c>
      <c r="D22304" s="21" t="s">
        <v>34</v>
      </c>
      <c r="E22304" s="21" t="s">
        <v>71</v>
      </c>
      <c r="F22304">
        <v>9140052</v>
      </c>
      <c r="G22304" t="s">
        <v>26563</v>
      </c>
      <c r="H22304" s="21">
        <v>697.17</v>
      </c>
    </row>
    <row r="22305" spans="1:8" customFormat="1" x14ac:dyDescent="0.25">
      <c r="A22305" t="str">
        <f>"339088"</f>
        <v>339088</v>
      </c>
      <c r="B22305" t="s">
        <v>16743</v>
      </c>
      <c r="C22305" t="s">
        <v>87</v>
      </c>
      <c r="D22305" s="21" t="s">
        <v>34</v>
      </c>
      <c r="E22305" s="21" t="s">
        <v>35</v>
      </c>
      <c r="F22305">
        <v>10330024</v>
      </c>
      <c r="G22305" t="s">
        <v>16744</v>
      </c>
      <c r="H22305" s="21">
        <v>697.17</v>
      </c>
    </row>
    <row r="22306" spans="1:8" customFormat="1" x14ac:dyDescent="0.25">
      <c r="A22306" t="str">
        <f>"5317548"</f>
        <v>5317548</v>
      </c>
      <c r="B22306" t="s">
        <v>3253</v>
      </c>
      <c r="C22306" t="s">
        <v>151</v>
      </c>
      <c r="D22306" s="21" t="s">
        <v>34</v>
      </c>
      <c r="E22306" s="21" t="s">
        <v>71</v>
      </c>
      <c r="F22306">
        <v>12530026</v>
      </c>
      <c r="G22306" t="s">
        <v>7463</v>
      </c>
      <c r="H22306" s="21">
        <v>697.17</v>
      </c>
    </row>
    <row r="22307" spans="1:8" customFormat="1" x14ac:dyDescent="0.25">
      <c r="A22307" t="str">
        <f>"4433525"</f>
        <v>4433525</v>
      </c>
      <c r="B22307" t="s">
        <v>15963</v>
      </c>
      <c r="C22307" t="s">
        <v>87</v>
      </c>
      <c r="D22307" s="21" t="s">
        <v>34</v>
      </c>
      <c r="E22307" s="21" t="s">
        <v>71</v>
      </c>
      <c r="F22307">
        <v>12440277</v>
      </c>
      <c r="G22307" t="s">
        <v>10430</v>
      </c>
      <c r="H22307" s="21">
        <v>697.17</v>
      </c>
    </row>
    <row r="22308" spans="1:8" customFormat="1" x14ac:dyDescent="0.25">
      <c r="A22308" t="str">
        <f>"5937132"</f>
        <v>5937132</v>
      </c>
      <c r="B22308" t="s">
        <v>16646</v>
      </c>
      <c r="C22308" t="s">
        <v>169</v>
      </c>
      <c r="D22308" s="21" t="s">
        <v>34</v>
      </c>
      <c r="E22308" s="21" t="s">
        <v>35</v>
      </c>
      <c r="F22308">
        <v>7620149</v>
      </c>
      <c r="G22308" t="s">
        <v>16598</v>
      </c>
      <c r="H22308" s="21">
        <v>697.17</v>
      </c>
    </row>
    <row r="22309" spans="1:8" customFormat="1" x14ac:dyDescent="0.25">
      <c r="A22309" t="str">
        <f>"921635"</f>
        <v>921635</v>
      </c>
      <c r="B22309" t="s">
        <v>16597</v>
      </c>
      <c r="C22309" t="s">
        <v>822</v>
      </c>
      <c r="D22309" s="21" t="s">
        <v>34</v>
      </c>
      <c r="E22309" s="21" t="s">
        <v>254</v>
      </c>
      <c r="F22309">
        <v>8920503</v>
      </c>
      <c r="G22309" t="s">
        <v>9047</v>
      </c>
      <c r="H22309" s="21">
        <v>697.17</v>
      </c>
    </row>
    <row r="22310" spans="1:8" customFormat="1" x14ac:dyDescent="0.25">
      <c r="A22310" t="str">
        <f>"2719804"</f>
        <v>2719804</v>
      </c>
      <c r="B22310" t="s">
        <v>10192</v>
      </c>
      <c r="C22310" t="s">
        <v>33</v>
      </c>
      <c r="D22310" s="21" t="s">
        <v>34</v>
      </c>
      <c r="E22310" s="21" t="s">
        <v>35</v>
      </c>
      <c r="F22310">
        <v>9270089</v>
      </c>
      <c r="G22310" t="s">
        <v>1009</v>
      </c>
      <c r="H22310" s="21">
        <v>697.17</v>
      </c>
    </row>
    <row r="22311" spans="1:8" customFormat="1" x14ac:dyDescent="0.25">
      <c r="A22311" t="str">
        <f>"9142070"</f>
        <v>9142070</v>
      </c>
      <c r="B22311" t="s">
        <v>17358</v>
      </c>
      <c r="C22311" t="s">
        <v>13865</v>
      </c>
      <c r="D22311" s="21" t="s">
        <v>34</v>
      </c>
      <c r="E22311" s="21" t="s">
        <v>254</v>
      </c>
      <c r="F22311">
        <v>8910077</v>
      </c>
      <c r="G22311" t="s">
        <v>1380</v>
      </c>
      <c r="H22311" s="21">
        <v>697.17</v>
      </c>
    </row>
    <row r="22312" spans="1:8" customFormat="1" x14ac:dyDescent="0.25">
      <c r="A22312" t="str">
        <f>"588968"</f>
        <v>588968</v>
      </c>
      <c r="B22312" t="s">
        <v>4259</v>
      </c>
      <c r="C22312" t="s">
        <v>62</v>
      </c>
      <c r="D22312" s="21" t="s">
        <v>34</v>
      </c>
      <c r="E22312" s="21" t="s">
        <v>35</v>
      </c>
      <c r="F22312">
        <v>2580031</v>
      </c>
      <c r="G22312" t="s">
        <v>5904</v>
      </c>
      <c r="H22312" s="21">
        <v>697.17</v>
      </c>
    </row>
    <row r="22313" spans="1:8" customFormat="1" x14ac:dyDescent="0.25">
      <c r="A22313" t="str">
        <f>"6315633"</f>
        <v>6315633</v>
      </c>
      <c r="B22313" t="s">
        <v>2043</v>
      </c>
      <c r="C22313" t="s">
        <v>169</v>
      </c>
      <c r="D22313" s="21" t="s">
        <v>34</v>
      </c>
      <c r="E22313" s="21" t="s">
        <v>35</v>
      </c>
      <c r="F22313">
        <v>1630329</v>
      </c>
      <c r="G22313" t="s">
        <v>13763</v>
      </c>
      <c r="H22313" s="21">
        <v>697.17</v>
      </c>
    </row>
    <row r="22314" spans="1:8" customFormat="1" x14ac:dyDescent="0.25">
      <c r="A22314" t="str">
        <f>"5714715"</f>
        <v>5714715</v>
      </c>
      <c r="B22314" t="s">
        <v>16495</v>
      </c>
      <c r="C22314" t="s">
        <v>4267</v>
      </c>
      <c r="D22314" s="21" t="s">
        <v>34</v>
      </c>
      <c r="E22314" s="21" t="s">
        <v>71</v>
      </c>
      <c r="F22314">
        <v>6570167</v>
      </c>
      <c r="G22314" t="s">
        <v>1174</v>
      </c>
      <c r="H22314" s="21">
        <v>697.17</v>
      </c>
    </row>
    <row r="22315" spans="1:8" customFormat="1" x14ac:dyDescent="0.25">
      <c r="A22315" t="str">
        <f>"4425658"</f>
        <v>4425658</v>
      </c>
      <c r="B22315" t="s">
        <v>17359</v>
      </c>
      <c r="C22315" t="s">
        <v>1146</v>
      </c>
      <c r="D22315" s="21" t="s">
        <v>34</v>
      </c>
      <c r="E22315" s="21" t="s">
        <v>71</v>
      </c>
      <c r="F22315">
        <v>12440195</v>
      </c>
      <c r="G22315" t="s">
        <v>3117</v>
      </c>
      <c r="H22315" s="21">
        <v>697.17</v>
      </c>
    </row>
    <row r="22316" spans="1:8" customFormat="1" x14ac:dyDescent="0.25">
      <c r="A22316" t="str">
        <f>"7620551"</f>
        <v>7620551</v>
      </c>
      <c r="B22316" t="s">
        <v>19289</v>
      </c>
      <c r="C22316" t="s">
        <v>187</v>
      </c>
      <c r="D22316" s="21" t="s">
        <v>34</v>
      </c>
      <c r="E22316" s="21" t="s">
        <v>71</v>
      </c>
      <c r="F22316">
        <v>9760041</v>
      </c>
      <c r="G22316" t="s">
        <v>452</v>
      </c>
      <c r="H22316" s="21">
        <v>697.17</v>
      </c>
    </row>
    <row r="22317" spans="1:8" customFormat="1" x14ac:dyDescent="0.25">
      <c r="A22317" t="str">
        <f>"188570"</f>
        <v>188570</v>
      </c>
      <c r="B22317" t="s">
        <v>7041</v>
      </c>
      <c r="C22317" t="s">
        <v>2730</v>
      </c>
      <c r="D22317" s="21" t="s">
        <v>34</v>
      </c>
      <c r="E22317" s="21" t="s">
        <v>71</v>
      </c>
      <c r="F22317">
        <v>4180716</v>
      </c>
      <c r="G22317" t="s">
        <v>7669</v>
      </c>
      <c r="H22317" s="21">
        <v>697.17</v>
      </c>
    </row>
    <row r="22318" spans="1:8" customFormat="1" x14ac:dyDescent="0.25">
      <c r="A22318" t="str">
        <f>"7820341"</f>
        <v>7820341</v>
      </c>
      <c r="B22318" t="s">
        <v>10468</v>
      </c>
      <c r="C22318" t="s">
        <v>750</v>
      </c>
      <c r="D22318" s="21" t="s">
        <v>34</v>
      </c>
      <c r="E22318" s="21" t="s">
        <v>71</v>
      </c>
      <c r="F22318">
        <v>8781290</v>
      </c>
      <c r="G22318" t="s">
        <v>2927</v>
      </c>
      <c r="H22318" s="21">
        <v>697.17</v>
      </c>
    </row>
    <row r="22319" spans="1:8" customFormat="1" x14ac:dyDescent="0.25">
      <c r="A22319" t="str">
        <f>"871961"</f>
        <v>871961</v>
      </c>
      <c r="B22319" t="s">
        <v>7681</v>
      </c>
      <c r="C22319" t="s">
        <v>249</v>
      </c>
      <c r="D22319" s="21" t="s">
        <v>34</v>
      </c>
      <c r="E22319" s="21" t="s">
        <v>35</v>
      </c>
      <c r="F22319">
        <v>10870128</v>
      </c>
      <c r="G22319" t="s">
        <v>9710</v>
      </c>
      <c r="H22319" s="21">
        <v>696.92</v>
      </c>
    </row>
    <row r="22320" spans="1:8" customFormat="1" x14ac:dyDescent="0.25">
      <c r="A22320" t="str">
        <f>"256910"</f>
        <v>256910</v>
      </c>
      <c r="B22320" t="s">
        <v>19036</v>
      </c>
      <c r="C22320" t="s">
        <v>40</v>
      </c>
      <c r="D22320" s="21" t="s">
        <v>34</v>
      </c>
      <c r="E22320" s="21" t="s">
        <v>254</v>
      </c>
      <c r="F22320">
        <v>2250049</v>
      </c>
      <c r="G22320" t="s">
        <v>9590</v>
      </c>
      <c r="H22320" s="21">
        <v>696.92</v>
      </c>
    </row>
    <row r="22321" spans="1:8" customFormat="1" x14ac:dyDescent="0.25">
      <c r="A22321" t="str">
        <f>"4446308"</f>
        <v>4446308</v>
      </c>
      <c r="B22321" t="s">
        <v>18288</v>
      </c>
      <c r="C22321" t="s">
        <v>822</v>
      </c>
      <c r="D22321" s="21" t="s">
        <v>34</v>
      </c>
      <c r="E22321" s="21" t="s">
        <v>254</v>
      </c>
      <c r="F22321">
        <v>12440030</v>
      </c>
      <c r="G22321" t="s">
        <v>5524</v>
      </c>
      <c r="H22321" s="21">
        <v>696.67</v>
      </c>
    </row>
    <row r="22322" spans="1:8" customFormat="1" x14ac:dyDescent="0.25">
      <c r="A22322" t="str">
        <f>"5957844"</f>
        <v>5957844</v>
      </c>
      <c r="B22322" t="s">
        <v>5785</v>
      </c>
      <c r="C22322" t="s">
        <v>169</v>
      </c>
      <c r="D22322" s="21" t="s">
        <v>34</v>
      </c>
      <c r="E22322" s="21" t="s">
        <v>71</v>
      </c>
      <c r="F22322">
        <v>7590087</v>
      </c>
      <c r="G22322" t="s">
        <v>2112</v>
      </c>
      <c r="H22322" s="21">
        <v>696.67</v>
      </c>
    </row>
    <row r="22323" spans="1:8" customFormat="1" x14ac:dyDescent="0.25">
      <c r="A22323" t="str">
        <f>"688350"</f>
        <v>688350</v>
      </c>
      <c r="B22323" t="s">
        <v>17063</v>
      </c>
      <c r="C22323" t="s">
        <v>2907</v>
      </c>
      <c r="D22323" s="21" t="s">
        <v>34</v>
      </c>
      <c r="E22323" s="21" t="s">
        <v>71</v>
      </c>
      <c r="F22323">
        <v>6680006</v>
      </c>
      <c r="G22323" t="s">
        <v>5266</v>
      </c>
      <c r="H22323" s="21">
        <v>696.67</v>
      </c>
    </row>
    <row r="22324" spans="1:8" customFormat="1" x14ac:dyDescent="0.25">
      <c r="A22324" t="str">
        <f>"3342399"</f>
        <v>3342399</v>
      </c>
      <c r="B22324" t="s">
        <v>17780</v>
      </c>
      <c r="C22324" t="s">
        <v>462</v>
      </c>
      <c r="D22324" s="21" t="s">
        <v>34</v>
      </c>
      <c r="E22324" s="21" t="s">
        <v>71</v>
      </c>
      <c r="F22324">
        <v>10330127</v>
      </c>
      <c r="G22324" t="s">
        <v>9051</v>
      </c>
      <c r="H22324" s="21">
        <v>696.67</v>
      </c>
    </row>
    <row r="22325" spans="1:8" customFormat="1" x14ac:dyDescent="0.25">
      <c r="A22325" t="str">
        <f>"5017535"</f>
        <v>5017535</v>
      </c>
      <c r="B22325" t="s">
        <v>16051</v>
      </c>
      <c r="C22325" t="s">
        <v>211</v>
      </c>
      <c r="D22325" s="21" t="s">
        <v>34</v>
      </c>
      <c r="E22325" s="21" t="s">
        <v>35</v>
      </c>
      <c r="F22325">
        <v>9500012</v>
      </c>
      <c r="G22325" t="s">
        <v>10097</v>
      </c>
      <c r="H22325" s="21">
        <v>696.67</v>
      </c>
    </row>
    <row r="22326" spans="1:8" customFormat="1" x14ac:dyDescent="0.25">
      <c r="A22326" t="str">
        <f>"4928341"</f>
        <v>4928341</v>
      </c>
      <c r="B22326" t="s">
        <v>27692</v>
      </c>
      <c r="C22326" t="s">
        <v>462</v>
      </c>
      <c r="D22326" s="21" t="s">
        <v>34</v>
      </c>
      <c r="E22326" s="21" t="s">
        <v>35</v>
      </c>
      <c r="F22326">
        <v>12490037</v>
      </c>
      <c r="G22326" t="s">
        <v>8892</v>
      </c>
      <c r="H22326" s="21">
        <v>696.67</v>
      </c>
    </row>
    <row r="22327" spans="1:8" customFormat="1" x14ac:dyDescent="0.25">
      <c r="A22327" t="str">
        <f>"592546"</f>
        <v>592546</v>
      </c>
      <c r="B22327" t="s">
        <v>15451</v>
      </c>
      <c r="C22327" t="s">
        <v>124</v>
      </c>
      <c r="D22327" s="21" t="s">
        <v>34</v>
      </c>
      <c r="E22327" s="21" t="s">
        <v>254</v>
      </c>
      <c r="F22327">
        <v>7590354</v>
      </c>
      <c r="G22327" t="s">
        <v>5786</v>
      </c>
      <c r="H22327" s="21">
        <v>696.67</v>
      </c>
    </row>
    <row r="22328" spans="1:8" customFormat="1" x14ac:dyDescent="0.25">
      <c r="A22328" t="str">
        <f>"5612495"</f>
        <v>5612495</v>
      </c>
      <c r="B22328" t="s">
        <v>5814</v>
      </c>
      <c r="C22328" t="s">
        <v>209</v>
      </c>
      <c r="D22328" s="21" t="s">
        <v>34</v>
      </c>
      <c r="E22328" s="21" t="s">
        <v>71</v>
      </c>
      <c r="F22328">
        <v>3560017</v>
      </c>
      <c r="G22328" t="s">
        <v>5745</v>
      </c>
      <c r="H22328" s="21">
        <v>696.67</v>
      </c>
    </row>
    <row r="22329" spans="1:8" customFormat="1" x14ac:dyDescent="0.25">
      <c r="A22329" t="str">
        <f>"7728872"</f>
        <v>7728872</v>
      </c>
      <c r="B22329" t="s">
        <v>18904</v>
      </c>
      <c r="C22329" t="s">
        <v>87</v>
      </c>
      <c r="D22329" s="21" t="s">
        <v>34</v>
      </c>
      <c r="E22329" s="21" t="s">
        <v>71</v>
      </c>
      <c r="F22329">
        <v>8770895</v>
      </c>
      <c r="G22329" t="s">
        <v>4795</v>
      </c>
      <c r="H22329" s="21">
        <v>696.67</v>
      </c>
    </row>
    <row r="22330" spans="1:8" customFormat="1" x14ac:dyDescent="0.25">
      <c r="A22330" t="str">
        <f>"5113381"</f>
        <v>5113381</v>
      </c>
      <c r="B22330" t="s">
        <v>18149</v>
      </c>
      <c r="C22330" t="s">
        <v>608</v>
      </c>
      <c r="D22330" s="21" t="s">
        <v>34</v>
      </c>
      <c r="E22330" s="21" t="s">
        <v>35</v>
      </c>
      <c r="F22330">
        <v>6510002</v>
      </c>
      <c r="G22330" t="s">
        <v>4588</v>
      </c>
      <c r="H22330" s="21">
        <v>696.67</v>
      </c>
    </row>
    <row r="22331" spans="1:8" customFormat="1" x14ac:dyDescent="0.25">
      <c r="A22331" t="str">
        <f>"5020693"</f>
        <v>5020693</v>
      </c>
      <c r="B22331" t="s">
        <v>946</v>
      </c>
      <c r="C22331" t="s">
        <v>151</v>
      </c>
      <c r="D22331" s="21" t="s">
        <v>34</v>
      </c>
      <c r="E22331" s="21" t="s">
        <v>71</v>
      </c>
      <c r="F22331">
        <v>9500048</v>
      </c>
      <c r="G22331" t="s">
        <v>1804</v>
      </c>
      <c r="H22331" s="21">
        <v>696.67</v>
      </c>
    </row>
    <row r="22332" spans="1:8" customFormat="1" x14ac:dyDescent="0.25">
      <c r="A22332" t="str">
        <f>"7637328"</f>
        <v>7637328</v>
      </c>
      <c r="B22332" t="s">
        <v>2711</v>
      </c>
      <c r="C22332" t="s">
        <v>209</v>
      </c>
      <c r="D22332" s="21" t="s">
        <v>34</v>
      </c>
      <c r="E22332" s="21" t="s">
        <v>254</v>
      </c>
      <c r="F22332">
        <v>9760015</v>
      </c>
      <c r="G22332" t="s">
        <v>5277</v>
      </c>
      <c r="H22332" s="21">
        <v>696.67</v>
      </c>
    </row>
    <row r="22333" spans="1:8" customFormat="1" x14ac:dyDescent="0.25">
      <c r="A22333" t="str">
        <f>"6941865"</f>
        <v>6941865</v>
      </c>
      <c r="B22333" t="s">
        <v>17724</v>
      </c>
      <c r="C22333" t="s">
        <v>65</v>
      </c>
      <c r="D22333" s="21" t="s">
        <v>34</v>
      </c>
      <c r="E22333" s="21" t="s">
        <v>35</v>
      </c>
      <c r="F22333">
        <v>1690196</v>
      </c>
      <c r="G22333" t="s">
        <v>6149</v>
      </c>
      <c r="H22333" s="21">
        <v>696.67</v>
      </c>
    </row>
    <row r="22334" spans="1:8" customFormat="1" x14ac:dyDescent="0.25">
      <c r="A22334" t="str">
        <f>"69257"</f>
        <v>69257</v>
      </c>
      <c r="B22334" t="s">
        <v>2605</v>
      </c>
      <c r="C22334" t="s">
        <v>16594</v>
      </c>
      <c r="D22334" s="21" t="s">
        <v>34</v>
      </c>
      <c r="E22334" s="21" t="s">
        <v>6185</v>
      </c>
      <c r="F22334">
        <v>1690005</v>
      </c>
      <c r="G22334" t="s">
        <v>16595</v>
      </c>
      <c r="H22334" s="21">
        <v>696.67</v>
      </c>
    </row>
    <row r="22335" spans="1:8" customFormat="1" x14ac:dyDescent="0.25">
      <c r="A22335" t="str">
        <f>"405346"</f>
        <v>405346</v>
      </c>
      <c r="B22335" t="s">
        <v>1945</v>
      </c>
      <c r="C22335" t="s">
        <v>18161</v>
      </c>
      <c r="D22335" s="21" t="s">
        <v>34</v>
      </c>
      <c r="E22335" s="21" t="s">
        <v>71</v>
      </c>
      <c r="F22335">
        <v>10400016</v>
      </c>
      <c r="G22335" t="s">
        <v>9271</v>
      </c>
      <c r="H22335" s="21">
        <v>696.67</v>
      </c>
    </row>
    <row r="22336" spans="1:8" customFormat="1" x14ac:dyDescent="0.25">
      <c r="A22336" t="str">
        <f>"7810562"</f>
        <v>7810562</v>
      </c>
      <c r="B22336" t="s">
        <v>2738</v>
      </c>
      <c r="C22336" t="s">
        <v>598</v>
      </c>
      <c r="D22336" s="21" t="s">
        <v>34</v>
      </c>
      <c r="E22336" s="21" t="s">
        <v>71</v>
      </c>
      <c r="F22336">
        <v>8780905</v>
      </c>
      <c r="G22336" t="s">
        <v>1267</v>
      </c>
      <c r="H22336" s="21">
        <v>696.42</v>
      </c>
    </row>
    <row r="22337" spans="1:8" customFormat="1" x14ac:dyDescent="0.25">
      <c r="A22337" t="str">
        <f>"721255"</f>
        <v>721255</v>
      </c>
      <c r="B22337" t="s">
        <v>9585</v>
      </c>
      <c r="C22337" t="s">
        <v>40</v>
      </c>
      <c r="D22337" s="21" t="s">
        <v>34</v>
      </c>
      <c r="E22337" s="21" t="s">
        <v>254</v>
      </c>
      <c r="F22337">
        <v>12720084</v>
      </c>
      <c r="G22337" t="s">
        <v>7532</v>
      </c>
      <c r="H22337" s="21">
        <v>696.42</v>
      </c>
    </row>
    <row r="22338" spans="1:8" customFormat="1" x14ac:dyDescent="0.25">
      <c r="A22338" t="str">
        <f>"9233105"</f>
        <v>9233105</v>
      </c>
      <c r="B22338" t="s">
        <v>17058</v>
      </c>
      <c r="C22338" t="s">
        <v>55</v>
      </c>
      <c r="D22338" s="21" t="s">
        <v>34</v>
      </c>
      <c r="E22338" s="21" t="s">
        <v>35</v>
      </c>
      <c r="F22338">
        <v>8920211</v>
      </c>
      <c r="G22338" t="s">
        <v>13258</v>
      </c>
      <c r="H22338" s="21">
        <v>696.42</v>
      </c>
    </row>
    <row r="22339" spans="1:8" customFormat="1" x14ac:dyDescent="0.25">
      <c r="A22339" t="str">
        <f>"9135693"</f>
        <v>9135693</v>
      </c>
      <c r="B22339" t="s">
        <v>2313</v>
      </c>
      <c r="C22339" t="s">
        <v>17463</v>
      </c>
      <c r="D22339" s="21" t="s">
        <v>34</v>
      </c>
      <c r="E22339" s="21" t="s">
        <v>71</v>
      </c>
      <c r="F22339">
        <v>8910434</v>
      </c>
      <c r="G22339" t="s">
        <v>681</v>
      </c>
      <c r="H22339" s="21">
        <v>696.42</v>
      </c>
    </row>
    <row r="22340" spans="1:8" customFormat="1" x14ac:dyDescent="0.25">
      <c r="A22340" t="str">
        <f>"757787"</f>
        <v>757787</v>
      </c>
      <c r="B22340" t="s">
        <v>4183</v>
      </c>
      <c r="C22340" t="s">
        <v>147</v>
      </c>
      <c r="D22340" s="21" t="s">
        <v>34</v>
      </c>
      <c r="E22340" s="21" t="s">
        <v>35</v>
      </c>
      <c r="F22340">
        <v>8751163</v>
      </c>
      <c r="G22340" t="s">
        <v>80</v>
      </c>
      <c r="H22340" s="21">
        <v>696.29</v>
      </c>
    </row>
    <row r="22341" spans="1:8" customFormat="1" x14ac:dyDescent="0.25">
      <c r="A22341" t="str">
        <f>"334203"</f>
        <v>334203</v>
      </c>
      <c r="B22341" t="s">
        <v>2362</v>
      </c>
      <c r="C22341" t="s">
        <v>40</v>
      </c>
      <c r="D22341" s="21" t="s">
        <v>34</v>
      </c>
      <c r="E22341" s="21" t="s">
        <v>254</v>
      </c>
      <c r="F22341">
        <v>10330018</v>
      </c>
      <c r="G22341" t="s">
        <v>15112</v>
      </c>
      <c r="H22341" s="21">
        <v>696.29</v>
      </c>
    </row>
    <row r="22342" spans="1:8" customFormat="1" x14ac:dyDescent="0.25">
      <c r="A22342" t="str">
        <f>"7511836"</f>
        <v>7511836</v>
      </c>
      <c r="B22342" t="s">
        <v>21892</v>
      </c>
      <c r="C22342" t="s">
        <v>3905</v>
      </c>
      <c r="D22342" s="21" t="s">
        <v>34</v>
      </c>
      <c r="E22342" s="21" t="s">
        <v>35</v>
      </c>
      <c r="F22342">
        <v>9270013</v>
      </c>
      <c r="G22342" t="s">
        <v>26924</v>
      </c>
      <c r="H22342" s="21">
        <v>696.17</v>
      </c>
    </row>
    <row r="22343" spans="1:8" customFormat="1" x14ac:dyDescent="0.25">
      <c r="A22343" t="str">
        <f>"4433113"</f>
        <v>4433113</v>
      </c>
      <c r="B22343" t="s">
        <v>15593</v>
      </c>
      <c r="C22343" t="s">
        <v>209</v>
      </c>
      <c r="D22343" s="21" t="s">
        <v>34</v>
      </c>
      <c r="E22343" s="21" t="s">
        <v>71</v>
      </c>
      <c r="F22343">
        <v>12440087</v>
      </c>
      <c r="G22343" t="s">
        <v>1860</v>
      </c>
      <c r="H22343" s="21">
        <v>696.17</v>
      </c>
    </row>
    <row r="22344" spans="1:8" customFormat="1" x14ac:dyDescent="0.25">
      <c r="A22344" t="str">
        <f>"916871"</f>
        <v>916871</v>
      </c>
      <c r="B22344" t="s">
        <v>2656</v>
      </c>
      <c r="C22344" t="s">
        <v>169</v>
      </c>
      <c r="D22344" s="21" t="s">
        <v>34</v>
      </c>
      <c r="E22344" s="21" t="s">
        <v>71</v>
      </c>
      <c r="F22344">
        <v>3560059</v>
      </c>
      <c r="G22344" t="s">
        <v>2033</v>
      </c>
      <c r="H22344" s="21">
        <v>696.17</v>
      </c>
    </row>
    <row r="22345" spans="1:8" customFormat="1" x14ac:dyDescent="0.25">
      <c r="A22345" t="str">
        <f>"22916"</f>
        <v>22916</v>
      </c>
      <c r="B22345" t="s">
        <v>9764</v>
      </c>
      <c r="C22345" t="s">
        <v>1199</v>
      </c>
      <c r="D22345" s="21" t="s">
        <v>34</v>
      </c>
      <c r="E22345" s="21" t="s">
        <v>1089</v>
      </c>
      <c r="F22345">
        <v>3220002</v>
      </c>
      <c r="G22345" t="s">
        <v>26727</v>
      </c>
      <c r="H22345" s="21">
        <v>696.17</v>
      </c>
    </row>
    <row r="22346" spans="1:8" customFormat="1" x14ac:dyDescent="0.25">
      <c r="A22346" t="str">
        <f>"2211359"</f>
        <v>2211359</v>
      </c>
      <c r="B22346" t="s">
        <v>1247</v>
      </c>
      <c r="C22346" t="s">
        <v>269</v>
      </c>
      <c r="D22346" s="21" t="s">
        <v>34</v>
      </c>
      <c r="E22346" s="21" t="s">
        <v>71</v>
      </c>
      <c r="F22346">
        <v>3220037</v>
      </c>
      <c r="G22346" t="s">
        <v>13306</v>
      </c>
      <c r="H22346" s="21">
        <v>696.17</v>
      </c>
    </row>
    <row r="22347" spans="1:8" customFormat="1" x14ac:dyDescent="0.25">
      <c r="A22347" t="str">
        <f>"9514704"</f>
        <v>9514704</v>
      </c>
      <c r="B22347" t="s">
        <v>17246</v>
      </c>
      <c r="C22347" t="s">
        <v>43</v>
      </c>
      <c r="D22347" s="21" t="s">
        <v>34</v>
      </c>
      <c r="E22347" s="21" t="s">
        <v>35</v>
      </c>
      <c r="F22347">
        <v>8950978</v>
      </c>
      <c r="G22347" t="s">
        <v>1164</v>
      </c>
      <c r="H22347" s="21">
        <v>696.17</v>
      </c>
    </row>
    <row r="22348" spans="1:8" customFormat="1" x14ac:dyDescent="0.25">
      <c r="A22348" t="str">
        <f>"4445780"</f>
        <v>4445780</v>
      </c>
      <c r="B22348" t="s">
        <v>14018</v>
      </c>
      <c r="C22348" t="s">
        <v>198</v>
      </c>
      <c r="D22348" s="21" t="s">
        <v>34</v>
      </c>
      <c r="E22348" s="21" t="s">
        <v>71</v>
      </c>
      <c r="F22348">
        <v>12440094</v>
      </c>
      <c r="G22348" t="s">
        <v>892</v>
      </c>
      <c r="H22348" s="21">
        <v>696.17</v>
      </c>
    </row>
    <row r="22349" spans="1:8" customFormat="1" x14ac:dyDescent="0.25">
      <c r="A22349" t="str">
        <f>"4444971"</f>
        <v>4444971</v>
      </c>
      <c r="B22349" t="s">
        <v>146</v>
      </c>
      <c r="C22349" t="s">
        <v>40</v>
      </c>
      <c r="D22349" s="21" t="s">
        <v>34</v>
      </c>
      <c r="E22349" s="21" t="s">
        <v>71</v>
      </c>
      <c r="F22349">
        <v>12440032</v>
      </c>
      <c r="G22349" t="s">
        <v>9296</v>
      </c>
      <c r="H22349" s="21">
        <v>696.17</v>
      </c>
    </row>
    <row r="22350" spans="1:8" customFormat="1" x14ac:dyDescent="0.25">
      <c r="A22350" t="str">
        <f>"225973"</f>
        <v>225973</v>
      </c>
      <c r="B22350" t="s">
        <v>10950</v>
      </c>
      <c r="C22350" t="s">
        <v>3784</v>
      </c>
      <c r="D22350" s="21" t="s">
        <v>34</v>
      </c>
      <c r="E22350" s="21" t="s">
        <v>254</v>
      </c>
      <c r="F22350">
        <v>3220013</v>
      </c>
      <c r="G22350" t="s">
        <v>27198</v>
      </c>
      <c r="H22350" s="21">
        <v>696.17</v>
      </c>
    </row>
    <row r="22351" spans="1:8" customFormat="1" x14ac:dyDescent="0.25">
      <c r="A22351" t="str">
        <f>"622324"</f>
        <v>622324</v>
      </c>
      <c r="B22351" t="s">
        <v>6567</v>
      </c>
      <c r="C22351" t="s">
        <v>124</v>
      </c>
      <c r="D22351" s="21" t="s">
        <v>34</v>
      </c>
      <c r="E22351" s="21" t="s">
        <v>71</v>
      </c>
      <c r="F22351">
        <v>7620018</v>
      </c>
      <c r="G22351" t="s">
        <v>6568</v>
      </c>
      <c r="H22351" s="21">
        <v>696.17</v>
      </c>
    </row>
    <row r="22352" spans="1:8" customFormat="1" x14ac:dyDescent="0.25">
      <c r="A22352" t="str">
        <f>"5112485"</f>
        <v>5112485</v>
      </c>
      <c r="B22352" t="s">
        <v>15381</v>
      </c>
      <c r="C22352" t="s">
        <v>209</v>
      </c>
      <c r="D22352" s="21" t="s">
        <v>34</v>
      </c>
      <c r="E22352" s="21" t="s">
        <v>35</v>
      </c>
      <c r="F22352">
        <v>6510009</v>
      </c>
      <c r="G22352" t="s">
        <v>26950</v>
      </c>
      <c r="H22352" s="21">
        <v>696.17</v>
      </c>
    </row>
    <row r="22353" spans="1:8" customFormat="1" x14ac:dyDescent="0.25">
      <c r="A22353" t="str">
        <f>"5917367"</f>
        <v>5917367</v>
      </c>
      <c r="B22353" t="s">
        <v>16957</v>
      </c>
      <c r="C22353" t="s">
        <v>269</v>
      </c>
      <c r="D22353" s="21" t="s">
        <v>34</v>
      </c>
      <c r="E22353" s="21" t="s">
        <v>254</v>
      </c>
      <c r="F22353">
        <v>7590089</v>
      </c>
      <c r="G22353" t="s">
        <v>1418</v>
      </c>
      <c r="H22353" s="21">
        <v>696.17</v>
      </c>
    </row>
    <row r="22354" spans="1:8" customFormat="1" x14ac:dyDescent="0.25">
      <c r="A22354" t="str">
        <f>"4447146"</f>
        <v>4447146</v>
      </c>
      <c r="B22354" t="s">
        <v>17310</v>
      </c>
      <c r="C22354" t="s">
        <v>2752</v>
      </c>
      <c r="D22354" s="21" t="s">
        <v>34</v>
      </c>
      <c r="E22354" s="21" t="s">
        <v>71</v>
      </c>
      <c r="F22354">
        <v>12440263</v>
      </c>
      <c r="G22354" t="s">
        <v>9503</v>
      </c>
      <c r="H22354" s="21">
        <v>696.17</v>
      </c>
    </row>
    <row r="22355" spans="1:8" customFormat="1" x14ac:dyDescent="0.25">
      <c r="A22355" t="str">
        <f>"7725374"</f>
        <v>7725374</v>
      </c>
      <c r="B22355" t="s">
        <v>17406</v>
      </c>
      <c r="C22355" t="s">
        <v>2904</v>
      </c>
      <c r="D22355" s="21" t="s">
        <v>34</v>
      </c>
      <c r="E22355" s="21" t="s">
        <v>71</v>
      </c>
      <c r="F22355">
        <v>8770474</v>
      </c>
      <c r="G22355" t="s">
        <v>1600</v>
      </c>
      <c r="H22355" s="21">
        <v>696.17</v>
      </c>
    </row>
    <row r="22356" spans="1:8" customFormat="1" x14ac:dyDescent="0.25">
      <c r="A22356" t="str">
        <f>"7113704"</f>
        <v>7113704</v>
      </c>
      <c r="B22356" t="s">
        <v>650</v>
      </c>
      <c r="C22356" t="s">
        <v>169</v>
      </c>
      <c r="D22356" s="21" t="s">
        <v>34</v>
      </c>
      <c r="E22356" s="21" t="s">
        <v>35</v>
      </c>
      <c r="F22356">
        <v>2710071</v>
      </c>
      <c r="G22356" t="s">
        <v>18603</v>
      </c>
      <c r="H22356" s="21">
        <v>696.17</v>
      </c>
    </row>
    <row r="22357" spans="1:8" customFormat="1" x14ac:dyDescent="0.25">
      <c r="A22357" t="str">
        <f>"392869"</f>
        <v>392869</v>
      </c>
      <c r="B22357" t="s">
        <v>10271</v>
      </c>
      <c r="C22357" t="s">
        <v>17867</v>
      </c>
      <c r="D22357" s="21" t="s">
        <v>34</v>
      </c>
      <c r="E22357" s="21" t="s">
        <v>71</v>
      </c>
      <c r="F22357">
        <v>2390001</v>
      </c>
      <c r="G22357" t="s">
        <v>6664</v>
      </c>
      <c r="H22357" s="21">
        <v>696.17</v>
      </c>
    </row>
    <row r="22358" spans="1:8" customFormat="1" x14ac:dyDescent="0.25">
      <c r="A22358" t="str">
        <f>"7628404"</f>
        <v>7628404</v>
      </c>
      <c r="B22358" t="s">
        <v>2398</v>
      </c>
      <c r="C22358" t="s">
        <v>498</v>
      </c>
      <c r="D22358" s="21" t="s">
        <v>34</v>
      </c>
      <c r="E22358" s="21" t="s">
        <v>71</v>
      </c>
      <c r="F22358">
        <v>9760449</v>
      </c>
      <c r="G22358" t="s">
        <v>4848</v>
      </c>
      <c r="H22358" s="21">
        <v>696.17</v>
      </c>
    </row>
    <row r="22359" spans="1:8" customFormat="1" x14ac:dyDescent="0.25">
      <c r="A22359" t="str">
        <f>"5933067"</f>
        <v>5933067</v>
      </c>
      <c r="B22359" t="s">
        <v>15748</v>
      </c>
      <c r="C22359" t="s">
        <v>528</v>
      </c>
      <c r="D22359" s="21" t="s">
        <v>34</v>
      </c>
      <c r="E22359" s="21" t="s">
        <v>254</v>
      </c>
      <c r="F22359">
        <v>7590271</v>
      </c>
      <c r="G22359" t="s">
        <v>3163</v>
      </c>
      <c r="H22359" s="21">
        <v>696.17</v>
      </c>
    </row>
    <row r="22360" spans="1:8" customFormat="1" x14ac:dyDescent="0.25">
      <c r="A22360" t="str">
        <f>"721443"</f>
        <v>721443</v>
      </c>
      <c r="B22360" t="s">
        <v>17811</v>
      </c>
      <c r="C22360" t="s">
        <v>926</v>
      </c>
      <c r="D22360" s="21" t="s">
        <v>34</v>
      </c>
      <c r="E22360" s="21" t="s">
        <v>254</v>
      </c>
      <c r="F22360">
        <v>12720050</v>
      </c>
      <c r="G22360" t="s">
        <v>5522</v>
      </c>
      <c r="H22360" s="21">
        <v>696.17</v>
      </c>
    </row>
    <row r="22361" spans="1:8" customFormat="1" x14ac:dyDescent="0.25">
      <c r="A22361" t="str">
        <f>"7413883"</f>
        <v>7413883</v>
      </c>
      <c r="B22361" t="s">
        <v>27693</v>
      </c>
      <c r="C22361" t="s">
        <v>305</v>
      </c>
      <c r="D22361" s="21" t="s">
        <v>34</v>
      </c>
      <c r="E22361" s="21" t="s">
        <v>35</v>
      </c>
      <c r="F22361">
        <v>1740020</v>
      </c>
      <c r="G22361" t="s">
        <v>881</v>
      </c>
      <c r="H22361" s="21">
        <v>696.04</v>
      </c>
    </row>
    <row r="22362" spans="1:8" customFormat="1" x14ac:dyDescent="0.25">
      <c r="A22362" t="str">
        <f>"6112479"</f>
        <v>6112479</v>
      </c>
      <c r="B22362" t="s">
        <v>2402</v>
      </c>
      <c r="C22362" t="s">
        <v>174</v>
      </c>
      <c r="D22362" s="21" t="s">
        <v>34</v>
      </c>
      <c r="E22362" s="21" t="s">
        <v>35</v>
      </c>
      <c r="F22362">
        <v>9610002</v>
      </c>
      <c r="G22362" t="s">
        <v>75</v>
      </c>
      <c r="H22362" s="21">
        <v>695.92</v>
      </c>
    </row>
    <row r="22363" spans="1:8" customFormat="1" x14ac:dyDescent="0.25">
      <c r="A22363" t="str">
        <f>"7512814"</f>
        <v>7512814</v>
      </c>
      <c r="B22363" t="s">
        <v>19118</v>
      </c>
      <c r="C22363" t="s">
        <v>1647</v>
      </c>
      <c r="D22363" s="21" t="s">
        <v>34</v>
      </c>
      <c r="E22363" s="21" t="s">
        <v>35</v>
      </c>
      <c r="F22363">
        <v>8750074</v>
      </c>
      <c r="G22363" t="s">
        <v>698</v>
      </c>
      <c r="H22363" s="21">
        <v>695.92</v>
      </c>
    </row>
    <row r="22364" spans="1:8" customFormat="1" x14ac:dyDescent="0.25">
      <c r="A22364" t="str">
        <f>"5320151"</f>
        <v>5320151</v>
      </c>
      <c r="B22364" t="s">
        <v>2398</v>
      </c>
      <c r="C22364" t="s">
        <v>249</v>
      </c>
      <c r="D22364" s="21" t="s">
        <v>34</v>
      </c>
      <c r="E22364" s="21" t="s">
        <v>254</v>
      </c>
      <c r="F22364">
        <v>12530058</v>
      </c>
      <c r="G22364" t="s">
        <v>3128</v>
      </c>
      <c r="H22364" s="21">
        <v>695.92</v>
      </c>
    </row>
    <row r="22365" spans="1:8" customFormat="1" x14ac:dyDescent="0.25">
      <c r="A22365" t="str">
        <f>"5733508"</f>
        <v>5733508</v>
      </c>
      <c r="B22365" t="s">
        <v>21125</v>
      </c>
      <c r="C22365" t="s">
        <v>55</v>
      </c>
      <c r="D22365" s="21" t="s">
        <v>34</v>
      </c>
      <c r="E22365" s="21" t="s">
        <v>35</v>
      </c>
      <c r="F22365">
        <v>6570014</v>
      </c>
      <c r="G22365" t="s">
        <v>72</v>
      </c>
      <c r="H22365" s="21">
        <v>695.92</v>
      </c>
    </row>
    <row r="22366" spans="1:8" customFormat="1" x14ac:dyDescent="0.25">
      <c r="A22366" t="str">
        <f>"676844"</f>
        <v>676844</v>
      </c>
      <c r="B22366" t="s">
        <v>17161</v>
      </c>
      <c r="C22366" t="s">
        <v>249</v>
      </c>
      <c r="D22366" s="21" t="s">
        <v>34</v>
      </c>
      <c r="E22366" s="21" t="s">
        <v>35</v>
      </c>
      <c r="F22366">
        <v>6670010</v>
      </c>
      <c r="G22366" t="s">
        <v>721</v>
      </c>
      <c r="H22366" s="21">
        <v>695.67</v>
      </c>
    </row>
    <row r="22367" spans="1:8" customFormat="1" x14ac:dyDescent="0.25">
      <c r="A22367" t="str">
        <f>"167358"</f>
        <v>167358</v>
      </c>
      <c r="B22367" t="s">
        <v>882</v>
      </c>
      <c r="C22367" t="s">
        <v>209</v>
      </c>
      <c r="D22367" s="21" t="s">
        <v>34</v>
      </c>
      <c r="E22367" s="21" t="s">
        <v>71</v>
      </c>
      <c r="F22367">
        <v>10160023</v>
      </c>
      <c r="G22367" t="s">
        <v>2246</v>
      </c>
      <c r="H22367" s="21">
        <v>695.67</v>
      </c>
    </row>
    <row r="22368" spans="1:8" customFormat="1" x14ac:dyDescent="0.25">
      <c r="A22368" t="str">
        <f>"5936288"</f>
        <v>5936288</v>
      </c>
      <c r="B22368" t="s">
        <v>8735</v>
      </c>
      <c r="C22368" t="s">
        <v>206</v>
      </c>
      <c r="D22368" s="21" t="s">
        <v>34</v>
      </c>
      <c r="E22368" s="21" t="s">
        <v>35</v>
      </c>
      <c r="F22368">
        <v>7590112</v>
      </c>
      <c r="G22368" t="s">
        <v>3534</v>
      </c>
      <c r="H22368" s="21">
        <v>695.67</v>
      </c>
    </row>
    <row r="22369" spans="1:8" customFormat="1" x14ac:dyDescent="0.25">
      <c r="A22369" t="str">
        <f>"869287"</f>
        <v>869287</v>
      </c>
      <c r="B22369" t="s">
        <v>9584</v>
      </c>
      <c r="C22369" t="s">
        <v>2475</v>
      </c>
      <c r="D22369" s="21" t="s">
        <v>34</v>
      </c>
      <c r="E22369" s="21" t="s">
        <v>254</v>
      </c>
      <c r="F22369">
        <v>10860187</v>
      </c>
      <c r="G22369" t="s">
        <v>9991</v>
      </c>
      <c r="H22369" s="21">
        <v>695.67</v>
      </c>
    </row>
    <row r="22370" spans="1:8" customFormat="1" x14ac:dyDescent="0.25">
      <c r="A22370" t="str">
        <f>"536433"</f>
        <v>536433</v>
      </c>
      <c r="B22370" t="s">
        <v>18906</v>
      </c>
      <c r="C22370" t="s">
        <v>926</v>
      </c>
      <c r="D22370" s="21" t="s">
        <v>34</v>
      </c>
      <c r="E22370" s="21" t="s">
        <v>71</v>
      </c>
      <c r="F22370">
        <v>12530011</v>
      </c>
      <c r="G22370" t="s">
        <v>7610</v>
      </c>
      <c r="H22370" s="21">
        <v>695.67</v>
      </c>
    </row>
    <row r="22371" spans="1:8" customFormat="1" x14ac:dyDescent="0.25">
      <c r="A22371" t="str">
        <f>"147064"</f>
        <v>147064</v>
      </c>
      <c r="B22371" t="s">
        <v>431</v>
      </c>
      <c r="C22371" t="s">
        <v>263</v>
      </c>
      <c r="D22371" s="21" t="s">
        <v>34</v>
      </c>
      <c r="E22371" s="21" t="s">
        <v>71</v>
      </c>
      <c r="F22371">
        <v>9140019</v>
      </c>
      <c r="G22371" t="s">
        <v>3901</v>
      </c>
      <c r="H22371" s="21">
        <v>695.67</v>
      </c>
    </row>
    <row r="22372" spans="1:8" customFormat="1" x14ac:dyDescent="0.25">
      <c r="A22372" t="str">
        <f>"6219197"</f>
        <v>6219197</v>
      </c>
      <c r="B22372" t="s">
        <v>18389</v>
      </c>
      <c r="C22372" t="s">
        <v>55</v>
      </c>
      <c r="D22372" s="21" t="s">
        <v>34</v>
      </c>
      <c r="E22372" s="21" t="s">
        <v>71</v>
      </c>
      <c r="F22372">
        <v>7620143</v>
      </c>
      <c r="G22372" t="s">
        <v>8762</v>
      </c>
      <c r="H22372" s="21">
        <v>695.67</v>
      </c>
    </row>
    <row r="22373" spans="1:8" customFormat="1" x14ac:dyDescent="0.25">
      <c r="A22373" t="str">
        <f>"57551"</f>
        <v>57551</v>
      </c>
      <c r="B22373" t="s">
        <v>16249</v>
      </c>
      <c r="C22373" t="s">
        <v>1025</v>
      </c>
      <c r="D22373" s="21" t="s">
        <v>34</v>
      </c>
      <c r="E22373" s="21" t="s">
        <v>1089</v>
      </c>
      <c r="F22373">
        <v>6570027</v>
      </c>
      <c r="G22373" t="s">
        <v>395</v>
      </c>
      <c r="H22373" s="21">
        <v>695.67</v>
      </c>
    </row>
    <row r="22374" spans="1:8" customFormat="1" x14ac:dyDescent="0.25">
      <c r="A22374" t="str">
        <f>"365268"</f>
        <v>365268</v>
      </c>
      <c r="B22374" t="s">
        <v>17704</v>
      </c>
      <c r="C22374" t="s">
        <v>55</v>
      </c>
      <c r="D22374" s="21" t="s">
        <v>34</v>
      </c>
      <c r="E22374" s="21" t="s">
        <v>71</v>
      </c>
      <c r="F22374">
        <v>4360725</v>
      </c>
      <c r="G22374" t="s">
        <v>11151</v>
      </c>
      <c r="H22374" s="21">
        <v>695.67</v>
      </c>
    </row>
    <row r="22375" spans="1:8" customFormat="1" x14ac:dyDescent="0.25">
      <c r="A22375" t="str">
        <f>"6917775"</f>
        <v>6917775</v>
      </c>
      <c r="B22375" t="s">
        <v>8801</v>
      </c>
      <c r="C22375" t="s">
        <v>149</v>
      </c>
      <c r="D22375" s="21" t="s">
        <v>34</v>
      </c>
      <c r="E22375" s="21" t="s">
        <v>35</v>
      </c>
      <c r="F22375">
        <v>1690166</v>
      </c>
      <c r="G22375" t="s">
        <v>3886</v>
      </c>
      <c r="H22375" s="21">
        <v>695.67</v>
      </c>
    </row>
    <row r="22376" spans="1:8" customFormat="1" x14ac:dyDescent="0.25">
      <c r="A22376" t="str">
        <f>"7627807"</f>
        <v>7627807</v>
      </c>
      <c r="B22376" t="s">
        <v>11927</v>
      </c>
      <c r="C22376" t="s">
        <v>288</v>
      </c>
      <c r="D22376" s="21" t="s">
        <v>34</v>
      </c>
      <c r="E22376" s="21" t="s">
        <v>71</v>
      </c>
      <c r="F22376">
        <v>9760449</v>
      </c>
      <c r="G22376" t="s">
        <v>4848</v>
      </c>
      <c r="H22376" s="21">
        <v>695.67</v>
      </c>
    </row>
    <row r="22377" spans="1:8" customFormat="1" x14ac:dyDescent="0.25">
      <c r="A22377" t="str">
        <f>"7615337"</f>
        <v>7615337</v>
      </c>
      <c r="B22377" t="s">
        <v>12880</v>
      </c>
      <c r="C22377" t="s">
        <v>2529</v>
      </c>
      <c r="D22377" s="21" t="s">
        <v>34</v>
      </c>
      <c r="E22377" s="21" t="s">
        <v>254</v>
      </c>
      <c r="F22377">
        <v>9760425</v>
      </c>
      <c r="G22377" t="s">
        <v>5012</v>
      </c>
      <c r="H22377" s="21">
        <v>695.67</v>
      </c>
    </row>
    <row r="22378" spans="1:8" customFormat="1" x14ac:dyDescent="0.25">
      <c r="A22378" t="str">
        <f>"4211422"</f>
        <v>4211422</v>
      </c>
      <c r="B22378" t="s">
        <v>13843</v>
      </c>
      <c r="C22378" t="s">
        <v>33</v>
      </c>
      <c r="D22378" s="21" t="s">
        <v>34</v>
      </c>
      <c r="E22378" s="21" t="s">
        <v>71</v>
      </c>
      <c r="F22378">
        <v>1420124</v>
      </c>
      <c r="G22378" t="s">
        <v>3195</v>
      </c>
      <c r="H22378" s="21">
        <v>695.67</v>
      </c>
    </row>
    <row r="22379" spans="1:8" customFormat="1" x14ac:dyDescent="0.25">
      <c r="A22379" t="str">
        <f>"5972832"</f>
        <v>5972832</v>
      </c>
      <c r="B22379" t="s">
        <v>20202</v>
      </c>
      <c r="C22379" t="s">
        <v>249</v>
      </c>
      <c r="D22379" s="21" t="s">
        <v>34</v>
      </c>
      <c r="E22379" s="21" t="s">
        <v>71</v>
      </c>
      <c r="F22379">
        <v>7590028</v>
      </c>
      <c r="G22379" t="s">
        <v>251</v>
      </c>
      <c r="H22379" s="21">
        <v>695.67</v>
      </c>
    </row>
    <row r="22380" spans="1:8" customFormat="1" x14ac:dyDescent="0.25">
      <c r="A22380" t="str">
        <f>"7844816"</f>
        <v>7844816</v>
      </c>
      <c r="B22380" t="s">
        <v>5146</v>
      </c>
      <c r="C22380" t="s">
        <v>55</v>
      </c>
      <c r="D22380" s="21" t="s">
        <v>34</v>
      </c>
      <c r="E22380" s="21" t="s">
        <v>71</v>
      </c>
      <c r="F22380">
        <v>4280718</v>
      </c>
      <c r="G22380" t="s">
        <v>12393</v>
      </c>
      <c r="H22380" s="21">
        <v>695.67</v>
      </c>
    </row>
    <row r="22381" spans="1:8" customFormat="1" x14ac:dyDescent="0.25">
      <c r="A22381" t="str">
        <f>"2924810"</f>
        <v>2924810</v>
      </c>
      <c r="B22381" t="s">
        <v>10227</v>
      </c>
      <c r="C22381" t="s">
        <v>664</v>
      </c>
      <c r="D22381" s="21" t="s">
        <v>34</v>
      </c>
      <c r="E22381" s="21" t="s">
        <v>35</v>
      </c>
      <c r="F22381">
        <v>3290024</v>
      </c>
      <c r="G22381" t="s">
        <v>5690</v>
      </c>
      <c r="H22381" s="21">
        <v>695.67</v>
      </c>
    </row>
    <row r="22382" spans="1:8" customFormat="1" x14ac:dyDescent="0.25">
      <c r="A22382" t="str">
        <f>"3528798"</f>
        <v>3528798</v>
      </c>
      <c r="B22382" t="s">
        <v>556</v>
      </c>
      <c r="C22382" t="s">
        <v>598</v>
      </c>
      <c r="D22382" s="21" t="s">
        <v>34</v>
      </c>
      <c r="E22382" s="21" t="s">
        <v>71</v>
      </c>
      <c r="F22382">
        <v>3350066</v>
      </c>
      <c r="G22382" t="s">
        <v>10650</v>
      </c>
      <c r="H22382" s="21">
        <v>695.54</v>
      </c>
    </row>
    <row r="22383" spans="1:8" customFormat="1" x14ac:dyDescent="0.25">
      <c r="A22383" t="str">
        <f>"2112297"</f>
        <v>2112297</v>
      </c>
      <c r="B22383" t="s">
        <v>22266</v>
      </c>
      <c r="C22383" t="s">
        <v>253</v>
      </c>
      <c r="D22383" s="21" t="s">
        <v>34</v>
      </c>
      <c r="E22383" s="21" t="s">
        <v>71</v>
      </c>
      <c r="F22383">
        <v>2210123</v>
      </c>
      <c r="G22383" t="s">
        <v>11231</v>
      </c>
      <c r="H22383" s="21">
        <v>695.54</v>
      </c>
    </row>
    <row r="22384" spans="1:8" customFormat="1" x14ac:dyDescent="0.25">
      <c r="A22384" t="str">
        <f>"331800"</f>
        <v>331800</v>
      </c>
      <c r="B22384" t="s">
        <v>15986</v>
      </c>
      <c r="C22384" t="s">
        <v>2520</v>
      </c>
      <c r="D22384" s="21" t="s">
        <v>34</v>
      </c>
      <c r="E22384" s="21" t="s">
        <v>254</v>
      </c>
      <c r="F22384">
        <v>10330084</v>
      </c>
      <c r="G22384" t="s">
        <v>1124</v>
      </c>
      <c r="H22384" s="21">
        <v>695.42</v>
      </c>
    </row>
    <row r="22385" spans="1:8" customFormat="1" x14ac:dyDescent="0.25">
      <c r="A22385" t="str">
        <f>"459175"</f>
        <v>459175</v>
      </c>
      <c r="B22385" t="s">
        <v>8901</v>
      </c>
      <c r="C22385" t="s">
        <v>263</v>
      </c>
      <c r="D22385" s="21" t="s">
        <v>34</v>
      </c>
      <c r="E22385" s="21" t="s">
        <v>254</v>
      </c>
      <c r="F22385">
        <v>4450663</v>
      </c>
      <c r="G22385" t="s">
        <v>2527</v>
      </c>
      <c r="H22385" s="21">
        <v>695.42</v>
      </c>
    </row>
    <row r="22386" spans="1:8" customFormat="1" x14ac:dyDescent="0.25">
      <c r="A22386" t="str">
        <f>"6311035"</f>
        <v>6311035</v>
      </c>
      <c r="B22386" t="s">
        <v>17437</v>
      </c>
      <c r="C22386" t="s">
        <v>1025</v>
      </c>
      <c r="D22386" s="21" t="s">
        <v>34</v>
      </c>
      <c r="E22386" s="21" t="s">
        <v>71</v>
      </c>
      <c r="F22386">
        <v>1630185</v>
      </c>
      <c r="G22386" t="s">
        <v>858</v>
      </c>
      <c r="H22386" s="21">
        <v>695.42</v>
      </c>
    </row>
    <row r="22387" spans="1:8" customFormat="1" x14ac:dyDescent="0.25">
      <c r="A22387" t="str">
        <f>"318589"</f>
        <v>318589</v>
      </c>
      <c r="B22387" t="s">
        <v>18143</v>
      </c>
      <c r="C22387" t="s">
        <v>381</v>
      </c>
      <c r="D22387" s="21" t="s">
        <v>34</v>
      </c>
      <c r="E22387" s="21" t="s">
        <v>254</v>
      </c>
      <c r="F22387">
        <v>11310076</v>
      </c>
      <c r="G22387" t="s">
        <v>5782</v>
      </c>
      <c r="H22387" s="21">
        <v>695.17</v>
      </c>
    </row>
    <row r="22388" spans="1:8" customFormat="1" x14ac:dyDescent="0.25">
      <c r="A22388" t="str">
        <f>"2915090"</f>
        <v>2915090</v>
      </c>
      <c r="B22388" t="s">
        <v>11857</v>
      </c>
      <c r="C22388" t="s">
        <v>1025</v>
      </c>
      <c r="D22388" s="21" t="s">
        <v>34</v>
      </c>
      <c r="E22388" s="21" t="s">
        <v>254</v>
      </c>
      <c r="F22388">
        <v>3290285</v>
      </c>
      <c r="G22388" t="s">
        <v>2234</v>
      </c>
      <c r="H22388" s="21">
        <v>695.17</v>
      </c>
    </row>
    <row r="22389" spans="1:8" customFormat="1" x14ac:dyDescent="0.25">
      <c r="A22389" t="str">
        <f>"863563"</f>
        <v>863563</v>
      </c>
      <c r="B22389" t="s">
        <v>9858</v>
      </c>
      <c r="C22389" t="s">
        <v>169</v>
      </c>
      <c r="D22389" s="21" t="s">
        <v>34</v>
      </c>
      <c r="E22389" s="21" t="s">
        <v>71</v>
      </c>
      <c r="F22389">
        <v>10860193</v>
      </c>
      <c r="G22389" t="s">
        <v>1603</v>
      </c>
      <c r="H22389" s="21">
        <v>695.17</v>
      </c>
    </row>
    <row r="22390" spans="1:8" customFormat="1" x14ac:dyDescent="0.25">
      <c r="A22390" t="str">
        <f>"4930501"</f>
        <v>4930501</v>
      </c>
      <c r="B22390" t="s">
        <v>4419</v>
      </c>
      <c r="C22390" t="s">
        <v>4267</v>
      </c>
      <c r="D22390" s="21" t="s">
        <v>34</v>
      </c>
      <c r="E22390" s="21" t="s">
        <v>71</v>
      </c>
      <c r="F22390">
        <v>12490036</v>
      </c>
      <c r="G22390" t="s">
        <v>6557</v>
      </c>
      <c r="H22390" s="21">
        <v>695.17</v>
      </c>
    </row>
    <row r="22391" spans="1:8" customFormat="1" x14ac:dyDescent="0.25">
      <c r="A22391" t="str">
        <f>"5612743"</f>
        <v>5612743</v>
      </c>
      <c r="B22391" t="s">
        <v>1593</v>
      </c>
      <c r="C22391" t="s">
        <v>1271</v>
      </c>
      <c r="D22391" s="21" t="s">
        <v>34</v>
      </c>
      <c r="E22391" s="21" t="s">
        <v>71</v>
      </c>
      <c r="F22391">
        <v>3560053</v>
      </c>
      <c r="G22391" t="s">
        <v>298</v>
      </c>
      <c r="H22391" s="21">
        <v>695.17</v>
      </c>
    </row>
    <row r="22392" spans="1:8" customFormat="1" x14ac:dyDescent="0.25">
      <c r="A22392" t="str">
        <f>"06611"</f>
        <v>06611</v>
      </c>
      <c r="B22392" t="s">
        <v>16487</v>
      </c>
      <c r="C22392" t="s">
        <v>879</v>
      </c>
      <c r="D22392" s="21" t="s">
        <v>34</v>
      </c>
      <c r="E22392" s="21" t="s">
        <v>254</v>
      </c>
      <c r="F22392">
        <v>13060074</v>
      </c>
      <c r="G22392" t="s">
        <v>13510</v>
      </c>
      <c r="H22392" s="21">
        <v>695.17</v>
      </c>
    </row>
    <row r="22393" spans="1:8" customFormat="1" x14ac:dyDescent="0.25">
      <c r="A22393" t="str">
        <f>"58205"</f>
        <v>58205</v>
      </c>
      <c r="B22393" t="s">
        <v>9541</v>
      </c>
      <c r="C22393" t="s">
        <v>3073</v>
      </c>
      <c r="D22393" s="21" t="s">
        <v>34</v>
      </c>
      <c r="E22393" s="21" t="s">
        <v>1089</v>
      </c>
      <c r="F22393">
        <v>2580012</v>
      </c>
      <c r="G22393" t="s">
        <v>1144</v>
      </c>
      <c r="H22393" s="21">
        <v>695.17</v>
      </c>
    </row>
    <row r="22394" spans="1:8" customFormat="1" x14ac:dyDescent="0.25">
      <c r="A22394" t="str">
        <f>"06933"</f>
        <v>06933</v>
      </c>
      <c r="B22394" t="s">
        <v>15958</v>
      </c>
      <c r="C22394" t="s">
        <v>1665</v>
      </c>
      <c r="D22394" s="21" t="s">
        <v>34</v>
      </c>
      <c r="E22394" s="21" t="s">
        <v>254</v>
      </c>
      <c r="F22394">
        <v>13060052</v>
      </c>
      <c r="G22394" t="s">
        <v>6759</v>
      </c>
      <c r="H22394" s="21">
        <v>695.17</v>
      </c>
    </row>
    <row r="22395" spans="1:8" customFormat="1" x14ac:dyDescent="0.25">
      <c r="A22395" t="str">
        <f>"8311161"</f>
        <v>8311161</v>
      </c>
      <c r="B22395" t="s">
        <v>19033</v>
      </c>
      <c r="C22395" t="s">
        <v>1142</v>
      </c>
      <c r="D22395" s="21" t="s">
        <v>34</v>
      </c>
      <c r="E22395" s="21" t="s">
        <v>71</v>
      </c>
      <c r="F22395">
        <v>13830064</v>
      </c>
      <c r="G22395" t="s">
        <v>8410</v>
      </c>
      <c r="H22395" s="21">
        <v>695.17</v>
      </c>
    </row>
    <row r="22396" spans="1:8" customFormat="1" x14ac:dyDescent="0.25">
      <c r="A22396" t="str">
        <f>"4425604"</f>
        <v>4425604</v>
      </c>
      <c r="B22396" t="s">
        <v>1662</v>
      </c>
      <c r="C22396" t="s">
        <v>90</v>
      </c>
      <c r="D22396" s="21" t="s">
        <v>34</v>
      </c>
      <c r="E22396" s="21" t="s">
        <v>71</v>
      </c>
      <c r="F22396">
        <v>12440174</v>
      </c>
      <c r="G22396" t="s">
        <v>27498</v>
      </c>
      <c r="H22396" s="21">
        <v>695.17</v>
      </c>
    </row>
    <row r="22397" spans="1:8" customFormat="1" x14ac:dyDescent="0.25">
      <c r="A22397" t="str">
        <f>"8517413"</f>
        <v>8517413</v>
      </c>
      <c r="B22397" t="s">
        <v>16958</v>
      </c>
      <c r="C22397" t="s">
        <v>2907</v>
      </c>
      <c r="D22397" s="21" t="s">
        <v>34</v>
      </c>
      <c r="E22397" s="21" t="s">
        <v>1089</v>
      </c>
      <c r="F22397">
        <v>12850060</v>
      </c>
      <c r="G22397" t="s">
        <v>2783</v>
      </c>
      <c r="H22397" s="21">
        <v>695.17</v>
      </c>
    </row>
    <row r="22398" spans="1:8" customFormat="1" x14ac:dyDescent="0.25">
      <c r="A22398" t="str">
        <f>"864403"</f>
        <v>864403</v>
      </c>
      <c r="B22398" t="s">
        <v>16349</v>
      </c>
      <c r="C22398" t="s">
        <v>879</v>
      </c>
      <c r="D22398" s="21" t="s">
        <v>34</v>
      </c>
      <c r="E22398" s="21" t="s">
        <v>71</v>
      </c>
      <c r="F22398">
        <v>10860225</v>
      </c>
      <c r="G22398" t="s">
        <v>2473</v>
      </c>
      <c r="H22398" s="21">
        <v>695.17</v>
      </c>
    </row>
    <row r="22399" spans="1:8" customFormat="1" x14ac:dyDescent="0.25">
      <c r="A22399" t="str">
        <f>"9512744"</f>
        <v>9512744</v>
      </c>
      <c r="B22399" t="s">
        <v>18503</v>
      </c>
      <c r="C22399" t="s">
        <v>119</v>
      </c>
      <c r="D22399" s="21" t="s">
        <v>34</v>
      </c>
      <c r="E22399" s="21" t="s">
        <v>254</v>
      </c>
      <c r="F22399">
        <v>8950103</v>
      </c>
      <c r="G22399" t="s">
        <v>440</v>
      </c>
      <c r="H22399" s="21">
        <v>695.17</v>
      </c>
    </row>
    <row r="22400" spans="1:8" customFormat="1" x14ac:dyDescent="0.25">
      <c r="A22400" t="str">
        <f>"6218645"</f>
        <v>6218645</v>
      </c>
      <c r="B22400" t="s">
        <v>15995</v>
      </c>
      <c r="C22400" t="s">
        <v>124</v>
      </c>
      <c r="D22400" s="21" t="s">
        <v>34</v>
      </c>
      <c r="E22400" s="21" t="s">
        <v>71</v>
      </c>
      <c r="F22400">
        <v>7620057</v>
      </c>
      <c r="G22400" t="s">
        <v>184</v>
      </c>
      <c r="H22400" s="21">
        <v>695.17</v>
      </c>
    </row>
    <row r="22401" spans="1:8" customFormat="1" x14ac:dyDescent="0.25">
      <c r="A22401" t="str">
        <f>"373550"</f>
        <v>373550</v>
      </c>
      <c r="B22401" t="s">
        <v>13599</v>
      </c>
      <c r="C22401" t="s">
        <v>2479</v>
      </c>
      <c r="D22401" s="21" t="s">
        <v>34</v>
      </c>
      <c r="E22401" s="21" t="s">
        <v>254</v>
      </c>
      <c r="F22401">
        <v>4370625</v>
      </c>
      <c r="G22401" t="s">
        <v>16671</v>
      </c>
      <c r="H22401" s="21">
        <v>695.17</v>
      </c>
    </row>
    <row r="22402" spans="1:8" customFormat="1" x14ac:dyDescent="0.25">
      <c r="A22402" t="str">
        <f>"4424544"</f>
        <v>4424544</v>
      </c>
      <c r="B22402" t="s">
        <v>4335</v>
      </c>
      <c r="C22402" t="s">
        <v>2520</v>
      </c>
      <c r="D22402" s="21" t="s">
        <v>34</v>
      </c>
      <c r="E22402" s="21" t="s">
        <v>254</v>
      </c>
      <c r="F22402">
        <v>12440139</v>
      </c>
      <c r="G22402" t="s">
        <v>2655</v>
      </c>
      <c r="H22402" s="21">
        <v>695.17</v>
      </c>
    </row>
    <row r="22403" spans="1:8" customFormat="1" x14ac:dyDescent="0.25">
      <c r="A22403" t="str">
        <f>"5320510"</f>
        <v>5320510</v>
      </c>
      <c r="B22403" t="s">
        <v>2386</v>
      </c>
      <c r="C22403" t="s">
        <v>2730</v>
      </c>
      <c r="D22403" s="21" t="s">
        <v>34</v>
      </c>
      <c r="E22403" s="21" t="s">
        <v>1089</v>
      </c>
      <c r="F22403">
        <v>12530008</v>
      </c>
      <c r="G22403" t="s">
        <v>7920</v>
      </c>
      <c r="H22403" s="21">
        <v>695.17</v>
      </c>
    </row>
    <row r="22404" spans="1:8" customFormat="1" x14ac:dyDescent="0.25">
      <c r="A22404" t="str">
        <f>"8516061"</f>
        <v>8516061</v>
      </c>
      <c r="B22404" t="s">
        <v>13054</v>
      </c>
      <c r="C22404" t="s">
        <v>486</v>
      </c>
      <c r="D22404" s="21" t="s">
        <v>34</v>
      </c>
      <c r="E22404" s="21" t="s">
        <v>71</v>
      </c>
      <c r="F22404">
        <v>12850032</v>
      </c>
      <c r="G22404" t="s">
        <v>6589</v>
      </c>
      <c r="H22404" s="21">
        <v>695.17</v>
      </c>
    </row>
    <row r="22405" spans="1:8" customFormat="1" x14ac:dyDescent="0.25">
      <c r="A22405" t="str">
        <f>"7836860"</f>
        <v>7836860</v>
      </c>
      <c r="B22405" t="s">
        <v>18617</v>
      </c>
      <c r="C22405" t="s">
        <v>124</v>
      </c>
      <c r="D22405" s="21" t="s">
        <v>34</v>
      </c>
      <c r="E22405" s="21" t="s">
        <v>254</v>
      </c>
      <c r="F22405">
        <v>8780568</v>
      </c>
      <c r="G22405" t="s">
        <v>5279</v>
      </c>
      <c r="H22405" s="21">
        <v>695.17</v>
      </c>
    </row>
    <row r="22406" spans="1:8" customFormat="1" x14ac:dyDescent="0.25">
      <c r="A22406" t="str">
        <f>"9432047"</f>
        <v>9432047</v>
      </c>
      <c r="B22406" t="s">
        <v>16971</v>
      </c>
      <c r="C22406" t="s">
        <v>598</v>
      </c>
      <c r="D22406" s="21" t="s">
        <v>34</v>
      </c>
      <c r="E22406" s="21" t="s">
        <v>1089</v>
      </c>
      <c r="F22406">
        <v>8941282</v>
      </c>
      <c r="G22406" t="s">
        <v>5040</v>
      </c>
      <c r="H22406" s="21">
        <v>695.04</v>
      </c>
    </row>
    <row r="22407" spans="1:8" customFormat="1" x14ac:dyDescent="0.25">
      <c r="A22407" t="str">
        <f>"652357"</f>
        <v>652357</v>
      </c>
      <c r="B22407" t="s">
        <v>12315</v>
      </c>
      <c r="C22407" t="s">
        <v>109</v>
      </c>
      <c r="D22407" s="21" t="s">
        <v>34</v>
      </c>
      <c r="E22407" s="21" t="s">
        <v>35</v>
      </c>
      <c r="F22407">
        <v>11650016</v>
      </c>
      <c r="G22407" t="s">
        <v>9559</v>
      </c>
      <c r="H22407" s="21">
        <v>695.04</v>
      </c>
    </row>
    <row r="22408" spans="1:8" customFormat="1" x14ac:dyDescent="0.25">
      <c r="A22408" t="str">
        <f>"6225951"</f>
        <v>6225951</v>
      </c>
      <c r="B22408" t="s">
        <v>3338</v>
      </c>
      <c r="C22408" t="s">
        <v>130</v>
      </c>
      <c r="D22408" s="21" t="s">
        <v>34</v>
      </c>
      <c r="E22408" s="21" t="s">
        <v>71</v>
      </c>
      <c r="F22408">
        <v>7620031</v>
      </c>
      <c r="G22408" t="s">
        <v>2182</v>
      </c>
      <c r="H22408" s="21">
        <v>695.04</v>
      </c>
    </row>
    <row r="22409" spans="1:8" customFormat="1" x14ac:dyDescent="0.25">
      <c r="A22409" t="str">
        <f>"1716669"</f>
        <v>1716669</v>
      </c>
      <c r="B22409" t="s">
        <v>18601</v>
      </c>
      <c r="C22409" t="s">
        <v>576</v>
      </c>
      <c r="D22409" s="21" t="s">
        <v>34</v>
      </c>
      <c r="E22409" s="21" t="s">
        <v>35</v>
      </c>
      <c r="F22409">
        <v>10170005</v>
      </c>
      <c r="G22409" t="s">
        <v>4290</v>
      </c>
      <c r="H22409" s="21">
        <v>694.92</v>
      </c>
    </row>
    <row r="22410" spans="1:8" customFormat="1" x14ac:dyDescent="0.25">
      <c r="A22410" t="str">
        <f>"9424199"</f>
        <v>9424199</v>
      </c>
      <c r="B22410" t="s">
        <v>465</v>
      </c>
      <c r="C22410" t="s">
        <v>206</v>
      </c>
      <c r="D22410" s="21" t="s">
        <v>34</v>
      </c>
      <c r="E22410" s="21" t="s">
        <v>35</v>
      </c>
      <c r="F22410">
        <v>8910102</v>
      </c>
      <c r="G22410" t="s">
        <v>3079</v>
      </c>
      <c r="H22410" s="21">
        <v>694.92</v>
      </c>
    </row>
    <row r="22411" spans="1:8" customFormat="1" x14ac:dyDescent="0.25">
      <c r="A22411" t="str">
        <f>"7414041"</f>
        <v>7414041</v>
      </c>
      <c r="B22411" t="s">
        <v>18599</v>
      </c>
      <c r="C22411" t="s">
        <v>209</v>
      </c>
      <c r="D22411" s="21" t="s">
        <v>34</v>
      </c>
      <c r="E22411" s="21" t="s">
        <v>71</v>
      </c>
      <c r="F22411">
        <v>1740045</v>
      </c>
      <c r="G22411" t="s">
        <v>9857</v>
      </c>
      <c r="H22411" s="21">
        <v>694.79</v>
      </c>
    </row>
    <row r="22412" spans="1:8" customFormat="1" x14ac:dyDescent="0.25">
      <c r="A22412" t="str">
        <f>"6227040"</f>
        <v>6227040</v>
      </c>
      <c r="B22412" t="s">
        <v>17036</v>
      </c>
      <c r="C22412" t="s">
        <v>9507</v>
      </c>
      <c r="D22412" s="21" t="s">
        <v>34</v>
      </c>
      <c r="E22412" s="21" t="s">
        <v>35</v>
      </c>
      <c r="F22412">
        <v>7620111</v>
      </c>
      <c r="G22412" t="s">
        <v>1372</v>
      </c>
      <c r="H22412" s="21">
        <v>694.67</v>
      </c>
    </row>
    <row r="22413" spans="1:8" customFormat="1" x14ac:dyDescent="0.25">
      <c r="A22413" t="str">
        <f>"6020452"</f>
        <v>6020452</v>
      </c>
      <c r="B22413" t="s">
        <v>17769</v>
      </c>
      <c r="C22413" t="s">
        <v>412</v>
      </c>
      <c r="D22413" s="21" t="s">
        <v>34</v>
      </c>
      <c r="E22413" s="21" t="s">
        <v>35</v>
      </c>
      <c r="F22413">
        <v>7600009</v>
      </c>
      <c r="G22413" t="s">
        <v>11824</v>
      </c>
      <c r="H22413" s="21">
        <v>694.67</v>
      </c>
    </row>
    <row r="22414" spans="1:8" customFormat="1" x14ac:dyDescent="0.25">
      <c r="A22414" t="str">
        <f>"1714492"</f>
        <v>1714492</v>
      </c>
      <c r="B22414" t="s">
        <v>16543</v>
      </c>
      <c r="C22414" t="s">
        <v>598</v>
      </c>
      <c r="D22414" s="21" t="s">
        <v>34</v>
      </c>
      <c r="E22414" s="21" t="s">
        <v>254</v>
      </c>
      <c r="F22414">
        <v>10170042</v>
      </c>
      <c r="G22414" t="s">
        <v>5014</v>
      </c>
      <c r="H22414" s="21">
        <v>694.67</v>
      </c>
    </row>
    <row r="22415" spans="1:8" customFormat="1" x14ac:dyDescent="0.25">
      <c r="A22415" t="str">
        <f>"9221678"</f>
        <v>9221678</v>
      </c>
      <c r="B22415" t="s">
        <v>17761</v>
      </c>
      <c r="C22415" t="s">
        <v>1914</v>
      </c>
      <c r="D22415" s="21" t="s">
        <v>34</v>
      </c>
      <c r="E22415" s="21" t="s">
        <v>254</v>
      </c>
      <c r="F22415">
        <v>8920309</v>
      </c>
      <c r="G22415" t="s">
        <v>1894</v>
      </c>
      <c r="H22415" s="21">
        <v>694.67</v>
      </c>
    </row>
    <row r="22416" spans="1:8" customFormat="1" x14ac:dyDescent="0.25">
      <c r="A22416" t="str">
        <f>"5950435"</f>
        <v>5950435</v>
      </c>
      <c r="B22416" t="s">
        <v>16689</v>
      </c>
      <c r="C22416" t="s">
        <v>453</v>
      </c>
      <c r="D22416" s="21" t="s">
        <v>34</v>
      </c>
      <c r="E22416" s="21" t="s">
        <v>71</v>
      </c>
      <c r="F22416">
        <v>7590126</v>
      </c>
      <c r="G22416" t="s">
        <v>4749</v>
      </c>
      <c r="H22416" s="21">
        <v>694.67</v>
      </c>
    </row>
    <row r="22417" spans="1:8" customFormat="1" x14ac:dyDescent="0.25">
      <c r="A22417" t="str">
        <f>"8518856"</f>
        <v>8518856</v>
      </c>
      <c r="B22417" t="s">
        <v>17074</v>
      </c>
      <c r="C22417" t="s">
        <v>204</v>
      </c>
      <c r="D22417" s="21" t="s">
        <v>34</v>
      </c>
      <c r="E22417" s="21" t="s">
        <v>71</v>
      </c>
      <c r="F22417">
        <v>12850134</v>
      </c>
      <c r="G22417" t="s">
        <v>2359</v>
      </c>
      <c r="H22417" s="21">
        <v>694.67</v>
      </c>
    </row>
    <row r="22418" spans="1:8" customFormat="1" x14ac:dyDescent="0.25">
      <c r="A22418" t="str">
        <f>"593874"</f>
        <v>593874</v>
      </c>
      <c r="B22418" t="s">
        <v>17006</v>
      </c>
      <c r="C22418" t="s">
        <v>121</v>
      </c>
      <c r="D22418" s="21" t="s">
        <v>34</v>
      </c>
      <c r="E22418" s="21" t="s">
        <v>71</v>
      </c>
      <c r="F22418">
        <v>7590175</v>
      </c>
      <c r="G22418" t="s">
        <v>3063</v>
      </c>
      <c r="H22418" s="21">
        <v>694.67</v>
      </c>
    </row>
    <row r="22419" spans="1:8" customFormat="1" x14ac:dyDescent="0.25">
      <c r="A22419" t="str">
        <f>"5019841"</f>
        <v>5019841</v>
      </c>
      <c r="B22419" t="s">
        <v>16844</v>
      </c>
      <c r="C22419" t="s">
        <v>40</v>
      </c>
      <c r="D22419" s="21" t="s">
        <v>34</v>
      </c>
      <c r="E22419" s="21" t="s">
        <v>254</v>
      </c>
      <c r="F22419">
        <v>9500058</v>
      </c>
      <c r="G22419" t="s">
        <v>1585</v>
      </c>
      <c r="H22419" s="21">
        <v>694.67</v>
      </c>
    </row>
    <row r="22420" spans="1:8" customFormat="1" x14ac:dyDescent="0.25">
      <c r="A22420" t="str">
        <f>"318395"</f>
        <v>318395</v>
      </c>
      <c r="B22420" t="s">
        <v>2557</v>
      </c>
      <c r="C22420" t="s">
        <v>233</v>
      </c>
      <c r="D22420" s="21" t="s">
        <v>34</v>
      </c>
      <c r="E22420" s="21" t="s">
        <v>71</v>
      </c>
      <c r="F22420">
        <v>11310129</v>
      </c>
      <c r="G22420" t="s">
        <v>4672</v>
      </c>
      <c r="H22420" s="21">
        <v>694.67</v>
      </c>
    </row>
    <row r="22421" spans="1:8" customFormat="1" x14ac:dyDescent="0.25">
      <c r="A22421" t="str">
        <f>"4432505"</f>
        <v>4432505</v>
      </c>
      <c r="B22421" t="s">
        <v>2405</v>
      </c>
      <c r="C22421" t="s">
        <v>2365</v>
      </c>
      <c r="D22421" s="21" t="s">
        <v>34</v>
      </c>
      <c r="E22421" s="21" t="s">
        <v>71</v>
      </c>
      <c r="F22421">
        <v>12440067</v>
      </c>
      <c r="G22421" t="s">
        <v>1723</v>
      </c>
      <c r="H22421" s="21">
        <v>694.67</v>
      </c>
    </row>
    <row r="22422" spans="1:8" customFormat="1" x14ac:dyDescent="0.25">
      <c r="A22422" t="str">
        <f>"768776"</f>
        <v>768776</v>
      </c>
      <c r="B22422" t="s">
        <v>17297</v>
      </c>
      <c r="C22422" t="s">
        <v>1605</v>
      </c>
      <c r="D22422" s="21" t="s">
        <v>34</v>
      </c>
      <c r="E22422" s="21" t="s">
        <v>1089</v>
      </c>
      <c r="F22422">
        <v>9760157</v>
      </c>
      <c r="G22422" t="s">
        <v>3412</v>
      </c>
      <c r="H22422" s="21">
        <v>694.67</v>
      </c>
    </row>
    <row r="22423" spans="1:8" customFormat="1" x14ac:dyDescent="0.25">
      <c r="A22423" t="str">
        <f>"2710508"</f>
        <v>2710508</v>
      </c>
      <c r="B22423" t="s">
        <v>10483</v>
      </c>
      <c r="C22423" t="s">
        <v>2132</v>
      </c>
      <c r="D22423" s="21" t="s">
        <v>34</v>
      </c>
      <c r="E22423" s="21" t="s">
        <v>35</v>
      </c>
      <c r="F22423">
        <v>9270177</v>
      </c>
      <c r="G22423" t="s">
        <v>10384</v>
      </c>
      <c r="H22423" s="21">
        <v>694.67</v>
      </c>
    </row>
    <row r="22424" spans="1:8" customFormat="1" x14ac:dyDescent="0.25">
      <c r="A22424" t="str">
        <f>"5946674"</f>
        <v>5946674</v>
      </c>
      <c r="B22424" t="s">
        <v>17427</v>
      </c>
      <c r="C22424" t="s">
        <v>156</v>
      </c>
      <c r="D22424" s="21" t="s">
        <v>34</v>
      </c>
      <c r="E22424" s="21" t="s">
        <v>71</v>
      </c>
      <c r="F22424">
        <v>7590195</v>
      </c>
      <c r="G22424" t="s">
        <v>5332</v>
      </c>
      <c r="H22424" s="21">
        <v>694.67</v>
      </c>
    </row>
    <row r="22425" spans="1:8" customFormat="1" x14ac:dyDescent="0.25">
      <c r="A22425" t="str">
        <f>"6313601"</f>
        <v>6313601</v>
      </c>
      <c r="B22425" t="s">
        <v>2355</v>
      </c>
      <c r="C22425" t="s">
        <v>171</v>
      </c>
      <c r="D22425" s="21" t="s">
        <v>34</v>
      </c>
      <c r="E22425" s="21" t="s">
        <v>71</v>
      </c>
      <c r="F22425">
        <v>1630078</v>
      </c>
      <c r="G22425" t="s">
        <v>326</v>
      </c>
      <c r="H22425" s="21">
        <v>694.67</v>
      </c>
    </row>
    <row r="22426" spans="1:8" customFormat="1" x14ac:dyDescent="0.25">
      <c r="A22426" t="str">
        <f>"9527476"</f>
        <v>9527476</v>
      </c>
      <c r="B22426" t="s">
        <v>16863</v>
      </c>
      <c r="C22426" t="s">
        <v>209</v>
      </c>
      <c r="D22426" s="21" t="s">
        <v>34</v>
      </c>
      <c r="E22426" s="21" t="s">
        <v>71</v>
      </c>
      <c r="F22426">
        <v>8950531</v>
      </c>
      <c r="G22426" t="s">
        <v>7983</v>
      </c>
      <c r="H22426" s="21">
        <v>694.67</v>
      </c>
    </row>
    <row r="22427" spans="1:8" customFormat="1" x14ac:dyDescent="0.25">
      <c r="A22427" t="str">
        <f>"4757"</f>
        <v>4757</v>
      </c>
      <c r="B22427" t="s">
        <v>10855</v>
      </c>
      <c r="C22427" t="s">
        <v>253</v>
      </c>
      <c r="D22427" s="21" t="s">
        <v>34</v>
      </c>
      <c r="E22427" s="21" t="s">
        <v>1089</v>
      </c>
      <c r="F22427">
        <v>11460012</v>
      </c>
      <c r="G22427" t="s">
        <v>5929</v>
      </c>
      <c r="H22427" s="21">
        <v>694.67</v>
      </c>
    </row>
    <row r="22428" spans="1:8" customFormat="1" x14ac:dyDescent="0.25">
      <c r="A22428" t="str">
        <f>"6228119"</f>
        <v>6228119</v>
      </c>
      <c r="B22428" t="s">
        <v>17895</v>
      </c>
      <c r="C22428" t="s">
        <v>62</v>
      </c>
      <c r="D22428" s="21" t="s">
        <v>34</v>
      </c>
      <c r="E22428" s="21" t="s">
        <v>35</v>
      </c>
      <c r="F22428">
        <v>7620165</v>
      </c>
      <c r="G22428" t="s">
        <v>6254</v>
      </c>
      <c r="H22428" s="21">
        <v>694.67</v>
      </c>
    </row>
    <row r="22429" spans="1:8" customFormat="1" x14ac:dyDescent="0.25">
      <c r="A22429" t="str">
        <f>"2714833"</f>
        <v>2714833</v>
      </c>
      <c r="B22429" t="s">
        <v>5611</v>
      </c>
      <c r="C22429" t="s">
        <v>598</v>
      </c>
      <c r="D22429" s="21" t="s">
        <v>34</v>
      </c>
      <c r="E22429" s="21" t="s">
        <v>1089</v>
      </c>
      <c r="F22429">
        <v>9270181</v>
      </c>
      <c r="G22429" t="s">
        <v>2952</v>
      </c>
      <c r="H22429" s="21">
        <v>694.67</v>
      </c>
    </row>
    <row r="22430" spans="1:8" customFormat="1" x14ac:dyDescent="0.25">
      <c r="A22430" t="str">
        <f>"1710873"</f>
        <v>1710873</v>
      </c>
      <c r="B22430" t="s">
        <v>15126</v>
      </c>
      <c r="C22430" t="s">
        <v>528</v>
      </c>
      <c r="D22430" s="21" t="s">
        <v>34</v>
      </c>
      <c r="E22430" s="21" t="s">
        <v>1089</v>
      </c>
      <c r="F22430">
        <v>10790009</v>
      </c>
      <c r="G22430" t="s">
        <v>1155</v>
      </c>
      <c r="H22430" s="21">
        <v>694.67</v>
      </c>
    </row>
    <row r="22431" spans="1:8" customFormat="1" x14ac:dyDescent="0.25">
      <c r="A22431" t="str">
        <f>"6945011"</f>
        <v>6945011</v>
      </c>
      <c r="B22431" t="s">
        <v>19891</v>
      </c>
      <c r="C22431" t="s">
        <v>98</v>
      </c>
      <c r="D22431" s="21" t="s">
        <v>34</v>
      </c>
      <c r="E22431" s="21" t="s">
        <v>35</v>
      </c>
      <c r="F22431">
        <v>1690062</v>
      </c>
      <c r="G22431" t="s">
        <v>5907</v>
      </c>
      <c r="H22431" s="21">
        <v>694.54</v>
      </c>
    </row>
    <row r="22432" spans="1:8" customFormat="1" x14ac:dyDescent="0.25">
      <c r="A22432" t="str">
        <f>"7523104"</f>
        <v>7523104</v>
      </c>
      <c r="B22432" t="s">
        <v>19372</v>
      </c>
      <c r="C22432" t="s">
        <v>500</v>
      </c>
      <c r="D22432" s="21" t="s">
        <v>34</v>
      </c>
      <c r="E22432" s="21" t="s">
        <v>35</v>
      </c>
      <c r="F22432">
        <v>8751177</v>
      </c>
      <c r="G22432" t="s">
        <v>396</v>
      </c>
      <c r="H22432" s="21">
        <v>694.54</v>
      </c>
    </row>
    <row r="22433" spans="1:8" customFormat="1" x14ac:dyDescent="0.25">
      <c r="A22433" t="str">
        <f>"6218535"</f>
        <v>6218535</v>
      </c>
      <c r="B22433" t="s">
        <v>3133</v>
      </c>
      <c r="C22433" t="s">
        <v>4842</v>
      </c>
      <c r="D22433" s="21" t="s">
        <v>34</v>
      </c>
      <c r="E22433" s="21" t="s">
        <v>1089</v>
      </c>
      <c r="F22433">
        <v>7590331</v>
      </c>
      <c r="G22433" t="s">
        <v>4882</v>
      </c>
      <c r="H22433" s="21">
        <v>694.42</v>
      </c>
    </row>
    <row r="22434" spans="1:8" customFormat="1" x14ac:dyDescent="0.25">
      <c r="A22434" t="str">
        <f>"271684"</f>
        <v>271684</v>
      </c>
      <c r="B22434" t="s">
        <v>7512</v>
      </c>
      <c r="C22434" t="s">
        <v>267</v>
      </c>
      <c r="D22434" s="21" t="s">
        <v>34</v>
      </c>
      <c r="E22434" s="21" t="s">
        <v>71</v>
      </c>
      <c r="F22434">
        <v>9270097</v>
      </c>
      <c r="G22434" t="s">
        <v>9759</v>
      </c>
      <c r="H22434" s="21">
        <v>694.42</v>
      </c>
    </row>
    <row r="22435" spans="1:8" customFormat="1" x14ac:dyDescent="0.25">
      <c r="A22435" t="str">
        <f>"595834"</f>
        <v>595834</v>
      </c>
      <c r="B22435" t="s">
        <v>16885</v>
      </c>
      <c r="C22435" t="s">
        <v>817</v>
      </c>
      <c r="D22435" s="21" t="s">
        <v>34</v>
      </c>
      <c r="E22435" s="21" t="s">
        <v>254</v>
      </c>
      <c r="F22435">
        <v>7590170</v>
      </c>
      <c r="G22435" t="s">
        <v>868</v>
      </c>
      <c r="H22435" s="21">
        <v>694.42</v>
      </c>
    </row>
    <row r="22436" spans="1:8" customFormat="1" x14ac:dyDescent="0.25">
      <c r="A22436" t="str">
        <f>"4435144"</f>
        <v>4435144</v>
      </c>
      <c r="B22436" t="s">
        <v>7428</v>
      </c>
      <c r="C22436" t="s">
        <v>2479</v>
      </c>
      <c r="D22436" s="21" t="s">
        <v>34</v>
      </c>
      <c r="E22436" s="21" t="s">
        <v>71</v>
      </c>
      <c r="F22436">
        <v>12440131</v>
      </c>
      <c r="G22436" t="s">
        <v>15572</v>
      </c>
      <c r="H22436" s="21">
        <v>694.42</v>
      </c>
    </row>
    <row r="22437" spans="1:8" customFormat="1" x14ac:dyDescent="0.25">
      <c r="A22437" t="str">
        <f>"7837068"</f>
        <v>7837068</v>
      </c>
      <c r="B22437" t="s">
        <v>16116</v>
      </c>
      <c r="C22437" t="s">
        <v>40</v>
      </c>
      <c r="D22437" s="21" t="s">
        <v>34</v>
      </c>
      <c r="E22437" s="21" t="s">
        <v>71</v>
      </c>
      <c r="F22437">
        <v>8781333</v>
      </c>
      <c r="G22437" t="s">
        <v>14833</v>
      </c>
      <c r="H22437" s="21">
        <v>694.29</v>
      </c>
    </row>
    <row r="22438" spans="1:8" customFormat="1" x14ac:dyDescent="0.25">
      <c r="A22438" t="str">
        <f>"5010325"</f>
        <v>5010325</v>
      </c>
      <c r="B22438" t="s">
        <v>482</v>
      </c>
      <c r="C22438" t="s">
        <v>130</v>
      </c>
      <c r="D22438" s="21" t="s">
        <v>34</v>
      </c>
      <c r="E22438" s="21" t="s">
        <v>71</v>
      </c>
      <c r="F22438">
        <v>9500025</v>
      </c>
      <c r="G22438" t="s">
        <v>665</v>
      </c>
      <c r="H22438" s="21">
        <v>694.17</v>
      </c>
    </row>
    <row r="22439" spans="1:8" customFormat="1" x14ac:dyDescent="0.25">
      <c r="A22439" t="str">
        <f>"5019758"</f>
        <v>5019758</v>
      </c>
      <c r="B22439" t="s">
        <v>19301</v>
      </c>
      <c r="C22439" t="s">
        <v>139</v>
      </c>
      <c r="D22439" s="21" t="s">
        <v>34</v>
      </c>
      <c r="E22439" s="21" t="s">
        <v>35</v>
      </c>
      <c r="F22439">
        <v>9500164</v>
      </c>
      <c r="G22439" t="s">
        <v>9818</v>
      </c>
      <c r="H22439" s="21">
        <v>694.17</v>
      </c>
    </row>
    <row r="22440" spans="1:8" customFormat="1" x14ac:dyDescent="0.25">
      <c r="A22440" t="str">
        <f>"721095"</f>
        <v>721095</v>
      </c>
      <c r="B22440" t="s">
        <v>16424</v>
      </c>
      <c r="C22440" t="s">
        <v>379</v>
      </c>
      <c r="D22440" s="21" t="s">
        <v>34</v>
      </c>
      <c r="E22440" s="21" t="s">
        <v>1089</v>
      </c>
      <c r="F22440">
        <v>12720034</v>
      </c>
      <c r="G22440" t="s">
        <v>4561</v>
      </c>
      <c r="H22440" s="21">
        <v>694.17</v>
      </c>
    </row>
    <row r="22441" spans="1:8" customFormat="1" x14ac:dyDescent="0.25">
      <c r="A22441" t="str">
        <f>"8517169"</f>
        <v>8517169</v>
      </c>
      <c r="B22441" t="s">
        <v>18810</v>
      </c>
      <c r="C22441" t="s">
        <v>2907</v>
      </c>
      <c r="D22441" s="21" t="s">
        <v>34</v>
      </c>
      <c r="E22441" s="21" t="s">
        <v>71</v>
      </c>
      <c r="F22441">
        <v>12850057</v>
      </c>
      <c r="G22441" t="s">
        <v>1291</v>
      </c>
      <c r="H22441" s="21">
        <v>694.17</v>
      </c>
    </row>
    <row r="22442" spans="1:8" customFormat="1" x14ac:dyDescent="0.25">
      <c r="A22442" t="str">
        <f>"537146"</f>
        <v>537146</v>
      </c>
      <c r="B22442" t="s">
        <v>3200</v>
      </c>
      <c r="C22442" t="s">
        <v>87</v>
      </c>
      <c r="D22442" s="21" t="s">
        <v>34</v>
      </c>
      <c r="E22442" s="21" t="s">
        <v>71</v>
      </c>
      <c r="F22442">
        <v>12530022</v>
      </c>
      <c r="G22442" t="s">
        <v>914</v>
      </c>
      <c r="H22442" s="21">
        <v>694.17</v>
      </c>
    </row>
    <row r="22443" spans="1:8" customFormat="1" x14ac:dyDescent="0.25">
      <c r="A22443" t="str">
        <f>"7215598"</f>
        <v>7215598</v>
      </c>
      <c r="B22443" t="s">
        <v>17997</v>
      </c>
      <c r="C22443" t="s">
        <v>139</v>
      </c>
      <c r="D22443" s="21" t="s">
        <v>34</v>
      </c>
      <c r="E22443" s="21" t="s">
        <v>71</v>
      </c>
      <c r="F22443">
        <v>12720041</v>
      </c>
      <c r="G22443" t="s">
        <v>4240</v>
      </c>
      <c r="H22443" s="21">
        <v>694.17</v>
      </c>
    </row>
    <row r="22444" spans="1:8" customFormat="1" x14ac:dyDescent="0.25">
      <c r="A22444" t="str">
        <f>"885222"</f>
        <v>885222</v>
      </c>
      <c r="B22444" t="s">
        <v>16861</v>
      </c>
      <c r="C22444" t="s">
        <v>209</v>
      </c>
      <c r="D22444" s="21" t="s">
        <v>34</v>
      </c>
      <c r="E22444" s="21" t="s">
        <v>71</v>
      </c>
      <c r="F22444">
        <v>6880050</v>
      </c>
      <c r="G22444" t="s">
        <v>9344</v>
      </c>
      <c r="H22444" s="21">
        <v>694.17</v>
      </c>
    </row>
    <row r="22445" spans="1:8" customFormat="1" x14ac:dyDescent="0.25">
      <c r="A22445" t="str">
        <f>"6916056"</f>
        <v>6916056</v>
      </c>
      <c r="B22445" t="s">
        <v>8044</v>
      </c>
      <c r="C22445" t="s">
        <v>598</v>
      </c>
      <c r="D22445" s="21" t="s">
        <v>34</v>
      </c>
      <c r="E22445" s="21" t="s">
        <v>254</v>
      </c>
      <c r="F22445">
        <v>1690201</v>
      </c>
      <c r="G22445" t="s">
        <v>11274</v>
      </c>
      <c r="H22445" s="21">
        <v>694.17</v>
      </c>
    </row>
    <row r="22446" spans="1:8" customFormat="1" x14ac:dyDescent="0.25">
      <c r="A22446" t="str">
        <f>"296357"</f>
        <v>296357</v>
      </c>
      <c r="B22446" t="s">
        <v>13583</v>
      </c>
      <c r="C22446" t="s">
        <v>253</v>
      </c>
      <c r="D22446" s="21" t="s">
        <v>34</v>
      </c>
      <c r="E22446" s="21" t="s">
        <v>254</v>
      </c>
      <c r="F22446">
        <v>3290244</v>
      </c>
      <c r="G22446" t="s">
        <v>573</v>
      </c>
      <c r="H22446" s="21">
        <v>694.17</v>
      </c>
    </row>
    <row r="22447" spans="1:8" customFormat="1" x14ac:dyDescent="0.25">
      <c r="A22447" t="str">
        <f>"427012"</f>
        <v>427012</v>
      </c>
      <c r="B22447" t="s">
        <v>16901</v>
      </c>
      <c r="C22447" t="s">
        <v>1146</v>
      </c>
      <c r="D22447" s="21" t="s">
        <v>34</v>
      </c>
      <c r="E22447" s="21" t="s">
        <v>35</v>
      </c>
      <c r="F22447">
        <v>1420055</v>
      </c>
      <c r="G22447" t="s">
        <v>5421</v>
      </c>
      <c r="H22447" s="21">
        <v>694.17</v>
      </c>
    </row>
    <row r="22448" spans="1:8" customFormat="1" x14ac:dyDescent="0.25">
      <c r="A22448" t="str">
        <f>"153449"</f>
        <v>153449</v>
      </c>
      <c r="B22448" t="s">
        <v>8297</v>
      </c>
      <c r="C22448" t="s">
        <v>493</v>
      </c>
      <c r="D22448" s="21" t="s">
        <v>34</v>
      </c>
      <c r="E22448" s="21" t="s">
        <v>71</v>
      </c>
      <c r="F22448">
        <v>1150278</v>
      </c>
      <c r="G22448" t="s">
        <v>16041</v>
      </c>
      <c r="H22448" s="21">
        <v>694.17</v>
      </c>
    </row>
    <row r="22449" spans="1:8" customFormat="1" x14ac:dyDescent="0.25">
      <c r="A22449" t="str">
        <f>"3523630"</f>
        <v>3523630</v>
      </c>
      <c r="B22449" t="s">
        <v>12643</v>
      </c>
      <c r="C22449" t="s">
        <v>388</v>
      </c>
      <c r="D22449" s="21" t="s">
        <v>34</v>
      </c>
      <c r="E22449" s="21" t="s">
        <v>35</v>
      </c>
      <c r="F22449">
        <v>3350063</v>
      </c>
      <c r="G22449" t="s">
        <v>14782</v>
      </c>
      <c r="H22449" s="21">
        <v>694.17</v>
      </c>
    </row>
    <row r="22450" spans="1:8" customFormat="1" x14ac:dyDescent="0.25">
      <c r="A22450" t="str">
        <f>"5961466"</f>
        <v>5961466</v>
      </c>
      <c r="B22450" t="s">
        <v>14220</v>
      </c>
      <c r="C22450" t="s">
        <v>87</v>
      </c>
      <c r="D22450" s="21" t="s">
        <v>34</v>
      </c>
      <c r="E22450" s="21" t="s">
        <v>35</v>
      </c>
      <c r="F22450">
        <v>7590120</v>
      </c>
      <c r="G22450" t="s">
        <v>5351</v>
      </c>
      <c r="H22450" s="21">
        <v>694.17</v>
      </c>
    </row>
    <row r="22451" spans="1:8" customFormat="1" x14ac:dyDescent="0.25">
      <c r="A22451" t="str">
        <f>"3534543"</f>
        <v>3534543</v>
      </c>
      <c r="B22451" t="s">
        <v>1547</v>
      </c>
      <c r="C22451" t="s">
        <v>209</v>
      </c>
      <c r="D22451" s="21" t="s">
        <v>34</v>
      </c>
      <c r="E22451" s="21" t="s">
        <v>71</v>
      </c>
      <c r="F22451">
        <v>3350217</v>
      </c>
      <c r="G22451" t="s">
        <v>6797</v>
      </c>
      <c r="H22451" s="21">
        <v>694.17</v>
      </c>
    </row>
    <row r="22452" spans="1:8" customFormat="1" x14ac:dyDescent="0.25">
      <c r="A22452" t="str">
        <f>"4437216"</f>
        <v>4437216</v>
      </c>
      <c r="B22452" t="s">
        <v>19238</v>
      </c>
      <c r="C22452" t="s">
        <v>187</v>
      </c>
      <c r="D22452" s="21" t="s">
        <v>34</v>
      </c>
      <c r="E22452" s="21" t="s">
        <v>35</v>
      </c>
      <c r="F22452">
        <v>12440009</v>
      </c>
      <c r="G22452" t="s">
        <v>1983</v>
      </c>
      <c r="H22452" s="21">
        <v>694.17</v>
      </c>
    </row>
    <row r="22453" spans="1:8" customFormat="1" x14ac:dyDescent="0.25">
      <c r="A22453" t="str">
        <f>"267134"</f>
        <v>267134</v>
      </c>
      <c r="B22453" t="s">
        <v>15654</v>
      </c>
      <c r="C22453" t="s">
        <v>598</v>
      </c>
      <c r="D22453" s="21" t="s">
        <v>34</v>
      </c>
      <c r="E22453" s="21" t="s">
        <v>71</v>
      </c>
      <c r="F22453">
        <v>1260010</v>
      </c>
      <c r="G22453" t="s">
        <v>3944</v>
      </c>
      <c r="H22453" s="21">
        <v>694.17</v>
      </c>
    </row>
    <row r="22454" spans="1:8" customFormat="1" x14ac:dyDescent="0.25">
      <c r="A22454" t="str">
        <f>"6215931"</f>
        <v>6215931</v>
      </c>
      <c r="B22454" t="s">
        <v>18093</v>
      </c>
      <c r="C22454" t="s">
        <v>263</v>
      </c>
      <c r="D22454" s="21" t="s">
        <v>34</v>
      </c>
      <c r="E22454" s="21" t="s">
        <v>71</v>
      </c>
      <c r="F22454">
        <v>7620058</v>
      </c>
      <c r="G22454" t="s">
        <v>602</v>
      </c>
      <c r="H22454" s="21">
        <v>694.17</v>
      </c>
    </row>
    <row r="22455" spans="1:8" customFormat="1" x14ac:dyDescent="0.25">
      <c r="A22455" t="str">
        <f>"7616824"</f>
        <v>7616824</v>
      </c>
      <c r="B22455" t="s">
        <v>11607</v>
      </c>
      <c r="C22455" t="s">
        <v>209</v>
      </c>
      <c r="D22455" s="21" t="s">
        <v>34</v>
      </c>
      <c r="E22455" s="21" t="s">
        <v>71</v>
      </c>
      <c r="F22455">
        <v>9760012</v>
      </c>
      <c r="G22455" t="s">
        <v>17233</v>
      </c>
      <c r="H22455" s="21">
        <v>694.17</v>
      </c>
    </row>
    <row r="22456" spans="1:8" customFormat="1" x14ac:dyDescent="0.25">
      <c r="A22456" t="str">
        <f>"651623"</f>
        <v>651623</v>
      </c>
      <c r="B22456" t="s">
        <v>380</v>
      </c>
      <c r="C22456" t="s">
        <v>65</v>
      </c>
      <c r="D22456" s="21" t="s">
        <v>34</v>
      </c>
      <c r="E22456" s="21" t="s">
        <v>35</v>
      </c>
      <c r="F22456">
        <v>11650017</v>
      </c>
      <c r="G22456" t="s">
        <v>13273</v>
      </c>
      <c r="H22456" s="21">
        <v>694.17</v>
      </c>
    </row>
    <row r="22457" spans="1:8" customFormat="1" x14ac:dyDescent="0.25">
      <c r="A22457" t="str">
        <f>"1423257"</f>
        <v>1423257</v>
      </c>
      <c r="B22457" t="s">
        <v>18951</v>
      </c>
      <c r="C22457" t="s">
        <v>1675</v>
      </c>
      <c r="D22457" s="21" t="s">
        <v>34</v>
      </c>
      <c r="E22457" s="21" t="s">
        <v>35</v>
      </c>
      <c r="F22457">
        <v>9140162</v>
      </c>
      <c r="G22457" t="s">
        <v>7663</v>
      </c>
      <c r="H22457" s="21">
        <v>694.17</v>
      </c>
    </row>
    <row r="22458" spans="1:8" customFormat="1" x14ac:dyDescent="0.25">
      <c r="A22458" t="str">
        <f>"9222734"</f>
        <v>9222734</v>
      </c>
      <c r="B22458" t="s">
        <v>17062</v>
      </c>
      <c r="C22458" t="s">
        <v>156</v>
      </c>
      <c r="D22458" s="21" t="s">
        <v>34</v>
      </c>
      <c r="E22458" s="21" t="s">
        <v>254</v>
      </c>
      <c r="F22458">
        <v>13840021</v>
      </c>
      <c r="G22458" t="s">
        <v>3946</v>
      </c>
      <c r="H22458" s="21">
        <v>694.17</v>
      </c>
    </row>
    <row r="22459" spans="1:8" customFormat="1" x14ac:dyDescent="0.25">
      <c r="A22459" t="str">
        <f>"6316681"</f>
        <v>6316681</v>
      </c>
      <c r="B22459" t="s">
        <v>1882</v>
      </c>
      <c r="C22459" t="s">
        <v>55</v>
      </c>
      <c r="D22459" s="21" t="s">
        <v>34</v>
      </c>
      <c r="E22459" s="21" t="s">
        <v>35</v>
      </c>
      <c r="F22459">
        <v>1630182</v>
      </c>
      <c r="G22459" t="s">
        <v>20702</v>
      </c>
      <c r="H22459" s="21">
        <v>694.17</v>
      </c>
    </row>
    <row r="22460" spans="1:8" customFormat="1" x14ac:dyDescent="0.25">
      <c r="A22460" t="str">
        <f>"8812853"</f>
        <v>8812853</v>
      </c>
      <c r="B22460" t="s">
        <v>14699</v>
      </c>
      <c r="C22460" t="s">
        <v>239</v>
      </c>
      <c r="D22460" s="21" t="s">
        <v>34</v>
      </c>
      <c r="E22460" s="21" t="s">
        <v>35</v>
      </c>
      <c r="F22460">
        <v>6880113</v>
      </c>
      <c r="G22460" t="s">
        <v>11089</v>
      </c>
      <c r="H22460" s="21">
        <v>694.04</v>
      </c>
    </row>
    <row r="22461" spans="1:8" customFormat="1" x14ac:dyDescent="0.25">
      <c r="A22461" t="str">
        <f>"3710030"</f>
        <v>3710030</v>
      </c>
      <c r="B22461" t="s">
        <v>17914</v>
      </c>
      <c r="C22461" t="s">
        <v>598</v>
      </c>
      <c r="D22461" s="21" t="s">
        <v>34</v>
      </c>
      <c r="E22461" s="21" t="s">
        <v>71</v>
      </c>
      <c r="F22461">
        <v>4370498</v>
      </c>
      <c r="G22461" t="s">
        <v>10872</v>
      </c>
      <c r="H22461" s="21">
        <v>693.67</v>
      </c>
    </row>
    <row r="22462" spans="1:8" customFormat="1" x14ac:dyDescent="0.25">
      <c r="A22462" t="str">
        <f>"7911755"</f>
        <v>7911755</v>
      </c>
      <c r="B22462" t="s">
        <v>27694</v>
      </c>
      <c r="C22462" t="s">
        <v>598</v>
      </c>
      <c r="D22462" s="21" t="s">
        <v>34</v>
      </c>
      <c r="E22462" s="21" t="s">
        <v>1089</v>
      </c>
      <c r="F22462">
        <v>10790038</v>
      </c>
      <c r="G22462" t="s">
        <v>5857</v>
      </c>
      <c r="H22462" s="21">
        <v>693.67</v>
      </c>
    </row>
    <row r="22463" spans="1:8" customFormat="1" x14ac:dyDescent="0.25">
      <c r="A22463" t="str">
        <f>"5311514"</f>
        <v>5311514</v>
      </c>
      <c r="B22463" t="s">
        <v>17782</v>
      </c>
      <c r="C22463" t="s">
        <v>60</v>
      </c>
      <c r="D22463" s="21" t="s">
        <v>34</v>
      </c>
      <c r="E22463" s="21" t="s">
        <v>35</v>
      </c>
      <c r="F22463">
        <v>12530061</v>
      </c>
      <c r="G22463" t="s">
        <v>9463</v>
      </c>
      <c r="H22463" s="21">
        <v>693.67</v>
      </c>
    </row>
    <row r="22464" spans="1:8" customFormat="1" x14ac:dyDescent="0.25">
      <c r="A22464" t="str">
        <f>"611571"</f>
        <v>611571</v>
      </c>
      <c r="B22464" t="s">
        <v>3183</v>
      </c>
      <c r="C22464" t="s">
        <v>2520</v>
      </c>
      <c r="D22464" s="21" t="s">
        <v>34</v>
      </c>
      <c r="E22464" s="21" t="s">
        <v>254</v>
      </c>
      <c r="F22464">
        <v>9610043</v>
      </c>
      <c r="G22464" t="s">
        <v>9220</v>
      </c>
      <c r="H22464" s="21">
        <v>693.67</v>
      </c>
    </row>
    <row r="22465" spans="1:8" customFormat="1" x14ac:dyDescent="0.25">
      <c r="A22465" t="str">
        <f>"223324"</f>
        <v>223324</v>
      </c>
      <c r="B22465" t="s">
        <v>20041</v>
      </c>
      <c r="C22465" t="s">
        <v>114</v>
      </c>
      <c r="D22465" s="21" t="s">
        <v>34</v>
      </c>
      <c r="E22465" s="21" t="s">
        <v>71</v>
      </c>
      <c r="F22465">
        <v>3220022</v>
      </c>
      <c r="G22465" t="s">
        <v>27551</v>
      </c>
      <c r="H22465" s="21">
        <v>693.67</v>
      </c>
    </row>
    <row r="22466" spans="1:8" customFormat="1" x14ac:dyDescent="0.25">
      <c r="A22466" t="str">
        <f>"608570"</f>
        <v>608570</v>
      </c>
      <c r="B22466" t="s">
        <v>16882</v>
      </c>
      <c r="C22466" t="s">
        <v>428</v>
      </c>
      <c r="D22466" s="21" t="s">
        <v>34</v>
      </c>
      <c r="E22466" s="21" t="s">
        <v>71</v>
      </c>
      <c r="F22466">
        <v>7600126</v>
      </c>
      <c r="G22466" t="s">
        <v>2516</v>
      </c>
      <c r="H22466" s="21">
        <v>693.67</v>
      </c>
    </row>
    <row r="22467" spans="1:8" customFormat="1" x14ac:dyDescent="0.25">
      <c r="A22467" t="str">
        <f>"162808"</f>
        <v>162808</v>
      </c>
      <c r="B22467" t="s">
        <v>18817</v>
      </c>
      <c r="C22467" t="s">
        <v>1819</v>
      </c>
      <c r="D22467" s="21" t="s">
        <v>34</v>
      </c>
      <c r="E22467" s="21" t="s">
        <v>71</v>
      </c>
      <c r="F22467">
        <v>10160049</v>
      </c>
      <c r="G22467" t="s">
        <v>12117</v>
      </c>
      <c r="H22467" s="21">
        <v>693.67</v>
      </c>
    </row>
    <row r="22468" spans="1:8" customFormat="1" x14ac:dyDescent="0.25">
      <c r="A22468" t="str">
        <f>"723439"</f>
        <v>723439</v>
      </c>
      <c r="B22468" t="s">
        <v>17711</v>
      </c>
      <c r="C22468" t="s">
        <v>151</v>
      </c>
      <c r="D22468" s="21" t="s">
        <v>34</v>
      </c>
      <c r="E22468" s="21" t="s">
        <v>1089</v>
      </c>
      <c r="F22468">
        <v>12720027</v>
      </c>
      <c r="G22468" t="s">
        <v>3562</v>
      </c>
      <c r="H22468" s="21">
        <v>693.67</v>
      </c>
    </row>
    <row r="22469" spans="1:8" customFormat="1" x14ac:dyDescent="0.25">
      <c r="A22469" t="str">
        <f>"087229"</f>
        <v>087229</v>
      </c>
      <c r="B22469" t="s">
        <v>16904</v>
      </c>
      <c r="C22469" t="s">
        <v>249</v>
      </c>
      <c r="D22469" s="21" t="s">
        <v>34</v>
      </c>
      <c r="E22469" s="21" t="s">
        <v>71</v>
      </c>
      <c r="F22469">
        <v>6080076</v>
      </c>
      <c r="G22469" t="s">
        <v>1767</v>
      </c>
      <c r="H22469" s="21">
        <v>693.67</v>
      </c>
    </row>
    <row r="22470" spans="1:8" customFormat="1" x14ac:dyDescent="0.25">
      <c r="A22470" t="str">
        <f>"137247"</f>
        <v>137247</v>
      </c>
      <c r="B22470" t="s">
        <v>16884</v>
      </c>
      <c r="C22470" t="s">
        <v>598</v>
      </c>
      <c r="D22470" s="21" t="s">
        <v>34</v>
      </c>
      <c r="E22470" s="21" t="s">
        <v>6185</v>
      </c>
      <c r="F22470">
        <v>13130124</v>
      </c>
      <c r="G22470" t="s">
        <v>5311</v>
      </c>
      <c r="H22470" s="21">
        <v>693.67</v>
      </c>
    </row>
    <row r="22471" spans="1:8" customFormat="1" x14ac:dyDescent="0.25">
      <c r="A22471" t="str">
        <f>"3828208"</f>
        <v>3828208</v>
      </c>
      <c r="B22471" t="s">
        <v>19079</v>
      </c>
      <c r="C22471" t="s">
        <v>40</v>
      </c>
      <c r="D22471" s="21" t="s">
        <v>34</v>
      </c>
      <c r="E22471" s="21" t="s">
        <v>35</v>
      </c>
      <c r="F22471">
        <v>1380005</v>
      </c>
      <c r="G22471" t="s">
        <v>3119</v>
      </c>
      <c r="H22471" s="21">
        <v>693.67</v>
      </c>
    </row>
    <row r="22472" spans="1:8" customFormat="1" x14ac:dyDescent="0.25">
      <c r="A22472" t="str">
        <f>"823968"</f>
        <v>823968</v>
      </c>
      <c r="B22472" t="s">
        <v>4723</v>
      </c>
      <c r="C22472" t="s">
        <v>156</v>
      </c>
      <c r="D22472" s="21" t="s">
        <v>34</v>
      </c>
      <c r="E22472" s="21" t="s">
        <v>35</v>
      </c>
      <c r="F22472">
        <v>11820032</v>
      </c>
      <c r="G22472" t="s">
        <v>14258</v>
      </c>
      <c r="H22472" s="21">
        <v>693.67</v>
      </c>
    </row>
    <row r="22473" spans="1:8" customFormat="1" x14ac:dyDescent="0.25">
      <c r="A22473" t="str">
        <f>"6227684"</f>
        <v>6227684</v>
      </c>
      <c r="B22473" t="s">
        <v>14222</v>
      </c>
      <c r="C22473" t="s">
        <v>267</v>
      </c>
      <c r="D22473" s="21" t="s">
        <v>34</v>
      </c>
      <c r="E22473" s="21" t="s">
        <v>254</v>
      </c>
      <c r="F22473">
        <v>7620082</v>
      </c>
      <c r="G22473" t="s">
        <v>4939</v>
      </c>
      <c r="H22473" s="21">
        <v>693.67</v>
      </c>
    </row>
    <row r="22474" spans="1:8" customFormat="1" x14ac:dyDescent="0.25">
      <c r="A22474" t="str">
        <f>"6113006"</f>
        <v>6113006</v>
      </c>
      <c r="B22474" t="s">
        <v>27695</v>
      </c>
      <c r="C22474" t="s">
        <v>269</v>
      </c>
      <c r="D22474" s="21" t="s">
        <v>34</v>
      </c>
      <c r="E22474" s="21" t="s">
        <v>71</v>
      </c>
      <c r="F22474">
        <v>9610009</v>
      </c>
      <c r="G22474" t="s">
        <v>282</v>
      </c>
      <c r="H22474" s="21">
        <v>693.67</v>
      </c>
    </row>
    <row r="22475" spans="1:8" customFormat="1" x14ac:dyDescent="0.25">
      <c r="A22475" t="str">
        <f>"3423368"</f>
        <v>3423368</v>
      </c>
      <c r="B22475" t="s">
        <v>11251</v>
      </c>
      <c r="C22475" t="s">
        <v>169</v>
      </c>
      <c r="D22475" s="21" t="s">
        <v>34</v>
      </c>
      <c r="E22475" s="21" t="s">
        <v>35</v>
      </c>
      <c r="F22475">
        <v>11340071</v>
      </c>
      <c r="G22475" t="s">
        <v>17733</v>
      </c>
      <c r="H22475" s="21">
        <v>693.67</v>
      </c>
    </row>
    <row r="22476" spans="1:8" customFormat="1" x14ac:dyDescent="0.25">
      <c r="A22476" t="str">
        <f>"124823"</f>
        <v>124823</v>
      </c>
      <c r="B22476" t="s">
        <v>16751</v>
      </c>
      <c r="C22476" t="s">
        <v>119</v>
      </c>
      <c r="D22476" s="21" t="s">
        <v>34</v>
      </c>
      <c r="E22476" s="21" t="s">
        <v>35</v>
      </c>
      <c r="F22476">
        <v>11120042</v>
      </c>
      <c r="G22476" t="s">
        <v>16752</v>
      </c>
      <c r="H22476" s="21">
        <v>693.67</v>
      </c>
    </row>
    <row r="22477" spans="1:8" customFormat="1" x14ac:dyDescent="0.25">
      <c r="A22477" t="str">
        <f>"1316319"</f>
        <v>1316319</v>
      </c>
      <c r="B22477" t="s">
        <v>16129</v>
      </c>
      <c r="C22477" t="s">
        <v>2520</v>
      </c>
      <c r="D22477" s="21" t="s">
        <v>34</v>
      </c>
      <c r="E22477" s="21" t="s">
        <v>71</v>
      </c>
      <c r="F22477">
        <v>13130146</v>
      </c>
      <c r="G22477" t="s">
        <v>2471</v>
      </c>
      <c r="H22477" s="21">
        <v>693.67</v>
      </c>
    </row>
    <row r="22478" spans="1:8" customFormat="1" x14ac:dyDescent="0.25">
      <c r="A22478" t="str">
        <f>"02465"</f>
        <v>02465</v>
      </c>
      <c r="B22478" t="s">
        <v>6220</v>
      </c>
      <c r="C22478" t="s">
        <v>547</v>
      </c>
      <c r="D22478" s="21" t="s">
        <v>34</v>
      </c>
      <c r="E22478" s="21" t="s">
        <v>1089</v>
      </c>
      <c r="F22478">
        <v>7020009</v>
      </c>
      <c r="G22478" t="s">
        <v>3362</v>
      </c>
      <c r="H22478" s="21">
        <v>693.67</v>
      </c>
    </row>
    <row r="22479" spans="1:8" customFormat="1" x14ac:dyDescent="0.25">
      <c r="A22479" t="str">
        <f>"189369"</f>
        <v>189369</v>
      </c>
      <c r="B22479" t="s">
        <v>21527</v>
      </c>
      <c r="C22479" t="s">
        <v>2365</v>
      </c>
      <c r="D22479" s="21" t="s">
        <v>34</v>
      </c>
      <c r="E22479" s="21" t="s">
        <v>35</v>
      </c>
      <c r="F22479">
        <v>4180041</v>
      </c>
      <c r="G22479" t="s">
        <v>1740</v>
      </c>
      <c r="H22479" s="21">
        <v>693.67</v>
      </c>
    </row>
    <row r="22480" spans="1:8" customFormat="1" x14ac:dyDescent="0.25">
      <c r="A22480" t="str">
        <f>"461636"</f>
        <v>461636</v>
      </c>
      <c r="B22480" t="s">
        <v>17350</v>
      </c>
      <c r="C22480" t="s">
        <v>40</v>
      </c>
      <c r="D22480" s="21" t="s">
        <v>34</v>
      </c>
      <c r="E22480" s="21" t="s">
        <v>71</v>
      </c>
      <c r="F22480">
        <v>11460023</v>
      </c>
      <c r="G22480" t="s">
        <v>5430</v>
      </c>
      <c r="H22480" s="21">
        <v>693.67</v>
      </c>
    </row>
    <row r="22481" spans="1:8" customFormat="1" x14ac:dyDescent="0.25">
      <c r="A22481" t="str">
        <f>"1715265"</f>
        <v>1715265</v>
      </c>
      <c r="B22481" t="s">
        <v>18425</v>
      </c>
      <c r="C22481" t="s">
        <v>233</v>
      </c>
      <c r="D22481" s="21" t="s">
        <v>34</v>
      </c>
      <c r="E22481" s="21" t="s">
        <v>71</v>
      </c>
      <c r="F22481">
        <v>10170138</v>
      </c>
      <c r="G22481" t="s">
        <v>13853</v>
      </c>
      <c r="H22481" s="21">
        <v>693.67</v>
      </c>
    </row>
    <row r="22482" spans="1:8" customFormat="1" x14ac:dyDescent="0.25">
      <c r="A22482" t="str">
        <f>"1423984"</f>
        <v>1423984</v>
      </c>
      <c r="B22482" t="s">
        <v>18678</v>
      </c>
      <c r="C22482" t="s">
        <v>60</v>
      </c>
      <c r="D22482" s="21" t="s">
        <v>34</v>
      </c>
      <c r="E22482" s="21" t="s">
        <v>35</v>
      </c>
      <c r="F22482">
        <v>9140202</v>
      </c>
      <c r="G22482" t="s">
        <v>2011</v>
      </c>
      <c r="H22482" s="21">
        <v>693.67</v>
      </c>
    </row>
    <row r="22483" spans="1:8" customFormat="1" x14ac:dyDescent="0.25">
      <c r="A22483" t="str">
        <f>"6232933"</f>
        <v>6232933</v>
      </c>
      <c r="B22483" t="s">
        <v>18154</v>
      </c>
      <c r="C22483" t="s">
        <v>18155</v>
      </c>
      <c r="D22483" s="21" t="s">
        <v>34</v>
      </c>
      <c r="E22483" s="21" t="s">
        <v>35</v>
      </c>
      <c r="F22483">
        <v>7620005</v>
      </c>
      <c r="G22483" t="s">
        <v>200</v>
      </c>
      <c r="H22483" s="21">
        <v>693.67</v>
      </c>
    </row>
    <row r="22484" spans="1:8" customFormat="1" x14ac:dyDescent="0.25">
      <c r="A22484" t="str">
        <f>"2716225"</f>
        <v>2716225</v>
      </c>
      <c r="B22484" t="s">
        <v>12567</v>
      </c>
      <c r="C22484" t="s">
        <v>486</v>
      </c>
      <c r="D22484" s="21" t="s">
        <v>34</v>
      </c>
      <c r="E22484" s="21" t="s">
        <v>71</v>
      </c>
      <c r="F22484">
        <v>9270175</v>
      </c>
      <c r="G22484" t="s">
        <v>1909</v>
      </c>
      <c r="H22484" s="21">
        <v>693.67</v>
      </c>
    </row>
    <row r="22485" spans="1:8" customFormat="1" x14ac:dyDescent="0.25">
      <c r="A22485" t="str">
        <f>"9244150"</f>
        <v>9244150</v>
      </c>
      <c r="B22485" t="s">
        <v>4707</v>
      </c>
      <c r="C22485" t="s">
        <v>130</v>
      </c>
      <c r="D22485" s="21" t="s">
        <v>34</v>
      </c>
      <c r="E22485" s="21" t="s">
        <v>35</v>
      </c>
      <c r="F22485">
        <v>8920309</v>
      </c>
      <c r="G22485" t="s">
        <v>1894</v>
      </c>
      <c r="H22485" s="21">
        <v>693.54</v>
      </c>
    </row>
    <row r="22486" spans="1:8" customFormat="1" x14ac:dyDescent="0.25">
      <c r="A22486" t="str">
        <f>"271899"</f>
        <v>271899</v>
      </c>
      <c r="B22486" t="s">
        <v>7114</v>
      </c>
      <c r="C22486" t="s">
        <v>453</v>
      </c>
      <c r="D22486" s="21" t="s">
        <v>34</v>
      </c>
      <c r="E22486" s="21" t="s">
        <v>1089</v>
      </c>
      <c r="F22486">
        <v>9270110</v>
      </c>
      <c r="G22486" t="s">
        <v>7417</v>
      </c>
      <c r="H22486" s="21">
        <v>693.54</v>
      </c>
    </row>
    <row r="22487" spans="1:8" customFormat="1" x14ac:dyDescent="0.25">
      <c r="A22487" t="str">
        <f>"3311832"</f>
        <v>3311832</v>
      </c>
      <c r="B22487" t="s">
        <v>17402</v>
      </c>
      <c r="C22487" t="s">
        <v>55</v>
      </c>
      <c r="D22487" s="21" t="s">
        <v>34</v>
      </c>
      <c r="E22487" s="21" t="s">
        <v>71</v>
      </c>
      <c r="F22487">
        <v>10330084</v>
      </c>
      <c r="G22487" t="s">
        <v>1124</v>
      </c>
      <c r="H22487" s="21">
        <v>693.42</v>
      </c>
    </row>
    <row r="22488" spans="1:8" customFormat="1" x14ac:dyDescent="0.25">
      <c r="A22488" t="str">
        <f>"5326316"</f>
        <v>5326316</v>
      </c>
      <c r="B22488" t="s">
        <v>9142</v>
      </c>
      <c r="C22488" t="s">
        <v>87</v>
      </c>
      <c r="D22488" s="21" t="s">
        <v>34</v>
      </c>
      <c r="E22488" s="21" t="s">
        <v>35</v>
      </c>
      <c r="F22488">
        <v>12530067</v>
      </c>
      <c r="G22488" t="s">
        <v>11121</v>
      </c>
      <c r="H22488" s="21">
        <v>693.42</v>
      </c>
    </row>
    <row r="22489" spans="1:8" customFormat="1" x14ac:dyDescent="0.25">
      <c r="A22489" t="str">
        <f>"932134"</f>
        <v>932134</v>
      </c>
      <c r="B22489" t="s">
        <v>146</v>
      </c>
      <c r="C22489" t="s">
        <v>486</v>
      </c>
      <c r="D22489" s="21" t="s">
        <v>34</v>
      </c>
      <c r="E22489" s="21" t="s">
        <v>71</v>
      </c>
      <c r="F22489">
        <v>8930185</v>
      </c>
      <c r="G22489" t="s">
        <v>3846</v>
      </c>
      <c r="H22489" s="21">
        <v>693.29</v>
      </c>
    </row>
    <row r="22490" spans="1:8" customFormat="1" x14ac:dyDescent="0.25">
      <c r="A22490" t="str">
        <f>"7877419"</f>
        <v>7877419</v>
      </c>
      <c r="B22490" t="s">
        <v>18442</v>
      </c>
      <c r="C22490" t="s">
        <v>719</v>
      </c>
      <c r="D22490" s="21" t="s">
        <v>34</v>
      </c>
      <c r="E22490" s="21" t="s">
        <v>35</v>
      </c>
      <c r="F22490">
        <v>8781471</v>
      </c>
      <c r="G22490" t="s">
        <v>9616</v>
      </c>
      <c r="H22490" s="21">
        <v>693.29</v>
      </c>
    </row>
    <row r="22491" spans="1:8" customFormat="1" x14ac:dyDescent="0.25">
      <c r="A22491" t="str">
        <f>"023876"</f>
        <v>023876</v>
      </c>
      <c r="B22491" t="s">
        <v>17371</v>
      </c>
      <c r="C22491" t="s">
        <v>269</v>
      </c>
      <c r="D22491" s="21" t="s">
        <v>34</v>
      </c>
      <c r="E22491" s="21" t="s">
        <v>71</v>
      </c>
      <c r="F22491">
        <v>7590086</v>
      </c>
      <c r="G22491" t="s">
        <v>3557</v>
      </c>
      <c r="H22491" s="21">
        <v>693.17</v>
      </c>
    </row>
    <row r="22492" spans="1:8" customFormat="1" x14ac:dyDescent="0.25">
      <c r="A22492" t="str">
        <f>"911422"</f>
        <v>911422</v>
      </c>
      <c r="B22492" t="s">
        <v>1711</v>
      </c>
      <c r="C22492" t="s">
        <v>926</v>
      </c>
      <c r="D22492" s="21" t="s">
        <v>34</v>
      </c>
      <c r="E22492" s="21" t="s">
        <v>71</v>
      </c>
      <c r="F22492">
        <v>8910642</v>
      </c>
      <c r="G22492" t="s">
        <v>27027</v>
      </c>
      <c r="H22492" s="21">
        <v>693.17</v>
      </c>
    </row>
    <row r="22493" spans="1:8" customFormat="1" x14ac:dyDescent="0.25">
      <c r="A22493" t="str">
        <f>"6215271"</f>
        <v>6215271</v>
      </c>
      <c r="B22493" t="s">
        <v>2983</v>
      </c>
      <c r="C22493" t="s">
        <v>5778</v>
      </c>
      <c r="D22493" s="21" t="s">
        <v>34</v>
      </c>
      <c r="E22493" s="21" t="s">
        <v>71</v>
      </c>
      <c r="F22493">
        <v>7590204</v>
      </c>
      <c r="G22493" t="s">
        <v>696</v>
      </c>
      <c r="H22493" s="21">
        <v>693.17</v>
      </c>
    </row>
    <row r="22494" spans="1:8" customFormat="1" x14ac:dyDescent="0.25">
      <c r="A22494" t="str">
        <f>"882668"</f>
        <v>882668</v>
      </c>
      <c r="B22494" t="s">
        <v>18633</v>
      </c>
      <c r="C22494" t="s">
        <v>209</v>
      </c>
      <c r="D22494" s="21" t="s">
        <v>34</v>
      </c>
      <c r="E22494" s="21" t="s">
        <v>254</v>
      </c>
      <c r="F22494">
        <v>6880021</v>
      </c>
      <c r="G22494" t="s">
        <v>15780</v>
      </c>
      <c r="H22494" s="21">
        <v>693.17</v>
      </c>
    </row>
    <row r="22495" spans="1:8" customFormat="1" x14ac:dyDescent="0.25">
      <c r="A22495" t="str">
        <f>"5424287"</f>
        <v>5424287</v>
      </c>
      <c r="B22495" t="s">
        <v>485</v>
      </c>
      <c r="C22495" t="s">
        <v>2984</v>
      </c>
      <c r="D22495" s="21" t="s">
        <v>34</v>
      </c>
      <c r="E22495" s="21" t="s">
        <v>71</v>
      </c>
      <c r="F22495">
        <v>6540019</v>
      </c>
      <c r="G22495" t="s">
        <v>6413</v>
      </c>
      <c r="H22495" s="21">
        <v>693.17</v>
      </c>
    </row>
    <row r="22496" spans="1:8" customFormat="1" x14ac:dyDescent="0.25">
      <c r="A22496" t="str">
        <f>"716065"</f>
        <v>716065</v>
      </c>
      <c r="B22496" t="s">
        <v>11376</v>
      </c>
      <c r="C22496" t="s">
        <v>33</v>
      </c>
      <c r="D22496" s="21" t="s">
        <v>34</v>
      </c>
      <c r="E22496" s="21" t="s">
        <v>71</v>
      </c>
      <c r="F22496">
        <v>5990022</v>
      </c>
      <c r="G22496" t="s">
        <v>9912</v>
      </c>
      <c r="H22496" s="21">
        <v>693.17</v>
      </c>
    </row>
    <row r="22497" spans="1:8" customFormat="1" x14ac:dyDescent="0.25">
      <c r="A22497" t="str">
        <f>"9145026"</f>
        <v>9145026</v>
      </c>
      <c r="B22497" t="s">
        <v>18896</v>
      </c>
      <c r="C22497" t="s">
        <v>285</v>
      </c>
      <c r="D22497" s="21" t="s">
        <v>34</v>
      </c>
      <c r="E22497" s="21" t="s">
        <v>35</v>
      </c>
      <c r="F22497">
        <v>8910918</v>
      </c>
      <c r="G22497" t="s">
        <v>332</v>
      </c>
      <c r="H22497" s="21">
        <v>693.17</v>
      </c>
    </row>
    <row r="22498" spans="1:8" customFormat="1" x14ac:dyDescent="0.25">
      <c r="A22498" t="str">
        <f>"4456343"</f>
        <v>4456343</v>
      </c>
      <c r="B22498" t="s">
        <v>1859</v>
      </c>
      <c r="C22498" t="s">
        <v>139</v>
      </c>
      <c r="D22498" s="21" t="s">
        <v>34</v>
      </c>
      <c r="E22498" s="21" t="s">
        <v>35</v>
      </c>
      <c r="F22498">
        <v>12440087</v>
      </c>
      <c r="G22498" t="s">
        <v>1860</v>
      </c>
      <c r="H22498" s="21">
        <v>693.17</v>
      </c>
    </row>
    <row r="22499" spans="1:8" customFormat="1" x14ac:dyDescent="0.25">
      <c r="A22499" t="str">
        <f>"4413229"</f>
        <v>4413229</v>
      </c>
      <c r="B22499" t="s">
        <v>16401</v>
      </c>
      <c r="C22499" t="s">
        <v>2232</v>
      </c>
      <c r="D22499" s="21" t="s">
        <v>34</v>
      </c>
      <c r="E22499" s="21" t="s">
        <v>71</v>
      </c>
      <c r="F22499">
        <v>12440166</v>
      </c>
      <c r="G22499" t="s">
        <v>4031</v>
      </c>
      <c r="H22499" s="21">
        <v>693.17</v>
      </c>
    </row>
    <row r="22500" spans="1:8" customFormat="1" x14ac:dyDescent="0.25">
      <c r="A22500" t="str">
        <f>"6718955"</f>
        <v>6718955</v>
      </c>
      <c r="B22500" t="s">
        <v>2280</v>
      </c>
      <c r="C22500" t="s">
        <v>2806</v>
      </c>
      <c r="D22500" s="21" t="s">
        <v>34</v>
      </c>
      <c r="E22500" s="21" t="s">
        <v>71</v>
      </c>
      <c r="F22500">
        <v>6670248</v>
      </c>
      <c r="G22500" t="s">
        <v>1194</v>
      </c>
      <c r="H22500" s="21">
        <v>693.17</v>
      </c>
    </row>
    <row r="22501" spans="1:8" customFormat="1" x14ac:dyDescent="0.25">
      <c r="A22501" t="str">
        <f>"9D2532"</f>
        <v>9D2532</v>
      </c>
      <c r="B22501" t="s">
        <v>18170</v>
      </c>
      <c r="C22501" t="s">
        <v>1489</v>
      </c>
      <c r="D22501" s="21" t="s">
        <v>34</v>
      </c>
      <c r="E22501" s="21" t="s">
        <v>254</v>
      </c>
      <c r="F22501" t="s">
        <v>5881</v>
      </c>
      <c r="G22501" t="s">
        <v>5882</v>
      </c>
      <c r="H22501" s="21">
        <v>693.17</v>
      </c>
    </row>
    <row r="22502" spans="1:8" customFormat="1" x14ac:dyDescent="0.25">
      <c r="A22502" t="str">
        <f>"3526490"</f>
        <v>3526490</v>
      </c>
      <c r="B22502" t="s">
        <v>17082</v>
      </c>
      <c r="C22502" t="s">
        <v>33</v>
      </c>
      <c r="D22502" s="21" t="s">
        <v>34</v>
      </c>
      <c r="E22502" s="21" t="s">
        <v>71</v>
      </c>
      <c r="F22502">
        <v>3350207</v>
      </c>
      <c r="G22502" t="s">
        <v>3668</v>
      </c>
      <c r="H22502" s="21">
        <v>693.17</v>
      </c>
    </row>
    <row r="22503" spans="1:8" customFormat="1" x14ac:dyDescent="0.25">
      <c r="A22503" t="str">
        <f>"5963073"</f>
        <v>5963073</v>
      </c>
      <c r="B22503" t="s">
        <v>18006</v>
      </c>
      <c r="C22503" t="s">
        <v>169</v>
      </c>
      <c r="D22503" s="21" t="s">
        <v>34</v>
      </c>
      <c r="E22503" s="21" t="s">
        <v>71</v>
      </c>
      <c r="F22503">
        <v>7590412</v>
      </c>
      <c r="G22503" t="s">
        <v>489</v>
      </c>
      <c r="H22503" s="21">
        <v>693.17</v>
      </c>
    </row>
    <row r="22504" spans="1:8" customFormat="1" x14ac:dyDescent="0.25">
      <c r="A22504" t="str">
        <f>"9129107"</f>
        <v>9129107</v>
      </c>
      <c r="B22504" t="s">
        <v>18157</v>
      </c>
      <c r="C22504" t="s">
        <v>55</v>
      </c>
      <c r="D22504" s="21" t="s">
        <v>34</v>
      </c>
      <c r="E22504" s="21" t="s">
        <v>35</v>
      </c>
      <c r="F22504">
        <v>8910165</v>
      </c>
      <c r="G22504" t="s">
        <v>3184</v>
      </c>
      <c r="H22504" s="21">
        <v>693.17</v>
      </c>
    </row>
    <row r="22505" spans="1:8" customFormat="1" x14ac:dyDescent="0.25">
      <c r="A22505" t="str">
        <f>"4422109"</f>
        <v>4422109</v>
      </c>
      <c r="B22505" t="s">
        <v>5480</v>
      </c>
      <c r="C22505" t="s">
        <v>2520</v>
      </c>
      <c r="D22505" s="21" t="s">
        <v>34</v>
      </c>
      <c r="E22505" s="21" t="s">
        <v>254</v>
      </c>
      <c r="F22505">
        <v>12440074</v>
      </c>
      <c r="G22505" t="s">
        <v>2436</v>
      </c>
      <c r="H22505" s="21">
        <v>693.17</v>
      </c>
    </row>
    <row r="22506" spans="1:8" customFormat="1" x14ac:dyDescent="0.25">
      <c r="A22506" t="str">
        <f>"387089"</f>
        <v>387089</v>
      </c>
      <c r="B22506" t="s">
        <v>17720</v>
      </c>
      <c r="C22506" t="s">
        <v>263</v>
      </c>
      <c r="D22506" s="21" t="s">
        <v>34</v>
      </c>
      <c r="E22506" s="21" t="s">
        <v>254</v>
      </c>
      <c r="F22506">
        <v>1380262</v>
      </c>
      <c r="G22506" t="s">
        <v>1216</v>
      </c>
      <c r="H22506" s="21">
        <v>693.17</v>
      </c>
    </row>
    <row r="22507" spans="1:8" customFormat="1" x14ac:dyDescent="0.25">
      <c r="A22507" t="str">
        <f>"597178"</f>
        <v>597178</v>
      </c>
      <c r="B22507" t="s">
        <v>2985</v>
      </c>
      <c r="C22507" t="s">
        <v>412</v>
      </c>
      <c r="D22507" s="21" t="s">
        <v>34</v>
      </c>
      <c r="E22507" s="21" t="s">
        <v>1089</v>
      </c>
      <c r="F22507">
        <v>7590228</v>
      </c>
      <c r="G22507" t="s">
        <v>1798</v>
      </c>
      <c r="H22507" s="21">
        <v>693.17</v>
      </c>
    </row>
    <row r="22508" spans="1:8" customFormat="1" x14ac:dyDescent="0.25">
      <c r="A22508" t="str">
        <f>"112687"</f>
        <v>112687</v>
      </c>
      <c r="B22508" t="s">
        <v>16893</v>
      </c>
      <c r="C22508" t="s">
        <v>65</v>
      </c>
      <c r="D22508" s="21" t="s">
        <v>34</v>
      </c>
      <c r="E22508" s="21" t="s">
        <v>71</v>
      </c>
      <c r="F22508">
        <v>11110024</v>
      </c>
      <c r="G22508" t="s">
        <v>3378</v>
      </c>
      <c r="H22508" s="21">
        <v>693.17</v>
      </c>
    </row>
    <row r="22509" spans="1:8" customFormat="1" x14ac:dyDescent="0.25">
      <c r="A22509" t="str">
        <f>"229192"</f>
        <v>229192</v>
      </c>
      <c r="B22509" t="s">
        <v>3167</v>
      </c>
      <c r="C22509" t="s">
        <v>87</v>
      </c>
      <c r="D22509" s="21" t="s">
        <v>34</v>
      </c>
      <c r="E22509" s="21" t="s">
        <v>71</v>
      </c>
      <c r="F22509">
        <v>3560093</v>
      </c>
      <c r="G22509" t="s">
        <v>11246</v>
      </c>
      <c r="H22509" s="21">
        <v>693.17</v>
      </c>
    </row>
    <row r="22510" spans="1:8" customFormat="1" x14ac:dyDescent="0.25">
      <c r="A22510" t="str">
        <f>"361839"</f>
        <v>361839</v>
      </c>
      <c r="B22510" t="s">
        <v>8884</v>
      </c>
      <c r="C22510" t="s">
        <v>926</v>
      </c>
      <c r="D22510" s="21" t="s">
        <v>34</v>
      </c>
      <c r="E22510" s="21" t="s">
        <v>71</v>
      </c>
      <c r="F22510">
        <v>4360340</v>
      </c>
      <c r="G22510" t="s">
        <v>14132</v>
      </c>
      <c r="H22510" s="21">
        <v>693.04</v>
      </c>
    </row>
    <row r="22511" spans="1:8" customFormat="1" x14ac:dyDescent="0.25">
      <c r="A22511" t="str">
        <f>"756942"</f>
        <v>756942</v>
      </c>
      <c r="B22511" t="s">
        <v>17949</v>
      </c>
      <c r="C22511" t="s">
        <v>209</v>
      </c>
      <c r="D22511" s="21" t="s">
        <v>34</v>
      </c>
      <c r="E22511" s="21" t="s">
        <v>254</v>
      </c>
      <c r="F22511">
        <v>8920309</v>
      </c>
      <c r="G22511" t="s">
        <v>1894</v>
      </c>
      <c r="H22511" s="21">
        <v>693.04</v>
      </c>
    </row>
    <row r="22512" spans="1:8" customFormat="1" x14ac:dyDescent="0.25">
      <c r="A22512" t="str">
        <f>"106992"</f>
        <v>106992</v>
      </c>
      <c r="B22512" t="s">
        <v>19168</v>
      </c>
      <c r="C22512" t="s">
        <v>1819</v>
      </c>
      <c r="D22512" s="21" t="s">
        <v>34</v>
      </c>
      <c r="E22512" s="21" t="s">
        <v>71</v>
      </c>
      <c r="F22512">
        <v>6100045</v>
      </c>
      <c r="G22512" t="s">
        <v>19169</v>
      </c>
      <c r="H22512" s="21">
        <v>692.92</v>
      </c>
    </row>
    <row r="22513" spans="1:8" customFormat="1" x14ac:dyDescent="0.25">
      <c r="A22513" t="str">
        <f>"4441991"</f>
        <v>4441991</v>
      </c>
      <c r="B22513" t="s">
        <v>10434</v>
      </c>
      <c r="C22513" t="s">
        <v>209</v>
      </c>
      <c r="D22513" s="21" t="s">
        <v>34</v>
      </c>
      <c r="E22513" s="21" t="s">
        <v>71</v>
      </c>
      <c r="F22513">
        <v>12440030</v>
      </c>
      <c r="G22513" t="s">
        <v>5524</v>
      </c>
      <c r="H22513" s="21">
        <v>692.92</v>
      </c>
    </row>
    <row r="22514" spans="1:8" customFormat="1" x14ac:dyDescent="0.25">
      <c r="A22514" t="str">
        <f>"9A1453"</f>
        <v>9A1453</v>
      </c>
      <c r="B22514" t="s">
        <v>21269</v>
      </c>
      <c r="C22514" t="s">
        <v>2520</v>
      </c>
      <c r="D22514" s="21" t="s">
        <v>34</v>
      </c>
      <c r="E22514" s="21" t="s">
        <v>71</v>
      </c>
      <c r="F22514" t="s">
        <v>2849</v>
      </c>
      <c r="G22514" t="s">
        <v>2850</v>
      </c>
      <c r="H22514" s="21">
        <v>692.79</v>
      </c>
    </row>
    <row r="22515" spans="1:8" customFormat="1" x14ac:dyDescent="0.25">
      <c r="A22515" t="str">
        <f>"6013964"</f>
        <v>6013964</v>
      </c>
      <c r="B22515" t="s">
        <v>12582</v>
      </c>
      <c r="C22515" t="s">
        <v>3456</v>
      </c>
      <c r="D22515" s="21" t="s">
        <v>34</v>
      </c>
      <c r="E22515" s="21" t="s">
        <v>35</v>
      </c>
      <c r="F22515">
        <v>7600043</v>
      </c>
      <c r="G22515" t="s">
        <v>1928</v>
      </c>
      <c r="H22515" s="21">
        <v>692.79</v>
      </c>
    </row>
    <row r="22516" spans="1:8" customFormat="1" x14ac:dyDescent="0.25">
      <c r="A22516" t="str">
        <f>"2110493"</f>
        <v>2110493</v>
      </c>
      <c r="B22516" t="s">
        <v>19256</v>
      </c>
      <c r="C22516" t="s">
        <v>547</v>
      </c>
      <c r="D22516" s="21" t="s">
        <v>34</v>
      </c>
      <c r="E22516" s="21" t="s">
        <v>35</v>
      </c>
      <c r="F22516">
        <v>2210127</v>
      </c>
      <c r="G22516" t="s">
        <v>3447</v>
      </c>
      <c r="H22516" s="21">
        <v>692.79</v>
      </c>
    </row>
    <row r="22517" spans="1:8" customFormat="1" x14ac:dyDescent="0.25">
      <c r="A22517" t="str">
        <f>"3325681"</f>
        <v>3325681</v>
      </c>
      <c r="B22517" t="s">
        <v>9342</v>
      </c>
      <c r="C22517" t="s">
        <v>187</v>
      </c>
      <c r="D22517" s="21" t="s">
        <v>34</v>
      </c>
      <c r="E22517" s="21" t="s">
        <v>35</v>
      </c>
      <c r="F22517">
        <v>10860005</v>
      </c>
      <c r="G22517" t="s">
        <v>7474</v>
      </c>
      <c r="H22517" s="21">
        <v>692.67</v>
      </c>
    </row>
    <row r="22518" spans="1:8" customFormat="1" x14ac:dyDescent="0.25">
      <c r="A22518" t="str">
        <f>"80728"</f>
        <v>80728</v>
      </c>
      <c r="B22518" t="s">
        <v>2032</v>
      </c>
      <c r="C22518" t="s">
        <v>169</v>
      </c>
      <c r="D22518" s="21" t="s">
        <v>34</v>
      </c>
      <c r="E22518" s="21" t="s">
        <v>71</v>
      </c>
      <c r="F22518">
        <v>7800018</v>
      </c>
      <c r="G22518" t="s">
        <v>10207</v>
      </c>
      <c r="H22518" s="21">
        <v>692.67</v>
      </c>
    </row>
    <row r="22519" spans="1:8" customFormat="1" x14ac:dyDescent="0.25">
      <c r="A22519" t="str">
        <f>"5930487"</f>
        <v>5930487</v>
      </c>
      <c r="B22519" t="s">
        <v>17552</v>
      </c>
      <c r="C22519" t="s">
        <v>55</v>
      </c>
      <c r="D22519" s="21" t="s">
        <v>34</v>
      </c>
      <c r="E22519" s="21" t="s">
        <v>35</v>
      </c>
      <c r="F22519">
        <v>7590106</v>
      </c>
      <c r="G22519" t="s">
        <v>4790</v>
      </c>
      <c r="H22519" s="21">
        <v>692.67</v>
      </c>
    </row>
    <row r="22520" spans="1:8" customFormat="1" x14ac:dyDescent="0.25">
      <c r="A22520" t="str">
        <f>"043923"</f>
        <v>043923</v>
      </c>
      <c r="B22520" t="s">
        <v>19430</v>
      </c>
      <c r="C22520" t="s">
        <v>2365</v>
      </c>
      <c r="D22520" s="21" t="s">
        <v>34</v>
      </c>
      <c r="E22520" s="21" t="s">
        <v>254</v>
      </c>
      <c r="F22520">
        <v>13040005</v>
      </c>
      <c r="G22520" t="s">
        <v>7115</v>
      </c>
      <c r="H22520" s="21">
        <v>692.67</v>
      </c>
    </row>
    <row r="22521" spans="1:8" customFormat="1" x14ac:dyDescent="0.25">
      <c r="A22521" t="str">
        <f>"5956814"</f>
        <v>5956814</v>
      </c>
      <c r="B22521" t="s">
        <v>27696</v>
      </c>
      <c r="C22521" t="s">
        <v>87</v>
      </c>
      <c r="D22521" s="21" t="s">
        <v>34</v>
      </c>
      <c r="E22521" s="21" t="s">
        <v>35</v>
      </c>
      <c r="F22521">
        <v>7590074</v>
      </c>
      <c r="G22521" t="s">
        <v>1992</v>
      </c>
      <c r="H22521" s="21">
        <v>692.67</v>
      </c>
    </row>
    <row r="22522" spans="1:8" customFormat="1" x14ac:dyDescent="0.25">
      <c r="A22522" t="str">
        <f>"865983"</f>
        <v>865983</v>
      </c>
      <c r="B22522" t="s">
        <v>17107</v>
      </c>
      <c r="C22522" t="s">
        <v>415</v>
      </c>
      <c r="D22522" s="21" t="s">
        <v>34</v>
      </c>
      <c r="E22522" s="21" t="s">
        <v>254</v>
      </c>
      <c r="F22522">
        <v>10860017</v>
      </c>
      <c r="G22522" t="s">
        <v>2439</v>
      </c>
      <c r="H22522" s="21">
        <v>692.67</v>
      </c>
    </row>
    <row r="22523" spans="1:8" customFormat="1" x14ac:dyDescent="0.25">
      <c r="A22523" t="str">
        <f>"5019253"</f>
        <v>5019253</v>
      </c>
      <c r="B22523" t="s">
        <v>18695</v>
      </c>
      <c r="C22523" t="s">
        <v>719</v>
      </c>
      <c r="D22523" s="21" t="s">
        <v>34</v>
      </c>
      <c r="E22523" s="21" t="s">
        <v>35</v>
      </c>
      <c r="F22523">
        <v>9500011</v>
      </c>
      <c r="G22523" t="s">
        <v>4903</v>
      </c>
      <c r="H22523" s="21">
        <v>692.67</v>
      </c>
    </row>
    <row r="22524" spans="1:8" customFormat="1" x14ac:dyDescent="0.25">
      <c r="A22524" t="str">
        <f>"898708"</f>
        <v>898708</v>
      </c>
      <c r="B22524" t="s">
        <v>11119</v>
      </c>
      <c r="C22524" t="s">
        <v>3309</v>
      </c>
      <c r="D22524" s="21" t="s">
        <v>34</v>
      </c>
      <c r="E22524" s="21" t="s">
        <v>35</v>
      </c>
      <c r="F22524">
        <v>2890005</v>
      </c>
      <c r="G22524" t="s">
        <v>2889</v>
      </c>
      <c r="H22524" s="21">
        <v>692.67</v>
      </c>
    </row>
    <row r="22525" spans="1:8" customFormat="1" x14ac:dyDescent="0.25">
      <c r="A22525" t="str">
        <f>"302486"</f>
        <v>302486</v>
      </c>
      <c r="B22525" t="s">
        <v>17495</v>
      </c>
      <c r="C22525" t="s">
        <v>547</v>
      </c>
      <c r="D22525" s="21" t="s">
        <v>34</v>
      </c>
      <c r="E22525" s="21" t="s">
        <v>254</v>
      </c>
      <c r="F22525">
        <v>11300015</v>
      </c>
      <c r="G22525" t="s">
        <v>12613</v>
      </c>
      <c r="H22525" s="21">
        <v>692.67</v>
      </c>
    </row>
    <row r="22526" spans="1:8" customFormat="1" x14ac:dyDescent="0.25">
      <c r="A22526" t="str">
        <f>"025555"</f>
        <v>025555</v>
      </c>
      <c r="B22526" t="s">
        <v>27697</v>
      </c>
      <c r="C22526" t="s">
        <v>608</v>
      </c>
      <c r="D22526" s="21" t="s">
        <v>34</v>
      </c>
      <c r="E22526" s="21" t="s">
        <v>35</v>
      </c>
      <c r="F22526">
        <v>7020064</v>
      </c>
      <c r="G22526" t="s">
        <v>8396</v>
      </c>
      <c r="H22526" s="21">
        <v>692.67</v>
      </c>
    </row>
    <row r="22527" spans="1:8" customFormat="1" x14ac:dyDescent="0.25">
      <c r="A22527" t="str">
        <f>"7514909"</f>
        <v>7514909</v>
      </c>
      <c r="B22527" t="s">
        <v>17544</v>
      </c>
      <c r="C22527" t="s">
        <v>879</v>
      </c>
      <c r="D22527" s="21" t="s">
        <v>34</v>
      </c>
      <c r="E22527" s="21" t="s">
        <v>254</v>
      </c>
      <c r="F22527">
        <v>6680128</v>
      </c>
      <c r="G22527" t="s">
        <v>341</v>
      </c>
      <c r="H22527" s="21">
        <v>692.67</v>
      </c>
    </row>
    <row r="22528" spans="1:8" customFormat="1" x14ac:dyDescent="0.25">
      <c r="A22528" t="str">
        <f>"9531955"</f>
        <v>9531955</v>
      </c>
      <c r="B22528" t="s">
        <v>18357</v>
      </c>
      <c r="C22528" t="s">
        <v>500</v>
      </c>
      <c r="D22528" s="21" t="s">
        <v>34</v>
      </c>
      <c r="E22528" s="21" t="s">
        <v>35</v>
      </c>
      <c r="F22528">
        <v>8950917</v>
      </c>
      <c r="G22528" t="s">
        <v>3823</v>
      </c>
      <c r="H22528" s="21">
        <v>692.67</v>
      </c>
    </row>
    <row r="22529" spans="1:8" customFormat="1" x14ac:dyDescent="0.25">
      <c r="A22529" t="str">
        <f>"027643"</f>
        <v>027643</v>
      </c>
      <c r="B22529" t="s">
        <v>15505</v>
      </c>
      <c r="C22529" t="s">
        <v>267</v>
      </c>
      <c r="D22529" s="21" t="s">
        <v>34</v>
      </c>
      <c r="E22529" s="21" t="s">
        <v>254</v>
      </c>
      <c r="F22529">
        <v>7020040</v>
      </c>
      <c r="G22529" t="s">
        <v>1698</v>
      </c>
      <c r="H22529" s="21">
        <v>692.67</v>
      </c>
    </row>
    <row r="22530" spans="1:8" customFormat="1" x14ac:dyDescent="0.25">
      <c r="A22530" t="str">
        <f>"419500"</f>
        <v>419500</v>
      </c>
      <c r="B22530" t="s">
        <v>6324</v>
      </c>
      <c r="C22530" t="s">
        <v>124</v>
      </c>
      <c r="D22530" s="21" t="s">
        <v>34</v>
      </c>
      <c r="E22530" s="21" t="s">
        <v>71</v>
      </c>
      <c r="F22530">
        <v>4410466</v>
      </c>
      <c r="G22530" t="s">
        <v>678</v>
      </c>
      <c r="H22530" s="21">
        <v>692.67</v>
      </c>
    </row>
    <row r="22531" spans="1:8" customFormat="1" x14ac:dyDescent="0.25">
      <c r="A22531" t="str">
        <f>"93874"</f>
        <v>93874</v>
      </c>
      <c r="B22531" t="s">
        <v>994</v>
      </c>
      <c r="C22531" t="s">
        <v>812</v>
      </c>
      <c r="D22531" s="21" t="s">
        <v>34</v>
      </c>
      <c r="E22531" s="21" t="s">
        <v>1089</v>
      </c>
      <c r="F22531">
        <v>13830090</v>
      </c>
      <c r="G22531" t="s">
        <v>1535</v>
      </c>
      <c r="H22531" s="21">
        <v>692.67</v>
      </c>
    </row>
    <row r="22532" spans="1:8" customFormat="1" x14ac:dyDescent="0.25">
      <c r="A22532" t="str">
        <f>"4444583"</f>
        <v>4444583</v>
      </c>
      <c r="B22532" t="s">
        <v>4818</v>
      </c>
      <c r="C22532" t="s">
        <v>1841</v>
      </c>
      <c r="D22532" s="21" t="s">
        <v>34</v>
      </c>
      <c r="E22532" s="21" t="s">
        <v>71</v>
      </c>
      <c r="F22532">
        <v>12440238</v>
      </c>
      <c r="G22532" t="s">
        <v>5258</v>
      </c>
      <c r="H22532" s="21">
        <v>692.67</v>
      </c>
    </row>
    <row r="22533" spans="1:8" customFormat="1" x14ac:dyDescent="0.25">
      <c r="A22533" t="str">
        <f>"461462"</f>
        <v>461462</v>
      </c>
      <c r="B22533" t="s">
        <v>12119</v>
      </c>
      <c r="C22533" t="s">
        <v>249</v>
      </c>
      <c r="D22533" s="21" t="s">
        <v>34</v>
      </c>
      <c r="E22533" s="21" t="s">
        <v>71</v>
      </c>
      <c r="F22533">
        <v>11460028</v>
      </c>
      <c r="G22533" t="s">
        <v>5243</v>
      </c>
      <c r="H22533" s="21">
        <v>692.67</v>
      </c>
    </row>
    <row r="22534" spans="1:8" customFormat="1" x14ac:dyDescent="0.25">
      <c r="A22534" t="str">
        <f>"153885"</f>
        <v>153885</v>
      </c>
      <c r="B22534" t="s">
        <v>2355</v>
      </c>
      <c r="C22534" t="s">
        <v>1100</v>
      </c>
      <c r="D22534" s="21" t="s">
        <v>34</v>
      </c>
      <c r="E22534" s="21" t="s">
        <v>35</v>
      </c>
      <c r="F22534">
        <v>1150291</v>
      </c>
      <c r="G22534" t="s">
        <v>17865</v>
      </c>
      <c r="H22534" s="21">
        <v>692.54</v>
      </c>
    </row>
    <row r="22535" spans="1:8" customFormat="1" x14ac:dyDescent="0.25">
      <c r="A22535" t="str">
        <f>"5615029"</f>
        <v>5615029</v>
      </c>
      <c r="B22535" t="s">
        <v>18719</v>
      </c>
      <c r="C22535" t="s">
        <v>18720</v>
      </c>
      <c r="D22535" s="21" t="s">
        <v>34</v>
      </c>
      <c r="E22535" s="21" t="s">
        <v>71</v>
      </c>
      <c r="F22535">
        <v>3560050</v>
      </c>
      <c r="G22535" t="s">
        <v>5322</v>
      </c>
      <c r="H22535" s="21">
        <v>692.42</v>
      </c>
    </row>
    <row r="22536" spans="1:8" customFormat="1" x14ac:dyDescent="0.25">
      <c r="A22536" t="str">
        <f>"81981"</f>
        <v>81981</v>
      </c>
      <c r="B22536" t="s">
        <v>16708</v>
      </c>
      <c r="C22536" t="s">
        <v>239</v>
      </c>
      <c r="D22536" s="21" t="s">
        <v>34</v>
      </c>
      <c r="E22536" s="21" t="s">
        <v>71</v>
      </c>
      <c r="F22536">
        <v>10330125</v>
      </c>
      <c r="G22536" t="s">
        <v>3753</v>
      </c>
      <c r="H22536" s="21">
        <v>692.42</v>
      </c>
    </row>
    <row r="22537" spans="1:8" customFormat="1" x14ac:dyDescent="0.25">
      <c r="A22537" t="str">
        <f>"331451"</f>
        <v>331451</v>
      </c>
      <c r="B22537" t="s">
        <v>4311</v>
      </c>
      <c r="C22537" t="s">
        <v>3010</v>
      </c>
      <c r="D22537" s="21" t="s">
        <v>34</v>
      </c>
      <c r="E22537" s="21" t="s">
        <v>254</v>
      </c>
      <c r="F22537">
        <v>10330028</v>
      </c>
      <c r="G22537" t="s">
        <v>4553</v>
      </c>
      <c r="H22537" s="21">
        <v>692.29</v>
      </c>
    </row>
    <row r="22538" spans="1:8" customFormat="1" x14ac:dyDescent="0.25">
      <c r="A22538" t="str">
        <f>"3013648"</f>
        <v>3013648</v>
      </c>
      <c r="B22538" t="s">
        <v>20063</v>
      </c>
      <c r="C22538" t="s">
        <v>812</v>
      </c>
      <c r="D22538" s="21" t="s">
        <v>34</v>
      </c>
      <c r="E22538" s="21" t="s">
        <v>35</v>
      </c>
      <c r="F22538">
        <v>11300025</v>
      </c>
      <c r="G22538" t="s">
        <v>1211</v>
      </c>
      <c r="H22538" s="21">
        <v>692.29</v>
      </c>
    </row>
    <row r="22539" spans="1:8" customFormat="1" x14ac:dyDescent="0.25">
      <c r="A22539" t="str">
        <f>"897017"</f>
        <v>897017</v>
      </c>
      <c r="B22539" t="s">
        <v>3227</v>
      </c>
      <c r="C22539" t="s">
        <v>119</v>
      </c>
      <c r="D22539" s="21" t="s">
        <v>34</v>
      </c>
      <c r="E22539" s="21" t="s">
        <v>35</v>
      </c>
      <c r="F22539">
        <v>2890005</v>
      </c>
      <c r="G22539" t="s">
        <v>2889</v>
      </c>
      <c r="H22539" s="21">
        <v>692.29</v>
      </c>
    </row>
    <row r="22540" spans="1:8" customFormat="1" x14ac:dyDescent="0.25">
      <c r="A22540" t="str">
        <f>"5017498"</f>
        <v>5017498</v>
      </c>
      <c r="B22540" t="s">
        <v>19059</v>
      </c>
      <c r="C22540" t="s">
        <v>428</v>
      </c>
      <c r="D22540" s="21" t="s">
        <v>34</v>
      </c>
      <c r="E22540" s="21" t="s">
        <v>35</v>
      </c>
      <c r="F22540">
        <v>9500139</v>
      </c>
      <c r="G22540" t="s">
        <v>6892</v>
      </c>
      <c r="H22540" s="21">
        <v>692.17</v>
      </c>
    </row>
    <row r="22541" spans="1:8" customFormat="1" x14ac:dyDescent="0.25">
      <c r="A22541" t="str">
        <f>"706440"</f>
        <v>706440</v>
      </c>
      <c r="B22541" t="s">
        <v>946</v>
      </c>
      <c r="C22541" t="s">
        <v>60</v>
      </c>
      <c r="D22541" s="21" t="s">
        <v>34</v>
      </c>
      <c r="E22541" s="21" t="s">
        <v>35</v>
      </c>
      <c r="F22541">
        <v>2700014</v>
      </c>
      <c r="G22541" t="s">
        <v>7714</v>
      </c>
      <c r="H22541" s="21">
        <v>692.17</v>
      </c>
    </row>
    <row r="22542" spans="1:8" customFormat="1" x14ac:dyDescent="0.25">
      <c r="A22542" t="str">
        <f>"443136"</f>
        <v>443136</v>
      </c>
      <c r="B22542" t="s">
        <v>17360</v>
      </c>
      <c r="C22542" t="s">
        <v>171</v>
      </c>
      <c r="D22542" s="21" t="s">
        <v>34</v>
      </c>
      <c r="E22542" s="21" t="s">
        <v>1089</v>
      </c>
      <c r="F22542">
        <v>12440105</v>
      </c>
      <c r="G22542" t="s">
        <v>594</v>
      </c>
      <c r="H22542" s="21">
        <v>692.17</v>
      </c>
    </row>
    <row r="22543" spans="1:8" customFormat="1" x14ac:dyDescent="0.25">
      <c r="A22543" t="str">
        <f>"7223036"</f>
        <v>7223036</v>
      </c>
      <c r="B22543" t="s">
        <v>2946</v>
      </c>
      <c r="C22543" t="s">
        <v>40</v>
      </c>
      <c r="D22543" s="21" t="s">
        <v>34</v>
      </c>
      <c r="E22543" s="21" t="s">
        <v>35</v>
      </c>
      <c r="F22543">
        <v>12720062</v>
      </c>
      <c r="G22543" t="s">
        <v>4026</v>
      </c>
      <c r="H22543" s="21">
        <v>692.17</v>
      </c>
    </row>
    <row r="22544" spans="1:8" customFormat="1" x14ac:dyDescent="0.25">
      <c r="A22544" t="str">
        <f>"7626719"</f>
        <v>7626719</v>
      </c>
      <c r="B22544" t="s">
        <v>3455</v>
      </c>
      <c r="C22544" t="s">
        <v>204</v>
      </c>
      <c r="D22544" s="21" t="s">
        <v>34</v>
      </c>
      <c r="E22544" s="21" t="s">
        <v>71</v>
      </c>
      <c r="F22544">
        <v>9760377</v>
      </c>
      <c r="G22544" t="s">
        <v>6631</v>
      </c>
      <c r="H22544" s="21">
        <v>692.17</v>
      </c>
    </row>
    <row r="22545" spans="1:8" customFormat="1" x14ac:dyDescent="0.25">
      <c r="A22545" t="str">
        <f>"3426546"</f>
        <v>3426546</v>
      </c>
      <c r="B22545" t="s">
        <v>3089</v>
      </c>
      <c r="C22545" t="s">
        <v>5009</v>
      </c>
      <c r="D22545" s="21" t="s">
        <v>34</v>
      </c>
      <c r="E22545" s="21" t="s">
        <v>71</v>
      </c>
      <c r="F22545">
        <v>11340012</v>
      </c>
      <c r="G22545" t="s">
        <v>10413</v>
      </c>
      <c r="H22545" s="21">
        <v>692.17</v>
      </c>
    </row>
    <row r="22546" spans="1:8" customFormat="1" x14ac:dyDescent="0.25">
      <c r="A22546" t="str">
        <f>"5976425"</f>
        <v>5976425</v>
      </c>
      <c r="B22546" t="s">
        <v>18871</v>
      </c>
      <c r="C22546" t="s">
        <v>3073</v>
      </c>
      <c r="D22546" s="21" t="s">
        <v>34</v>
      </c>
      <c r="E22546" s="21" t="s">
        <v>35</v>
      </c>
      <c r="F22546">
        <v>7590372</v>
      </c>
      <c r="G22546" t="s">
        <v>3638</v>
      </c>
      <c r="H22546" s="21">
        <v>692.17</v>
      </c>
    </row>
    <row r="22547" spans="1:8" customFormat="1" x14ac:dyDescent="0.25">
      <c r="A22547" t="str">
        <f>"2514808"</f>
        <v>2514808</v>
      </c>
      <c r="B22547" t="s">
        <v>17604</v>
      </c>
      <c r="C22547" t="s">
        <v>151</v>
      </c>
      <c r="D22547" s="21" t="s">
        <v>34</v>
      </c>
      <c r="E22547" s="21" t="s">
        <v>71</v>
      </c>
      <c r="F22547">
        <v>2250110</v>
      </c>
      <c r="G22547" t="s">
        <v>9363</v>
      </c>
      <c r="H22547" s="21">
        <v>692.17</v>
      </c>
    </row>
    <row r="22548" spans="1:8" customFormat="1" x14ac:dyDescent="0.25">
      <c r="A22548" t="str">
        <f>"139358"</f>
        <v>139358</v>
      </c>
      <c r="B22548" t="s">
        <v>16716</v>
      </c>
      <c r="C22548" t="s">
        <v>719</v>
      </c>
      <c r="D22548" s="21" t="s">
        <v>34</v>
      </c>
      <c r="E22548" s="21" t="s">
        <v>71</v>
      </c>
      <c r="F22548">
        <v>13130138</v>
      </c>
      <c r="G22548" t="s">
        <v>5409</v>
      </c>
      <c r="H22548" s="21">
        <v>692.17</v>
      </c>
    </row>
    <row r="22549" spans="1:8" customFormat="1" x14ac:dyDescent="0.25">
      <c r="A22549" t="str">
        <f>"5620757"</f>
        <v>5620757</v>
      </c>
      <c r="B22549" t="s">
        <v>1886</v>
      </c>
      <c r="C22549" t="s">
        <v>8532</v>
      </c>
      <c r="D22549" s="21" t="s">
        <v>34</v>
      </c>
      <c r="E22549" s="21" t="s">
        <v>254</v>
      </c>
      <c r="F22549">
        <v>3560053</v>
      </c>
      <c r="G22549" t="s">
        <v>298</v>
      </c>
      <c r="H22549" s="21">
        <v>692.17</v>
      </c>
    </row>
    <row r="22550" spans="1:8" customFormat="1" x14ac:dyDescent="0.25">
      <c r="A22550" t="str">
        <f>"802440"</f>
        <v>802440</v>
      </c>
      <c r="B22550" t="s">
        <v>16113</v>
      </c>
      <c r="C22550" t="s">
        <v>16114</v>
      </c>
      <c r="D22550" s="21" t="s">
        <v>34</v>
      </c>
      <c r="E22550" s="21" t="s">
        <v>35</v>
      </c>
      <c r="F22550">
        <v>7800014</v>
      </c>
      <c r="G22550" t="s">
        <v>9881</v>
      </c>
      <c r="H22550" s="21">
        <v>692.17</v>
      </c>
    </row>
    <row r="22551" spans="1:8" customFormat="1" x14ac:dyDescent="0.25">
      <c r="A22551" t="str">
        <f>"8523115"</f>
        <v>8523115</v>
      </c>
      <c r="B22551" t="s">
        <v>17857</v>
      </c>
      <c r="C22551" t="s">
        <v>1803</v>
      </c>
      <c r="D22551" s="21" t="s">
        <v>34</v>
      </c>
      <c r="E22551" s="21" t="s">
        <v>35</v>
      </c>
      <c r="F22551">
        <v>12850033</v>
      </c>
      <c r="G22551" t="s">
        <v>703</v>
      </c>
      <c r="H22551" s="21">
        <v>692.17</v>
      </c>
    </row>
    <row r="22552" spans="1:8" customFormat="1" x14ac:dyDescent="0.25">
      <c r="A22552" t="str">
        <f>"9513627"</f>
        <v>9513627</v>
      </c>
      <c r="B22552" t="s">
        <v>10613</v>
      </c>
      <c r="C22552" t="s">
        <v>169</v>
      </c>
      <c r="D22552" s="21" t="s">
        <v>34</v>
      </c>
      <c r="E22552" s="21" t="s">
        <v>71</v>
      </c>
      <c r="F22552">
        <v>8951411</v>
      </c>
      <c r="G22552" t="s">
        <v>416</v>
      </c>
      <c r="H22552" s="21">
        <v>692.17</v>
      </c>
    </row>
    <row r="22553" spans="1:8" customFormat="1" x14ac:dyDescent="0.25">
      <c r="A22553" t="str">
        <f>"1417884"</f>
        <v>1417884</v>
      </c>
      <c r="B22553" t="s">
        <v>18112</v>
      </c>
      <c r="C22553" t="s">
        <v>2907</v>
      </c>
      <c r="D22553" s="21" t="s">
        <v>34</v>
      </c>
      <c r="E22553" s="21" t="s">
        <v>254</v>
      </c>
      <c r="F22553">
        <v>9140227</v>
      </c>
      <c r="G22553" t="s">
        <v>5130</v>
      </c>
      <c r="H22553" s="21">
        <v>692.17</v>
      </c>
    </row>
    <row r="22554" spans="1:8" customFormat="1" x14ac:dyDescent="0.25">
      <c r="A22554" t="str">
        <f>"7920699"</f>
        <v>7920699</v>
      </c>
      <c r="B22554" t="s">
        <v>3978</v>
      </c>
      <c r="C22554" t="s">
        <v>206</v>
      </c>
      <c r="D22554" s="21" t="s">
        <v>34</v>
      </c>
      <c r="E22554" s="21" t="s">
        <v>35</v>
      </c>
      <c r="F22554">
        <v>10790162</v>
      </c>
      <c r="G22554" t="s">
        <v>6039</v>
      </c>
      <c r="H22554" s="21">
        <v>692.17</v>
      </c>
    </row>
    <row r="22555" spans="1:8" customFormat="1" x14ac:dyDescent="0.25">
      <c r="A22555" t="str">
        <f>"337889"</f>
        <v>337889</v>
      </c>
      <c r="B22555" t="s">
        <v>16393</v>
      </c>
      <c r="C22555" t="s">
        <v>267</v>
      </c>
      <c r="D22555" s="21" t="s">
        <v>34</v>
      </c>
      <c r="E22555" s="21" t="s">
        <v>71</v>
      </c>
      <c r="F22555">
        <v>10330020</v>
      </c>
      <c r="G22555" t="s">
        <v>7481</v>
      </c>
      <c r="H22555" s="21">
        <v>691.92</v>
      </c>
    </row>
    <row r="22556" spans="1:8" customFormat="1" x14ac:dyDescent="0.25">
      <c r="A22556" t="str">
        <f>"7711053"</f>
        <v>7711053</v>
      </c>
      <c r="B22556" t="s">
        <v>16731</v>
      </c>
      <c r="C22556" t="s">
        <v>415</v>
      </c>
      <c r="D22556" s="21" t="s">
        <v>34</v>
      </c>
      <c r="E22556" s="21" t="s">
        <v>254</v>
      </c>
      <c r="F22556">
        <v>8771394</v>
      </c>
      <c r="G22556" t="s">
        <v>1933</v>
      </c>
      <c r="H22556" s="21">
        <v>691.92</v>
      </c>
    </row>
    <row r="22557" spans="1:8" customFormat="1" x14ac:dyDescent="0.25">
      <c r="A22557" t="str">
        <f>"935096"</f>
        <v>935096</v>
      </c>
      <c r="B22557" t="s">
        <v>17877</v>
      </c>
      <c r="C22557" t="s">
        <v>169</v>
      </c>
      <c r="D22557" s="21" t="s">
        <v>34</v>
      </c>
      <c r="E22557" s="21" t="s">
        <v>71</v>
      </c>
      <c r="F22557">
        <v>8930185</v>
      </c>
      <c r="G22557" t="s">
        <v>3846</v>
      </c>
      <c r="H22557" s="21">
        <v>691.92</v>
      </c>
    </row>
    <row r="22558" spans="1:8" customFormat="1" x14ac:dyDescent="0.25">
      <c r="A22558" t="str">
        <f>"5326516"</f>
        <v>5326516</v>
      </c>
      <c r="B22558" t="s">
        <v>7661</v>
      </c>
      <c r="C22558" t="s">
        <v>486</v>
      </c>
      <c r="D22558" s="21" t="s">
        <v>34</v>
      </c>
      <c r="E22558" s="21" t="s">
        <v>35</v>
      </c>
      <c r="F22558">
        <v>12530054</v>
      </c>
      <c r="G22558" t="s">
        <v>354</v>
      </c>
      <c r="H22558" s="21">
        <v>691.92</v>
      </c>
    </row>
    <row r="22559" spans="1:8" customFormat="1" x14ac:dyDescent="0.25">
      <c r="A22559" t="str">
        <f>"7211994"</f>
        <v>7211994</v>
      </c>
      <c r="B22559" t="s">
        <v>537</v>
      </c>
      <c r="C22559" t="s">
        <v>462</v>
      </c>
      <c r="D22559" s="21" t="s">
        <v>34</v>
      </c>
      <c r="E22559" s="21" t="s">
        <v>71</v>
      </c>
      <c r="F22559">
        <v>12720009</v>
      </c>
      <c r="G22559" t="s">
        <v>6928</v>
      </c>
      <c r="H22559" s="21">
        <v>691.92</v>
      </c>
    </row>
    <row r="22560" spans="1:8" customFormat="1" x14ac:dyDescent="0.25">
      <c r="A22560" t="str">
        <f>"4423787"</f>
        <v>4423787</v>
      </c>
      <c r="B22560" t="s">
        <v>1626</v>
      </c>
      <c r="C22560" t="s">
        <v>124</v>
      </c>
      <c r="D22560" s="21" t="s">
        <v>34</v>
      </c>
      <c r="E22560" s="21" t="s">
        <v>71</v>
      </c>
      <c r="F22560">
        <v>12440060</v>
      </c>
      <c r="G22560" t="s">
        <v>9953</v>
      </c>
      <c r="H22560" s="21">
        <v>691.92</v>
      </c>
    </row>
    <row r="22561" spans="1:8" customFormat="1" x14ac:dyDescent="0.25">
      <c r="A22561" t="str">
        <f>"6936010"</f>
        <v>6936010</v>
      </c>
      <c r="B22561" t="s">
        <v>12052</v>
      </c>
      <c r="C22561" t="s">
        <v>500</v>
      </c>
      <c r="D22561" s="21" t="s">
        <v>34</v>
      </c>
      <c r="E22561" s="21" t="s">
        <v>35</v>
      </c>
      <c r="F22561">
        <v>9760004</v>
      </c>
      <c r="G22561" t="s">
        <v>56</v>
      </c>
      <c r="H22561" s="21">
        <v>691.79</v>
      </c>
    </row>
    <row r="22562" spans="1:8" customFormat="1" x14ac:dyDescent="0.25">
      <c r="A22562" t="str">
        <f>"6216174"</f>
        <v>6216174</v>
      </c>
      <c r="B22562" t="s">
        <v>17195</v>
      </c>
      <c r="C22562" t="s">
        <v>253</v>
      </c>
      <c r="D22562" s="21" t="s">
        <v>34</v>
      </c>
      <c r="E22562" s="21" t="s">
        <v>71</v>
      </c>
      <c r="F22562">
        <v>7620028</v>
      </c>
      <c r="G22562" t="s">
        <v>7217</v>
      </c>
      <c r="H22562" s="21">
        <v>691.67</v>
      </c>
    </row>
    <row r="22563" spans="1:8" customFormat="1" x14ac:dyDescent="0.25">
      <c r="A22563" t="str">
        <f>"80622"</f>
        <v>80622</v>
      </c>
      <c r="B22563" t="s">
        <v>16866</v>
      </c>
      <c r="C22563" t="s">
        <v>239</v>
      </c>
      <c r="D22563" s="21" t="s">
        <v>34</v>
      </c>
      <c r="E22563" s="21" t="s">
        <v>254</v>
      </c>
      <c r="F22563">
        <v>7800015</v>
      </c>
      <c r="G22563" t="s">
        <v>8701</v>
      </c>
      <c r="H22563" s="21">
        <v>691.67</v>
      </c>
    </row>
    <row r="22564" spans="1:8" customFormat="1" x14ac:dyDescent="0.25">
      <c r="A22564" t="str">
        <f>"596791"</f>
        <v>596791</v>
      </c>
      <c r="B22564" t="s">
        <v>23646</v>
      </c>
      <c r="C22564" t="s">
        <v>87</v>
      </c>
      <c r="D22564" s="21" t="s">
        <v>34</v>
      </c>
      <c r="E22564" s="21" t="s">
        <v>35</v>
      </c>
      <c r="F22564">
        <v>7590082</v>
      </c>
      <c r="G22564" t="s">
        <v>10063</v>
      </c>
      <c r="H22564" s="21">
        <v>691.67</v>
      </c>
    </row>
    <row r="22565" spans="1:8" customFormat="1" x14ac:dyDescent="0.25">
      <c r="A22565" t="str">
        <f>"7628373"</f>
        <v>7628373</v>
      </c>
      <c r="B22565" t="s">
        <v>8829</v>
      </c>
      <c r="C22565" t="s">
        <v>608</v>
      </c>
      <c r="D22565" s="21" t="s">
        <v>34</v>
      </c>
      <c r="E22565" s="21" t="s">
        <v>35</v>
      </c>
      <c r="F22565">
        <v>9760218</v>
      </c>
      <c r="G22565" t="s">
        <v>26836</v>
      </c>
      <c r="H22565" s="21">
        <v>691.67</v>
      </c>
    </row>
    <row r="22566" spans="1:8" customFormat="1" x14ac:dyDescent="0.25">
      <c r="A22566" t="str">
        <f>"472839"</f>
        <v>472839</v>
      </c>
      <c r="B22566" t="s">
        <v>17382</v>
      </c>
      <c r="C22566" t="s">
        <v>484</v>
      </c>
      <c r="D22566" s="21" t="s">
        <v>34</v>
      </c>
      <c r="E22566" s="21" t="s">
        <v>35</v>
      </c>
      <c r="F22566">
        <v>10470007</v>
      </c>
      <c r="G22566" t="s">
        <v>3049</v>
      </c>
      <c r="H22566" s="21">
        <v>691.67</v>
      </c>
    </row>
    <row r="22567" spans="1:8" customFormat="1" x14ac:dyDescent="0.25">
      <c r="A22567" t="str">
        <f>"5964441"</f>
        <v>5964441</v>
      </c>
      <c r="B22567" t="s">
        <v>17543</v>
      </c>
      <c r="C22567" t="s">
        <v>285</v>
      </c>
      <c r="D22567" s="21" t="s">
        <v>34</v>
      </c>
      <c r="E22567" s="21" t="s">
        <v>35</v>
      </c>
      <c r="F22567">
        <v>7590400</v>
      </c>
      <c r="G22567" t="s">
        <v>26692</v>
      </c>
      <c r="H22567" s="21">
        <v>691.67</v>
      </c>
    </row>
    <row r="22568" spans="1:8" customFormat="1" x14ac:dyDescent="0.25">
      <c r="A22568" t="str">
        <f>"3427386"</f>
        <v>3427386</v>
      </c>
      <c r="B22568" t="s">
        <v>3428</v>
      </c>
      <c r="C22568" t="s">
        <v>236</v>
      </c>
      <c r="D22568" s="21" t="s">
        <v>34</v>
      </c>
      <c r="E22568" s="21" t="s">
        <v>35</v>
      </c>
      <c r="F22568">
        <v>11340040</v>
      </c>
      <c r="G22568" t="s">
        <v>5695</v>
      </c>
      <c r="H22568" s="21">
        <v>691.67</v>
      </c>
    </row>
    <row r="22569" spans="1:8" customFormat="1" x14ac:dyDescent="0.25">
      <c r="A22569" t="str">
        <f>"461239"</f>
        <v>461239</v>
      </c>
      <c r="B22569" t="s">
        <v>19403</v>
      </c>
      <c r="C22569" t="s">
        <v>379</v>
      </c>
      <c r="D22569" s="21" t="s">
        <v>34</v>
      </c>
      <c r="E22569" s="21" t="s">
        <v>1089</v>
      </c>
      <c r="F22569">
        <v>11460021</v>
      </c>
      <c r="G22569" t="s">
        <v>6727</v>
      </c>
      <c r="H22569" s="21">
        <v>691.67</v>
      </c>
    </row>
    <row r="22570" spans="1:8" customFormat="1" x14ac:dyDescent="0.25">
      <c r="A22570" t="str">
        <f>"7923440"</f>
        <v>7923440</v>
      </c>
      <c r="B22570" t="s">
        <v>7795</v>
      </c>
      <c r="C22570" t="s">
        <v>98</v>
      </c>
      <c r="D22570" s="21" t="s">
        <v>34</v>
      </c>
      <c r="E22570" s="21" t="s">
        <v>35</v>
      </c>
      <c r="F22570">
        <v>10790058</v>
      </c>
      <c r="G22570" t="s">
        <v>6512</v>
      </c>
      <c r="H22570" s="21">
        <v>691.67</v>
      </c>
    </row>
    <row r="22571" spans="1:8" customFormat="1" x14ac:dyDescent="0.25">
      <c r="A22571" t="str">
        <f>"066152"</f>
        <v>066152</v>
      </c>
      <c r="B22571" t="s">
        <v>27698</v>
      </c>
      <c r="C22571" t="s">
        <v>822</v>
      </c>
      <c r="D22571" s="21" t="s">
        <v>34</v>
      </c>
      <c r="E22571" s="21" t="s">
        <v>254</v>
      </c>
      <c r="F22571">
        <v>10400010</v>
      </c>
      <c r="G22571" t="s">
        <v>2446</v>
      </c>
      <c r="H22571" s="21">
        <v>691.67</v>
      </c>
    </row>
    <row r="22572" spans="1:8" customFormat="1" x14ac:dyDescent="0.25">
      <c r="A22572" t="str">
        <f>"5914934"</f>
        <v>5914934</v>
      </c>
      <c r="B22572" t="s">
        <v>16339</v>
      </c>
      <c r="C22572" t="s">
        <v>65</v>
      </c>
      <c r="D22572" s="21" t="s">
        <v>34</v>
      </c>
      <c r="E22572" s="21" t="s">
        <v>71</v>
      </c>
      <c r="F22572">
        <v>7590017</v>
      </c>
      <c r="G22572" t="s">
        <v>1316</v>
      </c>
      <c r="H22572" s="21">
        <v>691.67</v>
      </c>
    </row>
    <row r="22573" spans="1:8" customFormat="1" x14ac:dyDescent="0.25">
      <c r="A22573" t="str">
        <f>"6023007"</f>
        <v>6023007</v>
      </c>
      <c r="B22573" t="s">
        <v>20292</v>
      </c>
      <c r="C22573" t="s">
        <v>453</v>
      </c>
      <c r="D22573" s="21" t="s">
        <v>34</v>
      </c>
      <c r="E22573" s="21" t="s">
        <v>254</v>
      </c>
      <c r="F22573">
        <v>10240001</v>
      </c>
      <c r="G22573" t="s">
        <v>10102</v>
      </c>
      <c r="H22573" s="21">
        <v>691.67</v>
      </c>
    </row>
    <row r="22574" spans="1:8" customFormat="1" x14ac:dyDescent="0.25">
      <c r="A22574" t="str">
        <f>"4915337"</f>
        <v>4915337</v>
      </c>
      <c r="B22574" t="s">
        <v>17144</v>
      </c>
      <c r="C22574" t="s">
        <v>33</v>
      </c>
      <c r="D22574" s="21" t="s">
        <v>34</v>
      </c>
      <c r="E22574" s="21" t="s">
        <v>71</v>
      </c>
      <c r="F22574">
        <v>12490076</v>
      </c>
      <c r="G22574" t="s">
        <v>2086</v>
      </c>
      <c r="H22574" s="21">
        <v>691.67</v>
      </c>
    </row>
    <row r="22575" spans="1:8" customFormat="1" x14ac:dyDescent="0.25">
      <c r="A22575" t="str">
        <f>"9437033"</f>
        <v>9437033</v>
      </c>
      <c r="B22575" t="s">
        <v>17572</v>
      </c>
      <c r="C22575" t="s">
        <v>65</v>
      </c>
      <c r="D22575" s="21" t="s">
        <v>34</v>
      </c>
      <c r="E22575" s="21" t="s">
        <v>71</v>
      </c>
      <c r="F22575">
        <v>8940976</v>
      </c>
      <c r="G22575" t="s">
        <v>615</v>
      </c>
      <c r="H22575" s="21">
        <v>691.67</v>
      </c>
    </row>
    <row r="22576" spans="1:8" customFormat="1" x14ac:dyDescent="0.25">
      <c r="A22576" t="str">
        <f>"7220986"</f>
        <v>7220986</v>
      </c>
      <c r="B22576" t="s">
        <v>7636</v>
      </c>
      <c r="C22576" t="s">
        <v>285</v>
      </c>
      <c r="D22576" s="21" t="s">
        <v>34</v>
      </c>
      <c r="E22576" s="21" t="s">
        <v>35</v>
      </c>
      <c r="F22576">
        <v>12720009</v>
      </c>
      <c r="G22576" t="s">
        <v>6928</v>
      </c>
      <c r="H22576" s="21">
        <v>691.67</v>
      </c>
    </row>
    <row r="22577" spans="1:8" customFormat="1" x14ac:dyDescent="0.25">
      <c r="A22577" t="str">
        <f>"592711"</f>
        <v>592711</v>
      </c>
      <c r="B22577" t="s">
        <v>18022</v>
      </c>
      <c r="C22577" t="s">
        <v>130</v>
      </c>
      <c r="D22577" s="21" t="s">
        <v>34</v>
      </c>
      <c r="E22577" s="21" t="s">
        <v>254</v>
      </c>
      <c r="F22577">
        <v>7590351</v>
      </c>
      <c r="G22577" t="s">
        <v>8495</v>
      </c>
      <c r="H22577" s="21">
        <v>691.67</v>
      </c>
    </row>
    <row r="22578" spans="1:8" customFormat="1" x14ac:dyDescent="0.25">
      <c r="A22578" t="str">
        <f>"77872"</f>
        <v>77872</v>
      </c>
      <c r="B22578" t="s">
        <v>5609</v>
      </c>
      <c r="C22578" t="s">
        <v>139</v>
      </c>
      <c r="D22578" s="21" t="s">
        <v>34</v>
      </c>
      <c r="E22578" s="21" t="s">
        <v>71</v>
      </c>
      <c r="F22578">
        <v>8930430</v>
      </c>
      <c r="G22578" t="s">
        <v>995</v>
      </c>
      <c r="H22578" s="21">
        <v>691.67</v>
      </c>
    </row>
    <row r="22579" spans="1:8" customFormat="1" x14ac:dyDescent="0.25">
      <c r="A22579" t="str">
        <f>"153694"</f>
        <v>153694</v>
      </c>
      <c r="B22579" t="s">
        <v>16748</v>
      </c>
      <c r="C22579" t="s">
        <v>130</v>
      </c>
      <c r="D22579" s="21" t="s">
        <v>34</v>
      </c>
      <c r="E22579" s="21" t="s">
        <v>71</v>
      </c>
      <c r="F22579">
        <v>1150176</v>
      </c>
      <c r="G22579" t="s">
        <v>9843</v>
      </c>
      <c r="H22579" s="21">
        <v>691.67</v>
      </c>
    </row>
    <row r="22580" spans="1:8" customFormat="1" x14ac:dyDescent="0.25">
      <c r="A22580" t="str">
        <f>"5110425"</f>
        <v>5110425</v>
      </c>
      <c r="B22580" t="s">
        <v>18364</v>
      </c>
      <c r="C22580" t="s">
        <v>817</v>
      </c>
      <c r="D22580" s="21" t="s">
        <v>34</v>
      </c>
      <c r="E22580" s="21" t="s">
        <v>71</v>
      </c>
      <c r="F22580">
        <v>6510053</v>
      </c>
      <c r="G22580" t="s">
        <v>27203</v>
      </c>
      <c r="H22580" s="21">
        <v>691.67</v>
      </c>
    </row>
    <row r="22581" spans="1:8" customFormat="1" x14ac:dyDescent="0.25">
      <c r="A22581" t="str">
        <f>"135201"</f>
        <v>135201</v>
      </c>
      <c r="B22581" t="s">
        <v>27699</v>
      </c>
      <c r="C22581" t="s">
        <v>33</v>
      </c>
      <c r="D22581" s="21" t="s">
        <v>34</v>
      </c>
      <c r="E22581" s="21" t="s">
        <v>35</v>
      </c>
      <c r="F22581">
        <v>13130049</v>
      </c>
      <c r="G22581" t="s">
        <v>13169</v>
      </c>
      <c r="H22581" s="21">
        <v>691.67</v>
      </c>
    </row>
    <row r="22582" spans="1:8" customFormat="1" x14ac:dyDescent="0.25">
      <c r="A22582" t="str">
        <f>"366502"</f>
        <v>366502</v>
      </c>
      <c r="B22582" t="s">
        <v>17176</v>
      </c>
      <c r="C22582" t="s">
        <v>211</v>
      </c>
      <c r="D22582" s="21" t="s">
        <v>34</v>
      </c>
      <c r="E22582" s="21" t="s">
        <v>35</v>
      </c>
      <c r="F22582">
        <v>4360707</v>
      </c>
      <c r="G22582" t="s">
        <v>6621</v>
      </c>
      <c r="H22582" s="21">
        <v>691.29</v>
      </c>
    </row>
    <row r="22583" spans="1:8" customFormat="1" x14ac:dyDescent="0.25">
      <c r="A22583" t="str">
        <f>"377460"</f>
        <v>377460</v>
      </c>
      <c r="B22583" t="s">
        <v>3661</v>
      </c>
      <c r="C22583" t="s">
        <v>43</v>
      </c>
      <c r="D22583" s="21" t="s">
        <v>34</v>
      </c>
      <c r="E22583" s="21" t="s">
        <v>35</v>
      </c>
      <c r="F22583">
        <v>4370691</v>
      </c>
      <c r="G22583" t="s">
        <v>12036</v>
      </c>
      <c r="H22583" s="21">
        <v>691.17</v>
      </c>
    </row>
    <row r="22584" spans="1:8" customFormat="1" x14ac:dyDescent="0.25">
      <c r="A22584" t="str">
        <f>"684245"</f>
        <v>684245</v>
      </c>
      <c r="B22584" t="s">
        <v>1616</v>
      </c>
      <c r="C22584" t="s">
        <v>239</v>
      </c>
      <c r="D22584" s="21" t="s">
        <v>34</v>
      </c>
      <c r="E22584" s="21" t="s">
        <v>1089</v>
      </c>
      <c r="F22584">
        <v>6680111</v>
      </c>
      <c r="G22584" t="s">
        <v>3422</v>
      </c>
      <c r="H22584" s="21">
        <v>691.17</v>
      </c>
    </row>
    <row r="22585" spans="1:8" customFormat="1" x14ac:dyDescent="0.25">
      <c r="A22585" t="str">
        <f>"684121"</f>
        <v>684121</v>
      </c>
      <c r="B22585" t="s">
        <v>16564</v>
      </c>
      <c r="C22585" t="s">
        <v>43</v>
      </c>
      <c r="D22585" s="21" t="s">
        <v>34</v>
      </c>
      <c r="E22585" s="21" t="s">
        <v>35</v>
      </c>
      <c r="F22585">
        <v>6680091</v>
      </c>
      <c r="G22585" t="s">
        <v>693</v>
      </c>
      <c r="H22585" s="21">
        <v>691.17</v>
      </c>
    </row>
    <row r="22586" spans="1:8" customFormat="1" x14ac:dyDescent="0.25">
      <c r="A22586" t="str">
        <f>"562655"</f>
        <v>562655</v>
      </c>
      <c r="B22586" t="s">
        <v>3061</v>
      </c>
      <c r="C22586" t="s">
        <v>249</v>
      </c>
      <c r="D22586" s="21" t="s">
        <v>34</v>
      </c>
      <c r="E22586" s="21" t="s">
        <v>35</v>
      </c>
      <c r="F22586">
        <v>3350054</v>
      </c>
      <c r="G22586" t="s">
        <v>13881</v>
      </c>
      <c r="H22586" s="21">
        <v>691.17</v>
      </c>
    </row>
    <row r="22587" spans="1:8" customFormat="1" x14ac:dyDescent="0.25">
      <c r="A22587" t="str">
        <f>"716501"</f>
        <v>716501</v>
      </c>
      <c r="B22587" t="s">
        <v>4322</v>
      </c>
      <c r="C22587" t="s">
        <v>5778</v>
      </c>
      <c r="D22587" s="21" t="s">
        <v>34</v>
      </c>
      <c r="E22587" s="21" t="s">
        <v>71</v>
      </c>
      <c r="F22587">
        <v>2710048</v>
      </c>
      <c r="G22587" t="s">
        <v>2225</v>
      </c>
      <c r="H22587" s="21">
        <v>691.17</v>
      </c>
    </row>
    <row r="22588" spans="1:8" customFormat="1" x14ac:dyDescent="0.25">
      <c r="A22588" t="str">
        <f>"413895"</f>
        <v>413895</v>
      </c>
      <c r="B22588" t="s">
        <v>16422</v>
      </c>
      <c r="C22588" t="s">
        <v>1914</v>
      </c>
      <c r="D22588" s="21" t="s">
        <v>34</v>
      </c>
      <c r="E22588" s="21" t="s">
        <v>254</v>
      </c>
      <c r="F22588">
        <v>4410543</v>
      </c>
      <c r="G22588" t="s">
        <v>14950</v>
      </c>
      <c r="H22588" s="21">
        <v>691.17</v>
      </c>
    </row>
    <row r="22589" spans="1:8" customFormat="1" x14ac:dyDescent="0.25">
      <c r="A22589" t="str">
        <f>"4921440"</f>
        <v>4921440</v>
      </c>
      <c r="B22589" t="s">
        <v>17607</v>
      </c>
      <c r="C22589" t="s">
        <v>1025</v>
      </c>
      <c r="D22589" s="21" t="s">
        <v>34</v>
      </c>
      <c r="E22589" s="21" t="s">
        <v>1089</v>
      </c>
      <c r="F22589">
        <v>12490124</v>
      </c>
      <c r="G22589" t="s">
        <v>677</v>
      </c>
      <c r="H22589" s="21">
        <v>691.17</v>
      </c>
    </row>
    <row r="22590" spans="1:8" customFormat="1" x14ac:dyDescent="0.25">
      <c r="A22590" t="str">
        <f>"67727"</f>
        <v>67727</v>
      </c>
      <c r="B22590" t="s">
        <v>16620</v>
      </c>
      <c r="C22590" t="s">
        <v>1605</v>
      </c>
      <c r="D22590" s="21" t="s">
        <v>34</v>
      </c>
      <c r="E22590" s="21" t="s">
        <v>254</v>
      </c>
      <c r="F22590">
        <v>6670246</v>
      </c>
      <c r="G22590" t="s">
        <v>7707</v>
      </c>
      <c r="H22590" s="21">
        <v>691.17</v>
      </c>
    </row>
    <row r="22591" spans="1:8" customFormat="1" x14ac:dyDescent="0.25">
      <c r="A22591" t="str">
        <f>"61563"</f>
        <v>61563</v>
      </c>
      <c r="B22591" t="s">
        <v>7241</v>
      </c>
      <c r="C22591" t="s">
        <v>2305</v>
      </c>
      <c r="D22591" s="21" t="s">
        <v>34</v>
      </c>
      <c r="E22591" s="21" t="s">
        <v>254</v>
      </c>
      <c r="F22591">
        <v>9610077</v>
      </c>
      <c r="G22591" t="s">
        <v>26691</v>
      </c>
      <c r="H22591" s="21">
        <v>691.17</v>
      </c>
    </row>
    <row r="22592" spans="1:8" customFormat="1" x14ac:dyDescent="0.25">
      <c r="A22592" t="str">
        <f>"671027"</f>
        <v>671027</v>
      </c>
      <c r="B22592" t="s">
        <v>14100</v>
      </c>
      <c r="C22592" t="s">
        <v>269</v>
      </c>
      <c r="D22592" s="21" t="s">
        <v>34</v>
      </c>
      <c r="E22592" s="21" t="s">
        <v>254</v>
      </c>
      <c r="F22592">
        <v>6670107</v>
      </c>
      <c r="G22592" t="s">
        <v>5610</v>
      </c>
      <c r="H22592" s="21">
        <v>691.17</v>
      </c>
    </row>
    <row r="22593" spans="1:8" customFormat="1" x14ac:dyDescent="0.25">
      <c r="A22593" t="str">
        <f>"6223275"</f>
        <v>6223275</v>
      </c>
      <c r="B22593" t="s">
        <v>882</v>
      </c>
      <c r="C22593" t="s">
        <v>269</v>
      </c>
      <c r="D22593" s="21" t="s">
        <v>34</v>
      </c>
      <c r="E22593" s="21" t="s">
        <v>35</v>
      </c>
      <c r="F22593">
        <v>7620176</v>
      </c>
      <c r="G22593" t="s">
        <v>3111</v>
      </c>
      <c r="H22593" s="21">
        <v>691.17</v>
      </c>
    </row>
    <row r="22594" spans="1:8" customFormat="1" x14ac:dyDescent="0.25">
      <c r="A22594" t="str">
        <f>"729250"</f>
        <v>729250</v>
      </c>
      <c r="B22594" t="s">
        <v>2644</v>
      </c>
      <c r="C22594" t="s">
        <v>267</v>
      </c>
      <c r="D22594" s="21" t="s">
        <v>34</v>
      </c>
      <c r="E22594" s="21" t="s">
        <v>254</v>
      </c>
      <c r="F22594">
        <v>12720049</v>
      </c>
      <c r="G22594" t="s">
        <v>1627</v>
      </c>
      <c r="H22594" s="21">
        <v>691.17</v>
      </c>
    </row>
    <row r="22595" spans="1:8" customFormat="1" x14ac:dyDescent="0.25">
      <c r="A22595" t="str">
        <f>"356782"</f>
        <v>356782</v>
      </c>
      <c r="B22595" t="s">
        <v>16346</v>
      </c>
      <c r="C22595" t="s">
        <v>1914</v>
      </c>
      <c r="D22595" s="21" t="s">
        <v>34</v>
      </c>
      <c r="E22595" s="21" t="s">
        <v>254</v>
      </c>
      <c r="F22595">
        <v>3350009</v>
      </c>
      <c r="G22595" t="s">
        <v>1823</v>
      </c>
      <c r="H22595" s="21">
        <v>691.17</v>
      </c>
    </row>
    <row r="22596" spans="1:8" customFormat="1" x14ac:dyDescent="0.25">
      <c r="A22596" t="str">
        <f>"6231030"</f>
        <v>6231030</v>
      </c>
      <c r="B22596" t="s">
        <v>6658</v>
      </c>
      <c r="C22596" t="s">
        <v>209</v>
      </c>
      <c r="D22596" s="21" t="s">
        <v>34</v>
      </c>
      <c r="E22596" s="21" t="s">
        <v>71</v>
      </c>
      <c r="F22596">
        <v>7620002</v>
      </c>
      <c r="G22596" t="s">
        <v>11925</v>
      </c>
      <c r="H22596" s="21">
        <v>691.17</v>
      </c>
    </row>
    <row r="22597" spans="1:8" customFormat="1" x14ac:dyDescent="0.25">
      <c r="A22597" t="str">
        <f>"7630365"</f>
        <v>7630365</v>
      </c>
      <c r="B22597" t="s">
        <v>18031</v>
      </c>
      <c r="C22597" t="s">
        <v>121</v>
      </c>
      <c r="D22597" s="21" t="s">
        <v>34</v>
      </c>
      <c r="E22597" s="21" t="s">
        <v>71</v>
      </c>
      <c r="F22597">
        <v>9760414</v>
      </c>
      <c r="G22597" t="s">
        <v>142</v>
      </c>
      <c r="H22597" s="21">
        <v>691.17</v>
      </c>
    </row>
    <row r="22598" spans="1:8" customFormat="1" x14ac:dyDescent="0.25">
      <c r="A22598" t="str">
        <f>"4920718"</f>
        <v>4920718</v>
      </c>
      <c r="B22598" t="s">
        <v>4943</v>
      </c>
      <c r="C22598" t="s">
        <v>187</v>
      </c>
      <c r="D22598" s="21" t="s">
        <v>34</v>
      </c>
      <c r="E22598" s="21" t="s">
        <v>71</v>
      </c>
      <c r="F22598">
        <v>12490120</v>
      </c>
      <c r="G22598" t="s">
        <v>2316</v>
      </c>
      <c r="H22598" s="21">
        <v>691.17</v>
      </c>
    </row>
    <row r="22599" spans="1:8" customFormat="1" x14ac:dyDescent="0.25">
      <c r="A22599" t="str">
        <f>"1710364"</f>
        <v>1710364</v>
      </c>
      <c r="B22599" t="s">
        <v>19371</v>
      </c>
      <c r="C22599" t="s">
        <v>109</v>
      </c>
      <c r="D22599" s="21" t="s">
        <v>34</v>
      </c>
      <c r="E22599" s="21" t="s">
        <v>71</v>
      </c>
      <c r="F22599">
        <v>10170012</v>
      </c>
      <c r="G22599" t="s">
        <v>14768</v>
      </c>
      <c r="H22599" s="21">
        <v>691.17</v>
      </c>
    </row>
    <row r="22600" spans="1:8" customFormat="1" x14ac:dyDescent="0.25">
      <c r="A22600" t="str">
        <f>"9D1765"</f>
        <v>9D1765</v>
      </c>
      <c r="B22600" t="s">
        <v>803</v>
      </c>
      <c r="C22600" t="s">
        <v>204</v>
      </c>
      <c r="D22600" s="21" t="s">
        <v>34</v>
      </c>
      <c r="E22600" s="21" t="s">
        <v>35</v>
      </c>
      <c r="F22600" t="s">
        <v>2462</v>
      </c>
      <c r="G22600" t="s">
        <v>2463</v>
      </c>
      <c r="H22600" s="21">
        <v>691.17</v>
      </c>
    </row>
    <row r="22601" spans="1:8" customFormat="1" x14ac:dyDescent="0.25">
      <c r="A22601" t="str">
        <f>"8014427"</f>
        <v>8014427</v>
      </c>
      <c r="B22601" t="s">
        <v>6265</v>
      </c>
      <c r="C22601" t="s">
        <v>98</v>
      </c>
      <c r="D22601" s="21" t="s">
        <v>34</v>
      </c>
      <c r="E22601" s="21" t="s">
        <v>35</v>
      </c>
      <c r="F22601">
        <v>7800067</v>
      </c>
      <c r="G22601" t="s">
        <v>16355</v>
      </c>
      <c r="H22601" s="21">
        <v>691.17</v>
      </c>
    </row>
    <row r="22602" spans="1:8" customFormat="1" x14ac:dyDescent="0.25">
      <c r="A22602" t="str">
        <f>"73335"</f>
        <v>73335</v>
      </c>
      <c r="B22602" t="s">
        <v>16911</v>
      </c>
      <c r="C22602" t="s">
        <v>3905</v>
      </c>
      <c r="D22602" s="21" t="s">
        <v>34</v>
      </c>
      <c r="E22602" s="21" t="s">
        <v>6185</v>
      </c>
      <c r="F22602">
        <v>1730048</v>
      </c>
      <c r="G22602" t="s">
        <v>3173</v>
      </c>
      <c r="H22602" s="21">
        <v>691.17</v>
      </c>
    </row>
    <row r="22603" spans="1:8" customFormat="1" x14ac:dyDescent="0.25">
      <c r="A22603" t="str">
        <f>"3515049"</f>
        <v>3515049</v>
      </c>
      <c r="B22603" t="s">
        <v>18269</v>
      </c>
      <c r="C22603" t="s">
        <v>453</v>
      </c>
      <c r="D22603" s="21" t="s">
        <v>34</v>
      </c>
      <c r="E22603" s="21" t="s">
        <v>254</v>
      </c>
      <c r="F22603">
        <v>3350014</v>
      </c>
      <c r="G22603" t="s">
        <v>1078</v>
      </c>
      <c r="H22603" s="21">
        <v>691.17</v>
      </c>
    </row>
    <row r="22604" spans="1:8" customFormat="1" x14ac:dyDescent="0.25">
      <c r="A22604" t="str">
        <f>"4522831"</f>
        <v>4522831</v>
      </c>
      <c r="B22604" t="s">
        <v>11869</v>
      </c>
      <c r="C22604" t="s">
        <v>60</v>
      </c>
      <c r="D22604" s="21" t="s">
        <v>34</v>
      </c>
      <c r="E22604" s="21" t="s">
        <v>35</v>
      </c>
      <c r="F22604">
        <v>4450571</v>
      </c>
      <c r="G22604" t="s">
        <v>188</v>
      </c>
      <c r="H22604" s="21">
        <v>691.04</v>
      </c>
    </row>
    <row r="22605" spans="1:8" customFormat="1" x14ac:dyDescent="0.25">
      <c r="A22605" t="str">
        <f>"458754"</f>
        <v>458754</v>
      </c>
      <c r="B22605" t="s">
        <v>17472</v>
      </c>
      <c r="C22605" t="s">
        <v>3073</v>
      </c>
      <c r="D22605" s="21" t="s">
        <v>34</v>
      </c>
      <c r="E22605" s="21" t="s">
        <v>1089</v>
      </c>
      <c r="F22605">
        <v>4450753</v>
      </c>
      <c r="G22605" t="s">
        <v>8786</v>
      </c>
      <c r="H22605" s="21">
        <v>691</v>
      </c>
    </row>
    <row r="22606" spans="1:8" customFormat="1" x14ac:dyDescent="0.25">
      <c r="A22606" t="str">
        <f>"5432049"</f>
        <v>5432049</v>
      </c>
      <c r="B22606" t="s">
        <v>27700</v>
      </c>
      <c r="C22606" t="s">
        <v>65</v>
      </c>
      <c r="D22606" s="21" t="s">
        <v>34</v>
      </c>
      <c r="E22606" s="21" t="s">
        <v>35</v>
      </c>
      <c r="F22606">
        <v>6540032</v>
      </c>
      <c r="G22606" t="s">
        <v>63</v>
      </c>
      <c r="H22606" s="21">
        <v>690.92</v>
      </c>
    </row>
    <row r="22607" spans="1:8" customFormat="1" x14ac:dyDescent="0.25">
      <c r="A22607" t="str">
        <f>"4923990"</f>
        <v>4923990</v>
      </c>
      <c r="B22607" t="s">
        <v>3191</v>
      </c>
      <c r="C22607" t="s">
        <v>1110</v>
      </c>
      <c r="D22607" s="21" t="s">
        <v>34</v>
      </c>
      <c r="E22607" s="21" t="s">
        <v>254</v>
      </c>
      <c r="F22607">
        <v>12490073</v>
      </c>
      <c r="G22607" t="s">
        <v>296</v>
      </c>
      <c r="H22607" s="21">
        <v>690.92</v>
      </c>
    </row>
    <row r="22608" spans="1:8" customFormat="1" x14ac:dyDescent="0.25">
      <c r="A22608" t="str">
        <f>"318727"</f>
        <v>318727</v>
      </c>
      <c r="B22608" t="s">
        <v>15923</v>
      </c>
      <c r="C22608" t="s">
        <v>236</v>
      </c>
      <c r="D22608" s="21" t="s">
        <v>34</v>
      </c>
      <c r="E22608" s="21" t="s">
        <v>71</v>
      </c>
      <c r="F22608">
        <v>11310129</v>
      </c>
      <c r="G22608" t="s">
        <v>4672</v>
      </c>
      <c r="H22608" s="21">
        <v>690.67</v>
      </c>
    </row>
    <row r="22609" spans="1:8" customFormat="1" x14ac:dyDescent="0.25">
      <c r="A22609" t="str">
        <f>"188043"</f>
        <v>188043</v>
      </c>
      <c r="B22609" t="s">
        <v>1333</v>
      </c>
      <c r="C22609" t="s">
        <v>211</v>
      </c>
      <c r="D22609" s="21" t="s">
        <v>34</v>
      </c>
      <c r="E22609" s="21" t="s">
        <v>71</v>
      </c>
      <c r="F22609">
        <v>4180728</v>
      </c>
      <c r="G22609" t="s">
        <v>17088</v>
      </c>
      <c r="H22609" s="21">
        <v>690.67</v>
      </c>
    </row>
    <row r="22610" spans="1:8" customFormat="1" x14ac:dyDescent="0.25">
      <c r="A22610" t="str">
        <f>"2715510"</f>
        <v>2715510</v>
      </c>
      <c r="B22610" t="s">
        <v>1614</v>
      </c>
      <c r="C22610" t="s">
        <v>40</v>
      </c>
      <c r="D22610" s="21" t="s">
        <v>34</v>
      </c>
      <c r="E22610" s="21" t="s">
        <v>71</v>
      </c>
      <c r="F22610">
        <v>9270060</v>
      </c>
      <c r="G22610" t="s">
        <v>1982</v>
      </c>
      <c r="H22610" s="21">
        <v>690.67</v>
      </c>
    </row>
    <row r="22611" spans="1:8" customFormat="1" x14ac:dyDescent="0.25">
      <c r="A22611" t="str">
        <f>"765641"</f>
        <v>765641</v>
      </c>
      <c r="B22611" t="s">
        <v>16112</v>
      </c>
      <c r="C22611" t="s">
        <v>2305</v>
      </c>
      <c r="D22611" s="21" t="s">
        <v>34</v>
      </c>
      <c r="E22611" s="21" t="s">
        <v>1089</v>
      </c>
      <c r="F22611">
        <v>9760039</v>
      </c>
      <c r="G22611" t="s">
        <v>9501</v>
      </c>
      <c r="H22611" s="21">
        <v>690.67</v>
      </c>
    </row>
    <row r="22612" spans="1:8" customFormat="1" x14ac:dyDescent="0.25">
      <c r="A22612" t="str">
        <f>"138826"</f>
        <v>138826</v>
      </c>
      <c r="B22612" t="s">
        <v>18739</v>
      </c>
      <c r="C22612" t="s">
        <v>33</v>
      </c>
      <c r="D22612" s="21" t="s">
        <v>34</v>
      </c>
      <c r="E22612" s="21" t="s">
        <v>35</v>
      </c>
      <c r="F22612">
        <v>13130067</v>
      </c>
      <c r="G22612" t="s">
        <v>1420</v>
      </c>
      <c r="H22612" s="21">
        <v>690.67</v>
      </c>
    </row>
    <row r="22613" spans="1:8" customFormat="1" x14ac:dyDescent="0.25">
      <c r="A22613" t="str">
        <f>"4212889"</f>
        <v>4212889</v>
      </c>
      <c r="B22613" t="s">
        <v>16481</v>
      </c>
      <c r="C22613" t="s">
        <v>3648</v>
      </c>
      <c r="D22613" s="21" t="s">
        <v>34</v>
      </c>
      <c r="E22613" s="21" t="s">
        <v>1089</v>
      </c>
      <c r="F22613">
        <v>1420006</v>
      </c>
      <c r="G22613" t="s">
        <v>6019</v>
      </c>
      <c r="H22613" s="21">
        <v>690.67</v>
      </c>
    </row>
    <row r="22614" spans="1:8" customFormat="1" x14ac:dyDescent="0.25">
      <c r="A22614" t="str">
        <f>"113393"</f>
        <v>113393</v>
      </c>
      <c r="B22614" t="s">
        <v>2946</v>
      </c>
      <c r="C22614" t="s">
        <v>1354</v>
      </c>
      <c r="D22614" s="21" t="s">
        <v>34</v>
      </c>
      <c r="E22614" s="21" t="s">
        <v>35</v>
      </c>
      <c r="F22614">
        <v>11110001</v>
      </c>
      <c r="G22614" t="s">
        <v>11560</v>
      </c>
      <c r="H22614" s="21">
        <v>690.67</v>
      </c>
    </row>
    <row r="22615" spans="1:8" customFormat="1" x14ac:dyDescent="0.25">
      <c r="A22615" t="str">
        <f>"4433540"</f>
        <v>4433540</v>
      </c>
      <c r="B22615" t="s">
        <v>10804</v>
      </c>
      <c r="C22615" t="s">
        <v>598</v>
      </c>
      <c r="D22615" s="21" t="s">
        <v>34</v>
      </c>
      <c r="E22615" s="21" t="s">
        <v>1089</v>
      </c>
      <c r="F22615">
        <v>12440015</v>
      </c>
      <c r="G22615" t="s">
        <v>8421</v>
      </c>
      <c r="H22615" s="21">
        <v>690.67</v>
      </c>
    </row>
    <row r="22616" spans="1:8" customFormat="1" x14ac:dyDescent="0.25">
      <c r="A22616" t="str">
        <f>"5940019"</f>
        <v>5940019</v>
      </c>
      <c r="B22616" t="s">
        <v>17539</v>
      </c>
      <c r="C22616" t="s">
        <v>4842</v>
      </c>
      <c r="D22616" s="21" t="s">
        <v>34</v>
      </c>
      <c r="E22616" s="21" t="s">
        <v>254</v>
      </c>
      <c r="F22616">
        <v>7620149</v>
      </c>
      <c r="G22616" t="s">
        <v>16598</v>
      </c>
      <c r="H22616" s="21">
        <v>690.67</v>
      </c>
    </row>
    <row r="22617" spans="1:8" customFormat="1" x14ac:dyDescent="0.25">
      <c r="A22617" t="str">
        <f>"173985"</f>
        <v>173985</v>
      </c>
      <c r="B22617" t="s">
        <v>2873</v>
      </c>
      <c r="C22617" t="s">
        <v>462</v>
      </c>
      <c r="D22617" s="21" t="s">
        <v>34</v>
      </c>
      <c r="E22617" s="21" t="s">
        <v>71</v>
      </c>
      <c r="F22617">
        <v>10170073</v>
      </c>
      <c r="G22617" t="s">
        <v>9689</v>
      </c>
      <c r="H22617" s="21">
        <v>690.67</v>
      </c>
    </row>
    <row r="22618" spans="1:8" customFormat="1" x14ac:dyDescent="0.25">
      <c r="A22618" t="str">
        <f>"8514331"</f>
        <v>8514331</v>
      </c>
      <c r="B22618" t="s">
        <v>1576</v>
      </c>
      <c r="C22618" t="s">
        <v>1539</v>
      </c>
      <c r="D22618" s="21" t="s">
        <v>34</v>
      </c>
      <c r="E22618" s="21" t="s">
        <v>71</v>
      </c>
      <c r="F22618">
        <v>12850093</v>
      </c>
      <c r="G22618" t="s">
        <v>3371</v>
      </c>
      <c r="H22618" s="21">
        <v>690.67</v>
      </c>
    </row>
    <row r="22619" spans="1:8" customFormat="1" x14ac:dyDescent="0.25">
      <c r="A22619" t="str">
        <f>"5318325"</f>
        <v>5318325</v>
      </c>
      <c r="B22619" t="s">
        <v>16993</v>
      </c>
      <c r="C22619" t="s">
        <v>1605</v>
      </c>
      <c r="D22619" s="21" t="s">
        <v>34</v>
      </c>
      <c r="E22619" s="21" t="s">
        <v>71</v>
      </c>
      <c r="F22619">
        <v>12530090</v>
      </c>
      <c r="G22619" t="s">
        <v>6132</v>
      </c>
      <c r="H22619" s="21">
        <v>690.67</v>
      </c>
    </row>
    <row r="22620" spans="1:8" customFormat="1" x14ac:dyDescent="0.25">
      <c r="A22620" t="str">
        <f>"032073"</f>
        <v>032073</v>
      </c>
      <c r="B22620" t="s">
        <v>517</v>
      </c>
      <c r="C22620" t="s">
        <v>305</v>
      </c>
      <c r="D22620" s="21" t="s">
        <v>34</v>
      </c>
      <c r="E22620" s="21" t="s">
        <v>71</v>
      </c>
      <c r="F22620">
        <v>11300004</v>
      </c>
      <c r="G22620" t="s">
        <v>758</v>
      </c>
      <c r="H22620" s="21">
        <v>690.67</v>
      </c>
    </row>
    <row r="22621" spans="1:8" customFormat="1" x14ac:dyDescent="0.25">
      <c r="A22621" t="str">
        <f>"4923637"</f>
        <v>4923637</v>
      </c>
      <c r="B22621" t="s">
        <v>12645</v>
      </c>
      <c r="C22621" t="s">
        <v>139</v>
      </c>
      <c r="D22621" s="21" t="s">
        <v>34</v>
      </c>
      <c r="E22621" s="21" t="s">
        <v>71</v>
      </c>
      <c r="F22621">
        <v>12490044</v>
      </c>
      <c r="G22621" t="s">
        <v>16825</v>
      </c>
      <c r="H22621" s="21">
        <v>690.67</v>
      </c>
    </row>
    <row r="22622" spans="1:8" customFormat="1" x14ac:dyDescent="0.25">
      <c r="A22622" t="str">
        <f>"533932"</f>
        <v>533932</v>
      </c>
      <c r="B22622" t="s">
        <v>6273</v>
      </c>
      <c r="C22622" t="s">
        <v>40</v>
      </c>
      <c r="D22622" s="21" t="s">
        <v>34</v>
      </c>
      <c r="E22622" s="21" t="s">
        <v>71</v>
      </c>
      <c r="F22622">
        <v>12530011</v>
      </c>
      <c r="G22622" t="s">
        <v>7610</v>
      </c>
      <c r="H22622" s="21">
        <v>690.67</v>
      </c>
    </row>
    <row r="22623" spans="1:8" customFormat="1" x14ac:dyDescent="0.25">
      <c r="A22623" t="str">
        <f>"456096"</f>
        <v>456096</v>
      </c>
      <c r="B22623" t="s">
        <v>18758</v>
      </c>
      <c r="C22623" t="s">
        <v>249</v>
      </c>
      <c r="D22623" s="21" t="s">
        <v>34</v>
      </c>
      <c r="E22623" s="21" t="s">
        <v>71</v>
      </c>
      <c r="F22623">
        <v>8911439</v>
      </c>
      <c r="G22623" t="s">
        <v>3953</v>
      </c>
      <c r="H22623" s="21">
        <v>690.67</v>
      </c>
    </row>
    <row r="22624" spans="1:8" customFormat="1" x14ac:dyDescent="0.25">
      <c r="A22624" t="str">
        <f>"091468"</f>
        <v>091468</v>
      </c>
      <c r="B22624" t="s">
        <v>16309</v>
      </c>
      <c r="C22624" t="s">
        <v>2529</v>
      </c>
      <c r="D22624" s="21" t="s">
        <v>34</v>
      </c>
      <c r="E22624" s="21" t="s">
        <v>254</v>
      </c>
      <c r="F22624">
        <v>11090014</v>
      </c>
      <c r="G22624" t="s">
        <v>9140</v>
      </c>
      <c r="H22624" s="21">
        <v>690.67</v>
      </c>
    </row>
    <row r="22625" spans="1:8" customFormat="1" x14ac:dyDescent="0.25">
      <c r="A22625" t="str">
        <f>"9448068"</f>
        <v>9448068</v>
      </c>
      <c r="B22625" t="s">
        <v>16410</v>
      </c>
      <c r="C22625" t="s">
        <v>486</v>
      </c>
      <c r="D22625" s="21" t="s">
        <v>34</v>
      </c>
      <c r="E22625" s="21" t="s">
        <v>35</v>
      </c>
      <c r="F22625">
        <v>8940976</v>
      </c>
      <c r="G22625" t="s">
        <v>615</v>
      </c>
      <c r="H22625" s="21">
        <v>690.67</v>
      </c>
    </row>
    <row r="22626" spans="1:8" customFormat="1" x14ac:dyDescent="0.25">
      <c r="A22626" t="str">
        <f>"851979"</f>
        <v>851979</v>
      </c>
      <c r="B22626" t="s">
        <v>7910</v>
      </c>
      <c r="C22626" t="s">
        <v>1110</v>
      </c>
      <c r="D22626" s="21" t="s">
        <v>34</v>
      </c>
      <c r="E22626" s="21" t="s">
        <v>254</v>
      </c>
      <c r="F22626">
        <v>12850091</v>
      </c>
      <c r="G22626" t="s">
        <v>4233</v>
      </c>
      <c r="H22626" s="21">
        <v>690.67</v>
      </c>
    </row>
    <row r="22627" spans="1:8" customFormat="1" x14ac:dyDescent="0.25">
      <c r="A22627" t="str">
        <f>"614718"</f>
        <v>614718</v>
      </c>
      <c r="B22627" t="s">
        <v>17123</v>
      </c>
      <c r="C22627" t="s">
        <v>87</v>
      </c>
      <c r="D22627" s="21" t="s">
        <v>34</v>
      </c>
      <c r="E22627" s="21" t="s">
        <v>35</v>
      </c>
      <c r="F22627">
        <v>9610115</v>
      </c>
      <c r="G22627" t="s">
        <v>17938</v>
      </c>
      <c r="H22627" s="21">
        <v>690.67</v>
      </c>
    </row>
    <row r="22628" spans="1:8" customFormat="1" x14ac:dyDescent="0.25">
      <c r="A22628" t="str">
        <f>"288127"</f>
        <v>288127</v>
      </c>
      <c r="B22628" t="s">
        <v>14900</v>
      </c>
      <c r="C22628" t="s">
        <v>462</v>
      </c>
      <c r="D22628" s="21" t="s">
        <v>34</v>
      </c>
      <c r="E22628" s="21" t="s">
        <v>35</v>
      </c>
      <c r="F22628">
        <v>4280529</v>
      </c>
      <c r="G22628" t="s">
        <v>2970</v>
      </c>
      <c r="H22628" s="21">
        <v>690.67</v>
      </c>
    </row>
    <row r="22629" spans="1:8" customFormat="1" x14ac:dyDescent="0.25">
      <c r="A22629" t="str">
        <f>"3715058"</f>
        <v>3715058</v>
      </c>
      <c r="B22629" t="s">
        <v>5136</v>
      </c>
      <c r="C22629" t="s">
        <v>750</v>
      </c>
      <c r="D22629" s="21" t="s">
        <v>34</v>
      </c>
      <c r="E22629" s="21" t="s">
        <v>254</v>
      </c>
      <c r="F22629">
        <v>4370498</v>
      </c>
      <c r="G22629" t="s">
        <v>10872</v>
      </c>
      <c r="H22629" s="21">
        <v>690.67</v>
      </c>
    </row>
    <row r="22630" spans="1:8" customFormat="1" x14ac:dyDescent="0.25">
      <c r="A22630" t="str">
        <f>"7874993"</f>
        <v>7874993</v>
      </c>
      <c r="B22630" t="s">
        <v>27701</v>
      </c>
      <c r="C22630" t="s">
        <v>484</v>
      </c>
      <c r="D22630" s="21" t="s">
        <v>34</v>
      </c>
      <c r="E22630" s="21" t="s">
        <v>35</v>
      </c>
      <c r="F22630">
        <v>8780447</v>
      </c>
      <c r="G22630" t="s">
        <v>9215</v>
      </c>
      <c r="H22630" s="21">
        <v>690.54</v>
      </c>
    </row>
    <row r="22631" spans="1:8" customFormat="1" x14ac:dyDescent="0.25">
      <c r="A22631" t="str">
        <f>"5315440"</f>
        <v>5315440</v>
      </c>
      <c r="B22631" t="s">
        <v>18169</v>
      </c>
      <c r="C22631" t="s">
        <v>249</v>
      </c>
      <c r="D22631" s="21" t="s">
        <v>34</v>
      </c>
      <c r="E22631" s="21" t="s">
        <v>254</v>
      </c>
      <c r="F22631">
        <v>2580078</v>
      </c>
      <c r="G22631" t="s">
        <v>4432</v>
      </c>
      <c r="H22631" s="21">
        <v>690.54</v>
      </c>
    </row>
    <row r="22632" spans="1:8" customFormat="1" x14ac:dyDescent="0.25">
      <c r="A22632" t="str">
        <f>"014301"</f>
        <v>014301</v>
      </c>
      <c r="B22632" t="s">
        <v>17189</v>
      </c>
      <c r="C22632" t="s">
        <v>926</v>
      </c>
      <c r="D22632" s="21" t="s">
        <v>34</v>
      </c>
      <c r="E22632" s="21" t="s">
        <v>254</v>
      </c>
      <c r="F22632">
        <v>1010061</v>
      </c>
      <c r="G22632" t="s">
        <v>9290</v>
      </c>
      <c r="H22632" s="21">
        <v>690.42</v>
      </c>
    </row>
    <row r="22633" spans="1:8" customFormat="1" x14ac:dyDescent="0.25">
      <c r="A22633" t="str">
        <f>"0619063"</f>
        <v>0619063</v>
      </c>
      <c r="B22633" t="s">
        <v>11865</v>
      </c>
      <c r="C22633" t="s">
        <v>169</v>
      </c>
      <c r="D22633" s="21" t="s">
        <v>34</v>
      </c>
      <c r="E22633" s="21" t="s">
        <v>71</v>
      </c>
      <c r="F22633">
        <v>13060007</v>
      </c>
      <c r="G22633" t="s">
        <v>59</v>
      </c>
      <c r="H22633" s="21">
        <v>690.42</v>
      </c>
    </row>
    <row r="22634" spans="1:8" customFormat="1" x14ac:dyDescent="0.25">
      <c r="A22634" t="str">
        <f>"0811710"</f>
        <v>0811710</v>
      </c>
      <c r="B22634" t="s">
        <v>20095</v>
      </c>
      <c r="C22634" t="s">
        <v>3456</v>
      </c>
      <c r="D22634" s="21" t="s">
        <v>34</v>
      </c>
      <c r="E22634" s="21" t="s">
        <v>71</v>
      </c>
      <c r="F22634">
        <v>6080074</v>
      </c>
      <c r="G22634" t="s">
        <v>13069</v>
      </c>
      <c r="H22634" s="21">
        <v>690.42</v>
      </c>
    </row>
    <row r="22635" spans="1:8" customFormat="1" x14ac:dyDescent="0.25">
      <c r="A22635" t="str">
        <f>"5938813"</f>
        <v>5938813</v>
      </c>
      <c r="B22635" t="s">
        <v>20556</v>
      </c>
      <c r="C22635" t="s">
        <v>1605</v>
      </c>
      <c r="D22635" s="21" t="s">
        <v>34</v>
      </c>
      <c r="E22635" s="21" t="s">
        <v>254</v>
      </c>
      <c r="F22635">
        <v>10860038</v>
      </c>
      <c r="G22635" t="s">
        <v>8925</v>
      </c>
      <c r="H22635" s="21">
        <v>690.42</v>
      </c>
    </row>
    <row r="22636" spans="1:8" customFormat="1" x14ac:dyDescent="0.25">
      <c r="A22636" t="str">
        <f>"8016175"</f>
        <v>8016175</v>
      </c>
      <c r="B22636" t="s">
        <v>17380</v>
      </c>
      <c r="C22636" t="s">
        <v>40</v>
      </c>
      <c r="D22636" s="21" t="s">
        <v>34</v>
      </c>
      <c r="E22636" s="21" t="s">
        <v>71</v>
      </c>
      <c r="F22636">
        <v>7800067</v>
      </c>
      <c r="G22636" t="s">
        <v>16355</v>
      </c>
      <c r="H22636" s="21">
        <v>690.17</v>
      </c>
    </row>
    <row r="22637" spans="1:8" customFormat="1" x14ac:dyDescent="0.25">
      <c r="A22637" t="str">
        <f>"9525188"</f>
        <v>9525188</v>
      </c>
      <c r="B22637" t="s">
        <v>17690</v>
      </c>
      <c r="C22637" t="s">
        <v>55</v>
      </c>
      <c r="D22637" s="21" t="s">
        <v>34</v>
      </c>
      <c r="E22637" s="21" t="s">
        <v>71</v>
      </c>
      <c r="F22637">
        <v>8951092</v>
      </c>
      <c r="G22637" t="s">
        <v>5801</v>
      </c>
      <c r="H22637" s="21">
        <v>690.17</v>
      </c>
    </row>
    <row r="22638" spans="1:8" customFormat="1" x14ac:dyDescent="0.25">
      <c r="A22638" t="str">
        <f>"6019003"</f>
        <v>6019003</v>
      </c>
      <c r="B22638" t="s">
        <v>19193</v>
      </c>
      <c r="C22638" t="s">
        <v>2546</v>
      </c>
      <c r="D22638" s="21" t="s">
        <v>34</v>
      </c>
      <c r="E22638" s="21" t="s">
        <v>254</v>
      </c>
      <c r="F22638">
        <v>7800108</v>
      </c>
      <c r="G22638" t="s">
        <v>13093</v>
      </c>
      <c r="H22638" s="21">
        <v>690.17</v>
      </c>
    </row>
    <row r="22639" spans="1:8" customFormat="1" x14ac:dyDescent="0.25">
      <c r="A22639" t="str">
        <f>"0612840"</f>
        <v>0612840</v>
      </c>
      <c r="B22639" t="s">
        <v>18229</v>
      </c>
      <c r="C22639" t="s">
        <v>33</v>
      </c>
      <c r="D22639" s="21" t="s">
        <v>34</v>
      </c>
      <c r="E22639" s="21" t="s">
        <v>35</v>
      </c>
      <c r="F22639">
        <v>13060008</v>
      </c>
      <c r="G22639" t="s">
        <v>36</v>
      </c>
      <c r="H22639" s="21">
        <v>690.17</v>
      </c>
    </row>
    <row r="22640" spans="1:8" customFormat="1" x14ac:dyDescent="0.25">
      <c r="A22640" t="str">
        <f>"1612562"</f>
        <v>1612562</v>
      </c>
      <c r="B22640" t="s">
        <v>5749</v>
      </c>
      <c r="C22640" t="s">
        <v>209</v>
      </c>
      <c r="D22640" s="21" t="s">
        <v>34</v>
      </c>
      <c r="E22640" s="21" t="s">
        <v>71</v>
      </c>
      <c r="F22640">
        <v>10160223</v>
      </c>
      <c r="G22640" t="s">
        <v>5750</v>
      </c>
      <c r="H22640" s="21">
        <v>690.17</v>
      </c>
    </row>
    <row r="22641" spans="1:8" customFormat="1" x14ac:dyDescent="0.25">
      <c r="A22641" t="str">
        <f>"598277"</f>
        <v>598277</v>
      </c>
      <c r="B22641" t="s">
        <v>6455</v>
      </c>
      <c r="C22641" t="s">
        <v>1812</v>
      </c>
      <c r="D22641" s="21" t="s">
        <v>34</v>
      </c>
      <c r="E22641" s="21" t="s">
        <v>254</v>
      </c>
      <c r="F22641">
        <v>7590114</v>
      </c>
      <c r="G22641" t="s">
        <v>6332</v>
      </c>
      <c r="H22641" s="21">
        <v>690.17</v>
      </c>
    </row>
    <row r="22642" spans="1:8" customFormat="1" x14ac:dyDescent="0.25">
      <c r="A22642" t="str">
        <f>"7721080"</f>
        <v>7721080</v>
      </c>
      <c r="B22642" t="s">
        <v>18189</v>
      </c>
      <c r="C22642" t="s">
        <v>3807</v>
      </c>
      <c r="D22642" s="21" t="s">
        <v>34</v>
      </c>
      <c r="E22642" s="21" t="s">
        <v>71</v>
      </c>
      <c r="F22642">
        <v>8771236</v>
      </c>
      <c r="G22642" t="s">
        <v>386</v>
      </c>
      <c r="H22642" s="21">
        <v>690.17</v>
      </c>
    </row>
    <row r="22643" spans="1:8" customFormat="1" x14ac:dyDescent="0.25">
      <c r="A22643" t="str">
        <f>"3111500"</f>
        <v>3111500</v>
      </c>
      <c r="B22643" t="s">
        <v>17050</v>
      </c>
      <c r="C22643" t="s">
        <v>40</v>
      </c>
      <c r="D22643" s="21" t="s">
        <v>34</v>
      </c>
      <c r="E22643" s="21" t="s">
        <v>35</v>
      </c>
      <c r="F22643">
        <v>11310005</v>
      </c>
      <c r="G22643" t="s">
        <v>6980</v>
      </c>
      <c r="H22643" s="21">
        <v>690.17</v>
      </c>
    </row>
    <row r="22644" spans="1:8" customFormat="1" x14ac:dyDescent="0.25">
      <c r="A22644" t="str">
        <f>"4125"</f>
        <v>4125</v>
      </c>
      <c r="B22644" t="s">
        <v>11150</v>
      </c>
      <c r="C22644" t="s">
        <v>209</v>
      </c>
      <c r="D22644" s="21" t="s">
        <v>34</v>
      </c>
      <c r="E22644" s="21" t="s">
        <v>71</v>
      </c>
      <c r="F22644">
        <v>4410612</v>
      </c>
      <c r="G22644" t="s">
        <v>815</v>
      </c>
      <c r="H22644" s="21">
        <v>690.17</v>
      </c>
    </row>
    <row r="22645" spans="1:8" customFormat="1" x14ac:dyDescent="0.25">
      <c r="A22645" t="str">
        <f>"72292"</f>
        <v>72292</v>
      </c>
      <c r="B22645" t="s">
        <v>4579</v>
      </c>
      <c r="C22645" t="s">
        <v>40</v>
      </c>
      <c r="D22645" s="21" t="s">
        <v>34</v>
      </c>
      <c r="E22645" s="21" t="s">
        <v>1089</v>
      </c>
      <c r="F22645">
        <v>9500063</v>
      </c>
      <c r="G22645" t="s">
        <v>4114</v>
      </c>
      <c r="H22645" s="21">
        <v>690.17</v>
      </c>
    </row>
    <row r="22646" spans="1:8" customFormat="1" x14ac:dyDescent="0.25">
      <c r="A22646" t="str">
        <f>"385875"</f>
        <v>385875</v>
      </c>
      <c r="B22646" t="s">
        <v>17342</v>
      </c>
      <c r="C22646" t="s">
        <v>598</v>
      </c>
      <c r="D22646" s="21" t="s">
        <v>34</v>
      </c>
      <c r="E22646" s="21" t="s">
        <v>71</v>
      </c>
      <c r="F22646">
        <v>1380290</v>
      </c>
      <c r="G22646" t="s">
        <v>619</v>
      </c>
      <c r="H22646" s="21">
        <v>690.17</v>
      </c>
    </row>
    <row r="22647" spans="1:8" customFormat="1" x14ac:dyDescent="0.25">
      <c r="A22647" t="str">
        <f>"185617"</f>
        <v>185617</v>
      </c>
      <c r="B22647" t="s">
        <v>20260</v>
      </c>
      <c r="C22647" t="s">
        <v>17267</v>
      </c>
      <c r="D22647" s="21" t="s">
        <v>34</v>
      </c>
      <c r="E22647" s="21" t="s">
        <v>35</v>
      </c>
      <c r="F22647">
        <v>12851011</v>
      </c>
      <c r="G22647" t="s">
        <v>1445</v>
      </c>
      <c r="H22647" s="21">
        <v>690.04</v>
      </c>
    </row>
    <row r="22648" spans="1:8" customFormat="1" x14ac:dyDescent="0.25">
      <c r="A22648" t="str">
        <f>"9138516"</f>
        <v>9138516</v>
      </c>
      <c r="B22648" t="s">
        <v>18854</v>
      </c>
      <c r="C22648" t="s">
        <v>3456</v>
      </c>
      <c r="D22648" s="21" t="s">
        <v>34</v>
      </c>
      <c r="E22648" s="21" t="s">
        <v>35</v>
      </c>
      <c r="F22648">
        <v>8910642</v>
      </c>
      <c r="G22648" t="s">
        <v>27027</v>
      </c>
      <c r="H22648" s="21">
        <v>690.04</v>
      </c>
    </row>
    <row r="22649" spans="1:8" customFormat="1" x14ac:dyDescent="0.25">
      <c r="A22649" t="str">
        <f>"9443441"</f>
        <v>9443441</v>
      </c>
      <c r="B22649" t="s">
        <v>13627</v>
      </c>
      <c r="C22649" t="s">
        <v>16834</v>
      </c>
      <c r="D22649" s="21" t="s">
        <v>34</v>
      </c>
      <c r="E22649" s="21" t="s">
        <v>71</v>
      </c>
      <c r="F22649">
        <v>8940482</v>
      </c>
      <c r="G22649" t="s">
        <v>2560</v>
      </c>
      <c r="H22649" s="21">
        <v>690.04</v>
      </c>
    </row>
    <row r="22650" spans="1:8" customFormat="1" x14ac:dyDescent="0.25">
      <c r="A22650" t="str">
        <f>"4918370"</f>
        <v>4918370</v>
      </c>
      <c r="B22650" t="s">
        <v>5066</v>
      </c>
      <c r="C22650" t="s">
        <v>598</v>
      </c>
      <c r="D22650" s="21" t="s">
        <v>34</v>
      </c>
      <c r="E22650" s="21" t="s">
        <v>71</v>
      </c>
      <c r="F22650">
        <v>12490021</v>
      </c>
      <c r="G22650" t="s">
        <v>4592</v>
      </c>
      <c r="H22650" s="21">
        <v>689.92</v>
      </c>
    </row>
    <row r="22651" spans="1:8" customFormat="1" x14ac:dyDescent="0.25">
      <c r="A22651" t="str">
        <f>"9B931"</f>
        <v>9B931</v>
      </c>
      <c r="B22651" t="s">
        <v>20695</v>
      </c>
      <c r="C22651" t="s">
        <v>60</v>
      </c>
      <c r="D22651" s="21" t="s">
        <v>34</v>
      </c>
      <c r="E22651" s="21" t="s">
        <v>35</v>
      </c>
      <c r="F22651" t="s">
        <v>17651</v>
      </c>
      <c r="G22651" t="s">
        <v>17652</v>
      </c>
      <c r="H22651" s="21">
        <v>689.92</v>
      </c>
    </row>
    <row r="22652" spans="1:8" customFormat="1" x14ac:dyDescent="0.25">
      <c r="A22652" t="str">
        <f>"4520295"</f>
        <v>4520295</v>
      </c>
      <c r="B22652" t="s">
        <v>17973</v>
      </c>
      <c r="C22652" t="s">
        <v>2520</v>
      </c>
      <c r="D22652" s="21" t="s">
        <v>34</v>
      </c>
      <c r="E22652" s="21" t="s">
        <v>71</v>
      </c>
      <c r="F22652">
        <v>4450573</v>
      </c>
      <c r="G22652" t="s">
        <v>4106</v>
      </c>
      <c r="H22652" s="21">
        <v>689.92</v>
      </c>
    </row>
    <row r="22653" spans="1:8" customFormat="1" x14ac:dyDescent="0.25">
      <c r="A22653" t="str">
        <f>"7871915"</f>
        <v>7871915</v>
      </c>
      <c r="B22653" t="s">
        <v>1012</v>
      </c>
      <c r="C22653" t="s">
        <v>130</v>
      </c>
      <c r="D22653" s="21" t="s">
        <v>34</v>
      </c>
      <c r="E22653" s="21" t="s">
        <v>71</v>
      </c>
      <c r="F22653">
        <v>8780627</v>
      </c>
      <c r="G22653" t="s">
        <v>6097</v>
      </c>
      <c r="H22653" s="21">
        <v>689.79</v>
      </c>
    </row>
    <row r="22654" spans="1:8" customFormat="1" x14ac:dyDescent="0.25">
      <c r="A22654" t="str">
        <f>"5616457"</f>
        <v>5616457</v>
      </c>
      <c r="B22654" t="s">
        <v>5380</v>
      </c>
      <c r="C22654" t="s">
        <v>1705</v>
      </c>
      <c r="D22654" s="21" t="s">
        <v>34</v>
      </c>
      <c r="E22654" s="21" t="s">
        <v>1089</v>
      </c>
      <c r="F22654">
        <v>3560039</v>
      </c>
      <c r="G22654" t="s">
        <v>167</v>
      </c>
      <c r="H22654" s="21">
        <v>689.67</v>
      </c>
    </row>
    <row r="22655" spans="1:8" customFormat="1" x14ac:dyDescent="0.25">
      <c r="A22655" t="str">
        <f>"443039"</f>
        <v>443039</v>
      </c>
      <c r="B22655" t="s">
        <v>12389</v>
      </c>
      <c r="C22655" t="s">
        <v>124</v>
      </c>
      <c r="D22655" s="21" t="s">
        <v>34</v>
      </c>
      <c r="E22655" s="21" t="s">
        <v>71</v>
      </c>
      <c r="F22655">
        <v>12440101</v>
      </c>
      <c r="G22655" t="s">
        <v>3482</v>
      </c>
      <c r="H22655" s="21">
        <v>689.67</v>
      </c>
    </row>
    <row r="22656" spans="1:8" customFormat="1" x14ac:dyDescent="0.25">
      <c r="A22656" t="str">
        <f>"5944750"</f>
        <v>5944750</v>
      </c>
      <c r="B22656" t="s">
        <v>27702</v>
      </c>
      <c r="C22656" t="s">
        <v>209</v>
      </c>
      <c r="D22656" s="21" t="s">
        <v>34</v>
      </c>
      <c r="E22656" s="21" t="s">
        <v>35</v>
      </c>
      <c r="F22656">
        <v>7590006</v>
      </c>
      <c r="G22656" t="s">
        <v>4165</v>
      </c>
      <c r="H22656" s="21">
        <v>689.67</v>
      </c>
    </row>
    <row r="22657" spans="1:8" customFormat="1" x14ac:dyDescent="0.25">
      <c r="A22657" t="str">
        <f>"691644"</f>
        <v>691644</v>
      </c>
      <c r="B22657" t="s">
        <v>17047</v>
      </c>
      <c r="C22657" t="s">
        <v>253</v>
      </c>
      <c r="D22657" s="21" t="s">
        <v>34</v>
      </c>
      <c r="E22657" s="21" t="s">
        <v>254</v>
      </c>
      <c r="F22657">
        <v>1690167</v>
      </c>
      <c r="G22657" t="s">
        <v>11267</v>
      </c>
      <c r="H22657" s="21">
        <v>689.67</v>
      </c>
    </row>
    <row r="22658" spans="1:8" customFormat="1" x14ac:dyDescent="0.25">
      <c r="A22658" t="str">
        <f>"851818"</f>
        <v>851818</v>
      </c>
      <c r="B22658" t="s">
        <v>17103</v>
      </c>
      <c r="C22658" t="s">
        <v>249</v>
      </c>
      <c r="D22658" s="21" t="s">
        <v>34</v>
      </c>
      <c r="E22658" s="21" t="s">
        <v>71</v>
      </c>
      <c r="F22658">
        <v>12850069</v>
      </c>
      <c r="G22658" t="s">
        <v>2154</v>
      </c>
      <c r="H22658" s="21">
        <v>689.67</v>
      </c>
    </row>
    <row r="22659" spans="1:8" customFormat="1" x14ac:dyDescent="0.25">
      <c r="A22659" t="str">
        <f>"5717351"</f>
        <v>5717351</v>
      </c>
      <c r="B22659" t="s">
        <v>17099</v>
      </c>
      <c r="C22659" t="s">
        <v>3010</v>
      </c>
      <c r="D22659" s="21" t="s">
        <v>34</v>
      </c>
      <c r="E22659" s="21" t="s">
        <v>71</v>
      </c>
      <c r="F22659">
        <v>6570019</v>
      </c>
      <c r="G22659" t="s">
        <v>1510</v>
      </c>
      <c r="H22659" s="21">
        <v>689.67</v>
      </c>
    </row>
    <row r="22660" spans="1:8" customFormat="1" x14ac:dyDescent="0.25">
      <c r="A22660" t="str">
        <f>"10843"</f>
        <v>10843</v>
      </c>
      <c r="B22660" t="s">
        <v>4278</v>
      </c>
      <c r="C22660" t="s">
        <v>1914</v>
      </c>
      <c r="D22660" s="21" t="s">
        <v>34</v>
      </c>
      <c r="E22660" s="21" t="s">
        <v>254</v>
      </c>
      <c r="F22660">
        <v>6100007</v>
      </c>
      <c r="G22660" t="s">
        <v>9706</v>
      </c>
      <c r="H22660" s="21">
        <v>689.67</v>
      </c>
    </row>
    <row r="22661" spans="1:8" customFormat="1" x14ac:dyDescent="0.25">
      <c r="A22661" t="str">
        <f>"7834013"</f>
        <v>7834013</v>
      </c>
      <c r="B22661" t="s">
        <v>17631</v>
      </c>
      <c r="C22661" t="s">
        <v>209</v>
      </c>
      <c r="D22661" s="21" t="s">
        <v>34</v>
      </c>
      <c r="E22661" s="21" t="s">
        <v>35</v>
      </c>
      <c r="F22661">
        <v>8781006</v>
      </c>
      <c r="G22661" t="s">
        <v>5376</v>
      </c>
      <c r="H22661" s="21">
        <v>689.67</v>
      </c>
    </row>
    <row r="22662" spans="1:8" customFormat="1" x14ac:dyDescent="0.25">
      <c r="A22662" t="str">
        <f>"317641"</f>
        <v>317641</v>
      </c>
      <c r="B22662" t="s">
        <v>17770</v>
      </c>
      <c r="C22662" t="s">
        <v>198</v>
      </c>
      <c r="D22662" s="21" t="s">
        <v>34</v>
      </c>
      <c r="E22662" s="21" t="s">
        <v>71</v>
      </c>
      <c r="F22662">
        <v>11310070</v>
      </c>
      <c r="G22662" t="s">
        <v>11563</v>
      </c>
      <c r="H22662" s="21">
        <v>689.67</v>
      </c>
    </row>
    <row r="22663" spans="1:8" customFormat="1" x14ac:dyDescent="0.25">
      <c r="A22663" t="str">
        <f>"5326369"</f>
        <v>5326369</v>
      </c>
      <c r="B22663" t="s">
        <v>19224</v>
      </c>
      <c r="C22663" t="s">
        <v>4222</v>
      </c>
      <c r="D22663" s="21" t="s">
        <v>34</v>
      </c>
      <c r="E22663" s="21" t="s">
        <v>254</v>
      </c>
      <c r="F22663">
        <v>12530016</v>
      </c>
      <c r="G22663" t="s">
        <v>2069</v>
      </c>
      <c r="H22663" s="21">
        <v>689.67</v>
      </c>
    </row>
    <row r="22664" spans="1:8" customFormat="1" x14ac:dyDescent="0.25">
      <c r="A22664" t="str">
        <f>"324141"</f>
        <v>324141</v>
      </c>
      <c r="B22664" t="s">
        <v>17812</v>
      </c>
      <c r="C22664" t="s">
        <v>967</v>
      </c>
      <c r="D22664" s="21" t="s">
        <v>34</v>
      </c>
      <c r="E22664" s="21" t="s">
        <v>35</v>
      </c>
      <c r="F22664">
        <v>11320040</v>
      </c>
      <c r="G22664" t="s">
        <v>14128</v>
      </c>
      <c r="H22664" s="21">
        <v>689.67</v>
      </c>
    </row>
    <row r="22665" spans="1:8" customFormat="1" x14ac:dyDescent="0.25">
      <c r="A22665" t="str">
        <f>"9138511"</f>
        <v>9138511</v>
      </c>
      <c r="B22665" t="s">
        <v>18180</v>
      </c>
      <c r="C22665" t="s">
        <v>1812</v>
      </c>
      <c r="D22665" s="21" t="s">
        <v>34</v>
      </c>
      <c r="E22665" s="21" t="s">
        <v>71</v>
      </c>
      <c r="F22665">
        <v>8911161</v>
      </c>
      <c r="G22665" t="s">
        <v>599</v>
      </c>
      <c r="H22665" s="21">
        <v>689.67</v>
      </c>
    </row>
    <row r="22666" spans="1:8" customFormat="1" x14ac:dyDescent="0.25">
      <c r="A22666" t="str">
        <f>"2511444"</f>
        <v>2511444</v>
      </c>
      <c r="B22666" t="s">
        <v>10926</v>
      </c>
      <c r="C22666" t="s">
        <v>98</v>
      </c>
      <c r="D22666" s="21" t="s">
        <v>34</v>
      </c>
      <c r="E22666" s="21" t="s">
        <v>35</v>
      </c>
      <c r="F22666">
        <v>2250208</v>
      </c>
      <c r="G22666" t="s">
        <v>10923</v>
      </c>
      <c r="H22666" s="21">
        <v>689.67</v>
      </c>
    </row>
    <row r="22667" spans="1:8" customFormat="1" x14ac:dyDescent="0.25">
      <c r="A22667" t="str">
        <f>"9111354"</f>
        <v>9111354</v>
      </c>
      <c r="B22667" t="s">
        <v>16816</v>
      </c>
      <c r="C22667" t="s">
        <v>3648</v>
      </c>
      <c r="D22667" s="21" t="s">
        <v>34</v>
      </c>
      <c r="E22667" s="21" t="s">
        <v>6185</v>
      </c>
      <c r="F22667">
        <v>8910652</v>
      </c>
      <c r="G22667" t="s">
        <v>6533</v>
      </c>
      <c r="H22667" s="21">
        <v>689.67</v>
      </c>
    </row>
    <row r="22668" spans="1:8" customFormat="1" x14ac:dyDescent="0.25">
      <c r="A22668" t="str">
        <f>"4443285"</f>
        <v>4443285</v>
      </c>
      <c r="B22668" t="s">
        <v>17675</v>
      </c>
      <c r="C22668" t="s">
        <v>5578</v>
      </c>
      <c r="D22668" s="21" t="s">
        <v>34</v>
      </c>
      <c r="E22668" s="21" t="s">
        <v>35</v>
      </c>
      <c r="F22668">
        <v>12440104</v>
      </c>
      <c r="G22668" t="s">
        <v>5862</v>
      </c>
      <c r="H22668" s="21">
        <v>689.67</v>
      </c>
    </row>
    <row r="22669" spans="1:8" customFormat="1" x14ac:dyDescent="0.25">
      <c r="A22669" t="str">
        <f>"7837508"</f>
        <v>7837508</v>
      </c>
      <c r="B22669" t="s">
        <v>17621</v>
      </c>
      <c r="C22669" t="s">
        <v>498</v>
      </c>
      <c r="D22669" s="21" t="s">
        <v>34</v>
      </c>
      <c r="E22669" s="21" t="s">
        <v>254</v>
      </c>
      <c r="F22669">
        <v>8780585</v>
      </c>
      <c r="G22669" t="s">
        <v>4630</v>
      </c>
      <c r="H22669" s="21">
        <v>689.67</v>
      </c>
    </row>
    <row r="22670" spans="1:8" customFormat="1" x14ac:dyDescent="0.25">
      <c r="A22670" t="str">
        <f>"5620925"</f>
        <v>5620925</v>
      </c>
      <c r="B22670" t="s">
        <v>19317</v>
      </c>
      <c r="C22670" t="s">
        <v>55</v>
      </c>
      <c r="D22670" s="21" t="s">
        <v>34</v>
      </c>
      <c r="E22670" s="21" t="s">
        <v>35</v>
      </c>
      <c r="F22670">
        <v>3560037</v>
      </c>
      <c r="G22670" t="s">
        <v>10491</v>
      </c>
      <c r="H22670" s="21">
        <v>689.42</v>
      </c>
    </row>
    <row r="22671" spans="1:8" customFormat="1" x14ac:dyDescent="0.25">
      <c r="A22671" t="str">
        <f>"165734"</f>
        <v>165734</v>
      </c>
      <c r="B22671" t="s">
        <v>16045</v>
      </c>
      <c r="C22671" t="s">
        <v>1110</v>
      </c>
      <c r="D22671" s="21" t="s">
        <v>34</v>
      </c>
      <c r="E22671" s="21" t="s">
        <v>254</v>
      </c>
      <c r="F22671">
        <v>10160049</v>
      </c>
      <c r="G22671" t="s">
        <v>12117</v>
      </c>
      <c r="H22671" s="21">
        <v>689.42</v>
      </c>
    </row>
    <row r="22672" spans="1:8" customFormat="1" x14ac:dyDescent="0.25">
      <c r="A22672" t="str">
        <f>"219351"</f>
        <v>219351</v>
      </c>
      <c r="B22672" t="s">
        <v>17341</v>
      </c>
      <c r="C22672" t="s">
        <v>462</v>
      </c>
      <c r="D22672" s="21" t="s">
        <v>34</v>
      </c>
      <c r="E22672" s="21" t="s">
        <v>71</v>
      </c>
      <c r="F22672">
        <v>2210126</v>
      </c>
      <c r="G22672" t="s">
        <v>10773</v>
      </c>
      <c r="H22672" s="21">
        <v>689.42</v>
      </c>
    </row>
    <row r="22673" spans="1:8" customFormat="1" x14ac:dyDescent="0.25">
      <c r="A22673" t="str">
        <f>"724608"</f>
        <v>724608</v>
      </c>
      <c r="B22673" t="s">
        <v>18865</v>
      </c>
      <c r="C22673" t="s">
        <v>379</v>
      </c>
      <c r="D22673" s="21" t="s">
        <v>34</v>
      </c>
      <c r="E22673" s="21" t="s">
        <v>1089</v>
      </c>
      <c r="F22673">
        <v>12720005</v>
      </c>
      <c r="G22673" t="s">
        <v>999</v>
      </c>
      <c r="H22673" s="21">
        <v>689.42</v>
      </c>
    </row>
    <row r="22674" spans="1:8" customFormat="1" x14ac:dyDescent="0.25">
      <c r="A22674" t="str">
        <f>"4412289"</f>
        <v>4412289</v>
      </c>
      <c r="B22674" t="s">
        <v>2711</v>
      </c>
      <c r="C22674" t="s">
        <v>239</v>
      </c>
      <c r="D22674" s="21" t="s">
        <v>34</v>
      </c>
      <c r="E22674" s="21" t="s">
        <v>1089</v>
      </c>
      <c r="F22674">
        <v>12440017</v>
      </c>
      <c r="G22674" t="s">
        <v>7683</v>
      </c>
      <c r="H22674" s="21">
        <v>689.42</v>
      </c>
    </row>
    <row r="22675" spans="1:8" customFormat="1" x14ac:dyDescent="0.25">
      <c r="A22675" t="str">
        <f>"1714284"</f>
        <v>1714284</v>
      </c>
      <c r="B22675" t="s">
        <v>13160</v>
      </c>
      <c r="C22675" t="s">
        <v>236</v>
      </c>
      <c r="D22675" s="21" t="s">
        <v>34</v>
      </c>
      <c r="E22675" s="21" t="s">
        <v>71</v>
      </c>
      <c r="F22675">
        <v>10170051</v>
      </c>
      <c r="G22675" t="s">
        <v>826</v>
      </c>
      <c r="H22675" s="21">
        <v>689.17</v>
      </c>
    </row>
    <row r="22676" spans="1:8" customFormat="1" x14ac:dyDescent="0.25">
      <c r="A22676" t="str">
        <f>"2937640"</f>
        <v>2937640</v>
      </c>
      <c r="B22676" t="s">
        <v>15588</v>
      </c>
      <c r="C22676" t="s">
        <v>1705</v>
      </c>
      <c r="D22676" s="21" t="s">
        <v>34</v>
      </c>
      <c r="E22676" s="21" t="s">
        <v>71</v>
      </c>
      <c r="F22676">
        <v>3290081</v>
      </c>
      <c r="G22676" t="s">
        <v>3819</v>
      </c>
      <c r="H22676" s="21">
        <v>689.17</v>
      </c>
    </row>
    <row r="22677" spans="1:8" customFormat="1" x14ac:dyDescent="0.25">
      <c r="A22677" t="str">
        <f>"865118"</f>
        <v>865118</v>
      </c>
      <c r="B22677" t="s">
        <v>18194</v>
      </c>
      <c r="C22677" t="s">
        <v>233</v>
      </c>
      <c r="D22677" s="21" t="s">
        <v>34</v>
      </c>
      <c r="E22677" s="21" t="s">
        <v>71</v>
      </c>
      <c r="F22677">
        <v>10860017</v>
      </c>
      <c r="G22677" t="s">
        <v>2439</v>
      </c>
      <c r="H22677" s="21">
        <v>689.17</v>
      </c>
    </row>
    <row r="22678" spans="1:8" customFormat="1" x14ac:dyDescent="0.25">
      <c r="A22678" t="str">
        <f>"651401"</f>
        <v>651401</v>
      </c>
      <c r="B22678" t="s">
        <v>16434</v>
      </c>
      <c r="C22678" t="s">
        <v>1142</v>
      </c>
      <c r="D22678" s="21" t="s">
        <v>34</v>
      </c>
      <c r="E22678" s="21" t="s">
        <v>1089</v>
      </c>
      <c r="F22678">
        <v>11650014</v>
      </c>
      <c r="G22678" t="s">
        <v>9313</v>
      </c>
      <c r="H22678" s="21">
        <v>689.17</v>
      </c>
    </row>
    <row r="22679" spans="1:8" customFormat="1" x14ac:dyDescent="0.25">
      <c r="A22679" t="str">
        <f>"3513324"</f>
        <v>3513324</v>
      </c>
      <c r="B22679" t="s">
        <v>17490</v>
      </c>
      <c r="C22679" t="s">
        <v>3010</v>
      </c>
      <c r="D22679" s="21" t="s">
        <v>34</v>
      </c>
      <c r="E22679" s="21" t="s">
        <v>1089</v>
      </c>
      <c r="F22679">
        <v>3350066</v>
      </c>
      <c r="G22679" t="s">
        <v>10650</v>
      </c>
      <c r="H22679" s="21">
        <v>689.17</v>
      </c>
    </row>
    <row r="22680" spans="1:8" customFormat="1" x14ac:dyDescent="0.25">
      <c r="A22680" t="str">
        <f>"5947547"</f>
        <v>5947547</v>
      </c>
      <c r="B22680" t="s">
        <v>6474</v>
      </c>
      <c r="C22680" t="s">
        <v>415</v>
      </c>
      <c r="D22680" s="21" t="s">
        <v>34</v>
      </c>
      <c r="E22680" s="21" t="s">
        <v>71</v>
      </c>
      <c r="F22680">
        <v>11660011</v>
      </c>
      <c r="G22680" t="s">
        <v>4641</v>
      </c>
      <c r="H22680" s="21">
        <v>689.17</v>
      </c>
    </row>
    <row r="22681" spans="1:8" customFormat="1" x14ac:dyDescent="0.25">
      <c r="A22681" t="str">
        <f>"7414294"</f>
        <v>7414294</v>
      </c>
      <c r="B22681" t="s">
        <v>24034</v>
      </c>
      <c r="C22681" t="s">
        <v>119</v>
      </c>
      <c r="D22681" s="21" t="s">
        <v>34</v>
      </c>
      <c r="E22681" s="21" t="s">
        <v>35</v>
      </c>
      <c r="F22681">
        <v>1740060</v>
      </c>
      <c r="G22681" t="s">
        <v>4907</v>
      </c>
      <c r="H22681" s="21">
        <v>689.17</v>
      </c>
    </row>
    <row r="22682" spans="1:8" customFormat="1" x14ac:dyDescent="0.25">
      <c r="A22682" t="str">
        <f>"5413823"</f>
        <v>5413823</v>
      </c>
      <c r="B22682" t="s">
        <v>16166</v>
      </c>
      <c r="C22682" t="s">
        <v>462</v>
      </c>
      <c r="D22682" s="21" t="s">
        <v>34</v>
      </c>
      <c r="E22682" s="21" t="s">
        <v>71</v>
      </c>
      <c r="F22682">
        <v>6540115</v>
      </c>
      <c r="G22682" t="s">
        <v>3398</v>
      </c>
      <c r="H22682" s="21">
        <v>689.17</v>
      </c>
    </row>
    <row r="22683" spans="1:8" customFormat="1" x14ac:dyDescent="0.25">
      <c r="A22683" t="str">
        <f>"4454771"</f>
        <v>4454771</v>
      </c>
      <c r="B22683" t="s">
        <v>14497</v>
      </c>
      <c r="C22683" t="s">
        <v>40</v>
      </c>
      <c r="D22683" s="21" t="s">
        <v>34</v>
      </c>
      <c r="E22683" s="21" t="s">
        <v>254</v>
      </c>
      <c r="F22683">
        <v>12440116</v>
      </c>
      <c r="G22683" t="s">
        <v>26673</v>
      </c>
      <c r="H22683" s="21">
        <v>689.17</v>
      </c>
    </row>
    <row r="22684" spans="1:8" customFormat="1" x14ac:dyDescent="0.25">
      <c r="A22684" t="str">
        <f>"8015569"</f>
        <v>8015569</v>
      </c>
      <c r="B22684" t="s">
        <v>16641</v>
      </c>
      <c r="C22684" t="s">
        <v>1819</v>
      </c>
      <c r="D22684" s="21" t="s">
        <v>34</v>
      </c>
      <c r="E22684" s="21" t="s">
        <v>71</v>
      </c>
      <c r="F22684">
        <v>7800067</v>
      </c>
      <c r="G22684" t="s">
        <v>16355</v>
      </c>
      <c r="H22684" s="21">
        <v>689.17</v>
      </c>
    </row>
    <row r="22685" spans="1:8" customFormat="1" x14ac:dyDescent="0.25">
      <c r="A22685" t="str">
        <f>"508590"</f>
        <v>508590</v>
      </c>
      <c r="B22685" t="s">
        <v>17641</v>
      </c>
      <c r="C22685" t="s">
        <v>1110</v>
      </c>
      <c r="D22685" s="21" t="s">
        <v>34</v>
      </c>
      <c r="E22685" s="21" t="s">
        <v>71</v>
      </c>
      <c r="F22685">
        <v>9500122</v>
      </c>
      <c r="G22685" t="s">
        <v>6164</v>
      </c>
      <c r="H22685" s="21">
        <v>689.17</v>
      </c>
    </row>
    <row r="22686" spans="1:8" customFormat="1" x14ac:dyDescent="0.25">
      <c r="A22686" t="str">
        <f>"585479"</f>
        <v>585479</v>
      </c>
      <c r="B22686" t="s">
        <v>6609</v>
      </c>
      <c r="C22686" t="s">
        <v>49</v>
      </c>
      <c r="D22686" s="21" t="s">
        <v>34</v>
      </c>
      <c r="E22686" s="21" t="s">
        <v>35</v>
      </c>
      <c r="F22686">
        <v>11120044</v>
      </c>
      <c r="G22686" t="s">
        <v>15823</v>
      </c>
      <c r="H22686" s="21">
        <v>689.17</v>
      </c>
    </row>
    <row r="22687" spans="1:8" customFormat="1" x14ac:dyDescent="0.25">
      <c r="A22687" t="str">
        <f>"065313"</f>
        <v>065313</v>
      </c>
      <c r="B22687" t="s">
        <v>8099</v>
      </c>
      <c r="C22687" t="s">
        <v>1665</v>
      </c>
      <c r="D22687" s="21" t="s">
        <v>34</v>
      </c>
      <c r="E22687" s="21" t="s">
        <v>254</v>
      </c>
      <c r="F22687">
        <v>13060005</v>
      </c>
      <c r="G22687" t="s">
        <v>3609</v>
      </c>
      <c r="H22687" s="21">
        <v>689.17</v>
      </c>
    </row>
    <row r="22688" spans="1:8" customFormat="1" x14ac:dyDescent="0.25">
      <c r="A22688" t="str">
        <f>"3530806"</f>
        <v>3530806</v>
      </c>
      <c r="B22688" t="s">
        <v>4944</v>
      </c>
      <c r="C22688" t="s">
        <v>1110</v>
      </c>
      <c r="D22688" s="21" t="s">
        <v>34</v>
      </c>
      <c r="E22688" s="21" t="s">
        <v>71</v>
      </c>
      <c r="F22688">
        <v>3350045</v>
      </c>
      <c r="G22688" t="s">
        <v>13569</v>
      </c>
      <c r="H22688" s="21">
        <v>689.17</v>
      </c>
    </row>
    <row r="22689" spans="1:8" customFormat="1" x14ac:dyDescent="0.25">
      <c r="A22689" t="str">
        <f>"1318553"</f>
        <v>1318553</v>
      </c>
      <c r="B22689" t="s">
        <v>5273</v>
      </c>
      <c r="C22689" t="s">
        <v>204</v>
      </c>
      <c r="D22689" s="21" t="s">
        <v>34</v>
      </c>
      <c r="E22689" s="21" t="s">
        <v>35</v>
      </c>
      <c r="F22689">
        <v>13130170</v>
      </c>
      <c r="G22689" t="s">
        <v>10164</v>
      </c>
      <c r="H22689" s="21">
        <v>689.17</v>
      </c>
    </row>
    <row r="22690" spans="1:8" customFormat="1" x14ac:dyDescent="0.25">
      <c r="A22690" t="str">
        <f>"3714826"</f>
        <v>3714826</v>
      </c>
      <c r="B22690" t="s">
        <v>18623</v>
      </c>
      <c r="C22690" t="s">
        <v>528</v>
      </c>
      <c r="D22690" s="21" t="s">
        <v>34</v>
      </c>
      <c r="E22690" s="21" t="s">
        <v>71</v>
      </c>
      <c r="F22690">
        <v>4370566</v>
      </c>
      <c r="G22690" t="s">
        <v>4710</v>
      </c>
      <c r="H22690" s="21">
        <v>689.17</v>
      </c>
    </row>
    <row r="22691" spans="1:8" customFormat="1" x14ac:dyDescent="0.25">
      <c r="A22691" t="str">
        <f>"5958490"</f>
        <v>5958490</v>
      </c>
      <c r="B22691" t="s">
        <v>10568</v>
      </c>
      <c r="C22691" t="s">
        <v>233</v>
      </c>
      <c r="D22691" s="21" t="s">
        <v>34</v>
      </c>
      <c r="E22691" s="21" t="s">
        <v>71</v>
      </c>
      <c r="F22691">
        <v>7590293</v>
      </c>
      <c r="G22691" t="s">
        <v>2431</v>
      </c>
      <c r="H22691" s="21">
        <v>689.17</v>
      </c>
    </row>
    <row r="22692" spans="1:8" customFormat="1" x14ac:dyDescent="0.25">
      <c r="A22692" t="str">
        <f>"5935360"</f>
        <v>5935360</v>
      </c>
      <c r="B22692" t="s">
        <v>17468</v>
      </c>
      <c r="C22692" t="s">
        <v>2520</v>
      </c>
      <c r="D22692" s="21" t="s">
        <v>34</v>
      </c>
      <c r="E22692" s="21" t="s">
        <v>71</v>
      </c>
      <c r="F22692">
        <v>7590009</v>
      </c>
      <c r="G22692" t="s">
        <v>535</v>
      </c>
      <c r="H22692" s="21">
        <v>689.17</v>
      </c>
    </row>
    <row r="22693" spans="1:8" customFormat="1" x14ac:dyDescent="0.25">
      <c r="A22693" t="str">
        <f>"5016414"</f>
        <v>5016414</v>
      </c>
      <c r="B22693" t="s">
        <v>383</v>
      </c>
      <c r="C22693" t="s">
        <v>65</v>
      </c>
      <c r="D22693" s="21" t="s">
        <v>34</v>
      </c>
      <c r="E22693" s="21" t="s">
        <v>35</v>
      </c>
      <c r="F22693">
        <v>9500122</v>
      </c>
      <c r="G22693" t="s">
        <v>6164</v>
      </c>
      <c r="H22693" s="21">
        <v>689.17</v>
      </c>
    </row>
    <row r="22694" spans="1:8" customFormat="1" x14ac:dyDescent="0.25">
      <c r="A22694" t="str">
        <f>"953864"</f>
        <v>953864</v>
      </c>
      <c r="B22694" t="s">
        <v>17446</v>
      </c>
      <c r="C22694" t="s">
        <v>453</v>
      </c>
      <c r="D22694" s="21" t="s">
        <v>34</v>
      </c>
      <c r="E22694" s="21" t="s">
        <v>254</v>
      </c>
      <c r="F22694">
        <v>8950260</v>
      </c>
      <c r="G22694" t="s">
        <v>8564</v>
      </c>
      <c r="H22694" s="21">
        <v>688.92</v>
      </c>
    </row>
    <row r="22695" spans="1:8" customFormat="1" x14ac:dyDescent="0.25">
      <c r="A22695" t="str">
        <f>"2927430"</f>
        <v>2927430</v>
      </c>
      <c r="B22695" t="s">
        <v>1661</v>
      </c>
      <c r="C22695" t="s">
        <v>2276</v>
      </c>
      <c r="D22695" s="21" t="s">
        <v>34</v>
      </c>
      <c r="E22695" s="21" t="s">
        <v>1089</v>
      </c>
      <c r="F22695">
        <v>3290217</v>
      </c>
      <c r="G22695" t="s">
        <v>6770</v>
      </c>
      <c r="H22695" s="21">
        <v>688.92</v>
      </c>
    </row>
    <row r="22696" spans="1:8" customFormat="1" x14ac:dyDescent="0.25">
      <c r="A22696" t="str">
        <f>"3721937"</f>
        <v>3721937</v>
      </c>
      <c r="B22696" t="s">
        <v>17581</v>
      </c>
      <c r="C22696" t="s">
        <v>130</v>
      </c>
      <c r="D22696" s="21" t="s">
        <v>34</v>
      </c>
      <c r="E22696" s="21" t="s">
        <v>254</v>
      </c>
      <c r="F22696">
        <v>4370151</v>
      </c>
      <c r="G22696" t="s">
        <v>5304</v>
      </c>
      <c r="H22696" s="21">
        <v>688.92</v>
      </c>
    </row>
    <row r="22697" spans="1:8" customFormat="1" x14ac:dyDescent="0.25">
      <c r="A22697" t="str">
        <f>"7871729"</f>
        <v>7871729</v>
      </c>
      <c r="B22697" t="s">
        <v>17992</v>
      </c>
      <c r="C22697" t="s">
        <v>33</v>
      </c>
      <c r="D22697" s="21" t="s">
        <v>34</v>
      </c>
      <c r="E22697" s="21" t="s">
        <v>35</v>
      </c>
      <c r="F22697">
        <v>8780356</v>
      </c>
      <c r="G22697" t="s">
        <v>5449</v>
      </c>
      <c r="H22697" s="21">
        <v>688.92</v>
      </c>
    </row>
    <row r="22698" spans="1:8" customFormat="1" x14ac:dyDescent="0.25">
      <c r="A22698" t="str">
        <f>"9430661"</f>
        <v>9430661</v>
      </c>
      <c r="B22698" t="s">
        <v>16997</v>
      </c>
      <c r="C22698" t="s">
        <v>1271</v>
      </c>
      <c r="D22698" s="21" t="s">
        <v>34</v>
      </c>
      <c r="E22698" s="21" t="s">
        <v>71</v>
      </c>
      <c r="F22698">
        <v>8940942</v>
      </c>
      <c r="G22698" t="s">
        <v>8505</v>
      </c>
      <c r="H22698" s="21">
        <v>688.92</v>
      </c>
    </row>
    <row r="22699" spans="1:8" customFormat="1" x14ac:dyDescent="0.25">
      <c r="A22699" t="str">
        <f>"3723998"</f>
        <v>3723998</v>
      </c>
      <c r="B22699" t="s">
        <v>18437</v>
      </c>
      <c r="C22699" t="s">
        <v>121</v>
      </c>
      <c r="D22699" s="21" t="s">
        <v>34</v>
      </c>
      <c r="E22699" s="21" t="s">
        <v>71</v>
      </c>
      <c r="F22699">
        <v>4370001</v>
      </c>
      <c r="G22699" t="s">
        <v>957</v>
      </c>
      <c r="H22699" s="21">
        <v>688.79</v>
      </c>
    </row>
    <row r="22700" spans="1:8" customFormat="1" x14ac:dyDescent="0.25">
      <c r="A22700" t="str">
        <f>"7876236"</f>
        <v>7876236</v>
      </c>
      <c r="B22700" t="s">
        <v>8377</v>
      </c>
      <c r="C22700" t="s">
        <v>262</v>
      </c>
      <c r="D22700" s="21" t="s">
        <v>34</v>
      </c>
      <c r="E22700" s="21" t="s">
        <v>35</v>
      </c>
      <c r="F22700">
        <v>8780660</v>
      </c>
      <c r="G22700" t="s">
        <v>2801</v>
      </c>
      <c r="H22700" s="21">
        <v>688.79</v>
      </c>
    </row>
    <row r="22701" spans="1:8" customFormat="1" x14ac:dyDescent="0.25">
      <c r="A22701" t="str">
        <f>"3828433"</f>
        <v>3828433</v>
      </c>
      <c r="B22701" t="s">
        <v>15944</v>
      </c>
      <c r="C22701" t="s">
        <v>3010</v>
      </c>
      <c r="D22701" s="21" t="s">
        <v>34</v>
      </c>
      <c r="E22701" s="21" t="s">
        <v>254</v>
      </c>
      <c r="F22701">
        <v>1380284</v>
      </c>
      <c r="G22701" t="s">
        <v>300</v>
      </c>
      <c r="H22701" s="21">
        <v>688.79</v>
      </c>
    </row>
    <row r="22702" spans="1:8" customFormat="1" x14ac:dyDescent="0.25">
      <c r="A22702" t="str">
        <f>"7853197"</f>
        <v>7853197</v>
      </c>
      <c r="B22702" t="s">
        <v>18115</v>
      </c>
      <c r="C22702" t="s">
        <v>209</v>
      </c>
      <c r="D22702" s="21" t="s">
        <v>34</v>
      </c>
      <c r="E22702" s="21" t="s">
        <v>71</v>
      </c>
      <c r="F22702">
        <v>8780496</v>
      </c>
      <c r="G22702" t="s">
        <v>2477</v>
      </c>
      <c r="H22702" s="21">
        <v>688.67</v>
      </c>
    </row>
    <row r="22703" spans="1:8" customFormat="1" x14ac:dyDescent="0.25">
      <c r="A22703" t="str">
        <f>"2921675"</f>
        <v>2921675</v>
      </c>
      <c r="B22703" t="s">
        <v>18677</v>
      </c>
      <c r="C22703" t="s">
        <v>2907</v>
      </c>
      <c r="D22703" s="21" t="s">
        <v>34</v>
      </c>
      <c r="E22703" s="21" t="s">
        <v>254</v>
      </c>
      <c r="F22703">
        <v>3290019</v>
      </c>
      <c r="G22703" t="s">
        <v>4452</v>
      </c>
      <c r="H22703" s="21">
        <v>688.67</v>
      </c>
    </row>
    <row r="22704" spans="1:8" customFormat="1" x14ac:dyDescent="0.25">
      <c r="A22704" t="str">
        <f>"6228137"</f>
        <v>6228137</v>
      </c>
      <c r="B22704" t="s">
        <v>18308</v>
      </c>
      <c r="C22704" t="s">
        <v>2100</v>
      </c>
      <c r="D22704" s="21" t="s">
        <v>34</v>
      </c>
      <c r="E22704" s="21" t="s">
        <v>71</v>
      </c>
      <c r="F22704">
        <v>7620180</v>
      </c>
      <c r="G22704" t="s">
        <v>7188</v>
      </c>
      <c r="H22704" s="21">
        <v>688.67</v>
      </c>
    </row>
    <row r="22705" spans="1:8" customFormat="1" x14ac:dyDescent="0.25">
      <c r="A22705" t="str">
        <f>"8313827"</f>
        <v>8313827</v>
      </c>
      <c r="B22705" t="s">
        <v>16740</v>
      </c>
      <c r="C22705" t="s">
        <v>3010</v>
      </c>
      <c r="D22705" s="21" t="s">
        <v>34</v>
      </c>
      <c r="E22705" s="21" t="s">
        <v>35</v>
      </c>
      <c r="F22705">
        <v>13830067</v>
      </c>
      <c r="G22705" t="s">
        <v>13428</v>
      </c>
      <c r="H22705" s="21">
        <v>688.67</v>
      </c>
    </row>
    <row r="22706" spans="1:8" customFormat="1" x14ac:dyDescent="0.25">
      <c r="A22706" t="str">
        <f>"035149"</f>
        <v>035149</v>
      </c>
      <c r="B22706" t="s">
        <v>27703</v>
      </c>
      <c r="C22706" t="s">
        <v>598</v>
      </c>
      <c r="D22706" s="21" t="s">
        <v>34</v>
      </c>
      <c r="E22706" s="21" t="s">
        <v>254</v>
      </c>
      <c r="F22706">
        <v>1030082</v>
      </c>
      <c r="G22706" t="s">
        <v>26828</v>
      </c>
      <c r="H22706" s="21">
        <v>688.67</v>
      </c>
    </row>
    <row r="22707" spans="1:8" customFormat="1" x14ac:dyDescent="0.25">
      <c r="A22707" t="str">
        <f>"745820"</f>
        <v>745820</v>
      </c>
      <c r="B22707" t="s">
        <v>19021</v>
      </c>
      <c r="C22707" t="s">
        <v>285</v>
      </c>
      <c r="D22707" s="21" t="s">
        <v>34</v>
      </c>
      <c r="E22707" s="21" t="s">
        <v>35</v>
      </c>
      <c r="F22707">
        <v>1740080</v>
      </c>
      <c r="G22707" t="s">
        <v>12809</v>
      </c>
      <c r="H22707" s="21">
        <v>688.67</v>
      </c>
    </row>
    <row r="22708" spans="1:8" customFormat="1" x14ac:dyDescent="0.25">
      <c r="A22708" t="str">
        <f>"60702"</f>
        <v>60702</v>
      </c>
      <c r="B22708" t="s">
        <v>17101</v>
      </c>
      <c r="C22708" t="s">
        <v>169</v>
      </c>
      <c r="D22708" s="21" t="s">
        <v>34</v>
      </c>
      <c r="E22708" s="21" t="s">
        <v>71</v>
      </c>
      <c r="F22708">
        <v>7600027</v>
      </c>
      <c r="G22708" t="s">
        <v>2137</v>
      </c>
      <c r="H22708" s="21">
        <v>688.67</v>
      </c>
    </row>
    <row r="22709" spans="1:8" customFormat="1" x14ac:dyDescent="0.25">
      <c r="A22709" t="str">
        <f>"9443358"</f>
        <v>9443358</v>
      </c>
      <c r="B22709" t="s">
        <v>18309</v>
      </c>
      <c r="C22709" t="s">
        <v>544</v>
      </c>
      <c r="D22709" s="21" t="s">
        <v>34</v>
      </c>
      <c r="E22709" s="21" t="s">
        <v>71</v>
      </c>
      <c r="F22709">
        <v>8940033</v>
      </c>
      <c r="G22709" t="s">
        <v>1376</v>
      </c>
      <c r="H22709" s="21">
        <v>688.67</v>
      </c>
    </row>
    <row r="22710" spans="1:8" customFormat="1" x14ac:dyDescent="0.25">
      <c r="A22710" t="str">
        <f>"442611"</f>
        <v>442611</v>
      </c>
      <c r="B22710" t="s">
        <v>19466</v>
      </c>
      <c r="C22710" t="s">
        <v>253</v>
      </c>
      <c r="D22710" s="21" t="s">
        <v>34</v>
      </c>
      <c r="E22710" s="21" t="s">
        <v>1089</v>
      </c>
      <c r="F22710">
        <v>12440166</v>
      </c>
      <c r="G22710" t="s">
        <v>4031</v>
      </c>
      <c r="H22710" s="21">
        <v>688.67</v>
      </c>
    </row>
    <row r="22711" spans="1:8" customFormat="1" x14ac:dyDescent="0.25">
      <c r="A22711" t="str">
        <f>"6312558"</f>
        <v>6312558</v>
      </c>
      <c r="B22711" t="s">
        <v>16678</v>
      </c>
      <c r="C22711" t="s">
        <v>33</v>
      </c>
      <c r="D22711" s="21" t="s">
        <v>34</v>
      </c>
      <c r="E22711" s="21" t="s">
        <v>35</v>
      </c>
      <c r="F22711">
        <v>1630310</v>
      </c>
      <c r="G22711" t="s">
        <v>6314</v>
      </c>
      <c r="H22711" s="21">
        <v>688.67</v>
      </c>
    </row>
    <row r="22712" spans="1:8" customFormat="1" x14ac:dyDescent="0.25">
      <c r="A22712" t="str">
        <f>"63346"</f>
        <v>63346</v>
      </c>
      <c r="B22712" t="s">
        <v>16709</v>
      </c>
      <c r="C22712" t="s">
        <v>1146</v>
      </c>
      <c r="D22712" s="21" t="s">
        <v>34</v>
      </c>
      <c r="E22712" s="21" t="s">
        <v>6185</v>
      </c>
      <c r="F22712">
        <v>1630054</v>
      </c>
      <c r="G22712" t="s">
        <v>2512</v>
      </c>
      <c r="H22712" s="21">
        <v>688.67</v>
      </c>
    </row>
    <row r="22713" spans="1:8" customFormat="1" x14ac:dyDescent="0.25">
      <c r="A22713" t="str">
        <f>"3831558"</f>
        <v>3831558</v>
      </c>
      <c r="B22713" t="s">
        <v>18337</v>
      </c>
      <c r="C22713" t="s">
        <v>19207</v>
      </c>
      <c r="D22713" s="21" t="s">
        <v>34</v>
      </c>
      <c r="E22713" s="21" t="s">
        <v>35</v>
      </c>
      <c r="F22713">
        <v>1380045</v>
      </c>
      <c r="G22713" t="s">
        <v>2114</v>
      </c>
      <c r="H22713" s="21">
        <v>688.67</v>
      </c>
    </row>
    <row r="22714" spans="1:8" customFormat="1" x14ac:dyDescent="0.25">
      <c r="A22714" t="str">
        <f>"662953"</f>
        <v>662953</v>
      </c>
      <c r="B22714" t="s">
        <v>19111</v>
      </c>
      <c r="C22714" t="s">
        <v>19112</v>
      </c>
      <c r="D22714" s="21" t="s">
        <v>34</v>
      </c>
      <c r="E22714" s="21" t="s">
        <v>35</v>
      </c>
      <c r="F22714">
        <v>11660001</v>
      </c>
      <c r="G22714" t="s">
        <v>8203</v>
      </c>
      <c r="H22714" s="21">
        <v>688.67</v>
      </c>
    </row>
    <row r="22715" spans="1:8" customFormat="1" x14ac:dyDescent="0.25">
      <c r="A22715" t="str">
        <f>"2716962"</f>
        <v>2716962</v>
      </c>
      <c r="B22715" t="s">
        <v>20838</v>
      </c>
      <c r="C22715" t="s">
        <v>114</v>
      </c>
      <c r="D22715" s="21" t="s">
        <v>34</v>
      </c>
      <c r="E22715" s="21" t="s">
        <v>71</v>
      </c>
      <c r="F22715">
        <v>9270169</v>
      </c>
      <c r="G22715" t="s">
        <v>6217</v>
      </c>
      <c r="H22715" s="21">
        <v>688.67</v>
      </c>
    </row>
    <row r="22716" spans="1:8" customFormat="1" x14ac:dyDescent="0.25">
      <c r="A22716" t="str">
        <f>"571119"</f>
        <v>571119</v>
      </c>
      <c r="B22716" t="s">
        <v>17219</v>
      </c>
      <c r="C22716" t="s">
        <v>2520</v>
      </c>
      <c r="D22716" s="21" t="s">
        <v>34</v>
      </c>
      <c r="E22716" s="21" t="s">
        <v>71</v>
      </c>
      <c r="F22716">
        <v>6570075</v>
      </c>
      <c r="G22716" t="s">
        <v>3008</v>
      </c>
      <c r="H22716" s="21">
        <v>688.67</v>
      </c>
    </row>
    <row r="22717" spans="1:8" customFormat="1" x14ac:dyDescent="0.25">
      <c r="A22717" t="str">
        <f>"595259"</f>
        <v>595259</v>
      </c>
      <c r="B22717" t="s">
        <v>17022</v>
      </c>
      <c r="C22717" t="s">
        <v>412</v>
      </c>
      <c r="D22717" s="21" t="s">
        <v>34</v>
      </c>
      <c r="E22717" s="21" t="s">
        <v>1089</v>
      </c>
      <c r="F22717">
        <v>7590127</v>
      </c>
      <c r="G22717" t="s">
        <v>214</v>
      </c>
      <c r="H22717" s="21">
        <v>688.67</v>
      </c>
    </row>
    <row r="22718" spans="1:8" customFormat="1" x14ac:dyDescent="0.25">
      <c r="A22718" t="str">
        <f>"5940038"</f>
        <v>5940038</v>
      </c>
      <c r="B22718" t="s">
        <v>17052</v>
      </c>
      <c r="C22718" t="s">
        <v>239</v>
      </c>
      <c r="D22718" s="21" t="s">
        <v>34</v>
      </c>
      <c r="E22718" s="21" t="s">
        <v>71</v>
      </c>
      <c r="F22718">
        <v>7590250</v>
      </c>
      <c r="G22718" t="s">
        <v>13017</v>
      </c>
      <c r="H22718" s="21">
        <v>688.67</v>
      </c>
    </row>
    <row r="22719" spans="1:8" customFormat="1" x14ac:dyDescent="0.25">
      <c r="A22719" t="str">
        <f>"5015575"</f>
        <v>5015575</v>
      </c>
      <c r="B22719" t="s">
        <v>8803</v>
      </c>
      <c r="C22719" t="s">
        <v>1110</v>
      </c>
      <c r="D22719" s="21" t="s">
        <v>34</v>
      </c>
      <c r="E22719" s="21" t="s">
        <v>254</v>
      </c>
      <c r="F22719">
        <v>9500130</v>
      </c>
      <c r="G22719" t="s">
        <v>5326</v>
      </c>
      <c r="H22719" s="21">
        <v>688.67</v>
      </c>
    </row>
    <row r="22720" spans="1:8" customFormat="1" x14ac:dyDescent="0.25">
      <c r="A22720" t="str">
        <f>"9227468"</f>
        <v>9227468</v>
      </c>
      <c r="B22720" t="s">
        <v>17248</v>
      </c>
      <c r="C22720" t="s">
        <v>2721</v>
      </c>
      <c r="D22720" s="21" t="s">
        <v>34</v>
      </c>
      <c r="E22720" s="21" t="s">
        <v>71</v>
      </c>
      <c r="F22720">
        <v>8921458</v>
      </c>
      <c r="G22720" t="s">
        <v>162</v>
      </c>
      <c r="H22720" s="21">
        <v>688.67</v>
      </c>
    </row>
    <row r="22721" spans="1:8" customFormat="1" x14ac:dyDescent="0.25">
      <c r="A22721" t="str">
        <f>"4431017"</f>
        <v>4431017</v>
      </c>
      <c r="B22721" t="s">
        <v>18321</v>
      </c>
      <c r="C22721" t="s">
        <v>87</v>
      </c>
      <c r="D22721" s="21" t="s">
        <v>34</v>
      </c>
      <c r="E22721" s="21" t="s">
        <v>35</v>
      </c>
      <c r="F22721">
        <v>12440009</v>
      </c>
      <c r="G22721" t="s">
        <v>1983</v>
      </c>
      <c r="H22721" s="21">
        <v>688.67</v>
      </c>
    </row>
    <row r="22722" spans="1:8" customFormat="1" x14ac:dyDescent="0.25">
      <c r="A22722" t="str">
        <f>"9514823"</f>
        <v>9514823</v>
      </c>
      <c r="B22722" t="s">
        <v>3386</v>
      </c>
      <c r="C22722" t="s">
        <v>267</v>
      </c>
      <c r="D22722" s="21" t="s">
        <v>34</v>
      </c>
      <c r="E22722" s="21" t="s">
        <v>254</v>
      </c>
      <c r="F22722">
        <v>8950092</v>
      </c>
      <c r="G22722" t="s">
        <v>2039</v>
      </c>
      <c r="H22722" s="21">
        <v>688.67</v>
      </c>
    </row>
    <row r="22723" spans="1:8" customFormat="1" x14ac:dyDescent="0.25">
      <c r="A22723" t="str">
        <f>"5955307"</f>
        <v>5955307</v>
      </c>
      <c r="B22723" t="s">
        <v>17441</v>
      </c>
      <c r="C22723" t="s">
        <v>2100</v>
      </c>
      <c r="D22723" s="21" t="s">
        <v>34</v>
      </c>
      <c r="E22723" s="21" t="s">
        <v>71</v>
      </c>
      <c r="F22723">
        <v>7590410</v>
      </c>
      <c r="G22723" t="s">
        <v>2048</v>
      </c>
      <c r="H22723" s="21">
        <v>688.67</v>
      </c>
    </row>
    <row r="22724" spans="1:8" customFormat="1" x14ac:dyDescent="0.25">
      <c r="A22724" t="str">
        <f>"871802"</f>
        <v>871802</v>
      </c>
      <c r="B22724" t="s">
        <v>7606</v>
      </c>
      <c r="C22724" t="s">
        <v>98</v>
      </c>
      <c r="D22724" s="21" t="s">
        <v>34</v>
      </c>
      <c r="E22724" s="21" t="s">
        <v>35</v>
      </c>
      <c r="F22724">
        <v>10870116</v>
      </c>
      <c r="G22724" t="s">
        <v>1806</v>
      </c>
      <c r="H22724" s="21">
        <v>688.67</v>
      </c>
    </row>
    <row r="22725" spans="1:8" customFormat="1" x14ac:dyDescent="0.25">
      <c r="A22725" t="str">
        <f>"3535060"</f>
        <v>3535060</v>
      </c>
      <c r="B22725" t="s">
        <v>8435</v>
      </c>
      <c r="C22725" t="s">
        <v>343</v>
      </c>
      <c r="D22725" s="21" t="s">
        <v>34</v>
      </c>
      <c r="E22725" s="21" t="s">
        <v>35</v>
      </c>
      <c r="F22725">
        <v>3350022</v>
      </c>
      <c r="G22725" t="s">
        <v>1287</v>
      </c>
      <c r="H22725" s="21">
        <v>688.67</v>
      </c>
    </row>
    <row r="22726" spans="1:8" customFormat="1" x14ac:dyDescent="0.25">
      <c r="A22726" t="str">
        <f>"3530849"</f>
        <v>3530849</v>
      </c>
      <c r="B22726" t="s">
        <v>16503</v>
      </c>
      <c r="C22726" t="s">
        <v>209</v>
      </c>
      <c r="D22726" s="21" t="s">
        <v>34</v>
      </c>
      <c r="E22726" s="21" t="s">
        <v>71</v>
      </c>
      <c r="F22726">
        <v>3350011</v>
      </c>
      <c r="G22726" t="s">
        <v>2404</v>
      </c>
      <c r="H22726" s="21">
        <v>688.67</v>
      </c>
    </row>
    <row r="22727" spans="1:8" customFormat="1" x14ac:dyDescent="0.25">
      <c r="A22727" t="str">
        <f>"6315099"</f>
        <v>6315099</v>
      </c>
      <c r="B22727" t="s">
        <v>2362</v>
      </c>
      <c r="C22727" t="s">
        <v>3456</v>
      </c>
      <c r="D22727" s="21" t="s">
        <v>34</v>
      </c>
      <c r="E22727" s="21" t="s">
        <v>71</v>
      </c>
      <c r="F22727">
        <v>1630241</v>
      </c>
      <c r="G22727" t="s">
        <v>4519</v>
      </c>
      <c r="H22727" s="21">
        <v>688.67</v>
      </c>
    </row>
    <row r="22728" spans="1:8" customFormat="1" x14ac:dyDescent="0.25">
      <c r="A22728" t="str">
        <f>"266871"</f>
        <v>266871</v>
      </c>
      <c r="B22728" t="s">
        <v>20270</v>
      </c>
      <c r="C22728" t="s">
        <v>6412</v>
      </c>
      <c r="D22728" s="21" t="s">
        <v>34</v>
      </c>
      <c r="E22728" s="21" t="s">
        <v>71</v>
      </c>
      <c r="F22728">
        <v>1260040</v>
      </c>
      <c r="G22728" t="s">
        <v>10768</v>
      </c>
      <c r="H22728" s="21">
        <v>688.67</v>
      </c>
    </row>
    <row r="22729" spans="1:8" customFormat="1" x14ac:dyDescent="0.25">
      <c r="A22729" t="str">
        <f>"667553"</f>
        <v>667553</v>
      </c>
      <c r="B22729" t="s">
        <v>4424</v>
      </c>
      <c r="C22729" t="s">
        <v>239</v>
      </c>
      <c r="D22729" s="21" t="s">
        <v>34</v>
      </c>
      <c r="E22729" s="21" t="s">
        <v>71</v>
      </c>
      <c r="F22729">
        <v>11660038</v>
      </c>
      <c r="G22729" t="s">
        <v>8493</v>
      </c>
      <c r="H22729" s="21">
        <v>688.42</v>
      </c>
    </row>
    <row r="22730" spans="1:8" customFormat="1" x14ac:dyDescent="0.25">
      <c r="A22730" t="str">
        <f>"125025"</f>
        <v>125025</v>
      </c>
      <c r="B22730" t="s">
        <v>20114</v>
      </c>
      <c r="C22730" t="s">
        <v>55</v>
      </c>
      <c r="D22730" s="21" t="s">
        <v>34</v>
      </c>
      <c r="E22730" s="21" t="s">
        <v>71</v>
      </c>
      <c r="F22730">
        <v>11120017</v>
      </c>
      <c r="G22730" t="s">
        <v>6560</v>
      </c>
      <c r="H22730" s="21">
        <v>688.42</v>
      </c>
    </row>
    <row r="22731" spans="1:8" customFormat="1" x14ac:dyDescent="0.25">
      <c r="A22731" t="str">
        <f>"363631"</f>
        <v>363631</v>
      </c>
      <c r="B22731" t="s">
        <v>16527</v>
      </c>
      <c r="C22731" t="s">
        <v>114</v>
      </c>
      <c r="D22731" s="21" t="s">
        <v>34</v>
      </c>
      <c r="E22731" s="21" t="s">
        <v>71</v>
      </c>
      <c r="F22731">
        <v>6510053</v>
      </c>
      <c r="G22731" t="s">
        <v>27203</v>
      </c>
      <c r="H22731" s="21">
        <v>688.42</v>
      </c>
    </row>
    <row r="22732" spans="1:8" customFormat="1" x14ac:dyDescent="0.25">
      <c r="A22732" t="str">
        <f>"0617806"</f>
        <v>0617806</v>
      </c>
      <c r="B22732" t="s">
        <v>877</v>
      </c>
      <c r="C22732" t="s">
        <v>33</v>
      </c>
      <c r="D22732" s="21" t="s">
        <v>34</v>
      </c>
      <c r="E22732" s="21" t="s">
        <v>35</v>
      </c>
      <c r="F22732">
        <v>13060052</v>
      </c>
      <c r="G22732" t="s">
        <v>6759</v>
      </c>
      <c r="H22732" s="21">
        <v>688.42</v>
      </c>
    </row>
    <row r="22733" spans="1:8" customFormat="1" x14ac:dyDescent="0.25">
      <c r="A22733" t="str">
        <f>"276960"</f>
        <v>276960</v>
      </c>
      <c r="B22733" t="s">
        <v>14657</v>
      </c>
      <c r="C22733" t="s">
        <v>14658</v>
      </c>
      <c r="D22733" s="21" t="s">
        <v>34</v>
      </c>
      <c r="E22733" s="21" t="s">
        <v>254</v>
      </c>
      <c r="F22733">
        <v>6540032</v>
      </c>
      <c r="G22733" t="s">
        <v>63</v>
      </c>
      <c r="H22733" s="21">
        <v>688.29</v>
      </c>
    </row>
    <row r="22734" spans="1:8" customFormat="1" x14ac:dyDescent="0.25">
      <c r="A22734" t="str">
        <f>"152326"</f>
        <v>152326</v>
      </c>
      <c r="B22734" t="s">
        <v>1533</v>
      </c>
      <c r="C22734" t="s">
        <v>43</v>
      </c>
      <c r="D22734" s="21" t="s">
        <v>34</v>
      </c>
      <c r="E22734" s="21" t="s">
        <v>35</v>
      </c>
      <c r="F22734">
        <v>9270164</v>
      </c>
      <c r="G22734" t="s">
        <v>8686</v>
      </c>
      <c r="H22734" s="21">
        <v>688.29</v>
      </c>
    </row>
    <row r="22735" spans="1:8" customFormat="1" x14ac:dyDescent="0.25">
      <c r="A22735" t="str">
        <f>"3424695"</f>
        <v>3424695</v>
      </c>
      <c r="B22735" t="s">
        <v>20180</v>
      </c>
      <c r="C22735" t="s">
        <v>3456</v>
      </c>
      <c r="D22735" s="21" t="s">
        <v>34</v>
      </c>
      <c r="E22735" s="21" t="s">
        <v>71</v>
      </c>
      <c r="F22735">
        <v>11340065</v>
      </c>
      <c r="G22735" t="s">
        <v>2022</v>
      </c>
      <c r="H22735" s="21">
        <v>688.29</v>
      </c>
    </row>
    <row r="22736" spans="1:8" customFormat="1" x14ac:dyDescent="0.25">
      <c r="A22736" t="str">
        <f>"5111374"</f>
        <v>5111374</v>
      </c>
      <c r="B22736" t="s">
        <v>17805</v>
      </c>
      <c r="C22736" t="s">
        <v>17806</v>
      </c>
      <c r="D22736" s="21" t="s">
        <v>34</v>
      </c>
      <c r="E22736" s="21" t="s">
        <v>35</v>
      </c>
      <c r="F22736">
        <v>6510064</v>
      </c>
      <c r="G22736" t="s">
        <v>6183</v>
      </c>
      <c r="H22736" s="21">
        <v>688.17</v>
      </c>
    </row>
    <row r="22737" spans="1:8" customFormat="1" x14ac:dyDescent="0.25">
      <c r="A22737" t="str">
        <f>"7830253"</f>
        <v>7830253</v>
      </c>
      <c r="B22737" t="s">
        <v>3555</v>
      </c>
      <c r="C22737" t="s">
        <v>2520</v>
      </c>
      <c r="D22737" s="21" t="s">
        <v>34</v>
      </c>
      <c r="E22737" s="21" t="s">
        <v>254</v>
      </c>
      <c r="F22737">
        <v>8780107</v>
      </c>
      <c r="G22737" t="s">
        <v>4186</v>
      </c>
      <c r="H22737" s="21">
        <v>688.17</v>
      </c>
    </row>
    <row r="22738" spans="1:8" customFormat="1" x14ac:dyDescent="0.25">
      <c r="A22738" t="str">
        <f>"1419858"</f>
        <v>1419858</v>
      </c>
      <c r="B22738" t="s">
        <v>18018</v>
      </c>
      <c r="C22738" t="s">
        <v>462</v>
      </c>
      <c r="D22738" s="21" t="s">
        <v>34</v>
      </c>
      <c r="E22738" s="21" t="s">
        <v>71</v>
      </c>
      <c r="F22738">
        <v>9140211</v>
      </c>
      <c r="G22738" t="s">
        <v>5784</v>
      </c>
      <c r="H22738" s="21">
        <v>688.17</v>
      </c>
    </row>
    <row r="22739" spans="1:8" customFormat="1" x14ac:dyDescent="0.25">
      <c r="A22739" t="str">
        <f>"365742"</f>
        <v>365742</v>
      </c>
      <c r="B22739" t="s">
        <v>18318</v>
      </c>
      <c r="C22739" t="s">
        <v>269</v>
      </c>
      <c r="D22739" s="21" t="s">
        <v>34</v>
      </c>
      <c r="E22739" s="21" t="s">
        <v>71</v>
      </c>
      <c r="F22739">
        <v>4360723</v>
      </c>
      <c r="G22739" t="s">
        <v>27127</v>
      </c>
      <c r="H22739" s="21">
        <v>688.17</v>
      </c>
    </row>
    <row r="22740" spans="1:8" customFormat="1" x14ac:dyDescent="0.25">
      <c r="A22740" t="str">
        <f>"7861956"</f>
        <v>7861956</v>
      </c>
      <c r="B22740" t="s">
        <v>18646</v>
      </c>
      <c r="C22740" t="s">
        <v>13825</v>
      </c>
      <c r="D22740" s="21" t="s">
        <v>34</v>
      </c>
      <c r="E22740" s="21" t="s">
        <v>71</v>
      </c>
      <c r="F22740">
        <v>8780660</v>
      </c>
      <c r="G22740" t="s">
        <v>2801</v>
      </c>
      <c r="H22740" s="21">
        <v>688.17</v>
      </c>
    </row>
    <row r="22741" spans="1:8" customFormat="1" x14ac:dyDescent="0.25">
      <c r="A22741" t="str">
        <f>"504835"</f>
        <v>504835</v>
      </c>
      <c r="B22741" t="s">
        <v>1349</v>
      </c>
      <c r="C22741" t="s">
        <v>486</v>
      </c>
      <c r="D22741" s="21" t="s">
        <v>34</v>
      </c>
      <c r="E22741" s="21" t="s">
        <v>35</v>
      </c>
      <c r="F22741">
        <v>9500053</v>
      </c>
      <c r="G22741" t="s">
        <v>11847</v>
      </c>
      <c r="H22741" s="21">
        <v>688.17</v>
      </c>
    </row>
    <row r="22742" spans="1:8" customFormat="1" x14ac:dyDescent="0.25">
      <c r="A22742" t="str">
        <f>"6212123"</f>
        <v>6212123</v>
      </c>
      <c r="B22742" t="s">
        <v>17707</v>
      </c>
      <c r="C22742" t="s">
        <v>822</v>
      </c>
      <c r="D22742" s="21" t="s">
        <v>34</v>
      </c>
      <c r="E22742" s="21" t="s">
        <v>254</v>
      </c>
      <c r="F22742">
        <v>7620121</v>
      </c>
      <c r="G22742" t="s">
        <v>7146</v>
      </c>
      <c r="H22742" s="21">
        <v>688.17</v>
      </c>
    </row>
    <row r="22743" spans="1:8" customFormat="1" x14ac:dyDescent="0.25">
      <c r="A22743" t="str">
        <f>"0617628"</f>
        <v>0617628</v>
      </c>
      <c r="B22743" t="s">
        <v>18832</v>
      </c>
      <c r="C22743" t="s">
        <v>293</v>
      </c>
      <c r="D22743" s="21" t="s">
        <v>34</v>
      </c>
      <c r="E22743" s="21" t="s">
        <v>35</v>
      </c>
      <c r="F22743">
        <v>6670011</v>
      </c>
      <c r="G22743" t="s">
        <v>5493</v>
      </c>
      <c r="H22743" s="21">
        <v>688.17</v>
      </c>
    </row>
    <row r="22744" spans="1:8" customFormat="1" x14ac:dyDescent="0.25">
      <c r="A22744" t="str">
        <f>"619031"</f>
        <v>619031</v>
      </c>
      <c r="B22744" t="s">
        <v>18945</v>
      </c>
      <c r="C22744" t="s">
        <v>139</v>
      </c>
      <c r="D22744" s="21" t="s">
        <v>34</v>
      </c>
      <c r="E22744" s="21" t="s">
        <v>35</v>
      </c>
      <c r="F22744">
        <v>9610055</v>
      </c>
      <c r="G22744" t="s">
        <v>13803</v>
      </c>
      <c r="H22744" s="21">
        <v>688.17</v>
      </c>
    </row>
    <row r="22745" spans="1:8" customFormat="1" x14ac:dyDescent="0.25">
      <c r="A22745" t="str">
        <f>"7635636"</f>
        <v>7635636</v>
      </c>
      <c r="B22745" t="s">
        <v>556</v>
      </c>
      <c r="C22745" t="s">
        <v>65</v>
      </c>
      <c r="D22745" s="21" t="s">
        <v>34</v>
      </c>
      <c r="E22745" s="21" t="s">
        <v>71</v>
      </c>
      <c r="F22745">
        <v>9760425</v>
      </c>
      <c r="G22745" t="s">
        <v>5012</v>
      </c>
      <c r="H22745" s="21">
        <v>688.17</v>
      </c>
    </row>
    <row r="22746" spans="1:8" customFormat="1" x14ac:dyDescent="0.25">
      <c r="A22746" t="str">
        <f>"088287"</f>
        <v>088287</v>
      </c>
      <c r="B22746" t="s">
        <v>18297</v>
      </c>
      <c r="C22746" t="s">
        <v>269</v>
      </c>
      <c r="D22746" s="21" t="s">
        <v>34</v>
      </c>
      <c r="E22746" s="21" t="s">
        <v>71</v>
      </c>
      <c r="F22746">
        <v>6080074</v>
      </c>
      <c r="G22746" t="s">
        <v>13069</v>
      </c>
      <c r="H22746" s="21">
        <v>688.17</v>
      </c>
    </row>
    <row r="22747" spans="1:8" customFormat="1" x14ac:dyDescent="0.25">
      <c r="A22747" t="str">
        <f>"4510671"</f>
        <v>4510671</v>
      </c>
      <c r="B22747" t="s">
        <v>27704</v>
      </c>
      <c r="C22747" t="s">
        <v>14011</v>
      </c>
      <c r="D22747" s="21" t="s">
        <v>34</v>
      </c>
      <c r="E22747" s="21" t="s">
        <v>1089</v>
      </c>
      <c r="F22747">
        <v>4450026</v>
      </c>
      <c r="G22747" t="s">
        <v>291</v>
      </c>
      <c r="H22747" s="21">
        <v>688.17</v>
      </c>
    </row>
    <row r="22748" spans="1:8" customFormat="1" x14ac:dyDescent="0.25">
      <c r="A22748" t="str">
        <f>"723323"</f>
        <v>723323</v>
      </c>
      <c r="B22748" t="s">
        <v>890</v>
      </c>
      <c r="C22748" t="s">
        <v>412</v>
      </c>
      <c r="D22748" s="21" t="s">
        <v>34</v>
      </c>
      <c r="E22748" s="21" t="s">
        <v>6185</v>
      </c>
      <c r="F22748">
        <v>12720111</v>
      </c>
      <c r="G22748" t="s">
        <v>3418</v>
      </c>
      <c r="H22748" s="21">
        <v>688.17</v>
      </c>
    </row>
    <row r="22749" spans="1:8" customFormat="1" x14ac:dyDescent="0.25">
      <c r="A22749" t="str">
        <f>"7830246"</f>
        <v>7830246</v>
      </c>
      <c r="B22749" t="s">
        <v>7174</v>
      </c>
      <c r="C22749" t="s">
        <v>2907</v>
      </c>
      <c r="D22749" s="21" t="s">
        <v>34</v>
      </c>
      <c r="E22749" s="21" t="s">
        <v>71</v>
      </c>
      <c r="F22749">
        <v>8781006</v>
      </c>
      <c r="G22749" t="s">
        <v>5376</v>
      </c>
      <c r="H22749" s="21">
        <v>688.17</v>
      </c>
    </row>
    <row r="22750" spans="1:8" customFormat="1" x14ac:dyDescent="0.25">
      <c r="A22750" t="str">
        <f>"5617836"</f>
        <v>5617836</v>
      </c>
      <c r="B22750" t="s">
        <v>15994</v>
      </c>
      <c r="C22750" t="s">
        <v>65</v>
      </c>
      <c r="D22750" s="21" t="s">
        <v>34</v>
      </c>
      <c r="E22750" s="21" t="s">
        <v>35</v>
      </c>
      <c r="F22750">
        <v>3560055</v>
      </c>
      <c r="G22750" t="s">
        <v>8371</v>
      </c>
      <c r="H22750" s="21">
        <v>688.17</v>
      </c>
    </row>
    <row r="22751" spans="1:8" customFormat="1" x14ac:dyDescent="0.25">
      <c r="A22751" t="str">
        <f>"4436693"</f>
        <v>4436693</v>
      </c>
      <c r="B22751" t="s">
        <v>430</v>
      </c>
      <c r="C22751" t="s">
        <v>2520</v>
      </c>
      <c r="D22751" s="21" t="s">
        <v>34</v>
      </c>
      <c r="E22751" s="21" t="s">
        <v>254</v>
      </c>
      <c r="F22751">
        <v>12440004</v>
      </c>
      <c r="G22751" t="s">
        <v>26530</v>
      </c>
      <c r="H22751" s="21">
        <v>688.17</v>
      </c>
    </row>
    <row r="22752" spans="1:8" customFormat="1" x14ac:dyDescent="0.25">
      <c r="A22752" t="str">
        <f>"5430691"</f>
        <v>5430691</v>
      </c>
      <c r="B22752" t="s">
        <v>17830</v>
      </c>
      <c r="C22752" t="s">
        <v>507</v>
      </c>
      <c r="D22752" s="21" t="s">
        <v>34</v>
      </c>
      <c r="E22752" s="21" t="s">
        <v>71</v>
      </c>
      <c r="F22752">
        <v>6540011</v>
      </c>
      <c r="G22752" t="s">
        <v>6084</v>
      </c>
      <c r="H22752" s="21">
        <v>688.17</v>
      </c>
    </row>
    <row r="22753" spans="1:8" customFormat="1" x14ac:dyDescent="0.25">
      <c r="A22753" t="str">
        <f>"7918061"</f>
        <v>7918061</v>
      </c>
      <c r="B22753" t="s">
        <v>5352</v>
      </c>
      <c r="C22753" t="s">
        <v>879</v>
      </c>
      <c r="D22753" s="21" t="s">
        <v>34</v>
      </c>
      <c r="E22753" s="21" t="s">
        <v>71</v>
      </c>
      <c r="F22753">
        <v>10790043</v>
      </c>
      <c r="G22753" t="s">
        <v>2828</v>
      </c>
      <c r="H22753" s="21">
        <v>688.17</v>
      </c>
    </row>
    <row r="22754" spans="1:8" customFormat="1" x14ac:dyDescent="0.25">
      <c r="A22754" t="str">
        <f>"7844235"</f>
        <v>7844235</v>
      </c>
      <c r="B22754" t="s">
        <v>551</v>
      </c>
      <c r="C22754" t="s">
        <v>33</v>
      </c>
      <c r="D22754" s="21" t="s">
        <v>34</v>
      </c>
      <c r="E22754" s="21" t="s">
        <v>35</v>
      </c>
      <c r="F22754">
        <v>8780660</v>
      </c>
      <c r="G22754" t="s">
        <v>2801</v>
      </c>
      <c r="H22754" s="21">
        <v>688.17</v>
      </c>
    </row>
    <row r="22755" spans="1:8" customFormat="1" x14ac:dyDescent="0.25">
      <c r="A22755" t="str">
        <f>"3012428"</f>
        <v>3012428</v>
      </c>
      <c r="B22755" t="s">
        <v>17145</v>
      </c>
      <c r="C22755" t="s">
        <v>149</v>
      </c>
      <c r="D22755" s="21" t="s">
        <v>34</v>
      </c>
      <c r="E22755" s="21" t="s">
        <v>35</v>
      </c>
      <c r="F22755">
        <v>11300008</v>
      </c>
      <c r="G22755" t="s">
        <v>3165</v>
      </c>
      <c r="H22755" s="21">
        <v>688.17</v>
      </c>
    </row>
    <row r="22756" spans="1:8" customFormat="1" x14ac:dyDescent="0.25">
      <c r="A22756" t="str">
        <f>"3726011"</f>
        <v>3726011</v>
      </c>
      <c r="B22756" t="s">
        <v>13744</v>
      </c>
      <c r="C22756" t="s">
        <v>428</v>
      </c>
      <c r="D22756" s="21" t="s">
        <v>34</v>
      </c>
      <c r="E22756" s="21" t="s">
        <v>71</v>
      </c>
      <c r="F22756">
        <v>4370464</v>
      </c>
      <c r="G22756" t="s">
        <v>5348</v>
      </c>
      <c r="H22756" s="21">
        <v>688.17</v>
      </c>
    </row>
    <row r="22757" spans="1:8" customFormat="1" x14ac:dyDescent="0.25">
      <c r="A22757" t="str">
        <f>"5969170"</f>
        <v>5969170</v>
      </c>
      <c r="B22757" t="s">
        <v>12876</v>
      </c>
      <c r="C22757" t="s">
        <v>121</v>
      </c>
      <c r="D22757" s="21" t="s">
        <v>34</v>
      </c>
      <c r="E22757" s="21" t="s">
        <v>71</v>
      </c>
      <c r="F22757">
        <v>7590126</v>
      </c>
      <c r="G22757" t="s">
        <v>4749</v>
      </c>
      <c r="H22757" s="21">
        <v>688.17</v>
      </c>
    </row>
    <row r="22758" spans="1:8" customFormat="1" x14ac:dyDescent="0.25">
      <c r="A22758" t="str">
        <f>"029685"</f>
        <v>029685</v>
      </c>
      <c r="B22758" t="s">
        <v>19132</v>
      </c>
      <c r="C22758" t="s">
        <v>598</v>
      </c>
      <c r="D22758" s="21" t="s">
        <v>34</v>
      </c>
      <c r="E22758" s="21" t="s">
        <v>254</v>
      </c>
      <c r="F22758">
        <v>7021006</v>
      </c>
      <c r="G22758" t="s">
        <v>26948</v>
      </c>
      <c r="H22758" s="21">
        <v>688.17</v>
      </c>
    </row>
    <row r="22759" spans="1:8" customFormat="1" x14ac:dyDescent="0.25">
      <c r="A22759" t="str">
        <f>"7632755"</f>
        <v>7632755</v>
      </c>
      <c r="B22759" t="s">
        <v>17928</v>
      </c>
      <c r="C22759" t="s">
        <v>1299</v>
      </c>
      <c r="D22759" s="21" t="s">
        <v>34</v>
      </c>
      <c r="E22759" s="21" t="s">
        <v>71</v>
      </c>
      <c r="F22759">
        <v>9760351</v>
      </c>
      <c r="G22759" t="s">
        <v>5898</v>
      </c>
      <c r="H22759" s="21">
        <v>688.17</v>
      </c>
    </row>
    <row r="22760" spans="1:8" customFormat="1" x14ac:dyDescent="0.25">
      <c r="A22760" t="str">
        <f>"6932965"</f>
        <v>6932965</v>
      </c>
      <c r="B22760" t="s">
        <v>5426</v>
      </c>
      <c r="C22760" t="s">
        <v>121</v>
      </c>
      <c r="D22760" s="21" t="s">
        <v>34</v>
      </c>
      <c r="E22760" s="21" t="s">
        <v>35</v>
      </c>
      <c r="F22760">
        <v>1630123</v>
      </c>
      <c r="G22760" t="s">
        <v>1036</v>
      </c>
      <c r="H22760" s="21">
        <v>688.17</v>
      </c>
    </row>
    <row r="22761" spans="1:8" customFormat="1" x14ac:dyDescent="0.25">
      <c r="A22761" t="str">
        <f>"643298"</f>
        <v>643298</v>
      </c>
      <c r="B22761" t="s">
        <v>20701</v>
      </c>
      <c r="C22761" t="s">
        <v>249</v>
      </c>
      <c r="D22761" s="21" t="s">
        <v>34</v>
      </c>
      <c r="E22761" s="21" t="s">
        <v>35</v>
      </c>
      <c r="F22761">
        <v>10400015</v>
      </c>
      <c r="G22761" t="s">
        <v>1095</v>
      </c>
      <c r="H22761" s="21">
        <v>688.17</v>
      </c>
    </row>
    <row r="22762" spans="1:8" customFormat="1" x14ac:dyDescent="0.25">
      <c r="A22762" t="str">
        <f>"5326913"</f>
        <v>5326913</v>
      </c>
      <c r="B22762" t="s">
        <v>27705</v>
      </c>
      <c r="C22762" t="s">
        <v>1146</v>
      </c>
      <c r="D22762" s="21" t="s">
        <v>34</v>
      </c>
      <c r="E22762" s="21" t="s">
        <v>71</v>
      </c>
      <c r="F22762">
        <v>12530016</v>
      </c>
      <c r="G22762" t="s">
        <v>2069</v>
      </c>
      <c r="H22762" s="21">
        <v>688.17</v>
      </c>
    </row>
    <row r="22763" spans="1:8" customFormat="1" x14ac:dyDescent="0.25">
      <c r="A22763" t="str">
        <f>"6811192"</f>
        <v>6811192</v>
      </c>
      <c r="B22763" t="s">
        <v>17735</v>
      </c>
      <c r="C22763" t="s">
        <v>98</v>
      </c>
      <c r="D22763" s="21" t="s">
        <v>34</v>
      </c>
      <c r="E22763" s="21" t="s">
        <v>35</v>
      </c>
      <c r="F22763">
        <v>6680130</v>
      </c>
      <c r="G22763" t="s">
        <v>26772</v>
      </c>
      <c r="H22763" s="21">
        <v>688.17</v>
      </c>
    </row>
    <row r="22764" spans="1:8" customFormat="1" x14ac:dyDescent="0.25">
      <c r="A22764" t="str">
        <f>"5317"</f>
        <v>5317</v>
      </c>
      <c r="B22764" t="s">
        <v>17005</v>
      </c>
      <c r="C22764" t="s">
        <v>2520</v>
      </c>
      <c r="D22764" s="21" t="s">
        <v>34</v>
      </c>
      <c r="E22764" s="21" t="s">
        <v>6185</v>
      </c>
      <c r="F22764">
        <v>12530007</v>
      </c>
      <c r="G22764" t="s">
        <v>2966</v>
      </c>
      <c r="H22764" s="21">
        <v>688.17</v>
      </c>
    </row>
    <row r="22765" spans="1:8" customFormat="1" x14ac:dyDescent="0.25">
      <c r="A22765" t="str">
        <f>"138"</f>
        <v>138</v>
      </c>
      <c r="B22765" t="s">
        <v>16937</v>
      </c>
      <c r="C22765" t="s">
        <v>598</v>
      </c>
      <c r="D22765" s="21" t="s">
        <v>34</v>
      </c>
      <c r="E22765" s="21" t="s">
        <v>254</v>
      </c>
      <c r="F22765">
        <v>13130162</v>
      </c>
      <c r="G22765" t="s">
        <v>13411</v>
      </c>
      <c r="H22765" s="21">
        <v>688.17</v>
      </c>
    </row>
    <row r="22766" spans="1:8" customFormat="1" x14ac:dyDescent="0.25">
      <c r="A22766" t="str">
        <f>"9132225"</f>
        <v>9132225</v>
      </c>
      <c r="B22766" t="s">
        <v>17891</v>
      </c>
      <c r="C22766" t="s">
        <v>598</v>
      </c>
      <c r="D22766" s="21" t="s">
        <v>34</v>
      </c>
      <c r="E22766" s="21" t="s">
        <v>71</v>
      </c>
      <c r="F22766">
        <v>8910077</v>
      </c>
      <c r="G22766" t="s">
        <v>1380</v>
      </c>
      <c r="H22766" s="21">
        <v>687.92</v>
      </c>
    </row>
    <row r="22767" spans="1:8" customFormat="1" x14ac:dyDescent="0.25">
      <c r="A22767" t="str">
        <f>"9137257"</f>
        <v>9137257</v>
      </c>
      <c r="B22767" t="s">
        <v>638</v>
      </c>
      <c r="C22767" t="s">
        <v>2730</v>
      </c>
      <c r="D22767" s="21" t="s">
        <v>34</v>
      </c>
      <c r="E22767" s="21" t="s">
        <v>35</v>
      </c>
      <c r="F22767">
        <v>8911334</v>
      </c>
      <c r="G22767" t="s">
        <v>4170</v>
      </c>
      <c r="H22767" s="21">
        <v>687.92</v>
      </c>
    </row>
    <row r="22768" spans="1:8" customFormat="1" x14ac:dyDescent="0.25">
      <c r="A22768" t="str">
        <f>"406503"</f>
        <v>406503</v>
      </c>
      <c r="B22768" t="s">
        <v>27706</v>
      </c>
      <c r="C22768" t="s">
        <v>2520</v>
      </c>
      <c r="D22768" s="21" t="s">
        <v>34</v>
      </c>
      <c r="E22768" s="21" t="s">
        <v>254</v>
      </c>
      <c r="F22768">
        <v>10400013</v>
      </c>
      <c r="G22768" t="s">
        <v>6238</v>
      </c>
      <c r="H22768" s="21">
        <v>687.92</v>
      </c>
    </row>
    <row r="22769" spans="1:8" customFormat="1" x14ac:dyDescent="0.25">
      <c r="A22769" t="str">
        <f>"5322267"</f>
        <v>5322267</v>
      </c>
      <c r="B22769" t="s">
        <v>16761</v>
      </c>
      <c r="C22769" t="s">
        <v>1803</v>
      </c>
      <c r="D22769" s="21" t="s">
        <v>34</v>
      </c>
      <c r="E22769" s="21" t="s">
        <v>35</v>
      </c>
      <c r="F22769">
        <v>12538909</v>
      </c>
      <c r="G22769" t="s">
        <v>13536</v>
      </c>
      <c r="H22769" s="21">
        <v>687.92</v>
      </c>
    </row>
    <row r="22770" spans="1:8" customFormat="1" x14ac:dyDescent="0.25">
      <c r="A22770" t="str">
        <f>"3714290"</f>
        <v>3714290</v>
      </c>
      <c r="B22770" t="s">
        <v>2189</v>
      </c>
      <c r="C22770" t="s">
        <v>109</v>
      </c>
      <c r="D22770" s="21" t="s">
        <v>34</v>
      </c>
      <c r="E22770" s="21" t="s">
        <v>71</v>
      </c>
      <c r="F22770">
        <v>4370669</v>
      </c>
      <c r="G22770" t="s">
        <v>8189</v>
      </c>
      <c r="H22770" s="21">
        <v>687.92</v>
      </c>
    </row>
    <row r="22771" spans="1:8" customFormat="1" x14ac:dyDescent="0.25">
      <c r="A22771" t="str">
        <f>"457811"</f>
        <v>457811</v>
      </c>
      <c r="B22771" t="s">
        <v>1087</v>
      </c>
      <c r="C22771" t="s">
        <v>1812</v>
      </c>
      <c r="D22771" s="21" t="s">
        <v>34</v>
      </c>
      <c r="E22771" s="21" t="s">
        <v>254</v>
      </c>
      <c r="F22771">
        <v>4450573</v>
      </c>
      <c r="G22771" t="s">
        <v>4106</v>
      </c>
      <c r="H22771" s="21">
        <v>687.79</v>
      </c>
    </row>
    <row r="22772" spans="1:8" customFormat="1" x14ac:dyDescent="0.25">
      <c r="A22772" t="str">
        <f>"0811544"</f>
        <v>0811544</v>
      </c>
      <c r="B22772" t="s">
        <v>7512</v>
      </c>
      <c r="C22772" t="s">
        <v>269</v>
      </c>
      <c r="D22772" s="21" t="s">
        <v>34</v>
      </c>
      <c r="E22772" s="21" t="s">
        <v>35</v>
      </c>
      <c r="F22772">
        <v>6080097</v>
      </c>
      <c r="G22772" t="s">
        <v>18316</v>
      </c>
      <c r="H22772" s="21">
        <v>687.67</v>
      </c>
    </row>
    <row r="22773" spans="1:8" customFormat="1" x14ac:dyDescent="0.25">
      <c r="A22773" t="str">
        <f>"7912858"</f>
        <v>7912858</v>
      </c>
      <c r="B22773" t="s">
        <v>14237</v>
      </c>
      <c r="C22773" t="s">
        <v>55</v>
      </c>
      <c r="D22773" s="21" t="s">
        <v>34</v>
      </c>
      <c r="E22773" s="21" t="s">
        <v>71</v>
      </c>
      <c r="F22773">
        <v>10790039</v>
      </c>
      <c r="G22773" t="s">
        <v>14238</v>
      </c>
      <c r="H22773" s="21">
        <v>687.67</v>
      </c>
    </row>
    <row r="22774" spans="1:8" customFormat="1" x14ac:dyDescent="0.25">
      <c r="A22774" t="str">
        <f>"4429433"</f>
        <v>4429433</v>
      </c>
      <c r="B22774" t="s">
        <v>27707</v>
      </c>
      <c r="C22774" t="s">
        <v>510</v>
      </c>
      <c r="D22774" s="21" t="s">
        <v>34</v>
      </c>
      <c r="E22774" s="21" t="s">
        <v>254</v>
      </c>
      <c r="F22774">
        <v>12440026</v>
      </c>
      <c r="G22774" t="s">
        <v>2987</v>
      </c>
      <c r="H22774" s="21">
        <v>687.67</v>
      </c>
    </row>
    <row r="22775" spans="1:8" customFormat="1" x14ac:dyDescent="0.25">
      <c r="A22775" t="str">
        <f>"421412"</f>
        <v>421412</v>
      </c>
      <c r="B22775" t="s">
        <v>18493</v>
      </c>
      <c r="C22775" t="s">
        <v>2479</v>
      </c>
      <c r="D22775" s="21" t="s">
        <v>34</v>
      </c>
      <c r="E22775" s="21" t="s">
        <v>254</v>
      </c>
      <c r="F22775">
        <v>1420080</v>
      </c>
      <c r="G22775" t="s">
        <v>10230</v>
      </c>
      <c r="H22775" s="21">
        <v>687.67</v>
      </c>
    </row>
    <row r="22776" spans="1:8" customFormat="1" x14ac:dyDescent="0.25">
      <c r="A22776" t="str">
        <f>"183181"</f>
        <v>183181</v>
      </c>
      <c r="B22776" t="s">
        <v>10635</v>
      </c>
      <c r="C22776" t="s">
        <v>236</v>
      </c>
      <c r="D22776" s="21" t="s">
        <v>34</v>
      </c>
      <c r="E22776" s="21" t="s">
        <v>254</v>
      </c>
      <c r="F22776">
        <v>4180485</v>
      </c>
      <c r="G22776" t="s">
        <v>345</v>
      </c>
      <c r="H22776" s="21">
        <v>687.67</v>
      </c>
    </row>
    <row r="22777" spans="1:8" customFormat="1" x14ac:dyDescent="0.25">
      <c r="A22777" t="str">
        <f>"4441639"</f>
        <v>4441639</v>
      </c>
      <c r="B22777" t="s">
        <v>16438</v>
      </c>
      <c r="C22777" t="s">
        <v>4158</v>
      </c>
      <c r="D22777" s="21" t="s">
        <v>34</v>
      </c>
      <c r="E22777" s="21" t="s">
        <v>35</v>
      </c>
      <c r="F22777">
        <v>12440014</v>
      </c>
      <c r="G22777" t="s">
        <v>6767</v>
      </c>
      <c r="H22777" s="21">
        <v>687.67</v>
      </c>
    </row>
    <row r="22778" spans="1:8" customFormat="1" x14ac:dyDescent="0.25">
      <c r="A22778" t="str">
        <f>"664735"</f>
        <v>664735</v>
      </c>
      <c r="B22778" t="s">
        <v>17325</v>
      </c>
      <c r="C22778" t="s">
        <v>639</v>
      </c>
      <c r="D22778" s="21" t="s">
        <v>34</v>
      </c>
      <c r="E22778" s="21" t="s">
        <v>71</v>
      </c>
      <c r="F22778">
        <v>11660001</v>
      </c>
      <c r="G22778" t="s">
        <v>8203</v>
      </c>
      <c r="H22778" s="21">
        <v>687.67</v>
      </c>
    </row>
    <row r="22779" spans="1:8" customFormat="1" x14ac:dyDescent="0.25">
      <c r="A22779" t="str">
        <f>"2514946"</f>
        <v>2514946</v>
      </c>
      <c r="B22779" t="s">
        <v>1547</v>
      </c>
      <c r="C22779" t="s">
        <v>60</v>
      </c>
      <c r="D22779" s="21" t="s">
        <v>34</v>
      </c>
      <c r="E22779" s="21" t="s">
        <v>35</v>
      </c>
      <c r="F22779">
        <v>2250015</v>
      </c>
      <c r="G22779" t="s">
        <v>4776</v>
      </c>
      <c r="H22779" s="21">
        <v>687.67</v>
      </c>
    </row>
    <row r="22780" spans="1:8" customFormat="1" x14ac:dyDescent="0.25">
      <c r="A22780" t="str">
        <f>"6215033"</f>
        <v>6215033</v>
      </c>
      <c r="B22780" t="s">
        <v>5501</v>
      </c>
      <c r="C22780" t="s">
        <v>598</v>
      </c>
      <c r="D22780" s="21" t="s">
        <v>34</v>
      </c>
      <c r="E22780" s="21" t="s">
        <v>71</v>
      </c>
      <c r="F22780">
        <v>7590107</v>
      </c>
      <c r="G22780" t="s">
        <v>17475</v>
      </c>
      <c r="H22780" s="21">
        <v>687.67</v>
      </c>
    </row>
    <row r="22781" spans="1:8" customFormat="1" x14ac:dyDescent="0.25">
      <c r="A22781" t="str">
        <f>"8015895"</f>
        <v>8015895</v>
      </c>
      <c r="B22781" t="s">
        <v>8704</v>
      </c>
      <c r="C22781" t="s">
        <v>40</v>
      </c>
      <c r="D22781" s="21" t="s">
        <v>34</v>
      </c>
      <c r="E22781" s="21" t="s">
        <v>71</v>
      </c>
      <c r="F22781">
        <v>7800003</v>
      </c>
      <c r="G22781" t="s">
        <v>276</v>
      </c>
      <c r="H22781" s="21">
        <v>687.67</v>
      </c>
    </row>
    <row r="22782" spans="1:8" customFormat="1" x14ac:dyDescent="0.25">
      <c r="A22782" t="str">
        <f>"4936702"</f>
        <v>4936702</v>
      </c>
      <c r="B22782" t="s">
        <v>9208</v>
      </c>
      <c r="C22782" t="s">
        <v>49</v>
      </c>
      <c r="D22782" s="21" t="s">
        <v>34</v>
      </c>
      <c r="E22782" s="21" t="s">
        <v>35</v>
      </c>
      <c r="F22782">
        <v>12490023</v>
      </c>
      <c r="G22782" t="s">
        <v>4979</v>
      </c>
      <c r="H22782" s="21">
        <v>687.67</v>
      </c>
    </row>
    <row r="22783" spans="1:8" customFormat="1" x14ac:dyDescent="0.25">
      <c r="A22783" t="str">
        <f>"4430184"</f>
        <v>4430184</v>
      </c>
      <c r="B22783" t="s">
        <v>5614</v>
      </c>
      <c r="C22783" t="s">
        <v>249</v>
      </c>
      <c r="D22783" s="21" t="s">
        <v>34</v>
      </c>
      <c r="E22783" s="21" t="s">
        <v>71</v>
      </c>
      <c r="F22783">
        <v>12440081</v>
      </c>
      <c r="G22783" t="s">
        <v>617</v>
      </c>
      <c r="H22783" s="21">
        <v>687.67</v>
      </c>
    </row>
    <row r="22784" spans="1:8" customFormat="1" x14ac:dyDescent="0.25">
      <c r="A22784" t="str">
        <f>"7837921"</f>
        <v>7837921</v>
      </c>
      <c r="B22784" t="s">
        <v>17040</v>
      </c>
      <c r="C22784" t="s">
        <v>328</v>
      </c>
      <c r="D22784" s="21" t="s">
        <v>34</v>
      </c>
      <c r="E22784" s="21" t="s">
        <v>35</v>
      </c>
      <c r="F22784">
        <v>8781094</v>
      </c>
      <c r="G22784" t="s">
        <v>7875</v>
      </c>
      <c r="H22784" s="21">
        <v>687.67</v>
      </c>
    </row>
    <row r="22785" spans="1:8" customFormat="1" x14ac:dyDescent="0.25">
      <c r="A22785" t="str">
        <f>"9225197"</f>
        <v>9225197</v>
      </c>
      <c r="B22785" t="s">
        <v>14198</v>
      </c>
      <c r="C22785" t="s">
        <v>285</v>
      </c>
      <c r="D22785" s="21" t="s">
        <v>34</v>
      </c>
      <c r="E22785" s="21" t="s">
        <v>254</v>
      </c>
      <c r="F22785">
        <v>8920031</v>
      </c>
      <c r="G22785" t="s">
        <v>552</v>
      </c>
      <c r="H22785" s="21">
        <v>687.67</v>
      </c>
    </row>
    <row r="22786" spans="1:8" customFormat="1" x14ac:dyDescent="0.25">
      <c r="A22786" t="str">
        <f>"7716901"</f>
        <v>7716901</v>
      </c>
      <c r="B22786" t="s">
        <v>7498</v>
      </c>
      <c r="C22786" t="s">
        <v>412</v>
      </c>
      <c r="D22786" s="21" t="s">
        <v>34</v>
      </c>
      <c r="E22786" s="21" t="s">
        <v>71</v>
      </c>
      <c r="F22786">
        <v>8771506</v>
      </c>
      <c r="G22786" t="s">
        <v>7314</v>
      </c>
      <c r="H22786" s="21">
        <v>687.67</v>
      </c>
    </row>
    <row r="22787" spans="1:8" customFormat="1" x14ac:dyDescent="0.25">
      <c r="A22787" t="str">
        <f>"3536113"</f>
        <v>3536113</v>
      </c>
      <c r="B22787" t="s">
        <v>8662</v>
      </c>
      <c r="C22787" t="s">
        <v>528</v>
      </c>
      <c r="D22787" s="21" t="s">
        <v>34</v>
      </c>
      <c r="E22787" s="21" t="s">
        <v>254</v>
      </c>
      <c r="F22787">
        <v>3350221</v>
      </c>
      <c r="G22787" t="s">
        <v>14681</v>
      </c>
      <c r="H22787" s="21">
        <v>687.67</v>
      </c>
    </row>
    <row r="22788" spans="1:8" customFormat="1" x14ac:dyDescent="0.25">
      <c r="A22788" t="str">
        <f>"5966232"</f>
        <v>5966232</v>
      </c>
      <c r="B22788" t="s">
        <v>4095</v>
      </c>
      <c r="C22788" t="s">
        <v>65</v>
      </c>
      <c r="D22788" s="21" t="s">
        <v>34</v>
      </c>
      <c r="E22788" s="21" t="s">
        <v>35</v>
      </c>
      <c r="F22788">
        <v>7590393</v>
      </c>
      <c r="G22788" t="s">
        <v>7754</v>
      </c>
      <c r="H22788" s="21">
        <v>687.67</v>
      </c>
    </row>
    <row r="22789" spans="1:8" customFormat="1" x14ac:dyDescent="0.25">
      <c r="A22789" t="str">
        <f>"7624617"</f>
        <v>7624617</v>
      </c>
      <c r="B22789" t="s">
        <v>10812</v>
      </c>
      <c r="C22789" t="s">
        <v>598</v>
      </c>
      <c r="D22789" s="21" t="s">
        <v>34</v>
      </c>
      <c r="E22789" s="21" t="s">
        <v>254</v>
      </c>
      <c r="F22789">
        <v>9760041</v>
      </c>
      <c r="G22789" t="s">
        <v>452</v>
      </c>
      <c r="H22789" s="21">
        <v>687.67</v>
      </c>
    </row>
    <row r="22790" spans="1:8" customFormat="1" x14ac:dyDescent="0.25">
      <c r="A22790" t="str">
        <f>"244118"</f>
        <v>244118</v>
      </c>
      <c r="B22790" t="s">
        <v>27708</v>
      </c>
      <c r="C22790" t="s">
        <v>462</v>
      </c>
      <c r="D22790" s="21" t="s">
        <v>34</v>
      </c>
      <c r="E22790" s="21" t="s">
        <v>71</v>
      </c>
      <c r="F22790">
        <v>10240003</v>
      </c>
      <c r="G22790" t="s">
        <v>2940</v>
      </c>
      <c r="H22790" s="21">
        <v>687.67</v>
      </c>
    </row>
    <row r="22791" spans="1:8" customFormat="1" x14ac:dyDescent="0.25">
      <c r="A22791" t="str">
        <f>"5956165"</f>
        <v>5956165</v>
      </c>
      <c r="B22791" t="s">
        <v>16860</v>
      </c>
      <c r="C22791" t="s">
        <v>269</v>
      </c>
      <c r="D22791" s="21" t="s">
        <v>34</v>
      </c>
      <c r="E22791" s="21" t="s">
        <v>1089</v>
      </c>
      <c r="F22791">
        <v>7590127</v>
      </c>
      <c r="G22791" t="s">
        <v>214</v>
      </c>
      <c r="H22791" s="21">
        <v>687.67</v>
      </c>
    </row>
    <row r="22792" spans="1:8" customFormat="1" x14ac:dyDescent="0.25">
      <c r="A22792" t="str">
        <f>"5020643"</f>
        <v>5020643</v>
      </c>
      <c r="B22792" t="s">
        <v>21422</v>
      </c>
      <c r="C22792" t="s">
        <v>1559</v>
      </c>
      <c r="D22792" s="21" t="s">
        <v>34</v>
      </c>
      <c r="E22792" s="21" t="s">
        <v>35</v>
      </c>
      <c r="F22792">
        <v>9500069</v>
      </c>
      <c r="G22792" t="s">
        <v>26997</v>
      </c>
      <c r="H22792" s="21">
        <v>687.67</v>
      </c>
    </row>
    <row r="22793" spans="1:8" customFormat="1" x14ac:dyDescent="0.25">
      <c r="A22793" t="str">
        <f>"687881"</f>
        <v>687881</v>
      </c>
      <c r="B22793" t="s">
        <v>16584</v>
      </c>
      <c r="C22793" t="s">
        <v>236</v>
      </c>
      <c r="D22793" s="21" t="s">
        <v>34</v>
      </c>
      <c r="E22793" s="21" t="s">
        <v>71</v>
      </c>
      <c r="F22793">
        <v>6680090</v>
      </c>
      <c r="G22793" t="s">
        <v>3129</v>
      </c>
      <c r="H22793" s="21">
        <v>687.67</v>
      </c>
    </row>
    <row r="22794" spans="1:8" customFormat="1" x14ac:dyDescent="0.25">
      <c r="A22794" t="str">
        <f>"9229939"</f>
        <v>9229939</v>
      </c>
      <c r="B22794" t="s">
        <v>593</v>
      </c>
      <c r="C22794" t="s">
        <v>209</v>
      </c>
      <c r="D22794" s="21" t="s">
        <v>34</v>
      </c>
      <c r="E22794" s="21" t="s">
        <v>35</v>
      </c>
      <c r="F22794">
        <v>9270041</v>
      </c>
      <c r="G22794" t="s">
        <v>4698</v>
      </c>
      <c r="H22794" s="21">
        <v>687.67</v>
      </c>
    </row>
    <row r="22795" spans="1:8" customFormat="1" x14ac:dyDescent="0.25">
      <c r="A22795" t="str">
        <f>"5731129"</f>
        <v>5731129</v>
      </c>
      <c r="B22795" t="s">
        <v>18268</v>
      </c>
      <c r="C22795" t="s">
        <v>55</v>
      </c>
      <c r="D22795" s="21" t="s">
        <v>34</v>
      </c>
      <c r="E22795" s="21" t="s">
        <v>35</v>
      </c>
      <c r="F22795">
        <v>6570154</v>
      </c>
      <c r="G22795" t="s">
        <v>3935</v>
      </c>
      <c r="H22795" s="21">
        <v>687.67</v>
      </c>
    </row>
    <row r="22796" spans="1:8" customFormat="1" x14ac:dyDescent="0.25">
      <c r="A22796" t="str">
        <f>"4416362"</f>
        <v>4416362</v>
      </c>
      <c r="B22796" t="s">
        <v>16452</v>
      </c>
      <c r="C22796" t="s">
        <v>169</v>
      </c>
      <c r="D22796" s="21" t="s">
        <v>34</v>
      </c>
      <c r="E22796" s="21" t="s">
        <v>35</v>
      </c>
      <c r="F22796">
        <v>12440147</v>
      </c>
      <c r="G22796" t="s">
        <v>5472</v>
      </c>
      <c r="H22796" s="21">
        <v>687.67</v>
      </c>
    </row>
    <row r="22797" spans="1:8" customFormat="1" x14ac:dyDescent="0.25">
      <c r="A22797" t="str">
        <f>"5972541"</f>
        <v>5972541</v>
      </c>
      <c r="B22797" t="s">
        <v>27709</v>
      </c>
      <c r="C22797" t="s">
        <v>486</v>
      </c>
      <c r="D22797" s="21" t="s">
        <v>34</v>
      </c>
      <c r="E22797" s="21" t="s">
        <v>35</v>
      </c>
      <c r="F22797">
        <v>7620049</v>
      </c>
      <c r="G22797" t="s">
        <v>1176</v>
      </c>
      <c r="H22797" s="21">
        <v>687.54</v>
      </c>
    </row>
    <row r="22798" spans="1:8" customFormat="1" x14ac:dyDescent="0.25">
      <c r="A22798" t="str">
        <f>"5410849"</f>
        <v>5410849</v>
      </c>
      <c r="B22798" t="s">
        <v>15961</v>
      </c>
      <c r="C22798" t="s">
        <v>263</v>
      </c>
      <c r="D22798" s="21" t="s">
        <v>34</v>
      </c>
      <c r="E22798" s="21" t="s">
        <v>254</v>
      </c>
      <c r="F22798">
        <v>6540036</v>
      </c>
      <c r="G22798" t="s">
        <v>3612</v>
      </c>
      <c r="H22798" s="21">
        <v>687.42</v>
      </c>
    </row>
    <row r="22799" spans="1:8" customFormat="1" x14ac:dyDescent="0.25">
      <c r="A22799" t="str">
        <f>"3117310"</f>
        <v>3117310</v>
      </c>
      <c r="B22799" t="s">
        <v>3978</v>
      </c>
      <c r="C22799" t="s">
        <v>20800</v>
      </c>
      <c r="D22799" s="21" t="s">
        <v>34</v>
      </c>
      <c r="E22799" s="21" t="s">
        <v>71</v>
      </c>
      <c r="F22799">
        <v>11310070</v>
      </c>
      <c r="G22799" t="s">
        <v>11563</v>
      </c>
      <c r="H22799" s="21">
        <v>687.17</v>
      </c>
    </row>
    <row r="22800" spans="1:8" customFormat="1" x14ac:dyDescent="0.25">
      <c r="A22800" t="str">
        <f>"6316464"</f>
        <v>6316464</v>
      </c>
      <c r="B22800" t="s">
        <v>6681</v>
      </c>
      <c r="C22800" t="s">
        <v>119</v>
      </c>
      <c r="D22800" s="21" t="s">
        <v>34</v>
      </c>
      <c r="E22800" s="21" t="s">
        <v>35</v>
      </c>
      <c r="F22800">
        <v>1630325</v>
      </c>
      <c r="G22800" t="s">
        <v>10751</v>
      </c>
      <c r="H22800" s="21">
        <v>687.17</v>
      </c>
    </row>
    <row r="22801" spans="1:8" customFormat="1" x14ac:dyDescent="0.25">
      <c r="A22801" t="str">
        <f>"444900"</f>
        <v>444900</v>
      </c>
      <c r="B22801" t="s">
        <v>4352</v>
      </c>
      <c r="C22801" t="s">
        <v>415</v>
      </c>
      <c r="D22801" s="21" t="s">
        <v>34</v>
      </c>
      <c r="E22801" s="21" t="s">
        <v>1089</v>
      </c>
      <c r="F22801">
        <v>12440038</v>
      </c>
      <c r="G22801" t="s">
        <v>2057</v>
      </c>
      <c r="H22801" s="21">
        <v>687.17</v>
      </c>
    </row>
    <row r="22802" spans="1:8" customFormat="1" x14ac:dyDescent="0.25">
      <c r="A22802" t="str">
        <f>"9137964"</f>
        <v>9137964</v>
      </c>
      <c r="B22802" t="s">
        <v>3947</v>
      </c>
      <c r="C22802" t="s">
        <v>144</v>
      </c>
      <c r="D22802" s="21" t="s">
        <v>34</v>
      </c>
      <c r="E22802" s="21" t="s">
        <v>254</v>
      </c>
      <c r="F22802">
        <v>13830013</v>
      </c>
      <c r="G22802" t="s">
        <v>3374</v>
      </c>
      <c r="H22802" s="21">
        <v>687.17</v>
      </c>
    </row>
    <row r="22803" spans="1:8" customFormat="1" x14ac:dyDescent="0.25">
      <c r="A22803" t="str">
        <f>"721098"</f>
        <v>721098</v>
      </c>
      <c r="B22803" t="s">
        <v>17314</v>
      </c>
      <c r="C22803" t="s">
        <v>198</v>
      </c>
      <c r="D22803" s="21" t="s">
        <v>34</v>
      </c>
      <c r="E22803" s="21" t="s">
        <v>254</v>
      </c>
      <c r="F22803">
        <v>12720034</v>
      </c>
      <c r="G22803" t="s">
        <v>4561</v>
      </c>
      <c r="H22803" s="21">
        <v>687.17</v>
      </c>
    </row>
    <row r="22804" spans="1:8" customFormat="1" x14ac:dyDescent="0.25">
      <c r="A22804" t="str">
        <f>"8522491"</f>
        <v>8522491</v>
      </c>
      <c r="B22804" t="s">
        <v>2313</v>
      </c>
      <c r="C22804" t="s">
        <v>17306</v>
      </c>
      <c r="D22804" s="21" t="s">
        <v>34</v>
      </c>
      <c r="E22804" s="21" t="s">
        <v>1089</v>
      </c>
      <c r="F22804">
        <v>12850072</v>
      </c>
      <c r="G22804" t="s">
        <v>7184</v>
      </c>
      <c r="H22804" s="21">
        <v>687.17</v>
      </c>
    </row>
    <row r="22805" spans="1:8" customFormat="1" x14ac:dyDescent="0.25">
      <c r="A22805" t="str">
        <f>"855167"</f>
        <v>855167</v>
      </c>
      <c r="B22805" t="s">
        <v>14226</v>
      </c>
      <c r="C22805" t="s">
        <v>547</v>
      </c>
      <c r="D22805" s="21" t="s">
        <v>34</v>
      </c>
      <c r="E22805" s="21" t="s">
        <v>71</v>
      </c>
      <c r="F22805">
        <v>12850095</v>
      </c>
      <c r="G22805" t="s">
        <v>13112</v>
      </c>
      <c r="H22805" s="21">
        <v>687.17</v>
      </c>
    </row>
    <row r="22806" spans="1:8" customFormat="1" x14ac:dyDescent="0.25">
      <c r="A22806" t="str">
        <f>"4438937"</f>
        <v>4438937</v>
      </c>
      <c r="B22806" t="s">
        <v>2842</v>
      </c>
      <c r="C22806" t="s">
        <v>249</v>
      </c>
      <c r="D22806" s="21" t="s">
        <v>34</v>
      </c>
      <c r="E22806" s="21" t="s">
        <v>71</v>
      </c>
      <c r="F22806">
        <v>12440020</v>
      </c>
      <c r="G22806" t="s">
        <v>4606</v>
      </c>
      <c r="H22806" s="21">
        <v>687.17</v>
      </c>
    </row>
    <row r="22807" spans="1:8" customFormat="1" x14ac:dyDescent="0.25">
      <c r="A22807" t="str">
        <f>"5966675"</f>
        <v>5966675</v>
      </c>
      <c r="B22807" t="s">
        <v>19704</v>
      </c>
      <c r="C22807" t="s">
        <v>109</v>
      </c>
      <c r="D22807" s="21" t="s">
        <v>34</v>
      </c>
      <c r="E22807" s="21" t="s">
        <v>71</v>
      </c>
      <c r="F22807">
        <v>7590074</v>
      </c>
      <c r="G22807" t="s">
        <v>1992</v>
      </c>
      <c r="H22807" s="21">
        <v>687.17</v>
      </c>
    </row>
    <row r="22808" spans="1:8" customFormat="1" x14ac:dyDescent="0.25">
      <c r="A22808" t="str">
        <f>"133860"</f>
        <v>133860</v>
      </c>
      <c r="B22808" t="s">
        <v>16802</v>
      </c>
      <c r="C22808" t="s">
        <v>124</v>
      </c>
      <c r="D22808" s="21" t="s">
        <v>34</v>
      </c>
      <c r="E22808" s="21" t="s">
        <v>71</v>
      </c>
      <c r="F22808">
        <v>13130158</v>
      </c>
      <c r="G22808" t="s">
        <v>3215</v>
      </c>
      <c r="H22808" s="21">
        <v>687.17</v>
      </c>
    </row>
    <row r="22809" spans="1:8" customFormat="1" x14ac:dyDescent="0.25">
      <c r="A22809" t="str">
        <f>"3522753"</f>
        <v>3522753</v>
      </c>
      <c r="B22809" t="s">
        <v>4711</v>
      </c>
      <c r="C22809" t="s">
        <v>269</v>
      </c>
      <c r="D22809" s="21" t="s">
        <v>34</v>
      </c>
      <c r="E22809" s="21" t="s">
        <v>71</v>
      </c>
      <c r="F22809">
        <v>3350113</v>
      </c>
      <c r="G22809" t="s">
        <v>7631</v>
      </c>
      <c r="H22809" s="21">
        <v>687.17</v>
      </c>
    </row>
    <row r="22810" spans="1:8" customFormat="1" x14ac:dyDescent="0.25">
      <c r="A22810" t="str">
        <f>"7852726"</f>
        <v>7852726</v>
      </c>
      <c r="B22810" t="s">
        <v>18247</v>
      </c>
      <c r="C22810" t="s">
        <v>817</v>
      </c>
      <c r="D22810" s="21" t="s">
        <v>34</v>
      </c>
      <c r="E22810" s="21" t="s">
        <v>71</v>
      </c>
      <c r="F22810">
        <v>8780353</v>
      </c>
      <c r="G22810" t="s">
        <v>6524</v>
      </c>
      <c r="H22810" s="21">
        <v>687.17</v>
      </c>
    </row>
    <row r="22811" spans="1:8" customFormat="1" x14ac:dyDescent="0.25">
      <c r="A22811" t="str">
        <f>"5611150"</f>
        <v>5611150</v>
      </c>
      <c r="B22811" t="s">
        <v>2263</v>
      </c>
      <c r="C22811" t="s">
        <v>360</v>
      </c>
      <c r="D22811" s="21" t="s">
        <v>34</v>
      </c>
      <c r="E22811" s="21" t="s">
        <v>71</v>
      </c>
      <c r="F22811">
        <v>3560053</v>
      </c>
      <c r="G22811" t="s">
        <v>298</v>
      </c>
      <c r="H22811" s="21">
        <v>687.17</v>
      </c>
    </row>
    <row r="22812" spans="1:8" customFormat="1" x14ac:dyDescent="0.25">
      <c r="A22812" t="str">
        <f>"5951557"</f>
        <v>5951557</v>
      </c>
      <c r="B22812" t="s">
        <v>1048</v>
      </c>
      <c r="C22812" t="s">
        <v>544</v>
      </c>
      <c r="D22812" s="21" t="s">
        <v>34</v>
      </c>
      <c r="E22812" s="21" t="s">
        <v>35</v>
      </c>
      <c r="F22812">
        <v>7590046</v>
      </c>
      <c r="G22812" t="s">
        <v>12324</v>
      </c>
      <c r="H22812" s="21">
        <v>687.17</v>
      </c>
    </row>
    <row r="22813" spans="1:8" customFormat="1" x14ac:dyDescent="0.25">
      <c r="A22813" t="str">
        <f>"5019540"</f>
        <v>5019540</v>
      </c>
      <c r="B22813" t="s">
        <v>19730</v>
      </c>
      <c r="C22813" t="s">
        <v>741</v>
      </c>
      <c r="D22813" s="21" t="s">
        <v>34</v>
      </c>
      <c r="E22813" s="21" t="s">
        <v>35</v>
      </c>
      <c r="F22813">
        <v>9500143</v>
      </c>
      <c r="G22813" t="s">
        <v>2884</v>
      </c>
      <c r="H22813" s="21">
        <v>687.17</v>
      </c>
    </row>
    <row r="22814" spans="1:8" customFormat="1" x14ac:dyDescent="0.25">
      <c r="A22814" t="str">
        <f>"751675"</f>
        <v>751675</v>
      </c>
      <c r="B22814" t="s">
        <v>17732</v>
      </c>
      <c r="C22814" t="s">
        <v>379</v>
      </c>
      <c r="D22814" s="21" t="s">
        <v>34</v>
      </c>
      <c r="E22814" s="21" t="s">
        <v>1089</v>
      </c>
      <c r="F22814">
        <v>11340071</v>
      </c>
      <c r="G22814" t="s">
        <v>17733</v>
      </c>
      <c r="H22814" s="21">
        <v>687.17</v>
      </c>
    </row>
    <row r="22815" spans="1:8" customFormat="1" x14ac:dyDescent="0.25">
      <c r="A22815" t="str">
        <f>"5020237"</f>
        <v>5020237</v>
      </c>
      <c r="B22815" t="s">
        <v>6160</v>
      </c>
      <c r="C22815" t="s">
        <v>453</v>
      </c>
      <c r="D22815" s="21" t="s">
        <v>34</v>
      </c>
      <c r="E22815" s="21" t="s">
        <v>254</v>
      </c>
      <c r="F22815">
        <v>9500164</v>
      </c>
      <c r="G22815" t="s">
        <v>9818</v>
      </c>
      <c r="H22815" s="21">
        <v>687.17</v>
      </c>
    </row>
    <row r="22816" spans="1:8" customFormat="1" x14ac:dyDescent="0.25">
      <c r="A22816" t="str">
        <f>"3534508"</f>
        <v>3534508</v>
      </c>
      <c r="B22816" t="s">
        <v>17281</v>
      </c>
      <c r="C22816" t="s">
        <v>269</v>
      </c>
      <c r="D22816" s="21" t="s">
        <v>34</v>
      </c>
      <c r="E22816" s="21" t="s">
        <v>35</v>
      </c>
      <c r="F22816">
        <v>3350023</v>
      </c>
      <c r="G22816" t="s">
        <v>12401</v>
      </c>
      <c r="H22816" s="21">
        <v>687.17</v>
      </c>
    </row>
    <row r="22817" spans="1:8" customFormat="1" x14ac:dyDescent="0.25">
      <c r="A22817" t="str">
        <f>"5974701"</f>
        <v>5974701</v>
      </c>
      <c r="B22817" t="s">
        <v>16590</v>
      </c>
      <c r="C22817" t="s">
        <v>121</v>
      </c>
      <c r="D22817" s="21" t="s">
        <v>34</v>
      </c>
      <c r="E22817" s="21" t="s">
        <v>35</v>
      </c>
      <c r="F22817">
        <v>7590259</v>
      </c>
      <c r="G22817" t="s">
        <v>6385</v>
      </c>
      <c r="H22817" s="21">
        <v>687.17</v>
      </c>
    </row>
    <row r="22818" spans="1:8" customFormat="1" x14ac:dyDescent="0.25">
      <c r="A22818" t="str">
        <f>"759939"</f>
        <v>759939</v>
      </c>
      <c r="B22818" t="s">
        <v>11984</v>
      </c>
      <c r="C22818" t="s">
        <v>1025</v>
      </c>
      <c r="D22818" s="21" t="s">
        <v>34</v>
      </c>
      <c r="E22818" s="21" t="s">
        <v>254</v>
      </c>
      <c r="F22818">
        <v>8750007</v>
      </c>
      <c r="G22818" t="s">
        <v>775</v>
      </c>
      <c r="H22818" s="21">
        <v>687.17</v>
      </c>
    </row>
    <row r="22819" spans="1:8" customFormat="1" x14ac:dyDescent="0.25">
      <c r="A22819" t="str">
        <f>"7847731"</f>
        <v>7847731</v>
      </c>
      <c r="B22819" t="s">
        <v>17595</v>
      </c>
      <c r="C22819" t="s">
        <v>198</v>
      </c>
      <c r="D22819" s="21" t="s">
        <v>34</v>
      </c>
      <c r="E22819" s="21" t="s">
        <v>1089</v>
      </c>
      <c r="F22819">
        <v>10160029</v>
      </c>
      <c r="G22819" t="s">
        <v>896</v>
      </c>
      <c r="H22819" s="21">
        <v>687.17</v>
      </c>
    </row>
    <row r="22820" spans="1:8" customFormat="1" x14ac:dyDescent="0.25">
      <c r="A22820" t="str">
        <f>"104179"</f>
        <v>104179</v>
      </c>
      <c r="B22820" t="s">
        <v>17187</v>
      </c>
      <c r="C22820" t="s">
        <v>209</v>
      </c>
      <c r="D22820" s="21" t="s">
        <v>34</v>
      </c>
      <c r="E22820" s="21" t="s">
        <v>254</v>
      </c>
      <c r="F22820">
        <v>6100015</v>
      </c>
      <c r="G22820" t="s">
        <v>6173</v>
      </c>
      <c r="H22820" s="21">
        <v>687.17</v>
      </c>
    </row>
    <row r="22821" spans="1:8" customFormat="1" x14ac:dyDescent="0.25">
      <c r="A22821" t="str">
        <f>"6948119"</f>
        <v>6948119</v>
      </c>
      <c r="B22821" t="s">
        <v>67</v>
      </c>
      <c r="C22821" t="s">
        <v>239</v>
      </c>
      <c r="D22821" s="21" t="s">
        <v>34</v>
      </c>
      <c r="E22821" s="21" t="s">
        <v>254</v>
      </c>
      <c r="F22821">
        <v>1690220</v>
      </c>
      <c r="G22821" t="s">
        <v>16783</v>
      </c>
      <c r="H22821" s="21">
        <v>687.17</v>
      </c>
    </row>
    <row r="22822" spans="1:8" customFormat="1" x14ac:dyDescent="0.25">
      <c r="A22822" t="str">
        <f>"1611425"</f>
        <v>1611425</v>
      </c>
      <c r="B22822" t="s">
        <v>6507</v>
      </c>
      <c r="C22822" t="s">
        <v>65</v>
      </c>
      <c r="D22822" s="21" t="s">
        <v>34</v>
      </c>
      <c r="E22822" s="21" t="s">
        <v>35</v>
      </c>
      <c r="F22822">
        <v>10160236</v>
      </c>
      <c r="G22822" t="s">
        <v>7202</v>
      </c>
      <c r="H22822" s="21">
        <v>687.17</v>
      </c>
    </row>
    <row r="22823" spans="1:8" customFormat="1" x14ac:dyDescent="0.25">
      <c r="A22823" t="str">
        <f>"3013265"</f>
        <v>3013265</v>
      </c>
      <c r="B22823" t="s">
        <v>19209</v>
      </c>
      <c r="C22823" t="s">
        <v>114</v>
      </c>
      <c r="D22823" s="21" t="s">
        <v>34</v>
      </c>
      <c r="E22823" s="21" t="s">
        <v>71</v>
      </c>
      <c r="F22823">
        <v>11300003</v>
      </c>
      <c r="G22823" t="s">
        <v>7949</v>
      </c>
      <c r="H22823" s="21">
        <v>687.17</v>
      </c>
    </row>
    <row r="22824" spans="1:8" customFormat="1" x14ac:dyDescent="0.25">
      <c r="A22824" t="str">
        <f>"5424523"</f>
        <v>5424523</v>
      </c>
      <c r="B22824" t="s">
        <v>18310</v>
      </c>
      <c r="C22824" t="s">
        <v>33</v>
      </c>
      <c r="D22824" s="21" t="s">
        <v>34</v>
      </c>
      <c r="E22824" s="21" t="s">
        <v>35</v>
      </c>
      <c r="F22824">
        <v>6540104</v>
      </c>
      <c r="G22824" t="s">
        <v>10448</v>
      </c>
      <c r="H22824" s="21">
        <v>687.04</v>
      </c>
    </row>
    <row r="22825" spans="1:8" customFormat="1" x14ac:dyDescent="0.25">
      <c r="A22825" t="str">
        <f>"9243175"</f>
        <v>9243175</v>
      </c>
      <c r="B22825" t="s">
        <v>16762</v>
      </c>
      <c r="C22825" t="s">
        <v>156</v>
      </c>
      <c r="D22825" s="21" t="s">
        <v>34</v>
      </c>
      <c r="E22825" s="21" t="s">
        <v>254</v>
      </c>
      <c r="F22825">
        <v>8920049</v>
      </c>
      <c r="G22825" t="s">
        <v>237</v>
      </c>
      <c r="H22825" s="21">
        <v>687.04</v>
      </c>
    </row>
    <row r="22826" spans="1:8" customFormat="1" x14ac:dyDescent="0.25">
      <c r="A22826" t="str">
        <f>"0114043"</f>
        <v>0114043</v>
      </c>
      <c r="B22826" t="s">
        <v>9875</v>
      </c>
      <c r="C22826" t="s">
        <v>967</v>
      </c>
      <c r="D22826" s="21" t="s">
        <v>34</v>
      </c>
      <c r="E22826" s="21" t="s">
        <v>35</v>
      </c>
      <c r="F22826">
        <v>1010031</v>
      </c>
      <c r="G22826" t="s">
        <v>8957</v>
      </c>
      <c r="H22826" s="21">
        <v>687</v>
      </c>
    </row>
    <row r="22827" spans="1:8" customFormat="1" x14ac:dyDescent="0.25">
      <c r="A22827" t="str">
        <f>"854577"</f>
        <v>854577</v>
      </c>
      <c r="B22827" t="s">
        <v>17438</v>
      </c>
      <c r="C22827" t="s">
        <v>2520</v>
      </c>
      <c r="D22827" s="21" t="s">
        <v>34</v>
      </c>
      <c r="E22827" s="21" t="s">
        <v>254</v>
      </c>
      <c r="F22827">
        <v>12850020</v>
      </c>
      <c r="G22827" t="s">
        <v>725</v>
      </c>
      <c r="H22827" s="21">
        <v>687</v>
      </c>
    </row>
    <row r="22828" spans="1:8" customFormat="1" x14ac:dyDescent="0.25">
      <c r="A22828" t="str">
        <f>"724480"</f>
        <v>724480</v>
      </c>
      <c r="B22828" t="s">
        <v>27710</v>
      </c>
      <c r="C22828" t="s">
        <v>171</v>
      </c>
      <c r="D22828" s="21" t="s">
        <v>34</v>
      </c>
      <c r="E22828" s="21" t="s">
        <v>35</v>
      </c>
      <c r="F22828">
        <v>12720062</v>
      </c>
      <c r="G22828" t="s">
        <v>4026</v>
      </c>
      <c r="H22828" s="21">
        <v>686.92</v>
      </c>
    </row>
    <row r="22829" spans="1:8" customFormat="1" x14ac:dyDescent="0.25">
      <c r="A22829" t="str">
        <f>"2712441"</f>
        <v>2712441</v>
      </c>
      <c r="B22829" t="s">
        <v>17388</v>
      </c>
      <c r="C22829" t="s">
        <v>1665</v>
      </c>
      <c r="D22829" s="21" t="s">
        <v>34</v>
      </c>
      <c r="E22829" s="21" t="s">
        <v>1089</v>
      </c>
      <c r="F22829">
        <v>9270187</v>
      </c>
      <c r="G22829" t="s">
        <v>6733</v>
      </c>
      <c r="H22829" s="21">
        <v>686.67</v>
      </c>
    </row>
    <row r="22830" spans="1:8" customFormat="1" x14ac:dyDescent="0.25">
      <c r="A22830" t="str">
        <f>"3517703"</f>
        <v>3517703</v>
      </c>
      <c r="B22830" t="s">
        <v>16317</v>
      </c>
      <c r="C22830" t="s">
        <v>2305</v>
      </c>
      <c r="D22830" s="21" t="s">
        <v>34</v>
      </c>
      <c r="E22830" s="21" t="s">
        <v>1089</v>
      </c>
      <c r="F22830">
        <v>3350090</v>
      </c>
      <c r="G22830" t="s">
        <v>9659</v>
      </c>
      <c r="H22830" s="21">
        <v>686.67</v>
      </c>
    </row>
    <row r="22831" spans="1:8" customFormat="1" x14ac:dyDescent="0.25">
      <c r="A22831" t="str">
        <f>"9981"</f>
        <v>9981</v>
      </c>
      <c r="B22831" t="s">
        <v>17068</v>
      </c>
      <c r="C22831" t="s">
        <v>2305</v>
      </c>
      <c r="D22831" s="21" t="s">
        <v>34</v>
      </c>
      <c r="E22831" s="21" t="s">
        <v>35</v>
      </c>
      <c r="F22831">
        <v>5980004</v>
      </c>
      <c r="G22831" t="s">
        <v>3869</v>
      </c>
      <c r="H22831" s="21">
        <v>686.67</v>
      </c>
    </row>
    <row r="22832" spans="1:8" customFormat="1" x14ac:dyDescent="0.25">
      <c r="A22832" t="str">
        <f>"6227353"</f>
        <v>6227353</v>
      </c>
      <c r="B22832" t="s">
        <v>17227</v>
      </c>
      <c r="C22832" t="s">
        <v>204</v>
      </c>
      <c r="D22832" s="21" t="s">
        <v>34</v>
      </c>
      <c r="E22832" s="21" t="s">
        <v>35</v>
      </c>
      <c r="F22832">
        <v>7620147</v>
      </c>
      <c r="G22832" t="s">
        <v>4455</v>
      </c>
      <c r="H22832" s="21">
        <v>686.67</v>
      </c>
    </row>
    <row r="22833" spans="1:8" customFormat="1" x14ac:dyDescent="0.25">
      <c r="A22833" t="str">
        <f>"133617"</f>
        <v>133617</v>
      </c>
      <c r="B22833" t="s">
        <v>3978</v>
      </c>
      <c r="C22833" t="s">
        <v>233</v>
      </c>
      <c r="D22833" s="21" t="s">
        <v>34</v>
      </c>
      <c r="E22833" s="21" t="s">
        <v>71</v>
      </c>
      <c r="F22833">
        <v>13130154</v>
      </c>
      <c r="G22833" t="s">
        <v>5503</v>
      </c>
      <c r="H22833" s="21">
        <v>686.67</v>
      </c>
    </row>
    <row r="22834" spans="1:8" customFormat="1" x14ac:dyDescent="0.25">
      <c r="A22834" t="str">
        <f>"9421284"</f>
        <v>9421284</v>
      </c>
      <c r="B22834" t="s">
        <v>17981</v>
      </c>
      <c r="C22834" t="s">
        <v>246</v>
      </c>
      <c r="D22834" s="21" t="s">
        <v>34</v>
      </c>
      <c r="E22834" s="21" t="s">
        <v>254</v>
      </c>
      <c r="F22834">
        <v>8940073</v>
      </c>
      <c r="G22834" t="s">
        <v>1085</v>
      </c>
      <c r="H22834" s="21">
        <v>686.67</v>
      </c>
    </row>
    <row r="22835" spans="1:8" customFormat="1" x14ac:dyDescent="0.25">
      <c r="A22835" t="str">
        <f>"3513106"</f>
        <v>3513106</v>
      </c>
      <c r="B22835" t="s">
        <v>18010</v>
      </c>
      <c r="C22835" t="s">
        <v>169</v>
      </c>
      <c r="D22835" s="21" t="s">
        <v>34</v>
      </c>
      <c r="E22835" s="21" t="s">
        <v>35</v>
      </c>
      <c r="F22835">
        <v>3560049</v>
      </c>
      <c r="G22835" t="s">
        <v>8021</v>
      </c>
      <c r="H22835" s="21">
        <v>686.67</v>
      </c>
    </row>
    <row r="22836" spans="1:8" customFormat="1" x14ac:dyDescent="0.25">
      <c r="A22836" t="str">
        <f>"6213052"</f>
        <v>6213052</v>
      </c>
      <c r="B22836" t="s">
        <v>16917</v>
      </c>
      <c r="C22836" t="s">
        <v>253</v>
      </c>
      <c r="D22836" s="21" t="s">
        <v>34</v>
      </c>
      <c r="E22836" s="21" t="s">
        <v>254</v>
      </c>
      <c r="F22836">
        <v>7620031</v>
      </c>
      <c r="G22836" t="s">
        <v>2182</v>
      </c>
      <c r="H22836" s="21">
        <v>686.67</v>
      </c>
    </row>
    <row r="22837" spans="1:8" customFormat="1" x14ac:dyDescent="0.25">
      <c r="A22837" t="str">
        <f>"0112771"</f>
        <v>0112771</v>
      </c>
      <c r="B22837" t="s">
        <v>7809</v>
      </c>
      <c r="C22837" t="s">
        <v>40</v>
      </c>
      <c r="D22837" s="21" t="s">
        <v>34</v>
      </c>
      <c r="E22837" s="21" t="s">
        <v>71</v>
      </c>
      <c r="F22837">
        <v>1010001</v>
      </c>
      <c r="G22837" t="s">
        <v>2161</v>
      </c>
      <c r="H22837" s="21">
        <v>686.67</v>
      </c>
    </row>
    <row r="22838" spans="1:8" customFormat="1" x14ac:dyDescent="0.25">
      <c r="A22838" t="str">
        <f>"304929"</f>
        <v>304929</v>
      </c>
      <c r="B22838" t="s">
        <v>17972</v>
      </c>
      <c r="C22838" t="s">
        <v>1110</v>
      </c>
      <c r="D22838" s="21" t="s">
        <v>34</v>
      </c>
      <c r="E22838" s="21" t="s">
        <v>254</v>
      </c>
      <c r="F22838">
        <v>11300023</v>
      </c>
      <c r="G22838" t="s">
        <v>2679</v>
      </c>
      <c r="H22838" s="21">
        <v>686.67</v>
      </c>
    </row>
    <row r="22839" spans="1:8" customFormat="1" x14ac:dyDescent="0.25">
      <c r="A22839" t="str">
        <f>"8818868"</f>
        <v>8818868</v>
      </c>
      <c r="B22839" t="s">
        <v>13302</v>
      </c>
      <c r="C22839" t="s">
        <v>124</v>
      </c>
      <c r="D22839" s="21" t="s">
        <v>34</v>
      </c>
      <c r="E22839" s="21" t="s">
        <v>71</v>
      </c>
      <c r="F22839">
        <v>6880140</v>
      </c>
      <c r="G22839" t="s">
        <v>4827</v>
      </c>
      <c r="H22839" s="21">
        <v>686.67</v>
      </c>
    </row>
    <row r="22840" spans="1:8" customFormat="1" x14ac:dyDescent="0.25">
      <c r="A22840" t="str">
        <f>"4433337"</f>
        <v>4433337</v>
      </c>
      <c r="B22840" t="s">
        <v>11423</v>
      </c>
      <c r="C22840" t="s">
        <v>285</v>
      </c>
      <c r="D22840" s="21" t="s">
        <v>34</v>
      </c>
      <c r="E22840" s="21" t="s">
        <v>35</v>
      </c>
      <c r="F22840">
        <v>12440104</v>
      </c>
      <c r="G22840" t="s">
        <v>5862</v>
      </c>
      <c r="H22840" s="21">
        <v>686.67</v>
      </c>
    </row>
    <row r="22841" spans="1:8" customFormat="1" x14ac:dyDescent="0.25">
      <c r="A22841" t="str">
        <f>"47107"</f>
        <v>47107</v>
      </c>
      <c r="B22841" t="s">
        <v>380</v>
      </c>
      <c r="C22841" t="s">
        <v>2904</v>
      </c>
      <c r="D22841" s="21" t="s">
        <v>34</v>
      </c>
      <c r="E22841" s="21" t="s">
        <v>254</v>
      </c>
      <c r="F22841">
        <v>10470007</v>
      </c>
      <c r="G22841" t="s">
        <v>3049</v>
      </c>
      <c r="H22841" s="21">
        <v>686.67</v>
      </c>
    </row>
    <row r="22842" spans="1:8" customFormat="1" x14ac:dyDescent="0.25">
      <c r="A22842" t="str">
        <f>"319162"</f>
        <v>319162</v>
      </c>
      <c r="B22842" t="s">
        <v>17958</v>
      </c>
      <c r="C22842" t="s">
        <v>462</v>
      </c>
      <c r="D22842" s="21" t="s">
        <v>34</v>
      </c>
      <c r="E22842" s="21" t="s">
        <v>71</v>
      </c>
      <c r="F22842">
        <v>11310129</v>
      </c>
      <c r="G22842" t="s">
        <v>4672</v>
      </c>
      <c r="H22842" s="21">
        <v>686.67</v>
      </c>
    </row>
    <row r="22843" spans="1:8" customFormat="1" x14ac:dyDescent="0.25">
      <c r="A22843" t="str">
        <f>"0111185"</f>
        <v>0111185</v>
      </c>
      <c r="B22843" t="s">
        <v>19863</v>
      </c>
      <c r="C22843" t="s">
        <v>60</v>
      </c>
      <c r="D22843" s="21" t="s">
        <v>34</v>
      </c>
      <c r="E22843" s="21" t="s">
        <v>35</v>
      </c>
      <c r="F22843">
        <v>1010033</v>
      </c>
      <c r="G22843" t="s">
        <v>14583</v>
      </c>
      <c r="H22843" s="21">
        <v>686.67</v>
      </c>
    </row>
    <row r="22844" spans="1:8" customFormat="1" x14ac:dyDescent="0.25">
      <c r="A22844" t="str">
        <f>"3717823"</f>
        <v>3717823</v>
      </c>
      <c r="B22844" t="s">
        <v>14669</v>
      </c>
      <c r="C22844" t="s">
        <v>1665</v>
      </c>
      <c r="D22844" s="21" t="s">
        <v>34</v>
      </c>
      <c r="E22844" s="21" t="s">
        <v>6185</v>
      </c>
      <c r="F22844">
        <v>4370002</v>
      </c>
      <c r="G22844" t="s">
        <v>112</v>
      </c>
      <c r="H22844" s="21">
        <v>686.67</v>
      </c>
    </row>
    <row r="22845" spans="1:8" customFormat="1" x14ac:dyDescent="0.25">
      <c r="A22845" t="str">
        <f>"2934064"</f>
        <v>2934064</v>
      </c>
      <c r="B22845" t="s">
        <v>13527</v>
      </c>
      <c r="C22845" t="s">
        <v>253</v>
      </c>
      <c r="D22845" s="21" t="s">
        <v>34</v>
      </c>
      <c r="E22845" s="21" t="s">
        <v>35</v>
      </c>
      <c r="F22845">
        <v>3290278</v>
      </c>
      <c r="G22845" t="s">
        <v>3649</v>
      </c>
      <c r="H22845" s="21">
        <v>686.54</v>
      </c>
    </row>
    <row r="22846" spans="1:8" customFormat="1" x14ac:dyDescent="0.25">
      <c r="A22846" t="str">
        <f>"7222963"</f>
        <v>7222963</v>
      </c>
      <c r="B22846" t="s">
        <v>9594</v>
      </c>
      <c r="C22846" t="s">
        <v>119</v>
      </c>
      <c r="D22846" s="21" t="s">
        <v>34</v>
      </c>
      <c r="E22846" s="21" t="s">
        <v>35</v>
      </c>
      <c r="F22846">
        <v>12720056</v>
      </c>
      <c r="G22846" t="s">
        <v>9231</v>
      </c>
      <c r="H22846" s="21">
        <v>686.54</v>
      </c>
    </row>
    <row r="22847" spans="1:8" customFormat="1" x14ac:dyDescent="0.25">
      <c r="A22847" t="str">
        <f>"759534"</f>
        <v>759534</v>
      </c>
      <c r="B22847" t="s">
        <v>7262</v>
      </c>
      <c r="C22847" t="s">
        <v>109</v>
      </c>
      <c r="D22847" s="21" t="s">
        <v>34</v>
      </c>
      <c r="E22847" s="21" t="s">
        <v>254</v>
      </c>
      <c r="F22847">
        <v>8931463</v>
      </c>
      <c r="G22847" t="s">
        <v>27685</v>
      </c>
      <c r="H22847" s="21">
        <v>686.42</v>
      </c>
    </row>
    <row r="22848" spans="1:8" customFormat="1" x14ac:dyDescent="0.25">
      <c r="A22848" t="str">
        <f>"8814796"</f>
        <v>8814796</v>
      </c>
      <c r="B22848" t="s">
        <v>16028</v>
      </c>
      <c r="C22848" t="s">
        <v>664</v>
      </c>
      <c r="D22848" s="21" t="s">
        <v>34</v>
      </c>
      <c r="E22848" s="21" t="s">
        <v>254</v>
      </c>
      <c r="F22848">
        <v>6880018</v>
      </c>
      <c r="G22848" t="s">
        <v>9046</v>
      </c>
      <c r="H22848" s="21">
        <v>686.29</v>
      </c>
    </row>
    <row r="22849" spans="1:8" customFormat="1" x14ac:dyDescent="0.25">
      <c r="A22849" t="str">
        <f>"2719641"</f>
        <v>2719641</v>
      </c>
      <c r="B22849" t="s">
        <v>17137</v>
      </c>
      <c r="C22849" t="s">
        <v>812</v>
      </c>
      <c r="D22849" s="21" t="s">
        <v>34</v>
      </c>
      <c r="E22849" s="21" t="s">
        <v>254</v>
      </c>
      <c r="F22849">
        <v>9270185</v>
      </c>
      <c r="G22849" t="s">
        <v>9160</v>
      </c>
      <c r="H22849" s="21">
        <v>686.29</v>
      </c>
    </row>
    <row r="22850" spans="1:8" customFormat="1" x14ac:dyDescent="0.25">
      <c r="A22850" t="str">
        <f>"286231"</f>
        <v>286231</v>
      </c>
      <c r="B22850" t="s">
        <v>18494</v>
      </c>
      <c r="C22850" t="s">
        <v>1665</v>
      </c>
      <c r="D22850" s="21" t="s">
        <v>34</v>
      </c>
      <c r="E22850" s="21" t="s">
        <v>254</v>
      </c>
      <c r="F22850">
        <v>4280664</v>
      </c>
      <c r="G22850" t="s">
        <v>12012</v>
      </c>
      <c r="H22850" s="21">
        <v>686.17</v>
      </c>
    </row>
    <row r="22851" spans="1:8" customFormat="1" x14ac:dyDescent="0.25">
      <c r="A22851" t="str">
        <f>"598683"</f>
        <v>598683</v>
      </c>
      <c r="B22851" t="s">
        <v>16469</v>
      </c>
      <c r="C22851" t="s">
        <v>5574</v>
      </c>
      <c r="D22851" s="21" t="s">
        <v>34</v>
      </c>
      <c r="E22851" s="21" t="s">
        <v>71</v>
      </c>
      <c r="F22851">
        <v>7590016</v>
      </c>
      <c r="G22851" t="s">
        <v>5653</v>
      </c>
      <c r="H22851" s="21">
        <v>686.17</v>
      </c>
    </row>
    <row r="22852" spans="1:8" customFormat="1" x14ac:dyDescent="0.25">
      <c r="A22852" t="str">
        <f>"7639314"</f>
        <v>7639314</v>
      </c>
      <c r="B22852" t="s">
        <v>4856</v>
      </c>
      <c r="C22852" t="s">
        <v>33</v>
      </c>
      <c r="D22852" s="21" t="s">
        <v>34</v>
      </c>
      <c r="E22852" s="21" t="s">
        <v>35</v>
      </c>
      <c r="F22852">
        <v>9760419</v>
      </c>
      <c r="G22852" t="s">
        <v>8549</v>
      </c>
      <c r="H22852" s="21">
        <v>686.17</v>
      </c>
    </row>
    <row r="22853" spans="1:8" customFormat="1" x14ac:dyDescent="0.25">
      <c r="A22853" t="str">
        <f>"891518"</f>
        <v>891518</v>
      </c>
      <c r="B22853" t="s">
        <v>5146</v>
      </c>
      <c r="C22853" t="s">
        <v>412</v>
      </c>
      <c r="D22853" s="21" t="s">
        <v>34</v>
      </c>
      <c r="E22853" s="21" t="s">
        <v>254</v>
      </c>
      <c r="F22853">
        <v>13840001</v>
      </c>
      <c r="G22853" t="s">
        <v>972</v>
      </c>
      <c r="H22853" s="21">
        <v>686.17</v>
      </c>
    </row>
    <row r="22854" spans="1:8" customFormat="1" x14ac:dyDescent="0.25">
      <c r="A22854" t="str">
        <f>"395728"</f>
        <v>395728</v>
      </c>
      <c r="B22854" t="s">
        <v>17855</v>
      </c>
      <c r="C22854" t="s">
        <v>608</v>
      </c>
      <c r="D22854" s="21" t="s">
        <v>34</v>
      </c>
      <c r="E22854" s="21" t="s">
        <v>71</v>
      </c>
      <c r="F22854">
        <v>2390095</v>
      </c>
      <c r="G22854" t="s">
        <v>2676</v>
      </c>
      <c r="H22854" s="21">
        <v>686.17</v>
      </c>
    </row>
    <row r="22855" spans="1:8" customFormat="1" x14ac:dyDescent="0.25">
      <c r="A22855" t="str">
        <f>"305843"</f>
        <v>305843</v>
      </c>
      <c r="B22855" t="s">
        <v>11662</v>
      </c>
      <c r="C22855" t="s">
        <v>275</v>
      </c>
      <c r="D22855" s="21" t="s">
        <v>34</v>
      </c>
      <c r="E22855" s="21" t="s">
        <v>35</v>
      </c>
      <c r="F22855">
        <v>11300014</v>
      </c>
      <c r="G22855" t="s">
        <v>2345</v>
      </c>
      <c r="H22855" s="21">
        <v>686.17</v>
      </c>
    </row>
    <row r="22856" spans="1:8" customFormat="1" x14ac:dyDescent="0.25">
      <c r="A22856" t="str">
        <f>"4442492"</f>
        <v>4442492</v>
      </c>
      <c r="B22856" t="s">
        <v>27711</v>
      </c>
      <c r="C22856" t="s">
        <v>302</v>
      </c>
      <c r="D22856" s="21" t="s">
        <v>34</v>
      </c>
      <c r="E22856" s="21" t="s">
        <v>71</v>
      </c>
      <c r="F22856">
        <v>12440263</v>
      </c>
      <c r="G22856" t="s">
        <v>9503</v>
      </c>
      <c r="H22856" s="21">
        <v>686.17</v>
      </c>
    </row>
    <row r="22857" spans="1:8" customFormat="1" x14ac:dyDescent="0.25">
      <c r="A22857" t="str">
        <f>"6312934"</f>
        <v>6312934</v>
      </c>
      <c r="B22857" t="s">
        <v>4669</v>
      </c>
      <c r="C22857" t="s">
        <v>1142</v>
      </c>
      <c r="D22857" s="21" t="s">
        <v>34</v>
      </c>
      <c r="E22857" s="21" t="s">
        <v>71</v>
      </c>
      <c r="F22857">
        <v>1630241</v>
      </c>
      <c r="G22857" t="s">
        <v>4519</v>
      </c>
      <c r="H22857" s="21">
        <v>686.17</v>
      </c>
    </row>
    <row r="22858" spans="1:8" customFormat="1" x14ac:dyDescent="0.25">
      <c r="A22858" t="str">
        <f>"269083"</f>
        <v>269083</v>
      </c>
      <c r="B22858" t="s">
        <v>4649</v>
      </c>
      <c r="C22858" t="s">
        <v>236</v>
      </c>
      <c r="D22858" s="21" t="s">
        <v>34</v>
      </c>
      <c r="E22858" s="21" t="s">
        <v>1089</v>
      </c>
      <c r="F22858">
        <v>1260055</v>
      </c>
      <c r="G22858" t="s">
        <v>8460</v>
      </c>
      <c r="H22858" s="21">
        <v>686.17</v>
      </c>
    </row>
    <row r="22859" spans="1:8" customFormat="1" x14ac:dyDescent="0.25">
      <c r="A22859" t="str">
        <f>"216970"</f>
        <v>216970</v>
      </c>
      <c r="B22859" t="s">
        <v>12152</v>
      </c>
      <c r="C22859" t="s">
        <v>171</v>
      </c>
      <c r="D22859" s="21" t="s">
        <v>34</v>
      </c>
      <c r="E22859" s="21" t="s">
        <v>71</v>
      </c>
      <c r="F22859">
        <v>2210007</v>
      </c>
      <c r="G22859" t="s">
        <v>26848</v>
      </c>
      <c r="H22859" s="21">
        <v>686.17</v>
      </c>
    </row>
    <row r="22860" spans="1:8" customFormat="1" x14ac:dyDescent="0.25">
      <c r="A22860" t="str">
        <f>"5013860"</f>
        <v>5013860</v>
      </c>
      <c r="B22860" t="s">
        <v>2010</v>
      </c>
      <c r="C22860" t="s">
        <v>209</v>
      </c>
      <c r="D22860" s="21" t="s">
        <v>34</v>
      </c>
      <c r="E22860" s="21" t="s">
        <v>71</v>
      </c>
      <c r="F22860">
        <v>9500154</v>
      </c>
      <c r="G22860" t="s">
        <v>9582</v>
      </c>
      <c r="H22860" s="21">
        <v>686.17</v>
      </c>
    </row>
    <row r="22861" spans="1:8" customFormat="1" x14ac:dyDescent="0.25">
      <c r="A22861" t="str">
        <f>"493875"</f>
        <v>493875</v>
      </c>
      <c r="B22861" t="s">
        <v>5118</v>
      </c>
      <c r="C22861" t="s">
        <v>1887</v>
      </c>
      <c r="D22861" s="21" t="s">
        <v>34</v>
      </c>
      <c r="E22861" s="21" t="s">
        <v>1089</v>
      </c>
      <c r="F22861">
        <v>12490034</v>
      </c>
      <c r="G22861" t="s">
        <v>13696</v>
      </c>
      <c r="H22861" s="21">
        <v>686.17</v>
      </c>
    </row>
    <row r="22862" spans="1:8" customFormat="1" x14ac:dyDescent="0.25">
      <c r="A22862" t="str">
        <f>"5980864"</f>
        <v>5980864</v>
      </c>
      <c r="B22862" t="s">
        <v>21161</v>
      </c>
      <c r="C22862" t="s">
        <v>1665</v>
      </c>
      <c r="D22862" s="21" t="s">
        <v>34</v>
      </c>
      <c r="E22862" s="21" t="s">
        <v>254</v>
      </c>
      <c r="F22862">
        <v>7590402</v>
      </c>
      <c r="G22862" t="s">
        <v>1623</v>
      </c>
      <c r="H22862" s="21">
        <v>686.17</v>
      </c>
    </row>
    <row r="22863" spans="1:8" customFormat="1" x14ac:dyDescent="0.25">
      <c r="A22863" t="str">
        <f>"3723003"</f>
        <v>3723003</v>
      </c>
      <c r="B22863" t="s">
        <v>18546</v>
      </c>
      <c r="C22863" t="s">
        <v>60</v>
      </c>
      <c r="D22863" s="21" t="s">
        <v>34</v>
      </c>
      <c r="E22863" s="21" t="s">
        <v>35</v>
      </c>
      <c r="F22863">
        <v>4370183</v>
      </c>
      <c r="G22863" t="s">
        <v>231</v>
      </c>
      <c r="H22863" s="21">
        <v>686.17</v>
      </c>
    </row>
    <row r="22864" spans="1:8" customFormat="1" x14ac:dyDescent="0.25">
      <c r="A22864" t="str">
        <f>"6813149"</f>
        <v>6813149</v>
      </c>
      <c r="B22864" t="s">
        <v>19385</v>
      </c>
      <c r="C22864" t="s">
        <v>60</v>
      </c>
      <c r="D22864" s="21" t="s">
        <v>34</v>
      </c>
      <c r="E22864" s="21" t="s">
        <v>35</v>
      </c>
      <c r="F22864">
        <v>6680123</v>
      </c>
      <c r="G22864" t="s">
        <v>8996</v>
      </c>
      <c r="H22864" s="21">
        <v>686.17</v>
      </c>
    </row>
    <row r="22865" spans="1:8" customFormat="1" x14ac:dyDescent="0.25">
      <c r="A22865" t="str">
        <f>"254066"</f>
        <v>254066</v>
      </c>
      <c r="B22865" t="s">
        <v>17396</v>
      </c>
      <c r="C22865" t="s">
        <v>269</v>
      </c>
      <c r="D22865" s="21" t="s">
        <v>34</v>
      </c>
      <c r="E22865" s="21" t="s">
        <v>71</v>
      </c>
      <c r="F22865">
        <v>2250154</v>
      </c>
      <c r="G22865" t="s">
        <v>1973</v>
      </c>
      <c r="H22865" s="21">
        <v>686.17</v>
      </c>
    </row>
    <row r="22866" spans="1:8" customFormat="1" x14ac:dyDescent="0.25">
      <c r="A22866" t="str">
        <f>"9127906"</f>
        <v>9127906</v>
      </c>
      <c r="B22866" t="s">
        <v>17731</v>
      </c>
      <c r="C22866" t="s">
        <v>1468</v>
      </c>
      <c r="D22866" s="21" t="s">
        <v>34</v>
      </c>
      <c r="E22866" s="21" t="s">
        <v>71</v>
      </c>
      <c r="F22866">
        <v>8910303</v>
      </c>
      <c r="G22866" t="s">
        <v>1244</v>
      </c>
      <c r="H22866" s="21">
        <v>686.17</v>
      </c>
    </row>
    <row r="22867" spans="1:8" customFormat="1" x14ac:dyDescent="0.25">
      <c r="A22867" t="str">
        <f>"745759"</f>
        <v>745759</v>
      </c>
      <c r="B22867" t="s">
        <v>8828</v>
      </c>
      <c r="C22867" t="s">
        <v>379</v>
      </c>
      <c r="D22867" s="21" t="s">
        <v>34</v>
      </c>
      <c r="E22867" s="21" t="s">
        <v>71</v>
      </c>
      <c r="F22867">
        <v>1740060</v>
      </c>
      <c r="G22867" t="s">
        <v>4907</v>
      </c>
      <c r="H22867" s="21">
        <v>686.17</v>
      </c>
    </row>
    <row r="22868" spans="1:8" customFormat="1" x14ac:dyDescent="0.25">
      <c r="A22868" t="str">
        <f>"592685"</f>
        <v>592685</v>
      </c>
      <c r="B22868" t="s">
        <v>16885</v>
      </c>
      <c r="C22868" t="s">
        <v>462</v>
      </c>
      <c r="D22868" s="21" t="s">
        <v>34</v>
      </c>
      <c r="E22868" s="21" t="s">
        <v>71</v>
      </c>
      <c r="F22868">
        <v>7590021</v>
      </c>
      <c r="G22868" t="s">
        <v>4910</v>
      </c>
      <c r="H22868" s="21">
        <v>686.17</v>
      </c>
    </row>
    <row r="22869" spans="1:8" customFormat="1" x14ac:dyDescent="0.25">
      <c r="A22869" t="str">
        <f>"3314892"</f>
        <v>3314892</v>
      </c>
      <c r="B22869" t="s">
        <v>17272</v>
      </c>
      <c r="C22869" t="s">
        <v>1025</v>
      </c>
      <c r="D22869" s="21" t="s">
        <v>34</v>
      </c>
      <c r="E22869" s="21" t="s">
        <v>71</v>
      </c>
      <c r="F22869">
        <v>10330082</v>
      </c>
      <c r="G22869" t="s">
        <v>5564</v>
      </c>
      <c r="H22869" s="21">
        <v>686.17</v>
      </c>
    </row>
    <row r="22870" spans="1:8" customFormat="1" x14ac:dyDescent="0.25">
      <c r="A22870" t="str">
        <f>"051234"</f>
        <v>051234</v>
      </c>
      <c r="B22870" t="s">
        <v>18551</v>
      </c>
      <c r="C22870" t="s">
        <v>926</v>
      </c>
      <c r="D22870" s="21" t="s">
        <v>34</v>
      </c>
      <c r="E22870" s="21" t="s">
        <v>35</v>
      </c>
      <c r="F22870">
        <v>13050013</v>
      </c>
      <c r="G22870" t="s">
        <v>6666</v>
      </c>
      <c r="H22870" s="21">
        <v>686.04</v>
      </c>
    </row>
    <row r="22871" spans="1:8" customFormat="1" x14ac:dyDescent="0.25">
      <c r="A22871" t="str">
        <f>"5326834"</f>
        <v>5326834</v>
      </c>
      <c r="B22871" t="s">
        <v>2549</v>
      </c>
      <c r="C22871" t="s">
        <v>139</v>
      </c>
      <c r="D22871" s="21" t="s">
        <v>34</v>
      </c>
      <c r="E22871" s="21" t="s">
        <v>35</v>
      </c>
      <c r="F22871">
        <v>12538910</v>
      </c>
      <c r="G22871" t="s">
        <v>8855</v>
      </c>
      <c r="H22871" s="21">
        <v>685.92</v>
      </c>
    </row>
    <row r="22872" spans="1:8" customFormat="1" x14ac:dyDescent="0.25">
      <c r="A22872" t="str">
        <f>"188754"</f>
        <v>188754</v>
      </c>
      <c r="B22872" t="s">
        <v>18291</v>
      </c>
      <c r="C22872" t="s">
        <v>1104</v>
      </c>
      <c r="D22872" s="21" t="s">
        <v>34</v>
      </c>
      <c r="E22872" s="21" t="s">
        <v>35</v>
      </c>
      <c r="F22872">
        <v>4180734</v>
      </c>
      <c r="G22872" t="s">
        <v>8434</v>
      </c>
      <c r="H22872" s="21">
        <v>685.92</v>
      </c>
    </row>
    <row r="22873" spans="1:8" customFormat="1" x14ac:dyDescent="0.25">
      <c r="A22873" t="str">
        <f>"4931411"</f>
        <v>4931411</v>
      </c>
      <c r="B22873" t="s">
        <v>19000</v>
      </c>
      <c r="C22873" t="s">
        <v>62</v>
      </c>
      <c r="D22873" s="21" t="s">
        <v>34</v>
      </c>
      <c r="E22873" s="21" t="s">
        <v>35</v>
      </c>
      <c r="F22873">
        <v>12490023</v>
      </c>
      <c r="G22873" t="s">
        <v>4979</v>
      </c>
      <c r="H22873" s="21">
        <v>685.92</v>
      </c>
    </row>
    <row r="22874" spans="1:8" customFormat="1" x14ac:dyDescent="0.25">
      <c r="A22874" t="str">
        <f>"2911769"</f>
        <v>2911769</v>
      </c>
      <c r="B22874" t="s">
        <v>679</v>
      </c>
      <c r="C22874" t="s">
        <v>1199</v>
      </c>
      <c r="D22874" s="21" t="s">
        <v>34</v>
      </c>
      <c r="E22874" s="21" t="s">
        <v>1089</v>
      </c>
      <c r="F22874">
        <v>3290003</v>
      </c>
      <c r="G22874" t="s">
        <v>3764</v>
      </c>
      <c r="H22874" s="21">
        <v>685.92</v>
      </c>
    </row>
    <row r="22875" spans="1:8" customFormat="1" x14ac:dyDescent="0.25">
      <c r="A22875" t="str">
        <f>"0811333"</f>
        <v>0811333</v>
      </c>
      <c r="B22875" t="s">
        <v>18329</v>
      </c>
      <c r="C22875" t="s">
        <v>1146</v>
      </c>
      <c r="D22875" s="21" t="s">
        <v>34</v>
      </c>
      <c r="E22875" s="21" t="s">
        <v>35</v>
      </c>
      <c r="F22875">
        <v>6080057</v>
      </c>
      <c r="G22875" t="s">
        <v>10034</v>
      </c>
      <c r="H22875" s="21">
        <v>685.92</v>
      </c>
    </row>
    <row r="22876" spans="1:8" customFormat="1" x14ac:dyDescent="0.25">
      <c r="A22876" t="str">
        <f>"7411434"</f>
        <v>7411434</v>
      </c>
      <c r="B22876" t="s">
        <v>4312</v>
      </c>
      <c r="C22876" t="s">
        <v>109</v>
      </c>
      <c r="D22876" s="21" t="s">
        <v>34</v>
      </c>
      <c r="E22876" s="21" t="s">
        <v>71</v>
      </c>
      <c r="F22876">
        <v>1740011</v>
      </c>
      <c r="G22876" t="s">
        <v>2638</v>
      </c>
      <c r="H22876" s="21">
        <v>685.67</v>
      </c>
    </row>
    <row r="22877" spans="1:8" customFormat="1" x14ac:dyDescent="0.25">
      <c r="A22877" t="str">
        <f>"8523162"</f>
        <v>8523162</v>
      </c>
      <c r="B22877" t="s">
        <v>3089</v>
      </c>
      <c r="C22877" t="s">
        <v>576</v>
      </c>
      <c r="D22877" s="21" t="s">
        <v>34</v>
      </c>
      <c r="E22877" s="21" t="s">
        <v>35</v>
      </c>
      <c r="F22877">
        <v>12850162</v>
      </c>
      <c r="G22877" t="s">
        <v>15095</v>
      </c>
      <c r="H22877" s="21">
        <v>685.67</v>
      </c>
    </row>
    <row r="22878" spans="1:8" customFormat="1" x14ac:dyDescent="0.25">
      <c r="A22878" t="str">
        <f>"634835"</f>
        <v>634835</v>
      </c>
      <c r="B22878" t="s">
        <v>17234</v>
      </c>
      <c r="C22878" t="s">
        <v>124</v>
      </c>
      <c r="D22878" s="21" t="s">
        <v>34</v>
      </c>
      <c r="E22878" s="21" t="s">
        <v>71</v>
      </c>
      <c r="F22878">
        <v>1630009</v>
      </c>
      <c r="G22878" t="s">
        <v>6021</v>
      </c>
      <c r="H22878" s="21">
        <v>685.67</v>
      </c>
    </row>
    <row r="22879" spans="1:8" customFormat="1" x14ac:dyDescent="0.25">
      <c r="A22879" t="str">
        <f>"318497"</f>
        <v>318497</v>
      </c>
      <c r="B22879" t="s">
        <v>18466</v>
      </c>
      <c r="C22879" t="s">
        <v>55</v>
      </c>
      <c r="D22879" s="21" t="s">
        <v>34</v>
      </c>
      <c r="E22879" s="21" t="s">
        <v>71</v>
      </c>
      <c r="F22879">
        <v>11320041</v>
      </c>
      <c r="G22879" t="s">
        <v>4802</v>
      </c>
      <c r="H22879" s="21">
        <v>685.67</v>
      </c>
    </row>
    <row r="22880" spans="1:8" customFormat="1" x14ac:dyDescent="0.25">
      <c r="A22880" t="str">
        <f>"1424636"</f>
        <v>1424636</v>
      </c>
      <c r="B22880" t="s">
        <v>946</v>
      </c>
      <c r="C22880" t="s">
        <v>87</v>
      </c>
      <c r="D22880" s="21" t="s">
        <v>34</v>
      </c>
      <c r="E22880" s="21" t="s">
        <v>35</v>
      </c>
      <c r="F22880">
        <v>9140128</v>
      </c>
      <c r="G22880" t="s">
        <v>2798</v>
      </c>
      <c r="H22880" s="21">
        <v>685.67</v>
      </c>
    </row>
    <row r="22881" spans="1:8" customFormat="1" x14ac:dyDescent="0.25">
      <c r="A22881" t="str">
        <f>"2926975"</f>
        <v>2926975</v>
      </c>
      <c r="B22881" t="s">
        <v>16626</v>
      </c>
      <c r="C22881" t="s">
        <v>139</v>
      </c>
      <c r="D22881" s="21" t="s">
        <v>34</v>
      </c>
      <c r="E22881" s="21" t="s">
        <v>35</v>
      </c>
      <c r="F22881">
        <v>3290006</v>
      </c>
      <c r="G22881" t="s">
        <v>13009</v>
      </c>
      <c r="H22881" s="21">
        <v>685.67</v>
      </c>
    </row>
    <row r="22882" spans="1:8" customFormat="1" x14ac:dyDescent="0.25">
      <c r="A22882" t="str">
        <f>"5930898"</f>
        <v>5930898</v>
      </c>
      <c r="B22882" t="s">
        <v>14962</v>
      </c>
      <c r="C22882" t="s">
        <v>2273</v>
      </c>
      <c r="D22882" s="21" t="s">
        <v>34</v>
      </c>
      <c r="E22882" s="21" t="s">
        <v>254</v>
      </c>
      <c r="F22882">
        <v>13840062</v>
      </c>
      <c r="G22882" t="s">
        <v>17239</v>
      </c>
      <c r="H22882" s="21">
        <v>685.67</v>
      </c>
    </row>
    <row r="22883" spans="1:8" customFormat="1" x14ac:dyDescent="0.25">
      <c r="A22883" t="str">
        <f>"536839"</f>
        <v>536839</v>
      </c>
      <c r="B22883" t="s">
        <v>13694</v>
      </c>
      <c r="C22883" t="s">
        <v>2072</v>
      </c>
      <c r="D22883" s="21" t="s">
        <v>34</v>
      </c>
      <c r="E22883" s="21" t="s">
        <v>254</v>
      </c>
      <c r="F22883">
        <v>12530033</v>
      </c>
      <c r="G22883" t="s">
        <v>10046</v>
      </c>
      <c r="H22883" s="21">
        <v>685.67</v>
      </c>
    </row>
    <row r="22884" spans="1:8" customFormat="1" x14ac:dyDescent="0.25">
      <c r="A22884" t="str">
        <f>"5616953"</f>
        <v>5616953</v>
      </c>
      <c r="B22884" t="s">
        <v>18684</v>
      </c>
      <c r="C22884" t="s">
        <v>253</v>
      </c>
      <c r="D22884" s="21" t="s">
        <v>34</v>
      </c>
      <c r="E22884" s="21" t="s">
        <v>35</v>
      </c>
      <c r="F22884">
        <v>3560057</v>
      </c>
      <c r="G22884" t="s">
        <v>17793</v>
      </c>
      <c r="H22884" s="21">
        <v>685.67</v>
      </c>
    </row>
    <row r="22885" spans="1:8" customFormat="1" x14ac:dyDescent="0.25">
      <c r="A22885" t="str">
        <f>"392628"</f>
        <v>392628</v>
      </c>
      <c r="B22885" t="s">
        <v>185</v>
      </c>
      <c r="C22885" t="s">
        <v>598</v>
      </c>
      <c r="D22885" s="21" t="s">
        <v>34</v>
      </c>
      <c r="E22885" s="21" t="s">
        <v>71</v>
      </c>
      <c r="F22885">
        <v>2390022</v>
      </c>
      <c r="G22885" t="s">
        <v>17032</v>
      </c>
      <c r="H22885" s="21">
        <v>685.67</v>
      </c>
    </row>
    <row r="22886" spans="1:8" customFormat="1" x14ac:dyDescent="0.25">
      <c r="A22886" t="str">
        <f>"169104"</f>
        <v>169104</v>
      </c>
      <c r="B22886" t="s">
        <v>6693</v>
      </c>
      <c r="C22886" t="s">
        <v>825</v>
      </c>
      <c r="D22886" s="21" t="s">
        <v>34</v>
      </c>
      <c r="E22886" s="21" t="s">
        <v>254</v>
      </c>
      <c r="F22886">
        <v>10160122</v>
      </c>
      <c r="G22886" t="s">
        <v>8169</v>
      </c>
      <c r="H22886" s="21">
        <v>685.67</v>
      </c>
    </row>
    <row r="22887" spans="1:8" customFormat="1" x14ac:dyDescent="0.25">
      <c r="A22887" t="str">
        <f>"4931977"</f>
        <v>4931977</v>
      </c>
      <c r="B22887" t="s">
        <v>20217</v>
      </c>
      <c r="C22887" t="s">
        <v>124</v>
      </c>
      <c r="D22887" s="21" t="s">
        <v>34</v>
      </c>
      <c r="E22887" s="21" t="s">
        <v>35</v>
      </c>
      <c r="F22887">
        <v>12490067</v>
      </c>
      <c r="G22887" t="s">
        <v>7654</v>
      </c>
      <c r="H22887" s="21">
        <v>685.67</v>
      </c>
    </row>
    <row r="22888" spans="1:8" customFormat="1" x14ac:dyDescent="0.25">
      <c r="A22888" t="str">
        <f>"74998"</f>
        <v>74998</v>
      </c>
      <c r="B22888" t="s">
        <v>17597</v>
      </c>
      <c r="C22888" t="s">
        <v>253</v>
      </c>
      <c r="D22888" s="21" t="s">
        <v>34</v>
      </c>
      <c r="E22888" s="21" t="s">
        <v>254</v>
      </c>
      <c r="F22888">
        <v>1740065</v>
      </c>
      <c r="G22888" t="s">
        <v>5226</v>
      </c>
      <c r="H22888" s="21">
        <v>685.67</v>
      </c>
    </row>
    <row r="22889" spans="1:8" customFormat="1" x14ac:dyDescent="0.25">
      <c r="A22889" t="str">
        <f>"7220926"</f>
        <v>7220926</v>
      </c>
      <c r="B22889" t="s">
        <v>8911</v>
      </c>
      <c r="C22889" t="s">
        <v>60</v>
      </c>
      <c r="D22889" s="21" t="s">
        <v>34</v>
      </c>
      <c r="E22889" s="21" t="s">
        <v>35</v>
      </c>
      <c r="F22889">
        <v>12720028</v>
      </c>
      <c r="G22889" t="s">
        <v>4381</v>
      </c>
      <c r="H22889" s="21">
        <v>685.67</v>
      </c>
    </row>
    <row r="22890" spans="1:8" customFormat="1" x14ac:dyDescent="0.25">
      <c r="A22890" t="str">
        <f>"3322890"</f>
        <v>3322890</v>
      </c>
      <c r="B22890" t="s">
        <v>5565</v>
      </c>
      <c r="C22890" t="s">
        <v>127</v>
      </c>
      <c r="D22890" s="21" t="s">
        <v>34</v>
      </c>
      <c r="E22890" s="21" t="s">
        <v>35</v>
      </c>
      <c r="F22890">
        <v>10330028</v>
      </c>
      <c r="G22890" t="s">
        <v>4553</v>
      </c>
      <c r="H22890" s="21">
        <v>685.67</v>
      </c>
    </row>
    <row r="22891" spans="1:8" customFormat="1" x14ac:dyDescent="0.25">
      <c r="A22891" t="str">
        <f>"7834442"</f>
        <v>7834442</v>
      </c>
      <c r="B22891" t="s">
        <v>13497</v>
      </c>
      <c r="C22891" t="s">
        <v>209</v>
      </c>
      <c r="D22891" s="21" t="s">
        <v>34</v>
      </c>
      <c r="E22891" s="21" t="s">
        <v>71</v>
      </c>
      <c r="F22891">
        <v>8780660</v>
      </c>
      <c r="G22891" t="s">
        <v>2801</v>
      </c>
      <c r="H22891" s="21">
        <v>685.67</v>
      </c>
    </row>
    <row r="22892" spans="1:8" customFormat="1" x14ac:dyDescent="0.25">
      <c r="A22892" t="str">
        <f>"847426"</f>
        <v>847426</v>
      </c>
      <c r="B22892" t="s">
        <v>16858</v>
      </c>
      <c r="C22892" t="s">
        <v>236</v>
      </c>
      <c r="D22892" s="21" t="s">
        <v>34</v>
      </c>
      <c r="E22892" s="21" t="s">
        <v>254</v>
      </c>
      <c r="F22892">
        <v>13840028</v>
      </c>
      <c r="G22892" t="s">
        <v>4139</v>
      </c>
      <c r="H22892" s="21">
        <v>685.54</v>
      </c>
    </row>
    <row r="22893" spans="1:8" customFormat="1" x14ac:dyDescent="0.25">
      <c r="A22893" t="str">
        <f>"3012543"</f>
        <v>3012543</v>
      </c>
      <c r="B22893" t="s">
        <v>17519</v>
      </c>
      <c r="C22893" t="s">
        <v>2730</v>
      </c>
      <c r="D22893" s="21" t="s">
        <v>34</v>
      </c>
      <c r="E22893" s="21" t="s">
        <v>254</v>
      </c>
      <c r="F22893">
        <v>1260026</v>
      </c>
      <c r="G22893" t="s">
        <v>516</v>
      </c>
      <c r="H22893" s="21">
        <v>685.54</v>
      </c>
    </row>
    <row r="22894" spans="1:8" customFormat="1" x14ac:dyDescent="0.25">
      <c r="A22894" t="str">
        <f>"9532537"</f>
        <v>9532537</v>
      </c>
      <c r="B22894" t="s">
        <v>11838</v>
      </c>
      <c r="C22894" t="s">
        <v>3497</v>
      </c>
      <c r="D22894" s="21" t="s">
        <v>34</v>
      </c>
      <c r="E22894" s="21" t="s">
        <v>71</v>
      </c>
      <c r="F22894">
        <v>8950083</v>
      </c>
      <c r="G22894" t="s">
        <v>405</v>
      </c>
      <c r="H22894" s="21">
        <v>685.54</v>
      </c>
    </row>
    <row r="22895" spans="1:8" customFormat="1" x14ac:dyDescent="0.25">
      <c r="A22895" t="str">
        <f>"3323149"</f>
        <v>3323149</v>
      </c>
      <c r="B22895" t="s">
        <v>690</v>
      </c>
      <c r="C22895" t="s">
        <v>65</v>
      </c>
      <c r="D22895" s="21" t="s">
        <v>34</v>
      </c>
      <c r="E22895" s="21" t="s">
        <v>35</v>
      </c>
      <c r="F22895">
        <v>10330037</v>
      </c>
      <c r="G22895" t="s">
        <v>5960</v>
      </c>
      <c r="H22895" s="21">
        <v>685.54</v>
      </c>
    </row>
    <row r="22896" spans="1:8" customFormat="1" x14ac:dyDescent="0.25">
      <c r="A22896" t="str">
        <f>"9A1187"</f>
        <v>9A1187</v>
      </c>
      <c r="B22896" t="s">
        <v>10030</v>
      </c>
      <c r="C22896" t="s">
        <v>17150</v>
      </c>
      <c r="D22896" s="21" t="s">
        <v>34</v>
      </c>
      <c r="E22896" s="21" t="s">
        <v>71</v>
      </c>
      <c r="F22896" t="s">
        <v>1465</v>
      </c>
      <c r="G22896" t="s">
        <v>1466</v>
      </c>
      <c r="H22896" s="21">
        <v>685.42</v>
      </c>
    </row>
    <row r="22897" spans="1:8" customFormat="1" x14ac:dyDescent="0.25">
      <c r="A22897" t="str">
        <f>"4445487"</f>
        <v>4445487</v>
      </c>
      <c r="B22897" t="s">
        <v>20527</v>
      </c>
      <c r="C22897" t="s">
        <v>98</v>
      </c>
      <c r="D22897" s="21" t="s">
        <v>34</v>
      </c>
      <c r="E22897" s="21" t="s">
        <v>35</v>
      </c>
      <c r="F22897">
        <v>12440035</v>
      </c>
      <c r="G22897" t="s">
        <v>5372</v>
      </c>
      <c r="H22897" s="21">
        <v>685.42</v>
      </c>
    </row>
    <row r="22898" spans="1:8" customFormat="1" x14ac:dyDescent="0.25">
      <c r="A22898" t="str">
        <f>"784561"</f>
        <v>784561</v>
      </c>
      <c r="B22898" t="s">
        <v>18278</v>
      </c>
      <c r="C22898" t="s">
        <v>267</v>
      </c>
      <c r="D22898" s="21" t="s">
        <v>34</v>
      </c>
      <c r="E22898" s="21" t="s">
        <v>71</v>
      </c>
      <c r="F22898">
        <v>8780935</v>
      </c>
      <c r="G22898" t="s">
        <v>1944</v>
      </c>
      <c r="H22898" s="21">
        <v>685.42</v>
      </c>
    </row>
    <row r="22899" spans="1:8" customFormat="1" x14ac:dyDescent="0.25">
      <c r="A22899" t="str">
        <f>"50464"</f>
        <v>50464</v>
      </c>
      <c r="B22899" t="s">
        <v>7695</v>
      </c>
      <c r="C22899" t="s">
        <v>415</v>
      </c>
      <c r="D22899" s="21" t="s">
        <v>34</v>
      </c>
      <c r="E22899" s="21" t="s">
        <v>254</v>
      </c>
      <c r="F22899">
        <v>12440064</v>
      </c>
      <c r="G22899" t="s">
        <v>9082</v>
      </c>
      <c r="H22899" s="21">
        <v>685.42</v>
      </c>
    </row>
    <row r="22900" spans="1:8" customFormat="1" x14ac:dyDescent="0.25">
      <c r="A22900" t="str">
        <f>"3339130"</f>
        <v>3339130</v>
      </c>
      <c r="B22900" t="s">
        <v>16898</v>
      </c>
      <c r="C22900" t="s">
        <v>169</v>
      </c>
      <c r="D22900" s="21" t="s">
        <v>34</v>
      </c>
      <c r="E22900" s="21" t="s">
        <v>35</v>
      </c>
      <c r="F22900">
        <v>10330050</v>
      </c>
      <c r="G22900" t="s">
        <v>2488</v>
      </c>
      <c r="H22900" s="21">
        <v>685.17</v>
      </c>
    </row>
    <row r="22901" spans="1:8" customFormat="1" x14ac:dyDescent="0.25">
      <c r="A22901" t="str">
        <f>"372645"</f>
        <v>372645</v>
      </c>
      <c r="B22901" t="s">
        <v>18509</v>
      </c>
      <c r="C22901" t="s">
        <v>2520</v>
      </c>
      <c r="D22901" s="21" t="s">
        <v>34</v>
      </c>
      <c r="E22901" s="21" t="s">
        <v>1089</v>
      </c>
      <c r="F22901">
        <v>4370396</v>
      </c>
      <c r="G22901" t="s">
        <v>14579</v>
      </c>
      <c r="H22901" s="21">
        <v>685.17</v>
      </c>
    </row>
    <row r="22902" spans="1:8" customFormat="1" x14ac:dyDescent="0.25">
      <c r="A22902" t="str">
        <f>"5975889"</f>
        <v>5975889</v>
      </c>
      <c r="B22902" t="s">
        <v>4747</v>
      </c>
      <c r="C22902" t="s">
        <v>33</v>
      </c>
      <c r="D22902" s="21" t="s">
        <v>34</v>
      </c>
      <c r="E22902" s="21" t="s">
        <v>35</v>
      </c>
      <c r="F22902">
        <v>7590332</v>
      </c>
      <c r="G22902" t="s">
        <v>6094</v>
      </c>
      <c r="H22902" s="21">
        <v>685.17</v>
      </c>
    </row>
    <row r="22903" spans="1:8" customFormat="1" x14ac:dyDescent="0.25">
      <c r="A22903" t="str">
        <f>"279090"</f>
        <v>279090</v>
      </c>
      <c r="B22903" t="s">
        <v>6120</v>
      </c>
      <c r="C22903" t="s">
        <v>412</v>
      </c>
      <c r="D22903" s="21" t="s">
        <v>34</v>
      </c>
      <c r="E22903" s="21" t="s">
        <v>254</v>
      </c>
      <c r="F22903">
        <v>1260026</v>
      </c>
      <c r="G22903" t="s">
        <v>516</v>
      </c>
      <c r="H22903" s="21">
        <v>685.17</v>
      </c>
    </row>
    <row r="22904" spans="1:8" customFormat="1" x14ac:dyDescent="0.25">
      <c r="A22904" t="str">
        <f>"032250"</f>
        <v>032250</v>
      </c>
      <c r="B22904" t="s">
        <v>1490</v>
      </c>
      <c r="C22904" t="s">
        <v>124</v>
      </c>
      <c r="D22904" s="21" t="s">
        <v>34</v>
      </c>
      <c r="E22904" s="21" t="s">
        <v>71</v>
      </c>
      <c r="F22904">
        <v>1030094</v>
      </c>
      <c r="G22904" t="s">
        <v>8523</v>
      </c>
      <c r="H22904" s="21">
        <v>685.17</v>
      </c>
    </row>
    <row r="22905" spans="1:8" customFormat="1" x14ac:dyDescent="0.25">
      <c r="A22905" t="str">
        <f>"4456152"</f>
        <v>4456152</v>
      </c>
      <c r="B22905" t="s">
        <v>21042</v>
      </c>
      <c r="C22905" t="s">
        <v>249</v>
      </c>
      <c r="D22905" s="21" t="s">
        <v>34</v>
      </c>
      <c r="E22905" s="21" t="s">
        <v>71</v>
      </c>
      <c r="F22905">
        <v>12440274</v>
      </c>
      <c r="G22905" t="s">
        <v>3459</v>
      </c>
      <c r="H22905" s="21">
        <v>685.17</v>
      </c>
    </row>
    <row r="22906" spans="1:8" customFormat="1" x14ac:dyDescent="0.25">
      <c r="A22906" t="str">
        <f>"498360"</f>
        <v>498360</v>
      </c>
      <c r="B22906" t="s">
        <v>17620</v>
      </c>
      <c r="C22906" t="s">
        <v>239</v>
      </c>
      <c r="D22906" s="21" t="s">
        <v>34</v>
      </c>
      <c r="E22906" s="21" t="s">
        <v>1089</v>
      </c>
      <c r="F22906">
        <v>12490006</v>
      </c>
      <c r="G22906" t="s">
        <v>1480</v>
      </c>
      <c r="H22906" s="21">
        <v>685.17</v>
      </c>
    </row>
    <row r="22907" spans="1:8" customFormat="1" x14ac:dyDescent="0.25">
      <c r="A22907" t="str">
        <f>"6719006"</f>
        <v>6719006</v>
      </c>
      <c r="B22907" t="s">
        <v>18767</v>
      </c>
      <c r="C22907" t="s">
        <v>598</v>
      </c>
      <c r="D22907" s="21" t="s">
        <v>34</v>
      </c>
      <c r="E22907" s="21" t="s">
        <v>35</v>
      </c>
      <c r="F22907">
        <v>6670041</v>
      </c>
      <c r="G22907" t="s">
        <v>1971</v>
      </c>
      <c r="H22907" s="21">
        <v>685.17</v>
      </c>
    </row>
    <row r="22908" spans="1:8" customFormat="1" x14ac:dyDescent="0.25">
      <c r="A22908" t="str">
        <f>"2918097"</f>
        <v>2918097</v>
      </c>
      <c r="B22908" t="s">
        <v>4124</v>
      </c>
      <c r="C22908" t="s">
        <v>528</v>
      </c>
      <c r="D22908" s="21" t="s">
        <v>34</v>
      </c>
      <c r="E22908" s="21" t="s">
        <v>71</v>
      </c>
      <c r="F22908">
        <v>3290052</v>
      </c>
      <c r="G22908" t="s">
        <v>270</v>
      </c>
      <c r="H22908" s="21">
        <v>685.17</v>
      </c>
    </row>
    <row r="22909" spans="1:8" customFormat="1" x14ac:dyDescent="0.25">
      <c r="A22909" t="str">
        <f>"947521"</f>
        <v>947521</v>
      </c>
      <c r="B22909" t="s">
        <v>17294</v>
      </c>
      <c r="C22909" t="s">
        <v>109</v>
      </c>
      <c r="D22909" s="21" t="s">
        <v>34</v>
      </c>
      <c r="E22909" s="21" t="s">
        <v>254</v>
      </c>
      <c r="F22909">
        <v>8940073</v>
      </c>
      <c r="G22909" t="s">
        <v>1085</v>
      </c>
      <c r="H22909" s="21">
        <v>685.17</v>
      </c>
    </row>
    <row r="22910" spans="1:8" customFormat="1" x14ac:dyDescent="0.25">
      <c r="A22910" t="str">
        <f>"2712507"</f>
        <v>2712507</v>
      </c>
      <c r="B22910" t="s">
        <v>8167</v>
      </c>
      <c r="C22910" t="s">
        <v>19353</v>
      </c>
      <c r="D22910" s="21" t="s">
        <v>34</v>
      </c>
      <c r="E22910" s="21" t="s">
        <v>254</v>
      </c>
      <c r="F22910">
        <v>9270152</v>
      </c>
      <c r="G22910" t="s">
        <v>1985</v>
      </c>
      <c r="H22910" s="21">
        <v>685.17</v>
      </c>
    </row>
    <row r="22911" spans="1:8" customFormat="1" x14ac:dyDescent="0.25">
      <c r="A22911" t="str">
        <f>"4429648"</f>
        <v>4429648</v>
      </c>
      <c r="B22911" t="s">
        <v>17323</v>
      </c>
      <c r="C22911" t="s">
        <v>60</v>
      </c>
      <c r="D22911" s="21" t="s">
        <v>34</v>
      </c>
      <c r="E22911" s="21" t="s">
        <v>35</v>
      </c>
      <c r="F22911">
        <v>12440097</v>
      </c>
      <c r="G22911" t="s">
        <v>14273</v>
      </c>
      <c r="H22911" s="21">
        <v>685.17</v>
      </c>
    </row>
    <row r="22912" spans="1:8" customFormat="1" x14ac:dyDescent="0.25">
      <c r="A22912" t="str">
        <f>"672291"</f>
        <v>672291</v>
      </c>
      <c r="B22912" t="s">
        <v>17013</v>
      </c>
      <c r="C22912" t="s">
        <v>233</v>
      </c>
      <c r="D22912" s="21" t="s">
        <v>34</v>
      </c>
      <c r="E22912" s="21" t="s">
        <v>254</v>
      </c>
      <c r="F22912">
        <v>6670115</v>
      </c>
      <c r="G22912" t="s">
        <v>3798</v>
      </c>
      <c r="H22912" s="21">
        <v>685.17</v>
      </c>
    </row>
    <row r="22913" spans="1:8" customFormat="1" x14ac:dyDescent="0.25">
      <c r="A22913" t="str">
        <f>"419426"</f>
        <v>419426</v>
      </c>
      <c r="B22913" t="s">
        <v>18266</v>
      </c>
      <c r="C22913" t="s">
        <v>33</v>
      </c>
      <c r="D22913" s="21" t="s">
        <v>34</v>
      </c>
      <c r="E22913" s="21" t="s">
        <v>71</v>
      </c>
      <c r="F22913">
        <v>4410080</v>
      </c>
      <c r="G22913" t="s">
        <v>135</v>
      </c>
      <c r="H22913" s="21">
        <v>685.17</v>
      </c>
    </row>
    <row r="22914" spans="1:8" customFormat="1" x14ac:dyDescent="0.25">
      <c r="A22914" t="str">
        <f>"7716137"</f>
        <v>7716137</v>
      </c>
      <c r="B22914" t="s">
        <v>2549</v>
      </c>
      <c r="C22914" t="s">
        <v>124</v>
      </c>
      <c r="D22914" s="21" t="s">
        <v>34</v>
      </c>
      <c r="E22914" s="21" t="s">
        <v>71</v>
      </c>
      <c r="F22914">
        <v>8770426</v>
      </c>
      <c r="G22914" t="s">
        <v>1847</v>
      </c>
      <c r="H22914" s="21">
        <v>685.17</v>
      </c>
    </row>
    <row r="22915" spans="1:8" customFormat="1" x14ac:dyDescent="0.25">
      <c r="A22915" t="str">
        <f>"1613632"</f>
        <v>1613632</v>
      </c>
      <c r="B22915" t="s">
        <v>20457</v>
      </c>
      <c r="C22915" t="s">
        <v>249</v>
      </c>
      <c r="D22915" s="21" t="s">
        <v>34</v>
      </c>
      <c r="E22915" s="21" t="s">
        <v>71</v>
      </c>
      <c r="F22915">
        <v>10160047</v>
      </c>
      <c r="G22915" t="s">
        <v>13957</v>
      </c>
      <c r="H22915" s="21">
        <v>685.17</v>
      </c>
    </row>
    <row r="22916" spans="1:8" customFormat="1" x14ac:dyDescent="0.25">
      <c r="A22916" t="str">
        <f>"7638101"</f>
        <v>7638101</v>
      </c>
      <c r="B22916" t="s">
        <v>691</v>
      </c>
      <c r="C22916" t="s">
        <v>114</v>
      </c>
      <c r="D22916" s="21" t="s">
        <v>34</v>
      </c>
      <c r="E22916" s="21" t="s">
        <v>254</v>
      </c>
      <c r="F22916">
        <v>9760447</v>
      </c>
      <c r="G22916" t="s">
        <v>5942</v>
      </c>
      <c r="H22916" s="21">
        <v>685.17</v>
      </c>
    </row>
    <row r="22917" spans="1:8" customFormat="1" x14ac:dyDescent="0.25">
      <c r="A22917" t="str">
        <f>"872839"</f>
        <v>872839</v>
      </c>
      <c r="B22917" t="s">
        <v>1103</v>
      </c>
      <c r="C22917" t="s">
        <v>267</v>
      </c>
      <c r="D22917" s="21" t="s">
        <v>34</v>
      </c>
      <c r="E22917" s="21" t="s">
        <v>71</v>
      </c>
      <c r="F22917">
        <v>10870029</v>
      </c>
      <c r="G22917" t="s">
        <v>15820</v>
      </c>
      <c r="H22917" s="21">
        <v>685.17</v>
      </c>
    </row>
    <row r="22918" spans="1:8" customFormat="1" x14ac:dyDescent="0.25">
      <c r="A22918" t="str">
        <f>"7640604"</f>
        <v>7640604</v>
      </c>
      <c r="B22918" t="s">
        <v>939</v>
      </c>
      <c r="C22918" t="s">
        <v>209</v>
      </c>
      <c r="D22918" s="21" t="s">
        <v>34</v>
      </c>
      <c r="E22918" s="21" t="s">
        <v>254</v>
      </c>
      <c r="F22918">
        <v>9760011</v>
      </c>
      <c r="G22918" t="s">
        <v>2562</v>
      </c>
      <c r="H22918" s="21">
        <v>685.17</v>
      </c>
    </row>
    <row r="22919" spans="1:8" customFormat="1" x14ac:dyDescent="0.25">
      <c r="A22919" t="str">
        <f>"3723074"</f>
        <v>3723074</v>
      </c>
      <c r="B22919" t="s">
        <v>1601</v>
      </c>
      <c r="C22919" t="s">
        <v>96</v>
      </c>
      <c r="D22919" s="21" t="s">
        <v>34</v>
      </c>
      <c r="E22919" s="21" t="s">
        <v>35</v>
      </c>
      <c r="F22919">
        <v>4370011</v>
      </c>
      <c r="G22919" t="s">
        <v>3672</v>
      </c>
      <c r="H22919" s="21">
        <v>685.17</v>
      </c>
    </row>
    <row r="22920" spans="1:8" customFormat="1" x14ac:dyDescent="0.25">
      <c r="A22920" t="str">
        <f>"167714"</f>
        <v>167714</v>
      </c>
      <c r="B22920" t="s">
        <v>16985</v>
      </c>
      <c r="C22920" t="s">
        <v>124</v>
      </c>
      <c r="D22920" s="21" t="s">
        <v>34</v>
      </c>
      <c r="E22920" s="21" t="s">
        <v>254</v>
      </c>
      <c r="F22920">
        <v>10160186</v>
      </c>
      <c r="G22920" t="s">
        <v>4819</v>
      </c>
      <c r="H22920" s="21">
        <v>685.17</v>
      </c>
    </row>
    <row r="22921" spans="1:8" customFormat="1" x14ac:dyDescent="0.25">
      <c r="A22921" t="str">
        <f>"8816241"</f>
        <v>8816241</v>
      </c>
      <c r="B22921" t="s">
        <v>1533</v>
      </c>
      <c r="C22921" t="s">
        <v>926</v>
      </c>
      <c r="D22921" s="21" t="s">
        <v>34</v>
      </c>
      <c r="E22921" s="21" t="s">
        <v>71</v>
      </c>
      <c r="F22921">
        <v>6880101</v>
      </c>
      <c r="G22921" t="s">
        <v>6841</v>
      </c>
      <c r="H22921" s="21">
        <v>685.17</v>
      </c>
    </row>
    <row r="22922" spans="1:8" customFormat="1" x14ac:dyDescent="0.25">
      <c r="A22922" t="str">
        <f>"762342"</f>
        <v>762342</v>
      </c>
      <c r="B22922" t="s">
        <v>8784</v>
      </c>
      <c r="C22922" t="s">
        <v>209</v>
      </c>
      <c r="D22922" s="21" t="s">
        <v>34</v>
      </c>
      <c r="E22922" s="21" t="s">
        <v>1089</v>
      </c>
      <c r="F22922">
        <v>9760028</v>
      </c>
      <c r="G22922" t="s">
        <v>4086</v>
      </c>
      <c r="H22922" s="21">
        <v>685.17</v>
      </c>
    </row>
    <row r="22923" spans="1:8" customFormat="1" x14ac:dyDescent="0.25">
      <c r="A22923" t="str">
        <f>"5321728"</f>
        <v>5321728</v>
      </c>
      <c r="B22923" t="s">
        <v>16582</v>
      </c>
      <c r="C22923" t="s">
        <v>1025</v>
      </c>
      <c r="D22923" s="21" t="s">
        <v>34</v>
      </c>
      <c r="E22923" s="21" t="s">
        <v>71</v>
      </c>
      <c r="F22923">
        <v>12538907</v>
      </c>
      <c r="G22923" t="s">
        <v>9299</v>
      </c>
      <c r="H22923" s="21">
        <v>685.17</v>
      </c>
    </row>
    <row r="22924" spans="1:8" customFormat="1" x14ac:dyDescent="0.25">
      <c r="A22924" t="str">
        <f>"6716762"</f>
        <v>6716762</v>
      </c>
      <c r="B22924" t="s">
        <v>1990</v>
      </c>
      <c r="C22924" t="s">
        <v>639</v>
      </c>
      <c r="D22924" s="21" t="s">
        <v>34</v>
      </c>
      <c r="E22924" s="21" t="s">
        <v>71</v>
      </c>
      <c r="F22924">
        <v>6670233</v>
      </c>
      <c r="G22924" t="s">
        <v>13421</v>
      </c>
      <c r="H22924" s="21">
        <v>685.17</v>
      </c>
    </row>
    <row r="22925" spans="1:8" customFormat="1" x14ac:dyDescent="0.25">
      <c r="A22925" t="str">
        <f>"4923624"</f>
        <v>4923624</v>
      </c>
      <c r="B22925" t="s">
        <v>12517</v>
      </c>
      <c r="C22925" t="s">
        <v>547</v>
      </c>
      <c r="D22925" s="21" t="s">
        <v>34</v>
      </c>
      <c r="E22925" s="21" t="s">
        <v>254</v>
      </c>
      <c r="F22925">
        <v>12490033</v>
      </c>
      <c r="G22925" t="s">
        <v>3469</v>
      </c>
      <c r="H22925" s="21">
        <v>685.04</v>
      </c>
    </row>
    <row r="22926" spans="1:8" customFormat="1" x14ac:dyDescent="0.25">
      <c r="A22926" t="str">
        <f>"4412142"</f>
        <v>4412142</v>
      </c>
      <c r="B22926" t="s">
        <v>17010</v>
      </c>
      <c r="C22926" t="s">
        <v>40</v>
      </c>
      <c r="D22926" s="21" t="s">
        <v>34</v>
      </c>
      <c r="E22926" s="21" t="s">
        <v>254</v>
      </c>
      <c r="F22926">
        <v>12440052</v>
      </c>
      <c r="G22926" t="s">
        <v>17011</v>
      </c>
      <c r="H22926" s="21">
        <v>684.92</v>
      </c>
    </row>
    <row r="22927" spans="1:8" customFormat="1" x14ac:dyDescent="0.25">
      <c r="A22927" t="str">
        <f>"891013"</f>
        <v>891013</v>
      </c>
      <c r="B22927" t="s">
        <v>16852</v>
      </c>
      <c r="C22927" t="s">
        <v>2520</v>
      </c>
      <c r="D22927" s="21" t="s">
        <v>34</v>
      </c>
      <c r="E22927" s="21" t="s">
        <v>1089</v>
      </c>
      <c r="F22927">
        <v>2890010</v>
      </c>
      <c r="G22927" t="s">
        <v>3790</v>
      </c>
      <c r="H22927" s="21">
        <v>684.92</v>
      </c>
    </row>
    <row r="22928" spans="1:8" customFormat="1" x14ac:dyDescent="0.25">
      <c r="A22928" t="str">
        <f>"589706"</f>
        <v>589706</v>
      </c>
      <c r="B22928" t="s">
        <v>16877</v>
      </c>
      <c r="C22928" t="s">
        <v>202</v>
      </c>
      <c r="D22928" s="21" t="s">
        <v>34</v>
      </c>
      <c r="E22928" s="21" t="s">
        <v>254</v>
      </c>
      <c r="F22928">
        <v>2580006</v>
      </c>
      <c r="G22928" t="s">
        <v>4813</v>
      </c>
      <c r="H22928" s="21">
        <v>684.92</v>
      </c>
    </row>
    <row r="22929" spans="1:8" customFormat="1" x14ac:dyDescent="0.25">
      <c r="A22929" t="str">
        <f>"7830685"</f>
        <v>7830685</v>
      </c>
      <c r="B22929" t="s">
        <v>5197</v>
      </c>
      <c r="C22929" t="s">
        <v>198</v>
      </c>
      <c r="D22929" s="21" t="s">
        <v>34</v>
      </c>
      <c r="E22929" s="21" t="s">
        <v>254</v>
      </c>
      <c r="F22929">
        <v>8780660</v>
      </c>
      <c r="G22929" t="s">
        <v>2801</v>
      </c>
      <c r="H22929" s="21">
        <v>684.79</v>
      </c>
    </row>
    <row r="22930" spans="1:8" customFormat="1" x14ac:dyDescent="0.25">
      <c r="A22930" t="str">
        <f>"4451357"</f>
        <v>4451357</v>
      </c>
      <c r="B22930" t="s">
        <v>10802</v>
      </c>
      <c r="C22930" t="s">
        <v>249</v>
      </c>
      <c r="D22930" s="21" t="s">
        <v>34</v>
      </c>
      <c r="E22930" s="21" t="s">
        <v>35</v>
      </c>
      <c r="F22930">
        <v>12440029</v>
      </c>
      <c r="G22930" t="s">
        <v>567</v>
      </c>
      <c r="H22930" s="21">
        <v>684.79</v>
      </c>
    </row>
    <row r="22931" spans="1:8" customFormat="1" x14ac:dyDescent="0.25">
      <c r="A22931" t="str">
        <f>"5950883"</f>
        <v>5950883</v>
      </c>
      <c r="B22931" t="s">
        <v>10437</v>
      </c>
      <c r="C22931" t="s">
        <v>269</v>
      </c>
      <c r="D22931" s="21" t="s">
        <v>34</v>
      </c>
      <c r="E22931" s="21" t="s">
        <v>71</v>
      </c>
      <c r="F22931">
        <v>7620088</v>
      </c>
      <c r="G22931" t="s">
        <v>3342</v>
      </c>
      <c r="H22931" s="21">
        <v>684.75</v>
      </c>
    </row>
    <row r="22932" spans="1:8" customFormat="1" x14ac:dyDescent="0.25">
      <c r="A22932" t="str">
        <f>"3427145"</f>
        <v>3427145</v>
      </c>
      <c r="B22932" t="s">
        <v>11529</v>
      </c>
      <c r="C22932" t="s">
        <v>269</v>
      </c>
      <c r="D22932" s="21" t="s">
        <v>34</v>
      </c>
      <c r="E22932" s="21" t="s">
        <v>71</v>
      </c>
      <c r="F22932">
        <v>11340075</v>
      </c>
      <c r="G22932" t="s">
        <v>18069</v>
      </c>
      <c r="H22932" s="21">
        <v>684.67</v>
      </c>
    </row>
    <row r="22933" spans="1:8" customFormat="1" x14ac:dyDescent="0.25">
      <c r="A22933" t="str">
        <f>"639769"</f>
        <v>639769</v>
      </c>
      <c r="B22933" t="s">
        <v>1295</v>
      </c>
      <c r="C22933" t="s">
        <v>40</v>
      </c>
      <c r="D22933" s="21" t="s">
        <v>34</v>
      </c>
      <c r="E22933" s="21" t="s">
        <v>71</v>
      </c>
      <c r="F22933">
        <v>1630185</v>
      </c>
      <c r="G22933" t="s">
        <v>858</v>
      </c>
      <c r="H22933" s="21">
        <v>684.67</v>
      </c>
    </row>
    <row r="22934" spans="1:8" customFormat="1" x14ac:dyDescent="0.25">
      <c r="A22934" t="str">
        <f>"386389"</f>
        <v>386389</v>
      </c>
      <c r="B22934" t="s">
        <v>9135</v>
      </c>
      <c r="C22934" t="s">
        <v>253</v>
      </c>
      <c r="D22934" s="21" t="s">
        <v>34</v>
      </c>
      <c r="E22934" s="21" t="s">
        <v>1089</v>
      </c>
      <c r="F22934">
        <v>1380005</v>
      </c>
      <c r="G22934" t="s">
        <v>3119</v>
      </c>
      <c r="H22934" s="21">
        <v>684.67</v>
      </c>
    </row>
    <row r="22935" spans="1:8" customFormat="1" x14ac:dyDescent="0.25">
      <c r="A22935" t="str">
        <f>"0610306"</f>
        <v>0610306</v>
      </c>
      <c r="B22935" t="s">
        <v>16780</v>
      </c>
      <c r="C22935" t="s">
        <v>1146</v>
      </c>
      <c r="D22935" s="21" t="s">
        <v>34</v>
      </c>
      <c r="E22935" s="21" t="s">
        <v>35</v>
      </c>
      <c r="F22935">
        <v>13060063</v>
      </c>
      <c r="G22935" t="s">
        <v>2001</v>
      </c>
      <c r="H22935" s="21">
        <v>684.67</v>
      </c>
    </row>
    <row r="22936" spans="1:8" customFormat="1" x14ac:dyDescent="0.25">
      <c r="A22936" t="str">
        <f>"305416"</f>
        <v>305416</v>
      </c>
      <c r="B22936" t="s">
        <v>146</v>
      </c>
      <c r="C22936" t="s">
        <v>156</v>
      </c>
      <c r="D22936" s="21" t="s">
        <v>34</v>
      </c>
      <c r="E22936" s="21" t="s">
        <v>254</v>
      </c>
      <c r="F22936">
        <v>12490098</v>
      </c>
      <c r="G22936" t="s">
        <v>2670</v>
      </c>
      <c r="H22936" s="21">
        <v>684.67</v>
      </c>
    </row>
    <row r="22937" spans="1:8" customFormat="1" x14ac:dyDescent="0.25">
      <c r="A22937" t="str">
        <f>"4437364"</f>
        <v>4437364</v>
      </c>
      <c r="B22937" t="s">
        <v>17296</v>
      </c>
      <c r="C22937" t="s">
        <v>267</v>
      </c>
      <c r="D22937" s="21" t="s">
        <v>34</v>
      </c>
      <c r="E22937" s="21" t="s">
        <v>254</v>
      </c>
      <c r="F22937">
        <v>12440127</v>
      </c>
      <c r="G22937" t="s">
        <v>7692</v>
      </c>
      <c r="H22937" s="21">
        <v>684.67</v>
      </c>
    </row>
    <row r="22938" spans="1:8" customFormat="1" x14ac:dyDescent="0.25">
      <c r="A22938" t="str">
        <f>"86567"</f>
        <v>86567</v>
      </c>
      <c r="B22938" t="s">
        <v>17375</v>
      </c>
      <c r="C22938" t="s">
        <v>236</v>
      </c>
      <c r="D22938" s="21" t="s">
        <v>34</v>
      </c>
      <c r="E22938" s="21" t="s">
        <v>1089</v>
      </c>
      <c r="F22938">
        <v>10860149</v>
      </c>
      <c r="G22938" t="s">
        <v>17376</v>
      </c>
      <c r="H22938" s="21">
        <v>684.67</v>
      </c>
    </row>
    <row r="22939" spans="1:8" customFormat="1" x14ac:dyDescent="0.25">
      <c r="A22939" t="str">
        <f>"7726466"</f>
        <v>7726466</v>
      </c>
      <c r="B22939" t="s">
        <v>11076</v>
      </c>
      <c r="C22939" t="s">
        <v>119</v>
      </c>
      <c r="D22939" s="21" t="s">
        <v>34</v>
      </c>
      <c r="E22939" s="21" t="s">
        <v>35</v>
      </c>
      <c r="F22939">
        <v>8770250</v>
      </c>
      <c r="G22939" t="s">
        <v>2595</v>
      </c>
      <c r="H22939" s="21">
        <v>684.67</v>
      </c>
    </row>
    <row r="22940" spans="1:8" customFormat="1" x14ac:dyDescent="0.25">
      <c r="A22940" t="str">
        <f>"4515320"</f>
        <v>4515320</v>
      </c>
      <c r="B22940" t="s">
        <v>17706</v>
      </c>
      <c r="C22940" t="s">
        <v>169</v>
      </c>
      <c r="D22940" s="21" t="s">
        <v>34</v>
      </c>
      <c r="E22940" s="21" t="s">
        <v>71</v>
      </c>
      <c r="F22940">
        <v>4450561</v>
      </c>
      <c r="G22940" t="s">
        <v>10125</v>
      </c>
      <c r="H22940" s="21">
        <v>684.67</v>
      </c>
    </row>
    <row r="22941" spans="1:8" customFormat="1" x14ac:dyDescent="0.25">
      <c r="A22941" t="str">
        <f>"44809"</f>
        <v>44809</v>
      </c>
      <c r="B22941" t="s">
        <v>3506</v>
      </c>
      <c r="C22941" t="s">
        <v>87</v>
      </c>
      <c r="D22941" s="21" t="s">
        <v>34</v>
      </c>
      <c r="E22941" s="21" t="s">
        <v>71</v>
      </c>
      <c r="F22941">
        <v>12490019</v>
      </c>
      <c r="G22941" t="s">
        <v>14652</v>
      </c>
      <c r="H22941" s="21">
        <v>684.67</v>
      </c>
    </row>
    <row r="22942" spans="1:8" customFormat="1" x14ac:dyDescent="0.25">
      <c r="A22942" t="str">
        <f>"5417064"</f>
        <v>5417064</v>
      </c>
      <c r="B22942" t="s">
        <v>7347</v>
      </c>
      <c r="C22942" t="s">
        <v>198</v>
      </c>
      <c r="D22942" s="21" t="s">
        <v>34</v>
      </c>
      <c r="E22942" s="21" t="s">
        <v>71</v>
      </c>
      <c r="F22942">
        <v>6540036</v>
      </c>
      <c r="G22942" t="s">
        <v>3612</v>
      </c>
      <c r="H22942" s="21">
        <v>684.67</v>
      </c>
    </row>
    <row r="22943" spans="1:8" customFormat="1" x14ac:dyDescent="0.25">
      <c r="A22943" t="str">
        <f>"3817828"</f>
        <v>3817828</v>
      </c>
      <c r="B22943" t="s">
        <v>9541</v>
      </c>
      <c r="C22943" t="s">
        <v>109</v>
      </c>
      <c r="D22943" s="21" t="s">
        <v>34</v>
      </c>
      <c r="E22943" s="21" t="s">
        <v>35</v>
      </c>
      <c r="F22943">
        <v>9500048</v>
      </c>
      <c r="G22943" t="s">
        <v>1804</v>
      </c>
      <c r="H22943" s="21">
        <v>684.67</v>
      </c>
    </row>
    <row r="22944" spans="1:8" customFormat="1" x14ac:dyDescent="0.25">
      <c r="A22944" t="str">
        <f>"535631"</f>
        <v>535631</v>
      </c>
      <c r="B22944" t="s">
        <v>4029</v>
      </c>
      <c r="C22944" t="s">
        <v>462</v>
      </c>
      <c r="D22944" s="21" t="s">
        <v>34</v>
      </c>
      <c r="E22944" s="21" t="s">
        <v>71</v>
      </c>
      <c r="F22944">
        <v>12530007</v>
      </c>
      <c r="G22944" t="s">
        <v>2966</v>
      </c>
      <c r="H22944" s="21">
        <v>684.67</v>
      </c>
    </row>
    <row r="22945" spans="1:8" customFormat="1" x14ac:dyDescent="0.25">
      <c r="A22945" t="str">
        <f>"5112545"</f>
        <v>5112545</v>
      </c>
      <c r="B22945" t="s">
        <v>18146</v>
      </c>
      <c r="C22945" t="s">
        <v>114</v>
      </c>
      <c r="D22945" s="21" t="s">
        <v>34</v>
      </c>
      <c r="E22945" s="21" t="s">
        <v>254</v>
      </c>
      <c r="F22945">
        <v>6510051</v>
      </c>
      <c r="G22945" t="s">
        <v>13878</v>
      </c>
      <c r="H22945" s="21">
        <v>684.67</v>
      </c>
    </row>
    <row r="22946" spans="1:8" customFormat="1" x14ac:dyDescent="0.25">
      <c r="A22946" t="str">
        <f>"1715843"</f>
        <v>1715843</v>
      </c>
      <c r="B22946" t="s">
        <v>2460</v>
      </c>
      <c r="C22946" t="s">
        <v>462</v>
      </c>
      <c r="D22946" s="21" t="s">
        <v>34</v>
      </c>
      <c r="E22946" s="21" t="s">
        <v>71</v>
      </c>
      <c r="F22946">
        <v>10170049</v>
      </c>
      <c r="G22946" t="s">
        <v>15023</v>
      </c>
      <c r="H22946" s="21">
        <v>684.67</v>
      </c>
    </row>
    <row r="22947" spans="1:8" customFormat="1" x14ac:dyDescent="0.25">
      <c r="A22947" t="str">
        <f>"507445"</f>
        <v>507445</v>
      </c>
      <c r="B22947" t="s">
        <v>3001</v>
      </c>
      <c r="C22947" t="s">
        <v>249</v>
      </c>
      <c r="D22947" s="21" t="s">
        <v>34</v>
      </c>
      <c r="E22947" s="21" t="s">
        <v>71</v>
      </c>
      <c r="F22947">
        <v>9500131</v>
      </c>
      <c r="G22947" t="s">
        <v>1073</v>
      </c>
      <c r="H22947" s="21">
        <v>684.67</v>
      </c>
    </row>
    <row r="22948" spans="1:8" customFormat="1" x14ac:dyDescent="0.25">
      <c r="A22948" t="str">
        <f>"6921536"</f>
        <v>6921536</v>
      </c>
      <c r="B22948" t="s">
        <v>18003</v>
      </c>
      <c r="C22948" t="s">
        <v>18004</v>
      </c>
      <c r="D22948" s="21" t="s">
        <v>34</v>
      </c>
      <c r="E22948" s="21" t="s">
        <v>71</v>
      </c>
      <c r="F22948">
        <v>1690062</v>
      </c>
      <c r="G22948" t="s">
        <v>5907</v>
      </c>
      <c r="H22948" s="21">
        <v>684.67</v>
      </c>
    </row>
    <row r="22949" spans="1:8" customFormat="1" x14ac:dyDescent="0.25">
      <c r="A22949" t="str">
        <f>"7641553"</f>
        <v>7641553</v>
      </c>
      <c r="B22949" t="s">
        <v>16013</v>
      </c>
      <c r="C22949" t="s">
        <v>147</v>
      </c>
      <c r="D22949" s="21" t="s">
        <v>34</v>
      </c>
      <c r="E22949" s="21" t="s">
        <v>35</v>
      </c>
      <c r="F22949">
        <v>9760331</v>
      </c>
      <c r="G22949" t="s">
        <v>5134</v>
      </c>
      <c r="H22949" s="21">
        <v>684.67</v>
      </c>
    </row>
    <row r="22950" spans="1:8" customFormat="1" x14ac:dyDescent="0.25">
      <c r="A22950" t="str">
        <f>"878088"</f>
        <v>878088</v>
      </c>
      <c r="B22950" t="s">
        <v>17339</v>
      </c>
      <c r="C22950" t="s">
        <v>4674</v>
      </c>
      <c r="D22950" s="21" t="s">
        <v>34</v>
      </c>
      <c r="E22950" s="21" t="s">
        <v>35</v>
      </c>
      <c r="F22950">
        <v>10870029</v>
      </c>
      <c r="G22950" t="s">
        <v>15820</v>
      </c>
      <c r="H22950" s="21">
        <v>684.67</v>
      </c>
    </row>
    <row r="22951" spans="1:8" customFormat="1" x14ac:dyDescent="0.25">
      <c r="A22951" t="str">
        <f>"6946081"</f>
        <v>6946081</v>
      </c>
      <c r="B22951" t="s">
        <v>12140</v>
      </c>
      <c r="C22951" t="s">
        <v>1782</v>
      </c>
      <c r="D22951" s="21" t="s">
        <v>34</v>
      </c>
      <c r="E22951" s="21" t="s">
        <v>35</v>
      </c>
      <c r="F22951">
        <v>1690006</v>
      </c>
      <c r="G22951" t="s">
        <v>2543</v>
      </c>
      <c r="H22951" s="21">
        <v>684.67</v>
      </c>
    </row>
    <row r="22952" spans="1:8" customFormat="1" x14ac:dyDescent="0.25">
      <c r="A22952" t="str">
        <f>"897982"</f>
        <v>897982</v>
      </c>
      <c r="B22952" t="s">
        <v>19405</v>
      </c>
      <c r="C22952" t="s">
        <v>43</v>
      </c>
      <c r="D22952" s="21" t="s">
        <v>34</v>
      </c>
      <c r="E22952" s="21" t="s">
        <v>71</v>
      </c>
      <c r="F22952">
        <v>2890005</v>
      </c>
      <c r="G22952" t="s">
        <v>2889</v>
      </c>
      <c r="H22952" s="21">
        <v>684.54</v>
      </c>
    </row>
    <row r="22953" spans="1:8" customFormat="1" x14ac:dyDescent="0.25">
      <c r="A22953" t="str">
        <f>"9411680"</f>
        <v>9411680</v>
      </c>
      <c r="B22953" t="s">
        <v>11035</v>
      </c>
      <c r="C22953" t="s">
        <v>198</v>
      </c>
      <c r="D22953" s="21" t="s">
        <v>34</v>
      </c>
      <c r="E22953" s="21" t="s">
        <v>254</v>
      </c>
      <c r="F22953">
        <v>8940012</v>
      </c>
      <c r="G22953" t="s">
        <v>1648</v>
      </c>
      <c r="H22953" s="21">
        <v>684.54</v>
      </c>
    </row>
    <row r="22954" spans="1:8" customFormat="1" x14ac:dyDescent="0.25">
      <c r="A22954" t="str">
        <f>"9454710"</f>
        <v>9454710</v>
      </c>
      <c r="B22954" t="s">
        <v>11982</v>
      </c>
      <c r="C22954" t="s">
        <v>415</v>
      </c>
      <c r="D22954" s="21" t="s">
        <v>34</v>
      </c>
      <c r="E22954" s="21" t="s">
        <v>35</v>
      </c>
      <c r="F22954">
        <v>8940894</v>
      </c>
      <c r="G22954" t="s">
        <v>481</v>
      </c>
      <c r="H22954" s="21">
        <v>684.42</v>
      </c>
    </row>
    <row r="22955" spans="1:8" customFormat="1" x14ac:dyDescent="0.25">
      <c r="A22955" t="str">
        <f>"168824"</f>
        <v>168824</v>
      </c>
      <c r="B22955" t="s">
        <v>27712</v>
      </c>
      <c r="C22955" t="s">
        <v>62</v>
      </c>
      <c r="D22955" s="21" t="s">
        <v>34</v>
      </c>
      <c r="E22955" s="21" t="s">
        <v>35</v>
      </c>
      <c r="F22955">
        <v>2890059</v>
      </c>
      <c r="G22955" t="s">
        <v>26651</v>
      </c>
      <c r="H22955" s="21">
        <v>684.42</v>
      </c>
    </row>
    <row r="22956" spans="1:8" customFormat="1" x14ac:dyDescent="0.25">
      <c r="A22956" t="str">
        <f>"9250658"</f>
        <v>9250658</v>
      </c>
      <c r="B22956" t="s">
        <v>4711</v>
      </c>
      <c r="C22956" t="s">
        <v>139</v>
      </c>
      <c r="D22956" s="21" t="s">
        <v>34</v>
      </c>
      <c r="E22956" s="21" t="s">
        <v>35</v>
      </c>
      <c r="F22956">
        <v>8920151</v>
      </c>
      <c r="G22956" t="s">
        <v>1434</v>
      </c>
      <c r="H22956" s="21">
        <v>684.42</v>
      </c>
    </row>
    <row r="22957" spans="1:8" customFormat="1" x14ac:dyDescent="0.25">
      <c r="A22957" t="str">
        <f>"26473"</f>
        <v>26473</v>
      </c>
      <c r="B22957" t="s">
        <v>1094</v>
      </c>
      <c r="C22957" t="s">
        <v>415</v>
      </c>
      <c r="D22957" s="21" t="s">
        <v>34</v>
      </c>
      <c r="E22957" s="21" t="s">
        <v>254</v>
      </c>
      <c r="F22957">
        <v>1260060</v>
      </c>
      <c r="G22957" t="s">
        <v>3403</v>
      </c>
      <c r="H22957" s="21">
        <v>684.42</v>
      </c>
    </row>
    <row r="22958" spans="1:8" customFormat="1" x14ac:dyDescent="0.25">
      <c r="A22958" t="str">
        <f>"5321667"</f>
        <v>5321667</v>
      </c>
      <c r="B22958" t="s">
        <v>9817</v>
      </c>
      <c r="C22958" t="s">
        <v>879</v>
      </c>
      <c r="D22958" s="21" t="s">
        <v>34</v>
      </c>
      <c r="E22958" s="21" t="s">
        <v>71</v>
      </c>
      <c r="F22958">
        <v>12530008</v>
      </c>
      <c r="G22958" t="s">
        <v>7920</v>
      </c>
      <c r="H22958" s="21">
        <v>684.42</v>
      </c>
    </row>
    <row r="22959" spans="1:8" customFormat="1" x14ac:dyDescent="0.25">
      <c r="A22959" t="str">
        <f>"5714733"</f>
        <v>5714733</v>
      </c>
      <c r="B22959" t="s">
        <v>14432</v>
      </c>
      <c r="C22959" t="s">
        <v>1841</v>
      </c>
      <c r="D22959" s="21" t="s">
        <v>34</v>
      </c>
      <c r="E22959" s="21" t="s">
        <v>254</v>
      </c>
      <c r="F22959">
        <v>6570179</v>
      </c>
      <c r="G22959" t="s">
        <v>9205</v>
      </c>
      <c r="H22959" s="21">
        <v>684.42</v>
      </c>
    </row>
    <row r="22960" spans="1:8" customFormat="1" x14ac:dyDescent="0.25">
      <c r="A22960" t="str">
        <f>"5310767"</f>
        <v>5310767</v>
      </c>
      <c r="B22960" t="s">
        <v>3328</v>
      </c>
      <c r="C22960" t="s">
        <v>263</v>
      </c>
      <c r="D22960" s="21" t="s">
        <v>34</v>
      </c>
      <c r="E22960" s="21" t="s">
        <v>35</v>
      </c>
      <c r="F22960">
        <v>12530124</v>
      </c>
      <c r="G22960" t="s">
        <v>4935</v>
      </c>
      <c r="H22960" s="21">
        <v>684.42</v>
      </c>
    </row>
    <row r="22961" spans="1:8" customFormat="1" x14ac:dyDescent="0.25">
      <c r="A22961" t="str">
        <f>"774644"</f>
        <v>774644</v>
      </c>
      <c r="B22961" t="s">
        <v>18109</v>
      </c>
      <c r="C22961" t="s">
        <v>453</v>
      </c>
      <c r="D22961" s="21" t="s">
        <v>34</v>
      </c>
      <c r="E22961" s="21" t="s">
        <v>1089</v>
      </c>
      <c r="F22961">
        <v>8770202</v>
      </c>
      <c r="G22961" t="s">
        <v>1999</v>
      </c>
      <c r="H22961" s="21">
        <v>684.29</v>
      </c>
    </row>
    <row r="22962" spans="1:8" customFormat="1" x14ac:dyDescent="0.25">
      <c r="A22962" t="str">
        <f>"7724739"</f>
        <v>7724739</v>
      </c>
      <c r="B22962" t="s">
        <v>7168</v>
      </c>
      <c r="C22962" t="s">
        <v>43</v>
      </c>
      <c r="D22962" s="21" t="s">
        <v>34</v>
      </c>
      <c r="E22962" s="21" t="s">
        <v>35</v>
      </c>
      <c r="F22962">
        <v>11310064</v>
      </c>
      <c r="G22962" t="s">
        <v>931</v>
      </c>
      <c r="H22962" s="21">
        <v>684.29</v>
      </c>
    </row>
    <row r="22963" spans="1:8" customFormat="1" x14ac:dyDescent="0.25">
      <c r="A22963" t="str">
        <f>"8011143"</f>
        <v>8011143</v>
      </c>
      <c r="B22963" t="s">
        <v>13893</v>
      </c>
      <c r="C22963" t="s">
        <v>139</v>
      </c>
      <c r="D22963" s="21" t="s">
        <v>34</v>
      </c>
      <c r="E22963" s="21" t="s">
        <v>35</v>
      </c>
      <c r="F22963">
        <v>10330043</v>
      </c>
      <c r="G22963" t="s">
        <v>1703</v>
      </c>
      <c r="H22963" s="21">
        <v>684.17</v>
      </c>
    </row>
    <row r="22964" spans="1:8" customFormat="1" x14ac:dyDescent="0.25">
      <c r="A22964" t="str">
        <f>"9120347"</f>
        <v>9120347</v>
      </c>
      <c r="B22964" t="s">
        <v>5452</v>
      </c>
      <c r="C22964" t="s">
        <v>55</v>
      </c>
      <c r="D22964" s="21" t="s">
        <v>34</v>
      </c>
      <c r="E22964" s="21" t="s">
        <v>71</v>
      </c>
      <c r="F22964">
        <v>8911083</v>
      </c>
      <c r="G22964" t="s">
        <v>7357</v>
      </c>
      <c r="H22964" s="21">
        <v>684.17</v>
      </c>
    </row>
    <row r="22965" spans="1:8" customFormat="1" x14ac:dyDescent="0.25">
      <c r="A22965" t="str">
        <f>"6939102"</f>
        <v>6939102</v>
      </c>
      <c r="B22965" t="s">
        <v>17432</v>
      </c>
      <c r="C22965" t="s">
        <v>169</v>
      </c>
      <c r="D22965" s="21" t="s">
        <v>34</v>
      </c>
      <c r="E22965" s="21" t="s">
        <v>71</v>
      </c>
      <c r="F22965">
        <v>1690215</v>
      </c>
      <c r="G22965" t="s">
        <v>1080</v>
      </c>
      <c r="H22965" s="21">
        <v>684.17</v>
      </c>
    </row>
    <row r="22966" spans="1:8" customFormat="1" x14ac:dyDescent="0.25">
      <c r="A22966" t="str">
        <f>"376512"</f>
        <v>376512</v>
      </c>
      <c r="B22966" t="s">
        <v>2726</v>
      </c>
      <c r="C22966" t="s">
        <v>253</v>
      </c>
      <c r="D22966" s="21" t="s">
        <v>34</v>
      </c>
      <c r="E22966" s="21" t="s">
        <v>71</v>
      </c>
      <c r="F22966">
        <v>4370669</v>
      </c>
      <c r="G22966" t="s">
        <v>8189</v>
      </c>
      <c r="H22966" s="21">
        <v>684.17</v>
      </c>
    </row>
    <row r="22967" spans="1:8" customFormat="1" x14ac:dyDescent="0.25">
      <c r="A22967" t="str">
        <f>"5016812"</f>
        <v>5016812</v>
      </c>
      <c r="B22967" t="s">
        <v>17657</v>
      </c>
      <c r="C22967" t="s">
        <v>130</v>
      </c>
      <c r="D22967" s="21" t="s">
        <v>34</v>
      </c>
      <c r="E22967" s="21" t="s">
        <v>35</v>
      </c>
      <c r="F22967">
        <v>9500154</v>
      </c>
      <c r="G22967" t="s">
        <v>9582</v>
      </c>
      <c r="H22967" s="21">
        <v>684.17</v>
      </c>
    </row>
    <row r="22968" spans="1:8" customFormat="1" x14ac:dyDescent="0.25">
      <c r="A22968" t="str">
        <f>"9535564"</f>
        <v>9535564</v>
      </c>
      <c r="B22968" t="s">
        <v>8812</v>
      </c>
      <c r="C22968" t="s">
        <v>55</v>
      </c>
      <c r="D22968" s="21" t="s">
        <v>34</v>
      </c>
      <c r="E22968" s="21" t="s">
        <v>71</v>
      </c>
      <c r="F22968">
        <v>8950917</v>
      </c>
      <c r="G22968" t="s">
        <v>3823</v>
      </c>
      <c r="H22968" s="21">
        <v>684.17</v>
      </c>
    </row>
    <row r="22969" spans="1:8" customFormat="1" x14ac:dyDescent="0.25">
      <c r="A22969" t="str">
        <f>"244494"</f>
        <v>244494</v>
      </c>
      <c r="B22969" t="s">
        <v>17096</v>
      </c>
      <c r="C22969" t="s">
        <v>486</v>
      </c>
      <c r="D22969" s="21" t="s">
        <v>34</v>
      </c>
      <c r="E22969" s="21" t="s">
        <v>254</v>
      </c>
      <c r="F22969">
        <v>10240014</v>
      </c>
      <c r="G22969" t="s">
        <v>5445</v>
      </c>
      <c r="H22969" s="21">
        <v>684.17</v>
      </c>
    </row>
    <row r="22970" spans="1:8" customFormat="1" x14ac:dyDescent="0.25">
      <c r="A22970" t="str">
        <f>"593763"</f>
        <v>593763</v>
      </c>
      <c r="B22970" t="s">
        <v>108</v>
      </c>
      <c r="C22970" t="s">
        <v>598</v>
      </c>
      <c r="D22970" s="21" t="s">
        <v>34</v>
      </c>
      <c r="E22970" s="21" t="s">
        <v>254</v>
      </c>
      <c r="F22970">
        <v>7590228</v>
      </c>
      <c r="G22970" t="s">
        <v>1798</v>
      </c>
      <c r="H22970" s="21">
        <v>684.17</v>
      </c>
    </row>
    <row r="22971" spans="1:8" customFormat="1" x14ac:dyDescent="0.25">
      <c r="A22971" t="str">
        <f>"5323204"</f>
        <v>5323204</v>
      </c>
      <c r="B22971" t="s">
        <v>17791</v>
      </c>
      <c r="C22971" t="s">
        <v>249</v>
      </c>
      <c r="D22971" s="21" t="s">
        <v>34</v>
      </c>
      <c r="E22971" s="21" t="s">
        <v>71</v>
      </c>
      <c r="F22971">
        <v>12538904</v>
      </c>
      <c r="G22971" t="s">
        <v>12489</v>
      </c>
      <c r="H22971" s="21">
        <v>684.17</v>
      </c>
    </row>
    <row r="22972" spans="1:8" customFormat="1" x14ac:dyDescent="0.25">
      <c r="A22972" t="str">
        <f>"5716196"</f>
        <v>5716196</v>
      </c>
      <c r="B22972" t="s">
        <v>1462</v>
      </c>
      <c r="C22972" t="s">
        <v>269</v>
      </c>
      <c r="D22972" s="21" t="s">
        <v>34</v>
      </c>
      <c r="E22972" s="21" t="s">
        <v>71</v>
      </c>
      <c r="F22972">
        <v>6540097</v>
      </c>
      <c r="G22972" t="s">
        <v>12434</v>
      </c>
      <c r="H22972" s="21">
        <v>684.17</v>
      </c>
    </row>
    <row r="22973" spans="1:8" customFormat="1" x14ac:dyDescent="0.25">
      <c r="A22973" t="str">
        <f>"9244242"</f>
        <v>9244242</v>
      </c>
      <c r="B22973" t="s">
        <v>17363</v>
      </c>
      <c r="C22973" t="s">
        <v>236</v>
      </c>
      <c r="D22973" s="21" t="s">
        <v>34</v>
      </c>
      <c r="E22973" s="21" t="s">
        <v>71</v>
      </c>
      <c r="F22973">
        <v>8771426</v>
      </c>
      <c r="G22973" t="s">
        <v>844</v>
      </c>
      <c r="H22973" s="21">
        <v>684.17</v>
      </c>
    </row>
    <row r="22974" spans="1:8" customFormat="1" x14ac:dyDescent="0.25">
      <c r="A22974" t="str">
        <f>"7857311"</f>
        <v>7857311</v>
      </c>
      <c r="B22974" t="s">
        <v>19735</v>
      </c>
      <c r="C22974" t="s">
        <v>388</v>
      </c>
      <c r="D22974" s="21" t="s">
        <v>34</v>
      </c>
      <c r="E22974" s="21" t="s">
        <v>71</v>
      </c>
      <c r="F22974">
        <v>8781380</v>
      </c>
      <c r="G22974" t="s">
        <v>10815</v>
      </c>
      <c r="H22974" s="21">
        <v>684.17</v>
      </c>
    </row>
    <row r="22975" spans="1:8" customFormat="1" x14ac:dyDescent="0.25">
      <c r="A22975" t="str">
        <f>"781553"</f>
        <v>781553</v>
      </c>
      <c r="B22975" t="s">
        <v>17112</v>
      </c>
      <c r="C22975" t="s">
        <v>576</v>
      </c>
      <c r="D22975" s="21" t="s">
        <v>34</v>
      </c>
      <c r="E22975" s="21" t="s">
        <v>254</v>
      </c>
      <c r="F22975">
        <v>8780660</v>
      </c>
      <c r="G22975" t="s">
        <v>2801</v>
      </c>
      <c r="H22975" s="21">
        <v>684.17</v>
      </c>
    </row>
    <row r="22976" spans="1:8" customFormat="1" x14ac:dyDescent="0.25">
      <c r="A22976" t="str">
        <f>"0618875"</f>
        <v>0618875</v>
      </c>
      <c r="B22976" t="s">
        <v>27713</v>
      </c>
      <c r="C22976" t="s">
        <v>867</v>
      </c>
      <c r="D22976" s="21" t="s">
        <v>34</v>
      </c>
      <c r="E22976" s="21" t="s">
        <v>35</v>
      </c>
      <c r="F22976">
        <v>13060114</v>
      </c>
      <c r="G22976" t="s">
        <v>4501</v>
      </c>
      <c r="H22976" s="21">
        <v>684.17</v>
      </c>
    </row>
    <row r="22977" spans="1:8" customFormat="1" x14ac:dyDescent="0.25">
      <c r="A22977" t="str">
        <f>"5963131"</f>
        <v>5963131</v>
      </c>
      <c r="B22977" t="s">
        <v>27714</v>
      </c>
      <c r="C22977" t="s">
        <v>169</v>
      </c>
      <c r="D22977" s="21" t="s">
        <v>34</v>
      </c>
      <c r="E22977" s="21" t="s">
        <v>71</v>
      </c>
      <c r="F22977">
        <v>7590004</v>
      </c>
      <c r="G22977" t="s">
        <v>4816</v>
      </c>
      <c r="H22977" s="21">
        <v>684.17</v>
      </c>
    </row>
    <row r="22978" spans="1:8" customFormat="1" x14ac:dyDescent="0.25">
      <c r="A22978" t="str">
        <f>"566475"</f>
        <v>566475</v>
      </c>
      <c r="B22978" t="s">
        <v>1531</v>
      </c>
      <c r="C22978" t="s">
        <v>1841</v>
      </c>
      <c r="D22978" s="21" t="s">
        <v>34</v>
      </c>
      <c r="E22978" s="21" t="s">
        <v>1089</v>
      </c>
      <c r="F22978">
        <v>3560096</v>
      </c>
      <c r="G22978" t="s">
        <v>2771</v>
      </c>
      <c r="H22978" s="21">
        <v>684.17</v>
      </c>
    </row>
    <row r="22979" spans="1:8" customFormat="1" x14ac:dyDescent="0.25">
      <c r="A22979" t="str">
        <f>"441399"</f>
        <v>441399</v>
      </c>
      <c r="B22979" t="s">
        <v>15634</v>
      </c>
      <c r="C22979" t="s">
        <v>4721</v>
      </c>
      <c r="D22979" s="21" t="s">
        <v>34</v>
      </c>
      <c r="E22979" s="21" t="s">
        <v>6185</v>
      </c>
      <c r="F22979">
        <v>12440038</v>
      </c>
      <c r="G22979" t="s">
        <v>2057</v>
      </c>
      <c r="H22979" s="21">
        <v>684.17</v>
      </c>
    </row>
    <row r="22980" spans="1:8" customFormat="1" x14ac:dyDescent="0.25">
      <c r="A22980" t="str">
        <f>"6214762"</f>
        <v>6214762</v>
      </c>
      <c r="B22980" t="s">
        <v>12534</v>
      </c>
      <c r="C22980" t="s">
        <v>2430</v>
      </c>
      <c r="D22980" s="21" t="s">
        <v>34</v>
      </c>
      <c r="E22980" s="21" t="s">
        <v>254</v>
      </c>
      <c r="F22980">
        <v>7620092</v>
      </c>
      <c r="G22980" t="s">
        <v>9874</v>
      </c>
      <c r="H22980" s="21">
        <v>684.17</v>
      </c>
    </row>
    <row r="22981" spans="1:8" customFormat="1" x14ac:dyDescent="0.25">
      <c r="A22981" t="str">
        <f>"027251"</f>
        <v>027251</v>
      </c>
      <c r="B22981" t="s">
        <v>22912</v>
      </c>
      <c r="C22981" t="s">
        <v>275</v>
      </c>
      <c r="D22981" s="21" t="s">
        <v>34</v>
      </c>
      <c r="E22981" s="21" t="s">
        <v>35</v>
      </c>
      <c r="F22981">
        <v>7020030</v>
      </c>
      <c r="G22981" t="s">
        <v>1796</v>
      </c>
      <c r="H22981" s="21">
        <v>684.17</v>
      </c>
    </row>
    <row r="22982" spans="1:8" customFormat="1" x14ac:dyDescent="0.25">
      <c r="A22982" t="str">
        <f>"868868"</f>
        <v>868868</v>
      </c>
      <c r="B22982" t="s">
        <v>11526</v>
      </c>
      <c r="C22982" t="s">
        <v>493</v>
      </c>
      <c r="D22982" s="21" t="s">
        <v>34</v>
      </c>
      <c r="E22982" s="21" t="s">
        <v>71</v>
      </c>
      <c r="F22982">
        <v>12440051</v>
      </c>
      <c r="G22982" t="s">
        <v>2191</v>
      </c>
      <c r="H22982" s="21">
        <v>684.17</v>
      </c>
    </row>
    <row r="22983" spans="1:8" customFormat="1" x14ac:dyDescent="0.25">
      <c r="A22983" t="str">
        <f>"5967759"</f>
        <v>5967759</v>
      </c>
      <c r="B22983" t="s">
        <v>18661</v>
      </c>
      <c r="C22983" t="s">
        <v>7515</v>
      </c>
      <c r="D22983" s="21" t="s">
        <v>34</v>
      </c>
      <c r="E22983" s="21" t="s">
        <v>71</v>
      </c>
      <c r="F22983">
        <v>7590404</v>
      </c>
      <c r="G22983" t="s">
        <v>12173</v>
      </c>
      <c r="H22983" s="21">
        <v>684.17</v>
      </c>
    </row>
    <row r="22984" spans="1:8" customFormat="1" x14ac:dyDescent="0.25">
      <c r="A22984" t="str">
        <f>"9251516"</f>
        <v>9251516</v>
      </c>
      <c r="B22984" t="s">
        <v>21985</v>
      </c>
      <c r="C22984" t="s">
        <v>209</v>
      </c>
      <c r="D22984" s="21" t="s">
        <v>34</v>
      </c>
      <c r="E22984" s="21" t="s">
        <v>71</v>
      </c>
      <c r="F22984">
        <v>8920151</v>
      </c>
      <c r="G22984" t="s">
        <v>1434</v>
      </c>
      <c r="H22984" s="21">
        <v>684.17</v>
      </c>
    </row>
    <row r="22985" spans="1:8" customFormat="1" x14ac:dyDescent="0.25">
      <c r="A22985" t="str">
        <f>"761041"</f>
        <v>761041</v>
      </c>
      <c r="B22985" t="s">
        <v>17021</v>
      </c>
      <c r="C22985" t="s">
        <v>469</v>
      </c>
      <c r="D22985" s="21" t="s">
        <v>34</v>
      </c>
      <c r="E22985" s="21" t="s">
        <v>254</v>
      </c>
      <c r="F22985">
        <v>9760331</v>
      </c>
      <c r="G22985" t="s">
        <v>5134</v>
      </c>
      <c r="H22985" s="21">
        <v>684.17</v>
      </c>
    </row>
    <row r="22986" spans="1:8" customFormat="1" x14ac:dyDescent="0.25">
      <c r="A22986" t="str">
        <f>"7725974"</f>
        <v>7725974</v>
      </c>
      <c r="B22986" t="s">
        <v>3313</v>
      </c>
      <c r="C22986" t="s">
        <v>233</v>
      </c>
      <c r="D22986" s="21" t="s">
        <v>34</v>
      </c>
      <c r="E22986" s="21" t="s">
        <v>71</v>
      </c>
      <c r="F22986">
        <v>8771314</v>
      </c>
      <c r="G22986" t="s">
        <v>14172</v>
      </c>
      <c r="H22986" s="21">
        <v>683.92</v>
      </c>
    </row>
    <row r="22987" spans="1:8" customFormat="1" x14ac:dyDescent="0.25">
      <c r="A22987" t="str">
        <f>"6814145"</f>
        <v>6814145</v>
      </c>
      <c r="B22987" t="s">
        <v>20531</v>
      </c>
      <c r="C22987" t="s">
        <v>20532</v>
      </c>
      <c r="D22987" s="21" t="s">
        <v>34</v>
      </c>
      <c r="E22987" s="21" t="s">
        <v>71</v>
      </c>
      <c r="F22987">
        <v>6680118</v>
      </c>
      <c r="G22987" t="s">
        <v>4346</v>
      </c>
      <c r="H22987" s="21">
        <v>683.67</v>
      </c>
    </row>
    <row r="22988" spans="1:8" customFormat="1" x14ac:dyDescent="0.25">
      <c r="A22988" t="str">
        <f>"4451613"</f>
        <v>4451613</v>
      </c>
      <c r="B22988" t="s">
        <v>21339</v>
      </c>
      <c r="C22988" t="s">
        <v>275</v>
      </c>
      <c r="D22988" s="21" t="s">
        <v>34</v>
      </c>
      <c r="E22988" s="21" t="s">
        <v>35</v>
      </c>
      <c r="F22988">
        <v>12440166</v>
      </c>
      <c r="G22988" t="s">
        <v>4031</v>
      </c>
      <c r="H22988" s="21">
        <v>683.67</v>
      </c>
    </row>
    <row r="22989" spans="1:8" customFormat="1" x14ac:dyDescent="0.25">
      <c r="A22989" t="str">
        <f>"4440491"</f>
        <v>4440491</v>
      </c>
      <c r="B22989" t="s">
        <v>18994</v>
      </c>
      <c r="C22989" t="s">
        <v>598</v>
      </c>
      <c r="D22989" s="21" t="s">
        <v>34</v>
      </c>
      <c r="E22989" s="21" t="s">
        <v>254</v>
      </c>
      <c r="F22989">
        <v>12440074</v>
      </c>
      <c r="G22989" t="s">
        <v>2436</v>
      </c>
      <c r="H22989" s="21">
        <v>683.67</v>
      </c>
    </row>
    <row r="22990" spans="1:8" customFormat="1" x14ac:dyDescent="0.25">
      <c r="A22990" t="str">
        <f>"406417"</f>
        <v>406417</v>
      </c>
      <c r="B22990" t="s">
        <v>17384</v>
      </c>
      <c r="C22990" t="s">
        <v>249</v>
      </c>
      <c r="D22990" s="21" t="s">
        <v>34</v>
      </c>
      <c r="E22990" s="21" t="s">
        <v>71</v>
      </c>
      <c r="F22990">
        <v>10400015</v>
      </c>
      <c r="G22990" t="s">
        <v>1095</v>
      </c>
      <c r="H22990" s="21">
        <v>683.67</v>
      </c>
    </row>
    <row r="22991" spans="1:8" customFormat="1" x14ac:dyDescent="0.25">
      <c r="A22991" t="str">
        <f>"5983816"</f>
        <v>5983816</v>
      </c>
      <c r="B22991" t="s">
        <v>27715</v>
      </c>
      <c r="C22991" t="s">
        <v>149</v>
      </c>
      <c r="D22991" s="21" t="s">
        <v>34</v>
      </c>
      <c r="E22991" s="21" t="s">
        <v>35</v>
      </c>
      <c r="F22991">
        <v>7590411</v>
      </c>
      <c r="G22991" t="s">
        <v>4036</v>
      </c>
      <c r="H22991" s="21">
        <v>683.67</v>
      </c>
    </row>
    <row r="22992" spans="1:8" customFormat="1" x14ac:dyDescent="0.25">
      <c r="A22992" t="str">
        <f>"7629362"</f>
        <v>7629362</v>
      </c>
      <c r="B22992" t="s">
        <v>15737</v>
      </c>
      <c r="C22992" t="s">
        <v>415</v>
      </c>
      <c r="D22992" s="21" t="s">
        <v>34</v>
      </c>
      <c r="E22992" s="21" t="s">
        <v>1089</v>
      </c>
      <c r="F22992">
        <v>9760004</v>
      </c>
      <c r="G22992" t="s">
        <v>56</v>
      </c>
      <c r="H22992" s="21">
        <v>683.67</v>
      </c>
    </row>
    <row r="22993" spans="1:8" customFormat="1" x14ac:dyDescent="0.25">
      <c r="A22993" t="str">
        <f>"6938261"</f>
        <v>6938261</v>
      </c>
      <c r="B22993" t="s">
        <v>17134</v>
      </c>
      <c r="C22993" t="s">
        <v>139</v>
      </c>
      <c r="D22993" s="21" t="s">
        <v>34</v>
      </c>
      <c r="E22993" s="21" t="s">
        <v>71</v>
      </c>
      <c r="F22993">
        <v>1690005</v>
      </c>
      <c r="G22993" t="s">
        <v>16595</v>
      </c>
      <c r="H22993" s="21">
        <v>683.67</v>
      </c>
    </row>
    <row r="22994" spans="1:8" customFormat="1" x14ac:dyDescent="0.25">
      <c r="A22994" t="str">
        <f>"5014713"</f>
        <v>5014713</v>
      </c>
      <c r="B22994" t="s">
        <v>556</v>
      </c>
      <c r="C22994" t="s">
        <v>2958</v>
      </c>
      <c r="D22994" s="21" t="s">
        <v>34</v>
      </c>
      <c r="E22994" s="21" t="s">
        <v>35</v>
      </c>
      <c r="F22994">
        <v>9500088</v>
      </c>
      <c r="G22994" t="s">
        <v>15949</v>
      </c>
      <c r="H22994" s="21">
        <v>683.67</v>
      </c>
    </row>
    <row r="22995" spans="1:8" customFormat="1" x14ac:dyDescent="0.25">
      <c r="A22995" t="str">
        <f>"2617557"</f>
        <v>2617557</v>
      </c>
      <c r="B22995" t="s">
        <v>18426</v>
      </c>
      <c r="C22995" t="s">
        <v>60</v>
      </c>
      <c r="D22995" s="21" t="s">
        <v>34</v>
      </c>
      <c r="E22995" s="21" t="s">
        <v>71</v>
      </c>
      <c r="F22995">
        <v>1260040</v>
      </c>
      <c r="G22995" t="s">
        <v>10768</v>
      </c>
      <c r="H22995" s="21">
        <v>683.67</v>
      </c>
    </row>
    <row r="22996" spans="1:8" customFormat="1" x14ac:dyDescent="0.25">
      <c r="A22996" t="str">
        <f>"0111757"</f>
        <v>0111757</v>
      </c>
      <c r="B22996" t="s">
        <v>17083</v>
      </c>
      <c r="C22996" t="s">
        <v>267</v>
      </c>
      <c r="D22996" s="21" t="s">
        <v>34</v>
      </c>
      <c r="E22996" s="21" t="s">
        <v>1089</v>
      </c>
      <c r="F22996">
        <v>1010044</v>
      </c>
      <c r="G22996" t="s">
        <v>4603</v>
      </c>
      <c r="H22996" s="21">
        <v>683.67</v>
      </c>
    </row>
    <row r="22997" spans="1:8" customFormat="1" x14ac:dyDescent="0.25">
      <c r="A22997" t="str">
        <f>"628803"</f>
        <v>628803</v>
      </c>
      <c r="B22997" t="s">
        <v>2058</v>
      </c>
      <c r="C22997" t="s">
        <v>2546</v>
      </c>
      <c r="D22997" s="21" t="s">
        <v>34</v>
      </c>
      <c r="E22997" s="21" t="s">
        <v>254</v>
      </c>
      <c r="F22997">
        <v>7620080</v>
      </c>
      <c r="G22997" t="s">
        <v>6056</v>
      </c>
      <c r="H22997" s="21">
        <v>683.67</v>
      </c>
    </row>
    <row r="22998" spans="1:8" customFormat="1" x14ac:dyDescent="0.25">
      <c r="A22998" t="str">
        <f>"2516082"</f>
        <v>2516082</v>
      </c>
      <c r="B22998" t="s">
        <v>5748</v>
      </c>
      <c r="C22998" t="s">
        <v>812</v>
      </c>
      <c r="D22998" s="21" t="s">
        <v>34</v>
      </c>
      <c r="E22998" s="21" t="s">
        <v>35</v>
      </c>
      <c r="F22998">
        <v>2250015</v>
      </c>
      <c r="G22998" t="s">
        <v>4776</v>
      </c>
      <c r="H22998" s="21">
        <v>683.67</v>
      </c>
    </row>
    <row r="22999" spans="1:8" customFormat="1" x14ac:dyDescent="0.25">
      <c r="A22999" t="str">
        <f>"257162"</f>
        <v>257162</v>
      </c>
      <c r="B22999" t="s">
        <v>12247</v>
      </c>
      <c r="C22999" t="s">
        <v>1119</v>
      </c>
      <c r="D22999" s="21" t="s">
        <v>34</v>
      </c>
      <c r="E22999" s="21" t="s">
        <v>6185</v>
      </c>
      <c r="F22999">
        <v>2250196</v>
      </c>
      <c r="G22999" t="s">
        <v>27452</v>
      </c>
      <c r="H22999" s="21">
        <v>683.67</v>
      </c>
    </row>
    <row r="23000" spans="1:8" customFormat="1" x14ac:dyDescent="0.25">
      <c r="A23000" t="str">
        <f>"4216613"</f>
        <v>4216613</v>
      </c>
      <c r="B23000" t="s">
        <v>7751</v>
      </c>
      <c r="C23000" t="s">
        <v>55</v>
      </c>
      <c r="D23000" s="21" t="s">
        <v>34</v>
      </c>
      <c r="E23000" s="21" t="s">
        <v>71</v>
      </c>
      <c r="F23000">
        <v>1420108</v>
      </c>
      <c r="G23000" t="s">
        <v>9177</v>
      </c>
      <c r="H23000" s="21">
        <v>683.67</v>
      </c>
    </row>
    <row r="23001" spans="1:8" customFormat="1" x14ac:dyDescent="0.25">
      <c r="A23001" t="str">
        <f>"499860"</f>
        <v>499860</v>
      </c>
      <c r="B23001" t="s">
        <v>10326</v>
      </c>
      <c r="C23001" t="s">
        <v>2693</v>
      </c>
      <c r="D23001" s="21" t="s">
        <v>34</v>
      </c>
      <c r="E23001" s="21" t="s">
        <v>254</v>
      </c>
      <c r="F23001">
        <v>12490026</v>
      </c>
      <c r="G23001" t="s">
        <v>6274</v>
      </c>
      <c r="H23001" s="21">
        <v>683.67</v>
      </c>
    </row>
    <row r="23002" spans="1:8" customFormat="1" x14ac:dyDescent="0.25">
      <c r="A23002" t="str">
        <f>"2928202"</f>
        <v>2928202</v>
      </c>
      <c r="B23002" t="s">
        <v>18151</v>
      </c>
      <c r="C23002" t="s">
        <v>3073</v>
      </c>
      <c r="D23002" s="21" t="s">
        <v>34</v>
      </c>
      <c r="E23002" s="21" t="s">
        <v>254</v>
      </c>
      <c r="F23002">
        <v>3290244</v>
      </c>
      <c r="G23002" t="s">
        <v>573</v>
      </c>
      <c r="H23002" s="21">
        <v>683.67</v>
      </c>
    </row>
    <row r="23003" spans="1:8" customFormat="1" x14ac:dyDescent="0.25">
      <c r="A23003" t="str">
        <f>"37807"</f>
        <v>37807</v>
      </c>
      <c r="B23003" t="s">
        <v>208</v>
      </c>
      <c r="C23003" t="s">
        <v>1605</v>
      </c>
      <c r="D23003" s="21" t="s">
        <v>34</v>
      </c>
      <c r="E23003" s="21" t="s">
        <v>1089</v>
      </c>
      <c r="F23003">
        <v>4370596</v>
      </c>
      <c r="G23003" t="s">
        <v>9270</v>
      </c>
      <c r="H23003" s="21">
        <v>683.67</v>
      </c>
    </row>
    <row r="23004" spans="1:8" customFormat="1" x14ac:dyDescent="0.25">
      <c r="A23004" t="str">
        <f>"9D2687"</f>
        <v>9D2687</v>
      </c>
      <c r="B23004" t="s">
        <v>17654</v>
      </c>
      <c r="C23004" t="s">
        <v>576</v>
      </c>
      <c r="D23004" s="21" t="s">
        <v>34</v>
      </c>
      <c r="E23004" s="21" t="s">
        <v>35</v>
      </c>
      <c r="F23004" t="s">
        <v>5881</v>
      </c>
      <c r="G23004" t="s">
        <v>5882</v>
      </c>
      <c r="H23004" s="21">
        <v>683.67</v>
      </c>
    </row>
    <row r="23005" spans="1:8" customFormat="1" x14ac:dyDescent="0.25">
      <c r="A23005" t="str">
        <f>"8523455"</f>
        <v>8523455</v>
      </c>
      <c r="B23005" t="s">
        <v>2505</v>
      </c>
      <c r="C23005" t="s">
        <v>49</v>
      </c>
      <c r="D23005" s="21" t="s">
        <v>34</v>
      </c>
      <c r="E23005" s="21" t="s">
        <v>35</v>
      </c>
      <c r="F23005">
        <v>12850093</v>
      </c>
      <c r="G23005" t="s">
        <v>3371</v>
      </c>
      <c r="H23005" s="21">
        <v>683.67</v>
      </c>
    </row>
    <row r="23006" spans="1:8" customFormat="1" x14ac:dyDescent="0.25">
      <c r="A23006" t="str">
        <f>"6017936"</f>
        <v>6017936</v>
      </c>
      <c r="B23006" t="s">
        <v>13316</v>
      </c>
      <c r="C23006" t="s">
        <v>263</v>
      </c>
      <c r="D23006" s="21" t="s">
        <v>34</v>
      </c>
      <c r="E23006" s="21" t="s">
        <v>71</v>
      </c>
      <c r="F23006">
        <v>7600126</v>
      </c>
      <c r="G23006" t="s">
        <v>2516</v>
      </c>
      <c r="H23006" s="21">
        <v>683.67</v>
      </c>
    </row>
    <row r="23007" spans="1:8" customFormat="1" x14ac:dyDescent="0.25">
      <c r="A23007" t="str">
        <f>"9137910"</f>
        <v>9137910</v>
      </c>
      <c r="B23007" t="s">
        <v>17302</v>
      </c>
      <c r="C23007" t="s">
        <v>926</v>
      </c>
      <c r="D23007" s="21" t="s">
        <v>34</v>
      </c>
      <c r="E23007" s="21" t="s">
        <v>71</v>
      </c>
      <c r="F23007">
        <v>8910916</v>
      </c>
      <c r="G23007" t="s">
        <v>2251</v>
      </c>
      <c r="H23007" s="21">
        <v>683.67</v>
      </c>
    </row>
    <row r="23008" spans="1:8" customFormat="1" x14ac:dyDescent="0.25">
      <c r="A23008" t="str">
        <f>"5618567"</f>
        <v>5618567</v>
      </c>
      <c r="B23008" t="s">
        <v>18430</v>
      </c>
      <c r="C23008" t="s">
        <v>269</v>
      </c>
      <c r="D23008" s="21" t="s">
        <v>34</v>
      </c>
      <c r="E23008" s="21" t="s">
        <v>71</v>
      </c>
      <c r="F23008">
        <v>3560019</v>
      </c>
      <c r="G23008" t="s">
        <v>13051</v>
      </c>
      <c r="H23008" s="21">
        <v>683.67</v>
      </c>
    </row>
    <row r="23009" spans="1:8" customFormat="1" x14ac:dyDescent="0.25">
      <c r="A23009" t="str">
        <f>"107253"</f>
        <v>107253</v>
      </c>
      <c r="B23009" t="s">
        <v>8862</v>
      </c>
      <c r="C23009" t="s">
        <v>139</v>
      </c>
      <c r="D23009" s="21" t="s">
        <v>34</v>
      </c>
      <c r="E23009" s="21" t="s">
        <v>71</v>
      </c>
      <c r="F23009">
        <v>6100007</v>
      </c>
      <c r="G23009" t="s">
        <v>9706</v>
      </c>
      <c r="H23009" s="21">
        <v>683.54</v>
      </c>
    </row>
    <row r="23010" spans="1:8" customFormat="1" x14ac:dyDescent="0.25">
      <c r="A23010" t="str">
        <f>"5963935"</f>
        <v>5963935</v>
      </c>
      <c r="B23010" t="s">
        <v>17873</v>
      </c>
      <c r="C23010" t="s">
        <v>267</v>
      </c>
      <c r="D23010" s="21" t="s">
        <v>34</v>
      </c>
      <c r="E23010" s="21" t="s">
        <v>35</v>
      </c>
      <c r="F23010">
        <v>7590068</v>
      </c>
      <c r="G23010" t="s">
        <v>1005</v>
      </c>
      <c r="H23010" s="21">
        <v>683.42</v>
      </c>
    </row>
    <row r="23011" spans="1:8" customFormat="1" x14ac:dyDescent="0.25">
      <c r="A23011" t="str">
        <f>"448596"</f>
        <v>448596</v>
      </c>
      <c r="B23011" t="s">
        <v>17988</v>
      </c>
      <c r="C23011" t="s">
        <v>547</v>
      </c>
      <c r="D23011" s="21" t="s">
        <v>34</v>
      </c>
      <c r="E23011" s="21" t="s">
        <v>254</v>
      </c>
      <c r="F23011">
        <v>12440259</v>
      </c>
      <c r="G23011" t="s">
        <v>833</v>
      </c>
      <c r="H23011" s="21">
        <v>683.42</v>
      </c>
    </row>
    <row r="23012" spans="1:8" customFormat="1" x14ac:dyDescent="0.25">
      <c r="A23012" t="str">
        <f>"4456535"</f>
        <v>4456535</v>
      </c>
      <c r="B23012" t="s">
        <v>17166</v>
      </c>
      <c r="C23012" t="s">
        <v>236</v>
      </c>
      <c r="D23012" s="21" t="s">
        <v>34</v>
      </c>
      <c r="E23012" s="21" t="s">
        <v>35</v>
      </c>
      <c r="F23012">
        <v>12440275</v>
      </c>
      <c r="G23012" t="s">
        <v>17167</v>
      </c>
      <c r="H23012" s="21">
        <v>683.42</v>
      </c>
    </row>
    <row r="23013" spans="1:8" customFormat="1" x14ac:dyDescent="0.25">
      <c r="A23013" t="str">
        <f>"114036"</f>
        <v>114036</v>
      </c>
      <c r="B23013" t="s">
        <v>17264</v>
      </c>
      <c r="C23013" t="s">
        <v>415</v>
      </c>
      <c r="D23013" s="21" t="s">
        <v>34</v>
      </c>
      <c r="E23013" s="21" t="s">
        <v>254</v>
      </c>
      <c r="F23013">
        <v>11110028</v>
      </c>
      <c r="G23013" t="s">
        <v>10634</v>
      </c>
      <c r="H23013" s="21">
        <v>683.42</v>
      </c>
    </row>
    <row r="23014" spans="1:8" customFormat="1" x14ac:dyDescent="0.25">
      <c r="A23014" t="str">
        <f>"8017360"</f>
        <v>8017360</v>
      </c>
      <c r="B23014" t="s">
        <v>9781</v>
      </c>
      <c r="C23014" t="s">
        <v>412</v>
      </c>
      <c r="D23014" s="21" t="s">
        <v>34</v>
      </c>
      <c r="E23014" s="21" t="s">
        <v>71</v>
      </c>
      <c r="F23014">
        <v>7800001</v>
      </c>
      <c r="G23014" t="s">
        <v>176</v>
      </c>
      <c r="H23014" s="21">
        <v>683.42</v>
      </c>
    </row>
    <row r="23015" spans="1:8" customFormat="1" x14ac:dyDescent="0.25">
      <c r="A23015" t="str">
        <f>"4936379"</f>
        <v>4936379</v>
      </c>
      <c r="B23015" t="s">
        <v>19523</v>
      </c>
      <c r="C23015" t="s">
        <v>1605</v>
      </c>
      <c r="D23015" s="21" t="s">
        <v>34</v>
      </c>
      <c r="E23015" s="21" t="s">
        <v>254</v>
      </c>
      <c r="F23015">
        <v>12490127</v>
      </c>
      <c r="G23015" t="s">
        <v>4034</v>
      </c>
      <c r="H23015" s="21">
        <v>683.29</v>
      </c>
    </row>
    <row r="23016" spans="1:8" customFormat="1" x14ac:dyDescent="0.25">
      <c r="A23016" t="str">
        <f>"8016562"</f>
        <v>8016562</v>
      </c>
      <c r="B23016" t="s">
        <v>10601</v>
      </c>
      <c r="C23016" t="s">
        <v>40</v>
      </c>
      <c r="D23016" s="21" t="s">
        <v>34</v>
      </c>
      <c r="E23016" s="21" t="s">
        <v>254</v>
      </c>
      <c r="F23016">
        <v>9760015</v>
      </c>
      <c r="G23016" t="s">
        <v>5277</v>
      </c>
      <c r="H23016" s="21">
        <v>683.17</v>
      </c>
    </row>
    <row r="23017" spans="1:8" customFormat="1" x14ac:dyDescent="0.25">
      <c r="A23017" t="str">
        <f>"6212472"</f>
        <v>6212472</v>
      </c>
      <c r="B23017" t="s">
        <v>17521</v>
      </c>
      <c r="C23017" t="s">
        <v>236</v>
      </c>
      <c r="D23017" s="21" t="s">
        <v>34</v>
      </c>
      <c r="E23017" s="21" t="s">
        <v>71</v>
      </c>
      <c r="F23017">
        <v>7620058</v>
      </c>
      <c r="G23017" t="s">
        <v>602</v>
      </c>
      <c r="H23017" s="21">
        <v>683.17</v>
      </c>
    </row>
    <row r="23018" spans="1:8" customFormat="1" x14ac:dyDescent="0.25">
      <c r="A23018" t="str">
        <f>"605499"</f>
        <v>605499</v>
      </c>
      <c r="B23018" t="s">
        <v>1855</v>
      </c>
      <c r="C23018" t="s">
        <v>267</v>
      </c>
      <c r="D23018" s="21" t="s">
        <v>34</v>
      </c>
      <c r="E23018" s="21" t="s">
        <v>71</v>
      </c>
      <c r="F23018">
        <v>7600046</v>
      </c>
      <c r="G23018" t="s">
        <v>2604</v>
      </c>
      <c r="H23018" s="21">
        <v>683.17</v>
      </c>
    </row>
    <row r="23019" spans="1:8" customFormat="1" x14ac:dyDescent="0.25">
      <c r="A23019" t="str">
        <f>"431697"</f>
        <v>431697</v>
      </c>
      <c r="B23019" t="s">
        <v>17255</v>
      </c>
      <c r="C23019" t="s">
        <v>2520</v>
      </c>
      <c r="D23019" s="21" t="s">
        <v>34</v>
      </c>
      <c r="E23019" s="21" t="s">
        <v>254</v>
      </c>
      <c r="F23019">
        <v>1690062</v>
      </c>
      <c r="G23019" t="s">
        <v>5907</v>
      </c>
      <c r="H23019" s="21">
        <v>683.17</v>
      </c>
    </row>
    <row r="23020" spans="1:8" customFormat="1" x14ac:dyDescent="0.25">
      <c r="A23020" t="str">
        <f>"8615129"</f>
        <v>8615129</v>
      </c>
      <c r="B23020" t="s">
        <v>27716</v>
      </c>
      <c r="C23020" t="s">
        <v>55</v>
      </c>
      <c r="D23020" s="21" t="s">
        <v>34</v>
      </c>
      <c r="E23020" s="21" t="s">
        <v>35</v>
      </c>
      <c r="F23020">
        <v>10860231</v>
      </c>
      <c r="G23020" t="s">
        <v>7294</v>
      </c>
      <c r="H23020" s="21">
        <v>683.17</v>
      </c>
    </row>
    <row r="23021" spans="1:8" customFormat="1" x14ac:dyDescent="0.25">
      <c r="A23021" t="str">
        <f>"6216300"</f>
        <v>6216300</v>
      </c>
      <c r="B23021" t="s">
        <v>18462</v>
      </c>
      <c r="C23021" t="s">
        <v>65</v>
      </c>
      <c r="D23021" s="21" t="s">
        <v>34</v>
      </c>
      <c r="E23021" s="21" t="s">
        <v>71</v>
      </c>
      <c r="F23021">
        <v>7620169</v>
      </c>
      <c r="G23021" t="s">
        <v>7116</v>
      </c>
      <c r="H23021" s="21">
        <v>683.17</v>
      </c>
    </row>
    <row r="23022" spans="1:8" customFormat="1" x14ac:dyDescent="0.25">
      <c r="A23022" t="str">
        <f>"722023"</f>
        <v>722023</v>
      </c>
      <c r="B23022" t="s">
        <v>17851</v>
      </c>
      <c r="C23022" t="s">
        <v>139</v>
      </c>
      <c r="D23022" s="21" t="s">
        <v>34</v>
      </c>
      <c r="E23022" s="21" t="s">
        <v>35</v>
      </c>
      <c r="F23022">
        <v>12720027</v>
      </c>
      <c r="G23022" t="s">
        <v>3562</v>
      </c>
      <c r="H23022" s="21">
        <v>683.17</v>
      </c>
    </row>
    <row r="23023" spans="1:8" customFormat="1" x14ac:dyDescent="0.25">
      <c r="A23023" t="str">
        <f>"661533"</f>
        <v>661533</v>
      </c>
      <c r="B23023" t="s">
        <v>16615</v>
      </c>
      <c r="C23023" t="s">
        <v>1946</v>
      </c>
      <c r="D23023" s="21" t="s">
        <v>34</v>
      </c>
      <c r="E23023" s="21" t="s">
        <v>71</v>
      </c>
      <c r="F23023">
        <v>11660016</v>
      </c>
      <c r="G23023" t="s">
        <v>4510</v>
      </c>
      <c r="H23023" s="21">
        <v>683.17</v>
      </c>
    </row>
    <row r="23024" spans="1:8" customFormat="1" x14ac:dyDescent="0.25">
      <c r="A23024" t="str">
        <f>"4934597"</f>
        <v>4934597</v>
      </c>
      <c r="B23024" t="s">
        <v>19709</v>
      </c>
      <c r="C23024" t="s">
        <v>33</v>
      </c>
      <c r="D23024" s="21" t="s">
        <v>34</v>
      </c>
      <c r="E23024" s="21" t="s">
        <v>71</v>
      </c>
      <c r="F23024">
        <v>12490074</v>
      </c>
      <c r="G23024" t="s">
        <v>6711</v>
      </c>
      <c r="H23024" s="21">
        <v>683.17</v>
      </c>
    </row>
    <row r="23025" spans="1:8" customFormat="1" x14ac:dyDescent="0.25">
      <c r="A23025" t="str">
        <f>"584254"</f>
        <v>584254</v>
      </c>
      <c r="B23025" t="s">
        <v>18129</v>
      </c>
      <c r="C23025" t="s">
        <v>198</v>
      </c>
      <c r="D23025" s="21" t="s">
        <v>34</v>
      </c>
      <c r="E23025" s="21" t="s">
        <v>1089</v>
      </c>
      <c r="F23025">
        <v>11110032</v>
      </c>
      <c r="G23025" t="s">
        <v>2698</v>
      </c>
      <c r="H23025" s="21">
        <v>683.17</v>
      </c>
    </row>
    <row r="23026" spans="1:8" customFormat="1" x14ac:dyDescent="0.25">
      <c r="A23026" t="str">
        <f>"618189"</f>
        <v>618189</v>
      </c>
      <c r="B23026" t="s">
        <v>16600</v>
      </c>
      <c r="C23026" t="s">
        <v>253</v>
      </c>
      <c r="D23026" s="21" t="s">
        <v>34</v>
      </c>
      <c r="E23026" s="21" t="s">
        <v>254</v>
      </c>
      <c r="F23026">
        <v>9610130</v>
      </c>
      <c r="G23026" t="s">
        <v>18435</v>
      </c>
      <c r="H23026" s="21">
        <v>683.17</v>
      </c>
    </row>
    <row r="23027" spans="1:8" customFormat="1" x14ac:dyDescent="0.25">
      <c r="A23027" t="str">
        <f>"6233867"</f>
        <v>6233867</v>
      </c>
      <c r="B23027" t="s">
        <v>27717</v>
      </c>
      <c r="C23027" t="s">
        <v>60</v>
      </c>
      <c r="D23027" s="21" t="s">
        <v>34</v>
      </c>
      <c r="E23027" s="21" t="s">
        <v>35</v>
      </c>
      <c r="F23027">
        <v>7620077</v>
      </c>
      <c r="G23027" t="s">
        <v>4131</v>
      </c>
      <c r="H23027" s="21">
        <v>683.17</v>
      </c>
    </row>
    <row r="23028" spans="1:8" customFormat="1" x14ac:dyDescent="0.25">
      <c r="A23028" t="str">
        <f>"6721733"</f>
        <v>6721733</v>
      </c>
      <c r="B23028" t="s">
        <v>10156</v>
      </c>
      <c r="C23028" t="s">
        <v>547</v>
      </c>
      <c r="D23028" s="21" t="s">
        <v>34</v>
      </c>
      <c r="E23028" s="21" t="s">
        <v>35</v>
      </c>
      <c r="F23028">
        <v>6670058</v>
      </c>
      <c r="G23028" t="s">
        <v>2551</v>
      </c>
      <c r="H23028" s="21">
        <v>683.17</v>
      </c>
    </row>
    <row r="23029" spans="1:8" customFormat="1" x14ac:dyDescent="0.25">
      <c r="A23029" t="str">
        <f>"5614411"</f>
        <v>5614411</v>
      </c>
      <c r="B23029" t="s">
        <v>11850</v>
      </c>
      <c r="C23029" t="s">
        <v>598</v>
      </c>
      <c r="D23029" s="21" t="s">
        <v>34</v>
      </c>
      <c r="E23029" s="21" t="s">
        <v>35</v>
      </c>
      <c r="F23029">
        <v>3560096</v>
      </c>
      <c r="G23029" t="s">
        <v>2771</v>
      </c>
      <c r="H23029" s="21">
        <v>683.17</v>
      </c>
    </row>
    <row r="23030" spans="1:8" customFormat="1" x14ac:dyDescent="0.25">
      <c r="A23030" t="str">
        <f>"7912565"</f>
        <v>7912565</v>
      </c>
      <c r="B23030" t="s">
        <v>27718</v>
      </c>
      <c r="C23030" t="s">
        <v>23286</v>
      </c>
      <c r="D23030" s="21" t="s">
        <v>34</v>
      </c>
      <c r="E23030" s="21" t="s">
        <v>71</v>
      </c>
      <c r="F23030">
        <v>10790005</v>
      </c>
      <c r="G23030" t="s">
        <v>1948</v>
      </c>
      <c r="H23030" s="21">
        <v>683.17</v>
      </c>
    </row>
    <row r="23031" spans="1:8" customFormat="1" x14ac:dyDescent="0.25">
      <c r="A23031" t="str">
        <f>"125020"</f>
        <v>125020</v>
      </c>
      <c r="B23031" t="s">
        <v>20864</v>
      </c>
      <c r="C23031" t="s">
        <v>2529</v>
      </c>
      <c r="D23031" s="21" t="s">
        <v>34</v>
      </c>
      <c r="E23031" s="21" t="s">
        <v>35</v>
      </c>
      <c r="F23031">
        <v>11120045</v>
      </c>
      <c r="G23031" t="s">
        <v>13082</v>
      </c>
      <c r="H23031" s="21">
        <v>683.17</v>
      </c>
    </row>
    <row r="23032" spans="1:8" customFormat="1" x14ac:dyDescent="0.25">
      <c r="A23032" t="str">
        <f>"839691"</f>
        <v>839691</v>
      </c>
      <c r="B23032" t="s">
        <v>18221</v>
      </c>
      <c r="C23032" t="s">
        <v>139</v>
      </c>
      <c r="D23032" s="21" t="s">
        <v>34</v>
      </c>
      <c r="E23032" s="21" t="s">
        <v>35</v>
      </c>
      <c r="F23032">
        <v>13830067</v>
      </c>
      <c r="G23032" t="s">
        <v>13428</v>
      </c>
      <c r="H23032" s="21">
        <v>683.17</v>
      </c>
    </row>
    <row r="23033" spans="1:8" customFormat="1" x14ac:dyDescent="0.25">
      <c r="A23033" t="str">
        <f>"5321790"</f>
        <v>5321790</v>
      </c>
      <c r="B23033" t="s">
        <v>1048</v>
      </c>
      <c r="C23033" t="s">
        <v>328</v>
      </c>
      <c r="D23033" s="21" t="s">
        <v>34</v>
      </c>
      <c r="E23033" s="21" t="s">
        <v>35</v>
      </c>
      <c r="F23033">
        <v>12530081</v>
      </c>
      <c r="G23033" t="s">
        <v>13952</v>
      </c>
      <c r="H23033" s="21">
        <v>683.17</v>
      </c>
    </row>
    <row r="23034" spans="1:8" customFormat="1" x14ac:dyDescent="0.25">
      <c r="A23034" t="str">
        <f>"2810264"</f>
        <v>2810264</v>
      </c>
      <c r="B23034" t="s">
        <v>2104</v>
      </c>
      <c r="C23034" t="s">
        <v>462</v>
      </c>
      <c r="D23034" s="21" t="s">
        <v>34</v>
      </c>
      <c r="E23034" s="21" t="s">
        <v>71</v>
      </c>
      <c r="F23034">
        <v>4280517</v>
      </c>
      <c r="G23034" t="s">
        <v>436</v>
      </c>
      <c r="H23034" s="21">
        <v>683.17</v>
      </c>
    </row>
    <row r="23035" spans="1:8" customFormat="1" x14ac:dyDescent="0.25">
      <c r="A23035" t="str">
        <f>"6212044"</f>
        <v>6212044</v>
      </c>
      <c r="B23035" t="s">
        <v>12582</v>
      </c>
      <c r="C23035" t="s">
        <v>1665</v>
      </c>
      <c r="D23035" s="21" t="s">
        <v>34</v>
      </c>
      <c r="E23035" s="21" t="s">
        <v>254</v>
      </c>
      <c r="F23035">
        <v>7620077</v>
      </c>
      <c r="G23035" t="s">
        <v>4131</v>
      </c>
      <c r="H23035" s="21">
        <v>683.17</v>
      </c>
    </row>
    <row r="23036" spans="1:8" customFormat="1" x14ac:dyDescent="0.25">
      <c r="A23036" t="str">
        <f>"7222791"</f>
        <v>7222791</v>
      </c>
      <c r="B23036" t="s">
        <v>17660</v>
      </c>
      <c r="C23036" t="s">
        <v>87</v>
      </c>
      <c r="D23036" s="21" t="s">
        <v>34</v>
      </c>
      <c r="E23036" s="21" t="s">
        <v>35</v>
      </c>
      <c r="F23036">
        <v>12720071</v>
      </c>
      <c r="G23036" t="s">
        <v>783</v>
      </c>
      <c r="H23036" s="21">
        <v>683.17</v>
      </c>
    </row>
    <row r="23037" spans="1:8" customFormat="1" x14ac:dyDescent="0.25">
      <c r="A23037" t="str">
        <f>"9511165"</f>
        <v>9511165</v>
      </c>
      <c r="B23037" t="s">
        <v>2662</v>
      </c>
      <c r="C23037" t="s">
        <v>267</v>
      </c>
      <c r="D23037" s="21" t="s">
        <v>34</v>
      </c>
      <c r="E23037" s="21" t="s">
        <v>254</v>
      </c>
      <c r="F23037">
        <v>8950623</v>
      </c>
      <c r="G23037" t="s">
        <v>684</v>
      </c>
      <c r="H23037" s="21">
        <v>683.17</v>
      </c>
    </row>
    <row r="23038" spans="1:8" customFormat="1" x14ac:dyDescent="0.25">
      <c r="A23038" t="str">
        <f>"7411287"</f>
        <v>7411287</v>
      </c>
      <c r="B23038" t="s">
        <v>17754</v>
      </c>
      <c r="C23038" t="s">
        <v>33</v>
      </c>
      <c r="D23038" s="21" t="s">
        <v>34</v>
      </c>
      <c r="E23038" s="21" t="s">
        <v>35</v>
      </c>
      <c r="F23038">
        <v>1740003</v>
      </c>
      <c r="G23038" t="s">
        <v>982</v>
      </c>
      <c r="H23038" s="21">
        <v>683.17</v>
      </c>
    </row>
    <row r="23039" spans="1:8" customFormat="1" x14ac:dyDescent="0.25">
      <c r="A23039" t="str">
        <f>"3714811"</f>
        <v>3714811</v>
      </c>
      <c r="B23039" t="s">
        <v>465</v>
      </c>
      <c r="C23039" t="s">
        <v>484</v>
      </c>
      <c r="D23039" s="21" t="s">
        <v>34</v>
      </c>
      <c r="E23039" s="21" t="s">
        <v>35</v>
      </c>
      <c r="F23039">
        <v>4370691</v>
      </c>
      <c r="G23039" t="s">
        <v>12036</v>
      </c>
      <c r="H23039" s="21">
        <v>683.17</v>
      </c>
    </row>
    <row r="23040" spans="1:8" customFormat="1" x14ac:dyDescent="0.25">
      <c r="A23040" t="str">
        <f>"764438"</f>
        <v>764438</v>
      </c>
      <c r="B23040" t="s">
        <v>11236</v>
      </c>
      <c r="C23040" t="s">
        <v>236</v>
      </c>
      <c r="D23040" s="21" t="s">
        <v>34</v>
      </c>
      <c r="E23040" s="21" t="s">
        <v>254</v>
      </c>
      <c r="F23040">
        <v>9760294</v>
      </c>
      <c r="G23040" t="s">
        <v>8313</v>
      </c>
      <c r="H23040" s="21">
        <v>683.17</v>
      </c>
    </row>
    <row r="23041" spans="1:8" customFormat="1" x14ac:dyDescent="0.25">
      <c r="A23041" t="str">
        <f>"5949039"</f>
        <v>5949039</v>
      </c>
      <c r="B23041" t="s">
        <v>16890</v>
      </c>
      <c r="C23041" t="s">
        <v>33</v>
      </c>
      <c r="D23041" s="21" t="s">
        <v>34</v>
      </c>
      <c r="E23041" s="21" t="s">
        <v>71</v>
      </c>
      <c r="F23041">
        <v>7590021</v>
      </c>
      <c r="G23041" t="s">
        <v>4910</v>
      </c>
      <c r="H23041" s="21">
        <v>682.92</v>
      </c>
    </row>
    <row r="23042" spans="1:8" customFormat="1" x14ac:dyDescent="0.25">
      <c r="A23042" t="str">
        <f>"823861"</f>
        <v>823861</v>
      </c>
      <c r="B23042" t="s">
        <v>17933</v>
      </c>
      <c r="C23042" t="s">
        <v>926</v>
      </c>
      <c r="D23042" s="21" t="s">
        <v>34</v>
      </c>
      <c r="E23042" s="21" t="s">
        <v>71</v>
      </c>
      <c r="F23042">
        <v>11820034</v>
      </c>
      <c r="G23042" t="s">
        <v>4498</v>
      </c>
      <c r="H23042" s="21">
        <v>682.67</v>
      </c>
    </row>
    <row r="23043" spans="1:8" customFormat="1" x14ac:dyDescent="0.25">
      <c r="A23043" t="str">
        <f>"6312596"</f>
        <v>6312596</v>
      </c>
      <c r="B23043" t="s">
        <v>17560</v>
      </c>
      <c r="C23043" t="s">
        <v>209</v>
      </c>
      <c r="D23043" s="21" t="s">
        <v>34</v>
      </c>
      <c r="E23043" s="21" t="s">
        <v>71</v>
      </c>
      <c r="F23043">
        <v>1630289</v>
      </c>
      <c r="G23043" t="s">
        <v>8900</v>
      </c>
      <c r="H23043" s="21">
        <v>682.67</v>
      </c>
    </row>
    <row r="23044" spans="1:8" customFormat="1" x14ac:dyDescent="0.25">
      <c r="A23044" t="str">
        <f>"5421803"</f>
        <v>5421803</v>
      </c>
      <c r="B23044" t="s">
        <v>17736</v>
      </c>
      <c r="C23044" t="s">
        <v>14125</v>
      </c>
      <c r="D23044" s="21" t="s">
        <v>34</v>
      </c>
      <c r="E23044" s="21" t="s">
        <v>71</v>
      </c>
      <c r="F23044">
        <v>6540014</v>
      </c>
      <c r="G23044" t="s">
        <v>1483</v>
      </c>
      <c r="H23044" s="21">
        <v>682.67</v>
      </c>
    </row>
    <row r="23045" spans="1:8" customFormat="1" x14ac:dyDescent="0.25">
      <c r="A23045" t="str">
        <f>"5017181"</f>
        <v>5017181</v>
      </c>
      <c r="B23045" t="s">
        <v>14180</v>
      </c>
      <c r="C23045" t="s">
        <v>576</v>
      </c>
      <c r="D23045" s="21" t="s">
        <v>34</v>
      </c>
      <c r="E23045" s="21" t="s">
        <v>71</v>
      </c>
      <c r="F23045">
        <v>9500009</v>
      </c>
      <c r="G23045" t="s">
        <v>2230</v>
      </c>
      <c r="H23045" s="21">
        <v>682.67</v>
      </c>
    </row>
    <row r="23046" spans="1:8" customFormat="1" x14ac:dyDescent="0.25">
      <c r="A23046" t="str">
        <f>"599030"</f>
        <v>599030</v>
      </c>
      <c r="B23046" t="s">
        <v>1572</v>
      </c>
      <c r="C23046" t="s">
        <v>2384</v>
      </c>
      <c r="D23046" s="21" t="s">
        <v>34</v>
      </c>
      <c r="E23046" s="21" t="s">
        <v>254</v>
      </c>
      <c r="F23046">
        <v>7590006</v>
      </c>
      <c r="G23046" t="s">
        <v>4165</v>
      </c>
      <c r="H23046" s="21">
        <v>682.67</v>
      </c>
    </row>
    <row r="23047" spans="1:8" customFormat="1" x14ac:dyDescent="0.25">
      <c r="A23047" t="str">
        <f>"2615943"</f>
        <v>2615943</v>
      </c>
      <c r="B23047" t="s">
        <v>19044</v>
      </c>
      <c r="C23047" t="s">
        <v>267</v>
      </c>
      <c r="D23047" s="21" t="s">
        <v>34</v>
      </c>
      <c r="E23047" s="21" t="s">
        <v>71</v>
      </c>
      <c r="F23047">
        <v>1260054</v>
      </c>
      <c r="G23047" t="s">
        <v>358</v>
      </c>
      <c r="H23047" s="21">
        <v>682.67</v>
      </c>
    </row>
    <row r="23048" spans="1:8" customFormat="1" x14ac:dyDescent="0.25">
      <c r="A23048" t="str">
        <f>"558866"</f>
        <v>558866</v>
      </c>
      <c r="B23048" t="s">
        <v>27719</v>
      </c>
      <c r="C23048" t="s">
        <v>730</v>
      </c>
      <c r="D23048" s="21" t="s">
        <v>34</v>
      </c>
      <c r="E23048" s="21" t="s">
        <v>35</v>
      </c>
      <c r="F23048">
        <v>6550013</v>
      </c>
      <c r="G23048" t="s">
        <v>8047</v>
      </c>
      <c r="H23048" s="21">
        <v>682.67</v>
      </c>
    </row>
    <row r="23049" spans="1:8" customFormat="1" x14ac:dyDescent="0.25">
      <c r="A23049" t="str">
        <f>"47169"</f>
        <v>47169</v>
      </c>
      <c r="B23049" t="s">
        <v>697</v>
      </c>
      <c r="C23049" t="s">
        <v>130</v>
      </c>
      <c r="D23049" s="21" t="s">
        <v>34</v>
      </c>
      <c r="E23049" s="21" t="s">
        <v>254</v>
      </c>
      <c r="F23049">
        <v>10470009</v>
      </c>
      <c r="G23049" t="s">
        <v>4915</v>
      </c>
      <c r="H23049" s="21">
        <v>682.67</v>
      </c>
    </row>
    <row r="23050" spans="1:8" customFormat="1" x14ac:dyDescent="0.25">
      <c r="A23050" t="str">
        <f>"40588"</f>
        <v>40588</v>
      </c>
      <c r="B23050" t="s">
        <v>17286</v>
      </c>
      <c r="C23050" t="s">
        <v>267</v>
      </c>
      <c r="D23050" s="21" t="s">
        <v>34</v>
      </c>
      <c r="E23050" s="21" t="s">
        <v>1089</v>
      </c>
      <c r="F23050">
        <v>10400021</v>
      </c>
      <c r="G23050" t="s">
        <v>12111</v>
      </c>
      <c r="H23050" s="21">
        <v>682.67</v>
      </c>
    </row>
    <row r="23051" spans="1:8" customFormat="1" x14ac:dyDescent="0.25">
      <c r="A23051" t="str">
        <f>"9439909"</f>
        <v>9439909</v>
      </c>
      <c r="B23051" t="s">
        <v>17619</v>
      </c>
      <c r="C23051" t="s">
        <v>40</v>
      </c>
      <c r="D23051" s="21" t="s">
        <v>34</v>
      </c>
      <c r="E23051" s="21" t="s">
        <v>71</v>
      </c>
      <c r="F23051">
        <v>8940121</v>
      </c>
      <c r="G23051" t="s">
        <v>8351</v>
      </c>
      <c r="H23051" s="21">
        <v>682.67</v>
      </c>
    </row>
    <row r="23052" spans="1:8" customFormat="1" x14ac:dyDescent="0.25">
      <c r="A23052" t="str">
        <f>"7523928"</f>
        <v>7523928</v>
      </c>
      <c r="B23052" t="s">
        <v>18734</v>
      </c>
      <c r="C23052" t="s">
        <v>8861</v>
      </c>
      <c r="D23052" s="21" t="s">
        <v>34</v>
      </c>
      <c r="E23052" s="21" t="s">
        <v>35</v>
      </c>
      <c r="F23052">
        <v>8751455</v>
      </c>
      <c r="G23052" t="s">
        <v>14280</v>
      </c>
      <c r="H23052" s="21">
        <v>682.67</v>
      </c>
    </row>
    <row r="23053" spans="1:8" customFormat="1" x14ac:dyDescent="0.25">
      <c r="A23053" t="str">
        <f>"8511271"</f>
        <v>8511271</v>
      </c>
      <c r="B23053" t="s">
        <v>18171</v>
      </c>
      <c r="C23053" t="s">
        <v>598</v>
      </c>
      <c r="D23053" s="21" t="s">
        <v>34</v>
      </c>
      <c r="E23053" s="21" t="s">
        <v>254</v>
      </c>
      <c r="F23053">
        <v>12850072</v>
      </c>
      <c r="G23053" t="s">
        <v>7184</v>
      </c>
      <c r="H23053" s="21">
        <v>682.67</v>
      </c>
    </row>
    <row r="23054" spans="1:8" customFormat="1" x14ac:dyDescent="0.25">
      <c r="A23054" t="str">
        <f>"374735"</f>
        <v>374735</v>
      </c>
      <c r="B23054" t="s">
        <v>1081</v>
      </c>
      <c r="C23054" t="s">
        <v>202</v>
      </c>
      <c r="D23054" s="21" t="s">
        <v>34</v>
      </c>
      <c r="E23054" s="21" t="s">
        <v>1089</v>
      </c>
      <c r="F23054">
        <v>4370030</v>
      </c>
      <c r="G23054" t="s">
        <v>14081</v>
      </c>
      <c r="H23054" s="21">
        <v>682.67</v>
      </c>
    </row>
    <row r="23055" spans="1:8" customFormat="1" x14ac:dyDescent="0.25">
      <c r="A23055" t="str">
        <f>"3343226"</f>
        <v>3343226</v>
      </c>
      <c r="B23055" t="s">
        <v>27720</v>
      </c>
      <c r="C23055" t="s">
        <v>40</v>
      </c>
      <c r="D23055" s="21" t="s">
        <v>34</v>
      </c>
      <c r="E23055" s="21" t="s">
        <v>71</v>
      </c>
      <c r="F23055">
        <v>10330086</v>
      </c>
      <c r="G23055" t="s">
        <v>785</v>
      </c>
      <c r="H23055" s="21">
        <v>682.67</v>
      </c>
    </row>
    <row r="23056" spans="1:8" customFormat="1" x14ac:dyDescent="0.25">
      <c r="A23056" t="str">
        <f>"623242"</f>
        <v>623242</v>
      </c>
      <c r="B23056" t="s">
        <v>16896</v>
      </c>
      <c r="C23056" t="s">
        <v>462</v>
      </c>
      <c r="D23056" s="21" t="s">
        <v>34</v>
      </c>
      <c r="E23056" s="21" t="s">
        <v>254</v>
      </c>
      <c r="F23056">
        <v>7620061</v>
      </c>
      <c r="G23056" t="s">
        <v>4448</v>
      </c>
      <c r="H23056" s="21">
        <v>682.67</v>
      </c>
    </row>
    <row r="23057" spans="1:8" customFormat="1" x14ac:dyDescent="0.25">
      <c r="A23057" t="str">
        <f>"2711987"</f>
        <v>2711987</v>
      </c>
      <c r="B23057" t="s">
        <v>4023</v>
      </c>
      <c r="C23057" t="s">
        <v>40</v>
      </c>
      <c r="D23057" s="21" t="s">
        <v>34</v>
      </c>
      <c r="E23057" s="21" t="s">
        <v>71</v>
      </c>
      <c r="F23057">
        <v>9270047</v>
      </c>
      <c r="G23057" t="s">
        <v>4420</v>
      </c>
      <c r="H23057" s="21">
        <v>682.67</v>
      </c>
    </row>
    <row r="23058" spans="1:8" customFormat="1" x14ac:dyDescent="0.25">
      <c r="A23058" t="str">
        <f>"332248"</f>
        <v>332248</v>
      </c>
      <c r="B23058" t="s">
        <v>16407</v>
      </c>
      <c r="C23058" t="s">
        <v>412</v>
      </c>
      <c r="D23058" s="21" t="s">
        <v>34</v>
      </c>
      <c r="E23058" s="21" t="s">
        <v>1089</v>
      </c>
      <c r="F23058">
        <v>10330017</v>
      </c>
      <c r="G23058" t="s">
        <v>2754</v>
      </c>
      <c r="H23058" s="21">
        <v>682.67</v>
      </c>
    </row>
    <row r="23059" spans="1:8" customFormat="1" x14ac:dyDescent="0.25">
      <c r="A23059" t="str">
        <f>"5426547"</f>
        <v>5426547</v>
      </c>
      <c r="B23059" t="s">
        <v>8754</v>
      </c>
      <c r="C23059" t="s">
        <v>169</v>
      </c>
      <c r="D23059" s="21" t="s">
        <v>34</v>
      </c>
      <c r="E23059" s="21" t="s">
        <v>71</v>
      </c>
      <c r="F23059">
        <v>6540184</v>
      </c>
      <c r="G23059" t="s">
        <v>4395</v>
      </c>
      <c r="H23059" s="21">
        <v>682.67</v>
      </c>
    </row>
    <row r="23060" spans="1:8" customFormat="1" x14ac:dyDescent="0.25">
      <c r="A23060" t="str">
        <f>"9410928"</f>
        <v>9410928</v>
      </c>
      <c r="B23060" t="s">
        <v>27721</v>
      </c>
      <c r="C23060" t="s">
        <v>2276</v>
      </c>
      <c r="D23060" s="21" t="s">
        <v>34</v>
      </c>
      <c r="E23060" s="21" t="s">
        <v>254</v>
      </c>
      <c r="F23060">
        <v>8940872</v>
      </c>
      <c r="G23060" t="s">
        <v>4687</v>
      </c>
      <c r="H23060" s="21">
        <v>682.54</v>
      </c>
    </row>
    <row r="23061" spans="1:8" customFormat="1" x14ac:dyDescent="0.25">
      <c r="A23061" t="str">
        <f>"1312205"</f>
        <v>1312205</v>
      </c>
      <c r="B23061" t="s">
        <v>15702</v>
      </c>
      <c r="C23061" t="s">
        <v>87</v>
      </c>
      <c r="D23061" s="21" t="s">
        <v>34</v>
      </c>
      <c r="E23061" s="21" t="s">
        <v>71</v>
      </c>
      <c r="F23061">
        <v>13130156</v>
      </c>
      <c r="G23061" t="s">
        <v>16738</v>
      </c>
      <c r="H23061" s="21">
        <v>682.54</v>
      </c>
    </row>
    <row r="23062" spans="1:8" customFormat="1" x14ac:dyDescent="0.25">
      <c r="A23062" t="str">
        <f>"4921629"</f>
        <v>4921629</v>
      </c>
      <c r="B23062" t="s">
        <v>9537</v>
      </c>
      <c r="C23062" t="s">
        <v>60</v>
      </c>
      <c r="D23062" s="21" t="s">
        <v>34</v>
      </c>
      <c r="E23062" s="21" t="s">
        <v>35</v>
      </c>
      <c r="F23062">
        <v>12490060</v>
      </c>
      <c r="G23062" t="s">
        <v>5047</v>
      </c>
      <c r="H23062" s="21">
        <v>682.54</v>
      </c>
    </row>
    <row r="23063" spans="1:8" customFormat="1" x14ac:dyDescent="0.25">
      <c r="A23063" t="str">
        <f>"667857"</f>
        <v>667857</v>
      </c>
      <c r="B23063" t="s">
        <v>14361</v>
      </c>
      <c r="C23063" t="s">
        <v>825</v>
      </c>
      <c r="D23063" s="21" t="s">
        <v>34</v>
      </c>
      <c r="E23063" s="21" t="s">
        <v>35</v>
      </c>
      <c r="F23063">
        <v>11660003</v>
      </c>
      <c r="G23063" t="s">
        <v>5188</v>
      </c>
      <c r="H23063" s="21">
        <v>682.42</v>
      </c>
    </row>
    <row r="23064" spans="1:8" customFormat="1" x14ac:dyDescent="0.25">
      <c r="A23064" t="str">
        <f>"855090"</f>
        <v>855090</v>
      </c>
      <c r="B23064" t="s">
        <v>16946</v>
      </c>
      <c r="C23064" t="s">
        <v>664</v>
      </c>
      <c r="D23064" s="21" t="s">
        <v>34</v>
      </c>
      <c r="E23064" s="21" t="s">
        <v>254</v>
      </c>
      <c r="F23064">
        <v>12850148</v>
      </c>
      <c r="G23064" t="s">
        <v>2380</v>
      </c>
      <c r="H23064" s="21">
        <v>682.17</v>
      </c>
    </row>
    <row r="23065" spans="1:8" customFormat="1" x14ac:dyDescent="0.25">
      <c r="A23065" t="str">
        <f>"023907"</f>
        <v>023907</v>
      </c>
      <c r="B23065" t="s">
        <v>20076</v>
      </c>
      <c r="C23065" t="s">
        <v>98</v>
      </c>
      <c r="D23065" s="21" t="s">
        <v>34</v>
      </c>
      <c r="E23065" s="21" t="s">
        <v>35</v>
      </c>
      <c r="F23065">
        <v>7020015</v>
      </c>
      <c r="G23065" t="s">
        <v>1289</v>
      </c>
      <c r="H23065" s="21">
        <v>682.17</v>
      </c>
    </row>
    <row r="23066" spans="1:8" customFormat="1" x14ac:dyDescent="0.25">
      <c r="A23066" t="str">
        <f>"812703"</f>
        <v>812703</v>
      </c>
      <c r="B23066" t="s">
        <v>8575</v>
      </c>
      <c r="C23066" t="s">
        <v>43</v>
      </c>
      <c r="D23066" s="21" t="s">
        <v>34</v>
      </c>
      <c r="E23066" s="21" t="s">
        <v>35</v>
      </c>
      <c r="F23066">
        <v>11810008</v>
      </c>
      <c r="G23066" t="s">
        <v>8796</v>
      </c>
      <c r="H23066" s="21">
        <v>682.17</v>
      </c>
    </row>
    <row r="23067" spans="1:8" customFormat="1" x14ac:dyDescent="0.25">
      <c r="A23067" t="str">
        <f>"3310781"</f>
        <v>3310781</v>
      </c>
      <c r="B23067" t="s">
        <v>5487</v>
      </c>
      <c r="C23067" t="s">
        <v>1705</v>
      </c>
      <c r="D23067" s="21" t="s">
        <v>34</v>
      </c>
      <c r="E23067" s="21" t="s">
        <v>254</v>
      </c>
      <c r="F23067">
        <v>10330099</v>
      </c>
      <c r="G23067" t="s">
        <v>10670</v>
      </c>
      <c r="H23067" s="21">
        <v>682.17</v>
      </c>
    </row>
    <row r="23068" spans="1:8" customFormat="1" x14ac:dyDescent="0.25">
      <c r="A23068" t="str">
        <f>"6023105"</f>
        <v>6023105</v>
      </c>
      <c r="B23068" t="s">
        <v>7700</v>
      </c>
      <c r="C23068" t="s">
        <v>130</v>
      </c>
      <c r="D23068" s="21" t="s">
        <v>34</v>
      </c>
      <c r="E23068" s="21" t="s">
        <v>254</v>
      </c>
      <c r="F23068">
        <v>7600161</v>
      </c>
      <c r="G23068" t="s">
        <v>6023</v>
      </c>
      <c r="H23068" s="21">
        <v>682.17</v>
      </c>
    </row>
    <row r="23069" spans="1:8" customFormat="1" x14ac:dyDescent="0.25">
      <c r="A23069" t="str">
        <f>"7211672"</f>
        <v>7211672</v>
      </c>
      <c r="B23069" t="s">
        <v>17132</v>
      </c>
      <c r="C23069" t="s">
        <v>459</v>
      </c>
      <c r="D23069" s="21" t="s">
        <v>34</v>
      </c>
      <c r="E23069" s="21" t="s">
        <v>71</v>
      </c>
      <c r="F23069">
        <v>12720143</v>
      </c>
      <c r="G23069" t="s">
        <v>3881</v>
      </c>
      <c r="H23069" s="21">
        <v>682.17</v>
      </c>
    </row>
    <row r="23070" spans="1:8" customFormat="1" x14ac:dyDescent="0.25">
      <c r="A23070" t="str">
        <f>"5621856"</f>
        <v>5621856</v>
      </c>
      <c r="B23070" t="s">
        <v>22792</v>
      </c>
      <c r="C23070" t="s">
        <v>2546</v>
      </c>
      <c r="D23070" s="21" t="s">
        <v>34</v>
      </c>
      <c r="E23070" s="21" t="s">
        <v>254</v>
      </c>
      <c r="F23070">
        <v>3560090</v>
      </c>
      <c r="G23070" t="s">
        <v>7777</v>
      </c>
      <c r="H23070" s="21">
        <v>682.17</v>
      </c>
    </row>
    <row r="23071" spans="1:8" customFormat="1" x14ac:dyDescent="0.25">
      <c r="A23071" t="str">
        <f>"5942265"</f>
        <v>5942265</v>
      </c>
      <c r="B23071" t="s">
        <v>17086</v>
      </c>
      <c r="C23071" t="s">
        <v>2520</v>
      </c>
      <c r="D23071" s="21" t="s">
        <v>34</v>
      </c>
      <c r="E23071" s="21" t="s">
        <v>1089</v>
      </c>
      <c r="F23071">
        <v>7590237</v>
      </c>
      <c r="G23071" t="s">
        <v>3600</v>
      </c>
      <c r="H23071" s="21">
        <v>682.17</v>
      </c>
    </row>
    <row r="23072" spans="1:8" customFormat="1" x14ac:dyDescent="0.25">
      <c r="A23072" t="str">
        <f>"8018275"</f>
        <v>8018275</v>
      </c>
      <c r="B23072" t="s">
        <v>7142</v>
      </c>
      <c r="C23072" t="s">
        <v>33</v>
      </c>
      <c r="D23072" s="21" t="s">
        <v>34</v>
      </c>
      <c r="E23072" s="21" t="s">
        <v>35</v>
      </c>
      <c r="F23072">
        <v>7800062</v>
      </c>
      <c r="G23072" t="s">
        <v>5176</v>
      </c>
      <c r="H23072" s="21">
        <v>682.17</v>
      </c>
    </row>
    <row r="23073" spans="1:8" customFormat="1" x14ac:dyDescent="0.25">
      <c r="A23073" t="str">
        <f>"5941"</f>
        <v>5941</v>
      </c>
      <c r="B23073" t="s">
        <v>17532</v>
      </c>
      <c r="C23073" t="s">
        <v>412</v>
      </c>
      <c r="D23073" s="21" t="s">
        <v>34</v>
      </c>
      <c r="E23073" s="21" t="s">
        <v>1089</v>
      </c>
      <c r="F23073">
        <v>7590003</v>
      </c>
      <c r="G23073" t="s">
        <v>1166</v>
      </c>
      <c r="H23073" s="21">
        <v>682.17</v>
      </c>
    </row>
    <row r="23074" spans="1:8" customFormat="1" x14ac:dyDescent="0.25">
      <c r="A23074" t="str">
        <f>"6813962"</f>
        <v>6813962</v>
      </c>
      <c r="B23074" t="s">
        <v>18048</v>
      </c>
      <c r="C23074" t="s">
        <v>87</v>
      </c>
      <c r="D23074" s="21" t="s">
        <v>34</v>
      </c>
      <c r="E23074" s="21" t="s">
        <v>71</v>
      </c>
      <c r="F23074">
        <v>6680118</v>
      </c>
      <c r="G23074" t="s">
        <v>4346</v>
      </c>
      <c r="H23074" s="21">
        <v>682.17</v>
      </c>
    </row>
    <row r="23075" spans="1:8" customFormat="1" x14ac:dyDescent="0.25">
      <c r="A23075" t="str">
        <f>"1610897"</f>
        <v>1610897</v>
      </c>
      <c r="B23075" t="s">
        <v>14347</v>
      </c>
      <c r="C23075" t="s">
        <v>262</v>
      </c>
      <c r="D23075" s="21" t="s">
        <v>34</v>
      </c>
      <c r="E23075" s="21" t="s">
        <v>35</v>
      </c>
      <c r="F23075">
        <v>10160069</v>
      </c>
      <c r="G23075" t="s">
        <v>5379</v>
      </c>
      <c r="H23075" s="21">
        <v>682.17</v>
      </c>
    </row>
    <row r="23076" spans="1:8" customFormat="1" x14ac:dyDescent="0.25">
      <c r="A23076" t="str">
        <f>"5317475"</f>
        <v>5317475</v>
      </c>
      <c r="B23076" t="s">
        <v>16747</v>
      </c>
      <c r="C23076" t="s">
        <v>33</v>
      </c>
      <c r="D23076" s="21" t="s">
        <v>34</v>
      </c>
      <c r="E23076" s="21" t="s">
        <v>71</v>
      </c>
      <c r="F23076">
        <v>12530058</v>
      </c>
      <c r="G23076" t="s">
        <v>3128</v>
      </c>
      <c r="H23076" s="21">
        <v>682.17</v>
      </c>
    </row>
    <row r="23077" spans="1:8" customFormat="1" x14ac:dyDescent="0.25">
      <c r="A23077" t="str">
        <f>"538696"</f>
        <v>538696</v>
      </c>
      <c r="B23077" t="s">
        <v>7886</v>
      </c>
      <c r="C23077" t="s">
        <v>2100</v>
      </c>
      <c r="D23077" s="21" t="s">
        <v>34</v>
      </c>
      <c r="E23077" s="21" t="s">
        <v>71</v>
      </c>
      <c r="F23077">
        <v>12530090</v>
      </c>
      <c r="G23077" t="s">
        <v>6132</v>
      </c>
      <c r="H23077" s="21">
        <v>682.17</v>
      </c>
    </row>
    <row r="23078" spans="1:8" customFormat="1" x14ac:dyDescent="0.25">
      <c r="A23078" t="str">
        <f>"223269"</f>
        <v>223269</v>
      </c>
      <c r="B23078" t="s">
        <v>17922</v>
      </c>
      <c r="C23078" t="s">
        <v>156</v>
      </c>
      <c r="D23078" s="21" t="s">
        <v>34</v>
      </c>
      <c r="E23078" s="21" t="s">
        <v>254</v>
      </c>
      <c r="F23078">
        <v>3220007</v>
      </c>
      <c r="G23078" t="s">
        <v>26946</v>
      </c>
      <c r="H23078" s="21">
        <v>682.17</v>
      </c>
    </row>
    <row r="23079" spans="1:8" customFormat="1" x14ac:dyDescent="0.25">
      <c r="A23079" t="str">
        <f>"62342"</f>
        <v>62342</v>
      </c>
      <c r="B23079" t="s">
        <v>16534</v>
      </c>
      <c r="C23079" t="s">
        <v>1705</v>
      </c>
      <c r="D23079" s="21" t="s">
        <v>34</v>
      </c>
      <c r="E23079" s="21" t="s">
        <v>1089</v>
      </c>
      <c r="F23079">
        <v>7620019</v>
      </c>
      <c r="G23079" t="s">
        <v>723</v>
      </c>
      <c r="H23079" s="21">
        <v>682.17</v>
      </c>
    </row>
    <row r="23080" spans="1:8" customFormat="1" x14ac:dyDescent="0.25">
      <c r="A23080" t="str">
        <f>"7827369"</f>
        <v>7827369</v>
      </c>
      <c r="B23080" t="s">
        <v>430</v>
      </c>
      <c r="C23080" t="s">
        <v>3522</v>
      </c>
      <c r="D23080" s="21" t="s">
        <v>34</v>
      </c>
      <c r="E23080" s="21" t="s">
        <v>71</v>
      </c>
      <c r="F23080">
        <v>8780485</v>
      </c>
      <c r="G23080" t="s">
        <v>1279</v>
      </c>
      <c r="H23080" s="21">
        <v>682.04</v>
      </c>
    </row>
    <row r="23081" spans="1:8" customFormat="1" x14ac:dyDescent="0.25">
      <c r="A23081" t="str">
        <f>"107295"</f>
        <v>107295</v>
      </c>
      <c r="B23081" t="s">
        <v>16631</v>
      </c>
      <c r="C23081" t="s">
        <v>151</v>
      </c>
      <c r="D23081" s="21" t="s">
        <v>34</v>
      </c>
      <c r="E23081" s="21" t="s">
        <v>35</v>
      </c>
      <c r="F23081">
        <v>6100005</v>
      </c>
      <c r="G23081" t="s">
        <v>855</v>
      </c>
      <c r="H23081" s="21">
        <v>682.04</v>
      </c>
    </row>
    <row r="23082" spans="1:8" customFormat="1" x14ac:dyDescent="0.25">
      <c r="A23082" t="str">
        <f>"7837245"</f>
        <v>7837245</v>
      </c>
      <c r="B23082" t="s">
        <v>577</v>
      </c>
      <c r="C23082" t="s">
        <v>43</v>
      </c>
      <c r="D23082" s="21" t="s">
        <v>34</v>
      </c>
      <c r="E23082" s="21" t="s">
        <v>35</v>
      </c>
      <c r="F23082">
        <v>8780890</v>
      </c>
      <c r="G23082" t="s">
        <v>6456</v>
      </c>
      <c r="H23082" s="21">
        <v>682.04</v>
      </c>
    </row>
    <row r="23083" spans="1:8" customFormat="1" x14ac:dyDescent="0.25">
      <c r="A23083" t="str">
        <f>"9112544"</f>
        <v>9112544</v>
      </c>
      <c r="B23083" t="s">
        <v>1031</v>
      </c>
      <c r="C23083" t="s">
        <v>18090</v>
      </c>
      <c r="D23083" s="21" t="s">
        <v>34</v>
      </c>
      <c r="E23083" s="21" t="s">
        <v>35</v>
      </c>
      <c r="F23083">
        <v>8911050</v>
      </c>
      <c r="G23083" t="s">
        <v>1606</v>
      </c>
      <c r="H23083" s="21">
        <v>681.92</v>
      </c>
    </row>
    <row r="23084" spans="1:8" customFormat="1" x14ac:dyDescent="0.25">
      <c r="A23084" t="str">
        <f>"52146"</f>
        <v>52146</v>
      </c>
      <c r="B23084" t="s">
        <v>17703</v>
      </c>
      <c r="C23084" t="s">
        <v>144</v>
      </c>
      <c r="D23084" s="21" t="s">
        <v>34</v>
      </c>
      <c r="E23084" s="21" t="s">
        <v>254</v>
      </c>
      <c r="F23084">
        <v>6520004</v>
      </c>
      <c r="G23084" t="s">
        <v>5152</v>
      </c>
      <c r="H23084" s="21">
        <v>681.67</v>
      </c>
    </row>
    <row r="23085" spans="1:8" customFormat="1" x14ac:dyDescent="0.25">
      <c r="A23085" t="str">
        <f>"083243"</f>
        <v>083243</v>
      </c>
      <c r="B23085" t="s">
        <v>400</v>
      </c>
      <c r="C23085" t="s">
        <v>1887</v>
      </c>
      <c r="D23085" s="21" t="s">
        <v>34</v>
      </c>
      <c r="E23085" s="21" t="s">
        <v>254</v>
      </c>
      <c r="F23085">
        <v>6080006</v>
      </c>
      <c r="G23085" t="s">
        <v>4295</v>
      </c>
      <c r="H23085" s="21">
        <v>681.67</v>
      </c>
    </row>
    <row r="23086" spans="1:8" customFormat="1" x14ac:dyDescent="0.25">
      <c r="A23086" t="str">
        <f>"4425126"</f>
        <v>4425126</v>
      </c>
      <c r="B23086" t="s">
        <v>17205</v>
      </c>
      <c r="C23086" t="s">
        <v>2520</v>
      </c>
      <c r="D23086" s="21" t="s">
        <v>34</v>
      </c>
      <c r="E23086" s="21" t="s">
        <v>1089</v>
      </c>
      <c r="F23086">
        <v>12440001</v>
      </c>
      <c r="G23086" t="s">
        <v>6999</v>
      </c>
      <c r="H23086" s="21">
        <v>681.67</v>
      </c>
    </row>
    <row r="23087" spans="1:8" customFormat="1" x14ac:dyDescent="0.25">
      <c r="A23087" t="str">
        <f>"579347"</f>
        <v>579347</v>
      </c>
      <c r="B23087" t="s">
        <v>17507</v>
      </c>
      <c r="C23087" t="s">
        <v>720</v>
      </c>
      <c r="D23087" s="21" t="s">
        <v>34</v>
      </c>
      <c r="E23087" s="21" t="s">
        <v>254</v>
      </c>
      <c r="F23087">
        <v>6570070</v>
      </c>
      <c r="G23087" t="s">
        <v>1765</v>
      </c>
      <c r="H23087" s="21">
        <v>681.67</v>
      </c>
    </row>
    <row r="23088" spans="1:8" customFormat="1" x14ac:dyDescent="0.25">
      <c r="A23088" t="str">
        <f>"7859071"</f>
        <v>7859071</v>
      </c>
      <c r="B23088" t="s">
        <v>4611</v>
      </c>
      <c r="C23088" t="s">
        <v>169</v>
      </c>
      <c r="D23088" s="21" t="s">
        <v>34</v>
      </c>
      <c r="E23088" s="21" t="s">
        <v>71</v>
      </c>
      <c r="F23088">
        <v>8781094</v>
      </c>
      <c r="G23088" t="s">
        <v>7875</v>
      </c>
      <c r="H23088" s="21">
        <v>681.67</v>
      </c>
    </row>
    <row r="23089" spans="1:8" customFormat="1" x14ac:dyDescent="0.25">
      <c r="A23089" t="str">
        <f>"2710103"</f>
        <v>2710103</v>
      </c>
      <c r="B23089" t="s">
        <v>17617</v>
      </c>
      <c r="C23089" t="s">
        <v>55</v>
      </c>
      <c r="D23089" s="21" t="s">
        <v>34</v>
      </c>
      <c r="E23089" s="21" t="s">
        <v>71</v>
      </c>
      <c r="F23089">
        <v>9270166</v>
      </c>
      <c r="G23089" t="s">
        <v>16629</v>
      </c>
      <c r="H23089" s="21">
        <v>681.67</v>
      </c>
    </row>
    <row r="23090" spans="1:8" customFormat="1" x14ac:dyDescent="0.25">
      <c r="A23090" t="str">
        <f>"447210"</f>
        <v>447210</v>
      </c>
      <c r="B23090" t="s">
        <v>3878</v>
      </c>
      <c r="C23090" t="s">
        <v>1665</v>
      </c>
      <c r="D23090" s="21" t="s">
        <v>34</v>
      </c>
      <c r="E23090" s="21" t="s">
        <v>254</v>
      </c>
      <c r="F23090">
        <v>12440093</v>
      </c>
      <c r="G23090" t="s">
        <v>10627</v>
      </c>
      <c r="H23090" s="21">
        <v>681.67</v>
      </c>
    </row>
    <row r="23091" spans="1:8" customFormat="1" x14ac:dyDescent="0.25">
      <c r="A23091" t="str">
        <f>"1410818"</f>
        <v>1410818</v>
      </c>
      <c r="B23091" t="s">
        <v>19326</v>
      </c>
      <c r="C23091" t="s">
        <v>253</v>
      </c>
      <c r="D23091" s="21" t="s">
        <v>34</v>
      </c>
      <c r="E23091" s="21" t="s">
        <v>254</v>
      </c>
      <c r="F23091">
        <v>9140111</v>
      </c>
      <c r="G23091" t="s">
        <v>3601</v>
      </c>
      <c r="H23091" s="21">
        <v>681.67</v>
      </c>
    </row>
    <row r="23092" spans="1:8" customFormat="1" x14ac:dyDescent="0.25">
      <c r="A23092" t="str">
        <f>"5720546"</f>
        <v>5720546</v>
      </c>
      <c r="B23092" t="s">
        <v>17444</v>
      </c>
      <c r="C23092" t="s">
        <v>114</v>
      </c>
      <c r="D23092" s="21" t="s">
        <v>34</v>
      </c>
      <c r="E23092" s="21" t="s">
        <v>71</v>
      </c>
      <c r="F23092">
        <v>6570030</v>
      </c>
      <c r="G23092" t="s">
        <v>851</v>
      </c>
      <c r="H23092" s="21">
        <v>681.67</v>
      </c>
    </row>
    <row r="23093" spans="1:8" customFormat="1" x14ac:dyDescent="0.25">
      <c r="A23093" t="str">
        <f>"733096"</f>
        <v>733096</v>
      </c>
      <c r="B23093" t="s">
        <v>4711</v>
      </c>
      <c r="C23093" t="s">
        <v>598</v>
      </c>
      <c r="D23093" s="21" t="s">
        <v>34</v>
      </c>
      <c r="E23093" s="21" t="s">
        <v>71</v>
      </c>
      <c r="F23093">
        <v>1730083</v>
      </c>
      <c r="G23093" t="s">
        <v>10955</v>
      </c>
      <c r="H23093" s="21">
        <v>681.67</v>
      </c>
    </row>
    <row r="23094" spans="1:8" customFormat="1" x14ac:dyDescent="0.25">
      <c r="A23094" t="str">
        <f>"6231865"</f>
        <v>6231865</v>
      </c>
      <c r="B23094" t="s">
        <v>20841</v>
      </c>
      <c r="C23094" t="s">
        <v>209</v>
      </c>
      <c r="D23094" s="21" t="s">
        <v>34</v>
      </c>
      <c r="E23094" s="21" t="s">
        <v>35</v>
      </c>
      <c r="F23094">
        <v>7620176</v>
      </c>
      <c r="G23094" t="s">
        <v>3111</v>
      </c>
      <c r="H23094" s="21">
        <v>681.67</v>
      </c>
    </row>
    <row r="23095" spans="1:8" customFormat="1" x14ac:dyDescent="0.25">
      <c r="A23095" t="str">
        <f>"7222410"</f>
        <v>7222410</v>
      </c>
      <c r="B23095" t="s">
        <v>19541</v>
      </c>
      <c r="C23095" t="s">
        <v>151</v>
      </c>
      <c r="D23095" s="21" t="s">
        <v>34</v>
      </c>
      <c r="E23095" s="21" t="s">
        <v>35</v>
      </c>
      <c r="F23095">
        <v>12720050</v>
      </c>
      <c r="G23095" t="s">
        <v>5522</v>
      </c>
      <c r="H23095" s="21">
        <v>681.67</v>
      </c>
    </row>
    <row r="23096" spans="1:8" customFormat="1" x14ac:dyDescent="0.25">
      <c r="A23096" t="str">
        <f>"7613127"</f>
        <v>7613127</v>
      </c>
      <c r="B23096" t="s">
        <v>17329</v>
      </c>
      <c r="C23096" t="s">
        <v>5861</v>
      </c>
      <c r="D23096" s="21" t="s">
        <v>34</v>
      </c>
      <c r="E23096" s="21" t="s">
        <v>1089</v>
      </c>
      <c r="F23096">
        <v>9760291</v>
      </c>
      <c r="G23096" t="s">
        <v>26611</v>
      </c>
      <c r="H23096" s="21">
        <v>681.67</v>
      </c>
    </row>
    <row r="23097" spans="1:8" customFormat="1" x14ac:dyDescent="0.25">
      <c r="A23097" t="str">
        <f>"8016476"</f>
        <v>8016476</v>
      </c>
      <c r="B23097" t="s">
        <v>19077</v>
      </c>
      <c r="C23097" t="s">
        <v>453</v>
      </c>
      <c r="D23097" s="21" t="s">
        <v>34</v>
      </c>
      <c r="E23097" s="21" t="s">
        <v>35</v>
      </c>
      <c r="F23097">
        <v>7800035</v>
      </c>
      <c r="G23097" t="s">
        <v>12990</v>
      </c>
      <c r="H23097" s="21">
        <v>681.67</v>
      </c>
    </row>
    <row r="23098" spans="1:8" customFormat="1" x14ac:dyDescent="0.25">
      <c r="A23098" t="str">
        <f>"4514941"</f>
        <v>4514941</v>
      </c>
      <c r="B23098" t="s">
        <v>18674</v>
      </c>
      <c r="C23098" t="s">
        <v>285</v>
      </c>
      <c r="D23098" s="21" t="s">
        <v>34</v>
      </c>
      <c r="E23098" s="21" t="s">
        <v>35</v>
      </c>
      <c r="F23098">
        <v>4450429</v>
      </c>
      <c r="G23098" t="s">
        <v>15149</v>
      </c>
      <c r="H23098" s="21">
        <v>681.67</v>
      </c>
    </row>
    <row r="23099" spans="1:8" customFormat="1" x14ac:dyDescent="0.25">
      <c r="A23099" t="str">
        <f>"224056"</f>
        <v>224056</v>
      </c>
      <c r="B23099" t="s">
        <v>4095</v>
      </c>
      <c r="C23099" t="s">
        <v>267</v>
      </c>
      <c r="D23099" s="21" t="s">
        <v>34</v>
      </c>
      <c r="E23099" s="21" t="s">
        <v>254</v>
      </c>
      <c r="F23099">
        <v>3220008</v>
      </c>
      <c r="G23099" t="s">
        <v>6845</v>
      </c>
      <c r="H23099" s="21">
        <v>681.67</v>
      </c>
    </row>
    <row r="23100" spans="1:8" customFormat="1" x14ac:dyDescent="0.25">
      <c r="A23100" t="str">
        <f>"3537134"</f>
        <v>3537134</v>
      </c>
      <c r="B23100" t="s">
        <v>13206</v>
      </c>
      <c r="C23100" t="s">
        <v>781</v>
      </c>
      <c r="D23100" s="21" t="s">
        <v>34</v>
      </c>
      <c r="E23100" s="21" t="s">
        <v>254</v>
      </c>
      <c r="F23100">
        <v>3350063</v>
      </c>
      <c r="G23100" t="s">
        <v>14782</v>
      </c>
      <c r="H23100" s="21">
        <v>681.67</v>
      </c>
    </row>
    <row r="23101" spans="1:8" customFormat="1" x14ac:dyDescent="0.25">
      <c r="A23101" t="str">
        <f>"8812720"</f>
        <v>8812720</v>
      </c>
      <c r="B23101" t="s">
        <v>18147</v>
      </c>
      <c r="C23101" t="s">
        <v>2520</v>
      </c>
      <c r="D23101" s="21" t="s">
        <v>34</v>
      </c>
      <c r="E23101" s="21" t="s">
        <v>254</v>
      </c>
      <c r="F23101">
        <v>6880050</v>
      </c>
      <c r="G23101" t="s">
        <v>9344</v>
      </c>
      <c r="H23101" s="21">
        <v>681.67</v>
      </c>
    </row>
    <row r="23102" spans="1:8" customFormat="1" x14ac:dyDescent="0.25">
      <c r="A23102" t="str">
        <f>"3823419"</f>
        <v>3823419</v>
      </c>
      <c r="B23102" t="s">
        <v>19141</v>
      </c>
      <c r="C23102" t="s">
        <v>3905</v>
      </c>
      <c r="D23102" s="21" t="s">
        <v>34</v>
      </c>
      <c r="E23102" s="21" t="s">
        <v>254</v>
      </c>
      <c r="F23102">
        <v>1380164</v>
      </c>
      <c r="G23102" t="s">
        <v>2728</v>
      </c>
      <c r="H23102" s="21">
        <v>681.67</v>
      </c>
    </row>
    <row r="23103" spans="1:8" customFormat="1" x14ac:dyDescent="0.25">
      <c r="A23103" t="str">
        <f>"4444174"</f>
        <v>4444174</v>
      </c>
      <c r="B23103" t="s">
        <v>3664</v>
      </c>
      <c r="C23103" t="s">
        <v>187</v>
      </c>
      <c r="D23103" s="21" t="s">
        <v>34</v>
      </c>
      <c r="E23103" s="21" t="s">
        <v>35</v>
      </c>
      <c r="F23103">
        <v>12440070</v>
      </c>
      <c r="G23103" t="s">
        <v>5224</v>
      </c>
      <c r="H23103" s="21">
        <v>681.67</v>
      </c>
    </row>
    <row r="23104" spans="1:8" customFormat="1" x14ac:dyDescent="0.25">
      <c r="A23104" t="str">
        <f>"5019848"</f>
        <v>5019848</v>
      </c>
      <c r="B23104" t="s">
        <v>5424</v>
      </c>
      <c r="C23104" t="s">
        <v>253</v>
      </c>
      <c r="D23104" s="21" t="s">
        <v>34</v>
      </c>
      <c r="E23104" s="21" t="s">
        <v>71</v>
      </c>
      <c r="F23104">
        <v>9500088</v>
      </c>
      <c r="G23104" t="s">
        <v>15949</v>
      </c>
      <c r="H23104" s="21">
        <v>681.67</v>
      </c>
    </row>
    <row r="23105" spans="1:8" customFormat="1" x14ac:dyDescent="0.25">
      <c r="A23105" t="str">
        <f>"797699"</f>
        <v>797699</v>
      </c>
      <c r="B23105" t="s">
        <v>4128</v>
      </c>
      <c r="C23105" t="s">
        <v>37</v>
      </c>
      <c r="D23105" s="21" t="s">
        <v>34</v>
      </c>
      <c r="E23105" s="21" t="s">
        <v>254</v>
      </c>
      <c r="F23105">
        <v>10790071</v>
      </c>
      <c r="G23105" t="s">
        <v>5806</v>
      </c>
      <c r="H23105" s="21">
        <v>681.67</v>
      </c>
    </row>
    <row r="23106" spans="1:8" customFormat="1" x14ac:dyDescent="0.25">
      <c r="A23106" t="str">
        <f>"7811657"</f>
        <v>7811657</v>
      </c>
      <c r="B23106" t="s">
        <v>1570</v>
      </c>
      <c r="C23106" t="s">
        <v>40</v>
      </c>
      <c r="D23106" s="21" t="s">
        <v>34</v>
      </c>
      <c r="E23106" s="21" t="s">
        <v>1089</v>
      </c>
      <c r="F23106">
        <v>8780128</v>
      </c>
      <c r="G23106" t="s">
        <v>4201</v>
      </c>
      <c r="H23106" s="21">
        <v>681.67</v>
      </c>
    </row>
    <row r="23107" spans="1:8" customFormat="1" x14ac:dyDescent="0.25">
      <c r="A23107" t="str">
        <f>"3822640"</f>
        <v>3822640</v>
      </c>
      <c r="B23107" t="s">
        <v>17288</v>
      </c>
      <c r="C23107" t="s">
        <v>98</v>
      </c>
      <c r="D23107" s="21" t="s">
        <v>34</v>
      </c>
      <c r="E23107" s="21" t="s">
        <v>35</v>
      </c>
      <c r="F23107">
        <v>13830068</v>
      </c>
      <c r="G23107" t="s">
        <v>6181</v>
      </c>
      <c r="H23107" s="21">
        <v>681.42</v>
      </c>
    </row>
    <row r="23108" spans="1:8" customFormat="1" x14ac:dyDescent="0.25">
      <c r="A23108" t="str">
        <f>"5325340"</f>
        <v>5325340</v>
      </c>
      <c r="B23108" t="s">
        <v>19920</v>
      </c>
      <c r="C23108" t="s">
        <v>262</v>
      </c>
      <c r="D23108" s="21" t="s">
        <v>34</v>
      </c>
      <c r="E23108" s="21" t="s">
        <v>35</v>
      </c>
      <c r="F23108">
        <v>12530146</v>
      </c>
      <c r="G23108" t="s">
        <v>10916</v>
      </c>
      <c r="H23108" s="21">
        <v>681.42</v>
      </c>
    </row>
    <row r="23109" spans="1:8" customFormat="1" x14ac:dyDescent="0.25">
      <c r="A23109" t="str">
        <f>"434480"</f>
        <v>434480</v>
      </c>
      <c r="B23109" t="s">
        <v>18820</v>
      </c>
      <c r="C23109" t="s">
        <v>119</v>
      </c>
      <c r="D23109" s="21" t="s">
        <v>34</v>
      </c>
      <c r="E23109" s="21" t="s">
        <v>35</v>
      </c>
      <c r="F23109">
        <v>1420240</v>
      </c>
      <c r="G23109" t="s">
        <v>9179</v>
      </c>
      <c r="H23109" s="21">
        <v>681.42</v>
      </c>
    </row>
    <row r="23110" spans="1:8" customFormat="1" x14ac:dyDescent="0.25">
      <c r="A23110" t="str">
        <f>"3829277"</f>
        <v>3829277</v>
      </c>
      <c r="B23110" t="s">
        <v>4147</v>
      </c>
      <c r="C23110" t="s">
        <v>198</v>
      </c>
      <c r="D23110" s="21" t="s">
        <v>34</v>
      </c>
      <c r="E23110" s="21" t="s">
        <v>71</v>
      </c>
      <c r="F23110">
        <v>1380189</v>
      </c>
      <c r="G23110" t="s">
        <v>8143</v>
      </c>
      <c r="H23110" s="21">
        <v>681.42</v>
      </c>
    </row>
    <row r="23111" spans="1:8" customFormat="1" x14ac:dyDescent="0.25">
      <c r="A23111" t="str">
        <f>"7722745"</f>
        <v>7722745</v>
      </c>
      <c r="B23111" t="s">
        <v>15772</v>
      </c>
      <c r="C23111" t="s">
        <v>171</v>
      </c>
      <c r="D23111" s="21" t="s">
        <v>34</v>
      </c>
      <c r="E23111" s="21" t="s">
        <v>71</v>
      </c>
      <c r="F23111">
        <v>1690175</v>
      </c>
      <c r="G23111" t="s">
        <v>410</v>
      </c>
      <c r="H23111" s="21">
        <v>681.29</v>
      </c>
    </row>
    <row r="23112" spans="1:8" customFormat="1" x14ac:dyDescent="0.25">
      <c r="A23112" t="str">
        <f>"723341"</f>
        <v>723341</v>
      </c>
      <c r="B23112" t="s">
        <v>18458</v>
      </c>
      <c r="C23112" t="s">
        <v>576</v>
      </c>
      <c r="D23112" s="21" t="s">
        <v>34</v>
      </c>
      <c r="E23112" s="21" t="s">
        <v>35</v>
      </c>
      <c r="F23112">
        <v>12720034</v>
      </c>
      <c r="G23112" t="s">
        <v>4561</v>
      </c>
      <c r="H23112" s="21">
        <v>681.17</v>
      </c>
    </row>
    <row r="23113" spans="1:8" customFormat="1" x14ac:dyDescent="0.25">
      <c r="A23113" t="str">
        <f>"858746"</f>
        <v>858746</v>
      </c>
      <c r="B23113" t="s">
        <v>8863</v>
      </c>
      <c r="C23113" t="s">
        <v>1914</v>
      </c>
      <c r="D23113" s="21" t="s">
        <v>34</v>
      </c>
      <c r="E23113" s="21" t="s">
        <v>71</v>
      </c>
      <c r="F23113">
        <v>12850125</v>
      </c>
      <c r="G23113" t="s">
        <v>9898</v>
      </c>
      <c r="H23113" s="21">
        <v>681.17</v>
      </c>
    </row>
    <row r="23114" spans="1:8" customFormat="1" x14ac:dyDescent="0.25">
      <c r="A23114" t="str">
        <f>"627655"</f>
        <v>627655</v>
      </c>
      <c r="B23114" t="s">
        <v>9419</v>
      </c>
      <c r="C23114" t="s">
        <v>33</v>
      </c>
      <c r="D23114" s="21" t="s">
        <v>34</v>
      </c>
      <c r="E23114" s="21" t="s">
        <v>35</v>
      </c>
      <c r="F23114">
        <v>7620154</v>
      </c>
      <c r="G23114" t="s">
        <v>13064</v>
      </c>
      <c r="H23114" s="21">
        <v>681.17</v>
      </c>
    </row>
    <row r="23115" spans="1:8" customFormat="1" x14ac:dyDescent="0.25">
      <c r="A23115" t="str">
        <f>"2929064"</f>
        <v>2929064</v>
      </c>
      <c r="B23115" t="s">
        <v>16903</v>
      </c>
      <c r="C23115" t="s">
        <v>415</v>
      </c>
      <c r="D23115" s="21" t="s">
        <v>34</v>
      </c>
      <c r="E23115" s="21" t="s">
        <v>254</v>
      </c>
      <c r="F23115">
        <v>3290277</v>
      </c>
      <c r="G23115" t="s">
        <v>1671</v>
      </c>
      <c r="H23115" s="21">
        <v>681.17</v>
      </c>
    </row>
    <row r="23116" spans="1:8" customFormat="1" x14ac:dyDescent="0.25">
      <c r="A23116" t="str">
        <f>"2934509"</f>
        <v>2934509</v>
      </c>
      <c r="B23116" t="s">
        <v>18012</v>
      </c>
      <c r="C23116" t="s">
        <v>2730</v>
      </c>
      <c r="D23116" s="21" t="s">
        <v>34</v>
      </c>
      <c r="E23116" s="21" t="s">
        <v>71</v>
      </c>
      <c r="F23116">
        <v>3290255</v>
      </c>
      <c r="G23116" t="s">
        <v>2852</v>
      </c>
      <c r="H23116" s="21">
        <v>681.17</v>
      </c>
    </row>
    <row r="23117" spans="1:8" customFormat="1" x14ac:dyDescent="0.25">
      <c r="A23117" t="str">
        <f>"6310881"</f>
        <v>6310881</v>
      </c>
      <c r="B23117" t="s">
        <v>2124</v>
      </c>
      <c r="C23117" t="s">
        <v>3905</v>
      </c>
      <c r="D23117" s="21" t="s">
        <v>34</v>
      </c>
      <c r="E23117" s="21" t="s">
        <v>71</v>
      </c>
      <c r="F23117">
        <v>1630317</v>
      </c>
      <c r="G23117" t="s">
        <v>7523</v>
      </c>
      <c r="H23117" s="21">
        <v>681.17</v>
      </c>
    </row>
    <row r="23118" spans="1:8" customFormat="1" x14ac:dyDescent="0.25">
      <c r="A23118" t="str">
        <f>"553432"</f>
        <v>553432</v>
      </c>
      <c r="B23118" t="s">
        <v>7016</v>
      </c>
      <c r="C23118" t="s">
        <v>267</v>
      </c>
      <c r="D23118" s="21" t="s">
        <v>34</v>
      </c>
      <c r="E23118" s="21" t="s">
        <v>71</v>
      </c>
      <c r="F23118">
        <v>6550020</v>
      </c>
      <c r="G23118" t="s">
        <v>7526</v>
      </c>
      <c r="H23118" s="21">
        <v>681.17</v>
      </c>
    </row>
    <row r="23119" spans="1:8" customFormat="1" x14ac:dyDescent="0.25">
      <c r="A23119" t="str">
        <f>"494503"</f>
        <v>494503</v>
      </c>
      <c r="B23119" t="s">
        <v>4718</v>
      </c>
      <c r="C23119" t="s">
        <v>8109</v>
      </c>
      <c r="D23119" s="21" t="s">
        <v>34</v>
      </c>
      <c r="E23119" s="21" t="s">
        <v>1089</v>
      </c>
      <c r="F23119">
        <v>12490048</v>
      </c>
      <c r="G23119" t="s">
        <v>4228</v>
      </c>
      <c r="H23119" s="21">
        <v>681.17</v>
      </c>
    </row>
    <row r="23120" spans="1:8" customFormat="1" x14ac:dyDescent="0.25">
      <c r="A23120" t="str">
        <f>"114191"</f>
        <v>114191</v>
      </c>
      <c r="B23120" t="s">
        <v>2362</v>
      </c>
      <c r="C23120" t="s">
        <v>187</v>
      </c>
      <c r="D23120" s="21" t="s">
        <v>34</v>
      </c>
      <c r="E23120" s="21" t="s">
        <v>35</v>
      </c>
      <c r="F23120">
        <v>11110013</v>
      </c>
      <c r="G23120" t="s">
        <v>640</v>
      </c>
      <c r="H23120" s="21">
        <v>681.17</v>
      </c>
    </row>
    <row r="23121" spans="1:8" customFormat="1" x14ac:dyDescent="0.25">
      <c r="A23121" t="str">
        <f>"2718791"</f>
        <v>2718791</v>
      </c>
      <c r="B23121" t="s">
        <v>18537</v>
      </c>
      <c r="C23121" t="s">
        <v>62</v>
      </c>
      <c r="D23121" s="21" t="s">
        <v>34</v>
      </c>
      <c r="E23121" s="21" t="s">
        <v>35</v>
      </c>
      <c r="F23121">
        <v>9270187</v>
      </c>
      <c r="G23121" t="s">
        <v>6733</v>
      </c>
      <c r="H23121" s="21">
        <v>681.17</v>
      </c>
    </row>
    <row r="23122" spans="1:8" customFormat="1" x14ac:dyDescent="0.25">
      <c r="A23122" t="str">
        <f>"5019784"</f>
        <v>5019784</v>
      </c>
      <c r="B23122" t="s">
        <v>5125</v>
      </c>
      <c r="C23122" t="s">
        <v>239</v>
      </c>
      <c r="D23122" s="21" t="s">
        <v>34</v>
      </c>
      <c r="E23122" s="21" t="s">
        <v>71</v>
      </c>
      <c r="F23122">
        <v>9500015</v>
      </c>
      <c r="G23122" t="s">
        <v>3389</v>
      </c>
      <c r="H23122" s="21">
        <v>681.17</v>
      </c>
    </row>
    <row r="23123" spans="1:8" customFormat="1" x14ac:dyDescent="0.25">
      <c r="A23123" t="str">
        <f>"7640596"</f>
        <v>7640596</v>
      </c>
      <c r="B23123" t="s">
        <v>15630</v>
      </c>
      <c r="C23123" t="s">
        <v>209</v>
      </c>
      <c r="D23123" s="21" t="s">
        <v>34</v>
      </c>
      <c r="E23123" s="21" t="s">
        <v>254</v>
      </c>
      <c r="F23123">
        <v>9760333</v>
      </c>
      <c r="G23123" t="s">
        <v>27096</v>
      </c>
      <c r="H23123" s="21">
        <v>681.17</v>
      </c>
    </row>
    <row r="23124" spans="1:8" customFormat="1" x14ac:dyDescent="0.25">
      <c r="A23124" t="str">
        <f>"594083"</f>
        <v>594083</v>
      </c>
      <c r="B23124" t="s">
        <v>4871</v>
      </c>
      <c r="C23124" t="s">
        <v>239</v>
      </c>
      <c r="D23124" s="21" t="s">
        <v>34</v>
      </c>
      <c r="E23124" s="21" t="s">
        <v>1089</v>
      </c>
      <c r="F23124">
        <v>7590251</v>
      </c>
      <c r="G23124" t="s">
        <v>9254</v>
      </c>
      <c r="H23124" s="21">
        <v>681.17</v>
      </c>
    </row>
    <row r="23125" spans="1:8" customFormat="1" x14ac:dyDescent="0.25">
      <c r="A23125" t="str">
        <f>"721839"</f>
        <v>721839</v>
      </c>
      <c r="B23125" t="s">
        <v>3654</v>
      </c>
      <c r="C23125" t="s">
        <v>547</v>
      </c>
      <c r="D23125" s="21" t="s">
        <v>34</v>
      </c>
      <c r="E23125" s="21" t="s">
        <v>254</v>
      </c>
      <c r="F23125">
        <v>12720071</v>
      </c>
      <c r="G23125" t="s">
        <v>783</v>
      </c>
      <c r="H23125" s="21">
        <v>681.17</v>
      </c>
    </row>
    <row r="23126" spans="1:8" customFormat="1" x14ac:dyDescent="0.25">
      <c r="A23126" t="str">
        <f>"6944238"</f>
        <v>6944238</v>
      </c>
      <c r="B23126" t="s">
        <v>19275</v>
      </c>
      <c r="C23126" t="s">
        <v>33</v>
      </c>
      <c r="D23126" s="21" t="s">
        <v>34</v>
      </c>
      <c r="E23126" s="21" t="s">
        <v>35</v>
      </c>
      <c r="F23126">
        <v>1690192</v>
      </c>
      <c r="G23126" t="s">
        <v>3578</v>
      </c>
      <c r="H23126" s="21">
        <v>681.17</v>
      </c>
    </row>
    <row r="23127" spans="1:8" customFormat="1" x14ac:dyDescent="0.25">
      <c r="A23127" t="str">
        <f>"0610776"</f>
        <v>0610776</v>
      </c>
      <c r="B23127" t="s">
        <v>1590</v>
      </c>
      <c r="C23127" t="s">
        <v>1271</v>
      </c>
      <c r="D23127" s="21" t="s">
        <v>34</v>
      </c>
      <c r="E23127" s="21" t="s">
        <v>71</v>
      </c>
      <c r="F23127">
        <v>13060114</v>
      </c>
      <c r="G23127" t="s">
        <v>4501</v>
      </c>
      <c r="H23127" s="21">
        <v>681.17</v>
      </c>
    </row>
    <row r="23128" spans="1:8" customFormat="1" x14ac:dyDescent="0.25">
      <c r="A23128" t="str">
        <f>"5974605"</f>
        <v>5974605</v>
      </c>
      <c r="B23128" t="s">
        <v>2381</v>
      </c>
      <c r="C23128" t="s">
        <v>328</v>
      </c>
      <c r="D23128" s="21" t="s">
        <v>34</v>
      </c>
      <c r="E23128" s="21" t="s">
        <v>71</v>
      </c>
      <c r="F23128">
        <v>7590419</v>
      </c>
      <c r="G23128" t="s">
        <v>8051</v>
      </c>
      <c r="H23128" s="21">
        <v>681.17</v>
      </c>
    </row>
    <row r="23129" spans="1:8" customFormat="1" x14ac:dyDescent="0.25">
      <c r="A23129" t="str">
        <f>"6023670"</f>
        <v>6023670</v>
      </c>
      <c r="B23129" t="s">
        <v>21300</v>
      </c>
      <c r="C23129" t="s">
        <v>428</v>
      </c>
      <c r="D23129" s="21" t="s">
        <v>34</v>
      </c>
      <c r="E23129" s="21" t="s">
        <v>35</v>
      </c>
      <c r="F23129">
        <v>7600146</v>
      </c>
      <c r="G23129" t="s">
        <v>8647</v>
      </c>
      <c r="H23129" s="21">
        <v>681.04</v>
      </c>
    </row>
    <row r="23130" spans="1:8" customFormat="1" x14ac:dyDescent="0.25">
      <c r="A23130" t="str">
        <f>"7510859"</f>
        <v>7510859</v>
      </c>
      <c r="B23130" t="s">
        <v>15891</v>
      </c>
      <c r="C23130" t="s">
        <v>415</v>
      </c>
      <c r="D23130" s="21" t="s">
        <v>34</v>
      </c>
      <c r="E23130" s="21" t="s">
        <v>1089</v>
      </c>
      <c r="F23130">
        <v>8750007</v>
      </c>
      <c r="G23130" t="s">
        <v>775</v>
      </c>
      <c r="H23130" s="21">
        <v>681.04</v>
      </c>
    </row>
    <row r="23131" spans="1:8" customFormat="1" x14ac:dyDescent="0.25">
      <c r="A23131" t="str">
        <f>"7217539"</f>
        <v>7217539</v>
      </c>
      <c r="B23131" t="s">
        <v>11670</v>
      </c>
      <c r="C23131" t="s">
        <v>60</v>
      </c>
      <c r="D23131" s="21" t="s">
        <v>34</v>
      </c>
      <c r="E23131" s="21" t="s">
        <v>35</v>
      </c>
      <c r="F23131">
        <v>12720020</v>
      </c>
      <c r="G23131" t="s">
        <v>8402</v>
      </c>
      <c r="H23131" s="21">
        <v>681.04</v>
      </c>
    </row>
    <row r="23132" spans="1:8" customFormat="1" x14ac:dyDescent="0.25">
      <c r="A23132" t="str">
        <f>"2714149"</f>
        <v>2714149</v>
      </c>
      <c r="B23132" t="s">
        <v>6860</v>
      </c>
      <c r="C23132" t="s">
        <v>2904</v>
      </c>
      <c r="D23132" s="21" t="s">
        <v>34</v>
      </c>
      <c r="E23132" s="21" t="s">
        <v>71</v>
      </c>
      <c r="F23132">
        <v>9270069</v>
      </c>
      <c r="G23132" t="s">
        <v>3509</v>
      </c>
      <c r="H23132" s="21">
        <v>681.04</v>
      </c>
    </row>
    <row r="23133" spans="1:8" customFormat="1" x14ac:dyDescent="0.25">
      <c r="A23133" t="str">
        <f>"4444965"</f>
        <v>4444965</v>
      </c>
      <c r="B23133" t="s">
        <v>17670</v>
      </c>
      <c r="C23133" t="s">
        <v>717</v>
      </c>
      <c r="D23133" s="21" t="s">
        <v>34</v>
      </c>
      <c r="E23133" s="21" t="s">
        <v>35</v>
      </c>
      <c r="F23133">
        <v>12440134</v>
      </c>
      <c r="G23133" t="s">
        <v>10580</v>
      </c>
      <c r="H23133" s="21">
        <v>680.92</v>
      </c>
    </row>
    <row r="23134" spans="1:8" customFormat="1" x14ac:dyDescent="0.25">
      <c r="A23134" t="str">
        <f>"7868893"</f>
        <v>7868893</v>
      </c>
      <c r="B23134" t="s">
        <v>27722</v>
      </c>
      <c r="C23134" t="s">
        <v>262</v>
      </c>
      <c r="D23134" s="21" t="s">
        <v>34</v>
      </c>
      <c r="E23134" s="21" t="s">
        <v>35</v>
      </c>
      <c r="F23134">
        <v>8780529</v>
      </c>
      <c r="G23134" t="s">
        <v>8624</v>
      </c>
      <c r="H23134" s="21">
        <v>680.79</v>
      </c>
    </row>
    <row r="23135" spans="1:8" customFormat="1" x14ac:dyDescent="0.25">
      <c r="A23135" t="str">
        <f>"423334"</f>
        <v>423334</v>
      </c>
      <c r="B23135" t="s">
        <v>22999</v>
      </c>
      <c r="C23135" t="s">
        <v>2520</v>
      </c>
      <c r="D23135" s="21" t="s">
        <v>34</v>
      </c>
      <c r="E23135" s="21" t="s">
        <v>254</v>
      </c>
      <c r="F23135">
        <v>1420025</v>
      </c>
      <c r="G23135" t="s">
        <v>5981</v>
      </c>
      <c r="H23135" s="21">
        <v>680.67</v>
      </c>
    </row>
    <row r="23136" spans="1:8" customFormat="1" x14ac:dyDescent="0.25">
      <c r="A23136" t="str">
        <f>"0811047"</f>
        <v>0811047</v>
      </c>
      <c r="B23136" t="s">
        <v>17080</v>
      </c>
      <c r="C23136" t="s">
        <v>169</v>
      </c>
      <c r="D23136" s="21" t="s">
        <v>34</v>
      </c>
      <c r="E23136" s="21" t="s">
        <v>71</v>
      </c>
      <c r="F23136">
        <v>6080029</v>
      </c>
      <c r="G23136" t="s">
        <v>6788</v>
      </c>
      <c r="H23136" s="21">
        <v>680.67</v>
      </c>
    </row>
    <row r="23137" spans="1:8" customFormat="1" x14ac:dyDescent="0.25">
      <c r="A23137" t="str">
        <f>"62340"</f>
        <v>62340</v>
      </c>
      <c r="B23137" t="s">
        <v>2919</v>
      </c>
      <c r="C23137" t="s">
        <v>598</v>
      </c>
      <c r="D23137" s="21" t="s">
        <v>34</v>
      </c>
      <c r="E23137" s="21" t="s">
        <v>1089</v>
      </c>
      <c r="F23137">
        <v>7620049</v>
      </c>
      <c r="G23137" t="s">
        <v>1176</v>
      </c>
      <c r="H23137" s="21">
        <v>680.67</v>
      </c>
    </row>
    <row r="23138" spans="1:8" customFormat="1" x14ac:dyDescent="0.25">
      <c r="A23138" t="str">
        <f>"091610"</f>
        <v>091610</v>
      </c>
      <c r="B23138" t="s">
        <v>6472</v>
      </c>
      <c r="C23138" t="s">
        <v>109</v>
      </c>
      <c r="D23138" s="21" t="s">
        <v>34</v>
      </c>
      <c r="E23138" s="21" t="s">
        <v>35</v>
      </c>
      <c r="F23138">
        <v>11090002</v>
      </c>
      <c r="G23138" t="s">
        <v>901</v>
      </c>
      <c r="H23138" s="21">
        <v>680.67</v>
      </c>
    </row>
    <row r="23139" spans="1:8" customFormat="1" x14ac:dyDescent="0.25">
      <c r="A23139" t="str">
        <f>"722500"</f>
        <v>722500</v>
      </c>
      <c r="B23139" t="s">
        <v>1645</v>
      </c>
      <c r="C23139" t="s">
        <v>415</v>
      </c>
      <c r="D23139" s="21" t="s">
        <v>34</v>
      </c>
      <c r="E23139" s="21" t="s">
        <v>71</v>
      </c>
      <c r="F23139">
        <v>12720005</v>
      </c>
      <c r="G23139" t="s">
        <v>999</v>
      </c>
      <c r="H23139" s="21">
        <v>680.67</v>
      </c>
    </row>
    <row r="23140" spans="1:8" customFormat="1" x14ac:dyDescent="0.25">
      <c r="A23140" t="str">
        <f>"6710372"</f>
        <v>6710372</v>
      </c>
      <c r="B23140" t="s">
        <v>12403</v>
      </c>
      <c r="C23140" t="s">
        <v>267</v>
      </c>
      <c r="D23140" s="21" t="s">
        <v>34</v>
      </c>
      <c r="E23140" s="21" t="s">
        <v>1089</v>
      </c>
      <c r="F23140">
        <v>6670268</v>
      </c>
      <c r="G23140" t="s">
        <v>8908</v>
      </c>
      <c r="H23140" s="21">
        <v>680.67</v>
      </c>
    </row>
    <row r="23141" spans="1:8" customFormat="1" x14ac:dyDescent="0.25">
      <c r="A23141" t="str">
        <f>"1412401"</f>
        <v>1412401</v>
      </c>
      <c r="B23141" t="s">
        <v>18773</v>
      </c>
      <c r="C23141" t="s">
        <v>169</v>
      </c>
      <c r="D23141" s="21" t="s">
        <v>34</v>
      </c>
      <c r="E23141" s="21" t="s">
        <v>35</v>
      </c>
      <c r="F23141">
        <v>9500059</v>
      </c>
      <c r="G23141" t="s">
        <v>26714</v>
      </c>
      <c r="H23141" s="21">
        <v>680.67</v>
      </c>
    </row>
    <row r="23142" spans="1:8" customFormat="1" x14ac:dyDescent="0.25">
      <c r="A23142" t="str">
        <f>"518875"</f>
        <v>518875</v>
      </c>
      <c r="B23142" t="s">
        <v>17923</v>
      </c>
      <c r="C23142" t="s">
        <v>33</v>
      </c>
      <c r="D23142" s="21" t="s">
        <v>34</v>
      </c>
      <c r="E23142" s="21" t="s">
        <v>71</v>
      </c>
      <c r="F23142">
        <v>6510029</v>
      </c>
      <c r="G23142" t="s">
        <v>1879</v>
      </c>
      <c r="H23142" s="21">
        <v>680.67</v>
      </c>
    </row>
    <row r="23143" spans="1:8" customFormat="1" x14ac:dyDescent="0.25">
      <c r="A23143" t="str">
        <f>"7726634"</f>
        <v>7726634</v>
      </c>
      <c r="B23143" t="s">
        <v>14581</v>
      </c>
      <c r="C23143" t="s">
        <v>1675</v>
      </c>
      <c r="D23143" s="21" t="s">
        <v>34</v>
      </c>
      <c r="E23143" s="21" t="s">
        <v>35</v>
      </c>
      <c r="F23143">
        <v>8771508</v>
      </c>
      <c r="G23143" t="s">
        <v>4072</v>
      </c>
      <c r="H23143" s="21">
        <v>680.67</v>
      </c>
    </row>
    <row r="23144" spans="1:8" customFormat="1" x14ac:dyDescent="0.25">
      <c r="A23144" t="str">
        <f>"5950079"</f>
        <v>5950079</v>
      </c>
      <c r="B23144" t="s">
        <v>5748</v>
      </c>
      <c r="C23144" t="s">
        <v>124</v>
      </c>
      <c r="D23144" s="21" t="s">
        <v>34</v>
      </c>
      <c r="E23144" s="21" t="s">
        <v>71</v>
      </c>
      <c r="F23144">
        <v>7590218</v>
      </c>
      <c r="G23144" t="s">
        <v>26769</v>
      </c>
      <c r="H23144" s="21">
        <v>680.67</v>
      </c>
    </row>
    <row r="23145" spans="1:8" customFormat="1" x14ac:dyDescent="0.25">
      <c r="A23145" t="str">
        <f>"5939759"</f>
        <v>5939759</v>
      </c>
      <c r="B23145" t="s">
        <v>18577</v>
      </c>
      <c r="C23145" t="s">
        <v>598</v>
      </c>
      <c r="D23145" s="21" t="s">
        <v>34</v>
      </c>
      <c r="E23145" s="21" t="s">
        <v>71</v>
      </c>
      <c r="F23145">
        <v>7620082</v>
      </c>
      <c r="G23145" t="s">
        <v>4939</v>
      </c>
      <c r="H23145" s="21">
        <v>680.67</v>
      </c>
    </row>
    <row r="23146" spans="1:8" customFormat="1" x14ac:dyDescent="0.25">
      <c r="A23146" t="str">
        <f>"7641556"</f>
        <v>7641556</v>
      </c>
      <c r="B23146" t="s">
        <v>1593</v>
      </c>
      <c r="C23146" t="s">
        <v>812</v>
      </c>
      <c r="D23146" s="21" t="s">
        <v>34</v>
      </c>
      <c r="E23146" s="21" t="s">
        <v>35</v>
      </c>
      <c r="F23146">
        <v>9760039</v>
      </c>
      <c r="G23146" t="s">
        <v>9501</v>
      </c>
      <c r="H23146" s="21">
        <v>680.67</v>
      </c>
    </row>
    <row r="23147" spans="1:8" customFormat="1" x14ac:dyDescent="0.25">
      <c r="A23147" t="str">
        <f>"3515304"</f>
        <v>3515304</v>
      </c>
      <c r="B23147" t="s">
        <v>18511</v>
      </c>
      <c r="C23147" t="s">
        <v>1588</v>
      </c>
      <c r="D23147" s="21" t="s">
        <v>34</v>
      </c>
      <c r="E23147" s="21" t="s">
        <v>254</v>
      </c>
      <c r="F23147">
        <v>3350009</v>
      </c>
      <c r="G23147" t="s">
        <v>1823</v>
      </c>
      <c r="H23147" s="21">
        <v>680.67</v>
      </c>
    </row>
    <row r="23148" spans="1:8" customFormat="1" x14ac:dyDescent="0.25">
      <c r="A23148" t="str">
        <f>"0618009"</f>
        <v>0618009</v>
      </c>
      <c r="B23148" t="s">
        <v>877</v>
      </c>
      <c r="C23148" t="s">
        <v>169</v>
      </c>
      <c r="D23148" s="21" t="s">
        <v>34</v>
      </c>
      <c r="E23148" s="21" t="s">
        <v>35</v>
      </c>
      <c r="F23148">
        <v>13060119</v>
      </c>
      <c r="G23148" t="s">
        <v>6179</v>
      </c>
      <c r="H23148" s="21">
        <v>680.67</v>
      </c>
    </row>
    <row r="23149" spans="1:8" customFormat="1" x14ac:dyDescent="0.25">
      <c r="A23149" t="str">
        <f>"7725547"</f>
        <v>7725547</v>
      </c>
      <c r="B23149" t="s">
        <v>2854</v>
      </c>
      <c r="C23149" t="s">
        <v>1887</v>
      </c>
      <c r="D23149" s="21" t="s">
        <v>34</v>
      </c>
      <c r="E23149" s="21" t="s">
        <v>71</v>
      </c>
      <c r="F23149">
        <v>8771427</v>
      </c>
      <c r="G23149" t="s">
        <v>6564</v>
      </c>
      <c r="H23149" s="21">
        <v>680.67</v>
      </c>
    </row>
    <row r="23150" spans="1:8" customFormat="1" x14ac:dyDescent="0.25">
      <c r="A23150" t="str">
        <f>"9226931"</f>
        <v>9226931</v>
      </c>
      <c r="B23150" t="s">
        <v>17743</v>
      </c>
      <c r="C23150" t="s">
        <v>1104</v>
      </c>
      <c r="D23150" s="21" t="s">
        <v>34</v>
      </c>
      <c r="E23150" s="21" t="s">
        <v>71</v>
      </c>
      <c r="F23150">
        <v>11660019</v>
      </c>
      <c r="G23150" t="s">
        <v>6292</v>
      </c>
      <c r="H23150" s="21">
        <v>680.67</v>
      </c>
    </row>
    <row r="23151" spans="1:8" customFormat="1" x14ac:dyDescent="0.25">
      <c r="A23151" t="str">
        <f>"3826486"</f>
        <v>3826486</v>
      </c>
      <c r="B23151" t="s">
        <v>16961</v>
      </c>
      <c r="C23151" t="s">
        <v>249</v>
      </c>
      <c r="D23151" s="21" t="s">
        <v>34</v>
      </c>
      <c r="E23151" s="21" t="s">
        <v>71</v>
      </c>
      <c r="F23151">
        <v>1380164</v>
      </c>
      <c r="G23151" t="s">
        <v>2728</v>
      </c>
      <c r="H23151" s="21">
        <v>680.67</v>
      </c>
    </row>
    <row r="23152" spans="1:8" customFormat="1" x14ac:dyDescent="0.25">
      <c r="A23152" t="str">
        <f>"411495"</f>
        <v>411495</v>
      </c>
      <c r="B23152" t="s">
        <v>17213</v>
      </c>
      <c r="C23152" t="s">
        <v>822</v>
      </c>
      <c r="D23152" s="21" t="s">
        <v>34</v>
      </c>
      <c r="E23152" s="21" t="s">
        <v>6185</v>
      </c>
      <c r="F23152">
        <v>4410080</v>
      </c>
      <c r="G23152" t="s">
        <v>135</v>
      </c>
      <c r="H23152" s="21">
        <v>680.67</v>
      </c>
    </row>
    <row r="23153" spans="1:8" customFormat="1" x14ac:dyDescent="0.25">
      <c r="A23153" t="str">
        <f>"491332"</f>
        <v>491332</v>
      </c>
      <c r="B23153" t="s">
        <v>4943</v>
      </c>
      <c r="C23153" t="s">
        <v>1054</v>
      </c>
      <c r="D23153" s="21" t="s">
        <v>34</v>
      </c>
      <c r="E23153" s="21" t="s">
        <v>254</v>
      </c>
      <c r="F23153">
        <v>12490061</v>
      </c>
      <c r="G23153" t="s">
        <v>969</v>
      </c>
      <c r="H23153" s="21">
        <v>680.67</v>
      </c>
    </row>
    <row r="23154" spans="1:8" customFormat="1" x14ac:dyDescent="0.25">
      <c r="A23154" t="str">
        <f>"2917095"</f>
        <v>2917095</v>
      </c>
      <c r="B23154" t="s">
        <v>1094</v>
      </c>
      <c r="C23154" t="s">
        <v>236</v>
      </c>
      <c r="D23154" s="21" t="s">
        <v>34</v>
      </c>
      <c r="E23154" s="21" t="s">
        <v>254</v>
      </c>
      <c r="F23154">
        <v>3290081</v>
      </c>
      <c r="G23154" t="s">
        <v>3819</v>
      </c>
      <c r="H23154" s="21">
        <v>680.67</v>
      </c>
    </row>
    <row r="23155" spans="1:8" customFormat="1" x14ac:dyDescent="0.25">
      <c r="A23155" t="str">
        <f>"5614532"</f>
        <v>5614532</v>
      </c>
      <c r="B23155" t="s">
        <v>1751</v>
      </c>
      <c r="C23155" t="s">
        <v>598</v>
      </c>
      <c r="D23155" s="21" t="s">
        <v>34</v>
      </c>
      <c r="E23155" s="21" t="s">
        <v>71</v>
      </c>
      <c r="F23155">
        <v>3560086</v>
      </c>
      <c r="G23155" t="s">
        <v>15139</v>
      </c>
      <c r="H23155" s="21">
        <v>680.67</v>
      </c>
    </row>
    <row r="23156" spans="1:8" customFormat="1" x14ac:dyDescent="0.25">
      <c r="A23156" t="str">
        <f>"7920291"</f>
        <v>7920291</v>
      </c>
      <c r="B23156" t="s">
        <v>6098</v>
      </c>
      <c r="C23156" t="s">
        <v>1887</v>
      </c>
      <c r="D23156" s="21" t="s">
        <v>34</v>
      </c>
      <c r="E23156" s="21" t="s">
        <v>71</v>
      </c>
      <c r="F23156">
        <v>10790071</v>
      </c>
      <c r="G23156" t="s">
        <v>5806</v>
      </c>
      <c r="H23156" s="21">
        <v>680.67</v>
      </c>
    </row>
    <row r="23157" spans="1:8" customFormat="1" x14ac:dyDescent="0.25">
      <c r="A23157" t="str">
        <f>"307628"</f>
        <v>307628</v>
      </c>
      <c r="B23157" t="s">
        <v>11621</v>
      </c>
      <c r="C23157" t="s">
        <v>267</v>
      </c>
      <c r="D23157" s="21" t="s">
        <v>34</v>
      </c>
      <c r="E23157" s="21" t="s">
        <v>71</v>
      </c>
      <c r="F23157">
        <v>11300024</v>
      </c>
      <c r="G23157" t="s">
        <v>11622</v>
      </c>
      <c r="H23157" s="21">
        <v>680.67</v>
      </c>
    </row>
    <row r="23158" spans="1:8" customFormat="1" x14ac:dyDescent="0.25">
      <c r="A23158" t="str">
        <f>"5020344"</f>
        <v>5020344</v>
      </c>
      <c r="B23158" t="s">
        <v>18906</v>
      </c>
      <c r="C23158" t="s">
        <v>171</v>
      </c>
      <c r="D23158" s="21" t="s">
        <v>34</v>
      </c>
      <c r="E23158" s="21" t="s">
        <v>71</v>
      </c>
      <c r="F23158">
        <v>9500063</v>
      </c>
      <c r="G23158" t="s">
        <v>4114</v>
      </c>
      <c r="H23158" s="21">
        <v>680.67</v>
      </c>
    </row>
    <row r="23159" spans="1:8" customFormat="1" x14ac:dyDescent="0.25">
      <c r="A23159" t="str">
        <f>"37922"</f>
        <v>37922</v>
      </c>
      <c r="B23159" t="s">
        <v>17002</v>
      </c>
      <c r="C23159" t="s">
        <v>2479</v>
      </c>
      <c r="D23159" s="21" t="s">
        <v>34</v>
      </c>
      <c r="E23159" s="21" t="s">
        <v>254</v>
      </c>
      <c r="F23159">
        <v>4370349</v>
      </c>
      <c r="G23159" t="s">
        <v>2287</v>
      </c>
      <c r="H23159" s="21">
        <v>680.67</v>
      </c>
    </row>
    <row r="23160" spans="1:8" customFormat="1" x14ac:dyDescent="0.25">
      <c r="A23160" t="str">
        <f>"3528766"</f>
        <v>3528766</v>
      </c>
      <c r="B23160" t="s">
        <v>17585</v>
      </c>
      <c r="C23160" t="s">
        <v>17586</v>
      </c>
      <c r="D23160" s="21" t="s">
        <v>34</v>
      </c>
      <c r="E23160" s="21" t="s">
        <v>71</v>
      </c>
      <c r="F23160">
        <v>6670011</v>
      </c>
      <c r="G23160" t="s">
        <v>5493</v>
      </c>
      <c r="H23160" s="21">
        <v>680.67</v>
      </c>
    </row>
    <row r="23161" spans="1:8" customFormat="1" x14ac:dyDescent="0.25">
      <c r="A23161" t="str">
        <f>"3325237"</f>
        <v>3325237</v>
      </c>
      <c r="B23161" t="s">
        <v>17153</v>
      </c>
      <c r="C23161" t="s">
        <v>124</v>
      </c>
      <c r="D23161" s="21" t="s">
        <v>34</v>
      </c>
      <c r="E23161" s="21" t="s">
        <v>35</v>
      </c>
      <c r="F23161">
        <v>10330052</v>
      </c>
      <c r="G23161" t="s">
        <v>12860</v>
      </c>
      <c r="H23161" s="21">
        <v>680.42</v>
      </c>
    </row>
    <row r="23162" spans="1:8" customFormat="1" x14ac:dyDescent="0.25">
      <c r="A23162" t="str">
        <f>"7849886"</f>
        <v>7849886</v>
      </c>
      <c r="B23162" t="s">
        <v>17848</v>
      </c>
      <c r="C23162" t="s">
        <v>263</v>
      </c>
      <c r="D23162" s="21" t="s">
        <v>34</v>
      </c>
      <c r="E23162" s="21" t="s">
        <v>71</v>
      </c>
      <c r="F23162">
        <v>8780485</v>
      </c>
      <c r="G23162" t="s">
        <v>1279</v>
      </c>
      <c r="H23162" s="21">
        <v>680.29</v>
      </c>
    </row>
    <row r="23163" spans="1:8" customFormat="1" x14ac:dyDescent="0.25">
      <c r="A23163" t="str">
        <f>"4921311"</f>
        <v>4921311</v>
      </c>
      <c r="B23163" t="s">
        <v>11109</v>
      </c>
      <c r="C23163" t="s">
        <v>119</v>
      </c>
      <c r="D23163" s="21" t="s">
        <v>34</v>
      </c>
      <c r="E23163" s="21" t="s">
        <v>35</v>
      </c>
      <c r="F23163">
        <v>12490004</v>
      </c>
      <c r="G23163" t="s">
        <v>6198</v>
      </c>
      <c r="H23163" s="21">
        <v>680.17</v>
      </c>
    </row>
    <row r="23164" spans="1:8" customFormat="1" x14ac:dyDescent="0.25">
      <c r="A23164" t="str">
        <f>"9228092"</f>
        <v>9228092</v>
      </c>
      <c r="B23164" t="s">
        <v>4128</v>
      </c>
      <c r="C23164" t="s">
        <v>87</v>
      </c>
      <c r="D23164" s="21" t="s">
        <v>34</v>
      </c>
      <c r="E23164" s="21" t="s">
        <v>254</v>
      </c>
      <c r="F23164">
        <v>8920075</v>
      </c>
      <c r="G23164" t="s">
        <v>317</v>
      </c>
      <c r="H23164" s="21">
        <v>680.17</v>
      </c>
    </row>
    <row r="23165" spans="1:8" customFormat="1" x14ac:dyDescent="0.25">
      <c r="A23165" t="str">
        <f>"4515957"</f>
        <v>4515957</v>
      </c>
      <c r="B23165" t="s">
        <v>6658</v>
      </c>
      <c r="C23165" t="s">
        <v>528</v>
      </c>
      <c r="D23165" s="21" t="s">
        <v>34</v>
      </c>
      <c r="E23165" s="21" t="s">
        <v>71</v>
      </c>
      <c r="F23165">
        <v>4450192</v>
      </c>
      <c r="G23165" t="s">
        <v>2411</v>
      </c>
      <c r="H23165" s="21">
        <v>680.17</v>
      </c>
    </row>
    <row r="23166" spans="1:8" customFormat="1" x14ac:dyDescent="0.25">
      <c r="A23166" t="str">
        <f>"8512576"</f>
        <v>8512576</v>
      </c>
      <c r="B23166" t="s">
        <v>18499</v>
      </c>
      <c r="C23166" t="s">
        <v>98</v>
      </c>
      <c r="D23166" s="21" t="s">
        <v>34</v>
      </c>
      <c r="E23166" s="21" t="s">
        <v>35</v>
      </c>
      <c r="F23166">
        <v>12850154</v>
      </c>
      <c r="G23166" t="s">
        <v>7078</v>
      </c>
      <c r="H23166" s="21">
        <v>680.17</v>
      </c>
    </row>
    <row r="23167" spans="1:8" customFormat="1" x14ac:dyDescent="0.25">
      <c r="A23167" t="str">
        <f>"0617392"</f>
        <v>0617392</v>
      </c>
      <c r="B23167" t="s">
        <v>20950</v>
      </c>
      <c r="C23167" t="s">
        <v>249</v>
      </c>
      <c r="D23167" s="21" t="s">
        <v>34</v>
      </c>
      <c r="E23167" s="21" t="s">
        <v>71</v>
      </c>
      <c r="F23167">
        <v>13130162</v>
      </c>
      <c r="G23167" t="s">
        <v>13411</v>
      </c>
      <c r="H23167" s="21">
        <v>680.17</v>
      </c>
    </row>
    <row r="23168" spans="1:8" customFormat="1" x14ac:dyDescent="0.25">
      <c r="A23168" t="str">
        <f>"5912499"</f>
        <v>5912499</v>
      </c>
      <c r="B23168" t="s">
        <v>18650</v>
      </c>
      <c r="C23168" t="s">
        <v>576</v>
      </c>
      <c r="D23168" s="21" t="s">
        <v>34</v>
      </c>
      <c r="E23168" s="21" t="s">
        <v>35</v>
      </c>
      <c r="F23168">
        <v>7590113</v>
      </c>
      <c r="G23168" t="s">
        <v>7808</v>
      </c>
      <c r="H23168" s="21">
        <v>680.17</v>
      </c>
    </row>
    <row r="23169" spans="1:8" customFormat="1" x14ac:dyDescent="0.25">
      <c r="A23169" t="str">
        <f>"621459"</f>
        <v>621459</v>
      </c>
      <c r="B23169" t="s">
        <v>16190</v>
      </c>
      <c r="C23169" t="s">
        <v>1132</v>
      </c>
      <c r="D23169" s="21" t="s">
        <v>34</v>
      </c>
      <c r="E23169" s="21" t="s">
        <v>254</v>
      </c>
      <c r="F23169">
        <v>7620112</v>
      </c>
      <c r="G23169" t="s">
        <v>5663</v>
      </c>
      <c r="H23169" s="21">
        <v>680.17</v>
      </c>
    </row>
    <row r="23170" spans="1:8" customFormat="1" x14ac:dyDescent="0.25">
      <c r="A23170" t="str">
        <f>"1417764"</f>
        <v>1417764</v>
      </c>
      <c r="B23170" t="s">
        <v>16052</v>
      </c>
      <c r="C23170" t="s">
        <v>5861</v>
      </c>
      <c r="D23170" s="21" t="s">
        <v>34</v>
      </c>
      <c r="E23170" s="21" t="s">
        <v>254</v>
      </c>
      <c r="F23170">
        <v>9140128</v>
      </c>
      <c r="G23170" t="s">
        <v>2798</v>
      </c>
      <c r="H23170" s="21">
        <v>680.17</v>
      </c>
    </row>
    <row r="23171" spans="1:8" customFormat="1" x14ac:dyDescent="0.25">
      <c r="A23171" t="str">
        <f>"4445045"</f>
        <v>4445045</v>
      </c>
      <c r="B23171" t="s">
        <v>2398</v>
      </c>
      <c r="C23171" t="s">
        <v>33</v>
      </c>
      <c r="D23171" s="21" t="s">
        <v>34</v>
      </c>
      <c r="E23171" s="21" t="s">
        <v>71</v>
      </c>
      <c r="F23171">
        <v>12440197</v>
      </c>
      <c r="G23171" t="s">
        <v>1101</v>
      </c>
      <c r="H23171" s="21">
        <v>680.17</v>
      </c>
    </row>
    <row r="23172" spans="1:8" customFormat="1" x14ac:dyDescent="0.25">
      <c r="A23172" t="str">
        <f>"7641792"</f>
        <v>7641792</v>
      </c>
      <c r="B23172" t="s">
        <v>27723</v>
      </c>
      <c r="C23172" t="s">
        <v>484</v>
      </c>
      <c r="D23172" s="21" t="s">
        <v>34</v>
      </c>
      <c r="E23172" s="21" t="s">
        <v>35</v>
      </c>
      <c r="F23172">
        <v>9760425</v>
      </c>
      <c r="G23172" t="s">
        <v>5012</v>
      </c>
      <c r="H23172" s="21">
        <v>680.17</v>
      </c>
    </row>
    <row r="23173" spans="1:8" customFormat="1" x14ac:dyDescent="0.25">
      <c r="A23173" t="str">
        <f>"4514209"</f>
        <v>4514209</v>
      </c>
      <c r="B23173" t="s">
        <v>5705</v>
      </c>
      <c r="C23173" t="s">
        <v>204</v>
      </c>
      <c r="D23173" s="21" t="s">
        <v>34</v>
      </c>
      <c r="E23173" s="21" t="s">
        <v>35</v>
      </c>
      <c r="F23173">
        <v>4450617</v>
      </c>
      <c r="G23173" t="s">
        <v>4708</v>
      </c>
      <c r="H23173" s="21">
        <v>680.17</v>
      </c>
    </row>
    <row r="23174" spans="1:8" customFormat="1" x14ac:dyDescent="0.25">
      <c r="A23174" t="str">
        <f>"809246"</f>
        <v>809246</v>
      </c>
      <c r="B23174" t="s">
        <v>2218</v>
      </c>
      <c r="C23174" t="s">
        <v>2100</v>
      </c>
      <c r="D23174" s="21" t="s">
        <v>34</v>
      </c>
      <c r="E23174" s="21" t="s">
        <v>35</v>
      </c>
      <c r="F23174">
        <v>7800139</v>
      </c>
      <c r="G23174" t="s">
        <v>6694</v>
      </c>
      <c r="H23174" s="21">
        <v>680.17</v>
      </c>
    </row>
    <row r="23175" spans="1:8" customFormat="1" x14ac:dyDescent="0.25">
      <c r="A23175" t="str">
        <f>"5619249"</f>
        <v>5619249</v>
      </c>
      <c r="B23175" t="s">
        <v>20326</v>
      </c>
      <c r="C23175" t="s">
        <v>263</v>
      </c>
      <c r="D23175" s="21" t="s">
        <v>34</v>
      </c>
      <c r="E23175" s="21" t="s">
        <v>71</v>
      </c>
      <c r="F23175">
        <v>3560086</v>
      </c>
      <c r="G23175" t="s">
        <v>15139</v>
      </c>
      <c r="H23175" s="21">
        <v>680.17</v>
      </c>
    </row>
    <row r="23176" spans="1:8" customFormat="1" x14ac:dyDescent="0.25">
      <c r="A23176" t="str">
        <f>"351028"</f>
        <v>351028</v>
      </c>
      <c r="B23176" t="s">
        <v>9094</v>
      </c>
      <c r="C23176" t="s">
        <v>2305</v>
      </c>
      <c r="D23176" s="21" t="s">
        <v>34</v>
      </c>
      <c r="E23176" s="21" t="s">
        <v>1089</v>
      </c>
      <c r="F23176">
        <v>3350041</v>
      </c>
      <c r="G23176" t="s">
        <v>1589</v>
      </c>
      <c r="H23176" s="21">
        <v>680.17</v>
      </c>
    </row>
    <row r="23177" spans="1:8" customFormat="1" x14ac:dyDescent="0.25">
      <c r="A23177" t="str">
        <f>"3716295"</f>
        <v>3716295</v>
      </c>
      <c r="B23177" t="s">
        <v>17858</v>
      </c>
      <c r="C23177" t="s">
        <v>253</v>
      </c>
      <c r="D23177" s="21" t="s">
        <v>34</v>
      </c>
      <c r="E23177" s="21" t="s">
        <v>254</v>
      </c>
      <c r="F23177">
        <v>4370102</v>
      </c>
      <c r="G23177" t="s">
        <v>10707</v>
      </c>
      <c r="H23177" s="21">
        <v>680.17</v>
      </c>
    </row>
    <row r="23178" spans="1:8" customFormat="1" x14ac:dyDescent="0.25">
      <c r="A23178" t="str">
        <f>"5617034"</f>
        <v>5617034</v>
      </c>
      <c r="B23178" t="s">
        <v>7695</v>
      </c>
      <c r="C23178" t="s">
        <v>267</v>
      </c>
      <c r="D23178" s="21" t="s">
        <v>34</v>
      </c>
      <c r="E23178" s="21" t="s">
        <v>1089</v>
      </c>
      <c r="F23178">
        <v>3560033</v>
      </c>
      <c r="G23178" t="s">
        <v>4927</v>
      </c>
      <c r="H23178" s="21">
        <v>680.17</v>
      </c>
    </row>
    <row r="23179" spans="1:8" customFormat="1" x14ac:dyDescent="0.25">
      <c r="A23179" t="str">
        <f>"796667"</f>
        <v>796667</v>
      </c>
      <c r="B23179" t="s">
        <v>17646</v>
      </c>
      <c r="C23179" t="s">
        <v>415</v>
      </c>
      <c r="D23179" s="21" t="s">
        <v>34</v>
      </c>
      <c r="E23179" s="21" t="s">
        <v>254</v>
      </c>
      <c r="F23179">
        <v>10790043</v>
      </c>
      <c r="G23179" t="s">
        <v>2828</v>
      </c>
      <c r="H23179" s="21">
        <v>679.92</v>
      </c>
    </row>
    <row r="23180" spans="1:8" customFormat="1" x14ac:dyDescent="0.25">
      <c r="A23180" t="str">
        <f>"7638486"</f>
        <v>7638486</v>
      </c>
      <c r="B23180" t="s">
        <v>11385</v>
      </c>
      <c r="C23180" t="s">
        <v>239</v>
      </c>
      <c r="D23180" s="21" t="s">
        <v>34</v>
      </c>
      <c r="E23180" s="21" t="s">
        <v>71</v>
      </c>
      <c r="F23180">
        <v>9760270</v>
      </c>
      <c r="G23180" t="s">
        <v>4167</v>
      </c>
      <c r="H23180" s="21">
        <v>679.67</v>
      </c>
    </row>
    <row r="23181" spans="1:8" customFormat="1" x14ac:dyDescent="0.25">
      <c r="A23181" t="str">
        <f>"3534159"</f>
        <v>3534159</v>
      </c>
      <c r="B23181" t="s">
        <v>1301</v>
      </c>
      <c r="C23181" t="s">
        <v>33</v>
      </c>
      <c r="D23181" s="21" t="s">
        <v>34</v>
      </c>
      <c r="E23181" s="21" t="s">
        <v>71</v>
      </c>
      <c r="F23181">
        <v>3350054</v>
      </c>
      <c r="G23181" t="s">
        <v>13881</v>
      </c>
      <c r="H23181" s="21">
        <v>679.67</v>
      </c>
    </row>
    <row r="23182" spans="1:8" customFormat="1" x14ac:dyDescent="0.25">
      <c r="A23182" t="str">
        <f>"7217909"</f>
        <v>7217909</v>
      </c>
      <c r="B23182" t="s">
        <v>17919</v>
      </c>
      <c r="C23182" t="s">
        <v>253</v>
      </c>
      <c r="D23182" s="21" t="s">
        <v>34</v>
      </c>
      <c r="E23182" s="21" t="s">
        <v>35</v>
      </c>
      <c r="F23182">
        <v>12720029</v>
      </c>
      <c r="G23182" t="s">
        <v>11575</v>
      </c>
      <c r="H23182" s="21">
        <v>679.67</v>
      </c>
    </row>
    <row r="23183" spans="1:8" customFormat="1" x14ac:dyDescent="0.25">
      <c r="A23183" t="str">
        <f>"10626"</f>
        <v>10626</v>
      </c>
      <c r="B23183" t="s">
        <v>17215</v>
      </c>
      <c r="C23183" t="s">
        <v>1132</v>
      </c>
      <c r="D23183" s="21" t="s">
        <v>34</v>
      </c>
      <c r="E23183" s="21" t="s">
        <v>254</v>
      </c>
      <c r="F23183">
        <v>6100007</v>
      </c>
      <c r="G23183" t="s">
        <v>9706</v>
      </c>
      <c r="H23183" s="21">
        <v>679.67</v>
      </c>
    </row>
    <row r="23184" spans="1:8" customFormat="1" x14ac:dyDescent="0.25">
      <c r="A23184" t="str">
        <f>"4217498"</f>
        <v>4217498</v>
      </c>
      <c r="B23184" t="s">
        <v>17297</v>
      </c>
      <c r="C23184" t="s">
        <v>598</v>
      </c>
      <c r="D23184" s="21" t="s">
        <v>34</v>
      </c>
      <c r="E23184" s="21" t="s">
        <v>71</v>
      </c>
      <c r="F23184">
        <v>1420163</v>
      </c>
      <c r="G23184" t="s">
        <v>2424</v>
      </c>
      <c r="H23184" s="21">
        <v>679.67</v>
      </c>
    </row>
    <row r="23185" spans="1:8" customFormat="1" x14ac:dyDescent="0.25">
      <c r="A23185" t="str">
        <f>"6717010"</f>
        <v>6717010</v>
      </c>
      <c r="B23185" t="s">
        <v>10193</v>
      </c>
      <c r="C23185" t="s">
        <v>144</v>
      </c>
      <c r="D23185" s="21" t="s">
        <v>34</v>
      </c>
      <c r="E23185" s="21" t="s">
        <v>254</v>
      </c>
      <c r="F23185">
        <v>6670072</v>
      </c>
      <c r="G23185" t="s">
        <v>4154</v>
      </c>
      <c r="H23185" s="21">
        <v>679.67</v>
      </c>
    </row>
    <row r="23186" spans="1:8" customFormat="1" x14ac:dyDescent="0.25">
      <c r="A23186" t="str">
        <f>"5318780"</f>
        <v>5318780</v>
      </c>
      <c r="B23186" t="s">
        <v>16939</v>
      </c>
      <c r="C23186" t="s">
        <v>139</v>
      </c>
      <c r="D23186" s="21" t="s">
        <v>34</v>
      </c>
      <c r="E23186" s="21" t="s">
        <v>35</v>
      </c>
      <c r="F23186">
        <v>12538899</v>
      </c>
      <c r="G23186" t="s">
        <v>10436</v>
      </c>
      <c r="H23186" s="21">
        <v>679.67</v>
      </c>
    </row>
    <row r="23187" spans="1:8" customFormat="1" x14ac:dyDescent="0.25">
      <c r="A23187" t="str">
        <f>"942818"</f>
        <v>942818</v>
      </c>
      <c r="B23187" t="s">
        <v>17481</v>
      </c>
      <c r="C23187" t="s">
        <v>453</v>
      </c>
      <c r="D23187" s="21" t="s">
        <v>34</v>
      </c>
      <c r="E23187" s="21" t="s">
        <v>1089</v>
      </c>
      <c r="F23187">
        <v>8940326</v>
      </c>
      <c r="G23187" t="s">
        <v>659</v>
      </c>
      <c r="H23187" s="21">
        <v>679.67</v>
      </c>
    </row>
    <row r="23188" spans="1:8" customFormat="1" x14ac:dyDescent="0.25">
      <c r="A23188" t="str">
        <f>"6217309"</f>
        <v>6217309</v>
      </c>
      <c r="B23188" t="s">
        <v>18040</v>
      </c>
      <c r="C23188" t="s">
        <v>109</v>
      </c>
      <c r="D23188" s="21" t="s">
        <v>34</v>
      </c>
      <c r="E23188" s="21" t="s">
        <v>71</v>
      </c>
      <c r="F23188">
        <v>7620082</v>
      </c>
      <c r="G23188" t="s">
        <v>4939</v>
      </c>
      <c r="H23188" s="21">
        <v>679.67</v>
      </c>
    </row>
    <row r="23189" spans="1:8" customFormat="1" x14ac:dyDescent="0.25">
      <c r="A23189" t="str">
        <f>"621064"</f>
        <v>621064</v>
      </c>
      <c r="B23189" t="s">
        <v>9076</v>
      </c>
      <c r="C23189" t="s">
        <v>1110</v>
      </c>
      <c r="D23189" s="21" t="s">
        <v>34</v>
      </c>
      <c r="E23189" s="21" t="s">
        <v>1089</v>
      </c>
      <c r="F23189">
        <v>7620028</v>
      </c>
      <c r="G23189" t="s">
        <v>7217</v>
      </c>
      <c r="H23189" s="21">
        <v>679.67</v>
      </c>
    </row>
    <row r="23190" spans="1:8" customFormat="1" x14ac:dyDescent="0.25">
      <c r="A23190" t="str">
        <f>"7911822"</f>
        <v>7911822</v>
      </c>
      <c r="B23190" t="s">
        <v>11376</v>
      </c>
      <c r="C23190" t="s">
        <v>598</v>
      </c>
      <c r="D23190" s="21" t="s">
        <v>34</v>
      </c>
      <c r="E23190" s="21" t="s">
        <v>71</v>
      </c>
      <c r="F23190">
        <v>10790162</v>
      </c>
      <c r="G23190" t="s">
        <v>6039</v>
      </c>
      <c r="H23190" s="21">
        <v>679.67</v>
      </c>
    </row>
    <row r="23191" spans="1:8" customFormat="1" x14ac:dyDescent="0.25">
      <c r="A23191" t="str">
        <f>"592749"</f>
        <v>592749</v>
      </c>
      <c r="B23191" t="s">
        <v>15566</v>
      </c>
      <c r="C23191" t="s">
        <v>253</v>
      </c>
      <c r="D23191" s="21" t="s">
        <v>34</v>
      </c>
      <c r="E23191" s="21" t="s">
        <v>254</v>
      </c>
      <c r="F23191">
        <v>7590164</v>
      </c>
      <c r="G23191" t="s">
        <v>2451</v>
      </c>
      <c r="H23191" s="21">
        <v>679.67</v>
      </c>
    </row>
    <row r="23192" spans="1:8" customFormat="1" x14ac:dyDescent="0.25">
      <c r="A23192" t="str">
        <f>"579302"</f>
        <v>579302</v>
      </c>
      <c r="B23192" t="s">
        <v>18326</v>
      </c>
      <c r="C23192" t="s">
        <v>2305</v>
      </c>
      <c r="D23192" s="21" t="s">
        <v>34</v>
      </c>
      <c r="E23192" s="21" t="s">
        <v>254</v>
      </c>
      <c r="F23192">
        <v>6570093</v>
      </c>
      <c r="G23192" t="s">
        <v>6118</v>
      </c>
      <c r="H23192" s="21">
        <v>679.67</v>
      </c>
    </row>
    <row r="23193" spans="1:8" customFormat="1" x14ac:dyDescent="0.25">
      <c r="A23193" t="str">
        <f>"594746"</f>
        <v>594746</v>
      </c>
      <c r="B23193" t="s">
        <v>15447</v>
      </c>
      <c r="C23193" t="s">
        <v>1832</v>
      </c>
      <c r="D23193" s="21" t="s">
        <v>34</v>
      </c>
      <c r="E23193" s="21" t="s">
        <v>1089</v>
      </c>
      <c r="F23193">
        <v>7590100</v>
      </c>
      <c r="G23193" t="s">
        <v>1660</v>
      </c>
      <c r="H23193" s="21">
        <v>679.67</v>
      </c>
    </row>
    <row r="23194" spans="1:8" customFormat="1" x14ac:dyDescent="0.25">
      <c r="A23194" t="str">
        <f>"9313545"</f>
        <v>9313545</v>
      </c>
      <c r="B23194" t="s">
        <v>27724</v>
      </c>
      <c r="C23194" t="s">
        <v>507</v>
      </c>
      <c r="D23194" s="21" t="s">
        <v>34</v>
      </c>
      <c r="E23194" s="21" t="s">
        <v>35</v>
      </c>
      <c r="F23194">
        <v>8930024</v>
      </c>
      <c r="G23194" t="s">
        <v>44</v>
      </c>
      <c r="H23194" s="21">
        <v>679.67</v>
      </c>
    </row>
    <row r="23195" spans="1:8" customFormat="1" x14ac:dyDescent="0.25">
      <c r="A23195" t="str">
        <f>"432717"</f>
        <v>432717</v>
      </c>
      <c r="B23195" t="s">
        <v>17967</v>
      </c>
      <c r="C23195" t="s">
        <v>1588</v>
      </c>
      <c r="D23195" s="21" t="s">
        <v>34</v>
      </c>
      <c r="E23195" s="21" t="s">
        <v>1089</v>
      </c>
      <c r="F23195">
        <v>1420240</v>
      </c>
      <c r="G23195" t="s">
        <v>9179</v>
      </c>
      <c r="H23195" s="21">
        <v>679.67</v>
      </c>
    </row>
    <row r="23196" spans="1:8" customFormat="1" x14ac:dyDescent="0.25">
      <c r="A23196" t="str">
        <f>"8096"</f>
        <v>8096</v>
      </c>
      <c r="B23196" t="s">
        <v>16736</v>
      </c>
      <c r="C23196" t="s">
        <v>253</v>
      </c>
      <c r="D23196" s="21" t="s">
        <v>34</v>
      </c>
      <c r="E23196" s="21" t="s">
        <v>1089</v>
      </c>
      <c r="F23196">
        <v>7800001</v>
      </c>
      <c r="G23196" t="s">
        <v>176</v>
      </c>
      <c r="H23196" s="21">
        <v>679.67</v>
      </c>
    </row>
    <row r="23197" spans="1:8" customFormat="1" x14ac:dyDescent="0.25">
      <c r="A23197" t="str">
        <f>"61480"</f>
        <v>61480</v>
      </c>
      <c r="B23197" t="s">
        <v>14669</v>
      </c>
      <c r="C23197" t="s">
        <v>1110</v>
      </c>
      <c r="D23197" s="21" t="s">
        <v>34</v>
      </c>
      <c r="E23197" s="21" t="s">
        <v>254</v>
      </c>
      <c r="F23197">
        <v>9610034</v>
      </c>
      <c r="G23197" t="s">
        <v>11021</v>
      </c>
      <c r="H23197" s="21">
        <v>679.67</v>
      </c>
    </row>
    <row r="23198" spans="1:8" customFormat="1" x14ac:dyDescent="0.25">
      <c r="A23198" t="str">
        <f>"2921847"</f>
        <v>2921847</v>
      </c>
      <c r="B23198" t="s">
        <v>18242</v>
      </c>
      <c r="C23198" t="s">
        <v>198</v>
      </c>
      <c r="D23198" s="21" t="s">
        <v>34</v>
      </c>
      <c r="E23198" s="21" t="s">
        <v>71</v>
      </c>
      <c r="F23198">
        <v>3290278</v>
      </c>
      <c r="G23198" t="s">
        <v>3649</v>
      </c>
      <c r="H23198" s="21">
        <v>679.67</v>
      </c>
    </row>
    <row r="23199" spans="1:8" customFormat="1" x14ac:dyDescent="0.25">
      <c r="A23199" t="str">
        <f>"7222225"</f>
        <v>7222225</v>
      </c>
      <c r="B23199" t="s">
        <v>2644</v>
      </c>
      <c r="C23199" t="s">
        <v>49</v>
      </c>
      <c r="D23199" s="21" t="s">
        <v>34</v>
      </c>
      <c r="E23199" s="21" t="s">
        <v>35</v>
      </c>
      <c r="F23199">
        <v>12720127</v>
      </c>
      <c r="G23199" t="s">
        <v>6528</v>
      </c>
      <c r="H23199" s="21">
        <v>679.67</v>
      </c>
    </row>
    <row r="23200" spans="1:8" customFormat="1" x14ac:dyDescent="0.25">
      <c r="A23200" t="str">
        <f>"4434747"</f>
        <v>4434747</v>
      </c>
      <c r="B23200" t="s">
        <v>7152</v>
      </c>
      <c r="C23200" t="s">
        <v>1605</v>
      </c>
      <c r="D23200" s="21" t="s">
        <v>34</v>
      </c>
      <c r="E23200" s="21" t="s">
        <v>254</v>
      </c>
      <c r="F23200">
        <v>12440197</v>
      </c>
      <c r="G23200" t="s">
        <v>1101</v>
      </c>
      <c r="H23200" s="21">
        <v>679.67</v>
      </c>
    </row>
    <row r="23201" spans="1:8" customFormat="1" x14ac:dyDescent="0.25">
      <c r="A23201" t="str">
        <f>"7714066"</f>
        <v>7714066</v>
      </c>
      <c r="B23201" t="s">
        <v>17340</v>
      </c>
      <c r="C23201" t="s">
        <v>305</v>
      </c>
      <c r="D23201" s="21" t="s">
        <v>34</v>
      </c>
      <c r="E23201" s="21" t="s">
        <v>35</v>
      </c>
      <c r="F23201">
        <v>8771304</v>
      </c>
      <c r="G23201" t="s">
        <v>5314</v>
      </c>
      <c r="H23201" s="21">
        <v>679.67</v>
      </c>
    </row>
    <row r="23202" spans="1:8" customFormat="1" x14ac:dyDescent="0.25">
      <c r="A23202" t="str">
        <f>"14121"</f>
        <v>14121</v>
      </c>
      <c r="B23202" t="s">
        <v>15724</v>
      </c>
      <c r="C23202" t="s">
        <v>2520</v>
      </c>
      <c r="D23202" s="21" t="s">
        <v>34</v>
      </c>
      <c r="E23202" s="21" t="s">
        <v>254</v>
      </c>
      <c r="F23202">
        <v>9140023</v>
      </c>
      <c r="G23202" t="s">
        <v>2318</v>
      </c>
      <c r="H23202" s="21">
        <v>679.54</v>
      </c>
    </row>
    <row r="23203" spans="1:8" customFormat="1" x14ac:dyDescent="0.25">
      <c r="A23203" t="str">
        <f>"9129488"</f>
        <v>9129488</v>
      </c>
      <c r="B23203" t="s">
        <v>108</v>
      </c>
      <c r="C23203" t="s">
        <v>462</v>
      </c>
      <c r="D23203" s="21" t="s">
        <v>34</v>
      </c>
      <c r="E23203" s="21" t="s">
        <v>71</v>
      </c>
      <c r="F23203">
        <v>8910077</v>
      </c>
      <c r="G23203" t="s">
        <v>1380</v>
      </c>
      <c r="H23203" s="21">
        <v>679.42</v>
      </c>
    </row>
    <row r="23204" spans="1:8" customFormat="1" x14ac:dyDescent="0.25">
      <c r="A23204" t="str">
        <f>"6724125"</f>
        <v>6724125</v>
      </c>
      <c r="B23204" t="s">
        <v>19420</v>
      </c>
      <c r="C23204" t="s">
        <v>19421</v>
      </c>
      <c r="D23204" s="21" t="s">
        <v>34</v>
      </c>
      <c r="E23204" s="21" t="s">
        <v>35</v>
      </c>
      <c r="F23204">
        <v>6670141</v>
      </c>
      <c r="G23204" t="s">
        <v>5030</v>
      </c>
      <c r="H23204" s="21">
        <v>679.42</v>
      </c>
    </row>
    <row r="23205" spans="1:8" customFormat="1" x14ac:dyDescent="0.25">
      <c r="A23205" t="str">
        <f>"2926920"</f>
        <v>2926920</v>
      </c>
      <c r="B23205" t="s">
        <v>17140</v>
      </c>
      <c r="C23205" t="s">
        <v>269</v>
      </c>
      <c r="D23205" s="21" t="s">
        <v>34</v>
      </c>
      <c r="E23205" s="21" t="s">
        <v>71</v>
      </c>
      <c r="F23205">
        <v>3290029</v>
      </c>
      <c r="G23205" t="s">
        <v>11486</v>
      </c>
      <c r="H23205" s="21">
        <v>679.42</v>
      </c>
    </row>
    <row r="23206" spans="1:8" customFormat="1" x14ac:dyDescent="0.25">
      <c r="A23206" t="str">
        <f>"2936030"</f>
        <v>2936030</v>
      </c>
      <c r="B23206" t="s">
        <v>2317</v>
      </c>
      <c r="C23206" t="s">
        <v>269</v>
      </c>
      <c r="D23206" s="21" t="s">
        <v>34</v>
      </c>
      <c r="E23206" s="21" t="s">
        <v>35</v>
      </c>
      <c r="F23206">
        <v>3290263</v>
      </c>
      <c r="G23206" t="s">
        <v>4108</v>
      </c>
      <c r="H23206" s="21">
        <v>679.42</v>
      </c>
    </row>
    <row r="23207" spans="1:8" customFormat="1" x14ac:dyDescent="0.25">
      <c r="A23207" t="str">
        <f>"5326916"</f>
        <v>5326916</v>
      </c>
      <c r="B23207" t="s">
        <v>13761</v>
      </c>
      <c r="C23207" t="s">
        <v>82</v>
      </c>
      <c r="D23207" s="21" t="s">
        <v>34</v>
      </c>
      <c r="E23207" s="21" t="s">
        <v>35</v>
      </c>
      <c r="F23207">
        <v>12530087</v>
      </c>
      <c r="G23207" t="s">
        <v>3860</v>
      </c>
      <c r="H23207" s="21">
        <v>679.42</v>
      </c>
    </row>
    <row r="23208" spans="1:8" customFormat="1" x14ac:dyDescent="0.25">
      <c r="A23208" t="str">
        <f>"6221104"</f>
        <v>6221104</v>
      </c>
      <c r="B23208" t="s">
        <v>4107</v>
      </c>
      <c r="C23208" t="s">
        <v>171</v>
      </c>
      <c r="D23208" s="21" t="s">
        <v>34</v>
      </c>
      <c r="E23208" s="21" t="s">
        <v>35</v>
      </c>
      <c r="F23208">
        <v>7620065</v>
      </c>
      <c r="G23208" t="s">
        <v>6550</v>
      </c>
      <c r="H23208" s="21">
        <v>679.17</v>
      </c>
    </row>
    <row r="23209" spans="1:8" customFormat="1" x14ac:dyDescent="0.25">
      <c r="A23209" t="str">
        <f>"50478"</f>
        <v>50478</v>
      </c>
      <c r="B23209" t="s">
        <v>6874</v>
      </c>
      <c r="C23209" t="s">
        <v>1705</v>
      </c>
      <c r="D23209" s="21" t="s">
        <v>34</v>
      </c>
      <c r="E23209" s="21" t="s">
        <v>254</v>
      </c>
      <c r="F23209">
        <v>9500163</v>
      </c>
      <c r="G23209" t="s">
        <v>2750</v>
      </c>
      <c r="H23209" s="21">
        <v>679.17</v>
      </c>
    </row>
    <row r="23210" spans="1:8" customFormat="1" x14ac:dyDescent="0.25">
      <c r="A23210" t="str">
        <f>"5947816"</f>
        <v>5947816</v>
      </c>
      <c r="B23210" t="s">
        <v>18751</v>
      </c>
      <c r="C23210" t="s">
        <v>1132</v>
      </c>
      <c r="D23210" s="21" t="s">
        <v>34</v>
      </c>
      <c r="E23210" s="21" t="s">
        <v>71</v>
      </c>
      <c r="F23210">
        <v>7590137</v>
      </c>
      <c r="G23210" t="s">
        <v>4246</v>
      </c>
      <c r="H23210" s="21">
        <v>679.17</v>
      </c>
    </row>
    <row r="23211" spans="1:8" customFormat="1" x14ac:dyDescent="0.25">
      <c r="A23211" t="str">
        <f>"888119"</f>
        <v>888119</v>
      </c>
      <c r="B23211" t="s">
        <v>16548</v>
      </c>
      <c r="C23211" t="s">
        <v>3073</v>
      </c>
      <c r="D23211" s="21" t="s">
        <v>34</v>
      </c>
      <c r="E23211" s="21" t="s">
        <v>71</v>
      </c>
      <c r="F23211">
        <v>6880143</v>
      </c>
      <c r="G23211" t="s">
        <v>8078</v>
      </c>
      <c r="H23211" s="21">
        <v>679.17</v>
      </c>
    </row>
    <row r="23212" spans="1:8" customFormat="1" x14ac:dyDescent="0.25">
      <c r="A23212" t="str">
        <f>"6217291"</f>
        <v>6217291</v>
      </c>
      <c r="B23212" t="s">
        <v>9854</v>
      </c>
      <c r="C23212" t="s">
        <v>109</v>
      </c>
      <c r="D23212" s="21" t="s">
        <v>34</v>
      </c>
      <c r="E23212" s="21" t="s">
        <v>71</v>
      </c>
      <c r="F23212">
        <v>7620005</v>
      </c>
      <c r="G23212" t="s">
        <v>200</v>
      </c>
      <c r="H23212" s="21">
        <v>679.17</v>
      </c>
    </row>
    <row r="23213" spans="1:8" customFormat="1" x14ac:dyDescent="0.25">
      <c r="A23213" t="str">
        <f>"217254"</f>
        <v>217254</v>
      </c>
      <c r="B23213" t="s">
        <v>9673</v>
      </c>
      <c r="C23213" t="s">
        <v>65</v>
      </c>
      <c r="D23213" s="21" t="s">
        <v>34</v>
      </c>
      <c r="E23213" s="21" t="s">
        <v>35</v>
      </c>
      <c r="F23213">
        <v>2210059</v>
      </c>
      <c r="G23213" t="s">
        <v>3142</v>
      </c>
      <c r="H23213" s="21">
        <v>679.17</v>
      </c>
    </row>
    <row r="23214" spans="1:8" customFormat="1" x14ac:dyDescent="0.25">
      <c r="A23214" t="str">
        <f>"3342263"</f>
        <v>3342263</v>
      </c>
      <c r="B23214" t="s">
        <v>4723</v>
      </c>
      <c r="C23214" t="s">
        <v>3497</v>
      </c>
      <c r="D23214" s="21" t="s">
        <v>34</v>
      </c>
      <c r="E23214" s="21" t="s">
        <v>35</v>
      </c>
      <c r="F23214">
        <v>10330010</v>
      </c>
      <c r="G23214" t="s">
        <v>2831</v>
      </c>
      <c r="H23214" s="21">
        <v>679.17</v>
      </c>
    </row>
    <row r="23215" spans="1:8" customFormat="1" x14ac:dyDescent="0.25">
      <c r="A23215" t="str">
        <f>"2912634"</f>
        <v>2912634</v>
      </c>
      <c r="B23215" t="s">
        <v>16986</v>
      </c>
      <c r="C23215" t="s">
        <v>124</v>
      </c>
      <c r="D23215" s="21" t="s">
        <v>34</v>
      </c>
      <c r="E23215" s="21" t="s">
        <v>254</v>
      </c>
      <c r="F23215">
        <v>3290268</v>
      </c>
      <c r="G23215" t="s">
        <v>9878</v>
      </c>
      <c r="H23215" s="21">
        <v>679.17</v>
      </c>
    </row>
    <row r="23216" spans="1:8" customFormat="1" x14ac:dyDescent="0.25">
      <c r="A23216" t="str">
        <f>"2927636"</f>
        <v>2927636</v>
      </c>
      <c r="B23216" t="s">
        <v>13647</v>
      </c>
      <c r="C23216" t="s">
        <v>547</v>
      </c>
      <c r="D23216" s="21" t="s">
        <v>34</v>
      </c>
      <c r="E23216" s="21" t="s">
        <v>254</v>
      </c>
      <c r="F23216">
        <v>3290029</v>
      </c>
      <c r="G23216" t="s">
        <v>11486</v>
      </c>
      <c r="H23216" s="21">
        <v>679.17</v>
      </c>
    </row>
    <row r="23217" spans="1:8" customFormat="1" x14ac:dyDescent="0.25">
      <c r="A23217" t="str">
        <f>"244810"</f>
        <v>244810</v>
      </c>
      <c r="B23217" t="s">
        <v>18039</v>
      </c>
      <c r="C23217" t="s">
        <v>114</v>
      </c>
      <c r="D23217" s="21" t="s">
        <v>34</v>
      </c>
      <c r="E23217" s="21" t="s">
        <v>71</v>
      </c>
      <c r="F23217">
        <v>10240003</v>
      </c>
      <c r="G23217" t="s">
        <v>2940</v>
      </c>
      <c r="H23217" s="21">
        <v>679.17</v>
      </c>
    </row>
    <row r="23218" spans="1:8" customFormat="1" x14ac:dyDescent="0.25">
      <c r="A23218" t="str">
        <f>"9528471"</f>
        <v>9528471</v>
      </c>
      <c r="B23218" t="s">
        <v>18339</v>
      </c>
      <c r="C23218" t="s">
        <v>249</v>
      </c>
      <c r="D23218" s="21" t="s">
        <v>34</v>
      </c>
      <c r="E23218" s="21" t="s">
        <v>71</v>
      </c>
      <c r="F23218">
        <v>8951411</v>
      </c>
      <c r="G23218" t="s">
        <v>416</v>
      </c>
      <c r="H23218" s="21">
        <v>679.17</v>
      </c>
    </row>
    <row r="23219" spans="1:8" customFormat="1" x14ac:dyDescent="0.25">
      <c r="A23219" t="str">
        <f>"7922123"</f>
        <v>7922123</v>
      </c>
      <c r="B23219" t="s">
        <v>18775</v>
      </c>
      <c r="C23219" t="s">
        <v>288</v>
      </c>
      <c r="D23219" s="21" t="s">
        <v>34</v>
      </c>
      <c r="E23219" s="21" t="s">
        <v>35</v>
      </c>
      <c r="F23219">
        <v>10790039</v>
      </c>
      <c r="G23219" t="s">
        <v>14238</v>
      </c>
      <c r="H23219" s="21">
        <v>679.17</v>
      </c>
    </row>
    <row r="23220" spans="1:8" customFormat="1" x14ac:dyDescent="0.25">
      <c r="A23220" t="str">
        <f>"5010907"</f>
        <v>5010907</v>
      </c>
      <c r="B23220" t="s">
        <v>5656</v>
      </c>
      <c r="C23220" t="s">
        <v>484</v>
      </c>
      <c r="D23220" s="21" t="s">
        <v>34</v>
      </c>
      <c r="E23220" s="21" t="s">
        <v>35</v>
      </c>
      <c r="F23220">
        <v>9500058</v>
      </c>
      <c r="G23220" t="s">
        <v>1585</v>
      </c>
      <c r="H23220" s="21">
        <v>679.17</v>
      </c>
    </row>
    <row r="23221" spans="1:8" customFormat="1" x14ac:dyDescent="0.25">
      <c r="A23221" t="str">
        <f>"7639524"</f>
        <v>7639524</v>
      </c>
      <c r="B23221" t="s">
        <v>7785</v>
      </c>
      <c r="C23221" t="s">
        <v>40</v>
      </c>
      <c r="D23221" s="21" t="s">
        <v>34</v>
      </c>
      <c r="E23221" s="21" t="s">
        <v>71</v>
      </c>
      <c r="F23221">
        <v>9760414</v>
      </c>
      <c r="G23221" t="s">
        <v>142</v>
      </c>
      <c r="H23221" s="21">
        <v>679.17</v>
      </c>
    </row>
    <row r="23222" spans="1:8" customFormat="1" x14ac:dyDescent="0.25">
      <c r="A23222" t="str">
        <f>"588580"</f>
        <v>588580</v>
      </c>
      <c r="B23222" t="s">
        <v>17497</v>
      </c>
      <c r="C23222" t="s">
        <v>1812</v>
      </c>
      <c r="D23222" s="21" t="s">
        <v>34</v>
      </c>
      <c r="E23222" s="21" t="s">
        <v>71</v>
      </c>
      <c r="F23222">
        <v>2580012</v>
      </c>
      <c r="G23222" t="s">
        <v>1144</v>
      </c>
      <c r="H23222" s="21">
        <v>679.17</v>
      </c>
    </row>
    <row r="23223" spans="1:8" customFormat="1" x14ac:dyDescent="0.25">
      <c r="A23223" t="str">
        <f>"9130421"</f>
        <v>9130421</v>
      </c>
      <c r="B23223" t="s">
        <v>18065</v>
      </c>
      <c r="C23223" t="s">
        <v>246</v>
      </c>
      <c r="D23223" s="21" t="s">
        <v>34</v>
      </c>
      <c r="E23223" s="21" t="s">
        <v>71</v>
      </c>
      <c r="F23223">
        <v>8911334</v>
      </c>
      <c r="G23223" t="s">
        <v>4170</v>
      </c>
      <c r="H23223" s="21">
        <v>679.17</v>
      </c>
    </row>
    <row r="23224" spans="1:8" customFormat="1" x14ac:dyDescent="0.25">
      <c r="A23224" t="str">
        <f>"024405"</f>
        <v>024405</v>
      </c>
      <c r="B23224" t="s">
        <v>6297</v>
      </c>
      <c r="C23224" t="s">
        <v>3905</v>
      </c>
      <c r="D23224" s="21" t="s">
        <v>34</v>
      </c>
      <c r="E23224" s="21" t="s">
        <v>1089</v>
      </c>
      <c r="F23224">
        <v>3560039</v>
      </c>
      <c r="G23224" t="s">
        <v>167</v>
      </c>
      <c r="H23224" s="21">
        <v>679.17</v>
      </c>
    </row>
    <row r="23225" spans="1:8" customFormat="1" x14ac:dyDescent="0.25">
      <c r="A23225" t="str">
        <f>"7722089"</f>
        <v>7722089</v>
      </c>
      <c r="B23225" t="s">
        <v>27725</v>
      </c>
      <c r="C23225" t="s">
        <v>62</v>
      </c>
      <c r="D23225" s="21" t="s">
        <v>34</v>
      </c>
      <c r="E23225" s="21" t="s">
        <v>35</v>
      </c>
      <c r="F23225">
        <v>8771448</v>
      </c>
      <c r="G23225" t="s">
        <v>11540</v>
      </c>
      <c r="H23225" s="21">
        <v>678.92</v>
      </c>
    </row>
    <row r="23226" spans="1:8" customFormat="1" x14ac:dyDescent="0.25">
      <c r="A23226" t="str">
        <f>"051079"</f>
        <v>051079</v>
      </c>
      <c r="B23226" t="s">
        <v>3978</v>
      </c>
      <c r="C23226" t="s">
        <v>147</v>
      </c>
      <c r="D23226" s="21" t="s">
        <v>34</v>
      </c>
      <c r="E23226" s="21" t="s">
        <v>35</v>
      </c>
      <c r="F23226">
        <v>13050013</v>
      </c>
      <c r="G23226" t="s">
        <v>6666</v>
      </c>
      <c r="H23226" s="21">
        <v>678.92</v>
      </c>
    </row>
    <row r="23227" spans="1:8" customFormat="1" x14ac:dyDescent="0.25">
      <c r="A23227" t="str">
        <f>"7921450"</f>
        <v>7921450</v>
      </c>
      <c r="B23227" t="s">
        <v>11397</v>
      </c>
      <c r="C23227" t="s">
        <v>169</v>
      </c>
      <c r="D23227" s="21" t="s">
        <v>34</v>
      </c>
      <c r="E23227" s="21" t="s">
        <v>35</v>
      </c>
      <c r="F23227">
        <v>10790009</v>
      </c>
      <c r="G23227" t="s">
        <v>1155</v>
      </c>
      <c r="H23227" s="21">
        <v>678.92</v>
      </c>
    </row>
    <row r="23228" spans="1:8" customFormat="1" x14ac:dyDescent="0.25">
      <c r="A23228" t="str">
        <f>"5734418"</f>
        <v>5734418</v>
      </c>
      <c r="B23228" t="s">
        <v>3140</v>
      </c>
      <c r="C23228" t="s">
        <v>124</v>
      </c>
      <c r="D23228" s="21" t="s">
        <v>34</v>
      </c>
      <c r="E23228" s="21" t="s">
        <v>71</v>
      </c>
      <c r="F23228">
        <v>6570014</v>
      </c>
      <c r="G23228" t="s">
        <v>72</v>
      </c>
      <c r="H23228" s="21">
        <v>678.92</v>
      </c>
    </row>
    <row r="23229" spans="1:8" customFormat="1" x14ac:dyDescent="0.25">
      <c r="A23229" t="str">
        <f>"7632753"</f>
        <v>7632753</v>
      </c>
      <c r="B23229" t="s">
        <v>16278</v>
      </c>
      <c r="C23229" t="s">
        <v>5232</v>
      </c>
      <c r="D23229" s="21" t="s">
        <v>34</v>
      </c>
      <c r="E23229" s="21" t="s">
        <v>35</v>
      </c>
      <c r="F23229">
        <v>9760269</v>
      </c>
      <c r="G23229" t="s">
        <v>10282</v>
      </c>
      <c r="H23229" s="21">
        <v>678.92</v>
      </c>
    </row>
    <row r="23230" spans="1:8" customFormat="1" x14ac:dyDescent="0.25">
      <c r="A23230" t="str">
        <f>"3339398"</f>
        <v>3339398</v>
      </c>
      <c r="B23230" t="s">
        <v>7072</v>
      </c>
      <c r="C23230" t="s">
        <v>209</v>
      </c>
      <c r="D23230" s="21" t="s">
        <v>34</v>
      </c>
      <c r="E23230" s="21" t="s">
        <v>1089</v>
      </c>
      <c r="F23230">
        <v>10330098</v>
      </c>
      <c r="G23230" t="s">
        <v>8299</v>
      </c>
      <c r="H23230" s="21">
        <v>678.79</v>
      </c>
    </row>
    <row r="23231" spans="1:8" customFormat="1" x14ac:dyDescent="0.25">
      <c r="A23231" t="str">
        <f>"3419747"</f>
        <v>3419747</v>
      </c>
      <c r="B23231" t="s">
        <v>16471</v>
      </c>
      <c r="C23231" t="s">
        <v>1146</v>
      </c>
      <c r="D23231" s="21" t="s">
        <v>34</v>
      </c>
      <c r="E23231" s="21" t="s">
        <v>71</v>
      </c>
      <c r="F23231">
        <v>11340035</v>
      </c>
      <c r="G23231" t="s">
        <v>10724</v>
      </c>
      <c r="H23231" s="21">
        <v>678.79</v>
      </c>
    </row>
    <row r="23232" spans="1:8" customFormat="1" x14ac:dyDescent="0.25">
      <c r="A23232" t="str">
        <f>"4913702"</f>
        <v>4913702</v>
      </c>
      <c r="B23232" t="s">
        <v>16995</v>
      </c>
      <c r="C23232" t="s">
        <v>812</v>
      </c>
      <c r="D23232" s="21" t="s">
        <v>34</v>
      </c>
      <c r="E23232" s="21" t="s">
        <v>71</v>
      </c>
      <c r="F23232">
        <v>12490029</v>
      </c>
      <c r="G23232" t="s">
        <v>3485</v>
      </c>
      <c r="H23232" s="21">
        <v>678.67</v>
      </c>
    </row>
    <row r="23233" spans="1:8" customFormat="1" x14ac:dyDescent="0.25">
      <c r="A23233" t="str">
        <f>"5958720"</f>
        <v>5958720</v>
      </c>
      <c r="B23233" t="s">
        <v>17999</v>
      </c>
      <c r="C23233" t="s">
        <v>498</v>
      </c>
      <c r="D23233" s="21" t="s">
        <v>34</v>
      </c>
      <c r="E23233" s="21" t="s">
        <v>254</v>
      </c>
      <c r="F23233">
        <v>7590379</v>
      </c>
      <c r="G23233" t="s">
        <v>13711</v>
      </c>
      <c r="H23233" s="21">
        <v>678.67</v>
      </c>
    </row>
    <row r="23234" spans="1:8" customFormat="1" x14ac:dyDescent="0.25">
      <c r="A23234" t="str">
        <f>"944860"</f>
        <v>944860</v>
      </c>
      <c r="B23234" t="s">
        <v>1117</v>
      </c>
      <c r="C23234" t="s">
        <v>415</v>
      </c>
      <c r="D23234" s="21" t="s">
        <v>34</v>
      </c>
      <c r="E23234" s="21" t="s">
        <v>1089</v>
      </c>
      <c r="F23234">
        <v>8940326</v>
      </c>
      <c r="G23234" t="s">
        <v>659</v>
      </c>
      <c r="H23234" s="21">
        <v>678.67</v>
      </c>
    </row>
    <row r="23235" spans="1:8" customFormat="1" x14ac:dyDescent="0.25">
      <c r="A23235" t="str">
        <f>"089280"</f>
        <v>089280</v>
      </c>
      <c r="B23235" t="s">
        <v>8655</v>
      </c>
      <c r="C23235" t="s">
        <v>2305</v>
      </c>
      <c r="D23235" s="21" t="s">
        <v>34</v>
      </c>
      <c r="E23235" s="21" t="s">
        <v>254</v>
      </c>
      <c r="F23235">
        <v>6080047</v>
      </c>
      <c r="G23235" t="s">
        <v>4632</v>
      </c>
      <c r="H23235" s="21">
        <v>678.67</v>
      </c>
    </row>
    <row r="23236" spans="1:8" customFormat="1" x14ac:dyDescent="0.25">
      <c r="A23236" t="str">
        <f>"704019"</f>
        <v>704019</v>
      </c>
      <c r="B23236" t="s">
        <v>18059</v>
      </c>
      <c r="C23236" t="s">
        <v>202</v>
      </c>
      <c r="D23236" s="21" t="s">
        <v>34</v>
      </c>
      <c r="E23236" s="21" t="s">
        <v>71</v>
      </c>
      <c r="F23236">
        <v>2700089</v>
      </c>
      <c r="G23236" t="s">
        <v>2570</v>
      </c>
      <c r="H23236" s="21">
        <v>678.67</v>
      </c>
    </row>
    <row r="23237" spans="1:8" customFormat="1" x14ac:dyDescent="0.25">
      <c r="A23237" t="str">
        <f>"873271"</f>
        <v>873271</v>
      </c>
      <c r="B23237" t="s">
        <v>16396</v>
      </c>
      <c r="C23237" t="s">
        <v>1446</v>
      </c>
      <c r="D23237" s="21" t="s">
        <v>34</v>
      </c>
      <c r="E23237" s="21" t="s">
        <v>254</v>
      </c>
      <c r="F23237">
        <v>10870031</v>
      </c>
      <c r="G23237" t="s">
        <v>959</v>
      </c>
      <c r="H23237" s="21">
        <v>678.67</v>
      </c>
    </row>
    <row r="23238" spans="1:8" customFormat="1" x14ac:dyDescent="0.25">
      <c r="A23238" t="str">
        <f>"168595"</f>
        <v>168595</v>
      </c>
      <c r="B23238" t="s">
        <v>5077</v>
      </c>
      <c r="C23238" t="s">
        <v>428</v>
      </c>
      <c r="D23238" s="21" t="s">
        <v>34</v>
      </c>
      <c r="E23238" s="21" t="s">
        <v>35</v>
      </c>
      <c r="F23238">
        <v>10160232</v>
      </c>
      <c r="G23238" t="s">
        <v>2882</v>
      </c>
      <c r="H23238" s="21">
        <v>678.67</v>
      </c>
    </row>
    <row r="23239" spans="1:8" customFormat="1" x14ac:dyDescent="0.25">
      <c r="A23239" t="str">
        <f>"2717835"</f>
        <v>2717835</v>
      </c>
      <c r="B23239" t="s">
        <v>402</v>
      </c>
      <c r="C23239" t="s">
        <v>412</v>
      </c>
      <c r="D23239" s="21" t="s">
        <v>34</v>
      </c>
      <c r="E23239" s="21" t="s">
        <v>254</v>
      </c>
      <c r="F23239">
        <v>9270021</v>
      </c>
      <c r="G23239" t="s">
        <v>4934</v>
      </c>
      <c r="H23239" s="21">
        <v>678.67</v>
      </c>
    </row>
    <row r="23240" spans="1:8" customFormat="1" x14ac:dyDescent="0.25">
      <c r="A23240" t="str">
        <f>"4514278"</f>
        <v>4514278</v>
      </c>
      <c r="B23240" t="s">
        <v>19435</v>
      </c>
      <c r="C23240" t="s">
        <v>43</v>
      </c>
      <c r="D23240" s="21" t="s">
        <v>34</v>
      </c>
      <c r="E23240" s="21" t="s">
        <v>35</v>
      </c>
      <c r="F23240">
        <v>4450734</v>
      </c>
      <c r="G23240" t="s">
        <v>27077</v>
      </c>
      <c r="H23240" s="21">
        <v>678.67</v>
      </c>
    </row>
    <row r="23241" spans="1:8" customFormat="1" x14ac:dyDescent="0.25">
      <c r="A23241" t="str">
        <f>"9225167"</f>
        <v>9225167</v>
      </c>
      <c r="B23241" t="s">
        <v>5283</v>
      </c>
      <c r="C23241" t="s">
        <v>55</v>
      </c>
      <c r="D23241" s="21" t="s">
        <v>34</v>
      </c>
      <c r="E23241" s="21" t="s">
        <v>35</v>
      </c>
      <c r="F23241">
        <v>8780674</v>
      </c>
      <c r="G23241" t="s">
        <v>26585</v>
      </c>
      <c r="H23241" s="21">
        <v>678.67</v>
      </c>
    </row>
    <row r="23242" spans="1:8" customFormat="1" x14ac:dyDescent="0.25">
      <c r="A23242" t="str">
        <f>"4444758"</f>
        <v>4444758</v>
      </c>
      <c r="B23242" t="s">
        <v>18886</v>
      </c>
      <c r="C23242" t="s">
        <v>18887</v>
      </c>
      <c r="D23242" s="21" t="s">
        <v>34</v>
      </c>
      <c r="E23242" s="21" t="s">
        <v>35</v>
      </c>
      <c r="F23242">
        <v>12440167</v>
      </c>
      <c r="G23242" t="s">
        <v>27355</v>
      </c>
      <c r="H23242" s="21">
        <v>678.67</v>
      </c>
    </row>
    <row r="23243" spans="1:8" customFormat="1" x14ac:dyDescent="0.25">
      <c r="A23243" t="str">
        <f>"051173"</f>
        <v>051173</v>
      </c>
      <c r="B23243" t="s">
        <v>19032</v>
      </c>
      <c r="C23243" t="s">
        <v>139</v>
      </c>
      <c r="D23243" s="21" t="s">
        <v>34</v>
      </c>
      <c r="E23243" s="21" t="s">
        <v>71</v>
      </c>
      <c r="F23243">
        <v>13050026</v>
      </c>
      <c r="G23243" t="s">
        <v>18179</v>
      </c>
      <c r="H23243" s="21">
        <v>678.67</v>
      </c>
    </row>
    <row r="23244" spans="1:8" customFormat="1" x14ac:dyDescent="0.25">
      <c r="A23244" t="str">
        <f>"3831516"</f>
        <v>3831516</v>
      </c>
      <c r="B23244" t="s">
        <v>19279</v>
      </c>
      <c r="C23244" t="s">
        <v>144</v>
      </c>
      <c r="D23244" s="21" t="s">
        <v>34</v>
      </c>
      <c r="E23244" s="21" t="s">
        <v>35</v>
      </c>
      <c r="F23244">
        <v>1380297</v>
      </c>
      <c r="G23244" t="s">
        <v>12031</v>
      </c>
      <c r="H23244" s="21">
        <v>678.67</v>
      </c>
    </row>
    <row r="23245" spans="1:8" customFormat="1" x14ac:dyDescent="0.25">
      <c r="A23245" t="str">
        <f>"6813912"</f>
        <v>6813912</v>
      </c>
      <c r="B23245" t="s">
        <v>9418</v>
      </c>
      <c r="C23245" t="s">
        <v>2907</v>
      </c>
      <c r="D23245" s="21" t="s">
        <v>34</v>
      </c>
      <c r="E23245" s="21" t="s">
        <v>71</v>
      </c>
      <c r="F23245">
        <v>6680111</v>
      </c>
      <c r="G23245" t="s">
        <v>3422</v>
      </c>
      <c r="H23245" s="21">
        <v>678.67</v>
      </c>
    </row>
    <row r="23246" spans="1:8" customFormat="1" x14ac:dyDescent="0.25">
      <c r="A23246" t="str">
        <f>"5972004"</f>
        <v>5972004</v>
      </c>
      <c r="B23246" t="s">
        <v>18625</v>
      </c>
      <c r="C23246" t="s">
        <v>1474</v>
      </c>
      <c r="D23246" s="21" t="s">
        <v>34</v>
      </c>
      <c r="E23246" s="21" t="s">
        <v>35</v>
      </c>
      <c r="F23246">
        <v>7590044</v>
      </c>
      <c r="G23246" t="s">
        <v>2029</v>
      </c>
      <c r="H23246" s="21">
        <v>678.67</v>
      </c>
    </row>
    <row r="23247" spans="1:8" customFormat="1" x14ac:dyDescent="0.25">
      <c r="A23247" t="str">
        <f>"6111186"</f>
        <v>6111186</v>
      </c>
      <c r="B23247" t="s">
        <v>18244</v>
      </c>
      <c r="C23247" t="s">
        <v>55</v>
      </c>
      <c r="D23247" s="21" t="s">
        <v>34</v>
      </c>
      <c r="E23247" s="21" t="s">
        <v>71</v>
      </c>
      <c r="F23247">
        <v>9610115</v>
      </c>
      <c r="G23247" t="s">
        <v>17938</v>
      </c>
      <c r="H23247" s="21">
        <v>678.67</v>
      </c>
    </row>
    <row r="23248" spans="1:8" customFormat="1" x14ac:dyDescent="0.25">
      <c r="A23248" t="str">
        <f>"1314713"</f>
        <v>1314713</v>
      </c>
      <c r="B23248" t="s">
        <v>17994</v>
      </c>
      <c r="C23248" t="s">
        <v>1110</v>
      </c>
      <c r="D23248" s="21" t="s">
        <v>34</v>
      </c>
      <c r="E23248" s="21" t="s">
        <v>254</v>
      </c>
      <c r="F23248">
        <v>13130154</v>
      </c>
      <c r="G23248" t="s">
        <v>5503</v>
      </c>
      <c r="H23248" s="21">
        <v>678.67</v>
      </c>
    </row>
    <row r="23249" spans="1:8" customFormat="1" x14ac:dyDescent="0.25">
      <c r="A23249" t="str">
        <f>"864715"</f>
        <v>864715</v>
      </c>
      <c r="B23249" t="s">
        <v>2925</v>
      </c>
      <c r="C23249" t="s">
        <v>121</v>
      </c>
      <c r="D23249" s="21" t="s">
        <v>34</v>
      </c>
      <c r="E23249" s="21" t="s">
        <v>35</v>
      </c>
      <c r="F23249">
        <v>10790186</v>
      </c>
      <c r="G23249" t="s">
        <v>16305</v>
      </c>
      <c r="H23249" s="21">
        <v>678.67</v>
      </c>
    </row>
    <row r="23250" spans="1:8" customFormat="1" x14ac:dyDescent="0.25">
      <c r="A23250" t="str">
        <f>"614563"</f>
        <v>614563</v>
      </c>
      <c r="B23250" t="s">
        <v>1689</v>
      </c>
      <c r="C23250" t="s">
        <v>2520</v>
      </c>
      <c r="D23250" s="21" t="s">
        <v>34</v>
      </c>
      <c r="E23250" s="21" t="s">
        <v>1089</v>
      </c>
      <c r="F23250">
        <v>9610009</v>
      </c>
      <c r="G23250" t="s">
        <v>282</v>
      </c>
      <c r="H23250" s="21">
        <v>678.67</v>
      </c>
    </row>
    <row r="23251" spans="1:8" customFormat="1" x14ac:dyDescent="0.25">
      <c r="A23251" t="str">
        <f>"519964"</f>
        <v>519964</v>
      </c>
      <c r="B23251" t="s">
        <v>18294</v>
      </c>
      <c r="C23251" t="s">
        <v>171</v>
      </c>
      <c r="D23251" s="21" t="s">
        <v>34</v>
      </c>
      <c r="E23251" s="21" t="s">
        <v>71</v>
      </c>
      <c r="F23251">
        <v>6510062</v>
      </c>
      <c r="G23251" t="s">
        <v>9059</v>
      </c>
      <c r="H23251" s="21">
        <v>678.67</v>
      </c>
    </row>
    <row r="23252" spans="1:8" customFormat="1" x14ac:dyDescent="0.25">
      <c r="A23252" t="str">
        <f>"2510283"</f>
        <v>2510283</v>
      </c>
      <c r="B23252" t="s">
        <v>18925</v>
      </c>
      <c r="C23252" t="s">
        <v>2529</v>
      </c>
      <c r="D23252" s="21" t="s">
        <v>34</v>
      </c>
      <c r="E23252" s="21" t="s">
        <v>254</v>
      </c>
      <c r="F23252">
        <v>2250181</v>
      </c>
      <c r="G23252" t="s">
        <v>494</v>
      </c>
      <c r="H23252" s="21">
        <v>678.67</v>
      </c>
    </row>
    <row r="23253" spans="1:8" customFormat="1" x14ac:dyDescent="0.25">
      <c r="A23253" t="str">
        <f>"5970746"</f>
        <v>5970746</v>
      </c>
      <c r="B23253" t="s">
        <v>5222</v>
      </c>
      <c r="C23253" t="s">
        <v>151</v>
      </c>
      <c r="D23253" s="21" t="s">
        <v>34</v>
      </c>
      <c r="E23253" s="21" t="s">
        <v>35</v>
      </c>
      <c r="F23253">
        <v>7590293</v>
      </c>
      <c r="G23253" t="s">
        <v>2431</v>
      </c>
      <c r="H23253" s="21">
        <v>678.67</v>
      </c>
    </row>
    <row r="23254" spans="1:8" customFormat="1" x14ac:dyDescent="0.25">
      <c r="A23254" t="str">
        <f>"9129316"</f>
        <v>9129316</v>
      </c>
      <c r="B23254" t="s">
        <v>760</v>
      </c>
      <c r="C23254" t="s">
        <v>608</v>
      </c>
      <c r="D23254" s="21" t="s">
        <v>34</v>
      </c>
      <c r="E23254" s="21" t="s">
        <v>35</v>
      </c>
      <c r="F23254">
        <v>8910918</v>
      </c>
      <c r="G23254" t="s">
        <v>332</v>
      </c>
      <c r="H23254" s="21">
        <v>678.67</v>
      </c>
    </row>
    <row r="23255" spans="1:8" customFormat="1" x14ac:dyDescent="0.25">
      <c r="A23255" t="str">
        <f>"8016237"</f>
        <v>8016237</v>
      </c>
      <c r="B23255" t="s">
        <v>17677</v>
      </c>
      <c r="C23255" t="s">
        <v>127</v>
      </c>
      <c r="D23255" s="21" t="s">
        <v>34</v>
      </c>
      <c r="E23255" s="21" t="s">
        <v>35</v>
      </c>
      <c r="F23255">
        <v>7800147</v>
      </c>
      <c r="G23255" t="s">
        <v>10438</v>
      </c>
      <c r="H23255" s="21">
        <v>678.67</v>
      </c>
    </row>
    <row r="23256" spans="1:8" customFormat="1" x14ac:dyDescent="0.25">
      <c r="A23256" t="str">
        <f>"288665"</f>
        <v>288665</v>
      </c>
      <c r="B23256" t="s">
        <v>17160</v>
      </c>
      <c r="C23256" t="s">
        <v>2520</v>
      </c>
      <c r="D23256" s="21" t="s">
        <v>34</v>
      </c>
      <c r="E23256" s="21" t="s">
        <v>71</v>
      </c>
      <c r="F23256">
        <v>4280049</v>
      </c>
      <c r="G23256" t="s">
        <v>7855</v>
      </c>
      <c r="H23256" s="21">
        <v>678.54</v>
      </c>
    </row>
    <row r="23257" spans="1:8" customFormat="1" x14ac:dyDescent="0.25">
      <c r="A23257" t="str">
        <f>"4935922"</f>
        <v>4935922</v>
      </c>
      <c r="B23257" t="s">
        <v>7700</v>
      </c>
      <c r="C23257" t="s">
        <v>127</v>
      </c>
      <c r="D23257" s="21" t="s">
        <v>34</v>
      </c>
      <c r="E23257" s="21" t="s">
        <v>35</v>
      </c>
      <c r="F23257">
        <v>12490052</v>
      </c>
      <c r="G23257" t="s">
        <v>2732</v>
      </c>
      <c r="H23257" s="21">
        <v>678.54</v>
      </c>
    </row>
    <row r="23258" spans="1:8" customFormat="1" x14ac:dyDescent="0.25">
      <c r="A23258" t="str">
        <f>"5712558"</f>
        <v>5712558</v>
      </c>
      <c r="B23258" t="s">
        <v>12667</v>
      </c>
      <c r="C23258" t="s">
        <v>275</v>
      </c>
      <c r="D23258" s="21" t="s">
        <v>34</v>
      </c>
      <c r="E23258" s="21" t="s">
        <v>35</v>
      </c>
      <c r="F23258">
        <v>13130012</v>
      </c>
      <c r="G23258" t="s">
        <v>68</v>
      </c>
      <c r="H23258" s="21">
        <v>678.42</v>
      </c>
    </row>
    <row r="23259" spans="1:8" customFormat="1" x14ac:dyDescent="0.25">
      <c r="A23259" t="str">
        <f>"2938118"</f>
        <v>2938118</v>
      </c>
      <c r="B23259" t="s">
        <v>21970</v>
      </c>
      <c r="C23259" t="s">
        <v>62</v>
      </c>
      <c r="D23259" s="21" t="s">
        <v>34</v>
      </c>
      <c r="E23259" s="21" t="s">
        <v>35</v>
      </c>
      <c r="F23259">
        <v>3290221</v>
      </c>
      <c r="G23259" t="s">
        <v>3544</v>
      </c>
      <c r="H23259" s="21">
        <v>678.42</v>
      </c>
    </row>
    <row r="23260" spans="1:8" customFormat="1" x14ac:dyDescent="0.25">
      <c r="A23260" t="str">
        <f>"4523755"</f>
        <v>4523755</v>
      </c>
      <c r="B23260" t="s">
        <v>18362</v>
      </c>
      <c r="C23260" t="s">
        <v>3098</v>
      </c>
      <c r="D23260" s="21" t="s">
        <v>34</v>
      </c>
      <c r="E23260" s="21" t="s">
        <v>254</v>
      </c>
      <c r="F23260">
        <v>4450750</v>
      </c>
      <c r="G23260" t="s">
        <v>6572</v>
      </c>
      <c r="H23260" s="21">
        <v>678.42</v>
      </c>
    </row>
    <row r="23261" spans="1:8" customFormat="1" x14ac:dyDescent="0.25">
      <c r="A23261" t="str">
        <f>"9119625"</f>
        <v>9119625</v>
      </c>
      <c r="B23261" t="s">
        <v>14669</v>
      </c>
      <c r="C23261" t="s">
        <v>1812</v>
      </c>
      <c r="D23261" s="21" t="s">
        <v>34</v>
      </c>
      <c r="E23261" s="21" t="s">
        <v>71</v>
      </c>
      <c r="F23261">
        <v>8910916</v>
      </c>
      <c r="G23261" t="s">
        <v>2251</v>
      </c>
      <c r="H23261" s="21">
        <v>678.42</v>
      </c>
    </row>
    <row r="23262" spans="1:8" customFormat="1" x14ac:dyDescent="0.25">
      <c r="A23262" t="str">
        <f>"774692"</f>
        <v>774692</v>
      </c>
      <c r="B23262" t="s">
        <v>16713</v>
      </c>
      <c r="C23262" t="s">
        <v>16714</v>
      </c>
      <c r="D23262" s="21" t="s">
        <v>34</v>
      </c>
      <c r="E23262" s="21" t="s">
        <v>1089</v>
      </c>
      <c r="F23262">
        <v>8771314</v>
      </c>
      <c r="G23262" t="s">
        <v>14172</v>
      </c>
      <c r="H23262" s="21">
        <v>678.42</v>
      </c>
    </row>
    <row r="23263" spans="1:8" customFormat="1" x14ac:dyDescent="0.25">
      <c r="A23263" t="str">
        <f>"9221650"</f>
        <v>9221650</v>
      </c>
      <c r="B23263" t="s">
        <v>16972</v>
      </c>
      <c r="C23263" t="s">
        <v>547</v>
      </c>
      <c r="D23263" s="21" t="s">
        <v>34</v>
      </c>
      <c r="E23263" s="21" t="s">
        <v>6185</v>
      </c>
      <c r="F23263">
        <v>8750060</v>
      </c>
      <c r="G23263" t="s">
        <v>2821</v>
      </c>
      <c r="H23263" s="21">
        <v>678.29</v>
      </c>
    </row>
    <row r="23264" spans="1:8" customFormat="1" x14ac:dyDescent="0.25">
      <c r="A23264" t="str">
        <f>"366904"</f>
        <v>366904</v>
      </c>
      <c r="B23264" t="s">
        <v>18530</v>
      </c>
      <c r="C23264" t="s">
        <v>62</v>
      </c>
      <c r="D23264" s="21" t="s">
        <v>34</v>
      </c>
      <c r="E23264" s="21" t="s">
        <v>35</v>
      </c>
      <c r="F23264">
        <v>12850024</v>
      </c>
      <c r="G23264" t="s">
        <v>140</v>
      </c>
      <c r="H23264" s="21">
        <v>678.29</v>
      </c>
    </row>
    <row r="23265" spans="1:8" customFormat="1" x14ac:dyDescent="0.25">
      <c r="A23265" t="str">
        <f>"7523540"</f>
        <v>7523540</v>
      </c>
      <c r="B23265" t="s">
        <v>20961</v>
      </c>
      <c r="C23265" t="s">
        <v>20962</v>
      </c>
      <c r="D23265" s="21" t="s">
        <v>34</v>
      </c>
      <c r="E23265" s="21" t="s">
        <v>71</v>
      </c>
      <c r="F23265">
        <v>8751163</v>
      </c>
      <c r="G23265" t="s">
        <v>80</v>
      </c>
      <c r="H23265" s="21">
        <v>678.29</v>
      </c>
    </row>
    <row r="23266" spans="1:8" customFormat="1" x14ac:dyDescent="0.25">
      <c r="A23266" t="str">
        <f>"9456425"</f>
        <v>9456425</v>
      </c>
      <c r="B23266" t="s">
        <v>1827</v>
      </c>
      <c r="C23266" t="s">
        <v>139</v>
      </c>
      <c r="D23266" s="21" t="s">
        <v>34</v>
      </c>
      <c r="E23266" s="21" t="s">
        <v>71</v>
      </c>
      <c r="F23266">
        <v>8940549</v>
      </c>
      <c r="G23266" t="s">
        <v>454</v>
      </c>
      <c r="H23266" s="21">
        <v>678.29</v>
      </c>
    </row>
    <row r="23267" spans="1:8" customFormat="1" x14ac:dyDescent="0.25">
      <c r="A23267" t="str">
        <f>"6217989"</f>
        <v>6217989</v>
      </c>
      <c r="B23267" t="s">
        <v>18813</v>
      </c>
      <c r="C23267" t="s">
        <v>204</v>
      </c>
      <c r="D23267" s="21" t="s">
        <v>34</v>
      </c>
      <c r="E23267" s="21" t="s">
        <v>71</v>
      </c>
      <c r="F23267">
        <v>7620049</v>
      </c>
      <c r="G23267" t="s">
        <v>1176</v>
      </c>
      <c r="H23267" s="21">
        <v>678.17</v>
      </c>
    </row>
    <row r="23268" spans="1:8" customFormat="1" x14ac:dyDescent="0.25">
      <c r="A23268" t="str">
        <f>"034393"</f>
        <v>034393</v>
      </c>
      <c r="B23268" t="s">
        <v>18055</v>
      </c>
      <c r="C23268" t="s">
        <v>233</v>
      </c>
      <c r="D23268" s="21" t="s">
        <v>34</v>
      </c>
      <c r="E23268" s="21" t="s">
        <v>1089</v>
      </c>
      <c r="F23268">
        <v>1030212</v>
      </c>
      <c r="G23268" t="s">
        <v>3479</v>
      </c>
      <c r="H23268" s="21">
        <v>678.17</v>
      </c>
    </row>
    <row r="23269" spans="1:8" customFormat="1" x14ac:dyDescent="0.25">
      <c r="A23269" t="str">
        <f>"637631"</f>
        <v>637631</v>
      </c>
      <c r="B23269" t="s">
        <v>6610</v>
      </c>
      <c r="C23269" t="s">
        <v>415</v>
      </c>
      <c r="D23269" s="21" t="s">
        <v>34</v>
      </c>
      <c r="E23269" s="21" t="s">
        <v>71</v>
      </c>
      <c r="F23269">
        <v>1630134</v>
      </c>
      <c r="G23269" t="s">
        <v>11787</v>
      </c>
      <c r="H23269" s="21">
        <v>678.17</v>
      </c>
    </row>
    <row r="23270" spans="1:8" customFormat="1" x14ac:dyDescent="0.25">
      <c r="A23270" t="str">
        <f>"671914"</f>
        <v>671914</v>
      </c>
      <c r="B23270" t="s">
        <v>16730</v>
      </c>
      <c r="C23270" t="s">
        <v>2520</v>
      </c>
      <c r="D23270" s="21" t="s">
        <v>34</v>
      </c>
      <c r="E23270" s="21" t="s">
        <v>254</v>
      </c>
      <c r="F23270">
        <v>6670122</v>
      </c>
      <c r="G23270" t="s">
        <v>3126</v>
      </c>
      <c r="H23270" s="21">
        <v>678.17</v>
      </c>
    </row>
    <row r="23271" spans="1:8" customFormat="1" x14ac:dyDescent="0.25">
      <c r="A23271" t="str">
        <f>"7412404"</f>
        <v>7412404</v>
      </c>
      <c r="B23271" t="s">
        <v>1198</v>
      </c>
      <c r="C23271" t="s">
        <v>82</v>
      </c>
      <c r="D23271" s="21" t="s">
        <v>34</v>
      </c>
      <c r="E23271" s="21" t="s">
        <v>35</v>
      </c>
      <c r="F23271">
        <v>1010059</v>
      </c>
      <c r="G23271" t="s">
        <v>15570</v>
      </c>
      <c r="H23271" s="21">
        <v>678.17</v>
      </c>
    </row>
    <row r="23272" spans="1:8" customFormat="1" x14ac:dyDescent="0.25">
      <c r="A23272" t="str">
        <f>"2933938"</f>
        <v>2933938</v>
      </c>
      <c r="B23272" t="s">
        <v>19266</v>
      </c>
      <c r="C23272" t="s">
        <v>19267</v>
      </c>
      <c r="D23272" s="21" t="s">
        <v>34</v>
      </c>
      <c r="E23272" s="21" t="s">
        <v>71</v>
      </c>
      <c r="F23272">
        <v>3290208</v>
      </c>
      <c r="G23272" t="s">
        <v>1553</v>
      </c>
      <c r="H23272" s="21">
        <v>678.17</v>
      </c>
    </row>
    <row r="23273" spans="1:8" customFormat="1" x14ac:dyDescent="0.25">
      <c r="A23273" t="str">
        <f>"5614360"</f>
        <v>5614360</v>
      </c>
      <c r="B23273" t="s">
        <v>18407</v>
      </c>
      <c r="C23273" t="s">
        <v>2520</v>
      </c>
      <c r="D23273" s="21" t="s">
        <v>34</v>
      </c>
      <c r="E23273" s="21" t="s">
        <v>71</v>
      </c>
      <c r="F23273">
        <v>3560051</v>
      </c>
      <c r="G23273" t="s">
        <v>14709</v>
      </c>
      <c r="H23273" s="21">
        <v>678.17</v>
      </c>
    </row>
    <row r="23274" spans="1:8" customFormat="1" x14ac:dyDescent="0.25">
      <c r="A23274" t="str">
        <f>"5934352"</f>
        <v>5934352</v>
      </c>
      <c r="B23274" t="s">
        <v>6428</v>
      </c>
      <c r="C23274" t="s">
        <v>127</v>
      </c>
      <c r="D23274" s="21" t="s">
        <v>34</v>
      </c>
      <c r="E23274" s="21" t="s">
        <v>35</v>
      </c>
      <c r="F23274">
        <v>7590049</v>
      </c>
      <c r="G23274" t="s">
        <v>11040</v>
      </c>
      <c r="H23274" s="21">
        <v>678.17</v>
      </c>
    </row>
    <row r="23275" spans="1:8" customFormat="1" x14ac:dyDescent="0.25">
      <c r="A23275" t="str">
        <f>"3812877"</f>
        <v>3812877</v>
      </c>
      <c r="B23275" t="s">
        <v>14179</v>
      </c>
      <c r="C23275" t="s">
        <v>43</v>
      </c>
      <c r="D23275" s="21" t="s">
        <v>34</v>
      </c>
      <c r="E23275" s="21" t="s">
        <v>35</v>
      </c>
      <c r="F23275">
        <v>1380136</v>
      </c>
      <c r="G23275" t="s">
        <v>1047</v>
      </c>
      <c r="H23275" s="21">
        <v>678.17</v>
      </c>
    </row>
    <row r="23276" spans="1:8" customFormat="1" x14ac:dyDescent="0.25">
      <c r="A23276" t="str">
        <f>"6313319"</f>
        <v>6313319</v>
      </c>
      <c r="B23276" t="s">
        <v>15915</v>
      </c>
      <c r="C23276" t="s">
        <v>119</v>
      </c>
      <c r="D23276" s="21" t="s">
        <v>34</v>
      </c>
      <c r="E23276" s="21" t="s">
        <v>35</v>
      </c>
      <c r="F23276">
        <v>1630012</v>
      </c>
      <c r="G23276" t="s">
        <v>8636</v>
      </c>
      <c r="H23276" s="21">
        <v>678.17</v>
      </c>
    </row>
    <row r="23277" spans="1:8" customFormat="1" x14ac:dyDescent="0.25">
      <c r="A23277" t="str">
        <f>"8518934"</f>
        <v>8518934</v>
      </c>
      <c r="B23277" t="s">
        <v>11558</v>
      </c>
      <c r="C23277" t="s">
        <v>1199</v>
      </c>
      <c r="D23277" s="21" t="s">
        <v>34</v>
      </c>
      <c r="E23277" s="21" t="s">
        <v>71</v>
      </c>
      <c r="F23277">
        <v>12850026</v>
      </c>
      <c r="G23277" t="s">
        <v>1400</v>
      </c>
      <c r="H23277" s="21">
        <v>678.17</v>
      </c>
    </row>
    <row r="23278" spans="1:8" customFormat="1" x14ac:dyDescent="0.25">
      <c r="A23278" t="str">
        <f>"955928"</f>
        <v>955928</v>
      </c>
      <c r="B23278" t="s">
        <v>1872</v>
      </c>
      <c r="C23278" t="s">
        <v>156</v>
      </c>
      <c r="D23278" s="21" t="s">
        <v>34</v>
      </c>
      <c r="E23278" s="21" t="s">
        <v>254</v>
      </c>
      <c r="F23278">
        <v>8951273</v>
      </c>
      <c r="G23278" t="s">
        <v>2382</v>
      </c>
      <c r="H23278" s="21">
        <v>678.17</v>
      </c>
    </row>
    <row r="23279" spans="1:8" customFormat="1" x14ac:dyDescent="0.25">
      <c r="A23279" t="str">
        <f>"6938040"</f>
        <v>6938040</v>
      </c>
      <c r="B23279" t="s">
        <v>19966</v>
      </c>
      <c r="C23279" t="s">
        <v>293</v>
      </c>
      <c r="D23279" s="21" t="s">
        <v>34</v>
      </c>
      <c r="E23279" s="21" t="s">
        <v>35</v>
      </c>
      <c r="F23279">
        <v>1690141</v>
      </c>
      <c r="G23279" t="s">
        <v>7448</v>
      </c>
      <c r="H23279" s="21">
        <v>678.17</v>
      </c>
    </row>
    <row r="23280" spans="1:8" customFormat="1" x14ac:dyDescent="0.25">
      <c r="A23280" t="str">
        <f>"6932935"</f>
        <v>6932935</v>
      </c>
      <c r="B23280" t="s">
        <v>19264</v>
      </c>
      <c r="C23280" t="s">
        <v>124</v>
      </c>
      <c r="D23280" s="21" t="s">
        <v>34</v>
      </c>
      <c r="E23280" s="21" t="s">
        <v>71</v>
      </c>
      <c r="F23280">
        <v>1690013</v>
      </c>
      <c r="G23280" t="s">
        <v>26900</v>
      </c>
      <c r="H23280" s="21">
        <v>678.17</v>
      </c>
    </row>
    <row r="23281" spans="1:8" customFormat="1" x14ac:dyDescent="0.25">
      <c r="A23281" t="str">
        <f>"509118"</f>
        <v>509118</v>
      </c>
      <c r="B23281" t="s">
        <v>17601</v>
      </c>
      <c r="C23281" t="s">
        <v>62</v>
      </c>
      <c r="D23281" s="21" t="s">
        <v>34</v>
      </c>
      <c r="E23281" s="21" t="s">
        <v>35</v>
      </c>
      <c r="F23281">
        <v>9500025</v>
      </c>
      <c r="G23281" t="s">
        <v>665</v>
      </c>
      <c r="H23281" s="21">
        <v>678.17</v>
      </c>
    </row>
    <row r="23282" spans="1:8" customFormat="1" x14ac:dyDescent="0.25">
      <c r="A23282" t="str">
        <f>"1313749"</f>
        <v>1313749</v>
      </c>
      <c r="B23282" t="s">
        <v>17698</v>
      </c>
      <c r="C23282" t="s">
        <v>119</v>
      </c>
      <c r="D23282" s="21" t="s">
        <v>34</v>
      </c>
      <c r="E23282" s="21" t="s">
        <v>35</v>
      </c>
      <c r="F23282">
        <v>13130148</v>
      </c>
      <c r="G23282" t="s">
        <v>12894</v>
      </c>
      <c r="H23282" s="21">
        <v>678.17</v>
      </c>
    </row>
    <row r="23283" spans="1:8" customFormat="1" x14ac:dyDescent="0.25">
      <c r="A23283" t="str">
        <f>"375871"</f>
        <v>375871</v>
      </c>
      <c r="B23283" t="s">
        <v>17669</v>
      </c>
      <c r="C23283" t="s">
        <v>285</v>
      </c>
      <c r="D23283" s="21" t="s">
        <v>34</v>
      </c>
      <c r="E23283" s="21" t="s">
        <v>35</v>
      </c>
      <c r="F23283">
        <v>4370583</v>
      </c>
      <c r="G23283" t="s">
        <v>13975</v>
      </c>
      <c r="H23283" s="21">
        <v>678.04</v>
      </c>
    </row>
    <row r="23284" spans="1:8" customFormat="1" x14ac:dyDescent="0.25">
      <c r="A23284" t="str">
        <f>"4210715"</f>
        <v>4210715</v>
      </c>
      <c r="B23284" t="s">
        <v>18780</v>
      </c>
      <c r="C23284" t="s">
        <v>462</v>
      </c>
      <c r="D23284" s="21" t="s">
        <v>34</v>
      </c>
      <c r="E23284" s="21" t="s">
        <v>71</v>
      </c>
      <c r="F23284">
        <v>1420141</v>
      </c>
      <c r="G23284" t="s">
        <v>5190</v>
      </c>
      <c r="H23284" s="21">
        <v>678</v>
      </c>
    </row>
    <row r="23285" spans="1:8" customFormat="1" x14ac:dyDescent="0.25">
      <c r="A23285" t="str">
        <f>"7516250"</f>
        <v>7516250</v>
      </c>
      <c r="B23285" t="s">
        <v>406</v>
      </c>
      <c r="C23285" t="s">
        <v>27726</v>
      </c>
      <c r="D23285" s="21" t="s">
        <v>34</v>
      </c>
      <c r="E23285" s="21" t="s">
        <v>35</v>
      </c>
      <c r="F23285">
        <v>8750098</v>
      </c>
      <c r="G23285" t="s">
        <v>11606</v>
      </c>
      <c r="H23285" s="21">
        <v>677.92</v>
      </c>
    </row>
    <row r="23286" spans="1:8" customFormat="1" x14ac:dyDescent="0.25">
      <c r="A23286" t="str">
        <f>"4435457"</f>
        <v>4435457</v>
      </c>
      <c r="B23286" t="s">
        <v>16886</v>
      </c>
      <c r="C23286" t="s">
        <v>253</v>
      </c>
      <c r="D23286" s="21" t="s">
        <v>34</v>
      </c>
      <c r="E23286" s="21" t="s">
        <v>1089</v>
      </c>
      <c r="F23286">
        <v>12440131</v>
      </c>
      <c r="G23286" t="s">
        <v>15572</v>
      </c>
      <c r="H23286" s="21">
        <v>677.92</v>
      </c>
    </row>
    <row r="23287" spans="1:8" customFormat="1" x14ac:dyDescent="0.25">
      <c r="A23287" t="str">
        <f>"9228865"</f>
        <v>9228865</v>
      </c>
      <c r="B23287" t="s">
        <v>1460</v>
      </c>
      <c r="C23287" t="s">
        <v>601</v>
      </c>
      <c r="D23287" s="21" t="s">
        <v>34</v>
      </c>
      <c r="E23287" s="21" t="s">
        <v>35</v>
      </c>
      <c r="F23287">
        <v>8920505</v>
      </c>
      <c r="G23287" t="s">
        <v>12288</v>
      </c>
      <c r="H23287" s="21">
        <v>677.79</v>
      </c>
    </row>
    <row r="23288" spans="1:8" customFormat="1" x14ac:dyDescent="0.25">
      <c r="A23288" t="str">
        <f>"663135"</f>
        <v>663135</v>
      </c>
      <c r="B23288" t="s">
        <v>18544</v>
      </c>
      <c r="C23288" t="s">
        <v>631</v>
      </c>
      <c r="D23288" s="21" t="s">
        <v>34</v>
      </c>
      <c r="E23288" s="21" t="s">
        <v>35</v>
      </c>
      <c r="F23288">
        <v>11660003</v>
      </c>
      <c r="G23288" t="s">
        <v>5188</v>
      </c>
      <c r="H23288" s="21">
        <v>677.79</v>
      </c>
    </row>
    <row r="23289" spans="1:8" customFormat="1" x14ac:dyDescent="0.25">
      <c r="A23289" t="str">
        <f>"308711"</f>
        <v>308711</v>
      </c>
      <c r="B23289" t="s">
        <v>19967</v>
      </c>
      <c r="C23289" t="s">
        <v>269</v>
      </c>
      <c r="D23289" s="21" t="s">
        <v>34</v>
      </c>
      <c r="E23289" s="21" t="s">
        <v>254</v>
      </c>
      <c r="F23289">
        <v>11300025</v>
      </c>
      <c r="G23289" t="s">
        <v>1211</v>
      </c>
      <c r="H23289" s="21">
        <v>677.79</v>
      </c>
    </row>
    <row r="23290" spans="1:8" customFormat="1" x14ac:dyDescent="0.25">
      <c r="A23290" t="str">
        <f>"1319556"</f>
        <v>1319556</v>
      </c>
      <c r="B23290" t="s">
        <v>21546</v>
      </c>
      <c r="C23290" t="s">
        <v>121</v>
      </c>
      <c r="D23290" s="21" t="s">
        <v>34</v>
      </c>
      <c r="E23290" s="21" t="s">
        <v>35</v>
      </c>
      <c r="F23290">
        <v>13130145</v>
      </c>
      <c r="G23290" t="s">
        <v>21547</v>
      </c>
      <c r="H23290" s="21">
        <v>677.67</v>
      </c>
    </row>
    <row r="23291" spans="1:8" customFormat="1" x14ac:dyDescent="0.25">
      <c r="A23291" t="str">
        <f>"7859683"</f>
        <v>7859683</v>
      </c>
      <c r="B23291" t="s">
        <v>17815</v>
      </c>
      <c r="C23291" t="s">
        <v>2907</v>
      </c>
      <c r="D23291" s="21" t="s">
        <v>34</v>
      </c>
      <c r="E23291" s="21" t="s">
        <v>71</v>
      </c>
      <c r="F23291">
        <v>8780585</v>
      </c>
      <c r="G23291" t="s">
        <v>4630</v>
      </c>
      <c r="H23291" s="21">
        <v>677.67</v>
      </c>
    </row>
    <row r="23292" spans="1:8" customFormat="1" x14ac:dyDescent="0.25">
      <c r="A23292" t="str">
        <f>"246573"</f>
        <v>246573</v>
      </c>
      <c r="B23292" t="s">
        <v>19063</v>
      </c>
      <c r="C23292" t="s">
        <v>119</v>
      </c>
      <c r="D23292" s="21" t="s">
        <v>34</v>
      </c>
      <c r="E23292" s="21" t="s">
        <v>71</v>
      </c>
      <c r="F23292">
        <v>10240020</v>
      </c>
      <c r="G23292" t="s">
        <v>870</v>
      </c>
      <c r="H23292" s="21">
        <v>677.67</v>
      </c>
    </row>
    <row r="23293" spans="1:8" customFormat="1" x14ac:dyDescent="0.25">
      <c r="A23293" t="str">
        <f>"9445200"</f>
        <v>9445200</v>
      </c>
      <c r="B23293" t="s">
        <v>1240</v>
      </c>
      <c r="C23293" t="s">
        <v>17129</v>
      </c>
      <c r="D23293" s="21" t="s">
        <v>34</v>
      </c>
      <c r="E23293" s="21" t="s">
        <v>71</v>
      </c>
      <c r="F23293">
        <v>8940096</v>
      </c>
      <c r="G23293" t="s">
        <v>5453</v>
      </c>
      <c r="H23293" s="21">
        <v>677.67</v>
      </c>
    </row>
    <row r="23294" spans="1:8" customFormat="1" x14ac:dyDescent="0.25">
      <c r="A23294" t="str">
        <f>"4442062"</f>
        <v>4442062</v>
      </c>
      <c r="B23294" t="s">
        <v>18360</v>
      </c>
      <c r="C23294" t="s">
        <v>124</v>
      </c>
      <c r="D23294" s="21" t="s">
        <v>34</v>
      </c>
      <c r="E23294" s="21" t="s">
        <v>35</v>
      </c>
      <c r="F23294">
        <v>12440074</v>
      </c>
      <c r="G23294" t="s">
        <v>2436</v>
      </c>
      <c r="H23294" s="21">
        <v>677.67</v>
      </c>
    </row>
    <row r="23295" spans="1:8" customFormat="1" x14ac:dyDescent="0.25">
      <c r="A23295" t="str">
        <f>"5620042"</f>
        <v>5620042</v>
      </c>
      <c r="B23295" t="s">
        <v>18870</v>
      </c>
      <c r="C23295" t="s">
        <v>98</v>
      </c>
      <c r="D23295" s="21" t="s">
        <v>34</v>
      </c>
      <c r="E23295" s="21" t="s">
        <v>35</v>
      </c>
      <c r="F23295">
        <v>3560050</v>
      </c>
      <c r="G23295" t="s">
        <v>5322</v>
      </c>
      <c r="H23295" s="21">
        <v>677.67</v>
      </c>
    </row>
    <row r="23296" spans="1:8" customFormat="1" x14ac:dyDescent="0.25">
      <c r="A23296" t="str">
        <f>"1314269"</f>
        <v>1314269</v>
      </c>
      <c r="B23296" t="s">
        <v>5098</v>
      </c>
      <c r="C23296" t="s">
        <v>2958</v>
      </c>
      <c r="D23296" s="21" t="s">
        <v>34</v>
      </c>
      <c r="E23296" s="21" t="s">
        <v>71</v>
      </c>
      <c r="F23296">
        <v>13130146</v>
      </c>
      <c r="G23296" t="s">
        <v>2471</v>
      </c>
      <c r="H23296" s="21">
        <v>677.67</v>
      </c>
    </row>
    <row r="23297" spans="1:8" customFormat="1" x14ac:dyDescent="0.25">
      <c r="A23297" t="str">
        <f>"2924505"</f>
        <v>2924505</v>
      </c>
      <c r="B23297" t="s">
        <v>6301</v>
      </c>
      <c r="C23297" t="s">
        <v>1705</v>
      </c>
      <c r="D23297" s="21" t="s">
        <v>34</v>
      </c>
      <c r="E23297" s="21" t="s">
        <v>71</v>
      </c>
      <c r="F23297">
        <v>3290266</v>
      </c>
      <c r="G23297" t="s">
        <v>1783</v>
      </c>
      <c r="H23297" s="21">
        <v>677.67</v>
      </c>
    </row>
    <row r="23298" spans="1:8" customFormat="1" x14ac:dyDescent="0.25">
      <c r="A23298" t="str">
        <f>"4437627"</f>
        <v>4437627</v>
      </c>
      <c r="B23298" t="s">
        <v>7082</v>
      </c>
      <c r="C23298" t="s">
        <v>55</v>
      </c>
      <c r="D23298" s="21" t="s">
        <v>34</v>
      </c>
      <c r="E23298" s="21" t="s">
        <v>71</v>
      </c>
      <c r="F23298">
        <v>12440039</v>
      </c>
      <c r="G23298" t="s">
        <v>9650</v>
      </c>
      <c r="H23298" s="21">
        <v>677.67</v>
      </c>
    </row>
    <row r="23299" spans="1:8" customFormat="1" x14ac:dyDescent="0.25">
      <c r="A23299" t="str">
        <f>"9235362"</f>
        <v>9235362</v>
      </c>
      <c r="B23299" t="s">
        <v>16774</v>
      </c>
      <c r="C23299" t="s">
        <v>239</v>
      </c>
      <c r="D23299" s="21" t="s">
        <v>34</v>
      </c>
      <c r="E23299" s="21" t="s">
        <v>1089</v>
      </c>
      <c r="F23299">
        <v>8920049</v>
      </c>
      <c r="G23299" t="s">
        <v>237</v>
      </c>
      <c r="H23299" s="21">
        <v>677.67</v>
      </c>
    </row>
    <row r="23300" spans="1:8" customFormat="1" x14ac:dyDescent="0.25">
      <c r="A23300" t="str">
        <f>"153663"</f>
        <v>153663</v>
      </c>
      <c r="B23300" t="s">
        <v>1943</v>
      </c>
      <c r="C23300" t="s">
        <v>55</v>
      </c>
      <c r="D23300" s="21" t="s">
        <v>34</v>
      </c>
      <c r="E23300" s="21" t="s">
        <v>35</v>
      </c>
      <c r="F23300">
        <v>1150304</v>
      </c>
      <c r="G23300" t="s">
        <v>5647</v>
      </c>
      <c r="H23300" s="21">
        <v>677.67</v>
      </c>
    </row>
    <row r="23301" spans="1:8" customFormat="1" x14ac:dyDescent="0.25">
      <c r="A23301" t="str">
        <f>"2511484"</f>
        <v>2511484</v>
      </c>
      <c r="B23301" t="s">
        <v>13027</v>
      </c>
      <c r="C23301" t="s">
        <v>90</v>
      </c>
      <c r="D23301" s="21" t="s">
        <v>34</v>
      </c>
      <c r="E23301" s="21" t="s">
        <v>71</v>
      </c>
      <c r="F23301">
        <v>2250002</v>
      </c>
      <c r="G23301" t="s">
        <v>2745</v>
      </c>
      <c r="H23301" s="21">
        <v>677.67</v>
      </c>
    </row>
    <row r="23302" spans="1:8" customFormat="1" x14ac:dyDescent="0.25">
      <c r="A23302" t="str">
        <f>"1419839"</f>
        <v>1419839</v>
      </c>
      <c r="B23302" t="s">
        <v>4343</v>
      </c>
      <c r="C23302" t="s">
        <v>239</v>
      </c>
      <c r="D23302" s="21" t="s">
        <v>34</v>
      </c>
      <c r="E23302" s="21" t="s">
        <v>35</v>
      </c>
      <c r="F23302">
        <v>9140013</v>
      </c>
      <c r="G23302" t="s">
        <v>1837</v>
      </c>
      <c r="H23302" s="21">
        <v>677.67</v>
      </c>
    </row>
    <row r="23303" spans="1:8" customFormat="1" x14ac:dyDescent="0.25">
      <c r="A23303" t="str">
        <f>"217980"</f>
        <v>217980</v>
      </c>
      <c r="B23303" t="s">
        <v>12030</v>
      </c>
      <c r="C23303" t="s">
        <v>328</v>
      </c>
      <c r="D23303" s="21" t="s">
        <v>34</v>
      </c>
      <c r="E23303" s="21" t="s">
        <v>35</v>
      </c>
      <c r="F23303">
        <v>2210100</v>
      </c>
      <c r="G23303" t="s">
        <v>1608</v>
      </c>
      <c r="H23303" s="21">
        <v>677.67</v>
      </c>
    </row>
    <row r="23304" spans="1:8" customFormat="1" x14ac:dyDescent="0.25">
      <c r="A23304" t="str">
        <f>"509616"</f>
        <v>509616</v>
      </c>
      <c r="B23304" t="s">
        <v>616</v>
      </c>
      <c r="C23304" t="s">
        <v>269</v>
      </c>
      <c r="D23304" s="21" t="s">
        <v>34</v>
      </c>
      <c r="E23304" s="21" t="s">
        <v>71</v>
      </c>
      <c r="F23304">
        <v>9500012</v>
      </c>
      <c r="G23304" t="s">
        <v>10097</v>
      </c>
      <c r="H23304" s="21">
        <v>677.67</v>
      </c>
    </row>
    <row r="23305" spans="1:8" customFormat="1" x14ac:dyDescent="0.25">
      <c r="A23305" t="str">
        <f>"4922155"</f>
        <v>4922155</v>
      </c>
      <c r="B23305" t="s">
        <v>2263</v>
      </c>
      <c r="C23305" t="s">
        <v>204</v>
      </c>
      <c r="D23305" s="21" t="s">
        <v>34</v>
      </c>
      <c r="E23305" s="21" t="s">
        <v>35</v>
      </c>
      <c r="F23305">
        <v>12490122</v>
      </c>
      <c r="G23305" t="s">
        <v>26752</v>
      </c>
      <c r="H23305" s="21">
        <v>677.67</v>
      </c>
    </row>
    <row r="23306" spans="1:8" customFormat="1" x14ac:dyDescent="0.25">
      <c r="A23306" t="str">
        <f>"536626"</f>
        <v>536626</v>
      </c>
      <c r="B23306" t="s">
        <v>1886</v>
      </c>
      <c r="C23306" t="s">
        <v>209</v>
      </c>
      <c r="D23306" s="21" t="s">
        <v>34</v>
      </c>
      <c r="E23306" s="21" t="s">
        <v>71</v>
      </c>
      <c r="F23306">
        <v>12530121</v>
      </c>
      <c r="G23306" t="s">
        <v>16301</v>
      </c>
      <c r="H23306" s="21">
        <v>677.67</v>
      </c>
    </row>
    <row r="23307" spans="1:8" customFormat="1" x14ac:dyDescent="0.25">
      <c r="A23307" t="str">
        <f>"2933910"</f>
        <v>2933910</v>
      </c>
      <c r="B23307" t="s">
        <v>9102</v>
      </c>
      <c r="C23307" t="s">
        <v>462</v>
      </c>
      <c r="D23307" s="21" t="s">
        <v>34</v>
      </c>
      <c r="E23307" s="21" t="s">
        <v>71</v>
      </c>
      <c r="F23307">
        <v>3290290</v>
      </c>
      <c r="G23307" t="s">
        <v>27072</v>
      </c>
      <c r="H23307" s="21">
        <v>677.67</v>
      </c>
    </row>
    <row r="23308" spans="1:8" customFormat="1" x14ac:dyDescent="0.25">
      <c r="A23308" t="str">
        <f>"022005"</f>
        <v>022005</v>
      </c>
      <c r="B23308" t="s">
        <v>17415</v>
      </c>
      <c r="C23308" t="s">
        <v>547</v>
      </c>
      <c r="D23308" s="21" t="s">
        <v>34</v>
      </c>
      <c r="E23308" s="21" t="s">
        <v>71</v>
      </c>
      <c r="F23308">
        <v>7590049</v>
      </c>
      <c r="G23308" t="s">
        <v>11040</v>
      </c>
      <c r="H23308" s="21">
        <v>677.67</v>
      </c>
    </row>
    <row r="23309" spans="1:8" customFormat="1" x14ac:dyDescent="0.25">
      <c r="A23309" t="str">
        <f>"9136021"</f>
        <v>9136021</v>
      </c>
      <c r="B23309" t="s">
        <v>17111</v>
      </c>
      <c r="C23309" t="s">
        <v>33</v>
      </c>
      <c r="D23309" s="21" t="s">
        <v>34</v>
      </c>
      <c r="E23309" s="21" t="s">
        <v>71</v>
      </c>
      <c r="F23309">
        <v>8910567</v>
      </c>
      <c r="G23309" t="s">
        <v>5111</v>
      </c>
      <c r="H23309" s="21">
        <v>677.67</v>
      </c>
    </row>
    <row r="23310" spans="1:8" customFormat="1" x14ac:dyDescent="0.25">
      <c r="A23310" t="str">
        <f>"274283"</f>
        <v>274283</v>
      </c>
      <c r="B23310" t="s">
        <v>18897</v>
      </c>
      <c r="C23310" t="s">
        <v>598</v>
      </c>
      <c r="D23310" s="21" t="s">
        <v>34</v>
      </c>
      <c r="E23310" s="21" t="s">
        <v>254</v>
      </c>
      <c r="F23310">
        <v>9270028</v>
      </c>
      <c r="G23310" t="s">
        <v>6091</v>
      </c>
      <c r="H23310" s="21">
        <v>677.67</v>
      </c>
    </row>
    <row r="23311" spans="1:8" customFormat="1" x14ac:dyDescent="0.25">
      <c r="A23311" t="str">
        <f>"667686"</f>
        <v>667686</v>
      </c>
      <c r="B23311" t="s">
        <v>1525</v>
      </c>
      <c r="C23311" t="s">
        <v>3497</v>
      </c>
      <c r="D23311" s="21" t="s">
        <v>34</v>
      </c>
      <c r="E23311" s="21" t="s">
        <v>35</v>
      </c>
      <c r="F23311">
        <v>11660040</v>
      </c>
      <c r="G23311" t="s">
        <v>17413</v>
      </c>
      <c r="H23311" s="21">
        <v>677.67</v>
      </c>
    </row>
    <row r="23312" spans="1:8" customFormat="1" x14ac:dyDescent="0.25">
      <c r="A23312" t="str">
        <f>"628776"</f>
        <v>628776</v>
      </c>
      <c r="B23312" t="s">
        <v>9091</v>
      </c>
      <c r="C23312" t="s">
        <v>415</v>
      </c>
      <c r="D23312" s="21" t="s">
        <v>34</v>
      </c>
      <c r="E23312" s="21" t="s">
        <v>71</v>
      </c>
      <c r="F23312">
        <v>7620029</v>
      </c>
      <c r="G23312" t="s">
        <v>7730</v>
      </c>
      <c r="H23312" s="21">
        <v>677.67</v>
      </c>
    </row>
    <row r="23313" spans="1:8" customFormat="1" x14ac:dyDescent="0.25">
      <c r="A23313" t="str">
        <f>"7870400"</f>
        <v>7870400</v>
      </c>
      <c r="B23313" t="s">
        <v>18438</v>
      </c>
      <c r="C23313" t="s">
        <v>139</v>
      </c>
      <c r="D23313" s="21" t="s">
        <v>34</v>
      </c>
      <c r="E23313" s="21" t="s">
        <v>35</v>
      </c>
      <c r="F23313">
        <v>8780496</v>
      </c>
      <c r="G23313" t="s">
        <v>2477</v>
      </c>
      <c r="H23313" s="21">
        <v>677.67</v>
      </c>
    </row>
    <row r="23314" spans="1:8" customFormat="1" x14ac:dyDescent="0.25">
      <c r="A23314" t="str">
        <f>"4218563"</f>
        <v>4218563</v>
      </c>
      <c r="B23314" t="s">
        <v>19099</v>
      </c>
      <c r="C23314" t="s">
        <v>33</v>
      </c>
      <c r="D23314" s="21" t="s">
        <v>34</v>
      </c>
      <c r="E23314" s="21" t="s">
        <v>71</v>
      </c>
      <c r="F23314">
        <v>1420018</v>
      </c>
      <c r="G23314" t="s">
        <v>9778</v>
      </c>
      <c r="H23314" s="21">
        <v>677.67</v>
      </c>
    </row>
    <row r="23315" spans="1:8" customFormat="1" x14ac:dyDescent="0.25">
      <c r="A23315" t="str">
        <f>"3331404"</f>
        <v>3331404</v>
      </c>
      <c r="B23315" t="s">
        <v>1614</v>
      </c>
      <c r="C23315" t="s">
        <v>486</v>
      </c>
      <c r="D23315" s="21" t="s">
        <v>34</v>
      </c>
      <c r="E23315" s="21" t="s">
        <v>35</v>
      </c>
      <c r="F23315">
        <v>10330050</v>
      </c>
      <c r="G23315" t="s">
        <v>2488</v>
      </c>
      <c r="H23315" s="21">
        <v>677.67</v>
      </c>
    </row>
    <row r="23316" spans="1:8" customFormat="1" x14ac:dyDescent="0.25">
      <c r="A23316" t="str">
        <f>"7627009"</f>
        <v>7627009</v>
      </c>
      <c r="B23316" t="s">
        <v>19073</v>
      </c>
      <c r="C23316" t="s">
        <v>1054</v>
      </c>
      <c r="D23316" s="21" t="s">
        <v>34</v>
      </c>
      <c r="E23316" s="21" t="s">
        <v>254</v>
      </c>
      <c r="F23316">
        <v>9760004</v>
      </c>
      <c r="G23316" t="s">
        <v>56</v>
      </c>
      <c r="H23316" s="21">
        <v>677.67</v>
      </c>
    </row>
    <row r="23317" spans="1:8" customFormat="1" x14ac:dyDescent="0.25">
      <c r="A23317" t="str">
        <f>"711615"</f>
        <v>711615</v>
      </c>
      <c r="B23317" t="s">
        <v>12413</v>
      </c>
      <c r="C23317" t="s">
        <v>144</v>
      </c>
      <c r="D23317" s="21" t="s">
        <v>34</v>
      </c>
      <c r="E23317" s="21" t="s">
        <v>1089</v>
      </c>
      <c r="F23317">
        <v>2710067</v>
      </c>
      <c r="G23317" t="s">
        <v>284</v>
      </c>
      <c r="H23317" s="21">
        <v>677.67</v>
      </c>
    </row>
    <row r="23318" spans="1:8" customFormat="1" x14ac:dyDescent="0.25">
      <c r="A23318" t="str">
        <f>"9527938"</f>
        <v>9527938</v>
      </c>
      <c r="B23318" t="s">
        <v>18295</v>
      </c>
      <c r="C23318" t="s">
        <v>2301</v>
      </c>
      <c r="D23318" s="21" t="s">
        <v>34</v>
      </c>
      <c r="E23318" s="21" t="s">
        <v>35</v>
      </c>
      <c r="F23318">
        <v>10330125</v>
      </c>
      <c r="G23318" t="s">
        <v>3753</v>
      </c>
      <c r="H23318" s="21">
        <v>677.42</v>
      </c>
    </row>
    <row r="23319" spans="1:8" customFormat="1" x14ac:dyDescent="0.25">
      <c r="A23319" t="str">
        <f>"8528281"</f>
        <v>8528281</v>
      </c>
      <c r="B23319" t="s">
        <v>3179</v>
      </c>
      <c r="C23319" t="s">
        <v>169</v>
      </c>
      <c r="D23319" s="21" t="s">
        <v>34</v>
      </c>
      <c r="E23319" s="21" t="s">
        <v>71</v>
      </c>
      <c r="F23319">
        <v>12850028</v>
      </c>
      <c r="G23319" t="s">
        <v>1700</v>
      </c>
      <c r="H23319" s="21">
        <v>677.42</v>
      </c>
    </row>
    <row r="23320" spans="1:8" customFormat="1" x14ac:dyDescent="0.25">
      <c r="A23320" t="str">
        <f>"0611685"</f>
        <v>0611685</v>
      </c>
      <c r="B23320" t="s">
        <v>17266</v>
      </c>
      <c r="C23320" t="s">
        <v>17267</v>
      </c>
      <c r="D23320" s="21" t="s">
        <v>34</v>
      </c>
      <c r="E23320" s="21" t="s">
        <v>71</v>
      </c>
      <c r="F23320">
        <v>13060043</v>
      </c>
      <c r="G23320" t="s">
        <v>4761</v>
      </c>
      <c r="H23320" s="21">
        <v>677.29</v>
      </c>
    </row>
    <row r="23321" spans="1:8" customFormat="1" x14ac:dyDescent="0.25">
      <c r="A23321" t="str">
        <f>"562993"</f>
        <v>562993</v>
      </c>
      <c r="B23321" t="s">
        <v>18298</v>
      </c>
      <c r="C23321" t="s">
        <v>1142</v>
      </c>
      <c r="D23321" s="21" t="s">
        <v>34</v>
      </c>
      <c r="E23321" s="21" t="s">
        <v>71</v>
      </c>
      <c r="F23321">
        <v>3560072</v>
      </c>
      <c r="G23321" t="s">
        <v>12285</v>
      </c>
      <c r="H23321" s="21">
        <v>677.17</v>
      </c>
    </row>
    <row r="23322" spans="1:8" customFormat="1" x14ac:dyDescent="0.25">
      <c r="A23322" t="str">
        <f>"165375"</f>
        <v>165375</v>
      </c>
      <c r="B23322" t="s">
        <v>7512</v>
      </c>
      <c r="C23322" t="s">
        <v>415</v>
      </c>
      <c r="D23322" s="21" t="s">
        <v>34</v>
      </c>
      <c r="E23322" s="21" t="s">
        <v>254</v>
      </c>
      <c r="F23322">
        <v>10160042</v>
      </c>
      <c r="G23322" t="s">
        <v>7461</v>
      </c>
      <c r="H23322" s="21">
        <v>677.17</v>
      </c>
    </row>
    <row r="23323" spans="1:8" customFormat="1" x14ac:dyDescent="0.25">
      <c r="A23323" t="str">
        <f>"4426637"</f>
        <v>4426637</v>
      </c>
      <c r="B23323" t="s">
        <v>7614</v>
      </c>
      <c r="C23323" t="s">
        <v>239</v>
      </c>
      <c r="D23323" s="21" t="s">
        <v>34</v>
      </c>
      <c r="E23323" s="21" t="s">
        <v>35</v>
      </c>
      <c r="F23323">
        <v>12490024</v>
      </c>
      <c r="G23323" t="s">
        <v>9869</v>
      </c>
      <c r="H23323" s="21">
        <v>677.17</v>
      </c>
    </row>
    <row r="23324" spans="1:8" customFormat="1" x14ac:dyDescent="0.25">
      <c r="A23324" t="str">
        <f>"6212271"</f>
        <v>6212271</v>
      </c>
      <c r="B23324" t="s">
        <v>3472</v>
      </c>
      <c r="C23324" t="s">
        <v>171</v>
      </c>
      <c r="D23324" s="21" t="s">
        <v>34</v>
      </c>
      <c r="E23324" s="21" t="s">
        <v>71</v>
      </c>
      <c r="F23324">
        <v>7620063</v>
      </c>
      <c r="G23324" t="s">
        <v>1889</v>
      </c>
      <c r="H23324" s="21">
        <v>677.17</v>
      </c>
    </row>
    <row r="23325" spans="1:8" customFormat="1" x14ac:dyDescent="0.25">
      <c r="A23325" t="str">
        <f>"8527792"</f>
        <v>8527792</v>
      </c>
      <c r="B23325" t="s">
        <v>12849</v>
      </c>
      <c r="C23325" t="s">
        <v>139</v>
      </c>
      <c r="D23325" s="21" t="s">
        <v>34</v>
      </c>
      <c r="E23325" s="21" t="s">
        <v>35</v>
      </c>
      <c r="F23325">
        <v>12851023</v>
      </c>
      <c r="G23325" t="s">
        <v>1075</v>
      </c>
      <c r="H23325" s="21">
        <v>677.17</v>
      </c>
    </row>
    <row r="23326" spans="1:8" customFormat="1" x14ac:dyDescent="0.25">
      <c r="A23326" t="str">
        <f>"4928644"</f>
        <v>4928644</v>
      </c>
      <c r="B23326" t="s">
        <v>12192</v>
      </c>
      <c r="C23326" t="s">
        <v>311</v>
      </c>
      <c r="D23326" s="21" t="s">
        <v>34</v>
      </c>
      <c r="E23326" s="21" t="s">
        <v>35</v>
      </c>
      <c r="F23326">
        <v>12490035</v>
      </c>
      <c r="G23326" t="s">
        <v>9242</v>
      </c>
      <c r="H23326" s="21">
        <v>677.17</v>
      </c>
    </row>
    <row r="23327" spans="1:8" customFormat="1" x14ac:dyDescent="0.25">
      <c r="A23327" t="str">
        <f>"1613207"</f>
        <v>1613207</v>
      </c>
      <c r="B23327" t="s">
        <v>17103</v>
      </c>
      <c r="C23327" t="s">
        <v>14362</v>
      </c>
      <c r="D23327" s="21" t="s">
        <v>34</v>
      </c>
      <c r="E23327" s="21" t="s">
        <v>35</v>
      </c>
      <c r="F23327">
        <v>10160196</v>
      </c>
      <c r="G23327" t="s">
        <v>13348</v>
      </c>
      <c r="H23327" s="21">
        <v>677.17</v>
      </c>
    </row>
    <row r="23328" spans="1:8" customFormat="1" x14ac:dyDescent="0.25">
      <c r="A23328" t="str">
        <f>"5929072"</f>
        <v>5929072</v>
      </c>
      <c r="B23328" t="s">
        <v>15395</v>
      </c>
      <c r="C23328" t="s">
        <v>2365</v>
      </c>
      <c r="D23328" s="21" t="s">
        <v>34</v>
      </c>
      <c r="E23328" s="21" t="s">
        <v>254</v>
      </c>
      <c r="F23328">
        <v>7590194</v>
      </c>
      <c r="G23328" t="s">
        <v>460</v>
      </c>
      <c r="H23328" s="21">
        <v>677.17</v>
      </c>
    </row>
    <row r="23329" spans="1:8" customFormat="1" x14ac:dyDescent="0.25">
      <c r="A23329" t="str">
        <f>"7866662"</f>
        <v>7866662</v>
      </c>
      <c r="B23329" t="s">
        <v>19052</v>
      </c>
      <c r="C23329" t="s">
        <v>156</v>
      </c>
      <c r="D23329" s="21" t="s">
        <v>34</v>
      </c>
      <c r="E23329" s="21" t="s">
        <v>35</v>
      </c>
      <c r="F23329">
        <v>8780871</v>
      </c>
      <c r="G23329" t="s">
        <v>3405</v>
      </c>
      <c r="H23329" s="21">
        <v>677.17</v>
      </c>
    </row>
    <row r="23330" spans="1:8" customFormat="1" x14ac:dyDescent="0.25">
      <c r="A23330" t="str">
        <f>"4453833"</f>
        <v>4453833</v>
      </c>
      <c r="B23330" t="s">
        <v>1444</v>
      </c>
      <c r="C23330" t="s">
        <v>566</v>
      </c>
      <c r="D23330" s="21" t="s">
        <v>34</v>
      </c>
      <c r="E23330" s="21" t="s">
        <v>35</v>
      </c>
      <c r="F23330">
        <v>12440148</v>
      </c>
      <c r="G23330" t="s">
        <v>27727</v>
      </c>
      <c r="H23330" s="21">
        <v>677.17</v>
      </c>
    </row>
    <row r="23331" spans="1:8" customFormat="1" x14ac:dyDescent="0.25">
      <c r="A23331" t="str">
        <f>"7635014"</f>
        <v>7635014</v>
      </c>
      <c r="B23331" t="s">
        <v>17268</v>
      </c>
      <c r="C23331" t="s">
        <v>415</v>
      </c>
      <c r="D23331" s="21" t="s">
        <v>34</v>
      </c>
      <c r="E23331" s="21" t="s">
        <v>71</v>
      </c>
      <c r="F23331">
        <v>9760419</v>
      </c>
      <c r="G23331" t="s">
        <v>8549</v>
      </c>
      <c r="H23331" s="21">
        <v>677.17</v>
      </c>
    </row>
    <row r="23332" spans="1:8" customFormat="1" x14ac:dyDescent="0.25">
      <c r="A23332" t="str">
        <f>"5927158"</f>
        <v>5927158</v>
      </c>
      <c r="B23332" t="s">
        <v>17451</v>
      </c>
      <c r="C23332" t="s">
        <v>263</v>
      </c>
      <c r="D23332" s="21" t="s">
        <v>34</v>
      </c>
      <c r="E23332" s="21" t="s">
        <v>71</v>
      </c>
      <c r="F23332">
        <v>7590058</v>
      </c>
      <c r="G23332" t="s">
        <v>5044</v>
      </c>
      <c r="H23332" s="21">
        <v>677.17</v>
      </c>
    </row>
    <row r="23333" spans="1:8" customFormat="1" x14ac:dyDescent="0.25">
      <c r="A23333" t="str">
        <f>"847196"</f>
        <v>847196</v>
      </c>
      <c r="B23333" t="s">
        <v>15990</v>
      </c>
      <c r="C23333" t="s">
        <v>33</v>
      </c>
      <c r="D23333" s="21" t="s">
        <v>34</v>
      </c>
      <c r="E23333" s="21" t="s">
        <v>35</v>
      </c>
      <c r="F23333">
        <v>13840037</v>
      </c>
      <c r="G23333" t="s">
        <v>2019</v>
      </c>
      <c r="H23333" s="21">
        <v>677.17</v>
      </c>
    </row>
    <row r="23334" spans="1:8" customFormat="1" x14ac:dyDescent="0.25">
      <c r="A23334" t="str">
        <f>"554672"</f>
        <v>554672</v>
      </c>
      <c r="B23334" t="s">
        <v>638</v>
      </c>
      <c r="C23334" t="s">
        <v>121</v>
      </c>
      <c r="D23334" s="21" t="s">
        <v>34</v>
      </c>
      <c r="E23334" s="21" t="s">
        <v>254</v>
      </c>
      <c r="F23334">
        <v>6550003</v>
      </c>
      <c r="G23334" t="s">
        <v>7721</v>
      </c>
      <c r="H23334" s="21">
        <v>677.17</v>
      </c>
    </row>
    <row r="23335" spans="1:8" customFormat="1" x14ac:dyDescent="0.25">
      <c r="A23335" t="str">
        <f>"7836865"</f>
        <v>7836865</v>
      </c>
      <c r="B23335" t="s">
        <v>3041</v>
      </c>
      <c r="C23335" t="s">
        <v>17715</v>
      </c>
      <c r="D23335" s="21" t="s">
        <v>34</v>
      </c>
      <c r="E23335" s="21" t="s">
        <v>35</v>
      </c>
      <c r="F23335">
        <v>8781473</v>
      </c>
      <c r="G23335" t="s">
        <v>1097</v>
      </c>
      <c r="H23335" s="21">
        <v>677.04</v>
      </c>
    </row>
    <row r="23336" spans="1:8" customFormat="1" x14ac:dyDescent="0.25">
      <c r="A23336" t="str">
        <f>"4513923"</f>
        <v>4513923</v>
      </c>
      <c r="B23336" t="s">
        <v>2746</v>
      </c>
      <c r="C23336" t="s">
        <v>486</v>
      </c>
      <c r="D23336" s="21" t="s">
        <v>34</v>
      </c>
      <c r="E23336" s="21" t="s">
        <v>71</v>
      </c>
      <c r="F23336">
        <v>4450571</v>
      </c>
      <c r="G23336" t="s">
        <v>188</v>
      </c>
      <c r="H23336" s="21">
        <v>676.92</v>
      </c>
    </row>
    <row r="23337" spans="1:8" customFormat="1" x14ac:dyDescent="0.25">
      <c r="A23337" t="str">
        <f>"3425081"</f>
        <v>3425081</v>
      </c>
      <c r="B23337" t="s">
        <v>17759</v>
      </c>
      <c r="C23337" t="s">
        <v>1119</v>
      </c>
      <c r="D23337" s="21" t="s">
        <v>34</v>
      </c>
      <c r="E23337" s="21" t="s">
        <v>1089</v>
      </c>
      <c r="F23337">
        <v>11340008</v>
      </c>
      <c r="G23337" t="s">
        <v>312</v>
      </c>
      <c r="H23337" s="21">
        <v>676.92</v>
      </c>
    </row>
    <row r="23338" spans="1:8" customFormat="1" x14ac:dyDescent="0.25">
      <c r="A23338" t="str">
        <f>"4455428"</f>
        <v>4455428</v>
      </c>
      <c r="B23338" t="s">
        <v>970</v>
      </c>
      <c r="C23338" t="s">
        <v>22104</v>
      </c>
      <c r="D23338" s="21" t="s">
        <v>34</v>
      </c>
      <c r="E23338" s="21" t="s">
        <v>35</v>
      </c>
      <c r="F23338">
        <v>12440084</v>
      </c>
      <c r="G23338" t="s">
        <v>1014</v>
      </c>
      <c r="H23338" s="21">
        <v>676.67</v>
      </c>
    </row>
    <row r="23339" spans="1:8" customFormat="1" x14ac:dyDescent="0.25">
      <c r="A23339" t="str">
        <f>"5958018"</f>
        <v>5958018</v>
      </c>
      <c r="B23339" t="s">
        <v>7727</v>
      </c>
      <c r="C23339" t="s">
        <v>1412</v>
      </c>
      <c r="D23339" s="21" t="s">
        <v>34</v>
      </c>
      <c r="E23339" s="21" t="s">
        <v>35</v>
      </c>
      <c r="F23339">
        <v>7590087</v>
      </c>
      <c r="G23339" t="s">
        <v>2112</v>
      </c>
      <c r="H23339" s="21">
        <v>676.67</v>
      </c>
    </row>
    <row r="23340" spans="1:8" customFormat="1" x14ac:dyDescent="0.25">
      <c r="A23340" t="str">
        <f>"2511324"</f>
        <v>2511324</v>
      </c>
      <c r="B23340" t="s">
        <v>18091</v>
      </c>
      <c r="C23340" t="s">
        <v>652</v>
      </c>
      <c r="D23340" s="21" t="s">
        <v>34</v>
      </c>
      <c r="E23340" s="21" t="s">
        <v>254</v>
      </c>
      <c r="F23340">
        <v>2250007</v>
      </c>
      <c r="G23340" t="s">
        <v>1137</v>
      </c>
      <c r="H23340" s="21">
        <v>676.67</v>
      </c>
    </row>
    <row r="23341" spans="1:8" customFormat="1" x14ac:dyDescent="0.25">
      <c r="A23341" t="str">
        <f>"5916461"</f>
        <v>5916461</v>
      </c>
      <c r="B23341" t="s">
        <v>17442</v>
      </c>
      <c r="C23341" t="s">
        <v>209</v>
      </c>
      <c r="D23341" s="21" t="s">
        <v>34</v>
      </c>
      <c r="E23341" s="21" t="s">
        <v>71</v>
      </c>
      <c r="F23341">
        <v>7590016</v>
      </c>
      <c r="G23341" t="s">
        <v>5653</v>
      </c>
      <c r="H23341" s="21">
        <v>676.67</v>
      </c>
    </row>
    <row r="23342" spans="1:8" customFormat="1" x14ac:dyDescent="0.25">
      <c r="A23342" t="str">
        <f>"5339"</f>
        <v>5339</v>
      </c>
      <c r="B23342" t="s">
        <v>15829</v>
      </c>
      <c r="C23342" t="s">
        <v>263</v>
      </c>
      <c r="D23342" s="21" t="s">
        <v>34</v>
      </c>
      <c r="E23342" s="21" t="s">
        <v>71</v>
      </c>
      <c r="F23342">
        <v>12530081</v>
      </c>
      <c r="G23342" t="s">
        <v>13952</v>
      </c>
      <c r="H23342" s="21">
        <v>676.67</v>
      </c>
    </row>
    <row r="23343" spans="1:8" customFormat="1" x14ac:dyDescent="0.25">
      <c r="A23343" t="str">
        <f>"616494"</f>
        <v>616494</v>
      </c>
      <c r="B23343" t="s">
        <v>16334</v>
      </c>
      <c r="C23343" t="s">
        <v>2520</v>
      </c>
      <c r="D23343" s="21" t="s">
        <v>34</v>
      </c>
      <c r="E23343" s="21" t="s">
        <v>71</v>
      </c>
      <c r="F23343">
        <v>9610122</v>
      </c>
      <c r="G23343" t="s">
        <v>4349</v>
      </c>
      <c r="H23343" s="21">
        <v>676.67</v>
      </c>
    </row>
    <row r="23344" spans="1:8" customFormat="1" x14ac:dyDescent="0.25">
      <c r="A23344" t="str">
        <f>"4423398"</f>
        <v>4423398</v>
      </c>
      <c r="B23344" t="s">
        <v>2873</v>
      </c>
      <c r="C23344" t="s">
        <v>98</v>
      </c>
      <c r="D23344" s="21" t="s">
        <v>34</v>
      </c>
      <c r="E23344" s="21" t="s">
        <v>71</v>
      </c>
      <c r="F23344">
        <v>12440056</v>
      </c>
      <c r="G23344" t="s">
        <v>2037</v>
      </c>
      <c r="H23344" s="21">
        <v>676.67</v>
      </c>
    </row>
    <row r="23345" spans="1:8" customFormat="1" x14ac:dyDescent="0.25">
      <c r="A23345" t="str">
        <f>"6945233"</f>
        <v>6945233</v>
      </c>
      <c r="B23345" t="s">
        <v>19555</v>
      </c>
      <c r="C23345" t="s">
        <v>19556</v>
      </c>
      <c r="D23345" s="21" t="s">
        <v>34</v>
      </c>
      <c r="E23345" s="21" t="s">
        <v>35</v>
      </c>
      <c r="F23345">
        <v>1690058</v>
      </c>
      <c r="G23345" t="s">
        <v>1644</v>
      </c>
      <c r="H23345" s="21">
        <v>676.67</v>
      </c>
    </row>
    <row r="23346" spans="1:8" customFormat="1" x14ac:dyDescent="0.25">
      <c r="A23346" t="str">
        <f>"1417235"</f>
        <v>1417235</v>
      </c>
      <c r="B23346" t="s">
        <v>18008</v>
      </c>
      <c r="C23346" t="s">
        <v>65</v>
      </c>
      <c r="D23346" s="21" t="s">
        <v>34</v>
      </c>
      <c r="E23346" s="21" t="s">
        <v>35</v>
      </c>
      <c r="F23346">
        <v>9140052</v>
      </c>
      <c r="G23346" t="s">
        <v>26563</v>
      </c>
      <c r="H23346" s="21">
        <v>676.67</v>
      </c>
    </row>
    <row r="23347" spans="1:8" customFormat="1" x14ac:dyDescent="0.25">
      <c r="A23347" t="str">
        <f>"51101"</f>
        <v>51101</v>
      </c>
      <c r="B23347" t="s">
        <v>7131</v>
      </c>
      <c r="C23347" t="s">
        <v>1110</v>
      </c>
      <c r="D23347" s="21" t="s">
        <v>34</v>
      </c>
      <c r="E23347" s="21" t="s">
        <v>6185</v>
      </c>
      <c r="F23347">
        <v>6510112</v>
      </c>
      <c r="G23347" t="s">
        <v>588</v>
      </c>
      <c r="H23347" s="21">
        <v>676.67</v>
      </c>
    </row>
    <row r="23348" spans="1:8" customFormat="1" x14ac:dyDescent="0.25">
      <c r="A23348" t="str">
        <f>"949349"</f>
        <v>949349</v>
      </c>
      <c r="B23348" t="s">
        <v>2052</v>
      </c>
      <c r="C23348" t="s">
        <v>233</v>
      </c>
      <c r="D23348" s="21" t="s">
        <v>34</v>
      </c>
      <c r="E23348" s="21" t="s">
        <v>71</v>
      </c>
      <c r="F23348">
        <v>8940033</v>
      </c>
      <c r="G23348" t="s">
        <v>1376</v>
      </c>
      <c r="H23348" s="21">
        <v>676.67</v>
      </c>
    </row>
    <row r="23349" spans="1:8" customFormat="1" x14ac:dyDescent="0.25">
      <c r="A23349" t="str">
        <f>"304942"</f>
        <v>304942</v>
      </c>
      <c r="B23349" t="s">
        <v>5629</v>
      </c>
      <c r="C23349" t="s">
        <v>3073</v>
      </c>
      <c r="D23349" s="21" t="s">
        <v>34</v>
      </c>
      <c r="E23349" s="21" t="s">
        <v>1089</v>
      </c>
      <c r="F23349">
        <v>11300016</v>
      </c>
      <c r="G23349" t="s">
        <v>157</v>
      </c>
      <c r="H23349" s="21">
        <v>676.67</v>
      </c>
    </row>
    <row r="23350" spans="1:8" customFormat="1" x14ac:dyDescent="0.25">
      <c r="A23350" t="str">
        <f>"3118165"</f>
        <v>3118165</v>
      </c>
      <c r="B23350" t="s">
        <v>18125</v>
      </c>
      <c r="C23350" t="s">
        <v>62</v>
      </c>
      <c r="D23350" s="21" t="s">
        <v>34</v>
      </c>
      <c r="E23350" s="21" t="s">
        <v>35</v>
      </c>
      <c r="F23350">
        <v>11310005</v>
      </c>
      <c r="G23350" t="s">
        <v>6980</v>
      </c>
      <c r="H23350" s="21">
        <v>676.67</v>
      </c>
    </row>
    <row r="23351" spans="1:8" customFormat="1" x14ac:dyDescent="0.25">
      <c r="A23351" t="str">
        <f>"065285"</f>
        <v>065285</v>
      </c>
      <c r="B23351" t="s">
        <v>16999</v>
      </c>
      <c r="C23351" t="s">
        <v>171</v>
      </c>
      <c r="D23351" s="21" t="s">
        <v>34</v>
      </c>
      <c r="E23351" s="21" t="s">
        <v>71</v>
      </c>
      <c r="F23351">
        <v>13060064</v>
      </c>
      <c r="G23351" t="s">
        <v>976</v>
      </c>
      <c r="H23351" s="21">
        <v>676.67</v>
      </c>
    </row>
    <row r="23352" spans="1:8" customFormat="1" x14ac:dyDescent="0.25">
      <c r="A23352" t="str">
        <f>"1426433"</f>
        <v>1426433</v>
      </c>
      <c r="B23352" t="s">
        <v>13943</v>
      </c>
      <c r="C23352" t="s">
        <v>62</v>
      </c>
      <c r="D23352" s="21" t="s">
        <v>34</v>
      </c>
      <c r="E23352" s="21" t="s">
        <v>35</v>
      </c>
      <c r="F23352">
        <v>9140156</v>
      </c>
      <c r="G23352" t="s">
        <v>645</v>
      </c>
      <c r="H23352" s="21">
        <v>676.67</v>
      </c>
    </row>
    <row r="23353" spans="1:8" customFormat="1" x14ac:dyDescent="0.25">
      <c r="A23353" t="str">
        <f>"5942010"</f>
        <v>5942010</v>
      </c>
      <c r="B23353" t="s">
        <v>5785</v>
      </c>
      <c r="C23353" t="s">
        <v>209</v>
      </c>
      <c r="D23353" s="21" t="s">
        <v>34</v>
      </c>
      <c r="E23353" s="21" t="s">
        <v>71</v>
      </c>
      <c r="F23353">
        <v>7620176</v>
      </c>
      <c r="G23353" t="s">
        <v>3111</v>
      </c>
      <c r="H23353" s="21">
        <v>676.67</v>
      </c>
    </row>
    <row r="23354" spans="1:8" customFormat="1" x14ac:dyDescent="0.25">
      <c r="A23354" t="str">
        <f>"3718166"</f>
        <v>3718166</v>
      </c>
      <c r="B23354" t="s">
        <v>16065</v>
      </c>
      <c r="C23354" t="s">
        <v>236</v>
      </c>
      <c r="D23354" s="21" t="s">
        <v>34</v>
      </c>
      <c r="E23354" s="21" t="s">
        <v>71</v>
      </c>
      <c r="F23354">
        <v>4370498</v>
      </c>
      <c r="G23354" t="s">
        <v>10872</v>
      </c>
      <c r="H23354" s="21">
        <v>676.67</v>
      </c>
    </row>
    <row r="23355" spans="1:8" customFormat="1" x14ac:dyDescent="0.25">
      <c r="A23355" t="str">
        <f>"3536533"</f>
        <v>3536533</v>
      </c>
      <c r="B23355" t="s">
        <v>27728</v>
      </c>
      <c r="C23355" t="s">
        <v>147</v>
      </c>
      <c r="D23355" s="21" t="s">
        <v>34</v>
      </c>
      <c r="E23355" s="21" t="s">
        <v>35</v>
      </c>
      <c r="F23355">
        <v>3350054</v>
      </c>
      <c r="G23355" t="s">
        <v>13881</v>
      </c>
      <c r="H23355" s="21">
        <v>676.67</v>
      </c>
    </row>
    <row r="23356" spans="1:8" customFormat="1" x14ac:dyDescent="0.25">
      <c r="A23356" t="str">
        <f>"9224829"</f>
        <v>9224829</v>
      </c>
      <c r="B23356" t="s">
        <v>946</v>
      </c>
      <c r="C23356" t="s">
        <v>1605</v>
      </c>
      <c r="D23356" s="21" t="s">
        <v>34</v>
      </c>
      <c r="E23356" s="21" t="s">
        <v>71</v>
      </c>
      <c r="F23356">
        <v>8921190</v>
      </c>
      <c r="G23356" t="s">
        <v>810</v>
      </c>
      <c r="H23356" s="21">
        <v>676.67</v>
      </c>
    </row>
    <row r="23357" spans="1:8" customFormat="1" x14ac:dyDescent="0.25">
      <c r="A23357" t="str">
        <f>"569725"</f>
        <v>569725</v>
      </c>
      <c r="B23357" t="s">
        <v>27729</v>
      </c>
      <c r="C23357" t="s">
        <v>43</v>
      </c>
      <c r="D23357" s="21" t="s">
        <v>34</v>
      </c>
      <c r="E23357" s="21" t="s">
        <v>35</v>
      </c>
      <c r="F23357">
        <v>12440051</v>
      </c>
      <c r="G23357" t="s">
        <v>2191</v>
      </c>
      <c r="H23357" s="21">
        <v>676.67</v>
      </c>
    </row>
    <row r="23358" spans="1:8" customFormat="1" x14ac:dyDescent="0.25">
      <c r="A23358" t="str">
        <f>"212536"</f>
        <v>212536</v>
      </c>
      <c r="B23358" t="s">
        <v>16922</v>
      </c>
      <c r="C23358" t="s">
        <v>3073</v>
      </c>
      <c r="D23358" s="21" t="s">
        <v>34</v>
      </c>
      <c r="E23358" s="21" t="s">
        <v>254</v>
      </c>
      <c r="F23358">
        <v>2210029</v>
      </c>
      <c r="G23358" t="s">
        <v>6983</v>
      </c>
      <c r="H23358" s="21">
        <v>676.42</v>
      </c>
    </row>
    <row r="23359" spans="1:8" customFormat="1" x14ac:dyDescent="0.25">
      <c r="A23359" t="str">
        <f>"60502"</f>
        <v>60502</v>
      </c>
      <c r="B23359" t="s">
        <v>9345</v>
      </c>
      <c r="C23359" t="s">
        <v>453</v>
      </c>
      <c r="D23359" s="21" t="s">
        <v>34</v>
      </c>
      <c r="E23359" s="21" t="s">
        <v>71</v>
      </c>
      <c r="F23359">
        <v>7600166</v>
      </c>
      <c r="G23359" t="s">
        <v>9171</v>
      </c>
      <c r="H23359" s="21">
        <v>676.42</v>
      </c>
    </row>
    <row r="23360" spans="1:8" customFormat="1" x14ac:dyDescent="0.25">
      <c r="A23360" t="str">
        <f>"4438311"</f>
        <v>4438311</v>
      </c>
      <c r="B23360" t="s">
        <v>2775</v>
      </c>
      <c r="C23360" t="s">
        <v>3098</v>
      </c>
      <c r="D23360" s="21" t="s">
        <v>34</v>
      </c>
      <c r="E23360" s="21" t="s">
        <v>35</v>
      </c>
      <c r="F23360">
        <v>12440112</v>
      </c>
      <c r="G23360" t="s">
        <v>9188</v>
      </c>
      <c r="H23360" s="21">
        <v>676.42</v>
      </c>
    </row>
    <row r="23361" spans="1:8" customFormat="1" x14ac:dyDescent="0.25">
      <c r="A23361" t="str">
        <f>"314559"</f>
        <v>314559</v>
      </c>
      <c r="B23361" t="s">
        <v>17489</v>
      </c>
      <c r="C23361" t="s">
        <v>202</v>
      </c>
      <c r="D23361" s="21" t="s">
        <v>34</v>
      </c>
      <c r="E23361" s="21" t="s">
        <v>1089</v>
      </c>
      <c r="F23361">
        <v>11310077</v>
      </c>
      <c r="G23361" t="s">
        <v>5364</v>
      </c>
      <c r="H23361" s="21">
        <v>676.42</v>
      </c>
    </row>
    <row r="23362" spans="1:8" customFormat="1" x14ac:dyDescent="0.25">
      <c r="A23362" t="str">
        <f>"5326169"</f>
        <v>5326169</v>
      </c>
      <c r="B23362" t="s">
        <v>6396</v>
      </c>
      <c r="C23362" t="s">
        <v>598</v>
      </c>
      <c r="D23362" s="21" t="s">
        <v>34</v>
      </c>
      <c r="E23362" s="21" t="s">
        <v>254</v>
      </c>
      <c r="F23362">
        <v>12538903</v>
      </c>
      <c r="G23362" t="s">
        <v>6439</v>
      </c>
      <c r="H23362" s="21">
        <v>676.42</v>
      </c>
    </row>
    <row r="23363" spans="1:8" customFormat="1" x14ac:dyDescent="0.25">
      <c r="A23363" t="str">
        <f>"4428445"</f>
        <v>4428445</v>
      </c>
      <c r="B23363" t="s">
        <v>15626</v>
      </c>
      <c r="C23363" t="s">
        <v>209</v>
      </c>
      <c r="D23363" s="21" t="s">
        <v>34</v>
      </c>
      <c r="E23363" s="21" t="s">
        <v>71</v>
      </c>
      <c r="F23363">
        <v>12440070</v>
      </c>
      <c r="G23363" t="s">
        <v>5224</v>
      </c>
      <c r="H23363" s="21">
        <v>676.17</v>
      </c>
    </row>
    <row r="23364" spans="1:8" customFormat="1" x14ac:dyDescent="0.25">
      <c r="A23364" t="str">
        <f>"6918555"</f>
        <v>6918555</v>
      </c>
      <c r="B23364" t="s">
        <v>16592</v>
      </c>
      <c r="C23364" t="s">
        <v>169</v>
      </c>
      <c r="D23364" s="21" t="s">
        <v>34</v>
      </c>
      <c r="E23364" s="21" t="s">
        <v>71</v>
      </c>
      <c r="F23364">
        <v>1690090</v>
      </c>
      <c r="G23364" t="s">
        <v>6286</v>
      </c>
      <c r="H23364" s="21">
        <v>676.17</v>
      </c>
    </row>
    <row r="23365" spans="1:8" customFormat="1" x14ac:dyDescent="0.25">
      <c r="A23365" t="str">
        <f>"6942422"</f>
        <v>6942422</v>
      </c>
      <c r="B23365" t="s">
        <v>20134</v>
      </c>
      <c r="C23365" t="s">
        <v>119</v>
      </c>
      <c r="D23365" s="21" t="s">
        <v>34</v>
      </c>
      <c r="E23365" s="21" t="s">
        <v>35</v>
      </c>
      <c r="F23365">
        <v>1690201</v>
      </c>
      <c r="G23365" t="s">
        <v>11274</v>
      </c>
      <c r="H23365" s="21">
        <v>676.17</v>
      </c>
    </row>
    <row r="23366" spans="1:8" customFormat="1" x14ac:dyDescent="0.25">
      <c r="A23366" t="str">
        <f>"486022"</f>
        <v>486022</v>
      </c>
      <c r="B23366" t="s">
        <v>18363</v>
      </c>
      <c r="C23366" t="s">
        <v>879</v>
      </c>
      <c r="D23366" s="21" t="s">
        <v>34</v>
      </c>
      <c r="E23366" s="21" t="s">
        <v>35</v>
      </c>
      <c r="F23366">
        <v>11480020</v>
      </c>
      <c r="G23366" t="s">
        <v>5221</v>
      </c>
      <c r="H23366" s="21">
        <v>676.17</v>
      </c>
    </row>
    <row r="23367" spans="1:8" customFormat="1" x14ac:dyDescent="0.25">
      <c r="A23367" t="str">
        <f>"929639"</f>
        <v>929639</v>
      </c>
      <c r="B23367" t="s">
        <v>17488</v>
      </c>
      <c r="C23367" t="s">
        <v>263</v>
      </c>
      <c r="D23367" s="21" t="s">
        <v>34</v>
      </c>
      <c r="E23367" s="21" t="s">
        <v>254</v>
      </c>
      <c r="F23367">
        <v>8940326</v>
      </c>
      <c r="G23367" t="s">
        <v>659</v>
      </c>
      <c r="H23367" s="21">
        <v>676.17</v>
      </c>
    </row>
    <row r="23368" spans="1:8" customFormat="1" x14ac:dyDescent="0.25">
      <c r="A23368" t="str">
        <f>"5942950"</f>
        <v>5942950</v>
      </c>
      <c r="B23368" t="s">
        <v>17275</v>
      </c>
      <c r="C23368" t="s">
        <v>598</v>
      </c>
      <c r="D23368" s="21" t="s">
        <v>34</v>
      </c>
      <c r="E23368" s="21" t="s">
        <v>71</v>
      </c>
      <c r="F23368">
        <v>7590288</v>
      </c>
      <c r="G23368" t="s">
        <v>6972</v>
      </c>
      <c r="H23368" s="21">
        <v>676.17</v>
      </c>
    </row>
    <row r="23369" spans="1:8" customFormat="1" x14ac:dyDescent="0.25">
      <c r="A23369" t="str">
        <f>"647473"</f>
        <v>647473</v>
      </c>
      <c r="B23369" t="s">
        <v>17982</v>
      </c>
      <c r="C23369" t="s">
        <v>712</v>
      </c>
      <c r="D23369" s="21" t="s">
        <v>34</v>
      </c>
      <c r="E23369" s="21" t="s">
        <v>71</v>
      </c>
      <c r="F23369">
        <v>10640008</v>
      </c>
      <c r="G23369" t="s">
        <v>1694</v>
      </c>
      <c r="H23369" s="21">
        <v>676.17</v>
      </c>
    </row>
    <row r="23370" spans="1:8" customFormat="1" x14ac:dyDescent="0.25">
      <c r="A23370" t="str">
        <f>"3525719"</f>
        <v>3525719</v>
      </c>
      <c r="B23370" t="s">
        <v>4685</v>
      </c>
      <c r="C23370" t="s">
        <v>139</v>
      </c>
      <c r="D23370" s="21" t="s">
        <v>34</v>
      </c>
      <c r="E23370" s="21" t="s">
        <v>71</v>
      </c>
      <c r="F23370">
        <v>3350063</v>
      </c>
      <c r="G23370" t="s">
        <v>14782</v>
      </c>
      <c r="H23370" s="21">
        <v>676.17</v>
      </c>
    </row>
    <row r="23371" spans="1:8" customFormat="1" x14ac:dyDescent="0.25">
      <c r="A23371" t="str">
        <f>"9245945"</f>
        <v>9245945</v>
      </c>
      <c r="B23371" t="s">
        <v>7254</v>
      </c>
      <c r="C23371" t="s">
        <v>288</v>
      </c>
      <c r="D23371" s="21" t="s">
        <v>34</v>
      </c>
      <c r="E23371" s="21" t="s">
        <v>35</v>
      </c>
      <c r="F23371">
        <v>8920140</v>
      </c>
      <c r="G23371" t="s">
        <v>3762</v>
      </c>
      <c r="H23371" s="21">
        <v>676.17</v>
      </c>
    </row>
    <row r="23372" spans="1:8" customFormat="1" x14ac:dyDescent="0.25">
      <c r="A23372" t="str">
        <f>"9516328"</f>
        <v>9516328</v>
      </c>
      <c r="B23372" t="s">
        <v>3001</v>
      </c>
      <c r="C23372" t="s">
        <v>336</v>
      </c>
      <c r="D23372" s="21" t="s">
        <v>34</v>
      </c>
      <c r="E23372" s="21" t="s">
        <v>1089</v>
      </c>
      <c r="F23372">
        <v>11310005</v>
      </c>
      <c r="G23372" t="s">
        <v>6980</v>
      </c>
      <c r="H23372" s="21">
        <v>676.17</v>
      </c>
    </row>
    <row r="23373" spans="1:8" customFormat="1" x14ac:dyDescent="0.25">
      <c r="A23373" t="str">
        <f>"5414241"</f>
        <v>5414241</v>
      </c>
      <c r="B23373" t="s">
        <v>1263</v>
      </c>
      <c r="C23373" t="s">
        <v>275</v>
      </c>
      <c r="D23373" s="21" t="s">
        <v>34</v>
      </c>
      <c r="E23373" s="21" t="s">
        <v>35</v>
      </c>
      <c r="F23373">
        <v>6540115</v>
      </c>
      <c r="G23373" t="s">
        <v>3398</v>
      </c>
      <c r="H23373" s="21">
        <v>676.17</v>
      </c>
    </row>
    <row r="23374" spans="1:8" customFormat="1" x14ac:dyDescent="0.25">
      <c r="A23374" t="str">
        <f>"5972320"</f>
        <v>5972320</v>
      </c>
      <c r="B23374" t="s">
        <v>18838</v>
      </c>
      <c r="C23374" t="s">
        <v>260</v>
      </c>
      <c r="D23374" s="21" t="s">
        <v>34</v>
      </c>
      <c r="E23374" s="21" t="s">
        <v>35</v>
      </c>
      <c r="F23374">
        <v>7590259</v>
      </c>
      <c r="G23374" t="s">
        <v>6385</v>
      </c>
      <c r="H23374" s="21">
        <v>676.17</v>
      </c>
    </row>
    <row r="23375" spans="1:8" customFormat="1" x14ac:dyDescent="0.25">
      <c r="A23375" t="str">
        <f>"9311714"</f>
        <v>9311714</v>
      </c>
      <c r="B23375" t="s">
        <v>13110</v>
      </c>
      <c r="C23375" t="s">
        <v>40</v>
      </c>
      <c r="D23375" s="21" t="s">
        <v>34</v>
      </c>
      <c r="E23375" s="21" t="s">
        <v>35</v>
      </c>
      <c r="F23375">
        <v>3220127</v>
      </c>
      <c r="G23375" t="s">
        <v>26652</v>
      </c>
      <c r="H23375" s="21">
        <v>676.17</v>
      </c>
    </row>
    <row r="23376" spans="1:8" customFormat="1" x14ac:dyDescent="0.25">
      <c r="A23376" t="str">
        <f>"3513021"</f>
        <v>3513021</v>
      </c>
      <c r="B23376" t="s">
        <v>2231</v>
      </c>
      <c r="C23376" t="s">
        <v>1665</v>
      </c>
      <c r="D23376" s="21" t="s">
        <v>34</v>
      </c>
      <c r="E23376" s="21" t="s">
        <v>1089</v>
      </c>
      <c r="F23376">
        <v>3350055</v>
      </c>
      <c r="G23376" t="s">
        <v>6720</v>
      </c>
      <c r="H23376" s="21">
        <v>676.17</v>
      </c>
    </row>
    <row r="23377" spans="1:8" customFormat="1" x14ac:dyDescent="0.25">
      <c r="A23377" t="str">
        <f>"5975135"</f>
        <v>5975135</v>
      </c>
      <c r="B23377" t="s">
        <v>20143</v>
      </c>
      <c r="C23377" t="s">
        <v>14185</v>
      </c>
      <c r="D23377" s="21" t="s">
        <v>34</v>
      </c>
      <c r="E23377" s="21" t="s">
        <v>71</v>
      </c>
      <c r="F23377">
        <v>7590074</v>
      </c>
      <c r="G23377" t="s">
        <v>1992</v>
      </c>
      <c r="H23377" s="21">
        <v>676.17</v>
      </c>
    </row>
    <row r="23378" spans="1:8" customFormat="1" x14ac:dyDescent="0.25">
      <c r="A23378" t="str">
        <f>"7722575"</f>
        <v>7722575</v>
      </c>
      <c r="B23378" t="s">
        <v>2973</v>
      </c>
      <c r="C23378" t="s">
        <v>269</v>
      </c>
      <c r="D23378" s="21" t="s">
        <v>34</v>
      </c>
      <c r="E23378" s="21" t="s">
        <v>71</v>
      </c>
      <c r="F23378">
        <v>8771202</v>
      </c>
      <c r="G23378" t="s">
        <v>10223</v>
      </c>
      <c r="H23378" s="21">
        <v>676.17</v>
      </c>
    </row>
    <row r="23379" spans="1:8" customFormat="1" x14ac:dyDescent="0.25">
      <c r="A23379" t="str">
        <f>"5961546"</f>
        <v>5961546</v>
      </c>
      <c r="B23379" t="s">
        <v>17568</v>
      </c>
      <c r="C23379" t="s">
        <v>33</v>
      </c>
      <c r="D23379" s="21" t="s">
        <v>34</v>
      </c>
      <c r="E23379" s="21" t="s">
        <v>71</v>
      </c>
      <c r="F23379">
        <v>7590194</v>
      </c>
      <c r="G23379" t="s">
        <v>460</v>
      </c>
      <c r="H23379" s="21">
        <v>676.17</v>
      </c>
    </row>
    <row r="23380" spans="1:8" customFormat="1" x14ac:dyDescent="0.25">
      <c r="A23380" t="str">
        <f>"3529316"</f>
        <v>3529316</v>
      </c>
      <c r="B23380" t="s">
        <v>12206</v>
      </c>
      <c r="C23380" t="s">
        <v>462</v>
      </c>
      <c r="D23380" s="21" t="s">
        <v>34</v>
      </c>
      <c r="E23380" s="21" t="s">
        <v>71</v>
      </c>
      <c r="F23380">
        <v>3350199</v>
      </c>
      <c r="G23380" t="s">
        <v>5603</v>
      </c>
      <c r="H23380" s="21">
        <v>676.17</v>
      </c>
    </row>
    <row r="23381" spans="1:8" customFormat="1" x14ac:dyDescent="0.25">
      <c r="A23381" t="str">
        <f>"663296"</f>
        <v>663296</v>
      </c>
      <c r="B23381" t="s">
        <v>15589</v>
      </c>
      <c r="C23381" t="s">
        <v>119</v>
      </c>
      <c r="D23381" s="21" t="s">
        <v>34</v>
      </c>
      <c r="E23381" s="21" t="s">
        <v>35</v>
      </c>
      <c r="F23381">
        <v>11660003</v>
      </c>
      <c r="G23381" t="s">
        <v>5188</v>
      </c>
      <c r="H23381" s="21">
        <v>676.17</v>
      </c>
    </row>
    <row r="23382" spans="1:8" customFormat="1" x14ac:dyDescent="0.25">
      <c r="A23382" t="str">
        <f>"619477"</f>
        <v>619477</v>
      </c>
      <c r="B23382" t="s">
        <v>18468</v>
      </c>
      <c r="C23382" t="s">
        <v>209</v>
      </c>
      <c r="D23382" s="21" t="s">
        <v>34</v>
      </c>
      <c r="E23382" s="21" t="s">
        <v>35</v>
      </c>
      <c r="F23382">
        <v>9610104</v>
      </c>
      <c r="G23382" t="s">
        <v>7197</v>
      </c>
      <c r="H23382" s="21">
        <v>676.17</v>
      </c>
    </row>
    <row r="23383" spans="1:8" customFormat="1" x14ac:dyDescent="0.25">
      <c r="A23383" t="str">
        <f>"7621875"</f>
        <v>7621875</v>
      </c>
      <c r="B23383" t="s">
        <v>18040</v>
      </c>
      <c r="C23383" t="s">
        <v>415</v>
      </c>
      <c r="D23383" s="21" t="s">
        <v>34</v>
      </c>
      <c r="E23383" s="21" t="s">
        <v>71</v>
      </c>
      <c r="F23383">
        <v>9760366</v>
      </c>
      <c r="G23383" t="s">
        <v>7640</v>
      </c>
      <c r="H23383" s="21">
        <v>676.17</v>
      </c>
    </row>
    <row r="23384" spans="1:8" customFormat="1" x14ac:dyDescent="0.25">
      <c r="A23384" t="str">
        <f>"8513246"</f>
        <v>8513246</v>
      </c>
      <c r="B23384" t="s">
        <v>16778</v>
      </c>
      <c r="C23384" t="s">
        <v>3784</v>
      </c>
      <c r="D23384" s="21" t="s">
        <v>34</v>
      </c>
      <c r="E23384" s="21" t="s">
        <v>6185</v>
      </c>
      <c r="F23384">
        <v>12850072</v>
      </c>
      <c r="G23384" t="s">
        <v>7184</v>
      </c>
      <c r="H23384" s="21">
        <v>676.17</v>
      </c>
    </row>
    <row r="23385" spans="1:8" customFormat="1" x14ac:dyDescent="0.25">
      <c r="A23385" t="str">
        <f>"3322560"</f>
        <v>3322560</v>
      </c>
      <c r="B23385" t="s">
        <v>25689</v>
      </c>
      <c r="C23385" t="s">
        <v>127</v>
      </c>
      <c r="D23385" s="21" t="s">
        <v>34</v>
      </c>
      <c r="E23385" s="21" t="s">
        <v>35</v>
      </c>
      <c r="F23385">
        <v>10330043</v>
      </c>
      <c r="G23385" t="s">
        <v>1703</v>
      </c>
      <c r="H23385" s="21">
        <v>676.04</v>
      </c>
    </row>
    <row r="23386" spans="1:8" customFormat="1" x14ac:dyDescent="0.25">
      <c r="A23386" t="str">
        <f>"2814004"</f>
        <v>2814004</v>
      </c>
      <c r="B23386" t="s">
        <v>517</v>
      </c>
      <c r="C23386" t="s">
        <v>1142</v>
      </c>
      <c r="D23386" s="21" t="s">
        <v>34</v>
      </c>
      <c r="E23386" s="21" t="s">
        <v>254</v>
      </c>
      <c r="F23386">
        <v>4280359</v>
      </c>
      <c r="G23386" t="s">
        <v>7997</v>
      </c>
      <c r="H23386" s="21">
        <v>676.04</v>
      </c>
    </row>
    <row r="23387" spans="1:8" customFormat="1" x14ac:dyDescent="0.25">
      <c r="A23387" t="str">
        <f>"185398"</f>
        <v>185398</v>
      </c>
      <c r="B23387" t="s">
        <v>3089</v>
      </c>
      <c r="C23387" t="s">
        <v>55</v>
      </c>
      <c r="D23387" s="21" t="s">
        <v>34</v>
      </c>
      <c r="E23387" s="21" t="s">
        <v>71</v>
      </c>
      <c r="F23387">
        <v>4180728</v>
      </c>
      <c r="G23387" t="s">
        <v>17088</v>
      </c>
      <c r="H23387" s="21">
        <v>676</v>
      </c>
    </row>
    <row r="23388" spans="1:8" customFormat="1" x14ac:dyDescent="0.25">
      <c r="A23388" t="str">
        <f>"4113795"</f>
        <v>4113795</v>
      </c>
      <c r="B23388" t="s">
        <v>6665</v>
      </c>
      <c r="C23388" t="s">
        <v>621</v>
      </c>
      <c r="D23388" s="21" t="s">
        <v>34</v>
      </c>
      <c r="E23388" s="21" t="s">
        <v>35</v>
      </c>
      <c r="F23388">
        <v>4410724</v>
      </c>
      <c r="G23388" t="s">
        <v>15872</v>
      </c>
      <c r="H23388" s="21">
        <v>675.92</v>
      </c>
    </row>
    <row r="23389" spans="1:8" customFormat="1" x14ac:dyDescent="0.25">
      <c r="A23389" t="str">
        <f>"814042"</f>
        <v>814042</v>
      </c>
      <c r="B23389" t="s">
        <v>18967</v>
      </c>
      <c r="C23389" t="s">
        <v>187</v>
      </c>
      <c r="D23389" s="21" t="s">
        <v>34</v>
      </c>
      <c r="E23389" s="21" t="s">
        <v>35</v>
      </c>
      <c r="F23389">
        <v>11810024</v>
      </c>
      <c r="G23389" t="s">
        <v>2095</v>
      </c>
      <c r="H23389" s="21">
        <v>675.79</v>
      </c>
    </row>
    <row r="23390" spans="1:8" customFormat="1" x14ac:dyDescent="0.25">
      <c r="A23390" t="str">
        <f>"1421941"</f>
        <v>1421941</v>
      </c>
      <c r="B23390" t="s">
        <v>17814</v>
      </c>
      <c r="C23390" t="s">
        <v>484</v>
      </c>
      <c r="D23390" s="21" t="s">
        <v>34</v>
      </c>
      <c r="E23390" s="21" t="s">
        <v>35</v>
      </c>
      <c r="F23390">
        <v>9140227</v>
      </c>
      <c r="G23390" t="s">
        <v>5130</v>
      </c>
      <c r="H23390" s="21">
        <v>675.67</v>
      </c>
    </row>
    <row r="23391" spans="1:8" customFormat="1" x14ac:dyDescent="0.25">
      <c r="A23391" t="str">
        <f>"199793"</f>
        <v>199793</v>
      </c>
      <c r="B23391" t="s">
        <v>19476</v>
      </c>
      <c r="C23391" t="s">
        <v>33</v>
      </c>
      <c r="D23391" s="21" t="s">
        <v>34</v>
      </c>
      <c r="E23391" s="21" t="s">
        <v>35</v>
      </c>
      <c r="F23391">
        <v>10190043</v>
      </c>
      <c r="G23391" t="s">
        <v>10703</v>
      </c>
      <c r="H23391" s="21">
        <v>675.67</v>
      </c>
    </row>
    <row r="23392" spans="1:8" customFormat="1" x14ac:dyDescent="0.25">
      <c r="A23392" t="str">
        <f>"318312"</f>
        <v>318312</v>
      </c>
      <c r="B23392" t="s">
        <v>1422</v>
      </c>
      <c r="C23392" t="s">
        <v>311</v>
      </c>
      <c r="D23392" s="21" t="s">
        <v>34</v>
      </c>
      <c r="E23392" s="21" t="s">
        <v>35</v>
      </c>
      <c r="F23392">
        <v>11120047</v>
      </c>
      <c r="G23392" t="s">
        <v>14107</v>
      </c>
      <c r="H23392" s="21">
        <v>675.67</v>
      </c>
    </row>
    <row r="23393" spans="1:8" customFormat="1" x14ac:dyDescent="0.25">
      <c r="A23393" t="str">
        <f>"81367"</f>
        <v>81367</v>
      </c>
      <c r="B23393" t="s">
        <v>9594</v>
      </c>
      <c r="C23393" t="s">
        <v>510</v>
      </c>
      <c r="D23393" s="21" t="s">
        <v>34</v>
      </c>
      <c r="E23393" s="21" t="s">
        <v>254</v>
      </c>
      <c r="F23393">
        <v>11810013</v>
      </c>
      <c r="G23393" t="s">
        <v>8833</v>
      </c>
      <c r="H23393" s="21">
        <v>675.67</v>
      </c>
    </row>
    <row r="23394" spans="1:8" customFormat="1" x14ac:dyDescent="0.25">
      <c r="A23394" t="str">
        <f>"6223013"</f>
        <v>6223013</v>
      </c>
      <c r="B23394" t="s">
        <v>20255</v>
      </c>
      <c r="C23394" t="s">
        <v>15934</v>
      </c>
      <c r="D23394" s="21" t="s">
        <v>34</v>
      </c>
      <c r="E23394" s="21" t="s">
        <v>35</v>
      </c>
      <c r="F23394">
        <v>7620047</v>
      </c>
      <c r="G23394" t="s">
        <v>16200</v>
      </c>
      <c r="H23394" s="21">
        <v>675.67</v>
      </c>
    </row>
    <row r="23395" spans="1:8" customFormat="1" x14ac:dyDescent="0.25">
      <c r="A23395" t="str">
        <f>"3012526"</f>
        <v>3012526</v>
      </c>
      <c r="B23395" t="s">
        <v>20395</v>
      </c>
      <c r="C23395" t="s">
        <v>20396</v>
      </c>
      <c r="D23395" s="21" t="s">
        <v>34</v>
      </c>
      <c r="E23395" s="21" t="s">
        <v>71</v>
      </c>
      <c r="F23395">
        <v>11300014</v>
      </c>
      <c r="G23395" t="s">
        <v>2345</v>
      </c>
      <c r="H23395" s="21">
        <v>675.67</v>
      </c>
    </row>
    <row r="23396" spans="1:8" customFormat="1" x14ac:dyDescent="0.25">
      <c r="A23396" t="str">
        <f>"5949564"</f>
        <v>5949564</v>
      </c>
      <c r="B23396" t="s">
        <v>1113</v>
      </c>
      <c r="C23396" t="s">
        <v>269</v>
      </c>
      <c r="D23396" s="21" t="s">
        <v>34</v>
      </c>
      <c r="E23396" s="21" t="s">
        <v>71</v>
      </c>
      <c r="F23396">
        <v>7590116</v>
      </c>
      <c r="G23396" t="s">
        <v>11019</v>
      </c>
      <c r="H23396" s="21">
        <v>675.67</v>
      </c>
    </row>
    <row r="23397" spans="1:8" customFormat="1" x14ac:dyDescent="0.25">
      <c r="A23397" t="str">
        <f>"5914384"</f>
        <v>5914384</v>
      </c>
      <c r="B23397" t="s">
        <v>12524</v>
      </c>
      <c r="C23397" t="s">
        <v>302</v>
      </c>
      <c r="D23397" s="21" t="s">
        <v>34</v>
      </c>
      <c r="E23397" s="21" t="s">
        <v>35</v>
      </c>
      <c r="F23397">
        <v>7590204</v>
      </c>
      <c r="G23397" t="s">
        <v>696</v>
      </c>
      <c r="H23397" s="21">
        <v>675.67</v>
      </c>
    </row>
    <row r="23398" spans="1:8" customFormat="1" x14ac:dyDescent="0.25">
      <c r="A23398" t="str">
        <f>"6020298"</f>
        <v>6020298</v>
      </c>
      <c r="B23398" t="s">
        <v>8455</v>
      </c>
      <c r="C23398" t="s">
        <v>269</v>
      </c>
      <c r="D23398" s="21" t="s">
        <v>34</v>
      </c>
      <c r="E23398" s="21" t="s">
        <v>254</v>
      </c>
      <c r="F23398">
        <v>7600081</v>
      </c>
      <c r="G23398" t="s">
        <v>5845</v>
      </c>
      <c r="H23398" s="21">
        <v>675.67</v>
      </c>
    </row>
    <row r="23399" spans="1:8" customFormat="1" x14ac:dyDescent="0.25">
      <c r="A23399" t="str">
        <f>"855788"</f>
        <v>855788</v>
      </c>
      <c r="B23399" t="s">
        <v>8901</v>
      </c>
      <c r="C23399" t="s">
        <v>15344</v>
      </c>
      <c r="D23399" s="21" t="s">
        <v>34</v>
      </c>
      <c r="E23399" s="21" t="s">
        <v>254</v>
      </c>
      <c r="F23399">
        <v>12850031</v>
      </c>
      <c r="G23399" t="s">
        <v>3180</v>
      </c>
      <c r="H23399" s="21">
        <v>675.67</v>
      </c>
    </row>
    <row r="23400" spans="1:8" customFormat="1" x14ac:dyDescent="0.25">
      <c r="A23400" t="str">
        <f>"51262"</f>
        <v>51262</v>
      </c>
      <c r="B23400" t="s">
        <v>17655</v>
      </c>
      <c r="C23400" t="s">
        <v>1914</v>
      </c>
      <c r="D23400" s="21" t="s">
        <v>34</v>
      </c>
      <c r="E23400" s="21" t="s">
        <v>71</v>
      </c>
      <c r="F23400">
        <v>6510090</v>
      </c>
      <c r="G23400" t="s">
        <v>11924</v>
      </c>
      <c r="H23400" s="21">
        <v>675.67</v>
      </c>
    </row>
    <row r="23401" spans="1:8" customFormat="1" x14ac:dyDescent="0.25">
      <c r="A23401" t="str">
        <f>"4452084"</f>
        <v>4452084</v>
      </c>
      <c r="B23401" t="s">
        <v>4352</v>
      </c>
      <c r="C23401" t="s">
        <v>62</v>
      </c>
      <c r="D23401" s="21" t="s">
        <v>34</v>
      </c>
      <c r="E23401" s="21" t="s">
        <v>35</v>
      </c>
      <c r="F23401">
        <v>12440064</v>
      </c>
      <c r="G23401" t="s">
        <v>9082</v>
      </c>
      <c r="H23401" s="21">
        <v>675.67</v>
      </c>
    </row>
    <row r="23402" spans="1:8" customFormat="1" x14ac:dyDescent="0.25">
      <c r="A23402" t="str">
        <f>"0210394"</f>
        <v>0210394</v>
      </c>
      <c r="B23402" t="s">
        <v>27730</v>
      </c>
      <c r="C23402" t="s">
        <v>114</v>
      </c>
      <c r="D23402" s="21" t="s">
        <v>34</v>
      </c>
      <c r="E23402" s="21" t="s">
        <v>71</v>
      </c>
      <c r="F23402">
        <v>7020062</v>
      </c>
      <c r="G23402" t="s">
        <v>1505</v>
      </c>
      <c r="H23402" s="21">
        <v>675.67</v>
      </c>
    </row>
    <row r="23403" spans="1:8" customFormat="1" x14ac:dyDescent="0.25">
      <c r="A23403" t="str">
        <f>"4929453"</f>
        <v>4929453</v>
      </c>
      <c r="B23403" t="s">
        <v>2505</v>
      </c>
      <c r="C23403" t="s">
        <v>130</v>
      </c>
      <c r="D23403" s="21" t="s">
        <v>34</v>
      </c>
      <c r="E23403" s="21" t="s">
        <v>71</v>
      </c>
      <c r="F23403">
        <v>12490107</v>
      </c>
      <c r="G23403" t="s">
        <v>715</v>
      </c>
      <c r="H23403" s="21">
        <v>675.67</v>
      </c>
    </row>
    <row r="23404" spans="1:8" customFormat="1" x14ac:dyDescent="0.25">
      <c r="A23404" t="str">
        <f>"3410549"</f>
        <v>3410549</v>
      </c>
      <c r="B23404" t="s">
        <v>8817</v>
      </c>
      <c r="C23404" t="s">
        <v>1539</v>
      </c>
      <c r="D23404" s="21" t="s">
        <v>34</v>
      </c>
      <c r="E23404" s="21" t="s">
        <v>1089</v>
      </c>
      <c r="F23404">
        <v>11340007</v>
      </c>
      <c r="G23404" t="s">
        <v>2278</v>
      </c>
      <c r="H23404" s="21">
        <v>675.67</v>
      </c>
    </row>
    <row r="23405" spans="1:8" customFormat="1" x14ac:dyDescent="0.25">
      <c r="A23405" t="str">
        <f>"6813911"</f>
        <v>6813911</v>
      </c>
      <c r="B23405" t="s">
        <v>17915</v>
      </c>
      <c r="C23405" t="s">
        <v>17916</v>
      </c>
      <c r="D23405" s="21" t="s">
        <v>34</v>
      </c>
      <c r="E23405" s="21" t="s">
        <v>71</v>
      </c>
      <c r="F23405">
        <v>6680128</v>
      </c>
      <c r="G23405" t="s">
        <v>341</v>
      </c>
      <c r="H23405" s="21">
        <v>675.67</v>
      </c>
    </row>
    <row r="23406" spans="1:8" customFormat="1" x14ac:dyDescent="0.25">
      <c r="A23406" t="str">
        <f>"458079"</f>
        <v>458079</v>
      </c>
      <c r="B23406" t="s">
        <v>17206</v>
      </c>
      <c r="C23406" t="s">
        <v>462</v>
      </c>
      <c r="D23406" s="21" t="s">
        <v>34</v>
      </c>
      <c r="E23406" s="21" t="s">
        <v>71</v>
      </c>
      <c r="F23406">
        <v>4450108</v>
      </c>
      <c r="G23406" t="s">
        <v>2354</v>
      </c>
      <c r="H23406" s="21">
        <v>675.67</v>
      </c>
    </row>
    <row r="23407" spans="1:8" customFormat="1" x14ac:dyDescent="0.25">
      <c r="A23407" t="str">
        <f>"6571"</f>
        <v>6571</v>
      </c>
      <c r="B23407" t="s">
        <v>27731</v>
      </c>
      <c r="C23407" t="s">
        <v>547</v>
      </c>
      <c r="D23407" s="21" t="s">
        <v>34</v>
      </c>
      <c r="E23407" s="21" t="s">
        <v>1089</v>
      </c>
      <c r="F23407">
        <v>11650004</v>
      </c>
      <c r="G23407" t="s">
        <v>382</v>
      </c>
      <c r="H23407" s="21">
        <v>675.67</v>
      </c>
    </row>
    <row r="23408" spans="1:8" customFormat="1" x14ac:dyDescent="0.25">
      <c r="A23408" t="str">
        <f>"3318233"</f>
        <v>3318233</v>
      </c>
      <c r="B23408" t="s">
        <v>16905</v>
      </c>
      <c r="C23408" t="s">
        <v>1142</v>
      </c>
      <c r="D23408" s="21" t="s">
        <v>34</v>
      </c>
      <c r="E23408" s="21" t="s">
        <v>6185</v>
      </c>
      <c r="F23408">
        <v>10330017</v>
      </c>
      <c r="G23408" t="s">
        <v>2754</v>
      </c>
      <c r="H23408" s="21">
        <v>675.67</v>
      </c>
    </row>
    <row r="23409" spans="1:8" customFormat="1" x14ac:dyDescent="0.25">
      <c r="A23409" t="str">
        <f>"6937139"</f>
        <v>6937139</v>
      </c>
      <c r="B23409" t="s">
        <v>2625</v>
      </c>
      <c r="C23409" t="s">
        <v>55</v>
      </c>
      <c r="D23409" s="21" t="s">
        <v>34</v>
      </c>
      <c r="E23409" s="21" t="s">
        <v>71</v>
      </c>
      <c r="F23409" t="s">
        <v>4490</v>
      </c>
      <c r="G23409" t="s">
        <v>4491</v>
      </c>
      <c r="H23409" s="21">
        <v>675.67</v>
      </c>
    </row>
    <row r="23410" spans="1:8" customFormat="1" x14ac:dyDescent="0.25">
      <c r="A23410" t="str">
        <f>"4433343"</f>
        <v>4433343</v>
      </c>
      <c r="B23410" t="s">
        <v>17082</v>
      </c>
      <c r="C23410" t="s">
        <v>171</v>
      </c>
      <c r="D23410" s="21" t="s">
        <v>34</v>
      </c>
      <c r="E23410" s="21" t="s">
        <v>71</v>
      </c>
      <c r="F23410">
        <v>12440112</v>
      </c>
      <c r="G23410" t="s">
        <v>9188</v>
      </c>
      <c r="H23410" s="21">
        <v>675.67</v>
      </c>
    </row>
    <row r="23411" spans="1:8" customFormat="1" x14ac:dyDescent="0.25">
      <c r="A23411" t="str">
        <f>"4113176"</f>
        <v>4113176</v>
      </c>
      <c r="B23411" t="s">
        <v>4649</v>
      </c>
      <c r="C23411" t="s">
        <v>33</v>
      </c>
      <c r="D23411" s="21" t="s">
        <v>34</v>
      </c>
      <c r="E23411" s="21" t="s">
        <v>35</v>
      </c>
      <c r="F23411">
        <v>4410615</v>
      </c>
      <c r="G23411" t="s">
        <v>4897</v>
      </c>
      <c r="H23411" s="21">
        <v>675.67</v>
      </c>
    </row>
    <row r="23412" spans="1:8" customFormat="1" x14ac:dyDescent="0.25">
      <c r="A23412" t="str">
        <f>"2614375"</f>
        <v>2614375</v>
      </c>
      <c r="B23412" t="s">
        <v>18921</v>
      </c>
      <c r="C23412" t="s">
        <v>139</v>
      </c>
      <c r="D23412" s="21" t="s">
        <v>34</v>
      </c>
      <c r="E23412" s="21" t="s">
        <v>35</v>
      </c>
      <c r="F23412">
        <v>1260068</v>
      </c>
      <c r="G23412" t="s">
        <v>6531</v>
      </c>
      <c r="H23412" s="21">
        <v>675.67</v>
      </c>
    </row>
    <row r="23413" spans="1:8" customFormat="1" x14ac:dyDescent="0.25">
      <c r="A23413" t="str">
        <f>"806429"</f>
        <v>806429</v>
      </c>
      <c r="B23413" t="s">
        <v>8710</v>
      </c>
      <c r="C23413" t="s">
        <v>269</v>
      </c>
      <c r="D23413" s="21" t="s">
        <v>34</v>
      </c>
      <c r="E23413" s="21" t="s">
        <v>71</v>
      </c>
      <c r="F23413">
        <v>7800005</v>
      </c>
      <c r="G23413" t="s">
        <v>6547</v>
      </c>
      <c r="H23413" s="21">
        <v>675.67</v>
      </c>
    </row>
    <row r="23414" spans="1:8" customFormat="1" x14ac:dyDescent="0.25">
      <c r="A23414" t="str">
        <f>"93413"</f>
        <v>93413</v>
      </c>
      <c r="B23414" t="s">
        <v>16758</v>
      </c>
      <c r="C23414" t="s">
        <v>2520</v>
      </c>
      <c r="D23414" s="21" t="s">
        <v>34</v>
      </c>
      <c r="E23414" s="21" t="s">
        <v>254</v>
      </c>
      <c r="F23414">
        <v>8930113</v>
      </c>
      <c r="G23414" t="s">
        <v>368</v>
      </c>
      <c r="H23414" s="21">
        <v>675.67</v>
      </c>
    </row>
    <row r="23415" spans="1:8" customFormat="1" x14ac:dyDescent="0.25">
      <c r="A23415" t="str">
        <f>"4513226"</f>
        <v>4513226</v>
      </c>
      <c r="B23415" t="s">
        <v>5150</v>
      </c>
      <c r="C23415" t="s">
        <v>1946</v>
      </c>
      <c r="D23415" s="21" t="s">
        <v>34</v>
      </c>
      <c r="E23415" s="21" t="s">
        <v>254</v>
      </c>
      <c r="F23415">
        <v>4450417</v>
      </c>
      <c r="G23415" t="s">
        <v>2284</v>
      </c>
      <c r="H23415" s="21">
        <v>675.67</v>
      </c>
    </row>
    <row r="23416" spans="1:8" customFormat="1" x14ac:dyDescent="0.25">
      <c r="A23416" t="str">
        <f>"416369"</f>
        <v>416369</v>
      </c>
      <c r="B23416" t="s">
        <v>461</v>
      </c>
      <c r="C23416" t="s">
        <v>55</v>
      </c>
      <c r="D23416" s="21" t="s">
        <v>34</v>
      </c>
      <c r="E23416" s="21" t="s">
        <v>71</v>
      </c>
      <c r="F23416">
        <v>4410543</v>
      </c>
      <c r="G23416" t="s">
        <v>14950</v>
      </c>
      <c r="H23416" s="21">
        <v>675.67</v>
      </c>
    </row>
    <row r="23417" spans="1:8" customFormat="1" x14ac:dyDescent="0.25">
      <c r="A23417" t="str">
        <f>"479264"</f>
        <v>479264</v>
      </c>
      <c r="B23417" t="s">
        <v>19009</v>
      </c>
      <c r="C23417" t="s">
        <v>1025</v>
      </c>
      <c r="D23417" s="21" t="s">
        <v>34</v>
      </c>
      <c r="E23417" s="21" t="s">
        <v>1089</v>
      </c>
      <c r="F23417">
        <v>10470021</v>
      </c>
      <c r="G23417" t="s">
        <v>1034</v>
      </c>
      <c r="H23417" s="21">
        <v>675.67</v>
      </c>
    </row>
    <row r="23418" spans="1:8" customFormat="1" x14ac:dyDescent="0.25">
      <c r="A23418" t="str">
        <f>"7841891"</f>
        <v>7841891</v>
      </c>
      <c r="B23418" t="s">
        <v>6729</v>
      </c>
      <c r="C23418" t="s">
        <v>130</v>
      </c>
      <c r="D23418" s="21" t="s">
        <v>34</v>
      </c>
      <c r="E23418" s="21" t="s">
        <v>71</v>
      </c>
      <c r="F23418" t="s">
        <v>17651</v>
      </c>
      <c r="G23418" t="s">
        <v>17652</v>
      </c>
      <c r="H23418" s="21">
        <v>675.54</v>
      </c>
    </row>
    <row r="23419" spans="1:8" customFormat="1" x14ac:dyDescent="0.25">
      <c r="A23419" t="str">
        <f>"7634414"</f>
        <v>7634414</v>
      </c>
      <c r="B23419" t="s">
        <v>3703</v>
      </c>
      <c r="C23419" t="s">
        <v>114</v>
      </c>
      <c r="D23419" s="21" t="s">
        <v>34</v>
      </c>
      <c r="E23419" s="21" t="s">
        <v>254</v>
      </c>
      <c r="F23419">
        <v>9760007</v>
      </c>
      <c r="G23419" t="s">
        <v>7255</v>
      </c>
      <c r="H23419" s="21">
        <v>675.42</v>
      </c>
    </row>
    <row r="23420" spans="1:8" customFormat="1" x14ac:dyDescent="0.25">
      <c r="A23420" t="str">
        <f>"2213952"</f>
        <v>2213952</v>
      </c>
      <c r="B23420" t="s">
        <v>19004</v>
      </c>
      <c r="C23420" t="s">
        <v>926</v>
      </c>
      <c r="D23420" s="21" t="s">
        <v>34</v>
      </c>
      <c r="E23420" s="21" t="s">
        <v>71</v>
      </c>
      <c r="F23420">
        <v>3220033</v>
      </c>
      <c r="G23420" t="s">
        <v>657</v>
      </c>
      <c r="H23420" s="21">
        <v>675.42</v>
      </c>
    </row>
    <row r="23421" spans="1:8" customFormat="1" x14ac:dyDescent="0.25">
      <c r="A23421" t="str">
        <f>"3825954"</f>
        <v>3825954</v>
      </c>
      <c r="B23421" t="s">
        <v>17008</v>
      </c>
      <c r="C23421" t="s">
        <v>3905</v>
      </c>
      <c r="D23421" s="21" t="s">
        <v>34</v>
      </c>
      <c r="E23421" s="21" t="s">
        <v>71</v>
      </c>
      <c r="F23421">
        <v>1380028</v>
      </c>
      <c r="G23421" t="s">
        <v>374</v>
      </c>
      <c r="H23421" s="21">
        <v>675.42</v>
      </c>
    </row>
    <row r="23422" spans="1:8" customFormat="1" x14ac:dyDescent="0.25">
      <c r="A23422" t="str">
        <f>"5732479"</f>
        <v>5732479</v>
      </c>
      <c r="B23422" t="s">
        <v>4096</v>
      </c>
      <c r="C23422" t="s">
        <v>37</v>
      </c>
      <c r="D23422" s="21" t="s">
        <v>34</v>
      </c>
      <c r="E23422" s="21" t="s">
        <v>35</v>
      </c>
      <c r="F23422">
        <v>6570201</v>
      </c>
      <c r="G23422" t="s">
        <v>3296</v>
      </c>
      <c r="H23422" s="21">
        <v>675.42</v>
      </c>
    </row>
    <row r="23423" spans="1:8" customFormat="1" x14ac:dyDescent="0.25">
      <c r="A23423" t="str">
        <f>"7729890"</f>
        <v>7729890</v>
      </c>
      <c r="B23423" t="s">
        <v>10781</v>
      </c>
      <c r="C23423" t="s">
        <v>249</v>
      </c>
      <c r="D23423" s="21" t="s">
        <v>34</v>
      </c>
      <c r="E23423" s="21" t="s">
        <v>71</v>
      </c>
      <c r="F23423">
        <v>8770937</v>
      </c>
      <c r="G23423" t="s">
        <v>2119</v>
      </c>
      <c r="H23423" s="21">
        <v>675.29</v>
      </c>
    </row>
    <row r="23424" spans="1:8" customFormat="1" x14ac:dyDescent="0.25">
      <c r="A23424" t="str">
        <f>"9249334"</f>
        <v>9249334</v>
      </c>
      <c r="B23424" t="s">
        <v>19242</v>
      </c>
      <c r="C23424" t="s">
        <v>302</v>
      </c>
      <c r="D23424" s="21" t="s">
        <v>34</v>
      </c>
      <c r="E23424" s="21" t="s">
        <v>71</v>
      </c>
      <c r="F23424">
        <v>8920067</v>
      </c>
      <c r="G23424" t="s">
        <v>258</v>
      </c>
      <c r="H23424" s="21">
        <v>675.17</v>
      </c>
    </row>
    <row r="23425" spans="1:8" customFormat="1" x14ac:dyDescent="0.25">
      <c r="A23425" t="str">
        <f>"2516735"</f>
        <v>2516735</v>
      </c>
      <c r="B23425" t="s">
        <v>850</v>
      </c>
      <c r="C23425" t="s">
        <v>311</v>
      </c>
      <c r="D23425" s="21" t="s">
        <v>34</v>
      </c>
      <c r="E23425" s="21" t="s">
        <v>35</v>
      </c>
      <c r="F23425">
        <v>2250132</v>
      </c>
      <c r="G23425" t="s">
        <v>7748</v>
      </c>
      <c r="H23425" s="21">
        <v>675.17</v>
      </c>
    </row>
    <row r="23426" spans="1:8" customFormat="1" x14ac:dyDescent="0.25">
      <c r="A23426" t="str">
        <f>"3534294"</f>
        <v>3534294</v>
      </c>
      <c r="B23426" t="s">
        <v>17372</v>
      </c>
      <c r="C23426" t="s">
        <v>285</v>
      </c>
      <c r="D23426" s="21" t="s">
        <v>34</v>
      </c>
      <c r="E23426" s="21" t="s">
        <v>71</v>
      </c>
      <c r="F23426">
        <v>3350223</v>
      </c>
      <c r="G23426" t="s">
        <v>17373</v>
      </c>
      <c r="H23426" s="21">
        <v>675.17</v>
      </c>
    </row>
    <row r="23427" spans="1:8" customFormat="1" x14ac:dyDescent="0.25">
      <c r="A23427" t="str">
        <f>"5726192"</f>
        <v>5726192</v>
      </c>
      <c r="B23427" t="s">
        <v>4368</v>
      </c>
      <c r="C23427" t="s">
        <v>486</v>
      </c>
      <c r="D23427" s="21" t="s">
        <v>34</v>
      </c>
      <c r="E23427" s="21" t="s">
        <v>71</v>
      </c>
      <c r="F23427">
        <v>6570019</v>
      </c>
      <c r="G23427" t="s">
        <v>1510</v>
      </c>
      <c r="H23427" s="21">
        <v>675.17</v>
      </c>
    </row>
    <row r="23428" spans="1:8" customFormat="1" x14ac:dyDescent="0.25">
      <c r="A23428" t="str">
        <f>"035112"</f>
        <v>035112</v>
      </c>
      <c r="B23428" t="s">
        <v>17874</v>
      </c>
      <c r="C23428" t="s">
        <v>33</v>
      </c>
      <c r="D23428" s="21" t="s">
        <v>34</v>
      </c>
      <c r="E23428" s="21" t="s">
        <v>35</v>
      </c>
      <c r="F23428">
        <v>10870029</v>
      </c>
      <c r="G23428" t="s">
        <v>15820</v>
      </c>
      <c r="H23428" s="21">
        <v>675.17</v>
      </c>
    </row>
    <row r="23429" spans="1:8" customFormat="1" x14ac:dyDescent="0.25">
      <c r="A23429" t="str">
        <f>"2921510"</f>
        <v>2921510</v>
      </c>
      <c r="B23429" t="s">
        <v>8926</v>
      </c>
      <c r="C23429" t="s">
        <v>198</v>
      </c>
      <c r="D23429" s="21" t="s">
        <v>34</v>
      </c>
      <c r="E23429" s="21" t="s">
        <v>254</v>
      </c>
      <c r="F23429">
        <v>3290228</v>
      </c>
      <c r="G23429" t="s">
        <v>8738</v>
      </c>
      <c r="H23429" s="21">
        <v>675.17</v>
      </c>
    </row>
    <row r="23430" spans="1:8" customFormat="1" x14ac:dyDescent="0.25">
      <c r="A23430" t="str">
        <f>"3118718"</f>
        <v>3118718</v>
      </c>
      <c r="B23430" t="s">
        <v>21237</v>
      </c>
      <c r="C23430" t="s">
        <v>631</v>
      </c>
      <c r="D23430" s="21" t="s">
        <v>34</v>
      </c>
      <c r="E23430" s="21" t="s">
        <v>35</v>
      </c>
      <c r="F23430">
        <v>11310075</v>
      </c>
      <c r="G23430" t="s">
        <v>2531</v>
      </c>
      <c r="H23430" s="21">
        <v>675.17</v>
      </c>
    </row>
    <row r="23431" spans="1:8" customFormat="1" x14ac:dyDescent="0.25">
      <c r="A23431" t="str">
        <f>"8525184"</f>
        <v>8525184</v>
      </c>
      <c r="B23431" t="s">
        <v>17573</v>
      </c>
      <c r="C23431" t="s">
        <v>269</v>
      </c>
      <c r="D23431" s="21" t="s">
        <v>34</v>
      </c>
      <c r="E23431" s="21" t="s">
        <v>71</v>
      </c>
      <c r="F23431">
        <v>12850107</v>
      </c>
      <c r="G23431" t="s">
        <v>12181</v>
      </c>
      <c r="H23431" s="21">
        <v>675.17</v>
      </c>
    </row>
    <row r="23432" spans="1:8" customFormat="1" x14ac:dyDescent="0.25">
      <c r="A23432" t="str">
        <f>"809426"</f>
        <v>809426</v>
      </c>
      <c r="B23432" t="s">
        <v>392</v>
      </c>
      <c r="C23432" t="s">
        <v>275</v>
      </c>
      <c r="D23432" s="21" t="s">
        <v>34</v>
      </c>
      <c r="E23432" s="21" t="s">
        <v>35</v>
      </c>
      <c r="F23432">
        <v>7800128</v>
      </c>
      <c r="G23432" t="s">
        <v>3147</v>
      </c>
      <c r="H23432" s="21">
        <v>675.17</v>
      </c>
    </row>
    <row r="23433" spans="1:8" customFormat="1" x14ac:dyDescent="0.25">
      <c r="A23433" t="str">
        <f>"2921597"</f>
        <v>2921597</v>
      </c>
      <c r="B23433" t="s">
        <v>14161</v>
      </c>
      <c r="C23433" t="s">
        <v>239</v>
      </c>
      <c r="D23433" s="21" t="s">
        <v>34</v>
      </c>
      <c r="E23433" s="21" t="s">
        <v>71</v>
      </c>
      <c r="F23433">
        <v>3290205</v>
      </c>
      <c r="G23433" t="s">
        <v>26882</v>
      </c>
      <c r="H23433" s="21">
        <v>675.17</v>
      </c>
    </row>
    <row r="23434" spans="1:8" customFormat="1" x14ac:dyDescent="0.25">
      <c r="A23434" t="str">
        <f>"8528126"</f>
        <v>8528126</v>
      </c>
      <c r="B23434" t="s">
        <v>537</v>
      </c>
      <c r="C23434" t="s">
        <v>275</v>
      </c>
      <c r="D23434" s="21" t="s">
        <v>34</v>
      </c>
      <c r="E23434" s="21" t="s">
        <v>35</v>
      </c>
      <c r="F23434">
        <v>12850170</v>
      </c>
      <c r="G23434" t="s">
        <v>3349</v>
      </c>
      <c r="H23434" s="21">
        <v>675.17</v>
      </c>
    </row>
    <row r="23435" spans="1:8" customFormat="1" x14ac:dyDescent="0.25">
      <c r="A23435" t="str">
        <f>"192971"</f>
        <v>192971</v>
      </c>
      <c r="B23435" t="s">
        <v>12900</v>
      </c>
      <c r="C23435" t="s">
        <v>9714</v>
      </c>
      <c r="D23435" s="21" t="s">
        <v>34</v>
      </c>
      <c r="E23435" s="21" t="s">
        <v>254</v>
      </c>
      <c r="F23435">
        <v>10190134</v>
      </c>
      <c r="G23435" t="s">
        <v>27150</v>
      </c>
      <c r="H23435" s="21">
        <v>675.17</v>
      </c>
    </row>
    <row r="23436" spans="1:8" customFormat="1" x14ac:dyDescent="0.25">
      <c r="A23436" t="str">
        <f>"306585"</f>
        <v>306585</v>
      </c>
      <c r="B23436" t="s">
        <v>17410</v>
      </c>
      <c r="C23436" t="s">
        <v>415</v>
      </c>
      <c r="D23436" s="21" t="s">
        <v>34</v>
      </c>
      <c r="E23436" s="21" t="s">
        <v>71</v>
      </c>
      <c r="F23436">
        <v>11300007</v>
      </c>
      <c r="G23436" t="s">
        <v>361</v>
      </c>
      <c r="H23436" s="21">
        <v>675.17</v>
      </c>
    </row>
    <row r="23437" spans="1:8" customFormat="1" x14ac:dyDescent="0.25">
      <c r="A23437" t="str">
        <f>"7637264"</f>
        <v>7637264</v>
      </c>
      <c r="B23437" t="s">
        <v>1624</v>
      </c>
      <c r="C23437" t="s">
        <v>631</v>
      </c>
      <c r="D23437" s="21" t="s">
        <v>34</v>
      </c>
      <c r="E23437" s="21" t="s">
        <v>35</v>
      </c>
      <c r="F23437">
        <v>9760420</v>
      </c>
      <c r="G23437" t="s">
        <v>11290</v>
      </c>
      <c r="H23437" s="21">
        <v>675.17</v>
      </c>
    </row>
    <row r="23438" spans="1:8" customFormat="1" x14ac:dyDescent="0.25">
      <c r="A23438" t="str">
        <f>"7624146"</f>
        <v>7624146</v>
      </c>
      <c r="B23438" t="s">
        <v>2058</v>
      </c>
      <c r="C23438" t="s">
        <v>55</v>
      </c>
      <c r="D23438" s="21" t="s">
        <v>34</v>
      </c>
      <c r="E23438" s="21" t="s">
        <v>71</v>
      </c>
      <c r="F23438">
        <v>9760366</v>
      </c>
      <c r="G23438" t="s">
        <v>7640</v>
      </c>
      <c r="H23438" s="21">
        <v>675.17</v>
      </c>
    </row>
    <row r="23439" spans="1:8" customFormat="1" x14ac:dyDescent="0.25">
      <c r="A23439" t="str">
        <f>"5932051"</f>
        <v>5932051</v>
      </c>
      <c r="B23439" t="s">
        <v>18789</v>
      </c>
      <c r="C23439" t="s">
        <v>33</v>
      </c>
      <c r="D23439" s="21" t="s">
        <v>34</v>
      </c>
      <c r="E23439" s="21" t="s">
        <v>35</v>
      </c>
      <c r="F23439">
        <v>7620046</v>
      </c>
      <c r="G23439" t="s">
        <v>242</v>
      </c>
      <c r="H23439" s="21">
        <v>675.17</v>
      </c>
    </row>
    <row r="23440" spans="1:8" customFormat="1" x14ac:dyDescent="0.25">
      <c r="A23440" t="str">
        <f>"5928900"</f>
        <v>5928900</v>
      </c>
      <c r="B23440" t="s">
        <v>15156</v>
      </c>
      <c r="C23440" t="s">
        <v>1132</v>
      </c>
      <c r="D23440" s="21" t="s">
        <v>34</v>
      </c>
      <c r="E23440" s="21" t="s">
        <v>35</v>
      </c>
      <c r="F23440">
        <v>7590053</v>
      </c>
      <c r="G23440" t="s">
        <v>2825</v>
      </c>
      <c r="H23440" s="21">
        <v>675.17</v>
      </c>
    </row>
    <row r="23441" spans="1:8" customFormat="1" x14ac:dyDescent="0.25">
      <c r="A23441" t="str">
        <f>"174892"</f>
        <v>174892</v>
      </c>
      <c r="B23441" t="s">
        <v>11355</v>
      </c>
      <c r="C23441" t="s">
        <v>1231</v>
      </c>
      <c r="D23441" s="21" t="s">
        <v>34</v>
      </c>
      <c r="E23441" s="21" t="s">
        <v>71</v>
      </c>
      <c r="F23441">
        <v>10170138</v>
      </c>
      <c r="G23441" t="s">
        <v>13853</v>
      </c>
      <c r="H23441" s="21">
        <v>675.17</v>
      </c>
    </row>
    <row r="23442" spans="1:8" customFormat="1" x14ac:dyDescent="0.25">
      <c r="A23442" t="str">
        <f>"6016"</f>
        <v>6016</v>
      </c>
      <c r="B23442" t="s">
        <v>5800</v>
      </c>
      <c r="C23442" t="s">
        <v>412</v>
      </c>
      <c r="D23442" s="21" t="s">
        <v>34</v>
      </c>
      <c r="E23442" s="21" t="s">
        <v>254</v>
      </c>
      <c r="F23442">
        <v>7600015</v>
      </c>
      <c r="G23442" t="s">
        <v>8343</v>
      </c>
      <c r="H23442" s="21">
        <v>675.17</v>
      </c>
    </row>
    <row r="23443" spans="1:8" customFormat="1" x14ac:dyDescent="0.25">
      <c r="A23443" t="str">
        <f>"858902"</f>
        <v>858902</v>
      </c>
      <c r="B23443" t="s">
        <v>16748</v>
      </c>
      <c r="C23443" t="s">
        <v>2100</v>
      </c>
      <c r="D23443" s="21" t="s">
        <v>34</v>
      </c>
      <c r="E23443" s="21" t="s">
        <v>71</v>
      </c>
      <c r="F23443">
        <v>12850032</v>
      </c>
      <c r="G23443" t="s">
        <v>6589</v>
      </c>
      <c r="H23443" s="21">
        <v>675.17</v>
      </c>
    </row>
    <row r="23444" spans="1:8" customFormat="1" x14ac:dyDescent="0.25">
      <c r="A23444" t="str">
        <f>"3522450"</f>
        <v>3522450</v>
      </c>
      <c r="B23444" t="s">
        <v>16766</v>
      </c>
      <c r="C23444" t="s">
        <v>209</v>
      </c>
      <c r="D23444" s="21" t="s">
        <v>34</v>
      </c>
      <c r="E23444" s="21" t="s">
        <v>71</v>
      </c>
      <c r="F23444">
        <v>3350095</v>
      </c>
      <c r="G23444" t="s">
        <v>5813</v>
      </c>
      <c r="H23444" s="21">
        <v>675.17</v>
      </c>
    </row>
    <row r="23445" spans="1:8" customFormat="1" x14ac:dyDescent="0.25">
      <c r="A23445" t="str">
        <f>"6015704"</f>
        <v>6015704</v>
      </c>
      <c r="B23445" t="s">
        <v>18416</v>
      </c>
      <c r="C23445" t="s">
        <v>664</v>
      </c>
      <c r="D23445" s="21" t="s">
        <v>34</v>
      </c>
      <c r="E23445" s="21" t="s">
        <v>1089</v>
      </c>
      <c r="F23445">
        <v>7600086</v>
      </c>
      <c r="G23445" t="s">
        <v>2399</v>
      </c>
      <c r="H23445" s="21">
        <v>675.17</v>
      </c>
    </row>
    <row r="23446" spans="1:8" customFormat="1" x14ac:dyDescent="0.25">
      <c r="A23446" t="str">
        <f>"85298"</f>
        <v>85298</v>
      </c>
      <c r="B23446" t="s">
        <v>5424</v>
      </c>
      <c r="C23446" t="s">
        <v>379</v>
      </c>
      <c r="D23446" s="21" t="s">
        <v>34</v>
      </c>
      <c r="E23446" s="21" t="s">
        <v>1089</v>
      </c>
      <c r="F23446">
        <v>12851011</v>
      </c>
      <c r="G23446" t="s">
        <v>1445</v>
      </c>
      <c r="H23446" s="21">
        <v>675.04</v>
      </c>
    </row>
    <row r="23447" spans="1:8" customFormat="1" x14ac:dyDescent="0.25">
      <c r="A23447" t="str">
        <f>"9118789"</f>
        <v>9118789</v>
      </c>
      <c r="B23447" t="s">
        <v>3848</v>
      </c>
      <c r="C23447" t="s">
        <v>87</v>
      </c>
      <c r="D23447" s="21" t="s">
        <v>34</v>
      </c>
      <c r="E23447" s="21" t="s">
        <v>71</v>
      </c>
      <c r="F23447">
        <v>8910042</v>
      </c>
      <c r="G23447" t="s">
        <v>4009</v>
      </c>
      <c r="H23447" s="21">
        <v>674.92</v>
      </c>
    </row>
    <row r="23448" spans="1:8" customFormat="1" x14ac:dyDescent="0.25">
      <c r="A23448" t="str">
        <f>"841185"</f>
        <v>841185</v>
      </c>
      <c r="B23448" t="s">
        <v>7122</v>
      </c>
      <c r="C23448" t="s">
        <v>114</v>
      </c>
      <c r="D23448" s="21" t="s">
        <v>34</v>
      </c>
      <c r="E23448" s="21" t="s">
        <v>71</v>
      </c>
      <c r="F23448">
        <v>13840006</v>
      </c>
      <c r="G23448" t="s">
        <v>10139</v>
      </c>
      <c r="H23448" s="21">
        <v>674.92</v>
      </c>
    </row>
    <row r="23449" spans="1:8" customFormat="1" x14ac:dyDescent="0.25">
      <c r="A23449" t="str">
        <f>"9216441"</f>
        <v>9216441</v>
      </c>
      <c r="B23449" t="s">
        <v>27732</v>
      </c>
      <c r="C23449" t="s">
        <v>9688</v>
      </c>
      <c r="D23449" s="21" t="s">
        <v>34</v>
      </c>
      <c r="E23449" s="21" t="s">
        <v>35</v>
      </c>
      <c r="F23449">
        <v>8780892</v>
      </c>
      <c r="G23449" t="s">
        <v>3021</v>
      </c>
      <c r="H23449" s="21">
        <v>674.79</v>
      </c>
    </row>
    <row r="23450" spans="1:8" customFormat="1" x14ac:dyDescent="0.25">
      <c r="A23450" t="str">
        <f>"4933832"</f>
        <v>4933832</v>
      </c>
      <c r="B23450" t="s">
        <v>19105</v>
      </c>
      <c r="C23450" t="s">
        <v>879</v>
      </c>
      <c r="D23450" s="21" t="s">
        <v>34</v>
      </c>
      <c r="E23450" s="21" t="s">
        <v>71</v>
      </c>
      <c r="F23450">
        <v>12490120</v>
      </c>
      <c r="G23450" t="s">
        <v>2316</v>
      </c>
      <c r="H23450" s="21">
        <v>674.67</v>
      </c>
    </row>
    <row r="23451" spans="1:8" customFormat="1" x14ac:dyDescent="0.25">
      <c r="A23451" t="str">
        <f>"2810319"</f>
        <v>2810319</v>
      </c>
      <c r="B23451" t="s">
        <v>17229</v>
      </c>
      <c r="C23451" t="s">
        <v>817</v>
      </c>
      <c r="D23451" s="21" t="s">
        <v>34</v>
      </c>
      <c r="E23451" s="21" t="s">
        <v>71</v>
      </c>
      <c r="F23451">
        <v>4280716</v>
      </c>
      <c r="G23451" t="s">
        <v>5281</v>
      </c>
      <c r="H23451" s="21">
        <v>674.67</v>
      </c>
    </row>
    <row r="23452" spans="1:8" customFormat="1" x14ac:dyDescent="0.25">
      <c r="A23452" t="str">
        <f>"1424186"</f>
        <v>1424186</v>
      </c>
      <c r="B23452" t="s">
        <v>18562</v>
      </c>
      <c r="C23452" t="s">
        <v>934</v>
      </c>
      <c r="D23452" s="21" t="s">
        <v>34</v>
      </c>
      <c r="E23452" s="21" t="s">
        <v>35</v>
      </c>
      <c r="F23452">
        <v>9140202</v>
      </c>
      <c r="G23452" t="s">
        <v>2011</v>
      </c>
      <c r="H23452" s="21">
        <v>674.67</v>
      </c>
    </row>
    <row r="23453" spans="1:8" customFormat="1" x14ac:dyDescent="0.25">
      <c r="A23453" t="str">
        <f>"735897"</f>
        <v>735897</v>
      </c>
      <c r="B23453" t="s">
        <v>17408</v>
      </c>
      <c r="C23453" t="s">
        <v>262</v>
      </c>
      <c r="D23453" s="21" t="s">
        <v>34</v>
      </c>
      <c r="E23453" s="21" t="s">
        <v>35</v>
      </c>
      <c r="F23453">
        <v>1730083</v>
      </c>
      <c r="G23453" t="s">
        <v>10955</v>
      </c>
      <c r="H23453" s="21">
        <v>674.67</v>
      </c>
    </row>
    <row r="23454" spans="1:8" customFormat="1" x14ac:dyDescent="0.25">
      <c r="A23454" t="str">
        <f>"8510530"</f>
        <v>8510530</v>
      </c>
      <c r="B23454" t="s">
        <v>12675</v>
      </c>
      <c r="C23454" t="s">
        <v>198</v>
      </c>
      <c r="D23454" s="21" t="s">
        <v>34</v>
      </c>
      <c r="E23454" s="21" t="s">
        <v>71</v>
      </c>
      <c r="F23454">
        <v>12850134</v>
      </c>
      <c r="G23454" t="s">
        <v>2359</v>
      </c>
      <c r="H23454" s="21">
        <v>674.67</v>
      </c>
    </row>
    <row r="23455" spans="1:8" customFormat="1" x14ac:dyDescent="0.25">
      <c r="A23455" t="str">
        <f>"244563"</f>
        <v>244563</v>
      </c>
      <c r="B23455" t="s">
        <v>18607</v>
      </c>
      <c r="C23455" t="s">
        <v>598</v>
      </c>
      <c r="D23455" s="21" t="s">
        <v>34</v>
      </c>
      <c r="E23455" s="21" t="s">
        <v>1089</v>
      </c>
      <c r="F23455">
        <v>10240002</v>
      </c>
      <c r="G23455" t="s">
        <v>2935</v>
      </c>
      <c r="H23455" s="21">
        <v>674.67</v>
      </c>
    </row>
    <row r="23456" spans="1:8" customFormat="1" x14ac:dyDescent="0.25">
      <c r="A23456" t="str">
        <f>"6310235"</f>
        <v>6310235</v>
      </c>
      <c r="B23456" t="s">
        <v>27733</v>
      </c>
      <c r="C23456" t="s">
        <v>598</v>
      </c>
      <c r="D23456" s="21" t="s">
        <v>34</v>
      </c>
      <c r="E23456" s="21" t="s">
        <v>1089</v>
      </c>
      <c r="F23456">
        <v>1630301</v>
      </c>
      <c r="G23456" t="s">
        <v>7897</v>
      </c>
      <c r="H23456" s="21">
        <v>674.67</v>
      </c>
    </row>
    <row r="23457" spans="1:8" customFormat="1" x14ac:dyDescent="0.25">
      <c r="A23457" t="str">
        <f>"9456701"</f>
        <v>9456701</v>
      </c>
      <c r="B23457" t="s">
        <v>3171</v>
      </c>
      <c r="C23457" t="s">
        <v>469</v>
      </c>
      <c r="D23457" s="21" t="s">
        <v>34</v>
      </c>
      <c r="E23457" s="21" t="s">
        <v>35</v>
      </c>
      <c r="F23457">
        <v>8940926</v>
      </c>
      <c r="G23457" t="s">
        <v>4065</v>
      </c>
      <c r="H23457" s="21">
        <v>674.67</v>
      </c>
    </row>
    <row r="23458" spans="1:8" customFormat="1" x14ac:dyDescent="0.25">
      <c r="A23458" t="str">
        <f>"7514883"</f>
        <v>7514883</v>
      </c>
      <c r="B23458" t="s">
        <v>3472</v>
      </c>
      <c r="C23458" t="s">
        <v>18369</v>
      </c>
      <c r="D23458" s="21" t="s">
        <v>34</v>
      </c>
      <c r="E23458" s="21" t="s">
        <v>35</v>
      </c>
      <c r="F23458">
        <v>13040023</v>
      </c>
      <c r="G23458" t="s">
        <v>2542</v>
      </c>
      <c r="H23458" s="21">
        <v>674.67</v>
      </c>
    </row>
    <row r="23459" spans="1:8" customFormat="1" x14ac:dyDescent="0.25">
      <c r="A23459" t="str">
        <f>"9531017"</f>
        <v>9531017</v>
      </c>
      <c r="B23459" t="s">
        <v>20514</v>
      </c>
      <c r="C23459" t="s">
        <v>156</v>
      </c>
      <c r="D23459" s="21" t="s">
        <v>34</v>
      </c>
      <c r="E23459" s="21" t="s">
        <v>35</v>
      </c>
      <c r="F23459">
        <v>8951092</v>
      </c>
      <c r="G23459" t="s">
        <v>5801</v>
      </c>
      <c r="H23459" s="21">
        <v>674.67</v>
      </c>
    </row>
    <row r="23460" spans="1:8" customFormat="1" x14ac:dyDescent="0.25">
      <c r="A23460" t="str">
        <f>"5113552"</f>
        <v>5113552</v>
      </c>
      <c r="B23460" t="s">
        <v>19050</v>
      </c>
      <c r="C23460" t="s">
        <v>62</v>
      </c>
      <c r="D23460" s="21" t="s">
        <v>34</v>
      </c>
      <c r="E23460" s="21" t="s">
        <v>71</v>
      </c>
      <c r="F23460">
        <v>6510042</v>
      </c>
      <c r="G23460" t="s">
        <v>15015</v>
      </c>
      <c r="H23460" s="21">
        <v>674.67</v>
      </c>
    </row>
    <row r="23461" spans="1:8" customFormat="1" x14ac:dyDescent="0.25">
      <c r="A23461" t="str">
        <f>"4925569"</f>
        <v>4925569</v>
      </c>
      <c r="B23461" t="s">
        <v>2645</v>
      </c>
      <c r="C23461" t="s">
        <v>239</v>
      </c>
      <c r="D23461" s="21" t="s">
        <v>34</v>
      </c>
      <c r="E23461" s="21" t="s">
        <v>71</v>
      </c>
      <c r="F23461">
        <v>12490036</v>
      </c>
      <c r="G23461" t="s">
        <v>6557</v>
      </c>
      <c r="H23461" s="21">
        <v>674.67</v>
      </c>
    </row>
    <row r="23462" spans="1:8" customFormat="1" x14ac:dyDescent="0.25">
      <c r="A23462" t="str">
        <f>"664233"</f>
        <v>664233</v>
      </c>
      <c r="B23462" t="s">
        <v>2460</v>
      </c>
      <c r="C23462" t="s">
        <v>249</v>
      </c>
      <c r="D23462" s="21" t="s">
        <v>34</v>
      </c>
      <c r="E23462" s="21" t="s">
        <v>71</v>
      </c>
      <c r="F23462">
        <v>11660011</v>
      </c>
      <c r="G23462" t="s">
        <v>4641</v>
      </c>
      <c r="H23462" s="21">
        <v>674.67</v>
      </c>
    </row>
    <row r="23463" spans="1:8" customFormat="1" x14ac:dyDescent="0.25">
      <c r="A23463" t="str">
        <f>"1423820"</f>
        <v>1423820</v>
      </c>
      <c r="B23463" t="s">
        <v>9645</v>
      </c>
      <c r="C23463" t="s">
        <v>130</v>
      </c>
      <c r="D23463" s="21" t="s">
        <v>34</v>
      </c>
      <c r="E23463" s="21" t="s">
        <v>71</v>
      </c>
      <c r="F23463">
        <v>9140007</v>
      </c>
      <c r="G23463" t="s">
        <v>434</v>
      </c>
      <c r="H23463" s="21">
        <v>674.67</v>
      </c>
    </row>
    <row r="23464" spans="1:8" customFormat="1" x14ac:dyDescent="0.25">
      <c r="A23464" t="str">
        <f>"7849690"</f>
        <v>7849690</v>
      </c>
      <c r="B23464" t="s">
        <v>18158</v>
      </c>
      <c r="C23464" t="s">
        <v>82</v>
      </c>
      <c r="D23464" s="21" t="s">
        <v>34</v>
      </c>
      <c r="E23464" s="21" t="s">
        <v>35</v>
      </c>
      <c r="F23464">
        <v>8781094</v>
      </c>
      <c r="G23464" t="s">
        <v>7875</v>
      </c>
      <c r="H23464" s="21">
        <v>674.67</v>
      </c>
    </row>
    <row r="23465" spans="1:8" customFormat="1" x14ac:dyDescent="0.25">
      <c r="A23465" t="str">
        <f>"6213569"</f>
        <v>6213569</v>
      </c>
      <c r="B23465" t="s">
        <v>16867</v>
      </c>
      <c r="C23465" t="s">
        <v>7740</v>
      </c>
      <c r="D23465" s="21" t="s">
        <v>34</v>
      </c>
      <c r="E23465" s="21" t="s">
        <v>35</v>
      </c>
      <c r="F23465">
        <v>7620005</v>
      </c>
      <c r="G23465" t="s">
        <v>200</v>
      </c>
      <c r="H23465" s="21">
        <v>674.67</v>
      </c>
    </row>
    <row r="23466" spans="1:8" customFormat="1" x14ac:dyDescent="0.25">
      <c r="A23466" t="str">
        <f>"9439926"</f>
        <v>9439926</v>
      </c>
      <c r="B23466" t="s">
        <v>4662</v>
      </c>
      <c r="C23466" t="s">
        <v>302</v>
      </c>
      <c r="D23466" s="21" t="s">
        <v>34</v>
      </c>
      <c r="E23466" s="21" t="s">
        <v>71</v>
      </c>
      <c r="F23466">
        <v>8940535</v>
      </c>
      <c r="G23466" t="s">
        <v>2628</v>
      </c>
      <c r="H23466" s="21">
        <v>674.67</v>
      </c>
    </row>
    <row r="23467" spans="1:8" customFormat="1" x14ac:dyDescent="0.25">
      <c r="A23467" t="str">
        <f>"7634032"</f>
        <v>7634032</v>
      </c>
      <c r="B23467" t="s">
        <v>213</v>
      </c>
      <c r="C23467" t="s">
        <v>1025</v>
      </c>
      <c r="D23467" s="21" t="s">
        <v>34</v>
      </c>
      <c r="E23467" s="21" t="s">
        <v>71</v>
      </c>
      <c r="F23467">
        <v>9760294</v>
      </c>
      <c r="G23467" t="s">
        <v>8313</v>
      </c>
      <c r="H23467" s="21">
        <v>674.67</v>
      </c>
    </row>
    <row r="23468" spans="1:8" customFormat="1" x14ac:dyDescent="0.25">
      <c r="A23468" t="str">
        <f>"7217490"</f>
        <v>7217490</v>
      </c>
      <c r="B23468" t="s">
        <v>19429</v>
      </c>
      <c r="C23468" t="s">
        <v>608</v>
      </c>
      <c r="D23468" s="21" t="s">
        <v>34</v>
      </c>
      <c r="E23468" s="21" t="s">
        <v>35</v>
      </c>
      <c r="F23468">
        <v>12720071</v>
      </c>
      <c r="G23468" t="s">
        <v>783</v>
      </c>
      <c r="H23468" s="21">
        <v>674.67</v>
      </c>
    </row>
    <row r="23469" spans="1:8" customFormat="1" x14ac:dyDescent="0.25">
      <c r="A23469" t="str">
        <f>"2215041"</f>
        <v>2215041</v>
      </c>
      <c r="B23469" t="s">
        <v>15424</v>
      </c>
      <c r="C23469" t="s">
        <v>415</v>
      </c>
      <c r="D23469" s="21" t="s">
        <v>34</v>
      </c>
      <c r="E23469" s="21" t="s">
        <v>71</v>
      </c>
      <c r="F23469">
        <v>3220132</v>
      </c>
      <c r="G23469" t="s">
        <v>27242</v>
      </c>
      <c r="H23469" s="21">
        <v>674.67</v>
      </c>
    </row>
    <row r="23470" spans="1:8" customFormat="1" x14ac:dyDescent="0.25">
      <c r="A23470" t="str">
        <f>"889181"</f>
        <v>889181</v>
      </c>
      <c r="B23470" t="s">
        <v>726</v>
      </c>
      <c r="C23470" t="s">
        <v>267</v>
      </c>
      <c r="D23470" s="21" t="s">
        <v>34</v>
      </c>
      <c r="E23470" s="21" t="s">
        <v>71</v>
      </c>
      <c r="F23470">
        <v>6880116</v>
      </c>
      <c r="G23470" t="s">
        <v>2465</v>
      </c>
      <c r="H23470" s="21">
        <v>674.67</v>
      </c>
    </row>
    <row r="23471" spans="1:8" customFormat="1" x14ac:dyDescent="0.25">
      <c r="A23471" t="str">
        <f>"091581"</f>
        <v>091581</v>
      </c>
      <c r="B23471" t="s">
        <v>17551</v>
      </c>
      <c r="C23471" t="s">
        <v>275</v>
      </c>
      <c r="D23471" s="21" t="s">
        <v>34</v>
      </c>
      <c r="E23471" s="21" t="s">
        <v>35</v>
      </c>
      <c r="F23471">
        <v>11090009</v>
      </c>
      <c r="G23471" t="s">
        <v>14796</v>
      </c>
      <c r="H23471" s="21">
        <v>674.67</v>
      </c>
    </row>
    <row r="23472" spans="1:8" customFormat="1" x14ac:dyDescent="0.25">
      <c r="A23472" t="str">
        <f>"7815143"</f>
        <v>7815143</v>
      </c>
      <c r="B23472" t="s">
        <v>2690</v>
      </c>
      <c r="C23472" t="s">
        <v>139</v>
      </c>
      <c r="D23472" s="21" t="s">
        <v>34</v>
      </c>
      <c r="E23472" s="21" t="s">
        <v>71</v>
      </c>
      <c r="F23472">
        <v>8780023</v>
      </c>
      <c r="G23472" t="s">
        <v>1496</v>
      </c>
      <c r="H23472" s="21">
        <v>674.67</v>
      </c>
    </row>
    <row r="23473" spans="1:8" customFormat="1" x14ac:dyDescent="0.25">
      <c r="A23473" t="str">
        <f>"2218706"</f>
        <v>2218706</v>
      </c>
      <c r="B23473" t="s">
        <v>18589</v>
      </c>
      <c r="C23473" t="s">
        <v>2305</v>
      </c>
      <c r="D23473" s="21" t="s">
        <v>34</v>
      </c>
      <c r="E23473" s="21" t="s">
        <v>71</v>
      </c>
      <c r="F23473">
        <v>3220031</v>
      </c>
      <c r="G23473" t="s">
        <v>26743</v>
      </c>
      <c r="H23473" s="21">
        <v>674.67</v>
      </c>
    </row>
    <row r="23474" spans="1:8" customFormat="1" x14ac:dyDescent="0.25">
      <c r="A23474" t="str">
        <f>"9316597"</f>
        <v>9316597</v>
      </c>
      <c r="B23474" t="s">
        <v>10937</v>
      </c>
      <c r="C23474" t="s">
        <v>275</v>
      </c>
      <c r="D23474" s="21" t="s">
        <v>34</v>
      </c>
      <c r="E23474" s="21" t="s">
        <v>35</v>
      </c>
      <c r="F23474">
        <v>11340060</v>
      </c>
      <c r="G23474" t="s">
        <v>1275</v>
      </c>
      <c r="H23474" s="21">
        <v>674.54</v>
      </c>
    </row>
    <row r="23475" spans="1:8" customFormat="1" x14ac:dyDescent="0.25">
      <c r="A23475" t="str">
        <f>"3828886"</f>
        <v>3828886</v>
      </c>
      <c r="B23475" t="s">
        <v>7932</v>
      </c>
      <c r="C23475" t="s">
        <v>2520</v>
      </c>
      <c r="D23475" s="21" t="s">
        <v>34</v>
      </c>
      <c r="E23475" s="21" t="s">
        <v>71</v>
      </c>
      <c r="F23475">
        <v>1380256</v>
      </c>
      <c r="G23475" t="s">
        <v>6946</v>
      </c>
      <c r="H23475" s="21">
        <v>674.42</v>
      </c>
    </row>
    <row r="23476" spans="1:8" customFormat="1" x14ac:dyDescent="0.25">
      <c r="A23476" t="str">
        <f>"4916802"</f>
        <v>4916802</v>
      </c>
      <c r="B23476" t="s">
        <v>2962</v>
      </c>
      <c r="C23476" t="s">
        <v>1946</v>
      </c>
      <c r="D23476" s="21" t="s">
        <v>34</v>
      </c>
      <c r="E23476" s="21" t="s">
        <v>254</v>
      </c>
      <c r="F23476">
        <v>12490062</v>
      </c>
      <c r="G23476" t="s">
        <v>9920</v>
      </c>
      <c r="H23476" s="21">
        <v>674.42</v>
      </c>
    </row>
    <row r="23477" spans="1:8" customFormat="1" x14ac:dyDescent="0.25">
      <c r="A23477" t="str">
        <f>"7413122"</f>
        <v>7413122</v>
      </c>
      <c r="B23477" t="s">
        <v>1833</v>
      </c>
      <c r="C23477" t="s">
        <v>1588</v>
      </c>
      <c r="D23477" s="21" t="s">
        <v>34</v>
      </c>
      <c r="E23477" s="21" t="s">
        <v>35</v>
      </c>
      <c r="F23477">
        <v>1740080</v>
      </c>
      <c r="G23477" t="s">
        <v>12809</v>
      </c>
      <c r="H23477" s="21">
        <v>674.29</v>
      </c>
    </row>
    <row r="23478" spans="1:8" customFormat="1" x14ac:dyDescent="0.25">
      <c r="A23478" t="str">
        <f>"836711"</f>
        <v>836711</v>
      </c>
      <c r="B23478" t="s">
        <v>18182</v>
      </c>
      <c r="C23478" t="s">
        <v>267</v>
      </c>
      <c r="D23478" s="21" t="s">
        <v>34</v>
      </c>
      <c r="E23478" s="21" t="s">
        <v>1089</v>
      </c>
      <c r="F23478">
        <v>13830022</v>
      </c>
      <c r="G23478" t="s">
        <v>633</v>
      </c>
      <c r="H23478" s="21">
        <v>674.17</v>
      </c>
    </row>
    <row r="23479" spans="1:8" customFormat="1" x14ac:dyDescent="0.25">
      <c r="A23479" t="str">
        <f>"3820408"</f>
        <v>3820408</v>
      </c>
      <c r="B23479" t="s">
        <v>19034</v>
      </c>
      <c r="C23479" t="s">
        <v>249</v>
      </c>
      <c r="D23479" s="21" t="s">
        <v>34</v>
      </c>
      <c r="E23479" s="21" t="s">
        <v>254</v>
      </c>
      <c r="F23479">
        <v>1380173</v>
      </c>
      <c r="G23479" t="s">
        <v>9553</v>
      </c>
      <c r="H23479" s="21">
        <v>674.17</v>
      </c>
    </row>
    <row r="23480" spans="1:8" customFormat="1" x14ac:dyDescent="0.25">
      <c r="A23480" t="str">
        <f>"5918568"</f>
        <v>5918568</v>
      </c>
      <c r="B23480" t="s">
        <v>17853</v>
      </c>
      <c r="C23480" t="s">
        <v>288</v>
      </c>
      <c r="D23480" s="21" t="s">
        <v>34</v>
      </c>
      <c r="E23480" s="21" t="s">
        <v>35</v>
      </c>
      <c r="F23480">
        <v>7590048</v>
      </c>
      <c r="G23480" t="s">
        <v>4608</v>
      </c>
      <c r="H23480" s="21">
        <v>674.17</v>
      </c>
    </row>
    <row r="23481" spans="1:8" customFormat="1" x14ac:dyDescent="0.25">
      <c r="A23481" t="str">
        <f>"639907"</f>
        <v>639907</v>
      </c>
      <c r="B23481" t="s">
        <v>5638</v>
      </c>
      <c r="C23481" t="s">
        <v>415</v>
      </c>
      <c r="D23481" s="21" t="s">
        <v>34</v>
      </c>
      <c r="E23481" s="21" t="s">
        <v>71</v>
      </c>
      <c r="F23481">
        <v>1630318</v>
      </c>
      <c r="G23481" t="s">
        <v>8341</v>
      </c>
      <c r="H23481" s="21">
        <v>674.17</v>
      </c>
    </row>
    <row r="23482" spans="1:8" customFormat="1" x14ac:dyDescent="0.25">
      <c r="A23482" t="str">
        <f>"1321110"</f>
        <v>1321110</v>
      </c>
      <c r="B23482" t="s">
        <v>22335</v>
      </c>
      <c r="C23482" t="s">
        <v>1914</v>
      </c>
      <c r="D23482" s="21" t="s">
        <v>34</v>
      </c>
      <c r="E23482" s="21" t="s">
        <v>35</v>
      </c>
      <c r="F23482">
        <v>13130133</v>
      </c>
      <c r="G23482" t="s">
        <v>12333</v>
      </c>
      <c r="H23482" s="21">
        <v>674.17</v>
      </c>
    </row>
    <row r="23483" spans="1:8" customFormat="1" x14ac:dyDescent="0.25">
      <c r="A23483" t="str">
        <f>"5620814"</f>
        <v>5620814</v>
      </c>
      <c r="B23483" t="s">
        <v>18651</v>
      </c>
      <c r="C23483" t="s">
        <v>2529</v>
      </c>
      <c r="D23483" s="21" t="s">
        <v>34</v>
      </c>
      <c r="E23483" s="21" t="s">
        <v>254</v>
      </c>
      <c r="F23483">
        <v>3560053</v>
      </c>
      <c r="G23483" t="s">
        <v>298</v>
      </c>
      <c r="H23483" s="21">
        <v>674.17</v>
      </c>
    </row>
    <row r="23484" spans="1:8" customFormat="1" x14ac:dyDescent="0.25">
      <c r="A23484" t="str">
        <f>"4938377"</f>
        <v>4938377</v>
      </c>
      <c r="B23484" t="s">
        <v>20406</v>
      </c>
      <c r="C23484" t="s">
        <v>269</v>
      </c>
      <c r="D23484" s="21" t="s">
        <v>34</v>
      </c>
      <c r="E23484" s="21" t="s">
        <v>71</v>
      </c>
      <c r="F23484">
        <v>12490021</v>
      </c>
      <c r="G23484" t="s">
        <v>4592</v>
      </c>
      <c r="H23484" s="21">
        <v>674.17</v>
      </c>
    </row>
    <row r="23485" spans="1:8" customFormat="1" x14ac:dyDescent="0.25">
      <c r="A23485" t="str">
        <f>"4442063"</f>
        <v>4442063</v>
      </c>
      <c r="B23485" t="s">
        <v>18270</v>
      </c>
      <c r="C23485" t="s">
        <v>2100</v>
      </c>
      <c r="D23485" s="21" t="s">
        <v>34</v>
      </c>
      <c r="E23485" s="21" t="s">
        <v>71</v>
      </c>
      <c r="F23485">
        <v>12440074</v>
      </c>
      <c r="G23485" t="s">
        <v>2436</v>
      </c>
      <c r="H23485" s="21">
        <v>674.17</v>
      </c>
    </row>
    <row r="23486" spans="1:8" customFormat="1" x14ac:dyDescent="0.25">
      <c r="A23486" t="str">
        <f>"5612229"</f>
        <v>5612229</v>
      </c>
      <c r="B23486" t="s">
        <v>18315</v>
      </c>
      <c r="C23486" t="s">
        <v>109</v>
      </c>
      <c r="D23486" s="21" t="s">
        <v>34</v>
      </c>
      <c r="E23486" s="21" t="s">
        <v>35</v>
      </c>
      <c r="F23486">
        <v>3560087</v>
      </c>
      <c r="G23486" t="s">
        <v>7767</v>
      </c>
      <c r="H23486" s="21">
        <v>674.17</v>
      </c>
    </row>
    <row r="23487" spans="1:8" customFormat="1" x14ac:dyDescent="0.25">
      <c r="A23487" t="str">
        <f>"889426"</f>
        <v>889426</v>
      </c>
      <c r="B23487" t="s">
        <v>27734</v>
      </c>
      <c r="C23487" t="s">
        <v>37</v>
      </c>
      <c r="D23487" s="21" t="s">
        <v>34</v>
      </c>
      <c r="E23487" s="21" t="s">
        <v>35</v>
      </c>
      <c r="F23487">
        <v>6880007</v>
      </c>
      <c r="G23487" t="s">
        <v>1039</v>
      </c>
      <c r="H23487" s="21">
        <v>674.17</v>
      </c>
    </row>
    <row r="23488" spans="1:8" customFormat="1" x14ac:dyDescent="0.25">
      <c r="A23488" t="str">
        <f>"594747"</f>
        <v>594747</v>
      </c>
      <c r="B23488" t="s">
        <v>18682</v>
      </c>
      <c r="C23488" t="s">
        <v>1446</v>
      </c>
      <c r="D23488" s="21" t="s">
        <v>34</v>
      </c>
      <c r="E23488" s="21" t="s">
        <v>71</v>
      </c>
      <c r="F23488">
        <v>7590075</v>
      </c>
      <c r="G23488" t="s">
        <v>6459</v>
      </c>
      <c r="H23488" s="21">
        <v>674.17</v>
      </c>
    </row>
    <row r="23489" spans="1:8" customFormat="1" x14ac:dyDescent="0.25">
      <c r="A23489" t="str">
        <f>"2516114"</f>
        <v>2516114</v>
      </c>
      <c r="B23489" t="s">
        <v>17859</v>
      </c>
      <c r="C23489" t="s">
        <v>1887</v>
      </c>
      <c r="D23489" s="21" t="s">
        <v>34</v>
      </c>
      <c r="E23489" s="21" t="s">
        <v>35</v>
      </c>
      <c r="F23489">
        <v>2250031</v>
      </c>
      <c r="G23489" t="s">
        <v>3011</v>
      </c>
      <c r="H23489" s="21">
        <v>674.17</v>
      </c>
    </row>
    <row r="23490" spans="1:8" customFormat="1" x14ac:dyDescent="0.25">
      <c r="A23490" t="str">
        <f>"5951616"</f>
        <v>5951616</v>
      </c>
      <c r="B23490" t="s">
        <v>6229</v>
      </c>
      <c r="C23490" t="s">
        <v>119</v>
      </c>
      <c r="D23490" s="21" t="s">
        <v>34</v>
      </c>
      <c r="E23490" s="21" t="s">
        <v>71</v>
      </c>
      <c r="F23490">
        <v>7590044</v>
      </c>
      <c r="G23490" t="s">
        <v>2029</v>
      </c>
      <c r="H23490" s="21">
        <v>674.17</v>
      </c>
    </row>
    <row r="23491" spans="1:8" customFormat="1" x14ac:dyDescent="0.25">
      <c r="A23491" t="str">
        <f>"188878"</f>
        <v>188878</v>
      </c>
      <c r="B23491" t="s">
        <v>1103</v>
      </c>
      <c r="C23491" t="s">
        <v>275</v>
      </c>
      <c r="D23491" s="21" t="s">
        <v>34</v>
      </c>
      <c r="E23491" s="21" t="s">
        <v>35</v>
      </c>
      <c r="F23491">
        <v>4180682</v>
      </c>
      <c r="G23491" t="s">
        <v>5261</v>
      </c>
      <c r="H23491" s="21">
        <v>674.17</v>
      </c>
    </row>
    <row r="23492" spans="1:8" customFormat="1" x14ac:dyDescent="0.25">
      <c r="A23492" t="str">
        <f>"8316470"</f>
        <v>8316470</v>
      </c>
      <c r="B23492" t="s">
        <v>18408</v>
      </c>
      <c r="C23492" t="s">
        <v>21432</v>
      </c>
      <c r="D23492" s="21" t="s">
        <v>34</v>
      </c>
      <c r="E23492" s="21" t="s">
        <v>35</v>
      </c>
      <c r="F23492">
        <v>13830085</v>
      </c>
      <c r="G23492" t="s">
        <v>478</v>
      </c>
      <c r="H23492" s="21">
        <v>674.17</v>
      </c>
    </row>
    <row r="23493" spans="1:8" customFormat="1" x14ac:dyDescent="0.25">
      <c r="A23493" t="str">
        <f>"612790"</f>
        <v>612790</v>
      </c>
      <c r="B23493" t="s">
        <v>13599</v>
      </c>
      <c r="C23493" t="s">
        <v>55</v>
      </c>
      <c r="D23493" s="21" t="s">
        <v>34</v>
      </c>
      <c r="E23493" s="21" t="s">
        <v>71</v>
      </c>
      <c r="F23493">
        <v>9610123</v>
      </c>
      <c r="G23493" t="s">
        <v>10458</v>
      </c>
      <c r="H23493" s="21">
        <v>674.17</v>
      </c>
    </row>
    <row r="23494" spans="1:8" customFormat="1" x14ac:dyDescent="0.25">
      <c r="A23494" t="str">
        <f>"5955723"</f>
        <v>5955723</v>
      </c>
      <c r="B23494" t="s">
        <v>19524</v>
      </c>
      <c r="C23494" t="s">
        <v>2479</v>
      </c>
      <c r="D23494" s="21" t="s">
        <v>34</v>
      </c>
      <c r="E23494" s="21" t="s">
        <v>254</v>
      </c>
      <c r="F23494">
        <v>7590123</v>
      </c>
      <c r="G23494" t="s">
        <v>85</v>
      </c>
      <c r="H23494" s="21">
        <v>674.17</v>
      </c>
    </row>
    <row r="23495" spans="1:8" customFormat="1" x14ac:dyDescent="0.25">
      <c r="A23495" t="str">
        <f>"10891"</f>
        <v>10891</v>
      </c>
      <c r="B23495" t="s">
        <v>5263</v>
      </c>
      <c r="C23495" t="s">
        <v>6537</v>
      </c>
      <c r="D23495" s="21" t="s">
        <v>34</v>
      </c>
      <c r="E23495" s="21" t="s">
        <v>254</v>
      </c>
      <c r="F23495">
        <v>6100004</v>
      </c>
      <c r="G23495" t="s">
        <v>496</v>
      </c>
      <c r="H23495" s="21">
        <v>674.17</v>
      </c>
    </row>
    <row r="23496" spans="1:8" customFormat="1" x14ac:dyDescent="0.25">
      <c r="A23496" t="str">
        <f>"5322176"</f>
        <v>5322176</v>
      </c>
      <c r="B23496" t="s">
        <v>3303</v>
      </c>
      <c r="C23496" t="s">
        <v>249</v>
      </c>
      <c r="D23496" s="21" t="s">
        <v>34</v>
      </c>
      <c r="E23496" s="21" t="s">
        <v>71</v>
      </c>
      <c r="F23496">
        <v>12530026</v>
      </c>
      <c r="G23496" t="s">
        <v>7463</v>
      </c>
      <c r="H23496" s="21">
        <v>674.17</v>
      </c>
    </row>
    <row r="23497" spans="1:8" customFormat="1" x14ac:dyDescent="0.25">
      <c r="A23497" t="str">
        <f>"624021"</f>
        <v>624021</v>
      </c>
      <c r="B23497" t="s">
        <v>18349</v>
      </c>
      <c r="C23497" t="s">
        <v>124</v>
      </c>
      <c r="D23497" s="21" t="s">
        <v>34</v>
      </c>
      <c r="E23497" s="21" t="s">
        <v>71</v>
      </c>
      <c r="F23497">
        <v>7620015</v>
      </c>
      <c r="G23497" t="s">
        <v>377</v>
      </c>
      <c r="H23497" s="21">
        <v>674.04</v>
      </c>
    </row>
    <row r="23498" spans="1:8" customFormat="1" x14ac:dyDescent="0.25">
      <c r="A23498" t="str">
        <f>"863946"</f>
        <v>863946</v>
      </c>
      <c r="B23498" t="s">
        <v>12553</v>
      </c>
      <c r="C23498" t="s">
        <v>2904</v>
      </c>
      <c r="D23498" s="21" t="s">
        <v>34</v>
      </c>
      <c r="E23498" s="21" t="s">
        <v>254</v>
      </c>
      <c r="F23498">
        <v>10860229</v>
      </c>
      <c r="G23498" t="s">
        <v>9680</v>
      </c>
      <c r="H23498" s="21">
        <v>673.92</v>
      </c>
    </row>
    <row r="23499" spans="1:8" customFormat="1" x14ac:dyDescent="0.25">
      <c r="A23499" t="str">
        <f>"9522194"</f>
        <v>9522194</v>
      </c>
      <c r="B23499" t="s">
        <v>7689</v>
      </c>
      <c r="C23499" t="s">
        <v>415</v>
      </c>
      <c r="D23499" s="21" t="s">
        <v>34</v>
      </c>
      <c r="E23499" s="21" t="s">
        <v>254</v>
      </c>
      <c r="F23499">
        <v>8950119</v>
      </c>
      <c r="G23499" t="s">
        <v>8174</v>
      </c>
      <c r="H23499" s="21">
        <v>673.92</v>
      </c>
    </row>
    <row r="23500" spans="1:8" customFormat="1" x14ac:dyDescent="0.25">
      <c r="A23500" t="str">
        <f>"7916080"</f>
        <v>7916080</v>
      </c>
      <c r="B23500" t="s">
        <v>6472</v>
      </c>
      <c r="C23500" t="s">
        <v>239</v>
      </c>
      <c r="D23500" s="21" t="s">
        <v>34</v>
      </c>
      <c r="E23500" s="21" t="s">
        <v>71</v>
      </c>
      <c r="F23500">
        <v>10790186</v>
      </c>
      <c r="G23500" t="s">
        <v>16305</v>
      </c>
      <c r="H23500" s="21">
        <v>673.92</v>
      </c>
    </row>
    <row r="23501" spans="1:8" customFormat="1" x14ac:dyDescent="0.25">
      <c r="A23501" t="str">
        <f>"187692"</f>
        <v>187692</v>
      </c>
      <c r="B23501" t="s">
        <v>67</v>
      </c>
      <c r="C23501" t="s">
        <v>209</v>
      </c>
      <c r="D23501" s="21" t="s">
        <v>34</v>
      </c>
      <c r="E23501" s="21" t="s">
        <v>35</v>
      </c>
      <c r="F23501">
        <v>4180304</v>
      </c>
      <c r="G23501" t="s">
        <v>4003</v>
      </c>
      <c r="H23501" s="21">
        <v>673.92</v>
      </c>
    </row>
    <row r="23502" spans="1:8" customFormat="1" x14ac:dyDescent="0.25">
      <c r="A23502" t="str">
        <f>"4412858"</f>
        <v>4412858</v>
      </c>
      <c r="B23502" t="s">
        <v>6165</v>
      </c>
      <c r="C23502" t="s">
        <v>246</v>
      </c>
      <c r="D23502" s="21" t="s">
        <v>34</v>
      </c>
      <c r="E23502" s="21" t="s">
        <v>254</v>
      </c>
      <c r="F23502">
        <v>12440174</v>
      </c>
      <c r="G23502" t="s">
        <v>27498</v>
      </c>
      <c r="H23502" s="21">
        <v>673.92</v>
      </c>
    </row>
    <row r="23503" spans="1:8" customFormat="1" x14ac:dyDescent="0.25">
      <c r="A23503" t="str">
        <f>"9A717"</f>
        <v>9A717</v>
      </c>
      <c r="B23503" t="s">
        <v>27735</v>
      </c>
      <c r="C23503" t="s">
        <v>7001</v>
      </c>
      <c r="D23503" s="21" t="s">
        <v>34</v>
      </c>
      <c r="E23503" s="21" t="s">
        <v>35</v>
      </c>
      <c r="F23503" t="s">
        <v>1465</v>
      </c>
      <c r="G23503" t="s">
        <v>1466</v>
      </c>
      <c r="H23503" s="21">
        <v>673.79</v>
      </c>
    </row>
    <row r="23504" spans="1:8" customFormat="1" x14ac:dyDescent="0.25">
      <c r="A23504" t="str">
        <f>"505270"</f>
        <v>505270</v>
      </c>
      <c r="B23504" t="s">
        <v>2538</v>
      </c>
      <c r="C23504" t="s">
        <v>822</v>
      </c>
      <c r="D23504" s="21" t="s">
        <v>34</v>
      </c>
      <c r="E23504" s="21" t="s">
        <v>254</v>
      </c>
      <c r="F23504">
        <v>9500059</v>
      </c>
      <c r="G23504" t="s">
        <v>26714</v>
      </c>
      <c r="H23504" s="21">
        <v>673.67</v>
      </c>
    </row>
    <row r="23505" spans="1:8" customFormat="1" x14ac:dyDescent="0.25">
      <c r="A23505" t="str">
        <f>"692086"</f>
        <v>692086</v>
      </c>
      <c r="B23505" t="s">
        <v>7586</v>
      </c>
      <c r="C23505" t="s">
        <v>547</v>
      </c>
      <c r="D23505" s="21" t="s">
        <v>34</v>
      </c>
      <c r="E23505" s="21" t="s">
        <v>254</v>
      </c>
      <c r="F23505">
        <v>1010062</v>
      </c>
      <c r="G23505" t="s">
        <v>9638</v>
      </c>
      <c r="H23505" s="21">
        <v>673.67</v>
      </c>
    </row>
    <row r="23506" spans="1:8" customFormat="1" x14ac:dyDescent="0.25">
      <c r="A23506" t="str">
        <f>"6716758"</f>
        <v>6716758</v>
      </c>
      <c r="B23506" t="s">
        <v>27736</v>
      </c>
      <c r="C23506" t="s">
        <v>144</v>
      </c>
      <c r="D23506" s="21" t="s">
        <v>34</v>
      </c>
      <c r="E23506" s="21" t="s">
        <v>35</v>
      </c>
      <c r="F23506">
        <v>6670187</v>
      </c>
      <c r="G23506" t="s">
        <v>240</v>
      </c>
      <c r="H23506" s="21">
        <v>673.67</v>
      </c>
    </row>
    <row r="23507" spans="1:8" customFormat="1" x14ac:dyDescent="0.25">
      <c r="A23507" t="str">
        <f>"229750"</f>
        <v>229750</v>
      </c>
      <c r="B23507" t="s">
        <v>8525</v>
      </c>
      <c r="C23507" t="s">
        <v>528</v>
      </c>
      <c r="D23507" s="21" t="s">
        <v>34</v>
      </c>
      <c r="E23507" s="21" t="s">
        <v>71</v>
      </c>
      <c r="F23507">
        <v>3220064</v>
      </c>
      <c r="G23507" t="s">
        <v>26559</v>
      </c>
      <c r="H23507" s="21">
        <v>673.67</v>
      </c>
    </row>
    <row r="23508" spans="1:8" customFormat="1" x14ac:dyDescent="0.25">
      <c r="A23508" t="str">
        <f>"639193"</f>
        <v>639193</v>
      </c>
      <c r="B23508" t="s">
        <v>2549</v>
      </c>
      <c r="C23508" t="s">
        <v>239</v>
      </c>
      <c r="D23508" s="21" t="s">
        <v>34</v>
      </c>
      <c r="E23508" s="21" t="s">
        <v>254</v>
      </c>
      <c r="F23508">
        <v>1630009</v>
      </c>
      <c r="G23508" t="s">
        <v>6021</v>
      </c>
      <c r="H23508" s="21">
        <v>673.67</v>
      </c>
    </row>
    <row r="23509" spans="1:8" customFormat="1" x14ac:dyDescent="0.25">
      <c r="A23509" t="str">
        <f>"4933627"</f>
        <v>4933627</v>
      </c>
      <c r="B23509" t="s">
        <v>14425</v>
      </c>
      <c r="C23509" t="s">
        <v>2232</v>
      </c>
      <c r="D23509" s="21" t="s">
        <v>34</v>
      </c>
      <c r="E23509" s="21" t="s">
        <v>35</v>
      </c>
      <c r="F23509">
        <v>12490124</v>
      </c>
      <c r="G23509" t="s">
        <v>677</v>
      </c>
      <c r="H23509" s="21">
        <v>673.67</v>
      </c>
    </row>
    <row r="23510" spans="1:8" customFormat="1" x14ac:dyDescent="0.25">
      <c r="A23510" t="str">
        <f>"187820"</f>
        <v>187820</v>
      </c>
      <c r="B23510" t="s">
        <v>18457</v>
      </c>
      <c r="C23510" t="s">
        <v>65</v>
      </c>
      <c r="D23510" s="21" t="s">
        <v>34</v>
      </c>
      <c r="E23510" s="21" t="s">
        <v>35</v>
      </c>
      <c r="F23510">
        <v>4180174</v>
      </c>
      <c r="G23510" t="s">
        <v>3046</v>
      </c>
      <c r="H23510" s="21">
        <v>673.67</v>
      </c>
    </row>
    <row r="23511" spans="1:8" customFormat="1" x14ac:dyDescent="0.25">
      <c r="A23511" t="str">
        <f>"3714296"</f>
        <v>3714296</v>
      </c>
      <c r="B23511" t="s">
        <v>911</v>
      </c>
      <c r="C23511" t="s">
        <v>58</v>
      </c>
      <c r="D23511" s="21" t="s">
        <v>34</v>
      </c>
      <c r="E23511" s="21" t="s">
        <v>35</v>
      </c>
      <c r="F23511">
        <v>4370307</v>
      </c>
      <c r="G23511" t="s">
        <v>7652</v>
      </c>
      <c r="H23511" s="21">
        <v>673.67</v>
      </c>
    </row>
    <row r="23512" spans="1:8" customFormat="1" x14ac:dyDescent="0.25">
      <c r="A23512" t="str">
        <f>"364806"</f>
        <v>364806</v>
      </c>
      <c r="B23512" t="s">
        <v>17401</v>
      </c>
      <c r="C23512" t="s">
        <v>275</v>
      </c>
      <c r="D23512" s="21" t="s">
        <v>34</v>
      </c>
      <c r="E23512" s="21" t="s">
        <v>35</v>
      </c>
      <c r="F23512">
        <v>4360341</v>
      </c>
      <c r="G23512" t="s">
        <v>4912</v>
      </c>
      <c r="H23512" s="21">
        <v>673.67</v>
      </c>
    </row>
    <row r="23513" spans="1:8" customFormat="1" x14ac:dyDescent="0.25">
      <c r="A23513" t="str">
        <f>"7622283"</f>
        <v>7622283</v>
      </c>
      <c r="B23513" t="s">
        <v>18750</v>
      </c>
      <c r="C23513" t="s">
        <v>500</v>
      </c>
      <c r="D23513" s="21" t="s">
        <v>34</v>
      </c>
      <c r="E23513" s="21" t="s">
        <v>254</v>
      </c>
      <c r="F23513">
        <v>9760100</v>
      </c>
      <c r="G23513" t="s">
        <v>9182</v>
      </c>
      <c r="H23513" s="21">
        <v>673.67</v>
      </c>
    </row>
    <row r="23514" spans="1:8" customFormat="1" x14ac:dyDescent="0.25">
      <c r="A23514" t="str">
        <f>"1713013"</f>
        <v>1713013</v>
      </c>
      <c r="B23514" t="s">
        <v>18940</v>
      </c>
      <c r="C23514" t="s">
        <v>65</v>
      </c>
      <c r="D23514" s="21" t="s">
        <v>34</v>
      </c>
      <c r="E23514" s="21" t="s">
        <v>35</v>
      </c>
      <c r="F23514">
        <v>10170012</v>
      </c>
      <c r="G23514" t="s">
        <v>14768</v>
      </c>
      <c r="H23514" s="21">
        <v>673.67</v>
      </c>
    </row>
    <row r="23515" spans="1:8" customFormat="1" x14ac:dyDescent="0.25">
      <c r="A23515" t="str">
        <f>"631658"</f>
        <v>631658</v>
      </c>
      <c r="B23515" t="s">
        <v>19612</v>
      </c>
      <c r="C23515" t="s">
        <v>239</v>
      </c>
      <c r="D23515" s="21" t="s">
        <v>34</v>
      </c>
      <c r="E23515" s="21" t="s">
        <v>254</v>
      </c>
      <c r="F23515">
        <v>1630114</v>
      </c>
      <c r="G23515" t="s">
        <v>10269</v>
      </c>
      <c r="H23515" s="21">
        <v>673.67</v>
      </c>
    </row>
    <row r="23516" spans="1:8" customFormat="1" x14ac:dyDescent="0.25">
      <c r="A23516" t="str">
        <f>"7844233"</f>
        <v>7844233</v>
      </c>
      <c r="B23516" t="s">
        <v>18409</v>
      </c>
      <c r="C23516" t="s">
        <v>169</v>
      </c>
      <c r="D23516" s="21" t="s">
        <v>34</v>
      </c>
      <c r="E23516" s="21" t="s">
        <v>35</v>
      </c>
      <c r="F23516">
        <v>8780584</v>
      </c>
      <c r="G23516" t="s">
        <v>18410</v>
      </c>
      <c r="H23516" s="21">
        <v>673.67</v>
      </c>
    </row>
    <row r="23517" spans="1:8" customFormat="1" x14ac:dyDescent="0.25">
      <c r="A23517" t="str">
        <f>"5732988"</f>
        <v>5732988</v>
      </c>
      <c r="B23517" t="s">
        <v>20545</v>
      </c>
      <c r="C23517" t="s">
        <v>611</v>
      </c>
      <c r="D23517" s="21" t="s">
        <v>34</v>
      </c>
      <c r="E23517" s="21" t="s">
        <v>35</v>
      </c>
      <c r="F23517">
        <v>6570007</v>
      </c>
      <c r="G23517" t="s">
        <v>2845</v>
      </c>
      <c r="H23517" s="21">
        <v>673.67</v>
      </c>
    </row>
    <row r="23518" spans="1:8" customFormat="1" x14ac:dyDescent="0.25">
      <c r="A23518" t="str">
        <f>"8811379"</f>
        <v>8811379</v>
      </c>
      <c r="B23518" t="s">
        <v>17315</v>
      </c>
      <c r="C23518" t="s">
        <v>156</v>
      </c>
      <c r="D23518" s="21" t="s">
        <v>34</v>
      </c>
      <c r="E23518" s="21" t="s">
        <v>71</v>
      </c>
      <c r="F23518">
        <v>6880116</v>
      </c>
      <c r="G23518" t="s">
        <v>2465</v>
      </c>
      <c r="H23518" s="21">
        <v>673.5</v>
      </c>
    </row>
    <row r="23519" spans="1:8" customFormat="1" x14ac:dyDescent="0.25">
      <c r="A23519" t="str">
        <f>"34565"</f>
        <v>34565</v>
      </c>
      <c r="B23519" t="s">
        <v>17626</v>
      </c>
      <c r="C23519" t="s">
        <v>4842</v>
      </c>
      <c r="D23519" s="21" t="s">
        <v>34</v>
      </c>
      <c r="E23519" s="21" t="s">
        <v>254</v>
      </c>
      <c r="F23519">
        <v>11340003</v>
      </c>
      <c r="G23519" t="s">
        <v>3326</v>
      </c>
      <c r="H23519" s="21">
        <v>673.42</v>
      </c>
    </row>
    <row r="23520" spans="1:8" customFormat="1" x14ac:dyDescent="0.25">
      <c r="A23520" t="str">
        <f>"6013056"</f>
        <v>6013056</v>
      </c>
      <c r="B23520" t="s">
        <v>17381</v>
      </c>
      <c r="C23520" t="s">
        <v>6514</v>
      </c>
      <c r="D23520" s="21" t="s">
        <v>34</v>
      </c>
      <c r="E23520" s="21" t="s">
        <v>35</v>
      </c>
      <c r="F23520">
        <v>7600024</v>
      </c>
      <c r="G23520" t="s">
        <v>1234</v>
      </c>
      <c r="H23520" s="21">
        <v>673.17</v>
      </c>
    </row>
    <row r="23521" spans="1:8" customFormat="1" x14ac:dyDescent="0.25">
      <c r="A23521" t="str">
        <f>"1418847"</f>
        <v>1418847</v>
      </c>
      <c r="B23521" t="s">
        <v>10143</v>
      </c>
      <c r="C23521" t="s">
        <v>1539</v>
      </c>
      <c r="D23521" s="21" t="s">
        <v>34</v>
      </c>
      <c r="E23521" s="21" t="s">
        <v>254</v>
      </c>
      <c r="F23521">
        <v>9140007</v>
      </c>
      <c r="G23521" t="s">
        <v>434</v>
      </c>
      <c r="H23521" s="21">
        <v>673.17</v>
      </c>
    </row>
    <row r="23522" spans="1:8" customFormat="1" x14ac:dyDescent="0.25">
      <c r="A23522" t="str">
        <f>"6315622"</f>
        <v>6315622</v>
      </c>
      <c r="B23522" t="s">
        <v>4342</v>
      </c>
      <c r="C23522" t="s">
        <v>879</v>
      </c>
      <c r="D23522" s="21" t="s">
        <v>34</v>
      </c>
      <c r="E23522" s="21" t="s">
        <v>254</v>
      </c>
      <c r="F23522">
        <v>1630005</v>
      </c>
      <c r="G23522" t="s">
        <v>8825</v>
      </c>
      <c r="H23522" s="21">
        <v>673.17</v>
      </c>
    </row>
    <row r="23523" spans="1:8" customFormat="1" x14ac:dyDescent="0.25">
      <c r="A23523" t="str">
        <f>"1421535"</f>
        <v>1421535</v>
      </c>
      <c r="B23523" t="s">
        <v>5435</v>
      </c>
      <c r="C23523" t="s">
        <v>1489</v>
      </c>
      <c r="D23523" s="21" t="s">
        <v>34</v>
      </c>
      <c r="E23523" s="21" t="s">
        <v>1089</v>
      </c>
      <c r="F23523">
        <v>9140012</v>
      </c>
      <c r="G23523" t="s">
        <v>26518</v>
      </c>
      <c r="H23523" s="21">
        <v>673.17</v>
      </c>
    </row>
    <row r="23524" spans="1:8" customFormat="1" x14ac:dyDescent="0.25">
      <c r="A23524" t="str">
        <f>"6315585"</f>
        <v>6315585</v>
      </c>
      <c r="B23524" t="s">
        <v>3651</v>
      </c>
      <c r="C23524" t="s">
        <v>1146</v>
      </c>
      <c r="D23524" s="21" t="s">
        <v>34</v>
      </c>
      <c r="E23524" s="21" t="s">
        <v>1089</v>
      </c>
      <c r="F23524">
        <v>1630005</v>
      </c>
      <c r="G23524" t="s">
        <v>8825</v>
      </c>
      <c r="H23524" s="21">
        <v>673.17</v>
      </c>
    </row>
    <row r="23525" spans="1:8" customFormat="1" x14ac:dyDescent="0.25">
      <c r="A23525" t="str">
        <f>"3713059"</f>
        <v>3713059</v>
      </c>
      <c r="B23525" t="s">
        <v>18760</v>
      </c>
      <c r="C23525" t="s">
        <v>2984</v>
      </c>
      <c r="D23525" s="21" t="s">
        <v>34</v>
      </c>
      <c r="E23525" s="21" t="s">
        <v>254</v>
      </c>
      <c r="F23525">
        <v>4370608</v>
      </c>
      <c r="G23525" t="s">
        <v>11068</v>
      </c>
      <c r="H23525" s="21">
        <v>673.17</v>
      </c>
    </row>
    <row r="23526" spans="1:8" customFormat="1" x14ac:dyDescent="0.25">
      <c r="A23526" t="str">
        <f>"419563"</f>
        <v>419563</v>
      </c>
      <c r="B23526" t="s">
        <v>19037</v>
      </c>
      <c r="C23526" t="s">
        <v>33</v>
      </c>
      <c r="D23526" s="21" t="s">
        <v>34</v>
      </c>
      <c r="E23526" s="21" t="s">
        <v>71</v>
      </c>
      <c r="F23526">
        <v>4410567</v>
      </c>
      <c r="G23526" t="s">
        <v>13742</v>
      </c>
      <c r="H23526" s="21">
        <v>673.17</v>
      </c>
    </row>
    <row r="23527" spans="1:8" customFormat="1" x14ac:dyDescent="0.25">
      <c r="A23527" t="str">
        <f>"653419"</f>
        <v>653419</v>
      </c>
      <c r="B23527" t="s">
        <v>2505</v>
      </c>
      <c r="C23527" t="s">
        <v>121</v>
      </c>
      <c r="D23527" s="21" t="s">
        <v>34</v>
      </c>
      <c r="E23527" s="21" t="s">
        <v>71</v>
      </c>
      <c r="F23527">
        <v>11650034</v>
      </c>
      <c r="G23527" t="s">
        <v>1989</v>
      </c>
      <c r="H23527" s="21">
        <v>673.17</v>
      </c>
    </row>
    <row r="23528" spans="1:8" customFormat="1" x14ac:dyDescent="0.25">
      <c r="A23528" t="str">
        <f>"011837"</f>
        <v>011837</v>
      </c>
      <c r="B23528" t="s">
        <v>10145</v>
      </c>
      <c r="C23528" t="s">
        <v>40</v>
      </c>
      <c r="D23528" s="21" t="s">
        <v>34</v>
      </c>
      <c r="E23528" s="21" t="s">
        <v>71</v>
      </c>
      <c r="F23528">
        <v>1010060</v>
      </c>
      <c r="G23528" t="s">
        <v>5128</v>
      </c>
      <c r="H23528" s="21">
        <v>673.17</v>
      </c>
    </row>
    <row r="23529" spans="1:8" customFormat="1" x14ac:dyDescent="0.25">
      <c r="A23529" t="str">
        <f>"868877"</f>
        <v>868877</v>
      </c>
      <c r="B23529" t="s">
        <v>20355</v>
      </c>
      <c r="C23529" t="s">
        <v>7506</v>
      </c>
      <c r="D23529" s="21" t="s">
        <v>34</v>
      </c>
      <c r="E23529" s="21" t="s">
        <v>35</v>
      </c>
      <c r="F23529">
        <v>10860035</v>
      </c>
      <c r="G23529" t="s">
        <v>4019</v>
      </c>
      <c r="H23529" s="21">
        <v>673.17</v>
      </c>
    </row>
    <row r="23530" spans="1:8" customFormat="1" x14ac:dyDescent="0.25">
      <c r="A23530" t="str">
        <f>"777987"</f>
        <v>777987</v>
      </c>
      <c r="B23530" t="s">
        <v>10937</v>
      </c>
      <c r="C23530" t="s">
        <v>3010</v>
      </c>
      <c r="D23530" s="21" t="s">
        <v>34</v>
      </c>
      <c r="E23530" s="21" t="s">
        <v>254</v>
      </c>
      <c r="F23530">
        <v>10330017</v>
      </c>
      <c r="G23530" t="s">
        <v>2754</v>
      </c>
      <c r="H23530" s="21">
        <v>673.17</v>
      </c>
    </row>
    <row r="23531" spans="1:8" customFormat="1" x14ac:dyDescent="0.25">
      <c r="A23531" t="str">
        <f>"5621554"</f>
        <v>5621554</v>
      </c>
      <c r="B23531" t="s">
        <v>679</v>
      </c>
      <c r="C23531" t="s">
        <v>2907</v>
      </c>
      <c r="D23531" s="21" t="s">
        <v>34</v>
      </c>
      <c r="E23531" s="21" t="s">
        <v>71</v>
      </c>
      <c r="F23531">
        <v>3560091</v>
      </c>
      <c r="G23531" t="s">
        <v>27212</v>
      </c>
      <c r="H23531" s="21">
        <v>673.17</v>
      </c>
    </row>
    <row r="23532" spans="1:8" customFormat="1" x14ac:dyDescent="0.25">
      <c r="A23532" t="str">
        <f>"5620728"</f>
        <v>5620728</v>
      </c>
      <c r="B23532" t="s">
        <v>19122</v>
      </c>
      <c r="C23532" t="s">
        <v>1299</v>
      </c>
      <c r="D23532" s="21" t="s">
        <v>34</v>
      </c>
      <c r="E23532" s="21" t="s">
        <v>35</v>
      </c>
      <c r="F23532">
        <v>3560013</v>
      </c>
      <c r="G23532" t="s">
        <v>7924</v>
      </c>
      <c r="H23532" s="21">
        <v>673.17</v>
      </c>
    </row>
    <row r="23533" spans="1:8" customFormat="1" x14ac:dyDescent="0.25">
      <c r="A23533" t="str">
        <f>"5616009"</f>
        <v>5616009</v>
      </c>
      <c r="B23533" t="s">
        <v>7111</v>
      </c>
      <c r="C23533" t="s">
        <v>249</v>
      </c>
      <c r="D23533" s="21" t="s">
        <v>34</v>
      </c>
      <c r="E23533" s="21" t="s">
        <v>35</v>
      </c>
      <c r="F23533">
        <v>3560064</v>
      </c>
      <c r="G23533" t="s">
        <v>18764</v>
      </c>
      <c r="H23533" s="21">
        <v>673.17</v>
      </c>
    </row>
    <row r="23534" spans="1:8" customFormat="1" x14ac:dyDescent="0.25">
      <c r="A23534" t="str">
        <f>"1415483"</f>
        <v>1415483</v>
      </c>
      <c r="B23534" t="s">
        <v>8736</v>
      </c>
      <c r="C23534" t="s">
        <v>462</v>
      </c>
      <c r="D23534" s="21" t="s">
        <v>34</v>
      </c>
      <c r="E23534" s="21" t="s">
        <v>71</v>
      </c>
      <c r="F23534">
        <v>9140013</v>
      </c>
      <c r="G23534" t="s">
        <v>1837</v>
      </c>
      <c r="H23534" s="21">
        <v>673.17</v>
      </c>
    </row>
    <row r="23535" spans="1:8" customFormat="1" x14ac:dyDescent="0.25">
      <c r="A23535" t="str">
        <f>"7111326"</f>
        <v>7111326</v>
      </c>
      <c r="B23535" t="s">
        <v>15261</v>
      </c>
      <c r="C23535" t="s">
        <v>1812</v>
      </c>
      <c r="D23535" s="21" t="s">
        <v>34</v>
      </c>
      <c r="E23535" s="21" t="s">
        <v>254</v>
      </c>
      <c r="F23535">
        <v>11340022</v>
      </c>
      <c r="G23535" t="s">
        <v>4663</v>
      </c>
      <c r="H23535" s="21">
        <v>673</v>
      </c>
    </row>
    <row r="23536" spans="1:8" customFormat="1" x14ac:dyDescent="0.25">
      <c r="A23536" t="str">
        <f>"5946768"</f>
        <v>5946768</v>
      </c>
      <c r="B23536" t="s">
        <v>10777</v>
      </c>
      <c r="C23536" t="s">
        <v>124</v>
      </c>
      <c r="D23536" s="21" t="s">
        <v>34</v>
      </c>
      <c r="E23536" s="21" t="s">
        <v>71</v>
      </c>
      <c r="F23536">
        <v>7590068</v>
      </c>
      <c r="G23536" t="s">
        <v>1005</v>
      </c>
      <c r="H23536" s="21">
        <v>672.92</v>
      </c>
    </row>
    <row r="23537" spans="1:8" customFormat="1" x14ac:dyDescent="0.25">
      <c r="A23537" t="str">
        <f>"9445508"</f>
        <v>9445508</v>
      </c>
      <c r="B23537" t="s">
        <v>3505</v>
      </c>
      <c r="C23537" t="s">
        <v>415</v>
      </c>
      <c r="D23537" s="21" t="s">
        <v>34</v>
      </c>
      <c r="E23537" s="21" t="s">
        <v>71</v>
      </c>
      <c r="F23537">
        <v>8940033</v>
      </c>
      <c r="G23537" t="s">
        <v>1376</v>
      </c>
      <c r="H23537" s="21">
        <v>672.92</v>
      </c>
    </row>
    <row r="23538" spans="1:8" customFormat="1" x14ac:dyDescent="0.25">
      <c r="A23538" t="str">
        <f>"3422266"</f>
        <v>3422266</v>
      </c>
      <c r="B23538" t="s">
        <v>1347</v>
      </c>
      <c r="C23538" t="s">
        <v>267</v>
      </c>
      <c r="D23538" s="21" t="s">
        <v>34</v>
      </c>
      <c r="E23538" s="21" t="s">
        <v>254</v>
      </c>
      <c r="F23538">
        <v>11340012</v>
      </c>
      <c r="G23538" t="s">
        <v>10413</v>
      </c>
      <c r="H23538" s="21">
        <v>672.92</v>
      </c>
    </row>
    <row r="23539" spans="1:8" customFormat="1" x14ac:dyDescent="0.25">
      <c r="A23539" t="str">
        <f>"4443402"</f>
        <v>4443402</v>
      </c>
      <c r="B23539" t="s">
        <v>17863</v>
      </c>
      <c r="C23539" t="s">
        <v>204</v>
      </c>
      <c r="D23539" s="21" t="s">
        <v>34</v>
      </c>
      <c r="E23539" s="21" t="s">
        <v>71</v>
      </c>
      <c r="F23539">
        <v>12440134</v>
      </c>
      <c r="G23539" t="s">
        <v>10580</v>
      </c>
      <c r="H23539" s="21">
        <v>672.92</v>
      </c>
    </row>
    <row r="23540" spans="1:8" customFormat="1" x14ac:dyDescent="0.25">
      <c r="A23540" t="str">
        <f>"40646"</f>
        <v>40646</v>
      </c>
      <c r="B23540" t="s">
        <v>17807</v>
      </c>
      <c r="C23540" t="s">
        <v>17808</v>
      </c>
      <c r="D23540" s="21" t="s">
        <v>34</v>
      </c>
      <c r="E23540" s="21" t="s">
        <v>1089</v>
      </c>
      <c r="F23540">
        <v>10400021</v>
      </c>
      <c r="G23540" t="s">
        <v>12111</v>
      </c>
      <c r="H23540" s="21">
        <v>672.67</v>
      </c>
    </row>
    <row r="23541" spans="1:8" customFormat="1" x14ac:dyDescent="0.25">
      <c r="A23541" t="str">
        <f>"625355"</f>
        <v>625355</v>
      </c>
      <c r="B23541" t="s">
        <v>556</v>
      </c>
      <c r="C23541" t="s">
        <v>415</v>
      </c>
      <c r="D23541" s="21" t="s">
        <v>34</v>
      </c>
      <c r="E23541" s="21" t="s">
        <v>1089</v>
      </c>
      <c r="F23541">
        <v>7620090</v>
      </c>
      <c r="G23541" t="s">
        <v>15041</v>
      </c>
      <c r="H23541" s="21">
        <v>672.67</v>
      </c>
    </row>
    <row r="23542" spans="1:8" customFormat="1" x14ac:dyDescent="0.25">
      <c r="A23542" t="str">
        <f>"695077"</f>
        <v>695077</v>
      </c>
      <c r="B23542" t="s">
        <v>18117</v>
      </c>
      <c r="C23542" t="s">
        <v>1841</v>
      </c>
      <c r="D23542" s="21" t="s">
        <v>34</v>
      </c>
      <c r="E23542" s="21" t="s">
        <v>254</v>
      </c>
      <c r="F23542">
        <v>1690102</v>
      </c>
      <c r="G23542" t="s">
        <v>2081</v>
      </c>
      <c r="H23542" s="21">
        <v>672.67</v>
      </c>
    </row>
    <row r="23543" spans="1:8" customFormat="1" x14ac:dyDescent="0.25">
      <c r="A23543" t="str">
        <f>"7627051"</f>
        <v>7627051</v>
      </c>
      <c r="B23543" t="s">
        <v>5500</v>
      </c>
      <c r="C23543" t="s">
        <v>462</v>
      </c>
      <c r="D23543" s="21" t="s">
        <v>34</v>
      </c>
      <c r="E23543" s="21" t="s">
        <v>71</v>
      </c>
      <c r="F23543">
        <v>9760430</v>
      </c>
      <c r="G23543" t="s">
        <v>11565</v>
      </c>
      <c r="H23543" s="21">
        <v>672.67</v>
      </c>
    </row>
    <row r="23544" spans="1:8" customFormat="1" x14ac:dyDescent="0.25">
      <c r="A23544" t="str">
        <f>"473244"</f>
        <v>473244</v>
      </c>
      <c r="B23544" t="s">
        <v>6473</v>
      </c>
      <c r="C23544" t="s">
        <v>269</v>
      </c>
      <c r="D23544" s="21" t="s">
        <v>34</v>
      </c>
      <c r="E23544" s="21" t="s">
        <v>35</v>
      </c>
      <c r="F23544">
        <v>12850001</v>
      </c>
      <c r="G23544" t="s">
        <v>1197</v>
      </c>
      <c r="H23544" s="21">
        <v>672.67</v>
      </c>
    </row>
    <row r="23545" spans="1:8" customFormat="1" x14ac:dyDescent="0.25">
      <c r="A23545" t="str">
        <f>"9141570"</f>
        <v>9141570</v>
      </c>
      <c r="B23545" t="s">
        <v>18574</v>
      </c>
      <c r="C23545" t="s">
        <v>65</v>
      </c>
      <c r="D23545" s="21" t="s">
        <v>34</v>
      </c>
      <c r="E23545" s="21" t="s">
        <v>35</v>
      </c>
      <c r="F23545">
        <v>8911323</v>
      </c>
      <c r="G23545" t="s">
        <v>555</v>
      </c>
      <c r="H23545" s="21">
        <v>672.67</v>
      </c>
    </row>
    <row r="23546" spans="1:8" customFormat="1" x14ac:dyDescent="0.25">
      <c r="A23546" t="str">
        <f>"8513463"</f>
        <v>8513463</v>
      </c>
      <c r="B23546" t="s">
        <v>5783</v>
      </c>
      <c r="C23546" t="s">
        <v>926</v>
      </c>
      <c r="D23546" s="21" t="s">
        <v>34</v>
      </c>
      <c r="E23546" s="21" t="s">
        <v>35</v>
      </c>
      <c r="F23546">
        <v>12851025</v>
      </c>
      <c r="G23546" t="s">
        <v>26858</v>
      </c>
      <c r="H23546" s="21">
        <v>672.67</v>
      </c>
    </row>
    <row r="23547" spans="1:8" customFormat="1" x14ac:dyDescent="0.25">
      <c r="A23547" t="str">
        <f>"794095"</f>
        <v>794095</v>
      </c>
      <c r="B23547" t="s">
        <v>8910</v>
      </c>
      <c r="C23547" t="s">
        <v>415</v>
      </c>
      <c r="D23547" s="21" t="s">
        <v>34</v>
      </c>
      <c r="E23547" s="21" t="s">
        <v>71</v>
      </c>
      <c r="F23547">
        <v>10790229</v>
      </c>
      <c r="G23547" t="s">
        <v>27165</v>
      </c>
      <c r="H23547" s="21">
        <v>672.67</v>
      </c>
    </row>
    <row r="23548" spans="1:8" customFormat="1" x14ac:dyDescent="0.25">
      <c r="A23548" t="str">
        <f>"6715280"</f>
        <v>6715280</v>
      </c>
      <c r="B23548" t="s">
        <v>18459</v>
      </c>
      <c r="C23548" t="s">
        <v>2208</v>
      </c>
      <c r="D23548" s="21" t="s">
        <v>34</v>
      </c>
      <c r="E23548" s="21" t="s">
        <v>254</v>
      </c>
      <c r="F23548">
        <v>6670256</v>
      </c>
      <c r="G23548" t="s">
        <v>14348</v>
      </c>
      <c r="H23548" s="21">
        <v>672.67</v>
      </c>
    </row>
    <row r="23549" spans="1:8" customFormat="1" x14ac:dyDescent="0.25">
      <c r="A23549" t="str">
        <f>"7714113"</f>
        <v>7714113</v>
      </c>
      <c r="B23549" t="s">
        <v>16500</v>
      </c>
      <c r="C23549" t="s">
        <v>1271</v>
      </c>
      <c r="D23549" s="21" t="s">
        <v>34</v>
      </c>
      <c r="E23549" s="21" t="s">
        <v>71</v>
      </c>
      <c r="F23549">
        <v>13840025</v>
      </c>
      <c r="G23549" t="s">
        <v>7580</v>
      </c>
      <c r="H23549" s="21">
        <v>672.67</v>
      </c>
    </row>
    <row r="23550" spans="1:8" customFormat="1" x14ac:dyDescent="0.25">
      <c r="A23550" t="str">
        <f>"091150"</f>
        <v>091150</v>
      </c>
      <c r="B23550" t="s">
        <v>16582</v>
      </c>
      <c r="C23550" t="s">
        <v>40</v>
      </c>
      <c r="D23550" s="21" t="s">
        <v>34</v>
      </c>
      <c r="E23550" s="21" t="s">
        <v>254</v>
      </c>
      <c r="F23550">
        <v>11090001</v>
      </c>
      <c r="G23550" t="s">
        <v>4829</v>
      </c>
      <c r="H23550" s="21">
        <v>672.67</v>
      </c>
    </row>
    <row r="23551" spans="1:8" customFormat="1" x14ac:dyDescent="0.25">
      <c r="A23551" t="str">
        <f>"8516595"</f>
        <v>8516595</v>
      </c>
      <c r="B23551" t="s">
        <v>17416</v>
      </c>
      <c r="C23551" t="s">
        <v>139</v>
      </c>
      <c r="D23551" s="21" t="s">
        <v>34</v>
      </c>
      <c r="E23551" s="21" t="s">
        <v>35</v>
      </c>
      <c r="F23551">
        <v>12850033</v>
      </c>
      <c r="G23551" t="s">
        <v>703</v>
      </c>
      <c r="H23551" s="21">
        <v>672.67</v>
      </c>
    </row>
    <row r="23552" spans="1:8" customFormat="1" x14ac:dyDescent="0.25">
      <c r="A23552" t="str">
        <f>"9526588"</f>
        <v>9526588</v>
      </c>
      <c r="B23552" t="s">
        <v>5579</v>
      </c>
      <c r="C23552" t="s">
        <v>8546</v>
      </c>
      <c r="D23552" s="21" t="s">
        <v>34</v>
      </c>
      <c r="E23552" s="21" t="s">
        <v>35</v>
      </c>
      <c r="F23552">
        <v>8950022</v>
      </c>
      <c r="G23552" t="s">
        <v>2785</v>
      </c>
      <c r="H23552" s="21">
        <v>672.67</v>
      </c>
    </row>
    <row r="23553" spans="1:8" customFormat="1" x14ac:dyDescent="0.25">
      <c r="A23553" t="str">
        <f>"434019"</f>
        <v>434019</v>
      </c>
      <c r="B23553" t="s">
        <v>17493</v>
      </c>
      <c r="C23553" t="s">
        <v>124</v>
      </c>
      <c r="D23553" s="21" t="s">
        <v>34</v>
      </c>
      <c r="E23553" s="21" t="s">
        <v>35</v>
      </c>
      <c r="F23553">
        <v>1420003</v>
      </c>
      <c r="G23553" t="s">
        <v>11716</v>
      </c>
      <c r="H23553" s="21">
        <v>672.67</v>
      </c>
    </row>
    <row r="23554" spans="1:8" customFormat="1" x14ac:dyDescent="0.25">
      <c r="A23554" t="str">
        <f>"3537168"</f>
        <v>3537168</v>
      </c>
      <c r="B23554" t="s">
        <v>3997</v>
      </c>
      <c r="C23554" t="s">
        <v>2305</v>
      </c>
      <c r="D23554" s="21" t="s">
        <v>34</v>
      </c>
      <c r="E23554" s="21" t="s">
        <v>254</v>
      </c>
      <c r="F23554">
        <v>3350063</v>
      </c>
      <c r="G23554" t="s">
        <v>14782</v>
      </c>
      <c r="H23554" s="21">
        <v>672.67</v>
      </c>
    </row>
    <row r="23555" spans="1:8" customFormat="1" x14ac:dyDescent="0.25">
      <c r="A23555" t="str">
        <f>"79235"</f>
        <v>79235</v>
      </c>
      <c r="B23555" t="s">
        <v>6611</v>
      </c>
      <c r="C23555" t="s">
        <v>750</v>
      </c>
      <c r="D23555" s="21" t="s">
        <v>34</v>
      </c>
      <c r="E23555" s="21" t="s">
        <v>71</v>
      </c>
      <c r="F23555">
        <v>10790043</v>
      </c>
      <c r="G23555" t="s">
        <v>2828</v>
      </c>
      <c r="H23555" s="21">
        <v>672.67</v>
      </c>
    </row>
    <row r="23556" spans="1:8" customFormat="1" x14ac:dyDescent="0.25">
      <c r="A23556" t="str">
        <f>"106401"</f>
        <v>106401</v>
      </c>
      <c r="B23556" t="s">
        <v>19536</v>
      </c>
      <c r="C23556" t="s">
        <v>528</v>
      </c>
      <c r="D23556" s="21" t="s">
        <v>34</v>
      </c>
      <c r="E23556" s="21" t="s">
        <v>35</v>
      </c>
      <c r="F23556">
        <v>6100015</v>
      </c>
      <c r="G23556" t="s">
        <v>6173</v>
      </c>
      <c r="H23556" s="21">
        <v>672.67</v>
      </c>
    </row>
    <row r="23557" spans="1:8" customFormat="1" x14ac:dyDescent="0.25">
      <c r="A23557" t="str">
        <f>"8615005"</f>
        <v>8615005</v>
      </c>
      <c r="B23557" t="s">
        <v>1604</v>
      </c>
      <c r="C23557" t="s">
        <v>415</v>
      </c>
      <c r="D23557" s="21" t="s">
        <v>34</v>
      </c>
      <c r="E23557" s="21" t="s">
        <v>71</v>
      </c>
      <c r="F23557">
        <v>10860122</v>
      </c>
      <c r="G23557" t="s">
        <v>3800</v>
      </c>
      <c r="H23557" s="21">
        <v>672.54</v>
      </c>
    </row>
    <row r="23558" spans="1:8" customFormat="1" x14ac:dyDescent="0.25">
      <c r="A23558" t="str">
        <f>"509639"</f>
        <v>509639</v>
      </c>
      <c r="B23558" t="s">
        <v>17871</v>
      </c>
      <c r="C23558" t="s">
        <v>267</v>
      </c>
      <c r="D23558" s="21" t="s">
        <v>34</v>
      </c>
      <c r="E23558" s="21" t="s">
        <v>254</v>
      </c>
      <c r="F23558">
        <v>9500107</v>
      </c>
      <c r="G23558" t="s">
        <v>9792</v>
      </c>
      <c r="H23558" s="21">
        <v>672.5</v>
      </c>
    </row>
    <row r="23559" spans="1:8" customFormat="1" x14ac:dyDescent="0.25">
      <c r="A23559" t="str">
        <f>"9412134"</f>
        <v>9412134</v>
      </c>
      <c r="B23559" t="s">
        <v>27737</v>
      </c>
      <c r="C23559" t="s">
        <v>17808</v>
      </c>
      <c r="D23559" s="21" t="s">
        <v>34</v>
      </c>
      <c r="E23559" s="21" t="s">
        <v>35</v>
      </c>
      <c r="F23559">
        <v>8940033</v>
      </c>
      <c r="G23559" t="s">
        <v>1376</v>
      </c>
      <c r="H23559" s="21">
        <v>672.42</v>
      </c>
    </row>
    <row r="23560" spans="1:8" customFormat="1" x14ac:dyDescent="0.25">
      <c r="A23560" t="str">
        <f>"3818095"</f>
        <v>3818095</v>
      </c>
      <c r="B23560" t="s">
        <v>27738</v>
      </c>
      <c r="C23560" t="s">
        <v>33</v>
      </c>
      <c r="D23560" s="21" t="s">
        <v>34</v>
      </c>
      <c r="E23560" s="21" t="s">
        <v>35</v>
      </c>
      <c r="F23560">
        <v>10190147</v>
      </c>
      <c r="G23560" t="s">
        <v>7477</v>
      </c>
      <c r="H23560" s="21">
        <v>672.42</v>
      </c>
    </row>
    <row r="23561" spans="1:8" customFormat="1" x14ac:dyDescent="0.25">
      <c r="A23561" t="str">
        <f>"9532558"</f>
        <v>9532558</v>
      </c>
      <c r="B23561" t="s">
        <v>17273</v>
      </c>
      <c r="C23561" t="s">
        <v>211</v>
      </c>
      <c r="D23561" s="21" t="s">
        <v>34</v>
      </c>
      <c r="E23561" s="21" t="s">
        <v>71</v>
      </c>
      <c r="F23561">
        <v>8950882</v>
      </c>
      <c r="G23561" t="s">
        <v>9516</v>
      </c>
      <c r="H23561" s="21">
        <v>672.42</v>
      </c>
    </row>
    <row r="23562" spans="1:8" customFormat="1" x14ac:dyDescent="0.25">
      <c r="A23562" t="str">
        <f>"9422765"</f>
        <v>9422765</v>
      </c>
      <c r="B23562" t="s">
        <v>16526</v>
      </c>
      <c r="C23562" t="s">
        <v>415</v>
      </c>
      <c r="D23562" s="21" t="s">
        <v>34</v>
      </c>
      <c r="E23562" s="21" t="s">
        <v>254</v>
      </c>
      <c r="F23562">
        <v>8920389</v>
      </c>
      <c r="G23562" t="s">
        <v>1739</v>
      </c>
      <c r="H23562" s="21">
        <v>672.29</v>
      </c>
    </row>
    <row r="23563" spans="1:8" customFormat="1" x14ac:dyDescent="0.25">
      <c r="A23563" t="str">
        <f>"9229864"</f>
        <v>9229864</v>
      </c>
      <c r="B23563" t="s">
        <v>19742</v>
      </c>
      <c r="C23563" t="s">
        <v>2520</v>
      </c>
      <c r="D23563" s="21" t="s">
        <v>34</v>
      </c>
      <c r="E23563" s="21" t="s">
        <v>71</v>
      </c>
      <c r="F23563">
        <v>8751271</v>
      </c>
      <c r="G23563" t="s">
        <v>1067</v>
      </c>
      <c r="H23563" s="21">
        <v>672.29</v>
      </c>
    </row>
    <row r="23564" spans="1:8" customFormat="1" x14ac:dyDescent="0.25">
      <c r="A23564" t="str">
        <f>"50224"</f>
        <v>50224</v>
      </c>
      <c r="B23564" t="s">
        <v>18273</v>
      </c>
      <c r="C23564" t="s">
        <v>1489</v>
      </c>
      <c r="D23564" s="21" t="s">
        <v>34</v>
      </c>
      <c r="E23564" s="21" t="s">
        <v>6185</v>
      </c>
      <c r="F23564">
        <v>9500011</v>
      </c>
      <c r="G23564" t="s">
        <v>4903</v>
      </c>
      <c r="H23564" s="21">
        <v>672.17</v>
      </c>
    </row>
    <row r="23565" spans="1:8" customFormat="1" x14ac:dyDescent="0.25">
      <c r="A23565" t="str">
        <f>"5953830"</f>
        <v>5953830</v>
      </c>
      <c r="B23565" t="s">
        <v>136</v>
      </c>
      <c r="C23565" t="s">
        <v>608</v>
      </c>
      <c r="D23565" s="21" t="s">
        <v>34</v>
      </c>
      <c r="E23565" s="21" t="s">
        <v>35</v>
      </c>
      <c r="F23565">
        <v>7590137</v>
      </c>
      <c r="G23565" t="s">
        <v>4246</v>
      </c>
      <c r="H23565" s="21">
        <v>672.17</v>
      </c>
    </row>
    <row r="23566" spans="1:8" customFormat="1" x14ac:dyDescent="0.25">
      <c r="A23566" t="str">
        <f>"5978349"</f>
        <v>5978349</v>
      </c>
      <c r="B23566" t="s">
        <v>6279</v>
      </c>
      <c r="C23566" t="s">
        <v>60</v>
      </c>
      <c r="D23566" s="21" t="s">
        <v>34</v>
      </c>
      <c r="E23566" s="21" t="s">
        <v>71</v>
      </c>
      <c r="F23566">
        <v>7590055</v>
      </c>
      <c r="G23566" t="s">
        <v>1573</v>
      </c>
      <c r="H23566" s="21">
        <v>672.17</v>
      </c>
    </row>
    <row r="23567" spans="1:8" customFormat="1" x14ac:dyDescent="0.25">
      <c r="A23567" t="str">
        <f>"689555"</f>
        <v>689555</v>
      </c>
      <c r="B23567" t="s">
        <v>690</v>
      </c>
      <c r="C23567" t="s">
        <v>598</v>
      </c>
      <c r="D23567" s="21" t="s">
        <v>34</v>
      </c>
      <c r="E23567" s="21" t="s">
        <v>254</v>
      </c>
      <c r="F23567">
        <v>6680006</v>
      </c>
      <c r="G23567" t="s">
        <v>5266</v>
      </c>
      <c r="H23567" s="21">
        <v>672.17</v>
      </c>
    </row>
    <row r="23568" spans="1:8" customFormat="1" x14ac:dyDescent="0.25">
      <c r="A23568" t="str">
        <f>"1611280"</f>
        <v>1611280</v>
      </c>
      <c r="B23568" t="s">
        <v>17550</v>
      </c>
      <c r="C23568" t="s">
        <v>249</v>
      </c>
      <c r="D23568" s="21" t="s">
        <v>34</v>
      </c>
      <c r="E23568" s="21" t="s">
        <v>71</v>
      </c>
      <c r="F23568">
        <v>10160237</v>
      </c>
      <c r="G23568" t="s">
        <v>8818</v>
      </c>
      <c r="H23568" s="21">
        <v>672.17</v>
      </c>
    </row>
    <row r="23569" spans="1:8" customFormat="1" x14ac:dyDescent="0.25">
      <c r="A23569" t="str">
        <f>"5957537"</f>
        <v>5957537</v>
      </c>
      <c r="B23569" t="s">
        <v>9010</v>
      </c>
      <c r="C23569" t="s">
        <v>269</v>
      </c>
      <c r="D23569" s="21" t="s">
        <v>34</v>
      </c>
      <c r="E23569" s="21" t="s">
        <v>71</v>
      </c>
      <c r="F23569">
        <v>7590072</v>
      </c>
      <c r="G23569" t="s">
        <v>4059</v>
      </c>
      <c r="H23569" s="21">
        <v>672.17</v>
      </c>
    </row>
    <row r="23570" spans="1:8" customFormat="1" x14ac:dyDescent="0.25">
      <c r="A23570" t="str">
        <f>"722450"</f>
        <v>722450</v>
      </c>
      <c r="B23570" t="s">
        <v>17130</v>
      </c>
      <c r="C23570" t="s">
        <v>6537</v>
      </c>
      <c r="D23570" s="21" t="s">
        <v>34</v>
      </c>
      <c r="E23570" s="21" t="s">
        <v>1089</v>
      </c>
      <c r="F23570">
        <v>12720002</v>
      </c>
      <c r="G23570" t="s">
        <v>1712</v>
      </c>
      <c r="H23570" s="21">
        <v>672.17</v>
      </c>
    </row>
    <row r="23571" spans="1:8" customFormat="1" x14ac:dyDescent="0.25">
      <c r="A23571" t="str">
        <f>"6012026"</f>
        <v>6012026</v>
      </c>
      <c r="B23571" t="s">
        <v>5597</v>
      </c>
      <c r="C23571" t="s">
        <v>98</v>
      </c>
      <c r="D23571" s="21" t="s">
        <v>34</v>
      </c>
      <c r="E23571" s="21" t="s">
        <v>35</v>
      </c>
      <c r="F23571">
        <v>13130100</v>
      </c>
      <c r="G23571" t="s">
        <v>2893</v>
      </c>
      <c r="H23571" s="21">
        <v>672.17</v>
      </c>
    </row>
    <row r="23572" spans="1:8" customFormat="1" x14ac:dyDescent="0.25">
      <c r="A23572" t="str">
        <f>"3529310"</f>
        <v>3529310</v>
      </c>
      <c r="B23572" t="s">
        <v>19306</v>
      </c>
      <c r="C23572" t="s">
        <v>784</v>
      </c>
      <c r="D23572" s="21" t="s">
        <v>34</v>
      </c>
      <c r="E23572" s="21" t="s">
        <v>35</v>
      </c>
      <c r="F23572">
        <v>3350055</v>
      </c>
      <c r="G23572" t="s">
        <v>6720</v>
      </c>
      <c r="H23572" s="21">
        <v>672.17</v>
      </c>
    </row>
    <row r="23573" spans="1:8" customFormat="1" x14ac:dyDescent="0.25">
      <c r="A23573" t="str">
        <f>"022362"</f>
        <v>022362</v>
      </c>
      <c r="B23573" t="s">
        <v>575</v>
      </c>
      <c r="C23573" t="s">
        <v>1597</v>
      </c>
      <c r="D23573" s="21" t="s">
        <v>34</v>
      </c>
      <c r="E23573" s="21" t="s">
        <v>1089</v>
      </c>
      <c r="F23573">
        <v>7020013</v>
      </c>
      <c r="G23573" t="s">
        <v>14136</v>
      </c>
      <c r="H23573" s="21">
        <v>672.17</v>
      </c>
    </row>
    <row r="23574" spans="1:8" customFormat="1" x14ac:dyDescent="0.25">
      <c r="A23574" t="str">
        <f>"5946810"</f>
        <v>5946810</v>
      </c>
      <c r="B23574" t="s">
        <v>18223</v>
      </c>
      <c r="C23574" t="s">
        <v>209</v>
      </c>
      <c r="D23574" s="21" t="s">
        <v>34</v>
      </c>
      <c r="E23574" s="21" t="s">
        <v>71</v>
      </c>
      <c r="F23574">
        <v>7590395</v>
      </c>
      <c r="G23574" t="s">
        <v>15061</v>
      </c>
      <c r="H23574" s="21">
        <v>672.17</v>
      </c>
    </row>
    <row r="23575" spans="1:8" customFormat="1" x14ac:dyDescent="0.25">
      <c r="A23575" t="str">
        <f>"452242"</f>
        <v>452242</v>
      </c>
      <c r="B23575" t="s">
        <v>17212</v>
      </c>
      <c r="C23575" t="s">
        <v>114</v>
      </c>
      <c r="D23575" s="21" t="s">
        <v>34</v>
      </c>
      <c r="E23575" s="21" t="s">
        <v>1089</v>
      </c>
      <c r="F23575">
        <v>4450210</v>
      </c>
      <c r="G23575" t="s">
        <v>5249</v>
      </c>
      <c r="H23575" s="21">
        <v>672.17</v>
      </c>
    </row>
    <row r="23576" spans="1:8" customFormat="1" x14ac:dyDescent="0.25">
      <c r="A23576" t="str">
        <f>"3728266"</f>
        <v>3728266</v>
      </c>
      <c r="B23576" t="s">
        <v>20557</v>
      </c>
      <c r="C23576" t="s">
        <v>817</v>
      </c>
      <c r="D23576" s="21" t="s">
        <v>34</v>
      </c>
      <c r="E23576" s="21" t="s">
        <v>254</v>
      </c>
      <c r="F23576">
        <v>4370102</v>
      </c>
      <c r="G23576" t="s">
        <v>10707</v>
      </c>
      <c r="H23576" s="21">
        <v>672.17</v>
      </c>
    </row>
    <row r="23577" spans="1:8" customFormat="1" x14ac:dyDescent="0.25">
      <c r="A23577" t="str">
        <f>"6112512"</f>
        <v>6112512</v>
      </c>
      <c r="B23577" t="s">
        <v>20714</v>
      </c>
      <c r="C23577" t="s">
        <v>260</v>
      </c>
      <c r="D23577" s="21" t="s">
        <v>34</v>
      </c>
      <c r="E23577" s="21" t="s">
        <v>71</v>
      </c>
      <c r="F23577">
        <v>9610073</v>
      </c>
      <c r="G23577" t="s">
        <v>8382</v>
      </c>
      <c r="H23577" s="21">
        <v>672.17</v>
      </c>
    </row>
    <row r="23578" spans="1:8" customFormat="1" x14ac:dyDescent="0.25">
      <c r="A23578" t="str">
        <f>"245636"</f>
        <v>245636</v>
      </c>
      <c r="B23578" t="s">
        <v>18050</v>
      </c>
      <c r="C23578" t="s">
        <v>2479</v>
      </c>
      <c r="D23578" s="21" t="s">
        <v>34</v>
      </c>
      <c r="E23578" s="21" t="s">
        <v>71</v>
      </c>
      <c r="F23578">
        <v>10240014</v>
      </c>
      <c r="G23578" t="s">
        <v>5445</v>
      </c>
      <c r="H23578" s="21">
        <v>672.17</v>
      </c>
    </row>
    <row r="23579" spans="1:8" customFormat="1" x14ac:dyDescent="0.25">
      <c r="A23579" t="str">
        <f>"7856282"</f>
        <v>7856282</v>
      </c>
      <c r="B23579" t="s">
        <v>19018</v>
      </c>
      <c r="C23579" t="s">
        <v>33</v>
      </c>
      <c r="D23579" s="21" t="s">
        <v>34</v>
      </c>
      <c r="E23579" s="21" t="s">
        <v>35</v>
      </c>
      <c r="F23579">
        <v>8780584</v>
      </c>
      <c r="G23579" t="s">
        <v>18410</v>
      </c>
      <c r="H23579" s="21">
        <v>672.04</v>
      </c>
    </row>
    <row r="23580" spans="1:8" customFormat="1" x14ac:dyDescent="0.25">
      <c r="A23580" t="str">
        <f>"5319892"</f>
        <v>5319892</v>
      </c>
      <c r="B23580" t="s">
        <v>27739</v>
      </c>
      <c r="C23580" t="s">
        <v>267</v>
      </c>
      <c r="D23580" s="21" t="s">
        <v>34</v>
      </c>
      <c r="E23580" s="21" t="s">
        <v>254</v>
      </c>
      <c r="F23580">
        <v>12530144</v>
      </c>
      <c r="G23580" t="s">
        <v>10892</v>
      </c>
      <c r="H23580" s="21">
        <v>671.92</v>
      </c>
    </row>
    <row r="23581" spans="1:8" customFormat="1" x14ac:dyDescent="0.25">
      <c r="A23581" t="str">
        <f>"7853645"</f>
        <v>7853645</v>
      </c>
      <c r="B23581" t="s">
        <v>17723</v>
      </c>
      <c r="C23581" t="s">
        <v>469</v>
      </c>
      <c r="D23581" s="21" t="s">
        <v>34</v>
      </c>
      <c r="E23581" s="21" t="s">
        <v>71</v>
      </c>
      <c r="F23581">
        <v>8781266</v>
      </c>
      <c r="G23581" t="s">
        <v>26704</v>
      </c>
      <c r="H23581" s="21">
        <v>671.92</v>
      </c>
    </row>
    <row r="23582" spans="1:8" customFormat="1" x14ac:dyDescent="0.25">
      <c r="A23582" t="str">
        <f>"3326465"</f>
        <v>3326465</v>
      </c>
      <c r="B23582" t="s">
        <v>19339</v>
      </c>
      <c r="C23582" t="s">
        <v>879</v>
      </c>
      <c r="D23582" s="21" t="s">
        <v>34</v>
      </c>
      <c r="E23582" s="21" t="s">
        <v>1089</v>
      </c>
      <c r="F23582">
        <v>10330045</v>
      </c>
      <c r="G23582" t="s">
        <v>4506</v>
      </c>
      <c r="H23582" s="21">
        <v>671.92</v>
      </c>
    </row>
    <row r="23583" spans="1:8" customFormat="1" x14ac:dyDescent="0.25">
      <c r="A23583" t="str">
        <f>"889754"</f>
        <v>889754</v>
      </c>
      <c r="B23583" t="s">
        <v>18414</v>
      </c>
      <c r="C23583" t="s">
        <v>62</v>
      </c>
      <c r="D23583" s="21" t="s">
        <v>34</v>
      </c>
      <c r="E23583" s="21" t="s">
        <v>71</v>
      </c>
      <c r="F23583">
        <v>6880071</v>
      </c>
      <c r="G23583" t="s">
        <v>4226</v>
      </c>
      <c r="H23583" s="21">
        <v>671.79</v>
      </c>
    </row>
    <row r="23584" spans="1:8" customFormat="1" x14ac:dyDescent="0.25">
      <c r="A23584" t="str">
        <f>"9316911"</f>
        <v>9316911</v>
      </c>
      <c r="B23584" t="s">
        <v>16444</v>
      </c>
      <c r="C23584" t="s">
        <v>16445</v>
      </c>
      <c r="D23584" s="21" t="s">
        <v>34</v>
      </c>
      <c r="E23584" s="21" t="s">
        <v>71</v>
      </c>
      <c r="F23584">
        <v>8930610</v>
      </c>
      <c r="G23584" t="s">
        <v>3002</v>
      </c>
      <c r="H23584" s="21">
        <v>671.79</v>
      </c>
    </row>
    <row r="23585" spans="1:8" customFormat="1" x14ac:dyDescent="0.25">
      <c r="A23585" t="str">
        <f>"011971"</f>
        <v>011971</v>
      </c>
      <c r="B23585" t="s">
        <v>2824</v>
      </c>
      <c r="C23585" t="s">
        <v>246</v>
      </c>
      <c r="D23585" s="21" t="s">
        <v>34</v>
      </c>
      <c r="E23585" s="21" t="s">
        <v>71</v>
      </c>
      <c r="F23585">
        <v>1010031</v>
      </c>
      <c r="G23585" t="s">
        <v>8957</v>
      </c>
      <c r="H23585" s="21">
        <v>671.67</v>
      </c>
    </row>
    <row r="23586" spans="1:8" customFormat="1" x14ac:dyDescent="0.25">
      <c r="A23586" t="str">
        <f>"1610885"</f>
        <v>1610885</v>
      </c>
      <c r="B23586" t="s">
        <v>6106</v>
      </c>
      <c r="C23586" t="s">
        <v>656</v>
      </c>
      <c r="D23586" s="21" t="s">
        <v>34</v>
      </c>
      <c r="E23586" s="21" t="s">
        <v>35</v>
      </c>
      <c r="F23586">
        <v>10160049</v>
      </c>
      <c r="G23586" t="s">
        <v>12117</v>
      </c>
      <c r="H23586" s="21">
        <v>671.67</v>
      </c>
    </row>
    <row r="23587" spans="1:8" customFormat="1" x14ac:dyDescent="0.25">
      <c r="A23587" t="str">
        <f>"7523443"</f>
        <v>7523443</v>
      </c>
      <c r="B23587" t="s">
        <v>3565</v>
      </c>
      <c r="C23587" t="s">
        <v>40</v>
      </c>
      <c r="D23587" s="21" t="s">
        <v>34</v>
      </c>
      <c r="E23587" s="21" t="s">
        <v>254</v>
      </c>
      <c r="F23587">
        <v>8751260</v>
      </c>
      <c r="G23587" t="s">
        <v>10641</v>
      </c>
      <c r="H23587" s="21">
        <v>671.67</v>
      </c>
    </row>
    <row r="23588" spans="1:8" customFormat="1" x14ac:dyDescent="0.25">
      <c r="A23588" t="str">
        <f>"8513396"</f>
        <v>8513396</v>
      </c>
      <c r="B23588" t="s">
        <v>6387</v>
      </c>
      <c r="C23588" t="s">
        <v>288</v>
      </c>
      <c r="D23588" s="21" t="s">
        <v>34</v>
      </c>
      <c r="E23588" s="21" t="s">
        <v>71</v>
      </c>
      <c r="F23588">
        <v>12850107</v>
      </c>
      <c r="G23588" t="s">
        <v>12181</v>
      </c>
      <c r="H23588" s="21">
        <v>671.67</v>
      </c>
    </row>
    <row r="23589" spans="1:8" customFormat="1" x14ac:dyDescent="0.25">
      <c r="A23589" t="str">
        <f>"0114358"</f>
        <v>0114358</v>
      </c>
      <c r="B23589" t="s">
        <v>18356</v>
      </c>
      <c r="C23589" t="s">
        <v>17076</v>
      </c>
      <c r="D23589" s="21" t="s">
        <v>34</v>
      </c>
      <c r="E23589" s="21" t="s">
        <v>1089</v>
      </c>
      <c r="F23589">
        <v>1010062</v>
      </c>
      <c r="G23589" t="s">
        <v>9638</v>
      </c>
      <c r="H23589" s="21">
        <v>671.67</v>
      </c>
    </row>
    <row r="23590" spans="1:8" customFormat="1" x14ac:dyDescent="0.25">
      <c r="A23590" t="str">
        <f>"7729053"</f>
        <v>7729053</v>
      </c>
      <c r="B23590" t="s">
        <v>18421</v>
      </c>
      <c r="C23590" t="s">
        <v>305</v>
      </c>
      <c r="D23590" s="21" t="s">
        <v>34</v>
      </c>
      <c r="E23590" s="21" t="s">
        <v>35</v>
      </c>
      <c r="F23590">
        <v>8770408</v>
      </c>
      <c r="G23590" t="s">
        <v>212</v>
      </c>
      <c r="H23590" s="21">
        <v>671.67</v>
      </c>
    </row>
    <row r="23591" spans="1:8" customFormat="1" x14ac:dyDescent="0.25">
      <c r="A23591" t="str">
        <f>"365622"</f>
        <v>365622</v>
      </c>
      <c r="B23591" t="s">
        <v>17892</v>
      </c>
      <c r="C23591" t="s">
        <v>124</v>
      </c>
      <c r="D23591" s="21" t="s">
        <v>34</v>
      </c>
      <c r="E23591" s="21" t="s">
        <v>71</v>
      </c>
      <c r="F23591">
        <v>4360123</v>
      </c>
      <c r="G23591" t="s">
        <v>4121</v>
      </c>
      <c r="H23591" s="21">
        <v>671.67</v>
      </c>
    </row>
    <row r="23592" spans="1:8" customFormat="1" x14ac:dyDescent="0.25">
      <c r="A23592" t="str">
        <f>"7849566"</f>
        <v>7849566</v>
      </c>
      <c r="B23592" t="s">
        <v>7267</v>
      </c>
      <c r="C23592" t="s">
        <v>1132</v>
      </c>
      <c r="D23592" s="21" t="s">
        <v>34</v>
      </c>
      <c r="E23592" s="21" t="s">
        <v>71</v>
      </c>
      <c r="F23592">
        <v>8780107</v>
      </c>
      <c r="G23592" t="s">
        <v>4186</v>
      </c>
      <c r="H23592" s="21">
        <v>671.67</v>
      </c>
    </row>
    <row r="23593" spans="1:8" customFormat="1" x14ac:dyDescent="0.25">
      <c r="A23593" t="str">
        <f>"545599"</f>
        <v>545599</v>
      </c>
      <c r="B23593" t="s">
        <v>16518</v>
      </c>
      <c r="C23593" t="s">
        <v>439</v>
      </c>
      <c r="D23593" s="21" t="s">
        <v>34</v>
      </c>
      <c r="E23593" s="21" t="s">
        <v>71</v>
      </c>
      <c r="F23593">
        <v>6540197</v>
      </c>
      <c r="G23593" t="s">
        <v>16519</v>
      </c>
      <c r="H23593" s="21">
        <v>671.67</v>
      </c>
    </row>
    <row r="23594" spans="1:8" customFormat="1" x14ac:dyDescent="0.25">
      <c r="A23594" t="str">
        <f>"59761"</f>
        <v>59761</v>
      </c>
      <c r="B23594" t="s">
        <v>17483</v>
      </c>
      <c r="C23594" t="s">
        <v>262</v>
      </c>
      <c r="D23594" s="21" t="s">
        <v>34</v>
      </c>
      <c r="E23594" s="21" t="s">
        <v>71</v>
      </c>
      <c r="F23594">
        <v>7590011</v>
      </c>
      <c r="G23594" t="s">
        <v>2147</v>
      </c>
      <c r="H23594" s="21">
        <v>671.67</v>
      </c>
    </row>
    <row r="23595" spans="1:8" customFormat="1" x14ac:dyDescent="0.25">
      <c r="A23595" t="str">
        <f>"1418536"</f>
        <v>1418536</v>
      </c>
      <c r="B23595" t="s">
        <v>4656</v>
      </c>
      <c r="C23595" t="s">
        <v>19022</v>
      </c>
      <c r="D23595" s="21" t="s">
        <v>34</v>
      </c>
      <c r="E23595" s="21" t="s">
        <v>254</v>
      </c>
      <c r="F23595">
        <v>9140234</v>
      </c>
      <c r="G23595" t="s">
        <v>5548</v>
      </c>
      <c r="H23595" s="21">
        <v>671.67</v>
      </c>
    </row>
    <row r="23596" spans="1:8" customFormat="1" x14ac:dyDescent="0.25">
      <c r="A23596" t="str">
        <f>"5729937"</f>
        <v>5729937</v>
      </c>
      <c r="B23596" t="s">
        <v>7778</v>
      </c>
      <c r="C23596" t="s">
        <v>246</v>
      </c>
      <c r="D23596" s="21" t="s">
        <v>34</v>
      </c>
      <c r="E23596" s="21" t="s">
        <v>35</v>
      </c>
      <c r="F23596">
        <v>6570093</v>
      </c>
      <c r="G23596" t="s">
        <v>6118</v>
      </c>
      <c r="H23596" s="21">
        <v>671.67</v>
      </c>
    </row>
    <row r="23597" spans="1:8" customFormat="1" x14ac:dyDescent="0.25">
      <c r="A23597" t="str">
        <f>"7924077"</f>
        <v>7924077</v>
      </c>
      <c r="B23597" t="s">
        <v>22136</v>
      </c>
      <c r="C23597" t="s">
        <v>462</v>
      </c>
      <c r="D23597" s="21" t="s">
        <v>34</v>
      </c>
      <c r="E23597" s="21" t="s">
        <v>35</v>
      </c>
      <c r="F23597">
        <v>10790204</v>
      </c>
      <c r="G23597" t="s">
        <v>5681</v>
      </c>
      <c r="H23597" s="21">
        <v>671.67</v>
      </c>
    </row>
    <row r="23598" spans="1:8" customFormat="1" x14ac:dyDescent="0.25">
      <c r="A23598" t="str">
        <f>"5014973"</f>
        <v>5014973</v>
      </c>
      <c r="B23598" t="s">
        <v>15291</v>
      </c>
      <c r="C23598" t="s">
        <v>1110</v>
      </c>
      <c r="D23598" s="21" t="s">
        <v>34</v>
      </c>
      <c r="E23598" s="21" t="s">
        <v>1089</v>
      </c>
      <c r="F23598">
        <v>9500063</v>
      </c>
      <c r="G23598" t="s">
        <v>4114</v>
      </c>
      <c r="H23598" s="21">
        <v>671.67</v>
      </c>
    </row>
    <row r="23599" spans="1:8" customFormat="1" x14ac:dyDescent="0.25">
      <c r="A23599" t="str">
        <f>"3528713"</f>
        <v>3528713</v>
      </c>
      <c r="B23599" t="s">
        <v>17556</v>
      </c>
      <c r="C23599" t="s">
        <v>926</v>
      </c>
      <c r="D23599" s="21" t="s">
        <v>34</v>
      </c>
      <c r="E23599" s="21" t="s">
        <v>71</v>
      </c>
      <c r="F23599">
        <v>3350213</v>
      </c>
      <c r="G23599" t="s">
        <v>13671</v>
      </c>
      <c r="H23599" s="21">
        <v>671.67</v>
      </c>
    </row>
    <row r="23600" spans="1:8" customFormat="1" x14ac:dyDescent="0.25">
      <c r="A23600" t="str">
        <f>"218327"</f>
        <v>218327</v>
      </c>
      <c r="B23600" t="s">
        <v>17045</v>
      </c>
      <c r="C23600" t="s">
        <v>415</v>
      </c>
      <c r="D23600" s="21" t="s">
        <v>34</v>
      </c>
      <c r="E23600" s="21" t="s">
        <v>71</v>
      </c>
      <c r="F23600">
        <v>2210039</v>
      </c>
      <c r="G23600" t="s">
        <v>9930</v>
      </c>
      <c r="H23600" s="21">
        <v>671.67</v>
      </c>
    </row>
    <row r="23601" spans="1:8" customFormat="1" x14ac:dyDescent="0.25">
      <c r="A23601" t="str">
        <f>"1850"</f>
        <v>1850</v>
      </c>
      <c r="B23601" t="s">
        <v>6098</v>
      </c>
      <c r="C23601" t="s">
        <v>233</v>
      </c>
      <c r="D23601" s="21" t="s">
        <v>34</v>
      </c>
      <c r="E23601" s="21" t="s">
        <v>1089</v>
      </c>
      <c r="F23601">
        <v>4180644</v>
      </c>
      <c r="G23601" t="s">
        <v>17253</v>
      </c>
      <c r="H23601" s="21">
        <v>671.67</v>
      </c>
    </row>
    <row r="23602" spans="1:8" customFormat="1" x14ac:dyDescent="0.25">
      <c r="A23602" t="str">
        <f>"5018138"</f>
        <v>5018138</v>
      </c>
      <c r="B23602" t="s">
        <v>18078</v>
      </c>
      <c r="C23602" t="s">
        <v>87</v>
      </c>
      <c r="D23602" s="21" t="s">
        <v>34</v>
      </c>
      <c r="E23602" s="21" t="s">
        <v>71</v>
      </c>
      <c r="F23602">
        <v>9500003</v>
      </c>
      <c r="G23602" t="s">
        <v>545</v>
      </c>
      <c r="H23602" s="21">
        <v>671.67</v>
      </c>
    </row>
    <row r="23603" spans="1:8" customFormat="1" x14ac:dyDescent="0.25">
      <c r="A23603" t="str">
        <f>"5975119"</f>
        <v>5975119</v>
      </c>
      <c r="B23603" t="s">
        <v>17378</v>
      </c>
      <c r="C23603" t="s">
        <v>486</v>
      </c>
      <c r="D23603" s="21" t="s">
        <v>34</v>
      </c>
      <c r="E23603" s="21" t="s">
        <v>35</v>
      </c>
      <c r="F23603">
        <v>7590099</v>
      </c>
      <c r="G23603" t="s">
        <v>5792</v>
      </c>
      <c r="H23603" s="21">
        <v>671.67</v>
      </c>
    </row>
    <row r="23604" spans="1:8" customFormat="1" x14ac:dyDescent="0.25">
      <c r="A23604" t="str">
        <f>"704424"</f>
        <v>704424</v>
      </c>
      <c r="B23604" t="s">
        <v>697</v>
      </c>
      <c r="C23604" t="s">
        <v>239</v>
      </c>
      <c r="D23604" s="21" t="s">
        <v>34</v>
      </c>
      <c r="E23604" s="21" t="s">
        <v>71</v>
      </c>
      <c r="F23604">
        <v>2700030</v>
      </c>
      <c r="G23604" t="s">
        <v>9981</v>
      </c>
      <c r="H23604" s="21">
        <v>671.67</v>
      </c>
    </row>
    <row r="23605" spans="1:8" customFormat="1" x14ac:dyDescent="0.25">
      <c r="A23605" t="str">
        <f>"7512472"</f>
        <v>7512472</v>
      </c>
      <c r="B23605" t="s">
        <v>9181</v>
      </c>
      <c r="C23605" t="s">
        <v>8726</v>
      </c>
      <c r="D23605" s="21" t="s">
        <v>34</v>
      </c>
      <c r="E23605" s="21" t="s">
        <v>254</v>
      </c>
      <c r="F23605">
        <v>13060066</v>
      </c>
      <c r="G23605" t="s">
        <v>2556</v>
      </c>
      <c r="H23605" s="21">
        <v>671.67</v>
      </c>
    </row>
    <row r="23606" spans="1:8" customFormat="1" x14ac:dyDescent="0.25">
      <c r="A23606" t="str">
        <f>"4454772"</f>
        <v>4454772</v>
      </c>
      <c r="B23606" t="s">
        <v>4743</v>
      </c>
      <c r="C23606" t="s">
        <v>139</v>
      </c>
      <c r="D23606" s="21" t="s">
        <v>34</v>
      </c>
      <c r="E23606" s="21" t="s">
        <v>35</v>
      </c>
      <c r="F23606">
        <v>12440034</v>
      </c>
      <c r="G23606" t="s">
        <v>10586</v>
      </c>
      <c r="H23606" s="21">
        <v>671.67</v>
      </c>
    </row>
    <row r="23607" spans="1:8" customFormat="1" x14ac:dyDescent="0.25">
      <c r="A23607" t="str">
        <f>"4435040"</f>
        <v>4435040</v>
      </c>
      <c r="B23607" t="s">
        <v>2263</v>
      </c>
      <c r="C23607" t="s">
        <v>43</v>
      </c>
      <c r="D23607" s="21" t="s">
        <v>34</v>
      </c>
      <c r="E23607" s="21" t="s">
        <v>35</v>
      </c>
      <c r="F23607">
        <v>12440052</v>
      </c>
      <c r="G23607" t="s">
        <v>17011</v>
      </c>
      <c r="H23607" s="21">
        <v>671.67</v>
      </c>
    </row>
    <row r="23608" spans="1:8" customFormat="1" x14ac:dyDescent="0.25">
      <c r="A23608" t="str">
        <f>"3416597"</f>
        <v>3416597</v>
      </c>
      <c r="B23608" t="s">
        <v>18619</v>
      </c>
      <c r="C23608" t="s">
        <v>156</v>
      </c>
      <c r="D23608" s="21" t="s">
        <v>34</v>
      </c>
      <c r="E23608" s="21" t="s">
        <v>1089</v>
      </c>
      <c r="F23608">
        <v>11340013</v>
      </c>
      <c r="G23608" t="s">
        <v>11430</v>
      </c>
      <c r="H23608" s="21">
        <v>671.67</v>
      </c>
    </row>
    <row r="23609" spans="1:8" customFormat="1" x14ac:dyDescent="0.25">
      <c r="A23609" t="str">
        <f>"893557"</f>
        <v>893557</v>
      </c>
      <c r="B23609" t="s">
        <v>2640</v>
      </c>
      <c r="C23609" t="s">
        <v>381</v>
      </c>
      <c r="D23609" s="21" t="s">
        <v>34</v>
      </c>
      <c r="E23609" s="21" t="s">
        <v>254</v>
      </c>
      <c r="F23609">
        <v>2890019</v>
      </c>
      <c r="G23609" t="s">
        <v>1857</v>
      </c>
      <c r="H23609" s="21">
        <v>671.67</v>
      </c>
    </row>
    <row r="23610" spans="1:8" customFormat="1" x14ac:dyDescent="0.25">
      <c r="A23610" t="str">
        <f>"6221219"</f>
        <v>6221219</v>
      </c>
      <c r="B23610" t="s">
        <v>1094</v>
      </c>
      <c r="C23610" t="s">
        <v>124</v>
      </c>
      <c r="D23610" s="21" t="s">
        <v>34</v>
      </c>
      <c r="E23610" s="21" t="s">
        <v>254</v>
      </c>
      <c r="F23610">
        <v>7620040</v>
      </c>
      <c r="G23610" t="s">
        <v>1319</v>
      </c>
      <c r="H23610" s="21">
        <v>671.67</v>
      </c>
    </row>
    <row r="23611" spans="1:8" customFormat="1" x14ac:dyDescent="0.25">
      <c r="A23611" t="str">
        <f>"4522782"</f>
        <v>4522782</v>
      </c>
      <c r="B23611" t="s">
        <v>17299</v>
      </c>
      <c r="C23611" t="s">
        <v>33</v>
      </c>
      <c r="D23611" s="21" t="s">
        <v>34</v>
      </c>
      <c r="E23611" s="21" t="s">
        <v>71</v>
      </c>
      <c r="F23611">
        <v>4450663</v>
      </c>
      <c r="G23611" t="s">
        <v>2527</v>
      </c>
      <c r="H23611" s="21">
        <v>671.67</v>
      </c>
    </row>
    <row r="23612" spans="1:8" customFormat="1" x14ac:dyDescent="0.25">
      <c r="A23612" t="str">
        <f>"4935044"</f>
        <v>4935044</v>
      </c>
      <c r="B23612" t="s">
        <v>4718</v>
      </c>
      <c r="C23612" t="s">
        <v>187</v>
      </c>
      <c r="D23612" s="21" t="s">
        <v>34</v>
      </c>
      <c r="E23612" s="21" t="s">
        <v>35</v>
      </c>
      <c r="F23612">
        <v>12490073</v>
      </c>
      <c r="G23612" t="s">
        <v>296</v>
      </c>
      <c r="H23612" s="21">
        <v>671.67</v>
      </c>
    </row>
    <row r="23613" spans="1:8" customFormat="1" x14ac:dyDescent="0.25">
      <c r="A23613" t="str">
        <f>"486269"</f>
        <v>486269</v>
      </c>
      <c r="B23613" t="s">
        <v>20435</v>
      </c>
      <c r="C23613" t="s">
        <v>3397</v>
      </c>
      <c r="D23613" s="21" t="s">
        <v>34</v>
      </c>
      <c r="E23613" s="21" t="s">
        <v>35</v>
      </c>
      <c r="F23613">
        <v>11480020</v>
      </c>
      <c r="G23613" t="s">
        <v>5221</v>
      </c>
      <c r="H23613" s="21">
        <v>671.54</v>
      </c>
    </row>
    <row r="23614" spans="1:8" customFormat="1" x14ac:dyDescent="0.25">
      <c r="A23614" t="str">
        <f>"027030"</f>
        <v>027030</v>
      </c>
      <c r="B23614" t="s">
        <v>697</v>
      </c>
      <c r="C23614" t="s">
        <v>233</v>
      </c>
      <c r="D23614" s="21" t="s">
        <v>34</v>
      </c>
      <c r="E23614" s="21" t="s">
        <v>35</v>
      </c>
      <c r="F23614">
        <v>7021012</v>
      </c>
      <c r="G23614" t="s">
        <v>14342</v>
      </c>
      <c r="H23614" s="21">
        <v>671.42</v>
      </c>
    </row>
    <row r="23615" spans="1:8" customFormat="1" x14ac:dyDescent="0.25">
      <c r="A23615" t="str">
        <f>"6212371"</f>
        <v>6212371</v>
      </c>
      <c r="B23615" t="s">
        <v>18955</v>
      </c>
      <c r="C23615" t="s">
        <v>263</v>
      </c>
      <c r="D23615" s="21" t="s">
        <v>34</v>
      </c>
      <c r="E23615" s="21" t="s">
        <v>254</v>
      </c>
      <c r="F23615">
        <v>7620183</v>
      </c>
      <c r="G23615" t="s">
        <v>8030</v>
      </c>
      <c r="H23615" s="21">
        <v>671.42</v>
      </c>
    </row>
    <row r="23616" spans="1:8" customFormat="1" x14ac:dyDescent="0.25">
      <c r="A23616" t="str">
        <f>"5952539"</f>
        <v>5952539</v>
      </c>
      <c r="B23616" t="s">
        <v>7041</v>
      </c>
      <c r="C23616" t="s">
        <v>1142</v>
      </c>
      <c r="D23616" s="21" t="s">
        <v>34</v>
      </c>
      <c r="E23616" s="21" t="s">
        <v>71</v>
      </c>
      <c r="F23616">
        <v>7590112</v>
      </c>
      <c r="G23616" t="s">
        <v>3534</v>
      </c>
      <c r="H23616" s="21">
        <v>671.17</v>
      </c>
    </row>
    <row r="23617" spans="1:8" customFormat="1" x14ac:dyDescent="0.25">
      <c r="A23617" t="str">
        <f>"592368"</f>
        <v>592368</v>
      </c>
      <c r="B23617" t="s">
        <v>16758</v>
      </c>
      <c r="C23617" t="s">
        <v>2479</v>
      </c>
      <c r="D23617" s="21" t="s">
        <v>34</v>
      </c>
      <c r="E23617" s="21" t="s">
        <v>254</v>
      </c>
      <c r="F23617">
        <v>7590171</v>
      </c>
      <c r="G23617" t="s">
        <v>4159</v>
      </c>
      <c r="H23617" s="21">
        <v>671.17</v>
      </c>
    </row>
    <row r="23618" spans="1:8" customFormat="1" x14ac:dyDescent="0.25">
      <c r="A23618" t="str">
        <f>"1714825"</f>
        <v>1714825</v>
      </c>
      <c r="B23618" t="s">
        <v>19954</v>
      </c>
      <c r="C23618" t="s">
        <v>2529</v>
      </c>
      <c r="D23618" s="21" t="s">
        <v>34</v>
      </c>
      <c r="E23618" s="21" t="s">
        <v>71</v>
      </c>
      <c r="F23618">
        <v>10170012</v>
      </c>
      <c r="G23618" t="s">
        <v>14768</v>
      </c>
      <c r="H23618" s="21">
        <v>671.17</v>
      </c>
    </row>
    <row r="23619" spans="1:8" customFormat="1" x14ac:dyDescent="0.25">
      <c r="A23619" t="str">
        <f>"873117"</f>
        <v>873117</v>
      </c>
      <c r="B23619" t="s">
        <v>16549</v>
      </c>
      <c r="C23619" t="s">
        <v>528</v>
      </c>
      <c r="D23619" s="21" t="s">
        <v>34</v>
      </c>
      <c r="E23619" s="21" t="s">
        <v>1089</v>
      </c>
      <c r="F23619">
        <v>10870028</v>
      </c>
      <c r="G23619" t="s">
        <v>2689</v>
      </c>
      <c r="H23619" s="21">
        <v>671.17</v>
      </c>
    </row>
    <row r="23620" spans="1:8" customFormat="1" x14ac:dyDescent="0.25">
      <c r="A23620" t="str">
        <f>"8816398"</f>
        <v>8816398</v>
      </c>
      <c r="B23620" t="s">
        <v>5539</v>
      </c>
      <c r="C23620" t="s">
        <v>130</v>
      </c>
      <c r="D23620" s="21" t="s">
        <v>34</v>
      </c>
      <c r="E23620" s="21" t="s">
        <v>71</v>
      </c>
      <c r="F23620">
        <v>6880051</v>
      </c>
      <c r="G23620" t="s">
        <v>6116</v>
      </c>
      <c r="H23620" s="21">
        <v>671.17</v>
      </c>
    </row>
    <row r="23621" spans="1:8" customFormat="1" x14ac:dyDescent="0.25">
      <c r="A23621" t="str">
        <f>"342495"</f>
        <v>342495</v>
      </c>
      <c r="B23621" t="s">
        <v>5797</v>
      </c>
      <c r="C23621" t="s">
        <v>415</v>
      </c>
      <c r="D23621" s="21" t="s">
        <v>34</v>
      </c>
      <c r="E23621" s="21" t="s">
        <v>71</v>
      </c>
      <c r="F23621">
        <v>11340010</v>
      </c>
      <c r="G23621" t="s">
        <v>66</v>
      </c>
      <c r="H23621" s="21">
        <v>671.17</v>
      </c>
    </row>
    <row r="23622" spans="1:8" customFormat="1" x14ac:dyDescent="0.25">
      <c r="A23622" t="str">
        <f>"447027"</f>
        <v>447027</v>
      </c>
      <c r="B23622" t="s">
        <v>6908</v>
      </c>
      <c r="C23622" t="s">
        <v>87</v>
      </c>
      <c r="D23622" s="21" t="s">
        <v>34</v>
      </c>
      <c r="E23622" s="21" t="s">
        <v>35</v>
      </c>
      <c r="F23622">
        <v>12440026</v>
      </c>
      <c r="G23622" t="s">
        <v>2987</v>
      </c>
      <c r="H23622" s="21">
        <v>671.17</v>
      </c>
    </row>
    <row r="23623" spans="1:8" customFormat="1" x14ac:dyDescent="0.25">
      <c r="A23623" t="str">
        <f>"139331"</f>
        <v>139331</v>
      </c>
      <c r="B23623" t="s">
        <v>17713</v>
      </c>
      <c r="C23623" t="s">
        <v>1714</v>
      </c>
      <c r="D23623" s="21" t="s">
        <v>34</v>
      </c>
      <c r="E23623" s="21" t="s">
        <v>71</v>
      </c>
      <c r="F23623">
        <v>13130067</v>
      </c>
      <c r="G23623" t="s">
        <v>1420</v>
      </c>
      <c r="H23623" s="21">
        <v>671.17</v>
      </c>
    </row>
    <row r="23624" spans="1:8" customFormat="1" x14ac:dyDescent="0.25">
      <c r="A23624" t="str">
        <f>"581751"</f>
        <v>581751</v>
      </c>
      <c r="B23624" t="s">
        <v>4558</v>
      </c>
      <c r="C23624" t="s">
        <v>156</v>
      </c>
      <c r="D23624" s="21" t="s">
        <v>34</v>
      </c>
      <c r="E23624" s="21" t="s">
        <v>254</v>
      </c>
      <c r="F23624">
        <v>2580019</v>
      </c>
      <c r="G23624" t="s">
        <v>8527</v>
      </c>
      <c r="H23624" s="21">
        <v>671.17</v>
      </c>
    </row>
    <row r="23625" spans="1:8" customFormat="1" x14ac:dyDescent="0.25">
      <c r="A23625" t="str">
        <f>"873551"</f>
        <v>873551</v>
      </c>
      <c r="B23625" t="s">
        <v>18224</v>
      </c>
      <c r="C23625" t="s">
        <v>18225</v>
      </c>
      <c r="D23625" s="21" t="s">
        <v>34</v>
      </c>
      <c r="E23625" s="21" t="s">
        <v>35</v>
      </c>
      <c r="F23625">
        <v>10870101</v>
      </c>
      <c r="G23625" t="s">
        <v>6607</v>
      </c>
      <c r="H23625" s="21">
        <v>671.17</v>
      </c>
    </row>
    <row r="23626" spans="1:8" customFormat="1" x14ac:dyDescent="0.25">
      <c r="A23626" t="str">
        <f>"9227543"</f>
        <v>9227543</v>
      </c>
      <c r="B23626" t="s">
        <v>17404</v>
      </c>
      <c r="C23626" t="s">
        <v>130</v>
      </c>
      <c r="D23626" s="21" t="s">
        <v>34</v>
      </c>
      <c r="E23626" s="21" t="s">
        <v>71</v>
      </c>
      <c r="F23626">
        <v>8920140</v>
      </c>
      <c r="G23626" t="s">
        <v>3762</v>
      </c>
      <c r="H23626" s="21">
        <v>671.17</v>
      </c>
    </row>
    <row r="23627" spans="1:8" customFormat="1" x14ac:dyDescent="0.25">
      <c r="A23627" t="str">
        <f>"6022753"</f>
        <v>6022753</v>
      </c>
      <c r="B23627" t="s">
        <v>20158</v>
      </c>
      <c r="C23627" t="s">
        <v>119</v>
      </c>
      <c r="D23627" s="21" t="s">
        <v>34</v>
      </c>
      <c r="E23627" s="21" t="s">
        <v>35</v>
      </c>
      <c r="F23627">
        <v>7600054</v>
      </c>
      <c r="G23627" t="s">
        <v>1352</v>
      </c>
      <c r="H23627" s="21">
        <v>671.17</v>
      </c>
    </row>
    <row r="23628" spans="1:8" customFormat="1" x14ac:dyDescent="0.25">
      <c r="A23628" t="str">
        <f>"2219197"</f>
        <v>2219197</v>
      </c>
      <c r="B23628" t="s">
        <v>19349</v>
      </c>
      <c r="C23628" t="s">
        <v>209</v>
      </c>
      <c r="D23628" s="21" t="s">
        <v>34</v>
      </c>
      <c r="E23628" s="21" t="s">
        <v>71</v>
      </c>
      <c r="F23628">
        <v>3220123</v>
      </c>
      <c r="G23628" t="s">
        <v>26953</v>
      </c>
      <c r="H23628" s="21">
        <v>671.17</v>
      </c>
    </row>
    <row r="23629" spans="1:8" customFormat="1" x14ac:dyDescent="0.25">
      <c r="A23629" t="str">
        <f>"04403"</f>
        <v>04403</v>
      </c>
      <c r="B23629" t="s">
        <v>67</v>
      </c>
      <c r="C23629" t="s">
        <v>236</v>
      </c>
      <c r="D23629" s="21" t="s">
        <v>34</v>
      </c>
      <c r="E23629" s="21" t="s">
        <v>254</v>
      </c>
      <c r="F23629">
        <v>13040005</v>
      </c>
      <c r="G23629" t="s">
        <v>7115</v>
      </c>
      <c r="H23629" s="21">
        <v>671.17</v>
      </c>
    </row>
    <row r="23630" spans="1:8" customFormat="1" x14ac:dyDescent="0.25">
      <c r="A23630" t="str">
        <f>"185883"</f>
        <v>185883</v>
      </c>
      <c r="B23630" t="s">
        <v>146</v>
      </c>
      <c r="C23630" t="s">
        <v>263</v>
      </c>
      <c r="D23630" s="21" t="s">
        <v>34</v>
      </c>
      <c r="E23630" s="21" t="s">
        <v>71</v>
      </c>
      <c r="F23630">
        <v>4180718</v>
      </c>
      <c r="G23630" t="s">
        <v>8518</v>
      </c>
      <c r="H23630" s="21">
        <v>671.17</v>
      </c>
    </row>
    <row r="23631" spans="1:8" customFormat="1" x14ac:dyDescent="0.25">
      <c r="A23631" t="str">
        <f>"822670"</f>
        <v>822670</v>
      </c>
      <c r="B23631" t="s">
        <v>7695</v>
      </c>
      <c r="C23631" t="s">
        <v>1468</v>
      </c>
      <c r="D23631" s="21" t="s">
        <v>34</v>
      </c>
      <c r="E23631" s="21" t="s">
        <v>35</v>
      </c>
      <c r="F23631">
        <v>11820011</v>
      </c>
      <c r="G23631" t="s">
        <v>2611</v>
      </c>
      <c r="H23631" s="21">
        <v>671.17</v>
      </c>
    </row>
    <row r="23632" spans="1:8" customFormat="1" x14ac:dyDescent="0.25">
      <c r="A23632" t="str">
        <f>"857062"</f>
        <v>857062</v>
      </c>
      <c r="B23632" t="s">
        <v>1066</v>
      </c>
      <c r="C23632" t="s">
        <v>249</v>
      </c>
      <c r="D23632" s="21" t="s">
        <v>34</v>
      </c>
      <c r="E23632" s="21" t="s">
        <v>254</v>
      </c>
      <c r="F23632">
        <v>12850148</v>
      </c>
      <c r="G23632" t="s">
        <v>2380</v>
      </c>
      <c r="H23632" s="21">
        <v>671.17</v>
      </c>
    </row>
    <row r="23633" spans="1:8" customFormat="1" x14ac:dyDescent="0.25">
      <c r="A23633" t="str">
        <f>"5967540"</f>
        <v>5967540</v>
      </c>
      <c r="B23633" t="s">
        <v>17853</v>
      </c>
      <c r="C23633" t="s">
        <v>1714</v>
      </c>
      <c r="D23633" s="21" t="s">
        <v>34</v>
      </c>
      <c r="E23633" s="21" t="s">
        <v>71</v>
      </c>
      <c r="F23633">
        <v>7590293</v>
      </c>
      <c r="G23633" t="s">
        <v>2431</v>
      </c>
      <c r="H23633" s="21">
        <v>671.17</v>
      </c>
    </row>
    <row r="23634" spans="1:8" customFormat="1" x14ac:dyDescent="0.25">
      <c r="A23634" t="str">
        <f>"291695"</f>
        <v>291695</v>
      </c>
      <c r="B23634" t="s">
        <v>7098</v>
      </c>
      <c r="C23634" t="s">
        <v>1142</v>
      </c>
      <c r="D23634" s="21" t="s">
        <v>34</v>
      </c>
      <c r="E23634" s="21" t="s">
        <v>254</v>
      </c>
      <c r="F23634">
        <v>3290009</v>
      </c>
      <c r="G23634" t="s">
        <v>4358</v>
      </c>
      <c r="H23634" s="21">
        <v>671.17</v>
      </c>
    </row>
    <row r="23635" spans="1:8" customFormat="1" x14ac:dyDescent="0.25">
      <c r="A23635" t="str">
        <f>"13727"</f>
        <v>13727</v>
      </c>
      <c r="B23635" t="s">
        <v>11285</v>
      </c>
      <c r="C23635" t="s">
        <v>817</v>
      </c>
      <c r="D23635" s="21" t="s">
        <v>34</v>
      </c>
      <c r="E23635" s="21" t="s">
        <v>71</v>
      </c>
      <c r="F23635">
        <v>13130154</v>
      </c>
      <c r="G23635" t="s">
        <v>5503</v>
      </c>
      <c r="H23635" s="21">
        <v>670.67</v>
      </c>
    </row>
    <row r="23636" spans="1:8" customFormat="1" x14ac:dyDescent="0.25">
      <c r="A23636" t="str">
        <f>"2811661"</f>
        <v>2811661</v>
      </c>
      <c r="B23636" t="s">
        <v>19344</v>
      </c>
      <c r="C23636" t="s">
        <v>988</v>
      </c>
      <c r="D23636" s="21" t="s">
        <v>34</v>
      </c>
      <c r="E23636" s="21" t="s">
        <v>35</v>
      </c>
      <c r="F23636">
        <v>4280716</v>
      </c>
      <c r="G23636" t="s">
        <v>5281</v>
      </c>
      <c r="H23636" s="21">
        <v>670.67</v>
      </c>
    </row>
    <row r="23637" spans="1:8" customFormat="1" x14ac:dyDescent="0.25">
      <c r="A23637" t="str">
        <f>"4929250"</f>
        <v>4929250</v>
      </c>
      <c r="B23637" t="s">
        <v>9441</v>
      </c>
      <c r="C23637" t="s">
        <v>156</v>
      </c>
      <c r="D23637" s="21" t="s">
        <v>34</v>
      </c>
      <c r="E23637" s="21" t="s">
        <v>254</v>
      </c>
      <c r="F23637">
        <v>12490027</v>
      </c>
      <c r="G23637" t="s">
        <v>766</v>
      </c>
      <c r="H23637" s="21">
        <v>670.67</v>
      </c>
    </row>
    <row r="23638" spans="1:8" customFormat="1" x14ac:dyDescent="0.25">
      <c r="A23638" t="str">
        <f>"1426063"</f>
        <v>1426063</v>
      </c>
      <c r="B23638" t="s">
        <v>21322</v>
      </c>
      <c r="C23638" t="s">
        <v>1665</v>
      </c>
      <c r="D23638" s="21" t="s">
        <v>34</v>
      </c>
      <c r="E23638" s="21" t="s">
        <v>71</v>
      </c>
      <c r="F23638">
        <v>9140078</v>
      </c>
      <c r="G23638" t="s">
        <v>1920</v>
      </c>
      <c r="H23638" s="21">
        <v>670.67</v>
      </c>
    </row>
    <row r="23639" spans="1:8" customFormat="1" x14ac:dyDescent="0.25">
      <c r="A23639" t="str">
        <f>"869921"</f>
        <v>869921</v>
      </c>
      <c r="B23639" t="s">
        <v>17055</v>
      </c>
      <c r="C23639" t="s">
        <v>267</v>
      </c>
      <c r="D23639" s="21" t="s">
        <v>34</v>
      </c>
      <c r="E23639" s="21" t="s">
        <v>71</v>
      </c>
      <c r="F23639">
        <v>10860016</v>
      </c>
      <c r="G23639" t="s">
        <v>3289</v>
      </c>
      <c r="H23639" s="21">
        <v>670.67</v>
      </c>
    </row>
    <row r="23640" spans="1:8" customFormat="1" x14ac:dyDescent="0.25">
      <c r="A23640" t="str">
        <f>"365163"</f>
        <v>365163</v>
      </c>
      <c r="B23640" t="s">
        <v>18068</v>
      </c>
      <c r="C23640" t="s">
        <v>285</v>
      </c>
      <c r="D23640" s="21" t="s">
        <v>34</v>
      </c>
      <c r="E23640" s="21" t="s">
        <v>35</v>
      </c>
      <c r="F23640">
        <v>4360721</v>
      </c>
      <c r="G23640" t="s">
        <v>11172</v>
      </c>
      <c r="H23640" s="21">
        <v>670.67</v>
      </c>
    </row>
    <row r="23641" spans="1:8" customFormat="1" x14ac:dyDescent="0.25">
      <c r="A23641" t="str">
        <f>"7641183"</f>
        <v>7641183</v>
      </c>
      <c r="B23641" t="s">
        <v>27740</v>
      </c>
      <c r="C23641" t="s">
        <v>209</v>
      </c>
      <c r="D23641" s="21" t="s">
        <v>34</v>
      </c>
      <c r="E23641" s="21" t="s">
        <v>35</v>
      </c>
      <c r="F23641">
        <v>9760341</v>
      </c>
      <c r="G23641" t="s">
        <v>12913</v>
      </c>
      <c r="H23641" s="21">
        <v>670.67</v>
      </c>
    </row>
    <row r="23642" spans="1:8" customFormat="1" x14ac:dyDescent="0.25">
      <c r="A23642" t="str">
        <f>"6719110"</f>
        <v>6719110</v>
      </c>
      <c r="B23642" t="s">
        <v>17547</v>
      </c>
      <c r="C23642" t="s">
        <v>528</v>
      </c>
      <c r="D23642" s="21" t="s">
        <v>34</v>
      </c>
      <c r="E23642" s="21" t="s">
        <v>254</v>
      </c>
      <c r="F23642">
        <v>6670064</v>
      </c>
      <c r="G23642" t="s">
        <v>9358</v>
      </c>
      <c r="H23642" s="21">
        <v>670.67</v>
      </c>
    </row>
    <row r="23643" spans="1:8" customFormat="1" x14ac:dyDescent="0.25">
      <c r="A23643" t="str">
        <f>"7726021"</f>
        <v>7726021</v>
      </c>
      <c r="B23643" t="s">
        <v>18087</v>
      </c>
      <c r="C23643" t="s">
        <v>33</v>
      </c>
      <c r="D23643" s="21" t="s">
        <v>34</v>
      </c>
      <c r="E23643" s="21" t="s">
        <v>35</v>
      </c>
      <c r="F23643">
        <v>8771446</v>
      </c>
      <c r="G23643" t="s">
        <v>830</v>
      </c>
      <c r="H23643" s="21">
        <v>670.67</v>
      </c>
    </row>
    <row r="23644" spans="1:8" customFormat="1" x14ac:dyDescent="0.25">
      <c r="A23644" t="str">
        <f>"4926984"</f>
        <v>4926984</v>
      </c>
      <c r="B23644" t="s">
        <v>19064</v>
      </c>
      <c r="C23644" t="s">
        <v>608</v>
      </c>
      <c r="D23644" s="21" t="s">
        <v>34</v>
      </c>
      <c r="E23644" s="21" t="s">
        <v>71</v>
      </c>
      <c r="F23644">
        <v>12490080</v>
      </c>
      <c r="G23644" t="s">
        <v>5692</v>
      </c>
      <c r="H23644" s="21">
        <v>670.67</v>
      </c>
    </row>
    <row r="23645" spans="1:8" customFormat="1" x14ac:dyDescent="0.25">
      <c r="A23645" t="str">
        <f>"6718169"</f>
        <v>6718169</v>
      </c>
      <c r="B23645" t="s">
        <v>18796</v>
      </c>
      <c r="C23645" t="s">
        <v>4721</v>
      </c>
      <c r="D23645" s="21" t="s">
        <v>34</v>
      </c>
      <c r="E23645" s="21" t="s">
        <v>254</v>
      </c>
      <c r="F23645">
        <v>6670248</v>
      </c>
      <c r="G23645" t="s">
        <v>1194</v>
      </c>
      <c r="H23645" s="21">
        <v>670.67</v>
      </c>
    </row>
    <row r="23646" spans="1:8" customFormat="1" x14ac:dyDescent="0.25">
      <c r="A23646" t="str">
        <f>"4445213"</f>
        <v>4445213</v>
      </c>
      <c r="B23646" t="s">
        <v>10717</v>
      </c>
      <c r="C23646" t="s">
        <v>124</v>
      </c>
      <c r="D23646" s="21" t="s">
        <v>34</v>
      </c>
      <c r="E23646" s="21" t="s">
        <v>71</v>
      </c>
      <c r="F23646">
        <v>12440087</v>
      </c>
      <c r="G23646" t="s">
        <v>1860</v>
      </c>
      <c r="H23646" s="21">
        <v>670.67</v>
      </c>
    </row>
    <row r="23647" spans="1:8" customFormat="1" x14ac:dyDescent="0.25">
      <c r="A23647" t="str">
        <f>"5114088"</f>
        <v>5114088</v>
      </c>
      <c r="B23647" t="s">
        <v>27741</v>
      </c>
      <c r="C23647" t="s">
        <v>484</v>
      </c>
      <c r="D23647" s="21" t="s">
        <v>34</v>
      </c>
      <c r="E23647" s="21" t="s">
        <v>71</v>
      </c>
      <c r="F23647">
        <v>6510042</v>
      </c>
      <c r="G23647" t="s">
        <v>15015</v>
      </c>
      <c r="H23647" s="21">
        <v>670.67</v>
      </c>
    </row>
    <row r="23648" spans="1:8" customFormat="1" x14ac:dyDescent="0.25">
      <c r="A23648" t="str">
        <f>"588741"</f>
        <v>588741</v>
      </c>
      <c r="B23648" t="s">
        <v>20407</v>
      </c>
      <c r="C23648" t="s">
        <v>87</v>
      </c>
      <c r="D23648" s="21" t="s">
        <v>34</v>
      </c>
      <c r="E23648" s="21" t="s">
        <v>71</v>
      </c>
      <c r="F23648">
        <v>2580012</v>
      </c>
      <c r="G23648" t="s">
        <v>1144</v>
      </c>
      <c r="H23648" s="21">
        <v>670.67</v>
      </c>
    </row>
    <row r="23649" spans="1:8" customFormat="1" x14ac:dyDescent="0.25">
      <c r="A23649" t="str">
        <f>"8524292"</f>
        <v>8524292</v>
      </c>
      <c r="B23649" t="s">
        <v>18683</v>
      </c>
      <c r="C23649" t="s">
        <v>33</v>
      </c>
      <c r="D23649" s="21" t="s">
        <v>34</v>
      </c>
      <c r="E23649" s="21" t="s">
        <v>71</v>
      </c>
      <c r="F23649">
        <v>12850026</v>
      </c>
      <c r="G23649" t="s">
        <v>1400</v>
      </c>
      <c r="H23649" s="21">
        <v>670.67</v>
      </c>
    </row>
    <row r="23650" spans="1:8" customFormat="1" x14ac:dyDescent="0.25">
      <c r="A23650" t="str">
        <f>"578355"</f>
        <v>578355</v>
      </c>
      <c r="B23650" t="s">
        <v>17987</v>
      </c>
      <c r="C23650" t="s">
        <v>547</v>
      </c>
      <c r="D23650" s="21" t="s">
        <v>34</v>
      </c>
      <c r="E23650" s="21" t="s">
        <v>254</v>
      </c>
      <c r="F23650">
        <v>6570075</v>
      </c>
      <c r="G23650" t="s">
        <v>3008</v>
      </c>
      <c r="H23650" s="21">
        <v>670.67</v>
      </c>
    </row>
    <row r="23651" spans="1:8" customFormat="1" x14ac:dyDescent="0.25">
      <c r="A23651" t="str">
        <f>"801095"</f>
        <v>801095</v>
      </c>
      <c r="B23651" t="s">
        <v>17734</v>
      </c>
      <c r="C23651" t="s">
        <v>249</v>
      </c>
      <c r="D23651" s="21" t="s">
        <v>34</v>
      </c>
      <c r="E23651" s="21" t="s">
        <v>71</v>
      </c>
      <c r="F23651">
        <v>7800079</v>
      </c>
      <c r="G23651" t="s">
        <v>14753</v>
      </c>
      <c r="H23651" s="21">
        <v>670.67</v>
      </c>
    </row>
    <row r="23652" spans="1:8" customFormat="1" x14ac:dyDescent="0.25">
      <c r="A23652" t="str">
        <f>"9128777"</f>
        <v>9128777</v>
      </c>
      <c r="B23652" t="s">
        <v>19185</v>
      </c>
      <c r="C23652" t="s">
        <v>1588</v>
      </c>
      <c r="D23652" s="21" t="s">
        <v>34</v>
      </c>
      <c r="E23652" s="21" t="s">
        <v>71</v>
      </c>
      <c r="F23652">
        <v>8910042</v>
      </c>
      <c r="G23652" t="s">
        <v>4009</v>
      </c>
      <c r="H23652" s="21">
        <v>670.67</v>
      </c>
    </row>
    <row r="23653" spans="1:8" customFormat="1" x14ac:dyDescent="0.25">
      <c r="A23653" t="str">
        <f>"6813895"</f>
        <v>6813895</v>
      </c>
      <c r="B23653" t="s">
        <v>18001</v>
      </c>
      <c r="C23653" t="s">
        <v>239</v>
      </c>
      <c r="D23653" s="21" t="s">
        <v>34</v>
      </c>
      <c r="E23653" s="21" t="s">
        <v>254</v>
      </c>
      <c r="F23653">
        <v>6680071</v>
      </c>
      <c r="G23653" t="s">
        <v>2899</v>
      </c>
      <c r="H23653" s="21">
        <v>670.67</v>
      </c>
    </row>
    <row r="23654" spans="1:8" customFormat="1" x14ac:dyDescent="0.25">
      <c r="A23654" t="str">
        <f>"8013519"</f>
        <v>8013519</v>
      </c>
      <c r="B23654" t="s">
        <v>4335</v>
      </c>
      <c r="C23654" t="s">
        <v>139</v>
      </c>
      <c r="D23654" s="21" t="s">
        <v>34</v>
      </c>
      <c r="E23654" s="21" t="s">
        <v>71</v>
      </c>
      <c r="F23654">
        <v>7800035</v>
      </c>
      <c r="G23654" t="s">
        <v>12990</v>
      </c>
      <c r="H23654" s="21">
        <v>670.67</v>
      </c>
    </row>
    <row r="23655" spans="1:8" customFormat="1" x14ac:dyDescent="0.25">
      <c r="A23655" t="str">
        <f>"6718942"</f>
        <v>6718942</v>
      </c>
      <c r="B23655" t="s">
        <v>17054</v>
      </c>
      <c r="C23655" t="s">
        <v>598</v>
      </c>
      <c r="D23655" s="21" t="s">
        <v>34</v>
      </c>
      <c r="E23655" s="21" t="s">
        <v>71</v>
      </c>
      <c r="F23655">
        <v>13130152</v>
      </c>
      <c r="G23655" t="s">
        <v>906</v>
      </c>
      <c r="H23655" s="21">
        <v>670.67</v>
      </c>
    </row>
    <row r="23656" spans="1:8" customFormat="1" x14ac:dyDescent="0.25">
      <c r="A23656" t="str">
        <f>"76977"</f>
        <v>76977</v>
      </c>
      <c r="B23656" t="s">
        <v>7456</v>
      </c>
      <c r="C23656" t="s">
        <v>598</v>
      </c>
      <c r="D23656" s="21" t="s">
        <v>34</v>
      </c>
      <c r="E23656" s="21" t="s">
        <v>1089</v>
      </c>
      <c r="F23656">
        <v>9760168</v>
      </c>
      <c r="G23656" t="s">
        <v>179</v>
      </c>
      <c r="H23656" s="21">
        <v>670.67</v>
      </c>
    </row>
    <row r="23657" spans="1:8" customFormat="1" x14ac:dyDescent="0.25">
      <c r="A23657" t="str">
        <f>"2681"</f>
        <v>2681</v>
      </c>
      <c r="B23657" t="s">
        <v>17434</v>
      </c>
      <c r="C23657" t="s">
        <v>598</v>
      </c>
      <c r="D23657" s="21" t="s">
        <v>34</v>
      </c>
      <c r="E23657" s="21" t="s">
        <v>1089</v>
      </c>
      <c r="F23657">
        <v>1260006</v>
      </c>
      <c r="G23657" t="s">
        <v>790</v>
      </c>
      <c r="H23657" s="21">
        <v>670.67</v>
      </c>
    </row>
    <row r="23658" spans="1:8" customFormat="1" x14ac:dyDescent="0.25">
      <c r="A23658" t="str">
        <f>"187788"</f>
        <v>187788</v>
      </c>
      <c r="B23658" t="s">
        <v>8176</v>
      </c>
      <c r="C23658" t="s">
        <v>169</v>
      </c>
      <c r="D23658" s="21" t="s">
        <v>34</v>
      </c>
      <c r="E23658" s="21" t="s">
        <v>254</v>
      </c>
      <c r="F23658">
        <v>4180621</v>
      </c>
      <c r="G23658" t="s">
        <v>14060</v>
      </c>
      <c r="H23658" s="21">
        <v>670.67</v>
      </c>
    </row>
    <row r="23659" spans="1:8" customFormat="1" x14ac:dyDescent="0.25">
      <c r="A23659" t="str">
        <f>"5431563"</f>
        <v>5431563</v>
      </c>
      <c r="B23659" t="s">
        <v>946</v>
      </c>
      <c r="C23659" t="s">
        <v>2276</v>
      </c>
      <c r="D23659" s="21" t="s">
        <v>34</v>
      </c>
      <c r="E23659" s="21" t="s">
        <v>71</v>
      </c>
      <c r="F23659">
        <v>6540082</v>
      </c>
      <c r="G23659" t="s">
        <v>9816</v>
      </c>
      <c r="H23659" s="21">
        <v>670.67</v>
      </c>
    </row>
    <row r="23660" spans="1:8" customFormat="1" x14ac:dyDescent="0.25">
      <c r="A23660" t="str">
        <f>"6112857"</f>
        <v>6112857</v>
      </c>
      <c r="B23660" t="s">
        <v>27742</v>
      </c>
      <c r="C23660" t="s">
        <v>27743</v>
      </c>
      <c r="D23660" s="21" t="s">
        <v>34</v>
      </c>
      <c r="E23660" s="21" t="s">
        <v>35</v>
      </c>
      <c r="F23660">
        <v>9610009</v>
      </c>
      <c r="G23660" t="s">
        <v>282</v>
      </c>
      <c r="H23660" s="21">
        <v>670.67</v>
      </c>
    </row>
    <row r="23661" spans="1:8" customFormat="1" x14ac:dyDescent="0.25">
      <c r="A23661" t="str">
        <f>"555565"</f>
        <v>555565</v>
      </c>
      <c r="B23661" t="s">
        <v>15161</v>
      </c>
      <c r="C23661" t="s">
        <v>1597</v>
      </c>
      <c r="D23661" s="21" t="s">
        <v>34</v>
      </c>
      <c r="E23661" s="21" t="s">
        <v>254</v>
      </c>
      <c r="F23661">
        <v>6550009</v>
      </c>
      <c r="G23661" t="s">
        <v>7080</v>
      </c>
      <c r="H23661" s="21">
        <v>670.42</v>
      </c>
    </row>
    <row r="23662" spans="1:8" customFormat="1" x14ac:dyDescent="0.25">
      <c r="A23662" t="str">
        <f>"4441025"</f>
        <v>4441025</v>
      </c>
      <c r="B23662" t="s">
        <v>18882</v>
      </c>
      <c r="C23662" t="s">
        <v>109</v>
      </c>
      <c r="D23662" s="21" t="s">
        <v>34</v>
      </c>
      <c r="E23662" s="21" t="s">
        <v>71</v>
      </c>
      <c r="F23662">
        <v>12440004</v>
      </c>
      <c r="G23662" t="s">
        <v>26530</v>
      </c>
      <c r="H23662" s="21">
        <v>670.42</v>
      </c>
    </row>
    <row r="23663" spans="1:8" customFormat="1" x14ac:dyDescent="0.25">
      <c r="A23663" t="str">
        <f>"7614108"</f>
        <v>7614108</v>
      </c>
      <c r="B23663" t="s">
        <v>2052</v>
      </c>
      <c r="C23663" t="s">
        <v>547</v>
      </c>
      <c r="D23663" s="21" t="s">
        <v>34</v>
      </c>
      <c r="E23663" s="21" t="s">
        <v>1089</v>
      </c>
      <c r="F23663">
        <v>9760374</v>
      </c>
      <c r="G23663" t="s">
        <v>6867</v>
      </c>
      <c r="H23663" s="21">
        <v>670.42</v>
      </c>
    </row>
    <row r="23664" spans="1:8" customFormat="1" x14ac:dyDescent="0.25">
      <c r="A23664" t="str">
        <f>"286232"</f>
        <v>286232</v>
      </c>
      <c r="B23664" t="s">
        <v>5734</v>
      </c>
      <c r="C23664" t="s">
        <v>2907</v>
      </c>
      <c r="D23664" s="21" t="s">
        <v>34</v>
      </c>
      <c r="E23664" s="21" t="s">
        <v>71</v>
      </c>
      <c r="F23664">
        <v>4280664</v>
      </c>
      <c r="G23664" t="s">
        <v>12012</v>
      </c>
      <c r="H23664" s="21">
        <v>670.29</v>
      </c>
    </row>
    <row r="23665" spans="1:8" customFormat="1" x14ac:dyDescent="0.25">
      <c r="A23665" t="str">
        <f>"9533755"</f>
        <v>9533755</v>
      </c>
      <c r="B23665" t="s">
        <v>19243</v>
      </c>
      <c r="C23665" t="s">
        <v>812</v>
      </c>
      <c r="D23665" s="21" t="s">
        <v>34</v>
      </c>
      <c r="E23665" s="21" t="s">
        <v>254</v>
      </c>
      <c r="F23665">
        <v>8951273</v>
      </c>
      <c r="G23665" t="s">
        <v>2382</v>
      </c>
      <c r="H23665" s="21">
        <v>670.17</v>
      </c>
    </row>
    <row r="23666" spans="1:8" customFormat="1" x14ac:dyDescent="0.25">
      <c r="A23666" t="str">
        <f>"2716956"</f>
        <v>2716956</v>
      </c>
      <c r="B23666" t="s">
        <v>1827</v>
      </c>
      <c r="C23666" t="s">
        <v>3073</v>
      </c>
      <c r="D23666" s="21" t="s">
        <v>34</v>
      </c>
      <c r="E23666" s="21" t="s">
        <v>254</v>
      </c>
      <c r="F23666">
        <v>9270137</v>
      </c>
      <c r="G23666" t="s">
        <v>3714</v>
      </c>
      <c r="H23666" s="21">
        <v>670.17</v>
      </c>
    </row>
    <row r="23667" spans="1:8" customFormat="1" x14ac:dyDescent="0.25">
      <c r="A23667" t="str">
        <f>"7641395"</f>
        <v>7641395</v>
      </c>
      <c r="B23667" t="s">
        <v>8614</v>
      </c>
      <c r="C23667" t="s">
        <v>139</v>
      </c>
      <c r="D23667" s="21" t="s">
        <v>34</v>
      </c>
      <c r="E23667" s="21" t="s">
        <v>35</v>
      </c>
      <c r="F23667">
        <v>9760374</v>
      </c>
      <c r="G23667" t="s">
        <v>6867</v>
      </c>
      <c r="H23667" s="21">
        <v>670.17</v>
      </c>
    </row>
    <row r="23668" spans="1:8" customFormat="1" x14ac:dyDescent="0.25">
      <c r="A23668" t="str">
        <f>"844407"</f>
        <v>844407</v>
      </c>
      <c r="B23668" t="s">
        <v>7973</v>
      </c>
      <c r="C23668" t="s">
        <v>547</v>
      </c>
      <c r="D23668" s="21" t="s">
        <v>34</v>
      </c>
      <c r="E23668" s="21" t="s">
        <v>254</v>
      </c>
      <c r="F23668">
        <v>1420144</v>
      </c>
      <c r="G23668" t="s">
        <v>9603</v>
      </c>
      <c r="H23668" s="21">
        <v>670.17</v>
      </c>
    </row>
    <row r="23669" spans="1:8" customFormat="1" x14ac:dyDescent="0.25">
      <c r="A23669" t="str">
        <f>"6812142"</f>
        <v>6812142</v>
      </c>
      <c r="B23669" t="s">
        <v>18305</v>
      </c>
      <c r="C23669" t="s">
        <v>18306</v>
      </c>
      <c r="D23669" s="21" t="s">
        <v>34</v>
      </c>
      <c r="E23669" s="21" t="s">
        <v>254</v>
      </c>
      <c r="F23669">
        <v>2250221</v>
      </c>
      <c r="G23669" t="s">
        <v>18307</v>
      </c>
      <c r="H23669" s="21">
        <v>670.17</v>
      </c>
    </row>
    <row r="23670" spans="1:8" customFormat="1" x14ac:dyDescent="0.25">
      <c r="A23670" t="str">
        <f>"588304"</f>
        <v>588304</v>
      </c>
      <c r="B23670" t="s">
        <v>6328</v>
      </c>
      <c r="C23670" t="s">
        <v>249</v>
      </c>
      <c r="D23670" s="21" t="s">
        <v>34</v>
      </c>
      <c r="E23670" s="21" t="s">
        <v>71</v>
      </c>
      <c r="F23670">
        <v>2580031</v>
      </c>
      <c r="G23670" t="s">
        <v>5904</v>
      </c>
      <c r="H23670" s="21">
        <v>670.17</v>
      </c>
    </row>
    <row r="23671" spans="1:8" customFormat="1" x14ac:dyDescent="0.25">
      <c r="A23671" t="str">
        <f>"7729319"</f>
        <v>7729319</v>
      </c>
      <c r="B23671" t="s">
        <v>12563</v>
      </c>
      <c r="C23671" t="s">
        <v>204</v>
      </c>
      <c r="D23671" s="21" t="s">
        <v>34</v>
      </c>
      <c r="E23671" s="21" t="s">
        <v>71</v>
      </c>
      <c r="F23671">
        <v>8770665</v>
      </c>
      <c r="G23671" t="s">
        <v>903</v>
      </c>
      <c r="H23671" s="21">
        <v>670.17</v>
      </c>
    </row>
    <row r="23672" spans="1:8" customFormat="1" x14ac:dyDescent="0.25">
      <c r="A23672" t="str">
        <f>"289745"</f>
        <v>289745</v>
      </c>
      <c r="B23672" t="s">
        <v>7035</v>
      </c>
      <c r="C23672" t="s">
        <v>269</v>
      </c>
      <c r="D23672" s="21" t="s">
        <v>34</v>
      </c>
      <c r="E23672" s="21" t="s">
        <v>71</v>
      </c>
      <c r="F23672">
        <v>4280593</v>
      </c>
      <c r="G23672" t="s">
        <v>4536</v>
      </c>
      <c r="H23672" s="21">
        <v>670.17</v>
      </c>
    </row>
    <row r="23673" spans="1:8" customFormat="1" x14ac:dyDescent="0.25">
      <c r="A23673" t="str">
        <f>"3811462"</f>
        <v>3811462</v>
      </c>
      <c r="B23673" t="s">
        <v>3001</v>
      </c>
      <c r="C23673" t="s">
        <v>4896</v>
      </c>
      <c r="D23673" s="21" t="s">
        <v>34</v>
      </c>
      <c r="E23673" s="21" t="s">
        <v>1089</v>
      </c>
      <c r="F23673">
        <v>1380292</v>
      </c>
      <c r="G23673" t="s">
        <v>10256</v>
      </c>
      <c r="H23673" s="21">
        <v>670.17</v>
      </c>
    </row>
    <row r="23674" spans="1:8" customFormat="1" x14ac:dyDescent="0.25">
      <c r="A23674" t="str">
        <f>"8524448"</f>
        <v>8524448</v>
      </c>
      <c r="B23674" t="s">
        <v>882</v>
      </c>
      <c r="C23674" t="s">
        <v>139</v>
      </c>
      <c r="D23674" s="21" t="s">
        <v>34</v>
      </c>
      <c r="E23674" s="21" t="s">
        <v>35</v>
      </c>
      <c r="F23674">
        <v>12850032</v>
      </c>
      <c r="G23674" t="s">
        <v>6589</v>
      </c>
      <c r="H23674" s="21">
        <v>670.17</v>
      </c>
    </row>
    <row r="23675" spans="1:8" customFormat="1" x14ac:dyDescent="0.25">
      <c r="A23675" t="str">
        <f>"6711861"</f>
        <v>6711861</v>
      </c>
      <c r="B23675" t="s">
        <v>18135</v>
      </c>
      <c r="C23675" t="s">
        <v>926</v>
      </c>
      <c r="D23675" s="21" t="s">
        <v>34</v>
      </c>
      <c r="E23675" s="21" t="s">
        <v>254</v>
      </c>
      <c r="F23675">
        <v>6670045</v>
      </c>
      <c r="G23675" t="s">
        <v>707</v>
      </c>
      <c r="H23675" s="21">
        <v>670.17</v>
      </c>
    </row>
    <row r="23676" spans="1:8" customFormat="1" x14ac:dyDescent="0.25">
      <c r="A23676" t="str">
        <f>"5014479"</f>
        <v>5014479</v>
      </c>
      <c r="B23676" t="s">
        <v>17717</v>
      </c>
      <c r="C23676" t="s">
        <v>263</v>
      </c>
      <c r="D23676" s="21" t="s">
        <v>34</v>
      </c>
      <c r="E23676" s="21" t="s">
        <v>71</v>
      </c>
      <c r="F23676">
        <v>9500025</v>
      </c>
      <c r="G23676" t="s">
        <v>665</v>
      </c>
      <c r="H23676" s="21">
        <v>670.17</v>
      </c>
    </row>
    <row r="23677" spans="1:8" customFormat="1" x14ac:dyDescent="0.25">
      <c r="A23677" t="str">
        <f>"5111813"</f>
        <v>5111813</v>
      </c>
      <c r="B23677" t="s">
        <v>17610</v>
      </c>
      <c r="C23677" t="s">
        <v>17611</v>
      </c>
      <c r="D23677" s="21" t="s">
        <v>34</v>
      </c>
      <c r="E23677" s="21" t="s">
        <v>71</v>
      </c>
      <c r="F23677">
        <v>6510020</v>
      </c>
      <c r="G23677" t="s">
        <v>3013</v>
      </c>
      <c r="H23677" s="21">
        <v>670.17</v>
      </c>
    </row>
    <row r="23678" spans="1:8" customFormat="1" x14ac:dyDescent="0.25">
      <c r="A23678" t="str">
        <f>"149221"</f>
        <v>149221</v>
      </c>
      <c r="B23678" t="s">
        <v>16768</v>
      </c>
      <c r="C23678" t="s">
        <v>598</v>
      </c>
      <c r="D23678" s="21" t="s">
        <v>34</v>
      </c>
      <c r="E23678" s="21" t="s">
        <v>1089</v>
      </c>
      <c r="F23678">
        <v>9140123</v>
      </c>
      <c r="G23678" t="s">
        <v>661</v>
      </c>
      <c r="H23678" s="21">
        <v>670.17</v>
      </c>
    </row>
    <row r="23679" spans="1:8" customFormat="1" x14ac:dyDescent="0.25">
      <c r="A23679" t="str">
        <f>"42157"</f>
        <v>42157</v>
      </c>
      <c r="B23679" t="s">
        <v>17335</v>
      </c>
      <c r="C23679" t="s">
        <v>239</v>
      </c>
      <c r="D23679" s="21" t="s">
        <v>34</v>
      </c>
      <c r="E23679" s="21" t="s">
        <v>254</v>
      </c>
      <c r="F23679">
        <v>1420013</v>
      </c>
      <c r="G23679" t="s">
        <v>2013</v>
      </c>
      <c r="H23679" s="21">
        <v>670.17</v>
      </c>
    </row>
    <row r="23680" spans="1:8" customFormat="1" x14ac:dyDescent="0.25">
      <c r="A23680" t="str">
        <f>"6224967"</f>
        <v>6224967</v>
      </c>
      <c r="B23680" t="s">
        <v>18265</v>
      </c>
      <c r="C23680" t="s">
        <v>1782</v>
      </c>
      <c r="D23680" s="21" t="s">
        <v>34</v>
      </c>
      <c r="E23680" s="21" t="s">
        <v>35</v>
      </c>
      <c r="F23680">
        <v>7620092</v>
      </c>
      <c r="G23680" t="s">
        <v>9874</v>
      </c>
      <c r="H23680" s="21">
        <v>670.17</v>
      </c>
    </row>
    <row r="23681" spans="1:8" customFormat="1" x14ac:dyDescent="0.25">
      <c r="A23681" t="str">
        <f>"551658"</f>
        <v>551658</v>
      </c>
      <c r="B23681" t="s">
        <v>17417</v>
      </c>
      <c r="C23681" t="s">
        <v>2072</v>
      </c>
      <c r="D23681" s="21" t="s">
        <v>34</v>
      </c>
      <c r="E23681" s="21" t="s">
        <v>71</v>
      </c>
      <c r="F23681">
        <v>6550020</v>
      </c>
      <c r="G23681" t="s">
        <v>7526</v>
      </c>
      <c r="H23681" s="21">
        <v>670.17</v>
      </c>
    </row>
    <row r="23682" spans="1:8" customFormat="1" x14ac:dyDescent="0.25">
      <c r="A23682" t="str">
        <f>"7730745"</f>
        <v>7730745</v>
      </c>
      <c r="B23682" t="s">
        <v>27744</v>
      </c>
      <c r="C23682" t="s">
        <v>124</v>
      </c>
      <c r="D23682" s="21" t="s">
        <v>34</v>
      </c>
      <c r="E23682" s="21" t="s">
        <v>254</v>
      </c>
      <c r="F23682">
        <v>8771398</v>
      </c>
      <c r="G23682" t="s">
        <v>2759</v>
      </c>
      <c r="H23682" s="21">
        <v>670.04</v>
      </c>
    </row>
    <row r="23683" spans="1:8" customFormat="1" x14ac:dyDescent="0.25">
      <c r="A23683" t="str">
        <f>"9139054"</f>
        <v>9139054</v>
      </c>
      <c r="B23683" t="s">
        <v>17701</v>
      </c>
      <c r="C23683" t="s">
        <v>249</v>
      </c>
      <c r="D23683" s="21" t="s">
        <v>34</v>
      </c>
      <c r="E23683" s="21" t="s">
        <v>71</v>
      </c>
      <c r="F23683">
        <v>8910918</v>
      </c>
      <c r="G23683" t="s">
        <v>332</v>
      </c>
      <c r="H23683" s="21">
        <v>669.92</v>
      </c>
    </row>
    <row r="23684" spans="1:8" customFormat="1" x14ac:dyDescent="0.25">
      <c r="A23684" t="str">
        <f>"707180"</f>
        <v>707180</v>
      </c>
      <c r="B23684" t="s">
        <v>13437</v>
      </c>
      <c r="C23684" t="s">
        <v>202</v>
      </c>
      <c r="D23684" s="21" t="s">
        <v>34</v>
      </c>
      <c r="E23684" s="21" t="s">
        <v>254</v>
      </c>
      <c r="F23684">
        <v>2700094</v>
      </c>
      <c r="G23684" t="s">
        <v>18448</v>
      </c>
      <c r="H23684" s="21">
        <v>669.79</v>
      </c>
    </row>
    <row r="23685" spans="1:8" customFormat="1" x14ac:dyDescent="0.25">
      <c r="A23685" t="str">
        <f>"5311085"</f>
        <v>5311085</v>
      </c>
      <c r="B23685" t="s">
        <v>16131</v>
      </c>
      <c r="C23685" t="s">
        <v>62</v>
      </c>
      <c r="D23685" s="21" t="s">
        <v>34</v>
      </c>
      <c r="E23685" s="21" t="s">
        <v>35</v>
      </c>
      <c r="F23685">
        <v>12530109</v>
      </c>
      <c r="G23685" t="s">
        <v>6924</v>
      </c>
      <c r="H23685" s="21">
        <v>669.67</v>
      </c>
    </row>
    <row r="23686" spans="1:8" customFormat="1" x14ac:dyDescent="0.25">
      <c r="A23686" t="str">
        <f>"103012"</f>
        <v>103012</v>
      </c>
      <c r="B23686" t="s">
        <v>16521</v>
      </c>
      <c r="C23686" t="s">
        <v>2305</v>
      </c>
      <c r="D23686" s="21" t="s">
        <v>34</v>
      </c>
      <c r="E23686" s="21" t="s">
        <v>254</v>
      </c>
      <c r="F23686">
        <v>6100040</v>
      </c>
      <c r="G23686" t="s">
        <v>5313</v>
      </c>
      <c r="H23686" s="21">
        <v>669.67</v>
      </c>
    </row>
    <row r="23687" spans="1:8" customFormat="1" x14ac:dyDescent="0.25">
      <c r="A23687" t="str">
        <f>"7847087"</f>
        <v>7847087</v>
      </c>
      <c r="B23687" t="s">
        <v>17389</v>
      </c>
      <c r="C23687" t="s">
        <v>121</v>
      </c>
      <c r="D23687" s="21" t="s">
        <v>34</v>
      </c>
      <c r="E23687" s="21" t="s">
        <v>35</v>
      </c>
      <c r="F23687">
        <v>8780002</v>
      </c>
      <c r="G23687" t="s">
        <v>2196</v>
      </c>
      <c r="H23687" s="21">
        <v>669.67</v>
      </c>
    </row>
    <row r="23688" spans="1:8" customFormat="1" x14ac:dyDescent="0.25">
      <c r="A23688" t="str">
        <f>"9311036"</f>
        <v>9311036</v>
      </c>
      <c r="B23688" t="s">
        <v>17965</v>
      </c>
      <c r="C23688" t="s">
        <v>124</v>
      </c>
      <c r="D23688" s="21" t="s">
        <v>34</v>
      </c>
      <c r="E23688" s="21" t="s">
        <v>254</v>
      </c>
      <c r="F23688">
        <v>8910285</v>
      </c>
      <c r="G23688" t="s">
        <v>26604</v>
      </c>
      <c r="H23688" s="21">
        <v>669.67</v>
      </c>
    </row>
    <row r="23689" spans="1:8" customFormat="1" x14ac:dyDescent="0.25">
      <c r="A23689" t="str">
        <f>"4214962"</f>
        <v>4214962</v>
      </c>
      <c r="B23689" t="s">
        <v>13782</v>
      </c>
      <c r="C23689" t="s">
        <v>156</v>
      </c>
      <c r="D23689" s="21" t="s">
        <v>34</v>
      </c>
      <c r="E23689" s="21" t="s">
        <v>254</v>
      </c>
      <c r="F23689">
        <v>1420025</v>
      </c>
      <c r="G23689" t="s">
        <v>5981</v>
      </c>
      <c r="H23689" s="21">
        <v>669.67</v>
      </c>
    </row>
    <row r="23690" spans="1:8" customFormat="1" x14ac:dyDescent="0.25">
      <c r="A23690" t="str">
        <f>"516386"</f>
        <v>516386</v>
      </c>
      <c r="B23690" t="s">
        <v>19269</v>
      </c>
      <c r="C23690" t="s">
        <v>233</v>
      </c>
      <c r="D23690" s="21" t="s">
        <v>34</v>
      </c>
      <c r="E23690" s="21" t="s">
        <v>254</v>
      </c>
      <c r="F23690">
        <v>6510019</v>
      </c>
      <c r="G23690" t="s">
        <v>11388</v>
      </c>
      <c r="H23690" s="21">
        <v>669.67</v>
      </c>
    </row>
    <row r="23691" spans="1:8" customFormat="1" x14ac:dyDescent="0.25">
      <c r="A23691" t="str">
        <f>"491663"</f>
        <v>491663</v>
      </c>
      <c r="B23691" t="s">
        <v>17185</v>
      </c>
      <c r="C23691" t="s">
        <v>17186</v>
      </c>
      <c r="D23691" s="21" t="s">
        <v>34</v>
      </c>
      <c r="E23691" s="21" t="s">
        <v>1089</v>
      </c>
      <c r="F23691">
        <v>12850008</v>
      </c>
      <c r="G23691" t="s">
        <v>4248</v>
      </c>
      <c r="H23691" s="21">
        <v>669.67</v>
      </c>
    </row>
    <row r="23692" spans="1:8" customFormat="1" x14ac:dyDescent="0.25">
      <c r="A23692" t="str">
        <f>"8316373"</f>
        <v>8316373</v>
      </c>
      <c r="B23692" t="s">
        <v>17149</v>
      </c>
      <c r="C23692" t="s">
        <v>209</v>
      </c>
      <c r="D23692" s="21" t="s">
        <v>34</v>
      </c>
      <c r="E23692" s="21" t="s">
        <v>71</v>
      </c>
      <c r="F23692">
        <v>13830087</v>
      </c>
      <c r="G23692" t="s">
        <v>11264</v>
      </c>
      <c r="H23692" s="21">
        <v>669.67</v>
      </c>
    </row>
    <row r="23693" spans="1:8" customFormat="1" x14ac:dyDescent="0.25">
      <c r="A23693" t="str">
        <f>"6930038"</f>
        <v>6930038</v>
      </c>
      <c r="B23693" t="s">
        <v>1270</v>
      </c>
      <c r="C23693" t="s">
        <v>822</v>
      </c>
      <c r="D23693" s="21" t="s">
        <v>34</v>
      </c>
      <c r="E23693" s="21" t="s">
        <v>71</v>
      </c>
      <c r="F23693">
        <v>1690196</v>
      </c>
      <c r="G23693" t="s">
        <v>6149</v>
      </c>
      <c r="H23693" s="21">
        <v>669.67</v>
      </c>
    </row>
    <row r="23694" spans="1:8" customFormat="1" x14ac:dyDescent="0.25">
      <c r="A23694" t="str">
        <f>"794703"</f>
        <v>794703</v>
      </c>
      <c r="B23694" t="s">
        <v>10812</v>
      </c>
      <c r="C23694" t="s">
        <v>124</v>
      </c>
      <c r="D23694" s="21" t="s">
        <v>34</v>
      </c>
      <c r="E23694" s="21" t="s">
        <v>254</v>
      </c>
      <c r="F23694">
        <v>10790186</v>
      </c>
      <c r="G23694" t="s">
        <v>16305</v>
      </c>
      <c r="H23694" s="21">
        <v>669.67</v>
      </c>
    </row>
    <row r="23695" spans="1:8" customFormat="1" x14ac:dyDescent="0.25">
      <c r="A23695" t="str">
        <f>"7626033"</f>
        <v>7626033</v>
      </c>
      <c r="B23695" t="s">
        <v>97</v>
      </c>
      <c r="C23695" t="s">
        <v>263</v>
      </c>
      <c r="D23695" s="21" t="s">
        <v>34</v>
      </c>
      <c r="E23695" s="21" t="s">
        <v>254</v>
      </c>
      <c r="F23695">
        <v>9760201</v>
      </c>
      <c r="G23695" t="s">
        <v>11358</v>
      </c>
      <c r="H23695" s="21">
        <v>669.67</v>
      </c>
    </row>
    <row r="23696" spans="1:8" customFormat="1" x14ac:dyDescent="0.25">
      <c r="A23696" t="str">
        <f>"618768"</f>
        <v>618768</v>
      </c>
      <c r="B23696" t="s">
        <v>2010</v>
      </c>
      <c r="C23696" t="s">
        <v>209</v>
      </c>
      <c r="D23696" s="21" t="s">
        <v>34</v>
      </c>
      <c r="E23696" s="21" t="s">
        <v>71</v>
      </c>
      <c r="F23696">
        <v>9610095</v>
      </c>
      <c r="G23696" t="s">
        <v>4870</v>
      </c>
      <c r="H23696" s="21">
        <v>669.67</v>
      </c>
    </row>
    <row r="23697" spans="1:8" customFormat="1" x14ac:dyDescent="0.25">
      <c r="A23697" t="str">
        <f>"6715300"</f>
        <v>6715300</v>
      </c>
      <c r="B23697" t="s">
        <v>17598</v>
      </c>
      <c r="C23697" t="s">
        <v>151</v>
      </c>
      <c r="D23697" s="21" t="s">
        <v>34</v>
      </c>
      <c r="E23697" s="21" t="s">
        <v>35</v>
      </c>
      <c r="F23697">
        <v>6670248</v>
      </c>
      <c r="G23697" t="s">
        <v>1194</v>
      </c>
      <c r="H23697" s="21">
        <v>669.67</v>
      </c>
    </row>
    <row r="23698" spans="1:8" customFormat="1" x14ac:dyDescent="0.25">
      <c r="A23698" t="str">
        <f>"69149"</f>
        <v>69149</v>
      </c>
      <c r="B23698" t="s">
        <v>517</v>
      </c>
      <c r="C23698" t="s">
        <v>2529</v>
      </c>
      <c r="D23698" s="21" t="s">
        <v>34</v>
      </c>
      <c r="E23698" s="21" t="s">
        <v>71</v>
      </c>
      <c r="F23698">
        <v>1010027</v>
      </c>
      <c r="G23698" t="s">
        <v>6318</v>
      </c>
      <c r="H23698" s="21">
        <v>669.67</v>
      </c>
    </row>
    <row r="23699" spans="1:8" customFormat="1" x14ac:dyDescent="0.25">
      <c r="A23699" t="str">
        <f>"125048"</f>
        <v>125048</v>
      </c>
      <c r="B23699" t="s">
        <v>3958</v>
      </c>
      <c r="C23699" t="s">
        <v>62</v>
      </c>
      <c r="D23699" s="21" t="s">
        <v>34</v>
      </c>
      <c r="E23699" s="21" t="s">
        <v>35</v>
      </c>
      <c r="F23699">
        <v>11120045</v>
      </c>
      <c r="G23699" t="s">
        <v>13082</v>
      </c>
      <c r="H23699" s="21">
        <v>669.67</v>
      </c>
    </row>
    <row r="23700" spans="1:8" customFormat="1" x14ac:dyDescent="0.25">
      <c r="A23700" t="str">
        <f>"7915657"</f>
        <v>7915657</v>
      </c>
      <c r="B23700" t="s">
        <v>6401</v>
      </c>
      <c r="C23700" t="s">
        <v>1072</v>
      </c>
      <c r="D23700" s="21" t="s">
        <v>34</v>
      </c>
      <c r="E23700" s="21" t="s">
        <v>1089</v>
      </c>
      <c r="F23700">
        <v>10790071</v>
      </c>
      <c r="G23700" t="s">
        <v>5806</v>
      </c>
      <c r="H23700" s="21">
        <v>669.67</v>
      </c>
    </row>
    <row r="23701" spans="1:8" customFormat="1" x14ac:dyDescent="0.25">
      <c r="A23701" t="str">
        <f>"5942650"</f>
        <v>5942650</v>
      </c>
      <c r="B23701" t="s">
        <v>27745</v>
      </c>
      <c r="C23701" t="s">
        <v>1489</v>
      </c>
      <c r="D23701" s="21" t="s">
        <v>34</v>
      </c>
      <c r="E23701" s="21" t="s">
        <v>254</v>
      </c>
      <c r="F23701">
        <v>7590313</v>
      </c>
      <c r="G23701" t="s">
        <v>5529</v>
      </c>
      <c r="H23701" s="21">
        <v>669.67</v>
      </c>
    </row>
    <row r="23702" spans="1:8" customFormat="1" x14ac:dyDescent="0.25">
      <c r="A23702" t="str">
        <f>"7522076"</f>
        <v>7522076</v>
      </c>
      <c r="B23702" t="s">
        <v>18212</v>
      </c>
      <c r="C23702" t="s">
        <v>1104</v>
      </c>
      <c r="D23702" s="21" t="s">
        <v>34</v>
      </c>
      <c r="E23702" s="21" t="s">
        <v>71</v>
      </c>
      <c r="F23702">
        <v>8750120</v>
      </c>
      <c r="G23702" t="s">
        <v>838</v>
      </c>
      <c r="H23702" s="21">
        <v>669.67</v>
      </c>
    </row>
    <row r="23703" spans="1:8" customFormat="1" x14ac:dyDescent="0.25">
      <c r="A23703" t="str">
        <f>"5921103"</f>
        <v>5921103</v>
      </c>
      <c r="B23703" t="s">
        <v>11954</v>
      </c>
      <c r="C23703" t="s">
        <v>156</v>
      </c>
      <c r="D23703" s="21" t="s">
        <v>34</v>
      </c>
      <c r="E23703" s="21" t="s">
        <v>71</v>
      </c>
      <c r="F23703">
        <v>7590419</v>
      </c>
      <c r="G23703" t="s">
        <v>8051</v>
      </c>
      <c r="H23703" s="21">
        <v>669.67</v>
      </c>
    </row>
    <row r="23704" spans="1:8" customFormat="1" x14ac:dyDescent="0.25">
      <c r="A23704" t="str">
        <f>"834467"</f>
        <v>834467</v>
      </c>
      <c r="B23704" t="s">
        <v>13599</v>
      </c>
      <c r="C23704" t="s">
        <v>1914</v>
      </c>
      <c r="D23704" s="21" t="s">
        <v>34</v>
      </c>
      <c r="E23704" s="21" t="s">
        <v>254</v>
      </c>
      <c r="F23704">
        <v>13830083</v>
      </c>
      <c r="G23704" t="s">
        <v>2159</v>
      </c>
      <c r="H23704" s="21">
        <v>669.67</v>
      </c>
    </row>
    <row r="23705" spans="1:8" customFormat="1" x14ac:dyDescent="0.25">
      <c r="A23705" t="str">
        <f>"2922342"</f>
        <v>2922342</v>
      </c>
      <c r="B23705" t="s">
        <v>18233</v>
      </c>
      <c r="C23705" t="s">
        <v>87</v>
      </c>
      <c r="D23705" s="21" t="s">
        <v>34</v>
      </c>
      <c r="E23705" s="21" t="s">
        <v>35</v>
      </c>
      <c r="F23705">
        <v>3290212</v>
      </c>
      <c r="G23705" t="s">
        <v>6046</v>
      </c>
      <c r="H23705" s="21">
        <v>669.67</v>
      </c>
    </row>
    <row r="23706" spans="1:8" customFormat="1" x14ac:dyDescent="0.25">
      <c r="A23706" t="str">
        <f>"348079"</f>
        <v>348079</v>
      </c>
      <c r="B23706" t="s">
        <v>19818</v>
      </c>
      <c r="C23706" t="s">
        <v>40</v>
      </c>
      <c r="D23706" s="21" t="s">
        <v>34</v>
      </c>
      <c r="E23706" s="21" t="s">
        <v>254</v>
      </c>
      <c r="F23706">
        <v>11340065</v>
      </c>
      <c r="G23706" t="s">
        <v>2022</v>
      </c>
      <c r="H23706" s="21">
        <v>669.67</v>
      </c>
    </row>
    <row r="23707" spans="1:8" customFormat="1" x14ac:dyDescent="0.25">
      <c r="A23707" t="str">
        <f>"5719649"</f>
        <v>5719649</v>
      </c>
      <c r="B23707" t="s">
        <v>8553</v>
      </c>
      <c r="C23707" t="s">
        <v>209</v>
      </c>
      <c r="D23707" s="21" t="s">
        <v>34</v>
      </c>
      <c r="E23707" s="21" t="s">
        <v>71</v>
      </c>
      <c r="F23707">
        <v>6570024</v>
      </c>
      <c r="G23707" t="s">
        <v>464</v>
      </c>
      <c r="H23707" s="21">
        <v>669.67</v>
      </c>
    </row>
    <row r="23708" spans="1:8" customFormat="1" x14ac:dyDescent="0.25">
      <c r="A23708" t="str">
        <f>"7915158"</f>
        <v>7915158</v>
      </c>
      <c r="B23708" t="s">
        <v>18523</v>
      </c>
      <c r="C23708" t="s">
        <v>12109</v>
      </c>
      <c r="D23708" s="21" t="s">
        <v>34</v>
      </c>
      <c r="E23708" s="21" t="s">
        <v>71</v>
      </c>
      <c r="F23708">
        <v>10790038</v>
      </c>
      <c r="G23708" t="s">
        <v>5857</v>
      </c>
      <c r="H23708" s="21">
        <v>669.54</v>
      </c>
    </row>
    <row r="23709" spans="1:8" customFormat="1" x14ac:dyDescent="0.25">
      <c r="A23709" t="str">
        <f>"4934373"</f>
        <v>4934373</v>
      </c>
      <c r="B23709" t="s">
        <v>911</v>
      </c>
      <c r="C23709" t="s">
        <v>90</v>
      </c>
      <c r="D23709" s="21" t="s">
        <v>34</v>
      </c>
      <c r="E23709" s="21" t="s">
        <v>35</v>
      </c>
      <c r="F23709">
        <v>12490092</v>
      </c>
      <c r="G23709" t="s">
        <v>1854</v>
      </c>
      <c r="H23709" s="21">
        <v>669.42</v>
      </c>
    </row>
    <row r="23710" spans="1:8" customFormat="1" x14ac:dyDescent="0.25">
      <c r="A23710" t="str">
        <f>"2514623"</f>
        <v>2514623</v>
      </c>
      <c r="B23710" t="s">
        <v>18324</v>
      </c>
      <c r="C23710" t="s">
        <v>209</v>
      </c>
      <c r="D23710" s="21" t="s">
        <v>34</v>
      </c>
      <c r="E23710" s="21" t="s">
        <v>35</v>
      </c>
      <c r="F23710">
        <v>2250016</v>
      </c>
      <c r="G23710" t="s">
        <v>1709</v>
      </c>
      <c r="H23710" s="21">
        <v>669.42</v>
      </c>
    </row>
    <row r="23711" spans="1:8" customFormat="1" x14ac:dyDescent="0.25">
      <c r="A23711" t="str">
        <f>"367879"</f>
        <v>367879</v>
      </c>
      <c r="B23711" t="s">
        <v>19952</v>
      </c>
      <c r="C23711" t="s">
        <v>275</v>
      </c>
      <c r="D23711" s="21" t="s">
        <v>34</v>
      </c>
      <c r="E23711" s="21" t="s">
        <v>35</v>
      </c>
      <c r="F23711">
        <v>4360481</v>
      </c>
      <c r="G23711" t="s">
        <v>12957</v>
      </c>
      <c r="H23711" s="21">
        <v>669.42</v>
      </c>
    </row>
    <row r="23712" spans="1:8" customFormat="1" x14ac:dyDescent="0.25">
      <c r="A23712" t="str">
        <f>"1610275"</f>
        <v>1610275</v>
      </c>
      <c r="B23712" t="s">
        <v>16227</v>
      </c>
      <c r="C23712" t="s">
        <v>209</v>
      </c>
      <c r="D23712" s="21" t="s">
        <v>34</v>
      </c>
      <c r="E23712" s="21" t="s">
        <v>71</v>
      </c>
      <c r="F23712">
        <v>10160003</v>
      </c>
      <c r="G23712" t="s">
        <v>4692</v>
      </c>
      <c r="H23712" s="21">
        <v>669.29</v>
      </c>
    </row>
    <row r="23713" spans="1:8" customFormat="1" x14ac:dyDescent="0.25">
      <c r="A23713" t="str">
        <f>"4937654"</f>
        <v>4937654</v>
      </c>
      <c r="B23713" t="s">
        <v>8452</v>
      </c>
      <c r="C23713" t="s">
        <v>5232</v>
      </c>
      <c r="D23713" s="21" t="s">
        <v>34</v>
      </c>
      <c r="E23713" s="21" t="s">
        <v>35</v>
      </c>
      <c r="F23713">
        <v>12490026</v>
      </c>
      <c r="G23713" t="s">
        <v>6274</v>
      </c>
      <c r="H23713" s="21">
        <v>669.17</v>
      </c>
    </row>
    <row r="23714" spans="1:8" customFormat="1" x14ac:dyDescent="0.25">
      <c r="A23714" t="str">
        <f>"1417914"</f>
        <v>1417914</v>
      </c>
      <c r="B23714" t="s">
        <v>19539</v>
      </c>
      <c r="C23714" t="s">
        <v>40</v>
      </c>
      <c r="D23714" s="21" t="s">
        <v>34</v>
      </c>
      <c r="E23714" s="21" t="s">
        <v>35</v>
      </c>
      <c r="F23714">
        <v>9140072</v>
      </c>
      <c r="G23714" t="s">
        <v>4810</v>
      </c>
      <c r="H23714" s="21">
        <v>669.17</v>
      </c>
    </row>
    <row r="23715" spans="1:8" customFormat="1" x14ac:dyDescent="0.25">
      <c r="A23715" t="str">
        <f>"5617555"</f>
        <v>5617555</v>
      </c>
      <c r="B23715" t="s">
        <v>3274</v>
      </c>
      <c r="C23715" t="s">
        <v>169</v>
      </c>
      <c r="D23715" s="21" t="s">
        <v>34</v>
      </c>
      <c r="E23715" s="21" t="s">
        <v>71</v>
      </c>
      <c r="F23715">
        <v>3560038</v>
      </c>
      <c r="G23715" t="s">
        <v>3598</v>
      </c>
      <c r="H23715" s="21">
        <v>669.17</v>
      </c>
    </row>
    <row r="23716" spans="1:8" customFormat="1" x14ac:dyDescent="0.25">
      <c r="A23716" t="str">
        <f>"1317690"</f>
        <v>1317690</v>
      </c>
      <c r="B23716" t="s">
        <v>17961</v>
      </c>
      <c r="C23716" t="s">
        <v>109</v>
      </c>
      <c r="D23716" s="21" t="s">
        <v>34</v>
      </c>
      <c r="E23716" s="21" t="s">
        <v>35</v>
      </c>
      <c r="F23716">
        <v>13130158</v>
      </c>
      <c r="G23716" t="s">
        <v>3215</v>
      </c>
      <c r="H23716" s="21">
        <v>669.17</v>
      </c>
    </row>
    <row r="23717" spans="1:8" customFormat="1" x14ac:dyDescent="0.25">
      <c r="A23717" t="str">
        <f>"6918204"</f>
        <v>6918204</v>
      </c>
      <c r="B23717" t="s">
        <v>18676</v>
      </c>
      <c r="C23717" t="s">
        <v>55</v>
      </c>
      <c r="D23717" s="21" t="s">
        <v>34</v>
      </c>
      <c r="E23717" s="21" t="s">
        <v>71</v>
      </c>
      <c r="F23717">
        <v>1690109</v>
      </c>
      <c r="G23717" t="s">
        <v>3028</v>
      </c>
      <c r="H23717" s="21">
        <v>669.17</v>
      </c>
    </row>
    <row r="23718" spans="1:8" customFormat="1" x14ac:dyDescent="0.25">
      <c r="A23718" t="str">
        <f>"951573"</f>
        <v>951573</v>
      </c>
      <c r="B23718" t="s">
        <v>18267</v>
      </c>
      <c r="C23718" t="s">
        <v>412</v>
      </c>
      <c r="D23718" s="21" t="s">
        <v>34</v>
      </c>
      <c r="E23718" s="21" t="s">
        <v>1089</v>
      </c>
      <c r="F23718">
        <v>1260072</v>
      </c>
      <c r="G23718" t="s">
        <v>12420</v>
      </c>
      <c r="H23718" s="21">
        <v>669.17</v>
      </c>
    </row>
    <row r="23719" spans="1:8" customFormat="1" x14ac:dyDescent="0.25">
      <c r="A23719" t="str">
        <f>"728076"</f>
        <v>728076</v>
      </c>
      <c r="B23719" t="s">
        <v>16304</v>
      </c>
      <c r="C23719" t="s">
        <v>3073</v>
      </c>
      <c r="D23719" s="21" t="s">
        <v>34</v>
      </c>
      <c r="E23719" s="21" t="s">
        <v>254</v>
      </c>
      <c r="F23719">
        <v>12720021</v>
      </c>
      <c r="G23719" t="s">
        <v>3329</v>
      </c>
      <c r="H23719" s="21">
        <v>669.17</v>
      </c>
    </row>
    <row r="23720" spans="1:8" customFormat="1" x14ac:dyDescent="0.25">
      <c r="A23720" t="str">
        <f>"486137"</f>
        <v>486137</v>
      </c>
      <c r="B23720" t="s">
        <v>19696</v>
      </c>
      <c r="C23720" t="s">
        <v>2475</v>
      </c>
      <c r="D23720" s="21" t="s">
        <v>34</v>
      </c>
      <c r="E23720" s="21" t="s">
        <v>35</v>
      </c>
      <c r="F23720">
        <v>11480027</v>
      </c>
      <c r="G23720" t="s">
        <v>2950</v>
      </c>
      <c r="H23720" s="21">
        <v>669.17</v>
      </c>
    </row>
    <row r="23721" spans="1:8" customFormat="1" x14ac:dyDescent="0.25">
      <c r="A23721" t="str">
        <f>"93139"</f>
        <v>93139</v>
      </c>
      <c r="B23721" t="s">
        <v>185</v>
      </c>
      <c r="C23721" t="s">
        <v>1142</v>
      </c>
      <c r="D23721" s="21" t="s">
        <v>34</v>
      </c>
      <c r="E23721" s="21" t="s">
        <v>1089</v>
      </c>
      <c r="F23721">
        <v>10640004</v>
      </c>
      <c r="G23721" t="s">
        <v>26618</v>
      </c>
      <c r="H23721" s="21">
        <v>669.17</v>
      </c>
    </row>
    <row r="23722" spans="1:8" customFormat="1" x14ac:dyDescent="0.25">
      <c r="A23722" t="str">
        <f>"7869909"</f>
        <v>7869909</v>
      </c>
      <c r="B23722" t="s">
        <v>5933</v>
      </c>
      <c r="C23722" t="s">
        <v>486</v>
      </c>
      <c r="D23722" s="21" t="s">
        <v>34</v>
      </c>
      <c r="E23722" s="21" t="s">
        <v>35</v>
      </c>
      <c r="F23722">
        <v>8780329</v>
      </c>
      <c r="G23722" t="s">
        <v>917</v>
      </c>
      <c r="H23722" s="21">
        <v>669.17</v>
      </c>
    </row>
    <row r="23723" spans="1:8" customFormat="1" x14ac:dyDescent="0.25">
      <c r="A23723" t="str">
        <f>"6928822"</f>
        <v>6928822</v>
      </c>
      <c r="B23723" t="s">
        <v>4151</v>
      </c>
      <c r="C23723" t="s">
        <v>598</v>
      </c>
      <c r="D23723" s="21" t="s">
        <v>34</v>
      </c>
      <c r="E23723" s="21" t="s">
        <v>254</v>
      </c>
      <c r="F23723">
        <v>1690013</v>
      </c>
      <c r="G23723" t="s">
        <v>26900</v>
      </c>
      <c r="H23723" s="21">
        <v>669.17</v>
      </c>
    </row>
    <row r="23724" spans="1:8" customFormat="1" x14ac:dyDescent="0.25">
      <c r="A23724" t="str">
        <f>"944086"</f>
        <v>944086</v>
      </c>
      <c r="B23724" t="s">
        <v>18028</v>
      </c>
      <c r="C23724" t="s">
        <v>267</v>
      </c>
      <c r="D23724" s="21" t="s">
        <v>34</v>
      </c>
      <c r="E23724" s="21" t="s">
        <v>254</v>
      </c>
      <c r="F23724">
        <v>8940482</v>
      </c>
      <c r="G23724" t="s">
        <v>2560</v>
      </c>
      <c r="H23724" s="21">
        <v>669.17</v>
      </c>
    </row>
    <row r="23725" spans="1:8" customFormat="1" x14ac:dyDescent="0.25">
      <c r="A23725" t="str">
        <f>"677288"</f>
        <v>677288</v>
      </c>
      <c r="B23725" t="s">
        <v>17412</v>
      </c>
      <c r="C23725" t="s">
        <v>598</v>
      </c>
      <c r="D23725" s="21" t="s">
        <v>34</v>
      </c>
      <c r="E23725" s="21" t="s">
        <v>71</v>
      </c>
      <c r="F23725">
        <v>6670066</v>
      </c>
      <c r="G23725" t="s">
        <v>12245</v>
      </c>
      <c r="H23725" s="21">
        <v>669.17</v>
      </c>
    </row>
    <row r="23726" spans="1:8" customFormat="1" x14ac:dyDescent="0.25">
      <c r="A23726" t="str">
        <f>"7216642"</f>
        <v>7216642</v>
      </c>
      <c r="B23726" t="s">
        <v>6824</v>
      </c>
      <c r="C23726" t="s">
        <v>144</v>
      </c>
      <c r="D23726" s="21" t="s">
        <v>34</v>
      </c>
      <c r="E23726" s="21" t="s">
        <v>71</v>
      </c>
      <c r="F23726">
        <v>12720117</v>
      </c>
      <c r="G23726" t="s">
        <v>7788</v>
      </c>
      <c r="H23726" s="21">
        <v>669.17</v>
      </c>
    </row>
    <row r="23727" spans="1:8" customFormat="1" x14ac:dyDescent="0.25">
      <c r="A23727" t="str">
        <f>"728694"</f>
        <v>728694</v>
      </c>
      <c r="B23727" t="s">
        <v>17876</v>
      </c>
      <c r="C23727" t="s">
        <v>926</v>
      </c>
      <c r="D23727" s="21" t="s">
        <v>34</v>
      </c>
      <c r="E23727" s="21" t="s">
        <v>254</v>
      </c>
      <c r="F23727">
        <v>12720021</v>
      </c>
      <c r="G23727" t="s">
        <v>3329</v>
      </c>
      <c r="H23727" s="21">
        <v>669.17</v>
      </c>
    </row>
    <row r="23728" spans="1:8" customFormat="1" x14ac:dyDescent="0.25">
      <c r="A23728" t="str">
        <f>"676996"</f>
        <v>676996</v>
      </c>
      <c r="B23728" t="s">
        <v>17462</v>
      </c>
      <c r="C23728" t="s">
        <v>130</v>
      </c>
      <c r="D23728" s="21" t="s">
        <v>34</v>
      </c>
      <c r="E23728" s="21" t="s">
        <v>71</v>
      </c>
      <c r="F23728">
        <v>6670045</v>
      </c>
      <c r="G23728" t="s">
        <v>707</v>
      </c>
      <c r="H23728" s="21">
        <v>669.17</v>
      </c>
    </row>
    <row r="23729" spans="1:8" customFormat="1" x14ac:dyDescent="0.25">
      <c r="A23729" t="str">
        <f>"9123757"</f>
        <v>9123757</v>
      </c>
      <c r="B23729" t="s">
        <v>19136</v>
      </c>
      <c r="C23729" t="s">
        <v>2365</v>
      </c>
      <c r="D23729" s="21" t="s">
        <v>34</v>
      </c>
      <c r="E23729" s="21" t="s">
        <v>1089</v>
      </c>
      <c r="F23729">
        <v>8951411</v>
      </c>
      <c r="G23729" t="s">
        <v>416</v>
      </c>
      <c r="H23729" s="21">
        <v>669.17</v>
      </c>
    </row>
    <row r="23730" spans="1:8" customFormat="1" x14ac:dyDescent="0.25">
      <c r="A23730" t="str">
        <f>"8528140"</f>
        <v>8528140</v>
      </c>
      <c r="B23730" t="s">
        <v>20159</v>
      </c>
      <c r="C23730" t="s">
        <v>103</v>
      </c>
      <c r="D23730" s="21" t="s">
        <v>34</v>
      </c>
      <c r="E23730" s="21" t="s">
        <v>35</v>
      </c>
      <c r="F23730">
        <v>12851016</v>
      </c>
      <c r="G23730" t="s">
        <v>1862</v>
      </c>
      <c r="H23730" s="21">
        <v>669.17</v>
      </c>
    </row>
    <row r="23731" spans="1:8" customFormat="1" x14ac:dyDescent="0.25">
      <c r="A23731" t="str">
        <f>"4936919"</f>
        <v>4936919</v>
      </c>
      <c r="B23731" t="s">
        <v>18408</v>
      </c>
      <c r="C23731" t="s">
        <v>598</v>
      </c>
      <c r="D23731" s="21" t="s">
        <v>34</v>
      </c>
      <c r="E23731" s="21" t="s">
        <v>254</v>
      </c>
      <c r="F23731">
        <v>12490062</v>
      </c>
      <c r="G23731" t="s">
        <v>9920</v>
      </c>
      <c r="H23731" s="21">
        <v>669.17</v>
      </c>
    </row>
    <row r="23732" spans="1:8" customFormat="1" x14ac:dyDescent="0.25">
      <c r="A23732" t="str">
        <f>"0812559"</f>
        <v>0812559</v>
      </c>
      <c r="B23732" t="s">
        <v>27746</v>
      </c>
      <c r="C23732" t="s">
        <v>249</v>
      </c>
      <c r="D23732" s="21" t="s">
        <v>34</v>
      </c>
      <c r="E23732" s="21" t="s">
        <v>35</v>
      </c>
      <c r="F23732">
        <v>6080005</v>
      </c>
      <c r="G23732" t="s">
        <v>8965</v>
      </c>
      <c r="H23732" s="21">
        <v>669.17</v>
      </c>
    </row>
    <row r="23733" spans="1:8" customFormat="1" x14ac:dyDescent="0.25">
      <c r="A23733" t="str">
        <f>"4439288"</f>
        <v>4439288</v>
      </c>
      <c r="B23733" t="s">
        <v>3167</v>
      </c>
      <c r="C23733" t="s">
        <v>3309</v>
      </c>
      <c r="D23733" s="21" t="s">
        <v>34</v>
      </c>
      <c r="E23733" s="21" t="s">
        <v>35</v>
      </c>
      <c r="F23733">
        <v>12440258</v>
      </c>
      <c r="G23733" t="s">
        <v>17845</v>
      </c>
      <c r="H23733" s="21">
        <v>669.17</v>
      </c>
    </row>
    <row r="23734" spans="1:8" customFormat="1" x14ac:dyDescent="0.25">
      <c r="A23734" t="str">
        <f>"3514182"</f>
        <v>3514182</v>
      </c>
      <c r="B23734" t="s">
        <v>2973</v>
      </c>
      <c r="C23734" t="s">
        <v>462</v>
      </c>
      <c r="D23734" s="21" t="s">
        <v>34</v>
      </c>
      <c r="E23734" s="21" t="s">
        <v>71</v>
      </c>
      <c r="F23734">
        <v>3350203</v>
      </c>
      <c r="G23734" t="s">
        <v>11973</v>
      </c>
      <c r="H23734" s="21">
        <v>669.17</v>
      </c>
    </row>
    <row r="23735" spans="1:8" customFormat="1" x14ac:dyDescent="0.25">
      <c r="A23735" t="str">
        <f>"2516037"</f>
        <v>2516037</v>
      </c>
      <c r="B23735" t="s">
        <v>3930</v>
      </c>
      <c r="C23735" t="s">
        <v>1812</v>
      </c>
      <c r="D23735" s="21" t="s">
        <v>34</v>
      </c>
      <c r="E23735" s="21" t="s">
        <v>35</v>
      </c>
      <c r="F23735">
        <v>2250125</v>
      </c>
      <c r="G23735" t="s">
        <v>26911</v>
      </c>
      <c r="H23735" s="21">
        <v>669.17</v>
      </c>
    </row>
    <row r="23736" spans="1:8" customFormat="1" x14ac:dyDescent="0.25">
      <c r="A23736" t="str">
        <f>"7628254"</f>
        <v>7628254</v>
      </c>
      <c r="B23736" t="s">
        <v>20900</v>
      </c>
      <c r="C23736" t="s">
        <v>169</v>
      </c>
      <c r="D23736" s="21" t="s">
        <v>34</v>
      </c>
      <c r="E23736" s="21" t="s">
        <v>35</v>
      </c>
      <c r="F23736">
        <v>9760082</v>
      </c>
      <c r="G23736" t="s">
        <v>2387</v>
      </c>
      <c r="H23736" s="21">
        <v>669.17</v>
      </c>
    </row>
    <row r="23737" spans="1:8" customFormat="1" x14ac:dyDescent="0.25">
      <c r="A23737" t="str">
        <f>"3829040"</f>
        <v>3829040</v>
      </c>
      <c r="B23737" t="s">
        <v>17479</v>
      </c>
      <c r="C23737" t="s">
        <v>1146</v>
      </c>
      <c r="D23737" s="21" t="s">
        <v>34</v>
      </c>
      <c r="E23737" s="21" t="s">
        <v>35</v>
      </c>
      <c r="F23737">
        <v>1380164</v>
      </c>
      <c r="G23737" t="s">
        <v>2728</v>
      </c>
      <c r="H23737" s="21">
        <v>669.17</v>
      </c>
    </row>
    <row r="23738" spans="1:8" customFormat="1" x14ac:dyDescent="0.25">
      <c r="A23738" t="str">
        <f>"3530200"</f>
        <v>3530200</v>
      </c>
      <c r="B23738" t="s">
        <v>18718</v>
      </c>
      <c r="C23738" t="s">
        <v>55</v>
      </c>
      <c r="D23738" s="21" t="s">
        <v>34</v>
      </c>
      <c r="E23738" s="21" t="s">
        <v>71</v>
      </c>
      <c r="F23738">
        <v>3350027</v>
      </c>
      <c r="G23738" t="s">
        <v>2760</v>
      </c>
      <c r="H23738" s="21">
        <v>669.04</v>
      </c>
    </row>
    <row r="23739" spans="1:8" customFormat="1" x14ac:dyDescent="0.25">
      <c r="A23739" t="str">
        <f>"7719178"</f>
        <v>7719178</v>
      </c>
      <c r="B23739" t="s">
        <v>27747</v>
      </c>
      <c r="C23739" t="s">
        <v>812</v>
      </c>
      <c r="D23739" s="21" t="s">
        <v>34</v>
      </c>
      <c r="E23739" s="21" t="s">
        <v>35</v>
      </c>
      <c r="F23739">
        <v>8771154</v>
      </c>
      <c r="G23739" t="s">
        <v>3625</v>
      </c>
      <c r="H23739" s="21">
        <v>668.92</v>
      </c>
    </row>
    <row r="23740" spans="1:8" customFormat="1" x14ac:dyDescent="0.25">
      <c r="A23740" t="str">
        <f>"3421850"</f>
        <v>3421850</v>
      </c>
      <c r="B23740" t="s">
        <v>20502</v>
      </c>
      <c r="C23740" t="s">
        <v>20503</v>
      </c>
      <c r="D23740" s="21" t="s">
        <v>34</v>
      </c>
      <c r="E23740" s="21" t="s">
        <v>1089</v>
      </c>
      <c r="F23740">
        <v>11340040</v>
      </c>
      <c r="G23740" t="s">
        <v>5695</v>
      </c>
      <c r="H23740" s="21">
        <v>668.92</v>
      </c>
    </row>
    <row r="23741" spans="1:8" customFormat="1" x14ac:dyDescent="0.25">
      <c r="A23741" t="str">
        <f>"9517253"</f>
        <v>9517253</v>
      </c>
      <c r="B23741" t="s">
        <v>16707</v>
      </c>
      <c r="C23741" t="s">
        <v>1714</v>
      </c>
      <c r="D23741" s="21" t="s">
        <v>34</v>
      </c>
      <c r="E23741" s="21" t="s">
        <v>254</v>
      </c>
      <c r="F23741">
        <v>8950103</v>
      </c>
      <c r="G23741" t="s">
        <v>440</v>
      </c>
      <c r="H23741" s="21">
        <v>668.92</v>
      </c>
    </row>
    <row r="23742" spans="1:8" customFormat="1" x14ac:dyDescent="0.25">
      <c r="A23742" t="str">
        <f>"1715103"</f>
        <v>1715103</v>
      </c>
      <c r="B23742" t="s">
        <v>17181</v>
      </c>
      <c r="C23742" t="s">
        <v>246</v>
      </c>
      <c r="D23742" s="21" t="s">
        <v>34</v>
      </c>
      <c r="E23742" s="21" t="s">
        <v>71</v>
      </c>
      <c r="F23742">
        <v>10330018</v>
      </c>
      <c r="G23742" t="s">
        <v>15112</v>
      </c>
      <c r="H23742" s="21">
        <v>668.92</v>
      </c>
    </row>
    <row r="23743" spans="1:8" customFormat="1" x14ac:dyDescent="0.25">
      <c r="A23743" t="str">
        <f>"911387"</f>
        <v>911387</v>
      </c>
      <c r="B23743" t="s">
        <v>17018</v>
      </c>
      <c r="C23743" t="s">
        <v>3073</v>
      </c>
      <c r="D23743" s="21" t="s">
        <v>34</v>
      </c>
      <c r="E23743" s="21" t="s">
        <v>1089</v>
      </c>
      <c r="F23743">
        <v>8911456</v>
      </c>
      <c r="G23743" t="s">
        <v>6481</v>
      </c>
      <c r="H23743" s="21">
        <v>668.79</v>
      </c>
    </row>
    <row r="23744" spans="1:8" customFormat="1" x14ac:dyDescent="0.25">
      <c r="A23744" t="str">
        <f>"2719157"</f>
        <v>2719157</v>
      </c>
      <c r="B23744" t="s">
        <v>3653</v>
      </c>
      <c r="C23744" t="s">
        <v>60</v>
      </c>
      <c r="D23744" s="21" t="s">
        <v>34</v>
      </c>
      <c r="E23744" s="21" t="s">
        <v>35</v>
      </c>
      <c r="F23744">
        <v>9270152</v>
      </c>
      <c r="G23744" t="s">
        <v>1985</v>
      </c>
      <c r="H23744" s="21">
        <v>668.67</v>
      </c>
    </row>
    <row r="23745" spans="1:8" customFormat="1" x14ac:dyDescent="0.25">
      <c r="A23745" t="str">
        <f>"883168"</f>
        <v>883168</v>
      </c>
      <c r="B23745" t="s">
        <v>2629</v>
      </c>
      <c r="C23745" t="s">
        <v>598</v>
      </c>
      <c r="D23745" s="21" t="s">
        <v>34</v>
      </c>
      <c r="E23745" s="21" t="s">
        <v>1089</v>
      </c>
      <c r="F23745">
        <v>6880051</v>
      </c>
      <c r="G23745" t="s">
        <v>6116</v>
      </c>
      <c r="H23745" s="21">
        <v>668.67</v>
      </c>
    </row>
    <row r="23746" spans="1:8" customFormat="1" x14ac:dyDescent="0.25">
      <c r="A23746" t="str">
        <f>"1611381"</f>
        <v>1611381</v>
      </c>
      <c r="B23746" t="s">
        <v>21512</v>
      </c>
      <c r="C23746" t="s">
        <v>65</v>
      </c>
      <c r="D23746" s="21" t="s">
        <v>34</v>
      </c>
      <c r="E23746" s="21" t="s">
        <v>35</v>
      </c>
      <c r="F23746">
        <v>10160085</v>
      </c>
      <c r="G23746" t="s">
        <v>10818</v>
      </c>
      <c r="H23746" s="21">
        <v>668.67</v>
      </c>
    </row>
    <row r="23747" spans="1:8" customFormat="1" x14ac:dyDescent="0.25">
      <c r="A23747" t="str">
        <f>"5018222"</f>
        <v>5018222</v>
      </c>
      <c r="B23747" t="s">
        <v>3209</v>
      </c>
      <c r="C23747" t="s">
        <v>121</v>
      </c>
      <c r="D23747" s="21" t="s">
        <v>34</v>
      </c>
      <c r="E23747" s="21" t="s">
        <v>35</v>
      </c>
      <c r="F23747">
        <v>9500048</v>
      </c>
      <c r="G23747" t="s">
        <v>1804</v>
      </c>
      <c r="H23747" s="21">
        <v>668.67</v>
      </c>
    </row>
    <row r="23748" spans="1:8" customFormat="1" x14ac:dyDescent="0.25">
      <c r="A23748" t="str">
        <f>"3722764"</f>
        <v>3722764</v>
      </c>
      <c r="B23748" t="s">
        <v>16686</v>
      </c>
      <c r="C23748" t="s">
        <v>139</v>
      </c>
      <c r="D23748" s="21" t="s">
        <v>34</v>
      </c>
      <c r="E23748" s="21" t="s">
        <v>35</v>
      </c>
      <c r="F23748">
        <v>4370015</v>
      </c>
      <c r="G23748" t="s">
        <v>17941</v>
      </c>
      <c r="H23748" s="21">
        <v>668.67</v>
      </c>
    </row>
    <row r="23749" spans="1:8" customFormat="1" x14ac:dyDescent="0.25">
      <c r="A23749" t="str">
        <f>"4452039"</f>
        <v>4452039</v>
      </c>
      <c r="B23749" t="s">
        <v>18235</v>
      </c>
      <c r="C23749" t="s">
        <v>621</v>
      </c>
      <c r="D23749" s="21" t="s">
        <v>34</v>
      </c>
      <c r="E23749" s="21" t="s">
        <v>35</v>
      </c>
      <c r="F23749">
        <v>12440144</v>
      </c>
      <c r="G23749" t="s">
        <v>3702</v>
      </c>
      <c r="H23749" s="21">
        <v>668.67</v>
      </c>
    </row>
    <row r="23750" spans="1:8" customFormat="1" x14ac:dyDescent="0.25">
      <c r="A23750" t="str">
        <f>"8523517"</f>
        <v>8523517</v>
      </c>
      <c r="B23750" t="s">
        <v>27748</v>
      </c>
      <c r="C23750" t="s">
        <v>87</v>
      </c>
      <c r="D23750" s="21" t="s">
        <v>34</v>
      </c>
      <c r="E23750" s="21" t="s">
        <v>35</v>
      </c>
      <c r="F23750">
        <v>12850162</v>
      </c>
      <c r="G23750" t="s">
        <v>15095</v>
      </c>
      <c r="H23750" s="21">
        <v>668.67</v>
      </c>
    </row>
    <row r="23751" spans="1:8" customFormat="1" x14ac:dyDescent="0.25">
      <c r="A23751" t="str">
        <f>"255351"</f>
        <v>255351</v>
      </c>
      <c r="B23751" t="s">
        <v>2576</v>
      </c>
      <c r="C23751" t="s">
        <v>4842</v>
      </c>
      <c r="D23751" s="21" t="s">
        <v>34</v>
      </c>
      <c r="E23751" s="21" t="s">
        <v>71</v>
      </c>
      <c r="F23751">
        <v>2250186</v>
      </c>
      <c r="G23751" t="s">
        <v>7290</v>
      </c>
      <c r="H23751" s="21">
        <v>668.67</v>
      </c>
    </row>
    <row r="23752" spans="1:8" customFormat="1" x14ac:dyDescent="0.25">
      <c r="A23752" t="str">
        <f>"3419933"</f>
        <v>3419933</v>
      </c>
      <c r="B23752" t="s">
        <v>3942</v>
      </c>
      <c r="C23752" t="s">
        <v>750</v>
      </c>
      <c r="D23752" s="21" t="s">
        <v>34</v>
      </c>
      <c r="E23752" s="21" t="s">
        <v>35</v>
      </c>
      <c r="F23752">
        <v>11340017</v>
      </c>
      <c r="G23752" t="s">
        <v>10668</v>
      </c>
      <c r="H23752" s="21">
        <v>668.67</v>
      </c>
    </row>
    <row r="23753" spans="1:8" customFormat="1" x14ac:dyDescent="0.25">
      <c r="A23753" t="str">
        <f>"4423259"</f>
        <v>4423259</v>
      </c>
      <c r="B23753" t="s">
        <v>16398</v>
      </c>
      <c r="C23753" t="s">
        <v>169</v>
      </c>
      <c r="D23753" s="21" t="s">
        <v>34</v>
      </c>
      <c r="E23753" s="21" t="s">
        <v>254</v>
      </c>
      <c r="F23753">
        <v>12440105</v>
      </c>
      <c r="G23753" t="s">
        <v>594</v>
      </c>
      <c r="H23753" s="21">
        <v>668.67</v>
      </c>
    </row>
    <row r="23754" spans="1:8" customFormat="1" x14ac:dyDescent="0.25">
      <c r="A23754" t="str">
        <f>"618913"</f>
        <v>618913</v>
      </c>
      <c r="B23754" t="s">
        <v>67</v>
      </c>
      <c r="C23754" t="s">
        <v>1819</v>
      </c>
      <c r="D23754" s="21" t="s">
        <v>34</v>
      </c>
      <c r="E23754" s="21" t="s">
        <v>35</v>
      </c>
      <c r="F23754">
        <v>9610127</v>
      </c>
      <c r="G23754" t="s">
        <v>6830</v>
      </c>
      <c r="H23754" s="21">
        <v>668.67</v>
      </c>
    </row>
    <row r="23755" spans="1:8" customFormat="1" x14ac:dyDescent="0.25">
      <c r="A23755" t="str">
        <f>"8517530"</f>
        <v>8517530</v>
      </c>
      <c r="B23755" t="s">
        <v>17028</v>
      </c>
      <c r="C23755" t="s">
        <v>1100</v>
      </c>
      <c r="D23755" s="21" t="s">
        <v>34</v>
      </c>
      <c r="E23755" s="21" t="s">
        <v>35</v>
      </c>
      <c r="F23755">
        <v>12850171</v>
      </c>
      <c r="G23755" t="s">
        <v>2687</v>
      </c>
      <c r="H23755" s="21">
        <v>668.67</v>
      </c>
    </row>
    <row r="23756" spans="1:8" customFormat="1" x14ac:dyDescent="0.25">
      <c r="A23756" t="str">
        <f>"5714819"</f>
        <v>5714819</v>
      </c>
      <c r="B23756" t="s">
        <v>16154</v>
      </c>
      <c r="C23756" t="s">
        <v>598</v>
      </c>
      <c r="D23756" s="21" t="s">
        <v>34</v>
      </c>
      <c r="E23756" s="21" t="s">
        <v>1089</v>
      </c>
      <c r="F23756">
        <v>10470016</v>
      </c>
      <c r="G23756" t="s">
        <v>14406</v>
      </c>
      <c r="H23756" s="21">
        <v>668.67</v>
      </c>
    </row>
    <row r="23757" spans="1:8" customFormat="1" x14ac:dyDescent="0.25">
      <c r="A23757" t="str">
        <f>"562992"</f>
        <v>562992</v>
      </c>
      <c r="B23757" t="s">
        <v>3952</v>
      </c>
      <c r="C23757" t="s">
        <v>320</v>
      </c>
      <c r="D23757" s="21" t="s">
        <v>34</v>
      </c>
      <c r="E23757" s="21" t="s">
        <v>71</v>
      </c>
      <c r="F23757">
        <v>3560072</v>
      </c>
      <c r="G23757" t="s">
        <v>12285</v>
      </c>
      <c r="H23757" s="21">
        <v>668.67</v>
      </c>
    </row>
    <row r="23758" spans="1:8" customFormat="1" x14ac:dyDescent="0.25">
      <c r="A23758" t="str">
        <f>"7210816"</f>
        <v>7210816</v>
      </c>
      <c r="B23758" t="s">
        <v>27749</v>
      </c>
      <c r="C23758" t="s">
        <v>169</v>
      </c>
      <c r="D23758" s="21" t="s">
        <v>34</v>
      </c>
      <c r="E23758" s="21" t="s">
        <v>35</v>
      </c>
      <c r="F23758">
        <v>12720049</v>
      </c>
      <c r="G23758" t="s">
        <v>1627</v>
      </c>
      <c r="H23758" s="21">
        <v>668.67</v>
      </c>
    </row>
    <row r="23759" spans="1:8" customFormat="1" x14ac:dyDescent="0.25">
      <c r="A23759" t="str">
        <f>"7514943"</f>
        <v>7514943</v>
      </c>
      <c r="B23759" t="s">
        <v>12353</v>
      </c>
      <c r="C23759" t="s">
        <v>209</v>
      </c>
      <c r="D23759" s="21" t="s">
        <v>34</v>
      </c>
      <c r="E23759" s="21" t="s">
        <v>254</v>
      </c>
      <c r="F23759">
        <v>8750007</v>
      </c>
      <c r="G23759" t="s">
        <v>775</v>
      </c>
      <c r="H23759" s="21">
        <v>668.67</v>
      </c>
    </row>
    <row r="23760" spans="1:8" customFormat="1" x14ac:dyDescent="0.25">
      <c r="A23760" t="str">
        <f>"3535122"</f>
        <v>3535122</v>
      </c>
      <c r="B23760" t="s">
        <v>9964</v>
      </c>
      <c r="C23760" t="s">
        <v>428</v>
      </c>
      <c r="D23760" s="21" t="s">
        <v>34</v>
      </c>
      <c r="E23760" s="21" t="s">
        <v>254</v>
      </c>
      <c r="F23760">
        <v>3350055</v>
      </c>
      <c r="G23760" t="s">
        <v>6720</v>
      </c>
      <c r="H23760" s="21">
        <v>668.67</v>
      </c>
    </row>
    <row r="23761" spans="1:8" customFormat="1" x14ac:dyDescent="0.25">
      <c r="A23761" t="str">
        <f>"7638546"</f>
        <v>7638546</v>
      </c>
      <c r="B23761" t="s">
        <v>5970</v>
      </c>
      <c r="C23761" t="s">
        <v>323</v>
      </c>
      <c r="D23761" s="21" t="s">
        <v>34</v>
      </c>
      <c r="E23761" s="21" t="s">
        <v>71</v>
      </c>
      <c r="F23761">
        <v>9760374</v>
      </c>
      <c r="G23761" t="s">
        <v>6867</v>
      </c>
      <c r="H23761" s="21">
        <v>668.67</v>
      </c>
    </row>
    <row r="23762" spans="1:8" customFormat="1" x14ac:dyDescent="0.25">
      <c r="A23762" t="str">
        <f>"2936283"</f>
        <v>2936283</v>
      </c>
      <c r="B23762" t="s">
        <v>5638</v>
      </c>
      <c r="C23762" t="s">
        <v>139</v>
      </c>
      <c r="D23762" s="21" t="s">
        <v>34</v>
      </c>
      <c r="E23762" s="21" t="s">
        <v>35</v>
      </c>
      <c r="F23762">
        <v>3290235</v>
      </c>
      <c r="G23762" t="s">
        <v>12128</v>
      </c>
      <c r="H23762" s="21">
        <v>668.67</v>
      </c>
    </row>
    <row r="23763" spans="1:8" customFormat="1" x14ac:dyDescent="0.25">
      <c r="A23763" t="str">
        <f>"904478"</f>
        <v>904478</v>
      </c>
      <c r="B23763" t="s">
        <v>1533</v>
      </c>
      <c r="C23763" t="s">
        <v>253</v>
      </c>
      <c r="D23763" s="21" t="s">
        <v>34</v>
      </c>
      <c r="E23763" s="21" t="s">
        <v>71</v>
      </c>
      <c r="F23763">
        <v>2900042</v>
      </c>
      <c r="G23763" t="s">
        <v>7866</v>
      </c>
      <c r="H23763" s="21">
        <v>668.67</v>
      </c>
    </row>
    <row r="23764" spans="1:8" customFormat="1" x14ac:dyDescent="0.25">
      <c r="A23764" t="str">
        <f>"169404"</f>
        <v>169404</v>
      </c>
      <c r="B23764" t="s">
        <v>21086</v>
      </c>
      <c r="C23764" t="s">
        <v>171</v>
      </c>
      <c r="D23764" s="21" t="s">
        <v>34</v>
      </c>
      <c r="E23764" s="21" t="s">
        <v>71</v>
      </c>
      <c r="F23764">
        <v>10160185</v>
      </c>
      <c r="G23764" t="s">
        <v>2035</v>
      </c>
      <c r="H23764" s="21">
        <v>668.67</v>
      </c>
    </row>
    <row r="23765" spans="1:8" customFormat="1" x14ac:dyDescent="0.25">
      <c r="A23765" t="str">
        <f>"4112128"</f>
        <v>4112128</v>
      </c>
      <c r="B23765" t="s">
        <v>18738</v>
      </c>
      <c r="C23765" t="s">
        <v>608</v>
      </c>
      <c r="D23765" s="21" t="s">
        <v>34</v>
      </c>
      <c r="E23765" s="21" t="s">
        <v>254</v>
      </c>
      <c r="F23765">
        <v>4410636</v>
      </c>
      <c r="G23765" t="s">
        <v>8111</v>
      </c>
      <c r="H23765" s="21">
        <v>668.67</v>
      </c>
    </row>
    <row r="23766" spans="1:8" customFormat="1" x14ac:dyDescent="0.25">
      <c r="A23766" t="str">
        <f>"725508"</f>
        <v>725508</v>
      </c>
      <c r="B23766" t="s">
        <v>4353</v>
      </c>
      <c r="C23766" t="s">
        <v>82</v>
      </c>
      <c r="D23766" s="21" t="s">
        <v>34</v>
      </c>
      <c r="E23766" s="21" t="s">
        <v>35</v>
      </c>
      <c r="F23766">
        <v>12720120</v>
      </c>
      <c r="G23766" t="s">
        <v>2509</v>
      </c>
      <c r="H23766" s="21">
        <v>668.67</v>
      </c>
    </row>
    <row r="23767" spans="1:8" customFormat="1" x14ac:dyDescent="0.25">
      <c r="A23767" t="str">
        <f>"6012473"</f>
        <v>6012473</v>
      </c>
      <c r="B23767" t="s">
        <v>19054</v>
      </c>
      <c r="C23767" t="s">
        <v>428</v>
      </c>
      <c r="D23767" s="21" t="s">
        <v>34</v>
      </c>
      <c r="E23767" s="21" t="s">
        <v>254</v>
      </c>
      <c r="F23767">
        <v>7600040</v>
      </c>
      <c r="G23767" t="s">
        <v>6757</v>
      </c>
      <c r="H23767" s="21">
        <v>668.67</v>
      </c>
    </row>
    <row r="23768" spans="1:8" customFormat="1" x14ac:dyDescent="0.25">
      <c r="A23768" t="str">
        <f>"3421668"</f>
        <v>3421668</v>
      </c>
      <c r="B23768" t="s">
        <v>27750</v>
      </c>
      <c r="C23768" t="s">
        <v>109</v>
      </c>
      <c r="D23768" s="21" t="s">
        <v>34</v>
      </c>
      <c r="E23768" s="21" t="s">
        <v>35</v>
      </c>
      <c r="F23768">
        <v>11340018</v>
      </c>
      <c r="G23768" t="s">
        <v>2421</v>
      </c>
      <c r="H23768" s="21">
        <v>668.5</v>
      </c>
    </row>
    <row r="23769" spans="1:8" customFormat="1" x14ac:dyDescent="0.25">
      <c r="A23769" t="str">
        <f>"4515303"</f>
        <v>4515303</v>
      </c>
      <c r="B23769" t="s">
        <v>18772</v>
      </c>
      <c r="C23769" t="s">
        <v>320</v>
      </c>
      <c r="D23769" s="21" t="s">
        <v>34</v>
      </c>
      <c r="E23769" s="21" t="s">
        <v>35</v>
      </c>
      <c r="F23769">
        <v>4450429</v>
      </c>
      <c r="G23769" t="s">
        <v>15149</v>
      </c>
      <c r="H23769" s="21">
        <v>668.42</v>
      </c>
    </row>
    <row r="23770" spans="1:8" customFormat="1" x14ac:dyDescent="0.25">
      <c r="A23770" t="str">
        <f>"3341017"</f>
        <v>3341017</v>
      </c>
      <c r="B23770" t="s">
        <v>8826</v>
      </c>
      <c r="C23770" t="s">
        <v>1559</v>
      </c>
      <c r="D23770" s="21" t="s">
        <v>34</v>
      </c>
      <c r="E23770" s="21" t="s">
        <v>71</v>
      </c>
      <c r="F23770">
        <v>10330130</v>
      </c>
      <c r="G23770" t="s">
        <v>13867</v>
      </c>
      <c r="H23770" s="21">
        <v>668.17</v>
      </c>
    </row>
    <row r="23771" spans="1:8" customFormat="1" x14ac:dyDescent="0.25">
      <c r="A23771" t="str">
        <f>"303098"</f>
        <v>303098</v>
      </c>
      <c r="B23771" t="s">
        <v>17421</v>
      </c>
      <c r="C23771" t="s">
        <v>3456</v>
      </c>
      <c r="D23771" s="21" t="s">
        <v>34</v>
      </c>
      <c r="E23771" s="21" t="s">
        <v>35</v>
      </c>
      <c r="F23771">
        <v>11300014</v>
      </c>
      <c r="G23771" t="s">
        <v>2345</v>
      </c>
      <c r="H23771" s="21">
        <v>668.17</v>
      </c>
    </row>
    <row r="23772" spans="1:8" customFormat="1" x14ac:dyDescent="0.25">
      <c r="A23772" t="str">
        <f>"745257"</f>
        <v>745257</v>
      </c>
      <c r="B23772" t="s">
        <v>435</v>
      </c>
      <c r="C23772" t="s">
        <v>249</v>
      </c>
      <c r="D23772" s="21" t="s">
        <v>34</v>
      </c>
      <c r="E23772" s="21" t="s">
        <v>71</v>
      </c>
      <c r="F23772">
        <v>2710048</v>
      </c>
      <c r="G23772" t="s">
        <v>2225</v>
      </c>
      <c r="H23772" s="21">
        <v>668.17</v>
      </c>
    </row>
    <row r="23773" spans="1:8" customFormat="1" x14ac:dyDescent="0.25">
      <c r="A23773" t="str">
        <f>"6921756"</f>
        <v>6921756</v>
      </c>
      <c r="B23773" t="s">
        <v>2816</v>
      </c>
      <c r="C23773" t="s">
        <v>926</v>
      </c>
      <c r="D23773" s="21" t="s">
        <v>34</v>
      </c>
      <c r="E23773" s="21" t="s">
        <v>35</v>
      </c>
      <c r="F23773">
        <v>1690104</v>
      </c>
      <c r="G23773" t="s">
        <v>3501</v>
      </c>
      <c r="H23773" s="21">
        <v>668.17</v>
      </c>
    </row>
    <row r="23774" spans="1:8" customFormat="1" x14ac:dyDescent="0.25">
      <c r="A23774" t="str">
        <f>"5731303"</f>
        <v>5731303</v>
      </c>
      <c r="B23774" t="s">
        <v>14204</v>
      </c>
      <c r="C23774" t="s">
        <v>60</v>
      </c>
      <c r="D23774" s="21" t="s">
        <v>34</v>
      </c>
      <c r="E23774" s="21" t="s">
        <v>71</v>
      </c>
      <c r="F23774">
        <v>6570137</v>
      </c>
      <c r="G23774" t="s">
        <v>13134</v>
      </c>
      <c r="H23774" s="21">
        <v>668.17</v>
      </c>
    </row>
    <row r="23775" spans="1:8" customFormat="1" x14ac:dyDescent="0.25">
      <c r="A23775" t="str">
        <f>"7615146"</f>
        <v>7615146</v>
      </c>
      <c r="B23775" t="s">
        <v>9541</v>
      </c>
      <c r="C23775" t="s">
        <v>2384</v>
      </c>
      <c r="D23775" s="21" t="s">
        <v>34</v>
      </c>
      <c r="E23775" s="21" t="s">
        <v>254</v>
      </c>
      <c r="F23775">
        <v>9760034</v>
      </c>
      <c r="G23775" t="s">
        <v>1242</v>
      </c>
      <c r="H23775" s="21">
        <v>668.17</v>
      </c>
    </row>
    <row r="23776" spans="1:8" customFormat="1" x14ac:dyDescent="0.25">
      <c r="A23776" t="str">
        <f>"7859288"</f>
        <v>7859288</v>
      </c>
      <c r="B23776" t="s">
        <v>4902</v>
      </c>
      <c r="C23776" t="s">
        <v>87</v>
      </c>
      <c r="D23776" s="21" t="s">
        <v>34</v>
      </c>
      <c r="E23776" s="21" t="s">
        <v>35</v>
      </c>
      <c r="F23776">
        <v>8780338</v>
      </c>
      <c r="G23776" t="s">
        <v>4145</v>
      </c>
      <c r="H23776" s="21">
        <v>668.17</v>
      </c>
    </row>
    <row r="23777" spans="1:8" customFormat="1" x14ac:dyDescent="0.25">
      <c r="A23777" t="str">
        <f>"879260"</f>
        <v>879260</v>
      </c>
      <c r="B23777" t="s">
        <v>27751</v>
      </c>
      <c r="C23777" t="s">
        <v>275</v>
      </c>
      <c r="D23777" s="21" t="s">
        <v>34</v>
      </c>
      <c r="E23777" s="21" t="s">
        <v>35</v>
      </c>
      <c r="F23777">
        <v>10870003</v>
      </c>
      <c r="G23777" t="s">
        <v>1187</v>
      </c>
      <c r="H23777" s="21">
        <v>668.17</v>
      </c>
    </row>
    <row r="23778" spans="1:8" customFormat="1" x14ac:dyDescent="0.25">
      <c r="A23778" t="str">
        <f>"6927310"</f>
        <v>6927310</v>
      </c>
      <c r="B23778" t="s">
        <v>17616</v>
      </c>
      <c r="C23778" t="s">
        <v>171</v>
      </c>
      <c r="D23778" s="21" t="s">
        <v>34</v>
      </c>
      <c r="E23778" s="21" t="s">
        <v>71</v>
      </c>
      <c r="F23778">
        <v>1690175</v>
      </c>
      <c r="G23778" t="s">
        <v>410</v>
      </c>
      <c r="H23778" s="21">
        <v>668.17</v>
      </c>
    </row>
    <row r="23779" spans="1:8" customFormat="1" x14ac:dyDescent="0.25">
      <c r="A23779" t="str">
        <f>"112690"</f>
        <v>112690</v>
      </c>
      <c r="B23779" t="s">
        <v>11156</v>
      </c>
      <c r="C23779" t="s">
        <v>712</v>
      </c>
      <c r="D23779" s="21" t="s">
        <v>34</v>
      </c>
      <c r="E23779" s="21" t="s">
        <v>35</v>
      </c>
      <c r="F23779">
        <v>11110009</v>
      </c>
      <c r="G23779" t="s">
        <v>6231</v>
      </c>
      <c r="H23779" s="21">
        <v>668.17</v>
      </c>
    </row>
    <row r="23780" spans="1:8" customFormat="1" x14ac:dyDescent="0.25">
      <c r="A23780" t="str">
        <f>"5726514"</f>
        <v>5726514</v>
      </c>
      <c r="B23780" t="s">
        <v>18806</v>
      </c>
      <c r="C23780" t="s">
        <v>2907</v>
      </c>
      <c r="D23780" s="21" t="s">
        <v>34</v>
      </c>
      <c r="E23780" s="21" t="s">
        <v>71</v>
      </c>
      <c r="F23780">
        <v>6570107</v>
      </c>
      <c r="G23780" t="s">
        <v>5598</v>
      </c>
      <c r="H23780" s="21">
        <v>668.17</v>
      </c>
    </row>
    <row r="23781" spans="1:8" customFormat="1" x14ac:dyDescent="0.25">
      <c r="A23781" t="str">
        <f>"6725671"</f>
        <v>6725671</v>
      </c>
      <c r="B23781" t="s">
        <v>8140</v>
      </c>
      <c r="C23781" t="s">
        <v>608</v>
      </c>
      <c r="D23781" s="21" t="s">
        <v>34</v>
      </c>
      <c r="E23781" s="21" t="s">
        <v>71</v>
      </c>
      <c r="F23781">
        <v>6670043</v>
      </c>
      <c r="G23781" t="s">
        <v>5658</v>
      </c>
      <c r="H23781" s="21">
        <v>668.17</v>
      </c>
    </row>
    <row r="23782" spans="1:8" customFormat="1" x14ac:dyDescent="0.25">
      <c r="A23782" t="str">
        <f>"37645"</f>
        <v>37645</v>
      </c>
      <c r="B23782" t="s">
        <v>18645</v>
      </c>
      <c r="C23782" t="s">
        <v>2135</v>
      </c>
      <c r="D23782" s="21" t="s">
        <v>34</v>
      </c>
      <c r="E23782" s="21" t="s">
        <v>1089</v>
      </c>
      <c r="F23782">
        <v>4370102</v>
      </c>
      <c r="G23782" t="s">
        <v>10707</v>
      </c>
      <c r="H23782" s="21">
        <v>668.17</v>
      </c>
    </row>
    <row r="23783" spans="1:8" customFormat="1" x14ac:dyDescent="0.25">
      <c r="A23783" t="str">
        <f>"5416340"</f>
        <v>5416340</v>
      </c>
      <c r="B23783" t="s">
        <v>18431</v>
      </c>
      <c r="C23783" t="s">
        <v>4267</v>
      </c>
      <c r="D23783" s="21" t="s">
        <v>34</v>
      </c>
      <c r="E23783" s="21" t="s">
        <v>254</v>
      </c>
      <c r="F23783">
        <v>6540135</v>
      </c>
      <c r="G23783" t="s">
        <v>11525</v>
      </c>
      <c r="H23783" s="21">
        <v>668.17</v>
      </c>
    </row>
    <row r="23784" spans="1:8" customFormat="1" x14ac:dyDescent="0.25">
      <c r="A23784" t="str">
        <f>"1425543"</f>
        <v>1425543</v>
      </c>
      <c r="B23784" t="s">
        <v>20038</v>
      </c>
      <c r="C23784" t="s">
        <v>60</v>
      </c>
      <c r="D23784" s="21" t="s">
        <v>34</v>
      </c>
      <c r="E23784" s="21" t="s">
        <v>35</v>
      </c>
      <c r="F23784">
        <v>9140055</v>
      </c>
      <c r="G23784" t="s">
        <v>344</v>
      </c>
      <c r="H23784" s="21">
        <v>668.17</v>
      </c>
    </row>
    <row r="23785" spans="1:8" customFormat="1" x14ac:dyDescent="0.25">
      <c r="A23785" t="str">
        <f>"4931752"</f>
        <v>4931752</v>
      </c>
      <c r="B23785" t="s">
        <v>6665</v>
      </c>
      <c r="C23785" t="s">
        <v>40</v>
      </c>
      <c r="D23785" s="21" t="s">
        <v>34</v>
      </c>
      <c r="E23785" s="21" t="s">
        <v>254</v>
      </c>
      <c r="F23785">
        <v>12490008</v>
      </c>
      <c r="G23785" t="s">
        <v>15452</v>
      </c>
      <c r="H23785" s="21">
        <v>668.17</v>
      </c>
    </row>
    <row r="23786" spans="1:8" customFormat="1" x14ac:dyDescent="0.25">
      <c r="A23786" t="str">
        <f>"5015403"</f>
        <v>5015403</v>
      </c>
      <c r="B23786" t="s">
        <v>1321</v>
      </c>
      <c r="C23786" t="s">
        <v>40</v>
      </c>
      <c r="D23786" s="21" t="s">
        <v>34</v>
      </c>
      <c r="E23786" s="21" t="s">
        <v>71</v>
      </c>
      <c r="F23786">
        <v>1380293</v>
      </c>
      <c r="G23786" t="s">
        <v>2103</v>
      </c>
      <c r="H23786" s="21">
        <v>668.17</v>
      </c>
    </row>
    <row r="23787" spans="1:8" customFormat="1" x14ac:dyDescent="0.25">
      <c r="A23787" t="str">
        <f>"8527485"</f>
        <v>8527485</v>
      </c>
      <c r="B23787" t="s">
        <v>19976</v>
      </c>
      <c r="C23787" t="s">
        <v>3522</v>
      </c>
      <c r="D23787" s="21" t="s">
        <v>34</v>
      </c>
      <c r="E23787" s="21" t="s">
        <v>35</v>
      </c>
      <c r="F23787">
        <v>12851012</v>
      </c>
      <c r="G23787" t="s">
        <v>1963</v>
      </c>
      <c r="H23787" s="21">
        <v>668.17</v>
      </c>
    </row>
    <row r="23788" spans="1:8" customFormat="1" x14ac:dyDescent="0.25">
      <c r="A23788" t="str">
        <f>"6925023"</f>
        <v>6925023</v>
      </c>
      <c r="B23788" t="s">
        <v>509</v>
      </c>
      <c r="C23788" t="s">
        <v>269</v>
      </c>
      <c r="D23788" s="21" t="s">
        <v>34</v>
      </c>
      <c r="E23788" s="21" t="s">
        <v>254</v>
      </c>
      <c r="F23788">
        <v>1380298</v>
      </c>
      <c r="G23788" t="s">
        <v>5868</v>
      </c>
      <c r="H23788" s="21">
        <v>668.17</v>
      </c>
    </row>
    <row r="23789" spans="1:8" customFormat="1" x14ac:dyDescent="0.25">
      <c r="A23789" t="str">
        <f>"5323011"</f>
        <v>5323011</v>
      </c>
      <c r="B23789" t="s">
        <v>20267</v>
      </c>
      <c r="C23789" t="s">
        <v>14559</v>
      </c>
      <c r="D23789" s="21" t="s">
        <v>34</v>
      </c>
      <c r="E23789" s="21" t="s">
        <v>254</v>
      </c>
      <c r="F23789">
        <v>12530018</v>
      </c>
      <c r="G23789" t="s">
        <v>8768</v>
      </c>
      <c r="H23789" s="21">
        <v>668.17</v>
      </c>
    </row>
    <row r="23790" spans="1:8" customFormat="1" x14ac:dyDescent="0.25">
      <c r="A23790" t="str">
        <f>"7726419"</f>
        <v>7726419</v>
      </c>
      <c r="B23790" t="s">
        <v>18495</v>
      </c>
      <c r="C23790" t="s">
        <v>109</v>
      </c>
      <c r="D23790" s="21" t="s">
        <v>34</v>
      </c>
      <c r="E23790" s="21" t="s">
        <v>71</v>
      </c>
      <c r="F23790">
        <v>8771516</v>
      </c>
      <c r="G23790" t="s">
        <v>7155</v>
      </c>
      <c r="H23790" s="21">
        <v>668.17</v>
      </c>
    </row>
    <row r="23791" spans="1:8" customFormat="1" x14ac:dyDescent="0.25">
      <c r="A23791" t="str">
        <f>"4436060"</f>
        <v>4436060</v>
      </c>
      <c r="B23791" t="s">
        <v>2398</v>
      </c>
      <c r="C23791" t="s">
        <v>1665</v>
      </c>
      <c r="D23791" s="21" t="s">
        <v>34</v>
      </c>
      <c r="E23791" s="21" t="s">
        <v>71</v>
      </c>
      <c r="F23791">
        <v>12440074</v>
      </c>
      <c r="G23791" t="s">
        <v>2436</v>
      </c>
      <c r="H23791" s="21">
        <v>668.17</v>
      </c>
    </row>
    <row r="23792" spans="1:8" customFormat="1" x14ac:dyDescent="0.25">
      <c r="A23792" t="str">
        <f>"7524107"</f>
        <v>7524107</v>
      </c>
      <c r="B23792" t="s">
        <v>17111</v>
      </c>
      <c r="C23792" t="s">
        <v>24745</v>
      </c>
      <c r="D23792" s="21" t="s">
        <v>34</v>
      </c>
      <c r="E23792" s="21" t="s">
        <v>35</v>
      </c>
      <c r="F23792">
        <v>8751061</v>
      </c>
      <c r="G23792" t="s">
        <v>26628</v>
      </c>
      <c r="H23792" s="21">
        <v>668.04</v>
      </c>
    </row>
    <row r="23793" spans="1:8" customFormat="1" x14ac:dyDescent="0.25">
      <c r="A23793" t="str">
        <f>"773791"</f>
        <v>773791</v>
      </c>
      <c r="B23793" t="s">
        <v>13714</v>
      </c>
      <c r="C23793" t="s">
        <v>239</v>
      </c>
      <c r="D23793" s="21" t="s">
        <v>34</v>
      </c>
      <c r="E23793" s="21" t="s">
        <v>254</v>
      </c>
      <c r="F23793">
        <v>12490021</v>
      </c>
      <c r="G23793" t="s">
        <v>4592</v>
      </c>
      <c r="H23793" s="21">
        <v>667.92</v>
      </c>
    </row>
    <row r="23794" spans="1:8" customFormat="1" x14ac:dyDescent="0.25">
      <c r="A23794" t="str">
        <f>"443182"</f>
        <v>443182</v>
      </c>
      <c r="B23794" t="s">
        <v>13207</v>
      </c>
      <c r="C23794" t="s">
        <v>1665</v>
      </c>
      <c r="D23794" s="21" t="s">
        <v>34</v>
      </c>
      <c r="E23794" s="21" t="s">
        <v>254</v>
      </c>
      <c r="F23794">
        <v>12440012</v>
      </c>
      <c r="G23794" t="s">
        <v>807</v>
      </c>
      <c r="H23794" s="21">
        <v>667.92</v>
      </c>
    </row>
    <row r="23795" spans="1:8" customFormat="1" x14ac:dyDescent="0.25">
      <c r="A23795" t="str">
        <f>"7729542"</f>
        <v>7729542</v>
      </c>
      <c r="B23795" t="s">
        <v>19474</v>
      </c>
      <c r="C23795" t="s">
        <v>55</v>
      </c>
      <c r="D23795" s="21" t="s">
        <v>34</v>
      </c>
      <c r="E23795" s="21" t="s">
        <v>71</v>
      </c>
      <c r="F23795">
        <v>8940976</v>
      </c>
      <c r="G23795" t="s">
        <v>615</v>
      </c>
      <c r="H23795" s="21">
        <v>667.92</v>
      </c>
    </row>
    <row r="23796" spans="1:8" customFormat="1" x14ac:dyDescent="0.25">
      <c r="A23796" t="str">
        <f>"9141520"</f>
        <v>9141520</v>
      </c>
      <c r="B23796" t="s">
        <v>3972</v>
      </c>
      <c r="C23796" t="s">
        <v>285</v>
      </c>
      <c r="D23796" s="21" t="s">
        <v>34</v>
      </c>
      <c r="E23796" s="21" t="s">
        <v>35</v>
      </c>
      <c r="F23796">
        <v>8911083</v>
      </c>
      <c r="G23796" t="s">
        <v>7357</v>
      </c>
      <c r="H23796" s="21">
        <v>667.92</v>
      </c>
    </row>
    <row r="23797" spans="1:8" customFormat="1" x14ac:dyDescent="0.25">
      <c r="A23797" t="str">
        <f>"227759"</f>
        <v>227759</v>
      </c>
      <c r="B23797" t="s">
        <v>2613</v>
      </c>
      <c r="C23797" t="s">
        <v>462</v>
      </c>
      <c r="D23797" s="21" t="s">
        <v>34</v>
      </c>
      <c r="E23797" s="21" t="s">
        <v>71</v>
      </c>
      <c r="F23797">
        <v>3220037</v>
      </c>
      <c r="G23797" t="s">
        <v>13306</v>
      </c>
      <c r="H23797" s="21">
        <v>667.92</v>
      </c>
    </row>
    <row r="23798" spans="1:8" customFormat="1" x14ac:dyDescent="0.25">
      <c r="A23798" t="str">
        <f>"41424"</f>
        <v>41424</v>
      </c>
      <c r="B23798" t="s">
        <v>17644</v>
      </c>
      <c r="C23798" t="s">
        <v>2305</v>
      </c>
      <c r="D23798" s="21" t="s">
        <v>34</v>
      </c>
      <c r="E23798" s="21" t="s">
        <v>254</v>
      </c>
      <c r="F23798">
        <v>4410083</v>
      </c>
      <c r="G23798" t="s">
        <v>2333</v>
      </c>
      <c r="H23798" s="21">
        <v>667.92</v>
      </c>
    </row>
    <row r="23799" spans="1:8" customFormat="1" x14ac:dyDescent="0.25">
      <c r="A23799" t="str">
        <f>"3829192"</f>
        <v>3829192</v>
      </c>
      <c r="B23799" t="s">
        <v>18703</v>
      </c>
      <c r="C23799" t="s">
        <v>249</v>
      </c>
      <c r="D23799" s="21" t="s">
        <v>34</v>
      </c>
      <c r="E23799" s="21" t="s">
        <v>35</v>
      </c>
      <c r="F23799">
        <v>1380136</v>
      </c>
      <c r="G23799" t="s">
        <v>1047</v>
      </c>
      <c r="H23799" s="21">
        <v>667.79</v>
      </c>
    </row>
    <row r="23800" spans="1:8" customFormat="1" x14ac:dyDescent="0.25">
      <c r="A23800" t="str">
        <f>"6936737"</f>
        <v>6936737</v>
      </c>
      <c r="B23800" t="s">
        <v>17873</v>
      </c>
      <c r="C23800" t="s">
        <v>55</v>
      </c>
      <c r="D23800" s="21" t="s">
        <v>34</v>
      </c>
      <c r="E23800" s="21" t="s">
        <v>71</v>
      </c>
      <c r="F23800">
        <v>1690058</v>
      </c>
      <c r="G23800" t="s">
        <v>1644</v>
      </c>
      <c r="H23800" s="21">
        <v>667.79</v>
      </c>
    </row>
    <row r="23801" spans="1:8" customFormat="1" x14ac:dyDescent="0.25">
      <c r="A23801" t="str">
        <f>"7413712"</f>
        <v>7413712</v>
      </c>
      <c r="B23801" t="s">
        <v>11156</v>
      </c>
      <c r="C23801" t="s">
        <v>2208</v>
      </c>
      <c r="D23801" s="21" t="s">
        <v>34</v>
      </c>
      <c r="E23801" s="21" t="s">
        <v>35</v>
      </c>
      <c r="F23801">
        <v>1740069</v>
      </c>
      <c r="G23801" t="s">
        <v>8151</v>
      </c>
      <c r="H23801" s="21">
        <v>667.67</v>
      </c>
    </row>
    <row r="23802" spans="1:8" customFormat="1" x14ac:dyDescent="0.25">
      <c r="A23802" t="str">
        <f>"7731580"</f>
        <v>7731580</v>
      </c>
      <c r="B23802" t="s">
        <v>739</v>
      </c>
      <c r="C23802" t="s">
        <v>209</v>
      </c>
      <c r="D23802" s="21" t="s">
        <v>34</v>
      </c>
      <c r="E23802" s="21" t="s">
        <v>71</v>
      </c>
      <c r="F23802">
        <v>8771514</v>
      </c>
      <c r="G23802" t="s">
        <v>10058</v>
      </c>
      <c r="H23802" s="21">
        <v>667.67</v>
      </c>
    </row>
    <row r="23803" spans="1:8" customFormat="1" x14ac:dyDescent="0.25">
      <c r="A23803" t="str">
        <f>"043688"</f>
        <v>043688</v>
      </c>
      <c r="B23803" t="s">
        <v>19506</v>
      </c>
      <c r="C23803" t="s">
        <v>130</v>
      </c>
      <c r="D23803" s="21" t="s">
        <v>34</v>
      </c>
      <c r="E23803" s="21" t="s">
        <v>35</v>
      </c>
      <c r="F23803">
        <v>13040023</v>
      </c>
      <c r="G23803" t="s">
        <v>2542</v>
      </c>
      <c r="H23803" s="21">
        <v>667.67</v>
      </c>
    </row>
    <row r="23804" spans="1:8" customFormat="1" x14ac:dyDescent="0.25">
      <c r="A23804" t="str">
        <f>"91999"</f>
        <v>91999</v>
      </c>
      <c r="B23804" t="s">
        <v>18118</v>
      </c>
      <c r="C23804" t="s">
        <v>198</v>
      </c>
      <c r="D23804" s="21" t="s">
        <v>34</v>
      </c>
      <c r="E23804" s="21" t="s">
        <v>254</v>
      </c>
      <c r="F23804">
        <v>8910567</v>
      </c>
      <c r="G23804" t="s">
        <v>5111</v>
      </c>
      <c r="H23804" s="21">
        <v>667.67</v>
      </c>
    </row>
    <row r="23805" spans="1:8" customFormat="1" x14ac:dyDescent="0.25">
      <c r="A23805" t="str">
        <f>"609392"</f>
        <v>609392</v>
      </c>
      <c r="B23805" t="s">
        <v>9940</v>
      </c>
      <c r="C23805" t="s">
        <v>1665</v>
      </c>
      <c r="D23805" s="21" t="s">
        <v>34</v>
      </c>
      <c r="E23805" s="21" t="s">
        <v>254</v>
      </c>
      <c r="F23805">
        <v>7600141</v>
      </c>
      <c r="G23805" t="s">
        <v>3592</v>
      </c>
      <c r="H23805" s="21">
        <v>667.67</v>
      </c>
    </row>
    <row r="23806" spans="1:8" customFormat="1" x14ac:dyDescent="0.25">
      <c r="A23806" t="str">
        <f>"4457807"</f>
        <v>4457807</v>
      </c>
      <c r="B23806" t="s">
        <v>1444</v>
      </c>
      <c r="C23806" t="s">
        <v>566</v>
      </c>
      <c r="D23806" s="21" t="s">
        <v>34</v>
      </c>
      <c r="E23806" s="21" t="s">
        <v>35</v>
      </c>
      <c r="F23806">
        <v>12440148</v>
      </c>
      <c r="G23806" t="s">
        <v>27727</v>
      </c>
      <c r="H23806" s="21">
        <v>667.67</v>
      </c>
    </row>
    <row r="23807" spans="1:8" customFormat="1" x14ac:dyDescent="0.25">
      <c r="A23807" t="str">
        <f>"6316605"</f>
        <v>6316605</v>
      </c>
      <c r="B23807" t="s">
        <v>16359</v>
      </c>
      <c r="C23807" t="s">
        <v>82</v>
      </c>
      <c r="D23807" s="21" t="s">
        <v>34</v>
      </c>
      <c r="E23807" s="21" t="s">
        <v>35</v>
      </c>
      <c r="F23807">
        <v>1630078</v>
      </c>
      <c r="G23807" t="s">
        <v>326</v>
      </c>
      <c r="H23807" s="21">
        <v>667.67</v>
      </c>
    </row>
    <row r="23808" spans="1:8" customFormat="1" x14ac:dyDescent="0.25">
      <c r="A23808" t="str">
        <f>"2718540"</f>
        <v>2718540</v>
      </c>
      <c r="B23808" t="s">
        <v>18125</v>
      </c>
      <c r="C23808" t="s">
        <v>87</v>
      </c>
      <c r="D23808" s="21" t="s">
        <v>34</v>
      </c>
      <c r="E23808" s="21" t="s">
        <v>71</v>
      </c>
      <c r="F23808">
        <v>9270148</v>
      </c>
      <c r="G23808" t="s">
        <v>8058</v>
      </c>
      <c r="H23808" s="21">
        <v>667.67</v>
      </c>
    </row>
    <row r="23809" spans="1:8" customFormat="1" x14ac:dyDescent="0.25">
      <c r="A23809" t="str">
        <f>"246289"</f>
        <v>246289</v>
      </c>
      <c r="B23809" t="s">
        <v>16549</v>
      </c>
      <c r="C23809" t="s">
        <v>65</v>
      </c>
      <c r="D23809" s="21" t="s">
        <v>34</v>
      </c>
      <c r="E23809" s="21" t="s">
        <v>35</v>
      </c>
      <c r="F23809">
        <v>10240015</v>
      </c>
      <c r="G23809" t="s">
        <v>8589</v>
      </c>
      <c r="H23809" s="21">
        <v>667.67</v>
      </c>
    </row>
    <row r="23810" spans="1:8" customFormat="1" x14ac:dyDescent="0.25">
      <c r="A23810" t="str">
        <f>"6228271"</f>
        <v>6228271</v>
      </c>
      <c r="B23810" t="s">
        <v>18198</v>
      </c>
      <c r="C23810" t="s">
        <v>18199</v>
      </c>
      <c r="D23810" s="21" t="s">
        <v>34</v>
      </c>
      <c r="E23810" s="21" t="s">
        <v>35</v>
      </c>
      <c r="F23810">
        <v>7620175</v>
      </c>
      <c r="G23810" t="s">
        <v>15163</v>
      </c>
      <c r="H23810" s="21">
        <v>667.67</v>
      </c>
    </row>
    <row r="23811" spans="1:8" customFormat="1" x14ac:dyDescent="0.25">
      <c r="A23811" t="str">
        <f>"5320576"</f>
        <v>5320576</v>
      </c>
      <c r="B23811" t="s">
        <v>1885</v>
      </c>
      <c r="C23811" t="s">
        <v>1271</v>
      </c>
      <c r="D23811" s="21" t="s">
        <v>34</v>
      </c>
      <c r="E23811" s="21" t="s">
        <v>254</v>
      </c>
      <c r="F23811">
        <v>12530048</v>
      </c>
      <c r="G23811" t="s">
        <v>7103</v>
      </c>
      <c r="H23811" s="21">
        <v>667.67</v>
      </c>
    </row>
    <row r="23812" spans="1:8" customFormat="1" x14ac:dyDescent="0.25">
      <c r="A23812" t="str">
        <f>"668384"</f>
        <v>668384</v>
      </c>
      <c r="B23812" t="s">
        <v>24059</v>
      </c>
      <c r="C23812" t="s">
        <v>867</v>
      </c>
      <c r="D23812" s="21" t="s">
        <v>34</v>
      </c>
      <c r="E23812" s="21" t="s">
        <v>35</v>
      </c>
      <c r="F23812">
        <v>11660020</v>
      </c>
      <c r="G23812" t="s">
        <v>10247</v>
      </c>
      <c r="H23812" s="21">
        <v>667.67</v>
      </c>
    </row>
    <row r="23813" spans="1:8" customFormat="1" x14ac:dyDescent="0.25">
      <c r="A23813" t="str">
        <f>"4453322"</f>
        <v>4453322</v>
      </c>
      <c r="B23813" t="s">
        <v>19422</v>
      </c>
      <c r="C23813" t="s">
        <v>60</v>
      </c>
      <c r="D23813" s="21" t="s">
        <v>34</v>
      </c>
      <c r="E23813" s="21" t="s">
        <v>35</v>
      </c>
      <c r="F23813">
        <v>12440206</v>
      </c>
      <c r="G23813" t="s">
        <v>10374</v>
      </c>
      <c r="H23813" s="21">
        <v>667.67</v>
      </c>
    </row>
    <row r="23814" spans="1:8" customFormat="1" x14ac:dyDescent="0.25">
      <c r="A23814" t="str">
        <f>"691662"</f>
        <v>691662</v>
      </c>
      <c r="B23814" t="s">
        <v>17238</v>
      </c>
      <c r="C23814" t="s">
        <v>253</v>
      </c>
      <c r="D23814" s="21" t="s">
        <v>34</v>
      </c>
      <c r="E23814" s="21" t="s">
        <v>1089</v>
      </c>
      <c r="F23814">
        <v>13840062</v>
      </c>
      <c r="G23814" t="s">
        <v>17239</v>
      </c>
      <c r="H23814" s="21">
        <v>667.67</v>
      </c>
    </row>
    <row r="23815" spans="1:8" customFormat="1" x14ac:dyDescent="0.25">
      <c r="A23815" t="str">
        <f>"2930613"</f>
        <v>2930613</v>
      </c>
      <c r="B23815" t="s">
        <v>17559</v>
      </c>
      <c r="C23815" t="s">
        <v>249</v>
      </c>
      <c r="D23815" s="21" t="s">
        <v>34</v>
      </c>
      <c r="E23815" s="21" t="s">
        <v>35</v>
      </c>
      <c r="F23815">
        <v>3290262</v>
      </c>
      <c r="G23815" t="s">
        <v>1139</v>
      </c>
      <c r="H23815" s="21">
        <v>667.67</v>
      </c>
    </row>
    <row r="23816" spans="1:8" customFormat="1" x14ac:dyDescent="0.25">
      <c r="A23816" t="str">
        <f>"6210807"</f>
        <v>6210807</v>
      </c>
      <c r="B23816" t="s">
        <v>17695</v>
      </c>
      <c r="C23816" t="s">
        <v>114</v>
      </c>
      <c r="D23816" s="21" t="s">
        <v>34</v>
      </c>
      <c r="E23816" s="21" t="s">
        <v>71</v>
      </c>
      <c r="F23816">
        <v>7620049</v>
      </c>
      <c r="G23816" t="s">
        <v>1176</v>
      </c>
      <c r="H23816" s="21">
        <v>667.67</v>
      </c>
    </row>
    <row r="23817" spans="1:8" customFormat="1" x14ac:dyDescent="0.25">
      <c r="A23817" t="str">
        <f>"6230498"</f>
        <v>6230498</v>
      </c>
      <c r="B23817" t="s">
        <v>20596</v>
      </c>
      <c r="C23817" t="s">
        <v>1803</v>
      </c>
      <c r="D23817" s="21" t="s">
        <v>34</v>
      </c>
      <c r="E23817" s="21" t="s">
        <v>35</v>
      </c>
      <c r="F23817">
        <v>7590402</v>
      </c>
      <c r="G23817" t="s">
        <v>1623</v>
      </c>
      <c r="H23817" s="21">
        <v>667.67</v>
      </c>
    </row>
    <row r="23818" spans="1:8" customFormat="1" x14ac:dyDescent="0.25">
      <c r="A23818" t="str">
        <f>"067051"</f>
        <v>067051</v>
      </c>
      <c r="B23818" t="s">
        <v>3406</v>
      </c>
      <c r="C23818" t="s">
        <v>87</v>
      </c>
      <c r="D23818" s="21" t="s">
        <v>34</v>
      </c>
      <c r="E23818" s="21" t="s">
        <v>71</v>
      </c>
      <c r="F23818">
        <v>13060005</v>
      </c>
      <c r="G23818" t="s">
        <v>3609</v>
      </c>
      <c r="H23818" s="21">
        <v>667.67</v>
      </c>
    </row>
    <row r="23819" spans="1:8" customFormat="1" x14ac:dyDescent="0.25">
      <c r="A23819" t="str">
        <f>"6020550"</f>
        <v>6020550</v>
      </c>
      <c r="B23819" t="s">
        <v>27752</v>
      </c>
      <c r="C23819" t="s">
        <v>985</v>
      </c>
      <c r="D23819" s="21" t="s">
        <v>34</v>
      </c>
      <c r="E23819" s="21" t="s">
        <v>35</v>
      </c>
      <c r="F23819">
        <v>7600163</v>
      </c>
      <c r="G23819" t="s">
        <v>12203</v>
      </c>
      <c r="H23819" s="21">
        <v>667.67</v>
      </c>
    </row>
    <row r="23820" spans="1:8" customFormat="1" x14ac:dyDescent="0.25">
      <c r="A23820" t="str">
        <f>"5960528"</f>
        <v>5960528</v>
      </c>
      <c r="B23820" t="s">
        <v>4560</v>
      </c>
      <c r="C23820" t="s">
        <v>65</v>
      </c>
      <c r="D23820" s="21" t="s">
        <v>34</v>
      </c>
      <c r="E23820" s="21" t="s">
        <v>35</v>
      </c>
      <c r="F23820">
        <v>7590288</v>
      </c>
      <c r="G23820" t="s">
        <v>6972</v>
      </c>
      <c r="H23820" s="21">
        <v>667.67</v>
      </c>
    </row>
    <row r="23821" spans="1:8" customFormat="1" x14ac:dyDescent="0.25">
      <c r="A23821" t="str">
        <f>"5310769"</f>
        <v>5310769</v>
      </c>
      <c r="B23821" t="s">
        <v>2690</v>
      </c>
      <c r="C23821" t="s">
        <v>2730</v>
      </c>
      <c r="D23821" s="21" t="s">
        <v>34</v>
      </c>
      <c r="E23821" s="21" t="s">
        <v>71</v>
      </c>
      <c r="F23821">
        <v>12530124</v>
      </c>
      <c r="G23821" t="s">
        <v>4935</v>
      </c>
      <c r="H23821" s="21">
        <v>667.67</v>
      </c>
    </row>
    <row r="23822" spans="1:8" customFormat="1" x14ac:dyDescent="0.25">
      <c r="A23822" t="str">
        <f>"814416"</f>
        <v>814416</v>
      </c>
      <c r="B23822" t="s">
        <v>1321</v>
      </c>
      <c r="C23822" t="s">
        <v>62</v>
      </c>
      <c r="D23822" s="21" t="s">
        <v>34</v>
      </c>
      <c r="E23822" s="21" t="s">
        <v>35</v>
      </c>
      <c r="F23822">
        <v>11810001</v>
      </c>
      <c r="G23822" t="s">
        <v>26998</v>
      </c>
      <c r="H23822" s="21">
        <v>667.54</v>
      </c>
    </row>
    <row r="23823" spans="1:8" customFormat="1" x14ac:dyDescent="0.25">
      <c r="A23823" t="str">
        <f>"3334824"</f>
        <v>3334824</v>
      </c>
      <c r="B23823" t="s">
        <v>20705</v>
      </c>
      <c r="C23823" t="s">
        <v>1025</v>
      </c>
      <c r="D23823" s="21" t="s">
        <v>34</v>
      </c>
      <c r="E23823" s="21" t="s">
        <v>254</v>
      </c>
      <c r="F23823">
        <v>10330025</v>
      </c>
      <c r="G23823" t="s">
        <v>4450</v>
      </c>
      <c r="H23823" s="21">
        <v>667.29</v>
      </c>
    </row>
    <row r="23824" spans="1:8" customFormat="1" x14ac:dyDescent="0.25">
      <c r="A23824" t="str">
        <f>"6221997"</f>
        <v>6221997</v>
      </c>
      <c r="B23824" t="s">
        <v>19335</v>
      </c>
      <c r="C23824" t="s">
        <v>3522</v>
      </c>
      <c r="D23824" s="21" t="s">
        <v>34</v>
      </c>
      <c r="E23824" s="21" t="s">
        <v>71</v>
      </c>
      <c r="F23824">
        <v>7620047</v>
      </c>
      <c r="G23824" t="s">
        <v>16200</v>
      </c>
      <c r="H23824" s="21">
        <v>667.17</v>
      </c>
    </row>
    <row r="23825" spans="1:8" customFormat="1" x14ac:dyDescent="0.25">
      <c r="A23825" t="str">
        <f>"36324"</f>
        <v>36324</v>
      </c>
      <c r="B23825" t="s">
        <v>18765</v>
      </c>
      <c r="C23825" t="s">
        <v>18766</v>
      </c>
      <c r="D23825" s="21" t="s">
        <v>34</v>
      </c>
      <c r="E23825" s="21" t="s">
        <v>254</v>
      </c>
      <c r="F23825">
        <v>4360124</v>
      </c>
      <c r="G23825" t="s">
        <v>5229</v>
      </c>
      <c r="H23825" s="21">
        <v>667.17</v>
      </c>
    </row>
    <row r="23826" spans="1:8" customFormat="1" x14ac:dyDescent="0.25">
      <c r="A23826" t="str">
        <f>"6932427"</f>
        <v>6932427</v>
      </c>
      <c r="B23826" t="s">
        <v>18433</v>
      </c>
      <c r="C23826" t="s">
        <v>6135</v>
      </c>
      <c r="D23826" s="21" t="s">
        <v>34</v>
      </c>
      <c r="E23826" s="21" t="s">
        <v>71</v>
      </c>
      <c r="F23826">
        <v>1690006</v>
      </c>
      <c r="G23826" t="s">
        <v>2543</v>
      </c>
      <c r="H23826" s="21">
        <v>667.17</v>
      </c>
    </row>
    <row r="23827" spans="1:8" customFormat="1" x14ac:dyDescent="0.25">
      <c r="A23827" t="str">
        <f>"308655"</f>
        <v>308655</v>
      </c>
      <c r="B23827" t="s">
        <v>27753</v>
      </c>
      <c r="C23827" t="s">
        <v>415</v>
      </c>
      <c r="D23827" s="21" t="s">
        <v>34</v>
      </c>
      <c r="E23827" s="21" t="s">
        <v>254</v>
      </c>
      <c r="F23827">
        <v>10240015</v>
      </c>
      <c r="G23827" t="s">
        <v>8589</v>
      </c>
      <c r="H23827" s="21">
        <v>667.17</v>
      </c>
    </row>
    <row r="23828" spans="1:8" customFormat="1" x14ac:dyDescent="0.25">
      <c r="A23828" t="str">
        <f>"442370"</f>
        <v>442370</v>
      </c>
      <c r="B23828" t="s">
        <v>18833</v>
      </c>
      <c r="C23828" t="s">
        <v>239</v>
      </c>
      <c r="D23828" s="21" t="s">
        <v>34</v>
      </c>
      <c r="E23828" s="21" t="s">
        <v>254</v>
      </c>
      <c r="F23828">
        <v>12440076</v>
      </c>
      <c r="G23828" t="s">
        <v>1750</v>
      </c>
      <c r="H23828" s="21">
        <v>667.17</v>
      </c>
    </row>
    <row r="23829" spans="1:8" customFormat="1" x14ac:dyDescent="0.25">
      <c r="A23829" t="str">
        <f>"9413068"</f>
        <v>9413068</v>
      </c>
      <c r="B23829" t="s">
        <v>461</v>
      </c>
      <c r="C23829" t="s">
        <v>209</v>
      </c>
      <c r="D23829" s="21" t="s">
        <v>34</v>
      </c>
      <c r="E23829" s="21" t="s">
        <v>35</v>
      </c>
      <c r="F23829">
        <v>10170033</v>
      </c>
      <c r="G23829" t="s">
        <v>3756</v>
      </c>
      <c r="H23829" s="21">
        <v>667.17</v>
      </c>
    </row>
    <row r="23830" spans="1:8" customFormat="1" x14ac:dyDescent="0.25">
      <c r="A23830" t="str">
        <f>"6714415"</f>
        <v>6714415</v>
      </c>
      <c r="B23830" t="s">
        <v>18082</v>
      </c>
      <c r="C23830" t="s">
        <v>2072</v>
      </c>
      <c r="D23830" s="21" t="s">
        <v>34</v>
      </c>
      <c r="E23830" s="21" t="s">
        <v>35</v>
      </c>
      <c r="F23830">
        <v>10790022</v>
      </c>
      <c r="G23830" t="s">
        <v>7916</v>
      </c>
      <c r="H23830" s="21">
        <v>667.17</v>
      </c>
    </row>
    <row r="23831" spans="1:8" customFormat="1" x14ac:dyDescent="0.25">
      <c r="A23831" t="str">
        <f>"7922285"</f>
        <v>7922285</v>
      </c>
      <c r="B23831" t="s">
        <v>8281</v>
      </c>
      <c r="C23831" t="s">
        <v>547</v>
      </c>
      <c r="D23831" s="21" t="s">
        <v>34</v>
      </c>
      <c r="E23831" s="21" t="s">
        <v>254</v>
      </c>
      <c r="F23831">
        <v>10790163</v>
      </c>
      <c r="G23831" t="s">
        <v>2015</v>
      </c>
      <c r="H23831" s="21">
        <v>667.17</v>
      </c>
    </row>
    <row r="23832" spans="1:8" customFormat="1" x14ac:dyDescent="0.25">
      <c r="A23832" t="str">
        <f>"9313222"</f>
        <v>9313222</v>
      </c>
      <c r="B23832" t="s">
        <v>26035</v>
      </c>
      <c r="C23832" t="s">
        <v>631</v>
      </c>
      <c r="D23832" s="21" t="s">
        <v>34</v>
      </c>
      <c r="E23832" s="21" t="s">
        <v>35</v>
      </c>
      <c r="F23832">
        <v>12850108</v>
      </c>
      <c r="G23832" t="s">
        <v>11093</v>
      </c>
      <c r="H23832" s="21">
        <v>667.17</v>
      </c>
    </row>
    <row r="23833" spans="1:8" customFormat="1" x14ac:dyDescent="0.25">
      <c r="A23833" t="str">
        <f>"6315714"</f>
        <v>6315714</v>
      </c>
      <c r="B23833" t="s">
        <v>21368</v>
      </c>
      <c r="C23833" t="s">
        <v>209</v>
      </c>
      <c r="D23833" s="21" t="s">
        <v>34</v>
      </c>
      <c r="E23833" s="21" t="s">
        <v>35</v>
      </c>
      <c r="F23833">
        <v>1630241</v>
      </c>
      <c r="G23833" t="s">
        <v>4519</v>
      </c>
      <c r="H23833" s="21">
        <v>667.17</v>
      </c>
    </row>
    <row r="23834" spans="1:8" customFormat="1" x14ac:dyDescent="0.25">
      <c r="A23834" t="str">
        <f>"162528"</f>
        <v>162528</v>
      </c>
      <c r="B23834" t="s">
        <v>8778</v>
      </c>
      <c r="C23834" t="s">
        <v>415</v>
      </c>
      <c r="D23834" s="21" t="s">
        <v>34</v>
      </c>
      <c r="E23834" s="21" t="s">
        <v>254</v>
      </c>
      <c r="F23834">
        <v>10160049</v>
      </c>
      <c r="G23834" t="s">
        <v>12117</v>
      </c>
      <c r="H23834" s="21">
        <v>667.17</v>
      </c>
    </row>
    <row r="23835" spans="1:8" customFormat="1" x14ac:dyDescent="0.25">
      <c r="A23835" t="str">
        <f>"8592"</f>
        <v>8592</v>
      </c>
      <c r="B23835" t="s">
        <v>5986</v>
      </c>
      <c r="C23835" t="s">
        <v>1025</v>
      </c>
      <c r="D23835" s="21" t="s">
        <v>34</v>
      </c>
      <c r="E23835" s="21" t="s">
        <v>254</v>
      </c>
      <c r="F23835">
        <v>12851011</v>
      </c>
      <c r="G23835" t="s">
        <v>1445</v>
      </c>
      <c r="H23835" s="21">
        <v>667.17</v>
      </c>
    </row>
    <row r="23836" spans="1:8" customFormat="1" x14ac:dyDescent="0.25">
      <c r="A23836" t="str">
        <f>"419403"</f>
        <v>419403</v>
      </c>
      <c r="B23836" t="s">
        <v>18706</v>
      </c>
      <c r="C23836" t="s">
        <v>90</v>
      </c>
      <c r="D23836" s="21" t="s">
        <v>34</v>
      </c>
      <c r="E23836" s="21" t="s">
        <v>35</v>
      </c>
      <c r="F23836">
        <v>4410083</v>
      </c>
      <c r="G23836" t="s">
        <v>2333</v>
      </c>
      <c r="H23836" s="21">
        <v>667.17</v>
      </c>
    </row>
    <row r="23837" spans="1:8" customFormat="1" x14ac:dyDescent="0.25">
      <c r="A23837" t="str">
        <f>"884777"</f>
        <v>884777</v>
      </c>
      <c r="B23837" t="s">
        <v>19529</v>
      </c>
      <c r="C23837" t="s">
        <v>415</v>
      </c>
      <c r="D23837" s="21" t="s">
        <v>34</v>
      </c>
      <c r="E23837" s="21" t="s">
        <v>254</v>
      </c>
      <c r="F23837">
        <v>6880157</v>
      </c>
      <c r="G23837" t="s">
        <v>19530</v>
      </c>
      <c r="H23837" s="21">
        <v>667.17</v>
      </c>
    </row>
    <row r="23838" spans="1:8" customFormat="1" x14ac:dyDescent="0.25">
      <c r="A23838" t="str">
        <f>"367504"</f>
        <v>367504</v>
      </c>
      <c r="B23838" t="s">
        <v>18923</v>
      </c>
      <c r="C23838" t="s">
        <v>415</v>
      </c>
      <c r="D23838" s="21" t="s">
        <v>34</v>
      </c>
      <c r="E23838" s="21" t="s">
        <v>254</v>
      </c>
      <c r="F23838">
        <v>4360340</v>
      </c>
      <c r="G23838" t="s">
        <v>14132</v>
      </c>
      <c r="H23838" s="21">
        <v>667.04</v>
      </c>
    </row>
    <row r="23839" spans="1:8" customFormat="1" x14ac:dyDescent="0.25">
      <c r="A23839" t="str">
        <f>"2716062"</f>
        <v>2716062</v>
      </c>
      <c r="B23839" t="s">
        <v>12403</v>
      </c>
      <c r="C23839" t="s">
        <v>1705</v>
      </c>
      <c r="D23839" s="21" t="s">
        <v>34</v>
      </c>
      <c r="E23839" s="21" t="s">
        <v>1089</v>
      </c>
      <c r="F23839">
        <v>9270005</v>
      </c>
      <c r="G23839" t="s">
        <v>1255</v>
      </c>
      <c r="H23839" s="21">
        <v>667.04</v>
      </c>
    </row>
    <row r="23840" spans="1:8" customFormat="1" x14ac:dyDescent="0.25">
      <c r="A23840" t="str">
        <f>"3534366"</f>
        <v>3534366</v>
      </c>
      <c r="B23840" t="s">
        <v>18881</v>
      </c>
      <c r="C23840" t="s">
        <v>49</v>
      </c>
      <c r="D23840" s="21" t="s">
        <v>34</v>
      </c>
      <c r="E23840" s="21" t="s">
        <v>35</v>
      </c>
      <c r="F23840">
        <v>3350224</v>
      </c>
      <c r="G23840" t="s">
        <v>3826</v>
      </c>
      <c r="H23840" s="21">
        <v>666.92</v>
      </c>
    </row>
    <row r="23841" spans="1:8" customFormat="1" x14ac:dyDescent="0.25">
      <c r="A23841" t="str">
        <f>"5421829"</f>
        <v>5421829</v>
      </c>
      <c r="B23841" t="s">
        <v>18988</v>
      </c>
      <c r="C23841" t="s">
        <v>209</v>
      </c>
      <c r="D23841" s="21" t="s">
        <v>34</v>
      </c>
      <c r="E23841" s="21" t="s">
        <v>71</v>
      </c>
      <c r="F23841">
        <v>6540115</v>
      </c>
      <c r="G23841" t="s">
        <v>3398</v>
      </c>
      <c r="H23841" s="21">
        <v>666.92</v>
      </c>
    </row>
    <row r="23842" spans="1:8" customFormat="1" x14ac:dyDescent="0.25">
      <c r="A23842" t="str">
        <f>"6221897"</f>
        <v>6221897</v>
      </c>
      <c r="B23842" t="s">
        <v>17283</v>
      </c>
      <c r="C23842" t="s">
        <v>4721</v>
      </c>
      <c r="D23842" s="21" t="s">
        <v>34</v>
      </c>
      <c r="E23842" s="21" t="s">
        <v>1089</v>
      </c>
      <c r="F23842">
        <v>7620139</v>
      </c>
      <c r="G23842" t="s">
        <v>2061</v>
      </c>
      <c r="H23842" s="21">
        <v>666.67</v>
      </c>
    </row>
    <row r="23843" spans="1:8" customFormat="1" x14ac:dyDescent="0.25">
      <c r="A23843" t="str">
        <f>"3713058"</f>
        <v>3713058</v>
      </c>
      <c r="B23843" t="s">
        <v>27754</v>
      </c>
      <c r="C23843" t="s">
        <v>124</v>
      </c>
      <c r="D23843" s="21" t="s">
        <v>34</v>
      </c>
      <c r="E23843" s="21" t="s">
        <v>71</v>
      </c>
      <c r="F23843">
        <v>4370183</v>
      </c>
      <c r="G23843" t="s">
        <v>231</v>
      </c>
      <c r="H23843" s="21">
        <v>666.67</v>
      </c>
    </row>
    <row r="23844" spans="1:8" customFormat="1" x14ac:dyDescent="0.25">
      <c r="A23844" t="str">
        <f>"5321912"</f>
        <v>5321912</v>
      </c>
      <c r="B23844" t="s">
        <v>9594</v>
      </c>
      <c r="C23844" t="s">
        <v>58</v>
      </c>
      <c r="D23844" s="21" t="s">
        <v>34</v>
      </c>
      <c r="E23844" s="21" t="s">
        <v>35</v>
      </c>
      <c r="F23844">
        <v>12530146</v>
      </c>
      <c r="G23844" t="s">
        <v>10916</v>
      </c>
      <c r="H23844" s="21">
        <v>666.67</v>
      </c>
    </row>
    <row r="23845" spans="1:8" customFormat="1" x14ac:dyDescent="0.25">
      <c r="A23845" t="str">
        <f>"3821295"</f>
        <v>3821295</v>
      </c>
      <c r="B23845" t="s">
        <v>2012</v>
      </c>
      <c r="C23845" t="s">
        <v>3967</v>
      </c>
      <c r="D23845" s="21" t="s">
        <v>34</v>
      </c>
      <c r="E23845" s="21" t="s">
        <v>35</v>
      </c>
      <c r="F23845">
        <v>1380275</v>
      </c>
      <c r="G23845" t="s">
        <v>8042</v>
      </c>
      <c r="H23845" s="21">
        <v>666.67</v>
      </c>
    </row>
    <row r="23846" spans="1:8" customFormat="1" x14ac:dyDescent="0.25">
      <c r="A23846" t="str">
        <f>"7850786"</f>
        <v>7850786</v>
      </c>
      <c r="B23846" t="s">
        <v>16712</v>
      </c>
      <c r="C23846" t="s">
        <v>263</v>
      </c>
      <c r="D23846" s="21" t="s">
        <v>34</v>
      </c>
      <c r="E23846" s="21" t="s">
        <v>254</v>
      </c>
      <c r="F23846">
        <v>8780627</v>
      </c>
      <c r="G23846" t="s">
        <v>6097</v>
      </c>
      <c r="H23846" s="21">
        <v>666.67</v>
      </c>
    </row>
    <row r="23847" spans="1:8" customFormat="1" x14ac:dyDescent="0.25">
      <c r="A23847" t="str">
        <f>"2721304"</f>
        <v>2721304</v>
      </c>
      <c r="B23847" t="s">
        <v>6487</v>
      </c>
      <c r="C23847" t="s">
        <v>926</v>
      </c>
      <c r="D23847" s="21" t="s">
        <v>34</v>
      </c>
      <c r="E23847" s="21" t="s">
        <v>35</v>
      </c>
      <c r="F23847">
        <v>9270175</v>
      </c>
      <c r="G23847" t="s">
        <v>1909</v>
      </c>
      <c r="H23847" s="21">
        <v>666.67</v>
      </c>
    </row>
    <row r="23848" spans="1:8" customFormat="1" x14ac:dyDescent="0.25">
      <c r="A23848" t="str">
        <f>"5956833"</f>
        <v>5956833</v>
      </c>
      <c r="B23848" t="s">
        <v>18497</v>
      </c>
      <c r="C23848" t="s">
        <v>1054</v>
      </c>
      <c r="D23848" s="21" t="s">
        <v>34</v>
      </c>
      <c r="E23848" s="21" t="s">
        <v>35</v>
      </c>
      <c r="F23848">
        <v>7590120</v>
      </c>
      <c r="G23848" t="s">
        <v>5351</v>
      </c>
      <c r="H23848" s="21">
        <v>666.67</v>
      </c>
    </row>
    <row r="23849" spans="1:8" customFormat="1" x14ac:dyDescent="0.25">
      <c r="A23849" t="str">
        <f>"3313958"</f>
        <v>3313958</v>
      </c>
      <c r="B23849" t="s">
        <v>20590</v>
      </c>
      <c r="C23849" t="s">
        <v>253</v>
      </c>
      <c r="D23849" s="21" t="s">
        <v>34</v>
      </c>
      <c r="E23849" s="21" t="s">
        <v>254</v>
      </c>
      <c r="F23849">
        <v>10330024</v>
      </c>
      <c r="G23849" t="s">
        <v>16744</v>
      </c>
      <c r="H23849" s="21">
        <v>666.67</v>
      </c>
    </row>
    <row r="23850" spans="1:8" customFormat="1" x14ac:dyDescent="0.25">
      <c r="A23850" t="str">
        <f>"1312373"</f>
        <v>1312373</v>
      </c>
      <c r="B23850" t="s">
        <v>17480</v>
      </c>
      <c r="C23850" t="s">
        <v>1841</v>
      </c>
      <c r="D23850" s="21" t="s">
        <v>34</v>
      </c>
      <c r="E23850" s="21" t="s">
        <v>6185</v>
      </c>
      <c r="F23850">
        <v>13830031</v>
      </c>
      <c r="G23850" t="s">
        <v>8301</v>
      </c>
      <c r="H23850" s="21">
        <v>666.67</v>
      </c>
    </row>
    <row r="23851" spans="1:8" customFormat="1" x14ac:dyDescent="0.25">
      <c r="A23851" t="str">
        <f>"2917158"</f>
        <v>2917158</v>
      </c>
      <c r="B23851" t="s">
        <v>1661</v>
      </c>
      <c r="C23851" t="s">
        <v>664</v>
      </c>
      <c r="D23851" s="21" t="s">
        <v>34</v>
      </c>
      <c r="E23851" s="21" t="s">
        <v>254</v>
      </c>
      <c r="F23851">
        <v>3290047</v>
      </c>
      <c r="G23851" t="s">
        <v>2874</v>
      </c>
      <c r="H23851" s="21">
        <v>666.67</v>
      </c>
    </row>
    <row r="23852" spans="1:8" customFormat="1" x14ac:dyDescent="0.25">
      <c r="A23852" t="str">
        <f>"3530830"</f>
        <v>3530830</v>
      </c>
      <c r="B23852" t="s">
        <v>19089</v>
      </c>
      <c r="C23852" t="s">
        <v>209</v>
      </c>
      <c r="D23852" s="21" t="s">
        <v>34</v>
      </c>
      <c r="E23852" s="21" t="s">
        <v>35</v>
      </c>
      <c r="F23852">
        <v>3350016</v>
      </c>
      <c r="G23852" t="s">
        <v>133</v>
      </c>
      <c r="H23852" s="21">
        <v>666.67</v>
      </c>
    </row>
    <row r="23853" spans="1:8" customFormat="1" x14ac:dyDescent="0.25">
      <c r="A23853" t="str">
        <f>"517017"</f>
        <v>517017</v>
      </c>
      <c r="B23853" t="s">
        <v>9799</v>
      </c>
      <c r="C23853" t="s">
        <v>124</v>
      </c>
      <c r="D23853" s="21" t="s">
        <v>34</v>
      </c>
      <c r="E23853" s="21" t="s">
        <v>71</v>
      </c>
      <c r="F23853">
        <v>6510002</v>
      </c>
      <c r="G23853" t="s">
        <v>4588</v>
      </c>
      <c r="H23853" s="21">
        <v>666.67</v>
      </c>
    </row>
    <row r="23854" spans="1:8" customFormat="1" x14ac:dyDescent="0.25">
      <c r="A23854" t="str">
        <f>"916194"</f>
        <v>916194</v>
      </c>
      <c r="B23854" t="s">
        <v>27755</v>
      </c>
      <c r="C23854" t="s">
        <v>124</v>
      </c>
      <c r="D23854" s="21" t="s">
        <v>34</v>
      </c>
      <c r="E23854" s="21" t="s">
        <v>254</v>
      </c>
      <c r="F23854">
        <v>11340066</v>
      </c>
      <c r="G23854" t="s">
        <v>8390</v>
      </c>
      <c r="H23854" s="21">
        <v>666.67</v>
      </c>
    </row>
    <row r="23855" spans="1:8" customFormat="1" x14ac:dyDescent="0.25">
      <c r="A23855" t="str">
        <f>"6314486"</f>
        <v>6314486</v>
      </c>
      <c r="B23855" t="s">
        <v>430</v>
      </c>
      <c r="C23855" t="s">
        <v>1812</v>
      </c>
      <c r="D23855" s="21" t="s">
        <v>34</v>
      </c>
      <c r="E23855" s="21" t="s">
        <v>71</v>
      </c>
      <c r="F23855">
        <v>1630281</v>
      </c>
      <c r="G23855" t="s">
        <v>1190</v>
      </c>
      <c r="H23855" s="21">
        <v>666.67</v>
      </c>
    </row>
    <row r="23856" spans="1:8" customFormat="1" x14ac:dyDescent="0.25">
      <c r="A23856" t="str">
        <f>"5941938"</f>
        <v>5941938</v>
      </c>
      <c r="B23856" t="s">
        <v>17543</v>
      </c>
      <c r="C23856" t="s">
        <v>1142</v>
      </c>
      <c r="D23856" s="21" t="s">
        <v>34</v>
      </c>
      <c r="E23856" s="21" t="s">
        <v>254</v>
      </c>
      <c r="F23856">
        <v>7590171</v>
      </c>
      <c r="G23856" t="s">
        <v>4159</v>
      </c>
      <c r="H23856" s="21">
        <v>666.67</v>
      </c>
    </row>
    <row r="23857" spans="1:8" customFormat="1" x14ac:dyDescent="0.25">
      <c r="A23857" t="str">
        <f>"5915060"</f>
        <v>5915060</v>
      </c>
      <c r="B23857" t="s">
        <v>17333</v>
      </c>
      <c r="C23857" t="s">
        <v>40</v>
      </c>
      <c r="D23857" s="21" t="s">
        <v>34</v>
      </c>
      <c r="E23857" s="21" t="s">
        <v>71</v>
      </c>
      <c r="F23857">
        <v>7590237</v>
      </c>
      <c r="G23857" t="s">
        <v>3600</v>
      </c>
      <c r="H23857" s="21">
        <v>666.67</v>
      </c>
    </row>
    <row r="23858" spans="1:8" customFormat="1" x14ac:dyDescent="0.25">
      <c r="A23858" t="str">
        <f>"713898"</f>
        <v>713898</v>
      </c>
      <c r="B23858" t="s">
        <v>17041</v>
      </c>
      <c r="C23858" t="s">
        <v>114</v>
      </c>
      <c r="D23858" s="21" t="s">
        <v>34</v>
      </c>
      <c r="E23858" s="21" t="s">
        <v>254</v>
      </c>
      <c r="F23858">
        <v>2710051</v>
      </c>
      <c r="G23858" t="s">
        <v>4811</v>
      </c>
      <c r="H23858" s="21">
        <v>666.67</v>
      </c>
    </row>
    <row r="23859" spans="1:8" customFormat="1" x14ac:dyDescent="0.25">
      <c r="A23859" t="str">
        <f>"701384"</f>
        <v>701384</v>
      </c>
      <c r="B23859" t="s">
        <v>7350</v>
      </c>
      <c r="C23859" t="s">
        <v>822</v>
      </c>
      <c r="D23859" s="21" t="s">
        <v>34</v>
      </c>
      <c r="E23859" s="21" t="s">
        <v>1089</v>
      </c>
      <c r="F23859">
        <v>2700075</v>
      </c>
      <c r="G23859" t="s">
        <v>10511</v>
      </c>
      <c r="H23859" s="21">
        <v>666.67</v>
      </c>
    </row>
    <row r="23860" spans="1:8" customFormat="1" x14ac:dyDescent="0.25">
      <c r="A23860" t="str">
        <f>"52396"</f>
        <v>52396</v>
      </c>
      <c r="B23860" t="s">
        <v>27756</v>
      </c>
      <c r="C23860" t="s">
        <v>267</v>
      </c>
      <c r="D23860" s="21" t="s">
        <v>34</v>
      </c>
      <c r="E23860" s="21" t="s">
        <v>254</v>
      </c>
      <c r="F23860">
        <v>6550007</v>
      </c>
      <c r="G23860" t="s">
        <v>1688</v>
      </c>
      <c r="H23860" s="21">
        <v>666.67</v>
      </c>
    </row>
    <row r="23861" spans="1:8" customFormat="1" x14ac:dyDescent="0.25">
      <c r="A23861" t="str">
        <f>"7511523"</f>
        <v>7511523</v>
      </c>
      <c r="B23861" t="s">
        <v>17820</v>
      </c>
      <c r="C23861" t="s">
        <v>320</v>
      </c>
      <c r="D23861" s="21" t="s">
        <v>34</v>
      </c>
      <c r="E23861" s="21" t="s">
        <v>35</v>
      </c>
      <c r="F23861">
        <v>8750325</v>
      </c>
      <c r="G23861" t="s">
        <v>7054</v>
      </c>
      <c r="H23861" s="21">
        <v>666.67</v>
      </c>
    </row>
    <row r="23862" spans="1:8" customFormat="1" x14ac:dyDescent="0.25">
      <c r="A23862" t="str">
        <f>"3720894"</f>
        <v>3720894</v>
      </c>
      <c r="B23862" t="s">
        <v>17569</v>
      </c>
      <c r="C23862" t="s">
        <v>114</v>
      </c>
      <c r="D23862" s="21" t="s">
        <v>34</v>
      </c>
      <c r="E23862" s="21" t="s">
        <v>71</v>
      </c>
      <c r="F23862">
        <v>4370001</v>
      </c>
      <c r="G23862" t="s">
        <v>957</v>
      </c>
      <c r="H23862" s="21">
        <v>666.67</v>
      </c>
    </row>
    <row r="23863" spans="1:8" customFormat="1" x14ac:dyDescent="0.25">
      <c r="A23863" t="str">
        <f>"4454319"</f>
        <v>4454319</v>
      </c>
      <c r="B23863" t="s">
        <v>21909</v>
      </c>
      <c r="C23863" t="s">
        <v>147</v>
      </c>
      <c r="D23863" s="21" t="s">
        <v>34</v>
      </c>
      <c r="E23863" s="21" t="s">
        <v>35</v>
      </c>
      <c r="F23863">
        <v>12440087</v>
      </c>
      <c r="G23863" t="s">
        <v>1860</v>
      </c>
      <c r="H23863" s="21">
        <v>666.67</v>
      </c>
    </row>
    <row r="23864" spans="1:8" customFormat="1" x14ac:dyDescent="0.25">
      <c r="A23864" t="str">
        <f>"569056"</f>
        <v>569056</v>
      </c>
      <c r="B23864" t="s">
        <v>170</v>
      </c>
      <c r="C23864" t="s">
        <v>55</v>
      </c>
      <c r="D23864" s="21" t="s">
        <v>34</v>
      </c>
      <c r="E23864" s="21" t="s">
        <v>6185</v>
      </c>
      <c r="F23864">
        <v>3560033</v>
      </c>
      <c r="G23864" t="s">
        <v>4927</v>
      </c>
      <c r="H23864" s="21">
        <v>666.67</v>
      </c>
    </row>
    <row r="23865" spans="1:8" customFormat="1" x14ac:dyDescent="0.25">
      <c r="A23865" t="str">
        <f>"592682"</f>
        <v>592682</v>
      </c>
      <c r="B23865" t="s">
        <v>27757</v>
      </c>
      <c r="C23865" t="s">
        <v>187</v>
      </c>
      <c r="D23865" s="21" t="s">
        <v>34</v>
      </c>
      <c r="E23865" s="21" t="s">
        <v>35</v>
      </c>
      <c r="F23865">
        <v>7590106</v>
      </c>
      <c r="G23865" t="s">
        <v>4790</v>
      </c>
      <c r="H23865" s="21">
        <v>666.67</v>
      </c>
    </row>
    <row r="23866" spans="1:8" customFormat="1" x14ac:dyDescent="0.25">
      <c r="A23866" t="str">
        <f>"7610751"</f>
        <v>7610751</v>
      </c>
      <c r="B23866" t="s">
        <v>17802</v>
      </c>
      <c r="C23866" t="s">
        <v>598</v>
      </c>
      <c r="D23866" s="21" t="s">
        <v>34</v>
      </c>
      <c r="E23866" s="21" t="s">
        <v>1089</v>
      </c>
      <c r="F23866">
        <v>9760291</v>
      </c>
      <c r="G23866" t="s">
        <v>26611</v>
      </c>
      <c r="H23866" s="21">
        <v>666.67</v>
      </c>
    </row>
    <row r="23867" spans="1:8" customFormat="1" x14ac:dyDescent="0.25">
      <c r="A23867" t="str">
        <f>"407360"</f>
        <v>407360</v>
      </c>
      <c r="B23867" t="s">
        <v>20179</v>
      </c>
      <c r="C23867" t="s">
        <v>598</v>
      </c>
      <c r="D23867" s="21" t="s">
        <v>34</v>
      </c>
      <c r="E23867" s="21" t="s">
        <v>254</v>
      </c>
      <c r="F23867">
        <v>10400025</v>
      </c>
      <c r="G23867" t="s">
        <v>5655</v>
      </c>
      <c r="H23867" s="21">
        <v>666.67</v>
      </c>
    </row>
    <row r="23868" spans="1:8" customFormat="1" x14ac:dyDescent="0.25">
      <c r="A23868" t="str">
        <f>"3110939"</f>
        <v>3110939</v>
      </c>
      <c r="B23868" t="s">
        <v>4783</v>
      </c>
      <c r="C23868" t="s">
        <v>4141</v>
      </c>
      <c r="D23868" s="21" t="s">
        <v>34</v>
      </c>
      <c r="E23868" s="21" t="s">
        <v>71</v>
      </c>
      <c r="F23868">
        <v>11310123</v>
      </c>
      <c r="G23868" t="s">
        <v>3915</v>
      </c>
      <c r="H23868" s="21">
        <v>666.5</v>
      </c>
    </row>
    <row r="23869" spans="1:8" customFormat="1" x14ac:dyDescent="0.25">
      <c r="A23869" t="str">
        <f>"534800"</f>
        <v>534800</v>
      </c>
      <c r="B23869" t="s">
        <v>1661</v>
      </c>
      <c r="C23869" t="s">
        <v>598</v>
      </c>
      <c r="D23869" s="21" t="s">
        <v>34</v>
      </c>
      <c r="E23869" s="21" t="s">
        <v>71</v>
      </c>
      <c r="F23869">
        <v>12530124</v>
      </c>
      <c r="G23869" t="s">
        <v>4935</v>
      </c>
      <c r="H23869" s="21">
        <v>666.42</v>
      </c>
    </row>
    <row r="23870" spans="1:8" customFormat="1" x14ac:dyDescent="0.25">
      <c r="A23870" t="str">
        <f>"394618"</f>
        <v>394618</v>
      </c>
      <c r="B23870" t="s">
        <v>17395</v>
      </c>
      <c r="C23870" t="s">
        <v>1110</v>
      </c>
      <c r="D23870" s="21" t="s">
        <v>34</v>
      </c>
      <c r="E23870" s="21" t="s">
        <v>254</v>
      </c>
      <c r="F23870">
        <v>2390095</v>
      </c>
      <c r="G23870" t="s">
        <v>2676</v>
      </c>
      <c r="H23870" s="21">
        <v>666.42</v>
      </c>
    </row>
    <row r="23871" spans="1:8" customFormat="1" x14ac:dyDescent="0.25">
      <c r="A23871" t="str">
        <f>"2928915"</f>
        <v>2928915</v>
      </c>
      <c r="B23871" t="s">
        <v>19412</v>
      </c>
      <c r="C23871" t="s">
        <v>428</v>
      </c>
      <c r="D23871" s="21" t="s">
        <v>34</v>
      </c>
      <c r="E23871" s="21" t="s">
        <v>71</v>
      </c>
      <c r="F23871">
        <v>3290036</v>
      </c>
      <c r="G23871" t="s">
        <v>3903</v>
      </c>
      <c r="H23871" s="21">
        <v>666.42</v>
      </c>
    </row>
    <row r="23872" spans="1:8" customFormat="1" x14ac:dyDescent="0.25">
      <c r="A23872" t="str">
        <f>"847733"</f>
        <v>847733</v>
      </c>
      <c r="B23872" t="s">
        <v>20286</v>
      </c>
      <c r="C23872" t="s">
        <v>1675</v>
      </c>
      <c r="D23872" s="21" t="s">
        <v>34</v>
      </c>
      <c r="E23872" s="21" t="s">
        <v>35</v>
      </c>
      <c r="F23872">
        <v>13840062</v>
      </c>
      <c r="G23872" t="s">
        <v>17239</v>
      </c>
      <c r="H23872" s="21">
        <v>666.29</v>
      </c>
    </row>
    <row r="23873" spans="1:8" customFormat="1" x14ac:dyDescent="0.25">
      <c r="A23873" t="str">
        <f>"6023104"</f>
        <v>6023104</v>
      </c>
      <c r="B23873" t="s">
        <v>9285</v>
      </c>
      <c r="C23873" t="s">
        <v>249</v>
      </c>
      <c r="D23873" s="21" t="s">
        <v>34</v>
      </c>
      <c r="E23873" s="21" t="s">
        <v>71</v>
      </c>
      <c r="F23873">
        <v>7600161</v>
      </c>
      <c r="G23873" t="s">
        <v>6023</v>
      </c>
      <c r="H23873" s="21">
        <v>666.17</v>
      </c>
    </row>
    <row r="23874" spans="1:8" customFormat="1" x14ac:dyDescent="0.25">
      <c r="A23874" t="str">
        <f>"8018517"</f>
        <v>8018517</v>
      </c>
      <c r="B23874" t="s">
        <v>19622</v>
      </c>
      <c r="C23874" t="s">
        <v>249</v>
      </c>
      <c r="D23874" s="21" t="s">
        <v>34</v>
      </c>
      <c r="E23874" s="21" t="s">
        <v>71</v>
      </c>
      <c r="F23874">
        <v>7800014</v>
      </c>
      <c r="G23874" t="s">
        <v>9881</v>
      </c>
      <c r="H23874" s="21">
        <v>666.17</v>
      </c>
    </row>
    <row r="23875" spans="1:8" customFormat="1" x14ac:dyDescent="0.25">
      <c r="A23875" t="str">
        <f>"9522968"</f>
        <v>9522968</v>
      </c>
      <c r="B23875" t="s">
        <v>18570</v>
      </c>
      <c r="C23875" t="s">
        <v>121</v>
      </c>
      <c r="D23875" s="21" t="s">
        <v>34</v>
      </c>
      <c r="E23875" s="21" t="s">
        <v>35</v>
      </c>
      <c r="F23875">
        <v>8951447</v>
      </c>
      <c r="G23875" t="s">
        <v>12175</v>
      </c>
      <c r="H23875" s="21">
        <v>666.17</v>
      </c>
    </row>
    <row r="23876" spans="1:8" customFormat="1" x14ac:dyDescent="0.25">
      <c r="A23876" t="str">
        <f>"3114646"</f>
        <v>3114646</v>
      </c>
      <c r="B23876" t="s">
        <v>21637</v>
      </c>
      <c r="C23876" t="s">
        <v>3456</v>
      </c>
      <c r="D23876" s="21" t="s">
        <v>34</v>
      </c>
      <c r="E23876" s="21" t="s">
        <v>35</v>
      </c>
      <c r="F23876">
        <v>11310060</v>
      </c>
      <c r="G23876" t="s">
        <v>2448</v>
      </c>
      <c r="H23876" s="21">
        <v>666.17</v>
      </c>
    </row>
    <row r="23877" spans="1:8" customFormat="1" x14ac:dyDescent="0.25">
      <c r="A23877" t="str">
        <f>"7641845"</f>
        <v>7641845</v>
      </c>
      <c r="B23877" t="s">
        <v>1661</v>
      </c>
      <c r="C23877" t="s">
        <v>171</v>
      </c>
      <c r="D23877" s="21" t="s">
        <v>34</v>
      </c>
      <c r="E23877" s="21" t="s">
        <v>71</v>
      </c>
      <c r="F23877">
        <v>9760420</v>
      </c>
      <c r="G23877" t="s">
        <v>11290</v>
      </c>
      <c r="H23877" s="21">
        <v>666.17</v>
      </c>
    </row>
    <row r="23878" spans="1:8" customFormat="1" x14ac:dyDescent="0.25">
      <c r="A23878" t="str">
        <f>"7519177"</f>
        <v>7519177</v>
      </c>
      <c r="B23878" t="s">
        <v>7451</v>
      </c>
      <c r="C23878" t="s">
        <v>55</v>
      </c>
      <c r="D23878" s="21" t="s">
        <v>34</v>
      </c>
      <c r="E23878" s="21" t="s">
        <v>71</v>
      </c>
      <c r="F23878">
        <v>8751163</v>
      </c>
      <c r="G23878" t="s">
        <v>80</v>
      </c>
      <c r="H23878" s="21">
        <v>666.17</v>
      </c>
    </row>
    <row r="23879" spans="1:8" customFormat="1" x14ac:dyDescent="0.25">
      <c r="A23879" t="str">
        <f>"091503"</f>
        <v>091503</v>
      </c>
      <c r="B23879" t="s">
        <v>61</v>
      </c>
      <c r="C23879" t="s">
        <v>7488</v>
      </c>
      <c r="D23879" s="21" t="s">
        <v>34</v>
      </c>
      <c r="E23879" s="21" t="s">
        <v>35</v>
      </c>
      <c r="F23879">
        <v>11090002</v>
      </c>
      <c r="G23879" t="s">
        <v>901</v>
      </c>
      <c r="H23879" s="21">
        <v>666.17</v>
      </c>
    </row>
    <row r="23880" spans="1:8" customFormat="1" x14ac:dyDescent="0.25">
      <c r="A23880" t="str">
        <f>"062766"</f>
        <v>062766</v>
      </c>
      <c r="B23880" t="s">
        <v>9607</v>
      </c>
      <c r="C23880" t="s">
        <v>209</v>
      </c>
      <c r="D23880" s="21" t="s">
        <v>34</v>
      </c>
      <c r="E23880" s="21" t="s">
        <v>254</v>
      </c>
      <c r="F23880">
        <v>13060072</v>
      </c>
      <c r="G23880" t="s">
        <v>6685</v>
      </c>
      <c r="H23880" s="21">
        <v>666.17</v>
      </c>
    </row>
    <row r="23881" spans="1:8" customFormat="1" x14ac:dyDescent="0.25">
      <c r="A23881" t="str">
        <f>"7726380"</f>
        <v>7726380</v>
      </c>
      <c r="B23881" t="s">
        <v>19841</v>
      </c>
      <c r="C23881" t="s">
        <v>249</v>
      </c>
      <c r="D23881" s="21" t="s">
        <v>34</v>
      </c>
      <c r="E23881" s="21" t="s">
        <v>71</v>
      </c>
      <c r="F23881">
        <v>8770665</v>
      </c>
      <c r="G23881" t="s">
        <v>903</v>
      </c>
      <c r="H23881" s="21">
        <v>666.17</v>
      </c>
    </row>
    <row r="23882" spans="1:8" customFormat="1" x14ac:dyDescent="0.25">
      <c r="A23882" t="str">
        <f>"8522303"</f>
        <v>8522303</v>
      </c>
      <c r="B23882" t="s">
        <v>2981</v>
      </c>
      <c r="C23882" t="s">
        <v>428</v>
      </c>
      <c r="D23882" s="21" t="s">
        <v>34</v>
      </c>
      <c r="E23882" s="21" t="s">
        <v>71</v>
      </c>
      <c r="F23882">
        <v>12851012</v>
      </c>
      <c r="G23882" t="s">
        <v>1963</v>
      </c>
      <c r="H23882" s="21">
        <v>666.17</v>
      </c>
    </row>
    <row r="23883" spans="1:8" customFormat="1" x14ac:dyDescent="0.25">
      <c r="A23883" t="str">
        <f>"5728602"</f>
        <v>5728602</v>
      </c>
      <c r="B23883" t="s">
        <v>4803</v>
      </c>
      <c r="C23883" t="s">
        <v>598</v>
      </c>
      <c r="D23883" s="21" t="s">
        <v>34</v>
      </c>
      <c r="E23883" s="21" t="s">
        <v>254</v>
      </c>
      <c r="F23883">
        <v>6570093</v>
      </c>
      <c r="G23883" t="s">
        <v>6118</v>
      </c>
      <c r="H23883" s="21">
        <v>666.17</v>
      </c>
    </row>
    <row r="23884" spans="1:8" customFormat="1" x14ac:dyDescent="0.25">
      <c r="A23884" t="str">
        <f>"3819511"</f>
        <v>3819511</v>
      </c>
      <c r="B23884" t="s">
        <v>18484</v>
      </c>
      <c r="C23884" t="s">
        <v>147</v>
      </c>
      <c r="D23884" s="21" t="s">
        <v>34</v>
      </c>
      <c r="E23884" s="21" t="s">
        <v>35</v>
      </c>
      <c r="F23884">
        <v>1380173</v>
      </c>
      <c r="G23884" t="s">
        <v>9553</v>
      </c>
      <c r="H23884" s="21">
        <v>666.17</v>
      </c>
    </row>
    <row r="23885" spans="1:8" customFormat="1" x14ac:dyDescent="0.25">
      <c r="A23885" t="str">
        <f>"5973394"</f>
        <v>5973394</v>
      </c>
      <c r="B23885" t="s">
        <v>5993</v>
      </c>
      <c r="C23885" t="s">
        <v>275</v>
      </c>
      <c r="D23885" s="21" t="s">
        <v>34</v>
      </c>
      <c r="E23885" s="21" t="s">
        <v>35</v>
      </c>
      <c r="F23885">
        <v>7590162</v>
      </c>
      <c r="G23885" t="s">
        <v>7211</v>
      </c>
      <c r="H23885" s="21">
        <v>666.17</v>
      </c>
    </row>
    <row r="23886" spans="1:8" customFormat="1" x14ac:dyDescent="0.25">
      <c r="A23886" t="str">
        <f>"279334"</f>
        <v>279334</v>
      </c>
      <c r="B23886" t="s">
        <v>27758</v>
      </c>
      <c r="C23886" t="s">
        <v>1914</v>
      </c>
      <c r="D23886" s="21" t="s">
        <v>34</v>
      </c>
      <c r="E23886" s="21" t="s">
        <v>35</v>
      </c>
      <c r="F23886">
        <v>9270137</v>
      </c>
      <c r="G23886" t="s">
        <v>3714</v>
      </c>
      <c r="H23886" s="21">
        <v>666.17</v>
      </c>
    </row>
    <row r="23887" spans="1:8" customFormat="1" x14ac:dyDescent="0.25">
      <c r="A23887" t="str">
        <f>"6720822"</f>
        <v>6720822</v>
      </c>
      <c r="B23887" t="s">
        <v>19202</v>
      </c>
      <c r="C23887" t="s">
        <v>156</v>
      </c>
      <c r="D23887" s="21" t="s">
        <v>34</v>
      </c>
      <c r="E23887" s="21" t="s">
        <v>35</v>
      </c>
      <c r="F23887">
        <v>6670246</v>
      </c>
      <c r="G23887" t="s">
        <v>7707</v>
      </c>
      <c r="H23887" s="21">
        <v>666.17</v>
      </c>
    </row>
    <row r="23888" spans="1:8" customFormat="1" x14ac:dyDescent="0.25">
      <c r="A23888" t="str">
        <f>"7620340"</f>
        <v>7620340</v>
      </c>
      <c r="B23888" t="s">
        <v>17095</v>
      </c>
      <c r="C23888" t="s">
        <v>263</v>
      </c>
      <c r="D23888" s="21" t="s">
        <v>34</v>
      </c>
      <c r="E23888" s="21" t="s">
        <v>71</v>
      </c>
      <c r="F23888">
        <v>9760070</v>
      </c>
      <c r="G23888" t="s">
        <v>6226</v>
      </c>
      <c r="H23888" s="21">
        <v>666.17</v>
      </c>
    </row>
    <row r="23889" spans="1:8" customFormat="1" x14ac:dyDescent="0.25">
      <c r="A23889" t="str">
        <f>"775550"</f>
        <v>775550</v>
      </c>
      <c r="B23889" t="s">
        <v>17486</v>
      </c>
      <c r="C23889" t="s">
        <v>493</v>
      </c>
      <c r="D23889" s="21" t="s">
        <v>34</v>
      </c>
      <c r="E23889" s="21" t="s">
        <v>71</v>
      </c>
      <c r="F23889">
        <v>8771304</v>
      </c>
      <c r="G23889" t="s">
        <v>5314</v>
      </c>
      <c r="H23889" s="21">
        <v>666.17</v>
      </c>
    </row>
    <row r="23890" spans="1:8" customFormat="1" x14ac:dyDescent="0.25">
      <c r="A23890" t="str">
        <f>"2516167"</f>
        <v>2516167</v>
      </c>
      <c r="B23890" t="s">
        <v>1895</v>
      </c>
      <c r="C23890" t="s">
        <v>2520</v>
      </c>
      <c r="D23890" s="21" t="s">
        <v>34</v>
      </c>
      <c r="E23890" s="21" t="s">
        <v>1089</v>
      </c>
      <c r="F23890">
        <v>2250015</v>
      </c>
      <c r="G23890" t="s">
        <v>4776</v>
      </c>
      <c r="H23890" s="21">
        <v>666.17</v>
      </c>
    </row>
    <row r="23891" spans="1:8" customFormat="1" x14ac:dyDescent="0.25">
      <c r="A23891" t="str">
        <f>"8315388"</f>
        <v>8315388</v>
      </c>
      <c r="B23891" t="s">
        <v>3324</v>
      </c>
      <c r="C23891" t="s">
        <v>209</v>
      </c>
      <c r="D23891" s="21" t="s">
        <v>34</v>
      </c>
      <c r="E23891" s="21" t="s">
        <v>71</v>
      </c>
      <c r="F23891">
        <v>13830035</v>
      </c>
      <c r="G23891" t="s">
        <v>8309</v>
      </c>
      <c r="H23891" s="21">
        <v>666.17</v>
      </c>
    </row>
    <row r="23892" spans="1:8" customFormat="1" x14ac:dyDescent="0.25">
      <c r="A23892" t="str">
        <f>"3332116"</f>
        <v>3332116</v>
      </c>
      <c r="B23892" t="s">
        <v>2362</v>
      </c>
      <c r="C23892" t="s">
        <v>209</v>
      </c>
      <c r="D23892" s="21" t="s">
        <v>34</v>
      </c>
      <c r="E23892" s="21" t="s">
        <v>71</v>
      </c>
      <c r="F23892">
        <v>10330022</v>
      </c>
      <c r="G23892" t="s">
        <v>1830</v>
      </c>
      <c r="H23892" s="21">
        <v>666.17</v>
      </c>
    </row>
    <row r="23893" spans="1:8" customFormat="1" x14ac:dyDescent="0.25">
      <c r="A23893" t="str">
        <f>"2218665"</f>
        <v>2218665</v>
      </c>
      <c r="B23893" t="s">
        <v>11927</v>
      </c>
      <c r="C23893" t="s">
        <v>415</v>
      </c>
      <c r="D23893" s="21" t="s">
        <v>34</v>
      </c>
      <c r="E23893" s="21" t="s">
        <v>71</v>
      </c>
      <c r="F23893">
        <v>3220002</v>
      </c>
      <c r="G23893" t="s">
        <v>26727</v>
      </c>
      <c r="H23893" s="21">
        <v>666.17</v>
      </c>
    </row>
    <row r="23894" spans="1:8" customFormat="1" x14ac:dyDescent="0.25">
      <c r="A23894" t="str">
        <f>"3726387"</f>
        <v>3726387</v>
      </c>
      <c r="B23894" t="s">
        <v>20274</v>
      </c>
      <c r="C23894" t="s">
        <v>204</v>
      </c>
      <c r="D23894" s="21" t="s">
        <v>34</v>
      </c>
      <c r="E23894" s="21" t="s">
        <v>35</v>
      </c>
      <c r="F23894">
        <v>4370548</v>
      </c>
      <c r="G23894" t="s">
        <v>7106</v>
      </c>
      <c r="H23894" s="21">
        <v>666.17</v>
      </c>
    </row>
    <row r="23895" spans="1:8" customFormat="1" x14ac:dyDescent="0.25">
      <c r="A23895" t="str">
        <f>"5323097"</f>
        <v>5323097</v>
      </c>
      <c r="B23895" t="s">
        <v>14909</v>
      </c>
      <c r="C23895" t="s">
        <v>139</v>
      </c>
      <c r="D23895" s="21" t="s">
        <v>34</v>
      </c>
      <c r="E23895" s="21" t="s">
        <v>35</v>
      </c>
      <c r="F23895">
        <v>12530144</v>
      </c>
      <c r="G23895" t="s">
        <v>10892</v>
      </c>
      <c r="H23895" s="21">
        <v>666</v>
      </c>
    </row>
    <row r="23896" spans="1:8" customFormat="1" x14ac:dyDescent="0.25">
      <c r="A23896" t="str">
        <f>"5940766"</f>
        <v>5940766</v>
      </c>
      <c r="B23896" t="s">
        <v>13893</v>
      </c>
      <c r="C23896" t="s">
        <v>147</v>
      </c>
      <c r="D23896" s="21" t="s">
        <v>34</v>
      </c>
      <c r="E23896" s="21" t="s">
        <v>35</v>
      </c>
      <c r="F23896">
        <v>7590012</v>
      </c>
      <c r="G23896" t="s">
        <v>15886</v>
      </c>
      <c r="H23896" s="21">
        <v>665.92</v>
      </c>
    </row>
    <row r="23897" spans="1:8" customFormat="1" x14ac:dyDescent="0.25">
      <c r="A23897" t="str">
        <f>"2719906"</f>
        <v>2719906</v>
      </c>
      <c r="B23897" t="s">
        <v>7149</v>
      </c>
      <c r="C23897" t="s">
        <v>486</v>
      </c>
      <c r="D23897" s="21" t="s">
        <v>34</v>
      </c>
      <c r="E23897" s="21" t="s">
        <v>35</v>
      </c>
      <c r="F23897">
        <v>9270030</v>
      </c>
      <c r="G23897" t="s">
        <v>5853</v>
      </c>
      <c r="H23897" s="21">
        <v>665.92</v>
      </c>
    </row>
    <row r="23898" spans="1:8" customFormat="1" x14ac:dyDescent="0.25">
      <c r="A23898" t="str">
        <f>"869004"</f>
        <v>869004</v>
      </c>
      <c r="B23898" t="s">
        <v>1986</v>
      </c>
      <c r="C23898" t="s">
        <v>204</v>
      </c>
      <c r="D23898" s="21" t="s">
        <v>34</v>
      </c>
      <c r="E23898" s="21" t="s">
        <v>71</v>
      </c>
      <c r="F23898">
        <v>10860017</v>
      </c>
      <c r="G23898" t="s">
        <v>2439</v>
      </c>
      <c r="H23898" s="21">
        <v>665.92</v>
      </c>
    </row>
    <row r="23899" spans="1:8" customFormat="1" x14ac:dyDescent="0.25">
      <c r="A23899" t="str">
        <f>"846127"</f>
        <v>846127</v>
      </c>
      <c r="B23899" t="s">
        <v>27759</v>
      </c>
      <c r="C23899" t="s">
        <v>328</v>
      </c>
      <c r="D23899" s="21" t="s">
        <v>34</v>
      </c>
      <c r="E23899" s="21" t="s">
        <v>35</v>
      </c>
      <c r="F23899">
        <v>13840012</v>
      </c>
      <c r="G23899" t="s">
        <v>5143</v>
      </c>
      <c r="H23899" s="21">
        <v>665.92</v>
      </c>
    </row>
    <row r="23900" spans="1:8" customFormat="1" x14ac:dyDescent="0.25">
      <c r="A23900" t="str">
        <f>"6315227"</f>
        <v>6315227</v>
      </c>
      <c r="B23900" t="s">
        <v>20966</v>
      </c>
      <c r="C23900" t="s">
        <v>204</v>
      </c>
      <c r="D23900" s="21" t="s">
        <v>34</v>
      </c>
      <c r="E23900" s="21" t="s">
        <v>35</v>
      </c>
      <c r="F23900">
        <v>1630329</v>
      </c>
      <c r="G23900" t="s">
        <v>13763</v>
      </c>
      <c r="H23900" s="21">
        <v>665.92</v>
      </c>
    </row>
    <row r="23901" spans="1:8" customFormat="1" x14ac:dyDescent="0.25">
      <c r="A23901" t="str">
        <f>"5941210"</f>
        <v>5941210</v>
      </c>
      <c r="B23901" t="s">
        <v>7041</v>
      </c>
      <c r="C23901" t="s">
        <v>1914</v>
      </c>
      <c r="D23901" s="21" t="s">
        <v>34</v>
      </c>
      <c r="E23901" s="21" t="s">
        <v>71</v>
      </c>
      <c r="F23901">
        <v>7590195</v>
      </c>
      <c r="G23901" t="s">
        <v>5332</v>
      </c>
      <c r="H23901" s="21">
        <v>665.79</v>
      </c>
    </row>
    <row r="23902" spans="1:8" customFormat="1" x14ac:dyDescent="0.25">
      <c r="A23902" t="str">
        <f>"8818084"</f>
        <v>8818084</v>
      </c>
      <c r="B23902" t="s">
        <v>889</v>
      </c>
      <c r="C23902" t="s">
        <v>60</v>
      </c>
      <c r="D23902" s="21" t="s">
        <v>34</v>
      </c>
      <c r="E23902" s="21" t="s">
        <v>35</v>
      </c>
      <c r="F23902">
        <v>6880071</v>
      </c>
      <c r="G23902" t="s">
        <v>4226</v>
      </c>
      <c r="H23902" s="21">
        <v>665.79</v>
      </c>
    </row>
    <row r="23903" spans="1:8" customFormat="1" x14ac:dyDescent="0.25">
      <c r="A23903" t="str">
        <f>"3419790"</f>
        <v>3419790</v>
      </c>
      <c r="B23903" t="s">
        <v>27760</v>
      </c>
      <c r="C23903" t="s">
        <v>719</v>
      </c>
      <c r="D23903" s="21" t="s">
        <v>34</v>
      </c>
      <c r="E23903" s="21" t="s">
        <v>35</v>
      </c>
      <c r="F23903">
        <v>11340014</v>
      </c>
      <c r="G23903" t="s">
        <v>1455</v>
      </c>
      <c r="H23903" s="21">
        <v>665.75</v>
      </c>
    </row>
    <row r="23904" spans="1:8" customFormat="1" x14ac:dyDescent="0.25">
      <c r="A23904" t="str">
        <f>"5710062"</f>
        <v>5710062</v>
      </c>
      <c r="B23904" t="s">
        <v>7681</v>
      </c>
      <c r="C23904" t="s">
        <v>1271</v>
      </c>
      <c r="D23904" s="21" t="s">
        <v>34</v>
      </c>
      <c r="E23904" s="21" t="s">
        <v>71</v>
      </c>
      <c r="F23904">
        <v>6570167</v>
      </c>
      <c r="G23904" t="s">
        <v>1174</v>
      </c>
      <c r="H23904" s="21">
        <v>665.67</v>
      </c>
    </row>
    <row r="23905" spans="1:8" customFormat="1" x14ac:dyDescent="0.25">
      <c r="A23905" t="str">
        <f>"7517335"</f>
        <v>7517335</v>
      </c>
      <c r="B23905" t="s">
        <v>18327</v>
      </c>
      <c r="C23905" t="s">
        <v>96</v>
      </c>
      <c r="D23905" s="21" t="s">
        <v>34</v>
      </c>
      <c r="E23905" s="21" t="s">
        <v>35</v>
      </c>
      <c r="F23905">
        <v>8751061</v>
      </c>
      <c r="G23905" t="s">
        <v>26628</v>
      </c>
      <c r="H23905" s="21">
        <v>665.67</v>
      </c>
    </row>
    <row r="23906" spans="1:8" customFormat="1" x14ac:dyDescent="0.25">
      <c r="A23906" t="str">
        <f>"5715916"</f>
        <v>5715916</v>
      </c>
      <c r="B23906" t="s">
        <v>7681</v>
      </c>
      <c r="C23906" t="s">
        <v>547</v>
      </c>
      <c r="D23906" s="21" t="s">
        <v>34</v>
      </c>
      <c r="E23906" s="21" t="s">
        <v>71</v>
      </c>
      <c r="F23906">
        <v>6570005</v>
      </c>
      <c r="G23906" t="s">
        <v>351</v>
      </c>
      <c r="H23906" s="21">
        <v>665.67</v>
      </c>
    </row>
    <row r="23907" spans="1:8" customFormat="1" x14ac:dyDescent="0.25">
      <c r="A23907" t="str">
        <f>"4434355"</f>
        <v>4434355</v>
      </c>
      <c r="B23907" t="s">
        <v>3878</v>
      </c>
      <c r="C23907" t="s">
        <v>263</v>
      </c>
      <c r="D23907" s="21" t="s">
        <v>34</v>
      </c>
      <c r="E23907" s="21" t="s">
        <v>71</v>
      </c>
      <c r="F23907">
        <v>12440112</v>
      </c>
      <c r="G23907" t="s">
        <v>9188</v>
      </c>
      <c r="H23907" s="21">
        <v>665.67</v>
      </c>
    </row>
    <row r="23908" spans="1:8" customFormat="1" x14ac:dyDescent="0.25">
      <c r="A23908" t="str">
        <f>"4445138"</f>
        <v>4445138</v>
      </c>
      <c r="B23908" t="s">
        <v>18104</v>
      </c>
      <c r="C23908" t="s">
        <v>2958</v>
      </c>
      <c r="D23908" s="21" t="s">
        <v>34</v>
      </c>
      <c r="E23908" s="21" t="s">
        <v>254</v>
      </c>
      <c r="F23908">
        <v>12440029</v>
      </c>
      <c r="G23908" t="s">
        <v>567</v>
      </c>
      <c r="H23908" s="21">
        <v>665.67</v>
      </c>
    </row>
    <row r="23909" spans="1:8" customFormat="1" x14ac:dyDescent="0.25">
      <c r="A23909" t="str">
        <f>"77221"</f>
        <v>77221</v>
      </c>
      <c r="B23909" t="s">
        <v>17249</v>
      </c>
      <c r="C23909" t="s">
        <v>1665</v>
      </c>
      <c r="D23909" s="21" t="s">
        <v>34</v>
      </c>
      <c r="E23909" s="21" t="s">
        <v>1089</v>
      </c>
      <c r="F23909">
        <v>8770250</v>
      </c>
      <c r="G23909" t="s">
        <v>2595</v>
      </c>
      <c r="H23909" s="21">
        <v>665.67</v>
      </c>
    </row>
    <row r="23910" spans="1:8" customFormat="1" x14ac:dyDescent="0.25">
      <c r="A23910" t="str">
        <f>"6216684"</f>
        <v>6216684</v>
      </c>
      <c r="B23910" t="s">
        <v>27761</v>
      </c>
      <c r="C23910" t="s">
        <v>98</v>
      </c>
      <c r="D23910" s="21" t="s">
        <v>34</v>
      </c>
      <c r="E23910" s="21" t="s">
        <v>35</v>
      </c>
      <c r="F23910">
        <v>7620024</v>
      </c>
      <c r="G23910" t="s">
        <v>2975</v>
      </c>
      <c r="H23910" s="21">
        <v>665.67</v>
      </c>
    </row>
    <row r="23911" spans="1:8" customFormat="1" x14ac:dyDescent="0.25">
      <c r="A23911" t="str">
        <f>"6112154"</f>
        <v>6112154</v>
      </c>
      <c r="B23911" t="s">
        <v>14450</v>
      </c>
      <c r="C23911" t="s">
        <v>598</v>
      </c>
      <c r="D23911" s="21" t="s">
        <v>34</v>
      </c>
      <c r="E23911" s="21" t="s">
        <v>254</v>
      </c>
      <c r="F23911">
        <v>9610119</v>
      </c>
      <c r="G23911" t="s">
        <v>6655</v>
      </c>
      <c r="H23911" s="21">
        <v>665.67</v>
      </c>
    </row>
    <row r="23912" spans="1:8" customFormat="1" x14ac:dyDescent="0.25">
      <c r="A23912" t="str">
        <f>"8511772"</f>
        <v>8511772</v>
      </c>
      <c r="B23912" t="s">
        <v>17438</v>
      </c>
      <c r="C23912" t="s">
        <v>187</v>
      </c>
      <c r="D23912" s="21" t="s">
        <v>34</v>
      </c>
      <c r="E23912" s="21" t="s">
        <v>35</v>
      </c>
      <c r="F23912">
        <v>12850109</v>
      </c>
      <c r="G23912" t="s">
        <v>2714</v>
      </c>
      <c r="H23912" s="21">
        <v>665.67</v>
      </c>
    </row>
    <row r="23913" spans="1:8" customFormat="1" x14ac:dyDescent="0.25">
      <c r="A23913" t="str">
        <f>"4920434"</f>
        <v>4920434</v>
      </c>
      <c r="B23913" t="s">
        <v>11715</v>
      </c>
      <c r="C23913" t="s">
        <v>2100</v>
      </c>
      <c r="D23913" s="21" t="s">
        <v>34</v>
      </c>
      <c r="E23913" s="21" t="s">
        <v>71</v>
      </c>
      <c r="F23913">
        <v>12490107</v>
      </c>
      <c r="G23913" t="s">
        <v>715</v>
      </c>
      <c r="H23913" s="21">
        <v>665.67</v>
      </c>
    </row>
    <row r="23914" spans="1:8" customFormat="1" x14ac:dyDescent="0.25">
      <c r="A23914" t="str">
        <f>"219371"</f>
        <v>219371</v>
      </c>
      <c r="B23914" t="s">
        <v>1885</v>
      </c>
      <c r="C23914" t="s">
        <v>3073</v>
      </c>
      <c r="D23914" s="21" t="s">
        <v>34</v>
      </c>
      <c r="E23914" s="21" t="s">
        <v>71</v>
      </c>
      <c r="F23914">
        <v>2210127</v>
      </c>
      <c r="G23914" t="s">
        <v>3447</v>
      </c>
      <c r="H23914" s="21">
        <v>665.67</v>
      </c>
    </row>
    <row r="23915" spans="1:8" customFormat="1" x14ac:dyDescent="0.25">
      <c r="A23915" t="str">
        <f>"0611015"</f>
        <v>0611015</v>
      </c>
      <c r="B23915" t="s">
        <v>392</v>
      </c>
      <c r="C23915" t="s">
        <v>62</v>
      </c>
      <c r="D23915" s="21" t="s">
        <v>34</v>
      </c>
      <c r="E23915" s="21" t="s">
        <v>35</v>
      </c>
      <c r="F23915">
        <v>13060110</v>
      </c>
      <c r="G23915" t="s">
        <v>3268</v>
      </c>
      <c r="H23915" s="21">
        <v>665.67</v>
      </c>
    </row>
    <row r="23916" spans="1:8" customFormat="1" x14ac:dyDescent="0.25">
      <c r="A23916" t="str">
        <f>"222643"</f>
        <v>222643</v>
      </c>
      <c r="B23916" t="s">
        <v>3681</v>
      </c>
      <c r="C23916" t="s">
        <v>2232</v>
      </c>
      <c r="D23916" s="21" t="s">
        <v>34</v>
      </c>
      <c r="E23916" s="21" t="s">
        <v>254</v>
      </c>
      <c r="F23916">
        <v>3220031</v>
      </c>
      <c r="G23916" t="s">
        <v>26743</v>
      </c>
      <c r="H23916" s="21">
        <v>665.67</v>
      </c>
    </row>
    <row r="23917" spans="1:8" customFormat="1" x14ac:dyDescent="0.25">
      <c r="A23917" t="str">
        <f>"7518685"</f>
        <v>7518685</v>
      </c>
      <c r="B23917" t="s">
        <v>17821</v>
      </c>
      <c r="C23917" t="s">
        <v>8120</v>
      </c>
      <c r="D23917" s="21" t="s">
        <v>34</v>
      </c>
      <c r="E23917" s="21" t="s">
        <v>35</v>
      </c>
      <c r="F23917">
        <v>8750117</v>
      </c>
      <c r="G23917" t="s">
        <v>3516</v>
      </c>
      <c r="H23917" s="21">
        <v>665.67</v>
      </c>
    </row>
    <row r="23918" spans="1:8" customFormat="1" x14ac:dyDescent="0.25">
      <c r="A23918" t="str">
        <f>"4417605"</f>
        <v>4417605</v>
      </c>
      <c r="B23918" t="s">
        <v>4332</v>
      </c>
      <c r="C23918" t="s">
        <v>320</v>
      </c>
      <c r="D23918" s="21" t="s">
        <v>34</v>
      </c>
      <c r="E23918" s="21" t="s">
        <v>35</v>
      </c>
      <c r="F23918">
        <v>12440094</v>
      </c>
      <c r="G23918" t="s">
        <v>892</v>
      </c>
      <c r="H23918" s="21">
        <v>665.67</v>
      </c>
    </row>
    <row r="23919" spans="1:8" customFormat="1" x14ac:dyDescent="0.25">
      <c r="A23919" t="str">
        <f>"853851"</f>
        <v>853851</v>
      </c>
      <c r="B23919" t="s">
        <v>6507</v>
      </c>
      <c r="C23919" t="s">
        <v>209</v>
      </c>
      <c r="D23919" s="21" t="s">
        <v>34</v>
      </c>
      <c r="E23919" s="21" t="s">
        <v>254</v>
      </c>
      <c r="F23919">
        <v>12850104</v>
      </c>
      <c r="G23919" t="s">
        <v>6556</v>
      </c>
      <c r="H23919" s="21">
        <v>665.67</v>
      </c>
    </row>
    <row r="23920" spans="1:8" customFormat="1" x14ac:dyDescent="0.25">
      <c r="A23920" t="str">
        <f>"2516072"</f>
        <v>2516072</v>
      </c>
      <c r="B23920" t="s">
        <v>13672</v>
      </c>
      <c r="C23920" t="s">
        <v>121</v>
      </c>
      <c r="D23920" s="21" t="s">
        <v>34</v>
      </c>
      <c r="E23920" s="21" t="s">
        <v>35</v>
      </c>
      <c r="F23920">
        <v>2250193</v>
      </c>
      <c r="G23920" t="s">
        <v>2584</v>
      </c>
      <c r="H23920" s="21">
        <v>665.67</v>
      </c>
    </row>
    <row r="23921" spans="1:8" customFormat="1" x14ac:dyDescent="0.25">
      <c r="A23921" t="str">
        <f>"1417121"</f>
        <v>1417121</v>
      </c>
      <c r="B23921" t="s">
        <v>17866</v>
      </c>
      <c r="C23921" t="s">
        <v>1025</v>
      </c>
      <c r="D23921" s="21" t="s">
        <v>34</v>
      </c>
      <c r="E23921" s="21" t="s">
        <v>254</v>
      </c>
      <c r="F23921">
        <v>9140071</v>
      </c>
      <c r="G23921" t="s">
        <v>1775</v>
      </c>
      <c r="H23921" s="21">
        <v>665.67</v>
      </c>
    </row>
    <row r="23922" spans="1:8" customFormat="1" x14ac:dyDescent="0.25">
      <c r="A23922" t="str">
        <f>"7638605"</f>
        <v>7638605</v>
      </c>
      <c r="B23922" t="s">
        <v>3952</v>
      </c>
      <c r="C23922" t="s">
        <v>415</v>
      </c>
      <c r="D23922" s="21" t="s">
        <v>34</v>
      </c>
      <c r="E23922" s="21" t="s">
        <v>71</v>
      </c>
      <c r="F23922">
        <v>7800102</v>
      </c>
      <c r="G23922" t="s">
        <v>1148</v>
      </c>
      <c r="H23922" s="21">
        <v>665.67</v>
      </c>
    </row>
    <row r="23923" spans="1:8" customFormat="1" x14ac:dyDescent="0.25">
      <c r="A23923" t="str">
        <f>"9234097"</f>
        <v>9234097</v>
      </c>
      <c r="B23923" t="s">
        <v>2854</v>
      </c>
      <c r="C23923" t="s">
        <v>18762</v>
      </c>
      <c r="D23923" s="21" t="s">
        <v>34</v>
      </c>
      <c r="E23923" s="21" t="s">
        <v>35</v>
      </c>
      <c r="F23923">
        <v>8921190</v>
      </c>
      <c r="G23923" t="s">
        <v>810</v>
      </c>
      <c r="H23923" s="21">
        <v>665.17</v>
      </c>
    </row>
    <row r="23924" spans="1:8" customFormat="1" x14ac:dyDescent="0.25">
      <c r="A23924" t="str">
        <f>"6230480"</f>
        <v>6230480</v>
      </c>
      <c r="B23924" t="s">
        <v>18588</v>
      </c>
      <c r="C23924" t="s">
        <v>249</v>
      </c>
      <c r="D23924" s="21" t="s">
        <v>34</v>
      </c>
      <c r="E23924" s="21" t="s">
        <v>71</v>
      </c>
      <c r="F23924">
        <v>7620183</v>
      </c>
      <c r="G23924" t="s">
        <v>8030</v>
      </c>
      <c r="H23924" s="21">
        <v>665.17</v>
      </c>
    </row>
    <row r="23925" spans="1:8" customFormat="1" x14ac:dyDescent="0.25">
      <c r="A23925" t="str">
        <f>"101658"</f>
        <v>101658</v>
      </c>
      <c r="B23925" t="s">
        <v>691</v>
      </c>
      <c r="C23925" t="s">
        <v>462</v>
      </c>
      <c r="D23925" s="21" t="s">
        <v>34</v>
      </c>
      <c r="E23925" s="21" t="s">
        <v>71</v>
      </c>
      <c r="F23925">
        <v>6100007</v>
      </c>
      <c r="G23925" t="s">
        <v>9706</v>
      </c>
      <c r="H23925" s="21">
        <v>665.17</v>
      </c>
    </row>
    <row r="23926" spans="1:8" customFormat="1" x14ac:dyDescent="0.25">
      <c r="A23926" t="str">
        <f>"883789"</f>
        <v>883789</v>
      </c>
      <c r="B23926" t="s">
        <v>16431</v>
      </c>
      <c r="C23926" t="s">
        <v>720</v>
      </c>
      <c r="D23926" s="21" t="s">
        <v>34</v>
      </c>
      <c r="E23926" s="21" t="s">
        <v>254</v>
      </c>
      <c r="F23926">
        <v>6880064</v>
      </c>
      <c r="G23926" t="s">
        <v>7090</v>
      </c>
      <c r="H23926" s="21">
        <v>665.17</v>
      </c>
    </row>
    <row r="23927" spans="1:8" customFormat="1" x14ac:dyDescent="0.25">
      <c r="A23927" t="str">
        <f>"17461"</f>
        <v>17461</v>
      </c>
      <c r="B23927" t="s">
        <v>2416</v>
      </c>
      <c r="C23927" t="s">
        <v>2305</v>
      </c>
      <c r="D23927" s="21" t="s">
        <v>34</v>
      </c>
      <c r="E23927" s="21" t="s">
        <v>1089</v>
      </c>
      <c r="F23927">
        <v>10170050</v>
      </c>
      <c r="G23927" t="s">
        <v>2514</v>
      </c>
      <c r="H23927" s="21">
        <v>665.17</v>
      </c>
    </row>
    <row r="23928" spans="1:8" customFormat="1" x14ac:dyDescent="0.25">
      <c r="A23928" t="str">
        <f>"2929752"</f>
        <v>2929752</v>
      </c>
      <c r="B23928" t="s">
        <v>18045</v>
      </c>
      <c r="C23928" t="s">
        <v>2322</v>
      </c>
      <c r="D23928" s="21" t="s">
        <v>34</v>
      </c>
      <c r="E23928" s="21" t="s">
        <v>35</v>
      </c>
      <c r="F23928">
        <v>3290015</v>
      </c>
      <c r="G23928" t="s">
        <v>3040</v>
      </c>
      <c r="H23928" s="21">
        <v>665.17</v>
      </c>
    </row>
    <row r="23929" spans="1:8" customFormat="1" x14ac:dyDescent="0.25">
      <c r="A23929" t="str">
        <f>"8810600"</f>
        <v>8810600</v>
      </c>
      <c r="B23929" t="s">
        <v>13720</v>
      </c>
      <c r="C23929" t="s">
        <v>269</v>
      </c>
      <c r="D23929" s="21" t="s">
        <v>34</v>
      </c>
      <c r="E23929" s="21" t="s">
        <v>71</v>
      </c>
      <c r="F23929">
        <v>6880119</v>
      </c>
      <c r="G23929" t="s">
        <v>3443</v>
      </c>
      <c r="H23929" s="21">
        <v>665.17</v>
      </c>
    </row>
    <row r="23930" spans="1:8" customFormat="1" x14ac:dyDescent="0.25">
      <c r="A23930" t="str">
        <f>"851746"</f>
        <v>851746</v>
      </c>
      <c r="B23930" t="s">
        <v>2978</v>
      </c>
      <c r="C23930" t="s">
        <v>2520</v>
      </c>
      <c r="D23930" s="21" t="s">
        <v>34</v>
      </c>
      <c r="E23930" s="21" t="s">
        <v>254</v>
      </c>
      <c r="F23930">
        <v>12850057</v>
      </c>
      <c r="G23930" t="s">
        <v>1291</v>
      </c>
      <c r="H23930" s="21">
        <v>665.17</v>
      </c>
    </row>
    <row r="23931" spans="1:8" customFormat="1" x14ac:dyDescent="0.25">
      <c r="A23931" t="str">
        <f>"259627"</f>
        <v>259627</v>
      </c>
      <c r="B23931" t="s">
        <v>17042</v>
      </c>
      <c r="C23931" t="s">
        <v>2520</v>
      </c>
      <c r="D23931" s="21" t="s">
        <v>34</v>
      </c>
      <c r="E23931" s="21" t="s">
        <v>254</v>
      </c>
      <c r="F23931">
        <v>2250031</v>
      </c>
      <c r="G23931" t="s">
        <v>3011</v>
      </c>
      <c r="H23931" s="21">
        <v>665.17</v>
      </c>
    </row>
    <row r="23932" spans="1:8" customFormat="1" x14ac:dyDescent="0.25">
      <c r="A23932" t="str">
        <f>"0615433"</f>
        <v>0615433</v>
      </c>
      <c r="B23932" t="s">
        <v>18320</v>
      </c>
      <c r="C23932" t="s">
        <v>3109</v>
      </c>
      <c r="D23932" s="21" t="s">
        <v>34</v>
      </c>
      <c r="E23932" s="21" t="s">
        <v>35</v>
      </c>
      <c r="F23932">
        <v>13060082</v>
      </c>
      <c r="G23932" t="s">
        <v>11729</v>
      </c>
      <c r="H23932" s="21">
        <v>665.17</v>
      </c>
    </row>
    <row r="23933" spans="1:8" customFormat="1" x14ac:dyDescent="0.25">
      <c r="A23933" t="str">
        <f>"7628734"</f>
        <v>7628734</v>
      </c>
      <c r="B23933" t="s">
        <v>13329</v>
      </c>
      <c r="C23933" t="s">
        <v>169</v>
      </c>
      <c r="D23933" s="21" t="s">
        <v>34</v>
      </c>
      <c r="E23933" s="21" t="s">
        <v>35</v>
      </c>
      <c r="F23933">
        <v>9760377</v>
      </c>
      <c r="G23933" t="s">
        <v>6631</v>
      </c>
      <c r="H23933" s="21">
        <v>665.17</v>
      </c>
    </row>
    <row r="23934" spans="1:8" customFormat="1" x14ac:dyDescent="0.25">
      <c r="A23934" t="str">
        <f>"223944"</f>
        <v>223944</v>
      </c>
      <c r="B23934" t="s">
        <v>17204</v>
      </c>
      <c r="C23934" t="s">
        <v>253</v>
      </c>
      <c r="D23934" s="21" t="s">
        <v>34</v>
      </c>
      <c r="E23934" s="21" t="s">
        <v>254</v>
      </c>
      <c r="F23934">
        <v>3220002</v>
      </c>
      <c r="G23934" t="s">
        <v>26727</v>
      </c>
      <c r="H23934" s="21">
        <v>665.17</v>
      </c>
    </row>
    <row r="23935" spans="1:8" customFormat="1" x14ac:dyDescent="0.25">
      <c r="A23935" t="str">
        <f>"112921"</f>
        <v>112921</v>
      </c>
      <c r="B23935" t="s">
        <v>18709</v>
      </c>
      <c r="C23935" t="s">
        <v>249</v>
      </c>
      <c r="D23935" s="21" t="s">
        <v>34</v>
      </c>
      <c r="E23935" s="21" t="s">
        <v>71</v>
      </c>
      <c r="F23935">
        <v>11110023</v>
      </c>
      <c r="G23935" t="s">
        <v>1849</v>
      </c>
      <c r="H23935" s="21">
        <v>665.17</v>
      </c>
    </row>
    <row r="23936" spans="1:8" customFormat="1" x14ac:dyDescent="0.25">
      <c r="A23936" t="str">
        <f>"9242029"</f>
        <v>9242029</v>
      </c>
      <c r="B23936" t="s">
        <v>15848</v>
      </c>
      <c r="C23936" t="s">
        <v>2322</v>
      </c>
      <c r="D23936" s="21" t="s">
        <v>34</v>
      </c>
      <c r="E23936" s="21" t="s">
        <v>35</v>
      </c>
      <c r="F23936">
        <v>8921256</v>
      </c>
      <c r="G23936" t="s">
        <v>1038</v>
      </c>
      <c r="H23936" s="21">
        <v>665.17</v>
      </c>
    </row>
    <row r="23937" spans="1:8" customFormat="1" x14ac:dyDescent="0.25">
      <c r="A23937" t="str">
        <f>"5961519"</f>
        <v>5961519</v>
      </c>
      <c r="B23937" t="s">
        <v>20523</v>
      </c>
      <c r="C23937" t="s">
        <v>60</v>
      </c>
      <c r="D23937" s="21" t="s">
        <v>34</v>
      </c>
      <c r="E23937" s="21" t="s">
        <v>35</v>
      </c>
      <c r="F23937">
        <v>7590390</v>
      </c>
      <c r="G23937" t="s">
        <v>18075</v>
      </c>
      <c r="H23937" s="21">
        <v>665.17</v>
      </c>
    </row>
    <row r="23938" spans="1:8" customFormat="1" x14ac:dyDescent="0.25">
      <c r="A23938" t="str">
        <f>"7631758"</f>
        <v>7631758</v>
      </c>
      <c r="B23938" t="s">
        <v>650</v>
      </c>
      <c r="C23938" t="s">
        <v>3456</v>
      </c>
      <c r="D23938" s="21" t="s">
        <v>34</v>
      </c>
      <c r="E23938" s="21" t="s">
        <v>254</v>
      </c>
      <c r="F23938">
        <v>9760100</v>
      </c>
      <c r="G23938" t="s">
        <v>9182</v>
      </c>
      <c r="H23938" s="21">
        <v>665.17</v>
      </c>
    </row>
    <row r="23939" spans="1:8" customFormat="1" x14ac:dyDescent="0.25">
      <c r="A23939" t="str">
        <f>"9251006"</f>
        <v>9251006</v>
      </c>
      <c r="B23939" t="s">
        <v>19517</v>
      </c>
      <c r="C23939" t="s">
        <v>169</v>
      </c>
      <c r="D23939" s="21" t="s">
        <v>34</v>
      </c>
      <c r="E23939" s="21" t="s">
        <v>35</v>
      </c>
      <c r="F23939">
        <v>8920151</v>
      </c>
      <c r="G23939" t="s">
        <v>1434</v>
      </c>
      <c r="H23939" s="21">
        <v>665.17</v>
      </c>
    </row>
    <row r="23940" spans="1:8" customFormat="1" x14ac:dyDescent="0.25">
      <c r="A23940" t="str">
        <f>"195085"</f>
        <v>195085</v>
      </c>
      <c r="B23940" t="s">
        <v>17788</v>
      </c>
      <c r="C23940" t="s">
        <v>484</v>
      </c>
      <c r="D23940" s="21" t="s">
        <v>34</v>
      </c>
      <c r="E23940" s="21" t="s">
        <v>35</v>
      </c>
      <c r="F23940">
        <v>10190096</v>
      </c>
      <c r="G23940" t="s">
        <v>3949</v>
      </c>
      <c r="H23940" s="21">
        <v>665.17</v>
      </c>
    </row>
    <row r="23941" spans="1:8" customFormat="1" x14ac:dyDescent="0.25">
      <c r="A23941" t="str">
        <f>"9522344"</f>
        <v>9522344</v>
      </c>
      <c r="B23941" t="s">
        <v>20386</v>
      </c>
      <c r="C23941" t="s">
        <v>20387</v>
      </c>
      <c r="D23941" s="21" t="s">
        <v>34</v>
      </c>
      <c r="E23941" s="21" t="s">
        <v>35</v>
      </c>
      <c r="F23941">
        <v>11340007</v>
      </c>
      <c r="G23941" t="s">
        <v>2278</v>
      </c>
      <c r="H23941" s="21">
        <v>665.17</v>
      </c>
    </row>
    <row r="23942" spans="1:8" customFormat="1" x14ac:dyDescent="0.25">
      <c r="A23942" t="str">
        <f>"5967416"</f>
        <v>5967416</v>
      </c>
      <c r="B23942" t="s">
        <v>19007</v>
      </c>
      <c r="C23942" t="s">
        <v>169</v>
      </c>
      <c r="D23942" s="21" t="s">
        <v>34</v>
      </c>
      <c r="E23942" s="21" t="s">
        <v>71</v>
      </c>
      <c r="F23942">
        <v>7590127</v>
      </c>
      <c r="G23942" t="s">
        <v>214</v>
      </c>
      <c r="H23942" s="21">
        <v>665.17</v>
      </c>
    </row>
    <row r="23943" spans="1:8" customFormat="1" x14ac:dyDescent="0.25">
      <c r="A23943" t="str">
        <f>"3334583"</f>
        <v>3334583</v>
      </c>
      <c r="B23943" t="s">
        <v>18835</v>
      </c>
      <c r="C23943" t="s">
        <v>87</v>
      </c>
      <c r="D23943" s="21" t="s">
        <v>34</v>
      </c>
      <c r="E23943" s="21" t="s">
        <v>71</v>
      </c>
      <c r="F23943">
        <v>10330013</v>
      </c>
      <c r="G23943" t="s">
        <v>613</v>
      </c>
      <c r="H23943" s="21">
        <v>665.17</v>
      </c>
    </row>
    <row r="23944" spans="1:8" customFormat="1" x14ac:dyDescent="0.25">
      <c r="A23944" t="str">
        <f>"7513698"</f>
        <v>7513698</v>
      </c>
      <c r="B23944" t="s">
        <v>17545</v>
      </c>
      <c r="C23944" t="s">
        <v>130</v>
      </c>
      <c r="D23944" s="21" t="s">
        <v>34</v>
      </c>
      <c r="E23944" s="21" t="s">
        <v>254</v>
      </c>
      <c r="F23944">
        <v>8751163</v>
      </c>
      <c r="G23944" t="s">
        <v>80</v>
      </c>
      <c r="H23944" s="21">
        <v>665.17</v>
      </c>
    </row>
    <row r="23945" spans="1:8" customFormat="1" x14ac:dyDescent="0.25">
      <c r="A23945" t="str">
        <f>"315896"</f>
        <v>315896</v>
      </c>
      <c r="B23945" t="s">
        <v>27762</v>
      </c>
      <c r="C23945" t="s">
        <v>547</v>
      </c>
      <c r="D23945" s="21" t="s">
        <v>34</v>
      </c>
      <c r="E23945" s="21" t="s">
        <v>1089</v>
      </c>
      <c r="F23945">
        <v>11310115</v>
      </c>
      <c r="G23945" t="s">
        <v>10519</v>
      </c>
      <c r="H23945" s="21">
        <v>665.17</v>
      </c>
    </row>
    <row r="23946" spans="1:8" customFormat="1" x14ac:dyDescent="0.25">
      <c r="A23946" t="str">
        <f>"6933827"</f>
        <v>6933827</v>
      </c>
      <c r="B23946" t="s">
        <v>18665</v>
      </c>
      <c r="C23946" t="s">
        <v>124</v>
      </c>
      <c r="D23946" s="21" t="s">
        <v>34</v>
      </c>
      <c r="E23946" s="21" t="s">
        <v>71</v>
      </c>
      <c r="F23946">
        <v>1690002</v>
      </c>
      <c r="G23946" t="s">
        <v>5604</v>
      </c>
      <c r="H23946" s="21">
        <v>665.17</v>
      </c>
    </row>
    <row r="23947" spans="1:8" customFormat="1" x14ac:dyDescent="0.25">
      <c r="A23947" t="str">
        <f>"9D2969"</f>
        <v>9D2969</v>
      </c>
      <c r="B23947" t="s">
        <v>697</v>
      </c>
      <c r="C23947" t="s">
        <v>453</v>
      </c>
      <c r="D23947" s="21" t="s">
        <v>34</v>
      </c>
      <c r="E23947" s="21" t="s">
        <v>35</v>
      </c>
      <c r="F23947" t="s">
        <v>13222</v>
      </c>
      <c r="G23947" t="s">
        <v>13223</v>
      </c>
      <c r="H23947" s="21">
        <v>665.17</v>
      </c>
    </row>
    <row r="23948" spans="1:8" customFormat="1" x14ac:dyDescent="0.25">
      <c r="A23948" t="str">
        <f>"29639"</f>
        <v>29639</v>
      </c>
      <c r="B23948" t="s">
        <v>7375</v>
      </c>
      <c r="C23948" t="s">
        <v>1665</v>
      </c>
      <c r="D23948" s="21" t="s">
        <v>34</v>
      </c>
      <c r="E23948" s="21" t="s">
        <v>254</v>
      </c>
      <c r="F23948">
        <v>3290226</v>
      </c>
      <c r="G23948" t="s">
        <v>4637</v>
      </c>
      <c r="H23948" s="21">
        <v>665.17</v>
      </c>
    </row>
    <row r="23949" spans="1:8" customFormat="1" x14ac:dyDescent="0.25">
      <c r="A23949" t="str">
        <f>"3013873"</f>
        <v>3013873</v>
      </c>
      <c r="B23949" t="s">
        <v>20442</v>
      </c>
      <c r="C23949" t="s">
        <v>453</v>
      </c>
      <c r="D23949" s="21" t="s">
        <v>34</v>
      </c>
      <c r="E23949" s="21" t="s">
        <v>71</v>
      </c>
      <c r="F23949">
        <v>11300055</v>
      </c>
      <c r="G23949" t="s">
        <v>14655</v>
      </c>
      <c r="H23949" s="21">
        <v>665.17</v>
      </c>
    </row>
    <row r="23950" spans="1:8" customFormat="1" x14ac:dyDescent="0.25">
      <c r="A23950" t="str">
        <f>"5317528"</f>
        <v>5317528</v>
      </c>
      <c r="B23950" t="s">
        <v>27763</v>
      </c>
      <c r="C23950" t="s">
        <v>55</v>
      </c>
      <c r="D23950" s="21" t="s">
        <v>34</v>
      </c>
      <c r="E23950" s="21" t="s">
        <v>35</v>
      </c>
      <c r="F23950">
        <v>12530063</v>
      </c>
      <c r="G23950" t="s">
        <v>4313</v>
      </c>
      <c r="H23950" s="21">
        <v>665.17</v>
      </c>
    </row>
    <row r="23951" spans="1:8" customFormat="1" x14ac:dyDescent="0.25">
      <c r="A23951" t="str">
        <f>"7719300"</f>
        <v>7719300</v>
      </c>
      <c r="B23951" t="s">
        <v>175</v>
      </c>
      <c r="C23951" t="s">
        <v>37</v>
      </c>
      <c r="D23951" s="21" t="s">
        <v>34</v>
      </c>
      <c r="E23951" s="21" t="s">
        <v>35</v>
      </c>
      <c r="F23951">
        <v>8771085</v>
      </c>
      <c r="G23951" t="s">
        <v>11894</v>
      </c>
      <c r="H23951" s="21">
        <v>665.17</v>
      </c>
    </row>
    <row r="23952" spans="1:8" customFormat="1" x14ac:dyDescent="0.25">
      <c r="A23952" t="str">
        <f>"7212562"</f>
        <v>7212562</v>
      </c>
      <c r="B23952" t="s">
        <v>6359</v>
      </c>
      <c r="C23952" t="s">
        <v>267</v>
      </c>
      <c r="D23952" s="21" t="s">
        <v>34</v>
      </c>
      <c r="E23952" s="21" t="s">
        <v>71</v>
      </c>
      <c r="F23952">
        <v>12720104</v>
      </c>
      <c r="G23952" t="s">
        <v>224</v>
      </c>
      <c r="H23952" s="21">
        <v>665.17</v>
      </c>
    </row>
    <row r="23953" spans="1:8" customFormat="1" x14ac:dyDescent="0.25">
      <c r="A23953" t="str">
        <f>"9138644"</f>
        <v>9138644</v>
      </c>
      <c r="B23953" t="s">
        <v>3338</v>
      </c>
      <c r="C23953" t="s">
        <v>55</v>
      </c>
      <c r="D23953" s="21" t="s">
        <v>34</v>
      </c>
      <c r="E23953" s="21" t="s">
        <v>71</v>
      </c>
      <c r="F23953">
        <v>8910642</v>
      </c>
      <c r="G23953" t="s">
        <v>27027</v>
      </c>
      <c r="H23953" s="21">
        <v>665.17</v>
      </c>
    </row>
    <row r="23954" spans="1:8" customFormat="1" x14ac:dyDescent="0.25">
      <c r="A23954" t="str">
        <f>"149164"</f>
        <v>149164</v>
      </c>
      <c r="B23954" t="s">
        <v>6024</v>
      </c>
      <c r="C23954" t="s">
        <v>33</v>
      </c>
      <c r="D23954" s="21" t="s">
        <v>34</v>
      </c>
      <c r="E23954" s="21" t="s">
        <v>35</v>
      </c>
      <c r="F23954">
        <v>9140189</v>
      </c>
      <c r="G23954" t="s">
        <v>4200</v>
      </c>
      <c r="H23954" s="21">
        <v>665</v>
      </c>
    </row>
    <row r="23955" spans="1:8" customFormat="1" x14ac:dyDescent="0.25">
      <c r="A23955" t="str">
        <f>"5319735"</f>
        <v>5319735</v>
      </c>
      <c r="B23955" t="s">
        <v>14129</v>
      </c>
      <c r="C23955" t="s">
        <v>33</v>
      </c>
      <c r="D23955" s="21" t="s">
        <v>34</v>
      </c>
      <c r="E23955" s="21" t="s">
        <v>35</v>
      </c>
      <c r="F23955">
        <v>12530077</v>
      </c>
      <c r="G23955" t="s">
        <v>9191</v>
      </c>
      <c r="H23955" s="21">
        <v>664.92</v>
      </c>
    </row>
    <row r="23956" spans="1:8" customFormat="1" x14ac:dyDescent="0.25">
      <c r="A23956" t="str">
        <f>"11487"</f>
        <v>11487</v>
      </c>
      <c r="B23956" t="s">
        <v>18016</v>
      </c>
      <c r="C23956" t="s">
        <v>822</v>
      </c>
      <c r="D23956" s="21" t="s">
        <v>34</v>
      </c>
      <c r="E23956" s="21" t="s">
        <v>254</v>
      </c>
      <c r="F23956">
        <v>11110024</v>
      </c>
      <c r="G23956" t="s">
        <v>3378</v>
      </c>
      <c r="H23956" s="21">
        <v>664.92</v>
      </c>
    </row>
    <row r="23957" spans="1:8" customFormat="1" x14ac:dyDescent="0.25">
      <c r="A23957" t="str">
        <f>"5322892"</f>
        <v>5322892</v>
      </c>
      <c r="B23957" t="s">
        <v>556</v>
      </c>
      <c r="C23957" t="s">
        <v>33</v>
      </c>
      <c r="D23957" s="21" t="s">
        <v>34</v>
      </c>
      <c r="E23957" s="21" t="s">
        <v>35</v>
      </c>
      <c r="F23957">
        <v>12530033</v>
      </c>
      <c r="G23957" t="s">
        <v>10046</v>
      </c>
      <c r="H23957" s="21">
        <v>664.92</v>
      </c>
    </row>
    <row r="23958" spans="1:8" customFormat="1" x14ac:dyDescent="0.25">
      <c r="A23958" t="str">
        <f>"418119"</f>
        <v>418119</v>
      </c>
      <c r="B23958" t="s">
        <v>18515</v>
      </c>
      <c r="C23958" t="s">
        <v>498</v>
      </c>
      <c r="D23958" s="21" t="s">
        <v>34</v>
      </c>
      <c r="E23958" s="21" t="s">
        <v>71</v>
      </c>
      <c r="F23958">
        <v>4410728</v>
      </c>
      <c r="G23958" t="s">
        <v>2241</v>
      </c>
      <c r="H23958" s="21">
        <v>664.92</v>
      </c>
    </row>
    <row r="23959" spans="1:8" customFormat="1" x14ac:dyDescent="0.25">
      <c r="A23959" t="str">
        <f>"5325738"</f>
        <v>5325738</v>
      </c>
      <c r="B23959" t="s">
        <v>20823</v>
      </c>
      <c r="C23959" t="s">
        <v>169</v>
      </c>
      <c r="D23959" s="21" t="s">
        <v>34</v>
      </c>
      <c r="E23959" s="21" t="s">
        <v>35</v>
      </c>
      <c r="F23959">
        <v>12530127</v>
      </c>
      <c r="G23959" t="s">
        <v>7067</v>
      </c>
      <c r="H23959" s="21">
        <v>664.92</v>
      </c>
    </row>
    <row r="23960" spans="1:8" customFormat="1" x14ac:dyDescent="0.25">
      <c r="A23960" t="str">
        <f>"1423602"</f>
        <v>1423602</v>
      </c>
      <c r="B23960" t="s">
        <v>18987</v>
      </c>
      <c r="C23960" t="s">
        <v>119</v>
      </c>
      <c r="D23960" s="21" t="s">
        <v>34</v>
      </c>
      <c r="E23960" s="21" t="s">
        <v>71</v>
      </c>
      <c r="F23960">
        <v>9140202</v>
      </c>
      <c r="G23960" t="s">
        <v>2011</v>
      </c>
      <c r="H23960" s="21">
        <v>664.92</v>
      </c>
    </row>
    <row r="23961" spans="1:8" customFormat="1" x14ac:dyDescent="0.25">
      <c r="A23961" t="str">
        <f>"8614357"</f>
        <v>8614357</v>
      </c>
      <c r="B23961" t="s">
        <v>19699</v>
      </c>
      <c r="C23961" t="s">
        <v>169</v>
      </c>
      <c r="D23961" s="21" t="s">
        <v>34</v>
      </c>
      <c r="E23961" s="21" t="s">
        <v>71</v>
      </c>
      <c r="F23961">
        <v>10860187</v>
      </c>
      <c r="G23961" t="s">
        <v>9991</v>
      </c>
      <c r="H23961" s="21">
        <v>664.67</v>
      </c>
    </row>
    <row r="23962" spans="1:8" customFormat="1" x14ac:dyDescent="0.25">
      <c r="A23962" t="str">
        <f>"7912608"</f>
        <v>7912608</v>
      </c>
      <c r="B23962" t="s">
        <v>5684</v>
      </c>
      <c r="C23962" t="s">
        <v>547</v>
      </c>
      <c r="D23962" s="21" t="s">
        <v>34</v>
      </c>
      <c r="E23962" s="21" t="s">
        <v>71</v>
      </c>
      <c r="F23962">
        <v>10790228</v>
      </c>
      <c r="G23962" t="s">
        <v>6692</v>
      </c>
      <c r="H23962" s="21">
        <v>664.67</v>
      </c>
    </row>
    <row r="23963" spans="1:8" customFormat="1" x14ac:dyDescent="0.25">
      <c r="A23963" t="str">
        <f>"4440367"</f>
        <v>4440367</v>
      </c>
      <c r="B23963" t="s">
        <v>18196</v>
      </c>
      <c r="C23963" t="s">
        <v>40</v>
      </c>
      <c r="D23963" s="21" t="s">
        <v>34</v>
      </c>
      <c r="E23963" s="21" t="s">
        <v>35</v>
      </c>
      <c r="F23963">
        <v>12440014</v>
      </c>
      <c r="G23963" t="s">
        <v>6767</v>
      </c>
      <c r="H23963" s="21">
        <v>664.67</v>
      </c>
    </row>
    <row r="23964" spans="1:8" customFormat="1" x14ac:dyDescent="0.25">
      <c r="A23964" t="str">
        <f>"6019106"</f>
        <v>6019106</v>
      </c>
      <c r="B23964" t="s">
        <v>27764</v>
      </c>
      <c r="C23964" t="s">
        <v>621</v>
      </c>
      <c r="D23964" s="21" t="s">
        <v>34</v>
      </c>
      <c r="E23964" s="21" t="s">
        <v>254</v>
      </c>
      <c r="F23964">
        <v>7600044</v>
      </c>
      <c r="G23964" t="s">
        <v>3411</v>
      </c>
      <c r="H23964" s="21">
        <v>664.67</v>
      </c>
    </row>
    <row r="23965" spans="1:8" customFormat="1" x14ac:dyDescent="0.25">
      <c r="A23965" t="str">
        <f>"898825"</f>
        <v>898825</v>
      </c>
      <c r="B23965" t="s">
        <v>11658</v>
      </c>
      <c r="C23965" t="s">
        <v>65</v>
      </c>
      <c r="D23965" s="21" t="s">
        <v>34</v>
      </c>
      <c r="E23965" s="21" t="s">
        <v>35</v>
      </c>
      <c r="F23965">
        <v>2890010</v>
      </c>
      <c r="G23965" t="s">
        <v>3790</v>
      </c>
      <c r="H23965" s="21">
        <v>664.67</v>
      </c>
    </row>
    <row r="23966" spans="1:8" customFormat="1" x14ac:dyDescent="0.25">
      <c r="A23966" t="str">
        <f>"3530172"</f>
        <v>3530172</v>
      </c>
      <c r="B23966" t="s">
        <v>13707</v>
      </c>
      <c r="C23966" t="s">
        <v>33</v>
      </c>
      <c r="D23966" s="21" t="s">
        <v>34</v>
      </c>
      <c r="E23966" s="21" t="s">
        <v>35</v>
      </c>
      <c r="F23966">
        <v>3350035</v>
      </c>
      <c r="G23966" t="s">
        <v>9970</v>
      </c>
      <c r="H23966" s="21">
        <v>664.67</v>
      </c>
    </row>
    <row r="23967" spans="1:8" customFormat="1" x14ac:dyDescent="0.25">
      <c r="A23967" t="str">
        <f>"4428733"</f>
        <v>4428733</v>
      </c>
      <c r="B23967" t="s">
        <v>27765</v>
      </c>
      <c r="C23967" t="s">
        <v>60</v>
      </c>
      <c r="D23967" s="21" t="s">
        <v>34</v>
      </c>
      <c r="E23967" s="21" t="s">
        <v>35</v>
      </c>
      <c r="F23967">
        <v>12440144</v>
      </c>
      <c r="G23967" t="s">
        <v>3702</v>
      </c>
      <c r="H23967" s="21">
        <v>664.67</v>
      </c>
    </row>
    <row r="23968" spans="1:8" customFormat="1" x14ac:dyDescent="0.25">
      <c r="A23968" t="str">
        <f>"5945777"</f>
        <v>5945777</v>
      </c>
      <c r="B23968" t="s">
        <v>17773</v>
      </c>
      <c r="C23968" t="s">
        <v>415</v>
      </c>
      <c r="D23968" s="21" t="s">
        <v>34</v>
      </c>
      <c r="E23968" s="21" t="s">
        <v>71</v>
      </c>
      <c r="F23968">
        <v>7590008</v>
      </c>
      <c r="G23968" t="s">
        <v>110</v>
      </c>
      <c r="H23968" s="21">
        <v>664.67</v>
      </c>
    </row>
    <row r="23969" spans="1:8" customFormat="1" x14ac:dyDescent="0.25">
      <c r="A23969" t="str">
        <f>"5712609"</f>
        <v>5712609</v>
      </c>
      <c r="B23969" t="s">
        <v>18429</v>
      </c>
      <c r="C23969" t="s">
        <v>3073</v>
      </c>
      <c r="D23969" s="21" t="s">
        <v>34</v>
      </c>
      <c r="E23969" s="21" t="s">
        <v>6185</v>
      </c>
      <c r="F23969">
        <v>6570022</v>
      </c>
      <c r="G23969" t="s">
        <v>3870</v>
      </c>
      <c r="H23969" s="21">
        <v>664.67</v>
      </c>
    </row>
    <row r="23970" spans="1:8" customFormat="1" x14ac:dyDescent="0.25">
      <c r="A23970" t="str">
        <f>"1413534"</f>
        <v>1413534</v>
      </c>
      <c r="B23970" t="s">
        <v>2189</v>
      </c>
      <c r="C23970" t="s">
        <v>40</v>
      </c>
      <c r="D23970" s="21" t="s">
        <v>34</v>
      </c>
      <c r="E23970" s="21" t="s">
        <v>71</v>
      </c>
      <c r="F23970">
        <v>9140127</v>
      </c>
      <c r="G23970" t="s">
        <v>6641</v>
      </c>
      <c r="H23970" s="21">
        <v>664.67</v>
      </c>
    </row>
    <row r="23971" spans="1:8" customFormat="1" x14ac:dyDescent="0.25">
      <c r="A23971" t="str">
        <f>"517088"</f>
        <v>517088</v>
      </c>
      <c r="B23971" t="s">
        <v>19616</v>
      </c>
      <c r="C23971" t="s">
        <v>598</v>
      </c>
      <c r="D23971" s="21" t="s">
        <v>34</v>
      </c>
      <c r="E23971" s="21" t="s">
        <v>254</v>
      </c>
      <c r="F23971">
        <v>6510004</v>
      </c>
      <c r="G23971" t="s">
        <v>9465</v>
      </c>
      <c r="H23971" s="21">
        <v>664.67</v>
      </c>
    </row>
    <row r="23972" spans="1:8" customFormat="1" x14ac:dyDescent="0.25">
      <c r="A23972" t="str">
        <f>"0614752"</f>
        <v>0614752</v>
      </c>
      <c r="B23972" t="s">
        <v>19645</v>
      </c>
      <c r="C23972" t="s">
        <v>87</v>
      </c>
      <c r="D23972" s="21" t="s">
        <v>34</v>
      </c>
      <c r="E23972" s="21" t="s">
        <v>35</v>
      </c>
      <c r="F23972">
        <v>13060119</v>
      </c>
      <c r="G23972" t="s">
        <v>6179</v>
      </c>
      <c r="H23972" s="21">
        <v>664.67</v>
      </c>
    </row>
    <row r="23973" spans="1:8" customFormat="1" x14ac:dyDescent="0.25">
      <c r="A23973" t="str">
        <f>"152616"</f>
        <v>152616</v>
      </c>
      <c r="B23973" t="s">
        <v>20248</v>
      </c>
      <c r="C23973" t="s">
        <v>2907</v>
      </c>
      <c r="D23973" s="21" t="s">
        <v>34</v>
      </c>
      <c r="E23973" s="21" t="s">
        <v>71</v>
      </c>
      <c r="F23973">
        <v>11120046</v>
      </c>
      <c r="G23973" t="s">
        <v>15491</v>
      </c>
      <c r="H23973" s="21">
        <v>664.67</v>
      </c>
    </row>
    <row r="23974" spans="1:8" customFormat="1" x14ac:dyDescent="0.25">
      <c r="A23974" t="str">
        <f>"7834281"</f>
        <v>7834281</v>
      </c>
      <c r="B23974" t="s">
        <v>27766</v>
      </c>
      <c r="C23974" t="s">
        <v>127</v>
      </c>
      <c r="D23974" s="21" t="s">
        <v>34</v>
      </c>
      <c r="E23974" s="21" t="s">
        <v>35</v>
      </c>
      <c r="F23974">
        <v>8920067</v>
      </c>
      <c r="G23974" t="s">
        <v>258</v>
      </c>
      <c r="H23974" s="21">
        <v>664.67</v>
      </c>
    </row>
    <row r="23975" spans="1:8" customFormat="1" x14ac:dyDescent="0.25">
      <c r="A23975" t="str">
        <f>"0612116"</f>
        <v>0612116</v>
      </c>
      <c r="B23975" t="s">
        <v>10048</v>
      </c>
      <c r="C23975" t="s">
        <v>598</v>
      </c>
      <c r="D23975" s="21" t="s">
        <v>34</v>
      </c>
      <c r="E23975" s="21" t="s">
        <v>254</v>
      </c>
      <c r="F23975">
        <v>13060110</v>
      </c>
      <c r="G23975" t="s">
        <v>3268</v>
      </c>
      <c r="H23975" s="21">
        <v>664.67</v>
      </c>
    </row>
    <row r="23976" spans="1:8" customFormat="1" x14ac:dyDescent="0.25">
      <c r="A23976" t="str">
        <f>"2716995"</f>
        <v>2716995</v>
      </c>
      <c r="B23976" t="s">
        <v>13035</v>
      </c>
      <c r="C23976" t="s">
        <v>486</v>
      </c>
      <c r="D23976" s="21" t="s">
        <v>34</v>
      </c>
      <c r="E23976" s="21" t="s">
        <v>71</v>
      </c>
      <c r="F23976">
        <v>9270008</v>
      </c>
      <c r="G23976" t="s">
        <v>7853</v>
      </c>
      <c r="H23976" s="21">
        <v>664.67</v>
      </c>
    </row>
    <row r="23977" spans="1:8" customFormat="1" x14ac:dyDescent="0.25">
      <c r="A23977" t="str">
        <f>"2910015"</f>
        <v>2910015</v>
      </c>
      <c r="B23977" t="s">
        <v>17872</v>
      </c>
      <c r="C23977" t="s">
        <v>124</v>
      </c>
      <c r="D23977" s="21" t="s">
        <v>34</v>
      </c>
      <c r="E23977" s="21" t="s">
        <v>254</v>
      </c>
      <c r="F23977">
        <v>3290026</v>
      </c>
      <c r="G23977" t="s">
        <v>7421</v>
      </c>
      <c r="H23977" s="21">
        <v>664.67</v>
      </c>
    </row>
    <row r="23978" spans="1:8" customFormat="1" x14ac:dyDescent="0.25">
      <c r="A23978" t="str">
        <f>"5945482"</f>
        <v>5945482</v>
      </c>
      <c r="B23978" t="s">
        <v>17887</v>
      </c>
      <c r="C23978" t="s">
        <v>2479</v>
      </c>
      <c r="D23978" s="21" t="s">
        <v>34</v>
      </c>
      <c r="E23978" s="21" t="s">
        <v>1089</v>
      </c>
      <c r="F23978">
        <v>7590237</v>
      </c>
      <c r="G23978" t="s">
        <v>3600</v>
      </c>
      <c r="H23978" s="21">
        <v>664.67</v>
      </c>
    </row>
    <row r="23979" spans="1:8" customFormat="1" x14ac:dyDescent="0.25">
      <c r="A23979" t="str">
        <f>"7916687"</f>
        <v>7916687</v>
      </c>
      <c r="B23979" t="s">
        <v>1724</v>
      </c>
      <c r="C23979" t="s">
        <v>611</v>
      </c>
      <c r="D23979" s="21" t="s">
        <v>34</v>
      </c>
      <c r="E23979" s="21" t="s">
        <v>35</v>
      </c>
      <c r="F23979">
        <v>10790069</v>
      </c>
      <c r="G23979" t="s">
        <v>689</v>
      </c>
      <c r="H23979" s="21">
        <v>664.67</v>
      </c>
    </row>
    <row r="23980" spans="1:8" customFormat="1" x14ac:dyDescent="0.25">
      <c r="A23980" t="str">
        <f>"3417558"</f>
        <v>3417558</v>
      </c>
      <c r="B23980" t="s">
        <v>17803</v>
      </c>
      <c r="C23980" t="s">
        <v>1489</v>
      </c>
      <c r="D23980" s="21" t="s">
        <v>34</v>
      </c>
      <c r="E23980" s="21" t="s">
        <v>254</v>
      </c>
      <c r="F23980">
        <v>11340059</v>
      </c>
      <c r="G23980" t="s">
        <v>10368</v>
      </c>
      <c r="H23980" s="21">
        <v>664.67</v>
      </c>
    </row>
    <row r="23981" spans="1:8" customFormat="1" x14ac:dyDescent="0.25">
      <c r="A23981" t="str">
        <f>"0476"</f>
        <v>0476</v>
      </c>
      <c r="B23981" t="s">
        <v>3963</v>
      </c>
      <c r="C23981" t="s">
        <v>2520</v>
      </c>
      <c r="D23981" s="21" t="s">
        <v>34</v>
      </c>
      <c r="E23981" s="21" t="s">
        <v>254</v>
      </c>
      <c r="F23981">
        <v>13040005</v>
      </c>
      <c r="G23981" t="s">
        <v>7115</v>
      </c>
      <c r="H23981" s="21">
        <v>664.67</v>
      </c>
    </row>
    <row r="23982" spans="1:8" customFormat="1" x14ac:dyDescent="0.25">
      <c r="A23982" t="str">
        <f>"434623"</f>
        <v>434623</v>
      </c>
      <c r="B23982" t="s">
        <v>19625</v>
      </c>
      <c r="C23982" t="s">
        <v>1782</v>
      </c>
      <c r="D23982" s="21" t="s">
        <v>34</v>
      </c>
      <c r="E23982" s="21" t="s">
        <v>35</v>
      </c>
      <c r="F23982">
        <v>1420305</v>
      </c>
      <c r="G23982" t="s">
        <v>13520</v>
      </c>
      <c r="H23982" s="21">
        <v>664.67</v>
      </c>
    </row>
    <row r="23983" spans="1:8" customFormat="1" x14ac:dyDescent="0.25">
      <c r="A23983" t="str">
        <f>"9417613"</f>
        <v>9417613</v>
      </c>
      <c r="B23983" t="s">
        <v>17523</v>
      </c>
      <c r="C23983" t="s">
        <v>453</v>
      </c>
      <c r="D23983" s="21" t="s">
        <v>34</v>
      </c>
      <c r="E23983" s="21" t="s">
        <v>1089</v>
      </c>
      <c r="F23983">
        <v>8940052</v>
      </c>
      <c r="G23983" t="s">
        <v>190</v>
      </c>
      <c r="H23983" s="21">
        <v>664.67</v>
      </c>
    </row>
    <row r="23984" spans="1:8" customFormat="1" x14ac:dyDescent="0.25">
      <c r="A23984" t="str">
        <f>"50265"</f>
        <v>50265</v>
      </c>
      <c r="B23984" t="s">
        <v>17945</v>
      </c>
      <c r="C23984" t="s">
        <v>263</v>
      </c>
      <c r="D23984" s="21" t="s">
        <v>34</v>
      </c>
      <c r="E23984" s="21" t="s">
        <v>254</v>
      </c>
      <c r="F23984">
        <v>9500012</v>
      </c>
      <c r="G23984" t="s">
        <v>10097</v>
      </c>
      <c r="H23984" s="21">
        <v>664.67</v>
      </c>
    </row>
    <row r="23985" spans="1:8" customFormat="1" x14ac:dyDescent="0.25">
      <c r="A23985" t="str">
        <f>"629020"</f>
        <v>629020</v>
      </c>
      <c r="B23985" t="s">
        <v>13376</v>
      </c>
      <c r="C23985" t="s">
        <v>285</v>
      </c>
      <c r="D23985" s="21" t="s">
        <v>34</v>
      </c>
      <c r="E23985" s="21" t="s">
        <v>35</v>
      </c>
      <c r="F23985">
        <v>7620031</v>
      </c>
      <c r="G23985" t="s">
        <v>2182</v>
      </c>
      <c r="H23985" s="21">
        <v>664.67</v>
      </c>
    </row>
    <row r="23986" spans="1:8" customFormat="1" x14ac:dyDescent="0.25">
      <c r="A23986" t="str">
        <f>"5940919"</f>
        <v>5940919</v>
      </c>
      <c r="B23986" t="s">
        <v>16604</v>
      </c>
      <c r="C23986" t="s">
        <v>87</v>
      </c>
      <c r="D23986" s="21" t="s">
        <v>34</v>
      </c>
      <c r="E23986" s="21" t="s">
        <v>71</v>
      </c>
      <c r="F23986">
        <v>7590120</v>
      </c>
      <c r="G23986" t="s">
        <v>5351</v>
      </c>
      <c r="H23986" s="21">
        <v>664.67</v>
      </c>
    </row>
    <row r="23987" spans="1:8" customFormat="1" x14ac:dyDescent="0.25">
      <c r="A23987" t="str">
        <f>"617840"</f>
        <v>617840</v>
      </c>
      <c r="B23987" t="s">
        <v>19379</v>
      </c>
      <c r="C23987" t="s">
        <v>598</v>
      </c>
      <c r="D23987" s="21" t="s">
        <v>34</v>
      </c>
      <c r="E23987" s="21" t="s">
        <v>71</v>
      </c>
      <c r="F23987">
        <v>9610122</v>
      </c>
      <c r="G23987" t="s">
        <v>4349</v>
      </c>
      <c r="H23987" s="21">
        <v>664.67</v>
      </c>
    </row>
    <row r="23988" spans="1:8" customFormat="1" x14ac:dyDescent="0.25">
      <c r="A23988" t="str">
        <f>"534983"</f>
        <v>534983</v>
      </c>
      <c r="B23988" t="s">
        <v>2082</v>
      </c>
      <c r="C23988" t="s">
        <v>598</v>
      </c>
      <c r="D23988" s="21" t="s">
        <v>34</v>
      </c>
      <c r="E23988" s="21" t="s">
        <v>1089</v>
      </c>
      <c r="F23988">
        <v>12530108</v>
      </c>
      <c r="G23988" t="s">
        <v>16085</v>
      </c>
      <c r="H23988" s="21">
        <v>664.42</v>
      </c>
    </row>
    <row r="23989" spans="1:8" customFormat="1" x14ac:dyDescent="0.25">
      <c r="A23989" t="str">
        <f>"5431470"</f>
        <v>5431470</v>
      </c>
      <c r="B23989" t="s">
        <v>20911</v>
      </c>
      <c r="C23989" t="s">
        <v>60</v>
      </c>
      <c r="D23989" s="21" t="s">
        <v>34</v>
      </c>
      <c r="E23989" s="21" t="s">
        <v>35</v>
      </c>
      <c r="F23989">
        <v>6540007</v>
      </c>
      <c r="G23989" t="s">
        <v>10264</v>
      </c>
      <c r="H23989" s="21">
        <v>664.42</v>
      </c>
    </row>
    <row r="23990" spans="1:8" customFormat="1" x14ac:dyDescent="0.25">
      <c r="A23990" t="str">
        <f>"7855884"</f>
        <v>7855884</v>
      </c>
      <c r="B23990" t="s">
        <v>20367</v>
      </c>
      <c r="C23990" t="s">
        <v>151</v>
      </c>
      <c r="D23990" s="21" t="s">
        <v>34</v>
      </c>
      <c r="E23990" s="21" t="s">
        <v>35</v>
      </c>
      <c r="F23990">
        <v>8780338</v>
      </c>
      <c r="G23990" t="s">
        <v>4145</v>
      </c>
      <c r="H23990" s="21">
        <v>664.42</v>
      </c>
    </row>
    <row r="23991" spans="1:8" customFormat="1" x14ac:dyDescent="0.25">
      <c r="A23991" t="str">
        <f>"5311737"</f>
        <v>5311737</v>
      </c>
      <c r="B23991" t="s">
        <v>6965</v>
      </c>
      <c r="C23991" t="s">
        <v>2907</v>
      </c>
      <c r="D23991" s="21" t="s">
        <v>34</v>
      </c>
      <c r="E23991" s="21" t="s">
        <v>71</v>
      </c>
      <c r="F23991">
        <v>12530106</v>
      </c>
      <c r="G23991" t="s">
        <v>27079</v>
      </c>
      <c r="H23991" s="21">
        <v>664.42</v>
      </c>
    </row>
    <row r="23992" spans="1:8" customFormat="1" x14ac:dyDescent="0.25">
      <c r="A23992" t="str">
        <f>"9112672"</f>
        <v>9112672</v>
      </c>
      <c r="B23992" t="s">
        <v>27767</v>
      </c>
      <c r="C23992" t="s">
        <v>27768</v>
      </c>
      <c r="D23992" s="21" t="s">
        <v>34</v>
      </c>
      <c r="E23992" s="21" t="s">
        <v>254</v>
      </c>
      <c r="F23992">
        <v>8910652</v>
      </c>
      <c r="G23992" t="s">
        <v>6533</v>
      </c>
      <c r="H23992" s="21">
        <v>664.29</v>
      </c>
    </row>
    <row r="23993" spans="1:8" customFormat="1" x14ac:dyDescent="0.25">
      <c r="A23993" t="str">
        <f>"3821671"</f>
        <v>3821671</v>
      </c>
      <c r="B23993" t="s">
        <v>19311</v>
      </c>
      <c r="C23993" t="s">
        <v>1110</v>
      </c>
      <c r="D23993" s="21" t="s">
        <v>34</v>
      </c>
      <c r="E23993" s="21" t="s">
        <v>1089</v>
      </c>
      <c r="F23993">
        <v>1380057</v>
      </c>
      <c r="G23993" t="s">
        <v>26700</v>
      </c>
      <c r="H23993" s="21">
        <v>664.17</v>
      </c>
    </row>
    <row r="23994" spans="1:8" customFormat="1" x14ac:dyDescent="0.25">
      <c r="A23994" t="str">
        <f>"5014565"</f>
        <v>5014565</v>
      </c>
      <c r="B23994" t="s">
        <v>18580</v>
      </c>
      <c r="C23994" t="s">
        <v>285</v>
      </c>
      <c r="D23994" s="21" t="s">
        <v>34</v>
      </c>
      <c r="E23994" s="21" t="s">
        <v>35</v>
      </c>
      <c r="F23994">
        <v>9500059</v>
      </c>
      <c r="G23994" t="s">
        <v>26714</v>
      </c>
      <c r="H23994" s="21">
        <v>664.17</v>
      </c>
    </row>
    <row r="23995" spans="1:8" customFormat="1" x14ac:dyDescent="0.25">
      <c r="A23995" t="str">
        <f>"6927455"</f>
        <v>6927455</v>
      </c>
      <c r="B23995" t="s">
        <v>13551</v>
      </c>
      <c r="C23995" t="s">
        <v>4842</v>
      </c>
      <c r="D23995" s="21" t="s">
        <v>34</v>
      </c>
      <c r="E23995" s="21" t="s">
        <v>71</v>
      </c>
      <c r="F23995">
        <v>1690167</v>
      </c>
      <c r="G23995" t="s">
        <v>11267</v>
      </c>
      <c r="H23995" s="21">
        <v>664.17</v>
      </c>
    </row>
    <row r="23996" spans="1:8" customFormat="1" x14ac:dyDescent="0.25">
      <c r="A23996" t="str">
        <f>"023904"</f>
        <v>023904</v>
      </c>
      <c r="B23996" t="s">
        <v>9885</v>
      </c>
      <c r="C23996" t="s">
        <v>169</v>
      </c>
      <c r="D23996" s="21" t="s">
        <v>34</v>
      </c>
      <c r="E23996" s="21" t="s">
        <v>71</v>
      </c>
      <c r="F23996">
        <v>7020080</v>
      </c>
      <c r="G23996" t="s">
        <v>5600</v>
      </c>
      <c r="H23996" s="21">
        <v>664.17</v>
      </c>
    </row>
    <row r="23997" spans="1:8" customFormat="1" x14ac:dyDescent="0.25">
      <c r="A23997" t="str">
        <f>"9414186"</f>
        <v>9414186</v>
      </c>
      <c r="B23997" t="s">
        <v>17464</v>
      </c>
      <c r="C23997" t="s">
        <v>415</v>
      </c>
      <c r="D23997" s="21" t="s">
        <v>34</v>
      </c>
      <c r="E23997" s="21" t="s">
        <v>71</v>
      </c>
      <c r="F23997">
        <v>8940073</v>
      </c>
      <c r="G23997" t="s">
        <v>1085</v>
      </c>
      <c r="H23997" s="21">
        <v>664.17</v>
      </c>
    </row>
    <row r="23998" spans="1:8" customFormat="1" x14ac:dyDescent="0.25">
      <c r="A23998" t="str">
        <f>"7216395"</f>
        <v>7216395</v>
      </c>
      <c r="B23998" t="s">
        <v>18890</v>
      </c>
      <c r="C23998" t="s">
        <v>1474</v>
      </c>
      <c r="D23998" s="21" t="s">
        <v>34</v>
      </c>
      <c r="E23998" s="21" t="s">
        <v>35</v>
      </c>
      <c r="F23998">
        <v>12720134</v>
      </c>
      <c r="G23998" t="s">
        <v>18891</v>
      </c>
      <c r="H23998" s="21">
        <v>664.17</v>
      </c>
    </row>
    <row r="23999" spans="1:8" customFormat="1" x14ac:dyDescent="0.25">
      <c r="A23999" t="str">
        <f>"834271"</f>
        <v>834271</v>
      </c>
      <c r="B23999" t="s">
        <v>16494</v>
      </c>
      <c r="C23999" t="s">
        <v>781</v>
      </c>
      <c r="D23999" s="21" t="s">
        <v>34</v>
      </c>
      <c r="E23999" s="21" t="s">
        <v>254</v>
      </c>
      <c r="F23999">
        <v>13830059</v>
      </c>
      <c r="G23999" t="s">
        <v>5440</v>
      </c>
      <c r="H23999" s="21">
        <v>664.17</v>
      </c>
    </row>
    <row r="24000" spans="1:8" customFormat="1" x14ac:dyDescent="0.25">
      <c r="A24000" t="str">
        <f>"5618151"</f>
        <v>5618151</v>
      </c>
      <c r="B24000" t="s">
        <v>19449</v>
      </c>
      <c r="C24000" t="s">
        <v>415</v>
      </c>
      <c r="D24000" s="21" t="s">
        <v>34</v>
      </c>
      <c r="E24000" s="21" t="s">
        <v>254</v>
      </c>
      <c r="F24000">
        <v>3560053</v>
      </c>
      <c r="G24000" t="s">
        <v>298</v>
      </c>
      <c r="H24000" s="21">
        <v>664.17</v>
      </c>
    </row>
    <row r="24001" spans="1:8" customFormat="1" x14ac:dyDescent="0.25">
      <c r="A24001" t="str">
        <f>"3329372"</f>
        <v>3329372</v>
      </c>
      <c r="B24001" t="s">
        <v>18647</v>
      </c>
      <c r="C24001" t="s">
        <v>462</v>
      </c>
      <c r="D24001" s="21" t="s">
        <v>34</v>
      </c>
      <c r="E24001" s="21" t="s">
        <v>71</v>
      </c>
      <c r="F24001">
        <v>10330034</v>
      </c>
      <c r="G24001" t="s">
        <v>6011</v>
      </c>
      <c r="H24001" s="21">
        <v>664.17</v>
      </c>
    </row>
    <row r="24002" spans="1:8" customFormat="1" x14ac:dyDescent="0.25">
      <c r="A24002" t="str">
        <f>"3112555"</f>
        <v>3112555</v>
      </c>
      <c r="B24002" t="s">
        <v>19893</v>
      </c>
      <c r="C24002" t="s">
        <v>1271</v>
      </c>
      <c r="D24002" s="21" t="s">
        <v>34</v>
      </c>
      <c r="E24002" s="21" t="s">
        <v>71</v>
      </c>
      <c r="F24002">
        <v>11310029</v>
      </c>
      <c r="G24002" t="s">
        <v>3717</v>
      </c>
      <c r="H24002" s="21">
        <v>664.17</v>
      </c>
    </row>
    <row r="24003" spans="1:8" customFormat="1" x14ac:dyDescent="0.25">
      <c r="A24003" t="str">
        <f>"3010434"</f>
        <v>3010434</v>
      </c>
      <c r="B24003" t="s">
        <v>18662</v>
      </c>
      <c r="C24003" t="s">
        <v>62</v>
      </c>
      <c r="D24003" s="21" t="s">
        <v>34</v>
      </c>
      <c r="E24003" s="21" t="s">
        <v>35</v>
      </c>
      <c r="F24003">
        <v>11300003</v>
      </c>
      <c r="G24003" t="s">
        <v>7949</v>
      </c>
      <c r="H24003" s="21">
        <v>664.17</v>
      </c>
    </row>
    <row r="24004" spans="1:8" customFormat="1" x14ac:dyDescent="0.25">
      <c r="A24004" t="str">
        <f>"3729118"</f>
        <v>3729118</v>
      </c>
      <c r="B24004" t="s">
        <v>27769</v>
      </c>
      <c r="C24004" t="s">
        <v>285</v>
      </c>
      <c r="D24004" s="21" t="s">
        <v>34</v>
      </c>
      <c r="E24004" s="21" t="s">
        <v>35</v>
      </c>
      <c r="F24004">
        <v>4370730</v>
      </c>
      <c r="G24004" t="s">
        <v>18791</v>
      </c>
      <c r="H24004" s="21">
        <v>664.17</v>
      </c>
    </row>
    <row r="24005" spans="1:8" customFormat="1" x14ac:dyDescent="0.25">
      <c r="A24005" t="str">
        <f>"6229370"</f>
        <v>6229370</v>
      </c>
      <c r="B24005" t="s">
        <v>10334</v>
      </c>
      <c r="C24005" t="s">
        <v>33</v>
      </c>
      <c r="D24005" s="21" t="s">
        <v>34</v>
      </c>
      <c r="E24005" s="21" t="s">
        <v>35</v>
      </c>
      <c r="F24005">
        <v>7620168</v>
      </c>
      <c r="G24005" t="s">
        <v>15521</v>
      </c>
      <c r="H24005" s="21">
        <v>664.17</v>
      </c>
    </row>
    <row r="24006" spans="1:8" customFormat="1" x14ac:dyDescent="0.25">
      <c r="A24006" t="str">
        <f>"7874490"</f>
        <v>7874490</v>
      </c>
      <c r="B24006" t="s">
        <v>8153</v>
      </c>
      <c r="C24006" t="s">
        <v>547</v>
      </c>
      <c r="D24006" s="21" t="s">
        <v>34</v>
      </c>
      <c r="E24006" s="21" t="s">
        <v>254</v>
      </c>
      <c r="F24006">
        <v>8780353</v>
      </c>
      <c r="G24006" t="s">
        <v>6524</v>
      </c>
      <c r="H24006" s="21">
        <v>664.17</v>
      </c>
    </row>
    <row r="24007" spans="1:8" customFormat="1" x14ac:dyDescent="0.25">
      <c r="A24007" t="str">
        <f>"54653"</f>
        <v>54653</v>
      </c>
      <c r="B24007" t="s">
        <v>503</v>
      </c>
      <c r="C24007" t="s">
        <v>2520</v>
      </c>
      <c r="D24007" s="21" t="s">
        <v>34</v>
      </c>
      <c r="E24007" s="21" t="s">
        <v>254</v>
      </c>
      <c r="F24007">
        <v>6540028</v>
      </c>
      <c r="G24007" t="s">
        <v>3201</v>
      </c>
      <c r="H24007" s="21">
        <v>664.17</v>
      </c>
    </row>
    <row r="24008" spans="1:8" customFormat="1" x14ac:dyDescent="0.25">
      <c r="A24008" t="str">
        <f>"7639304"</f>
        <v>7639304</v>
      </c>
      <c r="B24008" t="s">
        <v>4554</v>
      </c>
      <c r="C24008" t="s">
        <v>87</v>
      </c>
      <c r="D24008" s="21" t="s">
        <v>34</v>
      </c>
      <c r="E24008" s="21" t="s">
        <v>35</v>
      </c>
      <c r="F24008">
        <v>9760025</v>
      </c>
      <c r="G24008" t="s">
        <v>2620</v>
      </c>
      <c r="H24008" s="21">
        <v>664.17</v>
      </c>
    </row>
    <row r="24009" spans="1:8" customFormat="1" x14ac:dyDescent="0.25">
      <c r="A24009" t="str">
        <f>"1314079"</f>
        <v>1314079</v>
      </c>
      <c r="B24009" t="s">
        <v>1087</v>
      </c>
      <c r="C24009" t="s">
        <v>328</v>
      </c>
      <c r="D24009" s="21" t="s">
        <v>34</v>
      </c>
      <c r="E24009" s="21" t="s">
        <v>71</v>
      </c>
      <c r="F24009">
        <v>13130118</v>
      </c>
      <c r="G24009" t="s">
        <v>27466</v>
      </c>
      <c r="H24009" s="21">
        <v>664.17</v>
      </c>
    </row>
    <row r="24010" spans="1:8" customFormat="1" x14ac:dyDescent="0.25">
      <c r="A24010" t="str">
        <f>"9454694"</f>
        <v>9454694</v>
      </c>
      <c r="B24010" t="s">
        <v>20208</v>
      </c>
      <c r="C24010" t="s">
        <v>5855</v>
      </c>
      <c r="D24010" s="21" t="s">
        <v>34</v>
      </c>
      <c r="E24010" s="21" t="s">
        <v>71</v>
      </c>
      <c r="F24010">
        <v>8940866</v>
      </c>
      <c r="G24010" t="s">
        <v>519</v>
      </c>
      <c r="H24010" s="21">
        <v>664.04</v>
      </c>
    </row>
    <row r="24011" spans="1:8" customFormat="1" x14ac:dyDescent="0.25">
      <c r="A24011" t="str">
        <f>"3342394"</f>
        <v>3342394</v>
      </c>
      <c r="B24011" t="s">
        <v>5077</v>
      </c>
      <c r="C24011" t="s">
        <v>119</v>
      </c>
      <c r="D24011" s="21" t="s">
        <v>34</v>
      </c>
      <c r="E24011" s="21" t="s">
        <v>71</v>
      </c>
      <c r="F24011">
        <v>10330121</v>
      </c>
      <c r="G24011" t="s">
        <v>5145</v>
      </c>
      <c r="H24011" s="21">
        <v>664.04</v>
      </c>
    </row>
    <row r="24012" spans="1:8" customFormat="1" x14ac:dyDescent="0.25">
      <c r="A24012" t="str">
        <f>"5980962"</f>
        <v>5980962</v>
      </c>
      <c r="B24012" t="s">
        <v>13285</v>
      </c>
      <c r="C24012" t="s">
        <v>20428</v>
      </c>
      <c r="D24012" s="21" t="s">
        <v>34</v>
      </c>
      <c r="E24012" s="21" t="s">
        <v>35</v>
      </c>
      <c r="F24012">
        <v>7590126</v>
      </c>
      <c r="G24012" t="s">
        <v>4749</v>
      </c>
      <c r="H24012" s="21">
        <v>663.92</v>
      </c>
    </row>
    <row r="24013" spans="1:8" customFormat="1" x14ac:dyDescent="0.25">
      <c r="A24013" t="str">
        <f>"0114962"</f>
        <v>0114962</v>
      </c>
      <c r="B24013" t="s">
        <v>21153</v>
      </c>
      <c r="C24013" t="s">
        <v>1468</v>
      </c>
      <c r="D24013" s="21" t="s">
        <v>34</v>
      </c>
      <c r="E24013" s="21" t="s">
        <v>254</v>
      </c>
      <c r="F24013">
        <v>1010069</v>
      </c>
      <c r="G24013" t="s">
        <v>1707</v>
      </c>
      <c r="H24013" s="21">
        <v>663.92</v>
      </c>
    </row>
    <row r="24014" spans="1:8" customFormat="1" x14ac:dyDescent="0.25">
      <c r="A24014" t="str">
        <f>"4519741"</f>
        <v>4519741</v>
      </c>
      <c r="B24014" t="s">
        <v>17056</v>
      </c>
      <c r="C24014" t="s">
        <v>17057</v>
      </c>
      <c r="D24014" s="21" t="s">
        <v>34</v>
      </c>
      <c r="E24014" s="21" t="s">
        <v>71</v>
      </c>
      <c r="F24014">
        <v>4450750</v>
      </c>
      <c r="G24014" t="s">
        <v>6572</v>
      </c>
      <c r="H24014" s="21">
        <v>663.92</v>
      </c>
    </row>
    <row r="24015" spans="1:8" customFormat="1" x14ac:dyDescent="0.25">
      <c r="A24015" t="str">
        <f>"7717945"</f>
        <v>7717945</v>
      </c>
      <c r="B24015" t="s">
        <v>19158</v>
      </c>
      <c r="C24015" t="s">
        <v>285</v>
      </c>
      <c r="D24015" s="21" t="s">
        <v>34</v>
      </c>
      <c r="E24015" s="21" t="s">
        <v>35</v>
      </c>
      <c r="F24015">
        <v>8771448</v>
      </c>
      <c r="G24015" t="s">
        <v>11540</v>
      </c>
      <c r="H24015" s="21">
        <v>663.92</v>
      </c>
    </row>
    <row r="24016" spans="1:8" customFormat="1" x14ac:dyDescent="0.25">
      <c r="A24016" t="str">
        <f>"5325257"</f>
        <v>5325257</v>
      </c>
      <c r="B24016" t="s">
        <v>1178</v>
      </c>
      <c r="C24016" t="s">
        <v>169</v>
      </c>
      <c r="D24016" s="21" t="s">
        <v>34</v>
      </c>
      <c r="E24016" s="21" t="s">
        <v>35</v>
      </c>
      <c r="F24016">
        <v>12530108</v>
      </c>
      <c r="G24016" t="s">
        <v>16085</v>
      </c>
      <c r="H24016" s="21">
        <v>663.92</v>
      </c>
    </row>
    <row r="24017" spans="1:8" customFormat="1" x14ac:dyDescent="0.25">
      <c r="A24017" t="str">
        <f>"418285"</f>
        <v>418285</v>
      </c>
      <c r="B24017" t="s">
        <v>18564</v>
      </c>
      <c r="C24017" t="s">
        <v>462</v>
      </c>
      <c r="D24017" s="21" t="s">
        <v>34</v>
      </c>
      <c r="E24017" s="21" t="s">
        <v>254</v>
      </c>
      <c r="F24017">
        <v>4410697</v>
      </c>
      <c r="G24017" t="s">
        <v>2490</v>
      </c>
      <c r="H24017" s="21">
        <v>663.79</v>
      </c>
    </row>
    <row r="24018" spans="1:8" customFormat="1" x14ac:dyDescent="0.25">
      <c r="A24018" t="str">
        <f>"413124"</f>
        <v>413124</v>
      </c>
      <c r="B24018" t="s">
        <v>18139</v>
      </c>
      <c r="C24018" t="s">
        <v>2520</v>
      </c>
      <c r="D24018" s="21" t="s">
        <v>34</v>
      </c>
      <c r="E24018" s="21" t="s">
        <v>254</v>
      </c>
      <c r="F24018">
        <v>4410719</v>
      </c>
      <c r="G24018" t="s">
        <v>18140</v>
      </c>
      <c r="H24018" s="21">
        <v>663.79</v>
      </c>
    </row>
    <row r="24019" spans="1:8" customFormat="1" x14ac:dyDescent="0.25">
      <c r="A24019" t="str">
        <f>"365004"</f>
        <v>365004</v>
      </c>
      <c r="B24019" t="s">
        <v>18174</v>
      </c>
      <c r="C24019" t="s">
        <v>263</v>
      </c>
      <c r="D24019" s="21" t="s">
        <v>34</v>
      </c>
      <c r="E24019" s="21" t="s">
        <v>71</v>
      </c>
      <c r="F24019">
        <v>4360343</v>
      </c>
      <c r="G24019" t="s">
        <v>6348</v>
      </c>
      <c r="H24019" s="21">
        <v>663.79</v>
      </c>
    </row>
    <row r="24020" spans="1:8" customFormat="1" x14ac:dyDescent="0.25">
      <c r="A24020" t="str">
        <f>"9236632"</f>
        <v>9236632</v>
      </c>
      <c r="B24020" t="s">
        <v>16938</v>
      </c>
      <c r="C24020" t="s">
        <v>10105</v>
      </c>
      <c r="D24020" s="21" t="s">
        <v>34</v>
      </c>
      <c r="E24020" s="21" t="s">
        <v>71</v>
      </c>
      <c r="F24020">
        <v>8781266</v>
      </c>
      <c r="G24020" t="s">
        <v>26704</v>
      </c>
      <c r="H24020" s="21">
        <v>663.79</v>
      </c>
    </row>
    <row r="24021" spans="1:8" customFormat="1" x14ac:dyDescent="0.25">
      <c r="A24021" t="str">
        <f>"564229"</f>
        <v>564229</v>
      </c>
      <c r="B24021" t="s">
        <v>17323</v>
      </c>
      <c r="C24021" t="s">
        <v>11542</v>
      </c>
      <c r="D24021" s="21" t="s">
        <v>34</v>
      </c>
      <c r="E24021" s="21" t="s">
        <v>254</v>
      </c>
      <c r="F24021">
        <v>3560006</v>
      </c>
      <c r="G24021" t="s">
        <v>2708</v>
      </c>
      <c r="H24021" s="21">
        <v>663.67</v>
      </c>
    </row>
    <row r="24022" spans="1:8" customFormat="1" x14ac:dyDescent="0.25">
      <c r="A24022" t="str">
        <f>"956422"</f>
        <v>956422</v>
      </c>
      <c r="B24022" t="s">
        <v>18768</v>
      </c>
      <c r="C24022" t="s">
        <v>1714</v>
      </c>
      <c r="D24022" s="21" t="s">
        <v>34</v>
      </c>
      <c r="E24022" s="21" t="s">
        <v>254</v>
      </c>
      <c r="F24022">
        <v>8951268</v>
      </c>
      <c r="G24022" t="s">
        <v>8981</v>
      </c>
      <c r="H24022" s="21">
        <v>663.67</v>
      </c>
    </row>
    <row r="24023" spans="1:8" customFormat="1" x14ac:dyDescent="0.25">
      <c r="A24023" t="str">
        <f>"2513817"</f>
        <v>2513817</v>
      </c>
      <c r="B24023" t="s">
        <v>17431</v>
      </c>
      <c r="C24023" t="s">
        <v>1665</v>
      </c>
      <c r="D24023" s="21" t="s">
        <v>34</v>
      </c>
      <c r="E24023" s="21" t="s">
        <v>1089</v>
      </c>
      <c r="F24023">
        <v>2250217</v>
      </c>
      <c r="G24023" t="s">
        <v>11815</v>
      </c>
      <c r="H24023" s="21">
        <v>663.67</v>
      </c>
    </row>
    <row r="24024" spans="1:8" customFormat="1" x14ac:dyDescent="0.25">
      <c r="A24024" t="str">
        <f>"323984"</f>
        <v>323984</v>
      </c>
      <c r="B24024" t="s">
        <v>17918</v>
      </c>
      <c r="C24024" t="s">
        <v>82</v>
      </c>
      <c r="D24024" s="21" t="s">
        <v>34</v>
      </c>
      <c r="E24024" s="21" t="s">
        <v>71</v>
      </c>
      <c r="F24024">
        <v>11320031</v>
      </c>
      <c r="G24024" t="s">
        <v>5237</v>
      </c>
      <c r="H24024" s="21">
        <v>663.67</v>
      </c>
    </row>
    <row r="24025" spans="1:8" customFormat="1" x14ac:dyDescent="0.25">
      <c r="A24025" t="str">
        <f>"6725258"</f>
        <v>6725258</v>
      </c>
      <c r="B24025" t="s">
        <v>19798</v>
      </c>
      <c r="C24025" t="s">
        <v>60</v>
      </c>
      <c r="D24025" s="21" t="s">
        <v>34</v>
      </c>
      <c r="E24025" s="21" t="s">
        <v>35</v>
      </c>
      <c r="F24025">
        <v>6670002</v>
      </c>
      <c r="G24025" t="s">
        <v>5740</v>
      </c>
      <c r="H24025" s="21">
        <v>663.67</v>
      </c>
    </row>
    <row r="24026" spans="1:8" customFormat="1" x14ac:dyDescent="0.25">
      <c r="A24026" t="str">
        <f>"665988"</f>
        <v>665988</v>
      </c>
      <c r="B24026" t="s">
        <v>21492</v>
      </c>
      <c r="C24026" t="s">
        <v>60</v>
      </c>
      <c r="D24026" s="21" t="s">
        <v>34</v>
      </c>
      <c r="E24026" s="21" t="s">
        <v>71</v>
      </c>
      <c r="F24026">
        <v>11660001</v>
      </c>
      <c r="G24026" t="s">
        <v>8203</v>
      </c>
      <c r="H24026" s="21">
        <v>663.67</v>
      </c>
    </row>
    <row r="24027" spans="1:8" customFormat="1" x14ac:dyDescent="0.25">
      <c r="A24027" t="str">
        <f>"3722040"</f>
        <v>3722040</v>
      </c>
      <c r="B24027" t="s">
        <v>8760</v>
      </c>
      <c r="C24027" t="s">
        <v>2305</v>
      </c>
      <c r="D24027" s="21" t="s">
        <v>34</v>
      </c>
      <c r="E24027" s="21" t="s">
        <v>71</v>
      </c>
      <c r="F24027">
        <v>4370681</v>
      </c>
      <c r="G24027" t="s">
        <v>4508</v>
      </c>
      <c r="H24027" s="21">
        <v>663.67</v>
      </c>
    </row>
    <row r="24028" spans="1:8" customFormat="1" x14ac:dyDescent="0.25">
      <c r="A24028" t="str">
        <f>"661352"</f>
        <v>661352</v>
      </c>
      <c r="B24028" t="s">
        <v>16683</v>
      </c>
      <c r="C24028" t="s">
        <v>3905</v>
      </c>
      <c r="D24028" s="21" t="s">
        <v>34</v>
      </c>
      <c r="E24028" s="21" t="s">
        <v>1089</v>
      </c>
      <c r="F24028">
        <v>11660009</v>
      </c>
      <c r="G24028" t="s">
        <v>26624</v>
      </c>
      <c r="H24028" s="21">
        <v>663.67</v>
      </c>
    </row>
    <row r="24029" spans="1:8" customFormat="1" x14ac:dyDescent="0.25">
      <c r="A24029" t="str">
        <f>"569704"</f>
        <v>569704</v>
      </c>
      <c r="B24029" t="s">
        <v>5955</v>
      </c>
      <c r="C24029" t="s">
        <v>124</v>
      </c>
      <c r="D24029" s="21" t="s">
        <v>34</v>
      </c>
      <c r="E24029" s="21" t="s">
        <v>71</v>
      </c>
      <c r="F24029">
        <v>3560091</v>
      </c>
      <c r="G24029" t="s">
        <v>27212</v>
      </c>
      <c r="H24029" s="21">
        <v>663.67</v>
      </c>
    </row>
    <row r="24030" spans="1:8" customFormat="1" x14ac:dyDescent="0.25">
      <c r="A24030" t="str">
        <f>"0610104"</f>
        <v>0610104</v>
      </c>
      <c r="B24030" t="s">
        <v>18387</v>
      </c>
      <c r="C24030" t="s">
        <v>3905</v>
      </c>
      <c r="D24030" s="21" t="s">
        <v>34</v>
      </c>
      <c r="E24030" s="21" t="s">
        <v>71</v>
      </c>
      <c r="F24030">
        <v>13060043</v>
      </c>
      <c r="G24030" t="s">
        <v>4761</v>
      </c>
      <c r="H24030" s="21">
        <v>663.67</v>
      </c>
    </row>
    <row r="24031" spans="1:8" customFormat="1" x14ac:dyDescent="0.25">
      <c r="A24031" t="str">
        <f>"852323"</f>
        <v>852323</v>
      </c>
      <c r="B24031" t="s">
        <v>138</v>
      </c>
      <c r="C24031" t="s">
        <v>2520</v>
      </c>
      <c r="D24031" s="21" t="s">
        <v>34</v>
      </c>
      <c r="E24031" s="21" t="s">
        <v>1089</v>
      </c>
      <c r="F24031">
        <v>12850107</v>
      </c>
      <c r="G24031" t="s">
        <v>12181</v>
      </c>
      <c r="H24031" s="21">
        <v>663.67</v>
      </c>
    </row>
    <row r="24032" spans="1:8" customFormat="1" x14ac:dyDescent="0.25">
      <c r="A24032" t="str">
        <f>"809143"</f>
        <v>809143</v>
      </c>
      <c r="B24032" t="s">
        <v>17885</v>
      </c>
      <c r="C24032" t="s">
        <v>926</v>
      </c>
      <c r="D24032" s="21" t="s">
        <v>34</v>
      </c>
      <c r="E24032" s="21" t="s">
        <v>254</v>
      </c>
      <c r="F24032">
        <v>12440193</v>
      </c>
      <c r="G24032" t="s">
        <v>3786</v>
      </c>
      <c r="H24032" s="21">
        <v>663.67</v>
      </c>
    </row>
    <row r="24033" spans="1:8" customFormat="1" x14ac:dyDescent="0.25">
      <c r="A24033" t="str">
        <f>"852927"</f>
        <v>852927</v>
      </c>
      <c r="B24033" t="s">
        <v>5333</v>
      </c>
      <c r="C24033" t="s">
        <v>379</v>
      </c>
      <c r="D24033" s="21" t="s">
        <v>34</v>
      </c>
      <c r="E24033" s="21" t="s">
        <v>254</v>
      </c>
      <c r="F24033">
        <v>12850032</v>
      </c>
      <c r="G24033" t="s">
        <v>6589</v>
      </c>
      <c r="H24033" s="21">
        <v>663.67</v>
      </c>
    </row>
    <row r="24034" spans="1:8" customFormat="1" x14ac:dyDescent="0.25">
      <c r="A24034" t="str">
        <f>"59939"</f>
        <v>59939</v>
      </c>
      <c r="B24034" t="s">
        <v>15497</v>
      </c>
      <c r="C24034" t="s">
        <v>40</v>
      </c>
      <c r="D24034" s="21" t="s">
        <v>34</v>
      </c>
      <c r="E24034" s="21" t="s">
        <v>254</v>
      </c>
      <c r="F24034">
        <v>7590113</v>
      </c>
      <c r="G24034" t="s">
        <v>7808</v>
      </c>
      <c r="H24034" s="21">
        <v>663.67</v>
      </c>
    </row>
    <row r="24035" spans="1:8" customFormat="1" x14ac:dyDescent="0.25">
      <c r="A24035" t="str">
        <f>"5958398"</f>
        <v>5958398</v>
      </c>
      <c r="B24035" t="s">
        <v>27770</v>
      </c>
      <c r="C24035" t="s">
        <v>55</v>
      </c>
      <c r="D24035" s="21" t="s">
        <v>34</v>
      </c>
      <c r="E24035" s="21" t="s">
        <v>71</v>
      </c>
      <c r="F24035">
        <v>7590055</v>
      </c>
      <c r="G24035" t="s">
        <v>1573</v>
      </c>
      <c r="H24035" s="21">
        <v>663.67</v>
      </c>
    </row>
    <row r="24036" spans="1:8" customFormat="1" x14ac:dyDescent="0.25">
      <c r="A24036" t="str">
        <f>"4440434"</f>
        <v>4440434</v>
      </c>
      <c r="B24036" t="s">
        <v>8275</v>
      </c>
      <c r="C24036" t="s">
        <v>1446</v>
      </c>
      <c r="D24036" s="21" t="s">
        <v>34</v>
      </c>
      <c r="E24036" s="21" t="s">
        <v>1089</v>
      </c>
      <c r="F24036">
        <v>12440021</v>
      </c>
      <c r="G24036" t="s">
        <v>429</v>
      </c>
      <c r="H24036" s="21">
        <v>663.67</v>
      </c>
    </row>
    <row r="24037" spans="1:8" customFormat="1" x14ac:dyDescent="0.25">
      <c r="A24037" t="str">
        <f>"0617008"</f>
        <v>0617008</v>
      </c>
      <c r="B24037" t="s">
        <v>18697</v>
      </c>
      <c r="C24037" t="s">
        <v>3456</v>
      </c>
      <c r="D24037" s="21" t="s">
        <v>34</v>
      </c>
      <c r="E24037" s="21" t="s">
        <v>35</v>
      </c>
      <c r="F24037">
        <v>13060114</v>
      </c>
      <c r="G24037" t="s">
        <v>4501</v>
      </c>
      <c r="H24037" s="21">
        <v>663.67</v>
      </c>
    </row>
    <row r="24038" spans="1:8" customFormat="1" x14ac:dyDescent="0.25">
      <c r="A24038" t="str">
        <f>"3817790"</f>
        <v>3817790</v>
      </c>
      <c r="B24038" t="s">
        <v>19252</v>
      </c>
      <c r="C24038" t="s">
        <v>415</v>
      </c>
      <c r="D24038" s="21" t="s">
        <v>34</v>
      </c>
      <c r="E24038" s="21" t="s">
        <v>71</v>
      </c>
      <c r="F24038">
        <v>1380199</v>
      </c>
      <c r="G24038" t="s">
        <v>321</v>
      </c>
      <c r="H24038" s="21">
        <v>663.67</v>
      </c>
    </row>
    <row r="24039" spans="1:8" customFormat="1" x14ac:dyDescent="0.25">
      <c r="A24039" t="str">
        <f>"606715"</f>
        <v>606715</v>
      </c>
      <c r="B24039" t="s">
        <v>6987</v>
      </c>
      <c r="C24039" t="s">
        <v>712</v>
      </c>
      <c r="D24039" s="21" t="s">
        <v>34</v>
      </c>
      <c r="E24039" s="21" t="s">
        <v>254</v>
      </c>
      <c r="F24039">
        <v>7600041</v>
      </c>
      <c r="G24039" t="s">
        <v>8033</v>
      </c>
      <c r="H24039" s="21">
        <v>663.67</v>
      </c>
    </row>
    <row r="24040" spans="1:8" customFormat="1" x14ac:dyDescent="0.25">
      <c r="A24040" t="str">
        <f>"6218548"</f>
        <v>6218548</v>
      </c>
      <c r="B24040" t="s">
        <v>18469</v>
      </c>
      <c r="C24040" t="s">
        <v>3010</v>
      </c>
      <c r="D24040" s="21" t="s">
        <v>34</v>
      </c>
      <c r="E24040" s="21" t="s">
        <v>6185</v>
      </c>
      <c r="F24040">
        <v>7620007</v>
      </c>
      <c r="G24040" t="s">
        <v>2133</v>
      </c>
      <c r="H24040" s="21">
        <v>663.67</v>
      </c>
    </row>
    <row r="24041" spans="1:8" customFormat="1" x14ac:dyDescent="0.25">
      <c r="A24041" t="str">
        <f>"5615505"</f>
        <v>5615505</v>
      </c>
      <c r="B24041" t="s">
        <v>27443</v>
      </c>
      <c r="C24041" t="s">
        <v>1665</v>
      </c>
      <c r="D24041" s="21" t="s">
        <v>34</v>
      </c>
      <c r="E24041" s="21" t="s">
        <v>254</v>
      </c>
      <c r="F24041">
        <v>3560038</v>
      </c>
      <c r="G24041" t="s">
        <v>3598</v>
      </c>
      <c r="H24041" s="21">
        <v>663.67</v>
      </c>
    </row>
    <row r="24042" spans="1:8" customFormat="1" x14ac:dyDescent="0.25">
      <c r="A24042" t="str">
        <f>"5616089"</f>
        <v>5616089</v>
      </c>
      <c r="B24042" t="s">
        <v>387</v>
      </c>
      <c r="C24042" t="s">
        <v>3934</v>
      </c>
      <c r="D24042" s="21" t="s">
        <v>34</v>
      </c>
      <c r="E24042" s="21" t="s">
        <v>35</v>
      </c>
      <c r="F24042">
        <v>3560071</v>
      </c>
      <c r="G24042" t="s">
        <v>8573</v>
      </c>
      <c r="H24042" s="21">
        <v>663.67</v>
      </c>
    </row>
    <row r="24043" spans="1:8" customFormat="1" x14ac:dyDescent="0.25">
      <c r="A24043" t="str">
        <f>"4438641"</f>
        <v>4438641</v>
      </c>
      <c r="B24043" t="s">
        <v>1885</v>
      </c>
      <c r="C24043" t="s">
        <v>1119</v>
      </c>
      <c r="D24043" s="21" t="s">
        <v>34</v>
      </c>
      <c r="E24043" s="21" t="s">
        <v>1089</v>
      </c>
      <c r="F24043">
        <v>12440141</v>
      </c>
      <c r="G24043" t="s">
        <v>3234</v>
      </c>
      <c r="H24043" s="21">
        <v>663.67</v>
      </c>
    </row>
    <row r="24044" spans="1:8" customFormat="1" x14ac:dyDescent="0.25">
      <c r="A24044" t="str">
        <f>"2910636"</f>
        <v>2910636</v>
      </c>
      <c r="B24044" t="s">
        <v>12952</v>
      </c>
      <c r="C24044" t="s">
        <v>415</v>
      </c>
      <c r="D24044" s="21" t="s">
        <v>34</v>
      </c>
      <c r="E24044" s="21" t="s">
        <v>254</v>
      </c>
      <c r="F24044">
        <v>3290011</v>
      </c>
      <c r="G24044" t="s">
        <v>7083</v>
      </c>
      <c r="H24044" s="21">
        <v>663.67</v>
      </c>
    </row>
    <row r="24045" spans="1:8" customFormat="1" x14ac:dyDescent="0.25">
      <c r="A24045" t="str">
        <f>"838785"</f>
        <v>838785</v>
      </c>
      <c r="B24045" t="s">
        <v>10717</v>
      </c>
      <c r="C24045" t="s">
        <v>62</v>
      </c>
      <c r="D24045" s="21" t="s">
        <v>34</v>
      </c>
      <c r="E24045" s="21" t="s">
        <v>35</v>
      </c>
      <c r="F24045">
        <v>3560085</v>
      </c>
      <c r="G24045" t="s">
        <v>11473</v>
      </c>
      <c r="H24045" s="21">
        <v>663.67</v>
      </c>
    </row>
    <row r="24046" spans="1:8" customFormat="1" x14ac:dyDescent="0.25">
      <c r="A24046" t="str">
        <f>"3011737"</f>
        <v>3011737</v>
      </c>
      <c r="B24046" t="s">
        <v>6221</v>
      </c>
      <c r="C24046" t="s">
        <v>82</v>
      </c>
      <c r="D24046" s="21" t="s">
        <v>34</v>
      </c>
      <c r="E24046" s="21" t="s">
        <v>35</v>
      </c>
      <c r="F24046">
        <v>11300015</v>
      </c>
      <c r="G24046" t="s">
        <v>12613</v>
      </c>
      <c r="H24046" s="21">
        <v>663.67</v>
      </c>
    </row>
    <row r="24047" spans="1:8" customFormat="1" x14ac:dyDescent="0.25">
      <c r="A24047" t="str">
        <f>"0211536"</f>
        <v>0211536</v>
      </c>
      <c r="B24047" t="s">
        <v>146</v>
      </c>
      <c r="C24047" t="s">
        <v>253</v>
      </c>
      <c r="D24047" s="21" t="s">
        <v>34</v>
      </c>
      <c r="E24047" s="21" t="s">
        <v>254</v>
      </c>
      <c r="F24047">
        <v>7020036</v>
      </c>
      <c r="G24047" t="s">
        <v>8431</v>
      </c>
      <c r="H24047" s="21">
        <v>663.67</v>
      </c>
    </row>
    <row r="24048" spans="1:8" customFormat="1" x14ac:dyDescent="0.25">
      <c r="A24048" t="str">
        <f>"8524854"</f>
        <v>8524854</v>
      </c>
      <c r="B24048" t="s">
        <v>18432</v>
      </c>
      <c r="C24048" t="s">
        <v>204</v>
      </c>
      <c r="D24048" s="21" t="s">
        <v>34</v>
      </c>
      <c r="E24048" s="21" t="s">
        <v>71</v>
      </c>
      <c r="F24048">
        <v>12850051</v>
      </c>
      <c r="G24048" t="s">
        <v>5185</v>
      </c>
      <c r="H24048" s="21">
        <v>663.67</v>
      </c>
    </row>
    <row r="24049" spans="1:8" customFormat="1" x14ac:dyDescent="0.25">
      <c r="A24049" t="str">
        <f>"4921508"</f>
        <v>4921508</v>
      </c>
      <c r="B24049" t="s">
        <v>13174</v>
      </c>
      <c r="C24049" t="s">
        <v>1110</v>
      </c>
      <c r="D24049" s="21" t="s">
        <v>34</v>
      </c>
      <c r="E24049" s="21" t="s">
        <v>254</v>
      </c>
      <c r="F24049">
        <v>3290278</v>
      </c>
      <c r="G24049" t="s">
        <v>3649</v>
      </c>
      <c r="H24049" s="21">
        <v>663.67</v>
      </c>
    </row>
    <row r="24050" spans="1:8" customFormat="1" x14ac:dyDescent="0.25">
      <c r="A24050" t="str">
        <f>"6943117"</f>
        <v>6943117</v>
      </c>
      <c r="B24050" t="s">
        <v>9988</v>
      </c>
      <c r="C24050" t="s">
        <v>547</v>
      </c>
      <c r="D24050" s="21" t="s">
        <v>34</v>
      </c>
      <c r="E24050" s="21" t="s">
        <v>35</v>
      </c>
      <c r="F24050">
        <v>1690090</v>
      </c>
      <c r="G24050" t="s">
        <v>6286</v>
      </c>
      <c r="H24050" s="21">
        <v>663.67</v>
      </c>
    </row>
    <row r="24051" spans="1:8" customFormat="1" x14ac:dyDescent="0.25">
      <c r="A24051" t="str">
        <f>"3527713"</f>
        <v>3527713</v>
      </c>
      <c r="B24051" t="s">
        <v>16325</v>
      </c>
      <c r="C24051" t="s">
        <v>249</v>
      </c>
      <c r="D24051" s="21" t="s">
        <v>34</v>
      </c>
      <c r="E24051" s="21" t="s">
        <v>71</v>
      </c>
      <c r="F24051">
        <v>3350207</v>
      </c>
      <c r="G24051" t="s">
        <v>3668</v>
      </c>
      <c r="H24051" s="21">
        <v>663.54</v>
      </c>
    </row>
    <row r="24052" spans="1:8" customFormat="1" x14ac:dyDescent="0.25">
      <c r="A24052" t="str">
        <f>"106444"</f>
        <v>106444</v>
      </c>
      <c r="B24052" t="s">
        <v>7287</v>
      </c>
      <c r="C24052" t="s">
        <v>98</v>
      </c>
      <c r="D24052" s="21" t="s">
        <v>34</v>
      </c>
      <c r="E24052" s="21" t="s">
        <v>35</v>
      </c>
      <c r="F24052">
        <v>6100045</v>
      </c>
      <c r="G24052" t="s">
        <v>19169</v>
      </c>
      <c r="H24052" s="21">
        <v>663.54</v>
      </c>
    </row>
    <row r="24053" spans="1:8" customFormat="1" x14ac:dyDescent="0.25">
      <c r="A24053" t="str">
        <f>"1416361"</f>
        <v>1416361</v>
      </c>
      <c r="B24053" t="s">
        <v>18686</v>
      </c>
      <c r="C24053" t="s">
        <v>2479</v>
      </c>
      <c r="D24053" s="21" t="s">
        <v>34</v>
      </c>
      <c r="E24053" s="21" t="s">
        <v>71</v>
      </c>
      <c r="F24053">
        <v>9140235</v>
      </c>
      <c r="G24053" t="s">
        <v>165</v>
      </c>
      <c r="H24053" s="21">
        <v>663.29</v>
      </c>
    </row>
    <row r="24054" spans="1:8" customFormat="1" x14ac:dyDescent="0.25">
      <c r="A24054" t="str">
        <f>"713465"</f>
        <v>713465</v>
      </c>
      <c r="B24054" t="s">
        <v>17265</v>
      </c>
      <c r="C24054" t="s">
        <v>239</v>
      </c>
      <c r="D24054" s="21" t="s">
        <v>34</v>
      </c>
      <c r="E24054" s="21" t="s">
        <v>254</v>
      </c>
      <c r="F24054">
        <v>2710048</v>
      </c>
      <c r="G24054" t="s">
        <v>2225</v>
      </c>
      <c r="H24054" s="21">
        <v>663.17</v>
      </c>
    </row>
    <row r="24055" spans="1:8" customFormat="1" x14ac:dyDescent="0.25">
      <c r="A24055" t="str">
        <f>"724010"</f>
        <v>724010</v>
      </c>
      <c r="B24055" t="s">
        <v>17220</v>
      </c>
      <c r="C24055" t="s">
        <v>3073</v>
      </c>
      <c r="D24055" s="21" t="s">
        <v>34</v>
      </c>
      <c r="E24055" s="21" t="s">
        <v>71</v>
      </c>
      <c r="F24055">
        <v>12720081</v>
      </c>
      <c r="G24055" t="s">
        <v>6360</v>
      </c>
      <c r="H24055" s="21">
        <v>663.17</v>
      </c>
    </row>
    <row r="24056" spans="1:8" customFormat="1" x14ac:dyDescent="0.25">
      <c r="A24056" t="str">
        <f>"2920366"</f>
        <v>2920366</v>
      </c>
      <c r="B24056" t="s">
        <v>14564</v>
      </c>
      <c r="C24056" t="s">
        <v>169</v>
      </c>
      <c r="D24056" s="21" t="s">
        <v>34</v>
      </c>
      <c r="E24056" s="21" t="s">
        <v>71</v>
      </c>
      <c r="F24056">
        <v>3290205</v>
      </c>
      <c r="G24056" t="s">
        <v>26882</v>
      </c>
      <c r="H24056" s="21">
        <v>663.17</v>
      </c>
    </row>
    <row r="24057" spans="1:8" customFormat="1" x14ac:dyDescent="0.25">
      <c r="A24057" t="str">
        <f>"4431824"</f>
        <v>4431824</v>
      </c>
      <c r="B24057" t="s">
        <v>17684</v>
      </c>
      <c r="C24057" t="s">
        <v>169</v>
      </c>
      <c r="D24057" s="21" t="s">
        <v>34</v>
      </c>
      <c r="E24057" s="21" t="s">
        <v>35</v>
      </c>
      <c r="F24057">
        <v>12440167</v>
      </c>
      <c r="G24057" t="s">
        <v>27355</v>
      </c>
      <c r="H24057" s="21">
        <v>663.17</v>
      </c>
    </row>
    <row r="24058" spans="1:8" customFormat="1" x14ac:dyDescent="0.25">
      <c r="A24058" t="str">
        <f>"571126"</f>
        <v>571126</v>
      </c>
      <c r="B24058" t="s">
        <v>17580</v>
      </c>
      <c r="C24058" t="s">
        <v>412</v>
      </c>
      <c r="D24058" s="21" t="s">
        <v>34</v>
      </c>
      <c r="E24058" s="21" t="s">
        <v>254</v>
      </c>
      <c r="F24058">
        <v>6570075</v>
      </c>
      <c r="G24058" t="s">
        <v>3008</v>
      </c>
      <c r="H24058" s="21">
        <v>663.17</v>
      </c>
    </row>
    <row r="24059" spans="1:8" customFormat="1" x14ac:dyDescent="0.25">
      <c r="A24059" t="str">
        <f>"4518616"</f>
        <v>4518616</v>
      </c>
      <c r="B24059" t="s">
        <v>12209</v>
      </c>
      <c r="C24059" t="s">
        <v>462</v>
      </c>
      <c r="D24059" s="21" t="s">
        <v>34</v>
      </c>
      <c r="E24059" s="21" t="s">
        <v>35</v>
      </c>
      <c r="F24059">
        <v>4450108</v>
      </c>
      <c r="G24059" t="s">
        <v>2354</v>
      </c>
      <c r="H24059" s="21">
        <v>663.17</v>
      </c>
    </row>
    <row r="24060" spans="1:8" customFormat="1" x14ac:dyDescent="0.25">
      <c r="A24060" t="str">
        <f>"3116814"</f>
        <v>3116814</v>
      </c>
      <c r="B24060" t="s">
        <v>5919</v>
      </c>
      <c r="C24060" t="s">
        <v>428</v>
      </c>
      <c r="D24060" s="21" t="s">
        <v>34</v>
      </c>
      <c r="E24060" s="21" t="s">
        <v>71</v>
      </c>
      <c r="F24060">
        <v>11310123</v>
      </c>
      <c r="G24060" t="s">
        <v>3915</v>
      </c>
      <c r="H24060" s="21">
        <v>663.17</v>
      </c>
    </row>
    <row r="24061" spans="1:8" customFormat="1" x14ac:dyDescent="0.25">
      <c r="A24061" t="str">
        <f>"9142390"</f>
        <v>9142390</v>
      </c>
      <c r="B24061" t="s">
        <v>18818</v>
      </c>
      <c r="C24061" t="s">
        <v>119</v>
      </c>
      <c r="D24061" s="21" t="s">
        <v>34</v>
      </c>
      <c r="E24061" s="21" t="s">
        <v>35</v>
      </c>
      <c r="F24061">
        <v>8911083</v>
      </c>
      <c r="G24061" t="s">
        <v>7357</v>
      </c>
      <c r="H24061" s="21">
        <v>663.17</v>
      </c>
    </row>
    <row r="24062" spans="1:8" customFormat="1" x14ac:dyDescent="0.25">
      <c r="A24062" t="str">
        <f>"5724078"</f>
        <v>5724078</v>
      </c>
      <c r="B24062" t="s">
        <v>3146</v>
      </c>
      <c r="C24062" t="s">
        <v>486</v>
      </c>
      <c r="D24062" s="21" t="s">
        <v>34</v>
      </c>
      <c r="E24062" s="21" t="s">
        <v>71</v>
      </c>
      <c r="F24062">
        <v>6570191</v>
      </c>
      <c r="G24062" t="s">
        <v>15791</v>
      </c>
      <c r="H24062" s="21">
        <v>663.17</v>
      </c>
    </row>
    <row r="24063" spans="1:8" customFormat="1" x14ac:dyDescent="0.25">
      <c r="A24063" t="str">
        <f>"4450526"</f>
        <v>4450526</v>
      </c>
      <c r="B24063" t="s">
        <v>18569</v>
      </c>
      <c r="C24063" t="s">
        <v>428</v>
      </c>
      <c r="D24063" s="21" t="s">
        <v>34</v>
      </c>
      <c r="E24063" s="21" t="s">
        <v>254</v>
      </c>
      <c r="F24063">
        <v>12440008</v>
      </c>
      <c r="G24063" t="s">
        <v>4570</v>
      </c>
      <c r="H24063" s="21">
        <v>663.17</v>
      </c>
    </row>
    <row r="24064" spans="1:8" customFormat="1" x14ac:dyDescent="0.25">
      <c r="A24064" t="str">
        <f>"3012687"</f>
        <v>3012687</v>
      </c>
      <c r="B24064" t="s">
        <v>19584</v>
      </c>
      <c r="C24064" t="s">
        <v>302</v>
      </c>
      <c r="D24064" s="21" t="s">
        <v>34</v>
      </c>
      <c r="E24064" s="21" t="s">
        <v>35</v>
      </c>
      <c r="F24064">
        <v>11300032</v>
      </c>
      <c r="G24064" t="s">
        <v>17309</v>
      </c>
      <c r="H24064" s="21">
        <v>663.17</v>
      </c>
    </row>
    <row r="24065" spans="1:8" customFormat="1" x14ac:dyDescent="0.25">
      <c r="A24065" t="str">
        <f>"6222735"</f>
        <v>6222735</v>
      </c>
      <c r="B24065" t="s">
        <v>18394</v>
      </c>
      <c r="C24065" t="s">
        <v>249</v>
      </c>
      <c r="D24065" s="21" t="s">
        <v>34</v>
      </c>
      <c r="E24065" s="21" t="s">
        <v>35</v>
      </c>
      <c r="F24065">
        <v>7620038</v>
      </c>
      <c r="G24065" t="s">
        <v>5049</v>
      </c>
      <c r="H24065" s="21">
        <v>663.17</v>
      </c>
    </row>
    <row r="24066" spans="1:8" customFormat="1" x14ac:dyDescent="0.25">
      <c r="A24066" t="str">
        <f>"0114228"</f>
        <v>0114228</v>
      </c>
      <c r="B24066" t="s">
        <v>7797</v>
      </c>
      <c r="C24066" t="s">
        <v>784</v>
      </c>
      <c r="D24066" s="21" t="s">
        <v>34</v>
      </c>
      <c r="E24066" s="21" t="s">
        <v>35</v>
      </c>
      <c r="F24066">
        <v>1010027</v>
      </c>
      <c r="G24066" t="s">
        <v>6318</v>
      </c>
      <c r="H24066" s="21">
        <v>663.17</v>
      </c>
    </row>
    <row r="24067" spans="1:8" customFormat="1" x14ac:dyDescent="0.25">
      <c r="A24067" t="str">
        <f>"6111198"</f>
        <v>6111198</v>
      </c>
      <c r="B24067" t="s">
        <v>2883</v>
      </c>
      <c r="C24067" t="s">
        <v>43</v>
      </c>
      <c r="D24067" s="21" t="s">
        <v>34</v>
      </c>
      <c r="E24067" s="21" t="s">
        <v>35</v>
      </c>
      <c r="F24067">
        <v>9610135</v>
      </c>
      <c r="G24067" t="s">
        <v>8227</v>
      </c>
      <c r="H24067" s="21">
        <v>663.17</v>
      </c>
    </row>
    <row r="24068" spans="1:8" customFormat="1" x14ac:dyDescent="0.25">
      <c r="A24068" t="str">
        <f>"215749"</f>
        <v>215749</v>
      </c>
      <c r="B24068" t="s">
        <v>17957</v>
      </c>
      <c r="C24068" t="s">
        <v>236</v>
      </c>
      <c r="D24068" s="21" t="s">
        <v>34</v>
      </c>
      <c r="E24068" s="21" t="s">
        <v>254</v>
      </c>
      <c r="F24068">
        <v>2210119</v>
      </c>
      <c r="G24068" t="s">
        <v>16361</v>
      </c>
      <c r="H24068" s="21">
        <v>663.17</v>
      </c>
    </row>
    <row r="24069" spans="1:8" customFormat="1" x14ac:dyDescent="0.25">
      <c r="A24069" t="str">
        <f>"2920008"</f>
        <v>2920008</v>
      </c>
      <c r="B24069" t="s">
        <v>18513</v>
      </c>
      <c r="C24069" t="s">
        <v>209</v>
      </c>
      <c r="D24069" s="21" t="s">
        <v>34</v>
      </c>
      <c r="E24069" s="21" t="s">
        <v>254</v>
      </c>
      <c r="F24069">
        <v>3290232</v>
      </c>
      <c r="G24069" t="s">
        <v>9588</v>
      </c>
      <c r="H24069" s="21">
        <v>663.17</v>
      </c>
    </row>
    <row r="24070" spans="1:8" customFormat="1" x14ac:dyDescent="0.25">
      <c r="A24070" t="str">
        <f>"1613721"</f>
        <v>1613721</v>
      </c>
      <c r="B24070" t="s">
        <v>16769</v>
      </c>
      <c r="C24070" t="s">
        <v>40</v>
      </c>
      <c r="D24070" s="21" t="s">
        <v>34</v>
      </c>
      <c r="E24070" s="21" t="s">
        <v>254</v>
      </c>
      <c r="F24070">
        <v>10160051</v>
      </c>
      <c r="G24070" t="s">
        <v>7167</v>
      </c>
      <c r="H24070" s="21">
        <v>663.17</v>
      </c>
    </row>
    <row r="24071" spans="1:8" customFormat="1" x14ac:dyDescent="0.25">
      <c r="A24071" t="str">
        <f>"1423604"</f>
        <v>1423604</v>
      </c>
      <c r="B24071" t="s">
        <v>17648</v>
      </c>
      <c r="C24071" t="s">
        <v>17649</v>
      </c>
      <c r="D24071" s="21" t="s">
        <v>34</v>
      </c>
      <c r="E24071" s="21" t="s">
        <v>71</v>
      </c>
      <c r="F24071">
        <v>9140174</v>
      </c>
      <c r="G24071" t="s">
        <v>26738</v>
      </c>
      <c r="H24071" s="21">
        <v>663.17</v>
      </c>
    </row>
    <row r="24072" spans="1:8" customFormat="1" x14ac:dyDescent="0.25">
      <c r="A24072" t="str">
        <f>"3830787"</f>
        <v>3830787</v>
      </c>
      <c r="B24072" t="s">
        <v>2518</v>
      </c>
      <c r="C24072" t="s">
        <v>209</v>
      </c>
      <c r="D24072" s="21" t="s">
        <v>34</v>
      </c>
      <c r="E24072" s="21" t="s">
        <v>71</v>
      </c>
      <c r="F24072">
        <v>1380236</v>
      </c>
      <c r="G24072" t="s">
        <v>2876</v>
      </c>
      <c r="H24072" s="21">
        <v>663.17</v>
      </c>
    </row>
    <row r="24073" spans="1:8" customFormat="1" x14ac:dyDescent="0.25">
      <c r="A24073" t="str">
        <f>"7715234"</f>
        <v>7715234</v>
      </c>
      <c r="B24073" t="s">
        <v>17747</v>
      </c>
      <c r="C24073" t="s">
        <v>33</v>
      </c>
      <c r="D24073" s="21" t="s">
        <v>34</v>
      </c>
      <c r="E24073" s="21" t="s">
        <v>35</v>
      </c>
      <c r="F24073">
        <v>11310064</v>
      </c>
      <c r="G24073" t="s">
        <v>931</v>
      </c>
      <c r="H24073" s="21">
        <v>663.04</v>
      </c>
    </row>
    <row r="24074" spans="1:8" customFormat="1" x14ac:dyDescent="0.25">
      <c r="A24074" t="str">
        <f>"4439770"</f>
        <v>4439770</v>
      </c>
      <c r="B24074" t="s">
        <v>27771</v>
      </c>
      <c r="C24074" t="s">
        <v>40</v>
      </c>
      <c r="D24074" s="21" t="s">
        <v>34</v>
      </c>
      <c r="E24074" s="21" t="s">
        <v>71</v>
      </c>
      <c r="F24074">
        <v>12440199</v>
      </c>
      <c r="G24074" t="s">
        <v>4653</v>
      </c>
      <c r="H24074" s="21">
        <v>663</v>
      </c>
    </row>
    <row r="24075" spans="1:8" customFormat="1" x14ac:dyDescent="0.25">
      <c r="A24075" t="str">
        <f>"9229957"</f>
        <v>9229957</v>
      </c>
      <c r="B24075" t="s">
        <v>19586</v>
      </c>
      <c r="C24075" t="s">
        <v>1819</v>
      </c>
      <c r="D24075" s="21" t="s">
        <v>34</v>
      </c>
      <c r="E24075" s="21" t="s">
        <v>71</v>
      </c>
      <c r="F24075">
        <v>8920309</v>
      </c>
      <c r="G24075" t="s">
        <v>1894</v>
      </c>
      <c r="H24075" s="21">
        <v>662.92</v>
      </c>
    </row>
    <row r="24076" spans="1:8" customFormat="1" x14ac:dyDescent="0.25">
      <c r="A24076" t="str">
        <f>"2814523"</f>
        <v>2814523</v>
      </c>
      <c r="B24076" t="s">
        <v>1048</v>
      </c>
      <c r="C24076" t="s">
        <v>209</v>
      </c>
      <c r="D24076" s="21" t="s">
        <v>34</v>
      </c>
      <c r="E24076" s="21" t="s">
        <v>71</v>
      </c>
      <c r="F24076">
        <v>4280005</v>
      </c>
      <c r="G24076" t="s">
        <v>5760</v>
      </c>
      <c r="H24076" s="21">
        <v>662.92</v>
      </c>
    </row>
    <row r="24077" spans="1:8" customFormat="1" x14ac:dyDescent="0.25">
      <c r="A24077" t="str">
        <f>"7642160"</f>
        <v>7642160</v>
      </c>
      <c r="B24077" t="s">
        <v>21010</v>
      </c>
      <c r="C24077" t="s">
        <v>1782</v>
      </c>
      <c r="D24077" s="21" t="s">
        <v>34</v>
      </c>
      <c r="E24077" s="21" t="s">
        <v>71</v>
      </c>
      <c r="F24077">
        <v>9760007</v>
      </c>
      <c r="G24077" t="s">
        <v>7255</v>
      </c>
      <c r="H24077" s="21">
        <v>662.92</v>
      </c>
    </row>
    <row r="24078" spans="1:8" customFormat="1" x14ac:dyDescent="0.25">
      <c r="A24078" t="str">
        <f>"6911763"</f>
        <v>6911763</v>
      </c>
      <c r="B24078" t="s">
        <v>14481</v>
      </c>
      <c r="C24078" t="s">
        <v>2529</v>
      </c>
      <c r="D24078" s="21" t="s">
        <v>34</v>
      </c>
      <c r="E24078" s="21" t="s">
        <v>71</v>
      </c>
      <c r="F24078">
        <v>1690076</v>
      </c>
      <c r="G24078" t="s">
        <v>4049</v>
      </c>
      <c r="H24078" s="21">
        <v>662.92</v>
      </c>
    </row>
    <row r="24079" spans="1:8" customFormat="1" x14ac:dyDescent="0.25">
      <c r="A24079" t="str">
        <f>"6213654"</f>
        <v>6213654</v>
      </c>
      <c r="B24079" t="s">
        <v>4560</v>
      </c>
      <c r="C24079" t="s">
        <v>1271</v>
      </c>
      <c r="D24079" s="21" t="s">
        <v>34</v>
      </c>
      <c r="E24079" s="21" t="s">
        <v>35</v>
      </c>
      <c r="F24079">
        <v>7620015</v>
      </c>
      <c r="G24079" t="s">
        <v>377</v>
      </c>
      <c r="H24079" s="21">
        <v>662.67</v>
      </c>
    </row>
    <row r="24080" spans="1:8" customFormat="1" x14ac:dyDescent="0.25">
      <c r="A24080" t="str">
        <f>"5942437"</f>
        <v>5942437</v>
      </c>
      <c r="B24080" t="s">
        <v>16885</v>
      </c>
      <c r="C24080" t="s">
        <v>119</v>
      </c>
      <c r="D24080" s="21" t="s">
        <v>34</v>
      </c>
      <c r="E24080" s="21" t="s">
        <v>35</v>
      </c>
      <c r="F24080">
        <v>7590068</v>
      </c>
      <c r="G24080" t="s">
        <v>1005</v>
      </c>
      <c r="H24080" s="21">
        <v>662.67</v>
      </c>
    </row>
    <row r="24081" spans="1:8" customFormat="1" x14ac:dyDescent="0.25">
      <c r="A24081" t="str">
        <f>"9144738"</f>
        <v>9144738</v>
      </c>
      <c r="B24081" t="s">
        <v>21226</v>
      </c>
      <c r="C24081" t="s">
        <v>484</v>
      </c>
      <c r="D24081" s="21" t="s">
        <v>34</v>
      </c>
      <c r="E24081" s="21" t="s">
        <v>35</v>
      </c>
      <c r="F24081">
        <v>8910667</v>
      </c>
      <c r="G24081" t="s">
        <v>2361</v>
      </c>
      <c r="H24081" s="21">
        <v>662.67</v>
      </c>
    </row>
    <row r="24082" spans="1:8" customFormat="1" x14ac:dyDescent="0.25">
      <c r="A24082" t="str">
        <f>"7220913"</f>
        <v>7220913</v>
      </c>
      <c r="B24082" t="s">
        <v>27772</v>
      </c>
      <c r="C24082" t="s">
        <v>33</v>
      </c>
      <c r="D24082" s="21" t="s">
        <v>34</v>
      </c>
      <c r="E24082" s="21" t="s">
        <v>35</v>
      </c>
      <c r="F24082">
        <v>12720120</v>
      </c>
      <c r="G24082" t="s">
        <v>2509</v>
      </c>
      <c r="H24082" s="21">
        <v>662.67</v>
      </c>
    </row>
    <row r="24083" spans="1:8" customFormat="1" x14ac:dyDescent="0.25">
      <c r="A24083" t="str">
        <f>"9318387"</f>
        <v>9318387</v>
      </c>
      <c r="B24083" t="s">
        <v>18122</v>
      </c>
      <c r="C24083" t="s">
        <v>18123</v>
      </c>
      <c r="D24083" s="21" t="s">
        <v>34</v>
      </c>
      <c r="E24083" s="21" t="s">
        <v>35</v>
      </c>
      <c r="F24083">
        <v>8930598</v>
      </c>
      <c r="G24083" t="s">
        <v>445</v>
      </c>
      <c r="H24083" s="21">
        <v>662.67</v>
      </c>
    </row>
    <row r="24084" spans="1:8" customFormat="1" x14ac:dyDescent="0.25">
      <c r="A24084" t="str">
        <f>"8614908"</f>
        <v>8614908</v>
      </c>
      <c r="B24084" t="s">
        <v>21413</v>
      </c>
      <c r="C24084" t="s">
        <v>198</v>
      </c>
      <c r="D24084" s="21" t="s">
        <v>34</v>
      </c>
      <c r="E24084" s="21" t="s">
        <v>71</v>
      </c>
      <c r="F24084">
        <v>10860234</v>
      </c>
      <c r="G24084" t="s">
        <v>1966</v>
      </c>
      <c r="H24084" s="21">
        <v>662.67</v>
      </c>
    </row>
    <row r="24085" spans="1:8" customFormat="1" x14ac:dyDescent="0.25">
      <c r="A24085" t="str">
        <f>"7622584"</f>
        <v>7622584</v>
      </c>
      <c r="B24085" t="s">
        <v>5867</v>
      </c>
      <c r="C24085" t="s">
        <v>249</v>
      </c>
      <c r="D24085" s="21" t="s">
        <v>34</v>
      </c>
      <c r="E24085" s="21" t="s">
        <v>71</v>
      </c>
      <c r="F24085">
        <v>9760218</v>
      </c>
      <c r="G24085" t="s">
        <v>26836</v>
      </c>
      <c r="H24085" s="21">
        <v>662.67</v>
      </c>
    </row>
    <row r="24086" spans="1:8" customFormat="1" x14ac:dyDescent="0.25">
      <c r="A24086" t="str">
        <f>"7881668"</f>
        <v>7881668</v>
      </c>
      <c r="B24086" t="s">
        <v>430</v>
      </c>
      <c r="C24086" t="s">
        <v>98</v>
      </c>
      <c r="D24086" s="21" t="s">
        <v>34</v>
      </c>
      <c r="E24086" s="21" t="s">
        <v>35</v>
      </c>
      <c r="F24086">
        <v>8781006</v>
      </c>
      <c r="G24086" t="s">
        <v>5376</v>
      </c>
      <c r="H24086" s="21">
        <v>662.67</v>
      </c>
    </row>
    <row r="24087" spans="1:8" customFormat="1" x14ac:dyDescent="0.25">
      <c r="A24087" t="str">
        <f>"1320642"</f>
        <v>1320642</v>
      </c>
      <c r="B24087" t="s">
        <v>20719</v>
      </c>
      <c r="C24087" t="s">
        <v>169</v>
      </c>
      <c r="D24087" s="21" t="s">
        <v>34</v>
      </c>
      <c r="E24087" s="21" t="s">
        <v>254</v>
      </c>
      <c r="F24087">
        <v>13130067</v>
      </c>
      <c r="G24087" t="s">
        <v>1420</v>
      </c>
      <c r="H24087" s="21">
        <v>662.67</v>
      </c>
    </row>
    <row r="24088" spans="1:8" customFormat="1" x14ac:dyDescent="0.25">
      <c r="A24088" t="str">
        <f>"189760"</f>
        <v>189760</v>
      </c>
      <c r="B24088" t="s">
        <v>27773</v>
      </c>
      <c r="C24088" t="s">
        <v>27774</v>
      </c>
      <c r="D24088" s="21" t="s">
        <v>34</v>
      </c>
      <c r="E24088" s="21" t="s">
        <v>254</v>
      </c>
      <c r="F24088">
        <v>4180238</v>
      </c>
      <c r="G24088" t="s">
        <v>7304</v>
      </c>
      <c r="H24088" s="21">
        <v>662.67</v>
      </c>
    </row>
    <row r="24089" spans="1:8" customFormat="1" x14ac:dyDescent="0.25">
      <c r="A24089" t="str">
        <f>"902767"</f>
        <v>902767</v>
      </c>
      <c r="B24089" t="s">
        <v>17541</v>
      </c>
      <c r="C24089" t="s">
        <v>415</v>
      </c>
      <c r="D24089" s="21" t="s">
        <v>34</v>
      </c>
      <c r="E24089" s="21" t="s">
        <v>71</v>
      </c>
      <c r="F24089">
        <v>2900030</v>
      </c>
      <c r="G24089" t="s">
        <v>10237</v>
      </c>
      <c r="H24089" s="21">
        <v>662.67</v>
      </c>
    </row>
    <row r="24090" spans="1:8" customFormat="1" x14ac:dyDescent="0.25">
      <c r="A24090" t="str">
        <f>"834082"</f>
        <v>834082</v>
      </c>
      <c r="B24090" t="s">
        <v>19533</v>
      </c>
      <c r="C24090" t="s">
        <v>576</v>
      </c>
      <c r="D24090" s="21" t="s">
        <v>34</v>
      </c>
      <c r="E24090" s="21" t="s">
        <v>35</v>
      </c>
      <c r="F24090">
        <v>13830051</v>
      </c>
      <c r="G24090" t="s">
        <v>2031</v>
      </c>
      <c r="H24090" s="21">
        <v>662.67</v>
      </c>
    </row>
    <row r="24091" spans="1:8" customFormat="1" x14ac:dyDescent="0.25">
      <c r="A24091" t="str">
        <f>"432497"</f>
        <v>432497</v>
      </c>
      <c r="B24091" t="s">
        <v>17566</v>
      </c>
      <c r="C24091" t="s">
        <v>1812</v>
      </c>
      <c r="D24091" s="21" t="s">
        <v>34</v>
      </c>
      <c r="E24091" s="21" t="s">
        <v>71</v>
      </c>
      <c r="F24091">
        <v>1420291</v>
      </c>
      <c r="G24091" t="s">
        <v>13231</v>
      </c>
      <c r="H24091" s="21">
        <v>662.67</v>
      </c>
    </row>
    <row r="24092" spans="1:8" customFormat="1" x14ac:dyDescent="0.25">
      <c r="A24092" t="str">
        <f>"6316857"</f>
        <v>6316857</v>
      </c>
      <c r="B24092" t="s">
        <v>8922</v>
      </c>
      <c r="C24092" t="s">
        <v>712</v>
      </c>
      <c r="D24092" s="21" t="s">
        <v>34</v>
      </c>
      <c r="E24092" s="21" t="s">
        <v>254</v>
      </c>
      <c r="F24092">
        <v>1630114</v>
      </c>
      <c r="G24092" t="s">
        <v>10269</v>
      </c>
      <c r="H24092" s="21">
        <v>662.67</v>
      </c>
    </row>
    <row r="24093" spans="1:8" customFormat="1" x14ac:dyDescent="0.25">
      <c r="A24093" t="str">
        <f>"5946035"</f>
        <v>5946035</v>
      </c>
      <c r="B24093" t="s">
        <v>5638</v>
      </c>
      <c r="C24093" t="s">
        <v>428</v>
      </c>
      <c r="D24093" s="21" t="s">
        <v>34</v>
      </c>
      <c r="E24093" s="21" t="s">
        <v>35</v>
      </c>
      <c r="F24093">
        <v>7590404</v>
      </c>
      <c r="G24093" t="s">
        <v>12173</v>
      </c>
      <c r="H24093" s="21">
        <v>662.67</v>
      </c>
    </row>
    <row r="24094" spans="1:8" customFormat="1" x14ac:dyDescent="0.25">
      <c r="A24094" t="str">
        <f>"622299"</f>
        <v>622299</v>
      </c>
      <c r="B24094" t="s">
        <v>16829</v>
      </c>
      <c r="C24094" t="s">
        <v>2520</v>
      </c>
      <c r="D24094" s="21" t="s">
        <v>34</v>
      </c>
      <c r="E24094" s="21" t="s">
        <v>254</v>
      </c>
      <c r="F24094">
        <v>7620100</v>
      </c>
      <c r="G24094" t="s">
        <v>145</v>
      </c>
      <c r="H24094" s="21">
        <v>662.67</v>
      </c>
    </row>
    <row r="24095" spans="1:8" customFormat="1" x14ac:dyDescent="0.25">
      <c r="A24095" t="str">
        <f>"516716"</f>
        <v>516716</v>
      </c>
      <c r="B24095" t="s">
        <v>16134</v>
      </c>
      <c r="C24095" t="s">
        <v>187</v>
      </c>
      <c r="D24095" s="21" t="s">
        <v>34</v>
      </c>
      <c r="E24095" s="21" t="s">
        <v>1089</v>
      </c>
      <c r="F24095">
        <v>6510115</v>
      </c>
      <c r="G24095" t="s">
        <v>27329</v>
      </c>
      <c r="H24095" s="21">
        <v>662.67</v>
      </c>
    </row>
    <row r="24096" spans="1:8" customFormat="1" x14ac:dyDescent="0.25">
      <c r="A24096" t="str">
        <f>"2717922"</f>
        <v>2717922</v>
      </c>
      <c r="B24096" t="s">
        <v>623</v>
      </c>
      <c r="C24096" t="s">
        <v>5979</v>
      </c>
      <c r="D24096" s="21" t="s">
        <v>34</v>
      </c>
      <c r="E24096" s="21" t="s">
        <v>35</v>
      </c>
      <c r="F24096">
        <v>9270087</v>
      </c>
      <c r="G24096" t="s">
        <v>7014</v>
      </c>
      <c r="H24096" s="21">
        <v>662.67</v>
      </c>
    </row>
    <row r="24097" spans="1:8" customFormat="1" x14ac:dyDescent="0.25">
      <c r="A24097" t="str">
        <f>"331469"</f>
        <v>331469</v>
      </c>
      <c r="B24097" t="s">
        <v>4652</v>
      </c>
      <c r="C24097" t="s">
        <v>547</v>
      </c>
      <c r="D24097" s="21" t="s">
        <v>34</v>
      </c>
      <c r="E24097" s="21" t="s">
        <v>1089</v>
      </c>
      <c r="F24097">
        <v>3290229</v>
      </c>
      <c r="G24097" t="s">
        <v>408</v>
      </c>
      <c r="H24097" s="21">
        <v>662.67</v>
      </c>
    </row>
    <row r="24098" spans="1:8" customFormat="1" x14ac:dyDescent="0.25">
      <c r="A24098" t="str">
        <f>"773743"</f>
        <v>773743</v>
      </c>
      <c r="B24098" t="s">
        <v>18347</v>
      </c>
      <c r="C24098" t="s">
        <v>119</v>
      </c>
      <c r="D24098" s="21" t="s">
        <v>34</v>
      </c>
      <c r="E24098" s="21" t="s">
        <v>35</v>
      </c>
      <c r="F24098">
        <v>8771394</v>
      </c>
      <c r="G24098" t="s">
        <v>1933</v>
      </c>
      <c r="H24098" s="21">
        <v>662.67</v>
      </c>
    </row>
    <row r="24099" spans="1:8" customFormat="1" x14ac:dyDescent="0.25">
      <c r="A24099" t="str">
        <f>"4922158"</f>
        <v>4922158</v>
      </c>
      <c r="B24099" t="s">
        <v>19808</v>
      </c>
      <c r="C24099" t="s">
        <v>62</v>
      </c>
      <c r="D24099" s="21" t="s">
        <v>34</v>
      </c>
      <c r="E24099" s="21" t="s">
        <v>35</v>
      </c>
      <c r="F24099">
        <v>12490122</v>
      </c>
      <c r="G24099" t="s">
        <v>26752</v>
      </c>
      <c r="H24099" s="21">
        <v>662.67</v>
      </c>
    </row>
    <row r="24100" spans="1:8" customFormat="1" x14ac:dyDescent="0.25">
      <c r="A24100" t="str">
        <f>"5617589"</f>
        <v>5617589</v>
      </c>
      <c r="B24100" t="s">
        <v>17776</v>
      </c>
      <c r="C24100" t="s">
        <v>328</v>
      </c>
      <c r="D24100" s="21" t="s">
        <v>34</v>
      </c>
      <c r="E24100" s="21" t="s">
        <v>35</v>
      </c>
      <c r="F24100">
        <v>3560045</v>
      </c>
      <c r="G24100" t="s">
        <v>4969</v>
      </c>
      <c r="H24100" s="21">
        <v>662.67</v>
      </c>
    </row>
    <row r="24101" spans="1:8" customFormat="1" x14ac:dyDescent="0.25">
      <c r="A24101" t="str">
        <f>"4443396"</f>
        <v>4443396</v>
      </c>
      <c r="B24101" t="s">
        <v>19355</v>
      </c>
      <c r="C24101" t="s">
        <v>114</v>
      </c>
      <c r="D24101" s="21" t="s">
        <v>34</v>
      </c>
      <c r="E24101" s="21" t="s">
        <v>35</v>
      </c>
      <c r="F24101">
        <v>12440154</v>
      </c>
      <c r="G24101" t="s">
        <v>7124</v>
      </c>
      <c r="H24101" s="21">
        <v>662.67</v>
      </c>
    </row>
    <row r="24102" spans="1:8" customFormat="1" x14ac:dyDescent="0.25">
      <c r="A24102" t="str">
        <f>"1612599"</f>
        <v>1612599</v>
      </c>
      <c r="B24102" t="s">
        <v>17968</v>
      </c>
      <c r="C24102" t="s">
        <v>547</v>
      </c>
      <c r="D24102" s="21" t="s">
        <v>34</v>
      </c>
      <c r="E24102" s="21" t="s">
        <v>1089</v>
      </c>
      <c r="F24102">
        <v>10160047</v>
      </c>
      <c r="G24102" t="s">
        <v>13957</v>
      </c>
      <c r="H24102" s="21">
        <v>662.67</v>
      </c>
    </row>
    <row r="24103" spans="1:8" customFormat="1" x14ac:dyDescent="0.25">
      <c r="A24103" t="str">
        <f>"7859052"</f>
        <v>7859052</v>
      </c>
      <c r="B24103" t="s">
        <v>20568</v>
      </c>
      <c r="C24103" t="s">
        <v>236</v>
      </c>
      <c r="D24103" s="21" t="s">
        <v>34</v>
      </c>
      <c r="E24103" s="21" t="s">
        <v>1089</v>
      </c>
      <c r="F24103">
        <v>12440266</v>
      </c>
      <c r="G24103" t="s">
        <v>924</v>
      </c>
      <c r="H24103" s="21">
        <v>662.67</v>
      </c>
    </row>
    <row r="24104" spans="1:8" customFormat="1" x14ac:dyDescent="0.25">
      <c r="A24104" t="str">
        <f>"756450"</f>
        <v>756450</v>
      </c>
      <c r="B24104" t="s">
        <v>10019</v>
      </c>
      <c r="C24104" t="s">
        <v>2479</v>
      </c>
      <c r="D24104" s="21" t="s">
        <v>34</v>
      </c>
      <c r="E24104" s="21" t="s">
        <v>254</v>
      </c>
      <c r="F24104">
        <v>8750400</v>
      </c>
      <c r="G24104" t="s">
        <v>2804</v>
      </c>
      <c r="H24104" s="21">
        <v>662.67</v>
      </c>
    </row>
    <row r="24105" spans="1:8" customFormat="1" x14ac:dyDescent="0.25">
      <c r="A24105" t="str">
        <f>"854226"</f>
        <v>854226</v>
      </c>
      <c r="B24105" t="s">
        <v>2690</v>
      </c>
      <c r="C24105" t="s">
        <v>209</v>
      </c>
      <c r="D24105" s="21" t="s">
        <v>34</v>
      </c>
      <c r="E24105" s="21" t="s">
        <v>71</v>
      </c>
      <c r="F24105">
        <v>12850040</v>
      </c>
      <c r="G24105" t="s">
        <v>2074</v>
      </c>
      <c r="H24105" s="21">
        <v>662.67</v>
      </c>
    </row>
    <row r="24106" spans="1:8" customFormat="1" x14ac:dyDescent="0.25">
      <c r="A24106" t="str">
        <f>"5922508"</f>
        <v>5922508</v>
      </c>
      <c r="B24106" t="s">
        <v>16025</v>
      </c>
      <c r="C24106" t="s">
        <v>267</v>
      </c>
      <c r="D24106" s="21" t="s">
        <v>34</v>
      </c>
      <c r="E24106" s="21" t="s">
        <v>254</v>
      </c>
      <c r="F24106">
        <v>7590123</v>
      </c>
      <c r="G24106" t="s">
        <v>85</v>
      </c>
      <c r="H24106" s="21">
        <v>662.67</v>
      </c>
    </row>
    <row r="24107" spans="1:8" customFormat="1" x14ac:dyDescent="0.25">
      <c r="A24107" t="str">
        <f>"6928856"</f>
        <v>6928856</v>
      </c>
      <c r="B24107" t="s">
        <v>27775</v>
      </c>
      <c r="C24107" t="s">
        <v>87</v>
      </c>
      <c r="D24107" s="21" t="s">
        <v>34</v>
      </c>
      <c r="E24107" s="21" t="s">
        <v>35</v>
      </c>
      <c r="F24107">
        <v>1690207</v>
      </c>
      <c r="G24107" t="s">
        <v>4232</v>
      </c>
      <c r="H24107" s="21">
        <v>662.67</v>
      </c>
    </row>
    <row r="24108" spans="1:8" customFormat="1" x14ac:dyDescent="0.25">
      <c r="A24108" t="str">
        <f>"8013867"</f>
        <v>8013867</v>
      </c>
      <c r="B24108" t="s">
        <v>19390</v>
      </c>
      <c r="C24108" t="s">
        <v>288</v>
      </c>
      <c r="D24108" s="21" t="s">
        <v>34</v>
      </c>
      <c r="E24108" s="21" t="s">
        <v>35</v>
      </c>
      <c r="F24108">
        <v>7800125</v>
      </c>
      <c r="G24108" t="s">
        <v>11339</v>
      </c>
      <c r="H24108" s="21">
        <v>662.67</v>
      </c>
    </row>
    <row r="24109" spans="1:8" customFormat="1" x14ac:dyDescent="0.25">
      <c r="A24109" t="str">
        <f>"9454772"</f>
        <v>9454772</v>
      </c>
      <c r="B24109" t="s">
        <v>21653</v>
      </c>
      <c r="C24109" t="s">
        <v>198</v>
      </c>
      <c r="D24109" s="21" t="s">
        <v>34</v>
      </c>
      <c r="E24109" s="21" t="s">
        <v>71</v>
      </c>
      <c r="F24109">
        <v>8940926</v>
      </c>
      <c r="G24109" t="s">
        <v>4065</v>
      </c>
      <c r="H24109" s="21">
        <v>662.54</v>
      </c>
    </row>
    <row r="24110" spans="1:8" customFormat="1" x14ac:dyDescent="0.25">
      <c r="A24110" t="str">
        <f>"7516750"</f>
        <v>7516750</v>
      </c>
      <c r="B24110" t="s">
        <v>17077</v>
      </c>
      <c r="C24110" t="s">
        <v>3843</v>
      </c>
      <c r="D24110" s="21" t="s">
        <v>34</v>
      </c>
      <c r="E24110" s="21" t="s">
        <v>71</v>
      </c>
      <c r="F24110">
        <v>8750074</v>
      </c>
      <c r="G24110" t="s">
        <v>698</v>
      </c>
      <c r="H24110" s="21">
        <v>662.42</v>
      </c>
    </row>
    <row r="24111" spans="1:8" customFormat="1" x14ac:dyDescent="0.25">
      <c r="A24111" t="str">
        <f>"5972465"</f>
        <v>5972465</v>
      </c>
      <c r="B24111" t="s">
        <v>17509</v>
      </c>
      <c r="C24111" t="s">
        <v>453</v>
      </c>
      <c r="D24111" s="21" t="s">
        <v>34</v>
      </c>
      <c r="E24111" s="21" t="s">
        <v>35</v>
      </c>
      <c r="F24111">
        <v>7590068</v>
      </c>
      <c r="G24111" t="s">
        <v>1005</v>
      </c>
      <c r="H24111" s="21">
        <v>662.42</v>
      </c>
    </row>
    <row r="24112" spans="1:8" customFormat="1" x14ac:dyDescent="0.25">
      <c r="A24112" t="str">
        <f>"3536002"</f>
        <v>3536002</v>
      </c>
      <c r="B24112" t="s">
        <v>2036</v>
      </c>
      <c r="C24112" t="s">
        <v>323</v>
      </c>
      <c r="D24112" s="21" t="s">
        <v>34</v>
      </c>
      <c r="E24112" s="21" t="s">
        <v>71</v>
      </c>
      <c r="F24112">
        <v>3350156</v>
      </c>
      <c r="G24112" t="s">
        <v>18238</v>
      </c>
      <c r="H24112" s="21">
        <v>662.42</v>
      </c>
    </row>
    <row r="24113" spans="1:8" customFormat="1" x14ac:dyDescent="0.25">
      <c r="A24113" t="str">
        <f>"4936391"</f>
        <v>4936391</v>
      </c>
      <c r="B24113" t="s">
        <v>21746</v>
      </c>
      <c r="C24113" t="s">
        <v>269</v>
      </c>
      <c r="D24113" s="21" t="s">
        <v>34</v>
      </c>
      <c r="E24113" s="21" t="s">
        <v>35</v>
      </c>
      <c r="F24113">
        <v>12490106</v>
      </c>
      <c r="G24113" t="s">
        <v>4555</v>
      </c>
      <c r="H24113" s="21">
        <v>662.42</v>
      </c>
    </row>
    <row r="24114" spans="1:8" customFormat="1" x14ac:dyDescent="0.25">
      <c r="A24114" t="str">
        <f>"4513795"</f>
        <v>4513795</v>
      </c>
      <c r="B24114" t="s">
        <v>7216</v>
      </c>
      <c r="C24114" t="s">
        <v>114</v>
      </c>
      <c r="D24114" s="21" t="s">
        <v>34</v>
      </c>
      <c r="E24114" s="21" t="s">
        <v>254</v>
      </c>
      <c r="F24114">
        <v>4450573</v>
      </c>
      <c r="G24114" t="s">
        <v>4106</v>
      </c>
      <c r="H24114" s="21">
        <v>662.42</v>
      </c>
    </row>
    <row r="24115" spans="1:8" customFormat="1" x14ac:dyDescent="0.25">
      <c r="A24115" t="str">
        <f>"4931724"</f>
        <v>4931724</v>
      </c>
      <c r="B24115" t="s">
        <v>12570</v>
      </c>
      <c r="C24115" t="s">
        <v>1665</v>
      </c>
      <c r="D24115" s="21" t="s">
        <v>34</v>
      </c>
      <c r="E24115" s="21" t="s">
        <v>71</v>
      </c>
      <c r="F24115">
        <v>12490039</v>
      </c>
      <c r="G24115" t="s">
        <v>3453</v>
      </c>
      <c r="H24115" s="21">
        <v>662.42</v>
      </c>
    </row>
    <row r="24116" spans="1:8" customFormat="1" x14ac:dyDescent="0.25">
      <c r="A24116" t="str">
        <f>"9421876"</f>
        <v>9421876</v>
      </c>
      <c r="B24116" t="s">
        <v>18522</v>
      </c>
      <c r="C24116" t="s">
        <v>139</v>
      </c>
      <c r="D24116" s="21" t="s">
        <v>34</v>
      </c>
      <c r="E24116" s="21" t="s">
        <v>35</v>
      </c>
      <c r="F24116">
        <v>3290205</v>
      </c>
      <c r="G24116" t="s">
        <v>26882</v>
      </c>
      <c r="H24116" s="21">
        <v>662.42</v>
      </c>
    </row>
    <row r="24117" spans="1:8" customFormat="1" x14ac:dyDescent="0.25">
      <c r="A24117" t="str">
        <f>"4111783"</f>
        <v>4111783</v>
      </c>
      <c r="B24117" t="s">
        <v>890</v>
      </c>
      <c r="C24117" t="s">
        <v>119</v>
      </c>
      <c r="D24117" s="21" t="s">
        <v>34</v>
      </c>
      <c r="E24117" s="21" t="s">
        <v>35</v>
      </c>
      <c r="F24117">
        <v>4410636</v>
      </c>
      <c r="G24117" t="s">
        <v>8111</v>
      </c>
      <c r="H24117" s="21">
        <v>662.29</v>
      </c>
    </row>
    <row r="24118" spans="1:8" customFormat="1" x14ac:dyDescent="0.25">
      <c r="A24118" t="str">
        <f>"7915553"</f>
        <v>7915553</v>
      </c>
      <c r="B24118" t="s">
        <v>1919</v>
      </c>
      <c r="C24118" t="s">
        <v>209</v>
      </c>
      <c r="D24118" s="21" t="s">
        <v>34</v>
      </c>
      <c r="E24118" s="21" t="s">
        <v>71</v>
      </c>
      <c r="F24118">
        <v>10790002</v>
      </c>
      <c r="G24118" t="s">
        <v>6612</v>
      </c>
      <c r="H24118" s="21">
        <v>662.17</v>
      </c>
    </row>
    <row r="24119" spans="1:8" customFormat="1" x14ac:dyDescent="0.25">
      <c r="A24119" t="str">
        <f>"8528121"</f>
        <v>8528121</v>
      </c>
      <c r="B24119" t="s">
        <v>5403</v>
      </c>
      <c r="C24119" t="s">
        <v>1146</v>
      </c>
      <c r="D24119" s="21" t="s">
        <v>34</v>
      </c>
      <c r="E24119" s="21" t="s">
        <v>254</v>
      </c>
      <c r="F24119">
        <v>12850143</v>
      </c>
      <c r="G24119" t="s">
        <v>1625</v>
      </c>
      <c r="H24119" s="21">
        <v>662.17</v>
      </c>
    </row>
    <row r="24120" spans="1:8" customFormat="1" x14ac:dyDescent="0.25">
      <c r="A24120" t="str">
        <f>"1711703"</f>
        <v>1711703</v>
      </c>
      <c r="B24120" t="s">
        <v>7122</v>
      </c>
      <c r="C24120" t="s">
        <v>169</v>
      </c>
      <c r="D24120" s="21" t="s">
        <v>34</v>
      </c>
      <c r="E24120" s="21" t="s">
        <v>71</v>
      </c>
      <c r="F24120">
        <v>10170218</v>
      </c>
      <c r="G24120" t="s">
        <v>8381</v>
      </c>
      <c r="H24120" s="21">
        <v>662.17</v>
      </c>
    </row>
    <row r="24121" spans="1:8" customFormat="1" x14ac:dyDescent="0.25">
      <c r="A24121" t="str">
        <f>"535929"</f>
        <v>535929</v>
      </c>
      <c r="B24121" t="s">
        <v>17020</v>
      </c>
      <c r="C24121" t="s">
        <v>415</v>
      </c>
      <c r="D24121" s="21" t="s">
        <v>34</v>
      </c>
      <c r="E24121" s="21" t="s">
        <v>254</v>
      </c>
      <c r="F24121">
        <v>12530090</v>
      </c>
      <c r="G24121" t="s">
        <v>6132</v>
      </c>
      <c r="H24121" s="21">
        <v>662.17</v>
      </c>
    </row>
    <row r="24122" spans="1:8" customFormat="1" x14ac:dyDescent="0.25">
      <c r="A24122" t="str">
        <f>"8310669"</f>
        <v>8310669</v>
      </c>
      <c r="B24122" t="s">
        <v>7075</v>
      </c>
      <c r="C24122" t="s">
        <v>96</v>
      </c>
      <c r="D24122" s="21" t="s">
        <v>34</v>
      </c>
      <c r="E24122" s="21" t="s">
        <v>1089</v>
      </c>
      <c r="F24122">
        <v>13830083</v>
      </c>
      <c r="G24122" t="s">
        <v>2159</v>
      </c>
      <c r="H24122" s="21">
        <v>662.17</v>
      </c>
    </row>
    <row r="24123" spans="1:8" customFormat="1" x14ac:dyDescent="0.25">
      <c r="A24123" t="str">
        <f>"833686"</f>
        <v>833686</v>
      </c>
      <c r="B24123" t="s">
        <v>17023</v>
      </c>
      <c r="C24123" t="s">
        <v>12357</v>
      </c>
      <c r="D24123" s="21" t="s">
        <v>34</v>
      </c>
      <c r="E24123" s="21" t="s">
        <v>71</v>
      </c>
      <c r="F24123">
        <v>13830066</v>
      </c>
      <c r="G24123" t="s">
        <v>7148</v>
      </c>
      <c r="H24123" s="21">
        <v>662.17</v>
      </c>
    </row>
    <row r="24124" spans="1:8" customFormat="1" x14ac:dyDescent="0.25">
      <c r="A24124" t="str">
        <f>"041637"</f>
        <v>041637</v>
      </c>
      <c r="B24124" t="s">
        <v>17297</v>
      </c>
      <c r="C24124" t="s">
        <v>149</v>
      </c>
      <c r="D24124" s="21" t="s">
        <v>34</v>
      </c>
      <c r="E24124" s="21" t="s">
        <v>35</v>
      </c>
      <c r="F24124">
        <v>13040005</v>
      </c>
      <c r="G24124" t="s">
        <v>7115</v>
      </c>
      <c r="H24124" s="21">
        <v>662.17</v>
      </c>
    </row>
    <row r="24125" spans="1:8" customFormat="1" x14ac:dyDescent="0.25">
      <c r="A24125" t="str">
        <f>"3718480"</f>
        <v>3718480</v>
      </c>
      <c r="B24125" t="s">
        <v>17269</v>
      </c>
      <c r="C24125" t="s">
        <v>1705</v>
      </c>
      <c r="D24125" s="21" t="s">
        <v>34</v>
      </c>
      <c r="E24125" s="21" t="s">
        <v>71</v>
      </c>
      <c r="F24125">
        <v>4370498</v>
      </c>
      <c r="G24125" t="s">
        <v>10872</v>
      </c>
      <c r="H24125" s="21">
        <v>662.17</v>
      </c>
    </row>
    <row r="24126" spans="1:8" customFormat="1" x14ac:dyDescent="0.25">
      <c r="A24126" t="str">
        <f>"8526863"</f>
        <v>8526863</v>
      </c>
      <c r="B24126" t="s">
        <v>19610</v>
      </c>
      <c r="C24126" t="s">
        <v>462</v>
      </c>
      <c r="D24126" s="21" t="s">
        <v>34</v>
      </c>
      <c r="E24126" s="21" t="s">
        <v>35</v>
      </c>
      <c r="F24126">
        <v>12850134</v>
      </c>
      <c r="G24126" t="s">
        <v>2359</v>
      </c>
      <c r="H24126" s="21">
        <v>662.17</v>
      </c>
    </row>
    <row r="24127" spans="1:8" customFormat="1" x14ac:dyDescent="0.25">
      <c r="A24127" t="str">
        <f>"4918654"</f>
        <v>4918654</v>
      </c>
      <c r="B24127" t="s">
        <v>18635</v>
      </c>
      <c r="C24127" t="s">
        <v>415</v>
      </c>
      <c r="D24127" s="21" t="s">
        <v>34</v>
      </c>
      <c r="E24127" s="21" t="s">
        <v>71</v>
      </c>
      <c r="F24127">
        <v>12490017</v>
      </c>
      <c r="G24127" t="s">
        <v>9393</v>
      </c>
      <c r="H24127" s="21">
        <v>662.17</v>
      </c>
    </row>
    <row r="24128" spans="1:8" customFormat="1" x14ac:dyDescent="0.25">
      <c r="A24128" t="str">
        <f>"8523137"</f>
        <v>8523137</v>
      </c>
      <c r="B24128" t="s">
        <v>2851</v>
      </c>
      <c r="C24128" t="s">
        <v>1853</v>
      </c>
      <c r="D24128" s="21" t="s">
        <v>34</v>
      </c>
      <c r="E24128" s="21" t="s">
        <v>71</v>
      </c>
      <c r="F24128">
        <v>12850026</v>
      </c>
      <c r="G24128" t="s">
        <v>1400</v>
      </c>
      <c r="H24128" s="21">
        <v>662.17</v>
      </c>
    </row>
    <row r="24129" spans="1:8" customFormat="1" x14ac:dyDescent="0.25">
      <c r="A24129" t="str">
        <f>"6012447"</f>
        <v>6012447</v>
      </c>
      <c r="B24129" t="s">
        <v>18649</v>
      </c>
      <c r="C24129" t="s">
        <v>2384</v>
      </c>
      <c r="D24129" s="21" t="s">
        <v>34</v>
      </c>
      <c r="E24129" s="21" t="s">
        <v>71</v>
      </c>
      <c r="F24129">
        <v>7600086</v>
      </c>
      <c r="G24129" t="s">
        <v>2399</v>
      </c>
      <c r="H24129" s="21">
        <v>662.17</v>
      </c>
    </row>
    <row r="24130" spans="1:8" customFormat="1" x14ac:dyDescent="0.25">
      <c r="A24130" t="str">
        <f>"5928926"</f>
        <v>5928926</v>
      </c>
      <c r="B24130" t="s">
        <v>16188</v>
      </c>
      <c r="C24130" t="s">
        <v>1100</v>
      </c>
      <c r="D24130" s="21" t="s">
        <v>34</v>
      </c>
      <c r="E24130" s="21" t="s">
        <v>35</v>
      </c>
      <c r="F24130">
        <v>7590050</v>
      </c>
      <c r="G24130" t="s">
        <v>473</v>
      </c>
      <c r="H24130" s="21">
        <v>662.17</v>
      </c>
    </row>
    <row r="24131" spans="1:8" customFormat="1" x14ac:dyDescent="0.25">
      <c r="A24131" t="str">
        <f>"476715"</f>
        <v>476715</v>
      </c>
      <c r="B24131" t="s">
        <v>1048</v>
      </c>
      <c r="C24131" t="s">
        <v>891</v>
      </c>
      <c r="D24131" s="21" t="s">
        <v>34</v>
      </c>
      <c r="E24131" s="21" t="s">
        <v>35</v>
      </c>
      <c r="F24131">
        <v>10470021</v>
      </c>
      <c r="G24131" t="s">
        <v>1034</v>
      </c>
      <c r="H24131" s="21">
        <v>662.17</v>
      </c>
    </row>
    <row r="24132" spans="1:8" customFormat="1" x14ac:dyDescent="0.25">
      <c r="A24132" t="str">
        <f>"4421012"</f>
        <v>4421012</v>
      </c>
      <c r="B24132" t="s">
        <v>16611</v>
      </c>
      <c r="C24132" t="s">
        <v>209</v>
      </c>
      <c r="D24132" s="21" t="s">
        <v>34</v>
      </c>
      <c r="E24132" s="21" t="s">
        <v>71</v>
      </c>
      <c r="F24132">
        <v>12440141</v>
      </c>
      <c r="G24132" t="s">
        <v>3234</v>
      </c>
      <c r="H24132" s="21">
        <v>662.17</v>
      </c>
    </row>
    <row r="24133" spans="1:8" customFormat="1" x14ac:dyDescent="0.25">
      <c r="A24133" t="str">
        <f>"878397"</f>
        <v>878397</v>
      </c>
      <c r="B24133" t="s">
        <v>27776</v>
      </c>
      <c r="C24133" t="s">
        <v>328</v>
      </c>
      <c r="D24133" s="21" t="s">
        <v>34</v>
      </c>
      <c r="E24133" s="21" t="s">
        <v>35</v>
      </c>
      <c r="F24133">
        <v>10870109</v>
      </c>
      <c r="G24133" t="s">
        <v>5199</v>
      </c>
      <c r="H24133" s="21">
        <v>662.17</v>
      </c>
    </row>
    <row r="24134" spans="1:8" customFormat="1" x14ac:dyDescent="0.25">
      <c r="A24134" t="str">
        <f>"665123"</f>
        <v>665123</v>
      </c>
      <c r="B24134" t="s">
        <v>17159</v>
      </c>
      <c r="C24134" t="s">
        <v>328</v>
      </c>
      <c r="D24134" s="21" t="s">
        <v>34</v>
      </c>
      <c r="E24134" s="21" t="s">
        <v>35</v>
      </c>
      <c r="F24134">
        <v>11660013</v>
      </c>
      <c r="G24134" t="s">
        <v>10510</v>
      </c>
      <c r="H24134" s="21">
        <v>662.17</v>
      </c>
    </row>
    <row r="24135" spans="1:8" customFormat="1" x14ac:dyDescent="0.25">
      <c r="A24135" t="str">
        <f>"7833819"</f>
        <v>7833819</v>
      </c>
      <c r="B24135" t="s">
        <v>4783</v>
      </c>
      <c r="C24135" t="s">
        <v>17138</v>
      </c>
      <c r="D24135" s="21" t="s">
        <v>34</v>
      </c>
      <c r="E24135" s="21" t="s">
        <v>71</v>
      </c>
      <c r="F24135">
        <v>8781473</v>
      </c>
      <c r="G24135" t="s">
        <v>1097</v>
      </c>
      <c r="H24135" s="21">
        <v>662.17</v>
      </c>
    </row>
    <row r="24136" spans="1:8" customFormat="1" x14ac:dyDescent="0.25">
      <c r="A24136" t="str">
        <f>"954016"</f>
        <v>954016</v>
      </c>
      <c r="B24136" t="s">
        <v>18982</v>
      </c>
      <c r="C24136" t="s">
        <v>453</v>
      </c>
      <c r="D24136" s="21" t="s">
        <v>34</v>
      </c>
      <c r="E24136" s="21" t="s">
        <v>254</v>
      </c>
      <c r="F24136">
        <v>8950260</v>
      </c>
      <c r="G24136" t="s">
        <v>8564</v>
      </c>
      <c r="H24136" s="21">
        <v>662.17</v>
      </c>
    </row>
    <row r="24137" spans="1:8" customFormat="1" x14ac:dyDescent="0.25">
      <c r="A24137" t="str">
        <f>"3535145"</f>
        <v>3535145</v>
      </c>
      <c r="B24137" t="s">
        <v>19187</v>
      </c>
      <c r="C24137" t="s">
        <v>275</v>
      </c>
      <c r="D24137" s="21" t="s">
        <v>34</v>
      </c>
      <c r="E24137" s="21" t="s">
        <v>35</v>
      </c>
      <c r="F24137">
        <v>3350102</v>
      </c>
      <c r="G24137" t="s">
        <v>4942</v>
      </c>
      <c r="H24137" s="21">
        <v>662.17</v>
      </c>
    </row>
    <row r="24138" spans="1:8" customFormat="1" x14ac:dyDescent="0.25">
      <c r="A24138" t="str">
        <f>"2513356"</f>
        <v>2513356</v>
      </c>
      <c r="B24138" t="s">
        <v>19590</v>
      </c>
      <c r="C24138" t="s">
        <v>598</v>
      </c>
      <c r="D24138" s="21" t="s">
        <v>34</v>
      </c>
      <c r="E24138" s="21" t="s">
        <v>71</v>
      </c>
      <c r="F24138">
        <v>2250213</v>
      </c>
      <c r="G24138" t="s">
        <v>1969</v>
      </c>
      <c r="H24138" s="21">
        <v>662.17</v>
      </c>
    </row>
    <row r="24139" spans="1:8" customFormat="1" x14ac:dyDescent="0.25">
      <c r="A24139" t="str">
        <f>"625990"</f>
        <v>625990</v>
      </c>
      <c r="B24139" t="s">
        <v>2131</v>
      </c>
      <c r="C24139" t="s">
        <v>415</v>
      </c>
      <c r="D24139" s="21" t="s">
        <v>34</v>
      </c>
      <c r="E24139" s="21" t="s">
        <v>35</v>
      </c>
      <c r="F24139">
        <v>7620007</v>
      </c>
      <c r="G24139" t="s">
        <v>2133</v>
      </c>
      <c r="H24139" s="21">
        <v>662.17</v>
      </c>
    </row>
    <row r="24140" spans="1:8" customFormat="1" x14ac:dyDescent="0.25">
      <c r="A24140" t="str">
        <f>"62243"</f>
        <v>62243</v>
      </c>
      <c r="B24140" t="s">
        <v>27777</v>
      </c>
      <c r="C24140" t="s">
        <v>209</v>
      </c>
      <c r="D24140" s="21" t="s">
        <v>34</v>
      </c>
      <c r="E24140" s="21" t="s">
        <v>254</v>
      </c>
      <c r="F24140">
        <v>7620096</v>
      </c>
      <c r="G24140" t="s">
        <v>5829</v>
      </c>
      <c r="H24140" s="21">
        <v>662.17</v>
      </c>
    </row>
    <row r="24141" spans="1:8" customFormat="1" x14ac:dyDescent="0.25">
      <c r="A24141" t="str">
        <f>"6011927"</f>
        <v>6011927</v>
      </c>
      <c r="B24141" t="s">
        <v>18009</v>
      </c>
      <c r="C24141" t="s">
        <v>267</v>
      </c>
      <c r="D24141" s="21" t="s">
        <v>34</v>
      </c>
      <c r="E24141" s="21" t="s">
        <v>254</v>
      </c>
      <c r="F24141">
        <v>9760414</v>
      </c>
      <c r="G24141" t="s">
        <v>142</v>
      </c>
      <c r="H24141" s="21">
        <v>662.17</v>
      </c>
    </row>
    <row r="24142" spans="1:8" customFormat="1" x14ac:dyDescent="0.25">
      <c r="A24142" t="str">
        <f>"1310423"</f>
        <v>1310423</v>
      </c>
      <c r="B24142" t="s">
        <v>17787</v>
      </c>
      <c r="C24142" t="s">
        <v>233</v>
      </c>
      <c r="D24142" s="21" t="s">
        <v>34</v>
      </c>
      <c r="E24142" s="21" t="s">
        <v>71</v>
      </c>
      <c r="F24142">
        <v>13130166</v>
      </c>
      <c r="G24142" t="s">
        <v>2539</v>
      </c>
      <c r="H24142" s="21">
        <v>662.17</v>
      </c>
    </row>
    <row r="24143" spans="1:8" customFormat="1" x14ac:dyDescent="0.25">
      <c r="A24143" t="str">
        <f>"9521684"</f>
        <v>9521684</v>
      </c>
      <c r="B24143" t="s">
        <v>16697</v>
      </c>
      <c r="C24143" t="s">
        <v>33</v>
      </c>
      <c r="D24143" s="21" t="s">
        <v>34</v>
      </c>
      <c r="E24143" s="21" t="s">
        <v>71</v>
      </c>
      <c r="F24143">
        <v>8950103</v>
      </c>
      <c r="G24143" t="s">
        <v>440</v>
      </c>
      <c r="H24143" s="21">
        <v>662.04</v>
      </c>
    </row>
    <row r="24144" spans="1:8" customFormat="1" x14ac:dyDescent="0.25">
      <c r="A24144" t="str">
        <f>"8313893"</f>
        <v>8313893</v>
      </c>
      <c r="B24144" t="s">
        <v>18618</v>
      </c>
      <c r="C24144" t="s">
        <v>109</v>
      </c>
      <c r="D24144" s="21" t="s">
        <v>34</v>
      </c>
      <c r="E24144" s="21" t="s">
        <v>35</v>
      </c>
      <c r="F24144">
        <v>13830015</v>
      </c>
      <c r="G24144" t="s">
        <v>4011</v>
      </c>
      <c r="H24144" s="21">
        <v>662.04</v>
      </c>
    </row>
    <row r="24145" spans="1:8" customFormat="1" x14ac:dyDescent="0.25">
      <c r="A24145" t="str">
        <f>"7523829"</f>
        <v>7523829</v>
      </c>
      <c r="B24145" t="s">
        <v>20398</v>
      </c>
      <c r="C24145" t="s">
        <v>598</v>
      </c>
      <c r="D24145" s="21" t="s">
        <v>34</v>
      </c>
      <c r="E24145" s="21" t="s">
        <v>71</v>
      </c>
      <c r="F24145">
        <v>8750100</v>
      </c>
      <c r="G24145" t="s">
        <v>10521</v>
      </c>
      <c r="H24145" s="21">
        <v>661.92</v>
      </c>
    </row>
    <row r="24146" spans="1:8" customFormat="1" x14ac:dyDescent="0.25">
      <c r="A24146" t="str">
        <f>"9252983"</f>
        <v>9252983</v>
      </c>
      <c r="B24146" t="s">
        <v>27778</v>
      </c>
      <c r="C24146" t="s">
        <v>211</v>
      </c>
      <c r="D24146" s="21" t="s">
        <v>34</v>
      </c>
      <c r="E24146" s="21" t="s">
        <v>35</v>
      </c>
      <c r="F24146">
        <v>8921190</v>
      </c>
      <c r="G24146" t="s">
        <v>810</v>
      </c>
      <c r="H24146" s="21">
        <v>661.79</v>
      </c>
    </row>
    <row r="24147" spans="1:8" customFormat="1" x14ac:dyDescent="0.25">
      <c r="A24147" t="str">
        <f>"81459"</f>
        <v>81459</v>
      </c>
      <c r="B24147" t="s">
        <v>18476</v>
      </c>
      <c r="C24147" t="s">
        <v>263</v>
      </c>
      <c r="D24147" s="21" t="s">
        <v>34</v>
      </c>
      <c r="E24147" s="21" t="s">
        <v>254</v>
      </c>
      <c r="F24147">
        <v>11810013</v>
      </c>
      <c r="G24147" t="s">
        <v>8833</v>
      </c>
      <c r="H24147" s="21">
        <v>661.79</v>
      </c>
    </row>
    <row r="24148" spans="1:8" customFormat="1" x14ac:dyDescent="0.25">
      <c r="A24148" t="str">
        <f>"428711"</f>
        <v>428711</v>
      </c>
      <c r="B24148" t="s">
        <v>18181</v>
      </c>
      <c r="C24148" t="s">
        <v>598</v>
      </c>
      <c r="D24148" s="21" t="s">
        <v>34</v>
      </c>
      <c r="E24148" s="21" t="s">
        <v>254</v>
      </c>
      <c r="F24148">
        <v>1420106</v>
      </c>
      <c r="G24148" t="s">
        <v>6244</v>
      </c>
      <c r="H24148" s="21">
        <v>661.67</v>
      </c>
    </row>
    <row r="24149" spans="1:8" customFormat="1" x14ac:dyDescent="0.25">
      <c r="A24149" t="str">
        <f>"404263"</f>
        <v>404263</v>
      </c>
      <c r="B24149" t="s">
        <v>27051</v>
      </c>
      <c r="C24149" t="s">
        <v>415</v>
      </c>
      <c r="D24149" s="21" t="s">
        <v>34</v>
      </c>
      <c r="E24149" s="21" t="s">
        <v>71</v>
      </c>
      <c r="F24149">
        <v>10400013</v>
      </c>
      <c r="G24149" t="s">
        <v>6238</v>
      </c>
      <c r="H24149" s="21">
        <v>661.67</v>
      </c>
    </row>
    <row r="24150" spans="1:8" customFormat="1" x14ac:dyDescent="0.25">
      <c r="A24150" t="str">
        <f>"2617451"</f>
        <v>2617451</v>
      </c>
      <c r="B24150" t="s">
        <v>17993</v>
      </c>
      <c r="C24150" t="s">
        <v>55</v>
      </c>
      <c r="D24150" s="21" t="s">
        <v>34</v>
      </c>
      <c r="E24150" s="21" t="s">
        <v>35</v>
      </c>
      <c r="F24150">
        <v>1260026</v>
      </c>
      <c r="G24150" t="s">
        <v>516</v>
      </c>
      <c r="H24150" s="21">
        <v>661.67</v>
      </c>
    </row>
    <row r="24151" spans="1:8" customFormat="1" x14ac:dyDescent="0.25">
      <c r="A24151" t="str">
        <f>"186306"</f>
        <v>186306</v>
      </c>
      <c r="B24151" t="s">
        <v>509</v>
      </c>
      <c r="C24151" t="s">
        <v>209</v>
      </c>
      <c r="D24151" s="21" t="s">
        <v>34</v>
      </c>
      <c r="E24151" s="21" t="s">
        <v>71</v>
      </c>
      <c r="F24151">
        <v>12440029</v>
      </c>
      <c r="G24151" t="s">
        <v>567</v>
      </c>
      <c r="H24151" s="21">
        <v>661.67</v>
      </c>
    </row>
    <row r="24152" spans="1:8" customFormat="1" x14ac:dyDescent="0.25">
      <c r="A24152" t="str">
        <f>"1713613"</f>
        <v>1713613</v>
      </c>
      <c r="B24152" t="s">
        <v>5084</v>
      </c>
      <c r="C24152" t="s">
        <v>65</v>
      </c>
      <c r="D24152" s="21" t="s">
        <v>34</v>
      </c>
      <c r="E24152" s="21" t="s">
        <v>35</v>
      </c>
      <c r="F24152">
        <v>10170223</v>
      </c>
      <c r="G24152" t="s">
        <v>7057</v>
      </c>
      <c r="H24152" s="21">
        <v>661.67</v>
      </c>
    </row>
    <row r="24153" spans="1:8" customFormat="1" x14ac:dyDescent="0.25">
      <c r="A24153" t="str">
        <f>"0114710"</f>
        <v>0114710</v>
      </c>
      <c r="B24153" t="s">
        <v>20513</v>
      </c>
      <c r="C24153" t="s">
        <v>169</v>
      </c>
      <c r="D24153" s="21" t="s">
        <v>34</v>
      </c>
      <c r="E24153" s="21" t="s">
        <v>35</v>
      </c>
      <c r="F24153">
        <v>1010027</v>
      </c>
      <c r="G24153" t="s">
        <v>6318</v>
      </c>
      <c r="H24153" s="21">
        <v>661.67</v>
      </c>
    </row>
    <row r="24154" spans="1:8" customFormat="1" x14ac:dyDescent="0.25">
      <c r="A24154" t="str">
        <f>"5975112"</f>
        <v>5975112</v>
      </c>
      <c r="B24154" t="s">
        <v>7438</v>
      </c>
      <c r="C24154" t="s">
        <v>415</v>
      </c>
      <c r="D24154" s="21" t="s">
        <v>34</v>
      </c>
      <c r="E24154" s="21" t="s">
        <v>35</v>
      </c>
      <c r="F24154">
        <v>7590047</v>
      </c>
      <c r="G24154" t="s">
        <v>5788</v>
      </c>
      <c r="H24154" s="21">
        <v>661.67</v>
      </c>
    </row>
    <row r="24155" spans="1:8" customFormat="1" x14ac:dyDescent="0.25">
      <c r="A24155" t="str">
        <f>"484694"</f>
        <v>484694</v>
      </c>
      <c r="B24155" t="s">
        <v>1886</v>
      </c>
      <c r="C24155" t="s">
        <v>114</v>
      </c>
      <c r="D24155" s="21" t="s">
        <v>34</v>
      </c>
      <c r="E24155" s="21" t="s">
        <v>254</v>
      </c>
      <c r="F24155">
        <v>11480020</v>
      </c>
      <c r="G24155" t="s">
        <v>5221</v>
      </c>
      <c r="H24155" s="21">
        <v>661.67</v>
      </c>
    </row>
    <row r="24156" spans="1:8" customFormat="1" x14ac:dyDescent="0.25">
      <c r="A24156" t="str">
        <f>"944063"</f>
        <v>944063</v>
      </c>
      <c r="B24156" t="s">
        <v>983</v>
      </c>
      <c r="C24156" t="s">
        <v>18063</v>
      </c>
      <c r="D24156" s="21" t="s">
        <v>34</v>
      </c>
      <c r="E24156" s="21" t="s">
        <v>35</v>
      </c>
      <c r="F24156">
        <v>8940926</v>
      </c>
      <c r="G24156" t="s">
        <v>4065</v>
      </c>
      <c r="H24156" s="21">
        <v>661.67</v>
      </c>
    </row>
    <row r="24157" spans="1:8" customFormat="1" x14ac:dyDescent="0.25">
      <c r="A24157" t="str">
        <f>"9240955"</f>
        <v>9240955</v>
      </c>
      <c r="B24157" t="s">
        <v>17727</v>
      </c>
      <c r="C24157" t="s">
        <v>17728</v>
      </c>
      <c r="D24157" s="21" t="s">
        <v>34</v>
      </c>
      <c r="E24157" s="21" t="s">
        <v>71</v>
      </c>
      <c r="F24157">
        <v>8920312</v>
      </c>
      <c r="G24157" t="s">
        <v>1026</v>
      </c>
      <c r="H24157" s="21">
        <v>661.67</v>
      </c>
    </row>
    <row r="24158" spans="1:8" customFormat="1" x14ac:dyDescent="0.25">
      <c r="A24158" t="str">
        <f>"3524542"</f>
        <v>3524542</v>
      </c>
      <c r="B24158" t="s">
        <v>18064</v>
      </c>
      <c r="C24158" t="s">
        <v>2232</v>
      </c>
      <c r="D24158" s="21" t="s">
        <v>34</v>
      </c>
      <c r="E24158" s="21" t="s">
        <v>1089</v>
      </c>
      <c r="F24158">
        <v>3350074</v>
      </c>
      <c r="G24158" t="s">
        <v>5432</v>
      </c>
      <c r="H24158" s="21">
        <v>661.67</v>
      </c>
    </row>
    <row r="24159" spans="1:8" customFormat="1" x14ac:dyDescent="0.25">
      <c r="A24159" t="str">
        <f>"9239962"</f>
        <v>9239962</v>
      </c>
      <c r="B24159" t="s">
        <v>5069</v>
      </c>
      <c r="C24159" t="s">
        <v>1142</v>
      </c>
      <c r="D24159" s="21" t="s">
        <v>34</v>
      </c>
      <c r="E24159" s="21" t="s">
        <v>1089</v>
      </c>
      <c r="F24159">
        <v>10330050</v>
      </c>
      <c r="G24159" t="s">
        <v>2488</v>
      </c>
      <c r="H24159" s="21">
        <v>661.67</v>
      </c>
    </row>
    <row r="24160" spans="1:8" customFormat="1" x14ac:dyDescent="0.25">
      <c r="A24160" t="str">
        <f>"9448048"</f>
        <v>9448048</v>
      </c>
      <c r="B24160" t="s">
        <v>20015</v>
      </c>
      <c r="C24160" t="s">
        <v>151</v>
      </c>
      <c r="D24160" s="21" t="s">
        <v>34</v>
      </c>
      <c r="E24160" s="21" t="s">
        <v>35</v>
      </c>
      <c r="F24160">
        <v>8941100</v>
      </c>
      <c r="G24160" t="s">
        <v>4974</v>
      </c>
      <c r="H24160" s="21">
        <v>661.67</v>
      </c>
    </row>
    <row r="24161" spans="1:8" customFormat="1" x14ac:dyDescent="0.25">
      <c r="A24161" t="str">
        <f>"3313149"</f>
        <v>3313149</v>
      </c>
      <c r="B24161" t="s">
        <v>17984</v>
      </c>
      <c r="C24161" t="s">
        <v>253</v>
      </c>
      <c r="D24161" s="21" t="s">
        <v>34</v>
      </c>
      <c r="E24161" s="21" t="s">
        <v>6185</v>
      </c>
      <c r="F24161">
        <v>10330117</v>
      </c>
      <c r="G24161" t="s">
        <v>1942</v>
      </c>
      <c r="H24161" s="21">
        <v>661.67</v>
      </c>
    </row>
    <row r="24162" spans="1:8" customFormat="1" x14ac:dyDescent="0.25">
      <c r="A24162" t="str">
        <f>"7719419"</f>
        <v>7719419</v>
      </c>
      <c r="B24162" t="s">
        <v>18918</v>
      </c>
      <c r="C24162" t="s">
        <v>288</v>
      </c>
      <c r="D24162" s="21" t="s">
        <v>34</v>
      </c>
      <c r="E24162" s="21" t="s">
        <v>71</v>
      </c>
      <c r="F24162">
        <v>8770955</v>
      </c>
      <c r="G24162" t="s">
        <v>9946</v>
      </c>
      <c r="H24162" s="21">
        <v>661.67</v>
      </c>
    </row>
    <row r="24163" spans="1:8" customFormat="1" x14ac:dyDescent="0.25">
      <c r="A24163" t="str">
        <f>"415107"</f>
        <v>415107</v>
      </c>
      <c r="B24163" t="s">
        <v>17835</v>
      </c>
      <c r="C24163" t="s">
        <v>124</v>
      </c>
      <c r="D24163" s="21" t="s">
        <v>34</v>
      </c>
      <c r="E24163" s="21" t="s">
        <v>254</v>
      </c>
      <c r="F24163">
        <v>4410083</v>
      </c>
      <c r="G24163" t="s">
        <v>2333</v>
      </c>
      <c r="H24163" s="21">
        <v>661.67</v>
      </c>
    </row>
    <row r="24164" spans="1:8" customFormat="1" x14ac:dyDescent="0.25">
      <c r="A24164" t="str">
        <f>"7712693"</f>
        <v>7712693</v>
      </c>
      <c r="B24164" t="s">
        <v>8916</v>
      </c>
      <c r="C24164" t="s">
        <v>2752</v>
      </c>
      <c r="D24164" s="21" t="s">
        <v>34</v>
      </c>
      <c r="E24164" s="21" t="s">
        <v>35</v>
      </c>
      <c r="F24164">
        <v>8771202</v>
      </c>
      <c r="G24164" t="s">
        <v>10223</v>
      </c>
      <c r="H24164" s="21">
        <v>661.67</v>
      </c>
    </row>
    <row r="24165" spans="1:8" customFormat="1" x14ac:dyDescent="0.25">
      <c r="A24165" t="str">
        <f>"75331"</f>
        <v>75331</v>
      </c>
      <c r="B24165" t="s">
        <v>18127</v>
      </c>
      <c r="C24165" t="s">
        <v>156</v>
      </c>
      <c r="D24165" s="21" t="s">
        <v>34</v>
      </c>
      <c r="E24165" s="21" t="s">
        <v>1089</v>
      </c>
      <c r="F24165">
        <v>11320039</v>
      </c>
      <c r="G24165" t="s">
        <v>14674</v>
      </c>
      <c r="H24165" s="21">
        <v>661.67</v>
      </c>
    </row>
    <row r="24166" spans="1:8" customFormat="1" x14ac:dyDescent="0.25">
      <c r="A24166" t="str">
        <f>"8613635"</f>
        <v>8613635</v>
      </c>
      <c r="B24166" t="s">
        <v>18423</v>
      </c>
      <c r="C24166" t="s">
        <v>43</v>
      </c>
      <c r="D24166" s="21" t="s">
        <v>34</v>
      </c>
      <c r="E24166" s="21" t="s">
        <v>35</v>
      </c>
      <c r="F24166">
        <v>10860017</v>
      </c>
      <c r="G24166" t="s">
        <v>2439</v>
      </c>
      <c r="H24166" s="21">
        <v>661.67</v>
      </c>
    </row>
    <row r="24167" spans="1:8" customFormat="1" x14ac:dyDescent="0.25">
      <c r="A24167" t="str">
        <f>"5317995"</f>
        <v>5317995</v>
      </c>
      <c r="B24167" t="s">
        <v>13178</v>
      </c>
      <c r="C24167" t="s">
        <v>151</v>
      </c>
      <c r="D24167" s="21" t="s">
        <v>34</v>
      </c>
      <c r="E24167" s="21" t="s">
        <v>71</v>
      </c>
      <c r="F24167">
        <v>12530093</v>
      </c>
      <c r="G24167" t="s">
        <v>7865</v>
      </c>
      <c r="H24167" s="21">
        <v>661.67</v>
      </c>
    </row>
    <row r="24168" spans="1:8" customFormat="1" x14ac:dyDescent="0.25">
      <c r="A24168" t="str">
        <f>"5431861"</f>
        <v>5431861</v>
      </c>
      <c r="B24168" t="s">
        <v>27779</v>
      </c>
      <c r="C24168" t="s">
        <v>566</v>
      </c>
      <c r="D24168" s="21" t="s">
        <v>34</v>
      </c>
      <c r="E24168" s="21" t="s">
        <v>35</v>
      </c>
      <c r="F24168">
        <v>6540020</v>
      </c>
      <c r="G24168" t="s">
        <v>1269</v>
      </c>
      <c r="H24168" s="21">
        <v>661.67</v>
      </c>
    </row>
    <row r="24169" spans="1:8" customFormat="1" x14ac:dyDescent="0.25">
      <c r="A24169" t="str">
        <f>"8514605"</f>
        <v>8514605</v>
      </c>
      <c r="B24169" t="s">
        <v>17184</v>
      </c>
      <c r="C24169" t="s">
        <v>82</v>
      </c>
      <c r="D24169" s="21" t="s">
        <v>34</v>
      </c>
      <c r="E24169" s="21" t="s">
        <v>35</v>
      </c>
      <c r="F24169">
        <v>12850095</v>
      </c>
      <c r="G24169" t="s">
        <v>13112</v>
      </c>
      <c r="H24169" s="21">
        <v>661.67</v>
      </c>
    </row>
    <row r="24170" spans="1:8" customFormat="1" x14ac:dyDescent="0.25">
      <c r="A24170" t="str">
        <f>"2932146"</f>
        <v>2932146</v>
      </c>
      <c r="B24170" t="s">
        <v>18550</v>
      </c>
      <c r="C24170" t="s">
        <v>3115</v>
      </c>
      <c r="D24170" s="21" t="s">
        <v>34</v>
      </c>
      <c r="E24170" s="21" t="s">
        <v>71</v>
      </c>
      <c r="F24170">
        <v>3290232</v>
      </c>
      <c r="G24170" t="s">
        <v>9588</v>
      </c>
      <c r="H24170" s="21">
        <v>661.67</v>
      </c>
    </row>
    <row r="24171" spans="1:8" customFormat="1" x14ac:dyDescent="0.25">
      <c r="A24171" t="str">
        <f>"2920116"</f>
        <v>2920116</v>
      </c>
      <c r="B24171" t="s">
        <v>4419</v>
      </c>
      <c r="C24171" t="s">
        <v>114</v>
      </c>
      <c r="D24171" s="21" t="s">
        <v>34</v>
      </c>
      <c r="E24171" s="21" t="s">
        <v>254</v>
      </c>
      <c r="F24171">
        <v>3290015</v>
      </c>
      <c r="G24171" t="s">
        <v>3040</v>
      </c>
      <c r="H24171" s="21">
        <v>661.67</v>
      </c>
    </row>
    <row r="24172" spans="1:8" customFormat="1" x14ac:dyDescent="0.25">
      <c r="A24172" t="str">
        <f>"5912400"</f>
        <v>5912400</v>
      </c>
      <c r="B24172" t="s">
        <v>17349</v>
      </c>
      <c r="C24172" t="s">
        <v>2520</v>
      </c>
      <c r="D24172" s="21" t="s">
        <v>34</v>
      </c>
      <c r="E24172" s="21" t="s">
        <v>254</v>
      </c>
      <c r="F24172">
        <v>7590263</v>
      </c>
      <c r="G24172" t="s">
        <v>895</v>
      </c>
      <c r="H24172" s="21">
        <v>661.67</v>
      </c>
    </row>
    <row r="24173" spans="1:8" customFormat="1" x14ac:dyDescent="0.25">
      <c r="A24173" t="str">
        <f>"7719993"</f>
        <v>7719993</v>
      </c>
      <c r="B24173" t="s">
        <v>17693</v>
      </c>
      <c r="C24173" t="s">
        <v>263</v>
      </c>
      <c r="D24173" s="21" t="s">
        <v>34</v>
      </c>
      <c r="E24173" s="21" t="s">
        <v>71</v>
      </c>
      <c r="F24173">
        <v>8770474</v>
      </c>
      <c r="G24173" t="s">
        <v>1600</v>
      </c>
      <c r="H24173" s="21">
        <v>661.67</v>
      </c>
    </row>
    <row r="24174" spans="1:8" customFormat="1" x14ac:dyDescent="0.25">
      <c r="A24174" t="str">
        <f>"321017"</f>
        <v>321017</v>
      </c>
      <c r="B24174" t="s">
        <v>380</v>
      </c>
      <c r="C24174" t="s">
        <v>121</v>
      </c>
      <c r="D24174" s="21" t="s">
        <v>34</v>
      </c>
      <c r="E24174" s="21" t="s">
        <v>35</v>
      </c>
      <c r="F24174">
        <v>11320040</v>
      </c>
      <c r="G24174" t="s">
        <v>14128</v>
      </c>
      <c r="H24174" s="21">
        <v>661.67</v>
      </c>
    </row>
    <row r="24175" spans="1:8" customFormat="1" x14ac:dyDescent="0.25">
      <c r="A24175" t="str">
        <f>"3337262"</f>
        <v>3337262</v>
      </c>
      <c r="B24175" t="s">
        <v>5543</v>
      </c>
      <c r="C24175" t="s">
        <v>2730</v>
      </c>
      <c r="D24175" s="21" t="s">
        <v>34</v>
      </c>
      <c r="E24175" s="21" t="s">
        <v>1089</v>
      </c>
      <c r="F24175">
        <v>10330084</v>
      </c>
      <c r="G24175" t="s">
        <v>1124</v>
      </c>
      <c r="H24175" s="21">
        <v>661.67</v>
      </c>
    </row>
    <row r="24176" spans="1:8" customFormat="1" x14ac:dyDescent="0.25">
      <c r="A24176" t="str">
        <f>"33317"</f>
        <v>33317</v>
      </c>
      <c r="B24176" t="s">
        <v>18024</v>
      </c>
      <c r="C24176" t="s">
        <v>1468</v>
      </c>
      <c r="D24176" s="21" t="s">
        <v>34</v>
      </c>
      <c r="E24176" s="21" t="s">
        <v>1089</v>
      </c>
      <c r="F24176">
        <v>10330002</v>
      </c>
      <c r="G24176" t="s">
        <v>53</v>
      </c>
      <c r="H24176" s="21">
        <v>661.67</v>
      </c>
    </row>
    <row r="24177" spans="1:8" customFormat="1" x14ac:dyDescent="0.25">
      <c r="A24177" t="str">
        <f>"7917827"</f>
        <v>7917827</v>
      </c>
      <c r="B24177" t="s">
        <v>19239</v>
      </c>
      <c r="C24177" t="s">
        <v>263</v>
      </c>
      <c r="D24177" s="21" t="s">
        <v>34</v>
      </c>
      <c r="E24177" s="21" t="s">
        <v>71</v>
      </c>
      <c r="F24177">
        <v>10790043</v>
      </c>
      <c r="G24177" t="s">
        <v>2828</v>
      </c>
      <c r="H24177" s="21">
        <v>661.67</v>
      </c>
    </row>
    <row r="24178" spans="1:8" customFormat="1" x14ac:dyDescent="0.25">
      <c r="A24178" t="str">
        <f>"5980430"</f>
        <v>5980430</v>
      </c>
      <c r="B24178" t="s">
        <v>20708</v>
      </c>
      <c r="C24178" t="s">
        <v>33</v>
      </c>
      <c r="D24178" s="21" t="s">
        <v>34</v>
      </c>
      <c r="E24178" s="21" t="s">
        <v>35</v>
      </c>
      <c r="F24178">
        <v>7590363</v>
      </c>
      <c r="G24178" t="s">
        <v>5167</v>
      </c>
      <c r="H24178" s="21">
        <v>661.42</v>
      </c>
    </row>
    <row r="24179" spans="1:8" customFormat="1" x14ac:dyDescent="0.25">
      <c r="A24179" t="str">
        <f>"4522559"</f>
        <v>4522559</v>
      </c>
      <c r="B24179" t="s">
        <v>17951</v>
      </c>
      <c r="C24179" t="s">
        <v>55</v>
      </c>
      <c r="D24179" s="21" t="s">
        <v>34</v>
      </c>
      <c r="E24179" s="21" t="s">
        <v>71</v>
      </c>
      <c r="F24179">
        <v>4450750</v>
      </c>
      <c r="G24179" t="s">
        <v>6572</v>
      </c>
      <c r="H24179" s="21">
        <v>661.42</v>
      </c>
    </row>
    <row r="24180" spans="1:8" customFormat="1" x14ac:dyDescent="0.25">
      <c r="A24180" t="str">
        <f>"5613741"</f>
        <v>5613741</v>
      </c>
      <c r="B24180" t="s">
        <v>17890</v>
      </c>
      <c r="C24180" t="s">
        <v>302</v>
      </c>
      <c r="D24180" s="21" t="s">
        <v>34</v>
      </c>
      <c r="E24180" s="21" t="s">
        <v>71</v>
      </c>
      <c r="F24180">
        <v>3560014</v>
      </c>
      <c r="G24180" t="s">
        <v>8206</v>
      </c>
      <c r="H24180" s="21">
        <v>661.29</v>
      </c>
    </row>
    <row r="24181" spans="1:8" customFormat="1" x14ac:dyDescent="0.25">
      <c r="A24181" t="str">
        <f>"5948485"</f>
        <v>5948485</v>
      </c>
      <c r="B24181" t="s">
        <v>27780</v>
      </c>
      <c r="C24181" t="s">
        <v>656</v>
      </c>
      <c r="D24181" s="21" t="s">
        <v>34</v>
      </c>
      <c r="E24181" s="21" t="s">
        <v>35</v>
      </c>
      <c r="F24181">
        <v>7620072</v>
      </c>
      <c r="G24181" t="s">
        <v>2185</v>
      </c>
      <c r="H24181" s="21">
        <v>661.17</v>
      </c>
    </row>
    <row r="24182" spans="1:8" customFormat="1" x14ac:dyDescent="0.25">
      <c r="A24182" t="str">
        <f>"4453752"</f>
        <v>4453752</v>
      </c>
      <c r="B24182" t="s">
        <v>19825</v>
      </c>
      <c r="C24182" t="s">
        <v>428</v>
      </c>
      <c r="D24182" s="21" t="s">
        <v>34</v>
      </c>
      <c r="E24182" s="21" t="s">
        <v>35</v>
      </c>
      <c r="F24182">
        <v>12440134</v>
      </c>
      <c r="G24182" t="s">
        <v>10580</v>
      </c>
      <c r="H24182" s="21">
        <v>661.17</v>
      </c>
    </row>
    <row r="24183" spans="1:8" customFormat="1" x14ac:dyDescent="0.25">
      <c r="A24183" t="str">
        <f>"551198"</f>
        <v>551198</v>
      </c>
      <c r="B24183" t="s">
        <v>9195</v>
      </c>
      <c r="C24183" t="s">
        <v>1119</v>
      </c>
      <c r="D24183" s="21" t="s">
        <v>34</v>
      </c>
      <c r="E24183" s="21" t="s">
        <v>254</v>
      </c>
      <c r="F24183">
        <v>6550001</v>
      </c>
      <c r="G24183" t="s">
        <v>8790</v>
      </c>
      <c r="H24183" s="21">
        <v>661.17</v>
      </c>
    </row>
    <row r="24184" spans="1:8" customFormat="1" x14ac:dyDescent="0.25">
      <c r="A24184" t="str">
        <f>"736195"</f>
        <v>736195</v>
      </c>
      <c r="B24184" t="s">
        <v>19264</v>
      </c>
      <c r="C24184" t="s">
        <v>1271</v>
      </c>
      <c r="D24184" s="21" t="s">
        <v>34</v>
      </c>
      <c r="E24184" s="21" t="s">
        <v>71</v>
      </c>
      <c r="F24184">
        <v>1730068</v>
      </c>
      <c r="G24184" t="s">
        <v>3375</v>
      </c>
      <c r="H24184" s="21">
        <v>661.17</v>
      </c>
    </row>
    <row r="24185" spans="1:8" customFormat="1" x14ac:dyDescent="0.25">
      <c r="A24185" t="str">
        <f>"274742"</f>
        <v>274742</v>
      </c>
      <c r="B24185" t="s">
        <v>18214</v>
      </c>
      <c r="C24185" t="s">
        <v>236</v>
      </c>
      <c r="D24185" s="21" t="s">
        <v>34</v>
      </c>
      <c r="E24185" s="21" t="s">
        <v>1089</v>
      </c>
      <c r="F24185">
        <v>9270152</v>
      </c>
      <c r="G24185" t="s">
        <v>1985</v>
      </c>
      <c r="H24185" s="21">
        <v>661.17</v>
      </c>
    </row>
    <row r="24186" spans="1:8" customFormat="1" x14ac:dyDescent="0.25">
      <c r="A24186" t="str">
        <f>"758954"</f>
        <v>758954</v>
      </c>
      <c r="B24186" t="s">
        <v>19031</v>
      </c>
      <c r="C24186" t="s">
        <v>320</v>
      </c>
      <c r="D24186" s="21" t="s">
        <v>34</v>
      </c>
      <c r="E24186" s="21" t="s">
        <v>71</v>
      </c>
      <c r="F24186">
        <v>8751260</v>
      </c>
      <c r="G24186" t="s">
        <v>10641</v>
      </c>
      <c r="H24186" s="21">
        <v>661.17</v>
      </c>
    </row>
    <row r="24187" spans="1:8" customFormat="1" x14ac:dyDescent="0.25">
      <c r="A24187" t="str">
        <f>"1416198"</f>
        <v>1416198</v>
      </c>
      <c r="B24187" t="s">
        <v>18531</v>
      </c>
      <c r="C24187" t="s">
        <v>415</v>
      </c>
      <c r="D24187" s="21" t="s">
        <v>34</v>
      </c>
      <c r="E24187" s="21" t="s">
        <v>254</v>
      </c>
      <c r="F24187">
        <v>9140228</v>
      </c>
      <c r="G24187" t="s">
        <v>16772</v>
      </c>
      <c r="H24187" s="21">
        <v>661.17</v>
      </c>
    </row>
    <row r="24188" spans="1:8" customFormat="1" x14ac:dyDescent="0.25">
      <c r="A24188" t="str">
        <f>"706895"</f>
        <v>706895</v>
      </c>
      <c r="B24188" t="s">
        <v>18061</v>
      </c>
      <c r="C24188" t="s">
        <v>486</v>
      </c>
      <c r="D24188" s="21" t="s">
        <v>34</v>
      </c>
      <c r="E24188" s="21" t="s">
        <v>71</v>
      </c>
      <c r="F24188">
        <v>2700087</v>
      </c>
      <c r="G24188" t="s">
        <v>10833</v>
      </c>
      <c r="H24188" s="21">
        <v>661.17</v>
      </c>
    </row>
    <row r="24189" spans="1:8" customFormat="1" x14ac:dyDescent="0.25">
      <c r="A24189" t="str">
        <f>"5113981"</f>
        <v>5113981</v>
      </c>
      <c r="B24189" t="s">
        <v>7152</v>
      </c>
      <c r="C24189" t="s">
        <v>462</v>
      </c>
      <c r="D24189" s="21" t="s">
        <v>34</v>
      </c>
      <c r="E24189" s="21" t="s">
        <v>71</v>
      </c>
      <c r="F24189">
        <v>6510051</v>
      </c>
      <c r="G24189" t="s">
        <v>13878</v>
      </c>
      <c r="H24189" s="21">
        <v>661.17</v>
      </c>
    </row>
    <row r="24190" spans="1:8" customFormat="1" x14ac:dyDescent="0.25">
      <c r="A24190" t="str">
        <f>"192559"</f>
        <v>192559</v>
      </c>
      <c r="B24190" t="s">
        <v>13111</v>
      </c>
      <c r="C24190" t="s">
        <v>1142</v>
      </c>
      <c r="D24190" s="21" t="s">
        <v>34</v>
      </c>
      <c r="E24190" s="21" t="s">
        <v>254</v>
      </c>
      <c r="F24190">
        <v>10190120</v>
      </c>
      <c r="G24190" t="s">
        <v>4616</v>
      </c>
      <c r="H24190" s="21">
        <v>661.17</v>
      </c>
    </row>
    <row r="24191" spans="1:8" customFormat="1" x14ac:dyDescent="0.25">
      <c r="A24191" t="str">
        <f>"2217637"</f>
        <v>2217637</v>
      </c>
      <c r="B24191" t="s">
        <v>18730</v>
      </c>
      <c r="C24191" t="s">
        <v>926</v>
      </c>
      <c r="D24191" s="21" t="s">
        <v>34</v>
      </c>
      <c r="E24191" s="21" t="s">
        <v>35</v>
      </c>
      <c r="F24191">
        <v>3220140</v>
      </c>
      <c r="G24191" t="s">
        <v>26656</v>
      </c>
      <c r="H24191" s="21">
        <v>661.17</v>
      </c>
    </row>
    <row r="24192" spans="1:8" customFormat="1" x14ac:dyDescent="0.25">
      <c r="A24192" t="str">
        <f>"746800"</f>
        <v>746800</v>
      </c>
      <c r="B24192" t="s">
        <v>15142</v>
      </c>
      <c r="C24192" t="s">
        <v>926</v>
      </c>
      <c r="D24192" s="21" t="s">
        <v>34</v>
      </c>
      <c r="E24192" s="21" t="s">
        <v>71</v>
      </c>
      <c r="F24192">
        <v>1740010</v>
      </c>
      <c r="G24192" t="s">
        <v>4986</v>
      </c>
      <c r="H24192" s="21">
        <v>661.17</v>
      </c>
    </row>
    <row r="24193" spans="1:8" customFormat="1" x14ac:dyDescent="0.25">
      <c r="A24193" t="str">
        <f>"3819280"</f>
        <v>3819280</v>
      </c>
      <c r="B24193" t="s">
        <v>5140</v>
      </c>
      <c r="C24193" t="s">
        <v>1142</v>
      </c>
      <c r="D24193" s="21" t="s">
        <v>34</v>
      </c>
      <c r="E24193" s="21" t="s">
        <v>71</v>
      </c>
      <c r="F24193">
        <v>1380199</v>
      </c>
      <c r="G24193" t="s">
        <v>321</v>
      </c>
      <c r="H24193" s="21">
        <v>661.17</v>
      </c>
    </row>
    <row r="24194" spans="1:8" customFormat="1" x14ac:dyDescent="0.25">
      <c r="A24194" t="str">
        <f>"145583"</f>
        <v>145583</v>
      </c>
      <c r="B24194" t="s">
        <v>16979</v>
      </c>
      <c r="C24194" t="s">
        <v>209</v>
      </c>
      <c r="D24194" s="21" t="s">
        <v>34</v>
      </c>
      <c r="E24194" s="21" t="s">
        <v>35</v>
      </c>
      <c r="F24194">
        <v>9140013</v>
      </c>
      <c r="G24194" t="s">
        <v>1837</v>
      </c>
      <c r="H24194" s="21">
        <v>661.17</v>
      </c>
    </row>
    <row r="24195" spans="1:8" customFormat="1" x14ac:dyDescent="0.25">
      <c r="A24195" t="str">
        <f>"10560"</f>
        <v>10560</v>
      </c>
      <c r="B24195" t="s">
        <v>4620</v>
      </c>
      <c r="C24195" t="s">
        <v>3010</v>
      </c>
      <c r="D24195" s="21" t="s">
        <v>34</v>
      </c>
      <c r="E24195" s="21" t="s">
        <v>254</v>
      </c>
      <c r="F24195">
        <v>6100032</v>
      </c>
      <c r="G24195" t="s">
        <v>1641</v>
      </c>
      <c r="H24195" s="21">
        <v>661.17</v>
      </c>
    </row>
    <row r="24196" spans="1:8" customFormat="1" x14ac:dyDescent="0.25">
      <c r="A24196" t="str">
        <f>"089948"</f>
        <v>089948</v>
      </c>
      <c r="B24196" t="s">
        <v>17210</v>
      </c>
      <c r="C24196" t="s">
        <v>812</v>
      </c>
      <c r="D24196" s="21" t="s">
        <v>34</v>
      </c>
      <c r="E24196" s="21" t="s">
        <v>254</v>
      </c>
      <c r="F24196">
        <v>6080014</v>
      </c>
      <c r="G24196" t="s">
        <v>1272</v>
      </c>
      <c r="H24196" s="21">
        <v>661.17</v>
      </c>
    </row>
    <row r="24197" spans="1:8" customFormat="1" x14ac:dyDescent="0.25">
      <c r="A24197" t="str">
        <f>"5914754"</f>
        <v>5914754</v>
      </c>
      <c r="B24197" t="s">
        <v>25285</v>
      </c>
      <c r="C24197" t="s">
        <v>119</v>
      </c>
      <c r="D24197" s="21" t="s">
        <v>34</v>
      </c>
      <c r="E24197" s="21" t="s">
        <v>35</v>
      </c>
      <c r="F24197">
        <v>11310124</v>
      </c>
      <c r="G24197" t="s">
        <v>7977</v>
      </c>
      <c r="H24197" s="21">
        <v>661.17</v>
      </c>
    </row>
    <row r="24198" spans="1:8" customFormat="1" x14ac:dyDescent="0.25">
      <c r="A24198" t="str">
        <f>"6814418"</f>
        <v>6814418</v>
      </c>
      <c r="B24198" t="s">
        <v>20943</v>
      </c>
      <c r="C24198" t="s">
        <v>124</v>
      </c>
      <c r="D24198" s="21" t="s">
        <v>34</v>
      </c>
      <c r="E24198" s="21" t="s">
        <v>71</v>
      </c>
      <c r="F24198">
        <v>6680118</v>
      </c>
      <c r="G24198" t="s">
        <v>4346</v>
      </c>
      <c r="H24198" s="21">
        <v>661.17</v>
      </c>
    </row>
    <row r="24199" spans="1:8" customFormat="1" x14ac:dyDescent="0.25">
      <c r="A24199" t="str">
        <f>"1613399"</f>
        <v>1613399</v>
      </c>
      <c r="B24199" t="s">
        <v>19380</v>
      </c>
      <c r="C24199" t="s">
        <v>2475</v>
      </c>
      <c r="D24199" s="21" t="s">
        <v>34</v>
      </c>
      <c r="E24199" s="21" t="s">
        <v>71</v>
      </c>
      <c r="F24199">
        <v>10160186</v>
      </c>
      <c r="G24199" t="s">
        <v>4819</v>
      </c>
      <c r="H24199" s="21">
        <v>661.17</v>
      </c>
    </row>
    <row r="24200" spans="1:8" customFormat="1" x14ac:dyDescent="0.25">
      <c r="A24200" t="str">
        <f>"2933908"</f>
        <v>2933908</v>
      </c>
      <c r="B24200" t="s">
        <v>18299</v>
      </c>
      <c r="C24200" t="s">
        <v>652</v>
      </c>
      <c r="D24200" s="21" t="s">
        <v>34</v>
      </c>
      <c r="E24200" s="21" t="s">
        <v>254</v>
      </c>
      <c r="F24200">
        <v>3290290</v>
      </c>
      <c r="G24200" t="s">
        <v>27072</v>
      </c>
      <c r="H24200" s="21">
        <v>661.17</v>
      </c>
    </row>
    <row r="24201" spans="1:8" customFormat="1" x14ac:dyDescent="0.25">
      <c r="A24201" t="str">
        <f>"7620067"</f>
        <v>7620067</v>
      </c>
      <c r="B24201" t="s">
        <v>17772</v>
      </c>
      <c r="C24201" t="s">
        <v>926</v>
      </c>
      <c r="D24201" s="21" t="s">
        <v>34</v>
      </c>
      <c r="E24201" s="21" t="s">
        <v>254</v>
      </c>
      <c r="F24201">
        <v>9760206</v>
      </c>
      <c r="G24201" t="s">
        <v>13046</v>
      </c>
      <c r="H24201" s="21">
        <v>661.17</v>
      </c>
    </row>
    <row r="24202" spans="1:8" customFormat="1" x14ac:dyDescent="0.25">
      <c r="A24202" t="str">
        <f>"7858607"</f>
        <v>7858607</v>
      </c>
      <c r="B24202" t="s">
        <v>18084</v>
      </c>
      <c r="C24202" t="s">
        <v>249</v>
      </c>
      <c r="D24202" s="21" t="s">
        <v>34</v>
      </c>
      <c r="E24202" s="21" t="s">
        <v>35</v>
      </c>
      <c r="F24202">
        <v>8751260</v>
      </c>
      <c r="G24202" t="s">
        <v>10641</v>
      </c>
      <c r="H24202" s="21">
        <v>661.04</v>
      </c>
    </row>
    <row r="24203" spans="1:8" customFormat="1" x14ac:dyDescent="0.25">
      <c r="A24203" t="str">
        <f>"9124653"</f>
        <v>9124653</v>
      </c>
      <c r="B24203" t="s">
        <v>20391</v>
      </c>
      <c r="C24203" t="s">
        <v>209</v>
      </c>
      <c r="D24203" s="21" t="s">
        <v>34</v>
      </c>
      <c r="E24203" s="21" t="s">
        <v>71</v>
      </c>
      <c r="F24203">
        <v>8940866</v>
      </c>
      <c r="G24203" t="s">
        <v>519</v>
      </c>
      <c r="H24203" s="21">
        <v>661.04</v>
      </c>
    </row>
    <row r="24204" spans="1:8" customFormat="1" x14ac:dyDescent="0.25">
      <c r="A24204" t="str">
        <f>"5734491"</f>
        <v>5734491</v>
      </c>
      <c r="B24204" t="s">
        <v>8280</v>
      </c>
      <c r="C24204" t="s">
        <v>267</v>
      </c>
      <c r="D24204" s="21" t="s">
        <v>34</v>
      </c>
      <c r="E24204" s="21" t="s">
        <v>71</v>
      </c>
      <c r="F24204">
        <v>6570014</v>
      </c>
      <c r="G24204" t="s">
        <v>72</v>
      </c>
      <c r="H24204" s="21">
        <v>660.92</v>
      </c>
    </row>
    <row r="24205" spans="1:8" customFormat="1" x14ac:dyDescent="0.25">
      <c r="A24205" t="str">
        <f>"845278"</f>
        <v>845278</v>
      </c>
      <c r="B24205" t="s">
        <v>17279</v>
      </c>
      <c r="C24205" t="s">
        <v>147</v>
      </c>
      <c r="D24205" s="21" t="s">
        <v>34</v>
      </c>
      <c r="E24205" s="21" t="s">
        <v>71</v>
      </c>
      <c r="F24205">
        <v>13840012</v>
      </c>
      <c r="G24205" t="s">
        <v>5143</v>
      </c>
      <c r="H24205" s="21">
        <v>660.92</v>
      </c>
    </row>
    <row r="24206" spans="1:8" customFormat="1" x14ac:dyDescent="0.25">
      <c r="A24206" t="str">
        <f>"641822"</f>
        <v>641822</v>
      </c>
      <c r="B24206" t="s">
        <v>17592</v>
      </c>
      <c r="C24206" t="s">
        <v>249</v>
      </c>
      <c r="D24206" s="21" t="s">
        <v>34</v>
      </c>
      <c r="E24206" s="21" t="s">
        <v>71</v>
      </c>
      <c r="F24206">
        <v>10640011</v>
      </c>
      <c r="G24206" t="s">
        <v>13300</v>
      </c>
      <c r="H24206" s="21">
        <v>660.92</v>
      </c>
    </row>
    <row r="24207" spans="1:8" customFormat="1" x14ac:dyDescent="0.25">
      <c r="A24207" t="str">
        <f>"9244772"</f>
        <v>9244772</v>
      </c>
      <c r="B24207" t="s">
        <v>19887</v>
      </c>
      <c r="C24207" t="s">
        <v>19888</v>
      </c>
      <c r="D24207" s="21" t="s">
        <v>34</v>
      </c>
      <c r="E24207" s="21" t="s">
        <v>71</v>
      </c>
      <c r="F24207">
        <v>8750292</v>
      </c>
      <c r="G24207" t="s">
        <v>9069</v>
      </c>
      <c r="H24207" s="21">
        <v>660.92</v>
      </c>
    </row>
    <row r="24208" spans="1:8" customFormat="1" x14ac:dyDescent="0.25">
      <c r="A24208" t="str">
        <f>"27442"</f>
        <v>27442</v>
      </c>
      <c r="B24208" t="s">
        <v>3197</v>
      </c>
      <c r="C24208" t="s">
        <v>453</v>
      </c>
      <c r="D24208" s="21" t="s">
        <v>34</v>
      </c>
      <c r="E24208" s="21" t="s">
        <v>1089</v>
      </c>
      <c r="F24208">
        <v>9270028</v>
      </c>
      <c r="G24208" t="s">
        <v>6091</v>
      </c>
      <c r="H24208" s="21">
        <v>660.79</v>
      </c>
    </row>
    <row r="24209" spans="1:8" customFormat="1" x14ac:dyDescent="0.25">
      <c r="A24209" t="str">
        <f>"8511328"</f>
        <v>8511328</v>
      </c>
      <c r="B24209" t="s">
        <v>17771</v>
      </c>
      <c r="C24209" t="s">
        <v>379</v>
      </c>
      <c r="D24209" s="21" t="s">
        <v>34</v>
      </c>
      <c r="E24209" s="21" t="s">
        <v>254</v>
      </c>
      <c r="F24209">
        <v>12850033</v>
      </c>
      <c r="G24209" t="s">
        <v>703</v>
      </c>
      <c r="H24209" s="21">
        <v>660.67</v>
      </c>
    </row>
    <row r="24210" spans="1:8" customFormat="1" x14ac:dyDescent="0.25">
      <c r="A24210" t="str">
        <f>"5955754"</f>
        <v>5955754</v>
      </c>
      <c r="B24210" t="s">
        <v>17886</v>
      </c>
      <c r="C24210" t="s">
        <v>9698</v>
      </c>
      <c r="D24210" s="21" t="s">
        <v>34</v>
      </c>
      <c r="E24210" s="21" t="s">
        <v>1089</v>
      </c>
      <c r="F24210">
        <v>13130067</v>
      </c>
      <c r="G24210" t="s">
        <v>1420</v>
      </c>
      <c r="H24210" s="21">
        <v>660.67</v>
      </c>
    </row>
    <row r="24211" spans="1:8" customFormat="1" x14ac:dyDescent="0.25">
      <c r="A24211" t="str">
        <f>"9410285"</f>
        <v>9410285</v>
      </c>
      <c r="B24211" t="s">
        <v>17643</v>
      </c>
      <c r="C24211" t="s">
        <v>253</v>
      </c>
      <c r="D24211" s="21" t="s">
        <v>34</v>
      </c>
      <c r="E24211" s="21" t="s">
        <v>1089</v>
      </c>
      <c r="F24211">
        <v>8940976</v>
      </c>
      <c r="G24211" t="s">
        <v>615</v>
      </c>
      <c r="H24211" s="21">
        <v>660.67</v>
      </c>
    </row>
    <row r="24212" spans="1:8" customFormat="1" x14ac:dyDescent="0.25">
      <c r="A24212" t="str">
        <f>"5939022"</f>
        <v>5939022</v>
      </c>
      <c r="B24212" t="s">
        <v>21517</v>
      </c>
      <c r="C24212" t="s">
        <v>453</v>
      </c>
      <c r="D24212" s="21" t="s">
        <v>34</v>
      </c>
      <c r="E24212" s="21" t="s">
        <v>254</v>
      </c>
      <c r="F24212">
        <v>7590113</v>
      </c>
      <c r="G24212" t="s">
        <v>7808</v>
      </c>
      <c r="H24212" s="21">
        <v>660.67</v>
      </c>
    </row>
    <row r="24213" spans="1:8" customFormat="1" x14ac:dyDescent="0.25">
      <c r="A24213" t="str">
        <f>"507843"</f>
        <v>507843</v>
      </c>
      <c r="B24213" t="s">
        <v>2023</v>
      </c>
      <c r="C24213" t="s">
        <v>124</v>
      </c>
      <c r="D24213" s="21" t="s">
        <v>34</v>
      </c>
      <c r="E24213" s="21" t="s">
        <v>254</v>
      </c>
      <c r="F24213">
        <v>9500122</v>
      </c>
      <c r="G24213" t="s">
        <v>6164</v>
      </c>
      <c r="H24213" s="21">
        <v>660.67</v>
      </c>
    </row>
    <row r="24214" spans="1:8" customFormat="1" x14ac:dyDescent="0.25">
      <c r="A24214" t="str">
        <f>"8016431"</f>
        <v>8016431</v>
      </c>
      <c r="B24214" t="s">
        <v>16815</v>
      </c>
      <c r="C24214" t="s">
        <v>119</v>
      </c>
      <c r="D24214" s="21" t="s">
        <v>34</v>
      </c>
      <c r="E24214" s="21" t="s">
        <v>71</v>
      </c>
      <c r="F24214">
        <v>7800153</v>
      </c>
      <c r="G24214" t="s">
        <v>13728</v>
      </c>
      <c r="H24214" s="21">
        <v>660.67</v>
      </c>
    </row>
    <row r="24215" spans="1:8" customFormat="1" x14ac:dyDescent="0.25">
      <c r="A24215" t="str">
        <f>"7716101"</f>
        <v>7716101</v>
      </c>
      <c r="B24215" t="s">
        <v>3700</v>
      </c>
      <c r="C24215" t="s">
        <v>415</v>
      </c>
      <c r="D24215" s="21" t="s">
        <v>34</v>
      </c>
      <c r="E24215" s="21" t="s">
        <v>1089</v>
      </c>
      <c r="F24215">
        <v>11660007</v>
      </c>
      <c r="G24215" t="s">
        <v>5840</v>
      </c>
      <c r="H24215" s="21">
        <v>660.67</v>
      </c>
    </row>
    <row r="24216" spans="1:8" customFormat="1" x14ac:dyDescent="0.25">
      <c r="A24216" t="str">
        <f>"4445944"</f>
        <v>4445944</v>
      </c>
      <c r="B24216" t="s">
        <v>18675</v>
      </c>
      <c r="C24216" t="s">
        <v>114</v>
      </c>
      <c r="D24216" s="21" t="s">
        <v>34</v>
      </c>
      <c r="E24216" s="21" t="s">
        <v>71</v>
      </c>
      <c r="F24216">
        <v>12440081</v>
      </c>
      <c r="G24216" t="s">
        <v>617</v>
      </c>
      <c r="H24216" s="21">
        <v>660.67</v>
      </c>
    </row>
    <row r="24217" spans="1:8" customFormat="1" x14ac:dyDescent="0.25">
      <c r="A24217" t="str">
        <f>"012673"</f>
        <v>012673</v>
      </c>
      <c r="B24217" t="s">
        <v>17680</v>
      </c>
      <c r="C24217" t="s">
        <v>4842</v>
      </c>
      <c r="D24217" s="21" t="s">
        <v>34</v>
      </c>
      <c r="E24217" s="21" t="s">
        <v>71</v>
      </c>
      <c r="F24217">
        <v>1010054</v>
      </c>
      <c r="G24217" t="s">
        <v>8991</v>
      </c>
      <c r="H24217" s="21">
        <v>660.67</v>
      </c>
    </row>
    <row r="24218" spans="1:8" customFormat="1" x14ac:dyDescent="0.25">
      <c r="A24218" t="str">
        <f>"3339114"</f>
        <v>3339114</v>
      </c>
      <c r="B24218" t="s">
        <v>20084</v>
      </c>
      <c r="C24218" t="s">
        <v>33</v>
      </c>
      <c r="D24218" s="21" t="s">
        <v>34</v>
      </c>
      <c r="E24218" s="21" t="s">
        <v>35</v>
      </c>
      <c r="F24218">
        <v>10330098</v>
      </c>
      <c r="G24218" t="s">
        <v>8299</v>
      </c>
      <c r="H24218" s="21">
        <v>660.67</v>
      </c>
    </row>
    <row r="24219" spans="1:8" customFormat="1" x14ac:dyDescent="0.25">
      <c r="A24219" t="str">
        <f>"4514659"</f>
        <v>4514659</v>
      </c>
      <c r="B24219" t="s">
        <v>2461</v>
      </c>
      <c r="C24219" t="s">
        <v>415</v>
      </c>
      <c r="D24219" s="21" t="s">
        <v>34</v>
      </c>
      <c r="E24219" s="21" t="s">
        <v>1089</v>
      </c>
      <c r="F24219">
        <v>4450580</v>
      </c>
      <c r="G24219" t="s">
        <v>11998</v>
      </c>
      <c r="H24219" s="21">
        <v>660.67</v>
      </c>
    </row>
    <row r="24220" spans="1:8" customFormat="1" x14ac:dyDescent="0.25">
      <c r="A24220" t="str">
        <f>"104656"</f>
        <v>104656</v>
      </c>
      <c r="B24220" t="s">
        <v>16619</v>
      </c>
      <c r="C24220" t="s">
        <v>209</v>
      </c>
      <c r="D24220" s="21" t="s">
        <v>34</v>
      </c>
      <c r="E24220" s="21" t="s">
        <v>71</v>
      </c>
      <c r="F24220">
        <v>6100032</v>
      </c>
      <c r="G24220" t="s">
        <v>1641</v>
      </c>
      <c r="H24220" s="21">
        <v>660.67</v>
      </c>
    </row>
    <row r="24221" spans="1:8" customFormat="1" x14ac:dyDescent="0.25">
      <c r="A24221" t="str">
        <f>"3516098"</f>
        <v>3516098</v>
      </c>
      <c r="B24221" t="s">
        <v>18807</v>
      </c>
      <c r="C24221" t="s">
        <v>2520</v>
      </c>
      <c r="D24221" s="21" t="s">
        <v>34</v>
      </c>
      <c r="E24221" s="21" t="s">
        <v>254</v>
      </c>
      <c r="F24221">
        <v>3350047</v>
      </c>
      <c r="G24221" t="s">
        <v>9797</v>
      </c>
      <c r="H24221" s="21">
        <v>660.67</v>
      </c>
    </row>
    <row r="24222" spans="1:8" customFormat="1" x14ac:dyDescent="0.25">
      <c r="A24222" t="str">
        <f>"634495"</f>
        <v>634495</v>
      </c>
      <c r="B24222" t="s">
        <v>19291</v>
      </c>
      <c r="C24222" t="s">
        <v>381</v>
      </c>
      <c r="D24222" s="21" t="s">
        <v>34</v>
      </c>
      <c r="E24222" s="21" t="s">
        <v>254</v>
      </c>
      <c r="F24222">
        <v>1630243</v>
      </c>
      <c r="G24222" t="s">
        <v>9163</v>
      </c>
      <c r="H24222" s="21">
        <v>660.67</v>
      </c>
    </row>
    <row r="24223" spans="1:8" customFormat="1" x14ac:dyDescent="0.25">
      <c r="A24223" t="str">
        <f>"5019123"</f>
        <v>5019123</v>
      </c>
      <c r="B24223" t="s">
        <v>7530</v>
      </c>
      <c r="C24223" t="s">
        <v>98</v>
      </c>
      <c r="D24223" s="21" t="s">
        <v>34</v>
      </c>
      <c r="E24223" s="21" t="s">
        <v>35</v>
      </c>
      <c r="F24223">
        <v>9500030</v>
      </c>
      <c r="G24223" t="s">
        <v>2166</v>
      </c>
      <c r="H24223" s="21">
        <v>660.67</v>
      </c>
    </row>
    <row r="24224" spans="1:8" customFormat="1" x14ac:dyDescent="0.25">
      <c r="A24224" t="str">
        <f>"449371"</f>
        <v>449371</v>
      </c>
      <c r="B24224" t="s">
        <v>19284</v>
      </c>
      <c r="C24224" t="s">
        <v>209</v>
      </c>
      <c r="D24224" s="21" t="s">
        <v>34</v>
      </c>
      <c r="E24224" s="21" t="s">
        <v>254</v>
      </c>
      <c r="F24224">
        <v>12440127</v>
      </c>
      <c r="G24224" t="s">
        <v>7692</v>
      </c>
      <c r="H24224" s="21">
        <v>660.67</v>
      </c>
    </row>
    <row r="24225" spans="1:8" customFormat="1" x14ac:dyDescent="0.25">
      <c r="A24225" t="str">
        <f>"215572"</f>
        <v>215572</v>
      </c>
      <c r="B24225" t="s">
        <v>19282</v>
      </c>
      <c r="C24225" t="s">
        <v>528</v>
      </c>
      <c r="D24225" s="21" t="s">
        <v>34</v>
      </c>
      <c r="E24225" s="21" t="s">
        <v>1089</v>
      </c>
      <c r="F24225">
        <v>10470007</v>
      </c>
      <c r="G24225" t="s">
        <v>3049</v>
      </c>
      <c r="H24225" s="21">
        <v>660.67</v>
      </c>
    </row>
    <row r="24226" spans="1:8" customFormat="1" x14ac:dyDescent="0.25">
      <c r="A24226" t="str">
        <f>"7827494"</f>
        <v>7827494</v>
      </c>
      <c r="B24226" t="s">
        <v>19068</v>
      </c>
      <c r="C24226" t="s">
        <v>156</v>
      </c>
      <c r="D24226" s="21" t="s">
        <v>34</v>
      </c>
      <c r="E24226" s="21" t="s">
        <v>71</v>
      </c>
      <c r="F24226">
        <v>8781380</v>
      </c>
      <c r="G24226" t="s">
        <v>10815</v>
      </c>
      <c r="H24226" s="21">
        <v>660.67</v>
      </c>
    </row>
    <row r="24227" spans="1:8" customFormat="1" x14ac:dyDescent="0.25">
      <c r="A24227" t="str">
        <f>"5719484"</f>
        <v>5719484</v>
      </c>
      <c r="B24227" t="s">
        <v>16189</v>
      </c>
      <c r="C24227" t="s">
        <v>156</v>
      </c>
      <c r="D24227" s="21" t="s">
        <v>34</v>
      </c>
      <c r="E24227" s="21" t="s">
        <v>35</v>
      </c>
      <c r="F24227">
        <v>6570169</v>
      </c>
      <c r="G24227" t="s">
        <v>15590</v>
      </c>
      <c r="H24227" s="21">
        <v>660.67</v>
      </c>
    </row>
    <row r="24228" spans="1:8" customFormat="1" x14ac:dyDescent="0.25">
      <c r="A24228" t="str">
        <f>"323487"</f>
        <v>323487</v>
      </c>
      <c r="B24228" t="s">
        <v>4642</v>
      </c>
      <c r="C24228" t="s">
        <v>130</v>
      </c>
      <c r="D24228" s="21" t="s">
        <v>34</v>
      </c>
      <c r="E24228" s="21" t="s">
        <v>254</v>
      </c>
      <c r="F24228">
        <v>11320039</v>
      </c>
      <c r="G24228" t="s">
        <v>14674</v>
      </c>
      <c r="H24228" s="21">
        <v>660.67</v>
      </c>
    </row>
    <row r="24229" spans="1:8" customFormat="1" x14ac:dyDescent="0.25">
      <c r="A24229" t="str">
        <f>"4518744"</f>
        <v>4518744</v>
      </c>
      <c r="B24229" t="s">
        <v>20504</v>
      </c>
      <c r="C24229" t="s">
        <v>2365</v>
      </c>
      <c r="D24229" s="21" t="s">
        <v>34</v>
      </c>
      <c r="E24229" s="21" t="s">
        <v>71</v>
      </c>
      <c r="F24229">
        <v>4450285</v>
      </c>
      <c r="G24229" t="s">
        <v>7118</v>
      </c>
      <c r="H24229" s="21">
        <v>660.67</v>
      </c>
    </row>
    <row r="24230" spans="1:8" customFormat="1" x14ac:dyDescent="0.25">
      <c r="A24230" t="str">
        <f>"442423"</f>
        <v>442423</v>
      </c>
      <c r="B24230" t="s">
        <v>14876</v>
      </c>
      <c r="C24230" t="s">
        <v>428</v>
      </c>
      <c r="D24230" s="21" t="s">
        <v>34</v>
      </c>
      <c r="E24230" s="21" t="s">
        <v>254</v>
      </c>
      <c r="F24230">
        <v>12440080</v>
      </c>
      <c r="G24230" t="s">
        <v>14103</v>
      </c>
      <c r="H24230" s="21">
        <v>660.67</v>
      </c>
    </row>
    <row r="24231" spans="1:8" customFormat="1" x14ac:dyDescent="0.25">
      <c r="A24231" t="str">
        <f>"7617444"</f>
        <v>7617444</v>
      </c>
      <c r="B24231" t="s">
        <v>97</v>
      </c>
      <c r="C24231" t="s">
        <v>1714</v>
      </c>
      <c r="D24231" s="21" t="s">
        <v>34</v>
      </c>
      <c r="E24231" s="21" t="s">
        <v>254</v>
      </c>
      <c r="F24231">
        <v>9760390</v>
      </c>
      <c r="G24231" t="s">
        <v>17285</v>
      </c>
      <c r="H24231" s="21">
        <v>660.67</v>
      </c>
    </row>
    <row r="24232" spans="1:8" customFormat="1" x14ac:dyDescent="0.25">
      <c r="A24232" t="str">
        <f>"5613898"</f>
        <v>5613898</v>
      </c>
      <c r="B24232" t="s">
        <v>17705</v>
      </c>
      <c r="C24232" t="s">
        <v>33</v>
      </c>
      <c r="D24232" s="21" t="s">
        <v>34</v>
      </c>
      <c r="E24232" s="21" t="s">
        <v>71</v>
      </c>
      <c r="F24232">
        <v>3560072</v>
      </c>
      <c r="G24232" t="s">
        <v>12285</v>
      </c>
      <c r="H24232" s="21">
        <v>660.67</v>
      </c>
    </row>
    <row r="24233" spans="1:8" customFormat="1" x14ac:dyDescent="0.25">
      <c r="A24233" t="str">
        <f>"706739"</f>
        <v>706739</v>
      </c>
      <c r="B24233" t="s">
        <v>19048</v>
      </c>
      <c r="C24233" t="s">
        <v>60</v>
      </c>
      <c r="D24233" s="21" t="s">
        <v>34</v>
      </c>
      <c r="E24233" s="21" t="s">
        <v>35</v>
      </c>
      <c r="F24233">
        <v>2700030</v>
      </c>
      <c r="G24233" t="s">
        <v>9981</v>
      </c>
      <c r="H24233" s="21">
        <v>660.67</v>
      </c>
    </row>
    <row r="24234" spans="1:8" customFormat="1" x14ac:dyDescent="0.25">
      <c r="A24234" t="str">
        <f>"7212502"</f>
        <v>7212502</v>
      </c>
      <c r="B24234" t="s">
        <v>1263</v>
      </c>
      <c r="C24234" t="s">
        <v>55</v>
      </c>
      <c r="D24234" s="21" t="s">
        <v>34</v>
      </c>
      <c r="E24234" s="21" t="s">
        <v>71</v>
      </c>
      <c r="F24234">
        <v>12720049</v>
      </c>
      <c r="G24234" t="s">
        <v>1627</v>
      </c>
      <c r="H24234" s="21">
        <v>660.67</v>
      </c>
    </row>
    <row r="24235" spans="1:8" customFormat="1" x14ac:dyDescent="0.25">
      <c r="A24235" t="str">
        <f>"5721027"</f>
        <v>5721027</v>
      </c>
      <c r="B24235" t="s">
        <v>13962</v>
      </c>
      <c r="C24235" t="s">
        <v>96</v>
      </c>
      <c r="D24235" s="21" t="s">
        <v>34</v>
      </c>
      <c r="E24235" s="21" t="s">
        <v>35</v>
      </c>
      <c r="F24235">
        <v>6570146</v>
      </c>
      <c r="G24235" t="s">
        <v>1556</v>
      </c>
      <c r="H24235" s="21">
        <v>660.54</v>
      </c>
    </row>
    <row r="24236" spans="1:8" customFormat="1" x14ac:dyDescent="0.25">
      <c r="A24236" t="str">
        <f>"747986"</f>
        <v>747986</v>
      </c>
      <c r="B24236" t="s">
        <v>18604</v>
      </c>
      <c r="C24236" t="s">
        <v>1705</v>
      </c>
      <c r="D24236" s="21" t="s">
        <v>34</v>
      </c>
      <c r="E24236" s="21" t="s">
        <v>1089</v>
      </c>
      <c r="F24236">
        <v>1740001</v>
      </c>
      <c r="G24236" t="s">
        <v>347</v>
      </c>
      <c r="H24236" s="21">
        <v>660.54</v>
      </c>
    </row>
    <row r="24237" spans="1:8" customFormat="1" x14ac:dyDescent="0.25">
      <c r="A24237" t="str">
        <f>"5320737"</f>
        <v>5320737</v>
      </c>
      <c r="B24237" t="s">
        <v>8884</v>
      </c>
      <c r="C24237" t="s">
        <v>4623</v>
      </c>
      <c r="D24237" s="21" t="s">
        <v>34</v>
      </c>
      <c r="E24237" s="21" t="s">
        <v>35</v>
      </c>
      <c r="F24237">
        <v>12530079</v>
      </c>
      <c r="G24237" t="s">
        <v>3090</v>
      </c>
      <c r="H24237" s="21">
        <v>660.42</v>
      </c>
    </row>
    <row r="24238" spans="1:8" customFormat="1" x14ac:dyDescent="0.25">
      <c r="A24238" t="str">
        <f>"7727491"</f>
        <v>7727491</v>
      </c>
      <c r="B24238" t="s">
        <v>18085</v>
      </c>
      <c r="C24238" t="s">
        <v>985</v>
      </c>
      <c r="D24238" s="21" t="s">
        <v>34</v>
      </c>
      <c r="E24238" s="21" t="s">
        <v>35</v>
      </c>
      <c r="F24238">
        <v>8771236</v>
      </c>
      <c r="G24238" t="s">
        <v>386</v>
      </c>
      <c r="H24238" s="21">
        <v>660.42</v>
      </c>
    </row>
    <row r="24239" spans="1:8" customFormat="1" x14ac:dyDescent="0.25">
      <c r="A24239" t="str">
        <f>"5325179"</f>
        <v>5325179</v>
      </c>
      <c r="B24239" t="s">
        <v>17791</v>
      </c>
      <c r="C24239" t="s">
        <v>82</v>
      </c>
      <c r="D24239" s="21" t="s">
        <v>34</v>
      </c>
      <c r="E24239" s="21" t="s">
        <v>35</v>
      </c>
      <c r="F24239">
        <v>12538910</v>
      </c>
      <c r="G24239" t="s">
        <v>8855</v>
      </c>
      <c r="H24239" s="21">
        <v>660.42</v>
      </c>
    </row>
    <row r="24240" spans="1:8" customFormat="1" x14ac:dyDescent="0.25">
      <c r="A24240" t="str">
        <f>"4914886"</f>
        <v>4914886</v>
      </c>
      <c r="B24240" t="s">
        <v>17209</v>
      </c>
      <c r="C24240" t="s">
        <v>415</v>
      </c>
      <c r="D24240" s="21" t="s">
        <v>34</v>
      </c>
      <c r="E24240" s="21" t="s">
        <v>1089</v>
      </c>
      <c r="F24240">
        <v>12490073</v>
      </c>
      <c r="G24240" t="s">
        <v>296</v>
      </c>
      <c r="H24240" s="21">
        <v>660.42</v>
      </c>
    </row>
    <row r="24241" spans="1:8" customFormat="1" x14ac:dyDescent="0.25">
      <c r="A24241" t="str">
        <f>"4111184"</f>
        <v>4111184</v>
      </c>
      <c r="B24241" t="s">
        <v>19081</v>
      </c>
      <c r="C24241" t="s">
        <v>109</v>
      </c>
      <c r="D24241" s="21" t="s">
        <v>34</v>
      </c>
      <c r="E24241" s="21" t="s">
        <v>35</v>
      </c>
      <c r="F24241">
        <v>4410537</v>
      </c>
      <c r="G24241" t="s">
        <v>6515</v>
      </c>
      <c r="H24241" s="21">
        <v>660.29</v>
      </c>
    </row>
    <row r="24242" spans="1:8" customFormat="1" x14ac:dyDescent="0.25">
      <c r="A24242" t="str">
        <f>"015617"</f>
        <v>015617</v>
      </c>
      <c r="B24242" t="s">
        <v>27781</v>
      </c>
      <c r="C24242" t="s">
        <v>812</v>
      </c>
      <c r="D24242" s="21" t="s">
        <v>34</v>
      </c>
      <c r="E24242" s="21" t="s">
        <v>35</v>
      </c>
      <c r="F24242">
        <v>1010061</v>
      </c>
      <c r="G24242" t="s">
        <v>9290</v>
      </c>
      <c r="H24242" s="21">
        <v>660.17</v>
      </c>
    </row>
    <row r="24243" spans="1:8" customFormat="1" x14ac:dyDescent="0.25">
      <c r="A24243" t="str">
        <f>"8515069"</f>
        <v>8515069</v>
      </c>
      <c r="B24243" t="s">
        <v>108</v>
      </c>
      <c r="C24243" t="s">
        <v>2730</v>
      </c>
      <c r="D24243" s="21" t="s">
        <v>34</v>
      </c>
      <c r="E24243" s="21" t="s">
        <v>71</v>
      </c>
      <c r="F24243">
        <v>12850037</v>
      </c>
      <c r="G24243" t="s">
        <v>2787</v>
      </c>
      <c r="H24243" s="21">
        <v>660.17</v>
      </c>
    </row>
    <row r="24244" spans="1:8" customFormat="1" x14ac:dyDescent="0.25">
      <c r="A24244" t="str">
        <f>"7725941"</f>
        <v>7725941</v>
      </c>
      <c r="B24244" t="s">
        <v>18611</v>
      </c>
      <c r="C24244" t="s">
        <v>87</v>
      </c>
      <c r="D24244" s="21" t="s">
        <v>34</v>
      </c>
      <c r="E24244" s="21" t="s">
        <v>35</v>
      </c>
      <c r="F24244">
        <v>8771394</v>
      </c>
      <c r="G24244" t="s">
        <v>1933</v>
      </c>
      <c r="H24244" s="21">
        <v>660.17</v>
      </c>
    </row>
    <row r="24245" spans="1:8" customFormat="1" x14ac:dyDescent="0.25">
      <c r="A24245" t="str">
        <f>"3112316"</f>
        <v>3112316</v>
      </c>
      <c r="B24245" t="s">
        <v>18919</v>
      </c>
      <c r="C24245" t="s">
        <v>55</v>
      </c>
      <c r="D24245" s="21" t="s">
        <v>34</v>
      </c>
      <c r="E24245" s="21" t="s">
        <v>71</v>
      </c>
      <c r="F24245">
        <v>11310006</v>
      </c>
      <c r="G24245" t="s">
        <v>419</v>
      </c>
      <c r="H24245" s="21">
        <v>660.17</v>
      </c>
    </row>
    <row r="24246" spans="1:8" customFormat="1" x14ac:dyDescent="0.25">
      <c r="A24246" t="str">
        <f>"4217515"</f>
        <v>4217515</v>
      </c>
      <c r="B24246" t="s">
        <v>15032</v>
      </c>
      <c r="C24246" t="s">
        <v>62</v>
      </c>
      <c r="D24246" s="21" t="s">
        <v>34</v>
      </c>
      <c r="E24246" s="21" t="s">
        <v>35</v>
      </c>
      <c r="F24246">
        <v>1420156</v>
      </c>
      <c r="G24246" t="s">
        <v>5635</v>
      </c>
      <c r="H24246" s="21">
        <v>660.17</v>
      </c>
    </row>
    <row r="24247" spans="1:8" customFormat="1" x14ac:dyDescent="0.25">
      <c r="A24247" t="str">
        <f>"7852936"</f>
        <v>7852936</v>
      </c>
      <c r="B24247" t="s">
        <v>18207</v>
      </c>
      <c r="C24247" t="s">
        <v>33</v>
      </c>
      <c r="D24247" s="21" t="s">
        <v>34</v>
      </c>
      <c r="E24247" s="21" t="s">
        <v>71</v>
      </c>
      <c r="F24247">
        <v>8780356</v>
      </c>
      <c r="G24247" t="s">
        <v>5449</v>
      </c>
      <c r="H24247" s="21">
        <v>660.17</v>
      </c>
    </row>
    <row r="24248" spans="1:8" customFormat="1" x14ac:dyDescent="0.25">
      <c r="A24248" t="str">
        <f>"5732954"</f>
        <v>5732954</v>
      </c>
      <c r="B24248" t="s">
        <v>12271</v>
      </c>
      <c r="C24248" t="s">
        <v>169</v>
      </c>
      <c r="D24248" s="21" t="s">
        <v>34</v>
      </c>
      <c r="E24248" s="21" t="s">
        <v>71</v>
      </c>
      <c r="F24248">
        <v>6570018</v>
      </c>
      <c r="G24248" t="s">
        <v>4546</v>
      </c>
      <c r="H24248" s="21">
        <v>660.17</v>
      </c>
    </row>
    <row r="24249" spans="1:8" customFormat="1" x14ac:dyDescent="0.25">
      <c r="A24249" t="str">
        <f>"5616136"</f>
        <v>5616136</v>
      </c>
      <c r="B24249" t="s">
        <v>18814</v>
      </c>
      <c r="C24249" t="s">
        <v>209</v>
      </c>
      <c r="D24249" s="21" t="s">
        <v>34</v>
      </c>
      <c r="E24249" s="21" t="s">
        <v>71</v>
      </c>
      <c r="F24249">
        <v>3560086</v>
      </c>
      <c r="G24249" t="s">
        <v>15139</v>
      </c>
      <c r="H24249" s="21">
        <v>660.17</v>
      </c>
    </row>
    <row r="24250" spans="1:8" customFormat="1" x14ac:dyDescent="0.25">
      <c r="A24250" t="str">
        <f>"331240"</f>
        <v>331240</v>
      </c>
      <c r="B24250" t="s">
        <v>939</v>
      </c>
      <c r="C24250" t="s">
        <v>263</v>
      </c>
      <c r="D24250" s="21" t="s">
        <v>34</v>
      </c>
      <c r="E24250" s="21" t="s">
        <v>1089</v>
      </c>
      <c r="F24250">
        <v>10330050</v>
      </c>
      <c r="G24250" t="s">
        <v>2488</v>
      </c>
      <c r="H24250" s="21">
        <v>660.17</v>
      </c>
    </row>
    <row r="24251" spans="1:8" customFormat="1" x14ac:dyDescent="0.25">
      <c r="A24251" t="str">
        <f>"7711613"</f>
        <v>7711613</v>
      </c>
      <c r="B24251" t="s">
        <v>97</v>
      </c>
      <c r="C24251" t="s">
        <v>249</v>
      </c>
      <c r="D24251" s="21" t="s">
        <v>34</v>
      </c>
      <c r="E24251" s="21" t="s">
        <v>71</v>
      </c>
      <c r="F24251">
        <v>8771402</v>
      </c>
      <c r="G24251" t="s">
        <v>15493</v>
      </c>
      <c r="H24251" s="21">
        <v>660.17</v>
      </c>
    </row>
    <row r="24252" spans="1:8" customFormat="1" x14ac:dyDescent="0.25">
      <c r="A24252" t="str">
        <f>"6019692"</f>
        <v>6019692</v>
      </c>
      <c r="B24252" t="s">
        <v>19392</v>
      </c>
      <c r="C24252" t="s">
        <v>139</v>
      </c>
      <c r="D24252" s="21" t="s">
        <v>34</v>
      </c>
      <c r="E24252" s="21" t="s">
        <v>35</v>
      </c>
      <c r="F24252">
        <v>7600015</v>
      </c>
      <c r="G24252" t="s">
        <v>8343</v>
      </c>
      <c r="H24252" s="21">
        <v>660.17</v>
      </c>
    </row>
    <row r="24253" spans="1:8" customFormat="1" x14ac:dyDescent="0.25">
      <c r="A24253" t="str">
        <f>"604870"</f>
        <v>604870</v>
      </c>
      <c r="B24253" t="s">
        <v>27782</v>
      </c>
      <c r="C24253" t="s">
        <v>1605</v>
      </c>
      <c r="D24253" s="21" t="s">
        <v>34</v>
      </c>
      <c r="E24253" s="21" t="s">
        <v>71</v>
      </c>
      <c r="F24253">
        <v>7800117</v>
      </c>
      <c r="G24253" t="s">
        <v>20999</v>
      </c>
      <c r="H24253" s="21">
        <v>660.17</v>
      </c>
    </row>
    <row r="24254" spans="1:8" customFormat="1" x14ac:dyDescent="0.25">
      <c r="A24254" t="str">
        <f>"517387"</f>
        <v>517387</v>
      </c>
      <c r="B24254" t="s">
        <v>18733</v>
      </c>
      <c r="C24254" t="s">
        <v>1110</v>
      </c>
      <c r="D24254" s="21" t="s">
        <v>34</v>
      </c>
      <c r="E24254" s="21" t="s">
        <v>254</v>
      </c>
      <c r="F24254">
        <v>6510053</v>
      </c>
      <c r="G24254" t="s">
        <v>27203</v>
      </c>
      <c r="H24254" s="21">
        <v>660.17</v>
      </c>
    </row>
    <row r="24255" spans="1:8" customFormat="1" x14ac:dyDescent="0.25">
      <c r="A24255" t="str">
        <f>"7520316"</f>
        <v>7520316</v>
      </c>
      <c r="B24255" t="s">
        <v>18727</v>
      </c>
      <c r="C24255" t="s">
        <v>2479</v>
      </c>
      <c r="D24255" s="21" t="s">
        <v>34</v>
      </c>
      <c r="E24255" s="21" t="s">
        <v>35</v>
      </c>
      <c r="F24255">
        <v>8920018</v>
      </c>
      <c r="G24255" t="s">
        <v>1281</v>
      </c>
      <c r="H24255" s="21">
        <v>660.17</v>
      </c>
    </row>
    <row r="24256" spans="1:8" customFormat="1" x14ac:dyDescent="0.25">
      <c r="A24256" t="str">
        <f>"8011915"</f>
        <v>8011915</v>
      </c>
      <c r="B24256" t="s">
        <v>4488</v>
      </c>
      <c r="C24256" t="s">
        <v>60</v>
      </c>
      <c r="D24256" s="21" t="s">
        <v>34</v>
      </c>
      <c r="E24256" s="21" t="s">
        <v>35</v>
      </c>
      <c r="F24256">
        <v>7800067</v>
      </c>
      <c r="G24256" t="s">
        <v>16355</v>
      </c>
      <c r="H24256" s="21">
        <v>660.17</v>
      </c>
    </row>
    <row r="24257" spans="1:8" customFormat="1" x14ac:dyDescent="0.25">
      <c r="A24257" t="str">
        <f>"2110904"</f>
        <v>2110904</v>
      </c>
      <c r="B24257" t="s">
        <v>27783</v>
      </c>
      <c r="C24257" t="s">
        <v>1063</v>
      </c>
      <c r="D24257" s="21" t="s">
        <v>34</v>
      </c>
      <c r="E24257" s="21" t="s">
        <v>35</v>
      </c>
      <c r="F24257">
        <v>2210007</v>
      </c>
      <c r="G24257" t="s">
        <v>26848</v>
      </c>
      <c r="H24257" s="21">
        <v>660.17</v>
      </c>
    </row>
    <row r="24258" spans="1:8" customFormat="1" x14ac:dyDescent="0.25">
      <c r="A24258" t="str">
        <f>"407232"</f>
        <v>407232</v>
      </c>
      <c r="B24258" t="s">
        <v>19882</v>
      </c>
      <c r="C24258" t="s">
        <v>2907</v>
      </c>
      <c r="D24258" s="21" t="s">
        <v>34</v>
      </c>
      <c r="E24258" s="21" t="s">
        <v>35</v>
      </c>
      <c r="F24258">
        <v>10400003</v>
      </c>
      <c r="G24258" t="s">
        <v>5110</v>
      </c>
      <c r="H24258" s="21">
        <v>660.17</v>
      </c>
    </row>
    <row r="24259" spans="1:8" customFormat="1" x14ac:dyDescent="0.25">
      <c r="A24259" t="str">
        <f>"9531841"</f>
        <v>9531841</v>
      </c>
      <c r="B24259" t="s">
        <v>1882</v>
      </c>
      <c r="C24259" t="s">
        <v>209</v>
      </c>
      <c r="D24259" s="21" t="s">
        <v>34</v>
      </c>
      <c r="E24259" s="21" t="s">
        <v>35</v>
      </c>
      <c r="F24259">
        <v>8950262</v>
      </c>
      <c r="G24259" t="s">
        <v>1881</v>
      </c>
      <c r="H24259" s="21">
        <v>660.17</v>
      </c>
    </row>
    <row r="24260" spans="1:8" customFormat="1" x14ac:dyDescent="0.25">
      <c r="A24260" t="str">
        <f>"134498"</f>
        <v>134498</v>
      </c>
      <c r="B24260" t="s">
        <v>19328</v>
      </c>
      <c r="C24260" t="s">
        <v>2520</v>
      </c>
      <c r="D24260" s="21" t="s">
        <v>34</v>
      </c>
      <c r="E24260" s="21" t="s">
        <v>71</v>
      </c>
      <c r="F24260">
        <v>13130122</v>
      </c>
      <c r="G24260" t="s">
        <v>6354</v>
      </c>
      <c r="H24260" s="21">
        <v>660.17</v>
      </c>
    </row>
    <row r="24261" spans="1:8" customFormat="1" x14ac:dyDescent="0.25">
      <c r="A24261" t="str">
        <f>"5111391"</f>
        <v>5111391</v>
      </c>
      <c r="B24261" t="s">
        <v>11376</v>
      </c>
      <c r="C24261" t="s">
        <v>462</v>
      </c>
      <c r="D24261" s="21" t="s">
        <v>34</v>
      </c>
      <c r="E24261" s="21" t="s">
        <v>71</v>
      </c>
      <c r="F24261">
        <v>6510082</v>
      </c>
      <c r="G24261" t="s">
        <v>11761</v>
      </c>
      <c r="H24261" s="21">
        <v>660.04</v>
      </c>
    </row>
    <row r="24262" spans="1:8" customFormat="1" x14ac:dyDescent="0.25">
      <c r="A24262" t="str">
        <f>"9511923"</f>
        <v>9511923</v>
      </c>
      <c r="B24262" t="s">
        <v>27784</v>
      </c>
      <c r="C24262" t="s">
        <v>33</v>
      </c>
      <c r="D24262" s="21" t="s">
        <v>34</v>
      </c>
      <c r="E24262" s="21" t="s">
        <v>71</v>
      </c>
      <c r="F24262">
        <v>8951312</v>
      </c>
      <c r="G24262" t="s">
        <v>1007</v>
      </c>
      <c r="H24262" s="21">
        <v>659.92</v>
      </c>
    </row>
    <row r="24263" spans="1:8" customFormat="1" x14ac:dyDescent="0.25">
      <c r="A24263" t="str">
        <f>"305660"</f>
        <v>305660</v>
      </c>
      <c r="B24263" t="s">
        <v>13027</v>
      </c>
      <c r="C24263" t="s">
        <v>253</v>
      </c>
      <c r="D24263" s="21" t="s">
        <v>34</v>
      </c>
      <c r="E24263" s="21" t="s">
        <v>1089</v>
      </c>
      <c r="F24263">
        <v>11300014</v>
      </c>
      <c r="G24263" t="s">
        <v>2345</v>
      </c>
      <c r="H24263" s="21">
        <v>659.79</v>
      </c>
    </row>
    <row r="24264" spans="1:8" customFormat="1" x14ac:dyDescent="0.25">
      <c r="A24264" t="str">
        <f>"627597"</f>
        <v>627597</v>
      </c>
      <c r="B24264" t="s">
        <v>25392</v>
      </c>
      <c r="C24264" t="s">
        <v>2907</v>
      </c>
      <c r="D24264" s="21" t="s">
        <v>34</v>
      </c>
      <c r="E24264" s="21" t="s">
        <v>254</v>
      </c>
      <c r="F24264">
        <v>7620088</v>
      </c>
      <c r="G24264" t="s">
        <v>3342</v>
      </c>
      <c r="H24264" s="21">
        <v>659.67</v>
      </c>
    </row>
    <row r="24265" spans="1:8" customFormat="1" x14ac:dyDescent="0.25">
      <c r="A24265" t="str">
        <f>"5018185"</f>
        <v>5018185</v>
      </c>
      <c r="B24265" t="s">
        <v>3387</v>
      </c>
      <c r="C24265" t="s">
        <v>3073</v>
      </c>
      <c r="D24265" s="21" t="s">
        <v>34</v>
      </c>
      <c r="E24265" s="21" t="s">
        <v>35</v>
      </c>
      <c r="F24265">
        <v>9500093</v>
      </c>
      <c r="G24265" t="s">
        <v>1808</v>
      </c>
      <c r="H24265" s="21">
        <v>659.67</v>
      </c>
    </row>
    <row r="24266" spans="1:8" customFormat="1" x14ac:dyDescent="0.25">
      <c r="A24266" t="str">
        <f>"4447170"</f>
        <v>4447170</v>
      </c>
      <c r="B24266" t="s">
        <v>11118</v>
      </c>
      <c r="C24266" t="s">
        <v>412</v>
      </c>
      <c r="D24266" s="21" t="s">
        <v>34</v>
      </c>
      <c r="E24266" s="21" t="s">
        <v>71</v>
      </c>
      <c r="F24266">
        <v>12440142</v>
      </c>
      <c r="G24266" t="s">
        <v>3285</v>
      </c>
      <c r="H24266" s="21">
        <v>659.67</v>
      </c>
    </row>
    <row r="24267" spans="1:8" customFormat="1" x14ac:dyDescent="0.25">
      <c r="A24267" t="str">
        <f>"5012606"</f>
        <v>5012606</v>
      </c>
      <c r="B24267" t="s">
        <v>16424</v>
      </c>
      <c r="C24267" t="s">
        <v>60</v>
      </c>
      <c r="D24267" s="21" t="s">
        <v>34</v>
      </c>
      <c r="E24267" s="21" t="s">
        <v>35</v>
      </c>
      <c r="F24267">
        <v>9500163</v>
      </c>
      <c r="G24267" t="s">
        <v>2750</v>
      </c>
      <c r="H24267" s="21">
        <v>659.67</v>
      </c>
    </row>
    <row r="24268" spans="1:8" customFormat="1" x14ac:dyDescent="0.25">
      <c r="A24268" t="str">
        <f>"6211024"</f>
        <v>6211024</v>
      </c>
      <c r="B24268" t="s">
        <v>18303</v>
      </c>
      <c r="C24268" t="s">
        <v>267</v>
      </c>
      <c r="D24268" s="21" t="s">
        <v>34</v>
      </c>
      <c r="E24268" s="21" t="s">
        <v>254</v>
      </c>
      <c r="F24268">
        <v>10160236</v>
      </c>
      <c r="G24268" t="s">
        <v>7202</v>
      </c>
      <c r="H24268" s="21">
        <v>659.67</v>
      </c>
    </row>
    <row r="24269" spans="1:8" customFormat="1" x14ac:dyDescent="0.25">
      <c r="A24269" t="str">
        <f>"4925352"</f>
        <v>4925352</v>
      </c>
      <c r="B24269" t="s">
        <v>1576</v>
      </c>
      <c r="C24269" t="s">
        <v>7939</v>
      </c>
      <c r="D24269" s="21" t="s">
        <v>34</v>
      </c>
      <c r="E24269" s="21" t="s">
        <v>71</v>
      </c>
      <c r="F24269">
        <v>12490052</v>
      </c>
      <c r="G24269" t="s">
        <v>2732</v>
      </c>
      <c r="H24269" s="21">
        <v>659.67</v>
      </c>
    </row>
    <row r="24270" spans="1:8" customFormat="1" x14ac:dyDescent="0.25">
      <c r="A24270" t="str">
        <f>"6714383"</f>
        <v>6714383</v>
      </c>
      <c r="B24270" t="s">
        <v>17801</v>
      </c>
      <c r="C24270" t="s">
        <v>249</v>
      </c>
      <c r="D24270" s="21" t="s">
        <v>34</v>
      </c>
      <c r="E24270" s="21" t="s">
        <v>71</v>
      </c>
      <c r="F24270">
        <v>6670248</v>
      </c>
      <c r="G24270" t="s">
        <v>1194</v>
      </c>
      <c r="H24270" s="21">
        <v>659.67</v>
      </c>
    </row>
    <row r="24271" spans="1:8" customFormat="1" x14ac:dyDescent="0.25">
      <c r="A24271" t="str">
        <f>"5960125"</f>
        <v>5960125</v>
      </c>
      <c r="B24271" t="s">
        <v>18545</v>
      </c>
      <c r="C24271" t="s">
        <v>1812</v>
      </c>
      <c r="D24271" s="21" t="s">
        <v>34</v>
      </c>
      <c r="E24271" s="21" t="s">
        <v>71</v>
      </c>
      <c r="F24271">
        <v>7590100</v>
      </c>
      <c r="G24271" t="s">
        <v>1660</v>
      </c>
      <c r="H24271" s="21">
        <v>659.67</v>
      </c>
    </row>
    <row r="24272" spans="1:8" customFormat="1" x14ac:dyDescent="0.25">
      <c r="A24272" t="str">
        <f>"414123"</f>
        <v>414123</v>
      </c>
      <c r="B24272" t="s">
        <v>18786</v>
      </c>
      <c r="C24272" t="s">
        <v>55</v>
      </c>
      <c r="D24272" s="21" t="s">
        <v>34</v>
      </c>
      <c r="E24272" s="21" t="s">
        <v>71</v>
      </c>
      <c r="F24272">
        <v>4410537</v>
      </c>
      <c r="G24272" t="s">
        <v>6515</v>
      </c>
      <c r="H24272" s="21">
        <v>659.67</v>
      </c>
    </row>
    <row r="24273" spans="1:8" customFormat="1" x14ac:dyDescent="0.25">
      <c r="A24273" t="str">
        <f>"721106"</f>
        <v>721106</v>
      </c>
      <c r="B24273" t="s">
        <v>1797</v>
      </c>
      <c r="C24273" t="s">
        <v>239</v>
      </c>
      <c r="D24273" s="21" t="s">
        <v>34</v>
      </c>
      <c r="E24273" s="21" t="s">
        <v>254</v>
      </c>
      <c r="F24273">
        <v>12720034</v>
      </c>
      <c r="G24273" t="s">
        <v>4561</v>
      </c>
      <c r="H24273" s="21">
        <v>659.67</v>
      </c>
    </row>
    <row r="24274" spans="1:8" customFormat="1" x14ac:dyDescent="0.25">
      <c r="A24274" t="str">
        <f>"122920"</f>
        <v>122920</v>
      </c>
      <c r="B24274" t="s">
        <v>18130</v>
      </c>
      <c r="C24274" t="s">
        <v>1142</v>
      </c>
      <c r="D24274" s="21" t="s">
        <v>34</v>
      </c>
      <c r="E24274" s="21" t="s">
        <v>254</v>
      </c>
      <c r="F24274">
        <v>11120004</v>
      </c>
      <c r="G24274" t="s">
        <v>2311</v>
      </c>
      <c r="H24274" s="21">
        <v>659.67</v>
      </c>
    </row>
    <row r="24275" spans="1:8" customFormat="1" x14ac:dyDescent="0.25">
      <c r="A24275" t="str">
        <f>"5416349"</f>
        <v>5416349</v>
      </c>
      <c r="B24275" t="s">
        <v>19578</v>
      </c>
      <c r="C24275" t="s">
        <v>202</v>
      </c>
      <c r="D24275" s="21" t="s">
        <v>34</v>
      </c>
      <c r="E24275" s="21" t="s">
        <v>254</v>
      </c>
      <c r="F24275">
        <v>10400015</v>
      </c>
      <c r="G24275" t="s">
        <v>1095</v>
      </c>
      <c r="H24275" s="21">
        <v>659.67</v>
      </c>
    </row>
    <row r="24276" spans="1:8" customFormat="1" x14ac:dyDescent="0.25">
      <c r="A24276" t="str">
        <f>"3728874"</f>
        <v>3728874</v>
      </c>
      <c r="B24276" t="s">
        <v>1595</v>
      </c>
      <c r="C24276" t="s">
        <v>608</v>
      </c>
      <c r="D24276" s="21" t="s">
        <v>34</v>
      </c>
      <c r="E24276" s="21" t="s">
        <v>35</v>
      </c>
      <c r="F24276">
        <v>4370465</v>
      </c>
      <c r="G24276" t="s">
        <v>26922</v>
      </c>
      <c r="H24276" s="21">
        <v>659.67</v>
      </c>
    </row>
    <row r="24277" spans="1:8" customFormat="1" x14ac:dyDescent="0.25">
      <c r="A24277" t="str">
        <f>"7113657"</f>
        <v>7113657</v>
      </c>
      <c r="B24277" t="s">
        <v>17658</v>
      </c>
      <c r="C24277" t="s">
        <v>1812</v>
      </c>
      <c r="D24277" s="21" t="s">
        <v>34</v>
      </c>
      <c r="E24277" s="21" t="s">
        <v>35</v>
      </c>
      <c r="F24277">
        <v>2710023</v>
      </c>
      <c r="G24277" t="s">
        <v>3549</v>
      </c>
      <c r="H24277" s="21">
        <v>659.67</v>
      </c>
    </row>
    <row r="24278" spans="1:8" customFormat="1" x14ac:dyDescent="0.25">
      <c r="A24278" t="str">
        <f>"199802"</f>
        <v>199802</v>
      </c>
      <c r="B24278" t="s">
        <v>8748</v>
      </c>
      <c r="C24278" t="s">
        <v>60</v>
      </c>
      <c r="D24278" s="21" t="s">
        <v>34</v>
      </c>
      <c r="E24278" s="21" t="s">
        <v>35</v>
      </c>
      <c r="F24278">
        <v>10190108</v>
      </c>
      <c r="G24278" t="s">
        <v>7344</v>
      </c>
      <c r="H24278" s="21">
        <v>659.67</v>
      </c>
    </row>
    <row r="24279" spans="1:8" customFormat="1" x14ac:dyDescent="0.25">
      <c r="A24279" t="str">
        <f>"5323713"</f>
        <v>5323713</v>
      </c>
      <c r="B24279" t="s">
        <v>27785</v>
      </c>
      <c r="C24279" t="s">
        <v>1063</v>
      </c>
      <c r="D24279" s="21" t="s">
        <v>34</v>
      </c>
      <c r="E24279" s="21" t="s">
        <v>35</v>
      </c>
      <c r="F24279">
        <v>12530114</v>
      </c>
      <c r="G24279" t="s">
        <v>1342</v>
      </c>
      <c r="H24279" s="21">
        <v>659.67</v>
      </c>
    </row>
    <row r="24280" spans="1:8" customFormat="1" x14ac:dyDescent="0.25">
      <c r="A24280" t="str">
        <f>"636769"</f>
        <v>636769</v>
      </c>
      <c r="B24280" t="s">
        <v>18506</v>
      </c>
      <c r="C24280" t="s">
        <v>817</v>
      </c>
      <c r="D24280" s="21" t="s">
        <v>34</v>
      </c>
      <c r="E24280" s="21" t="s">
        <v>254</v>
      </c>
      <c r="F24280">
        <v>1630307</v>
      </c>
      <c r="G24280" t="s">
        <v>15524</v>
      </c>
      <c r="H24280" s="21">
        <v>659.54</v>
      </c>
    </row>
    <row r="24281" spans="1:8" customFormat="1" x14ac:dyDescent="0.25">
      <c r="A24281" t="str">
        <f>"362787"</f>
        <v>362787</v>
      </c>
      <c r="B24281" t="s">
        <v>18033</v>
      </c>
      <c r="C24281" t="s">
        <v>926</v>
      </c>
      <c r="D24281" s="21" t="s">
        <v>34</v>
      </c>
      <c r="E24281" s="21" t="s">
        <v>1089</v>
      </c>
      <c r="F24281">
        <v>4360340</v>
      </c>
      <c r="G24281" t="s">
        <v>14132</v>
      </c>
      <c r="H24281" s="21">
        <v>659.42</v>
      </c>
    </row>
    <row r="24282" spans="1:8" customFormat="1" x14ac:dyDescent="0.25">
      <c r="A24282" t="str">
        <f>"5954493"</f>
        <v>5954493</v>
      </c>
      <c r="B24282" t="s">
        <v>18054</v>
      </c>
      <c r="C24282" t="s">
        <v>87</v>
      </c>
      <c r="D24282" s="21" t="s">
        <v>34</v>
      </c>
      <c r="E24282" s="21" t="s">
        <v>71</v>
      </c>
      <c r="F24282">
        <v>7590047</v>
      </c>
      <c r="G24282" t="s">
        <v>5788</v>
      </c>
      <c r="H24282" s="21">
        <v>659.42</v>
      </c>
    </row>
    <row r="24283" spans="1:8" customFormat="1" x14ac:dyDescent="0.25">
      <c r="A24283" t="str">
        <f>"2217110"</f>
        <v>2217110</v>
      </c>
      <c r="B24283" t="s">
        <v>17422</v>
      </c>
      <c r="C24283" t="s">
        <v>87</v>
      </c>
      <c r="D24283" s="21" t="s">
        <v>34</v>
      </c>
      <c r="E24283" s="21" t="s">
        <v>71</v>
      </c>
      <c r="F24283">
        <v>3220038</v>
      </c>
      <c r="G24283" t="s">
        <v>27039</v>
      </c>
      <c r="H24283" s="21">
        <v>659.17</v>
      </c>
    </row>
    <row r="24284" spans="1:8" customFormat="1" x14ac:dyDescent="0.25">
      <c r="A24284" t="str">
        <f>"551191"</f>
        <v>551191</v>
      </c>
      <c r="B24284" t="s">
        <v>18696</v>
      </c>
      <c r="C24284" t="s">
        <v>867</v>
      </c>
      <c r="D24284" s="21" t="s">
        <v>34</v>
      </c>
      <c r="E24284" s="21" t="s">
        <v>35</v>
      </c>
      <c r="F24284">
        <v>6550013</v>
      </c>
      <c r="G24284" t="s">
        <v>8047</v>
      </c>
      <c r="H24284" s="21">
        <v>659.17</v>
      </c>
    </row>
    <row r="24285" spans="1:8" customFormat="1" x14ac:dyDescent="0.25">
      <c r="A24285" t="str">
        <f>"691098"</f>
        <v>691098</v>
      </c>
      <c r="B24285" t="s">
        <v>17900</v>
      </c>
      <c r="C24285" t="s">
        <v>412</v>
      </c>
      <c r="D24285" s="21" t="s">
        <v>34</v>
      </c>
      <c r="E24285" s="21" t="s">
        <v>1089</v>
      </c>
      <c r="F24285">
        <v>1690052</v>
      </c>
      <c r="G24285" t="s">
        <v>273</v>
      </c>
      <c r="H24285" s="21">
        <v>659.17</v>
      </c>
    </row>
    <row r="24286" spans="1:8" customFormat="1" x14ac:dyDescent="0.25">
      <c r="A24286" t="str">
        <f>"02658"</f>
        <v>02658</v>
      </c>
      <c r="B24286" t="s">
        <v>17445</v>
      </c>
      <c r="C24286" t="s">
        <v>233</v>
      </c>
      <c r="D24286" s="21" t="s">
        <v>34</v>
      </c>
      <c r="E24286" s="21" t="s">
        <v>254</v>
      </c>
      <c r="F24286">
        <v>7020036</v>
      </c>
      <c r="G24286" t="s">
        <v>8431</v>
      </c>
      <c r="H24286" s="21">
        <v>659.17</v>
      </c>
    </row>
    <row r="24287" spans="1:8" customFormat="1" x14ac:dyDescent="0.25">
      <c r="A24287" t="str">
        <f>"5618231"</f>
        <v>5618231</v>
      </c>
      <c r="B24287" t="s">
        <v>18712</v>
      </c>
      <c r="C24287" t="s">
        <v>209</v>
      </c>
      <c r="D24287" s="21" t="s">
        <v>34</v>
      </c>
      <c r="E24287" s="21" t="s">
        <v>254</v>
      </c>
      <c r="F24287">
        <v>3560022</v>
      </c>
      <c r="G24287" t="s">
        <v>2547</v>
      </c>
      <c r="H24287" s="21">
        <v>659.17</v>
      </c>
    </row>
    <row r="24288" spans="1:8" customFormat="1" x14ac:dyDescent="0.25">
      <c r="A24288" t="str">
        <f>"2712299"</f>
        <v>2712299</v>
      </c>
      <c r="B24288" t="s">
        <v>18062</v>
      </c>
      <c r="C24288" t="s">
        <v>288</v>
      </c>
      <c r="D24288" s="21" t="s">
        <v>34</v>
      </c>
      <c r="E24288" s="21" t="s">
        <v>35</v>
      </c>
      <c r="F24288">
        <v>4280632</v>
      </c>
      <c r="G24288" t="s">
        <v>6825</v>
      </c>
      <c r="H24288" s="21">
        <v>659.17</v>
      </c>
    </row>
    <row r="24289" spans="1:8" customFormat="1" x14ac:dyDescent="0.25">
      <c r="A24289" t="str">
        <f>"7912151"</f>
        <v>7912151</v>
      </c>
      <c r="B24289" t="s">
        <v>1467</v>
      </c>
      <c r="C24289" t="s">
        <v>1110</v>
      </c>
      <c r="D24289" s="21" t="s">
        <v>34</v>
      </c>
      <c r="E24289" s="21" t="s">
        <v>1089</v>
      </c>
      <c r="F24289">
        <v>10790229</v>
      </c>
      <c r="G24289" t="s">
        <v>27165</v>
      </c>
      <c r="H24289" s="21">
        <v>659.17</v>
      </c>
    </row>
    <row r="24290" spans="1:8" customFormat="1" x14ac:dyDescent="0.25">
      <c r="A24290" t="str">
        <f>"443324"</f>
        <v>443324</v>
      </c>
      <c r="B24290" t="s">
        <v>18047</v>
      </c>
      <c r="C24290" t="s">
        <v>1665</v>
      </c>
      <c r="D24290" s="21" t="s">
        <v>34</v>
      </c>
      <c r="E24290" s="21" t="s">
        <v>254</v>
      </c>
      <c r="F24290">
        <v>12440117</v>
      </c>
      <c r="G24290" t="s">
        <v>14099</v>
      </c>
      <c r="H24290" s="21">
        <v>659.17</v>
      </c>
    </row>
    <row r="24291" spans="1:8" customFormat="1" x14ac:dyDescent="0.25">
      <c r="A24291" t="str">
        <f>"6232003"</f>
        <v>6232003</v>
      </c>
      <c r="B24291" t="s">
        <v>6721</v>
      </c>
      <c r="C24291" t="s">
        <v>639</v>
      </c>
      <c r="D24291" s="21" t="s">
        <v>34</v>
      </c>
      <c r="E24291" s="21" t="s">
        <v>1089</v>
      </c>
      <c r="F24291">
        <v>7620180</v>
      </c>
      <c r="G24291" t="s">
        <v>7188</v>
      </c>
      <c r="H24291" s="21">
        <v>659.17</v>
      </c>
    </row>
    <row r="24292" spans="1:8" customFormat="1" x14ac:dyDescent="0.25">
      <c r="A24292" t="str">
        <f>"6725560"</f>
        <v>6725560</v>
      </c>
      <c r="B24292" t="s">
        <v>19724</v>
      </c>
      <c r="C24292" t="s">
        <v>267</v>
      </c>
      <c r="D24292" s="21" t="s">
        <v>34</v>
      </c>
      <c r="E24292" s="21" t="s">
        <v>35</v>
      </c>
      <c r="F24292">
        <v>6670219</v>
      </c>
      <c r="G24292" t="s">
        <v>9361</v>
      </c>
      <c r="H24292" s="21">
        <v>659.17</v>
      </c>
    </row>
    <row r="24293" spans="1:8" customFormat="1" x14ac:dyDescent="0.25">
      <c r="A24293" t="str">
        <f>"9219054"</f>
        <v>9219054</v>
      </c>
      <c r="B24293" t="s">
        <v>17217</v>
      </c>
      <c r="C24293" t="s">
        <v>269</v>
      </c>
      <c r="D24293" s="21" t="s">
        <v>34</v>
      </c>
      <c r="E24293" s="21" t="s">
        <v>71</v>
      </c>
      <c r="F24293">
        <v>8930928</v>
      </c>
      <c r="G24293" t="s">
        <v>606</v>
      </c>
      <c r="H24293" s="21">
        <v>659.17</v>
      </c>
    </row>
    <row r="24294" spans="1:8" customFormat="1" x14ac:dyDescent="0.25">
      <c r="A24294" t="str">
        <f>"7923377"</f>
        <v>7923377</v>
      </c>
      <c r="B24294" t="s">
        <v>9551</v>
      </c>
      <c r="C24294" t="s">
        <v>43</v>
      </c>
      <c r="D24294" s="21" t="s">
        <v>34</v>
      </c>
      <c r="E24294" s="21" t="s">
        <v>35</v>
      </c>
      <c r="F24294">
        <v>10790003</v>
      </c>
      <c r="G24294" t="s">
        <v>10465</v>
      </c>
      <c r="H24294" s="21">
        <v>659.17</v>
      </c>
    </row>
    <row r="24295" spans="1:8" customFormat="1" x14ac:dyDescent="0.25">
      <c r="A24295" t="str">
        <f>"5972216"</f>
        <v>5972216</v>
      </c>
      <c r="B24295" t="s">
        <v>18932</v>
      </c>
      <c r="C24295" t="s">
        <v>98</v>
      </c>
      <c r="D24295" s="21" t="s">
        <v>34</v>
      </c>
      <c r="E24295" s="21" t="s">
        <v>35</v>
      </c>
      <c r="F24295">
        <v>7590087</v>
      </c>
      <c r="G24295" t="s">
        <v>2112</v>
      </c>
      <c r="H24295" s="21">
        <v>659.17</v>
      </c>
    </row>
    <row r="24296" spans="1:8" customFormat="1" x14ac:dyDescent="0.25">
      <c r="A24296" t="str">
        <f>"6227633"</f>
        <v>6227633</v>
      </c>
      <c r="B24296" t="s">
        <v>15595</v>
      </c>
      <c r="C24296" t="s">
        <v>867</v>
      </c>
      <c r="D24296" s="21" t="s">
        <v>34</v>
      </c>
      <c r="E24296" s="21" t="s">
        <v>35</v>
      </c>
      <c r="F24296">
        <v>7620007</v>
      </c>
      <c r="G24296" t="s">
        <v>2133</v>
      </c>
      <c r="H24296" s="21">
        <v>659.17</v>
      </c>
    </row>
    <row r="24297" spans="1:8" customFormat="1" x14ac:dyDescent="0.25">
      <c r="A24297" t="str">
        <f>"0112161"</f>
        <v>0112161</v>
      </c>
      <c r="B24297" t="s">
        <v>17520</v>
      </c>
      <c r="C24297" t="s">
        <v>712</v>
      </c>
      <c r="D24297" s="21" t="s">
        <v>34</v>
      </c>
      <c r="E24297" s="21" t="s">
        <v>1089</v>
      </c>
      <c r="F24297">
        <v>1010071</v>
      </c>
      <c r="G24297" t="s">
        <v>8104</v>
      </c>
      <c r="H24297" s="21">
        <v>659</v>
      </c>
    </row>
    <row r="24298" spans="1:8" customFormat="1" x14ac:dyDescent="0.25">
      <c r="A24298" t="str">
        <f>"9311591"</f>
        <v>9311591</v>
      </c>
      <c r="B24298" t="s">
        <v>15083</v>
      </c>
      <c r="C24298" t="s">
        <v>204</v>
      </c>
      <c r="D24298" s="21" t="s">
        <v>34</v>
      </c>
      <c r="E24298" s="21" t="s">
        <v>35</v>
      </c>
      <c r="F24298">
        <v>8930598</v>
      </c>
      <c r="G24298" t="s">
        <v>445</v>
      </c>
      <c r="H24298" s="21">
        <v>658.92</v>
      </c>
    </row>
    <row r="24299" spans="1:8" customFormat="1" x14ac:dyDescent="0.25">
      <c r="A24299" t="str">
        <f>"7633151"</f>
        <v>7633151</v>
      </c>
      <c r="B24299" t="s">
        <v>108</v>
      </c>
      <c r="C24299" t="s">
        <v>415</v>
      </c>
      <c r="D24299" s="21" t="s">
        <v>34</v>
      </c>
      <c r="E24299" s="21" t="s">
        <v>71</v>
      </c>
      <c r="F24299">
        <v>9760319</v>
      </c>
      <c r="G24299" t="s">
        <v>3051</v>
      </c>
      <c r="H24299" s="21">
        <v>658.92</v>
      </c>
    </row>
    <row r="24300" spans="1:8" customFormat="1" x14ac:dyDescent="0.25">
      <c r="A24300" t="str">
        <f>"893408"</f>
        <v>893408</v>
      </c>
      <c r="B24300" t="s">
        <v>17179</v>
      </c>
      <c r="C24300" t="s">
        <v>55</v>
      </c>
      <c r="D24300" s="21" t="s">
        <v>34</v>
      </c>
      <c r="E24300" s="21" t="s">
        <v>71</v>
      </c>
      <c r="F24300">
        <v>2890032</v>
      </c>
      <c r="G24300" t="s">
        <v>6080</v>
      </c>
      <c r="H24300" s="21">
        <v>658.92</v>
      </c>
    </row>
    <row r="24301" spans="1:8" customFormat="1" x14ac:dyDescent="0.25">
      <c r="A24301" t="str">
        <f>"878927"</f>
        <v>878927</v>
      </c>
      <c r="B24301" t="s">
        <v>2962</v>
      </c>
      <c r="C24301" t="s">
        <v>169</v>
      </c>
      <c r="D24301" s="21" t="s">
        <v>34</v>
      </c>
      <c r="E24301" s="21" t="s">
        <v>35</v>
      </c>
      <c r="F24301">
        <v>10870116</v>
      </c>
      <c r="G24301" t="s">
        <v>1806</v>
      </c>
      <c r="H24301" s="21">
        <v>658.67</v>
      </c>
    </row>
    <row r="24302" spans="1:8" customFormat="1" x14ac:dyDescent="0.25">
      <c r="A24302" t="str">
        <f>"916704"</f>
        <v>916704</v>
      </c>
      <c r="B24302" t="s">
        <v>18975</v>
      </c>
      <c r="C24302" t="s">
        <v>239</v>
      </c>
      <c r="D24302" s="21" t="s">
        <v>34</v>
      </c>
      <c r="E24302" s="21" t="s">
        <v>254</v>
      </c>
      <c r="F24302">
        <v>10160069</v>
      </c>
      <c r="G24302" t="s">
        <v>5379</v>
      </c>
      <c r="H24302" s="21">
        <v>658.67</v>
      </c>
    </row>
    <row r="24303" spans="1:8" customFormat="1" x14ac:dyDescent="0.25">
      <c r="A24303" t="str">
        <f>"6718331"</f>
        <v>6718331</v>
      </c>
      <c r="B24303" t="s">
        <v>18475</v>
      </c>
      <c r="C24303" t="s">
        <v>486</v>
      </c>
      <c r="D24303" s="21" t="s">
        <v>34</v>
      </c>
      <c r="E24303" s="21" t="s">
        <v>35</v>
      </c>
      <c r="F24303">
        <v>12850172</v>
      </c>
      <c r="G24303" t="s">
        <v>4919</v>
      </c>
      <c r="H24303" s="21">
        <v>658.67</v>
      </c>
    </row>
    <row r="24304" spans="1:8" customFormat="1" x14ac:dyDescent="0.25">
      <c r="A24304" t="str">
        <f>"517831"</f>
        <v>517831</v>
      </c>
      <c r="B24304" t="s">
        <v>18690</v>
      </c>
      <c r="C24304" t="s">
        <v>40</v>
      </c>
      <c r="D24304" s="21" t="s">
        <v>34</v>
      </c>
      <c r="E24304" s="21" t="s">
        <v>254</v>
      </c>
      <c r="F24304">
        <v>6510112</v>
      </c>
      <c r="G24304" t="s">
        <v>588</v>
      </c>
      <c r="H24304" s="21">
        <v>658.67</v>
      </c>
    </row>
    <row r="24305" spans="1:8" customFormat="1" x14ac:dyDescent="0.25">
      <c r="A24305" t="str">
        <f>"9233236"</f>
        <v>9233236</v>
      </c>
      <c r="B24305" t="s">
        <v>4027</v>
      </c>
      <c r="C24305" t="s">
        <v>576</v>
      </c>
      <c r="D24305" s="21" t="s">
        <v>34</v>
      </c>
      <c r="E24305" s="21" t="s">
        <v>35</v>
      </c>
      <c r="F24305">
        <v>8920646</v>
      </c>
      <c r="G24305" t="s">
        <v>2864</v>
      </c>
      <c r="H24305" s="21">
        <v>658.67</v>
      </c>
    </row>
    <row r="24306" spans="1:8" customFormat="1" x14ac:dyDescent="0.25">
      <c r="A24306" t="str">
        <f>"4110054"</f>
        <v>4110054</v>
      </c>
      <c r="B24306" t="s">
        <v>27786</v>
      </c>
      <c r="C24306" t="s">
        <v>453</v>
      </c>
      <c r="D24306" s="21" t="s">
        <v>34</v>
      </c>
      <c r="E24306" s="21" t="s">
        <v>71</v>
      </c>
      <c r="F24306">
        <v>4410730</v>
      </c>
      <c r="G24306" t="s">
        <v>7260</v>
      </c>
      <c r="H24306" s="21">
        <v>658.67</v>
      </c>
    </row>
    <row r="24307" spans="1:8" customFormat="1" x14ac:dyDescent="0.25">
      <c r="A24307" t="str">
        <f>"6218380"</f>
        <v>6218380</v>
      </c>
      <c r="B24307" t="s">
        <v>13019</v>
      </c>
      <c r="C24307" t="s">
        <v>119</v>
      </c>
      <c r="D24307" s="21" t="s">
        <v>34</v>
      </c>
      <c r="E24307" s="21" t="s">
        <v>35</v>
      </c>
      <c r="F24307">
        <v>7590055</v>
      </c>
      <c r="G24307" t="s">
        <v>1573</v>
      </c>
      <c r="H24307" s="21">
        <v>658.67</v>
      </c>
    </row>
    <row r="24308" spans="1:8" customFormat="1" x14ac:dyDescent="0.25">
      <c r="A24308" t="str">
        <f>"9140787"</f>
        <v>9140787</v>
      </c>
      <c r="B24308" t="s">
        <v>582</v>
      </c>
      <c r="C24308" t="s">
        <v>469</v>
      </c>
      <c r="D24308" s="21" t="s">
        <v>34</v>
      </c>
      <c r="E24308" s="21" t="s">
        <v>71</v>
      </c>
      <c r="F24308">
        <v>8910102</v>
      </c>
      <c r="G24308" t="s">
        <v>3079</v>
      </c>
      <c r="H24308" s="21">
        <v>658.67</v>
      </c>
    </row>
    <row r="24309" spans="1:8" customFormat="1" x14ac:dyDescent="0.25">
      <c r="A24309" t="str">
        <f>"382896"</f>
        <v>382896</v>
      </c>
      <c r="B24309" t="s">
        <v>16651</v>
      </c>
      <c r="C24309" t="s">
        <v>55</v>
      </c>
      <c r="D24309" s="21" t="s">
        <v>34</v>
      </c>
      <c r="E24309" s="21" t="s">
        <v>71</v>
      </c>
      <c r="F24309">
        <v>1380262</v>
      </c>
      <c r="G24309" t="s">
        <v>1216</v>
      </c>
      <c r="H24309" s="21">
        <v>658.67</v>
      </c>
    </row>
    <row r="24310" spans="1:8" customFormat="1" x14ac:dyDescent="0.25">
      <c r="A24310" t="str">
        <f>"2215478"</f>
        <v>2215478</v>
      </c>
      <c r="B24310" t="s">
        <v>13198</v>
      </c>
      <c r="C24310" t="s">
        <v>204</v>
      </c>
      <c r="D24310" s="21" t="s">
        <v>34</v>
      </c>
      <c r="E24310" s="21" t="s">
        <v>35</v>
      </c>
      <c r="F24310">
        <v>3350130</v>
      </c>
      <c r="G24310" t="s">
        <v>7335</v>
      </c>
      <c r="H24310" s="21">
        <v>658.67</v>
      </c>
    </row>
    <row r="24311" spans="1:8" customFormat="1" x14ac:dyDescent="0.25">
      <c r="A24311" t="str">
        <f>"3559"</f>
        <v>3559</v>
      </c>
      <c r="B24311" t="s">
        <v>18285</v>
      </c>
      <c r="C24311" t="s">
        <v>114</v>
      </c>
      <c r="D24311" s="21" t="s">
        <v>34</v>
      </c>
      <c r="E24311" s="21" t="s">
        <v>71</v>
      </c>
      <c r="F24311">
        <v>3350050</v>
      </c>
      <c r="G24311" t="s">
        <v>6931</v>
      </c>
      <c r="H24311" s="21">
        <v>658.67</v>
      </c>
    </row>
    <row r="24312" spans="1:8" customFormat="1" x14ac:dyDescent="0.25">
      <c r="A24312" t="str">
        <f>"419912"</f>
        <v>419912</v>
      </c>
      <c r="B24312" t="s">
        <v>19662</v>
      </c>
      <c r="C24312" t="s">
        <v>33</v>
      </c>
      <c r="D24312" s="21" t="s">
        <v>34</v>
      </c>
      <c r="E24312" s="21" t="s">
        <v>35</v>
      </c>
      <c r="F24312">
        <v>4410615</v>
      </c>
      <c r="G24312" t="s">
        <v>4897</v>
      </c>
      <c r="H24312" s="21">
        <v>658.67</v>
      </c>
    </row>
    <row r="24313" spans="1:8" customFormat="1" x14ac:dyDescent="0.25">
      <c r="A24313" t="str">
        <f>"4218751"</f>
        <v>4218751</v>
      </c>
      <c r="B24313" t="s">
        <v>20397</v>
      </c>
      <c r="C24313" t="s">
        <v>206</v>
      </c>
      <c r="D24313" s="21" t="s">
        <v>34</v>
      </c>
      <c r="E24313" s="21" t="s">
        <v>35</v>
      </c>
      <c r="F24313">
        <v>1420153</v>
      </c>
      <c r="G24313" t="s">
        <v>8897</v>
      </c>
      <c r="H24313" s="21">
        <v>658.67</v>
      </c>
    </row>
    <row r="24314" spans="1:8" customFormat="1" x14ac:dyDescent="0.25">
      <c r="A24314" t="str">
        <f>"7634760"</f>
        <v>7634760</v>
      </c>
      <c r="B24314" t="s">
        <v>1099</v>
      </c>
      <c r="C24314" t="s">
        <v>2806</v>
      </c>
      <c r="D24314" s="21" t="s">
        <v>34</v>
      </c>
      <c r="E24314" s="21" t="s">
        <v>71</v>
      </c>
      <c r="F24314">
        <v>9760415</v>
      </c>
      <c r="G24314" t="s">
        <v>4541</v>
      </c>
      <c r="H24314" s="21">
        <v>658.67</v>
      </c>
    </row>
    <row r="24315" spans="1:8" customFormat="1" x14ac:dyDescent="0.25">
      <c r="A24315" t="str">
        <f>"066539"</f>
        <v>066539</v>
      </c>
      <c r="B24315" t="s">
        <v>12306</v>
      </c>
      <c r="C24315" t="s">
        <v>204</v>
      </c>
      <c r="D24315" s="21" t="s">
        <v>34</v>
      </c>
      <c r="E24315" s="21" t="s">
        <v>35</v>
      </c>
      <c r="F24315">
        <v>13060066</v>
      </c>
      <c r="G24315" t="s">
        <v>2556</v>
      </c>
      <c r="H24315" s="21">
        <v>658.67</v>
      </c>
    </row>
    <row r="24316" spans="1:8" customFormat="1" x14ac:dyDescent="0.25">
      <c r="A24316" t="str">
        <f>"034792"</f>
        <v>034792</v>
      </c>
      <c r="B24316" t="s">
        <v>8932</v>
      </c>
      <c r="C24316" t="s">
        <v>209</v>
      </c>
      <c r="D24316" s="21" t="s">
        <v>34</v>
      </c>
      <c r="E24316" s="21" t="s">
        <v>71</v>
      </c>
      <c r="F24316">
        <v>4180729</v>
      </c>
      <c r="G24316" t="s">
        <v>15734</v>
      </c>
      <c r="H24316" s="21">
        <v>658.67</v>
      </c>
    </row>
    <row r="24317" spans="1:8" customFormat="1" x14ac:dyDescent="0.25">
      <c r="A24317" t="str">
        <f>"7610877"</f>
        <v>7610877</v>
      </c>
      <c r="B24317" t="s">
        <v>15290</v>
      </c>
      <c r="C24317" t="s">
        <v>87</v>
      </c>
      <c r="D24317" s="21" t="s">
        <v>34</v>
      </c>
      <c r="E24317" s="21" t="s">
        <v>35</v>
      </c>
      <c r="F24317">
        <v>9760157</v>
      </c>
      <c r="G24317" t="s">
        <v>3412</v>
      </c>
      <c r="H24317" s="21">
        <v>658.67</v>
      </c>
    </row>
    <row r="24318" spans="1:8" customFormat="1" x14ac:dyDescent="0.25">
      <c r="A24318" t="str">
        <f>"2515659"</f>
        <v>2515659</v>
      </c>
      <c r="B24318" t="s">
        <v>1531</v>
      </c>
      <c r="C24318" t="s">
        <v>40</v>
      </c>
      <c r="D24318" s="21" t="s">
        <v>34</v>
      </c>
      <c r="E24318" s="21" t="s">
        <v>71</v>
      </c>
      <c r="F24318">
        <v>2250217</v>
      </c>
      <c r="G24318" t="s">
        <v>11815</v>
      </c>
      <c r="H24318" s="21">
        <v>658.67</v>
      </c>
    </row>
    <row r="24319" spans="1:8" customFormat="1" x14ac:dyDescent="0.25">
      <c r="A24319" t="str">
        <f>"331951"</f>
        <v>331951</v>
      </c>
      <c r="B24319" t="s">
        <v>17847</v>
      </c>
      <c r="C24319" t="s">
        <v>239</v>
      </c>
      <c r="D24319" s="21" t="s">
        <v>34</v>
      </c>
      <c r="E24319" s="21" t="s">
        <v>1089</v>
      </c>
      <c r="F24319">
        <v>10330025</v>
      </c>
      <c r="G24319" t="s">
        <v>4450</v>
      </c>
      <c r="H24319" s="21">
        <v>658.67</v>
      </c>
    </row>
    <row r="24320" spans="1:8" customFormat="1" x14ac:dyDescent="0.25">
      <c r="A24320" t="str">
        <f>"3529152"</f>
        <v>3529152</v>
      </c>
      <c r="B24320" t="s">
        <v>1611</v>
      </c>
      <c r="C24320" t="s">
        <v>33</v>
      </c>
      <c r="D24320" s="21" t="s">
        <v>34</v>
      </c>
      <c r="E24320" s="21" t="s">
        <v>71</v>
      </c>
      <c r="F24320">
        <v>3350210</v>
      </c>
      <c r="G24320" t="s">
        <v>12171</v>
      </c>
      <c r="H24320" s="21">
        <v>658.67</v>
      </c>
    </row>
    <row r="24321" spans="1:8" customFormat="1" x14ac:dyDescent="0.25">
      <c r="A24321" t="str">
        <f>"051200"</f>
        <v>051200</v>
      </c>
      <c r="B24321" t="s">
        <v>146</v>
      </c>
      <c r="C24321" t="s">
        <v>5009</v>
      </c>
      <c r="D24321" s="21" t="s">
        <v>34</v>
      </c>
      <c r="E24321" s="21" t="s">
        <v>71</v>
      </c>
      <c r="F24321">
        <v>13050008</v>
      </c>
      <c r="G24321" t="s">
        <v>12322</v>
      </c>
      <c r="H24321" s="21">
        <v>658.67</v>
      </c>
    </row>
    <row r="24322" spans="1:8" customFormat="1" x14ac:dyDescent="0.25">
      <c r="A24322" t="str">
        <f>"878469"</f>
        <v>878469</v>
      </c>
      <c r="B24322" t="s">
        <v>18966</v>
      </c>
      <c r="C24322" t="s">
        <v>462</v>
      </c>
      <c r="D24322" s="21" t="s">
        <v>34</v>
      </c>
      <c r="E24322" s="21" t="s">
        <v>71</v>
      </c>
      <c r="F24322">
        <v>10870029</v>
      </c>
      <c r="G24322" t="s">
        <v>15820</v>
      </c>
      <c r="H24322" s="21">
        <v>658.54</v>
      </c>
    </row>
    <row r="24323" spans="1:8" customFormat="1" x14ac:dyDescent="0.25">
      <c r="A24323" t="str">
        <f>"3312823"</f>
        <v>3312823</v>
      </c>
      <c r="B24323" t="s">
        <v>3146</v>
      </c>
      <c r="C24323" t="s">
        <v>209</v>
      </c>
      <c r="D24323" s="21" t="s">
        <v>34</v>
      </c>
      <c r="E24323" s="21" t="s">
        <v>71</v>
      </c>
      <c r="F24323">
        <v>10330061</v>
      </c>
      <c r="G24323" t="s">
        <v>17729</v>
      </c>
      <c r="H24323" s="21">
        <v>658.54</v>
      </c>
    </row>
    <row r="24324" spans="1:8" customFormat="1" x14ac:dyDescent="0.25">
      <c r="A24324" t="str">
        <f>"7727501"</f>
        <v>7727501</v>
      </c>
      <c r="B24324" t="s">
        <v>16370</v>
      </c>
      <c r="C24324" t="s">
        <v>3393</v>
      </c>
      <c r="D24324" s="21" t="s">
        <v>34</v>
      </c>
      <c r="E24324" s="21" t="s">
        <v>35</v>
      </c>
      <c r="F24324">
        <v>8771201</v>
      </c>
      <c r="G24324" t="s">
        <v>9153</v>
      </c>
      <c r="H24324" s="21">
        <v>658.5</v>
      </c>
    </row>
    <row r="24325" spans="1:8" customFormat="1" x14ac:dyDescent="0.25">
      <c r="A24325" t="str">
        <f>"219407"</f>
        <v>219407</v>
      </c>
      <c r="B24325" t="s">
        <v>427</v>
      </c>
      <c r="C24325" t="s">
        <v>462</v>
      </c>
      <c r="D24325" s="21" t="s">
        <v>34</v>
      </c>
      <c r="E24325" s="21" t="s">
        <v>71</v>
      </c>
      <c r="F24325">
        <v>2390022</v>
      </c>
      <c r="G24325" t="s">
        <v>17032</v>
      </c>
      <c r="H24325" s="21">
        <v>658.42</v>
      </c>
    </row>
    <row r="24326" spans="1:8" customFormat="1" x14ac:dyDescent="0.25">
      <c r="A24326" t="str">
        <f>"442824"</f>
        <v>442824</v>
      </c>
      <c r="B24326" t="s">
        <v>16930</v>
      </c>
      <c r="C24326" t="s">
        <v>3010</v>
      </c>
      <c r="D24326" s="21" t="s">
        <v>34</v>
      </c>
      <c r="E24326" s="21" t="s">
        <v>1089</v>
      </c>
      <c r="F24326">
        <v>12440021</v>
      </c>
      <c r="G24326" t="s">
        <v>429</v>
      </c>
      <c r="H24326" s="21">
        <v>658.42</v>
      </c>
    </row>
    <row r="24327" spans="1:8" customFormat="1" x14ac:dyDescent="0.25">
      <c r="A24327" t="str">
        <f>"149956"</f>
        <v>149956</v>
      </c>
      <c r="B24327" t="s">
        <v>17594</v>
      </c>
      <c r="C24327" t="s">
        <v>576</v>
      </c>
      <c r="D24327" s="21" t="s">
        <v>34</v>
      </c>
      <c r="E24327" s="21" t="s">
        <v>71</v>
      </c>
      <c r="F24327">
        <v>9140162</v>
      </c>
      <c r="G24327" t="s">
        <v>7663</v>
      </c>
      <c r="H24327" s="21">
        <v>658.17</v>
      </c>
    </row>
    <row r="24328" spans="1:8" customFormat="1" x14ac:dyDescent="0.25">
      <c r="A24328" t="str">
        <f>"6710435"</f>
        <v>6710435</v>
      </c>
      <c r="B24328" t="s">
        <v>19878</v>
      </c>
      <c r="C24328" t="s">
        <v>631</v>
      </c>
      <c r="D24328" s="21" t="s">
        <v>34</v>
      </c>
      <c r="E24328" s="21" t="s">
        <v>35</v>
      </c>
      <c r="F24328">
        <v>6670246</v>
      </c>
      <c r="G24328" t="s">
        <v>7707</v>
      </c>
      <c r="H24328" s="21">
        <v>658.17</v>
      </c>
    </row>
    <row r="24329" spans="1:8" customFormat="1" x14ac:dyDescent="0.25">
      <c r="A24329" t="str">
        <f>"0210309"</f>
        <v>0210309</v>
      </c>
      <c r="B24329" t="s">
        <v>2106</v>
      </c>
      <c r="C24329" t="s">
        <v>40</v>
      </c>
      <c r="D24329" s="21" t="s">
        <v>34</v>
      </c>
      <c r="E24329" s="21" t="s">
        <v>71</v>
      </c>
      <c r="F24329">
        <v>7020036</v>
      </c>
      <c r="G24329" t="s">
        <v>8431</v>
      </c>
      <c r="H24329" s="21">
        <v>658.17</v>
      </c>
    </row>
    <row r="24330" spans="1:8" customFormat="1" x14ac:dyDescent="0.25">
      <c r="A24330" t="str">
        <f>"5964"</f>
        <v>5964</v>
      </c>
      <c r="B24330" t="s">
        <v>15800</v>
      </c>
      <c r="C24330" t="s">
        <v>879</v>
      </c>
      <c r="D24330" s="21" t="s">
        <v>34</v>
      </c>
      <c r="E24330" s="21" t="s">
        <v>254</v>
      </c>
      <c r="F24330">
        <v>7590003</v>
      </c>
      <c r="G24330" t="s">
        <v>1166</v>
      </c>
      <c r="H24330" s="21">
        <v>658.17</v>
      </c>
    </row>
    <row r="24331" spans="1:8" customFormat="1" x14ac:dyDescent="0.25">
      <c r="A24331" t="str">
        <f>"311922"</f>
        <v>311922</v>
      </c>
      <c r="B24331" t="s">
        <v>18186</v>
      </c>
      <c r="C24331" t="s">
        <v>2904</v>
      </c>
      <c r="D24331" s="21" t="s">
        <v>34</v>
      </c>
      <c r="E24331" s="21" t="s">
        <v>254</v>
      </c>
      <c r="F24331">
        <v>11460023</v>
      </c>
      <c r="G24331" t="s">
        <v>5430</v>
      </c>
      <c r="H24331" s="21">
        <v>658.17</v>
      </c>
    </row>
    <row r="24332" spans="1:8" customFormat="1" x14ac:dyDescent="0.25">
      <c r="A24332" t="str">
        <f>"3830156"</f>
        <v>3830156</v>
      </c>
      <c r="B24332" t="s">
        <v>7867</v>
      </c>
      <c r="C24332" t="s">
        <v>55</v>
      </c>
      <c r="D24332" s="21" t="s">
        <v>34</v>
      </c>
      <c r="E24332" s="21" t="s">
        <v>71</v>
      </c>
      <c r="F24332">
        <v>1380298</v>
      </c>
      <c r="G24332" t="s">
        <v>5868</v>
      </c>
      <c r="H24332" s="21">
        <v>658.17</v>
      </c>
    </row>
    <row r="24333" spans="1:8" customFormat="1" x14ac:dyDescent="0.25">
      <c r="A24333" t="str">
        <f>"688381"</f>
        <v>688381</v>
      </c>
      <c r="B24333" t="s">
        <v>17937</v>
      </c>
      <c r="C24333" t="s">
        <v>130</v>
      </c>
      <c r="D24333" s="21" t="s">
        <v>34</v>
      </c>
      <c r="E24333" s="21" t="s">
        <v>254</v>
      </c>
      <c r="F24333">
        <v>6680071</v>
      </c>
      <c r="G24333" t="s">
        <v>2899</v>
      </c>
      <c r="H24333" s="21">
        <v>658.17</v>
      </c>
    </row>
    <row r="24334" spans="1:8" customFormat="1" x14ac:dyDescent="0.25">
      <c r="A24334" t="str">
        <f>"4931784"</f>
        <v>4931784</v>
      </c>
      <c r="B24334" t="s">
        <v>2043</v>
      </c>
      <c r="C24334" t="s">
        <v>1220</v>
      </c>
      <c r="D24334" s="21" t="s">
        <v>34</v>
      </c>
      <c r="E24334" s="21" t="s">
        <v>35</v>
      </c>
      <c r="F24334">
        <v>12490014</v>
      </c>
      <c r="G24334" t="s">
        <v>8547</v>
      </c>
      <c r="H24334" s="21">
        <v>658.17</v>
      </c>
    </row>
    <row r="24335" spans="1:8" customFormat="1" x14ac:dyDescent="0.25">
      <c r="A24335" t="str">
        <f>"7222116"</f>
        <v>7222116</v>
      </c>
      <c r="B24335" t="s">
        <v>2487</v>
      </c>
      <c r="C24335" t="s">
        <v>209</v>
      </c>
      <c r="D24335" s="21" t="s">
        <v>34</v>
      </c>
      <c r="E24335" s="21" t="s">
        <v>71</v>
      </c>
      <c r="F24335">
        <v>12720108</v>
      </c>
      <c r="G24335" t="s">
        <v>27287</v>
      </c>
      <c r="H24335" s="21">
        <v>658.17</v>
      </c>
    </row>
    <row r="24336" spans="1:8" customFormat="1" x14ac:dyDescent="0.25">
      <c r="A24336" t="str">
        <f>"3816544"</f>
        <v>3816544</v>
      </c>
      <c r="B24336" t="s">
        <v>18901</v>
      </c>
      <c r="C24336" t="s">
        <v>4842</v>
      </c>
      <c r="D24336" s="21" t="s">
        <v>34</v>
      </c>
      <c r="E24336" s="21" t="s">
        <v>1089</v>
      </c>
      <c r="F24336">
        <v>1380157</v>
      </c>
      <c r="G24336" t="s">
        <v>9044</v>
      </c>
      <c r="H24336" s="21">
        <v>658.17</v>
      </c>
    </row>
    <row r="24337" spans="1:8" customFormat="1" x14ac:dyDescent="0.25">
      <c r="A24337" t="str">
        <f>"7638810"</f>
        <v>7638810</v>
      </c>
      <c r="B24337" t="s">
        <v>18637</v>
      </c>
      <c r="C24337" t="s">
        <v>1199</v>
      </c>
      <c r="D24337" s="21" t="s">
        <v>34</v>
      </c>
      <c r="E24337" s="21" t="s">
        <v>254</v>
      </c>
      <c r="F24337">
        <v>9760447</v>
      </c>
      <c r="G24337" t="s">
        <v>5942</v>
      </c>
      <c r="H24337" s="21">
        <v>658.17</v>
      </c>
    </row>
    <row r="24338" spans="1:8" customFormat="1" x14ac:dyDescent="0.25">
      <c r="A24338" t="str">
        <f>"2928552"</f>
        <v>2928552</v>
      </c>
      <c r="B24338" t="s">
        <v>19283</v>
      </c>
      <c r="C24338" t="s">
        <v>209</v>
      </c>
      <c r="D24338" s="21" t="s">
        <v>34</v>
      </c>
      <c r="E24338" s="21" t="s">
        <v>71</v>
      </c>
      <c r="F24338">
        <v>3290237</v>
      </c>
      <c r="G24338" t="s">
        <v>8731</v>
      </c>
      <c r="H24338" s="21">
        <v>658.17</v>
      </c>
    </row>
    <row r="24339" spans="1:8" customFormat="1" x14ac:dyDescent="0.25">
      <c r="A24339" t="str">
        <f>"36210"</f>
        <v>36210</v>
      </c>
      <c r="B24339" t="s">
        <v>10812</v>
      </c>
      <c r="C24339" t="s">
        <v>2232</v>
      </c>
      <c r="D24339" s="21" t="s">
        <v>34</v>
      </c>
      <c r="E24339" s="21" t="s">
        <v>1089</v>
      </c>
      <c r="F24339">
        <v>4360454</v>
      </c>
      <c r="G24339" t="s">
        <v>637</v>
      </c>
      <c r="H24339" s="21">
        <v>658.17</v>
      </c>
    </row>
    <row r="24340" spans="1:8" customFormat="1" x14ac:dyDescent="0.25">
      <c r="A24340" t="str">
        <f>"5019384"</f>
        <v>5019384</v>
      </c>
      <c r="B24340" t="s">
        <v>18797</v>
      </c>
      <c r="C24340" t="s">
        <v>204</v>
      </c>
      <c r="D24340" s="21" t="s">
        <v>34</v>
      </c>
      <c r="E24340" s="21" t="s">
        <v>35</v>
      </c>
      <c r="F24340">
        <v>9500088</v>
      </c>
      <c r="G24340" t="s">
        <v>15949</v>
      </c>
      <c r="H24340" s="21">
        <v>658.17</v>
      </c>
    </row>
    <row r="24341" spans="1:8" customFormat="1" x14ac:dyDescent="0.25">
      <c r="A24341" t="str">
        <f>"368300"</f>
        <v>368300</v>
      </c>
      <c r="B24341" t="s">
        <v>23996</v>
      </c>
      <c r="C24341" t="s">
        <v>302</v>
      </c>
      <c r="D24341" s="21" t="s">
        <v>34</v>
      </c>
      <c r="E24341" s="21" t="s">
        <v>35</v>
      </c>
      <c r="F24341">
        <v>4360315</v>
      </c>
      <c r="G24341" t="s">
        <v>6888</v>
      </c>
      <c r="H24341" s="21">
        <v>658.17</v>
      </c>
    </row>
    <row r="24342" spans="1:8" customFormat="1" x14ac:dyDescent="0.25">
      <c r="A24342" t="str">
        <f>"2717839"</f>
        <v>2717839</v>
      </c>
      <c r="B24342" t="s">
        <v>19497</v>
      </c>
      <c r="C24342" t="s">
        <v>598</v>
      </c>
      <c r="D24342" s="21" t="s">
        <v>34</v>
      </c>
      <c r="E24342" s="21" t="s">
        <v>254</v>
      </c>
      <c r="F24342">
        <v>9270162</v>
      </c>
      <c r="G24342" t="s">
        <v>1865</v>
      </c>
      <c r="H24342" s="21">
        <v>658.17</v>
      </c>
    </row>
    <row r="24343" spans="1:8" customFormat="1" x14ac:dyDescent="0.25">
      <c r="A24343" t="str">
        <f>"316153"</f>
        <v>316153</v>
      </c>
      <c r="B24343" t="s">
        <v>17348</v>
      </c>
      <c r="C24343" t="s">
        <v>985</v>
      </c>
      <c r="D24343" s="21" t="s">
        <v>34</v>
      </c>
      <c r="E24343" s="21" t="s">
        <v>71</v>
      </c>
      <c r="F24343">
        <v>11310008</v>
      </c>
      <c r="G24343" t="s">
        <v>4269</v>
      </c>
      <c r="H24343" s="21">
        <v>658.17</v>
      </c>
    </row>
    <row r="24344" spans="1:8" customFormat="1" x14ac:dyDescent="0.25">
      <c r="A24344" t="str">
        <f>"514072"</f>
        <v>514072</v>
      </c>
      <c r="B24344" t="s">
        <v>18790</v>
      </c>
      <c r="C24344" t="s">
        <v>239</v>
      </c>
      <c r="D24344" s="21" t="s">
        <v>34</v>
      </c>
      <c r="E24344" s="21" t="s">
        <v>254</v>
      </c>
      <c r="F24344">
        <v>6510071</v>
      </c>
      <c r="G24344" t="s">
        <v>3031</v>
      </c>
      <c r="H24344" s="21">
        <v>658.17</v>
      </c>
    </row>
    <row r="24345" spans="1:8" customFormat="1" x14ac:dyDescent="0.25">
      <c r="A24345" t="str">
        <f>"5015247"</f>
        <v>5015247</v>
      </c>
      <c r="B24345" t="s">
        <v>6024</v>
      </c>
      <c r="C24345" t="s">
        <v>33</v>
      </c>
      <c r="D24345" s="21" t="s">
        <v>34</v>
      </c>
      <c r="E24345" s="21" t="s">
        <v>35</v>
      </c>
      <c r="F24345">
        <v>9500143</v>
      </c>
      <c r="G24345" t="s">
        <v>2884</v>
      </c>
      <c r="H24345" s="21">
        <v>658.17</v>
      </c>
    </row>
    <row r="24346" spans="1:8" customFormat="1" x14ac:dyDescent="0.25">
      <c r="A24346" t="str">
        <f>"027734"</f>
        <v>027734</v>
      </c>
      <c r="B24346" t="s">
        <v>19049</v>
      </c>
      <c r="C24346" t="s">
        <v>267</v>
      </c>
      <c r="D24346" s="21" t="s">
        <v>34</v>
      </c>
      <c r="E24346" s="21" t="s">
        <v>71</v>
      </c>
      <c r="F24346">
        <v>7020062</v>
      </c>
      <c r="G24346" t="s">
        <v>1505</v>
      </c>
      <c r="H24346" s="21">
        <v>658.17</v>
      </c>
    </row>
    <row r="24347" spans="1:8" customFormat="1" x14ac:dyDescent="0.25">
      <c r="A24347" t="str">
        <f>"676185"</f>
        <v>676185</v>
      </c>
      <c r="B24347" t="s">
        <v>2038</v>
      </c>
      <c r="C24347" t="s">
        <v>379</v>
      </c>
      <c r="D24347" s="21" t="s">
        <v>34</v>
      </c>
      <c r="E24347" s="21" t="s">
        <v>254</v>
      </c>
      <c r="F24347">
        <v>6670149</v>
      </c>
      <c r="G24347" t="s">
        <v>4404</v>
      </c>
      <c r="H24347" s="21">
        <v>658.17</v>
      </c>
    </row>
    <row r="24348" spans="1:8" customFormat="1" x14ac:dyDescent="0.25">
      <c r="A24348" t="str">
        <f>"535526"</f>
        <v>535526</v>
      </c>
      <c r="B24348" t="s">
        <v>17123</v>
      </c>
      <c r="C24348" t="s">
        <v>2100</v>
      </c>
      <c r="D24348" s="21" t="s">
        <v>34</v>
      </c>
      <c r="E24348" s="21" t="s">
        <v>254</v>
      </c>
      <c r="F24348">
        <v>12530106</v>
      </c>
      <c r="G24348" t="s">
        <v>27079</v>
      </c>
      <c r="H24348" s="21">
        <v>658.17</v>
      </c>
    </row>
    <row r="24349" spans="1:8" customFormat="1" x14ac:dyDescent="0.25">
      <c r="A24349" t="str">
        <f>"1710701"</f>
        <v>1710701</v>
      </c>
      <c r="B24349" t="s">
        <v>16912</v>
      </c>
      <c r="C24349" t="s">
        <v>40</v>
      </c>
      <c r="D24349" s="21" t="s">
        <v>34</v>
      </c>
      <c r="E24349" s="21" t="s">
        <v>254</v>
      </c>
      <c r="F24349">
        <v>10170223</v>
      </c>
      <c r="G24349" t="s">
        <v>7057</v>
      </c>
      <c r="H24349" s="21">
        <v>658.17</v>
      </c>
    </row>
    <row r="24350" spans="1:8" customFormat="1" x14ac:dyDescent="0.25">
      <c r="A24350" t="str">
        <f>"848083"</f>
        <v>848083</v>
      </c>
      <c r="B24350" t="s">
        <v>20117</v>
      </c>
      <c r="C24350" t="s">
        <v>169</v>
      </c>
      <c r="D24350" s="21" t="s">
        <v>34</v>
      </c>
      <c r="E24350" s="21" t="s">
        <v>254</v>
      </c>
      <c r="F24350">
        <v>13840062</v>
      </c>
      <c r="G24350" t="s">
        <v>17239</v>
      </c>
      <c r="H24350" s="21">
        <v>658.17</v>
      </c>
    </row>
    <row r="24351" spans="1:8" customFormat="1" x14ac:dyDescent="0.25">
      <c r="A24351" t="str">
        <f>"4216867"</f>
        <v>4216867</v>
      </c>
      <c r="B24351" t="s">
        <v>1405</v>
      </c>
      <c r="C24351" t="s">
        <v>510</v>
      </c>
      <c r="D24351" s="21" t="s">
        <v>34</v>
      </c>
      <c r="E24351" s="21" t="s">
        <v>254</v>
      </c>
      <c r="F24351">
        <v>1420108</v>
      </c>
      <c r="G24351" t="s">
        <v>9177</v>
      </c>
      <c r="H24351" s="21">
        <v>658.17</v>
      </c>
    </row>
    <row r="24352" spans="1:8" customFormat="1" x14ac:dyDescent="0.25">
      <c r="A24352" t="str">
        <f>"8013521"</f>
        <v>8013521</v>
      </c>
      <c r="B24352" t="s">
        <v>17935</v>
      </c>
      <c r="C24352" t="s">
        <v>1142</v>
      </c>
      <c r="D24352" s="21" t="s">
        <v>34</v>
      </c>
      <c r="E24352" s="21" t="s">
        <v>71</v>
      </c>
      <c r="F24352">
        <v>7800071</v>
      </c>
      <c r="G24352" t="s">
        <v>9109</v>
      </c>
      <c r="H24352" s="21">
        <v>658.17</v>
      </c>
    </row>
    <row r="24353" spans="1:8" customFormat="1" x14ac:dyDescent="0.25">
      <c r="A24353" t="str">
        <f>"5950110"</f>
        <v>5950110</v>
      </c>
      <c r="B24353" t="s">
        <v>16342</v>
      </c>
      <c r="C24353" t="s">
        <v>98</v>
      </c>
      <c r="D24353" s="21" t="s">
        <v>34</v>
      </c>
      <c r="E24353" s="21" t="s">
        <v>35</v>
      </c>
      <c r="F24353">
        <v>7590259</v>
      </c>
      <c r="G24353" t="s">
        <v>6385</v>
      </c>
      <c r="H24353" s="21">
        <v>658.17</v>
      </c>
    </row>
    <row r="24354" spans="1:8" customFormat="1" x14ac:dyDescent="0.25">
      <c r="A24354" t="str">
        <f>"7712490"</f>
        <v>7712490</v>
      </c>
      <c r="B24354" t="s">
        <v>17763</v>
      </c>
      <c r="C24354" t="s">
        <v>926</v>
      </c>
      <c r="D24354" s="21" t="s">
        <v>34</v>
      </c>
      <c r="E24354" s="21" t="s">
        <v>71</v>
      </c>
      <c r="F24354">
        <v>8771394</v>
      </c>
      <c r="G24354" t="s">
        <v>1933</v>
      </c>
      <c r="H24354" s="21">
        <v>658.04</v>
      </c>
    </row>
    <row r="24355" spans="1:8" customFormat="1" x14ac:dyDescent="0.25">
      <c r="A24355" t="str">
        <f>"6022810"</f>
        <v>6022810</v>
      </c>
      <c r="B24355" t="s">
        <v>6659</v>
      </c>
      <c r="C24355" t="s">
        <v>209</v>
      </c>
      <c r="D24355" s="21" t="s">
        <v>34</v>
      </c>
      <c r="E24355" s="21" t="s">
        <v>71</v>
      </c>
      <c r="F24355">
        <v>7600031</v>
      </c>
      <c r="G24355" t="s">
        <v>3283</v>
      </c>
      <c r="H24355" s="21">
        <v>657.92</v>
      </c>
    </row>
    <row r="24356" spans="1:8" customFormat="1" x14ac:dyDescent="0.25">
      <c r="A24356" t="str">
        <f>"3337663"</f>
        <v>3337663</v>
      </c>
      <c r="B24356" t="s">
        <v>18800</v>
      </c>
      <c r="C24356" t="s">
        <v>608</v>
      </c>
      <c r="D24356" s="21" t="s">
        <v>34</v>
      </c>
      <c r="E24356" s="21" t="s">
        <v>35</v>
      </c>
      <c r="F24356">
        <v>10330098</v>
      </c>
      <c r="G24356" t="s">
        <v>8299</v>
      </c>
      <c r="H24356" s="21">
        <v>657.79</v>
      </c>
    </row>
    <row r="24357" spans="1:8" customFormat="1" x14ac:dyDescent="0.25">
      <c r="A24357" t="str">
        <f>"187949"</f>
        <v>187949</v>
      </c>
      <c r="B24357" t="s">
        <v>17925</v>
      </c>
      <c r="C24357" t="s">
        <v>114</v>
      </c>
      <c r="D24357" s="21" t="s">
        <v>34</v>
      </c>
      <c r="E24357" s="21" t="s">
        <v>71</v>
      </c>
      <c r="F24357">
        <v>4360009</v>
      </c>
      <c r="G24357" t="s">
        <v>6259</v>
      </c>
      <c r="H24357" s="21">
        <v>657.79</v>
      </c>
    </row>
    <row r="24358" spans="1:8" customFormat="1" x14ac:dyDescent="0.25">
      <c r="A24358" t="str">
        <f>"9131256"</f>
        <v>9131256</v>
      </c>
      <c r="B24358" t="s">
        <v>2746</v>
      </c>
      <c r="C24358" t="s">
        <v>253</v>
      </c>
      <c r="D24358" s="21" t="s">
        <v>34</v>
      </c>
      <c r="E24358" s="21" t="s">
        <v>71</v>
      </c>
      <c r="F24358">
        <v>8910876</v>
      </c>
      <c r="G24358" t="s">
        <v>1721</v>
      </c>
      <c r="H24358" s="21">
        <v>657.67</v>
      </c>
    </row>
    <row r="24359" spans="1:8" customFormat="1" x14ac:dyDescent="0.25">
      <c r="A24359" t="str">
        <f>"4525640"</f>
        <v>4525640</v>
      </c>
      <c r="B24359" t="s">
        <v>20567</v>
      </c>
      <c r="C24359" t="s">
        <v>209</v>
      </c>
      <c r="D24359" s="21" t="s">
        <v>34</v>
      </c>
      <c r="E24359" s="21" t="s">
        <v>71</v>
      </c>
      <c r="F24359">
        <v>4450617</v>
      </c>
      <c r="G24359" t="s">
        <v>4708</v>
      </c>
      <c r="H24359" s="21">
        <v>657.67</v>
      </c>
    </row>
    <row r="24360" spans="1:8" customFormat="1" x14ac:dyDescent="0.25">
      <c r="A24360" t="str">
        <f>"461414"</f>
        <v>461414</v>
      </c>
      <c r="B24360" t="s">
        <v>13899</v>
      </c>
      <c r="C24360" t="s">
        <v>3905</v>
      </c>
      <c r="D24360" s="21" t="s">
        <v>34</v>
      </c>
      <c r="E24360" s="21" t="s">
        <v>71</v>
      </c>
      <c r="F24360">
        <v>11460021</v>
      </c>
      <c r="G24360" t="s">
        <v>6727</v>
      </c>
      <c r="H24360" s="21">
        <v>657.67</v>
      </c>
    </row>
    <row r="24361" spans="1:8" customFormat="1" x14ac:dyDescent="0.25">
      <c r="A24361" t="str">
        <f>"4923653"</f>
        <v>4923653</v>
      </c>
      <c r="B24361" t="s">
        <v>19603</v>
      </c>
      <c r="C24361" t="s">
        <v>275</v>
      </c>
      <c r="D24361" s="21" t="s">
        <v>34</v>
      </c>
      <c r="E24361" s="21" t="s">
        <v>35</v>
      </c>
      <c r="F24361">
        <v>12490064</v>
      </c>
      <c r="G24361" t="s">
        <v>8425</v>
      </c>
      <c r="H24361" s="21">
        <v>657.67</v>
      </c>
    </row>
    <row r="24362" spans="1:8" customFormat="1" x14ac:dyDescent="0.25">
      <c r="A24362" t="str">
        <f>"197131"</f>
        <v>197131</v>
      </c>
      <c r="B24362" t="s">
        <v>17645</v>
      </c>
      <c r="C24362" t="s">
        <v>1146</v>
      </c>
      <c r="D24362" s="21" t="s">
        <v>34</v>
      </c>
      <c r="E24362" s="21" t="s">
        <v>71</v>
      </c>
      <c r="F24362">
        <v>10190129</v>
      </c>
      <c r="G24362" t="s">
        <v>16206</v>
      </c>
      <c r="H24362" s="21">
        <v>657.67</v>
      </c>
    </row>
    <row r="24363" spans="1:8" customFormat="1" x14ac:dyDescent="0.25">
      <c r="A24363" t="str">
        <f>"1715509"</f>
        <v>1715509</v>
      </c>
      <c r="B24363" t="s">
        <v>3976</v>
      </c>
      <c r="C24363" t="s">
        <v>263</v>
      </c>
      <c r="D24363" s="21" t="s">
        <v>34</v>
      </c>
      <c r="E24363" s="21" t="s">
        <v>254</v>
      </c>
      <c r="F24363">
        <v>10170064</v>
      </c>
      <c r="G24363" t="s">
        <v>1900</v>
      </c>
      <c r="H24363" s="21">
        <v>657.67</v>
      </c>
    </row>
    <row r="24364" spans="1:8" customFormat="1" x14ac:dyDescent="0.25">
      <c r="A24364" t="str">
        <f>"025147"</f>
        <v>025147</v>
      </c>
      <c r="B24364" t="s">
        <v>18672</v>
      </c>
      <c r="C24364" t="s">
        <v>926</v>
      </c>
      <c r="D24364" s="21" t="s">
        <v>34</v>
      </c>
      <c r="E24364" s="21" t="s">
        <v>254</v>
      </c>
      <c r="F24364">
        <v>7020064</v>
      </c>
      <c r="G24364" t="s">
        <v>8396</v>
      </c>
      <c r="H24364" s="21">
        <v>657.67</v>
      </c>
    </row>
    <row r="24365" spans="1:8" customFormat="1" x14ac:dyDescent="0.25">
      <c r="A24365" t="str">
        <f>"3119010"</f>
        <v>3119010</v>
      </c>
      <c r="B24365" t="s">
        <v>20957</v>
      </c>
      <c r="C24365" t="s">
        <v>204</v>
      </c>
      <c r="D24365" s="21" t="s">
        <v>34</v>
      </c>
      <c r="E24365" s="21" t="s">
        <v>35</v>
      </c>
      <c r="F24365">
        <v>11310126</v>
      </c>
      <c r="G24365" t="s">
        <v>3383</v>
      </c>
      <c r="H24365" s="21">
        <v>657.67</v>
      </c>
    </row>
    <row r="24366" spans="1:8" customFormat="1" x14ac:dyDescent="0.25">
      <c r="A24366" t="str">
        <f>"7627381"</f>
        <v>7627381</v>
      </c>
      <c r="B24366" t="s">
        <v>108</v>
      </c>
      <c r="C24366" t="s">
        <v>109</v>
      </c>
      <c r="D24366" s="21" t="s">
        <v>34</v>
      </c>
      <c r="E24366" s="21" t="s">
        <v>71</v>
      </c>
      <c r="F24366">
        <v>9760374</v>
      </c>
      <c r="G24366" t="s">
        <v>6867</v>
      </c>
      <c r="H24366" s="21">
        <v>657.67</v>
      </c>
    </row>
    <row r="24367" spans="1:8" customFormat="1" x14ac:dyDescent="0.25">
      <c r="A24367" t="str">
        <f>"2929006"</f>
        <v>2929006</v>
      </c>
      <c r="B24367" t="s">
        <v>18826</v>
      </c>
      <c r="C24367" t="s">
        <v>302</v>
      </c>
      <c r="D24367" s="21" t="s">
        <v>34</v>
      </c>
      <c r="E24367" s="21" t="s">
        <v>35</v>
      </c>
      <c r="F24367">
        <v>3290226</v>
      </c>
      <c r="G24367" t="s">
        <v>4637</v>
      </c>
      <c r="H24367" s="21">
        <v>657.67</v>
      </c>
    </row>
    <row r="24368" spans="1:8" customFormat="1" x14ac:dyDescent="0.25">
      <c r="A24368" t="str">
        <f>"101305"</f>
        <v>101305</v>
      </c>
      <c r="B24368" t="s">
        <v>2746</v>
      </c>
      <c r="C24368" t="s">
        <v>2907</v>
      </c>
      <c r="D24368" s="21" t="s">
        <v>34</v>
      </c>
      <c r="E24368" s="21" t="s">
        <v>1089</v>
      </c>
      <c r="F24368">
        <v>6100007</v>
      </c>
      <c r="G24368" t="s">
        <v>9706</v>
      </c>
      <c r="H24368" s="21">
        <v>657.67</v>
      </c>
    </row>
    <row r="24369" spans="1:8" customFormat="1" x14ac:dyDescent="0.25">
      <c r="A24369" t="str">
        <f>"441667"</f>
        <v>441667</v>
      </c>
      <c r="B24369" t="s">
        <v>27787</v>
      </c>
      <c r="C24369" t="s">
        <v>1231</v>
      </c>
      <c r="D24369" s="21" t="s">
        <v>34</v>
      </c>
      <c r="E24369" s="21" t="s">
        <v>1089</v>
      </c>
      <c r="F24369">
        <v>12440038</v>
      </c>
      <c r="G24369" t="s">
        <v>2057</v>
      </c>
      <c r="H24369" s="21">
        <v>657.67</v>
      </c>
    </row>
    <row r="24370" spans="1:8" customFormat="1" x14ac:dyDescent="0.25">
      <c r="A24370" t="str">
        <f>"8016197"</f>
        <v>8016197</v>
      </c>
      <c r="B24370" t="s">
        <v>27788</v>
      </c>
      <c r="C24370" t="s">
        <v>90</v>
      </c>
      <c r="D24370" s="21" t="s">
        <v>34</v>
      </c>
      <c r="E24370" s="21" t="s">
        <v>35</v>
      </c>
      <c r="F24370">
        <v>7800004</v>
      </c>
      <c r="G24370" t="s">
        <v>748</v>
      </c>
      <c r="H24370" s="21">
        <v>657.67</v>
      </c>
    </row>
    <row r="24371" spans="1:8" customFormat="1" x14ac:dyDescent="0.25">
      <c r="A24371" t="str">
        <f>"444500"</f>
        <v>444500</v>
      </c>
      <c r="B24371" t="s">
        <v>18668</v>
      </c>
      <c r="C24371" t="s">
        <v>246</v>
      </c>
      <c r="D24371" s="21" t="s">
        <v>34</v>
      </c>
      <c r="E24371" s="21" t="s">
        <v>71</v>
      </c>
      <c r="F24371">
        <v>12440140</v>
      </c>
      <c r="G24371" t="s">
        <v>11783</v>
      </c>
      <c r="H24371" s="21">
        <v>657.67</v>
      </c>
    </row>
    <row r="24372" spans="1:8" customFormat="1" x14ac:dyDescent="0.25">
      <c r="A24372" t="str">
        <f>"6017546"</f>
        <v>6017546</v>
      </c>
      <c r="B24372" t="s">
        <v>5926</v>
      </c>
      <c r="C24372" t="s">
        <v>249</v>
      </c>
      <c r="D24372" s="21" t="s">
        <v>34</v>
      </c>
      <c r="E24372" s="21" t="s">
        <v>71</v>
      </c>
      <c r="F24372">
        <v>7600134</v>
      </c>
      <c r="G24372" t="s">
        <v>8819</v>
      </c>
      <c r="H24372" s="21">
        <v>657.67</v>
      </c>
    </row>
    <row r="24373" spans="1:8" customFormat="1" x14ac:dyDescent="0.25">
      <c r="A24373" t="str">
        <f>"163557"</f>
        <v>163557</v>
      </c>
      <c r="B24373" t="s">
        <v>10812</v>
      </c>
      <c r="C24373" t="s">
        <v>249</v>
      </c>
      <c r="D24373" s="21" t="s">
        <v>34</v>
      </c>
      <c r="E24373" s="21" t="s">
        <v>254</v>
      </c>
      <c r="F24373">
        <v>10170024</v>
      </c>
      <c r="G24373" t="s">
        <v>16864</v>
      </c>
      <c r="H24373" s="21">
        <v>657.67</v>
      </c>
    </row>
    <row r="24374" spans="1:8" customFormat="1" x14ac:dyDescent="0.25">
      <c r="A24374" t="str">
        <f>"5926983"</f>
        <v>5926983</v>
      </c>
      <c r="B24374" t="s">
        <v>17362</v>
      </c>
      <c r="C24374" t="s">
        <v>3010</v>
      </c>
      <c r="D24374" s="21" t="s">
        <v>34</v>
      </c>
      <c r="E24374" s="21" t="s">
        <v>35</v>
      </c>
      <c r="F24374">
        <v>7590112</v>
      </c>
      <c r="G24374" t="s">
        <v>3534</v>
      </c>
      <c r="H24374" s="21">
        <v>657.67</v>
      </c>
    </row>
    <row r="24375" spans="1:8" customFormat="1" x14ac:dyDescent="0.25">
      <c r="A24375" t="str">
        <f>"7728140"</f>
        <v>7728140</v>
      </c>
      <c r="B24375" t="s">
        <v>2576</v>
      </c>
      <c r="C24375" t="s">
        <v>147</v>
      </c>
      <c r="D24375" s="21" t="s">
        <v>34</v>
      </c>
      <c r="E24375" s="21" t="s">
        <v>35</v>
      </c>
      <c r="F24375">
        <v>8770408</v>
      </c>
      <c r="G24375" t="s">
        <v>212</v>
      </c>
      <c r="H24375" s="21">
        <v>657.67</v>
      </c>
    </row>
    <row r="24376" spans="1:8" customFormat="1" x14ac:dyDescent="0.25">
      <c r="A24376" t="str">
        <f>"125179"</f>
        <v>125179</v>
      </c>
      <c r="B24376" t="s">
        <v>8577</v>
      </c>
      <c r="C24376" t="s">
        <v>156</v>
      </c>
      <c r="D24376" s="21" t="s">
        <v>34</v>
      </c>
      <c r="E24376" s="21" t="s">
        <v>71</v>
      </c>
      <c r="F24376">
        <v>11120004</v>
      </c>
      <c r="G24376" t="s">
        <v>2311</v>
      </c>
      <c r="H24376" s="21">
        <v>657.67</v>
      </c>
    </row>
    <row r="24377" spans="1:8" customFormat="1" x14ac:dyDescent="0.25">
      <c r="A24377" t="str">
        <f>"594279"</f>
        <v>594279</v>
      </c>
      <c r="B24377" t="s">
        <v>18156</v>
      </c>
      <c r="C24377" t="s">
        <v>415</v>
      </c>
      <c r="D24377" s="21" t="s">
        <v>34</v>
      </c>
      <c r="E24377" s="21" t="s">
        <v>1089</v>
      </c>
      <c r="F24377">
        <v>7590228</v>
      </c>
      <c r="G24377" t="s">
        <v>1798</v>
      </c>
      <c r="H24377" s="21">
        <v>657.67</v>
      </c>
    </row>
    <row r="24378" spans="1:8" customFormat="1" x14ac:dyDescent="0.25">
      <c r="A24378" t="str">
        <f>"5951357"</f>
        <v>5951357</v>
      </c>
      <c r="B24378" t="s">
        <v>27789</v>
      </c>
      <c r="C24378" t="s">
        <v>209</v>
      </c>
      <c r="D24378" s="21" t="s">
        <v>34</v>
      </c>
      <c r="E24378" s="21" t="s">
        <v>254</v>
      </c>
      <c r="F24378">
        <v>7620051</v>
      </c>
      <c r="G24378" t="s">
        <v>2741</v>
      </c>
      <c r="H24378" s="21">
        <v>657.67</v>
      </c>
    </row>
    <row r="24379" spans="1:8" customFormat="1" x14ac:dyDescent="0.25">
      <c r="A24379" t="str">
        <f>"2926632"</f>
        <v>2926632</v>
      </c>
      <c r="B24379" t="s">
        <v>18785</v>
      </c>
      <c r="C24379" t="s">
        <v>469</v>
      </c>
      <c r="D24379" s="21" t="s">
        <v>34</v>
      </c>
      <c r="E24379" s="21" t="s">
        <v>71</v>
      </c>
      <c r="F24379">
        <v>3290268</v>
      </c>
      <c r="G24379" t="s">
        <v>9878</v>
      </c>
      <c r="H24379" s="21">
        <v>657.67</v>
      </c>
    </row>
    <row r="24380" spans="1:8" customFormat="1" x14ac:dyDescent="0.25">
      <c r="A24380" t="str">
        <f>"607707"</f>
        <v>607707</v>
      </c>
      <c r="B24380" t="s">
        <v>12082</v>
      </c>
      <c r="C24380" t="s">
        <v>2479</v>
      </c>
      <c r="D24380" s="21" t="s">
        <v>34</v>
      </c>
      <c r="E24380" s="21" t="s">
        <v>254</v>
      </c>
      <c r="F24380">
        <v>7600009</v>
      </c>
      <c r="G24380" t="s">
        <v>11824</v>
      </c>
      <c r="H24380" s="21">
        <v>657.67</v>
      </c>
    </row>
    <row r="24381" spans="1:8" customFormat="1" x14ac:dyDescent="0.25">
      <c r="A24381" t="str">
        <f>"5945285"</f>
        <v>5945285</v>
      </c>
      <c r="B24381" t="s">
        <v>146</v>
      </c>
      <c r="C24381" t="s">
        <v>236</v>
      </c>
      <c r="D24381" s="21" t="s">
        <v>34</v>
      </c>
      <c r="E24381" s="21" t="s">
        <v>35</v>
      </c>
      <c r="F24381">
        <v>7590223</v>
      </c>
      <c r="G24381" t="s">
        <v>5218</v>
      </c>
      <c r="H24381" s="21">
        <v>657.67</v>
      </c>
    </row>
    <row r="24382" spans="1:8" customFormat="1" x14ac:dyDescent="0.25">
      <c r="A24382" t="str">
        <f>"365870"</f>
        <v>365870</v>
      </c>
      <c r="B24382" t="s">
        <v>4090</v>
      </c>
      <c r="C24382" t="s">
        <v>3905</v>
      </c>
      <c r="D24382" s="21" t="s">
        <v>34</v>
      </c>
      <c r="E24382" s="21" t="s">
        <v>254</v>
      </c>
      <c r="F24382">
        <v>4360454</v>
      </c>
      <c r="G24382" t="s">
        <v>637</v>
      </c>
      <c r="H24382" s="21">
        <v>657.54</v>
      </c>
    </row>
    <row r="24383" spans="1:8" customFormat="1" x14ac:dyDescent="0.25">
      <c r="A24383" t="str">
        <f>"212699"</f>
        <v>212699</v>
      </c>
      <c r="B24383" t="s">
        <v>18839</v>
      </c>
      <c r="C24383" t="s">
        <v>4842</v>
      </c>
      <c r="D24383" s="21" t="s">
        <v>34</v>
      </c>
      <c r="E24383" s="21" t="s">
        <v>1089</v>
      </c>
      <c r="F24383">
        <v>2210088</v>
      </c>
      <c r="G24383" t="s">
        <v>2896</v>
      </c>
      <c r="H24383" s="21">
        <v>657.42</v>
      </c>
    </row>
    <row r="24384" spans="1:8" customFormat="1" x14ac:dyDescent="0.25">
      <c r="A24384" t="str">
        <f>"6112173"</f>
        <v>6112173</v>
      </c>
      <c r="B24384" t="s">
        <v>9431</v>
      </c>
      <c r="C24384" t="s">
        <v>817</v>
      </c>
      <c r="D24384" s="21" t="s">
        <v>34</v>
      </c>
      <c r="E24384" s="21" t="s">
        <v>71</v>
      </c>
      <c r="F24384">
        <v>9610122</v>
      </c>
      <c r="G24384" t="s">
        <v>4349</v>
      </c>
      <c r="H24384" s="21">
        <v>657.42</v>
      </c>
    </row>
    <row r="24385" spans="1:8" customFormat="1" x14ac:dyDescent="0.25">
      <c r="A24385" t="str">
        <f>"5432439"</f>
        <v>5432439</v>
      </c>
      <c r="B24385" t="s">
        <v>22128</v>
      </c>
      <c r="C24385" t="s">
        <v>484</v>
      </c>
      <c r="D24385" s="21" t="s">
        <v>34</v>
      </c>
      <c r="E24385" s="21" t="s">
        <v>35</v>
      </c>
      <c r="F24385">
        <v>6540104</v>
      </c>
      <c r="G24385" t="s">
        <v>10448</v>
      </c>
      <c r="H24385" s="21">
        <v>657.17</v>
      </c>
    </row>
    <row r="24386" spans="1:8" customFormat="1" x14ac:dyDescent="0.25">
      <c r="A24386" t="str">
        <f>"682294"</f>
        <v>682294</v>
      </c>
      <c r="B24386" t="s">
        <v>17524</v>
      </c>
      <c r="C24386" t="s">
        <v>3905</v>
      </c>
      <c r="D24386" s="21" t="s">
        <v>34</v>
      </c>
      <c r="E24386" s="21" t="s">
        <v>254</v>
      </c>
      <c r="F24386">
        <v>6680080</v>
      </c>
      <c r="G24386" t="s">
        <v>7771</v>
      </c>
      <c r="H24386" s="21">
        <v>657.17</v>
      </c>
    </row>
    <row r="24387" spans="1:8" customFormat="1" x14ac:dyDescent="0.25">
      <c r="A24387" t="str">
        <f>"5722412"</f>
        <v>5722412</v>
      </c>
      <c r="B24387" t="s">
        <v>17344</v>
      </c>
      <c r="C24387" t="s">
        <v>40</v>
      </c>
      <c r="D24387" s="21" t="s">
        <v>34</v>
      </c>
      <c r="E24387" s="21" t="s">
        <v>71</v>
      </c>
      <c r="F24387">
        <v>6570132</v>
      </c>
      <c r="G24387" t="s">
        <v>26746</v>
      </c>
      <c r="H24387" s="21">
        <v>657.17</v>
      </c>
    </row>
    <row r="24388" spans="1:8" customFormat="1" x14ac:dyDescent="0.25">
      <c r="A24388" t="str">
        <f>"7923385"</f>
        <v>7923385</v>
      </c>
      <c r="B24388" t="s">
        <v>19358</v>
      </c>
      <c r="C24388" t="s">
        <v>62</v>
      </c>
      <c r="D24388" s="21" t="s">
        <v>34</v>
      </c>
      <c r="E24388" s="21" t="s">
        <v>35</v>
      </c>
      <c r="F24388">
        <v>10790003</v>
      </c>
      <c r="G24388" t="s">
        <v>10465</v>
      </c>
      <c r="H24388" s="21">
        <v>657.17</v>
      </c>
    </row>
    <row r="24389" spans="1:8" customFormat="1" x14ac:dyDescent="0.25">
      <c r="A24389" t="str">
        <f>"858137"</f>
        <v>858137</v>
      </c>
      <c r="B24389" t="s">
        <v>6120</v>
      </c>
      <c r="C24389" t="s">
        <v>412</v>
      </c>
      <c r="D24389" s="21" t="s">
        <v>34</v>
      </c>
      <c r="E24389" s="21" t="s">
        <v>254</v>
      </c>
      <c r="F24389">
        <v>12850043</v>
      </c>
      <c r="G24389" t="s">
        <v>4873</v>
      </c>
      <c r="H24389" s="21">
        <v>657.17</v>
      </c>
    </row>
    <row r="24390" spans="1:8" customFormat="1" x14ac:dyDescent="0.25">
      <c r="A24390" t="str">
        <f>"5010970"</f>
        <v>5010970</v>
      </c>
      <c r="B24390" t="s">
        <v>11905</v>
      </c>
      <c r="C24390" t="s">
        <v>1705</v>
      </c>
      <c r="D24390" s="21" t="s">
        <v>34</v>
      </c>
      <c r="E24390" s="21" t="s">
        <v>35</v>
      </c>
      <c r="F24390">
        <v>9500088</v>
      </c>
      <c r="G24390" t="s">
        <v>15949</v>
      </c>
      <c r="H24390" s="21">
        <v>657.17</v>
      </c>
    </row>
    <row r="24391" spans="1:8" customFormat="1" x14ac:dyDescent="0.25">
      <c r="A24391" t="str">
        <f>"867001"</f>
        <v>867001</v>
      </c>
      <c r="B24391" t="s">
        <v>18707</v>
      </c>
      <c r="C24391" t="s">
        <v>37</v>
      </c>
      <c r="D24391" s="21" t="s">
        <v>34</v>
      </c>
      <c r="E24391" s="21" t="s">
        <v>35</v>
      </c>
      <c r="F24391">
        <v>10860038</v>
      </c>
      <c r="G24391" t="s">
        <v>8925</v>
      </c>
      <c r="H24391" s="21">
        <v>657.17</v>
      </c>
    </row>
    <row r="24392" spans="1:8" customFormat="1" x14ac:dyDescent="0.25">
      <c r="A24392" t="str">
        <f>"7725580"</f>
        <v>7725580</v>
      </c>
      <c r="B24392" t="s">
        <v>17689</v>
      </c>
      <c r="C24392" t="s">
        <v>288</v>
      </c>
      <c r="D24392" s="21" t="s">
        <v>34</v>
      </c>
      <c r="E24392" s="21" t="s">
        <v>35</v>
      </c>
      <c r="F24392">
        <v>8771394</v>
      </c>
      <c r="G24392" t="s">
        <v>1933</v>
      </c>
      <c r="H24392" s="21">
        <v>657.17</v>
      </c>
    </row>
    <row r="24393" spans="1:8" customFormat="1" x14ac:dyDescent="0.25">
      <c r="A24393" t="str">
        <f>"4928140"</f>
        <v>4928140</v>
      </c>
      <c r="B24393" t="s">
        <v>3613</v>
      </c>
      <c r="C24393" t="s">
        <v>2546</v>
      </c>
      <c r="D24393" s="21" t="s">
        <v>34</v>
      </c>
      <c r="E24393" s="21" t="s">
        <v>1089</v>
      </c>
      <c r="F24393">
        <v>12490080</v>
      </c>
      <c r="G24393" t="s">
        <v>5692</v>
      </c>
      <c r="H24393" s="21">
        <v>657.17</v>
      </c>
    </row>
    <row r="24394" spans="1:8" customFormat="1" x14ac:dyDescent="0.25">
      <c r="A24394" t="str">
        <f>"4428449"</f>
        <v>4428449</v>
      </c>
      <c r="B24394" t="s">
        <v>11909</v>
      </c>
      <c r="C24394" t="s">
        <v>60</v>
      </c>
      <c r="D24394" s="21" t="s">
        <v>34</v>
      </c>
      <c r="E24394" s="21" t="s">
        <v>35</v>
      </c>
      <c r="F24394">
        <v>12440081</v>
      </c>
      <c r="G24394" t="s">
        <v>617</v>
      </c>
      <c r="H24394" s="21">
        <v>657.17</v>
      </c>
    </row>
    <row r="24395" spans="1:8" customFormat="1" x14ac:dyDescent="0.25">
      <c r="A24395" t="str">
        <f>"2814691"</f>
        <v>2814691</v>
      </c>
      <c r="B24395" t="s">
        <v>2067</v>
      </c>
      <c r="C24395" t="s">
        <v>486</v>
      </c>
      <c r="D24395" s="21" t="s">
        <v>34</v>
      </c>
      <c r="E24395" s="21" t="s">
        <v>35</v>
      </c>
      <c r="F24395">
        <v>4280359</v>
      </c>
      <c r="G24395" t="s">
        <v>7997</v>
      </c>
      <c r="H24395" s="21">
        <v>657.17</v>
      </c>
    </row>
    <row r="24396" spans="1:8" customFormat="1" x14ac:dyDescent="0.25">
      <c r="A24396" t="str">
        <f>"37567"</f>
        <v>37567</v>
      </c>
      <c r="B24396" t="s">
        <v>18543</v>
      </c>
      <c r="C24396" t="s">
        <v>415</v>
      </c>
      <c r="D24396" s="21" t="s">
        <v>34</v>
      </c>
      <c r="E24396" s="21" t="s">
        <v>254</v>
      </c>
      <c r="F24396">
        <v>4370033</v>
      </c>
      <c r="G24396" t="s">
        <v>7556</v>
      </c>
      <c r="H24396" s="21">
        <v>657.17</v>
      </c>
    </row>
    <row r="24397" spans="1:8" customFormat="1" x14ac:dyDescent="0.25">
      <c r="A24397" t="str">
        <f>"7519573"</f>
        <v>7519573</v>
      </c>
      <c r="B24397" t="s">
        <v>19522</v>
      </c>
      <c r="C24397" t="s">
        <v>288</v>
      </c>
      <c r="D24397" s="21" t="s">
        <v>34</v>
      </c>
      <c r="E24397" s="21" t="s">
        <v>35</v>
      </c>
      <c r="F24397">
        <v>8751260</v>
      </c>
      <c r="G24397" t="s">
        <v>10641</v>
      </c>
      <c r="H24397" s="21">
        <v>657.17</v>
      </c>
    </row>
    <row r="24398" spans="1:8" customFormat="1" x14ac:dyDescent="0.25">
      <c r="A24398" t="str">
        <f>"31861"</f>
        <v>31861</v>
      </c>
      <c r="B24398" t="s">
        <v>1604</v>
      </c>
      <c r="C24398" t="s">
        <v>547</v>
      </c>
      <c r="D24398" s="21" t="s">
        <v>34</v>
      </c>
      <c r="E24398" s="21" t="s">
        <v>1089</v>
      </c>
      <c r="F24398">
        <v>11310006</v>
      </c>
      <c r="G24398" t="s">
        <v>419</v>
      </c>
      <c r="H24398" s="21">
        <v>657.17</v>
      </c>
    </row>
    <row r="24399" spans="1:8" customFormat="1" x14ac:dyDescent="0.25">
      <c r="A24399" t="str">
        <f>"1410102"</f>
        <v>1410102</v>
      </c>
      <c r="B24399" t="s">
        <v>2398</v>
      </c>
      <c r="C24399" t="s">
        <v>841</v>
      </c>
      <c r="D24399" s="21" t="s">
        <v>34</v>
      </c>
      <c r="E24399" s="21" t="s">
        <v>71</v>
      </c>
      <c r="F24399">
        <v>9140179</v>
      </c>
      <c r="G24399" t="s">
        <v>10146</v>
      </c>
      <c r="H24399" s="21">
        <v>657.17</v>
      </c>
    </row>
    <row r="24400" spans="1:8" customFormat="1" x14ac:dyDescent="0.25">
      <c r="A24400" t="str">
        <f>"3529993"</f>
        <v>3529993</v>
      </c>
      <c r="B24400" t="s">
        <v>19113</v>
      </c>
      <c r="C24400" t="s">
        <v>139</v>
      </c>
      <c r="D24400" s="21" t="s">
        <v>34</v>
      </c>
      <c r="E24400" s="21" t="s">
        <v>35</v>
      </c>
      <c r="F24400">
        <v>3350213</v>
      </c>
      <c r="G24400" t="s">
        <v>13671</v>
      </c>
      <c r="H24400" s="21">
        <v>657.17</v>
      </c>
    </row>
    <row r="24401" spans="1:8" customFormat="1" x14ac:dyDescent="0.25">
      <c r="A24401" t="str">
        <f>"5947453"</f>
        <v>5947453</v>
      </c>
      <c r="B24401" t="s">
        <v>27790</v>
      </c>
      <c r="C24401" t="s">
        <v>127</v>
      </c>
      <c r="D24401" s="21" t="s">
        <v>34</v>
      </c>
      <c r="E24401" s="21" t="s">
        <v>35</v>
      </c>
      <c r="F24401">
        <v>7590107</v>
      </c>
      <c r="G24401" t="s">
        <v>17475</v>
      </c>
      <c r="H24401" s="21">
        <v>657.17</v>
      </c>
    </row>
    <row r="24402" spans="1:8" customFormat="1" x14ac:dyDescent="0.25">
      <c r="A24402" t="str">
        <f>"5958325"</f>
        <v>5958325</v>
      </c>
      <c r="B24402" t="s">
        <v>4944</v>
      </c>
      <c r="C24402" t="s">
        <v>114</v>
      </c>
      <c r="D24402" s="21" t="s">
        <v>34</v>
      </c>
      <c r="E24402" s="21" t="s">
        <v>71</v>
      </c>
      <c r="F24402">
        <v>7590063</v>
      </c>
      <c r="G24402" t="s">
        <v>3426</v>
      </c>
      <c r="H24402" s="21">
        <v>657.17</v>
      </c>
    </row>
    <row r="24403" spans="1:8" customFormat="1" x14ac:dyDescent="0.25">
      <c r="A24403" t="str">
        <f>"152881"</f>
        <v>152881</v>
      </c>
      <c r="B24403" t="s">
        <v>18892</v>
      </c>
      <c r="C24403" t="s">
        <v>209</v>
      </c>
      <c r="D24403" s="21" t="s">
        <v>34</v>
      </c>
      <c r="E24403" s="21" t="s">
        <v>71</v>
      </c>
      <c r="F24403">
        <v>1150148</v>
      </c>
      <c r="G24403" t="s">
        <v>7485</v>
      </c>
      <c r="H24403" s="21">
        <v>657.17</v>
      </c>
    </row>
    <row r="24404" spans="1:8" customFormat="1" x14ac:dyDescent="0.25">
      <c r="A24404" t="str">
        <f>"292710"</f>
        <v>292710</v>
      </c>
      <c r="B24404" t="s">
        <v>16437</v>
      </c>
      <c r="C24404" t="s">
        <v>19186</v>
      </c>
      <c r="D24404" s="21" t="s">
        <v>34</v>
      </c>
      <c r="E24404" s="21" t="s">
        <v>71</v>
      </c>
      <c r="F24404">
        <v>3290031</v>
      </c>
      <c r="G24404" t="s">
        <v>8207</v>
      </c>
      <c r="H24404" s="21">
        <v>657.17</v>
      </c>
    </row>
    <row r="24405" spans="1:8" customFormat="1" x14ac:dyDescent="0.25">
      <c r="A24405" t="str">
        <f>"7914065"</f>
        <v>7914065</v>
      </c>
      <c r="B24405" t="s">
        <v>9802</v>
      </c>
      <c r="C24405" t="s">
        <v>267</v>
      </c>
      <c r="D24405" s="21" t="s">
        <v>34</v>
      </c>
      <c r="E24405" s="21" t="s">
        <v>254</v>
      </c>
      <c r="F24405">
        <v>10790069</v>
      </c>
      <c r="G24405" t="s">
        <v>689</v>
      </c>
      <c r="H24405" s="21">
        <v>657.17</v>
      </c>
    </row>
    <row r="24406" spans="1:8" customFormat="1" x14ac:dyDescent="0.25">
      <c r="A24406" t="str">
        <f>"3718120"</f>
        <v>3718120</v>
      </c>
      <c r="B24406" t="s">
        <v>19587</v>
      </c>
      <c r="C24406" t="s">
        <v>209</v>
      </c>
      <c r="D24406" s="21" t="s">
        <v>34</v>
      </c>
      <c r="E24406" s="21" t="s">
        <v>35</v>
      </c>
      <c r="F24406">
        <v>4370596</v>
      </c>
      <c r="G24406" t="s">
        <v>9270</v>
      </c>
      <c r="H24406" s="21">
        <v>657.17</v>
      </c>
    </row>
    <row r="24407" spans="1:8" customFormat="1" x14ac:dyDescent="0.25">
      <c r="A24407" t="str">
        <f>"3116557"</f>
        <v>3116557</v>
      </c>
      <c r="B24407" t="s">
        <v>8254</v>
      </c>
      <c r="C24407" t="s">
        <v>305</v>
      </c>
      <c r="D24407" s="21" t="s">
        <v>34</v>
      </c>
      <c r="E24407" s="21" t="s">
        <v>71</v>
      </c>
      <c r="F24407">
        <v>11310005</v>
      </c>
      <c r="G24407" t="s">
        <v>6980</v>
      </c>
      <c r="H24407" s="21">
        <v>657.17</v>
      </c>
    </row>
    <row r="24408" spans="1:8" customFormat="1" x14ac:dyDescent="0.25">
      <c r="A24408" t="str">
        <f>"652627"</f>
        <v>652627</v>
      </c>
      <c r="B24408" t="s">
        <v>27791</v>
      </c>
      <c r="C24408" t="s">
        <v>27792</v>
      </c>
      <c r="D24408" s="21" t="s">
        <v>34</v>
      </c>
      <c r="E24408" s="21" t="s">
        <v>71</v>
      </c>
      <c r="F24408">
        <v>11650016</v>
      </c>
      <c r="G24408" t="s">
        <v>9559</v>
      </c>
      <c r="H24408" s="21">
        <v>657.17</v>
      </c>
    </row>
    <row r="24409" spans="1:8" customFormat="1" x14ac:dyDescent="0.25">
      <c r="A24409" t="str">
        <f>"9B685"</f>
        <v>9B685</v>
      </c>
      <c r="B24409" t="s">
        <v>20704</v>
      </c>
      <c r="C24409" t="s">
        <v>198</v>
      </c>
      <c r="D24409" s="21" t="s">
        <v>34</v>
      </c>
      <c r="E24409" s="21" t="s">
        <v>71</v>
      </c>
      <c r="F24409" t="s">
        <v>1906</v>
      </c>
      <c r="G24409" t="s">
        <v>26625</v>
      </c>
      <c r="H24409" s="21">
        <v>657.04</v>
      </c>
    </row>
    <row r="24410" spans="1:8" customFormat="1" x14ac:dyDescent="0.25">
      <c r="A24410" t="str">
        <f>"5326534"</f>
        <v>5326534</v>
      </c>
      <c r="B24410" t="s">
        <v>21016</v>
      </c>
      <c r="C24410" t="s">
        <v>33</v>
      </c>
      <c r="D24410" s="21" t="s">
        <v>34</v>
      </c>
      <c r="E24410" s="21" t="s">
        <v>35</v>
      </c>
      <c r="F24410">
        <v>12530008</v>
      </c>
      <c r="G24410" t="s">
        <v>7920</v>
      </c>
      <c r="H24410" s="21">
        <v>657.04</v>
      </c>
    </row>
    <row r="24411" spans="1:8" customFormat="1" x14ac:dyDescent="0.25">
      <c r="A24411" t="str">
        <f>"198469"</f>
        <v>198469</v>
      </c>
      <c r="B24411" t="s">
        <v>19188</v>
      </c>
      <c r="C24411" t="s">
        <v>305</v>
      </c>
      <c r="D24411" s="21" t="s">
        <v>34</v>
      </c>
      <c r="E24411" s="21" t="s">
        <v>35</v>
      </c>
      <c r="F24411">
        <v>10190080</v>
      </c>
      <c r="G24411" t="s">
        <v>1726</v>
      </c>
      <c r="H24411" s="21">
        <v>657.04</v>
      </c>
    </row>
    <row r="24412" spans="1:8" customFormat="1" x14ac:dyDescent="0.25">
      <c r="A24412" t="str">
        <f>"5321226"</f>
        <v>5321226</v>
      </c>
      <c r="B24412" t="s">
        <v>27793</v>
      </c>
      <c r="C24412" t="s">
        <v>669</v>
      </c>
      <c r="D24412" s="21" t="s">
        <v>34</v>
      </c>
      <c r="E24412" s="21" t="s">
        <v>35</v>
      </c>
      <c r="F24412">
        <v>12530144</v>
      </c>
      <c r="G24412" t="s">
        <v>10892</v>
      </c>
      <c r="H24412" s="21">
        <v>657</v>
      </c>
    </row>
    <row r="24413" spans="1:8" customFormat="1" x14ac:dyDescent="0.25">
      <c r="A24413" t="str">
        <f>"627642"</f>
        <v>627642</v>
      </c>
      <c r="B24413" t="s">
        <v>6847</v>
      </c>
      <c r="C24413" t="s">
        <v>879</v>
      </c>
      <c r="D24413" s="21" t="s">
        <v>34</v>
      </c>
      <c r="E24413" s="21" t="s">
        <v>254</v>
      </c>
      <c r="F24413">
        <v>10170024</v>
      </c>
      <c r="G24413" t="s">
        <v>16864</v>
      </c>
      <c r="H24413" s="21">
        <v>656.92</v>
      </c>
    </row>
    <row r="24414" spans="1:8" customFormat="1" x14ac:dyDescent="0.25">
      <c r="A24414" t="str">
        <f>"29362"</f>
        <v>29362</v>
      </c>
      <c r="B24414" t="s">
        <v>19001</v>
      </c>
      <c r="C24414" t="s">
        <v>412</v>
      </c>
      <c r="D24414" s="21" t="s">
        <v>34</v>
      </c>
      <c r="E24414" s="21" t="s">
        <v>1089</v>
      </c>
      <c r="F24414">
        <v>3290215</v>
      </c>
      <c r="G24414" t="s">
        <v>5058</v>
      </c>
      <c r="H24414" s="21">
        <v>656.79</v>
      </c>
    </row>
    <row r="24415" spans="1:8" customFormat="1" x14ac:dyDescent="0.25">
      <c r="A24415" t="str">
        <f>"46913"</f>
        <v>46913</v>
      </c>
      <c r="B24415" t="s">
        <v>18924</v>
      </c>
      <c r="C24415" t="s">
        <v>156</v>
      </c>
      <c r="D24415" s="21" t="s">
        <v>34</v>
      </c>
      <c r="E24415" s="21" t="s">
        <v>1089</v>
      </c>
      <c r="F24415">
        <v>11460021</v>
      </c>
      <c r="G24415" t="s">
        <v>6727</v>
      </c>
      <c r="H24415" s="21">
        <v>656.67</v>
      </c>
    </row>
    <row r="24416" spans="1:8" customFormat="1" x14ac:dyDescent="0.25">
      <c r="A24416" t="str">
        <f>"9448300"</f>
        <v>9448300</v>
      </c>
      <c r="B24416" t="s">
        <v>21117</v>
      </c>
      <c r="C24416" t="s">
        <v>156</v>
      </c>
      <c r="D24416" s="21" t="s">
        <v>34</v>
      </c>
      <c r="E24416" s="21" t="s">
        <v>71</v>
      </c>
      <c r="F24416">
        <v>13060111</v>
      </c>
      <c r="G24416" t="s">
        <v>26647</v>
      </c>
      <c r="H24416" s="21">
        <v>656.67</v>
      </c>
    </row>
    <row r="24417" spans="1:8" customFormat="1" x14ac:dyDescent="0.25">
      <c r="A24417" t="str">
        <f>"3326215"</f>
        <v>3326215</v>
      </c>
      <c r="B24417" t="s">
        <v>12744</v>
      </c>
      <c r="C24417" t="s">
        <v>40</v>
      </c>
      <c r="D24417" s="21" t="s">
        <v>34</v>
      </c>
      <c r="E24417" s="21" t="s">
        <v>71</v>
      </c>
      <c r="F24417">
        <v>10330034</v>
      </c>
      <c r="G24417" t="s">
        <v>6011</v>
      </c>
      <c r="H24417" s="21">
        <v>656.67</v>
      </c>
    </row>
    <row r="24418" spans="1:8" customFormat="1" x14ac:dyDescent="0.25">
      <c r="A24418" t="str">
        <f>"9140044"</f>
        <v>9140044</v>
      </c>
      <c r="B24418" t="s">
        <v>5915</v>
      </c>
      <c r="C24418" t="s">
        <v>547</v>
      </c>
      <c r="D24418" s="21" t="s">
        <v>34</v>
      </c>
      <c r="E24418" s="21" t="s">
        <v>254</v>
      </c>
      <c r="F24418">
        <v>8910442</v>
      </c>
      <c r="G24418" t="s">
        <v>1336</v>
      </c>
      <c r="H24418" s="21">
        <v>656.67</v>
      </c>
    </row>
    <row r="24419" spans="1:8" customFormat="1" x14ac:dyDescent="0.25">
      <c r="A24419" t="str">
        <f>"9530621"</f>
        <v>9530621</v>
      </c>
      <c r="B24419" t="s">
        <v>889</v>
      </c>
      <c r="C24419" t="s">
        <v>33</v>
      </c>
      <c r="D24419" s="21" t="s">
        <v>34</v>
      </c>
      <c r="E24419" s="21" t="s">
        <v>71</v>
      </c>
      <c r="F24419">
        <v>12720045</v>
      </c>
      <c r="G24419" t="s">
        <v>2484</v>
      </c>
      <c r="H24419" s="21">
        <v>656.67</v>
      </c>
    </row>
    <row r="24420" spans="1:8" customFormat="1" x14ac:dyDescent="0.25">
      <c r="A24420" t="str">
        <f>"7220259"</f>
        <v>7220259</v>
      </c>
      <c r="B24420" t="s">
        <v>27794</v>
      </c>
      <c r="C24420" t="s">
        <v>204</v>
      </c>
      <c r="D24420" s="21" t="s">
        <v>34</v>
      </c>
      <c r="E24420" s="21" t="s">
        <v>35</v>
      </c>
      <c r="F24420">
        <v>12720056</v>
      </c>
      <c r="G24420" t="s">
        <v>9231</v>
      </c>
      <c r="H24420" s="21">
        <v>656.67</v>
      </c>
    </row>
    <row r="24421" spans="1:8" customFormat="1" x14ac:dyDescent="0.25">
      <c r="A24421" t="str">
        <f>"4447215"</f>
        <v>4447215</v>
      </c>
      <c r="B24421" t="s">
        <v>10981</v>
      </c>
      <c r="C24421" t="s">
        <v>1132</v>
      </c>
      <c r="D24421" s="21" t="s">
        <v>34</v>
      </c>
      <c r="E24421" s="21" t="s">
        <v>71</v>
      </c>
      <c r="F24421">
        <v>12440055</v>
      </c>
      <c r="G24421" t="s">
        <v>2979</v>
      </c>
      <c r="H24421" s="21">
        <v>656.67</v>
      </c>
    </row>
    <row r="24422" spans="1:8" customFormat="1" x14ac:dyDescent="0.25">
      <c r="A24422" t="str">
        <f>"601097"</f>
        <v>601097</v>
      </c>
      <c r="B24422" t="s">
        <v>14062</v>
      </c>
      <c r="C24422" t="s">
        <v>547</v>
      </c>
      <c r="D24422" s="21" t="s">
        <v>34</v>
      </c>
      <c r="E24422" s="21" t="s">
        <v>71</v>
      </c>
      <c r="F24422">
        <v>7600046</v>
      </c>
      <c r="G24422" t="s">
        <v>2604</v>
      </c>
      <c r="H24422" s="21">
        <v>656.67</v>
      </c>
    </row>
    <row r="24423" spans="1:8" customFormat="1" x14ac:dyDescent="0.25">
      <c r="A24423" t="str">
        <f>"553737"</f>
        <v>553737</v>
      </c>
      <c r="B24423" t="s">
        <v>19299</v>
      </c>
      <c r="C24423" t="s">
        <v>253</v>
      </c>
      <c r="D24423" s="21" t="s">
        <v>34</v>
      </c>
      <c r="E24423" s="21" t="s">
        <v>254</v>
      </c>
      <c r="F24423">
        <v>6550007</v>
      </c>
      <c r="G24423" t="s">
        <v>1688</v>
      </c>
      <c r="H24423" s="21">
        <v>656.67</v>
      </c>
    </row>
    <row r="24424" spans="1:8" customFormat="1" x14ac:dyDescent="0.25">
      <c r="A24424" t="str">
        <f>"5979611"</f>
        <v>5979611</v>
      </c>
      <c r="B24424" t="s">
        <v>21579</v>
      </c>
      <c r="C24424" t="s">
        <v>1410</v>
      </c>
      <c r="D24424" s="21" t="s">
        <v>34</v>
      </c>
      <c r="E24424" s="21" t="s">
        <v>35</v>
      </c>
      <c r="F24424">
        <v>7590034</v>
      </c>
      <c r="G24424" t="s">
        <v>17085</v>
      </c>
      <c r="H24424" s="21">
        <v>656.67</v>
      </c>
    </row>
    <row r="24425" spans="1:8" customFormat="1" x14ac:dyDescent="0.25">
      <c r="A24425" t="str">
        <f>"877509"</f>
        <v>877509</v>
      </c>
      <c r="B24425" t="s">
        <v>20262</v>
      </c>
      <c r="C24425" t="s">
        <v>547</v>
      </c>
      <c r="D24425" s="21" t="s">
        <v>34</v>
      </c>
      <c r="E24425" s="21" t="s">
        <v>71</v>
      </c>
      <c r="F24425">
        <v>10870109</v>
      </c>
      <c r="G24425" t="s">
        <v>5199</v>
      </c>
      <c r="H24425" s="21">
        <v>656.67</v>
      </c>
    </row>
    <row r="24426" spans="1:8" customFormat="1" x14ac:dyDescent="0.25">
      <c r="A24426" t="str">
        <f>"5427786"</f>
        <v>5427786</v>
      </c>
      <c r="B24426" t="s">
        <v>16728</v>
      </c>
      <c r="C24426" t="s">
        <v>9507</v>
      </c>
      <c r="D24426" s="21" t="s">
        <v>34</v>
      </c>
      <c r="E24426" s="21" t="s">
        <v>35</v>
      </c>
      <c r="F24426">
        <v>6540007</v>
      </c>
      <c r="G24426" t="s">
        <v>10264</v>
      </c>
      <c r="H24426" s="21">
        <v>656.67</v>
      </c>
    </row>
    <row r="24427" spans="1:8" customFormat="1" x14ac:dyDescent="0.25">
      <c r="A24427" t="str">
        <f>"7922609"</f>
        <v>7922609</v>
      </c>
      <c r="B24427" t="s">
        <v>3577</v>
      </c>
      <c r="C24427" t="s">
        <v>1705</v>
      </c>
      <c r="D24427" s="21" t="s">
        <v>34</v>
      </c>
      <c r="E24427" s="21" t="s">
        <v>71</v>
      </c>
      <c r="F24427">
        <v>10790020</v>
      </c>
      <c r="G24427" t="s">
        <v>10221</v>
      </c>
      <c r="H24427" s="21">
        <v>656.67</v>
      </c>
    </row>
    <row r="24428" spans="1:8" customFormat="1" x14ac:dyDescent="0.25">
      <c r="A24428" t="str">
        <f>"6941214"</f>
        <v>6941214</v>
      </c>
      <c r="B24428" t="s">
        <v>8956</v>
      </c>
      <c r="C24428" t="s">
        <v>3712</v>
      </c>
      <c r="D24428" s="21" t="s">
        <v>34</v>
      </c>
      <c r="E24428" s="21" t="s">
        <v>35</v>
      </c>
      <c r="F24428">
        <v>1690194</v>
      </c>
      <c r="G24428" t="s">
        <v>5285</v>
      </c>
      <c r="H24428" s="21">
        <v>656.67</v>
      </c>
    </row>
    <row r="24429" spans="1:8" customFormat="1" x14ac:dyDescent="0.25">
      <c r="A24429" t="str">
        <f>"4113132"</f>
        <v>4113132</v>
      </c>
      <c r="B24429" t="s">
        <v>20908</v>
      </c>
      <c r="C24429" t="s">
        <v>3887</v>
      </c>
      <c r="D24429" s="21" t="s">
        <v>34</v>
      </c>
      <c r="E24429" s="21" t="s">
        <v>71</v>
      </c>
      <c r="F24429">
        <v>4410729</v>
      </c>
      <c r="G24429" t="s">
        <v>4427</v>
      </c>
      <c r="H24429" s="21">
        <v>656.67</v>
      </c>
    </row>
    <row r="24430" spans="1:8" customFormat="1" x14ac:dyDescent="0.25">
      <c r="A24430" t="str">
        <f>"5938570"</f>
        <v>5938570</v>
      </c>
      <c r="B24430" t="s">
        <v>2405</v>
      </c>
      <c r="C24430" t="s">
        <v>55</v>
      </c>
      <c r="D24430" s="21" t="s">
        <v>34</v>
      </c>
      <c r="E24430" s="21" t="s">
        <v>71</v>
      </c>
      <c r="F24430">
        <v>7590400</v>
      </c>
      <c r="G24430" t="s">
        <v>26692</v>
      </c>
      <c r="H24430" s="21">
        <v>656.67</v>
      </c>
    </row>
    <row r="24431" spans="1:8" customFormat="1" x14ac:dyDescent="0.25">
      <c r="A24431" t="str">
        <f>"6716295"</f>
        <v>6716295</v>
      </c>
      <c r="B24431" t="s">
        <v>27795</v>
      </c>
      <c r="C24431" t="s">
        <v>288</v>
      </c>
      <c r="D24431" s="21" t="s">
        <v>34</v>
      </c>
      <c r="E24431" s="21" t="s">
        <v>35</v>
      </c>
      <c r="F24431">
        <v>6670203</v>
      </c>
      <c r="G24431" t="s">
        <v>2371</v>
      </c>
      <c r="H24431" s="21">
        <v>656.67</v>
      </c>
    </row>
    <row r="24432" spans="1:8" customFormat="1" x14ac:dyDescent="0.25">
      <c r="A24432" t="str">
        <f>"1611461"</f>
        <v>1611461</v>
      </c>
      <c r="B24432" t="s">
        <v>18666</v>
      </c>
      <c r="C24432" t="s">
        <v>144</v>
      </c>
      <c r="D24432" s="21" t="s">
        <v>34</v>
      </c>
      <c r="E24432" s="21" t="s">
        <v>71</v>
      </c>
      <c r="F24432">
        <v>10160237</v>
      </c>
      <c r="G24432" t="s">
        <v>8818</v>
      </c>
      <c r="H24432" s="21">
        <v>656.67</v>
      </c>
    </row>
    <row r="24433" spans="1:8" customFormat="1" x14ac:dyDescent="0.25">
      <c r="A24433" t="str">
        <f>"92141"</f>
        <v>92141</v>
      </c>
      <c r="B24433" t="s">
        <v>264</v>
      </c>
      <c r="C24433" t="s">
        <v>459</v>
      </c>
      <c r="D24433" s="21" t="s">
        <v>34</v>
      </c>
      <c r="E24433" s="21" t="s">
        <v>71</v>
      </c>
      <c r="F24433">
        <v>8920031</v>
      </c>
      <c r="G24433" t="s">
        <v>552</v>
      </c>
      <c r="H24433" s="21">
        <v>656.67</v>
      </c>
    </row>
    <row r="24434" spans="1:8" customFormat="1" x14ac:dyDescent="0.25">
      <c r="A24434" t="str">
        <f>"428615"</f>
        <v>428615</v>
      </c>
      <c r="B24434" t="s">
        <v>3542</v>
      </c>
      <c r="C24434" t="s">
        <v>1665</v>
      </c>
      <c r="D24434" s="21" t="s">
        <v>34</v>
      </c>
      <c r="E24434" s="21" t="s">
        <v>1089</v>
      </c>
      <c r="F24434">
        <v>1420018</v>
      </c>
      <c r="G24434" t="s">
        <v>9778</v>
      </c>
      <c r="H24434" s="21">
        <v>656.67</v>
      </c>
    </row>
    <row r="24435" spans="1:8" customFormat="1" x14ac:dyDescent="0.25">
      <c r="A24435" t="str">
        <f>"1715732"</f>
        <v>1715732</v>
      </c>
      <c r="B24435" t="s">
        <v>17277</v>
      </c>
      <c r="C24435" t="s">
        <v>249</v>
      </c>
      <c r="D24435" s="21" t="s">
        <v>34</v>
      </c>
      <c r="E24435" s="21" t="s">
        <v>71</v>
      </c>
      <c r="F24435">
        <v>10170178</v>
      </c>
      <c r="G24435" t="s">
        <v>17278</v>
      </c>
      <c r="H24435" s="21">
        <v>656.67</v>
      </c>
    </row>
    <row r="24436" spans="1:8" customFormat="1" x14ac:dyDescent="0.25">
      <c r="A24436" t="str">
        <f>"7114005"</f>
        <v>7114005</v>
      </c>
      <c r="B24436" t="s">
        <v>23573</v>
      </c>
      <c r="C24436" t="s">
        <v>598</v>
      </c>
      <c r="D24436" s="21" t="s">
        <v>34</v>
      </c>
      <c r="E24436" s="21" t="s">
        <v>254</v>
      </c>
      <c r="F24436">
        <v>2710048</v>
      </c>
      <c r="G24436" t="s">
        <v>2225</v>
      </c>
      <c r="H24436" s="21">
        <v>656.62</v>
      </c>
    </row>
    <row r="24437" spans="1:8" customFormat="1" x14ac:dyDescent="0.25">
      <c r="A24437" t="str">
        <f>"7413127"</f>
        <v>7413127</v>
      </c>
      <c r="B24437" t="s">
        <v>19759</v>
      </c>
      <c r="C24437" t="s">
        <v>33</v>
      </c>
      <c r="D24437" s="21" t="s">
        <v>34</v>
      </c>
      <c r="E24437" s="21" t="s">
        <v>71</v>
      </c>
      <c r="F24437">
        <v>1740080</v>
      </c>
      <c r="G24437" t="s">
        <v>12809</v>
      </c>
      <c r="H24437" s="21">
        <v>656.54</v>
      </c>
    </row>
    <row r="24438" spans="1:8" customFormat="1" x14ac:dyDescent="0.25">
      <c r="A24438" t="str">
        <f>"5321734"</f>
        <v>5321734</v>
      </c>
      <c r="B24438" t="s">
        <v>18232</v>
      </c>
      <c r="C24438" t="s">
        <v>664</v>
      </c>
      <c r="D24438" s="21" t="s">
        <v>34</v>
      </c>
      <c r="E24438" s="21" t="s">
        <v>35</v>
      </c>
      <c r="F24438">
        <v>12530041</v>
      </c>
      <c r="G24438" t="s">
        <v>27057</v>
      </c>
      <c r="H24438" s="21">
        <v>656.42</v>
      </c>
    </row>
    <row r="24439" spans="1:8" customFormat="1" x14ac:dyDescent="0.25">
      <c r="A24439" t="str">
        <f>"191065"</f>
        <v>191065</v>
      </c>
      <c r="B24439" t="s">
        <v>764</v>
      </c>
      <c r="C24439" t="s">
        <v>598</v>
      </c>
      <c r="D24439" s="21" t="s">
        <v>34</v>
      </c>
      <c r="E24439" s="21" t="s">
        <v>254</v>
      </c>
      <c r="F24439">
        <v>10190108</v>
      </c>
      <c r="G24439" t="s">
        <v>7344</v>
      </c>
      <c r="H24439" s="21">
        <v>656.42</v>
      </c>
    </row>
    <row r="24440" spans="1:8" customFormat="1" x14ac:dyDescent="0.25">
      <c r="A24440" t="str">
        <f>"7716153"</f>
        <v>7716153</v>
      </c>
      <c r="B24440" t="s">
        <v>18514</v>
      </c>
      <c r="C24440" t="s">
        <v>415</v>
      </c>
      <c r="D24440" s="21" t="s">
        <v>34</v>
      </c>
      <c r="E24440" s="21" t="s">
        <v>71</v>
      </c>
      <c r="F24440">
        <v>8920137</v>
      </c>
      <c r="G24440" t="s">
        <v>6082</v>
      </c>
      <c r="H24440" s="21">
        <v>656.29</v>
      </c>
    </row>
    <row r="24441" spans="1:8" customFormat="1" x14ac:dyDescent="0.25">
      <c r="A24441" t="str">
        <f>"3341830"</f>
        <v>3341830</v>
      </c>
      <c r="B24441" t="s">
        <v>20451</v>
      </c>
      <c r="C24441" t="s">
        <v>249</v>
      </c>
      <c r="D24441" s="21" t="s">
        <v>34</v>
      </c>
      <c r="E24441" s="21" t="s">
        <v>71</v>
      </c>
      <c r="F24441">
        <v>10330037</v>
      </c>
      <c r="G24441" t="s">
        <v>5960</v>
      </c>
      <c r="H24441" s="21">
        <v>656.17</v>
      </c>
    </row>
    <row r="24442" spans="1:8" customFormat="1" x14ac:dyDescent="0.25">
      <c r="A24442" t="str">
        <f>"5412208"</f>
        <v>5412208</v>
      </c>
      <c r="B24442" t="s">
        <v>27796</v>
      </c>
      <c r="C24442" t="s">
        <v>109</v>
      </c>
      <c r="D24442" s="21" t="s">
        <v>34</v>
      </c>
      <c r="E24442" s="21" t="s">
        <v>35</v>
      </c>
      <c r="F24442">
        <v>6540088</v>
      </c>
      <c r="G24442" t="s">
        <v>2108</v>
      </c>
      <c r="H24442" s="21">
        <v>656.17</v>
      </c>
    </row>
    <row r="24443" spans="1:8" customFormat="1" x14ac:dyDescent="0.25">
      <c r="A24443" t="str">
        <f>"949067"</f>
        <v>949067</v>
      </c>
      <c r="B24443" t="s">
        <v>5456</v>
      </c>
      <c r="C24443" t="s">
        <v>55</v>
      </c>
      <c r="D24443" s="21" t="s">
        <v>34</v>
      </c>
      <c r="E24443" s="21" t="s">
        <v>35</v>
      </c>
      <c r="F24443">
        <v>8940482</v>
      </c>
      <c r="G24443" t="s">
        <v>2560</v>
      </c>
      <c r="H24443" s="21">
        <v>656.17</v>
      </c>
    </row>
    <row r="24444" spans="1:8" customFormat="1" x14ac:dyDescent="0.25">
      <c r="A24444" t="str">
        <f>"306677"</f>
        <v>306677</v>
      </c>
      <c r="B24444" t="s">
        <v>18128</v>
      </c>
      <c r="C24444" t="s">
        <v>1714</v>
      </c>
      <c r="D24444" s="21" t="s">
        <v>34</v>
      </c>
      <c r="E24444" s="21" t="s">
        <v>71</v>
      </c>
      <c r="F24444">
        <v>11340018</v>
      </c>
      <c r="G24444" t="s">
        <v>2421</v>
      </c>
      <c r="H24444" s="21">
        <v>656.17</v>
      </c>
    </row>
    <row r="24445" spans="1:8" customFormat="1" x14ac:dyDescent="0.25">
      <c r="A24445" t="str">
        <f>"2923920"</f>
        <v>2923920</v>
      </c>
      <c r="B24445" t="s">
        <v>19509</v>
      </c>
      <c r="C24445" t="s">
        <v>3397</v>
      </c>
      <c r="D24445" s="21" t="s">
        <v>34</v>
      </c>
      <c r="E24445" s="21" t="s">
        <v>35</v>
      </c>
      <c r="F24445">
        <v>3290003</v>
      </c>
      <c r="G24445" t="s">
        <v>3764</v>
      </c>
      <c r="H24445" s="21">
        <v>656.17</v>
      </c>
    </row>
    <row r="24446" spans="1:8" customFormat="1" x14ac:dyDescent="0.25">
      <c r="A24446" t="str">
        <f>"485321"</f>
        <v>485321</v>
      </c>
      <c r="B24446" t="s">
        <v>8153</v>
      </c>
      <c r="C24446" t="s">
        <v>564</v>
      </c>
      <c r="D24446" s="21" t="s">
        <v>34</v>
      </c>
      <c r="E24446" s="21" t="s">
        <v>71</v>
      </c>
      <c r="F24446">
        <v>11480027</v>
      </c>
      <c r="G24446" t="s">
        <v>2950</v>
      </c>
      <c r="H24446" s="21">
        <v>656.17</v>
      </c>
    </row>
    <row r="24447" spans="1:8" customFormat="1" x14ac:dyDescent="0.25">
      <c r="A24447" t="str">
        <f>"6316644"</f>
        <v>6316644</v>
      </c>
      <c r="B24447" t="s">
        <v>2203</v>
      </c>
      <c r="C24447" t="s">
        <v>204</v>
      </c>
      <c r="D24447" s="21" t="s">
        <v>34</v>
      </c>
      <c r="E24447" s="21" t="s">
        <v>35</v>
      </c>
      <c r="F24447">
        <v>1630015</v>
      </c>
      <c r="G24447" t="s">
        <v>2097</v>
      </c>
      <c r="H24447" s="21">
        <v>656.17</v>
      </c>
    </row>
    <row r="24448" spans="1:8" customFormat="1" x14ac:dyDescent="0.25">
      <c r="A24448" t="str">
        <f>"7912643"</f>
        <v>7912643</v>
      </c>
      <c r="B24448" t="s">
        <v>4662</v>
      </c>
      <c r="C24448" t="s">
        <v>2907</v>
      </c>
      <c r="D24448" s="21" t="s">
        <v>34</v>
      </c>
      <c r="E24448" s="21" t="s">
        <v>71</v>
      </c>
      <c r="F24448">
        <v>10790002</v>
      </c>
      <c r="G24448" t="s">
        <v>6612</v>
      </c>
      <c r="H24448" s="21">
        <v>656.17</v>
      </c>
    </row>
    <row r="24449" spans="1:8" customFormat="1" x14ac:dyDescent="0.25">
      <c r="A24449" t="str">
        <f>"3416862"</f>
        <v>3416862</v>
      </c>
      <c r="B24449" t="s">
        <v>19197</v>
      </c>
      <c r="C24449" t="s">
        <v>462</v>
      </c>
      <c r="D24449" s="21" t="s">
        <v>34</v>
      </c>
      <c r="E24449" s="21" t="s">
        <v>35</v>
      </c>
      <c r="F24449">
        <v>11340014</v>
      </c>
      <c r="G24449" t="s">
        <v>1455</v>
      </c>
      <c r="H24449" s="21">
        <v>656.17</v>
      </c>
    </row>
    <row r="24450" spans="1:8" customFormat="1" x14ac:dyDescent="0.25">
      <c r="A24450" t="str">
        <f>"0110798"</f>
        <v>0110798</v>
      </c>
      <c r="B24450" t="s">
        <v>17470</v>
      </c>
      <c r="C24450" t="s">
        <v>55</v>
      </c>
      <c r="D24450" s="21" t="s">
        <v>34</v>
      </c>
      <c r="E24450" s="21" t="s">
        <v>71</v>
      </c>
      <c r="F24450">
        <v>2210029</v>
      </c>
      <c r="G24450" t="s">
        <v>6983</v>
      </c>
      <c r="H24450" s="21">
        <v>656.17</v>
      </c>
    </row>
    <row r="24451" spans="1:8" customFormat="1" x14ac:dyDescent="0.25">
      <c r="A24451" t="str">
        <f>"3311503"</f>
        <v>3311503</v>
      </c>
      <c r="B24451" t="s">
        <v>18566</v>
      </c>
      <c r="C24451" t="s">
        <v>209</v>
      </c>
      <c r="D24451" s="21" t="s">
        <v>34</v>
      </c>
      <c r="E24451" s="21" t="s">
        <v>254</v>
      </c>
      <c r="F24451">
        <v>10330061</v>
      </c>
      <c r="G24451" t="s">
        <v>17729</v>
      </c>
      <c r="H24451" s="21">
        <v>656.17</v>
      </c>
    </row>
    <row r="24452" spans="1:8" customFormat="1" x14ac:dyDescent="0.25">
      <c r="A24452" t="str">
        <f>"6927176"</f>
        <v>6927176</v>
      </c>
      <c r="B24452" t="s">
        <v>21050</v>
      </c>
      <c r="C24452" t="s">
        <v>109</v>
      </c>
      <c r="D24452" s="21" t="s">
        <v>34</v>
      </c>
      <c r="E24452" s="21" t="s">
        <v>35</v>
      </c>
      <c r="F24452">
        <v>1690199</v>
      </c>
      <c r="G24452" t="s">
        <v>12608</v>
      </c>
      <c r="H24452" s="21">
        <v>656.17</v>
      </c>
    </row>
    <row r="24453" spans="1:8" customFormat="1" x14ac:dyDescent="0.25">
      <c r="A24453" t="str">
        <f>"6221040"</f>
        <v>6221040</v>
      </c>
      <c r="B24453" t="s">
        <v>14946</v>
      </c>
      <c r="C24453" t="s">
        <v>58</v>
      </c>
      <c r="D24453" s="21" t="s">
        <v>34</v>
      </c>
      <c r="E24453" s="21" t="s">
        <v>35</v>
      </c>
      <c r="F24453">
        <v>7620007</v>
      </c>
      <c r="G24453" t="s">
        <v>2133</v>
      </c>
      <c r="H24453" s="21">
        <v>656.17</v>
      </c>
    </row>
    <row r="24454" spans="1:8" customFormat="1" x14ac:dyDescent="0.25">
      <c r="A24454" t="str">
        <f>"618646"</f>
        <v>618646</v>
      </c>
      <c r="B24454" t="s">
        <v>13885</v>
      </c>
      <c r="C24454" t="s">
        <v>253</v>
      </c>
      <c r="D24454" s="21" t="s">
        <v>34</v>
      </c>
      <c r="E24454" s="21" t="s">
        <v>1089</v>
      </c>
      <c r="F24454">
        <v>9610122</v>
      </c>
      <c r="G24454" t="s">
        <v>4349</v>
      </c>
      <c r="H24454" s="21">
        <v>656.17</v>
      </c>
    </row>
    <row r="24455" spans="1:8" customFormat="1" x14ac:dyDescent="0.25">
      <c r="A24455" t="str">
        <f>"7640504"</f>
        <v>7640504</v>
      </c>
      <c r="B24455" t="s">
        <v>8458</v>
      </c>
      <c r="C24455" t="s">
        <v>486</v>
      </c>
      <c r="D24455" s="21" t="s">
        <v>34</v>
      </c>
      <c r="E24455" s="21" t="s">
        <v>35</v>
      </c>
      <c r="F24455">
        <v>9760167</v>
      </c>
      <c r="G24455" t="s">
        <v>13836</v>
      </c>
      <c r="H24455" s="21">
        <v>656.17</v>
      </c>
    </row>
    <row r="24456" spans="1:8" customFormat="1" x14ac:dyDescent="0.25">
      <c r="A24456" t="str">
        <f>"5616232"</f>
        <v>5616232</v>
      </c>
      <c r="B24456" t="s">
        <v>9576</v>
      </c>
      <c r="C24456" t="s">
        <v>2479</v>
      </c>
      <c r="D24456" s="21" t="s">
        <v>34</v>
      </c>
      <c r="E24456" s="21" t="s">
        <v>254</v>
      </c>
      <c r="F24456">
        <v>3560002</v>
      </c>
      <c r="G24456" t="s">
        <v>5437</v>
      </c>
      <c r="H24456" s="21">
        <v>656.17</v>
      </c>
    </row>
    <row r="24457" spans="1:8" customFormat="1" x14ac:dyDescent="0.25">
      <c r="A24457" t="str">
        <f>"507199"</f>
        <v>507199</v>
      </c>
      <c r="B24457" t="s">
        <v>4711</v>
      </c>
      <c r="C24457" t="s">
        <v>209</v>
      </c>
      <c r="D24457" s="21" t="s">
        <v>34</v>
      </c>
      <c r="E24457" s="21" t="s">
        <v>71</v>
      </c>
      <c r="F24457">
        <v>9500082</v>
      </c>
      <c r="G24457" t="s">
        <v>11183</v>
      </c>
      <c r="H24457" s="21">
        <v>656.17</v>
      </c>
    </row>
    <row r="24458" spans="1:8" customFormat="1" x14ac:dyDescent="0.25">
      <c r="A24458" t="str">
        <f>"5113947"</f>
        <v>5113947</v>
      </c>
      <c r="B24458" t="s">
        <v>21636</v>
      </c>
      <c r="C24458" t="s">
        <v>1474</v>
      </c>
      <c r="D24458" s="21" t="s">
        <v>34</v>
      </c>
      <c r="E24458" s="21" t="s">
        <v>35</v>
      </c>
      <c r="F24458">
        <v>6510064</v>
      </c>
      <c r="G24458" t="s">
        <v>6183</v>
      </c>
      <c r="H24458" s="21">
        <v>656.17</v>
      </c>
    </row>
    <row r="24459" spans="1:8" customFormat="1" x14ac:dyDescent="0.25">
      <c r="A24459" t="str">
        <f>"265074"</f>
        <v>265074</v>
      </c>
      <c r="B24459" t="s">
        <v>5286</v>
      </c>
      <c r="C24459" t="s">
        <v>1665</v>
      </c>
      <c r="D24459" s="21" t="s">
        <v>34</v>
      </c>
      <c r="E24459" s="21" t="s">
        <v>71</v>
      </c>
      <c r="F24459">
        <v>1260006</v>
      </c>
      <c r="G24459" t="s">
        <v>790</v>
      </c>
      <c r="H24459" s="21">
        <v>656.17</v>
      </c>
    </row>
    <row r="24460" spans="1:8" customFormat="1" x14ac:dyDescent="0.25">
      <c r="A24460" t="str">
        <f>"5019396"</f>
        <v>5019396</v>
      </c>
      <c r="B24460" t="s">
        <v>1349</v>
      </c>
      <c r="C24460" t="s">
        <v>719</v>
      </c>
      <c r="D24460" s="21" t="s">
        <v>34</v>
      </c>
      <c r="E24460" s="21" t="s">
        <v>35</v>
      </c>
      <c r="F24460">
        <v>9500157</v>
      </c>
      <c r="G24460" t="s">
        <v>5074</v>
      </c>
      <c r="H24460" s="21">
        <v>656.17</v>
      </c>
    </row>
    <row r="24461" spans="1:8" customFormat="1" x14ac:dyDescent="0.25">
      <c r="A24461" t="str">
        <f>"3730235"</f>
        <v>3730235</v>
      </c>
      <c r="B24461" t="s">
        <v>205</v>
      </c>
      <c r="C24461" t="s">
        <v>124</v>
      </c>
      <c r="D24461" s="21" t="s">
        <v>34</v>
      </c>
      <c r="E24461" s="21" t="s">
        <v>254</v>
      </c>
      <c r="F24461">
        <v>4370284</v>
      </c>
      <c r="G24461" t="s">
        <v>3584</v>
      </c>
      <c r="H24461" s="21">
        <v>656.17</v>
      </c>
    </row>
    <row r="24462" spans="1:8" customFormat="1" x14ac:dyDescent="0.25">
      <c r="A24462" t="str">
        <f>"9214098"</f>
        <v>9214098</v>
      </c>
      <c r="B24462" t="s">
        <v>3404</v>
      </c>
      <c r="C24462" t="s">
        <v>415</v>
      </c>
      <c r="D24462" s="21" t="s">
        <v>34</v>
      </c>
      <c r="E24462" s="21" t="s">
        <v>254</v>
      </c>
      <c r="F24462">
        <v>11340060</v>
      </c>
      <c r="G24462" t="s">
        <v>1275</v>
      </c>
      <c r="H24462" s="21">
        <v>655.92</v>
      </c>
    </row>
    <row r="24463" spans="1:8" customFormat="1" x14ac:dyDescent="0.25">
      <c r="A24463" t="str">
        <f>"789212"</f>
        <v>789212</v>
      </c>
      <c r="B24463" t="s">
        <v>13271</v>
      </c>
      <c r="C24463" t="s">
        <v>156</v>
      </c>
      <c r="D24463" s="21" t="s">
        <v>34</v>
      </c>
      <c r="E24463" s="21" t="s">
        <v>6185</v>
      </c>
      <c r="F24463">
        <v>8781288</v>
      </c>
      <c r="G24463" t="s">
        <v>13309</v>
      </c>
      <c r="H24463" s="21">
        <v>655.92</v>
      </c>
    </row>
    <row r="24464" spans="1:8" customFormat="1" x14ac:dyDescent="0.25">
      <c r="A24464" t="str">
        <f>"6944023"</f>
        <v>6944023</v>
      </c>
      <c r="B24464" t="s">
        <v>1547</v>
      </c>
      <c r="C24464" t="s">
        <v>209</v>
      </c>
      <c r="D24464" s="21" t="s">
        <v>34</v>
      </c>
      <c r="E24464" s="21" t="s">
        <v>71</v>
      </c>
      <c r="F24464">
        <v>1690167</v>
      </c>
      <c r="G24464" t="s">
        <v>11267</v>
      </c>
      <c r="H24464" s="21">
        <v>655.92</v>
      </c>
    </row>
    <row r="24465" spans="1:8" customFormat="1" x14ac:dyDescent="0.25">
      <c r="A24465" t="str">
        <f>"1425804"</f>
        <v>1425804</v>
      </c>
      <c r="B24465" t="s">
        <v>9072</v>
      </c>
      <c r="C24465" t="s">
        <v>263</v>
      </c>
      <c r="D24465" s="21" t="s">
        <v>34</v>
      </c>
      <c r="E24465" s="21" t="s">
        <v>71</v>
      </c>
      <c r="F24465">
        <v>9140128</v>
      </c>
      <c r="G24465" t="s">
        <v>2798</v>
      </c>
      <c r="H24465" s="21">
        <v>655.92</v>
      </c>
    </row>
    <row r="24466" spans="1:8" customFormat="1" x14ac:dyDescent="0.25">
      <c r="A24466" t="str">
        <f>"103987"</f>
        <v>103987</v>
      </c>
      <c r="B24466" t="s">
        <v>18735</v>
      </c>
      <c r="C24466" t="s">
        <v>169</v>
      </c>
      <c r="D24466" s="21" t="s">
        <v>34</v>
      </c>
      <c r="E24466" s="21" t="s">
        <v>35</v>
      </c>
      <c r="F24466">
        <v>6100004</v>
      </c>
      <c r="G24466" t="s">
        <v>496</v>
      </c>
      <c r="H24466" s="21">
        <v>655.79</v>
      </c>
    </row>
    <row r="24467" spans="1:8" customFormat="1" x14ac:dyDescent="0.25">
      <c r="A24467" t="str">
        <f>"217041"</f>
        <v>217041</v>
      </c>
      <c r="B24467" t="s">
        <v>18556</v>
      </c>
      <c r="C24467" t="s">
        <v>3073</v>
      </c>
      <c r="D24467" s="21" t="s">
        <v>34</v>
      </c>
      <c r="E24467" s="21" t="s">
        <v>71</v>
      </c>
      <c r="F24467">
        <v>2210037</v>
      </c>
      <c r="G24467" t="s">
        <v>16889</v>
      </c>
      <c r="H24467" s="21">
        <v>655.67</v>
      </c>
    </row>
    <row r="24468" spans="1:8" customFormat="1" x14ac:dyDescent="0.25">
      <c r="A24468" t="str">
        <f>"6220553"</f>
        <v>6220553</v>
      </c>
      <c r="B24468" t="s">
        <v>3759</v>
      </c>
      <c r="C24468" t="s">
        <v>130</v>
      </c>
      <c r="D24468" s="21" t="s">
        <v>34</v>
      </c>
      <c r="E24468" s="21" t="s">
        <v>35</v>
      </c>
      <c r="F24468">
        <v>7620100</v>
      </c>
      <c r="G24468" t="s">
        <v>145</v>
      </c>
      <c r="H24468" s="21">
        <v>655.67</v>
      </c>
    </row>
    <row r="24469" spans="1:8" customFormat="1" x14ac:dyDescent="0.25">
      <c r="A24469" t="str">
        <f>"3513630"</f>
        <v>3513630</v>
      </c>
      <c r="B24469" t="s">
        <v>18071</v>
      </c>
      <c r="C24469" t="s">
        <v>267</v>
      </c>
      <c r="D24469" s="21" t="s">
        <v>34</v>
      </c>
      <c r="E24469" s="21" t="s">
        <v>254</v>
      </c>
      <c r="F24469">
        <v>3350160</v>
      </c>
      <c r="G24469" t="s">
        <v>13252</v>
      </c>
      <c r="H24469" s="21">
        <v>655.67</v>
      </c>
    </row>
    <row r="24470" spans="1:8" customFormat="1" x14ac:dyDescent="0.25">
      <c r="A24470" t="str">
        <f>"064674"</f>
        <v>064674</v>
      </c>
      <c r="B24470" t="s">
        <v>14487</v>
      </c>
      <c r="C24470" t="s">
        <v>547</v>
      </c>
      <c r="D24470" s="21" t="s">
        <v>34</v>
      </c>
      <c r="E24470" s="21" t="s">
        <v>71</v>
      </c>
      <c r="F24470">
        <v>13060063</v>
      </c>
      <c r="G24470" t="s">
        <v>2001</v>
      </c>
      <c r="H24470" s="21">
        <v>655.67</v>
      </c>
    </row>
    <row r="24471" spans="1:8" customFormat="1" x14ac:dyDescent="0.25">
      <c r="A24471" t="str">
        <f>"4512386"</f>
        <v>4512386</v>
      </c>
      <c r="B24471" t="s">
        <v>16874</v>
      </c>
      <c r="C24471" t="s">
        <v>2907</v>
      </c>
      <c r="D24471" s="21" t="s">
        <v>34</v>
      </c>
      <c r="E24471" s="21" t="s">
        <v>71</v>
      </c>
      <c r="F24471">
        <v>4450751</v>
      </c>
      <c r="G24471" t="s">
        <v>442</v>
      </c>
      <c r="H24471" s="21">
        <v>655.67</v>
      </c>
    </row>
    <row r="24472" spans="1:8" customFormat="1" x14ac:dyDescent="0.25">
      <c r="A24472" t="str">
        <f>"9518214"</f>
        <v>9518214</v>
      </c>
      <c r="B24472" t="s">
        <v>19898</v>
      </c>
      <c r="C24472" t="s">
        <v>40</v>
      </c>
      <c r="D24472" s="21" t="s">
        <v>34</v>
      </c>
      <c r="E24472" s="21" t="s">
        <v>254</v>
      </c>
      <c r="F24472">
        <v>9760036</v>
      </c>
      <c r="G24472" t="s">
        <v>279</v>
      </c>
      <c r="H24472" s="21">
        <v>655.67</v>
      </c>
    </row>
    <row r="24473" spans="1:8" customFormat="1" x14ac:dyDescent="0.25">
      <c r="A24473" t="str">
        <f>"5944300"</f>
        <v>5944300</v>
      </c>
      <c r="B24473" t="s">
        <v>27797</v>
      </c>
      <c r="C24473" t="s">
        <v>211</v>
      </c>
      <c r="D24473" s="21" t="s">
        <v>34</v>
      </c>
      <c r="E24473" s="21" t="s">
        <v>254</v>
      </c>
      <c r="F24473">
        <v>2390003</v>
      </c>
      <c r="G24473" t="s">
        <v>1150</v>
      </c>
      <c r="H24473" s="21">
        <v>655.67</v>
      </c>
    </row>
    <row r="24474" spans="1:8" customFormat="1" x14ac:dyDescent="0.25">
      <c r="A24474" t="str">
        <f>"251153"</f>
        <v>251153</v>
      </c>
      <c r="B24474" t="s">
        <v>17425</v>
      </c>
      <c r="C24474" t="s">
        <v>239</v>
      </c>
      <c r="D24474" s="21" t="s">
        <v>34</v>
      </c>
      <c r="E24474" s="21" t="s">
        <v>254</v>
      </c>
      <c r="F24474">
        <v>2250066</v>
      </c>
      <c r="G24474" t="s">
        <v>5321</v>
      </c>
      <c r="H24474" s="21">
        <v>655.67</v>
      </c>
    </row>
    <row r="24475" spans="1:8" customFormat="1" x14ac:dyDescent="0.25">
      <c r="A24475" t="str">
        <f>"3411557"</f>
        <v>3411557</v>
      </c>
      <c r="B24475" t="s">
        <v>3989</v>
      </c>
      <c r="C24475" t="s">
        <v>124</v>
      </c>
      <c r="D24475" s="21" t="s">
        <v>34</v>
      </c>
      <c r="E24475" s="21" t="s">
        <v>254</v>
      </c>
      <c r="F24475">
        <v>11340073</v>
      </c>
      <c r="G24475" t="s">
        <v>15005</v>
      </c>
      <c r="H24475" s="21">
        <v>655.67</v>
      </c>
    </row>
    <row r="24476" spans="1:8" customFormat="1" x14ac:dyDescent="0.25">
      <c r="A24476" t="str">
        <f>"835477"</f>
        <v>835477</v>
      </c>
      <c r="B24476" t="s">
        <v>19115</v>
      </c>
      <c r="C24476" t="s">
        <v>428</v>
      </c>
      <c r="D24476" s="21" t="s">
        <v>34</v>
      </c>
      <c r="E24476" s="21" t="s">
        <v>71</v>
      </c>
      <c r="F24476">
        <v>13830013</v>
      </c>
      <c r="G24476" t="s">
        <v>3374</v>
      </c>
      <c r="H24476" s="21">
        <v>655.67</v>
      </c>
    </row>
    <row r="24477" spans="1:8" customFormat="1" x14ac:dyDescent="0.25">
      <c r="A24477" t="str">
        <f>"691028"</f>
        <v>691028</v>
      </c>
      <c r="B24477" t="s">
        <v>17842</v>
      </c>
      <c r="C24477" t="s">
        <v>171</v>
      </c>
      <c r="D24477" s="21" t="s">
        <v>34</v>
      </c>
      <c r="E24477" s="21" t="s">
        <v>1089</v>
      </c>
      <c r="F24477">
        <v>1690047</v>
      </c>
      <c r="G24477" t="s">
        <v>4223</v>
      </c>
      <c r="H24477" s="21">
        <v>655.67</v>
      </c>
    </row>
    <row r="24478" spans="1:8" customFormat="1" x14ac:dyDescent="0.25">
      <c r="A24478" t="str">
        <f>"7814724"</f>
        <v>7814724</v>
      </c>
      <c r="B24478" t="s">
        <v>1974</v>
      </c>
      <c r="C24478" t="s">
        <v>288</v>
      </c>
      <c r="D24478" s="21" t="s">
        <v>34</v>
      </c>
      <c r="E24478" s="21" t="s">
        <v>35</v>
      </c>
      <c r="F24478">
        <v>8780678</v>
      </c>
      <c r="G24478" t="s">
        <v>8556</v>
      </c>
      <c r="H24478" s="21">
        <v>655.67</v>
      </c>
    </row>
    <row r="24479" spans="1:8" customFormat="1" x14ac:dyDescent="0.25">
      <c r="A24479" t="str">
        <f>"8516306"</f>
        <v>8516306</v>
      </c>
      <c r="B24479" t="s">
        <v>16002</v>
      </c>
      <c r="C24479" t="s">
        <v>3010</v>
      </c>
      <c r="D24479" s="21" t="s">
        <v>34</v>
      </c>
      <c r="E24479" s="21" t="s">
        <v>254</v>
      </c>
      <c r="F24479">
        <v>12850040</v>
      </c>
      <c r="G24479" t="s">
        <v>2074</v>
      </c>
      <c r="H24479" s="21">
        <v>655.67</v>
      </c>
    </row>
    <row r="24480" spans="1:8" customFormat="1" x14ac:dyDescent="0.25">
      <c r="A24480" t="str">
        <f>"0212291"</f>
        <v>0212291</v>
      </c>
      <c r="B24480" t="s">
        <v>27798</v>
      </c>
      <c r="C24480" t="s">
        <v>98</v>
      </c>
      <c r="D24480" s="21" t="s">
        <v>34</v>
      </c>
      <c r="E24480" s="21" t="s">
        <v>35</v>
      </c>
      <c r="F24480">
        <v>7021014</v>
      </c>
      <c r="G24480" t="s">
        <v>15834</v>
      </c>
      <c r="H24480" s="21">
        <v>655.67</v>
      </c>
    </row>
    <row r="24481" spans="1:8" customFormat="1" x14ac:dyDescent="0.25">
      <c r="A24481" t="str">
        <f>"3338676"</f>
        <v>3338676</v>
      </c>
      <c r="B24481" t="s">
        <v>18623</v>
      </c>
      <c r="C24481" t="s">
        <v>269</v>
      </c>
      <c r="D24481" s="21" t="s">
        <v>34</v>
      </c>
      <c r="E24481" s="21" t="s">
        <v>71</v>
      </c>
      <c r="F24481">
        <v>10330032</v>
      </c>
      <c r="G24481" t="s">
        <v>4408</v>
      </c>
      <c r="H24481" s="21">
        <v>655.67</v>
      </c>
    </row>
    <row r="24482" spans="1:8" customFormat="1" x14ac:dyDescent="0.25">
      <c r="A24482" t="str">
        <f>"767084"</f>
        <v>767084</v>
      </c>
      <c r="B24482" t="s">
        <v>10977</v>
      </c>
      <c r="C24482" t="s">
        <v>202</v>
      </c>
      <c r="D24482" s="21" t="s">
        <v>34</v>
      </c>
      <c r="E24482" s="21" t="s">
        <v>71</v>
      </c>
      <c r="F24482">
        <v>9760415</v>
      </c>
      <c r="G24482" t="s">
        <v>4541</v>
      </c>
      <c r="H24482" s="21">
        <v>655.67</v>
      </c>
    </row>
    <row r="24483" spans="1:8" customFormat="1" x14ac:dyDescent="0.25">
      <c r="A24483" t="str">
        <f>"9431405"</f>
        <v>9431405</v>
      </c>
      <c r="B24483" t="s">
        <v>19133</v>
      </c>
      <c r="C24483" t="s">
        <v>5778</v>
      </c>
      <c r="D24483" s="21" t="s">
        <v>34</v>
      </c>
      <c r="E24483" s="21" t="s">
        <v>71</v>
      </c>
      <c r="F24483">
        <v>8940976</v>
      </c>
      <c r="G24483" t="s">
        <v>615</v>
      </c>
      <c r="H24483" s="21">
        <v>655.67</v>
      </c>
    </row>
    <row r="24484" spans="1:8" customFormat="1" x14ac:dyDescent="0.25">
      <c r="A24484" t="str">
        <f>"394961"</f>
        <v>394961</v>
      </c>
      <c r="B24484" t="s">
        <v>3952</v>
      </c>
      <c r="C24484" t="s">
        <v>269</v>
      </c>
      <c r="D24484" s="21" t="s">
        <v>34</v>
      </c>
      <c r="E24484" s="21" t="s">
        <v>254</v>
      </c>
      <c r="F24484">
        <v>2390091</v>
      </c>
      <c r="G24484" t="s">
        <v>7093</v>
      </c>
      <c r="H24484" s="21">
        <v>655.67</v>
      </c>
    </row>
    <row r="24485" spans="1:8" customFormat="1" x14ac:dyDescent="0.25">
      <c r="A24485" t="str">
        <f>"9141049"</f>
        <v>9141049</v>
      </c>
      <c r="B24485" t="s">
        <v>21330</v>
      </c>
      <c r="C24485" t="s">
        <v>2907</v>
      </c>
      <c r="D24485" s="21" t="s">
        <v>34</v>
      </c>
      <c r="E24485" s="21" t="s">
        <v>35</v>
      </c>
      <c r="F24485">
        <v>8910667</v>
      </c>
      <c r="G24485" t="s">
        <v>2361</v>
      </c>
      <c r="H24485" s="21">
        <v>655.67</v>
      </c>
    </row>
    <row r="24486" spans="1:8" customFormat="1" x14ac:dyDescent="0.25">
      <c r="A24486" t="str">
        <f>"6946012"</f>
        <v>6946012</v>
      </c>
      <c r="B24486" t="s">
        <v>17825</v>
      </c>
      <c r="C24486" t="s">
        <v>17826</v>
      </c>
      <c r="D24486" s="21" t="s">
        <v>34</v>
      </c>
      <c r="E24486" s="21" t="s">
        <v>71</v>
      </c>
      <c r="F24486">
        <v>1690029</v>
      </c>
      <c r="G24486" t="s">
        <v>6554</v>
      </c>
      <c r="H24486" s="21">
        <v>655.67</v>
      </c>
    </row>
    <row r="24487" spans="1:8" customFormat="1" x14ac:dyDescent="0.25">
      <c r="A24487" t="str">
        <f>"5970544"</f>
        <v>5970544</v>
      </c>
      <c r="B24487" t="s">
        <v>5688</v>
      </c>
      <c r="C24487" t="s">
        <v>750</v>
      </c>
      <c r="D24487" s="21" t="s">
        <v>34</v>
      </c>
      <c r="E24487" s="21" t="s">
        <v>71</v>
      </c>
      <c r="F24487">
        <v>7590310</v>
      </c>
      <c r="G24487" t="s">
        <v>10278</v>
      </c>
      <c r="H24487" s="21">
        <v>655.67</v>
      </c>
    </row>
    <row r="24488" spans="1:8" customFormat="1" x14ac:dyDescent="0.25">
      <c r="A24488" t="str">
        <f>"323570"</f>
        <v>323570</v>
      </c>
      <c r="B24488" t="s">
        <v>14210</v>
      </c>
      <c r="C24488" t="s">
        <v>712</v>
      </c>
      <c r="D24488" s="21" t="s">
        <v>34</v>
      </c>
      <c r="E24488" s="21" t="s">
        <v>35</v>
      </c>
      <c r="F24488">
        <v>11320042</v>
      </c>
      <c r="G24488" t="s">
        <v>234</v>
      </c>
      <c r="H24488" s="21">
        <v>655.67</v>
      </c>
    </row>
    <row r="24489" spans="1:8" customFormat="1" x14ac:dyDescent="0.25">
      <c r="A24489" t="str">
        <f>"3514941"</f>
        <v>3514941</v>
      </c>
      <c r="B24489" t="s">
        <v>10192</v>
      </c>
      <c r="C24489" t="s">
        <v>3073</v>
      </c>
      <c r="D24489" s="21" t="s">
        <v>34</v>
      </c>
      <c r="E24489" s="21" t="s">
        <v>1089</v>
      </c>
      <c r="F24489">
        <v>3560072</v>
      </c>
      <c r="G24489" t="s">
        <v>12285</v>
      </c>
      <c r="H24489" s="21">
        <v>655.67</v>
      </c>
    </row>
    <row r="24490" spans="1:8" customFormat="1" x14ac:dyDescent="0.25">
      <c r="A24490" t="str">
        <f>"1717507"</f>
        <v>1717507</v>
      </c>
      <c r="B24490" t="s">
        <v>27799</v>
      </c>
      <c r="C24490" t="s">
        <v>486</v>
      </c>
      <c r="D24490" s="21" t="s">
        <v>34</v>
      </c>
      <c r="E24490" s="21" t="s">
        <v>35</v>
      </c>
      <c r="F24490">
        <v>10170033</v>
      </c>
      <c r="G24490" t="s">
        <v>3756</v>
      </c>
      <c r="H24490" s="21">
        <v>655.67</v>
      </c>
    </row>
    <row r="24491" spans="1:8" customFormat="1" x14ac:dyDescent="0.25">
      <c r="A24491" t="str">
        <f>"2935781"</f>
        <v>2935781</v>
      </c>
      <c r="B24491" t="s">
        <v>18776</v>
      </c>
      <c r="C24491" t="s">
        <v>2520</v>
      </c>
      <c r="D24491" s="21" t="s">
        <v>34</v>
      </c>
      <c r="E24491" s="21" t="s">
        <v>71</v>
      </c>
      <c r="F24491">
        <v>3290286</v>
      </c>
      <c r="G24491" t="s">
        <v>18777</v>
      </c>
      <c r="H24491" s="21">
        <v>655.67</v>
      </c>
    </row>
    <row r="24492" spans="1:8" customFormat="1" x14ac:dyDescent="0.25">
      <c r="A24492" t="str">
        <f>"9D1684"</f>
        <v>9D1684</v>
      </c>
      <c r="B24492" t="s">
        <v>6304</v>
      </c>
      <c r="C24492" t="s">
        <v>926</v>
      </c>
      <c r="D24492" s="21" t="s">
        <v>34</v>
      </c>
      <c r="E24492" s="21" t="s">
        <v>71</v>
      </c>
      <c r="F24492" t="s">
        <v>2462</v>
      </c>
      <c r="G24492" t="s">
        <v>2463</v>
      </c>
      <c r="H24492" s="21">
        <v>655.54</v>
      </c>
    </row>
    <row r="24493" spans="1:8" customFormat="1" x14ac:dyDescent="0.25">
      <c r="A24493" t="str">
        <f>"6217703"</f>
        <v>6217703</v>
      </c>
      <c r="B24493" t="s">
        <v>14946</v>
      </c>
      <c r="C24493" t="s">
        <v>249</v>
      </c>
      <c r="D24493" s="21" t="s">
        <v>34</v>
      </c>
      <c r="E24493" s="21" t="s">
        <v>35</v>
      </c>
      <c r="F24493">
        <v>7620181</v>
      </c>
      <c r="G24493" t="s">
        <v>2268</v>
      </c>
      <c r="H24493" s="21">
        <v>655.54</v>
      </c>
    </row>
    <row r="24494" spans="1:8" customFormat="1" x14ac:dyDescent="0.25">
      <c r="A24494" t="str">
        <f>"3538760"</f>
        <v>3538760</v>
      </c>
      <c r="B24494" t="s">
        <v>3952</v>
      </c>
      <c r="C24494" t="s">
        <v>204</v>
      </c>
      <c r="D24494" s="21" t="s">
        <v>34</v>
      </c>
      <c r="E24494" s="21" t="s">
        <v>35</v>
      </c>
      <c r="F24494">
        <v>3350199</v>
      </c>
      <c r="G24494" t="s">
        <v>5603</v>
      </c>
      <c r="H24494" s="21">
        <v>655.5</v>
      </c>
    </row>
    <row r="24495" spans="1:8" customFormat="1" x14ac:dyDescent="0.25">
      <c r="A24495" t="str">
        <f>"2718845"</f>
        <v>2718845</v>
      </c>
      <c r="B24495" t="s">
        <v>17400</v>
      </c>
      <c r="C24495" t="s">
        <v>121</v>
      </c>
      <c r="D24495" s="21" t="s">
        <v>34</v>
      </c>
      <c r="E24495" s="21" t="s">
        <v>35</v>
      </c>
      <c r="F24495">
        <v>9270185</v>
      </c>
      <c r="G24495" t="s">
        <v>9160</v>
      </c>
      <c r="H24495" s="21">
        <v>655.42</v>
      </c>
    </row>
    <row r="24496" spans="1:8" customFormat="1" x14ac:dyDescent="0.25">
      <c r="A24496" t="str">
        <f>"7864877"</f>
        <v>7864877</v>
      </c>
      <c r="B24496" t="s">
        <v>18282</v>
      </c>
      <c r="C24496" t="s">
        <v>87</v>
      </c>
      <c r="D24496" s="21" t="s">
        <v>34</v>
      </c>
      <c r="E24496" s="21" t="s">
        <v>35</v>
      </c>
      <c r="F24496">
        <v>8780571</v>
      </c>
      <c r="G24496" t="s">
        <v>2336</v>
      </c>
      <c r="H24496" s="21">
        <v>655.29</v>
      </c>
    </row>
    <row r="24497" spans="1:8" customFormat="1" x14ac:dyDescent="0.25">
      <c r="A24497" t="str">
        <f>"2511311"</f>
        <v>2511311</v>
      </c>
      <c r="B24497" t="s">
        <v>19035</v>
      </c>
      <c r="C24497" t="s">
        <v>198</v>
      </c>
      <c r="D24497" s="21" t="s">
        <v>34</v>
      </c>
      <c r="E24497" s="21" t="s">
        <v>254</v>
      </c>
      <c r="F24497">
        <v>2250196</v>
      </c>
      <c r="G24497" t="s">
        <v>27452</v>
      </c>
      <c r="H24497" s="21">
        <v>655.16999999999996</v>
      </c>
    </row>
    <row r="24498" spans="1:8" customFormat="1" x14ac:dyDescent="0.25">
      <c r="A24498" t="str">
        <f>"4435471"</f>
        <v>4435471</v>
      </c>
      <c r="B24498" t="s">
        <v>19078</v>
      </c>
      <c r="C24498" t="s">
        <v>269</v>
      </c>
      <c r="D24498" s="21" t="s">
        <v>34</v>
      </c>
      <c r="E24498" s="21" t="s">
        <v>35</v>
      </c>
      <c r="F24498">
        <v>12440193</v>
      </c>
      <c r="G24498" t="s">
        <v>3786</v>
      </c>
      <c r="H24498" s="21">
        <v>655.16999999999996</v>
      </c>
    </row>
    <row r="24499" spans="1:8" customFormat="1" x14ac:dyDescent="0.25">
      <c r="A24499" t="str">
        <f>"7617080"</f>
        <v>7617080</v>
      </c>
      <c r="B24499" t="s">
        <v>10635</v>
      </c>
      <c r="C24499" t="s">
        <v>239</v>
      </c>
      <c r="D24499" s="21" t="s">
        <v>34</v>
      </c>
      <c r="E24499" s="21" t="s">
        <v>71</v>
      </c>
      <c r="F24499">
        <v>9760294</v>
      </c>
      <c r="G24499" t="s">
        <v>8313</v>
      </c>
      <c r="H24499" s="21">
        <v>655.16999999999996</v>
      </c>
    </row>
    <row r="24500" spans="1:8" customFormat="1" x14ac:dyDescent="0.25">
      <c r="A24500" t="str">
        <f>"5939802"</f>
        <v>5939802</v>
      </c>
      <c r="B24500" t="s">
        <v>10629</v>
      </c>
      <c r="C24500" t="s">
        <v>1119</v>
      </c>
      <c r="D24500" s="21" t="s">
        <v>34</v>
      </c>
      <c r="E24500" s="21" t="s">
        <v>35</v>
      </c>
      <c r="F24500">
        <v>7590223</v>
      </c>
      <c r="G24500" t="s">
        <v>5218</v>
      </c>
      <c r="H24500" s="21">
        <v>655.16999999999996</v>
      </c>
    </row>
    <row r="24501" spans="1:8" customFormat="1" x14ac:dyDescent="0.25">
      <c r="A24501" t="str">
        <f>"5957084"</f>
        <v>5957084</v>
      </c>
      <c r="B24501" t="s">
        <v>7041</v>
      </c>
      <c r="C24501" t="s">
        <v>544</v>
      </c>
      <c r="D24501" s="21" t="s">
        <v>34</v>
      </c>
      <c r="E24501" s="21" t="s">
        <v>71</v>
      </c>
      <c r="F24501">
        <v>7590007</v>
      </c>
      <c r="G24501" t="s">
        <v>13674</v>
      </c>
      <c r="H24501" s="21">
        <v>655.16999999999996</v>
      </c>
    </row>
    <row r="24502" spans="1:8" customFormat="1" x14ac:dyDescent="0.25">
      <c r="A24502" t="str">
        <f>"621686"</f>
        <v>621686</v>
      </c>
      <c r="B24502" t="s">
        <v>14575</v>
      </c>
      <c r="C24502" t="s">
        <v>415</v>
      </c>
      <c r="D24502" s="21" t="s">
        <v>34</v>
      </c>
      <c r="E24502" s="21" t="s">
        <v>254</v>
      </c>
      <c r="F24502">
        <v>7620110</v>
      </c>
      <c r="G24502" t="s">
        <v>2681</v>
      </c>
      <c r="H24502" s="21">
        <v>655.16999999999996</v>
      </c>
    </row>
    <row r="24503" spans="1:8" customFormat="1" x14ac:dyDescent="0.25">
      <c r="A24503" t="str">
        <f>"9528869"</f>
        <v>9528869</v>
      </c>
      <c r="B24503" t="s">
        <v>27800</v>
      </c>
      <c r="C24503" t="s">
        <v>1119</v>
      </c>
      <c r="D24503" s="21" t="s">
        <v>34</v>
      </c>
      <c r="E24503" s="21" t="s">
        <v>35</v>
      </c>
      <c r="F24503">
        <v>8951366</v>
      </c>
      <c r="G24503" t="s">
        <v>3708</v>
      </c>
      <c r="H24503" s="21">
        <v>655.16999999999996</v>
      </c>
    </row>
    <row r="24504" spans="1:8" customFormat="1" x14ac:dyDescent="0.25">
      <c r="A24504" t="str">
        <f>"7641537"</f>
        <v>7641537</v>
      </c>
      <c r="B24504" t="s">
        <v>21156</v>
      </c>
      <c r="C24504" t="s">
        <v>233</v>
      </c>
      <c r="D24504" s="21" t="s">
        <v>34</v>
      </c>
      <c r="E24504" s="21" t="s">
        <v>254</v>
      </c>
      <c r="F24504">
        <v>9760425</v>
      </c>
      <c r="G24504" t="s">
        <v>5012</v>
      </c>
      <c r="H24504" s="21">
        <v>655.16999999999996</v>
      </c>
    </row>
    <row r="24505" spans="1:8" customFormat="1" x14ac:dyDescent="0.25">
      <c r="A24505" t="str">
        <f>"2111085"</f>
        <v>2111085</v>
      </c>
      <c r="B24505" t="s">
        <v>12213</v>
      </c>
      <c r="C24505" t="s">
        <v>82</v>
      </c>
      <c r="D24505" s="21" t="s">
        <v>34</v>
      </c>
      <c r="E24505" s="21" t="s">
        <v>71</v>
      </c>
      <c r="F24505">
        <v>2210123</v>
      </c>
      <c r="G24505" t="s">
        <v>11231</v>
      </c>
      <c r="H24505" s="21">
        <v>655.16999999999996</v>
      </c>
    </row>
    <row r="24506" spans="1:8" customFormat="1" x14ac:dyDescent="0.25">
      <c r="A24506" t="str">
        <f>"371278"</f>
        <v>371278</v>
      </c>
      <c r="B24506" t="s">
        <v>2938</v>
      </c>
      <c r="C24506" t="s">
        <v>253</v>
      </c>
      <c r="D24506" s="21" t="s">
        <v>34</v>
      </c>
      <c r="E24506" s="21" t="s">
        <v>1089</v>
      </c>
      <c r="F24506">
        <v>4370478</v>
      </c>
      <c r="G24506" t="s">
        <v>4735</v>
      </c>
      <c r="H24506" s="21">
        <v>655.16999999999996</v>
      </c>
    </row>
    <row r="24507" spans="1:8" customFormat="1" x14ac:dyDescent="0.25">
      <c r="A24507" t="str">
        <f>"7724010"</f>
        <v>7724010</v>
      </c>
      <c r="B24507" t="s">
        <v>727</v>
      </c>
      <c r="C24507" t="s">
        <v>3784</v>
      </c>
      <c r="D24507" s="21" t="s">
        <v>34</v>
      </c>
      <c r="E24507" s="21" t="s">
        <v>35</v>
      </c>
      <c r="F24507">
        <v>8770408</v>
      </c>
      <c r="G24507" t="s">
        <v>212</v>
      </c>
      <c r="H24507" s="21">
        <v>655.16999999999996</v>
      </c>
    </row>
    <row r="24508" spans="1:8" customFormat="1" x14ac:dyDescent="0.25">
      <c r="A24508" t="str">
        <f>"1418602"</f>
        <v>1418602</v>
      </c>
      <c r="B24508" t="s">
        <v>435</v>
      </c>
      <c r="C24508" t="s">
        <v>263</v>
      </c>
      <c r="D24508" s="21" t="s">
        <v>34</v>
      </c>
      <c r="E24508" s="21" t="s">
        <v>254</v>
      </c>
      <c r="F24508">
        <v>9140233</v>
      </c>
      <c r="G24508" t="s">
        <v>13269</v>
      </c>
      <c r="H24508" s="21">
        <v>655.16999999999996</v>
      </c>
    </row>
    <row r="24509" spans="1:8" customFormat="1" x14ac:dyDescent="0.25">
      <c r="A24509" t="str">
        <f>"5724700"</f>
        <v>5724700</v>
      </c>
      <c r="B24509" t="s">
        <v>3848</v>
      </c>
      <c r="C24509" t="s">
        <v>40</v>
      </c>
      <c r="D24509" s="21" t="s">
        <v>34</v>
      </c>
      <c r="E24509" s="21" t="s">
        <v>71</v>
      </c>
      <c r="F24509">
        <v>6570075</v>
      </c>
      <c r="G24509" t="s">
        <v>3008</v>
      </c>
      <c r="H24509" s="21">
        <v>655.16999999999996</v>
      </c>
    </row>
    <row r="24510" spans="1:8" customFormat="1" x14ac:dyDescent="0.25">
      <c r="A24510" t="str">
        <f>"5723546"</f>
        <v>5723546</v>
      </c>
      <c r="B24510" t="s">
        <v>18624</v>
      </c>
      <c r="C24510" t="s">
        <v>121</v>
      </c>
      <c r="D24510" s="21" t="s">
        <v>34</v>
      </c>
      <c r="E24510" s="21" t="s">
        <v>35</v>
      </c>
      <c r="F24510">
        <v>6570016</v>
      </c>
      <c r="G24510" t="s">
        <v>11808</v>
      </c>
      <c r="H24510" s="21">
        <v>655.16999999999996</v>
      </c>
    </row>
    <row r="24511" spans="1:8" customFormat="1" x14ac:dyDescent="0.25">
      <c r="A24511" t="str">
        <f>"5018047"</f>
        <v>5018047</v>
      </c>
      <c r="B24511" t="s">
        <v>20379</v>
      </c>
      <c r="C24511" t="s">
        <v>1142</v>
      </c>
      <c r="D24511" s="21" t="s">
        <v>34</v>
      </c>
      <c r="E24511" s="21" t="s">
        <v>35</v>
      </c>
      <c r="F24511">
        <v>9500131</v>
      </c>
      <c r="G24511" t="s">
        <v>1073</v>
      </c>
      <c r="H24511" s="21">
        <v>655.16999999999996</v>
      </c>
    </row>
    <row r="24512" spans="1:8" customFormat="1" x14ac:dyDescent="0.25">
      <c r="A24512" t="str">
        <f>"2937603"</f>
        <v>2937603</v>
      </c>
      <c r="B24512" t="s">
        <v>5682</v>
      </c>
      <c r="C24512" t="s">
        <v>2520</v>
      </c>
      <c r="D24512" s="21" t="s">
        <v>34</v>
      </c>
      <c r="E24512" s="21" t="s">
        <v>71</v>
      </c>
      <c r="F24512">
        <v>3290005</v>
      </c>
      <c r="G24512" t="s">
        <v>1253</v>
      </c>
      <c r="H24512" s="21">
        <v>655.16999999999996</v>
      </c>
    </row>
    <row r="24513" spans="1:8" customFormat="1" x14ac:dyDescent="0.25">
      <c r="A24513" t="str">
        <f>"621438"</f>
        <v>621438</v>
      </c>
      <c r="B24513" t="s">
        <v>17030</v>
      </c>
      <c r="C24513" t="s">
        <v>822</v>
      </c>
      <c r="D24513" s="21" t="s">
        <v>34</v>
      </c>
      <c r="E24513" s="21" t="s">
        <v>1089</v>
      </c>
      <c r="F24513">
        <v>7620046</v>
      </c>
      <c r="G24513" t="s">
        <v>242</v>
      </c>
      <c r="H24513" s="21">
        <v>655.16999999999996</v>
      </c>
    </row>
    <row r="24514" spans="1:8" customFormat="1" x14ac:dyDescent="0.25">
      <c r="A24514" t="str">
        <f>"288056"</f>
        <v>288056</v>
      </c>
      <c r="B24514" t="s">
        <v>9940</v>
      </c>
      <c r="C24514" t="s">
        <v>4161</v>
      </c>
      <c r="D24514" s="21" t="s">
        <v>34</v>
      </c>
      <c r="E24514" s="21" t="s">
        <v>35</v>
      </c>
      <c r="F24514">
        <v>3290284</v>
      </c>
      <c r="G24514" t="s">
        <v>8972</v>
      </c>
      <c r="H24514" s="21">
        <v>655.16999999999996</v>
      </c>
    </row>
    <row r="24515" spans="1:8" customFormat="1" x14ac:dyDescent="0.25">
      <c r="A24515" t="str">
        <f>"7862427"</f>
        <v>7862427</v>
      </c>
      <c r="B24515" t="s">
        <v>14825</v>
      </c>
      <c r="C24515" t="s">
        <v>275</v>
      </c>
      <c r="D24515" s="21" t="s">
        <v>34</v>
      </c>
      <c r="E24515" s="21" t="s">
        <v>35</v>
      </c>
      <c r="F24515">
        <v>8771154</v>
      </c>
      <c r="G24515" t="s">
        <v>3625</v>
      </c>
      <c r="H24515" s="21">
        <v>655.04</v>
      </c>
    </row>
    <row r="24516" spans="1:8" customFormat="1" x14ac:dyDescent="0.25">
      <c r="A24516" t="str">
        <f>"5920722"</f>
        <v>5920722</v>
      </c>
      <c r="B24516" t="s">
        <v>17090</v>
      </c>
      <c r="C24516" t="s">
        <v>187</v>
      </c>
      <c r="D24516" s="21" t="s">
        <v>34</v>
      </c>
      <c r="E24516" s="21" t="s">
        <v>254</v>
      </c>
      <c r="F24516">
        <v>7590263</v>
      </c>
      <c r="G24516" t="s">
        <v>895</v>
      </c>
      <c r="H24516" s="21">
        <v>654.91999999999996</v>
      </c>
    </row>
    <row r="24517" spans="1:8" customFormat="1" x14ac:dyDescent="0.25">
      <c r="A24517" t="str">
        <f>"9454359"</f>
        <v>9454359</v>
      </c>
      <c r="B24517" t="s">
        <v>16139</v>
      </c>
      <c r="C24517" t="s">
        <v>204</v>
      </c>
      <c r="D24517" s="21" t="s">
        <v>34</v>
      </c>
      <c r="E24517" s="21" t="s">
        <v>35</v>
      </c>
      <c r="F24517">
        <v>8940976</v>
      </c>
      <c r="G24517" t="s">
        <v>615</v>
      </c>
      <c r="H24517" s="21">
        <v>654.79</v>
      </c>
    </row>
    <row r="24518" spans="1:8" customFormat="1" x14ac:dyDescent="0.25">
      <c r="A24518" t="str">
        <f>"5938576"</f>
        <v>5938576</v>
      </c>
      <c r="B24518" t="s">
        <v>17459</v>
      </c>
      <c r="C24518" t="s">
        <v>812</v>
      </c>
      <c r="D24518" s="21" t="s">
        <v>34</v>
      </c>
      <c r="E24518" s="21" t="s">
        <v>1089</v>
      </c>
      <c r="F24518">
        <v>7590012</v>
      </c>
      <c r="G24518" t="s">
        <v>15886</v>
      </c>
      <c r="H24518" s="21">
        <v>654.79</v>
      </c>
    </row>
    <row r="24519" spans="1:8" customFormat="1" x14ac:dyDescent="0.25">
      <c r="A24519" t="str">
        <f>"1423573"</f>
        <v>1423573</v>
      </c>
      <c r="B24519" t="s">
        <v>19834</v>
      </c>
      <c r="C24519" t="s">
        <v>209</v>
      </c>
      <c r="D24519" s="21" t="s">
        <v>34</v>
      </c>
      <c r="E24519" s="21" t="s">
        <v>35</v>
      </c>
      <c r="F24519">
        <v>9140014</v>
      </c>
      <c r="G24519" t="s">
        <v>9546</v>
      </c>
      <c r="H24519" s="21">
        <v>654.66999999999996</v>
      </c>
    </row>
    <row r="24520" spans="1:8" customFormat="1" x14ac:dyDescent="0.25">
      <c r="A24520" t="str">
        <f>"5921476"</f>
        <v>5921476</v>
      </c>
      <c r="B24520" t="s">
        <v>18098</v>
      </c>
      <c r="C24520" t="s">
        <v>87</v>
      </c>
      <c r="D24520" s="21" t="s">
        <v>34</v>
      </c>
      <c r="E24520" s="21" t="s">
        <v>71</v>
      </c>
      <c r="F24520">
        <v>7590050</v>
      </c>
      <c r="G24520" t="s">
        <v>473</v>
      </c>
      <c r="H24520" s="21">
        <v>654.66999999999996</v>
      </c>
    </row>
    <row r="24521" spans="1:8" customFormat="1" x14ac:dyDescent="0.25">
      <c r="A24521" t="str">
        <f>"6923293"</f>
        <v>6923293</v>
      </c>
      <c r="B24521" t="s">
        <v>900</v>
      </c>
      <c r="C24521" t="s">
        <v>453</v>
      </c>
      <c r="D24521" s="21" t="s">
        <v>34</v>
      </c>
      <c r="E24521" s="21" t="s">
        <v>254</v>
      </c>
      <c r="F24521">
        <v>1690027</v>
      </c>
      <c r="G24521" t="s">
        <v>17499</v>
      </c>
      <c r="H24521" s="21">
        <v>654.66999999999996</v>
      </c>
    </row>
    <row r="24522" spans="1:8" customFormat="1" x14ac:dyDescent="0.25">
      <c r="A24522" t="str">
        <f>"362464"</f>
        <v>362464</v>
      </c>
      <c r="B24522" t="s">
        <v>933</v>
      </c>
      <c r="C24522" t="s">
        <v>285</v>
      </c>
      <c r="D24522" s="21" t="s">
        <v>34</v>
      </c>
      <c r="E24522" s="21" t="s">
        <v>35</v>
      </c>
      <c r="F24522">
        <v>4360653</v>
      </c>
      <c r="G24522" t="s">
        <v>7955</v>
      </c>
      <c r="H24522" s="21">
        <v>654.66999999999996</v>
      </c>
    </row>
    <row r="24523" spans="1:8" customFormat="1" x14ac:dyDescent="0.25">
      <c r="A24523" t="str">
        <f>"447839"</f>
        <v>447839</v>
      </c>
      <c r="B24523" t="s">
        <v>17453</v>
      </c>
      <c r="C24523" t="s">
        <v>233</v>
      </c>
      <c r="D24523" s="21" t="s">
        <v>34</v>
      </c>
      <c r="E24523" s="21" t="s">
        <v>254</v>
      </c>
      <c r="F24523">
        <v>12440117</v>
      </c>
      <c r="G24523" t="s">
        <v>14099</v>
      </c>
      <c r="H24523" s="21">
        <v>654.66999999999996</v>
      </c>
    </row>
    <row r="24524" spans="1:8" customFormat="1" x14ac:dyDescent="0.25">
      <c r="A24524" t="str">
        <f>"5412274"</f>
        <v>5412274</v>
      </c>
      <c r="B24524" t="s">
        <v>17838</v>
      </c>
      <c r="C24524" t="s">
        <v>598</v>
      </c>
      <c r="D24524" s="21" t="s">
        <v>34</v>
      </c>
      <c r="E24524" s="21" t="s">
        <v>254</v>
      </c>
      <c r="F24524">
        <v>6540021</v>
      </c>
      <c r="G24524" t="s">
        <v>1815</v>
      </c>
      <c r="H24524" s="21">
        <v>654.66999999999996</v>
      </c>
    </row>
    <row r="24525" spans="1:8" customFormat="1" x14ac:dyDescent="0.25">
      <c r="A24525" t="str">
        <f>"3527427"</f>
        <v>3527427</v>
      </c>
      <c r="B24525" t="s">
        <v>19072</v>
      </c>
      <c r="C24525" t="s">
        <v>462</v>
      </c>
      <c r="D24525" s="21" t="s">
        <v>34</v>
      </c>
      <c r="E24525" s="21" t="s">
        <v>71</v>
      </c>
      <c r="F24525">
        <v>3560052</v>
      </c>
      <c r="G24525" t="s">
        <v>18504</v>
      </c>
      <c r="H24525" s="21">
        <v>654.66999999999996</v>
      </c>
    </row>
    <row r="24526" spans="1:8" customFormat="1" x14ac:dyDescent="0.25">
      <c r="A24526" t="str">
        <f>"5320861"</f>
        <v>5320861</v>
      </c>
      <c r="B24526" t="s">
        <v>1349</v>
      </c>
      <c r="C24526" t="s">
        <v>253</v>
      </c>
      <c r="D24526" s="21" t="s">
        <v>34</v>
      </c>
      <c r="E24526" s="21" t="s">
        <v>35</v>
      </c>
      <c r="F24526">
        <v>12530120</v>
      </c>
      <c r="G24526" t="s">
        <v>26791</v>
      </c>
      <c r="H24526" s="21">
        <v>654.66999999999996</v>
      </c>
    </row>
    <row r="24527" spans="1:8" customFormat="1" x14ac:dyDescent="0.25">
      <c r="A24527" t="str">
        <f>"444877"</f>
        <v>444877</v>
      </c>
      <c r="B24527" t="s">
        <v>17730</v>
      </c>
      <c r="C24527" t="s">
        <v>428</v>
      </c>
      <c r="D24527" s="21" t="s">
        <v>34</v>
      </c>
      <c r="E24527" s="21" t="s">
        <v>254</v>
      </c>
      <c r="F24527">
        <v>12440093</v>
      </c>
      <c r="G24527" t="s">
        <v>10627</v>
      </c>
      <c r="H24527" s="21">
        <v>654.66999999999996</v>
      </c>
    </row>
    <row r="24528" spans="1:8" customFormat="1" x14ac:dyDescent="0.25">
      <c r="A24528" t="str">
        <f>"252961"</f>
        <v>252961</v>
      </c>
      <c r="B24528" t="s">
        <v>18211</v>
      </c>
      <c r="C24528" t="s">
        <v>267</v>
      </c>
      <c r="D24528" s="21" t="s">
        <v>34</v>
      </c>
      <c r="E24528" s="21" t="s">
        <v>1089</v>
      </c>
      <c r="F24528">
        <v>2250017</v>
      </c>
      <c r="G24528" t="s">
        <v>521</v>
      </c>
      <c r="H24528" s="21">
        <v>654.66999999999996</v>
      </c>
    </row>
    <row r="24529" spans="1:8" customFormat="1" x14ac:dyDescent="0.25">
      <c r="A24529" t="str">
        <f>"7915271"</f>
        <v>7915271</v>
      </c>
      <c r="B24529" t="s">
        <v>10156</v>
      </c>
      <c r="C24529" t="s">
        <v>412</v>
      </c>
      <c r="D24529" s="21" t="s">
        <v>34</v>
      </c>
      <c r="E24529" s="21" t="s">
        <v>1089</v>
      </c>
      <c r="F24529">
        <v>10790163</v>
      </c>
      <c r="G24529" t="s">
        <v>2015</v>
      </c>
      <c r="H24529" s="21">
        <v>654.66999999999996</v>
      </c>
    </row>
    <row r="24530" spans="1:8" customFormat="1" x14ac:dyDescent="0.25">
      <c r="A24530" t="str">
        <f>"2928205"</f>
        <v>2928205</v>
      </c>
      <c r="B24530" t="s">
        <v>17913</v>
      </c>
      <c r="C24530" t="s">
        <v>33</v>
      </c>
      <c r="D24530" s="21" t="s">
        <v>34</v>
      </c>
      <c r="E24530" s="21" t="s">
        <v>35</v>
      </c>
      <c r="F24530">
        <v>3290274</v>
      </c>
      <c r="G24530" t="s">
        <v>11751</v>
      </c>
      <c r="H24530" s="21">
        <v>654.66999999999996</v>
      </c>
    </row>
    <row r="24531" spans="1:8" customFormat="1" x14ac:dyDescent="0.25">
      <c r="A24531" t="str">
        <f>"5955497"</f>
        <v>5955497</v>
      </c>
      <c r="B24531" t="s">
        <v>2680</v>
      </c>
      <c r="C24531" t="s">
        <v>109</v>
      </c>
      <c r="D24531" s="21" t="s">
        <v>34</v>
      </c>
      <c r="E24531" s="21" t="s">
        <v>71</v>
      </c>
      <c r="F24531">
        <v>7590336</v>
      </c>
      <c r="G24531" t="s">
        <v>2341</v>
      </c>
      <c r="H24531" s="21">
        <v>654.66999999999996</v>
      </c>
    </row>
    <row r="24532" spans="1:8" customFormat="1" x14ac:dyDescent="0.25">
      <c r="A24532" t="str">
        <f>"6716887"</f>
        <v>6716887</v>
      </c>
      <c r="B24532" t="s">
        <v>18732</v>
      </c>
      <c r="C24532" t="s">
        <v>96</v>
      </c>
      <c r="D24532" s="21" t="s">
        <v>34</v>
      </c>
      <c r="E24532" s="21" t="s">
        <v>35</v>
      </c>
      <c r="F24532">
        <v>6670256</v>
      </c>
      <c r="G24532" t="s">
        <v>14348</v>
      </c>
      <c r="H24532" s="21">
        <v>654.66999999999996</v>
      </c>
    </row>
    <row r="24533" spans="1:8" customFormat="1" x14ac:dyDescent="0.25">
      <c r="A24533" t="str">
        <f>"5934327"</f>
        <v>5934327</v>
      </c>
      <c r="B24533" t="s">
        <v>18116</v>
      </c>
      <c r="C24533" t="s">
        <v>453</v>
      </c>
      <c r="D24533" s="21" t="s">
        <v>34</v>
      </c>
      <c r="E24533" s="21" t="s">
        <v>254</v>
      </c>
      <c r="F24533">
        <v>7590050</v>
      </c>
      <c r="G24533" t="s">
        <v>473</v>
      </c>
      <c r="H24533" s="21">
        <v>654.66999999999996</v>
      </c>
    </row>
    <row r="24534" spans="1:8" customFormat="1" x14ac:dyDescent="0.25">
      <c r="A24534" t="str">
        <f>"9754597"</f>
        <v>9754597</v>
      </c>
      <c r="B24534" t="s">
        <v>18021</v>
      </c>
      <c r="C24534" t="s">
        <v>3784</v>
      </c>
      <c r="D24534" s="21" t="s">
        <v>34</v>
      </c>
      <c r="E24534" s="21" t="s">
        <v>71</v>
      </c>
      <c r="F24534" t="s">
        <v>5520</v>
      </c>
      <c r="G24534" t="s">
        <v>5521</v>
      </c>
      <c r="H24534" s="21">
        <v>654.66999999999996</v>
      </c>
    </row>
    <row r="24535" spans="1:8" customFormat="1" x14ac:dyDescent="0.25">
      <c r="A24535" t="str">
        <f>"7636198"</f>
        <v>7636198</v>
      </c>
      <c r="B24535" t="s">
        <v>19574</v>
      </c>
      <c r="C24535" t="s">
        <v>608</v>
      </c>
      <c r="D24535" s="21" t="s">
        <v>34</v>
      </c>
      <c r="E24535" s="21" t="s">
        <v>35</v>
      </c>
      <c r="F24535">
        <v>9760448</v>
      </c>
      <c r="G24535" t="s">
        <v>11345</v>
      </c>
      <c r="H24535" s="21">
        <v>654.66999999999996</v>
      </c>
    </row>
    <row r="24536" spans="1:8" customFormat="1" x14ac:dyDescent="0.25">
      <c r="A24536" t="str">
        <f>"4920482"</f>
        <v>4920482</v>
      </c>
      <c r="B24536" t="s">
        <v>6324</v>
      </c>
      <c r="C24536" t="s">
        <v>209</v>
      </c>
      <c r="D24536" s="21" t="s">
        <v>34</v>
      </c>
      <c r="E24536" s="21" t="s">
        <v>71</v>
      </c>
      <c r="F24536">
        <v>12490080</v>
      </c>
      <c r="G24536" t="s">
        <v>5692</v>
      </c>
      <c r="H24536" s="21">
        <v>654.66999999999996</v>
      </c>
    </row>
    <row r="24537" spans="1:8" customFormat="1" x14ac:dyDescent="0.25">
      <c r="A24537" t="str">
        <f>"6228777"</f>
        <v>6228777</v>
      </c>
      <c r="B24537" t="s">
        <v>6048</v>
      </c>
      <c r="C24537" t="s">
        <v>288</v>
      </c>
      <c r="D24537" s="21" t="s">
        <v>34</v>
      </c>
      <c r="E24537" s="21" t="s">
        <v>35</v>
      </c>
      <c r="F24537">
        <v>7620087</v>
      </c>
      <c r="G24537" t="s">
        <v>7637</v>
      </c>
      <c r="H24537" s="21">
        <v>654.66999999999996</v>
      </c>
    </row>
    <row r="24538" spans="1:8" customFormat="1" x14ac:dyDescent="0.25">
      <c r="A24538" t="str">
        <f>"1416464"</f>
        <v>1416464</v>
      </c>
      <c r="B24538" t="s">
        <v>18153</v>
      </c>
      <c r="C24538" t="s">
        <v>55</v>
      </c>
      <c r="D24538" s="21" t="s">
        <v>34</v>
      </c>
      <c r="E24538" s="21" t="s">
        <v>71</v>
      </c>
      <c r="F24538">
        <v>9140013</v>
      </c>
      <c r="G24538" t="s">
        <v>1837</v>
      </c>
      <c r="H24538" s="21">
        <v>654.66999999999996</v>
      </c>
    </row>
    <row r="24539" spans="1:8" customFormat="1" x14ac:dyDescent="0.25">
      <c r="A24539" t="str">
        <f>"6367"</f>
        <v>6367</v>
      </c>
      <c r="B24539" t="s">
        <v>1046</v>
      </c>
      <c r="C24539" t="s">
        <v>412</v>
      </c>
      <c r="D24539" s="21" t="s">
        <v>34</v>
      </c>
      <c r="E24539" s="21" t="s">
        <v>1089</v>
      </c>
      <c r="F24539">
        <v>1630005</v>
      </c>
      <c r="G24539" t="s">
        <v>8825</v>
      </c>
      <c r="H24539" s="21">
        <v>654.66999999999996</v>
      </c>
    </row>
    <row r="24540" spans="1:8" customFormat="1" x14ac:dyDescent="0.25">
      <c r="A24540" t="str">
        <f>"5942420"</f>
        <v>5942420</v>
      </c>
      <c r="B24540" t="s">
        <v>2788</v>
      </c>
      <c r="C24540" t="s">
        <v>934</v>
      </c>
      <c r="D24540" s="21" t="s">
        <v>34</v>
      </c>
      <c r="E24540" s="21" t="s">
        <v>1089</v>
      </c>
      <c r="F24540">
        <v>7590061</v>
      </c>
      <c r="G24540" t="s">
        <v>1207</v>
      </c>
      <c r="H24540" s="21">
        <v>654.66999999999996</v>
      </c>
    </row>
    <row r="24541" spans="1:8" customFormat="1" x14ac:dyDescent="0.25">
      <c r="A24541" t="str">
        <f>"599596"</f>
        <v>599596</v>
      </c>
      <c r="B24541" t="s">
        <v>136</v>
      </c>
      <c r="C24541" t="s">
        <v>1665</v>
      </c>
      <c r="D24541" s="21" t="s">
        <v>34</v>
      </c>
      <c r="E24541" s="21" t="s">
        <v>254</v>
      </c>
      <c r="F24541">
        <v>7590047</v>
      </c>
      <c r="G24541" t="s">
        <v>5788</v>
      </c>
      <c r="H24541" s="21">
        <v>654.66999999999996</v>
      </c>
    </row>
    <row r="24542" spans="1:8" customFormat="1" x14ac:dyDescent="0.25">
      <c r="A24542" t="str">
        <f>"79419"</f>
        <v>79419</v>
      </c>
      <c r="B24542" t="s">
        <v>18119</v>
      </c>
      <c r="C24542" t="s">
        <v>1214</v>
      </c>
      <c r="D24542" s="21" t="s">
        <v>34</v>
      </c>
      <c r="E24542" s="21" t="s">
        <v>71</v>
      </c>
      <c r="F24542">
        <v>10790023</v>
      </c>
      <c r="G24542" t="s">
        <v>18120</v>
      </c>
      <c r="H24542" s="21">
        <v>654.66999999999996</v>
      </c>
    </row>
    <row r="24543" spans="1:8" customFormat="1" x14ac:dyDescent="0.25">
      <c r="A24543" t="str">
        <f>"317850"</f>
        <v>317850</v>
      </c>
      <c r="B24543" t="s">
        <v>18653</v>
      </c>
      <c r="C24543" t="s">
        <v>2520</v>
      </c>
      <c r="D24543" s="21" t="s">
        <v>34</v>
      </c>
      <c r="E24543" s="21" t="s">
        <v>254</v>
      </c>
      <c r="F24543">
        <v>11310123</v>
      </c>
      <c r="G24543" t="s">
        <v>3915</v>
      </c>
      <c r="H24543" s="21">
        <v>654.66999999999996</v>
      </c>
    </row>
    <row r="24544" spans="1:8" customFormat="1" x14ac:dyDescent="0.25">
      <c r="A24544" t="str">
        <f>"5729190"</f>
        <v>5729190</v>
      </c>
      <c r="B24544" t="s">
        <v>20101</v>
      </c>
      <c r="C24544" t="s">
        <v>498</v>
      </c>
      <c r="D24544" s="21" t="s">
        <v>34</v>
      </c>
      <c r="E24544" s="21" t="s">
        <v>254</v>
      </c>
      <c r="F24544">
        <v>6570093</v>
      </c>
      <c r="G24544" t="s">
        <v>6118</v>
      </c>
      <c r="H24544" s="21">
        <v>654.54</v>
      </c>
    </row>
    <row r="24545" spans="1:8" customFormat="1" x14ac:dyDescent="0.25">
      <c r="A24545" t="str">
        <f>"957797"</f>
        <v>957797</v>
      </c>
      <c r="B24545" t="s">
        <v>939</v>
      </c>
      <c r="C24545" t="s">
        <v>822</v>
      </c>
      <c r="D24545" s="21" t="s">
        <v>34</v>
      </c>
      <c r="E24545" s="21" t="s">
        <v>1089</v>
      </c>
      <c r="F24545">
        <v>10160225</v>
      </c>
      <c r="G24545" t="s">
        <v>2865</v>
      </c>
      <c r="H24545" s="21">
        <v>654.41999999999996</v>
      </c>
    </row>
    <row r="24546" spans="1:8" customFormat="1" x14ac:dyDescent="0.25">
      <c r="A24546" t="str">
        <f>"4412119"</f>
        <v>4412119</v>
      </c>
      <c r="B24546" t="s">
        <v>18281</v>
      </c>
      <c r="C24546" t="s">
        <v>267</v>
      </c>
      <c r="D24546" s="21" t="s">
        <v>34</v>
      </c>
      <c r="E24546" s="21" t="s">
        <v>1089</v>
      </c>
      <c r="F24546">
        <v>12440112</v>
      </c>
      <c r="G24546" t="s">
        <v>9188</v>
      </c>
      <c r="H24546" s="21">
        <v>654.41999999999996</v>
      </c>
    </row>
    <row r="24547" spans="1:8" customFormat="1" x14ac:dyDescent="0.25">
      <c r="A24547" t="str">
        <f>"6948161"</f>
        <v>6948161</v>
      </c>
      <c r="B24547" t="s">
        <v>20987</v>
      </c>
      <c r="C24547" t="s">
        <v>60</v>
      </c>
      <c r="D24547" s="21" t="s">
        <v>34</v>
      </c>
      <c r="E24547" s="21" t="s">
        <v>35</v>
      </c>
      <c r="F24547">
        <v>1690062</v>
      </c>
      <c r="G24547" t="s">
        <v>5907</v>
      </c>
      <c r="H24547" s="21">
        <v>654.29</v>
      </c>
    </row>
    <row r="24548" spans="1:8" customFormat="1" x14ac:dyDescent="0.25">
      <c r="A24548" t="str">
        <f>"7727889"</f>
        <v>7727889</v>
      </c>
      <c r="B24548" t="s">
        <v>18042</v>
      </c>
      <c r="C24548" t="s">
        <v>8345</v>
      </c>
      <c r="D24548" s="21" t="s">
        <v>34</v>
      </c>
      <c r="E24548" s="21" t="s">
        <v>71</v>
      </c>
      <c r="F24548">
        <v>8771201</v>
      </c>
      <c r="G24548" t="s">
        <v>9153</v>
      </c>
      <c r="H24548" s="21">
        <v>654.29</v>
      </c>
    </row>
    <row r="24549" spans="1:8" customFormat="1" x14ac:dyDescent="0.25">
      <c r="A24549" t="str">
        <f>"5944890"</f>
        <v>5944890</v>
      </c>
      <c r="B24549" t="s">
        <v>2868</v>
      </c>
      <c r="C24549" t="s">
        <v>547</v>
      </c>
      <c r="D24549" s="21" t="s">
        <v>34</v>
      </c>
      <c r="E24549" s="21" t="s">
        <v>1089</v>
      </c>
      <c r="F24549">
        <v>7590223</v>
      </c>
      <c r="G24549" t="s">
        <v>5218</v>
      </c>
      <c r="H24549" s="21">
        <v>654.16999999999996</v>
      </c>
    </row>
    <row r="24550" spans="1:8" customFormat="1" x14ac:dyDescent="0.25">
      <c r="A24550" t="str">
        <f>"667439"</f>
        <v>667439</v>
      </c>
      <c r="B24550" t="s">
        <v>20590</v>
      </c>
      <c r="C24550" t="s">
        <v>87</v>
      </c>
      <c r="D24550" s="21" t="s">
        <v>34</v>
      </c>
      <c r="E24550" s="21" t="s">
        <v>71</v>
      </c>
      <c r="F24550">
        <v>11660001</v>
      </c>
      <c r="G24550" t="s">
        <v>8203</v>
      </c>
      <c r="H24550" s="21">
        <v>654.16999999999996</v>
      </c>
    </row>
    <row r="24551" spans="1:8" customFormat="1" x14ac:dyDescent="0.25">
      <c r="A24551" t="str">
        <f>"5966031"</f>
        <v>5966031</v>
      </c>
      <c r="B24551" t="s">
        <v>27801</v>
      </c>
      <c r="C24551" t="s">
        <v>33</v>
      </c>
      <c r="D24551" s="21" t="s">
        <v>34</v>
      </c>
      <c r="E24551" s="21" t="s">
        <v>35</v>
      </c>
      <c r="F24551">
        <v>7590361</v>
      </c>
      <c r="G24551" t="s">
        <v>3071</v>
      </c>
      <c r="H24551" s="21">
        <v>654.16999999999996</v>
      </c>
    </row>
    <row r="24552" spans="1:8" customFormat="1" x14ac:dyDescent="0.25">
      <c r="A24552" t="str">
        <f>"191339"</f>
        <v>191339</v>
      </c>
      <c r="B24552" t="s">
        <v>9781</v>
      </c>
      <c r="C24552" t="s">
        <v>3648</v>
      </c>
      <c r="D24552" s="21" t="s">
        <v>34</v>
      </c>
      <c r="E24552" s="21" t="s">
        <v>254</v>
      </c>
      <c r="F24552">
        <v>10190111</v>
      </c>
      <c r="G24552" t="s">
        <v>13161</v>
      </c>
      <c r="H24552" s="21">
        <v>654.16999999999996</v>
      </c>
    </row>
    <row r="24553" spans="1:8" customFormat="1" x14ac:dyDescent="0.25">
      <c r="A24553" t="str">
        <f>"6710251"</f>
        <v>6710251</v>
      </c>
      <c r="B24553" t="s">
        <v>18138</v>
      </c>
      <c r="C24553" t="s">
        <v>121</v>
      </c>
      <c r="D24553" s="21" t="s">
        <v>34</v>
      </c>
      <c r="E24553" s="21" t="s">
        <v>35</v>
      </c>
      <c r="F24553">
        <v>6670092</v>
      </c>
      <c r="G24553" t="s">
        <v>10845</v>
      </c>
      <c r="H24553" s="21">
        <v>654.16999999999996</v>
      </c>
    </row>
    <row r="24554" spans="1:8" customFormat="1" x14ac:dyDescent="0.25">
      <c r="A24554" t="str">
        <f>"378265"</f>
        <v>378265</v>
      </c>
      <c r="B24554" t="s">
        <v>517</v>
      </c>
      <c r="C24554" t="s">
        <v>1631</v>
      </c>
      <c r="D24554" s="21" t="s">
        <v>34</v>
      </c>
      <c r="E24554" s="21" t="s">
        <v>35</v>
      </c>
      <c r="F24554">
        <v>4370442</v>
      </c>
      <c r="G24554" t="s">
        <v>7869</v>
      </c>
      <c r="H24554" s="21">
        <v>654.16999999999996</v>
      </c>
    </row>
    <row r="24555" spans="1:8" customFormat="1" x14ac:dyDescent="0.25">
      <c r="A24555" t="str">
        <f>"9425183"</f>
        <v>9425183</v>
      </c>
      <c r="B24555" t="s">
        <v>7122</v>
      </c>
      <c r="C24555" t="s">
        <v>453</v>
      </c>
      <c r="D24555" s="21" t="s">
        <v>34</v>
      </c>
      <c r="E24555" s="21" t="s">
        <v>254</v>
      </c>
      <c r="F24555">
        <v>11820008</v>
      </c>
      <c r="G24555" t="s">
        <v>294</v>
      </c>
      <c r="H24555" s="21">
        <v>654.16999999999996</v>
      </c>
    </row>
    <row r="24556" spans="1:8" customFormat="1" x14ac:dyDescent="0.25">
      <c r="A24556" t="str">
        <f>"6715304"</f>
        <v>6715304</v>
      </c>
      <c r="B24556" t="s">
        <v>18097</v>
      </c>
      <c r="C24556" t="s">
        <v>817</v>
      </c>
      <c r="D24556" s="21" t="s">
        <v>34</v>
      </c>
      <c r="E24556" s="21" t="s">
        <v>71</v>
      </c>
      <c r="F24556">
        <v>6670194</v>
      </c>
      <c r="G24556" t="s">
        <v>6521</v>
      </c>
      <c r="H24556" s="21">
        <v>654.16999999999996</v>
      </c>
    </row>
    <row r="24557" spans="1:8" customFormat="1" x14ac:dyDescent="0.25">
      <c r="A24557" t="str">
        <f>"6011519"</f>
        <v>6011519</v>
      </c>
      <c r="B24557" t="s">
        <v>11276</v>
      </c>
      <c r="C24557" t="s">
        <v>2100</v>
      </c>
      <c r="D24557" s="21" t="s">
        <v>34</v>
      </c>
      <c r="E24557" s="21" t="s">
        <v>254</v>
      </c>
      <c r="F24557">
        <v>7600039</v>
      </c>
      <c r="G24557" t="s">
        <v>3151</v>
      </c>
      <c r="H24557" s="21">
        <v>654.16999999999996</v>
      </c>
    </row>
    <row r="24558" spans="1:8" customFormat="1" x14ac:dyDescent="0.25">
      <c r="A24558" t="str">
        <f>"2215202"</f>
        <v>2215202</v>
      </c>
      <c r="B24558" t="s">
        <v>27802</v>
      </c>
      <c r="C24558" t="s">
        <v>3355</v>
      </c>
      <c r="D24558" s="21" t="s">
        <v>34</v>
      </c>
      <c r="E24558" s="21" t="s">
        <v>35</v>
      </c>
      <c r="F24558">
        <v>3220127</v>
      </c>
      <c r="G24558" t="s">
        <v>26652</v>
      </c>
      <c r="H24558" s="21">
        <v>654.16999999999996</v>
      </c>
    </row>
    <row r="24559" spans="1:8" customFormat="1" x14ac:dyDescent="0.25">
      <c r="A24559" t="str">
        <f>"6726036"</f>
        <v>6726036</v>
      </c>
      <c r="B24559" t="s">
        <v>3524</v>
      </c>
      <c r="C24559" t="s">
        <v>1605</v>
      </c>
      <c r="D24559" s="21" t="s">
        <v>34</v>
      </c>
      <c r="E24559" s="21" t="s">
        <v>254</v>
      </c>
      <c r="F24559">
        <v>6670246</v>
      </c>
      <c r="G24559" t="s">
        <v>7707</v>
      </c>
      <c r="H24559" s="21">
        <v>654.16999999999996</v>
      </c>
    </row>
    <row r="24560" spans="1:8" customFormat="1" x14ac:dyDescent="0.25">
      <c r="A24560" t="str">
        <f>"3523612"</f>
        <v>3523612</v>
      </c>
      <c r="B24560" t="s">
        <v>2118</v>
      </c>
      <c r="C24560" t="s">
        <v>1803</v>
      </c>
      <c r="D24560" s="21" t="s">
        <v>34</v>
      </c>
      <c r="E24560" s="21" t="s">
        <v>35</v>
      </c>
      <c r="F24560">
        <v>3350092</v>
      </c>
      <c r="G24560" t="s">
        <v>26881</v>
      </c>
      <c r="H24560" s="21">
        <v>654.16999999999996</v>
      </c>
    </row>
    <row r="24561" spans="1:8" customFormat="1" x14ac:dyDescent="0.25">
      <c r="A24561" t="str">
        <f>"8525939"</f>
        <v>8525939</v>
      </c>
      <c r="B24561" t="s">
        <v>3577</v>
      </c>
      <c r="C24561" t="s">
        <v>263</v>
      </c>
      <c r="D24561" s="21" t="s">
        <v>34</v>
      </c>
      <c r="E24561" s="21" t="s">
        <v>71</v>
      </c>
      <c r="F24561">
        <v>12850043</v>
      </c>
      <c r="G24561" t="s">
        <v>4873</v>
      </c>
      <c r="H24561" s="21">
        <v>654.16999999999996</v>
      </c>
    </row>
    <row r="24562" spans="1:8" customFormat="1" x14ac:dyDescent="0.25">
      <c r="A24562" t="str">
        <f>"8315773"</f>
        <v>8315773</v>
      </c>
      <c r="B24562" t="s">
        <v>146</v>
      </c>
      <c r="C24562" t="s">
        <v>147</v>
      </c>
      <c r="D24562" s="21" t="s">
        <v>34</v>
      </c>
      <c r="E24562" s="21" t="s">
        <v>35</v>
      </c>
      <c r="F24562">
        <v>13830051</v>
      </c>
      <c r="G24562" t="s">
        <v>2031</v>
      </c>
      <c r="H24562" s="21">
        <v>654.16999999999996</v>
      </c>
    </row>
    <row r="24563" spans="1:8" customFormat="1" x14ac:dyDescent="0.25">
      <c r="A24563" t="str">
        <f>"4437609"</f>
        <v>4437609</v>
      </c>
      <c r="B24563" t="s">
        <v>537</v>
      </c>
      <c r="C24563" t="s">
        <v>320</v>
      </c>
      <c r="D24563" s="21" t="s">
        <v>34</v>
      </c>
      <c r="E24563" s="21" t="s">
        <v>35</v>
      </c>
      <c r="F24563">
        <v>12440134</v>
      </c>
      <c r="G24563" t="s">
        <v>10580</v>
      </c>
      <c r="H24563" s="21">
        <v>654.16999999999996</v>
      </c>
    </row>
    <row r="24564" spans="1:8" customFormat="1" x14ac:dyDescent="0.25">
      <c r="A24564" t="str">
        <f>"6018653"</f>
        <v>6018653</v>
      </c>
      <c r="B24564" t="s">
        <v>9294</v>
      </c>
      <c r="C24564" t="s">
        <v>269</v>
      </c>
      <c r="D24564" s="21" t="s">
        <v>34</v>
      </c>
      <c r="E24564" s="21" t="s">
        <v>71</v>
      </c>
      <c r="F24564">
        <v>7600044</v>
      </c>
      <c r="G24564" t="s">
        <v>3411</v>
      </c>
      <c r="H24564" s="21">
        <v>654.16999999999996</v>
      </c>
    </row>
    <row r="24565" spans="1:8" customFormat="1" x14ac:dyDescent="0.25">
      <c r="A24565" t="str">
        <f>"587540"</f>
        <v>587540</v>
      </c>
      <c r="B24565" t="s">
        <v>16366</v>
      </c>
      <c r="C24565" t="s">
        <v>209</v>
      </c>
      <c r="D24565" s="21" t="s">
        <v>34</v>
      </c>
      <c r="E24565" s="21" t="s">
        <v>71</v>
      </c>
      <c r="F24565">
        <v>2580017</v>
      </c>
      <c r="G24565" t="s">
        <v>7044</v>
      </c>
      <c r="H24565" s="21">
        <v>654.16999999999996</v>
      </c>
    </row>
    <row r="24566" spans="1:8" customFormat="1" x14ac:dyDescent="0.25">
      <c r="A24566" t="str">
        <f>"3336790"</f>
        <v>3336790</v>
      </c>
      <c r="B24566" t="s">
        <v>18375</v>
      </c>
      <c r="C24566" t="s">
        <v>453</v>
      </c>
      <c r="D24566" s="21" t="s">
        <v>34</v>
      </c>
      <c r="E24566" s="21" t="s">
        <v>254</v>
      </c>
      <c r="F24566">
        <v>10330046</v>
      </c>
      <c r="G24566" t="s">
        <v>1787</v>
      </c>
      <c r="H24566" s="21">
        <v>654.16999999999996</v>
      </c>
    </row>
    <row r="24567" spans="1:8" customFormat="1" x14ac:dyDescent="0.25">
      <c r="A24567" t="str">
        <f>"516888"</f>
        <v>516888</v>
      </c>
      <c r="B24567" t="s">
        <v>3725</v>
      </c>
      <c r="C24567" t="s">
        <v>169</v>
      </c>
      <c r="D24567" s="21" t="s">
        <v>34</v>
      </c>
      <c r="E24567" s="21" t="s">
        <v>71</v>
      </c>
      <c r="F24567">
        <v>6510090</v>
      </c>
      <c r="G24567" t="s">
        <v>11924</v>
      </c>
      <c r="H24567" s="21">
        <v>654.16999999999996</v>
      </c>
    </row>
    <row r="24568" spans="1:8" customFormat="1" x14ac:dyDescent="0.25">
      <c r="A24568" t="str">
        <f>"367305"</f>
        <v>367305</v>
      </c>
      <c r="B24568" t="s">
        <v>20176</v>
      </c>
      <c r="C24568" t="s">
        <v>269</v>
      </c>
      <c r="D24568" s="21" t="s">
        <v>34</v>
      </c>
      <c r="E24568" s="21" t="s">
        <v>35</v>
      </c>
      <c r="F24568">
        <v>4360481</v>
      </c>
      <c r="G24568" t="s">
        <v>12957</v>
      </c>
      <c r="H24568" s="21">
        <v>654.16999999999996</v>
      </c>
    </row>
    <row r="24569" spans="1:8" customFormat="1" x14ac:dyDescent="0.25">
      <c r="A24569" t="str">
        <f>"9138467"</f>
        <v>9138467</v>
      </c>
      <c r="B24569" t="s">
        <v>7166</v>
      </c>
      <c r="C24569" t="s">
        <v>233</v>
      </c>
      <c r="D24569" s="21" t="s">
        <v>34</v>
      </c>
      <c r="E24569" s="21" t="s">
        <v>71</v>
      </c>
      <c r="F24569">
        <v>8910004</v>
      </c>
      <c r="G24569" t="s">
        <v>9637</v>
      </c>
      <c r="H24569" s="21">
        <v>653.91999999999996</v>
      </c>
    </row>
    <row r="24570" spans="1:8" customFormat="1" x14ac:dyDescent="0.25">
      <c r="A24570" t="str">
        <f>"9243567"</f>
        <v>9243567</v>
      </c>
      <c r="B24570" t="s">
        <v>20236</v>
      </c>
      <c r="C24570" t="s">
        <v>60</v>
      </c>
      <c r="D24570" s="21" t="s">
        <v>34</v>
      </c>
      <c r="E24570" s="21" t="s">
        <v>35</v>
      </c>
      <c r="F24570">
        <v>8920140</v>
      </c>
      <c r="G24570" t="s">
        <v>3762</v>
      </c>
      <c r="H24570" s="21">
        <v>653.79</v>
      </c>
    </row>
    <row r="24571" spans="1:8" customFormat="1" x14ac:dyDescent="0.25">
      <c r="A24571" t="str">
        <f>"431776"</f>
        <v>431776</v>
      </c>
      <c r="B24571" t="s">
        <v>911</v>
      </c>
      <c r="C24571" t="s">
        <v>3648</v>
      </c>
      <c r="D24571" s="21" t="s">
        <v>34</v>
      </c>
      <c r="E24571" s="21" t="s">
        <v>1089</v>
      </c>
      <c r="F24571">
        <v>1420308</v>
      </c>
      <c r="G24571" t="s">
        <v>14514</v>
      </c>
      <c r="H24571" s="21">
        <v>653.79</v>
      </c>
    </row>
    <row r="24572" spans="1:8" customFormat="1" x14ac:dyDescent="0.25">
      <c r="A24572" t="str">
        <f>"93244"</f>
        <v>93244</v>
      </c>
      <c r="B24572" t="s">
        <v>17435</v>
      </c>
      <c r="C24572" t="s">
        <v>453</v>
      </c>
      <c r="D24572" s="21" t="s">
        <v>34</v>
      </c>
      <c r="E24572" s="21" t="s">
        <v>1089</v>
      </c>
      <c r="F24572">
        <v>8930059</v>
      </c>
      <c r="G24572" t="s">
        <v>17436</v>
      </c>
      <c r="H24572" s="21">
        <v>653.79</v>
      </c>
    </row>
    <row r="24573" spans="1:8" customFormat="1" x14ac:dyDescent="0.25">
      <c r="A24573" t="str">
        <f>"3729132"</f>
        <v>3729132</v>
      </c>
      <c r="B24573" t="s">
        <v>431</v>
      </c>
      <c r="C24573" t="s">
        <v>462</v>
      </c>
      <c r="D24573" s="21" t="s">
        <v>34</v>
      </c>
      <c r="E24573" s="21" t="s">
        <v>35</v>
      </c>
      <c r="F24573">
        <v>4370396</v>
      </c>
      <c r="G24573" t="s">
        <v>14579</v>
      </c>
      <c r="H24573" s="21">
        <v>653.66999999999996</v>
      </c>
    </row>
    <row r="24574" spans="1:8" customFormat="1" x14ac:dyDescent="0.25">
      <c r="A24574" t="str">
        <f>"251653"</f>
        <v>251653</v>
      </c>
      <c r="B24574" t="s">
        <v>17303</v>
      </c>
      <c r="C24574" t="s">
        <v>598</v>
      </c>
      <c r="D24574" s="21" t="s">
        <v>34</v>
      </c>
      <c r="E24574" s="21" t="s">
        <v>1089</v>
      </c>
      <c r="F24574">
        <v>2250138</v>
      </c>
      <c r="G24574" t="s">
        <v>4094</v>
      </c>
      <c r="H24574" s="21">
        <v>653.66999999999996</v>
      </c>
    </row>
    <row r="24575" spans="1:8" customFormat="1" x14ac:dyDescent="0.25">
      <c r="A24575" t="str">
        <f>"0110403"</f>
        <v>0110403</v>
      </c>
      <c r="B24575" t="s">
        <v>27803</v>
      </c>
      <c r="C24575" t="s">
        <v>275</v>
      </c>
      <c r="D24575" s="21" t="s">
        <v>34</v>
      </c>
      <c r="E24575" s="21" t="s">
        <v>35</v>
      </c>
      <c r="F24575">
        <v>1010071</v>
      </c>
      <c r="G24575" t="s">
        <v>8104</v>
      </c>
      <c r="H24575" s="21">
        <v>653.66999999999996</v>
      </c>
    </row>
    <row r="24576" spans="1:8" customFormat="1" x14ac:dyDescent="0.25">
      <c r="A24576" t="str">
        <f>"2213690"</f>
        <v>2213690</v>
      </c>
      <c r="B24576" t="s">
        <v>19980</v>
      </c>
      <c r="C24576" t="s">
        <v>249</v>
      </c>
      <c r="D24576" s="21" t="s">
        <v>34</v>
      </c>
      <c r="E24576" s="21" t="s">
        <v>35</v>
      </c>
      <c r="F24576">
        <v>3220138</v>
      </c>
      <c r="G24576" t="s">
        <v>27804</v>
      </c>
      <c r="H24576" s="21">
        <v>653.66999999999996</v>
      </c>
    </row>
    <row r="24577" spans="1:8" customFormat="1" x14ac:dyDescent="0.25">
      <c r="A24577" t="str">
        <f>"7717545"</f>
        <v>7717545</v>
      </c>
      <c r="B24577" t="s">
        <v>19082</v>
      </c>
      <c r="C24577" t="s">
        <v>249</v>
      </c>
      <c r="D24577" s="21" t="s">
        <v>34</v>
      </c>
      <c r="E24577" s="21" t="s">
        <v>71</v>
      </c>
      <c r="F24577">
        <v>10870081</v>
      </c>
      <c r="G24577" t="s">
        <v>6698</v>
      </c>
      <c r="H24577" s="21">
        <v>653.66999999999996</v>
      </c>
    </row>
    <row r="24578" spans="1:8" customFormat="1" x14ac:dyDescent="0.25">
      <c r="A24578" t="str">
        <f>"6717522"</f>
        <v>6717522</v>
      </c>
      <c r="B24578" t="s">
        <v>17837</v>
      </c>
      <c r="C24578" t="s">
        <v>127</v>
      </c>
      <c r="D24578" s="21" t="s">
        <v>34</v>
      </c>
      <c r="E24578" s="21" t="s">
        <v>35</v>
      </c>
      <c r="F24578">
        <v>6670107</v>
      </c>
      <c r="G24578" t="s">
        <v>5610</v>
      </c>
      <c r="H24578" s="21">
        <v>653.66999999999996</v>
      </c>
    </row>
    <row r="24579" spans="1:8" customFormat="1" x14ac:dyDescent="0.25">
      <c r="A24579" t="str">
        <f>"3720949"</f>
        <v>3720949</v>
      </c>
      <c r="B24579" t="s">
        <v>14912</v>
      </c>
      <c r="C24579" t="s">
        <v>453</v>
      </c>
      <c r="D24579" s="21" t="s">
        <v>34</v>
      </c>
      <c r="E24579" s="21" t="s">
        <v>1089</v>
      </c>
      <c r="F24579">
        <v>4370615</v>
      </c>
      <c r="G24579" t="s">
        <v>7437</v>
      </c>
      <c r="H24579" s="21">
        <v>653.66999999999996</v>
      </c>
    </row>
    <row r="24580" spans="1:8" customFormat="1" x14ac:dyDescent="0.25">
      <c r="A24580" t="str">
        <f>"776910"</f>
        <v>776910</v>
      </c>
      <c r="B24580" t="s">
        <v>18565</v>
      </c>
      <c r="C24580" t="s">
        <v>6784</v>
      </c>
      <c r="D24580" s="21" t="s">
        <v>34</v>
      </c>
      <c r="E24580" s="21" t="s">
        <v>1089</v>
      </c>
      <c r="F24580">
        <v>8771394</v>
      </c>
      <c r="G24580" t="s">
        <v>1933</v>
      </c>
      <c r="H24580" s="21">
        <v>653.66999999999996</v>
      </c>
    </row>
    <row r="24581" spans="1:8" customFormat="1" x14ac:dyDescent="0.25">
      <c r="A24581" t="str">
        <f>"3117188"</f>
        <v>3117188</v>
      </c>
      <c r="B24581" t="s">
        <v>1263</v>
      </c>
      <c r="C24581" t="s">
        <v>127</v>
      </c>
      <c r="D24581" s="21" t="s">
        <v>34</v>
      </c>
      <c r="E24581" s="21" t="s">
        <v>35</v>
      </c>
      <c r="F24581">
        <v>11310131</v>
      </c>
      <c r="G24581" t="s">
        <v>16303</v>
      </c>
      <c r="H24581" s="21">
        <v>653.66999999999996</v>
      </c>
    </row>
    <row r="24582" spans="1:8" customFormat="1" x14ac:dyDescent="0.25">
      <c r="A24582" t="str">
        <f>"6725617"</f>
        <v>6725617</v>
      </c>
      <c r="B24582" t="s">
        <v>18190</v>
      </c>
      <c r="C24582" t="s">
        <v>267</v>
      </c>
      <c r="D24582" s="21" t="s">
        <v>34</v>
      </c>
      <c r="E24582" s="21" t="s">
        <v>71</v>
      </c>
      <c r="F24582">
        <v>6670187</v>
      </c>
      <c r="G24582" t="s">
        <v>240</v>
      </c>
      <c r="H24582" s="21">
        <v>653.66999999999996</v>
      </c>
    </row>
    <row r="24583" spans="1:8" customFormat="1" x14ac:dyDescent="0.25">
      <c r="A24583" t="str">
        <f>"842884"</f>
        <v>842884</v>
      </c>
      <c r="B24583" t="s">
        <v>18669</v>
      </c>
      <c r="C24583" t="s">
        <v>60</v>
      </c>
      <c r="D24583" s="21" t="s">
        <v>34</v>
      </c>
      <c r="E24583" s="21" t="s">
        <v>35</v>
      </c>
      <c r="F24583">
        <v>13840021</v>
      </c>
      <c r="G24583" t="s">
        <v>3946</v>
      </c>
      <c r="H24583" s="21">
        <v>653.66999999999996</v>
      </c>
    </row>
    <row r="24584" spans="1:8" customFormat="1" x14ac:dyDescent="0.25">
      <c r="A24584" t="str">
        <f>"2712920"</f>
        <v>2712920</v>
      </c>
      <c r="B24584" t="s">
        <v>19247</v>
      </c>
      <c r="C24584" t="s">
        <v>1605</v>
      </c>
      <c r="D24584" s="21" t="s">
        <v>34</v>
      </c>
      <c r="E24584" s="21" t="s">
        <v>1089</v>
      </c>
      <c r="F24584">
        <v>9760168</v>
      </c>
      <c r="G24584" t="s">
        <v>179</v>
      </c>
      <c r="H24584" s="21">
        <v>653.66999999999996</v>
      </c>
    </row>
    <row r="24585" spans="1:8" customFormat="1" x14ac:dyDescent="0.25">
      <c r="A24585" t="str">
        <f>"169907"</f>
        <v>169907</v>
      </c>
      <c r="B24585" t="s">
        <v>16796</v>
      </c>
      <c r="C24585" t="s">
        <v>114</v>
      </c>
      <c r="D24585" s="21" t="s">
        <v>34</v>
      </c>
      <c r="E24585" s="21" t="s">
        <v>71</v>
      </c>
      <c r="F24585">
        <v>10160185</v>
      </c>
      <c r="G24585" t="s">
        <v>2035</v>
      </c>
      <c r="H24585" s="21">
        <v>653.66999999999996</v>
      </c>
    </row>
    <row r="24586" spans="1:8" customFormat="1" x14ac:dyDescent="0.25">
      <c r="A24586" t="str">
        <f>"7816163"</f>
        <v>7816163</v>
      </c>
      <c r="B24586" t="s">
        <v>6359</v>
      </c>
      <c r="C24586" t="s">
        <v>2520</v>
      </c>
      <c r="D24586" s="21" t="s">
        <v>34</v>
      </c>
      <c r="E24586" s="21" t="s">
        <v>71</v>
      </c>
      <c r="F24586">
        <v>4370349</v>
      </c>
      <c r="G24586" t="s">
        <v>2287</v>
      </c>
      <c r="H24586" s="21">
        <v>653.66999999999996</v>
      </c>
    </row>
    <row r="24587" spans="1:8" customFormat="1" x14ac:dyDescent="0.25">
      <c r="A24587" t="str">
        <f>"2932650"</f>
        <v>2932650</v>
      </c>
      <c r="B24587" t="s">
        <v>18888</v>
      </c>
      <c r="C24587" t="s">
        <v>412</v>
      </c>
      <c r="D24587" s="21" t="s">
        <v>34</v>
      </c>
      <c r="E24587" s="21" t="s">
        <v>71</v>
      </c>
      <c r="F24587">
        <v>3290227</v>
      </c>
      <c r="G24587" t="s">
        <v>16400</v>
      </c>
      <c r="H24587" s="21">
        <v>653.66999999999996</v>
      </c>
    </row>
    <row r="24588" spans="1:8" customFormat="1" x14ac:dyDescent="0.25">
      <c r="A24588" t="str">
        <f>"2213304"</f>
        <v>2213304</v>
      </c>
      <c r="B24588" t="s">
        <v>18970</v>
      </c>
      <c r="C24588" t="s">
        <v>926</v>
      </c>
      <c r="D24588" s="21" t="s">
        <v>34</v>
      </c>
      <c r="E24588" s="21" t="s">
        <v>71</v>
      </c>
      <c r="F24588">
        <v>3220013</v>
      </c>
      <c r="G24588" t="s">
        <v>27198</v>
      </c>
      <c r="H24588" s="21">
        <v>653.66999999999996</v>
      </c>
    </row>
    <row r="24589" spans="1:8" customFormat="1" x14ac:dyDescent="0.25">
      <c r="A24589" t="str">
        <f>"5319444"</f>
        <v>5319444</v>
      </c>
      <c r="B24589" t="s">
        <v>27805</v>
      </c>
      <c r="C24589" t="s">
        <v>60</v>
      </c>
      <c r="D24589" s="21" t="s">
        <v>34</v>
      </c>
      <c r="E24589" s="21" t="s">
        <v>35</v>
      </c>
      <c r="F24589">
        <v>12530124</v>
      </c>
      <c r="G24589" t="s">
        <v>4935</v>
      </c>
      <c r="H24589" s="21">
        <v>653.66999999999996</v>
      </c>
    </row>
    <row r="24590" spans="1:8" customFormat="1" x14ac:dyDescent="0.25">
      <c r="A24590" t="str">
        <f>"406540"</f>
        <v>406540</v>
      </c>
      <c r="B24590" t="s">
        <v>18916</v>
      </c>
      <c r="C24590" t="s">
        <v>139</v>
      </c>
      <c r="D24590" s="21" t="s">
        <v>34</v>
      </c>
      <c r="E24590" s="21" t="s">
        <v>35</v>
      </c>
      <c r="F24590">
        <v>10400003</v>
      </c>
      <c r="G24590" t="s">
        <v>5110</v>
      </c>
      <c r="H24590" s="21">
        <v>653.66999999999996</v>
      </c>
    </row>
    <row r="24591" spans="1:8" customFormat="1" x14ac:dyDescent="0.25">
      <c r="A24591" t="str">
        <f>"6935242"</f>
        <v>6935242</v>
      </c>
      <c r="B24591" t="s">
        <v>17772</v>
      </c>
      <c r="C24591" t="s">
        <v>4623</v>
      </c>
      <c r="D24591" s="21" t="s">
        <v>34</v>
      </c>
      <c r="E24591" s="21" t="s">
        <v>35</v>
      </c>
      <c r="F24591">
        <v>1690169</v>
      </c>
      <c r="G24591" t="s">
        <v>10963</v>
      </c>
      <c r="H24591" s="21">
        <v>653.66999999999996</v>
      </c>
    </row>
    <row r="24592" spans="1:8" customFormat="1" x14ac:dyDescent="0.25">
      <c r="A24592" t="str">
        <f>"16208"</f>
        <v>16208</v>
      </c>
      <c r="B24592" t="s">
        <v>19229</v>
      </c>
      <c r="C24592" t="s">
        <v>598</v>
      </c>
      <c r="D24592" s="21" t="s">
        <v>34</v>
      </c>
      <c r="E24592" s="21" t="s">
        <v>6185</v>
      </c>
      <c r="F24592">
        <v>10160185</v>
      </c>
      <c r="G24592" t="s">
        <v>2035</v>
      </c>
      <c r="H24592" s="21">
        <v>653.41999999999996</v>
      </c>
    </row>
    <row r="24593" spans="1:8" customFormat="1" x14ac:dyDescent="0.25">
      <c r="A24593" t="str">
        <f>"9523247"</f>
        <v>9523247</v>
      </c>
      <c r="B24593" t="s">
        <v>17687</v>
      </c>
      <c r="C24593" t="s">
        <v>249</v>
      </c>
      <c r="D24593" s="21" t="s">
        <v>34</v>
      </c>
      <c r="E24593" s="21" t="s">
        <v>71</v>
      </c>
      <c r="F24593">
        <v>8950435</v>
      </c>
      <c r="G24593" t="s">
        <v>6404</v>
      </c>
      <c r="H24593" s="21">
        <v>653.41999999999996</v>
      </c>
    </row>
    <row r="24594" spans="1:8" customFormat="1" x14ac:dyDescent="0.25">
      <c r="A24594" t="str">
        <f>"7640304"</f>
        <v>7640304</v>
      </c>
      <c r="B24594" t="s">
        <v>8455</v>
      </c>
      <c r="C24594" t="s">
        <v>15184</v>
      </c>
      <c r="D24594" s="21" t="s">
        <v>34</v>
      </c>
      <c r="E24594" s="21" t="s">
        <v>35</v>
      </c>
      <c r="F24594">
        <v>9760416</v>
      </c>
      <c r="G24594" t="s">
        <v>4614</v>
      </c>
      <c r="H24594" s="21">
        <v>653.41999999999996</v>
      </c>
    </row>
    <row r="24595" spans="1:8" customFormat="1" x14ac:dyDescent="0.25">
      <c r="A24595" t="str">
        <f>"3721421"</f>
        <v>3721421</v>
      </c>
      <c r="B24595" t="s">
        <v>210</v>
      </c>
      <c r="C24595" t="s">
        <v>62</v>
      </c>
      <c r="D24595" s="21" t="s">
        <v>34</v>
      </c>
      <c r="E24595" s="21" t="s">
        <v>35</v>
      </c>
      <c r="F24595">
        <v>4370464</v>
      </c>
      <c r="G24595" t="s">
        <v>5348</v>
      </c>
      <c r="H24595" s="21">
        <v>653.29</v>
      </c>
    </row>
    <row r="24596" spans="1:8" customFormat="1" x14ac:dyDescent="0.25">
      <c r="A24596" t="str">
        <f>"6945826"</f>
        <v>6945826</v>
      </c>
      <c r="B24596" t="s">
        <v>22081</v>
      </c>
      <c r="C24596" t="s">
        <v>55</v>
      </c>
      <c r="D24596" s="21" t="s">
        <v>34</v>
      </c>
      <c r="E24596" s="21" t="s">
        <v>35</v>
      </c>
      <c r="F24596">
        <v>1690218</v>
      </c>
      <c r="G24596" t="s">
        <v>3637</v>
      </c>
      <c r="H24596" s="21">
        <v>653.16999999999996</v>
      </c>
    </row>
    <row r="24597" spans="1:8" customFormat="1" x14ac:dyDescent="0.25">
      <c r="A24597" t="str">
        <f>"1610369"</f>
        <v>1610369</v>
      </c>
      <c r="B24597" t="s">
        <v>3380</v>
      </c>
      <c r="C24597" t="s">
        <v>249</v>
      </c>
      <c r="D24597" s="21" t="s">
        <v>34</v>
      </c>
      <c r="E24597" s="21" t="s">
        <v>71</v>
      </c>
      <c r="F24597">
        <v>10160197</v>
      </c>
      <c r="G24597" t="s">
        <v>4472</v>
      </c>
      <c r="H24597" s="21">
        <v>653.16999999999996</v>
      </c>
    </row>
    <row r="24598" spans="1:8" customFormat="1" x14ac:dyDescent="0.25">
      <c r="A24598" t="str">
        <f>"107005"</f>
        <v>107005</v>
      </c>
      <c r="B24598" t="s">
        <v>3725</v>
      </c>
      <c r="C24598" t="s">
        <v>18002</v>
      </c>
      <c r="D24598" s="21" t="s">
        <v>34</v>
      </c>
      <c r="E24598" s="21" t="s">
        <v>35</v>
      </c>
      <c r="F24598">
        <v>6100032</v>
      </c>
      <c r="G24598" t="s">
        <v>1641</v>
      </c>
      <c r="H24598" s="21">
        <v>653.16999999999996</v>
      </c>
    </row>
    <row r="24599" spans="1:8" customFormat="1" x14ac:dyDescent="0.25">
      <c r="A24599" t="str">
        <f>"395038"</f>
        <v>395038</v>
      </c>
      <c r="B24599" t="s">
        <v>19011</v>
      </c>
      <c r="C24599" t="s">
        <v>249</v>
      </c>
      <c r="D24599" s="21" t="s">
        <v>34</v>
      </c>
      <c r="E24599" s="21" t="s">
        <v>71</v>
      </c>
      <c r="F24599">
        <v>2390082</v>
      </c>
      <c r="G24599" t="s">
        <v>3343</v>
      </c>
      <c r="H24599" s="21">
        <v>653.16999999999996</v>
      </c>
    </row>
    <row r="24600" spans="1:8" customFormat="1" x14ac:dyDescent="0.25">
      <c r="A24600" t="str">
        <f>"474717"</f>
        <v>474717</v>
      </c>
      <c r="B24600" t="s">
        <v>18188</v>
      </c>
      <c r="C24600" t="s">
        <v>209</v>
      </c>
      <c r="D24600" s="21" t="s">
        <v>34</v>
      </c>
      <c r="E24600" s="21" t="s">
        <v>254</v>
      </c>
      <c r="F24600">
        <v>10470009</v>
      </c>
      <c r="G24600" t="s">
        <v>4915</v>
      </c>
      <c r="H24600" s="21">
        <v>653.16999999999996</v>
      </c>
    </row>
    <row r="24601" spans="1:8" customFormat="1" x14ac:dyDescent="0.25">
      <c r="A24601" t="str">
        <f>"2720821"</f>
        <v>2720821</v>
      </c>
      <c r="B24601" t="s">
        <v>20689</v>
      </c>
      <c r="C24601" t="s">
        <v>285</v>
      </c>
      <c r="D24601" s="21" t="s">
        <v>34</v>
      </c>
      <c r="E24601" s="21" t="s">
        <v>35</v>
      </c>
      <c r="F24601">
        <v>9270008</v>
      </c>
      <c r="G24601" t="s">
        <v>7853</v>
      </c>
      <c r="H24601" s="21">
        <v>653.16999999999996</v>
      </c>
    </row>
    <row r="24602" spans="1:8" customFormat="1" x14ac:dyDescent="0.25">
      <c r="A24602" t="str">
        <f>"689885"</f>
        <v>689885</v>
      </c>
      <c r="B24602" t="s">
        <v>17786</v>
      </c>
      <c r="C24602" t="s">
        <v>2520</v>
      </c>
      <c r="D24602" s="21" t="s">
        <v>34</v>
      </c>
      <c r="E24602" s="21" t="s">
        <v>71</v>
      </c>
      <c r="F24602">
        <v>6680111</v>
      </c>
      <c r="G24602" t="s">
        <v>3422</v>
      </c>
      <c r="H24602" s="21">
        <v>653.16999999999996</v>
      </c>
    </row>
    <row r="24603" spans="1:8" customFormat="1" x14ac:dyDescent="0.25">
      <c r="A24603" t="str">
        <f>"904337"</f>
        <v>904337</v>
      </c>
      <c r="B24603" t="s">
        <v>20550</v>
      </c>
      <c r="C24603" t="s">
        <v>2479</v>
      </c>
      <c r="D24603" s="21" t="s">
        <v>34</v>
      </c>
      <c r="E24603" s="21" t="s">
        <v>254</v>
      </c>
      <c r="F24603">
        <v>2900042</v>
      </c>
      <c r="G24603" t="s">
        <v>7866</v>
      </c>
      <c r="H24603" s="21">
        <v>653.16999999999996</v>
      </c>
    </row>
    <row r="24604" spans="1:8" customFormat="1" x14ac:dyDescent="0.25">
      <c r="A24604" t="str">
        <f>"7221397"</f>
        <v>7221397</v>
      </c>
      <c r="B24604" t="s">
        <v>4382</v>
      </c>
      <c r="C24604" t="s">
        <v>267</v>
      </c>
      <c r="D24604" s="21" t="s">
        <v>34</v>
      </c>
      <c r="E24604" s="21" t="s">
        <v>35</v>
      </c>
      <c r="F24604">
        <v>12720034</v>
      </c>
      <c r="G24604" t="s">
        <v>4561</v>
      </c>
      <c r="H24604" s="21">
        <v>653.16999999999996</v>
      </c>
    </row>
    <row r="24605" spans="1:8" customFormat="1" x14ac:dyDescent="0.25">
      <c r="A24605" t="str">
        <f>"5416439"</f>
        <v>5416439</v>
      </c>
      <c r="B24605" t="s">
        <v>19737</v>
      </c>
      <c r="C24605" t="s">
        <v>336</v>
      </c>
      <c r="D24605" s="21" t="s">
        <v>34</v>
      </c>
      <c r="E24605" s="21" t="s">
        <v>71</v>
      </c>
      <c r="F24605">
        <v>6540001</v>
      </c>
      <c r="G24605" t="s">
        <v>5886</v>
      </c>
      <c r="H24605" s="21">
        <v>653.16999999999996</v>
      </c>
    </row>
    <row r="24606" spans="1:8" customFormat="1" x14ac:dyDescent="0.25">
      <c r="A24606" t="str">
        <f>"807136"</f>
        <v>807136</v>
      </c>
      <c r="B24606" t="s">
        <v>2337</v>
      </c>
      <c r="C24606" t="s">
        <v>879</v>
      </c>
      <c r="D24606" s="21" t="s">
        <v>34</v>
      </c>
      <c r="E24606" s="21" t="s">
        <v>35</v>
      </c>
      <c r="F24606">
        <v>8930452</v>
      </c>
      <c r="G24606" t="s">
        <v>83</v>
      </c>
      <c r="H24606" s="21">
        <v>653.16999999999996</v>
      </c>
    </row>
    <row r="24607" spans="1:8" customFormat="1" x14ac:dyDescent="0.25">
      <c r="A24607" t="str">
        <f>"6014599"</f>
        <v>6014599</v>
      </c>
      <c r="B24607" t="s">
        <v>2726</v>
      </c>
      <c r="C24607" t="s">
        <v>462</v>
      </c>
      <c r="D24607" s="21" t="s">
        <v>34</v>
      </c>
      <c r="E24607" s="21" t="s">
        <v>35</v>
      </c>
      <c r="F24607">
        <v>7600112</v>
      </c>
      <c r="G24607" t="s">
        <v>9272</v>
      </c>
      <c r="H24607" s="21">
        <v>653.16999999999996</v>
      </c>
    </row>
    <row r="24608" spans="1:8" customFormat="1" x14ac:dyDescent="0.25">
      <c r="A24608" t="str">
        <f>"806820"</f>
        <v>806820</v>
      </c>
      <c r="B24608" t="s">
        <v>16365</v>
      </c>
      <c r="C24608" t="s">
        <v>263</v>
      </c>
      <c r="D24608" s="21" t="s">
        <v>34</v>
      </c>
      <c r="E24608" s="21" t="s">
        <v>71</v>
      </c>
      <c r="F24608">
        <v>7800030</v>
      </c>
      <c r="G24608" t="s">
        <v>13589</v>
      </c>
      <c r="H24608" s="21">
        <v>653.16999999999996</v>
      </c>
    </row>
    <row r="24609" spans="1:8" customFormat="1" x14ac:dyDescent="0.25">
      <c r="A24609" t="str">
        <f>"6717431"</f>
        <v>6717431</v>
      </c>
      <c r="B24609" t="s">
        <v>27806</v>
      </c>
      <c r="C24609" t="s">
        <v>249</v>
      </c>
      <c r="D24609" s="21" t="s">
        <v>34</v>
      </c>
      <c r="E24609" s="21" t="s">
        <v>71</v>
      </c>
      <c r="F24609">
        <v>6670203</v>
      </c>
      <c r="G24609" t="s">
        <v>2371</v>
      </c>
      <c r="H24609" s="21">
        <v>653.16999999999996</v>
      </c>
    </row>
    <row r="24610" spans="1:8" customFormat="1" x14ac:dyDescent="0.25">
      <c r="A24610" t="str">
        <f>"7616715"</f>
        <v>7616715</v>
      </c>
      <c r="B24610" t="s">
        <v>7583</v>
      </c>
      <c r="C24610" t="s">
        <v>1539</v>
      </c>
      <c r="D24610" s="21" t="s">
        <v>34</v>
      </c>
      <c r="E24610" s="21" t="s">
        <v>35</v>
      </c>
      <c r="F24610">
        <v>9760269</v>
      </c>
      <c r="G24610" t="s">
        <v>10282</v>
      </c>
      <c r="H24610" s="21">
        <v>653.16999999999996</v>
      </c>
    </row>
    <row r="24611" spans="1:8" customFormat="1" x14ac:dyDescent="0.25">
      <c r="A24611" t="str">
        <f>"3526681"</f>
        <v>3526681</v>
      </c>
      <c r="B24611" t="s">
        <v>146</v>
      </c>
      <c r="C24611" t="s">
        <v>206</v>
      </c>
      <c r="D24611" s="21" t="s">
        <v>34</v>
      </c>
      <c r="E24611" s="21" t="s">
        <v>35</v>
      </c>
      <c r="F24611">
        <v>3350029</v>
      </c>
      <c r="G24611" t="s">
        <v>16914</v>
      </c>
      <c r="H24611" s="21">
        <v>653.16999999999996</v>
      </c>
    </row>
    <row r="24612" spans="1:8" customFormat="1" x14ac:dyDescent="0.25">
      <c r="A24612" t="str">
        <f>"4512802"</f>
        <v>4512802</v>
      </c>
      <c r="B24612" t="s">
        <v>27807</v>
      </c>
      <c r="C24612" t="s">
        <v>33</v>
      </c>
      <c r="D24612" s="21" t="s">
        <v>34</v>
      </c>
      <c r="E24612" s="21" t="s">
        <v>35</v>
      </c>
      <c r="F24612">
        <v>4450285</v>
      </c>
      <c r="G24612" t="s">
        <v>7118</v>
      </c>
      <c r="H24612" s="21">
        <v>653.16999999999996</v>
      </c>
    </row>
    <row r="24613" spans="1:8" customFormat="1" x14ac:dyDescent="0.25">
      <c r="A24613" t="str">
        <f>"5914299"</f>
        <v>5914299</v>
      </c>
      <c r="B24613" t="s">
        <v>5648</v>
      </c>
      <c r="C24613" t="s">
        <v>55</v>
      </c>
      <c r="D24613" s="21" t="s">
        <v>34</v>
      </c>
      <c r="E24613" s="21" t="s">
        <v>71</v>
      </c>
      <c r="F24613">
        <v>7590228</v>
      </c>
      <c r="G24613" t="s">
        <v>1798</v>
      </c>
      <c r="H24613" s="21">
        <v>653.16999999999996</v>
      </c>
    </row>
    <row r="24614" spans="1:8" customFormat="1" x14ac:dyDescent="0.25">
      <c r="A24614" t="str">
        <f>"513911"</f>
        <v>513911</v>
      </c>
      <c r="B24614" t="s">
        <v>17751</v>
      </c>
      <c r="C24614" t="s">
        <v>130</v>
      </c>
      <c r="D24614" s="21" t="s">
        <v>34</v>
      </c>
      <c r="E24614" s="21" t="s">
        <v>35</v>
      </c>
      <c r="F24614">
        <v>6510053</v>
      </c>
      <c r="G24614" t="s">
        <v>27203</v>
      </c>
      <c r="H24614" s="21">
        <v>653.16999999999996</v>
      </c>
    </row>
    <row r="24615" spans="1:8" customFormat="1" x14ac:dyDescent="0.25">
      <c r="A24615" t="str">
        <f>"5730406"</f>
        <v>5730406</v>
      </c>
      <c r="B24615" t="s">
        <v>19164</v>
      </c>
      <c r="C24615" t="s">
        <v>40</v>
      </c>
      <c r="D24615" s="21" t="s">
        <v>34</v>
      </c>
      <c r="E24615" s="21" t="s">
        <v>254</v>
      </c>
      <c r="F24615">
        <v>6570019</v>
      </c>
      <c r="G24615" t="s">
        <v>1510</v>
      </c>
      <c r="H24615" s="21">
        <v>653.04</v>
      </c>
    </row>
    <row r="24616" spans="1:8" customFormat="1" x14ac:dyDescent="0.25">
      <c r="A24616" t="str">
        <f>"3533618"</f>
        <v>3533618</v>
      </c>
      <c r="B24616" t="s">
        <v>19400</v>
      </c>
      <c r="C24616" t="s">
        <v>4161</v>
      </c>
      <c r="D24616" s="21" t="s">
        <v>34</v>
      </c>
      <c r="E24616" s="21" t="s">
        <v>35</v>
      </c>
      <c r="F24616">
        <v>3350074</v>
      </c>
      <c r="G24616" t="s">
        <v>5432</v>
      </c>
      <c r="H24616" s="21">
        <v>652.66999999999996</v>
      </c>
    </row>
    <row r="24617" spans="1:8" customFormat="1" x14ac:dyDescent="0.25">
      <c r="A24617" t="str">
        <f>"9525610"</f>
        <v>9525610</v>
      </c>
      <c r="B24617" t="s">
        <v>16839</v>
      </c>
      <c r="C24617" t="s">
        <v>528</v>
      </c>
      <c r="D24617" s="21" t="s">
        <v>34</v>
      </c>
      <c r="E24617" s="21" t="s">
        <v>71</v>
      </c>
      <c r="F24617">
        <v>8950330</v>
      </c>
      <c r="G24617" t="s">
        <v>794</v>
      </c>
      <c r="H24617" s="21">
        <v>652.66999999999996</v>
      </c>
    </row>
    <row r="24618" spans="1:8" customFormat="1" x14ac:dyDescent="0.25">
      <c r="A24618" t="str">
        <f>"6928908"</f>
        <v>6928908</v>
      </c>
      <c r="B24618" t="s">
        <v>27808</v>
      </c>
      <c r="C24618" t="s">
        <v>209</v>
      </c>
      <c r="D24618" s="21" t="s">
        <v>34</v>
      </c>
      <c r="E24618" s="21" t="s">
        <v>71</v>
      </c>
      <c r="F24618">
        <v>1690160</v>
      </c>
      <c r="G24618" t="s">
        <v>4599</v>
      </c>
      <c r="H24618" s="21">
        <v>652.66999999999996</v>
      </c>
    </row>
    <row r="24619" spans="1:8" customFormat="1" x14ac:dyDescent="0.25">
      <c r="A24619" t="str">
        <f>"1617"</f>
        <v>1617</v>
      </c>
      <c r="B24619" t="s">
        <v>1422</v>
      </c>
      <c r="C24619" t="s">
        <v>412</v>
      </c>
      <c r="D24619" s="21" t="s">
        <v>34</v>
      </c>
      <c r="E24619" s="21" t="s">
        <v>254</v>
      </c>
      <c r="F24619">
        <v>10160003</v>
      </c>
      <c r="G24619" t="s">
        <v>4692</v>
      </c>
      <c r="H24619" s="21">
        <v>652.66999999999996</v>
      </c>
    </row>
    <row r="24620" spans="1:8" customFormat="1" x14ac:dyDescent="0.25">
      <c r="A24620" t="str">
        <f>"6022648"</f>
        <v>6022648</v>
      </c>
      <c r="B24620" t="s">
        <v>19658</v>
      </c>
      <c r="C24620" t="s">
        <v>288</v>
      </c>
      <c r="D24620" s="21" t="s">
        <v>34</v>
      </c>
      <c r="E24620" s="21" t="s">
        <v>35</v>
      </c>
      <c r="F24620">
        <v>7600163</v>
      </c>
      <c r="G24620" t="s">
        <v>12203</v>
      </c>
      <c r="H24620" s="21">
        <v>652.66999999999996</v>
      </c>
    </row>
    <row r="24621" spans="1:8" customFormat="1" x14ac:dyDescent="0.25">
      <c r="A24621" t="str">
        <f>"591931"</f>
        <v>591931</v>
      </c>
      <c r="B24621" t="s">
        <v>17534</v>
      </c>
      <c r="C24621" t="s">
        <v>3010</v>
      </c>
      <c r="D24621" s="21" t="s">
        <v>34</v>
      </c>
      <c r="E24621" s="21" t="s">
        <v>254</v>
      </c>
      <c r="F24621">
        <v>7590087</v>
      </c>
      <c r="G24621" t="s">
        <v>2112</v>
      </c>
      <c r="H24621" s="21">
        <v>652.66999999999996</v>
      </c>
    </row>
    <row r="24622" spans="1:8" customFormat="1" x14ac:dyDescent="0.25">
      <c r="A24622" t="str">
        <f>"7629459"</f>
        <v>7629459</v>
      </c>
      <c r="B24622" t="s">
        <v>2816</v>
      </c>
      <c r="C24622" t="s">
        <v>236</v>
      </c>
      <c r="D24622" s="21" t="s">
        <v>34</v>
      </c>
      <c r="E24622" s="21" t="s">
        <v>1089</v>
      </c>
      <c r="F24622">
        <v>9760100</v>
      </c>
      <c r="G24622" t="s">
        <v>9182</v>
      </c>
      <c r="H24622" s="21">
        <v>652.66999999999996</v>
      </c>
    </row>
    <row r="24623" spans="1:8" customFormat="1" x14ac:dyDescent="0.25">
      <c r="A24623" t="str">
        <f>"3325711"</f>
        <v>3325711</v>
      </c>
      <c r="B24623" t="s">
        <v>12582</v>
      </c>
      <c r="C24623" t="s">
        <v>96</v>
      </c>
      <c r="D24623" s="21" t="s">
        <v>34</v>
      </c>
      <c r="E24623" s="21" t="s">
        <v>35</v>
      </c>
      <c r="F24623">
        <v>10330013</v>
      </c>
      <c r="G24623" t="s">
        <v>613</v>
      </c>
      <c r="H24623" s="21">
        <v>652.66999999999996</v>
      </c>
    </row>
    <row r="24624" spans="1:8" customFormat="1" x14ac:dyDescent="0.25">
      <c r="A24624" t="str">
        <f>"7211164"</f>
        <v>7211164</v>
      </c>
      <c r="B24624" t="s">
        <v>19489</v>
      </c>
      <c r="C24624" t="s">
        <v>415</v>
      </c>
      <c r="D24624" s="21" t="s">
        <v>34</v>
      </c>
      <c r="E24624" s="21" t="s">
        <v>254</v>
      </c>
      <c r="F24624">
        <v>12720045</v>
      </c>
      <c r="G24624" t="s">
        <v>2484</v>
      </c>
      <c r="H24624" s="21">
        <v>652.66999999999996</v>
      </c>
    </row>
    <row r="24625" spans="1:8" customFormat="1" x14ac:dyDescent="0.25">
      <c r="A24625" t="str">
        <f>"319153"</f>
        <v>319153</v>
      </c>
      <c r="B24625" t="s">
        <v>4096</v>
      </c>
      <c r="C24625" t="s">
        <v>109</v>
      </c>
      <c r="D24625" s="21" t="s">
        <v>34</v>
      </c>
      <c r="E24625" s="21" t="s">
        <v>35</v>
      </c>
      <c r="F24625">
        <v>11310064</v>
      </c>
      <c r="G24625" t="s">
        <v>931</v>
      </c>
      <c r="H24625" s="21">
        <v>652.66999999999996</v>
      </c>
    </row>
    <row r="24626" spans="1:8" customFormat="1" x14ac:dyDescent="0.25">
      <c r="A24626" t="str">
        <f>"246049"</f>
        <v>246049</v>
      </c>
      <c r="B24626" t="s">
        <v>15578</v>
      </c>
      <c r="C24626" t="s">
        <v>10958</v>
      </c>
      <c r="D24626" s="21" t="s">
        <v>34</v>
      </c>
      <c r="E24626" s="21" t="s">
        <v>35</v>
      </c>
      <c r="F24626">
        <v>10240015</v>
      </c>
      <c r="G24626" t="s">
        <v>8589</v>
      </c>
      <c r="H24626" s="21">
        <v>652.66999999999996</v>
      </c>
    </row>
    <row r="24627" spans="1:8" customFormat="1" x14ac:dyDescent="0.25">
      <c r="A24627" t="str">
        <f>"6224775"</f>
        <v>6224775</v>
      </c>
      <c r="B24627" t="s">
        <v>18344</v>
      </c>
      <c r="C24627" t="s">
        <v>320</v>
      </c>
      <c r="D24627" s="21" t="s">
        <v>34</v>
      </c>
      <c r="E24627" s="21" t="s">
        <v>71</v>
      </c>
      <c r="F24627">
        <v>7620047</v>
      </c>
      <c r="G24627" t="s">
        <v>16200</v>
      </c>
      <c r="H24627" s="21">
        <v>652.66999999999996</v>
      </c>
    </row>
    <row r="24628" spans="1:8" customFormat="1" x14ac:dyDescent="0.25">
      <c r="A24628" t="str">
        <f>"9145317"</f>
        <v>9145317</v>
      </c>
      <c r="B24628" t="s">
        <v>16540</v>
      </c>
      <c r="C24628" t="s">
        <v>8546</v>
      </c>
      <c r="D24628" s="21" t="s">
        <v>34</v>
      </c>
      <c r="E24628" s="21" t="s">
        <v>35</v>
      </c>
      <c r="F24628">
        <v>8910861</v>
      </c>
      <c r="G24628" t="s">
        <v>1120</v>
      </c>
      <c r="H24628" s="21">
        <v>652.66999999999996</v>
      </c>
    </row>
    <row r="24629" spans="1:8" customFormat="1" x14ac:dyDescent="0.25">
      <c r="A24629" t="str">
        <f>"6021671"</f>
        <v>6021671</v>
      </c>
      <c r="B24629" t="s">
        <v>136</v>
      </c>
      <c r="C24629" t="s">
        <v>1025</v>
      </c>
      <c r="D24629" s="21" t="s">
        <v>34</v>
      </c>
      <c r="E24629" s="21" t="s">
        <v>71</v>
      </c>
      <c r="F24629">
        <v>7600154</v>
      </c>
      <c r="G24629" t="s">
        <v>7836</v>
      </c>
      <c r="H24629" s="21">
        <v>652.66999999999996</v>
      </c>
    </row>
    <row r="24630" spans="1:8" customFormat="1" x14ac:dyDescent="0.25">
      <c r="A24630" t="str">
        <f>"4443754"</f>
        <v>4443754</v>
      </c>
      <c r="B24630" t="s">
        <v>6868</v>
      </c>
      <c r="C24630" t="s">
        <v>127</v>
      </c>
      <c r="D24630" s="21" t="s">
        <v>34</v>
      </c>
      <c r="E24630" s="21" t="s">
        <v>35</v>
      </c>
      <c r="F24630">
        <v>12440277</v>
      </c>
      <c r="G24630" t="s">
        <v>10430</v>
      </c>
      <c r="H24630" s="21">
        <v>652.66999999999996</v>
      </c>
    </row>
    <row r="24631" spans="1:8" customFormat="1" x14ac:dyDescent="0.25">
      <c r="A24631" t="str">
        <f>"9124052"</f>
        <v>9124052</v>
      </c>
      <c r="B24631" t="s">
        <v>18384</v>
      </c>
      <c r="C24631" t="s">
        <v>3073</v>
      </c>
      <c r="D24631" s="21" t="s">
        <v>34</v>
      </c>
      <c r="E24631" s="21" t="s">
        <v>71</v>
      </c>
      <c r="F24631">
        <v>8911439</v>
      </c>
      <c r="G24631" t="s">
        <v>3953</v>
      </c>
      <c r="H24631" s="21">
        <v>652.66999999999996</v>
      </c>
    </row>
    <row r="24632" spans="1:8" customFormat="1" x14ac:dyDescent="0.25">
      <c r="A24632" t="str">
        <f>"9239685"</f>
        <v>9239685</v>
      </c>
      <c r="B24632" t="s">
        <v>18991</v>
      </c>
      <c r="C24632" t="s">
        <v>124</v>
      </c>
      <c r="D24632" s="21" t="s">
        <v>34</v>
      </c>
      <c r="E24632" s="21" t="s">
        <v>35</v>
      </c>
      <c r="F24632">
        <v>8920049</v>
      </c>
      <c r="G24632" t="s">
        <v>237</v>
      </c>
      <c r="H24632" s="21">
        <v>652.66999999999996</v>
      </c>
    </row>
    <row r="24633" spans="1:8" customFormat="1" x14ac:dyDescent="0.25">
      <c r="A24633" t="str">
        <f>"1716575"</f>
        <v>1716575</v>
      </c>
      <c r="B24633" t="s">
        <v>20107</v>
      </c>
      <c r="C24633" t="s">
        <v>428</v>
      </c>
      <c r="D24633" s="21" t="s">
        <v>34</v>
      </c>
      <c r="E24633" s="21" t="s">
        <v>35</v>
      </c>
      <c r="F24633">
        <v>10170033</v>
      </c>
      <c r="G24633" t="s">
        <v>3756</v>
      </c>
      <c r="H24633" s="21">
        <v>652.66999999999996</v>
      </c>
    </row>
    <row r="24634" spans="1:8" customFormat="1" x14ac:dyDescent="0.25">
      <c r="A24634" t="str">
        <f>"038375"</f>
        <v>038375</v>
      </c>
      <c r="B24634" t="s">
        <v>20197</v>
      </c>
      <c r="C24634" t="s">
        <v>130</v>
      </c>
      <c r="D24634" s="21" t="s">
        <v>34</v>
      </c>
      <c r="E24634" s="21" t="s">
        <v>71</v>
      </c>
      <c r="F24634">
        <v>1030082</v>
      </c>
      <c r="G24634" t="s">
        <v>26828</v>
      </c>
      <c r="H24634" s="21">
        <v>652.66999999999996</v>
      </c>
    </row>
    <row r="24635" spans="1:8" customFormat="1" x14ac:dyDescent="0.25">
      <c r="A24635" t="str">
        <f>"4436193"</f>
        <v>4436193</v>
      </c>
      <c r="B24635" t="s">
        <v>17103</v>
      </c>
      <c r="C24635" t="s">
        <v>65</v>
      </c>
      <c r="D24635" s="21" t="s">
        <v>34</v>
      </c>
      <c r="E24635" s="21" t="s">
        <v>35</v>
      </c>
      <c r="F24635">
        <v>12440028</v>
      </c>
      <c r="G24635" t="s">
        <v>1314</v>
      </c>
      <c r="H24635" s="21">
        <v>652.66999999999996</v>
      </c>
    </row>
    <row r="24636" spans="1:8" customFormat="1" x14ac:dyDescent="0.25">
      <c r="A24636" t="str">
        <f>"188676"</f>
        <v>188676</v>
      </c>
      <c r="B24636" t="s">
        <v>20461</v>
      </c>
      <c r="C24636" t="s">
        <v>62</v>
      </c>
      <c r="D24636" s="21" t="s">
        <v>34</v>
      </c>
      <c r="E24636" s="21" t="s">
        <v>35</v>
      </c>
      <c r="F24636">
        <v>4180728</v>
      </c>
      <c r="G24636" t="s">
        <v>17088</v>
      </c>
      <c r="H24636" s="21">
        <v>652.66999999999996</v>
      </c>
    </row>
    <row r="24637" spans="1:8" customFormat="1" x14ac:dyDescent="0.25">
      <c r="A24637" t="str">
        <f>"404985"</f>
        <v>404985</v>
      </c>
      <c r="B24637" t="s">
        <v>18025</v>
      </c>
      <c r="C24637" t="s">
        <v>253</v>
      </c>
      <c r="D24637" s="21" t="s">
        <v>34</v>
      </c>
      <c r="E24637" s="21" t="s">
        <v>1089</v>
      </c>
      <c r="F24637">
        <v>10400026</v>
      </c>
      <c r="G24637" t="s">
        <v>9919</v>
      </c>
      <c r="H24637" s="21">
        <v>652.66999999999996</v>
      </c>
    </row>
    <row r="24638" spans="1:8" customFormat="1" x14ac:dyDescent="0.25">
      <c r="A24638" t="str">
        <f>"6112197"</f>
        <v>6112197</v>
      </c>
      <c r="B24638" t="s">
        <v>1027</v>
      </c>
      <c r="C24638" t="s">
        <v>1146</v>
      </c>
      <c r="D24638" s="21" t="s">
        <v>34</v>
      </c>
      <c r="E24638" s="21" t="s">
        <v>254</v>
      </c>
      <c r="F24638">
        <v>9610073</v>
      </c>
      <c r="G24638" t="s">
        <v>8382</v>
      </c>
      <c r="H24638" s="21">
        <v>652.66999999999996</v>
      </c>
    </row>
    <row r="24639" spans="1:8" customFormat="1" x14ac:dyDescent="0.25">
      <c r="A24639" t="str">
        <f>"404355"</f>
        <v>404355</v>
      </c>
      <c r="B24639" t="s">
        <v>17602</v>
      </c>
      <c r="C24639" t="s">
        <v>121</v>
      </c>
      <c r="D24639" s="21" t="s">
        <v>34</v>
      </c>
      <c r="E24639" s="21" t="s">
        <v>71</v>
      </c>
      <c r="F24639">
        <v>10400021</v>
      </c>
      <c r="G24639" t="s">
        <v>12111</v>
      </c>
      <c r="H24639" s="21">
        <v>652.66999999999996</v>
      </c>
    </row>
    <row r="24640" spans="1:8" customFormat="1" x14ac:dyDescent="0.25">
      <c r="A24640" t="str">
        <f>"342177"</f>
        <v>342177</v>
      </c>
      <c r="B24640" t="s">
        <v>17840</v>
      </c>
      <c r="C24640" t="s">
        <v>412</v>
      </c>
      <c r="D24640" s="21" t="s">
        <v>34</v>
      </c>
      <c r="E24640" s="21" t="s">
        <v>1089</v>
      </c>
      <c r="F24640">
        <v>11340047</v>
      </c>
      <c r="G24640" t="s">
        <v>4303</v>
      </c>
      <c r="H24640" s="21">
        <v>652.66999999999996</v>
      </c>
    </row>
    <row r="24641" spans="1:8" customFormat="1" x14ac:dyDescent="0.25">
      <c r="A24641" t="str">
        <f>"618025"</f>
        <v>618025</v>
      </c>
      <c r="B24641" t="s">
        <v>3455</v>
      </c>
      <c r="C24641" t="s">
        <v>772</v>
      </c>
      <c r="D24641" s="21" t="s">
        <v>34</v>
      </c>
      <c r="E24641" s="21" t="s">
        <v>71</v>
      </c>
      <c r="F24641">
        <v>9610056</v>
      </c>
      <c r="G24641" t="s">
        <v>11830</v>
      </c>
      <c r="H24641" s="21">
        <v>652.66999999999996</v>
      </c>
    </row>
    <row r="24642" spans="1:8" customFormat="1" x14ac:dyDescent="0.25">
      <c r="A24642" t="str">
        <f>"3342773"</f>
        <v>3342773</v>
      </c>
      <c r="B24642" t="s">
        <v>18486</v>
      </c>
      <c r="C24642" t="s">
        <v>43</v>
      </c>
      <c r="D24642" s="21" t="s">
        <v>34</v>
      </c>
      <c r="E24642" s="21" t="s">
        <v>35</v>
      </c>
      <c r="F24642">
        <v>10330123</v>
      </c>
      <c r="G24642" t="s">
        <v>12101</v>
      </c>
      <c r="H24642" s="21">
        <v>652.66999999999996</v>
      </c>
    </row>
    <row r="24643" spans="1:8" customFormat="1" x14ac:dyDescent="0.25">
      <c r="A24643" t="str">
        <f>"7629833"</f>
        <v>7629833</v>
      </c>
      <c r="B24643" t="s">
        <v>5951</v>
      </c>
      <c r="C24643" t="s">
        <v>109</v>
      </c>
      <c r="D24643" s="21" t="s">
        <v>34</v>
      </c>
      <c r="E24643" s="21" t="s">
        <v>35</v>
      </c>
      <c r="F24643">
        <v>9760419</v>
      </c>
      <c r="G24643" t="s">
        <v>8549</v>
      </c>
      <c r="H24643" s="21">
        <v>652.66999999999996</v>
      </c>
    </row>
    <row r="24644" spans="1:8" customFormat="1" x14ac:dyDescent="0.25">
      <c r="A24644" t="str">
        <f>"497639"</f>
        <v>497639</v>
      </c>
      <c r="B24644" t="s">
        <v>2010</v>
      </c>
      <c r="C24644" t="s">
        <v>323</v>
      </c>
      <c r="D24644" s="21" t="s">
        <v>34</v>
      </c>
      <c r="E24644" s="21" t="s">
        <v>254</v>
      </c>
      <c r="F24644">
        <v>12490040</v>
      </c>
      <c r="G24644" t="s">
        <v>94</v>
      </c>
      <c r="H24644" s="21">
        <v>652.66999999999996</v>
      </c>
    </row>
    <row r="24645" spans="1:8" customFormat="1" x14ac:dyDescent="0.25">
      <c r="A24645" t="str">
        <f>"905821"</f>
        <v>905821</v>
      </c>
      <c r="B24645" t="s">
        <v>21611</v>
      </c>
      <c r="C24645" t="s">
        <v>459</v>
      </c>
      <c r="D24645" s="21" t="s">
        <v>34</v>
      </c>
      <c r="E24645" s="21" t="s">
        <v>35</v>
      </c>
      <c r="F24645">
        <v>2900041</v>
      </c>
      <c r="G24645" t="s">
        <v>4635</v>
      </c>
      <c r="H24645" s="21">
        <v>652.66999999999996</v>
      </c>
    </row>
    <row r="24646" spans="1:8" customFormat="1" x14ac:dyDescent="0.25">
      <c r="A24646" t="str">
        <f>"4453609"</f>
        <v>4453609</v>
      </c>
      <c r="B24646" t="s">
        <v>21318</v>
      </c>
      <c r="C24646" t="s">
        <v>598</v>
      </c>
      <c r="D24646" s="21" t="s">
        <v>34</v>
      </c>
      <c r="E24646" s="21" t="s">
        <v>71</v>
      </c>
      <c r="F24646">
        <v>12440014</v>
      </c>
      <c r="G24646" t="s">
        <v>6767</v>
      </c>
      <c r="H24646" s="21">
        <v>652.54</v>
      </c>
    </row>
    <row r="24647" spans="1:8" customFormat="1" x14ac:dyDescent="0.25">
      <c r="A24647" t="str">
        <f>"2720562"</f>
        <v>2720562</v>
      </c>
      <c r="B24647" t="s">
        <v>22023</v>
      </c>
      <c r="C24647" t="s">
        <v>62</v>
      </c>
      <c r="D24647" s="21" t="s">
        <v>34</v>
      </c>
      <c r="E24647" s="21" t="s">
        <v>35</v>
      </c>
      <c r="F24647">
        <v>9270180</v>
      </c>
      <c r="G24647" t="s">
        <v>10755</v>
      </c>
      <c r="H24647" s="21">
        <v>652.54</v>
      </c>
    </row>
    <row r="24648" spans="1:8" customFormat="1" x14ac:dyDescent="0.25">
      <c r="A24648" t="str">
        <f>"5976091"</f>
        <v>5976091</v>
      </c>
      <c r="B24648" t="s">
        <v>20576</v>
      </c>
      <c r="C24648" t="s">
        <v>55</v>
      </c>
      <c r="D24648" s="21" t="s">
        <v>34</v>
      </c>
      <c r="E24648" s="21" t="s">
        <v>71</v>
      </c>
      <c r="F24648">
        <v>7590204</v>
      </c>
      <c r="G24648" t="s">
        <v>696</v>
      </c>
      <c r="H24648" s="21">
        <v>652.41999999999996</v>
      </c>
    </row>
    <row r="24649" spans="1:8" customFormat="1" x14ac:dyDescent="0.25">
      <c r="A24649" t="str">
        <f>"7611837"</f>
        <v>7611837</v>
      </c>
      <c r="B24649" t="s">
        <v>17932</v>
      </c>
      <c r="C24649" t="s">
        <v>2904</v>
      </c>
      <c r="D24649" s="21" t="s">
        <v>34</v>
      </c>
      <c r="E24649" s="21" t="s">
        <v>254</v>
      </c>
      <c r="F24649">
        <v>9760351</v>
      </c>
      <c r="G24649" t="s">
        <v>5898</v>
      </c>
      <c r="H24649" s="21">
        <v>652.41999999999996</v>
      </c>
    </row>
    <row r="24650" spans="1:8" customFormat="1" x14ac:dyDescent="0.25">
      <c r="A24650" t="str">
        <f>"936064"</f>
        <v>936064</v>
      </c>
      <c r="B24650" t="s">
        <v>5842</v>
      </c>
      <c r="C24650" t="s">
        <v>2100</v>
      </c>
      <c r="D24650" s="21" t="s">
        <v>34</v>
      </c>
      <c r="E24650" s="21" t="s">
        <v>254</v>
      </c>
      <c r="F24650">
        <v>4280722</v>
      </c>
      <c r="G24650" t="s">
        <v>8251</v>
      </c>
      <c r="H24650" s="21">
        <v>652.16999999999996</v>
      </c>
    </row>
    <row r="24651" spans="1:8" customFormat="1" x14ac:dyDescent="0.25">
      <c r="A24651" t="str">
        <f>"5011068"</f>
        <v>5011068</v>
      </c>
      <c r="B24651" t="s">
        <v>18737</v>
      </c>
      <c r="C24651" t="s">
        <v>147</v>
      </c>
      <c r="D24651" s="21" t="s">
        <v>34</v>
      </c>
      <c r="E24651" s="21" t="s">
        <v>35</v>
      </c>
      <c r="F24651">
        <v>9500111</v>
      </c>
      <c r="G24651" t="s">
        <v>6591</v>
      </c>
      <c r="H24651" s="21">
        <v>652.16999999999996</v>
      </c>
    </row>
    <row r="24652" spans="1:8" customFormat="1" x14ac:dyDescent="0.25">
      <c r="A24652" t="str">
        <f>"041901"</f>
        <v>041901</v>
      </c>
      <c r="B24652" t="s">
        <v>4649</v>
      </c>
      <c r="C24652" t="s">
        <v>130</v>
      </c>
      <c r="D24652" s="21" t="s">
        <v>34</v>
      </c>
      <c r="E24652" s="21" t="s">
        <v>254</v>
      </c>
      <c r="F24652">
        <v>13040030</v>
      </c>
      <c r="G24652" t="s">
        <v>1903</v>
      </c>
      <c r="H24652" s="21">
        <v>652.16999999999996</v>
      </c>
    </row>
    <row r="24653" spans="1:8" customFormat="1" x14ac:dyDescent="0.25">
      <c r="A24653" t="str">
        <f>"4446861"</f>
        <v>4446861</v>
      </c>
      <c r="B24653" t="s">
        <v>2707</v>
      </c>
      <c r="C24653" t="s">
        <v>547</v>
      </c>
      <c r="D24653" s="21" t="s">
        <v>34</v>
      </c>
      <c r="E24653" s="21" t="s">
        <v>254</v>
      </c>
      <c r="F24653">
        <v>12440042</v>
      </c>
      <c r="G24653" t="s">
        <v>10312</v>
      </c>
      <c r="H24653" s="21">
        <v>652.16999999999996</v>
      </c>
    </row>
    <row r="24654" spans="1:8" customFormat="1" x14ac:dyDescent="0.25">
      <c r="A24654" t="str">
        <f>"9247085"</f>
        <v>9247085</v>
      </c>
      <c r="B24654" t="s">
        <v>18092</v>
      </c>
      <c r="C24654" t="s">
        <v>217</v>
      </c>
      <c r="D24654" s="21" t="s">
        <v>34</v>
      </c>
      <c r="E24654" s="21" t="s">
        <v>71</v>
      </c>
      <c r="F24654">
        <v>8921190</v>
      </c>
      <c r="G24654" t="s">
        <v>810</v>
      </c>
      <c r="H24654" s="21">
        <v>652.16999999999996</v>
      </c>
    </row>
    <row r="24655" spans="1:8" customFormat="1" x14ac:dyDescent="0.25">
      <c r="A24655" t="str">
        <f>"178936"</f>
        <v>178936</v>
      </c>
      <c r="B24655" t="s">
        <v>17901</v>
      </c>
      <c r="C24655" t="s">
        <v>412</v>
      </c>
      <c r="D24655" s="21" t="s">
        <v>34</v>
      </c>
      <c r="E24655" s="21" t="s">
        <v>1089</v>
      </c>
      <c r="F24655">
        <v>10170214</v>
      </c>
      <c r="G24655" t="s">
        <v>5533</v>
      </c>
      <c r="H24655" s="21">
        <v>652.16999999999996</v>
      </c>
    </row>
    <row r="24656" spans="1:8" customFormat="1" x14ac:dyDescent="0.25">
      <c r="A24656" t="str">
        <f>"3119537"</f>
        <v>3119537</v>
      </c>
      <c r="B24656" t="s">
        <v>27809</v>
      </c>
      <c r="C24656" t="s">
        <v>55</v>
      </c>
      <c r="D24656" s="21" t="s">
        <v>34</v>
      </c>
      <c r="E24656" s="21" t="s">
        <v>35</v>
      </c>
      <c r="F24656">
        <v>11310121</v>
      </c>
      <c r="G24656" t="s">
        <v>578</v>
      </c>
      <c r="H24656" s="21">
        <v>652.16999999999996</v>
      </c>
    </row>
    <row r="24657" spans="1:8" customFormat="1" x14ac:dyDescent="0.25">
      <c r="A24657" t="str">
        <f>"2721287"</f>
        <v>2721287</v>
      </c>
      <c r="B24657" t="s">
        <v>27810</v>
      </c>
      <c r="C24657" t="s">
        <v>33</v>
      </c>
      <c r="D24657" s="21" t="s">
        <v>34</v>
      </c>
      <c r="E24657" s="21" t="s">
        <v>35</v>
      </c>
      <c r="F24657">
        <v>9270004</v>
      </c>
      <c r="G24657" t="s">
        <v>13439</v>
      </c>
      <c r="H24657" s="21">
        <v>652.16999999999996</v>
      </c>
    </row>
    <row r="24658" spans="1:8" customFormat="1" x14ac:dyDescent="0.25">
      <c r="A24658" t="str">
        <f>"8513563"</f>
        <v>8513563</v>
      </c>
      <c r="B24658" t="s">
        <v>2981</v>
      </c>
      <c r="C24658" t="s">
        <v>415</v>
      </c>
      <c r="D24658" s="21" t="s">
        <v>34</v>
      </c>
      <c r="E24658" s="21" t="s">
        <v>71</v>
      </c>
      <c r="F24658">
        <v>12850057</v>
      </c>
      <c r="G24658" t="s">
        <v>1291</v>
      </c>
      <c r="H24658" s="21">
        <v>652.16999999999996</v>
      </c>
    </row>
    <row r="24659" spans="1:8" customFormat="1" x14ac:dyDescent="0.25">
      <c r="A24659" t="str">
        <f>"0211750"</f>
        <v>0211750</v>
      </c>
      <c r="B24659" t="s">
        <v>19305</v>
      </c>
      <c r="C24659" t="s">
        <v>2305</v>
      </c>
      <c r="D24659" s="21" t="s">
        <v>34</v>
      </c>
      <c r="E24659" s="21" t="s">
        <v>254</v>
      </c>
      <c r="F24659">
        <v>7020065</v>
      </c>
      <c r="G24659" t="s">
        <v>4852</v>
      </c>
      <c r="H24659" s="21">
        <v>652.16999999999996</v>
      </c>
    </row>
    <row r="24660" spans="1:8" customFormat="1" x14ac:dyDescent="0.25">
      <c r="A24660" t="str">
        <f>"782969"</f>
        <v>782969</v>
      </c>
      <c r="B24660" t="s">
        <v>18240</v>
      </c>
      <c r="C24660" t="s">
        <v>4989</v>
      </c>
      <c r="D24660" s="21" t="s">
        <v>34</v>
      </c>
      <c r="E24660" s="21" t="s">
        <v>71</v>
      </c>
      <c r="F24660">
        <v>8780440</v>
      </c>
      <c r="G24660" t="s">
        <v>6629</v>
      </c>
      <c r="H24660" s="21">
        <v>652.16999999999996</v>
      </c>
    </row>
    <row r="24661" spans="1:8" customFormat="1" x14ac:dyDescent="0.25">
      <c r="A24661" t="str">
        <f>"7856662"</f>
        <v>7856662</v>
      </c>
      <c r="B24661" t="s">
        <v>18452</v>
      </c>
      <c r="C24661" t="s">
        <v>18453</v>
      </c>
      <c r="D24661" s="21" t="s">
        <v>34</v>
      </c>
      <c r="E24661" s="21" t="s">
        <v>71</v>
      </c>
      <c r="F24661">
        <v>8780107</v>
      </c>
      <c r="G24661" t="s">
        <v>4186</v>
      </c>
      <c r="H24661" s="21">
        <v>652.16999999999996</v>
      </c>
    </row>
    <row r="24662" spans="1:8" customFormat="1" x14ac:dyDescent="0.25">
      <c r="A24662" t="str">
        <f>"627592"</f>
        <v>627592</v>
      </c>
      <c r="B24662" t="s">
        <v>19862</v>
      </c>
      <c r="C24662" t="s">
        <v>87</v>
      </c>
      <c r="D24662" s="21" t="s">
        <v>34</v>
      </c>
      <c r="E24662" s="21" t="s">
        <v>35</v>
      </c>
      <c r="F24662">
        <v>7620031</v>
      </c>
      <c r="G24662" t="s">
        <v>2182</v>
      </c>
      <c r="H24662" s="21">
        <v>652.16999999999996</v>
      </c>
    </row>
    <row r="24663" spans="1:8" customFormat="1" x14ac:dyDescent="0.25">
      <c r="A24663" t="str">
        <f>"8610886"</f>
        <v>8610886</v>
      </c>
      <c r="B24663" t="s">
        <v>3661</v>
      </c>
      <c r="C24663" t="s">
        <v>269</v>
      </c>
      <c r="D24663" s="21" t="s">
        <v>34</v>
      </c>
      <c r="E24663" s="21" t="s">
        <v>71</v>
      </c>
      <c r="F24663">
        <v>10860122</v>
      </c>
      <c r="G24663" t="s">
        <v>3800</v>
      </c>
      <c r="H24663" s="21">
        <v>652.16999999999996</v>
      </c>
    </row>
    <row r="24664" spans="1:8" customFormat="1" x14ac:dyDescent="0.25">
      <c r="A24664" t="str">
        <f>"4529225"</f>
        <v>4529225</v>
      </c>
      <c r="B24664" t="s">
        <v>20898</v>
      </c>
      <c r="C24664" t="s">
        <v>469</v>
      </c>
      <c r="D24664" s="21" t="s">
        <v>34</v>
      </c>
      <c r="E24664" s="21" t="s">
        <v>71</v>
      </c>
      <c r="F24664">
        <v>4450108</v>
      </c>
      <c r="G24664" t="s">
        <v>2354</v>
      </c>
      <c r="H24664" s="21">
        <v>652.16999999999996</v>
      </c>
    </row>
    <row r="24665" spans="1:8" customFormat="1" x14ac:dyDescent="0.25">
      <c r="A24665" t="str">
        <f>"573485"</f>
        <v>573485</v>
      </c>
      <c r="B24665" t="s">
        <v>3199</v>
      </c>
      <c r="C24665" t="s">
        <v>40</v>
      </c>
      <c r="D24665" s="21" t="s">
        <v>34</v>
      </c>
      <c r="E24665" s="21" t="s">
        <v>254</v>
      </c>
      <c r="F24665">
        <v>6570075</v>
      </c>
      <c r="G24665" t="s">
        <v>3008</v>
      </c>
      <c r="H24665" s="21">
        <v>652.16999999999996</v>
      </c>
    </row>
    <row r="24666" spans="1:8" customFormat="1" x14ac:dyDescent="0.25">
      <c r="A24666" t="str">
        <f>"0212282"</f>
        <v>0212282</v>
      </c>
      <c r="B24666" t="s">
        <v>27811</v>
      </c>
      <c r="C24666" t="s">
        <v>62</v>
      </c>
      <c r="D24666" s="21" t="s">
        <v>34</v>
      </c>
      <c r="E24666" s="21" t="s">
        <v>35</v>
      </c>
      <c r="F24666">
        <v>7021015</v>
      </c>
      <c r="G24666" t="s">
        <v>27639</v>
      </c>
      <c r="H24666" s="21">
        <v>652.16999999999996</v>
      </c>
    </row>
    <row r="24667" spans="1:8" customFormat="1" x14ac:dyDescent="0.25">
      <c r="A24667" t="str">
        <f>"9448364"</f>
        <v>9448364</v>
      </c>
      <c r="B24667" t="s">
        <v>4783</v>
      </c>
      <c r="C24667" t="s">
        <v>60</v>
      </c>
      <c r="D24667" s="21" t="s">
        <v>34</v>
      </c>
      <c r="E24667" s="21" t="s">
        <v>35</v>
      </c>
      <c r="F24667">
        <v>8940894</v>
      </c>
      <c r="G24667" t="s">
        <v>481</v>
      </c>
      <c r="H24667" s="21">
        <v>652.16999999999996</v>
      </c>
    </row>
    <row r="24668" spans="1:8" customFormat="1" x14ac:dyDescent="0.25">
      <c r="A24668" t="str">
        <f>"852655"</f>
        <v>852655</v>
      </c>
      <c r="B24668" t="s">
        <v>4075</v>
      </c>
      <c r="C24668" t="s">
        <v>1110</v>
      </c>
      <c r="D24668" s="21" t="s">
        <v>34</v>
      </c>
      <c r="E24668" s="21" t="s">
        <v>254</v>
      </c>
      <c r="F24668">
        <v>12851011</v>
      </c>
      <c r="G24668" t="s">
        <v>1445</v>
      </c>
      <c r="H24668" s="21">
        <v>652.16999999999996</v>
      </c>
    </row>
    <row r="24669" spans="1:8" customFormat="1" x14ac:dyDescent="0.25">
      <c r="A24669" t="str">
        <f>"415559"</f>
        <v>415559</v>
      </c>
      <c r="B24669" t="s">
        <v>18524</v>
      </c>
      <c r="C24669" t="s">
        <v>253</v>
      </c>
      <c r="D24669" s="21" t="s">
        <v>34</v>
      </c>
      <c r="E24669" s="21" t="s">
        <v>254</v>
      </c>
      <c r="F24669">
        <v>4410390</v>
      </c>
      <c r="G24669" t="s">
        <v>12210</v>
      </c>
      <c r="H24669" s="21">
        <v>652.04</v>
      </c>
    </row>
    <row r="24670" spans="1:8" customFormat="1" x14ac:dyDescent="0.25">
      <c r="A24670" t="str">
        <f>"7221496"</f>
        <v>7221496</v>
      </c>
      <c r="B24670" t="s">
        <v>509</v>
      </c>
      <c r="C24670" t="s">
        <v>3522</v>
      </c>
      <c r="D24670" s="21" t="s">
        <v>34</v>
      </c>
      <c r="E24670" s="21" t="s">
        <v>35</v>
      </c>
      <c r="F24670">
        <v>12720110</v>
      </c>
      <c r="G24670" t="s">
        <v>3464</v>
      </c>
      <c r="H24670" s="21">
        <v>651.91999999999996</v>
      </c>
    </row>
    <row r="24671" spans="1:8" customFormat="1" x14ac:dyDescent="0.25">
      <c r="A24671" t="str">
        <f>"7910683"</f>
        <v>7910683</v>
      </c>
      <c r="B24671" t="s">
        <v>3096</v>
      </c>
      <c r="C24671" t="s">
        <v>253</v>
      </c>
      <c r="D24671" s="21" t="s">
        <v>34</v>
      </c>
      <c r="E24671" s="21" t="s">
        <v>71</v>
      </c>
      <c r="F24671">
        <v>10790042</v>
      </c>
      <c r="G24671" t="s">
        <v>2092</v>
      </c>
      <c r="H24671" s="21">
        <v>651.91999999999996</v>
      </c>
    </row>
    <row r="24672" spans="1:8" customFormat="1" x14ac:dyDescent="0.25">
      <c r="A24672" t="str">
        <f>"7221230"</f>
        <v>7221230</v>
      </c>
      <c r="B24672" t="s">
        <v>21480</v>
      </c>
      <c r="C24672" t="s">
        <v>65</v>
      </c>
      <c r="D24672" s="21" t="s">
        <v>34</v>
      </c>
      <c r="E24672" s="21" t="s">
        <v>35</v>
      </c>
      <c r="F24672">
        <v>12720016</v>
      </c>
      <c r="G24672" t="s">
        <v>11791</v>
      </c>
      <c r="H24672" s="21">
        <v>651.79</v>
      </c>
    </row>
    <row r="24673" spans="1:8" customFormat="1" x14ac:dyDescent="0.25">
      <c r="A24673" t="str">
        <f>"6021074"</f>
        <v>6021074</v>
      </c>
      <c r="B24673" t="s">
        <v>20931</v>
      </c>
      <c r="C24673" t="s">
        <v>5232</v>
      </c>
      <c r="D24673" s="21" t="s">
        <v>34</v>
      </c>
      <c r="E24673" s="21" t="s">
        <v>254</v>
      </c>
      <c r="F24673">
        <v>7600146</v>
      </c>
      <c r="G24673" t="s">
        <v>8647</v>
      </c>
      <c r="H24673" s="21">
        <v>651.66999999999996</v>
      </c>
    </row>
    <row r="24674" spans="1:8" customFormat="1" x14ac:dyDescent="0.25">
      <c r="A24674" t="str">
        <f>"5616920"</f>
        <v>5616920</v>
      </c>
      <c r="B24674" t="s">
        <v>18505</v>
      </c>
      <c r="C24674" t="s">
        <v>2529</v>
      </c>
      <c r="D24674" s="21" t="s">
        <v>34</v>
      </c>
      <c r="E24674" s="21" t="s">
        <v>71</v>
      </c>
      <c r="F24674">
        <v>3560039</v>
      </c>
      <c r="G24674" t="s">
        <v>167</v>
      </c>
      <c r="H24674" s="21">
        <v>651.66999999999996</v>
      </c>
    </row>
    <row r="24675" spans="1:8" customFormat="1" x14ac:dyDescent="0.25">
      <c r="A24675" t="str">
        <f>"5973097"</f>
        <v>5973097</v>
      </c>
      <c r="B24675" t="s">
        <v>17531</v>
      </c>
      <c r="C24675" t="s">
        <v>285</v>
      </c>
      <c r="D24675" s="21" t="s">
        <v>34</v>
      </c>
      <c r="E24675" s="21" t="s">
        <v>35</v>
      </c>
      <c r="F24675">
        <v>7590379</v>
      </c>
      <c r="G24675" t="s">
        <v>13711</v>
      </c>
      <c r="H24675" s="21">
        <v>651.66999999999996</v>
      </c>
    </row>
    <row r="24676" spans="1:8" customFormat="1" x14ac:dyDescent="0.25">
      <c r="A24676" t="str">
        <f>"359862"</f>
        <v>359862</v>
      </c>
      <c r="B24676" t="s">
        <v>8039</v>
      </c>
      <c r="C24676" t="s">
        <v>453</v>
      </c>
      <c r="D24676" s="21" t="s">
        <v>34</v>
      </c>
      <c r="E24676" s="21" t="s">
        <v>254</v>
      </c>
      <c r="F24676">
        <v>10170050</v>
      </c>
      <c r="G24676" t="s">
        <v>2514</v>
      </c>
      <c r="H24676" s="21">
        <v>651.66999999999996</v>
      </c>
    </row>
    <row r="24677" spans="1:8" customFormat="1" x14ac:dyDescent="0.25">
      <c r="A24677" t="str">
        <f>"9127799"</f>
        <v>9127799</v>
      </c>
      <c r="B24677" t="s">
        <v>18801</v>
      </c>
      <c r="C24677" t="s">
        <v>598</v>
      </c>
      <c r="D24677" s="21" t="s">
        <v>34</v>
      </c>
      <c r="E24677" s="21" t="s">
        <v>1089</v>
      </c>
      <c r="F24677">
        <v>8910667</v>
      </c>
      <c r="G24677" t="s">
        <v>2361</v>
      </c>
      <c r="H24677" s="21">
        <v>651.66999999999996</v>
      </c>
    </row>
    <row r="24678" spans="1:8" customFormat="1" x14ac:dyDescent="0.25">
      <c r="A24678" t="str">
        <f>"5727892"</f>
        <v>5727892</v>
      </c>
      <c r="B24678" t="s">
        <v>5484</v>
      </c>
      <c r="C24678" t="s">
        <v>18419</v>
      </c>
      <c r="D24678" s="21" t="s">
        <v>34</v>
      </c>
      <c r="E24678" s="21" t="s">
        <v>254</v>
      </c>
      <c r="F24678">
        <v>6570008</v>
      </c>
      <c r="G24678" t="s">
        <v>899</v>
      </c>
      <c r="H24678" s="21">
        <v>651.66999999999996</v>
      </c>
    </row>
    <row r="24679" spans="1:8" customFormat="1" x14ac:dyDescent="0.25">
      <c r="A24679" t="str">
        <f>"6940338"</f>
        <v>6940338</v>
      </c>
      <c r="B24679" t="s">
        <v>911</v>
      </c>
      <c r="C24679" t="s">
        <v>40</v>
      </c>
      <c r="D24679" s="21" t="s">
        <v>34</v>
      </c>
      <c r="E24679" s="21" t="s">
        <v>71</v>
      </c>
      <c r="F24679">
        <v>1690006</v>
      </c>
      <c r="G24679" t="s">
        <v>2543</v>
      </c>
      <c r="H24679" s="21">
        <v>651.66999999999996</v>
      </c>
    </row>
    <row r="24680" spans="1:8" customFormat="1" x14ac:dyDescent="0.25">
      <c r="A24680" t="str">
        <f>"357098"</f>
        <v>357098</v>
      </c>
      <c r="B24680" t="s">
        <v>19214</v>
      </c>
      <c r="C24680" t="s">
        <v>1119</v>
      </c>
      <c r="D24680" s="21" t="s">
        <v>34</v>
      </c>
      <c r="E24680" s="21" t="s">
        <v>254</v>
      </c>
      <c r="F24680">
        <v>3350029</v>
      </c>
      <c r="G24680" t="s">
        <v>16914</v>
      </c>
      <c r="H24680" s="21">
        <v>651.66999999999996</v>
      </c>
    </row>
    <row r="24681" spans="1:8" customFormat="1" x14ac:dyDescent="0.25">
      <c r="A24681" t="str">
        <f>"2933863"</f>
        <v>2933863</v>
      </c>
      <c r="B24681" t="s">
        <v>8926</v>
      </c>
      <c r="C24681" t="s">
        <v>2730</v>
      </c>
      <c r="D24681" s="21" t="s">
        <v>34</v>
      </c>
      <c r="E24681" s="21" t="s">
        <v>71</v>
      </c>
      <c r="F24681">
        <v>3290090</v>
      </c>
      <c r="G24681" t="s">
        <v>1390</v>
      </c>
      <c r="H24681" s="21">
        <v>651.66999999999996</v>
      </c>
    </row>
    <row r="24682" spans="1:8" customFormat="1" x14ac:dyDescent="0.25">
      <c r="A24682" t="str">
        <f>"5969437"</f>
        <v>5969437</v>
      </c>
      <c r="B24682" t="s">
        <v>4944</v>
      </c>
      <c r="C24682" t="s">
        <v>169</v>
      </c>
      <c r="D24682" s="21" t="s">
        <v>34</v>
      </c>
      <c r="E24682" s="21" t="s">
        <v>35</v>
      </c>
      <c r="F24682">
        <v>7590372</v>
      </c>
      <c r="G24682" t="s">
        <v>3638</v>
      </c>
      <c r="H24682" s="21">
        <v>651.66999999999996</v>
      </c>
    </row>
    <row r="24683" spans="1:8" customFormat="1" x14ac:dyDescent="0.25">
      <c r="A24683" t="str">
        <f>"7640333"</f>
        <v>7640333</v>
      </c>
      <c r="B24683" t="s">
        <v>7205</v>
      </c>
      <c r="C24683" t="s">
        <v>206</v>
      </c>
      <c r="D24683" s="21" t="s">
        <v>34</v>
      </c>
      <c r="E24683" s="21" t="s">
        <v>35</v>
      </c>
      <c r="F24683">
        <v>9760014</v>
      </c>
      <c r="G24683" t="s">
        <v>1017</v>
      </c>
      <c r="H24683" s="21">
        <v>651.66999999999996</v>
      </c>
    </row>
    <row r="24684" spans="1:8" customFormat="1" x14ac:dyDescent="0.25">
      <c r="A24684" t="str">
        <f>"2921181"</f>
        <v>2921181</v>
      </c>
      <c r="B24684" t="s">
        <v>541</v>
      </c>
      <c r="C24684" t="s">
        <v>712</v>
      </c>
      <c r="D24684" s="21" t="s">
        <v>34</v>
      </c>
      <c r="E24684" s="21" t="s">
        <v>71</v>
      </c>
      <c r="F24684">
        <v>3290286</v>
      </c>
      <c r="G24684" t="s">
        <v>18777</v>
      </c>
      <c r="H24684" s="21">
        <v>651.66999999999996</v>
      </c>
    </row>
    <row r="24685" spans="1:8" customFormat="1" x14ac:dyDescent="0.25">
      <c r="A24685" t="str">
        <f>"7724744"</f>
        <v>7724744</v>
      </c>
      <c r="B24685" t="s">
        <v>18908</v>
      </c>
      <c r="C24685" t="s">
        <v>98</v>
      </c>
      <c r="D24685" s="21" t="s">
        <v>34</v>
      </c>
      <c r="E24685" s="21" t="s">
        <v>35</v>
      </c>
      <c r="F24685">
        <v>8771202</v>
      </c>
      <c r="G24685" t="s">
        <v>10223</v>
      </c>
      <c r="H24685" s="21">
        <v>651.66999999999996</v>
      </c>
    </row>
    <row r="24686" spans="1:8" customFormat="1" x14ac:dyDescent="0.25">
      <c r="A24686" t="str">
        <f>"922421"</f>
        <v>922421</v>
      </c>
      <c r="B24686" t="s">
        <v>9353</v>
      </c>
      <c r="C24686" t="s">
        <v>249</v>
      </c>
      <c r="D24686" s="21" t="s">
        <v>34</v>
      </c>
      <c r="E24686" s="21" t="s">
        <v>71</v>
      </c>
      <c r="F24686">
        <v>8920505</v>
      </c>
      <c r="G24686" t="s">
        <v>12288</v>
      </c>
      <c r="H24686" s="21">
        <v>651.66999999999996</v>
      </c>
    </row>
    <row r="24687" spans="1:8" customFormat="1" x14ac:dyDescent="0.25">
      <c r="A24687" t="str">
        <f>"9136043"</f>
        <v>9136043</v>
      </c>
      <c r="B24687" t="s">
        <v>20997</v>
      </c>
      <c r="C24687" t="s">
        <v>244</v>
      </c>
      <c r="D24687" s="21" t="s">
        <v>34</v>
      </c>
      <c r="E24687" s="21" t="s">
        <v>35</v>
      </c>
      <c r="F24687">
        <v>13830051</v>
      </c>
      <c r="G24687" t="s">
        <v>2031</v>
      </c>
      <c r="H24687" s="21">
        <v>651.66999999999996</v>
      </c>
    </row>
    <row r="24688" spans="1:8" customFormat="1" x14ac:dyDescent="0.25">
      <c r="A24688" t="str">
        <f>"7711568"</f>
        <v>7711568</v>
      </c>
      <c r="B24688" t="s">
        <v>17496</v>
      </c>
      <c r="C24688" t="s">
        <v>209</v>
      </c>
      <c r="D24688" s="21" t="s">
        <v>34</v>
      </c>
      <c r="E24688" s="21" t="s">
        <v>254</v>
      </c>
      <c r="F24688">
        <v>11340067</v>
      </c>
      <c r="G24688" t="s">
        <v>2895</v>
      </c>
      <c r="H24688" s="21">
        <v>651.66999999999996</v>
      </c>
    </row>
    <row r="24689" spans="1:8" customFormat="1" x14ac:dyDescent="0.25">
      <c r="A24689" t="str">
        <f>"848368"</f>
        <v>848368</v>
      </c>
      <c r="B24689" t="s">
        <v>956</v>
      </c>
      <c r="C24689" t="s">
        <v>3905</v>
      </c>
      <c r="D24689" s="21" t="s">
        <v>34</v>
      </c>
      <c r="E24689" s="21" t="s">
        <v>35</v>
      </c>
      <c r="F24689">
        <v>13840021</v>
      </c>
      <c r="G24689" t="s">
        <v>3946</v>
      </c>
      <c r="H24689" s="21">
        <v>651.66999999999996</v>
      </c>
    </row>
    <row r="24690" spans="1:8" customFormat="1" x14ac:dyDescent="0.25">
      <c r="A24690" t="str">
        <f>"8016309"</f>
        <v>8016309</v>
      </c>
      <c r="B24690" t="s">
        <v>17884</v>
      </c>
      <c r="C24690" t="s">
        <v>239</v>
      </c>
      <c r="D24690" s="21" t="s">
        <v>34</v>
      </c>
      <c r="E24690" s="21" t="s">
        <v>254</v>
      </c>
      <c r="F24690">
        <v>7800062</v>
      </c>
      <c r="G24690" t="s">
        <v>5176</v>
      </c>
      <c r="H24690" s="21">
        <v>651.66999999999996</v>
      </c>
    </row>
    <row r="24691" spans="1:8" customFormat="1" x14ac:dyDescent="0.25">
      <c r="A24691" t="str">
        <f>"4452176"</f>
        <v>4452176</v>
      </c>
      <c r="B24691" t="s">
        <v>20921</v>
      </c>
      <c r="C24691" t="s">
        <v>1539</v>
      </c>
      <c r="D24691" s="21" t="s">
        <v>34</v>
      </c>
      <c r="E24691" s="21" t="s">
        <v>71</v>
      </c>
      <c r="F24691">
        <v>12440260</v>
      </c>
      <c r="G24691" t="s">
        <v>26759</v>
      </c>
      <c r="H24691" s="21">
        <v>651.66999999999996</v>
      </c>
    </row>
    <row r="24692" spans="1:8" customFormat="1" x14ac:dyDescent="0.25">
      <c r="A24692" t="str">
        <f>"847829"</f>
        <v>847829</v>
      </c>
      <c r="B24692" t="s">
        <v>4494</v>
      </c>
      <c r="C24692" t="s">
        <v>55</v>
      </c>
      <c r="D24692" s="21" t="s">
        <v>34</v>
      </c>
      <c r="E24692" s="21" t="s">
        <v>71</v>
      </c>
      <c r="F24692">
        <v>13840006</v>
      </c>
      <c r="G24692" t="s">
        <v>10139</v>
      </c>
      <c r="H24692" s="21">
        <v>651.66999999999996</v>
      </c>
    </row>
    <row r="24693" spans="1:8" customFormat="1" x14ac:dyDescent="0.25">
      <c r="A24693" t="str">
        <f>"4210756"</f>
        <v>4210756</v>
      </c>
      <c r="B24693" t="s">
        <v>17393</v>
      </c>
      <c r="C24693" t="s">
        <v>1100</v>
      </c>
      <c r="D24693" s="21" t="s">
        <v>34</v>
      </c>
      <c r="E24693" s="21" t="s">
        <v>254</v>
      </c>
      <c r="F24693">
        <v>1420148</v>
      </c>
      <c r="G24693" t="s">
        <v>10763</v>
      </c>
      <c r="H24693" s="21">
        <v>651.66999999999996</v>
      </c>
    </row>
    <row r="24694" spans="1:8" customFormat="1" x14ac:dyDescent="0.25">
      <c r="A24694" t="str">
        <f>"3012727"</f>
        <v>3012727</v>
      </c>
      <c r="B24694" t="s">
        <v>18597</v>
      </c>
      <c r="C24694" t="s">
        <v>33</v>
      </c>
      <c r="D24694" s="21" t="s">
        <v>34</v>
      </c>
      <c r="E24694" s="21" t="s">
        <v>71</v>
      </c>
      <c r="F24694">
        <v>11300025</v>
      </c>
      <c r="G24694" t="s">
        <v>1211</v>
      </c>
      <c r="H24694" s="21">
        <v>651.66999999999996</v>
      </c>
    </row>
    <row r="24695" spans="1:8" customFormat="1" x14ac:dyDescent="0.25">
      <c r="A24695" t="str">
        <f>"6315281"</f>
        <v>6315281</v>
      </c>
      <c r="B24695" t="s">
        <v>20092</v>
      </c>
      <c r="C24695" t="s">
        <v>20093</v>
      </c>
      <c r="D24695" s="21" t="s">
        <v>34</v>
      </c>
      <c r="E24695" s="21" t="s">
        <v>71</v>
      </c>
      <c r="F24695">
        <v>1630009</v>
      </c>
      <c r="G24695" t="s">
        <v>6021</v>
      </c>
      <c r="H24695" s="21">
        <v>651.66999999999996</v>
      </c>
    </row>
    <row r="24696" spans="1:8" customFormat="1" x14ac:dyDescent="0.25">
      <c r="A24696" t="str">
        <f>"461664"</f>
        <v>461664</v>
      </c>
      <c r="B24696" t="s">
        <v>19511</v>
      </c>
      <c r="C24696" t="s">
        <v>1025</v>
      </c>
      <c r="D24696" s="21" t="s">
        <v>34</v>
      </c>
      <c r="E24696" s="21" t="s">
        <v>6185</v>
      </c>
      <c r="F24696">
        <v>11460024</v>
      </c>
      <c r="G24696" t="s">
        <v>14804</v>
      </c>
      <c r="H24696" s="21">
        <v>651.66999999999996</v>
      </c>
    </row>
    <row r="24697" spans="1:8" customFormat="1" x14ac:dyDescent="0.25">
      <c r="A24697" t="str">
        <f>"012099"</f>
        <v>012099</v>
      </c>
      <c r="B24697" t="s">
        <v>10792</v>
      </c>
      <c r="C24697" t="s">
        <v>695</v>
      </c>
      <c r="D24697" s="21" t="s">
        <v>34</v>
      </c>
      <c r="E24697" s="21" t="s">
        <v>254</v>
      </c>
      <c r="F24697">
        <v>1010054</v>
      </c>
      <c r="G24697" t="s">
        <v>8991</v>
      </c>
      <c r="H24697" s="21">
        <v>651.66999999999996</v>
      </c>
    </row>
    <row r="24698" spans="1:8" customFormat="1" x14ac:dyDescent="0.25">
      <c r="A24698" t="str">
        <f>"609650"</f>
        <v>609650</v>
      </c>
      <c r="B24698" t="s">
        <v>17387</v>
      </c>
      <c r="C24698" t="s">
        <v>169</v>
      </c>
      <c r="D24698" s="21" t="s">
        <v>34</v>
      </c>
      <c r="E24698" s="21" t="s">
        <v>71</v>
      </c>
      <c r="F24698">
        <v>7600044</v>
      </c>
      <c r="G24698" t="s">
        <v>3411</v>
      </c>
      <c r="H24698" s="21">
        <v>651.66999999999996</v>
      </c>
    </row>
    <row r="24699" spans="1:8" customFormat="1" x14ac:dyDescent="0.25">
      <c r="A24699" t="str">
        <f>"578166"</f>
        <v>578166</v>
      </c>
      <c r="B24699" t="s">
        <v>4841</v>
      </c>
      <c r="C24699" t="s">
        <v>926</v>
      </c>
      <c r="D24699" s="21" t="s">
        <v>34</v>
      </c>
      <c r="E24699" s="21" t="s">
        <v>254</v>
      </c>
      <c r="F24699">
        <v>6570075</v>
      </c>
      <c r="G24699" t="s">
        <v>3008</v>
      </c>
      <c r="H24699" s="21">
        <v>651.66999999999996</v>
      </c>
    </row>
    <row r="24700" spans="1:8" customFormat="1" x14ac:dyDescent="0.25">
      <c r="A24700" t="str">
        <f>"5326450"</f>
        <v>5326450</v>
      </c>
      <c r="B24700" t="s">
        <v>402</v>
      </c>
      <c r="C24700" t="s">
        <v>812</v>
      </c>
      <c r="D24700" s="21" t="s">
        <v>34</v>
      </c>
      <c r="E24700" s="21" t="s">
        <v>35</v>
      </c>
      <c r="F24700">
        <v>12530090</v>
      </c>
      <c r="G24700" t="s">
        <v>6132</v>
      </c>
      <c r="H24700" s="21">
        <v>651.66999999999996</v>
      </c>
    </row>
    <row r="24701" spans="1:8" customFormat="1" x14ac:dyDescent="0.25">
      <c r="A24701" t="str">
        <f>"372621"</f>
        <v>372621</v>
      </c>
      <c r="B24701" t="s">
        <v>18628</v>
      </c>
      <c r="C24701" t="s">
        <v>119</v>
      </c>
      <c r="D24701" s="21" t="s">
        <v>34</v>
      </c>
      <c r="E24701" s="21" t="s">
        <v>71</v>
      </c>
      <c r="F24701">
        <v>4370465</v>
      </c>
      <c r="G24701" t="s">
        <v>26922</v>
      </c>
      <c r="H24701" s="21">
        <v>651.66999999999996</v>
      </c>
    </row>
    <row r="24702" spans="1:8" customFormat="1" x14ac:dyDescent="0.25">
      <c r="A24702" t="str">
        <f>"6211644"</f>
        <v>6211644</v>
      </c>
      <c r="B24702" t="s">
        <v>18792</v>
      </c>
      <c r="C24702" t="s">
        <v>486</v>
      </c>
      <c r="D24702" s="21" t="s">
        <v>34</v>
      </c>
      <c r="E24702" s="21" t="s">
        <v>254</v>
      </c>
      <c r="F24702">
        <v>7620078</v>
      </c>
      <c r="G24702" t="s">
        <v>7192</v>
      </c>
      <c r="H24702" s="21">
        <v>651.66999999999996</v>
      </c>
    </row>
    <row r="24703" spans="1:8" customFormat="1" x14ac:dyDescent="0.25">
      <c r="A24703" t="str">
        <f>"9410296"</f>
        <v>9410296</v>
      </c>
      <c r="B24703" t="s">
        <v>17905</v>
      </c>
      <c r="C24703" t="s">
        <v>17906</v>
      </c>
      <c r="D24703" s="21" t="s">
        <v>34</v>
      </c>
      <c r="E24703" s="21" t="s">
        <v>1089</v>
      </c>
      <c r="F24703">
        <v>8941100</v>
      </c>
      <c r="G24703" t="s">
        <v>4974</v>
      </c>
      <c r="H24703" s="21">
        <v>651.66999999999996</v>
      </c>
    </row>
    <row r="24704" spans="1:8" customFormat="1" x14ac:dyDescent="0.25">
      <c r="A24704" t="str">
        <f>"7923090"</f>
        <v>7923090</v>
      </c>
      <c r="B24704" t="s">
        <v>19800</v>
      </c>
      <c r="C24704" t="s">
        <v>269</v>
      </c>
      <c r="D24704" s="21" t="s">
        <v>34</v>
      </c>
      <c r="E24704" s="21" t="s">
        <v>35</v>
      </c>
      <c r="F24704">
        <v>10790005</v>
      </c>
      <c r="G24704" t="s">
        <v>1948</v>
      </c>
      <c r="H24704" s="21">
        <v>651.66999999999996</v>
      </c>
    </row>
    <row r="24705" spans="1:8" customFormat="1" x14ac:dyDescent="0.25">
      <c r="A24705" t="str">
        <f>"384698"</f>
        <v>384698</v>
      </c>
      <c r="B24705" t="s">
        <v>19017</v>
      </c>
      <c r="C24705" t="s">
        <v>269</v>
      </c>
      <c r="D24705" s="21" t="s">
        <v>34</v>
      </c>
      <c r="E24705" s="21" t="s">
        <v>1089</v>
      </c>
      <c r="F24705">
        <v>1380236</v>
      </c>
      <c r="G24705" t="s">
        <v>2876</v>
      </c>
      <c r="H24705" s="21">
        <v>651.66999999999996</v>
      </c>
    </row>
    <row r="24706" spans="1:8" customFormat="1" x14ac:dyDescent="0.25">
      <c r="A24706" t="str">
        <f>"5969687"</f>
        <v>5969687</v>
      </c>
      <c r="B24706" t="s">
        <v>19181</v>
      </c>
      <c r="C24706" t="s">
        <v>82</v>
      </c>
      <c r="D24706" s="21" t="s">
        <v>34</v>
      </c>
      <c r="E24706" s="21" t="s">
        <v>35</v>
      </c>
      <c r="F24706">
        <v>7590047</v>
      </c>
      <c r="G24706" t="s">
        <v>5788</v>
      </c>
      <c r="H24706" s="21">
        <v>651.54</v>
      </c>
    </row>
    <row r="24707" spans="1:8" customFormat="1" x14ac:dyDescent="0.25">
      <c r="A24707" t="str">
        <f>"7522685"</f>
        <v>7522685</v>
      </c>
      <c r="B24707" t="s">
        <v>27812</v>
      </c>
      <c r="C24707" t="s">
        <v>27813</v>
      </c>
      <c r="D24707" s="21" t="s">
        <v>34</v>
      </c>
      <c r="E24707" s="21" t="s">
        <v>35</v>
      </c>
      <c r="F24707">
        <v>8750120</v>
      </c>
      <c r="G24707" t="s">
        <v>838</v>
      </c>
      <c r="H24707" s="21">
        <v>651.54</v>
      </c>
    </row>
    <row r="24708" spans="1:8" customFormat="1" x14ac:dyDescent="0.25">
      <c r="A24708" t="str">
        <f>"071514"</f>
        <v>071514</v>
      </c>
      <c r="B24708" t="s">
        <v>18680</v>
      </c>
      <c r="C24708" t="s">
        <v>2693</v>
      </c>
      <c r="D24708" s="21" t="s">
        <v>34</v>
      </c>
      <c r="E24708" s="21" t="s">
        <v>254</v>
      </c>
      <c r="F24708">
        <v>1260060</v>
      </c>
      <c r="G24708" t="s">
        <v>3403</v>
      </c>
      <c r="H24708" s="21">
        <v>651.41999999999996</v>
      </c>
    </row>
    <row r="24709" spans="1:8" customFormat="1" x14ac:dyDescent="0.25">
      <c r="A24709" t="str">
        <f>"6923859"</f>
        <v>6923859</v>
      </c>
      <c r="B24709" t="s">
        <v>20021</v>
      </c>
      <c r="C24709" t="s">
        <v>249</v>
      </c>
      <c r="D24709" s="21" t="s">
        <v>34</v>
      </c>
      <c r="E24709" s="21" t="s">
        <v>71</v>
      </c>
      <c r="F24709">
        <v>1690196</v>
      </c>
      <c r="G24709" t="s">
        <v>6149</v>
      </c>
      <c r="H24709" s="21">
        <v>651.41999999999996</v>
      </c>
    </row>
    <row r="24710" spans="1:8" customFormat="1" x14ac:dyDescent="0.25">
      <c r="A24710" t="str">
        <f>"7876637"</f>
        <v>7876637</v>
      </c>
      <c r="B24710" t="s">
        <v>20194</v>
      </c>
      <c r="C24710" t="s">
        <v>1631</v>
      </c>
      <c r="D24710" s="21" t="s">
        <v>34</v>
      </c>
      <c r="E24710" s="21" t="s">
        <v>35</v>
      </c>
      <c r="F24710">
        <v>8781176</v>
      </c>
      <c r="G24710" t="s">
        <v>3659</v>
      </c>
      <c r="H24710" s="21">
        <v>651.29</v>
      </c>
    </row>
    <row r="24711" spans="1:8" customFormat="1" x14ac:dyDescent="0.25">
      <c r="A24711" t="str">
        <f>"458597"</f>
        <v>458597</v>
      </c>
      <c r="B24711" t="s">
        <v>19446</v>
      </c>
      <c r="C24711" t="s">
        <v>1841</v>
      </c>
      <c r="D24711" s="21" t="s">
        <v>34</v>
      </c>
      <c r="E24711" s="21" t="s">
        <v>254</v>
      </c>
      <c r="F24711">
        <v>4450617</v>
      </c>
      <c r="G24711" t="s">
        <v>4708</v>
      </c>
      <c r="H24711" s="21">
        <v>651.29</v>
      </c>
    </row>
    <row r="24712" spans="1:8" customFormat="1" x14ac:dyDescent="0.25">
      <c r="A24712" t="str">
        <f>"9310956"</f>
        <v>9310956</v>
      </c>
      <c r="B24712" t="s">
        <v>213</v>
      </c>
      <c r="C24712" t="s">
        <v>498</v>
      </c>
      <c r="D24712" s="21" t="s">
        <v>34</v>
      </c>
      <c r="E24712" s="21" t="s">
        <v>35</v>
      </c>
      <c r="F24712">
        <v>1740060</v>
      </c>
      <c r="G24712" t="s">
        <v>4907</v>
      </c>
      <c r="H24712" s="21">
        <v>651.16999999999996</v>
      </c>
    </row>
    <row r="24713" spans="1:8" customFormat="1" x14ac:dyDescent="0.25">
      <c r="A24713" t="str">
        <f>"2713682"</f>
        <v>2713682</v>
      </c>
      <c r="B24713" t="s">
        <v>7512</v>
      </c>
      <c r="C24713" t="s">
        <v>1231</v>
      </c>
      <c r="D24713" s="21" t="s">
        <v>34</v>
      </c>
      <c r="E24713" s="21" t="s">
        <v>254</v>
      </c>
      <c r="F24713">
        <v>9270097</v>
      </c>
      <c r="G24713" t="s">
        <v>9759</v>
      </c>
      <c r="H24713" s="21">
        <v>651.16999999999996</v>
      </c>
    </row>
    <row r="24714" spans="1:8" customFormat="1" x14ac:dyDescent="0.25">
      <c r="A24714" t="str">
        <f>"3525836"</f>
        <v>3525836</v>
      </c>
      <c r="B24714" t="s">
        <v>13144</v>
      </c>
      <c r="C24714" t="s">
        <v>249</v>
      </c>
      <c r="D24714" s="21" t="s">
        <v>34</v>
      </c>
      <c r="E24714" s="21" t="s">
        <v>35</v>
      </c>
      <c r="F24714">
        <v>3290264</v>
      </c>
      <c r="G24714" t="s">
        <v>6934</v>
      </c>
      <c r="H24714" s="21">
        <v>651.16999999999996</v>
      </c>
    </row>
    <row r="24715" spans="1:8" customFormat="1" x14ac:dyDescent="0.25">
      <c r="A24715" t="str">
        <f>"25175"</f>
        <v>25175</v>
      </c>
      <c r="B24715" t="s">
        <v>18725</v>
      </c>
      <c r="C24715" t="s">
        <v>253</v>
      </c>
      <c r="D24715" s="21" t="s">
        <v>34</v>
      </c>
      <c r="E24715" s="21" t="s">
        <v>1089</v>
      </c>
      <c r="F24715">
        <v>2250007</v>
      </c>
      <c r="G24715" t="s">
        <v>1137</v>
      </c>
      <c r="H24715" s="21">
        <v>651.16999999999996</v>
      </c>
    </row>
    <row r="24716" spans="1:8" customFormat="1" x14ac:dyDescent="0.25">
      <c r="A24716" t="str">
        <f>"5016597"</f>
        <v>5016597</v>
      </c>
      <c r="B24716" t="s">
        <v>6309</v>
      </c>
      <c r="C24716" t="s">
        <v>198</v>
      </c>
      <c r="D24716" s="21" t="s">
        <v>34</v>
      </c>
      <c r="E24716" s="21" t="s">
        <v>71</v>
      </c>
      <c r="F24716">
        <v>9500153</v>
      </c>
      <c r="G24716" t="s">
        <v>5779</v>
      </c>
      <c r="H24716" s="21">
        <v>651.16999999999996</v>
      </c>
    </row>
    <row r="24717" spans="1:8" customFormat="1" x14ac:dyDescent="0.25">
      <c r="A24717" t="str">
        <f>"2512951"</f>
        <v>2512951</v>
      </c>
      <c r="B24717" t="s">
        <v>18195</v>
      </c>
      <c r="C24717" t="s">
        <v>249</v>
      </c>
      <c r="D24717" s="21" t="s">
        <v>34</v>
      </c>
      <c r="E24717" s="21" t="s">
        <v>71</v>
      </c>
      <c r="F24717">
        <v>2250125</v>
      </c>
      <c r="G24717" t="s">
        <v>26911</v>
      </c>
      <c r="H24717" s="21">
        <v>651.16999999999996</v>
      </c>
    </row>
    <row r="24718" spans="1:8" customFormat="1" x14ac:dyDescent="0.25">
      <c r="A24718" t="str">
        <f>"5972107"</f>
        <v>5972107</v>
      </c>
      <c r="B24718" t="s">
        <v>16031</v>
      </c>
      <c r="C24718" t="s">
        <v>98</v>
      </c>
      <c r="D24718" s="21" t="s">
        <v>34</v>
      </c>
      <c r="E24718" s="21" t="s">
        <v>35</v>
      </c>
      <c r="F24718">
        <v>7590004</v>
      </c>
      <c r="G24718" t="s">
        <v>4816</v>
      </c>
      <c r="H24718" s="21">
        <v>651.16999999999996</v>
      </c>
    </row>
    <row r="24719" spans="1:8" customFormat="1" x14ac:dyDescent="0.25">
      <c r="A24719" t="str">
        <f>"1613595"</f>
        <v>1613595</v>
      </c>
      <c r="B24719" t="s">
        <v>4461</v>
      </c>
      <c r="C24719" t="s">
        <v>1146</v>
      </c>
      <c r="D24719" s="21" t="s">
        <v>34</v>
      </c>
      <c r="E24719" s="21" t="s">
        <v>35</v>
      </c>
      <c r="F24719">
        <v>10160085</v>
      </c>
      <c r="G24719" t="s">
        <v>10818</v>
      </c>
      <c r="H24719" s="21">
        <v>651.16999999999996</v>
      </c>
    </row>
    <row r="24720" spans="1:8" customFormat="1" x14ac:dyDescent="0.25">
      <c r="A24720" t="str">
        <f>"2516049"</f>
        <v>2516049</v>
      </c>
      <c r="B24720" t="s">
        <v>19518</v>
      </c>
      <c r="C24720" t="s">
        <v>13183</v>
      </c>
      <c r="D24720" s="21" t="s">
        <v>34</v>
      </c>
      <c r="E24720" s="21" t="s">
        <v>71</v>
      </c>
      <c r="F24720">
        <v>2250154</v>
      </c>
      <c r="G24720" t="s">
        <v>1973</v>
      </c>
      <c r="H24720" s="21">
        <v>651.16999999999996</v>
      </c>
    </row>
    <row r="24721" spans="1:8" customFormat="1" x14ac:dyDescent="0.25">
      <c r="A24721" t="str">
        <f>"7637293"</f>
        <v>7637293</v>
      </c>
      <c r="B24721" t="s">
        <v>19596</v>
      </c>
      <c r="C24721" t="s">
        <v>139</v>
      </c>
      <c r="D24721" s="21" t="s">
        <v>34</v>
      </c>
      <c r="E24721" s="21" t="s">
        <v>71</v>
      </c>
      <c r="F24721">
        <v>9760136</v>
      </c>
      <c r="G24721" t="s">
        <v>5035</v>
      </c>
      <c r="H24721" s="21">
        <v>651.16999999999996</v>
      </c>
    </row>
    <row r="24722" spans="1:8" customFormat="1" x14ac:dyDescent="0.25">
      <c r="A24722" t="str">
        <f>"4456338"</f>
        <v>4456338</v>
      </c>
      <c r="B24722" t="s">
        <v>27814</v>
      </c>
      <c r="C24722" t="s">
        <v>302</v>
      </c>
      <c r="D24722" s="21" t="s">
        <v>34</v>
      </c>
      <c r="E24722" s="21" t="s">
        <v>35</v>
      </c>
      <c r="F24722">
        <v>12440116</v>
      </c>
      <c r="G24722" t="s">
        <v>26673</v>
      </c>
      <c r="H24722" s="21">
        <v>651.16999999999996</v>
      </c>
    </row>
    <row r="24723" spans="1:8" customFormat="1" x14ac:dyDescent="0.25">
      <c r="A24723" t="str">
        <f>"4931394"</f>
        <v>4931394</v>
      </c>
      <c r="B24723" t="s">
        <v>18899</v>
      </c>
      <c r="C24723" t="s">
        <v>428</v>
      </c>
      <c r="D24723" s="21" t="s">
        <v>34</v>
      </c>
      <c r="E24723" s="21" t="s">
        <v>35</v>
      </c>
      <c r="F24723">
        <v>12490026</v>
      </c>
      <c r="G24723" t="s">
        <v>6274</v>
      </c>
      <c r="H24723" s="21">
        <v>651.16999999999996</v>
      </c>
    </row>
    <row r="24724" spans="1:8" customFormat="1" x14ac:dyDescent="0.25">
      <c r="A24724" t="str">
        <f>"8016751"</f>
        <v>8016751</v>
      </c>
      <c r="B24724" t="s">
        <v>19234</v>
      </c>
      <c r="C24724" t="s">
        <v>2520</v>
      </c>
      <c r="D24724" s="21" t="s">
        <v>34</v>
      </c>
      <c r="E24724" s="21" t="s">
        <v>254</v>
      </c>
      <c r="F24724">
        <v>7800005</v>
      </c>
      <c r="G24724" t="s">
        <v>6547</v>
      </c>
      <c r="H24724" s="21">
        <v>651.16999999999996</v>
      </c>
    </row>
    <row r="24725" spans="1:8" customFormat="1" x14ac:dyDescent="0.25">
      <c r="A24725" t="str">
        <f>"3726528"</f>
        <v>3726528</v>
      </c>
      <c r="B24725" t="s">
        <v>18829</v>
      </c>
      <c r="C24725" t="s">
        <v>249</v>
      </c>
      <c r="D24725" s="21" t="s">
        <v>34</v>
      </c>
      <c r="E24725" s="21" t="s">
        <v>35</v>
      </c>
      <c r="F24725">
        <v>4370167</v>
      </c>
      <c r="G24725" t="s">
        <v>8834</v>
      </c>
      <c r="H24725" s="21">
        <v>651.16999999999996</v>
      </c>
    </row>
    <row r="24726" spans="1:8" customFormat="1" x14ac:dyDescent="0.25">
      <c r="A24726" t="str">
        <f>"449562"</f>
        <v>449562</v>
      </c>
      <c r="B24726" t="s">
        <v>16717</v>
      </c>
      <c r="C24726" t="s">
        <v>121</v>
      </c>
      <c r="D24726" s="21" t="s">
        <v>34</v>
      </c>
      <c r="E24726" s="21" t="s">
        <v>35</v>
      </c>
      <c r="F24726">
        <v>12440071</v>
      </c>
      <c r="G24726" t="s">
        <v>11350</v>
      </c>
      <c r="H24726" s="21">
        <v>651.16999999999996</v>
      </c>
    </row>
    <row r="24727" spans="1:8" customFormat="1" x14ac:dyDescent="0.25">
      <c r="A24727" t="str">
        <f>"72956"</f>
        <v>72956</v>
      </c>
      <c r="B24727" t="s">
        <v>4609</v>
      </c>
      <c r="C24727" t="s">
        <v>2520</v>
      </c>
      <c r="D24727" s="21" t="s">
        <v>34</v>
      </c>
      <c r="E24727" s="21" t="s">
        <v>254</v>
      </c>
      <c r="F24727">
        <v>12490064</v>
      </c>
      <c r="G24727" t="s">
        <v>8425</v>
      </c>
      <c r="H24727" s="21">
        <v>651.16999999999996</v>
      </c>
    </row>
    <row r="24728" spans="1:8" customFormat="1" x14ac:dyDescent="0.25">
      <c r="A24728" t="str">
        <f>"2934684"</f>
        <v>2934684</v>
      </c>
      <c r="B24728" t="s">
        <v>18836</v>
      </c>
      <c r="C24728" t="s">
        <v>1803</v>
      </c>
      <c r="D24728" s="21" t="s">
        <v>34</v>
      </c>
      <c r="E24728" s="21" t="s">
        <v>35</v>
      </c>
      <c r="F24728">
        <v>3290081</v>
      </c>
      <c r="G24728" t="s">
        <v>3819</v>
      </c>
      <c r="H24728" s="21">
        <v>651.16999999999996</v>
      </c>
    </row>
    <row r="24729" spans="1:8" customFormat="1" x14ac:dyDescent="0.25">
      <c r="A24729" t="str">
        <f>"746772"</f>
        <v>746772</v>
      </c>
      <c r="B24729" t="s">
        <v>18861</v>
      </c>
      <c r="C24729" t="s">
        <v>233</v>
      </c>
      <c r="D24729" s="21" t="s">
        <v>34</v>
      </c>
      <c r="E24729" s="21" t="s">
        <v>71</v>
      </c>
      <c r="F24729">
        <v>1740060</v>
      </c>
      <c r="G24729" t="s">
        <v>4907</v>
      </c>
      <c r="H24729" s="21">
        <v>651.16999999999996</v>
      </c>
    </row>
    <row r="24730" spans="1:8" customFormat="1" x14ac:dyDescent="0.25">
      <c r="A24730" t="str">
        <f>"822322"</f>
        <v>822322</v>
      </c>
      <c r="B24730" t="s">
        <v>18424</v>
      </c>
      <c r="C24730" t="s">
        <v>2479</v>
      </c>
      <c r="D24730" s="21" t="s">
        <v>34</v>
      </c>
      <c r="E24730" s="21" t="s">
        <v>254</v>
      </c>
      <c r="F24730">
        <v>11820011</v>
      </c>
      <c r="G24730" t="s">
        <v>2611</v>
      </c>
      <c r="H24730" s="21">
        <v>651.16999999999996</v>
      </c>
    </row>
    <row r="24731" spans="1:8" customFormat="1" x14ac:dyDescent="0.25">
      <c r="A24731" t="str">
        <f>"617317"</f>
        <v>617317</v>
      </c>
      <c r="B24731" t="s">
        <v>18137</v>
      </c>
      <c r="C24731" t="s">
        <v>1142</v>
      </c>
      <c r="D24731" s="21" t="s">
        <v>34</v>
      </c>
      <c r="E24731" s="21" t="s">
        <v>254</v>
      </c>
      <c r="F24731">
        <v>12720084</v>
      </c>
      <c r="G24731" t="s">
        <v>7532</v>
      </c>
      <c r="H24731" s="21">
        <v>651.16999999999996</v>
      </c>
    </row>
    <row r="24732" spans="1:8" customFormat="1" x14ac:dyDescent="0.25">
      <c r="A24732" t="str">
        <f>"814631"</f>
        <v>814631</v>
      </c>
      <c r="B24732" t="s">
        <v>3740</v>
      </c>
      <c r="C24732" t="s">
        <v>33</v>
      </c>
      <c r="D24732" s="21" t="s">
        <v>34</v>
      </c>
      <c r="E24732" s="21" t="s">
        <v>35</v>
      </c>
      <c r="F24732">
        <v>11810028</v>
      </c>
      <c r="G24732" t="s">
        <v>5817</v>
      </c>
      <c r="H24732" s="21">
        <v>651.16999999999996</v>
      </c>
    </row>
    <row r="24733" spans="1:8" customFormat="1" x14ac:dyDescent="0.25">
      <c r="A24733" t="str">
        <f>"33965"</f>
        <v>33965</v>
      </c>
      <c r="B24733" t="s">
        <v>18980</v>
      </c>
      <c r="C24733" t="s">
        <v>96</v>
      </c>
      <c r="D24733" s="21" t="s">
        <v>34</v>
      </c>
      <c r="E24733" s="21" t="s">
        <v>254</v>
      </c>
      <c r="F24733">
        <v>10330035</v>
      </c>
      <c r="G24733" t="s">
        <v>3457</v>
      </c>
      <c r="H24733" s="21">
        <v>651.04</v>
      </c>
    </row>
    <row r="24734" spans="1:8" customFormat="1" x14ac:dyDescent="0.25">
      <c r="A24734" t="str">
        <f>"3526642"</f>
        <v>3526642</v>
      </c>
      <c r="B24734" t="s">
        <v>3183</v>
      </c>
      <c r="C24734" t="s">
        <v>114</v>
      </c>
      <c r="D24734" s="21" t="s">
        <v>34</v>
      </c>
      <c r="E24734" s="21" t="s">
        <v>35</v>
      </c>
      <c r="F24734">
        <v>3350095</v>
      </c>
      <c r="G24734" t="s">
        <v>5813</v>
      </c>
      <c r="H24734" s="21">
        <v>651</v>
      </c>
    </row>
    <row r="24735" spans="1:8" customFormat="1" x14ac:dyDescent="0.25">
      <c r="A24735" t="str">
        <f>"148700"</f>
        <v>148700</v>
      </c>
      <c r="B24735" t="s">
        <v>4425</v>
      </c>
      <c r="C24735" t="s">
        <v>114</v>
      </c>
      <c r="D24735" s="21" t="s">
        <v>34</v>
      </c>
      <c r="E24735" s="21" t="s">
        <v>71</v>
      </c>
      <c r="F24735">
        <v>9140023</v>
      </c>
      <c r="G24735" t="s">
        <v>2318</v>
      </c>
      <c r="H24735" s="21">
        <v>651</v>
      </c>
    </row>
    <row r="24736" spans="1:8" customFormat="1" x14ac:dyDescent="0.25">
      <c r="A24736" t="str">
        <f>"866898"</f>
        <v>866898</v>
      </c>
      <c r="B24736" t="s">
        <v>19290</v>
      </c>
      <c r="C24736" t="s">
        <v>822</v>
      </c>
      <c r="D24736" s="21" t="s">
        <v>34</v>
      </c>
      <c r="E24736" s="21" t="s">
        <v>1089</v>
      </c>
      <c r="F24736">
        <v>10860213</v>
      </c>
      <c r="G24736" t="s">
        <v>17902</v>
      </c>
      <c r="H24736" s="21">
        <v>650.91999999999996</v>
      </c>
    </row>
    <row r="24737" spans="1:8" customFormat="1" x14ac:dyDescent="0.25">
      <c r="A24737" t="str">
        <f>"3338721"</f>
        <v>3338721</v>
      </c>
      <c r="B24737" t="s">
        <v>22114</v>
      </c>
      <c r="C24737" t="s">
        <v>55</v>
      </c>
      <c r="D24737" s="21" t="s">
        <v>34</v>
      </c>
      <c r="E24737" s="21" t="s">
        <v>35</v>
      </c>
      <c r="F24737">
        <v>10330080</v>
      </c>
      <c r="G24737" t="s">
        <v>5634</v>
      </c>
      <c r="H24737" s="21">
        <v>650.79</v>
      </c>
    </row>
    <row r="24738" spans="1:8" customFormat="1" x14ac:dyDescent="0.25">
      <c r="A24738" t="str">
        <f>"2219675"</f>
        <v>2219675</v>
      </c>
      <c r="B24738" t="s">
        <v>21108</v>
      </c>
      <c r="C24738" t="s">
        <v>65</v>
      </c>
      <c r="D24738" s="21" t="s">
        <v>34</v>
      </c>
      <c r="E24738" s="21" t="s">
        <v>35</v>
      </c>
      <c r="F24738">
        <v>3220124</v>
      </c>
      <c r="G24738" t="s">
        <v>27347</v>
      </c>
      <c r="H24738" s="21">
        <v>650.66999999999996</v>
      </c>
    </row>
    <row r="24739" spans="1:8" customFormat="1" x14ac:dyDescent="0.25">
      <c r="A24739" t="str">
        <f>"539554"</f>
        <v>539554</v>
      </c>
      <c r="B24739" t="s">
        <v>18345</v>
      </c>
      <c r="C24739" t="s">
        <v>2907</v>
      </c>
      <c r="D24739" s="21" t="s">
        <v>34</v>
      </c>
      <c r="E24739" s="21" t="s">
        <v>1089</v>
      </c>
      <c r="F24739">
        <v>12530087</v>
      </c>
      <c r="G24739" t="s">
        <v>3860</v>
      </c>
      <c r="H24739" s="21">
        <v>650.66999999999996</v>
      </c>
    </row>
    <row r="24740" spans="1:8" customFormat="1" x14ac:dyDescent="0.25">
      <c r="A24740" t="str">
        <f>"42330"</f>
        <v>42330</v>
      </c>
      <c r="B24740" t="s">
        <v>18105</v>
      </c>
      <c r="C24740" t="s">
        <v>3456</v>
      </c>
      <c r="D24740" s="21" t="s">
        <v>34</v>
      </c>
      <c r="E24740" s="21" t="s">
        <v>35</v>
      </c>
      <c r="F24740">
        <v>1420163</v>
      </c>
      <c r="G24740" t="s">
        <v>2424</v>
      </c>
      <c r="H24740" s="21">
        <v>650.66999999999996</v>
      </c>
    </row>
    <row r="24741" spans="1:8" customFormat="1" x14ac:dyDescent="0.25">
      <c r="A24741" t="str">
        <f>"3525091"</f>
        <v>3525091</v>
      </c>
      <c r="B24741" t="s">
        <v>19427</v>
      </c>
      <c r="C24741" t="s">
        <v>412</v>
      </c>
      <c r="D24741" s="21" t="s">
        <v>34</v>
      </c>
      <c r="E24741" s="21" t="s">
        <v>35</v>
      </c>
      <c r="F24741">
        <v>3560054</v>
      </c>
      <c r="G24741" t="s">
        <v>10188</v>
      </c>
      <c r="H24741" s="21">
        <v>650.66999999999996</v>
      </c>
    </row>
    <row r="24742" spans="1:8" customFormat="1" x14ac:dyDescent="0.25">
      <c r="A24742" t="str">
        <f>"9513836"</f>
        <v>9513836</v>
      </c>
      <c r="B24742" t="s">
        <v>15042</v>
      </c>
      <c r="C24742" t="s">
        <v>156</v>
      </c>
      <c r="D24742" s="21" t="s">
        <v>34</v>
      </c>
      <c r="E24742" s="21" t="s">
        <v>254</v>
      </c>
      <c r="F24742">
        <v>8950330</v>
      </c>
      <c r="G24742" t="s">
        <v>794</v>
      </c>
      <c r="H24742" s="21">
        <v>650.66999999999996</v>
      </c>
    </row>
    <row r="24743" spans="1:8" customFormat="1" x14ac:dyDescent="0.25">
      <c r="A24743" t="str">
        <f>"5969870"</f>
        <v>5969870</v>
      </c>
      <c r="B24743" t="s">
        <v>8536</v>
      </c>
      <c r="C24743" t="s">
        <v>20762</v>
      </c>
      <c r="D24743" s="21" t="s">
        <v>34</v>
      </c>
      <c r="E24743" s="21" t="s">
        <v>71</v>
      </c>
      <c r="F24743">
        <v>7590132</v>
      </c>
      <c r="G24743" t="s">
        <v>3204</v>
      </c>
      <c r="H24743" s="21">
        <v>650.66999999999996</v>
      </c>
    </row>
    <row r="24744" spans="1:8" customFormat="1" x14ac:dyDescent="0.25">
      <c r="A24744" t="str">
        <f>"2217984"</f>
        <v>2217984</v>
      </c>
      <c r="B24744" t="s">
        <v>19101</v>
      </c>
      <c r="C24744" t="s">
        <v>1812</v>
      </c>
      <c r="D24744" s="21" t="s">
        <v>34</v>
      </c>
      <c r="E24744" s="21" t="s">
        <v>71</v>
      </c>
      <c r="F24744">
        <v>3220138</v>
      </c>
      <c r="G24744" t="s">
        <v>27804</v>
      </c>
      <c r="H24744" s="21">
        <v>650.66999999999996</v>
      </c>
    </row>
    <row r="24745" spans="1:8" customFormat="1" x14ac:dyDescent="0.25">
      <c r="A24745" t="str">
        <f>"591695"</f>
        <v>591695</v>
      </c>
      <c r="B24745" t="s">
        <v>1362</v>
      </c>
      <c r="C24745" t="s">
        <v>1714</v>
      </c>
      <c r="D24745" s="21" t="s">
        <v>34</v>
      </c>
      <c r="E24745" s="21" t="s">
        <v>6185</v>
      </c>
      <c r="F24745">
        <v>7590102</v>
      </c>
      <c r="G24745" t="s">
        <v>1091</v>
      </c>
      <c r="H24745" s="21">
        <v>650.66999999999996</v>
      </c>
    </row>
    <row r="24746" spans="1:8" customFormat="1" x14ac:dyDescent="0.25">
      <c r="A24746" t="str">
        <f>"8526983"</f>
        <v>8526983</v>
      </c>
      <c r="B24746" t="s">
        <v>12156</v>
      </c>
      <c r="C24746" t="s">
        <v>3859</v>
      </c>
      <c r="D24746" s="21" t="s">
        <v>34</v>
      </c>
      <c r="E24746" s="21" t="s">
        <v>71</v>
      </c>
      <c r="F24746">
        <v>12850171</v>
      </c>
      <c r="G24746" t="s">
        <v>2687</v>
      </c>
      <c r="H24746" s="21">
        <v>650.66999999999996</v>
      </c>
    </row>
    <row r="24747" spans="1:8" customFormat="1" x14ac:dyDescent="0.25">
      <c r="A24747" t="str">
        <f>"80312"</f>
        <v>80312</v>
      </c>
      <c r="B24747" t="s">
        <v>17120</v>
      </c>
      <c r="C24747" t="s">
        <v>267</v>
      </c>
      <c r="D24747" s="21" t="s">
        <v>34</v>
      </c>
      <c r="E24747" s="21" t="s">
        <v>1089</v>
      </c>
      <c r="F24747">
        <v>7800005</v>
      </c>
      <c r="G24747" t="s">
        <v>6547</v>
      </c>
      <c r="H24747" s="21">
        <v>650.66999999999996</v>
      </c>
    </row>
    <row r="24748" spans="1:8" customFormat="1" x14ac:dyDescent="0.25">
      <c r="A24748" t="str">
        <f>"4931749"</f>
        <v>4931749</v>
      </c>
      <c r="B24748" t="s">
        <v>5915</v>
      </c>
      <c r="C24748" t="s">
        <v>601</v>
      </c>
      <c r="D24748" s="21" t="s">
        <v>34</v>
      </c>
      <c r="E24748" s="21" t="s">
        <v>35</v>
      </c>
      <c r="F24748">
        <v>12490032</v>
      </c>
      <c r="G24748" t="s">
        <v>6233</v>
      </c>
      <c r="H24748" s="21">
        <v>650.66999999999996</v>
      </c>
    </row>
    <row r="24749" spans="1:8" customFormat="1" x14ac:dyDescent="0.25">
      <c r="A24749" t="str">
        <f>"105615"</f>
        <v>105615</v>
      </c>
      <c r="B24749" t="s">
        <v>3189</v>
      </c>
      <c r="C24749" t="s">
        <v>547</v>
      </c>
      <c r="D24749" s="21" t="s">
        <v>34</v>
      </c>
      <c r="E24749" s="21" t="s">
        <v>6185</v>
      </c>
      <c r="F24749">
        <v>6100005</v>
      </c>
      <c r="G24749" t="s">
        <v>855</v>
      </c>
      <c r="H24749" s="21">
        <v>650.66999999999996</v>
      </c>
    </row>
    <row r="24750" spans="1:8" customFormat="1" x14ac:dyDescent="0.25">
      <c r="A24750" t="str">
        <f>"5913092"</f>
        <v>5913092</v>
      </c>
      <c r="B24750" t="s">
        <v>3801</v>
      </c>
      <c r="C24750" t="s">
        <v>249</v>
      </c>
      <c r="D24750" s="21" t="s">
        <v>34</v>
      </c>
      <c r="E24750" s="21" t="s">
        <v>71</v>
      </c>
      <c r="F24750">
        <v>7590036</v>
      </c>
      <c r="G24750" t="s">
        <v>3802</v>
      </c>
      <c r="H24750" s="21">
        <v>650.66999999999996</v>
      </c>
    </row>
    <row r="24751" spans="1:8" customFormat="1" x14ac:dyDescent="0.25">
      <c r="A24751" t="str">
        <f>"754322"</f>
        <v>754322</v>
      </c>
      <c r="B24751" t="s">
        <v>9541</v>
      </c>
      <c r="C24751" t="s">
        <v>598</v>
      </c>
      <c r="D24751" s="21" t="s">
        <v>34</v>
      </c>
      <c r="E24751" s="21" t="s">
        <v>1089</v>
      </c>
      <c r="F24751">
        <v>12720041</v>
      </c>
      <c r="G24751" t="s">
        <v>4240</v>
      </c>
      <c r="H24751" s="21">
        <v>650.66999999999996</v>
      </c>
    </row>
    <row r="24752" spans="1:8" customFormat="1" x14ac:dyDescent="0.25">
      <c r="A24752" t="str">
        <f>"421520"</f>
        <v>421520</v>
      </c>
      <c r="B24752" t="s">
        <v>3006</v>
      </c>
      <c r="C24752" t="s">
        <v>415</v>
      </c>
      <c r="D24752" s="21" t="s">
        <v>34</v>
      </c>
      <c r="E24752" s="21" t="s">
        <v>254</v>
      </c>
      <c r="F24752">
        <v>1420108</v>
      </c>
      <c r="G24752" t="s">
        <v>9177</v>
      </c>
      <c r="H24752" s="21">
        <v>650.66999999999996</v>
      </c>
    </row>
    <row r="24753" spans="1:8" customFormat="1" x14ac:dyDescent="0.25">
      <c r="A24753" t="str">
        <f>"898594"</f>
        <v>898594</v>
      </c>
      <c r="B24753" t="s">
        <v>20895</v>
      </c>
      <c r="C24753" t="s">
        <v>156</v>
      </c>
      <c r="D24753" s="21" t="s">
        <v>34</v>
      </c>
      <c r="E24753" s="21" t="s">
        <v>35</v>
      </c>
      <c r="F24753">
        <v>2890023</v>
      </c>
      <c r="G24753" t="s">
        <v>1995</v>
      </c>
      <c r="H24753" s="21">
        <v>650.66999999999996</v>
      </c>
    </row>
    <row r="24754" spans="1:8" customFormat="1" x14ac:dyDescent="0.25">
      <c r="A24754" t="str">
        <f>"617144"</f>
        <v>617144</v>
      </c>
      <c r="B24754" t="s">
        <v>19115</v>
      </c>
      <c r="C24754" t="s">
        <v>664</v>
      </c>
      <c r="D24754" s="21" t="s">
        <v>34</v>
      </c>
      <c r="E24754" s="21" t="s">
        <v>71</v>
      </c>
      <c r="F24754">
        <v>9610123</v>
      </c>
      <c r="G24754" t="s">
        <v>10458</v>
      </c>
      <c r="H24754" s="21">
        <v>650.66999999999996</v>
      </c>
    </row>
    <row r="24755" spans="1:8" customFormat="1" x14ac:dyDescent="0.25">
      <c r="A24755" t="str">
        <f>"038353"</f>
        <v>038353</v>
      </c>
      <c r="B24755" t="s">
        <v>27815</v>
      </c>
      <c r="C24755" t="s">
        <v>169</v>
      </c>
      <c r="D24755" s="21" t="s">
        <v>34</v>
      </c>
      <c r="E24755" s="21" t="s">
        <v>35</v>
      </c>
      <c r="F24755">
        <v>1030299</v>
      </c>
      <c r="G24755" t="s">
        <v>2631</v>
      </c>
      <c r="H24755" s="21">
        <v>650.66999999999996</v>
      </c>
    </row>
    <row r="24756" spans="1:8" customFormat="1" x14ac:dyDescent="0.25">
      <c r="A24756" t="str">
        <f>"2912448"</f>
        <v>2912448</v>
      </c>
      <c r="B24756" t="s">
        <v>17930</v>
      </c>
      <c r="C24756" t="s">
        <v>2520</v>
      </c>
      <c r="D24756" s="21" t="s">
        <v>34</v>
      </c>
      <c r="E24756" s="21" t="s">
        <v>71</v>
      </c>
      <c r="F24756">
        <v>3290006</v>
      </c>
      <c r="G24756" t="s">
        <v>13009</v>
      </c>
      <c r="H24756" s="21">
        <v>650.66999999999996</v>
      </c>
    </row>
    <row r="24757" spans="1:8" customFormat="1" x14ac:dyDescent="0.25">
      <c r="A24757" t="str">
        <f>"2936062"</f>
        <v>2936062</v>
      </c>
      <c r="B24757" t="s">
        <v>10334</v>
      </c>
      <c r="C24757" t="s">
        <v>209</v>
      </c>
      <c r="D24757" s="21" t="s">
        <v>34</v>
      </c>
      <c r="E24757" s="21" t="s">
        <v>35</v>
      </c>
      <c r="F24757">
        <v>3290203</v>
      </c>
      <c r="G24757" t="s">
        <v>9395</v>
      </c>
      <c r="H24757" s="21">
        <v>650.66999999999996</v>
      </c>
    </row>
    <row r="24758" spans="1:8" customFormat="1" x14ac:dyDescent="0.25">
      <c r="A24758" t="str">
        <f>"755212"</f>
        <v>755212</v>
      </c>
      <c r="B24758" t="s">
        <v>18175</v>
      </c>
      <c r="C24758" t="s">
        <v>269</v>
      </c>
      <c r="D24758" s="21" t="s">
        <v>34</v>
      </c>
      <c r="E24758" s="21" t="s">
        <v>71</v>
      </c>
      <c r="F24758">
        <v>8770237</v>
      </c>
      <c r="G24758" t="s">
        <v>128</v>
      </c>
      <c r="H24758" s="21">
        <v>650.54</v>
      </c>
    </row>
    <row r="24759" spans="1:8" customFormat="1" x14ac:dyDescent="0.25">
      <c r="A24759" t="str">
        <f>"9311718"</f>
        <v>9311718</v>
      </c>
      <c r="B24759" t="s">
        <v>19255</v>
      </c>
      <c r="C24759" t="s">
        <v>253</v>
      </c>
      <c r="D24759" s="21" t="s">
        <v>34</v>
      </c>
      <c r="E24759" s="21" t="s">
        <v>254</v>
      </c>
      <c r="F24759">
        <v>8930113</v>
      </c>
      <c r="G24759" t="s">
        <v>368</v>
      </c>
      <c r="H24759" s="21">
        <v>650.54</v>
      </c>
    </row>
    <row r="24760" spans="1:8" customFormat="1" x14ac:dyDescent="0.25">
      <c r="A24760" t="str">
        <f>"732278"</f>
        <v>732278</v>
      </c>
      <c r="B24760" t="s">
        <v>21087</v>
      </c>
      <c r="C24760" t="s">
        <v>598</v>
      </c>
      <c r="D24760" s="21" t="s">
        <v>34</v>
      </c>
      <c r="E24760" s="21" t="s">
        <v>254</v>
      </c>
      <c r="F24760">
        <v>1730083</v>
      </c>
      <c r="G24760" t="s">
        <v>10955</v>
      </c>
      <c r="H24760" s="21">
        <v>650.41999999999996</v>
      </c>
    </row>
    <row r="24761" spans="1:8" customFormat="1" x14ac:dyDescent="0.25">
      <c r="A24761" t="str">
        <f>"721177"</f>
        <v>721177</v>
      </c>
      <c r="B24761" t="s">
        <v>4419</v>
      </c>
      <c r="C24761" t="s">
        <v>15006</v>
      </c>
      <c r="D24761" s="21" t="s">
        <v>34</v>
      </c>
      <c r="E24761" s="21" t="s">
        <v>254</v>
      </c>
      <c r="F24761">
        <v>12720005</v>
      </c>
      <c r="G24761" t="s">
        <v>999</v>
      </c>
      <c r="H24761" s="21">
        <v>650.41999999999996</v>
      </c>
    </row>
    <row r="24762" spans="1:8" customFormat="1" x14ac:dyDescent="0.25">
      <c r="A24762" t="str">
        <f>"4214726"</f>
        <v>4214726</v>
      </c>
      <c r="B24762" t="s">
        <v>19752</v>
      </c>
      <c r="C24762" t="s">
        <v>19753</v>
      </c>
      <c r="D24762" s="21" t="s">
        <v>34</v>
      </c>
      <c r="E24762" s="21" t="s">
        <v>71</v>
      </c>
      <c r="F24762">
        <v>1420055</v>
      </c>
      <c r="G24762" t="s">
        <v>5421</v>
      </c>
      <c r="H24762" s="21">
        <v>650.29</v>
      </c>
    </row>
    <row r="24763" spans="1:8" customFormat="1" x14ac:dyDescent="0.25">
      <c r="A24763" t="str">
        <f>"902929"</f>
        <v>902929</v>
      </c>
      <c r="B24763" t="s">
        <v>17744</v>
      </c>
      <c r="C24763" t="s">
        <v>1539</v>
      </c>
      <c r="D24763" s="21" t="s">
        <v>34</v>
      </c>
      <c r="E24763" s="21" t="s">
        <v>6185</v>
      </c>
      <c r="F24763">
        <v>2900046</v>
      </c>
      <c r="G24763" t="s">
        <v>4101</v>
      </c>
      <c r="H24763" s="21">
        <v>650.16999999999996</v>
      </c>
    </row>
    <row r="24764" spans="1:8" customFormat="1" x14ac:dyDescent="0.25">
      <c r="A24764" t="str">
        <f>"4218052"</f>
        <v>4218052</v>
      </c>
      <c r="B24764" t="s">
        <v>17284</v>
      </c>
      <c r="C24764" t="s">
        <v>40</v>
      </c>
      <c r="D24764" s="21" t="s">
        <v>34</v>
      </c>
      <c r="E24764" s="21" t="s">
        <v>71</v>
      </c>
      <c r="F24764">
        <v>1420055</v>
      </c>
      <c r="G24764" t="s">
        <v>5421</v>
      </c>
      <c r="H24764" s="21">
        <v>650.16999999999996</v>
      </c>
    </row>
    <row r="24765" spans="1:8" customFormat="1" x14ac:dyDescent="0.25">
      <c r="A24765" t="str">
        <f>"85434"</f>
        <v>85434</v>
      </c>
      <c r="B24765" t="s">
        <v>18521</v>
      </c>
      <c r="C24765" t="s">
        <v>263</v>
      </c>
      <c r="D24765" s="21" t="s">
        <v>34</v>
      </c>
      <c r="E24765" s="21" t="s">
        <v>71</v>
      </c>
      <c r="F24765">
        <v>12851012</v>
      </c>
      <c r="G24765" t="s">
        <v>1963</v>
      </c>
      <c r="H24765" s="21">
        <v>650.16999999999996</v>
      </c>
    </row>
    <row r="24766" spans="1:8" customFormat="1" x14ac:dyDescent="0.25">
      <c r="A24766" t="str">
        <f>"905449"</f>
        <v>905449</v>
      </c>
      <c r="B24766" t="s">
        <v>20694</v>
      </c>
      <c r="C24766" t="s">
        <v>493</v>
      </c>
      <c r="D24766" s="21" t="s">
        <v>34</v>
      </c>
      <c r="E24766" s="21" t="s">
        <v>35</v>
      </c>
      <c r="F24766">
        <v>2900046</v>
      </c>
      <c r="G24766" t="s">
        <v>4101</v>
      </c>
      <c r="H24766" s="21">
        <v>650.16999999999996</v>
      </c>
    </row>
    <row r="24767" spans="1:8" customFormat="1" x14ac:dyDescent="0.25">
      <c r="A24767" t="str">
        <f>"589502"</f>
        <v>589502</v>
      </c>
      <c r="B24767" t="s">
        <v>21094</v>
      </c>
      <c r="C24767" t="s">
        <v>926</v>
      </c>
      <c r="D24767" s="21" t="s">
        <v>34</v>
      </c>
      <c r="E24767" s="21" t="s">
        <v>35</v>
      </c>
      <c r="F24767">
        <v>2580012</v>
      </c>
      <c r="G24767" t="s">
        <v>1144</v>
      </c>
      <c r="H24767" s="21">
        <v>650.16999999999996</v>
      </c>
    </row>
    <row r="24768" spans="1:8" customFormat="1" x14ac:dyDescent="0.25">
      <c r="A24768" t="str">
        <f>"6925633"</f>
        <v>6925633</v>
      </c>
      <c r="B24768" t="s">
        <v>19292</v>
      </c>
      <c r="C24768" t="s">
        <v>236</v>
      </c>
      <c r="D24768" s="21" t="s">
        <v>34</v>
      </c>
      <c r="E24768" s="21" t="s">
        <v>71</v>
      </c>
      <c r="F24768">
        <v>1690185</v>
      </c>
      <c r="G24768" t="s">
        <v>10841</v>
      </c>
      <c r="H24768" s="21">
        <v>650.16999999999996</v>
      </c>
    </row>
    <row r="24769" spans="1:8" customFormat="1" x14ac:dyDescent="0.25">
      <c r="A24769" t="str">
        <f>"6936234"</f>
        <v>6936234</v>
      </c>
      <c r="B24769" t="s">
        <v>1295</v>
      </c>
      <c r="C24769" t="s">
        <v>1271</v>
      </c>
      <c r="D24769" s="21" t="s">
        <v>34</v>
      </c>
      <c r="E24769" s="21" t="s">
        <v>71</v>
      </c>
      <c r="F24769">
        <v>1690138</v>
      </c>
      <c r="G24769" t="s">
        <v>18533</v>
      </c>
      <c r="H24769" s="21">
        <v>650.16999999999996</v>
      </c>
    </row>
    <row r="24770" spans="1:8" customFormat="1" x14ac:dyDescent="0.25">
      <c r="A24770" t="str">
        <f>"9142472"</f>
        <v>9142472</v>
      </c>
      <c r="B24770" t="s">
        <v>18605</v>
      </c>
      <c r="C24770" t="s">
        <v>82</v>
      </c>
      <c r="D24770" s="21" t="s">
        <v>34</v>
      </c>
      <c r="E24770" s="21" t="s">
        <v>35</v>
      </c>
      <c r="F24770">
        <v>8911132</v>
      </c>
      <c r="G24770" t="s">
        <v>10728</v>
      </c>
      <c r="H24770" s="21">
        <v>650.16999999999996</v>
      </c>
    </row>
    <row r="24771" spans="1:8" customFormat="1" x14ac:dyDescent="0.25">
      <c r="A24771" t="str">
        <f>"2724"</f>
        <v>2724</v>
      </c>
      <c r="B24771" t="s">
        <v>12403</v>
      </c>
      <c r="C24771" t="s">
        <v>2305</v>
      </c>
      <c r="D24771" s="21" t="s">
        <v>34</v>
      </c>
      <c r="E24771" s="21" t="s">
        <v>254</v>
      </c>
      <c r="F24771">
        <v>9270004</v>
      </c>
      <c r="G24771" t="s">
        <v>13439</v>
      </c>
      <c r="H24771" s="21">
        <v>650.16999999999996</v>
      </c>
    </row>
    <row r="24772" spans="1:8" customFormat="1" x14ac:dyDescent="0.25">
      <c r="A24772" t="str">
        <f>"954002"</f>
        <v>954002</v>
      </c>
      <c r="B24772" t="s">
        <v>19640</v>
      </c>
      <c r="C24772" t="s">
        <v>415</v>
      </c>
      <c r="D24772" s="21" t="s">
        <v>34</v>
      </c>
      <c r="E24772" s="21" t="s">
        <v>254</v>
      </c>
      <c r="F24772">
        <v>8950092</v>
      </c>
      <c r="G24772" t="s">
        <v>2039</v>
      </c>
      <c r="H24772" s="21">
        <v>650.16999999999996</v>
      </c>
    </row>
    <row r="24773" spans="1:8" customFormat="1" x14ac:dyDescent="0.25">
      <c r="A24773" t="str">
        <f>"7866799"</f>
        <v>7866799</v>
      </c>
      <c r="B24773" t="s">
        <v>17582</v>
      </c>
      <c r="C24773" t="s">
        <v>2520</v>
      </c>
      <c r="D24773" s="21" t="s">
        <v>34</v>
      </c>
      <c r="E24773" s="21" t="s">
        <v>254</v>
      </c>
      <c r="F24773">
        <v>8780080</v>
      </c>
      <c r="G24773" t="s">
        <v>865</v>
      </c>
      <c r="H24773" s="21">
        <v>650.16999999999996</v>
      </c>
    </row>
    <row r="24774" spans="1:8" customFormat="1" x14ac:dyDescent="0.25">
      <c r="A24774" t="str">
        <f>"94609"</f>
        <v>94609</v>
      </c>
      <c r="B24774" t="s">
        <v>1802</v>
      </c>
      <c r="C24774" t="s">
        <v>236</v>
      </c>
      <c r="D24774" s="21" t="s">
        <v>34</v>
      </c>
      <c r="E24774" s="21" t="s">
        <v>254</v>
      </c>
      <c r="F24774">
        <v>8940326</v>
      </c>
      <c r="G24774" t="s">
        <v>659</v>
      </c>
      <c r="H24774" s="21">
        <v>650.16999999999996</v>
      </c>
    </row>
    <row r="24775" spans="1:8" customFormat="1" x14ac:dyDescent="0.25">
      <c r="A24775" t="str">
        <f>"9315217"</f>
        <v>9315217</v>
      </c>
      <c r="B24775" t="s">
        <v>12619</v>
      </c>
      <c r="C24775" t="s">
        <v>269</v>
      </c>
      <c r="D24775" s="21" t="s">
        <v>34</v>
      </c>
      <c r="E24775" s="21" t="s">
        <v>71</v>
      </c>
      <c r="F24775">
        <v>8930430</v>
      </c>
      <c r="G24775" t="s">
        <v>995</v>
      </c>
      <c r="H24775" s="21">
        <v>650.16999999999996</v>
      </c>
    </row>
    <row r="24776" spans="1:8" customFormat="1" x14ac:dyDescent="0.25">
      <c r="A24776" t="str">
        <f>"433778"</f>
        <v>433778</v>
      </c>
      <c r="B24776" t="s">
        <v>19531</v>
      </c>
      <c r="C24776" t="s">
        <v>55</v>
      </c>
      <c r="D24776" s="21" t="s">
        <v>34</v>
      </c>
      <c r="E24776" s="21" t="s">
        <v>71</v>
      </c>
      <c r="F24776">
        <v>1420240</v>
      </c>
      <c r="G24776" t="s">
        <v>9179</v>
      </c>
      <c r="H24776" s="21">
        <v>650.04</v>
      </c>
    </row>
    <row r="24777" spans="1:8" customFormat="1" x14ac:dyDescent="0.25">
      <c r="A24777" t="str">
        <f>"5980469"</f>
        <v>5980469</v>
      </c>
      <c r="B24777" t="s">
        <v>21501</v>
      </c>
      <c r="C24777" t="s">
        <v>43</v>
      </c>
      <c r="D24777" s="21" t="s">
        <v>34</v>
      </c>
      <c r="E24777" s="21" t="s">
        <v>35</v>
      </c>
      <c r="F24777">
        <v>7590338</v>
      </c>
      <c r="G24777" t="s">
        <v>682</v>
      </c>
      <c r="H24777" s="21">
        <v>650.04</v>
      </c>
    </row>
    <row r="24778" spans="1:8" customFormat="1" x14ac:dyDescent="0.25">
      <c r="A24778" t="str">
        <f>"6948175"</f>
        <v>6948175</v>
      </c>
      <c r="B24778" t="s">
        <v>27816</v>
      </c>
      <c r="C24778" t="s">
        <v>204</v>
      </c>
      <c r="D24778" s="21" t="s">
        <v>34</v>
      </c>
      <c r="E24778" s="21" t="s">
        <v>35</v>
      </c>
      <c r="F24778">
        <v>1690167</v>
      </c>
      <c r="G24778" t="s">
        <v>11267</v>
      </c>
      <c r="H24778" s="21">
        <v>649.91999999999996</v>
      </c>
    </row>
    <row r="24779" spans="1:8" customFormat="1" x14ac:dyDescent="0.25">
      <c r="A24779" t="str">
        <f>"4525009"</f>
        <v>4525009</v>
      </c>
      <c r="B24779" t="s">
        <v>19758</v>
      </c>
      <c r="C24779" t="s">
        <v>664</v>
      </c>
      <c r="D24779" s="21" t="s">
        <v>34</v>
      </c>
      <c r="E24779" s="21" t="s">
        <v>71</v>
      </c>
      <c r="F24779">
        <v>4450706</v>
      </c>
      <c r="G24779" t="s">
        <v>4482</v>
      </c>
      <c r="H24779" s="21">
        <v>649.66999999999996</v>
      </c>
    </row>
    <row r="24780" spans="1:8" customFormat="1" x14ac:dyDescent="0.25">
      <c r="A24780" t="str">
        <f>"7639227"</f>
        <v>7639227</v>
      </c>
      <c r="B24780" t="s">
        <v>21583</v>
      </c>
      <c r="C24780" t="s">
        <v>209</v>
      </c>
      <c r="D24780" s="21" t="s">
        <v>34</v>
      </c>
      <c r="E24780" s="21" t="s">
        <v>254</v>
      </c>
      <c r="F24780">
        <v>9760004</v>
      </c>
      <c r="G24780" t="s">
        <v>56</v>
      </c>
      <c r="H24780" s="21">
        <v>649.66999999999996</v>
      </c>
    </row>
    <row r="24781" spans="1:8" customFormat="1" x14ac:dyDescent="0.25">
      <c r="A24781" t="str">
        <f>"6921602"</f>
        <v>6921602</v>
      </c>
      <c r="B24781" t="s">
        <v>17326</v>
      </c>
      <c r="C24781" t="s">
        <v>263</v>
      </c>
      <c r="D24781" s="21" t="s">
        <v>34</v>
      </c>
      <c r="E24781" s="21" t="s">
        <v>254</v>
      </c>
      <c r="F24781">
        <v>1380293</v>
      </c>
      <c r="G24781" t="s">
        <v>2103</v>
      </c>
      <c r="H24781" s="21">
        <v>649.66999999999996</v>
      </c>
    </row>
    <row r="24782" spans="1:8" customFormat="1" x14ac:dyDescent="0.25">
      <c r="A24782" t="str">
        <f>"594851"</f>
        <v>594851</v>
      </c>
      <c r="B24782" t="s">
        <v>7971</v>
      </c>
      <c r="C24782" t="s">
        <v>528</v>
      </c>
      <c r="D24782" s="21" t="s">
        <v>34</v>
      </c>
      <c r="E24782" s="21" t="s">
        <v>254</v>
      </c>
      <c r="F24782">
        <v>7590184</v>
      </c>
      <c r="G24782" t="s">
        <v>6722</v>
      </c>
      <c r="H24782" s="21">
        <v>649.66999999999996</v>
      </c>
    </row>
    <row r="24783" spans="1:8" customFormat="1" x14ac:dyDescent="0.25">
      <c r="A24783" t="str">
        <f>"331161"</f>
        <v>331161</v>
      </c>
      <c r="B24783" t="s">
        <v>18076</v>
      </c>
      <c r="C24783" t="s">
        <v>239</v>
      </c>
      <c r="D24783" s="21" t="s">
        <v>34</v>
      </c>
      <c r="E24783" s="21" t="s">
        <v>1089</v>
      </c>
      <c r="F24783">
        <v>10330043</v>
      </c>
      <c r="G24783" t="s">
        <v>1703</v>
      </c>
      <c r="H24783" s="21">
        <v>649.66999999999996</v>
      </c>
    </row>
    <row r="24784" spans="1:8" customFormat="1" x14ac:dyDescent="0.25">
      <c r="A24784" t="str">
        <f>"9138605"</f>
        <v>9138605</v>
      </c>
      <c r="B24784" t="s">
        <v>19409</v>
      </c>
      <c r="C24784" t="s">
        <v>288</v>
      </c>
      <c r="D24784" s="21" t="s">
        <v>34</v>
      </c>
      <c r="E24784" s="21" t="s">
        <v>35</v>
      </c>
      <c r="F24784">
        <v>8911225</v>
      </c>
      <c r="G24784" t="s">
        <v>4297</v>
      </c>
      <c r="H24784" s="21">
        <v>649.66999999999996</v>
      </c>
    </row>
    <row r="24785" spans="1:8" customFormat="1" x14ac:dyDescent="0.25">
      <c r="A24785" t="str">
        <f>"596992"</f>
        <v>596992</v>
      </c>
      <c r="B24785" t="s">
        <v>18540</v>
      </c>
      <c r="C24785" t="s">
        <v>822</v>
      </c>
      <c r="D24785" s="21" t="s">
        <v>34</v>
      </c>
      <c r="E24785" s="21" t="s">
        <v>71</v>
      </c>
      <c r="F24785">
        <v>7590072</v>
      </c>
      <c r="G24785" t="s">
        <v>4059</v>
      </c>
      <c r="H24785" s="21">
        <v>649.66999999999996</v>
      </c>
    </row>
    <row r="24786" spans="1:8" customFormat="1" x14ac:dyDescent="0.25">
      <c r="A24786" t="str">
        <f>"809755"</f>
        <v>809755</v>
      </c>
      <c r="B24786" t="s">
        <v>257</v>
      </c>
      <c r="C24786" t="s">
        <v>415</v>
      </c>
      <c r="D24786" s="21" t="s">
        <v>34</v>
      </c>
      <c r="E24786" s="21" t="s">
        <v>71</v>
      </c>
      <c r="F24786">
        <v>7800126</v>
      </c>
      <c r="G24786" t="s">
        <v>1105</v>
      </c>
      <c r="H24786" s="21">
        <v>649.66999999999996</v>
      </c>
    </row>
    <row r="24787" spans="1:8" customFormat="1" x14ac:dyDescent="0.25">
      <c r="A24787" t="str">
        <f>"5921525"</f>
        <v>5921525</v>
      </c>
      <c r="B24787" t="s">
        <v>18113</v>
      </c>
      <c r="C24787" t="s">
        <v>211</v>
      </c>
      <c r="D24787" s="21" t="s">
        <v>34</v>
      </c>
      <c r="E24787" s="21" t="s">
        <v>71</v>
      </c>
      <c r="F24787">
        <v>7590250</v>
      </c>
      <c r="G24787" t="s">
        <v>13017</v>
      </c>
      <c r="H24787" s="21">
        <v>649.66999999999996</v>
      </c>
    </row>
    <row r="24788" spans="1:8" customFormat="1" x14ac:dyDescent="0.25">
      <c r="A24788" t="str">
        <f>"68436"</f>
        <v>68436</v>
      </c>
      <c r="B24788" t="s">
        <v>185</v>
      </c>
      <c r="C24788" t="s">
        <v>453</v>
      </c>
      <c r="D24788" s="21" t="s">
        <v>34</v>
      </c>
      <c r="E24788" s="21" t="s">
        <v>254</v>
      </c>
      <c r="F24788">
        <v>6680105</v>
      </c>
      <c r="G24788" t="s">
        <v>403</v>
      </c>
      <c r="H24788" s="21">
        <v>649.66999999999996</v>
      </c>
    </row>
    <row r="24789" spans="1:8" customFormat="1" x14ac:dyDescent="0.25">
      <c r="A24789" t="str">
        <f>"72620"</f>
        <v>72620</v>
      </c>
      <c r="B24789" t="s">
        <v>15826</v>
      </c>
      <c r="C24789" t="s">
        <v>3073</v>
      </c>
      <c r="D24789" s="21" t="s">
        <v>34</v>
      </c>
      <c r="E24789" s="21" t="s">
        <v>1089</v>
      </c>
      <c r="F24789">
        <v>12720004</v>
      </c>
      <c r="G24789" t="s">
        <v>2328</v>
      </c>
      <c r="H24789" s="21">
        <v>649.66999999999996</v>
      </c>
    </row>
    <row r="24790" spans="1:8" customFormat="1" x14ac:dyDescent="0.25">
      <c r="A24790" t="str">
        <f>"5962915"</f>
        <v>5962915</v>
      </c>
      <c r="B24790" t="s">
        <v>17520</v>
      </c>
      <c r="C24790" t="s">
        <v>33</v>
      </c>
      <c r="D24790" s="21" t="s">
        <v>34</v>
      </c>
      <c r="E24790" s="21" t="s">
        <v>35</v>
      </c>
      <c r="F24790">
        <v>7590281</v>
      </c>
      <c r="G24790" t="s">
        <v>7165</v>
      </c>
      <c r="H24790" s="21">
        <v>649.66999999999996</v>
      </c>
    </row>
    <row r="24791" spans="1:8" customFormat="1" x14ac:dyDescent="0.25">
      <c r="A24791" t="str">
        <f>"9453360"</f>
        <v>9453360</v>
      </c>
      <c r="B24791" t="s">
        <v>1840</v>
      </c>
      <c r="C24791" t="s">
        <v>27817</v>
      </c>
      <c r="D24791" s="21" t="s">
        <v>34</v>
      </c>
      <c r="E24791" s="21" t="s">
        <v>254</v>
      </c>
      <c r="F24791">
        <v>8940030</v>
      </c>
      <c r="G24791" t="s">
        <v>7068</v>
      </c>
      <c r="H24791" s="21">
        <v>649.66999999999996</v>
      </c>
    </row>
    <row r="24792" spans="1:8" customFormat="1" x14ac:dyDescent="0.25">
      <c r="A24792" t="str">
        <f>"8526506"</f>
        <v>8526506</v>
      </c>
      <c r="B24792" t="s">
        <v>3958</v>
      </c>
      <c r="C24792" t="s">
        <v>198</v>
      </c>
      <c r="D24792" s="21" t="s">
        <v>34</v>
      </c>
      <c r="E24792" s="21" t="s">
        <v>35</v>
      </c>
      <c r="F24792">
        <v>12850020</v>
      </c>
      <c r="G24792" t="s">
        <v>725</v>
      </c>
      <c r="H24792" s="21">
        <v>649.66999999999996</v>
      </c>
    </row>
    <row r="24793" spans="1:8" customFormat="1" x14ac:dyDescent="0.25">
      <c r="A24793" t="str">
        <f>"1426746"</f>
        <v>1426746</v>
      </c>
      <c r="B24793" t="s">
        <v>27818</v>
      </c>
      <c r="C24793" t="s">
        <v>269</v>
      </c>
      <c r="D24793" s="21" t="s">
        <v>34</v>
      </c>
      <c r="E24793" s="21" t="s">
        <v>71</v>
      </c>
      <c r="F24793">
        <v>9140234</v>
      </c>
      <c r="G24793" t="s">
        <v>5548</v>
      </c>
      <c r="H24793" s="21">
        <v>649.66999999999996</v>
      </c>
    </row>
    <row r="24794" spans="1:8" customFormat="1" x14ac:dyDescent="0.25">
      <c r="A24794" t="str">
        <f>"7728368"</f>
        <v>7728368</v>
      </c>
      <c r="B24794" t="s">
        <v>19342</v>
      </c>
      <c r="C24794" t="s">
        <v>263</v>
      </c>
      <c r="D24794" s="21" t="s">
        <v>34</v>
      </c>
      <c r="E24794" s="21" t="s">
        <v>71</v>
      </c>
      <c r="F24794">
        <v>8771515</v>
      </c>
      <c r="G24794" t="s">
        <v>19102</v>
      </c>
      <c r="H24794" s="21">
        <v>649.66999999999996</v>
      </c>
    </row>
    <row r="24795" spans="1:8" customFormat="1" x14ac:dyDescent="0.25">
      <c r="A24795" t="str">
        <f>"7219080"</f>
        <v>7219080</v>
      </c>
      <c r="B24795" t="s">
        <v>6418</v>
      </c>
      <c r="C24795" t="s">
        <v>267</v>
      </c>
      <c r="D24795" s="21" t="s">
        <v>34</v>
      </c>
      <c r="E24795" s="21" t="s">
        <v>71</v>
      </c>
      <c r="F24795">
        <v>12720084</v>
      </c>
      <c r="G24795" t="s">
        <v>7532</v>
      </c>
      <c r="H24795" s="21">
        <v>649.66999999999996</v>
      </c>
    </row>
    <row r="24796" spans="1:8" customFormat="1" x14ac:dyDescent="0.25">
      <c r="A24796" t="str">
        <f>"2926305"</f>
        <v>2926305</v>
      </c>
      <c r="B24796" t="s">
        <v>7428</v>
      </c>
      <c r="C24796" t="s">
        <v>239</v>
      </c>
      <c r="D24796" s="21" t="s">
        <v>34</v>
      </c>
      <c r="E24796" s="21" t="s">
        <v>1089</v>
      </c>
      <c r="F24796">
        <v>3290277</v>
      </c>
      <c r="G24796" t="s">
        <v>1671</v>
      </c>
      <c r="H24796" s="21">
        <v>649.66999999999996</v>
      </c>
    </row>
    <row r="24797" spans="1:8" customFormat="1" x14ac:dyDescent="0.25">
      <c r="A24797" t="str">
        <f>"01339"</f>
        <v>01339</v>
      </c>
      <c r="B24797" t="s">
        <v>6174</v>
      </c>
      <c r="C24797" t="s">
        <v>1588</v>
      </c>
      <c r="D24797" s="21" t="s">
        <v>34</v>
      </c>
      <c r="E24797" s="21" t="s">
        <v>254</v>
      </c>
      <c r="F24797">
        <v>1010031</v>
      </c>
      <c r="G24797" t="s">
        <v>8957</v>
      </c>
      <c r="H24797" s="21">
        <v>649.66999999999996</v>
      </c>
    </row>
    <row r="24798" spans="1:8" customFormat="1" x14ac:dyDescent="0.25">
      <c r="A24798" t="str">
        <f>"2717506"</f>
        <v>2717506</v>
      </c>
      <c r="B24798" t="s">
        <v>17411</v>
      </c>
      <c r="C24798" t="s">
        <v>249</v>
      </c>
      <c r="D24798" s="21" t="s">
        <v>34</v>
      </c>
      <c r="E24798" s="21" t="s">
        <v>71</v>
      </c>
      <c r="F24798">
        <v>9270097</v>
      </c>
      <c r="G24798" t="s">
        <v>9759</v>
      </c>
      <c r="H24798" s="21">
        <v>649.66999999999996</v>
      </c>
    </row>
    <row r="24799" spans="1:8" customFormat="1" x14ac:dyDescent="0.25">
      <c r="A24799" t="str">
        <f>"684539"</f>
        <v>684539</v>
      </c>
      <c r="B24799" t="s">
        <v>18927</v>
      </c>
      <c r="C24799" t="s">
        <v>18928</v>
      </c>
      <c r="D24799" s="21" t="s">
        <v>34</v>
      </c>
      <c r="E24799" s="21" t="s">
        <v>71</v>
      </c>
      <c r="F24799">
        <v>6680071</v>
      </c>
      <c r="G24799" t="s">
        <v>2899</v>
      </c>
      <c r="H24799" s="21">
        <v>649.66999999999996</v>
      </c>
    </row>
    <row r="24800" spans="1:8" customFormat="1" x14ac:dyDescent="0.25">
      <c r="A24800" t="str">
        <f>"94773"</f>
        <v>94773</v>
      </c>
      <c r="B24800" t="s">
        <v>18172</v>
      </c>
      <c r="C24800" t="s">
        <v>267</v>
      </c>
      <c r="D24800" s="21" t="s">
        <v>34</v>
      </c>
      <c r="E24800" s="21" t="s">
        <v>254</v>
      </c>
      <c r="F24800">
        <v>8940458</v>
      </c>
      <c r="G24800" t="s">
        <v>26774</v>
      </c>
      <c r="H24800" s="21">
        <v>649.54</v>
      </c>
    </row>
    <row r="24801" spans="1:8" customFormat="1" x14ac:dyDescent="0.25">
      <c r="A24801" t="str">
        <f>"5010699"</f>
        <v>5010699</v>
      </c>
      <c r="B24801" t="s">
        <v>16593</v>
      </c>
      <c r="C24801" t="s">
        <v>114</v>
      </c>
      <c r="D24801" s="21" t="s">
        <v>34</v>
      </c>
      <c r="E24801" s="21" t="s">
        <v>254</v>
      </c>
      <c r="F24801">
        <v>10330032</v>
      </c>
      <c r="G24801" t="s">
        <v>4408</v>
      </c>
      <c r="H24801" s="21">
        <v>649.5</v>
      </c>
    </row>
    <row r="24802" spans="1:8" customFormat="1" x14ac:dyDescent="0.25">
      <c r="A24802" t="str">
        <f>"7731154"</f>
        <v>7731154</v>
      </c>
      <c r="B24802" t="s">
        <v>2489</v>
      </c>
      <c r="C24802" t="s">
        <v>98</v>
      </c>
      <c r="D24802" s="21" t="s">
        <v>34</v>
      </c>
      <c r="E24802" s="21" t="s">
        <v>35</v>
      </c>
      <c r="F24802">
        <v>8771448</v>
      </c>
      <c r="G24802" t="s">
        <v>11540</v>
      </c>
      <c r="H24802" s="21">
        <v>649.41999999999996</v>
      </c>
    </row>
    <row r="24803" spans="1:8" customFormat="1" x14ac:dyDescent="0.25">
      <c r="A24803" t="str">
        <f>"4519596"</f>
        <v>4519596</v>
      </c>
      <c r="B24803" t="s">
        <v>18262</v>
      </c>
      <c r="C24803" t="s">
        <v>822</v>
      </c>
      <c r="D24803" s="21" t="s">
        <v>34</v>
      </c>
      <c r="E24803" s="21" t="s">
        <v>71</v>
      </c>
      <c r="F24803">
        <v>4450031</v>
      </c>
      <c r="G24803" t="s">
        <v>18263</v>
      </c>
      <c r="H24803" s="21">
        <v>649.41999999999996</v>
      </c>
    </row>
    <row r="24804" spans="1:8" customFormat="1" x14ac:dyDescent="0.25">
      <c r="A24804" t="str">
        <f>"2935038"</f>
        <v>2935038</v>
      </c>
      <c r="B24804" t="s">
        <v>6324</v>
      </c>
      <c r="C24804" t="s">
        <v>121</v>
      </c>
      <c r="D24804" s="21" t="s">
        <v>34</v>
      </c>
      <c r="E24804" s="21" t="s">
        <v>35</v>
      </c>
      <c r="F24804">
        <v>3290081</v>
      </c>
      <c r="G24804" t="s">
        <v>3819</v>
      </c>
      <c r="H24804" s="21">
        <v>649.41999999999996</v>
      </c>
    </row>
    <row r="24805" spans="1:8" customFormat="1" x14ac:dyDescent="0.25">
      <c r="A24805" t="str">
        <f>"0610029"</f>
        <v>0610029</v>
      </c>
      <c r="B24805" t="s">
        <v>4723</v>
      </c>
      <c r="C24805" t="s">
        <v>40</v>
      </c>
      <c r="D24805" s="21" t="s">
        <v>34</v>
      </c>
      <c r="E24805" s="21" t="s">
        <v>254</v>
      </c>
      <c r="F24805">
        <v>13060090</v>
      </c>
      <c r="G24805" t="s">
        <v>1363</v>
      </c>
      <c r="H24805" s="21">
        <v>649.29</v>
      </c>
    </row>
    <row r="24806" spans="1:8" customFormat="1" x14ac:dyDescent="0.25">
      <c r="A24806" t="str">
        <f>"5939583"</f>
        <v>5939583</v>
      </c>
      <c r="B24806" t="s">
        <v>11984</v>
      </c>
      <c r="C24806" t="s">
        <v>2520</v>
      </c>
      <c r="D24806" s="21" t="s">
        <v>34</v>
      </c>
      <c r="E24806" s="21" t="s">
        <v>254</v>
      </c>
      <c r="F24806">
        <v>7590372</v>
      </c>
      <c r="G24806" t="s">
        <v>3638</v>
      </c>
      <c r="H24806" s="21">
        <v>649.16999999999996</v>
      </c>
    </row>
    <row r="24807" spans="1:8" customFormat="1" x14ac:dyDescent="0.25">
      <c r="A24807" t="str">
        <f>"256308"</f>
        <v>256308</v>
      </c>
      <c r="B24807" t="s">
        <v>7891</v>
      </c>
      <c r="C24807" t="s">
        <v>3010</v>
      </c>
      <c r="D24807" s="21" t="s">
        <v>34</v>
      </c>
      <c r="E24807" s="21" t="s">
        <v>1089</v>
      </c>
      <c r="F24807">
        <v>2700085</v>
      </c>
      <c r="G24807" t="s">
        <v>7691</v>
      </c>
      <c r="H24807" s="21">
        <v>649.16999999999996</v>
      </c>
    </row>
    <row r="24808" spans="1:8" customFormat="1" x14ac:dyDescent="0.25">
      <c r="A24808" t="str">
        <f>"419144"</f>
        <v>419144</v>
      </c>
      <c r="B24808" t="s">
        <v>18136</v>
      </c>
      <c r="C24808" t="s">
        <v>65</v>
      </c>
      <c r="D24808" s="21" t="s">
        <v>34</v>
      </c>
      <c r="E24808" s="21" t="s">
        <v>35</v>
      </c>
      <c r="F24808">
        <v>4410543</v>
      </c>
      <c r="G24808" t="s">
        <v>14950</v>
      </c>
      <c r="H24808" s="21">
        <v>649.16999999999996</v>
      </c>
    </row>
    <row r="24809" spans="1:8" customFormat="1" x14ac:dyDescent="0.25">
      <c r="A24809" t="str">
        <f>"6926537"</f>
        <v>6926537</v>
      </c>
      <c r="B24809" t="s">
        <v>27819</v>
      </c>
      <c r="C24809" t="s">
        <v>65</v>
      </c>
      <c r="D24809" s="21" t="s">
        <v>34</v>
      </c>
      <c r="E24809" s="21" t="s">
        <v>35</v>
      </c>
      <c r="F24809">
        <v>13830083</v>
      </c>
      <c r="G24809" t="s">
        <v>2159</v>
      </c>
      <c r="H24809" s="21">
        <v>649.16999999999996</v>
      </c>
    </row>
    <row r="24810" spans="1:8" customFormat="1" x14ac:dyDescent="0.25">
      <c r="A24810" t="str">
        <f>"5945298"</f>
        <v>5945298</v>
      </c>
      <c r="B24810" t="s">
        <v>20879</v>
      </c>
      <c r="C24810" t="s">
        <v>209</v>
      </c>
      <c r="D24810" s="21" t="s">
        <v>34</v>
      </c>
      <c r="E24810" s="21" t="s">
        <v>71</v>
      </c>
      <c r="F24810">
        <v>10190043</v>
      </c>
      <c r="G24810" t="s">
        <v>10703</v>
      </c>
      <c r="H24810" s="21">
        <v>649.16999999999996</v>
      </c>
    </row>
    <row r="24811" spans="1:8" customFormat="1" x14ac:dyDescent="0.25">
      <c r="A24811" t="str">
        <f>"5946429"</f>
        <v>5946429</v>
      </c>
      <c r="B24811" t="s">
        <v>1320</v>
      </c>
      <c r="C24811" t="s">
        <v>40</v>
      </c>
      <c r="D24811" s="21" t="s">
        <v>34</v>
      </c>
      <c r="E24811" s="21" t="s">
        <v>254</v>
      </c>
      <c r="F24811">
        <v>7590395</v>
      </c>
      <c r="G24811" t="s">
        <v>15061</v>
      </c>
      <c r="H24811" s="21">
        <v>649.16999999999996</v>
      </c>
    </row>
    <row r="24812" spans="1:8" customFormat="1" x14ac:dyDescent="0.25">
      <c r="A24812" t="str">
        <f>"3726067"</f>
        <v>3726067</v>
      </c>
      <c r="B24812" t="s">
        <v>4058</v>
      </c>
      <c r="C24812" t="s">
        <v>149</v>
      </c>
      <c r="D24812" s="21" t="s">
        <v>34</v>
      </c>
      <c r="E24812" s="21" t="s">
        <v>35</v>
      </c>
      <c r="F24812">
        <v>4370349</v>
      </c>
      <c r="G24812" t="s">
        <v>2287</v>
      </c>
      <c r="H24812" s="21">
        <v>649.16999999999996</v>
      </c>
    </row>
    <row r="24813" spans="1:8" customFormat="1" x14ac:dyDescent="0.25">
      <c r="A24813" t="str">
        <f>"745219"</f>
        <v>745219</v>
      </c>
      <c r="B24813" t="s">
        <v>3947</v>
      </c>
      <c r="C24813" t="s">
        <v>33</v>
      </c>
      <c r="D24813" s="21" t="s">
        <v>34</v>
      </c>
      <c r="E24813" s="21" t="s">
        <v>71</v>
      </c>
      <c r="F24813">
        <v>1740060</v>
      </c>
      <c r="G24813" t="s">
        <v>4907</v>
      </c>
      <c r="H24813" s="21">
        <v>649.16999999999996</v>
      </c>
    </row>
    <row r="24814" spans="1:8" customFormat="1" x14ac:dyDescent="0.25">
      <c r="A24814" t="str">
        <f>"6212781"</f>
        <v>6212781</v>
      </c>
      <c r="B24814" t="s">
        <v>18993</v>
      </c>
      <c r="C24814" t="s">
        <v>2365</v>
      </c>
      <c r="D24814" s="21" t="s">
        <v>34</v>
      </c>
      <c r="E24814" s="21" t="s">
        <v>254</v>
      </c>
      <c r="F24814">
        <v>7620143</v>
      </c>
      <c r="G24814" t="s">
        <v>8762</v>
      </c>
      <c r="H24814" s="21">
        <v>649.16999999999996</v>
      </c>
    </row>
    <row r="24815" spans="1:8" customFormat="1" x14ac:dyDescent="0.25">
      <c r="A24815" t="str">
        <f>"6021124"</f>
        <v>6021124</v>
      </c>
      <c r="B24815" t="s">
        <v>17981</v>
      </c>
      <c r="C24815" t="s">
        <v>114</v>
      </c>
      <c r="D24815" s="21" t="s">
        <v>34</v>
      </c>
      <c r="E24815" s="21" t="s">
        <v>35</v>
      </c>
      <c r="F24815">
        <v>7600018</v>
      </c>
      <c r="G24815" t="s">
        <v>5838</v>
      </c>
      <c r="H24815" s="21">
        <v>649.16999999999996</v>
      </c>
    </row>
    <row r="24816" spans="1:8" customFormat="1" x14ac:dyDescent="0.25">
      <c r="A24816" t="str">
        <f>"728708"</f>
        <v>728708</v>
      </c>
      <c r="B24816" t="s">
        <v>3972</v>
      </c>
      <c r="C24816" t="s">
        <v>15344</v>
      </c>
      <c r="D24816" s="21" t="s">
        <v>34</v>
      </c>
      <c r="E24816" s="21" t="s">
        <v>1089</v>
      </c>
      <c r="F24816">
        <v>12720005</v>
      </c>
      <c r="G24816" t="s">
        <v>999</v>
      </c>
      <c r="H24816" s="21">
        <v>649.16999999999996</v>
      </c>
    </row>
    <row r="24817" spans="1:8" customFormat="1" x14ac:dyDescent="0.25">
      <c r="A24817" t="str">
        <f>"736047"</f>
        <v>736047</v>
      </c>
      <c r="B24817" t="s">
        <v>6965</v>
      </c>
      <c r="C24817" t="s">
        <v>209</v>
      </c>
      <c r="D24817" s="21" t="s">
        <v>34</v>
      </c>
      <c r="E24817" s="21" t="s">
        <v>71</v>
      </c>
      <c r="F24817">
        <v>2210029</v>
      </c>
      <c r="G24817" t="s">
        <v>6983</v>
      </c>
      <c r="H24817" s="21">
        <v>649.16999999999996</v>
      </c>
    </row>
    <row r="24818" spans="1:8" customFormat="1" x14ac:dyDescent="0.25">
      <c r="A24818" t="str">
        <f>"295000"</f>
        <v>295000</v>
      </c>
      <c r="B24818" t="s">
        <v>15439</v>
      </c>
      <c r="C24818" t="s">
        <v>2520</v>
      </c>
      <c r="D24818" s="21" t="s">
        <v>34</v>
      </c>
      <c r="E24818" s="21" t="s">
        <v>71</v>
      </c>
      <c r="F24818">
        <v>3560045</v>
      </c>
      <c r="G24818" t="s">
        <v>4969</v>
      </c>
      <c r="H24818" s="21">
        <v>649.16999999999996</v>
      </c>
    </row>
    <row r="24819" spans="1:8" customFormat="1" x14ac:dyDescent="0.25">
      <c r="A24819" t="str">
        <f>"778086"</f>
        <v>778086</v>
      </c>
      <c r="B24819" t="s">
        <v>17640</v>
      </c>
      <c r="C24819" t="s">
        <v>879</v>
      </c>
      <c r="D24819" s="21" t="s">
        <v>34</v>
      </c>
      <c r="E24819" s="21" t="s">
        <v>254</v>
      </c>
      <c r="F24819">
        <v>8770135</v>
      </c>
      <c r="G24819" t="s">
        <v>26830</v>
      </c>
      <c r="H24819" s="21">
        <v>649.16999999999996</v>
      </c>
    </row>
    <row r="24820" spans="1:8" customFormat="1" x14ac:dyDescent="0.25">
      <c r="A24820" t="str">
        <f>"6017409"</f>
        <v>6017409</v>
      </c>
      <c r="B24820" t="s">
        <v>2711</v>
      </c>
      <c r="C24820" t="s">
        <v>119</v>
      </c>
      <c r="D24820" s="21" t="s">
        <v>34</v>
      </c>
      <c r="E24820" s="21" t="s">
        <v>35</v>
      </c>
      <c r="F24820">
        <v>7600126</v>
      </c>
      <c r="G24820" t="s">
        <v>2516</v>
      </c>
      <c r="H24820" s="21">
        <v>649.16999999999996</v>
      </c>
    </row>
    <row r="24821" spans="1:8" customFormat="1" x14ac:dyDescent="0.25">
      <c r="A24821" t="str">
        <f>"0615613"</f>
        <v>0615613</v>
      </c>
      <c r="B24821" t="s">
        <v>4352</v>
      </c>
      <c r="C24821" t="s">
        <v>239</v>
      </c>
      <c r="D24821" s="21" t="s">
        <v>34</v>
      </c>
      <c r="E24821" s="21" t="s">
        <v>254</v>
      </c>
      <c r="F24821">
        <v>13060043</v>
      </c>
      <c r="G24821" t="s">
        <v>4761</v>
      </c>
      <c r="H24821" s="21">
        <v>649.04</v>
      </c>
    </row>
    <row r="24822" spans="1:8" customFormat="1" x14ac:dyDescent="0.25">
      <c r="A24822" t="str">
        <f>"5966231"</f>
        <v>5966231</v>
      </c>
      <c r="B24822" t="s">
        <v>19351</v>
      </c>
      <c r="C24822" t="s">
        <v>33</v>
      </c>
      <c r="D24822" s="21" t="s">
        <v>34</v>
      </c>
      <c r="E24822" s="21" t="s">
        <v>35</v>
      </c>
      <c r="F24822">
        <v>2210123</v>
      </c>
      <c r="G24822" t="s">
        <v>11231</v>
      </c>
      <c r="H24822" s="21">
        <v>649.04</v>
      </c>
    </row>
    <row r="24823" spans="1:8" customFormat="1" x14ac:dyDescent="0.25">
      <c r="A24823" t="str">
        <f>"7721077"</f>
        <v>7721077</v>
      </c>
      <c r="B24823" t="s">
        <v>19768</v>
      </c>
      <c r="C24823" t="s">
        <v>169</v>
      </c>
      <c r="D24823" s="21" t="s">
        <v>34</v>
      </c>
      <c r="E24823" s="21" t="s">
        <v>35</v>
      </c>
      <c r="F24823">
        <v>8770250</v>
      </c>
      <c r="G24823" t="s">
        <v>2595</v>
      </c>
      <c r="H24823" s="21">
        <v>649.04</v>
      </c>
    </row>
    <row r="24824" spans="1:8" customFormat="1" x14ac:dyDescent="0.25">
      <c r="A24824" t="str">
        <f>"451504"</f>
        <v>451504</v>
      </c>
      <c r="B24824" t="s">
        <v>15987</v>
      </c>
      <c r="C24824" t="s">
        <v>598</v>
      </c>
      <c r="D24824" s="21" t="s">
        <v>34</v>
      </c>
      <c r="E24824" s="21" t="s">
        <v>1089</v>
      </c>
      <c r="F24824">
        <v>4450417</v>
      </c>
      <c r="G24824" t="s">
        <v>2284</v>
      </c>
      <c r="H24824" s="21">
        <v>648.91999999999996</v>
      </c>
    </row>
    <row r="24825" spans="1:8" customFormat="1" x14ac:dyDescent="0.25">
      <c r="A24825" t="str">
        <f>"7110059"</f>
        <v>7110059</v>
      </c>
      <c r="B24825" t="s">
        <v>10204</v>
      </c>
      <c r="C24825" t="s">
        <v>87</v>
      </c>
      <c r="D24825" s="21" t="s">
        <v>34</v>
      </c>
      <c r="E24825" s="21" t="s">
        <v>71</v>
      </c>
      <c r="F24825">
        <v>2710042</v>
      </c>
      <c r="G24825" t="s">
        <v>1997</v>
      </c>
      <c r="H24825" s="21">
        <v>648.91999999999996</v>
      </c>
    </row>
    <row r="24826" spans="1:8" customFormat="1" x14ac:dyDescent="0.25">
      <c r="A24826" t="str">
        <f>"7729144"</f>
        <v>7729144</v>
      </c>
      <c r="B24826" t="s">
        <v>17378</v>
      </c>
      <c r="C24826" t="s">
        <v>249</v>
      </c>
      <c r="D24826" s="21" t="s">
        <v>34</v>
      </c>
      <c r="E24826" s="21" t="s">
        <v>71</v>
      </c>
      <c r="F24826">
        <v>8771200</v>
      </c>
      <c r="G24826" t="s">
        <v>5455</v>
      </c>
      <c r="H24826" s="21">
        <v>648.79</v>
      </c>
    </row>
    <row r="24827" spans="1:8" customFormat="1" x14ac:dyDescent="0.25">
      <c r="A24827" t="str">
        <f>"8316947"</f>
        <v>8316947</v>
      </c>
      <c r="B24827" t="s">
        <v>6120</v>
      </c>
      <c r="C24827" t="s">
        <v>209</v>
      </c>
      <c r="D24827" s="21" t="s">
        <v>34</v>
      </c>
      <c r="E24827" s="21" t="s">
        <v>71</v>
      </c>
      <c r="F24827">
        <v>13830013</v>
      </c>
      <c r="G24827" t="s">
        <v>3374</v>
      </c>
      <c r="H24827" s="21">
        <v>648.79</v>
      </c>
    </row>
    <row r="24828" spans="1:8" customFormat="1" x14ac:dyDescent="0.25">
      <c r="A24828" t="str">
        <f>"337729"</f>
        <v>337729</v>
      </c>
      <c r="B24828" t="s">
        <v>18821</v>
      </c>
      <c r="C24828" t="s">
        <v>1199</v>
      </c>
      <c r="D24828" s="21" t="s">
        <v>34</v>
      </c>
      <c r="E24828" s="21" t="s">
        <v>254</v>
      </c>
      <c r="F24828">
        <v>10330089</v>
      </c>
      <c r="G24828" t="s">
        <v>3705</v>
      </c>
      <c r="H24828" s="21">
        <v>648.79</v>
      </c>
    </row>
    <row r="24829" spans="1:8" customFormat="1" x14ac:dyDescent="0.25">
      <c r="A24829" t="str">
        <f>"9130402"</f>
        <v>9130402</v>
      </c>
      <c r="B24829" t="s">
        <v>4944</v>
      </c>
      <c r="C24829" t="s">
        <v>2520</v>
      </c>
      <c r="D24829" s="21" t="s">
        <v>34</v>
      </c>
      <c r="E24829" s="21" t="s">
        <v>254</v>
      </c>
      <c r="F24829">
        <v>8911083</v>
      </c>
      <c r="G24829" t="s">
        <v>7357</v>
      </c>
      <c r="H24829" s="21">
        <v>648.66999999999996</v>
      </c>
    </row>
    <row r="24830" spans="1:8" customFormat="1" x14ac:dyDescent="0.25">
      <c r="A24830" t="str">
        <f>"8019475"</f>
        <v>8019475</v>
      </c>
      <c r="B24830" t="s">
        <v>21221</v>
      </c>
      <c r="C24830" t="s">
        <v>87</v>
      </c>
      <c r="D24830" s="21" t="s">
        <v>34</v>
      </c>
      <c r="E24830" s="21" t="s">
        <v>35</v>
      </c>
      <c r="F24830">
        <v>7800030</v>
      </c>
      <c r="G24830" t="s">
        <v>13589</v>
      </c>
      <c r="H24830" s="21">
        <v>648.66999999999996</v>
      </c>
    </row>
    <row r="24831" spans="1:8" customFormat="1" x14ac:dyDescent="0.25">
      <c r="A24831" t="str">
        <f>"724192"</f>
        <v>724192</v>
      </c>
      <c r="B24831" t="s">
        <v>3001</v>
      </c>
      <c r="C24831" t="s">
        <v>17749</v>
      </c>
      <c r="D24831" s="21" t="s">
        <v>34</v>
      </c>
      <c r="E24831" s="21" t="s">
        <v>1089</v>
      </c>
      <c r="F24831">
        <v>12720078</v>
      </c>
      <c r="G24831" t="s">
        <v>5085</v>
      </c>
      <c r="H24831" s="21">
        <v>648.66999999999996</v>
      </c>
    </row>
    <row r="24832" spans="1:8" customFormat="1" x14ac:dyDescent="0.25">
      <c r="A24832" t="str">
        <f>"258221"</f>
        <v>258221</v>
      </c>
      <c r="B24832" t="s">
        <v>8446</v>
      </c>
      <c r="C24832" t="s">
        <v>415</v>
      </c>
      <c r="D24832" s="21" t="s">
        <v>34</v>
      </c>
      <c r="E24832" s="21" t="s">
        <v>35</v>
      </c>
      <c r="F24832">
        <v>2250162</v>
      </c>
      <c r="G24832" t="s">
        <v>7388</v>
      </c>
      <c r="H24832" s="21">
        <v>648.66999999999996</v>
      </c>
    </row>
    <row r="24833" spans="1:8" customFormat="1" x14ac:dyDescent="0.25">
      <c r="A24833" t="str">
        <f>"42153"</f>
        <v>42153</v>
      </c>
      <c r="B24833" t="s">
        <v>17175</v>
      </c>
      <c r="C24833" t="s">
        <v>40</v>
      </c>
      <c r="D24833" s="21" t="s">
        <v>34</v>
      </c>
      <c r="E24833" s="21" t="s">
        <v>254</v>
      </c>
      <c r="F24833">
        <v>1420308</v>
      </c>
      <c r="G24833" t="s">
        <v>14514</v>
      </c>
      <c r="H24833" s="21">
        <v>648.66999999999996</v>
      </c>
    </row>
    <row r="24834" spans="1:8" customFormat="1" x14ac:dyDescent="0.25">
      <c r="A24834" t="str">
        <f>"3536086"</f>
        <v>3536086</v>
      </c>
      <c r="B24834" t="s">
        <v>1247</v>
      </c>
      <c r="C24834" t="s">
        <v>60</v>
      </c>
      <c r="D24834" s="21" t="s">
        <v>34</v>
      </c>
      <c r="E24834" s="21" t="s">
        <v>35</v>
      </c>
      <c r="F24834">
        <v>3350156</v>
      </c>
      <c r="G24834" t="s">
        <v>18238</v>
      </c>
      <c r="H24834" s="21">
        <v>648.66999999999996</v>
      </c>
    </row>
    <row r="24835" spans="1:8" customFormat="1" x14ac:dyDescent="0.25">
      <c r="A24835" t="str">
        <f>"6016327"</f>
        <v>6016327</v>
      </c>
      <c r="B24835" t="s">
        <v>19484</v>
      </c>
      <c r="C24835" t="s">
        <v>119</v>
      </c>
      <c r="D24835" s="21" t="s">
        <v>34</v>
      </c>
      <c r="E24835" s="21" t="s">
        <v>35</v>
      </c>
      <c r="F24835">
        <v>7600154</v>
      </c>
      <c r="G24835" t="s">
        <v>7836</v>
      </c>
      <c r="H24835" s="21">
        <v>648.66999999999996</v>
      </c>
    </row>
    <row r="24836" spans="1:8" customFormat="1" x14ac:dyDescent="0.25">
      <c r="A24836" t="str">
        <f>"5946686"</f>
        <v>5946686</v>
      </c>
      <c r="B24836" t="s">
        <v>17975</v>
      </c>
      <c r="C24836" t="s">
        <v>926</v>
      </c>
      <c r="D24836" s="21" t="s">
        <v>34</v>
      </c>
      <c r="E24836" s="21" t="s">
        <v>71</v>
      </c>
      <c r="F24836">
        <v>7590228</v>
      </c>
      <c r="G24836" t="s">
        <v>1798</v>
      </c>
      <c r="H24836" s="21">
        <v>648.66999999999996</v>
      </c>
    </row>
    <row r="24837" spans="1:8" customFormat="1" x14ac:dyDescent="0.25">
      <c r="A24837" t="str">
        <f>"9113744"</f>
        <v>9113744</v>
      </c>
      <c r="B24837" t="s">
        <v>17294</v>
      </c>
      <c r="C24837" t="s">
        <v>415</v>
      </c>
      <c r="D24837" s="21" t="s">
        <v>34</v>
      </c>
      <c r="E24837" s="21" t="s">
        <v>254</v>
      </c>
      <c r="F24837">
        <v>13830092</v>
      </c>
      <c r="G24837" t="s">
        <v>3632</v>
      </c>
      <c r="H24837" s="21">
        <v>648.66999999999996</v>
      </c>
    </row>
    <row r="24838" spans="1:8" customFormat="1" x14ac:dyDescent="0.25">
      <c r="A24838" t="str">
        <f>"7414703"</f>
        <v>7414703</v>
      </c>
      <c r="B24838" t="s">
        <v>27820</v>
      </c>
      <c r="C24838" t="s">
        <v>611</v>
      </c>
      <c r="D24838" s="21" t="s">
        <v>34</v>
      </c>
      <c r="E24838" s="21" t="s">
        <v>35</v>
      </c>
      <c r="F24838">
        <v>1740038</v>
      </c>
      <c r="G24838" t="s">
        <v>26517</v>
      </c>
      <c r="H24838" s="21">
        <v>648.66999999999996</v>
      </c>
    </row>
    <row r="24839" spans="1:8" customFormat="1" x14ac:dyDescent="0.25">
      <c r="A24839" t="str">
        <f>"625851"</f>
        <v>625851</v>
      </c>
      <c r="B24839" t="s">
        <v>17790</v>
      </c>
      <c r="C24839" t="s">
        <v>114</v>
      </c>
      <c r="D24839" s="21" t="s">
        <v>34</v>
      </c>
      <c r="E24839" s="21" t="s">
        <v>71</v>
      </c>
      <c r="F24839">
        <v>7620130</v>
      </c>
      <c r="G24839" t="s">
        <v>4386</v>
      </c>
      <c r="H24839" s="21">
        <v>648.66999999999996</v>
      </c>
    </row>
    <row r="24840" spans="1:8" customFormat="1" x14ac:dyDescent="0.25">
      <c r="A24840" t="str">
        <f>"566143"</f>
        <v>566143</v>
      </c>
      <c r="B24840" t="s">
        <v>16959</v>
      </c>
      <c r="C24840" t="s">
        <v>1665</v>
      </c>
      <c r="D24840" s="21" t="s">
        <v>34</v>
      </c>
      <c r="E24840" s="21" t="s">
        <v>1089</v>
      </c>
      <c r="F24840">
        <v>3560063</v>
      </c>
      <c r="G24840" t="s">
        <v>16878</v>
      </c>
      <c r="H24840" s="21">
        <v>648.66999999999996</v>
      </c>
    </row>
    <row r="24841" spans="1:8" customFormat="1" x14ac:dyDescent="0.25">
      <c r="A24841" t="str">
        <f>"3410212"</f>
        <v>3410212</v>
      </c>
      <c r="B24841" t="s">
        <v>431</v>
      </c>
      <c r="C24841" t="s">
        <v>639</v>
      </c>
      <c r="D24841" s="21" t="s">
        <v>34</v>
      </c>
      <c r="E24841" s="21" t="s">
        <v>71</v>
      </c>
      <c r="F24841">
        <v>11340005</v>
      </c>
      <c r="G24841" t="s">
        <v>9837</v>
      </c>
      <c r="H24841" s="21">
        <v>648.66999999999996</v>
      </c>
    </row>
    <row r="24842" spans="1:8" customFormat="1" x14ac:dyDescent="0.25">
      <c r="A24842" t="str">
        <f>"4443344"</f>
        <v>4443344</v>
      </c>
      <c r="B24842" t="s">
        <v>4013</v>
      </c>
      <c r="C24842" t="s">
        <v>239</v>
      </c>
      <c r="D24842" s="21" t="s">
        <v>34</v>
      </c>
      <c r="E24842" s="21" t="s">
        <v>71</v>
      </c>
      <c r="F24842">
        <v>12440195</v>
      </c>
      <c r="G24842" t="s">
        <v>3117</v>
      </c>
      <c r="H24842" s="21">
        <v>648.66999999999996</v>
      </c>
    </row>
    <row r="24843" spans="1:8" customFormat="1" x14ac:dyDescent="0.25">
      <c r="A24843" t="str">
        <f>"7857020"</f>
        <v>7857020</v>
      </c>
      <c r="B24843" t="s">
        <v>2203</v>
      </c>
      <c r="C24843" t="s">
        <v>712</v>
      </c>
      <c r="D24843" s="21" t="s">
        <v>34</v>
      </c>
      <c r="E24843" s="21" t="s">
        <v>35</v>
      </c>
      <c r="F24843">
        <v>8781017</v>
      </c>
      <c r="G24843" t="s">
        <v>2581</v>
      </c>
      <c r="H24843" s="21">
        <v>648.66999999999996</v>
      </c>
    </row>
    <row r="24844" spans="1:8" customFormat="1" x14ac:dyDescent="0.25">
      <c r="A24844" t="str">
        <f>"761664"</f>
        <v>761664</v>
      </c>
      <c r="B24844" t="s">
        <v>10575</v>
      </c>
      <c r="C24844" t="s">
        <v>598</v>
      </c>
      <c r="D24844" s="21" t="s">
        <v>34</v>
      </c>
      <c r="E24844" s="21" t="s">
        <v>254</v>
      </c>
      <c r="F24844">
        <v>9760382</v>
      </c>
      <c r="G24844" t="s">
        <v>2737</v>
      </c>
      <c r="H24844" s="21">
        <v>648.66999999999996</v>
      </c>
    </row>
    <row r="24845" spans="1:8" customFormat="1" x14ac:dyDescent="0.25">
      <c r="A24845" t="str">
        <f>"188235"</f>
        <v>188235</v>
      </c>
      <c r="B24845" t="s">
        <v>20250</v>
      </c>
      <c r="C24845" t="s">
        <v>2907</v>
      </c>
      <c r="D24845" s="21" t="s">
        <v>34</v>
      </c>
      <c r="E24845" s="21" t="s">
        <v>254</v>
      </c>
      <c r="F24845">
        <v>4180530</v>
      </c>
      <c r="G24845" t="s">
        <v>3622</v>
      </c>
      <c r="H24845" s="21">
        <v>648.66999999999996</v>
      </c>
    </row>
    <row r="24846" spans="1:8" customFormat="1" x14ac:dyDescent="0.25">
      <c r="A24846" t="str">
        <f>"4914850"</f>
        <v>4914850</v>
      </c>
      <c r="B24846" t="s">
        <v>2317</v>
      </c>
      <c r="C24846" t="s">
        <v>3073</v>
      </c>
      <c r="D24846" s="21" t="s">
        <v>34</v>
      </c>
      <c r="E24846" s="21" t="s">
        <v>254</v>
      </c>
      <c r="F24846">
        <v>12490001</v>
      </c>
      <c r="G24846" t="s">
        <v>19038</v>
      </c>
      <c r="H24846" s="21">
        <v>648.66999999999996</v>
      </c>
    </row>
    <row r="24847" spans="1:8" customFormat="1" x14ac:dyDescent="0.25">
      <c r="A24847" t="str">
        <f>"2614079"</f>
        <v>2614079</v>
      </c>
      <c r="B24847" t="s">
        <v>18396</v>
      </c>
      <c r="C24847" t="s">
        <v>249</v>
      </c>
      <c r="D24847" s="21" t="s">
        <v>34</v>
      </c>
      <c r="E24847" s="21" t="s">
        <v>71</v>
      </c>
      <c r="F24847">
        <v>1260056</v>
      </c>
      <c r="G24847" t="s">
        <v>6519</v>
      </c>
      <c r="H24847" s="21">
        <v>648.66999999999996</v>
      </c>
    </row>
    <row r="24848" spans="1:8" customFormat="1" x14ac:dyDescent="0.25">
      <c r="A24848" t="str">
        <f>"4917511"</f>
        <v>4917511</v>
      </c>
      <c r="B24848" t="s">
        <v>17952</v>
      </c>
      <c r="C24848" t="s">
        <v>263</v>
      </c>
      <c r="D24848" s="21" t="s">
        <v>34</v>
      </c>
      <c r="E24848" s="21" t="s">
        <v>254</v>
      </c>
      <c r="F24848">
        <v>12490073</v>
      </c>
      <c r="G24848" t="s">
        <v>296</v>
      </c>
      <c r="H24848" s="21">
        <v>648.66999999999996</v>
      </c>
    </row>
    <row r="24849" spans="1:8" customFormat="1" x14ac:dyDescent="0.25">
      <c r="A24849" t="str">
        <f>"8516278"</f>
        <v>8516278</v>
      </c>
      <c r="B24849" t="s">
        <v>9228</v>
      </c>
      <c r="C24849" t="s">
        <v>1705</v>
      </c>
      <c r="D24849" s="21" t="s">
        <v>34</v>
      </c>
      <c r="E24849" s="21" t="s">
        <v>254</v>
      </c>
      <c r="F24849">
        <v>12850033</v>
      </c>
      <c r="G24849" t="s">
        <v>703</v>
      </c>
      <c r="H24849" s="21">
        <v>648.66999999999996</v>
      </c>
    </row>
    <row r="24850" spans="1:8" customFormat="1" x14ac:dyDescent="0.25">
      <c r="A24850" t="str">
        <f>"7724446"</f>
        <v>7724446</v>
      </c>
      <c r="B24850" t="s">
        <v>13761</v>
      </c>
      <c r="C24850" t="s">
        <v>209</v>
      </c>
      <c r="D24850" s="21" t="s">
        <v>34</v>
      </c>
      <c r="E24850" s="21" t="s">
        <v>71</v>
      </c>
      <c r="F24850">
        <v>8771025</v>
      </c>
      <c r="G24850" t="s">
        <v>5469</v>
      </c>
      <c r="H24850" s="21">
        <v>648.66999999999996</v>
      </c>
    </row>
    <row r="24851" spans="1:8" customFormat="1" x14ac:dyDescent="0.25">
      <c r="A24851" t="str">
        <f>"0114036"</f>
        <v>0114036</v>
      </c>
      <c r="B24851" t="s">
        <v>8321</v>
      </c>
      <c r="C24851" t="s">
        <v>695</v>
      </c>
      <c r="D24851" s="21" t="s">
        <v>34</v>
      </c>
      <c r="E24851" s="21" t="s">
        <v>71</v>
      </c>
      <c r="F24851">
        <v>1010004</v>
      </c>
      <c r="G24851" t="s">
        <v>9066</v>
      </c>
      <c r="H24851" s="21">
        <v>648.66999999999996</v>
      </c>
    </row>
    <row r="24852" spans="1:8" customFormat="1" x14ac:dyDescent="0.25">
      <c r="A24852" t="str">
        <f>"99381"</f>
        <v>99381</v>
      </c>
      <c r="B24852" t="s">
        <v>1974</v>
      </c>
      <c r="C24852" t="s">
        <v>412</v>
      </c>
      <c r="D24852" s="21" t="s">
        <v>34</v>
      </c>
      <c r="E24852" s="21" t="s">
        <v>71</v>
      </c>
      <c r="F24852">
        <v>5990009</v>
      </c>
      <c r="G24852" t="s">
        <v>3127</v>
      </c>
      <c r="H24852" s="21">
        <v>648.54</v>
      </c>
    </row>
    <row r="24853" spans="1:8" customFormat="1" x14ac:dyDescent="0.25">
      <c r="A24853" t="str">
        <f>"0212132"</f>
        <v>0212132</v>
      </c>
      <c r="B24853" t="s">
        <v>11142</v>
      </c>
      <c r="C24853" t="s">
        <v>98</v>
      </c>
      <c r="D24853" s="21" t="s">
        <v>34</v>
      </c>
      <c r="E24853" s="21" t="s">
        <v>35</v>
      </c>
      <c r="F24853">
        <v>7020001</v>
      </c>
      <c r="G24853" t="s">
        <v>3854</v>
      </c>
      <c r="H24853" s="21">
        <v>648.5</v>
      </c>
    </row>
    <row r="24854" spans="1:8" customFormat="1" x14ac:dyDescent="0.25">
      <c r="A24854" t="str">
        <f>"8527167"</f>
        <v>8527167</v>
      </c>
      <c r="B24854" t="s">
        <v>5609</v>
      </c>
      <c r="C24854" t="s">
        <v>127</v>
      </c>
      <c r="D24854" s="21" t="s">
        <v>34</v>
      </c>
      <c r="E24854" s="21" t="s">
        <v>35</v>
      </c>
      <c r="F24854">
        <v>12851011</v>
      </c>
      <c r="G24854" t="s">
        <v>1445</v>
      </c>
      <c r="H24854" s="21">
        <v>648.16999999999996</v>
      </c>
    </row>
    <row r="24855" spans="1:8" customFormat="1" x14ac:dyDescent="0.25">
      <c r="A24855" t="str">
        <f>"6022230"</f>
        <v>6022230</v>
      </c>
      <c r="B24855" t="s">
        <v>20303</v>
      </c>
      <c r="C24855" t="s">
        <v>209</v>
      </c>
      <c r="D24855" s="21" t="s">
        <v>34</v>
      </c>
      <c r="E24855" s="21" t="s">
        <v>71</v>
      </c>
      <c r="F24855">
        <v>7600031</v>
      </c>
      <c r="G24855" t="s">
        <v>3283</v>
      </c>
      <c r="H24855" s="21">
        <v>648.16999999999996</v>
      </c>
    </row>
    <row r="24856" spans="1:8" customFormat="1" x14ac:dyDescent="0.25">
      <c r="A24856" t="str">
        <f>"3532777"</f>
        <v>3532777</v>
      </c>
      <c r="B24856" t="s">
        <v>20008</v>
      </c>
      <c r="C24856" t="s">
        <v>3784</v>
      </c>
      <c r="D24856" s="21" t="s">
        <v>34</v>
      </c>
      <c r="E24856" s="21" t="s">
        <v>254</v>
      </c>
      <c r="F24856">
        <v>3350215</v>
      </c>
      <c r="G24856" t="s">
        <v>20009</v>
      </c>
      <c r="H24856" s="21">
        <v>648.16999999999996</v>
      </c>
    </row>
    <row r="24857" spans="1:8" customFormat="1" x14ac:dyDescent="0.25">
      <c r="A24857" t="str">
        <f>"4514606"</f>
        <v>4514606</v>
      </c>
      <c r="B24857" t="s">
        <v>18272</v>
      </c>
      <c r="C24857" t="s">
        <v>547</v>
      </c>
      <c r="D24857" s="21" t="s">
        <v>34</v>
      </c>
      <c r="E24857" s="21" t="s">
        <v>71</v>
      </c>
      <c r="F24857">
        <v>4450580</v>
      </c>
      <c r="G24857" t="s">
        <v>11998</v>
      </c>
      <c r="H24857" s="21">
        <v>648.16999999999996</v>
      </c>
    </row>
    <row r="24858" spans="1:8" customFormat="1" x14ac:dyDescent="0.25">
      <c r="A24858" t="str">
        <f>"5326410"</f>
        <v>5326410</v>
      </c>
      <c r="B24858" t="s">
        <v>1180</v>
      </c>
      <c r="C24858" t="s">
        <v>169</v>
      </c>
      <c r="D24858" s="21" t="s">
        <v>34</v>
      </c>
      <c r="E24858" s="21" t="s">
        <v>35</v>
      </c>
      <c r="F24858">
        <v>12530025</v>
      </c>
      <c r="G24858" t="s">
        <v>5589</v>
      </c>
      <c r="H24858" s="21">
        <v>648.16999999999996</v>
      </c>
    </row>
    <row r="24859" spans="1:8" customFormat="1" x14ac:dyDescent="0.25">
      <c r="A24859" t="str">
        <f>"3725753"</f>
        <v>3725753</v>
      </c>
      <c r="B24859" t="s">
        <v>1611</v>
      </c>
      <c r="C24859" t="s">
        <v>608</v>
      </c>
      <c r="D24859" s="21" t="s">
        <v>34</v>
      </c>
      <c r="E24859" s="21" t="s">
        <v>71</v>
      </c>
      <c r="F24859">
        <v>4370151</v>
      </c>
      <c r="G24859" t="s">
        <v>5304</v>
      </c>
      <c r="H24859" s="21">
        <v>648.16999999999996</v>
      </c>
    </row>
    <row r="24860" spans="1:8" customFormat="1" x14ac:dyDescent="0.25">
      <c r="A24860" t="str">
        <f>"5110358"</f>
        <v>5110358</v>
      </c>
      <c r="B24860" t="s">
        <v>20608</v>
      </c>
      <c r="C24860" t="s">
        <v>43</v>
      </c>
      <c r="D24860" s="21" t="s">
        <v>34</v>
      </c>
      <c r="E24860" s="21" t="s">
        <v>35</v>
      </c>
      <c r="F24860">
        <v>6510040</v>
      </c>
      <c r="G24860" t="s">
        <v>9113</v>
      </c>
      <c r="H24860" s="21">
        <v>648.16999999999996</v>
      </c>
    </row>
    <row r="24861" spans="1:8" customFormat="1" x14ac:dyDescent="0.25">
      <c r="A24861" t="str">
        <f>"6221711"</f>
        <v>6221711</v>
      </c>
      <c r="B24861" t="s">
        <v>19813</v>
      </c>
      <c r="C24861" t="s">
        <v>2678</v>
      </c>
      <c r="D24861" s="21" t="s">
        <v>34</v>
      </c>
      <c r="E24861" s="21" t="s">
        <v>35</v>
      </c>
      <c r="F24861">
        <v>7620051</v>
      </c>
      <c r="G24861" t="s">
        <v>2741</v>
      </c>
      <c r="H24861" s="21">
        <v>648.16999999999996</v>
      </c>
    </row>
    <row r="24862" spans="1:8" customFormat="1" x14ac:dyDescent="0.25">
      <c r="A24862" t="str">
        <f>"426747"</f>
        <v>426747</v>
      </c>
      <c r="B24862" t="s">
        <v>19397</v>
      </c>
      <c r="C24862" t="s">
        <v>598</v>
      </c>
      <c r="D24862" s="21" t="s">
        <v>34</v>
      </c>
      <c r="E24862" s="21" t="s">
        <v>254</v>
      </c>
      <c r="F24862">
        <v>1420124</v>
      </c>
      <c r="G24862" t="s">
        <v>3195</v>
      </c>
      <c r="H24862" s="21">
        <v>648.16999999999996</v>
      </c>
    </row>
    <row r="24863" spans="1:8" customFormat="1" x14ac:dyDescent="0.25">
      <c r="A24863" t="str">
        <f>"7922558"</f>
        <v>7922558</v>
      </c>
      <c r="B24863" t="s">
        <v>20763</v>
      </c>
      <c r="C24863" t="s">
        <v>139</v>
      </c>
      <c r="D24863" s="21" t="s">
        <v>34</v>
      </c>
      <c r="E24863" s="21" t="s">
        <v>71</v>
      </c>
      <c r="F24863">
        <v>10790058</v>
      </c>
      <c r="G24863" t="s">
        <v>6512</v>
      </c>
      <c r="H24863" s="21">
        <v>648.16999999999996</v>
      </c>
    </row>
    <row r="24864" spans="1:8" customFormat="1" x14ac:dyDescent="0.25">
      <c r="A24864" t="str">
        <f>"9434778"</f>
        <v>9434778</v>
      </c>
      <c r="B24864" t="s">
        <v>1241</v>
      </c>
      <c r="C24864" t="s">
        <v>1025</v>
      </c>
      <c r="D24864" s="21" t="s">
        <v>34</v>
      </c>
      <c r="E24864" s="21" t="s">
        <v>35</v>
      </c>
      <c r="F24864">
        <v>8940524</v>
      </c>
      <c r="G24864" t="s">
        <v>6176</v>
      </c>
      <c r="H24864" s="21">
        <v>648.16999999999996</v>
      </c>
    </row>
    <row r="24865" spans="1:8" customFormat="1" x14ac:dyDescent="0.25">
      <c r="A24865" t="str">
        <f>"4410076"</f>
        <v>4410076</v>
      </c>
      <c r="B24865" t="s">
        <v>12818</v>
      </c>
      <c r="C24865" t="s">
        <v>204</v>
      </c>
      <c r="D24865" s="21" t="s">
        <v>34</v>
      </c>
      <c r="E24865" s="21" t="s">
        <v>35</v>
      </c>
      <c r="F24865">
        <v>12440185</v>
      </c>
      <c r="G24865" t="s">
        <v>12476</v>
      </c>
      <c r="H24865" s="21">
        <v>648.16999999999996</v>
      </c>
    </row>
    <row r="24866" spans="1:8" customFormat="1" x14ac:dyDescent="0.25">
      <c r="A24866" t="str">
        <f>"493161"</f>
        <v>493161</v>
      </c>
      <c r="B24866" t="s">
        <v>5734</v>
      </c>
      <c r="C24866" t="s">
        <v>311</v>
      </c>
      <c r="D24866" s="21" t="s">
        <v>34</v>
      </c>
      <c r="E24866" s="21" t="s">
        <v>35</v>
      </c>
      <c r="F24866">
        <v>12490035</v>
      </c>
      <c r="G24866" t="s">
        <v>9242</v>
      </c>
      <c r="H24866" s="21">
        <v>648.16999999999996</v>
      </c>
    </row>
    <row r="24867" spans="1:8" customFormat="1" x14ac:dyDescent="0.25">
      <c r="A24867" t="str">
        <f>"3116058"</f>
        <v>3116058</v>
      </c>
      <c r="B24867" t="s">
        <v>205</v>
      </c>
      <c r="C24867" t="s">
        <v>40</v>
      </c>
      <c r="D24867" s="21" t="s">
        <v>34</v>
      </c>
      <c r="E24867" s="21" t="s">
        <v>35</v>
      </c>
      <c r="F24867">
        <v>11310115</v>
      </c>
      <c r="G24867" t="s">
        <v>10519</v>
      </c>
      <c r="H24867" s="21">
        <v>648.16999999999996</v>
      </c>
    </row>
    <row r="24868" spans="1:8" customFormat="1" x14ac:dyDescent="0.25">
      <c r="A24868" t="str">
        <f>"165705"</f>
        <v>165705</v>
      </c>
      <c r="B24868" t="s">
        <v>22563</v>
      </c>
      <c r="C24868" t="s">
        <v>109</v>
      </c>
      <c r="D24868" s="21" t="s">
        <v>34</v>
      </c>
      <c r="E24868" s="21" t="s">
        <v>35</v>
      </c>
      <c r="F24868">
        <v>10160085</v>
      </c>
      <c r="G24868" t="s">
        <v>10818</v>
      </c>
      <c r="H24868" s="21">
        <v>648.16999999999996</v>
      </c>
    </row>
    <row r="24869" spans="1:8" customFormat="1" x14ac:dyDescent="0.25">
      <c r="A24869" t="str">
        <f>"3711218"</f>
        <v>3711218</v>
      </c>
      <c r="B24869" t="s">
        <v>5260</v>
      </c>
      <c r="C24869" t="s">
        <v>209</v>
      </c>
      <c r="D24869" s="21" t="s">
        <v>34</v>
      </c>
      <c r="E24869" s="21" t="s">
        <v>254</v>
      </c>
      <c r="F24869">
        <v>4370349</v>
      </c>
      <c r="G24869" t="s">
        <v>2287</v>
      </c>
      <c r="H24869" s="21">
        <v>648.16999999999996</v>
      </c>
    </row>
    <row r="24870" spans="1:8" customFormat="1" x14ac:dyDescent="0.25">
      <c r="A24870" t="str">
        <f>"13704"</f>
        <v>13704</v>
      </c>
      <c r="B24870" t="s">
        <v>17768</v>
      </c>
      <c r="C24870" t="s">
        <v>412</v>
      </c>
      <c r="D24870" s="21" t="s">
        <v>34</v>
      </c>
      <c r="E24870" s="21" t="s">
        <v>254</v>
      </c>
      <c r="F24870">
        <v>13130049</v>
      </c>
      <c r="G24870" t="s">
        <v>13169</v>
      </c>
      <c r="H24870" s="21">
        <v>648.04</v>
      </c>
    </row>
    <row r="24871" spans="1:8" customFormat="1" x14ac:dyDescent="0.25">
      <c r="A24871" t="str">
        <f>"3716020"</f>
        <v>3716020</v>
      </c>
      <c r="B24871" t="s">
        <v>5159</v>
      </c>
      <c r="C24871" t="s">
        <v>269</v>
      </c>
      <c r="D24871" s="21" t="s">
        <v>34</v>
      </c>
      <c r="E24871" s="21" t="s">
        <v>71</v>
      </c>
      <c r="F24871">
        <v>4370669</v>
      </c>
      <c r="G24871" t="s">
        <v>8189</v>
      </c>
      <c r="H24871" s="21">
        <v>648</v>
      </c>
    </row>
    <row r="24872" spans="1:8" customFormat="1" x14ac:dyDescent="0.25">
      <c r="A24872" t="str">
        <f>"9536218"</f>
        <v>9536218</v>
      </c>
      <c r="B24872" t="s">
        <v>18952</v>
      </c>
      <c r="C24872" t="s">
        <v>98</v>
      </c>
      <c r="D24872" s="21" t="s">
        <v>34</v>
      </c>
      <c r="E24872" s="21" t="s">
        <v>35</v>
      </c>
      <c r="F24872">
        <v>8950348</v>
      </c>
      <c r="G24872" t="s">
        <v>491</v>
      </c>
      <c r="H24872" s="21">
        <v>647.91999999999996</v>
      </c>
    </row>
    <row r="24873" spans="1:8" customFormat="1" x14ac:dyDescent="0.25">
      <c r="A24873" t="str">
        <f>"5313233"</f>
        <v>5313233</v>
      </c>
      <c r="B24873" t="s">
        <v>18121</v>
      </c>
      <c r="C24873" t="s">
        <v>275</v>
      </c>
      <c r="D24873" s="21" t="s">
        <v>34</v>
      </c>
      <c r="E24873" s="21" t="s">
        <v>35</v>
      </c>
      <c r="F24873">
        <v>12530061</v>
      </c>
      <c r="G24873" t="s">
        <v>9463</v>
      </c>
      <c r="H24873" s="21">
        <v>647.91999999999996</v>
      </c>
    </row>
    <row r="24874" spans="1:8" customFormat="1" x14ac:dyDescent="0.25">
      <c r="A24874" t="str">
        <f>"9454507"</f>
        <v>9454507</v>
      </c>
      <c r="B24874" t="s">
        <v>22035</v>
      </c>
      <c r="C24874" t="s">
        <v>486</v>
      </c>
      <c r="D24874" s="21" t="s">
        <v>34</v>
      </c>
      <c r="E24874" s="21" t="s">
        <v>71</v>
      </c>
      <c r="F24874">
        <v>8940448</v>
      </c>
      <c r="G24874" t="s">
        <v>1691</v>
      </c>
      <c r="H24874" s="21">
        <v>647.79</v>
      </c>
    </row>
    <row r="24875" spans="1:8" customFormat="1" x14ac:dyDescent="0.25">
      <c r="A24875" t="str">
        <f>"8316117"</f>
        <v>8316117</v>
      </c>
      <c r="B24875" t="s">
        <v>27821</v>
      </c>
      <c r="C24875" t="s">
        <v>139</v>
      </c>
      <c r="D24875" s="21" t="s">
        <v>34</v>
      </c>
      <c r="E24875" s="21" t="s">
        <v>35</v>
      </c>
      <c r="F24875">
        <v>13830014</v>
      </c>
      <c r="G24875" t="s">
        <v>5757</v>
      </c>
      <c r="H24875" s="21">
        <v>647.79</v>
      </c>
    </row>
    <row r="24876" spans="1:8" customFormat="1" x14ac:dyDescent="0.25">
      <c r="A24876" t="str">
        <f>"8528347"</f>
        <v>8528347</v>
      </c>
      <c r="B24876" t="s">
        <v>20530</v>
      </c>
      <c r="C24876" t="s">
        <v>22517</v>
      </c>
      <c r="D24876" s="21" t="s">
        <v>34</v>
      </c>
      <c r="E24876" s="21" t="s">
        <v>71</v>
      </c>
      <c r="F24876">
        <v>12850143</v>
      </c>
      <c r="G24876" t="s">
        <v>1625</v>
      </c>
      <c r="H24876" s="21">
        <v>647.66999999999996</v>
      </c>
    </row>
    <row r="24877" spans="1:8" customFormat="1" x14ac:dyDescent="0.25">
      <c r="A24877" t="str">
        <f>"667506"</f>
        <v>667506</v>
      </c>
      <c r="B24877" t="s">
        <v>18593</v>
      </c>
      <c r="C24877" t="s">
        <v>2520</v>
      </c>
      <c r="D24877" s="21" t="s">
        <v>34</v>
      </c>
      <c r="E24877" s="21" t="s">
        <v>71</v>
      </c>
      <c r="F24877">
        <v>11660041</v>
      </c>
      <c r="G24877" t="s">
        <v>18594</v>
      </c>
      <c r="H24877" s="21">
        <v>647.66999999999996</v>
      </c>
    </row>
    <row r="24878" spans="1:8" customFormat="1" x14ac:dyDescent="0.25">
      <c r="A24878" t="str">
        <f>"324822"</f>
        <v>324822</v>
      </c>
      <c r="B24878" t="s">
        <v>27822</v>
      </c>
      <c r="C24878" t="s">
        <v>55</v>
      </c>
      <c r="D24878" s="21" t="s">
        <v>34</v>
      </c>
      <c r="E24878" s="21" t="s">
        <v>35</v>
      </c>
      <c r="F24878">
        <v>11320045</v>
      </c>
      <c r="G24878" t="s">
        <v>27117</v>
      </c>
      <c r="H24878" s="21">
        <v>647.66999999999996</v>
      </c>
    </row>
    <row r="24879" spans="1:8" customFormat="1" x14ac:dyDescent="0.25">
      <c r="A24879" t="str">
        <f>"838484"</f>
        <v>838484</v>
      </c>
      <c r="B24879" t="s">
        <v>27823</v>
      </c>
      <c r="C24879" t="s">
        <v>879</v>
      </c>
      <c r="D24879" s="21" t="s">
        <v>34</v>
      </c>
      <c r="E24879" s="21" t="s">
        <v>1089</v>
      </c>
      <c r="F24879">
        <v>7620065</v>
      </c>
      <c r="G24879" t="s">
        <v>6550</v>
      </c>
      <c r="H24879" s="21">
        <v>647.66999999999996</v>
      </c>
    </row>
    <row r="24880" spans="1:8" customFormat="1" x14ac:dyDescent="0.25">
      <c r="A24880" t="str">
        <f>"3524095"</f>
        <v>3524095</v>
      </c>
      <c r="B24880" t="s">
        <v>11260</v>
      </c>
      <c r="C24880" t="s">
        <v>209</v>
      </c>
      <c r="D24880" s="21" t="s">
        <v>34</v>
      </c>
      <c r="E24880" s="21" t="s">
        <v>71</v>
      </c>
      <c r="F24880">
        <v>3350199</v>
      </c>
      <c r="G24880" t="s">
        <v>5603</v>
      </c>
      <c r="H24880" s="21">
        <v>647.66999999999996</v>
      </c>
    </row>
    <row r="24881" spans="1:8" customFormat="1" x14ac:dyDescent="0.25">
      <c r="A24881" t="str">
        <f>"4434499"</f>
        <v>4434499</v>
      </c>
      <c r="B24881" t="s">
        <v>18202</v>
      </c>
      <c r="C24881" t="s">
        <v>130</v>
      </c>
      <c r="D24881" s="21" t="s">
        <v>34</v>
      </c>
      <c r="E24881" s="21" t="s">
        <v>35</v>
      </c>
      <c r="F24881">
        <v>12440142</v>
      </c>
      <c r="G24881" t="s">
        <v>3285</v>
      </c>
      <c r="H24881" s="21">
        <v>647.66999999999996</v>
      </c>
    </row>
    <row r="24882" spans="1:8" customFormat="1" x14ac:dyDescent="0.25">
      <c r="A24882" t="str">
        <f>"5014112"</f>
        <v>5014112</v>
      </c>
      <c r="B24882" t="s">
        <v>2010</v>
      </c>
      <c r="C24882" t="s">
        <v>1705</v>
      </c>
      <c r="D24882" s="21" t="s">
        <v>34</v>
      </c>
      <c r="E24882" s="21" t="s">
        <v>254</v>
      </c>
      <c r="F24882">
        <v>9500048</v>
      </c>
      <c r="G24882" t="s">
        <v>1804</v>
      </c>
      <c r="H24882" s="21">
        <v>647.66999999999996</v>
      </c>
    </row>
    <row r="24883" spans="1:8" customFormat="1" x14ac:dyDescent="0.25">
      <c r="A24883" t="str">
        <f>"241408"</f>
        <v>241408</v>
      </c>
      <c r="B24883" t="s">
        <v>18124</v>
      </c>
      <c r="C24883" t="s">
        <v>2365</v>
      </c>
      <c r="D24883" s="21" t="s">
        <v>34</v>
      </c>
      <c r="E24883" s="21" t="s">
        <v>71</v>
      </c>
      <c r="F24883">
        <v>10240024</v>
      </c>
      <c r="G24883" t="s">
        <v>6539</v>
      </c>
      <c r="H24883" s="21">
        <v>647.66999999999996</v>
      </c>
    </row>
    <row r="24884" spans="1:8" customFormat="1" x14ac:dyDescent="0.25">
      <c r="A24884" t="str">
        <f>"6112128"</f>
        <v>6112128</v>
      </c>
      <c r="B24884" t="s">
        <v>19070</v>
      </c>
      <c r="C24884" t="s">
        <v>96</v>
      </c>
      <c r="D24884" s="21" t="s">
        <v>34</v>
      </c>
      <c r="E24884" s="21" t="s">
        <v>35</v>
      </c>
      <c r="F24884">
        <v>9610031</v>
      </c>
      <c r="G24884" t="s">
        <v>1792</v>
      </c>
      <c r="H24884" s="21">
        <v>647.66999999999996</v>
      </c>
    </row>
    <row r="24885" spans="1:8" customFormat="1" x14ac:dyDescent="0.25">
      <c r="A24885" t="str">
        <f>"9243700"</f>
        <v>9243700</v>
      </c>
      <c r="B24885" t="s">
        <v>16710</v>
      </c>
      <c r="C24885" t="s">
        <v>65</v>
      </c>
      <c r="D24885" s="21" t="s">
        <v>34</v>
      </c>
      <c r="E24885" s="21" t="s">
        <v>71</v>
      </c>
      <c r="F24885">
        <v>8920075</v>
      </c>
      <c r="G24885" t="s">
        <v>317</v>
      </c>
      <c r="H24885" s="21">
        <v>647.66999999999996</v>
      </c>
    </row>
    <row r="24886" spans="1:8" customFormat="1" x14ac:dyDescent="0.25">
      <c r="A24886" t="str">
        <f>"182396"</f>
        <v>182396</v>
      </c>
      <c r="B24886" t="s">
        <v>3346</v>
      </c>
      <c r="C24886" t="s">
        <v>428</v>
      </c>
      <c r="D24886" s="21" t="s">
        <v>34</v>
      </c>
      <c r="E24886" s="21" t="s">
        <v>71</v>
      </c>
      <c r="F24886">
        <v>4180696</v>
      </c>
      <c r="G24886" t="s">
        <v>3018</v>
      </c>
      <c r="H24886" s="21">
        <v>647.66999999999996</v>
      </c>
    </row>
    <row r="24887" spans="1:8" customFormat="1" x14ac:dyDescent="0.25">
      <c r="A24887" t="str">
        <f>"945947"</f>
        <v>945947</v>
      </c>
      <c r="B24887" t="s">
        <v>18259</v>
      </c>
      <c r="C24887" t="s">
        <v>33</v>
      </c>
      <c r="D24887" s="21" t="s">
        <v>34</v>
      </c>
      <c r="E24887" s="21" t="s">
        <v>71</v>
      </c>
      <c r="F24887">
        <v>8940482</v>
      </c>
      <c r="G24887" t="s">
        <v>2560</v>
      </c>
      <c r="H24887" s="21">
        <v>647.66999999999996</v>
      </c>
    </row>
    <row r="24888" spans="1:8" customFormat="1" x14ac:dyDescent="0.25">
      <c r="A24888" t="str">
        <f>"486025"</f>
        <v>486025</v>
      </c>
      <c r="B24888" t="s">
        <v>4807</v>
      </c>
      <c r="C24888" t="s">
        <v>239</v>
      </c>
      <c r="D24888" s="21" t="s">
        <v>34</v>
      </c>
      <c r="E24888" s="21" t="s">
        <v>35</v>
      </c>
      <c r="F24888">
        <v>11480022</v>
      </c>
      <c r="G24888" t="s">
        <v>18917</v>
      </c>
      <c r="H24888" s="21">
        <v>647.66999999999996</v>
      </c>
    </row>
    <row r="24889" spans="1:8" customFormat="1" x14ac:dyDescent="0.25">
      <c r="A24889" t="str">
        <f>"2219092"</f>
        <v>2219092</v>
      </c>
      <c r="B24889" t="s">
        <v>21405</v>
      </c>
      <c r="C24889" t="s">
        <v>3109</v>
      </c>
      <c r="D24889" s="21" t="s">
        <v>34</v>
      </c>
      <c r="E24889" s="21" t="s">
        <v>71</v>
      </c>
      <c r="F24889">
        <v>3220087</v>
      </c>
      <c r="G24889" t="s">
        <v>3540</v>
      </c>
      <c r="H24889" s="21">
        <v>647.66999999999996</v>
      </c>
    </row>
    <row r="24890" spans="1:8" customFormat="1" x14ac:dyDescent="0.25">
      <c r="A24890" t="str">
        <f>"3011181"</f>
        <v>3011181</v>
      </c>
      <c r="B24890" t="s">
        <v>18626</v>
      </c>
      <c r="C24890" t="s">
        <v>462</v>
      </c>
      <c r="D24890" s="21" t="s">
        <v>34</v>
      </c>
      <c r="E24890" s="21" t="s">
        <v>35</v>
      </c>
      <c r="F24890">
        <v>11460027</v>
      </c>
      <c r="G24890" t="s">
        <v>26580</v>
      </c>
      <c r="H24890" s="21">
        <v>647.66999999999996</v>
      </c>
    </row>
    <row r="24891" spans="1:8" customFormat="1" x14ac:dyDescent="0.25">
      <c r="A24891" t="str">
        <f>"4212584"</f>
        <v>4212584</v>
      </c>
      <c r="B24891" t="s">
        <v>18258</v>
      </c>
      <c r="C24891" t="s">
        <v>33</v>
      </c>
      <c r="D24891" s="21" t="s">
        <v>34</v>
      </c>
      <c r="E24891" s="21" t="s">
        <v>35</v>
      </c>
      <c r="F24891">
        <v>1420088</v>
      </c>
      <c r="G24891" t="s">
        <v>7613</v>
      </c>
      <c r="H24891" s="21">
        <v>647.66999999999996</v>
      </c>
    </row>
    <row r="24892" spans="1:8" customFormat="1" x14ac:dyDescent="0.25">
      <c r="A24892" t="str">
        <f>"01836"</f>
        <v>01836</v>
      </c>
      <c r="B24892" t="s">
        <v>18279</v>
      </c>
      <c r="C24892" t="s">
        <v>639</v>
      </c>
      <c r="D24892" s="21" t="s">
        <v>34</v>
      </c>
      <c r="E24892" s="21" t="s">
        <v>254</v>
      </c>
      <c r="F24892">
        <v>1010009</v>
      </c>
      <c r="G24892" t="s">
        <v>1385</v>
      </c>
      <c r="H24892" s="21">
        <v>647.66999999999996</v>
      </c>
    </row>
    <row r="24893" spans="1:8" customFormat="1" x14ac:dyDescent="0.25">
      <c r="A24893" t="str">
        <f>"187274"</f>
        <v>187274</v>
      </c>
      <c r="B24893" t="s">
        <v>907</v>
      </c>
      <c r="C24893" t="s">
        <v>1605</v>
      </c>
      <c r="D24893" s="21" t="s">
        <v>34</v>
      </c>
      <c r="E24893" s="21" t="s">
        <v>35</v>
      </c>
      <c r="F24893">
        <v>4180737</v>
      </c>
      <c r="G24893" t="s">
        <v>26856</v>
      </c>
      <c r="H24893" s="21">
        <v>647.54</v>
      </c>
    </row>
    <row r="24894" spans="1:8" customFormat="1" x14ac:dyDescent="0.25">
      <c r="A24894" t="str">
        <f>"5323131"</f>
        <v>5323131</v>
      </c>
      <c r="B24894" t="s">
        <v>14976</v>
      </c>
      <c r="C24894" t="s">
        <v>60</v>
      </c>
      <c r="D24894" s="21" t="s">
        <v>34</v>
      </c>
      <c r="E24894" s="21" t="s">
        <v>35</v>
      </c>
      <c r="F24894">
        <v>12530147</v>
      </c>
      <c r="G24894" t="s">
        <v>1851</v>
      </c>
      <c r="H24894" s="21">
        <v>647.41999999999996</v>
      </c>
    </row>
    <row r="24895" spans="1:8" customFormat="1" x14ac:dyDescent="0.25">
      <c r="A24895" t="str">
        <f>"383324"</f>
        <v>383324</v>
      </c>
      <c r="B24895" t="s">
        <v>10480</v>
      </c>
      <c r="C24895" t="s">
        <v>750</v>
      </c>
      <c r="D24895" s="21" t="s">
        <v>34</v>
      </c>
      <c r="E24895" s="21" t="s">
        <v>254</v>
      </c>
      <c r="F24895">
        <v>1380130</v>
      </c>
      <c r="G24895" t="s">
        <v>6667</v>
      </c>
      <c r="H24895" s="21">
        <v>647.41999999999996</v>
      </c>
    </row>
    <row r="24896" spans="1:8" customFormat="1" x14ac:dyDescent="0.25">
      <c r="A24896" t="str">
        <f>"65186"</f>
        <v>65186</v>
      </c>
      <c r="B24896" t="s">
        <v>19029</v>
      </c>
      <c r="C24896" t="s">
        <v>4751</v>
      </c>
      <c r="D24896" s="21" t="s">
        <v>34</v>
      </c>
      <c r="E24896" s="21" t="s">
        <v>254</v>
      </c>
      <c r="F24896">
        <v>11650016</v>
      </c>
      <c r="G24896" t="s">
        <v>9559</v>
      </c>
      <c r="H24896" s="21">
        <v>647.41999999999996</v>
      </c>
    </row>
    <row r="24897" spans="1:8" customFormat="1" x14ac:dyDescent="0.25">
      <c r="A24897" t="str">
        <f>"2934510"</f>
        <v>2934510</v>
      </c>
      <c r="B24897" t="s">
        <v>7201</v>
      </c>
      <c r="C24897" t="s">
        <v>87</v>
      </c>
      <c r="D24897" s="21" t="s">
        <v>34</v>
      </c>
      <c r="E24897" s="21" t="s">
        <v>35</v>
      </c>
      <c r="F24897">
        <v>3290227</v>
      </c>
      <c r="G24897" t="s">
        <v>16400</v>
      </c>
      <c r="H24897" s="21">
        <v>647.16999999999996</v>
      </c>
    </row>
    <row r="24898" spans="1:8" customFormat="1" x14ac:dyDescent="0.25">
      <c r="A24898" t="str">
        <f>"1612295"</f>
        <v>1612295</v>
      </c>
      <c r="B24898" t="s">
        <v>20253</v>
      </c>
      <c r="C24898" t="s">
        <v>55</v>
      </c>
      <c r="D24898" s="21" t="s">
        <v>34</v>
      </c>
      <c r="E24898" s="21" t="s">
        <v>35</v>
      </c>
      <c r="F24898">
        <v>10160042</v>
      </c>
      <c r="G24898" t="s">
        <v>7461</v>
      </c>
      <c r="H24898" s="21">
        <v>647.16999999999996</v>
      </c>
    </row>
    <row r="24899" spans="1:8" customFormat="1" x14ac:dyDescent="0.25">
      <c r="A24899" t="str">
        <f>"6024003"</f>
        <v>6024003</v>
      </c>
      <c r="B24899" t="s">
        <v>257</v>
      </c>
      <c r="C24899" t="s">
        <v>934</v>
      </c>
      <c r="D24899" s="21" t="s">
        <v>34</v>
      </c>
      <c r="E24899" s="21" t="s">
        <v>35</v>
      </c>
      <c r="F24899">
        <v>7600004</v>
      </c>
      <c r="G24899" t="s">
        <v>848</v>
      </c>
      <c r="H24899" s="21">
        <v>647.16999999999996</v>
      </c>
    </row>
    <row r="24900" spans="1:8" customFormat="1" x14ac:dyDescent="0.25">
      <c r="A24900" t="str">
        <f>"416829"</f>
        <v>416829</v>
      </c>
      <c r="B24900" t="s">
        <v>9742</v>
      </c>
      <c r="C24900" t="s">
        <v>253</v>
      </c>
      <c r="D24900" s="21" t="s">
        <v>34</v>
      </c>
      <c r="E24900" s="21" t="s">
        <v>254</v>
      </c>
      <c r="F24900">
        <v>4410697</v>
      </c>
      <c r="G24900" t="s">
        <v>2490</v>
      </c>
      <c r="H24900" s="21">
        <v>647.16999999999996</v>
      </c>
    </row>
    <row r="24901" spans="1:8" customFormat="1" x14ac:dyDescent="0.25">
      <c r="A24901" t="str">
        <f>"8614941"</f>
        <v>8614941</v>
      </c>
      <c r="B24901" t="s">
        <v>4872</v>
      </c>
      <c r="C24901" t="s">
        <v>1675</v>
      </c>
      <c r="D24901" s="21" t="s">
        <v>34</v>
      </c>
      <c r="E24901" s="21" t="s">
        <v>35</v>
      </c>
      <c r="F24901">
        <v>10860024</v>
      </c>
      <c r="G24901" t="s">
        <v>1770</v>
      </c>
      <c r="H24901" s="21">
        <v>647.16999999999996</v>
      </c>
    </row>
    <row r="24902" spans="1:8" customFormat="1" x14ac:dyDescent="0.25">
      <c r="A24902" t="str">
        <f>"4430727"</f>
        <v>4430727</v>
      </c>
      <c r="B24902" t="s">
        <v>27824</v>
      </c>
      <c r="C24902" t="s">
        <v>55</v>
      </c>
      <c r="D24902" s="21" t="s">
        <v>34</v>
      </c>
      <c r="E24902" s="21" t="s">
        <v>71</v>
      </c>
      <c r="F24902">
        <v>9500162</v>
      </c>
      <c r="G24902" t="s">
        <v>11252</v>
      </c>
      <c r="H24902" s="21">
        <v>647.16999999999996</v>
      </c>
    </row>
    <row r="24903" spans="1:8" customFormat="1" x14ac:dyDescent="0.25">
      <c r="A24903" t="str">
        <f>"246675"</f>
        <v>246675</v>
      </c>
      <c r="B24903" t="s">
        <v>19416</v>
      </c>
      <c r="C24903" t="s">
        <v>40</v>
      </c>
      <c r="D24903" s="21" t="s">
        <v>34</v>
      </c>
      <c r="E24903" s="21" t="s">
        <v>35</v>
      </c>
      <c r="F24903">
        <v>10240005</v>
      </c>
      <c r="G24903" t="s">
        <v>2496</v>
      </c>
      <c r="H24903" s="21">
        <v>647.16999999999996</v>
      </c>
    </row>
    <row r="24904" spans="1:8" customFormat="1" x14ac:dyDescent="0.25">
      <c r="A24904" t="str">
        <f>"9528984"</f>
        <v>9528984</v>
      </c>
      <c r="B24904" t="s">
        <v>19561</v>
      </c>
      <c r="C24904" t="s">
        <v>1588</v>
      </c>
      <c r="D24904" s="21" t="s">
        <v>34</v>
      </c>
      <c r="E24904" s="21" t="s">
        <v>254</v>
      </c>
      <c r="F24904">
        <v>10640012</v>
      </c>
      <c r="G24904" t="s">
        <v>6475</v>
      </c>
      <c r="H24904" s="21">
        <v>647.16999999999996</v>
      </c>
    </row>
    <row r="24905" spans="1:8" customFormat="1" x14ac:dyDescent="0.25">
      <c r="A24905" t="str">
        <f>"8019354"</f>
        <v>8019354</v>
      </c>
      <c r="B24905" t="s">
        <v>19242</v>
      </c>
      <c r="C24905" t="s">
        <v>169</v>
      </c>
      <c r="D24905" s="21" t="s">
        <v>34</v>
      </c>
      <c r="E24905" s="21" t="s">
        <v>35</v>
      </c>
      <c r="F24905">
        <v>7800141</v>
      </c>
      <c r="G24905" t="s">
        <v>9939</v>
      </c>
      <c r="H24905" s="21">
        <v>647.16999999999996</v>
      </c>
    </row>
    <row r="24906" spans="1:8" customFormat="1" x14ac:dyDescent="0.25">
      <c r="A24906" t="str">
        <f>"8016148"</f>
        <v>8016148</v>
      </c>
      <c r="B24906" t="s">
        <v>7833</v>
      </c>
      <c r="C24906" t="s">
        <v>249</v>
      </c>
      <c r="D24906" s="21" t="s">
        <v>34</v>
      </c>
      <c r="E24906" s="21" t="s">
        <v>254</v>
      </c>
      <c r="F24906">
        <v>7800061</v>
      </c>
      <c r="G24906" t="s">
        <v>1330</v>
      </c>
      <c r="H24906" s="21">
        <v>647.16999999999996</v>
      </c>
    </row>
    <row r="24907" spans="1:8" customFormat="1" x14ac:dyDescent="0.25">
      <c r="A24907" t="str">
        <f>"5733589"</f>
        <v>5733589</v>
      </c>
      <c r="B24907" t="s">
        <v>21158</v>
      </c>
      <c r="C24907" t="s">
        <v>1705</v>
      </c>
      <c r="D24907" s="21" t="s">
        <v>34</v>
      </c>
      <c r="E24907" s="21" t="s">
        <v>35</v>
      </c>
      <c r="F24907">
        <v>6570167</v>
      </c>
      <c r="G24907" t="s">
        <v>1174</v>
      </c>
      <c r="H24907" s="21">
        <v>647.16999999999996</v>
      </c>
    </row>
    <row r="24908" spans="1:8" customFormat="1" x14ac:dyDescent="0.25">
      <c r="A24908" t="str">
        <f>"441467"</f>
        <v>441467</v>
      </c>
      <c r="B24908" t="s">
        <v>8905</v>
      </c>
      <c r="C24908" t="s">
        <v>2232</v>
      </c>
      <c r="D24908" s="21" t="s">
        <v>34</v>
      </c>
      <c r="E24908" s="21" t="s">
        <v>254</v>
      </c>
      <c r="F24908">
        <v>12440039</v>
      </c>
      <c r="G24908" t="s">
        <v>9650</v>
      </c>
      <c r="H24908" s="21">
        <v>647.16999999999996</v>
      </c>
    </row>
    <row r="24909" spans="1:8" customFormat="1" x14ac:dyDescent="0.25">
      <c r="A24909" t="str">
        <f>"8526301"</f>
        <v>8526301</v>
      </c>
      <c r="B24909" t="s">
        <v>19558</v>
      </c>
      <c r="C24909" t="s">
        <v>62</v>
      </c>
      <c r="D24909" s="21" t="s">
        <v>34</v>
      </c>
      <c r="E24909" s="21" t="s">
        <v>35</v>
      </c>
      <c r="F24909">
        <v>12851018</v>
      </c>
      <c r="G24909" t="s">
        <v>8085</v>
      </c>
      <c r="H24909" s="21">
        <v>647.16999999999996</v>
      </c>
    </row>
    <row r="24910" spans="1:8" customFormat="1" x14ac:dyDescent="0.25">
      <c r="A24910" t="str">
        <f>"301743"</f>
        <v>301743</v>
      </c>
      <c r="B24910" t="s">
        <v>18708</v>
      </c>
      <c r="C24910" t="s">
        <v>598</v>
      </c>
      <c r="D24910" s="21" t="s">
        <v>34</v>
      </c>
      <c r="E24910" s="21" t="s">
        <v>254</v>
      </c>
      <c r="F24910">
        <v>11300014</v>
      </c>
      <c r="G24910" t="s">
        <v>2345</v>
      </c>
      <c r="H24910" s="21">
        <v>647.16999999999996</v>
      </c>
    </row>
    <row r="24911" spans="1:8" customFormat="1" x14ac:dyDescent="0.25">
      <c r="A24911" t="str">
        <f>"9452791"</f>
        <v>9452791</v>
      </c>
      <c r="B24911" t="s">
        <v>20182</v>
      </c>
      <c r="C24911" t="s">
        <v>109</v>
      </c>
      <c r="D24911" s="21" t="s">
        <v>34</v>
      </c>
      <c r="E24911" s="21" t="s">
        <v>35</v>
      </c>
      <c r="F24911">
        <v>8941100</v>
      </c>
      <c r="G24911" t="s">
        <v>4974</v>
      </c>
      <c r="H24911" s="21">
        <v>647.16999999999996</v>
      </c>
    </row>
    <row r="24912" spans="1:8" customFormat="1" x14ac:dyDescent="0.25">
      <c r="A24912" t="str">
        <f>"2919406"</f>
        <v>2919406</v>
      </c>
      <c r="B24912" t="s">
        <v>16596</v>
      </c>
      <c r="C24912" t="s">
        <v>415</v>
      </c>
      <c r="D24912" s="21" t="s">
        <v>34</v>
      </c>
      <c r="E24912" s="21" t="s">
        <v>35</v>
      </c>
      <c r="F24912">
        <v>3290015</v>
      </c>
      <c r="G24912" t="s">
        <v>3040</v>
      </c>
      <c r="H24912" s="21">
        <v>647.16999999999996</v>
      </c>
    </row>
    <row r="24913" spans="1:8" customFormat="1" x14ac:dyDescent="0.25">
      <c r="A24913" t="str">
        <f>"278878"</f>
        <v>278878</v>
      </c>
      <c r="B24913" t="s">
        <v>3709</v>
      </c>
      <c r="C24913" t="s">
        <v>598</v>
      </c>
      <c r="D24913" s="21" t="s">
        <v>34</v>
      </c>
      <c r="E24913" s="21" t="s">
        <v>254</v>
      </c>
      <c r="F24913">
        <v>9270008</v>
      </c>
      <c r="G24913" t="s">
        <v>7853</v>
      </c>
      <c r="H24913" s="21">
        <v>647.16999999999996</v>
      </c>
    </row>
    <row r="24914" spans="1:8" customFormat="1" x14ac:dyDescent="0.25">
      <c r="A24914" t="str">
        <f>"558775"</f>
        <v>558775</v>
      </c>
      <c r="B24914" t="s">
        <v>19231</v>
      </c>
      <c r="C24914" t="s">
        <v>62</v>
      </c>
      <c r="D24914" s="21" t="s">
        <v>34</v>
      </c>
      <c r="E24914" s="21" t="s">
        <v>35</v>
      </c>
      <c r="F24914">
        <v>6550009</v>
      </c>
      <c r="G24914" t="s">
        <v>7080</v>
      </c>
      <c r="H24914" s="21">
        <v>647.16999999999996</v>
      </c>
    </row>
    <row r="24915" spans="1:8" customFormat="1" x14ac:dyDescent="0.25">
      <c r="A24915" t="str">
        <f>"7219667"</f>
        <v>7219667</v>
      </c>
      <c r="B24915" t="s">
        <v>15522</v>
      </c>
      <c r="C24915" t="s">
        <v>87</v>
      </c>
      <c r="D24915" s="21" t="s">
        <v>34</v>
      </c>
      <c r="E24915" s="21" t="s">
        <v>71</v>
      </c>
      <c r="F24915">
        <v>12720062</v>
      </c>
      <c r="G24915" t="s">
        <v>4026</v>
      </c>
      <c r="H24915" s="21">
        <v>647</v>
      </c>
    </row>
    <row r="24916" spans="1:8" customFormat="1" x14ac:dyDescent="0.25">
      <c r="A24916" t="str">
        <f>"187920"</f>
        <v>187920</v>
      </c>
      <c r="B24916" t="s">
        <v>16830</v>
      </c>
      <c r="C24916" t="s">
        <v>33</v>
      </c>
      <c r="D24916" s="21" t="s">
        <v>34</v>
      </c>
      <c r="E24916" s="21" t="s">
        <v>35</v>
      </c>
      <c r="F24916">
        <v>4180721</v>
      </c>
      <c r="G24916" t="s">
        <v>6330</v>
      </c>
      <c r="H24916" s="21">
        <v>646.91999999999996</v>
      </c>
    </row>
    <row r="24917" spans="1:8" customFormat="1" x14ac:dyDescent="0.25">
      <c r="A24917" t="str">
        <f>"5929366"</f>
        <v>5929366</v>
      </c>
      <c r="B24917" t="s">
        <v>27825</v>
      </c>
      <c r="C24917" t="s">
        <v>144</v>
      </c>
      <c r="D24917" s="21" t="s">
        <v>34</v>
      </c>
      <c r="E24917" s="21" t="s">
        <v>35</v>
      </c>
      <c r="F24917">
        <v>7590428</v>
      </c>
      <c r="G24917" t="s">
        <v>27183</v>
      </c>
      <c r="H24917" s="21">
        <v>646.66999999999996</v>
      </c>
    </row>
    <row r="24918" spans="1:8" customFormat="1" x14ac:dyDescent="0.25">
      <c r="A24918" t="str">
        <f>"484417"</f>
        <v>484417</v>
      </c>
      <c r="B24918" t="s">
        <v>18478</v>
      </c>
      <c r="C24918" t="s">
        <v>267</v>
      </c>
      <c r="D24918" s="21" t="s">
        <v>34</v>
      </c>
      <c r="E24918" s="21" t="s">
        <v>71</v>
      </c>
      <c r="F24918">
        <v>11480002</v>
      </c>
      <c r="G24918" t="s">
        <v>14650</v>
      </c>
      <c r="H24918" s="21">
        <v>646.66999999999996</v>
      </c>
    </row>
    <row r="24919" spans="1:8" customFormat="1" x14ac:dyDescent="0.25">
      <c r="A24919" t="str">
        <f>"597366"</f>
        <v>597366</v>
      </c>
      <c r="B24919" t="s">
        <v>13019</v>
      </c>
      <c r="C24919" t="s">
        <v>60</v>
      </c>
      <c r="D24919" s="21" t="s">
        <v>34</v>
      </c>
      <c r="E24919" s="21" t="s">
        <v>71</v>
      </c>
      <c r="F24919">
        <v>7590263</v>
      </c>
      <c r="G24919" t="s">
        <v>895</v>
      </c>
      <c r="H24919" s="21">
        <v>646.66999999999996</v>
      </c>
    </row>
    <row r="24920" spans="1:8" customFormat="1" x14ac:dyDescent="0.25">
      <c r="A24920" t="str">
        <f>"036340"</f>
        <v>036340</v>
      </c>
      <c r="B24920" t="s">
        <v>18630</v>
      </c>
      <c r="C24920" t="s">
        <v>2365</v>
      </c>
      <c r="D24920" s="21" t="s">
        <v>34</v>
      </c>
      <c r="E24920" s="21" t="s">
        <v>254</v>
      </c>
      <c r="F24920">
        <v>1030310</v>
      </c>
      <c r="G24920" t="s">
        <v>13666</v>
      </c>
      <c r="H24920" s="21">
        <v>646.66999999999996</v>
      </c>
    </row>
    <row r="24921" spans="1:8" customFormat="1" x14ac:dyDescent="0.25">
      <c r="A24921" t="str">
        <f>"188550"</f>
        <v>188550</v>
      </c>
      <c r="B24921" t="s">
        <v>17875</v>
      </c>
      <c r="C24921" t="s">
        <v>40</v>
      </c>
      <c r="D24921" s="21" t="s">
        <v>34</v>
      </c>
      <c r="E24921" s="21" t="s">
        <v>254</v>
      </c>
      <c r="F24921">
        <v>4180682</v>
      </c>
      <c r="G24921" t="s">
        <v>5261</v>
      </c>
      <c r="H24921" s="21">
        <v>646.66999999999996</v>
      </c>
    </row>
    <row r="24922" spans="1:8" customFormat="1" x14ac:dyDescent="0.25">
      <c r="A24922" t="str">
        <f>"3826221"</f>
        <v>3826221</v>
      </c>
      <c r="B24922" t="s">
        <v>19711</v>
      </c>
      <c r="C24922" t="s">
        <v>109</v>
      </c>
      <c r="D24922" s="21" t="s">
        <v>34</v>
      </c>
      <c r="E24922" s="21" t="s">
        <v>35</v>
      </c>
      <c r="F24922">
        <v>1380164</v>
      </c>
      <c r="G24922" t="s">
        <v>2728</v>
      </c>
      <c r="H24922" s="21">
        <v>646.66999999999996</v>
      </c>
    </row>
    <row r="24923" spans="1:8" customFormat="1" x14ac:dyDescent="0.25">
      <c r="A24923" t="str">
        <f>"60433"</f>
        <v>60433</v>
      </c>
      <c r="B24923" t="s">
        <v>6472</v>
      </c>
      <c r="C24923" t="s">
        <v>267</v>
      </c>
      <c r="D24923" s="21" t="s">
        <v>34</v>
      </c>
      <c r="E24923" s="21" t="s">
        <v>254</v>
      </c>
      <c r="F24923">
        <v>12850107</v>
      </c>
      <c r="G24923" t="s">
        <v>12181</v>
      </c>
      <c r="H24923" s="21">
        <v>646.66999999999996</v>
      </c>
    </row>
    <row r="24924" spans="1:8" customFormat="1" x14ac:dyDescent="0.25">
      <c r="A24924" t="str">
        <f>"9235855"</f>
        <v>9235855</v>
      </c>
      <c r="B24924" t="s">
        <v>18518</v>
      </c>
      <c r="C24924" t="s">
        <v>209</v>
      </c>
      <c r="D24924" s="21" t="s">
        <v>34</v>
      </c>
      <c r="E24924" s="21" t="s">
        <v>254</v>
      </c>
      <c r="F24924">
        <v>8920140</v>
      </c>
      <c r="G24924" t="s">
        <v>3762</v>
      </c>
      <c r="H24924" s="21">
        <v>646.66999999999996</v>
      </c>
    </row>
    <row r="24925" spans="1:8" customFormat="1" x14ac:dyDescent="0.25">
      <c r="A24925" t="str">
        <f>"3531005"</f>
        <v>3531005</v>
      </c>
      <c r="B24925" t="s">
        <v>2613</v>
      </c>
      <c r="C24925" t="s">
        <v>415</v>
      </c>
      <c r="D24925" s="21" t="s">
        <v>34</v>
      </c>
      <c r="E24925" s="21" t="s">
        <v>254</v>
      </c>
      <c r="F24925">
        <v>3350160</v>
      </c>
      <c r="G24925" t="s">
        <v>13252</v>
      </c>
      <c r="H24925" s="21">
        <v>646.66999999999996</v>
      </c>
    </row>
    <row r="24926" spans="1:8" customFormat="1" x14ac:dyDescent="0.25">
      <c r="A24926" t="str">
        <f>"9313601"</f>
        <v>9313601</v>
      </c>
      <c r="B24926" t="s">
        <v>18893</v>
      </c>
      <c r="C24926" t="s">
        <v>198</v>
      </c>
      <c r="D24926" s="21" t="s">
        <v>34</v>
      </c>
      <c r="E24926" s="21" t="s">
        <v>71</v>
      </c>
      <c r="F24926">
        <v>8931320</v>
      </c>
      <c r="G24926" t="s">
        <v>1537</v>
      </c>
      <c r="H24926" s="21">
        <v>646.66999999999996</v>
      </c>
    </row>
    <row r="24927" spans="1:8" customFormat="1" x14ac:dyDescent="0.25">
      <c r="A24927" t="str">
        <f>"7519017"</f>
        <v>7519017</v>
      </c>
      <c r="B24927" t="s">
        <v>6225</v>
      </c>
      <c r="C24927" t="s">
        <v>879</v>
      </c>
      <c r="D24927" s="21" t="s">
        <v>34</v>
      </c>
      <c r="E24927" s="21" t="s">
        <v>254</v>
      </c>
      <c r="F24927">
        <v>8751271</v>
      </c>
      <c r="G24927" t="s">
        <v>1067</v>
      </c>
      <c r="H24927" s="21">
        <v>646.66999999999996</v>
      </c>
    </row>
    <row r="24928" spans="1:8" customFormat="1" x14ac:dyDescent="0.25">
      <c r="A24928" t="str">
        <f>"6012691"</f>
        <v>6012691</v>
      </c>
      <c r="B24928" t="s">
        <v>7041</v>
      </c>
      <c r="C24928" t="s">
        <v>269</v>
      </c>
      <c r="D24928" s="21" t="s">
        <v>34</v>
      </c>
      <c r="E24928" s="21" t="s">
        <v>254</v>
      </c>
      <c r="F24928">
        <v>9270071</v>
      </c>
      <c r="G24928" t="s">
        <v>7815</v>
      </c>
      <c r="H24928" s="21">
        <v>646.66999999999996</v>
      </c>
    </row>
    <row r="24929" spans="1:8" customFormat="1" x14ac:dyDescent="0.25">
      <c r="A24929" t="str">
        <f>"6944952"</f>
        <v>6944952</v>
      </c>
      <c r="B24929" t="s">
        <v>19391</v>
      </c>
      <c r="C24929" t="s">
        <v>121</v>
      </c>
      <c r="D24929" s="21" t="s">
        <v>34</v>
      </c>
      <c r="E24929" s="21" t="s">
        <v>35</v>
      </c>
      <c r="F24929">
        <v>1690215</v>
      </c>
      <c r="G24929" t="s">
        <v>1080</v>
      </c>
      <c r="H24929" s="21">
        <v>646.66999999999996</v>
      </c>
    </row>
    <row r="24930" spans="1:8" customFormat="1" x14ac:dyDescent="0.25">
      <c r="A24930" t="str">
        <f>"4711159"</f>
        <v>4711159</v>
      </c>
      <c r="B24930" t="s">
        <v>27826</v>
      </c>
      <c r="C24930" t="s">
        <v>3393</v>
      </c>
      <c r="D24930" s="21" t="s">
        <v>34</v>
      </c>
      <c r="E24930" s="21" t="s">
        <v>35</v>
      </c>
      <c r="F24930">
        <v>10470026</v>
      </c>
      <c r="G24930" t="s">
        <v>27223</v>
      </c>
      <c r="H24930" s="21">
        <v>646.66999999999996</v>
      </c>
    </row>
    <row r="24931" spans="1:8" customFormat="1" x14ac:dyDescent="0.25">
      <c r="A24931" t="str">
        <f>"1316872"</f>
        <v>1316872</v>
      </c>
      <c r="B24931" t="s">
        <v>2285</v>
      </c>
      <c r="C24931" t="s">
        <v>381</v>
      </c>
      <c r="D24931" s="21" t="s">
        <v>34</v>
      </c>
      <c r="E24931" s="21" t="s">
        <v>71</v>
      </c>
      <c r="F24931">
        <v>13830068</v>
      </c>
      <c r="G24931" t="s">
        <v>6181</v>
      </c>
      <c r="H24931" s="21">
        <v>646.66999999999996</v>
      </c>
    </row>
    <row r="24932" spans="1:8" customFormat="1" x14ac:dyDescent="0.25">
      <c r="A24932" t="str">
        <f>"177560"</f>
        <v>177560</v>
      </c>
      <c r="B24932" t="s">
        <v>11518</v>
      </c>
      <c r="C24932" t="s">
        <v>114</v>
      </c>
      <c r="D24932" s="21" t="s">
        <v>34</v>
      </c>
      <c r="E24932" s="21" t="s">
        <v>71</v>
      </c>
      <c r="F24932">
        <v>10170004</v>
      </c>
      <c r="G24932" t="s">
        <v>12405</v>
      </c>
      <c r="H24932" s="21">
        <v>646.66999999999996</v>
      </c>
    </row>
    <row r="24933" spans="1:8" customFormat="1" x14ac:dyDescent="0.25">
      <c r="A24933" t="str">
        <f>"639062"</f>
        <v>639062</v>
      </c>
      <c r="B24933" t="s">
        <v>400</v>
      </c>
      <c r="C24933" t="s">
        <v>2520</v>
      </c>
      <c r="D24933" s="21" t="s">
        <v>34</v>
      </c>
      <c r="E24933" s="21" t="s">
        <v>1089</v>
      </c>
      <c r="F24933">
        <v>13830022</v>
      </c>
      <c r="G24933" t="s">
        <v>633</v>
      </c>
      <c r="H24933" s="21">
        <v>646.66999999999996</v>
      </c>
    </row>
    <row r="24934" spans="1:8" customFormat="1" x14ac:dyDescent="0.25">
      <c r="A24934" t="str">
        <f>"416364"</f>
        <v>416364</v>
      </c>
      <c r="B24934" t="s">
        <v>431</v>
      </c>
      <c r="C24934" t="s">
        <v>171</v>
      </c>
      <c r="D24934" s="21" t="s">
        <v>34</v>
      </c>
      <c r="E24934" s="21" t="s">
        <v>35</v>
      </c>
      <c r="F24934">
        <v>12490003</v>
      </c>
      <c r="G24934" t="s">
        <v>7348</v>
      </c>
      <c r="H24934" s="21">
        <v>646.66999999999996</v>
      </c>
    </row>
    <row r="24935" spans="1:8" customFormat="1" x14ac:dyDescent="0.25">
      <c r="A24935" t="str">
        <f>"404655"</f>
        <v>404655</v>
      </c>
      <c r="B24935" t="s">
        <v>22994</v>
      </c>
      <c r="C24935" t="s">
        <v>1665</v>
      </c>
      <c r="D24935" s="21" t="s">
        <v>34</v>
      </c>
      <c r="E24935" s="21" t="s">
        <v>1089</v>
      </c>
      <c r="F24935">
        <v>10400004</v>
      </c>
      <c r="G24935" t="s">
        <v>2929</v>
      </c>
      <c r="H24935" s="21">
        <v>646.66999999999996</v>
      </c>
    </row>
    <row r="24936" spans="1:8" customFormat="1" x14ac:dyDescent="0.25">
      <c r="A24936" t="str">
        <f>"9137037"</f>
        <v>9137037</v>
      </c>
      <c r="B24936" t="s">
        <v>18694</v>
      </c>
      <c r="C24936" t="s">
        <v>209</v>
      </c>
      <c r="D24936" s="21" t="s">
        <v>34</v>
      </c>
      <c r="E24936" s="21" t="s">
        <v>71</v>
      </c>
      <c r="F24936">
        <v>7590027</v>
      </c>
      <c r="G24936" t="s">
        <v>629</v>
      </c>
      <c r="H24936" s="21">
        <v>646.66999999999996</v>
      </c>
    </row>
    <row r="24937" spans="1:8" customFormat="1" x14ac:dyDescent="0.25">
      <c r="A24937" t="str">
        <f>"3724294"</f>
        <v>3724294</v>
      </c>
      <c r="B24937" t="s">
        <v>27827</v>
      </c>
      <c r="C24937" t="s">
        <v>62</v>
      </c>
      <c r="D24937" s="21" t="s">
        <v>34</v>
      </c>
      <c r="E24937" s="21" t="s">
        <v>35</v>
      </c>
      <c r="F24937">
        <v>4370690</v>
      </c>
      <c r="G24937" t="s">
        <v>8128</v>
      </c>
      <c r="H24937" s="21">
        <v>646.66999999999996</v>
      </c>
    </row>
    <row r="24938" spans="1:8" customFormat="1" x14ac:dyDescent="0.25">
      <c r="A24938" t="str">
        <f>"4938607"</f>
        <v>4938607</v>
      </c>
      <c r="B24938" t="s">
        <v>67</v>
      </c>
      <c r="C24938" t="s">
        <v>187</v>
      </c>
      <c r="D24938" s="21" t="s">
        <v>34</v>
      </c>
      <c r="E24938" s="21" t="s">
        <v>71</v>
      </c>
      <c r="F24938">
        <v>12490120</v>
      </c>
      <c r="G24938" t="s">
        <v>2316</v>
      </c>
      <c r="H24938" s="21">
        <v>646.66999999999996</v>
      </c>
    </row>
    <row r="24939" spans="1:8" customFormat="1" x14ac:dyDescent="0.25">
      <c r="A24939" t="str">
        <f>"251701"</f>
        <v>251701</v>
      </c>
      <c r="B24939" t="s">
        <v>17796</v>
      </c>
      <c r="C24939" t="s">
        <v>2904</v>
      </c>
      <c r="D24939" s="21" t="s">
        <v>34</v>
      </c>
      <c r="E24939" s="21" t="s">
        <v>1089</v>
      </c>
      <c r="F24939">
        <v>2250110</v>
      </c>
      <c r="G24939" t="s">
        <v>9363</v>
      </c>
      <c r="H24939" s="21">
        <v>646.66999999999996</v>
      </c>
    </row>
    <row r="24940" spans="1:8" customFormat="1" x14ac:dyDescent="0.25">
      <c r="A24940" t="str">
        <f>"5712970"</f>
        <v>5712970</v>
      </c>
      <c r="B24940" t="s">
        <v>788</v>
      </c>
      <c r="C24940" t="s">
        <v>1110</v>
      </c>
      <c r="D24940" s="21" t="s">
        <v>34</v>
      </c>
      <c r="E24940" s="21" t="s">
        <v>1089</v>
      </c>
      <c r="F24940">
        <v>6570193</v>
      </c>
      <c r="G24940" t="s">
        <v>13003</v>
      </c>
      <c r="H24940" s="21">
        <v>646.66999999999996</v>
      </c>
    </row>
    <row r="24941" spans="1:8" customFormat="1" x14ac:dyDescent="0.25">
      <c r="A24941" t="str">
        <f>"761213"</f>
        <v>761213</v>
      </c>
      <c r="B24941" t="s">
        <v>17955</v>
      </c>
      <c r="C24941" t="s">
        <v>124</v>
      </c>
      <c r="D24941" s="21" t="s">
        <v>34</v>
      </c>
      <c r="E24941" s="21" t="s">
        <v>254</v>
      </c>
      <c r="F24941">
        <v>9760069</v>
      </c>
      <c r="G24941" t="s">
        <v>13196</v>
      </c>
      <c r="H24941" s="21">
        <v>646.66999999999996</v>
      </c>
    </row>
    <row r="24942" spans="1:8" customFormat="1" x14ac:dyDescent="0.25">
      <c r="A24942" t="str">
        <f>"6943099"</f>
        <v>6943099</v>
      </c>
      <c r="B24942" t="s">
        <v>18275</v>
      </c>
      <c r="C24942" t="s">
        <v>171</v>
      </c>
      <c r="D24942" s="21" t="s">
        <v>34</v>
      </c>
      <c r="E24942" s="21" t="s">
        <v>71</v>
      </c>
      <c r="F24942">
        <v>1690006</v>
      </c>
      <c r="G24942" t="s">
        <v>2543</v>
      </c>
      <c r="H24942" s="21">
        <v>646.5</v>
      </c>
    </row>
    <row r="24943" spans="1:8" customFormat="1" x14ac:dyDescent="0.25">
      <c r="A24943" t="str">
        <f>"6021994"</f>
        <v>6021994</v>
      </c>
      <c r="B24943" t="s">
        <v>5638</v>
      </c>
      <c r="C24943" t="s">
        <v>55</v>
      </c>
      <c r="D24943" s="21" t="s">
        <v>34</v>
      </c>
      <c r="E24943" s="21" t="s">
        <v>35</v>
      </c>
      <c r="F24943">
        <v>7600024</v>
      </c>
      <c r="G24943" t="s">
        <v>1234</v>
      </c>
      <c r="H24943" s="21">
        <v>646.41999999999996</v>
      </c>
    </row>
    <row r="24944" spans="1:8" customFormat="1" x14ac:dyDescent="0.25">
      <c r="A24944" t="str">
        <f>"4215893"</f>
        <v>4215893</v>
      </c>
      <c r="B24944" t="s">
        <v>1422</v>
      </c>
      <c r="C24944" t="s">
        <v>209</v>
      </c>
      <c r="D24944" s="21" t="s">
        <v>34</v>
      </c>
      <c r="E24944" s="21" t="s">
        <v>35</v>
      </c>
      <c r="F24944">
        <v>1420013</v>
      </c>
      <c r="G24944" t="s">
        <v>2013</v>
      </c>
      <c r="H24944" s="21">
        <v>646.16999999999996</v>
      </c>
    </row>
    <row r="24945" spans="1:8" customFormat="1" x14ac:dyDescent="0.25">
      <c r="A24945" t="str">
        <f>"9419135"</f>
        <v>9419135</v>
      </c>
      <c r="B24945" t="s">
        <v>9781</v>
      </c>
      <c r="C24945" t="s">
        <v>124</v>
      </c>
      <c r="D24945" s="21" t="s">
        <v>34</v>
      </c>
      <c r="E24945" s="21" t="s">
        <v>254</v>
      </c>
      <c r="F24945">
        <v>8940073</v>
      </c>
      <c r="G24945" t="s">
        <v>1085</v>
      </c>
      <c r="H24945" s="21">
        <v>646.16999999999996</v>
      </c>
    </row>
    <row r="24946" spans="1:8" customFormat="1" x14ac:dyDescent="0.25">
      <c r="A24946" t="str">
        <f>"6217733"</f>
        <v>6217733</v>
      </c>
      <c r="B24946" t="s">
        <v>18840</v>
      </c>
      <c r="C24946" t="s">
        <v>209</v>
      </c>
      <c r="D24946" s="21" t="s">
        <v>34</v>
      </c>
      <c r="E24946" s="21" t="s">
        <v>254</v>
      </c>
      <c r="F24946">
        <v>7620149</v>
      </c>
      <c r="G24946" t="s">
        <v>16598</v>
      </c>
      <c r="H24946" s="21">
        <v>646.16999999999996</v>
      </c>
    </row>
    <row r="24947" spans="1:8" customFormat="1" x14ac:dyDescent="0.25">
      <c r="A24947" t="str">
        <f>"282820"</f>
        <v>282820</v>
      </c>
      <c r="B24947" t="s">
        <v>19308</v>
      </c>
      <c r="C24947" t="s">
        <v>144</v>
      </c>
      <c r="D24947" s="21" t="s">
        <v>34</v>
      </c>
      <c r="E24947" s="21" t="s">
        <v>71</v>
      </c>
      <c r="F24947">
        <v>4280251</v>
      </c>
      <c r="G24947" t="s">
        <v>16982</v>
      </c>
      <c r="H24947" s="21">
        <v>646.16999999999996</v>
      </c>
    </row>
    <row r="24948" spans="1:8" customFormat="1" x14ac:dyDescent="0.25">
      <c r="A24948" t="str">
        <f>"041808"</f>
        <v>041808</v>
      </c>
      <c r="B24948" t="s">
        <v>2549</v>
      </c>
      <c r="C24948" t="s">
        <v>267</v>
      </c>
      <c r="D24948" s="21" t="s">
        <v>34</v>
      </c>
      <c r="E24948" s="21" t="s">
        <v>254</v>
      </c>
      <c r="F24948">
        <v>13040030</v>
      </c>
      <c r="G24948" t="s">
        <v>1903</v>
      </c>
      <c r="H24948" s="21">
        <v>646.16999999999996</v>
      </c>
    </row>
    <row r="24949" spans="1:8" customFormat="1" x14ac:dyDescent="0.25">
      <c r="A24949" t="str">
        <f>"7635469"</f>
        <v>7635469</v>
      </c>
      <c r="B24949" t="s">
        <v>3042</v>
      </c>
      <c r="C24949" t="s">
        <v>1199</v>
      </c>
      <c r="D24949" s="21" t="s">
        <v>34</v>
      </c>
      <c r="E24949" s="21" t="s">
        <v>71</v>
      </c>
      <c r="F24949">
        <v>9760230</v>
      </c>
      <c r="G24949" t="s">
        <v>12511</v>
      </c>
      <c r="H24949" s="21">
        <v>646.16999999999996</v>
      </c>
    </row>
    <row r="24950" spans="1:8" customFormat="1" x14ac:dyDescent="0.25">
      <c r="A24950" t="str">
        <f>"7915563"</f>
        <v>7915563</v>
      </c>
      <c r="B24950" t="s">
        <v>2306</v>
      </c>
      <c r="C24950" t="s">
        <v>169</v>
      </c>
      <c r="D24950" s="21" t="s">
        <v>34</v>
      </c>
      <c r="E24950" s="21" t="s">
        <v>71</v>
      </c>
      <c r="F24950">
        <v>10790163</v>
      </c>
      <c r="G24950" t="s">
        <v>2015</v>
      </c>
      <c r="H24950" s="21">
        <v>646.16999999999996</v>
      </c>
    </row>
    <row r="24951" spans="1:8" customFormat="1" x14ac:dyDescent="0.25">
      <c r="A24951" t="str">
        <f>"2923531"</f>
        <v>2923531</v>
      </c>
      <c r="B24951" t="s">
        <v>27828</v>
      </c>
      <c r="C24951" t="s">
        <v>263</v>
      </c>
      <c r="D24951" s="21" t="s">
        <v>34</v>
      </c>
      <c r="E24951" s="21" t="s">
        <v>71</v>
      </c>
      <c r="F24951">
        <v>3290044</v>
      </c>
      <c r="G24951" t="s">
        <v>3897</v>
      </c>
      <c r="H24951" s="21">
        <v>646.16999999999996</v>
      </c>
    </row>
    <row r="24952" spans="1:8" customFormat="1" x14ac:dyDescent="0.25">
      <c r="A24952" t="str">
        <f>"4524826"</f>
        <v>4524826</v>
      </c>
      <c r="B24952" t="s">
        <v>9855</v>
      </c>
      <c r="C24952" t="s">
        <v>18874</v>
      </c>
      <c r="D24952" s="21" t="s">
        <v>34</v>
      </c>
      <c r="E24952" s="21" t="s">
        <v>35</v>
      </c>
      <c r="F24952">
        <v>4450417</v>
      </c>
      <c r="G24952" t="s">
        <v>2284</v>
      </c>
      <c r="H24952" s="21">
        <v>646.16999999999996</v>
      </c>
    </row>
    <row r="24953" spans="1:8" customFormat="1" x14ac:dyDescent="0.25">
      <c r="A24953" t="str">
        <f>"5020897"</f>
        <v>5020897</v>
      </c>
      <c r="B24953" t="s">
        <v>5358</v>
      </c>
      <c r="C24953" t="s">
        <v>87</v>
      </c>
      <c r="D24953" s="21" t="s">
        <v>34</v>
      </c>
      <c r="E24953" s="21" t="s">
        <v>35</v>
      </c>
      <c r="F24953">
        <v>9500030</v>
      </c>
      <c r="G24953" t="s">
        <v>2166</v>
      </c>
      <c r="H24953" s="21">
        <v>646.16999999999996</v>
      </c>
    </row>
    <row r="24954" spans="1:8" customFormat="1" x14ac:dyDescent="0.25">
      <c r="A24954" t="str">
        <f>"721258"</f>
        <v>721258</v>
      </c>
      <c r="B24954" t="s">
        <v>18691</v>
      </c>
      <c r="C24954" t="s">
        <v>144</v>
      </c>
      <c r="D24954" s="21" t="s">
        <v>34</v>
      </c>
      <c r="E24954" s="21" t="s">
        <v>35</v>
      </c>
      <c r="F24954">
        <v>11300016</v>
      </c>
      <c r="G24954" t="s">
        <v>157</v>
      </c>
      <c r="H24954" s="21">
        <v>646.16999999999996</v>
      </c>
    </row>
    <row r="24955" spans="1:8" customFormat="1" x14ac:dyDescent="0.25">
      <c r="A24955" t="str">
        <f>"639486"</f>
        <v>639486</v>
      </c>
      <c r="B24955" t="s">
        <v>18467</v>
      </c>
      <c r="C24955" t="s">
        <v>2520</v>
      </c>
      <c r="D24955" s="21" t="s">
        <v>34</v>
      </c>
      <c r="E24955" s="21" t="s">
        <v>71</v>
      </c>
      <c r="F24955">
        <v>1630301</v>
      </c>
      <c r="G24955" t="s">
        <v>7897</v>
      </c>
      <c r="H24955" s="21">
        <v>646.16999999999996</v>
      </c>
    </row>
    <row r="24956" spans="1:8" customFormat="1" x14ac:dyDescent="0.25">
      <c r="A24956" t="str">
        <f>"3410262"</f>
        <v>3410262</v>
      </c>
      <c r="B24956" t="s">
        <v>19425</v>
      </c>
      <c r="C24956" t="s">
        <v>621</v>
      </c>
      <c r="D24956" s="21" t="s">
        <v>34</v>
      </c>
      <c r="E24956" s="21" t="s">
        <v>35</v>
      </c>
      <c r="F24956">
        <v>11340060</v>
      </c>
      <c r="G24956" t="s">
        <v>1275</v>
      </c>
      <c r="H24956" s="21">
        <v>646.16999999999996</v>
      </c>
    </row>
    <row r="24957" spans="1:8" customFormat="1" x14ac:dyDescent="0.25">
      <c r="A24957" t="str">
        <f>"091644"</f>
        <v>091644</v>
      </c>
      <c r="B24957" t="s">
        <v>17193</v>
      </c>
      <c r="C24957" t="s">
        <v>119</v>
      </c>
      <c r="D24957" s="21" t="s">
        <v>34</v>
      </c>
      <c r="E24957" s="21" t="s">
        <v>71</v>
      </c>
      <c r="F24957">
        <v>13830051</v>
      </c>
      <c r="G24957" t="s">
        <v>2031</v>
      </c>
      <c r="H24957" s="21">
        <v>646.16999999999996</v>
      </c>
    </row>
    <row r="24958" spans="1:8" customFormat="1" x14ac:dyDescent="0.25">
      <c r="A24958" t="str">
        <f>"5936174"</f>
        <v>5936174</v>
      </c>
      <c r="B24958" t="s">
        <v>1572</v>
      </c>
      <c r="C24958" t="s">
        <v>249</v>
      </c>
      <c r="D24958" s="21" t="s">
        <v>34</v>
      </c>
      <c r="E24958" s="21" t="s">
        <v>71</v>
      </c>
      <c r="F24958">
        <v>7590361</v>
      </c>
      <c r="G24958" t="s">
        <v>3071</v>
      </c>
      <c r="H24958" s="21">
        <v>646.16999999999996</v>
      </c>
    </row>
    <row r="24959" spans="1:8" customFormat="1" x14ac:dyDescent="0.25">
      <c r="A24959" t="str">
        <f>"1314972"</f>
        <v>1314972</v>
      </c>
      <c r="B24959" t="s">
        <v>17485</v>
      </c>
      <c r="C24959" t="s">
        <v>867</v>
      </c>
      <c r="D24959" s="21" t="s">
        <v>34</v>
      </c>
      <c r="E24959" s="21" t="s">
        <v>35</v>
      </c>
      <c r="F24959">
        <v>13130152</v>
      </c>
      <c r="G24959" t="s">
        <v>906</v>
      </c>
      <c r="H24959" s="21">
        <v>646.16999999999996</v>
      </c>
    </row>
    <row r="24960" spans="1:8" customFormat="1" x14ac:dyDescent="0.25">
      <c r="A24960" t="str">
        <f>"3815390"</f>
        <v>3815390</v>
      </c>
      <c r="B24960" t="s">
        <v>12975</v>
      </c>
      <c r="C24960" t="s">
        <v>285</v>
      </c>
      <c r="D24960" s="21" t="s">
        <v>34</v>
      </c>
      <c r="E24960" s="21" t="s">
        <v>35</v>
      </c>
      <c r="F24960">
        <v>1380262</v>
      </c>
      <c r="G24960" t="s">
        <v>1216</v>
      </c>
      <c r="H24960" s="21">
        <v>646.16999999999996</v>
      </c>
    </row>
    <row r="24961" spans="1:8" customFormat="1" x14ac:dyDescent="0.25">
      <c r="A24961" t="str">
        <f>"6110065"</f>
        <v>6110065</v>
      </c>
      <c r="B24961" t="s">
        <v>2218</v>
      </c>
      <c r="C24961" t="s">
        <v>951</v>
      </c>
      <c r="D24961" s="21" t="s">
        <v>34</v>
      </c>
      <c r="E24961" s="21" t="s">
        <v>35</v>
      </c>
      <c r="F24961">
        <v>9610142</v>
      </c>
      <c r="G24961" t="s">
        <v>8211</v>
      </c>
      <c r="H24961" s="21">
        <v>646.16999999999996</v>
      </c>
    </row>
    <row r="24962" spans="1:8" customFormat="1" x14ac:dyDescent="0.25">
      <c r="A24962" t="str">
        <f>"5418047"</f>
        <v>5418047</v>
      </c>
      <c r="B24962" t="s">
        <v>18596</v>
      </c>
      <c r="C24962" t="s">
        <v>288</v>
      </c>
      <c r="D24962" s="21" t="s">
        <v>34</v>
      </c>
      <c r="E24962" s="21" t="s">
        <v>35</v>
      </c>
      <c r="F24962">
        <v>6540111</v>
      </c>
      <c r="G24962" t="s">
        <v>9886</v>
      </c>
      <c r="H24962" s="21">
        <v>646.16999999999996</v>
      </c>
    </row>
    <row r="24963" spans="1:8" customFormat="1" x14ac:dyDescent="0.25">
      <c r="A24963" t="str">
        <f>"7837102"</f>
        <v>7837102</v>
      </c>
      <c r="B24963" t="s">
        <v>9672</v>
      </c>
      <c r="C24963" t="s">
        <v>55</v>
      </c>
      <c r="D24963" s="21" t="s">
        <v>34</v>
      </c>
      <c r="E24963" s="21" t="s">
        <v>71</v>
      </c>
      <c r="F24963">
        <v>8780080</v>
      </c>
      <c r="G24963" t="s">
        <v>865</v>
      </c>
      <c r="H24963" s="21">
        <v>645.91999999999996</v>
      </c>
    </row>
    <row r="24964" spans="1:8" customFormat="1" x14ac:dyDescent="0.25">
      <c r="A24964" t="str">
        <f>"617254"</f>
        <v>617254</v>
      </c>
      <c r="B24964" t="s">
        <v>19849</v>
      </c>
      <c r="C24964" t="s">
        <v>2907</v>
      </c>
      <c r="D24964" s="21" t="s">
        <v>34</v>
      </c>
      <c r="E24964" s="21" t="s">
        <v>254</v>
      </c>
      <c r="F24964">
        <v>9610073</v>
      </c>
      <c r="G24964" t="s">
        <v>8382</v>
      </c>
      <c r="H24964" s="21">
        <v>645.91999999999996</v>
      </c>
    </row>
    <row r="24965" spans="1:8" customFormat="1" x14ac:dyDescent="0.25">
      <c r="A24965" t="str">
        <f>"762035"</f>
        <v>762035</v>
      </c>
      <c r="B24965" t="s">
        <v>3624</v>
      </c>
      <c r="C24965" t="s">
        <v>1146</v>
      </c>
      <c r="D24965" s="21" t="s">
        <v>34</v>
      </c>
      <c r="E24965" s="21" t="s">
        <v>254</v>
      </c>
      <c r="F24965">
        <v>9760315</v>
      </c>
      <c r="G24965" t="s">
        <v>12345</v>
      </c>
      <c r="H24965" s="21">
        <v>645.91999999999996</v>
      </c>
    </row>
    <row r="24966" spans="1:8" customFormat="1" x14ac:dyDescent="0.25">
      <c r="A24966" t="str">
        <f>"6921960"</f>
        <v>6921960</v>
      </c>
      <c r="B24966" t="s">
        <v>13582</v>
      </c>
      <c r="C24966" t="s">
        <v>3648</v>
      </c>
      <c r="D24966" s="21" t="s">
        <v>34</v>
      </c>
      <c r="E24966" s="21" t="s">
        <v>1089</v>
      </c>
      <c r="F24966">
        <v>1690192</v>
      </c>
      <c r="G24966" t="s">
        <v>3578</v>
      </c>
      <c r="H24966" s="21">
        <v>645.91999999999996</v>
      </c>
    </row>
    <row r="24967" spans="1:8" customFormat="1" x14ac:dyDescent="0.25">
      <c r="A24967" t="str">
        <f>"1423764"</f>
        <v>1423764</v>
      </c>
      <c r="B24967" t="s">
        <v>2406</v>
      </c>
      <c r="C24967" t="s">
        <v>62</v>
      </c>
      <c r="D24967" s="21" t="s">
        <v>34</v>
      </c>
      <c r="E24967" s="21" t="s">
        <v>35</v>
      </c>
      <c r="F24967">
        <v>9140127</v>
      </c>
      <c r="G24967" t="s">
        <v>6641</v>
      </c>
      <c r="H24967" s="21">
        <v>645.91999999999996</v>
      </c>
    </row>
    <row r="24968" spans="1:8" customFormat="1" x14ac:dyDescent="0.25">
      <c r="A24968" t="str">
        <f>"7810884"</f>
        <v>7810884</v>
      </c>
      <c r="B24968" t="s">
        <v>3885</v>
      </c>
      <c r="C24968" t="s">
        <v>267</v>
      </c>
      <c r="D24968" s="21" t="s">
        <v>34</v>
      </c>
      <c r="E24968" s="21" t="s">
        <v>254</v>
      </c>
      <c r="F24968">
        <v>8910310</v>
      </c>
      <c r="G24968" t="s">
        <v>6645</v>
      </c>
      <c r="H24968" s="21">
        <v>645.66999999999996</v>
      </c>
    </row>
    <row r="24969" spans="1:8" customFormat="1" x14ac:dyDescent="0.25">
      <c r="A24969" t="str">
        <f>"5718136"</f>
        <v>5718136</v>
      </c>
      <c r="B24969" t="s">
        <v>18177</v>
      </c>
      <c r="C24969" t="s">
        <v>2305</v>
      </c>
      <c r="D24969" s="21" t="s">
        <v>34</v>
      </c>
      <c r="E24969" s="21" t="s">
        <v>1089</v>
      </c>
      <c r="F24969">
        <v>6570169</v>
      </c>
      <c r="G24969" t="s">
        <v>15590</v>
      </c>
      <c r="H24969" s="21">
        <v>645.66999999999996</v>
      </c>
    </row>
    <row r="24970" spans="1:8" customFormat="1" x14ac:dyDescent="0.25">
      <c r="A24970" t="str">
        <f>"2715184"</f>
        <v>2715184</v>
      </c>
      <c r="B24970" t="s">
        <v>18057</v>
      </c>
      <c r="C24970" t="s">
        <v>18058</v>
      </c>
      <c r="D24970" s="21" t="s">
        <v>34</v>
      </c>
      <c r="E24970" s="21" t="s">
        <v>71</v>
      </c>
      <c r="F24970">
        <v>8780890</v>
      </c>
      <c r="G24970" t="s">
        <v>6456</v>
      </c>
      <c r="H24970" s="21">
        <v>645.66999999999996</v>
      </c>
    </row>
    <row r="24971" spans="1:8" customFormat="1" x14ac:dyDescent="0.25">
      <c r="A24971" t="str">
        <f>"9516478"</f>
        <v>9516478</v>
      </c>
      <c r="B24971" t="s">
        <v>18079</v>
      </c>
      <c r="C24971" t="s">
        <v>18080</v>
      </c>
      <c r="D24971" s="21" t="s">
        <v>34</v>
      </c>
      <c r="E24971" s="21" t="s">
        <v>254</v>
      </c>
      <c r="F24971">
        <v>8950103</v>
      </c>
      <c r="G24971" t="s">
        <v>440</v>
      </c>
      <c r="H24971" s="21">
        <v>645.66999999999996</v>
      </c>
    </row>
    <row r="24972" spans="1:8" customFormat="1" x14ac:dyDescent="0.25">
      <c r="A24972" t="str">
        <f>"4217797"</f>
        <v>4217797</v>
      </c>
      <c r="B24972" t="s">
        <v>11259</v>
      </c>
      <c r="C24972" t="s">
        <v>40</v>
      </c>
      <c r="D24972" s="21" t="s">
        <v>34</v>
      </c>
      <c r="E24972" s="21" t="s">
        <v>254</v>
      </c>
      <c r="F24972">
        <v>1420124</v>
      </c>
      <c r="G24972" t="s">
        <v>3195</v>
      </c>
      <c r="H24972" s="21">
        <v>645.66999999999996</v>
      </c>
    </row>
    <row r="24973" spans="1:8" customFormat="1" x14ac:dyDescent="0.25">
      <c r="A24973" t="str">
        <f>"5320935"</f>
        <v>5320935</v>
      </c>
      <c r="B24973" t="s">
        <v>8767</v>
      </c>
      <c r="C24973" t="s">
        <v>82</v>
      </c>
      <c r="D24973" s="21" t="s">
        <v>34</v>
      </c>
      <c r="E24973" s="21" t="s">
        <v>35</v>
      </c>
      <c r="F24973">
        <v>12530088</v>
      </c>
      <c r="G24973" t="s">
        <v>10746</v>
      </c>
      <c r="H24973" s="21">
        <v>645.66999999999996</v>
      </c>
    </row>
    <row r="24974" spans="1:8" customFormat="1" x14ac:dyDescent="0.25">
      <c r="A24974" t="str">
        <f>"638473"</f>
        <v>638473</v>
      </c>
      <c r="B24974" t="s">
        <v>185</v>
      </c>
      <c r="C24974" t="s">
        <v>40</v>
      </c>
      <c r="D24974" s="21" t="s">
        <v>34</v>
      </c>
      <c r="E24974" s="21" t="s">
        <v>71</v>
      </c>
      <c r="F24974">
        <v>1630191</v>
      </c>
      <c r="G24974" t="s">
        <v>11303</v>
      </c>
      <c r="H24974" s="21">
        <v>645.66999999999996</v>
      </c>
    </row>
    <row r="24975" spans="1:8" customFormat="1" x14ac:dyDescent="0.25">
      <c r="A24975" t="str">
        <f>"715962"</f>
        <v>715962</v>
      </c>
      <c r="B24975" t="s">
        <v>6967</v>
      </c>
      <c r="C24975" t="s">
        <v>139</v>
      </c>
      <c r="D24975" s="21" t="s">
        <v>34</v>
      </c>
      <c r="E24975" s="21" t="s">
        <v>35</v>
      </c>
      <c r="F24975">
        <v>2710067</v>
      </c>
      <c r="G24975" t="s">
        <v>284</v>
      </c>
      <c r="H24975" s="21">
        <v>645.66999999999996</v>
      </c>
    </row>
    <row r="24976" spans="1:8" customFormat="1" x14ac:dyDescent="0.25">
      <c r="A24976" t="str">
        <f>"4431698"</f>
        <v>4431698</v>
      </c>
      <c r="B24976" t="s">
        <v>20106</v>
      </c>
      <c r="C24976" t="s">
        <v>124</v>
      </c>
      <c r="D24976" s="21" t="s">
        <v>34</v>
      </c>
      <c r="E24976" s="21" t="s">
        <v>71</v>
      </c>
      <c r="F24976">
        <v>12440136</v>
      </c>
      <c r="G24976" t="s">
        <v>3271</v>
      </c>
      <c r="H24976" s="21">
        <v>645.66999999999996</v>
      </c>
    </row>
    <row r="24977" spans="1:8" customFormat="1" x14ac:dyDescent="0.25">
      <c r="A24977" t="str">
        <f>"443373"</f>
        <v>443373</v>
      </c>
      <c r="B24977" t="s">
        <v>9102</v>
      </c>
      <c r="C24977" t="s">
        <v>40</v>
      </c>
      <c r="D24977" s="21" t="s">
        <v>34</v>
      </c>
      <c r="E24977" s="21" t="s">
        <v>254</v>
      </c>
      <c r="F24977">
        <v>12440024</v>
      </c>
      <c r="G24977" t="s">
        <v>2205</v>
      </c>
      <c r="H24977" s="21">
        <v>645.66999999999996</v>
      </c>
    </row>
    <row r="24978" spans="1:8" customFormat="1" x14ac:dyDescent="0.25">
      <c r="A24978" t="str">
        <f>"757984"</f>
        <v>757984</v>
      </c>
      <c r="B24978" t="s">
        <v>18948</v>
      </c>
      <c r="C24978" t="s">
        <v>3905</v>
      </c>
      <c r="D24978" s="21" t="s">
        <v>34</v>
      </c>
      <c r="E24978" s="21" t="s">
        <v>254</v>
      </c>
      <c r="F24978">
        <v>8751177</v>
      </c>
      <c r="G24978" t="s">
        <v>396</v>
      </c>
      <c r="H24978" s="21">
        <v>645.66999999999996</v>
      </c>
    </row>
    <row r="24979" spans="1:8" customFormat="1" x14ac:dyDescent="0.25">
      <c r="A24979" t="str">
        <f>"5948116"</f>
        <v>5948116</v>
      </c>
      <c r="B24979" t="s">
        <v>12991</v>
      </c>
      <c r="C24979" t="s">
        <v>40</v>
      </c>
      <c r="D24979" s="21" t="s">
        <v>34</v>
      </c>
      <c r="E24979" s="21" t="s">
        <v>35</v>
      </c>
      <c r="F24979">
        <v>7590400</v>
      </c>
      <c r="G24979" t="s">
        <v>26692</v>
      </c>
      <c r="H24979" s="21">
        <v>645.66999999999996</v>
      </c>
    </row>
    <row r="24980" spans="1:8" customFormat="1" x14ac:dyDescent="0.25">
      <c r="A24980" t="str">
        <f>"7870052"</f>
        <v>7870052</v>
      </c>
      <c r="B24980" t="s">
        <v>19639</v>
      </c>
      <c r="C24980" t="s">
        <v>486</v>
      </c>
      <c r="D24980" s="21" t="s">
        <v>34</v>
      </c>
      <c r="E24980" s="21" t="s">
        <v>71</v>
      </c>
      <c r="F24980">
        <v>8780627</v>
      </c>
      <c r="G24980" t="s">
        <v>6097</v>
      </c>
      <c r="H24980" s="21">
        <v>645.66999999999996</v>
      </c>
    </row>
    <row r="24981" spans="1:8" customFormat="1" x14ac:dyDescent="0.25">
      <c r="A24981" t="str">
        <f>"725643"</f>
        <v>725643</v>
      </c>
      <c r="B24981" t="s">
        <v>27829</v>
      </c>
      <c r="C24981" t="s">
        <v>90</v>
      </c>
      <c r="D24981" s="21" t="s">
        <v>34</v>
      </c>
      <c r="E24981" s="21" t="s">
        <v>35</v>
      </c>
      <c r="F24981">
        <v>12720068</v>
      </c>
      <c r="G24981" t="s">
        <v>15917</v>
      </c>
      <c r="H24981" s="21">
        <v>645.66999999999996</v>
      </c>
    </row>
    <row r="24982" spans="1:8" customFormat="1" x14ac:dyDescent="0.25">
      <c r="A24982" t="str">
        <f>"4427812"</f>
        <v>4427812</v>
      </c>
      <c r="B24982" t="s">
        <v>4010</v>
      </c>
      <c r="C24982" t="s">
        <v>4842</v>
      </c>
      <c r="D24982" s="21" t="s">
        <v>34</v>
      </c>
      <c r="E24982" s="21" t="s">
        <v>6185</v>
      </c>
      <c r="F24982">
        <v>12440266</v>
      </c>
      <c r="G24982" t="s">
        <v>924</v>
      </c>
      <c r="H24982" s="21">
        <v>645.66999999999996</v>
      </c>
    </row>
    <row r="24983" spans="1:8" customFormat="1" x14ac:dyDescent="0.25">
      <c r="A24983" t="str">
        <f>"3412417"</f>
        <v>3412417</v>
      </c>
      <c r="B24983" t="s">
        <v>17849</v>
      </c>
      <c r="C24983" t="s">
        <v>169</v>
      </c>
      <c r="D24983" s="21" t="s">
        <v>34</v>
      </c>
      <c r="E24983" s="21" t="s">
        <v>71</v>
      </c>
      <c r="F24983">
        <v>11340061</v>
      </c>
      <c r="G24983" t="s">
        <v>6763</v>
      </c>
      <c r="H24983" s="21">
        <v>645.66999999999996</v>
      </c>
    </row>
    <row r="24984" spans="1:8" customFormat="1" x14ac:dyDescent="0.25">
      <c r="A24984" t="str">
        <f>"413328"</f>
        <v>413328</v>
      </c>
      <c r="B24984" t="s">
        <v>853</v>
      </c>
      <c r="C24984" t="s">
        <v>249</v>
      </c>
      <c r="D24984" s="21" t="s">
        <v>34</v>
      </c>
      <c r="E24984" s="21" t="s">
        <v>71</v>
      </c>
      <c r="F24984">
        <v>4410543</v>
      </c>
      <c r="G24984" t="s">
        <v>14950</v>
      </c>
      <c r="H24984" s="21">
        <v>645.66999999999996</v>
      </c>
    </row>
    <row r="24985" spans="1:8" customFormat="1" x14ac:dyDescent="0.25">
      <c r="A24985" t="str">
        <f>"067873"</f>
        <v>067873</v>
      </c>
      <c r="B24985" t="s">
        <v>7379</v>
      </c>
      <c r="C24985" t="s">
        <v>1110</v>
      </c>
      <c r="D24985" s="21" t="s">
        <v>34</v>
      </c>
      <c r="E24985" s="21" t="s">
        <v>71</v>
      </c>
      <c r="F24985">
        <v>13060063</v>
      </c>
      <c r="G24985" t="s">
        <v>2001</v>
      </c>
      <c r="H24985" s="21">
        <v>645.66999999999996</v>
      </c>
    </row>
    <row r="24986" spans="1:8" customFormat="1" x14ac:dyDescent="0.25">
      <c r="A24986" t="str">
        <f>"406826"</f>
        <v>406826</v>
      </c>
      <c r="B24986" t="s">
        <v>18961</v>
      </c>
      <c r="C24986" t="s">
        <v>119</v>
      </c>
      <c r="D24986" s="21" t="s">
        <v>34</v>
      </c>
      <c r="E24986" s="21" t="s">
        <v>35</v>
      </c>
      <c r="F24986">
        <v>10400001</v>
      </c>
      <c r="G24986" t="s">
        <v>609</v>
      </c>
      <c r="H24986" s="21">
        <v>645.66999999999996</v>
      </c>
    </row>
    <row r="24987" spans="1:8" customFormat="1" x14ac:dyDescent="0.25">
      <c r="A24987" t="str">
        <f>"5714772"</f>
        <v>5714772</v>
      </c>
      <c r="B24987" t="s">
        <v>19562</v>
      </c>
      <c r="C24987" t="s">
        <v>253</v>
      </c>
      <c r="D24987" s="21" t="s">
        <v>34</v>
      </c>
      <c r="E24987" s="21" t="s">
        <v>254</v>
      </c>
      <c r="F24987">
        <v>6570008</v>
      </c>
      <c r="G24987" t="s">
        <v>899</v>
      </c>
      <c r="H24987" s="21">
        <v>645.66999999999996</v>
      </c>
    </row>
    <row r="24988" spans="1:8" customFormat="1" x14ac:dyDescent="0.25">
      <c r="A24988" t="str">
        <f>"7628389"</f>
        <v>7628389</v>
      </c>
      <c r="B24988" t="s">
        <v>2203</v>
      </c>
      <c r="C24988" t="s">
        <v>87</v>
      </c>
      <c r="D24988" s="21" t="s">
        <v>34</v>
      </c>
      <c r="E24988" s="21" t="s">
        <v>71</v>
      </c>
      <c r="F24988">
        <v>9760070</v>
      </c>
      <c r="G24988" t="s">
        <v>6226</v>
      </c>
      <c r="H24988" s="21">
        <v>645.66999999999996</v>
      </c>
    </row>
    <row r="24989" spans="1:8" customFormat="1" x14ac:dyDescent="0.25">
      <c r="A24989" t="str">
        <f>"9134036"</f>
        <v>9134036</v>
      </c>
      <c r="B24989" t="s">
        <v>18554</v>
      </c>
      <c r="C24989" t="s">
        <v>249</v>
      </c>
      <c r="D24989" s="21" t="s">
        <v>34</v>
      </c>
      <c r="E24989" s="21" t="s">
        <v>71</v>
      </c>
      <c r="F24989">
        <v>8911280</v>
      </c>
      <c r="G24989" t="s">
        <v>3417</v>
      </c>
      <c r="H24989" s="21">
        <v>645.66999999999996</v>
      </c>
    </row>
    <row r="24990" spans="1:8" customFormat="1" x14ac:dyDescent="0.25">
      <c r="A24990" t="str">
        <f>"807193"</f>
        <v>807193</v>
      </c>
      <c r="B24990" t="s">
        <v>15735</v>
      </c>
      <c r="C24990" t="s">
        <v>82</v>
      </c>
      <c r="D24990" s="21" t="s">
        <v>34</v>
      </c>
      <c r="E24990" s="21" t="s">
        <v>35</v>
      </c>
      <c r="F24990">
        <v>7800061</v>
      </c>
      <c r="G24990" t="s">
        <v>1330</v>
      </c>
      <c r="H24990" s="21">
        <v>645.66999999999996</v>
      </c>
    </row>
    <row r="24991" spans="1:8" customFormat="1" x14ac:dyDescent="0.25">
      <c r="A24991" t="str">
        <f>"5429621"</f>
        <v>5429621</v>
      </c>
      <c r="B24991" t="s">
        <v>19423</v>
      </c>
      <c r="C24991" t="s">
        <v>156</v>
      </c>
      <c r="D24991" s="21" t="s">
        <v>34</v>
      </c>
      <c r="E24991" s="21" t="s">
        <v>254</v>
      </c>
      <c r="F24991">
        <v>6540014</v>
      </c>
      <c r="G24991" t="s">
        <v>1483</v>
      </c>
      <c r="H24991" s="21">
        <v>645.66999999999996</v>
      </c>
    </row>
    <row r="24992" spans="1:8" customFormat="1" x14ac:dyDescent="0.25">
      <c r="A24992" t="str">
        <f>"5713766"</f>
        <v>5713766</v>
      </c>
      <c r="B24992" t="s">
        <v>17571</v>
      </c>
      <c r="C24992" t="s">
        <v>1841</v>
      </c>
      <c r="D24992" s="21" t="s">
        <v>34</v>
      </c>
      <c r="E24992" s="21" t="s">
        <v>71</v>
      </c>
      <c r="F24992">
        <v>6570125</v>
      </c>
      <c r="G24992" t="s">
        <v>14599</v>
      </c>
      <c r="H24992" s="21">
        <v>645.66999999999996</v>
      </c>
    </row>
    <row r="24993" spans="1:8" customFormat="1" x14ac:dyDescent="0.25">
      <c r="A24993" t="str">
        <f>"4923771"</f>
        <v>4923771</v>
      </c>
      <c r="B24993" t="s">
        <v>5444</v>
      </c>
      <c r="C24993" t="s">
        <v>114</v>
      </c>
      <c r="D24993" s="21" t="s">
        <v>34</v>
      </c>
      <c r="E24993" s="21" t="s">
        <v>35</v>
      </c>
      <c r="F24993">
        <v>12490035</v>
      </c>
      <c r="G24993" t="s">
        <v>9242</v>
      </c>
      <c r="H24993" s="21">
        <v>645.66999999999996</v>
      </c>
    </row>
    <row r="24994" spans="1:8" customFormat="1" x14ac:dyDescent="0.25">
      <c r="A24994" t="str">
        <f>"3830619"</f>
        <v>3830619</v>
      </c>
      <c r="B24994" t="s">
        <v>577</v>
      </c>
      <c r="C24994" t="s">
        <v>415</v>
      </c>
      <c r="D24994" s="21" t="s">
        <v>34</v>
      </c>
      <c r="E24994" s="21" t="s">
        <v>254</v>
      </c>
      <c r="F24994">
        <v>1380164</v>
      </c>
      <c r="G24994" t="s">
        <v>2728</v>
      </c>
      <c r="H24994" s="21">
        <v>645.66999999999996</v>
      </c>
    </row>
    <row r="24995" spans="1:8" customFormat="1" x14ac:dyDescent="0.25">
      <c r="A24995" t="str">
        <f>"4450219"</f>
        <v>4450219</v>
      </c>
      <c r="B24995" t="s">
        <v>21551</v>
      </c>
      <c r="C24995" t="s">
        <v>127</v>
      </c>
      <c r="D24995" s="21" t="s">
        <v>34</v>
      </c>
      <c r="E24995" s="21" t="s">
        <v>35</v>
      </c>
      <c r="F24995">
        <v>10330036</v>
      </c>
      <c r="G24995" t="s">
        <v>6209</v>
      </c>
      <c r="H24995" s="21">
        <v>645.54</v>
      </c>
    </row>
    <row r="24996" spans="1:8" customFormat="1" x14ac:dyDescent="0.25">
      <c r="A24996" t="str">
        <f>"3534377"</f>
        <v>3534377</v>
      </c>
      <c r="B24996" t="s">
        <v>8783</v>
      </c>
      <c r="C24996" t="s">
        <v>1474</v>
      </c>
      <c r="D24996" s="21" t="s">
        <v>34</v>
      </c>
      <c r="E24996" s="21" t="s">
        <v>35</v>
      </c>
      <c r="F24996">
        <v>3350224</v>
      </c>
      <c r="G24996" t="s">
        <v>3826</v>
      </c>
      <c r="H24996" s="21">
        <v>645.41999999999996</v>
      </c>
    </row>
    <row r="24997" spans="1:8" customFormat="1" x14ac:dyDescent="0.25">
      <c r="A24997" t="str">
        <f>"337289"</f>
        <v>337289</v>
      </c>
      <c r="B24997" t="s">
        <v>18184</v>
      </c>
      <c r="C24997" t="s">
        <v>1142</v>
      </c>
      <c r="D24997" s="21" t="s">
        <v>34</v>
      </c>
      <c r="E24997" s="21" t="s">
        <v>1089</v>
      </c>
      <c r="F24997">
        <v>10330067</v>
      </c>
      <c r="G24997" t="s">
        <v>125</v>
      </c>
      <c r="H24997" s="21">
        <v>645.41999999999996</v>
      </c>
    </row>
    <row r="24998" spans="1:8" customFormat="1" x14ac:dyDescent="0.25">
      <c r="A24998" t="str">
        <f>"366539"</f>
        <v>366539</v>
      </c>
      <c r="B24998" t="s">
        <v>18627</v>
      </c>
      <c r="C24998" t="s">
        <v>43</v>
      </c>
      <c r="D24998" s="21" t="s">
        <v>34</v>
      </c>
      <c r="E24998" s="21" t="s">
        <v>35</v>
      </c>
      <c r="F24998">
        <v>4360707</v>
      </c>
      <c r="G24998" t="s">
        <v>6621</v>
      </c>
      <c r="H24998" s="21">
        <v>645.41999999999996</v>
      </c>
    </row>
    <row r="24999" spans="1:8" customFormat="1" x14ac:dyDescent="0.25">
      <c r="A24999" t="str">
        <f>"7518631"</f>
        <v>7518631</v>
      </c>
      <c r="B24999" t="s">
        <v>19638</v>
      </c>
      <c r="C24999" t="s">
        <v>239</v>
      </c>
      <c r="D24999" s="21" t="s">
        <v>34</v>
      </c>
      <c r="E24999" s="21" t="s">
        <v>254</v>
      </c>
      <c r="F24999">
        <v>8751124</v>
      </c>
      <c r="G24999" t="s">
        <v>1481</v>
      </c>
      <c r="H24999" s="21">
        <v>645.41999999999996</v>
      </c>
    </row>
    <row r="25000" spans="1:8" customFormat="1" x14ac:dyDescent="0.25">
      <c r="A25000" t="str">
        <f>"918507"</f>
        <v>918507</v>
      </c>
      <c r="B25000" t="s">
        <v>19999</v>
      </c>
      <c r="C25000" t="s">
        <v>262</v>
      </c>
      <c r="D25000" s="21" t="s">
        <v>34</v>
      </c>
      <c r="E25000" s="21" t="s">
        <v>35</v>
      </c>
      <c r="F25000">
        <v>8910591</v>
      </c>
      <c r="G25000" t="s">
        <v>9841</v>
      </c>
      <c r="H25000" s="21">
        <v>645.41999999999996</v>
      </c>
    </row>
    <row r="25001" spans="1:8" customFormat="1" x14ac:dyDescent="0.25">
      <c r="A25001" t="str">
        <f>"9527871"</f>
        <v>9527871</v>
      </c>
      <c r="B25001" t="s">
        <v>556</v>
      </c>
      <c r="C25001" t="s">
        <v>486</v>
      </c>
      <c r="D25001" s="21" t="s">
        <v>34</v>
      </c>
      <c r="E25001" s="21" t="s">
        <v>254</v>
      </c>
      <c r="F25001">
        <v>8951366</v>
      </c>
      <c r="G25001" t="s">
        <v>3708</v>
      </c>
      <c r="H25001" s="21">
        <v>645.29</v>
      </c>
    </row>
    <row r="25002" spans="1:8" customFormat="1" x14ac:dyDescent="0.25">
      <c r="A25002" t="str">
        <f>"7724640"</f>
        <v>7724640</v>
      </c>
      <c r="B25002" t="s">
        <v>1737</v>
      </c>
      <c r="C25002" t="s">
        <v>139</v>
      </c>
      <c r="D25002" s="21" t="s">
        <v>34</v>
      </c>
      <c r="E25002" s="21" t="s">
        <v>71</v>
      </c>
      <c r="F25002">
        <v>8770202</v>
      </c>
      <c r="G25002" t="s">
        <v>1999</v>
      </c>
      <c r="H25002" s="21">
        <v>645.29</v>
      </c>
    </row>
    <row r="25003" spans="1:8" customFormat="1" x14ac:dyDescent="0.25">
      <c r="A25003" t="str">
        <f>"5430456"</f>
        <v>5430456</v>
      </c>
      <c r="B25003" t="s">
        <v>2434</v>
      </c>
      <c r="C25003" t="s">
        <v>263</v>
      </c>
      <c r="D25003" s="21" t="s">
        <v>34</v>
      </c>
      <c r="E25003" s="21" t="s">
        <v>254</v>
      </c>
      <c r="F25003">
        <v>6540157</v>
      </c>
      <c r="G25003" t="s">
        <v>10647</v>
      </c>
      <c r="H25003" s="21">
        <v>645.16999999999996</v>
      </c>
    </row>
    <row r="25004" spans="1:8" customFormat="1" x14ac:dyDescent="0.25">
      <c r="A25004" t="str">
        <f>"6110970"</f>
        <v>6110970</v>
      </c>
      <c r="B25004" t="s">
        <v>7673</v>
      </c>
      <c r="C25004" t="s">
        <v>1914</v>
      </c>
      <c r="D25004" s="21" t="s">
        <v>34</v>
      </c>
      <c r="E25004" s="21" t="s">
        <v>71</v>
      </c>
      <c r="F25004">
        <v>9610017</v>
      </c>
      <c r="G25004" t="s">
        <v>12194</v>
      </c>
      <c r="H25004" s="21">
        <v>645.16999999999996</v>
      </c>
    </row>
    <row r="25005" spans="1:8" customFormat="1" x14ac:dyDescent="0.25">
      <c r="A25005" t="str">
        <f>"832425"</f>
        <v>832425</v>
      </c>
      <c r="B25005" t="s">
        <v>20246</v>
      </c>
      <c r="C25005" t="s">
        <v>3648</v>
      </c>
      <c r="D25005" s="21" t="s">
        <v>34</v>
      </c>
      <c r="E25005" s="21" t="s">
        <v>71</v>
      </c>
      <c r="F25005">
        <v>13830088</v>
      </c>
      <c r="G25005" t="s">
        <v>17664</v>
      </c>
      <c r="H25005" s="21">
        <v>645.16999999999996</v>
      </c>
    </row>
    <row r="25006" spans="1:8" customFormat="1" x14ac:dyDescent="0.25">
      <c r="A25006" t="str">
        <f>"4524171"</f>
        <v>4524171</v>
      </c>
      <c r="B25006" t="s">
        <v>765</v>
      </c>
      <c r="C25006" t="s">
        <v>60</v>
      </c>
      <c r="D25006" s="21" t="s">
        <v>34</v>
      </c>
      <c r="E25006" s="21" t="s">
        <v>35</v>
      </c>
      <c r="F25006">
        <v>4450192</v>
      </c>
      <c r="G25006" t="s">
        <v>2411</v>
      </c>
      <c r="H25006" s="21">
        <v>645.16999999999996</v>
      </c>
    </row>
    <row r="25007" spans="1:8" customFormat="1" x14ac:dyDescent="0.25">
      <c r="A25007" t="str">
        <f>"594375"</f>
        <v>594375</v>
      </c>
      <c r="B25007" t="s">
        <v>18673</v>
      </c>
      <c r="C25007" t="s">
        <v>784</v>
      </c>
      <c r="D25007" s="21" t="s">
        <v>34</v>
      </c>
      <c r="E25007" s="21" t="s">
        <v>254</v>
      </c>
      <c r="F25007">
        <v>7590392</v>
      </c>
      <c r="G25007" t="s">
        <v>154</v>
      </c>
      <c r="H25007" s="21">
        <v>645.16999999999996</v>
      </c>
    </row>
    <row r="25008" spans="1:8" customFormat="1" x14ac:dyDescent="0.25">
      <c r="A25008" t="str">
        <f>"3324301"</f>
        <v>3324301</v>
      </c>
      <c r="B25008" t="s">
        <v>3273</v>
      </c>
      <c r="C25008" t="s">
        <v>1705</v>
      </c>
      <c r="D25008" s="21" t="s">
        <v>34</v>
      </c>
      <c r="E25008" s="21" t="s">
        <v>71</v>
      </c>
      <c r="F25008">
        <v>10330099</v>
      </c>
      <c r="G25008" t="s">
        <v>10670</v>
      </c>
      <c r="H25008" s="21">
        <v>645.16999999999996</v>
      </c>
    </row>
    <row r="25009" spans="1:8" customFormat="1" x14ac:dyDescent="0.25">
      <c r="A25009" t="str">
        <f>"9238579"</f>
        <v>9238579</v>
      </c>
      <c r="B25009" t="s">
        <v>27830</v>
      </c>
      <c r="C25009" t="s">
        <v>453</v>
      </c>
      <c r="D25009" s="21" t="s">
        <v>34</v>
      </c>
      <c r="E25009" s="21" t="s">
        <v>254</v>
      </c>
      <c r="F25009">
        <v>1630123</v>
      </c>
      <c r="G25009" t="s">
        <v>1036</v>
      </c>
      <c r="H25009" s="21">
        <v>645.16999999999996</v>
      </c>
    </row>
    <row r="25010" spans="1:8" customFormat="1" x14ac:dyDescent="0.25">
      <c r="A25010" t="str">
        <f>"2210107"</f>
        <v>2210107</v>
      </c>
      <c r="B25010" t="s">
        <v>1413</v>
      </c>
      <c r="C25010" t="s">
        <v>415</v>
      </c>
      <c r="D25010" s="21" t="s">
        <v>34</v>
      </c>
      <c r="E25010" s="21" t="s">
        <v>71</v>
      </c>
      <c r="F25010">
        <v>3220048</v>
      </c>
      <c r="G25010" t="s">
        <v>26532</v>
      </c>
      <c r="H25010" s="21">
        <v>645.16999999999996</v>
      </c>
    </row>
    <row r="25011" spans="1:8" customFormat="1" x14ac:dyDescent="0.25">
      <c r="A25011" t="str">
        <f>"339905"</f>
        <v>339905</v>
      </c>
      <c r="B25011" t="s">
        <v>537</v>
      </c>
      <c r="C25011" t="s">
        <v>40</v>
      </c>
      <c r="D25011" s="21" t="s">
        <v>34</v>
      </c>
      <c r="E25011" s="21" t="s">
        <v>254</v>
      </c>
      <c r="F25011">
        <v>10330009</v>
      </c>
      <c r="G25011" t="s">
        <v>2064</v>
      </c>
      <c r="H25011" s="21">
        <v>645.16999999999996</v>
      </c>
    </row>
    <row r="25012" spans="1:8" customFormat="1" x14ac:dyDescent="0.25">
      <c r="A25012" t="str">
        <f>"9518"</f>
        <v>9518</v>
      </c>
      <c r="B25012" t="s">
        <v>4782</v>
      </c>
      <c r="C25012" t="s">
        <v>121</v>
      </c>
      <c r="D25012" s="21" t="s">
        <v>34</v>
      </c>
      <c r="E25012" s="21" t="s">
        <v>254</v>
      </c>
      <c r="F25012">
        <v>8951399</v>
      </c>
      <c r="G25012" t="s">
        <v>6745</v>
      </c>
      <c r="H25012" s="21">
        <v>645.16999999999996</v>
      </c>
    </row>
    <row r="25013" spans="1:8" customFormat="1" x14ac:dyDescent="0.25">
      <c r="A25013" t="str">
        <f>"5018370"</f>
        <v>5018370</v>
      </c>
      <c r="B25013" t="s">
        <v>16156</v>
      </c>
      <c r="C25013" t="s">
        <v>528</v>
      </c>
      <c r="D25013" s="21" t="s">
        <v>34</v>
      </c>
      <c r="E25013" s="21" t="s">
        <v>71</v>
      </c>
      <c r="F25013">
        <v>9500003</v>
      </c>
      <c r="G25013" t="s">
        <v>545</v>
      </c>
      <c r="H25013" s="21">
        <v>645.16999999999996</v>
      </c>
    </row>
    <row r="25014" spans="1:8" customFormat="1" x14ac:dyDescent="0.25">
      <c r="A25014" t="str">
        <f>"2929665"</f>
        <v>2929665</v>
      </c>
      <c r="B25014" t="s">
        <v>18779</v>
      </c>
      <c r="C25014" t="s">
        <v>926</v>
      </c>
      <c r="D25014" s="21" t="s">
        <v>34</v>
      </c>
      <c r="E25014" s="21" t="s">
        <v>35</v>
      </c>
      <c r="F25014">
        <v>3290262</v>
      </c>
      <c r="G25014" t="s">
        <v>1139</v>
      </c>
      <c r="H25014" s="21">
        <v>645.16999999999996</v>
      </c>
    </row>
    <row r="25015" spans="1:8" customFormat="1" x14ac:dyDescent="0.25">
      <c r="A25015" t="str">
        <f>"878424"</f>
        <v>878424</v>
      </c>
      <c r="B25015" t="s">
        <v>18906</v>
      </c>
      <c r="C25015" t="s">
        <v>988</v>
      </c>
      <c r="D25015" s="21" t="s">
        <v>34</v>
      </c>
      <c r="E25015" s="21" t="s">
        <v>35</v>
      </c>
      <c r="F25015">
        <v>10870007</v>
      </c>
      <c r="G25015" t="s">
        <v>8903</v>
      </c>
      <c r="H25015" s="21">
        <v>645.16999999999996</v>
      </c>
    </row>
    <row r="25016" spans="1:8" customFormat="1" x14ac:dyDescent="0.25">
      <c r="A25016" t="str">
        <f>"306398"</f>
        <v>306398</v>
      </c>
      <c r="B25016" t="s">
        <v>18276</v>
      </c>
      <c r="C25016" t="s">
        <v>204</v>
      </c>
      <c r="D25016" s="21" t="s">
        <v>34</v>
      </c>
      <c r="E25016" s="21" t="s">
        <v>35</v>
      </c>
      <c r="F25016">
        <v>11300041</v>
      </c>
      <c r="G25016" t="s">
        <v>8074</v>
      </c>
      <c r="H25016" s="21">
        <v>645.16999999999996</v>
      </c>
    </row>
    <row r="25017" spans="1:8" customFormat="1" x14ac:dyDescent="0.25">
      <c r="A25017" t="str">
        <f>"877396"</f>
        <v>877396</v>
      </c>
      <c r="B25017" t="s">
        <v>8522</v>
      </c>
      <c r="C25017" t="s">
        <v>236</v>
      </c>
      <c r="D25017" s="21" t="s">
        <v>34</v>
      </c>
      <c r="E25017" s="21" t="s">
        <v>254</v>
      </c>
      <c r="F25017">
        <v>10870007</v>
      </c>
      <c r="G25017" t="s">
        <v>8903</v>
      </c>
      <c r="H25017" s="21">
        <v>645.16999999999996</v>
      </c>
    </row>
    <row r="25018" spans="1:8" customFormat="1" x14ac:dyDescent="0.25">
      <c r="A25018" t="str">
        <f>"5945828"</f>
        <v>5945828</v>
      </c>
      <c r="B25018" t="s">
        <v>18498</v>
      </c>
      <c r="C25018" t="s">
        <v>121</v>
      </c>
      <c r="D25018" s="21" t="s">
        <v>34</v>
      </c>
      <c r="E25018" s="21" t="s">
        <v>35</v>
      </c>
      <c r="F25018">
        <v>7590173</v>
      </c>
      <c r="G25018" t="s">
        <v>5675</v>
      </c>
      <c r="H25018" s="21">
        <v>645.16999999999996</v>
      </c>
    </row>
    <row r="25019" spans="1:8" customFormat="1" x14ac:dyDescent="0.25">
      <c r="A25019" t="str">
        <f>"666626"</f>
        <v>666626</v>
      </c>
      <c r="B25019" t="s">
        <v>25568</v>
      </c>
      <c r="C25019" t="s">
        <v>275</v>
      </c>
      <c r="D25019" s="21" t="s">
        <v>34</v>
      </c>
      <c r="E25019" s="21" t="s">
        <v>35</v>
      </c>
      <c r="F25019">
        <v>11660032</v>
      </c>
      <c r="G25019" t="s">
        <v>3232</v>
      </c>
      <c r="H25019" s="21">
        <v>645.16999999999996</v>
      </c>
    </row>
    <row r="25020" spans="1:8" customFormat="1" x14ac:dyDescent="0.25">
      <c r="A25020" t="str">
        <f>"6715364"</f>
        <v>6715364</v>
      </c>
      <c r="B25020" t="s">
        <v>623</v>
      </c>
      <c r="C25020" t="s">
        <v>547</v>
      </c>
      <c r="D25020" s="21" t="s">
        <v>34</v>
      </c>
      <c r="E25020" s="21" t="s">
        <v>71</v>
      </c>
      <c r="F25020">
        <v>6670257</v>
      </c>
      <c r="G25020" t="s">
        <v>26708</v>
      </c>
      <c r="H25020" s="21">
        <v>645.16999999999996</v>
      </c>
    </row>
    <row r="25021" spans="1:8" customFormat="1" x14ac:dyDescent="0.25">
      <c r="A25021" t="str">
        <f>"6935322"</f>
        <v>6935322</v>
      </c>
      <c r="B25021" t="s">
        <v>20157</v>
      </c>
      <c r="C25021" t="s">
        <v>246</v>
      </c>
      <c r="D25021" s="21" t="s">
        <v>34</v>
      </c>
      <c r="E25021" s="21" t="s">
        <v>71</v>
      </c>
      <c r="F25021">
        <v>11340065</v>
      </c>
      <c r="G25021" t="s">
        <v>2022</v>
      </c>
      <c r="H25021" s="21">
        <v>645.16999999999996</v>
      </c>
    </row>
    <row r="25022" spans="1:8" customFormat="1" x14ac:dyDescent="0.25">
      <c r="A25022" t="str">
        <f>"4915612"</f>
        <v>4915612</v>
      </c>
      <c r="B25022" t="s">
        <v>18935</v>
      </c>
      <c r="C25022" t="s">
        <v>817</v>
      </c>
      <c r="D25022" s="21" t="s">
        <v>34</v>
      </c>
      <c r="E25022" s="21" t="s">
        <v>254</v>
      </c>
      <c r="F25022">
        <v>12440051</v>
      </c>
      <c r="G25022" t="s">
        <v>2191</v>
      </c>
      <c r="H25022" s="21">
        <v>645.16999999999996</v>
      </c>
    </row>
    <row r="25023" spans="1:8" customFormat="1" x14ac:dyDescent="0.25">
      <c r="A25023" t="str">
        <f>"912875"</f>
        <v>912875</v>
      </c>
      <c r="B25023" t="s">
        <v>17789</v>
      </c>
      <c r="C25023" t="s">
        <v>3073</v>
      </c>
      <c r="D25023" s="21" t="s">
        <v>34</v>
      </c>
      <c r="E25023" s="21" t="s">
        <v>1089</v>
      </c>
      <c r="F25023">
        <v>8910434</v>
      </c>
      <c r="G25023" t="s">
        <v>681</v>
      </c>
      <c r="H25023" s="21">
        <v>645.16999999999996</v>
      </c>
    </row>
    <row r="25024" spans="1:8" customFormat="1" x14ac:dyDescent="0.25">
      <c r="A25024" t="str">
        <f>"6947343"</f>
        <v>6947343</v>
      </c>
      <c r="B25024" t="s">
        <v>2747</v>
      </c>
      <c r="C25024" t="s">
        <v>43</v>
      </c>
      <c r="D25024" s="21" t="s">
        <v>34</v>
      </c>
      <c r="E25024" s="21" t="s">
        <v>35</v>
      </c>
      <c r="F25024">
        <v>1690105</v>
      </c>
      <c r="G25024" t="s">
        <v>9580</v>
      </c>
      <c r="H25024" s="21">
        <v>645.04</v>
      </c>
    </row>
    <row r="25025" spans="1:8" customFormat="1" x14ac:dyDescent="0.25">
      <c r="A25025" t="str">
        <f>"168818"</f>
        <v>168818</v>
      </c>
      <c r="B25025" t="s">
        <v>17978</v>
      </c>
      <c r="C25025" t="s">
        <v>415</v>
      </c>
      <c r="D25025" s="21" t="s">
        <v>34</v>
      </c>
      <c r="E25025" s="21" t="s">
        <v>254</v>
      </c>
      <c r="F25025">
        <v>10160240</v>
      </c>
      <c r="G25025" t="s">
        <v>7095</v>
      </c>
      <c r="H25025" s="21">
        <v>644.91999999999996</v>
      </c>
    </row>
    <row r="25026" spans="1:8" customFormat="1" x14ac:dyDescent="0.25">
      <c r="A25026" t="str">
        <f>"5946687"</f>
        <v>5946687</v>
      </c>
      <c r="B25026" t="s">
        <v>18704</v>
      </c>
      <c r="C25026" t="s">
        <v>812</v>
      </c>
      <c r="D25026" s="21" t="s">
        <v>34</v>
      </c>
      <c r="E25026" s="21" t="s">
        <v>254</v>
      </c>
      <c r="F25026">
        <v>7590051</v>
      </c>
      <c r="G25026" t="s">
        <v>3831</v>
      </c>
      <c r="H25026" s="21">
        <v>644.79</v>
      </c>
    </row>
    <row r="25027" spans="1:8" customFormat="1" x14ac:dyDescent="0.25">
      <c r="A25027" t="str">
        <f>"6946471"</f>
        <v>6946471</v>
      </c>
      <c r="B25027" t="s">
        <v>19908</v>
      </c>
      <c r="C25027" t="s">
        <v>33</v>
      </c>
      <c r="D25027" s="21" t="s">
        <v>34</v>
      </c>
      <c r="E25027" s="21" t="s">
        <v>71</v>
      </c>
      <c r="F25027">
        <v>1690194</v>
      </c>
      <c r="G25027" t="s">
        <v>5285</v>
      </c>
      <c r="H25027" s="21">
        <v>644.79</v>
      </c>
    </row>
    <row r="25028" spans="1:8" customFormat="1" x14ac:dyDescent="0.25">
      <c r="A25028" t="str">
        <f>"926976"</f>
        <v>926976</v>
      </c>
      <c r="B25028" t="s">
        <v>18020</v>
      </c>
      <c r="C25028" t="s">
        <v>253</v>
      </c>
      <c r="D25028" s="21" t="s">
        <v>34</v>
      </c>
      <c r="E25028" s="21" t="s">
        <v>1089</v>
      </c>
      <c r="F25028">
        <v>8920151</v>
      </c>
      <c r="G25028" t="s">
        <v>1434</v>
      </c>
      <c r="H25028" s="21">
        <v>644.79</v>
      </c>
    </row>
    <row r="25029" spans="1:8" customFormat="1" x14ac:dyDescent="0.25">
      <c r="A25029" t="str">
        <f>"4211420"</f>
        <v>4211420</v>
      </c>
      <c r="B25029" t="s">
        <v>746</v>
      </c>
      <c r="C25029" t="s">
        <v>87</v>
      </c>
      <c r="D25029" s="21" t="s">
        <v>34</v>
      </c>
      <c r="E25029" s="21" t="s">
        <v>71</v>
      </c>
      <c r="F25029">
        <v>1420124</v>
      </c>
      <c r="G25029" t="s">
        <v>3195</v>
      </c>
      <c r="H25029" s="21">
        <v>644.79</v>
      </c>
    </row>
    <row r="25030" spans="1:8" customFormat="1" x14ac:dyDescent="0.25">
      <c r="A25030" t="str">
        <f>"762183"</f>
        <v>762183</v>
      </c>
      <c r="B25030" t="s">
        <v>3611</v>
      </c>
      <c r="C25030" t="s">
        <v>40</v>
      </c>
      <c r="D25030" s="21" t="s">
        <v>34</v>
      </c>
      <c r="E25030" s="21" t="s">
        <v>254</v>
      </c>
      <c r="F25030">
        <v>9760168</v>
      </c>
      <c r="G25030" t="s">
        <v>179</v>
      </c>
      <c r="H25030" s="21">
        <v>644.66999999999996</v>
      </c>
    </row>
    <row r="25031" spans="1:8" customFormat="1" x14ac:dyDescent="0.25">
      <c r="A25031" t="str">
        <f>"765560"</f>
        <v>765560</v>
      </c>
      <c r="B25031" t="s">
        <v>17721</v>
      </c>
      <c r="C25031" t="s">
        <v>209</v>
      </c>
      <c r="D25031" s="21" t="s">
        <v>34</v>
      </c>
      <c r="E25031" s="21" t="s">
        <v>71</v>
      </c>
      <c r="F25031">
        <v>9760015</v>
      </c>
      <c r="G25031" t="s">
        <v>5277</v>
      </c>
      <c r="H25031" s="21">
        <v>644.66999999999996</v>
      </c>
    </row>
    <row r="25032" spans="1:8" customFormat="1" x14ac:dyDescent="0.25">
      <c r="A25032" t="str">
        <f>"6221344"</f>
        <v>6221344</v>
      </c>
      <c r="B25032" t="s">
        <v>18398</v>
      </c>
      <c r="C25032" t="s">
        <v>169</v>
      </c>
      <c r="D25032" s="21" t="s">
        <v>34</v>
      </c>
      <c r="E25032" s="21" t="s">
        <v>35</v>
      </c>
      <c r="F25032">
        <v>7620079</v>
      </c>
      <c r="G25032" t="s">
        <v>9718</v>
      </c>
      <c r="H25032" s="21">
        <v>644.66999999999996</v>
      </c>
    </row>
    <row r="25033" spans="1:8" customFormat="1" x14ac:dyDescent="0.25">
      <c r="A25033" t="str">
        <f>"3817348"</f>
        <v>3817348</v>
      </c>
      <c r="B25033" t="s">
        <v>17882</v>
      </c>
      <c r="C25033" t="s">
        <v>40</v>
      </c>
      <c r="D25033" s="21" t="s">
        <v>34</v>
      </c>
      <c r="E25033" s="21" t="s">
        <v>254</v>
      </c>
      <c r="F25033">
        <v>1380130</v>
      </c>
      <c r="G25033" t="s">
        <v>6667</v>
      </c>
      <c r="H25033" s="21">
        <v>644.66999999999996</v>
      </c>
    </row>
    <row r="25034" spans="1:8" customFormat="1" x14ac:dyDescent="0.25">
      <c r="A25034" t="str">
        <f>"8310578"</f>
        <v>8310578</v>
      </c>
      <c r="B25034" t="s">
        <v>19669</v>
      </c>
      <c r="C25034" t="s">
        <v>285</v>
      </c>
      <c r="D25034" s="21" t="s">
        <v>34</v>
      </c>
      <c r="E25034" s="21" t="s">
        <v>254</v>
      </c>
      <c r="F25034">
        <v>13830013</v>
      </c>
      <c r="G25034" t="s">
        <v>3374</v>
      </c>
      <c r="H25034" s="21">
        <v>644.66999999999996</v>
      </c>
    </row>
    <row r="25035" spans="1:8" customFormat="1" x14ac:dyDescent="0.25">
      <c r="A25035" t="str">
        <f>"781365"</f>
        <v>781365</v>
      </c>
      <c r="B25035" t="s">
        <v>18582</v>
      </c>
      <c r="C25035" t="s">
        <v>388</v>
      </c>
      <c r="D25035" s="21" t="s">
        <v>34</v>
      </c>
      <c r="E25035" s="21" t="s">
        <v>254</v>
      </c>
      <c r="F25035">
        <v>8780108</v>
      </c>
      <c r="G25035" t="s">
        <v>4329</v>
      </c>
      <c r="H25035" s="21">
        <v>644.66999999999996</v>
      </c>
    </row>
    <row r="25036" spans="1:8" customFormat="1" x14ac:dyDescent="0.25">
      <c r="A25036" t="str">
        <f>"4437967"</f>
        <v>4437967</v>
      </c>
      <c r="B25036" t="s">
        <v>7963</v>
      </c>
      <c r="C25036" t="s">
        <v>528</v>
      </c>
      <c r="D25036" s="21" t="s">
        <v>34</v>
      </c>
      <c r="E25036" s="21" t="s">
        <v>71</v>
      </c>
      <c r="F25036">
        <v>12440092</v>
      </c>
      <c r="G25036" t="s">
        <v>8475</v>
      </c>
      <c r="H25036" s="21">
        <v>644.66999999999996</v>
      </c>
    </row>
    <row r="25037" spans="1:8" customFormat="1" x14ac:dyDescent="0.25">
      <c r="A25037" t="str">
        <f>"692791"</f>
        <v>692791</v>
      </c>
      <c r="B25037" t="s">
        <v>19634</v>
      </c>
      <c r="C25037" t="s">
        <v>171</v>
      </c>
      <c r="D25037" s="21" t="s">
        <v>34</v>
      </c>
      <c r="E25037" s="21" t="s">
        <v>35</v>
      </c>
      <c r="F25037">
        <v>1690169</v>
      </c>
      <c r="G25037" t="s">
        <v>10963</v>
      </c>
      <c r="H25037" s="21">
        <v>644.66999999999996</v>
      </c>
    </row>
    <row r="25038" spans="1:8" customFormat="1" x14ac:dyDescent="0.25">
      <c r="A25038" t="str">
        <f>"9D2439"</f>
        <v>9D2439</v>
      </c>
      <c r="B25038" t="s">
        <v>10024</v>
      </c>
      <c r="C25038" t="s">
        <v>459</v>
      </c>
      <c r="D25038" s="21" t="s">
        <v>34</v>
      </c>
      <c r="E25038" s="21" t="s">
        <v>71</v>
      </c>
      <c r="F25038" t="s">
        <v>2462</v>
      </c>
      <c r="G25038" t="s">
        <v>2463</v>
      </c>
      <c r="H25038" s="21">
        <v>644.66999999999996</v>
      </c>
    </row>
    <row r="25039" spans="1:8" customFormat="1" x14ac:dyDescent="0.25">
      <c r="A25039" t="str">
        <f>"4438107"</f>
        <v>4438107</v>
      </c>
      <c r="B25039" t="s">
        <v>19071</v>
      </c>
      <c r="C25039" t="s">
        <v>109</v>
      </c>
      <c r="D25039" s="21" t="s">
        <v>34</v>
      </c>
      <c r="E25039" s="21" t="s">
        <v>71</v>
      </c>
      <c r="F25039">
        <v>12440025</v>
      </c>
      <c r="G25039" t="s">
        <v>6675</v>
      </c>
      <c r="H25039" s="21">
        <v>644.66999999999996</v>
      </c>
    </row>
    <row r="25040" spans="1:8" customFormat="1" x14ac:dyDescent="0.25">
      <c r="A25040" t="str">
        <f>"5113503"</f>
        <v>5113503</v>
      </c>
      <c r="B25040" t="s">
        <v>19554</v>
      </c>
      <c r="C25040" t="s">
        <v>656</v>
      </c>
      <c r="D25040" s="21" t="s">
        <v>34</v>
      </c>
      <c r="E25040" s="21" t="s">
        <v>35</v>
      </c>
      <c r="F25040">
        <v>6510071</v>
      </c>
      <c r="G25040" t="s">
        <v>3031</v>
      </c>
      <c r="H25040" s="21">
        <v>644.66999999999996</v>
      </c>
    </row>
    <row r="25041" spans="1:8" customFormat="1" x14ac:dyDescent="0.25">
      <c r="A25041" t="str">
        <f>"7872480"</f>
        <v>7872480</v>
      </c>
      <c r="B25041" t="s">
        <v>21027</v>
      </c>
      <c r="C25041" t="s">
        <v>288</v>
      </c>
      <c r="D25041" s="21" t="s">
        <v>34</v>
      </c>
      <c r="E25041" s="21" t="s">
        <v>71</v>
      </c>
      <c r="F25041">
        <v>8781290</v>
      </c>
      <c r="G25041" t="s">
        <v>2927</v>
      </c>
      <c r="H25041" s="21">
        <v>644.66999999999996</v>
      </c>
    </row>
    <row r="25042" spans="1:8" customFormat="1" x14ac:dyDescent="0.25">
      <c r="A25042" t="str">
        <f>"6225404"</f>
        <v>6225404</v>
      </c>
      <c r="B25042" t="s">
        <v>6842</v>
      </c>
      <c r="C25042" t="s">
        <v>469</v>
      </c>
      <c r="D25042" s="21" t="s">
        <v>34</v>
      </c>
      <c r="E25042" s="21" t="s">
        <v>35</v>
      </c>
      <c r="F25042">
        <v>7620017</v>
      </c>
      <c r="G25042" t="s">
        <v>6559</v>
      </c>
      <c r="H25042" s="21">
        <v>644.66999999999996</v>
      </c>
    </row>
    <row r="25043" spans="1:8" customFormat="1" x14ac:dyDescent="0.25">
      <c r="A25043" t="str">
        <f>"2930038"</f>
        <v>2930038</v>
      </c>
      <c r="B25043" t="s">
        <v>19220</v>
      </c>
      <c r="C25043" t="s">
        <v>3456</v>
      </c>
      <c r="D25043" s="21" t="s">
        <v>34</v>
      </c>
      <c r="E25043" s="21" t="s">
        <v>35</v>
      </c>
      <c r="F25043">
        <v>3290009</v>
      </c>
      <c r="G25043" t="s">
        <v>4358</v>
      </c>
      <c r="H25043" s="21">
        <v>644.66999999999996</v>
      </c>
    </row>
    <row r="25044" spans="1:8" customFormat="1" x14ac:dyDescent="0.25">
      <c r="A25044" t="str">
        <f>"5014726"</f>
        <v>5014726</v>
      </c>
      <c r="B25044" t="s">
        <v>4419</v>
      </c>
      <c r="C25044" t="s">
        <v>2365</v>
      </c>
      <c r="D25044" s="21" t="s">
        <v>34</v>
      </c>
      <c r="E25044" s="21" t="s">
        <v>71</v>
      </c>
      <c r="F25044">
        <v>9500022</v>
      </c>
      <c r="G25044" t="s">
        <v>4324</v>
      </c>
      <c r="H25044" s="21">
        <v>644.66999999999996</v>
      </c>
    </row>
    <row r="25045" spans="1:8" customFormat="1" x14ac:dyDescent="0.25">
      <c r="A25045" t="str">
        <f>"254124"</f>
        <v>254124</v>
      </c>
      <c r="B25045" t="s">
        <v>19394</v>
      </c>
      <c r="C25045" t="s">
        <v>822</v>
      </c>
      <c r="D25045" s="21" t="s">
        <v>34</v>
      </c>
      <c r="E25045" s="21" t="s">
        <v>1089</v>
      </c>
      <c r="F25045">
        <v>2250154</v>
      </c>
      <c r="G25045" t="s">
        <v>1973</v>
      </c>
      <c r="H25045" s="21">
        <v>644.66999999999996</v>
      </c>
    </row>
    <row r="25046" spans="1:8" customFormat="1" x14ac:dyDescent="0.25">
      <c r="A25046" t="str">
        <f>"42944"</f>
        <v>42944</v>
      </c>
      <c r="B25046" t="s">
        <v>18145</v>
      </c>
      <c r="C25046" t="s">
        <v>267</v>
      </c>
      <c r="D25046" s="21" t="s">
        <v>34</v>
      </c>
      <c r="E25046" s="21" t="s">
        <v>254</v>
      </c>
      <c r="F25046">
        <v>1420162</v>
      </c>
      <c r="G25046" t="s">
        <v>11209</v>
      </c>
      <c r="H25046" s="21">
        <v>644.66999999999996</v>
      </c>
    </row>
    <row r="25047" spans="1:8" customFormat="1" x14ac:dyDescent="0.25">
      <c r="A25047" t="str">
        <f>"7823018"</f>
        <v>7823018</v>
      </c>
      <c r="B25047" t="s">
        <v>18822</v>
      </c>
      <c r="C25047" t="s">
        <v>62</v>
      </c>
      <c r="D25047" s="21" t="s">
        <v>34</v>
      </c>
      <c r="E25047" s="21" t="s">
        <v>35</v>
      </c>
      <c r="F25047">
        <v>8920126</v>
      </c>
      <c r="G25047" t="s">
        <v>1168</v>
      </c>
      <c r="H25047" s="21">
        <v>644.66999999999996</v>
      </c>
    </row>
    <row r="25048" spans="1:8" customFormat="1" x14ac:dyDescent="0.25">
      <c r="A25048" t="str">
        <f>"1712835"</f>
        <v>1712835</v>
      </c>
      <c r="B25048" t="s">
        <v>392</v>
      </c>
      <c r="C25048" t="s">
        <v>55</v>
      </c>
      <c r="D25048" s="21" t="s">
        <v>34</v>
      </c>
      <c r="E25048" s="21" t="s">
        <v>71</v>
      </c>
      <c r="F25048">
        <v>10170050</v>
      </c>
      <c r="G25048" t="s">
        <v>2514</v>
      </c>
      <c r="H25048" s="21">
        <v>644.66999999999996</v>
      </c>
    </row>
    <row r="25049" spans="1:8" customFormat="1" x14ac:dyDescent="0.25">
      <c r="A25049" t="str">
        <f>"455744"</f>
        <v>455744</v>
      </c>
      <c r="B25049" t="s">
        <v>4254</v>
      </c>
      <c r="C25049" t="s">
        <v>598</v>
      </c>
      <c r="D25049" s="21" t="s">
        <v>34</v>
      </c>
      <c r="E25049" s="21" t="s">
        <v>71</v>
      </c>
      <c r="F25049">
        <v>4450757</v>
      </c>
      <c r="G25049" t="s">
        <v>3829</v>
      </c>
      <c r="H25049" s="21">
        <v>644.66999999999996</v>
      </c>
    </row>
    <row r="25050" spans="1:8" customFormat="1" x14ac:dyDescent="0.25">
      <c r="A25050" t="str">
        <f>"451692"</f>
        <v>451692</v>
      </c>
      <c r="B25050" t="s">
        <v>7319</v>
      </c>
      <c r="C25050" t="s">
        <v>233</v>
      </c>
      <c r="D25050" s="21" t="s">
        <v>34</v>
      </c>
      <c r="E25050" s="21" t="s">
        <v>1089</v>
      </c>
      <c r="F25050">
        <v>4360340</v>
      </c>
      <c r="G25050" t="s">
        <v>14132</v>
      </c>
      <c r="H25050" s="21">
        <v>644.66999999999996</v>
      </c>
    </row>
    <row r="25051" spans="1:8" customFormat="1" x14ac:dyDescent="0.25">
      <c r="A25051" t="str">
        <f>"258290"</f>
        <v>258290</v>
      </c>
      <c r="B25051" t="s">
        <v>1143</v>
      </c>
      <c r="C25051" t="s">
        <v>263</v>
      </c>
      <c r="D25051" s="21" t="s">
        <v>34</v>
      </c>
      <c r="E25051" s="21" t="s">
        <v>35</v>
      </c>
      <c r="F25051">
        <v>2390010</v>
      </c>
      <c r="G25051" t="s">
        <v>27283</v>
      </c>
      <c r="H25051" s="21">
        <v>644.66999999999996</v>
      </c>
    </row>
    <row r="25052" spans="1:8" customFormat="1" x14ac:dyDescent="0.25">
      <c r="A25052" t="str">
        <f>"1710596"</f>
        <v>1710596</v>
      </c>
      <c r="B25052" t="s">
        <v>18744</v>
      </c>
      <c r="C25052" t="s">
        <v>87</v>
      </c>
      <c r="D25052" s="21" t="s">
        <v>34</v>
      </c>
      <c r="E25052" s="21" t="s">
        <v>71</v>
      </c>
      <c r="F25052">
        <v>10170178</v>
      </c>
      <c r="G25052" t="s">
        <v>17278</v>
      </c>
      <c r="H25052" s="21">
        <v>644.66999999999996</v>
      </c>
    </row>
    <row r="25053" spans="1:8" customFormat="1" x14ac:dyDescent="0.25">
      <c r="A25053" t="str">
        <f>"3334758"</f>
        <v>3334758</v>
      </c>
      <c r="B25053" t="s">
        <v>18900</v>
      </c>
      <c r="C25053" t="s">
        <v>269</v>
      </c>
      <c r="D25053" s="21" t="s">
        <v>34</v>
      </c>
      <c r="E25053" s="21" t="s">
        <v>35</v>
      </c>
      <c r="F25053">
        <v>10330037</v>
      </c>
      <c r="G25053" t="s">
        <v>5960</v>
      </c>
      <c r="H25053" s="21">
        <v>644.66999999999996</v>
      </c>
    </row>
    <row r="25054" spans="1:8" customFormat="1" x14ac:dyDescent="0.25">
      <c r="A25054" t="str">
        <f>"5019922"</f>
        <v>5019922</v>
      </c>
      <c r="B25054" t="s">
        <v>12318</v>
      </c>
      <c r="C25054" t="s">
        <v>33</v>
      </c>
      <c r="D25054" s="21" t="s">
        <v>34</v>
      </c>
      <c r="E25054" s="21" t="s">
        <v>35</v>
      </c>
      <c r="F25054">
        <v>9500112</v>
      </c>
      <c r="G25054" t="s">
        <v>1668</v>
      </c>
      <c r="H25054" s="21">
        <v>644.66999999999996</v>
      </c>
    </row>
    <row r="25055" spans="1:8" customFormat="1" x14ac:dyDescent="0.25">
      <c r="A25055" t="str">
        <f>"5920728"</f>
        <v>5920728</v>
      </c>
      <c r="B25055" t="s">
        <v>18343</v>
      </c>
      <c r="C25055" t="s">
        <v>547</v>
      </c>
      <c r="D25055" s="21" t="s">
        <v>34</v>
      </c>
      <c r="E25055" s="21" t="s">
        <v>71</v>
      </c>
      <c r="F25055">
        <v>7590293</v>
      </c>
      <c r="G25055" t="s">
        <v>2431</v>
      </c>
      <c r="H25055" s="21">
        <v>644.66999999999996</v>
      </c>
    </row>
    <row r="25056" spans="1:8" customFormat="1" x14ac:dyDescent="0.25">
      <c r="A25056" t="str">
        <f>"5810029"</f>
        <v>5810029</v>
      </c>
      <c r="B25056" t="s">
        <v>18909</v>
      </c>
      <c r="C25056" t="s">
        <v>328</v>
      </c>
      <c r="D25056" s="21" t="s">
        <v>34</v>
      </c>
      <c r="E25056" s="21" t="s">
        <v>71</v>
      </c>
      <c r="F25056">
        <v>2580007</v>
      </c>
      <c r="G25056" t="s">
        <v>1503</v>
      </c>
      <c r="H25056" s="21">
        <v>644.54</v>
      </c>
    </row>
    <row r="25057" spans="1:8" customFormat="1" x14ac:dyDescent="0.25">
      <c r="A25057" t="str">
        <f>"7220271"</f>
        <v>7220271</v>
      </c>
      <c r="B25057" t="s">
        <v>201</v>
      </c>
      <c r="C25057" t="s">
        <v>147</v>
      </c>
      <c r="D25057" s="21" t="s">
        <v>34</v>
      </c>
      <c r="E25057" s="21" t="s">
        <v>35</v>
      </c>
      <c r="F25057">
        <v>12720006</v>
      </c>
      <c r="G25057" t="s">
        <v>4022</v>
      </c>
      <c r="H25057" s="21">
        <v>644.54</v>
      </c>
    </row>
    <row r="25058" spans="1:8" customFormat="1" x14ac:dyDescent="0.25">
      <c r="A25058" t="str">
        <f>"3119773"</f>
        <v>3119773</v>
      </c>
      <c r="B25058" t="s">
        <v>15931</v>
      </c>
      <c r="C25058" t="s">
        <v>486</v>
      </c>
      <c r="D25058" s="21" t="s">
        <v>34</v>
      </c>
      <c r="E25058" s="21" t="s">
        <v>71</v>
      </c>
      <c r="F25058">
        <v>11310126</v>
      </c>
      <c r="G25058" t="s">
        <v>3383</v>
      </c>
      <c r="H25058" s="21">
        <v>644.5</v>
      </c>
    </row>
    <row r="25059" spans="1:8" customFormat="1" x14ac:dyDescent="0.25">
      <c r="A25059" t="str">
        <f>"3344133"</f>
        <v>3344133</v>
      </c>
      <c r="B25059" t="s">
        <v>3182</v>
      </c>
      <c r="C25059" t="s">
        <v>119</v>
      </c>
      <c r="D25059" s="21" t="s">
        <v>34</v>
      </c>
      <c r="E25059" s="21" t="s">
        <v>71</v>
      </c>
      <c r="F25059">
        <v>10330099</v>
      </c>
      <c r="G25059" t="s">
        <v>10670</v>
      </c>
      <c r="H25059" s="21">
        <v>644.41999999999996</v>
      </c>
    </row>
    <row r="25060" spans="1:8" customFormat="1" x14ac:dyDescent="0.25">
      <c r="A25060" t="str">
        <f>"3328692"</f>
        <v>3328692</v>
      </c>
      <c r="B25060" t="s">
        <v>18351</v>
      </c>
      <c r="C25060" t="s">
        <v>621</v>
      </c>
      <c r="D25060" s="21" t="s">
        <v>34</v>
      </c>
      <c r="E25060" s="21" t="s">
        <v>35</v>
      </c>
      <c r="F25060">
        <v>10330073</v>
      </c>
      <c r="G25060" t="s">
        <v>18352</v>
      </c>
      <c r="H25060" s="21">
        <v>644.41999999999996</v>
      </c>
    </row>
    <row r="25061" spans="1:8" customFormat="1" x14ac:dyDescent="0.25">
      <c r="A25061" t="str">
        <f>"2929775"</f>
        <v>2929775</v>
      </c>
      <c r="B25061" t="s">
        <v>17947</v>
      </c>
      <c r="C25061" t="s">
        <v>664</v>
      </c>
      <c r="D25061" s="21" t="s">
        <v>34</v>
      </c>
      <c r="E25061" s="21" t="s">
        <v>71</v>
      </c>
      <c r="F25061">
        <v>3290232</v>
      </c>
      <c r="G25061" t="s">
        <v>9588</v>
      </c>
      <c r="H25061" s="21">
        <v>644.29</v>
      </c>
    </row>
    <row r="25062" spans="1:8" customFormat="1" x14ac:dyDescent="0.25">
      <c r="A25062" t="str">
        <f>"579177"</f>
        <v>579177</v>
      </c>
      <c r="B25062" t="s">
        <v>14792</v>
      </c>
      <c r="C25062" t="s">
        <v>1597</v>
      </c>
      <c r="D25062" s="21" t="s">
        <v>34</v>
      </c>
      <c r="E25062" s="21" t="s">
        <v>1089</v>
      </c>
      <c r="F25062">
        <v>6570093</v>
      </c>
      <c r="G25062" t="s">
        <v>6118</v>
      </c>
      <c r="H25062" s="21">
        <v>644.16999999999996</v>
      </c>
    </row>
    <row r="25063" spans="1:8" customFormat="1" x14ac:dyDescent="0.25">
      <c r="A25063" t="str">
        <f>"0261"</f>
        <v>0261</v>
      </c>
      <c r="B25063" t="s">
        <v>17378</v>
      </c>
      <c r="C25063" t="s">
        <v>547</v>
      </c>
      <c r="D25063" s="21" t="s">
        <v>34</v>
      </c>
      <c r="E25063" s="21" t="s">
        <v>1089</v>
      </c>
      <c r="F25063">
        <v>7020003</v>
      </c>
      <c r="G25063" t="s">
        <v>7268</v>
      </c>
      <c r="H25063" s="21">
        <v>644.16999999999996</v>
      </c>
    </row>
    <row r="25064" spans="1:8" customFormat="1" x14ac:dyDescent="0.25">
      <c r="A25064" t="str">
        <f>"038261"</f>
        <v>038261</v>
      </c>
      <c r="B25064" t="s">
        <v>11051</v>
      </c>
      <c r="C25064" t="s">
        <v>96</v>
      </c>
      <c r="D25064" s="21" t="s">
        <v>34</v>
      </c>
      <c r="E25064" s="21" t="s">
        <v>35</v>
      </c>
      <c r="F25064">
        <v>1030212</v>
      </c>
      <c r="G25064" t="s">
        <v>3479</v>
      </c>
      <c r="H25064" s="21">
        <v>644.16999999999996</v>
      </c>
    </row>
    <row r="25065" spans="1:8" customFormat="1" x14ac:dyDescent="0.25">
      <c r="A25065" t="str">
        <f>"3716919"</f>
        <v>3716919</v>
      </c>
      <c r="B25065" t="s">
        <v>12152</v>
      </c>
      <c r="C25065" t="s">
        <v>328</v>
      </c>
      <c r="D25065" s="21" t="s">
        <v>34</v>
      </c>
      <c r="E25065" s="21" t="s">
        <v>35</v>
      </c>
      <c r="F25065">
        <v>4370690</v>
      </c>
      <c r="G25065" t="s">
        <v>8128</v>
      </c>
      <c r="H25065" s="21">
        <v>644.16999999999996</v>
      </c>
    </row>
    <row r="25066" spans="1:8" customFormat="1" x14ac:dyDescent="0.25">
      <c r="A25066" t="str">
        <f>"5319857"</f>
        <v>5319857</v>
      </c>
      <c r="B25066" t="s">
        <v>5972</v>
      </c>
      <c r="C25066" t="s">
        <v>1812</v>
      </c>
      <c r="D25066" s="21" t="s">
        <v>34</v>
      </c>
      <c r="E25066" s="21" t="s">
        <v>35</v>
      </c>
      <c r="F25066">
        <v>12530063</v>
      </c>
      <c r="G25066" t="s">
        <v>4313</v>
      </c>
      <c r="H25066" s="21">
        <v>644.16999999999996</v>
      </c>
    </row>
    <row r="25067" spans="1:8" customFormat="1" x14ac:dyDescent="0.25">
      <c r="A25067" t="str">
        <f>"17559"</f>
        <v>17559</v>
      </c>
      <c r="B25067" t="s">
        <v>17647</v>
      </c>
      <c r="C25067" t="s">
        <v>33</v>
      </c>
      <c r="D25067" s="21" t="s">
        <v>34</v>
      </c>
      <c r="E25067" s="21" t="s">
        <v>254</v>
      </c>
      <c r="F25067">
        <v>10170012</v>
      </c>
      <c r="G25067" t="s">
        <v>14768</v>
      </c>
      <c r="H25067" s="21">
        <v>644.16999999999996</v>
      </c>
    </row>
    <row r="25068" spans="1:8" customFormat="1" x14ac:dyDescent="0.25">
      <c r="A25068" t="str">
        <f>"9126585"</f>
        <v>9126585</v>
      </c>
      <c r="B25068" t="s">
        <v>20091</v>
      </c>
      <c r="C25068" t="s">
        <v>236</v>
      </c>
      <c r="D25068" s="21" t="s">
        <v>34</v>
      </c>
      <c r="E25068" s="21" t="s">
        <v>71</v>
      </c>
      <c r="F25068">
        <v>4450192</v>
      </c>
      <c r="G25068" t="s">
        <v>2411</v>
      </c>
      <c r="H25068" s="21">
        <v>644.16999999999996</v>
      </c>
    </row>
    <row r="25069" spans="1:8" customFormat="1" x14ac:dyDescent="0.25">
      <c r="A25069" t="str">
        <f>"608797"</f>
        <v>608797</v>
      </c>
      <c r="B25069" t="s">
        <v>2207</v>
      </c>
      <c r="C25069" t="s">
        <v>87</v>
      </c>
      <c r="D25069" s="21" t="s">
        <v>34</v>
      </c>
      <c r="E25069" s="21" t="s">
        <v>254</v>
      </c>
      <c r="F25069">
        <v>7600146</v>
      </c>
      <c r="G25069" t="s">
        <v>8647</v>
      </c>
      <c r="H25069" s="21">
        <v>644.16999999999996</v>
      </c>
    </row>
    <row r="25070" spans="1:8" customFormat="1" x14ac:dyDescent="0.25">
      <c r="A25070" t="str">
        <f>"7725459"</f>
        <v>7725459</v>
      </c>
      <c r="B25070" t="s">
        <v>21429</v>
      </c>
      <c r="C25070" t="s">
        <v>21430</v>
      </c>
      <c r="D25070" s="21" t="s">
        <v>34</v>
      </c>
      <c r="E25070" s="21" t="s">
        <v>71</v>
      </c>
      <c r="F25070">
        <v>8771398</v>
      </c>
      <c r="G25070" t="s">
        <v>2759</v>
      </c>
      <c r="H25070" s="21">
        <v>644.16999999999996</v>
      </c>
    </row>
    <row r="25071" spans="1:8" customFormat="1" x14ac:dyDescent="0.25">
      <c r="A25071" t="str">
        <f>"456366"</f>
        <v>456366</v>
      </c>
      <c r="B25071" t="s">
        <v>1885</v>
      </c>
      <c r="C25071" t="s">
        <v>598</v>
      </c>
      <c r="D25071" s="21" t="s">
        <v>34</v>
      </c>
      <c r="E25071" s="21" t="s">
        <v>254</v>
      </c>
      <c r="F25071">
        <v>4450573</v>
      </c>
      <c r="G25071" t="s">
        <v>4106</v>
      </c>
      <c r="H25071" s="21">
        <v>644.16999999999996</v>
      </c>
    </row>
    <row r="25072" spans="1:8" customFormat="1" x14ac:dyDescent="0.25">
      <c r="A25072" t="str">
        <f>"124994"</f>
        <v>124994</v>
      </c>
      <c r="B25072" t="s">
        <v>20495</v>
      </c>
      <c r="C25072" t="s">
        <v>415</v>
      </c>
      <c r="D25072" s="21" t="s">
        <v>34</v>
      </c>
      <c r="E25072" s="21" t="s">
        <v>71</v>
      </c>
      <c r="F25072">
        <v>11120017</v>
      </c>
      <c r="G25072" t="s">
        <v>6560</v>
      </c>
      <c r="H25072" s="21">
        <v>644.16999999999996</v>
      </c>
    </row>
    <row r="25073" spans="1:8" customFormat="1" x14ac:dyDescent="0.25">
      <c r="A25073" t="str">
        <f>"445452"</f>
        <v>445452</v>
      </c>
      <c r="B25073" t="s">
        <v>7122</v>
      </c>
      <c r="C25073" t="s">
        <v>3648</v>
      </c>
      <c r="D25073" s="21" t="s">
        <v>34</v>
      </c>
      <c r="E25073" s="21" t="s">
        <v>254</v>
      </c>
      <c r="F25073">
        <v>12440116</v>
      </c>
      <c r="G25073" t="s">
        <v>26673</v>
      </c>
      <c r="H25073" s="21">
        <v>644.16999999999996</v>
      </c>
    </row>
    <row r="25074" spans="1:8" customFormat="1" x14ac:dyDescent="0.25">
      <c r="A25074" t="str">
        <f>"78115"</f>
        <v>78115</v>
      </c>
      <c r="B25074" t="s">
        <v>4649</v>
      </c>
      <c r="C25074" t="s">
        <v>187</v>
      </c>
      <c r="D25074" s="21" t="s">
        <v>34</v>
      </c>
      <c r="E25074" s="21" t="s">
        <v>35</v>
      </c>
      <c r="F25074">
        <v>8780023</v>
      </c>
      <c r="G25074" t="s">
        <v>1496</v>
      </c>
      <c r="H25074" s="21">
        <v>644.16999999999996</v>
      </c>
    </row>
    <row r="25075" spans="1:8" customFormat="1" x14ac:dyDescent="0.25">
      <c r="A25075" t="str">
        <f>"5610296"</f>
        <v>5610296</v>
      </c>
      <c r="B25075" t="s">
        <v>19377</v>
      </c>
      <c r="C25075" t="s">
        <v>40</v>
      </c>
      <c r="D25075" s="21" t="s">
        <v>34</v>
      </c>
      <c r="E25075" s="21" t="s">
        <v>71</v>
      </c>
      <c r="F25075">
        <v>3560051</v>
      </c>
      <c r="G25075" t="s">
        <v>14709</v>
      </c>
      <c r="H25075" s="21">
        <v>644.16999999999996</v>
      </c>
    </row>
    <row r="25076" spans="1:8" customFormat="1" x14ac:dyDescent="0.25">
      <c r="A25076" t="str">
        <f>"7514700"</f>
        <v>7514700</v>
      </c>
      <c r="B25076" t="s">
        <v>22737</v>
      </c>
      <c r="C25076" t="s">
        <v>27831</v>
      </c>
      <c r="D25076" s="21" t="s">
        <v>34</v>
      </c>
      <c r="E25076" s="21" t="s">
        <v>71</v>
      </c>
      <c r="F25076">
        <v>8751423</v>
      </c>
      <c r="G25076" t="s">
        <v>4556</v>
      </c>
      <c r="H25076" s="21">
        <v>644.16999999999996</v>
      </c>
    </row>
    <row r="25077" spans="1:8" customFormat="1" x14ac:dyDescent="0.25">
      <c r="A25077" t="str">
        <f>"4431880"</f>
        <v>4431880</v>
      </c>
      <c r="B25077" t="s">
        <v>17697</v>
      </c>
      <c r="C25077" t="s">
        <v>43</v>
      </c>
      <c r="D25077" s="21" t="s">
        <v>34</v>
      </c>
      <c r="E25077" s="21" t="s">
        <v>35</v>
      </c>
      <c r="F25077" t="s">
        <v>3911</v>
      </c>
      <c r="G25077" t="s">
        <v>3912</v>
      </c>
      <c r="H25077" s="21">
        <v>644.16999999999996</v>
      </c>
    </row>
    <row r="25078" spans="1:8" customFormat="1" x14ac:dyDescent="0.25">
      <c r="A25078" t="str">
        <f>"3519640"</f>
        <v>3519640</v>
      </c>
      <c r="B25078" t="s">
        <v>17863</v>
      </c>
      <c r="C25078" t="s">
        <v>87</v>
      </c>
      <c r="D25078" s="21" t="s">
        <v>34</v>
      </c>
      <c r="E25078" s="21" t="s">
        <v>35</v>
      </c>
      <c r="F25078">
        <v>3290237</v>
      </c>
      <c r="G25078" t="s">
        <v>8731</v>
      </c>
      <c r="H25078" s="21">
        <v>644.16999999999996</v>
      </c>
    </row>
    <row r="25079" spans="1:8" customFormat="1" x14ac:dyDescent="0.25">
      <c r="A25079" t="str">
        <f>"949500"</f>
        <v>949500</v>
      </c>
      <c r="B25079" t="s">
        <v>18449</v>
      </c>
      <c r="C25079" t="s">
        <v>547</v>
      </c>
      <c r="D25079" s="21" t="s">
        <v>34</v>
      </c>
      <c r="E25079" s="21" t="s">
        <v>254</v>
      </c>
      <c r="F25079">
        <v>8941352</v>
      </c>
      <c r="G25079" t="s">
        <v>3778</v>
      </c>
      <c r="H25079" s="21">
        <v>644.16999999999996</v>
      </c>
    </row>
    <row r="25080" spans="1:8" customFormat="1" x14ac:dyDescent="0.25">
      <c r="A25080" t="str">
        <f>"2930273"</f>
        <v>2930273</v>
      </c>
      <c r="B25080" t="s">
        <v>2690</v>
      </c>
      <c r="C25080" t="s">
        <v>664</v>
      </c>
      <c r="D25080" s="21" t="s">
        <v>34</v>
      </c>
      <c r="E25080" s="21" t="s">
        <v>254</v>
      </c>
      <c r="F25080">
        <v>3290227</v>
      </c>
      <c r="G25080" t="s">
        <v>16400</v>
      </c>
      <c r="H25080" s="21">
        <v>644.16999999999996</v>
      </c>
    </row>
    <row r="25081" spans="1:8" customFormat="1" x14ac:dyDescent="0.25">
      <c r="A25081" t="str">
        <f>"4451179"</f>
        <v>4451179</v>
      </c>
      <c r="B25081" t="s">
        <v>15174</v>
      </c>
      <c r="C25081" t="s">
        <v>2907</v>
      </c>
      <c r="D25081" s="21" t="s">
        <v>34</v>
      </c>
      <c r="E25081" s="21" t="s">
        <v>35</v>
      </c>
      <c r="F25081">
        <v>12440116</v>
      </c>
      <c r="G25081" t="s">
        <v>26673</v>
      </c>
      <c r="H25081" s="21">
        <v>643.91999999999996</v>
      </c>
    </row>
    <row r="25082" spans="1:8" customFormat="1" x14ac:dyDescent="0.25">
      <c r="A25082" t="str">
        <f>"7412228"</f>
        <v>7412228</v>
      </c>
      <c r="B25082" t="s">
        <v>5416</v>
      </c>
      <c r="C25082" t="s">
        <v>1597</v>
      </c>
      <c r="D25082" s="21" t="s">
        <v>34</v>
      </c>
      <c r="E25082" s="21" t="s">
        <v>71</v>
      </c>
      <c r="F25082">
        <v>8781468</v>
      </c>
      <c r="G25082" t="s">
        <v>27832</v>
      </c>
      <c r="H25082" s="21">
        <v>643.91999999999996</v>
      </c>
    </row>
    <row r="25083" spans="1:8" customFormat="1" x14ac:dyDescent="0.25">
      <c r="A25083" t="str">
        <f>"276082"</f>
        <v>276082</v>
      </c>
      <c r="B25083" t="s">
        <v>18787</v>
      </c>
      <c r="C25083" t="s">
        <v>1199</v>
      </c>
      <c r="D25083" s="21" t="s">
        <v>34</v>
      </c>
      <c r="E25083" s="21" t="s">
        <v>71</v>
      </c>
      <c r="F25083">
        <v>9270112</v>
      </c>
      <c r="G25083" t="s">
        <v>5124</v>
      </c>
      <c r="H25083" s="21">
        <v>643.91999999999996</v>
      </c>
    </row>
    <row r="25084" spans="1:8" customFormat="1" x14ac:dyDescent="0.25">
      <c r="A25084" t="str">
        <f>"4424865"</f>
        <v>4424865</v>
      </c>
      <c r="B25084" t="s">
        <v>19219</v>
      </c>
      <c r="C25084" t="s">
        <v>1605</v>
      </c>
      <c r="D25084" s="21" t="s">
        <v>34</v>
      </c>
      <c r="E25084" s="21" t="s">
        <v>254</v>
      </c>
      <c r="F25084">
        <v>12440041</v>
      </c>
      <c r="G25084" t="s">
        <v>8733</v>
      </c>
      <c r="H25084" s="21">
        <v>643.91999999999996</v>
      </c>
    </row>
    <row r="25085" spans="1:8" customFormat="1" x14ac:dyDescent="0.25">
      <c r="A25085" t="str">
        <f>"7613082"</f>
        <v>7613082</v>
      </c>
      <c r="B25085" t="s">
        <v>971</v>
      </c>
      <c r="C25085" t="s">
        <v>598</v>
      </c>
      <c r="D25085" s="21" t="s">
        <v>34</v>
      </c>
      <c r="E25085" s="21" t="s">
        <v>254</v>
      </c>
      <c r="F25085">
        <v>9270087</v>
      </c>
      <c r="G25085" t="s">
        <v>7014</v>
      </c>
      <c r="H25085" s="21">
        <v>643.66999999999996</v>
      </c>
    </row>
    <row r="25086" spans="1:8" customFormat="1" x14ac:dyDescent="0.25">
      <c r="A25086" t="str">
        <f>"3831508"</f>
        <v>3831508</v>
      </c>
      <c r="B25086" t="s">
        <v>20572</v>
      </c>
      <c r="C25086" t="s">
        <v>2730</v>
      </c>
      <c r="D25086" s="21" t="s">
        <v>34</v>
      </c>
      <c r="E25086" s="21" t="s">
        <v>254</v>
      </c>
      <c r="F25086">
        <v>1380293</v>
      </c>
      <c r="G25086" t="s">
        <v>2103</v>
      </c>
      <c r="H25086" s="21">
        <v>643.66999999999996</v>
      </c>
    </row>
    <row r="25087" spans="1:8" customFormat="1" x14ac:dyDescent="0.25">
      <c r="A25087" t="str">
        <f>"0618297"</f>
        <v>0618297</v>
      </c>
      <c r="B25087" t="s">
        <v>21034</v>
      </c>
      <c r="C25087" t="s">
        <v>249</v>
      </c>
      <c r="D25087" s="21" t="s">
        <v>34</v>
      </c>
      <c r="E25087" s="21" t="s">
        <v>35</v>
      </c>
      <c r="F25087">
        <v>13060029</v>
      </c>
      <c r="G25087" t="s">
        <v>1345</v>
      </c>
      <c r="H25087" s="21">
        <v>643.66999999999996</v>
      </c>
    </row>
    <row r="25088" spans="1:8" customFormat="1" x14ac:dyDescent="0.25">
      <c r="A25088" t="str">
        <f>"4217602"</f>
        <v>4217602</v>
      </c>
      <c r="B25088" t="s">
        <v>13744</v>
      </c>
      <c r="C25088" t="s">
        <v>453</v>
      </c>
      <c r="D25088" s="21" t="s">
        <v>34</v>
      </c>
      <c r="E25088" s="21" t="s">
        <v>254</v>
      </c>
      <c r="F25088">
        <v>1420048</v>
      </c>
      <c r="G25088" t="s">
        <v>745</v>
      </c>
      <c r="H25088" s="21">
        <v>643.66999999999996</v>
      </c>
    </row>
    <row r="25089" spans="1:8" customFormat="1" x14ac:dyDescent="0.25">
      <c r="A25089" t="str">
        <f>"861461"</f>
        <v>861461</v>
      </c>
      <c r="B25089" t="s">
        <v>3001</v>
      </c>
      <c r="C25089" t="s">
        <v>2305</v>
      </c>
      <c r="D25089" s="21" t="s">
        <v>34</v>
      </c>
      <c r="E25089" s="21" t="s">
        <v>254</v>
      </c>
      <c r="F25089">
        <v>10860031</v>
      </c>
      <c r="G25089" t="s">
        <v>5834</v>
      </c>
      <c r="H25089" s="21">
        <v>643.66999999999996</v>
      </c>
    </row>
    <row r="25090" spans="1:8" customFormat="1" x14ac:dyDescent="0.25">
      <c r="A25090" t="str">
        <f>"149836"</f>
        <v>149836</v>
      </c>
      <c r="B25090" t="s">
        <v>17854</v>
      </c>
      <c r="C25090" t="s">
        <v>1446</v>
      </c>
      <c r="D25090" s="21" t="s">
        <v>34</v>
      </c>
      <c r="E25090" s="21" t="s">
        <v>35</v>
      </c>
      <c r="F25090">
        <v>9140063</v>
      </c>
      <c r="G25090" t="s">
        <v>4764</v>
      </c>
      <c r="H25090" s="21">
        <v>643.66999999999996</v>
      </c>
    </row>
    <row r="25091" spans="1:8" customFormat="1" x14ac:dyDescent="0.25">
      <c r="A25091" t="str">
        <f>"557147"</f>
        <v>557147</v>
      </c>
      <c r="B25091" t="s">
        <v>8167</v>
      </c>
      <c r="C25091" t="s">
        <v>124</v>
      </c>
      <c r="D25091" s="21" t="s">
        <v>34</v>
      </c>
      <c r="E25091" s="21" t="s">
        <v>71</v>
      </c>
      <c r="F25091">
        <v>6550001</v>
      </c>
      <c r="G25091" t="s">
        <v>8790</v>
      </c>
      <c r="H25091" s="21">
        <v>643.66999999999996</v>
      </c>
    </row>
    <row r="25092" spans="1:8" customFormat="1" x14ac:dyDescent="0.25">
      <c r="A25092" t="str">
        <f>"3336500"</f>
        <v>3336500</v>
      </c>
      <c r="B25092" t="s">
        <v>18525</v>
      </c>
      <c r="C25092" t="s">
        <v>249</v>
      </c>
      <c r="D25092" s="21" t="s">
        <v>34</v>
      </c>
      <c r="E25092" s="21" t="s">
        <v>35</v>
      </c>
      <c r="F25092">
        <v>10330038</v>
      </c>
      <c r="G25092" t="s">
        <v>4280</v>
      </c>
      <c r="H25092" s="21">
        <v>643.66999999999996</v>
      </c>
    </row>
    <row r="25093" spans="1:8" customFormat="1" x14ac:dyDescent="0.25">
      <c r="A25093" t="str">
        <f>"417535"</f>
        <v>417535</v>
      </c>
      <c r="B25093" t="s">
        <v>2203</v>
      </c>
      <c r="C25093" t="s">
        <v>854</v>
      </c>
      <c r="D25093" s="21" t="s">
        <v>34</v>
      </c>
      <c r="E25093" s="21" t="s">
        <v>71</v>
      </c>
      <c r="F25093">
        <v>4410730</v>
      </c>
      <c r="G25093" t="s">
        <v>7260</v>
      </c>
      <c r="H25093" s="21">
        <v>643.66999999999996</v>
      </c>
    </row>
    <row r="25094" spans="1:8" customFormat="1" x14ac:dyDescent="0.25">
      <c r="A25094" t="str">
        <f>"5975249"</f>
        <v>5975249</v>
      </c>
      <c r="B25094" t="s">
        <v>3898</v>
      </c>
      <c r="C25094" t="s">
        <v>119</v>
      </c>
      <c r="D25094" s="21" t="s">
        <v>34</v>
      </c>
      <c r="E25094" s="21" t="s">
        <v>35</v>
      </c>
      <c r="F25094">
        <v>7590014</v>
      </c>
      <c r="G25094" t="s">
        <v>1326</v>
      </c>
      <c r="H25094" s="21">
        <v>643.66999999999996</v>
      </c>
    </row>
    <row r="25095" spans="1:8" customFormat="1" x14ac:dyDescent="0.25">
      <c r="A25095" t="str">
        <f>"4110612"</f>
        <v>4110612</v>
      </c>
      <c r="B25095" t="s">
        <v>19955</v>
      </c>
      <c r="C25095" t="s">
        <v>19956</v>
      </c>
      <c r="D25095" s="21" t="s">
        <v>34</v>
      </c>
      <c r="E25095" s="21" t="s">
        <v>35</v>
      </c>
      <c r="F25095">
        <v>4410615</v>
      </c>
      <c r="G25095" t="s">
        <v>4897</v>
      </c>
      <c r="H25095" s="21">
        <v>643.66999999999996</v>
      </c>
    </row>
    <row r="25096" spans="1:8" customFormat="1" x14ac:dyDescent="0.25">
      <c r="A25096" t="str">
        <f>"2915806"</f>
        <v>2915806</v>
      </c>
      <c r="B25096" t="s">
        <v>18972</v>
      </c>
      <c r="C25096" t="s">
        <v>817</v>
      </c>
      <c r="D25096" s="21" t="s">
        <v>34</v>
      </c>
      <c r="E25096" s="21" t="s">
        <v>71</v>
      </c>
      <c r="F25096">
        <v>7620027</v>
      </c>
      <c r="G25096" t="s">
        <v>980</v>
      </c>
      <c r="H25096" s="21">
        <v>643.66999999999996</v>
      </c>
    </row>
    <row r="25097" spans="1:8" customFormat="1" x14ac:dyDescent="0.25">
      <c r="A25097" t="str">
        <f>"5727882"</f>
        <v>5727882</v>
      </c>
      <c r="B25097" t="s">
        <v>2867</v>
      </c>
      <c r="C25097" t="s">
        <v>2907</v>
      </c>
      <c r="D25097" s="21" t="s">
        <v>34</v>
      </c>
      <c r="E25097" s="21" t="s">
        <v>71</v>
      </c>
      <c r="F25097">
        <v>6570024</v>
      </c>
      <c r="G25097" t="s">
        <v>464</v>
      </c>
      <c r="H25097" s="21">
        <v>643.66999999999996</v>
      </c>
    </row>
    <row r="25098" spans="1:8" customFormat="1" x14ac:dyDescent="0.25">
      <c r="A25098" t="str">
        <f>"356629"</f>
        <v>356629</v>
      </c>
      <c r="B25098" t="s">
        <v>8024</v>
      </c>
      <c r="C25098" t="s">
        <v>528</v>
      </c>
      <c r="D25098" s="21" t="s">
        <v>34</v>
      </c>
      <c r="E25098" s="21" t="s">
        <v>254</v>
      </c>
      <c r="F25098">
        <v>3350226</v>
      </c>
      <c r="G25098" t="s">
        <v>18219</v>
      </c>
      <c r="H25098" s="21">
        <v>643.66999999999996</v>
      </c>
    </row>
    <row r="25099" spans="1:8" customFormat="1" x14ac:dyDescent="0.25">
      <c r="A25099" t="str">
        <f>"3526971"</f>
        <v>3526971</v>
      </c>
      <c r="B25099" t="s">
        <v>5518</v>
      </c>
      <c r="C25099" t="s">
        <v>263</v>
      </c>
      <c r="D25099" s="21" t="s">
        <v>34</v>
      </c>
      <c r="E25099" s="21" t="s">
        <v>71</v>
      </c>
      <c r="F25099">
        <v>3350092</v>
      </c>
      <c r="G25099" t="s">
        <v>26881</v>
      </c>
      <c r="H25099" s="21">
        <v>643.66999999999996</v>
      </c>
    </row>
    <row r="25100" spans="1:8" customFormat="1" x14ac:dyDescent="0.25">
      <c r="A25100" t="str">
        <f>"2814447"</f>
        <v>2814447</v>
      </c>
      <c r="B25100" t="s">
        <v>14086</v>
      </c>
      <c r="C25100" t="s">
        <v>275</v>
      </c>
      <c r="D25100" s="21" t="s">
        <v>34</v>
      </c>
      <c r="E25100" s="21" t="s">
        <v>35</v>
      </c>
      <c r="F25100">
        <v>4280045</v>
      </c>
      <c r="G25100" t="s">
        <v>787</v>
      </c>
      <c r="H25100" s="21">
        <v>643.66999999999996</v>
      </c>
    </row>
    <row r="25101" spans="1:8" customFormat="1" x14ac:dyDescent="0.25">
      <c r="A25101" t="str">
        <f>"1420343"</f>
        <v>1420343</v>
      </c>
      <c r="B25101" t="s">
        <v>18392</v>
      </c>
      <c r="C25101" t="s">
        <v>1812</v>
      </c>
      <c r="D25101" s="21" t="s">
        <v>34</v>
      </c>
      <c r="E25101" s="21" t="s">
        <v>71</v>
      </c>
      <c r="F25101">
        <v>9140083</v>
      </c>
      <c r="G25101" t="s">
        <v>8440</v>
      </c>
      <c r="H25101" s="21">
        <v>643.66999999999996</v>
      </c>
    </row>
    <row r="25102" spans="1:8" customFormat="1" x14ac:dyDescent="0.25">
      <c r="A25102" t="str">
        <f>"4454612"</f>
        <v>4454612</v>
      </c>
      <c r="B25102" t="s">
        <v>20499</v>
      </c>
      <c r="C25102" t="s">
        <v>82</v>
      </c>
      <c r="D25102" s="21" t="s">
        <v>34</v>
      </c>
      <c r="E25102" s="21" t="s">
        <v>35</v>
      </c>
      <c r="F25102">
        <v>12440199</v>
      </c>
      <c r="G25102" t="s">
        <v>4653</v>
      </c>
      <c r="H25102" s="21">
        <v>643.41999999999996</v>
      </c>
    </row>
    <row r="25103" spans="1:8" customFormat="1" x14ac:dyDescent="0.25">
      <c r="A25103" t="str">
        <f>"071586"</f>
        <v>071586</v>
      </c>
      <c r="B25103" t="s">
        <v>19135</v>
      </c>
      <c r="C25103" t="s">
        <v>55</v>
      </c>
      <c r="D25103" s="21" t="s">
        <v>34</v>
      </c>
      <c r="E25103" s="21" t="s">
        <v>71</v>
      </c>
      <c r="F25103">
        <v>1260068</v>
      </c>
      <c r="G25103" t="s">
        <v>6531</v>
      </c>
      <c r="H25103" s="21">
        <v>643.41999999999996</v>
      </c>
    </row>
    <row r="25104" spans="1:8" customFormat="1" x14ac:dyDescent="0.25">
      <c r="A25104" t="str">
        <f>"1424541"</f>
        <v>1424541</v>
      </c>
      <c r="B25104" t="s">
        <v>6842</v>
      </c>
      <c r="C25104" t="s">
        <v>121</v>
      </c>
      <c r="D25104" s="21" t="s">
        <v>34</v>
      </c>
      <c r="E25104" s="21" t="s">
        <v>35</v>
      </c>
      <c r="F25104">
        <v>9140227</v>
      </c>
      <c r="G25104" t="s">
        <v>5130</v>
      </c>
      <c r="H25104" s="21">
        <v>643.41999999999996</v>
      </c>
    </row>
    <row r="25105" spans="1:8" customFormat="1" x14ac:dyDescent="0.25">
      <c r="A25105" t="str">
        <f>"814634"</f>
        <v>814634</v>
      </c>
      <c r="B25105" t="s">
        <v>21989</v>
      </c>
      <c r="C25105" t="s">
        <v>119</v>
      </c>
      <c r="D25105" s="21" t="s">
        <v>34</v>
      </c>
      <c r="E25105" s="21" t="s">
        <v>35</v>
      </c>
      <c r="F25105">
        <v>11810033</v>
      </c>
      <c r="G25105" t="s">
        <v>3852</v>
      </c>
      <c r="H25105" s="21">
        <v>643.29</v>
      </c>
    </row>
    <row r="25106" spans="1:8" customFormat="1" x14ac:dyDescent="0.25">
      <c r="A25106" t="str">
        <f>"615669"</f>
        <v>615669</v>
      </c>
      <c r="B25106" t="s">
        <v>12631</v>
      </c>
      <c r="C25106" t="s">
        <v>1025</v>
      </c>
      <c r="D25106" s="21" t="s">
        <v>34</v>
      </c>
      <c r="E25106" s="21" t="s">
        <v>71</v>
      </c>
      <c r="F25106">
        <v>9610056</v>
      </c>
      <c r="G25106" t="s">
        <v>11830</v>
      </c>
      <c r="H25106" s="21">
        <v>643.16999999999996</v>
      </c>
    </row>
    <row r="25107" spans="1:8" customFormat="1" x14ac:dyDescent="0.25">
      <c r="A25107" t="str">
        <f>"6923549"</f>
        <v>6923549</v>
      </c>
      <c r="B25107" t="s">
        <v>18907</v>
      </c>
      <c r="C25107" t="s">
        <v>415</v>
      </c>
      <c r="D25107" s="21" t="s">
        <v>34</v>
      </c>
      <c r="E25107" s="21" t="s">
        <v>1089</v>
      </c>
      <c r="F25107">
        <v>1690147</v>
      </c>
      <c r="G25107" t="s">
        <v>7245</v>
      </c>
      <c r="H25107" s="21">
        <v>643.16999999999996</v>
      </c>
    </row>
    <row r="25108" spans="1:8" customFormat="1" x14ac:dyDescent="0.25">
      <c r="A25108" t="str">
        <f>"5969583"</f>
        <v>5969583</v>
      </c>
      <c r="B25108" t="s">
        <v>1320</v>
      </c>
      <c r="C25108" t="s">
        <v>269</v>
      </c>
      <c r="D25108" s="21" t="s">
        <v>34</v>
      </c>
      <c r="E25108" s="21" t="s">
        <v>35</v>
      </c>
      <c r="F25108">
        <v>7590123</v>
      </c>
      <c r="G25108" t="s">
        <v>85</v>
      </c>
      <c r="H25108" s="21">
        <v>643.16999999999996</v>
      </c>
    </row>
    <row r="25109" spans="1:8" customFormat="1" x14ac:dyDescent="0.25">
      <c r="A25109" t="str">
        <f>"7640719"</f>
        <v>7640719</v>
      </c>
      <c r="B25109" t="s">
        <v>1624</v>
      </c>
      <c r="C25109" t="s">
        <v>147</v>
      </c>
      <c r="D25109" s="21" t="s">
        <v>34</v>
      </c>
      <c r="E25109" s="21" t="s">
        <v>35</v>
      </c>
      <c r="F25109">
        <v>9760333</v>
      </c>
      <c r="G25109" t="s">
        <v>27096</v>
      </c>
      <c r="H25109" s="21">
        <v>643.16999999999996</v>
      </c>
    </row>
    <row r="25110" spans="1:8" customFormat="1" x14ac:dyDescent="0.25">
      <c r="A25110" t="str">
        <f>"258570"</f>
        <v>258570</v>
      </c>
      <c r="B25110" t="s">
        <v>2576</v>
      </c>
      <c r="C25110" t="s">
        <v>598</v>
      </c>
      <c r="D25110" s="21" t="s">
        <v>34</v>
      </c>
      <c r="E25110" s="21" t="s">
        <v>254</v>
      </c>
      <c r="F25110">
        <v>2250031</v>
      </c>
      <c r="G25110" t="s">
        <v>3011</v>
      </c>
      <c r="H25110" s="21">
        <v>643.16999999999996</v>
      </c>
    </row>
    <row r="25111" spans="1:8" customFormat="1" x14ac:dyDescent="0.25">
      <c r="A25111" t="str">
        <f>"878446"</f>
        <v>878446</v>
      </c>
      <c r="B25111" t="s">
        <v>3155</v>
      </c>
      <c r="C25111" t="s">
        <v>598</v>
      </c>
      <c r="D25111" s="21" t="s">
        <v>34</v>
      </c>
      <c r="E25111" s="21" t="s">
        <v>254</v>
      </c>
      <c r="F25111">
        <v>10870081</v>
      </c>
      <c r="G25111" t="s">
        <v>6698</v>
      </c>
      <c r="H25111" s="21">
        <v>643.16999999999996</v>
      </c>
    </row>
    <row r="25112" spans="1:8" customFormat="1" x14ac:dyDescent="0.25">
      <c r="A25112" t="str">
        <f>"4910818"</f>
        <v>4910818</v>
      </c>
      <c r="B25112" t="s">
        <v>14617</v>
      </c>
      <c r="C25112" t="s">
        <v>1231</v>
      </c>
      <c r="D25112" s="21" t="s">
        <v>34</v>
      </c>
      <c r="E25112" s="21" t="s">
        <v>1089</v>
      </c>
      <c r="F25112">
        <v>12490058</v>
      </c>
      <c r="G25112" t="s">
        <v>6582</v>
      </c>
      <c r="H25112" s="21">
        <v>643.16999999999996</v>
      </c>
    </row>
    <row r="25113" spans="1:8" customFormat="1" x14ac:dyDescent="0.25">
      <c r="A25113" t="str">
        <f>"765670"</f>
        <v>765670</v>
      </c>
      <c r="B25113" t="s">
        <v>5415</v>
      </c>
      <c r="C25113" t="s">
        <v>114</v>
      </c>
      <c r="D25113" s="21" t="s">
        <v>34</v>
      </c>
      <c r="E25113" s="21" t="s">
        <v>35</v>
      </c>
      <c r="F25113">
        <v>9760425</v>
      </c>
      <c r="G25113" t="s">
        <v>5012</v>
      </c>
      <c r="H25113" s="21">
        <v>643.16999999999996</v>
      </c>
    </row>
    <row r="25114" spans="1:8" customFormat="1" x14ac:dyDescent="0.25">
      <c r="A25114" t="str">
        <f>"858353"</f>
        <v>858353</v>
      </c>
      <c r="B25114" t="s">
        <v>18521</v>
      </c>
      <c r="C25114" t="s">
        <v>559</v>
      </c>
      <c r="D25114" s="21" t="s">
        <v>34</v>
      </c>
      <c r="E25114" s="21" t="s">
        <v>254</v>
      </c>
      <c r="F25114">
        <v>12850051</v>
      </c>
      <c r="G25114" t="s">
        <v>5185</v>
      </c>
      <c r="H25114" s="21">
        <v>643.16999999999996</v>
      </c>
    </row>
    <row r="25115" spans="1:8" customFormat="1" x14ac:dyDescent="0.25">
      <c r="A25115" t="str">
        <f>"7918617"</f>
        <v>7918617</v>
      </c>
      <c r="B25115" t="s">
        <v>9875</v>
      </c>
      <c r="C25115" t="s">
        <v>209</v>
      </c>
      <c r="D25115" s="21" t="s">
        <v>34</v>
      </c>
      <c r="E25115" s="21" t="s">
        <v>254</v>
      </c>
      <c r="F25115">
        <v>10790071</v>
      </c>
      <c r="G25115" t="s">
        <v>5806</v>
      </c>
      <c r="H25115" s="21">
        <v>643.16999999999996</v>
      </c>
    </row>
    <row r="25116" spans="1:8" customFormat="1" x14ac:dyDescent="0.25">
      <c r="A25116" t="str">
        <f>"856570"</f>
        <v>856570</v>
      </c>
      <c r="B25116" t="s">
        <v>4282</v>
      </c>
      <c r="C25116" t="s">
        <v>267</v>
      </c>
      <c r="D25116" s="21" t="s">
        <v>34</v>
      </c>
      <c r="E25116" s="21" t="s">
        <v>1089</v>
      </c>
      <c r="F25116">
        <v>12851012</v>
      </c>
      <c r="G25116" t="s">
        <v>1963</v>
      </c>
      <c r="H25116" s="21">
        <v>643.16999999999996</v>
      </c>
    </row>
    <row r="25117" spans="1:8" customFormat="1" x14ac:dyDescent="0.25">
      <c r="A25117" t="str">
        <f>"5014189"</f>
        <v>5014189</v>
      </c>
      <c r="B25117" t="s">
        <v>12525</v>
      </c>
      <c r="C25117" t="s">
        <v>611</v>
      </c>
      <c r="D25117" s="21" t="s">
        <v>34</v>
      </c>
      <c r="E25117" s="21" t="s">
        <v>71</v>
      </c>
      <c r="F25117">
        <v>9500053</v>
      </c>
      <c r="G25117" t="s">
        <v>11847</v>
      </c>
      <c r="H25117" s="21">
        <v>643.16999999999996</v>
      </c>
    </row>
    <row r="25118" spans="1:8" customFormat="1" x14ac:dyDescent="0.25">
      <c r="A25118" t="str">
        <f>"6949789"</f>
        <v>6949789</v>
      </c>
      <c r="B25118" t="s">
        <v>27833</v>
      </c>
      <c r="C25118" t="s">
        <v>27834</v>
      </c>
      <c r="D25118" s="21" t="s">
        <v>34</v>
      </c>
      <c r="E25118" s="21" t="s">
        <v>35</v>
      </c>
      <c r="F25118">
        <v>1690225</v>
      </c>
      <c r="G25118" t="s">
        <v>27835</v>
      </c>
      <c r="H25118" s="21">
        <v>643.16999999999996</v>
      </c>
    </row>
    <row r="25119" spans="1:8" customFormat="1" x14ac:dyDescent="0.25">
      <c r="A25119" t="str">
        <f>"371162"</f>
        <v>371162</v>
      </c>
      <c r="B25119" t="s">
        <v>3794</v>
      </c>
      <c r="C25119" t="s">
        <v>263</v>
      </c>
      <c r="D25119" s="21" t="s">
        <v>34</v>
      </c>
      <c r="E25119" s="21" t="s">
        <v>254</v>
      </c>
      <c r="F25119">
        <v>4370349</v>
      </c>
      <c r="G25119" t="s">
        <v>2287</v>
      </c>
      <c r="H25119" s="21">
        <v>643.16999999999996</v>
      </c>
    </row>
    <row r="25120" spans="1:8" customFormat="1" x14ac:dyDescent="0.25">
      <c r="A25120" t="str">
        <f>"697112"</f>
        <v>697112</v>
      </c>
      <c r="B25120" t="s">
        <v>27836</v>
      </c>
      <c r="C25120" t="s">
        <v>33</v>
      </c>
      <c r="D25120" s="21" t="s">
        <v>34</v>
      </c>
      <c r="E25120" s="21" t="s">
        <v>71</v>
      </c>
      <c r="F25120">
        <v>1690031</v>
      </c>
      <c r="G25120" t="s">
        <v>2716</v>
      </c>
      <c r="H25120" s="21">
        <v>643.16999999999996</v>
      </c>
    </row>
    <row r="25121" spans="1:8" customFormat="1" x14ac:dyDescent="0.25">
      <c r="A25121" t="str">
        <f>"4931970"</f>
        <v>4931970</v>
      </c>
      <c r="B25121" t="s">
        <v>18215</v>
      </c>
      <c r="C25121" t="s">
        <v>121</v>
      </c>
      <c r="D25121" s="21" t="s">
        <v>34</v>
      </c>
      <c r="E25121" s="21" t="s">
        <v>35</v>
      </c>
      <c r="F25121">
        <v>12490039</v>
      </c>
      <c r="G25121" t="s">
        <v>3453</v>
      </c>
      <c r="H25121" s="21">
        <v>643.16999999999996</v>
      </c>
    </row>
    <row r="25122" spans="1:8" customFormat="1" x14ac:dyDescent="0.25">
      <c r="A25122" t="str">
        <f>"843543"</f>
        <v>843543</v>
      </c>
      <c r="B25122" t="s">
        <v>27837</v>
      </c>
      <c r="C25122" t="s">
        <v>60</v>
      </c>
      <c r="D25122" s="21" t="s">
        <v>34</v>
      </c>
      <c r="E25122" s="21" t="s">
        <v>35</v>
      </c>
      <c r="F25122">
        <v>13840062</v>
      </c>
      <c r="G25122" t="s">
        <v>17239</v>
      </c>
      <c r="H25122" s="21">
        <v>643.16999999999996</v>
      </c>
    </row>
    <row r="25123" spans="1:8" customFormat="1" x14ac:dyDescent="0.25">
      <c r="A25123" t="str">
        <f>"6112669"</f>
        <v>6112669</v>
      </c>
      <c r="B25123" t="s">
        <v>1658</v>
      </c>
      <c r="C25123" t="s">
        <v>171</v>
      </c>
      <c r="D25123" s="21" t="s">
        <v>34</v>
      </c>
      <c r="E25123" s="21" t="s">
        <v>35</v>
      </c>
      <c r="F25123">
        <v>9610017</v>
      </c>
      <c r="G25123" t="s">
        <v>12194</v>
      </c>
      <c r="H25123" s="21">
        <v>643.16999999999996</v>
      </c>
    </row>
    <row r="25124" spans="1:8" customFormat="1" x14ac:dyDescent="0.25">
      <c r="A25124" t="str">
        <f>"806130"</f>
        <v>806130</v>
      </c>
      <c r="B25124" t="s">
        <v>6240</v>
      </c>
      <c r="C25124" t="s">
        <v>169</v>
      </c>
      <c r="D25124" s="21" t="s">
        <v>34</v>
      </c>
      <c r="E25124" s="21" t="s">
        <v>71</v>
      </c>
      <c r="F25124">
        <v>7800108</v>
      </c>
      <c r="G25124" t="s">
        <v>13093</v>
      </c>
      <c r="H25124" s="21">
        <v>643.16999999999996</v>
      </c>
    </row>
    <row r="25125" spans="1:8" customFormat="1" x14ac:dyDescent="0.25">
      <c r="A25125" t="str">
        <f>"3714305"</f>
        <v>3714305</v>
      </c>
      <c r="B25125" t="s">
        <v>18568</v>
      </c>
      <c r="C25125" t="s">
        <v>484</v>
      </c>
      <c r="D25125" s="21" t="s">
        <v>34</v>
      </c>
      <c r="E25125" s="21" t="s">
        <v>71</v>
      </c>
      <c r="F25125">
        <v>10860015</v>
      </c>
      <c r="G25125" t="s">
        <v>3680</v>
      </c>
      <c r="H25125" s="21">
        <v>643.16999999999996</v>
      </c>
    </row>
    <row r="25126" spans="1:8" customFormat="1" x14ac:dyDescent="0.25">
      <c r="A25126" t="str">
        <f>"8523665"</f>
        <v>8523665</v>
      </c>
      <c r="B25126" t="s">
        <v>1954</v>
      </c>
      <c r="C25126" t="s">
        <v>1025</v>
      </c>
      <c r="D25126" s="21" t="s">
        <v>34</v>
      </c>
      <c r="E25126" s="21" t="s">
        <v>35</v>
      </c>
      <c r="F25126">
        <v>12850162</v>
      </c>
      <c r="G25126" t="s">
        <v>15095</v>
      </c>
      <c r="H25126" s="21">
        <v>643</v>
      </c>
    </row>
    <row r="25127" spans="1:8" customFormat="1" x14ac:dyDescent="0.25">
      <c r="A25127" t="str">
        <f>"9453462"</f>
        <v>9453462</v>
      </c>
      <c r="B25127" t="s">
        <v>18185</v>
      </c>
      <c r="C25127" t="s">
        <v>302</v>
      </c>
      <c r="D25127" s="21" t="s">
        <v>34</v>
      </c>
      <c r="E25127" s="21" t="s">
        <v>35</v>
      </c>
      <c r="F25127">
        <v>8940033</v>
      </c>
      <c r="G25127" t="s">
        <v>1376</v>
      </c>
      <c r="H25127" s="21">
        <v>642.91999999999996</v>
      </c>
    </row>
    <row r="25128" spans="1:8" customFormat="1" x14ac:dyDescent="0.25">
      <c r="A25128" t="str">
        <f>"8528098"</f>
        <v>8528098</v>
      </c>
      <c r="B25128" t="s">
        <v>2686</v>
      </c>
      <c r="C25128" t="s">
        <v>249</v>
      </c>
      <c r="D25128" s="21" t="s">
        <v>34</v>
      </c>
      <c r="E25128" s="21" t="s">
        <v>71</v>
      </c>
      <c r="F25128">
        <v>12850046</v>
      </c>
      <c r="G25128" t="s">
        <v>3136</v>
      </c>
      <c r="H25128" s="21">
        <v>642.91999999999996</v>
      </c>
    </row>
    <row r="25129" spans="1:8" customFormat="1" x14ac:dyDescent="0.25">
      <c r="A25129" t="str">
        <f>"3318860"</f>
        <v>3318860</v>
      </c>
      <c r="B25129" t="s">
        <v>18846</v>
      </c>
      <c r="C25129" t="s">
        <v>2479</v>
      </c>
      <c r="D25129" s="21" t="s">
        <v>34</v>
      </c>
      <c r="E25129" s="21" t="s">
        <v>1089</v>
      </c>
      <c r="F25129">
        <v>10330004</v>
      </c>
      <c r="G25129" t="s">
        <v>525</v>
      </c>
      <c r="H25129" s="21">
        <v>642.91999999999996</v>
      </c>
    </row>
    <row r="25130" spans="1:8" customFormat="1" x14ac:dyDescent="0.25">
      <c r="A25130" t="str">
        <f>"043246"</f>
        <v>043246</v>
      </c>
      <c r="B25130" t="s">
        <v>19346</v>
      </c>
      <c r="C25130" t="s">
        <v>926</v>
      </c>
      <c r="D25130" s="21" t="s">
        <v>34</v>
      </c>
      <c r="E25130" s="21" t="s">
        <v>71</v>
      </c>
      <c r="F25130">
        <v>13040023</v>
      </c>
      <c r="G25130" t="s">
        <v>2542</v>
      </c>
      <c r="H25130" s="21">
        <v>642.91999999999996</v>
      </c>
    </row>
    <row r="25131" spans="1:8" customFormat="1" x14ac:dyDescent="0.25">
      <c r="A25131" t="str">
        <f>"7710440"</f>
        <v>7710440</v>
      </c>
      <c r="B25131" t="s">
        <v>17069</v>
      </c>
      <c r="C25131" t="s">
        <v>576</v>
      </c>
      <c r="D25131" s="21" t="s">
        <v>34</v>
      </c>
      <c r="E25131" s="21" t="s">
        <v>35</v>
      </c>
      <c r="F25131">
        <v>12850078</v>
      </c>
      <c r="G25131" t="s">
        <v>5639</v>
      </c>
      <c r="H25131" s="21">
        <v>642.91999999999996</v>
      </c>
    </row>
    <row r="25132" spans="1:8" customFormat="1" x14ac:dyDescent="0.25">
      <c r="A25132" t="str">
        <f>"9453399"</f>
        <v>9453399</v>
      </c>
      <c r="B25132" t="s">
        <v>21246</v>
      </c>
      <c r="C25132" t="s">
        <v>14778</v>
      </c>
      <c r="D25132" s="21" t="s">
        <v>34</v>
      </c>
      <c r="E25132" s="21" t="s">
        <v>35</v>
      </c>
      <c r="F25132">
        <v>8940033</v>
      </c>
      <c r="G25132" t="s">
        <v>1376</v>
      </c>
      <c r="H25132" s="21">
        <v>642.79</v>
      </c>
    </row>
    <row r="25133" spans="1:8" customFormat="1" x14ac:dyDescent="0.25">
      <c r="A25133" t="str">
        <f>"2217791"</f>
        <v>2217791</v>
      </c>
      <c r="B25133" t="s">
        <v>16928</v>
      </c>
      <c r="C25133" t="s">
        <v>7923</v>
      </c>
      <c r="D25133" s="21" t="s">
        <v>34</v>
      </c>
      <c r="E25133" s="21" t="s">
        <v>35</v>
      </c>
      <c r="F25133">
        <v>3220132</v>
      </c>
      <c r="G25133" t="s">
        <v>27242</v>
      </c>
      <c r="H25133" s="21">
        <v>642.66999999999996</v>
      </c>
    </row>
    <row r="25134" spans="1:8" customFormat="1" x14ac:dyDescent="0.25">
      <c r="A25134" t="str">
        <f>"519132"</f>
        <v>519132</v>
      </c>
      <c r="B25134" t="s">
        <v>5431</v>
      </c>
      <c r="C25134" t="s">
        <v>285</v>
      </c>
      <c r="D25134" s="21" t="s">
        <v>34</v>
      </c>
      <c r="E25134" s="21" t="s">
        <v>35</v>
      </c>
      <c r="F25134">
        <v>6510112</v>
      </c>
      <c r="G25134" t="s">
        <v>588</v>
      </c>
      <c r="H25134" s="21">
        <v>642.66999999999996</v>
      </c>
    </row>
    <row r="25135" spans="1:8" customFormat="1" x14ac:dyDescent="0.25">
      <c r="A25135" t="str">
        <f>"2934112"</f>
        <v>2934112</v>
      </c>
      <c r="B25135" t="s">
        <v>19617</v>
      </c>
      <c r="C25135" t="s">
        <v>598</v>
      </c>
      <c r="D25135" s="21" t="s">
        <v>34</v>
      </c>
      <c r="E25135" s="21" t="s">
        <v>71</v>
      </c>
      <c r="F25135">
        <v>3290278</v>
      </c>
      <c r="G25135" t="s">
        <v>3649</v>
      </c>
      <c r="H25135" s="21">
        <v>642.66999999999996</v>
      </c>
    </row>
    <row r="25136" spans="1:8" customFormat="1" x14ac:dyDescent="0.25">
      <c r="A25136" t="str">
        <f>"0618795"</f>
        <v>0618795</v>
      </c>
      <c r="B25136" t="s">
        <v>19154</v>
      </c>
      <c r="C25136" t="s">
        <v>1887</v>
      </c>
      <c r="D25136" s="21" t="s">
        <v>34</v>
      </c>
      <c r="E25136" s="21" t="s">
        <v>254</v>
      </c>
      <c r="F25136">
        <v>13060005</v>
      </c>
      <c r="G25136" t="s">
        <v>3609</v>
      </c>
      <c r="H25136" s="21">
        <v>642.66999999999996</v>
      </c>
    </row>
    <row r="25137" spans="1:8" customFormat="1" x14ac:dyDescent="0.25">
      <c r="A25137" t="str">
        <f>"221858"</f>
        <v>221858</v>
      </c>
      <c r="B25137" t="s">
        <v>697</v>
      </c>
      <c r="C25137" t="s">
        <v>87</v>
      </c>
      <c r="D25137" s="21" t="s">
        <v>34</v>
      </c>
      <c r="E25137" s="21" t="s">
        <v>71</v>
      </c>
      <c r="F25137">
        <v>3220139</v>
      </c>
      <c r="G25137" t="s">
        <v>27114</v>
      </c>
      <c r="H25137" s="21">
        <v>642.66999999999996</v>
      </c>
    </row>
    <row r="25138" spans="1:8" customFormat="1" x14ac:dyDescent="0.25">
      <c r="A25138" t="str">
        <f>"171813"</f>
        <v>171813</v>
      </c>
      <c r="B25138" t="s">
        <v>18592</v>
      </c>
      <c r="C25138" t="s">
        <v>239</v>
      </c>
      <c r="D25138" s="21" t="s">
        <v>34</v>
      </c>
      <c r="E25138" s="21" t="s">
        <v>71</v>
      </c>
      <c r="F25138">
        <v>10170033</v>
      </c>
      <c r="G25138" t="s">
        <v>3756</v>
      </c>
      <c r="H25138" s="21">
        <v>642.66999999999996</v>
      </c>
    </row>
    <row r="25139" spans="1:8" customFormat="1" x14ac:dyDescent="0.25">
      <c r="A25139" t="str">
        <f>"615184"</f>
        <v>615184</v>
      </c>
      <c r="B25139" t="s">
        <v>503</v>
      </c>
      <c r="C25139" t="s">
        <v>601</v>
      </c>
      <c r="D25139" s="21" t="s">
        <v>34</v>
      </c>
      <c r="E25139" s="21" t="s">
        <v>35</v>
      </c>
      <c r="F25139">
        <v>9610002</v>
      </c>
      <c r="G25139" t="s">
        <v>75</v>
      </c>
      <c r="H25139" s="21">
        <v>642.66999999999996</v>
      </c>
    </row>
    <row r="25140" spans="1:8" customFormat="1" x14ac:dyDescent="0.25">
      <c r="A25140" t="str">
        <f>"193758"</f>
        <v>193758</v>
      </c>
      <c r="B25140" t="s">
        <v>8817</v>
      </c>
      <c r="C25140" t="s">
        <v>3905</v>
      </c>
      <c r="D25140" s="21" t="s">
        <v>34</v>
      </c>
      <c r="E25140" s="21" t="s">
        <v>1089</v>
      </c>
      <c r="F25140">
        <v>10190129</v>
      </c>
      <c r="G25140" t="s">
        <v>16206</v>
      </c>
      <c r="H25140" s="21">
        <v>642.66999999999996</v>
      </c>
    </row>
    <row r="25141" spans="1:8" customFormat="1" x14ac:dyDescent="0.25">
      <c r="A25141" t="str">
        <f>"6916862"</f>
        <v>6916862</v>
      </c>
      <c r="B25141" t="s">
        <v>7035</v>
      </c>
      <c r="C25141" t="s">
        <v>2520</v>
      </c>
      <c r="D25141" s="21" t="s">
        <v>34</v>
      </c>
      <c r="E25141" s="21" t="s">
        <v>71</v>
      </c>
      <c r="F25141">
        <v>1690076</v>
      </c>
      <c r="G25141" t="s">
        <v>4049</v>
      </c>
      <c r="H25141" s="21">
        <v>642.66999999999996</v>
      </c>
    </row>
    <row r="25142" spans="1:8" customFormat="1" x14ac:dyDescent="0.25">
      <c r="A25142" t="str">
        <f>"2918668"</f>
        <v>2918668</v>
      </c>
      <c r="B25142" t="s">
        <v>18284</v>
      </c>
      <c r="C25142" t="s">
        <v>249</v>
      </c>
      <c r="D25142" s="21" t="s">
        <v>34</v>
      </c>
      <c r="E25142" s="21" t="s">
        <v>71</v>
      </c>
      <c r="F25142">
        <v>3290214</v>
      </c>
      <c r="G25142" t="s">
        <v>10975</v>
      </c>
      <c r="H25142" s="21">
        <v>642.66999999999996</v>
      </c>
    </row>
    <row r="25143" spans="1:8" customFormat="1" x14ac:dyDescent="0.25">
      <c r="A25143" t="str">
        <f>"9413287"</f>
        <v>9413287</v>
      </c>
      <c r="B25143" t="s">
        <v>18532</v>
      </c>
      <c r="C25143" t="s">
        <v>3905</v>
      </c>
      <c r="D25143" s="21" t="s">
        <v>34</v>
      </c>
      <c r="E25143" s="21" t="s">
        <v>6185</v>
      </c>
      <c r="F25143">
        <v>8940524</v>
      </c>
      <c r="G25143" t="s">
        <v>6176</v>
      </c>
      <c r="H25143" s="21">
        <v>642.66999999999996</v>
      </c>
    </row>
    <row r="25144" spans="1:8" customFormat="1" x14ac:dyDescent="0.25">
      <c r="A25144" t="str">
        <f>"6015350"</f>
        <v>6015350</v>
      </c>
      <c r="B25144" t="s">
        <v>19010</v>
      </c>
      <c r="C25144" t="s">
        <v>62</v>
      </c>
      <c r="D25144" s="21" t="s">
        <v>34</v>
      </c>
      <c r="E25144" s="21" t="s">
        <v>71</v>
      </c>
      <c r="F25144">
        <v>7600170</v>
      </c>
      <c r="G25144" t="s">
        <v>16044</v>
      </c>
      <c r="H25144" s="21">
        <v>642.66999999999996</v>
      </c>
    </row>
    <row r="25145" spans="1:8" customFormat="1" x14ac:dyDescent="0.25">
      <c r="A25145" t="str">
        <f>"841958"</f>
        <v>841958</v>
      </c>
      <c r="B25145" t="s">
        <v>17686</v>
      </c>
      <c r="C25145" t="s">
        <v>124</v>
      </c>
      <c r="D25145" s="21" t="s">
        <v>34</v>
      </c>
      <c r="E25145" s="21" t="s">
        <v>1089</v>
      </c>
      <c r="F25145">
        <v>13840005</v>
      </c>
      <c r="G25145" t="s">
        <v>2145</v>
      </c>
      <c r="H25145" s="21">
        <v>642.66999999999996</v>
      </c>
    </row>
    <row r="25146" spans="1:8" customFormat="1" x14ac:dyDescent="0.25">
      <c r="A25146" t="str">
        <f>"5414670"</f>
        <v>5414670</v>
      </c>
      <c r="B25146" t="s">
        <v>21596</v>
      </c>
      <c r="C25146" t="s">
        <v>209</v>
      </c>
      <c r="D25146" s="21" t="s">
        <v>34</v>
      </c>
      <c r="E25146" s="21" t="s">
        <v>35</v>
      </c>
      <c r="F25146">
        <v>11310064</v>
      </c>
      <c r="G25146" t="s">
        <v>931</v>
      </c>
      <c r="H25146" s="21">
        <v>642.66999999999996</v>
      </c>
    </row>
    <row r="25147" spans="1:8" customFormat="1" x14ac:dyDescent="0.25">
      <c r="A25147" t="str">
        <f>"652879"</f>
        <v>652879</v>
      </c>
      <c r="B25147" t="s">
        <v>19253</v>
      </c>
      <c r="C25147" t="s">
        <v>121</v>
      </c>
      <c r="D25147" s="21" t="s">
        <v>34</v>
      </c>
      <c r="E25147" s="21" t="s">
        <v>35</v>
      </c>
      <c r="F25147">
        <v>11650016</v>
      </c>
      <c r="G25147" t="s">
        <v>9559</v>
      </c>
      <c r="H25147" s="21">
        <v>642.66999999999996</v>
      </c>
    </row>
    <row r="25148" spans="1:8" customFormat="1" x14ac:dyDescent="0.25">
      <c r="A25148" t="str">
        <f>"784261"</f>
        <v>784261</v>
      </c>
      <c r="B25148" t="s">
        <v>10609</v>
      </c>
      <c r="C25148" t="s">
        <v>209</v>
      </c>
      <c r="D25148" s="21" t="s">
        <v>34</v>
      </c>
      <c r="E25148" s="21" t="s">
        <v>71</v>
      </c>
      <c r="F25148">
        <v>8781162</v>
      </c>
      <c r="G25148" t="s">
        <v>7991</v>
      </c>
      <c r="H25148" s="21">
        <v>642.66999999999996</v>
      </c>
    </row>
    <row r="25149" spans="1:8" customFormat="1" x14ac:dyDescent="0.25">
      <c r="A25149" t="str">
        <f>"4211840"</f>
        <v>4211840</v>
      </c>
      <c r="B25149" t="s">
        <v>503</v>
      </c>
      <c r="C25149" t="s">
        <v>1597</v>
      </c>
      <c r="D25149" s="21" t="s">
        <v>34</v>
      </c>
      <c r="E25149" s="21" t="s">
        <v>254</v>
      </c>
      <c r="F25149">
        <v>1420155</v>
      </c>
      <c r="G25149" t="s">
        <v>12788</v>
      </c>
      <c r="H25149" s="21">
        <v>642.66999999999996</v>
      </c>
    </row>
    <row r="25150" spans="1:8" customFormat="1" x14ac:dyDescent="0.25">
      <c r="A25150" t="str">
        <f>"511366"</f>
        <v>511366</v>
      </c>
      <c r="B25150" t="s">
        <v>1198</v>
      </c>
      <c r="C25150" t="s">
        <v>253</v>
      </c>
      <c r="D25150" s="21" t="s">
        <v>34</v>
      </c>
      <c r="E25150" s="21" t="s">
        <v>254</v>
      </c>
      <c r="F25150">
        <v>6510110</v>
      </c>
      <c r="G25150" t="s">
        <v>9011</v>
      </c>
      <c r="H25150" s="21">
        <v>642.54</v>
      </c>
    </row>
    <row r="25151" spans="1:8" customFormat="1" x14ac:dyDescent="0.25">
      <c r="A25151" t="str">
        <f>"4451018"</f>
        <v>4451018</v>
      </c>
      <c r="B25151" t="s">
        <v>18283</v>
      </c>
      <c r="C25151" t="s">
        <v>147</v>
      </c>
      <c r="D25151" s="21" t="s">
        <v>34</v>
      </c>
      <c r="E25151" s="21" t="s">
        <v>35</v>
      </c>
      <c r="F25151">
        <v>12440042</v>
      </c>
      <c r="G25151" t="s">
        <v>10312</v>
      </c>
      <c r="H25151" s="21">
        <v>642.54</v>
      </c>
    </row>
    <row r="25152" spans="1:8" customFormat="1" x14ac:dyDescent="0.25">
      <c r="A25152" t="str">
        <f>"4519940"</f>
        <v>4519940</v>
      </c>
      <c r="B25152" t="s">
        <v>970</v>
      </c>
      <c r="C25152" t="s">
        <v>124</v>
      </c>
      <c r="D25152" s="21" t="s">
        <v>34</v>
      </c>
      <c r="E25152" s="21" t="s">
        <v>254</v>
      </c>
      <c r="F25152">
        <v>4450576</v>
      </c>
      <c r="G25152" t="s">
        <v>26857</v>
      </c>
      <c r="H25152" s="21">
        <v>642.41999999999996</v>
      </c>
    </row>
    <row r="25153" spans="1:8" customFormat="1" x14ac:dyDescent="0.25">
      <c r="A25153" t="str">
        <f>"6914134"</f>
        <v>6914134</v>
      </c>
      <c r="B25153" t="s">
        <v>392</v>
      </c>
      <c r="C25153" t="s">
        <v>415</v>
      </c>
      <c r="D25153" s="21" t="s">
        <v>34</v>
      </c>
      <c r="E25153" s="21" t="s">
        <v>254</v>
      </c>
      <c r="F25153">
        <v>1690006</v>
      </c>
      <c r="G25153" t="s">
        <v>2543</v>
      </c>
      <c r="H25153" s="21">
        <v>642.41999999999996</v>
      </c>
    </row>
    <row r="25154" spans="1:8" customFormat="1" x14ac:dyDescent="0.25">
      <c r="A25154" t="str">
        <f>"28769"</f>
        <v>28769</v>
      </c>
      <c r="B25154" t="s">
        <v>12115</v>
      </c>
      <c r="C25154" t="s">
        <v>40</v>
      </c>
      <c r="D25154" s="21" t="s">
        <v>34</v>
      </c>
      <c r="E25154" s="21" t="s">
        <v>254</v>
      </c>
      <c r="F25154">
        <v>10860006</v>
      </c>
      <c r="G25154" t="s">
        <v>3004</v>
      </c>
      <c r="H25154" s="21">
        <v>642.41999999999996</v>
      </c>
    </row>
    <row r="25155" spans="1:8" customFormat="1" x14ac:dyDescent="0.25">
      <c r="A25155" t="str">
        <f>"3342797"</f>
        <v>3342797</v>
      </c>
      <c r="B25155" t="s">
        <v>4602</v>
      </c>
      <c r="C25155" t="s">
        <v>453</v>
      </c>
      <c r="D25155" s="21" t="s">
        <v>34</v>
      </c>
      <c r="E25155" s="21" t="s">
        <v>71</v>
      </c>
      <c r="F25155">
        <v>10330084</v>
      </c>
      <c r="G25155" t="s">
        <v>1124</v>
      </c>
      <c r="H25155" s="21">
        <v>642.29</v>
      </c>
    </row>
    <row r="25156" spans="1:8" customFormat="1" x14ac:dyDescent="0.25">
      <c r="A25156" t="str">
        <f>"7411828"</f>
        <v>7411828</v>
      </c>
      <c r="B25156" t="s">
        <v>2677</v>
      </c>
      <c r="C25156" t="s">
        <v>171</v>
      </c>
      <c r="D25156" s="21" t="s">
        <v>34</v>
      </c>
      <c r="E25156" s="21" t="s">
        <v>71</v>
      </c>
      <c r="F25156">
        <v>6540011</v>
      </c>
      <c r="G25156" t="s">
        <v>6084</v>
      </c>
      <c r="H25156" s="21">
        <v>642.29</v>
      </c>
    </row>
    <row r="25157" spans="1:8" customFormat="1" x14ac:dyDescent="0.25">
      <c r="A25157" t="str">
        <f>"7710198"</f>
        <v>7710198</v>
      </c>
      <c r="B25157" t="s">
        <v>17533</v>
      </c>
      <c r="C25157" t="s">
        <v>263</v>
      </c>
      <c r="D25157" s="21" t="s">
        <v>34</v>
      </c>
      <c r="E25157" s="21" t="s">
        <v>254</v>
      </c>
      <c r="F25157">
        <v>8770169</v>
      </c>
      <c r="G25157" t="s">
        <v>1001</v>
      </c>
      <c r="H25157" s="21">
        <v>642.29</v>
      </c>
    </row>
    <row r="25158" spans="1:8" customFormat="1" x14ac:dyDescent="0.25">
      <c r="A25158" t="str">
        <f>"5326547"</f>
        <v>5326547</v>
      </c>
      <c r="B25158" t="s">
        <v>24434</v>
      </c>
      <c r="C25158" t="s">
        <v>90</v>
      </c>
      <c r="D25158" s="21" t="s">
        <v>34</v>
      </c>
      <c r="E25158" s="21" t="s">
        <v>35</v>
      </c>
      <c r="F25158">
        <v>12530054</v>
      </c>
      <c r="G25158" t="s">
        <v>354</v>
      </c>
      <c r="H25158" s="21">
        <v>642.16999999999996</v>
      </c>
    </row>
    <row r="25159" spans="1:8" customFormat="1" x14ac:dyDescent="0.25">
      <c r="A25159" t="str">
        <f>"452940"</f>
        <v>452940</v>
      </c>
      <c r="B25159" t="s">
        <v>19717</v>
      </c>
      <c r="C25159" t="s">
        <v>1110</v>
      </c>
      <c r="D25159" s="21" t="s">
        <v>34</v>
      </c>
      <c r="E25159" s="21" t="s">
        <v>1089</v>
      </c>
      <c r="F25159">
        <v>4450614</v>
      </c>
      <c r="G25159" t="s">
        <v>13344</v>
      </c>
      <c r="H25159" s="21">
        <v>642.16999999999996</v>
      </c>
    </row>
    <row r="25160" spans="1:8" customFormat="1" x14ac:dyDescent="0.25">
      <c r="A25160" t="str">
        <f>"2929218"</f>
        <v>2929218</v>
      </c>
      <c r="B25160" t="s">
        <v>19965</v>
      </c>
      <c r="C25160" t="s">
        <v>664</v>
      </c>
      <c r="D25160" s="21" t="s">
        <v>34</v>
      </c>
      <c r="E25160" s="21" t="s">
        <v>35</v>
      </c>
      <c r="F25160">
        <v>3290235</v>
      </c>
      <c r="G25160" t="s">
        <v>12128</v>
      </c>
      <c r="H25160" s="21">
        <v>642.16999999999996</v>
      </c>
    </row>
    <row r="25161" spans="1:8" customFormat="1" x14ac:dyDescent="0.25">
      <c r="A25161" t="str">
        <f>"5714730"</f>
        <v>5714730</v>
      </c>
      <c r="B25161" t="s">
        <v>2976</v>
      </c>
      <c r="C25161" t="s">
        <v>720</v>
      </c>
      <c r="D25161" s="21" t="s">
        <v>34</v>
      </c>
      <c r="E25161" s="21" t="s">
        <v>1089</v>
      </c>
      <c r="F25161">
        <v>6570029</v>
      </c>
      <c r="G25161" t="s">
        <v>2977</v>
      </c>
      <c r="H25161" s="21">
        <v>642.16999999999996</v>
      </c>
    </row>
    <row r="25162" spans="1:8" customFormat="1" x14ac:dyDescent="0.25">
      <c r="A25162" t="str">
        <f>"322494"</f>
        <v>322494</v>
      </c>
      <c r="B25162" t="s">
        <v>27838</v>
      </c>
      <c r="C25162" t="s">
        <v>119</v>
      </c>
      <c r="D25162" s="21" t="s">
        <v>34</v>
      </c>
      <c r="E25162" s="21" t="s">
        <v>71</v>
      </c>
      <c r="F25162">
        <v>7590162</v>
      </c>
      <c r="G25162" t="s">
        <v>7211</v>
      </c>
      <c r="H25162" s="21">
        <v>642.16999999999996</v>
      </c>
    </row>
    <row r="25163" spans="1:8" customFormat="1" x14ac:dyDescent="0.25">
      <c r="A25163" t="str">
        <f>"0612141"</f>
        <v>0612141</v>
      </c>
      <c r="B25163" t="s">
        <v>20419</v>
      </c>
      <c r="C25163" t="s">
        <v>772</v>
      </c>
      <c r="D25163" s="21" t="s">
        <v>34</v>
      </c>
      <c r="E25163" s="21" t="s">
        <v>71</v>
      </c>
      <c r="F25163">
        <v>13060043</v>
      </c>
      <c r="G25163" t="s">
        <v>4761</v>
      </c>
      <c r="H25163" s="21">
        <v>642.16999999999996</v>
      </c>
    </row>
    <row r="25164" spans="1:8" customFormat="1" x14ac:dyDescent="0.25">
      <c r="A25164" t="str">
        <f>"507689"</f>
        <v>507689</v>
      </c>
      <c r="B25164" t="s">
        <v>14747</v>
      </c>
      <c r="C25164" t="s">
        <v>1119</v>
      </c>
      <c r="D25164" s="21" t="s">
        <v>34</v>
      </c>
      <c r="E25164" s="21" t="s">
        <v>1089</v>
      </c>
      <c r="F25164">
        <v>9500112</v>
      </c>
      <c r="G25164" t="s">
        <v>1668</v>
      </c>
      <c r="H25164" s="21">
        <v>642.16999999999996</v>
      </c>
    </row>
    <row r="25165" spans="1:8" customFormat="1" x14ac:dyDescent="0.25">
      <c r="A25165" t="str">
        <f>"196128"</f>
        <v>196128</v>
      </c>
      <c r="B25165" t="s">
        <v>18487</v>
      </c>
      <c r="C25165" t="s">
        <v>1946</v>
      </c>
      <c r="D25165" s="21" t="s">
        <v>34</v>
      </c>
      <c r="E25165" s="21" t="s">
        <v>1089</v>
      </c>
      <c r="F25165">
        <v>10190147</v>
      </c>
      <c r="G25165" t="s">
        <v>7477</v>
      </c>
      <c r="H25165" s="21">
        <v>642.16999999999996</v>
      </c>
    </row>
    <row r="25166" spans="1:8" customFormat="1" x14ac:dyDescent="0.25">
      <c r="A25166" t="str">
        <f>"5319275"</f>
        <v>5319275</v>
      </c>
      <c r="B25166" t="s">
        <v>3661</v>
      </c>
      <c r="C25166" t="s">
        <v>269</v>
      </c>
      <c r="D25166" s="21" t="s">
        <v>34</v>
      </c>
      <c r="E25166" s="21" t="s">
        <v>71</v>
      </c>
      <c r="F25166">
        <v>12530023</v>
      </c>
      <c r="G25166" t="s">
        <v>5879</v>
      </c>
      <c r="H25166" s="21">
        <v>642.16999999999996</v>
      </c>
    </row>
    <row r="25167" spans="1:8" customFormat="1" x14ac:dyDescent="0.25">
      <c r="A25167" t="str">
        <f>"6217052"</f>
        <v>6217052</v>
      </c>
      <c r="B25167" t="s">
        <v>2571</v>
      </c>
      <c r="C25167" t="s">
        <v>598</v>
      </c>
      <c r="D25167" s="21" t="s">
        <v>34</v>
      </c>
      <c r="E25167" s="21" t="s">
        <v>254</v>
      </c>
      <c r="F25167">
        <v>7620061</v>
      </c>
      <c r="G25167" t="s">
        <v>4448</v>
      </c>
      <c r="H25167" s="21">
        <v>642.16999999999996</v>
      </c>
    </row>
    <row r="25168" spans="1:8" customFormat="1" x14ac:dyDescent="0.25">
      <c r="A25168" t="str">
        <f>"2925296"</f>
        <v>2925296</v>
      </c>
      <c r="B25168" t="s">
        <v>17839</v>
      </c>
      <c r="C25168" t="s">
        <v>239</v>
      </c>
      <c r="D25168" s="21" t="s">
        <v>34</v>
      </c>
      <c r="E25168" s="21" t="s">
        <v>254</v>
      </c>
      <c r="F25168">
        <v>3290023</v>
      </c>
      <c r="G25168" t="s">
        <v>3883</v>
      </c>
      <c r="H25168" s="21">
        <v>642.16999999999996</v>
      </c>
    </row>
    <row r="25169" spans="1:8" customFormat="1" x14ac:dyDescent="0.25">
      <c r="A25169" t="str">
        <f>"2612877"</f>
        <v>2612877</v>
      </c>
      <c r="B25169" t="s">
        <v>19637</v>
      </c>
      <c r="C25169" t="s">
        <v>55</v>
      </c>
      <c r="D25169" s="21" t="s">
        <v>34</v>
      </c>
      <c r="E25169" s="21" t="s">
        <v>71</v>
      </c>
      <c r="F25169">
        <v>1260068</v>
      </c>
      <c r="G25169" t="s">
        <v>6531</v>
      </c>
      <c r="H25169" s="21">
        <v>642.16999999999996</v>
      </c>
    </row>
    <row r="25170" spans="1:8" customFormat="1" x14ac:dyDescent="0.25">
      <c r="A25170" t="str">
        <f>"9D1161"</f>
        <v>9D1161</v>
      </c>
      <c r="B25170" t="s">
        <v>23751</v>
      </c>
      <c r="C25170" t="s">
        <v>139</v>
      </c>
      <c r="D25170" s="21" t="s">
        <v>34</v>
      </c>
      <c r="E25170" s="21" t="s">
        <v>254</v>
      </c>
      <c r="F25170" t="s">
        <v>5881</v>
      </c>
      <c r="G25170" t="s">
        <v>5882</v>
      </c>
      <c r="H25170" s="21">
        <v>642.04</v>
      </c>
    </row>
    <row r="25171" spans="1:8" customFormat="1" x14ac:dyDescent="0.25">
      <c r="A25171" t="str">
        <f>"9314686"</f>
        <v>9314686</v>
      </c>
      <c r="B25171" t="s">
        <v>19463</v>
      </c>
      <c r="C25171" t="s">
        <v>269</v>
      </c>
      <c r="D25171" s="21" t="s">
        <v>34</v>
      </c>
      <c r="E25171" s="21" t="s">
        <v>71</v>
      </c>
      <c r="F25171">
        <v>8930148</v>
      </c>
      <c r="G25171" t="s">
        <v>1915</v>
      </c>
      <c r="H25171" s="21">
        <v>641.91999999999996</v>
      </c>
    </row>
    <row r="25172" spans="1:8" customFormat="1" x14ac:dyDescent="0.25">
      <c r="A25172" t="str">
        <f>"334249"</f>
        <v>334249</v>
      </c>
      <c r="B25172" t="s">
        <v>16121</v>
      </c>
      <c r="C25172" t="s">
        <v>209</v>
      </c>
      <c r="D25172" s="21" t="s">
        <v>34</v>
      </c>
      <c r="E25172" s="21" t="s">
        <v>254</v>
      </c>
      <c r="F25172">
        <v>10330125</v>
      </c>
      <c r="G25172" t="s">
        <v>3753</v>
      </c>
      <c r="H25172" s="21">
        <v>641.91999999999996</v>
      </c>
    </row>
    <row r="25173" spans="1:8" customFormat="1" x14ac:dyDescent="0.25">
      <c r="A25173" t="str">
        <f>"331276"</f>
        <v>331276</v>
      </c>
      <c r="B25173" t="s">
        <v>17781</v>
      </c>
      <c r="C25173" t="s">
        <v>2305</v>
      </c>
      <c r="D25173" s="21" t="s">
        <v>34</v>
      </c>
      <c r="E25173" s="21" t="s">
        <v>1089</v>
      </c>
      <c r="F25173">
        <v>10170042</v>
      </c>
      <c r="G25173" t="s">
        <v>5014</v>
      </c>
      <c r="H25173" s="21">
        <v>641.91999999999996</v>
      </c>
    </row>
    <row r="25174" spans="1:8" customFormat="1" x14ac:dyDescent="0.25">
      <c r="A25174" t="str">
        <f>"3719132"</f>
        <v>3719132</v>
      </c>
      <c r="B25174" t="s">
        <v>27839</v>
      </c>
      <c r="C25174" t="s">
        <v>209</v>
      </c>
      <c r="D25174" s="21" t="s">
        <v>34</v>
      </c>
      <c r="E25174" s="21" t="s">
        <v>71</v>
      </c>
      <c r="F25174">
        <v>4370533</v>
      </c>
      <c r="G25174" t="s">
        <v>10553</v>
      </c>
      <c r="H25174" s="21">
        <v>641.66999999999996</v>
      </c>
    </row>
    <row r="25175" spans="1:8" customFormat="1" x14ac:dyDescent="0.25">
      <c r="A25175" t="str">
        <f>"5963859"</f>
        <v>5963859</v>
      </c>
      <c r="B25175" t="s">
        <v>18293</v>
      </c>
      <c r="C25175" t="s">
        <v>55</v>
      </c>
      <c r="D25175" s="21" t="s">
        <v>34</v>
      </c>
      <c r="E25175" s="21" t="s">
        <v>71</v>
      </c>
      <c r="F25175">
        <v>7590053</v>
      </c>
      <c r="G25175" t="s">
        <v>2825</v>
      </c>
      <c r="H25175" s="21">
        <v>641.66999999999996</v>
      </c>
    </row>
    <row r="25176" spans="1:8" customFormat="1" x14ac:dyDescent="0.25">
      <c r="A25176" t="str">
        <f>"4457111"</f>
        <v>4457111</v>
      </c>
      <c r="B25176" t="s">
        <v>27840</v>
      </c>
      <c r="C25176" t="s">
        <v>515</v>
      </c>
      <c r="D25176" s="21" t="s">
        <v>34</v>
      </c>
      <c r="E25176" s="21" t="s">
        <v>35</v>
      </c>
      <c r="F25176">
        <v>12440120</v>
      </c>
      <c r="G25176" t="s">
        <v>23452</v>
      </c>
      <c r="H25176" s="21">
        <v>641.66999999999996</v>
      </c>
    </row>
    <row r="25177" spans="1:8" customFormat="1" x14ac:dyDescent="0.25">
      <c r="A25177" t="str">
        <f>"7636712"</f>
        <v>7636712</v>
      </c>
      <c r="B25177" t="s">
        <v>3022</v>
      </c>
      <c r="C25177" t="s">
        <v>119</v>
      </c>
      <c r="D25177" s="21" t="s">
        <v>34</v>
      </c>
      <c r="E25177" s="21" t="s">
        <v>35</v>
      </c>
      <c r="F25177">
        <v>9760168</v>
      </c>
      <c r="G25177" t="s">
        <v>179</v>
      </c>
      <c r="H25177" s="21">
        <v>641.66999999999996</v>
      </c>
    </row>
    <row r="25178" spans="1:8" customFormat="1" x14ac:dyDescent="0.25">
      <c r="A25178" t="str">
        <f>"9144436"</f>
        <v>9144436</v>
      </c>
      <c r="B25178" t="s">
        <v>1751</v>
      </c>
      <c r="C25178" t="s">
        <v>3115</v>
      </c>
      <c r="D25178" s="21" t="s">
        <v>34</v>
      </c>
      <c r="E25178" s="21" t="s">
        <v>71</v>
      </c>
      <c r="F25178">
        <v>8910667</v>
      </c>
      <c r="G25178" t="s">
        <v>2361</v>
      </c>
      <c r="H25178" s="21">
        <v>641.66999999999996</v>
      </c>
    </row>
    <row r="25179" spans="1:8" customFormat="1" x14ac:dyDescent="0.25">
      <c r="A25179" t="str">
        <f>"5937283"</f>
        <v>5937283</v>
      </c>
      <c r="B25179" t="s">
        <v>8001</v>
      </c>
      <c r="C25179" t="s">
        <v>43</v>
      </c>
      <c r="D25179" s="21" t="s">
        <v>34</v>
      </c>
      <c r="E25179" s="21" t="s">
        <v>35</v>
      </c>
      <c r="F25179">
        <v>7590088</v>
      </c>
      <c r="G25179" t="s">
        <v>11178</v>
      </c>
      <c r="H25179" s="21">
        <v>641.66999999999996</v>
      </c>
    </row>
    <row r="25180" spans="1:8" customFormat="1" x14ac:dyDescent="0.25">
      <c r="A25180" t="str">
        <f>"2925439"</f>
        <v>2925439</v>
      </c>
      <c r="B25180" t="s">
        <v>17692</v>
      </c>
      <c r="C25180" t="s">
        <v>5142</v>
      </c>
      <c r="D25180" s="21" t="s">
        <v>34</v>
      </c>
      <c r="E25180" s="21" t="s">
        <v>71</v>
      </c>
      <c r="F25180">
        <v>3290224</v>
      </c>
      <c r="G25180" t="s">
        <v>7829</v>
      </c>
      <c r="H25180" s="21">
        <v>641.66999999999996</v>
      </c>
    </row>
    <row r="25181" spans="1:8" customFormat="1" x14ac:dyDescent="0.25">
      <c r="A25181" t="str">
        <f>"634251"</f>
        <v>634251</v>
      </c>
      <c r="B25181" t="s">
        <v>27841</v>
      </c>
      <c r="C25181" t="s">
        <v>27842</v>
      </c>
      <c r="D25181" s="21" t="s">
        <v>34</v>
      </c>
      <c r="E25181" s="21" t="s">
        <v>254</v>
      </c>
      <c r="F25181">
        <v>1630121</v>
      </c>
      <c r="G25181" t="s">
        <v>3663</v>
      </c>
      <c r="H25181" s="21">
        <v>641.66999999999996</v>
      </c>
    </row>
    <row r="25182" spans="1:8" customFormat="1" x14ac:dyDescent="0.25">
      <c r="A25182" t="str">
        <f>"2929585"</f>
        <v>2929585</v>
      </c>
      <c r="B25182" t="s">
        <v>13371</v>
      </c>
      <c r="C25182" t="s">
        <v>130</v>
      </c>
      <c r="D25182" s="21" t="s">
        <v>34</v>
      </c>
      <c r="E25182" s="21" t="s">
        <v>254</v>
      </c>
      <c r="F25182">
        <v>3290006</v>
      </c>
      <c r="G25182" t="s">
        <v>13009</v>
      </c>
      <c r="H25182" s="21">
        <v>641.66999999999996</v>
      </c>
    </row>
    <row r="25183" spans="1:8" customFormat="1" x14ac:dyDescent="0.25">
      <c r="A25183" t="str">
        <f>"5319257"</f>
        <v>5319257</v>
      </c>
      <c r="B25183" t="s">
        <v>19096</v>
      </c>
      <c r="C25183" t="s">
        <v>33</v>
      </c>
      <c r="D25183" s="21" t="s">
        <v>34</v>
      </c>
      <c r="E25183" s="21" t="s">
        <v>71</v>
      </c>
      <c r="F25183">
        <v>12530070</v>
      </c>
      <c r="G25183" t="s">
        <v>4905</v>
      </c>
      <c r="H25183" s="21">
        <v>641.66999999999996</v>
      </c>
    </row>
    <row r="25184" spans="1:8" customFormat="1" x14ac:dyDescent="0.25">
      <c r="A25184" t="str">
        <f>"2716776"</f>
        <v>2716776</v>
      </c>
      <c r="B25184" t="s">
        <v>19157</v>
      </c>
      <c r="C25184" t="s">
        <v>209</v>
      </c>
      <c r="D25184" s="21" t="s">
        <v>34</v>
      </c>
      <c r="E25184" s="21" t="s">
        <v>71</v>
      </c>
      <c r="F25184">
        <v>13060111</v>
      </c>
      <c r="G25184" t="s">
        <v>26647</v>
      </c>
      <c r="H25184" s="21">
        <v>641.66999999999996</v>
      </c>
    </row>
    <row r="25185" spans="1:8" customFormat="1" x14ac:dyDescent="0.25">
      <c r="A25185" t="str">
        <f>"7924458"</f>
        <v>7924458</v>
      </c>
      <c r="B25185" t="s">
        <v>27843</v>
      </c>
      <c r="C25185" t="s">
        <v>817</v>
      </c>
      <c r="D25185" s="21" t="s">
        <v>34</v>
      </c>
      <c r="E25185" s="21" t="s">
        <v>35</v>
      </c>
      <c r="F25185">
        <v>10790071</v>
      </c>
      <c r="G25185" t="s">
        <v>5806</v>
      </c>
      <c r="H25185" s="21">
        <v>641.66999999999996</v>
      </c>
    </row>
    <row r="25186" spans="1:8" customFormat="1" x14ac:dyDescent="0.25">
      <c r="A25186" t="str">
        <f>"141777"</f>
        <v>141777</v>
      </c>
      <c r="B25186" t="s">
        <v>19613</v>
      </c>
      <c r="C25186" t="s">
        <v>209</v>
      </c>
      <c r="D25186" s="21" t="s">
        <v>34</v>
      </c>
      <c r="E25186" s="21" t="s">
        <v>71</v>
      </c>
      <c r="F25186">
        <v>9140014</v>
      </c>
      <c r="G25186" t="s">
        <v>9546</v>
      </c>
      <c r="H25186" s="21">
        <v>641.66999999999996</v>
      </c>
    </row>
    <row r="25187" spans="1:8" customFormat="1" x14ac:dyDescent="0.25">
      <c r="A25187" t="str">
        <f>"5111481"</f>
        <v>5111481</v>
      </c>
      <c r="B25187" t="s">
        <v>19085</v>
      </c>
      <c r="C25187" t="s">
        <v>33</v>
      </c>
      <c r="D25187" s="21" t="s">
        <v>34</v>
      </c>
      <c r="E25187" s="21" t="s">
        <v>35</v>
      </c>
      <c r="F25187">
        <v>6510064</v>
      </c>
      <c r="G25187" t="s">
        <v>6183</v>
      </c>
      <c r="H25187" s="21">
        <v>641.66999999999996</v>
      </c>
    </row>
    <row r="25188" spans="1:8" customFormat="1" x14ac:dyDescent="0.25">
      <c r="A25188" t="str">
        <f>"19615"</f>
        <v>19615</v>
      </c>
      <c r="B25188" t="s">
        <v>16536</v>
      </c>
      <c r="C25188" t="s">
        <v>2546</v>
      </c>
      <c r="D25188" s="21" t="s">
        <v>34</v>
      </c>
      <c r="E25188" s="21" t="s">
        <v>254</v>
      </c>
      <c r="F25188">
        <v>10190054</v>
      </c>
      <c r="G25188" t="s">
        <v>4189</v>
      </c>
      <c r="H25188" s="21">
        <v>641.66999999999996</v>
      </c>
    </row>
    <row r="25189" spans="1:8" customFormat="1" x14ac:dyDescent="0.25">
      <c r="A25189" t="str">
        <f>"112410"</f>
        <v>112410</v>
      </c>
      <c r="B25189" t="s">
        <v>18534</v>
      </c>
      <c r="C25189" t="s">
        <v>462</v>
      </c>
      <c r="D25189" s="21" t="s">
        <v>34</v>
      </c>
      <c r="E25189" s="21" t="s">
        <v>71</v>
      </c>
      <c r="F25189">
        <v>11110028</v>
      </c>
      <c r="G25189" t="s">
        <v>10634</v>
      </c>
      <c r="H25189" s="21">
        <v>641.66999999999996</v>
      </c>
    </row>
    <row r="25190" spans="1:8" customFormat="1" x14ac:dyDescent="0.25">
      <c r="A25190" t="str">
        <f>"5919064"</f>
        <v>5919064</v>
      </c>
      <c r="B25190" t="s">
        <v>16623</v>
      </c>
      <c r="C25190" t="s">
        <v>2907</v>
      </c>
      <c r="D25190" s="21" t="s">
        <v>34</v>
      </c>
      <c r="E25190" s="21" t="s">
        <v>71</v>
      </c>
      <c r="F25190">
        <v>7590345</v>
      </c>
      <c r="G25190" t="s">
        <v>3297</v>
      </c>
      <c r="H25190" s="21">
        <v>641.66999999999996</v>
      </c>
    </row>
    <row r="25191" spans="1:8" customFormat="1" x14ac:dyDescent="0.25">
      <c r="A25191" t="str">
        <f>"3524323"</f>
        <v>3524323</v>
      </c>
      <c r="B25191" t="s">
        <v>18843</v>
      </c>
      <c r="C25191" t="s">
        <v>267</v>
      </c>
      <c r="D25191" s="21" t="s">
        <v>34</v>
      </c>
      <c r="E25191" s="21" t="s">
        <v>71</v>
      </c>
      <c r="F25191">
        <v>3350042</v>
      </c>
      <c r="G25191" t="s">
        <v>12707</v>
      </c>
      <c r="H25191" s="21">
        <v>641.66999999999996</v>
      </c>
    </row>
    <row r="25192" spans="1:8" customFormat="1" x14ac:dyDescent="0.25">
      <c r="A25192" t="str">
        <f>"2715202"</f>
        <v>2715202</v>
      </c>
      <c r="B25192" t="s">
        <v>15882</v>
      </c>
      <c r="C25192" t="s">
        <v>169</v>
      </c>
      <c r="D25192" s="21" t="s">
        <v>34</v>
      </c>
      <c r="E25192" s="21" t="s">
        <v>71</v>
      </c>
      <c r="F25192">
        <v>9270180</v>
      </c>
      <c r="G25192" t="s">
        <v>10755</v>
      </c>
      <c r="H25192" s="21">
        <v>641.66999999999996</v>
      </c>
    </row>
    <row r="25193" spans="1:8" customFormat="1" x14ac:dyDescent="0.25">
      <c r="A25193" t="str">
        <f>"091439"</f>
        <v>091439</v>
      </c>
      <c r="B25193" t="s">
        <v>18968</v>
      </c>
      <c r="C25193" t="s">
        <v>18969</v>
      </c>
      <c r="D25193" s="21" t="s">
        <v>34</v>
      </c>
      <c r="E25193" s="21" t="s">
        <v>35</v>
      </c>
      <c r="F25193">
        <v>11090001</v>
      </c>
      <c r="G25193" t="s">
        <v>4829</v>
      </c>
      <c r="H25193" s="21">
        <v>641.54</v>
      </c>
    </row>
    <row r="25194" spans="1:8" customFormat="1" x14ac:dyDescent="0.25">
      <c r="A25194" t="str">
        <f>"2516998"</f>
        <v>2516998</v>
      </c>
      <c r="B25194" t="s">
        <v>18755</v>
      </c>
      <c r="C25194" t="s">
        <v>174</v>
      </c>
      <c r="D25194" s="21" t="s">
        <v>34</v>
      </c>
      <c r="E25194" s="21" t="s">
        <v>35</v>
      </c>
      <c r="F25194">
        <v>2250232</v>
      </c>
      <c r="G25194" t="s">
        <v>14919</v>
      </c>
      <c r="H25194" s="21">
        <v>641.54</v>
      </c>
    </row>
    <row r="25195" spans="1:8" customFormat="1" x14ac:dyDescent="0.25">
      <c r="A25195" t="str">
        <f>"258068"</f>
        <v>258068</v>
      </c>
      <c r="B25195" t="s">
        <v>9403</v>
      </c>
      <c r="C25195" t="s">
        <v>40</v>
      </c>
      <c r="D25195" s="21" t="s">
        <v>34</v>
      </c>
      <c r="E25195" s="21" t="s">
        <v>254</v>
      </c>
      <c r="F25195">
        <v>2250217</v>
      </c>
      <c r="G25195" t="s">
        <v>11815</v>
      </c>
      <c r="H25195" s="21">
        <v>641.41999999999996</v>
      </c>
    </row>
    <row r="25196" spans="1:8" customFormat="1" x14ac:dyDescent="0.25">
      <c r="A25196" t="str">
        <f>"4448389"</f>
        <v>4448389</v>
      </c>
      <c r="B25196" t="s">
        <v>19236</v>
      </c>
      <c r="C25196" t="s">
        <v>90</v>
      </c>
      <c r="D25196" s="21" t="s">
        <v>34</v>
      </c>
      <c r="E25196" s="21" t="s">
        <v>35</v>
      </c>
      <c r="F25196">
        <v>12440270</v>
      </c>
      <c r="G25196" t="s">
        <v>19237</v>
      </c>
      <c r="H25196" s="21">
        <v>641.41999999999996</v>
      </c>
    </row>
    <row r="25197" spans="1:8" customFormat="1" x14ac:dyDescent="0.25">
      <c r="A25197" t="str">
        <f>"323162"</f>
        <v>323162</v>
      </c>
      <c r="B25197" t="s">
        <v>5928</v>
      </c>
      <c r="C25197" t="s">
        <v>144</v>
      </c>
      <c r="D25197" s="21" t="s">
        <v>34</v>
      </c>
      <c r="E25197" s="21" t="s">
        <v>35</v>
      </c>
      <c r="F25197">
        <v>11320039</v>
      </c>
      <c r="G25197" t="s">
        <v>14674</v>
      </c>
      <c r="H25197" s="21">
        <v>641.41999999999996</v>
      </c>
    </row>
    <row r="25198" spans="1:8" customFormat="1" x14ac:dyDescent="0.25">
      <c r="A25198" t="str">
        <f>"648918"</f>
        <v>648918</v>
      </c>
      <c r="B25198" t="s">
        <v>20058</v>
      </c>
      <c r="C25198" t="s">
        <v>249</v>
      </c>
      <c r="D25198" s="21" t="s">
        <v>34</v>
      </c>
      <c r="E25198" s="21" t="s">
        <v>71</v>
      </c>
      <c r="F25198">
        <v>10640004</v>
      </c>
      <c r="G25198" t="s">
        <v>26618</v>
      </c>
      <c r="H25198" s="21">
        <v>641.41999999999996</v>
      </c>
    </row>
    <row r="25199" spans="1:8" customFormat="1" x14ac:dyDescent="0.25">
      <c r="A25199" t="str">
        <f>"6021653"</f>
        <v>6021653</v>
      </c>
      <c r="B25199" t="s">
        <v>18126</v>
      </c>
      <c r="C25199" t="s">
        <v>812</v>
      </c>
      <c r="D25199" s="21" t="s">
        <v>34</v>
      </c>
      <c r="E25199" s="21" t="s">
        <v>35</v>
      </c>
      <c r="F25199">
        <v>7600168</v>
      </c>
      <c r="G25199" t="s">
        <v>27372</v>
      </c>
      <c r="H25199" s="21">
        <v>641.16999999999996</v>
      </c>
    </row>
    <row r="25200" spans="1:8" customFormat="1" x14ac:dyDescent="0.25">
      <c r="A25200" t="str">
        <f>"4521570"</f>
        <v>4521570</v>
      </c>
      <c r="B25200" t="s">
        <v>9192</v>
      </c>
      <c r="C25200" t="s">
        <v>462</v>
      </c>
      <c r="D25200" s="21" t="s">
        <v>34</v>
      </c>
      <c r="E25200" s="21" t="s">
        <v>35</v>
      </c>
      <c r="F25200">
        <v>4450285</v>
      </c>
      <c r="G25200" t="s">
        <v>7118</v>
      </c>
      <c r="H25200" s="21">
        <v>641.16999999999996</v>
      </c>
    </row>
    <row r="25201" spans="1:8" customFormat="1" x14ac:dyDescent="0.25">
      <c r="A25201" t="str">
        <f>"138135"</f>
        <v>138135</v>
      </c>
      <c r="B25201" t="s">
        <v>18542</v>
      </c>
      <c r="C25201" t="s">
        <v>263</v>
      </c>
      <c r="D25201" s="21" t="s">
        <v>34</v>
      </c>
      <c r="E25201" s="21" t="s">
        <v>71</v>
      </c>
      <c r="F25201">
        <v>13130049</v>
      </c>
      <c r="G25201" t="s">
        <v>13169</v>
      </c>
      <c r="H25201" s="21">
        <v>641.16999999999996</v>
      </c>
    </row>
    <row r="25202" spans="1:8" customFormat="1" x14ac:dyDescent="0.25">
      <c r="A25202" t="str">
        <f>"4216171"</f>
        <v>4216171</v>
      </c>
      <c r="B25202" t="s">
        <v>19359</v>
      </c>
      <c r="C25202" t="s">
        <v>262</v>
      </c>
      <c r="D25202" s="21" t="s">
        <v>34</v>
      </c>
      <c r="E25202" s="21" t="s">
        <v>71</v>
      </c>
      <c r="F25202">
        <v>1420124</v>
      </c>
      <c r="G25202" t="s">
        <v>3195</v>
      </c>
      <c r="H25202" s="21">
        <v>641.16999999999996</v>
      </c>
    </row>
    <row r="25203" spans="1:8" customFormat="1" x14ac:dyDescent="0.25">
      <c r="A25203" t="str">
        <f>"7627707"</f>
        <v>7627707</v>
      </c>
      <c r="B25203" t="s">
        <v>1094</v>
      </c>
      <c r="C25203" t="s">
        <v>263</v>
      </c>
      <c r="D25203" s="21" t="s">
        <v>34</v>
      </c>
      <c r="E25203" s="21" t="s">
        <v>35</v>
      </c>
      <c r="F25203">
        <v>9760457</v>
      </c>
      <c r="G25203" t="s">
        <v>6912</v>
      </c>
      <c r="H25203" s="21">
        <v>641.16999999999996</v>
      </c>
    </row>
    <row r="25204" spans="1:8" customFormat="1" x14ac:dyDescent="0.25">
      <c r="A25204" t="str">
        <f>"5319534"</f>
        <v>5319534</v>
      </c>
      <c r="B25204" t="s">
        <v>7724</v>
      </c>
      <c r="C25204" t="s">
        <v>1199</v>
      </c>
      <c r="D25204" s="21" t="s">
        <v>34</v>
      </c>
      <c r="E25204" s="21" t="s">
        <v>71</v>
      </c>
      <c r="F25204">
        <v>12530065</v>
      </c>
      <c r="G25204" t="s">
        <v>10009</v>
      </c>
      <c r="H25204" s="21">
        <v>641.16999999999996</v>
      </c>
    </row>
    <row r="25205" spans="1:8" customFormat="1" x14ac:dyDescent="0.25">
      <c r="A25205" t="str">
        <f>"756625"</f>
        <v>756625</v>
      </c>
      <c r="B25205" t="s">
        <v>11944</v>
      </c>
      <c r="C25205" t="s">
        <v>2730</v>
      </c>
      <c r="D25205" s="21" t="s">
        <v>34</v>
      </c>
      <c r="E25205" s="21" t="s">
        <v>1089</v>
      </c>
      <c r="F25205">
        <v>8750007</v>
      </c>
      <c r="G25205" t="s">
        <v>775</v>
      </c>
      <c r="H25205" s="21">
        <v>641.16999999999996</v>
      </c>
    </row>
    <row r="25206" spans="1:8" customFormat="1" x14ac:dyDescent="0.25">
      <c r="A25206" t="str">
        <f>"62454"</f>
        <v>62454</v>
      </c>
      <c r="B25206" t="s">
        <v>12643</v>
      </c>
      <c r="C25206" t="s">
        <v>415</v>
      </c>
      <c r="D25206" s="21" t="s">
        <v>34</v>
      </c>
      <c r="E25206" s="21" t="s">
        <v>1089</v>
      </c>
      <c r="F25206">
        <v>7620131</v>
      </c>
      <c r="G25206" t="s">
        <v>9562</v>
      </c>
      <c r="H25206" s="21">
        <v>641.16999999999996</v>
      </c>
    </row>
    <row r="25207" spans="1:8" customFormat="1" x14ac:dyDescent="0.25">
      <c r="A25207" t="str">
        <f>"1420718"</f>
        <v>1420718</v>
      </c>
      <c r="B25207" t="s">
        <v>4557</v>
      </c>
      <c r="C25207" t="s">
        <v>169</v>
      </c>
      <c r="D25207" s="21" t="s">
        <v>34</v>
      </c>
      <c r="E25207" s="21" t="s">
        <v>71</v>
      </c>
      <c r="F25207">
        <v>9140052</v>
      </c>
      <c r="G25207" t="s">
        <v>26563</v>
      </c>
      <c r="H25207" s="21">
        <v>641.16999999999996</v>
      </c>
    </row>
    <row r="25208" spans="1:8" customFormat="1" x14ac:dyDescent="0.25">
      <c r="A25208" t="str">
        <f>"722994"</f>
        <v>722994</v>
      </c>
      <c r="B25208" t="s">
        <v>19006</v>
      </c>
      <c r="C25208" t="s">
        <v>1841</v>
      </c>
      <c r="D25208" s="21" t="s">
        <v>34</v>
      </c>
      <c r="E25208" s="21" t="s">
        <v>1089</v>
      </c>
      <c r="F25208">
        <v>12720052</v>
      </c>
      <c r="G25208" t="s">
        <v>9628</v>
      </c>
      <c r="H25208" s="21">
        <v>641.16999999999996</v>
      </c>
    </row>
    <row r="25209" spans="1:8" customFormat="1" x14ac:dyDescent="0.25">
      <c r="A25209" t="str">
        <f>"648714"</f>
        <v>648714</v>
      </c>
      <c r="B25209" t="s">
        <v>17754</v>
      </c>
      <c r="C25209" t="s">
        <v>17154</v>
      </c>
      <c r="D25209" s="21" t="s">
        <v>34</v>
      </c>
      <c r="E25209" s="21" t="s">
        <v>71</v>
      </c>
      <c r="F25209">
        <v>10640003</v>
      </c>
      <c r="G25209" t="s">
        <v>1594</v>
      </c>
      <c r="H25209" s="21">
        <v>641.16999999999996</v>
      </c>
    </row>
    <row r="25210" spans="1:8" customFormat="1" x14ac:dyDescent="0.25">
      <c r="A25210" t="str">
        <f>"5612712"</f>
        <v>5612712</v>
      </c>
      <c r="B25210" t="s">
        <v>16719</v>
      </c>
      <c r="C25210" t="s">
        <v>55</v>
      </c>
      <c r="D25210" s="21" t="s">
        <v>34</v>
      </c>
      <c r="E25210" s="21" t="s">
        <v>71</v>
      </c>
      <c r="F25210">
        <v>4370167</v>
      </c>
      <c r="G25210" t="s">
        <v>8834</v>
      </c>
      <c r="H25210" s="21">
        <v>641.16999999999996</v>
      </c>
    </row>
    <row r="25211" spans="1:8" customFormat="1" x14ac:dyDescent="0.25">
      <c r="A25211" t="str">
        <f>"4452590"</f>
        <v>4452590</v>
      </c>
      <c r="B25211" t="s">
        <v>10227</v>
      </c>
      <c r="C25211" t="s">
        <v>236</v>
      </c>
      <c r="D25211" s="21" t="s">
        <v>34</v>
      </c>
      <c r="E25211" s="21" t="s">
        <v>71</v>
      </c>
      <c r="F25211">
        <v>12440176</v>
      </c>
      <c r="G25211" t="s">
        <v>1020</v>
      </c>
      <c r="H25211" s="21">
        <v>641.16999999999996</v>
      </c>
    </row>
    <row r="25212" spans="1:8" customFormat="1" x14ac:dyDescent="0.25">
      <c r="A25212" t="str">
        <f>"4219299"</f>
        <v>4219299</v>
      </c>
      <c r="B25212" t="s">
        <v>4649</v>
      </c>
      <c r="C25212" t="s">
        <v>209</v>
      </c>
      <c r="D25212" s="21" t="s">
        <v>34</v>
      </c>
      <c r="E25212" s="21" t="s">
        <v>35</v>
      </c>
      <c r="F25212">
        <v>1420149</v>
      </c>
      <c r="G25212" t="s">
        <v>818</v>
      </c>
      <c r="H25212" s="21">
        <v>641.16999999999996</v>
      </c>
    </row>
    <row r="25213" spans="1:8" customFormat="1" x14ac:dyDescent="0.25">
      <c r="A25213" t="str">
        <f>"5313475"</f>
        <v>5313475</v>
      </c>
      <c r="B25213" t="s">
        <v>1729</v>
      </c>
      <c r="C25213" t="s">
        <v>239</v>
      </c>
      <c r="D25213" s="21" t="s">
        <v>34</v>
      </c>
      <c r="E25213" s="21" t="s">
        <v>254</v>
      </c>
      <c r="F25213">
        <v>3350021</v>
      </c>
      <c r="G25213" t="s">
        <v>1758</v>
      </c>
      <c r="H25213" s="21">
        <v>641.16999999999996</v>
      </c>
    </row>
    <row r="25214" spans="1:8" customFormat="1" x14ac:dyDescent="0.25">
      <c r="A25214" t="str">
        <f>"3116392"</f>
        <v>3116392</v>
      </c>
      <c r="B25214" t="s">
        <v>17722</v>
      </c>
      <c r="C25214" t="s">
        <v>249</v>
      </c>
      <c r="D25214" s="21" t="s">
        <v>34</v>
      </c>
      <c r="E25214" s="21" t="s">
        <v>35</v>
      </c>
      <c r="F25214">
        <v>11310123</v>
      </c>
      <c r="G25214" t="s">
        <v>3915</v>
      </c>
      <c r="H25214" s="21">
        <v>641.16999999999996</v>
      </c>
    </row>
    <row r="25215" spans="1:8" customFormat="1" x14ac:dyDescent="0.25">
      <c r="A25215" t="str">
        <f>"847270"</f>
        <v>847270</v>
      </c>
      <c r="B25215" t="s">
        <v>18037</v>
      </c>
      <c r="C25215" t="s">
        <v>40</v>
      </c>
      <c r="D25215" s="21" t="s">
        <v>34</v>
      </c>
      <c r="E25215" s="21" t="s">
        <v>71</v>
      </c>
      <c r="F25215">
        <v>13040005</v>
      </c>
      <c r="G25215" t="s">
        <v>7115</v>
      </c>
      <c r="H25215" s="21">
        <v>641.16999999999996</v>
      </c>
    </row>
    <row r="25216" spans="1:8" customFormat="1" x14ac:dyDescent="0.25">
      <c r="A25216" t="str">
        <f>"1425111"</f>
        <v>1425111</v>
      </c>
      <c r="B25216" t="s">
        <v>21232</v>
      </c>
      <c r="C25216" t="s">
        <v>209</v>
      </c>
      <c r="D25216" s="21" t="s">
        <v>34</v>
      </c>
      <c r="E25216" s="21" t="s">
        <v>71</v>
      </c>
      <c r="F25216">
        <v>9140072</v>
      </c>
      <c r="G25216" t="s">
        <v>4810</v>
      </c>
      <c r="H25216" s="21">
        <v>641.04</v>
      </c>
    </row>
    <row r="25217" spans="1:8" customFormat="1" x14ac:dyDescent="0.25">
      <c r="A25217" t="str">
        <f>"443176"</f>
        <v>443176</v>
      </c>
      <c r="B25217" t="s">
        <v>18325</v>
      </c>
      <c r="C25217" t="s">
        <v>236</v>
      </c>
      <c r="D25217" s="21" t="s">
        <v>34</v>
      </c>
      <c r="E25217" s="21" t="s">
        <v>254</v>
      </c>
      <c r="F25217">
        <v>12440012</v>
      </c>
      <c r="G25217" t="s">
        <v>807</v>
      </c>
      <c r="H25217" s="21">
        <v>640.91999999999996</v>
      </c>
    </row>
    <row r="25218" spans="1:8" customFormat="1" x14ac:dyDescent="0.25">
      <c r="A25218" t="str">
        <f>"72636"</f>
        <v>72636</v>
      </c>
      <c r="B25218" t="s">
        <v>15836</v>
      </c>
      <c r="C25218" t="s">
        <v>3073</v>
      </c>
      <c r="D25218" s="21" t="s">
        <v>34</v>
      </c>
      <c r="E25218" s="21" t="s">
        <v>1089</v>
      </c>
      <c r="F25218">
        <v>12720004</v>
      </c>
      <c r="G25218" t="s">
        <v>2328</v>
      </c>
      <c r="H25218" s="21">
        <v>640.91999999999996</v>
      </c>
    </row>
    <row r="25219" spans="1:8" customFormat="1" x14ac:dyDescent="0.25">
      <c r="A25219" t="str">
        <f>"5317567"</f>
        <v>5317567</v>
      </c>
      <c r="B25219" t="s">
        <v>7152</v>
      </c>
      <c r="C25219" t="s">
        <v>1539</v>
      </c>
      <c r="D25219" s="21" t="s">
        <v>34</v>
      </c>
      <c r="E25219" s="21" t="s">
        <v>71</v>
      </c>
      <c r="F25219">
        <v>12530063</v>
      </c>
      <c r="G25219" t="s">
        <v>4313</v>
      </c>
      <c r="H25219" s="21">
        <v>640.91999999999996</v>
      </c>
    </row>
    <row r="25220" spans="1:8" customFormat="1" x14ac:dyDescent="0.25">
      <c r="A25220" t="str">
        <f>"5913439"</f>
        <v>5913439</v>
      </c>
      <c r="B25220" t="s">
        <v>7797</v>
      </c>
      <c r="C25220" t="s">
        <v>55</v>
      </c>
      <c r="D25220" s="21" t="s">
        <v>34</v>
      </c>
      <c r="E25220" s="21" t="s">
        <v>71</v>
      </c>
      <c r="F25220">
        <v>7590347</v>
      </c>
      <c r="G25220" t="s">
        <v>6041</v>
      </c>
      <c r="H25220" s="21">
        <v>640.91999999999996</v>
      </c>
    </row>
    <row r="25221" spans="1:8" customFormat="1" x14ac:dyDescent="0.25">
      <c r="A25221" t="str">
        <f>"9145835"</f>
        <v>9145835</v>
      </c>
      <c r="B25221" t="s">
        <v>19769</v>
      </c>
      <c r="C25221" t="s">
        <v>62</v>
      </c>
      <c r="D25221" s="21" t="s">
        <v>34</v>
      </c>
      <c r="E25221" s="21" t="s">
        <v>35</v>
      </c>
      <c r="F25221">
        <v>8910652</v>
      </c>
      <c r="G25221" t="s">
        <v>6533</v>
      </c>
      <c r="H25221" s="21">
        <v>640.79</v>
      </c>
    </row>
    <row r="25222" spans="1:8" customFormat="1" x14ac:dyDescent="0.25">
      <c r="A25222" t="str">
        <f>"783618"</f>
        <v>783618</v>
      </c>
      <c r="B25222" t="s">
        <v>18863</v>
      </c>
      <c r="C25222" t="s">
        <v>1025</v>
      </c>
      <c r="D25222" s="21" t="s">
        <v>34</v>
      </c>
      <c r="E25222" s="21" t="s">
        <v>1089</v>
      </c>
      <c r="F25222">
        <v>8780485</v>
      </c>
      <c r="G25222" t="s">
        <v>1279</v>
      </c>
      <c r="H25222" s="21">
        <v>640.79</v>
      </c>
    </row>
    <row r="25223" spans="1:8" customFormat="1" x14ac:dyDescent="0.25">
      <c r="A25223" t="str">
        <f>"396780"</f>
        <v>396780</v>
      </c>
      <c r="B25223" t="s">
        <v>7867</v>
      </c>
      <c r="C25223" t="s">
        <v>822</v>
      </c>
      <c r="D25223" s="21" t="s">
        <v>34</v>
      </c>
      <c r="E25223" s="21" t="s">
        <v>71</v>
      </c>
      <c r="F25223">
        <v>2390027</v>
      </c>
      <c r="G25223" t="s">
        <v>3605</v>
      </c>
      <c r="H25223" s="21">
        <v>640.79</v>
      </c>
    </row>
    <row r="25224" spans="1:8" customFormat="1" x14ac:dyDescent="0.25">
      <c r="A25224" t="str">
        <f>"95675"</f>
        <v>95675</v>
      </c>
      <c r="B25224" t="s">
        <v>5083</v>
      </c>
      <c r="C25224" t="s">
        <v>1110</v>
      </c>
      <c r="D25224" s="21" t="s">
        <v>34</v>
      </c>
      <c r="E25224" s="21" t="s">
        <v>71</v>
      </c>
      <c r="F25224">
        <v>8950348</v>
      </c>
      <c r="G25224" t="s">
        <v>491</v>
      </c>
      <c r="H25224" s="21">
        <v>640.66999999999996</v>
      </c>
    </row>
    <row r="25225" spans="1:8" customFormat="1" x14ac:dyDescent="0.25">
      <c r="A25225" t="str">
        <f>"184354"</f>
        <v>184354</v>
      </c>
      <c r="B25225" t="s">
        <v>12047</v>
      </c>
      <c r="C25225" t="s">
        <v>269</v>
      </c>
      <c r="D25225" s="21" t="s">
        <v>34</v>
      </c>
      <c r="E25225" s="21" t="s">
        <v>35</v>
      </c>
      <c r="F25225">
        <v>4180737</v>
      </c>
      <c r="G25225" t="s">
        <v>26856</v>
      </c>
      <c r="H25225" s="21">
        <v>640.66999999999996</v>
      </c>
    </row>
    <row r="25226" spans="1:8" customFormat="1" x14ac:dyDescent="0.25">
      <c r="A25226" t="str">
        <f>"4216499"</f>
        <v>4216499</v>
      </c>
      <c r="B25226" t="s">
        <v>20404</v>
      </c>
      <c r="C25226" t="s">
        <v>198</v>
      </c>
      <c r="D25226" s="21" t="s">
        <v>34</v>
      </c>
      <c r="E25226" s="21" t="s">
        <v>35</v>
      </c>
      <c r="F25226">
        <v>1420141</v>
      </c>
      <c r="G25226" t="s">
        <v>5190</v>
      </c>
      <c r="H25226" s="21">
        <v>640.66999999999996</v>
      </c>
    </row>
    <row r="25227" spans="1:8" customFormat="1" x14ac:dyDescent="0.25">
      <c r="A25227" t="str">
        <f>"3535270"</f>
        <v>3535270</v>
      </c>
      <c r="B25227" t="s">
        <v>18304</v>
      </c>
      <c r="C25227" t="s">
        <v>206</v>
      </c>
      <c r="D25227" s="21" t="s">
        <v>34</v>
      </c>
      <c r="E25227" s="21" t="s">
        <v>35</v>
      </c>
      <c r="F25227">
        <v>3350226</v>
      </c>
      <c r="G25227" t="s">
        <v>18219</v>
      </c>
      <c r="H25227" s="21">
        <v>640.66999999999996</v>
      </c>
    </row>
    <row r="25228" spans="1:8" customFormat="1" x14ac:dyDescent="0.25">
      <c r="A25228" t="str">
        <f>"5970595"</f>
        <v>5970595</v>
      </c>
      <c r="B25228" t="s">
        <v>19572</v>
      </c>
      <c r="C25228" t="s">
        <v>149</v>
      </c>
      <c r="D25228" s="21" t="s">
        <v>34</v>
      </c>
      <c r="E25228" s="21" t="s">
        <v>35</v>
      </c>
      <c r="F25228">
        <v>7590281</v>
      </c>
      <c r="G25228" t="s">
        <v>7165</v>
      </c>
      <c r="H25228" s="21">
        <v>640.66999999999996</v>
      </c>
    </row>
    <row r="25229" spans="1:8" customFormat="1" x14ac:dyDescent="0.25">
      <c r="A25229" t="str">
        <f>"3337908"</f>
        <v>3337908</v>
      </c>
      <c r="B25229" t="s">
        <v>8176</v>
      </c>
      <c r="C25229" t="s">
        <v>87</v>
      </c>
      <c r="D25229" s="21" t="s">
        <v>34</v>
      </c>
      <c r="E25229" s="21" t="s">
        <v>35</v>
      </c>
      <c r="F25229">
        <v>10330093</v>
      </c>
      <c r="G25229" t="s">
        <v>8324</v>
      </c>
      <c r="H25229" s="21">
        <v>640.66999999999996</v>
      </c>
    </row>
    <row r="25230" spans="1:8" customFormat="1" x14ac:dyDescent="0.25">
      <c r="A25230" t="str">
        <f>"0812040"</f>
        <v>0812040</v>
      </c>
      <c r="B25230" t="s">
        <v>1601</v>
      </c>
      <c r="C25230" t="s">
        <v>598</v>
      </c>
      <c r="D25230" s="21" t="s">
        <v>34</v>
      </c>
      <c r="E25230" s="21" t="s">
        <v>35</v>
      </c>
      <c r="F25230">
        <v>6080044</v>
      </c>
      <c r="G25230" t="s">
        <v>7450</v>
      </c>
      <c r="H25230" s="21">
        <v>640.66999999999996</v>
      </c>
    </row>
    <row r="25231" spans="1:8" customFormat="1" x14ac:dyDescent="0.25">
      <c r="A25231" t="str">
        <f>"6013611"</f>
        <v>6013611</v>
      </c>
      <c r="B25231" t="s">
        <v>6383</v>
      </c>
      <c r="C25231" t="s">
        <v>576</v>
      </c>
      <c r="D25231" s="21" t="s">
        <v>34</v>
      </c>
      <c r="E25231" s="21" t="s">
        <v>71</v>
      </c>
      <c r="F25231">
        <v>7800074</v>
      </c>
      <c r="G25231" t="s">
        <v>7104</v>
      </c>
      <c r="H25231" s="21">
        <v>640.66999999999996</v>
      </c>
    </row>
    <row r="25232" spans="1:8" customFormat="1" x14ac:dyDescent="0.25">
      <c r="A25232" t="str">
        <f>"3821747"</f>
        <v>3821747</v>
      </c>
      <c r="B25232" t="s">
        <v>19793</v>
      </c>
      <c r="C25232" t="s">
        <v>320</v>
      </c>
      <c r="D25232" s="21" t="s">
        <v>34</v>
      </c>
      <c r="E25232" s="21" t="s">
        <v>35</v>
      </c>
      <c r="F25232">
        <v>1380056</v>
      </c>
      <c r="G25232" t="s">
        <v>846</v>
      </c>
      <c r="H25232" s="21">
        <v>640.66999999999996</v>
      </c>
    </row>
    <row r="25233" spans="1:8" customFormat="1" x14ac:dyDescent="0.25">
      <c r="A25233" t="str">
        <f>"7718820"</f>
        <v>7718820</v>
      </c>
      <c r="B25233" t="s">
        <v>18510</v>
      </c>
      <c r="C25233" t="s">
        <v>498</v>
      </c>
      <c r="D25233" s="21" t="s">
        <v>34</v>
      </c>
      <c r="E25233" s="21" t="s">
        <v>71</v>
      </c>
      <c r="F25233">
        <v>8770911</v>
      </c>
      <c r="G25233" t="s">
        <v>4824</v>
      </c>
      <c r="H25233" s="21">
        <v>640.66999999999996</v>
      </c>
    </row>
    <row r="25234" spans="1:8" customFormat="1" x14ac:dyDescent="0.25">
      <c r="A25234" t="str">
        <f>"3812953"</f>
        <v>3812953</v>
      </c>
      <c r="B25234" t="s">
        <v>17767</v>
      </c>
      <c r="C25234" t="s">
        <v>3010</v>
      </c>
      <c r="D25234" s="21" t="s">
        <v>34</v>
      </c>
      <c r="E25234" s="21" t="s">
        <v>254</v>
      </c>
      <c r="F25234">
        <v>1380286</v>
      </c>
      <c r="G25234" t="s">
        <v>16669</v>
      </c>
      <c r="H25234" s="21">
        <v>640.66999999999996</v>
      </c>
    </row>
    <row r="25235" spans="1:8" customFormat="1" x14ac:dyDescent="0.25">
      <c r="A25235" t="str">
        <f>"721133"</f>
        <v>721133</v>
      </c>
      <c r="B25235" t="s">
        <v>18500</v>
      </c>
      <c r="C25235" t="s">
        <v>130</v>
      </c>
      <c r="D25235" s="21" t="s">
        <v>34</v>
      </c>
      <c r="E25235" s="21" t="s">
        <v>254</v>
      </c>
      <c r="F25235">
        <v>12720006</v>
      </c>
      <c r="G25235" t="s">
        <v>4022</v>
      </c>
      <c r="H25235" s="21">
        <v>640.66999999999996</v>
      </c>
    </row>
    <row r="25236" spans="1:8" customFormat="1" x14ac:dyDescent="0.25">
      <c r="A25236" t="str">
        <f>"638206"</f>
        <v>638206</v>
      </c>
      <c r="B25236" t="s">
        <v>2210</v>
      </c>
      <c r="C25236" t="s">
        <v>3010</v>
      </c>
      <c r="D25236" s="21" t="s">
        <v>34</v>
      </c>
      <c r="E25236" s="21" t="s">
        <v>254</v>
      </c>
      <c r="F25236">
        <v>1630332</v>
      </c>
      <c r="G25236" t="s">
        <v>27136</v>
      </c>
      <c r="H25236" s="21">
        <v>640.66999999999996</v>
      </c>
    </row>
    <row r="25237" spans="1:8" customFormat="1" x14ac:dyDescent="0.25">
      <c r="A25237" t="str">
        <f>"5617100"</f>
        <v>5617100</v>
      </c>
      <c r="B25237" t="s">
        <v>8461</v>
      </c>
      <c r="C25237" t="s">
        <v>33</v>
      </c>
      <c r="D25237" s="21" t="s">
        <v>34</v>
      </c>
      <c r="E25237" s="21" t="s">
        <v>35</v>
      </c>
      <c r="F25237">
        <v>3560020</v>
      </c>
      <c r="G25237" t="s">
        <v>426</v>
      </c>
      <c r="H25237" s="21">
        <v>640.66999999999996</v>
      </c>
    </row>
    <row r="25238" spans="1:8" customFormat="1" x14ac:dyDescent="0.25">
      <c r="A25238" t="str">
        <f>"8017617"</f>
        <v>8017617</v>
      </c>
      <c r="B25238" t="s">
        <v>3380</v>
      </c>
      <c r="C25238" t="s">
        <v>12304</v>
      </c>
      <c r="D25238" s="21" t="s">
        <v>34</v>
      </c>
      <c r="E25238" s="21" t="s">
        <v>254</v>
      </c>
      <c r="F25238">
        <v>7800005</v>
      </c>
      <c r="G25238" t="s">
        <v>6547</v>
      </c>
      <c r="H25238" s="21">
        <v>640.66999999999996</v>
      </c>
    </row>
    <row r="25239" spans="1:8" customFormat="1" x14ac:dyDescent="0.25">
      <c r="A25239" t="str">
        <f>"5975837"</f>
        <v>5975837</v>
      </c>
      <c r="B25239" t="s">
        <v>20075</v>
      </c>
      <c r="C25239" t="s">
        <v>269</v>
      </c>
      <c r="D25239" s="21" t="s">
        <v>34</v>
      </c>
      <c r="E25239" s="21" t="s">
        <v>71</v>
      </c>
      <c r="F25239">
        <v>7590393</v>
      </c>
      <c r="G25239" t="s">
        <v>7754</v>
      </c>
      <c r="H25239" s="21">
        <v>640.66999999999996</v>
      </c>
    </row>
    <row r="25240" spans="1:8" customFormat="1" x14ac:dyDescent="0.25">
      <c r="A25240" t="str">
        <f>"903597"</f>
        <v>903597</v>
      </c>
      <c r="B25240" t="s">
        <v>17956</v>
      </c>
      <c r="C25240" t="s">
        <v>598</v>
      </c>
      <c r="D25240" s="21" t="s">
        <v>34</v>
      </c>
      <c r="E25240" s="21" t="s">
        <v>71</v>
      </c>
      <c r="F25240">
        <v>2900041</v>
      </c>
      <c r="G25240" t="s">
        <v>4635</v>
      </c>
      <c r="H25240" s="21">
        <v>640.66999999999996</v>
      </c>
    </row>
    <row r="25241" spans="1:8" customFormat="1" x14ac:dyDescent="0.25">
      <c r="A25241" t="str">
        <f>"4211431"</f>
        <v>4211431</v>
      </c>
      <c r="B25241" t="s">
        <v>4147</v>
      </c>
      <c r="C25241" t="s">
        <v>825</v>
      </c>
      <c r="D25241" s="21" t="s">
        <v>34</v>
      </c>
      <c r="E25241" s="21" t="s">
        <v>35</v>
      </c>
      <c r="F25241">
        <v>1420153</v>
      </c>
      <c r="G25241" t="s">
        <v>8897</v>
      </c>
      <c r="H25241" s="21">
        <v>640.66999999999996</v>
      </c>
    </row>
    <row r="25242" spans="1:8" customFormat="1" x14ac:dyDescent="0.25">
      <c r="A25242" t="str">
        <f>"6247"</f>
        <v>6247</v>
      </c>
      <c r="B25242" t="s">
        <v>18311</v>
      </c>
      <c r="C25242" t="s">
        <v>2520</v>
      </c>
      <c r="D25242" s="21" t="s">
        <v>34</v>
      </c>
      <c r="E25242" s="21" t="s">
        <v>254</v>
      </c>
      <c r="F25242">
        <v>7620111</v>
      </c>
      <c r="G25242" t="s">
        <v>1372</v>
      </c>
      <c r="H25242" s="21">
        <v>640.66999999999996</v>
      </c>
    </row>
    <row r="25243" spans="1:8" customFormat="1" x14ac:dyDescent="0.25">
      <c r="A25243" t="str">
        <f>"6934305"</f>
        <v>6934305</v>
      </c>
      <c r="B25243" t="s">
        <v>15827</v>
      </c>
      <c r="C25243" t="s">
        <v>2475</v>
      </c>
      <c r="D25243" s="21" t="s">
        <v>34</v>
      </c>
      <c r="E25243" s="21" t="s">
        <v>35</v>
      </c>
      <c r="F25243">
        <v>1690221</v>
      </c>
      <c r="G25243" t="s">
        <v>303</v>
      </c>
      <c r="H25243" s="21">
        <v>640.66999999999996</v>
      </c>
    </row>
    <row r="25244" spans="1:8" customFormat="1" x14ac:dyDescent="0.25">
      <c r="A25244" t="str">
        <f>"1421664"</f>
        <v>1421664</v>
      </c>
      <c r="B25244" t="s">
        <v>146</v>
      </c>
      <c r="C25244" t="s">
        <v>415</v>
      </c>
      <c r="D25244" s="21" t="s">
        <v>34</v>
      </c>
      <c r="E25244" s="21" t="s">
        <v>1089</v>
      </c>
      <c r="F25244">
        <v>9140007</v>
      </c>
      <c r="G25244" t="s">
        <v>434</v>
      </c>
      <c r="H25244" s="21">
        <v>640.66999999999996</v>
      </c>
    </row>
    <row r="25245" spans="1:8" customFormat="1" x14ac:dyDescent="0.25">
      <c r="A25245" t="str">
        <f>"01208"</f>
        <v>01208</v>
      </c>
      <c r="B25245" t="s">
        <v>205</v>
      </c>
      <c r="C25245" t="s">
        <v>3010</v>
      </c>
      <c r="D25245" s="21" t="s">
        <v>34</v>
      </c>
      <c r="E25245" s="21" t="s">
        <v>254</v>
      </c>
      <c r="F25245">
        <v>1010020</v>
      </c>
      <c r="G25245" t="s">
        <v>6121</v>
      </c>
      <c r="H25245" s="21">
        <v>640.54</v>
      </c>
    </row>
    <row r="25246" spans="1:8" customFormat="1" x14ac:dyDescent="0.25">
      <c r="A25246" t="str">
        <f>"5311246"</f>
        <v>5311246</v>
      </c>
      <c r="B25246" t="s">
        <v>3270</v>
      </c>
      <c r="C25246" t="s">
        <v>198</v>
      </c>
      <c r="D25246" s="21" t="s">
        <v>34</v>
      </c>
      <c r="E25246" s="21" t="s">
        <v>254</v>
      </c>
      <c r="F25246">
        <v>12530054</v>
      </c>
      <c r="G25246" t="s">
        <v>354</v>
      </c>
      <c r="H25246" s="21">
        <v>640.5</v>
      </c>
    </row>
    <row r="25247" spans="1:8" customFormat="1" x14ac:dyDescent="0.25">
      <c r="A25247" t="str">
        <f>"1714273"</f>
        <v>1714273</v>
      </c>
      <c r="B25247" t="s">
        <v>19720</v>
      </c>
      <c r="C25247" t="s">
        <v>3115</v>
      </c>
      <c r="D25247" s="21" t="s">
        <v>34</v>
      </c>
      <c r="E25247" s="21" t="s">
        <v>71</v>
      </c>
      <c r="F25247">
        <v>11320041</v>
      </c>
      <c r="G25247" t="s">
        <v>4802</v>
      </c>
      <c r="H25247" s="21">
        <v>640.41999999999996</v>
      </c>
    </row>
    <row r="25248" spans="1:8" customFormat="1" x14ac:dyDescent="0.25">
      <c r="A25248" t="str">
        <f>"78254"</f>
        <v>78254</v>
      </c>
      <c r="B25248" t="s">
        <v>10902</v>
      </c>
      <c r="C25248" t="s">
        <v>598</v>
      </c>
      <c r="D25248" s="21" t="s">
        <v>34</v>
      </c>
      <c r="E25248" s="21" t="s">
        <v>254</v>
      </c>
      <c r="F25248">
        <v>10230105</v>
      </c>
      <c r="G25248" t="s">
        <v>9926</v>
      </c>
      <c r="H25248" s="21">
        <v>640.41999999999996</v>
      </c>
    </row>
    <row r="25249" spans="1:8" customFormat="1" x14ac:dyDescent="0.25">
      <c r="A25249" t="str">
        <f>"5422965"</f>
        <v>5422965</v>
      </c>
      <c r="B25249" t="s">
        <v>13599</v>
      </c>
      <c r="C25249" t="s">
        <v>1708</v>
      </c>
      <c r="D25249" s="21" t="s">
        <v>34</v>
      </c>
      <c r="E25249" s="21" t="s">
        <v>35</v>
      </c>
      <c r="F25249">
        <v>6570015</v>
      </c>
      <c r="G25249" t="s">
        <v>749</v>
      </c>
      <c r="H25249" s="21">
        <v>640.41999999999996</v>
      </c>
    </row>
    <row r="25250" spans="1:8" customFormat="1" x14ac:dyDescent="0.25">
      <c r="A25250" t="str">
        <f>"138062"</f>
        <v>138062</v>
      </c>
      <c r="B25250" t="s">
        <v>17053</v>
      </c>
      <c r="C25250" t="s">
        <v>1705</v>
      </c>
      <c r="D25250" s="21" t="s">
        <v>34</v>
      </c>
      <c r="E25250" s="21" t="s">
        <v>254</v>
      </c>
      <c r="F25250">
        <v>13130026</v>
      </c>
      <c r="G25250" t="s">
        <v>3792</v>
      </c>
      <c r="H25250" s="21">
        <v>640.29</v>
      </c>
    </row>
    <row r="25251" spans="1:8" customFormat="1" x14ac:dyDescent="0.25">
      <c r="A25251" t="str">
        <f>"847658"</f>
        <v>847658</v>
      </c>
      <c r="B25251" t="s">
        <v>19491</v>
      </c>
      <c r="C25251" t="s">
        <v>712</v>
      </c>
      <c r="D25251" s="21" t="s">
        <v>34</v>
      </c>
      <c r="E25251" s="21" t="s">
        <v>1089</v>
      </c>
      <c r="F25251">
        <v>13830088</v>
      </c>
      <c r="G25251" t="s">
        <v>17664</v>
      </c>
      <c r="H25251" s="21">
        <v>640.29</v>
      </c>
    </row>
    <row r="25252" spans="1:8" customFormat="1" x14ac:dyDescent="0.25">
      <c r="A25252" t="str">
        <f>"8016687"</f>
        <v>8016687</v>
      </c>
      <c r="B25252" t="s">
        <v>19573</v>
      </c>
      <c r="C25252" t="s">
        <v>98</v>
      </c>
      <c r="D25252" s="21" t="s">
        <v>34</v>
      </c>
      <c r="E25252" s="21" t="s">
        <v>35</v>
      </c>
      <c r="F25252">
        <v>7800141</v>
      </c>
      <c r="G25252" t="s">
        <v>9939</v>
      </c>
      <c r="H25252" s="21">
        <v>640.16999999999996</v>
      </c>
    </row>
    <row r="25253" spans="1:8" customFormat="1" x14ac:dyDescent="0.25">
      <c r="A25253" t="str">
        <f>"4219268"</f>
        <v>4219268</v>
      </c>
      <c r="B25253" t="s">
        <v>67</v>
      </c>
      <c r="C25253" t="s">
        <v>119</v>
      </c>
      <c r="D25253" s="21" t="s">
        <v>34</v>
      </c>
      <c r="E25253" s="21" t="s">
        <v>35</v>
      </c>
      <c r="F25253">
        <v>1420166</v>
      </c>
      <c r="G25253" t="s">
        <v>26873</v>
      </c>
      <c r="H25253" s="21">
        <v>640.16999999999996</v>
      </c>
    </row>
    <row r="25254" spans="1:8" customFormat="1" x14ac:dyDescent="0.25">
      <c r="A25254" t="str">
        <f>"3828889"</f>
        <v>3828889</v>
      </c>
      <c r="B25254" t="s">
        <v>19795</v>
      </c>
      <c r="C25254" t="s">
        <v>926</v>
      </c>
      <c r="D25254" s="21" t="s">
        <v>34</v>
      </c>
      <c r="E25254" s="21" t="s">
        <v>35</v>
      </c>
      <c r="F25254">
        <v>1380275</v>
      </c>
      <c r="G25254" t="s">
        <v>8042</v>
      </c>
      <c r="H25254" s="21">
        <v>640.16999999999996</v>
      </c>
    </row>
    <row r="25255" spans="1:8" customFormat="1" x14ac:dyDescent="0.25">
      <c r="A25255" t="str">
        <f>"5966602"</f>
        <v>5966602</v>
      </c>
      <c r="B25255" t="s">
        <v>280</v>
      </c>
      <c r="C25255" t="s">
        <v>90</v>
      </c>
      <c r="D25255" s="21" t="s">
        <v>34</v>
      </c>
      <c r="E25255" s="21" t="s">
        <v>35</v>
      </c>
      <c r="F25255">
        <v>7590112</v>
      </c>
      <c r="G25255" t="s">
        <v>3534</v>
      </c>
      <c r="H25255" s="21">
        <v>640.16999999999996</v>
      </c>
    </row>
    <row r="25256" spans="1:8" customFormat="1" x14ac:dyDescent="0.25">
      <c r="A25256" t="str">
        <f>"7724622"</f>
        <v>7724622</v>
      </c>
      <c r="B25256" t="s">
        <v>12571</v>
      </c>
      <c r="C25256" t="s">
        <v>239</v>
      </c>
      <c r="D25256" s="21" t="s">
        <v>34</v>
      </c>
      <c r="E25256" s="21" t="s">
        <v>71</v>
      </c>
      <c r="F25256">
        <v>8771201</v>
      </c>
      <c r="G25256" t="s">
        <v>9153</v>
      </c>
      <c r="H25256" s="21">
        <v>640.16999999999996</v>
      </c>
    </row>
    <row r="25257" spans="1:8" customFormat="1" x14ac:dyDescent="0.25">
      <c r="A25257" t="str">
        <f>"4213487"</f>
        <v>4213487</v>
      </c>
      <c r="B25257" t="s">
        <v>17409</v>
      </c>
      <c r="C25257" t="s">
        <v>249</v>
      </c>
      <c r="D25257" s="21" t="s">
        <v>34</v>
      </c>
      <c r="E25257" s="21" t="s">
        <v>71</v>
      </c>
      <c r="F25257">
        <v>1420080</v>
      </c>
      <c r="G25257" t="s">
        <v>10230</v>
      </c>
      <c r="H25257" s="21">
        <v>640.16999999999996</v>
      </c>
    </row>
    <row r="25258" spans="1:8" customFormat="1" x14ac:dyDescent="0.25">
      <c r="A25258" t="str">
        <f>"3726667"</f>
        <v>3726667</v>
      </c>
      <c r="B25258" t="s">
        <v>19272</v>
      </c>
      <c r="C25258" t="s">
        <v>493</v>
      </c>
      <c r="D25258" s="21" t="s">
        <v>34</v>
      </c>
      <c r="E25258" s="21" t="s">
        <v>35</v>
      </c>
      <c r="F25258">
        <v>4370465</v>
      </c>
      <c r="G25258" t="s">
        <v>26922</v>
      </c>
      <c r="H25258" s="21">
        <v>640.16999999999996</v>
      </c>
    </row>
    <row r="25259" spans="1:8" customFormat="1" x14ac:dyDescent="0.25">
      <c r="A25259" t="str">
        <f>"653761"</f>
        <v>653761</v>
      </c>
      <c r="B25259" t="s">
        <v>20100</v>
      </c>
      <c r="C25259" t="s">
        <v>209</v>
      </c>
      <c r="D25259" s="21" t="s">
        <v>34</v>
      </c>
      <c r="E25259" s="21" t="s">
        <v>71</v>
      </c>
      <c r="F25259">
        <v>11650016</v>
      </c>
      <c r="G25259" t="s">
        <v>9559</v>
      </c>
      <c r="H25259" s="21">
        <v>640.16999999999996</v>
      </c>
    </row>
    <row r="25260" spans="1:8" customFormat="1" x14ac:dyDescent="0.25">
      <c r="A25260" t="str">
        <f>"344065"</f>
        <v>344065</v>
      </c>
      <c r="B25260" t="s">
        <v>2854</v>
      </c>
      <c r="C25260" t="s">
        <v>547</v>
      </c>
      <c r="D25260" s="21" t="s">
        <v>34</v>
      </c>
      <c r="E25260" s="21" t="s">
        <v>1089</v>
      </c>
      <c r="F25260">
        <v>11340012</v>
      </c>
      <c r="G25260" t="s">
        <v>10413</v>
      </c>
      <c r="H25260" s="21">
        <v>640.16999999999996</v>
      </c>
    </row>
    <row r="25261" spans="1:8" customFormat="1" x14ac:dyDescent="0.25">
      <c r="A25261" t="str">
        <f>"5969820"</f>
        <v>5969820</v>
      </c>
      <c r="B25261" t="s">
        <v>7814</v>
      </c>
      <c r="C25261" t="s">
        <v>598</v>
      </c>
      <c r="D25261" s="21" t="s">
        <v>34</v>
      </c>
      <c r="E25261" s="21" t="s">
        <v>35</v>
      </c>
      <c r="F25261">
        <v>7590116</v>
      </c>
      <c r="G25261" t="s">
        <v>11019</v>
      </c>
      <c r="H25261" s="21">
        <v>640.16999999999996</v>
      </c>
    </row>
    <row r="25262" spans="1:8" customFormat="1" x14ac:dyDescent="0.25">
      <c r="A25262" t="str">
        <f>"3721994"</f>
        <v>3721994</v>
      </c>
      <c r="B25262" t="s">
        <v>8458</v>
      </c>
      <c r="C25262" t="s">
        <v>169</v>
      </c>
      <c r="D25262" s="21" t="s">
        <v>34</v>
      </c>
      <c r="E25262" s="21" t="s">
        <v>35</v>
      </c>
      <c r="F25262">
        <v>4370478</v>
      </c>
      <c r="G25262" t="s">
        <v>4735</v>
      </c>
      <c r="H25262" s="21">
        <v>640.16999999999996</v>
      </c>
    </row>
    <row r="25263" spans="1:8" customFormat="1" x14ac:dyDescent="0.25">
      <c r="A25263" t="str">
        <f>"3515928"</f>
        <v>3515928</v>
      </c>
      <c r="B25263" t="s">
        <v>641</v>
      </c>
      <c r="C25263" t="s">
        <v>1914</v>
      </c>
      <c r="D25263" s="21" t="s">
        <v>34</v>
      </c>
      <c r="E25263" s="21" t="s">
        <v>254</v>
      </c>
      <c r="F25263">
        <v>3350057</v>
      </c>
      <c r="G25263" t="s">
        <v>10712</v>
      </c>
      <c r="H25263" s="21">
        <v>640.16999999999996</v>
      </c>
    </row>
    <row r="25264" spans="1:8" customFormat="1" x14ac:dyDescent="0.25">
      <c r="A25264" t="str">
        <f>"3113898"</f>
        <v>3113898</v>
      </c>
      <c r="B25264" t="s">
        <v>20160</v>
      </c>
      <c r="C25264" t="s">
        <v>124</v>
      </c>
      <c r="D25264" s="21" t="s">
        <v>34</v>
      </c>
      <c r="E25264" s="21" t="s">
        <v>35</v>
      </c>
      <c r="F25264">
        <v>11310008</v>
      </c>
      <c r="G25264" t="s">
        <v>4269</v>
      </c>
      <c r="H25264" s="21">
        <v>640.16999999999996</v>
      </c>
    </row>
    <row r="25265" spans="1:8" customFormat="1" x14ac:dyDescent="0.25">
      <c r="A25265" t="str">
        <f>"5936736"</f>
        <v>5936736</v>
      </c>
      <c r="B25265" t="s">
        <v>27844</v>
      </c>
      <c r="C25265" t="s">
        <v>263</v>
      </c>
      <c r="D25265" s="21" t="s">
        <v>34</v>
      </c>
      <c r="E25265" s="21" t="s">
        <v>71</v>
      </c>
      <c r="F25265">
        <v>7590403</v>
      </c>
      <c r="G25265" t="s">
        <v>2545</v>
      </c>
      <c r="H25265" s="21">
        <v>640.16999999999996</v>
      </c>
    </row>
    <row r="25266" spans="1:8" customFormat="1" x14ac:dyDescent="0.25">
      <c r="A25266" t="str">
        <f>"259828"</f>
        <v>259828</v>
      </c>
      <c r="B25266" t="s">
        <v>18081</v>
      </c>
      <c r="C25266" t="s">
        <v>453</v>
      </c>
      <c r="D25266" s="21" t="s">
        <v>34</v>
      </c>
      <c r="E25266" s="21" t="s">
        <v>1089</v>
      </c>
      <c r="F25266">
        <v>2250217</v>
      </c>
      <c r="G25266" t="s">
        <v>11815</v>
      </c>
      <c r="H25266" s="21">
        <v>640.16999999999996</v>
      </c>
    </row>
    <row r="25267" spans="1:8" customFormat="1" x14ac:dyDescent="0.25">
      <c r="A25267" t="str">
        <f>"8615080"</f>
        <v>8615080</v>
      </c>
      <c r="B25267" t="s">
        <v>19979</v>
      </c>
      <c r="C25267" t="s">
        <v>90</v>
      </c>
      <c r="D25267" s="21" t="s">
        <v>34</v>
      </c>
      <c r="E25267" s="21" t="s">
        <v>35</v>
      </c>
      <c r="F25267">
        <v>10860016</v>
      </c>
      <c r="G25267" t="s">
        <v>3289</v>
      </c>
      <c r="H25267" s="21">
        <v>640.16999999999996</v>
      </c>
    </row>
    <row r="25268" spans="1:8" customFormat="1" x14ac:dyDescent="0.25">
      <c r="A25268" t="str">
        <f>"6023087"</f>
        <v>6023087</v>
      </c>
      <c r="B25268" t="s">
        <v>6460</v>
      </c>
      <c r="C25268" t="s">
        <v>109</v>
      </c>
      <c r="D25268" s="21" t="s">
        <v>34</v>
      </c>
      <c r="E25268" s="21" t="s">
        <v>71</v>
      </c>
      <c r="F25268">
        <v>7600009</v>
      </c>
      <c r="G25268" t="s">
        <v>11824</v>
      </c>
      <c r="H25268" s="21">
        <v>640.16999999999996</v>
      </c>
    </row>
    <row r="25269" spans="1:8" customFormat="1" x14ac:dyDescent="0.25">
      <c r="A25269" t="str">
        <f>"2214170"</f>
        <v>2214170</v>
      </c>
      <c r="B25269" t="s">
        <v>19389</v>
      </c>
      <c r="C25269" t="s">
        <v>415</v>
      </c>
      <c r="D25269" s="21" t="s">
        <v>34</v>
      </c>
      <c r="E25269" s="21" t="s">
        <v>35</v>
      </c>
      <c r="F25269">
        <v>3220041</v>
      </c>
      <c r="G25269" t="s">
        <v>27133</v>
      </c>
      <c r="H25269" s="21">
        <v>640.16999999999996</v>
      </c>
    </row>
    <row r="25270" spans="1:8" customFormat="1" x14ac:dyDescent="0.25">
      <c r="A25270" t="str">
        <f>"3116783"</f>
        <v>3116783</v>
      </c>
      <c r="B25270" t="s">
        <v>7322</v>
      </c>
      <c r="C25270" t="s">
        <v>879</v>
      </c>
      <c r="D25270" s="21" t="s">
        <v>34</v>
      </c>
      <c r="E25270" s="21" t="s">
        <v>71</v>
      </c>
      <c r="F25270">
        <v>11310029</v>
      </c>
      <c r="G25270" t="s">
        <v>3717</v>
      </c>
      <c r="H25270" s="21">
        <v>640.16999999999996</v>
      </c>
    </row>
    <row r="25271" spans="1:8" customFormat="1" x14ac:dyDescent="0.25">
      <c r="A25271" t="str">
        <f>"3343431"</f>
        <v>3343431</v>
      </c>
      <c r="B25271" t="s">
        <v>20243</v>
      </c>
      <c r="C25271" t="s">
        <v>20244</v>
      </c>
      <c r="D25271" s="21" t="s">
        <v>34</v>
      </c>
      <c r="E25271" s="21" t="s">
        <v>35</v>
      </c>
      <c r="F25271">
        <v>10330046</v>
      </c>
      <c r="G25271" t="s">
        <v>1787</v>
      </c>
      <c r="H25271" s="21">
        <v>640.04</v>
      </c>
    </row>
    <row r="25272" spans="1:8" customFormat="1" x14ac:dyDescent="0.25">
      <c r="A25272" t="str">
        <f>"627867"</f>
        <v>627867</v>
      </c>
      <c r="B25272" t="s">
        <v>18239</v>
      </c>
      <c r="C25272" t="s">
        <v>269</v>
      </c>
      <c r="D25272" s="21" t="s">
        <v>34</v>
      </c>
      <c r="E25272" s="21" t="s">
        <v>35</v>
      </c>
      <c r="F25272">
        <v>7620092</v>
      </c>
      <c r="G25272" t="s">
        <v>9874</v>
      </c>
      <c r="H25272" s="21">
        <v>639.91999999999996</v>
      </c>
    </row>
    <row r="25273" spans="1:8" customFormat="1" x14ac:dyDescent="0.25">
      <c r="A25273" t="str">
        <f>"3419053"</f>
        <v>3419053</v>
      </c>
      <c r="B25273" t="s">
        <v>10708</v>
      </c>
      <c r="C25273" t="s">
        <v>87</v>
      </c>
      <c r="D25273" s="21" t="s">
        <v>34</v>
      </c>
      <c r="E25273" s="21" t="s">
        <v>35</v>
      </c>
      <c r="F25273">
        <v>11340049</v>
      </c>
      <c r="G25273" t="s">
        <v>13479</v>
      </c>
      <c r="H25273" s="21">
        <v>639.91999999999996</v>
      </c>
    </row>
    <row r="25274" spans="1:8" customFormat="1" x14ac:dyDescent="0.25">
      <c r="A25274" t="str">
        <f>"3524333"</f>
        <v>3524333</v>
      </c>
      <c r="B25274" t="s">
        <v>17593</v>
      </c>
      <c r="C25274" t="s">
        <v>139</v>
      </c>
      <c r="D25274" s="21" t="s">
        <v>34</v>
      </c>
      <c r="E25274" s="21" t="s">
        <v>71</v>
      </c>
      <c r="F25274">
        <v>3350113</v>
      </c>
      <c r="G25274" t="s">
        <v>7631</v>
      </c>
      <c r="H25274" s="21">
        <v>639.66999999999996</v>
      </c>
    </row>
    <row r="25275" spans="1:8" customFormat="1" x14ac:dyDescent="0.25">
      <c r="A25275" t="str">
        <f>"5963584"</f>
        <v>5963584</v>
      </c>
      <c r="B25275" t="s">
        <v>23402</v>
      </c>
      <c r="C25275" t="s">
        <v>415</v>
      </c>
      <c r="D25275" s="21" t="s">
        <v>34</v>
      </c>
      <c r="E25275" s="21" t="s">
        <v>254</v>
      </c>
      <c r="F25275">
        <v>7590170</v>
      </c>
      <c r="G25275" t="s">
        <v>868</v>
      </c>
      <c r="H25275" s="21">
        <v>639.66999999999996</v>
      </c>
    </row>
    <row r="25276" spans="1:8" customFormat="1" x14ac:dyDescent="0.25">
      <c r="A25276" t="str">
        <f>"3710702"</f>
        <v>3710702</v>
      </c>
      <c r="B25276" t="s">
        <v>18332</v>
      </c>
      <c r="C25276" t="s">
        <v>822</v>
      </c>
      <c r="D25276" s="21" t="s">
        <v>34</v>
      </c>
      <c r="E25276" s="21" t="s">
        <v>1089</v>
      </c>
      <c r="F25276">
        <v>4370269</v>
      </c>
      <c r="G25276" t="s">
        <v>4277</v>
      </c>
      <c r="H25276" s="21">
        <v>639.66999999999996</v>
      </c>
    </row>
    <row r="25277" spans="1:8" customFormat="1" x14ac:dyDescent="0.25">
      <c r="A25277" t="str">
        <f>"7611"</f>
        <v>7611</v>
      </c>
      <c r="B25277" t="s">
        <v>18228</v>
      </c>
      <c r="C25277" t="s">
        <v>453</v>
      </c>
      <c r="D25277" s="21" t="s">
        <v>34</v>
      </c>
      <c r="E25277" s="21" t="s">
        <v>1089</v>
      </c>
      <c r="F25277">
        <v>9760239</v>
      </c>
      <c r="G25277" t="s">
        <v>9147</v>
      </c>
      <c r="H25277" s="21">
        <v>639.66999999999996</v>
      </c>
    </row>
    <row r="25278" spans="1:8" customFormat="1" x14ac:dyDescent="0.25">
      <c r="A25278" t="str">
        <f>"3532222"</f>
        <v>3532222</v>
      </c>
      <c r="B25278" t="s">
        <v>18252</v>
      </c>
      <c r="C25278" t="s">
        <v>33</v>
      </c>
      <c r="D25278" s="21" t="s">
        <v>34</v>
      </c>
      <c r="E25278" s="21" t="s">
        <v>35</v>
      </c>
      <c r="F25278">
        <v>3350001</v>
      </c>
      <c r="G25278" t="s">
        <v>17502</v>
      </c>
      <c r="H25278" s="21">
        <v>639.66999999999996</v>
      </c>
    </row>
    <row r="25279" spans="1:8" customFormat="1" x14ac:dyDescent="0.25">
      <c r="A25279" t="str">
        <f>"7629148"</f>
        <v>7629148</v>
      </c>
      <c r="B25279" t="s">
        <v>18319</v>
      </c>
      <c r="C25279" t="s">
        <v>2356</v>
      </c>
      <c r="D25279" s="21" t="s">
        <v>34</v>
      </c>
      <c r="E25279" s="21" t="s">
        <v>35</v>
      </c>
      <c r="F25279">
        <v>8950481</v>
      </c>
      <c r="G25279" t="s">
        <v>1472</v>
      </c>
      <c r="H25279" s="21">
        <v>639.66999999999996</v>
      </c>
    </row>
    <row r="25280" spans="1:8" customFormat="1" x14ac:dyDescent="0.25">
      <c r="A25280" t="str">
        <f>"1415015"</f>
        <v>1415015</v>
      </c>
      <c r="B25280" t="s">
        <v>27845</v>
      </c>
      <c r="C25280" t="s">
        <v>817</v>
      </c>
      <c r="D25280" s="21" t="s">
        <v>34</v>
      </c>
      <c r="E25280" s="21" t="s">
        <v>254</v>
      </c>
      <c r="F25280">
        <v>9140115</v>
      </c>
      <c r="G25280" t="s">
        <v>26590</v>
      </c>
      <c r="H25280" s="21">
        <v>639.66999999999996</v>
      </c>
    </row>
    <row r="25281" spans="1:8" customFormat="1" x14ac:dyDescent="0.25">
      <c r="A25281" t="str">
        <f>"0211830"</f>
        <v>0211830</v>
      </c>
      <c r="B25281" t="s">
        <v>19583</v>
      </c>
      <c r="C25281" t="s">
        <v>2053</v>
      </c>
      <c r="D25281" s="21" t="s">
        <v>34</v>
      </c>
      <c r="E25281" s="21" t="s">
        <v>35</v>
      </c>
      <c r="F25281">
        <v>7020013</v>
      </c>
      <c r="G25281" t="s">
        <v>14136</v>
      </c>
      <c r="H25281" s="21">
        <v>639.66999999999996</v>
      </c>
    </row>
    <row r="25282" spans="1:8" customFormat="1" x14ac:dyDescent="0.25">
      <c r="A25282" t="str">
        <f>"2814648"</f>
        <v>2814648</v>
      </c>
      <c r="B25282" t="s">
        <v>19196</v>
      </c>
      <c r="C25282" t="s">
        <v>37</v>
      </c>
      <c r="D25282" s="21" t="s">
        <v>34</v>
      </c>
      <c r="E25282" s="21" t="s">
        <v>35</v>
      </c>
      <c r="F25282">
        <v>4280202</v>
      </c>
      <c r="G25282" t="s">
        <v>2945</v>
      </c>
      <c r="H25282" s="21">
        <v>639.66999999999996</v>
      </c>
    </row>
    <row r="25283" spans="1:8" customFormat="1" x14ac:dyDescent="0.25">
      <c r="A25283" t="str">
        <f>"7819827"</f>
        <v>7819827</v>
      </c>
      <c r="B25283" t="s">
        <v>18600</v>
      </c>
      <c r="C25283" t="s">
        <v>249</v>
      </c>
      <c r="D25283" s="21" t="s">
        <v>34</v>
      </c>
      <c r="E25283" s="21" t="s">
        <v>254</v>
      </c>
      <c r="F25283">
        <v>8781266</v>
      </c>
      <c r="G25283" t="s">
        <v>26704</v>
      </c>
      <c r="H25283" s="21">
        <v>639.66999999999996</v>
      </c>
    </row>
    <row r="25284" spans="1:8" customFormat="1" x14ac:dyDescent="0.25">
      <c r="A25284" t="str">
        <f>"588608"</f>
        <v>588608</v>
      </c>
      <c r="B25284" t="s">
        <v>4029</v>
      </c>
      <c r="C25284" t="s">
        <v>498</v>
      </c>
      <c r="D25284" s="21" t="s">
        <v>34</v>
      </c>
      <c r="E25284" s="21" t="s">
        <v>35</v>
      </c>
      <c r="F25284">
        <v>2580035</v>
      </c>
      <c r="G25284" t="s">
        <v>5991</v>
      </c>
      <c r="H25284" s="21">
        <v>639.66999999999996</v>
      </c>
    </row>
    <row r="25285" spans="1:8" customFormat="1" x14ac:dyDescent="0.25">
      <c r="A25285" t="str">
        <f>"3535699"</f>
        <v>3535699</v>
      </c>
      <c r="B25285" t="s">
        <v>17270</v>
      </c>
      <c r="C25285" t="s">
        <v>87</v>
      </c>
      <c r="D25285" s="21" t="s">
        <v>34</v>
      </c>
      <c r="E25285" s="21" t="s">
        <v>71</v>
      </c>
      <c r="F25285">
        <v>3350009</v>
      </c>
      <c r="G25285" t="s">
        <v>1823</v>
      </c>
      <c r="H25285" s="21">
        <v>639.66999999999996</v>
      </c>
    </row>
    <row r="25286" spans="1:8" customFormat="1" x14ac:dyDescent="0.25">
      <c r="A25286" t="str">
        <f>"3535286"</f>
        <v>3535286</v>
      </c>
      <c r="B25286" t="s">
        <v>21483</v>
      </c>
      <c r="C25286" t="s">
        <v>65</v>
      </c>
      <c r="D25286" s="21" t="s">
        <v>34</v>
      </c>
      <c r="E25286" s="21" t="s">
        <v>71</v>
      </c>
      <c r="F25286">
        <v>3350091</v>
      </c>
      <c r="G25286" t="s">
        <v>5864</v>
      </c>
      <c r="H25286" s="21">
        <v>639.66999999999996</v>
      </c>
    </row>
    <row r="25287" spans="1:8" customFormat="1" x14ac:dyDescent="0.25">
      <c r="A25287" t="str">
        <f>"6021768"</f>
        <v>6021768</v>
      </c>
      <c r="B25287" t="s">
        <v>19783</v>
      </c>
      <c r="C25287" t="s">
        <v>547</v>
      </c>
      <c r="D25287" s="21" t="s">
        <v>34</v>
      </c>
      <c r="E25287" s="21" t="s">
        <v>254</v>
      </c>
      <c r="F25287">
        <v>7600111</v>
      </c>
      <c r="G25287" t="s">
        <v>6914</v>
      </c>
      <c r="H25287" s="21">
        <v>639.66999999999996</v>
      </c>
    </row>
    <row r="25288" spans="1:8" customFormat="1" x14ac:dyDescent="0.25">
      <c r="A25288" t="str">
        <f>"2510359"</f>
        <v>2510359</v>
      </c>
      <c r="B25288" t="s">
        <v>16566</v>
      </c>
      <c r="C25288" t="s">
        <v>2806</v>
      </c>
      <c r="D25288" s="21" t="s">
        <v>34</v>
      </c>
      <c r="E25288" s="21" t="s">
        <v>35</v>
      </c>
      <c r="F25288">
        <v>2250229</v>
      </c>
      <c r="G25288" t="s">
        <v>5004</v>
      </c>
      <c r="H25288" s="21">
        <v>639.66999999999996</v>
      </c>
    </row>
    <row r="25289" spans="1:8" customFormat="1" x14ac:dyDescent="0.25">
      <c r="A25289" t="str">
        <f>"7627254"</f>
        <v>7627254</v>
      </c>
      <c r="B25289" t="s">
        <v>623</v>
      </c>
      <c r="C25289" t="s">
        <v>6285</v>
      </c>
      <c r="D25289" s="21" t="s">
        <v>34</v>
      </c>
      <c r="E25289" s="21" t="s">
        <v>254</v>
      </c>
      <c r="F25289">
        <v>9760377</v>
      </c>
      <c r="G25289" t="s">
        <v>6631</v>
      </c>
      <c r="H25289" s="21">
        <v>639.66999999999996</v>
      </c>
    </row>
    <row r="25290" spans="1:8" customFormat="1" x14ac:dyDescent="0.25">
      <c r="A25290" t="str">
        <f>"5962977"</f>
        <v>5962977</v>
      </c>
      <c r="B25290" t="s">
        <v>19460</v>
      </c>
      <c r="C25290" t="s">
        <v>719</v>
      </c>
      <c r="D25290" s="21" t="s">
        <v>34</v>
      </c>
      <c r="E25290" s="21" t="s">
        <v>35</v>
      </c>
      <c r="F25290">
        <v>7590260</v>
      </c>
      <c r="G25290" t="s">
        <v>3043</v>
      </c>
      <c r="H25290" s="21">
        <v>639.66999999999996</v>
      </c>
    </row>
    <row r="25291" spans="1:8" customFormat="1" x14ac:dyDescent="0.25">
      <c r="A25291" t="str">
        <f>"0212281"</f>
        <v>0212281</v>
      </c>
      <c r="B25291" t="s">
        <v>2139</v>
      </c>
      <c r="C25291" t="s">
        <v>5009</v>
      </c>
      <c r="D25291" s="21" t="s">
        <v>34</v>
      </c>
      <c r="E25291" s="21" t="s">
        <v>254</v>
      </c>
      <c r="F25291">
        <v>7021015</v>
      </c>
      <c r="G25291" t="s">
        <v>27639</v>
      </c>
      <c r="H25291" s="21">
        <v>639.66999999999996</v>
      </c>
    </row>
    <row r="25292" spans="1:8" customFormat="1" x14ac:dyDescent="0.25">
      <c r="A25292" t="str">
        <f>"4451119"</f>
        <v>4451119</v>
      </c>
      <c r="B25292" t="s">
        <v>2762</v>
      </c>
      <c r="C25292" t="s">
        <v>484</v>
      </c>
      <c r="D25292" s="21" t="s">
        <v>34</v>
      </c>
      <c r="E25292" s="21" t="s">
        <v>35</v>
      </c>
      <c r="F25292">
        <v>12440141</v>
      </c>
      <c r="G25292" t="s">
        <v>3234</v>
      </c>
      <c r="H25292" s="21">
        <v>639.66999999999996</v>
      </c>
    </row>
    <row r="25293" spans="1:8" customFormat="1" x14ac:dyDescent="0.25">
      <c r="A25293" t="str">
        <f>"876319"</f>
        <v>876319</v>
      </c>
      <c r="B25293" t="s">
        <v>15477</v>
      </c>
      <c r="C25293" t="s">
        <v>1468</v>
      </c>
      <c r="D25293" s="21" t="s">
        <v>34</v>
      </c>
      <c r="E25293" s="21" t="s">
        <v>71</v>
      </c>
      <c r="F25293">
        <v>10870101</v>
      </c>
      <c r="G25293" t="s">
        <v>6607</v>
      </c>
      <c r="H25293" s="21">
        <v>639.66999999999996</v>
      </c>
    </row>
    <row r="25294" spans="1:8" customFormat="1" x14ac:dyDescent="0.25">
      <c r="A25294" t="str">
        <f>"628769"</f>
        <v>628769</v>
      </c>
      <c r="B25294" t="s">
        <v>5735</v>
      </c>
      <c r="C25294" t="s">
        <v>528</v>
      </c>
      <c r="D25294" s="21" t="s">
        <v>34</v>
      </c>
      <c r="E25294" s="21" t="s">
        <v>1089</v>
      </c>
      <c r="F25294">
        <v>7620029</v>
      </c>
      <c r="G25294" t="s">
        <v>7730</v>
      </c>
      <c r="H25294" s="21">
        <v>639.66999999999996</v>
      </c>
    </row>
    <row r="25295" spans="1:8" customFormat="1" x14ac:dyDescent="0.25">
      <c r="A25295" t="str">
        <f>"1315828"</f>
        <v>1315828</v>
      </c>
      <c r="B25295" t="s">
        <v>27846</v>
      </c>
      <c r="C25295" t="s">
        <v>1914</v>
      </c>
      <c r="D25295" s="21" t="s">
        <v>34</v>
      </c>
      <c r="E25295" s="21" t="s">
        <v>35</v>
      </c>
      <c r="F25295">
        <v>13130162</v>
      </c>
      <c r="G25295" t="s">
        <v>13411</v>
      </c>
      <c r="H25295" s="21">
        <v>639.66999999999996</v>
      </c>
    </row>
    <row r="25296" spans="1:8" customFormat="1" x14ac:dyDescent="0.25">
      <c r="A25296" t="str">
        <f>"6112174"</f>
        <v>6112174</v>
      </c>
      <c r="B25296" t="s">
        <v>1610</v>
      </c>
      <c r="C25296" t="s">
        <v>98</v>
      </c>
      <c r="D25296" s="21" t="s">
        <v>34</v>
      </c>
      <c r="E25296" s="21" t="s">
        <v>35</v>
      </c>
      <c r="F25296">
        <v>9610031</v>
      </c>
      <c r="G25296" t="s">
        <v>1792</v>
      </c>
      <c r="H25296" s="21">
        <v>639.66999999999996</v>
      </c>
    </row>
    <row r="25297" spans="1:8" customFormat="1" x14ac:dyDescent="0.25">
      <c r="A25297" t="str">
        <f>"776657"</f>
        <v>776657</v>
      </c>
      <c r="B25297" t="s">
        <v>18734</v>
      </c>
      <c r="C25297" t="s">
        <v>1914</v>
      </c>
      <c r="D25297" s="21" t="s">
        <v>34</v>
      </c>
      <c r="E25297" s="21" t="s">
        <v>254</v>
      </c>
      <c r="F25297">
        <v>8771200</v>
      </c>
      <c r="G25297" t="s">
        <v>5455</v>
      </c>
      <c r="H25297" s="21">
        <v>639.54</v>
      </c>
    </row>
    <row r="25298" spans="1:8" customFormat="1" x14ac:dyDescent="0.25">
      <c r="A25298" t="str">
        <f>"1421884"</f>
        <v>1421884</v>
      </c>
      <c r="B25298" t="s">
        <v>18834</v>
      </c>
      <c r="C25298" t="s">
        <v>124</v>
      </c>
      <c r="D25298" s="21" t="s">
        <v>34</v>
      </c>
      <c r="E25298" s="21" t="s">
        <v>71</v>
      </c>
      <c r="F25298">
        <v>9140202</v>
      </c>
      <c r="G25298" t="s">
        <v>2011</v>
      </c>
      <c r="H25298" s="21">
        <v>639.54</v>
      </c>
    </row>
    <row r="25299" spans="1:8" customFormat="1" x14ac:dyDescent="0.25">
      <c r="A25299" t="str">
        <f>"5981905"</f>
        <v>5981905</v>
      </c>
      <c r="B25299" t="s">
        <v>5570</v>
      </c>
      <c r="C25299" t="s">
        <v>288</v>
      </c>
      <c r="D25299" s="21" t="s">
        <v>34</v>
      </c>
      <c r="E25299" s="21" t="s">
        <v>35</v>
      </c>
      <c r="F25299">
        <v>7590177</v>
      </c>
      <c r="G25299" t="s">
        <v>10380</v>
      </c>
      <c r="H25299" s="21">
        <v>639.41999999999996</v>
      </c>
    </row>
    <row r="25300" spans="1:8" customFormat="1" x14ac:dyDescent="0.25">
      <c r="A25300" t="str">
        <f>"5963838"</f>
        <v>5963838</v>
      </c>
      <c r="B25300" t="s">
        <v>5247</v>
      </c>
      <c r="C25300" t="s">
        <v>169</v>
      </c>
      <c r="D25300" s="21" t="s">
        <v>34</v>
      </c>
      <c r="E25300" s="21" t="s">
        <v>35</v>
      </c>
      <c r="F25300">
        <v>7590331</v>
      </c>
      <c r="G25300" t="s">
        <v>4882</v>
      </c>
      <c r="H25300" s="21">
        <v>639.41999999999996</v>
      </c>
    </row>
    <row r="25301" spans="1:8" customFormat="1" x14ac:dyDescent="0.25">
      <c r="A25301" t="str">
        <f>"2714762"</f>
        <v>2714762</v>
      </c>
      <c r="B25301" t="s">
        <v>18439</v>
      </c>
      <c r="C25301" t="s">
        <v>7905</v>
      </c>
      <c r="D25301" s="21" t="s">
        <v>34</v>
      </c>
      <c r="E25301" s="21" t="s">
        <v>254</v>
      </c>
      <c r="F25301">
        <v>9270071</v>
      </c>
      <c r="G25301" t="s">
        <v>7815</v>
      </c>
      <c r="H25301" s="21">
        <v>639.41999999999996</v>
      </c>
    </row>
    <row r="25302" spans="1:8" customFormat="1" x14ac:dyDescent="0.25">
      <c r="A25302" t="str">
        <f>"3115341"</f>
        <v>3115341</v>
      </c>
      <c r="B25302" t="s">
        <v>13022</v>
      </c>
      <c r="C25302" t="s">
        <v>169</v>
      </c>
      <c r="D25302" s="21" t="s">
        <v>34</v>
      </c>
      <c r="E25302" s="21" t="s">
        <v>35</v>
      </c>
      <c r="F25302">
        <v>11310117</v>
      </c>
      <c r="G25302" t="s">
        <v>10279</v>
      </c>
      <c r="H25302" s="21">
        <v>639.41999999999996</v>
      </c>
    </row>
    <row r="25303" spans="1:8" customFormat="1" x14ac:dyDescent="0.25">
      <c r="A25303" t="str">
        <f>"4428155"</f>
        <v>4428155</v>
      </c>
      <c r="B25303" t="s">
        <v>19726</v>
      </c>
      <c r="C25303" t="s">
        <v>33</v>
      </c>
      <c r="D25303" s="21" t="s">
        <v>34</v>
      </c>
      <c r="E25303" s="21" t="s">
        <v>35</v>
      </c>
      <c r="F25303">
        <v>12440030</v>
      </c>
      <c r="G25303" t="s">
        <v>5524</v>
      </c>
      <c r="H25303" s="21">
        <v>639.41999999999996</v>
      </c>
    </row>
    <row r="25304" spans="1:8" customFormat="1" x14ac:dyDescent="0.25">
      <c r="A25304" t="str">
        <f>"9315450"</f>
        <v>9315450</v>
      </c>
      <c r="B25304" t="s">
        <v>18685</v>
      </c>
      <c r="C25304" t="s">
        <v>1025</v>
      </c>
      <c r="D25304" s="21" t="s">
        <v>34</v>
      </c>
      <c r="E25304" s="21" t="s">
        <v>71</v>
      </c>
      <c r="F25304">
        <v>8931320</v>
      </c>
      <c r="G25304" t="s">
        <v>1537</v>
      </c>
      <c r="H25304" s="21">
        <v>639.29</v>
      </c>
    </row>
    <row r="25305" spans="1:8" customFormat="1" x14ac:dyDescent="0.25">
      <c r="A25305" t="str">
        <f>"6023374"</f>
        <v>6023374</v>
      </c>
      <c r="B25305" t="s">
        <v>27847</v>
      </c>
      <c r="C25305" t="s">
        <v>874</v>
      </c>
      <c r="D25305" s="21" t="s">
        <v>34</v>
      </c>
      <c r="E25305" s="21" t="s">
        <v>35</v>
      </c>
      <c r="F25305">
        <v>7600171</v>
      </c>
      <c r="G25305" t="s">
        <v>4705</v>
      </c>
      <c r="H25305" s="21">
        <v>639.16999999999996</v>
      </c>
    </row>
    <row r="25306" spans="1:8" customFormat="1" x14ac:dyDescent="0.25">
      <c r="A25306" t="str">
        <f>"9455231"</f>
        <v>9455231</v>
      </c>
      <c r="B25306" t="s">
        <v>20752</v>
      </c>
      <c r="C25306" t="s">
        <v>169</v>
      </c>
      <c r="D25306" s="21" t="s">
        <v>34</v>
      </c>
      <c r="E25306" s="21" t="s">
        <v>35</v>
      </c>
      <c r="F25306">
        <v>8940096</v>
      </c>
      <c r="G25306" t="s">
        <v>5453</v>
      </c>
      <c r="H25306" s="21">
        <v>639.16999999999996</v>
      </c>
    </row>
    <row r="25307" spans="1:8" customFormat="1" x14ac:dyDescent="0.25">
      <c r="A25307" t="str">
        <f>"8523218"</f>
        <v>8523218</v>
      </c>
      <c r="B25307" t="s">
        <v>18148</v>
      </c>
      <c r="C25307" t="s">
        <v>1559</v>
      </c>
      <c r="D25307" s="21" t="s">
        <v>34</v>
      </c>
      <c r="E25307" s="21" t="s">
        <v>35</v>
      </c>
      <c r="F25307">
        <v>12850167</v>
      </c>
      <c r="G25307" t="s">
        <v>7617</v>
      </c>
      <c r="H25307" s="21">
        <v>639.16999999999996</v>
      </c>
    </row>
    <row r="25308" spans="1:8" customFormat="1" x14ac:dyDescent="0.25">
      <c r="A25308" t="str">
        <f>"726239"</f>
        <v>726239</v>
      </c>
      <c r="B25308" t="s">
        <v>9025</v>
      </c>
      <c r="C25308" t="s">
        <v>3859</v>
      </c>
      <c r="D25308" s="21" t="s">
        <v>34</v>
      </c>
      <c r="E25308" s="21" t="s">
        <v>35</v>
      </c>
      <c r="F25308">
        <v>12720050</v>
      </c>
      <c r="G25308" t="s">
        <v>5522</v>
      </c>
      <c r="H25308" s="21">
        <v>639.16999999999996</v>
      </c>
    </row>
    <row r="25309" spans="1:8" customFormat="1" x14ac:dyDescent="0.25">
      <c r="A25309" t="str">
        <f>"477238"</f>
        <v>477238</v>
      </c>
      <c r="B25309" t="s">
        <v>482</v>
      </c>
      <c r="C25309" t="s">
        <v>2384</v>
      </c>
      <c r="D25309" s="21" t="s">
        <v>34</v>
      </c>
      <c r="E25309" s="21" t="s">
        <v>71</v>
      </c>
      <c r="F25309">
        <v>10470005</v>
      </c>
      <c r="G25309" t="s">
        <v>4216</v>
      </c>
      <c r="H25309" s="21">
        <v>639.16999999999996</v>
      </c>
    </row>
    <row r="25310" spans="1:8" customFormat="1" x14ac:dyDescent="0.25">
      <c r="A25310" t="str">
        <f>"4430031"</f>
        <v>4430031</v>
      </c>
      <c r="B25310" t="s">
        <v>18832</v>
      </c>
      <c r="C25310" t="s">
        <v>484</v>
      </c>
      <c r="D25310" s="21" t="s">
        <v>34</v>
      </c>
      <c r="E25310" s="21" t="s">
        <v>35</v>
      </c>
      <c r="F25310">
        <v>12440227</v>
      </c>
      <c r="G25310" t="s">
        <v>19150</v>
      </c>
      <c r="H25310" s="21">
        <v>639.16999999999996</v>
      </c>
    </row>
    <row r="25311" spans="1:8" customFormat="1" x14ac:dyDescent="0.25">
      <c r="A25311" t="str">
        <f>"5019985"</f>
        <v>5019985</v>
      </c>
      <c r="B25311" t="s">
        <v>27848</v>
      </c>
      <c r="C25311" t="s">
        <v>1782</v>
      </c>
      <c r="D25311" s="21" t="s">
        <v>34</v>
      </c>
      <c r="E25311" s="21" t="s">
        <v>35</v>
      </c>
      <c r="F25311">
        <v>9500132</v>
      </c>
      <c r="G25311" t="s">
        <v>11167</v>
      </c>
      <c r="H25311" s="21">
        <v>639.16999999999996</v>
      </c>
    </row>
    <row r="25312" spans="1:8" customFormat="1" x14ac:dyDescent="0.25">
      <c r="A25312" t="str">
        <f>"9245548"</f>
        <v>9245548</v>
      </c>
      <c r="B25312" t="s">
        <v>9102</v>
      </c>
      <c r="C25312" t="s">
        <v>2529</v>
      </c>
      <c r="D25312" s="21" t="s">
        <v>34</v>
      </c>
      <c r="E25312" s="21" t="s">
        <v>71</v>
      </c>
      <c r="F25312">
        <v>8921190</v>
      </c>
      <c r="G25312" t="s">
        <v>810</v>
      </c>
      <c r="H25312" s="21">
        <v>639.16999999999996</v>
      </c>
    </row>
    <row r="25313" spans="1:8" customFormat="1" x14ac:dyDescent="0.25">
      <c r="A25313" t="str">
        <f>"3827412"</f>
        <v>3827412</v>
      </c>
      <c r="B25313" t="s">
        <v>9607</v>
      </c>
      <c r="C25313" t="s">
        <v>236</v>
      </c>
      <c r="D25313" s="21" t="s">
        <v>34</v>
      </c>
      <c r="E25313" s="21" t="s">
        <v>71</v>
      </c>
      <c r="F25313">
        <v>1380290</v>
      </c>
      <c r="G25313" t="s">
        <v>619</v>
      </c>
      <c r="H25313" s="21">
        <v>639.16999999999996</v>
      </c>
    </row>
    <row r="25314" spans="1:8" customFormat="1" x14ac:dyDescent="0.25">
      <c r="A25314" t="str">
        <f>"614380"</f>
        <v>614380</v>
      </c>
      <c r="B25314" t="s">
        <v>4352</v>
      </c>
      <c r="C25314" t="s">
        <v>712</v>
      </c>
      <c r="D25314" s="21" t="s">
        <v>34</v>
      </c>
      <c r="E25314" s="21" t="s">
        <v>71</v>
      </c>
      <c r="F25314">
        <v>9610004</v>
      </c>
      <c r="G25314" t="s">
        <v>1042</v>
      </c>
      <c r="H25314" s="21">
        <v>639.16999999999996</v>
      </c>
    </row>
    <row r="25315" spans="1:8" customFormat="1" x14ac:dyDescent="0.25">
      <c r="A25315" t="str">
        <f>"5326459"</f>
        <v>5326459</v>
      </c>
      <c r="B25315" t="s">
        <v>21967</v>
      </c>
      <c r="C25315" t="s">
        <v>528</v>
      </c>
      <c r="D25315" s="21" t="s">
        <v>34</v>
      </c>
      <c r="E25315" s="21" t="s">
        <v>71</v>
      </c>
      <c r="F25315">
        <v>12530008</v>
      </c>
      <c r="G25315" t="s">
        <v>7920</v>
      </c>
      <c r="H25315" s="21">
        <v>639.16999999999996</v>
      </c>
    </row>
    <row r="25316" spans="1:8" customFormat="1" x14ac:dyDescent="0.25">
      <c r="A25316" t="str">
        <f>"4454619"</f>
        <v>4454619</v>
      </c>
      <c r="B25316" t="s">
        <v>21337</v>
      </c>
      <c r="C25316" t="s">
        <v>598</v>
      </c>
      <c r="D25316" s="21" t="s">
        <v>34</v>
      </c>
      <c r="E25316" s="21" t="s">
        <v>254</v>
      </c>
      <c r="F25316">
        <v>12440266</v>
      </c>
      <c r="G25316" t="s">
        <v>924</v>
      </c>
      <c r="H25316" s="21">
        <v>639.16999999999996</v>
      </c>
    </row>
    <row r="25317" spans="1:8" customFormat="1" x14ac:dyDescent="0.25">
      <c r="A25317" t="str">
        <f>"7216862"</f>
        <v>7216862</v>
      </c>
      <c r="B25317" t="s">
        <v>18095</v>
      </c>
      <c r="C25317" t="s">
        <v>55</v>
      </c>
      <c r="D25317" s="21" t="s">
        <v>34</v>
      </c>
      <c r="E25317" s="21" t="s">
        <v>71</v>
      </c>
      <c r="F25317">
        <v>12720052</v>
      </c>
      <c r="G25317" t="s">
        <v>9628</v>
      </c>
      <c r="H25317" s="21">
        <v>639.16999999999996</v>
      </c>
    </row>
    <row r="25318" spans="1:8" customFormat="1" x14ac:dyDescent="0.25">
      <c r="A25318" t="str">
        <f>"2920657"</f>
        <v>2920657</v>
      </c>
      <c r="B25318" t="s">
        <v>18100</v>
      </c>
      <c r="C25318" t="s">
        <v>18101</v>
      </c>
      <c r="D25318" s="21" t="s">
        <v>34</v>
      </c>
      <c r="E25318" s="21" t="s">
        <v>35</v>
      </c>
      <c r="F25318">
        <v>3290221</v>
      </c>
      <c r="G25318" t="s">
        <v>3544</v>
      </c>
      <c r="H25318" s="21">
        <v>639.16999999999996</v>
      </c>
    </row>
    <row r="25319" spans="1:8" customFormat="1" x14ac:dyDescent="0.25">
      <c r="A25319" t="str">
        <f>"378780"</f>
        <v>378780</v>
      </c>
      <c r="B25319" t="s">
        <v>8424</v>
      </c>
      <c r="C25319" t="s">
        <v>267</v>
      </c>
      <c r="D25319" s="21" t="s">
        <v>34</v>
      </c>
      <c r="E25319" s="21" t="s">
        <v>1089</v>
      </c>
      <c r="F25319">
        <v>4370033</v>
      </c>
      <c r="G25319" t="s">
        <v>7556</v>
      </c>
      <c r="H25319" s="21">
        <v>639.16999999999996</v>
      </c>
    </row>
    <row r="25320" spans="1:8" customFormat="1" x14ac:dyDescent="0.25">
      <c r="A25320" t="str">
        <f>"9437009"</f>
        <v>9437009</v>
      </c>
      <c r="B25320" t="s">
        <v>18949</v>
      </c>
      <c r="C25320" t="s">
        <v>486</v>
      </c>
      <c r="D25320" s="21" t="s">
        <v>34</v>
      </c>
      <c r="E25320" s="21" t="s">
        <v>71</v>
      </c>
      <c r="F25320">
        <v>8940073</v>
      </c>
      <c r="G25320" t="s">
        <v>1085</v>
      </c>
      <c r="H25320" s="21">
        <v>639.16999999999996</v>
      </c>
    </row>
    <row r="25321" spans="1:8" customFormat="1" x14ac:dyDescent="0.25">
      <c r="A25321" t="str">
        <f>"5715048"</f>
        <v>5715048</v>
      </c>
      <c r="B25321" t="s">
        <v>8403</v>
      </c>
      <c r="C25321" t="s">
        <v>1146</v>
      </c>
      <c r="D25321" s="21" t="s">
        <v>34</v>
      </c>
      <c r="E25321" s="21" t="s">
        <v>71</v>
      </c>
      <c r="F25321">
        <v>6570180</v>
      </c>
      <c r="G25321" t="s">
        <v>456</v>
      </c>
      <c r="H25321" s="21">
        <v>639.16999999999996</v>
      </c>
    </row>
    <row r="25322" spans="1:8" customFormat="1" x14ac:dyDescent="0.25">
      <c r="A25322" t="str">
        <f>"7816214"</f>
        <v>7816214</v>
      </c>
      <c r="B25322" t="s">
        <v>18763</v>
      </c>
      <c r="C25322" t="s">
        <v>239</v>
      </c>
      <c r="D25322" s="21" t="s">
        <v>34</v>
      </c>
      <c r="E25322" s="21" t="s">
        <v>254</v>
      </c>
      <c r="F25322">
        <v>8780674</v>
      </c>
      <c r="G25322" t="s">
        <v>26585</v>
      </c>
      <c r="H25322" s="21">
        <v>639.16999999999996</v>
      </c>
    </row>
    <row r="25323" spans="1:8" customFormat="1" x14ac:dyDescent="0.25">
      <c r="A25323" t="str">
        <f>"7621967"</f>
        <v>7621967</v>
      </c>
      <c r="B25323" t="s">
        <v>392</v>
      </c>
      <c r="C25323" t="s">
        <v>1887</v>
      </c>
      <c r="D25323" s="21" t="s">
        <v>34</v>
      </c>
      <c r="E25323" s="21" t="s">
        <v>254</v>
      </c>
      <c r="F25323">
        <v>9760419</v>
      </c>
      <c r="G25323" t="s">
        <v>8549</v>
      </c>
      <c r="H25323" s="21">
        <v>639.16999999999996</v>
      </c>
    </row>
    <row r="25324" spans="1:8" customFormat="1" x14ac:dyDescent="0.25">
      <c r="A25324" t="str">
        <f>"7215276"</f>
        <v>7215276</v>
      </c>
      <c r="B25324" t="s">
        <v>15736</v>
      </c>
      <c r="C25324" t="s">
        <v>598</v>
      </c>
      <c r="D25324" s="21" t="s">
        <v>34</v>
      </c>
      <c r="E25324" s="21" t="s">
        <v>254</v>
      </c>
      <c r="F25324">
        <v>12720067</v>
      </c>
      <c r="G25324" t="s">
        <v>10622</v>
      </c>
      <c r="H25324" s="21">
        <v>639.16999999999996</v>
      </c>
    </row>
    <row r="25325" spans="1:8" customFormat="1" x14ac:dyDescent="0.25">
      <c r="A25325" t="str">
        <f>"5951371"</f>
        <v>5951371</v>
      </c>
      <c r="B25325" t="s">
        <v>14180</v>
      </c>
      <c r="C25325" t="s">
        <v>1119</v>
      </c>
      <c r="D25325" s="21" t="s">
        <v>34</v>
      </c>
      <c r="E25325" s="21" t="s">
        <v>254</v>
      </c>
      <c r="F25325">
        <v>7590014</v>
      </c>
      <c r="G25325" t="s">
        <v>1326</v>
      </c>
      <c r="H25325" s="21">
        <v>639.16999999999996</v>
      </c>
    </row>
    <row r="25326" spans="1:8" customFormat="1" x14ac:dyDescent="0.25">
      <c r="A25326" t="str">
        <f>"4215037"</f>
        <v>4215037</v>
      </c>
      <c r="B25326" t="s">
        <v>17539</v>
      </c>
      <c r="C25326" t="s">
        <v>198</v>
      </c>
      <c r="D25326" s="21" t="s">
        <v>34</v>
      </c>
      <c r="E25326" s="21" t="s">
        <v>35</v>
      </c>
      <c r="F25326">
        <v>1420140</v>
      </c>
      <c r="G25326" t="s">
        <v>10038</v>
      </c>
      <c r="H25326" s="21">
        <v>639.16999999999996</v>
      </c>
    </row>
    <row r="25327" spans="1:8" customFormat="1" x14ac:dyDescent="0.25">
      <c r="A25327" t="str">
        <f>"593531"</f>
        <v>593531</v>
      </c>
      <c r="B25327" t="s">
        <v>18152</v>
      </c>
      <c r="C25327" t="s">
        <v>926</v>
      </c>
      <c r="D25327" s="21" t="s">
        <v>34</v>
      </c>
      <c r="E25327" s="21" t="s">
        <v>1089</v>
      </c>
      <c r="F25327">
        <v>10330034</v>
      </c>
      <c r="G25327" t="s">
        <v>6011</v>
      </c>
      <c r="H25327" s="21">
        <v>639.16999999999996</v>
      </c>
    </row>
    <row r="25328" spans="1:8" customFormat="1" x14ac:dyDescent="0.25">
      <c r="A25328" t="str">
        <f>"7517076"</f>
        <v>7517076</v>
      </c>
      <c r="B25328" t="s">
        <v>21435</v>
      </c>
      <c r="C25328" t="s">
        <v>96</v>
      </c>
      <c r="D25328" s="21" t="s">
        <v>34</v>
      </c>
      <c r="E25328" s="21" t="s">
        <v>35</v>
      </c>
      <c r="F25328">
        <v>8930368</v>
      </c>
      <c r="G25328" t="s">
        <v>508</v>
      </c>
      <c r="H25328" s="21">
        <v>639.16999999999996</v>
      </c>
    </row>
    <row r="25329" spans="1:8" customFormat="1" x14ac:dyDescent="0.25">
      <c r="A25329" t="str">
        <f>"6110070"</f>
        <v>6110070</v>
      </c>
      <c r="B25329" t="s">
        <v>4013</v>
      </c>
      <c r="C25329" t="s">
        <v>462</v>
      </c>
      <c r="D25329" s="21" t="s">
        <v>34</v>
      </c>
      <c r="E25329" s="21" t="s">
        <v>35</v>
      </c>
      <c r="F25329">
        <v>9610148</v>
      </c>
      <c r="G25329" t="s">
        <v>8163</v>
      </c>
      <c r="H25329" s="21">
        <v>639.16999999999996</v>
      </c>
    </row>
    <row r="25330" spans="1:8" customFormat="1" x14ac:dyDescent="0.25">
      <c r="A25330" t="str">
        <f>"5018245"</f>
        <v>5018245</v>
      </c>
      <c r="B25330" t="s">
        <v>2656</v>
      </c>
      <c r="C25330" t="s">
        <v>27849</v>
      </c>
      <c r="D25330" s="21" t="s">
        <v>34</v>
      </c>
      <c r="E25330" s="21" t="s">
        <v>35</v>
      </c>
      <c r="F25330">
        <v>9500010</v>
      </c>
      <c r="G25330" t="s">
        <v>5975</v>
      </c>
      <c r="H25330" s="21">
        <v>639.16999999999996</v>
      </c>
    </row>
    <row r="25331" spans="1:8" customFormat="1" x14ac:dyDescent="0.25">
      <c r="A25331" t="str">
        <f>"2112213"</f>
        <v>2112213</v>
      </c>
      <c r="B25331" t="s">
        <v>19747</v>
      </c>
      <c r="C25331" t="s">
        <v>19748</v>
      </c>
      <c r="D25331" s="21" t="s">
        <v>34</v>
      </c>
      <c r="E25331" s="21" t="s">
        <v>35</v>
      </c>
      <c r="F25331">
        <v>2210101</v>
      </c>
      <c r="G25331" t="s">
        <v>1374</v>
      </c>
      <c r="H25331" s="21">
        <v>639.16999999999996</v>
      </c>
    </row>
    <row r="25332" spans="1:8" customFormat="1" x14ac:dyDescent="0.25">
      <c r="A25332" t="str">
        <f>"9320606"</f>
        <v>9320606</v>
      </c>
      <c r="B25332" t="s">
        <v>21220</v>
      </c>
      <c r="C25332" t="s">
        <v>1812</v>
      </c>
      <c r="D25332" s="21" t="s">
        <v>34</v>
      </c>
      <c r="E25332" s="21" t="s">
        <v>71</v>
      </c>
      <c r="F25332">
        <v>8931057</v>
      </c>
      <c r="G25332" t="s">
        <v>1011</v>
      </c>
      <c r="H25332" s="21">
        <v>639.04</v>
      </c>
    </row>
    <row r="25333" spans="1:8" customFormat="1" x14ac:dyDescent="0.25">
      <c r="A25333" t="str">
        <f>"514463"</f>
        <v>514463</v>
      </c>
      <c r="B25333" t="s">
        <v>4558</v>
      </c>
      <c r="C25333" t="s">
        <v>33</v>
      </c>
      <c r="D25333" s="21" t="s">
        <v>34</v>
      </c>
      <c r="E25333" s="21" t="s">
        <v>71</v>
      </c>
      <c r="F25333">
        <v>2900013</v>
      </c>
      <c r="G25333" t="s">
        <v>5390</v>
      </c>
      <c r="H25333" s="21">
        <v>638.91999999999996</v>
      </c>
    </row>
    <row r="25334" spans="1:8" customFormat="1" x14ac:dyDescent="0.25">
      <c r="A25334" t="str">
        <f>"7850503"</f>
        <v>7850503</v>
      </c>
      <c r="B25334" t="s">
        <v>18402</v>
      </c>
      <c r="C25334" t="s">
        <v>249</v>
      </c>
      <c r="D25334" s="21" t="s">
        <v>34</v>
      </c>
      <c r="E25334" s="21" t="s">
        <v>254</v>
      </c>
      <c r="F25334">
        <v>8781462</v>
      </c>
      <c r="G25334" t="s">
        <v>5796</v>
      </c>
      <c r="H25334" s="21">
        <v>638.91999999999996</v>
      </c>
    </row>
    <row r="25335" spans="1:8" customFormat="1" x14ac:dyDescent="0.25">
      <c r="A25335" t="str">
        <f>"6023360"</f>
        <v>6023360</v>
      </c>
      <c r="B25335" t="s">
        <v>21041</v>
      </c>
      <c r="C25335" t="s">
        <v>98</v>
      </c>
      <c r="D25335" s="21" t="s">
        <v>34</v>
      </c>
      <c r="E25335" s="21" t="s">
        <v>35</v>
      </c>
      <c r="F25335">
        <v>7600171</v>
      </c>
      <c r="G25335" t="s">
        <v>4705</v>
      </c>
      <c r="H25335" s="21">
        <v>638.91999999999996</v>
      </c>
    </row>
    <row r="25336" spans="1:8" customFormat="1" x14ac:dyDescent="0.25">
      <c r="A25336" t="str">
        <f>"7627779"</f>
        <v>7627779</v>
      </c>
      <c r="B25336" t="s">
        <v>16013</v>
      </c>
      <c r="C25336" t="s">
        <v>415</v>
      </c>
      <c r="D25336" s="21" t="s">
        <v>34</v>
      </c>
      <c r="E25336" s="21" t="s">
        <v>254</v>
      </c>
      <c r="F25336">
        <v>9760011</v>
      </c>
      <c r="G25336" t="s">
        <v>2562</v>
      </c>
      <c r="H25336" s="21">
        <v>638.91999999999996</v>
      </c>
    </row>
    <row r="25337" spans="1:8" customFormat="1" x14ac:dyDescent="0.25">
      <c r="A25337" t="str">
        <f>"545660"</f>
        <v>545660</v>
      </c>
      <c r="B25337" t="s">
        <v>2402</v>
      </c>
      <c r="C25337" t="s">
        <v>3258</v>
      </c>
      <c r="D25337" s="21" t="s">
        <v>34</v>
      </c>
      <c r="E25337" s="21" t="s">
        <v>35</v>
      </c>
      <c r="F25337">
        <v>6540010</v>
      </c>
      <c r="G25337" t="s">
        <v>7832</v>
      </c>
      <c r="H25337" s="21">
        <v>638.91999999999996</v>
      </c>
    </row>
    <row r="25338" spans="1:8" customFormat="1" x14ac:dyDescent="0.25">
      <c r="A25338" t="str">
        <f>"5620077"</f>
        <v>5620077</v>
      </c>
      <c r="B25338" t="s">
        <v>6159</v>
      </c>
      <c r="C25338" t="s">
        <v>40</v>
      </c>
      <c r="D25338" s="21" t="s">
        <v>34</v>
      </c>
      <c r="E25338" s="21" t="s">
        <v>71</v>
      </c>
      <c r="F25338">
        <v>3560087</v>
      </c>
      <c r="G25338" t="s">
        <v>7767</v>
      </c>
      <c r="H25338" s="21">
        <v>638.91999999999996</v>
      </c>
    </row>
    <row r="25339" spans="1:8" customFormat="1" x14ac:dyDescent="0.25">
      <c r="A25339" t="str">
        <f>"9244959"</f>
        <v>9244959</v>
      </c>
      <c r="B25339" t="s">
        <v>6024</v>
      </c>
      <c r="C25339" t="s">
        <v>171</v>
      </c>
      <c r="D25339" s="21" t="s">
        <v>34</v>
      </c>
      <c r="E25339" s="21" t="s">
        <v>71</v>
      </c>
      <c r="F25339">
        <v>8920067</v>
      </c>
      <c r="G25339" t="s">
        <v>258</v>
      </c>
      <c r="H25339" s="21">
        <v>638.79</v>
      </c>
    </row>
    <row r="25340" spans="1:8" customFormat="1" x14ac:dyDescent="0.25">
      <c r="A25340" t="str">
        <f>"1612791"</f>
        <v>1612791</v>
      </c>
      <c r="B25340" t="s">
        <v>7374</v>
      </c>
      <c r="C25340" t="s">
        <v>37</v>
      </c>
      <c r="D25340" s="21" t="s">
        <v>34</v>
      </c>
      <c r="E25340" s="21" t="s">
        <v>35</v>
      </c>
      <c r="F25340">
        <v>10160196</v>
      </c>
      <c r="G25340" t="s">
        <v>13348</v>
      </c>
      <c r="H25340" s="21">
        <v>638.79</v>
      </c>
    </row>
    <row r="25341" spans="1:8" customFormat="1" x14ac:dyDescent="0.25">
      <c r="A25341" t="str">
        <f>"6111993"</f>
        <v>6111993</v>
      </c>
      <c r="B25341" t="s">
        <v>27850</v>
      </c>
      <c r="C25341" t="s">
        <v>49</v>
      </c>
      <c r="D25341" s="21" t="s">
        <v>34</v>
      </c>
      <c r="E25341" s="21" t="s">
        <v>35</v>
      </c>
      <c r="F25341">
        <v>9610136</v>
      </c>
      <c r="G25341" t="s">
        <v>6052</v>
      </c>
      <c r="H25341" s="21">
        <v>638.79</v>
      </c>
    </row>
    <row r="25342" spans="1:8" customFormat="1" x14ac:dyDescent="0.25">
      <c r="A25342" t="str">
        <f>"3339603"</f>
        <v>3339603</v>
      </c>
      <c r="B25342" t="s">
        <v>19338</v>
      </c>
      <c r="C25342" t="s">
        <v>2479</v>
      </c>
      <c r="D25342" s="21" t="s">
        <v>34</v>
      </c>
      <c r="E25342" s="21" t="s">
        <v>254</v>
      </c>
      <c r="F25342">
        <v>10330037</v>
      </c>
      <c r="G25342" t="s">
        <v>5960</v>
      </c>
      <c r="H25342" s="21">
        <v>638.66999999999996</v>
      </c>
    </row>
    <row r="25343" spans="1:8" customFormat="1" x14ac:dyDescent="0.25">
      <c r="A25343" t="str">
        <f>"5734082"</f>
        <v>5734082</v>
      </c>
      <c r="B25343" t="s">
        <v>27851</v>
      </c>
      <c r="C25343" t="s">
        <v>65</v>
      </c>
      <c r="D25343" s="21" t="s">
        <v>34</v>
      </c>
      <c r="E25343" s="21" t="s">
        <v>35</v>
      </c>
      <c r="F25343">
        <v>6570015</v>
      </c>
      <c r="G25343" t="s">
        <v>749</v>
      </c>
      <c r="H25343" s="21">
        <v>638.66999999999996</v>
      </c>
    </row>
    <row r="25344" spans="1:8" customFormat="1" x14ac:dyDescent="0.25">
      <c r="A25344" t="str">
        <f>"5980689"</f>
        <v>5980689</v>
      </c>
      <c r="B25344" t="s">
        <v>20834</v>
      </c>
      <c r="C25344" t="s">
        <v>288</v>
      </c>
      <c r="D25344" s="21" t="s">
        <v>34</v>
      </c>
      <c r="E25344" s="21" t="s">
        <v>35</v>
      </c>
      <c r="F25344">
        <v>7590173</v>
      </c>
      <c r="G25344" t="s">
        <v>5675</v>
      </c>
      <c r="H25344" s="21">
        <v>638.66999999999996</v>
      </c>
    </row>
    <row r="25345" spans="1:8" customFormat="1" x14ac:dyDescent="0.25">
      <c r="A25345" t="str">
        <f>"288208"</f>
        <v>288208</v>
      </c>
      <c r="B25345" t="s">
        <v>20066</v>
      </c>
      <c r="C25345" t="s">
        <v>9895</v>
      </c>
      <c r="D25345" s="21" t="s">
        <v>34</v>
      </c>
      <c r="E25345" s="21" t="s">
        <v>35</v>
      </c>
      <c r="F25345">
        <v>3350215</v>
      </c>
      <c r="G25345" t="s">
        <v>20009</v>
      </c>
      <c r="H25345" s="21">
        <v>638.66999999999996</v>
      </c>
    </row>
    <row r="25346" spans="1:8" customFormat="1" x14ac:dyDescent="0.25">
      <c r="A25346" t="str">
        <f>"456544"</f>
        <v>456544</v>
      </c>
      <c r="B25346" t="s">
        <v>18621</v>
      </c>
      <c r="C25346" t="s">
        <v>1705</v>
      </c>
      <c r="D25346" s="21" t="s">
        <v>34</v>
      </c>
      <c r="E25346" s="21" t="s">
        <v>1089</v>
      </c>
      <c r="F25346">
        <v>4450309</v>
      </c>
      <c r="G25346" t="s">
        <v>15692</v>
      </c>
      <c r="H25346" s="21">
        <v>638.66999999999996</v>
      </c>
    </row>
    <row r="25347" spans="1:8" customFormat="1" x14ac:dyDescent="0.25">
      <c r="A25347" t="str">
        <f>"6212230"</f>
        <v>6212230</v>
      </c>
      <c r="B25347" t="s">
        <v>19161</v>
      </c>
      <c r="C25347" t="s">
        <v>269</v>
      </c>
      <c r="D25347" s="21" t="s">
        <v>34</v>
      </c>
      <c r="E25347" s="21" t="s">
        <v>71</v>
      </c>
      <c r="F25347">
        <v>7620051</v>
      </c>
      <c r="G25347" t="s">
        <v>2741</v>
      </c>
      <c r="H25347" s="21">
        <v>638.66999999999996</v>
      </c>
    </row>
    <row r="25348" spans="1:8" customFormat="1" x14ac:dyDescent="0.25">
      <c r="A25348" t="str">
        <f>"288073"</f>
        <v>288073</v>
      </c>
      <c r="B25348" t="s">
        <v>1435</v>
      </c>
      <c r="C25348" t="s">
        <v>130</v>
      </c>
      <c r="D25348" s="21" t="s">
        <v>34</v>
      </c>
      <c r="E25348" s="21" t="s">
        <v>254</v>
      </c>
      <c r="F25348">
        <v>4280322</v>
      </c>
      <c r="G25348" t="s">
        <v>265</v>
      </c>
      <c r="H25348" s="21">
        <v>638.66999999999996</v>
      </c>
    </row>
    <row r="25349" spans="1:8" customFormat="1" x14ac:dyDescent="0.25">
      <c r="A25349" t="str">
        <f>"9B857"</f>
        <v>9B857</v>
      </c>
      <c r="B25349" t="s">
        <v>15425</v>
      </c>
      <c r="C25349" t="s">
        <v>244</v>
      </c>
      <c r="D25349" s="21" t="s">
        <v>34</v>
      </c>
      <c r="E25349" s="21" t="s">
        <v>35</v>
      </c>
      <c r="F25349" t="s">
        <v>5520</v>
      </c>
      <c r="G25349" t="s">
        <v>5521</v>
      </c>
      <c r="H25349" s="21">
        <v>638.66999999999996</v>
      </c>
    </row>
    <row r="25350" spans="1:8" customFormat="1" x14ac:dyDescent="0.25">
      <c r="A25350" t="str">
        <f>"086841"</f>
        <v>086841</v>
      </c>
      <c r="B25350" t="s">
        <v>14224</v>
      </c>
      <c r="C25350" t="s">
        <v>822</v>
      </c>
      <c r="D25350" s="21" t="s">
        <v>34</v>
      </c>
      <c r="E25350" s="21" t="s">
        <v>1089</v>
      </c>
      <c r="F25350">
        <v>6080074</v>
      </c>
      <c r="G25350" t="s">
        <v>13069</v>
      </c>
      <c r="H25350" s="21">
        <v>638.66999999999996</v>
      </c>
    </row>
    <row r="25351" spans="1:8" customFormat="1" x14ac:dyDescent="0.25">
      <c r="A25351" t="str">
        <f>"4430149"</f>
        <v>4430149</v>
      </c>
      <c r="B25351" t="s">
        <v>20239</v>
      </c>
      <c r="C25351" t="s">
        <v>209</v>
      </c>
      <c r="D25351" s="21" t="s">
        <v>34</v>
      </c>
      <c r="E25351" s="21" t="s">
        <v>71</v>
      </c>
      <c r="F25351">
        <v>12440084</v>
      </c>
      <c r="G25351" t="s">
        <v>1014</v>
      </c>
      <c r="H25351" s="21">
        <v>638.66999999999996</v>
      </c>
    </row>
    <row r="25352" spans="1:8" customFormat="1" x14ac:dyDescent="0.25">
      <c r="A25352" t="str">
        <f>"7728411"</f>
        <v>7728411</v>
      </c>
      <c r="B25352" t="s">
        <v>20529</v>
      </c>
      <c r="C25352" t="s">
        <v>139</v>
      </c>
      <c r="D25352" s="21" t="s">
        <v>34</v>
      </c>
      <c r="E25352" s="21" t="s">
        <v>35</v>
      </c>
      <c r="F25352">
        <v>8770937</v>
      </c>
      <c r="G25352" t="s">
        <v>2119</v>
      </c>
      <c r="H25352" s="21">
        <v>638.66999999999996</v>
      </c>
    </row>
    <row r="25353" spans="1:8" customFormat="1" x14ac:dyDescent="0.25">
      <c r="A25353" t="str">
        <f>"7613881"</f>
        <v>7613881</v>
      </c>
      <c r="B25353" t="s">
        <v>2883</v>
      </c>
      <c r="C25353" t="s">
        <v>171</v>
      </c>
      <c r="D25353" s="21" t="s">
        <v>34</v>
      </c>
      <c r="E25353" s="21" t="s">
        <v>35</v>
      </c>
      <c r="F25353">
        <v>9760447</v>
      </c>
      <c r="G25353" t="s">
        <v>5942</v>
      </c>
      <c r="H25353" s="21">
        <v>638.66999999999996</v>
      </c>
    </row>
    <row r="25354" spans="1:8" customFormat="1" x14ac:dyDescent="0.25">
      <c r="A25354" t="str">
        <f>"3520415"</f>
        <v>3520415</v>
      </c>
      <c r="B25354" t="s">
        <v>15439</v>
      </c>
      <c r="C25354" t="s">
        <v>121</v>
      </c>
      <c r="D25354" s="21" t="s">
        <v>34</v>
      </c>
      <c r="E25354" s="21" t="s">
        <v>254</v>
      </c>
      <c r="F25354">
        <v>3350160</v>
      </c>
      <c r="G25354" t="s">
        <v>13252</v>
      </c>
      <c r="H25354" s="21">
        <v>638.66999999999996</v>
      </c>
    </row>
    <row r="25355" spans="1:8" customFormat="1" x14ac:dyDescent="0.25">
      <c r="A25355" t="str">
        <f>"1612514"</f>
        <v>1612514</v>
      </c>
      <c r="B25355" t="s">
        <v>17550</v>
      </c>
      <c r="C25355" t="s">
        <v>249</v>
      </c>
      <c r="D25355" s="21" t="s">
        <v>34</v>
      </c>
      <c r="E25355" s="21" t="s">
        <v>71</v>
      </c>
      <c r="F25355">
        <v>10160185</v>
      </c>
      <c r="G25355" t="s">
        <v>2035</v>
      </c>
      <c r="H25355" s="21">
        <v>638.66999999999996</v>
      </c>
    </row>
    <row r="25356" spans="1:8" customFormat="1" x14ac:dyDescent="0.25">
      <c r="A25356" t="str">
        <f>"951446"</f>
        <v>951446</v>
      </c>
      <c r="B25356" t="s">
        <v>18636</v>
      </c>
      <c r="C25356" t="s">
        <v>598</v>
      </c>
      <c r="D25356" s="21" t="s">
        <v>34</v>
      </c>
      <c r="E25356" s="21" t="s">
        <v>6185</v>
      </c>
      <c r="F25356">
        <v>8950882</v>
      </c>
      <c r="G25356" t="s">
        <v>9516</v>
      </c>
      <c r="H25356" s="21">
        <v>638.66999999999996</v>
      </c>
    </row>
    <row r="25357" spans="1:8" customFormat="1" x14ac:dyDescent="0.25">
      <c r="A25357" t="str">
        <f>"7511677"</f>
        <v>7511677</v>
      </c>
      <c r="B25357" t="s">
        <v>1961</v>
      </c>
      <c r="C25357" t="s">
        <v>33</v>
      </c>
      <c r="D25357" s="21" t="s">
        <v>34</v>
      </c>
      <c r="E25357" s="21" t="s">
        <v>35</v>
      </c>
      <c r="F25357">
        <v>8751371</v>
      </c>
      <c r="G25357" t="s">
        <v>6605</v>
      </c>
      <c r="H25357" s="21">
        <v>638.66999999999996</v>
      </c>
    </row>
    <row r="25358" spans="1:8" customFormat="1" x14ac:dyDescent="0.25">
      <c r="A25358" t="str">
        <f>"672692"</f>
        <v>672692</v>
      </c>
      <c r="B25358" t="s">
        <v>16472</v>
      </c>
      <c r="C25358" t="s">
        <v>144</v>
      </c>
      <c r="D25358" s="21" t="s">
        <v>34</v>
      </c>
      <c r="E25358" s="21" t="s">
        <v>254</v>
      </c>
      <c r="F25358">
        <v>6670129</v>
      </c>
      <c r="G25358" t="s">
        <v>12249</v>
      </c>
      <c r="H25358" s="21">
        <v>638.66999999999996</v>
      </c>
    </row>
    <row r="25359" spans="1:8" customFormat="1" x14ac:dyDescent="0.25">
      <c r="A25359" t="str">
        <f>"4444860"</f>
        <v>4444860</v>
      </c>
      <c r="B25359" t="s">
        <v>20049</v>
      </c>
      <c r="C25359" t="s">
        <v>462</v>
      </c>
      <c r="D25359" s="21" t="s">
        <v>34</v>
      </c>
      <c r="E25359" s="21" t="s">
        <v>35</v>
      </c>
      <c r="F25359">
        <v>12440206</v>
      </c>
      <c r="G25359" t="s">
        <v>10374</v>
      </c>
      <c r="H25359" s="21">
        <v>638.66999999999996</v>
      </c>
    </row>
    <row r="25360" spans="1:8" customFormat="1" x14ac:dyDescent="0.25">
      <c r="A25360" t="str">
        <f>"35646"</f>
        <v>35646</v>
      </c>
      <c r="B25360" t="s">
        <v>18366</v>
      </c>
      <c r="C25360" t="s">
        <v>415</v>
      </c>
      <c r="D25360" s="21" t="s">
        <v>34</v>
      </c>
      <c r="E25360" s="21" t="s">
        <v>254</v>
      </c>
      <c r="F25360">
        <v>3350026</v>
      </c>
      <c r="G25360" t="s">
        <v>16468</v>
      </c>
      <c r="H25360" s="21">
        <v>638.66999999999996</v>
      </c>
    </row>
    <row r="25361" spans="1:8" customFormat="1" x14ac:dyDescent="0.25">
      <c r="A25361" t="str">
        <f>"7615123"</f>
        <v>7615123</v>
      </c>
      <c r="B25361" t="s">
        <v>8548</v>
      </c>
      <c r="C25361" t="s">
        <v>1605</v>
      </c>
      <c r="D25361" s="21" t="s">
        <v>34</v>
      </c>
      <c r="E25361" s="21" t="s">
        <v>71</v>
      </c>
      <c r="F25361">
        <v>9760442</v>
      </c>
      <c r="G25361" t="s">
        <v>5753</v>
      </c>
      <c r="H25361" s="21">
        <v>638.66999999999996</v>
      </c>
    </row>
    <row r="25362" spans="1:8" customFormat="1" x14ac:dyDescent="0.25">
      <c r="A25362" t="str">
        <f>"5619036"</f>
        <v>5619036</v>
      </c>
      <c r="B25362" t="s">
        <v>2362</v>
      </c>
      <c r="C25362" t="s">
        <v>62</v>
      </c>
      <c r="D25362" s="21" t="s">
        <v>34</v>
      </c>
      <c r="E25362" s="21" t="s">
        <v>35</v>
      </c>
      <c r="F25362">
        <v>3560060</v>
      </c>
      <c r="G25362" t="s">
        <v>8368</v>
      </c>
      <c r="H25362" s="21">
        <v>638.66999999999996</v>
      </c>
    </row>
    <row r="25363" spans="1:8" customFormat="1" x14ac:dyDescent="0.25">
      <c r="A25363" t="str">
        <f>"5610710"</f>
        <v>5610710</v>
      </c>
      <c r="B25363" t="s">
        <v>3454</v>
      </c>
      <c r="C25363" t="s">
        <v>209</v>
      </c>
      <c r="D25363" s="21" t="s">
        <v>34</v>
      </c>
      <c r="E25363" s="21" t="s">
        <v>71</v>
      </c>
      <c r="F25363">
        <v>3560020</v>
      </c>
      <c r="G25363" t="s">
        <v>426</v>
      </c>
      <c r="H25363" s="21">
        <v>638.66999999999996</v>
      </c>
    </row>
    <row r="25364" spans="1:8" customFormat="1" x14ac:dyDescent="0.25">
      <c r="A25364" t="str">
        <f>"9249176"</f>
        <v>9249176</v>
      </c>
      <c r="B25364" t="s">
        <v>19204</v>
      </c>
      <c r="C25364" t="s">
        <v>33</v>
      </c>
      <c r="D25364" s="21" t="s">
        <v>34</v>
      </c>
      <c r="E25364" s="21" t="s">
        <v>71</v>
      </c>
      <c r="F25364">
        <v>8920126</v>
      </c>
      <c r="G25364" t="s">
        <v>1168</v>
      </c>
      <c r="H25364" s="21">
        <v>638.54</v>
      </c>
    </row>
    <row r="25365" spans="1:8" customFormat="1" x14ac:dyDescent="0.25">
      <c r="A25365" t="str">
        <f>"9237123"</f>
        <v>9237123</v>
      </c>
      <c r="B25365" t="s">
        <v>1939</v>
      </c>
      <c r="C25365" t="s">
        <v>269</v>
      </c>
      <c r="D25365" s="21" t="s">
        <v>34</v>
      </c>
      <c r="E25365" s="21" t="s">
        <v>71</v>
      </c>
      <c r="F25365">
        <v>8920646</v>
      </c>
      <c r="G25365" t="s">
        <v>2864</v>
      </c>
      <c r="H25365" s="21">
        <v>638.54</v>
      </c>
    </row>
    <row r="25366" spans="1:8" customFormat="1" x14ac:dyDescent="0.25">
      <c r="A25366" t="str">
        <f>"905822"</f>
        <v>905822</v>
      </c>
      <c r="B25366" t="s">
        <v>13964</v>
      </c>
      <c r="C25366" t="s">
        <v>37</v>
      </c>
      <c r="D25366" s="21" t="s">
        <v>34</v>
      </c>
      <c r="E25366" s="21" t="s">
        <v>35</v>
      </c>
      <c r="F25366">
        <v>2900041</v>
      </c>
      <c r="G25366" t="s">
        <v>4635</v>
      </c>
      <c r="H25366" s="21">
        <v>638.41999999999996</v>
      </c>
    </row>
    <row r="25367" spans="1:8" customFormat="1" x14ac:dyDescent="0.25">
      <c r="A25367" t="str">
        <f>"768483"</f>
        <v>768483</v>
      </c>
      <c r="B25367" t="s">
        <v>13965</v>
      </c>
      <c r="C25367" t="s">
        <v>2730</v>
      </c>
      <c r="D25367" s="21" t="s">
        <v>34</v>
      </c>
      <c r="E25367" s="21" t="s">
        <v>254</v>
      </c>
      <c r="F25367">
        <v>9760127</v>
      </c>
      <c r="G25367" t="s">
        <v>7132</v>
      </c>
      <c r="H25367" s="21">
        <v>638.41999999999996</v>
      </c>
    </row>
    <row r="25368" spans="1:8" customFormat="1" x14ac:dyDescent="0.25">
      <c r="A25368" t="str">
        <f>"8310246"</f>
        <v>8310246</v>
      </c>
      <c r="B25368" t="s">
        <v>1737</v>
      </c>
      <c r="C25368" t="s">
        <v>1705</v>
      </c>
      <c r="D25368" s="21" t="s">
        <v>34</v>
      </c>
      <c r="E25368" s="21" t="s">
        <v>1089</v>
      </c>
      <c r="F25368">
        <v>13830083</v>
      </c>
      <c r="G25368" t="s">
        <v>2159</v>
      </c>
      <c r="H25368" s="21">
        <v>638.29</v>
      </c>
    </row>
    <row r="25369" spans="1:8" customFormat="1" x14ac:dyDescent="0.25">
      <c r="A25369" t="str">
        <f>"9417133"</f>
        <v>9417133</v>
      </c>
      <c r="B25369" t="s">
        <v>17818</v>
      </c>
      <c r="C25369" t="s">
        <v>209</v>
      </c>
      <c r="D25369" s="21" t="s">
        <v>34</v>
      </c>
      <c r="E25369" s="21" t="s">
        <v>71</v>
      </c>
      <c r="F25369">
        <v>8940012</v>
      </c>
      <c r="G25369" t="s">
        <v>1648</v>
      </c>
      <c r="H25369" s="21">
        <v>638.29</v>
      </c>
    </row>
    <row r="25370" spans="1:8" customFormat="1" x14ac:dyDescent="0.25">
      <c r="A25370" t="str">
        <f>"6229543"</f>
        <v>6229543</v>
      </c>
      <c r="B25370" t="s">
        <v>2386</v>
      </c>
      <c r="C25370" t="s">
        <v>87</v>
      </c>
      <c r="D25370" s="21" t="s">
        <v>34</v>
      </c>
      <c r="E25370" s="21" t="s">
        <v>35</v>
      </c>
      <c r="F25370">
        <v>7620182</v>
      </c>
      <c r="G25370" t="s">
        <v>11480</v>
      </c>
      <c r="H25370" s="21">
        <v>638.16999999999996</v>
      </c>
    </row>
    <row r="25371" spans="1:8" customFormat="1" x14ac:dyDescent="0.25">
      <c r="A25371" t="str">
        <f>"184233"</f>
        <v>184233</v>
      </c>
      <c r="B25371" t="s">
        <v>18399</v>
      </c>
      <c r="C25371" t="s">
        <v>209</v>
      </c>
      <c r="D25371" s="21" t="s">
        <v>34</v>
      </c>
      <c r="E25371" s="21" t="s">
        <v>254</v>
      </c>
      <c r="F25371">
        <v>4180621</v>
      </c>
      <c r="G25371" t="s">
        <v>14060</v>
      </c>
      <c r="H25371" s="21">
        <v>638.16999999999996</v>
      </c>
    </row>
    <row r="25372" spans="1:8" customFormat="1" x14ac:dyDescent="0.25">
      <c r="A25372" t="str">
        <f>"7636598"</f>
        <v>7636598</v>
      </c>
      <c r="B25372" t="s">
        <v>19714</v>
      </c>
      <c r="C25372" t="s">
        <v>55</v>
      </c>
      <c r="D25372" s="21" t="s">
        <v>34</v>
      </c>
      <c r="E25372" s="21" t="s">
        <v>35</v>
      </c>
      <c r="F25372">
        <v>9760414</v>
      </c>
      <c r="G25372" t="s">
        <v>142</v>
      </c>
      <c r="H25372" s="21">
        <v>638.16999999999996</v>
      </c>
    </row>
    <row r="25373" spans="1:8" customFormat="1" x14ac:dyDescent="0.25">
      <c r="A25373" t="str">
        <f>"3831637"</f>
        <v>3831637</v>
      </c>
      <c r="B25373" t="s">
        <v>3952</v>
      </c>
      <c r="C25373" t="s">
        <v>4769</v>
      </c>
      <c r="D25373" s="21" t="s">
        <v>34</v>
      </c>
      <c r="E25373" s="21" t="s">
        <v>35</v>
      </c>
      <c r="F25373">
        <v>1380297</v>
      </c>
      <c r="G25373" t="s">
        <v>12031</v>
      </c>
      <c r="H25373" s="21">
        <v>638.16999999999996</v>
      </c>
    </row>
    <row r="25374" spans="1:8" customFormat="1" x14ac:dyDescent="0.25">
      <c r="A25374" t="str">
        <f>"2513967"</f>
        <v>2513967</v>
      </c>
      <c r="B25374" t="s">
        <v>13216</v>
      </c>
      <c r="C25374" t="s">
        <v>40</v>
      </c>
      <c r="D25374" s="21" t="s">
        <v>34</v>
      </c>
      <c r="E25374" s="21" t="s">
        <v>254</v>
      </c>
      <c r="F25374">
        <v>2250154</v>
      </c>
      <c r="G25374" t="s">
        <v>1973</v>
      </c>
      <c r="H25374" s="21">
        <v>638.16999999999996</v>
      </c>
    </row>
    <row r="25375" spans="1:8" customFormat="1" x14ac:dyDescent="0.25">
      <c r="A25375" t="str">
        <f>"47380"</f>
        <v>47380</v>
      </c>
      <c r="B25375" t="s">
        <v>979</v>
      </c>
      <c r="C25375" t="s">
        <v>209</v>
      </c>
      <c r="D25375" s="21" t="s">
        <v>34</v>
      </c>
      <c r="E25375" s="21" t="s">
        <v>71</v>
      </c>
      <c r="F25375">
        <v>10470002</v>
      </c>
      <c r="G25375" t="s">
        <v>13066</v>
      </c>
      <c r="H25375" s="21">
        <v>638.16999999999996</v>
      </c>
    </row>
    <row r="25376" spans="1:8" customFormat="1" x14ac:dyDescent="0.25">
      <c r="A25376" t="str">
        <f>"2932181"</f>
        <v>2932181</v>
      </c>
      <c r="B25376" t="s">
        <v>19519</v>
      </c>
      <c r="C25376" t="s">
        <v>486</v>
      </c>
      <c r="D25376" s="21" t="s">
        <v>34</v>
      </c>
      <c r="E25376" s="21" t="s">
        <v>71</v>
      </c>
      <c r="F25376">
        <v>3290047</v>
      </c>
      <c r="G25376" t="s">
        <v>2874</v>
      </c>
      <c r="H25376" s="21">
        <v>638.16999999999996</v>
      </c>
    </row>
    <row r="25377" spans="1:8" customFormat="1" x14ac:dyDescent="0.25">
      <c r="A25377" t="str">
        <f>"9127558"</f>
        <v>9127558</v>
      </c>
      <c r="B25377" t="s">
        <v>18204</v>
      </c>
      <c r="C25377" t="s">
        <v>486</v>
      </c>
      <c r="D25377" s="21" t="s">
        <v>34</v>
      </c>
      <c r="E25377" s="21" t="s">
        <v>35</v>
      </c>
      <c r="F25377">
        <v>8910310</v>
      </c>
      <c r="G25377" t="s">
        <v>6645</v>
      </c>
      <c r="H25377" s="21">
        <v>638.16999999999996</v>
      </c>
    </row>
    <row r="25378" spans="1:8" customFormat="1" x14ac:dyDescent="0.25">
      <c r="A25378" t="str">
        <f>"335758"</f>
        <v>335758</v>
      </c>
      <c r="B25378" t="s">
        <v>3471</v>
      </c>
      <c r="C25378" t="s">
        <v>239</v>
      </c>
      <c r="D25378" s="21" t="s">
        <v>34</v>
      </c>
      <c r="E25378" s="21" t="s">
        <v>71</v>
      </c>
      <c r="F25378">
        <v>10330076</v>
      </c>
      <c r="G25378" t="s">
        <v>3769</v>
      </c>
      <c r="H25378" s="21">
        <v>638.16999999999996</v>
      </c>
    </row>
    <row r="25379" spans="1:8" customFormat="1" x14ac:dyDescent="0.25">
      <c r="A25379" t="str">
        <f>"4910076"</f>
        <v>4910076</v>
      </c>
      <c r="B25379" t="s">
        <v>1604</v>
      </c>
      <c r="C25379" t="s">
        <v>114</v>
      </c>
      <c r="D25379" s="21" t="s">
        <v>34</v>
      </c>
      <c r="E25379" s="21" t="s">
        <v>71</v>
      </c>
      <c r="F25379">
        <v>12490122</v>
      </c>
      <c r="G25379" t="s">
        <v>26752</v>
      </c>
      <c r="H25379" s="21">
        <v>638.16999999999996</v>
      </c>
    </row>
    <row r="25380" spans="1:8" customFormat="1" x14ac:dyDescent="0.25">
      <c r="A25380" t="str">
        <f>"244983"</f>
        <v>244983</v>
      </c>
      <c r="B25380" t="s">
        <v>17784</v>
      </c>
      <c r="C25380" t="s">
        <v>547</v>
      </c>
      <c r="D25380" s="21" t="s">
        <v>34</v>
      </c>
      <c r="E25380" s="21" t="s">
        <v>1089</v>
      </c>
      <c r="F25380">
        <v>10240020</v>
      </c>
      <c r="G25380" t="s">
        <v>870</v>
      </c>
      <c r="H25380" s="21">
        <v>638.16999999999996</v>
      </c>
    </row>
    <row r="25381" spans="1:8" customFormat="1" x14ac:dyDescent="0.25">
      <c r="A25381" t="str">
        <f>"7640041"</f>
        <v>7640041</v>
      </c>
      <c r="B25381" t="s">
        <v>8110</v>
      </c>
      <c r="C25381" t="s">
        <v>187</v>
      </c>
      <c r="D25381" s="21" t="s">
        <v>34</v>
      </c>
      <c r="E25381" s="21" t="s">
        <v>35</v>
      </c>
      <c r="F25381">
        <v>9760391</v>
      </c>
      <c r="G25381" t="s">
        <v>10757</v>
      </c>
      <c r="H25381" s="21">
        <v>638.16999999999996</v>
      </c>
    </row>
    <row r="25382" spans="1:8" customFormat="1" x14ac:dyDescent="0.25">
      <c r="A25382" t="str">
        <f>"7638609"</f>
        <v>7638609</v>
      </c>
      <c r="B25382" t="s">
        <v>667</v>
      </c>
      <c r="C25382" t="s">
        <v>87</v>
      </c>
      <c r="D25382" s="21" t="s">
        <v>34</v>
      </c>
      <c r="E25382" s="21" t="s">
        <v>71</v>
      </c>
      <c r="F25382">
        <v>9760297</v>
      </c>
      <c r="G25382" t="s">
        <v>27086</v>
      </c>
      <c r="H25382" s="21">
        <v>638.16999999999996</v>
      </c>
    </row>
    <row r="25383" spans="1:8" customFormat="1" x14ac:dyDescent="0.25">
      <c r="A25383" t="str">
        <f>"267828"</f>
        <v>267828</v>
      </c>
      <c r="B25383" t="s">
        <v>18473</v>
      </c>
      <c r="C25383" t="s">
        <v>498</v>
      </c>
      <c r="D25383" s="21" t="s">
        <v>34</v>
      </c>
      <c r="E25383" s="21" t="s">
        <v>254</v>
      </c>
      <c r="F25383">
        <v>1260006</v>
      </c>
      <c r="G25383" t="s">
        <v>790</v>
      </c>
      <c r="H25383" s="21">
        <v>638.16999999999996</v>
      </c>
    </row>
    <row r="25384" spans="1:8" customFormat="1" x14ac:dyDescent="0.25">
      <c r="A25384" t="str">
        <f>"5621961"</f>
        <v>5621961</v>
      </c>
      <c r="B25384" t="s">
        <v>5957</v>
      </c>
      <c r="C25384" t="s">
        <v>267</v>
      </c>
      <c r="D25384" s="21" t="s">
        <v>34</v>
      </c>
      <c r="E25384" s="21" t="s">
        <v>254</v>
      </c>
      <c r="F25384">
        <v>3560044</v>
      </c>
      <c r="G25384" t="s">
        <v>4890</v>
      </c>
      <c r="H25384" s="21">
        <v>638.16999999999996</v>
      </c>
    </row>
    <row r="25385" spans="1:8" customFormat="1" x14ac:dyDescent="0.25">
      <c r="A25385" t="str">
        <f>"4112665"</f>
        <v>4112665</v>
      </c>
      <c r="B25385" t="s">
        <v>19475</v>
      </c>
      <c r="C25385" t="s">
        <v>1803</v>
      </c>
      <c r="D25385" s="21" t="s">
        <v>34</v>
      </c>
      <c r="E25385" s="21" t="s">
        <v>35</v>
      </c>
      <c r="F25385">
        <v>4410726</v>
      </c>
      <c r="G25385" t="s">
        <v>7298</v>
      </c>
      <c r="H25385" s="21">
        <v>638.16999999999996</v>
      </c>
    </row>
    <row r="25386" spans="1:8" customFormat="1" x14ac:dyDescent="0.25">
      <c r="A25386" t="str">
        <f>"9451718"</f>
        <v>9451718</v>
      </c>
      <c r="B25386" t="s">
        <v>19218</v>
      </c>
      <c r="C25386" t="s">
        <v>239</v>
      </c>
      <c r="D25386" s="21" t="s">
        <v>34</v>
      </c>
      <c r="E25386" s="21" t="s">
        <v>254</v>
      </c>
      <c r="F25386">
        <v>8940033</v>
      </c>
      <c r="G25386" t="s">
        <v>1376</v>
      </c>
      <c r="H25386" s="21">
        <v>638.16999999999996</v>
      </c>
    </row>
    <row r="25387" spans="1:8" customFormat="1" x14ac:dyDescent="0.25">
      <c r="A25387" t="str">
        <f>"308200"</f>
        <v>308200</v>
      </c>
      <c r="B25387" t="s">
        <v>685</v>
      </c>
      <c r="C25387" t="s">
        <v>18440</v>
      </c>
      <c r="D25387" s="21" t="s">
        <v>34</v>
      </c>
      <c r="E25387" s="21" t="s">
        <v>254</v>
      </c>
      <c r="F25387">
        <v>11300010</v>
      </c>
      <c r="G25387" t="s">
        <v>6282</v>
      </c>
      <c r="H25387" s="21">
        <v>638.16999999999996</v>
      </c>
    </row>
    <row r="25388" spans="1:8" customFormat="1" x14ac:dyDescent="0.25">
      <c r="A25388" t="str">
        <f>"8818051"</f>
        <v>8818051</v>
      </c>
      <c r="B25388" t="s">
        <v>575</v>
      </c>
      <c r="C25388" t="s">
        <v>926</v>
      </c>
      <c r="D25388" s="21" t="s">
        <v>34</v>
      </c>
      <c r="E25388" s="21" t="s">
        <v>71</v>
      </c>
      <c r="F25388">
        <v>6880157</v>
      </c>
      <c r="G25388" t="s">
        <v>19530</v>
      </c>
      <c r="H25388" s="21">
        <v>638.04</v>
      </c>
    </row>
    <row r="25389" spans="1:8" customFormat="1" x14ac:dyDescent="0.25">
      <c r="A25389" t="str">
        <f>"7876445"</f>
        <v>7876445</v>
      </c>
      <c r="B25389" t="s">
        <v>27852</v>
      </c>
      <c r="C25389" t="s">
        <v>27853</v>
      </c>
      <c r="D25389" s="21" t="s">
        <v>34</v>
      </c>
      <c r="E25389" s="21" t="s">
        <v>35</v>
      </c>
      <c r="F25389">
        <v>8781266</v>
      </c>
      <c r="G25389" t="s">
        <v>26704</v>
      </c>
      <c r="H25389" s="21">
        <v>638.04</v>
      </c>
    </row>
    <row r="25390" spans="1:8" customFormat="1" x14ac:dyDescent="0.25">
      <c r="A25390" t="str">
        <f>"4921538"</f>
        <v>4921538</v>
      </c>
      <c r="B25390" t="s">
        <v>17950</v>
      </c>
      <c r="C25390" t="s">
        <v>62</v>
      </c>
      <c r="D25390" s="21" t="s">
        <v>34</v>
      </c>
      <c r="E25390" s="21" t="s">
        <v>35</v>
      </c>
      <c r="F25390">
        <v>12490069</v>
      </c>
      <c r="G25390" t="s">
        <v>5566</v>
      </c>
      <c r="H25390" s="21">
        <v>637.91999999999996</v>
      </c>
    </row>
    <row r="25391" spans="1:8" customFormat="1" x14ac:dyDescent="0.25">
      <c r="A25391" t="str">
        <f>"4514184"</f>
        <v>4514184</v>
      </c>
      <c r="B25391" t="s">
        <v>638</v>
      </c>
      <c r="C25391" t="s">
        <v>825</v>
      </c>
      <c r="D25391" s="21" t="s">
        <v>34</v>
      </c>
      <c r="E25391" s="21" t="s">
        <v>71</v>
      </c>
      <c r="F25391">
        <v>4450751</v>
      </c>
      <c r="G25391" t="s">
        <v>442</v>
      </c>
      <c r="H25391" s="21">
        <v>637.66999999999996</v>
      </c>
    </row>
    <row r="25392" spans="1:8" customFormat="1" x14ac:dyDescent="0.25">
      <c r="A25392" t="str">
        <f>"5011108"</f>
        <v>5011108</v>
      </c>
      <c r="B25392" t="s">
        <v>17739</v>
      </c>
      <c r="C25392" t="s">
        <v>169</v>
      </c>
      <c r="D25392" s="21" t="s">
        <v>34</v>
      </c>
      <c r="E25392" s="21" t="s">
        <v>254</v>
      </c>
      <c r="F25392">
        <v>9500160</v>
      </c>
      <c r="G25392" t="s">
        <v>11418</v>
      </c>
      <c r="H25392" s="21">
        <v>637.66999999999996</v>
      </c>
    </row>
    <row r="25393" spans="1:8" customFormat="1" x14ac:dyDescent="0.25">
      <c r="A25393" t="str">
        <f>"6231285"</f>
        <v>6231285</v>
      </c>
      <c r="B25393" t="s">
        <v>7833</v>
      </c>
      <c r="C25393" t="s">
        <v>169</v>
      </c>
      <c r="D25393" s="21" t="s">
        <v>34</v>
      </c>
      <c r="E25393" s="21" t="s">
        <v>71</v>
      </c>
      <c r="F25393">
        <v>7620067</v>
      </c>
      <c r="G25393" t="s">
        <v>860</v>
      </c>
      <c r="H25393" s="21">
        <v>637.66999999999996</v>
      </c>
    </row>
    <row r="25394" spans="1:8" customFormat="1" x14ac:dyDescent="0.25">
      <c r="A25394" t="str">
        <f>"797200"</f>
        <v>797200</v>
      </c>
      <c r="B25394" t="s">
        <v>18256</v>
      </c>
      <c r="C25394" t="s">
        <v>144</v>
      </c>
      <c r="D25394" s="21" t="s">
        <v>34</v>
      </c>
      <c r="E25394" s="21" t="s">
        <v>254</v>
      </c>
      <c r="F25394">
        <v>10790042</v>
      </c>
      <c r="G25394" t="s">
        <v>2092</v>
      </c>
      <c r="H25394" s="21">
        <v>637.66999999999996</v>
      </c>
    </row>
    <row r="25395" spans="1:8" customFormat="1" x14ac:dyDescent="0.25">
      <c r="A25395" t="str">
        <f>"5910635"</f>
        <v>5910635</v>
      </c>
      <c r="B25395" t="s">
        <v>1661</v>
      </c>
      <c r="C25395" t="s">
        <v>171</v>
      </c>
      <c r="D25395" s="21" t="s">
        <v>34</v>
      </c>
      <c r="E25395" s="21" t="s">
        <v>71</v>
      </c>
      <c r="F25395">
        <v>7590005</v>
      </c>
      <c r="G25395" t="s">
        <v>540</v>
      </c>
      <c r="H25395" s="21">
        <v>637.66999999999996</v>
      </c>
    </row>
    <row r="25396" spans="1:8" customFormat="1" x14ac:dyDescent="0.25">
      <c r="A25396" t="str">
        <f>"3530779"</f>
        <v>3530779</v>
      </c>
      <c r="B25396" t="s">
        <v>18648</v>
      </c>
      <c r="C25396" t="s">
        <v>379</v>
      </c>
      <c r="D25396" s="21" t="s">
        <v>34</v>
      </c>
      <c r="E25396" s="21" t="s">
        <v>71</v>
      </c>
      <c r="F25396">
        <v>3350217</v>
      </c>
      <c r="G25396" t="s">
        <v>6797</v>
      </c>
      <c r="H25396" s="21">
        <v>637.66999999999996</v>
      </c>
    </row>
    <row r="25397" spans="1:8" customFormat="1" x14ac:dyDescent="0.25">
      <c r="A25397" t="str">
        <f>"90275"</f>
        <v>90275</v>
      </c>
      <c r="B25397" t="s">
        <v>1892</v>
      </c>
      <c r="C25397" t="s">
        <v>1119</v>
      </c>
      <c r="D25397" s="21" t="s">
        <v>34</v>
      </c>
      <c r="E25397" s="21" t="s">
        <v>6185</v>
      </c>
      <c r="F25397">
        <v>2900015</v>
      </c>
      <c r="G25397" t="s">
        <v>10349</v>
      </c>
      <c r="H25397" s="21">
        <v>637.66999999999996</v>
      </c>
    </row>
    <row r="25398" spans="1:8" customFormat="1" x14ac:dyDescent="0.25">
      <c r="A25398" t="str">
        <f>"5617737"</f>
        <v>5617737</v>
      </c>
      <c r="B25398" t="s">
        <v>18340</v>
      </c>
      <c r="C25398" t="s">
        <v>263</v>
      </c>
      <c r="D25398" s="21" t="s">
        <v>34</v>
      </c>
      <c r="E25398" s="21" t="s">
        <v>35</v>
      </c>
      <c r="F25398">
        <v>3560050</v>
      </c>
      <c r="G25398" t="s">
        <v>5322</v>
      </c>
      <c r="H25398" s="21">
        <v>637.66999999999996</v>
      </c>
    </row>
    <row r="25399" spans="1:8" customFormat="1" x14ac:dyDescent="0.25">
      <c r="A25399" t="str">
        <f>"331314"</f>
        <v>331314</v>
      </c>
      <c r="B25399" t="s">
        <v>6718</v>
      </c>
      <c r="C25399" t="s">
        <v>854</v>
      </c>
      <c r="D25399" s="21" t="s">
        <v>34</v>
      </c>
      <c r="E25399" s="21" t="s">
        <v>6185</v>
      </c>
      <c r="F25399">
        <v>10330017</v>
      </c>
      <c r="G25399" t="s">
        <v>2754</v>
      </c>
      <c r="H25399" s="21">
        <v>637.66999999999996</v>
      </c>
    </row>
    <row r="25400" spans="1:8" customFormat="1" x14ac:dyDescent="0.25">
      <c r="A25400" t="str">
        <f>"2512961"</f>
        <v>2512961</v>
      </c>
      <c r="B25400" t="s">
        <v>3890</v>
      </c>
      <c r="C25400" t="s">
        <v>65</v>
      </c>
      <c r="D25400" s="21" t="s">
        <v>34</v>
      </c>
      <c r="E25400" s="21" t="s">
        <v>35</v>
      </c>
      <c r="F25400">
        <v>2250229</v>
      </c>
      <c r="G25400" t="s">
        <v>5004</v>
      </c>
      <c r="H25400" s="21">
        <v>637.66999999999996</v>
      </c>
    </row>
    <row r="25401" spans="1:8" customFormat="1" x14ac:dyDescent="0.25">
      <c r="A25401" t="str">
        <f>"2214071"</f>
        <v>2214071</v>
      </c>
      <c r="B25401" t="s">
        <v>19019</v>
      </c>
      <c r="C25401" t="s">
        <v>249</v>
      </c>
      <c r="D25401" s="21" t="s">
        <v>34</v>
      </c>
      <c r="E25401" s="21" t="s">
        <v>35</v>
      </c>
      <c r="F25401">
        <v>3220002</v>
      </c>
      <c r="G25401" t="s">
        <v>26727</v>
      </c>
      <c r="H25401" s="21">
        <v>637.66999999999996</v>
      </c>
    </row>
    <row r="25402" spans="1:8" customFormat="1" x14ac:dyDescent="0.25">
      <c r="A25402" t="str">
        <f>"6716333"</f>
        <v>6716333</v>
      </c>
      <c r="B25402" t="s">
        <v>1533</v>
      </c>
      <c r="C25402" t="s">
        <v>1853</v>
      </c>
      <c r="D25402" s="21" t="s">
        <v>34</v>
      </c>
      <c r="E25402" s="21" t="s">
        <v>35</v>
      </c>
      <c r="F25402">
        <v>6670043</v>
      </c>
      <c r="G25402" t="s">
        <v>5658</v>
      </c>
      <c r="H25402" s="21">
        <v>637.66999999999996</v>
      </c>
    </row>
    <row r="25403" spans="1:8" customFormat="1" x14ac:dyDescent="0.25">
      <c r="A25403" t="str">
        <f>"7922545"</f>
        <v>7922545</v>
      </c>
      <c r="B25403" t="s">
        <v>20136</v>
      </c>
      <c r="C25403" t="s">
        <v>275</v>
      </c>
      <c r="D25403" s="21" t="s">
        <v>34</v>
      </c>
      <c r="E25403" s="21" t="s">
        <v>35</v>
      </c>
      <c r="F25403">
        <v>10790022</v>
      </c>
      <c r="G25403" t="s">
        <v>7916</v>
      </c>
      <c r="H25403" s="21">
        <v>637.66999999999996</v>
      </c>
    </row>
    <row r="25404" spans="1:8" customFormat="1" x14ac:dyDescent="0.25">
      <c r="A25404" t="str">
        <f>"7837250"</f>
        <v>7837250</v>
      </c>
      <c r="B25404" t="s">
        <v>19516</v>
      </c>
      <c r="C25404" t="s">
        <v>239</v>
      </c>
      <c r="D25404" s="21" t="s">
        <v>34</v>
      </c>
      <c r="E25404" s="21" t="s">
        <v>254</v>
      </c>
      <c r="F25404">
        <v>10470007</v>
      </c>
      <c r="G25404" t="s">
        <v>3049</v>
      </c>
      <c r="H25404" s="21">
        <v>637.66999999999996</v>
      </c>
    </row>
    <row r="25405" spans="1:8" customFormat="1" x14ac:dyDescent="0.25">
      <c r="A25405" t="str">
        <f>"6933340"</f>
        <v>6933340</v>
      </c>
      <c r="B25405" t="s">
        <v>2842</v>
      </c>
      <c r="C25405" t="s">
        <v>114</v>
      </c>
      <c r="D25405" s="21" t="s">
        <v>34</v>
      </c>
      <c r="E25405" s="21" t="s">
        <v>71</v>
      </c>
      <c r="F25405">
        <v>1690162</v>
      </c>
      <c r="G25405" t="s">
        <v>7358</v>
      </c>
      <c r="H25405" s="21">
        <v>637.66999999999996</v>
      </c>
    </row>
    <row r="25406" spans="1:8" customFormat="1" x14ac:dyDescent="0.25">
      <c r="A25406" t="str">
        <f>"6216153"</f>
        <v>6216153</v>
      </c>
      <c r="B25406" t="s">
        <v>19369</v>
      </c>
      <c r="C25406" t="s">
        <v>1705</v>
      </c>
      <c r="D25406" s="21" t="s">
        <v>34</v>
      </c>
      <c r="E25406" s="21" t="s">
        <v>71</v>
      </c>
      <c r="F25406">
        <v>7620178</v>
      </c>
      <c r="G25406" t="s">
        <v>11090</v>
      </c>
      <c r="H25406" s="21">
        <v>637.66999999999996</v>
      </c>
    </row>
    <row r="25407" spans="1:8" customFormat="1" x14ac:dyDescent="0.25">
      <c r="A25407" t="str">
        <f>"043458"</f>
        <v>043458</v>
      </c>
      <c r="B25407" t="s">
        <v>2766</v>
      </c>
      <c r="C25407" t="s">
        <v>236</v>
      </c>
      <c r="D25407" s="21" t="s">
        <v>34</v>
      </c>
      <c r="E25407" s="21" t="s">
        <v>254</v>
      </c>
      <c r="F25407">
        <v>13040030</v>
      </c>
      <c r="G25407" t="s">
        <v>1903</v>
      </c>
      <c r="H25407" s="21">
        <v>637.66999999999996</v>
      </c>
    </row>
    <row r="25408" spans="1:8" customFormat="1" x14ac:dyDescent="0.25">
      <c r="A25408" t="str">
        <f>"5961419"</f>
        <v>5961419</v>
      </c>
      <c r="B25408" t="s">
        <v>1872</v>
      </c>
      <c r="C25408" t="s">
        <v>269</v>
      </c>
      <c r="D25408" s="21" t="s">
        <v>34</v>
      </c>
      <c r="E25408" s="21" t="s">
        <v>71</v>
      </c>
      <c r="F25408">
        <v>7590086</v>
      </c>
      <c r="G25408" t="s">
        <v>3557</v>
      </c>
      <c r="H25408" s="21">
        <v>637.66999999999996</v>
      </c>
    </row>
    <row r="25409" spans="1:8" customFormat="1" x14ac:dyDescent="0.25">
      <c r="A25409" t="str">
        <f>"417165"</f>
        <v>417165</v>
      </c>
      <c r="B25409" t="s">
        <v>17443</v>
      </c>
      <c r="C25409" t="s">
        <v>267</v>
      </c>
      <c r="D25409" s="21" t="s">
        <v>34</v>
      </c>
      <c r="E25409" s="21" t="s">
        <v>35</v>
      </c>
      <c r="F25409">
        <v>7590069</v>
      </c>
      <c r="G25409" t="s">
        <v>7225</v>
      </c>
      <c r="H25409" s="21">
        <v>637.66999999999996</v>
      </c>
    </row>
    <row r="25410" spans="1:8" customFormat="1" x14ac:dyDescent="0.25">
      <c r="A25410" t="str">
        <f>"9244574"</f>
        <v>9244574</v>
      </c>
      <c r="B25410" t="s">
        <v>7107</v>
      </c>
      <c r="C25410" t="s">
        <v>664</v>
      </c>
      <c r="D25410" s="21" t="s">
        <v>34</v>
      </c>
      <c r="E25410" s="21" t="s">
        <v>71</v>
      </c>
      <c r="F25410">
        <v>8920025</v>
      </c>
      <c r="G25410" t="s">
        <v>159</v>
      </c>
      <c r="H25410" s="21">
        <v>637.66999999999996</v>
      </c>
    </row>
    <row r="25411" spans="1:8" customFormat="1" x14ac:dyDescent="0.25">
      <c r="A25411" t="str">
        <f>"5964545"</f>
        <v>5964545</v>
      </c>
      <c r="B25411" t="s">
        <v>2065</v>
      </c>
      <c r="C25411" t="s">
        <v>498</v>
      </c>
      <c r="D25411" s="21" t="s">
        <v>34</v>
      </c>
      <c r="E25411" s="21" t="s">
        <v>35</v>
      </c>
      <c r="F25411">
        <v>7590003</v>
      </c>
      <c r="G25411" t="s">
        <v>1166</v>
      </c>
      <c r="H25411" s="21">
        <v>637.66999999999996</v>
      </c>
    </row>
    <row r="25412" spans="1:8" customFormat="1" x14ac:dyDescent="0.25">
      <c r="A25412" t="str">
        <f>"955056"</f>
        <v>955056</v>
      </c>
      <c r="B25412" t="s">
        <v>19002</v>
      </c>
      <c r="C25412" t="s">
        <v>1489</v>
      </c>
      <c r="D25412" s="21" t="s">
        <v>34</v>
      </c>
      <c r="E25412" s="21" t="s">
        <v>1089</v>
      </c>
      <c r="F25412">
        <v>8950330</v>
      </c>
      <c r="G25412" t="s">
        <v>794</v>
      </c>
      <c r="H25412" s="21">
        <v>637.66999999999996</v>
      </c>
    </row>
    <row r="25413" spans="1:8" customFormat="1" x14ac:dyDescent="0.25">
      <c r="A25413" t="str">
        <f>"5944"</f>
        <v>5944</v>
      </c>
      <c r="B25413" t="s">
        <v>853</v>
      </c>
      <c r="C25413" t="s">
        <v>2479</v>
      </c>
      <c r="D25413" s="21" t="s">
        <v>34</v>
      </c>
      <c r="E25413" s="21" t="s">
        <v>254</v>
      </c>
      <c r="F25413">
        <v>7590065</v>
      </c>
      <c r="G25413" t="s">
        <v>1598</v>
      </c>
      <c r="H25413" s="21">
        <v>637.66999999999996</v>
      </c>
    </row>
    <row r="25414" spans="1:8" customFormat="1" x14ac:dyDescent="0.25">
      <c r="A25414" t="str">
        <f>"5017841"</f>
        <v>5017841</v>
      </c>
      <c r="B25414" t="s">
        <v>17688</v>
      </c>
      <c r="C25414" t="s">
        <v>285</v>
      </c>
      <c r="D25414" s="21" t="s">
        <v>34</v>
      </c>
      <c r="E25414" s="21" t="s">
        <v>35</v>
      </c>
      <c r="F25414">
        <v>9500003</v>
      </c>
      <c r="G25414" t="s">
        <v>545</v>
      </c>
      <c r="H25414" s="21">
        <v>637.66999999999996</v>
      </c>
    </row>
    <row r="25415" spans="1:8" customFormat="1" x14ac:dyDescent="0.25">
      <c r="A25415" t="str">
        <f>"697461"</f>
        <v>697461</v>
      </c>
      <c r="B25415" t="s">
        <v>18914</v>
      </c>
      <c r="C25415" t="s">
        <v>2520</v>
      </c>
      <c r="D25415" s="21" t="s">
        <v>34</v>
      </c>
      <c r="E25415" s="21" t="s">
        <v>254</v>
      </c>
      <c r="F25415">
        <v>1690221</v>
      </c>
      <c r="G25415" t="s">
        <v>303</v>
      </c>
      <c r="H25415" s="21">
        <v>637.66999999999996</v>
      </c>
    </row>
    <row r="25416" spans="1:8" customFormat="1" x14ac:dyDescent="0.25">
      <c r="A25416" t="str">
        <f>"9518927"</f>
        <v>9518927</v>
      </c>
      <c r="B25416" t="s">
        <v>7825</v>
      </c>
      <c r="C25416" t="s">
        <v>822</v>
      </c>
      <c r="D25416" s="21" t="s">
        <v>34</v>
      </c>
      <c r="E25416" s="21" t="s">
        <v>71</v>
      </c>
      <c r="F25416">
        <v>8951312</v>
      </c>
      <c r="G25416" t="s">
        <v>1007</v>
      </c>
      <c r="H25416" s="21">
        <v>637.66999999999996</v>
      </c>
    </row>
    <row r="25417" spans="1:8" customFormat="1" x14ac:dyDescent="0.25">
      <c r="A25417" t="str">
        <f>"407116"</f>
        <v>407116</v>
      </c>
      <c r="B25417" t="s">
        <v>4928</v>
      </c>
      <c r="C25417" t="s">
        <v>19260</v>
      </c>
      <c r="D25417" s="21" t="s">
        <v>34</v>
      </c>
      <c r="E25417" s="21" t="s">
        <v>71</v>
      </c>
      <c r="F25417">
        <v>10400003</v>
      </c>
      <c r="G25417" t="s">
        <v>5110</v>
      </c>
      <c r="H25417" s="21">
        <v>637.66999999999996</v>
      </c>
    </row>
    <row r="25418" spans="1:8" customFormat="1" x14ac:dyDescent="0.25">
      <c r="A25418" t="str">
        <f>"113369"</f>
        <v>113369</v>
      </c>
      <c r="B25418" t="s">
        <v>17542</v>
      </c>
      <c r="C25418" t="s">
        <v>1142</v>
      </c>
      <c r="D25418" s="21" t="s">
        <v>34</v>
      </c>
      <c r="E25418" s="21" t="s">
        <v>71</v>
      </c>
      <c r="F25418">
        <v>11110013</v>
      </c>
      <c r="G25418" t="s">
        <v>640</v>
      </c>
      <c r="H25418" s="21">
        <v>637.66999999999996</v>
      </c>
    </row>
    <row r="25419" spans="1:8" customFormat="1" x14ac:dyDescent="0.25">
      <c r="A25419" t="str">
        <f>"4217287"</f>
        <v>4217287</v>
      </c>
      <c r="B25419" t="s">
        <v>9326</v>
      </c>
      <c r="C25419" t="s">
        <v>33</v>
      </c>
      <c r="D25419" s="21" t="s">
        <v>34</v>
      </c>
      <c r="E25419" s="21" t="s">
        <v>35</v>
      </c>
      <c r="F25419">
        <v>1420154</v>
      </c>
      <c r="G25419" t="s">
        <v>11034</v>
      </c>
      <c r="H25419" s="21">
        <v>637.66999999999996</v>
      </c>
    </row>
    <row r="25420" spans="1:8" customFormat="1" x14ac:dyDescent="0.25">
      <c r="A25420" t="str">
        <f>"2515010"</f>
        <v>2515010</v>
      </c>
      <c r="B25420" t="s">
        <v>16894</v>
      </c>
      <c r="C25420" t="s">
        <v>62</v>
      </c>
      <c r="D25420" s="21" t="s">
        <v>34</v>
      </c>
      <c r="E25420" s="21" t="s">
        <v>71</v>
      </c>
      <c r="F25420">
        <v>2250224</v>
      </c>
      <c r="G25420" t="s">
        <v>9217</v>
      </c>
      <c r="H25420" s="21">
        <v>637.54</v>
      </c>
    </row>
    <row r="25421" spans="1:8" customFormat="1" x14ac:dyDescent="0.25">
      <c r="A25421" t="str">
        <f>"112042"</f>
        <v>112042</v>
      </c>
      <c r="B25421" t="s">
        <v>12456</v>
      </c>
      <c r="C25421" t="s">
        <v>547</v>
      </c>
      <c r="D25421" s="21" t="s">
        <v>34</v>
      </c>
      <c r="E25421" s="21" t="s">
        <v>71</v>
      </c>
      <c r="F25421">
        <v>11110023</v>
      </c>
      <c r="G25421" t="s">
        <v>1849</v>
      </c>
      <c r="H25421" s="21">
        <v>637.41999999999996</v>
      </c>
    </row>
    <row r="25422" spans="1:8" customFormat="1" x14ac:dyDescent="0.25">
      <c r="A25422" t="str">
        <f>"626458"</f>
        <v>626458</v>
      </c>
      <c r="B25422" t="s">
        <v>16725</v>
      </c>
      <c r="C25422" t="s">
        <v>2520</v>
      </c>
      <c r="D25422" s="21" t="s">
        <v>34</v>
      </c>
      <c r="E25422" s="21" t="s">
        <v>254</v>
      </c>
      <c r="F25422">
        <v>7620047</v>
      </c>
      <c r="G25422" t="s">
        <v>16200</v>
      </c>
      <c r="H25422" s="21">
        <v>637.41999999999996</v>
      </c>
    </row>
    <row r="25423" spans="1:8" customFormat="1" x14ac:dyDescent="0.25">
      <c r="A25423" t="str">
        <f>"7616586"</f>
        <v>7616586</v>
      </c>
      <c r="B25423" t="s">
        <v>4916</v>
      </c>
      <c r="C25423" t="s">
        <v>1675</v>
      </c>
      <c r="D25423" s="21" t="s">
        <v>34</v>
      </c>
      <c r="E25423" s="21" t="s">
        <v>35</v>
      </c>
      <c r="F25423">
        <v>9760320</v>
      </c>
      <c r="G25423" t="s">
        <v>4917</v>
      </c>
      <c r="H25423" s="21">
        <v>637.41999999999996</v>
      </c>
    </row>
    <row r="25424" spans="1:8" customFormat="1" x14ac:dyDescent="0.25">
      <c r="A25424" t="str">
        <f>"3338363"</f>
        <v>3338363</v>
      </c>
      <c r="B25424" t="s">
        <v>11423</v>
      </c>
      <c r="C25424" t="s">
        <v>40</v>
      </c>
      <c r="D25424" s="21" t="s">
        <v>34</v>
      </c>
      <c r="E25424" s="21" t="s">
        <v>35</v>
      </c>
      <c r="F25424">
        <v>10330034</v>
      </c>
      <c r="G25424" t="s">
        <v>6011</v>
      </c>
      <c r="H25424" s="21">
        <v>637.29</v>
      </c>
    </row>
    <row r="25425" spans="1:8" customFormat="1" x14ac:dyDescent="0.25">
      <c r="A25425" t="str">
        <f>"217820"</f>
        <v>217820</v>
      </c>
      <c r="B25425" t="s">
        <v>20799</v>
      </c>
      <c r="C25425" t="s">
        <v>305</v>
      </c>
      <c r="D25425" s="21" t="s">
        <v>34</v>
      </c>
      <c r="E25425" s="21" t="s">
        <v>35</v>
      </c>
      <c r="F25425">
        <v>2210007</v>
      </c>
      <c r="G25425" t="s">
        <v>26848</v>
      </c>
      <c r="H25425" s="21">
        <v>637.29</v>
      </c>
    </row>
    <row r="25426" spans="1:8" customFormat="1" x14ac:dyDescent="0.25">
      <c r="A25426" t="str">
        <f>"7637462"</f>
        <v>7637462</v>
      </c>
      <c r="B25426" t="s">
        <v>8149</v>
      </c>
      <c r="C25426" t="s">
        <v>60</v>
      </c>
      <c r="D25426" s="21" t="s">
        <v>34</v>
      </c>
      <c r="E25426" s="21" t="s">
        <v>35</v>
      </c>
      <c r="F25426">
        <v>9760107</v>
      </c>
      <c r="G25426" t="s">
        <v>122</v>
      </c>
      <c r="H25426" s="21">
        <v>637.29</v>
      </c>
    </row>
    <row r="25427" spans="1:8" customFormat="1" x14ac:dyDescent="0.25">
      <c r="A25427" t="str">
        <f>"514211"</f>
        <v>514211</v>
      </c>
      <c r="B25427" t="s">
        <v>19479</v>
      </c>
      <c r="C25427" t="s">
        <v>1841</v>
      </c>
      <c r="D25427" s="21" t="s">
        <v>34</v>
      </c>
      <c r="E25427" s="21" t="s">
        <v>254</v>
      </c>
      <c r="F25427">
        <v>6510111</v>
      </c>
      <c r="G25427" t="s">
        <v>19941</v>
      </c>
      <c r="H25427" s="21">
        <v>637.16999999999996</v>
      </c>
    </row>
    <row r="25428" spans="1:8" customFormat="1" x14ac:dyDescent="0.25">
      <c r="A25428" t="str">
        <f>"7810521"</f>
        <v>7810521</v>
      </c>
      <c r="B25428" t="s">
        <v>19307</v>
      </c>
      <c r="C25428" t="s">
        <v>209</v>
      </c>
      <c r="D25428" s="21" t="s">
        <v>34</v>
      </c>
      <c r="E25428" s="21" t="s">
        <v>71</v>
      </c>
      <c r="F25428">
        <v>8780401</v>
      </c>
      <c r="G25428" t="s">
        <v>9116</v>
      </c>
      <c r="H25428" s="21">
        <v>637.16999999999996</v>
      </c>
    </row>
    <row r="25429" spans="1:8" customFormat="1" x14ac:dyDescent="0.25">
      <c r="A25429" t="str">
        <f>"308520"</f>
        <v>308520</v>
      </c>
      <c r="B25429" t="s">
        <v>20256</v>
      </c>
      <c r="C25429" t="s">
        <v>109</v>
      </c>
      <c r="D25429" s="21" t="s">
        <v>34</v>
      </c>
      <c r="E25429" s="21" t="s">
        <v>254</v>
      </c>
      <c r="F25429">
        <v>11300004</v>
      </c>
      <c r="G25429" t="s">
        <v>758</v>
      </c>
      <c r="H25429" s="21">
        <v>637.16999999999996</v>
      </c>
    </row>
    <row r="25430" spans="1:8" customFormat="1" x14ac:dyDescent="0.25">
      <c r="A25430" t="str">
        <f>"4443603"</f>
        <v>4443603</v>
      </c>
      <c r="B25430" t="s">
        <v>6324</v>
      </c>
      <c r="C25430" t="s">
        <v>1714</v>
      </c>
      <c r="D25430" s="21" t="s">
        <v>34</v>
      </c>
      <c r="E25430" s="21" t="s">
        <v>71</v>
      </c>
      <c r="F25430">
        <v>12440094</v>
      </c>
      <c r="G25430" t="s">
        <v>892</v>
      </c>
      <c r="H25430" s="21">
        <v>637.16999999999996</v>
      </c>
    </row>
    <row r="25431" spans="1:8" customFormat="1" x14ac:dyDescent="0.25">
      <c r="A25431" t="str">
        <f>"5317390"</f>
        <v>5317390</v>
      </c>
      <c r="B25431" t="s">
        <v>2835</v>
      </c>
      <c r="C25431" t="s">
        <v>151</v>
      </c>
      <c r="D25431" s="21" t="s">
        <v>34</v>
      </c>
      <c r="E25431" s="21" t="s">
        <v>71</v>
      </c>
      <c r="F25431">
        <v>12530015</v>
      </c>
      <c r="G25431" t="s">
        <v>18217</v>
      </c>
      <c r="H25431" s="21">
        <v>637.16999999999996</v>
      </c>
    </row>
    <row r="25432" spans="1:8" customFormat="1" x14ac:dyDescent="0.25">
      <c r="A25432" t="str">
        <f>"7624301"</f>
        <v>7624301</v>
      </c>
      <c r="B25432" t="s">
        <v>1624</v>
      </c>
      <c r="C25432" t="s">
        <v>60</v>
      </c>
      <c r="D25432" s="21" t="s">
        <v>34</v>
      </c>
      <c r="E25432" s="21" t="s">
        <v>35</v>
      </c>
      <c r="F25432">
        <v>9760239</v>
      </c>
      <c r="G25432" t="s">
        <v>9147</v>
      </c>
      <c r="H25432" s="21">
        <v>637.16999999999996</v>
      </c>
    </row>
    <row r="25433" spans="1:8" customFormat="1" x14ac:dyDescent="0.25">
      <c r="A25433" t="str">
        <f>"5412716"</f>
        <v>5412716</v>
      </c>
      <c r="B25433" t="s">
        <v>17777</v>
      </c>
      <c r="C25433" t="s">
        <v>17778</v>
      </c>
      <c r="D25433" s="21" t="s">
        <v>34</v>
      </c>
      <c r="E25433" s="21" t="s">
        <v>254</v>
      </c>
      <c r="F25433">
        <v>6540040</v>
      </c>
      <c r="G25433" t="s">
        <v>256</v>
      </c>
      <c r="H25433" s="21">
        <v>637.16999999999996</v>
      </c>
    </row>
    <row r="25434" spans="1:8" customFormat="1" x14ac:dyDescent="0.25">
      <c r="A25434" t="str">
        <f>"6935496"</f>
        <v>6935496</v>
      </c>
      <c r="B25434" t="s">
        <v>18986</v>
      </c>
      <c r="C25434" t="s">
        <v>328</v>
      </c>
      <c r="D25434" s="21" t="s">
        <v>34</v>
      </c>
      <c r="E25434" s="21" t="s">
        <v>71</v>
      </c>
      <c r="F25434">
        <v>1690006</v>
      </c>
      <c r="G25434" t="s">
        <v>2543</v>
      </c>
      <c r="H25434" s="21">
        <v>637.16999999999996</v>
      </c>
    </row>
    <row r="25435" spans="1:8" customFormat="1" x14ac:dyDescent="0.25">
      <c r="A25435" t="str">
        <f>"7922223"</f>
        <v>7922223</v>
      </c>
      <c r="B25435" t="s">
        <v>14564</v>
      </c>
      <c r="C25435" t="s">
        <v>130</v>
      </c>
      <c r="D25435" s="21" t="s">
        <v>34</v>
      </c>
      <c r="E25435" s="21" t="s">
        <v>71</v>
      </c>
      <c r="F25435">
        <v>10790003</v>
      </c>
      <c r="G25435" t="s">
        <v>10465</v>
      </c>
      <c r="H25435" s="21">
        <v>637.16999999999996</v>
      </c>
    </row>
    <row r="25436" spans="1:8" customFormat="1" x14ac:dyDescent="0.25">
      <c r="A25436" t="str">
        <f>"5941583"</f>
        <v>5941583</v>
      </c>
      <c r="B25436" t="s">
        <v>17231</v>
      </c>
      <c r="C25436" t="s">
        <v>3784</v>
      </c>
      <c r="D25436" s="21" t="s">
        <v>34</v>
      </c>
      <c r="E25436" s="21" t="s">
        <v>1089</v>
      </c>
      <c r="F25436">
        <v>7590244</v>
      </c>
      <c r="G25436" t="s">
        <v>5768</v>
      </c>
      <c r="H25436" s="21">
        <v>637.16999999999996</v>
      </c>
    </row>
    <row r="25437" spans="1:8" customFormat="1" x14ac:dyDescent="0.25">
      <c r="A25437" t="str">
        <f>"629763"</f>
        <v>629763</v>
      </c>
      <c r="B25437" t="s">
        <v>2218</v>
      </c>
      <c r="C25437" t="s">
        <v>269</v>
      </c>
      <c r="D25437" s="21" t="s">
        <v>34</v>
      </c>
      <c r="E25437" s="21" t="s">
        <v>71</v>
      </c>
      <c r="F25437">
        <v>7620080</v>
      </c>
      <c r="G25437" t="s">
        <v>6056</v>
      </c>
      <c r="H25437" s="21">
        <v>637.16999999999996</v>
      </c>
    </row>
    <row r="25438" spans="1:8" customFormat="1" x14ac:dyDescent="0.25">
      <c r="A25438" t="str">
        <f>"2516000"</f>
        <v>2516000</v>
      </c>
      <c r="B25438" t="s">
        <v>517</v>
      </c>
      <c r="C25438" t="s">
        <v>328</v>
      </c>
      <c r="D25438" s="21" t="s">
        <v>34</v>
      </c>
      <c r="E25438" s="21" t="s">
        <v>35</v>
      </c>
      <c r="F25438">
        <v>2250015</v>
      </c>
      <c r="G25438" t="s">
        <v>4776</v>
      </c>
      <c r="H25438" s="21">
        <v>637.16999999999996</v>
      </c>
    </row>
    <row r="25439" spans="1:8" customFormat="1" x14ac:dyDescent="0.25">
      <c r="A25439" t="str">
        <f>"5974710"</f>
        <v>5974710</v>
      </c>
      <c r="B25439" t="s">
        <v>2549</v>
      </c>
      <c r="C25439" t="s">
        <v>40</v>
      </c>
      <c r="D25439" s="21" t="s">
        <v>34</v>
      </c>
      <c r="E25439" s="21" t="s">
        <v>71</v>
      </c>
      <c r="F25439">
        <v>7590107</v>
      </c>
      <c r="G25439" t="s">
        <v>17475</v>
      </c>
      <c r="H25439" s="21">
        <v>637.16999999999996</v>
      </c>
    </row>
    <row r="25440" spans="1:8" customFormat="1" x14ac:dyDescent="0.25">
      <c r="A25440" t="str">
        <f>"7920683"</f>
        <v>7920683</v>
      </c>
      <c r="B25440" t="s">
        <v>19695</v>
      </c>
      <c r="C25440" t="s">
        <v>171</v>
      </c>
      <c r="D25440" s="21" t="s">
        <v>34</v>
      </c>
      <c r="E25440" s="21" t="s">
        <v>35</v>
      </c>
      <c r="F25440">
        <v>10790045</v>
      </c>
      <c r="G25440" t="s">
        <v>1498</v>
      </c>
      <c r="H25440" s="21">
        <v>637.16999999999996</v>
      </c>
    </row>
    <row r="25441" spans="1:8" customFormat="1" x14ac:dyDescent="0.25">
      <c r="A25441" t="str">
        <f>"7638531"</f>
        <v>7638531</v>
      </c>
      <c r="B25441" t="s">
        <v>3750</v>
      </c>
      <c r="C25441" t="s">
        <v>415</v>
      </c>
      <c r="D25441" s="21" t="s">
        <v>34</v>
      </c>
      <c r="E25441" s="21" t="s">
        <v>254</v>
      </c>
      <c r="F25441">
        <v>9760018</v>
      </c>
      <c r="G25441" t="s">
        <v>117</v>
      </c>
      <c r="H25441" s="21">
        <v>637.16999999999996</v>
      </c>
    </row>
    <row r="25442" spans="1:8" customFormat="1" x14ac:dyDescent="0.25">
      <c r="A25442" t="str">
        <f>"1715059"</f>
        <v>1715059</v>
      </c>
      <c r="B25442" t="s">
        <v>1687</v>
      </c>
      <c r="C25442" t="s">
        <v>40</v>
      </c>
      <c r="D25442" s="21" t="s">
        <v>34</v>
      </c>
      <c r="E25442" s="21" t="s">
        <v>254</v>
      </c>
      <c r="F25442">
        <v>10170012</v>
      </c>
      <c r="G25442" t="s">
        <v>14768</v>
      </c>
      <c r="H25442" s="21">
        <v>637.16999999999996</v>
      </c>
    </row>
    <row r="25443" spans="1:8" customFormat="1" x14ac:dyDescent="0.25">
      <c r="A25443" t="str">
        <f>"6311920"</f>
        <v>6311920</v>
      </c>
      <c r="B25443" t="s">
        <v>19107</v>
      </c>
      <c r="C25443" t="s">
        <v>598</v>
      </c>
      <c r="D25443" s="21" t="s">
        <v>34</v>
      </c>
      <c r="E25443" s="21" t="s">
        <v>71</v>
      </c>
      <c r="F25443">
        <v>1630054</v>
      </c>
      <c r="G25443" t="s">
        <v>2512</v>
      </c>
      <c r="H25443" s="21">
        <v>637.16999999999996</v>
      </c>
    </row>
    <row r="25444" spans="1:8" customFormat="1" x14ac:dyDescent="0.25">
      <c r="A25444" t="str">
        <f>"503870"</f>
        <v>503870</v>
      </c>
      <c r="B25444" t="s">
        <v>3689</v>
      </c>
      <c r="C25444" t="s">
        <v>2730</v>
      </c>
      <c r="D25444" s="21" t="s">
        <v>34</v>
      </c>
      <c r="E25444" s="21" t="s">
        <v>254</v>
      </c>
      <c r="F25444">
        <v>9500122</v>
      </c>
      <c r="G25444" t="s">
        <v>6164</v>
      </c>
      <c r="H25444" s="21">
        <v>637.16999999999996</v>
      </c>
    </row>
    <row r="25445" spans="1:8" customFormat="1" x14ac:dyDescent="0.25">
      <c r="A25445" t="str">
        <f>"5019343"</f>
        <v>5019343</v>
      </c>
      <c r="B25445" t="s">
        <v>3709</v>
      </c>
      <c r="C25445" t="s">
        <v>204</v>
      </c>
      <c r="D25445" s="21" t="s">
        <v>34</v>
      </c>
      <c r="E25445" s="21" t="s">
        <v>71</v>
      </c>
      <c r="F25445">
        <v>9500031</v>
      </c>
      <c r="G25445" t="s">
        <v>11126</v>
      </c>
      <c r="H25445" s="21">
        <v>637.16999999999996</v>
      </c>
    </row>
    <row r="25446" spans="1:8" customFormat="1" x14ac:dyDescent="0.25">
      <c r="A25446" t="str">
        <f>"4936706"</f>
        <v>4936706</v>
      </c>
      <c r="B25446" t="s">
        <v>638</v>
      </c>
      <c r="C25446" t="s">
        <v>87</v>
      </c>
      <c r="D25446" s="21" t="s">
        <v>34</v>
      </c>
      <c r="E25446" s="21" t="s">
        <v>35</v>
      </c>
      <c r="F25446">
        <v>12490023</v>
      </c>
      <c r="G25446" t="s">
        <v>4979</v>
      </c>
      <c r="H25446" s="21">
        <v>637.16999999999996</v>
      </c>
    </row>
    <row r="25447" spans="1:8" customFormat="1" x14ac:dyDescent="0.25">
      <c r="A25447" t="str">
        <f>"1418695"</f>
        <v>1418695</v>
      </c>
      <c r="B25447" t="s">
        <v>9095</v>
      </c>
      <c r="C25447" t="s">
        <v>139</v>
      </c>
      <c r="D25447" s="21" t="s">
        <v>34</v>
      </c>
      <c r="E25447" s="21" t="s">
        <v>35</v>
      </c>
      <c r="F25447">
        <v>9140189</v>
      </c>
      <c r="G25447" t="s">
        <v>4200</v>
      </c>
      <c r="H25447" s="21">
        <v>637.16999999999996</v>
      </c>
    </row>
    <row r="25448" spans="1:8" customFormat="1" x14ac:dyDescent="0.25">
      <c r="A25448" t="str">
        <f>"7635030"</f>
        <v>7635030</v>
      </c>
      <c r="B25448" t="s">
        <v>8921</v>
      </c>
      <c r="C25448" t="s">
        <v>19588</v>
      </c>
      <c r="D25448" s="21" t="s">
        <v>34</v>
      </c>
      <c r="E25448" s="21" t="s">
        <v>71</v>
      </c>
      <c r="F25448">
        <v>9760449</v>
      </c>
      <c r="G25448" t="s">
        <v>4848</v>
      </c>
      <c r="H25448" s="21">
        <v>637.16999999999996</v>
      </c>
    </row>
    <row r="25449" spans="1:8" customFormat="1" x14ac:dyDescent="0.25">
      <c r="A25449" t="str">
        <f>"5936835"</f>
        <v>5936835</v>
      </c>
      <c r="B25449" t="s">
        <v>20417</v>
      </c>
      <c r="C25449" t="s">
        <v>598</v>
      </c>
      <c r="D25449" s="21" t="s">
        <v>34</v>
      </c>
      <c r="E25449" s="21" t="s">
        <v>71</v>
      </c>
      <c r="F25449">
        <v>7590331</v>
      </c>
      <c r="G25449" t="s">
        <v>4882</v>
      </c>
      <c r="H25449" s="21">
        <v>637.16999999999996</v>
      </c>
    </row>
    <row r="25450" spans="1:8" customFormat="1" x14ac:dyDescent="0.25">
      <c r="A25450" t="str">
        <f>"5620371"</f>
        <v>5620371</v>
      </c>
      <c r="B25450" t="s">
        <v>9281</v>
      </c>
      <c r="C25450" t="s">
        <v>209</v>
      </c>
      <c r="D25450" s="21" t="s">
        <v>34</v>
      </c>
      <c r="E25450" s="21" t="s">
        <v>71</v>
      </c>
      <c r="F25450">
        <v>3560087</v>
      </c>
      <c r="G25450" t="s">
        <v>7767</v>
      </c>
      <c r="H25450" s="21">
        <v>637.16999999999996</v>
      </c>
    </row>
    <row r="25451" spans="1:8" customFormat="1" x14ac:dyDescent="0.25">
      <c r="A25451" t="str">
        <f>"568174"</f>
        <v>568174</v>
      </c>
      <c r="B25451" t="s">
        <v>18205</v>
      </c>
      <c r="C25451" t="s">
        <v>598</v>
      </c>
      <c r="D25451" s="21" t="s">
        <v>34</v>
      </c>
      <c r="E25451" s="21" t="s">
        <v>254</v>
      </c>
      <c r="F25451">
        <v>13840013</v>
      </c>
      <c r="G25451" t="s">
        <v>7323</v>
      </c>
      <c r="H25451" s="21">
        <v>636.91999999999996</v>
      </c>
    </row>
    <row r="25452" spans="1:8" customFormat="1" x14ac:dyDescent="0.25">
      <c r="A25452" t="str">
        <f>"2515461"</f>
        <v>2515461</v>
      </c>
      <c r="B25452" t="s">
        <v>17491</v>
      </c>
      <c r="C25452" t="s">
        <v>62</v>
      </c>
      <c r="D25452" s="21" t="s">
        <v>34</v>
      </c>
      <c r="E25452" s="21" t="s">
        <v>35</v>
      </c>
      <c r="F25452">
        <v>2250154</v>
      </c>
      <c r="G25452" t="s">
        <v>1973</v>
      </c>
      <c r="H25452" s="21">
        <v>636.79</v>
      </c>
    </row>
    <row r="25453" spans="1:8" customFormat="1" x14ac:dyDescent="0.25">
      <c r="A25453" t="str">
        <f>"738006"</f>
        <v>738006</v>
      </c>
      <c r="B25453" t="s">
        <v>7079</v>
      </c>
      <c r="C25453" t="s">
        <v>486</v>
      </c>
      <c r="D25453" s="21" t="s">
        <v>34</v>
      </c>
      <c r="E25453" s="21" t="s">
        <v>71</v>
      </c>
      <c r="F25453">
        <v>1730076</v>
      </c>
      <c r="G25453" t="s">
        <v>936</v>
      </c>
      <c r="H25453" s="21">
        <v>636.79</v>
      </c>
    </row>
    <row r="25454" spans="1:8" customFormat="1" x14ac:dyDescent="0.25">
      <c r="A25454" t="str">
        <f>"7835153"</f>
        <v>7835153</v>
      </c>
      <c r="B25454" t="s">
        <v>18609</v>
      </c>
      <c r="C25454" t="s">
        <v>712</v>
      </c>
      <c r="D25454" s="21" t="s">
        <v>34</v>
      </c>
      <c r="E25454" s="21" t="s">
        <v>254</v>
      </c>
      <c r="F25454">
        <v>8780224</v>
      </c>
      <c r="G25454" t="s">
        <v>8599</v>
      </c>
      <c r="H25454" s="21">
        <v>636.66999999999996</v>
      </c>
    </row>
    <row r="25455" spans="1:8" customFormat="1" x14ac:dyDescent="0.25">
      <c r="A25455" t="str">
        <f>"7811897"</f>
        <v>7811897</v>
      </c>
      <c r="B25455" t="s">
        <v>19479</v>
      </c>
      <c r="C25455" t="s">
        <v>415</v>
      </c>
      <c r="D25455" s="21" t="s">
        <v>34</v>
      </c>
      <c r="E25455" s="21" t="s">
        <v>254</v>
      </c>
      <c r="F25455">
        <v>10170050</v>
      </c>
      <c r="G25455" t="s">
        <v>2514</v>
      </c>
      <c r="H25455" s="21">
        <v>636.66999999999996</v>
      </c>
    </row>
    <row r="25456" spans="1:8" customFormat="1" x14ac:dyDescent="0.25">
      <c r="A25456" t="str">
        <f>"567074"</f>
        <v>567074</v>
      </c>
      <c r="B25456" t="s">
        <v>17792</v>
      </c>
      <c r="C25456" t="s">
        <v>3010</v>
      </c>
      <c r="D25456" s="21" t="s">
        <v>34</v>
      </c>
      <c r="E25456" s="21" t="s">
        <v>1089</v>
      </c>
      <c r="F25456">
        <v>3560057</v>
      </c>
      <c r="G25456" t="s">
        <v>17793</v>
      </c>
      <c r="H25456" s="21">
        <v>636.66999999999996</v>
      </c>
    </row>
    <row r="25457" spans="1:8" customFormat="1" x14ac:dyDescent="0.25">
      <c r="A25457" t="str">
        <f>"246662"</f>
        <v>246662</v>
      </c>
      <c r="B25457" t="s">
        <v>19357</v>
      </c>
      <c r="C25457" t="s">
        <v>62</v>
      </c>
      <c r="D25457" s="21" t="s">
        <v>34</v>
      </c>
      <c r="E25457" s="21" t="s">
        <v>35</v>
      </c>
      <c r="F25457">
        <v>10240026</v>
      </c>
      <c r="G25457" t="s">
        <v>11667</v>
      </c>
      <c r="H25457" s="21">
        <v>636.66999999999996</v>
      </c>
    </row>
    <row r="25458" spans="1:8" customFormat="1" x14ac:dyDescent="0.25">
      <c r="A25458" t="str">
        <f>"169311"</f>
        <v>169311</v>
      </c>
      <c r="B25458" t="s">
        <v>18963</v>
      </c>
      <c r="C25458" t="s">
        <v>1605</v>
      </c>
      <c r="D25458" s="21" t="s">
        <v>34</v>
      </c>
      <c r="E25458" s="21" t="s">
        <v>254</v>
      </c>
      <c r="F25458">
        <v>10160051</v>
      </c>
      <c r="G25458" t="s">
        <v>7167</v>
      </c>
      <c r="H25458" s="21">
        <v>636.66999999999996</v>
      </c>
    </row>
    <row r="25459" spans="1:8" customFormat="1" x14ac:dyDescent="0.25">
      <c r="A25459" t="str">
        <f>"5964484"</f>
        <v>5964484</v>
      </c>
      <c r="B25459" t="s">
        <v>3868</v>
      </c>
      <c r="C25459" t="s">
        <v>109</v>
      </c>
      <c r="D25459" s="21" t="s">
        <v>34</v>
      </c>
      <c r="E25459" s="21" t="s">
        <v>35</v>
      </c>
      <c r="F25459">
        <v>7590020</v>
      </c>
      <c r="G25459" t="s">
        <v>5181</v>
      </c>
      <c r="H25459" s="21">
        <v>636.66999999999996</v>
      </c>
    </row>
    <row r="25460" spans="1:8" customFormat="1" x14ac:dyDescent="0.25">
      <c r="A25460" t="str">
        <f>"9535654"</f>
        <v>9535654</v>
      </c>
      <c r="B25460" t="s">
        <v>18798</v>
      </c>
      <c r="C25460" t="s">
        <v>988</v>
      </c>
      <c r="D25460" s="21" t="s">
        <v>34</v>
      </c>
      <c r="E25460" s="21" t="s">
        <v>35</v>
      </c>
      <c r="F25460">
        <v>8950092</v>
      </c>
      <c r="G25460" t="s">
        <v>2039</v>
      </c>
      <c r="H25460" s="21">
        <v>636.66999999999996</v>
      </c>
    </row>
    <row r="25461" spans="1:8" customFormat="1" x14ac:dyDescent="0.25">
      <c r="A25461" t="str">
        <f>"3529421"</f>
        <v>3529421</v>
      </c>
      <c r="B25461" t="s">
        <v>17556</v>
      </c>
      <c r="C25461" t="s">
        <v>33</v>
      </c>
      <c r="D25461" s="21" t="s">
        <v>34</v>
      </c>
      <c r="E25461" s="21" t="s">
        <v>71</v>
      </c>
      <c r="F25461">
        <v>3350161</v>
      </c>
      <c r="G25461" t="s">
        <v>1507</v>
      </c>
      <c r="H25461" s="21">
        <v>636.66999999999996</v>
      </c>
    </row>
    <row r="25462" spans="1:8" customFormat="1" x14ac:dyDescent="0.25">
      <c r="A25462" t="str">
        <f>"8510106"</f>
        <v>8510106</v>
      </c>
      <c r="B25462" t="s">
        <v>2315</v>
      </c>
      <c r="C25462" t="s">
        <v>10958</v>
      </c>
      <c r="D25462" s="21" t="s">
        <v>34</v>
      </c>
      <c r="E25462" s="21" t="s">
        <v>35</v>
      </c>
      <c r="F25462">
        <v>12850153</v>
      </c>
      <c r="G25462" t="s">
        <v>5794</v>
      </c>
      <c r="H25462" s="21">
        <v>636.66999999999996</v>
      </c>
    </row>
    <row r="25463" spans="1:8" customFormat="1" x14ac:dyDescent="0.25">
      <c r="A25463" t="str">
        <f>"2925406"</f>
        <v>2925406</v>
      </c>
      <c r="B25463" t="s">
        <v>7035</v>
      </c>
      <c r="C25463" t="s">
        <v>5525</v>
      </c>
      <c r="D25463" s="21" t="s">
        <v>34</v>
      </c>
      <c r="E25463" s="21" t="s">
        <v>35</v>
      </c>
      <c r="F25463">
        <v>3290276</v>
      </c>
      <c r="G25463" t="s">
        <v>26710</v>
      </c>
      <c r="H25463" s="21">
        <v>636.66999999999996</v>
      </c>
    </row>
    <row r="25464" spans="1:8" customFormat="1" x14ac:dyDescent="0.25">
      <c r="A25464" t="str">
        <f>"269844"</f>
        <v>269844</v>
      </c>
      <c r="B25464" t="s">
        <v>17824</v>
      </c>
      <c r="C25464" t="s">
        <v>109</v>
      </c>
      <c r="D25464" s="21" t="s">
        <v>34</v>
      </c>
      <c r="E25464" s="21" t="s">
        <v>35</v>
      </c>
      <c r="F25464">
        <v>1260034</v>
      </c>
      <c r="G25464" t="s">
        <v>1884</v>
      </c>
      <c r="H25464" s="21">
        <v>636.66999999999996</v>
      </c>
    </row>
    <row r="25465" spans="1:8" customFormat="1" x14ac:dyDescent="0.25">
      <c r="A25465" t="str">
        <f>"3725611"</f>
        <v>3725611</v>
      </c>
      <c r="B25465" t="s">
        <v>727</v>
      </c>
      <c r="C25465" t="s">
        <v>40</v>
      </c>
      <c r="D25465" s="21" t="s">
        <v>34</v>
      </c>
      <c r="E25465" s="21" t="s">
        <v>254</v>
      </c>
      <c r="F25465">
        <v>4370548</v>
      </c>
      <c r="G25465" t="s">
        <v>7106</v>
      </c>
      <c r="H25465" s="21">
        <v>636.66999999999996</v>
      </c>
    </row>
    <row r="25466" spans="1:8" customFormat="1" x14ac:dyDescent="0.25">
      <c r="A25466" t="str">
        <f>"1612247"</f>
        <v>1612247</v>
      </c>
      <c r="B25466" t="s">
        <v>7065</v>
      </c>
      <c r="C25466" t="s">
        <v>267</v>
      </c>
      <c r="D25466" s="21" t="s">
        <v>34</v>
      </c>
      <c r="E25466" s="21" t="s">
        <v>71</v>
      </c>
      <c r="F25466">
        <v>10160051</v>
      </c>
      <c r="G25466" t="s">
        <v>7167</v>
      </c>
      <c r="H25466" s="21">
        <v>636.66999999999996</v>
      </c>
    </row>
    <row r="25467" spans="1:8" customFormat="1" x14ac:dyDescent="0.25">
      <c r="A25467" t="str">
        <f>"2713775"</f>
        <v>2713775</v>
      </c>
      <c r="B25467" t="s">
        <v>18973</v>
      </c>
      <c r="C25467" t="s">
        <v>169</v>
      </c>
      <c r="D25467" s="21" t="s">
        <v>34</v>
      </c>
      <c r="E25467" s="21" t="s">
        <v>35</v>
      </c>
      <c r="F25467">
        <v>9270006</v>
      </c>
      <c r="G25467" t="s">
        <v>780</v>
      </c>
      <c r="H25467" s="21">
        <v>636.66999999999996</v>
      </c>
    </row>
    <row r="25468" spans="1:8" customFormat="1" x14ac:dyDescent="0.25">
      <c r="A25468" t="str">
        <f>"9414656"</f>
        <v>9414656</v>
      </c>
      <c r="B25468" t="s">
        <v>19745</v>
      </c>
      <c r="C25468" t="s">
        <v>156</v>
      </c>
      <c r="D25468" s="21" t="s">
        <v>34</v>
      </c>
      <c r="E25468" s="21" t="s">
        <v>1089</v>
      </c>
      <c r="F25468">
        <v>8920031</v>
      </c>
      <c r="G25468" t="s">
        <v>552</v>
      </c>
      <c r="H25468" s="21">
        <v>636.66999999999996</v>
      </c>
    </row>
    <row r="25469" spans="1:8" customFormat="1" x14ac:dyDescent="0.25">
      <c r="A25469" t="str">
        <f>"044010"</f>
        <v>044010</v>
      </c>
      <c r="B25469" t="s">
        <v>20828</v>
      </c>
      <c r="C25469" t="s">
        <v>1025</v>
      </c>
      <c r="D25469" s="21" t="s">
        <v>34</v>
      </c>
      <c r="E25469" s="21" t="s">
        <v>254</v>
      </c>
      <c r="F25469">
        <v>13040025</v>
      </c>
      <c r="G25469" t="s">
        <v>6715</v>
      </c>
      <c r="H25469" s="21">
        <v>636.66999999999996</v>
      </c>
    </row>
    <row r="25470" spans="1:8" customFormat="1" x14ac:dyDescent="0.25">
      <c r="A25470" t="str">
        <f>"5111539"</f>
        <v>5111539</v>
      </c>
      <c r="B25470" t="s">
        <v>19606</v>
      </c>
      <c r="C25470" t="s">
        <v>60</v>
      </c>
      <c r="D25470" s="21" t="s">
        <v>34</v>
      </c>
      <c r="E25470" s="21" t="s">
        <v>35</v>
      </c>
      <c r="F25470">
        <v>6510062</v>
      </c>
      <c r="G25470" t="s">
        <v>9059</v>
      </c>
      <c r="H25470" s="21">
        <v>636.66999999999996</v>
      </c>
    </row>
    <row r="25471" spans="1:8" customFormat="1" x14ac:dyDescent="0.25">
      <c r="A25471" t="str">
        <f>"7110699"</f>
        <v>7110699</v>
      </c>
      <c r="B25471" t="s">
        <v>18902</v>
      </c>
      <c r="C25471" t="s">
        <v>2232</v>
      </c>
      <c r="D25471" s="21" t="s">
        <v>34</v>
      </c>
      <c r="E25471" s="21" t="s">
        <v>254</v>
      </c>
      <c r="F25471">
        <v>2710082</v>
      </c>
      <c r="G25471" t="s">
        <v>7738</v>
      </c>
      <c r="H25471" s="21">
        <v>636.66999999999996</v>
      </c>
    </row>
    <row r="25472" spans="1:8" customFormat="1" x14ac:dyDescent="0.25">
      <c r="A25472" t="str">
        <f>"6018761"</f>
        <v>6018761</v>
      </c>
      <c r="B25472" t="s">
        <v>2203</v>
      </c>
      <c r="C25472" t="s">
        <v>169</v>
      </c>
      <c r="D25472" s="21" t="s">
        <v>34</v>
      </c>
      <c r="E25472" s="21" t="s">
        <v>71</v>
      </c>
      <c r="F25472">
        <v>7600018</v>
      </c>
      <c r="G25472" t="s">
        <v>5838</v>
      </c>
      <c r="H25472" s="21">
        <v>636.66999999999996</v>
      </c>
    </row>
    <row r="25473" spans="1:8" customFormat="1" x14ac:dyDescent="0.25">
      <c r="A25473" t="str">
        <f>"6222739"</f>
        <v>6222739</v>
      </c>
      <c r="B25473" t="s">
        <v>18585</v>
      </c>
      <c r="C25473" t="s">
        <v>18586</v>
      </c>
      <c r="D25473" s="21" t="s">
        <v>34</v>
      </c>
      <c r="E25473" s="21" t="s">
        <v>35</v>
      </c>
      <c r="F25473">
        <v>7620032</v>
      </c>
      <c r="G25473" t="s">
        <v>11181</v>
      </c>
      <c r="H25473" s="21">
        <v>636.66999999999996</v>
      </c>
    </row>
    <row r="25474" spans="1:8" customFormat="1" x14ac:dyDescent="0.25">
      <c r="A25474" t="str">
        <f>"14339"</f>
        <v>14339</v>
      </c>
      <c r="B25474" t="s">
        <v>19310</v>
      </c>
      <c r="C25474" t="s">
        <v>305</v>
      </c>
      <c r="D25474" s="21" t="s">
        <v>34</v>
      </c>
      <c r="E25474" s="21" t="s">
        <v>35</v>
      </c>
      <c r="F25474">
        <v>9140111</v>
      </c>
      <c r="G25474" t="s">
        <v>3601</v>
      </c>
      <c r="H25474" s="21">
        <v>636.66999999999996</v>
      </c>
    </row>
    <row r="25475" spans="1:8" customFormat="1" x14ac:dyDescent="0.25">
      <c r="A25475" t="str">
        <f>"3725569"</f>
        <v>3725569</v>
      </c>
      <c r="B25475" t="s">
        <v>18811</v>
      </c>
      <c r="C25475" t="s">
        <v>18812</v>
      </c>
      <c r="D25475" s="21" t="s">
        <v>34</v>
      </c>
      <c r="E25475" s="21" t="s">
        <v>35</v>
      </c>
      <c r="F25475">
        <v>4370102</v>
      </c>
      <c r="G25475" t="s">
        <v>10707</v>
      </c>
      <c r="H25475" s="21">
        <v>636.66999999999996</v>
      </c>
    </row>
    <row r="25476" spans="1:8" customFormat="1" x14ac:dyDescent="0.25">
      <c r="A25476" t="str">
        <f>"2925097"</f>
        <v>2925097</v>
      </c>
      <c r="B25476" t="s">
        <v>18991</v>
      </c>
      <c r="C25476" t="s">
        <v>263</v>
      </c>
      <c r="D25476" s="21" t="s">
        <v>34</v>
      </c>
      <c r="E25476" s="21" t="s">
        <v>35</v>
      </c>
      <c r="F25476">
        <v>3290081</v>
      </c>
      <c r="G25476" t="s">
        <v>3819</v>
      </c>
      <c r="H25476" s="21">
        <v>636.66999999999996</v>
      </c>
    </row>
    <row r="25477" spans="1:8" customFormat="1" x14ac:dyDescent="0.25">
      <c r="A25477" t="str">
        <f>"341045"</f>
        <v>341045</v>
      </c>
      <c r="B25477" t="s">
        <v>19216</v>
      </c>
      <c r="C25477" t="s">
        <v>124</v>
      </c>
      <c r="D25477" s="21" t="s">
        <v>34</v>
      </c>
      <c r="E25477" s="21" t="s">
        <v>71</v>
      </c>
      <c r="F25477">
        <v>11340018</v>
      </c>
      <c r="G25477" t="s">
        <v>2421</v>
      </c>
      <c r="H25477" s="21">
        <v>636.66999999999996</v>
      </c>
    </row>
    <row r="25478" spans="1:8" customFormat="1" x14ac:dyDescent="0.25">
      <c r="A25478" t="str">
        <f>"4415368"</f>
        <v>4415368</v>
      </c>
      <c r="B25478" t="s">
        <v>672</v>
      </c>
      <c r="C25478" t="s">
        <v>209</v>
      </c>
      <c r="D25478" s="21" t="s">
        <v>34</v>
      </c>
      <c r="E25478" s="21" t="s">
        <v>71</v>
      </c>
      <c r="F25478">
        <v>12440058</v>
      </c>
      <c r="G25478" t="s">
        <v>394</v>
      </c>
      <c r="H25478" s="21">
        <v>636.66999999999996</v>
      </c>
    </row>
    <row r="25479" spans="1:8" customFormat="1" x14ac:dyDescent="0.25">
      <c r="A25479" t="str">
        <f>"6948658"</f>
        <v>6948658</v>
      </c>
      <c r="B25479" t="s">
        <v>3197</v>
      </c>
      <c r="C25479" t="s">
        <v>2365</v>
      </c>
      <c r="D25479" s="21" t="s">
        <v>34</v>
      </c>
      <c r="E25479" s="21" t="s">
        <v>1089</v>
      </c>
      <c r="F25479">
        <v>1690052</v>
      </c>
      <c r="G25479" t="s">
        <v>273</v>
      </c>
      <c r="H25479" s="21">
        <v>636.66999999999996</v>
      </c>
    </row>
    <row r="25480" spans="1:8" customFormat="1" x14ac:dyDescent="0.25">
      <c r="A25480" t="str">
        <f>"7635358"</f>
        <v>7635358</v>
      </c>
      <c r="B25480" t="s">
        <v>18289</v>
      </c>
      <c r="C25480" t="s">
        <v>415</v>
      </c>
      <c r="D25480" s="21" t="s">
        <v>34</v>
      </c>
      <c r="E25480" s="21" t="s">
        <v>71</v>
      </c>
      <c r="F25480">
        <v>9760230</v>
      </c>
      <c r="G25480" t="s">
        <v>12511</v>
      </c>
      <c r="H25480" s="21">
        <v>636.66999999999996</v>
      </c>
    </row>
    <row r="25481" spans="1:8" customFormat="1" x14ac:dyDescent="0.25">
      <c r="A25481" t="str">
        <f>"2220328"</f>
        <v>2220328</v>
      </c>
      <c r="B25481" t="s">
        <v>11203</v>
      </c>
      <c r="C25481" t="s">
        <v>967</v>
      </c>
      <c r="D25481" s="21" t="s">
        <v>34</v>
      </c>
      <c r="E25481" s="21" t="s">
        <v>35</v>
      </c>
      <c r="F25481">
        <v>3220129</v>
      </c>
      <c r="G25481" t="s">
        <v>16580</v>
      </c>
      <c r="H25481" s="21">
        <v>636.66999999999996</v>
      </c>
    </row>
    <row r="25482" spans="1:8" customFormat="1" x14ac:dyDescent="0.25">
      <c r="A25482" t="str">
        <f>"69984"</f>
        <v>69984</v>
      </c>
      <c r="B25482" t="s">
        <v>18915</v>
      </c>
      <c r="C25482" t="s">
        <v>40</v>
      </c>
      <c r="D25482" s="21" t="s">
        <v>34</v>
      </c>
      <c r="E25482" s="21" t="s">
        <v>254</v>
      </c>
      <c r="F25482">
        <v>1380045</v>
      </c>
      <c r="G25482" t="s">
        <v>2114</v>
      </c>
      <c r="H25482" s="21">
        <v>636.66999999999996</v>
      </c>
    </row>
    <row r="25483" spans="1:8" customFormat="1" x14ac:dyDescent="0.25">
      <c r="A25483" t="str">
        <f>"214509"</f>
        <v>214509</v>
      </c>
      <c r="B25483" t="s">
        <v>27854</v>
      </c>
      <c r="C25483" t="s">
        <v>388</v>
      </c>
      <c r="D25483" s="21" t="s">
        <v>34</v>
      </c>
      <c r="E25483" s="21" t="s">
        <v>71</v>
      </c>
      <c r="F25483">
        <v>2210081</v>
      </c>
      <c r="G25483" t="s">
        <v>1365</v>
      </c>
      <c r="H25483" s="21">
        <v>636.54</v>
      </c>
    </row>
    <row r="25484" spans="1:8" customFormat="1" x14ac:dyDescent="0.25">
      <c r="A25484" t="str">
        <f>"6315226"</f>
        <v>6315226</v>
      </c>
      <c r="B25484" t="s">
        <v>19675</v>
      </c>
      <c r="C25484" t="s">
        <v>3784</v>
      </c>
      <c r="D25484" s="21" t="s">
        <v>34</v>
      </c>
      <c r="E25484" s="21" t="s">
        <v>71</v>
      </c>
      <c r="F25484">
        <v>1630329</v>
      </c>
      <c r="G25484" t="s">
        <v>13763</v>
      </c>
      <c r="H25484" s="21">
        <v>636.54</v>
      </c>
    </row>
    <row r="25485" spans="1:8" customFormat="1" x14ac:dyDescent="0.25">
      <c r="A25485" t="str">
        <f>"9127453"</f>
        <v>9127453</v>
      </c>
      <c r="B25485" t="s">
        <v>17953</v>
      </c>
      <c r="C25485" t="s">
        <v>17954</v>
      </c>
      <c r="D25485" s="21" t="s">
        <v>34</v>
      </c>
      <c r="E25485" s="21" t="s">
        <v>35</v>
      </c>
      <c r="F25485">
        <v>8911050</v>
      </c>
      <c r="G25485" t="s">
        <v>1606</v>
      </c>
      <c r="H25485" s="21">
        <v>636.41999999999996</v>
      </c>
    </row>
    <row r="25486" spans="1:8" customFormat="1" x14ac:dyDescent="0.25">
      <c r="A25486" t="str">
        <f>"0812567"</f>
        <v>0812567</v>
      </c>
      <c r="B25486" t="s">
        <v>541</v>
      </c>
      <c r="C25486" t="s">
        <v>712</v>
      </c>
      <c r="D25486" s="21" t="s">
        <v>34</v>
      </c>
      <c r="E25486" s="21" t="s">
        <v>35</v>
      </c>
      <c r="F25486">
        <v>6080059</v>
      </c>
      <c r="G25486" t="s">
        <v>4242</v>
      </c>
      <c r="H25486" s="21">
        <v>636.41999999999996</v>
      </c>
    </row>
    <row r="25487" spans="1:8" customFormat="1" x14ac:dyDescent="0.25">
      <c r="A25487" t="str">
        <f>"7517942"</f>
        <v>7517942</v>
      </c>
      <c r="B25487" t="s">
        <v>20489</v>
      </c>
      <c r="C25487" t="s">
        <v>275</v>
      </c>
      <c r="D25487" s="21" t="s">
        <v>34</v>
      </c>
      <c r="E25487" s="21" t="s">
        <v>71</v>
      </c>
      <c r="F25487">
        <v>8751058</v>
      </c>
      <c r="G25487" t="s">
        <v>4202</v>
      </c>
      <c r="H25487" s="21">
        <v>636.29</v>
      </c>
    </row>
    <row r="25488" spans="1:8" customFormat="1" x14ac:dyDescent="0.25">
      <c r="A25488" t="str">
        <f>"125394"</f>
        <v>125394</v>
      </c>
      <c r="B25488" t="s">
        <v>27855</v>
      </c>
      <c r="C25488" t="s">
        <v>144</v>
      </c>
      <c r="D25488" s="21" t="s">
        <v>34</v>
      </c>
      <c r="E25488" s="21" t="s">
        <v>35</v>
      </c>
      <c r="F25488">
        <v>11120045</v>
      </c>
      <c r="G25488" t="s">
        <v>13082</v>
      </c>
      <c r="H25488" s="21">
        <v>636.25</v>
      </c>
    </row>
    <row r="25489" spans="1:8" customFormat="1" x14ac:dyDescent="0.25">
      <c r="A25489" t="str">
        <f>"5411420"</f>
        <v>5411420</v>
      </c>
      <c r="B25489" t="s">
        <v>18256</v>
      </c>
      <c r="C25489" t="s">
        <v>1468</v>
      </c>
      <c r="D25489" s="21" t="s">
        <v>34</v>
      </c>
      <c r="E25489" s="21" t="s">
        <v>71</v>
      </c>
      <c r="F25489">
        <v>6540034</v>
      </c>
      <c r="G25489" t="s">
        <v>2211</v>
      </c>
      <c r="H25489" s="21">
        <v>636.16999999999996</v>
      </c>
    </row>
    <row r="25490" spans="1:8" customFormat="1" x14ac:dyDescent="0.25">
      <c r="A25490" t="str">
        <f>"172934"</f>
        <v>172934</v>
      </c>
      <c r="B25490" t="s">
        <v>13694</v>
      </c>
      <c r="C25490" t="s">
        <v>462</v>
      </c>
      <c r="D25490" s="21" t="s">
        <v>34</v>
      </c>
      <c r="E25490" s="21" t="s">
        <v>71</v>
      </c>
      <c r="F25490">
        <v>10170016</v>
      </c>
      <c r="G25490" t="s">
        <v>88</v>
      </c>
      <c r="H25490" s="21">
        <v>636.16999999999996</v>
      </c>
    </row>
    <row r="25491" spans="1:8" customFormat="1" x14ac:dyDescent="0.25">
      <c r="A25491" t="str">
        <f>"676348"</f>
        <v>676348</v>
      </c>
      <c r="B25491" t="s">
        <v>17444</v>
      </c>
      <c r="C25491" t="s">
        <v>249</v>
      </c>
      <c r="D25491" s="21" t="s">
        <v>34</v>
      </c>
      <c r="E25491" s="21" t="s">
        <v>71</v>
      </c>
      <c r="F25491">
        <v>6670207</v>
      </c>
      <c r="G25491" t="s">
        <v>5419</v>
      </c>
      <c r="H25491" s="21">
        <v>636.16999999999996</v>
      </c>
    </row>
    <row r="25492" spans="1:8" customFormat="1" x14ac:dyDescent="0.25">
      <c r="A25492" t="str">
        <f>"1410307"</f>
        <v>1410307</v>
      </c>
      <c r="B25492" t="s">
        <v>1939</v>
      </c>
      <c r="C25492" t="s">
        <v>253</v>
      </c>
      <c r="D25492" s="21" t="s">
        <v>34</v>
      </c>
      <c r="E25492" s="21" t="s">
        <v>254</v>
      </c>
      <c r="F25492">
        <v>9140201</v>
      </c>
      <c r="G25492" t="s">
        <v>13327</v>
      </c>
      <c r="H25492" s="21">
        <v>636.16999999999996</v>
      </c>
    </row>
    <row r="25493" spans="1:8" customFormat="1" x14ac:dyDescent="0.25">
      <c r="A25493" t="str">
        <f>"7217362"</f>
        <v>7217362</v>
      </c>
      <c r="B25493" t="s">
        <v>19236</v>
      </c>
      <c r="C25493" t="s">
        <v>33</v>
      </c>
      <c r="D25493" s="21" t="s">
        <v>34</v>
      </c>
      <c r="E25493" s="21" t="s">
        <v>35</v>
      </c>
      <c r="F25493">
        <v>12720111</v>
      </c>
      <c r="G25493" t="s">
        <v>3418</v>
      </c>
      <c r="H25493" s="21">
        <v>636.16999999999996</v>
      </c>
    </row>
    <row r="25494" spans="1:8" customFormat="1" x14ac:dyDescent="0.25">
      <c r="A25494" t="str">
        <f>"5941477"</f>
        <v>5941477</v>
      </c>
      <c r="B25494" t="s">
        <v>11003</v>
      </c>
      <c r="C25494" t="s">
        <v>130</v>
      </c>
      <c r="D25494" s="21" t="s">
        <v>34</v>
      </c>
      <c r="E25494" s="21" t="s">
        <v>71</v>
      </c>
      <c r="F25494">
        <v>7590376</v>
      </c>
      <c r="G25494" t="s">
        <v>15405</v>
      </c>
      <c r="H25494" s="21">
        <v>636.16999999999996</v>
      </c>
    </row>
    <row r="25495" spans="1:8" customFormat="1" x14ac:dyDescent="0.25">
      <c r="A25495" t="str">
        <f>"691487"</f>
        <v>691487</v>
      </c>
      <c r="B25495" t="s">
        <v>18726</v>
      </c>
      <c r="C25495" t="s">
        <v>156</v>
      </c>
      <c r="D25495" s="21" t="s">
        <v>34</v>
      </c>
      <c r="E25495" s="21" t="s">
        <v>1089</v>
      </c>
      <c r="F25495">
        <v>1690103</v>
      </c>
      <c r="G25495" t="s">
        <v>5411</v>
      </c>
      <c r="H25495" s="21">
        <v>636.16999999999996</v>
      </c>
    </row>
    <row r="25496" spans="1:8" customFormat="1" x14ac:dyDescent="0.25">
      <c r="A25496" t="str">
        <f>"813186"</f>
        <v>813186</v>
      </c>
      <c r="B25496" t="s">
        <v>3208</v>
      </c>
      <c r="C25496" t="s">
        <v>1446</v>
      </c>
      <c r="D25496" s="21" t="s">
        <v>34</v>
      </c>
      <c r="E25496" s="21" t="s">
        <v>71</v>
      </c>
      <c r="F25496">
        <v>11810030</v>
      </c>
      <c r="G25496" t="s">
        <v>27055</v>
      </c>
      <c r="H25496" s="21">
        <v>636.16999999999996</v>
      </c>
    </row>
    <row r="25497" spans="1:8" customFormat="1" x14ac:dyDescent="0.25">
      <c r="A25497" t="str">
        <f>"9142646"</f>
        <v>9142646</v>
      </c>
      <c r="B25497" t="s">
        <v>19477</v>
      </c>
      <c r="C25497" t="s">
        <v>19478</v>
      </c>
      <c r="D25497" s="21" t="s">
        <v>34</v>
      </c>
      <c r="E25497" s="21" t="s">
        <v>71</v>
      </c>
      <c r="F25497">
        <v>8910916</v>
      </c>
      <c r="G25497" t="s">
        <v>2251</v>
      </c>
      <c r="H25497" s="21">
        <v>636.16999999999996</v>
      </c>
    </row>
    <row r="25498" spans="1:8" customFormat="1" x14ac:dyDescent="0.25">
      <c r="A25498" t="str">
        <f>"5319086"</f>
        <v>5319086</v>
      </c>
      <c r="B25498" t="s">
        <v>14688</v>
      </c>
      <c r="C25498" t="s">
        <v>544</v>
      </c>
      <c r="D25498" s="21" t="s">
        <v>34</v>
      </c>
      <c r="E25498" s="21" t="s">
        <v>35</v>
      </c>
      <c r="F25498">
        <v>12530003</v>
      </c>
      <c r="G25498" t="s">
        <v>8260</v>
      </c>
      <c r="H25498" s="21">
        <v>636.16999999999996</v>
      </c>
    </row>
    <row r="25499" spans="1:8" customFormat="1" x14ac:dyDescent="0.25">
      <c r="A25499" t="str">
        <f>"1613728"</f>
        <v>1613728</v>
      </c>
      <c r="B25499" t="s">
        <v>6465</v>
      </c>
      <c r="C25499" t="s">
        <v>206</v>
      </c>
      <c r="D25499" s="21" t="s">
        <v>34</v>
      </c>
      <c r="E25499" s="21" t="s">
        <v>35</v>
      </c>
      <c r="F25499">
        <v>10160030</v>
      </c>
      <c r="G25499" t="s">
        <v>13173</v>
      </c>
      <c r="H25499" s="21">
        <v>636.16999999999996</v>
      </c>
    </row>
    <row r="25500" spans="1:8" customFormat="1" x14ac:dyDescent="0.25">
      <c r="A25500" t="str">
        <f>"1424479"</f>
        <v>1424479</v>
      </c>
      <c r="B25500" t="s">
        <v>2873</v>
      </c>
      <c r="C25500" t="s">
        <v>598</v>
      </c>
      <c r="D25500" s="21" t="s">
        <v>34</v>
      </c>
      <c r="E25500" s="21" t="s">
        <v>254</v>
      </c>
      <c r="F25500">
        <v>9140216</v>
      </c>
      <c r="G25500" t="s">
        <v>11740</v>
      </c>
      <c r="H25500" s="21">
        <v>636.16999999999996</v>
      </c>
    </row>
    <row r="25501" spans="1:8" customFormat="1" x14ac:dyDescent="0.25">
      <c r="A25501" t="str">
        <f>"847835"</f>
        <v>847835</v>
      </c>
      <c r="B25501" t="s">
        <v>20444</v>
      </c>
      <c r="C25501" t="s">
        <v>209</v>
      </c>
      <c r="D25501" s="21" t="s">
        <v>34</v>
      </c>
      <c r="E25501" s="21" t="s">
        <v>71</v>
      </c>
      <c r="F25501">
        <v>13840058</v>
      </c>
      <c r="G25501" t="s">
        <v>7032</v>
      </c>
      <c r="H25501" s="21">
        <v>636.16999999999996</v>
      </c>
    </row>
    <row r="25502" spans="1:8" customFormat="1" x14ac:dyDescent="0.25">
      <c r="A25502" t="str">
        <f>"0114022"</f>
        <v>0114022</v>
      </c>
      <c r="B25502" t="s">
        <v>16624</v>
      </c>
      <c r="C25502" t="s">
        <v>187</v>
      </c>
      <c r="D25502" s="21" t="s">
        <v>34</v>
      </c>
      <c r="E25502" s="21" t="s">
        <v>35</v>
      </c>
      <c r="F25502">
        <v>1010061</v>
      </c>
      <c r="G25502" t="s">
        <v>9290</v>
      </c>
      <c r="H25502" s="21">
        <v>636.16999999999996</v>
      </c>
    </row>
    <row r="25503" spans="1:8" customFormat="1" x14ac:dyDescent="0.25">
      <c r="A25503" t="str">
        <f>"199352"</f>
        <v>199352</v>
      </c>
      <c r="B25503" t="s">
        <v>19056</v>
      </c>
      <c r="C25503" t="s">
        <v>156</v>
      </c>
      <c r="D25503" s="21" t="s">
        <v>34</v>
      </c>
      <c r="E25503" s="21" t="s">
        <v>35</v>
      </c>
      <c r="F25503">
        <v>10190133</v>
      </c>
      <c r="G25503" t="s">
        <v>13392</v>
      </c>
      <c r="H25503" s="21">
        <v>636.16999999999996</v>
      </c>
    </row>
    <row r="25504" spans="1:8" customFormat="1" x14ac:dyDescent="0.25">
      <c r="A25504" t="str">
        <f>"471612"</f>
        <v>471612</v>
      </c>
      <c r="B25504" t="s">
        <v>19532</v>
      </c>
      <c r="C25504" t="s">
        <v>2479</v>
      </c>
      <c r="D25504" s="21" t="s">
        <v>34</v>
      </c>
      <c r="E25504" s="21" t="s">
        <v>35</v>
      </c>
      <c r="F25504">
        <v>10470009</v>
      </c>
      <c r="G25504" t="s">
        <v>4915</v>
      </c>
      <c r="H25504" s="21">
        <v>636.04</v>
      </c>
    </row>
    <row r="25505" spans="1:8" customFormat="1" x14ac:dyDescent="0.25">
      <c r="A25505" t="str">
        <f>"2713300"</f>
        <v>2713300</v>
      </c>
      <c r="B25505" t="s">
        <v>556</v>
      </c>
      <c r="C25505" t="s">
        <v>33</v>
      </c>
      <c r="D25505" s="21" t="s">
        <v>34</v>
      </c>
      <c r="E25505" s="21" t="s">
        <v>35</v>
      </c>
      <c r="F25505">
        <v>9270180</v>
      </c>
      <c r="G25505" t="s">
        <v>10755</v>
      </c>
      <c r="H25505" s="21">
        <v>636.04</v>
      </c>
    </row>
    <row r="25506" spans="1:8" customFormat="1" x14ac:dyDescent="0.25">
      <c r="A25506" t="str">
        <f>"9246276"</f>
        <v>9246276</v>
      </c>
      <c r="B25506" t="s">
        <v>3041</v>
      </c>
      <c r="C25506" t="s">
        <v>19090</v>
      </c>
      <c r="D25506" s="21" t="s">
        <v>34</v>
      </c>
      <c r="E25506" s="21" t="s">
        <v>1089</v>
      </c>
      <c r="F25506">
        <v>8920503</v>
      </c>
      <c r="G25506" t="s">
        <v>9047</v>
      </c>
      <c r="H25506" s="21">
        <v>636</v>
      </c>
    </row>
    <row r="25507" spans="1:8" customFormat="1" x14ac:dyDescent="0.25">
      <c r="A25507" t="str">
        <f>"667258"</f>
        <v>667258</v>
      </c>
      <c r="B25507" t="s">
        <v>1106</v>
      </c>
      <c r="C25507" t="s">
        <v>750</v>
      </c>
      <c r="D25507" s="21" t="s">
        <v>34</v>
      </c>
      <c r="E25507" s="21" t="s">
        <v>71</v>
      </c>
      <c r="F25507">
        <v>11660003</v>
      </c>
      <c r="G25507" t="s">
        <v>5188</v>
      </c>
      <c r="H25507" s="21">
        <v>635.91999999999996</v>
      </c>
    </row>
    <row r="25508" spans="1:8" customFormat="1" x14ac:dyDescent="0.25">
      <c r="A25508" t="str">
        <f>"99407"</f>
        <v>99407</v>
      </c>
      <c r="B25508" t="s">
        <v>2084</v>
      </c>
      <c r="C25508" t="s">
        <v>1697</v>
      </c>
      <c r="D25508" s="21" t="s">
        <v>34</v>
      </c>
      <c r="E25508" s="21" t="s">
        <v>35</v>
      </c>
      <c r="F25508">
        <v>5990021</v>
      </c>
      <c r="G25508" t="s">
        <v>14243</v>
      </c>
      <c r="H25508" s="21">
        <v>635.91999999999996</v>
      </c>
    </row>
    <row r="25509" spans="1:8" customFormat="1" x14ac:dyDescent="0.25">
      <c r="A25509" t="str">
        <f>"3315881"</f>
        <v>3315881</v>
      </c>
      <c r="B25509" t="s">
        <v>18422</v>
      </c>
      <c r="C25509" t="s">
        <v>3010</v>
      </c>
      <c r="D25509" s="21" t="s">
        <v>34</v>
      </c>
      <c r="E25509" s="21" t="s">
        <v>254</v>
      </c>
      <c r="F25509">
        <v>10330084</v>
      </c>
      <c r="G25509" t="s">
        <v>1124</v>
      </c>
      <c r="H25509" s="21">
        <v>635.91999999999996</v>
      </c>
    </row>
    <row r="25510" spans="1:8" customFormat="1" x14ac:dyDescent="0.25">
      <c r="A25510" t="str">
        <f>"9525855"</f>
        <v>9525855</v>
      </c>
      <c r="B25510" t="s">
        <v>18401</v>
      </c>
      <c r="C25510" t="s">
        <v>598</v>
      </c>
      <c r="D25510" s="21" t="s">
        <v>34</v>
      </c>
      <c r="E25510" s="21" t="s">
        <v>71</v>
      </c>
      <c r="F25510">
        <v>8950479</v>
      </c>
      <c r="G25510" t="s">
        <v>728</v>
      </c>
      <c r="H25510" s="21">
        <v>635.79</v>
      </c>
    </row>
    <row r="25511" spans="1:8" customFormat="1" x14ac:dyDescent="0.25">
      <c r="A25511" t="str">
        <f>"1711393"</f>
        <v>1711393</v>
      </c>
      <c r="B25511" t="s">
        <v>9419</v>
      </c>
      <c r="C25511" t="s">
        <v>204</v>
      </c>
      <c r="D25511" s="21" t="s">
        <v>34</v>
      </c>
      <c r="E25511" s="21" t="s">
        <v>35</v>
      </c>
      <c r="F25511">
        <v>3560049</v>
      </c>
      <c r="G25511" t="s">
        <v>8021</v>
      </c>
      <c r="H25511" s="21">
        <v>635.66999999999996</v>
      </c>
    </row>
    <row r="25512" spans="1:8" customFormat="1" x14ac:dyDescent="0.25">
      <c r="A25512" t="str">
        <f>"4113616"</f>
        <v>4113616</v>
      </c>
      <c r="B25512" t="s">
        <v>3957</v>
      </c>
      <c r="C25512" t="s">
        <v>139</v>
      </c>
      <c r="D25512" s="21" t="s">
        <v>34</v>
      </c>
      <c r="E25512" s="21" t="s">
        <v>35</v>
      </c>
      <c r="F25512">
        <v>4410724</v>
      </c>
      <c r="G25512" t="s">
        <v>15872</v>
      </c>
      <c r="H25512" s="21">
        <v>635.66999999999996</v>
      </c>
    </row>
    <row r="25513" spans="1:8" customFormat="1" x14ac:dyDescent="0.25">
      <c r="A25513" t="str">
        <f>"8526480"</f>
        <v>8526480</v>
      </c>
      <c r="B25513" t="s">
        <v>20263</v>
      </c>
      <c r="C25513" t="s">
        <v>253</v>
      </c>
      <c r="D25513" s="21" t="s">
        <v>34</v>
      </c>
      <c r="E25513" s="21" t="s">
        <v>254</v>
      </c>
      <c r="F25513">
        <v>12850001</v>
      </c>
      <c r="G25513" t="s">
        <v>1197</v>
      </c>
      <c r="H25513" s="21">
        <v>635.66999999999996</v>
      </c>
    </row>
    <row r="25514" spans="1:8" customFormat="1" x14ac:dyDescent="0.25">
      <c r="A25514" t="str">
        <f>"7641820"</f>
        <v>7641820</v>
      </c>
      <c r="B25514" t="s">
        <v>21913</v>
      </c>
      <c r="C25514" t="s">
        <v>2752</v>
      </c>
      <c r="D25514" s="21" t="s">
        <v>34</v>
      </c>
      <c r="E25514" s="21" t="s">
        <v>35</v>
      </c>
      <c r="F25514">
        <v>9760319</v>
      </c>
      <c r="G25514" t="s">
        <v>3051</v>
      </c>
      <c r="H25514" s="21">
        <v>635.66999999999996</v>
      </c>
    </row>
    <row r="25515" spans="1:8" customFormat="1" x14ac:dyDescent="0.25">
      <c r="A25515" t="str">
        <f>"5426541"</f>
        <v>5426541</v>
      </c>
      <c r="B25515" t="s">
        <v>19159</v>
      </c>
      <c r="C25515" t="s">
        <v>267</v>
      </c>
      <c r="D25515" s="21" t="s">
        <v>34</v>
      </c>
      <c r="E25515" s="21" t="s">
        <v>71</v>
      </c>
      <c r="F25515">
        <v>6540034</v>
      </c>
      <c r="G25515" t="s">
        <v>2211</v>
      </c>
      <c r="H25515" s="21">
        <v>635.66999999999996</v>
      </c>
    </row>
    <row r="25516" spans="1:8" customFormat="1" x14ac:dyDescent="0.25">
      <c r="A25516" t="str">
        <f>"26237"</f>
        <v>26237</v>
      </c>
      <c r="B25516" t="s">
        <v>3168</v>
      </c>
      <c r="C25516" t="s">
        <v>1914</v>
      </c>
      <c r="D25516" s="21" t="s">
        <v>34</v>
      </c>
      <c r="E25516" s="21" t="s">
        <v>254</v>
      </c>
      <c r="F25516">
        <v>1260054</v>
      </c>
      <c r="G25516" t="s">
        <v>358</v>
      </c>
      <c r="H25516" s="21">
        <v>635.66999999999996</v>
      </c>
    </row>
    <row r="25517" spans="1:8" customFormat="1" x14ac:dyDescent="0.25">
      <c r="A25517" t="str">
        <f>"6023867"</f>
        <v>6023867</v>
      </c>
      <c r="B25517" t="s">
        <v>23163</v>
      </c>
      <c r="C25517" t="s">
        <v>2529</v>
      </c>
      <c r="D25517" s="21" t="s">
        <v>34</v>
      </c>
      <c r="E25517" s="21" t="s">
        <v>254</v>
      </c>
      <c r="F25517">
        <v>7600008</v>
      </c>
      <c r="G25517" t="s">
        <v>4646</v>
      </c>
      <c r="H25517" s="21">
        <v>635.66999999999996</v>
      </c>
    </row>
    <row r="25518" spans="1:8" customFormat="1" x14ac:dyDescent="0.25">
      <c r="A25518" t="str">
        <f>"5937533"</f>
        <v>5937533</v>
      </c>
      <c r="B25518" t="s">
        <v>20542</v>
      </c>
      <c r="C25518" t="s">
        <v>2730</v>
      </c>
      <c r="D25518" s="21" t="s">
        <v>34</v>
      </c>
      <c r="E25518" s="21" t="s">
        <v>254</v>
      </c>
      <c r="F25518">
        <v>7590184</v>
      </c>
      <c r="G25518" t="s">
        <v>6722</v>
      </c>
      <c r="H25518" s="21">
        <v>635.66999999999996</v>
      </c>
    </row>
    <row r="25519" spans="1:8" customFormat="1" x14ac:dyDescent="0.25">
      <c r="A25519" t="str">
        <f>"5917265"</f>
        <v>5917265</v>
      </c>
      <c r="B25519" t="s">
        <v>27856</v>
      </c>
      <c r="C25519" t="s">
        <v>109</v>
      </c>
      <c r="D25519" s="21" t="s">
        <v>34</v>
      </c>
      <c r="E25519" s="21" t="s">
        <v>71</v>
      </c>
      <c r="F25519">
        <v>7590426</v>
      </c>
      <c r="G25519" t="s">
        <v>23114</v>
      </c>
      <c r="H25519" s="21">
        <v>635.66999999999996</v>
      </c>
    </row>
    <row r="25520" spans="1:8" customFormat="1" x14ac:dyDescent="0.25">
      <c r="A25520" t="str">
        <f>"558387"</f>
        <v>558387</v>
      </c>
      <c r="B25520" t="s">
        <v>18158</v>
      </c>
      <c r="C25520" t="s">
        <v>60</v>
      </c>
      <c r="D25520" s="21" t="s">
        <v>34</v>
      </c>
      <c r="E25520" s="21" t="s">
        <v>35</v>
      </c>
      <c r="F25520">
        <v>6550009</v>
      </c>
      <c r="G25520" t="s">
        <v>7080</v>
      </c>
      <c r="H25520" s="21">
        <v>635.66999999999996</v>
      </c>
    </row>
    <row r="25521" spans="1:8" customFormat="1" x14ac:dyDescent="0.25">
      <c r="A25521" t="str">
        <f>"257508"</f>
        <v>257508</v>
      </c>
      <c r="B25521" t="s">
        <v>12015</v>
      </c>
      <c r="C25521" t="s">
        <v>3551</v>
      </c>
      <c r="D25521" s="21" t="s">
        <v>34</v>
      </c>
      <c r="E25521" s="21" t="s">
        <v>71</v>
      </c>
      <c r="F25521">
        <v>2250193</v>
      </c>
      <c r="G25521" t="s">
        <v>2584</v>
      </c>
      <c r="H25521" s="21">
        <v>635.66999999999996</v>
      </c>
    </row>
    <row r="25522" spans="1:8" customFormat="1" x14ac:dyDescent="0.25">
      <c r="A25522" t="str">
        <f>"1715787"</f>
        <v>1715787</v>
      </c>
      <c r="B25522" t="s">
        <v>19632</v>
      </c>
      <c r="C25522" t="s">
        <v>130</v>
      </c>
      <c r="D25522" s="21" t="s">
        <v>34</v>
      </c>
      <c r="E25522" s="21" t="s">
        <v>71</v>
      </c>
      <c r="F25522">
        <v>10170064</v>
      </c>
      <c r="G25522" t="s">
        <v>1900</v>
      </c>
      <c r="H25522" s="21">
        <v>635.66999999999996</v>
      </c>
    </row>
    <row r="25523" spans="1:8" customFormat="1" x14ac:dyDescent="0.25">
      <c r="A25523" t="str">
        <f>"065850"</f>
        <v>065850</v>
      </c>
      <c r="B25523" t="s">
        <v>384</v>
      </c>
      <c r="C25523" t="s">
        <v>1146</v>
      </c>
      <c r="D25523" s="21" t="s">
        <v>34</v>
      </c>
      <c r="E25523" s="21" t="s">
        <v>254</v>
      </c>
      <c r="F25523">
        <v>13060090</v>
      </c>
      <c r="G25523" t="s">
        <v>1363</v>
      </c>
      <c r="H25523" s="21">
        <v>635.66999999999996</v>
      </c>
    </row>
    <row r="25524" spans="1:8" customFormat="1" x14ac:dyDescent="0.25">
      <c r="A25524" t="str">
        <f>"367645"</f>
        <v>367645</v>
      </c>
      <c r="B25524" t="s">
        <v>14205</v>
      </c>
      <c r="C25524" t="s">
        <v>1199</v>
      </c>
      <c r="D25524" s="21" t="s">
        <v>34</v>
      </c>
      <c r="E25524" s="21" t="s">
        <v>254</v>
      </c>
      <c r="F25524">
        <v>4360340</v>
      </c>
      <c r="G25524" t="s">
        <v>14132</v>
      </c>
      <c r="H25524" s="21">
        <v>635.66999999999996</v>
      </c>
    </row>
    <row r="25525" spans="1:8" customFormat="1" x14ac:dyDescent="0.25">
      <c r="A25525" t="str">
        <f>"7412956"</f>
        <v>7412956</v>
      </c>
      <c r="B25525" t="s">
        <v>20796</v>
      </c>
      <c r="C25525" t="s">
        <v>114</v>
      </c>
      <c r="D25525" s="21" t="s">
        <v>34</v>
      </c>
      <c r="E25525" s="21" t="s">
        <v>254</v>
      </c>
      <c r="F25525">
        <v>1740020</v>
      </c>
      <c r="G25525" t="s">
        <v>881</v>
      </c>
      <c r="H25525" s="21">
        <v>635.66999999999996</v>
      </c>
    </row>
    <row r="25526" spans="1:8" customFormat="1" x14ac:dyDescent="0.25">
      <c r="A25526" t="str">
        <f>"471410"</f>
        <v>471410</v>
      </c>
      <c r="B25526" t="s">
        <v>18507</v>
      </c>
      <c r="C25526" t="s">
        <v>2479</v>
      </c>
      <c r="D25526" s="21" t="s">
        <v>34</v>
      </c>
      <c r="E25526" s="21" t="s">
        <v>6185</v>
      </c>
      <c r="F25526">
        <v>10470007</v>
      </c>
      <c r="G25526" t="s">
        <v>3049</v>
      </c>
      <c r="H25526" s="21">
        <v>635.66999999999996</v>
      </c>
    </row>
    <row r="25527" spans="1:8" customFormat="1" x14ac:dyDescent="0.25">
      <c r="A25527" t="str">
        <f>"3535289"</f>
        <v>3535289</v>
      </c>
      <c r="B25527" t="s">
        <v>14669</v>
      </c>
      <c r="C25527" t="s">
        <v>90</v>
      </c>
      <c r="D25527" s="21" t="s">
        <v>34</v>
      </c>
      <c r="E25527" s="21" t="s">
        <v>35</v>
      </c>
      <c r="F25527">
        <v>3350125</v>
      </c>
      <c r="G25527" t="s">
        <v>16195</v>
      </c>
      <c r="H25527" s="21">
        <v>635.66999999999996</v>
      </c>
    </row>
    <row r="25528" spans="1:8" customFormat="1" x14ac:dyDescent="0.25">
      <c r="A25528" t="str">
        <f>"7721119"</f>
        <v>7721119</v>
      </c>
      <c r="B25528" t="s">
        <v>19327</v>
      </c>
      <c r="C25528" t="s">
        <v>198</v>
      </c>
      <c r="D25528" s="21" t="s">
        <v>34</v>
      </c>
      <c r="E25528" s="21" t="s">
        <v>71</v>
      </c>
      <c r="F25528">
        <v>8771303</v>
      </c>
      <c r="G25528" t="s">
        <v>13447</v>
      </c>
      <c r="H25528" s="21">
        <v>635.54</v>
      </c>
    </row>
    <row r="25529" spans="1:8" customFormat="1" x14ac:dyDescent="0.25">
      <c r="A25529" t="str">
        <f>"7216238"</f>
        <v>7216238</v>
      </c>
      <c r="B25529" t="s">
        <v>20261</v>
      </c>
      <c r="C25529" t="s">
        <v>40</v>
      </c>
      <c r="D25529" s="21" t="s">
        <v>34</v>
      </c>
      <c r="E25529" s="21" t="s">
        <v>254</v>
      </c>
      <c r="F25529">
        <v>12720056</v>
      </c>
      <c r="G25529" t="s">
        <v>9231</v>
      </c>
      <c r="H25529" s="21">
        <v>635.41999999999996</v>
      </c>
    </row>
    <row r="25530" spans="1:8" customFormat="1" x14ac:dyDescent="0.25">
      <c r="A25530" t="str">
        <f>"7641905"</f>
        <v>7641905</v>
      </c>
      <c r="B25530" t="s">
        <v>22224</v>
      </c>
      <c r="C25530" t="s">
        <v>249</v>
      </c>
      <c r="D25530" s="21" t="s">
        <v>34</v>
      </c>
      <c r="E25530" s="21" t="s">
        <v>35</v>
      </c>
      <c r="F25530">
        <v>9760315</v>
      </c>
      <c r="G25530" t="s">
        <v>12345</v>
      </c>
      <c r="H25530" s="21">
        <v>635.29</v>
      </c>
    </row>
    <row r="25531" spans="1:8" customFormat="1" x14ac:dyDescent="0.25">
      <c r="A25531" t="str">
        <f>"1311715"</f>
        <v>1311715</v>
      </c>
      <c r="B25531" t="s">
        <v>16884</v>
      </c>
      <c r="C25531" t="s">
        <v>55</v>
      </c>
      <c r="D25531" s="21" t="s">
        <v>34</v>
      </c>
      <c r="E25531" s="21" t="s">
        <v>71</v>
      </c>
      <c r="F25531">
        <v>3290045</v>
      </c>
      <c r="G25531" t="s">
        <v>17635</v>
      </c>
      <c r="H25531" s="21">
        <v>635.16999999999996</v>
      </c>
    </row>
    <row r="25532" spans="1:8" customFormat="1" x14ac:dyDescent="0.25">
      <c r="A25532" t="str">
        <f>"5323589"</f>
        <v>5323589</v>
      </c>
      <c r="B25532" t="s">
        <v>3900</v>
      </c>
      <c r="C25532" t="s">
        <v>812</v>
      </c>
      <c r="D25532" s="21" t="s">
        <v>34</v>
      </c>
      <c r="E25532" s="21" t="s">
        <v>35</v>
      </c>
      <c r="F25532">
        <v>12538907</v>
      </c>
      <c r="G25532" t="s">
        <v>9299</v>
      </c>
      <c r="H25532" s="21">
        <v>635.16999999999996</v>
      </c>
    </row>
    <row r="25533" spans="1:8" customFormat="1" x14ac:dyDescent="0.25">
      <c r="A25533" t="str">
        <f>"6210438"</f>
        <v>6210438</v>
      </c>
      <c r="B25533" t="s">
        <v>10967</v>
      </c>
      <c r="C25533" t="s">
        <v>2520</v>
      </c>
      <c r="D25533" s="21" t="s">
        <v>34</v>
      </c>
      <c r="E25533" s="21" t="s">
        <v>254</v>
      </c>
      <c r="F25533">
        <v>7620036</v>
      </c>
      <c r="G25533" t="s">
        <v>8154</v>
      </c>
      <c r="H25533" s="21">
        <v>635.16999999999996</v>
      </c>
    </row>
    <row r="25534" spans="1:8" customFormat="1" x14ac:dyDescent="0.25">
      <c r="A25534" t="str">
        <f>"3723834"</f>
        <v>3723834</v>
      </c>
      <c r="B25534" t="s">
        <v>3209</v>
      </c>
      <c r="C25534" t="s">
        <v>1446</v>
      </c>
      <c r="D25534" s="21" t="s">
        <v>34</v>
      </c>
      <c r="E25534" s="21" t="s">
        <v>254</v>
      </c>
      <c r="F25534">
        <v>4370682</v>
      </c>
      <c r="G25534" t="s">
        <v>10454</v>
      </c>
      <c r="H25534" s="21">
        <v>635.16999999999996</v>
      </c>
    </row>
    <row r="25535" spans="1:8" customFormat="1" x14ac:dyDescent="0.25">
      <c r="A25535" t="str">
        <f>"223149"</f>
        <v>223149</v>
      </c>
      <c r="B25535" t="s">
        <v>14698</v>
      </c>
      <c r="C25535" t="s">
        <v>267</v>
      </c>
      <c r="D25535" s="21" t="s">
        <v>34</v>
      </c>
      <c r="E25535" s="21" t="s">
        <v>254</v>
      </c>
      <c r="F25535">
        <v>3220041</v>
      </c>
      <c r="G25535" t="s">
        <v>27133</v>
      </c>
      <c r="H25535" s="21">
        <v>635.16999999999996</v>
      </c>
    </row>
    <row r="25536" spans="1:8" customFormat="1" x14ac:dyDescent="0.25">
      <c r="A25536" t="str">
        <f>"5414478"</f>
        <v>5414478</v>
      </c>
      <c r="B25536" t="s">
        <v>4147</v>
      </c>
      <c r="C25536" t="s">
        <v>498</v>
      </c>
      <c r="D25536" s="21" t="s">
        <v>34</v>
      </c>
      <c r="E25536" s="21" t="s">
        <v>71</v>
      </c>
      <c r="F25536">
        <v>6540034</v>
      </c>
      <c r="G25536" t="s">
        <v>2211</v>
      </c>
      <c r="H25536" s="21">
        <v>635.16999999999996</v>
      </c>
    </row>
    <row r="25537" spans="1:8" customFormat="1" x14ac:dyDescent="0.25">
      <c r="A25537" t="str">
        <f>"723816"</f>
        <v>723816</v>
      </c>
      <c r="B25537" t="s">
        <v>18553</v>
      </c>
      <c r="C25537" t="s">
        <v>40</v>
      </c>
      <c r="D25537" s="21" t="s">
        <v>34</v>
      </c>
      <c r="E25537" s="21" t="s">
        <v>254</v>
      </c>
      <c r="F25537">
        <v>12720111</v>
      </c>
      <c r="G25537" t="s">
        <v>3418</v>
      </c>
      <c r="H25537" s="21">
        <v>635.16999999999996</v>
      </c>
    </row>
    <row r="25538" spans="1:8" customFormat="1" x14ac:dyDescent="0.25">
      <c r="A25538" t="str">
        <f>"6218672"</f>
        <v>6218672</v>
      </c>
      <c r="B25538" t="s">
        <v>18029</v>
      </c>
      <c r="C25538" t="s">
        <v>926</v>
      </c>
      <c r="D25538" s="21" t="s">
        <v>34</v>
      </c>
      <c r="E25538" s="21" t="s">
        <v>71</v>
      </c>
      <c r="F25538">
        <v>7620139</v>
      </c>
      <c r="G25538" t="s">
        <v>2061</v>
      </c>
      <c r="H25538" s="21">
        <v>635.16999999999996</v>
      </c>
    </row>
    <row r="25539" spans="1:8" customFormat="1" x14ac:dyDescent="0.25">
      <c r="A25539" t="str">
        <f>"7218188"</f>
        <v>7218188</v>
      </c>
      <c r="B25539" t="s">
        <v>19003</v>
      </c>
      <c r="C25539" t="s">
        <v>33</v>
      </c>
      <c r="D25539" s="21" t="s">
        <v>34</v>
      </c>
      <c r="E25539" s="21" t="s">
        <v>71</v>
      </c>
      <c r="F25539">
        <v>12720066</v>
      </c>
      <c r="G25539" t="s">
        <v>3571</v>
      </c>
      <c r="H25539" s="21">
        <v>635.16999999999996</v>
      </c>
    </row>
    <row r="25540" spans="1:8" customFormat="1" x14ac:dyDescent="0.25">
      <c r="A25540" t="str">
        <f>"4456485"</f>
        <v>4456485</v>
      </c>
      <c r="B25540" t="s">
        <v>20037</v>
      </c>
      <c r="C25540" t="s">
        <v>3109</v>
      </c>
      <c r="D25540" s="21" t="s">
        <v>34</v>
      </c>
      <c r="E25540" s="21" t="s">
        <v>71</v>
      </c>
      <c r="F25540">
        <v>12440144</v>
      </c>
      <c r="G25540" t="s">
        <v>3702</v>
      </c>
      <c r="H25540" s="21">
        <v>635.16999999999996</v>
      </c>
    </row>
    <row r="25541" spans="1:8" customFormat="1" x14ac:dyDescent="0.25">
      <c r="A25541" t="str">
        <f>"218518"</f>
        <v>218518</v>
      </c>
      <c r="B25541" t="s">
        <v>18110</v>
      </c>
      <c r="C25541" t="s">
        <v>598</v>
      </c>
      <c r="D25541" s="21" t="s">
        <v>34</v>
      </c>
      <c r="E25541" s="21" t="s">
        <v>1089</v>
      </c>
      <c r="F25541">
        <v>2210029</v>
      </c>
      <c r="G25541" t="s">
        <v>6983</v>
      </c>
      <c r="H25541" s="21">
        <v>635.16999999999996</v>
      </c>
    </row>
    <row r="25542" spans="1:8" customFormat="1" x14ac:dyDescent="0.25">
      <c r="A25542" t="str">
        <f>"4450324"</f>
        <v>4450324</v>
      </c>
      <c r="B25542" t="s">
        <v>13743</v>
      </c>
      <c r="C25542" t="s">
        <v>169</v>
      </c>
      <c r="D25542" s="21" t="s">
        <v>34</v>
      </c>
      <c r="E25542" s="21" t="s">
        <v>35</v>
      </c>
      <c r="F25542">
        <v>12440195</v>
      </c>
      <c r="G25542" t="s">
        <v>3117</v>
      </c>
      <c r="H25542" s="21">
        <v>635.16999999999996</v>
      </c>
    </row>
    <row r="25543" spans="1:8" customFormat="1" x14ac:dyDescent="0.25">
      <c r="A25543" t="str">
        <f>"534365"</f>
        <v>534365</v>
      </c>
      <c r="B25543" t="s">
        <v>1198</v>
      </c>
      <c r="C25543" t="s">
        <v>16869</v>
      </c>
      <c r="D25543" s="21" t="s">
        <v>34</v>
      </c>
      <c r="E25543" s="21" t="s">
        <v>254</v>
      </c>
      <c r="F25543">
        <v>12530068</v>
      </c>
      <c r="G25543" t="s">
        <v>5165</v>
      </c>
      <c r="H25543" s="21">
        <v>635.16999999999996</v>
      </c>
    </row>
    <row r="25544" spans="1:8" customFormat="1" x14ac:dyDescent="0.25">
      <c r="A25544" t="str">
        <f>"72315"</f>
        <v>72315</v>
      </c>
      <c r="B25544" t="s">
        <v>904</v>
      </c>
      <c r="C25544" t="s">
        <v>9423</v>
      </c>
      <c r="D25544" s="21" t="s">
        <v>34</v>
      </c>
      <c r="E25544" s="21" t="s">
        <v>1089</v>
      </c>
      <c r="F25544">
        <v>12850143</v>
      </c>
      <c r="G25544" t="s">
        <v>1625</v>
      </c>
      <c r="H25544" s="21">
        <v>635.16999999999996</v>
      </c>
    </row>
    <row r="25545" spans="1:8" customFormat="1" x14ac:dyDescent="0.25">
      <c r="A25545" t="str">
        <f>"446533"</f>
        <v>446533</v>
      </c>
      <c r="B25545" t="s">
        <v>67</v>
      </c>
      <c r="C25545" t="s">
        <v>263</v>
      </c>
      <c r="D25545" s="21" t="s">
        <v>34</v>
      </c>
      <c r="E25545" s="21" t="s">
        <v>71</v>
      </c>
      <c r="F25545">
        <v>12440151</v>
      </c>
      <c r="G25545" t="s">
        <v>1327</v>
      </c>
      <c r="H25545" s="21">
        <v>634.91999999999996</v>
      </c>
    </row>
    <row r="25546" spans="1:8" customFormat="1" x14ac:dyDescent="0.25">
      <c r="A25546" t="str">
        <f>"3333280"</f>
        <v>3333280</v>
      </c>
      <c r="B25546" t="s">
        <v>17857</v>
      </c>
      <c r="C25546" t="s">
        <v>119</v>
      </c>
      <c r="D25546" s="21" t="s">
        <v>34</v>
      </c>
      <c r="E25546" s="21" t="s">
        <v>35</v>
      </c>
      <c r="F25546">
        <v>10330020</v>
      </c>
      <c r="G25546" t="s">
        <v>7481</v>
      </c>
      <c r="H25546" s="21">
        <v>634.91999999999996</v>
      </c>
    </row>
    <row r="25547" spans="1:8" customFormat="1" x14ac:dyDescent="0.25">
      <c r="A25547" t="str">
        <f>"2720248"</f>
        <v>2720248</v>
      </c>
      <c r="B25547" t="s">
        <v>20403</v>
      </c>
      <c r="C25547" t="s">
        <v>90</v>
      </c>
      <c r="D25547" s="21" t="s">
        <v>34</v>
      </c>
      <c r="E25547" s="21" t="s">
        <v>35</v>
      </c>
      <c r="F25547">
        <v>9270126</v>
      </c>
      <c r="G25547" t="s">
        <v>7569</v>
      </c>
      <c r="H25547" s="21">
        <v>634.66999999999996</v>
      </c>
    </row>
    <row r="25548" spans="1:8" customFormat="1" x14ac:dyDescent="0.25">
      <c r="A25548" t="str">
        <f>"5944743"</f>
        <v>5944743</v>
      </c>
      <c r="B25548" t="s">
        <v>17562</v>
      </c>
      <c r="C25548" t="s">
        <v>187</v>
      </c>
      <c r="D25548" s="21" t="s">
        <v>34</v>
      </c>
      <c r="E25548" s="21" t="s">
        <v>254</v>
      </c>
      <c r="F25548">
        <v>7590228</v>
      </c>
      <c r="G25548" t="s">
        <v>1798</v>
      </c>
      <c r="H25548" s="21">
        <v>634.66999999999996</v>
      </c>
    </row>
    <row r="25549" spans="1:8" customFormat="1" x14ac:dyDescent="0.25">
      <c r="A25549" t="str">
        <f>"5973749"</f>
        <v>5973749</v>
      </c>
      <c r="B25549" t="s">
        <v>18953</v>
      </c>
      <c r="C25549" t="s">
        <v>119</v>
      </c>
      <c r="D25549" s="21" t="s">
        <v>34</v>
      </c>
      <c r="E25549" s="21" t="s">
        <v>35</v>
      </c>
      <c r="F25549">
        <v>7590352</v>
      </c>
      <c r="G25549" t="s">
        <v>9634</v>
      </c>
      <c r="H25549" s="21">
        <v>634.66999999999996</v>
      </c>
    </row>
    <row r="25550" spans="1:8" customFormat="1" x14ac:dyDescent="0.25">
      <c r="A25550" t="str">
        <f>"5316631"</f>
        <v>5316631</v>
      </c>
      <c r="B25550" t="s">
        <v>17452</v>
      </c>
      <c r="C25550" t="s">
        <v>608</v>
      </c>
      <c r="D25550" s="21" t="s">
        <v>34</v>
      </c>
      <c r="E25550" s="21" t="s">
        <v>254</v>
      </c>
      <c r="F25550">
        <v>12530109</v>
      </c>
      <c r="G25550" t="s">
        <v>6924</v>
      </c>
      <c r="H25550" s="21">
        <v>634.66999999999996</v>
      </c>
    </row>
    <row r="25551" spans="1:8" customFormat="1" x14ac:dyDescent="0.25">
      <c r="A25551" t="str">
        <f>"5980289"</f>
        <v>5980289</v>
      </c>
      <c r="B25551" t="s">
        <v>20415</v>
      </c>
      <c r="C25551" t="s">
        <v>62</v>
      </c>
      <c r="D25551" s="21" t="s">
        <v>34</v>
      </c>
      <c r="E25551" s="21" t="s">
        <v>35</v>
      </c>
      <c r="F25551">
        <v>7590347</v>
      </c>
      <c r="G25551" t="s">
        <v>6041</v>
      </c>
      <c r="H25551" s="21">
        <v>634.66999999999996</v>
      </c>
    </row>
    <row r="25552" spans="1:8" customFormat="1" x14ac:dyDescent="0.25">
      <c r="A25552" t="str">
        <f>"8310197"</f>
        <v>8310197</v>
      </c>
      <c r="B25552" t="s">
        <v>2043</v>
      </c>
      <c r="C25552" t="s">
        <v>198</v>
      </c>
      <c r="D25552" s="21" t="s">
        <v>34</v>
      </c>
      <c r="E25552" s="21" t="s">
        <v>71</v>
      </c>
      <c r="F25552">
        <v>13830071</v>
      </c>
      <c r="G25552" t="s">
        <v>3221</v>
      </c>
      <c r="H25552" s="21">
        <v>634.66999999999996</v>
      </c>
    </row>
    <row r="25553" spans="1:8" customFormat="1" x14ac:dyDescent="0.25">
      <c r="A25553" t="str">
        <f>"8310107"</f>
        <v>8310107</v>
      </c>
      <c r="B25553" t="s">
        <v>1349</v>
      </c>
      <c r="C25553" t="s">
        <v>149</v>
      </c>
      <c r="D25553" s="21" t="s">
        <v>34</v>
      </c>
      <c r="E25553" s="21" t="s">
        <v>35</v>
      </c>
      <c r="F25553">
        <v>13830083</v>
      </c>
      <c r="G25553" t="s">
        <v>2159</v>
      </c>
      <c r="H25553" s="21">
        <v>634.66999999999996</v>
      </c>
    </row>
    <row r="25554" spans="1:8" customFormat="1" x14ac:dyDescent="0.25">
      <c r="A25554" t="str">
        <f>"769579"</f>
        <v>769579</v>
      </c>
      <c r="B25554" t="s">
        <v>18187</v>
      </c>
      <c r="C25554" t="s">
        <v>1146</v>
      </c>
      <c r="D25554" s="21" t="s">
        <v>34</v>
      </c>
      <c r="E25554" s="21" t="s">
        <v>1089</v>
      </c>
      <c r="F25554">
        <v>9760034</v>
      </c>
      <c r="G25554" t="s">
        <v>1242</v>
      </c>
      <c r="H25554" s="21">
        <v>634.66999999999996</v>
      </c>
    </row>
    <row r="25555" spans="1:8" customFormat="1" x14ac:dyDescent="0.25">
      <c r="A25555" t="str">
        <f>"63688"</f>
        <v>63688</v>
      </c>
      <c r="B25555" t="s">
        <v>2049</v>
      </c>
      <c r="C25555" t="s">
        <v>2904</v>
      </c>
      <c r="D25555" s="21" t="s">
        <v>34</v>
      </c>
      <c r="E25555" s="21" t="s">
        <v>1089</v>
      </c>
      <c r="F25555">
        <v>1630125</v>
      </c>
      <c r="G25555" t="s">
        <v>6858</v>
      </c>
      <c r="H25555" s="21">
        <v>634.66999999999996</v>
      </c>
    </row>
    <row r="25556" spans="1:8" customFormat="1" x14ac:dyDescent="0.25">
      <c r="A25556" t="str">
        <f>"4916337"</f>
        <v>4916337</v>
      </c>
      <c r="B25556" t="s">
        <v>4162</v>
      </c>
      <c r="C25556" t="s">
        <v>2730</v>
      </c>
      <c r="D25556" s="21" t="s">
        <v>34</v>
      </c>
      <c r="E25556" s="21" t="s">
        <v>254</v>
      </c>
      <c r="F25556">
        <v>12490055</v>
      </c>
      <c r="G25556" t="s">
        <v>12099</v>
      </c>
      <c r="H25556" s="21">
        <v>634.66999999999996</v>
      </c>
    </row>
    <row r="25557" spans="1:8" customFormat="1" x14ac:dyDescent="0.25">
      <c r="A25557" t="str">
        <f>"4429518"</f>
        <v>4429518</v>
      </c>
      <c r="B25557" t="s">
        <v>2766</v>
      </c>
      <c r="C25557" t="s">
        <v>239</v>
      </c>
      <c r="D25557" s="21" t="s">
        <v>34</v>
      </c>
      <c r="E25557" s="21" t="s">
        <v>71</v>
      </c>
      <c r="F25557">
        <v>12440039</v>
      </c>
      <c r="G25557" t="s">
        <v>9650</v>
      </c>
      <c r="H25557" s="21">
        <v>634.66999999999996</v>
      </c>
    </row>
    <row r="25558" spans="1:8" customFormat="1" x14ac:dyDescent="0.25">
      <c r="A25558" t="str">
        <f>"1423146"</f>
        <v>1423146</v>
      </c>
      <c r="B25558" t="s">
        <v>14669</v>
      </c>
      <c r="C25558" t="s">
        <v>96</v>
      </c>
      <c r="D25558" s="21" t="s">
        <v>34</v>
      </c>
      <c r="E25558" s="21" t="s">
        <v>35</v>
      </c>
      <c r="F25558">
        <v>9140228</v>
      </c>
      <c r="G25558" t="s">
        <v>16772</v>
      </c>
      <c r="H25558" s="21">
        <v>634.66999999999996</v>
      </c>
    </row>
    <row r="25559" spans="1:8" customFormat="1" x14ac:dyDescent="0.25">
      <c r="A25559" t="str">
        <f>"424296"</f>
        <v>424296</v>
      </c>
      <c r="B25559" t="s">
        <v>18248</v>
      </c>
      <c r="C25559" t="s">
        <v>269</v>
      </c>
      <c r="D25559" s="21" t="s">
        <v>34</v>
      </c>
      <c r="E25559" s="21" t="s">
        <v>254</v>
      </c>
      <c r="F25559">
        <v>1740038</v>
      </c>
      <c r="G25559" t="s">
        <v>26517</v>
      </c>
      <c r="H25559" s="21">
        <v>634.66999999999996</v>
      </c>
    </row>
    <row r="25560" spans="1:8" customFormat="1" x14ac:dyDescent="0.25">
      <c r="A25560" t="str">
        <f>"413772"</f>
        <v>413772</v>
      </c>
      <c r="B25560" t="s">
        <v>11460</v>
      </c>
      <c r="C25560" t="s">
        <v>453</v>
      </c>
      <c r="D25560" s="21" t="s">
        <v>34</v>
      </c>
      <c r="E25560" s="21" t="s">
        <v>254</v>
      </c>
      <c r="F25560">
        <v>4410543</v>
      </c>
      <c r="G25560" t="s">
        <v>14950</v>
      </c>
      <c r="H25560" s="21">
        <v>634.66999999999996</v>
      </c>
    </row>
    <row r="25561" spans="1:8" customFormat="1" x14ac:dyDescent="0.25">
      <c r="A25561" t="str">
        <f>"5948385"</f>
        <v>5948385</v>
      </c>
      <c r="B25561" t="s">
        <v>5500</v>
      </c>
      <c r="C25561" t="s">
        <v>249</v>
      </c>
      <c r="D25561" s="21" t="s">
        <v>34</v>
      </c>
      <c r="E25561" s="21" t="s">
        <v>71</v>
      </c>
      <c r="F25561">
        <v>7590116</v>
      </c>
      <c r="G25561" t="s">
        <v>11019</v>
      </c>
      <c r="H25561" s="21">
        <v>634.66999999999996</v>
      </c>
    </row>
    <row r="25562" spans="1:8" customFormat="1" x14ac:dyDescent="0.25">
      <c r="A25562" t="str">
        <f>"443325"</f>
        <v>443325</v>
      </c>
      <c r="B25562" t="s">
        <v>18176</v>
      </c>
      <c r="C25562" t="s">
        <v>87</v>
      </c>
      <c r="D25562" s="21" t="s">
        <v>34</v>
      </c>
      <c r="E25562" s="21" t="s">
        <v>71</v>
      </c>
      <c r="F25562">
        <v>12440117</v>
      </c>
      <c r="G25562" t="s">
        <v>14099</v>
      </c>
      <c r="H25562" s="21">
        <v>634.66999999999996</v>
      </c>
    </row>
    <row r="25563" spans="1:8" customFormat="1" x14ac:dyDescent="0.25">
      <c r="A25563" t="str">
        <f>"257682"</f>
        <v>257682</v>
      </c>
      <c r="B25563" t="s">
        <v>19565</v>
      </c>
      <c r="C25563" t="s">
        <v>233</v>
      </c>
      <c r="D25563" s="21" t="s">
        <v>34</v>
      </c>
      <c r="E25563" s="21" t="s">
        <v>254</v>
      </c>
      <c r="F25563">
        <v>2250052</v>
      </c>
      <c r="G25563" t="s">
        <v>5443</v>
      </c>
      <c r="H25563" s="21">
        <v>634.66999999999996</v>
      </c>
    </row>
    <row r="25564" spans="1:8" customFormat="1" x14ac:dyDescent="0.25">
      <c r="A25564" t="str">
        <f>"6936930"</f>
        <v>6936930</v>
      </c>
      <c r="B25564" t="s">
        <v>18206</v>
      </c>
      <c r="C25564" t="s">
        <v>1665</v>
      </c>
      <c r="D25564" s="21" t="s">
        <v>34</v>
      </c>
      <c r="E25564" s="21" t="s">
        <v>35</v>
      </c>
      <c r="F25564">
        <v>1690006</v>
      </c>
      <c r="G25564" t="s">
        <v>2543</v>
      </c>
      <c r="H25564" s="21">
        <v>634.66999999999996</v>
      </c>
    </row>
    <row r="25565" spans="1:8" customFormat="1" x14ac:dyDescent="0.25">
      <c r="A25565" t="str">
        <f>"257642"</f>
        <v>257642</v>
      </c>
      <c r="B25565" t="s">
        <v>17996</v>
      </c>
      <c r="C25565" t="s">
        <v>720</v>
      </c>
      <c r="D25565" s="21" t="s">
        <v>34</v>
      </c>
      <c r="E25565" s="21" t="s">
        <v>1089</v>
      </c>
      <c r="F25565">
        <v>2250001</v>
      </c>
      <c r="G25565" t="s">
        <v>424</v>
      </c>
      <c r="H25565" s="21">
        <v>634.66999999999996</v>
      </c>
    </row>
    <row r="25566" spans="1:8" customFormat="1" x14ac:dyDescent="0.25">
      <c r="A25566" t="str">
        <f>"227977"</f>
        <v>227977</v>
      </c>
      <c r="B25566" t="s">
        <v>15790</v>
      </c>
      <c r="C25566" t="s">
        <v>55</v>
      </c>
      <c r="D25566" s="21" t="s">
        <v>34</v>
      </c>
      <c r="E25566" s="21" t="s">
        <v>71</v>
      </c>
      <c r="F25566">
        <v>3220031</v>
      </c>
      <c r="G25566" t="s">
        <v>26743</v>
      </c>
      <c r="H25566" s="21">
        <v>634.66999999999996</v>
      </c>
    </row>
    <row r="25567" spans="1:8" customFormat="1" x14ac:dyDescent="0.25">
      <c r="A25567" t="str">
        <f>"8611576"</f>
        <v>8611576</v>
      </c>
      <c r="B25567" t="s">
        <v>27857</v>
      </c>
      <c r="C25567" t="s">
        <v>206</v>
      </c>
      <c r="D25567" s="21" t="s">
        <v>34</v>
      </c>
      <c r="E25567" s="21" t="s">
        <v>35</v>
      </c>
      <c r="F25567">
        <v>10860016</v>
      </c>
      <c r="G25567" t="s">
        <v>3289</v>
      </c>
      <c r="H25567" s="21">
        <v>634.66999999999996</v>
      </c>
    </row>
    <row r="25568" spans="1:8" customFormat="1" x14ac:dyDescent="0.25">
      <c r="A25568" t="str">
        <f>"729621"</f>
        <v>729621</v>
      </c>
      <c r="B25568" t="s">
        <v>13441</v>
      </c>
      <c r="C25568" t="s">
        <v>2907</v>
      </c>
      <c r="D25568" s="21" t="s">
        <v>34</v>
      </c>
      <c r="E25568" s="21" t="s">
        <v>254</v>
      </c>
      <c r="F25568">
        <v>12720062</v>
      </c>
      <c r="G25568" t="s">
        <v>4026</v>
      </c>
      <c r="H25568" s="21">
        <v>634.66999999999996</v>
      </c>
    </row>
    <row r="25569" spans="1:8" customFormat="1" x14ac:dyDescent="0.25">
      <c r="A25569" t="str">
        <f>"6221709"</f>
        <v>6221709</v>
      </c>
      <c r="B25569" t="s">
        <v>27858</v>
      </c>
      <c r="C25569" t="s">
        <v>934</v>
      </c>
      <c r="D25569" s="21" t="s">
        <v>34</v>
      </c>
      <c r="E25569" s="21" t="s">
        <v>71</v>
      </c>
      <c r="F25569">
        <v>7590182</v>
      </c>
      <c r="G25569" t="s">
        <v>172</v>
      </c>
      <c r="H25569" s="21">
        <v>634.66999999999996</v>
      </c>
    </row>
    <row r="25570" spans="1:8" customFormat="1" x14ac:dyDescent="0.25">
      <c r="A25570" t="str">
        <f>"6231777"</f>
        <v>6231777</v>
      </c>
      <c r="B25570" t="s">
        <v>20034</v>
      </c>
      <c r="C25570" t="s">
        <v>246</v>
      </c>
      <c r="D25570" s="21" t="s">
        <v>34</v>
      </c>
      <c r="E25570" s="21" t="s">
        <v>254</v>
      </c>
      <c r="F25570">
        <v>7620016</v>
      </c>
      <c r="G25570" t="s">
        <v>6850</v>
      </c>
      <c r="H25570" s="21">
        <v>634.66999999999996</v>
      </c>
    </row>
    <row r="25571" spans="1:8" customFormat="1" x14ac:dyDescent="0.25">
      <c r="A25571" t="str">
        <f>"3425322"</f>
        <v>3425322</v>
      </c>
      <c r="B25571" t="s">
        <v>6842</v>
      </c>
      <c r="C25571" t="s">
        <v>249</v>
      </c>
      <c r="D25571" s="21" t="s">
        <v>34</v>
      </c>
      <c r="E25571" s="21" t="s">
        <v>71</v>
      </c>
      <c r="F25571">
        <v>11340053</v>
      </c>
      <c r="G25571" t="s">
        <v>9935</v>
      </c>
      <c r="H25571" s="21">
        <v>634.66999999999996</v>
      </c>
    </row>
    <row r="25572" spans="1:8" customFormat="1" x14ac:dyDescent="0.25">
      <c r="A25572" t="str">
        <f>"4414771"</f>
        <v>4414771</v>
      </c>
      <c r="B25572" t="s">
        <v>13136</v>
      </c>
      <c r="C25572" t="s">
        <v>65</v>
      </c>
      <c r="D25572" s="21" t="s">
        <v>34</v>
      </c>
      <c r="E25572" s="21" t="s">
        <v>35</v>
      </c>
      <c r="F25572">
        <v>12440152</v>
      </c>
      <c r="G25572" t="s">
        <v>5481</v>
      </c>
      <c r="H25572" s="21">
        <v>634.66999999999996</v>
      </c>
    </row>
    <row r="25573" spans="1:8" customFormat="1" x14ac:dyDescent="0.25">
      <c r="A25573" t="str">
        <f>"5112264"</f>
        <v>5112264</v>
      </c>
      <c r="B25573" t="s">
        <v>9879</v>
      </c>
      <c r="C25573" t="s">
        <v>1100</v>
      </c>
      <c r="D25573" s="21" t="s">
        <v>34</v>
      </c>
      <c r="E25573" s="21" t="s">
        <v>35</v>
      </c>
      <c r="F25573">
        <v>6510110</v>
      </c>
      <c r="G25573" t="s">
        <v>9011</v>
      </c>
      <c r="H25573" s="21">
        <v>634.66999999999996</v>
      </c>
    </row>
    <row r="25574" spans="1:8" customFormat="1" x14ac:dyDescent="0.25">
      <c r="A25574" t="str">
        <f>"8012506"</f>
        <v>8012506</v>
      </c>
      <c r="B25574" t="s">
        <v>213</v>
      </c>
      <c r="C25574" t="s">
        <v>336</v>
      </c>
      <c r="D25574" s="21" t="s">
        <v>34</v>
      </c>
      <c r="E25574" s="21" t="s">
        <v>35</v>
      </c>
      <c r="F25574">
        <v>7800054</v>
      </c>
      <c r="G25574" t="s">
        <v>3772</v>
      </c>
      <c r="H25574" s="21">
        <v>634.66999999999996</v>
      </c>
    </row>
    <row r="25575" spans="1:8" customFormat="1" x14ac:dyDescent="0.25">
      <c r="A25575" t="str">
        <f>"228665"</f>
        <v>228665</v>
      </c>
      <c r="B25575" t="s">
        <v>18730</v>
      </c>
      <c r="C25575" t="s">
        <v>2520</v>
      </c>
      <c r="D25575" s="21" t="s">
        <v>34</v>
      </c>
      <c r="E25575" s="21" t="s">
        <v>1089</v>
      </c>
      <c r="F25575">
        <v>3220140</v>
      </c>
      <c r="G25575" t="s">
        <v>26656</v>
      </c>
      <c r="H25575" s="21">
        <v>634.66999999999996</v>
      </c>
    </row>
    <row r="25576" spans="1:8" customFormat="1" x14ac:dyDescent="0.25">
      <c r="A25576" t="str">
        <f>"036522"</f>
        <v>036522</v>
      </c>
      <c r="B25576" t="s">
        <v>18778</v>
      </c>
      <c r="C25576" t="s">
        <v>198</v>
      </c>
      <c r="D25576" s="21" t="s">
        <v>34</v>
      </c>
      <c r="E25576" s="21" t="s">
        <v>254</v>
      </c>
      <c r="F25576">
        <v>1030108</v>
      </c>
      <c r="G25576" t="s">
        <v>26724</v>
      </c>
      <c r="H25576" s="21">
        <v>634.66999999999996</v>
      </c>
    </row>
    <row r="25577" spans="1:8" customFormat="1" x14ac:dyDescent="0.25">
      <c r="A25577" t="str">
        <f>"2920286"</f>
        <v>2920286</v>
      </c>
      <c r="B25577" t="s">
        <v>16934</v>
      </c>
      <c r="C25577" t="s">
        <v>114</v>
      </c>
      <c r="D25577" s="21" t="s">
        <v>34</v>
      </c>
      <c r="E25577" s="21" t="s">
        <v>35</v>
      </c>
      <c r="F25577">
        <v>3290205</v>
      </c>
      <c r="G25577" t="s">
        <v>26882</v>
      </c>
      <c r="H25577" s="21">
        <v>634.66999999999996</v>
      </c>
    </row>
    <row r="25578" spans="1:8" customFormat="1" x14ac:dyDescent="0.25">
      <c r="A25578" t="str">
        <f>"6725561"</f>
        <v>6725561</v>
      </c>
      <c r="B25578" t="s">
        <v>22167</v>
      </c>
      <c r="C25578" t="s">
        <v>119</v>
      </c>
      <c r="D25578" s="21" t="s">
        <v>34</v>
      </c>
      <c r="E25578" s="21" t="s">
        <v>35</v>
      </c>
      <c r="F25578">
        <v>6670187</v>
      </c>
      <c r="G25578" t="s">
        <v>240</v>
      </c>
      <c r="H25578" s="21">
        <v>634.66999999999996</v>
      </c>
    </row>
    <row r="25579" spans="1:8" customFormat="1" x14ac:dyDescent="0.25">
      <c r="A25579" t="str">
        <f>"486278"</f>
        <v>486278</v>
      </c>
      <c r="B25579" t="s">
        <v>20673</v>
      </c>
      <c r="C25579" t="s">
        <v>249</v>
      </c>
      <c r="D25579" s="21" t="s">
        <v>34</v>
      </c>
      <c r="E25579" s="21" t="s">
        <v>71</v>
      </c>
      <c r="F25579">
        <v>11480022</v>
      </c>
      <c r="G25579" t="s">
        <v>18917</v>
      </c>
      <c r="H25579" s="21">
        <v>634.41999999999996</v>
      </c>
    </row>
    <row r="25580" spans="1:8" customFormat="1" x14ac:dyDescent="0.25">
      <c r="A25580" t="str">
        <f>"09631"</f>
        <v>09631</v>
      </c>
      <c r="B25580" t="s">
        <v>22350</v>
      </c>
      <c r="C25580" t="s">
        <v>121</v>
      </c>
      <c r="D25580" s="21" t="s">
        <v>34</v>
      </c>
      <c r="E25580" s="21" t="s">
        <v>71</v>
      </c>
      <c r="F25580">
        <v>11090002</v>
      </c>
      <c r="G25580" t="s">
        <v>901</v>
      </c>
      <c r="H25580" s="21">
        <v>634.29</v>
      </c>
    </row>
    <row r="25581" spans="1:8" customFormat="1" x14ac:dyDescent="0.25">
      <c r="A25581" t="str">
        <f>"8815363"</f>
        <v>8815363</v>
      </c>
      <c r="B25581" t="s">
        <v>18998</v>
      </c>
      <c r="C25581" t="s">
        <v>11493</v>
      </c>
      <c r="D25581" s="21" t="s">
        <v>34</v>
      </c>
      <c r="E25581" s="21" t="s">
        <v>71</v>
      </c>
      <c r="F25581">
        <v>6880138</v>
      </c>
      <c r="G25581" t="s">
        <v>10053</v>
      </c>
      <c r="H25581" s="21">
        <v>634.29</v>
      </c>
    </row>
    <row r="25582" spans="1:8" customFormat="1" x14ac:dyDescent="0.25">
      <c r="A25582" t="str">
        <f>"5431407"</f>
        <v>5431407</v>
      </c>
      <c r="B25582" t="s">
        <v>1547</v>
      </c>
      <c r="C25582" t="s">
        <v>33</v>
      </c>
      <c r="D25582" s="21" t="s">
        <v>34</v>
      </c>
      <c r="E25582" s="21" t="s">
        <v>35</v>
      </c>
      <c r="F25582">
        <v>6540010</v>
      </c>
      <c r="G25582" t="s">
        <v>7832</v>
      </c>
      <c r="H25582" s="21">
        <v>634.29</v>
      </c>
    </row>
    <row r="25583" spans="1:8" customFormat="1" x14ac:dyDescent="0.25">
      <c r="A25583" t="str">
        <f>"1320756"</f>
        <v>1320756</v>
      </c>
      <c r="B25583" t="s">
        <v>21685</v>
      </c>
      <c r="C25583" t="s">
        <v>462</v>
      </c>
      <c r="D25583" s="21" t="s">
        <v>34</v>
      </c>
      <c r="E25583" s="21" t="s">
        <v>71</v>
      </c>
      <c r="F25583">
        <v>13130169</v>
      </c>
      <c r="G25583" t="s">
        <v>21686</v>
      </c>
      <c r="H25583" s="21">
        <v>634.29</v>
      </c>
    </row>
    <row r="25584" spans="1:8" customFormat="1" x14ac:dyDescent="0.25">
      <c r="A25584" t="str">
        <f>"4528276"</f>
        <v>4528276</v>
      </c>
      <c r="B25584" t="s">
        <v>20840</v>
      </c>
      <c r="C25584" t="s">
        <v>198</v>
      </c>
      <c r="D25584" s="21" t="s">
        <v>34</v>
      </c>
      <c r="E25584" s="21" t="s">
        <v>71</v>
      </c>
      <c r="F25584">
        <v>4450036</v>
      </c>
      <c r="G25584" t="s">
        <v>4179</v>
      </c>
      <c r="H25584" s="21">
        <v>634.16999999999996</v>
      </c>
    </row>
    <row r="25585" spans="1:8" customFormat="1" x14ac:dyDescent="0.25">
      <c r="A25585" t="str">
        <f>"884467"</f>
        <v>884467</v>
      </c>
      <c r="B25585" t="s">
        <v>593</v>
      </c>
      <c r="C25585" t="s">
        <v>3048</v>
      </c>
      <c r="D25585" s="21" t="s">
        <v>34</v>
      </c>
      <c r="E25585" s="21" t="s">
        <v>35</v>
      </c>
      <c r="F25585">
        <v>6880113</v>
      </c>
      <c r="G25585" t="s">
        <v>11089</v>
      </c>
      <c r="H25585" s="21">
        <v>634.16999999999996</v>
      </c>
    </row>
    <row r="25586" spans="1:8" customFormat="1" x14ac:dyDescent="0.25">
      <c r="A25586" t="str">
        <f>"5977870"</f>
        <v>5977870</v>
      </c>
      <c r="B25586" t="s">
        <v>4834</v>
      </c>
      <c r="C25586" t="s">
        <v>455</v>
      </c>
      <c r="D25586" s="21" t="s">
        <v>34</v>
      </c>
      <c r="E25586" s="21" t="s">
        <v>35</v>
      </c>
      <c r="F25586">
        <v>7590054</v>
      </c>
      <c r="G25586" t="s">
        <v>12599</v>
      </c>
      <c r="H25586" s="21">
        <v>634.16999999999996</v>
      </c>
    </row>
    <row r="25587" spans="1:8" customFormat="1" x14ac:dyDescent="0.25">
      <c r="A25587" t="str">
        <f>"5615540"</f>
        <v>5615540</v>
      </c>
      <c r="B25587" t="s">
        <v>3898</v>
      </c>
      <c r="C25587" t="s">
        <v>19774</v>
      </c>
      <c r="D25587" s="21" t="s">
        <v>34</v>
      </c>
      <c r="E25587" s="21" t="s">
        <v>35</v>
      </c>
      <c r="F25587">
        <v>3560066</v>
      </c>
      <c r="G25587" t="s">
        <v>1156</v>
      </c>
      <c r="H25587" s="21">
        <v>634.16999999999996</v>
      </c>
    </row>
    <row r="25588" spans="1:8" customFormat="1" x14ac:dyDescent="0.25">
      <c r="A25588" t="str">
        <f>"4440943"</f>
        <v>4440943</v>
      </c>
      <c r="B25588" t="s">
        <v>18828</v>
      </c>
      <c r="C25588" t="s">
        <v>462</v>
      </c>
      <c r="D25588" s="21" t="s">
        <v>34</v>
      </c>
      <c r="E25588" s="21" t="s">
        <v>35</v>
      </c>
      <c r="F25588">
        <v>12440051</v>
      </c>
      <c r="G25588" t="s">
        <v>2191</v>
      </c>
      <c r="H25588" s="21">
        <v>634.16999999999996</v>
      </c>
    </row>
    <row r="25589" spans="1:8" customFormat="1" x14ac:dyDescent="0.25">
      <c r="A25589" t="str">
        <f>"5016898"</f>
        <v>5016898</v>
      </c>
      <c r="B25589" t="s">
        <v>1113</v>
      </c>
      <c r="C25589" t="s">
        <v>269</v>
      </c>
      <c r="D25589" s="21" t="s">
        <v>34</v>
      </c>
      <c r="E25589" s="21" t="s">
        <v>35</v>
      </c>
      <c r="F25589">
        <v>9500030</v>
      </c>
      <c r="G25589" t="s">
        <v>2166</v>
      </c>
      <c r="H25589" s="21">
        <v>634.16999999999996</v>
      </c>
    </row>
    <row r="25590" spans="1:8" customFormat="1" x14ac:dyDescent="0.25">
      <c r="A25590" t="str">
        <f>"847818"</f>
        <v>847818</v>
      </c>
      <c r="B25590" t="s">
        <v>20264</v>
      </c>
      <c r="C25590" t="s">
        <v>817</v>
      </c>
      <c r="D25590" s="21" t="s">
        <v>34</v>
      </c>
      <c r="E25590" s="21" t="s">
        <v>71</v>
      </c>
      <c r="F25590">
        <v>13840021</v>
      </c>
      <c r="G25590" t="s">
        <v>3946</v>
      </c>
      <c r="H25590" s="21">
        <v>634.16999999999996</v>
      </c>
    </row>
    <row r="25591" spans="1:8" customFormat="1" x14ac:dyDescent="0.25">
      <c r="A25591" t="str">
        <f>"2112680"</f>
        <v>2112680</v>
      </c>
      <c r="B25591" t="s">
        <v>27859</v>
      </c>
      <c r="C25591" t="s">
        <v>2752</v>
      </c>
      <c r="D25591" s="21" t="s">
        <v>34</v>
      </c>
      <c r="E25591" s="21" t="s">
        <v>71</v>
      </c>
      <c r="F25591">
        <v>2210127</v>
      </c>
      <c r="G25591" t="s">
        <v>3447</v>
      </c>
      <c r="H25591" s="21">
        <v>634.16999999999996</v>
      </c>
    </row>
    <row r="25592" spans="1:8" customFormat="1" x14ac:dyDescent="0.25">
      <c r="A25592" t="str">
        <f>"287568"</f>
        <v>287568</v>
      </c>
      <c r="B25592" t="s">
        <v>14024</v>
      </c>
      <c r="C25592" t="s">
        <v>209</v>
      </c>
      <c r="D25592" s="21" t="s">
        <v>34</v>
      </c>
      <c r="E25592" s="21" t="s">
        <v>71</v>
      </c>
      <c r="F25592">
        <v>4280004</v>
      </c>
      <c r="G25592" t="s">
        <v>91</v>
      </c>
      <c r="H25592" s="21">
        <v>634.16999999999996</v>
      </c>
    </row>
    <row r="25593" spans="1:8" customFormat="1" x14ac:dyDescent="0.25">
      <c r="A25593" t="str">
        <f>"4453614"</f>
        <v>4453614</v>
      </c>
      <c r="B25593" t="s">
        <v>20411</v>
      </c>
      <c r="C25593" t="s">
        <v>2806</v>
      </c>
      <c r="D25593" s="21" t="s">
        <v>34</v>
      </c>
      <c r="E25593" s="21" t="s">
        <v>35</v>
      </c>
      <c r="F25593">
        <v>12440034</v>
      </c>
      <c r="G25593" t="s">
        <v>10586</v>
      </c>
      <c r="H25593" s="21">
        <v>634.16999999999996</v>
      </c>
    </row>
    <row r="25594" spans="1:8" customFormat="1" x14ac:dyDescent="0.25">
      <c r="A25594" t="str">
        <f>"5316807"</f>
        <v>5316807</v>
      </c>
      <c r="B25594" t="s">
        <v>8887</v>
      </c>
      <c r="C25594" t="s">
        <v>664</v>
      </c>
      <c r="D25594" s="21" t="s">
        <v>34</v>
      </c>
      <c r="E25594" s="21" t="s">
        <v>71</v>
      </c>
      <c r="F25594">
        <v>12538899</v>
      </c>
      <c r="G25594" t="s">
        <v>10436</v>
      </c>
      <c r="H25594" s="21">
        <v>634.16999999999996</v>
      </c>
    </row>
    <row r="25595" spans="1:8" customFormat="1" x14ac:dyDescent="0.25">
      <c r="A25595" t="str">
        <f>"9144209"</f>
        <v>9144209</v>
      </c>
      <c r="B25595" t="s">
        <v>20430</v>
      </c>
      <c r="C25595" t="s">
        <v>320</v>
      </c>
      <c r="D25595" s="21" t="s">
        <v>34</v>
      </c>
      <c r="E25595" s="21" t="s">
        <v>35</v>
      </c>
      <c r="F25595">
        <v>8911464</v>
      </c>
      <c r="G25595" t="s">
        <v>17832</v>
      </c>
      <c r="H25595" s="21">
        <v>634.16999999999996</v>
      </c>
    </row>
    <row r="25596" spans="1:8" customFormat="1" x14ac:dyDescent="0.25">
      <c r="A25596" t="str">
        <f>"9319161"</f>
        <v>9319161</v>
      </c>
      <c r="B25596" t="s">
        <v>20551</v>
      </c>
      <c r="C25596" t="s">
        <v>415</v>
      </c>
      <c r="D25596" s="21" t="s">
        <v>34</v>
      </c>
      <c r="E25596" s="21" t="s">
        <v>71</v>
      </c>
      <c r="F25596">
        <v>8931011</v>
      </c>
      <c r="G25596" t="s">
        <v>530</v>
      </c>
      <c r="H25596" s="21">
        <v>634.16999999999996</v>
      </c>
    </row>
    <row r="25597" spans="1:8" customFormat="1" x14ac:dyDescent="0.25">
      <c r="A25597" t="str">
        <f>"5977805"</f>
        <v>5977805</v>
      </c>
      <c r="B25597" t="s">
        <v>4278</v>
      </c>
      <c r="C25597" t="s">
        <v>288</v>
      </c>
      <c r="D25597" s="21" t="s">
        <v>34</v>
      </c>
      <c r="E25597" s="21" t="s">
        <v>35</v>
      </c>
      <c r="F25597">
        <v>7590413</v>
      </c>
      <c r="G25597" t="s">
        <v>6848</v>
      </c>
      <c r="H25597" s="21">
        <v>634.16999999999996</v>
      </c>
    </row>
    <row r="25598" spans="1:8" customFormat="1" x14ac:dyDescent="0.25">
      <c r="A25598" t="str">
        <f>"5972381"</f>
        <v>5972381</v>
      </c>
      <c r="B25598" t="s">
        <v>20205</v>
      </c>
      <c r="C25598" t="s">
        <v>40</v>
      </c>
      <c r="D25598" s="21" t="s">
        <v>34</v>
      </c>
      <c r="E25598" s="21" t="s">
        <v>254</v>
      </c>
      <c r="F25598">
        <v>7590120</v>
      </c>
      <c r="G25598" t="s">
        <v>5351</v>
      </c>
      <c r="H25598" s="21">
        <v>634.16999999999996</v>
      </c>
    </row>
    <row r="25599" spans="1:8" customFormat="1" x14ac:dyDescent="0.25">
      <c r="A25599" t="str">
        <f>"636598"</f>
        <v>636598</v>
      </c>
      <c r="B25599" t="s">
        <v>4285</v>
      </c>
      <c r="C25599" t="s">
        <v>130</v>
      </c>
      <c r="D25599" s="21" t="s">
        <v>34</v>
      </c>
      <c r="E25599" s="21" t="s">
        <v>71</v>
      </c>
      <c r="F25599">
        <v>1630054</v>
      </c>
      <c r="G25599" t="s">
        <v>2512</v>
      </c>
      <c r="H25599" s="21">
        <v>634.16999999999996</v>
      </c>
    </row>
    <row r="25600" spans="1:8" customFormat="1" x14ac:dyDescent="0.25">
      <c r="A25600" t="str">
        <f>"2719882"</f>
        <v>2719882</v>
      </c>
      <c r="B25600" t="s">
        <v>19156</v>
      </c>
      <c r="C25600" t="s">
        <v>204</v>
      </c>
      <c r="D25600" s="21" t="s">
        <v>34</v>
      </c>
      <c r="E25600" s="21" t="s">
        <v>35</v>
      </c>
      <c r="F25600">
        <v>9270095</v>
      </c>
      <c r="G25600" t="s">
        <v>1681</v>
      </c>
      <c r="H25600" s="21">
        <v>634.04</v>
      </c>
    </row>
    <row r="25601" spans="1:8" customFormat="1" x14ac:dyDescent="0.25">
      <c r="A25601" t="str">
        <f>"5935554"</f>
        <v>5935554</v>
      </c>
      <c r="B25601" t="s">
        <v>27860</v>
      </c>
      <c r="C25601" t="s">
        <v>43</v>
      </c>
      <c r="D25601" s="21" t="s">
        <v>34</v>
      </c>
      <c r="E25601" s="21" t="s">
        <v>71</v>
      </c>
      <c r="F25601">
        <v>7590068</v>
      </c>
      <c r="G25601" t="s">
        <v>1005</v>
      </c>
      <c r="H25601" s="21">
        <v>634</v>
      </c>
    </row>
    <row r="25602" spans="1:8" customFormat="1" x14ac:dyDescent="0.25">
      <c r="A25602" t="str">
        <f>"886438"</f>
        <v>886438</v>
      </c>
      <c r="B25602" t="s">
        <v>19043</v>
      </c>
      <c r="C25602" t="s">
        <v>249</v>
      </c>
      <c r="D25602" s="21" t="s">
        <v>34</v>
      </c>
      <c r="E25602" s="21" t="s">
        <v>71</v>
      </c>
      <c r="F25602">
        <v>6880113</v>
      </c>
      <c r="G25602" t="s">
        <v>11089</v>
      </c>
      <c r="H25602" s="21">
        <v>633.91999999999996</v>
      </c>
    </row>
    <row r="25603" spans="1:8" customFormat="1" x14ac:dyDescent="0.25">
      <c r="A25603" t="str">
        <f>"445425"</f>
        <v>445425</v>
      </c>
      <c r="B25603" t="s">
        <v>18350</v>
      </c>
      <c r="C25603" t="s">
        <v>239</v>
      </c>
      <c r="D25603" s="21" t="s">
        <v>34</v>
      </c>
      <c r="E25603" s="21" t="s">
        <v>254</v>
      </c>
      <c r="F25603">
        <v>12440012</v>
      </c>
      <c r="G25603" t="s">
        <v>807</v>
      </c>
      <c r="H25603" s="21">
        <v>633.91999999999996</v>
      </c>
    </row>
    <row r="25604" spans="1:8" customFormat="1" x14ac:dyDescent="0.25">
      <c r="A25604" t="str">
        <f>"755893"</f>
        <v>755893</v>
      </c>
      <c r="B25604" t="s">
        <v>17766</v>
      </c>
      <c r="C25604" t="s">
        <v>239</v>
      </c>
      <c r="D25604" s="21" t="s">
        <v>34</v>
      </c>
      <c r="E25604" s="21" t="s">
        <v>71</v>
      </c>
      <c r="F25604">
        <v>8750141</v>
      </c>
      <c r="G25604" t="s">
        <v>1514</v>
      </c>
      <c r="H25604" s="21">
        <v>633.91999999999996</v>
      </c>
    </row>
    <row r="25605" spans="1:8" customFormat="1" x14ac:dyDescent="0.25">
      <c r="A25605" t="str">
        <f>"3725470"</f>
        <v>3725470</v>
      </c>
      <c r="B25605" t="s">
        <v>1604</v>
      </c>
      <c r="C25605" t="s">
        <v>1914</v>
      </c>
      <c r="D25605" s="21" t="s">
        <v>34</v>
      </c>
      <c r="E25605" s="21" t="s">
        <v>71</v>
      </c>
      <c r="F25605">
        <v>4370439</v>
      </c>
      <c r="G25605" t="s">
        <v>2956</v>
      </c>
      <c r="H25605" s="21">
        <v>633.79</v>
      </c>
    </row>
    <row r="25606" spans="1:8" customFormat="1" x14ac:dyDescent="0.25">
      <c r="A25606" t="str">
        <f>"7712057"</f>
        <v>7712057</v>
      </c>
      <c r="B25606" t="s">
        <v>14899</v>
      </c>
      <c r="C25606" t="s">
        <v>209</v>
      </c>
      <c r="D25606" s="21" t="s">
        <v>34</v>
      </c>
      <c r="E25606" s="21" t="s">
        <v>71</v>
      </c>
      <c r="F25606">
        <v>8770955</v>
      </c>
      <c r="G25606" t="s">
        <v>9946</v>
      </c>
      <c r="H25606" s="21">
        <v>633.66999999999996</v>
      </c>
    </row>
    <row r="25607" spans="1:8" customFormat="1" x14ac:dyDescent="0.25">
      <c r="A25607" t="str">
        <f>"4216851"</f>
        <v>4216851</v>
      </c>
      <c r="B25607" t="s">
        <v>18277</v>
      </c>
      <c r="C25607" t="s">
        <v>119</v>
      </c>
      <c r="D25607" s="21" t="s">
        <v>34</v>
      </c>
      <c r="E25607" s="21" t="s">
        <v>35</v>
      </c>
      <c r="F25607">
        <v>1420162</v>
      </c>
      <c r="G25607" t="s">
        <v>11209</v>
      </c>
      <c r="H25607" s="21">
        <v>633.66999999999996</v>
      </c>
    </row>
    <row r="25608" spans="1:8" customFormat="1" x14ac:dyDescent="0.25">
      <c r="A25608" t="str">
        <f>"3112505"</f>
        <v>3112505</v>
      </c>
      <c r="B25608" t="s">
        <v>19880</v>
      </c>
      <c r="C25608" t="s">
        <v>233</v>
      </c>
      <c r="D25608" s="21" t="s">
        <v>34</v>
      </c>
      <c r="E25608" s="21" t="s">
        <v>71</v>
      </c>
      <c r="F25608">
        <v>11310047</v>
      </c>
      <c r="G25608" t="s">
        <v>2188</v>
      </c>
      <c r="H25608" s="21">
        <v>633.66999999999996</v>
      </c>
    </row>
    <row r="25609" spans="1:8" customFormat="1" x14ac:dyDescent="0.25">
      <c r="A25609" t="str">
        <f>"664692"</f>
        <v>664692</v>
      </c>
      <c r="B25609" t="s">
        <v>19884</v>
      </c>
      <c r="C25609" t="s">
        <v>2730</v>
      </c>
      <c r="D25609" s="21" t="s">
        <v>34</v>
      </c>
      <c r="E25609" s="21" t="s">
        <v>1089</v>
      </c>
      <c r="F25609">
        <v>11660011</v>
      </c>
      <c r="G25609" t="s">
        <v>4641</v>
      </c>
      <c r="H25609" s="21">
        <v>633.66999999999996</v>
      </c>
    </row>
    <row r="25610" spans="1:8" customFormat="1" x14ac:dyDescent="0.25">
      <c r="A25610" t="str">
        <f>"246707"</f>
        <v>246707</v>
      </c>
      <c r="B25610" t="s">
        <v>17247</v>
      </c>
      <c r="C25610" t="s">
        <v>3648</v>
      </c>
      <c r="D25610" s="21" t="s">
        <v>34</v>
      </c>
      <c r="E25610" s="21" t="s">
        <v>35</v>
      </c>
      <c r="F25610">
        <v>10240007</v>
      </c>
      <c r="G25610" t="s">
        <v>2326</v>
      </c>
      <c r="H25610" s="21">
        <v>633.66999999999996</v>
      </c>
    </row>
    <row r="25611" spans="1:8" customFormat="1" x14ac:dyDescent="0.25">
      <c r="A25611" t="str">
        <f>"689768"</f>
        <v>689768</v>
      </c>
      <c r="B25611" t="s">
        <v>18489</v>
      </c>
      <c r="C25611" t="s">
        <v>109</v>
      </c>
      <c r="D25611" s="21" t="s">
        <v>34</v>
      </c>
      <c r="E25611" s="21" t="s">
        <v>35</v>
      </c>
      <c r="F25611">
        <v>6680011</v>
      </c>
      <c r="G25611" t="s">
        <v>1524</v>
      </c>
      <c r="H25611" s="21">
        <v>633.66999999999996</v>
      </c>
    </row>
    <row r="25612" spans="1:8" customFormat="1" x14ac:dyDescent="0.25">
      <c r="A25612" t="str">
        <f>"618739"</f>
        <v>618739</v>
      </c>
      <c r="B25612" t="s">
        <v>18631</v>
      </c>
      <c r="C25612" t="s">
        <v>82</v>
      </c>
      <c r="D25612" s="21" t="s">
        <v>34</v>
      </c>
      <c r="E25612" s="21" t="s">
        <v>35</v>
      </c>
      <c r="F25612">
        <v>9610129</v>
      </c>
      <c r="G25612" t="s">
        <v>11506</v>
      </c>
      <c r="H25612" s="21">
        <v>633.66999999999996</v>
      </c>
    </row>
    <row r="25613" spans="1:8" customFormat="1" x14ac:dyDescent="0.25">
      <c r="A25613" t="str">
        <f>"509756"</f>
        <v>509756</v>
      </c>
      <c r="B25613" t="s">
        <v>4382</v>
      </c>
      <c r="C25613" t="s">
        <v>169</v>
      </c>
      <c r="D25613" s="21" t="s">
        <v>34</v>
      </c>
      <c r="E25613" s="21" t="s">
        <v>35</v>
      </c>
      <c r="F25613">
        <v>9500087</v>
      </c>
      <c r="G25613" t="s">
        <v>12569</v>
      </c>
      <c r="H25613" s="21">
        <v>633.66999999999996</v>
      </c>
    </row>
    <row r="25614" spans="1:8" customFormat="1" x14ac:dyDescent="0.25">
      <c r="A25614" t="str">
        <f>"9519501"</f>
        <v>9519501</v>
      </c>
      <c r="B25614" t="s">
        <v>17774</v>
      </c>
      <c r="C25614" t="s">
        <v>867</v>
      </c>
      <c r="D25614" s="21" t="s">
        <v>34</v>
      </c>
      <c r="E25614" s="21" t="s">
        <v>35</v>
      </c>
      <c r="F25614">
        <v>8950978</v>
      </c>
      <c r="G25614" t="s">
        <v>1164</v>
      </c>
      <c r="H25614" s="21">
        <v>633.66999999999996</v>
      </c>
    </row>
    <row r="25615" spans="1:8" customFormat="1" x14ac:dyDescent="0.25">
      <c r="A25615" t="str">
        <f>"7841075"</f>
        <v>7841075</v>
      </c>
      <c r="B25615" t="s">
        <v>9376</v>
      </c>
      <c r="C25615" t="s">
        <v>151</v>
      </c>
      <c r="D25615" s="21" t="s">
        <v>34</v>
      </c>
      <c r="E25615" s="21" t="s">
        <v>71</v>
      </c>
      <c r="F25615">
        <v>8780584</v>
      </c>
      <c r="G25615" t="s">
        <v>18410</v>
      </c>
      <c r="H25615" s="21">
        <v>633.66999999999996</v>
      </c>
    </row>
    <row r="25616" spans="1:8" customFormat="1" x14ac:dyDescent="0.25">
      <c r="A25616" t="str">
        <f>"6939534"</f>
        <v>6939534</v>
      </c>
      <c r="B25616" t="s">
        <v>1794</v>
      </c>
      <c r="C25616" t="s">
        <v>462</v>
      </c>
      <c r="D25616" s="21" t="s">
        <v>34</v>
      </c>
      <c r="E25616" s="21" t="s">
        <v>71</v>
      </c>
      <c r="F25616">
        <v>1690030</v>
      </c>
      <c r="G25616" t="s">
        <v>432</v>
      </c>
      <c r="H25616" s="21">
        <v>633.66999999999996</v>
      </c>
    </row>
    <row r="25617" spans="1:8" customFormat="1" x14ac:dyDescent="0.25">
      <c r="A25617" t="str">
        <f>"789217"</f>
        <v>789217</v>
      </c>
      <c r="B25617" t="s">
        <v>1737</v>
      </c>
      <c r="C25617" t="s">
        <v>1110</v>
      </c>
      <c r="D25617" s="21" t="s">
        <v>34</v>
      </c>
      <c r="E25617" s="21" t="s">
        <v>254</v>
      </c>
      <c r="F25617">
        <v>3350014</v>
      </c>
      <c r="G25617" t="s">
        <v>1078</v>
      </c>
      <c r="H25617" s="21">
        <v>633.66999999999996</v>
      </c>
    </row>
    <row r="25618" spans="1:8" customFormat="1" x14ac:dyDescent="0.25">
      <c r="A25618" t="str">
        <f>"6724661"</f>
        <v>6724661</v>
      </c>
      <c r="B25618" t="s">
        <v>14006</v>
      </c>
      <c r="C25618" t="s">
        <v>611</v>
      </c>
      <c r="D25618" s="21" t="s">
        <v>34</v>
      </c>
      <c r="E25618" s="21" t="s">
        <v>35</v>
      </c>
      <c r="F25618">
        <v>6670201</v>
      </c>
      <c r="G25618" t="s">
        <v>8483</v>
      </c>
      <c r="H25618" s="21">
        <v>633.66999999999996</v>
      </c>
    </row>
    <row r="25619" spans="1:8" customFormat="1" x14ac:dyDescent="0.25">
      <c r="A25619" t="str">
        <f>"72204"</f>
        <v>72204</v>
      </c>
      <c r="B25619" t="s">
        <v>1645</v>
      </c>
      <c r="C25619" t="s">
        <v>664</v>
      </c>
      <c r="D25619" s="21" t="s">
        <v>34</v>
      </c>
      <c r="E25619" s="21" t="s">
        <v>1089</v>
      </c>
      <c r="F25619">
        <v>12720002</v>
      </c>
      <c r="G25619" t="s">
        <v>1712</v>
      </c>
      <c r="H25619" s="21">
        <v>633.66999999999996</v>
      </c>
    </row>
    <row r="25620" spans="1:8" customFormat="1" x14ac:dyDescent="0.25">
      <c r="A25620" t="str">
        <f>"589240"</f>
        <v>589240</v>
      </c>
      <c r="B25620" t="s">
        <v>13094</v>
      </c>
      <c r="C25620" t="s">
        <v>55</v>
      </c>
      <c r="D25620" s="21" t="s">
        <v>34</v>
      </c>
      <c r="E25620" s="21" t="s">
        <v>35</v>
      </c>
      <c r="F25620">
        <v>2580093</v>
      </c>
      <c r="G25620" t="s">
        <v>9104</v>
      </c>
      <c r="H25620" s="21">
        <v>633.66999999999996</v>
      </c>
    </row>
    <row r="25621" spans="1:8" customFormat="1" x14ac:dyDescent="0.25">
      <c r="A25621" t="str">
        <f>"78434"</f>
        <v>78434</v>
      </c>
      <c r="B25621" t="s">
        <v>18056</v>
      </c>
      <c r="C25621" t="s">
        <v>412</v>
      </c>
      <c r="D25621" s="21" t="s">
        <v>34</v>
      </c>
      <c r="E25621" s="21" t="s">
        <v>6185</v>
      </c>
      <c r="F25621">
        <v>8780128</v>
      </c>
      <c r="G25621" t="s">
        <v>4201</v>
      </c>
      <c r="H25621" s="21">
        <v>633.66999999999996</v>
      </c>
    </row>
    <row r="25622" spans="1:8" customFormat="1" x14ac:dyDescent="0.25">
      <c r="A25622" t="str">
        <f>"137770"</f>
        <v>137770</v>
      </c>
      <c r="B25622" t="s">
        <v>18173</v>
      </c>
      <c r="C25622" t="s">
        <v>209</v>
      </c>
      <c r="D25622" s="21" t="s">
        <v>34</v>
      </c>
      <c r="E25622" s="21" t="s">
        <v>71</v>
      </c>
      <c r="F25622">
        <v>13130161</v>
      </c>
      <c r="G25622" t="s">
        <v>1171</v>
      </c>
      <c r="H25622" s="21">
        <v>633.66999999999996</v>
      </c>
    </row>
    <row r="25623" spans="1:8" customFormat="1" x14ac:dyDescent="0.25">
      <c r="A25623" t="str">
        <f>"3110114"</f>
        <v>3110114</v>
      </c>
      <c r="B25623" t="s">
        <v>4537</v>
      </c>
      <c r="C25623" t="s">
        <v>269</v>
      </c>
      <c r="D25623" s="21" t="s">
        <v>34</v>
      </c>
      <c r="E25623" s="21" t="s">
        <v>71</v>
      </c>
      <c r="F25623">
        <v>11310060</v>
      </c>
      <c r="G25623" t="s">
        <v>2448</v>
      </c>
      <c r="H25623" s="21">
        <v>633.66999999999996</v>
      </c>
    </row>
    <row r="25624" spans="1:8" customFormat="1" x14ac:dyDescent="0.25">
      <c r="A25624" t="str">
        <f>"95114"</f>
        <v>95114</v>
      </c>
      <c r="B25624" t="s">
        <v>11014</v>
      </c>
      <c r="C25624" t="s">
        <v>33</v>
      </c>
      <c r="D25624" s="21" t="s">
        <v>34</v>
      </c>
      <c r="E25624" s="21" t="s">
        <v>71</v>
      </c>
      <c r="F25624">
        <v>8950088</v>
      </c>
      <c r="G25624" t="s">
        <v>11015</v>
      </c>
      <c r="H25624" s="21">
        <v>633.66999999999996</v>
      </c>
    </row>
    <row r="25625" spans="1:8" customFormat="1" x14ac:dyDescent="0.25">
      <c r="A25625" t="str">
        <f>"1610140"</f>
        <v>1610140</v>
      </c>
      <c r="B25625" t="s">
        <v>4128</v>
      </c>
      <c r="C25625" t="s">
        <v>40</v>
      </c>
      <c r="D25625" s="21" t="s">
        <v>34</v>
      </c>
      <c r="E25625" s="21" t="s">
        <v>71</v>
      </c>
      <c r="F25625">
        <v>10160013</v>
      </c>
      <c r="G25625" t="s">
        <v>12672</v>
      </c>
      <c r="H25625" s="21">
        <v>633.66999999999996</v>
      </c>
    </row>
    <row r="25626" spans="1:8" customFormat="1" x14ac:dyDescent="0.25">
      <c r="A25626" t="str">
        <f>"7917442"</f>
        <v>7917442</v>
      </c>
      <c r="B25626" t="s">
        <v>19544</v>
      </c>
      <c r="C25626" t="s">
        <v>19545</v>
      </c>
      <c r="D25626" s="21" t="s">
        <v>34</v>
      </c>
      <c r="E25626" s="21" t="s">
        <v>71</v>
      </c>
      <c r="F25626">
        <v>10790022</v>
      </c>
      <c r="G25626" t="s">
        <v>7916</v>
      </c>
      <c r="H25626" s="21">
        <v>633.66999999999996</v>
      </c>
    </row>
    <row r="25627" spans="1:8" customFormat="1" x14ac:dyDescent="0.25">
      <c r="A25627" t="str">
        <f>"6212279"</f>
        <v>6212279</v>
      </c>
      <c r="B25627" t="s">
        <v>1349</v>
      </c>
      <c r="C25627" t="s">
        <v>114</v>
      </c>
      <c r="D25627" s="21" t="s">
        <v>34</v>
      </c>
      <c r="E25627" s="21" t="s">
        <v>71</v>
      </c>
      <c r="F25627">
        <v>7620011</v>
      </c>
      <c r="G25627" t="s">
        <v>10839</v>
      </c>
      <c r="H25627" s="21">
        <v>633.66999999999996</v>
      </c>
    </row>
    <row r="25628" spans="1:8" customFormat="1" x14ac:dyDescent="0.25">
      <c r="A25628" t="str">
        <f>"333649"</f>
        <v>333649</v>
      </c>
      <c r="B25628" t="s">
        <v>18250</v>
      </c>
      <c r="C25628" t="s">
        <v>2276</v>
      </c>
      <c r="D25628" s="21" t="s">
        <v>34</v>
      </c>
      <c r="E25628" s="21" t="s">
        <v>71</v>
      </c>
      <c r="F25628">
        <v>10330011</v>
      </c>
      <c r="G25628" t="s">
        <v>1789</v>
      </c>
      <c r="H25628" s="21">
        <v>633.66999999999996</v>
      </c>
    </row>
    <row r="25629" spans="1:8" customFormat="1" x14ac:dyDescent="0.25">
      <c r="A25629" t="str">
        <f>"9141287"</f>
        <v>9141287</v>
      </c>
      <c r="B25629" t="s">
        <v>67</v>
      </c>
      <c r="C25629" t="s">
        <v>139</v>
      </c>
      <c r="D25629" s="21" t="s">
        <v>34</v>
      </c>
      <c r="E25629" s="21" t="s">
        <v>71</v>
      </c>
      <c r="F25629">
        <v>8910914</v>
      </c>
      <c r="G25629" t="s">
        <v>3302</v>
      </c>
      <c r="H25629" s="21">
        <v>633.66999999999996</v>
      </c>
    </row>
    <row r="25630" spans="1:8" customFormat="1" x14ac:dyDescent="0.25">
      <c r="A25630" t="str">
        <f>"6110103"</f>
        <v>6110103</v>
      </c>
      <c r="B25630" t="s">
        <v>146</v>
      </c>
      <c r="C25630" t="s">
        <v>412</v>
      </c>
      <c r="D25630" s="21" t="s">
        <v>34</v>
      </c>
      <c r="E25630" s="21" t="s">
        <v>254</v>
      </c>
      <c r="F25630">
        <v>9610101</v>
      </c>
      <c r="G25630" t="s">
        <v>3969</v>
      </c>
      <c r="H25630" s="21">
        <v>633.66999999999996</v>
      </c>
    </row>
    <row r="25631" spans="1:8" customFormat="1" x14ac:dyDescent="0.25">
      <c r="A25631" t="str">
        <f>"5326301"</f>
        <v>5326301</v>
      </c>
      <c r="B25631" t="s">
        <v>20811</v>
      </c>
      <c r="C25631" t="s">
        <v>55</v>
      </c>
      <c r="D25631" s="21" t="s">
        <v>34</v>
      </c>
      <c r="E25631" s="21" t="s">
        <v>71</v>
      </c>
      <c r="F25631">
        <v>12530046</v>
      </c>
      <c r="G25631" t="s">
        <v>10191</v>
      </c>
      <c r="H25631" s="21">
        <v>633.66999999999996</v>
      </c>
    </row>
    <row r="25632" spans="1:8" customFormat="1" x14ac:dyDescent="0.25">
      <c r="A25632" t="str">
        <f>"364722"</f>
        <v>364722</v>
      </c>
      <c r="B25632" t="s">
        <v>17888</v>
      </c>
      <c r="C25632" t="s">
        <v>415</v>
      </c>
      <c r="D25632" s="21" t="s">
        <v>34</v>
      </c>
      <c r="E25632" s="21" t="s">
        <v>35</v>
      </c>
      <c r="F25632">
        <v>4360721</v>
      </c>
      <c r="G25632" t="s">
        <v>11172</v>
      </c>
      <c r="H25632" s="21">
        <v>633.66999999999996</v>
      </c>
    </row>
    <row r="25633" spans="1:8" customFormat="1" x14ac:dyDescent="0.25">
      <c r="A25633" t="str">
        <f>"2513953"</f>
        <v>2513953</v>
      </c>
      <c r="B25633" t="s">
        <v>18461</v>
      </c>
      <c r="C25633" t="s">
        <v>639</v>
      </c>
      <c r="D25633" s="21" t="s">
        <v>34</v>
      </c>
      <c r="E25633" s="21" t="s">
        <v>1089</v>
      </c>
      <c r="F25633">
        <v>2250033</v>
      </c>
      <c r="G25633" t="s">
        <v>4951</v>
      </c>
      <c r="H25633" s="21">
        <v>633.66999999999996</v>
      </c>
    </row>
    <row r="25634" spans="1:8" customFormat="1" x14ac:dyDescent="0.25">
      <c r="A25634" t="str">
        <f>"5417169"</f>
        <v>5417169</v>
      </c>
      <c r="B25634" t="s">
        <v>589</v>
      </c>
      <c r="C25634" t="s">
        <v>267</v>
      </c>
      <c r="D25634" s="21" t="s">
        <v>34</v>
      </c>
      <c r="E25634" s="21" t="s">
        <v>254</v>
      </c>
      <c r="F25634">
        <v>6540019</v>
      </c>
      <c r="G25634" t="s">
        <v>6413</v>
      </c>
      <c r="H25634" s="21">
        <v>633.66999999999996</v>
      </c>
    </row>
    <row r="25635" spans="1:8" customFormat="1" x14ac:dyDescent="0.25">
      <c r="A25635" t="str">
        <f>"83295"</f>
        <v>83295</v>
      </c>
      <c r="B25635" t="s">
        <v>3082</v>
      </c>
      <c r="C25635" t="s">
        <v>1841</v>
      </c>
      <c r="D25635" s="21" t="s">
        <v>34</v>
      </c>
      <c r="E25635" s="21" t="s">
        <v>254</v>
      </c>
      <c r="F25635">
        <v>13830031</v>
      </c>
      <c r="G25635" t="s">
        <v>8301</v>
      </c>
      <c r="H25635" s="21">
        <v>633.66999999999996</v>
      </c>
    </row>
    <row r="25636" spans="1:8" customFormat="1" x14ac:dyDescent="0.25">
      <c r="A25636" t="str">
        <f>"1610016"</f>
        <v>1610016</v>
      </c>
      <c r="B25636" t="s">
        <v>1185</v>
      </c>
      <c r="C25636" t="s">
        <v>169</v>
      </c>
      <c r="D25636" s="21" t="s">
        <v>34</v>
      </c>
      <c r="E25636" s="21" t="s">
        <v>71</v>
      </c>
      <c r="F25636">
        <v>10160069</v>
      </c>
      <c r="G25636" t="s">
        <v>5379</v>
      </c>
      <c r="H25636" s="21">
        <v>633.66999999999996</v>
      </c>
    </row>
    <row r="25637" spans="1:8" customFormat="1" x14ac:dyDescent="0.25">
      <c r="A25637" t="str">
        <f>"4258"</f>
        <v>4258</v>
      </c>
      <c r="B25637" t="s">
        <v>4128</v>
      </c>
      <c r="C25637" t="s">
        <v>267</v>
      </c>
      <c r="D25637" s="21" t="s">
        <v>34</v>
      </c>
      <c r="E25637" s="21" t="s">
        <v>1089</v>
      </c>
      <c r="F25637">
        <v>1420149</v>
      </c>
      <c r="G25637" t="s">
        <v>818</v>
      </c>
      <c r="H25637" s="21">
        <v>633.66999999999996</v>
      </c>
    </row>
    <row r="25638" spans="1:8" customFormat="1" x14ac:dyDescent="0.25">
      <c r="A25638" t="str">
        <f>"5957440"</f>
        <v>5957440</v>
      </c>
      <c r="B25638" t="s">
        <v>18547</v>
      </c>
      <c r="C25638" t="s">
        <v>453</v>
      </c>
      <c r="D25638" s="21" t="s">
        <v>34</v>
      </c>
      <c r="E25638" s="21" t="s">
        <v>71</v>
      </c>
      <c r="F25638">
        <v>7590176</v>
      </c>
      <c r="G25638" t="s">
        <v>4079</v>
      </c>
      <c r="H25638" s="21">
        <v>633.66999999999996</v>
      </c>
    </row>
    <row r="25639" spans="1:8" customFormat="1" x14ac:dyDescent="0.25">
      <c r="A25639" t="str">
        <f>"2922737"</f>
        <v>2922737</v>
      </c>
      <c r="B25639" t="s">
        <v>18201</v>
      </c>
      <c r="C25639" t="s">
        <v>11062</v>
      </c>
      <c r="D25639" s="21" t="s">
        <v>34</v>
      </c>
      <c r="E25639" s="21" t="s">
        <v>254</v>
      </c>
      <c r="F25639">
        <v>3290215</v>
      </c>
      <c r="G25639" t="s">
        <v>5058</v>
      </c>
      <c r="H25639" s="21">
        <v>633.66999999999996</v>
      </c>
    </row>
    <row r="25640" spans="1:8" customFormat="1" x14ac:dyDescent="0.25">
      <c r="A25640" t="str">
        <f>"4428830"</f>
        <v>4428830</v>
      </c>
      <c r="B25640" t="s">
        <v>1972</v>
      </c>
      <c r="C25640" t="s">
        <v>65</v>
      </c>
      <c r="D25640" s="21" t="s">
        <v>34</v>
      </c>
      <c r="E25640" s="21" t="s">
        <v>35</v>
      </c>
      <c r="F25640">
        <v>12440017</v>
      </c>
      <c r="G25640" t="s">
        <v>7683</v>
      </c>
      <c r="H25640" s="21">
        <v>633.41999999999996</v>
      </c>
    </row>
    <row r="25641" spans="1:8" customFormat="1" x14ac:dyDescent="0.25">
      <c r="A25641" t="str">
        <f>"2936853"</f>
        <v>2936853</v>
      </c>
      <c r="B25641" t="s">
        <v>5613</v>
      </c>
      <c r="C25641" t="s">
        <v>5384</v>
      </c>
      <c r="D25641" s="21" t="s">
        <v>34</v>
      </c>
      <c r="E25641" s="21" t="s">
        <v>71</v>
      </c>
      <c r="F25641">
        <v>3290228</v>
      </c>
      <c r="G25641" t="s">
        <v>8738</v>
      </c>
      <c r="H25641" s="21">
        <v>633.41999999999996</v>
      </c>
    </row>
    <row r="25642" spans="1:8" customFormat="1" x14ac:dyDescent="0.25">
      <c r="A25642" t="str">
        <f>"2931683"</f>
        <v>2931683</v>
      </c>
      <c r="B25642" t="s">
        <v>7544</v>
      </c>
      <c r="C25642" t="s">
        <v>547</v>
      </c>
      <c r="D25642" s="21" t="s">
        <v>34</v>
      </c>
      <c r="E25642" s="21" t="s">
        <v>35</v>
      </c>
      <c r="F25642">
        <v>3290044</v>
      </c>
      <c r="G25642" t="s">
        <v>3897</v>
      </c>
      <c r="H25642" s="21">
        <v>633.41999999999996</v>
      </c>
    </row>
    <row r="25643" spans="1:8" customFormat="1" x14ac:dyDescent="0.25">
      <c r="A25643" t="str">
        <f>"9535776"</f>
        <v>9535776</v>
      </c>
      <c r="B25643" t="s">
        <v>22076</v>
      </c>
      <c r="C25643" t="s">
        <v>22077</v>
      </c>
      <c r="D25643" s="21" t="s">
        <v>34</v>
      </c>
      <c r="E25643" s="21" t="s">
        <v>35</v>
      </c>
      <c r="F25643">
        <v>8951273</v>
      </c>
      <c r="G25643" t="s">
        <v>2382</v>
      </c>
      <c r="H25643" s="21">
        <v>633.29</v>
      </c>
    </row>
    <row r="25644" spans="1:8" customFormat="1" x14ac:dyDescent="0.25">
      <c r="A25644" t="str">
        <f>"4450980"</f>
        <v>4450980</v>
      </c>
      <c r="B25644" t="s">
        <v>27861</v>
      </c>
      <c r="C25644" t="s">
        <v>288</v>
      </c>
      <c r="D25644" s="21" t="s">
        <v>34</v>
      </c>
      <c r="E25644" s="21" t="s">
        <v>35</v>
      </c>
      <c r="F25644">
        <v>12440136</v>
      </c>
      <c r="G25644" t="s">
        <v>3271</v>
      </c>
      <c r="H25644" s="21">
        <v>633.29</v>
      </c>
    </row>
    <row r="25645" spans="1:8" customFormat="1" x14ac:dyDescent="0.25">
      <c r="A25645" t="str">
        <f>"858853"</f>
        <v>858853</v>
      </c>
      <c r="B25645" t="s">
        <v>19092</v>
      </c>
      <c r="C25645" t="s">
        <v>712</v>
      </c>
      <c r="D25645" s="21" t="s">
        <v>34</v>
      </c>
      <c r="E25645" s="21" t="s">
        <v>71</v>
      </c>
      <c r="F25645">
        <v>12850136</v>
      </c>
      <c r="G25645" t="s">
        <v>2536</v>
      </c>
      <c r="H25645" s="21">
        <v>633.16999999999996</v>
      </c>
    </row>
    <row r="25646" spans="1:8" customFormat="1" x14ac:dyDescent="0.25">
      <c r="A25646" t="str">
        <f>"2939602"</f>
        <v>2939602</v>
      </c>
      <c r="B25646" t="s">
        <v>1986</v>
      </c>
      <c r="C25646" t="s">
        <v>249</v>
      </c>
      <c r="D25646" s="21" t="s">
        <v>34</v>
      </c>
      <c r="E25646" s="21" t="s">
        <v>71</v>
      </c>
      <c r="F25646">
        <v>3290207</v>
      </c>
      <c r="G25646" t="s">
        <v>8805</v>
      </c>
      <c r="H25646" s="21">
        <v>633.16999999999996</v>
      </c>
    </row>
    <row r="25647" spans="1:8" customFormat="1" x14ac:dyDescent="0.25">
      <c r="A25647" t="str">
        <f>"566010"</f>
        <v>566010</v>
      </c>
      <c r="B25647" t="s">
        <v>17508</v>
      </c>
      <c r="C25647" t="s">
        <v>822</v>
      </c>
      <c r="D25647" s="21" t="s">
        <v>34</v>
      </c>
      <c r="E25647" s="21" t="s">
        <v>254</v>
      </c>
      <c r="F25647">
        <v>3560066</v>
      </c>
      <c r="G25647" t="s">
        <v>1156</v>
      </c>
      <c r="H25647" s="21">
        <v>633.16999999999996</v>
      </c>
    </row>
    <row r="25648" spans="1:8" customFormat="1" x14ac:dyDescent="0.25">
      <c r="A25648" t="str">
        <f>"686956"</f>
        <v>686956</v>
      </c>
      <c r="B25648" t="s">
        <v>20032</v>
      </c>
      <c r="C25648" t="s">
        <v>33</v>
      </c>
      <c r="D25648" s="21" t="s">
        <v>34</v>
      </c>
      <c r="E25648" s="21" t="s">
        <v>71</v>
      </c>
      <c r="F25648">
        <v>6680011</v>
      </c>
      <c r="G25648" t="s">
        <v>1524</v>
      </c>
      <c r="H25648" s="21">
        <v>633.16999999999996</v>
      </c>
    </row>
    <row r="25649" spans="1:8" customFormat="1" x14ac:dyDescent="0.25">
      <c r="A25649" t="str">
        <f>"2924442"</f>
        <v>2924442</v>
      </c>
      <c r="B25649" t="s">
        <v>6195</v>
      </c>
      <c r="C25649" t="s">
        <v>151</v>
      </c>
      <c r="D25649" s="21" t="s">
        <v>34</v>
      </c>
      <c r="E25649" s="21" t="s">
        <v>35</v>
      </c>
      <c r="F25649">
        <v>3290023</v>
      </c>
      <c r="G25649" t="s">
        <v>3883</v>
      </c>
      <c r="H25649" s="21">
        <v>633.16999999999996</v>
      </c>
    </row>
    <row r="25650" spans="1:8" customFormat="1" x14ac:dyDescent="0.25">
      <c r="A25650" t="str">
        <f>"5428966"</f>
        <v>5428966</v>
      </c>
      <c r="B25650" t="s">
        <v>2381</v>
      </c>
      <c r="C25650" t="s">
        <v>246</v>
      </c>
      <c r="D25650" s="21" t="s">
        <v>34</v>
      </c>
      <c r="E25650" s="21" t="s">
        <v>35</v>
      </c>
      <c r="F25650">
        <v>6540040</v>
      </c>
      <c r="G25650" t="s">
        <v>256</v>
      </c>
      <c r="H25650" s="21">
        <v>633.16999999999996</v>
      </c>
    </row>
    <row r="25651" spans="1:8" customFormat="1" x14ac:dyDescent="0.25">
      <c r="A25651" t="str">
        <f>"3723982"</f>
        <v>3723982</v>
      </c>
      <c r="B25651" t="s">
        <v>15838</v>
      </c>
      <c r="C25651" t="s">
        <v>249</v>
      </c>
      <c r="D25651" s="21" t="s">
        <v>34</v>
      </c>
      <c r="E25651" s="21" t="s">
        <v>71</v>
      </c>
      <c r="F25651">
        <v>4370307</v>
      </c>
      <c r="G25651" t="s">
        <v>7652</v>
      </c>
      <c r="H25651" s="21">
        <v>633.16999999999996</v>
      </c>
    </row>
    <row r="25652" spans="1:8" customFormat="1" x14ac:dyDescent="0.25">
      <c r="A25652" t="str">
        <f>"2922086"</f>
        <v>2922086</v>
      </c>
      <c r="B25652" t="s">
        <v>21140</v>
      </c>
      <c r="C25652" t="s">
        <v>712</v>
      </c>
      <c r="D25652" s="21" t="s">
        <v>34</v>
      </c>
      <c r="E25652" s="21" t="s">
        <v>35</v>
      </c>
      <c r="F25652">
        <v>7590061</v>
      </c>
      <c r="G25652" t="s">
        <v>1207</v>
      </c>
      <c r="H25652" s="21">
        <v>633.16999999999996</v>
      </c>
    </row>
    <row r="25653" spans="1:8" customFormat="1" x14ac:dyDescent="0.25">
      <c r="A25653" t="str">
        <f>"2616822"</f>
        <v>2616822</v>
      </c>
      <c r="B25653" t="s">
        <v>6193</v>
      </c>
      <c r="C25653" t="s">
        <v>249</v>
      </c>
      <c r="D25653" s="21" t="s">
        <v>34</v>
      </c>
      <c r="E25653" s="21" t="s">
        <v>71</v>
      </c>
      <c r="F25653">
        <v>1260045</v>
      </c>
      <c r="G25653" t="s">
        <v>401</v>
      </c>
      <c r="H25653" s="21">
        <v>633.16999999999996</v>
      </c>
    </row>
    <row r="25654" spans="1:8" customFormat="1" x14ac:dyDescent="0.25">
      <c r="A25654" t="str">
        <f>"8611939"</f>
        <v>8611939</v>
      </c>
      <c r="B25654" t="s">
        <v>17708</v>
      </c>
      <c r="C25654" t="s">
        <v>20929</v>
      </c>
      <c r="D25654" s="21" t="s">
        <v>34</v>
      </c>
      <c r="E25654" s="21" t="s">
        <v>71</v>
      </c>
      <c r="F25654">
        <v>10860017</v>
      </c>
      <c r="G25654" t="s">
        <v>2439</v>
      </c>
      <c r="H25654" s="21">
        <v>633.16999999999996</v>
      </c>
    </row>
    <row r="25655" spans="1:8" customFormat="1" x14ac:dyDescent="0.25">
      <c r="A25655" t="str">
        <f>"8523305"</f>
        <v>8523305</v>
      </c>
      <c r="B25655" t="s">
        <v>8478</v>
      </c>
      <c r="C25655" t="s">
        <v>90</v>
      </c>
      <c r="D25655" s="21" t="s">
        <v>34</v>
      </c>
      <c r="E25655" s="21" t="s">
        <v>35</v>
      </c>
      <c r="F25655">
        <v>3350021</v>
      </c>
      <c r="G25655" t="s">
        <v>1758</v>
      </c>
      <c r="H25655" s="21">
        <v>633.16999999999996</v>
      </c>
    </row>
    <row r="25656" spans="1:8" customFormat="1" x14ac:dyDescent="0.25">
      <c r="A25656" t="str">
        <f>"3715035"</f>
        <v>3715035</v>
      </c>
      <c r="B25656" t="s">
        <v>21552</v>
      </c>
      <c r="C25656" t="s">
        <v>209</v>
      </c>
      <c r="D25656" s="21" t="s">
        <v>34</v>
      </c>
      <c r="E25656" s="21" t="s">
        <v>71</v>
      </c>
      <c r="F25656">
        <v>4370729</v>
      </c>
      <c r="G25656" t="s">
        <v>15423</v>
      </c>
      <c r="H25656" s="21">
        <v>633.16999999999996</v>
      </c>
    </row>
    <row r="25657" spans="1:8" customFormat="1" x14ac:dyDescent="0.25">
      <c r="A25657" t="str">
        <f>"7216819"</f>
        <v>7216819</v>
      </c>
      <c r="B25657" t="s">
        <v>11376</v>
      </c>
      <c r="C25657" t="s">
        <v>712</v>
      </c>
      <c r="D25657" s="21" t="s">
        <v>34</v>
      </c>
      <c r="E25657" s="21" t="s">
        <v>71</v>
      </c>
      <c r="F25657">
        <v>12720016</v>
      </c>
      <c r="G25657" t="s">
        <v>11791</v>
      </c>
      <c r="H25657" s="21">
        <v>633.16999999999996</v>
      </c>
    </row>
    <row r="25658" spans="1:8" customFormat="1" x14ac:dyDescent="0.25">
      <c r="A25658" t="str">
        <f>"2215031"</f>
        <v>2215031</v>
      </c>
      <c r="B25658" t="s">
        <v>3543</v>
      </c>
      <c r="C25658" t="s">
        <v>462</v>
      </c>
      <c r="D25658" s="21" t="s">
        <v>34</v>
      </c>
      <c r="E25658" s="21" t="s">
        <v>71</v>
      </c>
      <c r="F25658">
        <v>3220038</v>
      </c>
      <c r="G25658" t="s">
        <v>27039</v>
      </c>
      <c r="H25658" s="21">
        <v>633.16999999999996</v>
      </c>
    </row>
    <row r="25659" spans="1:8" customFormat="1" x14ac:dyDescent="0.25">
      <c r="A25659" t="str">
        <f>"15991"</f>
        <v>15991</v>
      </c>
      <c r="B25659" t="s">
        <v>5528</v>
      </c>
      <c r="C25659" t="s">
        <v>239</v>
      </c>
      <c r="D25659" s="21" t="s">
        <v>34</v>
      </c>
      <c r="E25659" s="21" t="s">
        <v>254</v>
      </c>
      <c r="F25659">
        <v>1150303</v>
      </c>
      <c r="G25659" t="s">
        <v>5809</v>
      </c>
      <c r="H25659" s="21">
        <v>632.91999999999996</v>
      </c>
    </row>
    <row r="25660" spans="1:8" customFormat="1" x14ac:dyDescent="0.25">
      <c r="A25660" t="str">
        <f>"7519971"</f>
        <v>7519971</v>
      </c>
      <c r="B25660" t="s">
        <v>18575</v>
      </c>
      <c r="C25660" t="s">
        <v>18576</v>
      </c>
      <c r="D25660" s="21" t="s">
        <v>34</v>
      </c>
      <c r="E25660" s="21" t="s">
        <v>35</v>
      </c>
      <c r="F25660">
        <v>8751260</v>
      </c>
      <c r="G25660" t="s">
        <v>10641</v>
      </c>
      <c r="H25660" s="21">
        <v>632.91999999999996</v>
      </c>
    </row>
    <row r="25661" spans="1:8" customFormat="1" x14ac:dyDescent="0.25">
      <c r="A25661" t="str">
        <f>"3722786"</f>
        <v>3722786</v>
      </c>
      <c r="B25661" t="s">
        <v>2854</v>
      </c>
      <c r="C25661" t="s">
        <v>879</v>
      </c>
      <c r="D25661" s="21" t="s">
        <v>34</v>
      </c>
      <c r="E25661" s="21" t="s">
        <v>254</v>
      </c>
      <c r="F25661">
        <v>4370102</v>
      </c>
      <c r="G25661" t="s">
        <v>10707</v>
      </c>
      <c r="H25661" s="21">
        <v>632.91999999999996</v>
      </c>
    </row>
    <row r="25662" spans="1:8" customFormat="1" x14ac:dyDescent="0.25">
      <c r="A25662" t="str">
        <f>"9313425"</f>
        <v>9313425</v>
      </c>
      <c r="B25662" t="s">
        <v>9122</v>
      </c>
      <c r="C25662" t="s">
        <v>209</v>
      </c>
      <c r="D25662" s="21" t="s">
        <v>34</v>
      </c>
      <c r="E25662" s="21" t="s">
        <v>254</v>
      </c>
      <c r="F25662">
        <v>8930368</v>
      </c>
      <c r="G25662" t="s">
        <v>508</v>
      </c>
      <c r="H25662" s="21">
        <v>632.91999999999996</v>
      </c>
    </row>
    <row r="25663" spans="1:8" customFormat="1" x14ac:dyDescent="0.25">
      <c r="A25663" t="str">
        <f>"4441396"</f>
        <v>4441396</v>
      </c>
      <c r="B25663" t="s">
        <v>7257</v>
      </c>
      <c r="C25663" t="s">
        <v>719</v>
      </c>
      <c r="D25663" s="21" t="s">
        <v>34</v>
      </c>
      <c r="E25663" s="21" t="s">
        <v>71</v>
      </c>
      <c r="F25663">
        <v>12440024</v>
      </c>
      <c r="G25663" t="s">
        <v>2205</v>
      </c>
      <c r="H25663" s="21">
        <v>632.91999999999996</v>
      </c>
    </row>
    <row r="25664" spans="1:8" customFormat="1" x14ac:dyDescent="0.25">
      <c r="A25664" t="str">
        <f>"7817171"</f>
        <v>7817171</v>
      </c>
      <c r="B25664" t="s">
        <v>4591</v>
      </c>
      <c r="C25664" t="s">
        <v>547</v>
      </c>
      <c r="D25664" s="21" t="s">
        <v>34</v>
      </c>
      <c r="E25664" s="21" t="s">
        <v>254</v>
      </c>
      <c r="F25664">
        <v>8780890</v>
      </c>
      <c r="G25664" t="s">
        <v>6456</v>
      </c>
      <c r="H25664" s="21">
        <v>632.91999999999996</v>
      </c>
    </row>
    <row r="25665" spans="1:8" customFormat="1" x14ac:dyDescent="0.25">
      <c r="A25665" t="str">
        <f>"947416"</f>
        <v>947416</v>
      </c>
      <c r="B25665" t="s">
        <v>15746</v>
      </c>
      <c r="C25665" t="s">
        <v>336</v>
      </c>
      <c r="D25665" s="21" t="s">
        <v>34</v>
      </c>
      <c r="E25665" s="21" t="s">
        <v>71</v>
      </c>
      <c r="F25665">
        <v>8940482</v>
      </c>
      <c r="G25665" t="s">
        <v>2560</v>
      </c>
      <c r="H25665" s="21">
        <v>632.91999999999996</v>
      </c>
    </row>
    <row r="25666" spans="1:8" customFormat="1" x14ac:dyDescent="0.25">
      <c r="A25666" t="str">
        <f>"5110652"</f>
        <v>5110652</v>
      </c>
      <c r="B25666" t="s">
        <v>7404</v>
      </c>
      <c r="C25666" t="s">
        <v>598</v>
      </c>
      <c r="D25666" s="21" t="s">
        <v>34</v>
      </c>
      <c r="E25666" s="21" t="s">
        <v>254</v>
      </c>
      <c r="F25666">
        <v>6510009</v>
      </c>
      <c r="G25666" t="s">
        <v>26950</v>
      </c>
      <c r="H25666" s="21">
        <v>632.66999999999996</v>
      </c>
    </row>
    <row r="25667" spans="1:8" customFormat="1" x14ac:dyDescent="0.25">
      <c r="A25667" t="str">
        <f>"294556"</f>
        <v>294556</v>
      </c>
      <c r="B25667" t="s">
        <v>2075</v>
      </c>
      <c r="C25667" t="s">
        <v>1025</v>
      </c>
      <c r="D25667" s="21" t="s">
        <v>34</v>
      </c>
      <c r="E25667" s="21" t="s">
        <v>254</v>
      </c>
      <c r="F25667">
        <v>3290006</v>
      </c>
      <c r="G25667" t="s">
        <v>13009</v>
      </c>
      <c r="H25667" s="21">
        <v>632.66999999999996</v>
      </c>
    </row>
    <row r="25668" spans="1:8" customFormat="1" x14ac:dyDescent="0.25">
      <c r="A25668" t="str">
        <f>"1414092"</f>
        <v>1414092</v>
      </c>
      <c r="B25668" t="s">
        <v>8097</v>
      </c>
      <c r="C25668" t="s">
        <v>55</v>
      </c>
      <c r="D25668" s="21" t="s">
        <v>34</v>
      </c>
      <c r="E25668" s="21" t="s">
        <v>35</v>
      </c>
      <c r="F25668">
        <v>9140072</v>
      </c>
      <c r="G25668" t="s">
        <v>4810</v>
      </c>
      <c r="H25668" s="21">
        <v>632.66999999999996</v>
      </c>
    </row>
    <row r="25669" spans="1:8" customFormat="1" x14ac:dyDescent="0.25">
      <c r="A25669" t="str">
        <f>"104699"</f>
        <v>104699</v>
      </c>
      <c r="B25669" t="s">
        <v>19697</v>
      </c>
      <c r="C25669" t="s">
        <v>484</v>
      </c>
      <c r="D25669" s="21" t="s">
        <v>34</v>
      </c>
      <c r="E25669" s="21" t="s">
        <v>254</v>
      </c>
      <c r="F25669">
        <v>6100007</v>
      </c>
      <c r="G25669" t="s">
        <v>9706</v>
      </c>
      <c r="H25669" s="21">
        <v>632.66999999999996</v>
      </c>
    </row>
    <row r="25670" spans="1:8" customFormat="1" x14ac:dyDescent="0.25">
      <c r="A25670" t="str">
        <f>"5946708"</f>
        <v>5946708</v>
      </c>
      <c r="B25670" t="s">
        <v>1103</v>
      </c>
      <c r="C25670" t="s">
        <v>87</v>
      </c>
      <c r="D25670" s="21" t="s">
        <v>34</v>
      </c>
      <c r="E25670" s="21" t="s">
        <v>35</v>
      </c>
      <c r="F25670">
        <v>7590331</v>
      </c>
      <c r="G25670" t="s">
        <v>4882</v>
      </c>
      <c r="H25670" s="21">
        <v>632.66999999999996</v>
      </c>
    </row>
    <row r="25671" spans="1:8" customFormat="1" x14ac:dyDescent="0.25">
      <c r="A25671" t="str">
        <f>"5810391"</f>
        <v>5810391</v>
      </c>
      <c r="B25671" t="s">
        <v>21855</v>
      </c>
      <c r="C25671" t="s">
        <v>60</v>
      </c>
      <c r="D25671" s="21" t="s">
        <v>34</v>
      </c>
      <c r="E25671" s="21" t="s">
        <v>35</v>
      </c>
      <c r="F25671">
        <v>2580076</v>
      </c>
      <c r="G25671" t="s">
        <v>3666</v>
      </c>
      <c r="H25671" s="21">
        <v>632.66999999999996</v>
      </c>
    </row>
    <row r="25672" spans="1:8" customFormat="1" x14ac:dyDescent="0.25">
      <c r="A25672" t="str">
        <f>"395587"</f>
        <v>395587</v>
      </c>
      <c r="B25672" t="s">
        <v>7572</v>
      </c>
      <c r="C25672" t="s">
        <v>209</v>
      </c>
      <c r="D25672" s="21" t="s">
        <v>34</v>
      </c>
      <c r="E25672" s="21" t="s">
        <v>71</v>
      </c>
      <c r="F25672">
        <v>2390007</v>
      </c>
      <c r="G25672" t="s">
        <v>3365</v>
      </c>
      <c r="H25672" s="21">
        <v>632.66999999999996</v>
      </c>
    </row>
    <row r="25673" spans="1:8" customFormat="1" x14ac:dyDescent="0.25">
      <c r="A25673" t="str">
        <f>"5963165"</f>
        <v>5963165</v>
      </c>
      <c r="B25673" t="s">
        <v>15115</v>
      </c>
      <c r="C25673" t="s">
        <v>171</v>
      </c>
      <c r="D25673" s="21" t="s">
        <v>34</v>
      </c>
      <c r="E25673" s="21" t="s">
        <v>71</v>
      </c>
      <c r="F25673">
        <v>7590050</v>
      </c>
      <c r="G25673" t="s">
        <v>473</v>
      </c>
      <c r="H25673" s="21">
        <v>632.66999999999996</v>
      </c>
    </row>
    <row r="25674" spans="1:8" customFormat="1" x14ac:dyDescent="0.25">
      <c r="A25674" t="str">
        <f>"2515731"</f>
        <v>2515731</v>
      </c>
      <c r="B25674" t="s">
        <v>19364</v>
      </c>
      <c r="C25674" t="s">
        <v>169</v>
      </c>
      <c r="D25674" s="21" t="s">
        <v>34</v>
      </c>
      <c r="E25674" s="21" t="s">
        <v>35</v>
      </c>
      <c r="F25674">
        <v>2250192</v>
      </c>
      <c r="G25674" t="s">
        <v>14058</v>
      </c>
      <c r="H25674" s="21">
        <v>632.66999999999996</v>
      </c>
    </row>
    <row r="25675" spans="1:8" customFormat="1" x14ac:dyDescent="0.25">
      <c r="A25675" t="str">
        <f>"5956736"</f>
        <v>5956736</v>
      </c>
      <c r="B25675" t="s">
        <v>4834</v>
      </c>
      <c r="C25675" t="s">
        <v>98</v>
      </c>
      <c r="D25675" s="21" t="s">
        <v>34</v>
      </c>
      <c r="E25675" s="21" t="s">
        <v>35</v>
      </c>
      <c r="F25675">
        <v>7590100</v>
      </c>
      <c r="G25675" t="s">
        <v>1660</v>
      </c>
      <c r="H25675" s="21">
        <v>632.66999999999996</v>
      </c>
    </row>
    <row r="25676" spans="1:8" customFormat="1" x14ac:dyDescent="0.25">
      <c r="A25676" t="str">
        <f>"0212288"</f>
        <v>0212288</v>
      </c>
      <c r="B25676" t="s">
        <v>9333</v>
      </c>
      <c r="C25676" t="s">
        <v>323</v>
      </c>
      <c r="D25676" s="21" t="s">
        <v>34</v>
      </c>
      <c r="E25676" s="21" t="s">
        <v>71</v>
      </c>
      <c r="F25676">
        <v>7021015</v>
      </c>
      <c r="G25676" t="s">
        <v>27639</v>
      </c>
      <c r="H25676" s="21">
        <v>632.66999999999996</v>
      </c>
    </row>
    <row r="25677" spans="1:8" customFormat="1" x14ac:dyDescent="0.25">
      <c r="A25677" t="str">
        <f>"419524"</f>
        <v>419524</v>
      </c>
      <c r="B25677" t="s">
        <v>27862</v>
      </c>
      <c r="C25677" t="s">
        <v>269</v>
      </c>
      <c r="D25677" s="21" t="s">
        <v>34</v>
      </c>
      <c r="E25677" s="21" t="s">
        <v>35</v>
      </c>
      <c r="F25677">
        <v>4410697</v>
      </c>
      <c r="G25677" t="s">
        <v>2490</v>
      </c>
      <c r="H25677" s="21">
        <v>632.66999999999996</v>
      </c>
    </row>
    <row r="25678" spans="1:8" customFormat="1" x14ac:dyDescent="0.25">
      <c r="A25678" t="str">
        <f>"1320787"</f>
        <v>1320787</v>
      </c>
      <c r="B25678" t="s">
        <v>2398</v>
      </c>
      <c r="C25678" t="s">
        <v>462</v>
      </c>
      <c r="D25678" s="21" t="s">
        <v>34</v>
      </c>
      <c r="E25678" s="21" t="s">
        <v>35</v>
      </c>
      <c r="F25678">
        <v>13130067</v>
      </c>
      <c r="G25678" t="s">
        <v>1420</v>
      </c>
      <c r="H25678" s="21">
        <v>632.66999999999996</v>
      </c>
    </row>
    <row r="25679" spans="1:8" customFormat="1" x14ac:dyDescent="0.25">
      <c r="A25679" t="str">
        <f>"667564"</f>
        <v>667564</v>
      </c>
      <c r="B25679" t="s">
        <v>19835</v>
      </c>
      <c r="C25679" t="s">
        <v>4842</v>
      </c>
      <c r="D25679" s="21" t="s">
        <v>34</v>
      </c>
      <c r="E25679" s="21" t="s">
        <v>1089</v>
      </c>
      <c r="F25679">
        <v>11660038</v>
      </c>
      <c r="G25679" t="s">
        <v>8493</v>
      </c>
      <c r="H25679" s="21">
        <v>632.66999999999996</v>
      </c>
    </row>
    <row r="25680" spans="1:8" customFormat="1" x14ac:dyDescent="0.25">
      <c r="A25680" t="str">
        <f>"686916"</f>
        <v>686916</v>
      </c>
      <c r="B25680" t="s">
        <v>18331</v>
      </c>
      <c r="C25680" t="s">
        <v>2365</v>
      </c>
      <c r="D25680" s="21" t="s">
        <v>34</v>
      </c>
      <c r="E25680" s="21" t="s">
        <v>1089</v>
      </c>
      <c r="F25680">
        <v>6680006</v>
      </c>
      <c r="G25680" t="s">
        <v>5266</v>
      </c>
      <c r="H25680" s="21">
        <v>632.66999999999996</v>
      </c>
    </row>
    <row r="25681" spans="1:8" customFormat="1" x14ac:dyDescent="0.25">
      <c r="A25681" t="str">
        <f>"473773"</f>
        <v>473773</v>
      </c>
      <c r="B25681" t="s">
        <v>18689</v>
      </c>
      <c r="C25681" t="s">
        <v>40</v>
      </c>
      <c r="D25681" s="21" t="s">
        <v>34</v>
      </c>
      <c r="E25681" s="21" t="s">
        <v>71</v>
      </c>
      <c r="F25681">
        <v>10470001</v>
      </c>
      <c r="G25681" t="s">
        <v>391</v>
      </c>
      <c r="H25681" s="21">
        <v>632.66999999999996</v>
      </c>
    </row>
    <row r="25682" spans="1:8" customFormat="1" x14ac:dyDescent="0.25">
      <c r="A25682" t="str">
        <f>"4912681"</f>
        <v>4912681</v>
      </c>
      <c r="B25682" t="s">
        <v>12570</v>
      </c>
      <c r="C25682" t="s">
        <v>3073</v>
      </c>
      <c r="D25682" s="21" t="s">
        <v>34</v>
      </c>
      <c r="E25682" s="21" t="s">
        <v>254</v>
      </c>
      <c r="F25682">
        <v>12490134</v>
      </c>
      <c r="G25682" t="s">
        <v>4880</v>
      </c>
      <c r="H25682" s="21">
        <v>632.66999999999996</v>
      </c>
    </row>
    <row r="25683" spans="1:8" customFormat="1" x14ac:dyDescent="0.25">
      <c r="A25683" t="str">
        <f>"7410636"</f>
        <v>7410636</v>
      </c>
      <c r="B25683" t="s">
        <v>20234</v>
      </c>
      <c r="C25683" t="s">
        <v>507</v>
      </c>
      <c r="D25683" s="21" t="s">
        <v>34</v>
      </c>
      <c r="E25683" s="21" t="s">
        <v>35</v>
      </c>
      <c r="F25683">
        <v>1740060</v>
      </c>
      <c r="G25683" t="s">
        <v>4907</v>
      </c>
      <c r="H25683" s="21">
        <v>632.66999999999996</v>
      </c>
    </row>
    <row r="25684" spans="1:8" customFormat="1" x14ac:dyDescent="0.25">
      <c r="A25684" t="str">
        <f>"8814519"</f>
        <v>8814519</v>
      </c>
      <c r="B25684" t="s">
        <v>1834</v>
      </c>
      <c r="C25684" t="s">
        <v>98</v>
      </c>
      <c r="D25684" s="21" t="s">
        <v>34</v>
      </c>
      <c r="E25684" s="21" t="s">
        <v>35</v>
      </c>
      <c r="F25684">
        <v>6880071</v>
      </c>
      <c r="G25684" t="s">
        <v>4226</v>
      </c>
      <c r="H25684" s="21">
        <v>632.66999999999996</v>
      </c>
    </row>
    <row r="25685" spans="1:8" customFormat="1" x14ac:dyDescent="0.25">
      <c r="A25685" t="str">
        <f>"5966306"</f>
        <v>5966306</v>
      </c>
      <c r="B25685" t="s">
        <v>5638</v>
      </c>
      <c r="C25685" t="s">
        <v>169</v>
      </c>
      <c r="D25685" s="21" t="s">
        <v>34</v>
      </c>
      <c r="E25685" s="21" t="s">
        <v>71</v>
      </c>
      <c r="F25685">
        <v>7590100</v>
      </c>
      <c r="G25685" t="s">
        <v>1660</v>
      </c>
      <c r="H25685" s="21">
        <v>632.66999999999996</v>
      </c>
    </row>
    <row r="25686" spans="1:8" customFormat="1" x14ac:dyDescent="0.25">
      <c r="A25686" t="str">
        <f>"6233675"</f>
        <v>6233675</v>
      </c>
      <c r="B25686" t="s">
        <v>11372</v>
      </c>
      <c r="C25686" t="s">
        <v>65</v>
      </c>
      <c r="D25686" s="21" t="s">
        <v>34</v>
      </c>
      <c r="E25686" s="21" t="s">
        <v>35</v>
      </c>
      <c r="F25686">
        <v>7620131</v>
      </c>
      <c r="G25686" t="s">
        <v>9562</v>
      </c>
      <c r="H25686" s="21">
        <v>632.66999999999996</v>
      </c>
    </row>
    <row r="25687" spans="1:8" customFormat="1" x14ac:dyDescent="0.25">
      <c r="A25687" t="str">
        <f>"7622821"</f>
        <v>7622821</v>
      </c>
      <c r="B25687" t="s">
        <v>11142</v>
      </c>
      <c r="C25687" t="s">
        <v>90</v>
      </c>
      <c r="D25687" s="21" t="s">
        <v>34</v>
      </c>
      <c r="E25687" s="21" t="s">
        <v>35</v>
      </c>
      <c r="F25687">
        <v>9270095</v>
      </c>
      <c r="G25687" t="s">
        <v>1681</v>
      </c>
      <c r="H25687" s="21">
        <v>632.66999999999996</v>
      </c>
    </row>
    <row r="25688" spans="1:8" customFormat="1" x14ac:dyDescent="0.25">
      <c r="A25688" t="str">
        <f>"1422059"</f>
        <v>1422059</v>
      </c>
      <c r="B25688" t="s">
        <v>435</v>
      </c>
      <c r="C25688" t="s">
        <v>249</v>
      </c>
      <c r="D25688" s="21" t="s">
        <v>34</v>
      </c>
      <c r="E25688" s="21" t="s">
        <v>35</v>
      </c>
      <c r="F25688">
        <v>9140012</v>
      </c>
      <c r="G25688" t="s">
        <v>26518</v>
      </c>
      <c r="H25688" s="21">
        <v>632.66999999999996</v>
      </c>
    </row>
    <row r="25689" spans="1:8" customFormat="1" x14ac:dyDescent="0.25">
      <c r="A25689" t="str">
        <f>"4710456"</f>
        <v>4710456</v>
      </c>
      <c r="B25689" t="s">
        <v>27863</v>
      </c>
      <c r="C25689" t="s">
        <v>187</v>
      </c>
      <c r="D25689" s="21" t="s">
        <v>34</v>
      </c>
      <c r="E25689" s="21" t="s">
        <v>254</v>
      </c>
      <c r="F25689">
        <v>10470006</v>
      </c>
      <c r="G25689" t="s">
        <v>1225</v>
      </c>
      <c r="H25689" s="21">
        <v>632.54</v>
      </c>
    </row>
    <row r="25690" spans="1:8" customFormat="1" x14ac:dyDescent="0.25">
      <c r="A25690" t="str">
        <f>"198731"</f>
        <v>198731</v>
      </c>
      <c r="B25690" t="s">
        <v>616</v>
      </c>
      <c r="C25690" t="s">
        <v>246</v>
      </c>
      <c r="D25690" s="21" t="s">
        <v>34</v>
      </c>
      <c r="E25690" s="21" t="s">
        <v>71</v>
      </c>
      <c r="F25690">
        <v>10240015</v>
      </c>
      <c r="G25690" t="s">
        <v>8589</v>
      </c>
      <c r="H25690" s="21">
        <v>632.54</v>
      </c>
    </row>
    <row r="25691" spans="1:8" customFormat="1" x14ac:dyDescent="0.25">
      <c r="A25691" t="str">
        <f>"2711758"</f>
        <v>2711758</v>
      </c>
      <c r="B25691" t="s">
        <v>3582</v>
      </c>
      <c r="C25691" t="s">
        <v>2072</v>
      </c>
      <c r="D25691" s="21" t="s">
        <v>34</v>
      </c>
      <c r="E25691" s="21" t="s">
        <v>254</v>
      </c>
      <c r="F25691">
        <v>9270177</v>
      </c>
      <c r="G25691" t="s">
        <v>10384</v>
      </c>
      <c r="H25691" s="21">
        <v>632.54</v>
      </c>
    </row>
    <row r="25692" spans="1:8" customFormat="1" x14ac:dyDescent="0.25">
      <c r="A25692" t="str">
        <f>"4219156"</f>
        <v>4219156</v>
      </c>
      <c r="B25692" t="s">
        <v>1959</v>
      </c>
      <c r="C25692" t="s">
        <v>1119</v>
      </c>
      <c r="D25692" s="21" t="s">
        <v>34</v>
      </c>
      <c r="E25692" s="21" t="s">
        <v>71</v>
      </c>
      <c r="F25692">
        <v>1420240</v>
      </c>
      <c r="G25692" t="s">
        <v>9179</v>
      </c>
      <c r="H25692" s="21">
        <v>632.41999999999996</v>
      </c>
    </row>
    <row r="25693" spans="1:8" customFormat="1" x14ac:dyDescent="0.25">
      <c r="A25693" t="str">
        <f>"8310772"</f>
        <v>8310772</v>
      </c>
      <c r="B25693" t="s">
        <v>1960</v>
      </c>
      <c r="C25693" t="s">
        <v>33</v>
      </c>
      <c r="D25693" s="21" t="s">
        <v>34</v>
      </c>
      <c r="E25693" s="21" t="s">
        <v>35</v>
      </c>
      <c r="F25693">
        <v>13830013</v>
      </c>
      <c r="G25693" t="s">
        <v>3374</v>
      </c>
      <c r="H25693" s="21">
        <v>632.41999999999996</v>
      </c>
    </row>
    <row r="25694" spans="1:8" customFormat="1" x14ac:dyDescent="0.25">
      <c r="A25694" t="str">
        <f>"3829193"</f>
        <v>3829193</v>
      </c>
      <c r="B25694" t="s">
        <v>19996</v>
      </c>
      <c r="C25694" t="s">
        <v>263</v>
      </c>
      <c r="D25694" s="21" t="s">
        <v>34</v>
      </c>
      <c r="E25694" s="21" t="s">
        <v>71</v>
      </c>
      <c r="F25694">
        <v>1380236</v>
      </c>
      <c r="G25694" t="s">
        <v>2876</v>
      </c>
      <c r="H25694" s="21">
        <v>632.16999999999996</v>
      </c>
    </row>
    <row r="25695" spans="1:8" customFormat="1" x14ac:dyDescent="0.25">
      <c r="A25695" t="str">
        <f>"3116209"</f>
        <v>3116209</v>
      </c>
      <c r="B25695" t="s">
        <v>12100</v>
      </c>
      <c r="C25695" t="s">
        <v>712</v>
      </c>
      <c r="D25695" s="21" t="s">
        <v>34</v>
      </c>
      <c r="E25695" s="21" t="s">
        <v>71</v>
      </c>
      <c r="F25695">
        <v>11310033</v>
      </c>
      <c r="G25695" t="s">
        <v>18036</v>
      </c>
      <c r="H25695" s="21">
        <v>632.16999999999996</v>
      </c>
    </row>
    <row r="25696" spans="1:8" customFormat="1" x14ac:dyDescent="0.25">
      <c r="A25696" t="str">
        <f>"9313419"</f>
        <v>9313419</v>
      </c>
      <c r="B25696" t="s">
        <v>27864</v>
      </c>
      <c r="C25696" t="s">
        <v>8198</v>
      </c>
      <c r="D25696" s="21" t="s">
        <v>34</v>
      </c>
      <c r="E25696" s="21" t="s">
        <v>35</v>
      </c>
      <c r="F25696">
        <v>11660021</v>
      </c>
      <c r="G25696" t="s">
        <v>16765</v>
      </c>
      <c r="H25696" s="21">
        <v>632.16999999999996</v>
      </c>
    </row>
    <row r="25697" spans="1:8" customFormat="1" x14ac:dyDescent="0.25">
      <c r="A25697" t="str">
        <f>"1313486"</f>
        <v>1313486</v>
      </c>
      <c r="B25697" t="s">
        <v>18380</v>
      </c>
      <c r="C25697" t="s">
        <v>267</v>
      </c>
      <c r="D25697" s="21" t="s">
        <v>34</v>
      </c>
      <c r="E25697" s="21" t="s">
        <v>254</v>
      </c>
      <c r="F25697">
        <v>13130156</v>
      </c>
      <c r="G25697" t="s">
        <v>16738</v>
      </c>
      <c r="H25697" s="21">
        <v>632.16999999999996</v>
      </c>
    </row>
    <row r="25698" spans="1:8" customFormat="1" x14ac:dyDescent="0.25">
      <c r="A25698" t="str">
        <f>"6217759"</f>
        <v>6217759</v>
      </c>
      <c r="B25698" t="s">
        <v>2218</v>
      </c>
      <c r="C25698" t="s">
        <v>288</v>
      </c>
      <c r="D25698" s="21" t="s">
        <v>34</v>
      </c>
      <c r="E25698" s="21" t="s">
        <v>35</v>
      </c>
      <c r="F25698">
        <v>7620100</v>
      </c>
      <c r="G25698" t="s">
        <v>145</v>
      </c>
      <c r="H25698" s="21">
        <v>632.16999999999996</v>
      </c>
    </row>
    <row r="25699" spans="1:8" customFormat="1" x14ac:dyDescent="0.25">
      <c r="A25699" t="str">
        <f>"3116045"</f>
        <v>3116045</v>
      </c>
      <c r="B25699" t="s">
        <v>18769</v>
      </c>
      <c r="C25699" t="s">
        <v>269</v>
      </c>
      <c r="D25699" s="21" t="s">
        <v>34</v>
      </c>
      <c r="E25699" s="21" t="s">
        <v>35</v>
      </c>
      <c r="F25699">
        <v>11310121</v>
      </c>
      <c r="G25699" t="s">
        <v>578</v>
      </c>
      <c r="H25699" s="21">
        <v>632.16999999999996</v>
      </c>
    </row>
    <row r="25700" spans="1:8" customFormat="1" x14ac:dyDescent="0.25">
      <c r="A25700" t="str">
        <f>"9237408"</f>
        <v>9237408</v>
      </c>
      <c r="B25700" t="s">
        <v>889</v>
      </c>
      <c r="C25700" t="s">
        <v>149</v>
      </c>
      <c r="D25700" s="21" t="s">
        <v>34</v>
      </c>
      <c r="E25700" s="21" t="s">
        <v>35</v>
      </c>
      <c r="F25700">
        <v>8920309</v>
      </c>
      <c r="G25700" t="s">
        <v>1894</v>
      </c>
      <c r="H25700" s="21">
        <v>632.16999999999996</v>
      </c>
    </row>
    <row r="25701" spans="1:8" customFormat="1" x14ac:dyDescent="0.25">
      <c r="A25701" t="str">
        <f>"038368"</f>
        <v>038368</v>
      </c>
      <c r="B25701" t="s">
        <v>19903</v>
      </c>
      <c r="C25701" t="s">
        <v>328</v>
      </c>
      <c r="D25701" s="21" t="s">
        <v>34</v>
      </c>
      <c r="E25701" s="21" t="s">
        <v>35</v>
      </c>
      <c r="F25701">
        <v>1030300</v>
      </c>
      <c r="G25701" t="s">
        <v>7676</v>
      </c>
      <c r="H25701" s="21">
        <v>632.16999999999996</v>
      </c>
    </row>
    <row r="25702" spans="1:8" customFormat="1" x14ac:dyDescent="0.25">
      <c r="A25702" t="str">
        <f>"3014173"</f>
        <v>3014173</v>
      </c>
      <c r="B25702" t="s">
        <v>21862</v>
      </c>
      <c r="C25702" t="s">
        <v>209</v>
      </c>
      <c r="D25702" s="21" t="s">
        <v>34</v>
      </c>
      <c r="E25702" s="21" t="s">
        <v>35</v>
      </c>
      <c r="F25702">
        <v>11300040</v>
      </c>
      <c r="G25702" t="s">
        <v>13373</v>
      </c>
      <c r="H25702" s="21">
        <v>632.16999999999996</v>
      </c>
    </row>
    <row r="25703" spans="1:8" customFormat="1" x14ac:dyDescent="0.25">
      <c r="A25703" t="str">
        <f>"4934663"</f>
        <v>4934663</v>
      </c>
      <c r="B25703" t="s">
        <v>2746</v>
      </c>
      <c r="C25703" t="s">
        <v>55</v>
      </c>
      <c r="D25703" s="21" t="s">
        <v>34</v>
      </c>
      <c r="E25703" s="21" t="s">
        <v>71</v>
      </c>
      <c r="F25703">
        <v>12490117</v>
      </c>
      <c r="G25703" t="s">
        <v>10141</v>
      </c>
      <c r="H25703" s="21">
        <v>632.16999999999996</v>
      </c>
    </row>
    <row r="25704" spans="1:8" customFormat="1" x14ac:dyDescent="0.25">
      <c r="A25704" t="str">
        <f>"8528315"</f>
        <v>8528315</v>
      </c>
      <c r="B25704" t="s">
        <v>4024</v>
      </c>
      <c r="C25704" t="s">
        <v>428</v>
      </c>
      <c r="D25704" s="21" t="s">
        <v>34</v>
      </c>
      <c r="E25704" s="21" t="s">
        <v>35</v>
      </c>
      <c r="F25704">
        <v>12850030</v>
      </c>
      <c r="G25704" t="s">
        <v>5078</v>
      </c>
      <c r="H25704" s="21">
        <v>632.16999999999996</v>
      </c>
    </row>
    <row r="25705" spans="1:8" customFormat="1" x14ac:dyDescent="0.25">
      <c r="A25705" t="str">
        <f>"5923104"</f>
        <v>5923104</v>
      </c>
      <c r="B25705" t="s">
        <v>3406</v>
      </c>
      <c r="C25705" t="s">
        <v>18103</v>
      </c>
      <c r="D25705" s="21" t="s">
        <v>34</v>
      </c>
      <c r="E25705" s="21" t="s">
        <v>35</v>
      </c>
      <c r="F25705">
        <v>7590012</v>
      </c>
      <c r="G25705" t="s">
        <v>15886</v>
      </c>
      <c r="H25705" s="21">
        <v>632.16999999999996</v>
      </c>
    </row>
    <row r="25706" spans="1:8" customFormat="1" x14ac:dyDescent="0.25">
      <c r="A25706" t="str">
        <f>"353524"</f>
        <v>353524</v>
      </c>
      <c r="B25706" t="s">
        <v>6974</v>
      </c>
      <c r="C25706" t="s">
        <v>598</v>
      </c>
      <c r="D25706" s="21" t="s">
        <v>34</v>
      </c>
      <c r="E25706" s="21" t="s">
        <v>254</v>
      </c>
      <c r="F25706">
        <v>3350095</v>
      </c>
      <c r="G25706" t="s">
        <v>5813</v>
      </c>
      <c r="H25706" s="21">
        <v>632.16999999999996</v>
      </c>
    </row>
    <row r="25707" spans="1:8" customFormat="1" x14ac:dyDescent="0.25">
      <c r="A25707" t="str">
        <f>"9443525"</f>
        <v>9443525</v>
      </c>
      <c r="B25707" t="s">
        <v>20676</v>
      </c>
      <c r="C25707" t="s">
        <v>20677</v>
      </c>
      <c r="D25707" s="21" t="s">
        <v>34</v>
      </c>
      <c r="E25707" s="21" t="s">
        <v>35</v>
      </c>
      <c r="F25707">
        <v>8941282</v>
      </c>
      <c r="G25707" t="s">
        <v>5040</v>
      </c>
      <c r="H25707" s="21">
        <v>632.16999999999996</v>
      </c>
    </row>
    <row r="25708" spans="1:8" customFormat="1" x14ac:dyDescent="0.25">
      <c r="A25708" t="str">
        <f>"2939425"</f>
        <v>2939425</v>
      </c>
      <c r="B25708" t="s">
        <v>27865</v>
      </c>
      <c r="C25708" t="s">
        <v>27866</v>
      </c>
      <c r="D25708" s="21" t="s">
        <v>34</v>
      </c>
      <c r="E25708" s="21" t="s">
        <v>35</v>
      </c>
      <c r="F25708">
        <v>3290227</v>
      </c>
      <c r="G25708" t="s">
        <v>16400</v>
      </c>
      <c r="H25708" s="21">
        <v>632.16999999999996</v>
      </c>
    </row>
    <row r="25709" spans="1:8" customFormat="1" x14ac:dyDescent="0.25">
      <c r="A25709" t="str">
        <f>"7637866"</f>
        <v>7637866</v>
      </c>
      <c r="B25709" t="s">
        <v>136</v>
      </c>
      <c r="C25709" t="s">
        <v>98</v>
      </c>
      <c r="D25709" s="21" t="s">
        <v>34</v>
      </c>
      <c r="E25709" s="21" t="s">
        <v>35</v>
      </c>
      <c r="F25709">
        <v>9760390</v>
      </c>
      <c r="G25709" t="s">
        <v>17285</v>
      </c>
      <c r="H25709" s="21">
        <v>632.16999999999996</v>
      </c>
    </row>
    <row r="25710" spans="1:8" customFormat="1" x14ac:dyDescent="0.25">
      <c r="A25710" t="str">
        <f>"7219375"</f>
        <v>7219375</v>
      </c>
      <c r="B25710" t="s">
        <v>19144</v>
      </c>
      <c r="C25710" t="s">
        <v>204</v>
      </c>
      <c r="D25710" s="21" t="s">
        <v>34</v>
      </c>
      <c r="E25710" s="21" t="s">
        <v>35</v>
      </c>
      <c r="F25710">
        <v>12720134</v>
      </c>
      <c r="G25710" t="s">
        <v>18891</v>
      </c>
      <c r="H25710" s="21">
        <v>632.16999999999996</v>
      </c>
    </row>
    <row r="25711" spans="1:8" customFormat="1" x14ac:dyDescent="0.25">
      <c r="A25711" t="str">
        <f>"762684"</f>
        <v>762684</v>
      </c>
      <c r="B25711" t="s">
        <v>2613</v>
      </c>
      <c r="C25711" t="s">
        <v>1620</v>
      </c>
      <c r="D25711" s="21" t="s">
        <v>34</v>
      </c>
      <c r="E25711" s="21" t="s">
        <v>254</v>
      </c>
      <c r="F25711">
        <v>3350221</v>
      </c>
      <c r="G25711" t="s">
        <v>14681</v>
      </c>
      <c r="H25711" s="21">
        <v>632.16999999999996</v>
      </c>
    </row>
    <row r="25712" spans="1:8" customFormat="1" x14ac:dyDescent="0.25">
      <c r="A25712" t="str">
        <f>"224920"</f>
        <v>224920</v>
      </c>
      <c r="B25712" t="s">
        <v>19341</v>
      </c>
      <c r="C25712" t="s">
        <v>169</v>
      </c>
      <c r="D25712" s="21" t="s">
        <v>34</v>
      </c>
      <c r="E25712" s="21" t="s">
        <v>254</v>
      </c>
      <c r="F25712">
        <v>3220127</v>
      </c>
      <c r="G25712" t="s">
        <v>26652</v>
      </c>
      <c r="H25712" s="21">
        <v>632.16999999999996</v>
      </c>
    </row>
    <row r="25713" spans="1:8" customFormat="1" x14ac:dyDescent="0.25">
      <c r="A25713" t="str">
        <f>"153687"</f>
        <v>153687</v>
      </c>
      <c r="B25713" t="s">
        <v>19195</v>
      </c>
      <c r="C25713" t="s">
        <v>109</v>
      </c>
      <c r="D25713" s="21" t="s">
        <v>34</v>
      </c>
      <c r="E25713" s="21" t="s">
        <v>35</v>
      </c>
      <c r="F25713">
        <v>1150290</v>
      </c>
      <c r="G25713" t="s">
        <v>12544</v>
      </c>
      <c r="H25713" s="21">
        <v>632.12</v>
      </c>
    </row>
    <row r="25714" spans="1:8" customFormat="1" x14ac:dyDescent="0.25">
      <c r="A25714" t="str">
        <f>"8816728"</f>
        <v>8816728</v>
      </c>
      <c r="B25714" t="s">
        <v>850</v>
      </c>
      <c r="C25714" t="s">
        <v>486</v>
      </c>
      <c r="D25714" s="21" t="s">
        <v>34</v>
      </c>
      <c r="E25714" s="21" t="s">
        <v>35</v>
      </c>
      <c r="F25714">
        <v>6880119</v>
      </c>
      <c r="G25714" t="s">
        <v>3443</v>
      </c>
      <c r="H25714" s="21">
        <v>632.04</v>
      </c>
    </row>
    <row r="25715" spans="1:8" customFormat="1" x14ac:dyDescent="0.25">
      <c r="A25715" t="str">
        <f>"7520492"</f>
        <v>7520492</v>
      </c>
      <c r="B25715" t="s">
        <v>20680</v>
      </c>
      <c r="C25715" t="s">
        <v>564</v>
      </c>
      <c r="D25715" s="21" t="s">
        <v>34</v>
      </c>
      <c r="E25715" s="21" t="s">
        <v>71</v>
      </c>
      <c r="F25715">
        <v>8751177</v>
      </c>
      <c r="G25715" t="s">
        <v>396</v>
      </c>
      <c r="H25715" s="21">
        <v>631.91999999999996</v>
      </c>
    </row>
    <row r="25716" spans="1:8" customFormat="1" x14ac:dyDescent="0.25">
      <c r="A25716" t="str">
        <f>"9241149"</f>
        <v>9241149</v>
      </c>
      <c r="B25716" t="s">
        <v>8635</v>
      </c>
      <c r="C25716" t="s">
        <v>65</v>
      </c>
      <c r="D25716" s="21" t="s">
        <v>34</v>
      </c>
      <c r="E25716" s="21" t="s">
        <v>71</v>
      </c>
      <c r="F25716">
        <v>8920111</v>
      </c>
      <c r="G25716" t="s">
        <v>1064</v>
      </c>
      <c r="H25716" s="21">
        <v>631.91999999999996</v>
      </c>
    </row>
    <row r="25717" spans="1:8" customFormat="1" x14ac:dyDescent="0.25">
      <c r="A25717" t="str">
        <f>"185120"</f>
        <v>185120</v>
      </c>
      <c r="B25717" t="s">
        <v>20192</v>
      </c>
      <c r="C25717" t="s">
        <v>20193</v>
      </c>
      <c r="D25717" s="21" t="s">
        <v>34</v>
      </c>
      <c r="E25717" s="21" t="s">
        <v>254</v>
      </c>
      <c r="F25717">
        <v>4180734</v>
      </c>
      <c r="G25717" t="s">
        <v>8434</v>
      </c>
      <c r="H25717" s="21">
        <v>631.79</v>
      </c>
    </row>
    <row r="25718" spans="1:8" customFormat="1" x14ac:dyDescent="0.25">
      <c r="A25718" t="str">
        <f>"7218661"</f>
        <v>7218661</v>
      </c>
      <c r="B25718" t="s">
        <v>19652</v>
      </c>
      <c r="C25718" t="s">
        <v>867</v>
      </c>
      <c r="D25718" s="21" t="s">
        <v>34</v>
      </c>
      <c r="E25718" s="21" t="s">
        <v>35</v>
      </c>
      <c r="F25718">
        <v>12720062</v>
      </c>
      <c r="G25718" t="s">
        <v>4026</v>
      </c>
      <c r="H25718" s="21">
        <v>631.79</v>
      </c>
    </row>
    <row r="25719" spans="1:8" customFormat="1" x14ac:dyDescent="0.25">
      <c r="A25719" t="str">
        <f>"9527371"</f>
        <v>9527371</v>
      </c>
      <c r="B25719" t="s">
        <v>27867</v>
      </c>
      <c r="C25719" t="s">
        <v>87</v>
      </c>
      <c r="D25719" s="21" t="s">
        <v>34</v>
      </c>
      <c r="E25719" s="21" t="s">
        <v>71</v>
      </c>
      <c r="F25719">
        <v>8950103</v>
      </c>
      <c r="G25719" t="s">
        <v>440</v>
      </c>
      <c r="H25719" s="21">
        <v>631.66999999999996</v>
      </c>
    </row>
    <row r="25720" spans="1:8" customFormat="1" x14ac:dyDescent="0.25">
      <c r="A25720" t="str">
        <f>"3829664"</f>
        <v>3829664</v>
      </c>
      <c r="B25720" t="s">
        <v>21068</v>
      </c>
      <c r="C25720" t="s">
        <v>5384</v>
      </c>
      <c r="D25720" s="21" t="s">
        <v>34</v>
      </c>
      <c r="E25720" s="21" t="s">
        <v>35</v>
      </c>
      <c r="F25720">
        <v>1380098</v>
      </c>
      <c r="G25720" t="s">
        <v>7501</v>
      </c>
      <c r="H25720" s="21">
        <v>631.66999999999996</v>
      </c>
    </row>
    <row r="25721" spans="1:8" customFormat="1" x14ac:dyDescent="0.25">
      <c r="A25721" t="str">
        <f>"5959829"</f>
        <v>5959829</v>
      </c>
      <c r="B25721" t="s">
        <v>18873</v>
      </c>
      <c r="C25721" t="s">
        <v>18874</v>
      </c>
      <c r="D25721" s="21" t="s">
        <v>34</v>
      </c>
      <c r="E25721" s="21" t="s">
        <v>1089</v>
      </c>
      <c r="F25721">
        <v>7590100</v>
      </c>
      <c r="G25721" t="s">
        <v>1660</v>
      </c>
      <c r="H25721" s="21">
        <v>631.66999999999996</v>
      </c>
    </row>
    <row r="25722" spans="1:8" customFormat="1" x14ac:dyDescent="0.25">
      <c r="A25722" t="str">
        <f>"621486"</f>
        <v>621486</v>
      </c>
      <c r="B25722" t="s">
        <v>27868</v>
      </c>
      <c r="C25722" t="s">
        <v>27869</v>
      </c>
      <c r="D25722" s="21" t="s">
        <v>34</v>
      </c>
      <c r="E25722" s="21" t="s">
        <v>254</v>
      </c>
      <c r="F25722">
        <v>7620119</v>
      </c>
      <c r="G25722" t="s">
        <v>5233</v>
      </c>
      <c r="H25722" s="21">
        <v>631.66999999999996</v>
      </c>
    </row>
    <row r="25723" spans="1:8" customFormat="1" x14ac:dyDescent="0.25">
      <c r="A25723" t="str">
        <f>"9225765"</f>
        <v>9225765</v>
      </c>
      <c r="B25723" t="s">
        <v>19563</v>
      </c>
      <c r="C25723" t="s">
        <v>239</v>
      </c>
      <c r="D25723" s="21" t="s">
        <v>34</v>
      </c>
      <c r="E25723" s="21" t="s">
        <v>71</v>
      </c>
      <c r="F25723">
        <v>8920137</v>
      </c>
      <c r="G25723" t="s">
        <v>6082</v>
      </c>
      <c r="H25723" s="21">
        <v>631.66999999999996</v>
      </c>
    </row>
    <row r="25724" spans="1:8" customFormat="1" x14ac:dyDescent="0.25">
      <c r="A25724" t="str">
        <f>"636992"</f>
        <v>636992</v>
      </c>
      <c r="B25724" t="s">
        <v>4754</v>
      </c>
      <c r="C25724" t="s">
        <v>9600</v>
      </c>
      <c r="D25724" s="21" t="s">
        <v>34</v>
      </c>
      <c r="E25724" s="21" t="s">
        <v>71</v>
      </c>
      <c r="F25724">
        <v>1630307</v>
      </c>
      <c r="G25724" t="s">
        <v>15524</v>
      </c>
      <c r="H25724" s="21">
        <v>631.66999999999996</v>
      </c>
    </row>
    <row r="25725" spans="1:8" customFormat="1" x14ac:dyDescent="0.25">
      <c r="A25725" t="str">
        <f>"3813755"</f>
        <v>3813755</v>
      </c>
      <c r="B25725" t="s">
        <v>18743</v>
      </c>
      <c r="C25725" t="s">
        <v>156</v>
      </c>
      <c r="D25725" s="21" t="s">
        <v>34</v>
      </c>
      <c r="E25725" s="21" t="s">
        <v>254</v>
      </c>
      <c r="F25725">
        <v>1380057</v>
      </c>
      <c r="G25725" t="s">
        <v>26700</v>
      </c>
      <c r="H25725" s="21">
        <v>631.66999999999996</v>
      </c>
    </row>
    <row r="25726" spans="1:8" customFormat="1" x14ac:dyDescent="0.25">
      <c r="A25726" t="str">
        <f>"2713383"</f>
        <v>2713383</v>
      </c>
      <c r="B25726" t="s">
        <v>21146</v>
      </c>
      <c r="C25726" t="s">
        <v>926</v>
      </c>
      <c r="D25726" s="21" t="s">
        <v>34</v>
      </c>
      <c r="E25726" s="21" t="s">
        <v>71</v>
      </c>
      <c r="F25726">
        <v>3560060</v>
      </c>
      <c r="G25726" t="s">
        <v>8368</v>
      </c>
      <c r="H25726" s="21">
        <v>631.66999999999996</v>
      </c>
    </row>
    <row r="25727" spans="1:8" customFormat="1" x14ac:dyDescent="0.25">
      <c r="A25727" t="str">
        <f>"6222502"</f>
        <v>6222502</v>
      </c>
      <c r="B25727" t="s">
        <v>13961</v>
      </c>
      <c r="C25727" t="s">
        <v>598</v>
      </c>
      <c r="D25727" s="21" t="s">
        <v>34</v>
      </c>
      <c r="E25727" s="21" t="s">
        <v>71</v>
      </c>
      <c r="F25727">
        <v>7620108</v>
      </c>
      <c r="G25727" t="s">
        <v>3035</v>
      </c>
      <c r="H25727" s="21">
        <v>631.66999999999996</v>
      </c>
    </row>
    <row r="25728" spans="1:8" customFormat="1" x14ac:dyDescent="0.25">
      <c r="A25728" t="str">
        <f>"5951502"</f>
        <v>5951502</v>
      </c>
      <c r="B25728" t="s">
        <v>3904</v>
      </c>
      <c r="C25728" t="s">
        <v>576</v>
      </c>
      <c r="D25728" s="21" t="s">
        <v>34</v>
      </c>
      <c r="E25728" s="21" t="s">
        <v>35</v>
      </c>
      <c r="F25728">
        <v>7590327</v>
      </c>
      <c r="G25728" t="s">
        <v>2330</v>
      </c>
      <c r="H25728" s="21">
        <v>631.66999999999996</v>
      </c>
    </row>
    <row r="25729" spans="1:8" customFormat="1" x14ac:dyDescent="0.25">
      <c r="A25729" t="str">
        <f>"54348"</f>
        <v>54348</v>
      </c>
      <c r="B25729" t="s">
        <v>18557</v>
      </c>
      <c r="C25729" t="s">
        <v>2520</v>
      </c>
      <c r="D25729" s="21" t="s">
        <v>34</v>
      </c>
      <c r="E25729" s="21" t="s">
        <v>1089</v>
      </c>
      <c r="F25729">
        <v>6570140</v>
      </c>
      <c r="G25729" t="s">
        <v>813</v>
      </c>
      <c r="H25729" s="21">
        <v>631.66999999999996</v>
      </c>
    </row>
    <row r="25730" spans="1:8" customFormat="1" x14ac:dyDescent="0.25">
      <c r="A25730" t="str">
        <f>"7719992"</f>
        <v>7719992</v>
      </c>
      <c r="B25730" t="s">
        <v>27870</v>
      </c>
      <c r="C25730" t="s">
        <v>3784</v>
      </c>
      <c r="D25730" s="21" t="s">
        <v>34</v>
      </c>
      <c r="E25730" s="21" t="s">
        <v>254</v>
      </c>
      <c r="F25730">
        <v>13830066</v>
      </c>
      <c r="G25730" t="s">
        <v>7148</v>
      </c>
      <c r="H25730" s="21">
        <v>631.66999999999996</v>
      </c>
    </row>
    <row r="25731" spans="1:8" customFormat="1" x14ac:dyDescent="0.25">
      <c r="A25731" t="str">
        <f>"674211"</f>
        <v>674211</v>
      </c>
      <c r="B25731" t="s">
        <v>18971</v>
      </c>
      <c r="C25731" t="s">
        <v>17749</v>
      </c>
      <c r="D25731" s="21" t="s">
        <v>34</v>
      </c>
      <c r="E25731" s="21" t="s">
        <v>254</v>
      </c>
      <c r="F25731">
        <v>6670066</v>
      </c>
      <c r="G25731" t="s">
        <v>12245</v>
      </c>
      <c r="H25731" s="21">
        <v>631.66999999999996</v>
      </c>
    </row>
    <row r="25732" spans="1:8" customFormat="1" x14ac:dyDescent="0.25">
      <c r="A25732" t="str">
        <f>"5318146"</f>
        <v>5318146</v>
      </c>
      <c r="B25732" t="s">
        <v>17476</v>
      </c>
      <c r="C25732" t="s">
        <v>124</v>
      </c>
      <c r="D25732" s="21" t="s">
        <v>34</v>
      </c>
      <c r="E25732" s="21" t="s">
        <v>71</v>
      </c>
      <c r="F25732">
        <v>12530090</v>
      </c>
      <c r="G25732" t="s">
        <v>6132</v>
      </c>
      <c r="H25732" s="21">
        <v>631.66999999999996</v>
      </c>
    </row>
    <row r="25733" spans="1:8" customFormat="1" x14ac:dyDescent="0.25">
      <c r="A25733" t="str">
        <f>"5920103"</f>
        <v>5920103</v>
      </c>
      <c r="B25733" t="s">
        <v>17911</v>
      </c>
      <c r="C25733" t="s">
        <v>2907</v>
      </c>
      <c r="D25733" s="21" t="s">
        <v>34</v>
      </c>
      <c r="E25733" s="21" t="s">
        <v>254</v>
      </c>
      <c r="F25733">
        <v>7590047</v>
      </c>
      <c r="G25733" t="s">
        <v>5788</v>
      </c>
      <c r="H25733" s="21">
        <v>631.66999999999996</v>
      </c>
    </row>
    <row r="25734" spans="1:8" customFormat="1" x14ac:dyDescent="0.25">
      <c r="A25734" t="str">
        <f>"2516963"</f>
        <v>2516963</v>
      </c>
      <c r="B25734" t="s">
        <v>21066</v>
      </c>
      <c r="C25734" t="s">
        <v>3073</v>
      </c>
      <c r="D25734" s="21" t="s">
        <v>34</v>
      </c>
      <c r="E25734" s="21" t="s">
        <v>1089</v>
      </c>
      <c r="F25734">
        <v>2250016</v>
      </c>
      <c r="G25734" t="s">
        <v>1709</v>
      </c>
      <c r="H25734" s="21">
        <v>631.66999999999996</v>
      </c>
    </row>
    <row r="25735" spans="1:8" customFormat="1" x14ac:dyDescent="0.25">
      <c r="A25735" t="str">
        <f>"941604"</f>
        <v>941604</v>
      </c>
      <c r="B25735" t="s">
        <v>17944</v>
      </c>
      <c r="C25735" t="s">
        <v>598</v>
      </c>
      <c r="D25735" s="21" t="s">
        <v>34</v>
      </c>
      <c r="E25735" s="21" t="s">
        <v>1089</v>
      </c>
      <c r="F25735">
        <v>8940975</v>
      </c>
      <c r="G25735" t="s">
        <v>7959</v>
      </c>
      <c r="H25735" s="21">
        <v>631.66999999999996</v>
      </c>
    </row>
    <row r="25736" spans="1:8" customFormat="1" x14ac:dyDescent="0.25">
      <c r="A25736" t="str">
        <f>"5112716"</f>
        <v>5112716</v>
      </c>
      <c r="B25736" t="s">
        <v>5797</v>
      </c>
      <c r="C25736" t="s">
        <v>171</v>
      </c>
      <c r="D25736" s="21" t="s">
        <v>34</v>
      </c>
      <c r="E25736" s="21" t="s">
        <v>35</v>
      </c>
      <c r="F25736">
        <v>6510001</v>
      </c>
      <c r="G25736" t="s">
        <v>286</v>
      </c>
      <c r="H25736" s="21">
        <v>631.66999999999996</v>
      </c>
    </row>
    <row r="25737" spans="1:8" customFormat="1" x14ac:dyDescent="0.25">
      <c r="A25737" t="str">
        <f>"6725346"</f>
        <v>6725346</v>
      </c>
      <c r="B25737" t="s">
        <v>20675</v>
      </c>
      <c r="C25737" t="s">
        <v>1665</v>
      </c>
      <c r="D25737" s="21" t="s">
        <v>34</v>
      </c>
      <c r="E25737" s="21" t="s">
        <v>71</v>
      </c>
      <c r="F25737">
        <v>6670267</v>
      </c>
      <c r="G25737" t="s">
        <v>2244</v>
      </c>
      <c r="H25737" s="21">
        <v>631.66999999999996</v>
      </c>
    </row>
    <row r="25738" spans="1:8" customFormat="1" x14ac:dyDescent="0.25">
      <c r="A25738" t="str">
        <f>"3012651"</f>
        <v>3012651</v>
      </c>
      <c r="B25738" t="s">
        <v>690</v>
      </c>
      <c r="C25738" t="s">
        <v>275</v>
      </c>
      <c r="D25738" s="21" t="s">
        <v>34</v>
      </c>
      <c r="E25738" s="21" t="s">
        <v>35</v>
      </c>
      <c r="F25738">
        <v>11300032</v>
      </c>
      <c r="G25738" t="s">
        <v>17309</v>
      </c>
      <c r="H25738" s="21">
        <v>631.66999999999996</v>
      </c>
    </row>
    <row r="25739" spans="1:8" customFormat="1" x14ac:dyDescent="0.25">
      <c r="A25739" t="str">
        <f>"772887"</f>
        <v>772887</v>
      </c>
      <c r="B25739" t="s">
        <v>11893</v>
      </c>
      <c r="C25739" t="s">
        <v>239</v>
      </c>
      <c r="D25739" s="21" t="s">
        <v>34</v>
      </c>
      <c r="E25739" s="21" t="s">
        <v>6185</v>
      </c>
      <c r="F25739">
        <v>8770202</v>
      </c>
      <c r="G25739" t="s">
        <v>1999</v>
      </c>
      <c r="H25739" s="21">
        <v>631.66999999999996</v>
      </c>
    </row>
    <row r="25740" spans="1:8" customFormat="1" x14ac:dyDescent="0.25">
      <c r="A25740" t="str">
        <f>"5943514"</f>
        <v>5943514</v>
      </c>
      <c r="B25740" t="s">
        <v>4888</v>
      </c>
      <c r="C25740" t="s">
        <v>1914</v>
      </c>
      <c r="D25740" s="21" t="s">
        <v>34</v>
      </c>
      <c r="E25740" s="21" t="s">
        <v>254</v>
      </c>
      <c r="F25740">
        <v>7590003</v>
      </c>
      <c r="G25740" t="s">
        <v>1166</v>
      </c>
      <c r="H25740" s="21">
        <v>631.66999999999996</v>
      </c>
    </row>
    <row r="25741" spans="1:8" customFormat="1" x14ac:dyDescent="0.25">
      <c r="A25741" t="str">
        <f>"1423193"</f>
        <v>1423193</v>
      </c>
      <c r="B25741" t="s">
        <v>15134</v>
      </c>
      <c r="C25741" t="s">
        <v>926</v>
      </c>
      <c r="D25741" s="21" t="s">
        <v>34</v>
      </c>
      <c r="E25741" s="21" t="s">
        <v>35</v>
      </c>
      <c r="F25741">
        <v>9140032</v>
      </c>
      <c r="G25741" t="s">
        <v>2130</v>
      </c>
      <c r="H25741" s="21">
        <v>631.66999999999996</v>
      </c>
    </row>
    <row r="25742" spans="1:8" customFormat="1" x14ac:dyDescent="0.25">
      <c r="A25742" t="str">
        <f>"5620989"</f>
        <v>5620989</v>
      </c>
      <c r="B25742" t="s">
        <v>20849</v>
      </c>
      <c r="C25742" t="s">
        <v>879</v>
      </c>
      <c r="D25742" s="21" t="s">
        <v>34</v>
      </c>
      <c r="E25742" s="21" t="s">
        <v>1089</v>
      </c>
      <c r="F25742">
        <v>3560094</v>
      </c>
      <c r="G25742" t="s">
        <v>10313</v>
      </c>
      <c r="H25742" s="21">
        <v>631.66999999999996</v>
      </c>
    </row>
    <row r="25743" spans="1:8" customFormat="1" x14ac:dyDescent="0.25">
      <c r="A25743" t="str">
        <f>"5912674"</f>
        <v>5912674</v>
      </c>
      <c r="B25743" t="s">
        <v>3110</v>
      </c>
      <c r="C25743" t="s">
        <v>119</v>
      </c>
      <c r="D25743" s="21" t="s">
        <v>34</v>
      </c>
      <c r="E25743" s="21" t="s">
        <v>71</v>
      </c>
      <c r="F25743">
        <v>7590345</v>
      </c>
      <c r="G25743" t="s">
        <v>3297</v>
      </c>
      <c r="H25743" s="21">
        <v>631.66999999999996</v>
      </c>
    </row>
    <row r="25744" spans="1:8" customFormat="1" x14ac:dyDescent="0.25">
      <c r="A25744" t="str">
        <f>"93772"</f>
        <v>93772</v>
      </c>
      <c r="B25744" t="s">
        <v>18960</v>
      </c>
      <c r="C25744" t="s">
        <v>124</v>
      </c>
      <c r="D25744" s="21" t="s">
        <v>34</v>
      </c>
      <c r="E25744" s="21" t="s">
        <v>254</v>
      </c>
      <c r="F25744">
        <v>8930430</v>
      </c>
      <c r="G25744" t="s">
        <v>995</v>
      </c>
      <c r="H25744" s="21">
        <v>631.54</v>
      </c>
    </row>
    <row r="25745" spans="1:8" customFormat="1" x14ac:dyDescent="0.25">
      <c r="A25745" t="str">
        <f>"9D2198"</f>
        <v>9D2198</v>
      </c>
      <c r="B25745" t="s">
        <v>19860</v>
      </c>
      <c r="C25745" t="s">
        <v>169</v>
      </c>
      <c r="D25745" s="21" t="s">
        <v>34</v>
      </c>
      <c r="E25745" s="21" t="s">
        <v>35</v>
      </c>
      <c r="F25745" t="s">
        <v>13222</v>
      </c>
      <c r="G25745" t="s">
        <v>13223</v>
      </c>
      <c r="H25745" s="21">
        <v>631.54</v>
      </c>
    </row>
    <row r="25746" spans="1:8" customFormat="1" x14ac:dyDescent="0.25">
      <c r="A25746" t="str">
        <f>"2517405"</f>
        <v>2517405</v>
      </c>
      <c r="B25746" t="s">
        <v>27871</v>
      </c>
      <c r="C25746" t="s">
        <v>43</v>
      </c>
      <c r="D25746" s="21" t="s">
        <v>34</v>
      </c>
      <c r="E25746" s="21" t="s">
        <v>35</v>
      </c>
      <c r="F25746">
        <v>2250154</v>
      </c>
      <c r="G25746" t="s">
        <v>1973</v>
      </c>
      <c r="H25746" s="21">
        <v>631.41999999999996</v>
      </c>
    </row>
    <row r="25747" spans="1:8" customFormat="1" x14ac:dyDescent="0.25">
      <c r="A25747" t="str">
        <f>"883616"</f>
        <v>883616</v>
      </c>
      <c r="B25747" t="s">
        <v>97</v>
      </c>
      <c r="C25747" t="s">
        <v>40</v>
      </c>
      <c r="D25747" s="21" t="s">
        <v>34</v>
      </c>
      <c r="E25747" s="21" t="s">
        <v>254</v>
      </c>
      <c r="F25747">
        <v>6880119</v>
      </c>
      <c r="G25747" t="s">
        <v>3443</v>
      </c>
      <c r="H25747" s="21">
        <v>631.29</v>
      </c>
    </row>
    <row r="25748" spans="1:8" customFormat="1" x14ac:dyDescent="0.25">
      <c r="A25748" t="str">
        <f>"9314199"</f>
        <v>9314199</v>
      </c>
      <c r="B25748" t="s">
        <v>1886</v>
      </c>
      <c r="C25748" t="s">
        <v>209</v>
      </c>
      <c r="D25748" s="21" t="s">
        <v>34</v>
      </c>
      <c r="E25748" s="21" t="s">
        <v>71</v>
      </c>
      <c r="F25748">
        <v>8930113</v>
      </c>
      <c r="G25748" t="s">
        <v>368</v>
      </c>
      <c r="H25748" s="21">
        <v>631.29</v>
      </c>
    </row>
    <row r="25749" spans="1:8" customFormat="1" x14ac:dyDescent="0.25">
      <c r="A25749" t="str">
        <f>"3713154"</f>
        <v>3713154</v>
      </c>
      <c r="B25749" t="s">
        <v>10805</v>
      </c>
      <c r="C25749" t="s">
        <v>328</v>
      </c>
      <c r="D25749" s="21" t="s">
        <v>34</v>
      </c>
      <c r="E25749" s="21" t="s">
        <v>71</v>
      </c>
      <c r="F25749">
        <v>4370349</v>
      </c>
      <c r="G25749" t="s">
        <v>2287</v>
      </c>
      <c r="H25749" s="21">
        <v>631.16999999999996</v>
      </c>
    </row>
    <row r="25750" spans="1:8" customFormat="1" x14ac:dyDescent="0.25">
      <c r="A25750" t="str">
        <f>"1313226"</f>
        <v>1313226</v>
      </c>
      <c r="B25750" t="s">
        <v>18827</v>
      </c>
      <c r="C25750" t="s">
        <v>209</v>
      </c>
      <c r="D25750" s="21" t="s">
        <v>34</v>
      </c>
      <c r="E25750" s="21" t="s">
        <v>71</v>
      </c>
      <c r="F25750">
        <v>13130139</v>
      </c>
      <c r="G25750" t="s">
        <v>11785</v>
      </c>
      <c r="H25750" s="21">
        <v>631.16999999999996</v>
      </c>
    </row>
    <row r="25751" spans="1:8" customFormat="1" x14ac:dyDescent="0.25">
      <c r="A25751" t="str">
        <f>"6949879"</f>
        <v>6949879</v>
      </c>
      <c r="B25751" t="s">
        <v>27872</v>
      </c>
      <c r="C25751" t="s">
        <v>27873</v>
      </c>
      <c r="D25751" s="21" t="s">
        <v>34</v>
      </c>
      <c r="E25751" s="21" t="s">
        <v>71</v>
      </c>
      <c r="F25751">
        <v>1690186</v>
      </c>
      <c r="G25751" t="s">
        <v>438</v>
      </c>
      <c r="H25751" s="21">
        <v>631.16999999999996</v>
      </c>
    </row>
    <row r="25752" spans="1:8" customFormat="1" x14ac:dyDescent="0.25">
      <c r="A25752" t="str">
        <f>"86632"</f>
        <v>86632</v>
      </c>
      <c r="B25752" t="s">
        <v>18572</v>
      </c>
      <c r="C25752" t="s">
        <v>412</v>
      </c>
      <c r="D25752" s="21" t="s">
        <v>34</v>
      </c>
      <c r="E25752" s="21" t="s">
        <v>1089</v>
      </c>
      <c r="F25752">
        <v>12850026</v>
      </c>
      <c r="G25752" t="s">
        <v>1400</v>
      </c>
      <c r="H25752" s="21">
        <v>631.16999999999996</v>
      </c>
    </row>
    <row r="25753" spans="1:8" customFormat="1" x14ac:dyDescent="0.25">
      <c r="A25753" t="str">
        <f>"7727054"</f>
        <v>7727054</v>
      </c>
      <c r="B25753" t="s">
        <v>970</v>
      </c>
      <c r="C25753" t="s">
        <v>209</v>
      </c>
      <c r="D25753" s="21" t="s">
        <v>34</v>
      </c>
      <c r="E25753" s="21" t="s">
        <v>71</v>
      </c>
      <c r="F25753">
        <v>8771501</v>
      </c>
      <c r="G25753" t="s">
        <v>10128</v>
      </c>
      <c r="H25753" s="21">
        <v>631.16999999999996</v>
      </c>
    </row>
    <row r="25754" spans="1:8" customFormat="1" x14ac:dyDescent="0.25">
      <c r="A25754" t="str">
        <f>"628266"</f>
        <v>628266</v>
      </c>
      <c r="B25754" t="s">
        <v>9871</v>
      </c>
      <c r="C25754" t="s">
        <v>121</v>
      </c>
      <c r="D25754" s="21" t="s">
        <v>34</v>
      </c>
      <c r="E25754" s="21" t="s">
        <v>254</v>
      </c>
      <c r="F25754">
        <v>7620110</v>
      </c>
      <c r="G25754" t="s">
        <v>2681</v>
      </c>
      <c r="H25754" s="21">
        <v>631.16999999999996</v>
      </c>
    </row>
    <row r="25755" spans="1:8" customFormat="1" x14ac:dyDescent="0.25">
      <c r="A25755" t="str">
        <f>"3821343"</f>
        <v>3821343</v>
      </c>
      <c r="B25755" t="s">
        <v>27874</v>
      </c>
      <c r="C25755" t="s">
        <v>65</v>
      </c>
      <c r="D25755" s="21" t="s">
        <v>34</v>
      </c>
      <c r="E25755" s="21" t="s">
        <v>35</v>
      </c>
      <c r="F25755">
        <v>1380005</v>
      </c>
      <c r="G25755" t="s">
        <v>3119</v>
      </c>
      <c r="H25755" s="21">
        <v>631.16999999999996</v>
      </c>
    </row>
    <row r="25756" spans="1:8" customFormat="1" x14ac:dyDescent="0.25">
      <c r="A25756" t="str">
        <f>"4214749"</f>
        <v>4214749</v>
      </c>
      <c r="B25756" t="s">
        <v>19251</v>
      </c>
      <c r="C25756" t="s">
        <v>121</v>
      </c>
      <c r="D25756" s="21" t="s">
        <v>34</v>
      </c>
      <c r="E25756" s="21" t="s">
        <v>35</v>
      </c>
      <c r="F25756">
        <v>1420078</v>
      </c>
      <c r="G25756" t="s">
        <v>4287</v>
      </c>
      <c r="H25756" s="21">
        <v>631.16999999999996</v>
      </c>
    </row>
    <row r="25757" spans="1:8" customFormat="1" x14ac:dyDescent="0.25">
      <c r="A25757" t="str">
        <f>"068758"</f>
        <v>068758</v>
      </c>
      <c r="B25757" t="s">
        <v>3172</v>
      </c>
      <c r="C25757" t="s">
        <v>87</v>
      </c>
      <c r="D25757" s="21" t="s">
        <v>34</v>
      </c>
      <c r="E25757" s="21" t="s">
        <v>35</v>
      </c>
      <c r="F25757">
        <v>13060074</v>
      </c>
      <c r="G25757" t="s">
        <v>13510</v>
      </c>
      <c r="H25757" s="21">
        <v>631.16999999999996</v>
      </c>
    </row>
    <row r="25758" spans="1:8" customFormat="1" x14ac:dyDescent="0.25">
      <c r="A25758" t="str">
        <f>"254537"</f>
        <v>254537</v>
      </c>
      <c r="B25758" t="s">
        <v>17927</v>
      </c>
      <c r="C25758" t="s">
        <v>239</v>
      </c>
      <c r="D25758" s="21" t="s">
        <v>34</v>
      </c>
      <c r="E25758" s="21" t="s">
        <v>254</v>
      </c>
      <c r="F25758">
        <v>2250216</v>
      </c>
      <c r="G25758" t="s">
        <v>11454</v>
      </c>
      <c r="H25758" s="21">
        <v>631.16999999999996</v>
      </c>
    </row>
    <row r="25759" spans="1:8" customFormat="1" x14ac:dyDescent="0.25">
      <c r="A25759" t="str">
        <f>"617471"</f>
        <v>617471</v>
      </c>
      <c r="B25759" t="s">
        <v>8171</v>
      </c>
      <c r="C25759" t="s">
        <v>124</v>
      </c>
      <c r="D25759" s="21" t="s">
        <v>34</v>
      </c>
      <c r="E25759" s="21" t="s">
        <v>71</v>
      </c>
      <c r="F25759">
        <v>9610130</v>
      </c>
      <c r="G25759" t="s">
        <v>18435</v>
      </c>
      <c r="H25759" s="21">
        <v>631.16999999999996</v>
      </c>
    </row>
    <row r="25760" spans="1:8" customFormat="1" x14ac:dyDescent="0.25">
      <c r="A25760" t="str">
        <f>"6812089"</f>
        <v>6812089</v>
      </c>
      <c r="B25760" t="s">
        <v>19273</v>
      </c>
      <c r="C25760" t="s">
        <v>1119</v>
      </c>
      <c r="D25760" s="21" t="s">
        <v>34</v>
      </c>
      <c r="E25760" s="21" t="s">
        <v>254</v>
      </c>
      <c r="F25760">
        <v>6680128</v>
      </c>
      <c r="G25760" t="s">
        <v>341</v>
      </c>
      <c r="H25760" s="21">
        <v>631.16999999999996</v>
      </c>
    </row>
    <row r="25761" spans="1:8" customFormat="1" x14ac:dyDescent="0.25">
      <c r="A25761" t="str">
        <f>"629717"</f>
        <v>629717</v>
      </c>
      <c r="B25761" t="s">
        <v>20287</v>
      </c>
      <c r="C25761" t="s">
        <v>598</v>
      </c>
      <c r="D25761" s="21" t="s">
        <v>34</v>
      </c>
      <c r="E25761" s="21" t="s">
        <v>254</v>
      </c>
      <c r="F25761">
        <v>7620062</v>
      </c>
      <c r="G25761" t="s">
        <v>12602</v>
      </c>
      <c r="H25761" s="21">
        <v>631.16999999999996</v>
      </c>
    </row>
    <row r="25762" spans="1:8" customFormat="1" x14ac:dyDescent="0.25">
      <c r="A25762" t="str">
        <f>"5017716"</f>
        <v>5017716</v>
      </c>
      <c r="B25762" t="s">
        <v>5343</v>
      </c>
      <c r="C25762" t="s">
        <v>204</v>
      </c>
      <c r="D25762" s="21" t="s">
        <v>34</v>
      </c>
      <c r="E25762" s="21" t="s">
        <v>35</v>
      </c>
      <c r="F25762">
        <v>9500107</v>
      </c>
      <c r="G25762" t="s">
        <v>9792</v>
      </c>
      <c r="H25762" s="21">
        <v>631.16999999999996</v>
      </c>
    </row>
    <row r="25763" spans="1:8" customFormat="1" x14ac:dyDescent="0.25">
      <c r="A25763" t="str">
        <f>"364538"</f>
        <v>364538</v>
      </c>
      <c r="B25763" t="s">
        <v>17235</v>
      </c>
      <c r="C25763" t="s">
        <v>17236</v>
      </c>
      <c r="D25763" s="21" t="s">
        <v>34</v>
      </c>
      <c r="E25763" s="21" t="s">
        <v>254</v>
      </c>
      <c r="F25763">
        <v>4360340</v>
      </c>
      <c r="G25763" t="s">
        <v>14132</v>
      </c>
      <c r="H25763" s="21">
        <v>630.91999999999996</v>
      </c>
    </row>
    <row r="25764" spans="1:8" customFormat="1" x14ac:dyDescent="0.25">
      <c r="A25764" t="str">
        <f>"565808"</f>
        <v>565808</v>
      </c>
      <c r="B25764" t="s">
        <v>1349</v>
      </c>
      <c r="C25764" t="s">
        <v>236</v>
      </c>
      <c r="D25764" s="21" t="s">
        <v>34</v>
      </c>
      <c r="E25764" s="21" t="s">
        <v>254</v>
      </c>
      <c r="F25764">
        <v>3560071</v>
      </c>
      <c r="G25764" t="s">
        <v>8573</v>
      </c>
      <c r="H25764" s="21">
        <v>630.66999999999996</v>
      </c>
    </row>
    <row r="25765" spans="1:8" customFormat="1" x14ac:dyDescent="0.25">
      <c r="A25765" t="str">
        <f>"0111532"</f>
        <v>0111532</v>
      </c>
      <c r="B25765" t="s">
        <v>650</v>
      </c>
      <c r="C25765" t="s">
        <v>547</v>
      </c>
      <c r="D25765" s="21" t="s">
        <v>34</v>
      </c>
      <c r="E25765" s="21" t="s">
        <v>35</v>
      </c>
      <c r="F25765">
        <v>2710002</v>
      </c>
      <c r="G25765" t="s">
        <v>6838</v>
      </c>
      <c r="H25765" s="21">
        <v>630.66999999999996</v>
      </c>
    </row>
    <row r="25766" spans="1:8" customFormat="1" x14ac:dyDescent="0.25">
      <c r="A25766" t="str">
        <f>"1413501"</f>
        <v>1413501</v>
      </c>
      <c r="B25766" t="s">
        <v>8097</v>
      </c>
      <c r="C25766" t="s">
        <v>171</v>
      </c>
      <c r="D25766" s="21" t="s">
        <v>34</v>
      </c>
      <c r="E25766" s="21" t="s">
        <v>71</v>
      </c>
      <c r="F25766">
        <v>9140162</v>
      </c>
      <c r="G25766" t="s">
        <v>7663</v>
      </c>
      <c r="H25766" s="21">
        <v>630.66999999999996</v>
      </c>
    </row>
    <row r="25767" spans="1:8" customFormat="1" x14ac:dyDescent="0.25">
      <c r="A25767" t="str">
        <f>"7623673"</f>
        <v>7623673</v>
      </c>
      <c r="B25767" t="s">
        <v>18638</v>
      </c>
      <c r="C25767" t="s">
        <v>462</v>
      </c>
      <c r="D25767" s="21" t="s">
        <v>34</v>
      </c>
      <c r="E25767" s="21" t="s">
        <v>71</v>
      </c>
      <c r="F25767">
        <v>9760379</v>
      </c>
      <c r="G25767" t="s">
        <v>18639</v>
      </c>
      <c r="H25767" s="21">
        <v>630.66999999999996</v>
      </c>
    </row>
    <row r="25768" spans="1:8" customFormat="1" x14ac:dyDescent="0.25">
      <c r="A25768" t="str">
        <f>"3338654"</f>
        <v>3338654</v>
      </c>
      <c r="B25768" t="s">
        <v>18774</v>
      </c>
      <c r="C25768" t="s">
        <v>360</v>
      </c>
      <c r="D25768" s="21" t="s">
        <v>34</v>
      </c>
      <c r="E25768" s="21" t="s">
        <v>71</v>
      </c>
      <c r="F25768">
        <v>10330004</v>
      </c>
      <c r="G25768" t="s">
        <v>525</v>
      </c>
      <c r="H25768" s="21">
        <v>630.66999999999996</v>
      </c>
    </row>
    <row r="25769" spans="1:8" customFormat="1" x14ac:dyDescent="0.25">
      <c r="A25769" t="str">
        <f>"3722447"</f>
        <v>3722447</v>
      </c>
      <c r="B25769" t="s">
        <v>3848</v>
      </c>
      <c r="C25769" t="s">
        <v>328</v>
      </c>
      <c r="D25769" s="21" t="s">
        <v>34</v>
      </c>
      <c r="E25769" s="21" t="s">
        <v>35</v>
      </c>
      <c r="F25769">
        <v>4370289</v>
      </c>
      <c r="G25769" t="s">
        <v>7887</v>
      </c>
      <c r="H25769" s="21">
        <v>630.66999999999996</v>
      </c>
    </row>
    <row r="25770" spans="1:8" customFormat="1" x14ac:dyDescent="0.25">
      <c r="A25770" t="str">
        <f>"8513969"</f>
        <v>8513969</v>
      </c>
      <c r="B25770" t="s">
        <v>20738</v>
      </c>
      <c r="C25770" t="s">
        <v>2730</v>
      </c>
      <c r="D25770" s="21" t="s">
        <v>34</v>
      </c>
      <c r="E25770" s="21" t="s">
        <v>35</v>
      </c>
      <c r="F25770">
        <v>12850032</v>
      </c>
      <c r="G25770" t="s">
        <v>6589</v>
      </c>
      <c r="H25770" s="21">
        <v>630.66999999999996</v>
      </c>
    </row>
    <row r="25771" spans="1:8" customFormat="1" x14ac:dyDescent="0.25">
      <c r="A25771" t="str">
        <f>"615507"</f>
        <v>615507</v>
      </c>
      <c r="B25771" t="s">
        <v>18587</v>
      </c>
      <c r="C25771" t="s">
        <v>130</v>
      </c>
      <c r="D25771" s="21" t="s">
        <v>34</v>
      </c>
      <c r="E25771" s="21" t="s">
        <v>35</v>
      </c>
      <c r="F25771">
        <v>9610095</v>
      </c>
      <c r="G25771" t="s">
        <v>4870</v>
      </c>
      <c r="H25771" s="21">
        <v>630.66999999999996</v>
      </c>
    </row>
    <row r="25772" spans="1:8" customFormat="1" x14ac:dyDescent="0.25">
      <c r="A25772" t="str">
        <f>"417490"</f>
        <v>417490</v>
      </c>
      <c r="B25772" t="s">
        <v>19325</v>
      </c>
      <c r="C25772" t="s">
        <v>1665</v>
      </c>
      <c r="D25772" s="21" t="s">
        <v>34</v>
      </c>
      <c r="E25772" s="21" t="s">
        <v>254</v>
      </c>
      <c r="F25772">
        <v>4410279</v>
      </c>
      <c r="G25772" t="s">
        <v>3499</v>
      </c>
      <c r="H25772" s="21">
        <v>630.66999999999996</v>
      </c>
    </row>
    <row r="25773" spans="1:8" customFormat="1" x14ac:dyDescent="0.25">
      <c r="A25773" t="str">
        <f>"7636007"</f>
        <v>7636007</v>
      </c>
      <c r="B25773" t="s">
        <v>17530</v>
      </c>
      <c r="C25773" t="s">
        <v>33</v>
      </c>
      <c r="D25773" s="21" t="s">
        <v>34</v>
      </c>
      <c r="E25773" s="21" t="s">
        <v>71</v>
      </c>
      <c r="F25773">
        <v>9760461</v>
      </c>
      <c r="G25773" t="s">
        <v>6804</v>
      </c>
      <c r="H25773" s="21">
        <v>630.66999999999996</v>
      </c>
    </row>
    <row r="25774" spans="1:8" customFormat="1" x14ac:dyDescent="0.25">
      <c r="A25774" t="str">
        <f>"035434"</f>
        <v>035434</v>
      </c>
      <c r="B25774" t="s">
        <v>5413</v>
      </c>
      <c r="C25774" t="s">
        <v>7488</v>
      </c>
      <c r="D25774" s="21" t="s">
        <v>34</v>
      </c>
      <c r="E25774" s="21" t="s">
        <v>254</v>
      </c>
      <c r="F25774">
        <v>1030082</v>
      </c>
      <c r="G25774" t="s">
        <v>26828</v>
      </c>
      <c r="H25774" s="21">
        <v>630.66999999999996</v>
      </c>
    </row>
    <row r="25775" spans="1:8" customFormat="1" x14ac:dyDescent="0.25">
      <c r="A25775" t="str">
        <f>"587154"</f>
        <v>587154</v>
      </c>
      <c r="B25775" t="s">
        <v>932</v>
      </c>
      <c r="C25775" t="s">
        <v>415</v>
      </c>
      <c r="D25775" s="21" t="s">
        <v>34</v>
      </c>
      <c r="E25775" s="21" t="s">
        <v>71</v>
      </c>
      <c r="F25775">
        <v>2580006</v>
      </c>
      <c r="G25775" t="s">
        <v>4813</v>
      </c>
      <c r="H25775" s="21">
        <v>630.66999999999996</v>
      </c>
    </row>
    <row r="25776" spans="1:8" customFormat="1" x14ac:dyDescent="0.25">
      <c r="A25776" t="str">
        <f>"366008"</f>
        <v>366008</v>
      </c>
      <c r="B25776" t="s">
        <v>17567</v>
      </c>
      <c r="C25776" t="s">
        <v>109</v>
      </c>
      <c r="D25776" s="21" t="s">
        <v>34</v>
      </c>
      <c r="E25776" s="21" t="s">
        <v>71</v>
      </c>
      <c r="F25776">
        <v>4360341</v>
      </c>
      <c r="G25776" t="s">
        <v>4912</v>
      </c>
      <c r="H25776" s="21">
        <v>630.66999999999996</v>
      </c>
    </row>
    <row r="25777" spans="1:8" customFormat="1" x14ac:dyDescent="0.25">
      <c r="A25777" t="str">
        <f>"8013927"</f>
        <v>8013927</v>
      </c>
      <c r="B25777" t="s">
        <v>623</v>
      </c>
      <c r="C25777" t="s">
        <v>40</v>
      </c>
      <c r="D25777" s="21" t="s">
        <v>34</v>
      </c>
      <c r="E25777" s="21" t="s">
        <v>254</v>
      </c>
      <c r="F25777">
        <v>7800141</v>
      </c>
      <c r="G25777" t="s">
        <v>9939</v>
      </c>
      <c r="H25777" s="21">
        <v>630.66999999999996</v>
      </c>
    </row>
    <row r="25778" spans="1:8" customFormat="1" x14ac:dyDescent="0.25">
      <c r="A25778" t="str">
        <f>"405788"</f>
        <v>405788</v>
      </c>
      <c r="B25778" t="s">
        <v>18598</v>
      </c>
      <c r="C25778" t="s">
        <v>40</v>
      </c>
      <c r="D25778" s="21" t="s">
        <v>34</v>
      </c>
      <c r="E25778" s="21" t="s">
        <v>254</v>
      </c>
      <c r="F25778">
        <v>10400025</v>
      </c>
      <c r="G25778" t="s">
        <v>5655</v>
      </c>
      <c r="H25778" s="21">
        <v>630.66999999999996</v>
      </c>
    </row>
    <row r="25779" spans="1:8" customFormat="1" x14ac:dyDescent="0.25">
      <c r="A25779" t="str">
        <f>"6918637"</f>
        <v>6918637</v>
      </c>
      <c r="B25779" t="s">
        <v>17304</v>
      </c>
      <c r="C25779" t="s">
        <v>55</v>
      </c>
      <c r="D25779" s="21" t="s">
        <v>34</v>
      </c>
      <c r="E25779" s="21" t="s">
        <v>35</v>
      </c>
      <c r="F25779">
        <v>1690107</v>
      </c>
      <c r="G25779" t="s">
        <v>4163</v>
      </c>
      <c r="H25779" s="21">
        <v>630.66999999999996</v>
      </c>
    </row>
    <row r="25780" spans="1:8" customFormat="1" x14ac:dyDescent="0.25">
      <c r="A25780" t="str">
        <f>"181840"</f>
        <v>181840</v>
      </c>
      <c r="B25780" t="s">
        <v>14218</v>
      </c>
      <c r="C25780" t="s">
        <v>87</v>
      </c>
      <c r="D25780" s="21" t="s">
        <v>34</v>
      </c>
      <c r="E25780" s="21" t="s">
        <v>35</v>
      </c>
      <c r="F25780">
        <v>4180057</v>
      </c>
      <c r="G25780" t="s">
        <v>9021</v>
      </c>
      <c r="H25780" s="21">
        <v>630.66999999999996</v>
      </c>
    </row>
    <row r="25781" spans="1:8" customFormat="1" x14ac:dyDescent="0.25">
      <c r="A25781" t="str">
        <f>"7623533"</f>
        <v>7623533</v>
      </c>
      <c r="B25781" t="s">
        <v>18379</v>
      </c>
      <c r="C25781" t="s">
        <v>576</v>
      </c>
      <c r="D25781" s="21" t="s">
        <v>34</v>
      </c>
      <c r="E25781" s="21" t="s">
        <v>35</v>
      </c>
      <c r="F25781">
        <v>6680090</v>
      </c>
      <c r="G25781" t="s">
        <v>3129</v>
      </c>
      <c r="H25781" s="21">
        <v>630.66999999999996</v>
      </c>
    </row>
    <row r="25782" spans="1:8" customFormat="1" x14ac:dyDescent="0.25">
      <c r="A25782" t="str">
        <f>"1612987"</f>
        <v>1612987</v>
      </c>
      <c r="B25782" t="s">
        <v>19360</v>
      </c>
      <c r="C25782" t="s">
        <v>169</v>
      </c>
      <c r="D25782" s="21" t="s">
        <v>34</v>
      </c>
      <c r="E25782" s="21" t="s">
        <v>71</v>
      </c>
      <c r="F25782">
        <v>10160003</v>
      </c>
      <c r="G25782" t="s">
        <v>4692</v>
      </c>
      <c r="H25782" s="21">
        <v>630.66999999999996</v>
      </c>
    </row>
    <row r="25783" spans="1:8" customFormat="1" x14ac:dyDescent="0.25">
      <c r="A25783" t="str">
        <f>"7636837"</f>
        <v>7636837</v>
      </c>
      <c r="B25783" t="s">
        <v>22148</v>
      </c>
      <c r="C25783" t="s">
        <v>33</v>
      </c>
      <c r="D25783" s="21" t="s">
        <v>34</v>
      </c>
      <c r="E25783" s="21" t="s">
        <v>35</v>
      </c>
      <c r="F25783">
        <v>9760344</v>
      </c>
      <c r="G25783" t="s">
        <v>2523</v>
      </c>
      <c r="H25783" s="21">
        <v>630.66999999999996</v>
      </c>
    </row>
    <row r="25784" spans="1:8" customFormat="1" x14ac:dyDescent="0.25">
      <c r="A25784" t="str">
        <f>"6928356"</f>
        <v>6928356</v>
      </c>
      <c r="B25784" t="s">
        <v>27875</v>
      </c>
      <c r="C25784" t="s">
        <v>1914</v>
      </c>
      <c r="D25784" s="21" t="s">
        <v>34</v>
      </c>
      <c r="E25784" s="21" t="s">
        <v>254</v>
      </c>
      <c r="F25784">
        <v>1690167</v>
      </c>
      <c r="G25784" t="s">
        <v>11267</v>
      </c>
      <c r="H25784" s="21">
        <v>630.66999999999996</v>
      </c>
    </row>
    <row r="25785" spans="1:8" customFormat="1" x14ac:dyDescent="0.25">
      <c r="A25785" t="str">
        <f>"82515"</f>
        <v>82515</v>
      </c>
      <c r="B25785" t="s">
        <v>19153</v>
      </c>
      <c r="C25785" t="s">
        <v>336</v>
      </c>
      <c r="D25785" s="21" t="s">
        <v>34</v>
      </c>
      <c r="E25785" s="21" t="s">
        <v>6185</v>
      </c>
      <c r="F25785">
        <v>11820008</v>
      </c>
      <c r="G25785" t="s">
        <v>294</v>
      </c>
      <c r="H25785" s="21">
        <v>630.66999999999996</v>
      </c>
    </row>
    <row r="25786" spans="1:8" customFormat="1" x14ac:dyDescent="0.25">
      <c r="A25786" t="str">
        <f>"3533210"</f>
        <v>3533210</v>
      </c>
      <c r="B25786" t="s">
        <v>6064</v>
      </c>
      <c r="C25786" t="s">
        <v>631</v>
      </c>
      <c r="D25786" s="21" t="s">
        <v>34</v>
      </c>
      <c r="E25786" s="21" t="s">
        <v>35</v>
      </c>
      <c r="F25786">
        <v>3350215</v>
      </c>
      <c r="G25786" t="s">
        <v>20009</v>
      </c>
      <c r="H25786" s="21">
        <v>630.66999999999996</v>
      </c>
    </row>
    <row r="25787" spans="1:8" customFormat="1" x14ac:dyDescent="0.25">
      <c r="A25787" t="str">
        <f>"7215353"</f>
        <v>7215353</v>
      </c>
      <c r="B25787" t="s">
        <v>15402</v>
      </c>
      <c r="C25787" t="s">
        <v>547</v>
      </c>
      <c r="D25787" s="21" t="s">
        <v>34</v>
      </c>
      <c r="E25787" s="21" t="s">
        <v>71</v>
      </c>
      <c r="F25787">
        <v>12720081</v>
      </c>
      <c r="G25787" t="s">
        <v>6360</v>
      </c>
      <c r="H25787" s="21">
        <v>630.66999999999996</v>
      </c>
    </row>
    <row r="25788" spans="1:8" customFormat="1" x14ac:dyDescent="0.25">
      <c r="A25788" t="str">
        <f>"8015217"</f>
        <v>8015217</v>
      </c>
      <c r="B25788" t="s">
        <v>19080</v>
      </c>
      <c r="C25788" t="s">
        <v>288</v>
      </c>
      <c r="D25788" s="21" t="s">
        <v>34</v>
      </c>
      <c r="E25788" s="21" t="s">
        <v>35</v>
      </c>
      <c r="F25788">
        <v>7800067</v>
      </c>
      <c r="G25788" t="s">
        <v>16355</v>
      </c>
      <c r="H25788" s="21">
        <v>630.66999999999996</v>
      </c>
    </row>
    <row r="25789" spans="1:8" customFormat="1" x14ac:dyDescent="0.25">
      <c r="A25789" t="str">
        <f>"5110722"</f>
        <v>5110722</v>
      </c>
      <c r="B25789" t="s">
        <v>461</v>
      </c>
      <c r="C25789" t="s">
        <v>547</v>
      </c>
      <c r="D25789" s="21" t="s">
        <v>34</v>
      </c>
      <c r="E25789" s="21" t="s">
        <v>71</v>
      </c>
      <c r="F25789">
        <v>6510029</v>
      </c>
      <c r="G25789" t="s">
        <v>1879</v>
      </c>
      <c r="H25789" s="21">
        <v>630.66999999999996</v>
      </c>
    </row>
    <row r="25790" spans="1:8" customFormat="1" x14ac:dyDescent="0.25">
      <c r="A25790" t="str">
        <f>"474402"</f>
        <v>474402</v>
      </c>
      <c r="B25790" t="s">
        <v>18470</v>
      </c>
      <c r="C25790" t="s">
        <v>18471</v>
      </c>
      <c r="D25790" s="21" t="s">
        <v>34</v>
      </c>
      <c r="E25790" s="21" t="s">
        <v>71</v>
      </c>
      <c r="F25790">
        <v>10470004</v>
      </c>
      <c r="G25790" t="s">
        <v>15474</v>
      </c>
      <c r="H25790" s="21">
        <v>630.66999999999996</v>
      </c>
    </row>
    <row r="25791" spans="1:8" customFormat="1" x14ac:dyDescent="0.25">
      <c r="A25791" t="str">
        <f>"6713233"</f>
        <v>6713233</v>
      </c>
      <c r="B25791" t="s">
        <v>3971</v>
      </c>
      <c r="C25791" t="s">
        <v>269</v>
      </c>
      <c r="D25791" s="21" t="s">
        <v>34</v>
      </c>
      <c r="E25791" s="21" t="s">
        <v>71</v>
      </c>
      <c r="F25791">
        <v>6670187</v>
      </c>
      <c r="G25791" t="s">
        <v>240</v>
      </c>
      <c r="H25791" s="21">
        <v>630.66999999999996</v>
      </c>
    </row>
    <row r="25792" spans="1:8" customFormat="1" x14ac:dyDescent="0.25">
      <c r="A25792" t="str">
        <f>"05655"</f>
        <v>05655</v>
      </c>
      <c r="B25792" t="s">
        <v>7330</v>
      </c>
      <c r="C25792" t="s">
        <v>817</v>
      </c>
      <c r="D25792" s="21" t="s">
        <v>34</v>
      </c>
      <c r="E25792" s="21" t="s">
        <v>71</v>
      </c>
      <c r="F25792">
        <v>13050013</v>
      </c>
      <c r="G25792" t="s">
        <v>6666</v>
      </c>
      <c r="H25792" s="21">
        <v>630.41999999999996</v>
      </c>
    </row>
    <row r="25793" spans="1:8" customFormat="1" x14ac:dyDescent="0.25">
      <c r="A25793" t="str">
        <f>"125073"</f>
        <v>125073</v>
      </c>
      <c r="B25793" t="s">
        <v>5748</v>
      </c>
      <c r="C25793" t="s">
        <v>750</v>
      </c>
      <c r="D25793" s="21" t="s">
        <v>34</v>
      </c>
      <c r="E25793" s="21" t="s">
        <v>71</v>
      </c>
      <c r="F25793">
        <v>11120004</v>
      </c>
      <c r="G25793" t="s">
        <v>2311</v>
      </c>
      <c r="H25793" s="21">
        <v>630.41999999999996</v>
      </c>
    </row>
    <row r="25794" spans="1:8" customFormat="1" x14ac:dyDescent="0.25">
      <c r="A25794" t="str">
        <f>"2219422"</f>
        <v>2219422</v>
      </c>
      <c r="B25794" t="s">
        <v>19867</v>
      </c>
      <c r="C25794" t="s">
        <v>513</v>
      </c>
      <c r="D25794" s="21" t="s">
        <v>34</v>
      </c>
      <c r="E25794" s="21" t="s">
        <v>35</v>
      </c>
      <c r="F25794">
        <v>3220037</v>
      </c>
      <c r="G25794" t="s">
        <v>13306</v>
      </c>
      <c r="H25794" s="21">
        <v>630.41999999999996</v>
      </c>
    </row>
    <row r="25795" spans="1:8" customFormat="1" x14ac:dyDescent="0.25">
      <c r="A25795" t="str">
        <f>"9B263"</f>
        <v>9B263</v>
      </c>
      <c r="B25795" t="s">
        <v>11670</v>
      </c>
      <c r="C25795" t="s">
        <v>1914</v>
      </c>
      <c r="D25795" s="21" t="s">
        <v>34</v>
      </c>
      <c r="E25795" s="21" t="s">
        <v>35</v>
      </c>
      <c r="F25795" t="s">
        <v>10239</v>
      </c>
      <c r="G25795" t="s">
        <v>10240</v>
      </c>
      <c r="H25795" s="21">
        <v>630.29</v>
      </c>
    </row>
    <row r="25796" spans="1:8" customFormat="1" x14ac:dyDescent="0.25">
      <c r="A25796" t="str">
        <f>"4214385"</f>
        <v>4214385</v>
      </c>
      <c r="B25796" t="s">
        <v>18106</v>
      </c>
      <c r="C25796" t="s">
        <v>18107</v>
      </c>
      <c r="D25796" s="21" t="s">
        <v>34</v>
      </c>
      <c r="E25796" s="21" t="s">
        <v>254</v>
      </c>
      <c r="F25796">
        <v>1420149</v>
      </c>
      <c r="G25796" t="s">
        <v>818</v>
      </c>
      <c r="H25796" s="21">
        <v>630.16999999999996</v>
      </c>
    </row>
    <row r="25797" spans="1:8" customFormat="1" x14ac:dyDescent="0.25">
      <c r="A25797" t="str">
        <f>"3411183"</f>
        <v>3411183</v>
      </c>
      <c r="B25797" t="s">
        <v>27876</v>
      </c>
      <c r="C25797" t="s">
        <v>305</v>
      </c>
      <c r="D25797" s="21" t="s">
        <v>34</v>
      </c>
      <c r="E25797" s="21" t="s">
        <v>35</v>
      </c>
      <c r="F25797">
        <v>11340047</v>
      </c>
      <c r="G25797" t="s">
        <v>4303</v>
      </c>
      <c r="H25797" s="21">
        <v>630.16999999999996</v>
      </c>
    </row>
    <row r="25798" spans="1:8" customFormat="1" x14ac:dyDescent="0.25">
      <c r="A25798" t="str">
        <f>"154057"</f>
        <v>154057</v>
      </c>
      <c r="B25798" t="s">
        <v>22498</v>
      </c>
      <c r="C25798" t="s">
        <v>82</v>
      </c>
      <c r="D25798" s="21" t="s">
        <v>34</v>
      </c>
      <c r="E25798" s="21" t="s">
        <v>35</v>
      </c>
      <c r="F25798">
        <v>1150299</v>
      </c>
      <c r="G25798" t="s">
        <v>22499</v>
      </c>
      <c r="H25798" s="21">
        <v>630.16999999999996</v>
      </c>
    </row>
    <row r="25799" spans="1:8" customFormat="1" x14ac:dyDescent="0.25">
      <c r="A25799" t="str">
        <f>"9452818"</f>
        <v>9452818</v>
      </c>
      <c r="B25799" t="s">
        <v>21112</v>
      </c>
      <c r="C25799" t="s">
        <v>169</v>
      </c>
      <c r="D25799" s="21" t="s">
        <v>34</v>
      </c>
      <c r="E25799" s="21" t="s">
        <v>35</v>
      </c>
      <c r="F25799">
        <v>8751163</v>
      </c>
      <c r="G25799" t="s">
        <v>80</v>
      </c>
      <c r="H25799" s="21">
        <v>630.16999999999996</v>
      </c>
    </row>
    <row r="25800" spans="1:8" customFormat="1" x14ac:dyDescent="0.25">
      <c r="A25800" t="str">
        <f>"6314565"</f>
        <v>6314565</v>
      </c>
      <c r="B25800" t="s">
        <v>17696</v>
      </c>
      <c r="C25800" t="s">
        <v>486</v>
      </c>
      <c r="D25800" s="21" t="s">
        <v>34</v>
      </c>
      <c r="E25800" s="21" t="s">
        <v>35</v>
      </c>
      <c r="F25800">
        <v>1630327</v>
      </c>
      <c r="G25800" t="s">
        <v>13353</v>
      </c>
      <c r="H25800" s="21">
        <v>630.16999999999996</v>
      </c>
    </row>
    <row r="25801" spans="1:8" customFormat="1" x14ac:dyDescent="0.25">
      <c r="A25801" t="str">
        <f>"4447683"</f>
        <v>4447683</v>
      </c>
      <c r="B25801" t="s">
        <v>9480</v>
      </c>
      <c r="C25801" t="s">
        <v>43</v>
      </c>
      <c r="D25801" s="21" t="s">
        <v>34</v>
      </c>
      <c r="E25801" s="21" t="s">
        <v>35</v>
      </c>
      <c r="F25801">
        <v>12440142</v>
      </c>
      <c r="G25801" t="s">
        <v>3285</v>
      </c>
      <c r="H25801" s="21">
        <v>630.16999999999996</v>
      </c>
    </row>
    <row r="25802" spans="1:8" customFormat="1" x14ac:dyDescent="0.25">
      <c r="A25802" t="str">
        <f>"188383"</f>
        <v>188383</v>
      </c>
      <c r="B25802" t="s">
        <v>2189</v>
      </c>
      <c r="C25802" t="s">
        <v>204</v>
      </c>
      <c r="D25802" s="21" t="s">
        <v>34</v>
      </c>
      <c r="E25802" s="21" t="s">
        <v>35</v>
      </c>
      <c r="F25802">
        <v>4180682</v>
      </c>
      <c r="G25802" t="s">
        <v>5261</v>
      </c>
      <c r="H25802" s="21">
        <v>630.16999999999996</v>
      </c>
    </row>
    <row r="25803" spans="1:8" customFormat="1" x14ac:dyDescent="0.25">
      <c r="A25803" t="str">
        <f>"2215324"</f>
        <v>2215324</v>
      </c>
      <c r="B25803" t="s">
        <v>20165</v>
      </c>
      <c r="C25803" t="s">
        <v>249</v>
      </c>
      <c r="D25803" s="21" t="s">
        <v>34</v>
      </c>
      <c r="E25803" s="21" t="s">
        <v>254</v>
      </c>
      <c r="F25803">
        <v>3220132</v>
      </c>
      <c r="G25803" t="s">
        <v>27242</v>
      </c>
      <c r="H25803" s="21">
        <v>630.16999999999996</v>
      </c>
    </row>
    <row r="25804" spans="1:8" customFormat="1" x14ac:dyDescent="0.25">
      <c r="A25804" t="str">
        <f>"676882"</f>
        <v>676882</v>
      </c>
      <c r="B25804" t="s">
        <v>19363</v>
      </c>
      <c r="C25804" t="s">
        <v>269</v>
      </c>
      <c r="D25804" s="21" t="s">
        <v>34</v>
      </c>
      <c r="E25804" s="21" t="s">
        <v>35</v>
      </c>
      <c r="F25804">
        <v>6670219</v>
      </c>
      <c r="G25804" t="s">
        <v>9361</v>
      </c>
      <c r="H25804" s="21">
        <v>630.16999999999996</v>
      </c>
    </row>
    <row r="25805" spans="1:8" customFormat="1" x14ac:dyDescent="0.25">
      <c r="A25805" t="str">
        <f>"357797"</f>
        <v>357797</v>
      </c>
      <c r="B25805" t="s">
        <v>16840</v>
      </c>
      <c r="C25805" t="s">
        <v>16841</v>
      </c>
      <c r="D25805" s="21" t="s">
        <v>34</v>
      </c>
      <c r="E25805" s="21" t="s">
        <v>254</v>
      </c>
      <c r="F25805">
        <v>3350063</v>
      </c>
      <c r="G25805" t="s">
        <v>14782</v>
      </c>
      <c r="H25805" s="21">
        <v>630.16999999999996</v>
      </c>
    </row>
    <row r="25806" spans="1:8" customFormat="1" x14ac:dyDescent="0.25">
      <c r="A25806" t="str">
        <f>"5910773"</f>
        <v>5910773</v>
      </c>
      <c r="B25806" t="s">
        <v>4344</v>
      </c>
      <c r="C25806" t="s">
        <v>60</v>
      </c>
      <c r="D25806" s="21" t="s">
        <v>34</v>
      </c>
      <c r="E25806" s="21" t="s">
        <v>35</v>
      </c>
      <c r="F25806">
        <v>7590404</v>
      </c>
      <c r="G25806" t="s">
        <v>12173</v>
      </c>
      <c r="H25806" s="21">
        <v>630.16999999999996</v>
      </c>
    </row>
    <row r="25807" spans="1:8" customFormat="1" x14ac:dyDescent="0.25">
      <c r="A25807" t="str">
        <f>"589095"</f>
        <v>589095</v>
      </c>
      <c r="B25807" t="s">
        <v>18872</v>
      </c>
      <c r="C25807" t="s">
        <v>144</v>
      </c>
      <c r="D25807" s="21" t="s">
        <v>34</v>
      </c>
      <c r="E25807" s="21" t="s">
        <v>35</v>
      </c>
      <c r="F25807">
        <v>2580007</v>
      </c>
      <c r="G25807" t="s">
        <v>1503</v>
      </c>
      <c r="H25807" s="21">
        <v>630.16999999999996</v>
      </c>
    </row>
    <row r="25808" spans="1:8" customFormat="1" x14ac:dyDescent="0.25">
      <c r="A25808" t="str">
        <f>"279697"</f>
        <v>279697</v>
      </c>
      <c r="B25808" t="s">
        <v>19599</v>
      </c>
      <c r="C25808" t="s">
        <v>302</v>
      </c>
      <c r="D25808" s="21" t="s">
        <v>34</v>
      </c>
      <c r="E25808" s="21" t="s">
        <v>35</v>
      </c>
      <c r="F25808">
        <v>8781413</v>
      </c>
      <c r="G25808" t="s">
        <v>13028</v>
      </c>
      <c r="H25808" s="21">
        <v>630.16999999999996</v>
      </c>
    </row>
    <row r="25809" spans="1:8" customFormat="1" x14ac:dyDescent="0.25">
      <c r="A25809" t="str">
        <f>"6110193"</f>
        <v>6110193</v>
      </c>
      <c r="B25809" t="s">
        <v>20948</v>
      </c>
      <c r="C25809" t="s">
        <v>598</v>
      </c>
      <c r="D25809" s="21" t="s">
        <v>34</v>
      </c>
      <c r="E25809" s="21" t="s">
        <v>71</v>
      </c>
      <c r="F25809">
        <v>9610017</v>
      </c>
      <c r="G25809" t="s">
        <v>12194</v>
      </c>
      <c r="H25809" s="21">
        <v>630.16999999999996</v>
      </c>
    </row>
    <row r="25810" spans="1:8" customFormat="1" x14ac:dyDescent="0.25">
      <c r="A25810" t="str">
        <f>"166966"</f>
        <v>166966</v>
      </c>
      <c r="B25810" t="s">
        <v>10109</v>
      </c>
      <c r="C25810" t="s">
        <v>3712</v>
      </c>
      <c r="D25810" s="21" t="s">
        <v>34</v>
      </c>
      <c r="E25810" s="21" t="s">
        <v>35</v>
      </c>
      <c r="F25810">
        <v>10160122</v>
      </c>
      <c r="G25810" t="s">
        <v>8169</v>
      </c>
      <c r="H25810" s="21">
        <v>630.16999999999996</v>
      </c>
    </row>
    <row r="25811" spans="1:8" customFormat="1" x14ac:dyDescent="0.25">
      <c r="A25811" t="str">
        <f>"3326133"</f>
        <v>3326133</v>
      </c>
      <c r="B25811" t="s">
        <v>21137</v>
      </c>
      <c r="C25811" t="s">
        <v>87</v>
      </c>
      <c r="D25811" s="21" t="s">
        <v>34</v>
      </c>
      <c r="E25811" s="21" t="s">
        <v>35</v>
      </c>
      <c r="F25811">
        <v>10330025</v>
      </c>
      <c r="G25811" t="s">
        <v>4450</v>
      </c>
      <c r="H25811" s="21">
        <v>629.91999999999996</v>
      </c>
    </row>
    <row r="25812" spans="1:8" customFormat="1" x14ac:dyDescent="0.25">
      <c r="A25812" t="str">
        <f>"8314744"</f>
        <v>8314744</v>
      </c>
      <c r="B25812" t="s">
        <v>21767</v>
      </c>
      <c r="C25812" t="s">
        <v>169</v>
      </c>
      <c r="D25812" s="21" t="s">
        <v>34</v>
      </c>
      <c r="E25812" s="21" t="s">
        <v>35</v>
      </c>
      <c r="F25812">
        <v>13830062</v>
      </c>
      <c r="G25812" t="s">
        <v>9074</v>
      </c>
      <c r="H25812" s="21">
        <v>629.91999999999996</v>
      </c>
    </row>
    <row r="25813" spans="1:8" customFormat="1" x14ac:dyDescent="0.25">
      <c r="A25813" t="str">
        <f>"2814519"</f>
        <v>2814519</v>
      </c>
      <c r="B25813" t="s">
        <v>2658</v>
      </c>
      <c r="C25813" t="s">
        <v>269</v>
      </c>
      <c r="D25813" s="21" t="s">
        <v>34</v>
      </c>
      <c r="E25813" s="21" t="s">
        <v>71</v>
      </c>
      <c r="F25813">
        <v>4280004</v>
      </c>
      <c r="G25813" t="s">
        <v>91</v>
      </c>
      <c r="H25813" s="21">
        <v>629.79</v>
      </c>
    </row>
    <row r="25814" spans="1:8" customFormat="1" x14ac:dyDescent="0.25">
      <c r="A25814" t="str">
        <f>"23989"</f>
        <v>23989</v>
      </c>
      <c r="B25814" t="s">
        <v>20113</v>
      </c>
      <c r="C25814" t="s">
        <v>2907</v>
      </c>
      <c r="D25814" s="21" t="s">
        <v>34</v>
      </c>
      <c r="E25814" s="21" t="s">
        <v>254</v>
      </c>
      <c r="F25814">
        <v>10230067</v>
      </c>
      <c r="G25814" t="s">
        <v>912</v>
      </c>
      <c r="H25814" s="21">
        <v>629.66999999999996</v>
      </c>
    </row>
    <row r="25815" spans="1:8" customFormat="1" x14ac:dyDescent="0.25">
      <c r="A25815" t="str">
        <f>"7512473"</f>
        <v>7512473</v>
      </c>
      <c r="B25815" t="s">
        <v>18168</v>
      </c>
      <c r="C25815" t="s">
        <v>15109</v>
      </c>
      <c r="D25815" s="21" t="s">
        <v>34</v>
      </c>
      <c r="E25815" s="21" t="s">
        <v>35</v>
      </c>
      <c r="F25815">
        <v>4280045</v>
      </c>
      <c r="G25815" t="s">
        <v>787</v>
      </c>
      <c r="H25815" s="21">
        <v>629.66999999999996</v>
      </c>
    </row>
    <row r="25816" spans="1:8" customFormat="1" x14ac:dyDescent="0.25">
      <c r="A25816" t="str">
        <f>"9225185"</f>
        <v>9225185</v>
      </c>
      <c r="B25816" t="s">
        <v>6265</v>
      </c>
      <c r="C25816" t="s">
        <v>209</v>
      </c>
      <c r="D25816" s="21" t="s">
        <v>34</v>
      </c>
      <c r="E25816" s="21" t="s">
        <v>71</v>
      </c>
      <c r="F25816">
        <v>8910642</v>
      </c>
      <c r="G25816" t="s">
        <v>27027</v>
      </c>
      <c r="H25816" s="21">
        <v>629.66999999999996</v>
      </c>
    </row>
    <row r="25817" spans="1:8" customFormat="1" x14ac:dyDescent="0.25">
      <c r="A25817" t="str">
        <f>"667883"</f>
        <v>667883</v>
      </c>
      <c r="B25817" t="s">
        <v>146</v>
      </c>
      <c r="C25817" t="s">
        <v>187</v>
      </c>
      <c r="D25817" s="21" t="s">
        <v>34</v>
      </c>
      <c r="E25817" s="21" t="s">
        <v>35</v>
      </c>
      <c r="F25817">
        <v>11660009</v>
      </c>
      <c r="G25817" t="s">
        <v>26624</v>
      </c>
      <c r="H25817" s="21">
        <v>629.66999999999996</v>
      </c>
    </row>
    <row r="25818" spans="1:8" customFormat="1" x14ac:dyDescent="0.25">
      <c r="A25818" t="str">
        <f>"7412852"</f>
        <v>7412852</v>
      </c>
      <c r="B25818" t="s">
        <v>20088</v>
      </c>
      <c r="C25818" t="s">
        <v>3784</v>
      </c>
      <c r="D25818" s="21" t="s">
        <v>34</v>
      </c>
      <c r="E25818" s="21" t="s">
        <v>71</v>
      </c>
      <c r="F25818">
        <v>1010059</v>
      </c>
      <c r="G25818" t="s">
        <v>15570</v>
      </c>
      <c r="H25818" s="21">
        <v>629.66999999999996</v>
      </c>
    </row>
    <row r="25819" spans="1:8" customFormat="1" x14ac:dyDescent="0.25">
      <c r="A25819" t="str">
        <f>"2710321"</f>
        <v>2710321</v>
      </c>
      <c r="B25819" t="s">
        <v>3197</v>
      </c>
      <c r="C25819" t="s">
        <v>825</v>
      </c>
      <c r="D25819" s="21" t="s">
        <v>34</v>
      </c>
      <c r="E25819" s="21" t="s">
        <v>35</v>
      </c>
      <c r="F25819">
        <v>9270030</v>
      </c>
      <c r="G25819" t="s">
        <v>5853</v>
      </c>
      <c r="H25819" s="21">
        <v>629.66999999999996</v>
      </c>
    </row>
    <row r="25820" spans="1:8" customFormat="1" x14ac:dyDescent="0.25">
      <c r="A25820" t="str">
        <f>"787098"</f>
        <v>787098</v>
      </c>
      <c r="B25820" t="s">
        <v>10741</v>
      </c>
      <c r="C25820" t="s">
        <v>412</v>
      </c>
      <c r="D25820" s="21" t="s">
        <v>34</v>
      </c>
      <c r="E25820" s="21" t="s">
        <v>1089</v>
      </c>
      <c r="F25820">
        <v>8780016</v>
      </c>
      <c r="G25820" t="s">
        <v>3153</v>
      </c>
      <c r="H25820" s="21">
        <v>629.66999999999996</v>
      </c>
    </row>
    <row r="25821" spans="1:8" customFormat="1" x14ac:dyDescent="0.25">
      <c r="A25821" t="str">
        <f>"7632449"</f>
        <v>7632449</v>
      </c>
      <c r="B25821" t="s">
        <v>17753</v>
      </c>
      <c r="C25821" t="s">
        <v>139</v>
      </c>
      <c r="D25821" s="21" t="s">
        <v>34</v>
      </c>
      <c r="E25821" s="21" t="s">
        <v>35</v>
      </c>
      <c r="F25821">
        <v>9760457</v>
      </c>
      <c r="G25821" t="s">
        <v>6912</v>
      </c>
      <c r="H25821" s="21">
        <v>629.66999999999996</v>
      </c>
    </row>
    <row r="25822" spans="1:8" customFormat="1" x14ac:dyDescent="0.25">
      <c r="A25822" t="str">
        <f>"1416378"</f>
        <v>1416378</v>
      </c>
      <c r="B25822" t="s">
        <v>3001</v>
      </c>
      <c r="C25822" t="s">
        <v>528</v>
      </c>
      <c r="D25822" s="21" t="s">
        <v>34</v>
      </c>
      <c r="E25822" s="21" t="s">
        <v>254</v>
      </c>
      <c r="F25822">
        <v>9140019</v>
      </c>
      <c r="G25822" t="s">
        <v>3901</v>
      </c>
      <c r="H25822" s="21">
        <v>629.66999999999996</v>
      </c>
    </row>
    <row r="25823" spans="1:8" customFormat="1" x14ac:dyDescent="0.25">
      <c r="A25823" t="str">
        <f>"1612402"</f>
        <v>1612402</v>
      </c>
      <c r="B25823" t="s">
        <v>11896</v>
      </c>
      <c r="C25823" t="s">
        <v>169</v>
      </c>
      <c r="D25823" s="21" t="s">
        <v>34</v>
      </c>
      <c r="E25823" s="21" t="s">
        <v>35</v>
      </c>
      <c r="F25823">
        <v>10160029</v>
      </c>
      <c r="G25823" t="s">
        <v>896</v>
      </c>
      <c r="H25823" s="21">
        <v>629.66999999999996</v>
      </c>
    </row>
    <row r="25824" spans="1:8" customFormat="1" x14ac:dyDescent="0.25">
      <c r="A25824" t="str">
        <f>"2215505"</f>
        <v>2215505</v>
      </c>
      <c r="B25824" t="s">
        <v>1574</v>
      </c>
      <c r="C25824" t="s">
        <v>130</v>
      </c>
      <c r="D25824" s="21" t="s">
        <v>34</v>
      </c>
      <c r="E25824" s="21" t="s">
        <v>254</v>
      </c>
      <c r="F25824">
        <v>3220013</v>
      </c>
      <c r="G25824" t="s">
        <v>27198</v>
      </c>
      <c r="H25824" s="21">
        <v>629.66999999999996</v>
      </c>
    </row>
    <row r="25825" spans="1:8" customFormat="1" x14ac:dyDescent="0.25">
      <c r="A25825" t="str">
        <f>"4445884"</f>
        <v>4445884</v>
      </c>
      <c r="B25825" t="s">
        <v>7700</v>
      </c>
      <c r="C25825" t="s">
        <v>65</v>
      </c>
      <c r="D25825" s="21" t="s">
        <v>34</v>
      </c>
      <c r="E25825" s="21" t="s">
        <v>35</v>
      </c>
      <c r="F25825">
        <v>12440059</v>
      </c>
      <c r="G25825" t="s">
        <v>6697</v>
      </c>
      <c r="H25825" s="21">
        <v>629.66999999999996</v>
      </c>
    </row>
    <row r="25826" spans="1:8" customFormat="1" x14ac:dyDescent="0.25">
      <c r="A25826" t="str">
        <f>"18204"</f>
        <v>18204</v>
      </c>
      <c r="B25826" t="s">
        <v>19448</v>
      </c>
      <c r="C25826" t="s">
        <v>253</v>
      </c>
      <c r="D25826" s="21" t="s">
        <v>34</v>
      </c>
      <c r="E25826" s="21" t="s">
        <v>71</v>
      </c>
      <c r="F25826">
        <v>4180737</v>
      </c>
      <c r="G25826" t="s">
        <v>26856</v>
      </c>
      <c r="H25826" s="21">
        <v>629.66999999999996</v>
      </c>
    </row>
    <row r="25827" spans="1:8" customFormat="1" x14ac:dyDescent="0.25">
      <c r="A25827" t="str">
        <f>"2929185"</f>
        <v>2929185</v>
      </c>
      <c r="B25827" t="s">
        <v>19648</v>
      </c>
      <c r="C25827" t="s">
        <v>664</v>
      </c>
      <c r="D25827" s="21" t="s">
        <v>34</v>
      </c>
      <c r="E25827" s="21" t="s">
        <v>71</v>
      </c>
      <c r="F25827">
        <v>3290039</v>
      </c>
      <c r="G25827" t="s">
        <v>3988</v>
      </c>
      <c r="H25827" s="21">
        <v>629.66999999999996</v>
      </c>
    </row>
    <row r="25828" spans="1:8" customFormat="1" x14ac:dyDescent="0.25">
      <c r="A25828" t="str">
        <f>"197977"</f>
        <v>197977</v>
      </c>
      <c r="B25828" t="s">
        <v>18757</v>
      </c>
      <c r="C25828" t="s">
        <v>249</v>
      </c>
      <c r="D25828" s="21" t="s">
        <v>34</v>
      </c>
      <c r="E25828" s="21" t="s">
        <v>35</v>
      </c>
      <c r="F25828">
        <v>10190080</v>
      </c>
      <c r="G25828" t="s">
        <v>1726</v>
      </c>
      <c r="H25828" s="21">
        <v>629.66999999999996</v>
      </c>
    </row>
    <row r="25829" spans="1:8" customFormat="1" x14ac:dyDescent="0.25">
      <c r="A25829" t="str">
        <f>"3535396"</f>
        <v>3535396</v>
      </c>
      <c r="B25829" t="s">
        <v>5539</v>
      </c>
      <c r="C25829" t="s">
        <v>33</v>
      </c>
      <c r="D25829" s="21" t="s">
        <v>34</v>
      </c>
      <c r="E25829" s="21" t="s">
        <v>71</v>
      </c>
      <c r="F25829">
        <v>3350113</v>
      </c>
      <c r="G25829" t="s">
        <v>7631</v>
      </c>
      <c r="H25829" s="21">
        <v>629.66999999999996</v>
      </c>
    </row>
    <row r="25830" spans="1:8" customFormat="1" x14ac:dyDescent="0.25">
      <c r="A25830" t="str">
        <f>"6310888"</f>
        <v>6310888</v>
      </c>
      <c r="B25830" t="s">
        <v>19097</v>
      </c>
      <c r="C25830" t="s">
        <v>656</v>
      </c>
      <c r="D25830" s="21" t="s">
        <v>34</v>
      </c>
      <c r="E25830" s="21" t="s">
        <v>35</v>
      </c>
      <c r="F25830">
        <v>1630184</v>
      </c>
      <c r="G25830" t="s">
        <v>26702</v>
      </c>
      <c r="H25830" s="21">
        <v>629.66999999999996</v>
      </c>
    </row>
    <row r="25831" spans="1:8" customFormat="1" x14ac:dyDescent="0.25">
      <c r="A25831" t="str">
        <f>"0211561"</f>
        <v>0211561</v>
      </c>
      <c r="B25831" t="s">
        <v>7636</v>
      </c>
      <c r="C25831" t="s">
        <v>3784</v>
      </c>
      <c r="D25831" s="21" t="s">
        <v>34</v>
      </c>
      <c r="E25831" s="21" t="s">
        <v>71</v>
      </c>
      <c r="F25831">
        <v>7020013</v>
      </c>
      <c r="G25831" t="s">
        <v>14136</v>
      </c>
      <c r="H25831" s="21">
        <v>629.66999999999996</v>
      </c>
    </row>
    <row r="25832" spans="1:8" customFormat="1" x14ac:dyDescent="0.25">
      <c r="A25832" t="str">
        <f>"8516282"</f>
        <v>8516282</v>
      </c>
      <c r="B25832" t="s">
        <v>17752</v>
      </c>
      <c r="C25832" t="s">
        <v>37</v>
      </c>
      <c r="D25832" s="21" t="s">
        <v>34</v>
      </c>
      <c r="E25832" s="21" t="s">
        <v>35</v>
      </c>
      <c r="F25832">
        <v>12851025</v>
      </c>
      <c r="G25832" t="s">
        <v>26858</v>
      </c>
      <c r="H25832" s="21">
        <v>629.66999999999996</v>
      </c>
    </row>
    <row r="25833" spans="1:8" customFormat="1" x14ac:dyDescent="0.25">
      <c r="A25833" t="str">
        <f>"1421928"</f>
        <v>1421928</v>
      </c>
      <c r="B25833" t="s">
        <v>18535</v>
      </c>
      <c r="C25833" t="s">
        <v>328</v>
      </c>
      <c r="D25833" s="21" t="s">
        <v>34</v>
      </c>
      <c r="E25833" s="21" t="s">
        <v>35</v>
      </c>
      <c r="F25833">
        <v>9140115</v>
      </c>
      <c r="G25833" t="s">
        <v>26590</v>
      </c>
      <c r="H25833" s="21">
        <v>629.66999999999996</v>
      </c>
    </row>
    <row r="25834" spans="1:8" customFormat="1" x14ac:dyDescent="0.25">
      <c r="A25834" t="str">
        <f>"8015023"</f>
        <v>8015023</v>
      </c>
      <c r="B25834" t="s">
        <v>4834</v>
      </c>
      <c r="C25834" t="s">
        <v>656</v>
      </c>
      <c r="D25834" s="21" t="s">
        <v>34</v>
      </c>
      <c r="E25834" s="21" t="s">
        <v>35</v>
      </c>
      <c r="F25834">
        <v>7800018</v>
      </c>
      <c r="G25834" t="s">
        <v>10207</v>
      </c>
      <c r="H25834" s="21">
        <v>629.66999999999996</v>
      </c>
    </row>
    <row r="25835" spans="1:8" customFormat="1" x14ac:dyDescent="0.25">
      <c r="A25835" t="str">
        <f>"897113"</f>
        <v>897113</v>
      </c>
      <c r="B25835" t="s">
        <v>20097</v>
      </c>
      <c r="C25835" t="s">
        <v>1489</v>
      </c>
      <c r="D25835" s="21" t="s">
        <v>34</v>
      </c>
      <c r="E25835" s="21" t="s">
        <v>71</v>
      </c>
      <c r="F25835">
        <v>2890010</v>
      </c>
      <c r="G25835" t="s">
        <v>3790</v>
      </c>
      <c r="H25835" s="21">
        <v>629.66999999999996</v>
      </c>
    </row>
    <row r="25836" spans="1:8" customFormat="1" x14ac:dyDescent="0.25">
      <c r="A25836" t="str">
        <f>"3520490"</f>
        <v>3520490</v>
      </c>
      <c r="B25836" t="s">
        <v>3197</v>
      </c>
      <c r="C25836" t="s">
        <v>2479</v>
      </c>
      <c r="D25836" s="21" t="s">
        <v>34</v>
      </c>
      <c r="E25836" s="21" t="s">
        <v>71</v>
      </c>
      <c r="F25836">
        <v>3350026</v>
      </c>
      <c r="G25836" t="s">
        <v>16468</v>
      </c>
      <c r="H25836" s="21">
        <v>629.66999999999996</v>
      </c>
    </row>
    <row r="25837" spans="1:8" customFormat="1" x14ac:dyDescent="0.25">
      <c r="A25837" t="str">
        <f>"371128"</f>
        <v>371128</v>
      </c>
      <c r="B25837" t="s">
        <v>18788</v>
      </c>
      <c r="C25837" t="s">
        <v>1588</v>
      </c>
      <c r="D25837" s="21" t="s">
        <v>34</v>
      </c>
      <c r="E25837" s="21" t="s">
        <v>1089</v>
      </c>
      <c r="F25837">
        <v>4370442</v>
      </c>
      <c r="G25837" t="s">
        <v>7869</v>
      </c>
      <c r="H25837" s="21">
        <v>629.66999999999996</v>
      </c>
    </row>
    <row r="25838" spans="1:8" customFormat="1" x14ac:dyDescent="0.25">
      <c r="A25838" t="str">
        <f>"579067"</f>
        <v>579067</v>
      </c>
      <c r="B25838" t="s">
        <v>19155</v>
      </c>
      <c r="C25838" t="s">
        <v>2305</v>
      </c>
      <c r="D25838" s="21" t="s">
        <v>34</v>
      </c>
      <c r="E25838" s="21" t="s">
        <v>254</v>
      </c>
      <c r="F25838">
        <v>6570008</v>
      </c>
      <c r="G25838" t="s">
        <v>899</v>
      </c>
      <c r="H25838" s="21">
        <v>629.66999999999996</v>
      </c>
    </row>
    <row r="25839" spans="1:8" customFormat="1" x14ac:dyDescent="0.25">
      <c r="A25839" t="str">
        <f>"8315198"</f>
        <v>8315198</v>
      </c>
      <c r="B25839" t="s">
        <v>2625</v>
      </c>
      <c r="C25839" t="s">
        <v>169</v>
      </c>
      <c r="D25839" s="21" t="s">
        <v>34</v>
      </c>
      <c r="E25839" s="21" t="s">
        <v>35</v>
      </c>
      <c r="F25839">
        <v>13830085</v>
      </c>
      <c r="G25839" t="s">
        <v>478</v>
      </c>
      <c r="H25839" s="21">
        <v>629.66999999999996</v>
      </c>
    </row>
    <row r="25840" spans="1:8" customFormat="1" x14ac:dyDescent="0.25">
      <c r="A25840" t="str">
        <f>"5620168"</f>
        <v>5620168</v>
      </c>
      <c r="B25840" t="s">
        <v>21609</v>
      </c>
      <c r="C25840" t="s">
        <v>2529</v>
      </c>
      <c r="D25840" s="21" t="s">
        <v>34</v>
      </c>
      <c r="E25840" s="21" t="s">
        <v>71</v>
      </c>
      <c r="F25840">
        <v>3560023</v>
      </c>
      <c r="G25840" t="s">
        <v>8213</v>
      </c>
      <c r="H25840" s="21">
        <v>629.66999999999996</v>
      </c>
    </row>
    <row r="25841" spans="1:8" customFormat="1" x14ac:dyDescent="0.25">
      <c r="A25841" t="str">
        <f>"2216845"</f>
        <v>2216845</v>
      </c>
      <c r="B25841" t="s">
        <v>10392</v>
      </c>
      <c r="C25841" t="s">
        <v>55</v>
      </c>
      <c r="D25841" s="21" t="s">
        <v>34</v>
      </c>
      <c r="E25841" s="21" t="s">
        <v>71</v>
      </c>
      <c r="F25841">
        <v>3220123</v>
      </c>
      <c r="G25841" t="s">
        <v>26953</v>
      </c>
      <c r="H25841" s="21">
        <v>629.66999999999996</v>
      </c>
    </row>
    <row r="25842" spans="1:8" customFormat="1" x14ac:dyDescent="0.25">
      <c r="A25842" t="str">
        <f>"687689"</f>
        <v>687689</v>
      </c>
      <c r="B25842" t="s">
        <v>18841</v>
      </c>
      <c r="C25842" t="s">
        <v>2365</v>
      </c>
      <c r="D25842" s="21" t="s">
        <v>34</v>
      </c>
      <c r="E25842" s="21" t="s">
        <v>71</v>
      </c>
      <c r="F25842">
        <v>6570030</v>
      </c>
      <c r="G25842" t="s">
        <v>851</v>
      </c>
      <c r="H25842" s="21">
        <v>629.66999999999996</v>
      </c>
    </row>
    <row r="25843" spans="1:8" customFormat="1" x14ac:dyDescent="0.25">
      <c r="A25843" t="str">
        <f>"5621754"</f>
        <v>5621754</v>
      </c>
      <c r="B25843" t="s">
        <v>882</v>
      </c>
      <c r="C25843" t="s">
        <v>576</v>
      </c>
      <c r="D25843" s="21" t="s">
        <v>34</v>
      </c>
      <c r="E25843" s="21" t="s">
        <v>35</v>
      </c>
      <c r="F25843">
        <v>3560038</v>
      </c>
      <c r="G25843" t="s">
        <v>3598</v>
      </c>
      <c r="H25843" s="21">
        <v>629.66999999999996</v>
      </c>
    </row>
    <row r="25844" spans="1:8" customFormat="1" x14ac:dyDescent="0.25">
      <c r="A25844" t="str">
        <f>"9312311"</f>
        <v>9312311</v>
      </c>
      <c r="B25844" t="s">
        <v>18606</v>
      </c>
      <c r="C25844" t="s">
        <v>2100</v>
      </c>
      <c r="D25844" s="21" t="s">
        <v>34</v>
      </c>
      <c r="E25844" s="21" t="s">
        <v>71</v>
      </c>
      <c r="F25844">
        <v>8930003</v>
      </c>
      <c r="G25844" t="s">
        <v>13083</v>
      </c>
      <c r="H25844" s="21">
        <v>629.66999999999996</v>
      </c>
    </row>
    <row r="25845" spans="1:8" customFormat="1" x14ac:dyDescent="0.25">
      <c r="A25845" t="str">
        <f>"5617019"</f>
        <v>5617019</v>
      </c>
      <c r="B25845" t="s">
        <v>20074</v>
      </c>
      <c r="C25845" t="s">
        <v>1665</v>
      </c>
      <c r="D25845" s="21" t="s">
        <v>34</v>
      </c>
      <c r="E25845" s="21" t="s">
        <v>71</v>
      </c>
      <c r="F25845">
        <v>3560038</v>
      </c>
      <c r="G25845" t="s">
        <v>3598</v>
      </c>
      <c r="H25845" s="21">
        <v>629.66999999999996</v>
      </c>
    </row>
    <row r="25846" spans="1:8" customFormat="1" x14ac:dyDescent="0.25">
      <c r="A25846" t="str">
        <f>"524291"</f>
        <v>524291</v>
      </c>
      <c r="B25846" t="s">
        <v>650</v>
      </c>
      <c r="C25846" t="s">
        <v>484</v>
      </c>
      <c r="D25846" s="21" t="s">
        <v>34</v>
      </c>
      <c r="E25846" s="21" t="s">
        <v>35</v>
      </c>
      <c r="F25846">
        <v>6520040</v>
      </c>
      <c r="G25846" t="s">
        <v>16367</v>
      </c>
      <c r="H25846" s="21">
        <v>629.54</v>
      </c>
    </row>
    <row r="25847" spans="1:8" customFormat="1" x14ac:dyDescent="0.25">
      <c r="A25847" t="str">
        <f>"5326292"</f>
        <v>5326292</v>
      </c>
      <c r="B25847" t="s">
        <v>19679</v>
      </c>
      <c r="C25847" t="s">
        <v>87</v>
      </c>
      <c r="D25847" s="21" t="s">
        <v>34</v>
      </c>
      <c r="E25847" s="21" t="s">
        <v>35</v>
      </c>
      <c r="F25847">
        <v>12538910</v>
      </c>
      <c r="G25847" t="s">
        <v>8855</v>
      </c>
      <c r="H25847" s="21">
        <v>629.41999999999996</v>
      </c>
    </row>
    <row r="25848" spans="1:8" customFormat="1" x14ac:dyDescent="0.25">
      <c r="A25848" t="str">
        <f>"6712297"</f>
        <v>6712297</v>
      </c>
      <c r="B25848" t="s">
        <v>20050</v>
      </c>
      <c r="C25848" t="s">
        <v>156</v>
      </c>
      <c r="D25848" s="21" t="s">
        <v>34</v>
      </c>
      <c r="E25848" s="21" t="s">
        <v>254</v>
      </c>
      <c r="F25848">
        <v>6670064</v>
      </c>
      <c r="G25848" t="s">
        <v>9358</v>
      </c>
      <c r="H25848" s="21">
        <v>629.41999999999996</v>
      </c>
    </row>
    <row r="25849" spans="1:8" customFormat="1" x14ac:dyDescent="0.25">
      <c r="A25849" t="str">
        <f>"5425536"</f>
        <v>5425536</v>
      </c>
      <c r="B25849" t="s">
        <v>392</v>
      </c>
      <c r="C25849" t="s">
        <v>462</v>
      </c>
      <c r="D25849" s="21" t="s">
        <v>34</v>
      </c>
      <c r="E25849" s="21" t="s">
        <v>35</v>
      </c>
      <c r="F25849">
        <v>6540019</v>
      </c>
      <c r="G25849" t="s">
        <v>6413</v>
      </c>
      <c r="H25849" s="21">
        <v>629.41999999999996</v>
      </c>
    </row>
    <row r="25850" spans="1:8" customFormat="1" x14ac:dyDescent="0.25">
      <c r="A25850" t="str">
        <f>"5732475"</f>
        <v>5732475</v>
      </c>
      <c r="B25850" t="s">
        <v>17799</v>
      </c>
      <c r="C25850" t="s">
        <v>415</v>
      </c>
      <c r="D25850" s="21" t="s">
        <v>34</v>
      </c>
      <c r="E25850" s="21" t="s">
        <v>71</v>
      </c>
      <c r="F25850">
        <v>6570201</v>
      </c>
      <c r="G25850" t="s">
        <v>3296</v>
      </c>
      <c r="H25850" s="21">
        <v>629.41999999999996</v>
      </c>
    </row>
    <row r="25851" spans="1:8" customFormat="1" x14ac:dyDescent="0.25">
      <c r="A25851" t="str">
        <f>"9536469"</f>
        <v>9536469</v>
      </c>
      <c r="B25851" t="s">
        <v>11240</v>
      </c>
      <c r="C25851" t="s">
        <v>412</v>
      </c>
      <c r="D25851" s="21" t="s">
        <v>34</v>
      </c>
      <c r="E25851" s="21" t="s">
        <v>71</v>
      </c>
      <c r="F25851">
        <v>8950978</v>
      </c>
      <c r="G25851" t="s">
        <v>1164</v>
      </c>
      <c r="H25851" s="21">
        <v>629.41999999999996</v>
      </c>
    </row>
    <row r="25852" spans="1:8" customFormat="1" x14ac:dyDescent="0.25">
      <c r="A25852" t="str">
        <f>"7518989"</f>
        <v>7518989</v>
      </c>
      <c r="B25852" t="s">
        <v>465</v>
      </c>
      <c r="C25852" t="s">
        <v>33</v>
      </c>
      <c r="D25852" s="21" t="s">
        <v>34</v>
      </c>
      <c r="E25852" s="21" t="s">
        <v>35</v>
      </c>
      <c r="F25852">
        <v>8750536</v>
      </c>
      <c r="G25852" t="s">
        <v>11689</v>
      </c>
      <c r="H25852" s="21">
        <v>629.29</v>
      </c>
    </row>
    <row r="25853" spans="1:8" customFormat="1" x14ac:dyDescent="0.25">
      <c r="A25853" t="str">
        <f>"8815569"</f>
        <v>8815569</v>
      </c>
      <c r="B25853" t="s">
        <v>20541</v>
      </c>
      <c r="C25853" t="s">
        <v>5966</v>
      </c>
      <c r="D25853" s="21" t="s">
        <v>34</v>
      </c>
      <c r="E25853" s="21" t="s">
        <v>35</v>
      </c>
      <c r="F25853">
        <v>6880145</v>
      </c>
      <c r="G25853" t="s">
        <v>1303</v>
      </c>
      <c r="H25853" s="21">
        <v>629.16999999999996</v>
      </c>
    </row>
    <row r="25854" spans="1:8" customFormat="1" x14ac:dyDescent="0.25">
      <c r="A25854" t="str">
        <f>"9142818"</f>
        <v>9142818</v>
      </c>
      <c r="B25854" t="s">
        <v>2398</v>
      </c>
      <c r="C25854" t="s">
        <v>608</v>
      </c>
      <c r="D25854" s="21" t="s">
        <v>34</v>
      </c>
      <c r="E25854" s="21" t="s">
        <v>71</v>
      </c>
      <c r="F25854">
        <v>8910916</v>
      </c>
      <c r="G25854" t="s">
        <v>2251</v>
      </c>
      <c r="H25854" s="21">
        <v>629.16999999999996</v>
      </c>
    </row>
    <row r="25855" spans="1:8" customFormat="1" x14ac:dyDescent="0.25">
      <c r="A25855" t="str">
        <f>"7874261"</f>
        <v>7874261</v>
      </c>
      <c r="B25855" t="s">
        <v>10543</v>
      </c>
      <c r="C25855" t="s">
        <v>288</v>
      </c>
      <c r="D25855" s="21" t="s">
        <v>34</v>
      </c>
      <c r="E25855" s="21" t="s">
        <v>35</v>
      </c>
      <c r="F25855">
        <v>8781017</v>
      </c>
      <c r="G25855" t="s">
        <v>2581</v>
      </c>
      <c r="H25855" s="21">
        <v>629.16999999999996</v>
      </c>
    </row>
    <row r="25856" spans="1:8" customFormat="1" x14ac:dyDescent="0.25">
      <c r="A25856" t="str">
        <f>"8437"</f>
        <v>8437</v>
      </c>
      <c r="B25856" t="s">
        <v>10976</v>
      </c>
      <c r="C25856" t="s">
        <v>156</v>
      </c>
      <c r="D25856" s="21" t="s">
        <v>34</v>
      </c>
      <c r="E25856" s="21" t="s">
        <v>6185</v>
      </c>
      <c r="F25856">
        <v>13840004</v>
      </c>
      <c r="G25856" t="s">
        <v>8611</v>
      </c>
      <c r="H25856" s="21">
        <v>629.16999999999996</v>
      </c>
    </row>
    <row r="25857" spans="1:8" customFormat="1" x14ac:dyDescent="0.25">
      <c r="A25857" t="str">
        <f>"7621037"</f>
        <v>7621037</v>
      </c>
      <c r="B25857" t="s">
        <v>556</v>
      </c>
      <c r="C25857" t="s">
        <v>267</v>
      </c>
      <c r="D25857" s="21" t="s">
        <v>34</v>
      </c>
      <c r="E25857" s="21" t="s">
        <v>71</v>
      </c>
      <c r="F25857">
        <v>9760004</v>
      </c>
      <c r="G25857" t="s">
        <v>56</v>
      </c>
      <c r="H25857" s="21">
        <v>629.16999999999996</v>
      </c>
    </row>
    <row r="25858" spans="1:8" customFormat="1" x14ac:dyDescent="0.25">
      <c r="A25858" t="str">
        <f>"0210580"</f>
        <v>0210580</v>
      </c>
      <c r="B25858" t="s">
        <v>146</v>
      </c>
      <c r="C25858" t="s">
        <v>204</v>
      </c>
      <c r="D25858" s="21" t="s">
        <v>34</v>
      </c>
      <c r="E25858" s="21" t="s">
        <v>71</v>
      </c>
      <c r="F25858">
        <v>7020044</v>
      </c>
      <c r="G25858" t="s">
        <v>4690</v>
      </c>
      <c r="H25858" s="21">
        <v>629.16999999999996</v>
      </c>
    </row>
    <row r="25859" spans="1:8" customFormat="1" x14ac:dyDescent="0.25">
      <c r="A25859" t="str">
        <f>"067923"</f>
        <v>067923</v>
      </c>
      <c r="B25859" t="s">
        <v>5073</v>
      </c>
      <c r="C25859" t="s">
        <v>2904</v>
      </c>
      <c r="D25859" s="21" t="s">
        <v>34</v>
      </c>
      <c r="E25859" s="21" t="s">
        <v>254</v>
      </c>
      <c r="F25859">
        <v>13060029</v>
      </c>
      <c r="G25859" t="s">
        <v>1345</v>
      </c>
      <c r="H25859" s="21">
        <v>629.16999999999996</v>
      </c>
    </row>
    <row r="25860" spans="1:8" customFormat="1" x14ac:dyDescent="0.25">
      <c r="A25860" t="str">
        <f>"8019296"</f>
        <v>8019296</v>
      </c>
      <c r="B25860" t="s">
        <v>22543</v>
      </c>
      <c r="C25860" t="s">
        <v>124</v>
      </c>
      <c r="D25860" s="21" t="s">
        <v>34</v>
      </c>
      <c r="E25860" s="21" t="s">
        <v>71</v>
      </c>
      <c r="F25860">
        <v>7800006</v>
      </c>
      <c r="G25860" t="s">
        <v>6365</v>
      </c>
      <c r="H25860" s="21">
        <v>629.16999999999996</v>
      </c>
    </row>
    <row r="25861" spans="1:8" customFormat="1" x14ac:dyDescent="0.25">
      <c r="A25861" t="str">
        <f>"4451353"</f>
        <v>4451353</v>
      </c>
      <c r="B25861" t="s">
        <v>20925</v>
      </c>
      <c r="C25861" t="s">
        <v>7391</v>
      </c>
      <c r="D25861" s="21" t="s">
        <v>34</v>
      </c>
      <c r="E25861" s="21" t="s">
        <v>35</v>
      </c>
      <c r="F25861">
        <v>12440238</v>
      </c>
      <c r="G25861" t="s">
        <v>5258</v>
      </c>
      <c r="H25861" s="21">
        <v>629.16999999999996</v>
      </c>
    </row>
    <row r="25862" spans="1:8" customFormat="1" x14ac:dyDescent="0.25">
      <c r="A25862" t="str">
        <f>"4915067"</f>
        <v>4915067</v>
      </c>
      <c r="B25862" t="s">
        <v>971</v>
      </c>
      <c r="C25862" t="s">
        <v>926</v>
      </c>
      <c r="D25862" s="21" t="s">
        <v>34</v>
      </c>
      <c r="E25862" s="21" t="s">
        <v>71</v>
      </c>
      <c r="F25862">
        <v>12490080</v>
      </c>
      <c r="G25862" t="s">
        <v>5692</v>
      </c>
      <c r="H25862" s="21">
        <v>629.16999999999996</v>
      </c>
    </row>
    <row r="25863" spans="1:8" customFormat="1" x14ac:dyDescent="0.25">
      <c r="A25863" t="str">
        <f>"062629"</f>
        <v>062629</v>
      </c>
      <c r="B25863" t="s">
        <v>18312</v>
      </c>
      <c r="C25863" t="s">
        <v>233</v>
      </c>
      <c r="D25863" s="21" t="s">
        <v>34</v>
      </c>
      <c r="E25863" s="21" t="s">
        <v>71</v>
      </c>
      <c r="F25863">
        <v>13060072</v>
      </c>
      <c r="G25863" t="s">
        <v>6685</v>
      </c>
      <c r="H25863" s="21">
        <v>629.16999999999996</v>
      </c>
    </row>
    <row r="25864" spans="1:8" customFormat="1" x14ac:dyDescent="0.25">
      <c r="A25864" t="str">
        <f>"5725552"</f>
        <v>5725552</v>
      </c>
      <c r="B25864" t="s">
        <v>16008</v>
      </c>
      <c r="C25864" t="s">
        <v>249</v>
      </c>
      <c r="D25864" s="21" t="s">
        <v>34</v>
      </c>
      <c r="E25864" s="21" t="s">
        <v>35</v>
      </c>
      <c r="F25864">
        <v>6570008</v>
      </c>
      <c r="G25864" t="s">
        <v>899</v>
      </c>
      <c r="H25864" s="21">
        <v>629.16999999999996</v>
      </c>
    </row>
    <row r="25865" spans="1:8" customFormat="1" x14ac:dyDescent="0.25">
      <c r="A25865" t="str">
        <f>"461751"</f>
        <v>461751</v>
      </c>
      <c r="B25865" t="s">
        <v>22518</v>
      </c>
      <c r="C25865" t="s">
        <v>311</v>
      </c>
      <c r="D25865" s="21" t="s">
        <v>34</v>
      </c>
      <c r="E25865" s="21" t="s">
        <v>35</v>
      </c>
      <c r="F25865">
        <v>11460028</v>
      </c>
      <c r="G25865" t="s">
        <v>5243</v>
      </c>
      <c r="H25865" s="21">
        <v>629.16999999999996</v>
      </c>
    </row>
    <row r="25866" spans="1:8" customFormat="1" x14ac:dyDescent="0.25">
      <c r="A25866" t="str">
        <f>"2719611"</f>
        <v>2719611</v>
      </c>
      <c r="B25866" t="s">
        <v>21433</v>
      </c>
      <c r="C25866" t="s">
        <v>87</v>
      </c>
      <c r="D25866" s="21" t="s">
        <v>34</v>
      </c>
      <c r="E25866" s="21" t="s">
        <v>35</v>
      </c>
      <c r="F25866">
        <v>9270015</v>
      </c>
      <c r="G25866" t="s">
        <v>8095</v>
      </c>
      <c r="H25866" s="21">
        <v>629.16999999999996</v>
      </c>
    </row>
    <row r="25867" spans="1:8" customFormat="1" x14ac:dyDescent="0.25">
      <c r="A25867" t="str">
        <f>"6230143"</f>
        <v>6230143</v>
      </c>
      <c r="B25867" t="s">
        <v>20737</v>
      </c>
      <c r="C25867" t="s">
        <v>169</v>
      </c>
      <c r="D25867" s="21" t="s">
        <v>34</v>
      </c>
      <c r="E25867" s="21" t="s">
        <v>35</v>
      </c>
      <c r="F25867">
        <v>7620092</v>
      </c>
      <c r="G25867" t="s">
        <v>9874</v>
      </c>
      <c r="H25867" s="21">
        <v>629.16999999999996</v>
      </c>
    </row>
    <row r="25868" spans="1:8" customFormat="1" x14ac:dyDescent="0.25">
      <c r="A25868" t="str">
        <f>"6227663"</f>
        <v>6227663</v>
      </c>
      <c r="B25868" t="s">
        <v>10492</v>
      </c>
      <c r="C25868" t="s">
        <v>822</v>
      </c>
      <c r="D25868" s="21" t="s">
        <v>34</v>
      </c>
      <c r="E25868" s="21" t="s">
        <v>35</v>
      </c>
      <c r="F25868">
        <v>7620078</v>
      </c>
      <c r="G25868" t="s">
        <v>7192</v>
      </c>
      <c r="H25868" s="21">
        <v>629.16999999999996</v>
      </c>
    </row>
    <row r="25869" spans="1:8" customFormat="1" x14ac:dyDescent="0.25">
      <c r="A25869" t="str">
        <f>"6926281"</f>
        <v>6926281</v>
      </c>
      <c r="B25869" t="s">
        <v>18218</v>
      </c>
      <c r="C25869" t="s">
        <v>412</v>
      </c>
      <c r="D25869" s="21" t="s">
        <v>34</v>
      </c>
      <c r="E25869" s="21" t="s">
        <v>1089</v>
      </c>
      <c r="F25869">
        <v>11340072</v>
      </c>
      <c r="G25869" t="s">
        <v>4785</v>
      </c>
      <c r="H25869" s="21">
        <v>629.16999999999996</v>
      </c>
    </row>
    <row r="25870" spans="1:8" customFormat="1" x14ac:dyDescent="0.25">
      <c r="A25870" t="str">
        <f>"5922908"</f>
        <v>5922908</v>
      </c>
      <c r="B25870" t="s">
        <v>4834</v>
      </c>
      <c r="C25870" t="s">
        <v>2520</v>
      </c>
      <c r="D25870" s="21" t="s">
        <v>34</v>
      </c>
      <c r="E25870" s="21" t="s">
        <v>254</v>
      </c>
      <c r="F25870">
        <v>7590054</v>
      </c>
      <c r="G25870" t="s">
        <v>12599</v>
      </c>
      <c r="H25870" s="21">
        <v>629.16999999999996</v>
      </c>
    </row>
    <row r="25871" spans="1:8" customFormat="1" x14ac:dyDescent="0.25">
      <c r="A25871" t="str">
        <f>"939999"</f>
        <v>939999</v>
      </c>
      <c r="B25871" t="s">
        <v>18037</v>
      </c>
      <c r="C25871" t="s">
        <v>269</v>
      </c>
      <c r="D25871" s="21" t="s">
        <v>34</v>
      </c>
      <c r="E25871" s="21" t="s">
        <v>71</v>
      </c>
      <c r="F25871">
        <v>8931463</v>
      </c>
      <c r="G25871" t="s">
        <v>27685</v>
      </c>
      <c r="H25871" s="21">
        <v>629.16999999999996</v>
      </c>
    </row>
    <row r="25872" spans="1:8" customFormat="1" x14ac:dyDescent="0.25">
      <c r="A25872" t="str">
        <f>"1318674"</f>
        <v>1318674</v>
      </c>
      <c r="B25872" t="s">
        <v>21238</v>
      </c>
      <c r="C25872" t="s">
        <v>130</v>
      </c>
      <c r="D25872" s="21" t="s">
        <v>34</v>
      </c>
      <c r="E25872" s="21" t="s">
        <v>35</v>
      </c>
      <c r="F25872">
        <v>13130156</v>
      </c>
      <c r="G25872" t="s">
        <v>16738</v>
      </c>
      <c r="H25872" s="21">
        <v>629.16999999999996</v>
      </c>
    </row>
    <row r="25873" spans="1:8" customFormat="1" x14ac:dyDescent="0.25">
      <c r="A25873" t="str">
        <f>"246336"</f>
        <v>246336</v>
      </c>
      <c r="B25873" t="s">
        <v>20471</v>
      </c>
      <c r="C25873" t="s">
        <v>598</v>
      </c>
      <c r="D25873" s="21" t="s">
        <v>34</v>
      </c>
      <c r="E25873" s="21" t="s">
        <v>71</v>
      </c>
      <c r="F25873">
        <v>10240006</v>
      </c>
      <c r="G25873" t="s">
        <v>7296</v>
      </c>
      <c r="H25873" s="21">
        <v>629.16999999999996</v>
      </c>
    </row>
    <row r="25874" spans="1:8" customFormat="1" x14ac:dyDescent="0.25">
      <c r="A25874" t="str">
        <f>"229971"</f>
        <v>229971</v>
      </c>
      <c r="B25874" t="s">
        <v>19192</v>
      </c>
      <c r="C25874" t="s">
        <v>1597</v>
      </c>
      <c r="D25874" s="21" t="s">
        <v>34</v>
      </c>
      <c r="E25874" s="21" t="s">
        <v>254</v>
      </c>
      <c r="F25874">
        <v>3220008</v>
      </c>
      <c r="G25874" t="s">
        <v>6845</v>
      </c>
      <c r="H25874" s="21">
        <v>629.16999999999996</v>
      </c>
    </row>
    <row r="25875" spans="1:8" customFormat="1" x14ac:dyDescent="0.25">
      <c r="A25875" t="str">
        <f>"7844394"</f>
        <v>7844394</v>
      </c>
      <c r="B25875" t="s">
        <v>19716</v>
      </c>
      <c r="C25875" t="s">
        <v>204</v>
      </c>
      <c r="D25875" s="21" t="s">
        <v>34</v>
      </c>
      <c r="E25875" s="21" t="s">
        <v>71</v>
      </c>
      <c r="F25875">
        <v>8780107</v>
      </c>
      <c r="G25875" t="s">
        <v>4186</v>
      </c>
      <c r="H25875" s="21">
        <v>629.16999999999996</v>
      </c>
    </row>
    <row r="25876" spans="1:8" customFormat="1" x14ac:dyDescent="0.25">
      <c r="A25876" t="str">
        <f>"5314535"</f>
        <v>5314535</v>
      </c>
      <c r="B25876" t="s">
        <v>10303</v>
      </c>
      <c r="C25876" t="s">
        <v>249</v>
      </c>
      <c r="D25876" s="21" t="s">
        <v>34</v>
      </c>
      <c r="E25876" s="21" t="s">
        <v>71</v>
      </c>
      <c r="F25876">
        <v>12530093</v>
      </c>
      <c r="G25876" t="s">
        <v>7865</v>
      </c>
      <c r="H25876" s="21">
        <v>628.91999999999996</v>
      </c>
    </row>
    <row r="25877" spans="1:8" customFormat="1" x14ac:dyDescent="0.25">
      <c r="A25877" t="str">
        <f>"9144214"</f>
        <v>9144214</v>
      </c>
      <c r="B25877" t="s">
        <v>1103</v>
      </c>
      <c r="C25877" t="s">
        <v>62</v>
      </c>
      <c r="D25877" s="21" t="s">
        <v>34</v>
      </c>
      <c r="E25877" s="21" t="s">
        <v>35</v>
      </c>
      <c r="F25877">
        <v>8911464</v>
      </c>
      <c r="G25877" t="s">
        <v>17832</v>
      </c>
      <c r="H25877" s="21">
        <v>628.91999999999996</v>
      </c>
    </row>
    <row r="25878" spans="1:8" customFormat="1" x14ac:dyDescent="0.25">
      <c r="A25878" t="str">
        <f>"2935950"</f>
        <v>2935950</v>
      </c>
      <c r="B25878" t="s">
        <v>8708</v>
      </c>
      <c r="C25878" t="s">
        <v>2554</v>
      </c>
      <c r="D25878" s="21" t="s">
        <v>34</v>
      </c>
      <c r="E25878" s="21" t="s">
        <v>35</v>
      </c>
      <c r="F25878">
        <v>3290208</v>
      </c>
      <c r="G25878" t="s">
        <v>1553</v>
      </c>
      <c r="H25878" s="21">
        <v>628.91999999999996</v>
      </c>
    </row>
    <row r="25879" spans="1:8" customFormat="1" x14ac:dyDescent="0.25">
      <c r="A25879" t="str">
        <f>"373331"</f>
        <v>373331</v>
      </c>
      <c r="B25879" t="s">
        <v>4293</v>
      </c>
      <c r="C25879" t="s">
        <v>453</v>
      </c>
      <c r="D25879" s="21" t="s">
        <v>34</v>
      </c>
      <c r="E25879" s="21" t="s">
        <v>254</v>
      </c>
      <c r="F25879">
        <v>4370608</v>
      </c>
      <c r="G25879" t="s">
        <v>11068</v>
      </c>
      <c r="H25879" s="21">
        <v>628.66999999999996</v>
      </c>
    </row>
    <row r="25880" spans="1:8" customFormat="1" x14ac:dyDescent="0.25">
      <c r="A25880" t="str">
        <f>"877350"</f>
        <v>877350</v>
      </c>
      <c r="B25880" t="s">
        <v>18705</v>
      </c>
      <c r="C25880" t="s">
        <v>598</v>
      </c>
      <c r="D25880" s="21" t="s">
        <v>34</v>
      </c>
      <c r="E25880" s="21" t="s">
        <v>254</v>
      </c>
      <c r="F25880">
        <v>10870037</v>
      </c>
      <c r="G25880" t="s">
        <v>3554</v>
      </c>
      <c r="H25880" s="21">
        <v>628.66999999999996</v>
      </c>
    </row>
    <row r="25881" spans="1:8" customFormat="1" x14ac:dyDescent="0.25">
      <c r="A25881" t="str">
        <f>"9225943"</f>
        <v>9225943</v>
      </c>
      <c r="B25881" t="s">
        <v>20219</v>
      </c>
      <c r="C25881" t="s">
        <v>147</v>
      </c>
      <c r="D25881" s="21" t="s">
        <v>34</v>
      </c>
      <c r="E25881" s="21" t="s">
        <v>35</v>
      </c>
      <c r="F25881">
        <v>10330129</v>
      </c>
      <c r="G25881" t="s">
        <v>5977</v>
      </c>
      <c r="H25881" s="21">
        <v>628.66999999999996</v>
      </c>
    </row>
    <row r="25882" spans="1:8" customFormat="1" x14ac:dyDescent="0.25">
      <c r="A25882" t="str">
        <f>"153914"</f>
        <v>153914</v>
      </c>
      <c r="B25882" t="s">
        <v>14396</v>
      </c>
      <c r="C25882" t="s">
        <v>598</v>
      </c>
      <c r="D25882" s="21" t="s">
        <v>34</v>
      </c>
      <c r="E25882" s="21" t="s">
        <v>254</v>
      </c>
      <c r="F25882">
        <v>1150306</v>
      </c>
      <c r="G25882" t="s">
        <v>14324</v>
      </c>
      <c r="H25882" s="21">
        <v>628.66999999999996</v>
      </c>
    </row>
    <row r="25883" spans="1:8" customFormat="1" x14ac:dyDescent="0.25">
      <c r="A25883" t="str">
        <f>"198473"</f>
        <v>198473</v>
      </c>
      <c r="B25883" t="s">
        <v>20153</v>
      </c>
      <c r="C25883" t="s">
        <v>169</v>
      </c>
      <c r="D25883" s="21" t="s">
        <v>34</v>
      </c>
      <c r="E25883" s="21" t="s">
        <v>71</v>
      </c>
      <c r="F25883">
        <v>10190054</v>
      </c>
      <c r="G25883" t="s">
        <v>4189</v>
      </c>
      <c r="H25883" s="21">
        <v>628.66999999999996</v>
      </c>
    </row>
    <row r="25884" spans="1:8" customFormat="1" x14ac:dyDescent="0.25">
      <c r="A25884" t="str">
        <f>"801557"</f>
        <v>801557</v>
      </c>
      <c r="B25884" t="s">
        <v>18019</v>
      </c>
      <c r="C25884" t="s">
        <v>1025</v>
      </c>
      <c r="D25884" s="21" t="s">
        <v>34</v>
      </c>
      <c r="E25884" s="21" t="s">
        <v>6185</v>
      </c>
      <c r="F25884">
        <v>7800018</v>
      </c>
      <c r="G25884" t="s">
        <v>10207</v>
      </c>
      <c r="H25884" s="21">
        <v>628.66999999999996</v>
      </c>
    </row>
    <row r="25885" spans="1:8" customFormat="1" x14ac:dyDescent="0.25">
      <c r="A25885" t="str">
        <f>"1425586"</f>
        <v>1425586</v>
      </c>
      <c r="B25885" t="s">
        <v>5299</v>
      </c>
      <c r="C25885" t="s">
        <v>98</v>
      </c>
      <c r="D25885" s="21" t="s">
        <v>34</v>
      </c>
      <c r="E25885" s="21" t="s">
        <v>35</v>
      </c>
      <c r="F25885">
        <v>9140003</v>
      </c>
      <c r="G25885" t="s">
        <v>6152</v>
      </c>
      <c r="H25885" s="21">
        <v>628.66999999999996</v>
      </c>
    </row>
    <row r="25886" spans="1:8" customFormat="1" x14ac:dyDescent="0.25">
      <c r="A25886" t="str">
        <f>"5411591"</f>
        <v>5411591</v>
      </c>
      <c r="B25886" t="s">
        <v>1048</v>
      </c>
      <c r="C25886" t="s">
        <v>263</v>
      </c>
      <c r="D25886" s="21" t="s">
        <v>34</v>
      </c>
      <c r="E25886" s="21" t="s">
        <v>71</v>
      </c>
      <c r="F25886">
        <v>6540008</v>
      </c>
      <c r="G25886" t="s">
        <v>3891</v>
      </c>
      <c r="H25886" s="21">
        <v>628.66999999999996</v>
      </c>
    </row>
    <row r="25887" spans="1:8" customFormat="1" x14ac:dyDescent="0.25">
      <c r="A25887" t="str">
        <f>"5983845"</f>
        <v>5983845</v>
      </c>
      <c r="B25887" t="s">
        <v>8099</v>
      </c>
      <c r="C25887" t="s">
        <v>2479</v>
      </c>
      <c r="D25887" s="21" t="s">
        <v>34</v>
      </c>
      <c r="E25887" s="21" t="s">
        <v>35</v>
      </c>
      <c r="F25887">
        <v>7590416</v>
      </c>
      <c r="G25887" t="s">
        <v>16746</v>
      </c>
      <c r="H25887" s="21">
        <v>628.66999999999996</v>
      </c>
    </row>
    <row r="25888" spans="1:8" customFormat="1" x14ac:dyDescent="0.25">
      <c r="A25888" t="str">
        <f>"186755"</f>
        <v>186755</v>
      </c>
      <c r="B25888" t="s">
        <v>509</v>
      </c>
      <c r="C25888" t="s">
        <v>2533</v>
      </c>
      <c r="D25888" s="21" t="s">
        <v>34</v>
      </c>
      <c r="E25888" s="21" t="s">
        <v>35</v>
      </c>
      <c r="F25888">
        <v>4180718</v>
      </c>
      <c r="G25888" t="s">
        <v>8518</v>
      </c>
      <c r="H25888" s="21">
        <v>628.66999999999996</v>
      </c>
    </row>
    <row r="25889" spans="1:8" customFormat="1" x14ac:dyDescent="0.25">
      <c r="A25889" t="str">
        <f>"1326"</f>
        <v>1326</v>
      </c>
      <c r="B25889" t="s">
        <v>20527</v>
      </c>
      <c r="C25889" t="s">
        <v>3010</v>
      </c>
      <c r="D25889" s="21" t="s">
        <v>34</v>
      </c>
      <c r="E25889" s="21" t="s">
        <v>1089</v>
      </c>
      <c r="F25889">
        <v>13130049</v>
      </c>
      <c r="G25889" t="s">
        <v>13169</v>
      </c>
      <c r="H25889" s="21">
        <v>628.66999999999996</v>
      </c>
    </row>
    <row r="25890" spans="1:8" customFormat="1" x14ac:dyDescent="0.25">
      <c r="A25890" t="str">
        <f>"7629337"</f>
        <v>7629337</v>
      </c>
      <c r="B25890" t="s">
        <v>20277</v>
      </c>
      <c r="C25890" t="s">
        <v>43</v>
      </c>
      <c r="D25890" s="21" t="s">
        <v>34</v>
      </c>
      <c r="E25890" s="21" t="s">
        <v>35</v>
      </c>
      <c r="F25890">
        <v>9760004</v>
      </c>
      <c r="G25890" t="s">
        <v>56</v>
      </c>
      <c r="H25890" s="21">
        <v>628.66999999999996</v>
      </c>
    </row>
    <row r="25891" spans="1:8" customFormat="1" x14ac:dyDescent="0.25">
      <c r="A25891" t="str">
        <f>"373268"</f>
        <v>373268</v>
      </c>
      <c r="B25891" t="s">
        <v>20177</v>
      </c>
      <c r="C25891" t="s">
        <v>253</v>
      </c>
      <c r="D25891" s="21" t="s">
        <v>34</v>
      </c>
      <c r="E25891" s="21" t="s">
        <v>254</v>
      </c>
      <c r="F25891">
        <v>4370030</v>
      </c>
      <c r="G25891" t="s">
        <v>14081</v>
      </c>
      <c r="H25891" s="21">
        <v>628.66999999999996</v>
      </c>
    </row>
    <row r="25892" spans="1:8" customFormat="1" x14ac:dyDescent="0.25">
      <c r="A25892" t="str">
        <f>"3537498"</f>
        <v>3537498</v>
      </c>
      <c r="B25892" t="s">
        <v>4411</v>
      </c>
      <c r="C25892" t="s">
        <v>55</v>
      </c>
      <c r="D25892" s="21" t="s">
        <v>34</v>
      </c>
      <c r="E25892" s="21" t="s">
        <v>35</v>
      </c>
      <c r="F25892">
        <v>3350136</v>
      </c>
      <c r="G25892" t="s">
        <v>2773</v>
      </c>
      <c r="H25892" s="21">
        <v>628.66999999999996</v>
      </c>
    </row>
    <row r="25893" spans="1:8" customFormat="1" x14ac:dyDescent="0.25">
      <c r="A25893" t="str">
        <f>"63138"</f>
        <v>63138</v>
      </c>
      <c r="B25893" t="s">
        <v>2034</v>
      </c>
      <c r="C25893" t="s">
        <v>267</v>
      </c>
      <c r="D25893" s="21" t="s">
        <v>34</v>
      </c>
      <c r="E25893" s="21" t="s">
        <v>1089</v>
      </c>
      <c r="F25893">
        <v>1630009</v>
      </c>
      <c r="G25893" t="s">
        <v>6021</v>
      </c>
      <c r="H25893" s="21">
        <v>628.66999999999996</v>
      </c>
    </row>
    <row r="25894" spans="1:8" customFormat="1" x14ac:dyDescent="0.25">
      <c r="A25894" t="str">
        <f>"3728149"</f>
        <v>3728149</v>
      </c>
      <c r="B25894" t="s">
        <v>2189</v>
      </c>
      <c r="C25894" t="s">
        <v>65</v>
      </c>
      <c r="D25894" s="21" t="s">
        <v>34</v>
      </c>
      <c r="E25894" s="21" t="s">
        <v>35</v>
      </c>
      <c r="F25894">
        <v>4370596</v>
      </c>
      <c r="G25894" t="s">
        <v>9270</v>
      </c>
      <c r="H25894" s="21">
        <v>628.66999999999996</v>
      </c>
    </row>
    <row r="25895" spans="1:8" customFormat="1" x14ac:dyDescent="0.25">
      <c r="A25895" t="str">
        <f>"5619627"</f>
        <v>5619627</v>
      </c>
      <c r="B25895" t="s">
        <v>2489</v>
      </c>
      <c r="C25895" t="s">
        <v>547</v>
      </c>
      <c r="D25895" s="21" t="s">
        <v>34</v>
      </c>
      <c r="E25895" s="21" t="s">
        <v>254</v>
      </c>
      <c r="F25895">
        <v>3560056</v>
      </c>
      <c r="G25895" t="s">
        <v>3145</v>
      </c>
      <c r="H25895" s="21">
        <v>628.66999999999996</v>
      </c>
    </row>
    <row r="25896" spans="1:8" customFormat="1" x14ac:dyDescent="0.25">
      <c r="A25896" t="str">
        <f>"5432320"</f>
        <v>5432320</v>
      </c>
      <c r="B25896" t="s">
        <v>946</v>
      </c>
      <c r="C25896" t="s">
        <v>428</v>
      </c>
      <c r="D25896" s="21" t="s">
        <v>34</v>
      </c>
      <c r="E25896" s="21" t="s">
        <v>35</v>
      </c>
      <c r="F25896">
        <v>6540197</v>
      </c>
      <c r="G25896" t="s">
        <v>16519</v>
      </c>
      <c r="H25896" s="21">
        <v>628.66999999999996</v>
      </c>
    </row>
    <row r="25897" spans="1:8" customFormat="1" x14ac:dyDescent="0.25">
      <c r="A25897" t="str">
        <f>"9244177"</f>
        <v>9244177</v>
      </c>
      <c r="B25897" t="s">
        <v>19178</v>
      </c>
      <c r="C25897" t="s">
        <v>109</v>
      </c>
      <c r="D25897" s="21" t="s">
        <v>34</v>
      </c>
      <c r="E25897" s="21" t="s">
        <v>71</v>
      </c>
      <c r="F25897">
        <v>8921316</v>
      </c>
      <c r="G25897" t="s">
        <v>12326</v>
      </c>
      <c r="H25897" s="21">
        <v>628.66999999999996</v>
      </c>
    </row>
    <row r="25898" spans="1:8" customFormat="1" x14ac:dyDescent="0.25">
      <c r="A25898" t="str">
        <f>"0618030"</f>
        <v>0618030</v>
      </c>
      <c r="B25898" t="s">
        <v>1349</v>
      </c>
      <c r="C25898" t="s">
        <v>415</v>
      </c>
      <c r="D25898" s="21" t="s">
        <v>34</v>
      </c>
      <c r="E25898" s="21" t="s">
        <v>1089</v>
      </c>
      <c r="F25898">
        <v>13060064</v>
      </c>
      <c r="G25898" t="s">
        <v>976</v>
      </c>
      <c r="H25898" s="21">
        <v>628.54</v>
      </c>
    </row>
    <row r="25899" spans="1:8" customFormat="1" x14ac:dyDescent="0.25">
      <c r="A25899" t="str">
        <f>"3537758"</f>
        <v>3537758</v>
      </c>
      <c r="B25899" t="s">
        <v>22140</v>
      </c>
      <c r="C25899" t="s">
        <v>269</v>
      </c>
      <c r="D25899" s="21" t="s">
        <v>34</v>
      </c>
      <c r="E25899" s="21" t="s">
        <v>35</v>
      </c>
      <c r="F25899">
        <v>3350030</v>
      </c>
      <c r="G25899" t="s">
        <v>4549</v>
      </c>
      <c r="H25899" s="21">
        <v>628.54</v>
      </c>
    </row>
    <row r="25900" spans="1:8" customFormat="1" x14ac:dyDescent="0.25">
      <c r="A25900" t="str">
        <f>"6022171"</f>
        <v>6022171</v>
      </c>
      <c r="B25900" t="s">
        <v>146</v>
      </c>
      <c r="C25900" t="s">
        <v>60</v>
      </c>
      <c r="D25900" s="21" t="s">
        <v>34</v>
      </c>
      <c r="E25900" s="21" t="s">
        <v>35</v>
      </c>
      <c r="F25900">
        <v>7600130</v>
      </c>
      <c r="G25900" t="s">
        <v>11080</v>
      </c>
      <c r="H25900" s="21">
        <v>628.54</v>
      </c>
    </row>
    <row r="25901" spans="1:8" customFormat="1" x14ac:dyDescent="0.25">
      <c r="A25901" t="str">
        <f>"512342"</f>
        <v>512342</v>
      </c>
      <c r="B25901" t="s">
        <v>19182</v>
      </c>
      <c r="C25901" t="s">
        <v>926</v>
      </c>
      <c r="D25901" s="21" t="s">
        <v>34</v>
      </c>
      <c r="E25901" s="21" t="s">
        <v>1089</v>
      </c>
      <c r="F25901">
        <v>6510062</v>
      </c>
      <c r="G25901" t="s">
        <v>9059</v>
      </c>
      <c r="H25901" s="21">
        <v>628.16999999999996</v>
      </c>
    </row>
    <row r="25902" spans="1:8" customFormat="1" x14ac:dyDescent="0.25">
      <c r="A25902" t="str">
        <f>"3423334"</f>
        <v>3423334</v>
      </c>
      <c r="B25902" t="s">
        <v>10657</v>
      </c>
      <c r="C25902" t="s">
        <v>388</v>
      </c>
      <c r="D25902" s="21" t="s">
        <v>34</v>
      </c>
      <c r="E25902" s="21" t="s">
        <v>254</v>
      </c>
      <c r="F25902">
        <v>11340040</v>
      </c>
      <c r="G25902" t="s">
        <v>5695</v>
      </c>
      <c r="H25902" s="21">
        <v>628.16999999999996</v>
      </c>
    </row>
    <row r="25903" spans="1:8" customFormat="1" x14ac:dyDescent="0.25">
      <c r="A25903" t="str">
        <f>"0610859"</f>
        <v>0610859</v>
      </c>
      <c r="B25903" t="s">
        <v>19883</v>
      </c>
      <c r="C25903" t="s">
        <v>119</v>
      </c>
      <c r="D25903" s="21" t="s">
        <v>34</v>
      </c>
      <c r="E25903" s="21" t="s">
        <v>254</v>
      </c>
      <c r="F25903">
        <v>13060005</v>
      </c>
      <c r="G25903" t="s">
        <v>3609</v>
      </c>
      <c r="H25903" s="21">
        <v>628.16999999999996</v>
      </c>
    </row>
    <row r="25904" spans="1:8" customFormat="1" x14ac:dyDescent="0.25">
      <c r="A25904" t="str">
        <f>"49204"</f>
        <v>49204</v>
      </c>
      <c r="B25904" t="s">
        <v>2082</v>
      </c>
      <c r="C25904" t="s">
        <v>1025</v>
      </c>
      <c r="D25904" s="21" t="s">
        <v>34</v>
      </c>
      <c r="E25904" s="21" t="s">
        <v>254</v>
      </c>
      <c r="F25904">
        <v>12490122</v>
      </c>
      <c r="G25904" t="s">
        <v>26752</v>
      </c>
      <c r="H25904" s="21">
        <v>628.16999999999996</v>
      </c>
    </row>
    <row r="25905" spans="1:8" customFormat="1" x14ac:dyDescent="0.25">
      <c r="A25905" t="str">
        <f>"7716026"</f>
        <v>7716026</v>
      </c>
      <c r="B25905" t="s">
        <v>19495</v>
      </c>
      <c r="C25905" t="s">
        <v>124</v>
      </c>
      <c r="D25905" s="21" t="s">
        <v>34</v>
      </c>
      <c r="E25905" s="21" t="s">
        <v>71</v>
      </c>
      <c r="F25905">
        <v>8771236</v>
      </c>
      <c r="G25905" t="s">
        <v>386</v>
      </c>
      <c r="H25905" s="21">
        <v>628.16999999999996</v>
      </c>
    </row>
    <row r="25906" spans="1:8" customFormat="1" x14ac:dyDescent="0.25">
      <c r="A25906" t="str">
        <f>"2718019"</f>
        <v>2718019</v>
      </c>
      <c r="B25906" t="s">
        <v>1961</v>
      </c>
      <c r="C25906" t="s">
        <v>926</v>
      </c>
      <c r="D25906" s="21" t="s">
        <v>34</v>
      </c>
      <c r="E25906" s="21" t="s">
        <v>35</v>
      </c>
      <c r="F25906">
        <v>9270030</v>
      </c>
      <c r="G25906" t="s">
        <v>5853</v>
      </c>
      <c r="H25906" s="21">
        <v>628.16999999999996</v>
      </c>
    </row>
    <row r="25907" spans="1:8" customFormat="1" x14ac:dyDescent="0.25">
      <c r="A25907" t="str">
        <f>"847758"</f>
        <v>847758</v>
      </c>
      <c r="B25907" t="s">
        <v>19668</v>
      </c>
      <c r="C25907" t="s">
        <v>244</v>
      </c>
      <c r="D25907" s="21" t="s">
        <v>34</v>
      </c>
      <c r="E25907" s="21" t="s">
        <v>35</v>
      </c>
      <c r="F25907">
        <v>13840062</v>
      </c>
      <c r="G25907" t="s">
        <v>17239</v>
      </c>
      <c r="H25907" s="21">
        <v>628.16999999999996</v>
      </c>
    </row>
    <row r="25908" spans="1:8" customFormat="1" x14ac:dyDescent="0.25">
      <c r="A25908" t="str">
        <f>"4431613"</f>
        <v>4431613</v>
      </c>
      <c r="B25908" t="s">
        <v>18254</v>
      </c>
      <c r="C25908" t="s">
        <v>239</v>
      </c>
      <c r="D25908" s="21" t="s">
        <v>34</v>
      </c>
      <c r="E25908" s="21" t="s">
        <v>254</v>
      </c>
      <c r="F25908">
        <v>12440019</v>
      </c>
      <c r="G25908" t="s">
        <v>7258</v>
      </c>
      <c r="H25908" s="21">
        <v>628.16999999999996</v>
      </c>
    </row>
    <row r="25909" spans="1:8" customFormat="1" x14ac:dyDescent="0.25">
      <c r="A25909" t="str">
        <f>"914467"</f>
        <v>914467</v>
      </c>
      <c r="B25909" t="s">
        <v>3930</v>
      </c>
      <c r="C25909" t="s">
        <v>8345</v>
      </c>
      <c r="D25909" s="21" t="s">
        <v>34</v>
      </c>
      <c r="E25909" s="21" t="s">
        <v>254</v>
      </c>
      <c r="F25909">
        <v>8911395</v>
      </c>
      <c r="G25909" t="s">
        <v>8758</v>
      </c>
      <c r="H25909" s="21">
        <v>628.16999999999996</v>
      </c>
    </row>
    <row r="25910" spans="1:8" customFormat="1" x14ac:dyDescent="0.25">
      <c r="A25910" t="str">
        <f>"704709"</f>
        <v>704709</v>
      </c>
      <c r="B25910" t="s">
        <v>697</v>
      </c>
      <c r="C25910" t="s">
        <v>267</v>
      </c>
      <c r="D25910" s="21" t="s">
        <v>34</v>
      </c>
      <c r="E25910" s="21" t="s">
        <v>254</v>
      </c>
      <c r="F25910">
        <v>2700077</v>
      </c>
      <c r="G25910" t="s">
        <v>9311</v>
      </c>
      <c r="H25910" s="21">
        <v>628.16999999999996</v>
      </c>
    </row>
    <row r="25911" spans="1:8" customFormat="1" x14ac:dyDescent="0.25">
      <c r="A25911" t="str">
        <f>"6942450"</f>
        <v>6942450</v>
      </c>
      <c r="B25911" t="s">
        <v>20728</v>
      </c>
      <c r="C25911" t="s">
        <v>169</v>
      </c>
      <c r="D25911" s="21" t="s">
        <v>34</v>
      </c>
      <c r="E25911" s="21" t="s">
        <v>71</v>
      </c>
      <c r="F25911">
        <v>1690221</v>
      </c>
      <c r="G25911" t="s">
        <v>303</v>
      </c>
      <c r="H25911" s="21">
        <v>628.16999999999996</v>
      </c>
    </row>
    <row r="25912" spans="1:8" customFormat="1" x14ac:dyDescent="0.25">
      <c r="A25912" t="str">
        <f>"6711934"</f>
        <v>6711934</v>
      </c>
      <c r="B25912" t="s">
        <v>20628</v>
      </c>
      <c r="C25912" t="s">
        <v>428</v>
      </c>
      <c r="D25912" s="21" t="s">
        <v>34</v>
      </c>
      <c r="E25912" s="21" t="s">
        <v>35</v>
      </c>
      <c r="F25912">
        <v>6670268</v>
      </c>
      <c r="G25912" t="s">
        <v>8908</v>
      </c>
      <c r="H25912" s="21">
        <v>628.16999999999996</v>
      </c>
    </row>
    <row r="25913" spans="1:8" customFormat="1" x14ac:dyDescent="0.25">
      <c r="A25913" t="str">
        <f>"5620594"</f>
        <v>5620594</v>
      </c>
      <c r="B25913" t="s">
        <v>8114</v>
      </c>
      <c r="C25913" t="s">
        <v>169</v>
      </c>
      <c r="D25913" s="21" t="s">
        <v>34</v>
      </c>
      <c r="E25913" s="21" t="s">
        <v>71</v>
      </c>
      <c r="F25913">
        <v>3560063</v>
      </c>
      <c r="G25913" t="s">
        <v>16878</v>
      </c>
      <c r="H25913" s="21">
        <v>628.16999999999996</v>
      </c>
    </row>
    <row r="25914" spans="1:8" customFormat="1" x14ac:dyDescent="0.25">
      <c r="A25914" t="str">
        <f>"2939506"</f>
        <v>2939506</v>
      </c>
      <c r="B25914" t="s">
        <v>27877</v>
      </c>
      <c r="C25914" t="s">
        <v>275</v>
      </c>
      <c r="D25914" s="21" t="s">
        <v>34</v>
      </c>
      <c r="E25914" s="21" t="s">
        <v>35</v>
      </c>
      <c r="F25914">
        <v>3290283</v>
      </c>
      <c r="G25914" t="s">
        <v>12108</v>
      </c>
      <c r="H25914" s="21">
        <v>628.16999999999996</v>
      </c>
    </row>
    <row r="25915" spans="1:8" customFormat="1" x14ac:dyDescent="0.25">
      <c r="A25915" t="str">
        <f>"6315310"</f>
        <v>6315310</v>
      </c>
      <c r="B25915" t="s">
        <v>19722</v>
      </c>
      <c r="C25915" t="s">
        <v>415</v>
      </c>
      <c r="D25915" s="21" t="s">
        <v>34</v>
      </c>
      <c r="E25915" s="21" t="s">
        <v>35</v>
      </c>
      <c r="F25915">
        <v>1630015</v>
      </c>
      <c r="G25915" t="s">
        <v>2097</v>
      </c>
      <c r="H25915" s="21">
        <v>628.16999999999996</v>
      </c>
    </row>
    <row r="25916" spans="1:8" customFormat="1" x14ac:dyDescent="0.25">
      <c r="A25916" t="str">
        <f>"3320804"</f>
        <v>3320804</v>
      </c>
      <c r="B25916" t="s">
        <v>14139</v>
      </c>
      <c r="C25916" t="s">
        <v>62</v>
      </c>
      <c r="D25916" s="21" t="s">
        <v>34</v>
      </c>
      <c r="E25916" s="21" t="s">
        <v>35</v>
      </c>
      <c r="F25916">
        <v>10330022</v>
      </c>
      <c r="G25916" t="s">
        <v>1830</v>
      </c>
      <c r="H25916" s="21">
        <v>628.16999999999996</v>
      </c>
    </row>
    <row r="25917" spans="1:8" customFormat="1" x14ac:dyDescent="0.25">
      <c r="A25917" t="str">
        <f>"2927516"</f>
        <v>2927516</v>
      </c>
      <c r="B25917" t="s">
        <v>5985</v>
      </c>
      <c r="C25917" t="s">
        <v>263</v>
      </c>
      <c r="D25917" s="21" t="s">
        <v>34</v>
      </c>
      <c r="E25917" s="21" t="s">
        <v>71</v>
      </c>
      <c r="F25917">
        <v>3290037</v>
      </c>
      <c r="G25917" t="s">
        <v>11628</v>
      </c>
      <c r="H25917" s="21">
        <v>628.16999999999996</v>
      </c>
    </row>
    <row r="25918" spans="1:8" customFormat="1" x14ac:dyDescent="0.25">
      <c r="A25918" t="str">
        <f>"5111065"</f>
        <v>5111065</v>
      </c>
      <c r="B25918" t="s">
        <v>18314</v>
      </c>
      <c r="C25918" t="s">
        <v>2479</v>
      </c>
      <c r="D25918" s="21" t="s">
        <v>34</v>
      </c>
      <c r="E25918" s="21" t="s">
        <v>1089</v>
      </c>
      <c r="F25918">
        <v>6510020</v>
      </c>
      <c r="G25918" t="s">
        <v>3013</v>
      </c>
      <c r="H25918" s="21">
        <v>628.16999999999996</v>
      </c>
    </row>
    <row r="25919" spans="1:8" customFormat="1" x14ac:dyDescent="0.25">
      <c r="A25919" t="str">
        <f>"4423138"</f>
        <v>4423138</v>
      </c>
      <c r="B25919" t="s">
        <v>1143</v>
      </c>
      <c r="C25919" t="s">
        <v>109</v>
      </c>
      <c r="D25919" s="21" t="s">
        <v>34</v>
      </c>
      <c r="E25919" s="21" t="s">
        <v>35</v>
      </c>
      <c r="F25919">
        <v>12440055</v>
      </c>
      <c r="G25919" t="s">
        <v>2979</v>
      </c>
      <c r="H25919" s="21">
        <v>628.16999999999996</v>
      </c>
    </row>
    <row r="25920" spans="1:8" customFormat="1" x14ac:dyDescent="0.25">
      <c r="A25920" t="str">
        <f>"605339"</f>
        <v>605339</v>
      </c>
      <c r="B25920" t="s">
        <v>14471</v>
      </c>
      <c r="C25920" t="s">
        <v>428</v>
      </c>
      <c r="D25920" s="21" t="s">
        <v>34</v>
      </c>
      <c r="E25920" s="21" t="s">
        <v>254</v>
      </c>
      <c r="F25920">
        <v>11340060</v>
      </c>
      <c r="G25920" t="s">
        <v>1275</v>
      </c>
      <c r="H25920" s="21">
        <v>628.16999999999996</v>
      </c>
    </row>
    <row r="25921" spans="1:8" customFormat="1" x14ac:dyDescent="0.25">
      <c r="A25921" t="str">
        <f>"6932229"</f>
        <v>6932229</v>
      </c>
      <c r="B25921" t="s">
        <v>20424</v>
      </c>
      <c r="C25921" t="s">
        <v>15362</v>
      </c>
      <c r="D25921" s="21" t="s">
        <v>34</v>
      </c>
      <c r="E25921" s="21" t="s">
        <v>35</v>
      </c>
      <c r="F25921">
        <v>11340018</v>
      </c>
      <c r="G25921" t="s">
        <v>2421</v>
      </c>
      <c r="H25921" s="21">
        <v>628.16999999999996</v>
      </c>
    </row>
    <row r="25922" spans="1:8" customFormat="1" x14ac:dyDescent="0.25">
      <c r="A25922" t="str">
        <f>"2933822"</f>
        <v>2933822</v>
      </c>
      <c r="B25922" t="s">
        <v>7428</v>
      </c>
      <c r="C25922" t="s">
        <v>1196</v>
      </c>
      <c r="D25922" s="21" t="s">
        <v>34</v>
      </c>
      <c r="E25922" s="21" t="s">
        <v>35</v>
      </c>
      <c r="F25922">
        <v>3290221</v>
      </c>
      <c r="G25922" t="s">
        <v>3544</v>
      </c>
      <c r="H25922" s="21">
        <v>628.16999999999996</v>
      </c>
    </row>
    <row r="25923" spans="1:8" customFormat="1" x14ac:dyDescent="0.25">
      <c r="A25923" t="str">
        <f>"2935795"</f>
        <v>2935795</v>
      </c>
      <c r="B25923" t="s">
        <v>19839</v>
      </c>
      <c r="C25923" t="s">
        <v>55</v>
      </c>
      <c r="D25923" s="21" t="s">
        <v>34</v>
      </c>
      <c r="E25923" s="21" t="s">
        <v>71</v>
      </c>
      <c r="F25923">
        <v>3290235</v>
      </c>
      <c r="G25923" t="s">
        <v>12128</v>
      </c>
      <c r="H25923" s="21">
        <v>628.16999999999996</v>
      </c>
    </row>
    <row r="25924" spans="1:8" customFormat="1" x14ac:dyDescent="0.25">
      <c r="A25924" t="str">
        <f>"3832384"</f>
        <v>3832384</v>
      </c>
      <c r="B25924" t="s">
        <v>21888</v>
      </c>
      <c r="C25924" t="s">
        <v>462</v>
      </c>
      <c r="D25924" s="21" t="s">
        <v>34</v>
      </c>
      <c r="E25924" s="21" t="s">
        <v>71</v>
      </c>
      <c r="F25924">
        <v>1380056</v>
      </c>
      <c r="G25924" t="s">
        <v>846</v>
      </c>
      <c r="H25924" s="21">
        <v>628.04</v>
      </c>
    </row>
    <row r="25925" spans="1:8" customFormat="1" x14ac:dyDescent="0.25">
      <c r="A25925" t="str">
        <f>"5621877"</f>
        <v>5621877</v>
      </c>
      <c r="B25925" t="s">
        <v>20208</v>
      </c>
      <c r="C25925" t="s">
        <v>1714</v>
      </c>
      <c r="D25925" s="21" t="s">
        <v>34</v>
      </c>
      <c r="E25925" s="21" t="s">
        <v>254</v>
      </c>
      <c r="F25925">
        <v>3560050</v>
      </c>
      <c r="G25925" t="s">
        <v>5322</v>
      </c>
      <c r="H25925" s="21">
        <v>628.04</v>
      </c>
    </row>
    <row r="25926" spans="1:8" customFormat="1" x14ac:dyDescent="0.25">
      <c r="A25926" t="str">
        <f>"3340669"</f>
        <v>3340669</v>
      </c>
      <c r="B25926" t="s">
        <v>27878</v>
      </c>
      <c r="C25926" t="s">
        <v>187</v>
      </c>
      <c r="D25926" s="21" t="s">
        <v>34</v>
      </c>
      <c r="E25926" s="21" t="s">
        <v>35</v>
      </c>
      <c r="F25926">
        <v>10330086</v>
      </c>
      <c r="G25926" t="s">
        <v>785</v>
      </c>
      <c r="H25926" s="21">
        <v>628</v>
      </c>
    </row>
    <row r="25927" spans="1:8" customFormat="1" x14ac:dyDescent="0.25">
      <c r="A25927" t="str">
        <f>"6111391"</f>
        <v>6111391</v>
      </c>
      <c r="B25927" t="s">
        <v>20775</v>
      </c>
      <c r="C25927" t="s">
        <v>65</v>
      </c>
      <c r="D25927" s="21" t="s">
        <v>34</v>
      </c>
      <c r="E25927" s="21" t="s">
        <v>35</v>
      </c>
      <c r="F25927">
        <v>9610056</v>
      </c>
      <c r="G25927" t="s">
        <v>11830</v>
      </c>
      <c r="H25927" s="21">
        <v>627.91999999999996</v>
      </c>
    </row>
    <row r="25928" spans="1:8" customFormat="1" x14ac:dyDescent="0.25">
      <c r="A25928" t="str">
        <f>"4922072"</f>
        <v>4922072</v>
      </c>
      <c r="B25928" t="s">
        <v>4885</v>
      </c>
      <c r="C25928" t="s">
        <v>10958</v>
      </c>
      <c r="D25928" s="21" t="s">
        <v>34</v>
      </c>
      <c r="E25928" s="21" t="s">
        <v>35</v>
      </c>
      <c r="F25928">
        <v>12490048</v>
      </c>
      <c r="G25928" t="s">
        <v>4228</v>
      </c>
      <c r="H25928" s="21">
        <v>627.91999999999996</v>
      </c>
    </row>
    <row r="25929" spans="1:8" customFormat="1" x14ac:dyDescent="0.25">
      <c r="A25929" t="str">
        <f>"2618698"</f>
        <v>2618698</v>
      </c>
      <c r="B25929" t="s">
        <v>20399</v>
      </c>
      <c r="C25929" t="s">
        <v>55</v>
      </c>
      <c r="D25929" s="21" t="s">
        <v>34</v>
      </c>
      <c r="E25929" s="21" t="s">
        <v>71</v>
      </c>
      <c r="F25929">
        <v>1260055</v>
      </c>
      <c r="G25929" t="s">
        <v>8460</v>
      </c>
      <c r="H25929" s="21">
        <v>627.91999999999996</v>
      </c>
    </row>
    <row r="25930" spans="1:8" customFormat="1" x14ac:dyDescent="0.25">
      <c r="A25930" t="str">
        <f>"5311807"</f>
        <v>5311807</v>
      </c>
      <c r="B25930" t="s">
        <v>3072</v>
      </c>
      <c r="C25930" t="s">
        <v>40</v>
      </c>
      <c r="D25930" s="21" t="s">
        <v>34</v>
      </c>
      <c r="E25930" s="21" t="s">
        <v>35</v>
      </c>
      <c r="F25930">
        <v>12530042</v>
      </c>
      <c r="G25930" t="s">
        <v>4619</v>
      </c>
      <c r="H25930" s="21">
        <v>627.91999999999996</v>
      </c>
    </row>
    <row r="25931" spans="1:8" customFormat="1" x14ac:dyDescent="0.25">
      <c r="A25931" t="str">
        <f>"9533801"</f>
        <v>9533801</v>
      </c>
      <c r="B25931" t="s">
        <v>21951</v>
      </c>
      <c r="C25931" t="s">
        <v>60</v>
      </c>
      <c r="D25931" s="21" t="s">
        <v>34</v>
      </c>
      <c r="E25931" s="21" t="s">
        <v>71</v>
      </c>
      <c r="F25931">
        <v>8950083</v>
      </c>
      <c r="G25931" t="s">
        <v>405</v>
      </c>
      <c r="H25931" s="21">
        <v>627.79</v>
      </c>
    </row>
    <row r="25932" spans="1:8" customFormat="1" x14ac:dyDescent="0.25">
      <c r="A25932" t="str">
        <f>"7723485"</f>
        <v>7723485</v>
      </c>
      <c r="B25932" t="s">
        <v>20368</v>
      </c>
      <c r="C25932" t="s">
        <v>33</v>
      </c>
      <c r="D25932" s="21" t="s">
        <v>34</v>
      </c>
      <c r="E25932" s="21" t="s">
        <v>71</v>
      </c>
      <c r="F25932">
        <v>8771398</v>
      </c>
      <c r="G25932" t="s">
        <v>2759</v>
      </c>
      <c r="H25932" s="21">
        <v>627.66999999999996</v>
      </c>
    </row>
    <row r="25933" spans="1:8" customFormat="1" x14ac:dyDescent="0.25">
      <c r="A25933" t="str">
        <f>"3532206"</f>
        <v>3532206</v>
      </c>
      <c r="B25933" t="s">
        <v>8525</v>
      </c>
      <c r="C25933" t="s">
        <v>249</v>
      </c>
      <c r="D25933" s="21" t="s">
        <v>34</v>
      </c>
      <c r="E25933" s="21" t="s">
        <v>35</v>
      </c>
      <c r="F25933">
        <v>3350207</v>
      </c>
      <c r="G25933" t="s">
        <v>3668</v>
      </c>
      <c r="H25933" s="21">
        <v>627.66999999999996</v>
      </c>
    </row>
    <row r="25934" spans="1:8" customFormat="1" x14ac:dyDescent="0.25">
      <c r="A25934" t="str">
        <f>"3426050"</f>
        <v>3426050</v>
      </c>
      <c r="B25934" t="s">
        <v>1939</v>
      </c>
      <c r="C25934" t="s">
        <v>204</v>
      </c>
      <c r="D25934" s="21" t="s">
        <v>34</v>
      </c>
      <c r="E25934" s="21" t="s">
        <v>35</v>
      </c>
      <c r="F25934">
        <v>11340035</v>
      </c>
      <c r="G25934" t="s">
        <v>10724</v>
      </c>
      <c r="H25934" s="21">
        <v>627.66999999999996</v>
      </c>
    </row>
    <row r="25935" spans="1:8" customFormat="1" x14ac:dyDescent="0.25">
      <c r="A25935" t="str">
        <f>"0610120"</f>
        <v>0610120</v>
      </c>
      <c r="B25935" t="s">
        <v>19686</v>
      </c>
      <c r="C25935" t="s">
        <v>547</v>
      </c>
      <c r="D25935" s="21" t="s">
        <v>34</v>
      </c>
      <c r="E25935" s="21" t="s">
        <v>1089</v>
      </c>
      <c r="F25935">
        <v>13060005</v>
      </c>
      <c r="G25935" t="s">
        <v>3609</v>
      </c>
      <c r="H25935" s="21">
        <v>627.66999999999996</v>
      </c>
    </row>
    <row r="25936" spans="1:8" customFormat="1" x14ac:dyDescent="0.25">
      <c r="A25936" t="str">
        <f>"783677"</f>
        <v>783677</v>
      </c>
      <c r="B25936" t="s">
        <v>19060</v>
      </c>
      <c r="C25936" t="s">
        <v>288</v>
      </c>
      <c r="D25936" s="21" t="s">
        <v>34</v>
      </c>
      <c r="E25936" s="21" t="s">
        <v>254</v>
      </c>
      <c r="F25936">
        <v>8751260</v>
      </c>
      <c r="G25936" t="s">
        <v>10641</v>
      </c>
      <c r="H25936" s="21">
        <v>627.66999999999996</v>
      </c>
    </row>
    <row r="25937" spans="1:8" customFormat="1" x14ac:dyDescent="0.25">
      <c r="A25937" t="str">
        <f>"6020858"</f>
        <v>6020858</v>
      </c>
      <c r="B25937" t="s">
        <v>27879</v>
      </c>
      <c r="C25937" t="s">
        <v>12984</v>
      </c>
      <c r="D25937" s="21" t="s">
        <v>34</v>
      </c>
      <c r="E25937" s="21" t="s">
        <v>35</v>
      </c>
      <c r="F25937">
        <v>11300021</v>
      </c>
      <c r="G25937" t="s">
        <v>22941</v>
      </c>
      <c r="H25937" s="21">
        <v>627.66999999999996</v>
      </c>
    </row>
    <row r="25938" spans="1:8" customFormat="1" x14ac:dyDescent="0.25">
      <c r="A25938" t="str">
        <f>"275058"</f>
        <v>275058</v>
      </c>
      <c r="B25938" t="s">
        <v>19039</v>
      </c>
      <c r="C25938" t="s">
        <v>8294</v>
      </c>
      <c r="D25938" s="21" t="s">
        <v>34</v>
      </c>
      <c r="E25938" s="21" t="s">
        <v>1089</v>
      </c>
      <c r="F25938">
        <v>9270060</v>
      </c>
      <c r="G25938" t="s">
        <v>1982</v>
      </c>
      <c r="H25938" s="21">
        <v>627.66999999999996</v>
      </c>
    </row>
    <row r="25939" spans="1:8" customFormat="1" x14ac:dyDescent="0.25">
      <c r="A25939" t="str">
        <f>"113356"</f>
        <v>113356</v>
      </c>
      <c r="B25939" t="s">
        <v>1069</v>
      </c>
      <c r="C25939" t="s">
        <v>65</v>
      </c>
      <c r="D25939" s="21" t="s">
        <v>34</v>
      </c>
      <c r="E25939" s="21" t="s">
        <v>35</v>
      </c>
      <c r="F25939">
        <v>11110028</v>
      </c>
      <c r="G25939" t="s">
        <v>10634</v>
      </c>
      <c r="H25939" s="21">
        <v>627.66999999999996</v>
      </c>
    </row>
    <row r="25940" spans="1:8" customFormat="1" x14ac:dyDescent="0.25">
      <c r="A25940" t="str">
        <f>"3010010"</f>
        <v>3010010</v>
      </c>
      <c r="B25940" t="s">
        <v>17175</v>
      </c>
      <c r="C25940" t="s">
        <v>269</v>
      </c>
      <c r="D25940" s="21" t="s">
        <v>34</v>
      </c>
      <c r="E25940" s="21" t="s">
        <v>71</v>
      </c>
      <c r="F25940">
        <v>11300025</v>
      </c>
      <c r="G25940" t="s">
        <v>1211</v>
      </c>
      <c r="H25940" s="21">
        <v>627.66999999999996</v>
      </c>
    </row>
    <row r="25941" spans="1:8" customFormat="1" x14ac:dyDescent="0.25">
      <c r="A25941" t="str">
        <f>"9737045"</f>
        <v>9737045</v>
      </c>
      <c r="B25941" t="s">
        <v>18086</v>
      </c>
      <c r="C25941" t="s">
        <v>598</v>
      </c>
      <c r="D25941" s="21" t="s">
        <v>34</v>
      </c>
      <c r="E25941" s="21" t="s">
        <v>71</v>
      </c>
      <c r="F25941">
        <v>10330082</v>
      </c>
      <c r="G25941" t="s">
        <v>5564</v>
      </c>
      <c r="H25941" s="21">
        <v>627.66999999999996</v>
      </c>
    </row>
    <row r="25942" spans="1:8" customFormat="1" x14ac:dyDescent="0.25">
      <c r="A25942" t="str">
        <f>"568515"</f>
        <v>568515</v>
      </c>
      <c r="B25942" t="s">
        <v>11439</v>
      </c>
      <c r="C25942" t="s">
        <v>453</v>
      </c>
      <c r="D25942" s="21" t="s">
        <v>34</v>
      </c>
      <c r="E25942" s="21" t="s">
        <v>254</v>
      </c>
      <c r="F25942">
        <v>3560038</v>
      </c>
      <c r="G25942" t="s">
        <v>3598</v>
      </c>
      <c r="H25942" s="21">
        <v>627.66999999999996</v>
      </c>
    </row>
    <row r="25943" spans="1:8" customFormat="1" x14ac:dyDescent="0.25">
      <c r="A25943" t="str">
        <f>"7872673"</f>
        <v>7872673</v>
      </c>
      <c r="B25943" t="s">
        <v>18516</v>
      </c>
      <c r="C25943" t="s">
        <v>239</v>
      </c>
      <c r="D25943" s="21" t="s">
        <v>34</v>
      </c>
      <c r="E25943" s="21" t="s">
        <v>254</v>
      </c>
      <c r="F25943">
        <v>8780356</v>
      </c>
      <c r="G25943" t="s">
        <v>5449</v>
      </c>
      <c r="H25943" s="21">
        <v>627.66999999999996</v>
      </c>
    </row>
    <row r="25944" spans="1:8" customFormat="1" x14ac:dyDescent="0.25">
      <c r="A25944" t="str">
        <f>"685986"</f>
        <v>685986</v>
      </c>
      <c r="B25944" t="s">
        <v>14277</v>
      </c>
      <c r="C25944" t="s">
        <v>3522</v>
      </c>
      <c r="D25944" s="21" t="s">
        <v>34</v>
      </c>
      <c r="E25944" s="21" t="s">
        <v>71</v>
      </c>
      <c r="F25944">
        <v>6680120</v>
      </c>
      <c r="G25944" t="s">
        <v>11122</v>
      </c>
      <c r="H25944" s="21">
        <v>627.66999999999996</v>
      </c>
    </row>
    <row r="25945" spans="1:8" customFormat="1" x14ac:dyDescent="0.25">
      <c r="A25945" t="str">
        <f>"33797"</f>
        <v>33797</v>
      </c>
      <c r="B25945" t="s">
        <v>18656</v>
      </c>
      <c r="C25945" t="s">
        <v>1110</v>
      </c>
      <c r="D25945" s="21" t="s">
        <v>34</v>
      </c>
      <c r="E25945" s="21" t="s">
        <v>6185</v>
      </c>
      <c r="F25945">
        <v>10330030</v>
      </c>
      <c r="G25945" t="s">
        <v>2990</v>
      </c>
      <c r="H25945" s="21">
        <v>627.66999999999996</v>
      </c>
    </row>
    <row r="25946" spans="1:8" customFormat="1" x14ac:dyDescent="0.25">
      <c r="A25946" t="str">
        <f>"8314296"</f>
        <v>8314296</v>
      </c>
      <c r="B25946" t="s">
        <v>17656</v>
      </c>
      <c r="C25946" t="s">
        <v>486</v>
      </c>
      <c r="D25946" s="21" t="s">
        <v>34</v>
      </c>
      <c r="E25946" s="21" t="s">
        <v>71</v>
      </c>
      <c r="F25946">
        <v>13830083</v>
      </c>
      <c r="G25946" t="s">
        <v>2159</v>
      </c>
      <c r="H25946" s="21">
        <v>627.66999999999996</v>
      </c>
    </row>
    <row r="25947" spans="1:8" customFormat="1" x14ac:dyDescent="0.25">
      <c r="A25947" t="str">
        <f>"502277"</f>
        <v>502277</v>
      </c>
      <c r="B25947" t="s">
        <v>2040</v>
      </c>
      <c r="C25947" t="s">
        <v>11542</v>
      </c>
      <c r="D25947" s="21" t="s">
        <v>34</v>
      </c>
      <c r="E25947" s="21" t="s">
        <v>1089</v>
      </c>
      <c r="F25947">
        <v>9500082</v>
      </c>
      <c r="G25947" t="s">
        <v>11183</v>
      </c>
      <c r="H25947" s="21">
        <v>627.66999999999996</v>
      </c>
    </row>
    <row r="25948" spans="1:8" customFormat="1" x14ac:dyDescent="0.25">
      <c r="A25948" t="str">
        <f>"9230484"</f>
        <v>9230484</v>
      </c>
      <c r="B25948" t="s">
        <v>3900</v>
      </c>
      <c r="C25948" t="s">
        <v>206</v>
      </c>
      <c r="D25948" s="21" t="s">
        <v>34</v>
      </c>
      <c r="E25948" s="21" t="s">
        <v>35</v>
      </c>
      <c r="F25948">
        <v>10170218</v>
      </c>
      <c r="G25948" t="s">
        <v>8381</v>
      </c>
      <c r="H25948" s="21">
        <v>627.66999999999996</v>
      </c>
    </row>
    <row r="25949" spans="1:8" customFormat="1" x14ac:dyDescent="0.25">
      <c r="A25949" t="str">
        <f>"758857"</f>
        <v>758857</v>
      </c>
      <c r="B25949" t="s">
        <v>5674</v>
      </c>
      <c r="C25949" t="s">
        <v>187</v>
      </c>
      <c r="D25949" s="21" t="s">
        <v>34</v>
      </c>
      <c r="E25949" s="21" t="s">
        <v>71</v>
      </c>
      <c r="F25949">
        <v>13130165</v>
      </c>
      <c r="G25949" t="s">
        <v>2827</v>
      </c>
      <c r="H25949" s="21">
        <v>627.66999999999996</v>
      </c>
    </row>
    <row r="25950" spans="1:8" customFormat="1" x14ac:dyDescent="0.25">
      <c r="A25950" t="str">
        <f>"5944861"</f>
        <v>5944861</v>
      </c>
      <c r="B25950" t="s">
        <v>18323</v>
      </c>
      <c r="C25950" t="s">
        <v>233</v>
      </c>
      <c r="D25950" s="21" t="s">
        <v>34</v>
      </c>
      <c r="E25950" s="21" t="s">
        <v>35</v>
      </c>
      <c r="F25950">
        <v>7590063</v>
      </c>
      <c r="G25950" t="s">
        <v>3426</v>
      </c>
      <c r="H25950" s="21">
        <v>627.66999999999996</v>
      </c>
    </row>
    <row r="25951" spans="1:8" customFormat="1" x14ac:dyDescent="0.25">
      <c r="A25951" t="str">
        <f>"4443103"</f>
        <v>4443103</v>
      </c>
      <c r="B25951" t="s">
        <v>18353</v>
      </c>
      <c r="C25951" t="s">
        <v>2907</v>
      </c>
      <c r="D25951" s="21" t="s">
        <v>34</v>
      </c>
      <c r="E25951" s="21" t="s">
        <v>254</v>
      </c>
      <c r="F25951">
        <v>12440034</v>
      </c>
      <c r="G25951" t="s">
        <v>10586</v>
      </c>
      <c r="H25951" s="21">
        <v>627.66999999999996</v>
      </c>
    </row>
    <row r="25952" spans="1:8" customFormat="1" x14ac:dyDescent="0.25">
      <c r="A25952" t="str">
        <f>"4431235"</f>
        <v>4431235</v>
      </c>
      <c r="B25952" t="s">
        <v>10227</v>
      </c>
      <c r="C25952" t="s">
        <v>544</v>
      </c>
      <c r="D25952" s="21" t="s">
        <v>34</v>
      </c>
      <c r="E25952" s="21" t="s">
        <v>71</v>
      </c>
      <c r="F25952">
        <v>12440266</v>
      </c>
      <c r="G25952" t="s">
        <v>924</v>
      </c>
      <c r="H25952" s="21">
        <v>627.66999999999996</v>
      </c>
    </row>
    <row r="25953" spans="1:8" customFormat="1" x14ac:dyDescent="0.25">
      <c r="A25953" t="str">
        <f>"334901"</f>
        <v>334901</v>
      </c>
      <c r="B25953" t="s">
        <v>7828</v>
      </c>
      <c r="C25953" t="s">
        <v>124</v>
      </c>
      <c r="D25953" s="21" t="s">
        <v>34</v>
      </c>
      <c r="E25953" s="21" t="s">
        <v>71</v>
      </c>
      <c r="F25953">
        <v>12440067</v>
      </c>
      <c r="G25953" t="s">
        <v>1723</v>
      </c>
      <c r="H25953" s="21">
        <v>627.66999999999996</v>
      </c>
    </row>
    <row r="25954" spans="1:8" customFormat="1" x14ac:dyDescent="0.25">
      <c r="A25954" t="str">
        <f>"5934073"</f>
        <v>5934073</v>
      </c>
      <c r="B25954" t="s">
        <v>1349</v>
      </c>
      <c r="C25954" t="s">
        <v>40</v>
      </c>
      <c r="D25954" s="21" t="s">
        <v>34</v>
      </c>
      <c r="E25954" s="21" t="s">
        <v>254</v>
      </c>
      <c r="F25954">
        <v>7590087</v>
      </c>
      <c r="G25954" t="s">
        <v>2112</v>
      </c>
      <c r="H25954" s="21">
        <v>627.66999999999996</v>
      </c>
    </row>
    <row r="25955" spans="1:8" customFormat="1" x14ac:dyDescent="0.25">
      <c r="A25955" t="str">
        <f>"422347"</f>
        <v>422347</v>
      </c>
      <c r="B25955" t="s">
        <v>16653</v>
      </c>
      <c r="C25955" t="s">
        <v>16654</v>
      </c>
      <c r="D25955" s="21" t="s">
        <v>34</v>
      </c>
      <c r="E25955" s="21" t="s">
        <v>254</v>
      </c>
      <c r="F25955">
        <v>1420080</v>
      </c>
      <c r="G25955" t="s">
        <v>10230</v>
      </c>
      <c r="H25955" s="21">
        <v>627.66999999999996</v>
      </c>
    </row>
    <row r="25956" spans="1:8" customFormat="1" x14ac:dyDescent="0.25">
      <c r="A25956" t="str">
        <f>"698560"</f>
        <v>698560</v>
      </c>
      <c r="B25956" t="s">
        <v>911</v>
      </c>
      <c r="C25956" t="s">
        <v>239</v>
      </c>
      <c r="D25956" s="21" t="s">
        <v>34</v>
      </c>
      <c r="E25956" s="21" t="s">
        <v>71</v>
      </c>
      <c r="F25956">
        <v>1690169</v>
      </c>
      <c r="G25956" t="s">
        <v>10963</v>
      </c>
      <c r="H25956" s="21">
        <v>627.66999999999996</v>
      </c>
    </row>
    <row r="25957" spans="1:8" customFormat="1" x14ac:dyDescent="0.25">
      <c r="A25957" t="str">
        <f>"868337"</f>
        <v>868337</v>
      </c>
      <c r="B25957" t="s">
        <v>1252</v>
      </c>
      <c r="C25957" t="s">
        <v>169</v>
      </c>
      <c r="D25957" s="21" t="s">
        <v>34</v>
      </c>
      <c r="E25957" s="21" t="s">
        <v>71</v>
      </c>
      <c r="F25957">
        <v>10860005</v>
      </c>
      <c r="G25957" t="s">
        <v>7474</v>
      </c>
      <c r="H25957" s="21">
        <v>627.66999999999996</v>
      </c>
    </row>
    <row r="25958" spans="1:8" customFormat="1" x14ac:dyDescent="0.25">
      <c r="A25958" t="str">
        <f>"7110640"</f>
        <v>7110640</v>
      </c>
      <c r="B25958" t="s">
        <v>16885</v>
      </c>
      <c r="C25958" t="s">
        <v>209</v>
      </c>
      <c r="D25958" s="21" t="s">
        <v>34</v>
      </c>
      <c r="E25958" s="21" t="s">
        <v>35</v>
      </c>
      <c r="F25958">
        <v>2710067</v>
      </c>
      <c r="G25958" t="s">
        <v>284</v>
      </c>
      <c r="H25958" s="21">
        <v>627.66999999999996</v>
      </c>
    </row>
    <row r="25959" spans="1:8" customFormat="1" x14ac:dyDescent="0.25">
      <c r="A25959" t="str">
        <f>"2932537"</f>
        <v>2932537</v>
      </c>
      <c r="B25959" t="s">
        <v>20757</v>
      </c>
      <c r="C25959" t="s">
        <v>1841</v>
      </c>
      <c r="D25959" s="21" t="s">
        <v>34</v>
      </c>
      <c r="E25959" s="21" t="s">
        <v>254</v>
      </c>
      <c r="F25959">
        <v>3290215</v>
      </c>
      <c r="G25959" t="s">
        <v>5058</v>
      </c>
      <c r="H25959" s="21">
        <v>627.66999999999996</v>
      </c>
    </row>
    <row r="25960" spans="1:8" customFormat="1" x14ac:dyDescent="0.25">
      <c r="A25960" t="str">
        <f>"6927405"</f>
        <v>6927405</v>
      </c>
      <c r="B25960" t="s">
        <v>22154</v>
      </c>
      <c r="C25960" t="s">
        <v>926</v>
      </c>
      <c r="D25960" s="21" t="s">
        <v>34</v>
      </c>
      <c r="E25960" s="21" t="s">
        <v>71</v>
      </c>
      <c r="F25960">
        <v>1690150</v>
      </c>
      <c r="G25960" t="s">
        <v>19630</v>
      </c>
      <c r="H25960" s="21">
        <v>627.54</v>
      </c>
    </row>
    <row r="25961" spans="1:8" customFormat="1" x14ac:dyDescent="0.25">
      <c r="A25961" t="str">
        <f>"7525075"</f>
        <v>7525075</v>
      </c>
      <c r="B25961" t="s">
        <v>27880</v>
      </c>
      <c r="C25961" t="s">
        <v>33</v>
      </c>
      <c r="D25961" s="21" t="s">
        <v>34</v>
      </c>
      <c r="E25961" s="21" t="s">
        <v>35</v>
      </c>
      <c r="F25961">
        <v>8751271</v>
      </c>
      <c r="G25961" t="s">
        <v>1067</v>
      </c>
      <c r="H25961" s="21">
        <v>627.5</v>
      </c>
    </row>
    <row r="25962" spans="1:8" customFormat="1" x14ac:dyDescent="0.25">
      <c r="A25962" t="str">
        <f>"7849578"</f>
        <v>7849578</v>
      </c>
      <c r="B25962" t="s">
        <v>18427</v>
      </c>
      <c r="C25962" t="s">
        <v>263</v>
      </c>
      <c r="D25962" s="21" t="s">
        <v>34</v>
      </c>
      <c r="E25962" s="21" t="s">
        <v>254</v>
      </c>
      <c r="F25962">
        <v>8780356</v>
      </c>
      <c r="G25962" t="s">
        <v>5449</v>
      </c>
      <c r="H25962" s="21">
        <v>627.41999999999996</v>
      </c>
    </row>
    <row r="25963" spans="1:8" customFormat="1" x14ac:dyDescent="0.25">
      <c r="A25963" t="str">
        <f>"992337"</f>
        <v>992337</v>
      </c>
      <c r="B25963" t="s">
        <v>23616</v>
      </c>
      <c r="C25963" t="s">
        <v>169</v>
      </c>
      <c r="D25963" s="21" t="s">
        <v>34</v>
      </c>
      <c r="E25963" s="21" t="s">
        <v>35</v>
      </c>
      <c r="F25963">
        <v>5990007</v>
      </c>
      <c r="G25963" t="s">
        <v>15719</v>
      </c>
      <c r="H25963" s="21">
        <v>627.41999999999996</v>
      </c>
    </row>
    <row r="25964" spans="1:8" customFormat="1" x14ac:dyDescent="0.25">
      <c r="A25964" t="str">
        <f>"9534940"</f>
        <v>9534940</v>
      </c>
      <c r="B25964" t="s">
        <v>4096</v>
      </c>
      <c r="C25964" t="s">
        <v>249</v>
      </c>
      <c r="D25964" s="21" t="s">
        <v>34</v>
      </c>
      <c r="E25964" s="21" t="s">
        <v>71</v>
      </c>
      <c r="F25964">
        <v>8951451</v>
      </c>
      <c r="G25964" t="s">
        <v>3909</v>
      </c>
      <c r="H25964" s="21">
        <v>627.41999999999996</v>
      </c>
    </row>
    <row r="25965" spans="1:8" customFormat="1" x14ac:dyDescent="0.25">
      <c r="A25965" t="str">
        <f>"4427314"</f>
        <v>4427314</v>
      </c>
      <c r="B25965" t="s">
        <v>18714</v>
      </c>
      <c r="C25965" t="s">
        <v>209</v>
      </c>
      <c r="D25965" s="21" t="s">
        <v>34</v>
      </c>
      <c r="E25965" s="21" t="s">
        <v>254</v>
      </c>
      <c r="F25965">
        <v>12440060</v>
      </c>
      <c r="G25965" t="s">
        <v>9953</v>
      </c>
      <c r="H25965" s="21">
        <v>627.41999999999996</v>
      </c>
    </row>
    <row r="25966" spans="1:8" customFormat="1" x14ac:dyDescent="0.25">
      <c r="A25966" t="str">
        <f>"8310531"</f>
        <v>8310531</v>
      </c>
      <c r="B25966" t="s">
        <v>19629</v>
      </c>
      <c r="C25966" t="s">
        <v>236</v>
      </c>
      <c r="D25966" s="21" t="s">
        <v>34</v>
      </c>
      <c r="E25966" s="21" t="s">
        <v>254</v>
      </c>
      <c r="F25966">
        <v>1690150</v>
      </c>
      <c r="G25966" t="s">
        <v>19630</v>
      </c>
      <c r="H25966" s="21">
        <v>627.29</v>
      </c>
    </row>
    <row r="25967" spans="1:8" customFormat="1" x14ac:dyDescent="0.25">
      <c r="A25967" t="str">
        <f>"3011939"</f>
        <v>3011939</v>
      </c>
      <c r="B25967" t="s">
        <v>8887</v>
      </c>
      <c r="C25967" t="s">
        <v>2475</v>
      </c>
      <c r="D25967" s="21" t="s">
        <v>34</v>
      </c>
      <c r="E25967" s="21" t="s">
        <v>35</v>
      </c>
      <c r="F25967">
        <v>11300025</v>
      </c>
      <c r="G25967" t="s">
        <v>1211</v>
      </c>
      <c r="H25967" s="21">
        <v>627.16999999999996</v>
      </c>
    </row>
    <row r="25968" spans="1:8" customFormat="1" x14ac:dyDescent="0.25">
      <c r="A25968" t="str">
        <f>"854797"</f>
        <v>854797</v>
      </c>
      <c r="B25968" t="s">
        <v>5496</v>
      </c>
      <c r="C25968" t="s">
        <v>244</v>
      </c>
      <c r="D25968" s="21" t="s">
        <v>34</v>
      </c>
      <c r="E25968" s="21" t="s">
        <v>35</v>
      </c>
      <c r="F25968">
        <v>12850037</v>
      </c>
      <c r="G25968" t="s">
        <v>2787</v>
      </c>
      <c r="H25968" s="21">
        <v>627.16999999999996</v>
      </c>
    </row>
    <row r="25969" spans="1:8" customFormat="1" x14ac:dyDescent="0.25">
      <c r="A25969" t="str">
        <f>"4450091"</f>
        <v>4450091</v>
      </c>
      <c r="B25969" t="s">
        <v>765</v>
      </c>
      <c r="C25969" t="s">
        <v>2475</v>
      </c>
      <c r="D25969" s="21" t="s">
        <v>34</v>
      </c>
      <c r="E25969" s="21" t="s">
        <v>35</v>
      </c>
      <c r="F25969">
        <v>12440206</v>
      </c>
      <c r="G25969" t="s">
        <v>10374</v>
      </c>
      <c r="H25969" s="21">
        <v>627.16999999999996</v>
      </c>
    </row>
    <row r="25970" spans="1:8" customFormat="1" x14ac:dyDescent="0.25">
      <c r="A25970" t="str">
        <f>"0614591"</f>
        <v>0614591</v>
      </c>
      <c r="B25970" t="s">
        <v>18885</v>
      </c>
      <c r="C25970" t="s">
        <v>415</v>
      </c>
      <c r="D25970" s="21" t="s">
        <v>34</v>
      </c>
      <c r="E25970" s="21" t="s">
        <v>71</v>
      </c>
      <c r="F25970">
        <v>13060101</v>
      </c>
      <c r="G25970" t="s">
        <v>5947</v>
      </c>
      <c r="H25970" s="21">
        <v>627.16999999999996</v>
      </c>
    </row>
    <row r="25971" spans="1:8" customFormat="1" x14ac:dyDescent="0.25">
      <c r="A25971" t="str">
        <f>"5941506"</f>
        <v>5941506</v>
      </c>
      <c r="B25971" t="s">
        <v>27881</v>
      </c>
      <c r="C25971" t="s">
        <v>18451</v>
      </c>
      <c r="D25971" s="21" t="s">
        <v>34</v>
      </c>
      <c r="E25971" s="21" t="s">
        <v>254</v>
      </c>
      <c r="F25971">
        <v>4450036</v>
      </c>
      <c r="G25971" t="s">
        <v>4179</v>
      </c>
      <c r="H25971" s="21">
        <v>627.16999999999996</v>
      </c>
    </row>
    <row r="25972" spans="1:8" customFormat="1" x14ac:dyDescent="0.25">
      <c r="A25972" t="str">
        <f>"3715022"</f>
        <v>3715022</v>
      </c>
      <c r="B25972" t="s">
        <v>20073</v>
      </c>
      <c r="C25972" t="s">
        <v>1110</v>
      </c>
      <c r="D25972" s="21" t="s">
        <v>34</v>
      </c>
      <c r="E25972" s="21" t="s">
        <v>71</v>
      </c>
      <c r="F25972">
        <v>4370001</v>
      </c>
      <c r="G25972" t="s">
        <v>957</v>
      </c>
      <c r="H25972" s="21">
        <v>627.16999999999996</v>
      </c>
    </row>
    <row r="25973" spans="1:8" customFormat="1" x14ac:dyDescent="0.25">
      <c r="A25973" t="str">
        <f>"6814472"</f>
        <v>6814472</v>
      </c>
      <c r="B25973" t="s">
        <v>21025</v>
      </c>
      <c r="C25973" t="s">
        <v>428</v>
      </c>
      <c r="D25973" s="21" t="s">
        <v>34</v>
      </c>
      <c r="E25973" s="21" t="s">
        <v>35</v>
      </c>
      <c r="F25973">
        <v>6680140</v>
      </c>
      <c r="G25973" t="s">
        <v>27516</v>
      </c>
      <c r="H25973" s="21">
        <v>627.16999999999996</v>
      </c>
    </row>
    <row r="25974" spans="1:8" customFormat="1" x14ac:dyDescent="0.25">
      <c r="A25974" t="str">
        <f>"8017014"</f>
        <v>8017014</v>
      </c>
      <c r="B25974" t="s">
        <v>10868</v>
      </c>
      <c r="C25974" t="s">
        <v>65</v>
      </c>
      <c r="D25974" s="21" t="s">
        <v>34</v>
      </c>
      <c r="E25974" s="21" t="s">
        <v>35</v>
      </c>
      <c r="F25974">
        <v>7800064</v>
      </c>
      <c r="G25974" t="s">
        <v>4496</v>
      </c>
      <c r="H25974" s="21">
        <v>627.16999999999996</v>
      </c>
    </row>
    <row r="25975" spans="1:8" customFormat="1" x14ac:dyDescent="0.25">
      <c r="A25975" t="str">
        <f>"7874003"</f>
        <v>7874003</v>
      </c>
      <c r="B25975" t="s">
        <v>20910</v>
      </c>
      <c r="C25975" t="s">
        <v>267</v>
      </c>
      <c r="D25975" s="21" t="s">
        <v>34</v>
      </c>
      <c r="E25975" s="21" t="s">
        <v>71</v>
      </c>
      <c r="F25975">
        <v>8780108</v>
      </c>
      <c r="G25975" t="s">
        <v>4329</v>
      </c>
      <c r="H25975" s="21">
        <v>627.16999999999996</v>
      </c>
    </row>
    <row r="25976" spans="1:8" customFormat="1" x14ac:dyDescent="0.25">
      <c r="A25976" t="str">
        <f>"865305"</f>
        <v>865305</v>
      </c>
      <c r="B25976" t="s">
        <v>19865</v>
      </c>
      <c r="C25976" t="s">
        <v>2546</v>
      </c>
      <c r="D25976" s="21" t="s">
        <v>34</v>
      </c>
      <c r="E25976" s="21" t="s">
        <v>254</v>
      </c>
      <c r="F25976">
        <v>10860031</v>
      </c>
      <c r="G25976" t="s">
        <v>5834</v>
      </c>
      <c r="H25976" s="21">
        <v>627.16999999999996</v>
      </c>
    </row>
    <row r="25977" spans="1:8" customFormat="1" x14ac:dyDescent="0.25">
      <c r="A25977" t="str">
        <f>"668512"</f>
        <v>668512</v>
      </c>
      <c r="B25977" t="s">
        <v>27882</v>
      </c>
      <c r="C25977" t="s">
        <v>109</v>
      </c>
      <c r="D25977" s="21" t="s">
        <v>34</v>
      </c>
      <c r="E25977" s="21" t="s">
        <v>35</v>
      </c>
      <c r="F25977">
        <v>11660020</v>
      </c>
      <c r="G25977" t="s">
        <v>10247</v>
      </c>
      <c r="H25977" s="21">
        <v>627.16999999999996</v>
      </c>
    </row>
    <row r="25978" spans="1:8" customFormat="1" x14ac:dyDescent="0.25">
      <c r="A25978" t="str">
        <f>"2615921"</f>
        <v>2615921</v>
      </c>
      <c r="B25978" t="s">
        <v>4128</v>
      </c>
      <c r="C25978" t="s">
        <v>147</v>
      </c>
      <c r="D25978" s="21" t="s">
        <v>34</v>
      </c>
      <c r="E25978" s="21" t="s">
        <v>35</v>
      </c>
      <c r="F25978">
        <v>1260001</v>
      </c>
      <c r="G25978" t="s">
        <v>16056</v>
      </c>
      <c r="H25978" s="21">
        <v>627.16999999999996</v>
      </c>
    </row>
    <row r="25979" spans="1:8" customFormat="1" x14ac:dyDescent="0.25">
      <c r="A25979" t="str">
        <f>"1419001"</f>
        <v>1419001</v>
      </c>
      <c r="B25979" t="s">
        <v>19570</v>
      </c>
      <c r="C25979" t="s">
        <v>2520</v>
      </c>
      <c r="D25979" s="21" t="s">
        <v>34</v>
      </c>
      <c r="E25979" s="21" t="s">
        <v>254</v>
      </c>
      <c r="F25979">
        <v>12850148</v>
      </c>
      <c r="G25979" t="s">
        <v>2380</v>
      </c>
      <c r="H25979" s="21">
        <v>627.16999999999996</v>
      </c>
    </row>
    <row r="25980" spans="1:8" customFormat="1" x14ac:dyDescent="0.25">
      <c r="A25980" t="str">
        <f>"4926336"</f>
        <v>4926336</v>
      </c>
      <c r="B25980" t="s">
        <v>1264</v>
      </c>
      <c r="C25980" t="s">
        <v>40</v>
      </c>
      <c r="D25980" s="21" t="s">
        <v>34</v>
      </c>
      <c r="E25980" s="21" t="s">
        <v>254</v>
      </c>
      <c r="F25980">
        <v>12490106</v>
      </c>
      <c r="G25980" t="s">
        <v>4555</v>
      </c>
      <c r="H25980" s="21">
        <v>627.16999999999996</v>
      </c>
    </row>
    <row r="25981" spans="1:8" customFormat="1" x14ac:dyDescent="0.25">
      <c r="A25981" t="str">
        <f>"7824725"</f>
        <v>7824725</v>
      </c>
      <c r="B25981" t="s">
        <v>20401</v>
      </c>
      <c r="C25981" t="s">
        <v>62</v>
      </c>
      <c r="D25981" s="21" t="s">
        <v>34</v>
      </c>
      <c r="E25981" s="21" t="s">
        <v>35</v>
      </c>
      <c r="F25981">
        <v>8780016</v>
      </c>
      <c r="G25981" t="s">
        <v>3153</v>
      </c>
      <c r="H25981" s="21">
        <v>627.16999999999996</v>
      </c>
    </row>
    <row r="25982" spans="1:8" customFormat="1" x14ac:dyDescent="0.25">
      <c r="A25982" t="str">
        <f>"5730516"</f>
        <v>5730516</v>
      </c>
      <c r="B25982" t="s">
        <v>526</v>
      </c>
      <c r="C25982" t="s">
        <v>33</v>
      </c>
      <c r="D25982" s="21" t="s">
        <v>34</v>
      </c>
      <c r="E25982" s="21" t="s">
        <v>71</v>
      </c>
      <c r="F25982">
        <v>6570193</v>
      </c>
      <c r="G25982" t="s">
        <v>13003</v>
      </c>
      <c r="H25982" s="21">
        <v>627.16999999999996</v>
      </c>
    </row>
    <row r="25983" spans="1:8" customFormat="1" x14ac:dyDescent="0.25">
      <c r="A25983" t="str">
        <f>"113753"</f>
        <v>113753</v>
      </c>
      <c r="B25983" t="s">
        <v>19998</v>
      </c>
      <c r="C25983" t="s">
        <v>547</v>
      </c>
      <c r="D25983" s="21" t="s">
        <v>34</v>
      </c>
      <c r="E25983" s="21" t="s">
        <v>71</v>
      </c>
      <c r="F25983">
        <v>11110013</v>
      </c>
      <c r="G25983" t="s">
        <v>640</v>
      </c>
      <c r="H25983" s="21">
        <v>627.16999999999996</v>
      </c>
    </row>
    <row r="25984" spans="1:8" customFormat="1" x14ac:dyDescent="0.25">
      <c r="A25984" t="str">
        <f>"3424713"</f>
        <v>3424713</v>
      </c>
      <c r="B25984" t="s">
        <v>1341</v>
      </c>
      <c r="C25984" t="s">
        <v>249</v>
      </c>
      <c r="D25984" s="21" t="s">
        <v>34</v>
      </c>
      <c r="E25984" s="21" t="s">
        <v>71</v>
      </c>
      <c r="F25984">
        <v>11340071</v>
      </c>
      <c r="G25984" t="s">
        <v>17733</v>
      </c>
      <c r="H25984" s="21">
        <v>627.16999999999996</v>
      </c>
    </row>
    <row r="25985" spans="1:8" customFormat="1" x14ac:dyDescent="0.25">
      <c r="A25985" t="str">
        <f>"2513354"</f>
        <v>2513354</v>
      </c>
      <c r="B25985" t="s">
        <v>3458</v>
      </c>
      <c r="C25985" t="s">
        <v>1665</v>
      </c>
      <c r="D25985" s="21" t="s">
        <v>34</v>
      </c>
      <c r="E25985" s="21" t="s">
        <v>35</v>
      </c>
      <c r="F25985">
        <v>2250176</v>
      </c>
      <c r="G25985" t="s">
        <v>7261</v>
      </c>
      <c r="H25985" s="21">
        <v>627.16999999999996</v>
      </c>
    </row>
    <row r="25986" spans="1:8" customFormat="1" x14ac:dyDescent="0.25">
      <c r="A25986" t="str">
        <f>"304109"</f>
        <v>304109</v>
      </c>
      <c r="B25986" t="s">
        <v>16101</v>
      </c>
      <c r="C25986" t="s">
        <v>2276</v>
      </c>
      <c r="D25986" s="21" t="s">
        <v>34</v>
      </c>
      <c r="E25986" s="21" t="s">
        <v>254</v>
      </c>
      <c r="F25986">
        <v>11300050</v>
      </c>
      <c r="G25986" t="s">
        <v>15053</v>
      </c>
      <c r="H25986" s="21">
        <v>627.16999999999996</v>
      </c>
    </row>
    <row r="25987" spans="1:8" customFormat="1" x14ac:dyDescent="0.25">
      <c r="A25987" t="str">
        <f>"9450697"</f>
        <v>9450697</v>
      </c>
      <c r="B25987" t="s">
        <v>8810</v>
      </c>
      <c r="C25987" t="s">
        <v>311</v>
      </c>
      <c r="D25987" s="21" t="s">
        <v>34</v>
      </c>
      <c r="E25987" s="21" t="s">
        <v>35</v>
      </c>
      <c r="F25987">
        <v>8940524</v>
      </c>
      <c r="G25987" t="s">
        <v>6176</v>
      </c>
      <c r="H25987" s="21">
        <v>627.04</v>
      </c>
    </row>
    <row r="25988" spans="1:8" customFormat="1" x14ac:dyDescent="0.25">
      <c r="A25988" t="str">
        <f>"4441087"</f>
        <v>4441087</v>
      </c>
      <c r="B25988" t="s">
        <v>19576</v>
      </c>
      <c r="C25988" t="s">
        <v>428</v>
      </c>
      <c r="D25988" s="21" t="s">
        <v>34</v>
      </c>
      <c r="E25988" s="21" t="s">
        <v>71</v>
      </c>
      <c r="F25988">
        <v>12440023</v>
      </c>
      <c r="G25988" t="s">
        <v>3507</v>
      </c>
      <c r="H25988" s="21">
        <v>626.91999999999996</v>
      </c>
    </row>
    <row r="25989" spans="1:8" customFormat="1" x14ac:dyDescent="0.25">
      <c r="A25989" t="str">
        <f>"5725390"</f>
        <v>5725390</v>
      </c>
      <c r="B25989" t="s">
        <v>2243</v>
      </c>
      <c r="C25989" t="s">
        <v>269</v>
      </c>
      <c r="D25989" s="21" t="s">
        <v>34</v>
      </c>
      <c r="E25989" s="21" t="s">
        <v>71</v>
      </c>
      <c r="F25989">
        <v>6570201</v>
      </c>
      <c r="G25989" t="s">
        <v>3296</v>
      </c>
      <c r="H25989" s="21">
        <v>626.91999999999996</v>
      </c>
    </row>
    <row r="25990" spans="1:8" customFormat="1" x14ac:dyDescent="0.25">
      <c r="A25990" t="str">
        <f>"958738"</f>
        <v>958738</v>
      </c>
      <c r="B25990" t="s">
        <v>823</v>
      </c>
      <c r="C25990" t="s">
        <v>415</v>
      </c>
      <c r="D25990" s="21" t="s">
        <v>34</v>
      </c>
      <c r="E25990" s="21" t="s">
        <v>254</v>
      </c>
      <c r="F25990">
        <v>8950129</v>
      </c>
      <c r="G25990" t="s">
        <v>10701</v>
      </c>
      <c r="H25990" s="21">
        <v>626.91999999999996</v>
      </c>
    </row>
    <row r="25991" spans="1:8" customFormat="1" x14ac:dyDescent="0.25">
      <c r="A25991" t="str">
        <f>"6111900"</f>
        <v>6111900</v>
      </c>
      <c r="B25991" t="s">
        <v>1012</v>
      </c>
      <c r="C25991" t="s">
        <v>2904</v>
      </c>
      <c r="D25991" s="21" t="s">
        <v>34</v>
      </c>
      <c r="E25991" s="21" t="s">
        <v>71</v>
      </c>
      <c r="F25991">
        <v>9610009</v>
      </c>
      <c r="G25991" t="s">
        <v>282</v>
      </c>
      <c r="H25991" s="21">
        <v>626.79</v>
      </c>
    </row>
    <row r="25992" spans="1:8" customFormat="1" x14ac:dyDescent="0.25">
      <c r="A25992" t="str">
        <f>"365514"</f>
        <v>365514</v>
      </c>
      <c r="B25992" t="s">
        <v>9730</v>
      </c>
      <c r="C25992" t="s">
        <v>608</v>
      </c>
      <c r="D25992" s="21" t="s">
        <v>34</v>
      </c>
      <c r="E25992" s="21" t="s">
        <v>254</v>
      </c>
      <c r="F25992">
        <v>4360481</v>
      </c>
      <c r="G25992" t="s">
        <v>12957</v>
      </c>
      <c r="H25992" s="21">
        <v>626.66999999999996</v>
      </c>
    </row>
    <row r="25993" spans="1:8" customFormat="1" x14ac:dyDescent="0.25">
      <c r="A25993" t="str">
        <f>"823745"</f>
        <v>823745</v>
      </c>
      <c r="B25993" t="s">
        <v>12448</v>
      </c>
      <c r="C25993" t="s">
        <v>598</v>
      </c>
      <c r="D25993" s="21" t="s">
        <v>34</v>
      </c>
      <c r="E25993" s="21" t="s">
        <v>35</v>
      </c>
      <c r="F25993">
        <v>11820035</v>
      </c>
      <c r="G25993" t="s">
        <v>16643</v>
      </c>
      <c r="H25993" s="21">
        <v>626.66999999999996</v>
      </c>
    </row>
    <row r="25994" spans="1:8" customFormat="1" x14ac:dyDescent="0.25">
      <c r="A25994" t="str">
        <f>"5915583"</f>
        <v>5915583</v>
      </c>
      <c r="B25994" t="s">
        <v>2603</v>
      </c>
      <c r="C25994" t="s">
        <v>598</v>
      </c>
      <c r="D25994" s="21" t="s">
        <v>34</v>
      </c>
      <c r="E25994" s="21" t="s">
        <v>1089</v>
      </c>
      <c r="F25994">
        <v>7590053</v>
      </c>
      <c r="G25994" t="s">
        <v>2825</v>
      </c>
      <c r="H25994" s="21">
        <v>626.66999999999996</v>
      </c>
    </row>
    <row r="25995" spans="1:8" customFormat="1" x14ac:dyDescent="0.25">
      <c r="A25995" t="str">
        <f>"872961"</f>
        <v>872961</v>
      </c>
      <c r="B25995" t="s">
        <v>18014</v>
      </c>
      <c r="C25995" t="s">
        <v>40</v>
      </c>
      <c r="D25995" s="21" t="s">
        <v>34</v>
      </c>
      <c r="E25995" s="21" t="s">
        <v>254</v>
      </c>
      <c r="F25995">
        <v>10870102</v>
      </c>
      <c r="G25995" t="s">
        <v>15067</v>
      </c>
      <c r="H25995" s="21">
        <v>626.66999999999996</v>
      </c>
    </row>
    <row r="25996" spans="1:8" customFormat="1" x14ac:dyDescent="0.25">
      <c r="A25996" t="str">
        <f>"3531139"</f>
        <v>3531139</v>
      </c>
      <c r="B25996" t="s">
        <v>19055</v>
      </c>
      <c r="C25996" t="s">
        <v>82</v>
      </c>
      <c r="D25996" s="21" t="s">
        <v>34</v>
      </c>
      <c r="E25996" s="21" t="s">
        <v>35</v>
      </c>
      <c r="F25996">
        <v>3350074</v>
      </c>
      <c r="G25996" t="s">
        <v>5432</v>
      </c>
      <c r="H25996" s="21">
        <v>626.66999999999996</v>
      </c>
    </row>
    <row r="25997" spans="1:8" customFormat="1" x14ac:dyDescent="0.25">
      <c r="A25997" t="str">
        <f>"6218124"</f>
        <v>6218124</v>
      </c>
      <c r="B25997" t="s">
        <v>12483</v>
      </c>
      <c r="C25997" t="s">
        <v>60</v>
      </c>
      <c r="D25997" s="21" t="s">
        <v>34</v>
      </c>
      <c r="E25997" s="21" t="s">
        <v>35</v>
      </c>
      <c r="F25997">
        <v>7620151</v>
      </c>
      <c r="G25997" t="s">
        <v>14891</v>
      </c>
      <c r="H25997" s="21">
        <v>626.66999999999996</v>
      </c>
    </row>
    <row r="25998" spans="1:8" customFormat="1" x14ac:dyDescent="0.25">
      <c r="A25998" t="str">
        <f>"744062"</f>
        <v>744062</v>
      </c>
      <c r="B25998" t="s">
        <v>19312</v>
      </c>
      <c r="C25998" t="s">
        <v>1132</v>
      </c>
      <c r="D25998" s="21" t="s">
        <v>34</v>
      </c>
      <c r="E25998" s="21" t="s">
        <v>35</v>
      </c>
      <c r="F25998">
        <v>1740063</v>
      </c>
      <c r="G25998" t="s">
        <v>9745</v>
      </c>
      <c r="H25998" s="21">
        <v>626.66999999999996</v>
      </c>
    </row>
    <row r="25999" spans="1:8" customFormat="1" x14ac:dyDescent="0.25">
      <c r="A25999" t="str">
        <f>"9435668"</f>
        <v>9435668</v>
      </c>
      <c r="B25999" t="s">
        <v>19145</v>
      </c>
      <c r="C25999" t="s">
        <v>3905</v>
      </c>
      <c r="D25999" s="21" t="s">
        <v>34</v>
      </c>
      <c r="E25999" s="21" t="s">
        <v>71</v>
      </c>
      <c r="F25999">
        <v>8940482</v>
      </c>
      <c r="G25999" t="s">
        <v>2560</v>
      </c>
      <c r="H25999" s="21">
        <v>626.66999999999996</v>
      </c>
    </row>
    <row r="26000" spans="1:8" customFormat="1" x14ac:dyDescent="0.25">
      <c r="A26000" t="str">
        <f>"7627220"</f>
        <v>7627220</v>
      </c>
      <c r="B26000" t="s">
        <v>19241</v>
      </c>
      <c r="C26000" t="s">
        <v>124</v>
      </c>
      <c r="D26000" s="21" t="s">
        <v>34</v>
      </c>
      <c r="E26000" s="21" t="s">
        <v>254</v>
      </c>
      <c r="F26000">
        <v>9760070</v>
      </c>
      <c r="G26000" t="s">
        <v>6226</v>
      </c>
      <c r="H26000" s="21">
        <v>626.66999999999996</v>
      </c>
    </row>
    <row r="26001" spans="1:8" customFormat="1" x14ac:dyDescent="0.25">
      <c r="A26001" t="str">
        <f>"8016151"</f>
        <v>8016151</v>
      </c>
      <c r="B26001" t="s">
        <v>1500</v>
      </c>
      <c r="C26001" t="s">
        <v>269</v>
      </c>
      <c r="D26001" s="21" t="s">
        <v>34</v>
      </c>
      <c r="E26001" s="21" t="s">
        <v>254</v>
      </c>
      <c r="F26001">
        <v>7800003</v>
      </c>
      <c r="G26001" t="s">
        <v>276</v>
      </c>
      <c r="H26001" s="21">
        <v>626.66999999999996</v>
      </c>
    </row>
    <row r="26002" spans="1:8" customFormat="1" x14ac:dyDescent="0.25">
      <c r="A26002" t="str">
        <f>"4526074"</f>
        <v>4526074</v>
      </c>
      <c r="B26002" t="s">
        <v>767</v>
      </c>
      <c r="C26002" t="s">
        <v>6553</v>
      </c>
      <c r="D26002" s="21" t="s">
        <v>34</v>
      </c>
      <c r="E26002" s="21" t="s">
        <v>35</v>
      </c>
      <c r="F26002">
        <v>4450144</v>
      </c>
      <c r="G26002" t="s">
        <v>6941</v>
      </c>
      <c r="H26002" s="21">
        <v>626.66999999999996</v>
      </c>
    </row>
    <row r="26003" spans="1:8" customFormat="1" x14ac:dyDescent="0.25">
      <c r="A26003" t="str">
        <f>"3531571"</f>
        <v>3531571</v>
      </c>
      <c r="B26003" t="s">
        <v>3072</v>
      </c>
      <c r="C26003" t="s">
        <v>1708</v>
      </c>
      <c r="D26003" s="21" t="s">
        <v>34</v>
      </c>
      <c r="E26003" s="21" t="s">
        <v>35</v>
      </c>
      <c r="F26003">
        <v>3350023</v>
      </c>
      <c r="G26003" t="s">
        <v>12401</v>
      </c>
      <c r="H26003" s="21">
        <v>626.66999999999996</v>
      </c>
    </row>
    <row r="26004" spans="1:8" customFormat="1" x14ac:dyDescent="0.25">
      <c r="A26004" t="str">
        <f>"407588"</f>
        <v>407588</v>
      </c>
      <c r="B26004" t="s">
        <v>362</v>
      </c>
      <c r="C26004" t="s">
        <v>285</v>
      </c>
      <c r="D26004" s="21" t="s">
        <v>34</v>
      </c>
      <c r="E26004" s="21" t="s">
        <v>35</v>
      </c>
      <c r="F26004">
        <v>10400025</v>
      </c>
      <c r="G26004" t="s">
        <v>5655</v>
      </c>
      <c r="H26004" s="21">
        <v>626.66999999999996</v>
      </c>
    </row>
    <row r="26005" spans="1:8" customFormat="1" x14ac:dyDescent="0.25">
      <c r="A26005" t="str">
        <f>"551229"</f>
        <v>551229</v>
      </c>
      <c r="B26005" t="s">
        <v>19744</v>
      </c>
      <c r="C26005" t="s">
        <v>239</v>
      </c>
      <c r="D26005" s="21" t="s">
        <v>34</v>
      </c>
      <c r="E26005" s="21" t="s">
        <v>254</v>
      </c>
      <c r="F26005">
        <v>6550001</v>
      </c>
      <c r="G26005" t="s">
        <v>8790</v>
      </c>
      <c r="H26005" s="21">
        <v>626.66999999999996</v>
      </c>
    </row>
    <row r="26006" spans="1:8" customFormat="1" x14ac:dyDescent="0.25">
      <c r="A26006" t="str">
        <f>"5925336"</f>
        <v>5925336</v>
      </c>
      <c r="B26006" t="s">
        <v>4377</v>
      </c>
      <c r="C26006" t="s">
        <v>18358</v>
      </c>
      <c r="D26006" s="21" t="s">
        <v>34</v>
      </c>
      <c r="E26006" s="21" t="s">
        <v>254</v>
      </c>
      <c r="F26006">
        <v>7590293</v>
      </c>
      <c r="G26006" t="s">
        <v>2431</v>
      </c>
      <c r="H26006" s="21">
        <v>626.66999999999996</v>
      </c>
    </row>
    <row r="26007" spans="1:8" customFormat="1" x14ac:dyDescent="0.25">
      <c r="A26007" t="str">
        <f>"2718050"</f>
        <v>2718050</v>
      </c>
      <c r="B26007" t="s">
        <v>10862</v>
      </c>
      <c r="C26007" t="s">
        <v>33</v>
      </c>
      <c r="D26007" s="21" t="s">
        <v>34</v>
      </c>
      <c r="E26007" s="21" t="s">
        <v>35</v>
      </c>
      <c r="F26007">
        <v>9270095</v>
      </c>
      <c r="G26007" t="s">
        <v>1681</v>
      </c>
      <c r="H26007" s="21">
        <v>626.66999999999996</v>
      </c>
    </row>
    <row r="26008" spans="1:8" customFormat="1" x14ac:dyDescent="0.25">
      <c r="A26008" t="str">
        <f>"2814846"</f>
        <v>2814846</v>
      </c>
      <c r="B26008" t="s">
        <v>7700</v>
      </c>
      <c r="C26008" t="s">
        <v>13117</v>
      </c>
      <c r="D26008" s="21" t="s">
        <v>34</v>
      </c>
      <c r="E26008" s="21" t="s">
        <v>35</v>
      </c>
      <c r="F26008">
        <v>4280048</v>
      </c>
      <c r="G26008" t="s">
        <v>3053</v>
      </c>
      <c r="H26008" s="21">
        <v>626.66999999999996</v>
      </c>
    </row>
    <row r="26009" spans="1:8" customFormat="1" x14ac:dyDescent="0.25">
      <c r="A26009" t="str">
        <f>"4436466"</f>
        <v>4436466</v>
      </c>
      <c r="B26009" t="s">
        <v>3645</v>
      </c>
      <c r="C26009" t="s">
        <v>288</v>
      </c>
      <c r="D26009" s="21" t="s">
        <v>34</v>
      </c>
      <c r="E26009" s="21" t="s">
        <v>35</v>
      </c>
      <c r="F26009">
        <v>8950092</v>
      </c>
      <c r="G26009" t="s">
        <v>2039</v>
      </c>
      <c r="H26009" s="21">
        <v>626.66999999999996</v>
      </c>
    </row>
    <row r="26010" spans="1:8" customFormat="1" x14ac:dyDescent="0.25">
      <c r="A26010" t="str">
        <f>"667223"</f>
        <v>667223</v>
      </c>
      <c r="B26010" t="s">
        <v>6243</v>
      </c>
      <c r="C26010" t="s">
        <v>169</v>
      </c>
      <c r="D26010" s="21" t="s">
        <v>34</v>
      </c>
      <c r="E26010" s="21" t="s">
        <v>35</v>
      </c>
      <c r="F26010">
        <v>11660009</v>
      </c>
      <c r="G26010" t="s">
        <v>26624</v>
      </c>
      <c r="H26010" s="21">
        <v>626.66999999999996</v>
      </c>
    </row>
    <row r="26011" spans="1:8" customFormat="1" x14ac:dyDescent="0.25">
      <c r="A26011" t="str">
        <f>"4451095"</f>
        <v>4451095</v>
      </c>
      <c r="B26011" t="s">
        <v>1393</v>
      </c>
      <c r="C26011" t="s">
        <v>12515</v>
      </c>
      <c r="D26011" s="21" t="s">
        <v>34</v>
      </c>
      <c r="E26011" s="21" t="s">
        <v>71</v>
      </c>
      <c r="F26011">
        <v>12440034</v>
      </c>
      <c r="G26011" t="s">
        <v>10586</v>
      </c>
      <c r="H26011" s="21">
        <v>626.66999999999996</v>
      </c>
    </row>
    <row r="26012" spans="1:8" customFormat="1" x14ac:dyDescent="0.25">
      <c r="A26012" t="str">
        <f>"793911"</f>
        <v>793911</v>
      </c>
      <c r="B26012" t="s">
        <v>19542</v>
      </c>
      <c r="C26012" t="s">
        <v>822</v>
      </c>
      <c r="D26012" s="21" t="s">
        <v>34</v>
      </c>
      <c r="E26012" s="21" t="s">
        <v>1089</v>
      </c>
      <c r="F26012">
        <v>10790009</v>
      </c>
      <c r="G26012" t="s">
        <v>1155</v>
      </c>
      <c r="H26012" s="21">
        <v>626.66999999999996</v>
      </c>
    </row>
    <row r="26013" spans="1:8" customFormat="1" x14ac:dyDescent="0.25">
      <c r="A26013" t="str">
        <f>"323873"</f>
        <v>323873</v>
      </c>
      <c r="B26013" t="s">
        <v>8591</v>
      </c>
      <c r="C26013" t="s">
        <v>124</v>
      </c>
      <c r="D26013" s="21" t="s">
        <v>34</v>
      </c>
      <c r="E26013" s="21" t="s">
        <v>254</v>
      </c>
      <c r="F26013">
        <v>11320042</v>
      </c>
      <c r="G26013" t="s">
        <v>234</v>
      </c>
      <c r="H26013" s="21">
        <v>626.66999999999996</v>
      </c>
    </row>
    <row r="26014" spans="1:8" customFormat="1" x14ac:dyDescent="0.25">
      <c r="A26014" t="str">
        <f>"3521678"</f>
        <v>3521678</v>
      </c>
      <c r="B26014" t="s">
        <v>2487</v>
      </c>
      <c r="C26014" t="s">
        <v>2322</v>
      </c>
      <c r="D26014" s="21" t="s">
        <v>34</v>
      </c>
      <c r="E26014" s="21" t="s">
        <v>35</v>
      </c>
      <c r="F26014">
        <v>3350226</v>
      </c>
      <c r="G26014" t="s">
        <v>18219</v>
      </c>
      <c r="H26014" s="21">
        <v>626.66999999999996</v>
      </c>
    </row>
    <row r="26015" spans="1:8" customFormat="1" x14ac:dyDescent="0.25">
      <c r="A26015" t="str">
        <f>"101423"</f>
        <v>101423</v>
      </c>
      <c r="B26015" t="s">
        <v>19912</v>
      </c>
      <c r="C26015" t="s">
        <v>40</v>
      </c>
      <c r="D26015" s="21" t="s">
        <v>34</v>
      </c>
      <c r="E26015" s="21" t="s">
        <v>71</v>
      </c>
      <c r="F26015">
        <v>6100007</v>
      </c>
      <c r="G26015" t="s">
        <v>9706</v>
      </c>
      <c r="H26015" s="21">
        <v>626.66999999999996</v>
      </c>
    </row>
    <row r="26016" spans="1:8" customFormat="1" x14ac:dyDescent="0.25">
      <c r="A26016" t="str">
        <f>"534823"</f>
        <v>534823</v>
      </c>
      <c r="B26016" t="s">
        <v>1435</v>
      </c>
      <c r="C26016" t="s">
        <v>1489</v>
      </c>
      <c r="D26016" s="21" t="s">
        <v>34</v>
      </c>
      <c r="E26016" s="21" t="s">
        <v>1089</v>
      </c>
      <c r="F26016">
        <v>9500088</v>
      </c>
      <c r="G26016" t="s">
        <v>15949</v>
      </c>
      <c r="H26016" s="21">
        <v>626.66999999999996</v>
      </c>
    </row>
    <row r="26017" spans="1:8" customFormat="1" x14ac:dyDescent="0.25">
      <c r="A26017" t="str">
        <f>"2718291"</f>
        <v>2718291</v>
      </c>
      <c r="B26017" t="s">
        <v>19481</v>
      </c>
      <c r="C26017" t="s">
        <v>169</v>
      </c>
      <c r="D26017" s="21" t="s">
        <v>34</v>
      </c>
      <c r="E26017" s="21" t="s">
        <v>35</v>
      </c>
      <c r="F26017">
        <v>9270168</v>
      </c>
      <c r="G26017" t="s">
        <v>5126</v>
      </c>
      <c r="H26017" s="21">
        <v>626.66999999999996</v>
      </c>
    </row>
    <row r="26018" spans="1:8" customFormat="1" x14ac:dyDescent="0.25">
      <c r="A26018" t="str">
        <f>"5973174"</f>
        <v>5973174</v>
      </c>
      <c r="B26018" t="s">
        <v>3830</v>
      </c>
      <c r="C26018" t="s">
        <v>469</v>
      </c>
      <c r="D26018" s="21" t="s">
        <v>34</v>
      </c>
      <c r="E26018" s="21" t="s">
        <v>35</v>
      </c>
      <c r="F26018">
        <v>7590065</v>
      </c>
      <c r="G26018" t="s">
        <v>1598</v>
      </c>
      <c r="H26018" s="21">
        <v>626.66999999999996</v>
      </c>
    </row>
    <row r="26019" spans="1:8" customFormat="1" x14ac:dyDescent="0.25">
      <c r="A26019" t="str">
        <f>"9127477"</f>
        <v>9127477</v>
      </c>
      <c r="B26019" t="s">
        <v>23645</v>
      </c>
      <c r="C26019" t="s">
        <v>656</v>
      </c>
      <c r="D26019" s="21" t="s">
        <v>34</v>
      </c>
      <c r="E26019" s="21" t="s">
        <v>35</v>
      </c>
      <c r="F26019">
        <v>8910214</v>
      </c>
      <c r="G26019" t="s">
        <v>986</v>
      </c>
      <c r="H26019" s="21">
        <v>626.66999999999996</v>
      </c>
    </row>
    <row r="26020" spans="1:8" customFormat="1" x14ac:dyDescent="0.25">
      <c r="A26020" t="str">
        <f>"6923815"</f>
        <v>6923815</v>
      </c>
      <c r="B26020" t="s">
        <v>7825</v>
      </c>
      <c r="C26020" t="s">
        <v>1110</v>
      </c>
      <c r="D26020" s="21" t="s">
        <v>34</v>
      </c>
      <c r="E26020" s="21" t="s">
        <v>254</v>
      </c>
      <c r="F26020">
        <v>11340065</v>
      </c>
      <c r="G26020" t="s">
        <v>2022</v>
      </c>
      <c r="H26020" s="21">
        <v>626.66999999999996</v>
      </c>
    </row>
    <row r="26021" spans="1:8" customFormat="1" x14ac:dyDescent="0.25">
      <c r="A26021" t="str">
        <f>"221042"</f>
        <v>221042</v>
      </c>
      <c r="B26021" t="s">
        <v>19192</v>
      </c>
      <c r="C26021" t="s">
        <v>253</v>
      </c>
      <c r="D26021" s="21" t="s">
        <v>34</v>
      </c>
      <c r="E26021" s="21" t="s">
        <v>254</v>
      </c>
      <c r="F26021">
        <v>3220065</v>
      </c>
      <c r="G26021" t="s">
        <v>27386</v>
      </c>
      <c r="H26021" s="21">
        <v>626.66999999999996</v>
      </c>
    </row>
    <row r="26022" spans="1:8" customFormat="1" x14ac:dyDescent="0.25">
      <c r="A26022" t="str">
        <f>"4450945"</f>
        <v>4450945</v>
      </c>
      <c r="B26022" t="s">
        <v>821</v>
      </c>
      <c r="C26022" t="s">
        <v>1199</v>
      </c>
      <c r="D26022" s="21" t="s">
        <v>34</v>
      </c>
      <c r="E26022" s="21" t="s">
        <v>71</v>
      </c>
      <c r="F26022">
        <v>12440129</v>
      </c>
      <c r="G26022" t="s">
        <v>11755</v>
      </c>
      <c r="H26022" s="21">
        <v>626.41999999999996</v>
      </c>
    </row>
    <row r="26023" spans="1:8" customFormat="1" x14ac:dyDescent="0.25">
      <c r="A26023" t="str">
        <f>"5934466"</f>
        <v>5934466</v>
      </c>
      <c r="B26023" t="s">
        <v>20196</v>
      </c>
      <c r="C26023" t="s">
        <v>2907</v>
      </c>
      <c r="D26023" s="21" t="s">
        <v>34</v>
      </c>
      <c r="E26023" s="21" t="s">
        <v>254</v>
      </c>
      <c r="F26023">
        <v>7590075</v>
      </c>
      <c r="G26023" t="s">
        <v>6459</v>
      </c>
      <c r="H26023" s="21">
        <v>626.16999999999996</v>
      </c>
    </row>
    <row r="26024" spans="1:8" customFormat="1" x14ac:dyDescent="0.25">
      <c r="A26024" t="str">
        <f>"884752"</f>
        <v>884752</v>
      </c>
      <c r="B26024" t="s">
        <v>19546</v>
      </c>
      <c r="C26024" t="s">
        <v>664</v>
      </c>
      <c r="D26024" s="21" t="s">
        <v>34</v>
      </c>
      <c r="E26024" s="21" t="s">
        <v>71</v>
      </c>
      <c r="F26024">
        <v>6880116</v>
      </c>
      <c r="G26024" t="s">
        <v>2465</v>
      </c>
      <c r="H26024" s="21">
        <v>626.16999999999996</v>
      </c>
    </row>
    <row r="26025" spans="1:8" customFormat="1" x14ac:dyDescent="0.25">
      <c r="A26025" t="str">
        <f>"4429976"</f>
        <v>4429976</v>
      </c>
      <c r="B26025" t="s">
        <v>1611</v>
      </c>
      <c r="C26025" t="s">
        <v>87</v>
      </c>
      <c r="D26025" s="21" t="s">
        <v>34</v>
      </c>
      <c r="E26025" s="21" t="s">
        <v>71</v>
      </c>
      <c r="F26025">
        <v>12440125</v>
      </c>
      <c r="G26025" t="s">
        <v>8347</v>
      </c>
      <c r="H26025" s="21">
        <v>626.16999999999996</v>
      </c>
    </row>
    <row r="26026" spans="1:8" customFormat="1" x14ac:dyDescent="0.25">
      <c r="A26026" t="str">
        <f>"5319783"</f>
        <v>5319783</v>
      </c>
      <c r="B26026" t="s">
        <v>20352</v>
      </c>
      <c r="C26026" t="s">
        <v>139</v>
      </c>
      <c r="D26026" s="21" t="s">
        <v>34</v>
      </c>
      <c r="E26026" s="21" t="s">
        <v>71</v>
      </c>
      <c r="F26026">
        <v>12538904</v>
      </c>
      <c r="G26026" t="s">
        <v>12489</v>
      </c>
      <c r="H26026" s="21">
        <v>626.16999999999996</v>
      </c>
    </row>
    <row r="26027" spans="1:8" customFormat="1" x14ac:dyDescent="0.25">
      <c r="A26027" t="str">
        <f>"1313500"</f>
        <v>1313500</v>
      </c>
      <c r="B26027" t="s">
        <v>17881</v>
      </c>
      <c r="C26027" t="s">
        <v>87</v>
      </c>
      <c r="D26027" s="21" t="s">
        <v>34</v>
      </c>
      <c r="E26027" s="21" t="s">
        <v>35</v>
      </c>
      <c r="F26027">
        <v>13130148</v>
      </c>
      <c r="G26027" t="s">
        <v>12894</v>
      </c>
      <c r="H26027" s="21">
        <v>626.16999999999996</v>
      </c>
    </row>
    <row r="26028" spans="1:8" customFormat="1" x14ac:dyDescent="0.25">
      <c r="A26028" t="str">
        <f>"3534002"</f>
        <v>3534002</v>
      </c>
      <c r="B26028" t="s">
        <v>20070</v>
      </c>
      <c r="C26028" t="s">
        <v>55</v>
      </c>
      <c r="D26028" s="21" t="s">
        <v>34</v>
      </c>
      <c r="E26028" s="21" t="s">
        <v>71</v>
      </c>
      <c r="F26028">
        <v>3350199</v>
      </c>
      <c r="G26028" t="s">
        <v>5603</v>
      </c>
      <c r="H26028" s="21">
        <v>626.16999999999996</v>
      </c>
    </row>
    <row r="26029" spans="1:8" customFormat="1" x14ac:dyDescent="0.25">
      <c r="A26029" t="str">
        <f>"8525347"</f>
        <v>8525347</v>
      </c>
      <c r="B26029" t="s">
        <v>1048</v>
      </c>
      <c r="C26029" t="s">
        <v>37</v>
      </c>
      <c r="D26029" s="21" t="s">
        <v>34</v>
      </c>
      <c r="E26029" s="21" t="s">
        <v>35</v>
      </c>
      <c r="F26029">
        <v>12851011</v>
      </c>
      <c r="G26029" t="s">
        <v>1445</v>
      </c>
      <c r="H26029" s="21">
        <v>626.16999999999996</v>
      </c>
    </row>
    <row r="26030" spans="1:8" customFormat="1" x14ac:dyDescent="0.25">
      <c r="A26030" t="str">
        <f>"9319283"</f>
        <v>9319283</v>
      </c>
      <c r="B26030" t="s">
        <v>19688</v>
      </c>
      <c r="C26030" t="s">
        <v>206</v>
      </c>
      <c r="D26030" s="21" t="s">
        <v>34</v>
      </c>
      <c r="E26030" s="21" t="s">
        <v>35</v>
      </c>
      <c r="F26030">
        <v>8931358</v>
      </c>
      <c r="G26030" t="s">
        <v>560</v>
      </c>
      <c r="H26030" s="21">
        <v>626.16999999999996</v>
      </c>
    </row>
    <row r="26031" spans="1:8" customFormat="1" x14ac:dyDescent="0.25">
      <c r="A26031" t="str">
        <f>"7713283"</f>
        <v>7713283</v>
      </c>
      <c r="B26031" t="s">
        <v>3634</v>
      </c>
      <c r="C26031" t="s">
        <v>249</v>
      </c>
      <c r="D26031" s="21" t="s">
        <v>34</v>
      </c>
      <c r="E26031" s="21" t="s">
        <v>254</v>
      </c>
      <c r="F26031">
        <v>8911285</v>
      </c>
      <c r="G26031" t="s">
        <v>2396</v>
      </c>
      <c r="H26031" s="21">
        <v>626.16999999999996</v>
      </c>
    </row>
    <row r="26032" spans="1:8" customFormat="1" x14ac:dyDescent="0.25">
      <c r="A26032" t="str">
        <f>"4520298"</f>
        <v>4520298</v>
      </c>
      <c r="B26032" t="s">
        <v>20712</v>
      </c>
      <c r="C26032" t="s">
        <v>198</v>
      </c>
      <c r="D26032" s="21" t="s">
        <v>34</v>
      </c>
      <c r="E26032" s="21" t="s">
        <v>35</v>
      </c>
      <c r="F26032">
        <v>4450754</v>
      </c>
      <c r="G26032" t="s">
        <v>2695</v>
      </c>
      <c r="H26032" s="21">
        <v>626.16999999999996</v>
      </c>
    </row>
    <row r="26033" spans="1:8" customFormat="1" x14ac:dyDescent="0.25">
      <c r="A26033" t="str">
        <f>"7615171"</f>
        <v>7615171</v>
      </c>
      <c r="B26033" t="s">
        <v>6921</v>
      </c>
      <c r="C26033" t="s">
        <v>114</v>
      </c>
      <c r="D26033" s="21" t="s">
        <v>34</v>
      </c>
      <c r="E26033" s="21" t="s">
        <v>254</v>
      </c>
      <c r="F26033">
        <v>11660020</v>
      </c>
      <c r="G26033" t="s">
        <v>10247</v>
      </c>
      <c r="H26033" s="21">
        <v>626.16999999999996</v>
      </c>
    </row>
    <row r="26034" spans="1:8" customFormat="1" x14ac:dyDescent="0.25">
      <c r="A26034" t="str">
        <f>"246801"</f>
        <v>246801</v>
      </c>
      <c r="B26034" t="s">
        <v>21159</v>
      </c>
      <c r="C26034" t="s">
        <v>1819</v>
      </c>
      <c r="D26034" s="21" t="s">
        <v>34</v>
      </c>
      <c r="E26034" s="21" t="s">
        <v>35</v>
      </c>
      <c r="F26034">
        <v>10240030</v>
      </c>
      <c r="G26034" t="s">
        <v>8997</v>
      </c>
      <c r="H26034" s="21">
        <v>626.16999999999996</v>
      </c>
    </row>
    <row r="26035" spans="1:8" customFormat="1" x14ac:dyDescent="0.25">
      <c r="A26035" t="str">
        <f>"441327"</f>
        <v>441327</v>
      </c>
      <c r="B26035" t="s">
        <v>19371</v>
      </c>
      <c r="C26035" t="s">
        <v>209</v>
      </c>
      <c r="D26035" s="21" t="s">
        <v>34</v>
      </c>
      <c r="E26035" s="21" t="s">
        <v>254</v>
      </c>
      <c r="F26035">
        <v>12440049</v>
      </c>
      <c r="G26035" t="s">
        <v>3339</v>
      </c>
      <c r="H26035" s="21">
        <v>626.16999999999996</v>
      </c>
    </row>
    <row r="26036" spans="1:8" customFormat="1" x14ac:dyDescent="0.25">
      <c r="A26036" t="str">
        <f>"583060"</f>
        <v>583060</v>
      </c>
      <c r="B26036" t="s">
        <v>19137</v>
      </c>
      <c r="C26036" t="s">
        <v>269</v>
      </c>
      <c r="D26036" s="21" t="s">
        <v>34</v>
      </c>
      <c r="E26036" s="21" t="s">
        <v>254</v>
      </c>
      <c r="F26036">
        <v>2580076</v>
      </c>
      <c r="G26036" t="s">
        <v>3666</v>
      </c>
      <c r="H26036" s="21">
        <v>626.16999999999996</v>
      </c>
    </row>
    <row r="26037" spans="1:8" customFormat="1" x14ac:dyDescent="0.25">
      <c r="A26037" t="str">
        <f>"592476"</f>
        <v>592476</v>
      </c>
      <c r="B26037" t="s">
        <v>17886</v>
      </c>
      <c r="C26037" t="s">
        <v>453</v>
      </c>
      <c r="D26037" s="21" t="s">
        <v>34</v>
      </c>
      <c r="E26037" s="21" t="s">
        <v>1089</v>
      </c>
      <c r="F26037">
        <v>7590044</v>
      </c>
      <c r="G26037" t="s">
        <v>2029</v>
      </c>
      <c r="H26037" s="21">
        <v>626.16999999999996</v>
      </c>
    </row>
    <row r="26038" spans="1:8" customFormat="1" x14ac:dyDescent="0.25">
      <c r="A26038" t="str">
        <f>"75145"</f>
        <v>75145</v>
      </c>
      <c r="B26038" t="s">
        <v>208</v>
      </c>
      <c r="C26038" t="s">
        <v>547</v>
      </c>
      <c r="D26038" s="21" t="s">
        <v>34</v>
      </c>
      <c r="E26038" s="21" t="s">
        <v>1089</v>
      </c>
      <c r="F26038">
        <v>8750007</v>
      </c>
      <c r="G26038" t="s">
        <v>775</v>
      </c>
      <c r="H26038" s="21">
        <v>626.16999999999996</v>
      </c>
    </row>
    <row r="26039" spans="1:8" customFormat="1" x14ac:dyDescent="0.25">
      <c r="A26039" t="str">
        <f>"9456627"</f>
        <v>9456627</v>
      </c>
      <c r="B26039" t="s">
        <v>1661</v>
      </c>
      <c r="C26039" t="s">
        <v>462</v>
      </c>
      <c r="D26039" s="21" t="s">
        <v>34</v>
      </c>
      <c r="E26039" s="21" t="s">
        <v>35</v>
      </c>
      <c r="F26039">
        <v>8940524</v>
      </c>
      <c r="G26039" t="s">
        <v>6176</v>
      </c>
      <c r="H26039" s="21">
        <v>626.04</v>
      </c>
    </row>
    <row r="26040" spans="1:8" customFormat="1" x14ac:dyDescent="0.25">
      <c r="A26040" t="str">
        <f>"1910054"</f>
        <v>1910054</v>
      </c>
      <c r="B26040" t="s">
        <v>4782</v>
      </c>
      <c r="C26040" t="s">
        <v>121</v>
      </c>
      <c r="D26040" s="21" t="s">
        <v>34</v>
      </c>
      <c r="E26040" s="21" t="s">
        <v>35</v>
      </c>
      <c r="F26040">
        <v>10190054</v>
      </c>
      <c r="G26040" t="s">
        <v>4189</v>
      </c>
      <c r="H26040" s="21">
        <v>626.04</v>
      </c>
    </row>
    <row r="26041" spans="1:8" customFormat="1" x14ac:dyDescent="0.25">
      <c r="A26041" t="str">
        <f>"2934190"</f>
        <v>2934190</v>
      </c>
      <c r="B26041" t="s">
        <v>4007</v>
      </c>
      <c r="C26041" t="s">
        <v>33</v>
      </c>
      <c r="D26041" s="21" t="s">
        <v>34</v>
      </c>
      <c r="E26041" s="21" t="s">
        <v>71</v>
      </c>
      <c r="F26041">
        <v>3290214</v>
      </c>
      <c r="G26041" t="s">
        <v>10975</v>
      </c>
      <c r="H26041" s="21">
        <v>625.91999999999996</v>
      </c>
    </row>
    <row r="26042" spans="1:8" customFormat="1" x14ac:dyDescent="0.25">
      <c r="A26042" t="str">
        <f>"7718020"</f>
        <v>7718020</v>
      </c>
      <c r="B26042" t="s">
        <v>8976</v>
      </c>
      <c r="C26042" t="s">
        <v>2529</v>
      </c>
      <c r="D26042" s="21" t="s">
        <v>34</v>
      </c>
      <c r="E26042" s="21" t="s">
        <v>254</v>
      </c>
      <c r="F26042">
        <v>8771314</v>
      </c>
      <c r="G26042" t="s">
        <v>14172</v>
      </c>
      <c r="H26042" s="21">
        <v>625.91999999999996</v>
      </c>
    </row>
    <row r="26043" spans="1:8" customFormat="1" x14ac:dyDescent="0.25">
      <c r="A26043" t="str">
        <f>"723617"</f>
        <v>723617</v>
      </c>
      <c r="B26043" t="s">
        <v>18463</v>
      </c>
      <c r="C26043" t="s">
        <v>547</v>
      </c>
      <c r="D26043" s="21" t="s">
        <v>34</v>
      </c>
      <c r="E26043" s="21" t="s">
        <v>254</v>
      </c>
      <c r="F26043">
        <v>12720006</v>
      </c>
      <c r="G26043" t="s">
        <v>4022</v>
      </c>
      <c r="H26043" s="21">
        <v>625.91999999999996</v>
      </c>
    </row>
    <row r="26044" spans="1:8" customFormat="1" x14ac:dyDescent="0.25">
      <c r="A26044" t="str">
        <f>"9113630"</f>
        <v>9113630</v>
      </c>
      <c r="B26044" t="s">
        <v>27883</v>
      </c>
      <c r="C26044" t="s">
        <v>90</v>
      </c>
      <c r="D26044" s="21" t="s">
        <v>34</v>
      </c>
      <c r="E26044" s="21" t="s">
        <v>254</v>
      </c>
      <c r="F26044">
        <v>8910652</v>
      </c>
      <c r="G26044" t="s">
        <v>6533</v>
      </c>
      <c r="H26044" s="21">
        <v>625.91999999999996</v>
      </c>
    </row>
    <row r="26045" spans="1:8" customFormat="1" x14ac:dyDescent="0.25">
      <c r="A26045" t="str">
        <f>"4528465"</f>
        <v>4528465</v>
      </c>
      <c r="B26045" t="s">
        <v>10119</v>
      </c>
      <c r="C26045" t="s">
        <v>867</v>
      </c>
      <c r="D26045" s="21" t="s">
        <v>34</v>
      </c>
      <c r="E26045" s="21" t="s">
        <v>35</v>
      </c>
      <c r="F26045">
        <v>4450617</v>
      </c>
      <c r="G26045" t="s">
        <v>4708</v>
      </c>
      <c r="H26045" s="21">
        <v>625.66999999999996</v>
      </c>
    </row>
    <row r="26046" spans="1:8" customFormat="1" x14ac:dyDescent="0.25">
      <c r="A26046" t="str">
        <f>"3332528"</f>
        <v>3332528</v>
      </c>
      <c r="B26046" t="s">
        <v>18824</v>
      </c>
      <c r="C26046" t="s">
        <v>462</v>
      </c>
      <c r="D26046" s="21" t="s">
        <v>34</v>
      </c>
      <c r="E26046" s="21" t="s">
        <v>71</v>
      </c>
      <c r="F26046">
        <v>10330067</v>
      </c>
      <c r="G26046" t="s">
        <v>125</v>
      </c>
      <c r="H26046" s="21">
        <v>625.66999999999996</v>
      </c>
    </row>
    <row r="26047" spans="1:8" customFormat="1" x14ac:dyDescent="0.25">
      <c r="A26047" t="str">
        <f>"5718254"</f>
        <v>5718254</v>
      </c>
      <c r="B26047" t="s">
        <v>18406</v>
      </c>
      <c r="C26047" t="s">
        <v>2904</v>
      </c>
      <c r="D26047" s="21" t="s">
        <v>34</v>
      </c>
      <c r="E26047" s="21" t="s">
        <v>254</v>
      </c>
      <c r="F26047">
        <v>6570167</v>
      </c>
      <c r="G26047" t="s">
        <v>1174</v>
      </c>
      <c r="H26047" s="21">
        <v>625.66999999999996</v>
      </c>
    </row>
    <row r="26048" spans="1:8" customFormat="1" x14ac:dyDescent="0.25">
      <c r="A26048" t="str">
        <f>"6015084"</f>
        <v>6015084</v>
      </c>
      <c r="B26048" t="s">
        <v>19173</v>
      </c>
      <c r="C26048" t="s">
        <v>547</v>
      </c>
      <c r="D26048" s="21" t="s">
        <v>34</v>
      </c>
      <c r="E26048" s="21" t="s">
        <v>254</v>
      </c>
      <c r="F26048">
        <v>7600146</v>
      </c>
      <c r="G26048" t="s">
        <v>8647</v>
      </c>
      <c r="H26048" s="21">
        <v>625.66999999999996</v>
      </c>
    </row>
    <row r="26049" spans="1:8" customFormat="1" x14ac:dyDescent="0.25">
      <c r="A26049" t="str">
        <f>"767585"</f>
        <v>767585</v>
      </c>
      <c r="B26049" t="s">
        <v>20294</v>
      </c>
      <c r="C26049" t="s">
        <v>87</v>
      </c>
      <c r="D26049" s="21" t="s">
        <v>34</v>
      </c>
      <c r="E26049" s="21" t="s">
        <v>254</v>
      </c>
      <c r="F26049">
        <v>9760039</v>
      </c>
      <c r="G26049" t="s">
        <v>9501</v>
      </c>
      <c r="H26049" s="21">
        <v>625.66999999999996</v>
      </c>
    </row>
    <row r="26050" spans="1:8" customFormat="1" x14ac:dyDescent="0.25">
      <c r="A26050" t="str">
        <f>"685362"</f>
        <v>685362</v>
      </c>
      <c r="B26050" t="s">
        <v>20026</v>
      </c>
      <c r="C26050" t="s">
        <v>249</v>
      </c>
      <c r="D26050" s="21" t="s">
        <v>34</v>
      </c>
      <c r="E26050" s="21" t="s">
        <v>71</v>
      </c>
      <c r="F26050">
        <v>6680125</v>
      </c>
      <c r="G26050" t="s">
        <v>6543</v>
      </c>
      <c r="H26050" s="21">
        <v>625.66999999999996</v>
      </c>
    </row>
    <row r="26051" spans="1:8" customFormat="1" x14ac:dyDescent="0.25">
      <c r="A26051" t="str">
        <f>"2929120"</f>
        <v>2929120</v>
      </c>
      <c r="B26051" t="s">
        <v>18441</v>
      </c>
      <c r="C26051" t="s">
        <v>130</v>
      </c>
      <c r="D26051" s="21" t="s">
        <v>34</v>
      </c>
      <c r="E26051" s="21" t="s">
        <v>71</v>
      </c>
      <c r="F26051">
        <v>3290047</v>
      </c>
      <c r="G26051" t="s">
        <v>2874</v>
      </c>
      <c r="H26051" s="21">
        <v>625.66999999999996</v>
      </c>
    </row>
    <row r="26052" spans="1:8" customFormat="1" x14ac:dyDescent="0.25">
      <c r="A26052" t="str">
        <f>"9251375"</f>
        <v>9251375</v>
      </c>
      <c r="B26052" t="s">
        <v>21194</v>
      </c>
      <c r="C26052" t="s">
        <v>21195</v>
      </c>
      <c r="D26052" s="21" t="s">
        <v>34</v>
      </c>
      <c r="E26052" s="21" t="s">
        <v>35</v>
      </c>
      <c r="F26052">
        <v>8921256</v>
      </c>
      <c r="G26052" t="s">
        <v>1038</v>
      </c>
      <c r="H26052" s="21">
        <v>625.66999999999996</v>
      </c>
    </row>
    <row r="26053" spans="1:8" customFormat="1" x14ac:dyDescent="0.25">
      <c r="A26053" t="str">
        <f>"4435538"</f>
        <v>4435538</v>
      </c>
      <c r="B26053" t="s">
        <v>17214</v>
      </c>
      <c r="C26053" t="s">
        <v>249</v>
      </c>
      <c r="D26053" s="21" t="s">
        <v>34</v>
      </c>
      <c r="E26053" s="21" t="s">
        <v>71</v>
      </c>
      <c r="F26053">
        <v>12440239</v>
      </c>
      <c r="G26053" t="s">
        <v>11158</v>
      </c>
      <c r="H26053" s="21">
        <v>625.66999999999996</v>
      </c>
    </row>
    <row r="26054" spans="1:8" customFormat="1" x14ac:dyDescent="0.25">
      <c r="A26054" t="str">
        <f>"618188"</f>
        <v>618188</v>
      </c>
      <c r="B26054" t="s">
        <v>19467</v>
      </c>
      <c r="C26054" t="s">
        <v>379</v>
      </c>
      <c r="D26054" s="21" t="s">
        <v>34</v>
      </c>
      <c r="E26054" s="21" t="s">
        <v>1089</v>
      </c>
      <c r="F26054">
        <v>9610073</v>
      </c>
      <c r="G26054" t="s">
        <v>8382</v>
      </c>
      <c r="H26054" s="21">
        <v>625.66999999999996</v>
      </c>
    </row>
    <row r="26055" spans="1:8" customFormat="1" x14ac:dyDescent="0.25">
      <c r="A26055" t="str">
        <f>"6222787"</f>
        <v>6222787</v>
      </c>
      <c r="B26055" t="s">
        <v>20506</v>
      </c>
      <c r="C26055" t="s">
        <v>2053</v>
      </c>
      <c r="D26055" s="21" t="s">
        <v>34</v>
      </c>
      <c r="E26055" s="21" t="s">
        <v>254</v>
      </c>
      <c r="F26055">
        <v>7620015</v>
      </c>
      <c r="G26055" t="s">
        <v>377</v>
      </c>
      <c r="H26055" s="21">
        <v>625.66999999999996</v>
      </c>
    </row>
    <row r="26056" spans="1:8" customFormat="1" x14ac:dyDescent="0.25">
      <c r="A26056" t="str">
        <f>"5982032"</f>
        <v>5982032</v>
      </c>
      <c r="B26056" t="s">
        <v>27884</v>
      </c>
      <c r="C26056" t="s">
        <v>87</v>
      </c>
      <c r="D26056" s="21" t="s">
        <v>34</v>
      </c>
      <c r="E26056" s="21" t="s">
        <v>71</v>
      </c>
      <c r="F26056">
        <v>7590393</v>
      </c>
      <c r="G26056" t="s">
        <v>7754</v>
      </c>
      <c r="H26056" s="21">
        <v>625.66999999999996</v>
      </c>
    </row>
    <row r="26057" spans="1:8" customFormat="1" x14ac:dyDescent="0.25">
      <c r="A26057" t="str">
        <f>"5317596"</f>
        <v>5317596</v>
      </c>
      <c r="B26057" t="s">
        <v>12570</v>
      </c>
      <c r="C26057" t="s">
        <v>598</v>
      </c>
      <c r="D26057" s="21" t="s">
        <v>34</v>
      </c>
      <c r="E26057" s="21" t="s">
        <v>254</v>
      </c>
      <c r="F26057">
        <v>12530121</v>
      </c>
      <c r="G26057" t="s">
        <v>16301</v>
      </c>
      <c r="H26057" s="21">
        <v>625.66999999999996</v>
      </c>
    </row>
    <row r="26058" spans="1:8" customFormat="1" x14ac:dyDescent="0.25">
      <c r="A26058" t="str">
        <f>"7622207"</f>
        <v>7622207</v>
      </c>
      <c r="B26058" t="s">
        <v>14338</v>
      </c>
      <c r="C26058" t="s">
        <v>209</v>
      </c>
      <c r="D26058" s="21" t="s">
        <v>34</v>
      </c>
      <c r="E26058" s="21" t="s">
        <v>35</v>
      </c>
      <c r="F26058">
        <v>11310047</v>
      </c>
      <c r="G26058" t="s">
        <v>2188</v>
      </c>
      <c r="H26058" s="21">
        <v>625.66999999999996</v>
      </c>
    </row>
    <row r="26059" spans="1:8" customFormat="1" x14ac:dyDescent="0.25">
      <c r="A26059" t="str">
        <f>"7218016"</f>
        <v>7218016</v>
      </c>
      <c r="B26059" t="s">
        <v>1263</v>
      </c>
      <c r="C26059" t="s">
        <v>428</v>
      </c>
      <c r="D26059" s="21" t="s">
        <v>34</v>
      </c>
      <c r="E26059" s="21" t="s">
        <v>71</v>
      </c>
      <c r="F26059">
        <v>12720052</v>
      </c>
      <c r="G26059" t="s">
        <v>9628</v>
      </c>
      <c r="H26059" s="21">
        <v>625.66999999999996</v>
      </c>
    </row>
    <row r="26060" spans="1:8" customFormat="1" x14ac:dyDescent="0.25">
      <c r="A26060" t="str">
        <f>"8525806"</f>
        <v>8525806</v>
      </c>
      <c r="B26060" t="s">
        <v>13042</v>
      </c>
      <c r="C26060" t="s">
        <v>33</v>
      </c>
      <c r="D26060" s="21" t="s">
        <v>34</v>
      </c>
      <c r="E26060" s="21" t="s">
        <v>35</v>
      </c>
      <c r="F26060">
        <v>12850012</v>
      </c>
      <c r="G26060" t="s">
        <v>1229</v>
      </c>
      <c r="H26060" s="21">
        <v>625.66999999999996</v>
      </c>
    </row>
    <row r="26061" spans="1:8" customFormat="1" x14ac:dyDescent="0.25">
      <c r="A26061" t="str">
        <f>"3723070"</f>
        <v>3723070</v>
      </c>
      <c r="B26061" t="s">
        <v>4013</v>
      </c>
      <c r="C26061" t="s">
        <v>263</v>
      </c>
      <c r="D26061" s="21" t="s">
        <v>34</v>
      </c>
      <c r="E26061" s="21" t="s">
        <v>71</v>
      </c>
      <c r="F26061">
        <v>4370011</v>
      </c>
      <c r="G26061" t="s">
        <v>3672</v>
      </c>
      <c r="H26061" s="21">
        <v>625.66999999999996</v>
      </c>
    </row>
    <row r="26062" spans="1:8" customFormat="1" x14ac:dyDescent="0.25">
      <c r="A26062" t="str">
        <f>"9111392"</f>
        <v>9111392</v>
      </c>
      <c r="B26062" t="s">
        <v>18875</v>
      </c>
      <c r="C26062" t="s">
        <v>209</v>
      </c>
      <c r="D26062" s="21" t="s">
        <v>34</v>
      </c>
      <c r="E26062" s="21" t="s">
        <v>71</v>
      </c>
      <c r="F26062">
        <v>8910667</v>
      </c>
      <c r="G26062" t="s">
        <v>2361</v>
      </c>
      <c r="H26062" s="21">
        <v>625.66999999999996</v>
      </c>
    </row>
    <row r="26063" spans="1:8" customFormat="1" x14ac:dyDescent="0.25">
      <c r="A26063" t="str">
        <f>"836790"</f>
        <v>836790</v>
      </c>
      <c r="B26063" t="s">
        <v>18979</v>
      </c>
      <c r="C26063" t="s">
        <v>1887</v>
      </c>
      <c r="D26063" s="21" t="s">
        <v>34</v>
      </c>
      <c r="E26063" s="21" t="s">
        <v>71</v>
      </c>
      <c r="F26063">
        <v>13830015</v>
      </c>
      <c r="G26063" t="s">
        <v>4011</v>
      </c>
      <c r="H26063" s="21">
        <v>625.66999999999996</v>
      </c>
    </row>
    <row r="26064" spans="1:8" customFormat="1" x14ac:dyDescent="0.25">
      <c r="A26064" t="str">
        <f>"6018375"</f>
        <v>6018375</v>
      </c>
      <c r="B26064" t="s">
        <v>27885</v>
      </c>
      <c r="C26064" t="s">
        <v>27886</v>
      </c>
      <c r="D26064" s="21" t="s">
        <v>34</v>
      </c>
      <c r="E26064" s="21" t="s">
        <v>35</v>
      </c>
      <c r="F26064">
        <v>7600018</v>
      </c>
      <c r="G26064" t="s">
        <v>5838</v>
      </c>
      <c r="H26064" s="21">
        <v>625.66999999999996</v>
      </c>
    </row>
    <row r="26065" spans="1:8" customFormat="1" x14ac:dyDescent="0.25">
      <c r="A26065" t="str">
        <f>"8011200"</f>
        <v>8011200</v>
      </c>
      <c r="B26065" t="s">
        <v>4649</v>
      </c>
      <c r="C26065" t="s">
        <v>2132</v>
      </c>
      <c r="D26065" s="21" t="s">
        <v>34</v>
      </c>
      <c r="E26065" s="21" t="s">
        <v>35</v>
      </c>
      <c r="F26065">
        <v>7800006</v>
      </c>
      <c r="G26065" t="s">
        <v>6365</v>
      </c>
      <c r="H26065" s="21">
        <v>625.66999999999996</v>
      </c>
    </row>
    <row r="26066" spans="1:8" customFormat="1" x14ac:dyDescent="0.25">
      <c r="A26066" t="str">
        <f>"627657"</f>
        <v>627657</v>
      </c>
      <c r="B26066" t="s">
        <v>19121</v>
      </c>
      <c r="C26066" t="s">
        <v>269</v>
      </c>
      <c r="D26066" s="21" t="s">
        <v>34</v>
      </c>
      <c r="E26066" s="21" t="s">
        <v>71</v>
      </c>
      <c r="F26066">
        <v>7620139</v>
      </c>
      <c r="G26066" t="s">
        <v>2061</v>
      </c>
      <c r="H26066" s="21">
        <v>625.66999999999996</v>
      </c>
    </row>
    <row r="26067" spans="1:8" customFormat="1" x14ac:dyDescent="0.25">
      <c r="A26067" t="str">
        <f>"9426406"</f>
        <v>9426406</v>
      </c>
      <c r="B26067" t="s">
        <v>4902</v>
      </c>
      <c r="C26067" t="s">
        <v>415</v>
      </c>
      <c r="D26067" s="21" t="s">
        <v>34</v>
      </c>
      <c r="E26067" s="21" t="s">
        <v>71</v>
      </c>
      <c r="F26067">
        <v>8940976</v>
      </c>
      <c r="G26067" t="s">
        <v>615</v>
      </c>
      <c r="H26067" s="21">
        <v>625.66999999999996</v>
      </c>
    </row>
    <row r="26068" spans="1:8" customFormat="1" x14ac:dyDescent="0.25">
      <c r="A26068" t="str">
        <f>"6933621"</f>
        <v>6933621</v>
      </c>
      <c r="B26068" t="s">
        <v>18479</v>
      </c>
      <c r="C26068" t="s">
        <v>236</v>
      </c>
      <c r="D26068" s="21" t="s">
        <v>34</v>
      </c>
      <c r="E26068" s="21" t="s">
        <v>71</v>
      </c>
      <c r="F26068">
        <v>1690107</v>
      </c>
      <c r="G26068" t="s">
        <v>4163</v>
      </c>
      <c r="H26068" s="21">
        <v>625.66999999999996</v>
      </c>
    </row>
    <row r="26069" spans="1:8" customFormat="1" x14ac:dyDescent="0.25">
      <c r="A26069" t="str">
        <f>"2814410"</f>
        <v>2814410</v>
      </c>
      <c r="B26069" t="s">
        <v>20829</v>
      </c>
      <c r="C26069" t="s">
        <v>486</v>
      </c>
      <c r="D26069" s="21" t="s">
        <v>34</v>
      </c>
      <c r="E26069" s="21" t="s">
        <v>35</v>
      </c>
      <c r="F26069">
        <v>4280529</v>
      </c>
      <c r="G26069" t="s">
        <v>2970</v>
      </c>
      <c r="H26069" s="21">
        <v>625.66999999999996</v>
      </c>
    </row>
    <row r="26070" spans="1:8" customFormat="1" x14ac:dyDescent="0.25">
      <c r="A26070" t="str">
        <f>"601511"</f>
        <v>601511</v>
      </c>
      <c r="B26070" t="s">
        <v>18848</v>
      </c>
      <c r="C26070" t="s">
        <v>328</v>
      </c>
      <c r="D26070" s="21" t="s">
        <v>34</v>
      </c>
      <c r="E26070" s="21" t="s">
        <v>1089</v>
      </c>
      <c r="F26070">
        <v>7600070</v>
      </c>
      <c r="G26070" t="s">
        <v>542</v>
      </c>
      <c r="H26070" s="21">
        <v>625.66999999999996</v>
      </c>
    </row>
    <row r="26071" spans="1:8" customFormat="1" x14ac:dyDescent="0.25">
      <c r="A26071" t="str">
        <f>"8018134"</f>
        <v>8018134</v>
      </c>
      <c r="B26071" t="s">
        <v>12363</v>
      </c>
      <c r="C26071" t="s">
        <v>285</v>
      </c>
      <c r="D26071" s="21" t="s">
        <v>34</v>
      </c>
      <c r="E26071" s="21" t="s">
        <v>35</v>
      </c>
      <c r="F26071">
        <v>7800003</v>
      </c>
      <c r="G26071" t="s">
        <v>276</v>
      </c>
      <c r="H26071" s="21">
        <v>625.66999999999996</v>
      </c>
    </row>
    <row r="26072" spans="1:8" customFormat="1" x14ac:dyDescent="0.25">
      <c r="A26072" t="str">
        <f>"5960812"</f>
        <v>5960812</v>
      </c>
      <c r="B26072" t="s">
        <v>17469</v>
      </c>
      <c r="C26072" t="s">
        <v>87</v>
      </c>
      <c r="D26072" s="21" t="s">
        <v>34</v>
      </c>
      <c r="E26072" s="21" t="s">
        <v>35</v>
      </c>
      <c r="F26072">
        <v>7590361</v>
      </c>
      <c r="G26072" t="s">
        <v>3071</v>
      </c>
      <c r="H26072" s="21">
        <v>625.54</v>
      </c>
    </row>
    <row r="26073" spans="1:8" customFormat="1" x14ac:dyDescent="0.25">
      <c r="A26073" t="str">
        <f>"0811475"</f>
        <v>0811475</v>
      </c>
      <c r="B26073" t="s">
        <v>18736</v>
      </c>
      <c r="C26073" t="s">
        <v>209</v>
      </c>
      <c r="D26073" s="21" t="s">
        <v>34</v>
      </c>
      <c r="E26073" s="21" t="s">
        <v>254</v>
      </c>
      <c r="F26073">
        <v>6080006</v>
      </c>
      <c r="G26073" t="s">
        <v>4295</v>
      </c>
      <c r="H26073" s="21">
        <v>625.54</v>
      </c>
    </row>
    <row r="26074" spans="1:8" customFormat="1" x14ac:dyDescent="0.25">
      <c r="A26074" t="str">
        <f>"308441"</f>
        <v>308441</v>
      </c>
      <c r="B26074" t="s">
        <v>205</v>
      </c>
      <c r="C26074" t="s">
        <v>2520</v>
      </c>
      <c r="D26074" s="21" t="s">
        <v>34</v>
      </c>
      <c r="E26074" s="21" t="s">
        <v>254</v>
      </c>
      <c r="F26074">
        <v>11300016</v>
      </c>
      <c r="G26074" t="s">
        <v>157</v>
      </c>
      <c r="H26074" s="21">
        <v>625.54</v>
      </c>
    </row>
    <row r="26075" spans="1:8" customFormat="1" x14ac:dyDescent="0.25">
      <c r="A26075" t="str">
        <f>"2810853"</f>
        <v>2810853</v>
      </c>
      <c r="B26075" t="s">
        <v>1048</v>
      </c>
      <c r="C26075" t="s">
        <v>156</v>
      </c>
      <c r="D26075" s="21" t="s">
        <v>34</v>
      </c>
      <c r="E26075" s="21" t="s">
        <v>35</v>
      </c>
      <c r="F26075">
        <v>4280004</v>
      </c>
      <c r="G26075" t="s">
        <v>91</v>
      </c>
      <c r="H26075" s="21">
        <v>625.54</v>
      </c>
    </row>
    <row r="26076" spans="1:8" customFormat="1" x14ac:dyDescent="0.25">
      <c r="A26076" t="str">
        <f>"4524367"</f>
        <v>4524367</v>
      </c>
      <c r="B26076" t="s">
        <v>19537</v>
      </c>
      <c r="C26076" t="s">
        <v>114</v>
      </c>
      <c r="D26076" s="21" t="s">
        <v>34</v>
      </c>
      <c r="E26076" s="21" t="s">
        <v>71</v>
      </c>
      <c r="F26076">
        <v>4450413</v>
      </c>
      <c r="G26076" t="s">
        <v>11734</v>
      </c>
      <c r="H26076" s="21">
        <v>625.41999999999996</v>
      </c>
    </row>
    <row r="26077" spans="1:8" customFormat="1" x14ac:dyDescent="0.25">
      <c r="A26077" t="str">
        <f>"782192"</f>
        <v>782192</v>
      </c>
      <c r="B26077" t="s">
        <v>18894</v>
      </c>
      <c r="C26077" t="s">
        <v>1665</v>
      </c>
      <c r="D26077" s="21" t="s">
        <v>34</v>
      </c>
      <c r="E26077" s="21" t="s">
        <v>254</v>
      </c>
      <c r="F26077">
        <v>8781105</v>
      </c>
      <c r="G26077" t="s">
        <v>27504</v>
      </c>
      <c r="H26077" s="21">
        <v>625.41999999999996</v>
      </c>
    </row>
    <row r="26078" spans="1:8" customFormat="1" x14ac:dyDescent="0.25">
      <c r="A26078" t="str">
        <f>"9146022"</f>
        <v>9146022</v>
      </c>
      <c r="B26078" t="s">
        <v>8694</v>
      </c>
      <c r="C26078" t="s">
        <v>60</v>
      </c>
      <c r="D26078" s="21" t="s">
        <v>34</v>
      </c>
      <c r="E26078" s="21" t="s">
        <v>35</v>
      </c>
      <c r="F26078">
        <v>8911395</v>
      </c>
      <c r="G26078" t="s">
        <v>8758</v>
      </c>
      <c r="H26078" s="21">
        <v>625.29</v>
      </c>
    </row>
    <row r="26079" spans="1:8" customFormat="1" x14ac:dyDescent="0.25">
      <c r="A26079" t="str">
        <f>"8526790"</f>
        <v>8526790</v>
      </c>
      <c r="B26079" t="s">
        <v>795</v>
      </c>
      <c r="C26079" t="s">
        <v>288</v>
      </c>
      <c r="D26079" s="21" t="s">
        <v>34</v>
      </c>
      <c r="E26079" s="21" t="s">
        <v>35</v>
      </c>
      <c r="F26079">
        <v>12851012</v>
      </c>
      <c r="G26079" t="s">
        <v>1963</v>
      </c>
      <c r="H26079" s="21">
        <v>625.16999999999996</v>
      </c>
    </row>
    <row r="26080" spans="1:8" customFormat="1" x14ac:dyDescent="0.25">
      <c r="A26080" t="str">
        <f>"5621023"</f>
        <v>5621023</v>
      </c>
      <c r="B26080" t="s">
        <v>19373</v>
      </c>
      <c r="C26080" t="s">
        <v>249</v>
      </c>
      <c r="D26080" s="21" t="s">
        <v>34</v>
      </c>
      <c r="E26080" s="21" t="s">
        <v>35</v>
      </c>
      <c r="F26080">
        <v>3560052</v>
      </c>
      <c r="G26080" t="s">
        <v>18504</v>
      </c>
      <c r="H26080" s="21">
        <v>625.16999999999996</v>
      </c>
    </row>
    <row r="26081" spans="1:8" customFormat="1" x14ac:dyDescent="0.25">
      <c r="A26081" t="str">
        <f>"173732"</f>
        <v>173732</v>
      </c>
      <c r="B26081" t="s">
        <v>18286</v>
      </c>
      <c r="C26081" t="s">
        <v>109</v>
      </c>
      <c r="D26081" s="21" t="s">
        <v>34</v>
      </c>
      <c r="E26081" s="21" t="s">
        <v>254</v>
      </c>
      <c r="F26081">
        <v>10170003</v>
      </c>
      <c r="G26081" t="s">
        <v>10432</v>
      </c>
      <c r="H26081" s="21">
        <v>625.16999999999996</v>
      </c>
    </row>
    <row r="26082" spans="1:8" customFormat="1" x14ac:dyDescent="0.25">
      <c r="A26082" t="str">
        <f>"5015059"</f>
        <v>5015059</v>
      </c>
      <c r="B26082" t="s">
        <v>350</v>
      </c>
      <c r="C26082" t="s">
        <v>55</v>
      </c>
      <c r="D26082" s="21" t="s">
        <v>34</v>
      </c>
      <c r="E26082" s="21" t="s">
        <v>71</v>
      </c>
      <c r="F26082">
        <v>9500027</v>
      </c>
      <c r="G26082" t="s">
        <v>6343</v>
      </c>
      <c r="H26082" s="21">
        <v>625.16999999999996</v>
      </c>
    </row>
    <row r="26083" spans="1:8" customFormat="1" x14ac:dyDescent="0.25">
      <c r="A26083" t="str">
        <f>"404701"</f>
        <v>404701</v>
      </c>
      <c r="B26083" t="s">
        <v>17204</v>
      </c>
      <c r="C26083" t="s">
        <v>544</v>
      </c>
      <c r="D26083" s="21" t="s">
        <v>34</v>
      </c>
      <c r="E26083" s="21" t="s">
        <v>71</v>
      </c>
      <c r="F26083">
        <v>10400025</v>
      </c>
      <c r="G26083" t="s">
        <v>5655</v>
      </c>
      <c r="H26083" s="21">
        <v>625.16999999999996</v>
      </c>
    </row>
    <row r="26084" spans="1:8" customFormat="1" x14ac:dyDescent="0.25">
      <c r="A26084" t="str">
        <f>"282845"</f>
        <v>282845</v>
      </c>
      <c r="B26084" t="s">
        <v>18799</v>
      </c>
      <c r="C26084" t="s">
        <v>269</v>
      </c>
      <c r="D26084" s="21" t="s">
        <v>34</v>
      </c>
      <c r="E26084" s="21" t="s">
        <v>71</v>
      </c>
      <c r="F26084">
        <v>4280617</v>
      </c>
      <c r="G26084" t="s">
        <v>8540</v>
      </c>
      <c r="H26084" s="21">
        <v>625.16999999999996</v>
      </c>
    </row>
    <row r="26085" spans="1:8" customFormat="1" x14ac:dyDescent="0.25">
      <c r="A26085" t="str">
        <f>"038743"</f>
        <v>038743</v>
      </c>
      <c r="B26085" t="s">
        <v>20376</v>
      </c>
      <c r="C26085" t="s">
        <v>1271</v>
      </c>
      <c r="D26085" s="21" t="s">
        <v>34</v>
      </c>
      <c r="E26085" s="21" t="s">
        <v>254</v>
      </c>
      <c r="F26085">
        <v>1030316</v>
      </c>
      <c r="G26085" t="s">
        <v>19924</v>
      </c>
      <c r="H26085" s="21">
        <v>625.16999999999996</v>
      </c>
    </row>
    <row r="26086" spans="1:8" customFormat="1" x14ac:dyDescent="0.25">
      <c r="A26086" t="str">
        <f>"088002"</f>
        <v>088002</v>
      </c>
      <c r="B26086" t="s">
        <v>18253</v>
      </c>
      <c r="C26086" t="s">
        <v>209</v>
      </c>
      <c r="D26086" s="21" t="s">
        <v>34</v>
      </c>
      <c r="E26086" s="21" t="s">
        <v>254</v>
      </c>
      <c r="F26086">
        <v>6080045</v>
      </c>
      <c r="G26086" t="s">
        <v>5632</v>
      </c>
      <c r="H26086" s="21">
        <v>625.16999999999996</v>
      </c>
    </row>
    <row r="26087" spans="1:8" customFormat="1" x14ac:dyDescent="0.25">
      <c r="A26087" t="str">
        <f>"7844699"</f>
        <v>7844699</v>
      </c>
      <c r="B26087" t="s">
        <v>5487</v>
      </c>
      <c r="C26087" t="s">
        <v>239</v>
      </c>
      <c r="D26087" s="21" t="s">
        <v>34</v>
      </c>
      <c r="E26087" s="21" t="s">
        <v>71</v>
      </c>
      <c r="F26087">
        <v>8781467</v>
      </c>
      <c r="G26087" t="s">
        <v>3838</v>
      </c>
      <c r="H26087" s="21">
        <v>625.16999999999996</v>
      </c>
    </row>
    <row r="26088" spans="1:8" customFormat="1" x14ac:dyDescent="0.25">
      <c r="A26088" t="str">
        <f>"441944"</f>
        <v>441944</v>
      </c>
      <c r="B26088" t="s">
        <v>7157</v>
      </c>
      <c r="C26088" t="s">
        <v>253</v>
      </c>
      <c r="D26088" s="21" t="s">
        <v>34</v>
      </c>
      <c r="E26088" s="21" t="s">
        <v>1089</v>
      </c>
      <c r="F26088">
        <v>12440059</v>
      </c>
      <c r="G26088" t="s">
        <v>6697</v>
      </c>
      <c r="H26088" s="21">
        <v>625.16999999999996</v>
      </c>
    </row>
    <row r="26089" spans="1:8" customFormat="1" x14ac:dyDescent="0.25">
      <c r="A26089" t="str">
        <f>"5923783"</f>
        <v>5923783</v>
      </c>
      <c r="B26089" t="s">
        <v>20476</v>
      </c>
      <c r="C26089" t="s">
        <v>2752</v>
      </c>
      <c r="D26089" s="21" t="s">
        <v>34</v>
      </c>
      <c r="E26089" s="21" t="s">
        <v>71</v>
      </c>
      <c r="F26089">
        <v>10330028</v>
      </c>
      <c r="G26089" t="s">
        <v>4553</v>
      </c>
      <c r="H26089" s="21">
        <v>625.16999999999996</v>
      </c>
    </row>
    <row r="26090" spans="1:8" customFormat="1" x14ac:dyDescent="0.25">
      <c r="A26090" t="str">
        <f>"124338"</f>
        <v>124338</v>
      </c>
      <c r="B26090" t="s">
        <v>19501</v>
      </c>
      <c r="C26090" t="s">
        <v>19502</v>
      </c>
      <c r="D26090" s="21" t="s">
        <v>34</v>
      </c>
      <c r="E26090" s="21" t="s">
        <v>71</v>
      </c>
      <c r="F26090">
        <v>11120042</v>
      </c>
      <c r="G26090" t="s">
        <v>16752</v>
      </c>
      <c r="H26090" s="21">
        <v>625.16999999999996</v>
      </c>
    </row>
    <row r="26091" spans="1:8" customFormat="1" x14ac:dyDescent="0.25">
      <c r="A26091" t="str">
        <f>"6219732"</f>
        <v>6219732</v>
      </c>
      <c r="B26091" t="s">
        <v>19108</v>
      </c>
      <c r="C26091" t="s">
        <v>60</v>
      </c>
      <c r="D26091" s="21" t="s">
        <v>34</v>
      </c>
      <c r="E26091" s="21" t="s">
        <v>35</v>
      </c>
      <c r="F26091">
        <v>7620065</v>
      </c>
      <c r="G26091" t="s">
        <v>6550</v>
      </c>
      <c r="H26091" s="21">
        <v>625.16999999999996</v>
      </c>
    </row>
    <row r="26092" spans="1:8" customFormat="1" x14ac:dyDescent="0.25">
      <c r="A26092" t="str">
        <f>"3344376"</f>
        <v>3344376</v>
      </c>
      <c r="B26092" t="s">
        <v>22059</v>
      </c>
      <c r="C26092" t="s">
        <v>33</v>
      </c>
      <c r="D26092" s="21" t="s">
        <v>34</v>
      </c>
      <c r="E26092" s="21" t="s">
        <v>35</v>
      </c>
      <c r="F26092">
        <v>10330019</v>
      </c>
      <c r="G26092" t="s">
        <v>1761</v>
      </c>
      <c r="H26092" s="21">
        <v>625.16999999999996</v>
      </c>
    </row>
    <row r="26093" spans="1:8" customFormat="1" x14ac:dyDescent="0.25">
      <c r="A26093" t="str">
        <f>"6231731"</f>
        <v>6231731</v>
      </c>
      <c r="B26093" t="s">
        <v>20863</v>
      </c>
      <c r="C26093" t="s">
        <v>246</v>
      </c>
      <c r="D26093" s="21" t="s">
        <v>34</v>
      </c>
      <c r="E26093" s="21" t="s">
        <v>71</v>
      </c>
      <c r="F26093">
        <v>7620154</v>
      </c>
      <c r="G26093" t="s">
        <v>13064</v>
      </c>
      <c r="H26093" s="21">
        <v>625.16999999999996</v>
      </c>
    </row>
    <row r="26094" spans="1:8" customFormat="1" x14ac:dyDescent="0.25">
      <c r="A26094" t="str">
        <f>"352208"</f>
        <v>352208</v>
      </c>
      <c r="B26094" t="s">
        <v>19304</v>
      </c>
      <c r="C26094" t="s">
        <v>415</v>
      </c>
      <c r="D26094" s="21" t="s">
        <v>34</v>
      </c>
      <c r="E26094" s="21" t="s">
        <v>254</v>
      </c>
      <c r="F26094">
        <v>3350016</v>
      </c>
      <c r="G26094" t="s">
        <v>133</v>
      </c>
      <c r="H26094" s="21">
        <v>625.16999999999996</v>
      </c>
    </row>
    <row r="26095" spans="1:8" customFormat="1" x14ac:dyDescent="0.25">
      <c r="A26095" t="str">
        <f>"8013972"</f>
        <v>8013972</v>
      </c>
      <c r="B26095" t="s">
        <v>13961</v>
      </c>
      <c r="C26095" t="s">
        <v>60</v>
      </c>
      <c r="D26095" s="21" t="s">
        <v>34</v>
      </c>
      <c r="E26095" s="21" t="s">
        <v>35</v>
      </c>
      <c r="F26095">
        <v>7800006</v>
      </c>
      <c r="G26095" t="s">
        <v>6365</v>
      </c>
      <c r="H26095" s="21">
        <v>625.16999999999996</v>
      </c>
    </row>
    <row r="26096" spans="1:8" customFormat="1" x14ac:dyDescent="0.25">
      <c r="A26096" t="str">
        <f>"257629"</f>
        <v>257629</v>
      </c>
      <c r="B26096" t="s">
        <v>19809</v>
      </c>
      <c r="C26096" t="s">
        <v>209</v>
      </c>
      <c r="D26096" s="21" t="s">
        <v>34</v>
      </c>
      <c r="E26096" s="21" t="s">
        <v>254</v>
      </c>
      <c r="F26096">
        <v>2250154</v>
      </c>
      <c r="G26096" t="s">
        <v>1973</v>
      </c>
      <c r="H26096" s="21">
        <v>625.16999999999996</v>
      </c>
    </row>
    <row r="26097" spans="1:8" customFormat="1" x14ac:dyDescent="0.25">
      <c r="A26097" t="str">
        <f>"856162"</f>
        <v>856162</v>
      </c>
      <c r="B26097" t="s">
        <v>2717</v>
      </c>
      <c r="C26097" t="s">
        <v>1597</v>
      </c>
      <c r="D26097" s="21" t="s">
        <v>34</v>
      </c>
      <c r="E26097" s="21" t="s">
        <v>1089</v>
      </c>
      <c r="F26097">
        <v>12850057</v>
      </c>
      <c r="G26097" t="s">
        <v>1291</v>
      </c>
      <c r="H26097" s="21">
        <v>625.16999999999996</v>
      </c>
    </row>
    <row r="26098" spans="1:8" customFormat="1" x14ac:dyDescent="0.25">
      <c r="A26098" t="str">
        <f>"9535118"</f>
        <v>9535118</v>
      </c>
      <c r="B26098" t="s">
        <v>27887</v>
      </c>
      <c r="C26098" t="s">
        <v>2520</v>
      </c>
      <c r="D26098" s="21" t="s">
        <v>34</v>
      </c>
      <c r="E26098" s="21" t="s">
        <v>254</v>
      </c>
      <c r="F26098">
        <v>8950262</v>
      </c>
      <c r="G26098" t="s">
        <v>1881</v>
      </c>
      <c r="H26098" s="21">
        <v>625.16999999999996</v>
      </c>
    </row>
    <row r="26099" spans="1:8" customFormat="1" x14ac:dyDescent="0.25">
      <c r="A26099" t="str">
        <f>"9145110"</f>
        <v>9145110</v>
      </c>
      <c r="B26099" t="s">
        <v>21306</v>
      </c>
      <c r="C26099" t="s">
        <v>21307</v>
      </c>
      <c r="D26099" s="21" t="s">
        <v>34</v>
      </c>
      <c r="E26099" s="21" t="s">
        <v>254</v>
      </c>
      <c r="F26099">
        <v>8910544</v>
      </c>
      <c r="G26099" t="s">
        <v>3552</v>
      </c>
      <c r="H26099" s="21">
        <v>625.16999999999996</v>
      </c>
    </row>
    <row r="26100" spans="1:8" customFormat="1" x14ac:dyDescent="0.25">
      <c r="A26100" t="str">
        <f>"508921"</f>
        <v>508921</v>
      </c>
      <c r="B26100" t="s">
        <v>431</v>
      </c>
      <c r="C26100" t="s">
        <v>817</v>
      </c>
      <c r="D26100" s="21" t="s">
        <v>34</v>
      </c>
      <c r="E26100" s="21" t="s">
        <v>71</v>
      </c>
      <c r="F26100">
        <v>9500088</v>
      </c>
      <c r="G26100" t="s">
        <v>15949</v>
      </c>
      <c r="H26100" s="21">
        <v>625.16999999999996</v>
      </c>
    </row>
    <row r="26101" spans="1:8" customFormat="1" x14ac:dyDescent="0.25">
      <c r="A26101" t="str">
        <f>"1613556"</f>
        <v>1613556</v>
      </c>
      <c r="B26101" t="s">
        <v>13160</v>
      </c>
      <c r="C26101" t="s">
        <v>60</v>
      </c>
      <c r="D26101" s="21" t="s">
        <v>34</v>
      </c>
      <c r="E26101" s="21" t="s">
        <v>35</v>
      </c>
      <c r="F26101">
        <v>10160010</v>
      </c>
      <c r="G26101" t="s">
        <v>5491</v>
      </c>
      <c r="H26101" s="21">
        <v>625.16999999999996</v>
      </c>
    </row>
    <row r="26102" spans="1:8" customFormat="1" x14ac:dyDescent="0.25">
      <c r="A26102" t="str">
        <f>"3014466"</f>
        <v>3014466</v>
      </c>
      <c r="B26102" t="s">
        <v>16366</v>
      </c>
      <c r="C26102" t="s">
        <v>62</v>
      </c>
      <c r="D26102" s="21" t="s">
        <v>34</v>
      </c>
      <c r="E26102" s="21" t="s">
        <v>35</v>
      </c>
      <c r="F26102">
        <v>11300012</v>
      </c>
      <c r="G26102" t="s">
        <v>5958</v>
      </c>
      <c r="H26102" s="21">
        <v>624.91999999999996</v>
      </c>
    </row>
    <row r="26103" spans="1:8" customFormat="1" x14ac:dyDescent="0.25">
      <c r="A26103" t="str">
        <f>"2930491"</f>
        <v>2930491</v>
      </c>
      <c r="B26103" t="s">
        <v>19598</v>
      </c>
      <c r="C26103" t="s">
        <v>209</v>
      </c>
      <c r="D26103" s="21" t="s">
        <v>34</v>
      </c>
      <c r="E26103" s="21" t="s">
        <v>71</v>
      </c>
      <c r="F26103">
        <v>3290024</v>
      </c>
      <c r="G26103" t="s">
        <v>5690</v>
      </c>
      <c r="H26103" s="21">
        <v>624.91999999999996</v>
      </c>
    </row>
    <row r="26104" spans="1:8" customFormat="1" x14ac:dyDescent="0.25">
      <c r="A26104" t="str">
        <f>"5981412"</f>
        <v>5981412</v>
      </c>
      <c r="B26104" t="s">
        <v>23039</v>
      </c>
      <c r="C26104" t="s">
        <v>33</v>
      </c>
      <c r="D26104" s="21" t="s">
        <v>34</v>
      </c>
      <c r="E26104" s="21" t="s">
        <v>71</v>
      </c>
      <c r="F26104">
        <v>7590089</v>
      </c>
      <c r="G26104" t="s">
        <v>1418</v>
      </c>
      <c r="H26104" s="21">
        <v>624.91999999999996</v>
      </c>
    </row>
    <row r="26105" spans="1:8" customFormat="1" x14ac:dyDescent="0.25">
      <c r="A26105" t="str">
        <f>"5313076"</f>
        <v>5313076</v>
      </c>
      <c r="B26105" t="s">
        <v>5972</v>
      </c>
      <c r="C26105" t="s">
        <v>621</v>
      </c>
      <c r="D26105" s="21" t="s">
        <v>34</v>
      </c>
      <c r="E26105" s="21" t="s">
        <v>35</v>
      </c>
      <c r="F26105">
        <v>12530144</v>
      </c>
      <c r="G26105" t="s">
        <v>10892</v>
      </c>
      <c r="H26105" s="21">
        <v>624.91999999999996</v>
      </c>
    </row>
    <row r="26106" spans="1:8" customFormat="1" x14ac:dyDescent="0.25">
      <c r="A26106" t="str">
        <f>"3342315"</f>
        <v>3342315</v>
      </c>
      <c r="B26106" t="s">
        <v>19336</v>
      </c>
      <c r="C26106" t="s">
        <v>209</v>
      </c>
      <c r="D26106" s="21" t="s">
        <v>34</v>
      </c>
      <c r="E26106" s="21" t="s">
        <v>71</v>
      </c>
      <c r="F26106">
        <v>10330127</v>
      </c>
      <c r="G26106" t="s">
        <v>9051</v>
      </c>
      <c r="H26106" s="21">
        <v>624.91999999999996</v>
      </c>
    </row>
    <row r="26107" spans="1:8" customFormat="1" x14ac:dyDescent="0.25">
      <c r="A26107" t="str">
        <f>"9230739"</f>
        <v>9230739</v>
      </c>
      <c r="B26107" t="s">
        <v>17242</v>
      </c>
      <c r="C26107" t="s">
        <v>156</v>
      </c>
      <c r="D26107" s="21" t="s">
        <v>34</v>
      </c>
      <c r="E26107" s="21" t="s">
        <v>71</v>
      </c>
      <c r="F26107">
        <v>11300003</v>
      </c>
      <c r="G26107" t="s">
        <v>7949</v>
      </c>
      <c r="H26107" s="21">
        <v>624.91999999999996</v>
      </c>
    </row>
    <row r="26108" spans="1:8" customFormat="1" x14ac:dyDescent="0.25">
      <c r="A26108" t="str">
        <f>"3322400"</f>
        <v>3322400</v>
      </c>
      <c r="B26108" t="s">
        <v>18292</v>
      </c>
      <c r="C26108" t="s">
        <v>453</v>
      </c>
      <c r="D26108" s="21" t="s">
        <v>34</v>
      </c>
      <c r="E26108" s="21" t="s">
        <v>71</v>
      </c>
      <c r="F26108">
        <v>10330022</v>
      </c>
      <c r="G26108" t="s">
        <v>1830</v>
      </c>
      <c r="H26108" s="21">
        <v>624.79</v>
      </c>
    </row>
    <row r="26109" spans="1:8" customFormat="1" x14ac:dyDescent="0.25">
      <c r="A26109" t="str">
        <f>"8312498"</f>
        <v>8312498</v>
      </c>
      <c r="B26109" t="s">
        <v>18793</v>
      </c>
      <c r="C26109" t="s">
        <v>209</v>
      </c>
      <c r="D26109" s="21" t="s">
        <v>34</v>
      </c>
      <c r="E26109" s="21" t="s">
        <v>35</v>
      </c>
      <c r="F26109">
        <v>13830059</v>
      </c>
      <c r="G26109" t="s">
        <v>5440</v>
      </c>
      <c r="H26109" s="21">
        <v>624.66999999999996</v>
      </c>
    </row>
    <row r="26110" spans="1:8" customFormat="1" x14ac:dyDescent="0.25">
      <c r="A26110" t="str">
        <f>"7632002"</f>
        <v>7632002</v>
      </c>
      <c r="B26110" t="s">
        <v>27888</v>
      </c>
      <c r="C26110" t="s">
        <v>209</v>
      </c>
      <c r="D26110" s="21" t="s">
        <v>34</v>
      </c>
      <c r="E26110" s="21" t="s">
        <v>35</v>
      </c>
      <c r="F26110">
        <v>9270071</v>
      </c>
      <c r="G26110" t="s">
        <v>7815</v>
      </c>
      <c r="H26110" s="21">
        <v>624.66999999999996</v>
      </c>
    </row>
    <row r="26111" spans="1:8" customFormat="1" x14ac:dyDescent="0.25">
      <c r="A26111" t="str">
        <f>"3412384"</f>
        <v>3412384</v>
      </c>
      <c r="B26111" t="s">
        <v>638</v>
      </c>
      <c r="C26111" t="s">
        <v>328</v>
      </c>
      <c r="D26111" s="21" t="s">
        <v>34</v>
      </c>
      <c r="E26111" s="21" t="s">
        <v>35</v>
      </c>
      <c r="F26111">
        <v>11340001</v>
      </c>
      <c r="G26111" t="s">
        <v>9248</v>
      </c>
      <c r="H26111" s="21">
        <v>624.66999999999996</v>
      </c>
    </row>
    <row r="26112" spans="1:8" customFormat="1" x14ac:dyDescent="0.25">
      <c r="A26112" t="str">
        <f>"071502"</f>
        <v>071502</v>
      </c>
      <c r="B26112" t="s">
        <v>18895</v>
      </c>
      <c r="C26112" t="s">
        <v>2520</v>
      </c>
      <c r="D26112" s="21" t="s">
        <v>34</v>
      </c>
      <c r="E26112" s="21" t="s">
        <v>254</v>
      </c>
      <c r="F26112">
        <v>1260035</v>
      </c>
      <c r="G26112" t="s">
        <v>9835</v>
      </c>
      <c r="H26112" s="21">
        <v>624.66999999999996</v>
      </c>
    </row>
    <row r="26113" spans="1:8" customFormat="1" x14ac:dyDescent="0.25">
      <c r="A26113" t="str">
        <f>"5020276"</f>
        <v>5020276</v>
      </c>
      <c r="B26113" t="s">
        <v>9774</v>
      </c>
      <c r="C26113" t="s">
        <v>1665</v>
      </c>
      <c r="D26113" s="21" t="s">
        <v>34</v>
      </c>
      <c r="E26113" s="21" t="s">
        <v>71</v>
      </c>
      <c r="F26113">
        <v>9500012</v>
      </c>
      <c r="G26113" t="s">
        <v>10097</v>
      </c>
      <c r="H26113" s="21">
        <v>624.66999999999996</v>
      </c>
    </row>
    <row r="26114" spans="1:8" customFormat="1" x14ac:dyDescent="0.25">
      <c r="A26114" t="str">
        <f>"212600"</f>
        <v>212600</v>
      </c>
      <c r="B26114" t="s">
        <v>18722</v>
      </c>
      <c r="C26114" t="s">
        <v>267</v>
      </c>
      <c r="D26114" s="21" t="s">
        <v>34</v>
      </c>
      <c r="E26114" s="21" t="s">
        <v>254</v>
      </c>
      <c r="F26114">
        <v>2210102</v>
      </c>
      <c r="G26114" t="s">
        <v>18723</v>
      </c>
      <c r="H26114" s="21">
        <v>624.66999999999996</v>
      </c>
    </row>
    <row r="26115" spans="1:8" customFormat="1" x14ac:dyDescent="0.25">
      <c r="A26115" t="str">
        <f>"0212109"</f>
        <v>0212109</v>
      </c>
      <c r="B26115" t="s">
        <v>20778</v>
      </c>
      <c r="C26115" t="s">
        <v>269</v>
      </c>
      <c r="D26115" s="21" t="s">
        <v>34</v>
      </c>
      <c r="E26115" s="21" t="s">
        <v>35</v>
      </c>
      <c r="F26115">
        <v>7021010</v>
      </c>
      <c r="G26115" t="s">
        <v>10493</v>
      </c>
      <c r="H26115" s="21">
        <v>624.66999999999996</v>
      </c>
    </row>
    <row r="26116" spans="1:8" customFormat="1" x14ac:dyDescent="0.25">
      <c r="A26116" t="str">
        <f>"4510641"</f>
        <v>4510641</v>
      </c>
      <c r="B26116" t="s">
        <v>20127</v>
      </c>
      <c r="C26116" t="s">
        <v>209</v>
      </c>
      <c r="D26116" s="21" t="s">
        <v>34</v>
      </c>
      <c r="E26116" s="21" t="s">
        <v>254</v>
      </c>
      <c r="F26116">
        <v>4450210</v>
      </c>
      <c r="G26116" t="s">
        <v>5249</v>
      </c>
      <c r="H26116" s="21">
        <v>624.66999999999996</v>
      </c>
    </row>
    <row r="26117" spans="1:8" customFormat="1" x14ac:dyDescent="0.25">
      <c r="A26117" t="str">
        <f>"7637785"</f>
        <v>7637785</v>
      </c>
      <c r="B26117" t="s">
        <v>1593</v>
      </c>
      <c r="C26117" t="s">
        <v>608</v>
      </c>
      <c r="D26117" s="21" t="s">
        <v>34</v>
      </c>
      <c r="E26117" s="21" t="s">
        <v>254</v>
      </c>
      <c r="F26117">
        <v>9760012</v>
      </c>
      <c r="G26117" t="s">
        <v>17233</v>
      </c>
      <c r="H26117" s="21">
        <v>624.66999999999996</v>
      </c>
    </row>
    <row r="26118" spans="1:8" customFormat="1" x14ac:dyDescent="0.25">
      <c r="A26118" t="str">
        <f>"7718002"</f>
        <v>7718002</v>
      </c>
      <c r="B26118" t="s">
        <v>14196</v>
      </c>
      <c r="C26118" t="s">
        <v>305</v>
      </c>
      <c r="D26118" s="21" t="s">
        <v>34</v>
      </c>
      <c r="E26118" s="21" t="s">
        <v>35</v>
      </c>
      <c r="F26118">
        <v>8771511</v>
      </c>
      <c r="G26118" t="s">
        <v>15221</v>
      </c>
      <c r="H26118" s="21">
        <v>624.66999999999996</v>
      </c>
    </row>
    <row r="26119" spans="1:8" customFormat="1" x14ac:dyDescent="0.25">
      <c r="A26119" t="str">
        <f>"8526892"</f>
        <v>8526892</v>
      </c>
      <c r="B26119" t="s">
        <v>5734</v>
      </c>
      <c r="C26119" t="s">
        <v>285</v>
      </c>
      <c r="D26119" s="21" t="s">
        <v>34</v>
      </c>
      <c r="E26119" s="21" t="s">
        <v>35</v>
      </c>
      <c r="F26119">
        <v>12851016</v>
      </c>
      <c r="G26119" t="s">
        <v>1862</v>
      </c>
      <c r="H26119" s="21">
        <v>624.66999999999996</v>
      </c>
    </row>
    <row r="26120" spans="1:8" customFormat="1" x14ac:dyDescent="0.25">
      <c r="A26120" t="str">
        <f>"62117"</f>
        <v>62117</v>
      </c>
      <c r="B26120" t="s">
        <v>19131</v>
      </c>
      <c r="C26120" t="s">
        <v>608</v>
      </c>
      <c r="D26120" s="21" t="s">
        <v>34</v>
      </c>
      <c r="E26120" s="21" t="s">
        <v>35</v>
      </c>
      <c r="F26120">
        <v>7620018</v>
      </c>
      <c r="G26120" t="s">
        <v>6568</v>
      </c>
      <c r="H26120" s="21">
        <v>624.66999999999996</v>
      </c>
    </row>
    <row r="26121" spans="1:8" customFormat="1" x14ac:dyDescent="0.25">
      <c r="A26121" t="str">
        <f>"7642721"</f>
        <v>7642721</v>
      </c>
      <c r="B26121" t="s">
        <v>14564</v>
      </c>
      <c r="C26121" t="s">
        <v>608</v>
      </c>
      <c r="D26121" s="21" t="s">
        <v>34</v>
      </c>
      <c r="E26121" s="21" t="s">
        <v>35</v>
      </c>
      <c r="F26121">
        <v>9760457</v>
      </c>
      <c r="G26121" t="s">
        <v>6912</v>
      </c>
      <c r="H26121" s="21">
        <v>624.66999999999996</v>
      </c>
    </row>
    <row r="26122" spans="1:8" customFormat="1" x14ac:dyDescent="0.25">
      <c r="A26122" t="str">
        <f>"3524404"</f>
        <v>3524404</v>
      </c>
      <c r="B26122" t="s">
        <v>4654</v>
      </c>
      <c r="C26122" t="s">
        <v>879</v>
      </c>
      <c r="D26122" s="21" t="s">
        <v>34</v>
      </c>
      <c r="E26122" s="21" t="s">
        <v>71</v>
      </c>
      <c r="F26122">
        <v>3350132</v>
      </c>
      <c r="G26122" t="s">
        <v>17921</v>
      </c>
      <c r="H26122" s="21">
        <v>624.66999999999996</v>
      </c>
    </row>
    <row r="26123" spans="1:8" customFormat="1" x14ac:dyDescent="0.25">
      <c r="A26123" t="str">
        <f>"3013905"</f>
        <v>3013905</v>
      </c>
      <c r="B26123" t="s">
        <v>5073</v>
      </c>
      <c r="C26123" t="s">
        <v>21822</v>
      </c>
      <c r="D26123" s="21" t="s">
        <v>34</v>
      </c>
      <c r="E26123" s="21" t="s">
        <v>71</v>
      </c>
      <c r="F26123">
        <v>11300003</v>
      </c>
      <c r="G26123" t="s">
        <v>7949</v>
      </c>
      <c r="H26123" s="21">
        <v>624.66999999999996</v>
      </c>
    </row>
    <row r="26124" spans="1:8" customFormat="1" x14ac:dyDescent="0.25">
      <c r="A26124" t="str">
        <f>"9297"</f>
        <v>9297</v>
      </c>
      <c r="B26124" t="s">
        <v>8329</v>
      </c>
      <c r="C26124" t="s">
        <v>453</v>
      </c>
      <c r="D26124" s="21" t="s">
        <v>34</v>
      </c>
      <c r="E26124" s="21" t="s">
        <v>1089</v>
      </c>
      <c r="F26124">
        <v>3220007</v>
      </c>
      <c r="G26124" t="s">
        <v>26946</v>
      </c>
      <c r="H26124" s="21">
        <v>624.66999999999996</v>
      </c>
    </row>
    <row r="26125" spans="1:8" customFormat="1" x14ac:dyDescent="0.25">
      <c r="A26125" t="str">
        <f>"7827257"</f>
        <v>7827257</v>
      </c>
      <c r="B26125" t="s">
        <v>7476</v>
      </c>
      <c r="C26125" t="s">
        <v>1110</v>
      </c>
      <c r="D26125" s="21" t="s">
        <v>34</v>
      </c>
      <c r="E26125" s="21" t="s">
        <v>254</v>
      </c>
      <c r="F26125">
        <v>8780568</v>
      </c>
      <c r="G26125" t="s">
        <v>5279</v>
      </c>
      <c r="H26125" s="21">
        <v>624.66999999999996</v>
      </c>
    </row>
    <row r="26126" spans="1:8" customFormat="1" x14ac:dyDescent="0.25">
      <c r="A26126" t="str">
        <f>"9437101"</f>
        <v>9437101</v>
      </c>
      <c r="B26126" t="s">
        <v>1690</v>
      </c>
      <c r="C26126" t="s">
        <v>19886</v>
      </c>
      <c r="D26126" s="21" t="s">
        <v>34</v>
      </c>
      <c r="E26126" s="21" t="s">
        <v>35</v>
      </c>
      <c r="F26126">
        <v>8940926</v>
      </c>
      <c r="G26126" t="s">
        <v>4065</v>
      </c>
      <c r="H26126" s="21">
        <v>624.66999999999996</v>
      </c>
    </row>
    <row r="26127" spans="1:8" customFormat="1" x14ac:dyDescent="0.25">
      <c r="A26127" t="str">
        <f>"348132"</f>
        <v>348132</v>
      </c>
      <c r="B26127" t="s">
        <v>1986</v>
      </c>
      <c r="C26127" t="s">
        <v>109</v>
      </c>
      <c r="D26127" s="21" t="s">
        <v>34</v>
      </c>
      <c r="E26127" s="21" t="s">
        <v>35</v>
      </c>
      <c r="F26127">
        <v>11340040</v>
      </c>
      <c r="G26127" t="s">
        <v>5695</v>
      </c>
      <c r="H26127" s="21">
        <v>624.66999999999996</v>
      </c>
    </row>
    <row r="26128" spans="1:8" customFormat="1" x14ac:dyDescent="0.25">
      <c r="A26128" t="str">
        <f>"336565"</f>
        <v>336565</v>
      </c>
      <c r="B26128" t="s">
        <v>5291</v>
      </c>
      <c r="C26128" t="s">
        <v>55</v>
      </c>
      <c r="D26128" s="21" t="s">
        <v>34</v>
      </c>
      <c r="E26128" s="21" t="s">
        <v>35</v>
      </c>
      <c r="F26128">
        <v>10330037</v>
      </c>
      <c r="G26128" t="s">
        <v>5960</v>
      </c>
      <c r="H26128" s="21">
        <v>624.66999999999996</v>
      </c>
    </row>
    <row r="26129" spans="1:8" customFormat="1" x14ac:dyDescent="0.25">
      <c r="A26129" t="str">
        <f>"244751"</f>
        <v>244751</v>
      </c>
      <c r="B26129" t="s">
        <v>17600</v>
      </c>
      <c r="C26129" t="s">
        <v>263</v>
      </c>
      <c r="D26129" s="21" t="s">
        <v>34</v>
      </c>
      <c r="E26129" s="21" t="s">
        <v>71</v>
      </c>
      <c r="F26129">
        <v>10240024</v>
      </c>
      <c r="G26129" t="s">
        <v>6539</v>
      </c>
      <c r="H26129" s="21">
        <v>624.66999999999996</v>
      </c>
    </row>
    <row r="26130" spans="1:8" customFormat="1" x14ac:dyDescent="0.25">
      <c r="A26130" t="str">
        <f>"919509"</f>
        <v>919509</v>
      </c>
      <c r="B26130" t="s">
        <v>18413</v>
      </c>
      <c r="C26130" t="s">
        <v>169</v>
      </c>
      <c r="D26130" s="21" t="s">
        <v>34</v>
      </c>
      <c r="E26130" s="21" t="s">
        <v>71</v>
      </c>
      <c r="F26130">
        <v>8911132</v>
      </c>
      <c r="G26130" t="s">
        <v>10728</v>
      </c>
      <c r="H26130" s="21">
        <v>624.66999999999996</v>
      </c>
    </row>
    <row r="26131" spans="1:8" customFormat="1" x14ac:dyDescent="0.25">
      <c r="A26131" t="str">
        <f>"4444467"</f>
        <v>4444467</v>
      </c>
      <c r="B26131" t="s">
        <v>1886</v>
      </c>
      <c r="C26131" t="s">
        <v>40</v>
      </c>
      <c r="D26131" s="21" t="s">
        <v>34</v>
      </c>
      <c r="E26131" s="21" t="s">
        <v>71</v>
      </c>
      <c r="F26131">
        <v>12440029</v>
      </c>
      <c r="G26131" t="s">
        <v>567</v>
      </c>
      <c r="H26131" s="21">
        <v>624.66999999999996</v>
      </c>
    </row>
    <row r="26132" spans="1:8" customFormat="1" x14ac:dyDescent="0.25">
      <c r="A26132" t="str">
        <f>"7631492"</f>
        <v>7631492</v>
      </c>
      <c r="B26132" t="s">
        <v>19551</v>
      </c>
      <c r="C26132" t="s">
        <v>462</v>
      </c>
      <c r="D26132" s="21" t="s">
        <v>34</v>
      </c>
      <c r="E26132" s="21" t="s">
        <v>71</v>
      </c>
      <c r="F26132">
        <v>9760315</v>
      </c>
      <c r="G26132" t="s">
        <v>12345</v>
      </c>
      <c r="H26132" s="21">
        <v>624.66999999999996</v>
      </c>
    </row>
    <row r="26133" spans="1:8" customFormat="1" x14ac:dyDescent="0.25">
      <c r="A26133" t="str">
        <f>"545819"</f>
        <v>545819</v>
      </c>
      <c r="B26133" t="s">
        <v>970</v>
      </c>
      <c r="C26133" t="s">
        <v>267</v>
      </c>
      <c r="D26133" s="21" t="s">
        <v>34</v>
      </c>
      <c r="E26133" s="21" t="s">
        <v>254</v>
      </c>
      <c r="F26133">
        <v>6540111</v>
      </c>
      <c r="G26133" t="s">
        <v>9886</v>
      </c>
      <c r="H26133" s="21">
        <v>624.66999999999996</v>
      </c>
    </row>
    <row r="26134" spans="1:8" customFormat="1" x14ac:dyDescent="0.25">
      <c r="A26134" t="str">
        <f>"9534614"</f>
        <v>9534614</v>
      </c>
      <c r="B26134" t="s">
        <v>27889</v>
      </c>
      <c r="C26134" t="s">
        <v>5966</v>
      </c>
      <c r="D26134" s="21" t="s">
        <v>34</v>
      </c>
      <c r="E26134" s="21" t="s">
        <v>35</v>
      </c>
      <c r="F26134">
        <v>8950570</v>
      </c>
      <c r="G26134" t="s">
        <v>3226</v>
      </c>
      <c r="H26134" s="21">
        <v>624.54</v>
      </c>
    </row>
    <row r="26135" spans="1:8" customFormat="1" x14ac:dyDescent="0.25">
      <c r="A26135" t="str">
        <f>"837110"</f>
        <v>837110</v>
      </c>
      <c r="B26135" t="s">
        <v>18741</v>
      </c>
      <c r="C26135" t="s">
        <v>926</v>
      </c>
      <c r="D26135" s="21" t="s">
        <v>34</v>
      </c>
      <c r="E26135" s="21" t="s">
        <v>254</v>
      </c>
      <c r="F26135">
        <v>13830015</v>
      </c>
      <c r="G26135" t="s">
        <v>4011</v>
      </c>
      <c r="H26135" s="21">
        <v>624.41999999999996</v>
      </c>
    </row>
    <row r="26136" spans="1:8" customFormat="1" x14ac:dyDescent="0.25">
      <c r="A26136" t="str">
        <f>"92134"</f>
        <v>92134</v>
      </c>
      <c r="B26136" t="s">
        <v>20164</v>
      </c>
      <c r="C26136" t="s">
        <v>267</v>
      </c>
      <c r="D26136" s="21" t="s">
        <v>34</v>
      </c>
      <c r="E26136" s="21" t="s">
        <v>254</v>
      </c>
      <c r="F26136">
        <v>8920031</v>
      </c>
      <c r="G26136" t="s">
        <v>552</v>
      </c>
      <c r="H26136" s="21">
        <v>624.29</v>
      </c>
    </row>
    <row r="26137" spans="1:8" customFormat="1" x14ac:dyDescent="0.25">
      <c r="A26137" t="str">
        <f>"8523726"</f>
        <v>8523726</v>
      </c>
      <c r="B26137" t="s">
        <v>702</v>
      </c>
      <c r="C26137" t="s">
        <v>139</v>
      </c>
      <c r="D26137" s="21" t="s">
        <v>34</v>
      </c>
      <c r="E26137" s="21" t="s">
        <v>35</v>
      </c>
      <c r="F26137">
        <v>12850039</v>
      </c>
      <c r="G26137" t="s">
        <v>7123</v>
      </c>
      <c r="H26137" s="21">
        <v>624.16999999999996</v>
      </c>
    </row>
    <row r="26138" spans="1:8" customFormat="1" x14ac:dyDescent="0.25">
      <c r="A26138" t="str">
        <f>"9D505"</f>
        <v>9D505</v>
      </c>
      <c r="B26138" t="s">
        <v>18519</v>
      </c>
      <c r="C26138" t="s">
        <v>3073</v>
      </c>
      <c r="D26138" s="21" t="s">
        <v>34</v>
      </c>
      <c r="E26138" s="21" t="s">
        <v>254</v>
      </c>
      <c r="F26138" t="s">
        <v>2462</v>
      </c>
      <c r="G26138" t="s">
        <v>2463</v>
      </c>
      <c r="H26138" s="21">
        <v>624.16999999999996</v>
      </c>
    </row>
    <row r="26139" spans="1:8" customFormat="1" x14ac:dyDescent="0.25">
      <c r="A26139" t="str">
        <f>"5614863"</f>
        <v>5614863</v>
      </c>
      <c r="B26139" t="s">
        <v>19388</v>
      </c>
      <c r="C26139" t="s">
        <v>415</v>
      </c>
      <c r="D26139" s="21" t="s">
        <v>34</v>
      </c>
      <c r="E26139" s="21" t="s">
        <v>1089</v>
      </c>
      <c r="F26139">
        <v>3560090</v>
      </c>
      <c r="G26139" t="s">
        <v>7777</v>
      </c>
      <c r="H26139" s="21">
        <v>624.16999999999996</v>
      </c>
    </row>
    <row r="26140" spans="1:8" customFormat="1" x14ac:dyDescent="0.25">
      <c r="A26140" t="str">
        <f>"1613442"</f>
        <v>1613442</v>
      </c>
      <c r="B26140" t="s">
        <v>19347</v>
      </c>
      <c r="C26140" t="s">
        <v>33</v>
      </c>
      <c r="D26140" s="21" t="s">
        <v>34</v>
      </c>
      <c r="E26140" s="21" t="s">
        <v>71</v>
      </c>
      <c r="F26140">
        <v>10160122</v>
      </c>
      <c r="G26140" t="s">
        <v>8169</v>
      </c>
      <c r="H26140" s="21">
        <v>624.16999999999996</v>
      </c>
    </row>
    <row r="26141" spans="1:8" customFormat="1" x14ac:dyDescent="0.25">
      <c r="A26141" t="str">
        <f>"6712294"</f>
        <v>6712294</v>
      </c>
      <c r="B26141" t="s">
        <v>27890</v>
      </c>
      <c r="C26141" t="s">
        <v>275</v>
      </c>
      <c r="D26141" s="21" t="s">
        <v>34</v>
      </c>
      <c r="E26141" s="21" t="s">
        <v>35</v>
      </c>
      <c r="F26141">
        <v>6670267</v>
      </c>
      <c r="G26141" t="s">
        <v>2244</v>
      </c>
      <c r="H26141" s="21">
        <v>624.16999999999996</v>
      </c>
    </row>
    <row r="26142" spans="1:8" customFormat="1" x14ac:dyDescent="0.25">
      <c r="A26142" t="str">
        <f>"1612876"</f>
        <v>1612876</v>
      </c>
      <c r="B26142" t="s">
        <v>21425</v>
      </c>
      <c r="C26142" t="s">
        <v>415</v>
      </c>
      <c r="D26142" s="21" t="s">
        <v>34</v>
      </c>
      <c r="E26142" s="21" t="s">
        <v>254</v>
      </c>
      <c r="F26142">
        <v>10160236</v>
      </c>
      <c r="G26142" t="s">
        <v>7202</v>
      </c>
      <c r="H26142" s="21">
        <v>624.16999999999996</v>
      </c>
    </row>
    <row r="26143" spans="1:8" customFormat="1" x14ac:dyDescent="0.25">
      <c r="A26143" t="str">
        <f>"0212289"</f>
        <v>0212289</v>
      </c>
      <c r="B26143" t="s">
        <v>27891</v>
      </c>
      <c r="C26143" t="s">
        <v>139</v>
      </c>
      <c r="D26143" s="21" t="s">
        <v>34</v>
      </c>
      <c r="E26143" s="21" t="s">
        <v>35</v>
      </c>
      <c r="F26143">
        <v>7021015</v>
      </c>
      <c r="G26143" t="s">
        <v>27639</v>
      </c>
      <c r="H26143" s="21">
        <v>624.16999999999996</v>
      </c>
    </row>
    <row r="26144" spans="1:8" customFormat="1" x14ac:dyDescent="0.25">
      <c r="A26144" t="str">
        <f>"6230799"</f>
        <v>6230799</v>
      </c>
      <c r="B26144" t="s">
        <v>19904</v>
      </c>
      <c r="C26144" t="s">
        <v>60</v>
      </c>
      <c r="D26144" s="21" t="s">
        <v>34</v>
      </c>
      <c r="E26144" s="21" t="s">
        <v>35</v>
      </c>
      <c r="F26144">
        <v>7620150</v>
      </c>
      <c r="G26144" t="s">
        <v>7141</v>
      </c>
      <c r="H26144" s="21">
        <v>624.16999999999996</v>
      </c>
    </row>
    <row r="26145" spans="1:8" customFormat="1" x14ac:dyDescent="0.25">
      <c r="A26145" t="str">
        <f>"9443359"</f>
        <v>9443359</v>
      </c>
      <c r="B26145" t="s">
        <v>19569</v>
      </c>
      <c r="C26145" t="s">
        <v>462</v>
      </c>
      <c r="D26145" s="21" t="s">
        <v>34</v>
      </c>
      <c r="E26145" s="21" t="s">
        <v>35</v>
      </c>
      <c r="F26145">
        <v>8940033</v>
      </c>
      <c r="G26145" t="s">
        <v>1376</v>
      </c>
      <c r="H26145" s="21">
        <v>624.16999999999996</v>
      </c>
    </row>
    <row r="26146" spans="1:8" customFormat="1" x14ac:dyDescent="0.25">
      <c r="A26146" t="str">
        <f>"4923691"</f>
        <v>4923691</v>
      </c>
      <c r="B26146" t="s">
        <v>20145</v>
      </c>
      <c r="C26146" t="s">
        <v>2384</v>
      </c>
      <c r="D26146" s="21" t="s">
        <v>34</v>
      </c>
      <c r="E26146" s="21" t="s">
        <v>254</v>
      </c>
      <c r="F26146">
        <v>12490070</v>
      </c>
      <c r="G26146" t="s">
        <v>5091</v>
      </c>
      <c r="H26146" s="21">
        <v>624.16999999999996</v>
      </c>
    </row>
    <row r="26147" spans="1:8" customFormat="1" x14ac:dyDescent="0.25">
      <c r="A26147" t="str">
        <f>"5934605"</f>
        <v>5934605</v>
      </c>
      <c r="B26147" t="s">
        <v>17870</v>
      </c>
      <c r="C26147" t="s">
        <v>1714</v>
      </c>
      <c r="D26147" s="21" t="s">
        <v>34</v>
      </c>
      <c r="E26147" s="21" t="s">
        <v>71</v>
      </c>
      <c r="F26147">
        <v>7590361</v>
      </c>
      <c r="G26147" t="s">
        <v>3071</v>
      </c>
      <c r="H26147" s="21">
        <v>624.16999999999996</v>
      </c>
    </row>
    <row r="26148" spans="1:8" customFormat="1" x14ac:dyDescent="0.25">
      <c r="A26148" t="str">
        <f>"4926816"</f>
        <v>4926816</v>
      </c>
      <c r="B26148" t="s">
        <v>19789</v>
      </c>
      <c r="C26148" t="s">
        <v>2365</v>
      </c>
      <c r="D26148" s="21" t="s">
        <v>34</v>
      </c>
      <c r="E26148" s="21" t="s">
        <v>254</v>
      </c>
      <c r="F26148">
        <v>12490098</v>
      </c>
      <c r="G26148" t="s">
        <v>2670</v>
      </c>
      <c r="H26148" s="21">
        <v>624.16999999999996</v>
      </c>
    </row>
    <row r="26149" spans="1:8" customFormat="1" x14ac:dyDescent="0.25">
      <c r="A26149" t="str">
        <f>"389401"</f>
        <v>389401</v>
      </c>
      <c r="B26149" t="s">
        <v>19051</v>
      </c>
      <c r="C26149" t="s">
        <v>2984</v>
      </c>
      <c r="D26149" s="21" t="s">
        <v>34</v>
      </c>
      <c r="E26149" s="21" t="s">
        <v>254</v>
      </c>
      <c r="F26149">
        <v>1380189</v>
      </c>
      <c r="G26149" t="s">
        <v>8143</v>
      </c>
      <c r="H26149" s="21">
        <v>624.16999999999996</v>
      </c>
    </row>
    <row r="26150" spans="1:8" customFormat="1" x14ac:dyDescent="0.25">
      <c r="A26150" t="str">
        <f>"1716851"</f>
        <v>1716851</v>
      </c>
      <c r="B26150" t="s">
        <v>20780</v>
      </c>
      <c r="C26150" t="s">
        <v>415</v>
      </c>
      <c r="D26150" s="21" t="s">
        <v>34</v>
      </c>
      <c r="E26150" s="21" t="s">
        <v>254</v>
      </c>
      <c r="F26150">
        <v>10170028</v>
      </c>
      <c r="G26150" t="s">
        <v>649</v>
      </c>
      <c r="H26150" s="21">
        <v>624.16999999999996</v>
      </c>
    </row>
    <row r="26151" spans="1:8" customFormat="1" x14ac:dyDescent="0.25">
      <c r="A26151" t="str">
        <f>"723961"</f>
        <v>723961</v>
      </c>
      <c r="B26151" t="s">
        <v>1087</v>
      </c>
      <c r="C26151" t="s">
        <v>415</v>
      </c>
      <c r="D26151" s="21" t="s">
        <v>34</v>
      </c>
      <c r="E26151" s="21" t="s">
        <v>254</v>
      </c>
      <c r="F26151">
        <v>12720052</v>
      </c>
      <c r="G26151" t="s">
        <v>9628</v>
      </c>
      <c r="H26151" s="21">
        <v>624.16999999999996</v>
      </c>
    </row>
    <row r="26152" spans="1:8" customFormat="1" x14ac:dyDescent="0.25">
      <c r="A26152" t="str">
        <f>"685821"</f>
        <v>685821</v>
      </c>
      <c r="B26152" t="s">
        <v>19597</v>
      </c>
      <c r="C26152" t="s">
        <v>3073</v>
      </c>
      <c r="D26152" s="21" t="s">
        <v>34</v>
      </c>
      <c r="E26152" s="21" t="s">
        <v>71</v>
      </c>
      <c r="F26152">
        <v>6680020</v>
      </c>
      <c r="G26152" t="s">
        <v>12995</v>
      </c>
      <c r="H26152" s="21">
        <v>624.16999999999996</v>
      </c>
    </row>
    <row r="26153" spans="1:8" customFormat="1" x14ac:dyDescent="0.25">
      <c r="A26153" t="str">
        <f>"9241628"</f>
        <v>9241628</v>
      </c>
      <c r="B26153" t="s">
        <v>19148</v>
      </c>
      <c r="C26153" t="s">
        <v>114</v>
      </c>
      <c r="D26153" s="21" t="s">
        <v>34</v>
      </c>
      <c r="E26153" s="21" t="s">
        <v>35</v>
      </c>
      <c r="F26153">
        <v>8920309</v>
      </c>
      <c r="G26153" t="s">
        <v>1894</v>
      </c>
      <c r="H26153" s="21">
        <v>624.04</v>
      </c>
    </row>
    <row r="26154" spans="1:8" customFormat="1" x14ac:dyDescent="0.25">
      <c r="A26154" t="str">
        <f>"7634994"</f>
        <v>7634994</v>
      </c>
      <c r="B26154" t="s">
        <v>27892</v>
      </c>
      <c r="C26154" t="s">
        <v>9894</v>
      </c>
      <c r="D26154" s="21" t="s">
        <v>34</v>
      </c>
      <c r="E26154" s="21" t="s">
        <v>35</v>
      </c>
      <c r="F26154">
        <v>4180174</v>
      </c>
      <c r="G26154" t="s">
        <v>3046</v>
      </c>
      <c r="H26154" s="21">
        <v>624</v>
      </c>
    </row>
    <row r="26155" spans="1:8" customFormat="1" x14ac:dyDescent="0.25">
      <c r="A26155" t="str">
        <f>"3335712"</f>
        <v>3335712</v>
      </c>
      <c r="B26155" t="s">
        <v>19876</v>
      </c>
      <c r="C26155" t="s">
        <v>130</v>
      </c>
      <c r="D26155" s="21" t="s">
        <v>34</v>
      </c>
      <c r="E26155" s="21" t="s">
        <v>71</v>
      </c>
      <c r="F26155">
        <v>10330125</v>
      </c>
      <c r="G26155" t="s">
        <v>3753</v>
      </c>
      <c r="H26155" s="21">
        <v>623.91999999999996</v>
      </c>
    </row>
    <row r="26156" spans="1:8" customFormat="1" x14ac:dyDescent="0.25">
      <c r="A26156" t="str">
        <f>"5326821"</f>
        <v>5326821</v>
      </c>
      <c r="B26156" t="s">
        <v>15825</v>
      </c>
      <c r="C26156" t="s">
        <v>206</v>
      </c>
      <c r="D26156" s="21" t="s">
        <v>34</v>
      </c>
      <c r="E26156" s="21" t="s">
        <v>35</v>
      </c>
      <c r="F26156">
        <v>12530008</v>
      </c>
      <c r="G26156" t="s">
        <v>7920</v>
      </c>
      <c r="H26156" s="21">
        <v>623.91999999999996</v>
      </c>
    </row>
    <row r="26157" spans="1:8" customFormat="1" x14ac:dyDescent="0.25">
      <c r="A26157" t="str">
        <f>"3332023"</f>
        <v>3332023</v>
      </c>
      <c r="B26157" t="s">
        <v>18559</v>
      </c>
      <c r="C26157" t="s">
        <v>139</v>
      </c>
      <c r="D26157" s="21" t="s">
        <v>34</v>
      </c>
      <c r="E26157" s="21" t="s">
        <v>35</v>
      </c>
      <c r="F26157">
        <v>10330061</v>
      </c>
      <c r="G26157" t="s">
        <v>17729</v>
      </c>
      <c r="H26157" s="21">
        <v>623.91999999999996</v>
      </c>
    </row>
    <row r="26158" spans="1:8" customFormat="1" x14ac:dyDescent="0.25">
      <c r="A26158" t="str">
        <f>"6931992"</f>
        <v>6931992</v>
      </c>
      <c r="B26158" t="s">
        <v>21152</v>
      </c>
      <c r="C26158" t="s">
        <v>198</v>
      </c>
      <c r="D26158" s="21" t="s">
        <v>34</v>
      </c>
      <c r="E26158" s="21" t="s">
        <v>254</v>
      </c>
      <c r="F26158">
        <v>1690197</v>
      </c>
      <c r="G26158" t="s">
        <v>26849</v>
      </c>
      <c r="H26158" s="21">
        <v>623.91999999999996</v>
      </c>
    </row>
    <row r="26159" spans="1:8" customFormat="1" x14ac:dyDescent="0.25">
      <c r="A26159" t="str">
        <f>"922255"</f>
        <v>922255</v>
      </c>
      <c r="B26159" t="s">
        <v>10028</v>
      </c>
      <c r="C26159" t="s">
        <v>233</v>
      </c>
      <c r="D26159" s="21" t="s">
        <v>34</v>
      </c>
      <c r="E26159" s="21" t="s">
        <v>254</v>
      </c>
      <c r="F26159">
        <v>10860122</v>
      </c>
      <c r="G26159" t="s">
        <v>3800</v>
      </c>
      <c r="H26159" s="21">
        <v>623.79</v>
      </c>
    </row>
    <row r="26160" spans="1:8" customFormat="1" x14ac:dyDescent="0.25">
      <c r="A26160" t="str">
        <f>"595836"</f>
        <v>595836</v>
      </c>
      <c r="B26160" t="s">
        <v>18804</v>
      </c>
      <c r="C26160" t="s">
        <v>2546</v>
      </c>
      <c r="D26160" s="21" t="s">
        <v>34</v>
      </c>
      <c r="E26160" s="21" t="s">
        <v>1089</v>
      </c>
      <c r="F26160">
        <v>7590126</v>
      </c>
      <c r="G26160" t="s">
        <v>4749</v>
      </c>
      <c r="H26160" s="21">
        <v>623.66999999999996</v>
      </c>
    </row>
    <row r="26161" spans="1:8" customFormat="1" x14ac:dyDescent="0.25">
      <c r="A26161" t="str">
        <f>"3513372"</f>
        <v>3513372</v>
      </c>
      <c r="B26161" t="s">
        <v>20487</v>
      </c>
      <c r="C26161" t="s">
        <v>1025</v>
      </c>
      <c r="D26161" s="21" t="s">
        <v>34</v>
      </c>
      <c r="E26161" s="21" t="s">
        <v>254</v>
      </c>
      <c r="F26161">
        <v>3350150</v>
      </c>
      <c r="G26161" t="s">
        <v>6419</v>
      </c>
      <c r="H26161" s="21">
        <v>623.66999999999996</v>
      </c>
    </row>
    <row r="26162" spans="1:8" customFormat="1" x14ac:dyDescent="0.25">
      <c r="A26162" t="str">
        <f>"5326320"</f>
        <v>5326320</v>
      </c>
      <c r="B26162" t="s">
        <v>1198</v>
      </c>
      <c r="C26162" t="s">
        <v>169</v>
      </c>
      <c r="D26162" s="21" t="s">
        <v>34</v>
      </c>
      <c r="E26162" s="21" t="s">
        <v>35</v>
      </c>
      <c r="F26162">
        <v>12530033</v>
      </c>
      <c r="G26162" t="s">
        <v>10046</v>
      </c>
      <c r="H26162" s="21">
        <v>623.66999999999996</v>
      </c>
    </row>
    <row r="26163" spans="1:8" customFormat="1" x14ac:dyDescent="0.25">
      <c r="A26163" t="str">
        <f>"5617686"</f>
        <v>5617686</v>
      </c>
      <c r="B26163" t="s">
        <v>19415</v>
      </c>
      <c r="C26163" t="s">
        <v>1853</v>
      </c>
      <c r="D26163" s="21" t="s">
        <v>34</v>
      </c>
      <c r="E26163" s="21" t="s">
        <v>71</v>
      </c>
      <c r="F26163">
        <v>3560091</v>
      </c>
      <c r="G26163" t="s">
        <v>27212</v>
      </c>
      <c r="H26163" s="21">
        <v>623.66999999999996</v>
      </c>
    </row>
    <row r="26164" spans="1:8" customFormat="1" x14ac:dyDescent="0.25">
      <c r="A26164" t="str">
        <f>"2934922"</f>
        <v>2934922</v>
      </c>
      <c r="B26164" t="s">
        <v>10653</v>
      </c>
      <c r="C26164" t="s">
        <v>428</v>
      </c>
      <c r="D26164" s="21" t="s">
        <v>34</v>
      </c>
      <c r="E26164" s="21" t="s">
        <v>71</v>
      </c>
      <c r="F26164">
        <v>3290024</v>
      </c>
      <c r="G26164" t="s">
        <v>5690</v>
      </c>
      <c r="H26164" s="21">
        <v>623.66999999999996</v>
      </c>
    </row>
    <row r="26165" spans="1:8" customFormat="1" x14ac:dyDescent="0.25">
      <c r="A26165" t="str">
        <f>"5019644"</f>
        <v>5019644</v>
      </c>
      <c r="B26165" t="s">
        <v>11585</v>
      </c>
      <c r="C26165" t="s">
        <v>209</v>
      </c>
      <c r="D26165" s="21" t="s">
        <v>34</v>
      </c>
      <c r="E26165" s="21" t="s">
        <v>254</v>
      </c>
      <c r="F26165">
        <v>9500010</v>
      </c>
      <c r="G26165" t="s">
        <v>5975</v>
      </c>
      <c r="H26165" s="21">
        <v>623.66999999999996</v>
      </c>
    </row>
    <row r="26166" spans="1:8" customFormat="1" x14ac:dyDescent="0.25">
      <c r="A26166" t="str">
        <f>"4111715"</f>
        <v>4111715</v>
      </c>
      <c r="B26166" t="s">
        <v>4970</v>
      </c>
      <c r="C26166" t="s">
        <v>305</v>
      </c>
      <c r="D26166" s="21" t="s">
        <v>34</v>
      </c>
      <c r="E26166" s="21" t="s">
        <v>35</v>
      </c>
      <c r="F26166">
        <v>4410546</v>
      </c>
      <c r="G26166" t="s">
        <v>5001</v>
      </c>
      <c r="H26166" s="21">
        <v>623.66999999999996</v>
      </c>
    </row>
    <row r="26167" spans="1:8" customFormat="1" x14ac:dyDescent="0.25">
      <c r="A26167" t="str">
        <f>"6926635"</f>
        <v>6926635</v>
      </c>
      <c r="B26167" t="s">
        <v>19424</v>
      </c>
      <c r="C26167" t="s">
        <v>202</v>
      </c>
      <c r="D26167" s="21" t="s">
        <v>34</v>
      </c>
      <c r="E26167" s="21" t="s">
        <v>71</v>
      </c>
      <c r="F26167">
        <v>1690184</v>
      </c>
      <c r="G26167" t="s">
        <v>4992</v>
      </c>
      <c r="H26167" s="21">
        <v>623.66999999999996</v>
      </c>
    </row>
    <row r="26168" spans="1:8" customFormat="1" x14ac:dyDescent="0.25">
      <c r="A26168" t="str">
        <f>"9132745"</f>
        <v>9132745</v>
      </c>
      <c r="B26168" t="s">
        <v>5646</v>
      </c>
      <c r="C26168" t="s">
        <v>206</v>
      </c>
      <c r="D26168" s="21" t="s">
        <v>34</v>
      </c>
      <c r="E26168" s="21" t="s">
        <v>35</v>
      </c>
      <c r="F26168">
        <v>7620139</v>
      </c>
      <c r="G26168" t="s">
        <v>2061</v>
      </c>
      <c r="H26168" s="21">
        <v>623.66999999999996</v>
      </c>
    </row>
    <row r="26169" spans="1:8" customFormat="1" x14ac:dyDescent="0.25">
      <c r="A26169" t="str">
        <f>"0211571"</f>
        <v>0211571</v>
      </c>
      <c r="B26169" t="s">
        <v>27893</v>
      </c>
      <c r="C26169" t="s">
        <v>65</v>
      </c>
      <c r="D26169" s="21" t="s">
        <v>34</v>
      </c>
      <c r="E26169" s="21" t="s">
        <v>35</v>
      </c>
      <c r="F26169">
        <v>7021014</v>
      </c>
      <c r="G26169" t="s">
        <v>15834</v>
      </c>
      <c r="H26169" s="21">
        <v>623.66999999999996</v>
      </c>
    </row>
    <row r="26170" spans="1:8" customFormat="1" x14ac:dyDescent="0.25">
      <c r="A26170" t="str">
        <f>"3324186"</f>
        <v>3324186</v>
      </c>
      <c r="B26170" t="s">
        <v>8744</v>
      </c>
      <c r="C26170" t="s">
        <v>198</v>
      </c>
      <c r="D26170" s="21" t="s">
        <v>34</v>
      </c>
      <c r="E26170" s="21" t="s">
        <v>35</v>
      </c>
      <c r="F26170">
        <v>10330067</v>
      </c>
      <c r="G26170" t="s">
        <v>125</v>
      </c>
      <c r="H26170" s="21">
        <v>623.66999999999996</v>
      </c>
    </row>
    <row r="26171" spans="1:8" customFormat="1" x14ac:dyDescent="0.25">
      <c r="A26171" t="str">
        <f>"5716087"</f>
        <v>5716087</v>
      </c>
      <c r="B26171" t="s">
        <v>19872</v>
      </c>
      <c r="C26171" t="s">
        <v>202</v>
      </c>
      <c r="D26171" s="21" t="s">
        <v>34</v>
      </c>
      <c r="E26171" s="21" t="s">
        <v>254</v>
      </c>
      <c r="F26171">
        <v>6570093</v>
      </c>
      <c r="G26171" t="s">
        <v>6118</v>
      </c>
      <c r="H26171" s="21">
        <v>623.66999999999996</v>
      </c>
    </row>
    <row r="26172" spans="1:8" customFormat="1" x14ac:dyDescent="0.25">
      <c r="A26172" t="str">
        <f>"3532213"</f>
        <v>3532213</v>
      </c>
      <c r="B26172" t="s">
        <v>12389</v>
      </c>
      <c r="C26172" t="s">
        <v>62</v>
      </c>
      <c r="D26172" s="21" t="s">
        <v>34</v>
      </c>
      <c r="E26172" s="21" t="s">
        <v>35</v>
      </c>
      <c r="F26172">
        <v>3350169</v>
      </c>
      <c r="G26172" t="s">
        <v>735</v>
      </c>
      <c r="H26172" s="21">
        <v>623.66999999999996</v>
      </c>
    </row>
    <row r="26173" spans="1:8" customFormat="1" x14ac:dyDescent="0.25">
      <c r="A26173" t="str">
        <f>"618741"</f>
        <v>618741</v>
      </c>
      <c r="B26173" t="s">
        <v>6532</v>
      </c>
      <c r="C26173" t="s">
        <v>114</v>
      </c>
      <c r="D26173" s="21" t="s">
        <v>34</v>
      </c>
      <c r="E26173" s="21" t="s">
        <v>71</v>
      </c>
      <c r="F26173">
        <v>9610123</v>
      </c>
      <c r="G26173" t="s">
        <v>10458</v>
      </c>
      <c r="H26173" s="21">
        <v>623.66999999999996</v>
      </c>
    </row>
    <row r="26174" spans="1:8" customFormat="1" x14ac:dyDescent="0.25">
      <c r="A26174" t="str">
        <f>"131093"</f>
        <v>131093</v>
      </c>
      <c r="B26174" t="s">
        <v>14798</v>
      </c>
      <c r="C26174" t="s">
        <v>598</v>
      </c>
      <c r="D26174" s="21" t="s">
        <v>34</v>
      </c>
      <c r="E26174" s="21" t="s">
        <v>254</v>
      </c>
      <c r="F26174">
        <v>13130100</v>
      </c>
      <c r="G26174" t="s">
        <v>2893</v>
      </c>
      <c r="H26174" s="21">
        <v>623.66999999999996</v>
      </c>
    </row>
    <row r="26175" spans="1:8" customFormat="1" x14ac:dyDescent="0.25">
      <c r="A26175" t="str">
        <f>"6944464"</f>
        <v>6944464</v>
      </c>
      <c r="B26175" t="s">
        <v>6246</v>
      </c>
      <c r="C26175" t="s">
        <v>33</v>
      </c>
      <c r="D26175" s="21" t="s">
        <v>34</v>
      </c>
      <c r="E26175" s="21" t="s">
        <v>35</v>
      </c>
      <c r="F26175">
        <v>1690105</v>
      </c>
      <c r="G26175" t="s">
        <v>9580</v>
      </c>
      <c r="H26175" s="21">
        <v>623.66999999999996</v>
      </c>
    </row>
    <row r="26176" spans="1:8" customFormat="1" x14ac:dyDescent="0.25">
      <c r="A26176" t="str">
        <f>"9138538"</f>
        <v>9138538</v>
      </c>
      <c r="B26176" t="s">
        <v>19262</v>
      </c>
      <c r="C26176" t="s">
        <v>19263</v>
      </c>
      <c r="D26176" s="21" t="s">
        <v>34</v>
      </c>
      <c r="E26176" s="21" t="s">
        <v>35</v>
      </c>
      <c r="F26176">
        <v>8771202</v>
      </c>
      <c r="G26176" t="s">
        <v>10223</v>
      </c>
      <c r="H26176" s="21">
        <v>623.66999999999996</v>
      </c>
    </row>
    <row r="26177" spans="1:8" customFormat="1" x14ac:dyDescent="0.25">
      <c r="A26177" t="str">
        <f>"618386"</f>
        <v>618386</v>
      </c>
      <c r="B26177" t="s">
        <v>4728</v>
      </c>
      <c r="C26177" t="s">
        <v>187</v>
      </c>
      <c r="D26177" s="21" t="s">
        <v>34</v>
      </c>
      <c r="E26177" s="21" t="s">
        <v>71</v>
      </c>
      <c r="F26177">
        <v>9610095</v>
      </c>
      <c r="G26177" t="s">
        <v>4870</v>
      </c>
      <c r="H26177" s="21">
        <v>623.66999999999996</v>
      </c>
    </row>
    <row r="26178" spans="1:8" customFormat="1" x14ac:dyDescent="0.25">
      <c r="A26178" t="str">
        <f>"4934938"</f>
        <v>4934938</v>
      </c>
      <c r="B26178" t="s">
        <v>20036</v>
      </c>
      <c r="C26178" t="s">
        <v>302</v>
      </c>
      <c r="D26178" s="21" t="s">
        <v>34</v>
      </c>
      <c r="E26178" s="21" t="s">
        <v>35</v>
      </c>
      <c r="F26178">
        <v>12490061</v>
      </c>
      <c r="G26178" t="s">
        <v>969</v>
      </c>
      <c r="H26178" s="21">
        <v>623.66999999999996</v>
      </c>
    </row>
    <row r="26179" spans="1:8" customFormat="1" x14ac:dyDescent="0.25">
      <c r="A26179" t="str">
        <f>"2112056"</f>
        <v>2112056</v>
      </c>
      <c r="B26179" t="s">
        <v>17777</v>
      </c>
      <c r="C26179" t="s">
        <v>87</v>
      </c>
      <c r="D26179" s="21" t="s">
        <v>34</v>
      </c>
      <c r="E26179" s="21" t="s">
        <v>35</v>
      </c>
      <c r="F26179">
        <v>2210029</v>
      </c>
      <c r="G26179" t="s">
        <v>6983</v>
      </c>
      <c r="H26179" s="21">
        <v>623.66999999999996</v>
      </c>
    </row>
    <row r="26180" spans="1:8" customFormat="1" x14ac:dyDescent="0.25">
      <c r="A26180" t="str">
        <f>"5970956"</f>
        <v>5970956</v>
      </c>
      <c r="B26180" t="s">
        <v>3759</v>
      </c>
      <c r="C26180" t="s">
        <v>211</v>
      </c>
      <c r="D26180" s="21" t="s">
        <v>34</v>
      </c>
      <c r="E26180" s="21" t="s">
        <v>35</v>
      </c>
      <c r="F26180">
        <v>7590005</v>
      </c>
      <c r="G26180" t="s">
        <v>540</v>
      </c>
      <c r="H26180" s="21">
        <v>623.66999999999996</v>
      </c>
    </row>
    <row r="26181" spans="1:8" customFormat="1" x14ac:dyDescent="0.25">
      <c r="A26181" t="str">
        <f>"856400"</f>
        <v>856400</v>
      </c>
      <c r="B26181" t="s">
        <v>17857</v>
      </c>
      <c r="C26181" t="s">
        <v>269</v>
      </c>
      <c r="D26181" s="21" t="s">
        <v>34</v>
      </c>
      <c r="E26181" s="21" t="s">
        <v>71</v>
      </c>
      <c r="F26181">
        <v>12850016</v>
      </c>
      <c r="G26181" t="s">
        <v>26554</v>
      </c>
      <c r="H26181" s="21">
        <v>623.66999999999996</v>
      </c>
    </row>
    <row r="26182" spans="1:8" customFormat="1" x14ac:dyDescent="0.25">
      <c r="A26182" t="str">
        <f>"4457769"</f>
        <v>4457769</v>
      </c>
      <c r="B26182" t="s">
        <v>5380</v>
      </c>
      <c r="C26182" t="s">
        <v>40</v>
      </c>
      <c r="D26182" s="21" t="s">
        <v>34</v>
      </c>
      <c r="E26182" s="21" t="s">
        <v>71</v>
      </c>
      <c r="F26182">
        <v>12440094</v>
      </c>
      <c r="G26182" t="s">
        <v>892</v>
      </c>
      <c r="H26182" s="21">
        <v>623.66999999999996</v>
      </c>
    </row>
    <row r="26183" spans="1:8" customFormat="1" x14ac:dyDescent="0.25">
      <c r="A26183" t="str">
        <f>"771785"</f>
        <v>771785</v>
      </c>
      <c r="B26183" t="s">
        <v>1301</v>
      </c>
      <c r="C26183" t="s">
        <v>249</v>
      </c>
      <c r="D26183" s="21" t="s">
        <v>34</v>
      </c>
      <c r="E26183" s="21" t="s">
        <v>71</v>
      </c>
      <c r="F26183">
        <v>8770937</v>
      </c>
      <c r="G26183" t="s">
        <v>2119</v>
      </c>
      <c r="H26183" s="21">
        <v>623.66999999999996</v>
      </c>
    </row>
    <row r="26184" spans="1:8" customFormat="1" x14ac:dyDescent="0.25">
      <c r="A26184" t="str">
        <f>"9447684"</f>
        <v>9447684</v>
      </c>
      <c r="B26184" t="s">
        <v>27894</v>
      </c>
      <c r="C26184" t="s">
        <v>236</v>
      </c>
      <c r="D26184" s="21" t="s">
        <v>34</v>
      </c>
      <c r="E26184" s="21" t="s">
        <v>71</v>
      </c>
      <c r="F26184">
        <v>8941461</v>
      </c>
      <c r="G26184" t="s">
        <v>10447</v>
      </c>
      <c r="H26184" s="21">
        <v>623.66999999999996</v>
      </c>
    </row>
    <row r="26185" spans="1:8" customFormat="1" x14ac:dyDescent="0.25">
      <c r="A26185" t="str">
        <f>"551713"</f>
        <v>551713</v>
      </c>
      <c r="B26185" t="s">
        <v>2459</v>
      </c>
      <c r="C26185" t="s">
        <v>198</v>
      </c>
      <c r="D26185" s="21" t="s">
        <v>34</v>
      </c>
      <c r="E26185" s="21" t="s">
        <v>71</v>
      </c>
      <c r="F26185">
        <v>6550013</v>
      </c>
      <c r="G26185" t="s">
        <v>8047</v>
      </c>
      <c r="H26185" s="21">
        <v>623.66999999999996</v>
      </c>
    </row>
    <row r="26186" spans="1:8" customFormat="1" x14ac:dyDescent="0.25">
      <c r="A26186" t="str">
        <f>"7220502"</f>
        <v>7220502</v>
      </c>
      <c r="B26186" t="s">
        <v>20854</v>
      </c>
      <c r="C26186" t="s">
        <v>462</v>
      </c>
      <c r="D26186" s="21" t="s">
        <v>34</v>
      </c>
      <c r="E26186" s="21" t="s">
        <v>71</v>
      </c>
      <c r="F26186">
        <v>12720042</v>
      </c>
      <c r="G26186" t="s">
        <v>922</v>
      </c>
      <c r="H26186" s="21">
        <v>623.66999999999996</v>
      </c>
    </row>
    <row r="26187" spans="1:8" customFormat="1" x14ac:dyDescent="0.25">
      <c r="A26187" t="str">
        <f>"772603"</f>
        <v>772603</v>
      </c>
      <c r="B26187" t="s">
        <v>22642</v>
      </c>
      <c r="C26187" t="s">
        <v>249</v>
      </c>
      <c r="D26187" s="21" t="s">
        <v>34</v>
      </c>
      <c r="E26187" s="21" t="s">
        <v>71</v>
      </c>
      <c r="F26187">
        <v>8911083</v>
      </c>
      <c r="G26187" t="s">
        <v>7357</v>
      </c>
      <c r="H26187" s="21">
        <v>623.66999999999996</v>
      </c>
    </row>
    <row r="26188" spans="1:8" customFormat="1" x14ac:dyDescent="0.25">
      <c r="A26188" t="str">
        <f>"5953090"</f>
        <v>5953090</v>
      </c>
      <c r="B26188" t="s">
        <v>18946</v>
      </c>
      <c r="C26188" t="s">
        <v>130</v>
      </c>
      <c r="D26188" s="21" t="s">
        <v>34</v>
      </c>
      <c r="E26188" s="21" t="s">
        <v>71</v>
      </c>
      <c r="F26188">
        <v>7590009</v>
      </c>
      <c r="G26188" t="s">
        <v>535</v>
      </c>
      <c r="H26188" s="21">
        <v>623.66999999999996</v>
      </c>
    </row>
    <row r="26189" spans="1:8" customFormat="1" x14ac:dyDescent="0.25">
      <c r="A26189" t="str">
        <f>"6937925"</f>
        <v>6937925</v>
      </c>
      <c r="B26189" t="s">
        <v>19401</v>
      </c>
      <c r="C26189" t="s">
        <v>486</v>
      </c>
      <c r="D26189" s="21" t="s">
        <v>34</v>
      </c>
      <c r="E26189" s="21" t="s">
        <v>35</v>
      </c>
      <c r="F26189">
        <v>1690197</v>
      </c>
      <c r="G26189" t="s">
        <v>26849</v>
      </c>
      <c r="H26189" s="21">
        <v>623.66999999999996</v>
      </c>
    </row>
    <row r="26190" spans="1:8" customFormat="1" x14ac:dyDescent="0.25">
      <c r="A26190" t="str">
        <f>"703219"</f>
        <v>703219</v>
      </c>
      <c r="B26190" t="s">
        <v>208</v>
      </c>
      <c r="C26190" t="s">
        <v>547</v>
      </c>
      <c r="D26190" s="21" t="s">
        <v>34</v>
      </c>
      <c r="E26190" s="21" t="s">
        <v>254</v>
      </c>
      <c r="F26190">
        <v>2700085</v>
      </c>
      <c r="G26190" t="s">
        <v>7691</v>
      </c>
      <c r="H26190" s="21">
        <v>623.66999999999996</v>
      </c>
    </row>
    <row r="26191" spans="1:8" customFormat="1" x14ac:dyDescent="0.25">
      <c r="A26191" t="str">
        <f>"7640450"</f>
        <v>7640450</v>
      </c>
      <c r="B26191" t="s">
        <v>20600</v>
      </c>
      <c r="C26191" t="s">
        <v>60</v>
      </c>
      <c r="D26191" s="21" t="s">
        <v>34</v>
      </c>
      <c r="E26191" s="21" t="s">
        <v>35</v>
      </c>
      <c r="F26191">
        <v>9760201</v>
      </c>
      <c r="G26191" t="s">
        <v>11358</v>
      </c>
      <c r="H26191" s="21">
        <v>623.66999999999996</v>
      </c>
    </row>
    <row r="26192" spans="1:8" customFormat="1" x14ac:dyDescent="0.25">
      <c r="A26192" t="str">
        <f>"3529873"</f>
        <v>3529873</v>
      </c>
      <c r="B26192" t="s">
        <v>6933</v>
      </c>
      <c r="C26192" t="s">
        <v>20467</v>
      </c>
      <c r="D26192" s="21" t="s">
        <v>34</v>
      </c>
      <c r="E26192" s="21" t="s">
        <v>71</v>
      </c>
      <c r="F26192">
        <v>3350030</v>
      </c>
      <c r="G26192" t="s">
        <v>4549</v>
      </c>
      <c r="H26192" s="21">
        <v>623.54</v>
      </c>
    </row>
    <row r="26193" spans="1:8" customFormat="1" x14ac:dyDescent="0.25">
      <c r="A26193" t="str">
        <f>"641606"</f>
        <v>641606</v>
      </c>
      <c r="B26193" t="s">
        <v>19723</v>
      </c>
      <c r="C26193" t="s">
        <v>209</v>
      </c>
      <c r="D26193" s="21" t="s">
        <v>34</v>
      </c>
      <c r="E26193" s="21" t="s">
        <v>35</v>
      </c>
      <c r="F26193">
        <v>10640008</v>
      </c>
      <c r="G26193" t="s">
        <v>1694</v>
      </c>
      <c r="H26193" s="21">
        <v>623.41999999999996</v>
      </c>
    </row>
    <row r="26194" spans="1:8" customFormat="1" x14ac:dyDescent="0.25">
      <c r="A26194" t="str">
        <f>"443132"</f>
        <v>443132</v>
      </c>
      <c r="B26194" t="s">
        <v>18361</v>
      </c>
      <c r="C26194" t="s">
        <v>209</v>
      </c>
      <c r="D26194" s="21" t="s">
        <v>34</v>
      </c>
      <c r="E26194" s="21" t="s">
        <v>254</v>
      </c>
      <c r="F26194">
        <v>12440105</v>
      </c>
      <c r="G26194" t="s">
        <v>594</v>
      </c>
      <c r="H26194" s="21">
        <v>623.41999999999996</v>
      </c>
    </row>
    <row r="26195" spans="1:8" customFormat="1" x14ac:dyDescent="0.25">
      <c r="A26195" t="str">
        <f>"106249"</f>
        <v>106249</v>
      </c>
      <c r="B26195" t="s">
        <v>650</v>
      </c>
      <c r="C26195" t="s">
        <v>305</v>
      </c>
      <c r="D26195" s="21" t="s">
        <v>34</v>
      </c>
      <c r="E26195" s="21" t="s">
        <v>35</v>
      </c>
      <c r="F26195">
        <v>6100041</v>
      </c>
      <c r="G26195" t="s">
        <v>14552</v>
      </c>
      <c r="H26195" s="21">
        <v>623.41999999999996</v>
      </c>
    </row>
    <row r="26196" spans="1:8" customFormat="1" x14ac:dyDescent="0.25">
      <c r="A26196" t="str">
        <f>"5944839"</f>
        <v>5944839</v>
      </c>
      <c r="B26196" t="s">
        <v>16898</v>
      </c>
      <c r="C26196" t="s">
        <v>576</v>
      </c>
      <c r="D26196" s="21" t="s">
        <v>34</v>
      </c>
      <c r="E26196" s="21" t="s">
        <v>35</v>
      </c>
      <c r="F26196">
        <v>7590244</v>
      </c>
      <c r="G26196" t="s">
        <v>5768</v>
      </c>
      <c r="H26196" s="21">
        <v>623.16999999999996</v>
      </c>
    </row>
    <row r="26197" spans="1:8" customFormat="1" x14ac:dyDescent="0.25">
      <c r="A26197" t="str">
        <f>"7613044"</f>
        <v>7613044</v>
      </c>
      <c r="B26197" t="s">
        <v>8455</v>
      </c>
      <c r="C26197" t="s">
        <v>428</v>
      </c>
      <c r="D26197" s="21" t="s">
        <v>34</v>
      </c>
      <c r="E26197" s="21" t="s">
        <v>71</v>
      </c>
      <c r="F26197">
        <v>9760269</v>
      </c>
      <c r="G26197" t="s">
        <v>10282</v>
      </c>
      <c r="H26197" s="21">
        <v>623.16999999999996</v>
      </c>
    </row>
    <row r="26198" spans="1:8" customFormat="1" x14ac:dyDescent="0.25">
      <c r="A26198" t="str">
        <f>"388925"</f>
        <v>388925</v>
      </c>
      <c r="B26198" t="s">
        <v>1611</v>
      </c>
      <c r="C26198" t="s">
        <v>1142</v>
      </c>
      <c r="D26198" s="21" t="s">
        <v>34</v>
      </c>
      <c r="E26198" s="21" t="s">
        <v>254</v>
      </c>
      <c r="F26198">
        <v>12850026</v>
      </c>
      <c r="G26198" t="s">
        <v>1400</v>
      </c>
      <c r="H26198" s="21">
        <v>623.16999999999996</v>
      </c>
    </row>
    <row r="26199" spans="1:8" customFormat="1" x14ac:dyDescent="0.25">
      <c r="A26199" t="str">
        <f>"6225579"</f>
        <v>6225579</v>
      </c>
      <c r="B26199" t="s">
        <v>2919</v>
      </c>
      <c r="C26199" t="s">
        <v>486</v>
      </c>
      <c r="D26199" s="21" t="s">
        <v>34</v>
      </c>
      <c r="E26199" s="21" t="s">
        <v>35</v>
      </c>
      <c r="F26199">
        <v>7620047</v>
      </c>
      <c r="G26199" t="s">
        <v>16200</v>
      </c>
      <c r="H26199" s="21">
        <v>623.16999999999996</v>
      </c>
    </row>
    <row r="26200" spans="1:8" customFormat="1" x14ac:dyDescent="0.25">
      <c r="A26200" t="str">
        <f>"5977821"</f>
        <v>5977821</v>
      </c>
      <c r="B26200" t="s">
        <v>27895</v>
      </c>
      <c r="C26200" t="s">
        <v>2529</v>
      </c>
      <c r="D26200" s="21" t="s">
        <v>34</v>
      </c>
      <c r="E26200" s="21" t="s">
        <v>35</v>
      </c>
      <c r="F26200">
        <v>7590260</v>
      </c>
      <c r="G26200" t="s">
        <v>3043</v>
      </c>
      <c r="H26200" s="21">
        <v>623.16999999999996</v>
      </c>
    </row>
    <row r="26201" spans="1:8" customFormat="1" x14ac:dyDescent="0.25">
      <c r="A26201" t="str">
        <f>"419400"</f>
        <v>419400</v>
      </c>
      <c r="B26201" t="s">
        <v>461</v>
      </c>
      <c r="C26201" t="s">
        <v>269</v>
      </c>
      <c r="D26201" s="21" t="s">
        <v>34</v>
      </c>
      <c r="E26201" s="21" t="s">
        <v>71</v>
      </c>
      <c r="F26201">
        <v>4410279</v>
      </c>
      <c r="G26201" t="s">
        <v>3499</v>
      </c>
      <c r="H26201" s="21">
        <v>623.16999999999996</v>
      </c>
    </row>
    <row r="26202" spans="1:8" customFormat="1" x14ac:dyDescent="0.25">
      <c r="A26202" t="str">
        <f>"478203"</f>
        <v>478203</v>
      </c>
      <c r="B26202" t="s">
        <v>3179</v>
      </c>
      <c r="C26202" t="s">
        <v>528</v>
      </c>
      <c r="D26202" s="21" t="s">
        <v>34</v>
      </c>
      <c r="E26202" s="21" t="s">
        <v>254</v>
      </c>
      <c r="F26202">
        <v>10470001</v>
      </c>
      <c r="G26202" t="s">
        <v>391</v>
      </c>
      <c r="H26202" s="21">
        <v>623.16999999999996</v>
      </c>
    </row>
    <row r="26203" spans="1:8" customFormat="1" x14ac:dyDescent="0.25">
      <c r="A26203" t="str">
        <f>"7513549"</f>
        <v>7513549</v>
      </c>
      <c r="B26203" t="s">
        <v>19708</v>
      </c>
      <c r="C26203" t="s">
        <v>60</v>
      </c>
      <c r="D26203" s="21" t="s">
        <v>34</v>
      </c>
      <c r="E26203" s="21" t="s">
        <v>35</v>
      </c>
      <c r="F26203">
        <v>8751231</v>
      </c>
      <c r="G26203" t="s">
        <v>12843</v>
      </c>
      <c r="H26203" s="21">
        <v>623.16999999999996</v>
      </c>
    </row>
    <row r="26204" spans="1:8" customFormat="1" x14ac:dyDescent="0.25">
      <c r="A26204" t="str">
        <f>"407914"</f>
        <v>407914</v>
      </c>
      <c r="B26204" t="s">
        <v>5109</v>
      </c>
      <c r="C26204" t="s">
        <v>169</v>
      </c>
      <c r="D26204" s="21" t="s">
        <v>34</v>
      </c>
      <c r="E26204" s="21" t="s">
        <v>71</v>
      </c>
      <c r="F26204">
        <v>10400010</v>
      </c>
      <c r="G26204" t="s">
        <v>2446</v>
      </c>
      <c r="H26204" s="21">
        <v>623.16999999999996</v>
      </c>
    </row>
    <row r="26205" spans="1:8" customFormat="1" x14ac:dyDescent="0.25">
      <c r="A26205" t="str">
        <f>"506963"</f>
        <v>506963</v>
      </c>
      <c r="B26205" t="s">
        <v>776</v>
      </c>
      <c r="C26205" t="s">
        <v>1110</v>
      </c>
      <c r="D26205" s="21" t="s">
        <v>34</v>
      </c>
      <c r="E26205" s="21" t="s">
        <v>254</v>
      </c>
      <c r="F26205">
        <v>9500163</v>
      </c>
      <c r="G26205" t="s">
        <v>2750</v>
      </c>
      <c r="H26205" s="21">
        <v>623.16999999999996</v>
      </c>
    </row>
    <row r="26206" spans="1:8" customFormat="1" x14ac:dyDescent="0.25">
      <c r="A26206" t="str">
        <f>"788977"</f>
        <v>788977</v>
      </c>
      <c r="B26206" t="s">
        <v>17960</v>
      </c>
      <c r="C26206" t="s">
        <v>109</v>
      </c>
      <c r="D26206" s="21" t="s">
        <v>34</v>
      </c>
      <c r="E26206" s="21" t="s">
        <v>71</v>
      </c>
      <c r="F26206">
        <v>8781473</v>
      </c>
      <c r="G26206" t="s">
        <v>1097</v>
      </c>
      <c r="H26206" s="21">
        <v>623.16999999999996</v>
      </c>
    </row>
    <row r="26207" spans="1:8" customFormat="1" x14ac:dyDescent="0.25">
      <c r="A26207" t="str">
        <f>"7721447"</f>
        <v>7721447</v>
      </c>
      <c r="B26207" t="s">
        <v>1143</v>
      </c>
      <c r="C26207" t="s">
        <v>246</v>
      </c>
      <c r="D26207" s="21" t="s">
        <v>34</v>
      </c>
      <c r="E26207" s="21" t="s">
        <v>71</v>
      </c>
      <c r="F26207">
        <v>8771202</v>
      </c>
      <c r="G26207" t="s">
        <v>10223</v>
      </c>
      <c r="H26207" s="21">
        <v>623.16999999999996</v>
      </c>
    </row>
    <row r="26208" spans="1:8" customFormat="1" x14ac:dyDescent="0.25">
      <c r="A26208" t="str">
        <f>"8316658"</f>
        <v>8316658</v>
      </c>
      <c r="B26208" t="s">
        <v>18397</v>
      </c>
      <c r="C26208" t="s">
        <v>719</v>
      </c>
      <c r="D26208" s="21" t="s">
        <v>34</v>
      </c>
      <c r="E26208" s="21" t="s">
        <v>35</v>
      </c>
      <c r="F26208">
        <v>13830090</v>
      </c>
      <c r="G26208" t="s">
        <v>1535</v>
      </c>
      <c r="H26208" s="21">
        <v>623.16999999999996</v>
      </c>
    </row>
    <row r="26209" spans="1:8" customFormat="1" x14ac:dyDescent="0.25">
      <c r="A26209" t="str">
        <f>"594415"</f>
        <v>594415</v>
      </c>
      <c r="B26209" t="s">
        <v>623</v>
      </c>
      <c r="C26209" t="s">
        <v>8861</v>
      </c>
      <c r="D26209" s="21" t="s">
        <v>34</v>
      </c>
      <c r="E26209" s="21" t="s">
        <v>1089</v>
      </c>
      <c r="F26209">
        <v>7590271</v>
      </c>
      <c r="G26209" t="s">
        <v>3163</v>
      </c>
      <c r="H26209" s="21">
        <v>623</v>
      </c>
    </row>
    <row r="26210" spans="1:8" customFormat="1" x14ac:dyDescent="0.25">
      <c r="A26210" t="str">
        <f>"8314549"</f>
        <v>8314549</v>
      </c>
      <c r="B26210" t="s">
        <v>17863</v>
      </c>
      <c r="C26210" t="s">
        <v>302</v>
      </c>
      <c r="D26210" s="21" t="s">
        <v>34</v>
      </c>
      <c r="E26210" s="21" t="s">
        <v>35</v>
      </c>
      <c r="F26210">
        <v>10330036</v>
      </c>
      <c r="G26210" t="s">
        <v>6209</v>
      </c>
      <c r="H26210" s="21">
        <v>622.91999999999996</v>
      </c>
    </row>
    <row r="26211" spans="1:8" customFormat="1" x14ac:dyDescent="0.25">
      <c r="A26211" t="str">
        <f>"3343032"</f>
        <v>3343032</v>
      </c>
      <c r="B26211" t="s">
        <v>3089</v>
      </c>
      <c r="C26211" t="s">
        <v>211</v>
      </c>
      <c r="D26211" s="21" t="s">
        <v>34</v>
      </c>
      <c r="E26211" s="21" t="s">
        <v>35</v>
      </c>
      <c r="F26211">
        <v>10330099</v>
      </c>
      <c r="G26211" t="s">
        <v>10670</v>
      </c>
      <c r="H26211" s="21">
        <v>622.91999999999996</v>
      </c>
    </row>
    <row r="26212" spans="1:8" customFormat="1" x14ac:dyDescent="0.25">
      <c r="A26212" t="str">
        <f>"729517"</f>
        <v>729517</v>
      </c>
      <c r="B26212" t="s">
        <v>2738</v>
      </c>
      <c r="C26212" t="s">
        <v>1705</v>
      </c>
      <c r="D26212" s="21" t="s">
        <v>34</v>
      </c>
      <c r="E26212" s="21" t="s">
        <v>71</v>
      </c>
      <c r="F26212">
        <v>12720027</v>
      </c>
      <c r="G26212" t="s">
        <v>3562</v>
      </c>
      <c r="H26212" s="21">
        <v>622.91999999999996</v>
      </c>
    </row>
    <row r="26213" spans="1:8" customFormat="1" x14ac:dyDescent="0.25">
      <c r="A26213" t="str">
        <f>"898673"</f>
        <v>898673</v>
      </c>
      <c r="B26213" t="s">
        <v>19005</v>
      </c>
      <c r="C26213" t="s">
        <v>269</v>
      </c>
      <c r="D26213" s="21" t="s">
        <v>34</v>
      </c>
      <c r="E26213" s="21" t="s">
        <v>71</v>
      </c>
      <c r="F26213">
        <v>2890062</v>
      </c>
      <c r="G26213" t="s">
        <v>9283</v>
      </c>
      <c r="H26213" s="21">
        <v>622.91999999999996</v>
      </c>
    </row>
    <row r="26214" spans="1:8" customFormat="1" x14ac:dyDescent="0.25">
      <c r="A26214" t="str">
        <f>"7879828"</f>
        <v>7879828</v>
      </c>
      <c r="B26214" t="s">
        <v>22369</v>
      </c>
      <c r="C26214" t="s">
        <v>40</v>
      </c>
      <c r="D26214" s="21" t="s">
        <v>34</v>
      </c>
      <c r="E26214" s="21" t="s">
        <v>254</v>
      </c>
      <c r="F26214">
        <v>8780447</v>
      </c>
      <c r="G26214" t="s">
        <v>9215</v>
      </c>
      <c r="H26214" s="21">
        <v>622.79</v>
      </c>
    </row>
    <row r="26215" spans="1:8" customFormat="1" x14ac:dyDescent="0.25">
      <c r="A26215" t="str">
        <f>"518730"</f>
        <v>518730</v>
      </c>
      <c r="B26215" t="s">
        <v>18089</v>
      </c>
      <c r="C26215" t="s">
        <v>1146</v>
      </c>
      <c r="D26215" s="21" t="s">
        <v>34</v>
      </c>
      <c r="E26215" s="21" t="s">
        <v>71</v>
      </c>
      <c r="F26215">
        <v>6510009</v>
      </c>
      <c r="G26215" t="s">
        <v>26950</v>
      </c>
      <c r="H26215" s="21">
        <v>622.66999999999996</v>
      </c>
    </row>
    <row r="26216" spans="1:8" customFormat="1" x14ac:dyDescent="0.25">
      <c r="A26216" t="str">
        <f>"4937509"</f>
        <v>4937509</v>
      </c>
      <c r="B26216" t="s">
        <v>11944</v>
      </c>
      <c r="C26216" t="s">
        <v>55</v>
      </c>
      <c r="D26216" s="21" t="s">
        <v>34</v>
      </c>
      <c r="E26216" s="21" t="s">
        <v>71</v>
      </c>
      <c r="F26216">
        <v>12490106</v>
      </c>
      <c r="G26216" t="s">
        <v>4555</v>
      </c>
      <c r="H26216" s="21">
        <v>622.66999999999996</v>
      </c>
    </row>
    <row r="26217" spans="1:8" customFormat="1" x14ac:dyDescent="0.25">
      <c r="A26217" t="str">
        <f>"7879967"</f>
        <v>7879967</v>
      </c>
      <c r="B26217" t="s">
        <v>22719</v>
      </c>
      <c r="C26217" t="s">
        <v>33</v>
      </c>
      <c r="D26217" s="21" t="s">
        <v>34</v>
      </c>
      <c r="E26217" s="21" t="s">
        <v>35</v>
      </c>
      <c r="F26217">
        <v>8781468</v>
      </c>
      <c r="G26217" t="s">
        <v>27832</v>
      </c>
      <c r="H26217" s="21">
        <v>622.66999999999996</v>
      </c>
    </row>
    <row r="26218" spans="1:8" customFormat="1" x14ac:dyDescent="0.25">
      <c r="A26218" t="str">
        <f>"644019"</f>
        <v>644019</v>
      </c>
      <c r="B26218" t="s">
        <v>17430</v>
      </c>
      <c r="C26218" t="s">
        <v>2520</v>
      </c>
      <c r="D26218" s="21" t="s">
        <v>34</v>
      </c>
      <c r="E26218" s="21" t="s">
        <v>1089</v>
      </c>
      <c r="F26218">
        <v>10640014</v>
      </c>
      <c r="G26218" t="s">
        <v>3327</v>
      </c>
      <c r="H26218" s="21">
        <v>622.66999999999996</v>
      </c>
    </row>
    <row r="26219" spans="1:8" customFormat="1" x14ac:dyDescent="0.25">
      <c r="A26219" t="str">
        <f>"866900"</f>
        <v>866900</v>
      </c>
      <c r="B26219" t="s">
        <v>19939</v>
      </c>
      <c r="C26219" t="s">
        <v>233</v>
      </c>
      <c r="D26219" s="21" t="s">
        <v>34</v>
      </c>
      <c r="E26219" s="21" t="s">
        <v>71</v>
      </c>
      <c r="F26219">
        <v>10860213</v>
      </c>
      <c r="G26219" t="s">
        <v>17902</v>
      </c>
      <c r="H26219" s="21">
        <v>622.66999999999996</v>
      </c>
    </row>
    <row r="26220" spans="1:8" customFormat="1" x14ac:dyDescent="0.25">
      <c r="A26220" t="str">
        <f>"9D2373"</f>
        <v>9D2373</v>
      </c>
      <c r="B26220" t="s">
        <v>650</v>
      </c>
      <c r="C26220" t="s">
        <v>934</v>
      </c>
      <c r="D26220" s="21" t="s">
        <v>34</v>
      </c>
      <c r="E26220" s="21" t="s">
        <v>35</v>
      </c>
      <c r="F26220">
        <v>12440206</v>
      </c>
      <c r="G26220" t="s">
        <v>10374</v>
      </c>
      <c r="H26220" s="21">
        <v>622.66999999999996</v>
      </c>
    </row>
    <row r="26221" spans="1:8" customFormat="1" x14ac:dyDescent="0.25">
      <c r="A26221" t="str">
        <f>"604252"</f>
        <v>604252</v>
      </c>
      <c r="B26221" t="s">
        <v>1737</v>
      </c>
      <c r="C26221" t="s">
        <v>33</v>
      </c>
      <c r="D26221" s="21" t="s">
        <v>34</v>
      </c>
      <c r="E26221" s="21" t="s">
        <v>71</v>
      </c>
      <c r="F26221">
        <v>7600015</v>
      </c>
      <c r="G26221" t="s">
        <v>8343</v>
      </c>
      <c r="H26221" s="21">
        <v>622.66999999999996</v>
      </c>
    </row>
    <row r="26222" spans="1:8" customFormat="1" x14ac:dyDescent="0.25">
      <c r="A26222" t="str">
        <f>"5975466"</f>
        <v>5975466</v>
      </c>
      <c r="B26222" t="s">
        <v>20736</v>
      </c>
      <c r="C26222" t="s">
        <v>43</v>
      </c>
      <c r="D26222" s="21" t="s">
        <v>34</v>
      </c>
      <c r="E26222" s="21" t="s">
        <v>35</v>
      </c>
      <c r="F26222">
        <v>7590400</v>
      </c>
      <c r="G26222" t="s">
        <v>26692</v>
      </c>
      <c r="H26222" s="21">
        <v>622.66999999999996</v>
      </c>
    </row>
    <row r="26223" spans="1:8" customFormat="1" x14ac:dyDescent="0.25">
      <c r="A26223" t="str">
        <f>"429738"</f>
        <v>429738</v>
      </c>
      <c r="B26223" t="s">
        <v>1886</v>
      </c>
      <c r="C26223" t="s">
        <v>114</v>
      </c>
      <c r="D26223" s="21" t="s">
        <v>34</v>
      </c>
      <c r="E26223" s="21" t="s">
        <v>254</v>
      </c>
      <c r="F26223">
        <v>1420055</v>
      </c>
      <c r="G26223" t="s">
        <v>5421</v>
      </c>
      <c r="H26223" s="21">
        <v>622.66999999999996</v>
      </c>
    </row>
    <row r="26224" spans="1:8" customFormat="1" x14ac:dyDescent="0.25">
      <c r="A26224" t="str">
        <f>"364410"</f>
        <v>364410</v>
      </c>
      <c r="B26224" t="s">
        <v>3273</v>
      </c>
      <c r="C26224" t="s">
        <v>119</v>
      </c>
      <c r="D26224" s="21" t="s">
        <v>34</v>
      </c>
      <c r="E26224" s="21" t="s">
        <v>71</v>
      </c>
      <c r="F26224">
        <v>4360707</v>
      </c>
      <c r="G26224" t="s">
        <v>6621</v>
      </c>
      <c r="H26224" s="21">
        <v>622.66999999999996</v>
      </c>
    </row>
    <row r="26225" spans="1:8" customFormat="1" x14ac:dyDescent="0.25">
      <c r="A26225" t="str">
        <f>"0811952"</f>
        <v>0811952</v>
      </c>
      <c r="B26225" t="s">
        <v>19994</v>
      </c>
      <c r="C26225" t="s">
        <v>187</v>
      </c>
      <c r="D26225" s="21" t="s">
        <v>34</v>
      </c>
      <c r="E26225" s="21" t="s">
        <v>35</v>
      </c>
      <c r="F26225">
        <v>6080076</v>
      </c>
      <c r="G26225" t="s">
        <v>1767</v>
      </c>
      <c r="H26225" s="21">
        <v>622.66999999999996</v>
      </c>
    </row>
    <row r="26226" spans="1:8" customFormat="1" x14ac:dyDescent="0.25">
      <c r="A26226" t="str">
        <f>"44943"</f>
        <v>44943</v>
      </c>
      <c r="B26226" t="s">
        <v>4013</v>
      </c>
      <c r="C26226" t="s">
        <v>204</v>
      </c>
      <c r="D26226" s="21" t="s">
        <v>34</v>
      </c>
      <c r="E26226" s="21" t="s">
        <v>254</v>
      </c>
      <c r="F26226">
        <v>12440025</v>
      </c>
      <c r="G26226" t="s">
        <v>6675</v>
      </c>
      <c r="H26226" s="21">
        <v>622.66999999999996</v>
      </c>
    </row>
    <row r="26227" spans="1:8" customFormat="1" x14ac:dyDescent="0.25">
      <c r="A26227" t="str">
        <f>"81602"</f>
        <v>81602</v>
      </c>
      <c r="B26227" t="s">
        <v>17964</v>
      </c>
      <c r="C26227" t="s">
        <v>1142</v>
      </c>
      <c r="D26227" s="21" t="s">
        <v>34</v>
      </c>
      <c r="E26227" s="21" t="s">
        <v>1089</v>
      </c>
      <c r="F26227">
        <v>11810001</v>
      </c>
      <c r="G26227" t="s">
        <v>26998</v>
      </c>
      <c r="H26227" s="21">
        <v>622.66999999999996</v>
      </c>
    </row>
    <row r="26228" spans="1:8" customFormat="1" x14ac:dyDescent="0.25">
      <c r="A26228" t="str">
        <f>"8522064"</f>
        <v>8522064</v>
      </c>
      <c r="B26228" t="s">
        <v>19591</v>
      </c>
      <c r="C26228" t="s">
        <v>3648</v>
      </c>
      <c r="D26228" s="21" t="s">
        <v>34</v>
      </c>
      <c r="E26228" s="21" t="s">
        <v>254</v>
      </c>
      <c r="F26228">
        <v>12850012</v>
      </c>
      <c r="G26228" t="s">
        <v>1229</v>
      </c>
      <c r="H26228" s="21">
        <v>622.66999999999996</v>
      </c>
    </row>
    <row r="26229" spans="1:8" customFormat="1" x14ac:dyDescent="0.25">
      <c r="A26229" t="str">
        <f>"5972305"</f>
        <v>5972305</v>
      </c>
      <c r="B26229" t="s">
        <v>18783</v>
      </c>
      <c r="C26229" t="s">
        <v>239</v>
      </c>
      <c r="D26229" s="21" t="s">
        <v>34</v>
      </c>
      <c r="E26229" s="21" t="s">
        <v>35</v>
      </c>
      <c r="F26229">
        <v>7590231</v>
      </c>
      <c r="G26229" t="s">
        <v>207</v>
      </c>
      <c r="H26229" s="21">
        <v>622.66999999999996</v>
      </c>
    </row>
    <row r="26230" spans="1:8" customFormat="1" x14ac:dyDescent="0.25">
      <c r="A26230" t="str">
        <f>"6938180"</f>
        <v>6938180</v>
      </c>
      <c r="B26230" t="s">
        <v>13393</v>
      </c>
      <c r="C26230" t="s">
        <v>750</v>
      </c>
      <c r="D26230" s="21" t="s">
        <v>34</v>
      </c>
      <c r="E26230" s="21" t="s">
        <v>35</v>
      </c>
      <c r="F26230">
        <v>1690162</v>
      </c>
      <c r="G26230" t="s">
        <v>7358</v>
      </c>
      <c r="H26230" s="21">
        <v>622.66999999999996</v>
      </c>
    </row>
    <row r="26231" spans="1:8" customFormat="1" x14ac:dyDescent="0.25">
      <c r="A26231" t="str">
        <f>"196482"</f>
        <v>196482</v>
      </c>
      <c r="B26231" t="s">
        <v>431</v>
      </c>
      <c r="C26231" t="s">
        <v>87</v>
      </c>
      <c r="D26231" s="21" t="s">
        <v>34</v>
      </c>
      <c r="E26231" s="21" t="s">
        <v>35</v>
      </c>
      <c r="F26231">
        <v>10190134</v>
      </c>
      <c r="G26231" t="s">
        <v>27150</v>
      </c>
      <c r="H26231" s="21">
        <v>622.66999999999996</v>
      </c>
    </row>
    <row r="26232" spans="1:8" customFormat="1" x14ac:dyDescent="0.25">
      <c r="A26232" t="str">
        <f>"734559"</f>
        <v>734559</v>
      </c>
      <c r="B26232" t="s">
        <v>19228</v>
      </c>
      <c r="C26232" t="s">
        <v>2579</v>
      </c>
      <c r="D26232" s="21" t="s">
        <v>34</v>
      </c>
      <c r="E26232" s="21" t="s">
        <v>71</v>
      </c>
      <c r="F26232">
        <v>1730007</v>
      </c>
      <c r="G26232" t="s">
        <v>6989</v>
      </c>
      <c r="H26232" s="21">
        <v>622.66999999999996</v>
      </c>
    </row>
    <row r="26233" spans="1:8" customFormat="1" x14ac:dyDescent="0.25">
      <c r="A26233" t="str">
        <f>"2211225"</f>
        <v>2211225</v>
      </c>
      <c r="B26233" t="s">
        <v>6647</v>
      </c>
      <c r="C26233" t="s">
        <v>121</v>
      </c>
      <c r="D26233" s="21" t="s">
        <v>34</v>
      </c>
      <c r="E26233" s="21" t="s">
        <v>35</v>
      </c>
      <c r="F26233">
        <v>3220138</v>
      </c>
      <c r="G26233" t="s">
        <v>27804</v>
      </c>
      <c r="H26233" s="21">
        <v>622.66999999999996</v>
      </c>
    </row>
    <row r="26234" spans="1:8" customFormat="1" x14ac:dyDescent="0.25">
      <c r="A26234" t="str">
        <f>"7519200"</f>
        <v>7519200</v>
      </c>
      <c r="B26234" t="s">
        <v>17615</v>
      </c>
      <c r="C26234" t="s">
        <v>55</v>
      </c>
      <c r="D26234" s="21" t="s">
        <v>34</v>
      </c>
      <c r="E26234" s="21" t="s">
        <v>71</v>
      </c>
      <c r="F26234">
        <v>8751061</v>
      </c>
      <c r="G26234" t="s">
        <v>26628</v>
      </c>
      <c r="H26234" s="21">
        <v>622.66999999999996</v>
      </c>
    </row>
    <row r="26235" spans="1:8" customFormat="1" x14ac:dyDescent="0.25">
      <c r="A26235" t="str">
        <f>"9145184"</f>
        <v>9145184</v>
      </c>
      <c r="B26235" t="s">
        <v>22042</v>
      </c>
      <c r="C26235" t="s">
        <v>8546</v>
      </c>
      <c r="D26235" s="21" t="s">
        <v>34</v>
      </c>
      <c r="E26235" s="21" t="s">
        <v>35</v>
      </c>
      <c r="F26235">
        <v>8910667</v>
      </c>
      <c r="G26235" t="s">
        <v>2361</v>
      </c>
      <c r="H26235" s="21">
        <v>622.66999999999996</v>
      </c>
    </row>
    <row r="26236" spans="1:8" customFormat="1" x14ac:dyDescent="0.25">
      <c r="A26236" t="str">
        <f>"246715"</f>
        <v>246715</v>
      </c>
      <c r="B26236" t="s">
        <v>21077</v>
      </c>
      <c r="C26236" t="s">
        <v>712</v>
      </c>
      <c r="D26236" s="21" t="s">
        <v>34</v>
      </c>
      <c r="E26236" s="21" t="s">
        <v>71</v>
      </c>
      <c r="F26236">
        <v>10240030</v>
      </c>
      <c r="G26236" t="s">
        <v>8997</v>
      </c>
      <c r="H26236" s="21">
        <v>622.54</v>
      </c>
    </row>
    <row r="26237" spans="1:8" customFormat="1" x14ac:dyDescent="0.25">
      <c r="A26237" t="str">
        <f>"793662"</f>
        <v>793662</v>
      </c>
      <c r="B26237" t="s">
        <v>1611</v>
      </c>
      <c r="C26237" t="s">
        <v>267</v>
      </c>
      <c r="D26237" s="21" t="s">
        <v>34</v>
      </c>
      <c r="E26237" s="21" t="s">
        <v>254</v>
      </c>
      <c r="F26237">
        <v>10790002</v>
      </c>
      <c r="G26237" t="s">
        <v>6612</v>
      </c>
      <c r="H26237" s="21">
        <v>622.41999999999996</v>
      </c>
    </row>
    <row r="26238" spans="1:8" customFormat="1" x14ac:dyDescent="0.25">
      <c r="A26238" t="str">
        <f>"5318440"</f>
        <v>5318440</v>
      </c>
      <c r="B26238" t="s">
        <v>18922</v>
      </c>
      <c r="C26238" t="s">
        <v>547</v>
      </c>
      <c r="D26238" s="21" t="s">
        <v>34</v>
      </c>
      <c r="E26238" s="21" t="s">
        <v>254</v>
      </c>
      <c r="F26238">
        <v>12530093</v>
      </c>
      <c r="G26238" t="s">
        <v>7865</v>
      </c>
      <c r="H26238" s="21">
        <v>622.41999999999996</v>
      </c>
    </row>
    <row r="26239" spans="1:8" customFormat="1" x14ac:dyDescent="0.25">
      <c r="A26239" t="str">
        <f>"0610168"</f>
        <v>0610168</v>
      </c>
      <c r="B26239" t="s">
        <v>27896</v>
      </c>
      <c r="C26239" t="s">
        <v>267</v>
      </c>
      <c r="D26239" s="21" t="s">
        <v>34</v>
      </c>
      <c r="E26239" s="21" t="s">
        <v>254</v>
      </c>
      <c r="F26239">
        <v>13060090</v>
      </c>
      <c r="G26239" t="s">
        <v>1363</v>
      </c>
      <c r="H26239" s="21">
        <v>622.41999999999996</v>
      </c>
    </row>
    <row r="26240" spans="1:8" customFormat="1" x14ac:dyDescent="0.25">
      <c r="A26240" t="str">
        <f>"3113867"</f>
        <v>3113867</v>
      </c>
      <c r="B26240" t="s">
        <v>20284</v>
      </c>
      <c r="C26240" t="s">
        <v>269</v>
      </c>
      <c r="D26240" s="21" t="s">
        <v>34</v>
      </c>
      <c r="E26240" s="21" t="s">
        <v>71</v>
      </c>
      <c r="F26240">
        <v>11310123</v>
      </c>
      <c r="G26240" t="s">
        <v>3915</v>
      </c>
      <c r="H26240" s="21">
        <v>622.41999999999996</v>
      </c>
    </row>
    <row r="26241" spans="1:8" customFormat="1" x14ac:dyDescent="0.25">
      <c r="A26241" t="str">
        <f>"0811902"</f>
        <v>0811902</v>
      </c>
      <c r="B26241" t="s">
        <v>21198</v>
      </c>
      <c r="C26241" t="s">
        <v>462</v>
      </c>
      <c r="D26241" s="21" t="s">
        <v>34</v>
      </c>
      <c r="E26241" s="21" t="s">
        <v>71</v>
      </c>
      <c r="F26241">
        <v>6080072</v>
      </c>
      <c r="G26241" t="s">
        <v>6765</v>
      </c>
      <c r="H26241" s="21">
        <v>622.16999999999996</v>
      </c>
    </row>
    <row r="26242" spans="1:8" customFormat="1" x14ac:dyDescent="0.25">
      <c r="A26242" t="str">
        <f>"3720272"</f>
        <v>3720272</v>
      </c>
      <c r="B26242" t="s">
        <v>589</v>
      </c>
      <c r="C26242" t="s">
        <v>631</v>
      </c>
      <c r="D26242" s="21" t="s">
        <v>34</v>
      </c>
      <c r="E26242" s="21" t="s">
        <v>35</v>
      </c>
      <c r="F26242">
        <v>4370002</v>
      </c>
      <c r="G26242" t="s">
        <v>112</v>
      </c>
      <c r="H26242" s="21">
        <v>622.16999999999996</v>
      </c>
    </row>
    <row r="26243" spans="1:8" customFormat="1" x14ac:dyDescent="0.25">
      <c r="A26243" t="str">
        <f>"8522699"</f>
        <v>8522699</v>
      </c>
      <c r="B26243" t="s">
        <v>27897</v>
      </c>
      <c r="C26243" t="s">
        <v>275</v>
      </c>
      <c r="D26243" s="21" t="s">
        <v>34</v>
      </c>
      <c r="E26243" s="21" t="s">
        <v>35</v>
      </c>
      <c r="F26243">
        <v>12850104</v>
      </c>
      <c r="G26243" t="s">
        <v>6556</v>
      </c>
      <c r="H26243" s="21">
        <v>622.16999999999996</v>
      </c>
    </row>
    <row r="26244" spans="1:8" customFormat="1" x14ac:dyDescent="0.25">
      <c r="A26244" t="str">
        <f>"5969007"</f>
        <v>5969007</v>
      </c>
      <c r="B26244" t="s">
        <v>5315</v>
      </c>
      <c r="C26244" t="s">
        <v>1199</v>
      </c>
      <c r="D26244" s="21" t="s">
        <v>34</v>
      </c>
      <c r="E26244" s="21" t="s">
        <v>35</v>
      </c>
      <c r="F26244">
        <v>7590137</v>
      </c>
      <c r="G26244" t="s">
        <v>4246</v>
      </c>
      <c r="H26244" s="21">
        <v>622.16999999999996</v>
      </c>
    </row>
    <row r="26245" spans="1:8" customFormat="1" x14ac:dyDescent="0.25">
      <c r="A26245" t="str">
        <f>"8314899"</f>
        <v>8314899</v>
      </c>
      <c r="B26245" t="s">
        <v>20247</v>
      </c>
      <c r="C26245" t="s">
        <v>2734</v>
      </c>
      <c r="D26245" s="21" t="s">
        <v>34</v>
      </c>
      <c r="E26245" s="21" t="s">
        <v>35</v>
      </c>
      <c r="F26245">
        <v>13830087</v>
      </c>
      <c r="G26245" t="s">
        <v>11264</v>
      </c>
      <c r="H26245" s="21">
        <v>622.16999999999996</v>
      </c>
    </row>
    <row r="26246" spans="1:8" customFormat="1" x14ac:dyDescent="0.25">
      <c r="A26246" t="str">
        <f>"534255"</f>
        <v>534255</v>
      </c>
      <c r="B26246" t="s">
        <v>5972</v>
      </c>
      <c r="C26246" t="s">
        <v>415</v>
      </c>
      <c r="D26246" s="21" t="s">
        <v>34</v>
      </c>
      <c r="E26246" s="21" t="s">
        <v>71</v>
      </c>
      <c r="F26246">
        <v>12530049</v>
      </c>
      <c r="G26246" t="s">
        <v>9306</v>
      </c>
      <c r="H26246" s="21">
        <v>622.16999999999996</v>
      </c>
    </row>
    <row r="26247" spans="1:8" customFormat="1" x14ac:dyDescent="0.25">
      <c r="A26247" t="str">
        <f>"533214"</f>
        <v>533214</v>
      </c>
      <c r="B26247" t="s">
        <v>19595</v>
      </c>
      <c r="C26247" t="s">
        <v>3784</v>
      </c>
      <c r="D26247" s="21" t="s">
        <v>34</v>
      </c>
      <c r="E26247" s="21" t="s">
        <v>254</v>
      </c>
      <c r="F26247">
        <v>12530050</v>
      </c>
      <c r="G26247" t="s">
        <v>5196</v>
      </c>
      <c r="H26247" s="21">
        <v>622.16999999999996</v>
      </c>
    </row>
    <row r="26248" spans="1:8" customFormat="1" x14ac:dyDescent="0.25">
      <c r="A26248" t="str">
        <f>"5945488"</f>
        <v>5945488</v>
      </c>
      <c r="B26248" t="s">
        <v>18729</v>
      </c>
      <c r="C26248" t="s">
        <v>2907</v>
      </c>
      <c r="D26248" s="21" t="s">
        <v>34</v>
      </c>
      <c r="E26248" s="21" t="s">
        <v>254</v>
      </c>
      <c r="F26248">
        <v>7590027</v>
      </c>
      <c r="G26248" t="s">
        <v>629</v>
      </c>
      <c r="H26248" s="21">
        <v>622.16999999999996</v>
      </c>
    </row>
    <row r="26249" spans="1:8" customFormat="1" x14ac:dyDescent="0.25">
      <c r="A26249" t="str">
        <f>"628504"</f>
        <v>628504</v>
      </c>
      <c r="B26249" t="s">
        <v>6659</v>
      </c>
      <c r="C26249" t="s">
        <v>415</v>
      </c>
      <c r="D26249" s="21" t="s">
        <v>34</v>
      </c>
      <c r="E26249" s="21" t="s">
        <v>71</v>
      </c>
      <c r="F26249">
        <v>7620072</v>
      </c>
      <c r="G26249" t="s">
        <v>2185</v>
      </c>
      <c r="H26249" s="21">
        <v>622.16999999999996</v>
      </c>
    </row>
    <row r="26250" spans="1:8" customFormat="1" x14ac:dyDescent="0.25">
      <c r="A26250" t="str">
        <f>"4430072"</f>
        <v>4430072</v>
      </c>
      <c r="B26250" t="s">
        <v>19958</v>
      </c>
      <c r="C26250" t="s">
        <v>2520</v>
      </c>
      <c r="D26250" s="21" t="s">
        <v>34</v>
      </c>
      <c r="E26250" s="21" t="s">
        <v>35</v>
      </c>
      <c r="F26250">
        <v>12440227</v>
      </c>
      <c r="G26250" t="s">
        <v>19150</v>
      </c>
      <c r="H26250" s="21">
        <v>622.16999999999996</v>
      </c>
    </row>
    <row r="26251" spans="1:8" customFormat="1" x14ac:dyDescent="0.25">
      <c r="A26251" t="str">
        <f>"4512918"</f>
        <v>4512918</v>
      </c>
      <c r="B26251" t="s">
        <v>18747</v>
      </c>
      <c r="C26251" t="s">
        <v>114</v>
      </c>
      <c r="D26251" s="21" t="s">
        <v>34</v>
      </c>
      <c r="E26251" s="21" t="s">
        <v>35</v>
      </c>
      <c r="F26251">
        <v>4450108</v>
      </c>
      <c r="G26251" t="s">
        <v>2354</v>
      </c>
      <c r="H26251" s="21">
        <v>622.16999999999996</v>
      </c>
    </row>
    <row r="26252" spans="1:8" customFormat="1" x14ac:dyDescent="0.25">
      <c r="A26252" t="str">
        <f>"611030"</f>
        <v>611030</v>
      </c>
      <c r="B26252" t="s">
        <v>2625</v>
      </c>
      <c r="C26252" t="s">
        <v>926</v>
      </c>
      <c r="D26252" s="21" t="s">
        <v>34</v>
      </c>
      <c r="E26252" s="21" t="s">
        <v>71</v>
      </c>
      <c r="F26252">
        <v>9610101</v>
      </c>
      <c r="G26252" t="s">
        <v>3969</v>
      </c>
      <c r="H26252" s="21">
        <v>622.16999999999996</v>
      </c>
    </row>
    <row r="26253" spans="1:8" customFormat="1" x14ac:dyDescent="0.25">
      <c r="A26253" t="str">
        <f>"787776"</f>
        <v>787776</v>
      </c>
      <c r="B26253" t="s">
        <v>10117</v>
      </c>
      <c r="C26253" t="s">
        <v>825</v>
      </c>
      <c r="D26253" s="21" t="s">
        <v>34</v>
      </c>
      <c r="E26253" s="21" t="s">
        <v>254</v>
      </c>
      <c r="F26253">
        <v>8780890</v>
      </c>
      <c r="G26253" t="s">
        <v>6456</v>
      </c>
      <c r="H26253" s="21">
        <v>622.16999999999996</v>
      </c>
    </row>
    <row r="26254" spans="1:8" customFormat="1" x14ac:dyDescent="0.25">
      <c r="A26254" t="str">
        <f>"747201"</f>
        <v>747201</v>
      </c>
      <c r="B26254" t="s">
        <v>18731</v>
      </c>
      <c r="C26254" t="s">
        <v>453</v>
      </c>
      <c r="D26254" s="21" t="s">
        <v>34</v>
      </c>
      <c r="E26254" s="21" t="s">
        <v>254</v>
      </c>
      <c r="F26254">
        <v>1740038</v>
      </c>
      <c r="G26254" t="s">
        <v>26517</v>
      </c>
      <c r="H26254" s="21">
        <v>622.16999999999996</v>
      </c>
    </row>
    <row r="26255" spans="1:8" customFormat="1" x14ac:dyDescent="0.25">
      <c r="A26255" t="str">
        <f>"1613467"</f>
        <v>1613467</v>
      </c>
      <c r="B26255" t="s">
        <v>20618</v>
      </c>
      <c r="C26255" t="s">
        <v>156</v>
      </c>
      <c r="D26255" s="21" t="s">
        <v>34</v>
      </c>
      <c r="E26255" s="21" t="s">
        <v>35</v>
      </c>
      <c r="F26255">
        <v>10160042</v>
      </c>
      <c r="G26255" t="s">
        <v>7461</v>
      </c>
      <c r="H26255" s="21">
        <v>622.16999999999996</v>
      </c>
    </row>
    <row r="26256" spans="1:8" customFormat="1" x14ac:dyDescent="0.25">
      <c r="A26256" t="str">
        <f>"5322488"</f>
        <v>5322488</v>
      </c>
      <c r="B26256" t="s">
        <v>6930</v>
      </c>
      <c r="C26256" t="s">
        <v>249</v>
      </c>
      <c r="D26256" s="21" t="s">
        <v>34</v>
      </c>
      <c r="E26256" s="21" t="s">
        <v>71</v>
      </c>
      <c r="F26256">
        <v>12538907</v>
      </c>
      <c r="G26256" t="s">
        <v>9299</v>
      </c>
      <c r="H26256" s="21">
        <v>622.16999999999996</v>
      </c>
    </row>
    <row r="26257" spans="1:8" customFormat="1" x14ac:dyDescent="0.25">
      <c r="A26257" t="str">
        <f>"298878"</f>
        <v>298878</v>
      </c>
      <c r="B26257" t="s">
        <v>8785</v>
      </c>
      <c r="C26257" t="s">
        <v>3905</v>
      </c>
      <c r="D26257" s="21" t="s">
        <v>34</v>
      </c>
      <c r="E26257" s="21" t="s">
        <v>1089</v>
      </c>
      <c r="F26257">
        <v>3290249</v>
      </c>
      <c r="G26257" t="s">
        <v>7914</v>
      </c>
      <c r="H26257" s="21">
        <v>622.16999999999996</v>
      </c>
    </row>
    <row r="26258" spans="1:8" customFormat="1" x14ac:dyDescent="0.25">
      <c r="A26258" t="str">
        <f>"4934928"</f>
        <v>4934928</v>
      </c>
      <c r="B26258" t="s">
        <v>27898</v>
      </c>
      <c r="C26258" t="s">
        <v>62</v>
      </c>
      <c r="D26258" s="21" t="s">
        <v>34</v>
      </c>
      <c r="E26258" s="21" t="s">
        <v>71</v>
      </c>
      <c r="F26258">
        <v>12490030</v>
      </c>
      <c r="G26258" t="s">
        <v>8366</v>
      </c>
      <c r="H26258" s="21">
        <v>622.16999999999996</v>
      </c>
    </row>
    <row r="26259" spans="1:8" customFormat="1" x14ac:dyDescent="0.25">
      <c r="A26259" t="str">
        <f>"8514207"</f>
        <v>8514207</v>
      </c>
      <c r="B26259" t="s">
        <v>5545</v>
      </c>
      <c r="C26259" t="s">
        <v>2907</v>
      </c>
      <c r="D26259" s="21" t="s">
        <v>34</v>
      </c>
      <c r="E26259" s="21" t="s">
        <v>254</v>
      </c>
      <c r="F26259">
        <v>12850015</v>
      </c>
      <c r="G26259" t="s">
        <v>4076</v>
      </c>
      <c r="H26259" s="21">
        <v>622.16999999999996</v>
      </c>
    </row>
    <row r="26260" spans="1:8" customFormat="1" x14ac:dyDescent="0.25">
      <c r="A26260" t="str">
        <f>"848087"</f>
        <v>848087</v>
      </c>
      <c r="B26260" t="s">
        <v>12941</v>
      </c>
      <c r="C26260" t="s">
        <v>926</v>
      </c>
      <c r="D26260" s="21" t="s">
        <v>34</v>
      </c>
      <c r="E26260" s="21" t="s">
        <v>71</v>
      </c>
      <c r="F26260">
        <v>13840006</v>
      </c>
      <c r="G26260" t="s">
        <v>10139</v>
      </c>
      <c r="H26260" s="21">
        <v>622.16999999999996</v>
      </c>
    </row>
    <row r="26261" spans="1:8" customFormat="1" x14ac:dyDescent="0.25">
      <c r="A26261" t="str">
        <f>"7213354"</f>
        <v>7213354</v>
      </c>
      <c r="B26261" t="s">
        <v>556</v>
      </c>
      <c r="C26261" t="s">
        <v>209</v>
      </c>
      <c r="D26261" s="21" t="s">
        <v>34</v>
      </c>
      <c r="E26261" s="21" t="s">
        <v>71</v>
      </c>
      <c r="F26261">
        <v>12720027</v>
      </c>
      <c r="G26261" t="s">
        <v>3562</v>
      </c>
      <c r="H26261" s="21">
        <v>622.16999999999996</v>
      </c>
    </row>
    <row r="26262" spans="1:8" customFormat="1" x14ac:dyDescent="0.25">
      <c r="A26262" t="str">
        <f>"5417946"</f>
        <v>5417946</v>
      </c>
      <c r="B26262" t="s">
        <v>15931</v>
      </c>
      <c r="C26262" t="s">
        <v>114</v>
      </c>
      <c r="D26262" s="21" t="s">
        <v>34</v>
      </c>
      <c r="E26262" s="21" t="s">
        <v>254</v>
      </c>
      <c r="F26262">
        <v>6540034</v>
      </c>
      <c r="G26262" t="s">
        <v>2211</v>
      </c>
      <c r="H26262" s="21">
        <v>622.16999999999996</v>
      </c>
    </row>
    <row r="26263" spans="1:8" customFormat="1" x14ac:dyDescent="0.25">
      <c r="A26263" t="str">
        <f>"3727780"</f>
        <v>3727780</v>
      </c>
      <c r="B26263" t="s">
        <v>16359</v>
      </c>
      <c r="C26263" t="s">
        <v>263</v>
      </c>
      <c r="D26263" s="21" t="s">
        <v>34</v>
      </c>
      <c r="E26263" s="21" t="s">
        <v>71</v>
      </c>
      <c r="F26263">
        <v>4370464</v>
      </c>
      <c r="G26263" t="s">
        <v>5348</v>
      </c>
      <c r="H26263" s="21">
        <v>622.16999999999996</v>
      </c>
    </row>
    <row r="26264" spans="1:8" customFormat="1" x14ac:dyDescent="0.25">
      <c r="A26264" t="str">
        <f>"6948615"</f>
        <v>6948615</v>
      </c>
      <c r="B26264" t="s">
        <v>5292</v>
      </c>
      <c r="C26264" t="s">
        <v>311</v>
      </c>
      <c r="D26264" s="21" t="s">
        <v>34</v>
      </c>
      <c r="E26264" s="21" t="s">
        <v>35</v>
      </c>
      <c r="F26264">
        <v>1690001</v>
      </c>
      <c r="G26264" t="s">
        <v>3275</v>
      </c>
      <c r="H26264" s="21">
        <v>622.16999999999996</v>
      </c>
    </row>
    <row r="26265" spans="1:8" customFormat="1" x14ac:dyDescent="0.25">
      <c r="A26265" t="str">
        <f>"3523681"</f>
        <v>3523681</v>
      </c>
      <c r="B26265" t="s">
        <v>17623</v>
      </c>
      <c r="C26265" t="s">
        <v>1146</v>
      </c>
      <c r="D26265" s="21" t="s">
        <v>34</v>
      </c>
      <c r="E26265" s="21" t="s">
        <v>71</v>
      </c>
      <c r="F26265">
        <v>3350011</v>
      </c>
      <c r="G26265" t="s">
        <v>2404</v>
      </c>
      <c r="H26265" s="21">
        <v>622.16999999999996</v>
      </c>
    </row>
    <row r="26266" spans="1:8" customFormat="1" x14ac:dyDescent="0.25">
      <c r="A26266" t="str">
        <f>"1423035"</f>
        <v>1423035</v>
      </c>
      <c r="B26266" t="s">
        <v>27899</v>
      </c>
      <c r="C26266" t="s">
        <v>285</v>
      </c>
      <c r="D26266" s="21" t="s">
        <v>34</v>
      </c>
      <c r="E26266" s="21" t="s">
        <v>35</v>
      </c>
      <c r="F26266">
        <v>9140083</v>
      </c>
      <c r="G26266" t="s">
        <v>8440</v>
      </c>
      <c r="H26266" s="21">
        <v>622.16999999999996</v>
      </c>
    </row>
    <row r="26267" spans="1:8" customFormat="1" x14ac:dyDescent="0.25">
      <c r="A26267" t="str">
        <f>"583084"</f>
        <v>583084</v>
      </c>
      <c r="B26267" t="s">
        <v>5887</v>
      </c>
      <c r="C26267" t="s">
        <v>65</v>
      </c>
      <c r="D26267" s="21" t="s">
        <v>34</v>
      </c>
      <c r="E26267" s="21" t="s">
        <v>35</v>
      </c>
      <c r="F26267">
        <v>4410466</v>
      </c>
      <c r="G26267" t="s">
        <v>678</v>
      </c>
      <c r="H26267" s="21">
        <v>622.16999999999996</v>
      </c>
    </row>
    <row r="26268" spans="1:8" customFormat="1" x14ac:dyDescent="0.25">
      <c r="A26268" t="str">
        <f>"2938895"</f>
        <v>2938895</v>
      </c>
      <c r="B26268" t="s">
        <v>4231</v>
      </c>
      <c r="C26268" t="s">
        <v>15211</v>
      </c>
      <c r="D26268" s="21" t="s">
        <v>34</v>
      </c>
      <c r="E26268" s="21" t="s">
        <v>35</v>
      </c>
      <c r="F26268">
        <v>3290232</v>
      </c>
      <c r="G26268" t="s">
        <v>9588</v>
      </c>
      <c r="H26268" s="21">
        <v>622.16999999999996</v>
      </c>
    </row>
    <row r="26269" spans="1:8" customFormat="1" x14ac:dyDescent="0.25">
      <c r="A26269" t="str">
        <f>"6019292"</f>
        <v>6019292</v>
      </c>
      <c r="B26269" t="s">
        <v>27900</v>
      </c>
      <c r="C26269" t="s">
        <v>139</v>
      </c>
      <c r="D26269" s="21" t="s">
        <v>34</v>
      </c>
      <c r="E26269" s="21" t="s">
        <v>35</v>
      </c>
      <c r="F26269">
        <v>7600088</v>
      </c>
      <c r="G26269" t="s">
        <v>334</v>
      </c>
      <c r="H26269" s="21">
        <v>622.16999999999996</v>
      </c>
    </row>
    <row r="26270" spans="1:8" customFormat="1" x14ac:dyDescent="0.25">
      <c r="A26270" t="str">
        <f>"7643163"</f>
        <v>7643163</v>
      </c>
      <c r="B26270" t="s">
        <v>4805</v>
      </c>
      <c r="C26270" t="s">
        <v>187</v>
      </c>
      <c r="D26270" s="21" t="s">
        <v>34</v>
      </c>
      <c r="E26270" s="21" t="s">
        <v>35</v>
      </c>
      <c r="F26270">
        <v>9760319</v>
      </c>
      <c r="G26270" t="s">
        <v>3051</v>
      </c>
      <c r="H26270" s="21">
        <v>622</v>
      </c>
    </row>
    <row r="26271" spans="1:8" customFormat="1" x14ac:dyDescent="0.25">
      <c r="A26271" t="str">
        <f>"45415"</f>
        <v>45415</v>
      </c>
      <c r="B26271" t="s">
        <v>8458</v>
      </c>
      <c r="C26271" t="s">
        <v>269</v>
      </c>
      <c r="D26271" s="21" t="s">
        <v>34</v>
      </c>
      <c r="E26271" s="21" t="s">
        <v>71</v>
      </c>
      <c r="F26271">
        <v>4450059</v>
      </c>
      <c r="G26271" t="s">
        <v>16170</v>
      </c>
      <c r="H26271" s="21">
        <v>621.91999999999996</v>
      </c>
    </row>
    <row r="26272" spans="1:8" customFormat="1" x14ac:dyDescent="0.25">
      <c r="A26272" t="str">
        <f>"3421428"</f>
        <v>3421428</v>
      </c>
      <c r="B26272" t="s">
        <v>19830</v>
      </c>
      <c r="C26272" t="s">
        <v>109</v>
      </c>
      <c r="D26272" s="21" t="s">
        <v>34</v>
      </c>
      <c r="E26272" s="21" t="s">
        <v>35</v>
      </c>
      <c r="F26272">
        <v>11110024</v>
      </c>
      <c r="G26272" t="s">
        <v>3378</v>
      </c>
      <c r="H26272" s="21">
        <v>621.91999999999996</v>
      </c>
    </row>
    <row r="26273" spans="1:8" customFormat="1" x14ac:dyDescent="0.25">
      <c r="A26273" t="str">
        <f>"1315115"</f>
        <v>1315115</v>
      </c>
      <c r="B26273" t="s">
        <v>5025</v>
      </c>
      <c r="C26273" t="s">
        <v>566</v>
      </c>
      <c r="D26273" s="21" t="s">
        <v>34</v>
      </c>
      <c r="E26273" s="21" t="s">
        <v>71</v>
      </c>
      <c r="F26273">
        <v>13130067</v>
      </c>
      <c r="G26273" t="s">
        <v>1420</v>
      </c>
      <c r="H26273" s="21">
        <v>621.66999999999996</v>
      </c>
    </row>
    <row r="26274" spans="1:8" customFormat="1" x14ac:dyDescent="0.25">
      <c r="A26274" t="str">
        <f>"578647"</f>
        <v>578647</v>
      </c>
      <c r="B26274" t="s">
        <v>18749</v>
      </c>
      <c r="C26274" t="s">
        <v>1271</v>
      </c>
      <c r="D26274" s="21" t="s">
        <v>34</v>
      </c>
      <c r="E26274" s="21" t="s">
        <v>254</v>
      </c>
      <c r="F26274">
        <v>6570093</v>
      </c>
      <c r="G26274" t="s">
        <v>6118</v>
      </c>
      <c r="H26274" s="21">
        <v>621.66999999999996</v>
      </c>
    </row>
    <row r="26275" spans="1:8" customFormat="1" x14ac:dyDescent="0.25">
      <c r="A26275" t="str">
        <f>"5019753"</f>
        <v>5019753</v>
      </c>
      <c r="B26275" t="s">
        <v>6090</v>
      </c>
      <c r="C26275" t="s">
        <v>198</v>
      </c>
      <c r="D26275" s="21" t="s">
        <v>34</v>
      </c>
      <c r="E26275" s="21" t="s">
        <v>71</v>
      </c>
      <c r="F26275">
        <v>9500153</v>
      </c>
      <c r="G26275" t="s">
        <v>5779</v>
      </c>
      <c r="H26275" s="21">
        <v>621.66999999999996</v>
      </c>
    </row>
    <row r="26276" spans="1:8" customFormat="1" x14ac:dyDescent="0.25">
      <c r="A26276" t="str">
        <f>"169378"</f>
        <v>169378</v>
      </c>
      <c r="B26276" t="s">
        <v>17846</v>
      </c>
      <c r="C26276" t="s">
        <v>209</v>
      </c>
      <c r="D26276" s="21" t="s">
        <v>34</v>
      </c>
      <c r="E26276" s="21" t="s">
        <v>71</v>
      </c>
      <c r="F26276">
        <v>10160049</v>
      </c>
      <c r="G26276" t="s">
        <v>12117</v>
      </c>
      <c r="H26276" s="21">
        <v>621.66999999999996</v>
      </c>
    </row>
    <row r="26277" spans="1:8" customFormat="1" x14ac:dyDescent="0.25">
      <c r="A26277" t="str">
        <f>"3341386"</f>
        <v>3341386</v>
      </c>
      <c r="B26277" t="s">
        <v>1886</v>
      </c>
      <c r="C26277" t="s">
        <v>1812</v>
      </c>
      <c r="D26277" s="21" t="s">
        <v>34</v>
      </c>
      <c r="E26277" s="21" t="s">
        <v>71</v>
      </c>
      <c r="F26277">
        <v>10330125</v>
      </c>
      <c r="G26277" t="s">
        <v>3753</v>
      </c>
      <c r="H26277" s="21">
        <v>621.66999999999996</v>
      </c>
    </row>
    <row r="26278" spans="1:8" customFormat="1" x14ac:dyDescent="0.25">
      <c r="A26278" t="str">
        <f>"4212391"</f>
        <v>4212391</v>
      </c>
      <c r="B26278" t="s">
        <v>20276</v>
      </c>
      <c r="C26278" t="s">
        <v>263</v>
      </c>
      <c r="D26278" s="21" t="s">
        <v>34</v>
      </c>
      <c r="E26278" s="21" t="s">
        <v>254</v>
      </c>
      <c r="F26278">
        <v>1420117</v>
      </c>
      <c r="G26278" t="s">
        <v>2649</v>
      </c>
      <c r="H26278" s="21">
        <v>621.66999999999996</v>
      </c>
    </row>
    <row r="26279" spans="1:8" customFormat="1" x14ac:dyDescent="0.25">
      <c r="A26279" t="str">
        <f>"685077"</f>
        <v>685077</v>
      </c>
      <c r="B26279" t="s">
        <v>2243</v>
      </c>
      <c r="C26279" t="s">
        <v>156</v>
      </c>
      <c r="D26279" s="21" t="s">
        <v>34</v>
      </c>
      <c r="E26279" s="21" t="s">
        <v>254</v>
      </c>
      <c r="F26279">
        <v>6680091</v>
      </c>
      <c r="G26279" t="s">
        <v>693</v>
      </c>
      <c r="H26279" s="21">
        <v>621.66999999999996</v>
      </c>
    </row>
    <row r="26280" spans="1:8" customFormat="1" x14ac:dyDescent="0.25">
      <c r="A26280" t="str">
        <f>"5010334"</f>
        <v>5010334</v>
      </c>
      <c r="B26280" t="s">
        <v>3582</v>
      </c>
      <c r="C26280" t="s">
        <v>428</v>
      </c>
      <c r="D26280" s="21" t="s">
        <v>34</v>
      </c>
      <c r="E26280" s="21" t="s">
        <v>35</v>
      </c>
      <c r="F26280">
        <v>9500011</v>
      </c>
      <c r="G26280" t="s">
        <v>4903</v>
      </c>
      <c r="H26280" s="21">
        <v>621.66999999999996</v>
      </c>
    </row>
    <row r="26281" spans="1:8" customFormat="1" x14ac:dyDescent="0.25">
      <c r="A26281" t="str">
        <f>"038190"</f>
        <v>038190</v>
      </c>
      <c r="B26281" t="s">
        <v>9804</v>
      </c>
      <c r="C26281" t="s">
        <v>328</v>
      </c>
      <c r="D26281" s="21" t="s">
        <v>34</v>
      </c>
      <c r="E26281" s="21" t="s">
        <v>35</v>
      </c>
      <c r="F26281">
        <v>1030316</v>
      </c>
      <c r="G26281" t="s">
        <v>19924</v>
      </c>
      <c r="H26281" s="21">
        <v>621.66999999999996</v>
      </c>
    </row>
    <row r="26282" spans="1:8" customFormat="1" x14ac:dyDescent="0.25">
      <c r="A26282" t="str">
        <f>"5110684"</f>
        <v>5110684</v>
      </c>
      <c r="B26282" t="s">
        <v>20146</v>
      </c>
      <c r="C26282" t="s">
        <v>269</v>
      </c>
      <c r="D26282" s="21" t="s">
        <v>34</v>
      </c>
      <c r="E26282" s="21" t="s">
        <v>71</v>
      </c>
      <c r="F26282">
        <v>6510009</v>
      </c>
      <c r="G26282" t="s">
        <v>26950</v>
      </c>
      <c r="H26282" s="21">
        <v>621.66999999999996</v>
      </c>
    </row>
    <row r="26283" spans="1:8" customFormat="1" x14ac:dyDescent="0.25">
      <c r="A26283" t="str">
        <f>"7915053"</f>
        <v>7915053</v>
      </c>
      <c r="B26283" t="s">
        <v>3972</v>
      </c>
      <c r="C26283" t="s">
        <v>169</v>
      </c>
      <c r="D26283" s="21" t="s">
        <v>34</v>
      </c>
      <c r="E26283" s="21" t="s">
        <v>71</v>
      </c>
      <c r="F26283">
        <v>10790009</v>
      </c>
      <c r="G26283" t="s">
        <v>1155</v>
      </c>
      <c r="H26283" s="21">
        <v>621.66999999999996</v>
      </c>
    </row>
    <row r="26284" spans="1:8" customFormat="1" x14ac:dyDescent="0.25">
      <c r="A26284" t="str">
        <f>"847870"</f>
        <v>847870</v>
      </c>
      <c r="B26284" t="s">
        <v>21424</v>
      </c>
      <c r="C26284" t="s">
        <v>209</v>
      </c>
      <c r="D26284" s="21" t="s">
        <v>34</v>
      </c>
      <c r="E26284" s="21" t="s">
        <v>71</v>
      </c>
      <c r="F26284">
        <v>13840025</v>
      </c>
      <c r="G26284" t="s">
        <v>7580</v>
      </c>
      <c r="H26284" s="21">
        <v>621.66999999999996</v>
      </c>
    </row>
    <row r="26285" spans="1:8" customFormat="1" x14ac:dyDescent="0.25">
      <c r="A26285" t="str">
        <f>"6813466"</f>
        <v>6813466</v>
      </c>
      <c r="B26285" t="s">
        <v>4352</v>
      </c>
      <c r="C26285" t="s">
        <v>812</v>
      </c>
      <c r="D26285" s="21" t="s">
        <v>34</v>
      </c>
      <c r="E26285" s="21" t="s">
        <v>254</v>
      </c>
      <c r="F26285">
        <v>6680091</v>
      </c>
      <c r="G26285" t="s">
        <v>693</v>
      </c>
      <c r="H26285" s="21">
        <v>621.66999999999996</v>
      </c>
    </row>
    <row r="26286" spans="1:8" customFormat="1" x14ac:dyDescent="0.25">
      <c r="A26286" t="str">
        <f>"087203"</f>
        <v>087203</v>
      </c>
      <c r="B26286" t="s">
        <v>18930</v>
      </c>
      <c r="C26286" t="s">
        <v>156</v>
      </c>
      <c r="D26286" s="21" t="s">
        <v>34</v>
      </c>
      <c r="E26286" s="21" t="s">
        <v>35</v>
      </c>
      <c r="F26286">
        <v>6080035</v>
      </c>
      <c r="G26286" t="s">
        <v>583</v>
      </c>
      <c r="H26286" s="21">
        <v>621.66999999999996</v>
      </c>
    </row>
    <row r="26287" spans="1:8" customFormat="1" x14ac:dyDescent="0.25">
      <c r="A26287" t="str">
        <f>"2937835"</f>
        <v>2937835</v>
      </c>
      <c r="B26287" t="s">
        <v>27901</v>
      </c>
      <c r="C26287" t="s">
        <v>1665</v>
      </c>
      <c r="D26287" s="21" t="s">
        <v>34</v>
      </c>
      <c r="E26287" s="21" t="s">
        <v>71</v>
      </c>
      <c r="F26287">
        <v>3290278</v>
      </c>
      <c r="G26287" t="s">
        <v>3649</v>
      </c>
      <c r="H26287" s="21">
        <v>621.66999999999996</v>
      </c>
    </row>
    <row r="26288" spans="1:8" customFormat="1" x14ac:dyDescent="0.25">
      <c r="A26288" t="str">
        <f>"744073"</f>
        <v>744073</v>
      </c>
      <c r="B26288" t="s">
        <v>7725</v>
      </c>
      <c r="C26288" t="s">
        <v>453</v>
      </c>
      <c r="D26288" s="21" t="s">
        <v>34</v>
      </c>
      <c r="E26288" s="21" t="s">
        <v>254</v>
      </c>
      <c r="F26288">
        <v>1740063</v>
      </c>
      <c r="G26288" t="s">
        <v>9745</v>
      </c>
      <c r="H26288" s="21">
        <v>621.66999999999996</v>
      </c>
    </row>
    <row r="26289" spans="1:8" customFormat="1" x14ac:dyDescent="0.25">
      <c r="A26289" t="str">
        <f>"225226"</f>
        <v>225226</v>
      </c>
      <c r="B26289" t="s">
        <v>6240</v>
      </c>
      <c r="C26289" t="s">
        <v>262</v>
      </c>
      <c r="D26289" s="21" t="s">
        <v>34</v>
      </c>
      <c r="E26289" s="21" t="s">
        <v>35</v>
      </c>
      <c r="F26289">
        <v>3220078</v>
      </c>
      <c r="G26289" t="s">
        <v>27356</v>
      </c>
      <c r="H26289" s="21">
        <v>621.66999999999996</v>
      </c>
    </row>
    <row r="26290" spans="1:8" customFormat="1" x14ac:dyDescent="0.25">
      <c r="A26290" t="str">
        <f>"9519704"</f>
        <v>9519704</v>
      </c>
      <c r="B26290" t="s">
        <v>20335</v>
      </c>
      <c r="C26290" t="s">
        <v>415</v>
      </c>
      <c r="D26290" s="21" t="s">
        <v>34</v>
      </c>
      <c r="E26290" s="21" t="s">
        <v>71</v>
      </c>
      <c r="F26290">
        <v>8950570</v>
      </c>
      <c r="G26290" t="s">
        <v>3226</v>
      </c>
      <c r="H26290" s="21">
        <v>621.66999999999996</v>
      </c>
    </row>
    <row r="26291" spans="1:8" customFormat="1" x14ac:dyDescent="0.25">
      <c r="A26291" t="str">
        <f>"2217825"</f>
        <v>2217825</v>
      </c>
      <c r="B26291" t="s">
        <v>16002</v>
      </c>
      <c r="C26291" t="s">
        <v>249</v>
      </c>
      <c r="D26291" s="21" t="s">
        <v>34</v>
      </c>
      <c r="E26291" s="21" t="s">
        <v>71</v>
      </c>
      <c r="F26291">
        <v>3220129</v>
      </c>
      <c r="G26291" t="s">
        <v>16580</v>
      </c>
      <c r="H26291" s="21">
        <v>621.66999999999996</v>
      </c>
    </row>
    <row r="26292" spans="1:8" customFormat="1" x14ac:dyDescent="0.25">
      <c r="A26292" t="str">
        <f>"5322303"</f>
        <v>5322303</v>
      </c>
      <c r="B26292" t="s">
        <v>7673</v>
      </c>
      <c r="C26292" t="s">
        <v>267</v>
      </c>
      <c r="D26292" s="21" t="s">
        <v>34</v>
      </c>
      <c r="E26292" s="21" t="s">
        <v>254</v>
      </c>
      <c r="F26292">
        <v>12530093</v>
      </c>
      <c r="G26292" t="s">
        <v>7865</v>
      </c>
      <c r="H26292" s="21">
        <v>621.66999999999996</v>
      </c>
    </row>
    <row r="26293" spans="1:8" customFormat="1" x14ac:dyDescent="0.25">
      <c r="A26293" t="str">
        <f>"684921"</f>
        <v>684921</v>
      </c>
      <c r="B26293" t="s">
        <v>11872</v>
      </c>
      <c r="C26293" t="s">
        <v>263</v>
      </c>
      <c r="D26293" s="21" t="s">
        <v>34</v>
      </c>
      <c r="E26293" s="21" t="s">
        <v>71</v>
      </c>
      <c r="F26293">
        <v>6680020</v>
      </c>
      <c r="G26293" t="s">
        <v>12995</v>
      </c>
      <c r="H26293" s="21">
        <v>621.66999999999996</v>
      </c>
    </row>
    <row r="26294" spans="1:8" customFormat="1" x14ac:dyDescent="0.25">
      <c r="A26294" t="str">
        <f>"9529410"</f>
        <v>9529410</v>
      </c>
      <c r="B26294" t="s">
        <v>16972</v>
      </c>
      <c r="C26294" t="s">
        <v>1119</v>
      </c>
      <c r="D26294" s="21" t="s">
        <v>34</v>
      </c>
      <c r="E26294" s="21" t="s">
        <v>1089</v>
      </c>
      <c r="F26294">
        <v>8951261</v>
      </c>
      <c r="G26294" t="s">
        <v>920</v>
      </c>
      <c r="H26294" s="21">
        <v>621.66999999999996</v>
      </c>
    </row>
    <row r="26295" spans="1:8" customFormat="1" x14ac:dyDescent="0.25">
      <c r="A26295" t="str">
        <f>"7516920"</f>
        <v>7516920</v>
      </c>
      <c r="B26295" t="s">
        <v>27902</v>
      </c>
      <c r="C26295" t="s">
        <v>608</v>
      </c>
      <c r="D26295" s="21" t="s">
        <v>34</v>
      </c>
      <c r="E26295" s="21" t="s">
        <v>35</v>
      </c>
      <c r="F26295">
        <v>8750120</v>
      </c>
      <c r="G26295" t="s">
        <v>838</v>
      </c>
      <c r="H26295" s="21">
        <v>621.66999999999996</v>
      </c>
    </row>
    <row r="26296" spans="1:8" customFormat="1" x14ac:dyDescent="0.25">
      <c r="A26296" t="str">
        <f>"3336422"</f>
        <v>3336422</v>
      </c>
      <c r="B26296" t="s">
        <v>20295</v>
      </c>
      <c r="C26296" t="s">
        <v>879</v>
      </c>
      <c r="D26296" s="21" t="s">
        <v>34</v>
      </c>
      <c r="E26296" s="21" t="s">
        <v>71</v>
      </c>
      <c r="F26296">
        <v>10330009</v>
      </c>
      <c r="G26296" t="s">
        <v>2064</v>
      </c>
      <c r="H26296" s="21">
        <v>621.41999999999996</v>
      </c>
    </row>
    <row r="26297" spans="1:8" customFormat="1" x14ac:dyDescent="0.25">
      <c r="A26297" t="str">
        <f>"7513530"</f>
        <v>7513530</v>
      </c>
      <c r="B26297" t="s">
        <v>3890</v>
      </c>
      <c r="C26297" t="s">
        <v>151</v>
      </c>
      <c r="D26297" s="21" t="s">
        <v>34</v>
      </c>
      <c r="E26297" s="21" t="s">
        <v>71</v>
      </c>
      <c r="F26297">
        <v>8751058</v>
      </c>
      <c r="G26297" t="s">
        <v>4202</v>
      </c>
      <c r="H26297" s="21">
        <v>621.41999999999996</v>
      </c>
    </row>
    <row r="26298" spans="1:8" customFormat="1" x14ac:dyDescent="0.25">
      <c r="A26298" t="str">
        <f>"9216250"</f>
        <v>9216250</v>
      </c>
      <c r="B26298" t="s">
        <v>17438</v>
      </c>
      <c r="C26298" t="s">
        <v>2520</v>
      </c>
      <c r="D26298" s="21" t="s">
        <v>34</v>
      </c>
      <c r="E26298" s="21" t="s">
        <v>1089</v>
      </c>
      <c r="F26298">
        <v>4360726</v>
      </c>
      <c r="G26298" t="s">
        <v>5506</v>
      </c>
      <c r="H26298" s="21">
        <v>621.41999999999996</v>
      </c>
    </row>
    <row r="26299" spans="1:8" customFormat="1" x14ac:dyDescent="0.25">
      <c r="A26299" t="str">
        <f>"5325989"</f>
        <v>5325989</v>
      </c>
      <c r="B26299" t="s">
        <v>20655</v>
      </c>
      <c r="C26299" t="s">
        <v>263</v>
      </c>
      <c r="D26299" s="21" t="s">
        <v>34</v>
      </c>
      <c r="E26299" s="21" t="s">
        <v>254</v>
      </c>
      <c r="F26299">
        <v>12530038</v>
      </c>
      <c r="G26299" t="s">
        <v>4955</v>
      </c>
      <c r="H26299" s="21">
        <v>621.41999999999996</v>
      </c>
    </row>
    <row r="26300" spans="1:8" customFormat="1" x14ac:dyDescent="0.25">
      <c r="A26300" t="str">
        <f>"7729284"</f>
        <v>7729284</v>
      </c>
      <c r="B26300" t="s">
        <v>21230</v>
      </c>
      <c r="C26300" t="s">
        <v>7441</v>
      </c>
      <c r="D26300" s="21" t="s">
        <v>34</v>
      </c>
      <c r="E26300" s="21" t="s">
        <v>35</v>
      </c>
      <c r="F26300">
        <v>8771184</v>
      </c>
      <c r="G26300" t="s">
        <v>137</v>
      </c>
      <c r="H26300" s="21">
        <v>621.16999999999996</v>
      </c>
    </row>
    <row r="26301" spans="1:8" customFormat="1" x14ac:dyDescent="0.25">
      <c r="A26301" t="str">
        <f>"9249028"</f>
        <v>9249028</v>
      </c>
      <c r="B26301" t="s">
        <v>20077</v>
      </c>
      <c r="C26301" t="s">
        <v>719</v>
      </c>
      <c r="D26301" s="21" t="s">
        <v>34</v>
      </c>
      <c r="E26301" s="21" t="s">
        <v>35</v>
      </c>
      <c r="F26301">
        <v>8920309</v>
      </c>
      <c r="G26301" t="s">
        <v>1894</v>
      </c>
      <c r="H26301" s="21">
        <v>621.16999999999996</v>
      </c>
    </row>
    <row r="26302" spans="1:8" customFormat="1" x14ac:dyDescent="0.25">
      <c r="A26302" t="str">
        <f>"8522876"</f>
        <v>8522876</v>
      </c>
      <c r="B26302" t="s">
        <v>6047</v>
      </c>
      <c r="C26302" t="s">
        <v>2904</v>
      </c>
      <c r="D26302" s="21" t="s">
        <v>34</v>
      </c>
      <c r="E26302" s="21" t="s">
        <v>254</v>
      </c>
      <c r="F26302">
        <v>12850072</v>
      </c>
      <c r="G26302" t="s">
        <v>7184</v>
      </c>
      <c r="H26302" s="21">
        <v>621.16999999999996</v>
      </c>
    </row>
    <row r="26303" spans="1:8" customFormat="1" x14ac:dyDescent="0.25">
      <c r="A26303" t="str">
        <f>"2926194"</f>
        <v>2926194</v>
      </c>
      <c r="B26303" t="s">
        <v>19461</v>
      </c>
      <c r="C26303" t="s">
        <v>576</v>
      </c>
      <c r="D26303" s="21" t="s">
        <v>34</v>
      </c>
      <c r="E26303" s="21" t="s">
        <v>35</v>
      </c>
      <c r="F26303">
        <v>3290278</v>
      </c>
      <c r="G26303" t="s">
        <v>3649</v>
      </c>
      <c r="H26303" s="21">
        <v>621.16999999999996</v>
      </c>
    </row>
    <row r="26304" spans="1:8" customFormat="1" x14ac:dyDescent="0.25">
      <c r="A26304" t="str">
        <f>"3816977"</f>
        <v>3816977</v>
      </c>
      <c r="B26304" t="s">
        <v>19580</v>
      </c>
      <c r="C26304" t="s">
        <v>2305</v>
      </c>
      <c r="D26304" s="21" t="s">
        <v>34</v>
      </c>
      <c r="E26304" s="21" t="s">
        <v>254</v>
      </c>
      <c r="F26304">
        <v>1260015</v>
      </c>
      <c r="G26304" t="s">
        <v>4712</v>
      </c>
      <c r="H26304" s="21">
        <v>621.16999999999996</v>
      </c>
    </row>
    <row r="26305" spans="1:8" customFormat="1" x14ac:dyDescent="0.25">
      <c r="A26305" t="str">
        <f>"0212129"</f>
        <v>0212129</v>
      </c>
      <c r="B26305" t="s">
        <v>27903</v>
      </c>
      <c r="C26305" t="s">
        <v>656</v>
      </c>
      <c r="D26305" s="21" t="s">
        <v>34</v>
      </c>
      <c r="E26305" s="21" t="s">
        <v>35</v>
      </c>
      <c r="F26305">
        <v>7021012</v>
      </c>
      <c r="G26305" t="s">
        <v>14342</v>
      </c>
      <c r="H26305" s="21">
        <v>621.16999999999996</v>
      </c>
    </row>
    <row r="26306" spans="1:8" customFormat="1" x14ac:dyDescent="0.25">
      <c r="A26306" t="str">
        <f>"07677"</f>
        <v>07677</v>
      </c>
      <c r="B26306" t="s">
        <v>19736</v>
      </c>
      <c r="C26306" t="s">
        <v>415</v>
      </c>
      <c r="D26306" s="21" t="s">
        <v>34</v>
      </c>
      <c r="E26306" s="21" t="s">
        <v>254</v>
      </c>
      <c r="F26306">
        <v>1260024</v>
      </c>
      <c r="G26306" t="s">
        <v>2685</v>
      </c>
      <c r="H26306" s="21">
        <v>621.16999999999996</v>
      </c>
    </row>
    <row r="26307" spans="1:8" customFormat="1" x14ac:dyDescent="0.25">
      <c r="A26307" t="str">
        <f>"8315587"</f>
        <v>8315587</v>
      </c>
      <c r="B26307" t="s">
        <v>19278</v>
      </c>
      <c r="C26307" t="s">
        <v>124</v>
      </c>
      <c r="D26307" s="21" t="s">
        <v>34</v>
      </c>
      <c r="E26307" s="21" t="s">
        <v>71</v>
      </c>
      <c r="F26307">
        <v>13830044</v>
      </c>
      <c r="G26307" t="s">
        <v>945</v>
      </c>
      <c r="H26307" s="21">
        <v>621.16999999999996</v>
      </c>
    </row>
    <row r="26308" spans="1:8" customFormat="1" x14ac:dyDescent="0.25">
      <c r="A26308" t="str">
        <f>"6940747"</f>
        <v>6940747</v>
      </c>
      <c r="B26308" t="s">
        <v>19100</v>
      </c>
      <c r="C26308" t="s">
        <v>812</v>
      </c>
      <c r="D26308" s="21" t="s">
        <v>34</v>
      </c>
      <c r="E26308" s="21" t="s">
        <v>71</v>
      </c>
      <c r="F26308">
        <v>1690184</v>
      </c>
      <c r="G26308" t="s">
        <v>4992</v>
      </c>
      <c r="H26308" s="21">
        <v>621.16999999999996</v>
      </c>
    </row>
    <row r="26309" spans="1:8" customFormat="1" x14ac:dyDescent="0.25">
      <c r="A26309" t="str">
        <f>"73910"</f>
        <v>73910</v>
      </c>
      <c r="B26309" t="s">
        <v>18455</v>
      </c>
      <c r="C26309" t="s">
        <v>415</v>
      </c>
      <c r="D26309" s="21" t="s">
        <v>34</v>
      </c>
      <c r="E26309" s="21" t="s">
        <v>71</v>
      </c>
      <c r="F26309">
        <v>1730007</v>
      </c>
      <c r="G26309" t="s">
        <v>6989</v>
      </c>
      <c r="H26309" s="21">
        <v>621.16999999999996</v>
      </c>
    </row>
    <row r="26310" spans="1:8" customFormat="1" x14ac:dyDescent="0.25">
      <c r="A26310" t="str">
        <f>"3314360"</f>
        <v>3314360</v>
      </c>
      <c r="B26310" t="s">
        <v>17157</v>
      </c>
      <c r="C26310" t="s">
        <v>19396</v>
      </c>
      <c r="D26310" s="21" t="s">
        <v>34</v>
      </c>
      <c r="E26310" s="21" t="s">
        <v>254</v>
      </c>
      <c r="F26310">
        <v>10330084</v>
      </c>
      <c r="G26310" t="s">
        <v>1124</v>
      </c>
      <c r="H26310" s="21">
        <v>621.16999999999996</v>
      </c>
    </row>
    <row r="26311" spans="1:8" customFormat="1" x14ac:dyDescent="0.25">
      <c r="A26311" t="str">
        <f>"8313145"</f>
        <v>8313145</v>
      </c>
      <c r="B26311" t="s">
        <v>27904</v>
      </c>
      <c r="C26311" t="s">
        <v>87</v>
      </c>
      <c r="D26311" s="21" t="s">
        <v>34</v>
      </c>
      <c r="E26311" s="21" t="s">
        <v>35</v>
      </c>
      <c r="F26311">
        <v>13830088</v>
      </c>
      <c r="G26311" t="s">
        <v>17664</v>
      </c>
      <c r="H26311" s="21">
        <v>621.16999999999996</v>
      </c>
    </row>
    <row r="26312" spans="1:8" customFormat="1" x14ac:dyDescent="0.25">
      <c r="A26312" t="str">
        <f>"5962933"</f>
        <v>5962933</v>
      </c>
      <c r="B26312" t="s">
        <v>19205</v>
      </c>
      <c r="C26312" t="s">
        <v>198</v>
      </c>
      <c r="D26312" s="21" t="s">
        <v>34</v>
      </c>
      <c r="E26312" s="21" t="s">
        <v>71</v>
      </c>
      <c r="F26312">
        <v>7590044</v>
      </c>
      <c r="G26312" t="s">
        <v>2029</v>
      </c>
      <c r="H26312" s="21">
        <v>621.16999999999996</v>
      </c>
    </row>
    <row r="26313" spans="1:8" customFormat="1" x14ac:dyDescent="0.25">
      <c r="A26313" t="str">
        <f>"737537"</f>
        <v>737537</v>
      </c>
      <c r="B26313" t="s">
        <v>610</v>
      </c>
      <c r="C26313" t="s">
        <v>5979</v>
      </c>
      <c r="D26313" s="21" t="s">
        <v>34</v>
      </c>
      <c r="E26313" s="21" t="s">
        <v>35</v>
      </c>
      <c r="F26313">
        <v>1730090</v>
      </c>
      <c r="G26313" t="s">
        <v>19889</v>
      </c>
      <c r="H26313" s="21">
        <v>621.16999999999996</v>
      </c>
    </row>
    <row r="26314" spans="1:8" customFormat="1" x14ac:dyDescent="0.25">
      <c r="A26314" t="str">
        <f>"5949811"</f>
        <v>5949811</v>
      </c>
      <c r="B26314" t="s">
        <v>18884</v>
      </c>
      <c r="C26314" t="s">
        <v>528</v>
      </c>
      <c r="D26314" s="21" t="s">
        <v>34</v>
      </c>
      <c r="E26314" s="21" t="s">
        <v>71</v>
      </c>
      <c r="F26314">
        <v>7590269</v>
      </c>
      <c r="G26314" t="s">
        <v>873</v>
      </c>
      <c r="H26314" s="21">
        <v>621.16999999999996</v>
      </c>
    </row>
    <row r="26315" spans="1:8" customFormat="1" x14ac:dyDescent="0.25">
      <c r="A26315" t="str">
        <f>"7623379"</f>
        <v>7623379</v>
      </c>
      <c r="B26315" t="s">
        <v>27905</v>
      </c>
      <c r="C26315" t="s">
        <v>1146</v>
      </c>
      <c r="D26315" s="21" t="s">
        <v>34</v>
      </c>
      <c r="E26315" s="21" t="s">
        <v>1089</v>
      </c>
      <c r="F26315">
        <v>9760331</v>
      </c>
      <c r="G26315" t="s">
        <v>5134</v>
      </c>
      <c r="H26315" s="21">
        <v>621.16999999999996</v>
      </c>
    </row>
    <row r="26316" spans="1:8" customFormat="1" x14ac:dyDescent="0.25">
      <c r="A26316" t="str">
        <f>"98296"</f>
        <v>98296</v>
      </c>
      <c r="B26316" t="s">
        <v>20188</v>
      </c>
      <c r="C26316" t="s">
        <v>20189</v>
      </c>
      <c r="D26316" s="21" t="s">
        <v>34</v>
      </c>
      <c r="E26316" s="21" t="s">
        <v>71</v>
      </c>
      <c r="F26316">
        <v>5980003</v>
      </c>
      <c r="G26316" t="s">
        <v>1746</v>
      </c>
      <c r="H26316" s="21">
        <v>621.16999999999996</v>
      </c>
    </row>
    <row r="26317" spans="1:8" customFormat="1" x14ac:dyDescent="0.25">
      <c r="A26317" t="str">
        <f>"4448177"</f>
        <v>4448177</v>
      </c>
      <c r="B26317" t="s">
        <v>17255</v>
      </c>
      <c r="C26317" t="s">
        <v>8618</v>
      </c>
      <c r="D26317" s="21" t="s">
        <v>34</v>
      </c>
      <c r="E26317" s="21" t="s">
        <v>35</v>
      </c>
      <c r="F26317">
        <v>12440236</v>
      </c>
      <c r="G26317" t="s">
        <v>27164</v>
      </c>
      <c r="H26317" s="21">
        <v>621.16999999999996</v>
      </c>
    </row>
    <row r="26318" spans="1:8" customFormat="1" x14ac:dyDescent="0.25">
      <c r="A26318" t="str">
        <f>"1717119"</f>
        <v>1717119</v>
      </c>
      <c r="B26318" t="s">
        <v>20926</v>
      </c>
      <c r="C26318" t="s">
        <v>4842</v>
      </c>
      <c r="D26318" s="21" t="s">
        <v>34</v>
      </c>
      <c r="E26318" s="21" t="s">
        <v>254</v>
      </c>
      <c r="F26318">
        <v>10170214</v>
      </c>
      <c r="G26318" t="s">
        <v>5533</v>
      </c>
      <c r="H26318" s="21">
        <v>621.16999999999996</v>
      </c>
    </row>
    <row r="26319" spans="1:8" customFormat="1" x14ac:dyDescent="0.25">
      <c r="A26319" t="str">
        <f>"426818"</f>
        <v>426818</v>
      </c>
      <c r="B26319" t="s">
        <v>19045</v>
      </c>
      <c r="C26319" t="s">
        <v>1588</v>
      </c>
      <c r="D26319" s="21" t="s">
        <v>34</v>
      </c>
      <c r="E26319" s="21" t="s">
        <v>254</v>
      </c>
      <c r="F26319">
        <v>1380298</v>
      </c>
      <c r="G26319" t="s">
        <v>5868</v>
      </c>
      <c r="H26319" s="21">
        <v>621</v>
      </c>
    </row>
    <row r="26320" spans="1:8" customFormat="1" x14ac:dyDescent="0.25">
      <c r="A26320" t="str">
        <f>"7865066"</f>
        <v>7865066</v>
      </c>
      <c r="B26320" t="s">
        <v>13539</v>
      </c>
      <c r="C26320" t="s">
        <v>1539</v>
      </c>
      <c r="D26320" s="21" t="s">
        <v>34</v>
      </c>
      <c r="E26320" s="21" t="s">
        <v>71</v>
      </c>
      <c r="F26320">
        <v>1740045</v>
      </c>
      <c r="G26320" t="s">
        <v>9857</v>
      </c>
      <c r="H26320" s="21">
        <v>620.91999999999996</v>
      </c>
    </row>
    <row r="26321" spans="1:8" customFormat="1" x14ac:dyDescent="0.25">
      <c r="A26321" t="str">
        <f>"5020684"</f>
        <v>5020684</v>
      </c>
      <c r="B26321" t="s">
        <v>10361</v>
      </c>
      <c r="C26321" t="s">
        <v>598</v>
      </c>
      <c r="D26321" s="21" t="s">
        <v>34</v>
      </c>
      <c r="E26321" s="21" t="s">
        <v>254</v>
      </c>
      <c r="F26321">
        <v>9500131</v>
      </c>
      <c r="G26321" t="s">
        <v>1073</v>
      </c>
      <c r="H26321" s="21">
        <v>620.91999999999996</v>
      </c>
    </row>
    <row r="26322" spans="1:8" customFormat="1" x14ac:dyDescent="0.25">
      <c r="A26322" t="str">
        <f>"2110178"</f>
        <v>2110178</v>
      </c>
      <c r="B26322" t="s">
        <v>19836</v>
      </c>
      <c r="C26322" t="s">
        <v>547</v>
      </c>
      <c r="D26322" s="21" t="s">
        <v>34</v>
      </c>
      <c r="E26322" s="21" t="s">
        <v>254</v>
      </c>
      <c r="F26322">
        <v>2210029</v>
      </c>
      <c r="G26322" t="s">
        <v>6983</v>
      </c>
      <c r="H26322" s="21">
        <v>620.91999999999996</v>
      </c>
    </row>
    <row r="26323" spans="1:8" customFormat="1" x14ac:dyDescent="0.25">
      <c r="A26323" t="str">
        <f>"5321130"</f>
        <v>5321130</v>
      </c>
      <c r="B26323" t="s">
        <v>19581</v>
      </c>
      <c r="C26323" t="s">
        <v>353</v>
      </c>
      <c r="D26323" s="21" t="s">
        <v>34</v>
      </c>
      <c r="E26323" s="21" t="s">
        <v>71</v>
      </c>
      <c r="F26323">
        <v>12530051</v>
      </c>
      <c r="G26323" t="s">
        <v>4995</v>
      </c>
      <c r="H26323" s="21">
        <v>620.91999999999996</v>
      </c>
    </row>
    <row r="26324" spans="1:8" customFormat="1" x14ac:dyDescent="0.25">
      <c r="A26324" t="str">
        <f>"44792"</f>
        <v>44792</v>
      </c>
      <c r="B26324" t="s">
        <v>18142</v>
      </c>
      <c r="C26324" t="s">
        <v>267</v>
      </c>
      <c r="D26324" s="21" t="s">
        <v>34</v>
      </c>
      <c r="E26324" s="21" t="s">
        <v>1089</v>
      </c>
      <c r="F26324">
        <v>12440073</v>
      </c>
      <c r="G26324" t="s">
        <v>3492</v>
      </c>
      <c r="H26324" s="21">
        <v>620.91999999999996</v>
      </c>
    </row>
    <row r="26325" spans="1:8" customFormat="1" x14ac:dyDescent="0.25">
      <c r="A26325" t="str">
        <f>"188225"</f>
        <v>188225</v>
      </c>
      <c r="B26325" t="s">
        <v>19469</v>
      </c>
      <c r="C26325" t="s">
        <v>60</v>
      </c>
      <c r="D26325" s="21" t="s">
        <v>34</v>
      </c>
      <c r="E26325" s="21" t="s">
        <v>35</v>
      </c>
      <c r="F26325">
        <v>4180057</v>
      </c>
      <c r="G26325" t="s">
        <v>9021</v>
      </c>
      <c r="H26325" s="21">
        <v>620.79</v>
      </c>
    </row>
    <row r="26326" spans="1:8" customFormat="1" x14ac:dyDescent="0.25">
      <c r="A26326" t="str">
        <f>"5615002"</f>
        <v>5615002</v>
      </c>
      <c r="B26326" t="s">
        <v>4926</v>
      </c>
      <c r="C26326" t="s">
        <v>55</v>
      </c>
      <c r="D26326" s="21" t="s">
        <v>34</v>
      </c>
      <c r="E26326" s="21" t="s">
        <v>71</v>
      </c>
      <c r="F26326">
        <v>3560022</v>
      </c>
      <c r="G26326" t="s">
        <v>2547</v>
      </c>
      <c r="H26326" s="21">
        <v>620.66999999999996</v>
      </c>
    </row>
    <row r="26327" spans="1:8" customFormat="1" x14ac:dyDescent="0.25">
      <c r="A26327" t="str">
        <f>"5943428"</f>
        <v>5943428</v>
      </c>
      <c r="B26327" t="s">
        <v>4834</v>
      </c>
      <c r="C26327" t="s">
        <v>2365</v>
      </c>
      <c r="D26327" s="21" t="s">
        <v>34</v>
      </c>
      <c r="E26327" s="21" t="s">
        <v>71</v>
      </c>
      <c r="F26327">
        <v>7590105</v>
      </c>
      <c r="G26327" t="s">
        <v>887</v>
      </c>
      <c r="H26327" s="21">
        <v>620.66999999999996</v>
      </c>
    </row>
    <row r="26328" spans="1:8" customFormat="1" x14ac:dyDescent="0.25">
      <c r="A26328" t="str">
        <f>"776892"</f>
        <v>776892</v>
      </c>
      <c r="B26328" t="s">
        <v>17378</v>
      </c>
      <c r="C26328" t="s">
        <v>2904</v>
      </c>
      <c r="D26328" s="21" t="s">
        <v>34</v>
      </c>
      <c r="E26328" s="21" t="s">
        <v>254</v>
      </c>
      <c r="F26328">
        <v>8771448</v>
      </c>
      <c r="G26328" t="s">
        <v>11540</v>
      </c>
      <c r="H26328" s="21">
        <v>620.66999999999996</v>
      </c>
    </row>
    <row r="26329" spans="1:8" customFormat="1" x14ac:dyDescent="0.25">
      <c r="A26329" t="str">
        <f>"287122"</f>
        <v>287122</v>
      </c>
      <c r="B26329" t="s">
        <v>3146</v>
      </c>
      <c r="C26329" t="s">
        <v>328</v>
      </c>
      <c r="D26329" s="21" t="s">
        <v>34</v>
      </c>
      <c r="E26329" s="21" t="s">
        <v>71</v>
      </c>
      <c r="F26329">
        <v>4280045</v>
      </c>
      <c r="G26329" t="s">
        <v>787</v>
      </c>
      <c r="H26329" s="21">
        <v>620.66999999999996</v>
      </c>
    </row>
    <row r="26330" spans="1:8" customFormat="1" x14ac:dyDescent="0.25">
      <c r="A26330" t="str">
        <f>"365689"</f>
        <v>365689</v>
      </c>
      <c r="B26330" t="s">
        <v>2726</v>
      </c>
      <c r="C26330" t="s">
        <v>62</v>
      </c>
      <c r="D26330" s="21" t="s">
        <v>34</v>
      </c>
      <c r="E26330" s="21" t="s">
        <v>35</v>
      </c>
      <c r="F26330">
        <v>4370002</v>
      </c>
      <c r="G26330" t="s">
        <v>112</v>
      </c>
      <c r="H26330" s="21">
        <v>620.66999999999996</v>
      </c>
    </row>
    <row r="26331" spans="1:8" customFormat="1" x14ac:dyDescent="0.25">
      <c r="A26331" t="str">
        <f>"4450620"</f>
        <v>4450620</v>
      </c>
      <c r="B26331" t="s">
        <v>10395</v>
      </c>
      <c r="C26331" t="s">
        <v>428</v>
      </c>
      <c r="D26331" s="21" t="s">
        <v>34</v>
      </c>
      <c r="E26331" s="21" t="s">
        <v>35</v>
      </c>
      <c r="F26331">
        <v>12440009</v>
      </c>
      <c r="G26331" t="s">
        <v>1983</v>
      </c>
      <c r="H26331" s="21">
        <v>620.66999999999996</v>
      </c>
    </row>
    <row r="26332" spans="1:8" customFormat="1" x14ac:dyDescent="0.25">
      <c r="A26332" t="str">
        <f>"5972590"</f>
        <v>5972590</v>
      </c>
      <c r="B26332" t="s">
        <v>21282</v>
      </c>
      <c r="C26332" t="s">
        <v>87</v>
      </c>
      <c r="D26332" s="21" t="s">
        <v>34</v>
      </c>
      <c r="E26332" s="21" t="s">
        <v>35</v>
      </c>
      <c r="F26332">
        <v>7590417</v>
      </c>
      <c r="G26332" t="s">
        <v>10387</v>
      </c>
      <c r="H26332" s="21">
        <v>620.66999999999996</v>
      </c>
    </row>
    <row r="26333" spans="1:8" customFormat="1" x14ac:dyDescent="0.25">
      <c r="A26333" t="str">
        <f>"036081"</f>
        <v>036081</v>
      </c>
      <c r="B26333" t="s">
        <v>27906</v>
      </c>
      <c r="C26333" t="s">
        <v>2730</v>
      </c>
      <c r="D26333" s="21" t="s">
        <v>34</v>
      </c>
      <c r="E26333" s="21" t="s">
        <v>71</v>
      </c>
      <c r="F26333">
        <v>13830083</v>
      </c>
      <c r="G26333" t="s">
        <v>2159</v>
      </c>
      <c r="H26333" s="21">
        <v>620.66999999999996</v>
      </c>
    </row>
    <row r="26334" spans="1:8" customFormat="1" x14ac:dyDescent="0.25">
      <c r="A26334" t="str">
        <f>"4215512"</f>
        <v>4215512</v>
      </c>
      <c r="B26334" t="s">
        <v>18896</v>
      </c>
      <c r="C26334" t="s">
        <v>33</v>
      </c>
      <c r="D26334" s="21" t="s">
        <v>34</v>
      </c>
      <c r="E26334" s="21" t="s">
        <v>71</v>
      </c>
      <c r="F26334">
        <v>1420080</v>
      </c>
      <c r="G26334" t="s">
        <v>10230</v>
      </c>
      <c r="H26334" s="21">
        <v>620.66999999999996</v>
      </c>
    </row>
    <row r="26335" spans="1:8" customFormat="1" x14ac:dyDescent="0.25">
      <c r="A26335" t="str">
        <f>"5926447"</f>
        <v>5926447</v>
      </c>
      <c r="B26335" t="s">
        <v>8105</v>
      </c>
      <c r="C26335" t="s">
        <v>3784</v>
      </c>
      <c r="D26335" s="21" t="s">
        <v>34</v>
      </c>
      <c r="E26335" s="21" t="s">
        <v>254</v>
      </c>
      <c r="F26335">
        <v>7590118</v>
      </c>
      <c r="G26335" t="s">
        <v>18474</v>
      </c>
      <c r="H26335" s="21">
        <v>620.66999999999996</v>
      </c>
    </row>
    <row r="26336" spans="1:8" customFormat="1" x14ac:dyDescent="0.25">
      <c r="A26336" t="str">
        <f>"8526765"</f>
        <v>8526765</v>
      </c>
      <c r="B26336" t="s">
        <v>18830</v>
      </c>
      <c r="C26336" t="s">
        <v>209</v>
      </c>
      <c r="D26336" s="21" t="s">
        <v>34</v>
      </c>
      <c r="E26336" s="21" t="s">
        <v>71</v>
      </c>
      <c r="F26336">
        <v>12850037</v>
      </c>
      <c r="G26336" t="s">
        <v>2787</v>
      </c>
      <c r="H26336" s="21">
        <v>620.66999999999996</v>
      </c>
    </row>
    <row r="26337" spans="1:8" customFormat="1" x14ac:dyDescent="0.25">
      <c r="A26337" t="str">
        <f>"8528487"</f>
        <v>8528487</v>
      </c>
      <c r="B26337" t="s">
        <v>22159</v>
      </c>
      <c r="C26337" t="s">
        <v>608</v>
      </c>
      <c r="D26337" s="21" t="s">
        <v>34</v>
      </c>
      <c r="E26337" s="21" t="s">
        <v>71</v>
      </c>
      <c r="F26337">
        <v>12851018</v>
      </c>
      <c r="G26337" t="s">
        <v>8085</v>
      </c>
      <c r="H26337" s="21">
        <v>620.66999999999996</v>
      </c>
    </row>
    <row r="26338" spans="1:8" customFormat="1" x14ac:dyDescent="0.25">
      <c r="A26338" t="str">
        <f>"3716727"</f>
        <v>3716727</v>
      </c>
      <c r="B26338" t="s">
        <v>890</v>
      </c>
      <c r="C26338" t="s">
        <v>55</v>
      </c>
      <c r="D26338" s="21" t="s">
        <v>34</v>
      </c>
      <c r="E26338" s="21" t="s">
        <v>71</v>
      </c>
      <c r="F26338">
        <v>4370183</v>
      </c>
      <c r="G26338" t="s">
        <v>231</v>
      </c>
      <c r="H26338" s="21">
        <v>620.66999999999996</v>
      </c>
    </row>
    <row r="26339" spans="1:8" customFormat="1" x14ac:dyDescent="0.25">
      <c r="A26339" t="str">
        <f>"2712069"</f>
        <v>2712069</v>
      </c>
      <c r="B26339" t="s">
        <v>19451</v>
      </c>
      <c r="C26339" t="s">
        <v>198</v>
      </c>
      <c r="D26339" s="21" t="s">
        <v>34</v>
      </c>
      <c r="E26339" s="21" t="s">
        <v>71</v>
      </c>
      <c r="F26339">
        <v>9270071</v>
      </c>
      <c r="G26339" t="s">
        <v>7815</v>
      </c>
      <c r="H26339" s="21">
        <v>620.66999999999996</v>
      </c>
    </row>
    <row r="26340" spans="1:8" customFormat="1" x14ac:dyDescent="0.25">
      <c r="A26340" t="str">
        <f>"4420902"</f>
        <v>4420902</v>
      </c>
      <c r="B26340" t="s">
        <v>1407</v>
      </c>
      <c r="C26340" t="s">
        <v>144</v>
      </c>
      <c r="D26340" s="21" t="s">
        <v>34</v>
      </c>
      <c r="E26340" s="21" t="s">
        <v>71</v>
      </c>
      <c r="F26340">
        <v>12440042</v>
      </c>
      <c r="G26340" t="s">
        <v>10312</v>
      </c>
      <c r="H26340" s="21">
        <v>620.66999999999996</v>
      </c>
    </row>
    <row r="26341" spans="1:8" customFormat="1" x14ac:dyDescent="0.25">
      <c r="A26341" t="str">
        <f>"289342"</f>
        <v>289342</v>
      </c>
      <c r="B26341" t="s">
        <v>19012</v>
      </c>
      <c r="C26341" t="s">
        <v>328</v>
      </c>
      <c r="D26341" s="21" t="s">
        <v>34</v>
      </c>
      <c r="E26341" s="21" t="s">
        <v>254</v>
      </c>
      <c r="F26341">
        <v>4280681</v>
      </c>
      <c r="G26341" t="s">
        <v>1656</v>
      </c>
      <c r="H26341" s="21">
        <v>620.66999999999996</v>
      </c>
    </row>
    <row r="26342" spans="1:8" customFormat="1" x14ac:dyDescent="0.25">
      <c r="A26342" t="str">
        <f>"777944"</f>
        <v>777944</v>
      </c>
      <c r="B26342" t="s">
        <v>8803</v>
      </c>
      <c r="C26342" t="s">
        <v>198</v>
      </c>
      <c r="D26342" s="21" t="s">
        <v>34</v>
      </c>
      <c r="E26342" s="21" t="s">
        <v>254</v>
      </c>
      <c r="F26342">
        <v>8770665</v>
      </c>
      <c r="G26342" t="s">
        <v>903</v>
      </c>
      <c r="H26342" s="21">
        <v>620.66999999999996</v>
      </c>
    </row>
    <row r="26343" spans="1:8" customFormat="1" x14ac:dyDescent="0.25">
      <c r="A26343" t="str">
        <f>"83298"</f>
        <v>83298</v>
      </c>
      <c r="B26343" t="s">
        <v>18007</v>
      </c>
      <c r="C26343" t="s">
        <v>2305</v>
      </c>
      <c r="D26343" s="21" t="s">
        <v>34</v>
      </c>
      <c r="E26343" s="21" t="s">
        <v>1089</v>
      </c>
      <c r="F26343">
        <v>13830015</v>
      </c>
      <c r="G26343" t="s">
        <v>4011</v>
      </c>
      <c r="H26343" s="21">
        <v>620.66999999999996</v>
      </c>
    </row>
    <row r="26344" spans="1:8" customFormat="1" x14ac:dyDescent="0.25">
      <c r="A26344" t="str">
        <f>"6233543"</f>
        <v>6233543</v>
      </c>
      <c r="B26344" t="s">
        <v>16670</v>
      </c>
      <c r="C26344" t="s">
        <v>2356</v>
      </c>
      <c r="D26344" s="21" t="s">
        <v>34</v>
      </c>
      <c r="E26344" s="21" t="s">
        <v>71</v>
      </c>
      <c r="F26344">
        <v>7620017</v>
      </c>
      <c r="G26344" t="s">
        <v>6559</v>
      </c>
      <c r="H26344" s="21">
        <v>620.66999999999996</v>
      </c>
    </row>
    <row r="26345" spans="1:8" customFormat="1" x14ac:dyDescent="0.25">
      <c r="A26345" t="str">
        <f>"616588"</f>
        <v>616588</v>
      </c>
      <c r="B26345" t="s">
        <v>3930</v>
      </c>
      <c r="C26345" t="s">
        <v>239</v>
      </c>
      <c r="D26345" s="21" t="s">
        <v>34</v>
      </c>
      <c r="E26345" s="21" t="s">
        <v>254</v>
      </c>
      <c r="F26345">
        <v>9610039</v>
      </c>
      <c r="G26345" t="s">
        <v>3965</v>
      </c>
      <c r="H26345" s="21">
        <v>620.66999999999996</v>
      </c>
    </row>
    <row r="26346" spans="1:8" customFormat="1" x14ac:dyDescent="0.25">
      <c r="A26346" t="str">
        <f>"4433019"</f>
        <v>4433019</v>
      </c>
      <c r="B26346" t="s">
        <v>6309</v>
      </c>
      <c r="C26346" t="s">
        <v>719</v>
      </c>
      <c r="D26346" s="21" t="s">
        <v>34</v>
      </c>
      <c r="E26346" s="21" t="s">
        <v>35</v>
      </c>
      <c r="F26346">
        <v>12440277</v>
      </c>
      <c r="G26346" t="s">
        <v>10430</v>
      </c>
      <c r="H26346" s="21">
        <v>620.66999999999996</v>
      </c>
    </row>
    <row r="26347" spans="1:8" customFormat="1" x14ac:dyDescent="0.25">
      <c r="A26347" t="str">
        <f>"035999"</f>
        <v>035999</v>
      </c>
      <c r="B26347" t="s">
        <v>19138</v>
      </c>
      <c r="C26347" t="s">
        <v>598</v>
      </c>
      <c r="D26347" s="21" t="s">
        <v>34</v>
      </c>
      <c r="E26347" s="21" t="s">
        <v>254</v>
      </c>
      <c r="F26347">
        <v>1030035</v>
      </c>
      <c r="G26347" t="s">
        <v>2343</v>
      </c>
      <c r="H26347" s="21">
        <v>620.66999999999996</v>
      </c>
    </row>
    <row r="26348" spans="1:8" customFormat="1" x14ac:dyDescent="0.25">
      <c r="A26348" t="str">
        <f>"85410"</f>
        <v>85410</v>
      </c>
      <c r="B26348" t="s">
        <v>6355</v>
      </c>
      <c r="C26348" t="s">
        <v>1199</v>
      </c>
      <c r="D26348" s="21" t="s">
        <v>34</v>
      </c>
      <c r="E26348" s="21" t="s">
        <v>1089</v>
      </c>
      <c r="F26348">
        <v>12850012</v>
      </c>
      <c r="G26348" t="s">
        <v>1229</v>
      </c>
      <c r="H26348" s="21">
        <v>620.66999999999996</v>
      </c>
    </row>
    <row r="26349" spans="1:8" customFormat="1" x14ac:dyDescent="0.25">
      <c r="A26349" t="str">
        <f>"5016103"</f>
        <v>5016103</v>
      </c>
      <c r="B26349" t="s">
        <v>17741</v>
      </c>
      <c r="C26349" t="s">
        <v>988</v>
      </c>
      <c r="D26349" s="21" t="s">
        <v>34</v>
      </c>
      <c r="E26349" s="21" t="s">
        <v>35</v>
      </c>
      <c r="F26349">
        <v>9500164</v>
      </c>
      <c r="G26349" t="s">
        <v>9818</v>
      </c>
      <c r="H26349" s="21">
        <v>620.66999999999996</v>
      </c>
    </row>
    <row r="26350" spans="1:8" customFormat="1" x14ac:dyDescent="0.25">
      <c r="A26350" t="str">
        <f>"3528087"</f>
        <v>3528087</v>
      </c>
      <c r="B26350" t="s">
        <v>5824</v>
      </c>
      <c r="C26350" t="s">
        <v>576</v>
      </c>
      <c r="D26350" s="21" t="s">
        <v>34</v>
      </c>
      <c r="E26350" s="21" t="s">
        <v>35</v>
      </c>
      <c r="F26350">
        <v>3350132</v>
      </c>
      <c r="G26350" t="s">
        <v>17921</v>
      </c>
      <c r="H26350" s="21">
        <v>620.66999999999996</v>
      </c>
    </row>
    <row r="26351" spans="1:8" customFormat="1" x14ac:dyDescent="0.25">
      <c r="A26351" t="str">
        <f>"2815017"</f>
        <v>2815017</v>
      </c>
      <c r="B26351" t="s">
        <v>27278</v>
      </c>
      <c r="C26351" t="s">
        <v>139</v>
      </c>
      <c r="D26351" s="21" t="s">
        <v>34</v>
      </c>
      <c r="E26351" s="21" t="s">
        <v>35</v>
      </c>
      <c r="F26351">
        <v>4280202</v>
      </c>
      <c r="G26351" t="s">
        <v>2945</v>
      </c>
      <c r="H26351" s="21">
        <v>620.66999999999996</v>
      </c>
    </row>
    <row r="26352" spans="1:8" customFormat="1" x14ac:dyDescent="0.25">
      <c r="A26352" t="str">
        <f>"5953774"</f>
        <v>5953774</v>
      </c>
      <c r="B26352" t="s">
        <v>20560</v>
      </c>
      <c r="C26352" t="s">
        <v>20561</v>
      </c>
      <c r="D26352" s="21" t="s">
        <v>34</v>
      </c>
      <c r="E26352" s="21" t="s">
        <v>71</v>
      </c>
      <c r="F26352">
        <v>7620067</v>
      </c>
      <c r="G26352" t="s">
        <v>860</v>
      </c>
      <c r="H26352" s="21">
        <v>620.54</v>
      </c>
    </row>
    <row r="26353" spans="1:8" customFormat="1" x14ac:dyDescent="0.25">
      <c r="A26353" t="str">
        <f>"7639946"</f>
        <v>7639946</v>
      </c>
      <c r="B26353" t="s">
        <v>6154</v>
      </c>
      <c r="C26353" t="s">
        <v>412</v>
      </c>
      <c r="D26353" s="21" t="s">
        <v>34</v>
      </c>
      <c r="E26353" s="21" t="s">
        <v>254</v>
      </c>
      <c r="F26353">
        <v>9760011</v>
      </c>
      <c r="G26353" t="s">
        <v>2562</v>
      </c>
      <c r="H26353" s="21">
        <v>620.41999999999996</v>
      </c>
    </row>
    <row r="26354" spans="1:8" customFormat="1" x14ac:dyDescent="0.25">
      <c r="A26354" t="str">
        <f>"8312828"</f>
        <v>8312828</v>
      </c>
      <c r="B26354" t="s">
        <v>8536</v>
      </c>
      <c r="C26354" t="s">
        <v>198</v>
      </c>
      <c r="D26354" s="21" t="s">
        <v>34</v>
      </c>
      <c r="E26354" s="21" t="s">
        <v>254</v>
      </c>
      <c r="F26354">
        <v>13830044</v>
      </c>
      <c r="G26354" t="s">
        <v>945</v>
      </c>
      <c r="H26354" s="21">
        <v>620.41999999999996</v>
      </c>
    </row>
    <row r="26355" spans="1:8" customFormat="1" x14ac:dyDescent="0.25">
      <c r="A26355" t="str">
        <f>"9136578"</f>
        <v>9136578</v>
      </c>
      <c r="B26355" t="s">
        <v>3664</v>
      </c>
      <c r="C26355" t="s">
        <v>236</v>
      </c>
      <c r="D26355" s="21" t="s">
        <v>34</v>
      </c>
      <c r="E26355" s="21" t="s">
        <v>71</v>
      </c>
      <c r="F26355">
        <v>8910434</v>
      </c>
      <c r="G26355" t="s">
        <v>681</v>
      </c>
      <c r="H26355" s="21">
        <v>620.41999999999996</v>
      </c>
    </row>
    <row r="26356" spans="1:8" customFormat="1" x14ac:dyDescent="0.25">
      <c r="A26356" t="str">
        <f>"5613321"</f>
        <v>5613321</v>
      </c>
      <c r="B26356" t="s">
        <v>7428</v>
      </c>
      <c r="C26356" t="s">
        <v>1803</v>
      </c>
      <c r="D26356" s="21" t="s">
        <v>34</v>
      </c>
      <c r="E26356" s="21" t="s">
        <v>35</v>
      </c>
      <c r="F26356">
        <v>3290014</v>
      </c>
      <c r="G26356" t="s">
        <v>10174</v>
      </c>
      <c r="H26356" s="21">
        <v>620.41999999999996</v>
      </c>
    </row>
    <row r="26357" spans="1:8" customFormat="1" x14ac:dyDescent="0.25">
      <c r="A26357" t="str">
        <f>"5983959"</f>
        <v>5983959</v>
      </c>
      <c r="B26357" t="s">
        <v>27907</v>
      </c>
      <c r="C26357" t="s">
        <v>608</v>
      </c>
      <c r="D26357" s="21" t="s">
        <v>34</v>
      </c>
      <c r="E26357" s="21" t="s">
        <v>35</v>
      </c>
      <c r="F26357">
        <v>7590009</v>
      </c>
      <c r="G26357" t="s">
        <v>535</v>
      </c>
      <c r="H26357" s="21">
        <v>620.29</v>
      </c>
    </row>
    <row r="26358" spans="1:8" customFormat="1" x14ac:dyDescent="0.25">
      <c r="A26358" t="str">
        <f>"9216307"</f>
        <v>9216307</v>
      </c>
      <c r="B26358" t="s">
        <v>21129</v>
      </c>
      <c r="C26358" t="s">
        <v>484</v>
      </c>
      <c r="D26358" s="21" t="s">
        <v>34</v>
      </c>
      <c r="E26358" s="21" t="s">
        <v>35</v>
      </c>
      <c r="F26358">
        <v>8920151</v>
      </c>
      <c r="G26358" t="s">
        <v>1434</v>
      </c>
      <c r="H26358" s="21">
        <v>620.16999999999996</v>
      </c>
    </row>
    <row r="26359" spans="1:8" customFormat="1" x14ac:dyDescent="0.25">
      <c r="A26359" t="str">
        <f>"5019653"</f>
        <v>5019653</v>
      </c>
      <c r="B26359" t="s">
        <v>402</v>
      </c>
      <c r="C26359" t="s">
        <v>121</v>
      </c>
      <c r="D26359" s="21" t="s">
        <v>34</v>
      </c>
      <c r="E26359" s="21" t="s">
        <v>35</v>
      </c>
      <c r="F26359">
        <v>9500131</v>
      </c>
      <c r="G26359" t="s">
        <v>1073</v>
      </c>
      <c r="H26359" s="21">
        <v>620.16999999999996</v>
      </c>
    </row>
    <row r="26360" spans="1:8" customFormat="1" x14ac:dyDescent="0.25">
      <c r="A26360" t="str">
        <f>"6231623"</f>
        <v>6231623</v>
      </c>
      <c r="B26360" t="s">
        <v>20748</v>
      </c>
      <c r="C26360" t="s">
        <v>40</v>
      </c>
      <c r="D26360" s="21" t="s">
        <v>34</v>
      </c>
      <c r="E26360" s="21" t="s">
        <v>35</v>
      </c>
      <c r="F26360">
        <v>7620180</v>
      </c>
      <c r="G26360" t="s">
        <v>7188</v>
      </c>
      <c r="H26360" s="21">
        <v>620.16999999999996</v>
      </c>
    </row>
    <row r="26361" spans="1:8" customFormat="1" x14ac:dyDescent="0.25">
      <c r="A26361" t="str">
        <f>"7917146"</f>
        <v>7917146</v>
      </c>
      <c r="B26361" t="s">
        <v>5028</v>
      </c>
      <c r="C26361" t="s">
        <v>269</v>
      </c>
      <c r="D26361" s="21" t="s">
        <v>34</v>
      </c>
      <c r="E26361" s="21" t="s">
        <v>71</v>
      </c>
      <c r="F26361">
        <v>10790228</v>
      </c>
      <c r="G26361" t="s">
        <v>6692</v>
      </c>
      <c r="H26361" s="21">
        <v>620.16999999999996</v>
      </c>
    </row>
    <row r="26362" spans="1:8" customFormat="1" x14ac:dyDescent="0.25">
      <c r="A26362" t="str">
        <f>"6016246"</f>
        <v>6016246</v>
      </c>
      <c r="B26362" t="s">
        <v>21391</v>
      </c>
      <c r="C26362" t="s">
        <v>267</v>
      </c>
      <c r="D26362" s="21" t="s">
        <v>34</v>
      </c>
      <c r="E26362" s="21" t="s">
        <v>1089</v>
      </c>
      <c r="F26362">
        <v>7600157</v>
      </c>
      <c r="G26362" t="s">
        <v>12263</v>
      </c>
      <c r="H26362" s="21">
        <v>620.16999999999996</v>
      </c>
    </row>
    <row r="26363" spans="1:8" customFormat="1" x14ac:dyDescent="0.25">
      <c r="A26363" t="str">
        <f>"037322"</f>
        <v>037322</v>
      </c>
      <c r="B26363" t="s">
        <v>3006</v>
      </c>
      <c r="C26363" t="s">
        <v>269</v>
      </c>
      <c r="D26363" s="21" t="s">
        <v>34</v>
      </c>
      <c r="E26363" s="21" t="s">
        <v>71</v>
      </c>
      <c r="F26363">
        <v>1030128</v>
      </c>
      <c r="G26363" t="s">
        <v>7355</v>
      </c>
      <c r="H26363" s="21">
        <v>620.16999999999996</v>
      </c>
    </row>
    <row r="26364" spans="1:8" customFormat="1" x14ac:dyDescent="0.25">
      <c r="A26364" t="str">
        <f>"878358"</f>
        <v>878358</v>
      </c>
      <c r="B26364" t="s">
        <v>19160</v>
      </c>
      <c r="C26364" t="s">
        <v>415</v>
      </c>
      <c r="D26364" s="21" t="s">
        <v>34</v>
      </c>
      <c r="E26364" s="21" t="s">
        <v>1089</v>
      </c>
      <c r="F26364">
        <v>10870130</v>
      </c>
      <c r="G26364" t="s">
        <v>7564</v>
      </c>
      <c r="H26364" s="21">
        <v>620.16999999999996</v>
      </c>
    </row>
    <row r="26365" spans="1:8" customFormat="1" x14ac:dyDescent="0.25">
      <c r="A26365" t="str">
        <f>"8818954"</f>
        <v>8818954</v>
      </c>
      <c r="B26365" t="s">
        <v>27908</v>
      </c>
      <c r="C26365" t="s">
        <v>3456</v>
      </c>
      <c r="D26365" s="21" t="s">
        <v>34</v>
      </c>
      <c r="E26365" s="21" t="s">
        <v>71</v>
      </c>
      <c r="F26365">
        <v>6880145</v>
      </c>
      <c r="G26365" t="s">
        <v>1303</v>
      </c>
      <c r="H26365" s="21">
        <v>620.16999999999996</v>
      </c>
    </row>
    <row r="26366" spans="1:8" customFormat="1" x14ac:dyDescent="0.25">
      <c r="A26366" t="str">
        <f>"5019622"</f>
        <v>5019622</v>
      </c>
      <c r="B26366" t="s">
        <v>27909</v>
      </c>
      <c r="C26366" t="s">
        <v>328</v>
      </c>
      <c r="D26366" s="21" t="s">
        <v>34</v>
      </c>
      <c r="E26366" s="21" t="s">
        <v>35</v>
      </c>
      <c r="F26366">
        <v>9500022</v>
      </c>
      <c r="G26366" t="s">
        <v>4324</v>
      </c>
      <c r="H26366" s="21">
        <v>620.16999999999996</v>
      </c>
    </row>
    <row r="26367" spans="1:8" customFormat="1" x14ac:dyDescent="0.25">
      <c r="A26367" t="str">
        <f>"5112574"</f>
        <v>5112574</v>
      </c>
      <c r="B26367" t="s">
        <v>9975</v>
      </c>
      <c r="C26367" t="s">
        <v>7515</v>
      </c>
      <c r="D26367" s="21" t="s">
        <v>34</v>
      </c>
      <c r="E26367" s="21" t="s">
        <v>35</v>
      </c>
      <c r="F26367">
        <v>6510107</v>
      </c>
      <c r="G26367" t="s">
        <v>1392</v>
      </c>
      <c r="H26367" s="21">
        <v>620.16999999999996</v>
      </c>
    </row>
    <row r="26368" spans="1:8" customFormat="1" x14ac:dyDescent="0.25">
      <c r="A26368" t="str">
        <f>"7523097"</f>
        <v>7523097</v>
      </c>
      <c r="B26368" t="s">
        <v>19265</v>
      </c>
      <c r="C26368" t="s">
        <v>1025</v>
      </c>
      <c r="D26368" s="21" t="s">
        <v>34</v>
      </c>
      <c r="E26368" s="21" t="s">
        <v>71</v>
      </c>
      <c r="F26368">
        <v>8750400</v>
      </c>
      <c r="G26368" t="s">
        <v>2804</v>
      </c>
      <c r="H26368" s="21">
        <v>620.16999999999996</v>
      </c>
    </row>
    <row r="26369" spans="1:8" customFormat="1" x14ac:dyDescent="0.25">
      <c r="A26369" t="str">
        <f>"2714492"</f>
        <v>2714492</v>
      </c>
      <c r="B26369" t="s">
        <v>18428</v>
      </c>
      <c r="C26369" t="s">
        <v>55</v>
      </c>
      <c r="D26369" s="21" t="s">
        <v>34</v>
      </c>
      <c r="E26369" s="21" t="s">
        <v>71</v>
      </c>
      <c r="F26369">
        <v>9270071</v>
      </c>
      <c r="G26369" t="s">
        <v>7815</v>
      </c>
      <c r="H26369" s="21">
        <v>620.16999999999996</v>
      </c>
    </row>
    <row r="26370" spans="1:8" customFormat="1" x14ac:dyDescent="0.25">
      <c r="A26370" t="str">
        <f>"5616256"</f>
        <v>5616256</v>
      </c>
      <c r="B26370" t="s">
        <v>1886</v>
      </c>
      <c r="C26370" t="s">
        <v>3662</v>
      </c>
      <c r="D26370" s="21" t="s">
        <v>34</v>
      </c>
      <c r="E26370" s="21" t="s">
        <v>35</v>
      </c>
      <c r="F26370">
        <v>10190054</v>
      </c>
      <c r="G26370" t="s">
        <v>4189</v>
      </c>
      <c r="H26370" s="21">
        <v>620.16999999999996</v>
      </c>
    </row>
    <row r="26371" spans="1:8" customFormat="1" x14ac:dyDescent="0.25">
      <c r="A26371" t="str">
        <f>"848044"</f>
        <v>848044</v>
      </c>
      <c r="B26371" t="s">
        <v>19235</v>
      </c>
      <c r="C26371" t="s">
        <v>883</v>
      </c>
      <c r="D26371" s="21" t="s">
        <v>34</v>
      </c>
      <c r="E26371" s="21" t="s">
        <v>71</v>
      </c>
      <c r="F26371">
        <v>13840045</v>
      </c>
      <c r="G26371" t="s">
        <v>11703</v>
      </c>
      <c r="H26371" s="21">
        <v>620.16999999999996</v>
      </c>
    </row>
    <row r="26372" spans="1:8" customFormat="1" x14ac:dyDescent="0.25">
      <c r="A26372" t="str">
        <f>"7869284"</f>
        <v>7869284</v>
      </c>
      <c r="B26372" t="s">
        <v>20363</v>
      </c>
      <c r="C26372" t="s">
        <v>87</v>
      </c>
      <c r="D26372" s="21" t="s">
        <v>34</v>
      </c>
      <c r="E26372" s="21" t="s">
        <v>35</v>
      </c>
      <c r="F26372">
        <v>8780678</v>
      </c>
      <c r="G26372" t="s">
        <v>8556</v>
      </c>
      <c r="H26372" s="21">
        <v>620.16999999999996</v>
      </c>
    </row>
    <row r="26373" spans="1:8" customFormat="1" x14ac:dyDescent="0.25">
      <c r="A26373" t="str">
        <f>"112206"</f>
        <v>112206</v>
      </c>
      <c r="B26373" t="s">
        <v>15612</v>
      </c>
      <c r="C26373" t="s">
        <v>239</v>
      </c>
      <c r="D26373" s="21" t="s">
        <v>34</v>
      </c>
      <c r="E26373" s="21" t="s">
        <v>71</v>
      </c>
      <c r="F26373">
        <v>11110001</v>
      </c>
      <c r="G26373" t="s">
        <v>11560</v>
      </c>
      <c r="H26373" s="21">
        <v>620.16999999999996</v>
      </c>
    </row>
    <row r="26374" spans="1:8" customFormat="1" x14ac:dyDescent="0.25">
      <c r="A26374" t="str">
        <f>"5113268"</f>
        <v>5113268</v>
      </c>
      <c r="B26374" t="s">
        <v>20918</v>
      </c>
      <c r="C26374" t="s">
        <v>55</v>
      </c>
      <c r="D26374" s="21" t="s">
        <v>34</v>
      </c>
      <c r="E26374" s="21" t="s">
        <v>35</v>
      </c>
      <c r="F26374">
        <v>6510107</v>
      </c>
      <c r="G26374" t="s">
        <v>1392</v>
      </c>
      <c r="H26374" s="21">
        <v>620.16999999999996</v>
      </c>
    </row>
    <row r="26375" spans="1:8" customFormat="1" x14ac:dyDescent="0.25">
      <c r="A26375" t="str">
        <f>"9144526"</f>
        <v>9144526</v>
      </c>
      <c r="B26375" t="s">
        <v>19807</v>
      </c>
      <c r="C26375" t="s">
        <v>204</v>
      </c>
      <c r="D26375" s="21" t="s">
        <v>34</v>
      </c>
      <c r="E26375" s="21" t="s">
        <v>71</v>
      </c>
      <c r="F26375">
        <v>8911064</v>
      </c>
      <c r="G26375" t="s">
        <v>2209</v>
      </c>
      <c r="H26375" s="21">
        <v>620.16999999999996</v>
      </c>
    </row>
    <row r="26376" spans="1:8" customFormat="1" x14ac:dyDescent="0.25">
      <c r="A26376" t="str">
        <f>"783472"</f>
        <v>783472</v>
      </c>
      <c r="B26376" t="s">
        <v>4926</v>
      </c>
      <c r="C26376" t="s">
        <v>3073</v>
      </c>
      <c r="D26376" s="21" t="s">
        <v>34</v>
      </c>
      <c r="E26376" s="21" t="s">
        <v>1089</v>
      </c>
      <c r="F26376">
        <v>8780002</v>
      </c>
      <c r="G26376" t="s">
        <v>2196</v>
      </c>
      <c r="H26376" s="21">
        <v>620.16999999999996</v>
      </c>
    </row>
    <row r="26377" spans="1:8" customFormat="1" x14ac:dyDescent="0.25">
      <c r="A26377" t="str">
        <f>"3528092"</f>
        <v>3528092</v>
      </c>
      <c r="B26377" t="s">
        <v>19276</v>
      </c>
      <c r="C26377" t="s">
        <v>209</v>
      </c>
      <c r="D26377" s="21" t="s">
        <v>34</v>
      </c>
      <c r="E26377" s="21" t="s">
        <v>71</v>
      </c>
      <c r="F26377">
        <v>3350210</v>
      </c>
      <c r="G26377" t="s">
        <v>12171</v>
      </c>
      <c r="H26377" s="21">
        <v>620.16999999999996</v>
      </c>
    </row>
    <row r="26378" spans="1:8" customFormat="1" x14ac:dyDescent="0.25">
      <c r="A26378" t="str">
        <f>"111755"</f>
        <v>111755</v>
      </c>
      <c r="B26378" t="s">
        <v>19830</v>
      </c>
      <c r="C26378" t="s">
        <v>40</v>
      </c>
      <c r="D26378" s="21" t="s">
        <v>34</v>
      </c>
      <c r="E26378" s="21" t="s">
        <v>1089</v>
      </c>
      <c r="F26378">
        <v>11110027</v>
      </c>
      <c r="G26378" t="s">
        <v>713</v>
      </c>
      <c r="H26378" s="21">
        <v>620.16999999999996</v>
      </c>
    </row>
    <row r="26379" spans="1:8" customFormat="1" x14ac:dyDescent="0.25">
      <c r="A26379" t="str">
        <f>"535689"</f>
        <v>535689</v>
      </c>
      <c r="B26379" t="s">
        <v>19074</v>
      </c>
      <c r="C26379" t="s">
        <v>1539</v>
      </c>
      <c r="D26379" s="21" t="s">
        <v>34</v>
      </c>
      <c r="E26379" s="21" t="s">
        <v>254</v>
      </c>
      <c r="F26379">
        <v>12530054</v>
      </c>
      <c r="G26379" t="s">
        <v>354</v>
      </c>
      <c r="H26379" s="21">
        <v>619.91999999999996</v>
      </c>
    </row>
    <row r="26380" spans="1:8" customFormat="1" x14ac:dyDescent="0.25">
      <c r="A26380" t="str">
        <f>"9521602"</f>
        <v>9521602</v>
      </c>
      <c r="B26380" t="s">
        <v>18745</v>
      </c>
      <c r="C26380" t="s">
        <v>812</v>
      </c>
      <c r="D26380" s="21" t="s">
        <v>34</v>
      </c>
      <c r="E26380" s="21" t="s">
        <v>254</v>
      </c>
      <c r="F26380">
        <v>8950570</v>
      </c>
      <c r="G26380" t="s">
        <v>3226</v>
      </c>
      <c r="H26380" s="21">
        <v>619.91999999999996</v>
      </c>
    </row>
    <row r="26381" spans="1:8" customFormat="1" x14ac:dyDescent="0.25">
      <c r="A26381" t="str">
        <f>"6017951"</f>
        <v>6017951</v>
      </c>
      <c r="B26381" t="s">
        <v>213</v>
      </c>
      <c r="C26381" t="s">
        <v>43</v>
      </c>
      <c r="D26381" s="21" t="s">
        <v>34</v>
      </c>
      <c r="E26381" s="21" t="s">
        <v>35</v>
      </c>
      <c r="F26381">
        <v>10790022</v>
      </c>
      <c r="G26381" t="s">
        <v>7916</v>
      </c>
      <c r="H26381" s="21">
        <v>619.79</v>
      </c>
    </row>
    <row r="26382" spans="1:8" customFormat="1" x14ac:dyDescent="0.25">
      <c r="A26382" t="str">
        <f>"339200"</f>
        <v>339200</v>
      </c>
      <c r="B26382" t="s">
        <v>18867</v>
      </c>
      <c r="C26382" t="s">
        <v>65</v>
      </c>
      <c r="D26382" s="21" t="s">
        <v>34</v>
      </c>
      <c r="E26382" s="21" t="s">
        <v>35</v>
      </c>
      <c r="F26382">
        <v>10330009</v>
      </c>
      <c r="G26382" t="s">
        <v>2064</v>
      </c>
      <c r="H26382" s="21">
        <v>619.79</v>
      </c>
    </row>
    <row r="26383" spans="1:8" customFormat="1" x14ac:dyDescent="0.25">
      <c r="A26383" t="str">
        <f>"2936849"</f>
        <v>2936849</v>
      </c>
      <c r="B26383" t="s">
        <v>21301</v>
      </c>
      <c r="C26383" t="s">
        <v>239</v>
      </c>
      <c r="D26383" s="21" t="s">
        <v>34</v>
      </c>
      <c r="E26383" s="21" t="s">
        <v>71</v>
      </c>
      <c r="F26383">
        <v>3290232</v>
      </c>
      <c r="G26383" t="s">
        <v>9588</v>
      </c>
      <c r="H26383" s="21">
        <v>619.66999999999996</v>
      </c>
    </row>
    <row r="26384" spans="1:8" customFormat="1" x14ac:dyDescent="0.25">
      <c r="A26384" t="str">
        <f>"072349"</f>
        <v>072349</v>
      </c>
      <c r="B26384" t="s">
        <v>12674</v>
      </c>
      <c r="C26384" t="s">
        <v>3784</v>
      </c>
      <c r="D26384" s="21" t="s">
        <v>34</v>
      </c>
      <c r="E26384" s="21" t="s">
        <v>1089</v>
      </c>
      <c r="F26384">
        <v>1260062</v>
      </c>
      <c r="G26384" t="s">
        <v>6156</v>
      </c>
      <c r="H26384" s="21">
        <v>619.66999999999996</v>
      </c>
    </row>
    <row r="26385" spans="1:8" customFormat="1" x14ac:dyDescent="0.25">
      <c r="A26385" t="str">
        <f>"5619622"</f>
        <v>5619622</v>
      </c>
      <c r="B26385" t="s">
        <v>9178</v>
      </c>
      <c r="C26385" t="s">
        <v>198</v>
      </c>
      <c r="D26385" s="21" t="s">
        <v>34</v>
      </c>
      <c r="E26385" s="21" t="s">
        <v>71</v>
      </c>
      <c r="F26385">
        <v>3560045</v>
      </c>
      <c r="G26385" t="s">
        <v>4969</v>
      </c>
      <c r="H26385" s="21">
        <v>619.66999999999996</v>
      </c>
    </row>
    <row r="26386" spans="1:8" customFormat="1" x14ac:dyDescent="0.25">
      <c r="A26386" t="str">
        <f>"3729117"</f>
        <v>3729117</v>
      </c>
      <c r="B26386" t="s">
        <v>9733</v>
      </c>
      <c r="C26386" t="s">
        <v>462</v>
      </c>
      <c r="D26386" s="21" t="s">
        <v>34</v>
      </c>
      <c r="E26386" s="21" t="s">
        <v>35</v>
      </c>
      <c r="F26386">
        <v>4370730</v>
      </c>
      <c r="G26386" t="s">
        <v>18791</v>
      </c>
      <c r="H26386" s="21">
        <v>619.66999999999996</v>
      </c>
    </row>
    <row r="26387" spans="1:8" customFormat="1" x14ac:dyDescent="0.25">
      <c r="A26387" t="str">
        <f>"1611660"</f>
        <v>1611660</v>
      </c>
      <c r="B26387" t="s">
        <v>21035</v>
      </c>
      <c r="C26387" t="s">
        <v>598</v>
      </c>
      <c r="D26387" s="21" t="s">
        <v>34</v>
      </c>
      <c r="E26387" s="21" t="s">
        <v>71</v>
      </c>
      <c r="F26387">
        <v>10160042</v>
      </c>
      <c r="G26387" t="s">
        <v>7461</v>
      </c>
      <c r="H26387" s="21">
        <v>619.66999999999996</v>
      </c>
    </row>
    <row r="26388" spans="1:8" customFormat="1" x14ac:dyDescent="0.25">
      <c r="A26388" t="str">
        <f>"7638377"</f>
        <v>7638377</v>
      </c>
      <c r="B26388" t="s">
        <v>19857</v>
      </c>
      <c r="C26388" t="s">
        <v>7515</v>
      </c>
      <c r="D26388" s="21" t="s">
        <v>34</v>
      </c>
      <c r="E26388" s="21" t="s">
        <v>254</v>
      </c>
      <c r="F26388">
        <v>9760390</v>
      </c>
      <c r="G26388" t="s">
        <v>17285</v>
      </c>
      <c r="H26388" s="21">
        <v>619.66999999999996</v>
      </c>
    </row>
    <row r="26389" spans="1:8" customFormat="1" x14ac:dyDescent="0.25">
      <c r="A26389" t="str">
        <f>"279592"</f>
        <v>279592</v>
      </c>
      <c r="B26389" t="s">
        <v>1301</v>
      </c>
      <c r="C26389" t="s">
        <v>4721</v>
      </c>
      <c r="D26389" s="21" t="s">
        <v>34</v>
      </c>
      <c r="E26389" s="21" t="s">
        <v>71</v>
      </c>
      <c r="F26389">
        <v>9270151</v>
      </c>
      <c r="G26389" t="s">
        <v>626</v>
      </c>
      <c r="H26389" s="21">
        <v>619.66999999999996</v>
      </c>
    </row>
    <row r="26390" spans="1:8" customFormat="1" x14ac:dyDescent="0.25">
      <c r="A26390" t="str">
        <f>"8014813"</f>
        <v>8014813</v>
      </c>
      <c r="B26390" t="s">
        <v>19053</v>
      </c>
      <c r="C26390" t="s">
        <v>462</v>
      </c>
      <c r="D26390" s="21" t="s">
        <v>34</v>
      </c>
      <c r="E26390" s="21" t="s">
        <v>71</v>
      </c>
      <c r="F26390">
        <v>7800149</v>
      </c>
      <c r="G26390" t="s">
        <v>12618</v>
      </c>
      <c r="H26390" s="21">
        <v>619.66999999999996</v>
      </c>
    </row>
    <row r="26391" spans="1:8" customFormat="1" x14ac:dyDescent="0.25">
      <c r="A26391" t="str">
        <f>"2813987"</f>
        <v>2813987</v>
      </c>
      <c r="B26391" t="s">
        <v>19992</v>
      </c>
      <c r="C26391" t="s">
        <v>19993</v>
      </c>
      <c r="D26391" s="21" t="s">
        <v>34</v>
      </c>
      <c r="E26391" s="21" t="s">
        <v>71</v>
      </c>
      <c r="F26391">
        <v>4280045</v>
      </c>
      <c r="G26391" t="s">
        <v>787</v>
      </c>
      <c r="H26391" s="21">
        <v>619.66999999999996</v>
      </c>
    </row>
    <row r="26392" spans="1:8" customFormat="1" x14ac:dyDescent="0.25">
      <c r="A26392" t="str">
        <f>"9241134"</f>
        <v>9241134</v>
      </c>
      <c r="B26392" t="s">
        <v>20324</v>
      </c>
      <c r="C26392" t="s">
        <v>2365</v>
      </c>
      <c r="D26392" s="21" t="s">
        <v>34</v>
      </c>
      <c r="E26392" s="21" t="s">
        <v>71</v>
      </c>
      <c r="F26392">
        <v>8920151</v>
      </c>
      <c r="G26392" t="s">
        <v>1434</v>
      </c>
      <c r="H26392" s="21">
        <v>619.66999999999996</v>
      </c>
    </row>
    <row r="26393" spans="1:8" customFormat="1" x14ac:dyDescent="0.25">
      <c r="A26393" t="str">
        <f>"7622240"</f>
        <v>7622240</v>
      </c>
      <c r="B26393" t="s">
        <v>20857</v>
      </c>
      <c r="C26393" t="s">
        <v>65</v>
      </c>
      <c r="D26393" s="21" t="s">
        <v>34</v>
      </c>
      <c r="E26393" s="21" t="s">
        <v>35</v>
      </c>
      <c r="F26393">
        <v>9760351</v>
      </c>
      <c r="G26393" t="s">
        <v>5898</v>
      </c>
      <c r="H26393" s="21">
        <v>619.66999999999996</v>
      </c>
    </row>
    <row r="26394" spans="1:8" customFormat="1" x14ac:dyDescent="0.25">
      <c r="A26394" t="str">
        <f>"404961"</f>
        <v>404961</v>
      </c>
      <c r="B26394" t="s">
        <v>20892</v>
      </c>
      <c r="C26394" t="s">
        <v>428</v>
      </c>
      <c r="D26394" s="21" t="s">
        <v>34</v>
      </c>
      <c r="E26394" s="21" t="s">
        <v>35</v>
      </c>
      <c r="F26394">
        <v>10400021</v>
      </c>
      <c r="G26394" t="s">
        <v>12111</v>
      </c>
      <c r="H26394" s="21">
        <v>619.66999999999996</v>
      </c>
    </row>
    <row r="26395" spans="1:8" customFormat="1" x14ac:dyDescent="0.25">
      <c r="A26395" t="str">
        <f>"7638674"</f>
        <v>7638674</v>
      </c>
      <c r="B26395" t="s">
        <v>3904</v>
      </c>
      <c r="C26395" t="s">
        <v>926</v>
      </c>
      <c r="D26395" s="21" t="s">
        <v>34</v>
      </c>
      <c r="E26395" s="21" t="s">
        <v>71</v>
      </c>
      <c r="F26395">
        <v>9760319</v>
      </c>
      <c r="G26395" t="s">
        <v>3051</v>
      </c>
      <c r="H26395" s="21">
        <v>619.66999999999996</v>
      </c>
    </row>
    <row r="26396" spans="1:8" customFormat="1" x14ac:dyDescent="0.25">
      <c r="A26396" t="str">
        <f>"4429866"</f>
        <v>4429866</v>
      </c>
      <c r="B26396" t="s">
        <v>5479</v>
      </c>
      <c r="C26396" t="s">
        <v>43</v>
      </c>
      <c r="D26396" s="21" t="s">
        <v>34</v>
      </c>
      <c r="E26396" s="21" t="s">
        <v>35</v>
      </c>
      <c r="F26396">
        <v>12440227</v>
      </c>
      <c r="G26396" t="s">
        <v>19150</v>
      </c>
      <c r="H26396" s="21">
        <v>619.66999999999996</v>
      </c>
    </row>
    <row r="26397" spans="1:8" customFormat="1" x14ac:dyDescent="0.25">
      <c r="A26397" t="str">
        <f>"3531783"</f>
        <v>3531783</v>
      </c>
      <c r="B26397" t="s">
        <v>4124</v>
      </c>
      <c r="C26397" t="s">
        <v>1803</v>
      </c>
      <c r="D26397" s="21" t="s">
        <v>34</v>
      </c>
      <c r="E26397" s="21" t="s">
        <v>35</v>
      </c>
      <c r="F26397">
        <v>3290009</v>
      </c>
      <c r="G26397" t="s">
        <v>4358</v>
      </c>
      <c r="H26397" s="21">
        <v>619.66999999999996</v>
      </c>
    </row>
    <row r="26398" spans="1:8" customFormat="1" x14ac:dyDescent="0.25">
      <c r="A26398" t="str">
        <f>"59371"</f>
        <v>59371</v>
      </c>
      <c r="B26398" t="s">
        <v>2567</v>
      </c>
      <c r="C26398" t="s">
        <v>598</v>
      </c>
      <c r="D26398" s="21" t="s">
        <v>34</v>
      </c>
      <c r="E26398" s="21" t="s">
        <v>1089</v>
      </c>
      <c r="F26398">
        <v>7590011</v>
      </c>
      <c r="G26398" t="s">
        <v>2147</v>
      </c>
      <c r="H26398" s="21">
        <v>619.66999999999996</v>
      </c>
    </row>
    <row r="26399" spans="1:8" customFormat="1" x14ac:dyDescent="0.25">
      <c r="A26399" t="str">
        <f>"145362"</f>
        <v>145362</v>
      </c>
      <c r="B26399" t="s">
        <v>18112</v>
      </c>
      <c r="C26399" t="s">
        <v>3258</v>
      </c>
      <c r="D26399" s="21" t="s">
        <v>34</v>
      </c>
      <c r="E26399" s="21" t="s">
        <v>1089</v>
      </c>
      <c r="F26399">
        <v>9140167</v>
      </c>
      <c r="G26399" t="s">
        <v>5116</v>
      </c>
      <c r="H26399" s="21">
        <v>619.66999999999996</v>
      </c>
    </row>
    <row r="26400" spans="1:8" customFormat="1" x14ac:dyDescent="0.25">
      <c r="A26400" t="str">
        <f>"1614111"</f>
        <v>1614111</v>
      </c>
      <c r="B26400" t="s">
        <v>4649</v>
      </c>
      <c r="C26400" t="s">
        <v>2907</v>
      </c>
      <c r="D26400" s="21" t="s">
        <v>34</v>
      </c>
      <c r="E26400" s="21" t="s">
        <v>71</v>
      </c>
      <c r="F26400">
        <v>10160002</v>
      </c>
      <c r="G26400" t="s">
        <v>15000</v>
      </c>
      <c r="H26400" s="21">
        <v>619.66999999999996</v>
      </c>
    </row>
    <row r="26401" spans="1:8" customFormat="1" x14ac:dyDescent="0.25">
      <c r="A26401" t="str">
        <f>"7512316"</f>
        <v>7512316</v>
      </c>
      <c r="B26401" t="s">
        <v>2313</v>
      </c>
      <c r="C26401" t="s">
        <v>209</v>
      </c>
      <c r="D26401" s="21" t="s">
        <v>34</v>
      </c>
      <c r="E26401" s="21" t="s">
        <v>35</v>
      </c>
      <c r="F26401">
        <v>8750487</v>
      </c>
      <c r="G26401" t="s">
        <v>6793</v>
      </c>
      <c r="H26401" s="21">
        <v>619.66999999999996</v>
      </c>
    </row>
    <row r="26402" spans="1:8" customFormat="1" x14ac:dyDescent="0.25">
      <c r="A26402" t="str">
        <f>"7852309"</f>
        <v>7852309</v>
      </c>
      <c r="B26402" t="s">
        <v>556</v>
      </c>
      <c r="C26402" t="s">
        <v>55</v>
      </c>
      <c r="D26402" s="21" t="s">
        <v>34</v>
      </c>
      <c r="E26402" s="21" t="s">
        <v>35</v>
      </c>
      <c r="F26402">
        <v>8780401</v>
      </c>
      <c r="G26402" t="s">
        <v>9116</v>
      </c>
      <c r="H26402" s="21">
        <v>619.66999999999996</v>
      </c>
    </row>
    <row r="26403" spans="1:8" customFormat="1" x14ac:dyDescent="0.25">
      <c r="A26403" t="str">
        <f>"591126"</f>
        <v>591126</v>
      </c>
      <c r="B26403" t="s">
        <v>17467</v>
      </c>
      <c r="C26403" t="s">
        <v>1142</v>
      </c>
      <c r="D26403" s="21" t="s">
        <v>34</v>
      </c>
      <c r="E26403" s="21" t="s">
        <v>254</v>
      </c>
      <c r="F26403">
        <v>7590021</v>
      </c>
      <c r="G26403" t="s">
        <v>4910</v>
      </c>
      <c r="H26403" s="21">
        <v>619.66999999999996</v>
      </c>
    </row>
    <row r="26404" spans="1:8" customFormat="1" x14ac:dyDescent="0.25">
      <c r="A26404" t="str">
        <f>"752523"</f>
        <v>752523</v>
      </c>
      <c r="B26404" t="s">
        <v>13613</v>
      </c>
      <c r="C26404" t="s">
        <v>812</v>
      </c>
      <c r="D26404" s="21" t="s">
        <v>34</v>
      </c>
      <c r="E26404" s="21" t="s">
        <v>1089</v>
      </c>
      <c r="F26404">
        <v>8750100</v>
      </c>
      <c r="G26404" t="s">
        <v>10521</v>
      </c>
      <c r="H26404" s="21">
        <v>619.66999999999996</v>
      </c>
    </row>
    <row r="26405" spans="1:8" customFormat="1" x14ac:dyDescent="0.25">
      <c r="A26405" t="str">
        <f>"838867"</f>
        <v>838867</v>
      </c>
      <c r="B26405" t="s">
        <v>25159</v>
      </c>
      <c r="C26405" t="s">
        <v>2520</v>
      </c>
      <c r="D26405" s="21" t="s">
        <v>34</v>
      </c>
      <c r="E26405" s="21" t="s">
        <v>254</v>
      </c>
      <c r="F26405">
        <v>13830066</v>
      </c>
      <c r="G26405" t="s">
        <v>7148</v>
      </c>
      <c r="H26405" s="21">
        <v>619.66999999999996</v>
      </c>
    </row>
    <row r="26406" spans="1:8" customFormat="1" x14ac:dyDescent="0.25">
      <c r="A26406" t="str">
        <f>"839349"</f>
        <v>839349</v>
      </c>
      <c r="B26406" t="s">
        <v>9241</v>
      </c>
      <c r="C26406" t="s">
        <v>239</v>
      </c>
      <c r="D26406" s="21" t="s">
        <v>34</v>
      </c>
      <c r="E26406" s="21" t="s">
        <v>6185</v>
      </c>
      <c r="F26406" t="s">
        <v>2462</v>
      </c>
      <c r="G26406" t="s">
        <v>2463</v>
      </c>
      <c r="H26406" s="21">
        <v>619.66999999999996</v>
      </c>
    </row>
    <row r="26407" spans="1:8" customFormat="1" x14ac:dyDescent="0.25">
      <c r="A26407" t="str">
        <f>"5916833"</f>
        <v>5916833</v>
      </c>
      <c r="B26407" t="s">
        <v>10492</v>
      </c>
      <c r="C26407" t="s">
        <v>2365</v>
      </c>
      <c r="D26407" s="21" t="s">
        <v>34</v>
      </c>
      <c r="E26407" s="21" t="s">
        <v>71</v>
      </c>
      <c r="F26407">
        <v>7590050</v>
      </c>
      <c r="G26407" t="s">
        <v>473</v>
      </c>
      <c r="H26407" s="21">
        <v>619.66999999999996</v>
      </c>
    </row>
    <row r="26408" spans="1:8" customFormat="1" x14ac:dyDescent="0.25">
      <c r="A26408" t="str">
        <f>"9534379"</f>
        <v>9534379</v>
      </c>
      <c r="B26408" t="s">
        <v>27910</v>
      </c>
      <c r="C26408" t="s">
        <v>825</v>
      </c>
      <c r="D26408" s="21" t="s">
        <v>34</v>
      </c>
      <c r="E26408" s="21" t="s">
        <v>35</v>
      </c>
      <c r="F26408">
        <v>8950103</v>
      </c>
      <c r="G26408" t="s">
        <v>440</v>
      </c>
      <c r="H26408" s="21">
        <v>619.66999999999996</v>
      </c>
    </row>
    <row r="26409" spans="1:8" customFormat="1" x14ac:dyDescent="0.25">
      <c r="A26409" t="str">
        <f>"2510183"</f>
        <v>2510183</v>
      </c>
      <c r="B26409" t="s">
        <v>2854</v>
      </c>
      <c r="C26409" t="s">
        <v>3010</v>
      </c>
      <c r="D26409" s="21" t="s">
        <v>34</v>
      </c>
      <c r="E26409" s="21" t="s">
        <v>1089</v>
      </c>
      <c r="F26409">
        <v>2250138</v>
      </c>
      <c r="G26409" t="s">
        <v>4094</v>
      </c>
      <c r="H26409" s="21">
        <v>619.66999999999996</v>
      </c>
    </row>
    <row r="26410" spans="1:8" customFormat="1" x14ac:dyDescent="0.25">
      <c r="A26410" t="str">
        <f>"5974756"</f>
        <v>5974756</v>
      </c>
      <c r="B26410" t="s">
        <v>3791</v>
      </c>
      <c r="C26410" t="s">
        <v>209</v>
      </c>
      <c r="D26410" s="21" t="s">
        <v>34</v>
      </c>
      <c r="E26410" s="21" t="s">
        <v>71</v>
      </c>
      <c r="F26410">
        <v>7590173</v>
      </c>
      <c r="G26410" t="s">
        <v>5675</v>
      </c>
      <c r="H26410" s="21">
        <v>619.66999999999996</v>
      </c>
    </row>
    <row r="26411" spans="1:8" customFormat="1" x14ac:dyDescent="0.25">
      <c r="A26411" t="str">
        <f>"9536212"</f>
        <v>9536212</v>
      </c>
      <c r="B26411" t="s">
        <v>22277</v>
      </c>
      <c r="C26411" t="s">
        <v>127</v>
      </c>
      <c r="D26411" s="21" t="s">
        <v>34</v>
      </c>
      <c r="E26411" s="21" t="s">
        <v>35</v>
      </c>
      <c r="F26411">
        <v>8951331</v>
      </c>
      <c r="G26411" t="s">
        <v>1134</v>
      </c>
      <c r="H26411" s="21">
        <v>619.66999999999996</v>
      </c>
    </row>
    <row r="26412" spans="1:8" customFormat="1" x14ac:dyDescent="0.25">
      <c r="A26412" t="str">
        <f>"3514902"</f>
        <v>3514902</v>
      </c>
      <c r="B26412" t="s">
        <v>1030</v>
      </c>
      <c r="C26412" t="s">
        <v>156</v>
      </c>
      <c r="D26412" s="21" t="s">
        <v>34</v>
      </c>
      <c r="E26412" s="21" t="s">
        <v>71</v>
      </c>
      <c r="F26412">
        <v>3350035</v>
      </c>
      <c r="G26412" t="s">
        <v>9970</v>
      </c>
      <c r="H26412" s="21">
        <v>619.66999999999996</v>
      </c>
    </row>
    <row r="26413" spans="1:8" customFormat="1" x14ac:dyDescent="0.25">
      <c r="A26413" t="str">
        <f>"6111370"</f>
        <v>6111370</v>
      </c>
      <c r="B26413" t="s">
        <v>21313</v>
      </c>
      <c r="C26413" t="s">
        <v>87</v>
      </c>
      <c r="D26413" s="21" t="s">
        <v>34</v>
      </c>
      <c r="E26413" s="21" t="s">
        <v>71</v>
      </c>
      <c r="F26413">
        <v>9610135</v>
      </c>
      <c r="G26413" t="s">
        <v>8227</v>
      </c>
      <c r="H26413" s="21">
        <v>619.66999999999996</v>
      </c>
    </row>
    <row r="26414" spans="1:8" customFormat="1" x14ac:dyDescent="0.25">
      <c r="A26414" t="str">
        <f>"153747"</f>
        <v>153747</v>
      </c>
      <c r="B26414" t="s">
        <v>8711</v>
      </c>
      <c r="C26414" t="s">
        <v>49</v>
      </c>
      <c r="D26414" s="21" t="s">
        <v>34</v>
      </c>
      <c r="E26414" s="21" t="s">
        <v>35</v>
      </c>
      <c r="F26414">
        <v>1150307</v>
      </c>
      <c r="G26414" t="s">
        <v>26826</v>
      </c>
      <c r="H26414" s="21">
        <v>619.66999999999996</v>
      </c>
    </row>
    <row r="26415" spans="1:8" customFormat="1" x14ac:dyDescent="0.25">
      <c r="A26415" t="str">
        <f>"6939433"</f>
        <v>6939433</v>
      </c>
      <c r="B26415" t="s">
        <v>19611</v>
      </c>
      <c r="C26415" t="s">
        <v>37</v>
      </c>
      <c r="D26415" s="21" t="s">
        <v>34</v>
      </c>
      <c r="E26415" s="21" t="s">
        <v>35</v>
      </c>
      <c r="F26415">
        <v>1420148</v>
      </c>
      <c r="G26415" t="s">
        <v>10763</v>
      </c>
      <c r="H26415" s="21">
        <v>619.54</v>
      </c>
    </row>
    <row r="26416" spans="1:8" customFormat="1" x14ac:dyDescent="0.25">
      <c r="A26416" t="str">
        <f>"428231"</f>
        <v>428231</v>
      </c>
      <c r="B26416" t="s">
        <v>17893</v>
      </c>
      <c r="C26416" t="s">
        <v>124</v>
      </c>
      <c r="D26416" s="21" t="s">
        <v>34</v>
      </c>
      <c r="E26416" s="21" t="s">
        <v>35</v>
      </c>
      <c r="F26416">
        <v>1420117</v>
      </c>
      <c r="G26416" t="s">
        <v>2649</v>
      </c>
      <c r="H26416" s="21">
        <v>619.54</v>
      </c>
    </row>
    <row r="26417" spans="1:8" customFormat="1" x14ac:dyDescent="0.25">
      <c r="A26417" t="str">
        <f>"6010109"</f>
        <v>6010109</v>
      </c>
      <c r="B26417" t="s">
        <v>2189</v>
      </c>
      <c r="C26417" t="s">
        <v>415</v>
      </c>
      <c r="D26417" s="21" t="s">
        <v>34</v>
      </c>
      <c r="E26417" s="21" t="s">
        <v>254</v>
      </c>
      <c r="F26417">
        <v>11340053</v>
      </c>
      <c r="G26417" t="s">
        <v>9935</v>
      </c>
      <c r="H26417" s="21">
        <v>619.41999999999996</v>
      </c>
    </row>
    <row r="26418" spans="1:8" customFormat="1" x14ac:dyDescent="0.25">
      <c r="A26418" t="str">
        <f>"0811739"</f>
        <v>0811739</v>
      </c>
      <c r="B26418" t="s">
        <v>3676</v>
      </c>
      <c r="C26418" t="s">
        <v>269</v>
      </c>
      <c r="D26418" s="21" t="s">
        <v>34</v>
      </c>
      <c r="E26418" s="21" t="s">
        <v>254</v>
      </c>
      <c r="F26418">
        <v>6080064</v>
      </c>
      <c r="G26418" t="s">
        <v>5825</v>
      </c>
      <c r="H26418" s="21">
        <v>619.41999999999996</v>
      </c>
    </row>
    <row r="26419" spans="1:8" customFormat="1" x14ac:dyDescent="0.25">
      <c r="A26419" t="str">
        <f>"5975434"</f>
        <v>5975434</v>
      </c>
      <c r="B26419" t="s">
        <v>22632</v>
      </c>
      <c r="C26419" t="s">
        <v>90</v>
      </c>
      <c r="D26419" s="21" t="s">
        <v>34</v>
      </c>
      <c r="E26419" s="21" t="s">
        <v>35</v>
      </c>
      <c r="F26419">
        <v>7590021</v>
      </c>
      <c r="G26419" t="s">
        <v>4910</v>
      </c>
      <c r="H26419" s="21">
        <v>619.16999999999996</v>
      </c>
    </row>
    <row r="26420" spans="1:8" customFormat="1" x14ac:dyDescent="0.25">
      <c r="A26420" t="str">
        <f>"339590"</f>
        <v>339590</v>
      </c>
      <c r="B26420" t="s">
        <v>18716</v>
      </c>
      <c r="C26420" t="s">
        <v>2520</v>
      </c>
      <c r="D26420" s="21" t="s">
        <v>34</v>
      </c>
      <c r="E26420" s="21" t="s">
        <v>254</v>
      </c>
      <c r="F26420">
        <v>10330018</v>
      </c>
      <c r="G26420" t="s">
        <v>15112</v>
      </c>
      <c r="H26420" s="21">
        <v>619.16999999999996</v>
      </c>
    </row>
    <row r="26421" spans="1:8" customFormat="1" x14ac:dyDescent="0.25">
      <c r="A26421" t="str">
        <f>"7729004"</f>
        <v>7729004</v>
      </c>
      <c r="B26421" t="s">
        <v>2313</v>
      </c>
      <c r="C26421" t="s">
        <v>19656</v>
      </c>
      <c r="D26421" s="21" t="s">
        <v>34</v>
      </c>
      <c r="E26421" s="21" t="s">
        <v>71</v>
      </c>
      <c r="F26421">
        <v>8771184</v>
      </c>
      <c r="G26421" t="s">
        <v>137</v>
      </c>
      <c r="H26421" s="21">
        <v>619.16999999999996</v>
      </c>
    </row>
    <row r="26422" spans="1:8" customFormat="1" x14ac:dyDescent="0.25">
      <c r="A26422" t="str">
        <f>"5313735"</f>
        <v>5313735</v>
      </c>
      <c r="B26422" t="s">
        <v>18823</v>
      </c>
      <c r="C26422" t="s">
        <v>139</v>
      </c>
      <c r="D26422" s="21" t="s">
        <v>34</v>
      </c>
      <c r="E26422" s="21" t="s">
        <v>71</v>
      </c>
      <c r="F26422">
        <v>12530061</v>
      </c>
      <c r="G26422" t="s">
        <v>9463</v>
      </c>
      <c r="H26422" s="21">
        <v>619.16999999999996</v>
      </c>
    </row>
    <row r="26423" spans="1:8" customFormat="1" x14ac:dyDescent="0.25">
      <c r="A26423" t="str">
        <f>"9126609"</f>
        <v>9126609</v>
      </c>
      <c r="B26423" t="s">
        <v>6126</v>
      </c>
      <c r="C26423" t="s">
        <v>40</v>
      </c>
      <c r="D26423" s="21" t="s">
        <v>34</v>
      </c>
      <c r="E26423" s="21" t="s">
        <v>254</v>
      </c>
      <c r="F26423">
        <v>8910004</v>
      </c>
      <c r="G26423" t="s">
        <v>9637</v>
      </c>
      <c r="H26423" s="21">
        <v>619.16999999999996</v>
      </c>
    </row>
    <row r="26424" spans="1:8" customFormat="1" x14ac:dyDescent="0.25">
      <c r="A26424" t="str">
        <f>"5430166"</f>
        <v>5430166</v>
      </c>
      <c r="B26424" t="s">
        <v>20718</v>
      </c>
      <c r="C26424" t="s">
        <v>1647</v>
      </c>
      <c r="D26424" s="21" t="s">
        <v>34</v>
      </c>
      <c r="E26424" s="21" t="s">
        <v>254</v>
      </c>
      <c r="F26424">
        <v>6540088</v>
      </c>
      <c r="G26424" t="s">
        <v>2108</v>
      </c>
      <c r="H26424" s="21">
        <v>619.16999999999996</v>
      </c>
    </row>
    <row r="26425" spans="1:8" customFormat="1" x14ac:dyDescent="0.25">
      <c r="A26425" t="str">
        <f>"0618363"</f>
        <v>0618363</v>
      </c>
      <c r="B26425" t="s">
        <v>650</v>
      </c>
      <c r="C26425" t="s">
        <v>5142</v>
      </c>
      <c r="D26425" s="21" t="s">
        <v>34</v>
      </c>
      <c r="E26425" s="21" t="s">
        <v>35</v>
      </c>
      <c r="F26425">
        <v>13060082</v>
      </c>
      <c r="G26425" t="s">
        <v>11729</v>
      </c>
      <c r="H26425" s="21">
        <v>619.16999999999996</v>
      </c>
    </row>
    <row r="26426" spans="1:8" customFormat="1" x14ac:dyDescent="0.25">
      <c r="A26426" t="str">
        <f>"4527693"</f>
        <v>4527693</v>
      </c>
      <c r="B26426" t="s">
        <v>582</v>
      </c>
      <c r="C26426" t="s">
        <v>20574</v>
      </c>
      <c r="D26426" s="21" t="s">
        <v>34</v>
      </c>
      <c r="E26426" s="21" t="s">
        <v>1089</v>
      </c>
      <c r="F26426">
        <v>4450285</v>
      </c>
      <c r="G26426" t="s">
        <v>7118</v>
      </c>
      <c r="H26426" s="21">
        <v>619.16999999999996</v>
      </c>
    </row>
    <row r="26427" spans="1:8" customFormat="1" x14ac:dyDescent="0.25">
      <c r="A26427" t="str">
        <f>"3118319"</f>
        <v>3118319</v>
      </c>
      <c r="B26427" t="s">
        <v>19822</v>
      </c>
      <c r="C26427" t="s">
        <v>147</v>
      </c>
      <c r="D26427" s="21" t="s">
        <v>34</v>
      </c>
      <c r="E26427" s="21" t="s">
        <v>35</v>
      </c>
      <c r="F26427">
        <v>11310060</v>
      </c>
      <c r="G26427" t="s">
        <v>2448</v>
      </c>
      <c r="H26427" s="21">
        <v>619.16999999999996</v>
      </c>
    </row>
    <row r="26428" spans="1:8" customFormat="1" x14ac:dyDescent="0.25">
      <c r="A26428" t="str">
        <f>"5619004"</f>
        <v>5619004</v>
      </c>
      <c r="B26428" t="s">
        <v>796</v>
      </c>
      <c r="C26428" t="s">
        <v>3456</v>
      </c>
      <c r="D26428" s="21" t="s">
        <v>34</v>
      </c>
      <c r="E26428" s="21" t="s">
        <v>35</v>
      </c>
      <c r="F26428">
        <v>3560033</v>
      </c>
      <c r="G26428" t="s">
        <v>4927</v>
      </c>
      <c r="H26428" s="21">
        <v>619.16999999999996</v>
      </c>
    </row>
    <row r="26429" spans="1:8" customFormat="1" x14ac:dyDescent="0.25">
      <c r="A26429" t="str">
        <f>"6724648"</f>
        <v>6724648</v>
      </c>
      <c r="B26429" t="s">
        <v>3140</v>
      </c>
      <c r="C26429" t="s">
        <v>2907</v>
      </c>
      <c r="D26429" s="21" t="s">
        <v>34</v>
      </c>
      <c r="E26429" s="21" t="s">
        <v>71</v>
      </c>
      <c r="F26429">
        <v>6670261</v>
      </c>
      <c r="G26429" t="s">
        <v>4621</v>
      </c>
      <c r="H26429" s="21">
        <v>619.16999999999996</v>
      </c>
    </row>
    <row r="26430" spans="1:8" customFormat="1" x14ac:dyDescent="0.25">
      <c r="A26430" t="str">
        <f>"9222079"</f>
        <v>9222079</v>
      </c>
      <c r="B26430" t="s">
        <v>18388</v>
      </c>
      <c r="C26430" t="s">
        <v>412</v>
      </c>
      <c r="D26430" s="21" t="s">
        <v>34</v>
      </c>
      <c r="E26430" s="21" t="s">
        <v>35</v>
      </c>
      <c r="F26430">
        <v>8920025</v>
      </c>
      <c r="G26430" t="s">
        <v>159</v>
      </c>
      <c r="H26430" s="21">
        <v>619.16999999999996</v>
      </c>
    </row>
    <row r="26431" spans="1:8" customFormat="1" x14ac:dyDescent="0.25">
      <c r="A26431" t="str">
        <f>"5949663"</f>
        <v>5949663</v>
      </c>
      <c r="B26431" t="s">
        <v>6119</v>
      </c>
      <c r="C26431" t="s">
        <v>381</v>
      </c>
      <c r="D26431" s="21" t="s">
        <v>34</v>
      </c>
      <c r="E26431" s="21" t="s">
        <v>71</v>
      </c>
      <c r="F26431">
        <v>7590047</v>
      </c>
      <c r="G26431" t="s">
        <v>5788</v>
      </c>
      <c r="H26431" s="21">
        <v>619.16999999999996</v>
      </c>
    </row>
    <row r="26432" spans="1:8" customFormat="1" x14ac:dyDescent="0.25">
      <c r="A26432" t="str">
        <f>"2717914"</f>
        <v>2717914</v>
      </c>
      <c r="B26432" t="s">
        <v>18910</v>
      </c>
      <c r="C26432" t="s">
        <v>18911</v>
      </c>
      <c r="D26432" s="21" t="s">
        <v>34</v>
      </c>
      <c r="E26432" s="21" t="s">
        <v>254</v>
      </c>
      <c r="F26432">
        <v>9270087</v>
      </c>
      <c r="G26432" t="s">
        <v>7014</v>
      </c>
      <c r="H26432" s="21">
        <v>619.16999999999996</v>
      </c>
    </row>
    <row r="26433" spans="1:8" customFormat="1" x14ac:dyDescent="0.25">
      <c r="A26433" t="str">
        <f>"6814422"</f>
        <v>6814422</v>
      </c>
      <c r="B26433" t="s">
        <v>21396</v>
      </c>
      <c r="C26433" t="s">
        <v>249</v>
      </c>
      <c r="D26433" s="21" t="s">
        <v>34</v>
      </c>
      <c r="E26433" s="21" t="s">
        <v>71</v>
      </c>
      <c r="F26433">
        <v>6680091</v>
      </c>
      <c r="G26433" t="s">
        <v>693</v>
      </c>
      <c r="H26433" s="21">
        <v>619.16999999999996</v>
      </c>
    </row>
    <row r="26434" spans="1:8" customFormat="1" x14ac:dyDescent="0.25">
      <c r="A26434" t="str">
        <f>"6023053"</f>
        <v>6023053</v>
      </c>
      <c r="B26434" t="s">
        <v>27911</v>
      </c>
      <c r="C26434" t="s">
        <v>656</v>
      </c>
      <c r="D26434" s="21" t="s">
        <v>34</v>
      </c>
      <c r="E26434" s="21" t="s">
        <v>35</v>
      </c>
      <c r="F26434">
        <v>7600004</v>
      </c>
      <c r="G26434" t="s">
        <v>848</v>
      </c>
      <c r="H26434" s="21">
        <v>619.16999999999996</v>
      </c>
    </row>
    <row r="26435" spans="1:8" customFormat="1" x14ac:dyDescent="0.25">
      <c r="A26435" t="str">
        <f>"2617564"</f>
        <v>2617564</v>
      </c>
      <c r="B26435" t="s">
        <v>946</v>
      </c>
      <c r="C26435" t="s">
        <v>469</v>
      </c>
      <c r="D26435" s="21" t="s">
        <v>34</v>
      </c>
      <c r="E26435" s="21" t="s">
        <v>71</v>
      </c>
      <c r="F26435">
        <v>1260065</v>
      </c>
      <c r="G26435" t="s">
        <v>1958</v>
      </c>
      <c r="H26435" s="21">
        <v>619.16999999999996</v>
      </c>
    </row>
    <row r="26436" spans="1:8" customFormat="1" x14ac:dyDescent="0.25">
      <c r="A26436" t="str">
        <f>"6232724"</f>
        <v>6232724</v>
      </c>
      <c r="B26436" t="s">
        <v>2098</v>
      </c>
      <c r="C26436" t="s">
        <v>130</v>
      </c>
      <c r="D26436" s="21" t="s">
        <v>34</v>
      </c>
      <c r="E26436" s="21" t="s">
        <v>35</v>
      </c>
      <c r="F26436">
        <v>7620042</v>
      </c>
      <c r="G26436" t="s">
        <v>8102</v>
      </c>
      <c r="H26436" s="21">
        <v>619.16999999999996</v>
      </c>
    </row>
    <row r="26437" spans="1:8" customFormat="1" x14ac:dyDescent="0.25">
      <c r="A26437" t="str">
        <f>"5982608"</f>
        <v>5982608</v>
      </c>
      <c r="B26437" t="s">
        <v>27912</v>
      </c>
      <c r="C26437" t="s">
        <v>10656</v>
      </c>
      <c r="D26437" s="21" t="s">
        <v>34</v>
      </c>
      <c r="E26437" s="21" t="s">
        <v>71</v>
      </c>
      <c r="F26437">
        <v>7590069</v>
      </c>
      <c r="G26437" t="s">
        <v>7225</v>
      </c>
      <c r="H26437" s="21">
        <v>619.16999999999996</v>
      </c>
    </row>
    <row r="26438" spans="1:8" customFormat="1" x14ac:dyDescent="0.25">
      <c r="A26438" t="str">
        <f>"7869645"</f>
        <v>7869645</v>
      </c>
      <c r="B26438" t="s">
        <v>20384</v>
      </c>
      <c r="C26438" t="s">
        <v>269</v>
      </c>
      <c r="D26438" s="21" t="s">
        <v>34</v>
      </c>
      <c r="E26438" s="21" t="s">
        <v>71</v>
      </c>
      <c r="F26438">
        <v>8780356</v>
      </c>
      <c r="G26438" t="s">
        <v>5449</v>
      </c>
      <c r="H26438" s="21">
        <v>619.04</v>
      </c>
    </row>
    <row r="26439" spans="1:8" customFormat="1" x14ac:dyDescent="0.25">
      <c r="A26439" t="str">
        <f>"3422507"</f>
        <v>3422507</v>
      </c>
      <c r="B26439" t="s">
        <v>9349</v>
      </c>
      <c r="C26439" t="s">
        <v>453</v>
      </c>
      <c r="D26439" s="21" t="s">
        <v>34</v>
      </c>
      <c r="E26439" s="21" t="s">
        <v>254</v>
      </c>
      <c r="F26439">
        <v>11340010</v>
      </c>
      <c r="G26439" t="s">
        <v>66</v>
      </c>
      <c r="H26439" s="21">
        <v>619.04</v>
      </c>
    </row>
    <row r="26440" spans="1:8" customFormat="1" x14ac:dyDescent="0.25">
      <c r="A26440" t="str">
        <f>"5975757"</f>
        <v>5975757</v>
      </c>
      <c r="B26440" t="s">
        <v>86</v>
      </c>
      <c r="C26440" t="s">
        <v>119</v>
      </c>
      <c r="D26440" s="21" t="s">
        <v>34</v>
      </c>
      <c r="E26440" s="21" t="s">
        <v>35</v>
      </c>
      <c r="F26440">
        <v>7590126</v>
      </c>
      <c r="G26440" t="s">
        <v>4749</v>
      </c>
      <c r="H26440" s="21">
        <v>619.04</v>
      </c>
    </row>
    <row r="26441" spans="1:8" customFormat="1" x14ac:dyDescent="0.25">
      <c r="A26441" t="str">
        <f>"13874"</f>
        <v>13874</v>
      </c>
      <c r="B26441" t="s">
        <v>8281</v>
      </c>
      <c r="C26441" t="s">
        <v>822</v>
      </c>
      <c r="D26441" s="21" t="s">
        <v>34</v>
      </c>
      <c r="E26441" s="21" t="s">
        <v>1089</v>
      </c>
      <c r="F26441">
        <v>13130154</v>
      </c>
      <c r="G26441" t="s">
        <v>5503</v>
      </c>
      <c r="H26441" s="21">
        <v>619</v>
      </c>
    </row>
    <row r="26442" spans="1:8" customFormat="1" x14ac:dyDescent="0.25">
      <c r="A26442" t="str">
        <f>"787795"</f>
        <v>787795</v>
      </c>
      <c r="B26442" t="s">
        <v>1292</v>
      </c>
      <c r="C26442" t="s">
        <v>328</v>
      </c>
      <c r="D26442" s="21" t="s">
        <v>34</v>
      </c>
      <c r="E26442" s="21" t="s">
        <v>35</v>
      </c>
      <c r="F26442">
        <v>8910303</v>
      </c>
      <c r="G26442" t="s">
        <v>1244</v>
      </c>
      <c r="H26442" s="21">
        <v>618.91999999999996</v>
      </c>
    </row>
    <row r="26443" spans="1:8" customFormat="1" x14ac:dyDescent="0.25">
      <c r="A26443" t="str">
        <f>"411643"</f>
        <v>411643</v>
      </c>
      <c r="B26443" t="s">
        <v>13394</v>
      </c>
      <c r="C26443" t="s">
        <v>156</v>
      </c>
      <c r="D26443" s="21" t="s">
        <v>34</v>
      </c>
      <c r="E26443" s="21" t="s">
        <v>1089</v>
      </c>
      <c r="F26443">
        <v>4410612</v>
      </c>
      <c r="G26443" t="s">
        <v>815</v>
      </c>
      <c r="H26443" s="21">
        <v>618.79</v>
      </c>
    </row>
    <row r="26444" spans="1:8" customFormat="1" x14ac:dyDescent="0.25">
      <c r="A26444" t="str">
        <f>"404600"</f>
        <v>404600</v>
      </c>
      <c r="B26444" t="s">
        <v>5424</v>
      </c>
      <c r="C26444" t="s">
        <v>1025</v>
      </c>
      <c r="D26444" s="21" t="s">
        <v>34</v>
      </c>
      <c r="E26444" s="21" t="s">
        <v>71</v>
      </c>
      <c r="F26444">
        <v>10400003</v>
      </c>
      <c r="G26444" t="s">
        <v>5110</v>
      </c>
      <c r="H26444" s="21">
        <v>618.66999999999996</v>
      </c>
    </row>
    <row r="26445" spans="1:8" customFormat="1" x14ac:dyDescent="0.25">
      <c r="A26445" t="str">
        <f>"537588"</f>
        <v>537588</v>
      </c>
      <c r="B26445" t="s">
        <v>14880</v>
      </c>
      <c r="C26445" t="s">
        <v>2907</v>
      </c>
      <c r="D26445" s="21" t="s">
        <v>34</v>
      </c>
      <c r="E26445" s="21" t="s">
        <v>71</v>
      </c>
      <c r="F26445">
        <v>12530096</v>
      </c>
      <c r="G26445" t="s">
        <v>8595</v>
      </c>
      <c r="H26445" s="21">
        <v>618.66999999999996</v>
      </c>
    </row>
    <row r="26446" spans="1:8" customFormat="1" x14ac:dyDescent="0.25">
      <c r="A26446" t="str">
        <f>"4522579"</f>
        <v>4522579</v>
      </c>
      <c r="B26446" t="s">
        <v>13465</v>
      </c>
      <c r="C26446" t="s">
        <v>3843</v>
      </c>
      <c r="D26446" s="21" t="s">
        <v>34</v>
      </c>
      <c r="E26446" s="21" t="s">
        <v>35</v>
      </c>
      <c r="F26446">
        <v>4450773</v>
      </c>
      <c r="G26446" t="s">
        <v>26903</v>
      </c>
      <c r="H26446" s="21">
        <v>618.66999999999996</v>
      </c>
    </row>
    <row r="26447" spans="1:8" customFormat="1" x14ac:dyDescent="0.25">
      <c r="A26447" t="str">
        <f>"106011"</f>
        <v>106011</v>
      </c>
      <c r="B26447" t="s">
        <v>577</v>
      </c>
      <c r="C26447" t="s">
        <v>1119</v>
      </c>
      <c r="D26447" s="21" t="s">
        <v>34</v>
      </c>
      <c r="E26447" s="21" t="s">
        <v>254</v>
      </c>
      <c r="F26447">
        <v>6100015</v>
      </c>
      <c r="G26447" t="s">
        <v>6173</v>
      </c>
      <c r="H26447" s="21">
        <v>618.66999999999996</v>
      </c>
    </row>
    <row r="26448" spans="1:8" customFormat="1" x14ac:dyDescent="0.25">
      <c r="A26448" t="str">
        <f>"5411111"</f>
        <v>5411111</v>
      </c>
      <c r="B26448" t="s">
        <v>3009</v>
      </c>
      <c r="C26448" t="s">
        <v>267</v>
      </c>
      <c r="D26448" s="21" t="s">
        <v>34</v>
      </c>
      <c r="E26448" s="21" t="s">
        <v>254</v>
      </c>
      <c r="F26448">
        <v>13040025</v>
      </c>
      <c r="G26448" t="s">
        <v>6715</v>
      </c>
      <c r="H26448" s="21">
        <v>618.66999999999996</v>
      </c>
    </row>
    <row r="26449" spans="1:8" customFormat="1" x14ac:dyDescent="0.25">
      <c r="A26449" t="str">
        <f>"9536472"</f>
        <v>9536472</v>
      </c>
      <c r="B26449" t="s">
        <v>27913</v>
      </c>
      <c r="C26449" t="s">
        <v>3010</v>
      </c>
      <c r="D26449" s="21" t="s">
        <v>34</v>
      </c>
      <c r="E26449" s="21" t="s">
        <v>35</v>
      </c>
      <c r="F26449">
        <v>9760004</v>
      </c>
      <c r="G26449" t="s">
        <v>56</v>
      </c>
      <c r="H26449" s="21">
        <v>618.66999999999996</v>
      </c>
    </row>
    <row r="26450" spans="1:8" customFormat="1" x14ac:dyDescent="0.25">
      <c r="A26450" t="str">
        <f>"4518431"</f>
        <v>4518431</v>
      </c>
      <c r="B26450" t="s">
        <v>4335</v>
      </c>
      <c r="C26450" t="s">
        <v>2907</v>
      </c>
      <c r="D26450" s="21" t="s">
        <v>34</v>
      </c>
      <c r="E26450" s="21" t="s">
        <v>71</v>
      </c>
      <c r="F26450">
        <v>4450561</v>
      </c>
      <c r="G26450" t="s">
        <v>10125</v>
      </c>
      <c r="H26450" s="21">
        <v>618.66999999999996</v>
      </c>
    </row>
    <row r="26451" spans="1:8" customFormat="1" x14ac:dyDescent="0.25">
      <c r="A26451" t="str">
        <f>"377241"</f>
        <v>377241</v>
      </c>
      <c r="B26451" t="s">
        <v>18555</v>
      </c>
      <c r="C26451" t="s">
        <v>2365</v>
      </c>
      <c r="D26451" s="21" t="s">
        <v>34</v>
      </c>
      <c r="E26451" s="21" t="s">
        <v>71</v>
      </c>
      <c r="F26451">
        <v>4370681</v>
      </c>
      <c r="G26451" t="s">
        <v>4508</v>
      </c>
      <c r="H26451" s="21">
        <v>618.66999999999996</v>
      </c>
    </row>
    <row r="26452" spans="1:8" customFormat="1" x14ac:dyDescent="0.25">
      <c r="A26452" t="str">
        <f>"455064"</f>
        <v>455064</v>
      </c>
      <c r="B26452" t="s">
        <v>5283</v>
      </c>
      <c r="C26452" t="s">
        <v>33</v>
      </c>
      <c r="D26452" s="21" t="s">
        <v>34</v>
      </c>
      <c r="E26452" s="21" t="s">
        <v>35</v>
      </c>
      <c r="F26452">
        <v>7590071</v>
      </c>
      <c r="G26452" t="s">
        <v>2602</v>
      </c>
      <c r="H26452" s="21">
        <v>618.66999999999996</v>
      </c>
    </row>
    <row r="26453" spans="1:8" customFormat="1" x14ac:dyDescent="0.25">
      <c r="A26453" t="str">
        <f>"112123"</f>
        <v>112123</v>
      </c>
      <c r="B26453" t="s">
        <v>20171</v>
      </c>
      <c r="C26453" t="s">
        <v>547</v>
      </c>
      <c r="D26453" s="21" t="s">
        <v>34</v>
      </c>
      <c r="E26453" s="21" t="s">
        <v>1089</v>
      </c>
      <c r="F26453">
        <v>11110001</v>
      </c>
      <c r="G26453" t="s">
        <v>11560</v>
      </c>
      <c r="H26453" s="21">
        <v>618.66999999999996</v>
      </c>
    </row>
    <row r="26454" spans="1:8" customFormat="1" x14ac:dyDescent="0.25">
      <c r="A26454" t="str">
        <f>"6011120"</f>
        <v>6011120</v>
      </c>
      <c r="B26454" t="s">
        <v>27914</v>
      </c>
      <c r="C26454" t="s">
        <v>328</v>
      </c>
      <c r="D26454" s="21" t="s">
        <v>34</v>
      </c>
      <c r="E26454" s="21" t="s">
        <v>71</v>
      </c>
      <c r="F26454">
        <v>7600004</v>
      </c>
      <c r="G26454" t="s">
        <v>848</v>
      </c>
      <c r="H26454" s="21">
        <v>618.66999999999996</v>
      </c>
    </row>
    <row r="26455" spans="1:8" customFormat="1" x14ac:dyDescent="0.25">
      <c r="A26455" t="str">
        <f>"4455495"</f>
        <v>4455495</v>
      </c>
      <c r="B26455" t="s">
        <v>890</v>
      </c>
      <c r="C26455" t="s">
        <v>65</v>
      </c>
      <c r="D26455" s="21" t="s">
        <v>34</v>
      </c>
      <c r="E26455" s="21" t="s">
        <v>35</v>
      </c>
      <c r="F26455">
        <v>12440263</v>
      </c>
      <c r="G26455" t="s">
        <v>9503</v>
      </c>
      <c r="H26455" s="21">
        <v>618.66999999999996</v>
      </c>
    </row>
    <row r="26456" spans="1:8" customFormat="1" x14ac:dyDescent="0.25">
      <c r="A26456" t="str">
        <f>"7729133"</f>
        <v>7729133</v>
      </c>
      <c r="B26456" t="s">
        <v>19713</v>
      </c>
      <c r="C26456" t="s">
        <v>379</v>
      </c>
      <c r="D26456" s="21" t="s">
        <v>34</v>
      </c>
      <c r="E26456" s="21" t="s">
        <v>254</v>
      </c>
      <c r="F26456">
        <v>8771501</v>
      </c>
      <c r="G26456" t="s">
        <v>10128</v>
      </c>
      <c r="H26456" s="21">
        <v>618.66999999999996</v>
      </c>
    </row>
    <row r="26457" spans="1:8" customFormat="1" x14ac:dyDescent="0.25">
      <c r="A26457" t="str">
        <f>"5316253"</f>
        <v>5316253</v>
      </c>
      <c r="B26457" t="s">
        <v>208</v>
      </c>
      <c r="C26457" t="s">
        <v>198</v>
      </c>
      <c r="D26457" s="21" t="s">
        <v>34</v>
      </c>
      <c r="E26457" s="21" t="s">
        <v>254</v>
      </c>
      <c r="F26457">
        <v>12530114</v>
      </c>
      <c r="G26457" t="s">
        <v>1342</v>
      </c>
      <c r="H26457" s="21">
        <v>618.66999999999996</v>
      </c>
    </row>
    <row r="26458" spans="1:8" customFormat="1" x14ac:dyDescent="0.25">
      <c r="A26458" t="str">
        <f>"3830669"</f>
        <v>3830669</v>
      </c>
      <c r="B26458" t="s">
        <v>853</v>
      </c>
      <c r="C26458" t="s">
        <v>576</v>
      </c>
      <c r="D26458" s="21" t="s">
        <v>34</v>
      </c>
      <c r="E26458" s="21" t="s">
        <v>254</v>
      </c>
      <c r="F26458">
        <v>1380273</v>
      </c>
      <c r="G26458" t="s">
        <v>7554</v>
      </c>
      <c r="H26458" s="21">
        <v>618.66999999999996</v>
      </c>
    </row>
    <row r="26459" spans="1:8" customFormat="1" x14ac:dyDescent="0.25">
      <c r="A26459" t="str">
        <f>"5420791"</f>
        <v>5420791</v>
      </c>
      <c r="B26459" t="s">
        <v>1254</v>
      </c>
      <c r="C26459" t="s">
        <v>2305</v>
      </c>
      <c r="D26459" s="21" t="s">
        <v>34</v>
      </c>
      <c r="E26459" s="21" t="s">
        <v>1089</v>
      </c>
      <c r="F26459">
        <v>6540055</v>
      </c>
      <c r="G26459" t="s">
        <v>9080</v>
      </c>
      <c r="H26459" s="21">
        <v>618.66999999999996</v>
      </c>
    </row>
    <row r="26460" spans="1:8" customFormat="1" x14ac:dyDescent="0.25">
      <c r="A26460" t="str">
        <f>"2932581"</f>
        <v>2932581</v>
      </c>
      <c r="B26460" t="s">
        <v>13106</v>
      </c>
      <c r="C26460" t="s">
        <v>302</v>
      </c>
      <c r="D26460" s="21" t="s">
        <v>34</v>
      </c>
      <c r="E26460" s="21" t="s">
        <v>35</v>
      </c>
      <c r="F26460">
        <v>3290006</v>
      </c>
      <c r="G26460" t="s">
        <v>13009</v>
      </c>
      <c r="H26460" s="21">
        <v>618.66999999999996</v>
      </c>
    </row>
    <row r="26461" spans="1:8" customFormat="1" x14ac:dyDescent="0.25">
      <c r="A26461" t="str">
        <f>"5921153"</f>
        <v>5921153</v>
      </c>
      <c r="B26461" t="s">
        <v>27915</v>
      </c>
      <c r="C26461" t="s">
        <v>239</v>
      </c>
      <c r="D26461" s="21" t="s">
        <v>34</v>
      </c>
      <c r="E26461" s="21" t="s">
        <v>254</v>
      </c>
      <c r="F26461">
        <v>7590069</v>
      </c>
      <c r="G26461" t="s">
        <v>7225</v>
      </c>
      <c r="H26461" s="21">
        <v>618.66999999999996</v>
      </c>
    </row>
    <row r="26462" spans="1:8" customFormat="1" x14ac:dyDescent="0.25">
      <c r="A26462" t="str">
        <f>"123801"</f>
        <v>123801</v>
      </c>
      <c r="B26462" t="s">
        <v>19728</v>
      </c>
      <c r="C26462" t="s">
        <v>169</v>
      </c>
      <c r="D26462" s="21" t="s">
        <v>34</v>
      </c>
      <c r="E26462" s="21" t="s">
        <v>35</v>
      </c>
      <c r="F26462">
        <v>11120021</v>
      </c>
      <c r="G26462" t="s">
        <v>8398</v>
      </c>
      <c r="H26462" s="21">
        <v>618.66999999999996</v>
      </c>
    </row>
    <row r="26463" spans="1:8" customFormat="1" x14ac:dyDescent="0.25">
      <c r="A26463" t="str">
        <f>"3723043"</f>
        <v>3723043</v>
      </c>
      <c r="B26463" t="s">
        <v>16281</v>
      </c>
      <c r="C26463" t="s">
        <v>11233</v>
      </c>
      <c r="D26463" s="21" t="s">
        <v>34</v>
      </c>
      <c r="E26463" s="21" t="s">
        <v>35</v>
      </c>
      <c r="F26463">
        <v>4370498</v>
      </c>
      <c r="G26463" t="s">
        <v>10872</v>
      </c>
      <c r="H26463" s="21">
        <v>618.66999999999996</v>
      </c>
    </row>
    <row r="26464" spans="1:8" customFormat="1" x14ac:dyDescent="0.25">
      <c r="A26464" t="str">
        <f>"6231301"</f>
        <v>6231301</v>
      </c>
      <c r="B26464" t="s">
        <v>20124</v>
      </c>
      <c r="C26464" t="s">
        <v>2520</v>
      </c>
      <c r="D26464" s="21" t="s">
        <v>34</v>
      </c>
      <c r="E26464" s="21" t="s">
        <v>254</v>
      </c>
      <c r="F26464">
        <v>7620007</v>
      </c>
      <c r="G26464" t="s">
        <v>2133</v>
      </c>
      <c r="H26464" s="21">
        <v>618.66999999999996</v>
      </c>
    </row>
    <row r="26465" spans="1:8" customFormat="1" x14ac:dyDescent="0.25">
      <c r="A26465" t="str">
        <f>"7217624"</f>
        <v>7217624</v>
      </c>
      <c r="B26465" t="s">
        <v>2954</v>
      </c>
      <c r="C26465" t="s">
        <v>130</v>
      </c>
      <c r="D26465" s="21" t="s">
        <v>34</v>
      </c>
      <c r="E26465" s="21" t="s">
        <v>35</v>
      </c>
      <c r="F26465">
        <v>12720021</v>
      </c>
      <c r="G26465" t="s">
        <v>3329</v>
      </c>
      <c r="H26465" s="21">
        <v>618.66999999999996</v>
      </c>
    </row>
    <row r="26466" spans="1:8" customFormat="1" x14ac:dyDescent="0.25">
      <c r="A26466" t="str">
        <f>"635791"</f>
        <v>635791</v>
      </c>
      <c r="B26466" t="s">
        <v>19278</v>
      </c>
      <c r="C26466" t="s">
        <v>2479</v>
      </c>
      <c r="D26466" s="21" t="s">
        <v>34</v>
      </c>
      <c r="E26466" s="21" t="s">
        <v>254</v>
      </c>
      <c r="F26466">
        <v>1630005</v>
      </c>
      <c r="G26466" t="s">
        <v>8825</v>
      </c>
      <c r="H26466" s="21">
        <v>618.66999999999996</v>
      </c>
    </row>
    <row r="26467" spans="1:8" customFormat="1" x14ac:dyDescent="0.25">
      <c r="A26467" t="str">
        <f>"308444"</f>
        <v>308444</v>
      </c>
      <c r="B26467" t="s">
        <v>20271</v>
      </c>
      <c r="C26467" t="s">
        <v>236</v>
      </c>
      <c r="D26467" s="21" t="s">
        <v>34</v>
      </c>
      <c r="E26467" s="21" t="s">
        <v>35</v>
      </c>
      <c r="F26467">
        <v>11300014</v>
      </c>
      <c r="G26467" t="s">
        <v>2345</v>
      </c>
      <c r="H26467" s="21">
        <v>618.66999999999996</v>
      </c>
    </row>
    <row r="26468" spans="1:8" customFormat="1" x14ac:dyDescent="0.25">
      <c r="A26468" t="str">
        <f>"1611306"</f>
        <v>1611306</v>
      </c>
      <c r="B26468" t="s">
        <v>6925</v>
      </c>
      <c r="C26468" t="s">
        <v>239</v>
      </c>
      <c r="D26468" s="21" t="s">
        <v>34</v>
      </c>
      <c r="E26468" s="21" t="s">
        <v>71</v>
      </c>
      <c r="F26468">
        <v>10160236</v>
      </c>
      <c r="G26468" t="s">
        <v>7202</v>
      </c>
      <c r="H26468" s="21">
        <v>618.66999999999996</v>
      </c>
    </row>
    <row r="26469" spans="1:8" customFormat="1" x14ac:dyDescent="0.25">
      <c r="A26469" t="str">
        <f>"8019185"</f>
        <v>8019185</v>
      </c>
      <c r="B26469" t="s">
        <v>19559</v>
      </c>
      <c r="C26469" t="s">
        <v>19560</v>
      </c>
      <c r="D26469" s="21" t="s">
        <v>34</v>
      </c>
      <c r="E26469" s="21" t="s">
        <v>35</v>
      </c>
      <c r="F26469">
        <v>7800074</v>
      </c>
      <c r="G26469" t="s">
        <v>7104</v>
      </c>
      <c r="H26469" s="21">
        <v>618.66999999999996</v>
      </c>
    </row>
    <row r="26470" spans="1:8" customFormat="1" x14ac:dyDescent="0.25">
      <c r="A26470" t="str">
        <f>"4934961"</f>
        <v>4934961</v>
      </c>
      <c r="B26470" t="s">
        <v>6463</v>
      </c>
      <c r="C26470" t="s">
        <v>2546</v>
      </c>
      <c r="D26470" s="21" t="s">
        <v>34</v>
      </c>
      <c r="E26470" s="21" t="s">
        <v>71</v>
      </c>
      <c r="F26470">
        <v>12490061</v>
      </c>
      <c r="G26470" t="s">
        <v>969</v>
      </c>
      <c r="H26470" s="21">
        <v>618.66999999999996</v>
      </c>
    </row>
    <row r="26471" spans="1:8" customFormat="1" x14ac:dyDescent="0.25">
      <c r="A26471" t="str">
        <f>"6017108"</f>
        <v>6017108</v>
      </c>
      <c r="B26471" t="s">
        <v>1490</v>
      </c>
      <c r="C26471" t="s">
        <v>712</v>
      </c>
      <c r="D26471" s="21" t="s">
        <v>34</v>
      </c>
      <c r="E26471" s="21" t="s">
        <v>254</v>
      </c>
      <c r="F26471">
        <v>7600037</v>
      </c>
      <c r="G26471" t="s">
        <v>7185</v>
      </c>
      <c r="H26471" s="21">
        <v>618.66999999999996</v>
      </c>
    </row>
    <row r="26472" spans="1:8" customFormat="1" x14ac:dyDescent="0.25">
      <c r="A26472" t="str">
        <f>"7844289"</f>
        <v>7844289</v>
      </c>
      <c r="B26472" t="s">
        <v>18334</v>
      </c>
      <c r="C26472" t="s">
        <v>1025</v>
      </c>
      <c r="D26472" s="21" t="s">
        <v>34</v>
      </c>
      <c r="E26472" s="21" t="s">
        <v>71</v>
      </c>
      <c r="F26472">
        <v>8780128</v>
      </c>
      <c r="G26472" t="s">
        <v>4201</v>
      </c>
      <c r="H26472" s="21">
        <v>618.66999999999996</v>
      </c>
    </row>
    <row r="26473" spans="1:8" customFormat="1" x14ac:dyDescent="0.25">
      <c r="A26473" t="str">
        <f>"1315590"</f>
        <v>1315590</v>
      </c>
      <c r="B26473" t="s">
        <v>19316</v>
      </c>
      <c r="C26473" t="s">
        <v>174</v>
      </c>
      <c r="D26473" s="21" t="s">
        <v>34</v>
      </c>
      <c r="E26473" s="21" t="s">
        <v>35</v>
      </c>
      <c r="F26473">
        <v>13130152</v>
      </c>
      <c r="G26473" t="s">
        <v>906</v>
      </c>
      <c r="H26473" s="21">
        <v>618.66999999999996</v>
      </c>
    </row>
    <row r="26474" spans="1:8" customFormat="1" x14ac:dyDescent="0.25">
      <c r="A26474" t="str">
        <f>"5617101"</f>
        <v>5617101</v>
      </c>
      <c r="B26474" t="s">
        <v>19277</v>
      </c>
      <c r="C26474" t="s">
        <v>2546</v>
      </c>
      <c r="D26474" s="21" t="s">
        <v>34</v>
      </c>
      <c r="E26474" s="21" t="s">
        <v>71</v>
      </c>
      <c r="F26474">
        <v>3560020</v>
      </c>
      <c r="G26474" t="s">
        <v>426</v>
      </c>
      <c r="H26474" s="21">
        <v>618.66999999999996</v>
      </c>
    </row>
    <row r="26475" spans="1:8" customFormat="1" x14ac:dyDescent="0.25">
      <c r="A26475" t="str">
        <f>"3819362"</f>
        <v>3819362</v>
      </c>
      <c r="B26475" t="s">
        <v>27916</v>
      </c>
      <c r="C26475" t="s">
        <v>209</v>
      </c>
      <c r="D26475" s="21" t="s">
        <v>34</v>
      </c>
      <c r="E26475" s="21" t="s">
        <v>71</v>
      </c>
      <c r="F26475">
        <v>1730090</v>
      </c>
      <c r="G26475" t="s">
        <v>19889</v>
      </c>
      <c r="H26475" s="21">
        <v>618.5</v>
      </c>
    </row>
    <row r="26476" spans="1:8" customFormat="1" x14ac:dyDescent="0.25">
      <c r="A26476" t="str">
        <f>"392958"</f>
        <v>392958</v>
      </c>
      <c r="B26476" t="s">
        <v>19027</v>
      </c>
      <c r="C26476" t="s">
        <v>926</v>
      </c>
      <c r="D26476" s="21" t="s">
        <v>34</v>
      </c>
      <c r="E26476" s="21" t="s">
        <v>254</v>
      </c>
      <c r="F26476">
        <v>2390089</v>
      </c>
      <c r="G26476" t="s">
        <v>5194</v>
      </c>
      <c r="H26476" s="21">
        <v>618.16999999999996</v>
      </c>
    </row>
    <row r="26477" spans="1:8" customFormat="1" x14ac:dyDescent="0.25">
      <c r="A26477" t="str">
        <f>"4443214"</f>
        <v>4443214</v>
      </c>
      <c r="B26477" t="s">
        <v>19740</v>
      </c>
      <c r="C26477" t="s">
        <v>124</v>
      </c>
      <c r="D26477" s="21" t="s">
        <v>34</v>
      </c>
      <c r="E26477" s="21" t="s">
        <v>35</v>
      </c>
      <c r="F26477">
        <v>12440166</v>
      </c>
      <c r="G26477" t="s">
        <v>4031</v>
      </c>
      <c r="H26477" s="21">
        <v>618.16999999999996</v>
      </c>
    </row>
    <row r="26478" spans="1:8" customFormat="1" x14ac:dyDescent="0.25">
      <c r="A26478" t="str">
        <f>"761577"</f>
        <v>761577</v>
      </c>
      <c r="B26478" t="s">
        <v>5029</v>
      </c>
      <c r="C26478" t="s">
        <v>412</v>
      </c>
      <c r="D26478" s="21" t="s">
        <v>34</v>
      </c>
      <c r="E26478" s="21" t="s">
        <v>6185</v>
      </c>
      <c r="F26478">
        <v>9760351</v>
      </c>
      <c r="G26478" t="s">
        <v>5898</v>
      </c>
      <c r="H26478" s="21">
        <v>618.16999999999996</v>
      </c>
    </row>
    <row r="26479" spans="1:8" customFormat="1" x14ac:dyDescent="0.25">
      <c r="A26479" t="str">
        <f>"6718969"</f>
        <v>6718969</v>
      </c>
      <c r="B26479" t="s">
        <v>27917</v>
      </c>
      <c r="C26479" t="s">
        <v>49</v>
      </c>
      <c r="D26479" s="21" t="s">
        <v>34</v>
      </c>
      <c r="E26479" s="21" t="s">
        <v>35</v>
      </c>
      <c r="F26479">
        <v>6670207</v>
      </c>
      <c r="G26479" t="s">
        <v>5419</v>
      </c>
      <c r="H26479" s="21">
        <v>618.16999999999996</v>
      </c>
    </row>
    <row r="26480" spans="1:8" customFormat="1" x14ac:dyDescent="0.25">
      <c r="A26480" t="str">
        <f>"7114001"</f>
        <v>7114001</v>
      </c>
      <c r="B26480" t="s">
        <v>22328</v>
      </c>
      <c r="C26480" t="s">
        <v>22329</v>
      </c>
      <c r="D26480" s="21" t="s">
        <v>34</v>
      </c>
      <c r="E26480" s="21" t="s">
        <v>254</v>
      </c>
      <c r="F26480">
        <v>2710008</v>
      </c>
      <c r="G26480" t="s">
        <v>10040</v>
      </c>
      <c r="H26480" s="21">
        <v>618.16999999999996</v>
      </c>
    </row>
    <row r="26481" spans="1:8" customFormat="1" x14ac:dyDescent="0.25">
      <c r="A26481" t="str">
        <f>"2927447"</f>
        <v>2927447</v>
      </c>
      <c r="B26481" t="s">
        <v>18496</v>
      </c>
      <c r="C26481" t="s">
        <v>720</v>
      </c>
      <c r="D26481" s="21" t="s">
        <v>34</v>
      </c>
      <c r="E26481" s="21" t="s">
        <v>71</v>
      </c>
      <c r="F26481">
        <v>3290235</v>
      </c>
      <c r="G26481" t="s">
        <v>12128</v>
      </c>
      <c r="H26481" s="21">
        <v>618.16999999999996</v>
      </c>
    </row>
    <row r="26482" spans="1:8" customFormat="1" x14ac:dyDescent="0.25">
      <c r="A26482" t="str">
        <f>"707130"</f>
        <v>707130</v>
      </c>
      <c r="B26482" t="s">
        <v>1158</v>
      </c>
      <c r="C26482" t="s">
        <v>576</v>
      </c>
      <c r="D26482" s="21" t="s">
        <v>34</v>
      </c>
      <c r="E26482" s="21" t="s">
        <v>35</v>
      </c>
      <c r="F26482">
        <v>2700094</v>
      </c>
      <c r="G26482" t="s">
        <v>18448</v>
      </c>
      <c r="H26482" s="21">
        <v>618.16999999999996</v>
      </c>
    </row>
    <row r="26483" spans="1:8" customFormat="1" x14ac:dyDescent="0.25">
      <c r="A26483" t="str">
        <f>"8316157"</f>
        <v>8316157</v>
      </c>
      <c r="B26483" t="s">
        <v>97</v>
      </c>
      <c r="C26483" t="s">
        <v>139</v>
      </c>
      <c r="D26483" s="21" t="s">
        <v>34</v>
      </c>
      <c r="E26483" s="21" t="s">
        <v>71</v>
      </c>
      <c r="F26483">
        <v>13830071</v>
      </c>
      <c r="G26483" t="s">
        <v>3221</v>
      </c>
      <c r="H26483" s="21">
        <v>618.16999999999996</v>
      </c>
    </row>
    <row r="26484" spans="1:8" customFormat="1" x14ac:dyDescent="0.25">
      <c r="A26484" t="str">
        <f>"794105"</f>
        <v>794105</v>
      </c>
      <c r="B26484" t="s">
        <v>27918</v>
      </c>
      <c r="C26484" t="s">
        <v>65</v>
      </c>
      <c r="D26484" s="21" t="s">
        <v>34</v>
      </c>
      <c r="E26484" s="21" t="s">
        <v>35</v>
      </c>
      <c r="F26484">
        <v>10330050</v>
      </c>
      <c r="G26484" t="s">
        <v>2488</v>
      </c>
      <c r="H26484" s="21">
        <v>618.16999999999996</v>
      </c>
    </row>
    <row r="26485" spans="1:8" customFormat="1" x14ac:dyDescent="0.25">
      <c r="A26485" t="str">
        <f>"4113605"</f>
        <v>4113605</v>
      </c>
      <c r="B26485" t="s">
        <v>1154</v>
      </c>
      <c r="C26485" t="s">
        <v>169</v>
      </c>
      <c r="D26485" s="21" t="s">
        <v>34</v>
      </c>
      <c r="E26485" s="21" t="s">
        <v>35</v>
      </c>
      <c r="F26485">
        <v>4410507</v>
      </c>
      <c r="G26485" t="s">
        <v>19763</v>
      </c>
      <c r="H26485" s="21">
        <v>618.16999999999996</v>
      </c>
    </row>
    <row r="26486" spans="1:8" customFormat="1" x14ac:dyDescent="0.25">
      <c r="A26486" t="str">
        <f>"7413586"</f>
        <v>7413586</v>
      </c>
      <c r="B26486" t="s">
        <v>2067</v>
      </c>
      <c r="C26486" t="s">
        <v>269</v>
      </c>
      <c r="D26486" s="21" t="s">
        <v>34</v>
      </c>
      <c r="E26486" s="21" t="s">
        <v>35</v>
      </c>
      <c r="F26486">
        <v>1740011</v>
      </c>
      <c r="G26486" t="s">
        <v>2638</v>
      </c>
      <c r="H26486" s="21">
        <v>618.16999999999996</v>
      </c>
    </row>
    <row r="26487" spans="1:8" customFormat="1" x14ac:dyDescent="0.25">
      <c r="A26487" t="str">
        <f>"6315519"</f>
        <v>6315519</v>
      </c>
      <c r="B26487" t="s">
        <v>435</v>
      </c>
      <c r="C26487" t="s">
        <v>65</v>
      </c>
      <c r="D26487" s="21" t="s">
        <v>34</v>
      </c>
      <c r="E26487" s="21" t="s">
        <v>35</v>
      </c>
      <c r="F26487">
        <v>1630329</v>
      </c>
      <c r="G26487" t="s">
        <v>13763</v>
      </c>
      <c r="H26487" s="21">
        <v>618.16999999999996</v>
      </c>
    </row>
    <row r="26488" spans="1:8" customFormat="1" x14ac:dyDescent="0.25">
      <c r="A26488" t="str">
        <f>"6023151"</f>
        <v>6023151</v>
      </c>
      <c r="B26488" t="s">
        <v>5684</v>
      </c>
      <c r="C26488" t="s">
        <v>109</v>
      </c>
      <c r="D26488" s="21" t="s">
        <v>34</v>
      </c>
      <c r="E26488" s="21" t="s">
        <v>71</v>
      </c>
      <c r="F26488">
        <v>7600088</v>
      </c>
      <c r="G26488" t="s">
        <v>334</v>
      </c>
      <c r="H26488" s="21">
        <v>618.16999999999996</v>
      </c>
    </row>
    <row r="26489" spans="1:8" customFormat="1" x14ac:dyDescent="0.25">
      <c r="A26489" t="str">
        <f>"242159"</f>
        <v>242159</v>
      </c>
      <c r="B26489" t="s">
        <v>138</v>
      </c>
      <c r="C26489" t="s">
        <v>879</v>
      </c>
      <c r="D26489" s="21" t="s">
        <v>34</v>
      </c>
      <c r="E26489" s="21" t="s">
        <v>254</v>
      </c>
      <c r="F26489">
        <v>12440127</v>
      </c>
      <c r="G26489" t="s">
        <v>7692</v>
      </c>
      <c r="H26489" s="21">
        <v>618.16999999999996</v>
      </c>
    </row>
    <row r="26490" spans="1:8" customFormat="1" x14ac:dyDescent="0.25">
      <c r="A26490" t="str">
        <f>"7215184"</f>
        <v>7215184</v>
      </c>
      <c r="B26490" t="s">
        <v>1341</v>
      </c>
      <c r="C26490" t="s">
        <v>926</v>
      </c>
      <c r="D26490" s="21" t="s">
        <v>34</v>
      </c>
      <c r="E26490" s="21" t="s">
        <v>71</v>
      </c>
      <c r="F26490">
        <v>12720004</v>
      </c>
      <c r="G26490" t="s">
        <v>2328</v>
      </c>
      <c r="H26490" s="21">
        <v>618.16999999999996</v>
      </c>
    </row>
    <row r="26491" spans="1:8" customFormat="1" x14ac:dyDescent="0.25">
      <c r="A26491" t="str">
        <f>"3532129"</f>
        <v>3532129</v>
      </c>
      <c r="B26491" t="s">
        <v>19368</v>
      </c>
      <c r="C26491" t="s">
        <v>323</v>
      </c>
      <c r="D26491" s="21" t="s">
        <v>34</v>
      </c>
      <c r="E26491" s="21" t="s">
        <v>35</v>
      </c>
      <c r="F26491">
        <v>3350160</v>
      </c>
      <c r="G26491" t="s">
        <v>13252</v>
      </c>
      <c r="H26491" s="21">
        <v>618.16999999999996</v>
      </c>
    </row>
    <row r="26492" spans="1:8" customFormat="1" x14ac:dyDescent="0.25">
      <c r="A26492" t="str">
        <f>"5012342"</f>
        <v>5012342</v>
      </c>
      <c r="B26492" t="s">
        <v>19821</v>
      </c>
      <c r="C26492" t="s">
        <v>1782</v>
      </c>
      <c r="D26492" s="21" t="s">
        <v>34</v>
      </c>
      <c r="E26492" s="21" t="s">
        <v>35</v>
      </c>
      <c r="F26492">
        <v>9500087</v>
      </c>
      <c r="G26492" t="s">
        <v>12569</v>
      </c>
      <c r="H26492" s="21">
        <v>618.16999999999996</v>
      </c>
    </row>
    <row r="26493" spans="1:8" customFormat="1" x14ac:dyDescent="0.25">
      <c r="A26493" t="str">
        <f>"394050"</f>
        <v>394050</v>
      </c>
      <c r="B26493" t="s">
        <v>2858</v>
      </c>
      <c r="C26493" t="s">
        <v>1474</v>
      </c>
      <c r="D26493" s="21" t="s">
        <v>34</v>
      </c>
      <c r="E26493" s="21" t="s">
        <v>35</v>
      </c>
      <c r="F26493">
        <v>2390082</v>
      </c>
      <c r="G26493" t="s">
        <v>3343</v>
      </c>
      <c r="H26493" s="21">
        <v>618.16999999999996</v>
      </c>
    </row>
    <row r="26494" spans="1:8" customFormat="1" x14ac:dyDescent="0.25">
      <c r="A26494" t="str">
        <f>"8523159"</f>
        <v>8523159</v>
      </c>
      <c r="B26494" t="s">
        <v>21280</v>
      </c>
      <c r="C26494" t="s">
        <v>1841</v>
      </c>
      <c r="D26494" s="21" t="s">
        <v>34</v>
      </c>
      <c r="E26494" s="21" t="s">
        <v>35</v>
      </c>
      <c r="F26494">
        <v>12850030</v>
      </c>
      <c r="G26494" t="s">
        <v>5078</v>
      </c>
      <c r="H26494" s="21">
        <v>618.16999999999996</v>
      </c>
    </row>
    <row r="26495" spans="1:8" customFormat="1" x14ac:dyDescent="0.25">
      <c r="A26495" t="str">
        <f>"653763"</f>
        <v>653763</v>
      </c>
      <c r="B26495" t="s">
        <v>27919</v>
      </c>
      <c r="C26495" t="s">
        <v>608</v>
      </c>
      <c r="D26495" s="21" t="s">
        <v>34</v>
      </c>
      <c r="E26495" s="21" t="s">
        <v>35</v>
      </c>
      <c r="F26495">
        <v>11650034</v>
      </c>
      <c r="G26495" t="s">
        <v>1989</v>
      </c>
      <c r="H26495" s="21">
        <v>618.16999999999996</v>
      </c>
    </row>
    <row r="26496" spans="1:8" customFormat="1" x14ac:dyDescent="0.25">
      <c r="A26496" t="str">
        <f>"1422980"</f>
        <v>1422980</v>
      </c>
      <c r="B26496" t="s">
        <v>17814</v>
      </c>
      <c r="C26496" t="s">
        <v>119</v>
      </c>
      <c r="D26496" s="21" t="s">
        <v>34</v>
      </c>
      <c r="E26496" s="21" t="s">
        <v>35</v>
      </c>
      <c r="F26496">
        <v>9140227</v>
      </c>
      <c r="G26496" t="s">
        <v>5130</v>
      </c>
      <c r="H26496" s="21">
        <v>617.91999999999996</v>
      </c>
    </row>
    <row r="26497" spans="1:8" customFormat="1" x14ac:dyDescent="0.25">
      <c r="A26497" t="str">
        <f>"1311462"</f>
        <v>1311462</v>
      </c>
      <c r="B26497" t="s">
        <v>19180</v>
      </c>
      <c r="C26497" t="s">
        <v>1647</v>
      </c>
      <c r="D26497" s="21" t="s">
        <v>34</v>
      </c>
      <c r="E26497" s="21" t="s">
        <v>1089</v>
      </c>
      <c r="F26497">
        <v>13130152</v>
      </c>
      <c r="G26497" t="s">
        <v>906</v>
      </c>
      <c r="H26497" s="21">
        <v>617.91999999999996</v>
      </c>
    </row>
    <row r="26498" spans="1:8" customFormat="1" x14ac:dyDescent="0.25">
      <c r="A26498" t="str">
        <f>"5110387"</f>
        <v>5110387</v>
      </c>
      <c r="B26498" t="s">
        <v>20119</v>
      </c>
      <c r="C26498" t="s">
        <v>812</v>
      </c>
      <c r="D26498" s="21" t="s">
        <v>34</v>
      </c>
      <c r="E26498" s="21" t="s">
        <v>35</v>
      </c>
      <c r="F26498">
        <v>6510062</v>
      </c>
      <c r="G26498" t="s">
        <v>9059</v>
      </c>
      <c r="H26498" s="21">
        <v>617.91999999999996</v>
      </c>
    </row>
    <row r="26499" spans="1:8" customFormat="1" x14ac:dyDescent="0.25">
      <c r="A26499" t="str">
        <f>"6023398"</f>
        <v>6023398</v>
      </c>
      <c r="B26499" t="s">
        <v>12421</v>
      </c>
      <c r="C26499" t="s">
        <v>55</v>
      </c>
      <c r="D26499" s="21" t="s">
        <v>34</v>
      </c>
      <c r="E26499" s="21" t="s">
        <v>71</v>
      </c>
      <c r="F26499">
        <v>7600171</v>
      </c>
      <c r="G26499" t="s">
        <v>4705</v>
      </c>
      <c r="H26499" s="21">
        <v>617.91999999999996</v>
      </c>
    </row>
    <row r="26500" spans="1:8" customFormat="1" x14ac:dyDescent="0.25">
      <c r="A26500" t="str">
        <f>"5976600"</f>
        <v>5976600</v>
      </c>
      <c r="B26500" t="s">
        <v>20729</v>
      </c>
      <c r="C26500" t="s">
        <v>412</v>
      </c>
      <c r="D26500" s="21" t="s">
        <v>34</v>
      </c>
      <c r="E26500" s="21" t="s">
        <v>35</v>
      </c>
      <c r="F26500">
        <v>7590017</v>
      </c>
      <c r="G26500" t="s">
        <v>1316</v>
      </c>
      <c r="H26500" s="21">
        <v>617.91999999999996</v>
      </c>
    </row>
    <row r="26501" spans="1:8" customFormat="1" x14ac:dyDescent="0.25">
      <c r="A26501" t="str">
        <f>"3817357"</f>
        <v>3817357</v>
      </c>
      <c r="B26501" t="s">
        <v>12842</v>
      </c>
      <c r="C26501" t="s">
        <v>269</v>
      </c>
      <c r="D26501" s="21" t="s">
        <v>34</v>
      </c>
      <c r="E26501" s="21" t="s">
        <v>71</v>
      </c>
      <c r="F26501">
        <v>1380256</v>
      </c>
      <c r="G26501" t="s">
        <v>6946</v>
      </c>
      <c r="H26501" s="21">
        <v>617.79</v>
      </c>
    </row>
    <row r="26502" spans="1:8" customFormat="1" x14ac:dyDescent="0.25">
      <c r="A26502" t="str">
        <f>"022157"</f>
        <v>022157</v>
      </c>
      <c r="B26502" t="s">
        <v>20262</v>
      </c>
      <c r="C26502" t="s">
        <v>198</v>
      </c>
      <c r="D26502" s="21" t="s">
        <v>34</v>
      </c>
      <c r="E26502" s="21" t="s">
        <v>1089</v>
      </c>
      <c r="F26502">
        <v>7020062</v>
      </c>
      <c r="G26502" t="s">
        <v>1505</v>
      </c>
      <c r="H26502" s="21">
        <v>617.66999999999996</v>
      </c>
    </row>
    <row r="26503" spans="1:8" customFormat="1" x14ac:dyDescent="0.25">
      <c r="A26503" t="str">
        <f>"244279"</f>
        <v>244279</v>
      </c>
      <c r="B26503" t="s">
        <v>18941</v>
      </c>
      <c r="C26503" t="s">
        <v>40</v>
      </c>
      <c r="D26503" s="21" t="s">
        <v>34</v>
      </c>
      <c r="E26503" s="21" t="s">
        <v>1089</v>
      </c>
      <c r="F26503">
        <v>10240014</v>
      </c>
      <c r="G26503" t="s">
        <v>5445</v>
      </c>
      <c r="H26503" s="21">
        <v>617.66999999999996</v>
      </c>
    </row>
    <row r="26504" spans="1:8" customFormat="1" x14ac:dyDescent="0.25">
      <c r="A26504" t="str">
        <f>"3535150"</f>
        <v>3535150</v>
      </c>
      <c r="B26504" t="s">
        <v>17688</v>
      </c>
      <c r="C26504" t="s">
        <v>33</v>
      </c>
      <c r="D26504" s="21" t="s">
        <v>34</v>
      </c>
      <c r="E26504" s="21" t="s">
        <v>35</v>
      </c>
      <c r="F26504">
        <v>3350209</v>
      </c>
      <c r="G26504" t="s">
        <v>3023</v>
      </c>
      <c r="H26504" s="21">
        <v>617.66999999999996</v>
      </c>
    </row>
    <row r="26505" spans="1:8" customFormat="1" x14ac:dyDescent="0.25">
      <c r="A26505" t="str">
        <f>"6947950"</f>
        <v>6947950</v>
      </c>
      <c r="B26505" t="s">
        <v>21719</v>
      </c>
      <c r="C26505" t="s">
        <v>40</v>
      </c>
      <c r="D26505" s="21" t="s">
        <v>34</v>
      </c>
      <c r="E26505" s="21" t="s">
        <v>71</v>
      </c>
      <c r="F26505">
        <v>1690162</v>
      </c>
      <c r="G26505" t="s">
        <v>7358</v>
      </c>
      <c r="H26505" s="21">
        <v>617.66999999999996</v>
      </c>
    </row>
    <row r="26506" spans="1:8" customFormat="1" x14ac:dyDescent="0.25">
      <c r="A26506" t="str">
        <f>"9216494"</f>
        <v>9216494</v>
      </c>
      <c r="B26506" t="s">
        <v>1491</v>
      </c>
      <c r="C26506" t="s">
        <v>209</v>
      </c>
      <c r="D26506" s="21" t="s">
        <v>34</v>
      </c>
      <c r="E26506" s="21" t="s">
        <v>254</v>
      </c>
      <c r="F26506">
        <v>10400002</v>
      </c>
      <c r="G26506" t="s">
        <v>1975</v>
      </c>
      <c r="H26506" s="21">
        <v>617.66999999999996</v>
      </c>
    </row>
    <row r="26507" spans="1:8" customFormat="1" x14ac:dyDescent="0.25">
      <c r="A26507" t="str">
        <f>"037527"</f>
        <v>037527</v>
      </c>
      <c r="B26507" t="s">
        <v>4058</v>
      </c>
      <c r="C26507" t="s">
        <v>269</v>
      </c>
      <c r="D26507" s="21" t="s">
        <v>34</v>
      </c>
      <c r="E26507" s="21" t="s">
        <v>71</v>
      </c>
      <c r="F26507">
        <v>1030308</v>
      </c>
      <c r="G26507" t="s">
        <v>1485</v>
      </c>
      <c r="H26507" s="21">
        <v>617.66999999999996</v>
      </c>
    </row>
    <row r="26508" spans="1:8" customFormat="1" x14ac:dyDescent="0.25">
      <c r="A26508" t="str">
        <f>"6023926"</f>
        <v>6023926</v>
      </c>
      <c r="B26508" t="s">
        <v>175</v>
      </c>
      <c r="C26508" t="s">
        <v>151</v>
      </c>
      <c r="D26508" s="21" t="s">
        <v>34</v>
      </c>
      <c r="E26508" s="21" t="s">
        <v>35</v>
      </c>
      <c r="F26508">
        <v>7600026</v>
      </c>
      <c r="G26508" t="s">
        <v>10079</v>
      </c>
      <c r="H26508" s="21">
        <v>617.66999999999996</v>
      </c>
    </row>
    <row r="26509" spans="1:8" customFormat="1" x14ac:dyDescent="0.25">
      <c r="A26509" t="str">
        <f>"577269"</f>
        <v>577269</v>
      </c>
      <c r="B26509" t="s">
        <v>18549</v>
      </c>
      <c r="C26509" t="s">
        <v>379</v>
      </c>
      <c r="D26509" s="21" t="s">
        <v>34</v>
      </c>
      <c r="E26509" s="21" t="s">
        <v>254</v>
      </c>
      <c r="F26509">
        <v>6570060</v>
      </c>
      <c r="G26509" t="s">
        <v>4397</v>
      </c>
      <c r="H26509" s="21">
        <v>617.66999999999996</v>
      </c>
    </row>
    <row r="26510" spans="1:8" customFormat="1" x14ac:dyDescent="0.25">
      <c r="A26510" t="str">
        <f>"42241"</f>
        <v>42241</v>
      </c>
      <c r="B26510" t="s">
        <v>3815</v>
      </c>
      <c r="C26510" t="s">
        <v>253</v>
      </c>
      <c r="D26510" s="21" t="s">
        <v>34</v>
      </c>
      <c r="E26510" s="21" t="s">
        <v>1089</v>
      </c>
      <c r="F26510">
        <v>1420117</v>
      </c>
      <c r="G26510" t="s">
        <v>2649</v>
      </c>
      <c r="H26510" s="21">
        <v>617.66999999999996</v>
      </c>
    </row>
    <row r="26511" spans="1:8" customFormat="1" x14ac:dyDescent="0.25">
      <c r="A26511" t="str">
        <f>"3412544"</f>
        <v>3412544</v>
      </c>
      <c r="B26511" t="s">
        <v>17929</v>
      </c>
      <c r="C26511" t="s">
        <v>2730</v>
      </c>
      <c r="D26511" s="21" t="s">
        <v>34</v>
      </c>
      <c r="E26511" s="21" t="s">
        <v>1089</v>
      </c>
      <c r="F26511">
        <v>11340053</v>
      </c>
      <c r="G26511" t="s">
        <v>9935</v>
      </c>
      <c r="H26511" s="21">
        <v>617.66999999999996</v>
      </c>
    </row>
    <row r="26512" spans="1:8" customFormat="1" x14ac:dyDescent="0.25">
      <c r="A26512" t="str">
        <f>"7510807"</f>
        <v>7510807</v>
      </c>
      <c r="B26512" t="s">
        <v>1254</v>
      </c>
      <c r="C26512" t="s">
        <v>608</v>
      </c>
      <c r="D26512" s="21" t="s">
        <v>34</v>
      </c>
      <c r="E26512" s="21" t="s">
        <v>35</v>
      </c>
      <c r="F26512">
        <v>7590175</v>
      </c>
      <c r="G26512" t="s">
        <v>3063</v>
      </c>
      <c r="H26512" s="21">
        <v>617.66999999999996</v>
      </c>
    </row>
    <row r="26513" spans="1:8" customFormat="1" x14ac:dyDescent="0.25">
      <c r="A26513" t="str">
        <f>"0114967"</f>
        <v>0114967</v>
      </c>
      <c r="B26513" t="s">
        <v>12975</v>
      </c>
      <c r="C26513" t="s">
        <v>249</v>
      </c>
      <c r="D26513" s="21" t="s">
        <v>34</v>
      </c>
      <c r="E26513" s="21" t="s">
        <v>35</v>
      </c>
      <c r="F26513">
        <v>1010027</v>
      </c>
      <c r="G26513" t="s">
        <v>6318</v>
      </c>
      <c r="H26513" s="21">
        <v>617.66999999999996</v>
      </c>
    </row>
    <row r="26514" spans="1:8" customFormat="1" x14ac:dyDescent="0.25">
      <c r="A26514" t="str">
        <f>"301277"</f>
        <v>301277</v>
      </c>
      <c r="B26514" t="s">
        <v>11031</v>
      </c>
      <c r="C26514" t="s">
        <v>305</v>
      </c>
      <c r="D26514" s="21" t="s">
        <v>34</v>
      </c>
      <c r="E26514" s="21" t="s">
        <v>35</v>
      </c>
      <c r="F26514">
        <v>11300040</v>
      </c>
      <c r="G26514" t="s">
        <v>13373</v>
      </c>
      <c r="H26514" s="21">
        <v>617.66999999999996</v>
      </c>
    </row>
    <row r="26515" spans="1:8" customFormat="1" x14ac:dyDescent="0.25">
      <c r="A26515" t="str">
        <f>"3327225"</f>
        <v>3327225</v>
      </c>
      <c r="B26515" t="s">
        <v>18943</v>
      </c>
      <c r="C26515" t="s">
        <v>18944</v>
      </c>
      <c r="D26515" s="21" t="s">
        <v>34</v>
      </c>
      <c r="E26515" s="21" t="s">
        <v>254</v>
      </c>
      <c r="F26515">
        <v>10330003</v>
      </c>
      <c r="G26515" t="s">
        <v>309</v>
      </c>
      <c r="H26515" s="21">
        <v>617.66999999999996</v>
      </c>
    </row>
    <row r="26516" spans="1:8" customFormat="1" x14ac:dyDescent="0.25">
      <c r="A26516" t="str">
        <f>"3318029"</f>
        <v>3318029</v>
      </c>
      <c r="B26516" t="s">
        <v>18032</v>
      </c>
      <c r="C26516" t="s">
        <v>130</v>
      </c>
      <c r="D26516" s="21" t="s">
        <v>34</v>
      </c>
      <c r="E26516" s="21" t="s">
        <v>71</v>
      </c>
      <c r="F26516">
        <v>10330129</v>
      </c>
      <c r="G26516" t="s">
        <v>5977</v>
      </c>
      <c r="H26516" s="21">
        <v>617.66999999999996</v>
      </c>
    </row>
    <row r="26517" spans="1:8" customFormat="1" x14ac:dyDescent="0.25">
      <c r="A26517" t="str">
        <f>"5317406"</f>
        <v>5317406</v>
      </c>
      <c r="B26517" t="s">
        <v>12577</v>
      </c>
      <c r="C26517" t="s">
        <v>926</v>
      </c>
      <c r="D26517" s="21" t="s">
        <v>34</v>
      </c>
      <c r="E26517" s="21" t="s">
        <v>35</v>
      </c>
      <c r="F26517">
        <v>12530106</v>
      </c>
      <c r="G26517" t="s">
        <v>27079</v>
      </c>
      <c r="H26517" s="21">
        <v>617.66999999999996</v>
      </c>
    </row>
    <row r="26518" spans="1:8" customFormat="1" x14ac:dyDescent="0.25">
      <c r="A26518" t="str">
        <f>"5928314"</f>
        <v>5928314</v>
      </c>
      <c r="B26518" t="s">
        <v>21972</v>
      </c>
      <c r="C26518" t="s">
        <v>1819</v>
      </c>
      <c r="D26518" s="21" t="s">
        <v>34</v>
      </c>
      <c r="E26518" s="21" t="s">
        <v>35</v>
      </c>
      <c r="F26518">
        <v>7620149</v>
      </c>
      <c r="G26518" t="s">
        <v>16598</v>
      </c>
      <c r="H26518" s="21">
        <v>617.66999999999996</v>
      </c>
    </row>
    <row r="26519" spans="1:8" customFormat="1" x14ac:dyDescent="0.25">
      <c r="A26519" t="str">
        <f>"2719783"</f>
        <v>2719783</v>
      </c>
      <c r="B26519" t="s">
        <v>21029</v>
      </c>
      <c r="C26519" t="s">
        <v>1665</v>
      </c>
      <c r="D26519" s="21" t="s">
        <v>34</v>
      </c>
      <c r="E26519" s="21" t="s">
        <v>71</v>
      </c>
      <c r="F26519">
        <v>9270168</v>
      </c>
      <c r="G26519" t="s">
        <v>5126</v>
      </c>
      <c r="H26519" s="21">
        <v>617.54</v>
      </c>
    </row>
    <row r="26520" spans="1:8" customFormat="1" x14ac:dyDescent="0.25">
      <c r="A26520" t="str">
        <f>"9316891"</f>
        <v>9316891</v>
      </c>
      <c r="B26520" t="s">
        <v>20051</v>
      </c>
      <c r="C26520" t="s">
        <v>1119</v>
      </c>
      <c r="D26520" s="21" t="s">
        <v>34</v>
      </c>
      <c r="E26520" s="21" t="s">
        <v>254</v>
      </c>
      <c r="F26520">
        <v>10330099</v>
      </c>
      <c r="G26520" t="s">
        <v>10670</v>
      </c>
      <c r="H26520" s="21">
        <v>617.54</v>
      </c>
    </row>
    <row r="26521" spans="1:8" customFormat="1" x14ac:dyDescent="0.25">
      <c r="A26521" t="str">
        <f>"124952"</f>
        <v>124952</v>
      </c>
      <c r="B26521" t="s">
        <v>19568</v>
      </c>
      <c r="C26521" t="s">
        <v>209</v>
      </c>
      <c r="D26521" s="21" t="s">
        <v>34</v>
      </c>
      <c r="E26521" s="21" t="s">
        <v>35</v>
      </c>
      <c r="F26521">
        <v>11120017</v>
      </c>
      <c r="G26521" t="s">
        <v>6560</v>
      </c>
      <c r="H26521" s="21">
        <v>617.41999999999996</v>
      </c>
    </row>
    <row r="26522" spans="1:8" customFormat="1" x14ac:dyDescent="0.25">
      <c r="A26522" t="str">
        <f>"7870217"</f>
        <v>7870217</v>
      </c>
      <c r="B26522" t="s">
        <v>20672</v>
      </c>
      <c r="C26522" t="s">
        <v>55</v>
      </c>
      <c r="D26522" s="21" t="s">
        <v>34</v>
      </c>
      <c r="E26522" s="21" t="s">
        <v>71</v>
      </c>
      <c r="F26522">
        <v>8780886</v>
      </c>
      <c r="G26522" t="s">
        <v>3161</v>
      </c>
      <c r="H26522" s="21">
        <v>617.41999999999996</v>
      </c>
    </row>
    <row r="26523" spans="1:8" customFormat="1" x14ac:dyDescent="0.25">
      <c r="A26523" t="str">
        <f>"4519739"</f>
        <v>4519739</v>
      </c>
      <c r="B26523" t="s">
        <v>19626</v>
      </c>
      <c r="C26523" t="s">
        <v>12304</v>
      </c>
      <c r="D26523" s="21" t="s">
        <v>34</v>
      </c>
      <c r="E26523" s="21" t="s">
        <v>254</v>
      </c>
      <c r="F26523">
        <v>4450750</v>
      </c>
      <c r="G26523" t="s">
        <v>6572</v>
      </c>
      <c r="H26523" s="21">
        <v>617.41999999999996</v>
      </c>
    </row>
    <row r="26524" spans="1:8" customFormat="1" x14ac:dyDescent="0.25">
      <c r="A26524" t="str">
        <f>"5979407"</f>
        <v>5979407</v>
      </c>
      <c r="B26524" t="s">
        <v>1572</v>
      </c>
      <c r="C26524" t="s">
        <v>328</v>
      </c>
      <c r="D26524" s="21" t="s">
        <v>34</v>
      </c>
      <c r="E26524" s="21" t="s">
        <v>35</v>
      </c>
      <c r="F26524">
        <v>7590228</v>
      </c>
      <c r="G26524" t="s">
        <v>1798</v>
      </c>
      <c r="H26524" s="21">
        <v>617.16999999999996</v>
      </c>
    </row>
    <row r="26525" spans="1:8" customFormat="1" x14ac:dyDescent="0.25">
      <c r="A26525" t="str">
        <f>"4428364"</f>
        <v>4428364</v>
      </c>
      <c r="B26525" t="s">
        <v>19320</v>
      </c>
      <c r="C26525" t="s">
        <v>19321</v>
      </c>
      <c r="D26525" s="21" t="s">
        <v>34</v>
      </c>
      <c r="E26525" s="21" t="s">
        <v>71</v>
      </c>
      <c r="F26525">
        <v>12440064</v>
      </c>
      <c r="G26525" t="s">
        <v>9082</v>
      </c>
      <c r="H26525" s="21">
        <v>617.16999999999996</v>
      </c>
    </row>
    <row r="26526" spans="1:8" customFormat="1" x14ac:dyDescent="0.25">
      <c r="A26526" t="str">
        <f>"4524397"</f>
        <v>4524397</v>
      </c>
      <c r="B26526" t="s">
        <v>19190</v>
      </c>
      <c r="C26526" t="s">
        <v>2276</v>
      </c>
      <c r="D26526" s="21" t="s">
        <v>34</v>
      </c>
      <c r="E26526" s="21" t="s">
        <v>71</v>
      </c>
      <c r="F26526">
        <v>4450754</v>
      </c>
      <c r="G26526" t="s">
        <v>2695</v>
      </c>
      <c r="H26526" s="21">
        <v>617.16999999999996</v>
      </c>
    </row>
    <row r="26527" spans="1:8" customFormat="1" x14ac:dyDescent="0.25">
      <c r="A26527" t="str">
        <f>"3710483"</f>
        <v>3710483</v>
      </c>
      <c r="B26527" t="s">
        <v>20086</v>
      </c>
      <c r="C26527" t="s">
        <v>239</v>
      </c>
      <c r="D26527" s="21" t="s">
        <v>34</v>
      </c>
      <c r="E26527" s="21" t="s">
        <v>1089</v>
      </c>
      <c r="F26527">
        <v>4370682</v>
      </c>
      <c r="G26527" t="s">
        <v>10454</v>
      </c>
      <c r="H26527" s="21">
        <v>617.16999999999996</v>
      </c>
    </row>
    <row r="26528" spans="1:8" customFormat="1" x14ac:dyDescent="0.25">
      <c r="A26528" t="str">
        <f>"4936570"</f>
        <v>4936570</v>
      </c>
      <c r="B26528" t="s">
        <v>11944</v>
      </c>
      <c r="C26528" t="s">
        <v>2529</v>
      </c>
      <c r="D26528" s="21" t="s">
        <v>34</v>
      </c>
      <c r="E26528" s="21" t="s">
        <v>71</v>
      </c>
      <c r="F26528">
        <v>12490039</v>
      </c>
      <c r="G26528" t="s">
        <v>3453</v>
      </c>
      <c r="H26528" s="21">
        <v>617.16999999999996</v>
      </c>
    </row>
    <row r="26529" spans="1:8" customFormat="1" x14ac:dyDescent="0.25">
      <c r="A26529" t="str">
        <f>"5954146"</f>
        <v>5954146</v>
      </c>
      <c r="B26529" t="s">
        <v>20862</v>
      </c>
      <c r="C26529" t="s">
        <v>65</v>
      </c>
      <c r="D26529" s="21" t="s">
        <v>34</v>
      </c>
      <c r="E26529" s="21" t="s">
        <v>35</v>
      </c>
      <c r="F26529">
        <v>7620088</v>
      </c>
      <c r="G26529" t="s">
        <v>3342</v>
      </c>
      <c r="H26529" s="21">
        <v>617.16999999999996</v>
      </c>
    </row>
    <row r="26530" spans="1:8" customFormat="1" x14ac:dyDescent="0.25">
      <c r="A26530" t="str">
        <f>"6110320"</f>
        <v>6110320</v>
      </c>
      <c r="B26530" t="s">
        <v>1827</v>
      </c>
      <c r="C26530" t="s">
        <v>1025</v>
      </c>
      <c r="D26530" s="21" t="s">
        <v>34</v>
      </c>
      <c r="E26530" s="21" t="s">
        <v>71</v>
      </c>
      <c r="F26530">
        <v>9610073</v>
      </c>
      <c r="G26530" t="s">
        <v>8382</v>
      </c>
      <c r="H26530" s="21">
        <v>617.16999999999996</v>
      </c>
    </row>
    <row r="26531" spans="1:8" customFormat="1" x14ac:dyDescent="0.25">
      <c r="A26531" t="str">
        <f>"8527728"</f>
        <v>8527728</v>
      </c>
      <c r="B26531" t="s">
        <v>13929</v>
      </c>
      <c r="C26531" t="s">
        <v>98</v>
      </c>
      <c r="D26531" s="21" t="s">
        <v>34</v>
      </c>
      <c r="E26531" s="21" t="s">
        <v>35</v>
      </c>
      <c r="F26531">
        <v>12851023</v>
      </c>
      <c r="G26531" t="s">
        <v>1075</v>
      </c>
      <c r="H26531" s="21">
        <v>617.16999999999996</v>
      </c>
    </row>
    <row r="26532" spans="1:8" customFormat="1" x14ac:dyDescent="0.25">
      <c r="A26532" t="str">
        <f>"064473"</f>
        <v>064473</v>
      </c>
      <c r="B26532" t="s">
        <v>27920</v>
      </c>
      <c r="C26532" t="s">
        <v>462</v>
      </c>
      <c r="D26532" s="21" t="s">
        <v>34</v>
      </c>
      <c r="E26532" s="21" t="s">
        <v>71</v>
      </c>
      <c r="F26532">
        <v>8771200</v>
      </c>
      <c r="G26532" t="s">
        <v>5455</v>
      </c>
      <c r="H26532" s="21">
        <v>617.16999999999996</v>
      </c>
    </row>
    <row r="26533" spans="1:8" customFormat="1" x14ac:dyDescent="0.25">
      <c r="A26533" t="str">
        <f>"7640402"</f>
        <v>7640402</v>
      </c>
      <c r="B26533" t="s">
        <v>19411</v>
      </c>
      <c r="C26533" t="s">
        <v>119</v>
      </c>
      <c r="D26533" s="21" t="s">
        <v>34</v>
      </c>
      <c r="E26533" s="21" t="s">
        <v>35</v>
      </c>
      <c r="F26533">
        <v>9760230</v>
      </c>
      <c r="G26533" t="s">
        <v>12511</v>
      </c>
      <c r="H26533" s="21">
        <v>617.16999999999996</v>
      </c>
    </row>
    <row r="26534" spans="1:8" customFormat="1" x14ac:dyDescent="0.25">
      <c r="A26534" t="str">
        <f>"9414530"</f>
        <v>9414530</v>
      </c>
      <c r="B26534" t="s">
        <v>5687</v>
      </c>
      <c r="C26534" t="s">
        <v>1110</v>
      </c>
      <c r="D26534" s="21" t="s">
        <v>34</v>
      </c>
      <c r="E26534" s="21" t="s">
        <v>1089</v>
      </c>
      <c r="F26534">
        <v>3220047</v>
      </c>
      <c r="G26534" t="s">
        <v>131</v>
      </c>
      <c r="H26534" s="21">
        <v>617.16999999999996</v>
      </c>
    </row>
    <row r="26535" spans="1:8" customFormat="1" x14ac:dyDescent="0.25">
      <c r="A26535" t="str">
        <f>"7510271"</f>
        <v>7510271</v>
      </c>
      <c r="B26535" t="s">
        <v>1347</v>
      </c>
      <c r="C26535" t="s">
        <v>2475</v>
      </c>
      <c r="D26535" s="21" t="s">
        <v>34</v>
      </c>
      <c r="E26535" s="21" t="s">
        <v>71</v>
      </c>
      <c r="F26535">
        <v>8750007</v>
      </c>
      <c r="G26535" t="s">
        <v>775</v>
      </c>
      <c r="H26535" s="21">
        <v>617.16999999999996</v>
      </c>
    </row>
    <row r="26536" spans="1:8" customFormat="1" x14ac:dyDescent="0.25">
      <c r="A26536" t="str">
        <f>"643543"</f>
        <v>643543</v>
      </c>
      <c r="B26536" t="s">
        <v>18203</v>
      </c>
      <c r="C26536" t="s">
        <v>891</v>
      </c>
      <c r="D26536" s="21" t="s">
        <v>34</v>
      </c>
      <c r="E26536" s="21" t="s">
        <v>35</v>
      </c>
      <c r="F26536">
        <v>10640023</v>
      </c>
      <c r="G26536" t="s">
        <v>8567</v>
      </c>
      <c r="H26536" s="21">
        <v>617.16999999999996</v>
      </c>
    </row>
    <row r="26537" spans="1:8" customFormat="1" x14ac:dyDescent="0.25">
      <c r="A26537" t="str">
        <f>"1419002"</f>
        <v>1419002</v>
      </c>
      <c r="B26537" t="s">
        <v>19257</v>
      </c>
      <c r="C26537" t="s">
        <v>8546</v>
      </c>
      <c r="D26537" s="21" t="s">
        <v>34</v>
      </c>
      <c r="E26537" s="21" t="s">
        <v>35</v>
      </c>
      <c r="F26537">
        <v>9140190</v>
      </c>
      <c r="G26537" t="s">
        <v>7368</v>
      </c>
      <c r="H26537" s="21">
        <v>617.16999999999996</v>
      </c>
    </row>
    <row r="26538" spans="1:8" customFormat="1" x14ac:dyDescent="0.25">
      <c r="A26538" t="str">
        <f>"7411568"</f>
        <v>7411568</v>
      </c>
      <c r="B26538" t="s">
        <v>16368</v>
      </c>
      <c r="C26538" t="s">
        <v>124</v>
      </c>
      <c r="D26538" s="21" t="s">
        <v>34</v>
      </c>
      <c r="E26538" s="21" t="s">
        <v>71</v>
      </c>
      <c r="F26538">
        <v>1740069</v>
      </c>
      <c r="G26538" t="s">
        <v>8151</v>
      </c>
      <c r="H26538" s="21">
        <v>617.16999999999996</v>
      </c>
    </row>
    <row r="26539" spans="1:8" customFormat="1" x14ac:dyDescent="0.25">
      <c r="A26539" t="str">
        <f>"6930862"</f>
        <v>6930862</v>
      </c>
      <c r="B26539" t="s">
        <v>18995</v>
      </c>
      <c r="C26539" t="s">
        <v>263</v>
      </c>
      <c r="D26539" s="21" t="s">
        <v>34</v>
      </c>
      <c r="E26539" s="21" t="s">
        <v>71</v>
      </c>
      <c r="F26539">
        <v>1690023</v>
      </c>
      <c r="G26539" t="s">
        <v>647</v>
      </c>
      <c r="H26539" s="21">
        <v>617.16999999999996</v>
      </c>
    </row>
    <row r="26540" spans="1:8" customFormat="1" x14ac:dyDescent="0.25">
      <c r="A26540" t="str">
        <f>"3722074"</f>
        <v>3722074</v>
      </c>
      <c r="B26540" t="s">
        <v>3972</v>
      </c>
      <c r="C26540" t="s">
        <v>730</v>
      </c>
      <c r="D26540" s="21" t="s">
        <v>34</v>
      </c>
      <c r="E26540" s="21" t="s">
        <v>71</v>
      </c>
      <c r="F26540">
        <v>4370566</v>
      </c>
      <c r="G26540" t="s">
        <v>4710</v>
      </c>
      <c r="H26540" s="21">
        <v>617.16999999999996</v>
      </c>
    </row>
    <row r="26541" spans="1:8" customFormat="1" x14ac:dyDescent="0.25">
      <c r="A26541" t="str">
        <f>"534386"</f>
        <v>534386</v>
      </c>
      <c r="B26541" t="s">
        <v>11833</v>
      </c>
      <c r="C26541" t="s">
        <v>879</v>
      </c>
      <c r="D26541" s="21" t="s">
        <v>34</v>
      </c>
      <c r="E26541" s="21" t="s">
        <v>1089</v>
      </c>
      <c r="F26541">
        <v>12530022</v>
      </c>
      <c r="G26541" t="s">
        <v>914</v>
      </c>
      <c r="H26541" s="21">
        <v>617.16999999999996</v>
      </c>
    </row>
    <row r="26542" spans="1:8" customFormat="1" x14ac:dyDescent="0.25">
      <c r="A26542" t="str">
        <f>"7816555"</f>
        <v>7816555</v>
      </c>
      <c r="B26542" t="s">
        <v>20413</v>
      </c>
      <c r="C26542" t="s">
        <v>124</v>
      </c>
      <c r="D26542" s="21" t="s">
        <v>34</v>
      </c>
      <c r="E26542" s="21" t="s">
        <v>71</v>
      </c>
      <c r="F26542">
        <v>8781267</v>
      </c>
      <c r="G26542" t="s">
        <v>13791</v>
      </c>
      <c r="H26542" s="21">
        <v>617.16999999999996</v>
      </c>
    </row>
    <row r="26543" spans="1:8" customFormat="1" x14ac:dyDescent="0.25">
      <c r="A26543" t="str">
        <f>"631308"</f>
        <v>631308</v>
      </c>
      <c r="B26543" t="s">
        <v>1341</v>
      </c>
      <c r="C26543" t="s">
        <v>239</v>
      </c>
      <c r="D26543" s="21" t="s">
        <v>34</v>
      </c>
      <c r="E26543" s="21" t="s">
        <v>71</v>
      </c>
      <c r="F26543">
        <v>1630114</v>
      </c>
      <c r="G26543" t="s">
        <v>10269</v>
      </c>
      <c r="H26543" s="21">
        <v>617.16999999999996</v>
      </c>
    </row>
    <row r="26544" spans="1:8" customFormat="1" x14ac:dyDescent="0.25">
      <c r="A26544" t="str">
        <f>"029574"</f>
        <v>029574</v>
      </c>
      <c r="B26544" t="s">
        <v>482</v>
      </c>
      <c r="C26544" t="s">
        <v>547</v>
      </c>
      <c r="D26544" s="21" t="s">
        <v>34</v>
      </c>
      <c r="E26544" s="21" t="s">
        <v>254</v>
      </c>
      <c r="F26544">
        <v>7021009</v>
      </c>
      <c r="G26544" t="s">
        <v>2739</v>
      </c>
      <c r="H26544" s="21">
        <v>617.16999999999996</v>
      </c>
    </row>
    <row r="26545" spans="1:8" customFormat="1" x14ac:dyDescent="0.25">
      <c r="A26545" t="str">
        <f>"6018740"</f>
        <v>6018740</v>
      </c>
      <c r="B26545" t="s">
        <v>19458</v>
      </c>
      <c r="C26545" t="s">
        <v>119</v>
      </c>
      <c r="D26545" s="21" t="s">
        <v>34</v>
      </c>
      <c r="E26545" s="21" t="s">
        <v>35</v>
      </c>
      <c r="F26545">
        <v>7600112</v>
      </c>
      <c r="G26545" t="s">
        <v>9272</v>
      </c>
      <c r="H26545" s="21">
        <v>617.16999999999996</v>
      </c>
    </row>
    <row r="26546" spans="1:8" customFormat="1" x14ac:dyDescent="0.25">
      <c r="A26546" t="str">
        <f>"3326932"</f>
        <v>3326932</v>
      </c>
      <c r="B26546" t="s">
        <v>18981</v>
      </c>
      <c r="C26546" t="s">
        <v>528</v>
      </c>
      <c r="D26546" s="21" t="s">
        <v>34</v>
      </c>
      <c r="E26546" s="21" t="s">
        <v>35</v>
      </c>
      <c r="F26546">
        <v>10330061</v>
      </c>
      <c r="G26546" t="s">
        <v>17729</v>
      </c>
      <c r="H26546" s="21">
        <v>616.79</v>
      </c>
    </row>
    <row r="26547" spans="1:8" customFormat="1" x14ac:dyDescent="0.25">
      <c r="A26547" t="str">
        <f>"2515912"</f>
        <v>2515912</v>
      </c>
      <c r="B26547" t="s">
        <v>20466</v>
      </c>
      <c r="C26547" t="s">
        <v>1132</v>
      </c>
      <c r="D26547" s="21" t="s">
        <v>34</v>
      </c>
      <c r="E26547" s="21" t="s">
        <v>254</v>
      </c>
      <c r="F26547">
        <v>2250059</v>
      </c>
      <c r="G26547" t="s">
        <v>10904</v>
      </c>
      <c r="H26547" s="21">
        <v>616.79</v>
      </c>
    </row>
    <row r="26548" spans="1:8" customFormat="1" x14ac:dyDescent="0.25">
      <c r="A26548" t="str">
        <f>"228419"</f>
        <v>228419</v>
      </c>
      <c r="B26548" t="s">
        <v>21390</v>
      </c>
      <c r="C26548" t="s">
        <v>124</v>
      </c>
      <c r="D26548" s="21" t="s">
        <v>34</v>
      </c>
      <c r="E26548" s="21" t="s">
        <v>35</v>
      </c>
      <c r="F26548">
        <v>3220139</v>
      </c>
      <c r="G26548" t="s">
        <v>27114</v>
      </c>
      <c r="H26548" s="21">
        <v>616.66999999999996</v>
      </c>
    </row>
    <row r="26549" spans="1:8" customFormat="1" x14ac:dyDescent="0.25">
      <c r="A26549" t="str">
        <f>"8615177"</f>
        <v>8615177</v>
      </c>
      <c r="B26549" t="s">
        <v>2046</v>
      </c>
      <c r="C26549" t="s">
        <v>206</v>
      </c>
      <c r="D26549" s="21" t="s">
        <v>34</v>
      </c>
      <c r="E26549" s="21" t="s">
        <v>35</v>
      </c>
      <c r="F26549">
        <v>10860016</v>
      </c>
      <c r="G26549" t="s">
        <v>3289</v>
      </c>
      <c r="H26549" s="21">
        <v>616.66999999999996</v>
      </c>
    </row>
    <row r="26550" spans="1:8" customFormat="1" x14ac:dyDescent="0.25">
      <c r="A26550" t="str">
        <f>"3014098"</f>
        <v>3014098</v>
      </c>
      <c r="B26550" t="s">
        <v>861</v>
      </c>
      <c r="C26550" t="s">
        <v>87</v>
      </c>
      <c r="D26550" s="21" t="s">
        <v>34</v>
      </c>
      <c r="E26550" s="21" t="s">
        <v>35</v>
      </c>
      <c r="F26550">
        <v>11300025</v>
      </c>
      <c r="G26550" t="s">
        <v>1211</v>
      </c>
      <c r="H26550" s="21">
        <v>616.66999999999996</v>
      </c>
    </row>
    <row r="26551" spans="1:8" customFormat="1" x14ac:dyDescent="0.25">
      <c r="A26551" t="str">
        <f>"9533139"</f>
        <v>9533139</v>
      </c>
      <c r="B26551" t="s">
        <v>4419</v>
      </c>
      <c r="C26551" t="s">
        <v>40</v>
      </c>
      <c r="D26551" s="21" t="s">
        <v>34</v>
      </c>
      <c r="E26551" s="21" t="s">
        <v>71</v>
      </c>
      <c r="F26551">
        <v>8951273</v>
      </c>
      <c r="G26551" t="s">
        <v>2382</v>
      </c>
      <c r="H26551" s="21">
        <v>616.66999999999996</v>
      </c>
    </row>
    <row r="26552" spans="1:8" customFormat="1" x14ac:dyDescent="0.25">
      <c r="A26552" t="str">
        <f>"2511532"</f>
        <v>2511532</v>
      </c>
      <c r="B26552" t="s">
        <v>1028</v>
      </c>
      <c r="C26552" t="s">
        <v>171</v>
      </c>
      <c r="D26552" s="21" t="s">
        <v>34</v>
      </c>
      <c r="E26552" s="21" t="s">
        <v>35</v>
      </c>
      <c r="F26552">
        <v>2250162</v>
      </c>
      <c r="G26552" t="s">
        <v>7388</v>
      </c>
      <c r="H26552" s="21">
        <v>616.66999999999996</v>
      </c>
    </row>
    <row r="26553" spans="1:8" customFormat="1" x14ac:dyDescent="0.25">
      <c r="A26553" t="str">
        <f>"746335"</f>
        <v>746335</v>
      </c>
      <c r="B26553" t="s">
        <v>20604</v>
      </c>
      <c r="C26553" t="s">
        <v>598</v>
      </c>
      <c r="D26553" s="21" t="s">
        <v>34</v>
      </c>
      <c r="E26553" s="21" t="s">
        <v>254</v>
      </c>
      <c r="F26553">
        <v>1740038</v>
      </c>
      <c r="G26553" t="s">
        <v>26517</v>
      </c>
      <c r="H26553" s="21">
        <v>616.66999999999996</v>
      </c>
    </row>
    <row r="26554" spans="1:8" customFormat="1" x14ac:dyDescent="0.25">
      <c r="A26554" t="str">
        <f>"6718151"</f>
        <v>6718151</v>
      </c>
      <c r="B26554" t="s">
        <v>17810</v>
      </c>
      <c r="C26554" t="s">
        <v>124</v>
      </c>
      <c r="D26554" s="21" t="s">
        <v>34</v>
      </c>
      <c r="E26554" s="21" t="s">
        <v>71</v>
      </c>
      <c r="F26554">
        <v>6670122</v>
      </c>
      <c r="G26554" t="s">
        <v>3126</v>
      </c>
      <c r="H26554" s="21">
        <v>616.66999999999996</v>
      </c>
    </row>
    <row r="26555" spans="1:8" customFormat="1" x14ac:dyDescent="0.25">
      <c r="A26555" t="str">
        <f>"932547"</f>
        <v>932547</v>
      </c>
      <c r="B26555" t="s">
        <v>19493</v>
      </c>
      <c r="C26555" t="s">
        <v>253</v>
      </c>
      <c r="D26555" s="21" t="s">
        <v>34</v>
      </c>
      <c r="E26555" s="21" t="s">
        <v>254</v>
      </c>
      <c r="F26555">
        <v>8770665</v>
      </c>
      <c r="G26555" t="s">
        <v>903</v>
      </c>
      <c r="H26555" s="21">
        <v>616.66999999999996</v>
      </c>
    </row>
    <row r="26556" spans="1:8" customFormat="1" x14ac:dyDescent="0.25">
      <c r="A26556" t="str">
        <f>"2715564"</f>
        <v>2715564</v>
      </c>
      <c r="B26556" t="s">
        <v>1945</v>
      </c>
      <c r="C26556" t="s">
        <v>4896</v>
      </c>
      <c r="D26556" s="21" t="s">
        <v>34</v>
      </c>
      <c r="E26556" s="21" t="s">
        <v>35</v>
      </c>
      <c r="F26556">
        <v>9270006</v>
      </c>
      <c r="G26556" t="s">
        <v>780</v>
      </c>
      <c r="H26556" s="21">
        <v>616.66999999999996</v>
      </c>
    </row>
    <row r="26557" spans="1:8" customFormat="1" x14ac:dyDescent="0.25">
      <c r="A26557" t="str">
        <f>"2930785"</f>
        <v>2930785</v>
      </c>
      <c r="B26557" t="s">
        <v>1442</v>
      </c>
      <c r="C26557" t="s">
        <v>576</v>
      </c>
      <c r="D26557" s="21" t="s">
        <v>34</v>
      </c>
      <c r="E26557" s="21" t="s">
        <v>35</v>
      </c>
      <c r="F26557">
        <v>3290262</v>
      </c>
      <c r="G26557" t="s">
        <v>1139</v>
      </c>
      <c r="H26557" s="21">
        <v>616.66999999999996</v>
      </c>
    </row>
    <row r="26558" spans="1:8" customFormat="1" x14ac:dyDescent="0.25">
      <c r="A26558" t="str">
        <f>"6315909"</f>
        <v>6315909</v>
      </c>
      <c r="B26558" t="s">
        <v>19647</v>
      </c>
      <c r="C26558" t="s">
        <v>8198</v>
      </c>
      <c r="D26558" s="21" t="s">
        <v>34</v>
      </c>
      <c r="E26558" s="21" t="s">
        <v>35</v>
      </c>
      <c r="F26558">
        <v>1030308</v>
      </c>
      <c r="G26558" t="s">
        <v>1485</v>
      </c>
      <c r="H26558" s="21">
        <v>616.66999999999996</v>
      </c>
    </row>
    <row r="26559" spans="1:8" customFormat="1" x14ac:dyDescent="0.25">
      <c r="A26559" t="str">
        <f>"3720115"</f>
        <v>3720115</v>
      </c>
      <c r="B26559" t="s">
        <v>17321</v>
      </c>
      <c r="C26559" t="s">
        <v>130</v>
      </c>
      <c r="D26559" s="21" t="s">
        <v>34</v>
      </c>
      <c r="E26559" s="21" t="s">
        <v>71</v>
      </c>
      <c r="F26559">
        <v>4370396</v>
      </c>
      <c r="G26559" t="s">
        <v>14579</v>
      </c>
      <c r="H26559" s="21">
        <v>616.66999999999996</v>
      </c>
    </row>
    <row r="26560" spans="1:8" customFormat="1" x14ac:dyDescent="0.25">
      <c r="A26560" t="str">
        <f>"5613367"</f>
        <v>5613367</v>
      </c>
      <c r="B26560" t="s">
        <v>3313</v>
      </c>
      <c r="C26560" t="s">
        <v>1199</v>
      </c>
      <c r="D26560" s="21" t="s">
        <v>34</v>
      </c>
      <c r="E26560" s="21" t="s">
        <v>254</v>
      </c>
      <c r="F26560">
        <v>3560085</v>
      </c>
      <c r="G26560" t="s">
        <v>11473</v>
      </c>
      <c r="H26560" s="21">
        <v>616.66999999999996</v>
      </c>
    </row>
    <row r="26561" spans="1:8" customFormat="1" x14ac:dyDescent="0.25">
      <c r="A26561" t="str">
        <f>"8019650"</f>
        <v>8019650</v>
      </c>
      <c r="B26561" t="s">
        <v>1826</v>
      </c>
      <c r="C26561" t="s">
        <v>879</v>
      </c>
      <c r="D26561" s="21" t="s">
        <v>34</v>
      </c>
      <c r="E26561" s="21" t="s">
        <v>71</v>
      </c>
      <c r="F26561">
        <v>7800098</v>
      </c>
      <c r="G26561" t="s">
        <v>8445</v>
      </c>
      <c r="H26561" s="21">
        <v>616.54</v>
      </c>
    </row>
    <row r="26562" spans="1:8" customFormat="1" x14ac:dyDescent="0.25">
      <c r="A26562" t="str">
        <f>"7876839"</f>
        <v>7876839</v>
      </c>
      <c r="B26562" t="s">
        <v>20992</v>
      </c>
      <c r="C26562" t="s">
        <v>415</v>
      </c>
      <c r="D26562" s="21" t="s">
        <v>34</v>
      </c>
      <c r="E26562" s="21" t="s">
        <v>254</v>
      </c>
      <c r="F26562">
        <v>8780890</v>
      </c>
      <c r="G26562" t="s">
        <v>6456</v>
      </c>
      <c r="H26562" s="21">
        <v>616.41999999999996</v>
      </c>
    </row>
    <row r="26563" spans="1:8" customFormat="1" x14ac:dyDescent="0.25">
      <c r="A26563" t="str">
        <f>"3427251"</f>
        <v>3427251</v>
      </c>
      <c r="B26563" t="s">
        <v>5993</v>
      </c>
      <c r="C26563" t="s">
        <v>62</v>
      </c>
      <c r="D26563" s="21" t="s">
        <v>34</v>
      </c>
      <c r="E26563" s="21" t="s">
        <v>35</v>
      </c>
      <c r="F26563">
        <v>11340007</v>
      </c>
      <c r="G26563" t="s">
        <v>2278</v>
      </c>
      <c r="H26563" s="21">
        <v>616.41999999999996</v>
      </c>
    </row>
    <row r="26564" spans="1:8" customFormat="1" x14ac:dyDescent="0.25">
      <c r="A26564" t="str">
        <f>"8526881"</f>
        <v>8526881</v>
      </c>
      <c r="B26564" t="s">
        <v>21245</v>
      </c>
      <c r="C26564" t="s">
        <v>114</v>
      </c>
      <c r="D26564" s="21" t="s">
        <v>34</v>
      </c>
      <c r="E26564" s="21" t="s">
        <v>71</v>
      </c>
      <c r="F26564">
        <v>12850043</v>
      </c>
      <c r="G26564" t="s">
        <v>4873</v>
      </c>
      <c r="H26564" s="21">
        <v>616.29</v>
      </c>
    </row>
    <row r="26565" spans="1:8" customFormat="1" x14ac:dyDescent="0.25">
      <c r="A26565" t="str">
        <f>"6949741"</f>
        <v>6949741</v>
      </c>
      <c r="B26565" t="s">
        <v>27921</v>
      </c>
      <c r="C26565" t="s">
        <v>484</v>
      </c>
      <c r="D26565" s="21" t="s">
        <v>34</v>
      </c>
      <c r="E26565" s="21" t="s">
        <v>35</v>
      </c>
      <c r="F26565">
        <v>1690040</v>
      </c>
      <c r="G26565" t="s">
        <v>15960</v>
      </c>
      <c r="H26565" s="21">
        <v>616.16999999999996</v>
      </c>
    </row>
    <row r="26566" spans="1:8" customFormat="1" x14ac:dyDescent="0.25">
      <c r="A26566" t="str">
        <f>"5429529"</f>
        <v>5429529</v>
      </c>
      <c r="B26566" t="s">
        <v>4368</v>
      </c>
      <c r="C26566" t="s">
        <v>576</v>
      </c>
      <c r="D26566" s="21" t="s">
        <v>34</v>
      </c>
      <c r="E26566" s="21" t="s">
        <v>71</v>
      </c>
      <c r="F26566">
        <v>6540184</v>
      </c>
      <c r="G26566" t="s">
        <v>4395</v>
      </c>
      <c r="H26566" s="21">
        <v>616.16999999999996</v>
      </c>
    </row>
    <row r="26567" spans="1:8" customFormat="1" x14ac:dyDescent="0.25">
      <c r="A26567" t="str">
        <f>"6314038"</f>
        <v>6314038</v>
      </c>
      <c r="B26567" t="s">
        <v>1886</v>
      </c>
      <c r="C26567" t="s">
        <v>249</v>
      </c>
      <c r="D26567" s="21" t="s">
        <v>34</v>
      </c>
      <c r="E26567" s="21" t="s">
        <v>35</v>
      </c>
      <c r="F26567">
        <v>1630287</v>
      </c>
      <c r="G26567" t="s">
        <v>9906</v>
      </c>
      <c r="H26567" s="21">
        <v>616.16999999999996</v>
      </c>
    </row>
    <row r="26568" spans="1:8" customFormat="1" x14ac:dyDescent="0.25">
      <c r="A26568" t="str">
        <f>"123246"</f>
        <v>123246</v>
      </c>
      <c r="B26568" t="s">
        <v>19399</v>
      </c>
      <c r="C26568" t="s">
        <v>121</v>
      </c>
      <c r="D26568" s="21" t="s">
        <v>34</v>
      </c>
      <c r="E26568" s="21" t="s">
        <v>35</v>
      </c>
      <c r="F26568">
        <v>11120044</v>
      </c>
      <c r="G26568" t="s">
        <v>15823</v>
      </c>
      <c r="H26568" s="21">
        <v>616.16999999999996</v>
      </c>
    </row>
    <row r="26569" spans="1:8" customFormat="1" x14ac:dyDescent="0.25">
      <c r="A26569" t="str">
        <f>"428383"</f>
        <v>428383</v>
      </c>
      <c r="B26569" t="s">
        <v>1341</v>
      </c>
      <c r="C26569" t="s">
        <v>1119</v>
      </c>
      <c r="D26569" s="21" t="s">
        <v>34</v>
      </c>
      <c r="E26569" s="21" t="s">
        <v>254</v>
      </c>
      <c r="F26569">
        <v>1420148</v>
      </c>
      <c r="G26569" t="s">
        <v>10763</v>
      </c>
      <c r="H26569" s="21">
        <v>616.16999999999996</v>
      </c>
    </row>
    <row r="26570" spans="1:8" customFormat="1" x14ac:dyDescent="0.25">
      <c r="A26570" t="str">
        <f>"8018006"</f>
        <v>8018006</v>
      </c>
      <c r="B26570" t="s">
        <v>9353</v>
      </c>
      <c r="C26570" t="s">
        <v>124</v>
      </c>
      <c r="D26570" s="21" t="s">
        <v>34</v>
      </c>
      <c r="E26570" s="21" t="s">
        <v>71</v>
      </c>
      <c r="F26570">
        <v>7800156</v>
      </c>
      <c r="G26570" t="s">
        <v>12924</v>
      </c>
      <c r="H26570" s="21">
        <v>616.16999999999996</v>
      </c>
    </row>
    <row r="26571" spans="1:8" customFormat="1" x14ac:dyDescent="0.25">
      <c r="A26571" t="str">
        <f>"6724638"</f>
        <v>6724638</v>
      </c>
      <c r="B26571" t="s">
        <v>2886</v>
      </c>
      <c r="C26571" t="s">
        <v>2734</v>
      </c>
      <c r="D26571" s="21" t="s">
        <v>34</v>
      </c>
      <c r="E26571" s="21" t="s">
        <v>35</v>
      </c>
      <c r="F26571">
        <v>6670256</v>
      </c>
      <c r="G26571" t="s">
        <v>14348</v>
      </c>
      <c r="H26571" s="21">
        <v>616.16999999999996</v>
      </c>
    </row>
    <row r="26572" spans="1:8" customFormat="1" x14ac:dyDescent="0.25">
      <c r="A26572" t="str">
        <f>"706731"</f>
        <v>706731</v>
      </c>
      <c r="B26572" t="s">
        <v>27922</v>
      </c>
      <c r="C26572" t="s">
        <v>462</v>
      </c>
      <c r="D26572" s="21" t="s">
        <v>34</v>
      </c>
      <c r="E26572" s="21" t="s">
        <v>71</v>
      </c>
      <c r="F26572">
        <v>2700074</v>
      </c>
      <c r="G26572" t="s">
        <v>27108</v>
      </c>
      <c r="H26572" s="21">
        <v>616.16999999999996</v>
      </c>
    </row>
    <row r="26573" spans="1:8" customFormat="1" x14ac:dyDescent="0.25">
      <c r="A26573" t="str">
        <f>"1425214"</f>
        <v>1425214</v>
      </c>
      <c r="B26573" t="s">
        <v>4168</v>
      </c>
      <c r="C26573" t="s">
        <v>98</v>
      </c>
      <c r="D26573" s="21" t="s">
        <v>34</v>
      </c>
      <c r="E26573" s="21" t="s">
        <v>35</v>
      </c>
      <c r="F26573">
        <v>9140014</v>
      </c>
      <c r="G26573" t="s">
        <v>9546</v>
      </c>
      <c r="H26573" s="21">
        <v>616.16999999999996</v>
      </c>
    </row>
    <row r="26574" spans="1:8" customFormat="1" x14ac:dyDescent="0.25">
      <c r="A26574" t="str">
        <f>"5983114"</f>
        <v>5983114</v>
      </c>
      <c r="B26574" t="s">
        <v>25321</v>
      </c>
      <c r="C26574" t="s">
        <v>2250</v>
      </c>
      <c r="D26574" s="21" t="s">
        <v>34</v>
      </c>
      <c r="E26574" s="21" t="s">
        <v>35</v>
      </c>
      <c r="F26574">
        <v>7590027</v>
      </c>
      <c r="G26574" t="s">
        <v>629</v>
      </c>
      <c r="H26574" s="21">
        <v>616.16999999999996</v>
      </c>
    </row>
    <row r="26575" spans="1:8" customFormat="1" x14ac:dyDescent="0.25">
      <c r="A26575" t="str">
        <f>"9531653"</f>
        <v>9531653</v>
      </c>
      <c r="B26575" t="s">
        <v>14996</v>
      </c>
      <c r="C26575" t="s">
        <v>209</v>
      </c>
      <c r="D26575" s="21" t="s">
        <v>34</v>
      </c>
      <c r="E26575" s="21" t="s">
        <v>71</v>
      </c>
      <c r="F26575">
        <v>8950623</v>
      </c>
      <c r="G26575" t="s">
        <v>684</v>
      </c>
      <c r="H26575" s="21">
        <v>616.16999999999996</v>
      </c>
    </row>
    <row r="26576" spans="1:8" customFormat="1" x14ac:dyDescent="0.25">
      <c r="A26576" t="str">
        <f>"1613950"</f>
        <v>1613950</v>
      </c>
      <c r="B26576" t="s">
        <v>19661</v>
      </c>
      <c r="C26576" t="s">
        <v>90</v>
      </c>
      <c r="D26576" s="21" t="s">
        <v>34</v>
      </c>
      <c r="E26576" s="21" t="s">
        <v>35</v>
      </c>
      <c r="F26576">
        <v>10160018</v>
      </c>
      <c r="G26576" t="s">
        <v>6900</v>
      </c>
      <c r="H26576" s="21">
        <v>616.16999999999996</v>
      </c>
    </row>
    <row r="26577" spans="1:8" customFormat="1" x14ac:dyDescent="0.25">
      <c r="A26577" t="str">
        <f>"7640335"</f>
        <v>7640335</v>
      </c>
      <c r="B26577" t="s">
        <v>18629</v>
      </c>
      <c r="C26577" t="s">
        <v>576</v>
      </c>
      <c r="D26577" s="21" t="s">
        <v>34</v>
      </c>
      <c r="E26577" s="21" t="s">
        <v>35</v>
      </c>
      <c r="F26577">
        <v>9760039</v>
      </c>
      <c r="G26577" t="s">
        <v>9501</v>
      </c>
      <c r="H26577" s="21">
        <v>616.16999999999996</v>
      </c>
    </row>
    <row r="26578" spans="1:8" customFormat="1" x14ac:dyDescent="0.25">
      <c r="A26578" t="str">
        <f>"2938533"</f>
        <v>2938533</v>
      </c>
      <c r="B26578" t="s">
        <v>6659</v>
      </c>
      <c r="C26578" t="s">
        <v>320</v>
      </c>
      <c r="D26578" s="21" t="s">
        <v>34</v>
      </c>
      <c r="E26578" s="21" t="s">
        <v>71</v>
      </c>
      <c r="F26578">
        <v>3290081</v>
      </c>
      <c r="G26578" t="s">
        <v>3819</v>
      </c>
      <c r="H26578" s="21">
        <v>616.16999999999996</v>
      </c>
    </row>
    <row r="26579" spans="1:8" customFormat="1" x14ac:dyDescent="0.25">
      <c r="A26579" t="str">
        <f>"3829742"</f>
        <v>3829742</v>
      </c>
      <c r="B26579" t="s">
        <v>3703</v>
      </c>
      <c r="C26579" t="s">
        <v>144</v>
      </c>
      <c r="D26579" s="21" t="s">
        <v>34</v>
      </c>
      <c r="E26579" s="21" t="s">
        <v>35</v>
      </c>
      <c r="F26579">
        <v>1380076</v>
      </c>
      <c r="G26579" t="s">
        <v>8543</v>
      </c>
      <c r="H26579" s="21">
        <v>616.16999999999996</v>
      </c>
    </row>
    <row r="26580" spans="1:8" customFormat="1" x14ac:dyDescent="0.25">
      <c r="A26580" t="str">
        <f>"9242565"</f>
        <v>9242565</v>
      </c>
      <c r="B26580" t="s">
        <v>19962</v>
      </c>
      <c r="C26580" t="s">
        <v>55</v>
      </c>
      <c r="D26580" s="21" t="s">
        <v>34</v>
      </c>
      <c r="E26580" s="21" t="s">
        <v>71</v>
      </c>
      <c r="F26580">
        <v>8920067</v>
      </c>
      <c r="G26580" t="s">
        <v>258</v>
      </c>
      <c r="H26580" s="21">
        <v>616.16999999999996</v>
      </c>
    </row>
    <row r="26581" spans="1:8" customFormat="1" x14ac:dyDescent="0.25">
      <c r="A26581" t="str">
        <f>"1610650"</f>
        <v>1610650</v>
      </c>
      <c r="B26581" t="s">
        <v>20860</v>
      </c>
      <c r="C26581" t="s">
        <v>114</v>
      </c>
      <c r="D26581" s="21" t="s">
        <v>34</v>
      </c>
      <c r="E26581" s="21" t="s">
        <v>71</v>
      </c>
      <c r="F26581">
        <v>10160122</v>
      </c>
      <c r="G26581" t="s">
        <v>8169</v>
      </c>
      <c r="H26581" s="21">
        <v>616.16999999999996</v>
      </c>
    </row>
    <row r="26582" spans="1:8" customFormat="1" x14ac:dyDescent="0.25">
      <c r="A26582" t="str">
        <f>"846472"</f>
        <v>846472</v>
      </c>
      <c r="B26582" t="s">
        <v>27923</v>
      </c>
      <c r="C26582" t="s">
        <v>27924</v>
      </c>
      <c r="D26582" s="21" t="s">
        <v>34</v>
      </c>
      <c r="E26582" s="21" t="s">
        <v>35</v>
      </c>
      <c r="F26582">
        <v>13840025</v>
      </c>
      <c r="G26582" t="s">
        <v>7580</v>
      </c>
      <c r="H26582" s="21">
        <v>616.16999999999996</v>
      </c>
    </row>
    <row r="26583" spans="1:8" customFormat="1" x14ac:dyDescent="0.25">
      <c r="A26583" t="str">
        <f>"649376"</f>
        <v>649376</v>
      </c>
      <c r="B26583" t="s">
        <v>27925</v>
      </c>
      <c r="C26583" t="s">
        <v>65</v>
      </c>
      <c r="D26583" s="21" t="s">
        <v>34</v>
      </c>
      <c r="E26583" s="21" t="s">
        <v>35</v>
      </c>
      <c r="F26583">
        <v>10640023</v>
      </c>
      <c r="G26583" t="s">
        <v>8567</v>
      </c>
      <c r="H26583" s="21">
        <v>616.16999999999996</v>
      </c>
    </row>
    <row r="26584" spans="1:8" customFormat="1" x14ac:dyDescent="0.25">
      <c r="A26584" t="str">
        <f>"1610305"</f>
        <v>1610305</v>
      </c>
      <c r="B26584" t="s">
        <v>20813</v>
      </c>
      <c r="C26584" t="s">
        <v>249</v>
      </c>
      <c r="D26584" s="21" t="s">
        <v>34</v>
      </c>
      <c r="E26584" s="21" t="s">
        <v>35</v>
      </c>
      <c r="F26584">
        <v>10240036</v>
      </c>
      <c r="G26584" t="s">
        <v>20814</v>
      </c>
      <c r="H26584" s="21">
        <v>616.16999999999996</v>
      </c>
    </row>
    <row r="26585" spans="1:8" customFormat="1" x14ac:dyDescent="0.25">
      <c r="A26585" t="str">
        <f>"3332821"</f>
        <v>3332821</v>
      </c>
      <c r="B26585" t="s">
        <v>20240</v>
      </c>
      <c r="C26585" t="s">
        <v>576</v>
      </c>
      <c r="D26585" s="21" t="s">
        <v>34</v>
      </c>
      <c r="E26585" s="21" t="s">
        <v>35</v>
      </c>
      <c r="F26585">
        <v>10330084</v>
      </c>
      <c r="G26585" t="s">
        <v>1124</v>
      </c>
      <c r="H26585" s="21">
        <v>616.04</v>
      </c>
    </row>
    <row r="26586" spans="1:8" customFormat="1" x14ac:dyDescent="0.25">
      <c r="A26586" t="str">
        <f>"9246947"</f>
        <v>9246947</v>
      </c>
      <c r="B26586" t="s">
        <v>20755</v>
      </c>
      <c r="C26586" t="s">
        <v>33</v>
      </c>
      <c r="D26586" s="21" t="s">
        <v>34</v>
      </c>
      <c r="E26586" s="21" t="s">
        <v>71</v>
      </c>
      <c r="F26586">
        <v>8920151</v>
      </c>
      <c r="G26586" t="s">
        <v>1434</v>
      </c>
      <c r="H26586" s="21">
        <v>615.91999999999996</v>
      </c>
    </row>
    <row r="26587" spans="1:8" customFormat="1" x14ac:dyDescent="0.25">
      <c r="A26587" t="str">
        <f>"1711792"</f>
        <v>1711792</v>
      </c>
      <c r="B26587" t="s">
        <v>18815</v>
      </c>
      <c r="C26587" t="s">
        <v>11797</v>
      </c>
      <c r="D26587" s="21" t="s">
        <v>34</v>
      </c>
      <c r="E26587" s="21" t="s">
        <v>35</v>
      </c>
      <c r="F26587">
        <v>10170042</v>
      </c>
      <c r="G26587" t="s">
        <v>5014</v>
      </c>
      <c r="H26587" s="21">
        <v>615.91999999999996</v>
      </c>
    </row>
    <row r="26588" spans="1:8" customFormat="1" x14ac:dyDescent="0.25">
      <c r="A26588" t="str">
        <f>"9441412"</f>
        <v>9441412</v>
      </c>
      <c r="B26588" t="s">
        <v>19040</v>
      </c>
      <c r="C26588" t="s">
        <v>169</v>
      </c>
      <c r="D26588" s="21" t="s">
        <v>34</v>
      </c>
      <c r="E26588" s="21" t="s">
        <v>35</v>
      </c>
      <c r="F26588">
        <v>8940655</v>
      </c>
      <c r="G26588" t="s">
        <v>10168</v>
      </c>
      <c r="H26588" s="21">
        <v>615.91999999999996</v>
      </c>
    </row>
    <row r="26589" spans="1:8" customFormat="1" x14ac:dyDescent="0.25">
      <c r="A26589" t="str">
        <f>"3111329"</f>
        <v>3111329</v>
      </c>
      <c r="B26589" t="s">
        <v>3759</v>
      </c>
      <c r="C26589" t="s">
        <v>285</v>
      </c>
      <c r="D26589" s="21" t="s">
        <v>34</v>
      </c>
      <c r="E26589" s="21" t="s">
        <v>35</v>
      </c>
      <c r="F26589">
        <v>13830083</v>
      </c>
      <c r="G26589" t="s">
        <v>2159</v>
      </c>
      <c r="H26589" s="21">
        <v>615.91999999999996</v>
      </c>
    </row>
    <row r="26590" spans="1:8" customFormat="1" x14ac:dyDescent="0.25">
      <c r="A26590" t="str">
        <f>"3341136"</f>
        <v>3341136</v>
      </c>
      <c r="B26590" t="s">
        <v>20826</v>
      </c>
      <c r="C26590" t="s">
        <v>3648</v>
      </c>
      <c r="D26590" s="21" t="s">
        <v>34</v>
      </c>
      <c r="E26590" s="21" t="s">
        <v>71</v>
      </c>
      <c r="F26590">
        <v>10330130</v>
      </c>
      <c r="G26590" t="s">
        <v>13867</v>
      </c>
      <c r="H26590" s="21">
        <v>615.79</v>
      </c>
    </row>
    <row r="26591" spans="1:8" customFormat="1" x14ac:dyDescent="0.25">
      <c r="A26591" t="str">
        <f>"9218489"</f>
        <v>9218489</v>
      </c>
      <c r="B26591" t="s">
        <v>19274</v>
      </c>
      <c r="C26591" t="s">
        <v>528</v>
      </c>
      <c r="D26591" s="21" t="s">
        <v>34</v>
      </c>
      <c r="E26591" s="21" t="s">
        <v>71</v>
      </c>
      <c r="F26591">
        <v>8940012</v>
      </c>
      <c r="G26591" t="s">
        <v>1648</v>
      </c>
      <c r="H26591" s="21">
        <v>615.79</v>
      </c>
    </row>
    <row r="26592" spans="1:8" customFormat="1" x14ac:dyDescent="0.25">
      <c r="A26592" t="str">
        <f>"071487"</f>
        <v>071487</v>
      </c>
      <c r="B26592" t="s">
        <v>19452</v>
      </c>
      <c r="C26592" t="s">
        <v>462</v>
      </c>
      <c r="D26592" s="21" t="s">
        <v>34</v>
      </c>
      <c r="E26592" s="21" t="s">
        <v>71</v>
      </c>
      <c r="F26592">
        <v>1260065</v>
      </c>
      <c r="G26592" t="s">
        <v>1958</v>
      </c>
      <c r="H26592" s="21">
        <v>615.79</v>
      </c>
    </row>
    <row r="26593" spans="1:8" customFormat="1" x14ac:dyDescent="0.25">
      <c r="A26593" t="str">
        <f>"5326300"</f>
        <v>5326300</v>
      </c>
      <c r="B26593" t="s">
        <v>6558</v>
      </c>
      <c r="C26593" t="s">
        <v>1803</v>
      </c>
      <c r="D26593" s="21" t="s">
        <v>34</v>
      </c>
      <c r="E26593" s="21" t="s">
        <v>35</v>
      </c>
      <c r="F26593">
        <v>12530046</v>
      </c>
      <c r="G26593" t="s">
        <v>10191</v>
      </c>
      <c r="H26593" s="21">
        <v>615.66999999999996</v>
      </c>
    </row>
    <row r="26594" spans="1:8" customFormat="1" x14ac:dyDescent="0.25">
      <c r="A26594" t="str">
        <f>"3422639"</f>
        <v>3422639</v>
      </c>
      <c r="B26594" t="s">
        <v>9940</v>
      </c>
      <c r="C26594" t="s">
        <v>275</v>
      </c>
      <c r="D26594" s="21" t="s">
        <v>34</v>
      </c>
      <c r="E26594" s="21" t="s">
        <v>35</v>
      </c>
      <c r="F26594">
        <v>11340022</v>
      </c>
      <c r="G26594" t="s">
        <v>4663</v>
      </c>
      <c r="H26594" s="21">
        <v>615.66999999999996</v>
      </c>
    </row>
    <row r="26595" spans="1:8" customFormat="1" x14ac:dyDescent="0.25">
      <c r="A26595" t="str">
        <f>"417868"</f>
        <v>417868</v>
      </c>
      <c r="B26595" t="s">
        <v>19937</v>
      </c>
      <c r="C26595" t="s">
        <v>2904</v>
      </c>
      <c r="D26595" s="21" t="s">
        <v>34</v>
      </c>
      <c r="E26595" s="21" t="s">
        <v>71</v>
      </c>
      <c r="F26595">
        <v>4410696</v>
      </c>
      <c r="G26595" t="s">
        <v>5909</v>
      </c>
      <c r="H26595" s="21">
        <v>615.66999999999996</v>
      </c>
    </row>
    <row r="26596" spans="1:8" customFormat="1" x14ac:dyDescent="0.25">
      <c r="A26596" t="str">
        <f>"1413391"</f>
        <v>1413391</v>
      </c>
      <c r="B26596" t="s">
        <v>18698</v>
      </c>
      <c r="C26596" t="s">
        <v>879</v>
      </c>
      <c r="D26596" s="21" t="s">
        <v>34</v>
      </c>
      <c r="E26596" s="21" t="s">
        <v>254</v>
      </c>
      <c r="F26596">
        <v>9140060</v>
      </c>
      <c r="G26596" t="s">
        <v>5773</v>
      </c>
      <c r="H26596" s="21">
        <v>615.66999999999996</v>
      </c>
    </row>
    <row r="26597" spans="1:8" customFormat="1" x14ac:dyDescent="0.25">
      <c r="A26597" t="str">
        <f>"6715932"</f>
        <v>6715932</v>
      </c>
      <c r="B26597" t="s">
        <v>19848</v>
      </c>
      <c r="C26597" t="s">
        <v>379</v>
      </c>
      <c r="D26597" s="21" t="s">
        <v>34</v>
      </c>
      <c r="E26597" s="21" t="s">
        <v>1089</v>
      </c>
      <c r="F26597">
        <v>6670247</v>
      </c>
      <c r="G26597" t="s">
        <v>7594</v>
      </c>
      <c r="H26597" s="21">
        <v>615.66999999999996</v>
      </c>
    </row>
    <row r="26598" spans="1:8" customFormat="1" x14ac:dyDescent="0.25">
      <c r="A26598" t="str">
        <f>"2516884"</f>
        <v>2516884</v>
      </c>
      <c r="B26598" t="s">
        <v>3000</v>
      </c>
      <c r="C26598" t="s">
        <v>3073</v>
      </c>
      <c r="D26598" s="21" t="s">
        <v>34</v>
      </c>
      <c r="E26598" s="21" t="s">
        <v>71</v>
      </c>
      <c r="F26598">
        <v>2250181</v>
      </c>
      <c r="G26598" t="s">
        <v>494</v>
      </c>
      <c r="H26598" s="21">
        <v>615.66999999999996</v>
      </c>
    </row>
    <row r="26599" spans="1:8" customFormat="1" x14ac:dyDescent="0.25">
      <c r="A26599" t="str">
        <f>"7910240"</f>
        <v>7910240</v>
      </c>
      <c r="B26599" t="s">
        <v>4075</v>
      </c>
      <c r="C26599" t="s">
        <v>2305</v>
      </c>
      <c r="D26599" s="21" t="s">
        <v>34</v>
      </c>
      <c r="E26599" s="21" t="s">
        <v>71</v>
      </c>
      <c r="F26599">
        <v>10790020</v>
      </c>
      <c r="G26599" t="s">
        <v>10221</v>
      </c>
      <c r="H26599" s="21">
        <v>615.66999999999996</v>
      </c>
    </row>
    <row r="26600" spans="1:8" customFormat="1" x14ac:dyDescent="0.25">
      <c r="A26600" t="str">
        <f>"4451449"</f>
        <v>4451449</v>
      </c>
      <c r="B26600" t="s">
        <v>19435</v>
      </c>
      <c r="C26600" t="s">
        <v>926</v>
      </c>
      <c r="D26600" s="21" t="s">
        <v>34</v>
      </c>
      <c r="E26600" s="21" t="s">
        <v>71</v>
      </c>
      <c r="F26600">
        <v>12440020</v>
      </c>
      <c r="G26600" t="s">
        <v>4606</v>
      </c>
      <c r="H26600" s="21">
        <v>615.66999999999996</v>
      </c>
    </row>
    <row r="26601" spans="1:8" customFormat="1" x14ac:dyDescent="0.25">
      <c r="A26601" t="str">
        <f>"7638414"</f>
        <v>7638414</v>
      </c>
      <c r="B26601" t="s">
        <v>20003</v>
      </c>
      <c r="C26601" t="s">
        <v>169</v>
      </c>
      <c r="D26601" s="21" t="s">
        <v>34</v>
      </c>
      <c r="E26601" s="21" t="s">
        <v>71</v>
      </c>
      <c r="F26601">
        <v>9760286</v>
      </c>
      <c r="G26601" t="s">
        <v>11559</v>
      </c>
      <c r="H26601" s="21">
        <v>615.66999999999996</v>
      </c>
    </row>
    <row r="26602" spans="1:8" customFormat="1" x14ac:dyDescent="0.25">
      <c r="A26602" t="str">
        <f>"4412390"</f>
        <v>4412390</v>
      </c>
      <c r="B26602" t="s">
        <v>18581</v>
      </c>
      <c r="C26602" t="s">
        <v>124</v>
      </c>
      <c r="D26602" s="21" t="s">
        <v>34</v>
      </c>
      <c r="E26602" s="21" t="s">
        <v>254</v>
      </c>
      <c r="F26602">
        <v>12440059</v>
      </c>
      <c r="G26602" t="s">
        <v>6697</v>
      </c>
      <c r="H26602" s="21">
        <v>615.66999999999996</v>
      </c>
    </row>
    <row r="26603" spans="1:8" customFormat="1" x14ac:dyDescent="0.25">
      <c r="A26603" t="str">
        <f>"5010274"</f>
        <v>5010274</v>
      </c>
      <c r="B26603" t="s">
        <v>3197</v>
      </c>
      <c r="C26603" t="s">
        <v>55</v>
      </c>
      <c r="D26603" s="21" t="s">
        <v>34</v>
      </c>
      <c r="E26603" s="21" t="s">
        <v>71</v>
      </c>
      <c r="F26603">
        <v>9500012</v>
      </c>
      <c r="G26603" t="s">
        <v>10097</v>
      </c>
      <c r="H26603" s="21">
        <v>615.66999999999996</v>
      </c>
    </row>
    <row r="26604" spans="1:8" customFormat="1" x14ac:dyDescent="0.25">
      <c r="A26604" t="str">
        <f>"7852838"</f>
        <v>7852838</v>
      </c>
      <c r="B26604" t="s">
        <v>4194</v>
      </c>
      <c r="C26604" t="s">
        <v>5730</v>
      </c>
      <c r="D26604" s="21" t="s">
        <v>34</v>
      </c>
      <c r="E26604" s="21" t="s">
        <v>254</v>
      </c>
      <c r="F26604">
        <v>8780627</v>
      </c>
      <c r="G26604" t="s">
        <v>6097</v>
      </c>
      <c r="H26604" s="21">
        <v>615.66999999999996</v>
      </c>
    </row>
    <row r="26605" spans="1:8" customFormat="1" x14ac:dyDescent="0.25">
      <c r="A26605" t="str">
        <f>"9125857"</f>
        <v>9125857</v>
      </c>
      <c r="B26605" t="s">
        <v>18770</v>
      </c>
      <c r="C26605" t="s">
        <v>144</v>
      </c>
      <c r="D26605" s="21" t="s">
        <v>34</v>
      </c>
      <c r="E26605" s="21" t="s">
        <v>71</v>
      </c>
      <c r="F26605">
        <v>8910918</v>
      </c>
      <c r="G26605" t="s">
        <v>332</v>
      </c>
      <c r="H26605" s="21">
        <v>615.66999999999996</v>
      </c>
    </row>
    <row r="26606" spans="1:8" customFormat="1" x14ac:dyDescent="0.25">
      <c r="A26606" t="str">
        <f>"217764"</f>
        <v>217764</v>
      </c>
      <c r="B26606" t="s">
        <v>18962</v>
      </c>
      <c r="C26606" t="s">
        <v>109</v>
      </c>
      <c r="D26606" s="21" t="s">
        <v>34</v>
      </c>
      <c r="E26606" s="21" t="s">
        <v>71</v>
      </c>
      <c r="F26606">
        <v>2210102</v>
      </c>
      <c r="G26606" t="s">
        <v>18723</v>
      </c>
      <c r="H26606" s="21">
        <v>615.66999999999996</v>
      </c>
    </row>
    <row r="26607" spans="1:8" customFormat="1" x14ac:dyDescent="0.25">
      <c r="A26607" t="str">
        <f>"5021033"</f>
        <v>5021033</v>
      </c>
      <c r="B26607" t="s">
        <v>27926</v>
      </c>
      <c r="C26607" t="s">
        <v>415</v>
      </c>
      <c r="D26607" s="21" t="s">
        <v>34</v>
      </c>
      <c r="E26607" s="21" t="s">
        <v>71</v>
      </c>
      <c r="F26607">
        <v>9500143</v>
      </c>
      <c r="G26607" t="s">
        <v>2884</v>
      </c>
      <c r="H26607" s="21">
        <v>615.66999999999996</v>
      </c>
    </row>
    <row r="26608" spans="1:8" customFormat="1" x14ac:dyDescent="0.25">
      <c r="A26608" t="str">
        <f>"1426102"</f>
        <v>1426102</v>
      </c>
      <c r="B26608" t="s">
        <v>24358</v>
      </c>
      <c r="C26608" t="s">
        <v>60</v>
      </c>
      <c r="D26608" s="21" t="s">
        <v>34</v>
      </c>
      <c r="E26608" s="21" t="s">
        <v>35</v>
      </c>
      <c r="F26608">
        <v>9140185</v>
      </c>
      <c r="G26608" t="s">
        <v>1578</v>
      </c>
      <c r="H26608" s="21">
        <v>615.66999999999996</v>
      </c>
    </row>
    <row r="26609" spans="1:8" customFormat="1" x14ac:dyDescent="0.25">
      <c r="A26609" t="str">
        <f>"7852310"</f>
        <v>7852310</v>
      </c>
      <c r="B26609" t="s">
        <v>18300</v>
      </c>
      <c r="C26609" t="s">
        <v>18301</v>
      </c>
      <c r="D26609" s="21" t="s">
        <v>34</v>
      </c>
      <c r="E26609" s="21" t="s">
        <v>35</v>
      </c>
      <c r="F26609">
        <v>8780627</v>
      </c>
      <c r="G26609" t="s">
        <v>6097</v>
      </c>
      <c r="H26609" s="21">
        <v>615.66999999999996</v>
      </c>
    </row>
    <row r="26610" spans="1:8" customFormat="1" x14ac:dyDescent="0.25">
      <c r="A26610" t="str">
        <f>"8611969"</f>
        <v>8611969</v>
      </c>
      <c r="B26610" t="s">
        <v>9178</v>
      </c>
      <c r="C26610" t="s">
        <v>109</v>
      </c>
      <c r="D26610" s="21" t="s">
        <v>34</v>
      </c>
      <c r="E26610" s="21" t="s">
        <v>35</v>
      </c>
      <c r="F26610">
        <v>10860015</v>
      </c>
      <c r="G26610" t="s">
        <v>3680</v>
      </c>
      <c r="H26610" s="21">
        <v>615.66999999999996</v>
      </c>
    </row>
    <row r="26611" spans="1:8" customFormat="1" x14ac:dyDescent="0.25">
      <c r="A26611" t="str">
        <f>"56750"</f>
        <v>56750</v>
      </c>
      <c r="B26611" t="s">
        <v>27927</v>
      </c>
      <c r="C26611" t="s">
        <v>233</v>
      </c>
      <c r="D26611" s="21" t="s">
        <v>34</v>
      </c>
      <c r="E26611" s="21" t="s">
        <v>6185</v>
      </c>
      <c r="F26611">
        <v>3560091</v>
      </c>
      <c r="G26611" t="s">
        <v>27212</v>
      </c>
      <c r="H26611" s="21">
        <v>615.66999999999996</v>
      </c>
    </row>
    <row r="26612" spans="1:8" customFormat="1" x14ac:dyDescent="0.25">
      <c r="A26612" t="str">
        <f>"134131"</f>
        <v>134131</v>
      </c>
      <c r="B26612" t="s">
        <v>2644</v>
      </c>
      <c r="C26612" t="s">
        <v>1812</v>
      </c>
      <c r="D26612" s="21" t="s">
        <v>34</v>
      </c>
      <c r="E26612" s="21" t="s">
        <v>71</v>
      </c>
      <c r="F26612">
        <v>13130138</v>
      </c>
      <c r="G26612" t="s">
        <v>5409</v>
      </c>
      <c r="H26612" s="21">
        <v>615.66999999999996</v>
      </c>
    </row>
    <row r="26613" spans="1:8" customFormat="1" x14ac:dyDescent="0.25">
      <c r="A26613" t="str">
        <f>"823407"</f>
        <v>823407</v>
      </c>
      <c r="B26613" t="s">
        <v>8880</v>
      </c>
      <c r="C26613" t="s">
        <v>139</v>
      </c>
      <c r="D26613" s="21" t="s">
        <v>34</v>
      </c>
      <c r="E26613" s="21" t="s">
        <v>35</v>
      </c>
      <c r="F26613">
        <v>11820035</v>
      </c>
      <c r="G26613" t="s">
        <v>16643</v>
      </c>
      <c r="H26613" s="21">
        <v>615.66999999999996</v>
      </c>
    </row>
    <row r="26614" spans="1:8" customFormat="1" x14ac:dyDescent="0.25">
      <c r="A26614" t="str">
        <f>"925709"</f>
        <v>925709</v>
      </c>
      <c r="B26614" t="s">
        <v>18957</v>
      </c>
      <c r="C26614" t="s">
        <v>119</v>
      </c>
      <c r="D26614" s="21" t="s">
        <v>34</v>
      </c>
      <c r="E26614" s="21" t="s">
        <v>254</v>
      </c>
      <c r="F26614">
        <v>8920234</v>
      </c>
      <c r="G26614" t="s">
        <v>1184</v>
      </c>
      <c r="H26614" s="21">
        <v>615.66999999999996</v>
      </c>
    </row>
    <row r="26615" spans="1:8" customFormat="1" x14ac:dyDescent="0.25">
      <c r="A26615" t="str">
        <f>"195767"</f>
        <v>195767</v>
      </c>
      <c r="B26615" t="s">
        <v>3624</v>
      </c>
      <c r="C26615" t="s">
        <v>269</v>
      </c>
      <c r="D26615" s="21" t="s">
        <v>34</v>
      </c>
      <c r="E26615" s="21" t="s">
        <v>71</v>
      </c>
      <c r="F26615">
        <v>10190147</v>
      </c>
      <c r="G26615" t="s">
        <v>7477</v>
      </c>
      <c r="H26615" s="21">
        <v>615.66999999999996</v>
      </c>
    </row>
    <row r="26616" spans="1:8" customFormat="1" x14ac:dyDescent="0.25">
      <c r="A26616" t="str">
        <f>"2813594"</f>
        <v>2813594</v>
      </c>
      <c r="B26616" t="s">
        <v>3367</v>
      </c>
      <c r="C26616" t="s">
        <v>87</v>
      </c>
      <c r="D26616" s="21" t="s">
        <v>34</v>
      </c>
      <c r="E26616" s="21" t="s">
        <v>71</v>
      </c>
      <c r="F26616">
        <v>4280617</v>
      </c>
      <c r="G26616" t="s">
        <v>8540</v>
      </c>
      <c r="H26616" s="21">
        <v>615.66999999999996</v>
      </c>
    </row>
    <row r="26617" spans="1:8" customFormat="1" x14ac:dyDescent="0.25">
      <c r="A26617" t="str">
        <f>"2919556"</f>
        <v>2919556</v>
      </c>
      <c r="B26617" t="s">
        <v>19222</v>
      </c>
      <c r="C26617" t="s">
        <v>598</v>
      </c>
      <c r="D26617" s="21" t="s">
        <v>34</v>
      </c>
      <c r="E26617" s="21" t="s">
        <v>254</v>
      </c>
      <c r="F26617">
        <v>3290285</v>
      </c>
      <c r="G26617" t="s">
        <v>2234</v>
      </c>
      <c r="H26617" s="21">
        <v>615.66999999999996</v>
      </c>
    </row>
    <row r="26618" spans="1:8" customFormat="1" x14ac:dyDescent="0.25">
      <c r="A26618" t="str">
        <f>"7880151"</f>
        <v>7880151</v>
      </c>
      <c r="B26618" t="s">
        <v>20534</v>
      </c>
      <c r="C26618" t="s">
        <v>269</v>
      </c>
      <c r="D26618" s="21" t="s">
        <v>34</v>
      </c>
      <c r="E26618" s="21" t="s">
        <v>35</v>
      </c>
      <c r="F26618">
        <v>8780571</v>
      </c>
      <c r="G26618" t="s">
        <v>2336</v>
      </c>
      <c r="H26618" s="21">
        <v>615.66999999999996</v>
      </c>
    </row>
    <row r="26619" spans="1:8" customFormat="1" x14ac:dyDescent="0.25">
      <c r="A26619" t="str">
        <f>"3524772"</f>
        <v>3524772</v>
      </c>
      <c r="B26619" t="s">
        <v>2505</v>
      </c>
      <c r="C26619" t="s">
        <v>204</v>
      </c>
      <c r="D26619" s="21" t="s">
        <v>34</v>
      </c>
      <c r="E26619" s="21" t="s">
        <v>35</v>
      </c>
      <c r="F26619">
        <v>3350091</v>
      </c>
      <c r="G26619" t="s">
        <v>5864</v>
      </c>
      <c r="H26619" s="21">
        <v>615.66999999999996</v>
      </c>
    </row>
    <row r="26620" spans="1:8" customFormat="1" x14ac:dyDescent="0.25">
      <c r="A26620" t="str">
        <f>"501230"</f>
        <v>501230</v>
      </c>
      <c r="B26620" t="s">
        <v>3189</v>
      </c>
      <c r="C26620" t="s">
        <v>598</v>
      </c>
      <c r="D26620" s="21" t="s">
        <v>34</v>
      </c>
      <c r="E26620" s="21" t="s">
        <v>71</v>
      </c>
      <c r="F26620">
        <v>9500069</v>
      </c>
      <c r="G26620" t="s">
        <v>26997</v>
      </c>
      <c r="H26620" s="21">
        <v>615.66999999999996</v>
      </c>
    </row>
    <row r="26621" spans="1:8" customFormat="1" x14ac:dyDescent="0.25">
      <c r="A26621" t="str">
        <f>"7727751"</f>
        <v>7727751</v>
      </c>
      <c r="B26621" t="s">
        <v>3972</v>
      </c>
      <c r="C26621" t="s">
        <v>412</v>
      </c>
      <c r="D26621" s="21" t="s">
        <v>34</v>
      </c>
      <c r="E26621" s="21" t="s">
        <v>71</v>
      </c>
      <c r="F26621">
        <v>8771303</v>
      </c>
      <c r="G26621" t="s">
        <v>13447</v>
      </c>
      <c r="H26621" s="21">
        <v>615.54</v>
      </c>
    </row>
    <row r="26622" spans="1:8" customFormat="1" x14ac:dyDescent="0.25">
      <c r="A26622" t="str">
        <f>"085189"</f>
        <v>085189</v>
      </c>
      <c r="B26622" t="s">
        <v>18823</v>
      </c>
      <c r="C26622" t="s">
        <v>90</v>
      </c>
      <c r="D26622" s="21" t="s">
        <v>34</v>
      </c>
      <c r="E26622" s="21" t="s">
        <v>35</v>
      </c>
      <c r="F26622">
        <v>5990014</v>
      </c>
      <c r="G26622" t="s">
        <v>11225</v>
      </c>
      <c r="H26622" s="21">
        <v>615.41999999999996</v>
      </c>
    </row>
    <row r="26623" spans="1:8" customFormat="1" x14ac:dyDescent="0.25">
      <c r="A26623" t="str">
        <f>"7812463"</f>
        <v>7812463</v>
      </c>
      <c r="B26623" t="s">
        <v>5597</v>
      </c>
      <c r="C26623" t="s">
        <v>1665</v>
      </c>
      <c r="D26623" s="21" t="s">
        <v>34</v>
      </c>
      <c r="E26623" s="21" t="s">
        <v>254</v>
      </c>
      <c r="F26623">
        <v>8780627</v>
      </c>
      <c r="G26623" t="s">
        <v>6097</v>
      </c>
      <c r="H26623" s="21">
        <v>615.29</v>
      </c>
    </row>
    <row r="26624" spans="1:8" customFormat="1" x14ac:dyDescent="0.25">
      <c r="A26624" t="str">
        <f>"711988"</f>
        <v>711988</v>
      </c>
      <c r="B26624" t="s">
        <v>108</v>
      </c>
      <c r="C26624" t="s">
        <v>2520</v>
      </c>
      <c r="D26624" s="21" t="s">
        <v>34</v>
      </c>
      <c r="E26624" s="21" t="s">
        <v>1089</v>
      </c>
      <c r="F26624">
        <v>2710048</v>
      </c>
      <c r="G26624" t="s">
        <v>2225</v>
      </c>
      <c r="H26624" s="21">
        <v>615.16999999999996</v>
      </c>
    </row>
    <row r="26625" spans="1:8" customFormat="1" x14ac:dyDescent="0.25">
      <c r="A26625" t="str">
        <f>"351003"</f>
        <v>351003</v>
      </c>
      <c r="B26625" t="s">
        <v>9012</v>
      </c>
      <c r="C26625" t="s">
        <v>9895</v>
      </c>
      <c r="D26625" s="21" t="s">
        <v>34</v>
      </c>
      <c r="E26625" s="21" t="s">
        <v>1089</v>
      </c>
      <c r="F26625">
        <v>3350041</v>
      </c>
      <c r="G26625" t="s">
        <v>1589</v>
      </c>
      <c r="H26625" s="21">
        <v>615.16999999999996</v>
      </c>
    </row>
    <row r="26626" spans="1:8" customFormat="1" x14ac:dyDescent="0.25">
      <c r="A26626" t="str">
        <f>"4213446"</f>
        <v>4213446</v>
      </c>
      <c r="B26626" t="s">
        <v>2573</v>
      </c>
      <c r="C26626" t="s">
        <v>3905</v>
      </c>
      <c r="D26626" s="21" t="s">
        <v>34</v>
      </c>
      <c r="E26626" s="21" t="s">
        <v>1089</v>
      </c>
      <c r="F26626">
        <v>1420153</v>
      </c>
      <c r="G26626" t="s">
        <v>8897</v>
      </c>
      <c r="H26626" s="21">
        <v>615.16999999999996</v>
      </c>
    </row>
    <row r="26627" spans="1:8" customFormat="1" x14ac:dyDescent="0.25">
      <c r="A26627" t="str">
        <f>"6232799"</f>
        <v>6232799</v>
      </c>
      <c r="B26627" t="s">
        <v>20907</v>
      </c>
      <c r="C26627" t="s">
        <v>249</v>
      </c>
      <c r="D26627" s="21" t="s">
        <v>34</v>
      </c>
      <c r="E26627" s="21" t="s">
        <v>71</v>
      </c>
      <c r="F26627">
        <v>7620080</v>
      </c>
      <c r="G26627" t="s">
        <v>6056</v>
      </c>
      <c r="H26627" s="21">
        <v>615.16999999999996</v>
      </c>
    </row>
    <row r="26628" spans="1:8" customFormat="1" x14ac:dyDescent="0.25">
      <c r="A26628" t="str">
        <f>"501349"</f>
        <v>501349</v>
      </c>
      <c r="B26628" t="s">
        <v>17438</v>
      </c>
      <c r="C26628" t="s">
        <v>2100</v>
      </c>
      <c r="D26628" s="21" t="s">
        <v>34</v>
      </c>
      <c r="E26628" s="21" t="s">
        <v>71</v>
      </c>
      <c r="F26628">
        <v>9500153</v>
      </c>
      <c r="G26628" t="s">
        <v>5779</v>
      </c>
      <c r="H26628" s="21">
        <v>615.16999999999996</v>
      </c>
    </row>
    <row r="26629" spans="1:8" customFormat="1" x14ac:dyDescent="0.25">
      <c r="A26629" t="str">
        <f>"4926244"</f>
        <v>4926244</v>
      </c>
      <c r="B26629" t="s">
        <v>20163</v>
      </c>
      <c r="C26629" t="s">
        <v>269</v>
      </c>
      <c r="D26629" s="21" t="s">
        <v>34</v>
      </c>
      <c r="E26629" s="21" t="s">
        <v>71</v>
      </c>
      <c r="F26629">
        <v>12490032</v>
      </c>
      <c r="G26629" t="s">
        <v>6233</v>
      </c>
      <c r="H26629" s="21">
        <v>615.16999999999996</v>
      </c>
    </row>
    <row r="26630" spans="1:8" customFormat="1" x14ac:dyDescent="0.25">
      <c r="A26630" t="str">
        <f>"3534285"</f>
        <v>3534285</v>
      </c>
      <c r="B26630" t="s">
        <v>18974</v>
      </c>
      <c r="C26630" t="s">
        <v>7923</v>
      </c>
      <c r="D26630" s="21" t="s">
        <v>34</v>
      </c>
      <c r="E26630" s="21" t="s">
        <v>35</v>
      </c>
      <c r="F26630">
        <v>3350050</v>
      </c>
      <c r="G26630" t="s">
        <v>6931</v>
      </c>
      <c r="H26630" s="21">
        <v>615.16999999999996</v>
      </c>
    </row>
    <row r="26631" spans="1:8" customFormat="1" x14ac:dyDescent="0.25">
      <c r="A26631" t="str">
        <f>"1315625"</f>
        <v>1315625</v>
      </c>
      <c r="B26631" t="s">
        <v>4119</v>
      </c>
      <c r="C26631" t="s">
        <v>2806</v>
      </c>
      <c r="D26631" s="21" t="s">
        <v>34</v>
      </c>
      <c r="E26631" s="21" t="s">
        <v>254</v>
      </c>
      <c r="F26631">
        <v>13130124</v>
      </c>
      <c r="G26631" t="s">
        <v>5311</v>
      </c>
      <c r="H26631" s="21">
        <v>615.16999999999996</v>
      </c>
    </row>
    <row r="26632" spans="1:8" customFormat="1" x14ac:dyDescent="0.25">
      <c r="A26632" t="str">
        <f>"319139"</f>
        <v>319139</v>
      </c>
      <c r="B26632" t="s">
        <v>27928</v>
      </c>
      <c r="C26632" t="s">
        <v>109</v>
      </c>
      <c r="D26632" s="21" t="s">
        <v>34</v>
      </c>
      <c r="E26632" s="21" t="s">
        <v>35</v>
      </c>
      <c r="F26632">
        <v>11310075</v>
      </c>
      <c r="G26632" t="s">
        <v>2531</v>
      </c>
      <c r="H26632" s="21">
        <v>615.16999999999996</v>
      </c>
    </row>
    <row r="26633" spans="1:8" customFormat="1" x14ac:dyDescent="0.25">
      <c r="A26633" t="str">
        <f>"152525"</f>
        <v>152525</v>
      </c>
      <c r="B26633" t="s">
        <v>27929</v>
      </c>
      <c r="C26633" t="s">
        <v>323</v>
      </c>
      <c r="D26633" s="21" t="s">
        <v>34</v>
      </c>
      <c r="E26633" s="21" t="s">
        <v>35</v>
      </c>
      <c r="F26633">
        <v>1150148</v>
      </c>
      <c r="G26633" t="s">
        <v>7485</v>
      </c>
      <c r="H26633" s="21">
        <v>615.16999999999996</v>
      </c>
    </row>
    <row r="26634" spans="1:8" customFormat="1" x14ac:dyDescent="0.25">
      <c r="A26634" t="str">
        <f>"2928947"</f>
        <v>2928947</v>
      </c>
      <c r="B26634" t="s">
        <v>9956</v>
      </c>
      <c r="C26634" t="s">
        <v>2276</v>
      </c>
      <c r="D26634" s="21" t="s">
        <v>34</v>
      </c>
      <c r="E26634" s="21" t="s">
        <v>71</v>
      </c>
      <c r="F26634">
        <v>3290009</v>
      </c>
      <c r="G26634" t="s">
        <v>4358</v>
      </c>
      <c r="H26634" s="21">
        <v>615.16999999999996</v>
      </c>
    </row>
    <row r="26635" spans="1:8" customFormat="1" x14ac:dyDescent="0.25">
      <c r="A26635" t="str">
        <f>"2938858"</f>
        <v>2938858</v>
      </c>
      <c r="B26635" t="s">
        <v>4499</v>
      </c>
      <c r="C26635" t="s">
        <v>253</v>
      </c>
      <c r="D26635" s="21" t="s">
        <v>34</v>
      </c>
      <c r="E26635" s="21" t="s">
        <v>254</v>
      </c>
      <c r="F26635">
        <v>3290081</v>
      </c>
      <c r="G26635" t="s">
        <v>3819</v>
      </c>
      <c r="H26635" s="21">
        <v>615.16999999999996</v>
      </c>
    </row>
    <row r="26636" spans="1:8" customFormat="1" x14ac:dyDescent="0.25">
      <c r="A26636" t="str">
        <f>"2911618"</f>
        <v>2911618</v>
      </c>
      <c r="B26636" t="s">
        <v>20012</v>
      </c>
      <c r="C26636" t="s">
        <v>209</v>
      </c>
      <c r="D26636" s="21" t="s">
        <v>34</v>
      </c>
      <c r="E26636" s="21" t="s">
        <v>254</v>
      </c>
      <c r="F26636">
        <v>3290228</v>
      </c>
      <c r="G26636" t="s">
        <v>8738</v>
      </c>
      <c r="H26636" s="21">
        <v>615.16999999999996</v>
      </c>
    </row>
    <row r="26637" spans="1:8" customFormat="1" x14ac:dyDescent="0.25">
      <c r="A26637" t="str">
        <f>"8525511"</f>
        <v>8525511</v>
      </c>
      <c r="B26637" t="s">
        <v>12052</v>
      </c>
      <c r="C26637" t="s">
        <v>156</v>
      </c>
      <c r="D26637" s="21" t="s">
        <v>34</v>
      </c>
      <c r="E26637" s="21" t="s">
        <v>35</v>
      </c>
      <c r="F26637">
        <v>12850167</v>
      </c>
      <c r="G26637" t="s">
        <v>7617</v>
      </c>
      <c r="H26637" s="21">
        <v>615.16999999999996</v>
      </c>
    </row>
    <row r="26638" spans="1:8" customFormat="1" x14ac:dyDescent="0.25">
      <c r="A26638" t="str">
        <f>"8525113"</f>
        <v>8525113</v>
      </c>
      <c r="B26638" t="s">
        <v>19025</v>
      </c>
      <c r="C26638" t="s">
        <v>139</v>
      </c>
      <c r="D26638" s="21" t="s">
        <v>34</v>
      </c>
      <c r="E26638" s="21" t="s">
        <v>71</v>
      </c>
      <c r="F26638">
        <v>12850023</v>
      </c>
      <c r="G26638" t="s">
        <v>3121</v>
      </c>
      <c r="H26638" s="21">
        <v>615.16999999999996</v>
      </c>
    </row>
    <row r="26639" spans="1:8" customFormat="1" x14ac:dyDescent="0.25">
      <c r="A26639" t="str">
        <f>"4113533"</f>
        <v>4113533</v>
      </c>
      <c r="B26639" t="s">
        <v>21621</v>
      </c>
      <c r="C26639" t="s">
        <v>21622</v>
      </c>
      <c r="D26639" s="21" t="s">
        <v>34</v>
      </c>
      <c r="E26639" s="21" t="s">
        <v>71</v>
      </c>
      <c r="F26639">
        <v>4410696</v>
      </c>
      <c r="G26639" t="s">
        <v>5909</v>
      </c>
      <c r="H26639" s="21">
        <v>615.16999999999996</v>
      </c>
    </row>
    <row r="26640" spans="1:8" customFormat="1" x14ac:dyDescent="0.25">
      <c r="A26640" t="str">
        <f>"113577"</f>
        <v>113577</v>
      </c>
      <c r="B26640" t="s">
        <v>20640</v>
      </c>
      <c r="C26640" t="s">
        <v>109</v>
      </c>
      <c r="D26640" s="21" t="s">
        <v>34</v>
      </c>
      <c r="E26640" s="21" t="s">
        <v>71</v>
      </c>
      <c r="F26640">
        <v>11110026</v>
      </c>
      <c r="G26640" t="s">
        <v>17718</v>
      </c>
      <c r="H26640" s="21">
        <v>615.16999999999996</v>
      </c>
    </row>
    <row r="26641" spans="1:8" customFormat="1" x14ac:dyDescent="0.25">
      <c r="A26641" t="str">
        <f>"5412860"</f>
        <v>5412860</v>
      </c>
      <c r="B26641" t="s">
        <v>10399</v>
      </c>
      <c r="C26641" t="s">
        <v>1271</v>
      </c>
      <c r="D26641" s="21" t="s">
        <v>34</v>
      </c>
      <c r="E26641" s="21" t="s">
        <v>71</v>
      </c>
      <c r="F26641">
        <v>6540193</v>
      </c>
      <c r="G26641" t="s">
        <v>5884</v>
      </c>
      <c r="H26641" s="21">
        <v>615.16999999999996</v>
      </c>
    </row>
    <row r="26642" spans="1:8" customFormat="1" x14ac:dyDescent="0.25">
      <c r="A26642" t="str">
        <f>"838455"</f>
        <v>838455</v>
      </c>
      <c r="B26642" t="s">
        <v>7938</v>
      </c>
      <c r="C26642" t="s">
        <v>3784</v>
      </c>
      <c r="D26642" s="21" t="s">
        <v>34</v>
      </c>
      <c r="E26642" s="21" t="s">
        <v>1089</v>
      </c>
      <c r="F26642">
        <v>13830015</v>
      </c>
      <c r="G26642" t="s">
        <v>4011</v>
      </c>
      <c r="H26642" s="21">
        <v>615.16999999999996</v>
      </c>
    </row>
    <row r="26643" spans="1:8" customFormat="1" x14ac:dyDescent="0.25">
      <c r="A26643" t="str">
        <f>"1422424"</f>
        <v>1422424</v>
      </c>
      <c r="B26643" t="s">
        <v>18958</v>
      </c>
      <c r="C26643" t="s">
        <v>926</v>
      </c>
      <c r="D26643" s="21" t="s">
        <v>34</v>
      </c>
      <c r="E26643" s="21" t="s">
        <v>71</v>
      </c>
      <c r="F26643">
        <v>9140063</v>
      </c>
      <c r="G26643" t="s">
        <v>4764</v>
      </c>
      <c r="H26643" s="21">
        <v>615.16999999999996</v>
      </c>
    </row>
    <row r="26644" spans="1:8" customFormat="1" x14ac:dyDescent="0.25">
      <c r="A26644" t="str">
        <f>"278700"</f>
        <v>278700</v>
      </c>
      <c r="B26644" t="s">
        <v>6187</v>
      </c>
      <c r="C26644" t="s">
        <v>1146</v>
      </c>
      <c r="D26644" s="21" t="s">
        <v>34</v>
      </c>
      <c r="E26644" s="21" t="s">
        <v>1089</v>
      </c>
      <c r="F26644">
        <v>9270159</v>
      </c>
      <c r="G26644" t="s">
        <v>5425</v>
      </c>
      <c r="H26644" s="21">
        <v>615.16999999999996</v>
      </c>
    </row>
    <row r="26645" spans="1:8" customFormat="1" x14ac:dyDescent="0.25">
      <c r="A26645" t="str">
        <f>"2812994"</f>
        <v>2812994</v>
      </c>
      <c r="B26645" t="s">
        <v>1855</v>
      </c>
      <c r="C26645" t="s">
        <v>239</v>
      </c>
      <c r="D26645" s="21" t="s">
        <v>34</v>
      </c>
      <c r="E26645" s="21" t="s">
        <v>254</v>
      </c>
      <c r="F26645">
        <v>4280049</v>
      </c>
      <c r="G26645" t="s">
        <v>7855</v>
      </c>
      <c r="H26645" s="21">
        <v>614.91999999999996</v>
      </c>
    </row>
    <row r="26646" spans="1:8" customFormat="1" x14ac:dyDescent="0.25">
      <c r="A26646" t="str">
        <f>"9529071"</f>
        <v>9529071</v>
      </c>
      <c r="B26646" t="s">
        <v>20013</v>
      </c>
      <c r="C26646" t="s">
        <v>249</v>
      </c>
      <c r="D26646" s="21" t="s">
        <v>34</v>
      </c>
      <c r="E26646" s="21" t="s">
        <v>35</v>
      </c>
      <c r="F26646">
        <v>8950882</v>
      </c>
      <c r="G26646" t="s">
        <v>9516</v>
      </c>
      <c r="H26646" s="21">
        <v>614.91999999999996</v>
      </c>
    </row>
    <row r="26647" spans="1:8" customFormat="1" x14ac:dyDescent="0.25">
      <c r="A26647" t="str">
        <f>"358240"</f>
        <v>358240</v>
      </c>
      <c r="B26647" t="s">
        <v>9803</v>
      </c>
      <c r="C26647" t="s">
        <v>204</v>
      </c>
      <c r="D26647" s="21" t="s">
        <v>34</v>
      </c>
      <c r="E26647" s="21" t="s">
        <v>35</v>
      </c>
      <c r="F26647">
        <v>3350022</v>
      </c>
      <c r="G26647" t="s">
        <v>1287</v>
      </c>
      <c r="H26647" s="21">
        <v>614.66999999999996</v>
      </c>
    </row>
    <row r="26648" spans="1:8" customFormat="1" x14ac:dyDescent="0.25">
      <c r="A26648" t="str">
        <f>"7634034"</f>
        <v>7634034</v>
      </c>
      <c r="B26648" t="s">
        <v>18584</v>
      </c>
      <c r="C26648" t="s">
        <v>1665</v>
      </c>
      <c r="D26648" s="21" t="s">
        <v>34</v>
      </c>
      <c r="E26648" s="21" t="s">
        <v>35</v>
      </c>
      <c r="F26648">
        <v>9760368</v>
      </c>
      <c r="G26648" t="s">
        <v>8267</v>
      </c>
      <c r="H26648" s="21">
        <v>614.66999999999996</v>
      </c>
    </row>
    <row r="26649" spans="1:8" customFormat="1" x14ac:dyDescent="0.25">
      <c r="A26649" t="str">
        <f>"9426686"</f>
        <v>9426686</v>
      </c>
      <c r="B26649" t="s">
        <v>19919</v>
      </c>
      <c r="C26649" t="s">
        <v>156</v>
      </c>
      <c r="D26649" s="21" t="s">
        <v>34</v>
      </c>
      <c r="E26649" s="21" t="s">
        <v>71</v>
      </c>
      <c r="F26649">
        <v>11660003</v>
      </c>
      <c r="G26649" t="s">
        <v>5188</v>
      </c>
      <c r="H26649" s="21">
        <v>614.66999999999996</v>
      </c>
    </row>
    <row r="26650" spans="1:8" customFormat="1" x14ac:dyDescent="0.25">
      <c r="A26650" t="str">
        <f>"7412755"</f>
        <v>7412755</v>
      </c>
      <c r="B26650" t="s">
        <v>20820</v>
      </c>
      <c r="C26650" t="s">
        <v>1705</v>
      </c>
      <c r="D26650" s="21" t="s">
        <v>34</v>
      </c>
      <c r="E26650" s="21" t="s">
        <v>254</v>
      </c>
      <c r="F26650">
        <v>1740038</v>
      </c>
      <c r="G26650" t="s">
        <v>26517</v>
      </c>
      <c r="H26650" s="21">
        <v>614.66999999999996</v>
      </c>
    </row>
    <row r="26651" spans="1:8" customFormat="1" x14ac:dyDescent="0.25">
      <c r="A26651" t="str">
        <f>"9139164"</f>
        <v>9139164</v>
      </c>
      <c r="B26651" t="s">
        <v>21880</v>
      </c>
      <c r="C26651" t="s">
        <v>428</v>
      </c>
      <c r="D26651" s="21" t="s">
        <v>34</v>
      </c>
      <c r="E26651" s="21" t="s">
        <v>35</v>
      </c>
      <c r="F26651">
        <v>8911083</v>
      </c>
      <c r="G26651" t="s">
        <v>7357</v>
      </c>
      <c r="H26651" s="21">
        <v>614.66999999999996</v>
      </c>
    </row>
    <row r="26652" spans="1:8" customFormat="1" x14ac:dyDescent="0.25">
      <c r="A26652" t="str">
        <f>"8315285"</f>
        <v>8315285</v>
      </c>
      <c r="B26652" t="s">
        <v>21018</v>
      </c>
      <c r="C26652" t="s">
        <v>2907</v>
      </c>
      <c r="D26652" s="21" t="s">
        <v>34</v>
      </c>
      <c r="E26652" s="21" t="s">
        <v>35</v>
      </c>
      <c r="F26652">
        <v>13830064</v>
      </c>
      <c r="G26652" t="s">
        <v>8410</v>
      </c>
      <c r="H26652" s="21">
        <v>614.66999999999996</v>
      </c>
    </row>
    <row r="26653" spans="1:8" customFormat="1" x14ac:dyDescent="0.25">
      <c r="A26653" t="str">
        <f>"7410577"</f>
        <v>7410577</v>
      </c>
      <c r="B26653" t="s">
        <v>8566</v>
      </c>
      <c r="C26653" t="s">
        <v>169</v>
      </c>
      <c r="D26653" s="21" t="s">
        <v>34</v>
      </c>
      <c r="E26653" s="21" t="s">
        <v>71</v>
      </c>
      <c r="F26653">
        <v>1740011</v>
      </c>
      <c r="G26653" t="s">
        <v>2638</v>
      </c>
      <c r="H26653" s="21">
        <v>614.66999999999996</v>
      </c>
    </row>
    <row r="26654" spans="1:8" customFormat="1" x14ac:dyDescent="0.25">
      <c r="A26654" t="str">
        <f>"393040"</f>
        <v>393040</v>
      </c>
      <c r="B26654" t="s">
        <v>12849</v>
      </c>
      <c r="C26654" t="s">
        <v>1914</v>
      </c>
      <c r="D26654" s="21" t="s">
        <v>34</v>
      </c>
      <c r="E26654" s="21" t="s">
        <v>35</v>
      </c>
      <c r="F26654">
        <v>2390067</v>
      </c>
      <c r="G26654" t="s">
        <v>15841</v>
      </c>
      <c r="H26654" s="21">
        <v>614.66999999999996</v>
      </c>
    </row>
    <row r="26655" spans="1:8" customFormat="1" x14ac:dyDescent="0.25">
      <c r="A26655" t="str">
        <f>"6314727"</f>
        <v>6314727</v>
      </c>
      <c r="B26655" t="s">
        <v>20254</v>
      </c>
      <c r="C26655" t="s">
        <v>151</v>
      </c>
      <c r="D26655" s="21" t="s">
        <v>34</v>
      </c>
      <c r="E26655" s="21" t="s">
        <v>71</v>
      </c>
      <c r="F26655">
        <v>1630185</v>
      </c>
      <c r="G26655" t="s">
        <v>858</v>
      </c>
      <c r="H26655" s="21">
        <v>614.66999999999996</v>
      </c>
    </row>
    <row r="26656" spans="1:8" customFormat="1" x14ac:dyDescent="0.25">
      <c r="A26656" t="str">
        <f>"852164"</f>
        <v>852164</v>
      </c>
      <c r="B26656" t="s">
        <v>18920</v>
      </c>
      <c r="C26656" t="s">
        <v>1231</v>
      </c>
      <c r="D26656" s="21" t="s">
        <v>34</v>
      </c>
      <c r="E26656" s="21" t="s">
        <v>1089</v>
      </c>
      <c r="F26656">
        <v>12851025</v>
      </c>
      <c r="G26656" t="s">
        <v>26858</v>
      </c>
      <c r="H26656" s="21">
        <v>614.66999999999996</v>
      </c>
    </row>
    <row r="26657" spans="1:8" customFormat="1" x14ac:dyDescent="0.25">
      <c r="A26657" t="str">
        <f>"599612"</f>
        <v>599612</v>
      </c>
      <c r="B26657" t="s">
        <v>1926</v>
      </c>
      <c r="C26657" t="s">
        <v>3010</v>
      </c>
      <c r="D26657" s="21" t="s">
        <v>34</v>
      </c>
      <c r="E26657" s="21" t="s">
        <v>6185</v>
      </c>
      <c r="F26657">
        <v>7590040</v>
      </c>
      <c r="G26657" t="s">
        <v>104</v>
      </c>
      <c r="H26657" s="21">
        <v>614.66999999999996</v>
      </c>
    </row>
    <row r="26658" spans="1:8" customFormat="1" x14ac:dyDescent="0.25">
      <c r="A26658" t="str">
        <f>"6210261"</f>
        <v>6210261</v>
      </c>
      <c r="B26658" t="s">
        <v>12811</v>
      </c>
      <c r="C26658" t="s">
        <v>1605</v>
      </c>
      <c r="D26658" s="21" t="s">
        <v>34</v>
      </c>
      <c r="E26658" s="21" t="s">
        <v>254</v>
      </c>
      <c r="F26658">
        <v>7620047</v>
      </c>
      <c r="G26658" t="s">
        <v>16200</v>
      </c>
      <c r="H26658" s="21">
        <v>614.66999999999996</v>
      </c>
    </row>
    <row r="26659" spans="1:8" customFormat="1" x14ac:dyDescent="0.25">
      <c r="A26659" t="str">
        <f>"6230529"</f>
        <v>6230529</v>
      </c>
      <c r="B26659" t="s">
        <v>20452</v>
      </c>
      <c r="C26659" t="s">
        <v>576</v>
      </c>
      <c r="D26659" s="21" t="s">
        <v>34</v>
      </c>
      <c r="E26659" s="21" t="s">
        <v>35</v>
      </c>
      <c r="F26659">
        <v>7620080</v>
      </c>
      <c r="G26659" t="s">
        <v>6056</v>
      </c>
      <c r="H26659" s="21">
        <v>614.66999999999996</v>
      </c>
    </row>
    <row r="26660" spans="1:8" customFormat="1" x14ac:dyDescent="0.25">
      <c r="A26660" t="str">
        <f>"614494"</f>
        <v>614494</v>
      </c>
      <c r="B26660" t="s">
        <v>18385</v>
      </c>
      <c r="C26660" t="s">
        <v>1665</v>
      </c>
      <c r="D26660" s="21" t="s">
        <v>34</v>
      </c>
      <c r="E26660" s="21" t="s">
        <v>1089</v>
      </c>
      <c r="F26660">
        <v>9610017</v>
      </c>
      <c r="G26660" t="s">
        <v>12194</v>
      </c>
      <c r="H26660" s="21">
        <v>614.66999999999996</v>
      </c>
    </row>
    <row r="26661" spans="1:8" customFormat="1" x14ac:dyDescent="0.25">
      <c r="A26661" t="str">
        <f>"7811370"</f>
        <v>7811370</v>
      </c>
      <c r="B26661" t="s">
        <v>11867</v>
      </c>
      <c r="C26661" t="s">
        <v>1025</v>
      </c>
      <c r="D26661" s="21" t="s">
        <v>34</v>
      </c>
      <c r="E26661" s="21" t="s">
        <v>71</v>
      </c>
      <c r="F26661">
        <v>8781248</v>
      </c>
      <c r="G26661" t="s">
        <v>2005</v>
      </c>
      <c r="H26661" s="21">
        <v>614.66999999999996</v>
      </c>
    </row>
    <row r="26662" spans="1:8" customFormat="1" x14ac:dyDescent="0.25">
      <c r="A26662" t="str">
        <f>"7630585"</f>
        <v>7630585</v>
      </c>
      <c r="B26662" t="s">
        <v>20028</v>
      </c>
      <c r="C26662" t="s">
        <v>2479</v>
      </c>
      <c r="D26662" s="21" t="s">
        <v>34</v>
      </c>
      <c r="E26662" s="21" t="s">
        <v>71</v>
      </c>
      <c r="F26662">
        <v>9760100</v>
      </c>
      <c r="G26662" t="s">
        <v>9182</v>
      </c>
      <c r="H26662" s="21">
        <v>614.66999999999996</v>
      </c>
    </row>
    <row r="26663" spans="1:8" customFormat="1" x14ac:dyDescent="0.25">
      <c r="A26663" t="str">
        <f>"593755"</f>
        <v>593755</v>
      </c>
      <c r="B26663" t="s">
        <v>5785</v>
      </c>
      <c r="C26663" t="s">
        <v>2479</v>
      </c>
      <c r="D26663" s="21" t="s">
        <v>34</v>
      </c>
      <c r="E26663" s="21" t="s">
        <v>1089</v>
      </c>
      <c r="F26663">
        <v>7590228</v>
      </c>
      <c r="G26663" t="s">
        <v>1798</v>
      </c>
      <c r="H26663" s="21">
        <v>614.66999999999996</v>
      </c>
    </row>
    <row r="26664" spans="1:8" customFormat="1" x14ac:dyDescent="0.25">
      <c r="A26664" t="str">
        <f>"8526801"</f>
        <v>8526801</v>
      </c>
      <c r="B26664" t="s">
        <v>21213</v>
      </c>
      <c r="C26664" t="s">
        <v>87</v>
      </c>
      <c r="D26664" s="21" t="s">
        <v>34</v>
      </c>
      <c r="E26664" s="21" t="s">
        <v>35</v>
      </c>
      <c r="F26664">
        <v>12850057</v>
      </c>
      <c r="G26664" t="s">
        <v>1291</v>
      </c>
      <c r="H26664" s="21">
        <v>614.66999999999996</v>
      </c>
    </row>
    <row r="26665" spans="1:8" customFormat="1" x14ac:dyDescent="0.25">
      <c r="A26665" t="str">
        <f>"5941612"</f>
        <v>5941612</v>
      </c>
      <c r="B26665" t="s">
        <v>16975</v>
      </c>
      <c r="C26665" t="s">
        <v>598</v>
      </c>
      <c r="D26665" s="21" t="s">
        <v>34</v>
      </c>
      <c r="E26665" s="21" t="s">
        <v>1089</v>
      </c>
      <c r="F26665">
        <v>7590194</v>
      </c>
      <c r="G26665" t="s">
        <v>460</v>
      </c>
      <c r="H26665" s="21">
        <v>614.66999999999996</v>
      </c>
    </row>
    <row r="26666" spans="1:8" customFormat="1" x14ac:dyDescent="0.25">
      <c r="A26666" t="str">
        <f>"6813493"</f>
        <v>6813493</v>
      </c>
      <c r="B26666" t="s">
        <v>21180</v>
      </c>
      <c r="C26666" t="s">
        <v>209</v>
      </c>
      <c r="D26666" s="21" t="s">
        <v>34</v>
      </c>
      <c r="E26666" s="21" t="s">
        <v>35</v>
      </c>
      <c r="F26666">
        <v>6680091</v>
      </c>
      <c r="G26666" t="s">
        <v>693</v>
      </c>
      <c r="H26666" s="21">
        <v>614.54</v>
      </c>
    </row>
    <row r="26667" spans="1:8" customFormat="1" x14ac:dyDescent="0.25">
      <c r="A26667" t="str">
        <f>"367874"</f>
        <v>367874</v>
      </c>
      <c r="B26667" t="s">
        <v>1885</v>
      </c>
      <c r="C26667" t="s">
        <v>204</v>
      </c>
      <c r="D26667" s="21" t="s">
        <v>34</v>
      </c>
      <c r="E26667" s="21" t="s">
        <v>35</v>
      </c>
      <c r="F26667">
        <v>4360727</v>
      </c>
      <c r="G26667" t="s">
        <v>10026</v>
      </c>
      <c r="H26667" s="21">
        <v>614.41999999999996</v>
      </c>
    </row>
    <row r="26668" spans="1:8" customFormat="1" x14ac:dyDescent="0.25">
      <c r="A26668" t="str">
        <f>"2511547"</f>
        <v>2511547</v>
      </c>
      <c r="B26668" t="s">
        <v>19828</v>
      </c>
      <c r="C26668" t="s">
        <v>2520</v>
      </c>
      <c r="D26668" s="21" t="s">
        <v>34</v>
      </c>
      <c r="E26668" s="21" t="s">
        <v>1089</v>
      </c>
      <c r="F26668">
        <v>2250199</v>
      </c>
      <c r="G26668" t="s">
        <v>8756</v>
      </c>
      <c r="H26668" s="21">
        <v>614.16999999999996</v>
      </c>
    </row>
    <row r="26669" spans="1:8" customFormat="1" x14ac:dyDescent="0.25">
      <c r="A26669" t="str">
        <f>"668371"</f>
        <v>668371</v>
      </c>
      <c r="B26669" t="s">
        <v>27930</v>
      </c>
      <c r="C26669" t="s">
        <v>576</v>
      </c>
      <c r="D26669" s="21" t="s">
        <v>34</v>
      </c>
      <c r="E26669" s="21" t="s">
        <v>35</v>
      </c>
      <c r="F26669">
        <v>11660001</v>
      </c>
      <c r="G26669" t="s">
        <v>8203</v>
      </c>
      <c r="H26669" s="21">
        <v>614.16999999999996</v>
      </c>
    </row>
    <row r="26670" spans="1:8" customFormat="1" x14ac:dyDescent="0.25">
      <c r="A26670" t="str">
        <f>"1611635"</f>
        <v>1611635</v>
      </c>
      <c r="B26670" t="s">
        <v>20432</v>
      </c>
      <c r="C26670" t="s">
        <v>1146</v>
      </c>
      <c r="D26670" s="21" t="s">
        <v>34</v>
      </c>
      <c r="E26670" s="21" t="s">
        <v>71</v>
      </c>
      <c r="F26670">
        <v>10160236</v>
      </c>
      <c r="G26670" t="s">
        <v>7202</v>
      </c>
      <c r="H26670" s="21">
        <v>614.16999999999996</v>
      </c>
    </row>
    <row r="26671" spans="1:8" customFormat="1" x14ac:dyDescent="0.25">
      <c r="A26671" t="str">
        <f>"8794"</f>
        <v>8794</v>
      </c>
      <c r="B26671" t="s">
        <v>19183</v>
      </c>
      <c r="C26671" t="s">
        <v>462</v>
      </c>
      <c r="D26671" s="21" t="s">
        <v>34</v>
      </c>
      <c r="E26671" s="21" t="s">
        <v>71</v>
      </c>
      <c r="F26671">
        <v>10870007</v>
      </c>
      <c r="G26671" t="s">
        <v>8903</v>
      </c>
      <c r="H26671" s="21">
        <v>614.16999999999996</v>
      </c>
    </row>
    <row r="26672" spans="1:8" customFormat="1" x14ac:dyDescent="0.25">
      <c r="A26672" t="str">
        <f>"383006"</f>
        <v>383006</v>
      </c>
      <c r="B26672" t="s">
        <v>1886</v>
      </c>
      <c r="C26672" t="s">
        <v>1110</v>
      </c>
      <c r="D26672" s="21" t="s">
        <v>34</v>
      </c>
      <c r="E26672" s="21" t="s">
        <v>71</v>
      </c>
      <c r="F26672">
        <v>1380199</v>
      </c>
      <c r="G26672" t="s">
        <v>321</v>
      </c>
      <c r="H26672" s="21">
        <v>614.16999999999996</v>
      </c>
    </row>
    <row r="26673" spans="1:8" customFormat="1" x14ac:dyDescent="0.25">
      <c r="A26673" t="str">
        <f>"5617154"</f>
        <v>5617154</v>
      </c>
      <c r="B26673" t="s">
        <v>19176</v>
      </c>
      <c r="C26673" t="s">
        <v>147</v>
      </c>
      <c r="D26673" s="21" t="s">
        <v>34</v>
      </c>
      <c r="E26673" s="21" t="s">
        <v>35</v>
      </c>
      <c r="F26673">
        <v>3560085</v>
      </c>
      <c r="G26673" t="s">
        <v>11473</v>
      </c>
      <c r="H26673" s="21">
        <v>614.16999999999996</v>
      </c>
    </row>
    <row r="26674" spans="1:8" customFormat="1" x14ac:dyDescent="0.25">
      <c r="A26674" t="str">
        <f>"4414739"</f>
        <v>4414739</v>
      </c>
      <c r="B26674" t="s">
        <v>18644</v>
      </c>
      <c r="C26674" t="s">
        <v>1665</v>
      </c>
      <c r="D26674" s="21" t="s">
        <v>34</v>
      </c>
      <c r="E26674" s="21" t="s">
        <v>254</v>
      </c>
      <c r="F26674">
        <v>12440141</v>
      </c>
      <c r="G26674" t="s">
        <v>3234</v>
      </c>
      <c r="H26674" s="21">
        <v>614.16999999999996</v>
      </c>
    </row>
    <row r="26675" spans="1:8" customFormat="1" x14ac:dyDescent="0.25">
      <c r="A26675" t="str">
        <f>"54799"</f>
        <v>54799</v>
      </c>
      <c r="B26675" t="s">
        <v>18131</v>
      </c>
      <c r="C26675" t="s">
        <v>40</v>
      </c>
      <c r="D26675" s="21" t="s">
        <v>34</v>
      </c>
      <c r="E26675" s="21" t="s">
        <v>254</v>
      </c>
      <c r="F26675">
        <v>6540040</v>
      </c>
      <c r="G26675" t="s">
        <v>256</v>
      </c>
      <c r="H26675" s="21">
        <v>614.16999999999996</v>
      </c>
    </row>
    <row r="26676" spans="1:8" customFormat="1" x14ac:dyDescent="0.25">
      <c r="A26676" t="str">
        <f>"9519714"</f>
        <v>9519714</v>
      </c>
      <c r="B26676" t="s">
        <v>4834</v>
      </c>
      <c r="C26676" t="s">
        <v>40</v>
      </c>
      <c r="D26676" s="21" t="s">
        <v>34</v>
      </c>
      <c r="E26676" s="21" t="s">
        <v>254</v>
      </c>
      <c r="F26676">
        <v>8950348</v>
      </c>
      <c r="G26676" t="s">
        <v>491</v>
      </c>
      <c r="H26676" s="21">
        <v>614.16999999999996</v>
      </c>
    </row>
    <row r="26677" spans="1:8" customFormat="1" x14ac:dyDescent="0.25">
      <c r="A26677" t="str">
        <f>"854991"</f>
        <v>854991</v>
      </c>
      <c r="B26677" t="s">
        <v>2231</v>
      </c>
      <c r="C26677" t="s">
        <v>244</v>
      </c>
      <c r="D26677" s="21" t="s">
        <v>34</v>
      </c>
      <c r="E26677" s="21" t="s">
        <v>35</v>
      </c>
      <c r="F26677">
        <v>12850118</v>
      </c>
      <c r="G26677" t="s">
        <v>6811</v>
      </c>
      <c r="H26677" s="21">
        <v>614.16999999999996</v>
      </c>
    </row>
    <row r="26678" spans="1:8" customFormat="1" x14ac:dyDescent="0.25">
      <c r="A26678" t="str">
        <f>"647177"</f>
        <v>647177</v>
      </c>
      <c r="B26678" t="s">
        <v>13893</v>
      </c>
      <c r="C26678" t="s">
        <v>547</v>
      </c>
      <c r="D26678" s="21" t="s">
        <v>34</v>
      </c>
      <c r="E26678" s="21" t="s">
        <v>254</v>
      </c>
      <c r="F26678">
        <v>10640015</v>
      </c>
      <c r="G26678" t="s">
        <v>10196</v>
      </c>
      <c r="H26678" s="21">
        <v>614.16999999999996</v>
      </c>
    </row>
    <row r="26679" spans="1:8" customFormat="1" x14ac:dyDescent="0.25">
      <c r="A26679" t="str">
        <f>"7835439"</f>
        <v>7835439</v>
      </c>
      <c r="B26679" t="s">
        <v>11084</v>
      </c>
      <c r="C26679" t="s">
        <v>267</v>
      </c>
      <c r="D26679" s="21" t="s">
        <v>34</v>
      </c>
      <c r="E26679" s="21" t="s">
        <v>1089</v>
      </c>
      <c r="F26679">
        <v>8781006</v>
      </c>
      <c r="G26679" t="s">
        <v>5376</v>
      </c>
      <c r="H26679" s="21">
        <v>614.16999999999996</v>
      </c>
    </row>
    <row r="26680" spans="1:8" customFormat="1" x14ac:dyDescent="0.25">
      <c r="A26680" t="str">
        <f>"8524543"</f>
        <v>8524543</v>
      </c>
      <c r="B26680" t="s">
        <v>20798</v>
      </c>
      <c r="C26680" t="s">
        <v>130</v>
      </c>
      <c r="D26680" s="21" t="s">
        <v>34</v>
      </c>
      <c r="E26680" s="21" t="s">
        <v>254</v>
      </c>
      <c r="F26680">
        <v>12850143</v>
      </c>
      <c r="G26680" t="s">
        <v>1625</v>
      </c>
      <c r="H26680" s="21">
        <v>614.16999999999996</v>
      </c>
    </row>
    <row r="26681" spans="1:8" customFormat="1" x14ac:dyDescent="0.25">
      <c r="A26681" t="str">
        <f>"3326476"</f>
        <v>3326476</v>
      </c>
      <c r="B26681" t="s">
        <v>19631</v>
      </c>
      <c r="C26681" t="s">
        <v>353</v>
      </c>
      <c r="D26681" s="21" t="s">
        <v>34</v>
      </c>
      <c r="E26681" s="21" t="s">
        <v>71</v>
      </c>
      <c r="F26681">
        <v>10330078</v>
      </c>
      <c r="G26681" t="s">
        <v>7597</v>
      </c>
      <c r="H26681" s="21">
        <v>614.16999999999996</v>
      </c>
    </row>
    <row r="26682" spans="1:8" customFormat="1" x14ac:dyDescent="0.25">
      <c r="A26682" t="str">
        <f>"8811183"</f>
        <v>8811183</v>
      </c>
      <c r="B26682" t="s">
        <v>1349</v>
      </c>
      <c r="C26682" t="s">
        <v>934</v>
      </c>
      <c r="D26682" s="21" t="s">
        <v>34</v>
      </c>
      <c r="E26682" s="21" t="s">
        <v>35</v>
      </c>
      <c r="F26682">
        <v>6880049</v>
      </c>
      <c r="G26682" t="s">
        <v>4514</v>
      </c>
      <c r="H26682" s="21">
        <v>614.16999999999996</v>
      </c>
    </row>
    <row r="26683" spans="1:8" customFormat="1" x14ac:dyDescent="0.25">
      <c r="A26683" t="str">
        <f>"7731770"</f>
        <v>7731770</v>
      </c>
      <c r="B26683" t="s">
        <v>27931</v>
      </c>
      <c r="C26683" t="s">
        <v>43</v>
      </c>
      <c r="D26683" s="21" t="s">
        <v>34</v>
      </c>
      <c r="E26683" s="21" t="s">
        <v>35</v>
      </c>
      <c r="F26683">
        <v>8770988</v>
      </c>
      <c r="G26683" t="s">
        <v>6334</v>
      </c>
      <c r="H26683" s="21">
        <v>614.16999999999996</v>
      </c>
    </row>
    <row r="26684" spans="1:8" customFormat="1" x14ac:dyDescent="0.25">
      <c r="A26684" t="str">
        <f>"266610"</f>
        <v>266610</v>
      </c>
      <c r="B26684" t="s">
        <v>19167</v>
      </c>
      <c r="C26684" t="s">
        <v>198</v>
      </c>
      <c r="D26684" s="21" t="s">
        <v>34</v>
      </c>
      <c r="E26684" s="21" t="s">
        <v>254</v>
      </c>
      <c r="F26684">
        <v>1260040</v>
      </c>
      <c r="G26684" t="s">
        <v>10768</v>
      </c>
      <c r="H26684" s="21">
        <v>614.16999999999996</v>
      </c>
    </row>
    <row r="26685" spans="1:8" customFormat="1" x14ac:dyDescent="0.25">
      <c r="A26685" t="str">
        <f>"7522428"</f>
        <v>7522428</v>
      </c>
      <c r="B26685" t="s">
        <v>20656</v>
      </c>
      <c r="C26685" t="s">
        <v>20657</v>
      </c>
      <c r="D26685" s="21" t="s">
        <v>34</v>
      </c>
      <c r="E26685" s="21" t="s">
        <v>71</v>
      </c>
      <c r="F26685">
        <v>8751061</v>
      </c>
      <c r="G26685" t="s">
        <v>26628</v>
      </c>
      <c r="H26685" s="21">
        <v>614.04</v>
      </c>
    </row>
    <row r="26686" spans="1:8" customFormat="1" x14ac:dyDescent="0.25">
      <c r="A26686" t="str">
        <f>"736354"</f>
        <v>736354</v>
      </c>
      <c r="B26686" t="s">
        <v>497</v>
      </c>
      <c r="C26686" t="s">
        <v>169</v>
      </c>
      <c r="D26686" s="21" t="s">
        <v>34</v>
      </c>
      <c r="E26686" s="21" t="s">
        <v>35</v>
      </c>
      <c r="F26686">
        <v>1730068</v>
      </c>
      <c r="G26686" t="s">
        <v>3375</v>
      </c>
      <c r="H26686" s="21">
        <v>613.91999999999996</v>
      </c>
    </row>
    <row r="26687" spans="1:8" customFormat="1" x14ac:dyDescent="0.25">
      <c r="A26687" t="str">
        <f>"33303"</f>
        <v>33303</v>
      </c>
      <c r="B26687" t="s">
        <v>6824</v>
      </c>
      <c r="C26687" t="s">
        <v>1665</v>
      </c>
      <c r="D26687" s="21" t="s">
        <v>34</v>
      </c>
      <c r="E26687" s="21" t="s">
        <v>1089</v>
      </c>
      <c r="F26687">
        <v>10330117</v>
      </c>
      <c r="G26687" t="s">
        <v>1942</v>
      </c>
      <c r="H26687" s="21">
        <v>613.79</v>
      </c>
    </row>
    <row r="26688" spans="1:8" customFormat="1" x14ac:dyDescent="0.25">
      <c r="A26688" t="str">
        <f>"5431110"</f>
        <v>5431110</v>
      </c>
      <c r="B26688" t="s">
        <v>21214</v>
      </c>
      <c r="C26688" t="s">
        <v>328</v>
      </c>
      <c r="D26688" s="21" t="s">
        <v>34</v>
      </c>
      <c r="E26688" s="21" t="s">
        <v>71</v>
      </c>
      <c r="F26688">
        <v>6540082</v>
      </c>
      <c r="G26688" t="s">
        <v>9816</v>
      </c>
      <c r="H26688" s="21">
        <v>613.79</v>
      </c>
    </row>
    <row r="26689" spans="1:8" customFormat="1" x14ac:dyDescent="0.25">
      <c r="A26689" t="str">
        <f>"7815444"</f>
        <v>7815444</v>
      </c>
      <c r="B26689" t="s">
        <v>1111</v>
      </c>
      <c r="C26689" t="s">
        <v>267</v>
      </c>
      <c r="D26689" s="21" t="s">
        <v>34</v>
      </c>
      <c r="E26689" s="21" t="s">
        <v>71</v>
      </c>
      <c r="F26689">
        <v>8780584</v>
      </c>
      <c r="G26689" t="s">
        <v>18410</v>
      </c>
      <c r="H26689" s="21">
        <v>613.66999999999996</v>
      </c>
    </row>
    <row r="26690" spans="1:8" customFormat="1" x14ac:dyDescent="0.25">
      <c r="A26690" t="str">
        <f>"7633696"</f>
        <v>7633696</v>
      </c>
      <c r="B26690" t="s">
        <v>20126</v>
      </c>
      <c r="C26690" t="s">
        <v>169</v>
      </c>
      <c r="D26690" s="21" t="s">
        <v>34</v>
      </c>
      <c r="E26690" s="21" t="s">
        <v>71</v>
      </c>
      <c r="F26690">
        <v>9760201</v>
      </c>
      <c r="G26690" t="s">
        <v>11358</v>
      </c>
      <c r="H26690" s="21">
        <v>613.66999999999996</v>
      </c>
    </row>
    <row r="26691" spans="1:8" customFormat="1" x14ac:dyDescent="0.25">
      <c r="A26691" t="str">
        <f>"5732622"</f>
        <v>5732622</v>
      </c>
      <c r="B26691" t="s">
        <v>27932</v>
      </c>
      <c r="C26691" t="s">
        <v>33</v>
      </c>
      <c r="D26691" s="21" t="s">
        <v>34</v>
      </c>
      <c r="E26691" s="21" t="s">
        <v>35</v>
      </c>
      <c r="F26691">
        <v>6570019</v>
      </c>
      <c r="G26691" t="s">
        <v>1510</v>
      </c>
      <c r="H26691" s="21">
        <v>613.66999999999996</v>
      </c>
    </row>
    <row r="26692" spans="1:8" customFormat="1" x14ac:dyDescent="0.25">
      <c r="A26692" t="str">
        <f>"5615988"</f>
        <v>5615988</v>
      </c>
      <c r="B26692" t="s">
        <v>14877</v>
      </c>
      <c r="C26692" t="s">
        <v>547</v>
      </c>
      <c r="D26692" s="21" t="s">
        <v>34</v>
      </c>
      <c r="E26692" s="21" t="s">
        <v>254</v>
      </c>
      <c r="F26692">
        <v>3560037</v>
      </c>
      <c r="G26692" t="s">
        <v>10491</v>
      </c>
      <c r="H26692" s="21">
        <v>613.66999999999996</v>
      </c>
    </row>
    <row r="26693" spans="1:8" customFormat="1" x14ac:dyDescent="0.25">
      <c r="A26693" t="str">
        <f>"663977"</f>
        <v>663977</v>
      </c>
      <c r="B26693" t="s">
        <v>946</v>
      </c>
      <c r="C26693" t="s">
        <v>119</v>
      </c>
      <c r="D26693" s="21" t="s">
        <v>34</v>
      </c>
      <c r="E26693" s="21" t="s">
        <v>71</v>
      </c>
      <c r="F26693">
        <v>11320041</v>
      </c>
      <c r="G26693" t="s">
        <v>4802</v>
      </c>
      <c r="H26693" s="21">
        <v>613.66999999999996</v>
      </c>
    </row>
    <row r="26694" spans="1:8" customFormat="1" x14ac:dyDescent="0.25">
      <c r="A26694" t="str">
        <f>"42431"</f>
        <v>42431</v>
      </c>
      <c r="B26694" t="s">
        <v>19281</v>
      </c>
      <c r="C26694" t="s">
        <v>2730</v>
      </c>
      <c r="D26694" s="21" t="s">
        <v>34</v>
      </c>
      <c r="E26694" s="21" t="s">
        <v>1089</v>
      </c>
      <c r="F26694">
        <v>1420014</v>
      </c>
      <c r="G26694" t="s">
        <v>3864</v>
      </c>
      <c r="H26694" s="21">
        <v>613.66999999999996</v>
      </c>
    </row>
    <row r="26695" spans="1:8" customFormat="1" x14ac:dyDescent="0.25">
      <c r="A26695" t="str">
        <f>"593411"</f>
        <v>593411</v>
      </c>
      <c r="B26695" t="s">
        <v>19608</v>
      </c>
      <c r="C26695" t="s">
        <v>1231</v>
      </c>
      <c r="D26695" s="21" t="s">
        <v>34</v>
      </c>
      <c r="E26695" s="21" t="s">
        <v>1089</v>
      </c>
      <c r="F26695">
        <v>7590195</v>
      </c>
      <c r="G26695" t="s">
        <v>5332</v>
      </c>
      <c r="H26695" s="21">
        <v>613.66999999999996</v>
      </c>
    </row>
    <row r="26696" spans="1:8" customFormat="1" x14ac:dyDescent="0.25">
      <c r="A26696" t="str">
        <f>"9418525"</f>
        <v>9418525</v>
      </c>
      <c r="B26696" t="s">
        <v>16385</v>
      </c>
      <c r="C26696" t="s">
        <v>65</v>
      </c>
      <c r="D26696" s="21" t="s">
        <v>34</v>
      </c>
      <c r="E26696" s="21" t="s">
        <v>35</v>
      </c>
      <c r="F26696">
        <v>12850104</v>
      </c>
      <c r="G26696" t="s">
        <v>6556</v>
      </c>
      <c r="H26696" s="21">
        <v>613.66999999999996</v>
      </c>
    </row>
    <row r="26697" spans="1:8" customFormat="1" x14ac:dyDescent="0.25">
      <c r="A26697" t="str">
        <f>"6943848"</f>
        <v>6943848</v>
      </c>
      <c r="B26697" t="s">
        <v>19171</v>
      </c>
      <c r="C26697" t="s">
        <v>19172</v>
      </c>
      <c r="D26697" s="21" t="s">
        <v>34</v>
      </c>
      <c r="E26697" s="21" t="s">
        <v>71</v>
      </c>
      <c r="F26697">
        <v>1690013</v>
      </c>
      <c r="G26697" t="s">
        <v>26900</v>
      </c>
      <c r="H26697" s="21">
        <v>613.66999999999996</v>
      </c>
    </row>
    <row r="26698" spans="1:8" customFormat="1" x14ac:dyDescent="0.25">
      <c r="A26698" t="str">
        <f>"2924494"</f>
        <v>2924494</v>
      </c>
      <c r="B26698" t="s">
        <v>19384</v>
      </c>
      <c r="C26698" t="s">
        <v>1946</v>
      </c>
      <c r="D26698" s="21" t="s">
        <v>34</v>
      </c>
      <c r="E26698" s="21" t="s">
        <v>1089</v>
      </c>
      <c r="F26698">
        <v>3290221</v>
      </c>
      <c r="G26698" t="s">
        <v>3544</v>
      </c>
      <c r="H26698" s="21">
        <v>613.66999999999996</v>
      </c>
    </row>
    <row r="26699" spans="1:8" customFormat="1" x14ac:dyDescent="0.25">
      <c r="A26699" t="str">
        <f>"3824821"</f>
        <v>3824821</v>
      </c>
      <c r="B26699" t="s">
        <v>5742</v>
      </c>
      <c r="C26699" t="s">
        <v>462</v>
      </c>
      <c r="D26699" s="21" t="s">
        <v>34</v>
      </c>
      <c r="E26699" s="21" t="s">
        <v>71</v>
      </c>
      <c r="F26699">
        <v>1380164</v>
      </c>
      <c r="G26699" t="s">
        <v>2728</v>
      </c>
      <c r="H26699" s="21">
        <v>613.66999999999996</v>
      </c>
    </row>
    <row r="26700" spans="1:8" customFormat="1" x14ac:dyDescent="0.25">
      <c r="A26700" t="str">
        <f>"3533266"</f>
        <v>3533266</v>
      </c>
      <c r="B26700" t="s">
        <v>20019</v>
      </c>
      <c r="C26700" t="s">
        <v>5595</v>
      </c>
      <c r="D26700" s="21" t="s">
        <v>34</v>
      </c>
      <c r="E26700" s="21" t="s">
        <v>35</v>
      </c>
      <c r="F26700">
        <v>3350150</v>
      </c>
      <c r="G26700" t="s">
        <v>6419</v>
      </c>
      <c r="H26700" s="21">
        <v>613.66999999999996</v>
      </c>
    </row>
    <row r="26701" spans="1:8" customFormat="1" x14ac:dyDescent="0.25">
      <c r="A26701" t="str">
        <f>"5610557"</f>
        <v>5610557</v>
      </c>
      <c r="B26701" t="s">
        <v>19797</v>
      </c>
      <c r="C26701" t="s">
        <v>2752</v>
      </c>
      <c r="D26701" s="21" t="s">
        <v>34</v>
      </c>
      <c r="E26701" s="21" t="s">
        <v>71</v>
      </c>
      <c r="F26701">
        <v>3560043</v>
      </c>
      <c r="G26701" t="s">
        <v>11635</v>
      </c>
      <c r="H26701" s="21">
        <v>613.66999999999996</v>
      </c>
    </row>
    <row r="26702" spans="1:8" customFormat="1" x14ac:dyDescent="0.25">
      <c r="A26702" t="str">
        <f>"589865"</f>
        <v>589865</v>
      </c>
      <c r="B26702" t="s">
        <v>19732</v>
      </c>
      <c r="C26702" t="s">
        <v>275</v>
      </c>
      <c r="D26702" s="21" t="s">
        <v>34</v>
      </c>
      <c r="E26702" s="21" t="s">
        <v>35</v>
      </c>
      <c r="F26702">
        <v>2580006</v>
      </c>
      <c r="G26702" t="s">
        <v>4813</v>
      </c>
      <c r="H26702" s="21">
        <v>613.66999999999996</v>
      </c>
    </row>
    <row r="26703" spans="1:8" customFormat="1" x14ac:dyDescent="0.25">
      <c r="A26703" t="str">
        <f>"4932573"</f>
        <v>4932573</v>
      </c>
      <c r="B26703" t="s">
        <v>1669</v>
      </c>
      <c r="C26703" t="s">
        <v>453</v>
      </c>
      <c r="D26703" s="21" t="s">
        <v>34</v>
      </c>
      <c r="E26703" s="21" t="s">
        <v>35</v>
      </c>
      <c r="F26703">
        <v>12490018</v>
      </c>
      <c r="G26703" t="s">
        <v>2269</v>
      </c>
      <c r="H26703" s="21">
        <v>613.66999999999996</v>
      </c>
    </row>
    <row r="26704" spans="1:8" customFormat="1" x14ac:dyDescent="0.25">
      <c r="A26704" t="str">
        <f>"5954958"</f>
        <v>5954958</v>
      </c>
      <c r="B26704" t="s">
        <v>20279</v>
      </c>
      <c r="C26704" t="s">
        <v>1132</v>
      </c>
      <c r="D26704" s="21" t="s">
        <v>34</v>
      </c>
      <c r="E26704" s="21" t="s">
        <v>71</v>
      </c>
      <c r="F26704">
        <v>7590361</v>
      </c>
      <c r="G26704" t="s">
        <v>3071</v>
      </c>
      <c r="H26704" s="21">
        <v>613.66999999999996</v>
      </c>
    </row>
    <row r="26705" spans="1:8" customFormat="1" x14ac:dyDescent="0.25">
      <c r="A26705" t="str">
        <f>"3528746"</f>
        <v>3528746</v>
      </c>
      <c r="B26705" t="s">
        <v>6967</v>
      </c>
      <c r="C26705" t="s">
        <v>55</v>
      </c>
      <c r="D26705" s="21" t="s">
        <v>34</v>
      </c>
      <c r="E26705" s="21" t="s">
        <v>35</v>
      </c>
      <c r="F26705">
        <v>3350203</v>
      </c>
      <c r="G26705" t="s">
        <v>11973</v>
      </c>
      <c r="H26705" s="21">
        <v>613.66999999999996</v>
      </c>
    </row>
    <row r="26706" spans="1:8" customFormat="1" x14ac:dyDescent="0.25">
      <c r="A26706" t="str">
        <f>"4452436"</f>
        <v>4452436</v>
      </c>
      <c r="B26706" t="s">
        <v>18685</v>
      </c>
      <c r="C26706" t="s">
        <v>608</v>
      </c>
      <c r="D26706" s="21" t="s">
        <v>34</v>
      </c>
      <c r="E26706" s="21" t="s">
        <v>35</v>
      </c>
      <c r="F26706">
        <v>12440104</v>
      </c>
      <c r="G26706" t="s">
        <v>5862</v>
      </c>
      <c r="H26706" s="21">
        <v>613.66999999999996</v>
      </c>
    </row>
    <row r="26707" spans="1:8" customFormat="1" x14ac:dyDescent="0.25">
      <c r="A26707" t="str">
        <f>"5014251"</f>
        <v>5014251</v>
      </c>
      <c r="B26707" t="s">
        <v>8884</v>
      </c>
      <c r="C26707" t="s">
        <v>124</v>
      </c>
      <c r="D26707" s="21" t="s">
        <v>34</v>
      </c>
      <c r="E26707" s="21" t="s">
        <v>71</v>
      </c>
      <c r="F26707">
        <v>9500088</v>
      </c>
      <c r="G26707" t="s">
        <v>15949</v>
      </c>
      <c r="H26707" s="21">
        <v>613.66999999999996</v>
      </c>
    </row>
    <row r="26708" spans="1:8" customFormat="1" x14ac:dyDescent="0.25">
      <c r="A26708" t="str">
        <f>"9145893"</f>
        <v>9145893</v>
      </c>
      <c r="B26708" t="s">
        <v>19772</v>
      </c>
      <c r="C26708" t="s">
        <v>19773</v>
      </c>
      <c r="D26708" s="21" t="s">
        <v>34</v>
      </c>
      <c r="E26708" s="21" t="s">
        <v>35</v>
      </c>
      <c r="F26708">
        <v>8911461</v>
      </c>
      <c r="G26708" t="s">
        <v>6705</v>
      </c>
      <c r="H26708" s="21">
        <v>613.66999999999996</v>
      </c>
    </row>
    <row r="26709" spans="1:8" customFormat="1" x14ac:dyDescent="0.25">
      <c r="A26709" t="str">
        <f>"8519348"</f>
        <v>8519348</v>
      </c>
      <c r="B26709" t="s">
        <v>2981</v>
      </c>
      <c r="C26709" t="s">
        <v>2520</v>
      </c>
      <c r="D26709" s="21" t="s">
        <v>34</v>
      </c>
      <c r="E26709" s="21" t="s">
        <v>71</v>
      </c>
      <c r="F26709">
        <v>12850143</v>
      </c>
      <c r="G26709" t="s">
        <v>1625</v>
      </c>
      <c r="H26709" s="21">
        <v>613.66999999999996</v>
      </c>
    </row>
    <row r="26710" spans="1:8" customFormat="1" x14ac:dyDescent="0.25">
      <c r="A26710" t="str">
        <f>"0892"</f>
        <v>0892</v>
      </c>
      <c r="B26710" t="s">
        <v>19139</v>
      </c>
      <c r="C26710" t="s">
        <v>7905</v>
      </c>
      <c r="D26710" s="21" t="s">
        <v>34</v>
      </c>
      <c r="E26710" s="21" t="s">
        <v>6185</v>
      </c>
      <c r="F26710">
        <v>6080005</v>
      </c>
      <c r="G26710" t="s">
        <v>8965</v>
      </c>
      <c r="H26710" s="21">
        <v>613.66999999999996</v>
      </c>
    </row>
    <row r="26711" spans="1:8" customFormat="1" x14ac:dyDescent="0.25">
      <c r="A26711" t="str">
        <f>"068421"</f>
        <v>068421</v>
      </c>
      <c r="B26711" t="s">
        <v>20007</v>
      </c>
      <c r="C26711" t="s">
        <v>598</v>
      </c>
      <c r="D26711" s="21" t="s">
        <v>34</v>
      </c>
      <c r="E26711" s="21" t="s">
        <v>1089</v>
      </c>
      <c r="F26711">
        <v>13830031</v>
      </c>
      <c r="G26711" t="s">
        <v>8301</v>
      </c>
      <c r="H26711" s="21">
        <v>613.54</v>
      </c>
    </row>
    <row r="26712" spans="1:8" customFormat="1" x14ac:dyDescent="0.25">
      <c r="A26712" t="str">
        <f>"089591"</f>
        <v>089591</v>
      </c>
      <c r="B26712" t="s">
        <v>760</v>
      </c>
      <c r="C26712" t="s">
        <v>40</v>
      </c>
      <c r="D26712" s="21" t="s">
        <v>34</v>
      </c>
      <c r="E26712" s="21" t="s">
        <v>71</v>
      </c>
      <c r="F26712">
        <v>6080024</v>
      </c>
      <c r="G26712" t="s">
        <v>5511</v>
      </c>
      <c r="H26712" s="21">
        <v>613.41999999999996</v>
      </c>
    </row>
    <row r="26713" spans="1:8" customFormat="1" x14ac:dyDescent="0.25">
      <c r="A26713" t="str">
        <f>"171929"</f>
        <v>171929</v>
      </c>
      <c r="B26713" t="s">
        <v>2645</v>
      </c>
      <c r="C26713" t="s">
        <v>381</v>
      </c>
      <c r="D26713" s="21" t="s">
        <v>34</v>
      </c>
      <c r="E26713" s="21" t="s">
        <v>1089</v>
      </c>
      <c r="F26713">
        <v>10170214</v>
      </c>
      <c r="G26713" t="s">
        <v>5533</v>
      </c>
      <c r="H26713" s="21">
        <v>613.41999999999996</v>
      </c>
    </row>
    <row r="26714" spans="1:8" customFormat="1" x14ac:dyDescent="0.25">
      <c r="A26714" t="str">
        <f>"4447898"</f>
        <v>4447898</v>
      </c>
      <c r="B26714" t="s">
        <v>24552</v>
      </c>
      <c r="C26714" t="s">
        <v>124</v>
      </c>
      <c r="D26714" s="21" t="s">
        <v>34</v>
      </c>
      <c r="E26714" s="21" t="s">
        <v>71</v>
      </c>
      <c r="F26714">
        <v>12440030</v>
      </c>
      <c r="G26714" t="s">
        <v>5524</v>
      </c>
      <c r="H26714" s="21">
        <v>613.41999999999996</v>
      </c>
    </row>
    <row r="26715" spans="1:8" customFormat="1" x14ac:dyDescent="0.25">
      <c r="A26715" t="str">
        <f>"9527040"</f>
        <v>9527040</v>
      </c>
      <c r="B26715" t="s">
        <v>19149</v>
      </c>
      <c r="C26715" t="s">
        <v>109</v>
      </c>
      <c r="D26715" s="21" t="s">
        <v>34</v>
      </c>
      <c r="E26715" s="21" t="s">
        <v>35</v>
      </c>
      <c r="F26715">
        <v>8951451</v>
      </c>
      <c r="G26715" t="s">
        <v>3909</v>
      </c>
      <c r="H26715" s="21">
        <v>613.29</v>
      </c>
    </row>
    <row r="26716" spans="1:8" customFormat="1" x14ac:dyDescent="0.25">
      <c r="A26716" t="str">
        <f>"5412205"</f>
        <v>5412205</v>
      </c>
      <c r="B26716" t="s">
        <v>19165</v>
      </c>
      <c r="C26716" t="s">
        <v>263</v>
      </c>
      <c r="D26716" s="21" t="s">
        <v>34</v>
      </c>
      <c r="E26716" s="21" t="s">
        <v>254</v>
      </c>
      <c r="F26716">
        <v>6540088</v>
      </c>
      <c r="G26716" t="s">
        <v>2108</v>
      </c>
      <c r="H26716" s="21">
        <v>613.29</v>
      </c>
    </row>
    <row r="26717" spans="1:8" customFormat="1" x14ac:dyDescent="0.25">
      <c r="A26717" t="str">
        <f>"3722440"</f>
        <v>3722440</v>
      </c>
      <c r="B26717" t="s">
        <v>22540</v>
      </c>
      <c r="C26717" t="s">
        <v>598</v>
      </c>
      <c r="D26717" s="21" t="s">
        <v>34</v>
      </c>
      <c r="E26717" s="21" t="s">
        <v>35</v>
      </c>
      <c r="F26717">
        <v>4370533</v>
      </c>
      <c r="G26717" t="s">
        <v>10553</v>
      </c>
      <c r="H26717" s="21">
        <v>613.16999999999996</v>
      </c>
    </row>
    <row r="26718" spans="1:8" customFormat="1" x14ac:dyDescent="0.25">
      <c r="A26718" t="str">
        <f>"718149"</f>
        <v>718149</v>
      </c>
      <c r="B26718" t="s">
        <v>19483</v>
      </c>
      <c r="C26718" t="s">
        <v>267</v>
      </c>
      <c r="D26718" s="21" t="s">
        <v>34</v>
      </c>
      <c r="E26718" s="21" t="s">
        <v>1089</v>
      </c>
      <c r="F26718">
        <v>2710072</v>
      </c>
      <c r="G26718" t="s">
        <v>1461</v>
      </c>
      <c r="H26718" s="21">
        <v>613.16999999999996</v>
      </c>
    </row>
    <row r="26719" spans="1:8" customFormat="1" x14ac:dyDescent="0.25">
      <c r="A26719" t="str">
        <f>"4933142"</f>
        <v>4933142</v>
      </c>
      <c r="B26719" t="s">
        <v>2405</v>
      </c>
      <c r="C26719" t="s">
        <v>484</v>
      </c>
      <c r="D26719" s="21" t="s">
        <v>34</v>
      </c>
      <c r="E26719" s="21" t="s">
        <v>35</v>
      </c>
      <c r="F26719">
        <v>12490092</v>
      </c>
      <c r="G26719" t="s">
        <v>1854</v>
      </c>
      <c r="H26719" s="21">
        <v>613.16999999999996</v>
      </c>
    </row>
    <row r="26720" spans="1:8" customFormat="1" x14ac:dyDescent="0.25">
      <c r="A26720" t="str">
        <f>"4522450"</f>
        <v>4522450</v>
      </c>
      <c r="B26720" t="s">
        <v>27933</v>
      </c>
      <c r="C26720" t="s">
        <v>144</v>
      </c>
      <c r="D26720" s="21" t="s">
        <v>34</v>
      </c>
      <c r="E26720" s="21" t="s">
        <v>35</v>
      </c>
      <c r="F26720">
        <v>4450417</v>
      </c>
      <c r="G26720" t="s">
        <v>2284</v>
      </c>
      <c r="H26720" s="21">
        <v>613.16999999999996</v>
      </c>
    </row>
    <row r="26721" spans="1:8" customFormat="1" x14ac:dyDescent="0.25">
      <c r="A26721" t="str">
        <f>"6553"</f>
        <v>6553</v>
      </c>
      <c r="B26721" t="s">
        <v>12131</v>
      </c>
      <c r="C26721" t="s">
        <v>453</v>
      </c>
      <c r="D26721" s="21" t="s">
        <v>34</v>
      </c>
      <c r="E26721" s="21" t="s">
        <v>6185</v>
      </c>
      <c r="F26721">
        <v>11650034</v>
      </c>
      <c r="G26721" t="s">
        <v>1989</v>
      </c>
      <c r="H26721" s="21">
        <v>613.16999999999996</v>
      </c>
    </row>
    <row r="26722" spans="1:8" customFormat="1" x14ac:dyDescent="0.25">
      <c r="A26722" t="str">
        <f>"7874589"</f>
        <v>7874589</v>
      </c>
      <c r="B26722" t="s">
        <v>14106</v>
      </c>
      <c r="C26722" t="s">
        <v>2533</v>
      </c>
      <c r="D26722" s="21" t="s">
        <v>34</v>
      </c>
      <c r="E26722" s="21" t="s">
        <v>35</v>
      </c>
      <c r="F26722">
        <v>8780338</v>
      </c>
      <c r="G26722" t="s">
        <v>4145</v>
      </c>
      <c r="H26722" s="21">
        <v>613.16999999999996</v>
      </c>
    </row>
    <row r="26723" spans="1:8" customFormat="1" x14ac:dyDescent="0.25">
      <c r="A26723" t="str">
        <f>"5327119"</f>
        <v>5327119</v>
      </c>
      <c r="B26723" t="s">
        <v>556</v>
      </c>
      <c r="C26723" t="s">
        <v>114</v>
      </c>
      <c r="D26723" s="21" t="s">
        <v>34</v>
      </c>
      <c r="E26723" s="21" t="s">
        <v>71</v>
      </c>
      <c r="F26723">
        <v>12530016</v>
      </c>
      <c r="G26723" t="s">
        <v>2069</v>
      </c>
      <c r="H26723" s="21">
        <v>613.16999999999996</v>
      </c>
    </row>
    <row r="26724" spans="1:8" customFormat="1" x14ac:dyDescent="0.25">
      <c r="A26724" t="str">
        <f>"241513"</f>
        <v>241513</v>
      </c>
      <c r="B26724" t="s">
        <v>1886</v>
      </c>
      <c r="C26724" t="s">
        <v>267</v>
      </c>
      <c r="D26724" s="21" t="s">
        <v>34</v>
      </c>
      <c r="E26724" s="21" t="s">
        <v>1089</v>
      </c>
      <c r="F26724">
        <v>10240007</v>
      </c>
      <c r="G26724" t="s">
        <v>2326</v>
      </c>
      <c r="H26724" s="21">
        <v>613.16999999999996</v>
      </c>
    </row>
    <row r="26725" spans="1:8" customFormat="1" x14ac:dyDescent="0.25">
      <c r="A26725" t="str">
        <f>"3723944"</f>
        <v>3723944</v>
      </c>
      <c r="B26725" t="s">
        <v>8285</v>
      </c>
      <c r="C26725" t="s">
        <v>2479</v>
      </c>
      <c r="D26725" s="21" t="s">
        <v>34</v>
      </c>
      <c r="E26725" s="21" t="s">
        <v>254</v>
      </c>
      <c r="F26725">
        <v>4370004</v>
      </c>
      <c r="G26725" t="s">
        <v>6049</v>
      </c>
      <c r="H26725" s="21">
        <v>613.16999999999996</v>
      </c>
    </row>
    <row r="26726" spans="1:8" customFormat="1" x14ac:dyDescent="0.25">
      <c r="A26726" t="str">
        <f>"2939810"</f>
        <v>2939810</v>
      </c>
      <c r="B26726" t="s">
        <v>6686</v>
      </c>
      <c r="C26726" t="s">
        <v>169</v>
      </c>
      <c r="D26726" s="21" t="s">
        <v>34</v>
      </c>
      <c r="E26726" s="21" t="s">
        <v>71</v>
      </c>
      <c r="F26726">
        <v>3290249</v>
      </c>
      <c r="G26726" t="s">
        <v>7914</v>
      </c>
      <c r="H26726" s="21">
        <v>613.16999999999996</v>
      </c>
    </row>
    <row r="26727" spans="1:8" customFormat="1" x14ac:dyDescent="0.25">
      <c r="A26727" t="str">
        <f>"567038"</f>
        <v>567038</v>
      </c>
      <c r="B26727" t="s">
        <v>17612</v>
      </c>
      <c r="C26727" t="s">
        <v>239</v>
      </c>
      <c r="D26727" s="21" t="s">
        <v>34</v>
      </c>
      <c r="E26727" s="21" t="s">
        <v>1089</v>
      </c>
      <c r="F26727">
        <v>11660038</v>
      </c>
      <c r="G26727" t="s">
        <v>8493</v>
      </c>
      <c r="H26727" s="21">
        <v>613.16999999999996</v>
      </c>
    </row>
    <row r="26728" spans="1:8" customFormat="1" x14ac:dyDescent="0.25">
      <c r="A26728" t="str">
        <f>"5324165"</f>
        <v>5324165</v>
      </c>
      <c r="B26728" t="s">
        <v>1087</v>
      </c>
      <c r="C26728" t="s">
        <v>249</v>
      </c>
      <c r="D26728" s="21" t="s">
        <v>34</v>
      </c>
      <c r="E26728" s="21" t="s">
        <v>35</v>
      </c>
      <c r="F26728">
        <v>12530095</v>
      </c>
      <c r="G26728" t="s">
        <v>5381</v>
      </c>
      <c r="H26728" s="21">
        <v>613.16999999999996</v>
      </c>
    </row>
    <row r="26729" spans="1:8" customFormat="1" x14ac:dyDescent="0.25">
      <c r="A26729" t="str">
        <f>"081546"</f>
        <v>081546</v>
      </c>
      <c r="B26729" t="s">
        <v>64</v>
      </c>
      <c r="C26729" t="s">
        <v>211</v>
      </c>
      <c r="D26729" s="21" t="s">
        <v>34</v>
      </c>
      <c r="E26729" s="21" t="s">
        <v>254</v>
      </c>
      <c r="F26729">
        <v>6080053</v>
      </c>
      <c r="G26729" t="s">
        <v>12951</v>
      </c>
      <c r="H26729" s="21">
        <v>613.16999999999996</v>
      </c>
    </row>
    <row r="26730" spans="1:8" customFormat="1" x14ac:dyDescent="0.25">
      <c r="A26730" t="str">
        <f>"038133"</f>
        <v>038133</v>
      </c>
      <c r="B26730" t="s">
        <v>5220</v>
      </c>
      <c r="C26730" t="s">
        <v>40</v>
      </c>
      <c r="D26730" s="21" t="s">
        <v>34</v>
      </c>
      <c r="E26730" s="21" t="s">
        <v>71</v>
      </c>
      <c r="F26730">
        <v>1030310</v>
      </c>
      <c r="G26730" t="s">
        <v>13666</v>
      </c>
      <c r="H26730" s="21">
        <v>613.16999999999996</v>
      </c>
    </row>
    <row r="26731" spans="1:8" customFormat="1" x14ac:dyDescent="0.25">
      <c r="A26731" t="str">
        <f>"6927361"</f>
        <v>6927361</v>
      </c>
      <c r="B26731" t="s">
        <v>19431</v>
      </c>
      <c r="C26731" t="s">
        <v>564</v>
      </c>
      <c r="D26731" s="21" t="s">
        <v>34</v>
      </c>
      <c r="E26731" s="21" t="s">
        <v>71</v>
      </c>
      <c r="F26731">
        <v>1690047</v>
      </c>
      <c r="G26731" t="s">
        <v>4223</v>
      </c>
      <c r="H26731" s="21">
        <v>613.16999999999996</v>
      </c>
    </row>
    <row r="26732" spans="1:8" customFormat="1" x14ac:dyDescent="0.25">
      <c r="A26732" t="str">
        <f>"3726508"</f>
        <v>3726508</v>
      </c>
      <c r="B26732" t="s">
        <v>10781</v>
      </c>
      <c r="C26732" t="s">
        <v>209</v>
      </c>
      <c r="D26732" s="21" t="s">
        <v>34</v>
      </c>
      <c r="E26732" s="21" t="s">
        <v>254</v>
      </c>
      <c r="F26732">
        <v>4370011</v>
      </c>
      <c r="G26732" t="s">
        <v>3672</v>
      </c>
      <c r="H26732" s="21">
        <v>613.16999999999996</v>
      </c>
    </row>
    <row r="26733" spans="1:8" customFormat="1" x14ac:dyDescent="0.25">
      <c r="A26733" t="str">
        <f>"616282"</f>
        <v>616282</v>
      </c>
      <c r="B26733" t="s">
        <v>19226</v>
      </c>
      <c r="C26733" t="s">
        <v>87</v>
      </c>
      <c r="D26733" s="21" t="s">
        <v>34</v>
      </c>
      <c r="E26733" s="21" t="s">
        <v>71</v>
      </c>
      <c r="F26733">
        <v>12440058</v>
      </c>
      <c r="G26733" t="s">
        <v>394</v>
      </c>
      <c r="H26733" s="21">
        <v>613.16999999999996</v>
      </c>
    </row>
    <row r="26734" spans="1:8" customFormat="1" x14ac:dyDescent="0.25">
      <c r="A26734" t="str">
        <f>"9251442"</f>
        <v>9251442</v>
      </c>
      <c r="B26734" t="s">
        <v>19093</v>
      </c>
      <c r="C26734" t="s">
        <v>15756</v>
      </c>
      <c r="D26734" s="21" t="s">
        <v>34</v>
      </c>
      <c r="E26734" s="21" t="s">
        <v>1089</v>
      </c>
      <c r="F26734">
        <v>8920140</v>
      </c>
      <c r="G26734" t="s">
        <v>3762</v>
      </c>
      <c r="H26734" s="21">
        <v>613.16999999999996</v>
      </c>
    </row>
    <row r="26735" spans="1:8" customFormat="1" x14ac:dyDescent="0.25">
      <c r="A26735" t="str">
        <f>"9A1445"</f>
        <v>9A1445</v>
      </c>
      <c r="B26735" t="s">
        <v>3947</v>
      </c>
      <c r="C26735" t="s">
        <v>147</v>
      </c>
      <c r="D26735" s="21" t="s">
        <v>34</v>
      </c>
      <c r="E26735" s="21" t="s">
        <v>35</v>
      </c>
      <c r="F26735" t="s">
        <v>1465</v>
      </c>
      <c r="G26735" t="s">
        <v>1466</v>
      </c>
      <c r="H26735" s="21">
        <v>613.04</v>
      </c>
    </row>
    <row r="26736" spans="1:8" customFormat="1" x14ac:dyDescent="0.25">
      <c r="A26736" t="str">
        <f>"4446337"</f>
        <v>4446337</v>
      </c>
      <c r="B26736" t="s">
        <v>19991</v>
      </c>
      <c r="C26736" t="s">
        <v>60</v>
      </c>
      <c r="D26736" s="21" t="s">
        <v>34</v>
      </c>
      <c r="E26736" s="21" t="s">
        <v>35</v>
      </c>
      <c r="F26736">
        <v>12440125</v>
      </c>
      <c r="G26736" t="s">
        <v>8347</v>
      </c>
      <c r="H26736" s="21">
        <v>612.91999999999996</v>
      </c>
    </row>
    <row r="26737" spans="1:8" customFormat="1" x14ac:dyDescent="0.25">
      <c r="A26737" t="str">
        <f>"594797"</f>
        <v>594797</v>
      </c>
      <c r="B26737" t="s">
        <v>630</v>
      </c>
      <c r="C26737" t="s">
        <v>239</v>
      </c>
      <c r="D26737" s="21" t="s">
        <v>34</v>
      </c>
      <c r="E26737" s="21" t="s">
        <v>1089</v>
      </c>
      <c r="F26737">
        <v>7590363</v>
      </c>
      <c r="G26737" t="s">
        <v>5167</v>
      </c>
      <c r="H26737" s="21">
        <v>612.91999999999996</v>
      </c>
    </row>
    <row r="26738" spans="1:8" customFormat="1" x14ac:dyDescent="0.25">
      <c r="A26738" t="str">
        <f>"213025"</f>
        <v>213025</v>
      </c>
      <c r="B26738" t="s">
        <v>3212</v>
      </c>
      <c r="C26738" t="s">
        <v>269</v>
      </c>
      <c r="D26738" s="21" t="s">
        <v>34</v>
      </c>
      <c r="E26738" s="21" t="s">
        <v>71</v>
      </c>
      <c r="F26738">
        <v>2210126</v>
      </c>
      <c r="G26738" t="s">
        <v>10773</v>
      </c>
      <c r="H26738" s="21">
        <v>612.91999999999996</v>
      </c>
    </row>
    <row r="26739" spans="1:8" customFormat="1" x14ac:dyDescent="0.25">
      <c r="A26739" t="str">
        <f>"3523290"</f>
        <v>3523290</v>
      </c>
      <c r="B26739" t="s">
        <v>27934</v>
      </c>
      <c r="C26739" t="s">
        <v>33</v>
      </c>
      <c r="D26739" s="21" t="s">
        <v>34</v>
      </c>
      <c r="E26739" s="21" t="s">
        <v>35</v>
      </c>
      <c r="F26739">
        <v>3350074</v>
      </c>
      <c r="G26739" t="s">
        <v>5432</v>
      </c>
      <c r="H26739" s="21">
        <v>612.79</v>
      </c>
    </row>
    <row r="26740" spans="1:8" customFormat="1" x14ac:dyDescent="0.25">
      <c r="A26740" t="str">
        <f>"5732696"</f>
        <v>5732696</v>
      </c>
      <c r="B26740" t="s">
        <v>22034</v>
      </c>
      <c r="C26740" t="s">
        <v>934</v>
      </c>
      <c r="D26740" s="21" t="s">
        <v>34</v>
      </c>
      <c r="E26740" s="21" t="s">
        <v>35</v>
      </c>
      <c r="F26740">
        <v>6570015</v>
      </c>
      <c r="G26740" t="s">
        <v>749</v>
      </c>
      <c r="H26740" s="21">
        <v>612.66999999999996</v>
      </c>
    </row>
    <row r="26741" spans="1:8" customFormat="1" x14ac:dyDescent="0.25">
      <c r="A26741" t="str">
        <f>"2517300"</f>
        <v>2517300</v>
      </c>
      <c r="B26741" t="s">
        <v>20662</v>
      </c>
      <c r="C26741" t="s">
        <v>209</v>
      </c>
      <c r="D26741" s="21" t="s">
        <v>34</v>
      </c>
      <c r="E26741" s="21" t="s">
        <v>35</v>
      </c>
      <c r="F26741">
        <v>2250007</v>
      </c>
      <c r="G26741" t="s">
        <v>1137</v>
      </c>
      <c r="H26741" s="21">
        <v>612.66999999999996</v>
      </c>
    </row>
    <row r="26742" spans="1:8" customFormat="1" x14ac:dyDescent="0.25">
      <c r="A26742" t="str">
        <f>"6019875"</f>
        <v>6019875</v>
      </c>
      <c r="B26742" t="s">
        <v>20218</v>
      </c>
      <c r="C26742" t="s">
        <v>65</v>
      </c>
      <c r="D26742" s="21" t="s">
        <v>34</v>
      </c>
      <c r="E26742" s="21" t="s">
        <v>71</v>
      </c>
      <c r="F26742">
        <v>7600024</v>
      </c>
      <c r="G26742" t="s">
        <v>1234</v>
      </c>
      <c r="H26742" s="21">
        <v>612.66999999999996</v>
      </c>
    </row>
    <row r="26743" spans="1:8" customFormat="1" x14ac:dyDescent="0.25">
      <c r="A26743" t="str">
        <f>"492928"</f>
        <v>492928</v>
      </c>
      <c r="B26743" t="s">
        <v>7974</v>
      </c>
      <c r="C26743" t="s">
        <v>156</v>
      </c>
      <c r="D26743" s="21" t="s">
        <v>34</v>
      </c>
      <c r="E26743" s="21" t="s">
        <v>254</v>
      </c>
      <c r="F26743">
        <v>12490052</v>
      </c>
      <c r="G26743" t="s">
        <v>2732</v>
      </c>
      <c r="H26743" s="21">
        <v>612.66999999999996</v>
      </c>
    </row>
    <row r="26744" spans="1:8" customFormat="1" x14ac:dyDescent="0.25">
      <c r="A26744" t="str">
        <f>"5429004"</f>
        <v>5429004</v>
      </c>
      <c r="B26744" t="s">
        <v>3175</v>
      </c>
      <c r="C26744" t="s">
        <v>4674</v>
      </c>
      <c r="D26744" s="21" t="s">
        <v>34</v>
      </c>
      <c r="E26744" s="21" t="s">
        <v>71</v>
      </c>
      <c r="F26744">
        <v>6540019</v>
      </c>
      <c r="G26744" t="s">
        <v>6413</v>
      </c>
      <c r="H26744" s="21">
        <v>612.66999999999996</v>
      </c>
    </row>
    <row r="26745" spans="1:8" customFormat="1" x14ac:dyDescent="0.25">
      <c r="A26745" t="str">
        <f>"5313878"</f>
        <v>5313878</v>
      </c>
      <c r="B26745" t="s">
        <v>556</v>
      </c>
      <c r="C26745" t="s">
        <v>3010</v>
      </c>
      <c r="D26745" s="21" t="s">
        <v>34</v>
      </c>
      <c r="E26745" s="21" t="s">
        <v>254</v>
      </c>
      <c r="F26745">
        <v>12530077</v>
      </c>
      <c r="G26745" t="s">
        <v>9191</v>
      </c>
      <c r="H26745" s="21">
        <v>612.66999999999996</v>
      </c>
    </row>
    <row r="26746" spans="1:8" customFormat="1" x14ac:dyDescent="0.25">
      <c r="A26746" t="str">
        <f>"3118849"</f>
        <v>3118849</v>
      </c>
      <c r="B26746" t="s">
        <v>11031</v>
      </c>
      <c r="C26746" t="s">
        <v>55</v>
      </c>
      <c r="D26746" s="21" t="s">
        <v>34</v>
      </c>
      <c r="E26746" s="21" t="s">
        <v>71</v>
      </c>
      <c r="F26746">
        <v>11310124</v>
      </c>
      <c r="G26746" t="s">
        <v>7977</v>
      </c>
      <c r="H26746" s="21">
        <v>612.66999999999996</v>
      </c>
    </row>
    <row r="26747" spans="1:8" customFormat="1" x14ac:dyDescent="0.25">
      <c r="A26747" t="str">
        <f>"46980"</f>
        <v>46980</v>
      </c>
      <c r="B26747" t="s">
        <v>7439</v>
      </c>
      <c r="C26747" t="s">
        <v>275</v>
      </c>
      <c r="D26747" s="21" t="s">
        <v>34</v>
      </c>
      <c r="E26747" s="21" t="s">
        <v>35</v>
      </c>
      <c r="F26747">
        <v>11460021</v>
      </c>
      <c r="G26747" t="s">
        <v>6727</v>
      </c>
      <c r="H26747" s="21">
        <v>612.66999999999996</v>
      </c>
    </row>
    <row r="26748" spans="1:8" customFormat="1" x14ac:dyDescent="0.25">
      <c r="A26748" t="str">
        <f>"168234"</f>
        <v>168234</v>
      </c>
      <c r="B26748" t="s">
        <v>18929</v>
      </c>
      <c r="C26748" t="s">
        <v>2305</v>
      </c>
      <c r="D26748" s="21" t="s">
        <v>34</v>
      </c>
      <c r="E26748" s="21" t="s">
        <v>1089</v>
      </c>
      <c r="F26748">
        <v>10160051</v>
      </c>
      <c r="G26748" t="s">
        <v>7167</v>
      </c>
      <c r="H26748" s="21">
        <v>612.66999999999996</v>
      </c>
    </row>
    <row r="26749" spans="1:8" customFormat="1" x14ac:dyDescent="0.25">
      <c r="A26749" t="str">
        <f>"37200"</f>
        <v>37200</v>
      </c>
      <c r="B26749" t="s">
        <v>6957</v>
      </c>
      <c r="C26749" t="s">
        <v>547</v>
      </c>
      <c r="D26749" s="21" t="s">
        <v>34</v>
      </c>
      <c r="E26749" s="21" t="s">
        <v>1089</v>
      </c>
      <c r="F26749">
        <v>4370004</v>
      </c>
      <c r="G26749" t="s">
        <v>6049</v>
      </c>
      <c r="H26749" s="21">
        <v>612.66999999999996</v>
      </c>
    </row>
    <row r="26750" spans="1:8" customFormat="1" x14ac:dyDescent="0.25">
      <c r="A26750" t="str">
        <f>"703613"</f>
        <v>703613</v>
      </c>
      <c r="B26750" t="s">
        <v>20795</v>
      </c>
      <c r="C26750" t="s">
        <v>336</v>
      </c>
      <c r="D26750" s="21" t="s">
        <v>34</v>
      </c>
      <c r="E26750" s="21" t="s">
        <v>71</v>
      </c>
      <c r="F26750">
        <v>2700014</v>
      </c>
      <c r="G26750" t="s">
        <v>7714</v>
      </c>
      <c r="H26750" s="21">
        <v>612.66999999999996</v>
      </c>
    </row>
    <row r="26751" spans="1:8" customFormat="1" x14ac:dyDescent="0.25">
      <c r="A26751" t="str">
        <f>"2921994"</f>
        <v>2921994</v>
      </c>
      <c r="B26751" t="s">
        <v>67</v>
      </c>
      <c r="C26751" t="s">
        <v>169</v>
      </c>
      <c r="D26751" s="21" t="s">
        <v>34</v>
      </c>
      <c r="E26751" s="21" t="s">
        <v>35</v>
      </c>
      <c r="F26751">
        <v>3290207</v>
      </c>
      <c r="G26751" t="s">
        <v>8805</v>
      </c>
      <c r="H26751" s="21">
        <v>612.66999999999996</v>
      </c>
    </row>
    <row r="26752" spans="1:8" customFormat="1" x14ac:dyDescent="0.25">
      <c r="A26752" t="str">
        <f>"081"</f>
        <v>081</v>
      </c>
      <c r="B26752" t="s">
        <v>19470</v>
      </c>
      <c r="C26752" t="s">
        <v>598</v>
      </c>
      <c r="D26752" s="21" t="s">
        <v>34</v>
      </c>
      <c r="E26752" s="21" t="s">
        <v>1089</v>
      </c>
      <c r="F26752">
        <v>6080035</v>
      </c>
      <c r="G26752" t="s">
        <v>583</v>
      </c>
      <c r="H26752" s="21">
        <v>612.66999999999996</v>
      </c>
    </row>
    <row r="26753" spans="1:8" customFormat="1" x14ac:dyDescent="0.25">
      <c r="A26753" t="str">
        <f>"4935349"</f>
        <v>4935349</v>
      </c>
      <c r="B26753" t="s">
        <v>18671</v>
      </c>
      <c r="C26753" t="s">
        <v>2479</v>
      </c>
      <c r="D26753" s="21" t="s">
        <v>34</v>
      </c>
      <c r="E26753" s="21" t="s">
        <v>254</v>
      </c>
      <c r="F26753">
        <v>12490052</v>
      </c>
      <c r="G26753" t="s">
        <v>2732</v>
      </c>
      <c r="H26753" s="21">
        <v>612.66999999999996</v>
      </c>
    </row>
    <row r="26754" spans="1:8" customFormat="1" x14ac:dyDescent="0.25">
      <c r="A26754" t="str">
        <f>"3725039"</f>
        <v>3725039</v>
      </c>
      <c r="B26754" t="s">
        <v>5597</v>
      </c>
      <c r="C26754" t="s">
        <v>455</v>
      </c>
      <c r="D26754" s="21" t="s">
        <v>34</v>
      </c>
      <c r="E26754" s="21" t="s">
        <v>71</v>
      </c>
      <c r="F26754">
        <v>4370669</v>
      </c>
      <c r="G26754" t="s">
        <v>8189</v>
      </c>
      <c r="H26754" s="21">
        <v>612.66999999999996</v>
      </c>
    </row>
    <row r="26755" spans="1:8" customFormat="1" x14ac:dyDescent="0.25">
      <c r="A26755" t="str">
        <f>"749043"</f>
        <v>749043</v>
      </c>
      <c r="B26755" t="s">
        <v>3465</v>
      </c>
      <c r="C26755" t="s">
        <v>1605</v>
      </c>
      <c r="D26755" s="21" t="s">
        <v>34</v>
      </c>
      <c r="E26755" s="21" t="s">
        <v>254</v>
      </c>
      <c r="F26755">
        <v>1740047</v>
      </c>
      <c r="G26755" t="s">
        <v>4512</v>
      </c>
      <c r="H26755" s="21">
        <v>612.66999999999996</v>
      </c>
    </row>
    <row r="26756" spans="1:8" customFormat="1" x14ac:dyDescent="0.25">
      <c r="A26756" t="str">
        <f>"6943457"</f>
        <v>6943457</v>
      </c>
      <c r="B26756" t="s">
        <v>19471</v>
      </c>
      <c r="C26756" t="s">
        <v>275</v>
      </c>
      <c r="D26756" s="21" t="s">
        <v>34</v>
      </c>
      <c r="E26756" s="21" t="s">
        <v>35</v>
      </c>
      <c r="F26756">
        <v>1690167</v>
      </c>
      <c r="G26756" t="s">
        <v>11267</v>
      </c>
      <c r="H26756" s="21">
        <v>612.66999999999996</v>
      </c>
    </row>
    <row r="26757" spans="1:8" customFormat="1" x14ac:dyDescent="0.25">
      <c r="A26757" t="str">
        <f>"2610972"</f>
        <v>2610972</v>
      </c>
      <c r="B26757" t="s">
        <v>882</v>
      </c>
      <c r="C26757" t="s">
        <v>253</v>
      </c>
      <c r="D26757" s="21" t="s">
        <v>34</v>
      </c>
      <c r="E26757" s="21" t="s">
        <v>1089</v>
      </c>
      <c r="F26757">
        <v>1260062</v>
      </c>
      <c r="G26757" t="s">
        <v>6156</v>
      </c>
      <c r="H26757" s="21">
        <v>612.66999999999996</v>
      </c>
    </row>
    <row r="26758" spans="1:8" customFormat="1" x14ac:dyDescent="0.25">
      <c r="A26758" t="str">
        <f>"50252"</f>
        <v>50252</v>
      </c>
      <c r="B26758" t="s">
        <v>19309</v>
      </c>
      <c r="C26758" t="s">
        <v>209</v>
      </c>
      <c r="D26758" s="21" t="s">
        <v>34</v>
      </c>
      <c r="E26758" s="21" t="s">
        <v>254</v>
      </c>
      <c r="F26758">
        <v>9500011</v>
      </c>
      <c r="G26758" t="s">
        <v>4903</v>
      </c>
      <c r="H26758" s="21">
        <v>612.66999999999996</v>
      </c>
    </row>
    <row r="26759" spans="1:8" customFormat="1" x14ac:dyDescent="0.25">
      <c r="A26759" t="str">
        <f>"1716307"</f>
        <v>1716307</v>
      </c>
      <c r="B26759" t="s">
        <v>7212</v>
      </c>
      <c r="C26759" t="s">
        <v>65</v>
      </c>
      <c r="D26759" s="21" t="s">
        <v>34</v>
      </c>
      <c r="E26759" s="21" t="s">
        <v>35</v>
      </c>
      <c r="F26759">
        <v>10170012</v>
      </c>
      <c r="G26759" t="s">
        <v>14768</v>
      </c>
      <c r="H26759" s="21">
        <v>612.66999999999996</v>
      </c>
    </row>
    <row r="26760" spans="1:8" customFormat="1" x14ac:dyDescent="0.25">
      <c r="A26760" t="str">
        <f>"5917933"</f>
        <v>5917933</v>
      </c>
      <c r="B26760" t="s">
        <v>18490</v>
      </c>
      <c r="C26760" t="s">
        <v>204</v>
      </c>
      <c r="D26760" s="21" t="s">
        <v>34</v>
      </c>
      <c r="E26760" s="21" t="s">
        <v>71</v>
      </c>
      <c r="F26760">
        <v>7590345</v>
      </c>
      <c r="G26760" t="s">
        <v>3297</v>
      </c>
      <c r="H26760" s="21">
        <v>612.66999999999996</v>
      </c>
    </row>
    <row r="26761" spans="1:8" customFormat="1" x14ac:dyDescent="0.25">
      <c r="A26761" t="str">
        <f>"737807"</f>
        <v>737807</v>
      </c>
      <c r="B26761" t="s">
        <v>19845</v>
      </c>
      <c r="C26761" t="s">
        <v>19846</v>
      </c>
      <c r="D26761" s="21" t="s">
        <v>34</v>
      </c>
      <c r="E26761" s="21" t="s">
        <v>35</v>
      </c>
      <c r="F26761">
        <v>1730007</v>
      </c>
      <c r="G26761" t="s">
        <v>6989</v>
      </c>
      <c r="H26761" s="21">
        <v>612.66999999999996</v>
      </c>
    </row>
    <row r="26762" spans="1:8" customFormat="1" x14ac:dyDescent="0.25">
      <c r="A26762" t="str">
        <f>"5712703"</f>
        <v>5712703</v>
      </c>
      <c r="B26762" t="s">
        <v>27935</v>
      </c>
      <c r="C26762" t="s">
        <v>462</v>
      </c>
      <c r="D26762" s="21" t="s">
        <v>34</v>
      </c>
      <c r="E26762" s="21" t="s">
        <v>35</v>
      </c>
      <c r="F26762">
        <v>1380293</v>
      </c>
      <c r="G26762" t="s">
        <v>2103</v>
      </c>
      <c r="H26762" s="21">
        <v>612.66999999999996</v>
      </c>
    </row>
    <row r="26763" spans="1:8" customFormat="1" x14ac:dyDescent="0.25">
      <c r="A26763" t="str">
        <f>"7830639"</f>
        <v>7830639</v>
      </c>
      <c r="B26763" t="s">
        <v>19126</v>
      </c>
      <c r="C26763" t="s">
        <v>33</v>
      </c>
      <c r="D26763" s="21" t="s">
        <v>34</v>
      </c>
      <c r="E26763" s="21" t="s">
        <v>71</v>
      </c>
      <c r="F26763">
        <v>8780485</v>
      </c>
      <c r="G26763" t="s">
        <v>1279</v>
      </c>
      <c r="H26763" s="21">
        <v>612.54</v>
      </c>
    </row>
    <row r="26764" spans="1:8" customFormat="1" x14ac:dyDescent="0.25">
      <c r="A26764" t="str">
        <f>"2937621"</f>
        <v>2937621</v>
      </c>
      <c r="B26764" t="s">
        <v>21138</v>
      </c>
      <c r="C26764" t="s">
        <v>119</v>
      </c>
      <c r="D26764" s="21" t="s">
        <v>34</v>
      </c>
      <c r="E26764" s="21" t="s">
        <v>35</v>
      </c>
      <c r="F26764">
        <v>3290285</v>
      </c>
      <c r="G26764" t="s">
        <v>2234</v>
      </c>
      <c r="H26764" s="21">
        <v>612.41999999999996</v>
      </c>
    </row>
    <row r="26765" spans="1:8" customFormat="1" x14ac:dyDescent="0.25">
      <c r="A26765" t="str">
        <f>"848493"</f>
        <v>848493</v>
      </c>
      <c r="B26765" t="s">
        <v>9291</v>
      </c>
      <c r="C26765" t="s">
        <v>547</v>
      </c>
      <c r="D26765" s="21" t="s">
        <v>34</v>
      </c>
      <c r="E26765" s="21" t="s">
        <v>35</v>
      </c>
      <c r="F26765">
        <v>13840058</v>
      </c>
      <c r="G26765" t="s">
        <v>7032</v>
      </c>
      <c r="H26765" s="21">
        <v>612.41999999999996</v>
      </c>
    </row>
    <row r="26766" spans="1:8" customFormat="1" x14ac:dyDescent="0.25">
      <c r="A26766" t="str">
        <f>"7414213"</f>
        <v>7414213</v>
      </c>
      <c r="B26766" t="s">
        <v>23007</v>
      </c>
      <c r="C26766" t="s">
        <v>87</v>
      </c>
      <c r="D26766" s="21" t="s">
        <v>34</v>
      </c>
      <c r="E26766" s="21" t="s">
        <v>35</v>
      </c>
      <c r="F26766">
        <v>1740011</v>
      </c>
      <c r="G26766" t="s">
        <v>2638</v>
      </c>
      <c r="H26766" s="21">
        <v>612.41999999999996</v>
      </c>
    </row>
    <row r="26767" spans="1:8" customFormat="1" x14ac:dyDescent="0.25">
      <c r="A26767" t="str">
        <f>"9244896"</f>
        <v>9244896</v>
      </c>
      <c r="B26767" t="s">
        <v>5418</v>
      </c>
      <c r="C26767" t="s">
        <v>211</v>
      </c>
      <c r="D26767" s="21" t="s">
        <v>34</v>
      </c>
      <c r="E26767" s="21" t="s">
        <v>35</v>
      </c>
      <c r="F26767">
        <v>8920126</v>
      </c>
      <c r="G26767" t="s">
        <v>1168</v>
      </c>
      <c r="H26767" s="21">
        <v>612.41999999999996</v>
      </c>
    </row>
    <row r="26768" spans="1:8" customFormat="1" x14ac:dyDescent="0.25">
      <c r="A26768" t="str">
        <f>"2910159"</f>
        <v>2910159</v>
      </c>
      <c r="B26768" t="s">
        <v>18236</v>
      </c>
      <c r="C26768" t="s">
        <v>1110</v>
      </c>
      <c r="D26768" s="21" t="s">
        <v>34</v>
      </c>
      <c r="E26768" s="21" t="s">
        <v>71</v>
      </c>
      <c r="F26768">
        <v>3290208</v>
      </c>
      <c r="G26768" t="s">
        <v>1553</v>
      </c>
      <c r="H26768" s="21">
        <v>612.41999999999996</v>
      </c>
    </row>
    <row r="26769" spans="1:8" customFormat="1" x14ac:dyDescent="0.25">
      <c r="A26769" t="str">
        <f>"4935543"</f>
        <v>4935543</v>
      </c>
      <c r="B26769" t="s">
        <v>21842</v>
      </c>
      <c r="C26769" t="s">
        <v>139</v>
      </c>
      <c r="D26769" s="21" t="s">
        <v>34</v>
      </c>
      <c r="E26769" s="21" t="s">
        <v>71</v>
      </c>
      <c r="F26769">
        <v>12490052</v>
      </c>
      <c r="G26769" t="s">
        <v>2732</v>
      </c>
      <c r="H26769" s="21">
        <v>612.29</v>
      </c>
    </row>
    <row r="26770" spans="1:8" customFormat="1" x14ac:dyDescent="0.25">
      <c r="A26770" t="str">
        <f>"7220336"</f>
        <v>7220336</v>
      </c>
      <c r="B26770" t="s">
        <v>19525</v>
      </c>
      <c r="C26770" t="s">
        <v>65</v>
      </c>
      <c r="D26770" s="21" t="s">
        <v>34</v>
      </c>
      <c r="E26770" s="21" t="s">
        <v>71</v>
      </c>
      <c r="F26770">
        <v>12720134</v>
      </c>
      <c r="G26770" t="s">
        <v>18891</v>
      </c>
      <c r="H26770" s="21">
        <v>612.16999999999996</v>
      </c>
    </row>
    <row r="26771" spans="1:8" customFormat="1" x14ac:dyDescent="0.25">
      <c r="A26771" t="str">
        <f>"6813489"</f>
        <v>6813489</v>
      </c>
      <c r="B26771" t="s">
        <v>4380</v>
      </c>
      <c r="C26771" t="s">
        <v>169</v>
      </c>
      <c r="D26771" s="21" t="s">
        <v>34</v>
      </c>
      <c r="E26771" s="21" t="s">
        <v>71</v>
      </c>
      <c r="F26771">
        <v>6680138</v>
      </c>
      <c r="G26771" t="s">
        <v>10497</v>
      </c>
      <c r="H26771" s="21">
        <v>612.16999999999996</v>
      </c>
    </row>
    <row r="26772" spans="1:8" customFormat="1" x14ac:dyDescent="0.25">
      <c r="A26772" t="str">
        <f>"7219440"</f>
        <v>7219440</v>
      </c>
      <c r="B26772" t="s">
        <v>431</v>
      </c>
      <c r="C26772" t="s">
        <v>40</v>
      </c>
      <c r="D26772" s="21" t="s">
        <v>34</v>
      </c>
      <c r="E26772" s="21" t="s">
        <v>71</v>
      </c>
      <c r="F26772">
        <v>12720056</v>
      </c>
      <c r="G26772" t="s">
        <v>9231</v>
      </c>
      <c r="H26772" s="21">
        <v>612.16999999999996</v>
      </c>
    </row>
    <row r="26773" spans="1:8" customFormat="1" x14ac:dyDescent="0.25">
      <c r="A26773" t="str">
        <f>"7869007"</f>
        <v>7869007</v>
      </c>
      <c r="B26773" t="s">
        <v>2903</v>
      </c>
      <c r="C26773" t="s">
        <v>1559</v>
      </c>
      <c r="D26773" s="21" t="s">
        <v>34</v>
      </c>
      <c r="E26773" s="21" t="s">
        <v>35</v>
      </c>
      <c r="F26773">
        <v>8780114</v>
      </c>
      <c r="G26773" t="s">
        <v>927</v>
      </c>
      <c r="H26773" s="21">
        <v>612.16999999999996</v>
      </c>
    </row>
    <row r="26774" spans="1:8" customFormat="1" x14ac:dyDescent="0.25">
      <c r="A26774" t="str">
        <f>"2937387"</f>
        <v>2937387</v>
      </c>
      <c r="B26774" t="s">
        <v>4499</v>
      </c>
      <c r="C26774" t="s">
        <v>246</v>
      </c>
      <c r="D26774" s="21" t="s">
        <v>34</v>
      </c>
      <c r="E26774" s="21" t="s">
        <v>254</v>
      </c>
      <c r="F26774">
        <v>3290015</v>
      </c>
      <c r="G26774" t="s">
        <v>3040</v>
      </c>
      <c r="H26774" s="21">
        <v>612.16999999999996</v>
      </c>
    </row>
    <row r="26775" spans="1:8" customFormat="1" x14ac:dyDescent="0.25">
      <c r="A26775" t="str">
        <f>"8528228"</f>
        <v>8528228</v>
      </c>
      <c r="B26775" t="s">
        <v>19229</v>
      </c>
      <c r="C26775" t="s">
        <v>1025</v>
      </c>
      <c r="D26775" s="21" t="s">
        <v>34</v>
      </c>
      <c r="E26775" s="21" t="s">
        <v>35</v>
      </c>
      <c r="F26775">
        <v>12850154</v>
      </c>
      <c r="G26775" t="s">
        <v>7078</v>
      </c>
      <c r="H26775" s="21">
        <v>612.16999999999996</v>
      </c>
    </row>
    <row r="26776" spans="1:8" customFormat="1" x14ac:dyDescent="0.25">
      <c r="A26776" t="str">
        <f>"012323"</f>
        <v>012323</v>
      </c>
      <c r="B26776" t="s">
        <v>623</v>
      </c>
      <c r="C26776" t="s">
        <v>33</v>
      </c>
      <c r="D26776" s="21" t="s">
        <v>34</v>
      </c>
      <c r="E26776" s="21" t="s">
        <v>71</v>
      </c>
      <c r="F26776">
        <v>1010020</v>
      </c>
      <c r="G26776" t="s">
        <v>6121</v>
      </c>
      <c r="H26776" s="21">
        <v>612.16999999999996</v>
      </c>
    </row>
    <row r="26777" spans="1:8" customFormat="1" x14ac:dyDescent="0.25">
      <c r="A26777" t="str">
        <f>"5936219"</f>
        <v>5936219</v>
      </c>
      <c r="B26777" t="s">
        <v>2680</v>
      </c>
      <c r="C26777" t="s">
        <v>926</v>
      </c>
      <c r="D26777" s="21" t="s">
        <v>34</v>
      </c>
      <c r="E26777" s="21" t="s">
        <v>71</v>
      </c>
      <c r="F26777">
        <v>7590122</v>
      </c>
      <c r="G26777" t="s">
        <v>5608</v>
      </c>
      <c r="H26777" s="21">
        <v>612.16999999999996</v>
      </c>
    </row>
    <row r="26778" spans="1:8" customFormat="1" x14ac:dyDescent="0.25">
      <c r="A26778" t="str">
        <f>"091709"</f>
        <v>091709</v>
      </c>
      <c r="B26778" t="s">
        <v>27936</v>
      </c>
      <c r="C26778" t="s">
        <v>1914</v>
      </c>
      <c r="D26778" s="21" t="s">
        <v>34</v>
      </c>
      <c r="E26778" s="21" t="s">
        <v>71</v>
      </c>
      <c r="F26778">
        <v>11090019</v>
      </c>
      <c r="G26778" t="s">
        <v>5591</v>
      </c>
      <c r="H26778" s="21">
        <v>612.16999999999996</v>
      </c>
    </row>
    <row r="26779" spans="1:8" customFormat="1" x14ac:dyDescent="0.25">
      <c r="A26779" t="str">
        <f>"6920266"</f>
        <v>6920266</v>
      </c>
      <c r="B26779" t="s">
        <v>19163</v>
      </c>
      <c r="C26779" t="s">
        <v>2520</v>
      </c>
      <c r="D26779" s="21" t="s">
        <v>34</v>
      </c>
      <c r="E26779" s="21" t="s">
        <v>71</v>
      </c>
      <c r="F26779">
        <v>1690030</v>
      </c>
      <c r="G26779" t="s">
        <v>432</v>
      </c>
      <c r="H26779" s="21">
        <v>612.16999999999996</v>
      </c>
    </row>
    <row r="26780" spans="1:8" customFormat="1" x14ac:dyDescent="0.25">
      <c r="A26780" t="str">
        <f>"5322477"</f>
        <v>5322477</v>
      </c>
      <c r="B26780" t="s">
        <v>19297</v>
      </c>
      <c r="C26780" t="s">
        <v>236</v>
      </c>
      <c r="D26780" s="21" t="s">
        <v>34</v>
      </c>
      <c r="E26780" s="21" t="s">
        <v>35</v>
      </c>
      <c r="F26780">
        <v>12530093</v>
      </c>
      <c r="G26780" t="s">
        <v>7865</v>
      </c>
      <c r="H26780" s="21">
        <v>612.16999999999996</v>
      </c>
    </row>
    <row r="26781" spans="1:8" customFormat="1" x14ac:dyDescent="0.25">
      <c r="A26781" t="str">
        <f>"367341"</f>
        <v>367341</v>
      </c>
      <c r="B26781" t="s">
        <v>19858</v>
      </c>
      <c r="C26781" t="s">
        <v>288</v>
      </c>
      <c r="D26781" s="21" t="s">
        <v>34</v>
      </c>
      <c r="E26781" s="21" t="s">
        <v>35</v>
      </c>
      <c r="F26781">
        <v>4360721</v>
      </c>
      <c r="G26781" t="s">
        <v>11172</v>
      </c>
      <c r="H26781" s="21">
        <v>612.16999999999996</v>
      </c>
    </row>
    <row r="26782" spans="1:8" customFormat="1" x14ac:dyDescent="0.25">
      <c r="A26782" t="str">
        <f>"491160"</f>
        <v>491160</v>
      </c>
      <c r="B26782" t="s">
        <v>13694</v>
      </c>
      <c r="C26782" t="s">
        <v>879</v>
      </c>
      <c r="D26782" s="21" t="s">
        <v>34</v>
      </c>
      <c r="E26782" s="21" t="s">
        <v>254</v>
      </c>
      <c r="F26782">
        <v>12490052</v>
      </c>
      <c r="G26782" t="s">
        <v>2732</v>
      </c>
      <c r="H26782" s="21">
        <v>612.16999999999996</v>
      </c>
    </row>
    <row r="26783" spans="1:8" customFormat="1" x14ac:dyDescent="0.25">
      <c r="A26783" t="str">
        <f>"4514359"</f>
        <v>4514359</v>
      </c>
      <c r="B26783" t="s">
        <v>4783</v>
      </c>
      <c r="C26783" t="s">
        <v>20776</v>
      </c>
      <c r="D26783" s="21" t="s">
        <v>34</v>
      </c>
      <c r="E26783" s="21" t="s">
        <v>71</v>
      </c>
      <c r="F26783">
        <v>4450661</v>
      </c>
      <c r="G26783" t="s">
        <v>12253</v>
      </c>
      <c r="H26783" s="21">
        <v>612.16999999999996</v>
      </c>
    </row>
    <row r="26784" spans="1:8" customFormat="1" x14ac:dyDescent="0.25">
      <c r="A26784" t="str">
        <f>"878934"</f>
        <v>878934</v>
      </c>
      <c r="B26784" t="s">
        <v>1048</v>
      </c>
      <c r="C26784" t="s">
        <v>428</v>
      </c>
      <c r="D26784" s="21" t="s">
        <v>34</v>
      </c>
      <c r="E26784" s="21" t="s">
        <v>35</v>
      </c>
      <c r="F26784">
        <v>10870028</v>
      </c>
      <c r="G26784" t="s">
        <v>2689</v>
      </c>
      <c r="H26784" s="21">
        <v>612.16999999999996</v>
      </c>
    </row>
    <row r="26785" spans="1:8" customFormat="1" x14ac:dyDescent="0.25">
      <c r="A26785" t="str">
        <f>"1423807"</f>
        <v>1423807</v>
      </c>
      <c r="B26785" t="s">
        <v>6210</v>
      </c>
      <c r="C26785" t="s">
        <v>124</v>
      </c>
      <c r="D26785" s="21" t="s">
        <v>34</v>
      </c>
      <c r="E26785" s="21" t="s">
        <v>35</v>
      </c>
      <c r="F26785">
        <v>9140235</v>
      </c>
      <c r="G26785" t="s">
        <v>165</v>
      </c>
      <c r="H26785" s="21">
        <v>612.16999999999996</v>
      </c>
    </row>
    <row r="26786" spans="1:8" customFormat="1" x14ac:dyDescent="0.25">
      <c r="A26786" t="str">
        <f>"6947680"</f>
        <v>6947680</v>
      </c>
      <c r="B26786" t="s">
        <v>2854</v>
      </c>
      <c r="C26786" t="s">
        <v>288</v>
      </c>
      <c r="D26786" s="21" t="s">
        <v>34</v>
      </c>
      <c r="E26786" s="21" t="s">
        <v>35</v>
      </c>
      <c r="F26786">
        <v>1690001</v>
      </c>
      <c r="G26786" t="s">
        <v>3275</v>
      </c>
      <c r="H26786" s="21">
        <v>612.16999999999996</v>
      </c>
    </row>
    <row r="26787" spans="1:8" customFormat="1" x14ac:dyDescent="0.25">
      <c r="A26787" t="str">
        <f>"199273"</f>
        <v>199273</v>
      </c>
      <c r="B26787" t="s">
        <v>16801</v>
      </c>
      <c r="C26787" t="s">
        <v>719</v>
      </c>
      <c r="D26787" s="21" t="s">
        <v>34</v>
      </c>
      <c r="E26787" s="21" t="s">
        <v>35</v>
      </c>
      <c r="F26787">
        <v>10190129</v>
      </c>
      <c r="G26787" t="s">
        <v>16206</v>
      </c>
      <c r="H26787" s="21">
        <v>612.16999999999996</v>
      </c>
    </row>
    <row r="26788" spans="1:8" customFormat="1" x14ac:dyDescent="0.25">
      <c r="A26788" t="str">
        <f>"1420125"</f>
        <v>1420125</v>
      </c>
      <c r="B26788" t="s">
        <v>18614</v>
      </c>
      <c r="C26788" t="s">
        <v>263</v>
      </c>
      <c r="D26788" s="21" t="s">
        <v>34</v>
      </c>
      <c r="E26788" s="21" t="s">
        <v>35</v>
      </c>
      <c r="F26788">
        <v>9140071</v>
      </c>
      <c r="G26788" t="s">
        <v>1775</v>
      </c>
      <c r="H26788" s="21">
        <v>612.16999999999996</v>
      </c>
    </row>
    <row r="26789" spans="1:8" customFormat="1" x14ac:dyDescent="0.25">
      <c r="A26789" t="str">
        <f>"6944002"</f>
        <v>6944002</v>
      </c>
      <c r="B26789" t="s">
        <v>14785</v>
      </c>
      <c r="C26789" t="s">
        <v>156</v>
      </c>
      <c r="D26789" s="21" t="s">
        <v>34</v>
      </c>
      <c r="E26789" s="21" t="s">
        <v>71</v>
      </c>
      <c r="F26789">
        <v>1690162</v>
      </c>
      <c r="G26789" t="s">
        <v>7358</v>
      </c>
      <c r="H26789" s="21">
        <v>612.16999999999996</v>
      </c>
    </row>
    <row r="26790" spans="1:8" customFormat="1" x14ac:dyDescent="0.25">
      <c r="A26790" t="str">
        <f>"4113339"</f>
        <v>4113339</v>
      </c>
      <c r="B26790" t="s">
        <v>16611</v>
      </c>
      <c r="C26790" t="s">
        <v>119</v>
      </c>
      <c r="D26790" s="21" t="s">
        <v>34</v>
      </c>
      <c r="E26790" s="21" t="s">
        <v>71</v>
      </c>
      <c r="F26790">
        <v>4410418</v>
      </c>
      <c r="G26790" t="s">
        <v>14427</v>
      </c>
      <c r="H26790" s="21">
        <v>612.16999999999996</v>
      </c>
    </row>
    <row r="26791" spans="1:8" customFormat="1" x14ac:dyDescent="0.25">
      <c r="A26791" t="str">
        <f>"6231632"</f>
        <v>6231632</v>
      </c>
      <c r="B26791" t="s">
        <v>9994</v>
      </c>
      <c r="C26791" t="s">
        <v>60</v>
      </c>
      <c r="D26791" s="21" t="s">
        <v>34</v>
      </c>
      <c r="E26791" s="21" t="s">
        <v>71</v>
      </c>
      <c r="F26791">
        <v>7620112</v>
      </c>
      <c r="G26791" t="s">
        <v>5663</v>
      </c>
      <c r="H26791" s="21">
        <v>612.16999999999996</v>
      </c>
    </row>
    <row r="26792" spans="1:8" customFormat="1" x14ac:dyDescent="0.25">
      <c r="A26792" t="str">
        <f>"5935722"</f>
        <v>5935722</v>
      </c>
      <c r="B26792" t="s">
        <v>20102</v>
      </c>
      <c r="C26792" t="s">
        <v>3010</v>
      </c>
      <c r="D26792" s="21" t="s">
        <v>34</v>
      </c>
      <c r="E26792" s="21" t="s">
        <v>254</v>
      </c>
      <c r="F26792">
        <v>7590351</v>
      </c>
      <c r="G26792" t="s">
        <v>8495</v>
      </c>
      <c r="H26792" s="21">
        <v>612.16999999999996</v>
      </c>
    </row>
    <row r="26793" spans="1:8" customFormat="1" x14ac:dyDescent="0.25">
      <c r="A26793" t="str">
        <f>"5610832"</f>
        <v>5610832</v>
      </c>
      <c r="B26793" t="s">
        <v>8926</v>
      </c>
      <c r="C26793" t="s">
        <v>388</v>
      </c>
      <c r="D26793" s="21" t="s">
        <v>34</v>
      </c>
      <c r="E26793" s="21" t="s">
        <v>254</v>
      </c>
      <c r="F26793">
        <v>3560037</v>
      </c>
      <c r="G26793" t="s">
        <v>10491</v>
      </c>
      <c r="H26793" s="21">
        <v>612.16999999999996</v>
      </c>
    </row>
    <row r="26794" spans="1:8" customFormat="1" x14ac:dyDescent="0.25">
      <c r="A26794" t="str">
        <f>"7916000"</f>
        <v>7916000</v>
      </c>
      <c r="B26794" t="s">
        <v>18849</v>
      </c>
      <c r="C26794" t="s">
        <v>33</v>
      </c>
      <c r="D26794" s="21" t="s">
        <v>34</v>
      </c>
      <c r="E26794" s="21" t="s">
        <v>35</v>
      </c>
      <c r="F26794">
        <v>10790058</v>
      </c>
      <c r="G26794" t="s">
        <v>6512</v>
      </c>
      <c r="H26794" s="21">
        <v>612.16999999999996</v>
      </c>
    </row>
    <row r="26795" spans="1:8" customFormat="1" x14ac:dyDescent="0.25">
      <c r="A26795" t="str">
        <f>"5919917"</f>
        <v>5919917</v>
      </c>
      <c r="B26795" t="s">
        <v>18950</v>
      </c>
      <c r="C26795" t="s">
        <v>114</v>
      </c>
      <c r="D26795" s="21" t="s">
        <v>34</v>
      </c>
      <c r="E26795" s="21" t="s">
        <v>254</v>
      </c>
      <c r="F26795">
        <v>7590113</v>
      </c>
      <c r="G26795" t="s">
        <v>7808</v>
      </c>
      <c r="H26795" s="21">
        <v>612.16999999999996</v>
      </c>
    </row>
    <row r="26796" spans="1:8" customFormat="1" x14ac:dyDescent="0.25">
      <c r="A26796" t="str">
        <f>"6938463"</f>
        <v>6938463</v>
      </c>
      <c r="B26796" t="s">
        <v>20852</v>
      </c>
      <c r="C26796" t="s">
        <v>114</v>
      </c>
      <c r="D26796" s="21" t="s">
        <v>34</v>
      </c>
      <c r="E26796" s="21" t="s">
        <v>71</v>
      </c>
      <c r="F26796">
        <v>1690112</v>
      </c>
      <c r="G26796" t="s">
        <v>4084</v>
      </c>
      <c r="H26796" s="21">
        <v>612.16999999999996</v>
      </c>
    </row>
    <row r="26797" spans="1:8" customFormat="1" x14ac:dyDescent="0.25">
      <c r="A26797" t="str">
        <f>"8511105"</f>
        <v>8511105</v>
      </c>
      <c r="B26797" t="s">
        <v>427</v>
      </c>
      <c r="C26797" t="s">
        <v>486</v>
      </c>
      <c r="D26797" s="21" t="s">
        <v>34</v>
      </c>
      <c r="E26797" s="21" t="s">
        <v>35</v>
      </c>
      <c r="F26797">
        <v>12850093</v>
      </c>
      <c r="G26797" t="s">
        <v>3371</v>
      </c>
      <c r="H26797" s="21">
        <v>612.04</v>
      </c>
    </row>
    <row r="26798" spans="1:8" customFormat="1" x14ac:dyDescent="0.25">
      <c r="A26798" t="str">
        <f>"153919"</f>
        <v>153919</v>
      </c>
      <c r="B26798" t="s">
        <v>4825</v>
      </c>
      <c r="C26798" t="s">
        <v>263</v>
      </c>
      <c r="D26798" s="21" t="s">
        <v>34</v>
      </c>
      <c r="E26798" s="21" t="s">
        <v>71</v>
      </c>
      <c r="F26798">
        <v>1150306</v>
      </c>
      <c r="G26798" t="s">
        <v>14324</v>
      </c>
      <c r="H26798" s="21">
        <v>612.04</v>
      </c>
    </row>
    <row r="26799" spans="1:8" customFormat="1" x14ac:dyDescent="0.25">
      <c r="A26799" t="str">
        <f>"2718836"</f>
        <v>2718836</v>
      </c>
      <c r="B26799" t="s">
        <v>20578</v>
      </c>
      <c r="C26799" t="s">
        <v>139</v>
      </c>
      <c r="D26799" s="21" t="s">
        <v>34</v>
      </c>
      <c r="E26799" s="21" t="s">
        <v>35</v>
      </c>
      <c r="F26799">
        <v>9270030</v>
      </c>
      <c r="G26799" t="s">
        <v>5853</v>
      </c>
      <c r="H26799" s="21">
        <v>611.91999999999996</v>
      </c>
    </row>
    <row r="26800" spans="1:8" customFormat="1" x14ac:dyDescent="0.25">
      <c r="A26800" t="str">
        <f>"6226269"</f>
        <v>6226269</v>
      </c>
      <c r="B26800" t="s">
        <v>1264</v>
      </c>
      <c r="C26800" t="s">
        <v>65</v>
      </c>
      <c r="D26800" s="21" t="s">
        <v>34</v>
      </c>
      <c r="E26800" s="21" t="s">
        <v>35</v>
      </c>
      <c r="F26800">
        <v>7620061</v>
      </c>
      <c r="G26800" t="s">
        <v>4448</v>
      </c>
      <c r="H26800" s="21">
        <v>611.91999999999996</v>
      </c>
    </row>
    <row r="26801" spans="1:8" customFormat="1" x14ac:dyDescent="0.25">
      <c r="A26801" t="str">
        <f>"5325291"</f>
        <v>5325291</v>
      </c>
      <c r="B26801" t="s">
        <v>20369</v>
      </c>
      <c r="C26801" t="s">
        <v>151</v>
      </c>
      <c r="D26801" s="21" t="s">
        <v>34</v>
      </c>
      <c r="E26801" s="21" t="s">
        <v>71</v>
      </c>
      <c r="F26801">
        <v>12530018</v>
      </c>
      <c r="G26801" t="s">
        <v>8768</v>
      </c>
      <c r="H26801" s="21">
        <v>611.91999999999996</v>
      </c>
    </row>
    <row r="26802" spans="1:8" customFormat="1" x14ac:dyDescent="0.25">
      <c r="A26802" t="str">
        <f>"788886"</f>
        <v>788886</v>
      </c>
      <c r="B26802" t="s">
        <v>19030</v>
      </c>
      <c r="C26802" t="s">
        <v>1714</v>
      </c>
      <c r="D26802" s="21" t="s">
        <v>34</v>
      </c>
      <c r="E26802" s="21" t="s">
        <v>254</v>
      </c>
      <c r="F26802">
        <v>8781266</v>
      </c>
      <c r="G26802" t="s">
        <v>26704</v>
      </c>
      <c r="H26802" s="21">
        <v>611.79</v>
      </c>
    </row>
    <row r="26803" spans="1:8" customFormat="1" x14ac:dyDescent="0.25">
      <c r="A26803" t="str">
        <f>"8514177"</f>
        <v>8514177</v>
      </c>
      <c r="B26803" t="s">
        <v>2981</v>
      </c>
      <c r="C26803" t="s">
        <v>253</v>
      </c>
      <c r="D26803" s="21" t="s">
        <v>34</v>
      </c>
      <c r="E26803" s="21" t="s">
        <v>71</v>
      </c>
      <c r="F26803">
        <v>12850057</v>
      </c>
      <c r="G26803" t="s">
        <v>1291</v>
      </c>
      <c r="H26803" s="21">
        <v>611.66999999999996</v>
      </c>
    </row>
    <row r="26804" spans="1:8" customFormat="1" x14ac:dyDescent="0.25">
      <c r="A26804" t="str">
        <f>"377962"</f>
        <v>377962</v>
      </c>
      <c r="B26804" t="s">
        <v>11351</v>
      </c>
      <c r="C26804" t="s">
        <v>33</v>
      </c>
      <c r="D26804" s="21" t="s">
        <v>34</v>
      </c>
      <c r="E26804" s="21" t="s">
        <v>35</v>
      </c>
      <c r="F26804">
        <v>4370346</v>
      </c>
      <c r="G26804" t="s">
        <v>8269</v>
      </c>
      <c r="H26804" s="21">
        <v>611.66999999999996</v>
      </c>
    </row>
    <row r="26805" spans="1:8" customFormat="1" x14ac:dyDescent="0.25">
      <c r="A26805" t="str">
        <f>"1711274"</f>
        <v>1711274</v>
      </c>
      <c r="B26805" t="s">
        <v>2854</v>
      </c>
      <c r="C26805" t="s">
        <v>1489</v>
      </c>
      <c r="D26805" s="21" t="s">
        <v>34</v>
      </c>
      <c r="E26805" s="21" t="s">
        <v>254</v>
      </c>
      <c r="F26805">
        <v>10170049</v>
      </c>
      <c r="G26805" t="s">
        <v>15023</v>
      </c>
      <c r="H26805" s="21">
        <v>611.66999999999996</v>
      </c>
    </row>
    <row r="26806" spans="1:8" customFormat="1" x14ac:dyDescent="0.25">
      <c r="A26806" t="str">
        <f>"2929004"</f>
        <v>2929004</v>
      </c>
      <c r="B26806" t="s">
        <v>19547</v>
      </c>
      <c r="C26806" t="s">
        <v>288</v>
      </c>
      <c r="D26806" s="21" t="s">
        <v>34</v>
      </c>
      <c r="E26806" s="21" t="s">
        <v>71</v>
      </c>
      <c r="F26806">
        <v>3290226</v>
      </c>
      <c r="G26806" t="s">
        <v>4637</v>
      </c>
      <c r="H26806" s="21">
        <v>611.66999999999996</v>
      </c>
    </row>
    <row r="26807" spans="1:8" customFormat="1" x14ac:dyDescent="0.25">
      <c r="A26807" t="str">
        <f>"5616601"</f>
        <v>5616601</v>
      </c>
      <c r="B26807" t="s">
        <v>16592</v>
      </c>
      <c r="C26807" t="s">
        <v>55</v>
      </c>
      <c r="D26807" s="21" t="s">
        <v>34</v>
      </c>
      <c r="E26807" s="21" t="s">
        <v>35</v>
      </c>
      <c r="F26807">
        <v>3560014</v>
      </c>
      <c r="G26807" t="s">
        <v>8206</v>
      </c>
      <c r="H26807" s="21">
        <v>611.66999999999996</v>
      </c>
    </row>
    <row r="26808" spans="1:8" customFormat="1" x14ac:dyDescent="0.25">
      <c r="A26808" t="str">
        <f>"8526614"</f>
        <v>8526614</v>
      </c>
      <c r="B26808" t="s">
        <v>5077</v>
      </c>
      <c r="C26808" t="s">
        <v>1803</v>
      </c>
      <c r="D26808" s="21" t="s">
        <v>34</v>
      </c>
      <c r="E26808" s="21" t="s">
        <v>35</v>
      </c>
      <c r="F26808">
        <v>12850057</v>
      </c>
      <c r="G26808" t="s">
        <v>1291</v>
      </c>
      <c r="H26808" s="21">
        <v>611.66999999999996</v>
      </c>
    </row>
    <row r="26809" spans="1:8" customFormat="1" x14ac:dyDescent="0.25">
      <c r="A26809" t="str">
        <f>"3535119"</f>
        <v>3535119</v>
      </c>
      <c r="B26809" t="s">
        <v>27937</v>
      </c>
      <c r="C26809" t="s">
        <v>1025</v>
      </c>
      <c r="D26809" s="21" t="s">
        <v>34</v>
      </c>
      <c r="E26809" s="21" t="s">
        <v>35</v>
      </c>
      <c r="F26809">
        <v>3350223</v>
      </c>
      <c r="G26809" t="s">
        <v>17373</v>
      </c>
      <c r="H26809" s="21">
        <v>611.66999999999996</v>
      </c>
    </row>
    <row r="26810" spans="1:8" customFormat="1" x14ac:dyDescent="0.25">
      <c r="A26810" t="str">
        <f>"7712070"</f>
        <v>7712070</v>
      </c>
      <c r="B26810" t="s">
        <v>16582</v>
      </c>
      <c r="C26810" t="s">
        <v>236</v>
      </c>
      <c r="D26810" s="21" t="s">
        <v>34</v>
      </c>
      <c r="E26810" s="21" t="s">
        <v>254</v>
      </c>
      <c r="F26810">
        <v>8770426</v>
      </c>
      <c r="G26810" t="s">
        <v>1847</v>
      </c>
      <c r="H26810" s="21">
        <v>611.66999999999996</v>
      </c>
    </row>
    <row r="26811" spans="1:8" customFormat="1" x14ac:dyDescent="0.25">
      <c r="A26811" t="str">
        <f>"5325530"</f>
        <v>5325530</v>
      </c>
      <c r="B26811" t="s">
        <v>760</v>
      </c>
      <c r="C26811" t="s">
        <v>412</v>
      </c>
      <c r="D26811" s="21" t="s">
        <v>34</v>
      </c>
      <c r="E26811" s="21" t="s">
        <v>71</v>
      </c>
      <c r="F26811">
        <v>12538900</v>
      </c>
      <c r="G26811" t="s">
        <v>14904</v>
      </c>
      <c r="H26811" s="21">
        <v>611.66999999999996</v>
      </c>
    </row>
    <row r="26812" spans="1:8" customFormat="1" x14ac:dyDescent="0.25">
      <c r="A26812" t="str">
        <f>"861533"</f>
        <v>861533</v>
      </c>
      <c r="B26812" t="s">
        <v>22973</v>
      </c>
      <c r="C26812" t="s">
        <v>267</v>
      </c>
      <c r="D26812" s="21" t="s">
        <v>34</v>
      </c>
      <c r="E26812" s="21" t="s">
        <v>1089</v>
      </c>
      <c r="F26812">
        <v>10860230</v>
      </c>
      <c r="G26812" t="s">
        <v>27938</v>
      </c>
      <c r="H26812" s="21">
        <v>611.66999999999996</v>
      </c>
    </row>
    <row r="26813" spans="1:8" customFormat="1" x14ac:dyDescent="0.25">
      <c r="A26813" t="str">
        <f>"7110107"</f>
        <v>7110107</v>
      </c>
      <c r="B26813" t="s">
        <v>4063</v>
      </c>
      <c r="C26813" t="s">
        <v>263</v>
      </c>
      <c r="D26813" s="21" t="s">
        <v>34</v>
      </c>
      <c r="E26813" s="21" t="s">
        <v>71</v>
      </c>
      <c r="F26813">
        <v>2710051</v>
      </c>
      <c r="G26813" t="s">
        <v>4811</v>
      </c>
      <c r="H26813" s="21">
        <v>611.66999999999996</v>
      </c>
    </row>
    <row r="26814" spans="1:8" customFormat="1" x14ac:dyDescent="0.25">
      <c r="A26814" t="str">
        <f>"132722"</f>
        <v>132722</v>
      </c>
      <c r="B26814" t="s">
        <v>18721</v>
      </c>
      <c r="C26814" t="s">
        <v>598</v>
      </c>
      <c r="D26814" s="21" t="s">
        <v>34</v>
      </c>
      <c r="E26814" s="21" t="s">
        <v>1089</v>
      </c>
      <c r="F26814">
        <v>13130118</v>
      </c>
      <c r="G26814" t="s">
        <v>27466</v>
      </c>
      <c r="H26814" s="21">
        <v>611.66999999999996</v>
      </c>
    </row>
    <row r="26815" spans="1:8" customFormat="1" x14ac:dyDescent="0.25">
      <c r="A26815" t="str">
        <f>"5716423"</f>
        <v>5716423</v>
      </c>
      <c r="B26815" t="s">
        <v>27939</v>
      </c>
      <c r="C26815" t="s">
        <v>576</v>
      </c>
      <c r="D26815" s="21" t="s">
        <v>34</v>
      </c>
      <c r="E26815" s="21" t="s">
        <v>35</v>
      </c>
      <c r="F26815">
        <v>11090001</v>
      </c>
      <c r="G26815" t="s">
        <v>4829</v>
      </c>
      <c r="H26815" s="21">
        <v>611.66999999999996</v>
      </c>
    </row>
    <row r="26816" spans="1:8" customFormat="1" x14ac:dyDescent="0.25">
      <c r="A26816" t="str">
        <f>"6228724"</f>
        <v>6228724</v>
      </c>
      <c r="B26816" t="s">
        <v>3624</v>
      </c>
      <c r="C26816" t="s">
        <v>719</v>
      </c>
      <c r="D26816" s="21" t="s">
        <v>34</v>
      </c>
      <c r="E26816" s="21" t="s">
        <v>35</v>
      </c>
      <c r="F26816">
        <v>7620121</v>
      </c>
      <c r="G26816" t="s">
        <v>7146</v>
      </c>
      <c r="H26816" s="21">
        <v>611.66999999999996</v>
      </c>
    </row>
    <row r="26817" spans="1:8" customFormat="1" x14ac:dyDescent="0.25">
      <c r="A26817" t="str">
        <f>"8314264"</f>
        <v>8314264</v>
      </c>
      <c r="B26817" t="s">
        <v>20307</v>
      </c>
      <c r="C26817" t="s">
        <v>246</v>
      </c>
      <c r="D26817" s="21" t="s">
        <v>34</v>
      </c>
      <c r="E26817" s="21" t="s">
        <v>71</v>
      </c>
      <c r="F26817">
        <v>13830083</v>
      </c>
      <c r="G26817" t="s">
        <v>2159</v>
      </c>
      <c r="H26817" s="21">
        <v>611.66999999999996</v>
      </c>
    </row>
    <row r="26818" spans="1:8" customFormat="1" x14ac:dyDescent="0.25">
      <c r="A26818" t="str">
        <f>"5731692"</f>
        <v>5731692</v>
      </c>
      <c r="B26818" t="s">
        <v>19331</v>
      </c>
      <c r="C26818" t="s">
        <v>109</v>
      </c>
      <c r="D26818" s="21" t="s">
        <v>34</v>
      </c>
      <c r="E26818" s="21" t="s">
        <v>35</v>
      </c>
      <c r="F26818">
        <v>6570167</v>
      </c>
      <c r="G26818" t="s">
        <v>1174</v>
      </c>
      <c r="H26818" s="21">
        <v>611.66999999999996</v>
      </c>
    </row>
    <row r="26819" spans="1:8" customFormat="1" x14ac:dyDescent="0.25">
      <c r="A26819" t="str">
        <f>"4217003"</f>
        <v>4217003</v>
      </c>
      <c r="B26819" t="s">
        <v>18393</v>
      </c>
      <c r="C26819" t="s">
        <v>124</v>
      </c>
      <c r="D26819" s="21" t="s">
        <v>34</v>
      </c>
      <c r="E26819" s="21" t="s">
        <v>35</v>
      </c>
      <c r="F26819">
        <v>1420155</v>
      </c>
      <c r="G26819" t="s">
        <v>12788</v>
      </c>
      <c r="H26819" s="21">
        <v>611.66999999999996</v>
      </c>
    </row>
    <row r="26820" spans="1:8" customFormat="1" x14ac:dyDescent="0.25">
      <c r="A26820" t="str">
        <f>"613170"</f>
        <v>613170</v>
      </c>
      <c r="B26820" t="s">
        <v>19142</v>
      </c>
      <c r="C26820" t="s">
        <v>547</v>
      </c>
      <c r="D26820" s="21" t="s">
        <v>34</v>
      </c>
      <c r="E26820" s="21" t="s">
        <v>1089</v>
      </c>
      <c r="F26820">
        <v>9610004</v>
      </c>
      <c r="G26820" t="s">
        <v>1042</v>
      </c>
      <c r="H26820" s="21">
        <v>611.66999999999996</v>
      </c>
    </row>
    <row r="26821" spans="1:8" customFormat="1" x14ac:dyDescent="0.25">
      <c r="A26821" t="str">
        <f>"9250664"</f>
        <v>9250664</v>
      </c>
      <c r="B26821" t="s">
        <v>20960</v>
      </c>
      <c r="C26821" t="s">
        <v>1100</v>
      </c>
      <c r="D26821" s="21" t="s">
        <v>34</v>
      </c>
      <c r="E26821" s="21" t="s">
        <v>35</v>
      </c>
      <c r="F26821">
        <v>8920646</v>
      </c>
      <c r="G26821" t="s">
        <v>2864</v>
      </c>
      <c r="H26821" s="21">
        <v>611.66999999999996</v>
      </c>
    </row>
    <row r="26822" spans="1:8" customFormat="1" x14ac:dyDescent="0.25">
      <c r="A26822" t="str">
        <f>"393436"</f>
        <v>393436</v>
      </c>
      <c r="B26822" t="s">
        <v>9834</v>
      </c>
      <c r="C26822" t="s">
        <v>2529</v>
      </c>
      <c r="D26822" s="21" t="s">
        <v>34</v>
      </c>
      <c r="E26822" s="21" t="s">
        <v>254</v>
      </c>
      <c r="F26822">
        <v>2390091</v>
      </c>
      <c r="G26822" t="s">
        <v>7093</v>
      </c>
      <c r="H26822" s="21">
        <v>611.66999999999996</v>
      </c>
    </row>
    <row r="26823" spans="1:8" customFormat="1" x14ac:dyDescent="0.25">
      <c r="A26823" t="str">
        <f>"8517511"</f>
        <v>8517511</v>
      </c>
      <c r="B26823" t="s">
        <v>430</v>
      </c>
      <c r="C26823" t="s">
        <v>60</v>
      </c>
      <c r="D26823" s="21" t="s">
        <v>34</v>
      </c>
      <c r="E26823" s="21" t="s">
        <v>35</v>
      </c>
      <c r="F26823">
        <v>12850037</v>
      </c>
      <c r="G26823" t="s">
        <v>2787</v>
      </c>
      <c r="H26823" s="21">
        <v>611.66999999999996</v>
      </c>
    </row>
    <row r="26824" spans="1:8" customFormat="1" x14ac:dyDescent="0.25">
      <c r="A26824" t="str">
        <f>"5013866"</f>
        <v>5013866</v>
      </c>
      <c r="B26824" t="s">
        <v>19258</v>
      </c>
      <c r="C26824" t="s">
        <v>87</v>
      </c>
      <c r="D26824" s="21" t="s">
        <v>34</v>
      </c>
      <c r="E26824" s="21" t="s">
        <v>35</v>
      </c>
      <c r="F26824">
        <v>9500111</v>
      </c>
      <c r="G26824" t="s">
        <v>6591</v>
      </c>
      <c r="H26824" s="21">
        <v>611.66999999999996</v>
      </c>
    </row>
    <row r="26825" spans="1:8" customFormat="1" x14ac:dyDescent="0.25">
      <c r="A26825" t="str">
        <f>"458441"</f>
        <v>458441</v>
      </c>
      <c r="B26825" t="s">
        <v>19057</v>
      </c>
      <c r="C26825" t="s">
        <v>2479</v>
      </c>
      <c r="D26825" s="21" t="s">
        <v>34</v>
      </c>
      <c r="E26825" s="21" t="s">
        <v>71</v>
      </c>
      <c r="F26825">
        <v>4450763</v>
      </c>
      <c r="G26825" t="s">
        <v>19058</v>
      </c>
      <c r="H26825" s="21">
        <v>611.62</v>
      </c>
    </row>
    <row r="26826" spans="1:8" customFormat="1" x14ac:dyDescent="0.25">
      <c r="A26826" t="str">
        <f>"5977815"</f>
        <v>5977815</v>
      </c>
      <c r="B26826" t="s">
        <v>24009</v>
      </c>
      <c r="C26826" t="s">
        <v>109</v>
      </c>
      <c r="D26826" s="21" t="s">
        <v>34</v>
      </c>
      <c r="E26826" s="21" t="s">
        <v>35</v>
      </c>
      <c r="F26826">
        <v>7590402</v>
      </c>
      <c r="G26826" t="s">
        <v>1623</v>
      </c>
      <c r="H26826" s="21">
        <v>611.54</v>
      </c>
    </row>
    <row r="26827" spans="1:8" customFormat="1" x14ac:dyDescent="0.25">
      <c r="A26827" t="str">
        <f>"275955"</f>
        <v>275955</v>
      </c>
      <c r="B26827" t="s">
        <v>2016</v>
      </c>
      <c r="C26827" t="s">
        <v>2305</v>
      </c>
      <c r="D26827" s="21" t="s">
        <v>34</v>
      </c>
      <c r="E26827" s="21" t="s">
        <v>1089</v>
      </c>
      <c r="F26827">
        <v>9270180</v>
      </c>
      <c r="G26827" t="s">
        <v>10755</v>
      </c>
      <c r="H26827" s="21">
        <v>611.41999999999996</v>
      </c>
    </row>
    <row r="26828" spans="1:8" customFormat="1" x14ac:dyDescent="0.25">
      <c r="A26828" t="str">
        <f>"955474"</f>
        <v>955474</v>
      </c>
      <c r="B26828" t="s">
        <v>20547</v>
      </c>
      <c r="C26828" t="s">
        <v>4060</v>
      </c>
      <c r="D26828" s="21" t="s">
        <v>34</v>
      </c>
      <c r="E26828" s="21" t="s">
        <v>254</v>
      </c>
      <c r="F26828">
        <v>8780485</v>
      </c>
      <c r="G26828" t="s">
        <v>1279</v>
      </c>
      <c r="H26828" s="21">
        <v>611.29</v>
      </c>
    </row>
    <row r="26829" spans="1:8" customFormat="1" x14ac:dyDescent="0.25">
      <c r="A26829" t="str">
        <f>"836732"</f>
        <v>836732</v>
      </c>
      <c r="B26829" t="s">
        <v>19345</v>
      </c>
      <c r="C26829" t="s">
        <v>65</v>
      </c>
      <c r="D26829" s="21" t="s">
        <v>34</v>
      </c>
      <c r="E26829" s="21" t="s">
        <v>35</v>
      </c>
      <c r="F26829">
        <v>13830083</v>
      </c>
      <c r="G26829" t="s">
        <v>2159</v>
      </c>
      <c r="H26829" s="21">
        <v>611.16999999999996</v>
      </c>
    </row>
    <row r="26830" spans="1:8" customFormat="1" x14ac:dyDescent="0.25">
      <c r="A26830" t="str">
        <f>"173292"</f>
        <v>173292</v>
      </c>
      <c r="B26830" t="s">
        <v>19302</v>
      </c>
      <c r="C26830" t="s">
        <v>19303</v>
      </c>
      <c r="D26830" s="21" t="s">
        <v>34</v>
      </c>
      <c r="E26830" s="21" t="s">
        <v>35</v>
      </c>
      <c r="F26830">
        <v>10170051</v>
      </c>
      <c r="G26830" t="s">
        <v>826</v>
      </c>
      <c r="H26830" s="21">
        <v>611.16999999999996</v>
      </c>
    </row>
    <row r="26831" spans="1:8" customFormat="1" x14ac:dyDescent="0.25">
      <c r="A26831" t="str">
        <f>"5621826"</f>
        <v>5621826</v>
      </c>
      <c r="B26831" t="s">
        <v>27940</v>
      </c>
      <c r="C26831" t="s">
        <v>275</v>
      </c>
      <c r="D26831" s="21" t="s">
        <v>34</v>
      </c>
      <c r="E26831" s="21" t="s">
        <v>35</v>
      </c>
      <c r="F26831">
        <v>3560039</v>
      </c>
      <c r="G26831" t="s">
        <v>167</v>
      </c>
      <c r="H26831" s="21">
        <v>611.16999999999996</v>
      </c>
    </row>
    <row r="26832" spans="1:8" customFormat="1" x14ac:dyDescent="0.25">
      <c r="A26832" t="str">
        <f>"5972533"</f>
        <v>5972533</v>
      </c>
      <c r="B26832" t="s">
        <v>17394</v>
      </c>
      <c r="C26832" t="s">
        <v>263</v>
      </c>
      <c r="D26832" s="21" t="s">
        <v>34</v>
      </c>
      <c r="E26832" s="21" t="s">
        <v>254</v>
      </c>
      <c r="F26832">
        <v>7590244</v>
      </c>
      <c r="G26832" t="s">
        <v>5768</v>
      </c>
      <c r="H26832" s="21">
        <v>611.16999999999996</v>
      </c>
    </row>
    <row r="26833" spans="1:8" customFormat="1" x14ac:dyDescent="0.25">
      <c r="A26833" t="str">
        <f>"6229966"</f>
        <v>6229966</v>
      </c>
      <c r="B26833" t="s">
        <v>3146</v>
      </c>
      <c r="C26833" t="s">
        <v>1142</v>
      </c>
      <c r="D26833" s="21" t="s">
        <v>34</v>
      </c>
      <c r="E26833" s="21" t="s">
        <v>1089</v>
      </c>
      <c r="F26833">
        <v>7620031</v>
      </c>
      <c r="G26833" t="s">
        <v>2182</v>
      </c>
      <c r="H26833" s="21">
        <v>611.16999999999996</v>
      </c>
    </row>
    <row r="26834" spans="1:8" customFormat="1" x14ac:dyDescent="0.25">
      <c r="A26834" t="str">
        <f>"4112898"</f>
        <v>4112898</v>
      </c>
      <c r="B26834" t="s">
        <v>904</v>
      </c>
      <c r="C26834" t="s">
        <v>33</v>
      </c>
      <c r="D26834" s="21" t="s">
        <v>34</v>
      </c>
      <c r="E26834" s="21" t="s">
        <v>35</v>
      </c>
      <c r="F26834">
        <v>4410615</v>
      </c>
      <c r="G26834" t="s">
        <v>4897</v>
      </c>
      <c r="H26834" s="21">
        <v>611.16999999999996</v>
      </c>
    </row>
    <row r="26835" spans="1:8" customFormat="1" x14ac:dyDescent="0.25">
      <c r="A26835" t="str">
        <f>"7112870"</f>
        <v>7112870</v>
      </c>
      <c r="B26835" t="s">
        <v>21281</v>
      </c>
      <c r="C26835" t="s">
        <v>156</v>
      </c>
      <c r="D26835" s="21" t="s">
        <v>34</v>
      </c>
      <c r="E26835" s="21" t="s">
        <v>35</v>
      </c>
      <c r="F26835">
        <v>2710008</v>
      </c>
      <c r="G26835" t="s">
        <v>10040</v>
      </c>
      <c r="H26835" s="21">
        <v>611.16999999999996</v>
      </c>
    </row>
    <row r="26836" spans="1:8" customFormat="1" x14ac:dyDescent="0.25">
      <c r="A26836" t="str">
        <f>"8310551"</f>
        <v>8310551</v>
      </c>
      <c r="B26836" t="s">
        <v>22708</v>
      </c>
      <c r="C26836" t="s">
        <v>608</v>
      </c>
      <c r="D26836" s="21" t="s">
        <v>34</v>
      </c>
      <c r="E26836" s="21" t="s">
        <v>35</v>
      </c>
      <c r="F26836">
        <v>3350091</v>
      </c>
      <c r="G26836" t="s">
        <v>5864</v>
      </c>
      <c r="H26836" s="21">
        <v>611.16999999999996</v>
      </c>
    </row>
    <row r="26837" spans="1:8" customFormat="1" x14ac:dyDescent="0.25">
      <c r="A26837" t="str">
        <f>"82795"</f>
        <v>82795</v>
      </c>
      <c r="B26837" t="s">
        <v>20181</v>
      </c>
      <c r="C26837" t="s">
        <v>55</v>
      </c>
      <c r="D26837" s="21" t="s">
        <v>34</v>
      </c>
      <c r="E26837" s="21" t="s">
        <v>71</v>
      </c>
      <c r="F26837">
        <v>11820035</v>
      </c>
      <c r="G26837" t="s">
        <v>16643</v>
      </c>
      <c r="H26837" s="21">
        <v>611.16999999999996</v>
      </c>
    </row>
    <row r="26838" spans="1:8" customFormat="1" x14ac:dyDescent="0.25">
      <c r="A26838" t="str">
        <f>"5954356"</f>
        <v>5954356</v>
      </c>
      <c r="B26838" t="s">
        <v>5501</v>
      </c>
      <c r="C26838" t="s">
        <v>60</v>
      </c>
      <c r="D26838" s="21" t="s">
        <v>34</v>
      </c>
      <c r="E26838" s="21" t="s">
        <v>35</v>
      </c>
      <c r="F26838">
        <v>7590354</v>
      </c>
      <c r="G26838" t="s">
        <v>5786</v>
      </c>
      <c r="H26838" s="21">
        <v>611.16999999999996</v>
      </c>
    </row>
    <row r="26839" spans="1:8" customFormat="1" x14ac:dyDescent="0.25">
      <c r="A26839" t="str">
        <f>"5324188"</f>
        <v>5324188</v>
      </c>
      <c r="B26839" t="s">
        <v>4558</v>
      </c>
      <c r="C26839" t="s">
        <v>598</v>
      </c>
      <c r="D26839" s="21" t="s">
        <v>34</v>
      </c>
      <c r="E26839" s="21" t="s">
        <v>1089</v>
      </c>
      <c r="F26839">
        <v>12530018</v>
      </c>
      <c r="G26839" t="s">
        <v>8768</v>
      </c>
      <c r="H26839" s="21">
        <v>611.16999999999996</v>
      </c>
    </row>
    <row r="26840" spans="1:8" customFormat="1" x14ac:dyDescent="0.25">
      <c r="A26840" t="str">
        <f>"6110558"</f>
        <v>6110558</v>
      </c>
      <c r="B26840" t="s">
        <v>19144</v>
      </c>
      <c r="C26840" t="s">
        <v>10675</v>
      </c>
      <c r="D26840" s="21" t="s">
        <v>34</v>
      </c>
      <c r="E26840" s="21" t="s">
        <v>35</v>
      </c>
      <c r="F26840">
        <v>9610009</v>
      </c>
      <c r="G26840" t="s">
        <v>282</v>
      </c>
      <c r="H26840" s="21">
        <v>611.16999999999996</v>
      </c>
    </row>
    <row r="26841" spans="1:8" customFormat="1" x14ac:dyDescent="0.25">
      <c r="A26841" t="str">
        <f>"5969138"</f>
        <v>5969138</v>
      </c>
      <c r="B26841" t="s">
        <v>20573</v>
      </c>
      <c r="C26841" t="s">
        <v>60</v>
      </c>
      <c r="D26841" s="21" t="s">
        <v>34</v>
      </c>
      <c r="E26841" s="21" t="s">
        <v>35</v>
      </c>
      <c r="F26841">
        <v>7590393</v>
      </c>
      <c r="G26841" t="s">
        <v>7754</v>
      </c>
      <c r="H26841" s="21">
        <v>611.16999999999996</v>
      </c>
    </row>
    <row r="26842" spans="1:8" customFormat="1" x14ac:dyDescent="0.25">
      <c r="A26842" t="str">
        <f>"317608"</f>
        <v>317608</v>
      </c>
      <c r="B26842" t="s">
        <v>18912</v>
      </c>
      <c r="C26842" t="s">
        <v>1489</v>
      </c>
      <c r="D26842" s="21" t="s">
        <v>34</v>
      </c>
      <c r="E26842" s="21" t="s">
        <v>254</v>
      </c>
      <c r="F26842">
        <v>11820034</v>
      </c>
      <c r="G26842" t="s">
        <v>4498</v>
      </c>
      <c r="H26842" s="21">
        <v>611.16999999999996</v>
      </c>
    </row>
    <row r="26843" spans="1:8" customFormat="1" x14ac:dyDescent="0.25">
      <c r="A26843" t="str">
        <f>"6022833"</f>
        <v>6022833</v>
      </c>
      <c r="B26843" t="s">
        <v>7512</v>
      </c>
      <c r="C26843" t="s">
        <v>109</v>
      </c>
      <c r="D26843" s="21" t="s">
        <v>34</v>
      </c>
      <c r="E26843" s="21" t="s">
        <v>35</v>
      </c>
      <c r="F26843">
        <v>7600070</v>
      </c>
      <c r="G26843" t="s">
        <v>542</v>
      </c>
      <c r="H26843" s="21">
        <v>611.16999999999996</v>
      </c>
    </row>
    <row r="26844" spans="1:8" customFormat="1" x14ac:dyDescent="0.25">
      <c r="A26844" t="str">
        <f>"847865"</f>
        <v>847865</v>
      </c>
      <c r="B26844" t="s">
        <v>4368</v>
      </c>
      <c r="C26844" t="s">
        <v>926</v>
      </c>
      <c r="D26844" s="21" t="s">
        <v>34</v>
      </c>
      <c r="E26844" s="21" t="s">
        <v>35</v>
      </c>
      <c r="F26844">
        <v>13840021</v>
      </c>
      <c r="G26844" t="s">
        <v>3946</v>
      </c>
      <c r="H26844" s="21">
        <v>611.16999999999996</v>
      </c>
    </row>
    <row r="26845" spans="1:8" customFormat="1" x14ac:dyDescent="0.25">
      <c r="A26845" t="str">
        <f>"3829699"</f>
        <v>3829699</v>
      </c>
      <c r="B26845" t="s">
        <v>19702</v>
      </c>
      <c r="C26845" t="s">
        <v>156</v>
      </c>
      <c r="D26845" s="21" t="s">
        <v>34</v>
      </c>
      <c r="E26845" s="21" t="s">
        <v>71</v>
      </c>
      <c r="F26845">
        <v>1380246</v>
      </c>
      <c r="G26845" t="s">
        <v>27941</v>
      </c>
      <c r="H26845" s="21">
        <v>611.16999999999996</v>
      </c>
    </row>
    <row r="26846" spans="1:8" customFormat="1" x14ac:dyDescent="0.25">
      <c r="A26846" t="str">
        <f>"4437024"</f>
        <v>4437024</v>
      </c>
      <c r="B26846" t="s">
        <v>18654</v>
      </c>
      <c r="C26846" t="s">
        <v>2525</v>
      </c>
      <c r="D26846" s="21" t="s">
        <v>34</v>
      </c>
      <c r="E26846" s="21" t="s">
        <v>35</v>
      </c>
      <c r="F26846">
        <v>12440009</v>
      </c>
      <c r="G26846" t="s">
        <v>1983</v>
      </c>
      <c r="H26846" s="21">
        <v>611.16999999999996</v>
      </c>
    </row>
    <row r="26847" spans="1:8" customFormat="1" x14ac:dyDescent="0.25">
      <c r="A26847" t="str">
        <f>"9D3056"</f>
        <v>9D3056</v>
      </c>
      <c r="B26847" t="s">
        <v>3251</v>
      </c>
      <c r="C26847" t="s">
        <v>2479</v>
      </c>
      <c r="D26847" s="21" t="s">
        <v>34</v>
      </c>
      <c r="E26847" s="21" t="s">
        <v>35</v>
      </c>
      <c r="F26847" t="s">
        <v>2462</v>
      </c>
      <c r="G26847" t="s">
        <v>2463</v>
      </c>
      <c r="H26847" s="21">
        <v>611.16999999999996</v>
      </c>
    </row>
    <row r="26848" spans="1:8" customFormat="1" x14ac:dyDescent="0.25">
      <c r="A26848" t="str">
        <f>"6941155"</f>
        <v>6941155</v>
      </c>
      <c r="B26848" t="s">
        <v>20537</v>
      </c>
      <c r="C26848" t="s">
        <v>171</v>
      </c>
      <c r="D26848" s="21" t="s">
        <v>34</v>
      </c>
      <c r="E26848" s="21" t="s">
        <v>71</v>
      </c>
      <c r="F26848">
        <v>1690076</v>
      </c>
      <c r="G26848" t="s">
        <v>4049</v>
      </c>
      <c r="H26848" s="21">
        <v>611.16999999999996</v>
      </c>
    </row>
    <row r="26849" spans="1:8" customFormat="1" x14ac:dyDescent="0.25">
      <c r="A26849" t="str">
        <f>"626972"</f>
        <v>626972</v>
      </c>
      <c r="B26849" t="s">
        <v>27942</v>
      </c>
      <c r="C26849" t="s">
        <v>453</v>
      </c>
      <c r="D26849" s="21" t="s">
        <v>34</v>
      </c>
      <c r="E26849" s="21" t="s">
        <v>1089</v>
      </c>
      <c r="F26849">
        <v>7620051</v>
      </c>
      <c r="G26849" t="s">
        <v>2741</v>
      </c>
      <c r="H26849" s="21">
        <v>611.16999999999996</v>
      </c>
    </row>
    <row r="26850" spans="1:8" customFormat="1" x14ac:dyDescent="0.25">
      <c r="A26850" t="str">
        <f>"6313361"</f>
        <v>6313361</v>
      </c>
      <c r="B26850" t="s">
        <v>19450</v>
      </c>
      <c r="C26850" t="s">
        <v>2479</v>
      </c>
      <c r="D26850" s="21" t="s">
        <v>34</v>
      </c>
      <c r="E26850" s="21" t="s">
        <v>254</v>
      </c>
      <c r="F26850">
        <v>1630191</v>
      </c>
      <c r="G26850" t="s">
        <v>11303</v>
      </c>
      <c r="H26850" s="21">
        <v>611.04</v>
      </c>
    </row>
    <row r="26851" spans="1:8" customFormat="1" x14ac:dyDescent="0.25">
      <c r="A26851" t="str">
        <f>"9B1062"</f>
        <v>9B1062</v>
      </c>
      <c r="B26851" t="s">
        <v>27943</v>
      </c>
      <c r="C26851" t="s">
        <v>462</v>
      </c>
      <c r="D26851" s="21" t="s">
        <v>34</v>
      </c>
      <c r="E26851" s="21" t="s">
        <v>71</v>
      </c>
      <c r="F26851" t="s">
        <v>2861</v>
      </c>
      <c r="G26851" t="s">
        <v>2862</v>
      </c>
      <c r="H26851" s="21">
        <v>611.04</v>
      </c>
    </row>
    <row r="26852" spans="1:8" customFormat="1" x14ac:dyDescent="0.25">
      <c r="A26852" t="str">
        <f>"1910235"</f>
        <v>1910235</v>
      </c>
      <c r="B26852" t="s">
        <v>27944</v>
      </c>
      <c r="C26852" t="s">
        <v>1468</v>
      </c>
      <c r="D26852" s="21" t="s">
        <v>34</v>
      </c>
      <c r="E26852" s="21" t="s">
        <v>35</v>
      </c>
      <c r="F26852">
        <v>10190073</v>
      </c>
      <c r="G26852" t="s">
        <v>2366</v>
      </c>
      <c r="H26852" s="21">
        <v>611.04</v>
      </c>
    </row>
    <row r="26853" spans="1:8" customFormat="1" x14ac:dyDescent="0.25">
      <c r="A26853" t="str">
        <f>"598516"</f>
        <v>598516</v>
      </c>
      <c r="B26853" t="s">
        <v>1490</v>
      </c>
      <c r="C26853" t="s">
        <v>415</v>
      </c>
      <c r="D26853" s="21" t="s">
        <v>34</v>
      </c>
      <c r="E26853" s="21" t="s">
        <v>1089</v>
      </c>
      <c r="F26853">
        <v>7590053</v>
      </c>
      <c r="G26853" t="s">
        <v>2825</v>
      </c>
      <c r="H26853" s="21">
        <v>610.91999999999996</v>
      </c>
    </row>
    <row r="26854" spans="1:8" customFormat="1" x14ac:dyDescent="0.25">
      <c r="A26854" t="str">
        <f>"7522770"</f>
        <v>7522770</v>
      </c>
      <c r="B26854" t="s">
        <v>21044</v>
      </c>
      <c r="C26854" t="s">
        <v>103</v>
      </c>
      <c r="D26854" s="21" t="s">
        <v>34</v>
      </c>
      <c r="E26854" s="21" t="s">
        <v>71</v>
      </c>
      <c r="F26854">
        <v>8750100</v>
      </c>
      <c r="G26854" t="s">
        <v>10521</v>
      </c>
      <c r="H26854" s="21">
        <v>610.91999999999996</v>
      </c>
    </row>
    <row r="26855" spans="1:8" customFormat="1" x14ac:dyDescent="0.25">
      <c r="A26855" t="str">
        <f>"7621940"</f>
        <v>7621940</v>
      </c>
      <c r="B26855" t="s">
        <v>19802</v>
      </c>
      <c r="C26855" t="s">
        <v>171</v>
      </c>
      <c r="D26855" s="21" t="s">
        <v>34</v>
      </c>
      <c r="E26855" s="21" t="s">
        <v>71</v>
      </c>
      <c r="F26855">
        <v>9760239</v>
      </c>
      <c r="G26855" t="s">
        <v>9147</v>
      </c>
      <c r="H26855" s="21">
        <v>610.91999999999996</v>
      </c>
    </row>
    <row r="26856" spans="1:8" customFormat="1" x14ac:dyDescent="0.25">
      <c r="A26856" t="str">
        <f>"6112713"</f>
        <v>6112713</v>
      </c>
      <c r="B26856" t="s">
        <v>1604</v>
      </c>
      <c r="C26856" t="s">
        <v>204</v>
      </c>
      <c r="D26856" s="21" t="s">
        <v>34</v>
      </c>
      <c r="E26856" s="21" t="s">
        <v>35</v>
      </c>
      <c r="F26856">
        <v>9610119</v>
      </c>
      <c r="G26856" t="s">
        <v>6655</v>
      </c>
      <c r="H26856" s="21">
        <v>610.66999999999996</v>
      </c>
    </row>
    <row r="26857" spans="1:8" customFormat="1" x14ac:dyDescent="0.25">
      <c r="A26857" t="str">
        <f>"7521470"</f>
        <v>7521470</v>
      </c>
      <c r="B26857" t="s">
        <v>21457</v>
      </c>
      <c r="C26857" t="s">
        <v>275</v>
      </c>
      <c r="D26857" s="21" t="s">
        <v>34</v>
      </c>
      <c r="E26857" s="21" t="s">
        <v>35</v>
      </c>
      <c r="F26857">
        <v>3560092</v>
      </c>
      <c r="G26857" t="s">
        <v>10630</v>
      </c>
      <c r="H26857" s="21">
        <v>610.66999999999996</v>
      </c>
    </row>
    <row r="26858" spans="1:8" customFormat="1" x14ac:dyDescent="0.25">
      <c r="A26858" t="str">
        <f>"9527024"</f>
        <v>9527024</v>
      </c>
      <c r="B26858" t="s">
        <v>3646</v>
      </c>
      <c r="C26858" t="s">
        <v>1025</v>
      </c>
      <c r="D26858" s="21" t="s">
        <v>34</v>
      </c>
      <c r="E26858" s="21" t="s">
        <v>254</v>
      </c>
      <c r="F26858">
        <v>8951273</v>
      </c>
      <c r="G26858" t="s">
        <v>2382</v>
      </c>
      <c r="H26858" s="21">
        <v>610.66999999999996</v>
      </c>
    </row>
    <row r="26859" spans="1:8" customFormat="1" x14ac:dyDescent="0.25">
      <c r="A26859" t="str">
        <f>"8011108"</f>
        <v>8011108</v>
      </c>
      <c r="B26859" t="s">
        <v>18931</v>
      </c>
      <c r="C26859" t="s">
        <v>486</v>
      </c>
      <c r="D26859" s="21" t="s">
        <v>34</v>
      </c>
      <c r="E26859" s="21" t="s">
        <v>71</v>
      </c>
      <c r="F26859">
        <v>7800074</v>
      </c>
      <c r="G26859" t="s">
        <v>7104</v>
      </c>
      <c r="H26859" s="21">
        <v>610.66999999999996</v>
      </c>
    </row>
    <row r="26860" spans="1:8" customFormat="1" x14ac:dyDescent="0.25">
      <c r="A26860" t="str">
        <f>"2933103"</f>
        <v>2933103</v>
      </c>
      <c r="B26860" t="s">
        <v>1198</v>
      </c>
      <c r="C26860" t="s">
        <v>151</v>
      </c>
      <c r="D26860" s="21" t="s">
        <v>34</v>
      </c>
      <c r="E26860" s="21" t="s">
        <v>71</v>
      </c>
      <c r="F26860">
        <v>3290229</v>
      </c>
      <c r="G26860" t="s">
        <v>408</v>
      </c>
      <c r="H26860" s="21">
        <v>610.66999999999996</v>
      </c>
    </row>
    <row r="26861" spans="1:8" customFormat="1" x14ac:dyDescent="0.25">
      <c r="A26861" t="str">
        <f>"2811669"</f>
        <v>2811669</v>
      </c>
      <c r="B26861" t="s">
        <v>21346</v>
      </c>
      <c r="C26861" t="s">
        <v>1705</v>
      </c>
      <c r="D26861" s="21" t="s">
        <v>34</v>
      </c>
      <c r="E26861" s="21" t="s">
        <v>254</v>
      </c>
      <c r="F26861">
        <v>4280038</v>
      </c>
      <c r="G26861" t="s">
        <v>2526</v>
      </c>
      <c r="H26861" s="21">
        <v>610.66999999999996</v>
      </c>
    </row>
    <row r="26862" spans="1:8" customFormat="1" x14ac:dyDescent="0.25">
      <c r="A26862" t="str">
        <f>"446387"</f>
        <v>446387</v>
      </c>
      <c r="B26862" t="s">
        <v>19910</v>
      </c>
      <c r="C26862" t="s">
        <v>209</v>
      </c>
      <c r="D26862" s="21" t="s">
        <v>34</v>
      </c>
      <c r="E26862" s="21" t="s">
        <v>71</v>
      </c>
      <c r="F26862">
        <v>12440012</v>
      </c>
      <c r="G26862" t="s">
        <v>807</v>
      </c>
      <c r="H26862" s="21">
        <v>610.66999999999996</v>
      </c>
    </row>
    <row r="26863" spans="1:8" customFormat="1" x14ac:dyDescent="0.25">
      <c r="A26863" t="str">
        <f>"5613445"</f>
        <v>5613445</v>
      </c>
      <c r="B26863" t="s">
        <v>20659</v>
      </c>
      <c r="C26863" t="s">
        <v>1199</v>
      </c>
      <c r="D26863" s="21" t="s">
        <v>34</v>
      </c>
      <c r="E26863" s="21" t="s">
        <v>254</v>
      </c>
      <c r="F26863">
        <v>3560051</v>
      </c>
      <c r="G26863" t="s">
        <v>14709</v>
      </c>
      <c r="H26863" s="21">
        <v>610.66999999999996</v>
      </c>
    </row>
    <row r="26864" spans="1:8" customFormat="1" x14ac:dyDescent="0.25">
      <c r="A26864" t="str">
        <f>"432415"</f>
        <v>432415</v>
      </c>
      <c r="B26864" t="s">
        <v>15663</v>
      </c>
      <c r="C26864" t="s">
        <v>1025</v>
      </c>
      <c r="D26864" s="21" t="s">
        <v>34</v>
      </c>
      <c r="E26864" s="21" t="s">
        <v>71</v>
      </c>
      <c r="F26864">
        <v>1420299</v>
      </c>
      <c r="G26864" t="s">
        <v>8013</v>
      </c>
      <c r="H26864" s="21">
        <v>610.66999999999996</v>
      </c>
    </row>
    <row r="26865" spans="1:8" customFormat="1" x14ac:dyDescent="0.25">
      <c r="A26865" t="str">
        <f>"8527943"</f>
        <v>8527943</v>
      </c>
      <c r="B26865" t="s">
        <v>5734</v>
      </c>
      <c r="C26865" t="s">
        <v>171</v>
      </c>
      <c r="D26865" s="21" t="s">
        <v>34</v>
      </c>
      <c r="E26865" s="21" t="s">
        <v>35</v>
      </c>
      <c r="F26865">
        <v>12851018</v>
      </c>
      <c r="G26865" t="s">
        <v>8085</v>
      </c>
      <c r="H26865" s="21">
        <v>610.66999999999996</v>
      </c>
    </row>
    <row r="26866" spans="1:8" customFormat="1" x14ac:dyDescent="0.25">
      <c r="A26866" t="str">
        <f>"3536416"</f>
        <v>3536416</v>
      </c>
      <c r="B26866" t="s">
        <v>14827</v>
      </c>
      <c r="C26866" t="s">
        <v>49</v>
      </c>
      <c r="D26866" s="21" t="s">
        <v>34</v>
      </c>
      <c r="E26866" s="21" t="s">
        <v>35</v>
      </c>
      <c r="F26866">
        <v>3350113</v>
      </c>
      <c r="G26866" t="s">
        <v>7631</v>
      </c>
      <c r="H26866" s="21">
        <v>610.66999999999996</v>
      </c>
    </row>
    <row r="26867" spans="1:8" customFormat="1" x14ac:dyDescent="0.25">
      <c r="A26867" t="str">
        <f>"371525"</f>
        <v>371525</v>
      </c>
      <c r="B26867" t="s">
        <v>19459</v>
      </c>
      <c r="C26867" t="s">
        <v>453</v>
      </c>
      <c r="D26867" s="21" t="s">
        <v>34</v>
      </c>
      <c r="E26867" s="21" t="s">
        <v>71</v>
      </c>
      <c r="F26867">
        <v>4370533</v>
      </c>
      <c r="G26867" t="s">
        <v>10553</v>
      </c>
      <c r="H26867" s="21">
        <v>610.66999999999996</v>
      </c>
    </row>
    <row r="26868" spans="1:8" customFormat="1" x14ac:dyDescent="0.25">
      <c r="A26868" t="str">
        <f>"621005"</f>
        <v>621005</v>
      </c>
      <c r="B26868" t="s">
        <v>8737</v>
      </c>
      <c r="C26868" t="s">
        <v>453</v>
      </c>
      <c r="D26868" s="21" t="s">
        <v>34</v>
      </c>
      <c r="E26868" s="21" t="s">
        <v>1089</v>
      </c>
      <c r="F26868">
        <v>7620002</v>
      </c>
      <c r="G26868" t="s">
        <v>11925</v>
      </c>
      <c r="H26868" s="21">
        <v>610.66999999999996</v>
      </c>
    </row>
    <row r="26869" spans="1:8" customFormat="1" x14ac:dyDescent="0.25">
      <c r="A26869" t="str">
        <f>"7920686"</f>
        <v>7920686</v>
      </c>
      <c r="B26869" t="s">
        <v>21312</v>
      </c>
      <c r="C26869" t="s">
        <v>1359</v>
      </c>
      <c r="D26869" s="21" t="s">
        <v>34</v>
      </c>
      <c r="E26869" s="21" t="s">
        <v>35</v>
      </c>
      <c r="F26869">
        <v>10790009</v>
      </c>
      <c r="G26869" t="s">
        <v>1155</v>
      </c>
      <c r="H26869" s="21">
        <v>610.66999999999996</v>
      </c>
    </row>
    <row r="26870" spans="1:8" customFormat="1" x14ac:dyDescent="0.25">
      <c r="A26870" t="str">
        <f>"447254"</f>
        <v>447254</v>
      </c>
      <c r="B26870" t="s">
        <v>19765</v>
      </c>
      <c r="C26870" t="s">
        <v>1588</v>
      </c>
      <c r="D26870" s="21" t="s">
        <v>34</v>
      </c>
      <c r="E26870" s="21" t="s">
        <v>1089</v>
      </c>
      <c r="F26870">
        <v>12440129</v>
      </c>
      <c r="G26870" t="s">
        <v>11755</v>
      </c>
      <c r="H26870" s="21">
        <v>610.66999999999996</v>
      </c>
    </row>
    <row r="26871" spans="1:8" customFormat="1" x14ac:dyDescent="0.25">
      <c r="A26871" t="str">
        <f>"8515316"</f>
        <v>8515316</v>
      </c>
      <c r="B26871" t="s">
        <v>6957</v>
      </c>
      <c r="C26871" t="s">
        <v>263</v>
      </c>
      <c r="D26871" s="21" t="s">
        <v>34</v>
      </c>
      <c r="E26871" s="21" t="s">
        <v>71</v>
      </c>
      <c r="F26871">
        <v>12851025</v>
      </c>
      <c r="G26871" t="s">
        <v>26858</v>
      </c>
      <c r="H26871" s="21">
        <v>610.66999999999996</v>
      </c>
    </row>
    <row r="26872" spans="1:8" customFormat="1" x14ac:dyDescent="0.25">
      <c r="A26872" t="str">
        <f>"5935223"</f>
        <v>5935223</v>
      </c>
      <c r="B26872" t="s">
        <v>20323</v>
      </c>
      <c r="C26872" t="s">
        <v>415</v>
      </c>
      <c r="D26872" s="21" t="s">
        <v>34</v>
      </c>
      <c r="E26872" s="21" t="s">
        <v>71</v>
      </c>
      <c r="F26872">
        <v>7590215</v>
      </c>
      <c r="G26872" t="s">
        <v>15580</v>
      </c>
      <c r="H26872" s="21">
        <v>610.66999999999996</v>
      </c>
    </row>
    <row r="26873" spans="1:8" customFormat="1" x14ac:dyDescent="0.25">
      <c r="A26873" t="str">
        <f>"4420737"</f>
        <v>4420737</v>
      </c>
      <c r="B26873" t="s">
        <v>19995</v>
      </c>
      <c r="C26873" t="s">
        <v>124</v>
      </c>
      <c r="D26873" s="21" t="s">
        <v>34</v>
      </c>
      <c r="E26873" s="21" t="s">
        <v>71</v>
      </c>
      <c r="F26873">
        <v>12440140</v>
      </c>
      <c r="G26873" t="s">
        <v>11783</v>
      </c>
      <c r="H26873" s="21">
        <v>610.66999999999996</v>
      </c>
    </row>
    <row r="26874" spans="1:8" customFormat="1" x14ac:dyDescent="0.25">
      <c r="A26874" t="str">
        <f>"76283"</f>
        <v>76283</v>
      </c>
      <c r="B26874" t="s">
        <v>19689</v>
      </c>
      <c r="C26874" t="s">
        <v>1110</v>
      </c>
      <c r="D26874" s="21" t="s">
        <v>34</v>
      </c>
      <c r="E26874" s="21" t="s">
        <v>1089</v>
      </c>
      <c r="F26874">
        <v>9760415</v>
      </c>
      <c r="G26874" t="s">
        <v>4541</v>
      </c>
      <c r="H26874" s="21">
        <v>610.66999999999996</v>
      </c>
    </row>
    <row r="26875" spans="1:8" customFormat="1" x14ac:dyDescent="0.25">
      <c r="A26875" t="str">
        <f>"4515052"</f>
        <v>4515052</v>
      </c>
      <c r="B26875" t="s">
        <v>18615</v>
      </c>
      <c r="C26875" t="s">
        <v>695</v>
      </c>
      <c r="D26875" s="21" t="s">
        <v>34</v>
      </c>
      <c r="E26875" s="21" t="s">
        <v>254</v>
      </c>
      <c r="F26875">
        <v>11820008</v>
      </c>
      <c r="G26875" t="s">
        <v>294</v>
      </c>
      <c r="H26875" s="21">
        <v>610.66999999999996</v>
      </c>
    </row>
    <row r="26876" spans="1:8" customFormat="1" x14ac:dyDescent="0.25">
      <c r="A26876" t="str">
        <f>"7631880"</f>
        <v>7631880</v>
      </c>
      <c r="B26876" t="s">
        <v>15203</v>
      </c>
      <c r="C26876" t="s">
        <v>33</v>
      </c>
      <c r="D26876" s="21" t="s">
        <v>34</v>
      </c>
      <c r="E26876" s="21" t="s">
        <v>35</v>
      </c>
      <c r="F26876">
        <v>9760028</v>
      </c>
      <c r="G26876" t="s">
        <v>4086</v>
      </c>
      <c r="H26876" s="21">
        <v>610.66999999999996</v>
      </c>
    </row>
    <row r="26877" spans="1:8" customFormat="1" x14ac:dyDescent="0.25">
      <c r="A26877" t="str">
        <f>"5429311"</f>
        <v>5429311</v>
      </c>
      <c r="B26877" t="s">
        <v>7075</v>
      </c>
      <c r="C26877" t="s">
        <v>598</v>
      </c>
      <c r="D26877" s="21" t="s">
        <v>34</v>
      </c>
      <c r="E26877" s="21" t="s">
        <v>254</v>
      </c>
      <c r="F26877">
        <v>6540190</v>
      </c>
      <c r="G26877" t="s">
        <v>9727</v>
      </c>
      <c r="H26877" s="21">
        <v>610.66999999999996</v>
      </c>
    </row>
    <row r="26878" spans="1:8" customFormat="1" x14ac:dyDescent="0.25">
      <c r="A26878" t="str">
        <f>"5020332"</f>
        <v>5020332</v>
      </c>
      <c r="B26878" t="s">
        <v>21632</v>
      </c>
      <c r="C26878" t="s">
        <v>139</v>
      </c>
      <c r="D26878" s="21" t="s">
        <v>34</v>
      </c>
      <c r="E26878" s="21" t="s">
        <v>35</v>
      </c>
      <c r="F26878">
        <v>9500023</v>
      </c>
      <c r="G26878" t="s">
        <v>4876</v>
      </c>
      <c r="H26878" s="21">
        <v>610.66999999999996</v>
      </c>
    </row>
    <row r="26879" spans="1:8" customFormat="1" x14ac:dyDescent="0.25">
      <c r="A26879" t="str">
        <f>"678141"</f>
        <v>678141</v>
      </c>
      <c r="B26879" t="s">
        <v>19500</v>
      </c>
      <c r="C26879" t="s">
        <v>124</v>
      </c>
      <c r="D26879" s="21" t="s">
        <v>34</v>
      </c>
      <c r="E26879" s="21" t="s">
        <v>71</v>
      </c>
      <c r="F26879">
        <v>6670043</v>
      </c>
      <c r="G26879" t="s">
        <v>5658</v>
      </c>
      <c r="H26879" s="21">
        <v>610.66999999999996</v>
      </c>
    </row>
    <row r="26880" spans="1:8" customFormat="1" x14ac:dyDescent="0.25">
      <c r="A26880" t="str">
        <f>"517837"</f>
        <v>517837</v>
      </c>
      <c r="B26880" t="s">
        <v>27945</v>
      </c>
      <c r="C26880" t="s">
        <v>114</v>
      </c>
      <c r="D26880" s="21" t="s">
        <v>34</v>
      </c>
      <c r="E26880" s="21" t="s">
        <v>35</v>
      </c>
      <c r="F26880">
        <v>6510110</v>
      </c>
      <c r="G26880" t="s">
        <v>9011</v>
      </c>
      <c r="H26880" s="21">
        <v>610.66999999999996</v>
      </c>
    </row>
    <row r="26881" spans="1:8" customFormat="1" x14ac:dyDescent="0.25">
      <c r="A26881" t="str">
        <f>"134023"</f>
        <v>134023</v>
      </c>
      <c r="B26881" t="s">
        <v>6677</v>
      </c>
      <c r="C26881" t="s">
        <v>1110</v>
      </c>
      <c r="D26881" s="21" t="s">
        <v>34</v>
      </c>
      <c r="E26881" s="21" t="s">
        <v>1089</v>
      </c>
      <c r="F26881">
        <v>13130005</v>
      </c>
      <c r="G26881" t="s">
        <v>2008</v>
      </c>
      <c r="H26881" s="21">
        <v>610.66999999999996</v>
      </c>
    </row>
    <row r="26882" spans="1:8" customFormat="1" x14ac:dyDescent="0.25">
      <c r="A26882" t="str">
        <f>"166201"</f>
        <v>166201</v>
      </c>
      <c r="B26882" t="s">
        <v>19062</v>
      </c>
      <c r="C26882" t="s">
        <v>926</v>
      </c>
      <c r="D26882" s="21" t="s">
        <v>34</v>
      </c>
      <c r="E26882" s="21" t="s">
        <v>35</v>
      </c>
      <c r="F26882">
        <v>10330022</v>
      </c>
      <c r="G26882" t="s">
        <v>1830</v>
      </c>
      <c r="H26882" s="21">
        <v>610.41999999999996</v>
      </c>
    </row>
    <row r="26883" spans="1:8" customFormat="1" x14ac:dyDescent="0.25">
      <c r="A26883" t="str">
        <f>"5969104"</f>
        <v>5969104</v>
      </c>
      <c r="B26883" t="s">
        <v>20122</v>
      </c>
      <c r="C26883" t="s">
        <v>209</v>
      </c>
      <c r="D26883" s="21" t="s">
        <v>34</v>
      </c>
      <c r="E26883" s="21" t="s">
        <v>35</v>
      </c>
      <c r="F26883">
        <v>7590332</v>
      </c>
      <c r="G26883" t="s">
        <v>6094</v>
      </c>
      <c r="H26883" s="21">
        <v>610.41999999999996</v>
      </c>
    </row>
    <row r="26884" spans="1:8" customFormat="1" x14ac:dyDescent="0.25">
      <c r="A26884" t="str">
        <f>"421622"</f>
        <v>421622</v>
      </c>
      <c r="B26884" t="s">
        <v>17622</v>
      </c>
      <c r="C26884" t="s">
        <v>2520</v>
      </c>
      <c r="D26884" s="21" t="s">
        <v>34</v>
      </c>
      <c r="E26884" s="21" t="s">
        <v>254</v>
      </c>
      <c r="F26884">
        <v>1420070</v>
      </c>
      <c r="G26884" t="s">
        <v>27046</v>
      </c>
      <c r="H26884" s="21">
        <v>610.41999999999996</v>
      </c>
    </row>
    <row r="26885" spans="1:8" customFormat="1" x14ac:dyDescent="0.25">
      <c r="A26885" t="str">
        <f>"363959"</f>
        <v>363959</v>
      </c>
      <c r="B26885" t="s">
        <v>19162</v>
      </c>
      <c r="C26885" t="s">
        <v>114</v>
      </c>
      <c r="D26885" s="21" t="s">
        <v>34</v>
      </c>
      <c r="E26885" s="21" t="s">
        <v>71</v>
      </c>
      <c r="F26885">
        <v>4360343</v>
      </c>
      <c r="G26885" t="s">
        <v>6348</v>
      </c>
      <c r="H26885" s="21">
        <v>610.41999999999996</v>
      </c>
    </row>
    <row r="26886" spans="1:8" customFormat="1" x14ac:dyDescent="0.25">
      <c r="A26886" t="str">
        <f>"6023922"</f>
        <v>6023922</v>
      </c>
      <c r="B26886" t="s">
        <v>27946</v>
      </c>
      <c r="C26886" t="s">
        <v>55</v>
      </c>
      <c r="D26886" s="21" t="s">
        <v>34</v>
      </c>
      <c r="E26886" s="21" t="s">
        <v>71</v>
      </c>
      <c r="F26886">
        <v>7600171</v>
      </c>
      <c r="G26886" t="s">
        <v>4705</v>
      </c>
      <c r="H26886" s="21">
        <v>610.41999999999996</v>
      </c>
    </row>
    <row r="26887" spans="1:8" customFormat="1" x14ac:dyDescent="0.25">
      <c r="A26887" t="str">
        <f>"5325801"</f>
        <v>5325801</v>
      </c>
      <c r="B26887" t="s">
        <v>1908</v>
      </c>
      <c r="C26887" t="s">
        <v>288</v>
      </c>
      <c r="D26887" s="21" t="s">
        <v>34</v>
      </c>
      <c r="E26887" s="21" t="s">
        <v>35</v>
      </c>
      <c r="F26887">
        <v>12530088</v>
      </c>
      <c r="G26887" t="s">
        <v>10746</v>
      </c>
      <c r="H26887" s="21">
        <v>610.41999999999996</v>
      </c>
    </row>
    <row r="26888" spans="1:8" customFormat="1" x14ac:dyDescent="0.25">
      <c r="A26888" t="str">
        <f>"453748"</f>
        <v>453748</v>
      </c>
      <c r="B26888" t="s">
        <v>9781</v>
      </c>
      <c r="C26888" t="s">
        <v>236</v>
      </c>
      <c r="D26888" s="21" t="s">
        <v>34</v>
      </c>
      <c r="E26888" s="21" t="s">
        <v>254</v>
      </c>
      <c r="F26888">
        <v>8770911</v>
      </c>
      <c r="G26888" t="s">
        <v>4824</v>
      </c>
      <c r="H26888" s="21">
        <v>610.29</v>
      </c>
    </row>
    <row r="26889" spans="1:8" customFormat="1" x14ac:dyDescent="0.25">
      <c r="A26889" t="str">
        <f>"2617491"</f>
        <v>2617491</v>
      </c>
      <c r="B26889" t="s">
        <v>5597</v>
      </c>
      <c r="C26889" t="s">
        <v>130</v>
      </c>
      <c r="D26889" s="21" t="s">
        <v>34</v>
      </c>
      <c r="E26889" s="21" t="s">
        <v>71</v>
      </c>
      <c r="F26889">
        <v>1260068</v>
      </c>
      <c r="G26889" t="s">
        <v>6531</v>
      </c>
      <c r="H26889" s="21">
        <v>610.16999999999996</v>
      </c>
    </row>
    <row r="26890" spans="1:8" customFormat="1" x14ac:dyDescent="0.25">
      <c r="A26890" t="str">
        <f>"629762"</f>
        <v>629762</v>
      </c>
      <c r="B26890" t="s">
        <v>108</v>
      </c>
      <c r="C26890" t="s">
        <v>169</v>
      </c>
      <c r="D26890" s="21" t="s">
        <v>34</v>
      </c>
      <c r="E26890" s="21" t="s">
        <v>71</v>
      </c>
      <c r="F26890">
        <v>7620032</v>
      </c>
      <c r="G26890" t="s">
        <v>11181</v>
      </c>
      <c r="H26890" s="21">
        <v>610.16999999999996</v>
      </c>
    </row>
    <row r="26891" spans="1:8" customFormat="1" x14ac:dyDescent="0.25">
      <c r="A26891" t="str">
        <f>"8814416"</f>
        <v>8814416</v>
      </c>
      <c r="B26891" t="s">
        <v>3606</v>
      </c>
      <c r="C26891" t="s">
        <v>415</v>
      </c>
      <c r="D26891" s="21" t="s">
        <v>34</v>
      </c>
      <c r="E26891" s="21" t="s">
        <v>35</v>
      </c>
      <c r="F26891">
        <v>6880143</v>
      </c>
      <c r="G26891" t="s">
        <v>8078</v>
      </c>
      <c r="H26891" s="21">
        <v>610.16999999999996</v>
      </c>
    </row>
    <row r="26892" spans="1:8" customFormat="1" x14ac:dyDescent="0.25">
      <c r="A26892" t="str">
        <f>"549997"</f>
        <v>549997</v>
      </c>
      <c r="B26892" t="s">
        <v>19248</v>
      </c>
      <c r="C26892" t="s">
        <v>415</v>
      </c>
      <c r="D26892" s="21" t="s">
        <v>34</v>
      </c>
      <c r="E26892" s="21" t="s">
        <v>254</v>
      </c>
      <c r="F26892">
        <v>6540040</v>
      </c>
      <c r="G26892" t="s">
        <v>256</v>
      </c>
      <c r="H26892" s="21">
        <v>610.16999999999996</v>
      </c>
    </row>
    <row r="26893" spans="1:8" customFormat="1" x14ac:dyDescent="0.25">
      <c r="A26893" t="str">
        <f>"9536694"</f>
        <v>9536694</v>
      </c>
      <c r="B26893" t="s">
        <v>16199</v>
      </c>
      <c r="C26893" t="s">
        <v>1446</v>
      </c>
      <c r="D26893" s="21" t="s">
        <v>34</v>
      </c>
      <c r="E26893" s="21" t="s">
        <v>35</v>
      </c>
      <c r="F26893">
        <v>8950092</v>
      </c>
      <c r="G26893" t="s">
        <v>2039</v>
      </c>
      <c r="H26893" s="21">
        <v>610.16999999999996</v>
      </c>
    </row>
    <row r="26894" spans="1:8" customFormat="1" x14ac:dyDescent="0.25">
      <c r="A26894" t="str">
        <f>"652332"</f>
        <v>652332</v>
      </c>
      <c r="B26894" t="s">
        <v>7262</v>
      </c>
      <c r="C26894" t="s">
        <v>109</v>
      </c>
      <c r="D26894" s="21" t="s">
        <v>34</v>
      </c>
      <c r="E26894" s="21" t="s">
        <v>35</v>
      </c>
      <c r="F26894">
        <v>11650017</v>
      </c>
      <c r="G26894" t="s">
        <v>13273</v>
      </c>
      <c r="H26894" s="21">
        <v>610.16999999999996</v>
      </c>
    </row>
    <row r="26895" spans="1:8" customFormat="1" x14ac:dyDescent="0.25">
      <c r="A26895" t="str">
        <f>"538890"</f>
        <v>538890</v>
      </c>
      <c r="B26895" t="s">
        <v>2505</v>
      </c>
      <c r="C26895" t="s">
        <v>1853</v>
      </c>
      <c r="D26895" s="21" t="s">
        <v>34</v>
      </c>
      <c r="E26895" s="21" t="s">
        <v>71</v>
      </c>
      <c r="F26895">
        <v>12530026</v>
      </c>
      <c r="G26895" t="s">
        <v>7463</v>
      </c>
      <c r="H26895" s="21">
        <v>610.16999999999996</v>
      </c>
    </row>
    <row r="26896" spans="1:8" customFormat="1" x14ac:dyDescent="0.25">
      <c r="A26896" t="str">
        <f>"5411340"</f>
        <v>5411340</v>
      </c>
      <c r="B26896" t="s">
        <v>19086</v>
      </c>
      <c r="C26896" t="s">
        <v>1539</v>
      </c>
      <c r="D26896" s="21" t="s">
        <v>34</v>
      </c>
      <c r="E26896" s="21" t="s">
        <v>71</v>
      </c>
      <c r="F26896">
        <v>6540135</v>
      </c>
      <c r="G26896" t="s">
        <v>11525</v>
      </c>
      <c r="H26896" s="21">
        <v>610.16999999999996</v>
      </c>
    </row>
    <row r="26897" spans="1:8" customFormat="1" x14ac:dyDescent="0.25">
      <c r="A26897" t="str">
        <f>"5621829"</f>
        <v>5621829</v>
      </c>
      <c r="B26897" t="s">
        <v>11717</v>
      </c>
      <c r="C26897" t="s">
        <v>528</v>
      </c>
      <c r="D26897" s="21" t="s">
        <v>34</v>
      </c>
      <c r="E26897" s="21" t="s">
        <v>71</v>
      </c>
      <c r="F26897">
        <v>3560036</v>
      </c>
      <c r="G26897" t="s">
        <v>910</v>
      </c>
      <c r="H26897" s="21">
        <v>610.16999999999996</v>
      </c>
    </row>
    <row r="26898" spans="1:8" customFormat="1" x14ac:dyDescent="0.25">
      <c r="A26898" t="str">
        <f>"938613"</f>
        <v>938613</v>
      </c>
      <c r="B26898" t="s">
        <v>18641</v>
      </c>
      <c r="C26898" t="s">
        <v>269</v>
      </c>
      <c r="D26898" s="21" t="s">
        <v>34</v>
      </c>
      <c r="E26898" s="21" t="s">
        <v>71</v>
      </c>
      <c r="F26898">
        <v>8950481</v>
      </c>
      <c r="G26898" t="s">
        <v>1472</v>
      </c>
      <c r="H26898" s="21">
        <v>610.16999999999996</v>
      </c>
    </row>
    <row r="26899" spans="1:8" customFormat="1" x14ac:dyDescent="0.25">
      <c r="A26899" t="str">
        <f>"9D2760"</f>
        <v>9D2760</v>
      </c>
      <c r="B26899" t="s">
        <v>6925</v>
      </c>
      <c r="C26899" t="s">
        <v>169</v>
      </c>
      <c r="D26899" s="21" t="s">
        <v>34</v>
      </c>
      <c r="E26899" s="21" t="s">
        <v>35</v>
      </c>
      <c r="F26899" t="s">
        <v>8815</v>
      </c>
      <c r="G26899" t="s">
        <v>8816</v>
      </c>
      <c r="H26899" s="21">
        <v>610.16999999999996</v>
      </c>
    </row>
    <row r="26900" spans="1:8" customFormat="1" x14ac:dyDescent="0.25">
      <c r="A26900" t="str">
        <f>"5977631"</f>
        <v>5977631</v>
      </c>
      <c r="B26900" t="s">
        <v>18673</v>
      </c>
      <c r="C26900" t="s">
        <v>149</v>
      </c>
      <c r="D26900" s="21" t="s">
        <v>34</v>
      </c>
      <c r="E26900" s="21" t="s">
        <v>35</v>
      </c>
      <c r="F26900">
        <v>7590379</v>
      </c>
      <c r="G26900" t="s">
        <v>13711</v>
      </c>
      <c r="H26900" s="21">
        <v>610.16999999999996</v>
      </c>
    </row>
    <row r="26901" spans="1:8" customFormat="1" x14ac:dyDescent="0.25">
      <c r="A26901" t="str">
        <f>"5939197"</f>
        <v>5939197</v>
      </c>
      <c r="B26901" t="s">
        <v>27947</v>
      </c>
      <c r="C26901" t="s">
        <v>33</v>
      </c>
      <c r="D26901" s="21" t="s">
        <v>34</v>
      </c>
      <c r="E26901" s="21" t="s">
        <v>35</v>
      </c>
      <c r="F26901">
        <v>7620092</v>
      </c>
      <c r="G26901" t="s">
        <v>9874</v>
      </c>
      <c r="H26901" s="21">
        <v>610.16999999999996</v>
      </c>
    </row>
    <row r="26902" spans="1:8" customFormat="1" x14ac:dyDescent="0.25">
      <c r="A26902" t="str">
        <f>"537465"</f>
        <v>537465</v>
      </c>
      <c r="B26902" t="s">
        <v>19838</v>
      </c>
      <c r="C26902" t="s">
        <v>1705</v>
      </c>
      <c r="D26902" s="21" t="s">
        <v>34</v>
      </c>
      <c r="E26902" s="21" t="s">
        <v>254</v>
      </c>
      <c r="F26902">
        <v>12530062</v>
      </c>
      <c r="G26902" t="s">
        <v>1116</v>
      </c>
      <c r="H26902" s="21">
        <v>610.16999999999996</v>
      </c>
    </row>
    <row r="26903" spans="1:8" customFormat="1" x14ac:dyDescent="0.25">
      <c r="A26903" t="str">
        <f>"7619599"</f>
        <v>7619599</v>
      </c>
      <c r="B26903" t="s">
        <v>597</v>
      </c>
      <c r="C26903" t="s">
        <v>566</v>
      </c>
      <c r="D26903" s="21" t="s">
        <v>34</v>
      </c>
      <c r="E26903" s="21" t="s">
        <v>35</v>
      </c>
      <c r="F26903">
        <v>9760331</v>
      </c>
      <c r="G26903" t="s">
        <v>5134</v>
      </c>
      <c r="H26903" s="21">
        <v>610.16999999999996</v>
      </c>
    </row>
    <row r="26904" spans="1:8" customFormat="1" x14ac:dyDescent="0.25">
      <c r="A26904" t="str">
        <f>"3711613"</f>
        <v>3711613</v>
      </c>
      <c r="B26904" t="s">
        <v>6609</v>
      </c>
      <c r="C26904" t="s">
        <v>547</v>
      </c>
      <c r="D26904" s="21" t="s">
        <v>34</v>
      </c>
      <c r="E26904" s="21" t="s">
        <v>254</v>
      </c>
      <c r="F26904">
        <v>12720021</v>
      </c>
      <c r="G26904" t="s">
        <v>3329</v>
      </c>
      <c r="H26904" s="21">
        <v>610.16999999999996</v>
      </c>
    </row>
    <row r="26905" spans="1:8" customFormat="1" x14ac:dyDescent="0.25">
      <c r="A26905" t="str">
        <f>"3526679"</f>
        <v>3526679</v>
      </c>
      <c r="B26905" t="s">
        <v>19934</v>
      </c>
      <c r="C26905" t="s">
        <v>19935</v>
      </c>
      <c r="D26905" s="21" t="s">
        <v>34</v>
      </c>
      <c r="E26905" s="21" t="s">
        <v>35</v>
      </c>
      <c r="F26905">
        <v>3350150</v>
      </c>
      <c r="G26905" t="s">
        <v>6419</v>
      </c>
      <c r="H26905" s="21">
        <v>610.16999999999996</v>
      </c>
    </row>
    <row r="26906" spans="1:8" customFormat="1" x14ac:dyDescent="0.25">
      <c r="A26906" t="str">
        <f>"2219457"</f>
        <v>2219457</v>
      </c>
      <c r="B26906" t="s">
        <v>20477</v>
      </c>
      <c r="C26906" t="s">
        <v>269</v>
      </c>
      <c r="D26906" s="21" t="s">
        <v>34</v>
      </c>
      <c r="E26906" s="21" t="s">
        <v>71</v>
      </c>
      <c r="F26906">
        <v>3220008</v>
      </c>
      <c r="G26906" t="s">
        <v>6845</v>
      </c>
      <c r="H26906" s="21">
        <v>610.16999999999996</v>
      </c>
    </row>
    <row r="26907" spans="1:8" customFormat="1" x14ac:dyDescent="0.25">
      <c r="A26907" t="str">
        <f>"3013034"</f>
        <v>3013034</v>
      </c>
      <c r="B26907" t="s">
        <v>20378</v>
      </c>
      <c r="C26907" t="s">
        <v>12080</v>
      </c>
      <c r="D26907" s="21" t="s">
        <v>34</v>
      </c>
      <c r="E26907" s="21" t="s">
        <v>1089</v>
      </c>
      <c r="F26907">
        <v>11300016</v>
      </c>
      <c r="G26907" t="s">
        <v>157</v>
      </c>
      <c r="H26907" s="21">
        <v>610.04</v>
      </c>
    </row>
    <row r="26908" spans="1:8" customFormat="1" x14ac:dyDescent="0.25">
      <c r="A26908" t="str">
        <f>"9235014"</f>
        <v>9235014</v>
      </c>
      <c r="B26908" t="s">
        <v>1751</v>
      </c>
      <c r="C26908" t="s">
        <v>65</v>
      </c>
      <c r="D26908" s="21" t="s">
        <v>34</v>
      </c>
      <c r="E26908" s="21" t="s">
        <v>35</v>
      </c>
      <c r="F26908">
        <v>12720120</v>
      </c>
      <c r="G26908" t="s">
        <v>2509</v>
      </c>
      <c r="H26908" s="21">
        <v>610</v>
      </c>
    </row>
    <row r="26909" spans="1:8" customFormat="1" x14ac:dyDescent="0.25">
      <c r="A26909" t="str">
        <f>"7214940"</f>
        <v>7214940</v>
      </c>
      <c r="B26909" t="s">
        <v>15462</v>
      </c>
      <c r="C26909" t="s">
        <v>139</v>
      </c>
      <c r="D26909" s="21" t="s">
        <v>34</v>
      </c>
      <c r="E26909" s="21" t="s">
        <v>71</v>
      </c>
      <c r="F26909">
        <v>12720104</v>
      </c>
      <c r="G26909" t="s">
        <v>224</v>
      </c>
      <c r="H26909" s="21">
        <v>609.91999999999996</v>
      </c>
    </row>
    <row r="26910" spans="1:8" customFormat="1" x14ac:dyDescent="0.25">
      <c r="A26910" t="str">
        <f>"5323009"</f>
        <v>5323009</v>
      </c>
      <c r="B26910" t="s">
        <v>5397</v>
      </c>
      <c r="C26910" t="s">
        <v>12304</v>
      </c>
      <c r="D26910" s="21" t="s">
        <v>34</v>
      </c>
      <c r="E26910" s="21" t="s">
        <v>254</v>
      </c>
      <c r="F26910">
        <v>12530018</v>
      </c>
      <c r="G26910" t="s">
        <v>8768</v>
      </c>
      <c r="H26910" s="21">
        <v>609.91999999999996</v>
      </c>
    </row>
    <row r="26911" spans="1:8" customFormat="1" x14ac:dyDescent="0.25">
      <c r="A26911" t="str">
        <f>"738795"</f>
        <v>738795</v>
      </c>
      <c r="B26911" t="s">
        <v>6988</v>
      </c>
      <c r="C26911" t="s">
        <v>87</v>
      </c>
      <c r="D26911" s="21" t="s">
        <v>34</v>
      </c>
      <c r="E26911" s="21" t="s">
        <v>35</v>
      </c>
      <c r="F26911">
        <v>1730007</v>
      </c>
      <c r="G26911" t="s">
        <v>6989</v>
      </c>
      <c r="H26911" s="21">
        <v>609.91999999999996</v>
      </c>
    </row>
    <row r="26912" spans="1:8" customFormat="1" x14ac:dyDescent="0.25">
      <c r="A26912" t="str">
        <f>"7413779"</f>
        <v>7413779</v>
      </c>
      <c r="B26912" t="s">
        <v>21601</v>
      </c>
      <c r="C26912" t="s">
        <v>926</v>
      </c>
      <c r="D26912" s="21" t="s">
        <v>34</v>
      </c>
      <c r="E26912" s="21" t="s">
        <v>254</v>
      </c>
      <c r="F26912">
        <v>1740063</v>
      </c>
      <c r="G26912" t="s">
        <v>9745</v>
      </c>
      <c r="H26912" s="21">
        <v>609.79</v>
      </c>
    </row>
    <row r="26913" spans="1:8" customFormat="1" x14ac:dyDescent="0.25">
      <c r="A26913" t="str">
        <f>"104872"</f>
        <v>104872</v>
      </c>
      <c r="B26913" t="s">
        <v>11962</v>
      </c>
      <c r="C26913" t="s">
        <v>328</v>
      </c>
      <c r="D26913" s="21" t="s">
        <v>34</v>
      </c>
      <c r="E26913" s="21" t="s">
        <v>71</v>
      </c>
      <c r="F26913">
        <v>6100046</v>
      </c>
      <c r="G26913" t="s">
        <v>12853</v>
      </c>
      <c r="H26913" s="21">
        <v>609.79</v>
      </c>
    </row>
    <row r="26914" spans="1:8" customFormat="1" x14ac:dyDescent="0.25">
      <c r="A26914" t="str">
        <f>"7523714"</f>
        <v>7523714</v>
      </c>
      <c r="B26914" t="s">
        <v>21284</v>
      </c>
      <c r="C26914" t="s">
        <v>21285</v>
      </c>
      <c r="D26914" s="21" t="s">
        <v>34</v>
      </c>
      <c r="E26914" s="21" t="s">
        <v>35</v>
      </c>
      <c r="F26914">
        <v>8750120</v>
      </c>
      <c r="G26914" t="s">
        <v>838</v>
      </c>
      <c r="H26914" s="21">
        <v>609.66999999999996</v>
      </c>
    </row>
    <row r="26915" spans="1:8" customFormat="1" x14ac:dyDescent="0.25">
      <c r="A26915" t="str">
        <f>"8510769"</f>
        <v>8510769</v>
      </c>
      <c r="B26915" t="s">
        <v>18520</v>
      </c>
      <c r="C26915" t="s">
        <v>253</v>
      </c>
      <c r="D26915" s="21" t="s">
        <v>34</v>
      </c>
      <c r="E26915" s="21" t="s">
        <v>254</v>
      </c>
      <c r="F26915">
        <v>12850128</v>
      </c>
      <c r="G26915" t="s">
        <v>3656</v>
      </c>
      <c r="H26915" s="21">
        <v>609.66999999999996</v>
      </c>
    </row>
    <row r="26916" spans="1:8" customFormat="1" x14ac:dyDescent="0.25">
      <c r="A26916" t="str">
        <f>"5954045"</f>
        <v>5954045</v>
      </c>
      <c r="B26916" t="s">
        <v>19651</v>
      </c>
      <c r="C26916" t="s">
        <v>263</v>
      </c>
      <c r="D26916" s="21" t="s">
        <v>34</v>
      </c>
      <c r="E26916" s="21" t="s">
        <v>71</v>
      </c>
      <c r="F26916">
        <v>7590065</v>
      </c>
      <c r="G26916" t="s">
        <v>1598</v>
      </c>
      <c r="H26916" s="21">
        <v>609.66999999999996</v>
      </c>
    </row>
    <row r="26917" spans="1:8" customFormat="1" x14ac:dyDescent="0.25">
      <c r="A26917" t="str">
        <f>"50620"</f>
        <v>50620</v>
      </c>
      <c r="B26917" t="s">
        <v>19206</v>
      </c>
      <c r="C26917" t="s">
        <v>3905</v>
      </c>
      <c r="D26917" s="21" t="s">
        <v>34</v>
      </c>
      <c r="E26917" s="21" t="s">
        <v>6185</v>
      </c>
      <c r="F26917">
        <v>9500130</v>
      </c>
      <c r="G26917" t="s">
        <v>5326</v>
      </c>
      <c r="H26917" s="21">
        <v>609.66999999999996</v>
      </c>
    </row>
    <row r="26918" spans="1:8" customFormat="1" x14ac:dyDescent="0.25">
      <c r="A26918" t="str">
        <f>"4455440"</f>
        <v>4455440</v>
      </c>
      <c r="B26918" t="s">
        <v>20349</v>
      </c>
      <c r="C26918" t="s">
        <v>211</v>
      </c>
      <c r="D26918" s="21" t="s">
        <v>34</v>
      </c>
      <c r="E26918" s="21" t="s">
        <v>35</v>
      </c>
      <c r="F26918">
        <v>12440138</v>
      </c>
      <c r="G26918" t="s">
        <v>562</v>
      </c>
      <c r="H26918" s="21">
        <v>609.66999999999996</v>
      </c>
    </row>
    <row r="26919" spans="1:8" customFormat="1" x14ac:dyDescent="0.25">
      <c r="A26919" t="str">
        <f>"371279"</f>
        <v>371279</v>
      </c>
      <c r="B26919" t="s">
        <v>9114</v>
      </c>
      <c r="C26919" t="s">
        <v>1142</v>
      </c>
      <c r="D26919" s="21" t="s">
        <v>34</v>
      </c>
      <c r="E26919" s="21" t="s">
        <v>254</v>
      </c>
      <c r="F26919">
        <v>4370478</v>
      </c>
      <c r="G26919" t="s">
        <v>4735</v>
      </c>
      <c r="H26919" s="21">
        <v>609.66999999999996</v>
      </c>
    </row>
    <row r="26920" spans="1:8" customFormat="1" x14ac:dyDescent="0.25">
      <c r="A26920" t="str">
        <f>"513819"</f>
        <v>513819</v>
      </c>
      <c r="B26920" t="s">
        <v>641</v>
      </c>
      <c r="C26920" t="s">
        <v>1605</v>
      </c>
      <c r="D26920" s="21" t="s">
        <v>34</v>
      </c>
      <c r="E26920" s="21" t="s">
        <v>254</v>
      </c>
      <c r="F26920">
        <v>6510053</v>
      </c>
      <c r="G26920" t="s">
        <v>27203</v>
      </c>
      <c r="H26920" s="21">
        <v>609.66999999999996</v>
      </c>
    </row>
    <row r="26921" spans="1:8" customFormat="1" x14ac:dyDescent="0.25">
      <c r="A26921" t="str">
        <f>"35531"</f>
        <v>35531</v>
      </c>
      <c r="B26921" t="s">
        <v>20607</v>
      </c>
      <c r="C26921" t="s">
        <v>2520</v>
      </c>
      <c r="D26921" s="21" t="s">
        <v>34</v>
      </c>
      <c r="E26921" s="21" t="s">
        <v>254</v>
      </c>
      <c r="F26921">
        <v>3350095</v>
      </c>
      <c r="G26921" t="s">
        <v>5813</v>
      </c>
      <c r="H26921" s="21">
        <v>609.66999999999996</v>
      </c>
    </row>
    <row r="26922" spans="1:8" customFormat="1" x14ac:dyDescent="0.25">
      <c r="A26922" t="str">
        <f>"2720485"</f>
        <v>2720485</v>
      </c>
      <c r="B26922" t="s">
        <v>4904</v>
      </c>
      <c r="C26922" t="s">
        <v>19805</v>
      </c>
      <c r="D26922" s="21" t="s">
        <v>34</v>
      </c>
      <c r="E26922" s="21" t="s">
        <v>35</v>
      </c>
      <c r="F26922">
        <v>9270087</v>
      </c>
      <c r="G26922" t="s">
        <v>7014</v>
      </c>
      <c r="H26922" s="21">
        <v>609.66999999999996</v>
      </c>
    </row>
    <row r="26923" spans="1:8" customFormat="1" x14ac:dyDescent="0.25">
      <c r="A26923" t="str">
        <f>"4431702"</f>
        <v>4431702</v>
      </c>
      <c r="B26923" t="s">
        <v>4822</v>
      </c>
      <c r="C26923" t="s">
        <v>209</v>
      </c>
      <c r="D26923" s="21" t="s">
        <v>34</v>
      </c>
      <c r="E26923" s="21" t="s">
        <v>71</v>
      </c>
      <c r="F26923">
        <v>12440142</v>
      </c>
      <c r="G26923" t="s">
        <v>3285</v>
      </c>
      <c r="H26923" s="21">
        <v>609.66999999999996</v>
      </c>
    </row>
    <row r="26924" spans="1:8" customFormat="1" x14ac:dyDescent="0.25">
      <c r="A26924" t="str">
        <f>"4923864"</f>
        <v>4923864</v>
      </c>
      <c r="B26924" t="s">
        <v>18541</v>
      </c>
      <c r="C26924" t="s">
        <v>428</v>
      </c>
      <c r="D26924" s="21" t="s">
        <v>34</v>
      </c>
      <c r="E26924" s="21" t="s">
        <v>35</v>
      </c>
      <c r="F26924">
        <v>12490123</v>
      </c>
      <c r="G26924" t="s">
        <v>20118</v>
      </c>
      <c r="H26924" s="21">
        <v>609.66999999999996</v>
      </c>
    </row>
    <row r="26925" spans="1:8" customFormat="1" x14ac:dyDescent="0.25">
      <c r="A26925" t="str">
        <f>"0616210"</f>
        <v>0616210</v>
      </c>
      <c r="B26925" t="s">
        <v>18456</v>
      </c>
      <c r="C26925" t="s">
        <v>62</v>
      </c>
      <c r="D26925" s="21" t="s">
        <v>34</v>
      </c>
      <c r="E26925" s="21" t="s">
        <v>35</v>
      </c>
      <c r="F26925">
        <v>13060088</v>
      </c>
      <c r="G26925" t="s">
        <v>15538</v>
      </c>
      <c r="H26925" s="21">
        <v>609.66999999999996</v>
      </c>
    </row>
    <row r="26926" spans="1:8" customFormat="1" x14ac:dyDescent="0.25">
      <c r="A26926" t="str">
        <f>"3719318"</f>
        <v>3719318</v>
      </c>
      <c r="B26926" t="s">
        <v>6611</v>
      </c>
      <c r="C26926" t="s">
        <v>462</v>
      </c>
      <c r="D26926" s="21" t="s">
        <v>34</v>
      </c>
      <c r="E26926" s="21" t="s">
        <v>71</v>
      </c>
      <c r="F26926">
        <v>4370533</v>
      </c>
      <c r="G26926" t="s">
        <v>10553</v>
      </c>
      <c r="H26926" s="21">
        <v>609.66999999999996</v>
      </c>
    </row>
    <row r="26927" spans="1:8" customFormat="1" x14ac:dyDescent="0.25">
      <c r="A26927" t="str">
        <f>"275525"</f>
        <v>275525</v>
      </c>
      <c r="B26927" t="s">
        <v>15519</v>
      </c>
      <c r="C26927" t="s">
        <v>246</v>
      </c>
      <c r="D26927" s="21" t="s">
        <v>34</v>
      </c>
      <c r="E26927" s="21" t="s">
        <v>254</v>
      </c>
      <c r="F26927">
        <v>9270097</v>
      </c>
      <c r="G26927" t="s">
        <v>9759</v>
      </c>
      <c r="H26927" s="21">
        <v>609.66999999999996</v>
      </c>
    </row>
    <row r="26928" spans="1:8" customFormat="1" x14ac:dyDescent="0.25">
      <c r="A26928" t="str">
        <f>"2810783"</f>
        <v>2810783</v>
      </c>
      <c r="B26928" t="s">
        <v>17868</v>
      </c>
      <c r="C26928" t="s">
        <v>55</v>
      </c>
      <c r="D26928" s="21" t="s">
        <v>34</v>
      </c>
      <c r="E26928" s="21" t="s">
        <v>35</v>
      </c>
      <c r="F26928">
        <v>4280617</v>
      </c>
      <c r="G26928" t="s">
        <v>8540</v>
      </c>
      <c r="H26928" s="21">
        <v>609.66999999999996</v>
      </c>
    </row>
    <row r="26929" spans="1:8" customFormat="1" x14ac:dyDescent="0.25">
      <c r="A26929" t="str">
        <f>"7616917"</f>
        <v>7616917</v>
      </c>
      <c r="B26929" t="s">
        <v>20338</v>
      </c>
      <c r="C26929" t="s">
        <v>269</v>
      </c>
      <c r="D26929" s="21" t="s">
        <v>34</v>
      </c>
      <c r="E26929" s="21" t="s">
        <v>71</v>
      </c>
      <c r="F26929">
        <v>9760447</v>
      </c>
      <c r="G26929" t="s">
        <v>5942</v>
      </c>
      <c r="H26929" s="21">
        <v>609.66999999999996</v>
      </c>
    </row>
    <row r="26930" spans="1:8" customFormat="1" x14ac:dyDescent="0.25">
      <c r="A26930" t="str">
        <f>"894387"</f>
        <v>894387</v>
      </c>
      <c r="B26930" t="s">
        <v>1661</v>
      </c>
      <c r="C26930" t="s">
        <v>415</v>
      </c>
      <c r="D26930" s="21" t="s">
        <v>34</v>
      </c>
      <c r="E26930" s="21" t="s">
        <v>254</v>
      </c>
      <c r="F26930">
        <v>2890005</v>
      </c>
      <c r="G26930" t="s">
        <v>2889</v>
      </c>
      <c r="H26930" s="21">
        <v>609.66999999999996</v>
      </c>
    </row>
    <row r="26931" spans="1:8" customFormat="1" x14ac:dyDescent="0.25">
      <c r="A26931" t="str">
        <f>"2912452"</f>
        <v>2912452</v>
      </c>
      <c r="B26931" t="s">
        <v>19046</v>
      </c>
      <c r="C26931" t="s">
        <v>269</v>
      </c>
      <c r="D26931" s="21" t="s">
        <v>34</v>
      </c>
      <c r="E26931" s="21" t="s">
        <v>71</v>
      </c>
      <c r="F26931">
        <v>3290006</v>
      </c>
      <c r="G26931" t="s">
        <v>13009</v>
      </c>
      <c r="H26931" s="21">
        <v>609.66999999999996</v>
      </c>
    </row>
    <row r="26932" spans="1:8" customFormat="1" x14ac:dyDescent="0.25">
      <c r="A26932" t="str">
        <f>"4514452"</f>
        <v>4514452</v>
      </c>
      <c r="B26932" t="s">
        <v>19294</v>
      </c>
      <c r="C26932" t="s">
        <v>486</v>
      </c>
      <c r="D26932" s="21" t="s">
        <v>34</v>
      </c>
      <c r="E26932" s="21" t="s">
        <v>254</v>
      </c>
      <c r="F26932">
        <v>4450737</v>
      </c>
      <c r="G26932" t="s">
        <v>11798</v>
      </c>
      <c r="H26932" s="21">
        <v>609.66999999999996</v>
      </c>
    </row>
    <row r="26933" spans="1:8" customFormat="1" x14ac:dyDescent="0.25">
      <c r="A26933" t="str">
        <f>"585975"</f>
        <v>585975</v>
      </c>
      <c r="B26933" t="s">
        <v>765</v>
      </c>
      <c r="C26933" t="s">
        <v>285</v>
      </c>
      <c r="D26933" s="21" t="s">
        <v>34</v>
      </c>
      <c r="E26933" s="21" t="s">
        <v>71</v>
      </c>
      <c r="F26933">
        <v>12440051</v>
      </c>
      <c r="G26933" t="s">
        <v>2191</v>
      </c>
      <c r="H26933" s="21">
        <v>609.66999999999996</v>
      </c>
    </row>
    <row r="26934" spans="1:8" customFormat="1" x14ac:dyDescent="0.25">
      <c r="A26934" t="str">
        <f>"1315933"</f>
        <v>1315933</v>
      </c>
      <c r="B26934" t="s">
        <v>19601</v>
      </c>
      <c r="C26934" t="s">
        <v>883</v>
      </c>
      <c r="D26934" s="21" t="s">
        <v>34</v>
      </c>
      <c r="E26934" s="21" t="s">
        <v>71</v>
      </c>
      <c r="F26934">
        <v>13130124</v>
      </c>
      <c r="G26934" t="s">
        <v>5311</v>
      </c>
      <c r="H26934" s="21">
        <v>609.66999999999996</v>
      </c>
    </row>
    <row r="26935" spans="1:8" customFormat="1" x14ac:dyDescent="0.25">
      <c r="A26935" t="str">
        <f>"5431844"</f>
        <v>5431844</v>
      </c>
      <c r="B26935" t="s">
        <v>21288</v>
      </c>
      <c r="C26935" t="s">
        <v>90</v>
      </c>
      <c r="D26935" s="21" t="s">
        <v>34</v>
      </c>
      <c r="E26935" s="21" t="s">
        <v>71</v>
      </c>
      <c r="F26935">
        <v>6540055</v>
      </c>
      <c r="G26935" t="s">
        <v>9080</v>
      </c>
      <c r="H26935" s="21">
        <v>609.66999999999996</v>
      </c>
    </row>
    <row r="26936" spans="1:8" customFormat="1" x14ac:dyDescent="0.25">
      <c r="A26936" t="str">
        <f>"6722069"</f>
        <v>6722069</v>
      </c>
      <c r="B26936" t="s">
        <v>19462</v>
      </c>
      <c r="C26936" t="s">
        <v>547</v>
      </c>
      <c r="D26936" s="21" t="s">
        <v>34</v>
      </c>
      <c r="E26936" s="21" t="s">
        <v>254</v>
      </c>
      <c r="F26936">
        <v>6670201</v>
      </c>
      <c r="G26936" t="s">
        <v>8483</v>
      </c>
      <c r="H26936" s="21">
        <v>609.66999999999996</v>
      </c>
    </row>
    <row r="26937" spans="1:8" customFormat="1" x14ac:dyDescent="0.25">
      <c r="A26937" t="str">
        <f>"3534241"</f>
        <v>3534241</v>
      </c>
      <c r="B26937" t="s">
        <v>13539</v>
      </c>
      <c r="C26937" t="s">
        <v>204</v>
      </c>
      <c r="D26937" s="21" t="s">
        <v>34</v>
      </c>
      <c r="E26937" s="21" t="s">
        <v>35</v>
      </c>
      <c r="F26937">
        <v>3350092</v>
      </c>
      <c r="G26937" t="s">
        <v>26881</v>
      </c>
      <c r="H26937" s="21">
        <v>609.66999999999996</v>
      </c>
    </row>
    <row r="26938" spans="1:8" customFormat="1" x14ac:dyDescent="0.25">
      <c r="A26938" t="str">
        <f>"1310455"</f>
        <v>1310455</v>
      </c>
      <c r="B26938" t="s">
        <v>19378</v>
      </c>
      <c r="C26938" t="s">
        <v>209</v>
      </c>
      <c r="D26938" s="21" t="s">
        <v>34</v>
      </c>
      <c r="E26938" s="21" t="s">
        <v>71</v>
      </c>
      <c r="F26938">
        <v>13130159</v>
      </c>
      <c r="G26938" t="s">
        <v>199</v>
      </c>
      <c r="H26938" s="21">
        <v>609.66999999999996</v>
      </c>
    </row>
    <row r="26939" spans="1:8" customFormat="1" x14ac:dyDescent="0.25">
      <c r="A26939" t="str">
        <f>"7615436"</f>
        <v>7615436</v>
      </c>
      <c r="B26939" t="s">
        <v>19120</v>
      </c>
      <c r="C26939" t="s">
        <v>40</v>
      </c>
      <c r="D26939" s="21" t="s">
        <v>34</v>
      </c>
      <c r="E26939" s="21" t="s">
        <v>254</v>
      </c>
      <c r="F26939">
        <v>9760230</v>
      </c>
      <c r="G26939" t="s">
        <v>12511</v>
      </c>
      <c r="H26939" s="21">
        <v>609.66999999999996</v>
      </c>
    </row>
    <row r="26940" spans="1:8" customFormat="1" x14ac:dyDescent="0.25">
      <c r="A26940" t="str">
        <f>"189346"</f>
        <v>189346</v>
      </c>
      <c r="B26940" t="s">
        <v>4095</v>
      </c>
      <c r="C26940" t="s">
        <v>121</v>
      </c>
      <c r="D26940" s="21" t="s">
        <v>34</v>
      </c>
      <c r="E26940" s="21" t="s">
        <v>254</v>
      </c>
      <c r="F26940">
        <v>4180682</v>
      </c>
      <c r="G26940" t="s">
        <v>5261</v>
      </c>
      <c r="H26940" s="21">
        <v>609.66999999999996</v>
      </c>
    </row>
    <row r="26941" spans="1:8" customFormat="1" x14ac:dyDescent="0.25">
      <c r="A26941" t="str">
        <f>"1890"</f>
        <v>1890</v>
      </c>
      <c r="B26941" t="s">
        <v>4383</v>
      </c>
      <c r="C26941" t="s">
        <v>156</v>
      </c>
      <c r="D26941" s="21" t="s">
        <v>34</v>
      </c>
      <c r="E26941" s="21" t="s">
        <v>1089</v>
      </c>
      <c r="F26941">
        <v>4180530</v>
      </c>
      <c r="G26941" t="s">
        <v>3622</v>
      </c>
      <c r="H26941" s="21">
        <v>609.66999999999996</v>
      </c>
    </row>
    <row r="26942" spans="1:8" customFormat="1" x14ac:dyDescent="0.25">
      <c r="A26942" t="str">
        <f>"2720751"</f>
        <v>2720751</v>
      </c>
      <c r="B26942" t="s">
        <v>21647</v>
      </c>
      <c r="C26942" t="s">
        <v>1410</v>
      </c>
      <c r="D26942" s="21" t="s">
        <v>34</v>
      </c>
      <c r="E26942" s="21" t="s">
        <v>35</v>
      </c>
      <c r="F26942">
        <v>9270169</v>
      </c>
      <c r="G26942" t="s">
        <v>6217</v>
      </c>
      <c r="H26942" s="21">
        <v>609.66999999999996</v>
      </c>
    </row>
    <row r="26943" spans="1:8" customFormat="1" x14ac:dyDescent="0.25">
      <c r="A26943" t="str">
        <f>"2937047"</f>
        <v>2937047</v>
      </c>
      <c r="B26943" t="s">
        <v>1133</v>
      </c>
      <c r="C26943" t="s">
        <v>239</v>
      </c>
      <c r="D26943" s="21" t="s">
        <v>34</v>
      </c>
      <c r="E26943" s="21" t="s">
        <v>71</v>
      </c>
      <c r="F26943">
        <v>3290229</v>
      </c>
      <c r="G26943" t="s">
        <v>408</v>
      </c>
      <c r="H26943" s="21">
        <v>609.66999999999996</v>
      </c>
    </row>
    <row r="26944" spans="1:8" customFormat="1" x14ac:dyDescent="0.25">
      <c r="A26944" t="str">
        <f>"7518588"</f>
        <v>7518588</v>
      </c>
      <c r="B26944" t="s">
        <v>21007</v>
      </c>
      <c r="C26944" t="s">
        <v>459</v>
      </c>
      <c r="D26944" s="21" t="s">
        <v>34</v>
      </c>
      <c r="E26944" s="21" t="s">
        <v>35</v>
      </c>
      <c r="F26944">
        <v>8911454</v>
      </c>
      <c r="G26944" t="s">
        <v>8016</v>
      </c>
      <c r="H26944" s="21">
        <v>609.54</v>
      </c>
    </row>
    <row r="26945" spans="1:8" customFormat="1" x14ac:dyDescent="0.25">
      <c r="A26945" t="str">
        <f>"2930860"</f>
        <v>2930860</v>
      </c>
      <c r="B26945" t="s">
        <v>20468</v>
      </c>
      <c r="C26945" t="s">
        <v>1946</v>
      </c>
      <c r="D26945" s="21" t="s">
        <v>34</v>
      </c>
      <c r="E26945" s="21" t="s">
        <v>254</v>
      </c>
      <c r="F26945">
        <v>3290221</v>
      </c>
      <c r="G26945" t="s">
        <v>3544</v>
      </c>
      <c r="H26945" s="21">
        <v>609.41999999999996</v>
      </c>
    </row>
    <row r="26946" spans="1:8" customFormat="1" x14ac:dyDescent="0.25">
      <c r="A26946" t="str">
        <f>"2511751"</f>
        <v>2511751</v>
      </c>
      <c r="B26946" t="s">
        <v>8718</v>
      </c>
      <c r="C26946" t="s">
        <v>2520</v>
      </c>
      <c r="D26946" s="21" t="s">
        <v>34</v>
      </c>
      <c r="E26946" s="21" t="s">
        <v>1089</v>
      </c>
      <c r="F26946">
        <v>2250199</v>
      </c>
      <c r="G26946" t="s">
        <v>8756</v>
      </c>
      <c r="H26946" s="21">
        <v>609.41999999999996</v>
      </c>
    </row>
    <row r="26947" spans="1:8" customFormat="1" x14ac:dyDescent="0.25">
      <c r="A26947" t="str">
        <f>"3320365"</f>
        <v>3320365</v>
      </c>
      <c r="B26947" t="s">
        <v>19906</v>
      </c>
      <c r="C26947" t="s">
        <v>879</v>
      </c>
      <c r="D26947" s="21" t="s">
        <v>34</v>
      </c>
      <c r="E26947" s="21" t="s">
        <v>71</v>
      </c>
      <c r="F26947">
        <v>10330011</v>
      </c>
      <c r="G26947" t="s">
        <v>1789</v>
      </c>
      <c r="H26947" s="21">
        <v>609.29</v>
      </c>
    </row>
    <row r="26948" spans="1:8" customFormat="1" x14ac:dyDescent="0.25">
      <c r="A26948" t="str">
        <f>"153761"</f>
        <v>153761</v>
      </c>
      <c r="B26948" t="s">
        <v>13994</v>
      </c>
      <c r="C26948" t="s">
        <v>169</v>
      </c>
      <c r="D26948" s="21" t="s">
        <v>34</v>
      </c>
      <c r="E26948" s="21" t="s">
        <v>254</v>
      </c>
      <c r="F26948">
        <v>1150303</v>
      </c>
      <c r="G26948" t="s">
        <v>5809</v>
      </c>
      <c r="H26948" s="21">
        <v>609.29</v>
      </c>
    </row>
    <row r="26949" spans="1:8" customFormat="1" x14ac:dyDescent="0.25">
      <c r="A26949" t="str">
        <f>"3339811"</f>
        <v>3339811</v>
      </c>
      <c r="B26949" t="s">
        <v>987</v>
      </c>
      <c r="C26949" t="s">
        <v>43</v>
      </c>
      <c r="D26949" s="21" t="s">
        <v>34</v>
      </c>
      <c r="E26949" s="21" t="s">
        <v>35</v>
      </c>
      <c r="F26949">
        <v>10330086</v>
      </c>
      <c r="G26949" t="s">
        <v>785</v>
      </c>
      <c r="H26949" s="21">
        <v>609.16999999999996</v>
      </c>
    </row>
    <row r="26950" spans="1:8" customFormat="1" x14ac:dyDescent="0.25">
      <c r="A26950" t="str">
        <f>"7715105"</f>
        <v>7715105</v>
      </c>
      <c r="B26950" t="s">
        <v>22968</v>
      </c>
      <c r="C26950" t="s">
        <v>462</v>
      </c>
      <c r="D26950" s="21" t="s">
        <v>34</v>
      </c>
      <c r="E26950" s="21" t="s">
        <v>254</v>
      </c>
      <c r="F26950">
        <v>8771202</v>
      </c>
      <c r="G26950" t="s">
        <v>10223</v>
      </c>
      <c r="H26950" s="21">
        <v>609.16999999999996</v>
      </c>
    </row>
    <row r="26951" spans="1:8" customFormat="1" x14ac:dyDescent="0.25">
      <c r="A26951" t="str">
        <f>"9136608"</f>
        <v>9136608</v>
      </c>
      <c r="B26951" t="s">
        <v>19075</v>
      </c>
      <c r="C26951" t="s">
        <v>444</v>
      </c>
      <c r="D26951" s="21" t="s">
        <v>34</v>
      </c>
      <c r="E26951" s="21" t="s">
        <v>71</v>
      </c>
      <c r="F26951">
        <v>8910310</v>
      </c>
      <c r="G26951" t="s">
        <v>6645</v>
      </c>
      <c r="H26951" s="21">
        <v>609.16999999999996</v>
      </c>
    </row>
    <row r="26952" spans="1:8" customFormat="1" x14ac:dyDescent="0.25">
      <c r="A26952" t="str">
        <f>"5934754"</f>
        <v>5934754</v>
      </c>
      <c r="B26952" t="s">
        <v>8093</v>
      </c>
      <c r="C26952" t="s">
        <v>267</v>
      </c>
      <c r="D26952" s="21" t="s">
        <v>34</v>
      </c>
      <c r="E26952" s="21" t="s">
        <v>1089</v>
      </c>
      <c r="F26952">
        <v>7590347</v>
      </c>
      <c r="G26952" t="s">
        <v>6041</v>
      </c>
      <c r="H26952" s="21">
        <v>609.16999999999996</v>
      </c>
    </row>
    <row r="26953" spans="1:8" customFormat="1" x14ac:dyDescent="0.25">
      <c r="A26953" t="str">
        <f>"5018136"</f>
        <v>5018136</v>
      </c>
      <c r="B26953" t="s">
        <v>19764</v>
      </c>
      <c r="C26953" t="s">
        <v>43</v>
      </c>
      <c r="D26953" s="21" t="s">
        <v>34</v>
      </c>
      <c r="E26953" s="21" t="s">
        <v>35</v>
      </c>
      <c r="F26953">
        <v>9500088</v>
      </c>
      <c r="G26953" t="s">
        <v>15949</v>
      </c>
      <c r="H26953" s="21">
        <v>609.16999999999996</v>
      </c>
    </row>
    <row r="26954" spans="1:8" customFormat="1" x14ac:dyDescent="0.25">
      <c r="A26954" t="str">
        <f>"7639579"</f>
        <v>7639579</v>
      </c>
      <c r="B26954" t="s">
        <v>12185</v>
      </c>
      <c r="C26954" t="s">
        <v>130</v>
      </c>
      <c r="D26954" s="21" t="s">
        <v>34</v>
      </c>
      <c r="E26954" s="21" t="s">
        <v>71</v>
      </c>
      <c r="F26954">
        <v>9760011</v>
      </c>
      <c r="G26954" t="s">
        <v>2562</v>
      </c>
      <c r="H26954" s="21">
        <v>609.16999999999996</v>
      </c>
    </row>
    <row r="26955" spans="1:8" customFormat="1" x14ac:dyDescent="0.25">
      <c r="A26955" t="str">
        <f>"75531"</f>
        <v>75531</v>
      </c>
      <c r="B26955" t="s">
        <v>18918</v>
      </c>
      <c r="C26955" t="s">
        <v>109</v>
      </c>
      <c r="D26955" s="21" t="s">
        <v>34</v>
      </c>
      <c r="E26955" s="21" t="s">
        <v>254</v>
      </c>
      <c r="F26955">
        <v>8750100</v>
      </c>
      <c r="G26955" t="s">
        <v>10521</v>
      </c>
      <c r="H26955" s="21">
        <v>609.16999999999996</v>
      </c>
    </row>
    <row r="26956" spans="1:8" customFormat="1" x14ac:dyDescent="0.25">
      <c r="A26956" t="str">
        <f>"3522716"</f>
        <v>3522716</v>
      </c>
      <c r="B26956" t="s">
        <v>17822</v>
      </c>
      <c r="C26956" t="s">
        <v>379</v>
      </c>
      <c r="D26956" s="21" t="s">
        <v>34</v>
      </c>
      <c r="E26956" s="21" t="s">
        <v>6185</v>
      </c>
      <c r="F26956">
        <v>3350067</v>
      </c>
      <c r="G26956" t="s">
        <v>4439</v>
      </c>
      <c r="H26956" s="21">
        <v>609.16999999999996</v>
      </c>
    </row>
    <row r="26957" spans="1:8" customFormat="1" x14ac:dyDescent="0.25">
      <c r="A26957" t="str">
        <f>"637597"</f>
        <v>637597</v>
      </c>
      <c r="B26957" t="s">
        <v>21364</v>
      </c>
      <c r="C26957" t="s">
        <v>198</v>
      </c>
      <c r="D26957" s="21" t="s">
        <v>34</v>
      </c>
      <c r="E26957" s="21" t="s">
        <v>71</v>
      </c>
      <c r="F26957">
        <v>1630184</v>
      </c>
      <c r="G26957" t="s">
        <v>26702</v>
      </c>
      <c r="H26957" s="21">
        <v>609.16999999999996</v>
      </c>
    </row>
    <row r="26958" spans="1:8" customFormat="1" x14ac:dyDescent="0.25">
      <c r="A26958" t="str">
        <f>"5620727"</f>
        <v>5620727</v>
      </c>
      <c r="B26958" t="s">
        <v>22338</v>
      </c>
      <c r="C26958" t="s">
        <v>139</v>
      </c>
      <c r="D26958" s="21" t="s">
        <v>34</v>
      </c>
      <c r="E26958" s="21" t="s">
        <v>35</v>
      </c>
      <c r="F26958">
        <v>3560087</v>
      </c>
      <c r="G26958" t="s">
        <v>7767</v>
      </c>
      <c r="H26958" s="21">
        <v>609.16999999999996</v>
      </c>
    </row>
    <row r="26959" spans="1:8" customFormat="1" x14ac:dyDescent="0.25">
      <c r="A26959" t="str">
        <f>"6810086"</f>
        <v>6810086</v>
      </c>
      <c r="B26959" t="s">
        <v>13579</v>
      </c>
      <c r="C26959" t="s">
        <v>2752</v>
      </c>
      <c r="D26959" s="21" t="s">
        <v>34</v>
      </c>
      <c r="E26959" s="21" t="s">
        <v>254</v>
      </c>
      <c r="F26959">
        <v>6680130</v>
      </c>
      <c r="G26959" t="s">
        <v>26772</v>
      </c>
      <c r="H26959" s="21">
        <v>609.16999999999996</v>
      </c>
    </row>
    <row r="26960" spans="1:8" customFormat="1" x14ac:dyDescent="0.25">
      <c r="A26960" t="str">
        <f>"2511548"</f>
        <v>2511548</v>
      </c>
      <c r="B26960" t="s">
        <v>8866</v>
      </c>
      <c r="C26960" t="s">
        <v>1199</v>
      </c>
      <c r="D26960" s="21" t="s">
        <v>34</v>
      </c>
      <c r="E26960" s="21" t="s">
        <v>254</v>
      </c>
      <c r="F26960">
        <v>2250216</v>
      </c>
      <c r="G26960" t="s">
        <v>11454</v>
      </c>
      <c r="H26960" s="21">
        <v>609.16999999999996</v>
      </c>
    </row>
    <row r="26961" spans="1:8" customFormat="1" x14ac:dyDescent="0.25">
      <c r="A26961" t="str">
        <f>"2721436"</f>
        <v>2721436</v>
      </c>
      <c r="B26961" t="s">
        <v>465</v>
      </c>
      <c r="C26961" t="s">
        <v>719</v>
      </c>
      <c r="D26961" s="21" t="s">
        <v>34</v>
      </c>
      <c r="E26961" s="21" t="s">
        <v>35</v>
      </c>
      <c r="F26961">
        <v>9270047</v>
      </c>
      <c r="G26961" t="s">
        <v>4420</v>
      </c>
      <c r="H26961" s="21">
        <v>609.16999999999996</v>
      </c>
    </row>
    <row r="26962" spans="1:8" customFormat="1" x14ac:dyDescent="0.25">
      <c r="A26962" t="str">
        <f>"626618"</f>
        <v>626618</v>
      </c>
      <c r="B26962" t="s">
        <v>19254</v>
      </c>
      <c r="C26962" t="s">
        <v>879</v>
      </c>
      <c r="D26962" s="21" t="s">
        <v>34</v>
      </c>
      <c r="E26962" s="21" t="s">
        <v>254</v>
      </c>
      <c r="F26962">
        <v>7620100</v>
      </c>
      <c r="G26962" t="s">
        <v>145</v>
      </c>
      <c r="H26962" s="21">
        <v>609.16999999999996</v>
      </c>
    </row>
    <row r="26963" spans="1:8" customFormat="1" x14ac:dyDescent="0.25">
      <c r="A26963" t="str">
        <f>"853368"</f>
        <v>853368</v>
      </c>
      <c r="B26963" t="s">
        <v>4987</v>
      </c>
      <c r="C26963" t="s">
        <v>1597</v>
      </c>
      <c r="D26963" s="21" t="s">
        <v>34</v>
      </c>
      <c r="E26963" s="21" t="s">
        <v>254</v>
      </c>
      <c r="F26963">
        <v>12850015</v>
      </c>
      <c r="G26963" t="s">
        <v>4076</v>
      </c>
      <c r="H26963" s="21">
        <v>609.16999999999996</v>
      </c>
    </row>
    <row r="26964" spans="1:8" customFormat="1" x14ac:dyDescent="0.25">
      <c r="A26964" t="str">
        <f>"7827118"</f>
        <v>7827118</v>
      </c>
      <c r="B26964" t="s">
        <v>9277</v>
      </c>
      <c r="C26964" t="s">
        <v>263</v>
      </c>
      <c r="D26964" s="21" t="s">
        <v>34</v>
      </c>
      <c r="E26964" s="21" t="s">
        <v>71</v>
      </c>
      <c r="F26964">
        <v>8780128</v>
      </c>
      <c r="G26964" t="s">
        <v>4201</v>
      </c>
      <c r="H26964" s="21">
        <v>609.16999999999996</v>
      </c>
    </row>
    <row r="26965" spans="1:8" customFormat="1" x14ac:dyDescent="0.25">
      <c r="A26965" t="str">
        <f>"6313827"</f>
        <v>6313827</v>
      </c>
      <c r="B26965" t="s">
        <v>21275</v>
      </c>
      <c r="C26965" t="s">
        <v>204</v>
      </c>
      <c r="D26965" s="21" t="s">
        <v>34</v>
      </c>
      <c r="E26965" s="21" t="s">
        <v>71</v>
      </c>
      <c r="F26965">
        <v>1630123</v>
      </c>
      <c r="G26965" t="s">
        <v>1036</v>
      </c>
      <c r="H26965" s="21">
        <v>609.16999999999996</v>
      </c>
    </row>
    <row r="26966" spans="1:8" customFormat="1" x14ac:dyDescent="0.25">
      <c r="A26966" t="str">
        <f>"2513454"</f>
        <v>2513454</v>
      </c>
      <c r="B26966" t="s">
        <v>3009</v>
      </c>
      <c r="C26966" t="s">
        <v>156</v>
      </c>
      <c r="D26966" s="21" t="s">
        <v>34</v>
      </c>
      <c r="E26966" s="21" t="s">
        <v>254</v>
      </c>
      <c r="F26966">
        <v>2250229</v>
      </c>
      <c r="G26966" t="s">
        <v>5004</v>
      </c>
      <c r="H26966" s="21">
        <v>609.16999999999996</v>
      </c>
    </row>
    <row r="26967" spans="1:8" customFormat="1" x14ac:dyDescent="0.25">
      <c r="A26967" t="str">
        <f>"7724466"</f>
        <v>7724466</v>
      </c>
      <c r="B26967" t="s">
        <v>18610</v>
      </c>
      <c r="C26967" t="s">
        <v>608</v>
      </c>
      <c r="D26967" s="21" t="s">
        <v>34</v>
      </c>
      <c r="E26967" s="21" t="s">
        <v>71</v>
      </c>
      <c r="F26967">
        <v>8771514</v>
      </c>
      <c r="G26967" t="s">
        <v>10058</v>
      </c>
      <c r="H26967" s="21">
        <v>609.16999999999996</v>
      </c>
    </row>
    <row r="26968" spans="1:8" customFormat="1" x14ac:dyDescent="0.25">
      <c r="A26968" t="str">
        <f>"275672"</f>
        <v>275672</v>
      </c>
      <c r="B26968" t="s">
        <v>20371</v>
      </c>
      <c r="C26968" t="s">
        <v>20372</v>
      </c>
      <c r="D26968" s="21" t="s">
        <v>34</v>
      </c>
      <c r="E26968" s="21" t="s">
        <v>1089</v>
      </c>
      <c r="F26968">
        <v>9760156</v>
      </c>
      <c r="G26968" t="s">
        <v>26731</v>
      </c>
      <c r="H26968" s="21">
        <v>609.16999999999996</v>
      </c>
    </row>
    <row r="26969" spans="1:8" customFormat="1" x14ac:dyDescent="0.25">
      <c r="A26969" t="str">
        <f>"6948915"</f>
        <v>6948915</v>
      </c>
      <c r="B26969" t="s">
        <v>6018</v>
      </c>
      <c r="C26969" t="s">
        <v>1675</v>
      </c>
      <c r="D26969" s="21" t="s">
        <v>34</v>
      </c>
      <c r="E26969" s="21" t="s">
        <v>71</v>
      </c>
      <c r="F26969">
        <v>1690201</v>
      </c>
      <c r="G26969" t="s">
        <v>11274</v>
      </c>
      <c r="H26969" s="21">
        <v>609.16999999999996</v>
      </c>
    </row>
    <row r="26970" spans="1:8" customFormat="1" x14ac:dyDescent="0.25">
      <c r="A26970" t="str">
        <f>"723391"</f>
        <v>723391</v>
      </c>
      <c r="B26970" t="s">
        <v>2469</v>
      </c>
      <c r="C26970" t="s">
        <v>139</v>
      </c>
      <c r="D26970" s="21" t="s">
        <v>34</v>
      </c>
      <c r="E26970" s="21" t="s">
        <v>35</v>
      </c>
      <c r="F26970">
        <v>12720062</v>
      </c>
      <c r="G26970" t="s">
        <v>4026</v>
      </c>
      <c r="H26970" s="21">
        <v>609.16999999999996</v>
      </c>
    </row>
    <row r="26971" spans="1:8" customFormat="1" x14ac:dyDescent="0.25">
      <c r="A26971" t="str">
        <f>"3832388"</f>
        <v>3832388</v>
      </c>
      <c r="B26971" t="s">
        <v>27948</v>
      </c>
      <c r="C26971" t="s">
        <v>3456</v>
      </c>
      <c r="D26971" s="21" t="s">
        <v>34</v>
      </c>
      <c r="E26971" s="21" t="s">
        <v>35</v>
      </c>
      <c r="F26971">
        <v>1380298</v>
      </c>
      <c r="G26971" t="s">
        <v>5868</v>
      </c>
      <c r="H26971" s="21">
        <v>609</v>
      </c>
    </row>
    <row r="26972" spans="1:8" customFormat="1" x14ac:dyDescent="0.25">
      <c r="A26972" t="str">
        <f>"8528171"</f>
        <v>8528171</v>
      </c>
      <c r="B26972" t="s">
        <v>939</v>
      </c>
      <c r="C26972" t="s">
        <v>204</v>
      </c>
      <c r="D26972" s="21" t="s">
        <v>34</v>
      </c>
      <c r="E26972" s="21" t="s">
        <v>35</v>
      </c>
      <c r="F26972">
        <v>12850043</v>
      </c>
      <c r="G26972" t="s">
        <v>4873</v>
      </c>
      <c r="H26972" s="21">
        <v>608.91999999999996</v>
      </c>
    </row>
    <row r="26973" spans="1:8" customFormat="1" x14ac:dyDescent="0.25">
      <c r="A26973" t="str">
        <f>"713644"</f>
        <v>713644</v>
      </c>
      <c r="B26973" t="s">
        <v>19170</v>
      </c>
      <c r="C26973" t="s">
        <v>33</v>
      </c>
      <c r="D26973" s="21" t="s">
        <v>34</v>
      </c>
      <c r="E26973" s="21" t="s">
        <v>35</v>
      </c>
      <c r="F26973">
        <v>2710002</v>
      </c>
      <c r="G26973" t="s">
        <v>6838</v>
      </c>
      <c r="H26973" s="21">
        <v>608.91999999999996</v>
      </c>
    </row>
    <row r="26974" spans="1:8" customFormat="1" x14ac:dyDescent="0.25">
      <c r="A26974" t="str">
        <f>"7525054"</f>
        <v>7525054</v>
      </c>
      <c r="B26974" t="s">
        <v>27949</v>
      </c>
      <c r="C26974" t="s">
        <v>27950</v>
      </c>
      <c r="D26974" s="21" t="s">
        <v>34</v>
      </c>
      <c r="E26974" s="21" t="s">
        <v>35</v>
      </c>
      <c r="F26974">
        <v>8751058</v>
      </c>
      <c r="G26974" t="s">
        <v>4202</v>
      </c>
      <c r="H26974" s="21">
        <v>608.91999999999996</v>
      </c>
    </row>
    <row r="26975" spans="1:8" customFormat="1" x14ac:dyDescent="0.25">
      <c r="A26975" t="str">
        <f>"4523035"</f>
        <v>4523035</v>
      </c>
      <c r="B26975" t="s">
        <v>19792</v>
      </c>
      <c r="C26975" t="s">
        <v>2904</v>
      </c>
      <c r="D26975" s="21" t="s">
        <v>34</v>
      </c>
      <c r="E26975" s="21" t="s">
        <v>71</v>
      </c>
      <c r="F26975">
        <v>4450108</v>
      </c>
      <c r="G26975" t="s">
        <v>2354</v>
      </c>
      <c r="H26975" s="21">
        <v>608.91999999999996</v>
      </c>
    </row>
    <row r="26976" spans="1:8" customFormat="1" x14ac:dyDescent="0.25">
      <c r="A26976" t="str">
        <f>"524513"</f>
        <v>524513</v>
      </c>
      <c r="B26976" t="s">
        <v>21311</v>
      </c>
      <c r="C26976" t="s">
        <v>2984</v>
      </c>
      <c r="D26976" s="21" t="s">
        <v>34</v>
      </c>
      <c r="E26976" s="21" t="s">
        <v>71</v>
      </c>
      <c r="F26976">
        <v>6520054</v>
      </c>
      <c r="G26976" t="s">
        <v>2142</v>
      </c>
      <c r="H26976" s="21">
        <v>608.91999999999996</v>
      </c>
    </row>
    <row r="26977" spans="1:8" customFormat="1" x14ac:dyDescent="0.25">
      <c r="A26977" t="str">
        <f>"461465"</f>
        <v>461465</v>
      </c>
      <c r="B26977" t="s">
        <v>20090</v>
      </c>
      <c r="C26977" t="s">
        <v>13895</v>
      </c>
      <c r="D26977" s="21" t="s">
        <v>34</v>
      </c>
      <c r="E26977" s="21" t="s">
        <v>35</v>
      </c>
      <c r="F26977">
        <v>11460028</v>
      </c>
      <c r="G26977" t="s">
        <v>5243</v>
      </c>
      <c r="H26977" s="21">
        <v>608.79</v>
      </c>
    </row>
    <row r="26978" spans="1:8" customFormat="1" x14ac:dyDescent="0.25">
      <c r="A26978" t="str">
        <f>"7713069"</f>
        <v>7713069</v>
      </c>
      <c r="B26978" t="s">
        <v>19095</v>
      </c>
      <c r="C26978" t="s">
        <v>717</v>
      </c>
      <c r="D26978" s="21" t="s">
        <v>34</v>
      </c>
      <c r="E26978" s="21" t="s">
        <v>71</v>
      </c>
      <c r="F26978">
        <v>8770665</v>
      </c>
      <c r="G26978" t="s">
        <v>903</v>
      </c>
      <c r="H26978" s="21">
        <v>608.79</v>
      </c>
    </row>
    <row r="26979" spans="1:8" customFormat="1" x14ac:dyDescent="0.25">
      <c r="A26979" t="str">
        <f>"833966"</f>
        <v>833966</v>
      </c>
      <c r="B26979" t="s">
        <v>19144</v>
      </c>
      <c r="C26979" t="s">
        <v>2520</v>
      </c>
      <c r="D26979" s="21" t="s">
        <v>34</v>
      </c>
      <c r="E26979" s="21" t="s">
        <v>1089</v>
      </c>
      <c r="F26979">
        <v>13830071</v>
      </c>
      <c r="G26979" t="s">
        <v>3221</v>
      </c>
      <c r="H26979" s="21">
        <v>608.66999999999996</v>
      </c>
    </row>
    <row r="26980" spans="1:8" customFormat="1" x14ac:dyDescent="0.25">
      <c r="A26980" t="str">
        <f>"7630100"</f>
        <v>7630100</v>
      </c>
      <c r="B26980" t="s">
        <v>27951</v>
      </c>
      <c r="C26980" t="s">
        <v>87</v>
      </c>
      <c r="D26980" s="21" t="s">
        <v>34</v>
      </c>
      <c r="E26980" s="21" t="s">
        <v>35</v>
      </c>
      <c r="F26980">
        <v>9760315</v>
      </c>
      <c r="G26980" t="s">
        <v>12345</v>
      </c>
      <c r="H26980" s="21">
        <v>608.66999999999996</v>
      </c>
    </row>
    <row r="26981" spans="1:8" customFormat="1" x14ac:dyDescent="0.25">
      <c r="A26981" t="str">
        <f>"7711029"</f>
        <v>7711029</v>
      </c>
      <c r="B26981" t="s">
        <v>18715</v>
      </c>
      <c r="C26981" t="s">
        <v>169</v>
      </c>
      <c r="D26981" s="21" t="s">
        <v>34</v>
      </c>
      <c r="E26981" s="21" t="s">
        <v>71</v>
      </c>
      <c r="F26981">
        <v>8770250</v>
      </c>
      <c r="G26981" t="s">
        <v>2595</v>
      </c>
      <c r="H26981" s="21">
        <v>608.66999999999996</v>
      </c>
    </row>
    <row r="26982" spans="1:8" customFormat="1" x14ac:dyDescent="0.25">
      <c r="A26982" t="str">
        <f>"1610820"</f>
        <v>1610820</v>
      </c>
      <c r="B26982" t="s">
        <v>5098</v>
      </c>
      <c r="C26982" t="s">
        <v>209</v>
      </c>
      <c r="D26982" s="21" t="s">
        <v>34</v>
      </c>
      <c r="E26982" s="21" t="s">
        <v>71</v>
      </c>
      <c r="F26982">
        <v>10160059</v>
      </c>
      <c r="G26982" t="s">
        <v>6791</v>
      </c>
      <c r="H26982" s="21">
        <v>608.66999999999996</v>
      </c>
    </row>
    <row r="26983" spans="1:8" customFormat="1" x14ac:dyDescent="0.25">
      <c r="A26983" t="str">
        <f>"7620424"</f>
        <v>7620424</v>
      </c>
      <c r="B26983" t="s">
        <v>2489</v>
      </c>
      <c r="C26983" t="s">
        <v>2904</v>
      </c>
      <c r="D26983" s="21" t="s">
        <v>34</v>
      </c>
      <c r="E26983" s="21" t="s">
        <v>254</v>
      </c>
      <c r="F26983">
        <v>9760403</v>
      </c>
      <c r="G26983" t="s">
        <v>11140</v>
      </c>
      <c r="H26983" s="21">
        <v>608.66999999999996</v>
      </c>
    </row>
    <row r="26984" spans="1:8" customFormat="1" x14ac:dyDescent="0.25">
      <c r="A26984" t="str">
        <f>"104958"</f>
        <v>104958</v>
      </c>
      <c r="B26984" t="s">
        <v>4888</v>
      </c>
      <c r="C26984" t="s">
        <v>263</v>
      </c>
      <c r="D26984" s="21" t="s">
        <v>34</v>
      </c>
      <c r="E26984" s="21" t="s">
        <v>71</v>
      </c>
      <c r="F26984">
        <v>6100045</v>
      </c>
      <c r="G26984" t="s">
        <v>19169</v>
      </c>
      <c r="H26984" s="21">
        <v>608.66999999999996</v>
      </c>
    </row>
    <row r="26985" spans="1:8" customFormat="1" x14ac:dyDescent="0.25">
      <c r="A26985" t="str">
        <f>"4214360"</f>
        <v>4214360</v>
      </c>
      <c r="B26985" t="s">
        <v>27952</v>
      </c>
      <c r="C26985" t="s">
        <v>60</v>
      </c>
      <c r="D26985" s="21" t="s">
        <v>34</v>
      </c>
      <c r="E26985" s="21" t="s">
        <v>35</v>
      </c>
      <c r="F26985">
        <v>1420165</v>
      </c>
      <c r="G26985" t="s">
        <v>27111</v>
      </c>
      <c r="H26985" s="21">
        <v>608.66999999999996</v>
      </c>
    </row>
    <row r="26986" spans="1:8" customFormat="1" x14ac:dyDescent="0.25">
      <c r="A26986" t="str">
        <f>"933985"</f>
        <v>933985</v>
      </c>
      <c r="B26986" t="s">
        <v>4834</v>
      </c>
      <c r="C26986" t="s">
        <v>412</v>
      </c>
      <c r="D26986" s="21" t="s">
        <v>34</v>
      </c>
      <c r="E26986" s="21" t="s">
        <v>6185</v>
      </c>
      <c r="F26986">
        <v>8930148</v>
      </c>
      <c r="G26986" t="s">
        <v>1915</v>
      </c>
      <c r="H26986" s="21">
        <v>608.66999999999996</v>
      </c>
    </row>
    <row r="26987" spans="1:8" customFormat="1" x14ac:dyDescent="0.25">
      <c r="A26987" t="str">
        <f>"1717509"</f>
        <v>1717509</v>
      </c>
      <c r="B26987" t="s">
        <v>8853</v>
      </c>
      <c r="C26987" t="s">
        <v>233</v>
      </c>
      <c r="D26987" s="21" t="s">
        <v>34</v>
      </c>
      <c r="E26987" s="21" t="s">
        <v>254</v>
      </c>
      <c r="F26987">
        <v>10170178</v>
      </c>
      <c r="G26987" t="s">
        <v>17278</v>
      </c>
      <c r="H26987" s="21">
        <v>608.66999999999996</v>
      </c>
    </row>
    <row r="26988" spans="1:8" customFormat="1" x14ac:dyDescent="0.25">
      <c r="A26988" t="str">
        <f>"269106"</f>
        <v>269106</v>
      </c>
      <c r="B26988" t="s">
        <v>19635</v>
      </c>
      <c r="C26988" t="s">
        <v>62</v>
      </c>
      <c r="D26988" s="21" t="s">
        <v>34</v>
      </c>
      <c r="E26988" s="21" t="s">
        <v>35</v>
      </c>
      <c r="F26988">
        <v>1740077</v>
      </c>
      <c r="G26988" t="s">
        <v>19636</v>
      </c>
      <c r="H26988" s="21">
        <v>608.66999999999996</v>
      </c>
    </row>
    <row r="26989" spans="1:8" customFormat="1" x14ac:dyDescent="0.25">
      <c r="A26989" t="str">
        <f>"6017415"</f>
        <v>6017415</v>
      </c>
      <c r="B26989" t="s">
        <v>392</v>
      </c>
      <c r="C26989" t="s">
        <v>87</v>
      </c>
      <c r="D26989" s="21" t="s">
        <v>34</v>
      </c>
      <c r="E26989" s="21" t="s">
        <v>35</v>
      </c>
      <c r="F26989">
        <v>7600041</v>
      </c>
      <c r="G26989" t="s">
        <v>8033</v>
      </c>
      <c r="H26989" s="21">
        <v>608.66999999999996</v>
      </c>
    </row>
    <row r="26990" spans="1:8" customFormat="1" x14ac:dyDescent="0.25">
      <c r="A26990" t="str">
        <f>"722427"</f>
        <v>722427</v>
      </c>
      <c r="B26990" t="s">
        <v>4278</v>
      </c>
      <c r="C26990" t="s">
        <v>10114</v>
      </c>
      <c r="D26990" s="21" t="s">
        <v>34</v>
      </c>
      <c r="E26990" s="21" t="s">
        <v>254</v>
      </c>
      <c r="F26990">
        <v>12720079</v>
      </c>
      <c r="G26990" t="s">
        <v>4028</v>
      </c>
      <c r="H26990" s="21">
        <v>608.66999999999996</v>
      </c>
    </row>
    <row r="26991" spans="1:8" customFormat="1" x14ac:dyDescent="0.25">
      <c r="A26991" t="str">
        <f>"361426"</f>
        <v>361426</v>
      </c>
      <c r="B26991" t="s">
        <v>6460</v>
      </c>
      <c r="C26991" t="s">
        <v>2072</v>
      </c>
      <c r="D26991" s="21" t="s">
        <v>34</v>
      </c>
      <c r="E26991" s="21" t="s">
        <v>254</v>
      </c>
      <c r="F26991">
        <v>4360605</v>
      </c>
      <c r="G26991" t="s">
        <v>6003</v>
      </c>
      <c r="H26991" s="21">
        <v>608.66999999999996</v>
      </c>
    </row>
    <row r="26992" spans="1:8" customFormat="1" x14ac:dyDescent="0.25">
      <c r="A26992" t="str">
        <f>"6938677"</f>
        <v>6938677</v>
      </c>
      <c r="B26992" t="s">
        <v>1098</v>
      </c>
      <c r="C26992" t="s">
        <v>20315</v>
      </c>
      <c r="D26992" s="21" t="s">
        <v>34</v>
      </c>
      <c r="E26992" s="21" t="s">
        <v>35</v>
      </c>
      <c r="F26992">
        <v>1690040</v>
      </c>
      <c r="G26992" t="s">
        <v>15960</v>
      </c>
      <c r="H26992" s="21">
        <v>608.66999999999996</v>
      </c>
    </row>
    <row r="26993" spans="1:8" customFormat="1" x14ac:dyDescent="0.25">
      <c r="A26993" t="str">
        <f>"105373"</f>
        <v>105373</v>
      </c>
      <c r="B26993" t="s">
        <v>19600</v>
      </c>
      <c r="C26993" t="s">
        <v>43</v>
      </c>
      <c r="D26993" s="21" t="s">
        <v>34</v>
      </c>
      <c r="E26993" s="21" t="s">
        <v>35</v>
      </c>
      <c r="F26993">
        <v>6100035</v>
      </c>
      <c r="G26993" t="s">
        <v>26807</v>
      </c>
      <c r="H26993" s="21">
        <v>608.66999999999996</v>
      </c>
    </row>
    <row r="26994" spans="1:8" customFormat="1" x14ac:dyDescent="0.25">
      <c r="A26994" t="str">
        <f>"5014329"</f>
        <v>5014329</v>
      </c>
      <c r="B26994" t="s">
        <v>19152</v>
      </c>
      <c r="C26994" t="s">
        <v>2529</v>
      </c>
      <c r="D26994" s="21" t="s">
        <v>34</v>
      </c>
      <c r="E26994" s="21" t="s">
        <v>71</v>
      </c>
      <c r="F26994">
        <v>9500153</v>
      </c>
      <c r="G26994" t="s">
        <v>5779</v>
      </c>
      <c r="H26994" s="21">
        <v>608.66999999999996</v>
      </c>
    </row>
    <row r="26995" spans="1:8" customFormat="1" x14ac:dyDescent="0.25">
      <c r="A26995" t="str">
        <f>"5614865"</f>
        <v>5614865</v>
      </c>
      <c r="B26995" t="s">
        <v>18508</v>
      </c>
      <c r="C26995" t="s">
        <v>139</v>
      </c>
      <c r="D26995" s="21" t="s">
        <v>34</v>
      </c>
      <c r="E26995" s="21" t="s">
        <v>35</v>
      </c>
      <c r="F26995">
        <v>3560090</v>
      </c>
      <c r="G26995" t="s">
        <v>7777</v>
      </c>
      <c r="H26995" s="21">
        <v>608.66999999999996</v>
      </c>
    </row>
    <row r="26996" spans="1:8" customFormat="1" x14ac:dyDescent="0.25">
      <c r="A26996" t="str">
        <f>"105131"</f>
        <v>105131</v>
      </c>
      <c r="B26996" t="s">
        <v>19130</v>
      </c>
      <c r="C26996" t="s">
        <v>169</v>
      </c>
      <c r="D26996" s="21" t="s">
        <v>34</v>
      </c>
      <c r="E26996" s="21" t="s">
        <v>71</v>
      </c>
      <c r="F26996">
        <v>6100005</v>
      </c>
      <c r="G26996" t="s">
        <v>855</v>
      </c>
      <c r="H26996" s="21">
        <v>608.66999999999996</v>
      </c>
    </row>
    <row r="26997" spans="1:8" customFormat="1" x14ac:dyDescent="0.25">
      <c r="A26997" t="str">
        <f>"3410298"</f>
        <v>3410298</v>
      </c>
      <c r="B26997" t="s">
        <v>6326</v>
      </c>
      <c r="C26997" t="s">
        <v>2904</v>
      </c>
      <c r="D26997" s="21" t="s">
        <v>34</v>
      </c>
      <c r="E26997" s="21" t="s">
        <v>254</v>
      </c>
      <c r="F26997">
        <v>11300023</v>
      </c>
      <c r="G26997" t="s">
        <v>2679</v>
      </c>
      <c r="H26997" s="21">
        <v>608.66999999999996</v>
      </c>
    </row>
    <row r="26998" spans="1:8" customFormat="1" x14ac:dyDescent="0.25">
      <c r="A26998" t="str">
        <f>"5956826"</f>
        <v>5956826</v>
      </c>
      <c r="B26998" t="s">
        <v>19437</v>
      </c>
      <c r="C26998" t="s">
        <v>498</v>
      </c>
      <c r="D26998" s="21" t="s">
        <v>34</v>
      </c>
      <c r="E26998" s="21" t="s">
        <v>254</v>
      </c>
      <c r="F26998">
        <v>7590404</v>
      </c>
      <c r="G26998" t="s">
        <v>12173</v>
      </c>
      <c r="H26998" s="21">
        <v>608.66999999999996</v>
      </c>
    </row>
    <row r="26999" spans="1:8" customFormat="1" x14ac:dyDescent="0.25">
      <c r="A26999" t="str">
        <f>"5322312"</f>
        <v>5322312</v>
      </c>
      <c r="B26999" t="s">
        <v>27953</v>
      </c>
      <c r="C26999" t="s">
        <v>249</v>
      </c>
      <c r="D26999" s="21" t="s">
        <v>34</v>
      </c>
      <c r="E26999" s="21" t="s">
        <v>35</v>
      </c>
      <c r="F26999">
        <v>12530078</v>
      </c>
      <c r="G26999" t="s">
        <v>3677</v>
      </c>
      <c r="H26999" s="21">
        <v>608.66999999999996</v>
      </c>
    </row>
    <row r="27000" spans="1:8" customFormat="1" x14ac:dyDescent="0.25">
      <c r="A27000" t="str">
        <f>"8513692"</f>
        <v>8513692</v>
      </c>
      <c r="B27000" t="s">
        <v>1825</v>
      </c>
      <c r="C27000" t="s">
        <v>598</v>
      </c>
      <c r="D27000" s="21" t="s">
        <v>34</v>
      </c>
      <c r="E27000" s="21" t="s">
        <v>1089</v>
      </c>
      <c r="F27000">
        <v>12850111</v>
      </c>
      <c r="G27000" t="s">
        <v>9234</v>
      </c>
      <c r="H27000" s="21">
        <v>608.66999999999996</v>
      </c>
    </row>
    <row r="27001" spans="1:8" customFormat="1" x14ac:dyDescent="0.25">
      <c r="A27001" t="str">
        <f>"5312789"</f>
        <v>5312789</v>
      </c>
      <c r="B27001" t="s">
        <v>461</v>
      </c>
      <c r="C27001" t="s">
        <v>1446</v>
      </c>
      <c r="D27001" s="21" t="s">
        <v>34</v>
      </c>
      <c r="E27001" s="21" t="s">
        <v>71</v>
      </c>
      <c r="F27001">
        <v>12530081</v>
      </c>
      <c r="G27001" t="s">
        <v>13952</v>
      </c>
      <c r="H27001" s="21">
        <v>608.66999999999996</v>
      </c>
    </row>
    <row r="27002" spans="1:8" customFormat="1" x14ac:dyDescent="0.25">
      <c r="A27002" t="str">
        <f>"081013"</f>
        <v>081013</v>
      </c>
      <c r="B27002" t="s">
        <v>18959</v>
      </c>
      <c r="C27002" t="s">
        <v>412</v>
      </c>
      <c r="D27002" s="21" t="s">
        <v>34</v>
      </c>
      <c r="E27002" s="21" t="s">
        <v>1089</v>
      </c>
      <c r="F27002">
        <v>6080053</v>
      </c>
      <c r="G27002" t="s">
        <v>12951</v>
      </c>
      <c r="H27002" s="21">
        <v>608.66999999999996</v>
      </c>
    </row>
    <row r="27003" spans="1:8" customFormat="1" x14ac:dyDescent="0.25">
      <c r="A27003" t="str">
        <f>"0799"</f>
        <v>0799</v>
      </c>
      <c r="B27003" t="s">
        <v>18802</v>
      </c>
      <c r="C27003" t="s">
        <v>3648</v>
      </c>
      <c r="D27003" s="21" t="s">
        <v>34</v>
      </c>
      <c r="E27003" s="21" t="s">
        <v>1089</v>
      </c>
      <c r="F27003">
        <v>1260068</v>
      </c>
      <c r="G27003" t="s">
        <v>6531</v>
      </c>
      <c r="H27003" s="21">
        <v>608.66999999999996</v>
      </c>
    </row>
    <row r="27004" spans="1:8" customFormat="1" x14ac:dyDescent="0.25">
      <c r="A27004" t="str">
        <f>"876383"</f>
        <v>876383</v>
      </c>
      <c r="B27004" t="s">
        <v>18880</v>
      </c>
      <c r="C27004" t="s">
        <v>109</v>
      </c>
      <c r="D27004" s="21" t="s">
        <v>34</v>
      </c>
      <c r="E27004" s="21" t="s">
        <v>71</v>
      </c>
      <c r="F27004">
        <v>10870128</v>
      </c>
      <c r="G27004" t="s">
        <v>9710</v>
      </c>
      <c r="H27004" s="21">
        <v>608.66999999999996</v>
      </c>
    </row>
    <row r="27005" spans="1:8" customFormat="1" x14ac:dyDescent="0.25">
      <c r="A27005" t="str">
        <f>"3822986"</f>
        <v>3822986</v>
      </c>
      <c r="B27005" t="s">
        <v>146</v>
      </c>
      <c r="C27005" t="s">
        <v>239</v>
      </c>
      <c r="D27005" s="21" t="s">
        <v>34</v>
      </c>
      <c r="E27005" s="21" t="s">
        <v>71</v>
      </c>
      <c r="F27005">
        <v>1380157</v>
      </c>
      <c r="G27005" t="s">
        <v>9044</v>
      </c>
      <c r="H27005" s="21">
        <v>608.66999999999996</v>
      </c>
    </row>
    <row r="27006" spans="1:8" customFormat="1" x14ac:dyDescent="0.25">
      <c r="A27006" t="str">
        <f>"77456"</f>
        <v>77456</v>
      </c>
      <c r="B27006" t="s">
        <v>10855</v>
      </c>
      <c r="C27006" t="s">
        <v>1146</v>
      </c>
      <c r="D27006" s="21" t="s">
        <v>34</v>
      </c>
      <c r="E27006" s="21" t="s">
        <v>1089</v>
      </c>
      <c r="F27006">
        <v>8770408</v>
      </c>
      <c r="G27006" t="s">
        <v>212</v>
      </c>
      <c r="H27006" s="21">
        <v>608.54</v>
      </c>
    </row>
    <row r="27007" spans="1:8" customFormat="1" x14ac:dyDescent="0.25">
      <c r="A27007" t="str">
        <f>"309757"</f>
        <v>309757</v>
      </c>
      <c r="B27007" t="s">
        <v>22773</v>
      </c>
      <c r="C27007" t="s">
        <v>267</v>
      </c>
      <c r="D27007" s="21" t="s">
        <v>34</v>
      </c>
      <c r="E27007" s="21" t="s">
        <v>71</v>
      </c>
      <c r="F27007">
        <v>11300050</v>
      </c>
      <c r="G27007" t="s">
        <v>15053</v>
      </c>
      <c r="H27007" s="21">
        <v>608.54</v>
      </c>
    </row>
    <row r="27008" spans="1:8" customFormat="1" x14ac:dyDescent="0.25">
      <c r="A27008" t="str">
        <f>"2939517"</f>
        <v>2939517</v>
      </c>
      <c r="B27008" t="s">
        <v>7216</v>
      </c>
      <c r="C27008" t="s">
        <v>169</v>
      </c>
      <c r="D27008" s="21" t="s">
        <v>34</v>
      </c>
      <c r="E27008" s="21" t="s">
        <v>35</v>
      </c>
      <c r="F27008">
        <v>3290208</v>
      </c>
      <c r="G27008" t="s">
        <v>1553</v>
      </c>
      <c r="H27008" s="21">
        <v>608.41999999999996</v>
      </c>
    </row>
    <row r="27009" spans="1:8" customFormat="1" x14ac:dyDescent="0.25">
      <c r="A27009" t="str">
        <f>"9532920"</f>
        <v>9532920</v>
      </c>
      <c r="B27009" t="s">
        <v>497</v>
      </c>
      <c r="C27009" t="s">
        <v>49</v>
      </c>
      <c r="D27009" s="21" t="s">
        <v>34</v>
      </c>
      <c r="E27009" s="21" t="s">
        <v>35</v>
      </c>
      <c r="F27009">
        <v>8950545</v>
      </c>
      <c r="G27009" t="s">
        <v>14503</v>
      </c>
      <c r="H27009" s="21">
        <v>608.41999999999996</v>
      </c>
    </row>
    <row r="27010" spans="1:8" customFormat="1" x14ac:dyDescent="0.25">
      <c r="A27010" t="str">
        <f>"5312801"</f>
        <v>5312801</v>
      </c>
      <c r="B27010" t="s">
        <v>19083</v>
      </c>
      <c r="C27010" t="s">
        <v>33</v>
      </c>
      <c r="D27010" s="21" t="s">
        <v>34</v>
      </c>
      <c r="E27010" s="21" t="s">
        <v>71</v>
      </c>
      <c r="F27010">
        <v>12530144</v>
      </c>
      <c r="G27010" t="s">
        <v>10892</v>
      </c>
      <c r="H27010" s="21">
        <v>608.41999999999996</v>
      </c>
    </row>
    <row r="27011" spans="1:8" customFormat="1" x14ac:dyDescent="0.25">
      <c r="A27011" t="str">
        <f>"618857"</f>
        <v>618857</v>
      </c>
      <c r="B27011" t="s">
        <v>19670</v>
      </c>
      <c r="C27011" t="s">
        <v>267</v>
      </c>
      <c r="D27011" s="21" t="s">
        <v>34</v>
      </c>
      <c r="E27011" s="21" t="s">
        <v>71</v>
      </c>
      <c r="F27011">
        <v>9610131</v>
      </c>
      <c r="G27011" t="s">
        <v>19671</v>
      </c>
      <c r="H27011" s="21">
        <v>608.29</v>
      </c>
    </row>
    <row r="27012" spans="1:8" customFormat="1" x14ac:dyDescent="0.25">
      <c r="A27012" t="str">
        <f>"587556"</f>
        <v>587556</v>
      </c>
      <c r="B27012" t="s">
        <v>20703</v>
      </c>
      <c r="C27012" t="s">
        <v>62</v>
      </c>
      <c r="D27012" s="21" t="s">
        <v>34</v>
      </c>
      <c r="E27012" s="21" t="s">
        <v>71</v>
      </c>
      <c r="F27012">
        <v>2580093</v>
      </c>
      <c r="G27012" t="s">
        <v>9104</v>
      </c>
      <c r="H27012" s="21">
        <v>608.16999999999996</v>
      </c>
    </row>
    <row r="27013" spans="1:8" customFormat="1" x14ac:dyDescent="0.25">
      <c r="A27013" t="str">
        <f>"6935982"</f>
        <v>6935982</v>
      </c>
      <c r="B27013" t="s">
        <v>20421</v>
      </c>
      <c r="C27013" t="s">
        <v>462</v>
      </c>
      <c r="D27013" s="21" t="s">
        <v>34</v>
      </c>
      <c r="E27013" s="21" t="s">
        <v>35</v>
      </c>
      <c r="F27013">
        <v>1690212</v>
      </c>
      <c r="G27013" t="s">
        <v>7834</v>
      </c>
      <c r="H27013" s="21">
        <v>608.16999999999996</v>
      </c>
    </row>
    <row r="27014" spans="1:8" customFormat="1" x14ac:dyDescent="0.25">
      <c r="A27014" t="str">
        <f>"904332"</f>
        <v>904332</v>
      </c>
      <c r="B27014" t="s">
        <v>16650</v>
      </c>
      <c r="C27014" t="s">
        <v>144</v>
      </c>
      <c r="D27014" s="21" t="s">
        <v>34</v>
      </c>
      <c r="E27014" s="21" t="s">
        <v>35</v>
      </c>
      <c r="F27014">
        <v>2900015</v>
      </c>
      <c r="G27014" t="s">
        <v>10349</v>
      </c>
      <c r="H27014" s="21">
        <v>608.16999999999996</v>
      </c>
    </row>
    <row r="27015" spans="1:8" customFormat="1" x14ac:dyDescent="0.25">
      <c r="A27015" t="str">
        <f>"9213400"</f>
        <v>9213400</v>
      </c>
      <c r="B27015" t="s">
        <v>6672</v>
      </c>
      <c r="C27015" t="s">
        <v>9901</v>
      </c>
      <c r="D27015" s="21" t="s">
        <v>34</v>
      </c>
      <c r="E27015" s="21" t="s">
        <v>71</v>
      </c>
      <c r="F27015">
        <v>8920140</v>
      </c>
      <c r="G27015" t="s">
        <v>3762</v>
      </c>
      <c r="H27015" s="21">
        <v>608.16999999999996</v>
      </c>
    </row>
    <row r="27016" spans="1:8" customFormat="1" x14ac:dyDescent="0.25">
      <c r="A27016" t="str">
        <f>"8016643"</f>
        <v>8016643</v>
      </c>
      <c r="B27016" t="s">
        <v>3759</v>
      </c>
      <c r="C27016" t="s">
        <v>934</v>
      </c>
      <c r="D27016" s="21" t="s">
        <v>34</v>
      </c>
      <c r="E27016" s="21" t="s">
        <v>35</v>
      </c>
      <c r="F27016">
        <v>7800018</v>
      </c>
      <c r="G27016" t="s">
        <v>10207</v>
      </c>
      <c r="H27016" s="21">
        <v>608.16999999999996</v>
      </c>
    </row>
    <row r="27017" spans="1:8" customFormat="1" x14ac:dyDescent="0.25">
      <c r="A27017" t="str">
        <f>"1613042"</f>
        <v>1613042</v>
      </c>
      <c r="B27017" t="s">
        <v>19418</v>
      </c>
      <c r="C27017" t="s">
        <v>598</v>
      </c>
      <c r="D27017" s="21" t="s">
        <v>34</v>
      </c>
      <c r="E27017" s="21" t="s">
        <v>254</v>
      </c>
      <c r="F27017">
        <v>10160059</v>
      </c>
      <c r="G27017" t="s">
        <v>6791</v>
      </c>
      <c r="H27017" s="21">
        <v>608.16999999999996</v>
      </c>
    </row>
    <row r="27018" spans="1:8" customFormat="1" x14ac:dyDescent="0.25">
      <c r="A27018" t="str">
        <f>"7640028"</f>
        <v>7640028</v>
      </c>
      <c r="B27018" t="s">
        <v>20433</v>
      </c>
      <c r="C27018" t="s">
        <v>98</v>
      </c>
      <c r="D27018" s="21" t="s">
        <v>34</v>
      </c>
      <c r="E27018" s="21" t="s">
        <v>35</v>
      </c>
      <c r="F27018">
        <v>9760025</v>
      </c>
      <c r="G27018" t="s">
        <v>2620</v>
      </c>
      <c r="H27018" s="21">
        <v>608.16999999999996</v>
      </c>
    </row>
    <row r="27019" spans="1:8" customFormat="1" x14ac:dyDescent="0.25">
      <c r="A27019" t="str">
        <f>"615984"</f>
        <v>615984</v>
      </c>
      <c r="B27019" t="s">
        <v>19853</v>
      </c>
      <c r="C27019" t="s">
        <v>2479</v>
      </c>
      <c r="D27019" s="21" t="s">
        <v>34</v>
      </c>
      <c r="E27019" s="21" t="s">
        <v>71</v>
      </c>
      <c r="F27019">
        <v>9610009</v>
      </c>
      <c r="G27019" t="s">
        <v>282</v>
      </c>
      <c r="H27019" s="21">
        <v>608.16999999999996</v>
      </c>
    </row>
    <row r="27020" spans="1:8" customFormat="1" x14ac:dyDescent="0.25">
      <c r="A27020" t="str">
        <f>"186800"</f>
        <v>186800</v>
      </c>
      <c r="B27020" t="s">
        <v>19981</v>
      </c>
      <c r="C27020" t="s">
        <v>209</v>
      </c>
      <c r="D27020" s="21" t="s">
        <v>34</v>
      </c>
      <c r="E27020" s="21" t="s">
        <v>71</v>
      </c>
      <c r="F27020">
        <v>4180613</v>
      </c>
      <c r="G27020" t="s">
        <v>422</v>
      </c>
      <c r="H27020" s="21">
        <v>608.16999999999996</v>
      </c>
    </row>
    <row r="27021" spans="1:8" customFormat="1" x14ac:dyDescent="0.25">
      <c r="A27021" t="str">
        <f>"229198"</f>
        <v>229198</v>
      </c>
      <c r="B27021" t="s">
        <v>19682</v>
      </c>
      <c r="C27021" t="s">
        <v>428</v>
      </c>
      <c r="D27021" s="21" t="s">
        <v>34</v>
      </c>
      <c r="E27021" s="21" t="s">
        <v>71</v>
      </c>
      <c r="F27021">
        <v>3560087</v>
      </c>
      <c r="G27021" t="s">
        <v>7767</v>
      </c>
      <c r="H27021" s="21">
        <v>608.16999999999996</v>
      </c>
    </row>
    <row r="27022" spans="1:8" customFormat="1" x14ac:dyDescent="0.25">
      <c r="A27022" t="str">
        <f>"8613479"</f>
        <v>8613479</v>
      </c>
      <c r="B27022" t="s">
        <v>517</v>
      </c>
      <c r="C27022" t="s">
        <v>1142</v>
      </c>
      <c r="D27022" s="21" t="s">
        <v>34</v>
      </c>
      <c r="E27022" s="21" t="s">
        <v>1089</v>
      </c>
      <c r="F27022">
        <v>10860031</v>
      </c>
      <c r="G27022" t="s">
        <v>5834</v>
      </c>
      <c r="H27022" s="21">
        <v>608.16999999999996</v>
      </c>
    </row>
    <row r="27023" spans="1:8" customFormat="1" x14ac:dyDescent="0.25">
      <c r="A27023" t="str">
        <f>"2515856"</f>
        <v>2515856</v>
      </c>
      <c r="B27023" t="s">
        <v>14592</v>
      </c>
      <c r="C27023" t="s">
        <v>285</v>
      </c>
      <c r="D27023" s="21" t="s">
        <v>34</v>
      </c>
      <c r="E27023" s="21" t="s">
        <v>71</v>
      </c>
      <c r="F27023">
        <v>2250002</v>
      </c>
      <c r="G27023" t="s">
        <v>2745</v>
      </c>
      <c r="H27023" s="21">
        <v>608.16999999999996</v>
      </c>
    </row>
    <row r="27024" spans="1:8" customFormat="1" x14ac:dyDescent="0.25">
      <c r="A27024" t="str">
        <f>"7844793"</f>
        <v>7844793</v>
      </c>
      <c r="B27024" t="s">
        <v>19915</v>
      </c>
      <c r="C27024" t="s">
        <v>598</v>
      </c>
      <c r="D27024" s="21" t="s">
        <v>34</v>
      </c>
      <c r="E27024" s="21" t="s">
        <v>254</v>
      </c>
      <c r="F27024">
        <v>8780224</v>
      </c>
      <c r="G27024" t="s">
        <v>8599</v>
      </c>
      <c r="H27024" s="21">
        <v>608.16999999999996</v>
      </c>
    </row>
    <row r="27025" spans="1:8" customFormat="1" x14ac:dyDescent="0.25">
      <c r="A27025" t="str">
        <f>"7877138"</f>
        <v>7877138</v>
      </c>
      <c r="B27025" t="s">
        <v>4133</v>
      </c>
      <c r="C27025" t="s">
        <v>37</v>
      </c>
      <c r="D27025" s="21" t="s">
        <v>34</v>
      </c>
      <c r="E27025" s="21" t="s">
        <v>35</v>
      </c>
      <c r="F27025">
        <v>8780886</v>
      </c>
      <c r="G27025" t="s">
        <v>3161</v>
      </c>
      <c r="H27025" s="21">
        <v>608.16999999999996</v>
      </c>
    </row>
    <row r="27026" spans="1:8" customFormat="1" x14ac:dyDescent="0.25">
      <c r="A27026" t="str">
        <f>"062560"</f>
        <v>062560</v>
      </c>
      <c r="B27026" t="s">
        <v>16359</v>
      </c>
      <c r="C27026" t="s">
        <v>2904</v>
      </c>
      <c r="D27026" s="21" t="s">
        <v>34</v>
      </c>
      <c r="E27026" s="21" t="s">
        <v>254</v>
      </c>
      <c r="F27026">
        <v>13060052</v>
      </c>
      <c r="G27026" t="s">
        <v>6759</v>
      </c>
      <c r="H27026" s="21">
        <v>608</v>
      </c>
    </row>
    <row r="27027" spans="1:8" customFormat="1" x14ac:dyDescent="0.25">
      <c r="A27027" t="str">
        <f>"724297"</f>
        <v>724297</v>
      </c>
      <c r="B27027" t="s">
        <v>19633</v>
      </c>
      <c r="C27027" t="s">
        <v>1110</v>
      </c>
      <c r="D27027" s="21" t="s">
        <v>34</v>
      </c>
      <c r="E27027" s="21" t="s">
        <v>254</v>
      </c>
      <c r="F27027">
        <v>12720023</v>
      </c>
      <c r="G27027" t="s">
        <v>1898</v>
      </c>
      <c r="H27027" s="21">
        <v>607.91999999999996</v>
      </c>
    </row>
    <row r="27028" spans="1:8" customFormat="1" x14ac:dyDescent="0.25">
      <c r="A27028" t="str">
        <f>"846131"</f>
        <v>846131</v>
      </c>
      <c r="B27028" t="s">
        <v>6088</v>
      </c>
      <c r="C27028" t="s">
        <v>144</v>
      </c>
      <c r="D27028" s="21" t="s">
        <v>34</v>
      </c>
      <c r="E27028" s="21" t="s">
        <v>35</v>
      </c>
      <c r="F27028">
        <v>13840005</v>
      </c>
      <c r="G27028" t="s">
        <v>2145</v>
      </c>
      <c r="H27028" s="21">
        <v>607.91999999999996</v>
      </c>
    </row>
    <row r="27029" spans="1:8" customFormat="1" x14ac:dyDescent="0.25">
      <c r="A27029" t="str">
        <f>"7859237"</f>
        <v>7859237</v>
      </c>
      <c r="B27029" t="s">
        <v>1827</v>
      </c>
      <c r="C27029" t="s">
        <v>209</v>
      </c>
      <c r="D27029" s="21" t="s">
        <v>34</v>
      </c>
      <c r="E27029" s="21" t="s">
        <v>71</v>
      </c>
      <c r="F27029">
        <v>8781162</v>
      </c>
      <c r="G27029" t="s">
        <v>7991</v>
      </c>
      <c r="H27029" s="21">
        <v>607.66999999999996</v>
      </c>
    </row>
    <row r="27030" spans="1:8" customFormat="1" x14ac:dyDescent="0.25">
      <c r="A27030" t="str">
        <f>"2711115"</f>
        <v>2711115</v>
      </c>
      <c r="B27030" t="s">
        <v>18794</v>
      </c>
      <c r="C27030" t="s">
        <v>60</v>
      </c>
      <c r="D27030" s="21" t="s">
        <v>34</v>
      </c>
      <c r="E27030" s="21" t="s">
        <v>35</v>
      </c>
      <c r="F27030">
        <v>9270139</v>
      </c>
      <c r="G27030" t="s">
        <v>6955</v>
      </c>
      <c r="H27030" s="21">
        <v>607.66999999999996</v>
      </c>
    </row>
    <row r="27031" spans="1:8" customFormat="1" x14ac:dyDescent="0.25">
      <c r="A27031" t="str">
        <f>"7866306"</f>
        <v>7866306</v>
      </c>
      <c r="B27031" t="s">
        <v>27954</v>
      </c>
      <c r="C27031" t="s">
        <v>27955</v>
      </c>
      <c r="D27031" s="21" t="s">
        <v>34</v>
      </c>
      <c r="E27031" s="21" t="s">
        <v>35</v>
      </c>
      <c r="F27031">
        <v>8781162</v>
      </c>
      <c r="G27031" t="s">
        <v>7991</v>
      </c>
      <c r="H27031" s="21">
        <v>607.66999999999996</v>
      </c>
    </row>
    <row r="27032" spans="1:8" customFormat="1" x14ac:dyDescent="0.25">
      <c r="A27032" t="str">
        <f>"5317805"</f>
        <v>5317805</v>
      </c>
      <c r="B27032" t="s">
        <v>18866</v>
      </c>
      <c r="C27032" t="s">
        <v>249</v>
      </c>
      <c r="D27032" s="21" t="s">
        <v>34</v>
      </c>
      <c r="E27032" s="21" t="s">
        <v>71</v>
      </c>
      <c r="F27032">
        <v>12530067</v>
      </c>
      <c r="G27032" t="s">
        <v>11121</v>
      </c>
      <c r="H27032" s="21">
        <v>607.66999999999996</v>
      </c>
    </row>
    <row r="27033" spans="1:8" customFormat="1" x14ac:dyDescent="0.25">
      <c r="A27033" t="str">
        <f>"6111858"</f>
        <v>6111858</v>
      </c>
      <c r="B27033" t="s">
        <v>20636</v>
      </c>
      <c r="C27033" t="s">
        <v>3073</v>
      </c>
      <c r="D27033" s="21" t="s">
        <v>34</v>
      </c>
      <c r="E27033" s="21" t="s">
        <v>71</v>
      </c>
      <c r="F27033">
        <v>9610073</v>
      </c>
      <c r="G27033" t="s">
        <v>8382</v>
      </c>
      <c r="H27033" s="21">
        <v>607.66999999999996</v>
      </c>
    </row>
    <row r="27034" spans="1:8" customFormat="1" x14ac:dyDescent="0.25">
      <c r="A27034" t="str">
        <f>"3537941"</f>
        <v>3537941</v>
      </c>
      <c r="B27034" t="s">
        <v>136</v>
      </c>
      <c r="C27034" t="s">
        <v>62</v>
      </c>
      <c r="D27034" s="21" t="s">
        <v>34</v>
      </c>
      <c r="E27034" s="21" t="s">
        <v>35</v>
      </c>
      <c r="F27034">
        <v>3350009</v>
      </c>
      <c r="G27034" t="s">
        <v>1823</v>
      </c>
      <c r="H27034" s="21">
        <v>607.66999999999996</v>
      </c>
    </row>
    <row r="27035" spans="1:8" customFormat="1" x14ac:dyDescent="0.25">
      <c r="A27035" t="str">
        <f>"9137253"</f>
        <v>9137253</v>
      </c>
      <c r="B27035" t="s">
        <v>889</v>
      </c>
      <c r="C27035" t="s">
        <v>415</v>
      </c>
      <c r="D27035" s="21" t="s">
        <v>34</v>
      </c>
      <c r="E27035" s="21" t="s">
        <v>71</v>
      </c>
      <c r="F27035">
        <v>8911285</v>
      </c>
      <c r="G27035" t="s">
        <v>2396</v>
      </c>
      <c r="H27035" s="21">
        <v>607.66999999999996</v>
      </c>
    </row>
    <row r="27036" spans="1:8" customFormat="1" x14ac:dyDescent="0.25">
      <c r="A27036" t="str">
        <f>"6945458"</f>
        <v>6945458</v>
      </c>
      <c r="B27036" t="s">
        <v>20057</v>
      </c>
      <c r="C27036" t="s">
        <v>204</v>
      </c>
      <c r="D27036" s="21" t="s">
        <v>34</v>
      </c>
      <c r="E27036" s="21" t="s">
        <v>35</v>
      </c>
      <c r="F27036">
        <v>1690194</v>
      </c>
      <c r="G27036" t="s">
        <v>5285</v>
      </c>
      <c r="H27036" s="21">
        <v>607.66999999999996</v>
      </c>
    </row>
    <row r="27037" spans="1:8" customFormat="1" x14ac:dyDescent="0.25">
      <c r="A27037" t="str">
        <f>"2937966"</f>
        <v>2937966</v>
      </c>
      <c r="B27037" t="s">
        <v>14564</v>
      </c>
      <c r="C27037" t="s">
        <v>33</v>
      </c>
      <c r="D27037" s="21" t="s">
        <v>34</v>
      </c>
      <c r="E27037" s="21" t="s">
        <v>35</v>
      </c>
      <c r="F27037">
        <v>3290029</v>
      </c>
      <c r="G27037" t="s">
        <v>11486</v>
      </c>
      <c r="H27037" s="21">
        <v>607.66999999999996</v>
      </c>
    </row>
    <row r="27038" spans="1:8" customFormat="1" x14ac:dyDescent="0.25">
      <c r="A27038" t="str">
        <f>"9124776"</f>
        <v>9124776</v>
      </c>
      <c r="B27038" t="s">
        <v>8149</v>
      </c>
      <c r="C27038" t="s">
        <v>2907</v>
      </c>
      <c r="D27038" s="21" t="s">
        <v>34</v>
      </c>
      <c r="E27038" s="21" t="s">
        <v>254</v>
      </c>
      <c r="F27038">
        <v>8910876</v>
      </c>
      <c r="G27038" t="s">
        <v>1721</v>
      </c>
      <c r="H27038" s="21">
        <v>607.66999999999996</v>
      </c>
    </row>
    <row r="27039" spans="1:8" customFormat="1" x14ac:dyDescent="0.25">
      <c r="A27039" t="str">
        <f>"0211824"</f>
        <v>0211824</v>
      </c>
      <c r="B27039" t="s">
        <v>16753</v>
      </c>
      <c r="C27039" t="s">
        <v>33</v>
      </c>
      <c r="D27039" s="21" t="s">
        <v>34</v>
      </c>
      <c r="E27039" s="21" t="s">
        <v>71</v>
      </c>
      <c r="F27039">
        <v>7021014</v>
      </c>
      <c r="G27039" t="s">
        <v>15834</v>
      </c>
      <c r="H27039" s="21">
        <v>607.66999999999996</v>
      </c>
    </row>
    <row r="27040" spans="1:8" customFormat="1" x14ac:dyDescent="0.25">
      <c r="A27040" t="str">
        <f>"2510406"</f>
        <v>2510406</v>
      </c>
      <c r="B27040" t="s">
        <v>19246</v>
      </c>
      <c r="C27040" t="s">
        <v>144</v>
      </c>
      <c r="D27040" s="21" t="s">
        <v>34</v>
      </c>
      <c r="E27040" s="21" t="s">
        <v>71</v>
      </c>
      <c r="F27040">
        <v>2250185</v>
      </c>
      <c r="G27040" t="s">
        <v>9399</v>
      </c>
      <c r="H27040" s="21">
        <v>607.66999999999996</v>
      </c>
    </row>
    <row r="27041" spans="1:8" customFormat="1" x14ac:dyDescent="0.25">
      <c r="A27041" t="str">
        <f>"3717622"</f>
        <v>3717622</v>
      </c>
      <c r="B27041" t="s">
        <v>19488</v>
      </c>
      <c r="C27041" t="s">
        <v>1605</v>
      </c>
      <c r="D27041" s="21" t="s">
        <v>34</v>
      </c>
      <c r="E27041" s="21" t="s">
        <v>254</v>
      </c>
      <c r="F27041">
        <v>4370464</v>
      </c>
      <c r="G27041" t="s">
        <v>5348</v>
      </c>
      <c r="H27041" s="21">
        <v>607.66999999999996</v>
      </c>
    </row>
    <row r="27042" spans="1:8" customFormat="1" x14ac:dyDescent="0.25">
      <c r="A27042" t="str">
        <f>"2219328"</f>
        <v>2219328</v>
      </c>
      <c r="B27042" t="s">
        <v>18989</v>
      </c>
      <c r="C27042" t="s">
        <v>18990</v>
      </c>
      <c r="D27042" s="21" t="s">
        <v>34</v>
      </c>
      <c r="E27042" s="21" t="s">
        <v>35</v>
      </c>
      <c r="F27042">
        <v>3220140</v>
      </c>
      <c r="G27042" t="s">
        <v>26656</v>
      </c>
      <c r="H27042" s="21">
        <v>607.66999999999996</v>
      </c>
    </row>
    <row r="27043" spans="1:8" customFormat="1" x14ac:dyDescent="0.25">
      <c r="A27043" t="str">
        <f>"764415"</f>
        <v>764415</v>
      </c>
      <c r="B27043" t="s">
        <v>19566</v>
      </c>
      <c r="C27043" t="s">
        <v>1271</v>
      </c>
      <c r="D27043" s="21" t="s">
        <v>34</v>
      </c>
      <c r="E27043" s="21" t="s">
        <v>1089</v>
      </c>
      <c r="F27043">
        <v>9760039</v>
      </c>
      <c r="G27043" t="s">
        <v>9501</v>
      </c>
      <c r="H27043" s="21">
        <v>607.66999999999996</v>
      </c>
    </row>
    <row r="27044" spans="1:8" customFormat="1" x14ac:dyDescent="0.25">
      <c r="A27044" t="str">
        <f>"37661"</f>
        <v>37661</v>
      </c>
      <c r="B27044" t="s">
        <v>17909</v>
      </c>
      <c r="C27044" t="s">
        <v>598</v>
      </c>
      <c r="D27044" s="21" t="s">
        <v>34</v>
      </c>
      <c r="E27044" s="21" t="s">
        <v>254</v>
      </c>
      <c r="F27044">
        <v>4370102</v>
      </c>
      <c r="G27044" t="s">
        <v>10707</v>
      </c>
      <c r="H27044" s="21">
        <v>607.66999999999996</v>
      </c>
    </row>
    <row r="27045" spans="1:8" customFormat="1" x14ac:dyDescent="0.25">
      <c r="A27045" t="str">
        <f>"3531308"</f>
        <v>3531308</v>
      </c>
      <c r="B27045" t="s">
        <v>4013</v>
      </c>
      <c r="C27045" t="s">
        <v>62</v>
      </c>
      <c r="D27045" s="21" t="s">
        <v>34</v>
      </c>
      <c r="E27045" s="21" t="s">
        <v>35</v>
      </c>
      <c r="F27045">
        <v>3350091</v>
      </c>
      <c r="G27045" t="s">
        <v>5864</v>
      </c>
      <c r="H27045" s="21">
        <v>607.66999999999996</v>
      </c>
    </row>
    <row r="27046" spans="1:8" customFormat="1" x14ac:dyDescent="0.25">
      <c r="A27046" t="str">
        <f>"37558"</f>
        <v>37558</v>
      </c>
      <c r="B27046" t="s">
        <v>9834</v>
      </c>
      <c r="C27046" t="s">
        <v>2305</v>
      </c>
      <c r="D27046" s="21" t="s">
        <v>34</v>
      </c>
      <c r="E27046" s="21" t="s">
        <v>1089</v>
      </c>
      <c r="F27046">
        <v>4370033</v>
      </c>
      <c r="G27046" t="s">
        <v>7556</v>
      </c>
      <c r="H27046" s="21">
        <v>607.66999999999996</v>
      </c>
    </row>
    <row r="27047" spans="1:8" customFormat="1" x14ac:dyDescent="0.25">
      <c r="A27047" t="str">
        <f>"88384"</f>
        <v>88384</v>
      </c>
      <c r="B27047" t="s">
        <v>582</v>
      </c>
      <c r="C27047" t="s">
        <v>412</v>
      </c>
      <c r="D27047" s="21" t="s">
        <v>34</v>
      </c>
      <c r="E27047" s="21" t="s">
        <v>1089</v>
      </c>
      <c r="F27047">
        <v>6880022</v>
      </c>
      <c r="G27047" t="s">
        <v>339</v>
      </c>
      <c r="H27047" s="21">
        <v>607.66999999999996</v>
      </c>
    </row>
    <row r="27048" spans="1:8" customFormat="1" x14ac:dyDescent="0.25">
      <c r="A27048" t="str">
        <f>"0112404"</f>
        <v>0112404</v>
      </c>
      <c r="B27048" t="s">
        <v>19933</v>
      </c>
      <c r="C27048" t="s">
        <v>239</v>
      </c>
      <c r="D27048" s="21" t="s">
        <v>34</v>
      </c>
      <c r="E27048" s="21" t="s">
        <v>35</v>
      </c>
      <c r="F27048">
        <v>1010001</v>
      </c>
      <c r="G27048" t="s">
        <v>2161</v>
      </c>
      <c r="H27048" s="21">
        <v>607.66999999999996</v>
      </c>
    </row>
    <row r="27049" spans="1:8" customFormat="1" x14ac:dyDescent="0.25">
      <c r="A27049" t="str">
        <f>"9315253"</f>
        <v>9315253</v>
      </c>
      <c r="B27049" t="s">
        <v>1551</v>
      </c>
      <c r="C27049" t="s">
        <v>169</v>
      </c>
      <c r="D27049" s="21" t="s">
        <v>34</v>
      </c>
      <c r="E27049" s="21" t="s">
        <v>35</v>
      </c>
      <c r="F27049">
        <v>4280681</v>
      </c>
      <c r="G27049" t="s">
        <v>1656</v>
      </c>
      <c r="H27049" s="21">
        <v>607.66999999999996</v>
      </c>
    </row>
    <row r="27050" spans="1:8" customFormat="1" x14ac:dyDescent="0.25">
      <c r="A27050" t="str">
        <f>"6940708"</f>
        <v>6940708</v>
      </c>
      <c r="B27050" t="s">
        <v>20064</v>
      </c>
      <c r="C27050" t="s">
        <v>198</v>
      </c>
      <c r="D27050" s="21" t="s">
        <v>34</v>
      </c>
      <c r="E27050" s="21" t="s">
        <v>35</v>
      </c>
      <c r="F27050">
        <v>1690138</v>
      </c>
      <c r="G27050" t="s">
        <v>18533</v>
      </c>
      <c r="H27050" s="21">
        <v>607.66999999999996</v>
      </c>
    </row>
    <row r="27051" spans="1:8" customFormat="1" x14ac:dyDescent="0.25">
      <c r="A27051" t="str">
        <f>"12218"</f>
        <v>12218</v>
      </c>
      <c r="B27051" t="s">
        <v>20973</v>
      </c>
      <c r="C27051" t="s">
        <v>40</v>
      </c>
      <c r="D27051" s="21" t="s">
        <v>34</v>
      </c>
      <c r="E27051" s="21" t="s">
        <v>254</v>
      </c>
      <c r="F27051">
        <v>11120047</v>
      </c>
      <c r="G27051" t="s">
        <v>14107</v>
      </c>
      <c r="H27051" s="21">
        <v>607.54</v>
      </c>
    </row>
    <row r="27052" spans="1:8" customFormat="1" x14ac:dyDescent="0.25">
      <c r="A27052" t="str">
        <f>"037273"</f>
        <v>037273</v>
      </c>
      <c r="B27052" t="s">
        <v>2189</v>
      </c>
      <c r="C27052" t="s">
        <v>33</v>
      </c>
      <c r="D27052" s="21" t="s">
        <v>34</v>
      </c>
      <c r="E27052" s="21" t="s">
        <v>35</v>
      </c>
      <c r="F27052">
        <v>1030319</v>
      </c>
      <c r="G27052" t="s">
        <v>27956</v>
      </c>
      <c r="H27052" s="21">
        <v>607.5</v>
      </c>
    </row>
    <row r="27053" spans="1:8" customFormat="1" x14ac:dyDescent="0.25">
      <c r="A27053" t="str">
        <f>"5430439"</f>
        <v>5430439</v>
      </c>
      <c r="B27053" t="s">
        <v>16232</v>
      </c>
      <c r="C27053" t="s">
        <v>169</v>
      </c>
      <c r="D27053" s="21" t="s">
        <v>34</v>
      </c>
      <c r="E27053" s="21" t="s">
        <v>35</v>
      </c>
      <c r="F27053">
        <v>6540001</v>
      </c>
      <c r="G27053" t="s">
        <v>5886</v>
      </c>
      <c r="H27053" s="21">
        <v>607.41999999999996</v>
      </c>
    </row>
    <row r="27054" spans="1:8" customFormat="1" x14ac:dyDescent="0.25">
      <c r="A27054" t="str">
        <f>"1321186"</f>
        <v>1321186</v>
      </c>
      <c r="B27054" t="s">
        <v>27957</v>
      </c>
      <c r="C27054" t="s">
        <v>547</v>
      </c>
      <c r="D27054" s="21" t="s">
        <v>34</v>
      </c>
      <c r="E27054" s="21" t="s">
        <v>254</v>
      </c>
      <c r="F27054">
        <v>13130165</v>
      </c>
      <c r="G27054" t="s">
        <v>2827</v>
      </c>
      <c r="H27054" s="21">
        <v>607.41999999999996</v>
      </c>
    </row>
    <row r="27055" spans="1:8" customFormat="1" x14ac:dyDescent="0.25">
      <c r="A27055" t="str">
        <f>"9525937"</f>
        <v>9525937</v>
      </c>
      <c r="B27055" t="s">
        <v>18044</v>
      </c>
      <c r="C27055" t="s">
        <v>576</v>
      </c>
      <c r="D27055" s="21" t="s">
        <v>34</v>
      </c>
      <c r="E27055" s="21" t="s">
        <v>35</v>
      </c>
      <c r="F27055">
        <v>8951451</v>
      </c>
      <c r="G27055" t="s">
        <v>3909</v>
      </c>
      <c r="H27055" s="21">
        <v>607.41999999999996</v>
      </c>
    </row>
    <row r="27056" spans="1:8" customFormat="1" x14ac:dyDescent="0.25">
      <c r="A27056" t="str">
        <f>"5322757"</f>
        <v>5322757</v>
      </c>
      <c r="B27056" t="s">
        <v>12266</v>
      </c>
      <c r="C27056" t="s">
        <v>664</v>
      </c>
      <c r="D27056" s="21" t="s">
        <v>34</v>
      </c>
      <c r="E27056" s="21" t="s">
        <v>35</v>
      </c>
      <c r="F27056">
        <v>12530078</v>
      </c>
      <c r="G27056" t="s">
        <v>3677</v>
      </c>
      <c r="H27056" s="21">
        <v>607.41999999999996</v>
      </c>
    </row>
    <row r="27057" spans="1:8" customFormat="1" x14ac:dyDescent="0.25">
      <c r="A27057" t="str">
        <f>"653754"</f>
        <v>653754</v>
      </c>
      <c r="B27057" t="s">
        <v>10162</v>
      </c>
      <c r="C27057" t="s">
        <v>249</v>
      </c>
      <c r="D27057" s="21" t="s">
        <v>34</v>
      </c>
      <c r="E27057" s="21" t="s">
        <v>254</v>
      </c>
      <c r="F27057">
        <v>11650034</v>
      </c>
      <c r="G27057" t="s">
        <v>1989</v>
      </c>
      <c r="H27057" s="21">
        <v>607.41999999999996</v>
      </c>
    </row>
    <row r="27058" spans="1:8" customFormat="1" x14ac:dyDescent="0.25">
      <c r="A27058" t="str">
        <f>"3326735"</f>
        <v>3326735</v>
      </c>
      <c r="B27058" t="s">
        <v>4611</v>
      </c>
      <c r="C27058" t="s">
        <v>379</v>
      </c>
      <c r="D27058" s="21" t="s">
        <v>34</v>
      </c>
      <c r="E27058" s="21" t="s">
        <v>1089</v>
      </c>
      <c r="F27058">
        <v>10330002</v>
      </c>
      <c r="G27058" t="s">
        <v>53</v>
      </c>
      <c r="H27058" s="21">
        <v>607.41999999999996</v>
      </c>
    </row>
    <row r="27059" spans="1:8" customFormat="1" x14ac:dyDescent="0.25">
      <c r="A27059" t="str">
        <f>"418118"</f>
        <v>418118</v>
      </c>
      <c r="B27059" t="s">
        <v>19240</v>
      </c>
      <c r="C27059" t="s">
        <v>8238</v>
      </c>
      <c r="D27059" s="21" t="s">
        <v>34</v>
      </c>
      <c r="E27059" s="21" t="s">
        <v>71</v>
      </c>
      <c r="F27059">
        <v>4410594</v>
      </c>
      <c r="G27059" t="s">
        <v>10169</v>
      </c>
      <c r="H27059" s="21">
        <v>607.41999999999996</v>
      </c>
    </row>
    <row r="27060" spans="1:8" customFormat="1" x14ac:dyDescent="0.25">
      <c r="A27060" t="str">
        <f>"879120"</f>
        <v>879120</v>
      </c>
      <c r="B27060" t="s">
        <v>700</v>
      </c>
      <c r="C27060" t="s">
        <v>269</v>
      </c>
      <c r="D27060" s="21" t="s">
        <v>34</v>
      </c>
      <c r="E27060" s="21" t="s">
        <v>71</v>
      </c>
      <c r="F27060">
        <v>10870128</v>
      </c>
      <c r="G27060" t="s">
        <v>9710</v>
      </c>
      <c r="H27060" s="21">
        <v>607.41999999999996</v>
      </c>
    </row>
    <row r="27061" spans="1:8" customFormat="1" x14ac:dyDescent="0.25">
      <c r="A27061" t="str">
        <f>"7637106"</f>
        <v>7637106</v>
      </c>
      <c r="B27061" t="s">
        <v>23237</v>
      </c>
      <c r="C27061" t="s">
        <v>2730</v>
      </c>
      <c r="D27061" s="21" t="s">
        <v>34</v>
      </c>
      <c r="E27061" s="21" t="s">
        <v>254</v>
      </c>
      <c r="F27061">
        <v>9760129</v>
      </c>
      <c r="G27061" t="s">
        <v>6147</v>
      </c>
      <c r="H27061" s="21">
        <v>607.41999999999996</v>
      </c>
    </row>
    <row r="27062" spans="1:8" customFormat="1" x14ac:dyDescent="0.25">
      <c r="A27062" t="str">
        <f>"3536023"</f>
        <v>3536023</v>
      </c>
      <c r="B27062" t="s">
        <v>4872</v>
      </c>
      <c r="C27062" t="s">
        <v>119</v>
      </c>
      <c r="D27062" s="21" t="s">
        <v>34</v>
      </c>
      <c r="E27062" s="21" t="s">
        <v>71</v>
      </c>
      <c r="F27062">
        <v>3350027</v>
      </c>
      <c r="G27062" t="s">
        <v>2760</v>
      </c>
      <c r="H27062" s="21">
        <v>607.29</v>
      </c>
    </row>
    <row r="27063" spans="1:8" customFormat="1" x14ac:dyDescent="0.25">
      <c r="A27063" t="str">
        <f>"847154"</f>
        <v>847154</v>
      </c>
      <c r="B27063" t="s">
        <v>19627</v>
      </c>
      <c r="C27063" t="s">
        <v>19628</v>
      </c>
      <c r="D27063" s="21" t="s">
        <v>34</v>
      </c>
      <c r="E27063" s="21" t="s">
        <v>35</v>
      </c>
      <c r="F27063">
        <v>13840037</v>
      </c>
      <c r="G27063" t="s">
        <v>2019</v>
      </c>
      <c r="H27063" s="21">
        <v>607.29</v>
      </c>
    </row>
    <row r="27064" spans="1:8" customFormat="1" x14ac:dyDescent="0.25">
      <c r="A27064" t="str">
        <f>"212295"</f>
        <v>212295</v>
      </c>
      <c r="B27064" t="s">
        <v>18657</v>
      </c>
      <c r="C27064" t="s">
        <v>198</v>
      </c>
      <c r="D27064" s="21" t="s">
        <v>34</v>
      </c>
      <c r="E27064" s="21" t="s">
        <v>254</v>
      </c>
      <c r="F27064">
        <v>2210126</v>
      </c>
      <c r="G27064" t="s">
        <v>10773</v>
      </c>
      <c r="H27064" s="21">
        <v>607.16999999999996</v>
      </c>
    </row>
    <row r="27065" spans="1:8" customFormat="1" x14ac:dyDescent="0.25">
      <c r="A27065" t="str">
        <f>"2512908"</f>
        <v>2512908</v>
      </c>
      <c r="B27065" t="s">
        <v>19660</v>
      </c>
      <c r="C27065" t="s">
        <v>263</v>
      </c>
      <c r="D27065" s="21" t="s">
        <v>34</v>
      </c>
      <c r="E27065" s="21" t="s">
        <v>71</v>
      </c>
      <c r="F27065">
        <v>2250002</v>
      </c>
      <c r="G27065" t="s">
        <v>2745</v>
      </c>
      <c r="H27065" s="21">
        <v>607.16999999999996</v>
      </c>
    </row>
    <row r="27066" spans="1:8" customFormat="1" x14ac:dyDescent="0.25">
      <c r="A27066" t="str">
        <f>"59972"</f>
        <v>59972</v>
      </c>
      <c r="B27066" t="s">
        <v>67</v>
      </c>
      <c r="C27066" t="s">
        <v>428</v>
      </c>
      <c r="D27066" s="21" t="s">
        <v>34</v>
      </c>
      <c r="E27066" s="21" t="s">
        <v>71</v>
      </c>
      <c r="F27066">
        <v>7590077</v>
      </c>
      <c r="G27066" t="s">
        <v>21272</v>
      </c>
      <c r="H27066" s="21">
        <v>607.16999999999996</v>
      </c>
    </row>
    <row r="27067" spans="1:8" customFormat="1" x14ac:dyDescent="0.25">
      <c r="A27067" t="str">
        <f>"6024116"</f>
        <v>6024116</v>
      </c>
      <c r="B27067" t="s">
        <v>27958</v>
      </c>
      <c r="C27067" t="s">
        <v>124</v>
      </c>
      <c r="D27067" s="21" t="s">
        <v>34</v>
      </c>
      <c r="E27067" s="21" t="s">
        <v>71</v>
      </c>
      <c r="F27067">
        <v>7600043</v>
      </c>
      <c r="G27067" t="s">
        <v>1928</v>
      </c>
      <c r="H27067" s="21">
        <v>607.16999999999996</v>
      </c>
    </row>
    <row r="27068" spans="1:8" customFormat="1" x14ac:dyDescent="0.25">
      <c r="A27068" t="str">
        <f>"417673"</f>
        <v>417673</v>
      </c>
      <c r="B27068" t="s">
        <v>890</v>
      </c>
      <c r="C27068" t="s">
        <v>1539</v>
      </c>
      <c r="D27068" s="21" t="s">
        <v>34</v>
      </c>
      <c r="E27068" s="21" t="s">
        <v>254</v>
      </c>
      <c r="F27068">
        <v>4410017</v>
      </c>
      <c r="G27068" t="s">
        <v>2363</v>
      </c>
      <c r="H27068" s="21">
        <v>607.16999999999996</v>
      </c>
    </row>
    <row r="27069" spans="1:8" customFormat="1" x14ac:dyDescent="0.25">
      <c r="A27069" t="str">
        <f>"0211404"</f>
        <v>0211404</v>
      </c>
      <c r="B27069" t="s">
        <v>577</v>
      </c>
      <c r="C27069" t="s">
        <v>87</v>
      </c>
      <c r="D27069" s="21" t="s">
        <v>34</v>
      </c>
      <c r="E27069" s="21" t="s">
        <v>35</v>
      </c>
      <c r="F27069">
        <v>7021014</v>
      </c>
      <c r="G27069" t="s">
        <v>15834</v>
      </c>
      <c r="H27069" s="21">
        <v>607.16999999999996</v>
      </c>
    </row>
    <row r="27070" spans="1:8" customFormat="1" x14ac:dyDescent="0.25">
      <c r="A27070" t="str">
        <f>"7881921"</f>
        <v>7881921</v>
      </c>
      <c r="B27070" t="s">
        <v>10154</v>
      </c>
      <c r="C27070" t="s">
        <v>1559</v>
      </c>
      <c r="D27070" s="21" t="s">
        <v>34</v>
      </c>
      <c r="E27070" s="21" t="s">
        <v>71</v>
      </c>
      <c r="F27070">
        <v>8780660</v>
      </c>
      <c r="G27070" t="s">
        <v>2801</v>
      </c>
      <c r="H27070" s="21">
        <v>607.16999999999996</v>
      </c>
    </row>
    <row r="27071" spans="1:8" customFormat="1" x14ac:dyDescent="0.25">
      <c r="A27071" t="str">
        <f>"6016235"</f>
        <v>6016235</v>
      </c>
      <c r="B27071" t="s">
        <v>18579</v>
      </c>
      <c r="C27071" t="s">
        <v>244</v>
      </c>
      <c r="D27071" s="21" t="s">
        <v>34</v>
      </c>
      <c r="E27071" s="21" t="s">
        <v>71</v>
      </c>
      <c r="F27071">
        <v>7600015</v>
      </c>
      <c r="G27071" t="s">
        <v>8343</v>
      </c>
      <c r="H27071" s="21">
        <v>607.16999999999996</v>
      </c>
    </row>
    <row r="27072" spans="1:8" customFormat="1" x14ac:dyDescent="0.25">
      <c r="A27072" t="str">
        <f>"407823"</f>
        <v>407823</v>
      </c>
      <c r="B27072" t="s">
        <v>146</v>
      </c>
      <c r="C27072" t="s">
        <v>598</v>
      </c>
      <c r="D27072" s="21" t="s">
        <v>34</v>
      </c>
      <c r="E27072" s="21" t="s">
        <v>71</v>
      </c>
      <c r="F27072">
        <v>10400008</v>
      </c>
      <c r="G27072" t="s">
        <v>2294</v>
      </c>
      <c r="H27072" s="21">
        <v>607.16999999999996</v>
      </c>
    </row>
    <row r="27073" spans="1:8" customFormat="1" x14ac:dyDescent="0.25">
      <c r="A27073" t="str">
        <f>"7858890"</f>
        <v>7858890</v>
      </c>
      <c r="B27073" t="s">
        <v>20623</v>
      </c>
      <c r="C27073" t="s">
        <v>246</v>
      </c>
      <c r="D27073" s="21" t="s">
        <v>34</v>
      </c>
      <c r="E27073" s="21" t="s">
        <v>71</v>
      </c>
      <c r="F27073">
        <v>10330004</v>
      </c>
      <c r="G27073" t="s">
        <v>525</v>
      </c>
      <c r="H27073" s="21">
        <v>607.16999999999996</v>
      </c>
    </row>
    <row r="27074" spans="1:8" customFormat="1" x14ac:dyDescent="0.25">
      <c r="A27074" t="str">
        <f>"072379"</f>
        <v>072379</v>
      </c>
      <c r="B27074" t="s">
        <v>3009</v>
      </c>
      <c r="C27074" t="s">
        <v>547</v>
      </c>
      <c r="D27074" s="21" t="s">
        <v>34</v>
      </c>
      <c r="E27074" s="21" t="s">
        <v>254</v>
      </c>
      <c r="F27074">
        <v>1260062</v>
      </c>
      <c r="G27074" t="s">
        <v>6156</v>
      </c>
      <c r="H27074" s="21">
        <v>607.16999999999996</v>
      </c>
    </row>
    <row r="27075" spans="1:8" customFormat="1" x14ac:dyDescent="0.25">
      <c r="A27075" t="str">
        <f>"4214075"</f>
        <v>4214075</v>
      </c>
      <c r="B27075" t="s">
        <v>5118</v>
      </c>
      <c r="C27075" t="s">
        <v>33</v>
      </c>
      <c r="D27075" s="21" t="s">
        <v>34</v>
      </c>
      <c r="E27075" s="21" t="s">
        <v>35</v>
      </c>
      <c r="F27075">
        <v>1420124</v>
      </c>
      <c r="G27075" t="s">
        <v>3195</v>
      </c>
      <c r="H27075" s="21">
        <v>607.16999999999996</v>
      </c>
    </row>
    <row r="27076" spans="1:8" customFormat="1" x14ac:dyDescent="0.25">
      <c r="A27076" t="str">
        <f>"2935847"</f>
        <v>2935847</v>
      </c>
      <c r="B27076" t="s">
        <v>2505</v>
      </c>
      <c r="C27076" t="s">
        <v>2520</v>
      </c>
      <c r="D27076" s="21" t="s">
        <v>34</v>
      </c>
      <c r="E27076" s="21" t="s">
        <v>71</v>
      </c>
      <c r="F27076">
        <v>3290090</v>
      </c>
      <c r="G27076" t="s">
        <v>1390</v>
      </c>
      <c r="H27076" s="21">
        <v>607.16999999999996</v>
      </c>
    </row>
    <row r="27077" spans="1:8" customFormat="1" x14ac:dyDescent="0.25">
      <c r="A27077" t="str">
        <f>"2930196"</f>
        <v>2930196</v>
      </c>
      <c r="B27077" t="s">
        <v>2317</v>
      </c>
      <c r="C27077" t="s">
        <v>598</v>
      </c>
      <c r="D27077" s="21" t="s">
        <v>34</v>
      </c>
      <c r="E27077" s="21" t="s">
        <v>71</v>
      </c>
      <c r="F27077">
        <v>3290037</v>
      </c>
      <c r="G27077" t="s">
        <v>11628</v>
      </c>
      <c r="H27077" s="21">
        <v>607.16999999999996</v>
      </c>
    </row>
    <row r="27078" spans="1:8" customFormat="1" x14ac:dyDescent="0.25">
      <c r="A27078" t="str">
        <f>"037502"</f>
        <v>037502</v>
      </c>
      <c r="B27078" t="s">
        <v>20434</v>
      </c>
      <c r="C27078" t="s">
        <v>33</v>
      </c>
      <c r="D27078" s="21" t="s">
        <v>34</v>
      </c>
      <c r="E27078" s="21" t="s">
        <v>35</v>
      </c>
      <c r="F27078">
        <v>1030165</v>
      </c>
      <c r="G27078" t="s">
        <v>2357</v>
      </c>
      <c r="H27078" s="21">
        <v>607.16999999999996</v>
      </c>
    </row>
    <row r="27079" spans="1:8" customFormat="1" x14ac:dyDescent="0.25">
      <c r="A27079" t="str">
        <f>"8528459"</f>
        <v>8528459</v>
      </c>
      <c r="B27079" t="s">
        <v>21350</v>
      </c>
      <c r="C27079" t="s">
        <v>712</v>
      </c>
      <c r="D27079" s="21" t="s">
        <v>34</v>
      </c>
      <c r="E27079" s="21" t="s">
        <v>254</v>
      </c>
      <c r="F27079">
        <v>12850031</v>
      </c>
      <c r="G27079" t="s">
        <v>3180</v>
      </c>
      <c r="H27079" s="21">
        <v>607.16999999999996</v>
      </c>
    </row>
    <row r="27080" spans="1:8" customFormat="1" x14ac:dyDescent="0.25">
      <c r="A27080" t="str">
        <f>"4438403"</f>
        <v>4438403</v>
      </c>
      <c r="B27080" t="s">
        <v>9102</v>
      </c>
      <c r="C27080" t="s">
        <v>211</v>
      </c>
      <c r="D27080" s="21" t="s">
        <v>34</v>
      </c>
      <c r="E27080" s="21" t="s">
        <v>35</v>
      </c>
      <c r="F27080">
        <v>12440059</v>
      </c>
      <c r="G27080" t="s">
        <v>6697</v>
      </c>
      <c r="H27080" s="21">
        <v>607.16999999999996</v>
      </c>
    </row>
    <row r="27081" spans="1:8" customFormat="1" x14ac:dyDescent="0.25">
      <c r="A27081" t="str">
        <f>"2935560"</f>
        <v>2935560</v>
      </c>
      <c r="B27081" t="s">
        <v>20964</v>
      </c>
      <c r="C27081" t="s">
        <v>87</v>
      </c>
      <c r="D27081" s="21" t="s">
        <v>34</v>
      </c>
      <c r="E27081" s="21" t="s">
        <v>35</v>
      </c>
      <c r="F27081">
        <v>3290047</v>
      </c>
      <c r="G27081" t="s">
        <v>2874</v>
      </c>
      <c r="H27081" s="21">
        <v>607.16999999999996</v>
      </c>
    </row>
    <row r="27082" spans="1:8" customFormat="1" x14ac:dyDescent="0.25">
      <c r="A27082" t="str">
        <f>"3335720"</f>
        <v>3335720</v>
      </c>
      <c r="B27082" t="s">
        <v>19194</v>
      </c>
      <c r="C27082" t="s">
        <v>267</v>
      </c>
      <c r="D27082" s="21" t="s">
        <v>34</v>
      </c>
      <c r="E27082" s="21" t="s">
        <v>1089</v>
      </c>
      <c r="F27082">
        <v>10330017</v>
      </c>
      <c r="G27082" t="s">
        <v>2754</v>
      </c>
      <c r="H27082" s="21">
        <v>607.16999999999996</v>
      </c>
    </row>
    <row r="27083" spans="1:8" customFormat="1" x14ac:dyDescent="0.25">
      <c r="A27083" t="str">
        <f>"194566"</f>
        <v>194566</v>
      </c>
      <c r="B27083" t="s">
        <v>19827</v>
      </c>
      <c r="C27083" t="s">
        <v>249</v>
      </c>
      <c r="D27083" s="21" t="s">
        <v>34</v>
      </c>
      <c r="E27083" s="21" t="s">
        <v>71</v>
      </c>
      <c r="F27083">
        <v>11460017</v>
      </c>
      <c r="G27083" t="s">
        <v>7665</v>
      </c>
      <c r="H27083" s="21">
        <v>607.04</v>
      </c>
    </row>
    <row r="27084" spans="1:8" customFormat="1" x14ac:dyDescent="0.25">
      <c r="A27084" t="str">
        <f>"648664"</f>
        <v>648664</v>
      </c>
      <c r="B27084" t="s">
        <v>21734</v>
      </c>
      <c r="C27084" t="s">
        <v>239</v>
      </c>
      <c r="D27084" s="21" t="s">
        <v>34</v>
      </c>
      <c r="E27084" s="21" t="s">
        <v>35</v>
      </c>
      <c r="F27084">
        <v>10640001</v>
      </c>
      <c r="G27084" t="s">
        <v>2419</v>
      </c>
      <c r="H27084" s="21">
        <v>607.04</v>
      </c>
    </row>
    <row r="27085" spans="1:8" customFormat="1" x14ac:dyDescent="0.25">
      <c r="A27085" t="str">
        <f>"454645"</f>
        <v>454645</v>
      </c>
      <c r="B27085" t="s">
        <v>19680</v>
      </c>
      <c r="C27085" t="s">
        <v>124</v>
      </c>
      <c r="D27085" s="21" t="s">
        <v>34</v>
      </c>
      <c r="E27085" s="21" t="s">
        <v>71</v>
      </c>
      <c r="F27085">
        <v>4450702</v>
      </c>
      <c r="G27085" t="s">
        <v>1772</v>
      </c>
      <c r="H27085" s="21">
        <v>606.91999999999996</v>
      </c>
    </row>
    <row r="27086" spans="1:8" customFormat="1" x14ac:dyDescent="0.25">
      <c r="A27086" t="str">
        <f>"3524606"</f>
        <v>3524606</v>
      </c>
      <c r="B27086" t="s">
        <v>19691</v>
      </c>
      <c r="C27086" t="s">
        <v>712</v>
      </c>
      <c r="D27086" s="21" t="s">
        <v>34</v>
      </c>
      <c r="E27086" s="21" t="s">
        <v>71</v>
      </c>
      <c r="F27086">
        <v>3350014</v>
      </c>
      <c r="G27086" t="s">
        <v>1078</v>
      </c>
      <c r="H27086" s="21">
        <v>606.91999999999996</v>
      </c>
    </row>
    <row r="27087" spans="1:8" customFormat="1" x14ac:dyDescent="0.25">
      <c r="A27087" t="str">
        <f>"9126470"</f>
        <v>9126470</v>
      </c>
      <c r="B27087" t="s">
        <v>11155</v>
      </c>
      <c r="C27087" t="s">
        <v>33</v>
      </c>
      <c r="D27087" s="21" t="s">
        <v>34</v>
      </c>
      <c r="E27087" s="21" t="s">
        <v>35</v>
      </c>
      <c r="F27087">
        <v>8911050</v>
      </c>
      <c r="G27087" t="s">
        <v>1606</v>
      </c>
      <c r="H27087" s="21">
        <v>606.79</v>
      </c>
    </row>
    <row r="27088" spans="1:8" customFormat="1" x14ac:dyDescent="0.25">
      <c r="A27088" t="str">
        <f>"9129871"</f>
        <v>9129871</v>
      </c>
      <c r="B27088" t="s">
        <v>19442</v>
      </c>
      <c r="C27088" t="s">
        <v>19443</v>
      </c>
      <c r="D27088" s="21" t="s">
        <v>34</v>
      </c>
      <c r="E27088" s="21" t="s">
        <v>254</v>
      </c>
      <c r="F27088">
        <v>8911439</v>
      </c>
      <c r="G27088" t="s">
        <v>3953</v>
      </c>
      <c r="H27088" s="21">
        <v>606.66999999999996</v>
      </c>
    </row>
    <row r="27089" spans="1:8" customFormat="1" x14ac:dyDescent="0.25">
      <c r="A27089" t="str">
        <f>"7921906"</f>
        <v>7921906</v>
      </c>
      <c r="B27089" t="s">
        <v>20453</v>
      </c>
      <c r="C27089" t="s">
        <v>62</v>
      </c>
      <c r="D27089" s="21" t="s">
        <v>34</v>
      </c>
      <c r="E27089" s="21" t="s">
        <v>71</v>
      </c>
      <c r="F27089">
        <v>10790043</v>
      </c>
      <c r="G27089" t="s">
        <v>2828</v>
      </c>
      <c r="H27089" s="21">
        <v>606.66999999999996</v>
      </c>
    </row>
    <row r="27090" spans="1:8" customFormat="1" x14ac:dyDescent="0.25">
      <c r="A27090" t="str">
        <f>"4112436"</f>
        <v>4112436</v>
      </c>
      <c r="B27090" t="s">
        <v>24806</v>
      </c>
      <c r="C27090" t="s">
        <v>1294</v>
      </c>
      <c r="D27090" s="21" t="s">
        <v>34</v>
      </c>
      <c r="E27090" s="21" t="s">
        <v>35</v>
      </c>
      <c r="F27090">
        <v>4410537</v>
      </c>
      <c r="G27090" t="s">
        <v>6515</v>
      </c>
      <c r="H27090" s="21">
        <v>606.66999999999996</v>
      </c>
    </row>
    <row r="27091" spans="1:8" customFormat="1" x14ac:dyDescent="0.25">
      <c r="A27091" t="str">
        <f>"7628365"</f>
        <v>7628365</v>
      </c>
      <c r="B27091" t="s">
        <v>12379</v>
      </c>
      <c r="C27091" t="s">
        <v>8345</v>
      </c>
      <c r="D27091" s="21" t="s">
        <v>34</v>
      </c>
      <c r="E27091" s="21" t="s">
        <v>71</v>
      </c>
      <c r="F27091">
        <v>9760319</v>
      </c>
      <c r="G27091" t="s">
        <v>3051</v>
      </c>
      <c r="H27091" s="21">
        <v>606.66999999999996</v>
      </c>
    </row>
    <row r="27092" spans="1:8" customFormat="1" x14ac:dyDescent="0.25">
      <c r="A27092" t="str">
        <f>"12445"</f>
        <v>12445</v>
      </c>
      <c r="B27092" t="s">
        <v>19285</v>
      </c>
      <c r="C27092" t="s">
        <v>415</v>
      </c>
      <c r="D27092" s="21" t="s">
        <v>34</v>
      </c>
      <c r="E27092" s="21" t="s">
        <v>1089</v>
      </c>
      <c r="F27092">
        <v>11120026</v>
      </c>
      <c r="G27092" t="s">
        <v>9107</v>
      </c>
      <c r="H27092" s="21">
        <v>606.66999999999996</v>
      </c>
    </row>
    <row r="27093" spans="1:8" customFormat="1" x14ac:dyDescent="0.25">
      <c r="A27093" t="str">
        <f>"7113439"</f>
        <v>7113439</v>
      </c>
      <c r="B27093" t="s">
        <v>2571</v>
      </c>
      <c r="C27093" t="s">
        <v>209</v>
      </c>
      <c r="D27093" s="21" t="s">
        <v>34</v>
      </c>
      <c r="E27093" s="21" t="s">
        <v>254</v>
      </c>
      <c r="F27093">
        <v>2710042</v>
      </c>
      <c r="G27093" t="s">
        <v>1997</v>
      </c>
      <c r="H27093" s="21">
        <v>606.66999999999996</v>
      </c>
    </row>
    <row r="27094" spans="1:8" customFormat="1" x14ac:dyDescent="0.25">
      <c r="A27094" t="str">
        <f>"3816990"</f>
        <v>3816990</v>
      </c>
      <c r="B27094" t="s">
        <v>19700</v>
      </c>
      <c r="C27094" t="s">
        <v>3905</v>
      </c>
      <c r="D27094" s="21" t="s">
        <v>34</v>
      </c>
      <c r="E27094" s="21" t="s">
        <v>1089</v>
      </c>
      <c r="F27094">
        <v>1380164</v>
      </c>
      <c r="G27094" t="s">
        <v>2728</v>
      </c>
      <c r="H27094" s="21">
        <v>606.66999999999996</v>
      </c>
    </row>
    <row r="27095" spans="1:8" customFormat="1" x14ac:dyDescent="0.25">
      <c r="A27095" t="str">
        <f>"667569"</f>
        <v>667569</v>
      </c>
      <c r="B27095" t="s">
        <v>19575</v>
      </c>
      <c r="C27095" t="s">
        <v>6285</v>
      </c>
      <c r="D27095" s="21" t="s">
        <v>34</v>
      </c>
      <c r="E27095" s="21" t="s">
        <v>1089</v>
      </c>
      <c r="F27095">
        <v>11660041</v>
      </c>
      <c r="G27095" t="s">
        <v>18594</v>
      </c>
      <c r="H27095" s="21">
        <v>606.66999999999996</v>
      </c>
    </row>
    <row r="27096" spans="1:8" customFormat="1" x14ac:dyDescent="0.25">
      <c r="A27096" t="str">
        <f>"413924"</f>
        <v>413924</v>
      </c>
      <c r="B27096" t="s">
        <v>20216</v>
      </c>
      <c r="C27096" t="s">
        <v>263</v>
      </c>
      <c r="D27096" s="21" t="s">
        <v>34</v>
      </c>
      <c r="E27096" s="21" t="s">
        <v>254</v>
      </c>
      <c r="F27096">
        <v>4410543</v>
      </c>
      <c r="G27096" t="s">
        <v>14950</v>
      </c>
      <c r="H27096" s="21">
        <v>606.66999999999996</v>
      </c>
    </row>
    <row r="27097" spans="1:8" customFormat="1" x14ac:dyDescent="0.25">
      <c r="A27097" t="str">
        <f>"9223560"</f>
        <v>9223560</v>
      </c>
      <c r="B27097" t="s">
        <v>21053</v>
      </c>
      <c r="C27097" t="s">
        <v>547</v>
      </c>
      <c r="D27097" s="21" t="s">
        <v>34</v>
      </c>
      <c r="E27097" s="21" t="s">
        <v>1089</v>
      </c>
      <c r="F27097">
        <v>8920075</v>
      </c>
      <c r="G27097" t="s">
        <v>317</v>
      </c>
      <c r="H27097" s="21">
        <v>606.66999999999996</v>
      </c>
    </row>
    <row r="27098" spans="1:8" customFormat="1" x14ac:dyDescent="0.25">
      <c r="A27098" t="str">
        <f>"66156"</f>
        <v>66156</v>
      </c>
      <c r="B27098" t="s">
        <v>18563</v>
      </c>
      <c r="C27098" t="s">
        <v>33</v>
      </c>
      <c r="D27098" s="21" t="s">
        <v>34</v>
      </c>
      <c r="E27098" s="21" t="s">
        <v>71</v>
      </c>
      <c r="F27098">
        <v>11660008</v>
      </c>
      <c r="G27098" t="s">
        <v>16161</v>
      </c>
      <c r="H27098" s="21">
        <v>606.66999999999996</v>
      </c>
    </row>
    <row r="27099" spans="1:8" customFormat="1" x14ac:dyDescent="0.25">
      <c r="A27099" t="str">
        <f>"4443840"</f>
        <v>4443840</v>
      </c>
      <c r="B27099" t="s">
        <v>6001</v>
      </c>
      <c r="C27099" t="s">
        <v>328</v>
      </c>
      <c r="D27099" s="21" t="s">
        <v>34</v>
      </c>
      <c r="E27099" s="21" t="s">
        <v>71</v>
      </c>
      <c r="F27099">
        <v>12440141</v>
      </c>
      <c r="G27099" t="s">
        <v>3234</v>
      </c>
      <c r="H27099" s="21">
        <v>606.66999999999996</v>
      </c>
    </row>
    <row r="27100" spans="1:8" customFormat="1" x14ac:dyDescent="0.25">
      <c r="A27100" t="str">
        <f>"7412747"</f>
        <v>7412747</v>
      </c>
      <c r="B27100" t="s">
        <v>19766</v>
      </c>
      <c r="C27100" t="s">
        <v>1142</v>
      </c>
      <c r="D27100" s="21" t="s">
        <v>34</v>
      </c>
      <c r="E27100" s="21" t="s">
        <v>254</v>
      </c>
      <c r="F27100">
        <v>1740060</v>
      </c>
      <c r="G27100" t="s">
        <v>4907</v>
      </c>
      <c r="H27100" s="21">
        <v>606.66999999999996</v>
      </c>
    </row>
    <row r="27101" spans="1:8" customFormat="1" x14ac:dyDescent="0.25">
      <c r="A27101" t="str">
        <f>"6814178"</f>
        <v>6814178</v>
      </c>
      <c r="B27101" t="s">
        <v>19098</v>
      </c>
      <c r="C27101" t="s">
        <v>879</v>
      </c>
      <c r="D27101" s="21" t="s">
        <v>34</v>
      </c>
      <c r="E27101" s="21" t="s">
        <v>254</v>
      </c>
      <c r="F27101">
        <v>6680139</v>
      </c>
      <c r="G27101" t="s">
        <v>8652</v>
      </c>
      <c r="H27101" s="21">
        <v>606.66999999999996</v>
      </c>
    </row>
    <row r="27102" spans="1:8" customFormat="1" x14ac:dyDescent="0.25">
      <c r="A27102" t="str">
        <f>"42586"</f>
        <v>42586</v>
      </c>
      <c r="B27102" t="s">
        <v>18859</v>
      </c>
      <c r="C27102" t="s">
        <v>412</v>
      </c>
      <c r="D27102" s="21" t="s">
        <v>34</v>
      </c>
      <c r="E27102" s="21" t="s">
        <v>254</v>
      </c>
      <c r="F27102">
        <v>1420036</v>
      </c>
      <c r="G27102" t="s">
        <v>17218</v>
      </c>
      <c r="H27102" s="21">
        <v>606.66999999999996</v>
      </c>
    </row>
    <row r="27103" spans="1:8" customFormat="1" x14ac:dyDescent="0.25">
      <c r="A27103" t="str">
        <f>"3342617"</f>
        <v>3342617</v>
      </c>
      <c r="B27103" t="s">
        <v>19084</v>
      </c>
      <c r="C27103" t="s">
        <v>288</v>
      </c>
      <c r="D27103" s="21" t="s">
        <v>34</v>
      </c>
      <c r="E27103" s="21" t="s">
        <v>35</v>
      </c>
      <c r="F27103">
        <v>10330013</v>
      </c>
      <c r="G27103" t="s">
        <v>613</v>
      </c>
      <c r="H27103" s="21">
        <v>606.66999999999996</v>
      </c>
    </row>
    <row r="27104" spans="1:8" customFormat="1" x14ac:dyDescent="0.25">
      <c r="A27104" t="str">
        <f>"388559"</f>
        <v>388559</v>
      </c>
      <c r="B27104" t="s">
        <v>700</v>
      </c>
      <c r="C27104" t="s">
        <v>1665</v>
      </c>
      <c r="D27104" s="21" t="s">
        <v>34</v>
      </c>
      <c r="E27104" s="21" t="s">
        <v>1089</v>
      </c>
      <c r="F27104">
        <v>1380284</v>
      </c>
      <c r="G27104" t="s">
        <v>300</v>
      </c>
      <c r="H27104" s="21">
        <v>606.66999999999996</v>
      </c>
    </row>
    <row r="27105" spans="1:8" customFormat="1" x14ac:dyDescent="0.25">
      <c r="A27105" t="str">
        <f>"416933"</f>
        <v>416933</v>
      </c>
      <c r="B27105" t="s">
        <v>14448</v>
      </c>
      <c r="C27105" t="s">
        <v>822</v>
      </c>
      <c r="D27105" s="21" t="s">
        <v>34</v>
      </c>
      <c r="E27105" s="21" t="s">
        <v>254</v>
      </c>
      <c r="F27105">
        <v>4410726</v>
      </c>
      <c r="G27105" t="s">
        <v>7298</v>
      </c>
      <c r="H27105" s="21">
        <v>606.66999999999996</v>
      </c>
    </row>
    <row r="27106" spans="1:8" customFormat="1" x14ac:dyDescent="0.25">
      <c r="A27106" t="str">
        <f>"5957979"</f>
        <v>5957979</v>
      </c>
      <c r="B27106" t="s">
        <v>20438</v>
      </c>
      <c r="C27106" t="s">
        <v>209</v>
      </c>
      <c r="D27106" s="21" t="s">
        <v>34</v>
      </c>
      <c r="E27106" s="21" t="s">
        <v>35</v>
      </c>
      <c r="F27106">
        <v>7590132</v>
      </c>
      <c r="G27106" t="s">
        <v>3204</v>
      </c>
      <c r="H27106" s="21">
        <v>606.66999999999996</v>
      </c>
    </row>
    <row r="27107" spans="1:8" customFormat="1" x14ac:dyDescent="0.25">
      <c r="A27107" t="str">
        <f>"4438601"</f>
        <v>4438601</v>
      </c>
      <c r="B27107" t="s">
        <v>20232</v>
      </c>
      <c r="C27107" t="s">
        <v>119</v>
      </c>
      <c r="D27107" s="21" t="s">
        <v>34</v>
      </c>
      <c r="E27107" s="21" t="s">
        <v>35</v>
      </c>
      <c r="F27107">
        <v>12440144</v>
      </c>
      <c r="G27107" t="s">
        <v>3702</v>
      </c>
      <c r="H27107" s="21">
        <v>606.66999999999996</v>
      </c>
    </row>
    <row r="27108" spans="1:8" customFormat="1" x14ac:dyDescent="0.25">
      <c r="A27108" t="str">
        <f>"7726732"</f>
        <v>7726732</v>
      </c>
      <c r="B27108" t="s">
        <v>14506</v>
      </c>
      <c r="C27108" t="s">
        <v>269</v>
      </c>
      <c r="D27108" s="21" t="s">
        <v>34</v>
      </c>
      <c r="E27108" s="21" t="s">
        <v>71</v>
      </c>
      <c r="F27108">
        <v>8771154</v>
      </c>
      <c r="G27108" t="s">
        <v>3625</v>
      </c>
      <c r="H27108" s="21">
        <v>606.54</v>
      </c>
    </row>
    <row r="27109" spans="1:8" customFormat="1" x14ac:dyDescent="0.25">
      <c r="A27109" t="str">
        <f>"723618"</f>
        <v>723618</v>
      </c>
      <c r="B27109" t="s">
        <v>7015</v>
      </c>
      <c r="C27109" t="s">
        <v>2100</v>
      </c>
      <c r="D27109" s="21" t="s">
        <v>34</v>
      </c>
      <c r="E27109" s="21" t="s">
        <v>254</v>
      </c>
      <c r="F27109">
        <v>12720006</v>
      </c>
      <c r="G27109" t="s">
        <v>4022</v>
      </c>
      <c r="H27109" s="21">
        <v>606.16999999999996</v>
      </c>
    </row>
    <row r="27110" spans="1:8" customFormat="1" x14ac:dyDescent="0.25">
      <c r="A27110" t="str">
        <f>"2938982"</f>
        <v>2938982</v>
      </c>
      <c r="B27110" t="s">
        <v>2851</v>
      </c>
      <c r="C27110" t="s">
        <v>55</v>
      </c>
      <c r="D27110" s="21" t="s">
        <v>34</v>
      </c>
      <c r="E27110" s="21" t="s">
        <v>71</v>
      </c>
      <c r="F27110">
        <v>3290047</v>
      </c>
      <c r="G27110" t="s">
        <v>2874</v>
      </c>
      <c r="H27110" s="21">
        <v>606.16999999999996</v>
      </c>
    </row>
    <row r="27111" spans="1:8" customFormat="1" x14ac:dyDescent="0.25">
      <c r="A27111" t="str">
        <f>"5112223"</f>
        <v>5112223</v>
      </c>
      <c r="B27111" t="s">
        <v>17148</v>
      </c>
      <c r="C27111" t="s">
        <v>33</v>
      </c>
      <c r="D27111" s="21" t="s">
        <v>34</v>
      </c>
      <c r="E27111" s="21" t="s">
        <v>71</v>
      </c>
      <c r="F27111">
        <v>6510015</v>
      </c>
      <c r="G27111" t="s">
        <v>5462</v>
      </c>
      <c r="H27111" s="21">
        <v>606.16999999999996</v>
      </c>
    </row>
    <row r="27112" spans="1:8" customFormat="1" x14ac:dyDescent="0.25">
      <c r="A27112" t="str">
        <f>"5939866"</f>
        <v>5939866</v>
      </c>
      <c r="B27112" t="s">
        <v>27959</v>
      </c>
      <c r="C27112" t="s">
        <v>3401</v>
      </c>
      <c r="D27112" s="21" t="s">
        <v>34</v>
      </c>
      <c r="E27112" s="21" t="s">
        <v>35</v>
      </c>
      <c r="F27112">
        <v>7590040</v>
      </c>
      <c r="G27112" t="s">
        <v>104</v>
      </c>
      <c r="H27112" s="21">
        <v>606.16999999999996</v>
      </c>
    </row>
    <row r="27113" spans="1:8" customFormat="1" x14ac:dyDescent="0.25">
      <c r="A27113" t="str">
        <f>"5020148"</f>
        <v>5020148</v>
      </c>
      <c r="B27113" t="s">
        <v>1531</v>
      </c>
      <c r="C27113" t="s">
        <v>62</v>
      </c>
      <c r="D27113" s="21" t="s">
        <v>34</v>
      </c>
      <c r="E27113" s="21" t="s">
        <v>35</v>
      </c>
      <c r="F27113">
        <v>9500012</v>
      </c>
      <c r="G27113" t="s">
        <v>10097</v>
      </c>
      <c r="H27113" s="21">
        <v>606.16999999999996</v>
      </c>
    </row>
    <row r="27114" spans="1:8" customFormat="1" x14ac:dyDescent="0.25">
      <c r="A27114" t="str">
        <f>"4935407"</f>
        <v>4935407</v>
      </c>
      <c r="B27114" t="s">
        <v>20927</v>
      </c>
      <c r="C27114" t="s">
        <v>156</v>
      </c>
      <c r="D27114" s="21" t="s">
        <v>34</v>
      </c>
      <c r="E27114" s="21" t="s">
        <v>254</v>
      </c>
      <c r="F27114">
        <v>12490122</v>
      </c>
      <c r="G27114" t="s">
        <v>26752</v>
      </c>
      <c r="H27114" s="21">
        <v>606.16999999999996</v>
      </c>
    </row>
    <row r="27115" spans="1:8" customFormat="1" x14ac:dyDescent="0.25">
      <c r="A27115" t="str">
        <f>"5321595"</f>
        <v>5321595</v>
      </c>
      <c r="B27115" t="s">
        <v>19969</v>
      </c>
      <c r="C27115" t="s">
        <v>415</v>
      </c>
      <c r="D27115" s="21" t="s">
        <v>34</v>
      </c>
      <c r="E27115" s="21" t="s">
        <v>1089</v>
      </c>
      <c r="F27115">
        <v>12530017</v>
      </c>
      <c r="G27115" t="s">
        <v>307</v>
      </c>
      <c r="H27115" s="21">
        <v>606.16999999999996</v>
      </c>
    </row>
    <row r="27116" spans="1:8" customFormat="1" x14ac:dyDescent="0.25">
      <c r="A27116" t="str">
        <f>"3712810"</f>
        <v>3712810</v>
      </c>
      <c r="B27116" t="s">
        <v>2206</v>
      </c>
      <c r="C27116" t="s">
        <v>1914</v>
      </c>
      <c r="D27116" s="21" t="s">
        <v>34</v>
      </c>
      <c r="E27116" s="21" t="s">
        <v>254</v>
      </c>
      <c r="F27116">
        <v>12490124</v>
      </c>
      <c r="G27116" t="s">
        <v>677</v>
      </c>
      <c r="H27116" s="21">
        <v>606.16999999999996</v>
      </c>
    </row>
    <row r="27117" spans="1:8" customFormat="1" x14ac:dyDescent="0.25">
      <c r="A27117" t="str">
        <f>"5424711"</f>
        <v>5424711</v>
      </c>
      <c r="B27117" t="s">
        <v>105</v>
      </c>
      <c r="C27117" t="s">
        <v>40</v>
      </c>
      <c r="D27117" s="21" t="s">
        <v>34</v>
      </c>
      <c r="E27117" s="21" t="s">
        <v>254</v>
      </c>
      <c r="F27117">
        <v>6540040</v>
      </c>
      <c r="G27117" t="s">
        <v>256</v>
      </c>
      <c r="H27117" s="21">
        <v>606.16999999999996</v>
      </c>
    </row>
    <row r="27118" spans="1:8" customFormat="1" x14ac:dyDescent="0.25">
      <c r="A27118" t="str">
        <f>"276388"</f>
        <v>276388</v>
      </c>
      <c r="B27118" t="s">
        <v>17920</v>
      </c>
      <c r="C27118" t="s">
        <v>1714</v>
      </c>
      <c r="D27118" s="21" t="s">
        <v>34</v>
      </c>
      <c r="E27118" s="21" t="s">
        <v>71</v>
      </c>
      <c r="F27118">
        <v>9270063</v>
      </c>
      <c r="G27118" t="s">
        <v>808</v>
      </c>
      <c r="H27118" s="21">
        <v>606.16999999999996</v>
      </c>
    </row>
    <row r="27119" spans="1:8" customFormat="1" x14ac:dyDescent="0.25">
      <c r="A27119" t="str">
        <f>"5934663"</f>
        <v>5934663</v>
      </c>
      <c r="B27119" t="s">
        <v>19453</v>
      </c>
      <c r="C27119" t="s">
        <v>288</v>
      </c>
      <c r="D27119" s="21" t="s">
        <v>34</v>
      </c>
      <c r="E27119" s="21" t="s">
        <v>35</v>
      </c>
      <c r="F27119">
        <v>7590263</v>
      </c>
      <c r="G27119" t="s">
        <v>895</v>
      </c>
      <c r="H27119" s="21">
        <v>606.16999999999996</v>
      </c>
    </row>
    <row r="27120" spans="1:8" customFormat="1" x14ac:dyDescent="0.25">
      <c r="A27120" t="str">
        <f>"245394"</f>
        <v>245394</v>
      </c>
      <c r="B27120" t="s">
        <v>19199</v>
      </c>
      <c r="C27120" t="s">
        <v>169</v>
      </c>
      <c r="D27120" s="21" t="s">
        <v>34</v>
      </c>
      <c r="E27120" s="21" t="s">
        <v>71</v>
      </c>
      <c r="F27120">
        <v>10240007</v>
      </c>
      <c r="G27120" t="s">
        <v>2326</v>
      </c>
      <c r="H27120" s="21">
        <v>606.16999999999996</v>
      </c>
    </row>
    <row r="27121" spans="1:8" customFormat="1" x14ac:dyDescent="0.25">
      <c r="A27121" t="str">
        <f>"953581"</f>
        <v>953581</v>
      </c>
      <c r="B27121" t="s">
        <v>20357</v>
      </c>
      <c r="C27121" t="s">
        <v>412</v>
      </c>
      <c r="D27121" s="21" t="s">
        <v>34</v>
      </c>
      <c r="E27121" s="21" t="s">
        <v>1089</v>
      </c>
      <c r="F27121">
        <v>8950531</v>
      </c>
      <c r="G27121" t="s">
        <v>7983</v>
      </c>
      <c r="H27121" s="21">
        <v>606.04</v>
      </c>
    </row>
    <row r="27122" spans="1:8" customFormat="1" x14ac:dyDescent="0.25">
      <c r="A27122" t="str">
        <f>"5618442"</f>
        <v>5618442</v>
      </c>
      <c r="B27122" t="s">
        <v>20027</v>
      </c>
      <c r="C27122" t="s">
        <v>209</v>
      </c>
      <c r="D27122" s="21" t="s">
        <v>34</v>
      </c>
      <c r="E27122" s="21" t="s">
        <v>35</v>
      </c>
      <c r="F27122">
        <v>3560051</v>
      </c>
      <c r="G27122" t="s">
        <v>14709</v>
      </c>
      <c r="H27122" s="21">
        <v>606</v>
      </c>
    </row>
    <row r="27123" spans="1:8" customFormat="1" x14ac:dyDescent="0.25">
      <c r="A27123" t="str">
        <f>"1420073"</f>
        <v>1420073</v>
      </c>
      <c r="B27123" t="s">
        <v>4768</v>
      </c>
      <c r="C27123" t="s">
        <v>33</v>
      </c>
      <c r="D27123" s="21" t="s">
        <v>34</v>
      </c>
      <c r="E27123" s="21" t="s">
        <v>35</v>
      </c>
      <c r="F27123">
        <v>9140071</v>
      </c>
      <c r="G27123" t="s">
        <v>1775</v>
      </c>
      <c r="H27123" s="21">
        <v>605.91999999999996</v>
      </c>
    </row>
    <row r="27124" spans="1:8" customFormat="1" x14ac:dyDescent="0.25">
      <c r="A27124" t="str">
        <f>"5320590"</f>
        <v>5320590</v>
      </c>
      <c r="B27124" t="s">
        <v>20412</v>
      </c>
      <c r="C27124" t="s">
        <v>262</v>
      </c>
      <c r="D27124" s="21" t="s">
        <v>34</v>
      </c>
      <c r="E27124" s="21" t="s">
        <v>71</v>
      </c>
      <c r="F27124">
        <v>12530093</v>
      </c>
      <c r="G27124" t="s">
        <v>7865</v>
      </c>
      <c r="H27124" s="21">
        <v>605.91999999999996</v>
      </c>
    </row>
    <row r="27125" spans="1:8" customFormat="1" x14ac:dyDescent="0.25">
      <c r="A27125" t="str">
        <f>"1426150"</f>
        <v>1426150</v>
      </c>
      <c r="B27125" t="s">
        <v>22451</v>
      </c>
      <c r="C27125" t="s">
        <v>3784</v>
      </c>
      <c r="D27125" s="21" t="s">
        <v>34</v>
      </c>
      <c r="E27125" s="21" t="s">
        <v>254</v>
      </c>
      <c r="F27125">
        <v>9140228</v>
      </c>
      <c r="G27125" t="s">
        <v>16772</v>
      </c>
      <c r="H27125" s="21">
        <v>605.91999999999996</v>
      </c>
    </row>
    <row r="27126" spans="1:8" customFormat="1" x14ac:dyDescent="0.25">
      <c r="A27126" t="str">
        <f>"2516836"</f>
        <v>2516836</v>
      </c>
      <c r="B27126" t="s">
        <v>437</v>
      </c>
      <c r="C27126" t="s">
        <v>198</v>
      </c>
      <c r="D27126" s="21" t="s">
        <v>34</v>
      </c>
      <c r="E27126" s="21" t="s">
        <v>35</v>
      </c>
      <c r="F27126">
        <v>2250083</v>
      </c>
      <c r="G27126" t="s">
        <v>3808</v>
      </c>
      <c r="H27126" s="21">
        <v>605.91999999999996</v>
      </c>
    </row>
    <row r="27127" spans="1:8" customFormat="1" x14ac:dyDescent="0.25">
      <c r="A27127" t="str">
        <f>"2930061"</f>
        <v>2930061</v>
      </c>
      <c r="B27127" t="s">
        <v>5957</v>
      </c>
      <c r="C27127" t="s">
        <v>124</v>
      </c>
      <c r="D27127" s="21" t="s">
        <v>34</v>
      </c>
      <c r="E27127" s="21" t="s">
        <v>254</v>
      </c>
      <c r="F27127">
        <v>3290202</v>
      </c>
      <c r="G27127" t="s">
        <v>3314</v>
      </c>
      <c r="H27127" s="21">
        <v>605.79</v>
      </c>
    </row>
    <row r="27128" spans="1:8" customFormat="1" x14ac:dyDescent="0.25">
      <c r="A27128" t="str">
        <f>"823894"</f>
        <v>823894</v>
      </c>
      <c r="B27128" t="s">
        <v>21362</v>
      </c>
      <c r="C27128" t="s">
        <v>124</v>
      </c>
      <c r="D27128" s="21" t="s">
        <v>34</v>
      </c>
      <c r="E27128" s="21" t="s">
        <v>71</v>
      </c>
      <c r="F27128">
        <v>11820026</v>
      </c>
      <c r="G27128" t="s">
        <v>9372</v>
      </c>
      <c r="H27128" s="21">
        <v>605.79</v>
      </c>
    </row>
    <row r="27129" spans="1:8" customFormat="1" x14ac:dyDescent="0.25">
      <c r="A27129" t="str">
        <f>"6810796"</f>
        <v>6810796</v>
      </c>
      <c r="B27129" t="s">
        <v>18842</v>
      </c>
      <c r="C27129" t="s">
        <v>547</v>
      </c>
      <c r="D27129" s="21" t="s">
        <v>34</v>
      </c>
      <c r="E27129" s="21" t="s">
        <v>71</v>
      </c>
      <c r="F27129">
        <v>6680091</v>
      </c>
      <c r="G27129" t="s">
        <v>693</v>
      </c>
      <c r="H27129" s="21">
        <v>605.66999999999996</v>
      </c>
    </row>
    <row r="27130" spans="1:8" customFormat="1" x14ac:dyDescent="0.25">
      <c r="A27130" t="str">
        <f>"6934439"</f>
        <v>6934439</v>
      </c>
      <c r="B27130" t="s">
        <v>8297</v>
      </c>
      <c r="C27130" t="s">
        <v>462</v>
      </c>
      <c r="D27130" s="21" t="s">
        <v>34</v>
      </c>
      <c r="E27130" s="21" t="s">
        <v>35</v>
      </c>
      <c r="F27130">
        <v>1690004</v>
      </c>
      <c r="G27130" t="s">
        <v>12294</v>
      </c>
      <c r="H27130" s="21">
        <v>605.66999999999996</v>
      </c>
    </row>
    <row r="27131" spans="1:8" customFormat="1" x14ac:dyDescent="0.25">
      <c r="A27131" t="str">
        <f>"7639526"</f>
        <v>7639526</v>
      </c>
      <c r="B27131" t="s">
        <v>5569</v>
      </c>
      <c r="C27131" t="s">
        <v>2305</v>
      </c>
      <c r="D27131" s="21" t="s">
        <v>34</v>
      </c>
      <c r="E27131" s="21" t="s">
        <v>1089</v>
      </c>
      <c r="F27131">
        <v>9760082</v>
      </c>
      <c r="G27131" t="s">
        <v>2387</v>
      </c>
      <c r="H27131" s="21">
        <v>605.66999999999996</v>
      </c>
    </row>
    <row r="27132" spans="1:8" customFormat="1" x14ac:dyDescent="0.25">
      <c r="A27132" t="str">
        <f>"113077"</f>
        <v>113077</v>
      </c>
      <c r="B27132" t="s">
        <v>8561</v>
      </c>
      <c r="C27132" t="s">
        <v>209</v>
      </c>
      <c r="D27132" s="21" t="s">
        <v>34</v>
      </c>
      <c r="E27132" s="21" t="s">
        <v>35</v>
      </c>
      <c r="F27132">
        <v>11110001</v>
      </c>
      <c r="G27132" t="s">
        <v>11560</v>
      </c>
      <c r="H27132" s="21">
        <v>605.66999999999996</v>
      </c>
    </row>
    <row r="27133" spans="1:8" customFormat="1" x14ac:dyDescent="0.25">
      <c r="A27133" t="str">
        <f>"9133100"</f>
        <v>9133100</v>
      </c>
      <c r="B27133" t="s">
        <v>3337</v>
      </c>
      <c r="C27133" t="s">
        <v>209</v>
      </c>
      <c r="D27133" s="21" t="s">
        <v>34</v>
      </c>
      <c r="E27133" s="21" t="s">
        <v>71</v>
      </c>
      <c r="F27133">
        <v>8910591</v>
      </c>
      <c r="G27133" t="s">
        <v>9841</v>
      </c>
      <c r="H27133" s="21">
        <v>605.66999999999996</v>
      </c>
    </row>
    <row r="27134" spans="1:8" customFormat="1" x14ac:dyDescent="0.25">
      <c r="A27134" t="str">
        <f>"4429717"</f>
        <v>4429717</v>
      </c>
      <c r="B27134" t="s">
        <v>4393</v>
      </c>
      <c r="C27134" t="s">
        <v>269</v>
      </c>
      <c r="D27134" s="21" t="s">
        <v>34</v>
      </c>
      <c r="E27134" s="21" t="s">
        <v>71</v>
      </c>
      <c r="F27134">
        <v>12440067</v>
      </c>
      <c r="G27134" t="s">
        <v>1723</v>
      </c>
      <c r="H27134" s="21">
        <v>605.66999999999996</v>
      </c>
    </row>
    <row r="27135" spans="1:8" customFormat="1" x14ac:dyDescent="0.25">
      <c r="A27135" t="str">
        <f>"3724794"</f>
        <v>3724794</v>
      </c>
      <c r="B27135" t="s">
        <v>21267</v>
      </c>
      <c r="C27135" t="s">
        <v>1887</v>
      </c>
      <c r="D27135" s="21" t="s">
        <v>34</v>
      </c>
      <c r="E27135" s="21" t="s">
        <v>254</v>
      </c>
      <c r="F27135">
        <v>4370102</v>
      </c>
      <c r="G27135" t="s">
        <v>10707</v>
      </c>
      <c r="H27135" s="21">
        <v>605.66999999999996</v>
      </c>
    </row>
    <row r="27136" spans="1:8" customFormat="1" x14ac:dyDescent="0.25">
      <c r="A27136" t="str">
        <f>"8019317"</f>
        <v>8019317</v>
      </c>
      <c r="B27136" t="s">
        <v>22632</v>
      </c>
      <c r="C27136" t="s">
        <v>493</v>
      </c>
      <c r="D27136" s="21" t="s">
        <v>34</v>
      </c>
      <c r="E27136" s="21" t="s">
        <v>35</v>
      </c>
      <c r="F27136">
        <v>7800064</v>
      </c>
      <c r="G27136" t="s">
        <v>4496</v>
      </c>
      <c r="H27136" s="21">
        <v>605.66999999999996</v>
      </c>
    </row>
    <row r="27137" spans="1:8" customFormat="1" x14ac:dyDescent="0.25">
      <c r="A27137" t="str">
        <f>"7620517"</f>
        <v>7620517</v>
      </c>
      <c r="B27137" t="s">
        <v>17250</v>
      </c>
      <c r="C27137" t="s">
        <v>239</v>
      </c>
      <c r="D27137" s="21" t="s">
        <v>34</v>
      </c>
      <c r="E27137" s="21" t="s">
        <v>254</v>
      </c>
      <c r="F27137">
        <v>9760396</v>
      </c>
      <c r="G27137" t="s">
        <v>3875</v>
      </c>
      <c r="H27137" s="21">
        <v>605.66999999999996</v>
      </c>
    </row>
    <row r="27138" spans="1:8" customFormat="1" x14ac:dyDescent="0.25">
      <c r="A27138" t="str">
        <f>"5928855"</f>
        <v>5928855</v>
      </c>
      <c r="B27138" t="s">
        <v>18913</v>
      </c>
      <c r="C27138" t="s">
        <v>169</v>
      </c>
      <c r="D27138" s="21" t="s">
        <v>34</v>
      </c>
      <c r="E27138" s="21" t="s">
        <v>71</v>
      </c>
      <c r="F27138">
        <v>7590047</v>
      </c>
      <c r="G27138" t="s">
        <v>5788</v>
      </c>
      <c r="H27138" s="21">
        <v>605.66999999999996</v>
      </c>
    </row>
    <row r="27139" spans="1:8" customFormat="1" x14ac:dyDescent="0.25">
      <c r="A27139" t="str">
        <f>"5419416"</f>
        <v>5419416</v>
      </c>
      <c r="B27139" t="s">
        <v>14676</v>
      </c>
      <c r="C27139" t="s">
        <v>121</v>
      </c>
      <c r="D27139" s="21" t="s">
        <v>34</v>
      </c>
      <c r="E27139" s="21" t="s">
        <v>71</v>
      </c>
      <c r="F27139">
        <v>6540034</v>
      </c>
      <c r="G27139" t="s">
        <v>2211</v>
      </c>
      <c r="H27139" s="21">
        <v>605.66999999999996</v>
      </c>
    </row>
    <row r="27140" spans="1:8" customFormat="1" x14ac:dyDescent="0.25">
      <c r="A27140" t="str">
        <f>"765740"</f>
        <v>765740</v>
      </c>
      <c r="B27140" t="s">
        <v>2824</v>
      </c>
      <c r="C27140" t="s">
        <v>2520</v>
      </c>
      <c r="D27140" s="21" t="s">
        <v>34</v>
      </c>
      <c r="E27140" s="21" t="s">
        <v>6185</v>
      </c>
      <c r="F27140">
        <v>9760447</v>
      </c>
      <c r="G27140" t="s">
        <v>5942</v>
      </c>
      <c r="H27140" s="21">
        <v>605.66999999999996</v>
      </c>
    </row>
    <row r="27141" spans="1:8" customFormat="1" x14ac:dyDescent="0.25">
      <c r="A27141" t="str">
        <f>"6312659"</f>
        <v>6312659</v>
      </c>
      <c r="B27141" t="s">
        <v>7650</v>
      </c>
      <c r="C27141" t="s">
        <v>462</v>
      </c>
      <c r="D27141" s="21" t="s">
        <v>34</v>
      </c>
      <c r="E27141" s="21" t="s">
        <v>71</v>
      </c>
      <c r="F27141">
        <v>1630332</v>
      </c>
      <c r="G27141" t="s">
        <v>27136</v>
      </c>
      <c r="H27141" s="21">
        <v>605.66999999999996</v>
      </c>
    </row>
    <row r="27142" spans="1:8" customFormat="1" x14ac:dyDescent="0.25">
      <c r="A27142" t="str">
        <f>"671864"</f>
        <v>671864</v>
      </c>
      <c r="B27142" t="s">
        <v>19249</v>
      </c>
      <c r="C27142" t="s">
        <v>19250</v>
      </c>
      <c r="D27142" s="21" t="s">
        <v>34</v>
      </c>
      <c r="E27142" s="21" t="s">
        <v>254</v>
      </c>
      <c r="F27142">
        <v>6670195</v>
      </c>
      <c r="G27142" t="s">
        <v>3974</v>
      </c>
      <c r="H27142" s="21">
        <v>605.66999999999996</v>
      </c>
    </row>
    <row r="27143" spans="1:8" customFormat="1" x14ac:dyDescent="0.25">
      <c r="A27143" t="str">
        <f>"476999"</f>
        <v>476999</v>
      </c>
      <c r="B27143" t="s">
        <v>392</v>
      </c>
      <c r="C27143" t="s">
        <v>249</v>
      </c>
      <c r="D27143" s="21" t="s">
        <v>34</v>
      </c>
      <c r="E27143" s="21" t="s">
        <v>71</v>
      </c>
      <c r="F27143">
        <v>10470021</v>
      </c>
      <c r="G27143" t="s">
        <v>1034</v>
      </c>
      <c r="H27143" s="21">
        <v>605.66999999999996</v>
      </c>
    </row>
    <row r="27144" spans="1:8" customFormat="1" x14ac:dyDescent="0.25">
      <c r="A27144" t="str">
        <f>"3316752"</f>
        <v>3316752</v>
      </c>
      <c r="B27144" t="s">
        <v>19815</v>
      </c>
      <c r="C27144" t="s">
        <v>2752</v>
      </c>
      <c r="D27144" s="21" t="s">
        <v>34</v>
      </c>
      <c r="E27144" s="21" t="s">
        <v>35</v>
      </c>
      <c r="F27144">
        <v>10330009</v>
      </c>
      <c r="G27144" t="s">
        <v>2064</v>
      </c>
      <c r="H27144" s="21">
        <v>605.66999999999996</v>
      </c>
    </row>
    <row r="27145" spans="1:8" customFormat="1" x14ac:dyDescent="0.25">
      <c r="A27145" t="str">
        <f>"4436002"</f>
        <v>4436002</v>
      </c>
      <c r="B27145" t="s">
        <v>27960</v>
      </c>
      <c r="C27145" t="s">
        <v>98</v>
      </c>
      <c r="D27145" s="21" t="s">
        <v>34</v>
      </c>
      <c r="E27145" s="21" t="s">
        <v>35</v>
      </c>
      <c r="F27145">
        <v>12440218</v>
      </c>
      <c r="G27145" t="s">
        <v>8477</v>
      </c>
      <c r="H27145" s="21">
        <v>605.66999999999996</v>
      </c>
    </row>
    <row r="27146" spans="1:8" customFormat="1" x14ac:dyDescent="0.25">
      <c r="A27146" t="str">
        <f>"0618766"</f>
        <v>0618766</v>
      </c>
      <c r="B27146" t="s">
        <v>20493</v>
      </c>
      <c r="C27146" t="s">
        <v>320</v>
      </c>
      <c r="D27146" s="21" t="s">
        <v>34</v>
      </c>
      <c r="E27146" s="21" t="s">
        <v>35</v>
      </c>
      <c r="F27146">
        <v>13060114</v>
      </c>
      <c r="G27146" t="s">
        <v>4501</v>
      </c>
      <c r="H27146" s="21">
        <v>605.66999999999996</v>
      </c>
    </row>
    <row r="27147" spans="1:8" customFormat="1" x14ac:dyDescent="0.25">
      <c r="A27147" t="str">
        <f>"368315"</f>
        <v>368315</v>
      </c>
      <c r="B27147" t="s">
        <v>22656</v>
      </c>
      <c r="C27147" t="s">
        <v>60</v>
      </c>
      <c r="D27147" s="21" t="s">
        <v>34</v>
      </c>
      <c r="E27147" s="21" t="s">
        <v>35</v>
      </c>
      <c r="F27147">
        <v>4360124</v>
      </c>
      <c r="G27147" t="s">
        <v>5229</v>
      </c>
      <c r="H27147" s="21">
        <v>605.66999999999996</v>
      </c>
    </row>
    <row r="27148" spans="1:8" customFormat="1" x14ac:dyDescent="0.25">
      <c r="A27148" t="str">
        <f>"629650"</f>
        <v>629650</v>
      </c>
      <c r="B27148" t="s">
        <v>20010</v>
      </c>
      <c r="C27148" t="s">
        <v>267</v>
      </c>
      <c r="D27148" s="21" t="s">
        <v>34</v>
      </c>
      <c r="E27148" s="21" t="s">
        <v>254</v>
      </c>
      <c r="F27148">
        <v>7620072</v>
      </c>
      <c r="G27148" t="s">
        <v>2185</v>
      </c>
      <c r="H27148" s="21">
        <v>605.66999999999996</v>
      </c>
    </row>
    <row r="27149" spans="1:8" customFormat="1" x14ac:dyDescent="0.25">
      <c r="A27149" t="str">
        <f>"6942489"</f>
        <v>6942489</v>
      </c>
      <c r="B27149" t="s">
        <v>2613</v>
      </c>
      <c r="C27149" t="s">
        <v>147</v>
      </c>
      <c r="D27149" s="21" t="s">
        <v>34</v>
      </c>
      <c r="E27149" s="21" t="s">
        <v>35</v>
      </c>
      <c r="F27149">
        <v>1690105</v>
      </c>
      <c r="G27149" t="s">
        <v>9580</v>
      </c>
      <c r="H27149" s="21">
        <v>605.66999999999996</v>
      </c>
    </row>
    <row r="27150" spans="1:8" customFormat="1" x14ac:dyDescent="0.25">
      <c r="A27150" t="str">
        <f>"4520714"</f>
        <v>4520714</v>
      </c>
      <c r="B27150" t="s">
        <v>19504</v>
      </c>
      <c r="C27150" t="s">
        <v>43</v>
      </c>
      <c r="D27150" s="21" t="s">
        <v>34</v>
      </c>
      <c r="E27150" s="21" t="s">
        <v>35</v>
      </c>
      <c r="F27150">
        <v>4450756</v>
      </c>
      <c r="G27150" t="s">
        <v>19505</v>
      </c>
      <c r="H27150" s="21">
        <v>605.66999999999996</v>
      </c>
    </row>
    <row r="27151" spans="1:8" customFormat="1" x14ac:dyDescent="0.25">
      <c r="A27151" t="str">
        <f>"9139402"</f>
        <v>9139402</v>
      </c>
      <c r="B27151" t="s">
        <v>1689</v>
      </c>
      <c r="C27151" t="s">
        <v>285</v>
      </c>
      <c r="D27151" s="21" t="s">
        <v>34</v>
      </c>
      <c r="E27151" s="21" t="s">
        <v>35</v>
      </c>
      <c r="F27151">
        <v>8910567</v>
      </c>
      <c r="G27151" t="s">
        <v>5111</v>
      </c>
      <c r="H27151" s="21">
        <v>605.66999999999996</v>
      </c>
    </row>
    <row r="27152" spans="1:8" customFormat="1" x14ac:dyDescent="0.25">
      <c r="A27152" t="str">
        <f>"12782"</f>
        <v>12782</v>
      </c>
      <c r="B27152" t="s">
        <v>19151</v>
      </c>
      <c r="C27152" t="s">
        <v>415</v>
      </c>
      <c r="D27152" s="21" t="s">
        <v>34</v>
      </c>
      <c r="E27152" s="21" t="s">
        <v>254</v>
      </c>
      <c r="F27152">
        <v>11120026</v>
      </c>
      <c r="G27152" t="s">
        <v>9107</v>
      </c>
      <c r="H27152" s="21">
        <v>605.66999999999996</v>
      </c>
    </row>
    <row r="27153" spans="1:8" customFormat="1" x14ac:dyDescent="0.25">
      <c r="A27153" t="str">
        <f>"026644"</f>
        <v>026644</v>
      </c>
      <c r="B27153" t="s">
        <v>20863</v>
      </c>
      <c r="C27153" t="s">
        <v>209</v>
      </c>
      <c r="D27153" s="21" t="s">
        <v>34</v>
      </c>
      <c r="E27153" s="21" t="s">
        <v>71</v>
      </c>
      <c r="F27153">
        <v>7020040</v>
      </c>
      <c r="G27153" t="s">
        <v>1698</v>
      </c>
      <c r="H27153" s="21">
        <v>605.66999999999996</v>
      </c>
    </row>
    <row r="27154" spans="1:8" customFormat="1" x14ac:dyDescent="0.25">
      <c r="A27154" t="str">
        <f>"3327592"</f>
        <v>3327592</v>
      </c>
      <c r="B27154" t="s">
        <v>205</v>
      </c>
      <c r="C27154" t="s">
        <v>2907</v>
      </c>
      <c r="D27154" s="21" t="s">
        <v>34</v>
      </c>
      <c r="E27154" s="21" t="s">
        <v>71</v>
      </c>
      <c r="F27154">
        <v>10330003</v>
      </c>
      <c r="G27154" t="s">
        <v>309</v>
      </c>
      <c r="H27154" s="21">
        <v>605.66999999999996</v>
      </c>
    </row>
    <row r="27155" spans="1:8" customFormat="1" x14ac:dyDescent="0.25">
      <c r="A27155" t="str">
        <f>"51497"</f>
        <v>51497</v>
      </c>
      <c r="B27155" t="s">
        <v>19348</v>
      </c>
      <c r="C27155" t="s">
        <v>253</v>
      </c>
      <c r="D27155" s="21" t="s">
        <v>34</v>
      </c>
      <c r="E27155" s="21" t="s">
        <v>6185</v>
      </c>
      <c r="F27155">
        <v>6510040</v>
      </c>
      <c r="G27155" t="s">
        <v>9113</v>
      </c>
      <c r="H27155" s="21">
        <v>605.66999999999996</v>
      </c>
    </row>
    <row r="27156" spans="1:8" customFormat="1" x14ac:dyDescent="0.25">
      <c r="A27156" t="str">
        <f>"7511462"</f>
        <v>7511462</v>
      </c>
      <c r="B27156" t="s">
        <v>461</v>
      </c>
      <c r="C27156" t="s">
        <v>388</v>
      </c>
      <c r="D27156" s="21" t="s">
        <v>34</v>
      </c>
      <c r="E27156" s="21" t="s">
        <v>71</v>
      </c>
      <c r="F27156">
        <v>8920140</v>
      </c>
      <c r="G27156" t="s">
        <v>3762</v>
      </c>
      <c r="H27156" s="21">
        <v>605.54</v>
      </c>
    </row>
    <row r="27157" spans="1:8" customFormat="1" x14ac:dyDescent="0.25">
      <c r="A27157" t="str">
        <f>"848345"</f>
        <v>848345</v>
      </c>
      <c r="B27157" t="s">
        <v>21920</v>
      </c>
      <c r="C27157" t="s">
        <v>2379</v>
      </c>
      <c r="D27157" s="21" t="s">
        <v>34</v>
      </c>
      <c r="E27157" s="21" t="s">
        <v>35</v>
      </c>
      <c r="F27157">
        <v>13840062</v>
      </c>
      <c r="G27157" t="s">
        <v>17239</v>
      </c>
      <c r="H27157" s="21">
        <v>605.41999999999996</v>
      </c>
    </row>
    <row r="27158" spans="1:8" customFormat="1" x14ac:dyDescent="0.25">
      <c r="A27158" t="str">
        <f>"9535366"</f>
        <v>9535366</v>
      </c>
      <c r="B27158" t="s">
        <v>7205</v>
      </c>
      <c r="C27158" t="s">
        <v>169</v>
      </c>
      <c r="D27158" s="21" t="s">
        <v>34</v>
      </c>
      <c r="E27158" s="21" t="s">
        <v>71</v>
      </c>
      <c r="F27158">
        <v>8950083</v>
      </c>
      <c r="G27158" t="s">
        <v>405</v>
      </c>
      <c r="H27158" s="21">
        <v>605.41999999999996</v>
      </c>
    </row>
    <row r="27159" spans="1:8" customFormat="1" x14ac:dyDescent="0.25">
      <c r="A27159" t="str">
        <f>"3420674"</f>
        <v>3420674</v>
      </c>
      <c r="B27159" t="s">
        <v>12318</v>
      </c>
      <c r="C27159" t="s">
        <v>2693</v>
      </c>
      <c r="D27159" s="21" t="s">
        <v>34</v>
      </c>
      <c r="E27159" s="21" t="s">
        <v>254</v>
      </c>
      <c r="F27159">
        <v>11340012</v>
      </c>
      <c r="G27159" t="s">
        <v>10413</v>
      </c>
      <c r="H27159" s="21">
        <v>605.41999999999996</v>
      </c>
    </row>
    <row r="27160" spans="1:8" customFormat="1" x14ac:dyDescent="0.25">
      <c r="A27160" t="str">
        <f>"5317561"</f>
        <v>5317561</v>
      </c>
      <c r="B27160" t="s">
        <v>208</v>
      </c>
      <c r="C27160" t="s">
        <v>121</v>
      </c>
      <c r="D27160" s="21" t="s">
        <v>34</v>
      </c>
      <c r="E27160" s="21" t="s">
        <v>71</v>
      </c>
      <c r="F27160">
        <v>12530016</v>
      </c>
      <c r="G27160" t="s">
        <v>2069</v>
      </c>
      <c r="H27160" s="21">
        <v>605.16999999999996</v>
      </c>
    </row>
    <row r="27161" spans="1:8" customFormat="1" x14ac:dyDescent="0.25">
      <c r="A27161" t="str">
        <f>"2936038"</f>
        <v>2936038</v>
      </c>
      <c r="B27161" t="s">
        <v>19951</v>
      </c>
      <c r="C27161" t="s">
        <v>55</v>
      </c>
      <c r="D27161" s="21" t="s">
        <v>34</v>
      </c>
      <c r="E27161" s="21" t="s">
        <v>35</v>
      </c>
      <c r="F27161">
        <v>3290036</v>
      </c>
      <c r="G27161" t="s">
        <v>3903</v>
      </c>
      <c r="H27161" s="21">
        <v>605.16999999999996</v>
      </c>
    </row>
    <row r="27162" spans="1:8" customFormat="1" x14ac:dyDescent="0.25">
      <c r="A27162" t="str">
        <f>"165650"</f>
        <v>165650</v>
      </c>
      <c r="B27162" t="s">
        <v>19322</v>
      </c>
      <c r="C27162" t="s">
        <v>462</v>
      </c>
      <c r="D27162" s="21" t="s">
        <v>34</v>
      </c>
      <c r="E27162" s="21" t="s">
        <v>35</v>
      </c>
      <c r="F27162">
        <v>10160051</v>
      </c>
      <c r="G27162" t="s">
        <v>7167</v>
      </c>
      <c r="H27162" s="21">
        <v>605.16999999999996</v>
      </c>
    </row>
    <row r="27163" spans="1:8" customFormat="1" x14ac:dyDescent="0.25">
      <c r="A27163" t="str">
        <f>"7833981"</f>
        <v>7833981</v>
      </c>
      <c r="B27163" t="s">
        <v>2964</v>
      </c>
      <c r="C27163" t="s">
        <v>249</v>
      </c>
      <c r="D27163" s="21" t="s">
        <v>34</v>
      </c>
      <c r="E27163" s="21" t="s">
        <v>254</v>
      </c>
      <c r="F27163">
        <v>8780485</v>
      </c>
      <c r="G27163" t="s">
        <v>1279</v>
      </c>
      <c r="H27163" s="21">
        <v>605.16999999999996</v>
      </c>
    </row>
    <row r="27164" spans="1:8" customFormat="1" x14ac:dyDescent="0.25">
      <c r="A27164" t="str">
        <f>"384592"</f>
        <v>384592</v>
      </c>
      <c r="B27164" t="s">
        <v>19020</v>
      </c>
      <c r="C27164" t="s">
        <v>169</v>
      </c>
      <c r="D27164" s="21" t="s">
        <v>34</v>
      </c>
      <c r="E27164" s="21" t="s">
        <v>71</v>
      </c>
      <c r="F27164">
        <v>1380225</v>
      </c>
      <c r="G27164" t="s">
        <v>4441</v>
      </c>
      <c r="H27164" s="21">
        <v>605.16999999999996</v>
      </c>
    </row>
    <row r="27165" spans="1:8" customFormat="1" x14ac:dyDescent="0.25">
      <c r="A27165" t="str">
        <f>"3726502"</f>
        <v>3726502</v>
      </c>
      <c r="B27165" t="s">
        <v>22133</v>
      </c>
      <c r="C27165" t="s">
        <v>33</v>
      </c>
      <c r="D27165" s="21" t="s">
        <v>34</v>
      </c>
      <c r="E27165" s="21" t="s">
        <v>71</v>
      </c>
      <c r="F27165">
        <v>4370464</v>
      </c>
      <c r="G27165" t="s">
        <v>5348</v>
      </c>
      <c r="H27165" s="21">
        <v>605.16999999999996</v>
      </c>
    </row>
    <row r="27166" spans="1:8" customFormat="1" x14ac:dyDescent="0.25">
      <c r="A27166" t="str">
        <f>"4447966"</f>
        <v>4447966</v>
      </c>
      <c r="B27166" t="s">
        <v>19990</v>
      </c>
      <c r="C27166" t="s">
        <v>576</v>
      </c>
      <c r="D27166" s="21" t="s">
        <v>34</v>
      </c>
      <c r="E27166" s="21" t="s">
        <v>71</v>
      </c>
      <c r="F27166">
        <v>12440074</v>
      </c>
      <c r="G27166" t="s">
        <v>2436</v>
      </c>
      <c r="H27166" s="21">
        <v>605.16999999999996</v>
      </c>
    </row>
    <row r="27167" spans="1:8" customFormat="1" x14ac:dyDescent="0.25">
      <c r="A27167" t="str">
        <f>"3821375"</f>
        <v>3821375</v>
      </c>
      <c r="B27167" t="s">
        <v>12742</v>
      </c>
      <c r="C27167" t="s">
        <v>1841</v>
      </c>
      <c r="D27167" s="21" t="s">
        <v>34</v>
      </c>
      <c r="E27167" s="21" t="s">
        <v>71</v>
      </c>
      <c r="F27167">
        <v>1380267</v>
      </c>
      <c r="G27167" t="s">
        <v>1002</v>
      </c>
      <c r="H27167" s="21">
        <v>605.16999999999996</v>
      </c>
    </row>
    <row r="27168" spans="1:8" customFormat="1" x14ac:dyDescent="0.25">
      <c r="A27168" t="str">
        <f>"6314377"</f>
        <v>6314377</v>
      </c>
      <c r="B27168" t="s">
        <v>12704</v>
      </c>
      <c r="C27168" t="s">
        <v>269</v>
      </c>
      <c r="D27168" s="21" t="s">
        <v>34</v>
      </c>
      <c r="E27168" s="21" t="s">
        <v>71</v>
      </c>
      <c r="F27168">
        <v>1630145</v>
      </c>
      <c r="G27168" t="s">
        <v>13804</v>
      </c>
      <c r="H27168" s="21">
        <v>605.16999999999996</v>
      </c>
    </row>
    <row r="27169" spans="1:8" customFormat="1" x14ac:dyDescent="0.25">
      <c r="A27169" t="str">
        <f>"6935066"</f>
        <v>6935066</v>
      </c>
      <c r="B27169" t="s">
        <v>23982</v>
      </c>
      <c r="C27169" t="s">
        <v>55</v>
      </c>
      <c r="D27169" s="21" t="s">
        <v>34</v>
      </c>
      <c r="E27169" s="21" t="s">
        <v>35</v>
      </c>
      <c r="F27169">
        <v>1690002</v>
      </c>
      <c r="G27169" t="s">
        <v>5604</v>
      </c>
      <c r="H27169" s="21">
        <v>605.16999999999996</v>
      </c>
    </row>
    <row r="27170" spans="1:8" customFormat="1" x14ac:dyDescent="0.25">
      <c r="A27170" t="str">
        <f>"848077"</f>
        <v>848077</v>
      </c>
      <c r="B27170" t="s">
        <v>22166</v>
      </c>
      <c r="C27170" t="s">
        <v>209</v>
      </c>
      <c r="D27170" s="21" t="s">
        <v>34</v>
      </c>
      <c r="E27170" s="21" t="s">
        <v>71</v>
      </c>
      <c r="F27170">
        <v>13840005</v>
      </c>
      <c r="G27170" t="s">
        <v>2145</v>
      </c>
      <c r="H27170" s="21">
        <v>605.16999999999996</v>
      </c>
    </row>
    <row r="27171" spans="1:8" customFormat="1" x14ac:dyDescent="0.25">
      <c r="A27171" t="str">
        <f>"9233986"</f>
        <v>9233986</v>
      </c>
      <c r="B27171" t="s">
        <v>18330</v>
      </c>
      <c r="C27171" t="s">
        <v>87</v>
      </c>
      <c r="D27171" s="21" t="s">
        <v>34</v>
      </c>
      <c r="E27171" s="21" t="s">
        <v>71</v>
      </c>
      <c r="F27171">
        <v>8920503</v>
      </c>
      <c r="G27171" t="s">
        <v>9047</v>
      </c>
      <c r="H27171" s="21">
        <v>605.16999999999996</v>
      </c>
    </row>
    <row r="27172" spans="1:8" customFormat="1" x14ac:dyDescent="0.25">
      <c r="A27172" t="str">
        <f>"371742"</f>
        <v>371742</v>
      </c>
      <c r="B27172" t="s">
        <v>9875</v>
      </c>
      <c r="C27172" t="s">
        <v>156</v>
      </c>
      <c r="D27172" s="21" t="s">
        <v>34</v>
      </c>
      <c r="E27172" s="21" t="s">
        <v>71</v>
      </c>
      <c r="F27172">
        <v>4370346</v>
      </c>
      <c r="G27172" t="s">
        <v>8269</v>
      </c>
      <c r="H27172" s="21">
        <v>605.16999999999996</v>
      </c>
    </row>
    <row r="27173" spans="1:8" customFormat="1" x14ac:dyDescent="0.25">
      <c r="A27173" t="str">
        <f>"0114847"</f>
        <v>0114847</v>
      </c>
      <c r="B27173" t="s">
        <v>6307</v>
      </c>
      <c r="C27173" t="s">
        <v>576</v>
      </c>
      <c r="D27173" s="21" t="s">
        <v>34</v>
      </c>
      <c r="E27173" s="21" t="s">
        <v>35</v>
      </c>
      <c r="F27173">
        <v>1010020</v>
      </c>
      <c r="G27173" t="s">
        <v>6121</v>
      </c>
      <c r="H27173" s="21">
        <v>605.16999999999996</v>
      </c>
    </row>
    <row r="27174" spans="1:8" customFormat="1" x14ac:dyDescent="0.25">
      <c r="A27174" t="str">
        <f>"051150"</f>
        <v>051150</v>
      </c>
      <c r="B27174" t="s">
        <v>970</v>
      </c>
      <c r="C27174" t="s">
        <v>1146</v>
      </c>
      <c r="D27174" s="21" t="s">
        <v>34</v>
      </c>
      <c r="E27174" s="21" t="s">
        <v>254</v>
      </c>
      <c r="F27174">
        <v>13050026</v>
      </c>
      <c r="G27174" t="s">
        <v>18179</v>
      </c>
      <c r="H27174" s="21">
        <v>605.16999999999996</v>
      </c>
    </row>
    <row r="27175" spans="1:8" customFormat="1" x14ac:dyDescent="0.25">
      <c r="A27175" t="str">
        <f>"3534632"</f>
        <v>3534632</v>
      </c>
      <c r="B27175" t="s">
        <v>431</v>
      </c>
      <c r="C27175" t="s">
        <v>174</v>
      </c>
      <c r="D27175" s="21" t="s">
        <v>34</v>
      </c>
      <c r="E27175" s="21" t="s">
        <v>35</v>
      </c>
      <c r="F27175">
        <v>3350030</v>
      </c>
      <c r="G27175" t="s">
        <v>4549</v>
      </c>
      <c r="H27175" s="21">
        <v>605.16999999999996</v>
      </c>
    </row>
    <row r="27176" spans="1:8" customFormat="1" x14ac:dyDescent="0.25">
      <c r="A27176" t="str">
        <f>"925624"</f>
        <v>925624</v>
      </c>
      <c r="B27176" t="s">
        <v>19189</v>
      </c>
      <c r="C27176" t="s">
        <v>11542</v>
      </c>
      <c r="D27176" s="21" t="s">
        <v>34</v>
      </c>
      <c r="E27176" s="21" t="s">
        <v>1089</v>
      </c>
      <c r="F27176">
        <v>10870029</v>
      </c>
      <c r="G27176" t="s">
        <v>15820</v>
      </c>
      <c r="H27176" s="21">
        <v>605.16999999999996</v>
      </c>
    </row>
    <row r="27177" spans="1:8" customFormat="1" x14ac:dyDescent="0.25">
      <c r="A27177" t="str">
        <f>"5425454"</f>
        <v>5425454</v>
      </c>
      <c r="B27177" t="s">
        <v>1263</v>
      </c>
      <c r="C27177" t="s">
        <v>49</v>
      </c>
      <c r="D27177" s="21" t="s">
        <v>34</v>
      </c>
      <c r="E27177" s="21" t="s">
        <v>35</v>
      </c>
      <c r="F27177">
        <v>6540020</v>
      </c>
      <c r="G27177" t="s">
        <v>1269</v>
      </c>
      <c r="H27177" s="21">
        <v>605.16999999999996</v>
      </c>
    </row>
    <row r="27178" spans="1:8" customFormat="1" x14ac:dyDescent="0.25">
      <c r="A27178" t="str">
        <f>"863945"</f>
        <v>863945</v>
      </c>
      <c r="B27178" t="s">
        <v>27961</v>
      </c>
      <c r="C27178" t="s">
        <v>544</v>
      </c>
      <c r="D27178" s="21" t="s">
        <v>34</v>
      </c>
      <c r="E27178" s="21" t="s">
        <v>71</v>
      </c>
      <c r="F27178">
        <v>10860229</v>
      </c>
      <c r="G27178" t="s">
        <v>9680</v>
      </c>
      <c r="H27178" s="21">
        <v>605.16999999999996</v>
      </c>
    </row>
    <row r="27179" spans="1:8" customFormat="1" x14ac:dyDescent="0.25">
      <c r="A27179" t="str">
        <f>"394432"</f>
        <v>394432</v>
      </c>
      <c r="B27179" t="s">
        <v>4458</v>
      </c>
      <c r="C27179" t="s">
        <v>87</v>
      </c>
      <c r="D27179" s="21" t="s">
        <v>34</v>
      </c>
      <c r="E27179" s="21" t="s">
        <v>35</v>
      </c>
      <c r="F27179">
        <v>2390095</v>
      </c>
      <c r="G27179" t="s">
        <v>2676</v>
      </c>
      <c r="H27179" s="21">
        <v>605.16999999999996</v>
      </c>
    </row>
    <row r="27180" spans="1:8" customFormat="1" x14ac:dyDescent="0.25">
      <c r="A27180" t="str">
        <f>"784772"</f>
        <v>784772</v>
      </c>
      <c r="B27180" t="s">
        <v>18260</v>
      </c>
      <c r="C27180" t="s">
        <v>269</v>
      </c>
      <c r="D27180" s="21" t="s">
        <v>34</v>
      </c>
      <c r="E27180" s="21" t="s">
        <v>71</v>
      </c>
      <c r="F27180">
        <v>8780892</v>
      </c>
      <c r="G27180" t="s">
        <v>3021</v>
      </c>
      <c r="H27180" s="21">
        <v>604.91999999999996</v>
      </c>
    </row>
    <row r="27181" spans="1:8" customFormat="1" x14ac:dyDescent="0.25">
      <c r="A27181" t="str">
        <f>"7871646"</f>
        <v>7871646</v>
      </c>
      <c r="B27181" t="s">
        <v>17827</v>
      </c>
      <c r="C27181" t="s">
        <v>55</v>
      </c>
      <c r="D27181" s="21" t="s">
        <v>34</v>
      </c>
      <c r="E27181" s="21" t="s">
        <v>71</v>
      </c>
      <c r="F27181">
        <v>8780890</v>
      </c>
      <c r="G27181" t="s">
        <v>6456</v>
      </c>
      <c r="H27181" s="21">
        <v>604.91999999999996</v>
      </c>
    </row>
    <row r="27182" spans="1:8" customFormat="1" x14ac:dyDescent="0.25">
      <c r="A27182" t="str">
        <f>"2933952"</f>
        <v>2933952</v>
      </c>
      <c r="B27182" t="s">
        <v>18889</v>
      </c>
      <c r="C27182" t="s">
        <v>139</v>
      </c>
      <c r="D27182" s="21" t="s">
        <v>34</v>
      </c>
      <c r="E27182" s="21" t="s">
        <v>35</v>
      </c>
      <c r="F27182">
        <v>3290044</v>
      </c>
      <c r="G27182" t="s">
        <v>3897</v>
      </c>
      <c r="H27182" s="21">
        <v>604.91999999999996</v>
      </c>
    </row>
    <row r="27183" spans="1:8" customFormat="1" x14ac:dyDescent="0.25">
      <c r="A27183" t="str">
        <f>"4214551"</f>
        <v>4214551</v>
      </c>
      <c r="B27183" t="s">
        <v>21135</v>
      </c>
      <c r="C27183" t="s">
        <v>1119</v>
      </c>
      <c r="D27183" s="21" t="s">
        <v>34</v>
      </c>
      <c r="E27183" s="21" t="s">
        <v>1089</v>
      </c>
      <c r="F27183">
        <v>1420006</v>
      </c>
      <c r="G27183" t="s">
        <v>6019</v>
      </c>
      <c r="H27183" s="21">
        <v>604.79</v>
      </c>
    </row>
    <row r="27184" spans="1:8" customFormat="1" x14ac:dyDescent="0.25">
      <c r="A27184" t="str">
        <f>"125325"</f>
        <v>125325</v>
      </c>
      <c r="B27184" t="s">
        <v>12768</v>
      </c>
      <c r="C27184" t="s">
        <v>114</v>
      </c>
      <c r="D27184" s="21" t="s">
        <v>34</v>
      </c>
      <c r="E27184" s="21" t="s">
        <v>35</v>
      </c>
      <c r="F27184">
        <v>11120047</v>
      </c>
      <c r="G27184" t="s">
        <v>14107</v>
      </c>
      <c r="H27184" s="21">
        <v>604.66999999999996</v>
      </c>
    </row>
    <row r="27185" spans="1:8" customFormat="1" x14ac:dyDescent="0.25">
      <c r="A27185" t="str">
        <f>"926611"</f>
        <v>926611</v>
      </c>
      <c r="B27185" t="s">
        <v>8507</v>
      </c>
      <c r="C27185" t="s">
        <v>40</v>
      </c>
      <c r="D27185" s="21" t="s">
        <v>34</v>
      </c>
      <c r="E27185" s="21" t="s">
        <v>71</v>
      </c>
      <c r="F27185">
        <v>8920140</v>
      </c>
      <c r="G27185" t="s">
        <v>3762</v>
      </c>
      <c r="H27185" s="21">
        <v>604.66999999999996</v>
      </c>
    </row>
    <row r="27186" spans="1:8" customFormat="1" x14ac:dyDescent="0.25">
      <c r="A27186" t="str">
        <f>"9228482"</f>
        <v>9228482</v>
      </c>
      <c r="B27186" t="s">
        <v>27962</v>
      </c>
      <c r="C27186" t="s">
        <v>1222</v>
      </c>
      <c r="D27186" s="21" t="s">
        <v>34</v>
      </c>
      <c r="E27186" s="21" t="s">
        <v>35</v>
      </c>
      <c r="F27186" t="s">
        <v>1477</v>
      </c>
      <c r="G27186" t="s">
        <v>1478</v>
      </c>
      <c r="H27186" s="21">
        <v>604.66999999999996</v>
      </c>
    </row>
    <row r="27187" spans="1:8" customFormat="1" x14ac:dyDescent="0.25">
      <c r="A27187" t="str">
        <f>"5325108"</f>
        <v>5325108</v>
      </c>
      <c r="B27187" t="s">
        <v>4352</v>
      </c>
      <c r="C27187" t="s">
        <v>611</v>
      </c>
      <c r="D27187" s="21" t="s">
        <v>34</v>
      </c>
      <c r="E27187" s="21" t="s">
        <v>254</v>
      </c>
      <c r="F27187">
        <v>12530063</v>
      </c>
      <c r="G27187" t="s">
        <v>4313</v>
      </c>
      <c r="H27187" s="21">
        <v>604.66999999999996</v>
      </c>
    </row>
    <row r="27188" spans="1:8" customFormat="1" x14ac:dyDescent="0.25">
      <c r="A27188" t="str">
        <f>"0115402"</f>
        <v>0115402</v>
      </c>
      <c r="B27188" t="s">
        <v>23209</v>
      </c>
      <c r="C27188" t="s">
        <v>275</v>
      </c>
      <c r="D27188" s="21" t="s">
        <v>34</v>
      </c>
      <c r="E27188" s="21" t="s">
        <v>35</v>
      </c>
      <c r="F27188">
        <v>1010062</v>
      </c>
      <c r="G27188" t="s">
        <v>9638</v>
      </c>
      <c r="H27188" s="21">
        <v>604.66999999999996</v>
      </c>
    </row>
    <row r="27189" spans="1:8" customFormat="1" x14ac:dyDescent="0.25">
      <c r="A27189" t="str">
        <f>"5977823"</f>
        <v>5977823</v>
      </c>
      <c r="B27189" t="s">
        <v>850</v>
      </c>
      <c r="C27189" t="s">
        <v>988</v>
      </c>
      <c r="D27189" s="21" t="s">
        <v>34</v>
      </c>
      <c r="E27189" s="21" t="s">
        <v>35</v>
      </c>
      <c r="F27189">
        <v>7590122</v>
      </c>
      <c r="G27189" t="s">
        <v>5608</v>
      </c>
      <c r="H27189" s="21">
        <v>604.66999999999996</v>
      </c>
    </row>
    <row r="27190" spans="1:8" customFormat="1" x14ac:dyDescent="0.25">
      <c r="A27190" t="str">
        <f>"421867"</f>
        <v>421867</v>
      </c>
      <c r="B27190" t="s">
        <v>12242</v>
      </c>
      <c r="C27190" t="s">
        <v>239</v>
      </c>
      <c r="D27190" s="21" t="s">
        <v>34</v>
      </c>
      <c r="E27190" s="21" t="s">
        <v>254</v>
      </c>
      <c r="F27190">
        <v>1420112</v>
      </c>
      <c r="G27190" t="s">
        <v>5465</v>
      </c>
      <c r="H27190" s="21">
        <v>604.66999999999996</v>
      </c>
    </row>
    <row r="27191" spans="1:8" customFormat="1" x14ac:dyDescent="0.25">
      <c r="A27191" t="str">
        <f>"2938873"</f>
        <v>2938873</v>
      </c>
      <c r="B27191" t="s">
        <v>5146</v>
      </c>
      <c r="C27191" t="s">
        <v>40</v>
      </c>
      <c r="D27191" s="21" t="s">
        <v>34</v>
      </c>
      <c r="E27191" s="21" t="s">
        <v>254</v>
      </c>
      <c r="F27191">
        <v>3290222</v>
      </c>
      <c r="G27191" t="s">
        <v>2259</v>
      </c>
      <c r="H27191" s="21">
        <v>604.66999999999996</v>
      </c>
    </row>
    <row r="27192" spans="1:8" customFormat="1" x14ac:dyDescent="0.25">
      <c r="A27192" t="str">
        <f>"407233"</f>
        <v>407233</v>
      </c>
      <c r="B27192" t="s">
        <v>1871</v>
      </c>
      <c r="C27192" t="s">
        <v>1271</v>
      </c>
      <c r="D27192" s="21" t="s">
        <v>34</v>
      </c>
      <c r="E27192" s="21" t="s">
        <v>254</v>
      </c>
      <c r="F27192">
        <v>10400013</v>
      </c>
      <c r="G27192" t="s">
        <v>6238</v>
      </c>
      <c r="H27192" s="21">
        <v>604.66999999999996</v>
      </c>
    </row>
    <row r="27193" spans="1:8" customFormat="1" x14ac:dyDescent="0.25">
      <c r="A27193" t="str">
        <f>"8010440"</f>
        <v>8010440</v>
      </c>
      <c r="B27193" t="s">
        <v>18454</v>
      </c>
      <c r="C27193" t="s">
        <v>151</v>
      </c>
      <c r="D27193" s="21" t="s">
        <v>34</v>
      </c>
      <c r="E27193" s="21" t="s">
        <v>71</v>
      </c>
      <c r="F27193">
        <v>7800030</v>
      </c>
      <c r="G27193" t="s">
        <v>13589</v>
      </c>
      <c r="H27193" s="21">
        <v>604.66999999999996</v>
      </c>
    </row>
    <row r="27194" spans="1:8" customFormat="1" x14ac:dyDescent="0.25">
      <c r="A27194" t="str">
        <f>"509825"</f>
        <v>509825</v>
      </c>
      <c r="B27194" t="s">
        <v>3660</v>
      </c>
      <c r="C27194" t="s">
        <v>169</v>
      </c>
      <c r="D27194" s="21" t="s">
        <v>34</v>
      </c>
      <c r="E27194" s="21" t="s">
        <v>71</v>
      </c>
      <c r="F27194">
        <v>9500013</v>
      </c>
      <c r="G27194" t="s">
        <v>992</v>
      </c>
      <c r="H27194" s="21">
        <v>604.66999999999996</v>
      </c>
    </row>
    <row r="27195" spans="1:8" customFormat="1" x14ac:dyDescent="0.25">
      <c r="A27195" t="str">
        <f>"584271"</f>
        <v>584271</v>
      </c>
      <c r="B27195" t="s">
        <v>19446</v>
      </c>
      <c r="C27195" t="s">
        <v>3784</v>
      </c>
      <c r="D27195" s="21" t="s">
        <v>34</v>
      </c>
      <c r="E27195" s="21" t="s">
        <v>6185</v>
      </c>
      <c r="F27195">
        <v>2580076</v>
      </c>
      <c r="G27195" t="s">
        <v>3666</v>
      </c>
      <c r="H27195" s="21">
        <v>604.66999999999996</v>
      </c>
    </row>
    <row r="27196" spans="1:8" customFormat="1" x14ac:dyDescent="0.25">
      <c r="A27196" t="str">
        <f>"5426625"</f>
        <v>5426625</v>
      </c>
      <c r="B27196" t="s">
        <v>19644</v>
      </c>
      <c r="C27196" t="s">
        <v>119</v>
      </c>
      <c r="D27196" s="21" t="s">
        <v>34</v>
      </c>
      <c r="E27196" s="21" t="s">
        <v>71</v>
      </c>
      <c r="F27196">
        <v>6540034</v>
      </c>
      <c r="G27196" t="s">
        <v>2211</v>
      </c>
      <c r="H27196" s="21">
        <v>604.66999999999996</v>
      </c>
    </row>
    <row r="27197" spans="1:8" customFormat="1" x14ac:dyDescent="0.25">
      <c r="A27197" t="str">
        <f>"1420153"</f>
        <v>1420153</v>
      </c>
      <c r="B27197" t="s">
        <v>18244</v>
      </c>
      <c r="C27197" t="s">
        <v>1615</v>
      </c>
      <c r="D27197" s="21" t="s">
        <v>34</v>
      </c>
      <c r="E27197" s="21" t="s">
        <v>71</v>
      </c>
      <c r="F27197">
        <v>9140189</v>
      </c>
      <c r="G27197" t="s">
        <v>4200</v>
      </c>
      <c r="H27197" s="21">
        <v>604.66999999999996</v>
      </c>
    </row>
    <row r="27198" spans="1:8" customFormat="1" x14ac:dyDescent="0.25">
      <c r="A27198" t="str">
        <f>"2925397"</f>
        <v>2925397</v>
      </c>
      <c r="B27198" t="s">
        <v>12251</v>
      </c>
      <c r="C27198" t="s">
        <v>547</v>
      </c>
      <c r="D27198" s="21" t="s">
        <v>34</v>
      </c>
      <c r="E27198" s="21" t="s">
        <v>71</v>
      </c>
      <c r="F27198">
        <v>3290208</v>
      </c>
      <c r="G27198" t="s">
        <v>1553</v>
      </c>
      <c r="H27198" s="21">
        <v>604.66999999999996</v>
      </c>
    </row>
    <row r="27199" spans="1:8" customFormat="1" x14ac:dyDescent="0.25">
      <c r="A27199" t="str">
        <f>"59853"</f>
        <v>59853</v>
      </c>
      <c r="B27199" t="s">
        <v>18548</v>
      </c>
      <c r="C27199" t="s">
        <v>822</v>
      </c>
      <c r="D27199" s="21" t="s">
        <v>34</v>
      </c>
      <c r="E27199" s="21" t="s">
        <v>1089</v>
      </c>
      <c r="F27199">
        <v>7590044</v>
      </c>
      <c r="G27199" t="s">
        <v>2029</v>
      </c>
      <c r="H27199" s="21">
        <v>604.66999999999996</v>
      </c>
    </row>
    <row r="27200" spans="1:8" customFormat="1" x14ac:dyDescent="0.25">
      <c r="A27200" t="str">
        <f>"7865596"</f>
        <v>7865596</v>
      </c>
      <c r="B27200" t="s">
        <v>3270</v>
      </c>
      <c r="C27200" t="s">
        <v>576</v>
      </c>
      <c r="D27200" s="21" t="s">
        <v>34</v>
      </c>
      <c r="E27200" s="21" t="s">
        <v>35</v>
      </c>
      <c r="F27200">
        <v>8780401</v>
      </c>
      <c r="G27200" t="s">
        <v>9116</v>
      </c>
      <c r="H27200" s="21">
        <v>604.66999999999996</v>
      </c>
    </row>
    <row r="27201" spans="1:8" customFormat="1" x14ac:dyDescent="0.25">
      <c r="A27201" t="str">
        <f>"6945192"</f>
        <v>6945192</v>
      </c>
      <c r="B27201" t="s">
        <v>3260</v>
      </c>
      <c r="C27201" t="s">
        <v>33</v>
      </c>
      <c r="D27201" s="21" t="s">
        <v>34</v>
      </c>
      <c r="E27201" s="21" t="s">
        <v>35</v>
      </c>
      <c r="F27201">
        <v>1420165</v>
      </c>
      <c r="G27201" t="s">
        <v>27111</v>
      </c>
      <c r="H27201" s="21">
        <v>604.41999999999996</v>
      </c>
    </row>
    <row r="27202" spans="1:8" customFormat="1" x14ac:dyDescent="0.25">
      <c r="A27202" t="str">
        <f>"9516282"</f>
        <v>9516282</v>
      </c>
      <c r="B27202" t="s">
        <v>19521</v>
      </c>
      <c r="C27202" t="s">
        <v>171</v>
      </c>
      <c r="D27202" s="21" t="s">
        <v>34</v>
      </c>
      <c r="E27202" s="21" t="s">
        <v>71</v>
      </c>
      <c r="F27202">
        <v>8950129</v>
      </c>
      <c r="G27202" t="s">
        <v>10701</v>
      </c>
      <c r="H27202" s="21">
        <v>604.16999999999996</v>
      </c>
    </row>
    <row r="27203" spans="1:8" customFormat="1" x14ac:dyDescent="0.25">
      <c r="A27203" t="str">
        <f>"043723"</f>
        <v>043723</v>
      </c>
      <c r="B27203" t="s">
        <v>16146</v>
      </c>
      <c r="C27203" t="s">
        <v>1299</v>
      </c>
      <c r="D27203" s="21" t="s">
        <v>34</v>
      </c>
      <c r="E27203" s="21" t="s">
        <v>1089</v>
      </c>
      <c r="F27203">
        <v>13040005</v>
      </c>
      <c r="G27203" t="s">
        <v>7115</v>
      </c>
      <c r="H27203" s="21">
        <v>604.16999999999996</v>
      </c>
    </row>
    <row r="27204" spans="1:8" customFormat="1" x14ac:dyDescent="0.25">
      <c r="A27204" t="str">
        <f>"904512"</f>
        <v>904512</v>
      </c>
      <c r="B27204" t="s">
        <v>4368</v>
      </c>
      <c r="C27204" t="s">
        <v>144</v>
      </c>
      <c r="D27204" s="21" t="s">
        <v>34</v>
      </c>
      <c r="E27204" s="21" t="s">
        <v>35</v>
      </c>
      <c r="F27204">
        <v>2900028</v>
      </c>
      <c r="G27204" t="s">
        <v>1541</v>
      </c>
      <c r="H27204" s="21">
        <v>604.16999999999996</v>
      </c>
    </row>
    <row r="27205" spans="1:8" customFormat="1" x14ac:dyDescent="0.25">
      <c r="A27205" t="str">
        <f>"705606"</f>
        <v>705606</v>
      </c>
      <c r="B27205" t="s">
        <v>12747</v>
      </c>
      <c r="C27205" t="s">
        <v>121</v>
      </c>
      <c r="D27205" s="21" t="s">
        <v>34</v>
      </c>
      <c r="E27205" s="21" t="s">
        <v>35</v>
      </c>
      <c r="F27205">
        <v>2700005</v>
      </c>
      <c r="G27205" t="s">
        <v>5290</v>
      </c>
      <c r="H27205" s="21">
        <v>604.16999999999996</v>
      </c>
    </row>
    <row r="27206" spans="1:8" customFormat="1" x14ac:dyDescent="0.25">
      <c r="A27206" t="str">
        <f>"3717031"</f>
        <v>3717031</v>
      </c>
      <c r="B27206" t="s">
        <v>20423</v>
      </c>
      <c r="C27206" t="s">
        <v>598</v>
      </c>
      <c r="D27206" s="21" t="s">
        <v>34</v>
      </c>
      <c r="E27206" s="21" t="s">
        <v>254</v>
      </c>
      <c r="F27206">
        <v>4370549</v>
      </c>
      <c r="G27206" t="s">
        <v>5513</v>
      </c>
      <c r="H27206" s="21">
        <v>604.16999999999996</v>
      </c>
    </row>
    <row r="27207" spans="1:8" customFormat="1" x14ac:dyDescent="0.25">
      <c r="A27207" t="str">
        <f>"6227632"</f>
        <v>6227632</v>
      </c>
      <c r="B27207" t="s">
        <v>3334</v>
      </c>
      <c r="C27207" t="s">
        <v>428</v>
      </c>
      <c r="D27207" s="21" t="s">
        <v>34</v>
      </c>
      <c r="E27207" s="21" t="s">
        <v>35</v>
      </c>
      <c r="F27207">
        <v>7620007</v>
      </c>
      <c r="G27207" t="s">
        <v>2133</v>
      </c>
      <c r="H27207" s="21">
        <v>604.16999999999996</v>
      </c>
    </row>
    <row r="27208" spans="1:8" customFormat="1" x14ac:dyDescent="0.25">
      <c r="A27208" t="str">
        <f>"6812015"</f>
        <v>6812015</v>
      </c>
      <c r="B27208" t="s">
        <v>146</v>
      </c>
      <c r="C27208" t="s">
        <v>269</v>
      </c>
      <c r="D27208" s="21" t="s">
        <v>34</v>
      </c>
      <c r="E27208" s="21" t="s">
        <v>71</v>
      </c>
      <c r="F27208">
        <v>6680082</v>
      </c>
      <c r="G27208" t="s">
        <v>289</v>
      </c>
      <c r="H27208" s="21">
        <v>604.16999999999996</v>
      </c>
    </row>
    <row r="27209" spans="1:8" customFormat="1" x14ac:dyDescent="0.25">
      <c r="A27209" t="str">
        <f>"2219318"</f>
        <v>2219318</v>
      </c>
      <c r="B27209" t="s">
        <v>2308</v>
      </c>
      <c r="C27209" t="s">
        <v>87</v>
      </c>
      <c r="D27209" s="21" t="s">
        <v>34</v>
      </c>
      <c r="E27209" s="21" t="s">
        <v>35</v>
      </c>
      <c r="F27209">
        <v>3220033</v>
      </c>
      <c r="G27209" t="s">
        <v>657</v>
      </c>
      <c r="H27209" s="21">
        <v>604.16999999999996</v>
      </c>
    </row>
    <row r="27210" spans="1:8" customFormat="1" x14ac:dyDescent="0.25">
      <c r="A27210" t="str">
        <f>"8522278"</f>
        <v>8522278</v>
      </c>
      <c r="B27210" t="s">
        <v>19643</v>
      </c>
      <c r="C27210" t="s">
        <v>253</v>
      </c>
      <c r="D27210" s="21" t="s">
        <v>34</v>
      </c>
      <c r="E27210" s="21" t="s">
        <v>71</v>
      </c>
      <c r="F27210">
        <v>12850104</v>
      </c>
      <c r="G27210" t="s">
        <v>6556</v>
      </c>
      <c r="H27210" s="21">
        <v>604.16999999999996</v>
      </c>
    </row>
    <row r="27211" spans="1:8" customFormat="1" x14ac:dyDescent="0.25">
      <c r="A27211" t="str">
        <f>"443382"</f>
        <v>443382</v>
      </c>
      <c r="B27211" t="s">
        <v>12780</v>
      </c>
      <c r="C27211" t="s">
        <v>547</v>
      </c>
      <c r="D27211" s="21" t="s">
        <v>34</v>
      </c>
      <c r="E27211" s="21" t="s">
        <v>1089</v>
      </c>
      <c r="F27211">
        <v>13830092</v>
      </c>
      <c r="G27211" t="s">
        <v>3632</v>
      </c>
      <c r="H27211" s="21">
        <v>604.16999999999996</v>
      </c>
    </row>
    <row r="27212" spans="1:8" customFormat="1" x14ac:dyDescent="0.25">
      <c r="A27212" t="str">
        <f>"7511384"</f>
        <v>7511384</v>
      </c>
      <c r="B27212" t="s">
        <v>8990</v>
      </c>
      <c r="C27212" t="s">
        <v>27963</v>
      </c>
      <c r="D27212" s="21" t="s">
        <v>34</v>
      </c>
      <c r="E27212" s="21" t="s">
        <v>35</v>
      </c>
      <c r="F27212">
        <v>8921182</v>
      </c>
      <c r="G27212" t="s">
        <v>26954</v>
      </c>
      <c r="H27212" s="21">
        <v>604.16999999999996</v>
      </c>
    </row>
    <row r="27213" spans="1:8" customFormat="1" x14ac:dyDescent="0.25">
      <c r="A27213" t="str">
        <f>"6721742"</f>
        <v>6721742</v>
      </c>
      <c r="B27213" t="s">
        <v>1840</v>
      </c>
      <c r="C27213" t="s">
        <v>20765</v>
      </c>
      <c r="D27213" s="21" t="s">
        <v>34</v>
      </c>
      <c r="E27213" s="21" t="s">
        <v>35</v>
      </c>
      <c r="F27213">
        <v>6670248</v>
      </c>
      <c r="G27213" t="s">
        <v>1194</v>
      </c>
      <c r="H27213" s="21">
        <v>604.16999999999996</v>
      </c>
    </row>
    <row r="27214" spans="1:8" customFormat="1" x14ac:dyDescent="0.25">
      <c r="A27214" t="str">
        <f>"5724597"</f>
        <v>5724597</v>
      </c>
      <c r="B27214" t="s">
        <v>19217</v>
      </c>
      <c r="C27214" t="s">
        <v>288</v>
      </c>
      <c r="D27214" s="21" t="s">
        <v>34</v>
      </c>
      <c r="E27214" s="21" t="s">
        <v>71</v>
      </c>
      <c r="F27214">
        <v>6570169</v>
      </c>
      <c r="G27214" t="s">
        <v>15590</v>
      </c>
      <c r="H27214" s="21">
        <v>604.16999999999996</v>
      </c>
    </row>
    <row r="27215" spans="1:8" customFormat="1" x14ac:dyDescent="0.25">
      <c r="A27215" t="str">
        <f>"1425597"</f>
        <v>1425597</v>
      </c>
      <c r="B27215" t="s">
        <v>5833</v>
      </c>
      <c r="C27215" t="s">
        <v>119</v>
      </c>
      <c r="D27215" s="21" t="s">
        <v>34</v>
      </c>
      <c r="E27215" s="21" t="s">
        <v>71</v>
      </c>
      <c r="F27215">
        <v>9140156</v>
      </c>
      <c r="G27215" t="s">
        <v>645</v>
      </c>
      <c r="H27215" s="21">
        <v>604.16999999999996</v>
      </c>
    </row>
    <row r="27216" spans="1:8" customFormat="1" x14ac:dyDescent="0.25">
      <c r="A27216" t="str">
        <f>"4442252"</f>
        <v>4442252</v>
      </c>
      <c r="B27216" t="s">
        <v>19382</v>
      </c>
      <c r="C27216" t="s">
        <v>209</v>
      </c>
      <c r="D27216" s="21" t="s">
        <v>34</v>
      </c>
      <c r="E27216" s="21" t="s">
        <v>71</v>
      </c>
      <c r="F27216">
        <v>12440263</v>
      </c>
      <c r="G27216" t="s">
        <v>9503</v>
      </c>
      <c r="H27216" s="21">
        <v>604.16999999999996</v>
      </c>
    </row>
    <row r="27217" spans="1:8" customFormat="1" x14ac:dyDescent="0.25">
      <c r="A27217" t="str">
        <f>"9227637"</f>
        <v>9227637</v>
      </c>
      <c r="B27217" t="s">
        <v>22112</v>
      </c>
      <c r="C27217" t="s">
        <v>288</v>
      </c>
      <c r="D27217" s="21" t="s">
        <v>34</v>
      </c>
      <c r="E27217" s="21" t="s">
        <v>35</v>
      </c>
      <c r="F27217">
        <v>8920309</v>
      </c>
      <c r="G27217" t="s">
        <v>1894</v>
      </c>
      <c r="H27217" s="21">
        <v>604.16999999999996</v>
      </c>
    </row>
    <row r="27218" spans="1:8" customFormat="1" x14ac:dyDescent="0.25">
      <c r="A27218" t="str">
        <f>"2810147"</f>
        <v>2810147</v>
      </c>
      <c r="B27218" t="s">
        <v>18852</v>
      </c>
      <c r="C27218" t="s">
        <v>209</v>
      </c>
      <c r="D27218" s="21" t="s">
        <v>34</v>
      </c>
      <c r="E27218" s="21" t="s">
        <v>35</v>
      </c>
      <c r="F27218">
        <v>4280104</v>
      </c>
      <c r="G27218" t="s">
        <v>8480</v>
      </c>
      <c r="H27218" s="21">
        <v>604.16999999999996</v>
      </c>
    </row>
    <row r="27219" spans="1:8" customFormat="1" x14ac:dyDescent="0.25">
      <c r="A27219" t="str">
        <f>"5326835"</f>
        <v>5326835</v>
      </c>
      <c r="B27219" t="s">
        <v>3508</v>
      </c>
      <c r="C27219" t="s">
        <v>262</v>
      </c>
      <c r="D27219" s="21" t="s">
        <v>34</v>
      </c>
      <c r="E27219" s="21" t="s">
        <v>35</v>
      </c>
      <c r="F27219">
        <v>12538910</v>
      </c>
      <c r="G27219" t="s">
        <v>8855</v>
      </c>
      <c r="H27219" s="21">
        <v>604.16999999999996</v>
      </c>
    </row>
    <row r="27220" spans="1:8" customFormat="1" x14ac:dyDescent="0.25">
      <c r="A27220" t="str">
        <f>"38559"</f>
        <v>38559</v>
      </c>
      <c r="B27220" t="s">
        <v>20364</v>
      </c>
      <c r="C27220" t="s">
        <v>239</v>
      </c>
      <c r="D27220" s="21" t="s">
        <v>34</v>
      </c>
      <c r="E27220" s="21" t="s">
        <v>254</v>
      </c>
      <c r="F27220">
        <v>1380068</v>
      </c>
      <c r="G27220" t="s">
        <v>12680</v>
      </c>
      <c r="H27220" s="21">
        <v>604.16999999999996</v>
      </c>
    </row>
    <row r="27221" spans="1:8" customFormat="1" x14ac:dyDescent="0.25">
      <c r="A27221" t="str">
        <f>"3341683"</f>
        <v>3341683</v>
      </c>
      <c r="B27221" t="s">
        <v>6676</v>
      </c>
      <c r="C27221" t="s">
        <v>60</v>
      </c>
      <c r="D27221" s="21" t="s">
        <v>34</v>
      </c>
      <c r="E27221" s="21" t="s">
        <v>35</v>
      </c>
      <c r="F27221">
        <v>10330004</v>
      </c>
      <c r="G27221" t="s">
        <v>525</v>
      </c>
      <c r="H27221" s="21">
        <v>604.16999999999996</v>
      </c>
    </row>
    <row r="27222" spans="1:8" customFormat="1" x14ac:dyDescent="0.25">
      <c r="A27222" t="str">
        <f>"9233088"</f>
        <v>9233088</v>
      </c>
      <c r="B27222" t="s">
        <v>19978</v>
      </c>
      <c r="C27222" t="s">
        <v>209</v>
      </c>
      <c r="D27222" s="21" t="s">
        <v>34</v>
      </c>
      <c r="E27222" s="21" t="s">
        <v>71</v>
      </c>
      <c r="F27222">
        <v>8920505</v>
      </c>
      <c r="G27222" t="s">
        <v>12288</v>
      </c>
      <c r="H27222" s="21">
        <v>604.04</v>
      </c>
    </row>
    <row r="27223" spans="1:8" customFormat="1" x14ac:dyDescent="0.25">
      <c r="A27223" t="str">
        <f>"7637763"</f>
        <v>7637763</v>
      </c>
      <c r="B27223" t="s">
        <v>10441</v>
      </c>
      <c r="C27223" t="s">
        <v>82</v>
      </c>
      <c r="D27223" s="21" t="s">
        <v>34</v>
      </c>
      <c r="E27223" s="21" t="s">
        <v>35</v>
      </c>
      <c r="F27223">
        <v>9760448</v>
      </c>
      <c r="G27223" t="s">
        <v>11345</v>
      </c>
      <c r="H27223" s="21">
        <v>604.04</v>
      </c>
    </row>
    <row r="27224" spans="1:8" customFormat="1" x14ac:dyDescent="0.25">
      <c r="A27224" t="str">
        <f>"1610107"</f>
        <v>1610107</v>
      </c>
      <c r="B27224" t="s">
        <v>20953</v>
      </c>
      <c r="C27224" t="s">
        <v>267</v>
      </c>
      <c r="D27224" s="21" t="s">
        <v>34</v>
      </c>
      <c r="E27224" s="21" t="s">
        <v>254</v>
      </c>
      <c r="F27224">
        <v>10160024</v>
      </c>
      <c r="G27224" t="s">
        <v>511</v>
      </c>
      <c r="H27224" s="21">
        <v>603.91999999999996</v>
      </c>
    </row>
    <row r="27225" spans="1:8" customFormat="1" x14ac:dyDescent="0.25">
      <c r="A27225" t="str">
        <f>"3320798"</f>
        <v>3320798</v>
      </c>
      <c r="B27225" t="s">
        <v>19395</v>
      </c>
      <c r="C27225" t="s">
        <v>65</v>
      </c>
      <c r="D27225" s="21" t="s">
        <v>34</v>
      </c>
      <c r="E27225" s="21" t="s">
        <v>35</v>
      </c>
      <c r="F27225">
        <v>10330125</v>
      </c>
      <c r="G27225" t="s">
        <v>3753</v>
      </c>
      <c r="H27225" s="21">
        <v>603.79</v>
      </c>
    </row>
    <row r="27226" spans="1:8" customFormat="1" x14ac:dyDescent="0.25">
      <c r="A27226" t="str">
        <f>"0210058"</f>
        <v>0210058</v>
      </c>
      <c r="B27226" t="s">
        <v>7041</v>
      </c>
      <c r="C27226" t="s">
        <v>8726</v>
      </c>
      <c r="D27226" s="21" t="s">
        <v>34</v>
      </c>
      <c r="E27226" s="21" t="s">
        <v>35</v>
      </c>
      <c r="F27226">
        <v>7020037</v>
      </c>
      <c r="G27226" t="s">
        <v>4701</v>
      </c>
      <c r="H27226" s="21">
        <v>603.66999999999996</v>
      </c>
    </row>
    <row r="27227" spans="1:8" customFormat="1" x14ac:dyDescent="0.25">
      <c r="A27227" t="str">
        <f>"375007"</f>
        <v>375007</v>
      </c>
      <c r="B27227" t="s">
        <v>9275</v>
      </c>
      <c r="C27227" t="s">
        <v>2520</v>
      </c>
      <c r="D27227" s="21" t="s">
        <v>34</v>
      </c>
      <c r="E27227" s="21" t="s">
        <v>71</v>
      </c>
      <c r="F27227">
        <v>4370464</v>
      </c>
      <c r="G27227" t="s">
        <v>5348</v>
      </c>
      <c r="H27227" s="21">
        <v>603.66999999999996</v>
      </c>
    </row>
    <row r="27228" spans="1:8" customFormat="1" x14ac:dyDescent="0.25">
      <c r="A27228" t="str">
        <f>"5939943"</f>
        <v>5939943</v>
      </c>
      <c r="B27228" t="s">
        <v>19387</v>
      </c>
      <c r="C27228" t="s">
        <v>198</v>
      </c>
      <c r="D27228" s="21" t="s">
        <v>34</v>
      </c>
      <c r="E27228" s="21" t="s">
        <v>35</v>
      </c>
      <c r="F27228">
        <v>7590017</v>
      </c>
      <c r="G27228" t="s">
        <v>1316</v>
      </c>
      <c r="H27228" s="21">
        <v>603.66999999999996</v>
      </c>
    </row>
    <row r="27229" spans="1:8" customFormat="1" x14ac:dyDescent="0.25">
      <c r="A27229" t="str">
        <f>"146765"</f>
        <v>146765</v>
      </c>
      <c r="B27229" t="s">
        <v>19177</v>
      </c>
      <c r="C27229" t="s">
        <v>269</v>
      </c>
      <c r="D27229" s="21" t="s">
        <v>34</v>
      </c>
      <c r="E27229" s="21" t="s">
        <v>71</v>
      </c>
      <c r="F27229">
        <v>9140233</v>
      </c>
      <c r="G27229" t="s">
        <v>13269</v>
      </c>
      <c r="H27229" s="21">
        <v>603.66999999999996</v>
      </c>
    </row>
    <row r="27230" spans="1:8" customFormat="1" x14ac:dyDescent="0.25">
      <c r="A27230" t="str">
        <f>"4926936"</f>
        <v>4926936</v>
      </c>
      <c r="B27230" t="s">
        <v>890</v>
      </c>
      <c r="C27230" t="s">
        <v>415</v>
      </c>
      <c r="D27230" s="21" t="s">
        <v>34</v>
      </c>
      <c r="E27230" s="21" t="s">
        <v>71</v>
      </c>
      <c r="F27230">
        <v>12490068</v>
      </c>
      <c r="G27230" t="s">
        <v>2070</v>
      </c>
      <c r="H27230" s="21">
        <v>603.66999999999996</v>
      </c>
    </row>
    <row r="27231" spans="1:8" customFormat="1" x14ac:dyDescent="0.25">
      <c r="A27231" t="str">
        <f>"4516663"</f>
        <v>4516663</v>
      </c>
      <c r="B27231" t="s">
        <v>946</v>
      </c>
      <c r="C27231" t="s">
        <v>2520</v>
      </c>
      <c r="D27231" s="21" t="s">
        <v>34</v>
      </c>
      <c r="E27231" s="21" t="s">
        <v>6185</v>
      </c>
      <c r="F27231">
        <v>4450751</v>
      </c>
      <c r="G27231" t="s">
        <v>442</v>
      </c>
      <c r="H27231" s="21">
        <v>603.66999999999996</v>
      </c>
    </row>
    <row r="27232" spans="1:8" customFormat="1" x14ac:dyDescent="0.25">
      <c r="A27232" t="str">
        <f>"3425528"</f>
        <v>3425528</v>
      </c>
      <c r="B27232" t="s">
        <v>17772</v>
      </c>
      <c r="C27232" t="s">
        <v>33</v>
      </c>
      <c r="D27232" s="21" t="s">
        <v>34</v>
      </c>
      <c r="E27232" s="21" t="s">
        <v>35</v>
      </c>
      <c r="F27232">
        <v>11340047</v>
      </c>
      <c r="G27232" t="s">
        <v>4303</v>
      </c>
      <c r="H27232" s="21">
        <v>603.66999999999996</v>
      </c>
    </row>
    <row r="27233" spans="1:8" customFormat="1" x14ac:dyDescent="0.25">
      <c r="A27233" t="str">
        <f>"2923534"</f>
        <v>2923534</v>
      </c>
      <c r="B27233" t="s">
        <v>2049</v>
      </c>
      <c r="C27233" t="s">
        <v>209</v>
      </c>
      <c r="D27233" s="21" t="s">
        <v>34</v>
      </c>
      <c r="E27233" s="21" t="s">
        <v>71</v>
      </c>
      <c r="F27233">
        <v>3290006</v>
      </c>
      <c r="G27233" t="s">
        <v>13009</v>
      </c>
      <c r="H27233" s="21">
        <v>603.66999999999996</v>
      </c>
    </row>
    <row r="27234" spans="1:8" customFormat="1" x14ac:dyDescent="0.25">
      <c r="A27234" t="str">
        <f>"6314433"</f>
        <v>6314433</v>
      </c>
      <c r="B27234" t="s">
        <v>21240</v>
      </c>
      <c r="C27234" t="s">
        <v>33</v>
      </c>
      <c r="D27234" s="21" t="s">
        <v>34</v>
      </c>
      <c r="E27234" s="21" t="s">
        <v>35</v>
      </c>
      <c r="F27234">
        <v>1630123</v>
      </c>
      <c r="G27234" t="s">
        <v>1036</v>
      </c>
      <c r="H27234" s="21">
        <v>603.66999999999996</v>
      </c>
    </row>
    <row r="27235" spans="1:8" customFormat="1" x14ac:dyDescent="0.25">
      <c r="A27235" t="str">
        <f>"2711215"</f>
        <v>2711215</v>
      </c>
      <c r="B27235" t="s">
        <v>19729</v>
      </c>
      <c r="C27235" t="s">
        <v>547</v>
      </c>
      <c r="D27235" s="21" t="s">
        <v>34</v>
      </c>
      <c r="E27235" s="21" t="s">
        <v>254</v>
      </c>
      <c r="F27235">
        <v>9270166</v>
      </c>
      <c r="G27235" t="s">
        <v>16629</v>
      </c>
      <c r="H27235" s="21">
        <v>603.66999999999996</v>
      </c>
    </row>
    <row r="27236" spans="1:8" customFormat="1" x14ac:dyDescent="0.25">
      <c r="A27236" t="str">
        <f>"7621131"</f>
        <v>7621131</v>
      </c>
      <c r="B27236" t="s">
        <v>19362</v>
      </c>
      <c r="C27236" t="s">
        <v>119</v>
      </c>
      <c r="D27236" s="21" t="s">
        <v>34</v>
      </c>
      <c r="E27236" s="21" t="s">
        <v>35</v>
      </c>
      <c r="F27236">
        <v>9760041</v>
      </c>
      <c r="G27236" t="s">
        <v>452</v>
      </c>
      <c r="H27236" s="21">
        <v>603.66999999999996</v>
      </c>
    </row>
    <row r="27237" spans="1:8" customFormat="1" x14ac:dyDescent="0.25">
      <c r="A27237" t="str">
        <f>"951119"</f>
        <v>951119</v>
      </c>
      <c r="B27237" t="s">
        <v>19398</v>
      </c>
      <c r="C27237" t="s">
        <v>1110</v>
      </c>
      <c r="D27237" s="21" t="s">
        <v>34</v>
      </c>
      <c r="E27237" s="21" t="s">
        <v>1089</v>
      </c>
      <c r="F27237">
        <v>12720070</v>
      </c>
      <c r="G27237" t="s">
        <v>2348</v>
      </c>
      <c r="H27237" s="21">
        <v>603.66999999999996</v>
      </c>
    </row>
    <row r="27238" spans="1:8" customFormat="1" x14ac:dyDescent="0.25">
      <c r="A27238" t="str">
        <f>"297097"</f>
        <v>297097</v>
      </c>
      <c r="B27238" t="s">
        <v>2770</v>
      </c>
      <c r="C27238" t="s">
        <v>156</v>
      </c>
      <c r="D27238" s="21" t="s">
        <v>34</v>
      </c>
      <c r="E27238" s="21" t="s">
        <v>1089</v>
      </c>
      <c r="F27238">
        <v>3290215</v>
      </c>
      <c r="G27238" t="s">
        <v>5058</v>
      </c>
      <c r="H27238" s="21">
        <v>603.66999999999996</v>
      </c>
    </row>
    <row r="27239" spans="1:8" customFormat="1" x14ac:dyDescent="0.25">
      <c r="A27239" t="str">
        <f>"393136"</f>
        <v>393136</v>
      </c>
      <c r="B27239" t="s">
        <v>12053</v>
      </c>
      <c r="C27239" t="s">
        <v>55</v>
      </c>
      <c r="D27239" s="21" t="s">
        <v>34</v>
      </c>
      <c r="E27239" s="21" t="s">
        <v>35</v>
      </c>
      <c r="F27239">
        <v>2390082</v>
      </c>
      <c r="G27239" t="s">
        <v>3343</v>
      </c>
      <c r="H27239" s="21">
        <v>603.66999999999996</v>
      </c>
    </row>
    <row r="27240" spans="1:8" customFormat="1" x14ac:dyDescent="0.25">
      <c r="A27240" t="str">
        <f>"5430081"</f>
        <v>5430081</v>
      </c>
      <c r="B27240" t="s">
        <v>19927</v>
      </c>
      <c r="C27240" t="s">
        <v>2533</v>
      </c>
      <c r="D27240" s="21" t="s">
        <v>34</v>
      </c>
      <c r="E27240" s="21" t="s">
        <v>71</v>
      </c>
      <c r="F27240">
        <v>6540011</v>
      </c>
      <c r="G27240" t="s">
        <v>6084</v>
      </c>
      <c r="H27240" s="21">
        <v>603.66999999999996</v>
      </c>
    </row>
    <row r="27241" spans="1:8" customFormat="1" x14ac:dyDescent="0.25">
      <c r="A27241" t="str">
        <f>"2934106"</f>
        <v>2934106</v>
      </c>
      <c r="B27241" t="s">
        <v>20237</v>
      </c>
      <c r="C27241" t="s">
        <v>2907</v>
      </c>
      <c r="D27241" s="21" t="s">
        <v>34</v>
      </c>
      <c r="E27241" s="21" t="s">
        <v>71</v>
      </c>
      <c r="F27241">
        <v>3290232</v>
      </c>
      <c r="G27241" t="s">
        <v>9588</v>
      </c>
      <c r="H27241" s="21">
        <v>603.66999999999996</v>
      </c>
    </row>
    <row r="27242" spans="1:8" customFormat="1" x14ac:dyDescent="0.25">
      <c r="A27242" t="str">
        <f>"5976959"</f>
        <v>5976959</v>
      </c>
      <c r="B27242" t="s">
        <v>1094</v>
      </c>
      <c r="C27242" t="s">
        <v>109</v>
      </c>
      <c r="D27242" s="21" t="s">
        <v>34</v>
      </c>
      <c r="E27242" s="21" t="s">
        <v>35</v>
      </c>
      <c r="F27242">
        <v>7590352</v>
      </c>
      <c r="G27242" t="s">
        <v>9634</v>
      </c>
      <c r="H27242" s="21">
        <v>603.66999999999996</v>
      </c>
    </row>
    <row r="27243" spans="1:8" customFormat="1" x14ac:dyDescent="0.25">
      <c r="A27243" t="str">
        <f>"7219287"</f>
        <v>7219287</v>
      </c>
      <c r="B27243" t="s">
        <v>20330</v>
      </c>
      <c r="C27243" t="s">
        <v>239</v>
      </c>
      <c r="D27243" s="21" t="s">
        <v>34</v>
      </c>
      <c r="E27243" s="21" t="s">
        <v>71</v>
      </c>
      <c r="F27243">
        <v>12720051</v>
      </c>
      <c r="G27243" t="s">
        <v>9476</v>
      </c>
      <c r="H27243" s="21">
        <v>603.66999999999996</v>
      </c>
    </row>
    <row r="27244" spans="1:8" customFormat="1" x14ac:dyDescent="0.25">
      <c r="A27244" t="str">
        <f>"2938705"</f>
        <v>2938705</v>
      </c>
      <c r="B27244" t="s">
        <v>20314</v>
      </c>
      <c r="C27244" t="s">
        <v>10412</v>
      </c>
      <c r="D27244" s="21" t="s">
        <v>34</v>
      </c>
      <c r="E27244" s="21" t="s">
        <v>35</v>
      </c>
      <c r="F27244">
        <v>3290001</v>
      </c>
      <c r="G27244" t="s">
        <v>18700</v>
      </c>
      <c r="H27244" s="21">
        <v>603.66999999999996</v>
      </c>
    </row>
    <row r="27245" spans="1:8" customFormat="1" x14ac:dyDescent="0.25">
      <c r="A27245" t="str">
        <f>"4443444"</f>
        <v>4443444</v>
      </c>
      <c r="B27245" t="s">
        <v>6473</v>
      </c>
      <c r="C27245" t="s">
        <v>55</v>
      </c>
      <c r="D27245" s="21" t="s">
        <v>34</v>
      </c>
      <c r="E27245" s="21" t="s">
        <v>254</v>
      </c>
      <c r="F27245">
        <v>12440277</v>
      </c>
      <c r="G27245" t="s">
        <v>10430</v>
      </c>
      <c r="H27245" s="21">
        <v>603.66999999999996</v>
      </c>
    </row>
    <row r="27246" spans="1:8" customFormat="1" x14ac:dyDescent="0.25">
      <c r="A27246" t="str">
        <f>"404318"</f>
        <v>404318</v>
      </c>
      <c r="B27246" t="s">
        <v>19244</v>
      </c>
      <c r="C27246" t="s">
        <v>2100</v>
      </c>
      <c r="D27246" s="21" t="s">
        <v>34</v>
      </c>
      <c r="E27246" s="21" t="s">
        <v>71</v>
      </c>
      <c r="F27246">
        <v>10400024</v>
      </c>
      <c r="G27246" t="s">
        <v>4680</v>
      </c>
      <c r="H27246" s="21">
        <v>603.66999999999996</v>
      </c>
    </row>
    <row r="27247" spans="1:8" customFormat="1" x14ac:dyDescent="0.25">
      <c r="A27247" t="str">
        <f>"32880"</f>
        <v>32880</v>
      </c>
      <c r="B27247" t="s">
        <v>19270</v>
      </c>
      <c r="C27247" t="s">
        <v>2276</v>
      </c>
      <c r="D27247" s="21" t="s">
        <v>34</v>
      </c>
      <c r="E27247" s="21" t="s">
        <v>1089</v>
      </c>
      <c r="F27247">
        <v>10640001</v>
      </c>
      <c r="G27247" t="s">
        <v>2419</v>
      </c>
      <c r="H27247" s="21">
        <v>603.66999999999996</v>
      </c>
    </row>
    <row r="27248" spans="1:8" customFormat="1" x14ac:dyDescent="0.25">
      <c r="A27248" t="str">
        <f>"9231829"</f>
        <v>9231829</v>
      </c>
      <c r="B27248" t="s">
        <v>10909</v>
      </c>
      <c r="C27248" t="s">
        <v>121</v>
      </c>
      <c r="D27248" s="21" t="s">
        <v>34</v>
      </c>
      <c r="E27248" s="21" t="s">
        <v>71</v>
      </c>
      <c r="F27248">
        <v>13840012</v>
      </c>
      <c r="G27248" t="s">
        <v>5143</v>
      </c>
      <c r="H27248" s="21">
        <v>603.66999999999996</v>
      </c>
    </row>
    <row r="27249" spans="1:8" customFormat="1" x14ac:dyDescent="0.25">
      <c r="A27249" t="str">
        <f>"5019943"</f>
        <v>5019943</v>
      </c>
      <c r="B27249" t="s">
        <v>10478</v>
      </c>
      <c r="C27249" t="s">
        <v>139</v>
      </c>
      <c r="D27249" s="21" t="s">
        <v>34</v>
      </c>
      <c r="E27249" s="21" t="s">
        <v>35</v>
      </c>
      <c r="F27249">
        <v>9500131</v>
      </c>
      <c r="G27249" t="s">
        <v>1073</v>
      </c>
      <c r="H27249" s="21">
        <v>603.54</v>
      </c>
    </row>
    <row r="27250" spans="1:8" customFormat="1" x14ac:dyDescent="0.25">
      <c r="A27250" t="str">
        <f>"3335939"</f>
        <v>3335939</v>
      </c>
      <c r="B27250" t="s">
        <v>27964</v>
      </c>
      <c r="C27250" t="s">
        <v>23779</v>
      </c>
      <c r="D27250" s="21" t="s">
        <v>34</v>
      </c>
      <c r="E27250" s="21" t="s">
        <v>35</v>
      </c>
      <c r="F27250">
        <v>10330125</v>
      </c>
      <c r="G27250" t="s">
        <v>3753</v>
      </c>
      <c r="H27250" s="21">
        <v>603.54</v>
      </c>
    </row>
    <row r="27251" spans="1:8" customFormat="1" x14ac:dyDescent="0.25">
      <c r="A27251" t="str">
        <f>"3341381"</f>
        <v>3341381</v>
      </c>
      <c r="B27251" t="s">
        <v>19417</v>
      </c>
      <c r="C27251" t="s">
        <v>305</v>
      </c>
      <c r="D27251" s="21" t="s">
        <v>34</v>
      </c>
      <c r="E27251" s="21" t="s">
        <v>35</v>
      </c>
      <c r="F27251">
        <v>10330129</v>
      </c>
      <c r="G27251" t="s">
        <v>5977</v>
      </c>
      <c r="H27251" s="21">
        <v>603.29</v>
      </c>
    </row>
    <row r="27252" spans="1:8" customFormat="1" x14ac:dyDescent="0.25">
      <c r="A27252" t="str">
        <f>"94993"</f>
        <v>94993</v>
      </c>
      <c r="B27252" t="s">
        <v>20310</v>
      </c>
      <c r="C27252" t="s">
        <v>720</v>
      </c>
      <c r="D27252" s="21" t="s">
        <v>34</v>
      </c>
      <c r="E27252" s="21" t="s">
        <v>1089</v>
      </c>
      <c r="F27252">
        <v>8940535</v>
      </c>
      <c r="G27252" t="s">
        <v>2628</v>
      </c>
      <c r="H27252" s="21">
        <v>603.29</v>
      </c>
    </row>
    <row r="27253" spans="1:8" customFormat="1" x14ac:dyDescent="0.25">
      <c r="A27253" t="str">
        <f>"637374"</f>
        <v>637374</v>
      </c>
      <c r="B27253" t="s">
        <v>20322</v>
      </c>
      <c r="C27253" t="s">
        <v>1110</v>
      </c>
      <c r="D27253" s="21" t="s">
        <v>34</v>
      </c>
      <c r="E27253" s="21" t="s">
        <v>71</v>
      </c>
      <c r="F27253">
        <v>1630303</v>
      </c>
      <c r="G27253" t="s">
        <v>8915</v>
      </c>
      <c r="H27253" s="21">
        <v>603.16999999999996</v>
      </c>
    </row>
    <row r="27254" spans="1:8" customFormat="1" x14ac:dyDescent="0.25">
      <c r="A27254" t="str">
        <f>"7876906"</f>
        <v>7876906</v>
      </c>
      <c r="B27254" t="s">
        <v>21541</v>
      </c>
      <c r="C27254" t="s">
        <v>1025</v>
      </c>
      <c r="D27254" s="21" t="s">
        <v>34</v>
      </c>
      <c r="E27254" s="21" t="s">
        <v>35</v>
      </c>
      <c r="F27254">
        <v>8780890</v>
      </c>
      <c r="G27254" t="s">
        <v>6456</v>
      </c>
      <c r="H27254" s="21">
        <v>603.16999999999996</v>
      </c>
    </row>
    <row r="27255" spans="1:8" customFormat="1" x14ac:dyDescent="0.25">
      <c r="A27255" t="str">
        <f>"3818111"</f>
        <v>3818111</v>
      </c>
      <c r="B27255" t="s">
        <v>15161</v>
      </c>
      <c r="C27255" t="s">
        <v>2305</v>
      </c>
      <c r="D27255" s="21" t="s">
        <v>34</v>
      </c>
      <c r="E27255" s="21" t="s">
        <v>6185</v>
      </c>
      <c r="F27255">
        <v>1380273</v>
      </c>
      <c r="G27255" t="s">
        <v>7554</v>
      </c>
      <c r="H27255" s="21">
        <v>603.16999999999996</v>
      </c>
    </row>
    <row r="27256" spans="1:8" customFormat="1" x14ac:dyDescent="0.25">
      <c r="A27256" t="str">
        <f>"9141155"</f>
        <v>9141155</v>
      </c>
      <c r="B27256" t="s">
        <v>7505</v>
      </c>
      <c r="C27256" t="s">
        <v>130</v>
      </c>
      <c r="D27256" s="21" t="s">
        <v>34</v>
      </c>
      <c r="E27256" s="21" t="s">
        <v>71</v>
      </c>
      <c r="F27256">
        <v>8910916</v>
      </c>
      <c r="G27256" t="s">
        <v>2251</v>
      </c>
      <c r="H27256" s="21">
        <v>603.16999999999996</v>
      </c>
    </row>
    <row r="27257" spans="1:8" customFormat="1" x14ac:dyDescent="0.25">
      <c r="A27257" t="str">
        <f>"902525"</f>
        <v>902525</v>
      </c>
      <c r="B27257" t="s">
        <v>2065</v>
      </c>
      <c r="C27257" t="s">
        <v>1110</v>
      </c>
      <c r="D27257" s="21" t="s">
        <v>34</v>
      </c>
      <c r="E27257" s="21" t="s">
        <v>71</v>
      </c>
      <c r="F27257">
        <v>2900042</v>
      </c>
      <c r="G27257" t="s">
        <v>7866</v>
      </c>
      <c r="H27257" s="21">
        <v>603.16999999999996</v>
      </c>
    </row>
    <row r="27258" spans="1:8" customFormat="1" x14ac:dyDescent="0.25">
      <c r="A27258" t="str">
        <f>"1419632"</f>
        <v>1419632</v>
      </c>
      <c r="B27258" t="s">
        <v>21201</v>
      </c>
      <c r="C27258" t="s">
        <v>253</v>
      </c>
      <c r="D27258" s="21" t="s">
        <v>34</v>
      </c>
      <c r="E27258" s="21" t="s">
        <v>1089</v>
      </c>
      <c r="F27258">
        <v>9140111</v>
      </c>
      <c r="G27258" t="s">
        <v>3601</v>
      </c>
      <c r="H27258" s="21">
        <v>603.16999999999996</v>
      </c>
    </row>
    <row r="27259" spans="1:8" customFormat="1" x14ac:dyDescent="0.25">
      <c r="A27259" t="str">
        <f>"451162"</f>
        <v>451162</v>
      </c>
      <c r="B27259" t="s">
        <v>9072</v>
      </c>
      <c r="C27259" t="s">
        <v>2520</v>
      </c>
      <c r="D27259" s="21" t="s">
        <v>34</v>
      </c>
      <c r="E27259" s="21" t="s">
        <v>254</v>
      </c>
      <c r="F27259">
        <v>4450295</v>
      </c>
      <c r="G27259" t="s">
        <v>9193</v>
      </c>
      <c r="H27259" s="21">
        <v>603.16999999999996</v>
      </c>
    </row>
    <row r="27260" spans="1:8" customFormat="1" x14ac:dyDescent="0.25">
      <c r="A27260" t="str">
        <f>"3343713"</f>
        <v>3343713</v>
      </c>
      <c r="B27260" t="s">
        <v>15697</v>
      </c>
      <c r="C27260" t="s">
        <v>33</v>
      </c>
      <c r="D27260" s="21" t="s">
        <v>34</v>
      </c>
      <c r="E27260" s="21" t="s">
        <v>35</v>
      </c>
      <c r="F27260">
        <v>10330099</v>
      </c>
      <c r="G27260" t="s">
        <v>10670</v>
      </c>
      <c r="H27260" s="21">
        <v>603.16999999999996</v>
      </c>
    </row>
    <row r="27261" spans="1:8" customFormat="1" x14ac:dyDescent="0.25">
      <c r="A27261" t="str">
        <f>"5015205"</f>
        <v>5015205</v>
      </c>
      <c r="B27261" t="s">
        <v>7695</v>
      </c>
      <c r="C27261" t="s">
        <v>262</v>
      </c>
      <c r="D27261" s="21" t="s">
        <v>34</v>
      </c>
      <c r="E27261" s="21" t="s">
        <v>35</v>
      </c>
      <c r="F27261">
        <v>9500121</v>
      </c>
      <c r="G27261" t="s">
        <v>7360</v>
      </c>
      <c r="H27261" s="21">
        <v>603.16999999999996</v>
      </c>
    </row>
    <row r="27262" spans="1:8" customFormat="1" x14ac:dyDescent="0.25">
      <c r="A27262" t="str">
        <f>"199868"</f>
        <v>199868</v>
      </c>
      <c r="B27262" t="s">
        <v>3664</v>
      </c>
      <c r="C27262" t="s">
        <v>156</v>
      </c>
      <c r="D27262" s="21" t="s">
        <v>34</v>
      </c>
      <c r="E27262" s="21" t="s">
        <v>35</v>
      </c>
      <c r="F27262">
        <v>10190133</v>
      </c>
      <c r="G27262" t="s">
        <v>13392</v>
      </c>
      <c r="H27262" s="21">
        <v>603.16999999999996</v>
      </c>
    </row>
    <row r="27263" spans="1:8" customFormat="1" x14ac:dyDescent="0.25">
      <c r="A27263" t="str">
        <f>"402371"</f>
        <v>402371</v>
      </c>
      <c r="B27263" t="s">
        <v>20191</v>
      </c>
      <c r="C27263" t="s">
        <v>2752</v>
      </c>
      <c r="D27263" s="21" t="s">
        <v>34</v>
      </c>
      <c r="E27263" s="21" t="s">
        <v>71</v>
      </c>
      <c r="F27263">
        <v>10400016</v>
      </c>
      <c r="G27263" t="s">
        <v>9271</v>
      </c>
      <c r="H27263" s="21">
        <v>603.16999999999996</v>
      </c>
    </row>
    <row r="27264" spans="1:8" customFormat="1" x14ac:dyDescent="0.25">
      <c r="A27264" t="str">
        <f>"2814546"</f>
        <v>2814546</v>
      </c>
      <c r="B27264" t="s">
        <v>9362</v>
      </c>
      <c r="C27264" t="s">
        <v>169</v>
      </c>
      <c r="D27264" s="21" t="s">
        <v>34</v>
      </c>
      <c r="E27264" s="21" t="s">
        <v>71</v>
      </c>
      <c r="F27264">
        <v>4280202</v>
      </c>
      <c r="G27264" t="s">
        <v>2945</v>
      </c>
      <c r="H27264" s="21">
        <v>603.16999999999996</v>
      </c>
    </row>
    <row r="27265" spans="1:8" customFormat="1" x14ac:dyDescent="0.25">
      <c r="A27265" t="str">
        <f>"744296"</f>
        <v>744296</v>
      </c>
      <c r="B27265" t="s">
        <v>1661</v>
      </c>
      <c r="C27265" t="s">
        <v>415</v>
      </c>
      <c r="D27265" s="21" t="s">
        <v>34</v>
      </c>
      <c r="E27265" s="21" t="s">
        <v>71</v>
      </c>
      <c r="F27265">
        <v>1740080</v>
      </c>
      <c r="G27265" t="s">
        <v>12809</v>
      </c>
      <c r="H27265" s="21">
        <v>603.16999999999996</v>
      </c>
    </row>
    <row r="27266" spans="1:8" customFormat="1" x14ac:dyDescent="0.25">
      <c r="A27266" t="str">
        <f>"8015992"</f>
        <v>8015992</v>
      </c>
      <c r="B27266" t="s">
        <v>20533</v>
      </c>
      <c r="C27266" t="s">
        <v>576</v>
      </c>
      <c r="D27266" s="21" t="s">
        <v>34</v>
      </c>
      <c r="E27266" s="21" t="s">
        <v>35</v>
      </c>
      <c r="F27266">
        <v>7800074</v>
      </c>
      <c r="G27266" t="s">
        <v>7104</v>
      </c>
      <c r="H27266" s="21">
        <v>603.16999999999996</v>
      </c>
    </row>
    <row r="27267" spans="1:8" customFormat="1" x14ac:dyDescent="0.25">
      <c r="A27267" t="str">
        <f>"219317"</f>
        <v>219317</v>
      </c>
      <c r="B27267" t="s">
        <v>19441</v>
      </c>
      <c r="C27267" t="s">
        <v>267</v>
      </c>
      <c r="D27267" s="21" t="s">
        <v>34</v>
      </c>
      <c r="E27267" s="21" t="s">
        <v>71</v>
      </c>
      <c r="F27267">
        <v>2210106</v>
      </c>
      <c r="G27267" t="s">
        <v>8845</v>
      </c>
      <c r="H27267" s="21">
        <v>603.16999999999996</v>
      </c>
    </row>
    <row r="27268" spans="1:8" customFormat="1" x14ac:dyDescent="0.25">
      <c r="A27268" t="str">
        <f>"7624145"</f>
        <v>7624145</v>
      </c>
      <c r="B27268" t="s">
        <v>19916</v>
      </c>
      <c r="C27268" t="s">
        <v>55</v>
      </c>
      <c r="D27268" s="21" t="s">
        <v>34</v>
      </c>
      <c r="E27268" s="21" t="s">
        <v>71</v>
      </c>
      <c r="F27268">
        <v>9760014</v>
      </c>
      <c r="G27268" t="s">
        <v>1017</v>
      </c>
      <c r="H27268" s="21">
        <v>603.16999999999996</v>
      </c>
    </row>
    <row r="27269" spans="1:8" customFormat="1" x14ac:dyDescent="0.25">
      <c r="A27269" t="str">
        <f>"6312912"</f>
        <v>6312912</v>
      </c>
      <c r="B27269" t="s">
        <v>19731</v>
      </c>
      <c r="C27269" t="s">
        <v>65</v>
      </c>
      <c r="D27269" s="21" t="s">
        <v>34</v>
      </c>
      <c r="E27269" s="21" t="s">
        <v>35</v>
      </c>
      <c r="F27269">
        <v>1630320</v>
      </c>
      <c r="G27269" t="s">
        <v>4046</v>
      </c>
      <c r="H27269" s="21">
        <v>603.16999999999996</v>
      </c>
    </row>
    <row r="27270" spans="1:8" customFormat="1" x14ac:dyDescent="0.25">
      <c r="A27270" t="str">
        <f>"786729"</f>
        <v>786729</v>
      </c>
      <c r="B27270" t="s">
        <v>19439</v>
      </c>
      <c r="C27270" t="s">
        <v>249</v>
      </c>
      <c r="D27270" s="21" t="s">
        <v>34</v>
      </c>
      <c r="E27270" s="21" t="s">
        <v>254</v>
      </c>
      <c r="F27270">
        <v>8781006</v>
      </c>
      <c r="G27270" t="s">
        <v>5376</v>
      </c>
      <c r="H27270" s="21">
        <v>603.16999999999996</v>
      </c>
    </row>
    <row r="27271" spans="1:8" customFormat="1" x14ac:dyDescent="0.25">
      <c r="A27271" t="str">
        <f>"6718415"</f>
        <v>6718415</v>
      </c>
      <c r="B27271" t="s">
        <v>19925</v>
      </c>
      <c r="C27271" t="s">
        <v>381</v>
      </c>
      <c r="D27271" s="21" t="s">
        <v>34</v>
      </c>
      <c r="E27271" s="21" t="s">
        <v>254</v>
      </c>
      <c r="F27271">
        <v>6670011</v>
      </c>
      <c r="G27271" t="s">
        <v>5493</v>
      </c>
      <c r="H27271" s="21">
        <v>603.16999999999996</v>
      </c>
    </row>
    <row r="27272" spans="1:8" customFormat="1" x14ac:dyDescent="0.25">
      <c r="A27272" t="str">
        <f>"837852"</f>
        <v>837852</v>
      </c>
      <c r="B27272" t="s">
        <v>18942</v>
      </c>
      <c r="C27272" t="s">
        <v>1597</v>
      </c>
      <c r="D27272" s="21" t="s">
        <v>34</v>
      </c>
      <c r="E27272" s="21" t="s">
        <v>254</v>
      </c>
      <c r="F27272">
        <v>13830014</v>
      </c>
      <c r="G27272" t="s">
        <v>5757</v>
      </c>
      <c r="H27272" s="21">
        <v>603.16999999999996</v>
      </c>
    </row>
    <row r="27273" spans="1:8" customFormat="1" x14ac:dyDescent="0.25">
      <c r="A27273" t="str">
        <f>"823772"</f>
        <v>823772</v>
      </c>
      <c r="B27273" t="s">
        <v>20509</v>
      </c>
      <c r="C27273" t="s">
        <v>144</v>
      </c>
      <c r="D27273" s="21" t="s">
        <v>34</v>
      </c>
      <c r="E27273" s="21" t="s">
        <v>35</v>
      </c>
      <c r="F27273">
        <v>11820031</v>
      </c>
      <c r="G27273" t="s">
        <v>18667</v>
      </c>
      <c r="H27273" s="21">
        <v>603.16999999999996</v>
      </c>
    </row>
    <row r="27274" spans="1:8" customFormat="1" x14ac:dyDescent="0.25">
      <c r="A27274" t="str">
        <f>"9237584"</f>
        <v>9237584</v>
      </c>
      <c r="B27274" t="s">
        <v>27965</v>
      </c>
      <c r="C27274" t="s">
        <v>62</v>
      </c>
      <c r="D27274" s="21" t="s">
        <v>34</v>
      </c>
      <c r="E27274" s="21" t="s">
        <v>71</v>
      </c>
      <c r="F27274">
        <v>8920389</v>
      </c>
      <c r="G27274" t="s">
        <v>1739</v>
      </c>
      <c r="H27274" s="21">
        <v>603.16999999999996</v>
      </c>
    </row>
    <row r="27275" spans="1:8" customFormat="1" x14ac:dyDescent="0.25">
      <c r="A27275" t="str">
        <f>"1715674"</f>
        <v>1715674</v>
      </c>
      <c r="B27275" t="s">
        <v>19076</v>
      </c>
      <c r="C27275" t="s">
        <v>90</v>
      </c>
      <c r="D27275" s="21" t="s">
        <v>34</v>
      </c>
      <c r="E27275" s="21" t="s">
        <v>71</v>
      </c>
      <c r="F27275">
        <v>10170050</v>
      </c>
      <c r="G27275" t="s">
        <v>2514</v>
      </c>
      <c r="H27275" s="21">
        <v>603.16999999999996</v>
      </c>
    </row>
    <row r="27276" spans="1:8" customFormat="1" x14ac:dyDescent="0.25">
      <c r="A27276" t="str">
        <f>"3726190"</f>
        <v>3726190</v>
      </c>
      <c r="B27276" t="s">
        <v>13700</v>
      </c>
      <c r="C27276" t="s">
        <v>114</v>
      </c>
      <c r="D27276" s="21" t="s">
        <v>34</v>
      </c>
      <c r="E27276" s="21" t="s">
        <v>71</v>
      </c>
      <c r="F27276">
        <v>4370346</v>
      </c>
      <c r="G27276" t="s">
        <v>8269</v>
      </c>
      <c r="H27276" s="21">
        <v>603.16999999999996</v>
      </c>
    </row>
    <row r="27277" spans="1:8" customFormat="1" x14ac:dyDescent="0.25">
      <c r="A27277" t="str">
        <f>"031266"</f>
        <v>031266</v>
      </c>
      <c r="B27277" t="s">
        <v>19261</v>
      </c>
      <c r="C27277" t="s">
        <v>712</v>
      </c>
      <c r="D27277" s="21" t="s">
        <v>34</v>
      </c>
      <c r="E27277" s="21" t="s">
        <v>1089</v>
      </c>
      <c r="F27277">
        <v>1030227</v>
      </c>
      <c r="G27277" t="s">
        <v>5679</v>
      </c>
      <c r="H27277" s="21">
        <v>603.16999999999996</v>
      </c>
    </row>
    <row r="27278" spans="1:8" customFormat="1" x14ac:dyDescent="0.25">
      <c r="A27278" t="str">
        <f>"5018033"</f>
        <v>5018033</v>
      </c>
      <c r="B27278" t="s">
        <v>19503</v>
      </c>
      <c r="C27278" t="s">
        <v>269</v>
      </c>
      <c r="D27278" s="21" t="s">
        <v>34</v>
      </c>
      <c r="E27278" s="21" t="s">
        <v>35</v>
      </c>
      <c r="F27278">
        <v>9500139</v>
      </c>
      <c r="G27278" t="s">
        <v>6892</v>
      </c>
      <c r="H27278" s="21">
        <v>603.16999999999996</v>
      </c>
    </row>
    <row r="27279" spans="1:8" customFormat="1" x14ac:dyDescent="0.25">
      <c r="A27279" t="str">
        <f>"7222215"</f>
        <v>7222215</v>
      </c>
      <c r="B27279" t="s">
        <v>16582</v>
      </c>
      <c r="C27279" t="s">
        <v>1782</v>
      </c>
      <c r="D27279" s="21" t="s">
        <v>34</v>
      </c>
      <c r="E27279" s="21" t="s">
        <v>35</v>
      </c>
      <c r="F27279">
        <v>12720071</v>
      </c>
      <c r="G27279" t="s">
        <v>783</v>
      </c>
      <c r="H27279" s="21">
        <v>603.16999999999996</v>
      </c>
    </row>
    <row r="27280" spans="1:8" customFormat="1" x14ac:dyDescent="0.25">
      <c r="A27280" t="str">
        <f>"7221107"</f>
        <v>7221107</v>
      </c>
      <c r="B27280" t="s">
        <v>4535</v>
      </c>
      <c r="C27280" t="s">
        <v>209</v>
      </c>
      <c r="D27280" s="21" t="s">
        <v>34</v>
      </c>
      <c r="E27280" s="21" t="s">
        <v>71</v>
      </c>
      <c r="F27280">
        <v>12720079</v>
      </c>
      <c r="G27280" t="s">
        <v>4028</v>
      </c>
      <c r="H27280" s="21">
        <v>603.04</v>
      </c>
    </row>
    <row r="27281" spans="1:8" customFormat="1" x14ac:dyDescent="0.25">
      <c r="A27281" t="str">
        <f>"425491"</f>
        <v>425491</v>
      </c>
      <c r="B27281" t="s">
        <v>19895</v>
      </c>
      <c r="C27281" t="s">
        <v>169</v>
      </c>
      <c r="D27281" s="21" t="s">
        <v>34</v>
      </c>
      <c r="E27281" s="21" t="s">
        <v>35</v>
      </c>
      <c r="F27281">
        <v>1420106</v>
      </c>
      <c r="G27281" t="s">
        <v>6244</v>
      </c>
      <c r="H27281" s="21">
        <v>603</v>
      </c>
    </row>
    <row r="27282" spans="1:8" customFormat="1" x14ac:dyDescent="0.25">
      <c r="A27282" t="str">
        <f>"5730032"</f>
        <v>5730032</v>
      </c>
      <c r="B27282" t="s">
        <v>3890</v>
      </c>
      <c r="C27282" t="s">
        <v>209</v>
      </c>
      <c r="D27282" s="21" t="s">
        <v>34</v>
      </c>
      <c r="E27282" s="21" t="s">
        <v>35</v>
      </c>
      <c r="F27282">
        <v>6570174</v>
      </c>
      <c r="G27282" t="s">
        <v>12454</v>
      </c>
      <c r="H27282" s="21">
        <v>602.91999999999996</v>
      </c>
    </row>
    <row r="27283" spans="1:8" customFormat="1" x14ac:dyDescent="0.25">
      <c r="A27283" t="str">
        <f>"7729240"</f>
        <v>7729240</v>
      </c>
      <c r="B27283" t="s">
        <v>21332</v>
      </c>
      <c r="C27283" t="s">
        <v>55</v>
      </c>
      <c r="D27283" s="21" t="s">
        <v>34</v>
      </c>
      <c r="E27283" s="21" t="s">
        <v>71</v>
      </c>
      <c r="F27283">
        <v>8770937</v>
      </c>
      <c r="G27283" t="s">
        <v>2119</v>
      </c>
      <c r="H27283" s="21">
        <v>602.79</v>
      </c>
    </row>
    <row r="27284" spans="1:8" customFormat="1" x14ac:dyDescent="0.25">
      <c r="A27284" t="str">
        <f>"9533628"</f>
        <v>9533628</v>
      </c>
      <c r="B27284" t="s">
        <v>22373</v>
      </c>
      <c r="C27284" t="s">
        <v>249</v>
      </c>
      <c r="D27284" s="21" t="s">
        <v>34</v>
      </c>
      <c r="E27284" s="21" t="s">
        <v>254</v>
      </c>
      <c r="F27284">
        <v>4360123</v>
      </c>
      <c r="G27284" t="s">
        <v>4121</v>
      </c>
      <c r="H27284" s="21">
        <v>602.66999999999996</v>
      </c>
    </row>
    <row r="27285" spans="1:8" customFormat="1" x14ac:dyDescent="0.25">
      <c r="A27285" t="str">
        <f>"5617121"</f>
        <v>5617121</v>
      </c>
      <c r="B27285" t="s">
        <v>1825</v>
      </c>
      <c r="C27285" t="s">
        <v>415</v>
      </c>
      <c r="D27285" s="21" t="s">
        <v>34</v>
      </c>
      <c r="E27285" s="21" t="s">
        <v>71</v>
      </c>
      <c r="F27285">
        <v>3560050</v>
      </c>
      <c r="G27285" t="s">
        <v>5322</v>
      </c>
      <c r="H27285" s="21">
        <v>602.66999999999996</v>
      </c>
    </row>
    <row r="27286" spans="1:8" customFormat="1" x14ac:dyDescent="0.25">
      <c r="A27286" t="str">
        <f>"5618792"</f>
        <v>5618792</v>
      </c>
      <c r="B27286" t="s">
        <v>21120</v>
      </c>
      <c r="C27286" t="s">
        <v>206</v>
      </c>
      <c r="D27286" s="21" t="s">
        <v>34</v>
      </c>
      <c r="E27286" s="21" t="s">
        <v>35</v>
      </c>
      <c r="F27286">
        <v>3560060</v>
      </c>
      <c r="G27286" t="s">
        <v>8368</v>
      </c>
      <c r="H27286" s="21">
        <v>602.66999999999996</v>
      </c>
    </row>
    <row r="27287" spans="1:8" customFormat="1" x14ac:dyDescent="0.25">
      <c r="A27287" t="str">
        <f>"185652"</f>
        <v>185652</v>
      </c>
      <c r="B27287" t="s">
        <v>13100</v>
      </c>
      <c r="C27287" t="s">
        <v>209</v>
      </c>
      <c r="D27287" s="21" t="s">
        <v>34</v>
      </c>
      <c r="E27287" s="21" t="s">
        <v>254</v>
      </c>
      <c r="F27287">
        <v>4180057</v>
      </c>
      <c r="G27287" t="s">
        <v>9021</v>
      </c>
      <c r="H27287" s="21">
        <v>602.66999999999996</v>
      </c>
    </row>
    <row r="27288" spans="1:8" customFormat="1" x14ac:dyDescent="0.25">
      <c r="A27288" t="str">
        <f>"1314494"</f>
        <v>1314494</v>
      </c>
      <c r="B27288" t="s">
        <v>771</v>
      </c>
      <c r="C27288" t="s">
        <v>187</v>
      </c>
      <c r="D27288" s="21" t="s">
        <v>34</v>
      </c>
      <c r="E27288" s="21" t="s">
        <v>35</v>
      </c>
      <c r="F27288">
        <v>13130004</v>
      </c>
      <c r="G27288" t="s">
        <v>942</v>
      </c>
      <c r="H27288" s="21">
        <v>602.66999999999996</v>
      </c>
    </row>
    <row r="27289" spans="1:8" customFormat="1" x14ac:dyDescent="0.25">
      <c r="A27289" t="str">
        <f>"1314666"</f>
        <v>1314666</v>
      </c>
      <c r="B27289" t="s">
        <v>4770</v>
      </c>
      <c r="C27289" t="s">
        <v>1354</v>
      </c>
      <c r="D27289" s="21" t="s">
        <v>34</v>
      </c>
      <c r="E27289" s="21" t="s">
        <v>254</v>
      </c>
      <c r="F27289">
        <v>13130162</v>
      </c>
      <c r="G27289" t="s">
        <v>13411</v>
      </c>
      <c r="H27289" s="21">
        <v>602.66999999999996</v>
      </c>
    </row>
    <row r="27290" spans="1:8" customFormat="1" x14ac:dyDescent="0.25">
      <c r="A27290" t="str">
        <f>"7834015"</f>
        <v>7834015</v>
      </c>
      <c r="B27290" t="s">
        <v>4449</v>
      </c>
      <c r="C27290" t="s">
        <v>1559</v>
      </c>
      <c r="D27290" s="21" t="s">
        <v>34</v>
      </c>
      <c r="E27290" s="21" t="s">
        <v>35</v>
      </c>
      <c r="F27290">
        <v>8781006</v>
      </c>
      <c r="G27290" t="s">
        <v>5376</v>
      </c>
      <c r="H27290" s="21">
        <v>602.66999999999996</v>
      </c>
    </row>
    <row r="27291" spans="1:8" customFormat="1" x14ac:dyDescent="0.25">
      <c r="A27291" t="str">
        <f>"3716076"</f>
        <v>3716076</v>
      </c>
      <c r="B27291" t="s">
        <v>20508</v>
      </c>
      <c r="C27291" t="s">
        <v>459</v>
      </c>
      <c r="D27291" s="21" t="s">
        <v>34</v>
      </c>
      <c r="E27291" s="21" t="s">
        <v>71</v>
      </c>
      <c r="F27291">
        <v>4370478</v>
      </c>
      <c r="G27291" t="s">
        <v>4735</v>
      </c>
      <c r="H27291" s="21">
        <v>602.66999999999996</v>
      </c>
    </row>
    <row r="27292" spans="1:8" customFormat="1" x14ac:dyDescent="0.25">
      <c r="A27292" t="str">
        <f>"647075"</f>
        <v>647075</v>
      </c>
      <c r="B27292" t="s">
        <v>19727</v>
      </c>
      <c r="C27292" t="s">
        <v>202</v>
      </c>
      <c r="D27292" s="21" t="s">
        <v>34</v>
      </c>
      <c r="E27292" s="21" t="s">
        <v>71</v>
      </c>
      <c r="F27292">
        <v>10640019</v>
      </c>
      <c r="G27292" t="s">
        <v>3123</v>
      </c>
      <c r="H27292" s="21">
        <v>602.66999999999996</v>
      </c>
    </row>
    <row r="27293" spans="1:8" customFormat="1" x14ac:dyDescent="0.25">
      <c r="A27293" t="str">
        <f>"6229350"</f>
        <v>6229350</v>
      </c>
      <c r="B27293" t="s">
        <v>2480</v>
      </c>
      <c r="C27293" t="s">
        <v>547</v>
      </c>
      <c r="D27293" s="21" t="s">
        <v>34</v>
      </c>
      <c r="E27293" s="21" t="s">
        <v>71</v>
      </c>
      <c r="F27293">
        <v>7620049</v>
      </c>
      <c r="G27293" t="s">
        <v>1176</v>
      </c>
      <c r="H27293" s="21">
        <v>602.66999999999996</v>
      </c>
    </row>
    <row r="27294" spans="1:8" customFormat="1" x14ac:dyDescent="0.25">
      <c r="A27294" t="str">
        <f>"064868"</f>
        <v>064868</v>
      </c>
      <c r="B27294" t="s">
        <v>27966</v>
      </c>
      <c r="C27294" t="s">
        <v>336</v>
      </c>
      <c r="D27294" s="21" t="s">
        <v>34</v>
      </c>
      <c r="E27294" s="21" t="s">
        <v>71</v>
      </c>
      <c r="F27294">
        <v>13060064</v>
      </c>
      <c r="G27294" t="s">
        <v>976</v>
      </c>
      <c r="H27294" s="21">
        <v>602.66999999999996</v>
      </c>
    </row>
    <row r="27295" spans="1:8" customFormat="1" x14ac:dyDescent="0.25">
      <c r="A27295" t="str">
        <f>"8523596"</f>
        <v>8523596</v>
      </c>
      <c r="B27295" t="s">
        <v>3849</v>
      </c>
      <c r="C27295" t="s">
        <v>2907</v>
      </c>
      <c r="D27295" s="21" t="s">
        <v>34</v>
      </c>
      <c r="E27295" s="21" t="s">
        <v>35</v>
      </c>
      <c r="F27295">
        <v>12850108</v>
      </c>
      <c r="G27295" t="s">
        <v>11093</v>
      </c>
      <c r="H27295" s="21">
        <v>602.66999999999996</v>
      </c>
    </row>
    <row r="27296" spans="1:8" customFormat="1" x14ac:dyDescent="0.25">
      <c r="A27296" t="str">
        <f>"3810719"</f>
        <v>3810719</v>
      </c>
      <c r="B27296" t="s">
        <v>19212</v>
      </c>
      <c r="C27296" t="s">
        <v>1271</v>
      </c>
      <c r="D27296" s="21" t="s">
        <v>34</v>
      </c>
      <c r="E27296" s="21" t="s">
        <v>1089</v>
      </c>
      <c r="F27296">
        <v>1380241</v>
      </c>
      <c r="G27296" t="s">
        <v>2819</v>
      </c>
      <c r="H27296" s="21">
        <v>602.66999999999996</v>
      </c>
    </row>
    <row r="27297" spans="1:8" customFormat="1" x14ac:dyDescent="0.25">
      <c r="A27297" t="str">
        <f>"6010430"</f>
        <v>6010430</v>
      </c>
      <c r="B27297" t="s">
        <v>27967</v>
      </c>
      <c r="C27297" t="s">
        <v>632</v>
      </c>
      <c r="D27297" s="21" t="s">
        <v>34</v>
      </c>
      <c r="E27297" s="21" t="s">
        <v>35</v>
      </c>
      <c r="F27297">
        <v>6510001</v>
      </c>
      <c r="G27297" t="s">
        <v>286</v>
      </c>
      <c r="H27297" s="21">
        <v>602.66999999999996</v>
      </c>
    </row>
    <row r="27298" spans="1:8" customFormat="1" x14ac:dyDescent="0.25">
      <c r="A27298" t="str">
        <f>"7717146"</f>
        <v>7717146</v>
      </c>
      <c r="B27298" t="s">
        <v>19548</v>
      </c>
      <c r="C27298" t="s">
        <v>547</v>
      </c>
      <c r="D27298" s="21" t="s">
        <v>34</v>
      </c>
      <c r="E27298" s="21" t="s">
        <v>254</v>
      </c>
      <c r="F27298">
        <v>8771304</v>
      </c>
      <c r="G27298" t="s">
        <v>5314</v>
      </c>
      <c r="H27298" s="21">
        <v>602.66999999999996</v>
      </c>
    </row>
    <row r="27299" spans="1:8" customFormat="1" x14ac:dyDescent="0.25">
      <c r="A27299" t="str">
        <f>"258821"</f>
        <v>258821</v>
      </c>
      <c r="B27299" t="s">
        <v>19480</v>
      </c>
      <c r="C27299" t="s">
        <v>462</v>
      </c>
      <c r="D27299" s="21" t="s">
        <v>34</v>
      </c>
      <c r="E27299" s="21" t="s">
        <v>35</v>
      </c>
      <c r="F27299">
        <v>2250007</v>
      </c>
      <c r="G27299" t="s">
        <v>1137</v>
      </c>
      <c r="H27299" s="21">
        <v>602.66999999999996</v>
      </c>
    </row>
    <row r="27300" spans="1:8" customFormat="1" x14ac:dyDescent="0.25">
      <c r="A27300" t="str">
        <f>"4929626"</f>
        <v>4929626</v>
      </c>
      <c r="B27300" t="s">
        <v>27968</v>
      </c>
      <c r="C27300" t="s">
        <v>60</v>
      </c>
      <c r="D27300" s="21" t="s">
        <v>34</v>
      </c>
      <c r="E27300" s="21" t="s">
        <v>35</v>
      </c>
      <c r="F27300">
        <v>12490088</v>
      </c>
      <c r="G27300" t="s">
        <v>10688</v>
      </c>
      <c r="H27300" s="21">
        <v>602.66999999999996</v>
      </c>
    </row>
    <row r="27301" spans="1:8" customFormat="1" x14ac:dyDescent="0.25">
      <c r="A27301" t="str">
        <f>"2814880"</f>
        <v>2814880</v>
      </c>
      <c r="B27301" t="s">
        <v>623</v>
      </c>
      <c r="C27301" t="s">
        <v>484</v>
      </c>
      <c r="D27301" s="21" t="s">
        <v>34</v>
      </c>
      <c r="E27301" s="21" t="s">
        <v>35</v>
      </c>
      <c r="F27301">
        <v>4280005</v>
      </c>
      <c r="G27301" t="s">
        <v>5760</v>
      </c>
      <c r="H27301" s="21">
        <v>602.66999999999996</v>
      </c>
    </row>
    <row r="27302" spans="1:8" customFormat="1" x14ac:dyDescent="0.25">
      <c r="A27302" t="str">
        <f>"175670"</f>
        <v>175670</v>
      </c>
      <c r="B27302" t="s">
        <v>20201</v>
      </c>
      <c r="C27302" t="s">
        <v>169</v>
      </c>
      <c r="D27302" s="21" t="s">
        <v>34</v>
      </c>
      <c r="E27302" s="21" t="s">
        <v>71</v>
      </c>
      <c r="F27302">
        <v>10160122</v>
      </c>
      <c r="G27302" t="s">
        <v>8169</v>
      </c>
      <c r="H27302" s="21">
        <v>602.66999999999996</v>
      </c>
    </row>
    <row r="27303" spans="1:8" customFormat="1" x14ac:dyDescent="0.25">
      <c r="A27303" t="str">
        <f>"2933495"</f>
        <v>2933495</v>
      </c>
      <c r="B27303" t="s">
        <v>16020</v>
      </c>
      <c r="C27303" t="s">
        <v>2322</v>
      </c>
      <c r="D27303" s="21" t="s">
        <v>34</v>
      </c>
      <c r="E27303" s="21" t="s">
        <v>35</v>
      </c>
      <c r="F27303">
        <v>3290014</v>
      </c>
      <c r="G27303" t="s">
        <v>10174</v>
      </c>
      <c r="H27303" s="21">
        <v>602.66999999999996</v>
      </c>
    </row>
    <row r="27304" spans="1:8" customFormat="1" x14ac:dyDescent="0.25">
      <c r="A27304" t="str">
        <f>"707219"</f>
        <v>707219</v>
      </c>
      <c r="B27304" t="s">
        <v>20942</v>
      </c>
      <c r="C27304" t="s">
        <v>151</v>
      </c>
      <c r="D27304" s="21" t="s">
        <v>34</v>
      </c>
      <c r="E27304" s="21" t="s">
        <v>71</v>
      </c>
      <c r="F27304">
        <v>2700074</v>
      </c>
      <c r="G27304" t="s">
        <v>27108</v>
      </c>
      <c r="H27304" s="21">
        <v>602.66999999999996</v>
      </c>
    </row>
    <row r="27305" spans="1:8" customFormat="1" x14ac:dyDescent="0.25">
      <c r="A27305" t="str">
        <f>"7716737"</f>
        <v>7716737</v>
      </c>
      <c r="B27305" t="s">
        <v>2405</v>
      </c>
      <c r="C27305" t="s">
        <v>2520</v>
      </c>
      <c r="D27305" s="21" t="s">
        <v>34</v>
      </c>
      <c r="E27305" s="21" t="s">
        <v>1089</v>
      </c>
      <c r="F27305">
        <v>8771236</v>
      </c>
      <c r="G27305" t="s">
        <v>386</v>
      </c>
      <c r="H27305" s="21">
        <v>602.66999999999996</v>
      </c>
    </row>
    <row r="27306" spans="1:8" customFormat="1" x14ac:dyDescent="0.25">
      <c r="A27306" t="str">
        <f>"4515254"</f>
        <v>4515254</v>
      </c>
      <c r="B27306" t="s">
        <v>27969</v>
      </c>
      <c r="C27306" t="s">
        <v>119</v>
      </c>
      <c r="D27306" s="21" t="s">
        <v>34</v>
      </c>
      <c r="E27306" s="21" t="s">
        <v>71</v>
      </c>
      <c r="F27306">
        <v>4450733</v>
      </c>
      <c r="G27306" t="s">
        <v>3567</v>
      </c>
      <c r="H27306" s="21">
        <v>602.66999999999996</v>
      </c>
    </row>
    <row r="27307" spans="1:8" customFormat="1" x14ac:dyDescent="0.25">
      <c r="A27307" t="str">
        <f>"2934701"</f>
        <v>2934701</v>
      </c>
      <c r="B27307" t="s">
        <v>20726</v>
      </c>
      <c r="C27307" t="s">
        <v>204</v>
      </c>
      <c r="D27307" s="21" t="s">
        <v>34</v>
      </c>
      <c r="E27307" s="21" t="s">
        <v>35</v>
      </c>
      <c r="F27307">
        <v>3290222</v>
      </c>
      <c r="G27307" t="s">
        <v>2259</v>
      </c>
      <c r="H27307" s="21">
        <v>602.66999999999996</v>
      </c>
    </row>
    <row r="27308" spans="1:8" customFormat="1" x14ac:dyDescent="0.25">
      <c r="A27308" t="str">
        <f>"8517628"</f>
        <v>8517628</v>
      </c>
      <c r="B27308" t="s">
        <v>18030</v>
      </c>
      <c r="C27308" t="s">
        <v>169</v>
      </c>
      <c r="D27308" s="21" t="s">
        <v>34</v>
      </c>
      <c r="E27308" s="21" t="s">
        <v>35</v>
      </c>
      <c r="F27308">
        <v>12850125</v>
      </c>
      <c r="G27308" t="s">
        <v>9898</v>
      </c>
      <c r="H27308" s="21">
        <v>602.66999999999996</v>
      </c>
    </row>
    <row r="27309" spans="1:8" customFormat="1" x14ac:dyDescent="0.25">
      <c r="A27309" t="str">
        <f>"653380"</f>
        <v>653380</v>
      </c>
      <c r="B27309" t="s">
        <v>2656</v>
      </c>
      <c r="C27309" t="s">
        <v>169</v>
      </c>
      <c r="D27309" s="21" t="s">
        <v>34</v>
      </c>
      <c r="E27309" s="21" t="s">
        <v>71</v>
      </c>
      <c r="F27309">
        <v>11650017</v>
      </c>
      <c r="G27309" t="s">
        <v>13273</v>
      </c>
      <c r="H27309" s="21">
        <v>602.66999999999996</v>
      </c>
    </row>
    <row r="27310" spans="1:8" customFormat="1" x14ac:dyDescent="0.25">
      <c r="A27310" t="str">
        <f>"555571"</f>
        <v>555571</v>
      </c>
      <c r="B27310" t="s">
        <v>21661</v>
      </c>
      <c r="C27310" t="s">
        <v>55</v>
      </c>
      <c r="D27310" s="21" t="s">
        <v>34</v>
      </c>
      <c r="E27310" s="21" t="s">
        <v>35</v>
      </c>
      <c r="F27310">
        <v>3220013</v>
      </c>
      <c r="G27310" t="s">
        <v>27198</v>
      </c>
      <c r="H27310" s="21">
        <v>602.66999999999996</v>
      </c>
    </row>
    <row r="27311" spans="1:8" customFormat="1" x14ac:dyDescent="0.25">
      <c r="A27311" t="str">
        <f>"5979467"</f>
        <v>5979467</v>
      </c>
      <c r="B27311" t="s">
        <v>13393</v>
      </c>
      <c r="C27311" t="s">
        <v>98</v>
      </c>
      <c r="D27311" s="21" t="s">
        <v>34</v>
      </c>
      <c r="E27311" s="21" t="s">
        <v>35</v>
      </c>
      <c r="F27311">
        <v>7590331</v>
      </c>
      <c r="G27311" t="s">
        <v>4882</v>
      </c>
      <c r="H27311" s="21">
        <v>602.66999999999996</v>
      </c>
    </row>
    <row r="27312" spans="1:8" customFormat="1" x14ac:dyDescent="0.25">
      <c r="A27312" t="str">
        <f>"5940356"</f>
        <v>5940356</v>
      </c>
      <c r="B27312" t="s">
        <v>21485</v>
      </c>
      <c r="C27312" t="s">
        <v>544</v>
      </c>
      <c r="D27312" s="21" t="s">
        <v>34</v>
      </c>
      <c r="E27312" s="21" t="s">
        <v>35</v>
      </c>
      <c r="F27312">
        <v>7590021</v>
      </c>
      <c r="G27312" t="s">
        <v>4910</v>
      </c>
      <c r="H27312" s="21">
        <v>602.66999999999996</v>
      </c>
    </row>
    <row r="27313" spans="1:8" customFormat="1" x14ac:dyDescent="0.25">
      <c r="A27313" t="str">
        <f>"2716829"</f>
        <v>2716829</v>
      </c>
      <c r="B27313" t="s">
        <v>946</v>
      </c>
      <c r="C27313" t="s">
        <v>147</v>
      </c>
      <c r="D27313" s="21" t="s">
        <v>34</v>
      </c>
      <c r="E27313" s="21" t="s">
        <v>35</v>
      </c>
      <c r="F27313">
        <v>9270095</v>
      </c>
      <c r="G27313" t="s">
        <v>1681</v>
      </c>
      <c r="H27313" s="21">
        <v>602.54</v>
      </c>
    </row>
    <row r="27314" spans="1:8" customFormat="1" x14ac:dyDescent="0.25">
      <c r="A27314" t="str">
        <f>"7211631"</f>
        <v>7211631</v>
      </c>
      <c r="B27314" t="s">
        <v>14670</v>
      </c>
      <c r="C27314" t="s">
        <v>1665</v>
      </c>
      <c r="D27314" s="21" t="s">
        <v>34</v>
      </c>
      <c r="E27314" s="21" t="s">
        <v>254</v>
      </c>
      <c r="F27314">
        <v>12720016</v>
      </c>
      <c r="G27314" t="s">
        <v>11791</v>
      </c>
      <c r="H27314" s="21">
        <v>602.41999999999996</v>
      </c>
    </row>
    <row r="27315" spans="1:8" customFormat="1" x14ac:dyDescent="0.25">
      <c r="A27315" t="str">
        <f>"7869855"</f>
        <v>7869855</v>
      </c>
      <c r="B27315" t="s">
        <v>21353</v>
      </c>
      <c r="C27315" t="s">
        <v>139</v>
      </c>
      <c r="D27315" s="21" t="s">
        <v>34</v>
      </c>
      <c r="E27315" s="21" t="s">
        <v>35</v>
      </c>
      <c r="F27315">
        <v>8780353</v>
      </c>
      <c r="G27315" t="s">
        <v>6524</v>
      </c>
      <c r="H27315" s="21">
        <v>602.41999999999996</v>
      </c>
    </row>
    <row r="27316" spans="1:8" customFormat="1" x14ac:dyDescent="0.25">
      <c r="A27316" t="str">
        <f>"784293"</f>
        <v>784293</v>
      </c>
      <c r="B27316" t="s">
        <v>1646</v>
      </c>
      <c r="C27316" t="s">
        <v>2520</v>
      </c>
      <c r="D27316" s="21" t="s">
        <v>34</v>
      </c>
      <c r="E27316" s="21" t="s">
        <v>1089</v>
      </c>
      <c r="F27316">
        <v>9270151</v>
      </c>
      <c r="G27316" t="s">
        <v>626</v>
      </c>
      <c r="H27316" s="21">
        <v>602.29</v>
      </c>
    </row>
    <row r="27317" spans="1:8" customFormat="1" x14ac:dyDescent="0.25">
      <c r="A27317" t="str">
        <f>"151929"</f>
        <v>151929</v>
      </c>
      <c r="B27317" t="s">
        <v>18403</v>
      </c>
      <c r="C27317" t="s">
        <v>4721</v>
      </c>
      <c r="D27317" s="21" t="s">
        <v>34</v>
      </c>
      <c r="E27317" s="21" t="s">
        <v>1089</v>
      </c>
      <c r="F27317">
        <v>1150303</v>
      </c>
      <c r="G27317" t="s">
        <v>5809</v>
      </c>
      <c r="H27317" s="21">
        <v>602.29</v>
      </c>
    </row>
    <row r="27318" spans="1:8" customFormat="1" x14ac:dyDescent="0.25">
      <c r="A27318" t="str">
        <f>"801407"</f>
        <v>801407</v>
      </c>
      <c r="B27318" t="s">
        <v>8882</v>
      </c>
      <c r="C27318" t="s">
        <v>3073</v>
      </c>
      <c r="D27318" s="21" t="s">
        <v>34</v>
      </c>
      <c r="E27318" s="21" t="s">
        <v>6185</v>
      </c>
      <c r="F27318">
        <v>7800064</v>
      </c>
      <c r="G27318" t="s">
        <v>4496</v>
      </c>
      <c r="H27318" s="21">
        <v>602.16999999999996</v>
      </c>
    </row>
    <row r="27319" spans="1:8" customFormat="1" x14ac:dyDescent="0.25">
      <c r="A27319" t="str">
        <f>"2712550"</f>
        <v>2712550</v>
      </c>
      <c r="B27319" t="s">
        <v>18997</v>
      </c>
      <c r="C27319" t="s">
        <v>1841</v>
      </c>
      <c r="D27319" s="21" t="s">
        <v>34</v>
      </c>
      <c r="E27319" s="21" t="s">
        <v>254</v>
      </c>
      <c r="F27319">
        <v>9270150</v>
      </c>
      <c r="G27319" t="s">
        <v>11661</v>
      </c>
      <c r="H27319" s="21">
        <v>602.16999999999996</v>
      </c>
    </row>
    <row r="27320" spans="1:8" customFormat="1" x14ac:dyDescent="0.25">
      <c r="A27320" t="str">
        <f>"6812143"</f>
        <v>6812143</v>
      </c>
      <c r="B27320" t="s">
        <v>27970</v>
      </c>
      <c r="C27320" t="s">
        <v>598</v>
      </c>
      <c r="D27320" s="21" t="s">
        <v>34</v>
      </c>
      <c r="E27320" s="21" t="s">
        <v>35</v>
      </c>
      <c r="F27320">
        <v>6680140</v>
      </c>
      <c r="G27320" t="s">
        <v>27516</v>
      </c>
      <c r="H27320" s="21">
        <v>602.16999999999996</v>
      </c>
    </row>
    <row r="27321" spans="1:8" customFormat="1" x14ac:dyDescent="0.25">
      <c r="A27321" t="str">
        <f>"149577"</f>
        <v>149577</v>
      </c>
      <c r="B27321" t="s">
        <v>27971</v>
      </c>
      <c r="C27321" t="s">
        <v>415</v>
      </c>
      <c r="D27321" s="21" t="s">
        <v>34</v>
      </c>
      <c r="E27321" s="21" t="s">
        <v>71</v>
      </c>
      <c r="F27321">
        <v>9140123</v>
      </c>
      <c r="G27321" t="s">
        <v>661</v>
      </c>
      <c r="H27321" s="21">
        <v>602.16999999999996</v>
      </c>
    </row>
    <row r="27322" spans="1:8" customFormat="1" x14ac:dyDescent="0.25">
      <c r="A27322" t="str">
        <f>"083487"</f>
        <v>083487</v>
      </c>
      <c r="B27322" t="s">
        <v>146</v>
      </c>
      <c r="C27322" t="s">
        <v>453</v>
      </c>
      <c r="D27322" s="21" t="s">
        <v>34</v>
      </c>
      <c r="E27322" s="21" t="s">
        <v>254</v>
      </c>
      <c r="F27322">
        <v>6080014</v>
      </c>
      <c r="G27322" t="s">
        <v>1272</v>
      </c>
      <c r="H27322" s="21">
        <v>602.16999999999996</v>
      </c>
    </row>
    <row r="27323" spans="1:8" customFormat="1" x14ac:dyDescent="0.25">
      <c r="A27323" t="str">
        <f>"7714941"</f>
        <v>7714941</v>
      </c>
      <c r="B27323" t="s">
        <v>19233</v>
      </c>
      <c r="C27323" t="s">
        <v>40</v>
      </c>
      <c r="D27323" s="21" t="s">
        <v>34</v>
      </c>
      <c r="E27323" s="21" t="s">
        <v>71</v>
      </c>
      <c r="F27323">
        <v>8770426</v>
      </c>
      <c r="G27323" t="s">
        <v>1847</v>
      </c>
      <c r="H27323" s="21">
        <v>602.16999999999996</v>
      </c>
    </row>
    <row r="27324" spans="1:8" customFormat="1" x14ac:dyDescent="0.25">
      <c r="A27324" t="str">
        <f>"5323590"</f>
        <v>5323590</v>
      </c>
      <c r="B27324" t="s">
        <v>2842</v>
      </c>
      <c r="C27324" t="s">
        <v>187</v>
      </c>
      <c r="D27324" s="21" t="s">
        <v>34</v>
      </c>
      <c r="E27324" s="21" t="s">
        <v>71</v>
      </c>
      <c r="F27324">
        <v>12538907</v>
      </c>
      <c r="G27324" t="s">
        <v>9299</v>
      </c>
      <c r="H27324" s="21">
        <v>602.16999999999996</v>
      </c>
    </row>
    <row r="27325" spans="1:8" customFormat="1" x14ac:dyDescent="0.25">
      <c r="A27325" t="str">
        <f>"9244835"</f>
        <v>9244835</v>
      </c>
      <c r="B27325" t="s">
        <v>19370</v>
      </c>
      <c r="C27325" t="s">
        <v>33</v>
      </c>
      <c r="D27325" s="21" t="s">
        <v>34</v>
      </c>
      <c r="E27325" s="21" t="s">
        <v>71</v>
      </c>
      <c r="F27325">
        <v>8921164</v>
      </c>
      <c r="G27325" t="s">
        <v>5203</v>
      </c>
      <c r="H27325" s="21">
        <v>602.16999999999996</v>
      </c>
    </row>
    <row r="27326" spans="1:8" customFormat="1" x14ac:dyDescent="0.25">
      <c r="A27326" t="str">
        <f>"889909"</f>
        <v>889909</v>
      </c>
      <c r="B27326" t="s">
        <v>18302</v>
      </c>
      <c r="C27326" t="s">
        <v>598</v>
      </c>
      <c r="D27326" s="21" t="s">
        <v>34</v>
      </c>
      <c r="E27326" s="21" t="s">
        <v>1089</v>
      </c>
      <c r="F27326">
        <v>6880051</v>
      </c>
      <c r="G27326" t="s">
        <v>6116</v>
      </c>
      <c r="H27326" s="21">
        <v>602.16999999999996</v>
      </c>
    </row>
    <row r="27327" spans="1:8" customFormat="1" x14ac:dyDescent="0.25">
      <c r="A27327" t="str">
        <f>"4421435"</f>
        <v>4421435</v>
      </c>
      <c r="B27327" t="s">
        <v>19211</v>
      </c>
      <c r="C27327" t="s">
        <v>926</v>
      </c>
      <c r="D27327" s="21" t="s">
        <v>34</v>
      </c>
      <c r="E27327" s="21" t="s">
        <v>71</v>
      </c>
      <c r="F27327">
        <v>12440070</v>
      </c>
      <c r="G27327" t="s">
        <v>5224</v>
      </c>
      <c r="H27327" s="21">
        <v>602.16999999999996</v>
      </c>
    </row>
    <row r="27328" spans="1:8" customFormat="1" x14ac:dyDescent="0.25">
      <c r="A27328" t="str">
        <f>"6716859"</f>
        <v>6716859</v>
      </c>
      <c r="B27328" t="s">
        <v>2118</v>
      </c>
      <c r="C27328" t="s">
        <v>249</v>
      </c>
      <c r="D27328" s="21" t="s">
        <v>34</v>
      </c>
      <c r="E27328" s="21" t="s">
        <v>35</v>
      </c>
      <c r="F27328">
        <v>6670200</v>
      </c>
      <c r="G27328" t="s">
        <v>27156</v>
      </c>
      <c r="H27328" s="21">
        <v>602.16999999999996</v>
      </c>
    </row>
    <row r="27329" spans="1:8" customFormat="1" x14ac:dyDescent="0.25">
      <c r="A27329" t="str">
        <f>"071512"</f>
        <v>071512</v>
      </c>
      <c r="B27329" t="s">
        <v>18926</v>
      </c>
      <c r="C27329" t="s">
        <v>598</v>
      </c>
      <c r="D27329" s="21" t="s">
        <v>34</v>
      </c>
      <c r="E27329" s="21" t="s">
        <v>254</v>
      </c>
      <c r="F27329">
        <v>1260035</v>
      </c>
      <c r="G27329" t="s">
        <v>9835</v>
      </c>
      <c r="H27329" s="21">
        <v>602.16999999999996</v>
      </c>
    </row>
    <row r="27330" spans="1:8" customFormat="1" x14ac:dyDescent="0.25">
      <c r="A27330" t="str">
        <f>"5942454"</f>
        <v>5942454</v>
      </c>
      <c r="B27330" t="s">
        <v>2405</v>
      </c>
      <c r="C27330" t="s">
        <v>1489</v>
      </c>
      <c r="D27330" s="21" t="s">
        <v>34</v>
      </c>
      <c r="E27330" s="21" t="s">
        <v>71</v>
      </c>
      <c r="F27330">
        <v>7590250</v>
      </c>
      <c r="G27330" t="s">
        <v>13017</v>
      </c>
      <c r="H27330" s="21">
        <v>602.16999999999996</v>
      </c>
    </row>
    <row r="27331" spans="1:8" customFormat="1" x14ac:dyDescent="0.25">
      <c r="A27331" t="str">
        <f>"866853"</f>
        <v>866853</v>
      </c>
      <c r="B27331" t="s">
        <v>17595</v>
      </c>
      <c r="C27331" t="s">
        <v>547</v>
      </c>
      <c r="D27331" s="21" t="s">
        <v>34</v>
      </c>
      <c r="E27331" s="21" t="s">
        <v>71</v>
      </c>
      <c r="F27331">
        <v>10860213</v>
      </c>
      <c r="G27331" t="s">
        <v>17902</v>
      </c>
      <c r="H27331" s="21">
        <v>602.16999999999996</v>
      </c>
    </row>
    <row r="27332" spans="1:8" customFormat="1" x14ac:dyDescent="0.25">
      <c r="A27332" t="str">
        <f>"514005"</f>
        <v>514005</v>
      </c>
      <c r="B27332" t="s">
        <v>392</v>
      </c>
      <c r="C27332" t="s">
        <v>109</v>
      </c>
      <c r="D27332" s="21" t="s">
        <v>34</v>
      </c>
      <c r="E27332" s="21" t="s">
        <v>71</v>
      </c>
      <c r="F27332">
        <v>6510074</v>
      </c>
      <c r="G27332" t="s">
        <v>20151</v>
      </c>
      <c r="H27332" s="21">
        <v>602.16999999999996</v>
      </c>
    </row>
    <row r="27333" spans="1:8" customFormat="1" x14ac:dyDescent="0.25">
      <c r="A27333" t="str">
        <f>"5620548"</f>
        <v>5620548</v>
      </c>
      <c r="B27333" t="s">
        <v>19991</v>
      </c>
      <c r="C27333" t="s">
        <v>1559</v>
      </c>
      <c r="D27333" s="21" t="s">
        <v>34</v>
      </c>
      <c r="E27333" s="21" t="s">
        <v>35</v>
      </c>
      <c r="F27333">
        <v>3560057</v>
      </c>
      <c r="G27333" t="s">
        <v>17793</v>
      </c>
      <c r="H27333" s="21">
        <v>602.16999999999996</v>
      </c>
    </row>
    <row r="27334" spans="1:8" customFormat="1" x14ac:dyDescent="0.25">
      <c r="A27334" t="str">
        <f>"11269"</f>
        <v>11269</v>
      </c>
      <c r="B27334" t="s">
        <v>12926</v>
      </c>
      <c r="C27334" t="s">
        <v>598</v>
      </c>
      <c r="D27334" s="21" t="s">
        <v>34</v>
      </c>
      <c r="E27334" s="21" t="s">
        <v>1089</v>
      </c>
      <c r="F27334">
        <v>11110009</v>
      </c>
      <c r="G27334" t="s">
        <v>6231</v>
      </c>
      <c r="H27334" s="21">
        <v>602.16999999999996</v>
      </c>
    </row>
    <row r="27335" spans="1:8" customFormat="1" x14ac:dyDescent="0.25">
      <c r="A27335" t="str">
        <f>"5325292"</f>
        <v>5325292</v>
      </c>
      <c r="B27335" t="s">
        <v>6454</v>
      </c>
      <c r="C27335" t="s">
        <v>119</v>
      </c>
      <c r="D27335" s="21" t="s">
        <v>34</v>
      </c>
      <c r="E27335" s="21" t="s">
        <v>35</v>
      </c>
      <c r="F27335">
        <v>12530018</v>
      </c>
      <c r="G27335" t="s">
        <v>8768</v>
      </c>
      <c r="H27335" s="21">
        <v>602.16999999999996</v>
      </c>
    </row>
    <row r="27336" spans="1:8" customFormat="1" x14ac:dyDescent="0.25">
      <c r="A27336" t="str">
        <f>"6231752"</f>
        <v>6231752</v>
      </c>
      <c r="B27336" t="s">
        <v>21254</v>
      </c>
      <c r="C27336" t="s">
        <v>3843</v>
      </c>
      <c r="D27336" s="21" t="s">
        <v>34</v>
      </c>
      <c r="E27336" s="21" t="s">
        <v>254</v>
      </c>
      <c r="F27336">
        <v>7620062</v>
      </c>
      <c r="G27336" t="s">
        <v>12602</v>
      </c>
      <c r="H27336" s="21">
        <v>602.16999999999996</v>
      </c>
    </row>
    <row r="27337" spans="1:8" customFormat="1" x14ac:dyDescent="0.25">
      <c r="A27337" t="str">
        <f>"7410157"</f>
        <v>7410157</v>
      </c>
      <c r="B27337" t="s">
        <v>20103</v>
      </c>
      <c r="C27337" t="s">
        <v>124</v>
      </c>
      <c r="D27337" s="21" t="s">
        <v>34</v>
      </c>
      <c r="E27337" s="21" t="s">
        <v>71</v>
      </c>
      <c r="F27337">
        <v>1740063</v>
      </c>
      <c r="G27337" t="s">
        <v>9745</v>
      </c>
      <c r="H27337" s="21">
        <v>602.16999999999996</v>
      </c>
    </row>
    <row r="27338" spans="1:8" customFormat="1" x14ac:dyDescent="0.25">
      <c r="A27338" t="str">
        <f>"571936"</f>
        <v>571936</v>
      </c>
      <c r="B27338" t="s">
        <v>19271</v>
      </c>
      <c r="C27338" t="s">
        <v>5861</v>
      </c>
      <c r="D27338" s="21" t="s">
        <v>34</v>
      </c>
      <c r="E27338" s="21" t="s">
        <v>254</v>
      </c>
      <c r="F27338">
        <v>6570093</v>
      </c>
      <c r="G27338" t="s">
        <v>6118</v>
      </c>
      <c r="H27338" s="21">
        <v>602.16999999999996</v>
      </c>
    </row>
    <row r="27339" spans="1:8" customFormat="1" x14ac:dyDescent="0.25">
      <c r="A27339" t="str">
        <f>"7840246"</f>
        <v>7840246</v>
      </c>
      <c r="B27339" t="s">
        <v>19594</v>
      </c>
      <c r="C27339" t="s">
        <v>87</v>
      </c>
      <c r="D27339" s="21" t="s">
        <v>34</v>
      </c>
      <c r="E27339" s="21" t="s">
        <v>71</v>
      </c>
      <c r="F27339">
        <v>8781105</v>
      </c>
      <c r="G27339" t="s">
        <v>27504</v>
      </c>
      <c r="H27339" s="21">
        <v>602.04</v>
      </c>
    </row>
    <row r="27340" spans="1:8" customFormat="1" x14ac:dyDescent="0.25">
      <c r="A27340" t="str">
        <f>"9B527"</f>
        <v>9B527</v>
      </c>
      <c r="B27340" t="s">
        <v>18643</v>
      </c>
      <c r="C27340" t="s">
        <v>3497</v>
      </c>
      <c r="D27340" s="21" t="s">
        <v>34</v>
      </c>
      <c r="E27340" s="21" t="s">
        <v>1089</v>
      </c>
      <c r="F27340" t="s">
        <v>2861</v>
      </c>
      <c r="G27340" t="s">
        <v>2862</v>
      </c>
      <c r="H27340" s="21">
        <v>601.91999999999996</v>
      </c>
    </row>
    <row r="27341" spans="1:8" customFormat="1" x14ac:dyDescent="0.25">
      <c r="A27341" t="str">
        <f>"8315151"</f>
        <v>8315151</v>
      </c>
      <c r="B27341" t="s">
        <v>21092</v>
      </c>
      <c r="C27341" t="s">
        <v>109</v>
      </c>
      <c r="D27341" s="21" t="s">
        <v>34</v>
      </c>
      <c r="E27341" s="21" t="s">
        <v>71</v>
      </c>
      <c r="F27341">
        <v>13830083</v>
      </c>
      <c r="G27341" t="s">
        <v>2159</v>
      </c>
      <c r="H27341" s="21">
        <v>601.91999999999996</v>
      </c>
    </row>
    <row r="27342" spans="1:8" customFormat="1" x14ac:dyDescent="0.25">
      <c r="A27342" t="str">
        <f>"7723216"</f>
        <v>7723216</v>
      </c>
      <c r="B27342" t="s">
        <v>18608</v>
      </c>
      <c r="C27342" t="s">
        <v>1675</v>
      </c>
      <c r="D27342" s="21" t="s">
        <v>34</v>
      </c>
      <c r="E27342" s="21" t="s">
        <v>35</v>
      </c>
      <c r="F27342">
        <v>8770377</v>
      </c>
      <c r="G27342" t="s">
        <v>4862</v>
      </c>
      <c r="H27342" s="21">
        <v>601.91999999999996</v>
      </c>
    </row>
    <row r="27343" spans="1:8" customFormat="1" x14ac:dyDescent="0.25">
      <c r="A27343" t="str">
        <f>"84102"</f>
        <v>84102</v>
      </c>
      <c r="B27343" t="s">
        <v>19447</v>
      </c>
      <c r="C27343" t="s">
        <v>2904</v>
      </c>
      <c r="D27343" s="21" t="s">
        <v>34</v>
      </c>
      <c r="E27343" s="21" t="s">
        <v>6185</v>
      </c>
      <c r="F27343">
        <v>13840012</v>
      </c>
      <c r="G27343" t="s">
        <v>5143</v>
      </c>
      <c r="H27343" s="21">
        <v>601.66999999999996</v>
      </c>
    </row>
    <row r="27344" spans="1:8" customFormat="1" x14ac:dyDescent="0.25">
      <c r="A27344" t="str">
        <f>"765064"</f>
        <v>765064</v>
      </c>
      <c r="B27344" t="s">
        <v>4825</v>
      </c>
      <c r="C27344" t="s">
        <v>453</v>
      </c>
      <c r="D27344" s="21" t="s">
        <v>34</v>
      </c>
      <c r="E27344" s="21" t="s">
        <v>1089</v>
      </c>
      <c r="F27344">
        <v>9760206</v>
      </c>
      <c r="G27344" t="s">
        <v>13046</v>
      </c>
      <c r="H27344" s="21">
        <v>601.66999999999996</v>
      </c>
    </row>
    <row r="27345" spans="1:8" customFormat="1" x14ac:dyDescent="0.25">
      <c r="A27345" t="str">
        <f>"169272"</f>
        <v>169272</v>
      </c>
      <c r="B27345" t="s">
        <v>9799</v>
      </c>
      <c r="C27345" t="s">
        <v>3784</v>
      </c>
      <c r="D27345" s="21" t="s">
        <v>34</v>
      </c>
      <c r="E27345" s="21" t="s">
        <v>1089</v>
      </c>
      <c r="F27345">
        <v>10160029</v>
      </c>
      <c r="G27345" t="s">
        <v>896</v>
      </c>
      <c r="H27345" s="21">
        <v>601.66999999999996</v>
      </c>
    </row>
    <row r="27346" spans="1:8" customFormat="1" x14ac:dyDescent="0.25">
      <c r="A27346" t="str">
        <f>"6225620"</f>
        <v>6225620</v>
      </c>
      <c r="B27346" t="s">
        <v>14960</v>
      </c>
      <c r="C27346" t="s">
        <v>719</v>
      </c>
      <c r="D27346" s="21" t="s">
        <v>34</v>
      </c>
      <c r="E27346" s="21" t="s">
        <v>35</v>
      </c>
      <c r="F27346">
        <v>7620176</v>
      </c>
      <c r="G27346" t="s">
        <v>3111</v>
      </c>
      <c r="H27346" s="21">
        <v>601.66999999999996</v>
      </c>
    </row>
    <row r="27347" spans="1:8" customFormat="1" x14ac:dyDescent="0.25">
      <c r="A27347" t="str">
        <f>"7840936"</f>
        <v>7840936</v>
      </c>
      <c r="B27347" t="s">
        <v>8713</v>
      </c>
      <c r="C27347" t="s">
        <v>269</v>
      </c>
      <c r="D27347" s="21" t="s">
        <v>34</v>
      </c>
      <c r="E27347" s="21" t="s">
        <v>254</v>
      </c>
      <c r="F27347">
        <v>8781162</v>
      </c>
      <c r="G27347" t="s">
        <v>7991</v>
      </c>
      <c r="H27347" s="21">
        <v>601.66999999999996</v>
      </c>
    </row>
    <row r="27348" spans="1:8" customFormat="1" x14ac:dyDescent="0.25">
      <c r="A27348" t="str">
        <f>"5976292"</f>
        <v>5976292</v>
      </c>
      <c r="B27348" t="s">
        <v>2656</v>
      </c>
      <c r="C27348" t="s">
        <v>43</v>
      </c>
      <c r="D27348" s="21" t="s">
        <v>34</v>
      </c>
      <c r="E27348" s="21" t="s">
        <v>35</v>
      </c>
      <c r="F27348">
        <v>7590005</v>
      </c>
      <c r="G27348" t="s">
        <v>540</v>
      </c>
      <c r="H27348" s="21">
        <v>601.66999999999996</v>
      </c>
    </row>
    <row r="27349" spans="1:8" customFormat="1" x14ac:dyDescent="0.25">
      <c r="A27349" t="str">
        <f>"7635228"</f>
        <v>7635228</v>
      </c>
      <c r="B27349" t="s">
        <v>10782</v>
      </c>
      <c r="C27349" t="s">
        <v>127</v>
      </c>
      <c r="D27349" s="21" t="s">
        <v>34</v>
      </c>
      <c r="E27349" s="21" t="s">
        <v>35</v>
      </c>
      <c r="F27349">
        <v>9760425</v>
      </c>
      <c r="G27349" t="s">
        <v>5012</v>
      </c>
      <c r="H27349" s="21">
        <v>601.66999999999996</v>
      </c>
    </row>
    <row r="27350" spans="1:8" customFormat="1" x14ac:dyDescent="0.25">
      <c r="A27350" t="str">
        <f>"3727486"</f>
        <v>3727486</v>
      </c>
      <c r="B27350" t="s">
        <v>2403</v>
      </c>
      <c r="C27350" t="s">
        <v>275</v>
      </c>
      <c r="D27350" s="21" t="s">
        <v>34</v>
      </c>
      <c r="E27350" s="21" t="s">
        <v>35</v>
      </c>
      <c r="F27350">
        <v>4370465</v>
      </c>
      <c r="G27350" t="s">
        <v>26922</v>
      </c>
      <c r="H27350" s="21">
        <v>601.66999999999996</v>
      </c>
    </row>
    <row r="27351" spans="1:8" customFormat="1" x14ac:dyDescent="0.25">
      <c r="A27351" t="str">
        <f>"6219360"</f>
        <v>6219360</v>
      </c>
      <c r="B27351" t="s">
        <v>14549</v>
      </c>
      <c r="C27351" t="s">
        <v>515</v>
      </c>
      <c r="D27351" s="21" t="s">
        <v>34</v>
      </c>
      <c r="E27351" s="21" t="s">
        <v>35</v>
      </c>
      <c r="F27351">
        <v>7620154</v>
      </c>
      <c r="G27351" t="s">
        <v>13064</v>
      </c>
      <c r="H27351" s="21">
        <v>601.66999999999996</v>
      </c>
    </row>
    <row r="27352" spans="1:8" customFormat="1" x14ac:dyDescent="0.25">
      <c r="A27352" t="str">
        <f>"7636710"</f>
        <v>7636710</v>
      </c>
      <c r="B27352" t="s">
        <v>19571</v>
      </c>
      <c r="C27352" t="s">
        <v>169</v>
      </c>
      <c r="D27352" s="21" t="s">
        <v>34</v>
      </c>
      <c r="E27352" s="21" t="s">
        <v>71</v>
      </c>
      <c r="F27352">
        <v>9760449</v>
      </c>
      <c r="G27352" t="s">
        <v>4848</v>
      </c>
      <c r="H27352" s="21">
        <v>601.66999999999996</v>
      </c>
    </row>
    <row r="27353" spans="1:8" customFormat="1" x14ac:dyDescent="0.25">
      <c r="A27353" t="str">
        <f>"043379"</f>
        <v>043379</v>
      </c>
      <c r="B27353" t="s">
        <v>22379</v>
      </c>
      <c r="C27353" t="s">
        <v>109</v>
      </c>
      <c r="D27353" s="21" t="s">
        <v>34</v>
      </c>
      <c r="E27353" s="21" t="s">
        <v>254</v>
      </c>
      <c r="F27353">
        <v>13040025</v>
      </c>
      <c r="G27353" t="s">
        <v>6715</v>
      </c>
      <c r="H27353" s="21">
        <v>601.66999999999996</v>
      </c>
    </row>
    <row r="27354" spans="1:8" customFormat="1" x14ac:dyDescent="0.25">
      <c r="A27354" t="str">
        <f>"9443152"</f>
        <v>9443152</v>
      </c>
      <c r="B27354" t="s">
        <v>19961</v>
      </c>
      <c r="C27354" t="s">
        <v>169</v>
      </c>
      <c r="D27354" s="21" t="s">
        <v>34</v>
      </c>
      <c r="E27354" s="21" t="s">
        <v>71</v>
      </c>
      <c r="F27354">
        <v>8940866</v>
      </c>
      <c r="G27354" t="s">
        <v>519</v>
      </c>
      <c r="H27354" s="21">
        <v>601.66999999999996</v>
      </c>
    </row>
    <row r="27355" spans="1:8" customFormat="1" x14ac:dyDescent="0.25">
      <c r="A27355" t="str">
        <f>"7622021"</f>
        <v>7622021</v>
      </c>
      <c r="B27355" t="s">
        <v>20053</v>
      </c>
      <c r="C27355" t="s">
        <v>415</v>
      </c>
      <c r="D27355" s="21" t="s">
        <v>34</v>
      </c>
      <c r="E27355" s="21" t="s">
        <v>71</v>
      </c>
      <c r="F27355">
        <v>9760417</v>
      </c>
      <c r="G27355" t="s">
        <v>11996</v>
      </c>
      <c r="H27355" s="21">
        <v>601.66999999999996</v>
      </c>
    </row>
    <row r="27356" spans="1:8" customFormat="1" x14ac:dyDescent="0.25">
      <c r="A27356" t="str">
        <f>"5327108"</f>
        <v>5327108</v>
      </c>
      <c r="B27356" t="s">
        <v>2711</v>
      </c>
      <c r="C27356" t="s">
        <v>263</v>
      </c>
      <c r="D27356" s="21" t="s">
        <v>34</v>
      </c>
      <c r="E27356" s="21" t="s">
        <v>71</v>
      </c>
      <c r="F27356">
        <v>12530041</v>
      </c>
      <c r="G27356" t="s">
        <v>27057</v>
      </c>
      <c r="H27356" s="21">
        <v>601.66999999999996</v>
      </c>
    </row>
    <row r="27357" spans="1:8" customFormat="1" x14ac:dyDescent="0.25">
      <c r="A27357" t="str">
        <f>"61549"</f>
        <v>61549</v>
      </c>
      <c r="B27357" t="s">
        <v>19117</v>
      </c>
      <c r="C27357" t="s">
        <v>1841</v>
      </c>
      <c r="D27357" s="21" t="s">
        <v>34</v>
      </c>
      <c r="E27357" s="21" t="s">
        <v>254</v>
      </c>
      <c r="F27357">
        <v>9610040</v>
      </c>
      <c r="G27357" t="s">
        <v>10321</v>
      </c>
      <c r="H27357" s="21">
        <v>601.66999999999996</v>
      </c>
    </row>
    <row r="27358" spans="1:8" customFormat="1" x14ac:dyDescent="0.25">
      <c r="A27358" t="str">
        <f>"7641987"</f>
        <v>7641987</v>
      </c>
      <c r="B27358" t="s">
        <v>8285</v>
      </c>
      <c r="C27358" t="s">
        <v>269</v>
      </c>
      <c r="D27358" s="21" t="s">
        <v>34</v>
      </c>
      <c r="E27358" s="21" t="s">
        <v>35</v>
      </c>
      <c r="F27358">
        <v>9760136</v>
      </c>
      <c r="G27358" t="s">
        <v>5035</v>
      </c>
      <c r="H27358" s="21">
        <v>601.66999999999996</v>
      </c>
    </row>
    <row r="27359" spans="1:8" customFormat="1" x14ac:dyDescent="0.25">
      <c r="A27359" t="str">
        <f>"9419890"</f>
        <v>9419890</v>
      </c>
      <c r="B27359" t="s">
        <v>1531</v>
      </c>
      <c r="C27359" t="s">
        <v>879</v>
      </c>
      <c r="D27359" s="21" t="s">
        <v>34</v>
      </c>
      <c r="E27359" s="21" t="s">
        <v>254</v>
      </c>
      <c r="F27359">
        <v>8940326</v>
      </c>
      <c r="G27359" t="s">
        <v>659</v>
      </c>
      <c r="H27359" s="21">
        <v>601.66999999999996</v>
      </c>
    </row>
    <row r="27360" spans="1:8" customFormat="1" x14ac:dyDescent="0.25">
      <c r="A27360" t="str">
        <f>"184150"</f>
        <v>184150</v>
      </c>
      <c r="B27360" t="s">
        <v>9431</v>
      </c>
      <c r="C27360" t="s">
        <v>288</v>
      </c>
      <c r="D27360" s="21" t="s">
        <v>34</v>
      </c>
      <c r="E27360" s="21" t="s">
        <v>254</v>
      </c>
      <c r="F27360">
        <v>4370001</v>
      </c>
      <c r="G27360" t="s">
        <v>957</v>
      </c>
      <c r="H27360" s="21">
        <v>601.66999999999996</v>
      </c>
    </row>
    <row r="27361" spans="1:8" customFormat="1" x14ac:dyDescent="0.25">
      <c r="A27361" t="str">
        <f>"7633323"</f>
        <v>7633323</v>
      </c>
      <c r="B27361" t="s">
        <v>19756</v>
      </c>
      <c r="C27361" t="s">
        <v>1914</v>
      </c>
      <c r="D27361" s="21" t="s">
        <v>34</v>
      </c>
      <c r="E27361" s="21" t="s">
        <v>254</v>
      </c>
      <c r="F27361">
        <v>9760230</v>
      </c>
      <c r="G27361" t="s">
        <v>12511</v>
      </c>
      <c r="H27361" s="21">
        <v>601.66999999999996</v>
      </c>
    </row>
    <row r="27362" spans="1:8" customFormat="1" x14ac:dyDescent="0.25">
      <c r="A27362" t="str">
        <f>"6227498"</f>
        <v>6227498</v>
      </c>
      <c r="B27362" t="s">
        <v>19567</v>
      </c>
      <c r="C27362" t="s">
        <v>2546</v>
      </c>
      <c r="D27362" s="21" t="s">
        <v>34</v>
      </c>
      <c r="E27362" s="21" t="s">
        <v>1089</v>
      </c>
      <c r="F27362">
        <v>7620047</v>
      </c>
      <c r="G27362" t="s">
        <v>16200</v>
      </c>
      <c r="H27362" s="21">
        <v>601.66999999999996</v>
      </c>
    </row>
    <row r="27363" spans="1:8" customFormat="1" x14ac:dyDescent="0.25">
      <c r="A27363" t="str">
        <f>"4443804"</f>
        <v>4443804</v>
      </c>
      <c r="B27363" t="s">
        <v>19123</v>
      </c>
      <c r="C27363" t="s">
        <v>55</v>
      </c>
      <c r="D27363" s="21" t="s">
        <v>34</v>
      </c>
      <c r="E27363" s="21" t="s">
        <v>35</v>
      </c>
      <c r="F27363">
        <v>12440056</v>
      </c>
      <c r="G27363" t="s">
        <v>2037</v>
      </c>
      <c r="H27363" s="21">
        <v>601.66999999999996</v>
      </c>
    </row>
    <row r="27364" spans="1:8" customFormat="1" x14ac:dyDescent="0.25">
      <c r="A27364" t="str">
        <f>"9146252"</f>
        <v>9146252</v>
      </c>
      <c r="B27364" t="s">
        <v>21728</v>
      </c>
      <c r="C27364" t="s">
        <v>60</v>
      </c>
      <c r="D27364" s="21" t="s">
        <v>34</v>
      </c>
      <c r="E27364" s="21" t="s">
        <v>35</v>
      </c>
      <c r="F27364">
        <v>8911050</v>
      </c>
      <c r="G27364" t="s">
        <v>1606</v>
      </c>
      <c r="H27364" s="21">
        <v>601.54</v>
      </c>
    </row>
    <row r="27365" spans="1:8" customFormat="1" x14ac:dyDescent="0.25">
      <c r="A27365" t="str">
        <f>"6112932"</f>
        <v>6112932</v>
      </c>
      <c r="B27365" t="s">
        <v>24317</v>
      </c>
      <c r="C27365" t="s">
        <v>124</v>
      </c>
      <c r="D27365" s="21" t="s">
        <v>34</v>
      </c>
      <c r="E27365" s="21" t="s">
        <v>254</v>
      </c>
      <c r="F27365">
        <v>9610035</v>
      </c>
      <c r="G27365" t="s">
        <v>7061</v>
      </c>
      <c r="H27365" s="21">
        <v>601.5</v>
      </c>
    </row>
    <row r="27366" spans="1:8" customFormat="1" x14ac:dyDescent="0.25">
      <c r="A27366" t="str">
        <f>"4514471"</f>
        <v>4514471</v>
      </c>
      <c r="B27366" t="s">
        <v>19340</v>
      </c>
      <c r="C27366" t="s">
        <v>17458</v>
      </c>
      <c r="D27366" s="21" t="s">
        <v>34</v>
      </c>
      <c r="E27366" s="21" t="s">
        <v>71</v>
      </c>
      <c r="F27366">
        <v>4450737</v>
      </c>
      <c r="G27366" t="s">
        <v>11798</v>
      </c>
      <c r="H27366" s="21">
        <v>601.41999999999996</v>
      </c>
    </row>
    <row r="27367" spans="1:8" customFormat="1" x14ac:dyDescent="0.25">
      <c r="A27367" t="str">
        <f>"6315645"</f>
        <v>6315645</v>
      </c>
      <c r="B27367" t="s">
        <v>21693</v>
      </c>
      <c r="C27367" t="s">
        <v>147</v>
      </c>
      <c r="D27367" s="21" t="s">
        <v>34</v>
      </c>
      <c r="E27367" s="21" t="s">
        <v>35</v>
      </c>
      <c r="F27367">
        <v>1630085</v>
      </c>
      <c r="G27367" t="s">
        <v>2968</v>
      </c>
      <c r="H27367" s="21">
        <v>601.41999999999996</v>
      </c>
    </row>
    <row r="27368" spans="1:8" customFormat="1" x14ac:dyDescent="0.25">
      <c r="A27368" t="str">
        <f>"9534048"</f>
        <v>9534048</v>
      </c>
      <c r="B27368" t="s">
        <v>23667</v>
      </c>
      <c r="C27368" t="s">
        <v>269</v>
      </c>
      <c r="D27368" s="21" t="s">
        <v>34</v>
      </c>
      <c r="E27368" s="21" t="s">
        <v>35</v>
      </c>
      <c r="F27368">
        <v>8950481</v>
      </c>
      <c r="G27368" t="s">
        <v>1472</v>
      </c>
      <c r="H27368" s="21">
        <v>601.41999999999996</v>
      </c>
    </row>
    <row r="27369" spans="1:8" customFormat="1" x14ac:dyDescent="0.25">
      <c r="A27369" t="str">
        <f>"1612037"</f>
        <v>1612037</v>
      </c>
      <c r="B27369" t="s">
        <v>1451</v>
      </c>
      <c r="C27369" t="s">
        <v>484</v>
      </c>
      <c r="D27369" s="21" t="s">
        <v>34</v>
      </c>
      <c r="E27369" s="21" t="s">
        <v>35</v>
      </c>
      <c r="F27369">
        <v>10160024</v>
      </c>
      <c r="G27369" t="s">
        <v>511</v>
      </c>
      <c r="H27369" s="21">
        <v>601.29</v>
      </c>
    </row>
    <row r="27370" spans="1:8" customFormat="1" x14ac:dyDescent="0.25">
      <c r="A27370" t="str">
        <f>"5810374"</f>
        <v>5810374</v>
      </c>
      <c r="B27370" t="s">
        <v>13342</v>
      </c>
      <c r="C27370" t="s">
        <v>239</v>
      </c>
      <c r="D27370" s="21" t="s">
        <v>34</v>
      </c>
      <c r="E27370" s="21" t="s">
        <v>254</v>
      </c>
      <c r="F27370">
        <v>2580006</v>
      </c>
      <c r="G27370" t="s">
        <v>4813</v>
      </c>
      <c r="H27370" s="21">
        <v>601.29</v>
      </c>
    </row>
    <row r="27371" spans="1:8" customFormat="1" x14ac:dyDescent="0.25">
      <c r="A27371" t="str">
        <f>"6112576"</f>
        <v>6112576</v>
      </c>
      <c r="B27371" t="s">
        <v>10884</v>
      </c>
      <c r="C27371" t="s">
        <v>1597</v>
      </c>
      <c r="D27371" s="21" t="s">
        <v>34</v>
      </c>
      <c r="E27371" s="21" t="s">
        <v>35</v>
      </c>
      <c r="F27371">
        <v>9610017</v>
      </c>
      <c r="G27371" t="s">
        <v>12194</v>
      </c>
      <c r="H27371" s="21">
        <v>601.16999999999996</v>
      </c>
    </row>
    <row r="27372" spans="1:8" customFormat="1" x14ac:dyDescent="0.25">
      <c r="A27372" t="str">
        <f>"589482"</f>
        <v>589482</v>
      </c>
      <c r="B27372" t="s">
        <v>14832</v>
      </c>
      <c r="C27372" t="s">
        <v>204</v>
      </c>
      <c r="D27372" s="21" t="s">
        <v>34</v>
      </c>
      <c r="E27372" s="21" t="s">
        <v>35</v>
      </c>
      <c r="F27372">
        <v>2580010</v>
      </c>
      <c r="G27372" t="s">
        <v>1965</v>
      </c>
      <c r="H27372" s="21">
        <v>601.16999999999996</v>
      </c>
    </row>
    <row r="27373" spans="1:8" customFormat="1" x14ac:dyDescent="0.25">
      <c r="A27373" t="str">
        <f>"665572"</f>
        <v>665572</v>
      </c>
      <c r="B27373" t="s">
        <v>10686</v>
      </c>
      <c r="C27373" t="s">
        <v>33</v>
      </c>
      <c r="D27373" s="21" t="s">
        <v>34</v>
      </c>
      <c r="E27373" s="21" t="s">
        <v>35</v>
      </c>
      <c r="F27373">
        <v>11660007</v>
      </c>
      <c r="G27373" t="s">
        <v>5840</v>
      </c>
      <c r="H27373" s="21">
        <v>601.16999999999996</v>
      </c>
    </row>
    <row r="27374" spans="1:8" customFormat="1" x14ac:dyDescent="0.25">
      <c r="A27374" t="str">
        <f>"2612643"</f>
        <v>2612643</v>
      </c>
      <c r="B27374" t="s">
        <v>7086</v>
      </c>
      <c r="C27374" t="s">
        <v>1231</v>
      </c>
      <c r="D27374" s="21" t="s">
        <v>34</v>
      </c>
      <c r="E27374" s="21" t="s">
        <v>254</v>
      </c>
      <c r="F27374">
        <v>1260035</v>
      </c>
      <c r="G27374" t="s">
        <v>9835</v>
      </c>
      <c r="H27374" s="21">
        <v>601.16999999999996</v>
      </c>
    </row>
    <row r="27375" spans="1:8" customFormat="1" x14ac:dyDescent="0.25">
      <c r="A27375" t="str">
        <f>"3526417"</f>
        <v>3526417</v>
      </c>
      <c r="B27375" t="s">
        <v>20850</v>
      </c>
      <c r="C27375" t="s">
        <v>2479</v>
      </c>
      <c r="D27375" s="21" t="s">
        <v>34</v>
      </c>
      <c r="E27375" s="21" t="s">
        <v>254</v>
      </c>
      <c r="F27375">
        <v>3350209</v>
      </c>
      <c r="G27375" t="s">
        <v>3023</v>
      </c>
      <c r="H27375" s="21">
        <v>601.16999999999996</v>
      </c>
    </row>
    <row r="27376" spans="1:8" customFormat="1" x14ac:dyDescent="0.25">
      <c r="A27376" t="str">
        <f>"2721397"</f>
        <v>2721397</v>
      </c>
      <c r="B27376" t="s">
        <v>6860</v>
      </c>
      <c r="C27376" t="s">
        <v>275</v>
      </c>
      <c r="D27376" s="21" t="s">
        <v>34</v>
      </c>
      <c r="E27376" s="21" t="s">
        <v>35</v>
      </c>
      <c r="F27376">
        <v>9270047</v>
      </c>
      <c r="G27376" t="s">
        <v>4420</v>
      </c>
      <c r="H27376" s="21">
        <v>601.16999999999996</v>
      </c>
    </row>
    <row r="27377" spans="1:8" customFormat="1" x14ac:dyDescent="0.25">
      <c r="A27377" t="str">
        <f>"3722653"</f>
        <v>3722653</v>
      </c>
      <c r="B27377" t="s">
        <v>946</v>
      </c>
      <c r="C27377" t="s">
        <v>2520</v>
      </c>
      <c r="D27377" s="21" t="s">
        <v>34</v>
      </c>
      <c r="E27377" s="21" t="s">
        <v>254</v>
      </c>
      <c r="F27377">
        <v>4370615</v>
      </c>
      <c r="G27377" t="s">
        <v>7437</v>
      </c>
      <c r="H27377" s="21">
        <v>601.16999999999996</v>
      </c>
    </row>
    <row r="27378" spans="1:8" customFormat="1" x14ac:dyDescent="0.25">
      <c r="A27378" t="str">
        <f>"169932"</f>
        <v>169932</v>
      </c>
      <c r="B27378" t="s">
        <v>19414</v>
      </c>
      <c r="C27378" t="s">
        <v>124</v>
      </c>
      <c r="D27378" s="21" t="s">
        <v>34</v>
      </c>
      <c r="E27378" s="21" t="s">
        <v>35</v>
      </c>
      <c r="F27378">
        <v>10160023</v>
      </c>
      <c r="G27378" t="s">
        <v>2246</v>
      </c>
      <c r="H27378" s="21">
        <v>601.16999999999996</v>
      </c>
    </row>
    <row r="27379" spans="1:8" customFormat="1" x14ac:dyDescent="0.25">
      <c r="A27379" t="str">
        <f>"2112385"</f>
        <v>2112385</v>
      </c>
      <c r="B27379" t="s">
        <v>22010</v>
      </c>
      <c r="C27379" t="s">
        <v>1782</v>
      </c>
      <c r="D27379" s="21" t="s">
        <v>34</v>
      </c>
      <c r="E27379" s="21" t="s">
        <v>35</v>
      </c>
      <c r="F27379">
        <v>2210048</v>
      </c>
      <c r="G27379" t="s">
        <v>7499</v>
      </c>
      <c r="H27379" s="21">
        <v>601.16999999999996</v>
      </c>
    </row>
    <row r="27380" spans="1:8" customFormat="1" x14ac:dyDescent="0.25">
      <c r="A27380" t="str">
        <f>"8315526"</f>
        <v>8315526</v>
      </c>
      <c r="B27380" t="s">
        <v>15375</v>
      </c>
      <c r="C27380" t="s">
        <v>124</v>
      </c>
      <c r="D27380" s="21" t="s">
        <v>34</v>
      </c>
      <c r="E27380" s="21" t="s">
        <v>254</v>
      </c>
      <c r="F27380">
        <v>13830064</v>
      </c>
      <c r="G27380" t="s">
        <v>8410</v>
      </c>
      <c r="H27380" s="21">
        <v>601.16999999999996</v>
      </c>
    </row>
    <row r="27381" spans="1:8" customFormat="1" x14ac:dyDescent="0.25">
      <c r="A27381" t="str">
        <f>"7221266"</f>
        <v>7221266</v>
      </c>
      <c r="B27381" t="s">
        <v>2549</v>
      </c>
      <c r="C27381" t="s">
        <v>139</v>
      </c>
      <c r="D27381" s="21" t="s">
        <v>34</v>
      </c>
      <c r="E27381" s="21" t="s">
        <v>35</v>
      </c>
      <c r="F27381">
        <v>12720062</v>
      </c>
      <c r="G27381" t="s">
        <v>4026</v>
      </c>
      <c r="H27381" s="21">
        <v>601.16999999999996</v>
      </c>
    </row>
    <row r="27382" spans="1:8" customFormat="1" x14ac:dyDescent="0.25">
      <c r="A27382" t="str">
        <f>"9250884"</f>
        <v>9250884</v>
      </c>
      <c r="B27382" t="s">
        <v>6749</v>
      </c>
      <c r="C27382" t="s">
        <v>21123</v>
      </c>
      <c r="D27382" s="21" t="s">
        <v>34</v>
      </c>
      <c r="E27382" s="21" t="s">
        <v>71</v>
      </c>
      <c r="F27382">
        <v>8920031</v>
      </c>
      <c r="G27382" t="s">
        <v>552</v>
      </c>
      <c r="H27382" s="21">
        <v>601.16999999999996</v>
      </c>
    </row>
    <row r="27383" spans="1:8" customFormat="1" x14ac:dyDescent="0.25">
      <c r="A27383" t="str">
        <f>"3819873"</f>
        <v>3819873</v>
      </c>
      <c r="B27383" t="s">
        <v>16453</v>
      </c>
      <c r="C27383" t="s">
        <v>62</v>
      </c>
      <c r="D27383" s="21" t="s">
        <v>34</v>
      </c>
      <c r="E27383" s="21" t="s">
        <v>71</v>
      </c>
      <c r="F27383">
        <v>1380056</v>
      </c>
      <c r="G27383" t="s">
        <v>846</v>
      </c>
      <c r="H27383" s="21">
        <v>601.16999999999996</v>
      </c>
    </row>
    <row r="27384" spans="1:8" customFormat="1" x14ac:dyDescent="0.25">
      <c r="A27384" t="str">
        <f>"3534676"</f>
        <v>3534676</v>
      </c>
      <c r="B27384" t="s">
        <v>27972</v>
      </c>
      <c r="C27384" t="s">
        <v>388</v>
      </c>
      <c r="D27384" s="21" t="s">
        <v>34</v>
      </c>
      <c r="E27384" s="21" t="s">
        <v>35</v>
      </c>
      <c r="F27384">
        <v>3350041</v>
      </c>
      <c r="G27384" t="s">
        <v>1589</v>
      </c>
      <c r="H27384" s="21">
        <v>601.16999999999996</v>
      </c>
    </row>
    <row r="27385" spans="1:8" customFormat="1" x14ac:dyDescent="0.25">
      <c r="A27385" t="str">
        <f>"9317315"</f>
        <v>9317315</v>
      </c>
      <c r="B27385" t="s">
        <v>20339</v>
      </c>
      <c r="C27385" t="s">
        <v>40</v>
      </c>
      <c r="D27385" s="21" t="s">
        <v>34</v>
      </c>
      <c r="E27385" s="21" t="s">
        <v>254</v>
      </c>
      <c r="F27385">
        <v>8930113</v>
      </c>
      <c r="G27385" t="s">
        <v>368</v>
      </c>
      <c r="H27385" s="21">
        <v>601.16999999999996</v>
      </c>
    </row>
    <row r="27386" spans="1:8" customFormat="1" x14ac:dyDescent="0.25">
      <c r="A27386" t="str">
        <f>"2617553"</f>
        <v>2617553</v>
      </c>
      <c r="B27386" t="s">
        <v>4728</v>
      </c>
      <c r="C27386" t="s">
        <v>3073</v>
      </c>
      <c r="D27386" s="21" t="s">
        <v>34</v>
      </c>
      <c r="E27386" s="21" t="s">
        <v>254</v>
      </c>
      <c r="F27386">
        <v>1260060</v>
      </c>
      <c r="G27386" t="s">
        <v>3403</v>
      </c>
      <c r="H27386" s="21">
        <v>601.16999999999996</v>
      </c>
    </row>
    <row r="27387" spans="1:8" customFormat="1" x14ac:dyDescent="0.25">
      <c r="A27387" t="str">
        <f>"7626350"</f>
        <v>7626350</v>
      </c>
      <c r="B27387" t="s">
        <v>6210</v>
      </c>
      <c r="C27387" t="s">
        <v>415</v>
      </c>
      <c r="D27387" s="21" t="s">
        <v>34</v>
      </c>
      <c r="E27387" s="21" t="s">
        <v>1089</v>
      </c>
      <c r="F27387">
        <v>9760028</v>
      </c>
      <c r="G27387" t="s">
        <v>4086</v>
      </c>
      <c r="H27387" s="21">
        <v>601.16999999999996</v>
      </c>
    </row>
    <row r="27388" spans="1:8" customFormat="1" x14ac:dyDescent="0.25">
      <c r="A27388" t="str">
        <f>"735546"</f>
        <v>735546</v>
      </c>
      <c r="B27388" t="s">
        <v>19874</v>
      </c>
      <c r="C27388" t="s">
        <v>2365</v>
      </c>
      <c r="D27388" s="21" t="s">
        <v>34</v>
      </c>
      <c r="E27388" s="21" t="s">
        <v>71</v>
      </c>
      <c r="F27388">
        <v>1730076</v>
      </c>
      <c r="G27388" t="s">
        <v>936</v>
      </c>
      <c r="H27388" s="21">
        <v>601.16999999999996</v>
      </c>
    </row>
    <row r="27389" spans="1:8" customFormat="1" x14ac:dyDescent="0.25">
      <c r="A27389" t="str">
        <f>"3013065"</f>
        <v>3013065</v>
      </c>
      <c r="B27389" t="s">
        <v>19780</v>
      </c>
      <c r="C27389" t="s">
        <v>130</v>
      </c>
      <c r="D27389" s="21" t="s">
        <v>34</v>
      </c>
      <c r="E27389" s="21" t="s">
        <v>254</v>
      </c>
      <c r="F27389">
        <v>11300025</v>
      </c>
      <c r="G27389" t="s">
        <v>1211</v>
      </c>
      <c r="H27389" s="21">
        <v>601</v>
      </c>
    </row>
    <row r="27390" spans="1:8" customFormat="1" x14ac:dyDescent="0.25">
      <c r="A27390" t="str">
        <f>"3326054"</f>
        <v>3326054</v>
      </c>
      <c r="B27390" t="s">
        <v>17907</v>
      </c>
      <c r="C27390" t="s">
        <v>269</v>
      </c>
      <c r="D27390" s="21" t="s">
        <v>34</v>
      </c>
      <c r="E27390" s="21" t="s">
        <v>35</v>
      </c>
      <c r="F27390">
        <v>10330093</v>
      </c>
      <c r="G27390" t="s">
        <v>8324</v>
      </c>
      <c r="H27390" s="21">
        <v>600.91999999999996</v>
      </c>
    </row>
    <row r="27391" spans="1:8" customFormat="1" x14ac:dyDescent="0.25">
      <c r="A27391" t="str">
        <f>"5313881"</f>
        <v>5313881</v>
      </c>
      <c r="B27391" t="s">
        <v>4352</v>
      </c>
      <c r="C27391" t="s">
        <v>547</v>
      </c>
      <c r="D27391" s="21" t="s">
        <v>34</v>
      </c>
      <c r="E27391" s="21" t="s">
        <v>254</v>
      </c>
      <c r="F27391">
        <v>12530077</v>
      </c>
      <c r="G27391" t="s">
        <v>9191</v>
      </c>
      <c r="H27391" s="21">
        <v>600.91999999999996</v>
      </c>
    </row>
    <row r="27392" spans="1:8" customFormat="1" x14ac:dyDescent="0.25">
      <c r="A27392" t="str">
        <f>"5432377"</f>
        <v>5432377</v>
      </c>
      <c r="B27392" t="s">
        <v>22088</v>
      </c>
      <c r="C27392" t="s">
        <v>139</v>
      </c>
      <c r="D27392" s="21" t="s">
        <v>34</v>
      </c>
      <c r="E27392" s="21" t="s">
        <v>35</v>
      </c>
      <c r="F27392">
        <v>6540082</v>
      </c>
      <c r="G27392" t="s">
        <v>9816</v>
      </c>
      <c r="H27392" s="21">
        <v>600.66999999999996</v>
      </c>
    </row>
    <row r="27393" spans="1:8" customFormat="1" x14ac:dyDescent="0.25">
      <c r="A27393" t="str">
        <f>"6929753"</f>
        <v>6929753</v>
      </c>
      <c r="B27393" t="s">
        <v>4335</v>
      </c>
      <c r="C27393" t="s">
        <v>121</v>
      </c>
      <c r="D27393" s="21" t="s">
        <v>34</v>
      </c>
      <c r="E27393" s="21" t="s">
        <v>35</v>
      </c>
      <c r="F27393">
        <v>1690107</v>
      </c>
      <c r="G27393" t="s">
        <v>4163</v>
      </c>
      <c r="H27393" s="21">
        <v>600.66999999999996</v>
      </c>
    </row>
    <row r="27394" spans="1:8" customFormat="1" x14ac:dyDescent="0.25">
      <c r="A27394" t="str">
        <f>"434624"</f>
        <v>434624</v>
      </c>
      <c r="B27394" t="s">
        <v>22141</v>
      </c>
      <c r="C27394" t="s">
        <v>269</v>
      </c>
      <c r="D27394" s="21" t="s">
        <v>34</v>
      </c>
      <c r="E27394" s="21" t="s">
        <v>71</v>
      </c>
      <c r="F27394">
        <v>1420210</v>
      </c>
      <c r="G27394" t="s">
        <v>7943</v>
      </c>
      <c r="H27394" s="21">
        <v>600.66999999999996</v>
      </c>
    </row>
    <row r="27395" spans="1:8" customFormat="1" x14ac:dyDescent="0.25">
      <c r="A27395" t="str">
        <f>"7640599"</f>
        <v>7640599</v>
      </c>
      <c r="B27395" t="s">
        <v>318</v>
      </c>
      <c r="C27395" t="s">
        <v>33</v>
      </c>
      <c r="D27395" s="21" t="s">
        <v>34</v>
      </c>
      <c r="E27395" s="21" t="s">
        <v>71</v>
      </c>
      <c r="F27395">
        <v>9760380</v>
      </c>
      <c r="G27395" t="s">
        <v>12973</v>
      </c>
      <c r="H27395" s="21">
        <v>600.66999999999996</v>
      </c>
    </row>
    <row r="27396" spans="1:8" customFormat="1" x14ac:dyDescent="0.25">
      <c r="A27396" t="str">
        <f>"5611712"</f>
        <v>5611712</v>
      </c>
      <c r="B27396" t="s">
        <v>19585</v>
      </c>
      <c r="C27396" t="s">
        <v>209</v>
      </c>
      <c r="D27396" s="21" t="s">
        <v>34</v>
      </c>
      <c r="E27396" s="21" t="s">
        <v>254</v>
      </c>
      <c r="F27396">
        <v>1630261</v>
      </c>
      <c r="G27396" t="s">
        <v>1382</v>
      </c>
      <c r="H27396" s="21">
        <v>600.66999999999996</v>
      </c>
    </row>
    <row r="27397" spans="1:8" customFormat="1" x14ac:dyDescent="0.25">
      <c r="A27397" t="str">
        <f>"9D2752"</f>
        <v>9D2752</v>
      </c>
      <c r="B27397" t="s">
        <v>803</v>
      </c>
      <c r="C27397" t="s">
        <v>239</v>
      </c>
      <c r="D27397" s="21" t="s">
        <v>34</v>
      </c>
      <c r="E27397" s="21" t="s">
        <v>71</v>
      </c>
      <c r="F27397" t="s">
        <v>3911</v>
      </c>
      <c r="G27397" t="s">
        <v>3912</v>
      </c>
      <c r="H27397" s="21">
        <v>600.66999999999996</v>
      </c>
    </row>
    <row r="27398" spans="1:8" customFormat="1" x14ac:dyDescent="0.25">
      <c r="A27398" t="str">
        <f>"618753"</f>
        <v>618753</v>
      </c>
      <c r="B27398" t="s">
        <v>20492</v>
      </c>
      <c r="C27398" t="s">
        <v>484</v>
      </c>
      <c r="D27398" s="21" t="s">
        <v>34</v>
      </c>
      <c r="E27398" s="21" t="s">
        <v>35</v>
      </c>
      <c r="F27398">
        <v>9610077</v>
      </c>
      <c r="G27398" t="s">
        <v>26691</v>
      </c>
      <c r="H27398" s="21">
        <v>600.66999999999996</v>
      </c>
    </row>
    <row r="27399" spans="1:8" customFormat="1" x14ac:dyDescent="0.25">
      <c r="A27399" t="str">
        <f>"3726005"</f>
        <v>3726005</v>
      </c>
      <c r="B27399" t="s">
        <v>20749</v>
      </c>
      <c r="C27399" t="s">
        <v>2475</v>
      </c>
      <c r="D27399" s="21" t="s">
        <v>34</v>
      </c>
      <c r="E27399" s="21" t="s">
        <v>71</v>
      </c>
      <c r="F27399">
        <v>4370004</v>
      </c>
      <c r="G27399" t="s">
        <v>6049</v>
      </c>
      <c r="H27399" s="21">
        <v>600.66999999999996</v>
      </c>
    </row>
    <row r="27400" spans="1:8" customFormat="1" x14ac:dyDescent="0.25">
      <c r="A27400" t="str">
        <f>"3012653"</f>
        <v>3012653</v>
      </c>
      <c r="B27400" t="s">
        <v>1012</v>
      </c>
      <c r="C27400" t="s">
        <v>65</v>
      </c>
      <c r="D27400" s="21" t="s">
        <v>34</v>
      </c>
      <c r="E27400" s="21" t="s">
        <v>35</v>
      </c>
      <c r="F27400">
        <v>11300032</v>
      </c>
      <c r="G27400" t="s">
        <v>17309</v>
      </c>
      <c r="H27400" s="21">
        <v>600.66999999999996</v>
      </c>
    </row>
    <row r="27401" spans="1:8" customFormat="1" x14ac:dyDescent="0.25">
      <c r="A27401" t="str">
        <f>"2937317"</f>
        <v>2937317</v>
      </c>
      <c r="B27401" t="s">
        <v>13042</v>
      </c>
      <c r="C27401" t="s">
        <v>1196</v>
      </c>
      <c r="D27401" s="21" t="s">
        <v>34</v>
      </c>
      <c r="E27401" s="21" t="s">
        <v>35</v>
      </c>
      <c r="F27401">
        <v>3290226</v>
      </c>
      <c r="G27401" t="s">
        <v>4637</v>
      </c>
      <c r="H27401" s="21">
        <v>600.66999999999996</v>
      </c>
    </row>
    <row r="27402" spans="1:8" customFormat="1" x14ac:dyDescent="0.25">
      <c r="A27402" t="str">
        <f>"0612233"</f>
        <v>0612233</v>
      </c>
      <c r="B27402" t="s">
        <v>185</v>
      </c>
      <c r="C27402" t="s">
        <v>611</v>
      </c>
      <c r="D27402" s="21" t="s">
        <v>34</v>
      </c>
      <c r="E27402" s="21" t="s">
        <v>35</v>
      </c>
      <c r="F27402">
        <v>13060066</v>
      </c>
      <c r="G27402" t="s">
        <v>2556</v>
      </c>
      <c r="H27402" s="21">
        <v>600.66999999999996</v>
      </c>
    </row>
    <row r="27403" spans="1:8" customFormat="1" x14ac:dyDescent="0.25">
      <c r="A27403" t="str">
        <f>"8813397"</f>
        <v>8813397</v>
      </c>
      <c r="B27403" t="s">
        <v>3611</v>
      </c>
      <c r="C27403" t="s">
        <v>462</v>
      </c>
      <c r="D27403" s="21" t="s">
        <v>34</v>
      </c>
      <c r="E27403" s="21" t="s">
        <v>71</v>
      </c>
      <c r="F27403">
        <v>6880119</v>
      </c>
      <c r="G27403" t="s">
        <v>3443</v>
      </c>
      <c r="H27403" s="21">
        <v>600.66999999999996</v>
      </c>
    </row>
    <row r="27404" spans="1:8" customFormat="1" x14ac:dyDescent="0.25">
      <c r="A27404" t="str">
        <f>"4515074"</f>
        <v>4515074</v>
      </c>
      <c r="B27404" t="s">
        <v>1835</v>
      </c>
      <c r="C27404" t="s">
        <v>484</v>
      </c>
      <c r="D27404" s="21" t="s">
        <v>34</v>
      </c>
      <c r="E27404" s="21" t="s">
        <v>35</v>
      </c>
      <c r="F27404">
        <v>4450429</v>
      </c>
      <c r="G27404" t="s">
        <v>15149</v>
      </c>
      <c r="H27404" s="21">
        <v>600.66999999999996</v>
      </c>
    </row>
    <row r="27405" spans="1:8" customFormat="1" x14ac:dyDescent="0.25">
      <c r="A27405" t="str">
        <f>"45405"</f>
        <v>45405</v>
      </c>
      <c r="B27405" t="s">
        <v>19042</v>
      </c>
      <c r="C27405" t="s">
        <v>1887</v>
      </c>
      <c r="D27405" s="21" t="s">
        <v>34</v>
      </c>
      <c r="E27405" s="21" t="s">
        <v>254</v>
      </c>
      <c r="F27405">
        <v>13830068</v>
      </c>
      <c r="G27405" t="s">
        <v>6181</v>
      </c>
      <c r="H27405" s="21">
        <v>600.66999999999996</v>
      </c>
    </row>
    <row r="27406" spans="1:8" customFormat="1" x14ac:dyDescent="0.25">
      <c r="A27406" t="str">
        <f>"4210230"</f>
        <v>4210230</v>
      </c>
      <c r="B27406" t="s">
        <v>6460</v>
      </c>
      <c r="C27406" t="s">
        <v>233</v>
      </c>
      <c r="D27406" s="21" t="s">
        <v>34</v>
      </c>
      <c r="E27406" s="21" t="s">
        <v>254</v>
      </c>
      <c r="F27406">
        <v>1420006</v>
      </c>
      <c r="G27406" t="s">
        <v>6019</v>
      </c>
      <c r="H27406" s="21">
        <v>600.66999999999996</v>
      </c>
    </row>
    <row r="27407" spans="1:8" customFormat="1" x14ac:dyDescent="0.25">
      <c r="A27407" t="str">
        <f>"1610023"</f>
        <v>1610023</v>
      </c>
      <c r="B27407" t="s">
        <v>20229</v>
      </c>
      <c r="C27407" t="s">
        <v>58</v>
      </c>
      <c r="D27407" s="21" t="s">
        <v>34</v>
      </c>
      <c r="E27407" s="21" t="s">
        <v>71</v>
      </c>
      <c r="F27407">
        <v>10160029</v>
      </c>
      <c r="G27407" t="s">
        <v>896</v>
      </c>
      <c r="H27407" s="21">
        <v>600.66999999999996</v>
      </c>
    </row>
    <row r="27408" spans="1:8" customFormat="1" x14ac:dyDescent="0.25">
      <c r="A27408" t="str">
        <f>"8017460"</f>
        <v>8017460</v>
      </c>
      <c r="B27408" t="s">
        <v>970</v>
      </c>
      <c r="C27408" t="s">
        <v>90</v>
      </c>
      <c r="D27408" s="21" t="s">
        <v>34</v>
      </c>
      <c r="E27408" s="21" t="s">
        <v>35</v>
      </c>
      <c r="F27408">
        <v>7800040</v>
      </c>
      <c r="G27408" t="s">
        <v>1448</v>
      </c>
      <c r="H27408" s="21">
        <v>600.66999999999996</v>
      </c>
    </row>
    <row r="27409" spans="1:8" customFormat="1" x14ac:dyDescent="0.25">
      <c r="A27409" t="str">
        <f>"0618336"</f>
        <v>0618336</v>
      </c>
      <c r="B27409" t="s">
        <v>6418</v>
      </c>
      <c r="C27409" t="s">
        <v>169</v>
      </c>
      <c r="D27409" s="21" t="s">
        <v>34</v>
      </c>
      <c r="E27409" s="21" t="s">
        <v>35</v>
      </c>
      <c r="F27409">
        <v>13060114</v>
      </c>
      <c r="G27409" t="s">
        <v>4501</v>
      </c>
      <c r="H27409" s="21">
        <v>600.66999999999996</v>
      </c>
    </row>
    <row r="27410" spans="1:8" customFormat="1" x14ac:dyDescent="0.25">
      <c r="A27410" t="str">
        <f>"7639377"</f>
        <v>7639377</v>
      </c>
      <c r="B27410" t="s">
        <v>5148</v>
      </c>
      <c r="C27410" t="s">
        <v>119</v>
      </c>
      <c r="D27410" s="21" t="s">
        <v>34</v>
      </c>
      <c r="E27410" s="21" t="s">
        <v>35</v>
      </c>
      <c r="F27410">
        <v>9760417</v>
      </c>
      <c r="G27410" t="s">
        <v>11996</v>
      </c>
      <c r="H27410" s="21">
        <v>600.66999999999996</v>
      </c>
    </row>
    <row r="27411" spans="1:8" customFormat="1" x14ac:dyDescent="0.25">
      <c r="A27411" t="str">
        <f>"837253"</f>
        <v>837253</v>
      </c>
      <c r="B27411" t="s">
        <v>4891</v>
      </c>
      <c r="C27411" t="s">
        <v>40</v>
      </c>
      <c r="D27411" s="21" t="s">
        <v>34</v>
      </c>
      <c r="E27411" s="21" t="s">
        <v>254</v>
      </c>
      <c r="F27411">
        <v>13830029</v>
      </c>
      <c r="G27411" t="s">
        <v>315</v>
      </c>
      <c r="H27411" s="21">
        <v>600.66999999999996</v>
      </c>
    </row>
    <row r="27412" spans="1:8" customFormat="1" x14ac:dyDescent="0.25">
      <c r="A27412" t="str">
        <f>"568807"</f>
        <v>568807</v>
      </c>
      <c r="B27412" t="s">
        <v>20968</v>
      </c>
      <c r="C27412" t="s">
        <v>3456</v>
      </c>
      <c r="D27412" s="21" t="s">
        <v>34</v>
      </c>
      <c r="E27412" s="21" t="s">
        <v>35</v>
      </c>
      <c r="F27412">
        <v>3560038</v>
      </c>
      <c r="G27412" t="s">
        <v>3598</v>
      </c>
      <c r="H27412" s="21">
        <v>600.66999999999996</v>
      </c>
    </row>
    <row r="27413" spans="1:8" customFormat="1" x14ac:dyDescent="0.25">
      <c r="A27413" t="str">
        <f>"3710840"</f>
        <v>3710840</v>
      </c>
      <c r="B27413" t="s">
        <v>1048</v>
      </c>
      <c r="C27413" t="s">
        <v>239</v>
      </c>
      <c r="D27413" s="21" t="s">
        <v>34</v>
      </c>
      <c r="E27413" s="21" t="s">
        <v>254</v>
      </c>
      <c r="F27413">
        <v>4370011</v>
      </c>
      <c r="G27413" t="s">
        <v>3672</v>
      </c>
      <c r="H27413" s="21">
        <v>600.66999999999996</v>
      </c>
    </row>
    <row r="27414" spans="1:8" customFormat="1" x14ac:dyDescent="0.25">
      <c r="A27414" t="str">
        <f>"3829306"</f>
        <v>3829306</v>
      </c>
      <c r="B27414" t="s">
        <v>7809</v>
      </c>
      <c r="C27414" t="s">
        <v>2520</v>
      </c>
      <c r="D27414" s="21" t="s">
        <v>34</v>
      </c>
      <c r="E27414" s="21" t="s">
        <v>254</v>
      </c>
      <c r="F27414">
        <v>1380273</v>
      </c>
      <c r="G27414" t="s">
        <v>7554</v>
      </c>
      <c r="H27414" s="21">
        <v>600.66999999999996</v>
      </c>
    </row>
    <row r="27415" spans="1:8" customFormat="1" x14ac:dyDescent="0.25">
      <c r="A27415" t="str">
        <f>"5955999"</f>
        <v>5955999</v>
      </c>
      <c r="B27415" t="s">
        <v>18862</v>
      </c>
      <c r="C27415" t="s">
        <v>206</v>
      </c>
      <c r="D27415" s="21" t="s">
        <v>34</v>
      </c>
      <c r="E27415" s="21" t="s">
        <v>35</v>
      </c>
      <c r="F27415">
        <v>7590400</v>
      </c>
      <c r="G27415" t="s">
        <v>26692</v>
      </c>
      <c r="H27415" s="21">
        <v>600.66999999999996</v>
      </c>
    </row>
    <row r="27416" spans="1:8" customFormat="1" x14ac:dyDescent="0.25">
      <c r="A27416" t="str">
        <f>"454111"</f>
        <v>454111</v>
      </c>
      <c r="B27416" t="s">
        <v>27973</v>
      </c>
      <c r="C27416" t="s">
        <v>209</v>
      </c>
      <c r="D27416" s="21" t="s">
        <v>34</v>
      </c>
      <c r="E27416" s="21" t="s">
        <v>254</v>
      </c>
      <c r="F27416">
        <v>4450295</v>
      </c>
      <c r="G27416" t="s">
        <v>9193</v>
      </c>
      <c r="H27416" s="21">
        <v>600.66999999999996</v>
      </c>
    </row>
    <row r="27417" spans="1:8" customFormat="1" x14ac:dyDescent="0.25">
      <c r="A27417" t="str">
        <f>"776049"</f>
        <v>776049</v>
      </c>
      <c r="B27417" t="s">
        <v>19609</v>
      </c>
      <c r="C27417" t="s">
        <v>209</v>
      </c>
      <c r="D27417" s="21" t="s">
        <v>34</v>
      </c>
      <c r="E27417" s="21" t="s">
        <v>254</v>
      </c>
      <c r="F27417">
        <v>8770166</v>
      </c>
      <c r="G27417" t="s">
        <v>653</v>
      </c>
      <c r="H27417" s="21">
        <v>600.66999999999996</v>
      </c>
    </row>
    <row r="27418" spans="1:8" customFormat="1" x14ac:dyDescent="0.25">
      <c r="A27418" t="str">
        <f>"6111860"</f>
        <v>6111860</v>
      </c>
      <c r="B27418" t="s">
        <v>20674</v>
      </c>
      <c r="C27418" t="s">
        <v>1446</v>
      </c>
      <c r="D27418" s="21" t="s">
        <v>34</v>
      </c>
      <c r="E27418" s="21" t="s">
        <v>35</v>
      </c>
      <c r="F27418">
        <v>9610119</v>
      </c>
      <c r="G27418" t="s">
        <v>6655</v>
      </c>
      <c r="H27418" s="21">
        <v>600.41999999999996</v>
      </c>
    </row>
    <row r="27419" spans="1:8" customFormat="1" x14ac:dyDescent="0.25">
      <c r="A27419" t="str">
        <f>"617434"</f>
        <v>617434</v>
      </c>
      <c r="B27419" t="s">
        <v>2362</v>
      </c>
      <c r="C27419" t="s">
        <v>598</v>
      </c>
      <c r="D27419" s="21" t="s">
        <v>34</v>
      </c>
      <c r="E27419" s="21" t="s">
        <v>254</v>
      </c>
      <c r="F27419">
        <v>9610009</v>
      </c>
      <c r="G27419" t="s">
        <v>282</v>
      </c>
      <c r="H27419" s="21">
        <v>600.41999999999996</v>
      </c>
    </row>
    <row r="27420" spans="1:8" customFormat="1" x14ac:dyDescent="0.25">
      <c r="A27420" t="str">
        <f>"7879238"</f>
        <v>7879238</v>
      </c>
      <c r="B27420" t="s">
        <v>27974</v>
      </c>
      <c r="C27420" t="s">
        <v>16209</v>
      </c>
      <c r="D27420" s="21" t="s">
        <v>34</v>
      </c>
      <c r="E27420" s="21" t="s">
        <v>35</v>
      </c>
      <c r="F27420">
        <v>8780108</v>
      </c>
      <c r="G27420" t="s">
        <v>4329</v>
      </c>
      <c r="H27420" s="21">
        <v>600.41999999999996</v>
      </c>
    </row>
    <row r="27421" spans="1:8" customFormat="1" x14ac:dyDescent="0.25">
      <c r="A27421" t="str">
        <f>"5714061"</f>
        <v>5714061</v>
      </c>
      <c r="B27421" t="s">
        <v>3191</v>
      </c>
      <c r="C27421" t="s">
        <v>2305</v>
      </c>
      <c r="D27421" s="21" t="s">
        <v>34</v>
      </c>
      <c r="E27421" s="21" t="s">
        <v>254</v>
      </c>
      <c r="F27421">
        <v>6570027</v>
      </c>
      <c r="G27421" t="s">
        <v>395</v>
      </c>
      <c r="H27421" s="21">
        <v>600.29</v>
      </c>
    </row>
    <row r="27422" spans="1:8" customFormat="1" x14ac:dyDescent="0.25">
      <c r="A27422" t="str">
        <f>"877732"</f>
        <v>877732</v>
      </c>
      <c r="B27422" t="s">
        <v>19684</v>
      </c>
      <c r="C27422" t="s">
        <v>209</v>
      </c>
      <c r="D27422" s="21" t="s">
        <v>34</v>
      </c>
      <c r="E27422" s="21" t="s">
        <v>254</v>
      </c>
      <c r="F27422">
        <v>10870109</v>
      </c>
      <c r="G27422" t="s">
        <v>5199</v>
      </c>
      <c r="H27422" s="21">
        <v>600.16999999999996</v>
      </c>
    </row>
    <row r="27423" spans="1:8" customFormat="1" x14ac:dyDescent="0.25">
      <c r="A27423" t="str">
        <f>"8527582"</f>
        <v>8527582</v>
      </c>
      <c r="B27423" t="s">
        <v>21456</v>
      </c>
      <c r="C27423" t="s">
        <v>60</v>
      </c>
      <c r="D27423" s="21" t="s">
        <v>34</v>
      </c>
      <c r="E27423" s="21" t="s">
        <v>35</v>
      </c>
      <c r="F27423">
        <v>12851018</v>
      </c>
      <c r="G27423" t="s">
        <v>8085</v>
      </c>
      <c r="H27423" s="21">
        <v>600.16999999999996</v>
      </c>
    </row>
    <row r="27424" spans="1:8" customFormat="1" x14ac:dyDescent="0.25">
      <c r="A27424" t="str">
        <f>"123163"</f>
        <v>123163</v>
      </c>
      <c r="B27424" t="s">
        <v>27184</v>
      </c>
      <c r="C27424" t="s">
        <v>249</v>
      </c>
      <c r="D27424" s="21" t="s">
        <v>34</v>
      </c>
      <c r="E27424" s="21" t="s">
        <v>71</v>
      </c>
      <c r="F27424">
        <v>11120021</v>
      </c>
      <c r="G27424" t="s">
        <v>8398</v>
      </c>
      <c r="H27424" s="21">
        <v>600.16999999999996</v>
      </c>
    </row>
    <row r="27425" spans="1:8" customFormat="1" x14ac:dyDescent="0.25">
      <c r="A27425" t="str">
        <f>"619079"</f>
        <v>619079</v>
      </c>
      <c r="B27425" t="s">
        <v>7824</v>
      </c>
      <c r="C27425" t="s">
        <v>130</v>
      </c>
      <c r="D27425" s="21" t="s">
        <v>34</v>
      </c>
      <c r="E27425" s="21" t="s">
        <v>71</v>
      </c>
      <c r="F27425">
        <v>9610002</v>
      </c>
      <c r="G27425" t="s">
        <v>75</v>
      </c>
      <c r="H27425" s="21">
        <v>600.16999999999996</v>
      </c>
    </row>
    <row r="27426" spans="1:8" customFormat="1" x14ac:dyDescent="0.25">
      <c r="A27426" t="str">
        <f>"2931390"</f>
        <v>2931390</v>
      </c>
      <c r="B27426" t="s">
        <v>2165</v>
      </c>
      <c r="C27426" t="s">
        <v>967</v>
      </c>
      <c r="D27426" s="21" t="s">
        <v>34</v>
      </c>
      <c r="E27426" s="21" t="s">
        <v>35</v>
      </c>
      <c r="F27426">
        <v>3290280</v>
      </c>
      <c r="G27426" t="s">
        <v>4913</v>
      </c>
      <c r="H27426" s="21">
        <v>600.16999999999996</v>
      </c>
    </row>
    <row r="27427" spans="1:8" customFormat="1" x14ac:dyDescent="0.25">
      <c r="A27427" t="str">
        <f>"5731714"</f>
        <v>5731714</v>
      </c>
      <c r="B27427" t="s">
        <v>20033</v>
      </c>
      <c r="C27427" t="s">
        <v>1489</v>
      </c>
      <c r="D27427" s="21" t="s">
        <v>34</v>
      </c>
      <c r="E27427" s="21" t="s">
        <v>35</v>
      </c>
      <c r="F27427">
        <v>6570179</v>
      </c>
      <c r="G27427" t="s">
        <v>9205</v>
      </c>
      <c r="H27427" s="21">
        <v>600.16999999999996</v>
      </c>
    </row>
    <row r="27428" spans="1:8" customFormat="1" x14ac:dyDescent="0.25">
      <c r="A27428" t="str">
        <f>"791209"</f>
        <v>791209</v>
      </c>
      <c r="B27428" t="s">
        <v>21097</v>
      </c>
      <c r="C27428" t="s">
        <v>198</v>
      </c>
      <c r="D27428" s="21" t="s">
        <v>34</v>
      </c>
      <c r="E27428" s="21" t="s">
        <v>71</v>
      </c>
      <c r="F27428">
        <v>10790186</v>
      </c>
      <c r="G27428" t="s">
        <v>16305</v>
      </c>
      <c r="H27428" s="21">
        <v>600.16999999999996</v>
      </c>
    </row>
    <row r="27429" spans="1:8" customFormat="1" x14ac:dyDescent="0.25">
      <c r="A27429" t="str">
        <f>"651636"</f>
        <v>651636</v>
      </c>
      <c r="B27429" t="s">
        <v>398</v>
      </c>
      <c r="C27429" t="s">
        <v>236</v>
      </c>
      <c r="D27429" s="21" t="s">
        <v>34</v>
      </c>
      <c r="E27429" s="21" t="s">
        <v>71</v>
      </c>
      <c r="F27429">
        <v>11650026</v>
      </c>
      <c r="G27429" t="s">
        <v>13114</v>
      </c>
      <c r="H27429" s="21">
        <v>600.16999999999996</v>
      </c>
    </row>
    <row r="27430" spans="1:8" customFormat="1" x14ac:dyDescent="0.25">
      <c r="A27430" t="str">
        <f>"245794"</f>
        <v>245794</v>
      </c>
      <c r="B27430" t="s">
        <v>20045</v>
      </c>
      <c r="C27430" t="s">
        <v>2479</v>
      </c>
      <c r="D27430" s="21" t="s">
        <v>34</v>
      </c>
      <c r="E27430" s="21" t="s">
        <v>1089</v>
      </c>
      <c r="F27430">
        <v>10240020</v>
      </c>
      <c r="G27430" t="s">
        <v>870</v>
      </c>
      <c r="H27430" s="21">
        <v>600.16999999999996</v>
      </c>
    </row>
    <row r="27431" spans="1:8" customFormat="1" x14ac:dyDescent="0.25">
      <c r="A27431" t="str">
        <f>"5326451"</f>
        <v>5326451</v>
      </c>
      <c r="B27431" t="s">
        <v>24492</v>
      </c>
      <c r="C27431" t="s">
        <v>263</v>
      </c>
      <c r="D27431" s="21" t="s">
        <v>34</v>
      </c>
      <c r="E27431" s="21" t="s">
        <v>35</v>
      </c>
      <c r="F27431">
        <v>12530090</v>
      </c>
      <c r="G27431" t="s">
        <v>6132</v>
      </c>
      <c r="H27431" s="21">
        <v>600.16999999999996</v>
      </c>
    </row>
    <row r="27432" spans="1:8" customFormat="1" x14ac:dyDescent="0.25">
      <c r="A27432" t="str">
        <f>"139897"</f>
        <v>139897</v>
      </c>
      <c r="B27432" t="s">
        <v>21753</v>
      </c>
      <c r="C27432" t="s">
        <v>249</v>
      </c>
      <c r="D27432" s="21" t="s">
        <v>34</v>
      </c>
      <c r="E27432" s="21" t="s">
        <v>35</v>
      </c>
      <c r="F27432">
        <v>13130148</v>
      </c>
      <c r="G27432" t="s">
        <v>12894</v>
      </c>
      <c r="H27432" s="21">
        <v>600.16999999999996</v>
      </c>
    </row>
    <row r="27433" spans="1:8" customFormat="1" x14ac:dyDescent="0.25">
      <c r="A27433" t="str">
        <f>"3722257"</f>
        <v>3722257</v>
      </c>
      <c r="B27433" t="s">
        <v>20147</v>
      </c>
      <c r="C27433" t="s">
        <v>109</v>
      </c>
      <c r="D27433" s="21" t="s">
        <v>34</v>
      </c>
      <c r="E27433" s="21" t="s">
        <v>35</v>
      </c>
      <c r="F27433">
        <v>4370307</v>
      </c>
      <c r="G27433" t="s">
        <v>7652</v>
      </c>
      <c r="H27433" s="21">
        <v>600.16999999999996</v>
      </c>
    </row>
    <row r="27434" spans="1:8" customFormat="1" x14ac:dyDescent="0.25">
      <c r="A27434" t="str">
        <f>"7110076"</f>
        <v>7110076</v>
      </c>
      <c r="B27434" t="s">
        <v>3364</v>
      </c>
      <c r="C27434" t="s">
        <v>169</v>
      </c>
      <c r="D27434" s="21" t="s">
        <v>34</v>
      </c>
      <c r="E27434" s="21" t="s">
        <v>35</v>
      </c>
      <c r="F27434">
        <v>2710005</v>
      </c>
      <c r="G27434" t="s">
        <v>642</v>
      </c>
      <c r="H27434" s="21">
        <v>600.16999999999996</v>
      </c>
    </row>
    <row r="27435" spans="1:8" customFormat="1" x14ac:dyDescent="0.25">
      <c r="A27435" t="str">
        <f>"4927460"</f>
        <v>4927460</v>
      </c>
      <c r="B27435" t="s">
        <v>946</v>
      </c>
      <c r="C27435" t="s">
        <v>40</v>
      </c>
      <c r="D27435" s="21" t="s">
        <v>34</v>
      </c>
      <c r="E27435" s="21" t="s">
        <v>254</v>
      </c>
      <c r="F27435">
        <v>12490127</v>
      </c>
      <c r="G27435" t="s">
        <v>4034</v>
      </c>
      <c r="H27435" s="21">
        <v>600.16999999999996</v>
      </c>
    </row>
    <row r="27436" spans="1:8" customFormat="1" x14ac:dyDescent="0.25">
      <c r="A27436" t="str">
        <f>"832844"</f>
        <v>832844</v>
      </c>
      <c r="B27436" t="s">
        <v>4118</v>
      </c>
      <c r="C27436" t="s">
        <v>462</v>
      </c>
      <c r="D27436" s="21" t="s">
        <v>34</v>
      </c>
      <c r="E27436" s="21" t="s">
        <v>71</v>
      </c>
      <c r="F27436">
        <v>13830022</v>
      </c>
      <c r="G27436" t="s">
        <v>633</v>
      </c>
      <c r="H27436" s="21">
        <v>600.16999999999996</v>
      </c>
    </row>
    <row r="27437" spans="1:8" customFormat="1" x14ac:dyDescent="0.25">
      <c r="A27437" t="str">
        <f>"7633577"</f>
        <v>7633577</v>
      </c>
      <c r="B27437" t="s">
        <v>20316</v>
      </c>
      <c r="C27437" t="s">
        <v>8345</v>
      </c>
      <c r="D27437" s="21" t="s">
        <v>34</v>
      </c>
      <c r="E27437" s="21" t="s">
        <v>71</v>
      </c>
      <c r="F27437">
        <v>9760447</v>
      </c>
      <c r="G27437" t="s">
        <v>5942</v>
      </c>
      <c r="H27437" s="21">
        <v>600.16999999999996</v>
      </c>
    </row>
    <row r="27438" spans="1:8" customFormat="1" x14ac:dyDescent="0.25">
      <c r="A27438" t="str">
        <f>"3344417"</f>
        <v>3344417</v>
      </c>
      <c r="B27438" t="s">
        <v>27975</v>
      </c>
      <c r="C27438" t="s">
        <v>37</v>
      </c>
      <c r="D27438" s="21" t="s">
        <v>34</v>
      </c>
      <c r="E27438" s="21" t="s">
        <v>35</v>
      </c>
      <c r="F27438">
        <v>10330076</v>
      </c>
      <c r="G27438" t="s">
        <v>3769</v>
      </c>
      <c r="H27438" s="21">
        <v>600.16999999999996</v>
      </c>
    </row>
    <row r="27439" spans="1:8" customFormat="1" x14ac:dyDescent="0.25">
      <c r="A27439" t="str">
        <f>"9522736"</f>
        <v>9522736</v>
      </c>
      <c r="B27439" t="s">
        <v>19485</v>
      </c>
      <c r="C27439" t="s">
        <v>926</v>
      </c>
      <c r="D27439" s="21" t="s">
        <v>34</v>
      </c>
      <c r="E27439" s="21" t="s">
        <v>35</v>
      </c>
      <c r="F27439">
        <v>8951447</v>
      </c>
      <c r="G27439" t="s">
        <v>12175</v>
      </c>
      <c r="H27439" s="21">
        <v>600.16999999999996</v>
      </c>
    </row>
    <row r="27440" spans="1:8" customFormat="1" x14ac:dyDescent="0.25">
      <c r="A27440" t="str">
        <f>"5617757"</f>
        <v>5617757</v>
      </c>
      <c r="B27440" t="s">
        <v>3167</v>
      </c>
      <c r="C27440" t="s">
        <v>415</v>
      </c>
      <c r="D27440" s="21" t="s">
        <v>34</v>
      </c>
      <c r="E27440" s="21" t="s">
        <v>71</v>
      </c>
      <c r="F27440">
        <v>3560086</v>
      </c>
      <c r="G27440" t="s">
        <v>15139</v>
      </c>
      <c r="H27440" s="21">
        <v>600.16999999999996</v>
      </c>
    </row>
    <row r="27441" spans="1:8" customFormat="1" x14ac:dyDescent="0.25">
      <c r="A27441" t="str">
        <f>"4112695"</f>
        <v>4112695</v>
      </c>
      <c r="B27441" t="s">
        <v>19221</v>
      </c>
      <c r="C27441" t="s">
        <v>1025</v>
      </c>
      <c r="D27441" s="21" t="s">
        <v>34</v>
      </c>
      <c r="E27441" s="21" t="s">
        <v>71</v>
      </c>
      <c r="F27441">
        <v>4450748</v>
      </c>
      <c r="G27441" t="s">
        <v>22902</v>
      </c>
      <c r="H27441" s="21">
        <v>600.16999999999996</v>
      </c>
    </row>
    <row r="27442" spans="1:8" customFormat="1" x14ac:dyDescent="0.25">
      <c r="A27442" t="str">
        <f>"3331413"</f>
        <v>3331413</v>
      </c>
      <c r="B27442" t="s">
        <v>20400</v>
      </c>
      <c r="C27442" t="s">
        <v>712</v>
      </c>
      <c r="D27442" s="21" t="s">
        <v>34</v>
      </c>
      <c r="E27442" s="21" t="s">
        <v>71</v>
      </c>
      <c r="F27442">
        <v>10330084</v>
      </c>
      <c r="G27442" t="s">
        <v>1124</v>
      </c>
      <c r="H27442" s="21">
        <v>600.04</v>
      </c>
    </row>
    <row r="27443" spans="1:8" customFormat="1" x14ac:dyDescent="0.25">
      <c r="A27443" t="str">
        <f>"3340721"</f>
        <v>3340721</v>
      </c>
      <c r="B27443" t="s">
        <v>19907</v>
      </c>
      <c r="C27443" t="s">
        <v>40</v>
      </c>
      <c r="D27443" s="21" t="s">
        <v>34</v>
      </c>
      <c r="E27443" s="21" t="s">
        <v>71</v>
      </c>
      <c r="F27443">
        <v>10330050</v>
      </c>
      <c r="G27443" t="s">
        <v>2488</v>
      </c>
      <c r="H27443" s="21">
        <v>599.91999999999996</v>
      </c>
    </row>
    <row r="27444" spans="1:8" customFormat="1" x14ac:dyDescent="0.25">
      <c r="A27444" t="str">
        <f>"5324798"</f>
        <v>5324798</v>
      </c>
      <c r="B27444" t="s">
        <v>20922</v>
      </c>
      <c r="C27444" t="s">
        <v>121</v>
      </c>
      <c r="D27444" s="21" t="s">
        <v>34</v>
      </c>
      <c r="E27444" s="21" t="s">
        <v>71</v>
      </c>
      <c r="F27444">
        <v>12530078</v>
      </c>
      <c r="G27444" t="s">
        <v>3677</v>
      </c>
      <c r="H27444" s="21">
        <v>599.91999999999996</v>
      </c>
    </row>
    <row r="27445" spans="1:8" customFormat="1" x14ac:dyDescent="0.25">
      <c r="A27445" t="str">
        <f>"365007"</f>
        <v>365007</v>
      </c>
      <c r="B27445" t="s">
        <v>19701</v>
      </c>
      <c r="C27445" t="s">
        <v>2520</v>
      </c>
      <c r="D27445" s="21" t="s">
        <v>34</v>
      </c>
      <c r="E27445" s="21" t="s">
        <v>254</v>
      </c>
      <c r="F27445">
        <v>4360123</v>
      </c>
      <c r="G27445" t="s">
        <v>4121</v>
      </c>
      <c r="H27445" s="21">
        <v>599.79</v>
      </c>
    </row>
    <row r="27446" spans="1:8" customFormat="1" x14ac:dyDescent="0.25">
      <c r="A27446" t="str">
        <f>"4422611"</f>
        <v>4422611</v>
      </c>
      <c r="B27446" t="s">
        <v>19200</v>
      </c>
      <c r="C27446" t="s">
        <v>124</v>
      </c>
      <c r="D27446" s="21" t="s">
        <v>34</v>
      </c>
      <c r="E27446" s="21" t="s">
        <v>35</v>
      </c>
      <c r="F27446">
        <v>12440008</v>
      </c>
      <c r="G27446" t="s">
        <v>4570</v>
      </c>
      <c r="H27446" s="21">
        <v>599.66999999999996</v>
      </c>
    </row>
    <row r="27447" spans="1:8" customFormat="1" x14ac:dyDescent="0.25">
      <c r="A27447" t="str">
        <f>"382043"</f>
        <v>382043</v>
      </c>
      <c r="B27447" t="s">
        <v>8142</v>
      </c>
      <c r="C27447" t="s">
        <v>1468</v>
      </c>
      <c r="D27447" s="21" t="s">
        <v>34</v>
      </c>
      <c r="E27447" s="21" t="s">
        <v>1089</v>
      </c>
      <c r="F27447">
        <v>1380189</v>
      </c>
      <c r="G27447" t="s">
        <v>8143</v>
      </c>
      <c r="H27447" s="21">
        <v>599.66999999999996</v>
      </c>
    </row>
    <row r="27448" spans="1:8" customFormat="1" x14ac:dyDescent="0.25">
      <c r="A27448" t="str">
        <f>"836653"</f>
        <v>836653</v>
      </c>
      <c r="B27448" t="s">
        <v>19618</v>
      </c>
      <c r="C27448" t="s">
        <v>156</v>
      </c>
      <c r="D27448" s="21" t="s">
        <v>34</v>
      </c>
      <c r="E27448" s="21" t="s">
        <v>6185</v>
      </c>
      <c r="F27448">
        <v>11810003</v>
      </c>
      <c r="G27448" t="s">
        <v>1934</v>
      </c>
      <c r="H27448" s="21">
        <v>599.66999999999996</v>
      </c>
    </row>
    <row r="27449" spans="1:8" customFormat="1" x14ac:dyDescent="0.25">
      <c r="A27449" t="str">
        <f>"42164"</f>
        <v>42164</v>
      </c>
      <c r="B27449" t="s">
        <v>18795</v>
      </c>
      <c r="C27449" t="s">
        <v>2520</v>
      </c>
      <c r="D27449" s="21" t="s">
        <v>34</v>
      </c>
      <c r="E27449" s="21" t="s">
        <v>254</v>
      </c>
      <c r="F27449">
        <v>1420014</v>
      </c>
      <c r="G27449" t="s">
        <v>3864</v>
      </c>
      <c r="H27449" s="21">
        <v>599.66999999999996</v>
      </c>
    </row>
    <row r="27450" spans="1:8" customFormat="1" x14ac:dyDescent="0.25">
      <c r="A27450" t="str">
        <f>"4432101"</f>
        <v>4432101</v>
      </c>
      <c r="B27450" t="s">
        <v>7257</v>
      </c>
      <c r="C27450" t="s">
        <v>114</v>
      </c>
      <c r="D27450" s="21" t="s">
        <v>34</v>
      </c>
      <c r="E27450" s="21" t="s">
        <v>35</v>
      </c>
      <c r="F27450">
        <v>12440101</v>
      </c>
      <c r="G27450" t="s">
        <v>3482</v>
      </c>
      <c r="H27450" s="21">
        <v>599.66999999999996</v>
      </c>
    </row>
    <row r="27451" spans="1:8" customFormat="1" x14ac:dyDescent="0.25">
      <c r="A27451" t="str">
        <f>"777486"</f>
        <v>777486</v>
      </c>
      <c r="B27451" t="s">
        <v>19514</v>
      </c>
      <c r="C27451" t="s">
        <v>652</v>
      </c>
      <c r="D27451" s="21" t="s">
        <v>34</v>
      </c>
      <c r="E27451" s="21" t="s">
        <v>1089</v>
      </c>
      <c r="F27451">
        <v>10640015</v>
      </c>
      <c r="G27451" t="s">
        <v>10196</v>
      </c>
      <c r="H27451" s="21">
        <v>599.66999999999996</v>
      </c>
    </row>
    <row r="27452" spans="1:8" customFormat="1" x14ac:dyDescent="0.25">
      <c r="A27452" t="str">
        <f>"5323556"</f>
        <v>5323556</v>
      </c>
      <c r="B27452" t="s">
        <v>4419</v>
      </c>
      <c r="C27452" t="s">
        <v>415</v>
      </c>
      <c r="D27452" s="21" t="s">
        <v>34</v>
      </c>
      <c r="E27452" s="21" t="s">
        <v>71</v>
      </c>
      <c r="F27452">
        <v>12530008</v>
      </c>
      <c r="G27452" t="s">
        <v>7920</v>
      </c>
      <c r="H27452" s="21">
        <v>599.66999999999996</v>
      </c>
    </row>
    <row r="27453" spans="1:8" customFormat="1" x14ac:dyDescent="0.25">
      <c r="A27453" t="str">
        <f>"7620829"</f>
        <v>7620829</v>
      </c>
      <c r="B27453" t="s">
        <v>20555</v>
      </c>
      <c r="C27453" t="s">
        <v>55</v>
      </c>
      <c r="D27453" s="21" t="s">
        <v>34</v>
      </c>
      <c r="E27453" s="21" t="s">
        <v>71</v>
      </c>
      <c r="F27453">
        <v>9760286</v>
      </c>
      <c r="G27453" t="s">
        <v>11559</v>
      </c>
      <c r="H27453" s="21">
        <v>599.66999999999996</v>
      </c>
    </row>
    <row r="27454" spans="1:8" customFormat="1" x14ac:dyDescent="0.25">
      <c r="A27454" t="str">
        <f>"912721"</f>
        <v>912721</v>
      </c>
      <c r="B27454" t="s">
        <v>18992</v>
      </c>
      <c r="C27454" t="s">
        <v>720</v>
      </c>
      <c r="D27454" s="21" t="s">
        <v>34</v>
      </c>
      <c r="E27454" s="21" t="s">
        <v>254</v>
      </c>
      <c r="F27454">
        <v>11300028</v>
      </c>
      <c r="G27454" t="s">
        <v>18879</v>
      </c>
      <c r="H27454" s="21">
        <v>599.66999999999996</v>
      </c>
    </row>
    <row r="27455" spans="1:8" customFormat="1" x14ac:dyDescent="0.25">
      <c r="A27455" t="str">
        <f>"664660"</f>
        <v>664660</v>
      </c>
      <c r="B27455" t="s">
        <v>19350</v>
      </c>
      <c r="C27455" t="s">
        <v>3073</v>
      </c>
      <c r="D27455" s="21" t="s">
        <v>34</v>
      </c>
      <c r="E27455" s="21" t="s">
        <v>1089</v>
      </c>
      <c r="F27455">
        <v>11660003</v>
      </c>
      <c r="G27455" t="s">
        <v>5188</v>
      </c>
      <c r="H27455" s="21">
        <v>599.66999999999996</v>
      </c>
    </row>
    <row r="27456" spans="1:8" customFormat="1" x14ac:dyDescent="0.25">
      <c r="A27456" t="str">
        <f>"2813960"</f>
        <v>2813960</v>
      </c>
      <c r="B27456" t="s">
        <v>19650</v>
      </c>
      <c r="C27456" t="s">
        <v>33</v>
      </c>
      <c r="D27456" s="21" t="s">
        <v>34</v>
      </c>
      <c r="E27456" s="21" t="s">
        <v>35</v>
      </c>
      <c r="F27456">
        <v>4280048</v>
      </c>
      <c r="G27456" t="s">
        <v>3053</v>
      </c>
      <c r="H27456" s="21">
        <v>599.66999999999996</v>
      </c>
    </row>
    <row r="27457" spans="1:8" customFormat="1" x14ac:dyDescent="0.25">
      <c r="A27457" t="str">
        <f>"847494"</f>
        <v>847494</v>
      </c>
      <c r="B27457" t="s">
        <v>185</v>
      </c>
      <c r="C27457" t="s">
        <v>462</v>
      </c>
      <c r="D27457" s="21" t="s">
        <v>34</v>
      </c>
      <c r="E27457" s="21" t="s">
        <v>254</v>
      </c>
      <c r="F27457">
        <v>13840004</v>
      </c>
      <c r="G27457" t="s">
        <v>8611</v>
      </c>
      <c r="H27457" s="21">
        <v>599.66999999999996</v>
      </c>
    </row>
    <row r="27458" spans="1:8" customFormat="1" x14ac:dyDescent="0.25">
      <c r="A27458" t="str">
        <f>"8814378"</f>
        <v>8814378</v>
      </c>
      <c r="B27458" t="s">
        <v>27976</v>
      </c>
      <c r="C27458" t="s">
        <v>139</v>
      </c>
      <c r="D27458" s="21" t="s">
        <v>34</v>
      </c>
      <c r="E27458" s="21" t="s">
        <v>35</v>
      </c>
      <c r="F27458">
        <v>6880002</v>
      </c>
      <c r="G27458" t="s">
        <v>501</v>
      </c>
      <c r="H27458" s="21">
        <v>599.66999999999996</v>
      </c>
    </row>
    <row r="27459" spans="1:8" customFormat="1" x14ac:dyDescent="0.25">
      <c r="A27459" t="str">
        <f>"9528486"</f>
        <v>9528486</v>
      </c>
      <c r="B27459" t="s">
        <v>14174</v>
      </c>
      <c r="C27459" t="s">
        <v>37</v>
      </c>
      <c r="D27459" s="21" t="s">
        <v>34</v>
      </c>
      <c r="E27459" s="21" t="s">
        <v>35</v>
      </c>
      <c r="F27459">
        <v>8951447</v>
      </c>
      <c r="G27459" t="s">
        <v>12175</v>
      </c>
      <c r="H27459" s="21">
        <v>599.66999999999996</v>
      </c>
    </row>
    <row r="27460" spans="1:8" customFormat="1" x14ac:dyDescent="0.25">
      <c r="A27460" t="str">
        <f>"1712590"</f>
        <v>1712590</v>
      </c>
      <c r="B27460" t="s">
        <v>465</v>
      </c>
      <c r="C27460" t="s">
        <v>2904</v>
      </c>
      <c r="D27460" s="21" t="s">
        <v>34</v>
      </c>
      <c r="E27460" s="21" t="s">
        <v>1089</v>
      </c>
      <c r="F27460">
        <v>10170049</v>
      </c>
      <c r="G27460" t="s">
        <v>15023</v>
      </c>
      <c r="H27460" s="21">
        <v>599.66999999999996</v>
      </c>
    </row>
    <row r="27461" spans="1:8" customFormat="1" x14ac:dyDescent="0.25">
      <c r="A27461" t="str">
        <f>"1410864"</f>
        <v>1410864</v>
      </c>
      <c r="B27461" t="s">
        <v>13465</v>
      </c>
      <c r="C27461" t="s">
        <v>236</v>
      </c>
      <c r="D27461" s="21" t="s">
        <v>34</v>
      </c>
      <c r="E27461" s="21" t="s">
        <v>254</v>
      </c>
      <c r="F27461">
        <v>9140115</v>
      </c>
      <c r="G27461" t="s">
        <v>26590</v>
      </c>
      <c r="H27461" s="21">
        <v>599.66999999999996</v>
      </c>
    </row>
    <row r="27462" spans="1:8" customFormat="1" x14ac:dyDescent="0.25">
      <c r="A27462" t="str">
        <f>"442970"</f>
        <v>442970</v>
      </c>
      <c r="B27462" t="s">
        <v>19829</v>
      </c>
      <c r="C27462" t="s">
        <v>453</v>
      </c>
      <c r="D27462" s="21" t="s">
        <v>34</v>
      </c>
      <c r="E27462" s="21" t="s">
        <v>1089</v>
      </c>
      <c r="F27462">
        <v>12440034</v>
      </c>
      <c r="G27462" t="s">
        <v>10586</v>
      </c>
      <c r="H27462" s="21">
        <v>599.66999999999996</v>
      </c>
    </row>
    <row r="27463" spans="1:8" customFormat="1" x14ac:dyDescent="0.25">
      <c r="A27463" t="str">
        <f>"2112279"</f>
        <v>2112279</v>
      </c>
      <c r="B27463" t="s">
        <v>15769</v>
      </c>
      <c r="C27463" t="s">
        <v>253</v>
      </c>
      <c r="D27463" s="21" t="s">
        <v>34</v>
      </c>
      <c r="E27463" s="21" t="s">
        <v>254</v>
      </c>
      <c r="F27463">
        <v>2210048</v>
      </c>
      <c r="G27463" t="s">
        <v>7499</v>
      </c>
      <c r="H27463" s="21">
        <v>599.66999999999996</v>
      </c>
    </row>
    <row r="27464" spans="1:8" customFormat="1" x14ac:dyDescent="0.25">
      <c r="A27464" t="str">
        <f>"1315726"</f>
        <v>1315726</v>
      </c>
      <c r="B27464" t="s">
        <v>18964</v>
      </c>
      <c r="C27464" t="s">
        <v>462</v>
      </c>
      <c r="D27464" s="21" t="s">
        <v>34</v>
      </c>
      <c r="E27464" s="21" t="s">
        <v>71</v>
      </c>
      <c r="F27464">
        <v>13130118</v>
      </c>
      <c r="G27464" t="s">
        <v>27466</v>
      </c>
      <c r="H27464" s="21">
        <v>599.66999999999996</v>
      </c>
    </row>
    <row r="27465" spans="1:8" customFormat="1" x14ac:dyDescent="0.25">
      <c r="A27465" t="str">
        <f>"6213685"</f>
        <v>6213685</v>
      </c>
      <c r="B27465" t="s">
        <v>18561</v>
      </c>
      <c r="C27465" t="s">
        <v>462</v>
      </c>
      <c r="D27465" s="21" t="s">
        <v>34</v>
      </c>
      <c r="E27465" s="21" t="s">
        <v>71</v>
      </c>
      <c r="F27465">
        <v>7620078</v>
      </c>
      <c r="G27465" t="s">
        <v>7192</v>
      </c>
      <c r="H27465" s="21">
        <v>599.66999999999996</v>
      </c>
    </row>
    <row r="27466" spans="1:8" customFormat="1" x14ac:dyDescent="0.25">
      <c r="A27466" t="str">
        <f>"371264"</f>
        <v>371264</v>
      </c>
      <c r="B27466" t="s">
        <v>20470</v>
      </c>
      <c r="C27466" t="s">
        <v>156</v>
      </c>
      <c r="D27466" s="21" t="s">
        <v>34</v>
      </c>
      <c r="E27466" s="21" t="s">
        <v>254</v>
      </c>
      <c r="F27466">
        <v>4370465</v>
      </c>
      <c r="G27466" t="s">
        <v>26922</v>
      </c>
      <c r="H27466" s="21">
        <v>599.66999999999996</v>
      </c>
    </row>
    <row r="27467" spans="1:8" customFormat="1" x14ac:dyDescent="0.25">
      <c r="A27467" t="str">
        <f>"364265"</f>
        <v>364265</v>
      </c>
      <c r="B27467" t="s">
        <v>19300</v>
      </c>
      <c r="C27467" t="s">
        <v>253</v>
      </c>
      <c r="D27467" s="21" t="s">
        <v>34</v>
      </c>
      <c r="E27467" s="21" t="s">
        <v>71</v>
      </c>
      <c r="F27467">
        <v>4360340</v>
      </c>
      <c r="G27467" t="s">
        <v>14132</v>
      </c>
      <c r="H27467" s="21">
        <v>599.66999999999996</v>
      </c>
    </row>
    <row r="27468" spans="1:8" customFormat="1" x14ac:dyDescent="0.25">
      <c r="A27468" t="str">
        <f>"0616666"</f>
        <v>0616666</v>
      </c>
      <c r="B27468" t="s">
        <v>19486</v>
      </c>
      <c r="C27468" t="s">
        <v>2305</v>
      </c>
      <c r="D27468" s="21" t="s">
        <v>34</v>
      </c>
      <c r="E27468" s="21" t="s">
        <v>254</v>
      </c>
      <c r="F27468">
        <v>13060090</v>
      </c>
      <c r="G27468" t="s">
        <v>1363</v>
      </c>
      <c r="H27468" s="21">
        <v>599.66999999999996</v>
      </c>
    </row>
    <row r="27469" spans="1:8" customFormat="1" x14ac:dyDescent="0.25">
      <c r="A27469" t="str">
        <f>"37433"</f>
        <v>37433</v>
      </c>
      <c r="B27469" t="s">
        <v>4419</v>
      </c>
      <c r="C27469" t="s">
        <v>598</v>
      </c>
      <c r="D27469" s="21" t="s">
        <v>34</v>
      </c>
      <c r="E27469" s="21" t="s">
        <v>1089</v>
      </c>
      <c r="F27469">
        <v>4370015</v>
      </c>
      <c r="G27469" t="s">
        <v>17941</v>
      </c>
      <c r="H27469" s="21">
        <v>599.66999999999996</v>
      </c>
    </row>
    <row r="27470" spans="1:8" customFormat="1" x14ac:dyDescent="0.25">
      <c r="A27470" t="str">
        <f>"5324807"</f>
        <v>5324807</v>
      </c>
      <c r="B27470" t="s">
        <v>431</v>
      </c>
      <c r="C27470" t="s">
        <v>174</v>
      </c>
      <c r="D27470" s="21" t="s">
        <v>34</v>
      </c>
      <c r="E27470" s="21" t="s">
        <v>35</v>
      </c>
      <c r="F27470">
        <v>12530147</v>
      </c>
      <c r="G27470" t="s">
        <v>1851</v>
      </c>
      <c r="H27470" s="21">
        <v>599.66999999999996</v>
      </c>
    </row>
    <row r="27471" spans="1:8" customFormat="1" x14ac:dyDescent="0.25">
      <c r="A27471" t="str">
        <f>"44787"</f>
        <v>44787</v>
      </c>
      <c r="B27471" t="s">
        <v>1886</v>
      </c>
      <c r="C27471" t="s">
        <v>202</v>
      </c>
      <c r="D27471" s="21" t="s">
        <v>34</v>
      </c>
      <c r="E27471" s="21" t="s">
        <v>1089</v>
      </c>
      <c r="F27471">
        <v>12440259</v>
      </c>
      <c r="G27471" t="s">
        <v>833</v>
      </c>
      <c r="H27471" s="21">
        <v>599.66999999999996</v>
      </c>
    </row>
    <row r="27472" spans="1:8" customFormat="1" x14ac:dyDescent="0.25">
      <c r="A27472" t="str">
        <f>"5729938"</f>
        <v>5729938</v>
      </c>
      <c r="B27472" t="s">
        <v>21052</v>
      </c>
      <c r="C27472" t="s">
        <v>169</v>
      </c>
      <c r="D27472" s="21" t="s">
        <v>34</v>
      </c>
      <c r="E27472" s="21" t="s">
        <v>71</v>
      </c>
      <c r="F27472">
        <v>6570107</v>
      </c>
      <c r="G27472" t="s">
        <v>5598</v>
      </c>
      <c r="H27472" s="21">
        <v>599.66999999999996</v>
      </c>
    </row>
    <row r="27473" spans="1:8" customFormat="1" x14ac:dyDescent="0.25">
      <c r="A27473" t="str">
        <f>"7114023"</f>
        <v>7114023</v>
      </c>
      <c r="B27473" t="s">
        <v>20288</v>
      </c>
      <c r="C27473" t="s">
        <v>82</v>
      </c>
      <c r="D27473" s="21" t="s">
        <v>34</v>
      </c>
      <c r="E27473" s="21" t="s">
        <v>35</v>
      </c>
      <c r="F27473">
        <v>2710083</v>
      </c>
      <c r="G27473" t="s">
        <v>17590</v>
      </c>
      <c r="H27473" s="21">
        <v>599.16999999999996</v>
      </c>
    </row>
    <row r="27474" spans="1:8" customFormat="1" x14ac:dyDescent="0.25">
      <c r="A27474" t="str">
        <f>"5734452"</f>
        <v>5734452</v>
      </c>
      <c r="B27474" t="s">
        <v>1263</v>
      </c>
      <c r="C27474" t="s">
        <v>1146</v>
      </c>
      <c r="D27474" s="21" t="s">
        <v>34</v>
      </c>
      <c r="E27474" s="21" t="s">
        <v>71</v>
      </c>
      <c r="F27474">
        <v>6570154</v>
      </c>
      <c r="G27474" t="s">
        <v>3935</v>
      </c>
      <c r="H27474" s="21">
        <v>599.16999999999996</v>
      </c>
    </row>
    <row r="27475" spans="1:8" customFormat="1" x14ac:dyDescent="0.25">
      <c r="A27475" t="str">
        <f>"555139"</f>
        <v>555139</v>
      </c>
      <c r="B27475" t="s">
        <v>8553</v>
      </c>
      <c r="C27475" t="s">
        <v>2305</v>
      </c>
      <c r="D27475" s="21" t="s">
        <v>34</v>
      </c>
      <c r="E27475" s="21" t="s">
        <v>6185</v>
      </c>
      <c r="F27475">
        <v>6550007</v>
      </c>
      <c r="G27475" t="s">
        <v>1688</v>
      </c>
      <c r="H27475" s="21">
        <v>599.16999999999996</v>
      </c>
    </row>
    <row r="27476" spans="1:8" customFormat="1" x14ac:dyDescent="0.25">
      <c r="A27476" t="str">
        <f>"808257"</f>
        <v>808257</v>
      </c>
      <c r="B27476" t="s">
        <v>7163</v>
      </c>
      <c r="C27476" t="s">
        <v>139</v>
      </c>
      <c r="D27476" s="21" t="s">
        <v>34</v>
      </c>
      <c r="E27476" s="21" t="s">
        <v>35</v>
      </c>
      <c r="F27476">
        <v>1730068</v>
      </c>
      <c r="G27476" t="s">
        <v>3375</v>
      </c>
      <c r="H27476" s="21">
        <v>599.16999999999996</v>
      </c>
    </row>
    <row r="27477" spans="1:8" customFormat="1" x14ac:dyDescent="0.25">
      <c r="A27477" t="str">
        <f>"832952"</f>
        <v>832952</v>
      </c>
      <c r="B27477" t="s">
        <v>1321</v>
      </c>
      <c r="C27477" t="s">
        <v>412</v>
      </c>
      <c r="D27477" s="21" t="s">
        <v>34</v>
      </c>
      <c r="E27477" s="21" t="s">
        <v>6185</v>
      </c>
      <c r="F27477">
        <v>13130161</v>
      </c>
      <c r="G27477" t="s">
        <v>1171</v>
      </c>
      <c r="H27477" s="21">
        <v>599.16999999999996</v>
      </c>
    </row>
    <row r="27478" spans="1:8" customFormat="1" x14ac:dyDescent="0.25">
      <c r="A27478" t="str">
        <f>"2932659"</f>
        <v>2932659</v>
      </c>
      <c r="B27478" t="s">
        <v>21290</v>
      </c>
      <c r="C27478" t="s">
        <v>62</v>
      </c>
      <c r="D27478" s="21" t="s">
        <v>34</v>
      </c>
      <c r="E27478" s="21" t="s">
        <v>71</v>
      </c>
      <c r="F27478">
        <v>3290006</v>
      </c>
      <c r="G27478" t="s">
        <v>13009</v>
      </c>
      <c r="H27478" s="21">
        <v>599.16999999999996</v>
      </c>
    </row>
    <row r="27479" spans="1:8" customFormat="1" x14ac:dyDescent="0.25">
      <c r="A27479" t="str">
        <f>"1314321"</f>
        <v>1314321</v>
      </c>
      <c r="B27479" t="s">
        <v>19938</v>
      </c>
      <c r="C27479" t="s">
        <v>772</v>
      </c>
      <c r="D27479" s="21" t="s">
        <v>34</v>
      </c>
      <c r="E27479" s="21" t="s">
        <v>35</v>
      </c>
      <c r="F27479">
        <v>13130158</v>
      </c>
      <c r="G27479" t="s">
        <v>3215</v>
      </c>
      <c r="H27479" s="21">
        <v>599.16999999999996</v>
      </c>
    </row>
    <row r="27480" spans="1:8" customFormat="1" x14ac:dyDescent="0.25">
      <c r="A27480" t="str">
        <f>"136648"</f>
        <v>136648</v>
      </c>
      <c r="B27480" t="s">
        <v>8591</v>
      </c>
      <c r="C27480" t="s">
        <v>2520</v>
      </c>
      <c r="D27480" s="21" t="s">
        <v>34</v>
      </c>
      <c r="E27480" s="21" t="s">
        <v>254</v>
      </c>
      <c r="F27480">
        <v>13130067</v>
      </c>
      <c r="G27480" t="s">
        <v>1420</v>
      </c>
      <c r="H27480" s="21">
        <v>599.16999999999996</v>
      </c>
    </row>
    <row r="27481" spans="1:8" customFormat="1" x14ac:dyDescent="0.25">
      <c r="A27481" t="str">
        <f>"7861996"</f>
        <v>7861996</v>
      </c>
      <c r="B27481" t="s">
        <v>21043</v>
      </c>
      <c r="C27481" t="s">
        <v>169</v>
      </c>
      <c r="D27481" s="21" t="s">
        <v>34</v>
      </c>
      <c r="E27481" s="21" t="s">
        <v>71</v>
      </c>
      <c r="F27481">
        <v>8780529</v>
      </c>
      <c r="G27481" t="s">
        <v>8624</v>
      </c>
      <c r="H27481" s="21">
        <v>599.16999999999996</v>
      </c>
    </row>
    <row r="27482" spans="1:8" customFormat="1" x14ac:dyDescent="0.25">
      <c r="A27482" t="str">
        <f>"5019051"</f>
        <v>5019051</v>
      </c>
      <c r="B27482" t="s">
        <v>1198</v>
      </c>
      <c r="C27482" t="s">
        <v>328</v>
      </c>
      <c r="D27482" s="21" t="s">
        <v>34</v>
      </c>
      <c r="E27482" s="21" t="s">
        <v>35</v>
      </c>
      <c r="F27482">
        <v>9500111</v>
      </c>
      <c r="G27482" t="s">
        <v>6591</v>
      </c>
      <c r="H27482" s="21">
        <v>599.16999999999996</v>
      </c>
    </row>
    <row r="27483" spans="1:8" customFormat="1" x14ac:dyDescent="0.25">
      <c r="A27483" t="str">
        <f>"5982435"</f>
        <v>5982435</v>
      </c>
      <c r="B27483" t="s">
        <v>27977</v>
      </c>
      <c r="C27483" t="s">
        <v>209</v>
      </c>
      <c r="D27483" s="21" t="s">
        <v>34</v>
      </c>
      <c r="E27483" s="21" t="s">
        <v>71</v>
      </c>
      <c r="F27483">
        <v>7590170</v>
      </c>
      <c r="G27483" t="s">
        <v>868</v>
      </c>
      <c r="H27483" s="21">
        <v>599.16999999999996</v>
      </c>
    </row>
    <row r="27484" spans="1:8" customFormat="1" x14ac:dyDescent="0.25">
      <c r="A27484" t="str">
        <f>"4429058"</f>
        <v>4429058</v>
      </c>
      <c r="B27484" t="s">
        <v>6593</v>
      </c>
      <c r="C27484" t="s">
        <v>263</v>
      </c>
      <c r="D27484" s="21" t="s">
        <v>34</v>
      </c>
      <c r="E27484" s="21" t="s">
        <v>35</v>
      </c>
      <c r="F27484">
        <v>3350030</v>
      </c>
      <c r="G27484" t="s">
        <v>4549</v>
      </c>
      <c r="H27484" s="21">
        <v>599.16999999999996</v>
      </c>
    </row>
    <row r="27485" spans="1:8" customFormat="1" x14ac:dyDescent="0.25">
      <c r="A27485" t="str">
        <f>"183072"</f>
        <v>183072</v>
      </c>
      <c r="B27485" t="s">
        <v>19293</v>
      </c>
      <c r="C27485" t="s">
        <v>2276</v>
      </c>
      <c r="D27485" s="21" t="s">
        <v>34</v>
      </c>
      <c r="E27485" s="21" t="s">
        <v>1089</v>
      </c>
      <c r="F27485">
        <v>10470021</v>
      </c>
      <c r="G27485" t="s">
        <v>1034</v>
      </c>
      <c r="H27485" s="21">
        <v>599.16999999999996</v>
      </c>
    </row>
    <row r="27486" spans="1:8" customFormat="1" x14ac:dyDescent="0.25">
      <c r="A27486" t="str">
        <f>"715476"</f>
        <v>715476</v>
      </c>
      <c r="B27486" t="s">
        <v>20562</v>
      </c>
      <c r="C27486" t="s">
        <v>1705</v>
      </c>
      <c r="D27486" s="21" t="s">
        <v>34</v>
      </c>
      <c r="E27486" s="21" t="s">
        <v>71</v>
      </c>
      <c r="F27486">
        <v>2710067</v>
      </c>
      <c r="G27486" t="s">
        <v>284</v>
      </c>
      <c r="H27486" s="21">
        <v>599.16999999999996</v>
      </c>
    </row>
    <row r="27487" spans="1:8" customFormat="1" x14ac:dyDescent="0.25">
      <c r="A27487" t="str">
        <f>"5972621"</f>
        <v>5972621</v>
      </c>
      <c r="B27487" t="s">
        <v>19210</v>
      </c>
      <c r="C27487" t="s">
        <v>3073</v>
      </c>
      <c r="D27487" s="21" t="s">
        <v>34</v>
      </c>
      <c r="E27487" s="21" t="s">
        <v>35</v>
      </c>
      <c r="F27487">
        <v>7590269</v>
      </c>
      <c r="G27487" t="s">
        <v>873</v>
      </c>
      <c r="H27487" s="21">
        <v>599.16999999999996</v>
      </c>
    </row>
    <row r="27488" spans="1:8" customFormat="1" x14ac:dyDescent="0.25">
      <c r="A27488" t="str">
        <f>"6232236"</f>
        <v>6232236</v>
      </c>
      <c r="B27488" t="s">
        <v>21215</v>
      </c>
      <c r="C27488" t="s">
        <v>926</v>
      </c>
      <c r="D27488" s="21" t="s">
        <v>34</v>
      </c>
      <c r="E27488" s="21" t="s">
        <v>71</v>
      </c>
      <c r="F27488">
        <v>7620182</v>
      </c>
      <c r="G27488" t="s">
        <v>11480</v>
      </c>
      <c r="H27488" s="21">
        <v>599.16999999999996</v>
      </c>
    </row>
    <row r="27489" spans="1:8" customFormat="1" x14ac:dyDescent="0.25">
      <c r="A27489" t="str">
        <f>"9445580"</f>
        <v>9445580</v>
      </c>
      <c r="B27489" t="s">
        <v>22030</v>
      </c>
      <c r="C27489" t="s">
        <v>2752</v>
      </c>
      <c r="D27489" s="21" t="s">
        <v>34</v>
      </c>
      <c r="E27489" s="21" t="s">
        <v>71</v>
      </c>
      <c r="F27489">
        <v>8940052</v>
      </c>
      <c r="G27489" t="s">
        <v>190</v>
      </c>
      <c r="H27489" s="21">
        <v>599.16999999999996</v>
      </c>
    </row>
    <row r="27490" spans="1:8" customFormat="1" x14ac:dyDescent="0.25">
      <c r="A27490" t="str">
        <f>"4918229"</f>
        <v>4918229</v>
      </c>
      <c r="B27490" t="s">
        <v>19381</v>
      </c>
      <c r="C27490" t="s">
        <v>40</v>
      </c>
      <c r="D27490" s="21" t="s">
        <v>34</v>
      </c>
      <c r="E27490" s="21" t="s">
        <v>35</v>
      </c>
      <c r="F27490">
        <v>12490080</v>
      </c>
      <c r="G27490" t="s">
        <v>5692</v>
      </c>
      <c r="H27490" s="21">
        <v>599.16999999999996</v>
      </c>
    </row>
    <row r="27491" spans="1:8" customFormat="1" x14ac:dyDescent="0.25">
      <c r="A27491" t="str">
        <f>"7636654"</f>
        <v>7636654</v>
      </c>
      <c r="B27491" t="s">
        <v>3691</v>
      </c>
      <c r="C27491" t="s">
        <v>249</v>
      </c>
      <c r="D27491" s="21" t="s">
        <v>34</v>
      </c>
      <c r="E27491" s="21" t="s">
        <v>71</v>
      </c>
      <c r="F27491">
        <v>9760425</v>
      </c>
      <c r="G27491" t="s">
        <v>5012</v>
      </c>
      <c r="H27491" s="21">
        <v>599.16999999999996</v>
      </c>
    </row>
    <row r="27492" spans="1:8" customFormat="1" x14ac:dyDescent="0.25">
      <c r="A27492" t="str">
        <f>"3518988"</f>
        <v>3518988</v>
      </c>
      <c r="B27492" t="s">
        <v>4368</v>
      </c>
      <c r="C27492" t="s">
        <v>547</v>
      </c>
      <c r="D27492" s="21" t="s">
        <v>34</v>
      </c>
      <c r="E27492" s="21" t="s">
        <v>71</v>
      </c>
      <c r="F27492">
        <v>3350122</v>
      </c>
      <c r="G27492" t="s">
        <v>3069</v>
      </c>
      <c r="H27492" s="21">
        <v>599.16999999999996</v>
      </c>
    </row>
    <row r="27493" spans="1:8" customFormat="1" x14ac:dyDescent="0.25">
      <c r="A27493" t="str">
        <f>"124585"</f>
        <v>124585</v>
      </c>
      <c r="B27493" t="s">
        <v>186</v>
      </c>
      <c r="C27493" t="s">
        <v>139</v>
      </c>
      <c r="D27493" s="21" t="s">
        <v>34</v>
      </c>
      <c r="E27493" s="21" t="s">
        <v>35</v>
      </c>
      <c r="F27493">
        <v>11120051</v>
      </c>
      <c r="G27493" t="s">
        <v>13985</v>
      </c>
      <c r="H27493" s="21">
        <v>599.16999999999996</v>
      </c>
    </row>
    <row r="27494" spans="1:8" customFormat="1" x14ac:dyDescent="0.25">
      <c r="A27494" t="str">
        <f>"6313600"</f>
        <v>6313600</v>
      </c>
      <c r="B27494" t="s">
        <v>18251</v>
      </c>
      <c r="C27494" t="s">
        <v>328</v>
      </c>
      <c r="D27494" s="21" t="s">
        <v>34</v>
      </c>
      <c r="E27494" s="21" t="s">
        <v>35</v>
      </c>
      <c r="F27494">
        <v>1630005</v>
      </c>
      <c r="G27494" t="s">
        <v>8825</v>
      </c>
      <c r="H27494" s="21">
        <v>599.16999999999996</v>
      </c>
    </row>
    <row r="27495" spans="1:8" customFormat="1" x14ac:dyDescent="0.25">
      <c r="A27495" t="str">
        <f>"7724203"</f>
        <v>7724203</v>
      </c>
      <c r="B27495" t="s">
        <v>18203</v>
      </c>
      <c r="C27495" t="s">
        <v>87</v>
      </c>
      <c r="D27495" s="21" t="s">
        <v>34</v>
      </c>
      <c r="E27495" s="21" t="s">
        <v>35</v>
      </c>
      <c r="F27495">
        <v>8770237</v>
      </c>
      <c r="G27495" t="s">
        <v>128</v>
      </c>
      <c r="H27495" s="21">
        <v>599.16999999999996</v>
      </c>
    </row>
    <row r="27496" spans="1:8" customFormat="1" x14ac:dyDescent="0.25">
      <c r="A27496" t="str">
        <f>"4433754"</f>
        <v>4433754</v>
      </c>
      <c r="B27496" t="s">
        <v>21020</v>
      </c>
      <c r="C27496" t="s">
        <v>156</v>
      </c>
      <c r="D27496" s="21" t="s">
        <v>34</v>
      </c>
      <c r="E27496" s="21" t="s">
        <v>254</v>
      </c>
      <c r="F27496">
        <v>12440048</v>
      </c>
      <c r="G27496" t="s">
        <v>2090</v>
      </c>
      <c r="H27496" s="21">
        <v>599.16999999999996</v>
      </c>
    </row>
    <row r="27497" spans="1:8" customFormat="1" x14ac:dyDescent="0.25">
      <c r="A27497" t="str">
        <f>"9140554"</f>
        <v>9140554</v>
      </c>
      <c r="B27497" t="s">
        <v>20515</v>
      </c>
      <c r="C27497" t="s">
        <v>65</v>
      </c>
      <c r="D27497" s="21" t="s">
        <v>34</v>
      </c>
      <c r="E27497" s="21" t="s">
        <v>35</v>
      </c>
      <c r="F27497">
        <v>8910861</v>
      </c>
      <c r="G27497" t="s">
        <v>1120</v>
      </c>
      <c r="H27497" s="21">
        <v>599.04</v>
      </c>
    </row>
    <row r="27498" spans="1:8" customFormat="1" x14ac:dyDescent="0.25">
      <c r="A27498" t="str">
        <f>"303984"</f>
        <v>303984</v>
      </c>
      <c r="B27498" t="s">
        <v>18025</v>
      </c>
      <c r="C27498" t="s">
        <v>209</v>
      </c>
      <c r="D27498" s="21" t="s">
        <v>34</v>
      </c>
      <c r="E27498" s="21" t="s">
        <v>71</v>
      </c>
      <c r="F27498">
        <v>11300014</v>
      </c>
      <c r="G27498" t="s">
        <v>2345</v>
      </c>
      <c r="H27498" s="21">
        <v>599.04</v>
      </c>
    </row>
    <row r="27499" spans="1:8" customFormat="1" x14ac:dyDescent="0.25">
      <c r="A27499" t="str">
        <f>"579180"</f>
        <v>579180</v>
      </c>
      <c r="B27499" t="s">
        <v>19777</v>
      </c>
      <c r="C27499" t="s">
        <v>415</v>
      </c>
      <c r="D27499" s="21" t="s">
        <v>34</v>
      </c>
      <c r="E27499" s="21" t="s">
        <v>254</v>
      </c>
      <c r="F27499">
        <v>6570093</v>
      </c>
      <c r="G27499" t="s">
        <v>6118</v>
      </c>
      <c r="H27499" s="21">
        <v>599</v>
      </c>
    </row>
    <row r="27500" spans="1:8" customFormat="1" x14ac:dyDescent="0.25">
      <c r="A27500" t="str">
        <f>"5984457"</f>
        <v>5984457</v>
      </c>
      <c r="B27500" t="s">
        <v>27978</v>
      </c>
      <c r="C27500" t="s">
        <v>169</v>
      </c>
      <c r="D27500" s="21" t="s">
        <v>34</v>
      </c>
      <c r="E27500" s="21" t="s">
        <v>71</v>
      </c>
      <c r="F27500">
        <v>7590080</v>
      </c>
      <c r="G27500" t="s">
        <v>1715</v>
      </c>
      <c r="H27500" s="21">
        <v>599</v>
      </c>
    </row>
    <row r="27501" spans="1:8" customFormat="1" x14ac:dyDescent="0.25">
      <c r="A27501" t="str">
        <f>"7868994"</f>
        <v>7868994</v>
      </c>
      <c r="B27501" t="s">
        <v>12123</v>
      </c>
      <c r="C27501" t="s">
        <v>4238</v>
      </c>
      <c r="D27501" s="21" t="s">
        <v>34</v>
      </c>
      <c r="E27501" s="21" t="s">
        <v>35</v>
      </c>
      <c r="F27501">
        <v>3350090</v>
      </c>
      <c r="G27501" t="s">
        <v>9659</v>
      </c>
      <c r="H27501" s="21">
        <v>598.66999999999996</v>
      </c>
    </row>
    <row r="27502" spans="1:8" customFormat="1" x14ac:dyDescent="0.25">
      <c r="A27502" t="str">
        <f>"5951369"</f>
        <v>5951369</v>
      </c>
      <c r="B27502" t="s">
        <v>20004</v>
      </c>
      <c r="C27502" t="s">
        <v>415</v>
      </c>
      <c r="D27502" s="21" t="s">
        <v>34</v>
      </c>
      <c r="E27502" s="21" t="s">
        <v>71</v>
      </c>
      <c r="F27502">
        <v>7590400</v>
      </c>
      <c r="G27502" t="s">
        <v>26692</v>
      </c>
      <c r="H27502" s="21">
        <v>598.66999999999996</v>
      </c>
    </row>
    <row r="27503" spans="1:8" customFormat="1" x14ac:dyDescent="0.25">
      <c r="A27503" t="str">
        <f>"589336"</f>
        <v>589336</v>
      </c>
      <c r="B27503" t="s">
        <v>650</v>
      </c>
      <c r="C27503" t="s">
        <v>763</v>
      </c>
      <c r="D27503" s="21" t="s">
        <v>34</v>
      </c>
      <c r="E27503" s="21" t="s">
        <v>35</v>
      </c>
      <c r="F27503">
        <v>2580078</v>
      </c>
      <c r="G27503" t="s">
        <v>4432</v>
      </c>
      <c r="H27503" s="21">
        <v>598.66999999999996</v>
      </c>
    </row>
    <row r="27504" spans="1:8" customFormat="1" x14ac:dyDescent="0.25">
      <c r="A27504" t="str">
        <f>"868200"</f>
        <v>868200</v>
      </c>
      <c r="B27504" t="s">
        <v>3146</v>
      </c>
      <c r="C27504" t="s">
        <v>187</v>
      </c>
      <c r="D27504" s="21" t="s">
        <v>34</v>
      </c>
      <c r="E27504" s="21" t="s">
        <v>71</v>
      </c>
      <c r="F27504">
        <v>10860017</v>
      </c>
      <c r="G27504" t="s">
        <v>2439</v>
      </c>
      <c r="H27504" s="21">
        <v>598.66999999999996</v>
      </c>
    </row>
    <row r="27505" spans="1:8" customFormat="1" x14ac:dyDescent="0.25">
      <c r="A27505" t="str">
        <f>"9D527"</f>
        <v>9D527</v>
      </c>
      <c r="B27505" t="s">
        <v>2403</v>
      </c>
      <c r="C27505" t="s">
        <v>21625</v>
      </c>
      <c r="D27505" s="21" t="s">
        <v>34</v>
      </c>
      <c r="E27505" s="21" t="s">
        <v>71</v>
      </c>
      <c r="F27505" t="s">
        <v>5881</v>
      </c>
      <c r="G27505" t="s">
        <v>5882</v>
      </c>
      <c r="H27505" s="21">
        <v>598.66999999999996</v>
      </c>
    </row>
    <row r="27506" spans="1:8" customFormat="1" x14ac:dyDescent="0.25">
      <c r="A27506" t="str">
        <f>"735384"</f>
        <v>735384</v>
      </c>
      <c r="B27506" t="s">
        <v>19468</v>
      </c>
      <c r="C27506" t="s">
        <v>462</v>
      </c>
      <c r="D27506" s="21" t="s">
        <v>34</v>
      </c>
      <c r="E27506" s="21" t="s">
        <v>71</v>
      </c>
      <c r="F27506">
        <v>1730007</v>
      </c>
      <c r="G27506" t="s">
        <v>6989</v>
      </c>
      <c r="H27506" s="21">
        <v>598.66999999999996</v>
      </c>
    </row>
    <row r="27507" spans="1:8" customFormat="1" x14ac:dyDescent="0.25">
      <c r="A27507" t="str">
        <f>"3324554"</f>
        <v>3324554</v>
      </c>
      <c r="B27507" t="s">
        <v>19330</v>
      </c>
      <c r="C27507" t="s">
        <v>33</v>
      </c>
      <c r="D27507" s="21" t="s">
        <v>34</v>
      </c>
      <c r="E27507" s="21" t="s">
        <v>71</v>
      </c>
      <c r="F27507">
        <v>10330086</v>
      </c>
      <c r="G27507" t="s">
        <v>785</v>
      </c>
      <c r="H27507" s="21">
        <v>598.66999999999996</v>
      </c>
    </row>
    <row r="27508" spans="1:8" customFormat="1" x14ac:dyDescent="0.25">
      <c r="A27508" t="str">
        <f>"3512227"</f>
        <v>3512227</v>
      </c>
      <c r="B27508" t="s">
        <v>1185</v>
      </c>
      <c r="C27508" t="s">
        <v>124</v>
      </c>
      <c r="D27508" s="21" t="s">
        <v>34</v>
      </c>
      <c r="E27508" s="21" t="s">
        <v>35</v>
      </c>
      <c r="F27508">
        <v>3350113</v>
      </c>
      <c r="G27508" t="s">
        <v>7631</v>
      </c>
      <c r="H27508" s="21">
        <v>598.66999999999996</v>
      </c>
    </row>
    <row r="27509" spans="1:8" customFormat="1" x14ac:dyDescent="0.25">
      <c r="A27509" t="str">
        <f>"188126"</f>
        <v>188126</v>
      </c>
      <c r="B27509" t="s">
        <v>853</v>
      </c>
      <c r="C27509" t="s">
        <v>209</v>
      </c>
      <c r="D27509" s="21" t="s">
        <v>34</v>
      </c>
      <c r="E27509" s="21" t="s">
        <v>71</v>
      </c>
      <c r="F27509">
        <v>4180696</v>
      </c>
      <c r="G27509" t="s">
        <v>3018</v>
      </c>
      <c r="H27509" s="21">
        <v>598.66999999999996</v>
      </c>
    </row>
    <row r="27510" spans="1:8" customFormat="1" x14ac:dyDescent="0.25">
      <c r="A27510" t="str">
        <f>"5726081"</f>
        <v>5726081</v>
      </c>
      <c r="B27510" t="s">
        <v>21827</v>
      </c>
      <c r="C27510" t="s">
        <v>239</v>
      </c>
      <c r="D27510" s="21" t="s">
        <v>34</v>
      </c>
      <c r="E27510" s="21" t="s">
        <v>254</v>
      </c>
      <c r="F27510">
        <v>6570169</v>
      </c>
      <c r="G27510" t="s">
        <v>15590</v>
      </c>
      <c r="H27510" s="21">
        <v>598.66999999999996</v>
      </c>
    </row>
    <row r="27511" spans="1:8" customFormat="1" x14ac:dyDescent="0.25">
      <c r="A27511" t="str">
        <f>"7641184"</f>
        <v>7641184</v>
      </c>
      <c r="B27511" t="s">
        <v>690</v>
      </c>
      <c r="C27511" t="s">
        <v>169</v>
      </c>
      <c r="D27511" s="21" t="s">
        <v>34</v>
      </c>
      <c r="E27511" s="21" t="s">
        <v>71</v>
      </c>
      <c r="F27511">
        <v>9760456</v>
      </c>
      <c r="G27511" t="s">
        <v>21573</v>
      </c>
      <c r="H27511" s="21">
        <v>598.66999999999996</v>
      </c>
    </row>
    <row r="27512" spans="1:8" customFormat="1" x14ac:dyDescent="0.25">
      <c r="A27512" t="str">
        <f>"379392"</f>
        <v>379392</v>
      </c>
      <c r="B27512" t="s">
        <v>19041</v>
      </c>
      <c r="C27512" t="s">
        <v>415</v>
      </c>
      <c r="D27512" s="21" t="s">
        <v>34</v>
      </c>
      <c r="E27512" s="21" t="s">
        <v>254</v>
      </c>
      <c r="F27512">
        <v>4370269</v>
      </c>
      <c r="G27512" t="s">
        <v>4277</v>
      </c>
      <c r="H27512" s="21">
        <v>598.66999999999996</v>
      </c>
    </row>
    <row r="27513" spans="1:8" customFormat="1" x14ac:dyDescent="0.25">
      <c r="A27513" t="str">
        <f>"7717896"</f>
        <v>7717896</v>
      </c>
      <c r="B27513" t="s">
        <v>6904</v>
      </c>
      <c r="C27513" t="s">
        <v>275</v>
      </c>
      <c r="D27513" s="21" t="s">
        <v>34</v>
      </c>
      <c r="E27513" s="21" t="s">
        <v>35</v>
      </c>
      <c r="F27513">
        <v>8771315</v>
      </c>
      <c r="G27513" t="s">
        <v>7070</v>
      </c>
      <c r="H27513" s="21">
        <v>598.66999999999996</v>
      </c>
    </row>
    <row r="27514" spans="1:8" customFormat="1" x14ac:dyDescent="0.25">
      <c r="A27514" t="str">
        <f>"8511956"</f>
        <v>8511956</v>
      </c>
      <c r="B27514" t="s">
        <v>2645</v>
      </c>
      <c r="C27514" t="s">
        <v>269</v>
      </c>
      <c r="D27514" s="21" t="s">
        <v>34</v>
      </c>
      <c r="E27514" s="21" t="s">
        <v>35</v>
      </c>
      <c r="F27514">
        <v>12440025</v>
      </c>
      <c r="G27514" t="s">
        <v>6675</v>
      </c>
      <c r="H27514" s="21">
        <v>598.66999999999996</v>
      </c>
    </row>
    <row r="27515" spans="1:8" customFormat="1" x14ac:dyDescent="0.25">
      <c r="A27515" t="str">
        <f>"4456139"</f>
        <v>4456139</v>
      </c>
      <c r="B27515" t="s">
        <v>8099</v>
      </c>
      <c r="C27515" t="s">
        <v>249</v>
      </c>
      <c r="D27515" s="21" t="s">
        <v>34</v>
      </c>
      <c r="E27515" s="21" t="s">
        <v>71</v>
      </c>
      <c r="F27515">
        <v>12440042</v>
      </c>
      <c r="G27515" t="s">
        <v>10312</v>
      </c>
      <c r="H27515" s="21">
        <v>598.66999999999996</v>
      </c>
    </row>
    <row r="27516" spans="1:8" customFormat="1" x14ac:dyDescent="0.25">
      <c r="A27516" t="str">
        <f>"104162"</f>
        <v>104162</v>
      </c>
      <c r="B27516" t="s">
        <v>12510</v>
      </c>
      <c r="C27516" t="s">
        <v>90</v>
      </c>
      <c r="D27516" s="21" t="s">
        <v>34</v>
      </c>
      <c r="E27516" s="21" t="s">
        <v>254</v>
      </c>
      <c r="F27516">
        <v>6100007</v>
      </c>
      <c r="G27516" t="s">
        <v>9706</v>
      </c>
      <c r="H27516" s="21">
        <v>598.66999999999996</v>
      </c>
    </row>
    <row r="27517" spans="1:8" customFormat="1" x14ac:dyDescent="0.25">
      <c r="A27517" t="str">
        <f>"8817636"</f>
        <v>8817636</v>
      </c>
      <c r="B27517" t="s">
        <v>21613</v>
      </c>
      <c r="C27517" t="s">
        <v>169</v>
      </c>
      <c r="D27517" s="21" t="s">
        <v>34</v>
      </c>
      <c r="E27517" s="21" t="s">
        <v>35</v>
      </c>
      <c r="F27517">
        <v>6880022</v>
      </c>
      <c r="G27517" t="s">
        <v>339</v>
      </c>
      <c r="H27517" s="21">
        <v>598.66999999999996</v>
      </c>
    </row>
    <row r="27518" spans="1:8" customFormat="1" x14ac:dyDescent="0.25">
      <c r="A27518" t="str">
        <f>"7911056"</f>
        <v>7911056</v>
      </c>
      <c r="B27518" t="s">
        <v>19125</v>
      </c>
      <c r="C27518" t="s">
        <v>33</v>
      </c>
      <c r="D27518" s="21" t="s">
        <v>34</v>
      </c>
      <c r="E27518" s="21" t="s">
        <v>35</v>
      </c>
      <c r="F27518">
        <v>10790158</v>
      </c>
      <c r="G27518" t="s">
        <v>9319</v>
      </c>
      <c r="H27518" s="21">
        <v>598.66999999999996</v>
      </c>
    </row>
    <row r="27519" spans="1:8" customFormat="1" x14ac:dyDescent="0.25">
      <c r="A27519" t="str">
        <f>"3011544"</f>
        <v>3011544</v>
      </c>
      <c r="B27519" t="s">
        <v>14797</v>
      </c>
      <c r="C27519" t="s">
        <v>253</v>
      </c>
      <c r="D27519" s="21" t="s">
        <v>34</v>
      </c>
      <c r="E27519" s="21" t="s">
        <v>71</v>
      </c>
      <c r="F27519">
        <v>11300024</v>
      </c>
      <c r="G27519" t="s">
        <v>11622</v>
      </c>
      <c r="H27519" s="21">
        <v>598.66999999999996</v>
      </c>
    </row>
    <row r="27520" spans="1:8" customFormat="1" x14ac:dyDescent="0.25">
      <c r="A27520" t="str">
        <f>"7113529"</f>
        <v>7113529</v>
      </c>
      <c r="B27520" t="s">
        <v>20410</v>
      </c>
      <c r="C27520" t="s">
        <v>249</v>
      </c>
      <c r="D27520" s="21" t="s">
        <v>34</v>
      </c>
      <c r="E27520" s="21" t="s">
        <v>35</v>
      </c>
      <c r="F27520">
        <v>2710083</v>
      </c>
      <c r="G27520" t="s">
        <v>17590</v>
      </c>
      <c r="H27520" s="21">
        <v>598.66999999999996</v>
      </c>
    </row>
    <row r="27521" spans="1:8" customFormat="1" x14ac:dyDescent="0.25">
      <c r="A27521" t="str">
        <f>"5967415"</f>
        <v>5967415</v>
      </c>
      <c r="B27521" t="s">
        <v>20870</v>
      </c>
      <c r="C27521" t="s">
        <v>269</v>
      </c>
      <c r="D27521" s="21" t="s">
        <v>34</v>
      </c>
      <c r="E27521" s="21" t="s">
        <v>254</v>
      </c>
      <c r="F27521">
        <v>7590034</v>
      </c>
      <c r="G27521" t="s">
        <v>17085</v>
      </c>
      <c r="H27521" s="21">
        <v>598.66999999999996</v>
      </c>
    </row>
    <row r="27522" spans="1:8" customFormat="1" x14ac:dyDescent="0.25">
      <c r="A27522" t="str">
        <f>"9529584"</f>
        <v>9529584</v>
      </c>
      <c r="B27522" t="s">
        <v>18046</v>
      </c>
      <c r="C27522" t="s">
        <v>3905</v>
      </c>
      <c r="D27522" s="21" t="s">
        <v>34</v>
      </c>
      <c r="E27522" s="21" t="s">
        <v>71</v>
      </c>
      <c r="F27522">
        <v>8950083</v>
      </c>
      <c r="G27522" t="s">
        <v>405</v>
      </c>
      <c r="H27522" s="21">
        <v>598.54</v>
      </c>
    </row>
    <row r="27523" spans="1:8" customFormat="1" x14ac:dyDescent="0.25">
      <c r="A27523" t="str">
        <f>"3330134"</f>
        <v>3330134</v>
      </c>
      <c r="B27523" t="s">
        <v>21073</v>
      </c>
      <c r="C27523" t="s">
        <v>462</v>
      </c>
      <c r="D27523" s="21" t="s">
        <v>34</v>
      </c>
      <c r="E27523" s="21" t="s">
        <v>71</v>
      </c>
      <c r="F27523">
        <v>10330078</v>
      </c>
      <c r="G27523" t="s">
        <v>7597</v>
      </c>
      <c r="H27523" s="21">
        <v>598.54</v>
      </c>
    </row>
    <row r="27524" spans="1:8" customFormat="1" x14ac:dyDescent="0.25">
      <c r="A27524" t="str">
        <f>"1712861"</f>
        <v>1712861</v>
      </c>
      <c r="B27524" t="s">
        <v>19685</v>
      </c>
      <c r="C27524" t="s">
        <v>1146</v>
      </c>
      <c r="D27524" s="21" t="s">
        <v>34</v>
      </c>
      <c r="E27524" s="21" t="s">
        <v>1089</v>
      </c>
      <c r="F27524">
        <v>10170012</v>
      </c>
      <c r="G27524" t="s">
        <v>14768</v>
      </c>
      <c r="H27524" s="21">
        <v>598.5</v>
      </c>
    </row>
    <row r="27525" spans="1:8" customFormat="1" x14ac:dyDescent="0.25">
      <c r="A27525" t="str">
        <f>"2940159"</f>
        <v>2940159</v>
      </c>
      <c r="B27525" t="s">
        <v>27979</v>
      </c>
      <c r="C27525" t="s">
        <v>209</v>
      </c>
      <c r="D27525" s="21" t="s">
        <v>34</v>
      </c>
      <c r="E27525" s="21" t="s">
        <v>35</v>
      </c>
      <c r="F27525">
        <v>3290273</v>
      </c>
      <c r="G27525" t="s">
        <v>2972</v>
      </c>
      <c r="H27525" s="21">
        <v>598.5</v>
      </c>
    </row>
    <row r="27526" spans="1:8" customFormat="1" x14ac:dyDescent="0.25">
      <c r="A27526" t="str">
        <f>"58603"</f>
        <v>58603</v>
      </c>
      <c r="B27526" t="s">
        <v>19796</v>
      </c>
      <c r="C27526" t="s">
        <v>547</v>
      </c>
      <c r="D27526" s="21" t="s">
        <v>34</v>
      </c>
      <c r="E27526" s="21" t="s">
        <v>6185</v>
      </c>
      <c r="F27526">
        <v>2580006</v>
      </c>
      <c r="G27526" t="s">
        <v>4813</v>
      </c>
      <c r="H27526" s="21">
        <v>598.41999999999996</v>
      </c>
    </row>
    <row r="27527" spans="1:8" customFormat="1" x14ac:dyDescent="0.25">
      <c r="A27527" t="str">
        <f>"1612763"</f>
        <v>1612763</v>
      </c>
      <c r="B27527" t="s">
        <v>2489</v>
      </c>
      <c r="C27527" t="s">
        <v>288</v>
      </c>
      <c r="D27527" s="21" t="s">
        <v>34</v>
      </c>
      <c r="E27527" s="21" t="s">
        <v>35</v>
      </c>
      <c r="F27527">
        <v>10160240</v>
      </c>
      <c r="G27527" t="s">
        <v>7095</v>
      </c>
      <c r="H27527" s="21">
        <v>598.41999999999996</v>
      </c>
    </row>
    <row r="27528" spans="1:8" customFormat="1" x14ac:dyDescent="0.25">
      <c r="A27528" t="str">
        <f>"9318853"</f>
        <v>9318853</v>
      </c>
      <c r="B27528" t="s">
        <v>4834</v>
      </c>
      <c r="C27528" t="s">
        <v>428</v>
      </c>
      <c r="D27528" s="21" t="s">
        <v>34</v>
      </c>
      <c r="E27528" s="21" t="s">
        <v>35</v>
      </c>
      <c r="F27528">
        <v>8930148</v>
      </c>
      <c r="G27528" t="s">
        <v>1915</v>
      </c>
      <c r="H27528" s="21">
        <v>598.41999999999996</v>
      </c>
    </row>
    <row r="27529" spans="1:8" customFormat="1" x14ac:dyDescent="0.25">
      <c r="A27529" t="str">
        <f>"698508"</f>
        <v>698508</v>
      </c>
      <c r="B27529" t="s">
        <v>16592</v>
      </c>
      <c r="C27529" t="s">
        <v>4842</v>
      </c>
      <c r="D27529" s="21" t="s">
        <v>34</v>
      </c>
      <c r="E27529" s="21" t="s">
        <v>254</v>
      </c>
      <c r="F27529">
        <v>1690224</v>
      </c>
      <c r="G27529" t="s">
        <v>27093</v>
      </c>
      <c r="H27529" s="21">
        <v>598.16999999999996</v>
      </c>
    </row>
    <row r="27530" spans="1:8" customFormat="1" x14ac:dyDescent="0.25">
      <c r="A27530" t="str">
        <f>"7730573"</f>
        <v>7730573</v>
      </c>
      <c r="B27530" t="s">
        <v>19686</v>
      </c>
      <c r="C27530" t="s">
        <v>19687</v>
      </c>
      <c r="D27530" s="21" t="s">
        <v>34</v>
      </c>
      <c r="E27530" s="21" t="s">
        <v>35</v>
      </c>
      <c r="F27530">
        <v>8770562</v>
      </c>
      <c r="G27530" t="s">
        <v>4847</v>
      </c>
      <c r="H27530" s="21">
        <v>598.16999999999996</v>
      </c>
    </row>
    <row r="27531" spans="1:8" customFormat="1" x14ac:dyDescent="0.25">
      <c r="A27531" t="str">
        <f>"9139152"</f>
        <v>9139152</v>
      </c>
      <c r="B27531" t="s">
        <v>17644</v>
      </c>
      <c r="C27531" t="s">
        <v>204</v>
      </c>
      <c r="D27531" s="21" t="s">
        <v>34</v>
      </c>
      <c r="E27531" s="21" t="s">
        <v>71</v>
      </c>
      <c r="F27531">
        <v>8911132</v>
      </c>
      <c r="G27531" t="s">
        <v>10728</v>
      </c>
      <c r="H27531" s="21">
        <v>598.16999999999996</v>
      </c>
    </row>
    <row r="27532" spans="1:8" customFormat="1" x14ac:dyDescent="0.25">
      <c r="A27532" t="str">
        <f>"3535094"</f>
        <v>3535094</v>
      </c>
      <c r="B27532" t="s">
        <v>1826</v>
      </c>
      <c r="C27532" t="s">
        <v>320</v>
      </c>
      <c r="D27532" s="21" t="s">
        <v>34</v>
      </c>
      <c r="E27532" s="21" t="s">
        <v>71</v>
      </c>
      <c r="F27532">
        <v>3350156</v>
      </c>
      <c r="G27532" t="s">
        <v>18238</v>
      </c>
      <c r="H27532" s="21">
        <v>598.16999999999996</v>
      </c>
    </row>
    <row r="27533" spans="1:8" customFormat="1" x14ac:dyDescent="0.25">
      <c r="A27533" t="str">
        <f>"2511670"</f>
        <v>2511670</v>
      </c>
      <c r="B27533" t="s">
        <v>4345</v>
      </c>
      <c r="C27533" t="s">
        <v>1446</v>
      </c>
      <c r="D27533" s="21" t="s">
        <v>34</v>
      </c>
      <c r="E27533" s="21" t="s">
        <v>35</v>
      </c>
      <c r="F27533">
        <v>2250208</v>
      </c>
      <c r="G27533" t="s">
        <v>10923</v>
      </c>
      <c r="H27533" s="21">
        <v>598.16999999999996</v>
      </c>
    </row>
    <row r="27534" spans="1:8" customFormat="1" x14ac:dyDescent="0.25">
      <c r="A27534" t="str">
        <f>"549652"</f>
        <v>549652</v>
      </c>
      <c r="B27534" t="s">
        <v>9251</v>
      </c>
      <c r="C27534" t="s">
        <v>547</v>
      </c>
      <c r="D27534" s="21" t="s">
        <v>34</v>
      </c>
      <c r="E27534" s="21" t="s">
        <v>1089</v>
      </c>
      <c r="F27534">
        <v>6540056</v>
      </c>
      <c r="G27534" t="s">
        <v>1136</v>
      </c>
      <c r="H27534" s="21">
        <v>598.16999999999996</v>
      </c>
    </row>
    <row r="27535" spans="1:8" customFormat="1" x14ac:dyDescent="0.25">
      <c r="A27535" t="str">
        <f>"9524829"</f>
        <v>9524829</v>
      </c>
      <c r="B27535" t="s">
        <v>650</v>
      </c>
      <c r="C27535" t="s">
        <v>3073</v>
      </c>
      <c r="D27535" s="21" t="s">
        <v>34</v>
      </c>
      <c r="E27535" s="21" t="s">
        <v>1089</v>
      </c>
      <c r="F27535">
        <v>8950978</v>
      </c>
      <c r="G27535" t="s">
        <v>1164</v>
      </c>
      <c r="H27535" s="21">
        <v>598.16999999999996</v>
      </c>
    </row>
    <row r="27536" spans="1:8" customFormat="1" x14ac:dyDescent="0.25">
      <c r="A27536" t="str">
        <f>"733040"</f>
        <v>733040</v>
      </c>
      <c r="B27536" t="s">
        <v>1550</v>
      </c>
      <c r="C27536" t="s">
        <v>879</v>
      </c>
      <c r="D27536" s="21" t="s">
        <v>34</v>
      </c>
      <c r="E27536" s="21" t="s">
        <v>254</v>
      </c>
      <c r="F27536">
        <v>1730048</v>
      </c>
      <c r="G27536" t="s">
        <v>3173</v>
      </c>
      <c r="H27536" s="21">
        <v>598.16999999999996</v>
      </c>
    </row>
    <row r="27537" spans="1:8" customFormat="1" x14ac:dyDescent="0.25">
      <c r="A27537" t="str">
        <f>"5983745"</f>
        <v>5983745</v>
      </c>
      <c r="B27537" t="s">
        <v>13342</v>
      </c>
      <c r="C27537" t="s">
        <v>598</v>
      </c>
      <c r="D27537" s="21" t="s">
        <v>34</v>
      </c>
      <c r="E27537" s="21" t="s">
        <v>35</v>
      </c>
      <c r="F27537">
        <v>7590153</v>
      </c>
      <c r="G27537" t="s">
        <v>9484</v>
      </c>
      <c r="H27537" s="21">
        <v>598.16999999999996</v>
      </c>
    </row>
    <row r="27538" spans="1:8" customFormat="1" x14ac:dyDescent="0.25">
      <c r="A27538" t="str">
        <f>"4421298"</f>
        <v>4421298</v>
      </c>
      <c r="B27538" t="s">
        <v>8910</v>
      </c>
      <c r="C27538" t="s">
        <v>249</v>
      </c>
      <c r="D27538" s="21" t="s">
        <v>34</v>
      </c>
      <c r="E27538" s="21" t="s">
        <v>71</v>
      </c>
      <c r="F27538">
        <v>12440081</v>
      </c>
      <c r="G27538" t="s">
        <v>617</v>
      </c>
      <c r="H27538" s="21">
        <v>598.16999999999996</v>
      </c>
    </row>
    <row r="27539" spans="1:8" customFormat="1" x14ac:dyDescent="0.25">
      <c r="A27539" t="str">
        <f>"4517648"</f>
        <v>4517648</v>
      </c>
      <c r="B27539" t="s">
        <v>20142</v>
      </c>
      <c r="C27539" t="s">
        <v>3987</v>
      </c>
      <c r="D27539" s="21" t="s">
        <v>34</v>
      </c>
      <c r="E27539" s="21" t="s">
        <v>1089</v>
      </c>
      <c r="F27539">
        <v>4450663</v>
      </c>
      <c r="G27539" t="s">
        <v>2527</v>
      </c>
      <c r="H27539" s="21">
        <v>598.16999999999996</v>
      </c>
    </row>
    <row r="27540" spans="1:8" customFormat="1" x14ac:dyDescent="0.25">
      <c r="A27540" t="str">
        <f>"534712"</f>
        <v>534712</v>
      </c>
      <c r="B27540" t="s">
        <v>9315</v>
      </c>
      <c r="C27540" t="s">
        <v>598</v>
      </c>
      <c r="D27540" s="21" t="s">
        <v>34</v>
      </c>
      <c r="E27540" s="21" t="s">
        <v>254</v>
      </c>
      <c r="F27540">
        <v>12530144</v>
      </c>
      <c r="G27540" t="s">
        <v>10892</v>
      </c>
      <c r="H27540" s="21">
        <v>598.16999999999996</v>
      </c>
    </row>
    <row r="27541" spans="1:8" customFormat="1" x14ac:dyDescent="0.25">
      <c r="A27541" t="str">
        <f>"6227112"</f>
        <v>6227112</v>
      </c>
      <c r="B27541" t="s">
        <v>21356</v>
      </c>
      <c r="C27541" t="s">
        <v>33</v>
      </c>
      <c r="D27541" s="21" t="s">
        <v>34</v>
      </c>
      <c r="E27541" s="21" t="s">
        <v>71</v>
      </c>
      <c r="F27541">
        <v>7620149</v>
      </c>
      <c r="G27541" t="s">
        <v>16598</v>
      </c>
      <c r="H27541" s="21">
        <v>598.16999999999996</v>
      </c>
    </row>
    <row r="27542" spans="1:8" customFormat="1" x14ac:dyDescent="0.25">
      <c r="A27542" t="str">
        <f>"7727903"</f>
        <v>7727903</v>
      </c>
      <c r="B27542" t="s">
        <v>26633</v>
      </c>
      <c r="C27542" t="s">
        <v>114</v>
      </c>
      <c r="D27542" s="21" t="s">
        <v>34</v>
      </c>
      <c r="E27542" s="21" t="s">
        <v>35</v>
      </c>
      <c r="F27542">
        <v>8770955</v>
      </c>
      <c r="G27542" t="s">
        <v>9946</v>
      </c>
      <c r="H27542" s="21">
        <v>598.16999999999996</v>
      </c>
    </row>
    <row r="27543" spans="1:8" customFormat="1" x14ac:dyDescent="0.25">
      <c r="A27543" t="str">
        <f>"7874571"</f>
        <v>7874571</v>
      </c>
      <c r="B27543" t="s">
        <v>21383</v>
      </c>
      <c r="C27543" t="s">
        <v>926</v>
      </c>
      <c r="D27543" s="21" t="s">
        <v>34</v>
      </c>
      <c r="E27543" s="21" t="s">
        <v>35</v>
      </c>
      <c r="F27543">
        <v>8780224</v>
      </c>
      <c r="G27543" t="s">
        <v>8599</v>
      </c>
      <c r="H27543" s="21">
        <v>598.16999999999996</v>
      </c>
    </row>
    <row r="27544" spans="1:8" customFormat="1" x14ac:dyDescent="0.25">
      <c r="A27544" t="str">
        <f>"4434126"</f>
        <v>4434126</v>
      </c>
      <c r="B27544" t="s">
        <v>19968</v>
      </c>
      <c r="C27544" t="s">
        <v>812</v>
      </c>
      <c r="D27544" s="21" t="s">
        <v>34</v>
      </c>
      <c r="E27544" s="21" t="s">
        <v>71</v>
      </c>
      <c r="F27544">
        <v>3350169</v>
      </c>
      <c r="G27544" t="s">
        <v>735</v>
      </c>
      <c r="H27544" s="21">
        <v>598.16999999999996</v>
      </c>
    </row>
    <row r="27545" spans="1:8" customFormat="1" x14ac:dyDescent="0.25">
      <c r="A27545" t="str">
        <f>"3532933"</f>
        <v>3532933</v>
      </c>
      <c r="B27545" t="s">
        <v>18831</v>
      </c>
      <c r="C27545" t="s">
        <v>204</v>
      </c>
      <c r="D27545" s="21" t="s">
        <v>34</v>
      </c>
      <c r="E27545" s="21" t="s">
        <v>71</v>
      </c>
      <c r="F27545">
        <v>3350199</v>
      </c>
      <c r="G27545" t="s">
        <v>5603</v>
      </c>
      <c r="H27545" s="21">
        <v>598.16999999999996</v>
      </c>
    </row>
    <row r="27546" spans="1:8" customFormat="1" x14ac:dyDescent="0.25">
      <c r="A27546" t="str">
        <f>"378129"</f>
        <v>378129</v>
      </c>
      <c r="B27546" t="s">
        <v>19672</v>
      </c>
      <c r="C27546" t="s">
        <v>239</v>
      </c>
      <c r="D27546" s="21" t="s">
        <v>34</v>
      </c>
      <c r="E27546" s="21" t="s">
        <v>71</v>
      </c>
      <c r="F27546">
        <v>4370690</v>
      </c>
      <c r="G27546" t="s">
        <v>8128</v>
      </c>
      <c r="H27546" s="21">
        <v>598.04</v>
      </c>
    </row>
    <row r="27547" spans="1:8" customFormat="1" x14ac:dyDescent="0.25">
      <c r="A27547" t="str">
        <f>"9142516"</f>
        <v>9142516</v>
      </c>
      <c r="B27547" t="s">
        <v>4542</v>
      </c>
      <c r="C27547" t="s">
        <v>62</v>
      </c>
      <c r="D27547" s="21" t="s">
        <v>34</v>
      </c>
      <c r="E27547" s="21" t="s">
        <v>35</v>
      </c>
      <c r="F27547">
        <v>8910165</v>
      </c>
      <c r="G27547" t="s">
        <v>3184</v>
      </c>
      <c r="H27547" s="21">
        <v>598.04</v>
      </c>
    </row>
    <row r="27548" spans="1:8" customFormat="1" x14ac:dyDescent="0.25">
      <c r="A27548" t="str">
        <f>"4439301"</f>
        <v>4439301</v>
      </c>
      <c r="B27548" t="s">
        <v>4335</v>
      </c>
      <c r="C27548" t="s">
        <v>204</v>
      </c>
      <c r="D27548" s="21" t="s">
        <v>34</v>
      </c>
      <c r="E27548" s="21" t="s">
        <v>71</v>
      </c>
      <c r="F27548">
        <v>12440259</v>
      </c>
      <c r="G27548" t="s">
        <v>833</v>
      </c>
      <c r="H27548" s="21">
        <v>597.91999999999996</v>
      </c>
    </row>
    <row r="27549" spans="1:8" customFormat="1" x14ac:dyDescent="0.25">
      <c r="A27549" t="str">
        <f>"2926694"</f>
        <v>2926694</v>
      </c>
      <c r="B27549" t="s">
        <v>9731</v>
      </c>
      <c r="C27549" t="s">
        <v>415</v>
      </c>
      <c r="D27549" s="21" t="s">
        <v>34</v>
      </c>
      <c r="E27549" s="21" t="s">
        <v>35</v>
      </c>
      <c r="F27549">
        <v>3290014</v>
      </c>
      <c r="G27549" t="s">
        <v>10174</v>
      </c>
      <c r="H27549" s="21">
        <v>597.91999999999996</v>
      </c>
    </row>
    <row r="27550" spans="1:8" customFormat="1" x14ac:dyDescent="0.25">
      <c r="A27550" t="str">
        <f>"9139547"</f>
        <v>9139547</v>
      </c>
      <c r="B27550" t="s">
        <v>27980</v>
      </c>
      <c r="C27550" t="s">
        <v>109</v>
      </c>
      <c r="D27550" s="21" t="s">
        <v>34</v>
      </c>
      <c r="E27550" s="21" t="s">
        <v>35</v>
      </c>
      <c r="F27550">
        <v>8910876</v>
      </c>
      <c r="G27550" t="s">
        <v>1721</v>
      </c>
      <c r="H27550" s="21">
        <v>597.79</v>
      </c>
    </row>
    <row r="27551" spans="1:8" customFormat="1" x14ac:dyDescent="0.25">
      <c r="A27551" t="str">
        <f>"6724147"</f>
        <v>6724147</v>
      </c>
      <c r="B27551" t="s">
        <v>19890</v>
      </c>
      <c r="C27551" t="s">
        <v>656</v>
      </c>
      <c r="D27551" s="21" t="s">
        <v>34</v>
      </c>
      <c r="E27551" s="21" t="s">
        <v>35</v>
      </c>
      <c r="F27551">
        <v>6670207</v>
      </c>
      <c r="G27551" t="s">
        <v>5419</v>
      </c>
      <c r="H27551" s="21">
        <v>597.66999999999996</v>
      </c>
    </row>
    <row r="27552" spans="1:8" customFormat="1" x14ac:dyDescent="0.25">
      <c r="A27552" t="str">
        <f>"4432820"</f>
        <v>4432820</v>
      </c>
      <c r="B27552" t="s">
        <v>17426</v>
      </c>
      <c r="C27552" t="s">
        <v>55</v>
      </c>
      <c r="D27552" s="21" t="s">
        <v>34</v>
      </c>
      <c r="E27552" s="21" t="s">
        <v>71</v>
      </c>
      <c r="F27552">
        <v>12440067</v>
      </c>
      <c r="G27552" t="s">
        <v>1723</v>
      </c>
      <c r="H27552" s="21">
        <v>597.66999999999996</v>
      </c>
    </row>
    <row r="27553" spans="1:8" customFormat="1" x14ac:dyDescent="0.25">
      <c r="A27553" t="str">
        <f>"4512726"</f>
        <v>4512726</v>
      </c>
      <c r="B27553" t="s">
        <v>17348</v>
      </c>
      <c r="C27553" t="s">
        <v>1946</v>
      </c>
      <c r="D27553" s="21" t="s">
        <v>34</v>
      </c>
      <c r="E27553" s="21" t="s">
        <v>254</v>
      </c>
      <c r="F27553">
        <v>4450712</v>
      </c>
      <c r="G27553" t="s">
        <v>9449</v>
      </c>
      <c r="H27553" s="21">
        <v>597.66999999999996</v>
      </c>
    </row>
    <row r="27554" spans="1:8" customFormat="1" x14ac:dyDescent="0.25">
      <c r="A27554" t="str">
        <f>"6219026"</f>
        <v>6219026</v>
      </c>
      <c r="B27554" t="s">
        <v>19823</v>
      </c>
      <c r="C27554" t="s">
        <v>2907</v>
      </c>
      <c r="D27554" s="21" t="s">
        <v>34</v>
      </c>
      <c r="E27554" s="21" t="s">
        <v>254</v>
      </c>
      <c r="F27554">
        <v>7620027</v>
      </c>
      <c r="G27554" t="s">
        <v>980</v>
      </c>
      <c r="H27554" s="21">
        <v>597.66999999999996</v>
      </c>
    </row>
    <row r="27555" spans="1:8" customFormat="1" x14ac:dyDescent="0.25">
      <c r="A27555" t="str">
        <f>"7640368"</f>
        <v>7640368</v>
      </c>
      <c r="B27555" t="s">
        <v>20782</v>
      </c>
      <c r="C27555" t="s">
        <v>139</v>
      </c>
      <c r="D27555" s="21" t="s">
        <v>34</v>
      </c>
      <c r="E27555" s="21" t="s">
        <v>35</v>
      </c>
      <c r="F27555">
        <v>9760344</v>
      </c>
      <c r="G27555" t="s">
        <v>2523</v>
      </c>
      <c r="H27555" s="21">
        <v>597.66999999999996</v>
      </c>
    </row>
    <row r="27556" spans="1:8" customFormat="1" x14ac:dyDescent="0.25">
      <c r="A27556" t="str">
        <f>"4938287"</f>
        <v>4938287</v>
      </c>
      <c r="B27556" t="s">
        <v>727</v>
      </c>
      <c r="C27556" t="s">
        <v>40</v>
      </c>
      <c r="D27556" s="21" t="s">
        <v>34</v>
      </c>
      <c r="E27556" s="21" t="s">
        <v>71</v>
      </c>
      <c r="F27556">
        <v>12490046</v>
      </c>
      <c r="G27556" t="s">
        <v>9773</v>
      </c>
      <c r="H27556" s="21">
        <v>597.66999999999996</v>
      </c>
    </row>
    <row r="27557" spans="1:8" customFormat="1" x14ac:dyDescent="0.25">
      <c r="A27557" t="str">
        <f>"67425"</f>
        <v>67425</v>
      </c>
      <c r="B27557" t="s">
        <v>19498</v>
      </c>
      <c r="C27557" t="s">
        <v>822</v>
      </c>
      <c r="D27557" s="21" t="s">
        <v>34</v>
      </c>
      <c r="E27557" s="21" t="s">
        <v>71</v>
      </c>
      <c r="F27557">
        <v>6670027</v>
      </c>
      <c r="G27557" t="s">
        <v>2791</v>
      </c>
      <c r="H27557" s="21">
        <v>597.66999999999996</v>
      </c>
    </row>
    <row r="27558" spans="1:8" customFormat="1" x14ac:dyDescent="0.25">
      <c r="A27558" t="str">
        <f>"7631369"</f>
        <v>7631369</v>
      </c>
      <c r="B27558" t="s">
        <v>760</v>
      </c>
      <c r="C27558" t="s">
        <v>305</v>
      </c>
      <c r="D27558" s="21" t="s">
        <v>34</v>
      </c>
      <c r="E27558" s="21" t="s">
        <v>35</v>
      </c>
      <c r="F27558">
        <v>6570014</v>
      </c>
      <c r="G27558" t="s">
        <v>72</v>
      </c>
      <c r="H27558" s="21">
        <v>597.66999999999996</v>
      </c>
    </row>
    <row r="27559" spans="1:8" customFormat="1" x14ac:dyDescent="0.25">
      <c r="A27559" t="str">
        <f>"5729382"</f>
        <v>5729382</v>
      </c>
      <c r="B27559" t="s">
        <v>23883</v>
      </c>
      <c r="C27559" t="s">
        <v>1708</v>
      </c>
      <c r="D27559" s="21" t="s">
        <v>34</v>
      </c>
      <c r="E27559" s="21" t="s">
        <v>35</v>
      </c>
      <c r="F27559">
        <v>6570140</v>
      </c>
      <c r="G27559" t="s">
        <v>813</v>
      </c>
      <c r="H27559" s="21">
        <v>597.66999999999996</v>
      </c>
    </row>
    <row r="27560" spans="1:8" customFormat="1" x14ac:dyDescent="0.25">
      <c r="A27560" t="str">
        <f>"7727693"</f>
        <v>7727693</v>
      </c>
      <c r="B27560" t="s">
        <v>19810</v>
      </c>
      <c r="C27560" t="s">
        <v>109</v>
      </c>
      <c r="D27560" s="21" t="s">
        <v>34</v>
      </c>
      <c r="E27560" s="21" t="s">
        <v>35</v>
      </c>
      <c r="F27560">
        <v>8771518</v>
      </c>
      <c r="G27560" t="s">
        <v>12274</v>
      </c>
      <c r="H27560" s="21">
        <v>597.66999999999996</v>
      </c>
    </row>
    <row r="27561" spans="1:8" customFormat="1" x14ac:dyDescent="0.25">
      <c r="A27561" t="str">
        <f>"166125"</f>
        <v>166125</v>
      </c>
      <c r="B27561" t="s">
        <v>10272</v>
      </c>
      <c r="C27561" t="s">
        <v>171</v>
      </c>
      <c r="D27561" s="21" t="s">
        <v>34</v>
      </c>
      <c r="E27561" s="21" t="s">
        <v>254</v>
      </c>
      <c r="F27561">
        <v>10160059</v>
      </c>
      <c r="G27561" t="s">
        <v>6791</v>
      </c>
      <c r="H27561" s="21">
        <v>597.66999999999996</v>
      </c>
    </row>
    <row r="27562" spans="1:8" customFormat="1" x14ac:dyDescent="0.25">
      <c r="A27562" t="str">
        <f>"302037"</f>
        <v>302037</v>
      </c>
      <c r="B27562" t="s">
        <v>19866</v>
      </c>
      <c r="C27562" t="s">
        <v>598</v>
      </c>
      <c r="D27562" s="21" t="s">
        <v>34</v>
      </c>
      <c r="E27562" s="21" t="s">
        <v>1089</v>
      </c>
      <c r="F27562">
        <v>11300024</v>
      </c>
      <c r="G27562" t="s">
        <v>11622</v>
      </c>
      <c r="H27562" s="21">
        <v>597.66999999999996</v>
      </c>
    </row>
    <row r="27563" spans="1:8" customFormat="1" x14ac:dyDescent="0.25">
      <c r="A27563" t="str">
        <f>"4451732"</f>
        <v>4451732</v>
      </c>
      <c r="B27563" t="s">
        <v>20589</v>
      </c>
      <c r="C27563" t="s">
        <v>2907</v>
      </c>
      <c r="D27563" s="21" t="s">
        <v>34</v>
      </c>
      <c r="E27563" s="21" t="s">
        <v>71</v>
      </c>
      <c r="F27563">
        <v>12440275</v>
      </c>
      <c r="G27563" t="s">
        <v>17167</v>
      </c>
      <c r="H27563" s="21">
        <v>597.66999999999996</v>
      </c>
    </row>
    <row r="27564" spans="1:8" customFormat="1" x14ac:dyDescent="0.25">
      <c r="A27564" t="str">
        <f>"3818585"</f>
        <v>3818585</v>
      </c>
      <c r="B27564" t="s">
        <v>19333</v>
      </c>
      <c r="C27564" t="s">
        <v>119</v>
      </c>
      <c r="D27564" s="21" t="s">
        <v>34</v>
      </c>
      <c r="E27564" s="21" t="s">
        <v>35</v>
      </c>
      <c r="F27564">
        <v>1380267</v>
      </c>
      <c r="G27564" t="s">
        <v>1002</v>
      </c>
      <c r="H27564" s="21">
        <v>597.66999999999996</v>
      </c>
    </row>
    <row r="27565" spans="1:8" customFormat="1" x14ac:dyDescent="0.25">
      <c r="A27565" t="str">
        <f>"9127455"</f>
        <v>9127455</v>
      </c>
      <c r="B27565" t="s">
        <v>1527</v>
      </c>
      <c r="C27565" t="s">
        <v>2520</v>
      </c>
      <c r="D27565" s="21" t="s">
        <v>34</v>
      </c>
      <c r="E27565" s="21" t="s">
        <v>254</v>
      </c>
      <c r="F27565">
        <v>8911050</v>
      </c>
      <c r="G27565" t="s">
        <v>1606</v>
      </c>
      <c r="H27565" s="21">
        <v>597.66999999999996</v>
      </c>
    </row>
    <row r="27566" spans="1:8" customFormat="1" x14ac:dyDescent="0.25">
      <c r="A27566" t="str">
        <f>"9537728"</f>
        <v>9537728</v>
      </c>
      <c r="B27566" t="s">
        <v>146</v>
      </c>
      <c r="C27566" t="s">
        <v>27981</v>
      </c>
      <c r="D27566" s="21" t="s">
        <v>34</v>
      </c>
      <c r="E27566" s="21" t="s">
        <v>71</v>
      </c>
      <c r="F27566">
        <v>8951458</v>
      </c>
      <c r="G27566" t="s">
        <v>20956</v>
      </c>
      <c r="H27566" s="21">
        <v>597.66999999999996</v>
      </c>
    </row>
    <row r="27567" spans="1:8" customFormat="1" x14ac:dyDescent="0.25">
      <c r="A27567" t="str">
        <f>"2516729"</f>
        <v>2516729</v>
      </c>
      <c r="B27567" t="s">
        <v>22780</v>
      </c>
      <c r="C27567" t="s">
        <v>2393</v>
      </c>
      <c r="D27567" s="21" t="s">
        <v>34</v>
      </c>
      <c r="E27567" s="21" t="s">
        <v>35</v>
      </c>
      <c r="F27567">
        <v>2250059</v>
      </c>
      <c r="G27567" t="s">
        <v>10904</v>
      </c>
      <c r="H27567" s="21">
        <v>597.66999999999996</v>
      </c>
    </row>
    <row r="27568" spans="1:8" customFormat="1" x14ac:dyDescent="0.25">
      <c r="A27568" t="str">
        <f>"7875155"</f>
        <v>7875155</v>
      </c>
      <c r="B27568" t="s">
        <v>3942</v>
      </c>
      <c r="C27568" t="s">
        <v>772</v>
      </c>
      <c r="D27568" s="21" t="s">
        <v>34</v>
      </c>
      <c r="E27568" s="21" t="s">
        <v>71</v>
      </c>
      <c r="F27568">
        <v>8780892</v>
      </c>
      <c r="G27568" t="s">
        <v>3021</v>
      </c>
      <c r="H27568" s="21">
        <v>597.66999999999996</v>
      </c>
    </row>
    <row r="27569" spans="1:8" customFormat="1" x14ac:dyDescent="0.25">
      <c r="A27569" t="str">
        <f>"01895"</f>
        <v>01895</v>
      </c>
      <c r="B27569" t="s">
        <v>18939</v>
      </c>
      <c r="C27569" t="s">
        <v>3784</v>
      </c>
      <c r="D27569" s="21" t="s">
        <v>34</v>
      </c>
      <c r="E27569" s="21" t="s">
        <v>254</v>
      </c>
      <c r="F27569">
        <v>1010020</v>
      </c>
      <c r="G27569" t="s">
        <v>6121</v>
      </c>
      <c r="H27569" s="21">
        <v>597.66999999999996</v>
      </c>
    </row>
    <row r="27570" spans="1:8" customFormat="1" x14ac:dyDescent="0.25">
      <c r="A27570" t="str">
        <f>"2112780"</f>
        <v>2112780</v>
      </c>
      <c r="B27570" t="s">
        <v>27982</v>
      </c>
      <c r="C27570" t="s">
        <v>1468</v>
      </c>
      <c r="D27570" s="21" t="s">
        <v>34</v>
      </c>
      <c r="E27570" s="21" t="s">
        <v>71</v>
      </c>
      <c r="F27570">
        <v>2210126</v>
      </c>
      <c r="G27570" t="s">
        <v>10773</v>
      </c>
      <c r="H27570" s="21">
        <v>597.66999999999996</v>
      </c>
    </row>
    <row r="27571" spans="1:8" customFormat="1" x14ac:dyDescent="0.25">
      <c r="A27571" t="str">
        <f>"724675"</f>
        <v>724675</v>
      </c>
      <c r="B27571" t="s">
        <v>19242</v>
      </c>
      <c r="C27571" t="s">
        <v>1072</v>
      </c>
      <c r="D27571" s="21" t="s">
        <v>34</v>
      </c>
      <c r="E27571" s="21" t="s">
        <v>254</v>
      </c>
      <c r="F27571">
        <v>12720071</v>
      </c>
      <c r="G27571" t="s">
        <v>783</v>
      </c>
      <c r="H27571" s="21">
        <v>597.66999999999996</v>
      </c>
    </row>
    <row r="27572" spans="1:8" customFormat="1" x14ac:dyDescent="0.25">
      <c r="A27572" t="str">
        <f>"3728068"</f>
        <v>3728068</v>
      </c>
      <c r="B27572" t="s">
        <v>20530</v>
      </c>
      <c r="C27572" t="s">
        <v>119</v>
      </c>
      <c r="D27572" s="21" t="s">
        <v>34</v>
      </c>
      <c r="E27572" s="21" t="s">
        <v>35</v>
      </c>
      <c r="F27572">
        <v>4370637</v>
      </c>
      <c r="G27572" t="s">
        <v>3941</v>
      </c>
      <c r="H27572" s="21">
        <v>597.66999999999996</v>
      </c>
    </row>
    <row r="27573" spans="1:8" customFormat="1" x14ac:dyDescent="0.25">
      <c r="A27573" t="str">
        <f>"676358"</f>
        <v>676358</v>
      </c>
      <c r="B27573" t="s">
        <v>105</v>
      </c>
      <c r="C27573" t="s">
        <v>1489</v>
      </c>
      <c r="D27573" s="21" t="s">
        <v>34</v>
      </c>
      <c r="E27573" s="21" t="s">
        <v>71</v>
      </c>
      <c r="F27573">
        <v>6670041</v>
      </c>
      <c r="G27573" t="s">
        <v>1971</v>
      </c>
      <c r="H27573" s="21">
        <v>597.66999999999996</v>
      </c>
    </row>
    <row r="27574" spans="1:8" customFormat="1" x14ac:dyDescent="0.25">
      <c r="A27574" t="str">
        <f>"4452742"</f>
        <v>4452742</v>
      </c>
      <c r="B27574" t="s">
        <v>20536</v>
      </c>
      <c r="C27574" t="s">
        <v>62</v>
      </c>
      <c r="D27574" s="21" t="s">
        <v>34</v>
      </c>
      <c r="E27574" s="21" t="s">
        <v>35</v>
      </c>
      <c r="F27574">
        <v>12440138</v>
      </c>
      <c r="G27574" t="s">
        <v>562</v>
      </c>
      <c r="H27574" s="21">
        <v>597.66999999999996</v>
      </c>
    </row>
    <row r="27575" spans="1:8" customFormat="1" x14ac:dyDescent="0.25">
      <c r="A27575" t="str">
        <f>"93877"</f>
        <v>93877</v>
      </c>
      <c r="B27575" t="s">
        <v>19426</v>
      </c>
      <c r="C27575" t="s">
        <v>412</v>
      </c>
      <c r="D27575" s="21" t="s">
        <v>34</v>
      </c>
      <c r="E27575" s="21" t="s">
        <v>6185</v>
      </c>
      <c r="F27575">
        <v>8771303</v>
      </c>
      <c r="G27575" t="s">
        <v>13447</v>
      </c>
      <c r="H27575" s="21">
        <v>597.54</v>
      </c>
    </row>
    <row r="27576" spans="1:8" customFormat="1" x14ac:dyDescent="0.25">
      <c r="A27576" t="str">
        <f>"4413571"</f>
        <v>4413571</v>
      </c>
      <c r="B27576" t="s">
        <v>8275</v>
      </c>
      <c r="C27576" t="s">
        <v>209</v>
      </c>
      <c r="D27576" s="21" t="s">
        <v>34</v>
      </c>
      <c r="E27576" s="21" t="s">
        <v>254</v>
      </c>
      <c r="F27576">
        <v>12440149</v>
      </c>
      <c r="G27576" t="s">
        <v>15804</v>
      </c>
      <c r="H27576" s="21">
        <v>597.41999999999996</v>
      </c>
    </row>
    <row r="27577" spans="1:8" customFormat="1" x14ac:dyDescent="0.25">
      <c r="A27577" t="str">
        <f>"7879363"</f>
        <v>7879363</v>
      </c>
      <c r="B27577" t="s">
        <v>27983</v>
      </c>
      <c r="C27577" t="s">
        <v>147</v>
      </c>
      <c r="D27577" s="21" t="s">
        <v>34</v>
      </c>
      <c r="E27577" s="21" t="s">
        <v>35</v>
      </c>
      <c r="F27577">
        <v>8780107</v>
      </c>
      <c r="G27577" t="s">
        <v>4186</v>
      </c>
      <c r="H27577" s="21">
        <v>597.29</v>
      </c>
    </row>
    <row r="27578" spans="1:8" customFormat="1" x14ac:dyDescent="0.25">
      <c r="A27578" t="str">
        <f>"2926828"</f>
        <v>2926828</v>
      </c>
      <c r="B27578" t="s">
        <v>1861</v>
      </c>
      <c r="C27578" t="s">
        <v>253</v>
      </c>
      <c r="D27578" s="21" t="s">
        <v>34</v>
      </c>
      <c r="E27578" s="21" t="s">
        <v>254</v>
      </c>
      <c r="F27578">
        <v>3290214</v>
      </c>
      <c r="G27578" t="s">
        <v>10975</v>
      </c>
      <c r="H27578" s="21">
        <v>597.16999999999996</v>
      </c>
    </row>
    <row r="27579" spans="1:8" customFormat="1" x14ac:dyDescent="0.25">
      <c r="A27579" t="str">
        <f>"69411"</f>
        <v>69411</v>
      </c>
      <c r="B27579" t="s">
        <v>18383</v>
      </c>
      <c r="C27579" t="s">
        <v>822</v>
      </c>
      <c r="D27579" s="21" t="s">
        <v>34</v>
      </c>
      <c r="E27579" s="21" t="s">
        <v>1089</v>
      </c>
      <c r="F27579">
        <v>1690107</v>
      </c>
      <c r="G27579" t="s">
        <v>4163</v>
      </c>
      <c r="H27579" s="21">
        <v>597.16999999999996</v>
      </c>
    </row>
    <row r="27580" spans="1:8" customFormat="1" x14ac:dyDescent="0.25">
      <c r="A27580" t="str">
        <f>"1612970"</f>
        <v>1612970</v>
      </c>
      <c r="B27580" t="s">
        <v>20588</v>
      </c>
      <c r="C27580" t="s">
        <v>249</v>
      </c>
      <c r="D27580" s="21" t="s">
        <v>34</v>
      </c>
      <c r="E27580" s="21" t="s">
        <v>35</v>
      </c>
      <c r="F27580">
        <v>10160232</v>
      </c>
      <c r="G27580" t="s">
        <v>2882</v>
      </c>
      <c r="H27580" s="21">
        <v>597.16999999999996</v>
      </c>
    </row>
    <row r="27581" spans="1:8" customFormat="1" x14ac:dyDescent="0.25">
      <c r="A27581" t="str">
        <f>"2939609"</f>
        <v>2939609</v>
      </c>
      <c r="B27581" t="s">
        <v>17582</v>
      </c>
      <c r="C27581" t="s">
        <v>1199</v>
      </c>
      <c r="D27581" s="21" t="s">
        <v>34</v>
      </c>
      <c r="E27581" s="21" t="s">
        <v>254</v>
      </c>
      <c r="F27581">
        <v>3290276</v>
      </c>
      <c r="G27581" t="s">
        <v>26710</v>
      </c>
      <c r="H27581" s="21">
        <v>597.16999999999996</v>
      </c>
    </row>
    <row r="27582" spans="1:8" customFormat="1" x14ac:dyDescent="0.25">
      <c r="A27582" t="str">
        <f>"7218222"</f>
        <v>7218222</v>
      </c>
      <c r="B27582" t="s">
        <v>22360</v>
      </c>
      <c r="C27582" t="s">
        <v>65</v>
      </c>
      <c r="D27582" s="21" t="s">
        <v>34</v>
      </c>
      <c r="E27582" s="21" t="s">
        <v>35</v>
      </c>
      <c r="F27582">
        <v>12490061</v>
      </c>
      <c r="G27582" t="s">
        <v>969</v>
      </c>
      <c r="H27582" s="21">
        <v>597.16999999999996</v>
      </c>
    </row>
    <row r="27583" spans="1:8" customFormat="1" x14ac:dyDescent="0.25">
      <c r="A27583" t="str">
        <f>"5610104"</f>
        <v>5610104</v>
      </c>
      <c r="B27583" t="s">
        <v>14675</v>
      </c>
      <c r="C27583" t="s">
        <v>60</v>
      </c>
      <c r="D27583" s="21" t="s">
        <v>34</v>
      </c>
      <c r="E27583" s="21" t="s">
        <v>35</v>
      </c>
      <c r="F27583">
        <v>3560022</v>
      </c>
      <c r="G27583" t="s">
        <v>2547</v>
      </c>
      <c r="H27583" s="21">
        <v>597.16999999999996</v>
      </c>
    </row>
    <row r="27584" spans="1:8" customFormat="1" x14ac:dyDescent="0.25">
      <c r="A27584" t="str">
        <f>"026905"</f>
        <v>026905</v>
      </c>
      <c r="B27584" t="s">
        <v>5638</v>
      </c>
      <c r="C27584" t="s">
        <v>3098</v>
      </c>
      <c r="D27584" s="21" t="s">
        <v>34</v>
      </c>
      <c r="E27584" s="21" t="s">
        <v>35</v>
      </c>
      <c r="F27584">
        <v>7020009</v>
      </c>
      <c r="G27584" t="s">
        <v>3362</v>
      </c>
      <c r="H27584" s="21">
        <v>597.16999999999996</v>
      </c>
    </row>
    <row r="27585" spans="1:8" customFormat="1" x14ac:dyDescent="0.25">
      <c r="A27585" t="str">
        <f>"3343516"</f>
        <v>3343516</v>
      </c>
      <c r="B27585" t="s">
        <v>20452</v>
      </c>
      <c r="C27585" t="s">
        <v>209</v>
      </c>
      <c r="D27585" s="21" t="s">
        <v>34</v>
      </c>
      <c r="E27585" s="21" t="s">
        <v>35</v>
      </c>
      <c r="F27585">
        <v>10330025</v>
      </c>
      <c r="G27585" t="s">
        <v>4450</v>
      </c>
      <c r="H27585" s="21">
        <v>597.16999999999996</v>
      </c>
    </row>
    <row r="27586" spans="1:8" customFormat="1" x14ac:dyDescent="0.25">
      <c r="A27586" t="str">
        <f>"6315278"</f>
        <v>6315278</v>
      </c>
      <c r="B27586" t="s">
        <v>19604</v>
      </c>
      <c r="C27586" t="s">
        <v>263</v>
      </c>
      <c r="D27586" s="21" t="s">
        <v>34</v>
      </c>
      <c r="E27586" s="21" t="s">
        <v>254</v>
      </c>
      <c r="F27586">
        <v>1630014</v>
      </c>
      <c r="G27586" t="s">
        <v>10488</v>
      </c>
      <c r="H27586" s="21">
        <v>597.16999999999996</v>
      </c>
    </row>
    <row r="27587" spans="1:8" customFormat="1" x14ac:dyDescent="0.25">
      <c r="A27587" t="str">
        <f>"7845569"</f>
        <v>7845569</v>
      </c>
      <c r="B27587" t="s">
        <v>11238</v>
      </c>
      <c r="C27587" t="s">
        <v>98</v>
      </c>
      <c r="D27587" s="21" t="s">
        <v>34</v>
      </c>
      <c r="E27587" s="21" t="s">
        <v>35</v>
      </c>
      <c r="F27587">
        <v>8780571</v>
      </c>
      <c r="G27587" t="s">
        <v>2336</v>
      </c>
      <c r="H27587" s="21">
        <v>597.16999999999996</v>
      </c>
    </row>
    <row r="27588" spans="1:8" customFormat="1" x14ac:dyDescent="0.25">
      <c r="A27588" t="str">
        <f>"6111800"</f>
        <v>6111800</v>
      </c>
      <c r="B27588" t="s">
        <v>4904</v>
      </c>
      <c r="C27588" t="s">
        <v>33</v>
      </c>
      <c r="D27588" s="21" t="s">
        <v>34</v>
      </c>
      <c r="E27588" s="21" t="s">
        <v>71</v>
      </c>
      <c r="F27588">
        <v>9610087</v>
      </c>
      <c r="G27588" t="s">
        <v>2661</v>
      </c>
      <c r="H27588" s="21">
        <v>597.16999999999996</v>
      </c>
    </row>
    <row r="27589" spans="1:8" customFormat="1" x14ac:dyDescent="0.25">
      <c r="A27589" t="str">
        <f>"7923500"</f>
        <v>7923500</v>
      </c>
      <c r="B27589" t="s">
        <v>17295</v>
      </c>
      <c r="C27589" t="s">
        <v>151</v>
      </c>
      <c r="D27589" s="21" t="s">
        <v>34</v>
      </c>
      <c r="E27589" s="21" t="s">
        <v>71</v>
      </c>
      <c r="F27589">
        <v>10790185</v>
      </c>
      <c r="G27589" t="s">
        <v>3511</v>
      </c>
      <c r="H27589" s="21">
        <v>597.16999999999996</v>
      </c>
    </row>
    <row r="27590" spans="1:8" customFormat="1" x14ac:dyDescent="0.25">
      <c r="A27590" t="str">
        <f>"405396"</f>
        <v>405396</v>
      </c>
      <c r="B27590" t="s">
        <v>15686</v>
      </c>
      <c r="C27590" t="s">
        <v>55</v>
      </c>
      <c r="D27590" s="21" t="s">
        <v>34</v>
      </c>
      <c r="E27590" s="21" t="s">
        <v>35</v>
      </c>
      <c r="F27590">
        <v>10400024</v>
      </c>
      <c r="G27590" t="s">
        <v>4680</v>
      </c>
      <c r="H27590" s="21">
        <v>597.16999999999996</v>
      </c>
    </row>
    <row r="27591" spans="1:8" customFormat="1" x14ac:dyDescent="0.25">
      <c r="A27591" t="str">
        <f>"0612349"</f>
        <v>0612349</v>
      </c>
      <c r="B27591" t="s">
        <v>22611</v>
      </c>
      <c r="C27591" t="s">
        <v>156</v>
      </c>
      <c r="D27591" s="21" t="s">
        <v>34</v>
      </c>
      <c r="E27591" s="21" t="s">
        <v>35</v>
      </c>
      <c r="F27591">
        <v>13060082</v>
      </c>
      <c r="G27591" t="s">
        <v>11729</v>
      </c>
      <c r="H27591" s="21">
        <v>597.16999999999996</v>
      </c>
    </row>
    <row r="27592" spans="1:8" customFormat="1" x14ac:dyDescent="0.25">
      <c r="A27592" t="str">
        <f>"8522438"</f>
        <v>8522438</v>
      </c>
      <c r="B27592" t="s">
        <v>3900</v>
      </c>
      <c r="C27592" t="s">
        <v>82</v>
      </c>
      <c r="D27592" s="21" t="s">
        <v>34</v>
      </c>
      <c r="E27592" s="21" t="s">
        <v>35</v>
      </c>
      <c r="F27592">
        <v>12851018</v>
      </c>
      <c r="G27592" t="s">
        <v>8085</v>
      </c>
      <c r="H27592" s="21">
        <v>597.16999999999996</v>
      </c>
    </row>
    <row r="27593" spans="1:8" customFormat="1" x14ac:dyDescent="0.25">
      <c r="A27593" t="str">
        <f>"305577"</f>
        <v>305577</v>
      </c>
      <c r="B27593" t="s">
        <v>19367</v>
      </c>
      <c r="C27593" t="s">
        <v>33</v>
      </c>
      <c r="D27593" s="21" t="s">
        <v>34</v>
      </c>
      <c r="E27593" s="21" t="s">
        <v>35</v>
      </c>
      <c r="F27593">
        <v>11300004</v>
      </c>
      <c r="G27593" t="s">
        <v>758</v>
      </c>
      <c r="H27593" s="21">
        <v>597.16999999999996</v>
      </c>
    </row>
    <row r="27594" spans="1:8" customFormat="1" x14ac:dyDescent="0.25">
      <c r="A27594" t="str">
        <f>"3534712"</f>
        <v>3534712</v>
      </c>
      <c r="B27594" t="s">
        <v>20488</v>
      </c>
      <c r="C27594" t="s">
        <v>147</v>
      </c>
      <c r="D27594" s="21" t="s">
        <v>34</v>
      </c>
      <c r="E27594" s="21" t="s">
        <v>35</v>
      </c>
      <c r="F27594">
        <v>3350016</v>
      </c>
      <c r="G27594" t="s">
        <v>133</v>
      </c>
      <c r="H27594" s="21">
        <v>597.16999999999996</v>
      </c>
    </row>
    <row r="27595" spans="1:8" customFormat="1" x14ac:dyDescent="0.25">
      <c r="A27595" t="str">
        <f>"1320873"</f>
        <v>1320873</v>
      </c>
      <c r="B27595" t="s">
        <v>21022</v>
      </c>
      <c r="C27595" t="s">
        <v>1299</v>
      </c>
      <c r="D27595" s="21" t="s">
        <v>34</v>
      </c>
      <c r="E27595" s="21" t="s">
        <v>35</v>
      </c>
      <c r="F27595">
        <v>13130164</v>
      </c>
      <c r="G27595" t="s">
        <v>15351</v>
      </c>
      <c r="H27595" s="21">
        <v>597.16999999999996</v>
      </c>
    </row>
    <row r="27596" spans="1:8" customFormat="1" x14ac:dyDescent="0.25">
      <c r="A27596" t="str">
        <f>"3410621"</f>
        <v>3410621</v>
      </c>
      <c r="B27596" t="s">
        <v>20848</v>
      </c>
      <c r="C27596" t="s">
        <v>249</v>
      </c>
      <c r="D27596" s="21" t="s">
        <v>34</v>
      </c>
      <c r="E27596" s="21" t="s">
        <v>71</v>
      </c>
      <c r="F27596">
        <v>11340042</v>
      </c>
      <c r="G27596" t="s">
        <v>13840</v>
      </c>
      <c r="H27596" s="21">
        <v>597.16999999999996</v>
      </c>
    </row>
    <row r="27597" spans="1:8" customFormat="1" x14ac:dyDescent="0.25">
      <c r="A27597" t="str">
        <f>"5018062"</f>
        <v>5018062</v>
      </c>
      <c r="B27597" t="s">
        <v>4013</v>
      </c>
      <c r="C27597" t="s">
        <v>233</v>
      </c>
      <c r="D27597" s="21" t="s">
        <v>34</v>
      </c>
      <c r="E27597" s="21" t="s">
        <v>1089</v>
      </c>
      <c r="F27597">
        <v>9500107</v>
      </c>
      <c r="G27597" t="s">
        <v>9792</v>
      </c>
      <c r="H27597" s="21">
        <v>597.16999999999996</v>
      </c>
    </row>
    <row r="27598" spans="1:8" customFormat="1" x14ac:dyDescent="0.25">
      <c r="A27598" t="str">
        <f>"7632596"</f>
        <v>7632596</v>
      </c>
      <c r="B27598" t="s">
        <v>20587</v>
      </c>
      <c r="C27598" t="s">
        <v>204</v>
      </c>
      <c r="D27598" s="21" t="s">
        <v>34</v>
      </c>
      <c r="E27598" s="21" t="s">
        <v>35</v>
      </c>
      <c r="F27598">
        <v>9760082</v>
      </c>
      <c r="G27598" t="s">
        <v>2387</v>
      </c>
      <c r="H27598" s="21">
        <v>597.16999999999996</v>
      </c>
    </row>
    <row r="27599" spans="1:8" customFormat="1" x14ac:dyDescent="0.25">
      <c r="A27599" t="str">
        <f>"4938793"</f>
        <v>4938793</v>
      </c>
      <c r="B27599" t="s">
        <v>23994</v>
      </c>
      <c r="C27599" t="s">
        <v>58</v>
      </c>
      <c r="D27599" s="21" t="s">
        <v>34</v>
      </c>
      <c r="E27599" s="21" t="s">
        <v>35</v>
      </c>
      <c r="F27599">
        <v>12490010</v>
      </c>
      <c r="G27599" t="s">
        <v>4838</v>
      </c>
      <c r="H27599" s="21">
        <v>597.16999999999996</v>
      </c>
    </row>
    <row r="27600" spans="1:8" customFormat="1" x14ac:dyDescent="0.25">
      <c r="A27600" t="str">
        <f>"7520821"</f>
        <v>7520821</v>
      </c>
      <c r="B27600" t="s">
        <v>20774</v>
      </c>
      <c r="C27600" t="s">
        <v>27984</v>
      </c>
      <c r="D27600" s="21" t="s">
        <v>34</v>
      </c>
      <c r="E27600" s="21" t="s">
        <v>254</v>
      </c>
      <c r="F27600">
        <v>8751423</v>
      </c>
      <c r="G27600" t="s">
        <v>4556</v>
      </c>
      <c r="H27600" s="21">
        <v>596.91999999999996</v>
      </c>
    </row>
    <row r="27601" spans="1:8" customFormat="1" x14ac:dyDescent="0.25">
      <c r="A27601" t="str">
        <f>"5311302"</f>
        <v>5311302</v>
      </c>
      <c r="B27601" t="s">
        <v>17422</v>
      </c>
      <c r="C27601" t="s">
        <v>2072</v>
      </c>
      <c r="D27601" s="21" t="s">
        <v>34</v>
      </c>
      <c r="E27601" s="21" t="s">
        <v>254</v>
      </c>
      <c r="F27601">
        <v>12530098</v>
      </c>
      <c r="G27601" t="s">
        <v>8852</v>
      </c>
      <c r="H27601" s="21">
        <v>596.66999999999996</v>
      </c>
    </row>
    <row r="27602" spans="1:8" customFormat="1" x14ac:dyDescent="0.25">
      <c r="A27602" t="str">
        <f>"6015150"</f>
        <v>6015150</v>
      </c>
      <c r="B27602" t="s">
        <v>5945</v>
      </c>
      <c r="C27602" t="s">
        <v>275</v>
      </c>
      <c r="D27602" s="21" t="s">
        <v>34</v>
      </c>
      <c r="E27602" s="21" t="s">
        <v>35</v>
      </c>
      <c r="F27602">
        <v>7600111</v>
      </c>
      <c r="G27602" t="s">
        <v>6914</v>
      </c>
      <c r="H27602" s="21">
        <v>596.66999999999996</v>
      </c>
    </row>
    <row r="27603" spans="1:8" customFormat="1" x14ac:dyDescent="0.25">
      <c r="A27603" t="str">
        <f>"916629"</f>
        <v>916629</v>
      </c>
      <c r="B27603" t="s">
        <v>7987</v>
      </c>
      <c r="C27603" t="s">
        <v>156</v>
      </c>
      <c r="D27603" s="21" t="s">
        <v>34</v>
      </c>
      <c r="E27603" s="21" t="s">
        <v>254</v>
      </c>
      <c r="F27603">
        <v>8910042</v>
      </c>
      <c r="G27603" t="s">
        <v>4009</v>
      </c>
      <c r="H27603" s="21">
        <v>596.66999999999996</v>
      </c>
    </row>
    <row r="27604" spans="1:8" customFormat="1" x14ac:dyDescent="0.25">
      <c r="A27604" t="str">
        <f>"3716137"</f>
        <v>3716137</v>
      </c>
      <c r="B27604" t="s">
        <v>5415</v>
      </c>
      <c r="C27604" t="s">
        <v>2907</v>
      </c>
      <c r="D27604" s="21" t="s">
        <v>34</v>
      </c>
      <c r="E27604" s="21" t="s">
        <v>254</v>
      </c>
      <c r="F27604">
        <v>4370002</v>
      </c>
      <c r="G27604" t="s">
        <v>112</v>
      </c>
      <c r="H27604" s="21">
        <v>596.66999999999996</v>
      </c>
    </row>
    <row r="27605" spans="1:8" customFormat="1" x14ac:dyDescent="0.25">
      <c r="A27605" t="str">
        <f>"5983846"</f>
        <v>5983846</v>
      </c>
      <c r="B27605" t="s">
        <v>27985</v>
      </c>
      <c r="C27605" t="s">
        <v>27986</v>
      </c>
      <c r="D27605" s="21" t="s">
        <v>34</v>
      </c>
      <c r="E27605" s="21" t="s">
        <v>35</v>
      </c>
      <c r="F27605">
        <v>7590018</v>
      </c>
      <c r="G27605" t="s">
        <v>2807</v>
      </c>
      <c r="H27605" s="21">
        <v>596.66999999999996</v>
      </c>
    </row>
    <row r="27606" spans="1:8" customFormat="1" x14ac:dyDescent="0.25">
      <c r="A27606" t="str">
        <f>"7215068"</f>
        <v>7215068</v>
      </c>
      <c r="B27606" t="s">
        <v>15812</v>
      </c>
      <c r="C27606" t="s">
        <v>236</v>
      </c>
      <c r="D27606" s="21" t="s">
        <v>34</v>
      </c>
      <c r="E27606" s="21" t="s">
        <v>71</v>
      </c>
      <c r="F27606">
        <v>12720141</v>
      </c>
      <c r="G27606" t="s">
        <v>12632</v>
      </c>
      <c r="H27606" s="21">
        <v>596.66999999999996</v>
      </c>
    </row>
    <row r="27607" spans="1:8" customFormat="1" x14ac:dyDescent="0.25">
      <c r="A27607" t="str">
        <f>"5018074"</f>
        <v>5018074</v>
      </c>
      <c r="B27607" t="s">
        <v>2489</v>
      </c>
      <c r="C27607" t="s">
        <v>1665</v>
      </c>
      <c r="D27607" s="21" t="s">
        <v>34</v>
      </c>
      <c r="E27607" s="21" t="s">
        <v>254</v>
      </c>
      <c r="F27607">
        <v>9500012</v>
      </c>
      <c r="G27607" t="s">
        <v>10097</v>
      </c>
      <c r="H27607" s="21">
        <v>596.66999999999996</v>
      </c>
    </row>
    <row r="27608" spans="1:8" customFormat="1" x14ac:dyDescent="0.25">
      <c r="A27608" t="str">
        <f>"5714917"</f>
        <v>5714917</v>
      </c>
      <c r="B27608" t="s">
        <v>20226</v>
      </c>
      <c r="C27608" t="s">
        <v>114</v>
      </c>
      <c r="D27608" s="21" t="s">
        <v>34</v>
      </c>
      <c r="E27608" s="21" t="s">
        <v>71</v>
      </c>
      <c r="F27608">
        <v>6570102</v>
      </c>
      <c r="G27608" t="s">
        <v>16722</v>
      </c>
      <c r="H27608" s="21">
        <v>596.66999999999996</v>
      </c>
    </row>
    <row r="27609" spans="1:8" customFormat="1" x14ac:dyDescent="0.25">
      <c r="A27609" t="str">
        <f>"85442"</f>
        <v>85442</v>
      </c>
      <c r="B27609" t="s">
        <v>4282</v>
      </c>
      <c r="C27609" t="s">
        <v>198</v>
      </c>
      <c r="D27609" s="21" t="s">
        <v>34</v>
      </c>
      <c r="E27609" s="21" t="s">
        <v>6185</v>
      </c>
      <c r="F27609">
        <v>12851012</v>
      </c>
      <c r="G27609" t="s">
        <v>1963</v>
      </c>
      <c r="H27609" s="21">
        <v>596.66999999999996</v>
      </c>
    </row>
    <row r="27610" spans="1:8" customFormat="1" x14ac:dyDescent="0.25">
      <c r="A27610" t="str">
        <f>"5432116"</f>
        <v>5432116</v>
      </c>
      <c r="B27610" t="s">
        <v>3947</v>
      </c>
      <c r="C27610" t="s">
        <v>879</v>
      </c>
      <c r="D27610" s="21" t="s">
        <v>34</v>
      </c>
      <c r="E27610" s="21" t="s">
        <v>254</v>
      </c>
      <c r="F27610">
        <v>6540199</v>
      </c>
      <c r="G27610" t="s">
        <v>8888</v>
      </c>
      <c r="H27610" s="21">
        <v>596.66999999999996</v>
      </c>
    </row>
    <row r="27611" spans="1:8" customFormat="1" x14ac:dyDescent="0.25">
      <c r="A27611" t="str">
        <f>"289044"</f>
        <v>289044</v>
      </c>
      <c r="B27611" t="s">
        <v>13294</v>
      </c>
      <c r="C27611" t="s">
        <v>598</v>
      </c>
      <c r="D27611" s="21" t="s">
        <v>34</v>
      </c>
      <c r="E27611" s="21" t="s">
        <v>71</v>
      </c>
      <c r="F27611">
        <v>4280716</v>
      </c>
      <c r="G27611" t="s">
        <v>5281</v>
      </c>
      <c r="H27611" s="21">
        <v>596.66999999999996</v>
      </c>
    </row>
    <row r="27612" spans="1:8" customFormat="1" x14ac:dyDescent="0.25">
      <c r="A27612" t="str">
        <f>"394613"</f>
        <v>394613</v>
      </c>
      <c r="B27612" t="s">
        <v>27987</v>
      </c>
      <c r="C27612" t="s">
        <v>121</v>
      </c>
      <c r="D27612" s="21" t="s">
        <v>34</v>
      </c>
      <c r="E27612" s="21" t="s">
        <v>35</v>
      </c>
      <c r="F27612">
        <v>2390010</v>
      </c>
      <c r="G27612" t="s">
        <v>27283</v>
      </c>
      <c r="H27612" s="21">
        <v>596.66999999999996</v>
      </c>
    </row>
    <row r="27613" spans="1:8" customFormat="1" x14ac:dyDescent="0.25">
      <c r="A27613" t="str">
        <f>"417027"</f>
        <v>417027</v>
      </c>
      <c r="B27613" t="s">
        <v>19438</v>
      </c>
      <c r="C27613" t="s">
        <v>1914</v>
      </c>
      <c r="D27613" s="21" t="s">
        <v>34</v>
      </c>
      <c r="E27613" s="21" t="s">
        <v>71</v>
      </c>
      <c r="F27613">
        <v>4410390</v>
      </c>
      <c r="G27613" t="s">
        <v>12210</v>
      </c>
      <c r="H27613" s="21">
        <v>596.66999999999996</v>
      </c>
    </row>
    <row r="27614" spans="1:8" customFormat="1" x14ac:dyDescent="0.25">
      <c r="A27614" t="str">
        <f>"337284"</f>
        <v>337284</v>
      </c>
      <c r="B27614" t="s">
        <v>19436</v>
      </c>
      <c r="C27614" t="s">
        <v>1132</v>
      </c>
      <c r="D27614" s="21" t="s">
        <v>34</v>
      </c>
      <c r="E27614" s="21" t="s">
        <v>254</v>
      </c>
      <c r="F27614">
        <v>10330035</v>
      </c>
      <c r="G27614" t="s">
        <v>3457</v>
      </c>
      <c r="H27614" s="21">
        <v>596.66999999999996</v>
      </c>
    </row>
    <row r="27615" spans="1:8" customFormat="1" x14ac:dyDescent="0.25">
      <c r="A27615" t="str">
        <f>"647391"</f>
        <v>647391</v>
      </c>
      <c r="B27615" t="s">
        <v>21063</v>
      </c>
      <c r="C27615" t="s">
        <v>1914</v>
      </c>
      <c r="D27615" s="21" t="s">
        <v>34</v>
      </c>
      <c r="E27615" s="21" t="s">
        <v>254</v>
      </c>
      <c r="F27615">
        <v>1260054</v>
      </c>
      <c r="G27615" t="s">
        <v>358</v>
      </c>
      <c r="H27615" s="21">
        <v>596.66999999999996</v>
      </c>
    </row>
    <row r="27616" spans="1:8" customFormat="1" x14ac:dyDescent="0.25">
      <c r="A27616" t="str">
        <f>"6219675"</f>
        <v>6219675</v>
      </c>
      <c r="B27616" t="s">
        <v>19507</v>
      </c>
      <c r="C27616" t="s">
        <v>4842</v>
      </c>
      <c r="D27616" s="21" t="s">
        <v>34</v>
      </c>
      <c r="E27616" s="21" t="s">
        <v>71</v>
      </c>
      <c r="F27616">
        <v>7620151</v>
      </c>
      <c r="G27616" t="s">
        <v>14891</v>
      </c>
      <c r="H27616" s="21">
        <v>596.66999999999996</v>
      </c>
    </row>
    <row r="27617" spans="1:8" customFormat="1" x14ac:dyDescent="0.25">
      <c r="A27617" t="str">
        <f>"6918841"</f>
        <v>6918841</v>
      </c>
      <c r="B27617" t="s">
        <v>20481</v>
      </c>
      <c r="C27617" t="s">
        <v>114</v>
      </c>
      <c r="D27617" s="21" t="s">
        <v>34</v>
      </c>
      <c r="E27617" s="21" t="s">
        <v>71</v>
      </c>
      <c r="F27617">
        <v>1690201</v>
      </c>
      <c r="G27617" t="s">
        <v>11274</v>
      </c>
      <c r="H27617" s="21">
        <v>596.66999999999996</v>
      </c>
    </row>
    <row r="27618" spans="1:8" customFormat="1" x14ac:dyDescent="0.25">
      <c r="A27618" t="str">
        <f>"5612544"</f>
        <v>5612544</v>
      </c>
      <c r="B27618" t="s">
        <v>20613</v>
      </c>
      <c r="C27618" t="s">
        <v>598</v>
      </c>
      <c r="D27618" s="21" t="s">
        <v>34</v>
      </c>
      <c r="E27618" s="21" t="s">
        <v>35</v>
      </c>
      <c r="F27618">
        <v>3560052</v>
      </c>
      <c r="G27618" t="s">
        <v>18504</v>
      </c>
      <c r="H27618" s="21">
        <v>596.66999999999996</v>
      </c>
    </row>
    <row r="27619" spans="1:8" customFormat="1" x14ac:dyDescent="0.25">
      <c r="A27619" t="str">
        <f>"6022923"</f>
        <v>6022923</v>
      </c>
      <c r="B27619" t="s">
        <v>21706</v>
      </c>
      <c r="C27619" t="s">
        <v>55</v>
      </c>
      <c r="D27619" s="21" t="s">
        <v>34</v>
      </c>
      <c r="E27619" s="21" t="s">
        <v>71</v>
      </c>
      <c r="F27619">
        <v>7600132</v>
      </c>
      <c r="G27619" t="s">
        <v>15366</v>
      </c>
      <c r="H27619" s="21">
        <v>596.41999999999996</v>
      </c>
    </row>
    <row r="27620" spans="1:8" customFormat="1" x14ac:dyDescent="0.25">
      <c r="A27620" t="str">
        <f>"1716813"</f>
        <v>1716813</v>
      </c>
      <c r="B27620" t="s">
        <v>21257</v>
      </c>
      <c r="C27620" t="s">
        <v>415</v>
      </c>
      <c r="D27620" s="21" t="s">
        <v>34</v>
      </c>
      <c r="E27620" s="21" t="s">
        <v>35</v>
      </c>
      <c r="F27620">
        <v>10170064</v>
      </c>
      <c r="G27620" t="s">
        <v>1900</v>
      </c>
      <c r="H27620" s="21">
        <v>596.41999999999996</v>
      </c>
    </row>
    <row r="27621" spans="1:8" customFormat="1" x14ac:dyDescent="0.25">
      <c r="A27621" t="str">
        <f>"3339925"</f>
        <v>3339925</v>
      </c>
      <c r="B27621" t="s">
        <v>4449</v>
      </c>
      <c r="C27621" t="s">
        <v>139</v>
      </c>
      <c r="D27621" s="21" t="s">
        <v>34</v>
      </c>
      <c r="E27621" s="21" t="s">
        <v>71</v>
      </c>
      <c r="F27621">
        <v>10330050</v>
      </c>
      <c r="G27621" t="s">
        <v>2488</v>
      </c>
      <c r="H27621" s="21">
        <v>596.41999999999996</v>
      </c>
    </row>
    <row r="27622" spans="1:8" customFormat="1" x14ac:dyDescent="0.25">
      <c r="A27622" t="str">
        <f>"114344"</f>
        <v>114344</v>
      </c>
      <c r="B27622" t="s">
        <v>22183</v>
      </c>
      <c r="C27622" t="s">
        <v>40</v>
      </c>
      <c r="D27622" s="21" t="s">
        <v>34</v>
      </c>
      <c r="E27622" s="21" t="s">
        <v>71</v>
      </c>
      <c r="F27622">
        <v>11110026</v>
      </c>
      <c r="G27622" t="s">
        <v>17718</v>
      </c>
      <c r="H27622" s="21">
        <v>596.29</v>
      </c>
    </row>
    <row r="27623" spans="1:8" customFormat="1" x14ac:dyDescent="0.25">
      <c r="A27623" t="str">
        <f>"8514521"</f>
        <v>8514521</v>
      </c>
      <c r="B27623" t="s">
        <v>21155</v>
      </c>
      <c r="C27623" t="s">
        <v>544</v>
      </c>
      <c r="D27623" s="21" t="s">
        <v>34</v>
      </c>
      <c r="E27623" s="21" t="s">
        <v>71</v>
      </c>
      <c r="F27623">
        <v>12850153</v>
      </c>
      <c r="G27623" t="s">
        <v>5794</v>
      </c>
      <c r="H27623" s="21">
        <v>596.16999999999996</v>
      </c>
    </row>
    <row r="27624" spans="1:8" customFormat="1" x14ac:dyDescent="0.25">
      <c r="A27624" t="str">
        <f>"3714430"</f>
        <v>3714430</v>
      </c>
      <c r="B27624" t="s">
        <v>3885</v>
      </c>
      <c r="C27624" t="s">
        <v>528</v>
      </c>
      <c r="D27624" s="21" t="s">
        <v>34</v>
      </c>
      <c r="E27624" s="21" t="s">
        <v>71</v>
      </c>
      <c r="F27624">
        <v>4370146</v>
      </c>
      <c r="G27624" t="s">
        <v>10990</v>
      </c>
      <c r="H27624" s="21">
        <v>596.16999999999996</v>
      </c>
    </row>
    <row r="27625" spans="1:8" customFormat="1" x14ac:dyDescent="0.25">
      <c r="A27625" t="str">
        <f>"7831971"</f>
        <v>7831971</v>
      </c>
      <c r="B27625" t="s">
        <v>8739</v>
      </c>
      <c r="C27625" t="s">
        <v>204</v>
      </c>
      <c r="D27625" s="21" t="s">
        <v>34</v>
      </c>
      <c r="E27625" s="21" t="s">
        <v>35</v>
      </c>
      <c r="F27625">
        <v>8911334</v>
      </c>
      <c r="G27625" t="s">
        <v>4170</v>
      </c>
      <c r="H27625" s="21">
        <v>596.16999999999996</v>
      </c>
    </row>
    <row r="27626" spans="1:8" customFormat="1" x14ac:dyDescent="0.25">
      <c r="A27626" t="str">
        <f>"08150"</f>
        <v>08150</v>
      </c>
      <c r="B27626" t="s">
        <v>19842</v>
      </c>
      <c r="C27626" t="s">
        <v>12304</v>
      </c>
      <c r="D27626" s="21" t="s">
        <v>34</v>
      </c>
      <c r="E27626" s="21" t="s">
        <v>254</v>
      </c>
      <c r="F27626">
        <v>6080072</v>
      </c>
      <c r="G27626" t="s">
        <v>6765</v>
      </c>
      <c r="H27626" s="21">
        <v>596.16999999999996</v>
      </c>
    </row>
    <row r="27627" spans="1:8" customFormat="1" x14ac:dyDescent="0.25">
      <c r="A27627" t="str">
        <f>"8014438"</f>
        <v>8014438</v>
      </c>
      <c r="B27627" t="s">
        <v>24132</v>
      </c>
      <c r="C27627" t="s">
        <v>98</v>
      </c>
      <c r="D27627" s="21" t="s">
        <v>34</v>
      </c>
      <c r="E27627" s="21" t="s">
        <v>35</v>
      </c>
      <c r="F27627">
        <v>7800030</v>
      </c>
      <c r="G27627" t="s">
        <v>13589</v>
      </c>
      <c r="H27627" s="21">
        <v>596.16999999999996</v>
      </c>
    </row>
    <row r="27628" spans="1:8" customFormat="1" x14ac:dyDescent="0.25">
      <c r="A27628" t="str">
        <f>"4457230"</f>
        <v>4457230</v>
      </c>
      <c r="B27628" t="s">
        <v>27988</v>
      </c>
      <c r="C27628" t="s">
        <v>82</v>
      </c>
      <c r="D27628" s="21" t="s">
        <v>34</v>
      </c>
      <c r="E27628" s="21" t="s">
        <v>35</v>
      </c>
      <c r="F27628">
        <v>12440144</v>
      </c>
      <c r="G27628" t="s">
        <v>3702</v>
      </c>
      <c r="H27628" s="21">
        <v>596.16999999999996</v>
      </c>
    </row>
    <row r="27629" spans="1:8" customFormat="1" x14ac:dyDescent="0.25">
      <c r="A27629" t="str">
        <f>"168057"</f>
        <v>168057</v>
      </c>
      <c r="B27629" t="s">
        <v>8634</v>
      </c>
      <c r="C27629" t="s">
        <v>288</v>
      </c>
      <c r="D27629" s="21" t="s">
        <v>34</v>
      </c>
      <c r="E27629" s="21" t="s">
        <v>35</v>
      </c>
      <c r="F27629">
        <v>10160223</v>
      </c>
      <c r="G27629" t="s">
        <v>5750</v>
      </c>
      <c r="H27629" s="21">
        <v>596.16999999999996</v>
      </c>
    </row>
    <row r="27630" spans="1:8" customFormat="1" x14ac:dyDescent="0.25">
      <c r="A27630" t="str">
        <f>"2936578"</f>
        <v>2936578</v>
      </c>
      <c r="B27630" t="s">
        <v>21074</v>
      </c>
      <c r="C27630" t="s">
        <v>209</v>
      </c>
      <c r="D27630" s="21" t="s">
        <v>34</v>
      </c>
      <c r="E27630" s="21" t="s">
        <v>35</v>
      </c>
      <c r="F27630">
        <v>3290037</v>
      </c>
      <c r="G27630" t="s">
        <v>11628</v>
      </c>
      <c r="H27630" s="21">
        <v>596.16999999999996</v>
      </c>
    </row>
    <row r="27631" spans="1:8" customFormat="1" x14ac:dyDescent="0.25">
      <c r="A27631" t="str">
        <f>"903455"</f>
        <v>903455</v>
      </c>
      <c r="B27631" t="s">
        <v>18947</v>
      </c>
      <c r="C27631" t="s">
        <v>3456</v>
      </c>
      <c r="D27631" s="21" t="s">
        <v>34</v>
      </c>
      <c r="E27631" s="21" t="s">
        <v>71</v>
      </c>
      <c r="F27631">
        <v>2900023</v>
      </c>
      <c r="G27631" t="s">
        <v>4360</v>
      </c>
      <c r="H27631" s="21">
        <v>596.16999999999996</v>
      </c>
    </row>
    <row r="27632" spans="1:8" customFormat="1" x14ac:dyDescent="0.25">
      <c r="A27632" t="str">
        <f>"5429003"</f>
        <v>5429003</v>
      </c>
      <c r="B27632" t="s">
        <v>10208</v>
      </c>
      <c r="C27632" t="s">
        <v>40</v>
      </c>
      <c r="D27632" s="21" t="s">
        <v>34</v>
      </c>
      <c r="E27632" s="21" t="s">
        <v>35</v>
      </c>
      <c r="F27632">
        <v>6540008</v>
      </c>
      <c r="G27632" t="s">
        <v>3891</v>
      </c>
      <c r="H27632" s="21">
        <v>596.16999999999996</v>
      </c>
    </row>
    <row r="27633" spans="1:8" customFormat="1" x14ac:dyDescent="0.25">
      <c r="A27633" t="str">
        <f>"767019"</f>
        <v>767019</v>
      </c>
      <c r="B27633" t="s">
        <v>6627</v>
      </c>
      <c r="C27633" t="s">
        <v>169</v>
      </c>
      <c r="D27633" s="21" t="s">
        <v>34</v>
      </c>
      <c r="E27633" s="21" t="s">
        <v>71</v>
      </c>
      <c r="F27633">
        <v>9760266</v>
      </c>
      <c r="G27633" t="s">
        <v>1891</v>
      </c>
      <c r="H27633" s="21">
        <v>596.16999999999996</v>
      </c>
    </row>
    <row r="27634" spans="1:8" customFormat="1" x14ac:dyDescent="0.25">
      <c r="A27634" t="str">
        <f>"3721945"</f>
        <v>3721945</v>
      </c>
      <c r="B27634" t="s">
        <v>19856</v>
      </c>
      <c r="C27634" t="s">
        <v>462</v>
      </c>
      <c r="D27634" s="21" t="s">
        <v>34</v>
      </c>
      <c r="E27634" s="21" t="s">
        <v>71</v>
      </c>
      <c r="F27634">
        <v>4370102</v>
      </c>
      <c r="G27634" t="s">
        <v>10707</v>
      </c>
      <c r="H27634" s="21">
        <v>596.16999999999996</v>
      </c>
    </row>
    <row r="27635" spans="1:8" customFormat="1" x14ac:dyDescent="0.25">
      <c r="A27635" t="str">
        <f>"3335295"</f>
        <v>3335295</v>
      </c>
      <c r="B27635" t="s">
        <v>27989</v>
      </c>
      <c r="C27635" t="s">
        <v>576</v>
      </c>
      <c r="D27635" s="21" t="s">
        <v>34</v>
      </c>
      <c r="E27635" s="21" t="s">
        <v>35</v>
      </c>
      <c r="F27635">
        <v>11340047</v>
      </c>
      <c r="G27635" t="s">
        <v>4303</v>
      </c>
      <c r="H27635" s="21">
        <v>596.16999999999996</v>
      </c>
    </row>
    <row r="27636" spans="1:8" customFormat="1" x14ac:dyDescent="0.25">
      <c r="A27636" t="str">
        <f>"9238885"</f>
        <v>9238885</v>
      </c>
      <c r="B27636" t="s">
        <v>9060</v>
      </c>
      <c r="C27636" t="s">
        <v>27990</v>
      </c>
      <c r="D27636" s="21" t="s">
        <v>34</v>
      </c>
      <c r="E27636" s="21" t="s">
        <v>71</v>
      </c>
      <c r="F27636">
        <v>8920389</v>
      </c>
      <c r="G27636" t="s">
        <v>1739</v>
      </c>
      <c r="H27636" s="21">
        <v>596.16999999999996</v>
      </c>
    </row>
    <row r="27637" spans="1:8" customFormat="1" x14ac:dyDescent="0.25">
      <c r="A27637" t="str">
        <f>"1716314"</f>
        <v>1716314</v>
      </c>
      <c r="B27637" t="s">
        <v>21786</v>
      </c>
      <c r="C27637" t="s">
        <v>2305</v>
      </c>
      <c r="D27637" s="21" t="s">
        <v>34</v>
      </c>
      <c r="E27637" s="21" t="s">
        <v>1089</v>
      </c>
      <c r="F27637">
        <v>10170028</v>
      </c>
      <c r="G27637" t="s">
        <v>649</v>
      </c>
      <c r="H27637" s="21">
        <v>596.16999999999996</v>
      </c>
    </row>
    <row r="27638" spans="1:8" customFormat="1" x14ac:dyDescent="0.25">
      <c r="A27638" t="str">
        <f>"6946841"</f>
        <v>6946841</v>
      </c>
      <c r="B27638" t="s">
        <v>20839</v>
      </c>
      <c r="C27638" t="s">
        <v>249</v>
      </c>
      <c r="D27638" s="21" t="s">
        <v>34</v>
      </c>
      <c r="E27638" s="21" t="s">
        <v>35</v>
      </c>
      <c r="F27638">
        <v>1690040</v>
      </c>
      <c r="G27638" t="s">
        <v>15960</v>
      </c>
      <c r="H27638" s="21">
        <v>596.16999999999996</v>
      </c>
    </row>
    <row r="27639" spans="1:8" customFormat="1" x14ac:dyDescent="0.25">
      <c r="A27639" t="str">
        <f>"5929906"</f>
        <v>5929906</v>
      </c>
      <c r="B27639" t="s">
        <v>20334</v>
      </c>
      <c r="C27639" t="s">
        <v>6285</v>
      </c>
      <c r="D27639" s="21" t="s">
        <v>34</v>
      </c>
      <c r="E27639" s="21" t="s">
        <v>254</v>
      </c>
      <c r="F27639">
        <v>7590194</v>
      </c>
      <c r="G27639" t="s">
        <v>460</v>
      </c>
      <c r="H27639" s="21">
        <v>596.16999999999996</v>
      </c>
    </row>
    <row r="27640" spans="1:8" customFormat="1" x14ac:dyDescent="0.25">
      <c r="A27640" t="str">
        <f>"8525582"</f>
        <v>8525582</v>
      </c>
      <c r="B27640" t="s">
        <v>1724</v>
      </c>
      <c r="C27640" t="s">
        <v>169</v>
      </c>
      <c r="D27640" s="21" t="s">
        <v>34</v>
      </c>
      <c r="E27640" s="21" t="s">
        <v>35</v>
      </c>
      <c r="F27640">
        <v>12850108</v>
      </c>
      <c r="G27640" t="s">
        <v>11093</v>
      </c>
      <c r="H27640" s="21">
        <v>596.16999999999996</v>
      </c>
    </row>
    <row r="27641" spans="1:8" customFormat="1" x14ac:dyDescent="0.25">
      <c r="A27641" t="str">
        <f>"22201"</f>
        <v>22201</v>
      </c>
      <c r="B27641" t="s">
        <v>13042</v>
      </c>
      <c r="C27641" t="s">
        <v>598</v>
      </c>
      <c r="D27641" s="21" t="s">
        <v>34</v>
      </c>
      <c r="E27641" s="21" t="s">
        <v>254</v>
      </c>
      <c r="F27641">
        <v>3220037</v>
      </c>
      <c r="G27641" t="s">
        <v>13306</v>
      </c>
      <c r="H27641" s="21">
        <v>596.16999999999996</v>
      </c>
    </row>
    <row r="27642" spans="1:8" customFormat="1" x14ac:dyDescent="0.25">
      <c r="A27642" t="str">
        <f>"3526391"</f>
        <v>3526391</v>
      </c>
      <c r="B27642" t="s">
        <v>8257</v>
      </c>
      <c r="C27642" t="s">
        <v>263</v>
      </c>
      <c r="D27642" s="21" t="s">
        <v>34</v>
      </c>
      <c r="E27642" s="21" t="s">
        <v>35</v>
      </c>
      <c r="F27642">
        <v>3350203</v>
      </c>
      <c r="G27642" t="s">
        <v>11973</v>
      </c>
      <c r="H27642" s="21">
        <v>596.16999999999996</v>
      </c>
    </row>
    <row r="27643" spans="1:8" customFormat="1" x14ac:dyDescent="0.25">
      <c r="A27643" t="str">
        <f>"474916"</f>
        <v>474916</v>
      </c>
      <c r="B27643" t="s">
        <v>771</v>
      </c>
      <c r="C27643" t="s">
        <v>3784</v>
      </c>
      <c r="D27643" s="21" t="s">
        <v>34</v>
      </c>
      <c r="E27643" s="21" t="s">
        <v>1089</v>
      </c>
      <c r="F27643">
        <v>10470021</v>
      </c>
      <c r="G27643" t="s">
        <v>1034</v>
      </c>
      <c r="H27643" s="21">
        <v>596.16999999999996</v>
      </c>
    </row>
    <row r="27644" spans="1:8" customFormat="1" x14ac:dyDescent="0.25">
      <c r="A27644" t="str">
        <f>"756931"</f>
        <v>756931</v>
      </c>
      <c r="B27644" t="s">
        <v>19103</v>
      </c>
      <c r="C27644" t="s">
        <v>19104</v>
      </c>
      <c r="D27644" s="21" t="s">
        <v>34</v>
      </c>
      <c r="E27644" s="21" t="s">
        <v>71</v>
      </c>
      <c r="F27644">
        <v>8751456</v>
      </c>
      <c r="G27644" t="s">
        <v>2683</v>
      </c>
      <c r="H27644" s="21">
        <v>596.04</v>
      </c>
    </row>
    <row r="27645" spans="1:8" customFormat="1" x14ac:dyDescent="0.25">
      <c r="A27645" t="str">
        <f>"746811"</f>
        <v>746811</v>
      </c>
      <c r="B27645" t="s">
        <v>27991</v>
      </c>
      <c r="C27645" t="s">
        <v>27992</v>
      </c>
      <c r="D27645" s="21" t="s">
        <v>34</v>
      </c>
      <c r="E27645" s="21" t="s">
        <v>254</v>
      </c>
      <c r="F27645">
        <v>1740080</v>
      </c>
      <c r="G27645" t="s">
        <v>12809</v>
      </c>
      <c r="H27645" s="21">
        <v>596</v>
      </c>
    </row>
    <row r="27646" spans="1:8" customFormat="1" x14ac:dyDescent="0.25">
      <c r="A27646" t="str">
        <f>"124022"</f>
        <v>124022</v>
      </c>
      <c r="B27646" t="s">
        <v>20767</v>
      </c>
      <c r="C27646" t="s">
        <v>415</v>
      </c>
      <c r="D27646" s="21" t="s">
        <v>34</v>
      </c>
      <c r="E27646" s="21" t="s">
        <v>254</v>
      </c>
      <c r="F27646">
        <v>11120024</v>
      </c>
      <c r="G27646" t="s">
        <v>12259</v>
      </c>
      <c r="H27646" s="21">
        <v>595.91999999999996</v>
      </c>
    </row>
    <row r="27647" spans="1:8" customFormat="1" x14ac:dyDescent="0.25">
      <c r="A27647" t="str">
        <f>"1312693"</f>
        <v>1312693</v>
      </c>
      <c r="B27647" t="s">
        <v>12207</v>
      </c>
      <c r="C27647" t="s">
        <v>43</v>
      </c>
      <c r="D27647" s="21" t="s">
        <v>34</v>
      </c>
      <c r="E27647" s="21" t="s">
        <v>35</v>
      </c>
      <c r="F27647">
        <v>13130067</v>
      </c>
      <c r="G27647" t="s">
        <v>1420</v>
      </c>
      <c r="H27647" s="21">
        <v>595.91999999999996</v>
      </c>
    </row>
    <row r="27648" spans="1:8" customFormat="1" x14ac:dyDescent="0.25">
      <c r="A27648" t="str">
        <f>"5317480"</f>
        <v>5317480</v>
      </c>
      <c r="B27648" t="s">
        <v>19557</v>
      </c>
      <c r="C27648" t="s">
        <v>500</v>
      </c>
      <c r="D27648" s="21" t="s">
        <v>34</v>
      </c>
      <c r="E27648" s="21" t="s">
        <v>71</v>
      </c>
      <c r="F27648">
        <v>12530035</v>
      </c>
      <c r="G27648" t="s">
        <v>1663</v>
      </c>
      <c r="H27648" s="21">
        <v>595.91999999999996</v>
      </c>
    </row>
    <row r="27649" spans="1:8" customFormat="1" x14ac:dyDescent="0.25">
      <c r="A27649" t="str">
        <f>"785777"</f>
        <v>785777</v>
      </c>
      <c r="B27649" t="s">
        <v>19665</v>
      </c>
      <c r="C27649" t="s">
        <v>926</v>
      </c>
      <c r="D27649" s="21" t="s">
        <v>34</v>
      </c>
      <c r="E27649" s="21" t="s">
        <v>71</v>
      </c>
      <c r="F27649">
        <v>8780660</v>
      </c>
      <c r="G27649" t="s">
        <v>2801</v>
      </c>
      <c r="H27649" s="21">
        <v>595.79</v>
      </c>
    </row>
    <row r="27650" spans="1:8" customFormat="1" x14ac:dyDescent="0.25">
      <c r="A27650" t="str">
        <f>"3821282"</f>
        <v>3821282</v>
      </c>
      <c r="B27650" t="s">
        <v>19786</v>
      </c>
      <c r="C27650" t="s">
        <v>249</v>
      </c>
      <c r="D27650" s="21" t="s">
        <v>34</v>
      </c>
      <c r="E27650" s="21" t="s">
        <v>71</v>
      </c>
      <c r="F27650">
        <v>1380045</v>
      </c>
      <c r="G27650" t="s">
        <v>2114</v>
      </c>
      <c r="H27650" s="21">
        <v>595.66999999999996</v>
      </c>
    </row>
    <row r="27651" spans="1:8" customFormat="1" x14ac:dyDescent="0.25">
      <c r="A27651" t="str">
        <f>"043742"</f>
        <v>043742</v>
      </c>
      <c r="B27651" t="s">
        <v>146</v>
      </c>
      <c r="C27651" t="s">
        <v>275</v>
      </c>
      <c r="D27651" s="21" t="s">
        <v>34</v>
      </c>
      <c r="E27651" s="21" t="s">
        <v>35</v>
      </c>
      <c r="F27651">
        <v>13040023</v>
      </c>
      <c r="G27651" t="s">
        <v>2542</v>
      </c>
      <c r="H27651" s="21">
        <v>595.66999999999996</v>
      </c>
    </row>
    <row r="27652" spans="1:8" customFormat="1" x14ac:dyDescent="0.25">
      <c r="A27652" t="str">
        <f>"9523777"</f>
        <v>9523777</v>
      </c>
      <c r="B27652" t="s">
        <v>19147</v>
      </c>
      <c r="C27652" t="s">
        <v>209</v>
      </c>
      <c r="D27652" s="21" t="s">
        <v>34</v>
      </c>
      <c r="E27652" s="21" t="s">
        <v>71</v>
      </c>
      <c r="F27652">
        <v>8950531</v>
      </c>
      <c r="G27652" t="s">
        <v>7983</v>
      </c>
      <c r="H27652" s="21">
        <v>595.66999999999996</v>
      </c>
    </row>
    <row r="27653" spans="1:8" customFormat="1" x14ac:dyDescent="0.25">
      <c r="A27653" t="str">
        <f>"5111531"</f>
        <v>5111531</v>
      </c>
      <c r="B27653" t="s">
        <v>20524</v>
      </c>
      <c r="C27653" t="s">
        <v>109</v>
      </c>
      <c r="D27653" s="21" t="s">
        <v>34</v>
      </c>
      <c r="E27653" s="21" t="s">
        <v>71</v>
      </c>
      <c r="F27653">
        <v>7021010</v>
      </c>
      <c r="G27653" t="s">
        <v>10493</v>
      </c>
      <c r="H27653" s="21">
        <v>595.66999999999996</v>
      </c>
    </row>
    <row r="27654" spans="1:8" customFormat="1" x14ac:dyDescent="0.25">
      <c r="A27654" t="str">
        <f>"5957018"</f>
        <v>5957018</v>
      </c>
      <c r="B27654" t="s">
        <v>3428</v>
      </c>
      <c r="C27654" t="s">
        <v>55</v>
      </c>
      <c r="D27654" s="21" t="s">
        <v>34</v>
      </c>
      <c r="E27654" s="21" t="s">
        <v>35</v>
      </c>
      <c r="F27654">
        <v>7590023</v>
      </c>
      <c r="G27654" t="s">
        <v>7058</v>
      </c>
      <c r="H27654" s="21">
        <v>595.66999999999996</v>
      </c>
    </row>
    <row r="27655" spans="1:8" customFormat="1" x14ac:dyDescent="0.25">
      <c r="A27655" t="str">
        <f>"263463"</f>
        <v>263463</v>
      </c>
      <c r="B27655" t="s">
        <v>20024</v>
      </c>
      <c r="C27655" t="s">
        <v>20025</v>
      </c>
      <c r="D27655" s="21" t="s">
        <v>34</v>
      </c>
      <c r="E27655" s="21" t="s">
        <v>71</v>
      </c>
      <c r="F27655">
        <v>13130026</v>
      </c>
      <c r="G27655" t="s">
        <v>3792</v>
      </c>
      <c r="H27655" s="21">
        <v>595.66999999999996</v>
      </c>
    </row>
    <row r="27656" spans="1:8" customFormat="1" x14ac:dyDescent="0.25">
      <c r="A27656" t="str">
        <f>"2931275"</f>
        <v>2931275</v>
      </c>
      <c r="B27656" t="s">
        <v>6401</v>
      </c>
      <c r="C27656" t="s">
        <v>2479</v>
      </c>
      <c r="D27656" s="21" t="s">
        <v>34</v>
      </c>
      <c r="E27656" s="21" t="s">
        <v>1089</v>
      </c>
      <c r="F27656">
        <v>3290283</v>
      </c>
      <c r="G27656" t="s">
        <v>12108</v>
      </c>
      <c r="H27656" s="21">
        <v>595.66999999999996</v>
      </c>
    </row>
    <row r="27657" spans="1:8" customFormat="1" x14ac:dyDescent="0.25">
      <c r="A27657" t="str">
        <f>"394507"</f>
        <v>394507</v>
      </c>
      <c r="B27657" t="s">
        <v>10733</v>
      </c>
      <c r="C27657" t="s">
        <v>204</v>
      </c>
      <c r="D27657" s="21" t="s">
        <v>34</v>
      </c>
      <c r="E27657" s="21" t="s">
        <v>71</v>
      </c>
      <c r="F27657">
        <v>2390001</v>
      </c>
      <c r="G27657" t="s">
        <v>6664</v>
      </c>
      <c r="H27657" s="21">
        <v>595.66999999999996</v>
      </c>
    </row>
    <row r="27658" spans="1:8" customFormat="1" x14ac:dyDescent="0.25">
      <c r="A27658" t="str">
        <f>"6944631"</f>
        <v>6944631</v>
      </c>
      <c r="B27658" t="s">
        <v>6882</v>
      </c>
      <c r="C27658" t="s">
        <v>249</v>
      </c>
      <c r="D27658" s="21" t="s">
        <v>34</v>
      </c>
      <c r="E27658" s="21" t="s">
        <v>71</v>
      </c>
      <c r="F27658">
        <v>1690058</v>
      </c>
      <c r="G27658" t="s">
        <v>1644</v>
      </c>
      <c r="H27658" s="21">
        <v>595.66999999999996</v>
      </c>
    </row>
    <row r="27659" spans="1:8" customFormat="1" x14ac:dyDescent="0.25">
      <c r="A27659" t="str">
        <f>"8522501"</f>
        <v>8522501</v>
      </c>
      <c r="B27659" t="s">
        <v>6472</v>
      </c>
      <c r="C27659" t="s">
        <v>87</v>
      </c>
      <c r="D27659" s="21" t="s">
        <v>34</v>
      </c>
      <c r="E27659" s="21" t="s">
        <v>71</v>
      </c>
      <c r="F27659">
        <v>12850016</v>
      </c>
      <c r="G27659" t="s">
        <v>26554</v>
      </c>
      <c r="H27659" s="21">
        <v>595.66999999999996</v>
      </c>
    </row>
    <row r="27660" spans="1:8" customFormat="1" x14ac:dyDescent="0.25">
      <c r="A27660" t="str">
        <f>"7862829"</f>
        <v>7862829</v>
      </c>
      <c r="B27660" t="s">
        <v>465</v>
      </c>
      <c r="C27660" t="s">
        <v>49</v>
      </c>
      <c r="D27660" s="21" t="s">
        <v>34</v>
      </c>
      <c r="E27660" s="21" t="s">
        <v>35</v>
      </c>
      <c r="F27660">
        <v>8781471</v>
      </c>
      <c r="G27660" t="s">
        <v>9616</v>
      </c>
      <c r="H27660" s="21">
        <v>595.66999999999996</v>
      </c>
    </row>
    <row r="27661" spans="1:8" customFormat="1" x14ac:dyDescent="0.25">
      <c r="A27661" t="str">
        <f>"276282"</f>
        <v>276282</v>
      </c>
      <c r="B27661" t="s">
        <v>24585</v>
      </c>
      <c r="C27661" t="s">
        <v>119</v>
      </c>
      <c r="D27661" s="21" t="s">
        <v>34</v>
      </c>
      <c r="E27661" s="21" t="s">
        <v>71</v>
      </c>
      <c r="F27661">
        <v>9270181</v>
      </c>
      <c r="G27661" t="s">
        <v>2952</v>
      </c>
      <c r="H27661" s="21">
        <v>595.66999999999996</v>
      </c>
    </row>
    <row r="27662" spans="1:8" customFormat="1" x14ac:dyDescent="0.25">
      <c r="A27662" t="str">
        <f>"336330"</f>
        <v>336330</v>
      </c>
      <c r="B27662" t="s">
        <v>19667</v>
      </c>
      <c r="C27662" t="s">
        <v>233</v>
      </c>
      <c r="D27662" s="21" t="s">
        <v>34</v>
      </c>
      <c r="E27662" s="21" t="s">
        <v>6185</v>
      </c>
      <c r="F27662">
        <v>10330002</v>
      </c>
      <c r="G27662" t="s">
        <v>53</v>
      </c>
      <c r="H27662" s="21">
        <v>595.66999999999996</v>
      </c>
    </row>
    <row r="27663" spans="1:8" customFormat="1" x14ac:dyDescent="0.25">
      <c r="A27663" t="str">
        <f>"5420821"</f>
        <v>5420821</v>
      </c>
      <c r="B27663" t="s">
        <v>4368</v>
      </c>
      <c r="C27663" t="s">
        <v>1588</v>
      </c>
      <c r="D27663" s="21" t="s">
        <v>34</v>
      </c>
      <c r="E27663" s="21" t="s">
        <v>1089</v>
      </c>
      <c r="F27663">
        <v>6540040</v>
      </c>
      <c r="G27663" t="s">
        <v>256</v>
      </c>
      <c r="H27663" s="21">
        <v>595.66999999999996</v>
      </c>
    </row>
    <row r="27664" spans="1:8" customFormat="1" x14ac:dyDescent="0.25">
      <c r="A27664" t="str">
        <f>"5734431"</f>
        <v>5734431</v>
      </c>
      <c r="B27664" t="s">
        <v>25115</v>
      </c>
      <c r="C27664" t="s">
        <v>33</v>
      </c>
      <c r="D27664" s="21" t="s">
        <v>34</v>
      </c>
      <c r="E27664" s="21" t="s">
        <v>35</v>
      </c>
      <c r="F27664">
        <v>6570175</v>
      </c>
      <c r="G27664" t="s">
        <v>9707</v>
      </c>
      <c r="H27664" s="21">
        <v>595.66999999999996</v>
      </c>
    </row>
    <row r="27665" spans="1:8" customFormat="1" x14ac:dyDescent="0.25">
      <c r="A27665" t="str">
        <f>"1410954"</f>
        <v>1410954</v>
      </c>
      <c r="B27665" t="s">
        <v>1295</v>
      </c>
      <c r="C27665" t="s">
        <v>269</v>
      </c>
      <c r="D27665" s="21" t="s">
        <v>34</v>
      </c>
      <c r="E27665" s="21" t="s">
        <v>71</v>
      </c>
      <c r="F27665">
        <v>9140233</v>
      </c>
      <c r="G27665" t="s">
        <v>13269</v>
      </c>
      <c r="H27665" s="21">
        <v>595.66999999999996</v>
      </c>
    </row>
    <row r="27666" spans="1:8" customFormat="1" x14ac:dyDescent="0.25">
      <c r="A27666" t="str">
        <f>"824195"</f>
        <v>824195</v>
      </c>
      <c r="B27666" t="s">
        <v>12423</v>
      </c>
      <c r="C27666" t="s">
        <v>439</v>
      </c>
      <c r="D27666" s="21" t="s">
        <v>34</v>
      </c>
      <c r="E27666" s="21" t="s">
        <v>71</v>
      </c>
      <c r="F27666">
        <v>11820031</v>
      </c>
      <c r="G27666" t="s">
        <v>18667</v>
      </c>
      <c r="H27666" s="21">
        <v>595.66999999999996</v>
      </c>
    </row>
    <row r="27667" spans="1:8" customFormat="1" x14ac:dyDescent="0.25">
      <c r="A27667" t="str">
        <f>"5969097"</f>
        <v>5969097</v>
      </c>
      <c r="B27667" t="s">
        <v>946</v>
      </c>
      <c r="C27667" t="s">
        <v>119</v>
      </c>
      <c r="D27667" s="21" t="s">
        <v>34</v>
      </c>
      <c r="E27667" s="21" t="s">
        <v>35</v>
      </c>
      <c r="F27667">
        <v>7590231</v>
      </c>
      <c r="G27667" t="s">
        <v>207</v>
      </c>
      <c r="H27667" s="21">
        <v>595.66999999999996</v>
      </c>
    </row>
    <row r="27668" spans="1:8" customFormat="1" x14ac:dyDescent="0.25">
      <c r="A27668" t="str">
        <f>"4432821"</f>
        <v>4432821</v>
      </c>
      <c r="B27668" t="s">
        <v>4524</v>
      </c>
      <c r="C27668" t="s">
        <v>812</v>
      </c>
      <c r="D27668" s="21" t="s">
        <v>34</v>
      </c>
      <c r="E27668" s="21" t="s">
        <v>71</v>
      </c>
      <c r="F27668">
        <v>12440004</v>
      </c>
      <c r="G27668" t="s">
        <v>26530</v>
      </c>
      <c r="H27668" s="21">
        <v>595.66999999999996</v>
      </c>
    </row>
    <row r="27669" spans="1:8" customFormat="1" x14ac:dyDescent="0.25">
      <c r="A27669" t="str">
        <f>"7623215"</f>
        <v>7623215</v>
      </c>
      <c r="B27669" t="s">
        <v>2398</v>
      </c>
      <c r="C27669" t="s">
        <v>33</v>
      </c>
      <c r="D27669" s="21" t="s">
        <v>34</v>
      </c>
      <c r="E27669" s="21" t="s">
        <v>71</v>
      </c>
      <c r="F27669">
        <v>9760461</v>
      </c>
      <c r="G27669" t="s">
        <v>6804</v>
      </c>
      <c r="H27669" s="21">
        <v>595.66999999999996</v>
      </c>
    </row>
    <row r="27670" spans="1:8" customFormat="1" x14ac:dyDescent="0.25">
      <c r="A27670" t="str">
        <f>"6944617"</f>
        <v>6944617</v>
      </c>
      <c r="B27670" t="s">
        <v>3616</v>
      </c>
      <c r="C27670" t="s">
        <v>96</v>
      </c>
      <c r="D27670" s="21" t="s">
        <v>34</v>
      </c>
      <c r="E27670" s="21" t="s">
        <v>35</v>
      </c>
      <c r="F27670">
        <v>1690160</v>
      </c>
      <c r="G27670" t="s">
        <v>4599</v>
      </c>
      <c r="H27670" s="21">
        <v>595.66999999999996</v>
      </c>
    </row>
    <row r="27671" spans="1:8" customFormat="1" x14ac:dyDescent="0.25">
      <c r="A27671" t="str">
        <f>"729839"</f>
        <v>729839</v>
      </c>
      <c r="B27671" t="s">
        <v>3367</v>
      </c>
      <c r="C27671" t="s">
        <v>1539</v>
      </c>
      <c r="D27671" s="21" t="s">
        <v>34</v>
      </c>
      <c r="E27671" s="21" t="s">
        <v>71</v>
      </c>
      <c r="F27671">
        <v>2710002</v>
      </c>
      <c r="G27671" t="s">
        <v>6838</v>
      </c>
      <c r="H27671" s="21">
        <v>595.54</v>
      </c>
    </row>
    <row r="27672" spans="1:8" customFormat="1" x14ac:dyDescent="0.25">
      <c r="A27672" t="str">
        <f>"486168"</f>
        <v>486168</v>
      </c>
      <c r="B27672" t="s">
        <v>3274</v>
      </c>
      <c r="C27672" t="s">
        <v>114</v>
      </c>
      <c r="D27672" s="21" t="s">
        <v>34</v>
      </c>
      <c r="E27672" s="21" t="s">
        <v>35</v>
      </c>
      <c r="F27672">
        <v>11480019</v>
      </c>
      <c r="G27672" t="s">
        <v>11028</v>
      </c>
      <c r="H27672" s="21">
        <v>595.54</v>
      </c>
    </row>
    <row r="27673" spans="1:8" customFormat="1" x14ac:dyDescent="0.25">
      <c r="A27673" t="str">
        <f>"2513545"</f>
        <v>2513545</v>
      </c>
      <c r="B27673" t="s">
        <v>18978</v>
      </c>
      <c r="C27673" t="s">
        <v>253</v>
      </c>
      <c r="D27673" s="21" t="s">
        <v>34</v>
      </c>
      <c r="E27673" s="21" t="s">
        <v>1089</v>
      </c>
      <c r="F27673">
        <v>2250016</v>
      </c>
      <c r="G27673" t="s">
        <v>1709</v>
      </c>
      <c r="H27673" s="21">
        <v>595.54</v>
      </c>
    </row>
    <row r="27674" spans="1:8" customFormat="1" x14ac:dyDescent="0.25">
      <c r="A27674" t="str">
        <f>"9533540"</f>
        <v>9533540</v>
      </c>
      <c r="B27674" t="s">
        <v>21735</v>
      </c>
      <c r="C27674" t="s">
        <v>462</v>
      </c>
      <c r="D27674" s="21" t="s">
        <v>34</v>
      </c>
      <c r="E27674" s="21" t="s">
        <v>71</v>
      </c>
      <c r="F27674">
        <v>8950330</v>
      </c>
      <c r="G27674" t="s">
        <v>794</v>
      </c>
      <c r="H27674" s="21">
        <v>595.41999999999996</v>
      </c>
    </row>
    <row r="27675" spans="1:8" customFormat="1" x14ac:dyDescent="0.25">
      <c r="A27675" t="str">
        <f>"136854"</f>
        <v>136854</v>
      </c>
      <c r="B27675" t="s">
        <v>6440</v>
      </c>
      <c r="C27675" t="s">
        <v>239</v>
      </c>
      <c r="D27675" s="21" t="s">
        <v>34</v>
      </c>
      <c r="E27675" s="21" t="s">
        <v>254</v>
      </c>
      <c r="F27675">
        <v>13130022</v>
      </c>
      <c r="G27675" t="s">
        <v>2666</v>
      </c>
      <c r="H27675" s="21">
        <v>595.41999999999996</v>
      </c>
    </row>
    <row r="27676" spans="1:8" customFormat="1" x14ac:dyDescent="0.25">
      <c r="A27676" t="str">
        <f>"4935546"</f>
        <v>4935546</v>
      </c>
      <c r="B27676" t="s">
        <v>17857</v>
      </c>
      <c r="C27676" t="s">
        <v>144</v>
      </c>
      <c r="D27676" s="21" t="s">
        <v>34</v>
      </c>
      <c r="E27676" s="21" t="s">
        <v>35</v>
      </c>
      <c r="F27676">
        <v>12440142</v>
      </c>
      <c r="G27676" t="s">
        <v>3285</v>
      </c>
      <c r="H27676" s="21">
        <v>595.41999999999996</v>
      </c>
    </row>
    <row r="27677" spans="1:8" customFormat="1" x14ac:dyDescent="0.25">
      <c r="A27677" t="str">
        <f>"6217355"</f>
        <v>6217355</v>
      </c>
      <c r="B27677" t="s">
        <v>8637</v>
      </c>
      <c r="C27677" t="s">
        <v>40</v>
      </c>
      <c r="D27677" s="21" t="s">
        <v>34</v>
      </c>
      <c r="E27677" s="21" t="s">
        <v>71</v>
      </c>
      <c r="F27677">
        <v>7620140</v>
      </c>
      <c r="G27677" t="s">
        <v>7454</v>
      </c>
      <c r="H27677" s="21">
        <v>595.29</v>
      </c>
    </row>
    <row r="27678" spans="1:8" customFormat="1" x14ac:dyDescent="0.25">
      <c r="A27678" t="str">
        <f>"8815345"</f>
        <v>8815345</v>
      </c>
      <c r="B27678" t="s">
        <v>197</v>
      </c>
      <c r="C27678" t="s">
        <v>209</v>
      </c>
      <c r="D27678" s="21" t="s">
        <v>34</v>
      </c>
      <c r="E27678" s="21" t="s">
        <v>71</v>
      </c>
      <c r="F27678">
        <v>6880049</v>
      </c>
      <c r="G27678" t="s">
        <v>4514</v>
      </c>
      <c r="H27678" s="21">
        <v>595.29</v>
      </c>
    </row>
    <row r="27679" spans="1:8" customFormat="1" x14ac:dyDescent="0.25">
      <c r="A27679" t="str">
        <f>"9243691"</f>
        <v>9243691</v>
      </c>
      <c r="B27679" t="s">
        <v>20993</v>
      </c>
      <c r="C27679" t="s">
        <v>415</v>
      </c>
      <c r="D27679" s="21" t="s">
        <v>34</v>
      </c>
      <c r="E27679" s="21" t="s">
        <v>71</v>
      </c>
      <c r="F27679">
        <v>8921190</v>
      </c>
      <c r="G27679" t="s">
        <v>810</v>
      </c>
      <c r="H27679" s="21">
        <v>595.29</v>
      </c>
    </row>
    <row r="27680" spans="1:8" customFormat="1" x14ac:dyDescent="0.25">
      <c r="A27680" t="str">
        <f>"2111848"</f>
        <v>2111848</v>
      </c>
      <c r="B27680" t="s">
        <v>20543</v>
      </c>
      <c r="C27680" t="s">
        <v>33</v>
      </c>
      <c r="D27680" s="21" t="s">
        <v>34</v>
      </c>
      <c r="E27680" s="21" t="s">
        <v>35</v>
      </c>
      <c r="F27680">
        <v>2210088</v>
      </c>
      <c r="G27680" t="s">
        <v>2896</v>
      </c>
      <c r="H27680" s="21">
        <v>595.16999999999996</v>
      </c>
    </row>
    <row r="27681" spans="1:8" customFormat="1" x14ac:dyDescent="0.25">
      <c r="A27681" t="str">
        <f>"393835"</f>
        <v>393835</v>
      </c>
      <c r="B27681" t="s">
        <v>18942</v>
      </c>
      <c r="C27681" t="s">
        <v>412</v>
      </c>
      <c r="D27681" s="21" t="s">
        <v>34</v>
      </c>
      <c r="E27681" s="21" t="s">
        <v>71</v>
      </c>
      <c r="F27681">
        <v>13060001</v>
      </c>
      <c r="G27681" t="s">
        <v>8961</v>
      </c>
      <c r="H27681" s="21">
        <v>595.16999999999996</v>
      </c>
    </row>
    <row r="27682" spans="1:8" customFormat="1" x14ac:dyDescent="0.25">
      <c r="A27682" t="str">
        <f>"4457852"</f>
        <v>4457852</v>
      </c>
      <c r="B27682" t="s">
        <v>27993</v>
      </c>
      <c r="C27682" t="s">
        <v>269</v>
      </c>
      <c r="D27682" s="21" t="s">
        <v>34</v>
      </c>
      <c r="E27682" s="21" t="s">
        <v>35</v>
      </c>
      <c r="F27682">
        <v>12440055</v>
      </c>
      <c r="G27682" t="s">
        <v>2979</v>
      </c>
      <c r="H27682" s="21">
        <v>595.16999999999996</v>
      </c>
    </row>
    <row r="27683" spans="1:8" customFormat="1" x14ac:dyDescent="0.25">
      <c r="A27683" t="str">
        <f>"0811107"</f>
        <v>0811107</v>
      </c>
      <c r="B27683" t="s">
        <v>20020</v>
      </c>
      <c r="C27683" t="s">
        <v>1946</v>
      </c>
      <c r="D27683" s="21" t="s">
        <v>34</v>
      </c>
      <c r="E27683" s="21" t="s">
        <v>71</v>
      </c>
      <c r="F27683">
        <v>6080003</v>
      </c>
      <c r="G27683" t="s">
        <v>11899</v>
      </c>
      <c r="H27683" s="21">
        <v>595.16999999999996</v>
      </c>
    </row>
    <row r="27684" spans="1:8" customFormat="1" x14ac:dyDescent="0.25">
      <c r="A27684" t="str">
        <f>"2939098"</f>
        <v>2939098</v>
      </c>
      <c r="B27684" t="s">
        <v>21745</v>
      </c>
      <c r="C27684" t="s">
        <v>33</v>
      </c>
      <c r="D27684" s="21" t="s">
        <v>34</v>
      </c>
      <c r="E27684" s="21" t="s">
        <v>35</v>
      </c>
      <c r="F27684">
        <v>3290215</v>
      </c>
      <c r="G27684" t="s">
        <v>5058</v>
      </c>
      <c r="H27684" s="21">
        <v>595.16999999999996</v>
      </c>
    </row>
    <row r="27685" spans="1:8" customFormat="1" x14ac:dyDescent="0.25">
      <c r="A27685" t="str">
        <f>"2926398"</f>
        <v>2926398</v>
      </c>
      <c r="B27685" t="s">
        <v>20228</v>
      </c>
      <c r="C27685" t="s">
        <v>267</v>
      </c>
      <c r="D27685" s="21" t="s">
        <v>34</v>
      </c>
      <c r="E27685" s="21" t="s">
        <v>71</v>
      </c>
      <c r="F27685">
        <v>3290039</v>
      </c>
      <c r="G27685" t="s">
        <v>3988</v>
      </c>
      <c r="H27685" s="21">
        <v>595.16999999999996</v>
      </c>
    </row>
    <row r="27686" spans="1:8" customFormat="1" x14ac:dyDescent="0.25">
      <c r="A27686" t="str">
        <f>"571676"</f>
        <v>571676</v>
      </c>
      <c r="B27686" t="s">
        <v>19008</v>
      </c>
      <c r="C27686" t="s">
        <v>3073</v>
      </c>
      <c r="D27686" s="21" t="s">
        <v>34</v>
      </c>
      <c r="E27686" s="21" t="s">
        <v>1089</v>
      </c>
      <c r="F27686">
        <v>6570075</v>
      </c>
      <c r="G27686" t="s">
        <v>3008</v>
      </c>
      <c r="H27686" s="21">
        <v>595.16999999999996</v>
      </c>
    </row>
    <row r="27687" spans="1:8" customFormat="1" x14ac:dyDescent="0.25">
      <c r="A27687" t="str">
        <f>"484137"</f>
        <v>484137</v>
      </c>
      <c r="B27687" t="s">
        <v>19538</v>
      </c>
      <c r="C27687" t="s">
        <v>249</v>
      </c>
      <c r="D27687" s="21" t="s">
        <v>34</v>
      </c>
      <c r="E27687" s="21" t="s">
        <v>35</v>
      </c>
      <c r="F27687">
        <v>10640008</v>
      </c>
      <c r="G27687" t="s">
        <v>1694</v>
      </c>
      <c r="H27687" s="21">
        <v>595.16999999999996</v>
      </c>
    </row>
    <row r="27688" spans="1:8" customFormat="1" x14ac:dyDescent="0.25">
      <c r="A27688" t="str">
        <f>"5111510"</f>
        <v>5111510</v>
      </c>
      <c r="B27688" t="s">
        <v>18728</v>
      </c>
      <c r="C27688" t="s">
        <v>8238</v>
      </c>
      <c r="D27688" s="21" t="s">
        <v>34</v>
      </c>
      <c r="E27688" s="21" t="s">
        <v>71</v>
      </c>
      <c r="F27688">
        <v>6510110</v>
      </c>
      <c r="G27688" t="s">
        <v>9011</v>
      </c>
      <c r="H27688" s="21">
        <v>595.16999999999996</v>
      </c>
    </row>
    <row r="27689" spans="1:8" customFormat="1" x14ac:dyDescent="0.25">
      <c r="A27689" t="str">
        <f>"8612906"</f>
        <v>8612906</v>
      </c>
      <c r="B27689" t="s">
        <v>20281</v>
      </c>
      <c r="C27689" t="s">
        <v>926</v>
      </c>
      <c r="D27689" s="21" t="s">
        <v>34</v>
      </c>
      <c r="E27689" s="21" t="s">
        <v>35</v>
      </c>
      <c r="F27689">
        <v>10860031</v>
      </c>
      <c r="G27689" t="s">
        <v>5834</v>
      </c>
      <c r="H27689" s="21">
        <v>595.16999999999996</v>
      </c>
    </row>
    <row r="27690" spans="1:8" customFormat="1" x14ac:dyDescent="0.25">
      <c r="A27690" t="str">
        <f>"886708"</f>
        <v>886708</v>
      </c>
      <c r="B27690" t="s">
        <v>20385</v>
      </c>
      <c r="C27690" t="s">
        <v>484</v>
      </c>
      <c r="D27690" s="21" t="s">
        <v>34</v>
      </c>
      <c r="E27690" s="21" t="s">
        <v>35</v>
      </c>
      <c r="F27690">
        <v>6880051</v>
      </c>
      <c r="G27690" t="s">
        <v>6116</v>
      </c>
      <c r="H27690" s="21">
        <v>595.16999999999996</v>
      </c>
    </row>
    <row r="27691" spans="1:8" customFormat="1" x14ac:dyDescent="0.25">
      <c r="A27691" t="str">
        <f>"801449"</f>
        <v>801449</v>
      </c>
      <c r="B27691" t="s">
        <v>27994</v>
      </c>
      <c r="C27691" t="s">
        <v>156</v>
      </c>
      <c r="D27691" s="21" t="s">
        <v>34</v>
      </c>
      <c r="E27691" s="21" t="s">
        <v>1089</v>
      </c>
      <c r="F27691">
        <v>7800071</v>
      </c>
      <c r="G27691" t="s">
        <v>9109</v>
      </c>
      <c r="H27691" s="21">
        <v>595.16999999999996</v>
      </c>
    </row>
    <row r="27692" spans="1:8" customFormat="1" x14ac:dyDescent="0.25">
      <c r="A27692" t="str">
        <f>"051293"</f>
        <v>051293</v>
      </c>
      <c r="B27692" t="s">
        <v>21467</v>
      </c>
      <c r="C27692" t="s">
        <v>151</v>
      </c>
      <c r="D27692" s="21" t="s">
        <v>34</v>
      </c>
      <c r="E27692" s="21" t="s">
        <v>35</v>
      </c>
      <c r="F27692">
        <v>13050013</v>
      </c>
      <c r="G27692" t="s">
        <v>6666</v>
      </c>
      <c r="H27692" s="21">
        <v>595.16999999999996</v>
      </c>
    </row>
    <row r="27693" spans="1:8" customFormat="1" x14ac:dyDescent="0.25">
      <c r="A27693" t="str">
        <f>"038484"</f>
        <v>038484</v>
      </c>
      <c r="B27693" t="s">
        <v>20830</v>
      </c>
      <c r="C27693" t="s">
        <v>293</v>
      </c>
      <c r="D27693" s="21" t="s">
        <v>34</v>
      </c>
      <c r="E27693" s="21" t="s">
        <v>71</v>
      </c>
      <c r="F27693">
        <v>1030308</v>
      </c>
      <c r="G27693" t="s">
        <v>1485</v>
      </c>
      <c r="H27693" s="21">
        <v>595.16999999999996</v>
      </c>
    </row>
    <row r="27694" spans="1:8" customFormat="1" x14ac:dyDescent="0.25">
      <c r="A27694" t="str">
        <f>"2716656"</f>
        <v>2716656</v>
      </c>
      <c r="B27694" t="s">
        <v>15210</v>
      </c>
      <c r="C27694" t="s">
        <v>462</v>
      </c>
      <c r="D27694" s="21" t="s">
        <v>34</v>
      </c>
      <c r="E27694" s="21" t="s">
        <v>71</v>
      </c>
      <c r="F27694">
        <v>9270136</v>
      </c>
      <c r="G27694" t="s">
        <v>5896</v>
      </c>
      <c r="H27694" s="21">
        <v>595.16999999999996</v>
      </c>
    </row>
    <row r="27695" spans="1:8" customFormat="1" x14ac:dyDescent="0.25">
      <c r="A27695" t="str">
        <f>"5619691"</f>
        <v>5619691</v>
      </c>
      <c r="B27695" t="s">
        <v>2075</v>
      </c>
      <c r="C27695" t="s">
        <v>249</v>
      </c>
      <c r="D27695" s="21" t="s">
        <v>34</v>
      </c>
      <c r="E27695" s="21" t="s">
        <v>35</v>
      </c>
      <c r="F27695">
        <v>3560019</v>
      </c>
      <c r="G27695" t="s">
        <v>13051</v>
      </c>
      <c r="H27695" s="21">
        <v>595.04</v>
      </c>
    </row>
    <row r="27696" spans="1:8" customFormat="1" x14ac:dyDescent="0.25">
      <c r="A27696" t="str">
        <f>"731650"</f>
        <v>731650</v>
      </c>
      <c r="B27696" t="s">
        <v>18771</v>
      </c>
      <c r="C27696" t="s">
        <v>3905</v>
      </c>
      <c r="D27696" s="21" t="s">
        <v>34</v>
      </c>
      <c r="E27696" s="21" t="s">
        <v>71</v>
      </c>
      <c r="F27696">
        <v>1730077</v>
      </c>
      <c r="G27696" t="s">
        <v>1517</v>
      </c>
      <c r="H27696" s="21">
        <v>595.04</v>
      </c>
    </row>
    <row r="27697" spans="1:8" customFormat="1" x14ac:dyDescent="0.25">
      <c r="A27697" t="str">
        <f>"846519"</f>
        <v>846519</v>
      </c>
      <c r="B27697" t="s">
        <v>20046</v>
      </c>
      <c r="C27697" t="s">
        <v>109</v>
      </c>
      <c r="D27697" s="21" t="s">
        <v>34</v>
      </c>
      <c r="E27697" s="21" t="s">
        <v>71</v>
      </c>
      <c r="F27697">
        <v>13840013</v>
      </c>
      <c r="G27697" t="s">
        <v>7323</v>
      </c>
      <c r="H27697" s="21">
        <v>595.04</v>
      </c>
    </row>
    <row r="27698" spans="1:8" customFormat="1" x14ac:dyDescent="0.25">
      <c r="A27698" t="str">
        <f>"7639356"</f>
        <v>7639356</v>
      </c>
      <c r="B27698" t="s">
        <v>5734</v>
      </c>
      <c r="C27698" t="s">
        <v>206</v>
      </c>
      <c r="D27698" s="21" t="s">
        <v>34</v>
      </c>
      <c r="E27698" s="21" t="s">
        <v>35</v>
      </c>
      <c r="F27698">
        <v>9760034</v>
      </c>
      <c r="G27698" t="s">
        <v>1242</v>
      </c>
      <c r="H27698" s="21">
        <v>594.91999999999996</v>
      </c>
    </row>
    <row r="27699" spans="1:8" customFormat="1" x14ac:dyDescent="0.25">
      <c r="A27699" t="str">
        <f>"5731715"</f>
        <v>5731715</v>
      </c>
      <c r="B27699" t="s">
        <v>20245</v>
      </c>
      <c r="C27699" t="s">
        <v>198</v>
      </c>
      <c r="D27699" s="21" t="s">
        <v>34</v>
      </c>
      <c r="E27699" s="21" t="s">
        <v>35</v>
      </c>
      <c r="F27699">
        <v>6570179</v>
      </c>
      <c r="G27699" t="s">
        <v>9205</v>
      </c>
      <c r="H27699" s="21">
        <v>594.91999999999996</v>
      </c>
    </row>
    <row r="27700" spans="1:8" customFormat="1" x14ac:dyDescent="0.25">
      <c r="A27700" t="str">
        <f>"091841"</f>
        <v>091841</v>
      </c>
      <c r="B27700" t="s">
        <v>27995</v>
      </c>
      <c r="C27700" t="s">
        <v>269</v>
      </c>
      <c r="D27700" s="21" t="s">
        <v>34</v>
      </c>
      <c r="E27700" s="21" t="s">
        <v>71</v>
      </c>
      <c r="F27700">
        <v>11090009</v>
      </c>
      <c r="G27700" t="s">
        <v>14796</v>
      </c>
      <c r="H27700" s="21">
        <v>594.88</v>
      </c>
    </row>
    <row r="27701" spans="1:8" customFormat="1" x14ac:dyDescent="0.25">
      <c r="A27701" t="str">
        <f>"3825821"</f>
        <v>3825821</v>
      </c>
      <c r="B27701" t="s">
        <v>19410</v>
      </c>
      <c r="C27701" t="s">
        <v>2529</v>
      </c>
      <c r="D27701" s="21" t="s">
        <v>34</v>
      </c>
      <c r="E27701" s="21" t="s">
        <v>1089</v>
      </c>
      <c r="F27701">
        <v>1380293</v>
      </c>
      <c r="G27701" t="s">
        <v>2103</v>
      </c>
      <c r="H27701" s="21">
        <v>594.66999999999996</v>
      </c>
    </row>
    <row r="27702" spans="1:8" customFormat="1" x14ac:dyDescent="0.25">
      <c r="A27702" t="str">
        <f>"7518651"</f>
        <v>7518651</v>
      </c>
      <c r="B27702" t="s">
        <v>27996</v>
      </c>
      <c r="C27702" t="s">
        <v>33</v>
      </c>
      <c r="D27702" s="21" t="s">
        <v>34</v>
      </c>
      <c r="E27702" s="21" t="s">
        <v>35</v>
      </c>
      <c r="F27702">
        <v>12440058</v>
      </c>
      <c r="G27702" t="s">
        <v>394</v>
      </c>
      <c r="H27702" s="21">
        <v>594.66999999999996</v>
      </c>
    </row>
    <row r="27703" spans="1:8" customFormat="1" x14ac:dyDescent="0.25">
      <c r="A27703" t="str">
        <f>"8520875"</f>
        <v>8520875</v>
      </c>
      <c r="B27703" t="s">
        <v>19710</v>
      </c>
      <c r="C27703" t="s">
        <v>33</v>
      </c>
      <c r="D27703" s="21" t="s">
        <v>34</v>
      </c>
      <c r="E27703" s="21" t="s">
        <v>35</v>
      </c>
      <c r="F27703">
        <v>12850162</v>
      </c>
      <c r="G27703" t="s">
        <v>15095</v>
      </c>
      <c r="H27703" s="21">
        <v>594.66999999999996</v>
      </c>
    </row>
    <row r="27704" spans="1:8" customFormat="1" x14ac:dyDescent="0.25">
      <c r="A27704" t="str">
        <f>"6713650"</f>
        <v>6713650</v>
      </c>
      <c r="B27704" t="s">
        <v>8982</v>
      </c>
      <c r="C27704" t="s">
        <v>130</v>
      </c>
      <c r="D27704" s="21" t="s">
        <v>34</v>
      </c>
      <c r="E27704" s="21" t="s">
        <v>71</v>
      </c>
      <c r="F27704">
        <v>6670066</v>
      </c>
      <c r="G27704" t="s">
        <v>12245</v>
      </c>
      <c r="H27704" s="21">
        <v>594.66999999999996</v>
      </c>
    </row>
    <row r="27705" spans="1:8" customFormat="1" x14ac:dyDescent="0.25">
      <c r="A27705" t="str">
        <f>"1612559"</f>
        <v>1612559</v>
      </c>
      <c r="B27705" t="s">
        <v>18918</v>
      </c>
      <c r="C27705" t="s">
        <v>1104</v>
      </c>
      <c r="D27705" s="21" t="s">
        <v>34</v>
      </c>
      <c r="E27705" s="21" t="s">
        <v>35</v>
      </c>
      <c r="F27705">
        <v>10160002</v>
      </c>
      <c r="G27705" t="s">
        <v>15000</v>
      </c>
      <c r="H27705" s="21">
        <v>594.66999999999996</v>
      </c>
    </row>
    <row r="27706" spans="1:8" customFormat="1" x14ac:dyDescent="0.25">
      <c r="A27706" t="str">
        <f>"4439410"</f>
        <v>4439410</v>
      </c>
      <c r="B27706" t="s">
        <v>18285</v>
      </c>
      <c r="C27706" t="s">
        <v>239</v>
      </c>
      <c r="D27706" s="21" t="s">
        <v>34</v>
      </c>
      <c r="E27706" s="21" t="s">
        <v>71</v>
      </c>
      <c r="F27706">
        <v>3560025</v>
      </c>
      <c r="G27706" t="s">
        <v>14020</v>
      </c>
      <c r="H27706" s="21">
        <v>594.66999999999996</v>
      </c>
    </row>
    <row r="27707" spans="1:8" customFormat="1" x14ac:dyDescent="0.25">
      <c r="A27707" t="str">
        <f>"992193"</f>
        <v>992193</v>
      </c>
      <c r="B27707" t="s">
        <v>21333</v>
      </c>
      <c r="C27707" t="s">
        <v>2734</v>
      </c>
      <c r="D27707" s="21" t="s">
        <v>34</v>
      </c>
      <c r="E27707" s="21" t="s">
        <v>35</v>
      </c>
      <c r="F27707">
        <v>5990007</v>
      </c>
      <c r="G27707" t="s">
        <v>15719</v>
      </c>
      <c r="H27707" s="21">
        <v>594.66999999999996</v>
      </c>
    </row>
    <row r="27708" spans="1:8" customFormat="1" x14ac:dyDescent="0.25">
      <c r="A27708" t="str">
        <f>"7113123"</f>
        <v>7113123</v>
      </c>
      <c r="B27708" t="s">
        <v>19790</v>
      </c>
      <c r="C27708" t="s">
        <v>285</v>
      </c>
      <c r="D27708" s="21" t="s">
        <v>34</v>
      </c>
      <c r="E27708" s="21" t="s">
        <v>35</v>
      </c>
      <c r="F27708">
        <v>2710083</v>
      </c>
      <c r="G27708" t="s">
        <v>17590</v>
      </c>
      <c r="H27708" s="21">
        <v>594.66999999999996</v>
      </c>
    </row>
    <row r="27709" spans="1:8" customFormat="1" x14ac:dyDescent="0.25">
      <c r="A27709" t="str">
        <f>"4519420"</f>
        <v>4519420</v>
      </c>
      <c r="B27709" t="s">
        <v>15025</v>
      </c>
      <c r="C27709" t="s">
        <v>40</v>
      </c>
      <c r="D27709" s="21" t="s">
        <v>34</v>
      </c>
      <c r="E27709" s="21" t="s">
        <v>71</v>
      </c>
      <c r="F27709">
        <v>4450737</v>
      </c>
      <c r="G27709" t="s">
        <v>11798</v>
      </c>
      <c r="H27709" s="21">
        <v>594.66999999999996</v>
      </c>
    </row>
    <row r="27710" spans="1:8" customFormat="1" x14ac:dyDescent="0.25">
      <c r="A27710" t="str">
        <f>"247017"</f>
        <v>247017</v>
      </c>
      <c r="B27710" t="s">
        <v>22429</v>
      </c>
      <c r="C27710" t="s">
        <v>22430</v>
      </c>
      <c r="D27710" s="21" t="s">
        <v>34</v>
      </c>
      <c r="E27710" s="21" t="s">
        <v>35</v>
      </c>
      <c r="F27710">
        <v>10240036</v>
      </c>
      <c r="G27710" t="s">
        <v>20814</v>
      </c>
      <c r="H27710" s="21">
        <v>594.66999999999996</v>
      </c>
    </row>
    <row r="27711" spans="1:8" customFormat="1" x14ac:dyDescent="0.25">
      <c r="A27711" t="str">
        <f>"395586"</f>
        <v>395586</v>
      </c>
      <c r="B27711" t="s">
        <v>2557</v>
      </c>
      <c r="C27711" t="s">
        <v>209</v>
      </c>
      <c r="D27711" s="21" t="s">
        <v>34</v>
      </c>
      <c r="E27711" s="21" t="s">
        <v>254</v>
      </c>
      <c r="F27711">
        <v>2390007</v>
      </c>
      <c r="G27711" t="s">
        <v>3365</v>
      </c>
      <c r="H27711" s="21">
        <v>594.66999999999996</v>
      </c>
    </row>
    <row r="27712" spans="1:8" customFormat="1" x14ac:dyDescent="0.25">
      <c r="A27712" t="str">
        <f>"38155"</f>
        <v>38155</v>
      </c>
      <c r="B27712" t="s">
        <v>19803</v>
      </c>
      <c r="C27712" t="s">
        <v>40</v>
      </c>
      <c r="D27712" s="21" t="s">
        <v>34</v>
      </c>
      <c r="E27712" s="21" t="s">
        <v>71</v>
      </c>
      <c r="F27712">
        <v>1380267</v>
      </c>
      <c r="G27712" t="s">
        <v>1002</v>
      </c>
      <c r="H27712" s="21">
        <v>594.66999999999996</v>
      </c>
    </row>
    <row r="27713" spans="1:8" customFormat="1" x14ac:dyDescent="0.25">
      <c r="A27713" t="str">
        <f>"1910068"</f>
        <v>1910068</v>
      </c>
      <c r="B27713" t="s">
        <v>18550</v>
      </c>
      <c r="C27713" t="s">
        <v>2384</v>
      </c>
      <c r="D27713" s="21" t="s">
        <v>34</v>
      </c>
      <c r="E27713" s="21" t="s">
        <v>35</v>
      </c>
      <c r="F27713">
        <v>10190111</v>
      </c>
      <c r="G27713" t="s">
        <v>13161</v>
      </c>
      <c r="H27713" s="21">
        <v>594.66999999999996</v>
      </c>
    </row>
    <row r="27714" spans="1:8" customFormat="1" x14ac:dyDescent="0.25">
      <c r="A27714" t="str">
        <f>"7522506"</f>
        <v>7522506</v>
      </c>
      <c r="B27714" t="s">
        <v>1228</v>
      </c>
      <c r="C27714" t="s">
        <v>459</v>
      </c>
      <c r="D27714" s="21" t="s">
        <v>34</v>
      </c>
      <c r="E27714" s="21" t="s">
        <v>71</v>
      </c>
      <c r="F27714">
        <v>8750141</v>
      </c>
      <c r="G27714" t="s">
        <v>1514</v>
      </c>
      <c r="H27714" s="21">
        <v>594.66999999999996</v>
      </c>
    </row>
    <row r="27715" spans="1:8" customFormat="1" x14ac:dyDescent="0.25">
      <c r="A27715" t="str">
        <f>"4449499"</f>
        <v>4449499</v>
      </c>
      <c r="B27715" t="s">
        <v>10970</v>
      </c>
      <c r="C27715" t="s">
        <v>144</v>
      </c>
      <c r="D27715" s="21" t="s">
        <v>34</v>
      </c>
      <c r="E27715" s="21" t="s">
        <v>71</v>
      </c>
      <c r="F27715">
        <v>12440054</v>
      </c>
      <c r="G27715" t="s">
        <v>5474</v>
      </c>
      <c r="H27715" s="21">
        <v>594.66999999999996</v>
      </c>
    </row>
    <row r="27716" spans="1:8" customFormat="1" x14ac:dyDescent="0.25">
      <c r="A27716" t="str">
        <f>"4443860"</f>
        <v>4443860</v>
      </c>
      <c r="B27716" t="s">
        <v>19313</v>
      </c>
      <c r="C27716" t="s">
        <v>249</v>
      </c>
      <c r="D27716" s="21" t="s">
        <v>34</v>
      </c>
      <c r="E27716" s="21" t="s">
        <v>35</v>
      </c>
      <c r="F27716">
        <v>12440009</v>
      </c>
      <c r="G27716" t="s">
        <v>1983</v>
      </c>
      <c r="H27716" s="21">
        <v>594.66999999999996</v>
      </c>
    </row>
    <row r="27717" spans="1:8" customFormat="1" x14ac:dyDescent="0.25">
      <c r="A27717" t="str">
        <f>"7923706"</f>
        <v>7923706</v>
      </c>
      <c r="B27717" t="s">
        <v>27997</v>
      </c>
      <c r="C27717" t="s">
        <v>4896</v>
      </c>
      <c r="D27717" s="21" t="s">
        <v>34</v>
      </c>
      <c r="E27717" s="21" t="s">
        <v>35</v>
      </c>
      <c r="F27717">
        <v>10790042</v>
      </c>
      <c r="G27717" t="s">
        <v>2092</v>
      </c>
      <c r="H27717" s="21">
        <v>594.66999999999996</v>
      </c>
    </row>
    <row r="27718" spans="1:8" customFormat="1" x14ac:dyDescent="0.25">
      <c r="A27718" t="str">
        <f>"6812865"</f>
        <v>6812865</v>
      </c>
      <c r="B27718" t="s">
        <v>19896</v>
      </c>
      <c r="C27718" t="s">
        <v>19897</v>
      </c>
      <c r="D27718" s="21" t="s">
        <v>34</v>
      </c>
      <c r="E27718" s="21" t="s">
        <v>71</v>
      </c>
      <c r="F27718">
        <v>6680006</v>
      </c>
      <c r="G27718" t="s">
        <v>5266</v>
      </c>
      <c r="H27718" s="21">
        <v>594.66999999999996</v>
      </c>
    </row>
    <row r="27719" spans="1:8" customFormat="1" x14ac:dyDescent="0.25">
      <c r="A27719" t="str">
        <f>"6814471"</f>
        <v>6814471</v>
      </c>
      <c r="B27719" t="s">
        <v>27998</v>
      </c>
      <c r="C27719" t="s">
        <v>664</v>
      </c>
      <c r="D27719" s="21" t="s">
        <v>34</v>
      </c>
      <c r="E27719" s="21" t="s">
        <v>254</v>
      </c>
      <c r="F27719">
        <v>6680118</v>
      </c>
      <c r="G27719" t="s">
        <v>4346</v>
      </c>
      <c r="H27719" s="21">
        <v>594.66999999999996</v>
      </c>
    </row>
    <row r="27720" spans="1:8" customFormat="1" x14ac:dyDescent="0.25">
      <c r="A27720" t="str">
        <f>"566300"</f>
        <v>566300</v>
      </c>
      <c r="B27720" t="s">
        <v>15462</v>
      </c>
      <c r="C27720" t="s">
        <v>822</v>
      </c>
      <c r="D27720" s="21" t="s">
        <v>34</v>
      </c>
      <c r="E27720" s="21" t="s">
        <v>1089</v>
      </c>
      <c r="F27720">
        <v>3560053</v>
      </c>
      <c r="G27720" t="s">
        <v>298</v>
      </c>
      <c r="H27720" s="21">
        <v>594.66999999999996</v>
      </c>
    </row>
    <row r="27721" spans="1:8" customFormat="1" x14ac:dyDescent="0.25">
      <c r="A27721" t="str">
        <f>"378542"</f>
        <v>378542</v>
      </c>
      <c r="B27721" t="s">
        <v>10802</v>
      </c>
      <c r="C27721" t="s">
        <v>1914</v>
      </c>
      <c r="D27721" s="21" t="s">
        <v>34</v>
      </c>
      <c r="E27721" s="21" t="s">
        <v>6185</v>
      </c>
      <c r="F27721">
        <v>4370596</v>
      </c>
      <c r="G27721" t="s">
        <v>9270</v>
      </c>
      <c r="H27721" s="21">
        <v>594.66999999999996</v>
      </c>
    </row>
    <row r="27722" spans="1:8" customFormat="1" x14ac:dyDescent="0.25">
      <c r="A27722" t="str">
        <f>"6929203"</f>
        <v>6929203</v>
      </c>
      <c r="B27722" t="s">
        <v>5435</v>
      </c>
      <c r="C27722" t="s">
        <v>926</v>
      </c>
      <c r="D27722" s="21" t="s">
        <v>34</v>
      </c>
      <c r="E27722" s="21" t="s">
        <v>71</v>
      </c>
      <c r="F27722">
        <v>1690030</v>
      </c>
      <c r="G27722" t="s">
        <v>432</v>
      </c>
      <c r="H27722" s="21">
        <v>594.66999999999996</v>
      </c>
    </row>
    <row r="27723" spans="1:8" customFormat="1" x14ac:dyDescent="0.25">
      <c r="A27723" t="str">
        <f>"5928413"</f>
        <v>5928413</v>
      </c>
      <c r="B27723" t="s">
        <v>27999</v>
      </c>
      <c r="C27723" t="s">
        <v>90</v>
      </c>
      <c r="D27723" s="21" t="s">
        <v>34</v>
      </c>
      <c r="E27723" s="21" t="s">
        <v>254</v>
      </c>
      <c r="F27723">
        <v>10400004</v>
      </c>
      <c r="G27723" t="s">
        <v>2929</v>
      </c>
      <c r="H27723" s="21">
        <v>594.66999999999996</v>
      </c>
    </row>
    <row r="27724" spans="1:8" customFormat="1" x14ac:dyDescent="0.25">
      <c r="A27724" t="str">
        <f>"8019178"</f>
        <v>8019178</v>
      </c>
      <c r="B27724" t="s">
        <v>20660</v>
      </c>
      <c r="C27724" t="s">
        <v>20661</v>
      </c>
      <c r="D27724" s="21" t="s">
        <v>34</v>
      </c>
      <c r="E27724" s="21" t="s">
        <v>35</v>
      </c>
      <c r="F27724">
        <v>7800006</v>
      </c>
      <c r="G27724" t="s">
        <v>6365</v>
      </c>
      <c r="H27724" s="21">
        <v>594.66999999999996</v>
      </c>
    </row>
    <row r="27725" spans="1:8" customFormat="1" x14ac:dyDescent="0.25">
      <c r="A27725" t="str">
        <f>"7614076"</f>
        <v>7614076</v>
      </c>
      <c r="B27725" t="s">
        <v>3664</v>
      </c>
      <c r="C27725" t="s">
        <v>209</v>
      </c>
      <c r="D27725" s="21" t="s">
        <v>34</v>
      </c>
      <c r="E27725" s="21" t="s">
        <v>254</v>
      </c>
      <c r="F27725">
        <v>9760100</v>
      </c>
      <c r="G27725" t="s">
        <v>9182</v>
      </c>
      <c r="H27725" s="21">
        <v>594.66999999999996</v>
      </c>
    </row>
    <row r="27726" spans="1:8" customFormat="1" x14ac:dyDescent="0.25">
      <c r="A27726" t="str">
        <f>"1426349"</f>
        <v>1426349</v>
      </c>
      <c r="B27726" t="s">
        <v>23082</v>
      </c>
      <c r="C27726" t="s">
        <v>1025</v>
      </c>
      <c r="D27726" s="21" t="s">
        <v>34</v>
      </c>
      <c r="E27726" s="21" t="s">
        <v>35</v>
      </c>
      <c r="F27726">
        <v>9140032</v>
      </c>
      <c r="G27726" t="s">
        <v>2130</v>
      </c>
      <c r="H27726" s="21">
        <v>594.66999999999996</v>
      </c>
    </row>
    <row r="27727" spans="1:8" customFormat="1" x14ac:dyDescent="0.25">
      <c r="A27727" t="str">
        <f>"2720348"</f>
        <v>2720348</v>
      </c>
      <c r="B27727" t="s">
        <v>4613</v>
      </c>
      <c r="C27727" t="s">
        <v>119</v>
      </c>
      <c r="D27727" s="21" t="s">
        <v>34</v>
      </c>
      <c r="E27727" s="21" t="s">
        <v>35</v>
      </c>
      <c r="F27727">
        <v>9270095</v>
      </c>
      <c r="G27727" t="s">
        <v>1681</v>
      </c>
      <c r="H27727" s="21">
        <v>594.54</v>
      </c>
    </row>
    <row r="27728" spans="1:8" customFormat="1" x14ac:dyDescent="0.25">
      <c r="A27728" t="str">
        <f>"724096"</f>
        <v>724096</v>
      </c>
      <c r="B27728" t="s">
        <v>6588</v>
      </c>
      <c r="C27728" t="s">
        <v>2305</v>
      </c>
      <c r="D27728" s="21" t="s">
        <v>34</v>
      </c>
      <c r="E27728" s="21" t="s">
        <v>1089</v>
      </c>
      <c r="F27728">
        <v>12720104</v>
      </c>
      <c r="G27728" t="s">
        <v>224</v>
      </c>
      <c r="H27728" s="21">
        <v>594.41999999999996</v>
      </c>
    </row>
    <row r="27729" spans="1:8" customFormat="1" x14ac:dyDescent="0.25">
      <c r="A27729" t="str">
        <f>"9214095"</f>
        <v>9214095</v>
      </c>
      <c r="B27729" t="s">
        <v>7670</v>
      </c>
      <c r="C27729" t="s">
        <v>5778</v>
      </c>
      <c r="D27729" s="21" t="s">
        <v>34</v>
      </c>
      <c r="E27729" s="21" t="s">
        <v>254</v>
      </c>
      <c r="F27729">
        <v>8921322</v>
      </c>
      <c r="G27729" t="s">
        <v>27025</v>
      </c>
      <c r="H27729" s="21">
        <v>594.29</v>
      </c>
    </row>
    <row r="27730" spans="1:8" customFormat="1" x14ac:dyDescent="0.25">
      <c r="A27730" t="str">
        <f>"9532219"</f>
        <v>9532219</v>
      </c>
      <c r="B27730" t="s">
        <v>12606</v>
      </c>
      <c r="C27730" t="s">
        <v>33</v>
      </c>
      <c r="D27730" s="21" t="s">
        <v>34</v>
      </c>
      <c r="E27730" s="21" t="s">
        <v>35</v>
      </c>
      <c r="F27730">
        <v>8950330</v>
      </c>
      <c r="G27730" t="s">
        <v>794</v>
      </c>
      <c r="H27730" s="21">
        <v>594.29</v>
      </c>
    </row>
    <row r="27731" spans="1:8" customFormat="1" x14ac:dyDescent="0.25">
      <c r="A27731" t="str">
        <f>"6717467"</f>
        <v>6717467</v>
      </c>
      <c r="B27731" t="s">
        <v>6320</v>
      </c>
      <c r="C27731" t="s">
        <v>55</v>
      </c>
      <c r="D27731" s="21" t="s">
        <v>34</v>
      </c>
      <c r="E27731" s="21" t="s">
        <v>35</v>
      </c>
      <c r="F27731">
        <v>6670246</v>
      </c>
      <c r="G27731" t="s">
        <v>7707</v>
      </c>
      <c r="H27731" s="21">
        <v>594.16999999999996</v>
      </c>
    </row>
    <row r="27732" spans="1:8" customFormat="1" x14ac:dyDescent="0.25">
      <c r="A27732" t="str">
        <f>"647658"</f>
        <v>647658</v>
      </c>
      <c r="B27732" t="s">
        <v>5118</v>
      </c>
      <c r="C27732" t="s">
        <v>2907</v>
      </c>
      <c r="D27732" s="21" t="s">
        <v>34</v>
      </c>
      <c r="E27732" s="21" t="s">
        <v>71</v>
      </c>
      <c r="F27732">
        <v>10640003</v>
      </c>
      <c r="G27732" t="s">
        <v>1594</v>
      </c>
      <c r="H27732" s="21">
        <v>594.16999999999996</v>
      </c>
    </row>
    <row r="27733" spans="1:8" customFormat="1" x14ac:dyDescent="0.25">
      <c r="A27733" t="str">
        <f>"844750"</f>
        <v>844750</v>
      </c>
      <c r="B27733" t="s">
        <v>20617</v>
      </c>
      <c r="C27733" t="s">
        <v>114</v>
      </c>
      <c r="D27733" s="21" t="s">
        <v>34</v>
      </c>
      <c r="E27733" s="21" t="s">
        <v>71</v>
      </c>
      <c r="F27733">
        <v>13840038</v>
      </c>
      <c r="G27733" t="s">
        <v>8931</v>
      </c>
      <c r="H27733" s="21">
        <v>594.16999999999996</v>
      </c>
    </row>
    <row r="27734" spans="1:8" customFormat="1" x14ac:dyDescent="0.25">
      <c r="A27734" t="str">
        <f>"865437"</f>
        <v>865437</v>
      </c>
      <c r="B27734" t="s">
        <v>13686</v>
      </c>
      <c r="C27734" t="s">
        <v>2479</v>
      </c>
      <c r="D27734" s="21" t="s">
        <v>34</v>
      </c>
      <c r="E27734" s="21" t="s">
        <v>1089</v>
      </c>
      <c r="F27734">
        <v>10860016</v>
      </c>
      <c r="G27734" t="s">
        <v>3289</v>
      </c>
      <c r="H27734" s="21">
        <v>594.16999999999996</v>
      </c>
    </row>
    <row r="27735" spans="1:8" customFormat="1" x14ac:dyDescent="0.25">
      <c r="A27735" t="str">
        <f>"7922461"</f>
        <v>7922461</v>
      </c>
      <c r="B27735" t="s">
        <v>22254</v>
      </c>
      <c r="C27735" t="s">
        <v>147</v>
      </c>
      <c r="D27735" s="21" t="s">
        <v>34</v>
      </c>
      <c r="E27735" s="21" t="s">
        <v>35</v>
      </c>
      <c r="F27735">
        <v>10790069</v>
      </c>
      <c r="G27735" t="s">
        <v>689</v>
      </c>
      <c r="H27735" s="21">
        <v>594.16999999999996</v>
      </c>
    </row>
    <row r="27736" spans="1:8" customFormat="1" x14ac:dyDescent="0.25">
      <c r="A27736" t="str">
        <f>"5114322"</f>
        <v>5114322</v>
      </c>
      <c r="B27736" t="s">
        <v>28000</v>
      </c>
      <c r="C27736" t="s">
        <v>169</v>
      </c>
      <c r="D27736" s="21" t="s">
        <v>34</v>
      </c>
      <c r="E27736" s="21" t="s">
        <v>254</v>
      </c>
      <c r="F27736">
        <v>6510020</v>
      </c>
      <c r="G27736" t="s">
        <v>3013</v>
      </c>
      <c r="H27736" s="21">
        <v>594.16999999999996</v>
      </c>
    </row>
    <row r="27737" spans="1:8" customFormat="1" x14ac:dyDescent="0.25">
      <c r="A27737" t="str">
        <f>"429713"</f>
        <v>429713</v>
      </c>
      <c r="B27737" t="s">
        <v>20845</v>
      </c>
      <c r="C27737" t="s">
        <v>233</v>
      </c>
      <c r="D27737" s="21" t="s">
        <v>34</v>
      </c>
      <c r="E27737" s="21" t="s">
        <v>71</v>
      </c>
      <c r="F27737">
        <v>1420124</v>
      </c>
      <c r="G27737" t="s">
        <v>3195</v>
      </c>
      <c r="H27737" s="21">
        <v>594.16999999999996</v>
      </c>
    </row>
    <row r="27738" spans="1:8" customFormat="1" x14ac:dyDescent="0.25">
      <c r="A27738" t="str">
        <f>"3729390"</f>
        <v>3729390</v>
      </c>
      <c r="B27738" t="s">
        <v>20505</v>
      </c>
      <c r="C27738" t="s">
        <v>33</v>
      </c>
      <c r="D27738" s="21" t="s">
        <v>34</v>
      </c>
      <c r="E27738" s="21" t="s">
        <v>71</v>
      </c>
      <c r="F27738">
        <v>4370289</v>
      </c>
      <c r="G27738" t="s">
        <v>7887</v>
      </c>
      <c r="H27738" s="21">
        <v>594.16999999999996</v>
      </c>
    </row>
    <row r="27739" spans="1:8" customFormat="1" x14ac:dyDescent="0.25">
      <c r="A27739" t="str">
        <f>"6021138"</f>
        <v>6021138</v>
      </c>
      <c r="B27739" t="s">
        <v>12582</v>
      </c>
      <c r="C27739" t="s">
        <v>60</v>
      </c>
      <c r="D27739" s="21" t="s">
        <v>34</v>
      </c>
      <c r="E27739" s="21" t="s">
        <v>35</v>
      </c>
      <c r="F27739">
        <v>7600005</v>
      </c>
      <c r="G27739" t="s">
        <v>2299</v>
      </c>
      <c r="H27739" s="21">
        <v>594.16999999999996</v>
      </c>
    </row>
    <row r="27740" spans="1:8" customFormat="1" x14ac:dyDescent="0.25">
      <c r="A27740" t="str">
        <f>"6726081"</f>
        <v>6726081</v>
      </c>
      <c r="B27740" t="s">
        <v>12651</v>
      </c>
      <c r="C27740" t="s">
        <v>156</v>
      </c>
      <c r="D27740" s="21" t="s">
        <v>34</v>
      </c>
      <c r="E27740" s="21" t="s">
        <v>71</v>
      </c>
      <c r="F27740">
        <v>6670072</v>
      </c>
      <c r="G27740" t="s">
        <v>4154</v>
      </c>
      <c r="H27740" s="21">
        <v>594.16999999999996</v>
      </c>
    </row>
    <row r="27741" spans="1:8" customFormat="1" x14ac:dyDescent="0.25">
      <c r="A27741" t="str">
        <f>"9137460"</f>
        <v>9137460</v>
      </c>
      <c r="B27741" t="s">
        <v>28001</v>
      </c>
      <c r="C27741" t="s">
        <v>13801</v>
      </c>
      <c r="D27741" s="21" t="s">
        <v>34</v>
      </c>
      <c r="E27741" s="21" t="s">
        <v>35</v>
      </c>
      <c r="F27741">
        <v>8910285</v>
      </c>
      <c r="G27741" t="s">
        <v>26604</v>
      </c>
      <c r="H27741" s="21">
        <v>594.16999999999996</v>
      </c>
    </row>
    <row r="27742" spans="1:8" customFormat="1" x14ac:dyDescent="0.25">
      <c r="A27742" t="str">
        <f>"331483"</f>
        <v>331483</v>
      </c>
      <c r="B27742" t="s">
        <v>28002</v>
      </c>
      <c r="C27742" t="s">
        <v>267</v>
      </c>
      <c r="D27742" s="21" t="s">
        <v>34</v>
      </c>
      <c r="E27742" s="21" t="s">
        <v>1089</v>
      </c>
      <c r="F27742">
        <v>11320045</v>
      </c>
      <c r="G27742" t="s">
        <v>27117</v>
      </c>
      <c r="H27742" s="21">
        <v>594.16999999999996</v>
      </c>
    </row>
    <row r="27743" spans="1:8" customFormat="1" x14ac:dyDescent="0.25">
      <c r="A27743" t="str">
        <f>"104863"</f>
        <v>104863</v>
      </c>
      <c r="B27743" t="s">
        <v>28003</v>
      </c>
      <c r="C27743" t="s">
        <v>62</v>
      </c>
      <c r="D27743" s="21" t="s">
        <v>34</v>
      </c>
      <c r="E27743" s="21" t="s">
        <v>71</v>
      </c>
      <c r="F27743">
        <v>10240002</v>
      </c>
      <c r="G27743" t="s">
        <v>2935</v>
      </c>
      <c r="H27743" s="21">
        <v>594.16999999999996</v>
      </c>
    </row>
    <row r="27744" spans="1:8" customFormat="1" x14ac:dyDescent="0.25">
      <c r="A27744" t="str">
        <f>"2512232"</f>
        <v>2512232</v>
      </c>
      <c r="B27744" t="s">
        <v>392</v>
      </c>
      <c r="C27744" t="s">
        <v>253</v>
      </c>
      <c r="D27744" s="21" t="s">
        <v>34</v>
      </c>
      <c r="E27744" s="21" t="s">
        <v>1089</v>
      </c>
      <c r="F27744">
        <v>2250033</v>
      </c>
      <c r="G27744" t="s">
        <v>4951</v>
      </c>
      <c r="H27744" s="21">
        <v>594.16999999999996</v>
      </c>
    </row>
    <row r="27745" spans="1:8" customFormat="1" x14ac:dyDescent="0.25">
      <c r="A27745" t="str">
        <f>"8019701"</f>
        <v>8019701</v>
      </c>
      <c r="B27745" t="s">
        <v>28004</v>
      </c>
      <c r="C27745" t="s">
        <v>209</v>
      </c>
      <c r="D27745" s="21" t="s">
        <v>34</v>
      </c>
      <c r="E27745" s="21" t="s">
        <v>254</v>
      </c>
      <c r="F27745">
        <v>7800156</v>
      </c>
      <c r="G27745" t="s">
        <v>12924</v>
      </c>
      <c r="H27745" s="21">
        <v>594.16999999999996</v>
      </c>
    </row>
    <row r="27746" spans="1:8" customFormat="1" x14ac:dyDescent="0.25">
      <c r="A27746" t="str">
        <f>"5920965"</f>
        <v>5920965</v>
      </c>
      <c r="B27746" t="s">
        <v>7498</v>
      </c>
      <c r="C27746" t="s">
        <v>269</v>
      </c>
      <c r="D27746" s="21" t="s">
        <v>34</v>
      </c>
      <c r="E27746" s="21" t="s">
        <v>71</v>
      </c>
      <c r="F27746">
        <v>7590411</v>
      </c>
      <c r="G27746" t="s">
        <v>4036</v>
      </c>
      <c r="H27746" s="21">
        <v>594.16999999999996</v>
      </c>
    </row>
    <row r="27747" spans="1:8" customFormat="1" x14ac:dyDescent="0.25">
      <c r="A27747" t="str">
        <f>"848346"</f>
        <v>848346</v>
      </c>
      <c r="B27747" t="s">
        <v>23112</v>
      </c>
      <c r="C27747" t="s">
        <v>49</v>
      </c>
      <c r="D27747" s="21" t="s">
        <v>34</v>
      </c>
      <c r="E27747" s="21" t="s">
        <v>35</v>
      </c>
      <c r="F27747">
        <v>13840021</v>
      </c>
      <c r="G27747" t="s">
        <v>3946</v>
      </c>
      <c r="H27747" s="21">
        <v>594.16999999999996</v>
      </c>
    </row>
    <row r="27748" spans="1:8" customFormat="1" x14ac:dyDescent="0.25">
      <c r="A27748" t="str">
        <f>"9230351"</f>
        <v>9230351</v>
      </c>
      <c r="B27748" t="s">
        <v>890</v>
      </c>
      <c r="C27748" t="s">
        <v>19186</v>
      </c>
      <c r="D27748" s="21" t="s">
        <v>34</v>
      </c>
      <c r="E27748" s="21" t="s">
        <v>71</v>
      </c>
      <c r="F27748">
        <v>8920031</v>
      </c>
      <c r="G27748" t="s">
        <v>552</v>
      </c>
      <c r="H27748" s="21">
        <v>594.16999999999996</v>
      </c>
    </row>
    <row r="27749" spans="1:8" customFormat="1" x14ac:dyDescent="0.25">
      <c r="A27749" t="str">
        <f>"823134"</f>
        <v>823134</v>
      </c>
      <c r="B27749" t="s">
        <v>21069</v>
      </c>
      <c r="C27749" t="s">
        <v>598</v>
      </c>
      <c r="D27749" s="21" t="s">
        <v>34</v>
      </c>
      <c r="E27749" s="21" t="s">
        <v>71</v>
      </c>
      <c r="F27749">
        <v>11820031</v>
      </c>
      <c r="G27749" t="s">
        <v>18667</v>
      </c>
      <c r="H27749" s="21">
        <v>594.16999999999996</v>
      </c>
    </row>
    <row r="27750" spans="1:8" customFormat="1" x14ac:dyDescent="0.25">
      <c r="A27750" t="str">
        <f>"616435"</f>
        <v>616435</v>
      </c>
      <c r="B27750" t="s">
        <v>3957</v>
      </c>
      <c r="C27750" t="s">
        <v>187</v>
      </c>
      <c r="D27750" s="21" t="s">
        <v>34</v>
      </c>
      <c r="E27750" s="21" t="s">
        <v>35</v>
      </c>
      <c r="F27750">
        <v>9610017</v>
      </c>
      <c r="G27750" t="s">
        <v>12194</v>
      </c>
      <c r="H27750" s="21">
        <v>594.16999999999996</v>
      </c>
    </row>
    <row r="27751" spans="1:8" customFormat="1" x14ac:dyDescent="0.25">
      <c r="A27751" t="str">
        <f>"8018713"</f>
        <v>8018713</v>
      </c>
      <c r="B27751" t="s">
        <v>18011</v>
      </c>
      <c r="C27751" t="s">
        <v>82</v>
      </c>
      <c r="D27751" s="21" t="s">
        <v>34</v>
      </c>
      <c r="E27751" s="21" t="s">
        <v>71</v>
      </c>
      <c r="F27751">
        <v>7800140</v>
      </c>
      <c r="G27751" t="s">
        <v>14290</v>
      </c>
      <c r="H27751" s="21">
        <v>594.16999999999996</v>
      </c>
    </row>
    <row r="27752" spans="1:8" customFormat="1" x14ac:dyDescent="0.25">
      <c r="A27752" t="str">
        <f>"449368"</f>
        <v>449368</v>
      </c>
      <c r="B27752" t="s">
        <v>2501</v>
      </c>
      <c r="C27752" t="s">
        <v>209</v>
      </c>
      <c r="D27752" s="21" t="s">
        <v>34</v>
      </c>
      <c r="E27752" s="21" t="s">
        <v>254</v>
      </c>
      <c r="F27752">
        <v>12440195</v>
      </c>
      <c r="G27752" t="s">
        <v>3117</v>
      </c>
      <c r="H27752" s="21">
        <v>593.91999999999996</v>
      </c>
    </row>
    <row r="27753" spans="1:8" customFormat="1" x14ac:dyDescent="0.25">
      <c r="A27753" t="str">
        <f>"4511966"</f>
        <v>4511966</v>
      </c>
      <c r="B27753" t="s">
        <v>20443</v>
      </c>
      <c r="C27753" t="s">
        <v>528</v>
      </c>
      <c r="D27753" s="21" t="s">
        <v>34</v>
      </c>
      <c r="E27753" s="21" t="s">
        <v>254</v>
      </c>
      <c r="F27753">
        <v>4450417</v>
      </c>
      <c r="G27753" t="s">
        <v>2284</v>
      </c>
      <c r="H27753" s="21">
        <v>593.91999999999996</v>
      </c>
    </row>
    <row r="27754" spans="1:8" customFormat="1" x14ac:dyDescent="0.25">
      <c r="A27754" t="str">
        <f>"7114435"</f>
        <v>7114435</v>
      </c>
      <c r="B27754" t="s">
        <v>28005</v>
      </c>
      <c r="C27754" t="s">
        <v>62</v>
      </c>
      <c r="D27754" s="21" t="s">
        <v>34</v>
      </c>
      <c r="E27754" s="21" t="s">
        <v>71</v>
      </c>
      <c r="F27754">
        <v>2710071</v>
      </c>
      <c r="G27754" t="s">
        <v>18603</v>
      </c>
      <c r="H27754" s="21">
        <v>593.79</v>
      </c>
    </row>
    <row r="27755" spans="1:8" customFormat="1" x14ac:dyDescent="0.25">
      <c r="A27755" t="str">
        <f>"5431257"</f>
        <v>5431257</v>
      </c>
      <c r="B27755" t="s">
        <v>21057</v>
      </c>
      <c r="C27755" t="s">
        <v>2907</v>
      </c>
      <c r="D27755" s="21" t="s">
        <v>34</v>
      </c>
      <c r="E27755" s="21" t="s">
        <v>71</v>
      </c>
      <c r="F27755">
        <v>6540198</v>
      </c>
      <c r="G27755" t="s">
        <v>9045</v>
      </c>
      <c r="H27755" s="21">
        <v>593.79</v>
      </c>
    </row>
    <row r="27756" spans="1:8" customFormat="1" x14ac:dyDescent="0.25">
      <c r="A27756" t="str">
        <f>"7729173"</f>
        <v>7729173</v>
      </c>
      <c r="B27756" t="s">
        <v>10416</v>
      </c>
      <c r="C27756" t="s">
        <v>269</v>
      </c>
      <c r="D27756" s="21" t="s">
        <v>34</v>
      </c>
      <c r="E27756" s="21" t="s">
        <v>71</v>
      </c>
      <c r="F27756">
        <v>8771446</v>
      </c>
      <c r="G27756" t="s">
        <v>830</v>
      </c>
      <c r="H27756" s="21">
        <v>593.79</v>
      </c>
    </row>
    <row r="27757" spans="1:8" customFormat="1" x14ac:dyDescent="0.25">
      <c r="A27757" t="str">
        <f>"614161"</f>
        <v>614161</v>
      </c>
      <c r="B27757" t="s">
        <v>2835</v>
      </c>
      <c r="C27757" t="s">
        <v>328</v>
      </c>
      <c r="D27757" s="21" t="s">
        <v>34</v>
      </c>
      <c r="E27757" s="21" t="s">
        <v>71</v>
      </c>
      <c r="F27757">
        <v>9140115</v>
      </c>
      <c r="G27757" t="s">
        <v>26590</v>
      </c>
      <c r="H27757" s="21">
        <v>593.66999999999996</v>
      </c>
    </row>
    <row r="27758" spans="1:8" customFormat="1" x14ac:dyDescent="0.25">
      <c r="A27758" t="str">
        <f>"9137209"</f>
        <v>9137209</v>
      </c>
      <c r="B27758" t="s">
        <v>6462</v>
      </c>
      <c r="C27758" t="s">
        <v>55</v>
      </c>
      <c r="D27758" s="21" t="s">
        <v>34</v>
      </c>
      <c r="E27758" s="21" t="s">
        <v>254</v>
      </c>
      <c r="F27758">
        <v>8911132</v>
      </c>
      <c r="G27758" t="s">
        <v>10728</v>
      </c>
      <c r="H27758" s="21">
        <v>593.66999999999996</v>
      </c>
    </row>
    <row r="27759" spans="1:8" customFormat="1" x14ac:dyDescent="0.25">
      <c r="A27759" t="str">
        <f>"149156"</f>
        <v>149156</v>
      </c>
      <c r="B27759" t="s">
        <v>20199</v>
      </c>
      <c r="C27759" t="s">
        <v>169</v>
      </c>
      <c r="D27759" s="21" t="s">
        <v>34</v>
      </c>
      <c r="E27759" s="21" t="s">
        <v>71</v>
      </c>
      <c r="F27759">
        <v>9140190</v>
      </c>
      <c r="G27759" t="s">
        <v>7368</v>
      </c>
      <c r="H27759" s="21">
        <v>593.66999999999996</v>
      </c>
    </row>
    <row r="27760" spans="1:8" customFormat="1" x14ac:dyDescent="0.25">
      <c r="A27760" t="str">
        <f>"6019933"</f>
        <v>6019933</v>
      </c>
      <c r="B27760" t="s">
        <v>19873</v>
      </c>
      <c r="C27760" t="s">
        <v>1946</v>
      </c>
      <c r="D27760" s="21" t="s">
        <v>34</v>
      </c>
      <c r="E27760" s="21" t="s">
        <v>254</v>
      </c>
      <c r="F27760">
        <v>7600026</v>
      </c>
      <c r="G27760" t="s">
        <v>10079</v>
      </c>
      <c r="H27760" s="21">
        <v>593.66999999999996</v>
      </c>
    </row>
    <row r="27761" spans="1:8" customFormat="1" x14ac:dyDescent="0.25">
      <c r="A27761" t="str">
        <f>"712670"</f>
        <v>712670</v>
      </c>
      <c r="B27761" t="s">
        <v>18805</v>
      </c>
      <c r="C27761" t="s">
        <v>114</v>
      </c>
      <c r="D27761" s="21" t="s">
        <v>34</v>
      </c>
      <c r="E27761" s="21" t="s">
        <v>71</v>
      </c>
      <c r="F27761">
        <v>2710083</v>
      </c>
      <c r="G27761" t="s">
        <v>17590</v>
      </c>
      <c r="H27761" s="21">
        <v>593.66999999999996</v>
      </c>
    </row>
    <row r="27762" spans="1:8" customFormat="1" x14ac:dyDescent="0.25">
      <c r="A27762" t="str">
        <f>"419367"</f>
        <v>419367</v>
      </c>
      <c r="B27762" t="s">
        <v>21102</v>
      </c>
      <c r="C27762" t="s">
        <v>169</v>
      </c>
      <c r="D27762" s="21" t="s">
        <v>34</v>
      </c>
      <c r="E27762" s="21" t="s">
        <v>35</v>
      </c>
      <c r="F27762">
        <v>4410586</v>
      </c>
      <c r="G27762" t="s">
        <v>7672</v>
      </c>
      <c r="H27762" s="21">
        <v>593.66999999999996</v>
      </c>
    </row>
    <row r="27763" spans="1:8" customFormat="1" x14ac:dyDescent="0.25">
      <c r="A27763" t="str">
        <f>"2213364"</f>
        <v>2213364</v>
      </c>
      <c r="B27763" t="s">
        <v>19425</v>
      </c>
      <c r="C27763" t="s">
        <v>3648</v>
      </c>
      <c r="D27763" s="21" t="s">
        <v>34</v>
      </c>
      <c r="E27763" s="21" t="s">
        <v>1089</v>
      </c>
      <c r="F27763">
        <v>3220050</v>
      </c>
      <c r="G27763" t="s">
        <v>28006</v>
      </c>
      <c r="H27763" s="21">
        <v>593.66999999999996</v>
      </c>
    </row>
    <row r="27764" spans="1:8" customFormat="1" x14ac:dyDescent="0.25">
      <c r="A27764" t="str">
        <f>"9321593"</f>
        <v>9321593</v>
      </c>
      <c r="B27764" t="s">
        <v>9713</v>
      </c>
      <c r="C27764" t="s">
        <v>2721</v>
      </c>
      <c r="D27764" s="21" t="s">
        <v>34</v>
      </c>
      <c r="E27764" s="21" t="s">
        <v>35</v>
      </c>
      <c r="F27764">
        <v>8930009</v>
      </c>
      <c r="G27764" t="s">
        <v>2534</v>
      </c>
      <c r="H27764" s="21">
        <v>593.66999999999996</v>
      </c>
    </row>
    <row r="27765" spans="1:8" customFormat="1" x14ac:dyDescent="0.25">
      <c r="A27765" t="str">
        <f>"568516"</f>
        <v>568516</v>
      </c>
      <c r="B27765" t="s">
        <v>19619</v>
      </c>
      <c r="C27765" t="s">
        <v>202</v>
      </c>
      <c r="D27765" s="21" t="s">
        <v>34</v>
      </c>
      <c r="E27765" s="21" t="s">
        <v>254</v>
      </c>
      <c r="F27765">
        <v>3560049</v>
      </c>
      <c r="G27765" t="s">
        <v>8021</v>
      </c>
      <c r="H27765" s="21">
        <v>593.66999999999996</v>
      </c>
    </row>
    <row r="27766" spans="1:8" customFormat="1" x14ac:dyDescent="0.25">
      <c r="A27766" t="str">
        <f>"959179"</f>
        <v>959179</v>
      </c>
      <c r="B27766" t="s">
        <v>20184</v>
      </c>
      <c r="C27766" t="s">
        <v>40</v>
      </c>
      <c r="D27766" s="21" t="s">
        <v>34</v>
      </c>
      <c r="E27766" s="21" t="s">
        <v>254</v>
      </c>
      <c r="F27766">
        <v>8951331</v>
      </c>
      <c r="G27766" t="s">
        <v>1134</v>
      </c>
      <c r="H27766" s="21">
        <v>593.66999999999996</v>
      </c>
    </row>
    <row r="27767" spans="1:8" customFormat="1" x14ac:dyDescent="0.25">
      <c r="A27767" t="str">
        <f>"597547"</f>
        <v>597547</v>
      </c>
      <c r="B27767" t="s">
        <v>2866</v>
      </c>
      <c r="C27767" t="s">
        <v>236</v>
      </c>
      <c r="D27767" s="21" t="s">
        <v>34</v>
      </c>
      <c r="E27767" s="21" t="s">
        <v>254</v>
      </c>
      <c r="F27767">
        <v>7590156</v>
      </c>
      <c r="G27767" t="s">
        <v>6224</v>
      </c>
      <c r="H27767" s="21">
        <v>593.66999999999996</v>
      </c>
    </row>
    <row r="27768" spans="1:8" customFormat="1" x14ac:dyDescent="0.25">
      <c r="A27768" t="str">
        <f>"3531681"</f>
        <v>3531681</v>
      </c>
      <c r="B27768" t="s">
        <v>20601</v>
      </c>
      <c r="C27768" t="s">
        <v>544</v>
      </c>
      <c r="D27768" s="21" t="s">
        <v>34</v>
      </c>
      <c r="E27768" s="21" t="s">
        <v>35</v>
      </c>
      <c r="F27768">
        <v>3350055</v>
      </c>
      <c r="G27768" t="s">
        <v>6720</v>
      </c>
      <c r="H27768" s="21">
        <v>593.66999999999996</v>
      </c>
    </row>
    <row r="27769" spans="1:8" customFormat="1" x14ac:dyDescent="0.25">
      <c r="A27769" t="str">
        <f>"5936748"</f>
        <v>5936748</v>
      </c>
      <c r="B27769" t="s">
        <v>16670</v>
      </c>
      <c r="C27769" t="s">
        <v>209</v>
      </c>
      <c r="D27769" s="21" t="s">
        <v>34</v>
      </c>
      <c r="E27769" s="21" t="s">
        <v>1089</v>
      </c>
      <c r="F27769">
        <v>7590075</v>
      </c>
      <c r="G27769" t="s">
        <v>6459</v>
      </c>
      <c r="H27769" s="21">
        <v>593.66999999999996</v>
      </c>
    </row>
    <row r="27770" spans="1:8" customFormat="1" x14ac:dyDescent="0.25">
      <c r="A27770" t="str">
        <f>"4910293"</f>
        <v>4910293</v>
      </c>
      <c r="B27770" t="s">
        <v>1582</v>
      </c>
      <c r="C27770" t="s">
        <v>664</v>
      </c>
      <c r="D27770" s="21" t="s">
        <v>34</v>
      </c>
      <c r="E27770" s="21" t="s">
        <v>71</v>
      </c>
      <c r="F27770">
        <v>12490055</v>
      </c>
      <c r="G27770" t="s">
        <v>12099</v>
      </c>
      <c r="H27770" s="21">
        <v>593.66999999999996</v>
      </c>
    </row>
    <row r="27771" spans="1:8" customFormat="1" x14ac:dyDescent="0.25">
      <c r="A27771" t="str">
        <f>"588593"</f>
        <v>588593</v>
      </c>
      <c r="B27771" t="s">
        <v>5144</v>
      </c>
      <c r="C27771" t="s">
        <v>267</v>
      </c>
      <c r="D27771" s="21" t="s">
        <v>34</v>
      </c>
      <c r="E27771" s="21" t="s">
        <v>254</v>
      </c>
      <c r="F27771">
        <v>2580078</v>
      </c>
      <c r="G27771" t="s">
        <v>4432</v>
      </c>
      <c r="H27771" s="21">
        <v>593.66999999999996</v>
      </c>
    </row>
    <row r="27772" spans="1:8" customFormat="1" x14ac:dyDescent="0.25">
      <c r="A27772" t="str">
        <f>"3525683"</f>
        <v>3525683</v>
      </c>
      <c r="B27772" t="s">
        <v>16957</v>
      </c>
      <c r="C27772" t="s">
        <v>484</v>
      </c>
      <c r="D27772" s="21" t="s">
        <v>34</v>
      </c>
      <c r="E27772" s="21" t="s">
        <v>35</v>
      </c>
      <c r="F27772">
        <v>3350090</v>
      </c>
      <c r="G27772" t="s">
        <v>9659</v>
      </c>
      <c r="H27772" s="21">
        <v>593.66999999999996</v>
      </c>
    </row>
    <row r="27773" spans="1:8" customFormat="1" x14ac:dyDescent="0.25">
      <c r="A27773" t="str">
        <f>"259922"</f>
        <v>259922</v>
      </c>
      <c r="B27773" t="s">
        <v>19855</v>
      </c>
      <c r="C27773" t="s">
        <v>1605</v>
      </c>
      <c r="D27773" s="21" t="s">
        <v>34</v>
      </c>
      <c r="E27773" s="21" t="s">
        <v>254</v>
      </c>
      <c r="F27773">
        <v>2250199</v>
      </c>
      <c r="G27773" t="s">
        <v>8756</v>
      </c>
      <c r="H27773" s="21">
        <v>593.66999999999996</v>
      </c>
    </row>
    <row r="27774" spans="1:8" customFormat="1" x14ac:dyDescent="0.25">
      <c r="A27774" t="str">
        <f>"4217663"</f>
        <v>4217663</v>
      </c>
      <c r="B27774" t="s">
        <v>21461</v>
      </c>
      <c r="C27774" t="s">
        <v>2907</v>
      </c>
      <c r="D27774" s="21" t="s">
        <v>34</v>
      </c>
      <c r="E27774" s="21" t="s">
        <v>71</v>
      </c>
      <c r="F27774">
        <v>1420156</v>
      </c>
      <c r="G27774" t="s">
        <v>5635</v>
      </c>
      <c r="H27774" s="21">
        <v>593.66999999999996</v>
      </c>
    </row>
    <row r="27775" spans="1:8" customFormat="1" x14ac:dyDescent="0.25">
      <c r="A27775" t="str">
        <f>"4934474"</f>
        <v>4934474</v>
      </c>
      <c r="B27775" t="s">
        <v>11084</v>
      </c>
      <c r="C27775" t="s">
        <v>37</v>
      </c>
      <c r="D27775" s="21" t="s">
        <v>34</v>
      </c>
      <c r="E27775" s="21" t="s">
        <v>71</v>
      </c>
      <c r="F27775">
        <v>12490122</v>
      </c>
      <c r="G27775" t="s">
        <v>26752</v>
      </c>
      <c r="H27775" s="21">
        <v>593.66999999999996</v>
      </c>
    </row>
    <row r="27776" spans="1:8" customFormat="1" x14ac:dyDescent="0.25">
      <c r="A27776" t="str">
        <f>"143952"</f>
        <v>143952</v>
      </c>
      <c r="B27776" t="s">
        <v>2746</v>
      </c>
      <c r="C27776" t="s">
        <v>302</v>
      </c>
      <c r="D27776" s="21" t="s">
        <v>34</v>
      </c>
      <c r="E27776" s="21" t="s">
        <v>35</v>
      </c>
      <c r="F27776">
        <v>9760168</v>
      </c>
      <c r="G27776" t="s">
        <v>179</v>
      </c>
      <c r="H27776" s="21">
        <v>593.66999999999996</v>
      </c>
    </row>
    <row r="27777" spans="1:8" customFormat="1" x14ac:dyDescent="0.25">
      <c r="A27777" t="str">
        <f>"176533"</f>
        <v>176533</v>
      </c>
      <c r="B27777" t="s">
        <v>1349</v>
      </c>
      <c r="C27777" t="s">
        <v>1146</v>
      </c>
      <c r="D27777" s="21" t="s">
        <v>34</v>
      </c>
      <c r="E27777" s="21" t="s">
        <v>254</v>
      </c>
      <c r="F27777">
        <v>10170049</v>
      </c>
      <c r="G27777" t="s">
        <v>15023</v>
      </c>
      <c r="H27777" s="21">
        <v>593.66999999999996</v>
      </c>
    </row>
    <row r="27778" spans="1:8" customFormat="1" x14ac:dyDescent="0.25">
      <c r="A27778" t="str">
        <f>"8519341"</f>
        <v>8519341</v>
      </c>
      <c r="B27778" t="s">
        <v>13730</v>
      </c>
      <c r="C27778" t="s">
        <v>576</v>
      </c>
      <c r="D27778" s="21" t="s">
        <v>34</v>
      </c>
      <c r="E27778" s="21" t="s">
        <v>35</v>
      </c>
      <c r="F27778">
        <v>12850163</v>
      </c>
      <c r="G27778" t="s">
        <v>9811</v>
      </c>
      <c r="H27778" s="21">
        <v>593.66999999999996</v>
      </c>
    </row>
    <row r="27779" spans="1:8" customFormat="1" x14ac:dyDescent="0.25">
      <c r="A27779" t="str">
        <f>"6315654"</f>
        <v>6315654</v>
      </c>
      <c r="B27779" t="s">
        <v>28007</v>
      </c>
      <c r="C27779" t="s">
        <v>631</v>
      </c>
      <c r="D27779" s="21" t="s">
        <v>34</v>
      </c>
      <c r="E27779" s="21" t="s">
        <v>35</v>
      </c>
      <c r="F27779">
        <v>1630012</v>
      </c>
      <c r="G27779" t="s">
        <v>8636</v>
      </c>
      <c r="H27779" s="21">
        <v>593.66999999999996</v>
      </c>
    </row>
    <row r="27780" spans="1:8" customFormat="1" x14ac:dyDescent="0.25">
      <c r="A27780" t="str">
        <f>"723709"</f>
        <v>723709</v>
      </c>
      <c r="B27780" t="s">
        <v>1246</v>
      </c>
      <c r="C27780" t="s">
        <v>412</v>
      </c>
      <c r="D27780" s="21" t="s">
        <v>34</v>
      </c>
      <c r="E27780" s="21" t="s">
        <v>1089</v>
      </c>
      <c r="F27780">
        <v>12720004</v>
      </c>
      <c r="G27780" t="s">
        <v>2328</v>
      </c>
      <c r="H27780" s="21">
        <v>593.66999999999996</v>
      </c>
    </row>
    <row r="27781" spans="1:8" customFormat="1" x14ac:dyDescent="0.25">
      <c r="A27781" t="str">
        <f>"5950651"</f>
        <v>5950651</v>
      </c>
      <c r="B27781" t="s">
        <v>6847</v>
      </c>
      <c r="C27781" t="s">
        <v>598</v>
      </c>
      <c r="D27781" s="21" t="s">
        <v>34</v>
      </c>
      <c r="E27781" s="21" t="s">
        <v>254</v>
      </c>
      <c r="F27781">
        <v>7590014</v>
      </c>
      <c r="G27781" t="s">
        <v>1326</v>
      </c>
      <c r="H27781" s="21">
        <v>593.66999999999996</v>
      </c>
    </row>
    <row r="27782" spans="1:8" customFormat="1" x14ac:dyDescent="0.25">
      <c r="A27782" t="str">
        <f>"3341116"</f>
        <v>3341116</v>
      </c>
      <c r="B27782" t="s">
        <v>21019</v>
      </c>
      <c r="C27782" t="s">
        <v>209</v>
      </c>
      <c r="D27782" s="21" t="s">
        <v>34</v>
      </c>
      <c r="E27782" s="21" t="s">
        <v>71</v>
      </c>
      <c r="F27782">
        <v>10330050</v>
      </c>
      <c r="G27782" t="s">
        <v>2488</v>
      </c>
      <c r="H27782" s="21">
        <v>593.66999999999996</v>
      </c>
    </row>
    <row r="27783" spans="1:8" customFormat="1" x14ac:dyDescent="0.25">
      <c r="A27783" t="str">
        <f>"5619576"</f>
        <v>5619576</v>
      </c>
      <c r="B27783" t="s">
        <v>28008</v>
      </c>
      <c r="C27783" t="s">
        <v>891</v>
      </c>
      <c r="D27783" s="21" t="s">
        <v>34</v>
      </c>
      <c r="E27783" s="21" t="s">
        <v>35</v>
      </c>
      <c r="F27783">
        <v>3560038</v>
      </c>
      <c r="G27783" t="s">
        <v>3598</v>
      </c>
      <c r="H27783" s="21">
        <v>593.66999999999996</v>
      </c>
    </row>
    <row r="27784" spans="1:8" customFormat="1" x14ac:dyDescent="0.25">
      <c r="A27784" t="str">
        <f>"1314623"</f>
        <v>1314623</v>
      </c>
      <c r="B27784" t="s">
        <v>16946</v>
      </c>
      <c r="C27784" t="s">
        <v>169</v>
      </c>
      <c r="D27784" s="21" t="s">
        <v>34</v>
      </c>
      <c r="E27784" s="21" t="s">
        <v>71</v>
      </c>
      <c r="F27784">
        <v>13130169</v>
      </c>
      <c r="G27784" t="s">
        <v>21686</v>
      </c>
      <c r="H27784" s="21">
        <v>593.54</v>
      </c>
    </row>
    <row r="27785" spans="1:8" customFormat="1" x14ac:dyDescent="0.25">
      <c r="A27785" t="str">
        <f>"4528416"</f>
        <v>4528416</v>
      </c>
      <c r="B27785" t="s">
        <v>15812</v>
      </c>
      <c r="C27785" t="s">
        <v>43</v>
      </c>
      <c r="D27785" s="21" t="s">
        <v>34</v>
      </c>
      <c r="E27785" s="21" t="s">
        <v>35</v>
      </c>
      <c r="F27785">
        <v>4450760</v>
      </c>
      <c r="G27785" t="s">
        <v>5775</v>
      </c>
      <c r="H27785" s="21">
        <v>593.41999999999996</v>
      </c>
    </row>
    <row r="27786" spans="1:8" customFormat="1" x14ac:dyDescent="0.25">
      <c r="A27786" t="str">
        <f>"4923877"</f>
        <v>4923877</v>
      </c>
      <c r="B27786" t="s">
        <v>17535</v>
      </c>
      <c r="C27786" t="s">
        <v>664</v>
      </c>
      <c r="D27786" s="21" t="s">
        <v>34</v>
      </c>
      <c r="E27786" s="21" t="s">
        <v>35</v>
      </c>
      <c r="F27786">
        <v>12490060</v>
      </c>
      <c r="G27786" t="s">
        <v>5047</v>
      </c>
      <c r="H27786" s="21">
        <v>593.41999999999996</v>
      </c>
    </row>
    <row r="27787" spans="1:8" customFormat="1" x14ac:dyDescent="0.25">
      <c r="A27787" t="str">
        <f>"5977715"</f>
        <v>5977715</v>
      </c>
      <c r="B27787" t="s">
        <v>20920</v>
      </c>
      <c r="C27787" t="s">
        <v>320</v>
      </c>
      <c r="D27787" s="21" t="s">
        <v>34</v>
      </c>
      <c r="E27787" s="21" t="s">
        <v>35</v>
      </c>
      <c r="F27787">
        <v>7590005</v>
      </c>
      <c r="G27787" t="s">
        <v>540</v>
      </c>
      <c r="H27787" s="21">
        <v>593.29</v>
      </c>
    </row>
    <row r="27788" spans="1:8" customFormat="1" x14ac:dyDescent="0.25">
      <c r="A27788" t="str">
        <f>"6925249"</f>
        <v>6925249</v>
      </c>
      <c r="B27788" t="s">
        <v>20265</v>
      </c>
      <c r="C27788" t="s">
        <v>55</v>
      </c>
      <c r="D27788" s="21" t="s">
        <v>34</v>
      </c>
      <c r="E27788" s="21" t="s">
        <v>254</v>
      </c>
      <c r="F27788">
        <v>1690160</v>
      </c>
      <c r="G27788" t="s">
        <v>4599</v>
      </c>
      <c r="H27788" s="21">
        <v>593.29</v>
      </c>
    </row>
    <row r="27789" spans="1:8" customFormat="1" x14ac:dyDescent="0.25">
      <c r="A27789" t="str">
        <f>"349451"</f>
        <v>349451</v>
      </c>
      <c r="B27789" t="s">
        <v>17559</v>
      </c>
      <c r="C27789" t="s">
        <v>1271</v>
      </c>
      <c r="D27789" s="21" t="s">
        <v>34</v>
      </c>
      <c r="E27789" s="21" t="s">
        <v>71</v>
      </c>
      <c r="F27789">
        <v>11340007</v>
      </c>
      <c r="G27789" t="s">
        <v>2278</v>
      </c>
      <c r="H27789" s="21">
        <v>593.16999999999996</v>
      </c>
    </row>
    <row r="27790" spans="1:8" customFormat="1" x14ac:dyDescent="0.25">
      <c r="A27790" t="str">
        <f>"6720049"</f>
        <v>6720049</v>
      </c>
      <c r="B27790" t="s">
        <v>17741</v>
      </c>
      <c r="C27790" t="s">
        <v>328</v>
      </c>
      <c r="D27790" s="21" t="s">
        <v>34</v>
      </c>
      <c r="E27790" s="21" t="s">
        <v>35</v>
      </c>
      <c r="F27790">
        <v>6670207</v>
      </c>
      <c r="G27790" t="s">
        <v>5419</v>
      </c>
      <c r="H27790" s="21">
        <v>593.16999999999996</v>
      </c>
    </row>
    <row r="27791" spans="1:8" customFormat="1" x14ac:dyDescent="0.25">
      <c r="A27791" t="str">
        <f>"3832628"</f>
        <v>3832628</v>
      </c>
      <c r="B27791" t="s">
        <v>9907</v>
      </c>
      <c r="C27791" t="s">
        <v>24141</v>
      </c>
      <c r="D27791" s="21" t="s">
        <v>34</v>
      </c>
      <c r="E27791" s="21" t="s">
        <v>35</v>
      </c>
      <c r="F27791">
        <v>1380256</v>
      </c>
      <c r="G27791" t="s">
        <v>6946</v>
      </c>
      <c r="H27791" s="21">
        <v>593.16999999999996</v>
      </c>
    </row>
    <row r="27792" spans="1:8" customFormat="1" x14ac:dyDescent="0.25">
      <c r="A27792" t="str">
        <f>"9251367"</f>
        <v>9251367</v>
      </c>
      <c r="B27792" t="s">
        <v>14198</v>
      </c>
      <c r="C27792" t="s">
        <v>1359</v>
      </c>
      <c r="D27792" s="21" t="s">
        <v>34</v>
      </c>
      <c r="E27792" s="21" t="s">
        <v>35</v>
      </c>
      <c r="F27792">
        <v>8920075</v>
      </c>
      <c r="G27792" t="s">
        <v>317</v>
      </c>
      <c r="H27792" s="21">
        <v>593.16999999999996</v>
      </c>
    </row>
    <row r="27793" spans="1:8" customFormat="1" x14ac:dyDescent="0.25">
      <c r="A27793" t="str">
        <f>"533747"</f>
        <v>533747</v>
      </c>
      <c r="B27793" t="s">
        <v>20616</v>
      </c>
      <c r="C27793" t="s">
        <v>40</v>
      </c>
      <c r="D27793" s="21" t="s">
        <v>34</v>
      </c>
      <c r="E27793" s="21" t="s">
        <v>71</v>
      </c>
      <c r="F27793">
        <v>12530116</v>
      </c>
      <c r="G27793" t="s">
        <v>7881</v>
      </c>
      <c r="H27793" s="21">
        <v>593.16999999999996</v>
      </c>
    </row>
    <row r="27794" spans="1:8" customFormat="1" x14ac:dyDescent="0.25">
      <c r="A27794" t="str">
        <f>"4220121"</f>
        <v>4220121</v>
      </c>
      <c r="B27794" t="s">
        <v>28009</v>
      </c>
      <c r="C27794" t="s">
        <v>564</v>
      </c>
      <c r="D27794" s="21" t="s">
        <v>34</v>
      </c>
      <c r="E27794" s="21" t="s">
        <v>71</v>
      </c>
      <c r="F27794">
        <v>1420163</v>
      </c>
      <c r="G27794" t="s">
        <v>2424</v>
      </c>
      <c r="H27794" s="21">
        <v>593.16999999999996</v>
      </c>
    </row>
    <row r="27795" spans="1:8" customFormat="1" x14ac:dyDescent="0.25">
      <c r="A27795" t="str">
        <f>"1715515"</f>
        <v>1715515</v>
      </c>
      <c r="B27795" t="s">
        <v>21000</v>
      </c>
      <c r="C27795" t="s">
        <v>98</v>
      </c>
      <c r="D27795" s="21" t="s">
        <v>34</v>
      </c>
      <c r="E27795" s="21" t="s">
        <v>71</v>
      </c>
      <c r="F27795">
        <v>12850138</v>
      </c>
      <c r="G27795" t="s">
        <v>6879</v>
      </c>
      <c r="H27795" s="21">
        <v>593.16999999999996</v>
      </c>
    </row>
    <row r="27796" spans="1:8" customFormat="1" x14ac:dyDescent="0.25">
      <c r="A27796" t="str">
        <f>"6716874"</f>
        <v>6716874</v>
      </c>
      <c r="B27796" t="s">
        <v>22190</v>
      </c>
      <c r="C27796" t="s">
        <v>33</v>
      </c>
      <c r="D27796" s="21" t="s">
        <v>34</v>
      </c>
      <c r="E27796" s="21" t="s">
        <v>35</v>
      </c>
      <c r="F27796">
        <v>11310006</v>
      </c>
      <c r="G27796" t="s">
        <v>419</v>
      </c>
      <c r="H27796" s="21">
        <v>593.16999999999996</v>
      </c>
    </row>
    <row r="27797" spans="1:8" customFormat="1" x14ac:dyDescent="0.25">
      <c r="A27797" t="str">
        <f>"5318721"</f>
        <v>5318721</v>
      </c>
      <c r="B27797" t="s">
        <v>2605</v>
      </c>
      <c r="C27797" t="s">
        <v>1705</v>
      </c>
      <c r="D27797" s="21" t="s">
        <v>34</v>
      </c>
      <c r="E27797" s="21" t="s">
        <v>71</v>
      </c>
      <c r="F27797">
        <v>12538899</v>
      </c>
      <c r="G27797" t="s">
        <v>10436</v>
      </c>
      <c r="H27797" s="21">
        <v>593.16999999999996</v>
      </c>
    </row>
    <row r="27798" spans="1:8" customFormat="1" x14ac:dyDescent="0.25">
      <c r="A27798" t="str">
        <f>"5020925"</f>
        <v>5020925</v>
      </c>
      <c r="B27798" t="s">
        <v>24688</v>
      </c>
      <c r="C27798" t="s">
        <v>58</v>
      </c>
      <c r="D27798" s="21" t="s">
        <v>34</v>
      </c>
      <c r="E27798" s="21" t="s">
        <v>35</v>
      </c>
      <c r="F27798">
        <v>9500112</v>
      </c>
      <c r="G27798" t="s">
        <v>1668</v>
      </c>
      <c r="H27798" s="21">
        <v>593.16999999999996</v>
      </c>
    </row>
    <row r="27799" spans="1:8" customFormat="1" x14ac:dyDescent="0.25">
      <c r="A27799" t="str">
        <f>"0811328"</f>
        <v>0811328</v>
      </c>
      <c r="B27799" t="s">
        <v>19712</v>
      </c>
      <c r="C27799" t="s">
        <v>33</v>
      </c>
      <c r="D27799" s="21" t="s">
        <v>34</v>
      </c>
      <c r="E27799" s="21" t="s">
        <v>71</v>
      </c>
      <c r="F27799">
        <v>6080035</v>
      </c>
      <c r="G27799" t="s">
        <v>583</v>
      </c>
      <c r="H27799" s="21">
        <v>593.16999999999996</v>
      </c>
    </row>
    <row r="27800" spans="1:8" customFormat="1" x14ac:dyDescent="0.25">
      <c r="A27800" t="str">
        <f>"878375"</f>
        <v>878375</v>
      </c>
      <c r="B27800" t="s">
        <v>20984</v>
      </c>
      <c r="C27800" t="s">
        <v>198</v>
      </c>
      <c r="D27800" s="21" t="s">
        <v>34</v>
      </c>
      <c r="E27800" s="21" t="s">
        <v>254</v>
      </c>
      <c r="F27800">
        <v>10870130</v>
      </c>
      <c r="G27800" t="s">
        <v>7564</v>
      </c>
      <c r="H27800" s="21">
        <v>593.16999999999996</v>
      </c>
    </row>
    <row r="27801" spans="1:8" customFormat="1" x14ac:dyDescent="0.25">
      <c r="A27801" t="str">
        <f>"904728"</f>
        <v>904728</v>
      </c>
      <c r="B27801" t="s">
        <v>8553</v>
      </c>
      <c r="C27801" t="s">
        <v>60</v>
      </c>
      <c r="D27801" s="21" t="s">
        <v>34</v>
      </c>
      <c r="E27801" s="21" t="s">
        <v>71</v>
      </c>
      <c r="F27801">
        <v>2900038</v>
      </c>
      <c r="G27801" t="s">
        <v>6415</v>
      </c>
      <c r="H27801" s="21">
        <v>593.16999999999996</v>
      </c>
    </row>
    <row r="27802" spans="1:8" customFormat="1" x14ac:dyDescent="0.25">
      <c r="A27802" t="str">
        <f>"7221997"</f>
        <v>7221997</v>
      </c>
      <c r="B27802" t="s">
        <v>12704</v>
      </c>
      <c r="C27802" t="s">
        <v>462</v>
      </c>
      <c r="D27802" s="21" t="s">
        <v>34</v>
      </c>
      <c r="E27802" s="21" t="s">
        <v>35</v>
      </c>
      <c r="F27802">
        <v>12720084</v>
      </c>
      <c r="G27802" t="s">
        <v>7532</v>
      </c>
      <c r="H27802" s="21">
        <v>593.16999999999996</v>
      </c>
    </row>
    <row r="27803" spans="1:8" customFormat="1" x14ac:dyDescent="0.25">
      <c r="A27803" t="str">
        <f>"025940"</f>
        <v>025940</v>
      </c>
      <c r="B27803" t="s">
        <v>8705</v>
      </c>
      <c r="C27803" t="s">
        <v>879</v>
      </c>
      <c r="D27803" s="21" t="s">
        <v>34</v>
      </c>
      <c r="E27803" s="21" t="s">
        <v>254</v>
      </c>
      <c r="F27803">
        <v>7020036</v>
      </c>
      <c r="G27803" t="s">
        <v>8431</v>
      </c>
      <c r="H27803" s="21">
        <v>593.16999999999996</v>
      </c>
    </row>
    <row r="27804" spans="1:8" customFormat="1" x14ac:dyDescent="0.25">
      <c r="A27804" t="str">
        <f>"6935608"</f>
        <v>6935608</v>
      </c>
      <c r="B27804" t="s">
        <v>5037</v>
      </c>
      <c r="C27804" t="s">
        <v>611</v>
      </c>
      <c r="D27804" s="21" t="s">
        <v>34</v>
      </c>
      <c r="E27804" s="21" t="s">
        <v>71</v>
      </c>
      <c r="F27804">
        <v>1690040</v>
      </c>
      <c r="G27804" t="s">
        <v>15960</v>
      </c>
      <c r="H27804" s="21">
        <v>593.16999999999996</v>
      </c>
    </row>
    <row r="27805" spans="1:8" customFormat="1" x14ac:dyDescent="0.25">
      <c r="A27805" t="str">
        <f>"434221"</f>
        <v>434221</v>
      </c>
      <c r="B27805" t="s">
        <v>2870</v>
      </c>
      <c r="C27805" t="s">
        <v>169</v>
      </c>
      <c r="D27805" s="21" t="s">
        <v>34</v>
      </c>
      <c r="E27805" s="21" t="s">
        <v>35</v>
      </c>
      <c r="F27805">
        <v>1420291</v>
      </c>
      <c r="G27805" t="s">
        <v>13231</v>
      </c>
      <c r="H27805" s="21">
        <v>593.16999999999996</v>
      </c>
    </row>
    <row r="27806" spans="1:8" customFormat="1" x14ac:dyDescent="0.25">
      <c r="A27806" t="str">
        <f>"616911"</f>
        <v>616911</v>
      </c>
      <c r="B27806" t="s">
        <v>18693</v>
      </c>
      <c r="C27806" t="s">
        <v>139</v>
      </c>
      <c r="D27806" s="21" t="s">
        <v>34</v>
      </c>
      <c r="E27806" s="21" t="s">
        <v>71</v>
      </c>
      <c r="F27806">
        <v>9610122</v>
      </c>
      <c r="G27806" t="s">
        <v>4349</v>
      </c>
      <c r="H27806" s="21">
        <v>593.04</v>
      </c>
    </row>
    <row r="27807" spans="1:8" customFormat="1" x14ac:dyDescent="0.25">
      <c r="A27807" t="str">
        <f>"9241604"</f>
        <v>9241604</v>
      </c>
      <c r="B27807" t="s">
        <v>17702</v>
      </c>
      <c r="C27807" t="s">
        <v>139</v>
      </c>
      <c r="D27807" s="21" t="s">
        <v>34</v>
      </c>
      <c r="E27807" s="21" t="s">
        <v>71</v>
      </c>
      <c r="F27807">
        <v>8920309</v>
      </c>
      <c r="G27807" t="s">
        <v>1894</v>
      </c>
      <c r="H27807" s="21">
        <v>593.04</v>
      </c>
    </row>
    <row r="27808" spans="1:8" customFormat="1" x14ac:dyDescent="0.25">
      <c r="A27808" t="str">
        <f>"6315662"</f>
        <v>6315662</v>
      </c>
      <c r="B27808" t="s">
        <v>20300</v>
      </c>
      <c r="C27808" t="s">
        <v>209</v>
      </c>
      <c r="D27808" s="21" t="s">
        <v>34</v>
      </c>
      <c r="E27808" s="21" t="s">
        <v>254</v>
      </c>
      <c r="F27808">
        <v>1630243</v>
      </c>
      <c r="G27808" t="s">
        <v>9163</v>
      </c>
      <c r="H27808" s="21">
        <v>592.91999999999996</v>
      </c>
    </row>
    <row r="27809" spans="1:8" customFormat="1" x14ac:dyDescent="0.25">
      <c r="A27809" t="str">
        <f>"3728326"</f>
        <v>3728326</v>
      </c>
      <c r="B27809" t="s">
        <v>20769</v>
      </c>
      <c r="C27809" t="s">
        <v>87</v>
      </c>
      <c r="D27809" s="21" t="s">
        <v>34</v>
      </c>
      <c r="E27809" s="21" t="s">
        <v>35</v>
      </c>
      <c r="F27809">
        <v>4370284</v>
      </c>
      <c r="G27809" t="s">
        <v>3584</v>
      </c>
      <c r="H27809" s="21">
        <v>592.91999999999996</v>
      </c>
    </row>
    <row r="27810" spans="1:8" customFormat="1" x14ac:dyDescent="0.25">
      <c r="A27810" t="str">
        <f>"368170"</f>
        <v>368170</v>
      </c>
      <c r="B27810" t="s">
        <v>21747</v>
      </c>
      <c r="C27810" t="s">
        <v>187</v>
      </c>
      <c r="D27810" s="21" t="s">
        <v>34</v>
      </c>
      <c r="E27810" s="21" t="s">
        <v>35</v>
      </c>
      <c r="F27810">
        <v>4360728</v>
      </c>
      <c r="G27810" t="s">
        <v>12735</v>
      </c>
      <c r="H27810" s="21">
        <v>592.91999999999996</v>
      </c>
    </row>
    <row r="27811" spans="1:8" customFormat="1" x14ac:dyDescent="0.25">
      <c r="A27811" t="str">
        <f>"565111"</f>
        <v>565111</v>
      </c>
      <c r="B27811" t="s">
        <v>650</v>
      </c>
      <c r="C27811" t="s">
        <v>236</v>
      </c>
      <c r="D27811" s="21" t="s">
        <v>34</v>
      </c>
      <c r="E27811" s="21" t="s">
        <v>254</v>
      </c>
      <c r="F27811">
        <v>3560064</v>
      </c>
      <c r="G27811" t="s">
        <v>18764</v>
      </c>
      <c r="H27811" s="21">
        <v>592.91999999999996</v>
      </c>
    </row>
    <row r="27812" spans="1:8" customFormat="1" x14ac:dyDescent="0.25">
      <c r="A27812" t="str">
        <f>"813920"</f>
        <v>813920</v>
      </c>
      <c r="B27812" t="s">
        <v>6393</v>
      </c>
      <c r="C27812" t="s">
        <v>19746</v>
      </c>
      <c r="D27812" s="21" t="s">
        <v>34</v>
      </c>
      <c r="E27812" s="21" t="s">
        <v>1089</v>
      </c>
      <c r="F27812">
        <v>11810030</v>
      </c>
      <c r="G27812" t="s">
        <v>27055</v>
      </c>
      <c r="H27812" s="21">
        <v>592.79</v>
      </c>
    </row>
    <row r="27813" spans="1:8" customFormat="1" x14ac:dyDescent="0.25">
      <c r="A27813" t="str">
        <f>"414677"</f>
        <v>414677</v>
      </c>
      <c r="B27813" t="s">
        <v>20441</v>
      </c>
      <c r="C27813" t="s">
        <v>169</v>
      </c>
      <c r="D27813" s="21" t="s">
        <v>34</v>
      </c>
      <c r="E27813" s="21" t="s">
        <v>71</v>
      </c>
      <c r="F27813">
        <v>4410015</v>
      </c>
      <c r="G27813" t="s">
        <v>2223</v>
      </c>
      <c r="H27813" s="21">
        <v>592.66999999999996</v>
      </c>
    </row>
    <row r="27814" spans="1:8" customFormat="1" x14ac:dyDescent="0.25">
      <c r="A27814" t="str">
        <f>"3813396"</f>
        <v>3813396</v>
      </c>
      <c r="B27814" t="s">
        <v>11860</v>
      </c>
      <c r="C27814" t="s">
        <v>1468</v>
      </c>
      <c r="D27814" s="21" t="s">
        <v>34</v>
      </c>
      <c r="E27814" s="21" t="s">
        <v>35</v>
      </c>
      <c r="F27814">
        <v>1380076</v>
      </c>
      <c r="G27814" t="s">
        <v>8543</v>
      </c>
      <c r="H27814" s="21">
        <v>592.66999999999996</v>
      </c>
    </row>
    <row r="27815" spans="1:8" customFormat="1" x14ac:dyDescent="0.25">
      <c r="A27815" t="str">
        <f>"5325392"</f>
        <v>5325392</v>
      </c>
      <c r="B27815" t="s">
        <v>1527</v>
      </c>
      <c r="C27815" t="s">
        <v>119</v>
      </c>
      <c r="D27815" s="21" t="s">
        <v>34</v>
      </c>
      <c r="E27815" s="21" t="s">
        <v>35</v>
      </c>
      <c r="F27815">
        <v>12530070</v>
      </c>
      <c r="G27815" t="s">
        <v>4905</v>
      </c>
      <c r="H27815" s="21">
        <v>592.66999999999996</v>
      </c>
    </row>
    <row r="27816" spans="1:8" customFormat="1" x14ac:dyDescent="0.25">
      <c r="A27816" t="str">
        <f>"4450578"</f>
        <v>4450578</v>
      </c>
      <c r="B27816" t="s">
        <v>20168</v>
      </c>
      <c r="C27816" t="s">
        <v>415</v>
      </c>
      <c r="D27816" s="21" t="s">
        <v>34</v>
      </c>
      <c r="E27816" s="21" t="s">
        <v>254</v>
      </c>
      <c r="F27816">
        <v>12440260</v>
      </c>
      <c r="G27816" t="s">
        <v>26759</v>
      </c>
      <c r="H27816" s="21">
        <v>592.66999999999996</v>
      </c>
    </row>
    <row r="27817" spans="1:8" customFormat="1" x14ac:dyDescent="0.25">
      <c r="A27817" t="str">
        <f>"44742"</f>
        <v>44742</v>
      </c>
      <c r="B27817" t="s">
        <v>1886</v>
      </c>
      <c r="C27817" t="s">
        <v>2520</v>
      </c>
      <c r="D27817" s="21" t="s">
        <v>34</v>
      </c>
      <c r="E27817" s="21" t="s">
        <v>6185</v>
      </c>
      <c r="F27817">
        <v>12440021</v>
      </c>
      <c r="G27817" t="s">
        <v>429</v>
      </c>
      <c r="H27817" s="21">
        <v>592.66999999999996</v>
      </c>
    </row>
    <row r="27818" spans="1:8" customFormat="1" x14ac:dyDescent="0.25">
      <c r="A27818" t="str">
        <f>"396834"</f>
        <v>396834</v>
      </c>
      <c r="B27818" t="s">
        <v>8265</v>
      </c>
      <c r="C27818" t="s">
        <v>171</v>
      </c>
      <c r="D27818" s="21" t="s">
        <v>34</v>
      </c>
      <c r="E27818" s="21" t="s">
        <v>35</v>
      </c>
      <c r="F27818">
        <v>2390089</v>
      </c>
      <c r="G27818" t="s">
        <v>5194</v>
      </c>
      <c r="H27818" s="21">
        <v>592.66999999999996</v>
      </c>
    </row>
    <row r="27819" spans="1:8" customFormat="1" x14ac:dyDescent="0.25">
      <c r="A27819" t="str">
        <f>"5964504"</f>
        <v>5964504</v>
      </c>
      <c r="B27819" t="s">
        <v>2582</v>
      </c>
      <c r="C27819" t="s">
        <v>1812</v>
      </c>
      <c r="D27819" s="21" t="s">
        <v>34</v>
      </c>
      <c r="E27819" s="21" t="s">
        <v>254</v>
      </c>
      <c r="F27819">
        <v>7590075</v>
      </c>
      <c r="G27819" t="s">
        <v>6459</v>
      </c>
      <c r="H27819" s="21">
        <v>592.66999999999996</v>
      </c>
    </row>
    <row r="27820" spans="1:8" customFormat="1" x14ac:dyDescent="0.25">
      <c r="A27820" t="str">
        <f>"1311079"</f>
        <v>1311079</v>
      </c>
      <c r="B27820" t="s">
        <v>19715</v>
      </c>
      <c r="C27820" t="s">
        <v>1110</v>
      </c>
      <c r="D27820" s="21" t="s">
        <v>34</v>
      </c>
      <c r="E27820" s="21" t="s">
        <v>254</v>
      </c>
      <c r="F27820">
        <v>13130156</v>
      </c>
      <c r="G27820" t="s">
        <v>16738</v>
      </c>
      <c r="H27820" s="21">
        <v>592.66999999999996</v>
      </c>
    </row>
    <row r="27821" spans="1:8" customFormat="1" x14ac:dyDescent="0.25">
      <c r="A27821" t="str">
        <f>"9D487"</f>
        <v>9D487</v>
      </c>
      <c r="B27821" t="s">
        <v>12122</v>
      </c>
      <c r="C27821" t="s">
        <v>6514</v>
      </c>
      <c r="D27821" s="21" t="s">
        <v>34</v>
      </c>
      <c r="E27821" s="21" t="s">
        <v>254</v>
      </c>
      <c r="F27821" t="s">
        <v>2462</v>
      </c>
      <c r="G27821" t="s">
        <v>2463</v>
      </c>
      <c r="H27821" s="21">
        <v>592.66999999999996</v>
      </c>
    </row>
    <row r="27822" spans="1:8" customFormat="1" x14ac:dyDescent="0.25">
      <c r="A27822" t="str">
        <f>"8019063"</f>
        <v>8019063</v>
      </c>
      <c r="B27822" t="s">
        <v>2010</v>
      </c>
      <c r="C27822" t="s">
        <v>65</v>
      </c>
      <c r="D27822" s="21" t="s">
        <v>34</v>
      </c>
      <c r="E27822" s="21" t="s">
        <v>35</v>
      </c>
      <c r="F27822">
        <v>7800006</v>
      </c>
      <c r="G27822" t="s">
        <v>6365</v>
      </c>
      <c r="H27822" s="21">
        <v>592.66999999999996</v>
      </c>
    </row>
    <row r="27823" spans="1:8" customFormat="1" x14ac:dyDescent="0.25">
      <c r="A27823" t="str">
        <f>"4916433"</f>
        <v>4916433</v>
      </c>
      <c r="B27823" t="s">
        <v>19870</v>
      </c>
      <c r="C27823" t="s">
        <v>87</v>
      </c>
      <c r="D27823" s="21" t="s">
        <v>34</v>
      </c>
      <c r="E27823" s="21" t="s">
        <v>35</v>
      </c>
      <c r="F27823">
        <v>10330011</v>
      </c>
      <c r="G27823" t="s">
        <v>1789</v>
      </c>
      <c r="H27823" s="21">
        <v>592.66999999999996</v>
      </c>
    </row>
    <row r="27824" spans="1:8" customFormat="1" x14ac:dyDescent="0.25">
      <c r="A27824" t="str">
        <f>"846872"</f>
        <v>846872</v>
      </c>
      <c r="B27824" t="s">
        <v>1886</v>
      </c>
      <c r="C27824" t="s">
        <v>415</v>
      </c>
      <c r="D27824" s="21" t="s">
        <v>34</v>
      </c>
      <c r="E27824" s="21" t="s">
        <v>71</v>
      </c>
      <c r="F27824">
        <v>13840001</v>
      </c>
      <c r="G27824" t="s">
        <v>972</v>
      </c>
      <c r="H27824" s="21">
        <v>592.66999999999996</v>
      </c>
    </row>
    <row r="27825" spans="1:8" customFormat="1" x14ac:dyDescent="0.25">
      <c r="A27825" t="str">
        <f>"7877107"</f>
        <v>7877107</v>
      </c>
      <c r="B27825" t="s">
        <v>14205</v>
      </c>
      <c r="C27825" t="s">
        <v>249</v>
      </c>
      <c r="D27825" s="21" t="s">
        <v>34</v>
      </c>
      <c r="E27825" s="21" t="s">
        <v>71</v>
      </c>
      <c r="F27825">
        <v>8781266</v>
      </c>
      <c r="G27825" t="s">
        <v>26704</v>
      </c>
      <c r="H27825" s="21">
        <v>592.66999999999996</v>
      </c>
    </row>
    <row r="27826" spans="1:8" customFormat="1" x14ac:dyDescent="0.25">
      <c r="A27826" t="str">
        <f>"2924820"</f>
        <v>2924820</v>
      </c>
      <c r="B27826" t="s">
        <v>19820</v>
      </c>
      <c r="C27826" t="s">
        <v>1025</v>
      </c>
      <c r="D27826" s="21" t="s">
        <v>34</v>
      </c>
      <c r="E27826" s="21" t="s">
        <v>71</v>
      </c>
      <c r="F27826">
        <v>3290026</v>
      </c>
      <c r="G27826" t="s">
        <v>7421</v>
      </c>
      <c r="H27826" s="21">
        <v>592.66999999999996</v>
      </c>
    </row>
    <row r="27827" spans="1:8" customFormat="1" x14ac:dyDescent="0.25">
      <c r="A27827" t="str">
        <f>"619979"</f>
        <v>619979</v>
      </c>
      <c r="B27827" t="s">
        <v>2873</v>
      </c>
      <c r="C27827" t="s">
        <v>209</v>
      </c>
      <c r="D27827" s="21" t="s">
        <v>34</v>
      </c>
      <c r="E27827" s="21" t="s">
        <v>35</v>
      </c>
      <c r="F27827">
        <v>9610148</v>
      </c>
      <c r="G27827" t="s">
        <v>8163</v>
      </c>
      <c r="H27827" s="21">
        <v>592.66999999999996</v>
      </c>
    </row>
    <row r="27828" spans="1:8" customFormat="1" x14ac:dyDescent="0.25">
      <c r="A27828" t="str">
        <f>"8517391"</f>
        <v>8517391</v>
      </c>
      <c r="B27828" t="s">
        <v>20552</v>
      </c>
      <c r="C27828" t="s">
        <v>206</v>
      </c>
      <c r="D27828" s="21" t="s">
        <v>34</v>
      </c>
      <c r="E27828" s="21" t="s">
        <v>35</v>
      </c>
      <c r="F27828">
        <v>12850016</v>
      </c>
      <c r="G27828" t="s">
        <v>26554</v>
      </c>
      <c r="H27828" s="21">
        <v>592.66999999999996</v>
      </c>
    </row>
    <row r="27829" spans="1:8" customFormat="1" x14ac:dyDescent="0.25">
      <c r="A27829" t="str">
        <f>"864433"</f>
        <v>864433</v>
      </c>
      <c r="B27829" t="s">
        <v>18404</v>
      </c>
      <c r="C27829" t="s">
        <v>2520</v>
      </c>
      <c r="D27829" s="21" t="s">
        <v>34</v>
      </c>
      <c r="E27829" s="21" t="s">
        <v>71</v>
      </c>
      <c r="F27829">
        <v>10860038</v>
      </c>
      <c r="G27829" t="s">
        <v>8925</v>
      </c>
      <c r="H27829" s="21">
        <v>592.66999999999996</v>
      </c>
    </row>
    <row r="27830" spans="1:8" customFormat="1" x14ac:dyDescent="0.25">
      <c r="A27830" t="str">
        <f>"8529039"</f>
        <v>8529039</v>
      </c>
      <c r="B27830" t="s">
        <v>28010</v>
      </c>
      <c r="C27830" t="s">
        <v>109</v>
      </c>
      <c r="D27830" s="21" t="s">
        <v>34</v>
      </c>
      <c r="E27830" s="21" t="s">
        <v>35</v>
      </c>
      <c r="F27830">
        <v>12850063</v>
      </c>
      <c r="G27830" t="s">
        <v>10302</v>
      </c>
      <c r="H27830" s="21">
        <v>592.66999999999996</v>
      </c>
    </row>
    <row r="27831" spans="1:8" customFormat="1" x14ac:dyDescent="0.25">
      <c r="A27831" t="str">
        <f>"9123871"</f>
        <v>9123871</v>
      </c>
      <c r="B27831" t="s">
        <v>19776</v>
      </c>
      <c r="C27831" t="s">
        <v>124</v>
      </c>
      <c r="D27831" s="21" t="s">
        <v>34</v>
      </c>
      <c r="E27831" s="21" t="s">
        <v>254</v>
      </c>
      <c r="F27831">
        <v>3560053</v>
      </c>
      <c r="G27831" t="s">
        <v>298</v>
      </c>
      <c r="H27831" s="21">
        <v>592.66999999999996</v>
      </c>
    </row>
    <row r="27832" spans="1:8" customFormat="1" x14ac:dyDescent="0.25">
      <c r="A27832" t="str">
        <f>"553707"</f>
        <v>553707</v>
      </c>
      <c r="B27832" t="s">
        <v>28011</v>
      </c>
      <c r="C27832" t="s">
        <v>124</v>
      </c>
      <c r="D27832" s="21" t="s">
        <v>34</v>
      </c>
      <c r="E27832" s="21" t="s">
        <v>71</v>
      </c>
      <c r="F27832">
        <v>6540034</v>
      </c>
      <c r="G27832" t="s">
        <v>2211</v>
      </c>
      <c r="H27832" s="21">
        <v>592.66999999999996</v>
      </c>
    </row>
    <row r="27833" spans="1:8" customFormat="1" x14ac:dyDescent="0.25">
      <c r="A27833" t="str">
        <f>"7922539"</f>
        <v>7922539</v>
      </c>
      <c r="B27833" t="s">
        <v>19213</v>
      </c>
      <c r="C27833" t="s">
        <v>60</v>
      </c>
      <c r="D27833" s="21" t="s">
        <v>34</v>
      </c>
      <c r="E27833" s="21" t="s">
        <v>35</v>
      </c>
      <c r="F27833">
        <v>10790009</v>
      </c>
      <c r="G27833" t="s">
        <v>1155</v>
      </c>
      <c r="H27833" s="21">
        <v>592.66999999999996</v>
      </c>
    </row>
    <row r="27834" spans="1:8" customFormat="1" x14ac:dyDescent="0.25">
      <c r="A27834" t="str">
        <f>"868033"</f>
        <v>868033</v>
      </c>
      <c r="B27834" t="s">
        <v>18348</v>
      </c>
      <c r="C27834" t="s">
        <v>2435</v>
      </c>
      <c r="D27834" s="21" t="s">
        <v>34</v>
      </c>
      <c r="E27834" s="21" t="s">
        <v>71</v>
      </c>
      <c r="F27834">
        <v>10860015</v>
      </c>
      <c r="G27834" t="s">
        <v>3680</v>
      </c>
      <c r="H27834" s="21">
        <v>592.66999999999996</v>
      </c>
    </row>
    <row r="27835" spans="1:8" customFormat="1" x14ac:dyDescent="0.25">
      <c r="A27835" t="str">
        <f>"3512420"</f>
        <v>3512420</v>
      </c>
      <c r="B27835" t="s">
        <v>4921</v>
      </c>
      <c r="C27835" t="s">
        <v>198</v>
      </c>
      <c r="D27835" s="21" t="s">
        <v>34</v>
      </c>
      <c r="E27835" s="21" t="s">
        <v>71</v>
      </c>
      <c r="F27835">
        <v>3350156</v>
      </c>
      <c r="G27835" t="s">
        <v>18238</v>
      </c>
      <c r="H27835" s="21">
        <v>592.66999999999996</v>
      </c>
    </row>
    <row r="27836" spans="1:8" customFormat="1" x14ac:dyDescent="0.25">
      <c r="A27836" t="str">
        <f>"848070"</f>
        <v>848070</v>
      </c>
      <c r="B27836" t="s">
        <v>20351</v>
      </c>
      <c r="C27836" t="s">
        <v>121</v>
      </c>
      <c r="D27836" s="21" t="s">
        <v>34</v>
      </c>
      <c r="E27836" s="21" t="s">
        <v>71</v>
      </c>
      <c r="F27836">
        <v>13840062</v>
      </c>
      <c r="G27836" t="s">
        <v>17239</v>
      </c>
      <c r="H27836" s="21">
        <v>592.66999999999996</v>
      </c>
    </row>
    <row r="27837" spans="1:8" customFormat="1" x14ac:dyDescent="0.25">
      <c r="A27837" t="str">
        <f>"9519463"</f>
        <v>9519463</v>
      </c>
      <c r="B27837" t="s">
        <v>650</v>
      </c>
      <c r="C27837" t="s">
        <v>598</v>
      </c>
      <c r="D27837" s="21" t="s">
        <v>34</v>
      </c>
      <c r="E27837" s="21" t="s">
        <v>1089</v>
      </c>
      <c r="F27837">
        <v>8950083</v>
      </c>
      <c r="G27837" t="s">
        <v>405</v>
      </c>
      <c r="H27837" s="21">
        <v>592.41999999999996</v>
      </c>
    </row>
    <row r="27838" spans="1:8" customFormat="1" x14ac:dyDescent="0.25">
      <c r="A27838" t="str">
        <f>"011613"</f>
        <v>011613</v>
      </c>
      <c r="B27838" t="s">
        <v>17671</v>
      </c>
      <c r="C27838" t="s">
        <v>198</v>
      </c>
      <c r="D27838" s="21" t="s">
        <v>34</v>
      </c>
      <c r="E27838" s="21" t="s">
        <v>35</v>
      </c>
      <c r="F27838">
        <v>1010023</v>
      </c>
      <c r="G27838" t="s">
        <v>2174</v>
      </c>
      <c r="H27838" s="21">
        <v>592.29</v>
      </c>
    </row>
    <row r="27839" spans="1:8" customFormat="1" x14ac:dyDescent="0.25">
      <c r="A27839" t="str">
        <f>"9219663"</f>
        <v>9219663</v>
      </c>
      <c r="B27839" t="s">
        <v>1601</v>
      </c>
      <c r="C27839" t="s">
        <v>1142</v>
      </c>
      <c r="D27839" s="21" t="s">
        <v>34</v>
      </c>
      <c r="E27839" s="21" t="s">
        <v>6185</v>
      </c>
      <c r="F27839">
        <v>8920075</v>
      </c>
      <c r="G27839" t="s">
        <v>317</v>
      </c>
      <c r="H27839" s="21">
        <v>592.16999999999996</v>
      </c>
    </row>
    <row r="27840" spans="1:8" customFormat="1" x14ac:dyDescent="0.25">
      <c r="A27840" t="str">
        <f>"5323419"</f>
        <v>5323419</v>
      </c>
      <c r="B27840" t="s">
        <v>3972</v>
      </c>
      <c r="C27840" t="s">
        <v>62</v>
      </c>
      <c r="D27840" s="21" t="s">
        <v>34</v>
      </c>
      <c r="E27840" s="21" t="s">
        <v>35</v>
      </c>
      <c r="F27840">
        <v>12530105</v>
      </c>
      <c r="G27840" t="s">
        <v>4136</v>
      </c>
      <c r="H27840" s="21">
        <v>592.16999999999996</v>
      </c>
    </row>
    <row r="27841" spans="1:8" customFormat="1" x14ac:dyDescent="0.25">
      <c r="A27841" t="str">
        <f>"4439207"</f>
        <v>4439207</v>
      </c>
      <c r="B27841" t="s">
        <v>10802</v>
      </c>
      <c r="C27841" t="s">
        <v>608</v>
      </c>
      <c r="D27841" s="21" t="s">
        <v>34</v>
      </c>
      <c r="E27841" s="21" t="s">
        <v>71</v>
      </c>
      <c r="F27841">
        <v>12440019</v>
      </c>
      <c r="G27841" t="s">
        <v>7258</v>
      </c>
      <c r="H27841" s="21">
        <v>592.16999999999996</v>
      </c>
    </row>
    <row r="27842" spans="1:8" customFormat="1" x14ac:dyDescent="0.25">
      <c r="A27842" t="str">
        <f>"7625293"</f>
        <v>7625293</v>
      </c>
      <c r="B27842" t="s">
        <v>18571</v>
      </c>
      <c r="C27842" t="s">
        <v>2529</v>
      </c>
      <c r="D27842" s="21" t="s">
        <v>34</v>
      </c>
      <c r="E27842" s="21" t="s">
        <v>71</v>
      </c>
      <c r="F27842">
        <v>9760374</v>
      </c>
      <c r="G27842" t="s">
        <v>6867</v>
      </c>
      <c r="H27842" s="21">
        <v>592.16999999999996</v>
      </c>
    </row>
    <row r="27843" spans="1:8" customFormat="1" x14ac:dyDescent="0.25">
      <c r="A27843" t="str">
        <f>"5113479"</f>
        <v>5113479</v>
      </c>
      <c r="B27843" t="s">
        <v>12658</v>
      </c>
      <c r="C27843" t="s">
        <v>720</v>
      </c>
      <c r="D27843" s="21" t="s">
        <v>34</v>
      </c>
      <c r="E27843" s="21" t="s">
        <v>254</v>
      </c>
      <c r="F27843">
        <v>6510008</v>
      </c>
      <c r="G27843" t="s">
        <v>26622</v>
      </c>
      <c r="H27843" s="21">
        <v>592.16999999999996</v>
      </c>
    </row>
    <row r="27844" spans="1:8" customFormat="1" x14ac:dyDescent="0.25">
      <c r="A27844" t="str">
        <f>"4450794"</f>
        <v>4450794</v>
      </c>
      <c r="B27844" t="s">
        <v>2762</v>
      </c>
      <c r="C27844" t="s">
        <v>65</v>
      </c>
      <c r="D27844" s="21" t="s">
        <v>34</v>
      </c>
      <c r="E27844" s="21" t="s">
        <v>35</v>
      </c>
      <c r="F27844">
        <v>12440139</v>
      </c>
      <c r="G27844" t="s">
        <v>2655</v>
      </c>
      <c r="H27844" s="21">
        <v>592.16999999999996</v>
      </c>
    </row>
    <row r="27845" spans="1:8" customFormat="1" x14ac:dyDescent="0.25">
      <c r="A27845" t="str">
        <f>"376553"</f>
        <v>376553</v>
      </c>
      <c r="B27845" t="s">
        <v>3067</v>
      </c>
      <c r="C27845" t="s">
        <v>2365</v>
      </c>
      <c r="D27845" s="21" t="s">
        <v>34</v>
      </c>
      <c r="E27845" s="21" t="s">
        <v>254</v>
      </c>
      <c r="F27845">
        <v>4370001</v>
      </c>
      <c r="G27845" t="s">
        <v>957</v>
      </c>
      <c r="H27845" s="21">
        <v>592.16999999999996</v>
      </c>
    </row>
    <row r="27846" spans="1:8" customFormat="1" x14ac:dyDescent="0.25">
      <c r="A27846" t="str">
        <f>"6926369"</f>
        <v>6926369</v>
      </c>
      <c r="B27846" t="s">
        <v>2883</v>
      </c>
      <c r="C27846" t="s">
        <v>209</v>
      </c>
      <c r="D27846" s="21" t="s">
        <v>34</v>
      </c>
      <c r="E27846" s="21" t="s">
        <v>71</v>
      </c>
      <c r="F27846">
        <v>1690058</v>
      </c>
      <c r="G27846" t="s">
        <v>1644</v>
      </c>
      <c r="H27846" s="21">
        <v>592.16999999999996</v>
      </c>
    </row>
    <row r="27847" spans="1:8" customFormat="1" x14ac:dyDescent="0.25">
      <c r="A27847" t="str">
        <f>"6935414"</f>
        <v>6935414</v>
      </c>
      <c r="B27847" t="s">
        <v>21009</v>
      </c>
      <c r="C27847" t="s">
        <v>4623</v>
      </c>
      <c r="D27847" s="21" t="s">
        <v>34</v>
      </c>
      <c r="E27847" s="21" t="s">
        <v>71</v>
      </c>
      <c r="F27847">
        <v>1690062</v>
      </c>
      <c r="G27847" t="s">
        <v>5907</v>
      </c>
      <c r="H27847" s="21">
        <v>592.16999999999996</v>
      </c>
    </row>
    <row r="27848" spans="1:8" customFormat="1" x14ac:dyDescent="0.25">
      <c r="A27848" t="str">
        <f>"9123804"</f>
        <v>9123804</v>
      </c>
      <c r="B27848" t="s">
        <v>3972</v>
      </c>
      <c r="C27848" t="s">
        <v>3073</v>
      </c>
      <c r="D27848" s="21" t="s">
        <v>34</v>
      </c>
      <c r="E27848" s="21" t="s">
        <v>254</v>
      </c>
      <c r="F27848">
        <v>10170049</v>
      </c>
      <c r="G27848" t="s">
        <v>15023</v>
      </c>
      <c r="H27848" s="21">
        <v>592.16999999999996</v>
      </c>
    </row>
    <row r="27849" spans="1:8" customFormat="1" x14ac:dyDescent="0.25">
      <c r="A27849" t="str">
        <f>"1319635"</f>
        <v>1319635</v>
      </c>
      <c r="B27849" t="s">
        <v>22640</v>
      </c>
      <c r="C27849" t="s">
        <v>486</v>
      </c>
      <c r="D27849" s="21" t="s">
        <v>34</v>
      </c>
      <c r="E27849" s="21" t="s">
        <v>35</v>
      </c>
      <c r="F27849">
        <v>13130022</v>
      </c>
      <c r="G27849" t="s">
        <v>2666</v>
      </c>
      <c r="H27849" s="21">
        <v>592.16999999999996</v>
      </c>
    </row>
    <row r="27850" spans="1:8" customFormat="1" x14ac:dyDescent="0.25">
      <c r="A27850" t="str">
        <f>"051046"</f>
        <v>051046</v>
      </c>
      <c r="B27850" t="s">
        <v>19433</v>
      </c>
      <c r="C27850" t="s">
        <v>1597</v>
      </c>
      <c r="D27850" s="21" t="s">
        <v>34</v>
      </c>
      <c r="E27850" s="21" t="s">
        <v>254</v>
      </c>
      <c r="F27850">
        <v>13050026</v>
      </c>
      <c r="G27850" t="s">
        <v>18179</v>
      </c>
      <c r="H27850" s="21">
        <v>592.16999999999996</v>
      </c>
    </row>
    <row r="27851" spans="1:8" customFormat="1" x14ac:dyDescent="0.25">
      <c r="A27851" t="str">
        <f>"621383"</f>
        <v>621383</v>
      </c>
      <c r="B27851" t="s">
        <v>20359</v>
      </c>
      <c r="C27851" t="s">
        <v>2479</v>
      </c>
      <c r="D27851" s="21" t="s">
        <v>34</v>
      </c>
      <c r="E27851" s="21" t="s">
        <v>1089</v>
      </c>
      <c r="F27851">
        <v>7620139</v>
      </c>
      <c r="G27851" t="s">
        <v>2061</v>
      </c>
      <c r="H27851" s="21">
        <v>592.16999999999996</v>
      </c>
    </row>
    <row r="27852" spans="1:8" customFormat="1" x14ac:dyDescent="0.25">
      <c r="A27852" t="str">
        <f>"8520550"</f>
        <v>8520550</v>
      </c>
      <c r="B27852" t="s">
        <v>18869</v>
      </c>
      <c r="C27852" t="s">
        <v>564</v>
      </c>
      <c r="D27852" s="21" t="s">
        <v>34</v>
      </c>
      <c r="E27852" s="21" t="s">
        <v>254</v>
      </c>
      <c r="F27852">
        <v>12850108</v>
      </c>
      <c r="G27852" t="s">
        <v>11093</v>
      </c>
      <c r="H27852" s="21">
        <v>592.16999999999996</v>
      </c>
    </row>
    <row r="27853" spans="1:8" customFormat="1" x14ac:dyDescent="0.25">
      <c r="A27853" t="str">
        <f>"6110258"</f>
        <v>6110258</v>
      </c>
      <c r="B27853" t="s">
        <v>2240</v>
      </c>
      <c r="C27853" t="s">
        <v>1146</v>
      </c>
      <c r="D27853" s="21" t="s">
        <v>34</v>
      </c>
      <c r="E27853" s="21" t="s">
        <v>71</v>
      </c>
      <c r="F27853">
        <v>9610009</v>
      </c>
      <c r="G27853" t="s">
        <v>282</v>
      </c>
      <c r="H27853" s="21">
        <v>592.16999999999996</v>
      </c>
    </row>
    <row r="27854" spans="1:8" customFormat="1" x14ac:dyDescent="0.25">
      <c r="A27854" t="str">
        <f>"7820132"</f>
        <v>7820132</v>
      </c>
      <c r="B27854" t="s">
        <v>21122</v>
      </c>
      <c r="C27854" t="s">
        <v>55</v>
      </c>
      <c r="D27854" s="21" t="s">
        <v>34</v>
      </c>
      <c r="E27854" s="21" t="s">
        <v>71</v>
      </c>
      <c r="F27854">
        <v>8780224</v>
      </c>
      <c r="G27854" t="s">
        <v>8599</v>
      </c>
      <c r="H27854" s="21">
        <v>592.16999999999996</v>
      </c>
    </row>
    <row r="27855" spans="1:8" customFormat="1" x14ac:dyDescent="0.25">
      <c r="A27855" t="str">
        <f>"5323518"</f>
        <v>5323518</v>
      </c>
      <c r="B27855" t="s">
        <v>461</v>
      </c>
      <c r="C27855" t="s">
        <v>967</v>
      </c>
      <c r="D27855" s="21" t="s">
        <v>34</v>
      </c>
      <c r="E27855" s="21" t="s">
        <v>35</v>
      </c>
      <c r="F27855">
        <v>12538899</v>
      </c>
      <c r="G27855" t="s">
        <v>10436</v>
      </c>
      <c r="H27855" s="21">
        <v>592.16999999999996</v>
      </c>
    </row>
    <row r="27856" spans="1:8" customFormat="1" x14ac:dyDescent="0.25">
      <c r="A27856" t="str">
        <f>"2212397"</f>
        <v>2212397</v>
      </c>
      <c r="B27856" t="s">
        <v>16320</v>
      </c>
      <c r="C27856" t="s">
        <v>598</v>
      </c>
      <c r="D27856" s="21" t="s">
        <v>34</v>
      </c>
      <c r="E27856" s="21" t="s">
        <v>71</v>
      </c>
      <c r="F27856">
        <v>3220013</v>
      </c>
      <c r="G27856" t="s">
        <v>27198</v>
      </c>
      <c r="H27856" s="21">
        <v>592.16999999999996</v>
      </c>
    </row>
    <row r="27857" spans="1:8" customFormat="1" x14ac:dyDescent="0.25">
      <c r="A27857" t="str">
        <f>"2929936"</f>
        <v>2929936</v>
      </c>
      <c r="B27857" t="s">
        <v>22344</v>
      </c>
      <c r="C27857" t="s">
        <v>608</v>
      </c>
      <c r="D27857" s="21" t="s">
        <v>34</v>
      </c>
      <c r="E27857" s="21" t="s">
        <v>35</v>
      </c>
      <c r="F27857">
        <v>3290278</v>
      </c>
      <c r="G27857" t="s">
        <v>3649</v>
      </c>
      <c r="H27857" s="21">
        <v>592.16999999999996</v>
      </c>
    </row>
    <row r="27858" spans="1:8" customFormat="1" x14ac:dyDescent="0.25">
      <c r="A27858" t="str">
        <f>"7879336"</f>
        <v>7879336</v>
      </c>
      <c r="B27858" t="s">
        <v>28012</v>
      </c>
      <c r="C27858" t="s">
        <v>459</v>
      </c>
      <c r="D27858" s="21" t="s">
        <v>34</v>
      </c>
      <c r="E27858" s="21" t="s">
        <v>35</v>
      </c>
      <c r="F27858">
        <v>8780584</v>
      </c>
      <c r="G27858" t="s">
        <v>18410</v>
      </c>
      <c r="H27858" s="21">
        <v>592.16999999999996</v>
      </c>
    </row>
    <row r="27859" spans="1:8" customFormat="1" x14ac:dyDescent="0.25">
      <c r="A27859" t="str">
        <f>"6313270"</f>
        <v>6313270</v>
      </c>
      <c r="B27859" t="s">
        <v>20155</v>
      </c>
      <c r="C27859" t="s">
        <v>249</v>
      </c>
      <c r="D27859" s="21" t="s">
        <v>34</v>
      </c>
      <c r="E27859" s="21" t="s">
        <v>71</v>
      </c>
      <c r="F27859">
        <v>1630288</v>
      </c>
      <c r="G27859" t="s">
        <v>20156</v>
      </c>
      <c r="H27859" s="21">
        <v>592.16999999999996</v>
      </c>
    </row>
    <row r="27860" spans="1:8" customFormat="1" x14ac:dyDescent="0.25">
      <c r="A27860" t="str">
        <f>"9125583"</f>
        <v>9125583</v>
      </c>
      <c r="B27860" t="s">
        <v>28013</v>
      </c>
      <c r="C27860" t="s">
        <v>28014</v>
      </c>
      <c r="D27860" s="21" t="s">
        <v>34</v>
      </c>
      <c r="E27860" s="21" t="s">
        <v>1089</v>
      </c>
      <c r="F27860">
        <v>2210037</v>
      </c>
      <c r="G27860" t="s">
        <v>16889</v>
      </c>
      <c r="H27860" s="21">
        <v>592.04</v>
      </c>
    </row>
    <row r="27861" spans="1:8" customFormat="1" x14ac:dyDescent="0.25">
      <c r="A27861" t="str">
        <f>"7913377"</f>
        <v>7913377</v>
      </c>
      <c r="B27861" t="s">
        <v>21002</v>
      </c>
      <c r="C27861" t="s">
        <v>1474</v>
      </c>
      <c r="D27861" s="21" t="s">
        <v>34</v>
      </c>
      <c r="E27861" s="21" t="s">
        <v>35</v>
      </c>
      <c r="F27861">
        <v>10870109</v>
      </c>
      <c r="G27861" t="s">
        <v>5199</v>
      </c>
      <c r="H27861" s="21">
        <v>591.91999999999996</v>
      </c>
    </row>
    <row r="27862" spans="1:8" customFormat="1" x14ac:dyDescent="0.25">
      <c r="A27862" t="str">
        <f>"27856"</f>
        <v>27856</v>
      </c>
      <c r="B27862" t="s">
        <v>20801</v>
      </c>
      <c r="C27862" t="s">
        <v>547</v>
      </c>
      <c r="D27862" s="21" t="s">
        <v>34</v>
      </c>
      <c r="E27862" s="21" t="s">
        <v>1089</v>
      </c>
      <c r="F27862">
        <v>9760351</v>
      </c>
      <c r="G27862" t="s">
        <v>5898</v>
      </c>
      <c r="H27862" s="21">
        <v>591.91999999999996</v>
      </c>
    </row>
    <row r="27863" spans="1:8" customFormat="1" x14ac:dyDescent="0.25">
      <c r="A27863" t="str">
        <f>"44712"</f>
        <v>44712</v>
      </c>
      <c r="B27863" t="s">
        <v>19510</v>
      </c>
      <c r="C27863" t="s">
        <v>412</v>
      </c>
      <c r="D27863" s="21" t="s">
        <v>34</v>
      </c>
      <c r="E27863" s="21" t="s">
        <v>1089</v>
      </c>
      <c r="F27863">
        <v>12440021</v>
      </c>
      <c r="G27863" t="s">
        <v>429</v>
      </c>
      <c r="H27863" s="21">
        <v>591.91999999999996</v>
      </c>
    </row>
    <row r="27864" spans="1:8" customFormat="1" x14ac:dyDescent="0.25">
      <c r="A27864" t="str">
        <f>"3723027"</f>
        <v>3723027</v>
      </c>
      <c r="B27864" t="s">
        <v>21722</v>
      </c>
      <c r="C27864" t="s">
        <v>65</v>
      </c>
      <c r="D27864" s="21" t="s">
        <v>34</v>
      </c>
      <c r="E27864" s="21" t="s">
        <v>35</v>
      </c>
      <c r="F27864">
        <v>4370146</v>
      </c>
      <c r="G27864" t="s">
        <v>10990</v>
      </c>
      <c r="H27864" s="21">
        <v>591.79</v>
      </c>
    </row>
    <row r="27865" spans="1:8" customFormat="1" x14ac:dyDescent="0.25">
      <c r="A27865" t="str">
        <f>"847766"</f>
        <v>847766</v>
      </c>
      <c r="B27865" t="s">
        <v>186</v>
      </c>
      <c r="C27865" t="s">
        <v>149</v>
      </c>
      <c r="D27865" s="21" t="s">
        <v>34</v>
      </c>
      <c r="E27865" s="21" t="s">
        <v>35</v>
      </c>
      <c r="F27865">
        <v>13840038</v>
      </c>
      <c r="G27865" t="s">
        <v>8931</v>
      </c>
      <c r="H27865" s="21">
        <v>591.79</v>
      </c>
    </row>
    <row r="27866" spans="1:8" customFormat="1" x14ac:dyDescent="0.25">
      <c r="A27866" t="str">
        <f>"066584"</f>
        <v>066584</v>
      </c>
      <c r="B27866" t="s">
        <v>8046</v>
      </c>
      <c r="C27866" t="s">
        <v>169</v>
      </c>
      <c r="D27866" s="21" t="s">
        <v>34</v>
      </c>
      <c r="E27866" s="21" t="s">
        <v>71</v>
      </c>
      <c r="F27866">
        <v>13060064</v>
      </c>
      <c r="G27866" t="s">
        <v>976</v>
      </c>
      <c r="H27866" s="21">
        <v>591.66999999999996</v>
      </c>
    </row>
    <row r="27867" spans="1:8" customFormat="1" x14ac:dyDescent="0.25">
      <c r="A27867" t="str">
        <f>"6717363"</f>
        <v>6717363</v>
      </c>
      <c r="B27867" t="s">
        <v>19666</v>
      </c>
      <c r="C27867" t="s">
        <v>204</v>
      </c>
      <c r="D27867" s="21" t="s">
        <v>34</v>
      </c>
      <c r="E27867" s="21" t="s">
        <v>71</v>
      </c>
      <c r="F27867">
        <v>6670064</v>
      </c>
      <c r="G27867" t="s">
        <v>9358</v>
      </c>
      <c r="H27867" s="21">
        <v>591.66999999999996</v>
      </c>
    </row>
    <row r="27868" spans="1:8" customFormat="1" x14ac:dyDescent="0.25">
      <c r="A27868" t="str">
        <f>"3532335"</f>
        <v>3532335</v>
      </c>
      <c r="B27868" t="s">
        <v>19725</v>
      </c>
      <c r="C27868" t="s">
        <v>1132</v>
      </c>
      <c r="D27868" s="21" t="s">
        <v>34</v>
      </c>
      <c r="E27868" s="21" t="s">
        <v>71</v>
      </c>
      <c r="F27868">
        <v>3350209</v>
      </c>
      <c r="G27868" t="s">
        <v>3023</v>
      </c>
      <c r="H27868" s="21">
        <v>591.66999999999996</v>
      </c>
    </row>
    <row r="27869" spans="1:8" customFormat="1" x14ac:dyDescent="0.25">
      <c r="A27869" t="str">
        <f>"0810669"</f>
        <v>0810669</v>
      </c>
      <c r="B27869" t="s">
        <v>20258</v>
      </c>
      <c r="C27869" t="s">
        <v>328</v>
      </c>
      <c r="D27869" s="21" t="s">
        <v>34</v>
      </c>
      <c r="E27869" s="21" t="s">
        <v>35</v>
      </c>
      <c r="F27869">
        <v>6080096</v>
      </c>
      <c r="G27869" t="s">
        <v>20259</v>
      </c>
      <c r="H27869" s="21">
        <v>591.66999999999996</v>
      </c>
    </row>
    <row r="27870" spans="1:8" customFormat="1" x14ac:dyDescent="0.25">
      <c r="A27870" t="str">
        <f>"3013635"</f>
        <v>3013635</v>
      </c>
      <c r="B27870" t="s">
        <v>19693</v>
      </c>
      <c r="C27870" t="s">
        <v>469</v>
      </c>
      <c r="D27870" s="21" t="s">
        <v>34</v>
      </c>
      <c r="E27870" s="21" t="s">
        <v>71</v>
      </c>
      <c r="F27870">
        <v>11300025</v>
      </c>
      <c r="G27870" t="s">
        <v>1211</v>
      </c>
      <c r="H27870" s="21">
        <v>591.66999999999996</v>
      </c>
    </row>
    <row r="27871" spans="1:8" customFormat="1" x14ac:dyDescent="0.25">
      <c r="A27871" t="str">
        <f>"6110898"</f>
        <v>6110898</v>
      </c>
      <c r="B27871" t="s">
        <v>1103</v>
      </c>
      <c r="C27871" t="s">
        <v>87</v>
      </c>
      <c r="D27871" s="21" t="s">
        <v>34</v>
      </c>
      <c r="E27871" s="21" t="s">
        <v>35</v>
      </c>
      <c r="F27871">
        <v>9610130</v>
      </c>
      <c r="G27871" t="s">
        <v>18435</v>
      </c>
      <c r="H27871" s="21">
        <v>591.66999999999996</v>
      </c>
    </row>
    <row r="27872" spans="1:8" customFormat="1" x14ac:dyDescent="0.25">
      <c r="A27872" t="str">
        <f>"9144748"</f>
        <v>9144748</v>
      </c>
      <c r="B27872" t="s">
        <v>5673</v>
      </c>
      <c r="C27872" t="s">
        <v>87</v>
      </c>
      <c r="D27872" s="21" t="s">
        <v>34</v>
      </c>
      <c r="E27872" s="21" t="s">
        <v>71</v>
      </c>
      <c r="F27872">
        <v>8910214</v>
      </c>
      <c r="G27872" t="s">
        <v>986</v>
      </c>
      <c r="H27872" s="21">
        <v>591.66999999999996</v>
      </c>
    </row>
    <row r="27873" spans="1:8" customFormat="1" x14ac:dyDescent="0.25">
      <c r="A27873" t="str">
        <f>"807612"</f>
        <v>807612</v>
      </c>
      <c r="B27873" t="s">
        <v>2883</v>
      </c>
      <c r="C27873" t="s">
        <v>263</v>
      </c>
      <c r="D27873" s="21" t="s">
        <v>34</v>
      </c>
      <c r="E27873" s="21" t="s">
        <v>254</v>
      </c>
      <c r="F27873">
        <v>7800003</v>
      </c>
      <c r="G27873" t="s">
        <v>276</v>
      </c>
      <c r="H27873" s="21">
        <v>591.66999999999996</v>
      </c>
    </row>
    <row r="27874" spans="1:8" customFormat="1" x14ac:dyDescent="0.25">
      <c r="A27874" t="str">
        <f>"5984207"</f>
        <v>5984207</v>
      </c>
      <c r="B27874" t="s">
        <v>18650</v>
      </c>
      <c r="C27874" t="s">
        <v>60</v>
      </c>
      <c r="D27874" s="21" t="s">
        <v>34</v>
      </c>
      <c r="E27874" s="21" t="s">
        <v>35</v>
      </c>
      <c r="F27874">
        <v>7590058</v>
      </c>
      <c r="G27874" t="s">
        <v>5044</v>
      </c>
      <c r="H27874" s="21">
        <v>591.66999999999996</v>
      </c>
    </row>
    <row r="27875" spans="1:8" customFormat="1" x14ac:dyDescent="0.25">
      <c r="A27875" t="str">
        <f>"617284"</f>
        <v>617284</v>
      </c>
      <c r="B27875" t="s">
        <v>20152</v>
      </c>
      <c r="C27875" t="s">
        <v>269</v>
      </c>
      <c r="D27875" s="21" t="s">
        <v>34</v>
      </c>
      <c r="E27875" s="21" t="s">
        <v>71</v>
      </c>
      <c r="F27875">
        <v>9610104</v>
      </c>
      <c r="G27875" t="s">
        <v>7197</v>
      </c>
      <c r="H27875" s="21">
        <v>591.66999999999996</v>
      </c>
    </row>
    <row r="27876" spans="1:8" customFormat="1" x14ac:dyDescent="0.25">
      <c r="A27876" t="str">
        <f>"288692"</f>
        <v>288692</v>
      </c>
      <c r="B27876" t="s">
        <v>19579</v>
      </c>
      <c r="C27876" t="s">
        <v>253</v>
      </c>
      <c r="D27876" s="21" t="s">
        <v>34</v>
      </c>
      <c r="E27876" s="21" t="s">
        <v>71</v>
      </c>
      <c r="F27876">
        <v>4280529</v>
      </c>
      <c r="G27876" t="s">
        <v>2970</v>
      </c>
      <c r="H27876" s="21">
        <v>591.66999999999996</v>
      </c>
    </row>
    <row r="27877" spans="1:8" customFormat="1" x14ac:dyDescent="0.25">
      <c r="A27877" t="str">
        <f>"4455231"</f>
        <v>4455231</v>
      </c>
      <c r="B27877" t="s">
        <v>4975</v>
      </c>
      <c r="C27877" t="s">
        <v>249</v>
      </c>
      <c r="D27877" s="21" t="s">
        <v>34</v>
      </c>
      <c r="E27877" s="21" t="s">
        <v>71</v>
      </c>
      <c r="F27877">
        <v>12440142</v>
      </c>
      <c r="G27877" t="s">
        <v>3285</v>
      </c>
      <c r="H27877" s="21">
        <v>591.66999999999996</v>
      </c>
    </row>
    <row r="27878" spans="1:8" customFormat="1" x14ac:dyDescent="0.25">
      <c r="A27878" t="str">
        <f>"7924299"</f>
        <v>7924299</v>
      </c>
      <c r="B27878" t="s">
        <v>9000</v>
      </c>
      <c r="C27878" t="s">
        <v>1853</v>
      </c>
      <c r="D27878" s="21" t="s">
        <v>34</v>
      </c>
      <c r="E27878" s="21" t="s">
        <v>35</v>
      </c>
      <c r="F27878">
        <v>10790024</v>
      </c>
      <c r="G27878" t="s">
        <v>8674</v>
      </c>
      <c r="H27878" s="21">
        <v>591.66999999999996</v>
      </c>
    </row>
    <row r="27879" spans="1:8" customFormat="1" x14ac:dyDescent="0.25">
      <c r="A27879" t="str">
        <f>"3335841"</f>
        <v>3335841</v>
      </c>
      <c r="B27879" t="s">
        <v>21133</v>
      </c>
      <c r="C27879" t="s">
        <v>119</v>
      </c>
      <c r="D27879" s="21" t="s">
        <v>34</v>
      </c>
      <c r="E27879" s="21" t="s">
        <v>71</v>
      </c>
      <c r="F27879">
        <v>10330078</v>
      </c>
      <c r="G27879" t="s">
        <v>7597</v>
      </c>
      <c r="H27879" s="21">
        <v>591.66999999999996</v>
      </c>
    </row>
    <row r="27880" spans="1:8" customFormat="1" x14ac:dyDescent="0.25">
      <c r="A27880" t="str">
        <f>"6226898"</f>
        <v>6226898</v>
      </c>
      <c r="B27880" t="s">
        <v>19593</v>
      </c>
      <c r="C27880" t="s">
        <v>1271</v>
      </c>
      <c r="D27880" s="21" t="s">
        <v>34</v>
      </c>
      <c r="E27880" s="21" t="s">
        <v>1089</v>
      </c>
      <c r="F27880">
        <v>7620165</v>
      </c>
      <c r="G27880" t="s">
        <v>6254</v>
      </c>
      <c r="H27880" s="21">
        <v>591.66999999999996</v>
      </c>
    </row>
    <row r="27881" spans="1:8" customFormat="1" x14ac:dyDescent="0.25">
      <c r="A27881" t="str">
        <f>"5961252"</f>
        <v>5961252</v>
      </c>
      <c r="B27881" t="s">
        <v>20711</v>
      </c>
      <c r="C27881" t="s">
        <v>275</v>
      </c>
      <c r="D27881" s="21" t="s">
        <v>34</v>
      </c>
      <c r="E27881" s="21" t="s">
        <v>35</v>
      </c>
      <c r="F27881">
        <v>7590419</v>
      </c>
      <c r="G27881" t="s">
        <v>8051</v>
      </c>
      <c r="H27881" s="21">
        <v>591.66999999999996</v>
      </c>
    </row>
    <row r="27882" spans="1:8" customFormat="1" x14ac:dyDescent="0.25">
      <c r="A27882" t="str">
        <f>"4455614"</f>
        <v>4455614</v>
      </c>
      <c r="B27882" t="s">
        <v>20185</v>
      </c>
      <c r="C27882" t="s">
        <v>781</v>
      </c>
      <c r="D27882" s="21" t="s">
        <v>34</v>
      </c>
      <c r="E27882" s="21" t="s">
        <v>35</v>
      </c>
      <c r="F27882">
        <v>12440260</v>
      </c>
      <c r="G27882" t="s">
        <v>26759</v>
      </c>
      <c r="H27882" s="21">
        <v>591.66999999999996</v>
      </c>
    </row>
    <row r="27883" spans="1:8" customFormat="1" x14ac:dyDescent="0.25">
      <c r="A27883" t="str">
        <f>"6024380"</f>
        <v>6024380</v>
      </c>
      <c r="B27883" t="s">
        <v>10415</v>
      </c>
      <c r="C27883" t="s">
        <v>55</v>
      </c>
      <c r="D27883" s="21" t="s">
        <v>34</v>
      </c>
      <c r="E27883" s="21" t="s">
        <v>71</v>
      </c>
      <c r="F27883">
        <v>7600046</v>
      </c>
      <c r="G27883" t="s">
        <v>2604</v>
      </c>
      <c r="H27883" s="21">
        <v>591.54</v>
      </c>
    </row>
    <row r="27884" spans="1:8" customFormat="1" x14ac:dyDescent="0.25">
      <c r="A27884" t="str">
        <f>"3344185"</f>
        <v>3344185</v>
      </c>
      <c r="B27884" t="s">
        <v>1802</v>
      </c>
      <c r="C27884" t="s">
        <v>285</v>
      </c>
      <c r="D27884" s="21" t="s">
        <v>34</v>
      </c>
      <c r="E27884" s="21" t="s">
        <v>35</v>
      </c>
      <c r="F27884">
        <v>10330080</v>
      </c>
      <c r="G27884" t="s">
        <v>5634</v>
      </c>
      <c r="H27884" s="21">
        <v>591.54</v>
      </c>
    </row>
    <row r="27885" spans="1:8" customFormat="1" x14ac:dyDescent="0.25">
      <c r="A27885" t="str">
        <f>"4939374"</f>
        <v>4939374</v>
      </c>
      <c r="B27885" t="s">
        <v>13929</v>
      </c>
      <c r="C27885" t="s">
        <v>2356</v>
      </c>
      <c r="D27885" s="21" t="s">
        <v>34</v>
      </c>
      <c r="E27885" s="21" t="s">
        <v>35</v>
      </c>
      <c r="F27885">
        <v>12490120</v>
      </c>
      <c r="G27885" t="s">
        <v>2316</v>
      </c>
      <c r="H27885" s="21">
        <v>591.5</v>
      </c>
    </row>
    <row r="27886" spans="1:8" customFormat="1" x14ac:dyDescent="0.25">
      <c r="A27886" t="str">
        <f>"9139828"</f>
        <v>9139828</v>
      </c>
      <c r="B27886" t="s">
        <v>20141</v>
      </c>
      <c r="C27886" t="s">
        <v>156</v>
      </c>
      <c r="D27886" s="21" t="s">
        <v>34</v>
      </c>
      <c r="E27886" s="21" t="s">
        <v>71</v>
      </c>
      <c r="F27886">
        <v>8910434</v>
      </c>
      <c r="G27886" t="s">
        <v>681</v>
      </c>
      <c r="H27886" s="21">
        <v>591.41999999999996</v>
      </c>
    </row>
    <row r="27887" spans="1:8" customFormat="1" x14ac:dyDescent="0.25">
      <c r="A27887" t="str">
        <f>"5113142"</f>
        <v>5113142</v>
      </c>
      <c r="B27887" t="s">
        <v>28015</v>
      </c>
      <c r="C27887" t="s">
        <v>87</v>
      </c>
      <c r="D27887" s="21" t="s">
        <v>34</v>
      </c>
      <c r="E27887" s="21" t="s">
        <v>71</v>
      </c>
      <c r="F27887">
        <v>6510054</v>
      </c>
      <c r="G27887" t="s">
        <v>10062</v>
      </c>
      <c r="H27887" s="21">
        <v>591.41999999999996</v>
      </c>
    </row>
    <row r="27888" spans="1:8" customFormat="1" x14ac:dyDescent="0.25">
      <c r="A27888" t="str">
        <f>"616823"</f>
        <v>616823</v>
      </c>
      <c r="B27888" t="s">
        <v>25255</v>
      </c>
      <c r="C27888" t="s">
        <v>415</v>
      </c>
      <c r="D27888" s="21" t="s">
        <v>34</v>
      </c>
      <c r="E27888" s="21" t="s">
        <v>71</v>
      </c>
      <c r="F27888">
        <v>9610087</v>
      </c>
      <c r="G27888" t="s">
        <v>2661</v>
      </c>
      <c r="H27888" s="21">
        <v>591.29</v>
      </c>
    </row>
    <row r="27889" spans="1:8" customFormat="1" x14ac:dyDescent="0.25">
      <c r="A27889" t="str">
        <f>"7720730"</f>
        <v>7720730</v>
      </c>
      <c r="B27889" t="s">
        <v>6187</v>
      </c>
      <c r="C27889" t="s">
        <v>1146</v>
      </c>
      <c r="D27889" s="21" t="s">
        <v>34</v>
      </c>
      <c r="E27889" s="21" t="s">
        <v>1089</v>
      </c>
      <c r="F27889">
        <v>8771184</v>
      </c>
      <c r="G27889" t="s">
        <v>137</v>
      </c>
      <c r="H27889" s="21">
        <v>591.29</v>
      </c>
    </row>
    <row r="27890" spans="1:8" customFormat="1" x14ac:dyDescent="0.25">
      <c r="A27890" t="str">
        <f>"245581"</f>
        <v>245581</v>
      </c>
      <c r="B27890" t="s">
        <v>3664</v>
      </c>
      <c r="C27890" t="s">
        <v>119</v>
      </c>
      <c r="D27890" s="21" t="s">
        <v>34</v>
      </c>
      <c r="E27890" s="21" t="s">
        <v>35</v>
      </c>
      <c r="F27890">
        <v>10240007</v>
      </c>
      <c r="G27890" t="s">
        <v>2326</v>
      </c>
      <c r="H27890" s="21">
        <v>591.16999999999996</v>
      </c>
    </row>
    <row r="27891" spans="1:8" customFormat="1" x14ac:dyDescent="0.25">
      <c r="A27891" t="str">
        <f>"879174"</f>
        <v>879174</v>
      </c>
      <c r="B27891" t="s">
        <v>1074</v>
      </c>
      <c r="C27891" t="s">
        <v>608</v>
      </c>
      <c r="D27891" s="21" t="s">
        <v>34</v>
      </c>
      <c r="E27891" s="21" t="s">
        <v>71</v>
      </c>
      <c r="F27891">
        <v>10870081</v>
      </c>
      <c r="G27891" t="s">
        <v>6698</v>
      </c>
      <c r="H27891" s="21">
        <v>591.16999999999996</v>
      </c>
    </row>
    <row r="27892" spans="1:8" customFormat="1" x14ac:dyDescent="0.25">
      <c r="A27892" t="str">
        <f>"589983"</f>
        <v>589983</v>
      </c>
      <c r="B27892" t="s">
        <v>20437</v>
      </c>
      <c r="C27892" t="s">
        <v>664</v>
      </c>
      <c r="D27892" s="21" t="s">
        <v>34</v>
      </c>
      <c r="E27892" s="21" t="s">
        <v>35</v>
      </c>
      <c r="F27892">
        <v>2580067</v>
      </c>
      <c r="G27892" t="s">
        <v>8999</v>
      </c>
      <c r="H27892" s="21">
        <v>591.16999999999996</v>
      </c>
    </row>
    <row r="27893" spans="1:8" customFormat="1" x14ac:dyDescent="0.25">
      <c r="A27893" t="str">
        <f>"1716893"</f>
        <v>1716893</v>
      </c>
      <c r="B27893" t="s">
        <v>7114</v>
      </c>
      <c r="C27893" t="s">
        <v>12593</v>
      </c>
      <c r="D27893" s="21" t="s">
        <v>34</v>
      </c>
      <c r="E27893" s="21" t="s">
        <v>35</v>
      </c>
      <c r="F27893">
        <v>10170004</v>
      </c>
      <c r="G27893" t="s">
        <v>12405</v>
      </c>
      <c r="H27893" s="21">
        <v>591.16999999999996</v>
      </c>
    </row>
    <row r="27894" spans="1:8" customFormat="1" x14ac:dyDescent="0.25">
      <c r="A27894" t="str">
        <f>"905639"</f>
        <v>905639</v>
      </c>
      <c r="B27894" t="s">
        <v>1892</v>
      </c>
      <c r="C27894" t="s">
        <v>3109</v>
      </c>
      <c r="D27894" s="21" t="s">
        <v>34</v>
      </c>
      <c r="E27894" s="21" t="s">
        <v>71</v>
      </c>
      <c r="F27894">
        <v>2900015</v>
      </c>
      <c r="G27894" t="s">
        <v>10349</v>
      </c>
      <c r="H27894" s="21">
        <v>591.16999999999996</v>
      </c>
    </row>
    <row r="27895" spans="1:8" customFormat="1" x14ac:dyDescent="0.25">
      <c r="A27895" t="str">
        <f>"6314256"</f>
        <v>6314256</v>
      </c>
      <c r="B27895" t="s">
        <v>28016</v>
      </c>
      <c r="C27895" t="s">
        <v>772</v>
      </c>
      <c r="D27895" s="21" t="s">
        <v>34</v>
      </c>
      <c r="E27895" s="21" t="s">
        <v>1089</v>
      </c>
      <c r="F27895">
        <v>1630241</v>
      </c>
      <c r="G27895" t="s">
        <v>4519</v>
      </c>
      <c r="H27895" s="21">
        <v>591.16999999999996</v>
      </c>
    </row>
    <row r="27896" spans="1:8" customFormat="1" x14ac:dyDescent="0.25">
      <c r="A27896" t="str">
        <f>"8510162"</f>
        <v>8510162</v>
      </c>
      <c r="B27896" t="s">
        <v>10725</v>
      </c>
      <c r="C27896" t="s">
        <v>263</v>
      </c>
      <c r="D27896" s="21" t="s">
        <v>34</v>
      </c>
      <c r="E27896" s="21" t="s">
        <v>35</v>
      </c>
      <c r="F27896">
        <v>12850162</v>
      </c>
      <c r="G27896" t="s">
        <v>15095</v>
      </c>
      <c r="H27896" s="21">
        <v>591.16999999999996</v>
      </c>
    </row>
    <row r="27897" spans="1:8" customFormat="1" x14ac:dyDescent="0.25">
      <c r="A27897" t="str">
        <f>"9526879"</f>
        <v>9526879</v>
      </c>
      <c r="B27897" t="s">
        <v>19942</v>
      </c>
      <c r="C27897" t="s">
        <v>139</v>
      </c>
      <c r="D27897" s="21" t="s">
        <v>34</v>
      </c>
      <c r="E27897" s="21" t="s">
        <v>35</v>
      </c>
      <c r="F27897">
        <v>8951273</v>
      </c>
      <c r="G27897" t="s">
        <v>2382</v>
      </c>
      <c r="H27897" s="21">
        <v>591.16999999999996</v>
      </c>
    </row>
    <row r="27898" spans="1:8" customFormat="1" x14ac:dyDescent="0.25">
      <c r="A27898" t="str">
        <f>"8522388"</f>
        <v>8522388</v>
      </c>
      <c r="B27898" t="s">
        <v>551</v>
      </c>
      <c r="C27898" t="s">
        <v>1231</v>
      </c>
      <c r="D27898" s="21" t="s">
        <v>34</v>
      </c>
      <c r="E27898" s="21" t="s">
        <v>71</v>
      </c>
      <c r="F27898">
        <v>12850111</v>
      </c>
      <c r="G27898" t="s">
        <v>9234</v>
      </c>
      <c r="H27898" s="21">
        <v>591.16999999999996</v>
      </c>
    </row>
    <row r="27899" spans="1:8" customFormat="1" x14ac:dyDescent="0.25">
      <c r="A27899" t="str">
        <f>"8519954"</f>
        <v>8519954</v>
      </c>
      <c r="B27899" t="s">
        <v>5867</v>
      </c>
      <c r="C27899" t="s">
        <v>2520</v>
      </c>
      <c r="D27899" s="21" t="s">
        <v>34</v>
      </c>
      <c r="E27899" s="21" t="s">
        <v>254</v>
      </c>
      <c r="F27899">
        <v>12850131</v>
      </c>
      <c r="G27899" t="s">
        <v>4392</v>
      </c>
      <c r="H27899" s="21">
        <v>591.16999999999996</v>
      </c>
    </row>
    <row r="27900" spans="1:8" customFormat="1" x14ac:dyDescent="0.25">
      <c r="A27900" t="str">
        <f>"2926684"</f>
        <v>2926684</v>
      </c>
      <c r="B27900" t="s">
        <v>2308</v>
      </c>
      <c r="C27900" t="s">
        <v>187</v>
      </c>
      <c r="D27900" s="21" t="s">
        <v>34</v>
      </c>
      <c r="E27900" s="21" t="s">
        <v>71</v>
      </c>
      <c r="F27900">
        <v>3290019</v>
      </c>
      <c r="G27900" t="s">
        <v>4452</v>
      </c>
      <c r="H27900" s="21">
        <v>591.16999999999996</v>
      </c>
    </row>
    <row r="27901" spans="1:8" customFormat="1" x14ac:dyDescent="0.25">
      <c r="A27901" t="str">
        <f>"797751"</f>
        <v>797751</v>
      </c>
      <c r="B27901" t="s">
        <v>7698</v>
      </c>
      <c r="C27901" t="s">
        <v>415</v>
      </c>
      <c r="D27901" s="21" t="s">
        <v>34</v>
      </c>
      <c r="E27901" s="21" t="s">
        <v>1089</v>
      </c>
      <c r="F27901">
        <v>10790025</v>
      </c>
      <c r="G27901" t="s">
        <v>1218</v>
      </c>
      <c r="H27901" s="21">
        <v>591</v>
      </c>
    </row>
    <row r="27902" spans="1:8" customFormat="1" x14ac:dyDescent="0.25">
      <c r="A27902" t="str">
        <f>"8614147"</f>
        <v>8614147</v>
      </c>
      <c r="B27902" t="s">
        <v>21580</v>
      </c>
      <c r="C27902" t="s">
        <v>1708</v>
      </c>
      <c r="D27902" s="21" t="s">
        <v>34</v>
      </c>
      <c r="E27902" s="21" t="s">
        <v>35</v>
      </c>
      <c r="F27902">
        <v>10860149</v>
      </c>
      <c r="G27902" t="s">
        <v>17376</v>
      </c>
      <c r="H27902" s="21">
        <v>590.91999999999996</v>
      </c>
    </row>
    <row r="27903" spans="1:8" customFormat="1" x14ac:dyDescent="0.25">
      <c r="A27903" t="str">
        <f>"609730"</f>
        <v>609730</v>
      </c>
      <c r="B27903" t="s">
        <v>20894</v>
      </c>
      <c r="C27903" t="s">
        <v>40</v>
      </c>
      <c r="D27903" s="21" t="s">
        <v>34</v>
      </c>
      <c r="E27903" s="21" t="s">
        <v>71</v>
      </c>
      <c r="F27903">
        <v>7600008</v>
      </c>
      <c r="G27903" t="s">
        <v>4646</v>
      </c>
      <c r="H27903" s="21">
        <v>590.79</v>
      </c>
    </row>
    <row r="27904" spans="1:8" customFormat="1" x14ac:dyDescent="0.25">
      <c r="A27904" t="str">
        <f>"125168"</f>
        <v>125168</v>
      </c>
      <c r="B27904" t="s">
        <v>21078</v>
      </c>
      <c r="C27904" t="s">
        <v>236</v>
      </c>
      <c r="D27904" s="21" t="s">
        <v>34</v>
      </c>
      <c r="E27904" s="21" t="s">
        <v>71</v>
      </c>
      <c r="F27904">
        <v>11120026</v>
      </c>
      <c r="G27904" t="s">
        <v>9107</v>
      </c>
      <c r="H27904" s="21">
        <v>590.79</v>
      </c>
    </row>
    <row r="27905" spans="1:8" customFormat="1" x14ac:dyDescent="0.25">
      <c r="A27905" t="str">
        <f>"7730761"</f>
        <v>7730761</v>
      </c>
      <c r="B27905" t="s">
        <v>21421</v>
      </c>
      <c r="C27905" t="s">
        <v>11797</v>
      </c>
      <c r="D27905" s="21" t="s">
        <v>34</v>
      </c>
      <c r="E27905" s="21" t="s">
        <v>35</v>
      </c>
      <c r="F27905">
        <v>8770988</v>
      </c>
      <c r="G27905" t="s">
        <v>6334</v>
      </c>
      <c r="H27905" s="21">
        <v>590.66999999999996</v>
      </c>
    </row>
    <row r="27906" spans="1:8" customFormat="1" x14ac:dyDescent="0.25">
      <c r="A27906" t="str">
        <f>"123156"</f>
        <v>123156</v>
      </c>
      <c r="B27906" t="s">
        <v>20144</v>
      </c>
      <c r="C27906" t="s">
        <v>3010</v>
      </c>
      <c r="D27906" s="21" t="s">
        <v>34</v>
      </c>
      <c r="E27906" s="21" t="s">
        <v>254</v>
      </c>
      <c r="F27906">
        <v>11120044</v>
      </c>
      <c r="G27906" t="s">
        <v>15823</v>
      </c>
      <c r="H27906" s="21">
        <v>590.66999999999996</v>
      </c>
    </row>
    <row r="27907" spans="1:8" customFormat="1" x14ac:dyDescent="0.25">
      <c r="A27907" t="str">
        <f>"6811195"</f>
        <v>6811195</v>
      </c>
      <c r="B27907" t="s">
        <v>18059</v>
      </c>
      <c r="C27907" t="s">
        <v>2276</v>
      </c>
      <c r="D27907" s="21" t="s">
        <v>34</v>
      </c>
      <c r="E27907" s="21" t="s">
        <v>254</v>
      </c>
      <c r="F27907">
        <v>6680135</v>
      </c>
      <c r="G27907" t="s">
        <v>14743</v>
      </c>
      <c r="H27907" s="21">
        <v>590.66999999999996</v>
      </c>
    </row>
    <row r="27908" spans="1:8" customFormat="1" x14ac:dyDescent="0.25">
      <c r="A27908" t="str">
        <f>"7625683"</f>
        <v>7625683</v>
      </c>
      <c r="B27908" t="s">
        <v>4315</v>
      </c>
      <c r="C27908" t="s">
        <v>598</v>
      </c>
      <c r="D27908" s="21" t="s">
        <v>34</v>
      </c>
      <c r="E27908" s="21" t="s">
        <v>71</v>
      </c>
      <c r="F27908">
        <v>9760034</v>
      </c>
      <c r="G27908" t="s">
        <v>1242</v>
      </c>
      <c r="H27908" s="21">
        <v>590.66999999999996</v>
      </c>
    </row>
    <row r="27909" spans="1:8" customFormat="1" x14ac:dyDescent="0.25">
      <c r="A27909" t="str">
        <f>"2219889"</f>
        <v>2219889</v>
      </c>
      <c r="B27909" t="s">
        <v>2210</v>
      </c>
      <c r="C27909" t="s">
        <v>139</v>
      </c>
      <c r="D27909" s="21" t="s">
        <v>34</v>
      </c>
      <c r="E27909" s="21" t="s">
        <v>35</v>
      </c>
      <c r="F27909">
        <v>3220139</v>
      </c>
      <c r="G27909" t="s">
        <v>27114</v>
      </c>
      <c r="H27909" s="21">
        <v>590.66999999999996</v>
      </c>
    </row>
    <row r="27910" spans="1:8" customFormat="1" x14ac:dyDescent="0.25">
      <c r="A27910" t="str">
        <f>"3829720"</f>
        <v>3829720</v>
      </c>
      <c r="B27910" t="s">
        <v>1525</v>
      </c>
      <c r="C27910" t="s">
        <v>1946</v>
      </c>
      <c r="D27910" s="21" t="s">
        <v>34</v>
      </c>
      <c r="E27910" s="21" t="s">
        <v>35</v>
      </c>
      <c r="F27910">
        <v>1380173</v>
      </c>
      <c r="G27910" t="s">
        <v>9553</v>
      </c>
      <c r="H27910" s="21">
        <v>590.66999999999996</v>
      </c>
    </row>
    <row r="27911" spans="1:8" customFormat="1" x14ac:dyDescent="0.25">
      <c r="A27911" t="str">
        <f>"737864"</f>
        <v>737864</v>
      </c>
      <c r="B27911" t="s">
        <v>19971</v>
      </c>
      <c r="C27911" t="s">
        <v>60</v>
      </c>
      <c r="D27911" s="21" t="s">
        <v>34</v>
      </c>
      <c r="E27911" s="21" t="s">
        <v>35</v>
      </c>
      <c r="F27911">
        <v>1730076</v>
      </c>
      <c r="G27911" t="s">
        <v>936</v>
      </c>
      <c r="H27911" s="21">
        <v>590.66999999999996</v>
      </c>
    </row>
    <row r="27912" spans="1:8" customFormat="1" x14ac:dyDescent="0.25">
      <c r="A27912" t="str">
        <f>"7639706"</f>
        <v>7639706</v>
      </c>
      <c r="B27912" t="s">
        <v>1198</v>
      </c>
      <c r="C27912" t="s">
        <v>169</v>
      </c>
      <c r="D27912" s="21" t="s">
        <v>34</v>
      </c>
      <c r="E27912" s="21" t="s">
        <v>35</v>
      </c>
      <c r="F27912">
        <v>9760039</v>
      </c>
      <c r="G27912" t="s">
        <v>9501</v>
      </c>
      <c r="H27912" s="21">
        <v>590.66999999999996</v>
      </c>
    </row>
    <row r="27913" spans="1:8" customFormat="1" x14ac:dyDescent="0.25">
      <c r="A27913" t="str">
        <f>"4437855"</f>
        <v>4437855</v>
      </c>
      <c r="B27913" t="s">
        <v>6921</v>
      </c>
      <c r="C27913" t="s">
        <v>55</v>
      </c>
      <c r="D27913" s="21" t="s">
        <v>34</v>
      </c>
      <c r="E27913" s="21" t="s">
        <v>35</v>
      </c>
      <c r="F27913">
        <v>12440174</v>
      </c>
      <c r="G27913" t="s">
        <v>27498</v>
      </c>
      <c r="H27913" s="21">
        <v>590.66999999999996</v>
      </c>
    </row>
    <row r="27914" spans="1:8" customFormat="1" x14ac:dyDescent="0.25">
      <c r="A27914" t="str">
        <f>"6232146"</f>
        <v>6232146</v>
      </c>
      <c r="B27914" t="s">
        <v>7035</v>
      </c>
      <c r="C27914" t="s">
        <v>1146</v>
      </c>
      <c r="D27914" s="21" t="s">
        <v>34</v>
      </c>
      <c r="E27914" s="21" t="s">
        <v>71</v>
      </c>
      <c r="F27914">
        <v>7620044</v>
      </c>
      <c r="G27914" t="s">
        <v>2961</v>
      </c>
      <c r="H27914" s="21">
        <v>590.66999999999996</v>
      </c>
    </row>
    <row r="27915" spans="1:8" customFormat="1" x14ac:dyDescent="0.25">
      <c r="A27915" t="str">
        <f>"2711753"</f>
        <v>2711753</v>
      </c>
      <c r="B27915" t="s">
        <v>21176</v>
      </c>
      <c r="C27915" t="s">
        <v>202</v>
      </c>
      <c r="D27915" s="21" t="s">
        <v>34</v>
      </c>
      <c r="E27915" s="21" t="s">
        <v>254</v>
      </c>
      <c r="F27915">
        <v>9270176</v>
      </c>
      <c r="G27915" t="s">
        <v>5799</v>
      </c>
      <c r="H27915" s="21">
        <v>590.66999999999996</v>
      </c>
    </row>
    <row r="27916" spans="1:8" customFormat="1" x14ac:dyDescent="0.25">
      <c r="A27916" t="str">
        <f>"8511037"</f>
        <v>8511037</v>
      </c>
      <c r="B27916" t="s">
        <v>2010</v>
      </c>
      <c r="C27916" t="s">
        <v>114</v>
      </c>
      <c r="D27916" s="21" t="s">
        <v>34</v>
      </c>
      <c r="E27916" s="21" t="s">
        <v>71</v>
      </c>
      <c r="F27916">
        <v>12850046</v>
      </c>
      <c r="G27916" t="s">
        <v>3136</v>
      </c>
      <c r="H27916" s="21">
        <v>590.66999999999996</v>
      </c>
    </row>
    <row r="27917" spans="1:8" customFormat="1" x14ac:dyDescent="0.25">
      <c r="A27917" t="str">
        <f>"7623871"</f>
        <v>7623871</v>
      </c>
      <c r="B27917" t="s">
        <v>19607</v>
      </c>
      <c r="C27917" t="s">
        <v>598</v>
      </c>
      <c r="D27917" s="21" t="s">
        <v>34</v>
      </c>
      <c r="E27917" s="21" t="s">
        <v>71</v>
      </c>
      <c r="F27917">
        <v>9760430</v>
      </c>
      <c r="G27917" t="s">
        <v>11565</v>
      </c>
      <c r="H27917" s="21">
        <v>590.66999999999996</v>
      </c>
    </row>
    <row r="27918" spans="1:8" customFormat="1" x14ac:dyDescent="0.25">
      <c r="A27918" t="str">
        <f>"7725377"</f>
        <v>7725377</v>
      </c>
      <c r="B27918" t="s">
        <v>19513</v>
      </c>
      <c r="C27918" t="s">
        <v>124</v>
      </c>
      <c r="D27918" s="21" t="s">
        <v>34</v>
      </c>
      <c r="E27918" s="21" t="s">
        <v>71</v>
      </c>
      <c r="F27918">
        <v>8770377</v>
      </c>
      <c r="G27918" t="s">
        <v>4862</v>
      </c>
      <c r="H27918" s="21">
        <v>590.66999999999996</v>
      </c>
    </row>
    <row r="27919" spans="1:8" customFormat="1" x14ac:dyDescent="0.25">
      <c r="A27919" t="str">
        <f>"7522696"</f>
        <v>7522696</v>
      </c>
      <c r="B27919" t="s">
        <v>3077</v>
      </c>
      <c r="C27919" t="s">
        <v>28017</v>
      </c>
      <c r="D27919" s="21" t="s">
        <v>34</v>
      </c>
      <c r="E27919" s="21" t="s">
        <v>35</v>
      </c>
      <c r="F27919">
        <v>8751163</v>
      </c>
      <c r="G27919" t="s">
        <v>80</v>
      </c>
      <c r="H27919" s="21">
        <v>590.66999999999996</v>
      </c>
    </row>
    <row r="27920" spans="1:8" customFormat="1" x14ac:dyDescent="0.25">
      <c r="A27920" t="str">
        <f>"0114082"</f>
        <v>0114082</v>
      </c>
      <c r="B27920" t="s">
        <v>28018</v>
      </c>
      <c r="C27920" t="s">
        <v>486</v>
      </c>
      <c r="D27920" s="21" t="s">
        <v>34</v>
      </c>
      <c r="E27920" s="21" t="s">
        <v>71</v>
      </c>
      <c r="F27920">
        <v>1010023</v>
      </c>
      <c r="G27920" t="s">
        <v>2174</v>
      </c>
      <c r="H27920" s="21">
        <v>590.66999999999996</v>
      </c>
    </row>
    <row r="27921" spans="1:8" customFormat="1" x14ac:dyDescent="0.25">
      <c r="A27921" t="str">
        <f>"5969354"</f>
        <v>5969354</v>
      </c>
      <c r="B27921" t="s">
        <v>28019</v>
      </c>
      <c r="C27921" t="s">
        <v>43</v>
      </c>
      <c r="D27921" s="21" t="s">
        <v>34</v>
      </c>
      <c r="E27921" s="21" t="s">
        <v>35</v>
      </c>
      <c r="F27921">
        <v>7590271</v>
      </c>
      <c r="G27921" t="s">
        <v>3163</v>
      </c>
      <c r="H27921" s="21">
        <v>590.66999999999996</v>
      </c>
    </row>
    <row r="27922" spans="1:8" customFormat="1" x14ac:dyDescent="0.25">
      <c r="A27922" t="str">
        <f>"7725730"</f>
        <v>7725730</v>
      </c>
      <c r="B27922" t="s">
        <v>21948</v>
      </c>
      <c r="C27922" t="s">
        <v>40</v>
      </c>
      <c r="D27922" s="21" t="s">
        <v>34</v>
      </c>
      <c r="E27922" s="21" t="s">
        <v>35</v>
      </c>
      <c r="F27922">
        <v>8770988</v>
      </c>
      <c r="G27922" t="s">
        <v>6334</v>
      </c>
      <c r="H27922" s="21">
        <v>590.66999999999996</v>
      </c>
    </row>
    <row r="27923" spans="1:8" customFormat="1" x14ac:dyDescent="0.25">
      <c r="A27923" t="str">
        <f>"6229353"</f>
        <v>6229353</v>
      </c>
      <c r="B27923" t="s">
        <v>6034</v>
      </c>
      <c r="C27923" t="s">
        <v>415</v>
      </c>
      <c r="D27923" s="21" t="s">
        <v>34</v>
      </c>
      <c r="E27923" s="21" t="s">
        <v>71</v>
      </c>
      <c r="F27923">
        <v>7620143</v>
      </c>
      <c r="G27923" t="s">
        <v>8762</v>
      </c>
      <c r="H27923" s="21">
        <v>590.66999999999996</v>
      </c>
    </row>
    <row r="27924" spans="1:8" customFormat="1" x14ac:dyDescent="0.25">
      <c r="A27924" t="str">
        <f>"084545"</f>
        <v>084545</v>
      </c>
      <c r="B27924" t="s">
        <v>20584</v>
      </c>
      <c r="C27924" t="s">
        <v>239</v>
      </c>
      <c r="D27924" s="21" t="s">
        <v>34</v>
      </c>
      <c r="E27924" s="21" t="s">
        <v>35</v>
      </c>
      <c r="F27924">
        <v>6080059</v>
      </c>
      <c r="G27924" t="s">
        <v>4242</v>
      </c>
      <c r="H27924" s="21">
        <v>590.66999999999996</v>
      </c>
    </row>
    <row r="27925" spans="1:8" customFormat="1" x14ac:dyDescent="0.25">
      <c r="A27925" t="str">
        <f>"6213354"</f>
        <v>6213354</v>
      </c>
      <c r="B27925" t="s">
        <v>17480</v>
      </c>
      <c r="C27925" t="s">
        <v>236</v>
      </c>
      <c r="D27925" s="21" t="s">
        <v>34</v>
      </c>
      <c r="E27925" s="21" t="s">
        <v>254</v>
      </c>
      <c r="F27925">
        <v>7620145</v>
      </c>
      <c r="G27925" t="s">
        <v>2068</v>
      </c>
      <c r="H27925" s="21">
        <v>590.66999999999996</v>
      </c>
    </row>
    <row r="27926" spans="1:8" customFormat="1" x14ac:dyDescent="0.25">
      <c r="A27926" t="str">
        <f>"7222138"</f>
        <v>7222138</v>
      </c>
      <c r="B27926" t="s">
        <v>21769</v>
      </c>
      <c r="C27926" t="s">
        <v>40</v>
      </c>
      <c r="D27926" s="21" t="s">
        <v>34</v>
      </c>
      <c r="E27926" s="21" t="s">
        <v>71</v>
      </c>
      <c r="F27926">
        <v>12720147</v>
      </c>
      <c r="G27926" t="s">
        <v>27267</v>
      </c>
      <c r="H27926" s="21">
        <v>590.66999999999996</v>
      </c>
    </row>
    <row r="27927" spans="1:8" customFormat="1" x14ac:dyDescent="0.25">
      <c r="A27927" t="str">
        <f>"6231661"</f>
        <v>6231661</v>
      </c>
      <c r="B27927" t="s">
        <v>4706</v>
      </c>
      <c r="C27927" t="s">
        <v>147</v>
      </c>
      <c r="D27927" s="21" t="s">
        <v>34</v>
      </c>
      <c r="E27927" s="21" t="s">
        <v>35</v>
      </c>
      <c r="F27927">
        <v>7620165</v>
      </c>
      <c r="G27927" t="s">
        <v>6254</v>
      </c>
      <c r="H27927" s="21">
        <v>590.66999999999996</v>
      </c>
    </row>
    <row r="27928" spans="1:8" customFormat="1" x14ac:dyDescent="0.25">
      <c r="A27928" t="str">
        <f>"559060"</f>
        <v>559060</v>
      </c>
      <c r="B27928" t="s">
        <v>20989</v>
      </c>
      <c r="C27928" t="s">
        <v>87</v>
      </c>
      <c r="D27928" s="21" t="s">
        <v>34</v>
      </c>
      <c r="E27928" s="21" t="s">
        <v>71</v>
      </c>
      <c r="F27928">
        <v>6550007</v>
      </c>
      <c r="G27928" t="s">
        <v>1688</v>
      </c>
      <c r="H27928" s="21">
        <v>590.66999999999996</v>
      </c>
    </row>
    <row r="27929" spans="1:8" customFormat="1" x14ac:dyDescent="0.25">
      <c r="A27929" t="str">
        <f>"9130004"</f>
        <v>9130004</v>
      </c>
      <c r="B27929" t="s">
        <v>12979</v>
      </c>
      <c r="C27929" t="s">
        <v>486</v>
      </c>
      <c r="D27929" s="21" t="s">
        <v>34</v>
      </c>
      <c r="E27929" s="21" t="s">
        <v>71</v>
      </c>
      <c r="F27929">
        <v>8910028</v>
      </c>
      <c r="G27929" t="s">
        <v>2634</v>
      </c>
      <c r="H27929" s="21">
        <v>590.66999999999996</v>
      </c>
    </row>
    <row r="27930" spans="1:8" customFormat="1" x14ac:dyDescent="0.25">
      <c r="A27930" t="str">
        <f>"1713539"</f>
        <v>1713539</v>
      </c>
      <c r="B27930" t="s">
        <v>9178</v>
      </c>
      <c r="C27930" t="s">
        <v>87</v>
      </c>
      <c r="D27930" s="21" t="s">
        <v>34</v>
      </c>
      <c r="E27930" s="21" t="s">
        <v>71</v>
      </c>
      <c r="F27930">
        <v>10170214</v>
      </c>
      <c r="G27930" t="s">
        <v>5533</v>
      </c>
      <c r="H27930" s="21">
        <v>590.66999999999996</v>
      </c>
    </row>
    <row r="27931" spans="1:8" customFormat="1" x14ac:dyDescent="0.25">
      <c r="A27931" t="str">
        <f>"0616997"</f>
        <v>0616997</v>
      </c>
      <c r="B27931" t="s">
        <v>21289</v>
      </c>
      <c r="C27931" t="s">
        <v>4267</v>
      </c>
      <c r="D27931" s="21" t="s">
        <v>34</v>
      </c>
      <c r="E27931" s="21" t="s">
        <v>254</v>
      </c>
      <c r="F27931">
        <v>13060082</v>
      </c>
      <c r="G27931" t="s">
        <v>11729</v>
      </c>
      <c r="H27931" s="21">
        <v>590.66999999999996</v>
      </c>
    </row>
    <row r="27932" spans="1:8" customFormat="1" x14ac:dyDescent="0.25">
      <c r="A27932" t="str">
        <f>"595273"</f>
        <v>595273</v>
      </c>
      <c r="B27932" t="s">
        <v>19015</v>
      </c>
      <c r="C27932" t="s">
        <v>233</v>
      </c>
      <c r="D27932" s="21" t="s">
        <v>34</v>
      </c>
      <c r="E27932" s="21" t="s">
        <v>71</v>
      </c>
      <c r="F27932">
        <v>7590080</v>
      </c>
      <c r="G27932" t="s">
        <v>1715</v>
      </c>
      <c r="H27932" s="21">
        <v>590.66999999999996</v>
      </c>
    </row>
    <row r="27933" spans="1:8" customFormat="1" x14ac:dyDescent="0.25">
      <c r="A27933" t="str">
        <f>"4218590"</f>
        <v>4218590</v>
      </c>
      <c r="B27933" t="s">
        <v>10812</v>
      </c>
      <c r="C27933" t="s">
        <v>58</v>
      </c>
      <c r="D27933" s="21" t="s">
        <v>34</v>
      </c>
      <c r="E27933" s="21" t="s">
        <v>35</v>
      </c>
      <c r="F27933">
        <v>1420025</v>
      </c>
      <c r="G27933" t="s">
        <v>5981</v>
      </c>
      <c r="H27933" s="21">
        <v>590.66999999999996</v>
      </c>
    </row>
    <row r="27934" spans="1:8" customFormat="1" x14ac:dyDescent="0.25">
      <c r="A27934" t="str">
        <f>"7218951"</f>
        <v>7218951</v>
      </c>
      <c r="B27934" t="s">
        <v>20772</v>
      </c>
      <c r="C27934" t="s">
        <v>239</v>
      </c>
      <c r="D27934" s="21" t="s">
        <v>34</v>
      </c>
      <c r="E27934" s="21" t="s">
        <v>71</v>
      </c>
      <c r="F27934">
        <v>12720016</v>
      </c>
      <c r="G27934" t="s">
        <v>11791</v>
      </c>
      <c r="H27934" s="21">
        <v>590.41999999999996</v>
      </c>
    </row>
    <row r="27935" spans="1:8" customFormat="1" x14ac:dyDescent="0.25">
      <c r="A27935" t="str">
        <f>"564873"</f>
        <v>564873</v>
      </c>
      <c r="B27935" t="s">
        <v>18809</v>
      </c>
      <c r="C27935" t="s">
        <v>320</v>
      </c>
      <c r="D27935" s="21" t="s">
        <v>34</v>
      </c>
      <c r="E27935" s="21" t="s">
        <v>254</v>
      </c>
      <c r="F27935">
        <v>3560053</v>
      </c>
      <c r="G27935" t="s">
        <v>298</v>
      </c>
      <c r="H27935" s="21">
        <v>590.41999999999996</v>
      </c>
    </row>
    <row r="27936" spans="1:8" customFormat="1" x14ac:dyDescent="0.25">
      <c r="A27936" t="str">
        <f>"4520132"</f>
        <v>4520132</v>
      </c>
      <c r="B27936" t="s">
        <v>20332</v>
      </c>
      <c r="C27936" t="s">
        <v>3648</v>
      </c>
      <c r="D27936" s="21" t="s">
        <v>34</v>
      </c>
      <c r="E27936" s="21" t="s">
        <v>254</v>
      </c>
      <c r="F27936">
        <v>4450757</v>
      </c>
      <c r="G27936" t="s">
        <v>3829</v>
      </c>
      <c r="H27936" s="21">
        <v>590.16999999999996</v>
      </c>
    </row>
    <row r="27937" spans="1:8" customFormat="1" x14ac:dyDescent="0.25">
      <c r="A27937" t="str">
        <f>"4517898"</f>
        <v>4517898</v>
      </c>
      <c r="B27937" t="s">
        <v>19227</v>
      </c>
      <c r="C27937" t="s">
        <v>19464</v>
      </c>
      <c r="D27937" s="21" t="s">
        <v>34</v>
      </c>
      <c r="E27937" s="21" t="s">
        <v>35</v>
      </c>
      <c r="F27937">
        <v>4450589</v>
      </c>
      <c r="G27937" t="s">
        <v>19465</v>
      </c>
      <c r="H27937" s="21">
        <v>590.16999999999996</v>
      </c>
    </row>
    <row r="27938" spans="1:8" customFormat="1" x14ac:dyDescent="0.25">
      <c r="A27938" t="str">
        <f>"5611038"</f>
        <v>5611038</v>
      </c>
      <c r="B27938" t="s">
        <v>19899</v>
      </c>
      <c r="C27938" t="s">
        <v>1142</v>
      </c>
      <c r="D27938" s="21" t="s">
        <v>34</v>
      </c>
      <c r="E27938" s="21" t="s">
        <v>1089</v>
      </c>
      <c r="F27938">
        <v>3560016</v>
      </c>
      <c r="G27938" t="s">
        <v>15201</v>
      </c>
      <c r="H27938" s="21">
        <v>590.16999999999996</v>
      </c>
    </row>
    <row r="27939" spans="1:8" customFormat="1" x14ac:dyDescent="0.25">
      <c r="A27939" t="str">
        <f>"3427187"</f>
        <v>3427187</v>
      </c>
      <c r="B27939" t="s">
        <v>3942</v>
      </c>
      <c r="C27939" t="s">
        <v>55</v>
      </c>
      <c r="D27939" s="21" t="s">
        <v>34</v>
      </c>
      <c r="E27939" s="21" t="s">
        <v>35</v>
      </c>
      <c r="F27939">
        <v>11340013</v>
      </c>
      <c r="G27939" t="s">
        <v>11430</v>
      </c>
      <c r="H27939" s="21">
        <v>590.16999999999996</v>
      </c>
    </row>
    <row r="27940" spans="1:8" customFormat="1" x14ac:dyDescent="0.25">
      <c r="A27940" t="str">
        <f>"555775"</f>
        <v>555775</v>
      </c>
      <c r="B27940" t="s">
        <v>20291</v>
      </c>
      <c r="C27940" t="s">
        <v>202</v>
      </c>
      <c r="D27940" s="21" t="s">
        <v>34</v>
      </c>
      <c r="E27940" s="21" t="s">
        <v>35</v>
      </c>
      <c r="F27940">
        <v>6550001</v>
      </c>
      <c r="G27940" t="s">
        <v>8790</v>
      </c>
      <c r="H27940" s="21">
        <v>590.16999999999996</v>
      </c>
    </row>
    <row r="27941" spans="1:8" customFormat="1" x14ac:dyDescent="0.25">
      <c r="A27941" t="str">
        <f>"3814386"</f>
        <v>3814386</v>
      </c>
      <c r="B27941" t="s">
        <v>3001</v>
      </c>
      <c r="C27941" t="s">
        <v>169</v>
      </c>
      <c r="D27941" s="21" t="s">
        <v>34</v>
      </c>
      <c r="E27941" s="21" t="s">
        <v>35</v>
      </c>
      <c r="F27941">
        <v>1690224</v>
      </c>
      <c r="G27941" t="s">
        <v>27093</v>
      </c>
      <c r="H27941" s="21">
        <v>590.16999999999996</v>
      </c>
    </row>
    <row r="27942" spans="1:8" customFormat="1" x14ac:dyDescent="0.25">
      <c r="A27942" t="str">
        <f>"767551"</f>
        <v>767551</v>
      </c>
      <c r="B27942" t="s">
        <v>3294</v>
      </c>
      <c r="C27942" t="s">
        <v>2520</v>
      </c>
      <c r="D27942" s="21" t="s">
        <v>34</v>
      </c>
      <c r="E27942" s="21" t="s">
        <v>254</v>
      </c>
      <c r="F27942">
        <v>9760448</v>
      </c>
      <c r="G27942" t="s">
        <v>11345</v>
      </c>
      <c r="H27942" s="21">
        <v>590.16999999999996</v>
      </c>
    </row>
    <row r="27943" spans="1:8" customFormat="1" x14ac:dyDescent="0.25">
      <c r="A27943" t="str">
        <f>"0812246"</f>
        <v>0812246</v>
      </c>
      <c r="B27943" t="s">
        <v>21961</v>
      </c>
      <c r="C27943" t="s">
        <v>4623</v>
      </c>
      <c r="D27943" s="21" t="s">
        <v>34</v>
      </c>
      <c r="E27943" s="21" t="s">
        <v>35</v>
      </c>
      <c r="F27943">
        <v>6080044</v>
      </c>
      <c r="G27943" t="s">
        <v>7450</v>
      </c>
      <c r="H27943" s="21">
        <v>590.16999999999996</v>
      </c>
    </row>
    <row r="27944" spans="1:8" customFormat="1" x14ac:dyDescent="0.25">
      <c r="A27944" t="str">
        <f>"9242009"</f>
        <v>9242009</v>
      </c>
      <c r="B27944" t="s">
        <v>2010</v>
      </c>
      <c r="C27944" t="s">
        <v>302</v>
      </c>
      <c r="D27944" s="21" t="s">
        <v>34</v>
      </c>
      <c r="E27944" s="21" t="s">
        <v>35</v>
      </c>
      <c r="F27944">
        <v>8920111</v>
      </c>
      <c r="G27944" t="s">
        <v>1064</v>
      </c>
      <c r="H27944" s="21">
        <v>590.16999999999996</v>
      </c>
    </row>
    <row r="27945" spans="1:8" customFormat="1" x14ac:dyDescent="0.25">
      <c r="A27945" t="str">
        <f>"7725776"</f>
        <v>7725776</v>
      </c>
      <c r="B27945" t="s">
        <v>20365</v>
      </c>
      <c r="C27945" t="s">
        <v>60</v>
      </c>
      <c r="D27945" s="21" t="s">
        <v>34</v>
      </c>
      <c r="E27945" s="21" t="s">
        <v>35</v>
      </c>
      <c r="F27945">
        <v>8771511</v>
      </c>
      <c r="G27945" t="s">
        <v>15221</v>
      </c>
      <c r="H27945" s="21">
        <v>590.16999999999996</v>
      </c>
    </row>
    <row r="27946" spans="1:8" customFormat="1" x14ac:dyDescent="0.25">
      <c r="A27946" t="str">
        <f>"9533806"</f>
        <v>9533806</v>
      </c>
      <c r="B27946" t="s">
        <v>19624</v>
      </c>
      <c r="C27946" t="s">
        <v>864</v>
      </c>
      <c r="D27946" s="21" t="s">
        <v>34</v>
      </c>
      <c r="E27946" s="21" t="s">
        <v>71</v>
      </c>
      <c r="F27946">
        <v>8950435</v>
      </c>
      <c r="G27946" t="s">
        <v>6404</v>
      </c>
      <c r="H27946" s="21">
        <v>590.16999999999996</v>
      </c>
    </row>
    <row r="27947" spans="1:8" customFormat="1" x14ac:dyDescent="0.25">
      <c r="A27947" t="str">
        <f>"0616651"</f>
        <v>0616651</v>
      </c>
      <c r="B27947" t="s">
        <v>21266</v>
      </c>
      <c r="C27947" t="s">
        <v>2479</v>
      </c>
      <c r="D27947" s="21" t="s">
        <v>34</v>
      </c>
      <c r="E27947" s="21" t="s">
        <v>71</v>
      </c>
      <c r="F27947">
        <v>13060085</v>
      </c>
      <c r="G27947" t="s">
        <v>2703</v>
      </c>
      <c r="H27947" s="21">
        <v>590.16999999999996</v>
      </c>
    </row>
    <row r="27948" spans="1:8" customFormat="1" x14ac:dyDescent="0.25">
      <c r="A27948" t="str">
        <f>"2938426"</f>
        <v>2938426</v>
      </c>
      <c r="B27948" t="s">
        <v>2873</v>
      </c>
      <c r="C27948" t="s">
        <v>288</v>
      </c>
      <c r="D27948" s="21" t="s">
        <v>34</v>
      </c>
      <c r="E27948" s="21" t="s">
        <v>35</v>
      </c>
      <c r="F27948">
        <v>3290277</v>
      </c>
      <c r="G27948" t="s">
        <v>1671</v>
      </c>
      <c r="H27948" s="21">
        <v>590.16999999999996</v>
      </c>
    </row>
    <row r="27949" spans="1:8" customFormat="1" x14ac:dyDescent="0.25">
      <c r="A27949" t="str">
        <f>"0113055"</f>
        <v>0113055</v>
      </c>
      <c r="B27949" t="s">
        <v>20586</v>
      </c>
      <c r="C27949" t="s">
        <v>486</v>
      </c>
      <c r="D27949" s="21" t="s">
        <v>34</v>
      </c>
      <c r="E27949" s="21" t="s">
        <v>35</v>
      </c>
      <c r="F27949">
        <v>1010004</v>
      </c>
      <c r="G27949" t="s">
        <v>9066</v>
      </c>
      <c r="H27949" s="21">
        <v>590.16999999999996</v>
      </c>
    </row>
    <row r="27950" spans="1:8" customFormat="1" x14ac:dyDescent="0.25">
      <c r="A27950" t="str">
        <f>"068812"</f>
        <v>068812</v>
      </c>
      <c r="B27950" t="s">
        <v>19455</v>
      </c>
      <c r="C27950" t="s">
        <v>2135</v>
      </c>
      <c r="D27950" s="21" t="s">
        <v>34</v>
      </c>
      <c r="E27950" s="21" t="s">
        <v>254</v>
      </c>
      <c r="F27950">
        <v>13060085</v>
      </c>
      <c r="G27950" t="s">
        <v>2703</v>
      </c>
      <c r="H27950" s="21">
        <v>590.16999999999996</v>
      </c>
    </row>
    <row r="27951" spans="1:8" customFormat="1" x14ac:dyDescent="0.25">
      <c r="A27951" t="str">
        <f>"6220355"</f>
        <v>6220355</v>
      </c>
      <c r="B27951" t="s">
        <v>21481</v>
      </c>
      <c r="C27951" t="s">
        <v>187</v>
      </c>
      <c r="D27951" s="21" t="s">
        <v>34</v>
      </c>
      <c r="E27951" s="21" t="s">
        <v>35</v>
      </c>
      <c r="F27951">
        <v>7620046</v>
      </c>
      <c r="G27951" t="s">
        <v>242</v>
      </c>
      <c r="H27951" s="21">
        <v>590.16999999999996</v>
      </c>
    </row>
    <row r="27952" spans="1:8" customFormat="1" x14ac:dyDescent="0.25">
      <c r="A27952" t="str">
        <f>"5730546"</f>
        <v>5730546</v>
      </c>
      <c r="B27952" t="s">
        <v>21852</v>
      </c>
      <c r="C27952" t="s">
        <v>87</v>
      </c>
      <c r="D27952" s="21" t="s">
        <v>34</v>
      </c>
      <c r="E27952" s="21" t="s">
        <v>35</v>
      </c>
      <c r="F27952">
        <v>6570177</v>
      </c>
      <c r="G27952" t="s">
        <v>2586</v>
      </c>
      <c r="H27952" s="21">
        <v>590.16999999999996</v>
      </c>
    </row>
    <row r="27953" spans="1:8" customFormat="1" x14ac:dyDescent="0.25">
      <c r="A27953" t="str">
        <f>"7710483"</f>
        <v>7710483</v>
      </c>
      <c r="B27953" t="s">
        <v>8129</v>
      </c>
      <c r="C27953" t="s">
        <v>598</v>
      </c>
      <c r="D27953" s="21" t="s">
        <v>34</v>
      </c>
      <c r="E27953" s="21" t="s">
        <v>71</v>
      </c>
      <c r="F27953">
        <v>1260006</v>
      </c>
      <c r="G27953" t="s">
        <v>790</v>
      </c>
      <c r="H27953" s="21">
        <v>590.16999999999996</v>
      </c>
    </row>
    <row r="27954" spans="1:8" customFormat="1" x14ac:dyDescent="0.25">
      <c r="A27954" t="str">
        <f>"2925582"</f>
        <v>2925582</v>
      </c>
      <c r="B27954" t="s">
        <v>20577</v>
      </c>
      <c r="C27954" t="s">
        <v>781</v>
      </c>
      <c r="D27954" s="21" t="s">
        <v>34</v>
      </c>
      <c r="E27954" s="21" t="s">
        <v>71</v>
      </c>
      <c r="F27954">
        <v>3290200</v>
      </c>
      <c r="G27954" t="s">
        <v>3488</v>
      </c>
      <c r="H27954" s="21">
        <v>590.16999999999996</v>
      </c>
    </row>
    <row r="27955" spans="1:8" customFormat="1" x14ac:dyDescent="0.25">
      <c r="A27955" t="str">
        <f>"7628970"</f>
        <v>7628970</v>
      </c>
      <c r="B27955" t="s">
        <v>20482</v>
      </c>
      <c r="C27955" t="s">
        <v>236</v>
      </c>
      <c r="D27955" s="21" t="s">
        <v>34</v>
      </c>
      <c r="E27955" s="21" t="s">
        <v>254</v>
      </c>
      <c r="F27955">
        <v>9760320</v>
      </c>
      <c r="G27955" t="s">
        <v>4917</v>
      </c>
      <c r="H27955" s="21">
        <v>590.04</v>
      </c>
    </row>
    <row r="27956" spans="1:8" customFormat="1" x14ac:dyDescent="0.25">
      <c r="A27956" t="str">
        <f>"4928840"</f>
        <v>4928840</v>
      </c>
      <c r="B27956" t="s">
        <v>28020</v>
      </c>
      <c r="C27956" t="s">
        <v>253</v>
      </c>
      <c r="D27956" s="21" t="s">
        <v>34</v>
      </c>
      <c r="E27956" s="21" t="s">
        <v>71</v>
      </c>
      <c r="F27956">
        <v>12490032</v>
      </c>
      <c r="G27956" t="s">
        <v>6233</v>
      </c>
      <c r="H27956" s="21">
        <v>589.91999999999996</v>
      </c>
    </row>
    <row r="27957" spans="1:8" customFormat="1" x14ac:dyDescent="0.25">
      <c r="A27957" t="str">
        <f>"7875287"</f>
        <v>7875287</v>
      </c>
      <c r="B27957" t="s">
        <v>22080</v>
      </c>
      <c r="C27957" t="s">
        <v>171</v>
      </c>
      <c r="D27957" s="21" t="s">
        <v>34</v>
      </c>
      <c r="E27957" s="21" t="s">
        <v>254</v>
      </c>
      <c r="F27957">
        <v>8781475</v>
      </c>
      <c r="G27957" t="s">
        <v>7589</v>
      </c>
      <c r="H27957" s="21">
        <v>589.91999999999996</v>
      </c>
    </row>
    <row r="27958" spans="1:8" customFormat="1" x14ac:dyDescent="0.25">
      <c r="A27958" t="str">
        <f>"2814454"</f>
        <v>2814454</v>
      </c>
      <c r="B27958" t="s">
        <v>9398</v>
      </c>
      <c r="C27958" t="s">
        <v>462</v>
      </c>
      <c r="D27958" s="21" t="s">
        <v>34</v>
      </c>
      <c r="E27958" s="21" t="s">
        <v>35</v>
      </c>
      <c r="F27958">
        <v>4280517</v>
      </c>
      <c r="G27958" t="s">
        <v>436</v>
      </c>
      <c r="H27958" s="21">
        <v>589.91999999999996</v>
      </c>
    </row>
    <row r="27959" spans="1:8" customFormat="1" x14ac:dyDescent="0.25">
      <c r="A27959" t="str">
        <f>"4524840"</f>
        <v>4524840</v>
      </c>
      <c r="B27959" t="s">
        <v>19621</v>
      </c>
      <c r="C27959" t="s">
        <v>2365</v>
      </c>
      <c r="D27959" s="21" t="s">
        <v>34</v>
      </c>
      <c r="E27959" s="21" t="s">
        <v>254</v>
      </c>
      <c r="F27959">
        <v>4450617</v>
      </c>
      <c r="G27959" t="s">
        <v>4708</v>
      </c>
      <c r="H27959" s="21">
        <v>589.91999999999996</v>
      </c>
    </row>
    <row r="27960" spans="1:8" customFormat="1" x14ac:dyDescent="0.25">
      <c r="A27960" t="str">
        <f>"124231"</f>
        <v>124231</v>
      </c>
      <c r="B27960" t="s">
        <v>19568</v>
      </c>
      <c r="C27960" t="s">
        <v>249</v>
      </c>
      <c r="D27960" s="21" t="s">
        <v>34</v>
      </c>
      <c r="E27960" s="21" t="s">
        <v>71</v>
      </c>
      <c r="F27960">
        <v>11120046</v>
      </c>
      <c r="G27960" t="s">
        <v>15491</v>
      </c>
      <c r="H27960" s="21">
        <v>589.91999999999996</v>
      </c>
    </row>
    <row r="27961" spans="1:8" customFormat="1" x14ac:dyDescent="0.25">
      <c r="A27961" t="str">
        <f>"9244720"</f>
        <v>9244720</v>
      </c>
      <c r="B27961" t="s">
        <v>20031</v>
      </c>
      <c r="C27961" t="s">
        <v>62</v>
      </c>
      <c r="D27961" s="21" t="s">
        <v>34</v>
      </c>
      <c r="E27961" s="21" t="s">
        <v>35</v>
      </c>
      <c r="F27961">
        <v>8920505</v>
      </c>
      <c r="G27961" t="s">
        <v>12288</v>
      </c>
      <c r="H27961" s="21">
        <v>589.66999999999996</v>
      </c>
    </row>
    <row r="27962" spans="1:8" customFormat="1" x14ac:dyDescent="0.25">
      <c r="A27962" t="str">
        <f>"2718055"</f>
        <v>2718055</v>
      </c>
      <c r="B27962" t="s">
        <v>21471</v>
      </c>
      <c r="C27962" t="s">
        <v>124</v>
      </c>
      <c r="D27962" s="21" t="s">
        <v>34</v>
      </c>
      <c r="E27962" s="21" t="s">
        <v>71</v>
      </c>
      <c r="F27962">
        <v>9270161</v>
      </c>
      <c r="G27962" t="s">
        <v>10104</v>
      </c>
      <c r="H27962" s="21">
        <v>589.66999999999996</v>
      </c>
    </row>
    <row r="27963" spans="1:8" customFormat="1" x14ac:dyDescent="0.25">
      <c r="A27963" t="str">
        <f>"9431549"</f>
        <v>9431549</v>
      </c>
      <c r="B27963" t="s">
        <v>20458</v>
      </c>
      <c r="C27963" t="s">
        <v>119</v>
      </c>
      <c r="D27963" s="21" t="s">
        <v>34</v>
      </c>
      <c r="E27963" s="21" t="s">
        <v>254</v>
      </c>
      <c r="F27963">
        <v>8940459</v>
      </c>
      <c r="G27963" t="s">
        <v>743</v>
      </c>
      <c r="H27963" s="21">
        <v>589.66999999999996</v>
      </c>
    </row>
    <row r="27964" spans="1:8" customFormat="1" x14ac:dyDescent="0.25">
      <c r="A27964" t="str">
        <f>"2921411"</f>
        <v>2921411</v>
      </c>
      <c r="B27964" t="s">
        <v>2138</v>
      </c>
      <c r="C27964" t="s">
        <v>239</v>
      </c>
      <c r="D27964" s="21" t="s">
        <v>34</v>
      </c>
      <c r="E27964" s="21" t="s">
        <v>254</v>
      </c>
      <c r="F27964">
        <v>3290047</v>
      </c>
      <c r="G27964" t="s">
        <v>2874</v>
      </c>
      <c r="H27964" s="21">
        <v>589.66999999999996</v>
      </c>
    </row>
    <row r="27965" spans="1:8" customFormat="1" x14ac:dyDescent="0.25">
      <c r="A27965" t="str">
        <f>"895617"</f>
        <v>895617</v>
      </c>
      <c r="B27965" t="s">
        <v>623</v>
      </c>
      <c r="C27965" t="s">
        <v>98</v>
      </c>
      <c r="D27965" s="21" t="s">
        <v>34</v>
      </c>
      <c r="E27965" s="21" t="s">
        <v>71</v>
      </c>
      <c r="F27965">
        <v>2890032</v>
      </c>
      <c r="G27965" t="s">
        <v>6080</v>
      </c>
      <c r="H27965" s="21">
        <v>589.66999999999996</v>
      </c>
    </row>
    <row r="27966" spans="1:8" customFormat="1" x14ac:dyDescent="0.25">
      <c r="A27966" t="str">
        <f>"7822896"</f>
        <v>7822896</v>
      </c>
      <c r="B27966" t="s">
        <v>21666</v>
      </c>
      <c r="C27966" t="s">
        <v>528</v>
      </c>
      <c r="D27966" s="21" t="s">
        <v>34</v>
      </c>
      <c r="E27966" s="21" t="s">
        <v>254</v>
      </c>
      <c r="F27966">
        <v>10170016</v>
      </c>
      <c r="G27966" t="s">
        <v>88</v>
      </c>
      <c r="H27966" s="21">
        <v>589.66999999999996</v>
      </c>
    </row>
    <row r="27967" spans="1:8" customFormat="1" x14ac:dyDescent="0.25">
      <c r="A27967" t="str">
        <f>"3530367"</f>
        <v>3530367</v>
      </c>
      <c r="B27967" t="s">
        <v>20797</v>
      </c>
      <c r="C27967" t="s">
        <v>275</v>
      </c>
      <c r="D27967" s="21" t="s">
        <v>34</v>
      </c>
      <c r="E27967" s="21" t="s">
        <v>35</v>
      </c>
      <c r="F27967">
        <v>3350215</v>
      </c>
      <c r="G27967" t="s">
        <v>20009</v>
      </c>
      <c r="H27967" s="21">
        <v>589.66999999999996</v>
      </c>
    </row>
    <row r="27968" spans="1:8" customFormat="1" x14ac:dyDescent="0.25">
      <c r="A27968" t="str">
        <f>"1410820"</f>
        <v>1410820</v>
      </c>
      <c r="B27968" t="s">
        <v>19259</v>
      </c>
      <c r="C27968" t="s">
        <v>608</v>
      </c>
      <c r="D27968" s="21" t="s">
        <v>34</v>
      </c>
      <c r="E27968" s="21" t="s">
        <v>71</v>
      </c>
      <c r="F27968">
        <v>9140127</v>
      </c>
      <c r="G27968" t="s">
        <v>6641</v>
      </c>
      <c r="H27968" s="21">
        <v>589.66999999999996</v>
      </c>
    </row>
    <row r="27969" spans="1:8" customFormat="1" x14ac:dyDescent="0.25">
      <c r="A27969" t="str">
        <f>"7830245"</f>
        <v>7830245</v>
      </c>
      <c r="B27969" t="s">
        <v>19114</v>
      </c>
      <c r="C27969" t="s">
        <v>486</v>
      </c>
      <c r="D27969" s="21" t="s">
        <v>34</v>
      </c>
      <c r="E27969" s="21" t="s">
        <v>71</v>
      </c>
      <c r="F27969">
        <v>8781380</v>
      </c>
      <c r="G27969" t="s">
        <v>10815</v>
      </c>
      <c r="H27969" s="21">
        <v>589.66999999999996</v>
      </c>
    </row>
    <row r="27970" spans="1:8" customFormat="1" x14ac:dyDescent="0.25">
      <c r="A27970" t="str">
        <f>"9129793"</f>
        <v>9129793</v>
      </c>
      <c r="B27970" t="s">
        <v>1885</v>
      </c>
      <c r="C27970" t="s">
        <v>598</v>
      </c>
      <c r="D27970" s="21" t="s">
        <v>34</v>
      </c>
      <c r="E27970" s="21" t="s">
        <v>1089</v>
      </c>
      <c r="F27970">
        <v>8911083</v>
      </c>
      <c r="G27970" t="s">
        <v>7357</v>
      </c>
      <c r="H27970" s="21">
        <v>589.66999999999996</v>
      </c>
    </row>
    <row r="27971" spans="1:8" customFormat="1" x14ac:dyDescent="0.25">
      <c r="A27971" t="str">
        <f>"4112860"</f>
        <v>4112860</v>
      </c>
      <c r="B27971" t="s">
        <v>19318</v>
      </c>
      <c r="C27971" t="s">
        <v>388</v>
      </c>
      <c r="D27971" s="21" t="s">
        <v>34</v>
      </c>
      <c r="E27971" s="21" t="s">
        <v>71</v>
      </c>
      <c r="F27971">
        <v>4450748</v>
      </c>
      <c r="G27971" t="s">
        <v>22902</v>
      </c>
      <c r="H27971" s="21">
        <v>589.66999999999996</v>
      </c>
    </row>
    <row r="27972" spans="1:8" customFormat="1" x14ac:dyDescent="0.25">
      <c r="A27972" t="str">
        <f>"93921"</f>
        <v>93921</v>
      </c>
      <c r="B27972" t="s">
        <v>5651</v>
      </c>
      <c r="C27972" t="s">
        <v>124</v>
      </c>
      <c r="D27972" s="21" t="s">
        <v>34</v>
      </c>
      <c r="E27972" s="21" t="s">
        <v>254</v>
      </c>
      <c r="F27972">
        <v>8931057</v>
      </c>
      <c r="G27972" t="s">
        <v>1011</v>
      </c>
      <c r="H27972" s="21">
        <v>589.66999999999996</v>
      </c>
    </row>
    <row r="27973" spans="1:8" customFormat="1" x14ac:dyDescent="0.25">
      <c r="A27973" t="str">
        <f>"3324789"</f>
        <v>3324789</v>
      </c>
      <c r="B27973" t="s">
        <v>22627</v>
      </c>
      <c r="C27973" t="s">
        <v>379</v>
      </c>
      <c r="D27973" s="21" t="s">
        <v>34</v>
      </c>
      <c r="E27973" s="21" t="s">
        <v>71</v>
      </c>
      <c r="F27973">
        <v>10330067</v>
      </c>
      <c r="G27973" t="s">
        <v>125</v>
      </c>
      <c r="H27973" s="21">
        <v>589.66999999999996</v>
      </c>
    </row>
    <row r="27974" spans="1:8" customFormat="1" x14ac:dyDescent="0.25">
      <c r="A27974" t="str">
        <f>"1425601"</f>
        <v>1425601</v>
      </c>
      <c r="B27974" t="s">
        <v>28021</v>
      </c>
      <c r="C27974" t="s">
        <v>750</v>
      </c>
      <c r="D27974" s="21" t="s">
        <v>34</v>
      </c>
      <c r="E27974" s="21" t="s">
        <v>254</v>
      </c>
      <c r="F27974">
        <v>9140014</v>
      </c>
      <c r="G27974" t="s">
        <v>9546</v>
      </c>
      <c r="H27974" s="21">
        <v>589.66999999999996</v>
      </c>
    </row>
    <row r="27975" spans="1:8" customFormat="1" x14ac:dyDescent="0.25">
      <c r="A27975" t="str">
        <f>"4457830"</f>
        <v>4457830</v>
      </c>
      <c r="B27975" t="s">
        <v>2308</v>
      </c>
      <c r="C27975" t="s">
        <v>263</v>
      </c>
      <c r="D27975" s="21" t="s">
        <v>34</v>
      </c>
      <c r="E27975" s="21" t="s">
        <v>35</v>
      </c>
      <c r="F27975">
        <v>12440197</v>
      </c>
      <c r="G27975" t="s">
        <v>1101</v>
      </c>
      <c r="H27975" s="21">
        <v>589.66999999999996</v>
      </c>
    </row>
    <row r="27976" spans="1:8" customFormat="1" x14ac:dyDescent="0.25">
      <c r="A27976" t="str">
        <f>"4418721"</f>
        <v>4418721</v>
      </c>
      <c r="B27976" t="s">
        <v>6472</v>
      </c>
      <c r="C27976" t="s">
        <v>62</v>
      </c>
      <c r="D27976" s="21" t="s">
        <v>34</v>
      </c>
      <c r="E27976" s="21" t="s">
        <v>35</v>
      </c>
      <c r="F27976">
        <v>3290090</v>
      </c>
      <c r="G27976" t="s">
        <v>1390</v>
      </c>
      <c r="H27976" s="21">
        <v>589.66999999999996</v>
      </c>
    </row>
    <row r="27977" spans="1:8" customFormat="1" x14ac:dyDescent="0.25">
      <c r="A27977" t="str">
        <f>"8816011"</f>
        <v>8816011</v>
      </c>
      <c r="B27977" t="s">
        <v>20183</v>
      </c>
      <c r="C27977" t="s">
        <v>114</v>
      </c>
      <c r="D27977" s="21" t="s">
        <v>34</v>
      </c>
      <c r="E27977" s="21" t="s">
        <v>71</v>
      </c>
      <c r="F27977">
        <v>6880064</v>
      </c>
      <c r="G27977" t="s">
        <v>7090</v>
      </c>
      <c r="H27977" s="21">
        <v>589.66999999999996</v>
      </c>
    </row>
    <row r="27978" spans="1:8" customFormat="1" x14ac:dyDescent="0.25">
      <c r="A27978" t="str">
        <f>"32104"</f>
        <v>32104</v>
      </c>
      <c r="B27978" t="s">
        <v>19065</v>
      </c>
      <c r="C27978" t="s">
        <v>547</v>
      </c>
      <c r="D27978" s="21" t="s">
        <v>34</v>
      </c>
      <c r="E27978" s="21" t="s">
        <v>1089</v>
      </c>
      <c r="F27978">
        <v>11320032</v>
      </c>
      <c r="G27978" t="s">
        <v>5722</v>
      </c>
      <c r="H27978" s="21">
        <v>589.66999999999996</v>
      </c>
    </row>
    <row r="27979" spans="1:8" customFormat="1" x14ac:dyDescent="0.25">
      <c r="A27979" t="str">
        <f>"5970878"</f>
        <v>5970878</v>
      </c>
      <c r="B27979" t="s">
        <v>2340</v>
      </c>
      <c r="C27979" t="s">
        <v>55</v>
      </c>
      <c r="D27979" s="21" t="s">
        <v>34</v>
      </c>
      <c r="E27979" s="21" t="s">
        <v>35</v>
      </c>
      <c r="F27979">
        <v>7590131</v>
      </c>
      <c r="G27979" t="s">
        <v>6300</v>
      </c>
      <c r="H27979" s="21">
        <v>589.66999999999996</v>
      </c>
    </row>
    <row r="27980" spans="1:8" customFormat="1" x14ac:dyDescent="0.25">
      <c r="A27980" t="str">
        <f>"9144713"</f>
        <v>9144713</v>
      </c>
      <c r="B27980" t="s">
        <v>18632</v>
      </c>
      <c r="C27980" t="s">
        <v>2305</v>
      </c>
      <c r="D27980" s="21" t="s">
        <v>34</v>
      </c>
      <c r="E27980" s="21" t="s">
        <v>254</v>
      </c>
      <c r="F27980">
        <v>8911161</v>
      </c>
      <c r="G27980" t="s">
        <v>599</v>
      </c>
      <c r="H27980" s="21">
        <v>589.66999999999996</v>
      </c>
    </row>
    <row r="27981" spans="1:8" customFormat="1" x14ac:dyDescent="0.25">
      <c r="A27981" t="str">
        <f>"5955926"</f>
        <v>5955926</v>
      </c>
      <c r="B27981" t="s">
        <v>23782</v>
      </c>
      <c r="C27981" t="s">
        <v>23783</v>
      </c>
      <c r="D27981" s="21" t="s">
        <v>34</v>
      </c>
      <c r="E27981" s="21" t="s">
        <v>71</v>
      </c>
      <c r="F27981">
        <v>7590105</v>
      </c>
      <c r="G27981" t="s">
        <v>887</v>
      </c>
      <c r="H27981" s="21">
        <v>589.66999999999996</v>
      </c>
    </row>
    <row r="27982" spans="1:8" customFormat="1" x14ac:dyDescent="0.25">
      <c r="A27982" t="str">
        <f>"4928744"</f>
        <v>4928744</v>
      </c>
      <c r="B27982" t="s">
        <v>19174</v>
      </c>
      <c r="C27982" t="s">
        <v>209</v>
      </c>
      <c r="D27982" s="21" t="s">
        <v>34</v>
      </c>
      <c r="E27982" s="21" t="s">
        <v>35</v>
      </c>
      <c r="F27982">
        <v>12490035</v>
      </c>
      <c r="G27982" t="s">
        <v>9242</v>
      </c>
      <c r="H27982" s="21">
        <v>589.66999999999996</v>
      </c>
    </row>
    <row r="27983" spans="1:8" customFormat="1" x14ac:dyDescent="0.25">
      <c r="A27983" t="str">
        <f>"9132396"</f>
        <v>9132396</v>
      </c>
      <c r="B27983" t="s">
        <v>13753</v>
      </c>
      <c r="C27983" t="s">
        <v>1665</v>
      </c>
      <c r="D27983" s="21" t="s">
        <v>34</v>
      </c>
      <c r="E27983" s="21" t="s">
        <v>71</v>
      </c>
      <c r="F27983">
        <v>8911334</v>
      </c>
      <c r="G27983" t="s">
        <v>4170</v>
      </c>
      <c r="H27983" s="21">
        <v>589.66999999999996</v>
      </c>
    </row>
    <row r="27984" spans="1:8" customFormat="1" x14ac:dyDescent="0.25">
      <c r="A27984" t="str">
        <f>"2923295"</f>
        <v>2923295</v>
      </c>
      <c r="B27984" t="s">
        <v>20723</v>
      </c>
      <c r="C27984" t="s">
        <v>415</v>
      </c>
      <c r="D27984" s="21" t="s">
        <v>34</v>
      </c>
      <c r="E27984" s="21" t="s">
        <v>71</v>
      </c>
      <c r="F27984">
        <v>3290019</v>
      </c>
      <c r="G27984" t="s">
        <v>4452</v>
      </c>
      <c r="H27984" s="21">
        <v>589.66999999999996</v>
      </c>
    </row>
    <row r="27985" spans="1:8" customFormat="1" x14ac:dyDescent="0.25">
      <c r="A27985" t="str">
        <f>"6942041"</f>
        <v>6942041</v>
      </c>
      <c r="B27985" t="s">
        <v>20373</v>
      </c>
      <c r="C27985" t="s">
        <v>109</v>
      </c>
      <c r="D27985" s="21" t="s">
        <v>34</v>
      </c>
      <c r="E27985" s="21" t="s">
        <v>71</v>
      </c>
      <c r="F27985">
        <v>1420138</v>
      </c>
      <c r="G27985" t="s">
        <v>27002</v>
      </c>
      <c r="H27985" s="21">
        <v>589.54</v>
      </c>
    </row>
    <row r="27986" spans="1:8" customFormat="1" x14ac:dyDescent="0.25">
      <c r="A27986" t="str">
        <f>"6232737"</f>
        <v>6232737</v>
      </c>
      <c r="B27986" t="s">
        <v>23225</v>
      </c>
      <c r="C27986" t="s">
        <v>2479</v>
      </c>
      <c r="D27986" s="21" t="s">
        <v>34</v>
      </c>
      <c r="E27986" s="21" t="s">
        <v>35</v>
      </c>
      <c r="F27986">
        <v>7620110</v>
      </c>
      <c r="G27986" t="s">
        <v>2681</v>
      </c>
      <c r="H27986" s="21">
        <v>589.54</v>
      </c>
    </row>
    <row r="27987" spans="1:8" customFormat="1" x14ac:dyDescent="0.25">
      <c r="A27987" t="str">
        <f>"9533399"</f>
        <v>9533399</v>
      </c>
      <c r="B27987" t="s">
        <v>19931</v>
      </c>
      <c r="C27987" t="s">
        <v>415</v>
      </c>
      <c r="D27987" s="21" t="s">
        <v>34</v>
      </c>
      <c r="E27987" s="21" t="s">
        <v>71</v>
      </c>
      <c r="F27987">
        <v>8951366</v>
      </c>
      <c r="G27987" t="s">
        <v>3708</v>
      </c>
      <c r="H27987" s="21">
        <v>589.41999999999996</v>
      </c>
    </row>
    <row r="27988" spans="1:8" customFormat="1" x14ac:dyDescent="0.25">
      <c r="A27988" t="str">
        <f>"524996"</f>
        <v>524996</v>
      </c>
      <c r="B27988" t="s">
        <v>4241</v>
      </c>
      <c r="C27988" t="s">
        <v>1887</v>
      </c>
      <c r="D27988" s="21" t="s">
        <v>34</v>
      </c>
      <c r="E27988" s="21" t="s">
        <v>254</v>
      </c>
      <c r="F27988">
        <v>6520047</v>
      </c>
      <c r="G27988" t="s">
        <v>16108</v>
      </c>
      <c r="H27988" s="21">
        <v>589.41999999999996</v>
      </c>
    </row>
    <row r="27989" spans="1:8" customFormat="1" x14ac:dyDescent="0.25">
      <c r="A27989" t="str">
        <f>"2718211"</f>
        <v>2718211</v>
      </c>
      <c r="B27989" t="s">
        <v>5751</v>
      </c>
      <c r="C27989" t="s">
        <v>233</v>
      </c>
      <c r="D27989" s="21" t="s">
        <v>34</v>
      </c>
      <c r="E27989" s="21" t="s">
        <v>35</v>
      </c>
      <c r="F27989">
        <v>9270187</v>
      </c>
      <c r="G27989" t="s">
        <v>6733</v>
      </c>
      <c r="H27989" s="21">
        <v>589.41999999999996</v>
      </c>
    </row>
    <row r="27990" spans="1:8" customFormat="1" x14ac:dyDescent="0.25">
      <c r="A27990" t="str">
        <f>"2112089"</f>
        <v>2112089</v>
      </c>
      <c r="B27990" t="s">
        <v>20933</v>
      </c>
      <c r="C27990" t="s">
        <v>269</v>
      </c>
      <c r="D27990" s="21" t="s">
        <v>34</v>
      </c>
      <c r="E27990" s="21" t="s">
        <v>71</v>
      </c>
      <c r="F27990">
        <v>2210037</v>
      </c>
      <c r="G27990" t="s">
        <v>16889</v>
      </c>
      <c r="H27990" s="21">
        <v>589.29</v>
      </c>
    </row>
    <row r="27991" spans="1:8" customFormat="1" x14ac:dyDescent="0.25">
      <c r="A27991" t="str">
        <f>"5016343"</f>
        <v>5016343</v>
      </c>
      <c r="B27991" t="s">
        <v>17276</v>
      </c>
      <c r="C27991" t="s">
        <v>2100</v>
      </c>
      <c r="D27991" s="21" t="s">
        <v>34</v>
      </c>
      <c r="E27991" s="21" t="s">
        <v>254</v>
      </c>
      <c r="F27991">
        <v>9500157</v>
      </c>
      <c r="G27991" t="s">
        <v>5074</v>
      </c>
      <c r="H27991" s="21">
        <v>589.16999999999996</v>
      </c>
    </row>
    <row r="27992" spans="1:8" customFormat="1" x14ac:dyDescent="0.25">
      <c r="A27992" t="str">
        <f>"788078"</f>
        <v>788078</v>
      </c>
      <c r="B27992" t="s">
        <v>21626</v>
      </c>
      <c r="C27992" t="s">
        <v>249</v>
      </c>
      <c r="D27992" s="21" t="s">
        <v>34</v>
      </c>
      <c r="E27992" s="21" t="s">
        <v>71</v>
      </c>
      <c r="F27992">
        <v>8780584</v>
      </c>
      <c r="G27992" t="s">
        <v>18410</v>
      </c>
      <c r="H27992" s="21">
        <v>589.16999999999996</v>
      </c>
    </row>
    <row r="27993" spans="1:8" customFormat="1" x14ac:dyDescent="0.25">
      <c r="A27993" t="str">
        <f>"6213507"</f>
        <v>6213507</v>
      </c>
      <c r="B27993" t="s">
        <v>2323</v>
      </c>
      <c r="C27993" t="s">
        <v>1665</v>
      </c>
      <c r="D27993" s="21" t="s">
        <v>34</v>
      </c>
      <c r="E27993" s="21" t="s">
        <v>71</v>
      </c>
      <c r="F27993">
        <v>7620072</v>
      </c>
      <c r="G27993" t="s">
        <v>2185</v>
      </c>
      <c r="H27993" s="21">
        <v>589.16999999999996</v>
      </c>
    </row>
    <row r="27994" spans="1:8" customFormat="1" x14ac:dyDescent="0.25">
      <c r="A27994" t="str">
        <f>"5421402"</f>
        <v>5421402</v>
      </c>
      <c r="B27994" t="s">
        <v>20068</v>
      </c>
      <c r="C27994" t="s">
        <v>269</v>
      </c>
      <c r="D27994" s="21" t="s">
        <v>34</v>
      </c>
      <c r="E27994" s="21" t="s">
        <v>254</v>
      </c>
      <c r="F27994">
        <v>6540014</v>
      </c>
      <c r="G27994" t="s">
        <v>1483</v>
      </c>
      <c r="H27994" s="21">
        <v>589.16999999999996</v>
      </c>
    </row>
    <row r="27995" spans="1:8" customFormat="1" x14ac:dyDescent="0.25">
      <c r="A27995" t="str">
        <f>"5939779"</f>
        <v>5939779</v>
      </c>
      <c r="B27995" t="s">
        <v>20598</v>
      </c>
      <c r="C27995" t="s">
        <v>1914</v>
      </c>
      <c r="D27995" s="21" t="s">
        <v>34</v>
      </c>
      <c r="E27995" s="21" t="s">
        <v>35</v>
      </c>
      <c r="F27995">
        <v>7590413</v>
      </c>
      <c r="G27995" t="s">
        <v>6848</v>
      </c>
      <c r="H27995" s="21">
        <v>589.16999999999996</v>
      </c>
    </row>
    <row r="27996" spans="1:8" customFormat="1" x14ac:dyDescent="0.25">
      <c r="A27996" t="str">
        <f>"2922487"</f>
        <v>2922487</v>
      </c>
      <c r="B27996" t="s">
        <v>19046</v>
      </c>
      <c r="C27996" t="s">
        <v>239</v>
      </c>
      <c r="D27996" s="21" t="s">
        <v>34</v>
      </c>
      <c r="E27996" s="21" t="s">
        <v>71</v>
      </c>
      <c r="F27996">
        <v>3290009</v>
      </c>
      <c r="G27996" t="s">
        <v>4358</v>
      </c>
      <c r="H27996" s="21">
        <v>589.16999999999996</v>
      </c>
    </row>
    <row r="27997" spans="1:8" customFormat="1" x14ac:dyDescent="0.25">
      <c r="A27997" t="str">
        <f>"918714"</f>
        <v>918714</v>
      </c>
      <c r="B27997" t="s">
        <v>20317</v>
      </c>
      <c r="C27997" t="s">
        <v>20318</v>
      </c>
      <c r="D27997" s="21" t="s">
        <v>34</v>
      </c>
      <c r="E27997" s="21" t="s">
        <v>1089</v>
      </c>
      <c r="F27997">
        <v>8910042</v>
      </c>
      <c r="G27997" t="s">
        <v>4009</v>
      </c>
      <c r="H27997" s="21">
        <v>589.16999999999996</v>
      </c>
    </row>
    <row r="27998" spans="1:8" customFormat="1" x14ac:dyDescent="0.25">
      <c r="A27998" t="str">
        <f>"2912445"</f>
        <v>2912445</v>
      </c>
      <c r="B27998" t="s">
        <v>10539</v>
      </c>
      <c r="C27998" t="s">
        <v>2365</v>
      </c>
      <c r="D27998" s="21" t="s">
        <v>34</v>
      </c>
      <c r="E27998" s="21" t="s">
        <v>254</v>
      </c>
      <c r="F27998">
        <v>3290006</v>
      </c>
      <c r="G27998" t="s">
        <v>13009</v>
      </c>
      <c r="H27998" s="21">
        <v>589.16999999999996</v>
      </c>
    </row>
    <row r="27999" spans="1:8" customFormat="1" x14ac:dyDescent="0.25">
      <c r="A27999" t="str">
        <f>"6715903"</f>
        <v>6715903</v>
      </c>
      <c r="B27999" t="s">
        <v>20215</v>
      </c>
      <c r="C27999" t="s">
        <v>598</v>
      </c>
      <c r="D27999" s="21" t="s">
        <v>34</v>
      </c>
      <c r="E27999" s="21" t="s">
        <v>254</v>
      </c>
      <c r="F27999">
        <v>6670092</v>
      </c>
      <c r="G27999" t="s">
        <v>10845</v>
      </c>
      <c r="H27999" s="21">
        <v>589.16999999999996</v>
      </c>
    </row>
    <row r="28000" spans="1:8" customFormat="1" x14ac:dyDescent="0.25">
      <c r="A28000" t="str">
        <f>"6019267"</f>
        <v>6019267</v>
      </c>
      <c r="B28000" t="s">
        <v>3576</v>
      </c>
      <c r="C28000" t="s">
        <v>20340</v>
      </c>
      <c r="D28000" s="21" t="s">
        <v>34</v>
      </c>
      <c r="E28000" s="21" t="s">
        <v>71</v>
      </c>
      <c r="F28000">
        <v>7600166</v>
      </c>
      <c r="G28000" t="s">
        <v>9171</v>
      </c>
      <c r="H28000" s="21">
        <v>589.16999999999996</v>
      </c>
    </row>
    <row r="28001" spans="1:8" customFormat="1" x14ac:dyDescent="0.25">
      <c r="A28001" t="str">
        <f>"5935112"</f>
        <v>5935112</v>
      </c>
      <c r="B28001" t="s">
        <v>21598</v>
      </c>
      <c r="C28001" t="s">
        <v>169</v>
      </c>
      <c r="D28001" s="21" t="s">
        <v>34</v>
      </c>
      <c r="E28001" s="21" t="s">
        <v>71</v>
      </c>
      <c r="F28001">
        <v>7590023</v>
      </c>
      <c r="G28001" t="s">
        <v>7058</v>
      </c>
      <c r="H28001" s="21">
        <v>589.16999999999996</v>
      </c>
    </row>
    <row r="28002" spans="1:8" customFormat="1" x14ac:dyDescent="0.25">
      <c r="A28002" t="str">
        <f>"3536112"</f>
        <v>3536112</v>
      </c>
      <c r="B28002" t="s">
        <v>17378</v>
      </c>
      <c r="C28002" t="s">
        <v>169</v>
      </c>
      <c r="D28002" s="21" t="s">
        <v>34</v>
      </c>
      <c r="E28002" s="21" t="s">
        <v>35</v>
      </c>
      <c r="F28002">
        <v>3350221</v>
      </c>
      <c r="G28002" t="s">
        <v>14681</v>
      </c>
      <c r="H28002" s="21">
        <v>589.16999999999996</v>
      </c>
    </row>
    <row r="28003" spans="1:8" customFormat="1" x14ac:dyDescent="0.25">
      <c r="A28003" t="str">
        <f>"2219844"</f>
        <v>2219844</v>
      </c>
      <c r="B28003" t="s">
        <v>136</v>
      </c>
      <c r="C28003" t="s">
        <v>204</v>
      </c>
      <c r="D28003" s="21" t="s">
        <v>34</v>
      </c>
      <c r="E28003" s="21" t="s">
        <v>35</v>
      </c>
      <c r="F28003">
        <v>3220033</v>
      </c>
      <c r="G28003" t="s">
        <v>657</v>
      </c>
      <c r="H28003" s="21">
        <v>589.16999999999996</v>
      </c>
    </row>
    <row r="28004" spans="1:8" customFormat="1" x14ac:dyDescent="0.25">
      <c r="A28004" t="str">
        <f>"244289"</f>
        <v>244289</v>
      </c>
      <c r="B28004" t="s">
        <v>987</v>
      </c>
      <c r="C28004" t="s">
        <v>198</v>
      </c>
      <c r="D28004" s="21" t="s">
        <v>34</v>
      </c>
      <c r="E28004" s="21" t="s">
        <v>35</v>
      </c>
      <c r="F28004">
        <v>10240007</v>
      </c>
      <c r="G28004" t="s">
        <v>2326</v>
      </c>
      <c r="H28004" s="21">
        <v>589.16999999999996</v>
      </c>
    </row>
    <row r="28005" spans="1:8" customFormat="1" x14ac:dyDescent="0.25">
      <c r="A28005" t="str">
        <f>"5019360"</f>
        <v>5019360</v>
      </c>
      <c r="B28005" t="s">
        <v>28022</v>
      </c>
      <c r="C28005" t="s">
        <v>3109</v>
      </c>
      <c r="D28005" s="21" t="s">
        <v>34</v>
      </c>
      <c r="E28005" s="21" t="s">
        <v>1089</v>
      </c>
      <c r="F28005">
        <v>9500053</v>
      </c>
      <c r="G28005" t="s">
        <v>11847</v>
      </c>
      <c r="H28005" s="21">
        <v>589.16999999999996</v>
      </c>
    </row>
    <row r="28006" spans="1:8" customFormat="1" x14ac:dyDescent="0.25">
      <c r="A28006" t="str">
        <f>"1613661"</f>
        <v>1613661</v>
      </c>
      <c r="B28006" t="s">
        <v>2398</v>
      </c>
      <c r="C28006" t="s">
        <v>98</v>
      </c>
      <c r="D28006" s="21" t="s">
        <v>34</v>
      </c>
      <c r="E28006" s="21" t="s">
        <v>35</v>
      </c>
      <c r="F28006">
        <v>10160186</v>
      </c>
      <c r="G28006" t="s">
        <v>4819</v>
      </c>
      <c r="H28006" s="21">
        <v>589.16999999999996</v>
      </c>
    </row>
    <row r="28007" spans="1:8" customFormat="1" x14ac:dyDescent="0.25">
      <c r="A28007" t="str">
        <f>"7623804"</f>
        <v>7623804</v>
      </c>
      <c r="B28007" t="s">
        <v>208</v>
      </c>
      <c r="C28007" t="s">
        <v>263</v>
      </c>
      <c r="D28007" s="21" t="s">
        <v>34</v>
      </c>
      <c r="E28007" s="21" t="s">
        <v>71</v>
      </c>
      <c r="F28007">
        <v>9760403</v>
      </c>
      <c r="G28007" t="s">
        <v>11140</v>
      </c>
      <c r="H28007" s="21">
        <v>589.16999999999996</v>
      </c>
    </row>
    <row r="28008" spans="1:8" customFormat="1" x14ac:dyDescent="0.25">
      <c r="A28008" t="str">
        <f>"7879479"</f>
        <v>7879479</v>
      </c>
      <c r="B28008" t="s">
        <v>23778</v>
      </c>
      <c r="C28008" t="s">
        <v>23779</v>
      </c>
      <c r="D28008" s="21" t="s">
        <v>34</v>
      </c>
      <c r="E28008" s="21" t="s">
        <v>35</v>
      </c>
      <c r="F28008">
        <v>8781266</v>
      </c>
      <c r="G28008" t="s">
        <v>26704</v>
      </c>
      <c r="H28008" s="21">
        <v>589.04</v>
      </c>
    </row>
    <row r="28009" spans="1:8" customFormat="1" x14ac:dyDescent="0.25">
      <c r="A28009" t="str">
        <f>"277098"</f>
        <v>277098</v>
      </c>
      <c r="B28009" t="s">
        <v>2481</v>
      </c>
      <c r="C28009" t="s">
        <v>285</v>
      </c>
      <c r="D28009" s="21" t="s">
        <v>34</v>
      </c>
      <c r="E28009" s="21" t="s">
        <v>35</v>
      </c>
      <c r="F28009">
        <v>9270006</v>
      </c>
      <c r="G28009" t="s">
        <v>780</v>
      </c>
      <c r="H28009" s="21">
        <v>589.04</v>
      </c>
    </row>
    <row r="28010" spans="1:8" customFormat="1" x14ac:dyDescent="0.25">
      <c r="A28010" t="str">
        <f>"569440"</f>
        <v>569440</v>
      </c>
      <c r="B28010" t="s">
        <v>20071</v>
      </c>
      <c r="C28010" t="s">
        <v>263</v>
      </c>
      <c r="D28010" s="21" t="s">
        <v>34</v>
      </c>
      <c r="E28010" s="21" t="s">
        <v>254</v>
      </c>
      <c r="F28010">
        <v>10170138</v>
      </c>
      <c r="G28010" t="s">
        <v>13853</v>
      </c>
      <c r="H28010" s="21">
        <v>588.91999999999996</v>
      </c>
    </row>
    <row r="28011" spans="1:8" customFormat="1" x14ac:dyDescent="0.25">
      <c r="A28011" t="str">
        <f>"4219182"</f>
        <v>4219182</v>
      </c>
      <c r="B28011" t="s">
        <v>21234</v>
      </c>
      <c r="C28011" t="s">
        <v>246</v>
      </c>
      <c r="D28011" s="21" t="s">
        <v>34</v>
      </c>
      <c r="E28011" s="21" t="s">
        <v>71</v>
      </c>
      <c r="F28011">
        <v>1420013</v>
      </c>
      <c r="G28011" t="s">
        <v>2013</v>
      </c>
      <c r="H28011" s="21">
        <v>588.91999999999996</v>
      </c>
    </row>
    <row r="28012" spans="1:8" customFormat="1" x14ac:dyDescent="0.25">
      <c r="A28012" t="str">
        <f>"3339070"</f>
        <v>3339070</v>
      </c>
      <c r="B28012" t="s">
        <v>19799</v>
      </c>
      <c r="C28012" t="s">
        <v>576</v>
      </c>
      <c r="D28012" s="21" t="s">
        <v>34</v>
      </c>
      <c r="E28012" s="21" t="s">
        <v>35</v>
      </c>
      <c r="F28012">
        <v>10330125</v>
      </c>
      <c r="G28012" t="s">
        <v>3753</v>
      </c>
      <c r="H28012" s="21">
        <v>588.79</v>
      </c>
    </row>
    <row r="28013" spans="1:8" customFormat="1" x14ac:dyDescent="0.25">
      <c r="A28013" t="str">
        <f>"5413270"</f>
        <v>5413270</v>
      </c>
      <c r="B28013" t="s">
        <v>7272</v>
      </c>
      <c r="C28013" t="s">
        <v>6285</v>
      </c>
      <c r="D28013" s="21" t="s">
        <v>34</v>
      </c>
      <c r="E28013" s="21" t="s">
        <v>1089</v>
      </c>
      <c r="F28013">
        <v>6540128</v>
      </c>
      <c r="G28013" t="s">
        <v>1249</v>
      </c>
      <c r="H28013" s="21">
        <v>588.66999999999996</v>
      </c>
    </row>
    <row r="28014" spans="1:8" customFormat="1" x14ac:dyDescent="0.25">
      <c r="A28014" t="str">
        <f>"5931174"</f>
        <v>5931174</v>
      </c>
      <c r="B28014" t="s">
        <v>6842</v>
      </c>
      <c r="C28014" t="s">
        <v>174</v>
      </c>
      <c r="D28014" s="21" t="s">
        <v>34</v>
      </c>
      <c r="E28014" s="21" t="s">
        <v>35</v>
      </c>
      <c r="F28014">
        <v>7590017</v>
      </c>
      <c r="G28014" t="s">
        <v>1316</v>
      </c>
      <c r="H28014" s="21">
        <v>588.66999999999996</v>
      </c>
    </row>
    <row r="28015" spans="1:8" customFormat="1" x14ac:dyDescent="0.25">
      <c r="A28015" t="str">
        <f>"044013"</f>
        <v>044013</v>
      </c>
      <c r="B28015" t="s">
        <v>28023</v>
      </c>
      <c r="C28015" t="s">
        <v>28024</v>
      </c>
      <c r="D28015" s="21" t="s">
        <v>34</v>
      </c>
      <c r="E28015" s="21" t="s">
        <v>71</v>
      </c>
      <c r="F28015">
        <v>13040030</v>
      </c>
      <c r="G28015" t="s">
        <v>1903</v>
      </c>
      <c r="H28015" s="21">
        <v>588.66999999999996</v>
      </c>
    </row>
    <row r="28016" spans="1:8" customFormat="1" x14ac:dyDescent="0.25">
      <c r="A28016" t="str">
        <f>"7619382"</f>
        <v>7619382</v>
      </c>
      <c r="B28016" t="s">
        <v>1347</v>
      </c>
      <c r="C28016" t="s">
        <v>453</v>
      </c>
      <c r="D28016" s="21" t="s">
        <v>34</v>
      </c>
      <c r="E28016" s="21" t="s">
        <v>71</v>
      </c>
      <c r="F28016">
        <v>9760352</v>
      </c>
      <c r="G28016" t="s">
        <v>7885</v>
      </c>
      <c r="H28016" s="21">
        <v>588.66999999999996</v>
      </c>
    </row>
    <row r="28017" spans="1:8" customFormat="1" x14ac:dyDescent="0.25">
      <c r="A28017" t="str">
        <f>"4935020"</f>
        <v>4935020</v>
      </c>
      <c r="B28017" t="s">
        <v>9102</v>
      </c>
      <c r="C28017" t="s">
        <v>1104</v>
      </c>
      <c r="D28017" s="21" t="s">
        <v>34</v>
      </c>
      <c r="E28017" s="21" t="s">
        <v>35</v>
      </c>
      <c r="F28017">
        <v>12490022</v>
      </c>
      <c r="G28017" t="s">
        <v>1450</v>
      </c>
      <c r="H28017" s="21">
        <v>588.66999999999996</v>
      </c>
    </row>
    <row r="28018" spans="1:8" customFormat="1" x14ac:dyDescent="0.25">
      <c r="A28018" t="str">
        <f>"717532"</f>
        <v>717532</v>
      </c>
      <c r="B28018" t="s">
        <v>20054</v>
      </c>
      <c r="C28018" t="s">
        <v>1914</v>
      </c>
      <c r="D28018" s="21" t="s">
        <v>34</v>
      </c>
      <c r="E28018" s="21" t="s">
        <v>35</v>
      </c>
      <c r="F28018">
        <v>2710051</v>
      </c>
      <c r="G28018" t="s">
        <v>4811</v>
      </c>
      <c r="H28018" s="21">
        <v>588.66999999999996</v>
      </c>
    </row>
    <row r="28019" spans="1:8" customFormat="1" x14ac:dyDescent="0.25">
      <c r="A28019" t="str">
        <f>"4447536"</f>
        <v>4447536</v>
      </c>
      <c r="B28019" t="s">
        <v>18432</v>
      </c>
      <c r="C28019" t="s">
        <v>130</v>
      </c>
      <c r="D28019" s="21" t="s">
        <v>34</v>
      </c>
      <c r="E28019" s="21" t="s">
        <v>35</v>
      </c>
      <c r="F28019">
        <v>12440141</v>
      </c>
      <c r="G28019" t="s">
        <v>3234</v>
      </c>
      <c r="H28019" s="21">
        <v>588.66999999999996</v>
      </c>
    </row>
    <row r="28020" spans="1:8" customFormat="1" x14ac:dyDescent="0.25">
      <c r="A28020" t="str">
        <f>"3340623"</f>
        <v>3340623</v>
      </c>
      <c r="B28020" t="s">
        <v>21340</v>
      </c>
      <c r="C28020" t="s">
        <v>149</v>
      </c>
      <c r="D28020" s="21" t="s">
        <v>34</v>
      </c>
      <c r="E28020" s="21" t="s">
        <v>35</v>
      </c>
      <c r="F28020">
        <v>10330028</v>
      </c>
      <c r="G28020" t="s">
        <v>4553</v>
      </c>
      <c r="H28020" s="21">
        <v>588.66999999999996</v>
      </c>
    </row>
    <row r="28021" spans="1:8" customFormat="1" x14ac:dyDescent="0.25">
      <c r="A28021" t="str">
        <f>"905073"</f>
        <v>905073</v>
      </c>
      <c r="B28021" t="s">
        <v>28025</v>
      </c>
      <c r="C28021" t="s">
        <v>305</v>
      </c>
      <c r="D28021" s="21" t="s">
        <v>34</v>
      </c>
      <c r="E28021" s="21" t="s">
        <v>35</v>
      </c>
      <c r="F28021">
        <v>2900046</v>
      </c>
      <c r="G28021" t="s">
        <v>4101</v>
      </c>
      <c r="H28021" s="21">
        <v>588.66999999999996</v>
      </c>
    </row>
    <row r="28022" spans="1:8" customFormat="1" x14ac:dyDescent="0.25">
      <c r="A28022" t="str">
        <f>"535410"</f>
        <v>535410</v>
      </c>
      <c r="B28022" t="s">
        <v>19550</v>
      </c>
      <c r="C28022" t="s">
        <v>239</v>
      </c>
      <c r="D28022" s="21" t="s">
        <v>34</v>
      </c>
      <c r="E28022" s="21" t="s">
        <v>1089</v>
      </c>
      <c r="F28022">
        <v>12530023</v>
      </c>
      <c r="G28022" t="s">
        <v>5879</v>
      </c>
      <c r="H28022" s="21">
        <v>588.66999999999996</v>
      </c>
    </row>
    <row r="28023" spans="1:8" customFormat="1" x14ac:dyDescent="0.25">
      <c r="A28023" t="str">
        <f>"3329323"</f>
        <v>3329323</v>
      </c>
      <c r="B28023" t="s">
        <v>21187</v>
      </c>
      <c r="C28023" t="s">
        <v>305</v>
      </c>
      <c r="D28023" s="21" t="s">
        <v>34</v>
      </c>
      <c r="E28023" s="21" t="s">
        <v>35</v>
      </c>
      <c r="F28023">
        <v>10170003</v>
      </c>
      <c r="G28023" t="s">
        <v>10432</v>
      </c>
      <c r="H28023" s="21">
        <v>588.66999999999996</v>
      </c>
    </row>
    <row r="28024" spans="1:8" customFormat="1" x14ac:dyDescent="0.25">
      <c r="A28024" t="str">
        <f>"247115"</f>
        <v>247115</v>
      </c>
      <c r="B28024" t="s">
        <v>28026</v>
      </c>
      <c r="C28024" t="s">
        <v>130</v>
      </c>
      <c r="D28024" s="21" t="s">
        <v>34</v>
      </c>
      <c r="E28024" s="21" t="s">
        <v>71</v>
      </c>
      <c r="F28024">
        <v>10240014</v>
      </c>
      <c r="G28024" t="s">
        <v>5445</v>
      </c>
      <c r="H28024" s="21">
        <v>588.66999999999996</v>
      </c>
    </row>
    <row r="28025" spans="1:8" customFormat="1" x14ac:dyDescent="0.25">
      <c r="A28025" t="str">
        <f>"331789"</f>
        <v>331789</v>
      </c>
      <c r="B28025" t="s">
        <v>9838</v>
      </c>
      <c r="C28025" t="s">
        <v>1841</v>
      </c>
      <c r="D28025" s="21" t="s">
        <v>34</v>
      </c>
      <c r="E28025" s="21" t="s">
        <v>1089</v>
      </c>
      <c r="F28025">
        <v>10330067</v>
      </c>
      <c r="G28025" t="s">
        <v>125</v>
      </c>
      <c r="H28025" s="21">
        <v>588.66999999999996</v>
      </c>
    </row>
    <row r="28026" spans="1:8" customFormat="1" x14ac:dyDescent="0.25">
      <c r="A28026" t="str">
        <f>"4453779"</f>
        <v>4453779</v>
      </c>
      <c r="B28026" t="s">
        <v>21297</v>
      </c>
      <c r="C28026" t="s">
        <v>60</v>
      </c>
      <c r="D28026" s="21" t="s">
        <v>34</v>
      </c>
      <c r="E28026" s="21" t="s">
        <v>35</v>
      </c>
      <c r="F28026">
        <v>12440227</v>
      </c>
      <c r="G28026" t="s">
        <v>19150</v>
      </c>
      <c r="H28026" s="21">
        <v>588.66999999999996</v>
      </c>
    </row>
    <row r="28027" spans="1:8" customFormat="1" x14ac:dyDescent="0.25">
      <c r="A28027" t="str">
        <f>"2928207"</f>
        <v>2928207</v>
      </c>
      <c r="B28027" t="s">
        <v>3555</v>
      </c>
      <c r="C28027" t="s">
        <v>328</v>
      </c>
      <c r="D28027" s="21" t="s">
        <v>34</v>
      </c>
      <c r="E28027" s="21" t="s">
        <v>35</v>
      </c>
      <c r="F28027">
        <v>3290274</v>
      </c>
      <c r="G28027" t="s">
        <v>11751</v>
      </c>
      <c r="H28027" s="21">
        <v>588.66999999999996</v>
      </c>
    </row>
    <row r="28028" spans="1:8" customFormat="1" x14ac:dyDescent="0.25">
      <c r="A28028" t="str">
        <f>"3335737"</f>
        <v>3335737</v>
      </c>
      <c r="B28028" t="s">
        <v>20559</v>
      </c>
      <c r="C28028" t="s">
        <v>812</v>
      </c>
      <c r="D28028" s="21" t="s">
        <v>34</v>
      </c>
      <c r="E28028" s="21" t="s">
        <v>254</v>
      </c>
      <c r="F28028">
        <v>10330084</v>
      </c>
      <c r="G28028" t="s">
        <v>1124</v>
      </c>
      <c r="H28028" s="21">
        <v>588.66999999999996</v>
      </c>
    </row>
    <row r="28029" spans="1:8" customFormat="1" x14ac:dyDescent="0.25">
      <c r="A28029" t="str">
        <f>"3730137"</f>
        <v>3730137</v>
      </c>
      <c r="B28029" t="s">
        <v>16237</v>
      </c>
      <c r="C28029" t="s">
        <v>40</v>
      </c>
      <c r="D28029" s="21" t="s">
        <v>34</v>
      </c>
      <c r="E28029" s="21" t="s">
        <v>35</v>
      </c>
      <c r="F28029">
        <v>4370637</v>
      </c>
      <c r="G28029" t="s">
        <v>3941</v>
      </c>
      <c r="H28029" s="21">
        <v>588.66999999999996</v>
      </c>
    </row>
    <row r="28030" spans="1:8" customFormat="1" x14ac:dyDescent="0.25">
      <c r="A28030" t="str">
        <f>"5325808"</f>
        <v>5325808</v>
      </c>
      <c r="B28030" t="s">
        <v>7653</v>
      </c>
      <c r="C28030" t="s">
        <v>611</v>
      </c>
      <c r="D28030" s="21" t="s">
        <v>34</v>
      </c>
      <c r="E28030" s="21" t="s">
        <v>35</v>
      </c>
      <c r="F28030">
        <v>12538909</v>
      </c>
      <c r="G28030" t="s">
        <v>13536</v>
      </c>
      <c r="H28030" s="21">
        <v>588.66999999999996</v>
      </c>
    </row>
    <row r="28031" spans="1:8" customFormat="1" x14ac:dyDescent="0.25">
      <c r="A28031" t="str">
        <f>"518741"</f>
        <v>518741</v>
      </c>
      <c r="B28031" t="s">
        <v>20853</v>
      </c>
      <c r="C28031" t="s">
        <v>239</v>
      </c>
      <c r="D28031" s="21" t="s">
        <v>34</v>
      </c>
      <c r="E28031" s="21" t="s">
        <v>1089</v>
      </c>
      <c r="F28031">
        <v>6510053</v>
      </c>
      <c r="G28031" t="s">
        <v>27203</v>
      </c>
      <c r="H28031" s="21">
        <v>588.66999999999996</v>
      </c>
    </row>
    <row r="28032" spans="1:8" customFormat="1" x14ac:dyDescent="0.25">
      <c r="A28032" t="str">
        <f>"4434004"</f>
        <v>4434004</v>
      </c>
      <c r="B28032" t="s">
        <v>20078</v>
      </c>
      <c r="C28032" t="s">
        <v>87</v>
      </c>
      <c r="D28032" s="21" t="s">
        <v>34</v>
      </c>
      <c r="E28032" s="21" t="s">
        <v>71</v>
      </c>
      <c r="F28032">
        <v>12440056</v>
      </c>
      <c r="G28032" t="s">
        <v>2037</v>
      </c>
      <c r="H28032" s="21">
        <v>588.66999999999996</v>
      </c>
    </row>
    <row r="28033" spans="1:8" customFormat="1" x14ac:dyDescent="0.25">
      <c r="A28033" t="str">
        <f>"9445966"</f>
        <v>9445966</v>
      </c>
      <c r="B28033" t="s">
        <v>1512</v>
      </c>
      <c r="C28033" t="s">
        <v>20321</v>
      </c>
      <c r="D28033" s="21" t="s">
        <v>34</v>
      </c>
      <c r="E28033" s="21" t="s">
        <v>71</v>
      </c>
      <c r="F28033">
        <v>8930610</v>
      </c>
      <c r="G28033" t="s">
        <v>3002</v>
      </c>
      <c r="H28033" s="21">
        <v>588.66999999999996</v>
      </c>
    </row>
    <row r="28034" spans="1:8" customFormat="1" x14ac:dyDescent="0.25">
      <c r="A28034" t="str">
        <f>"667424"</f>
        <v>667424</v>
      </c>
      <c r="B28034" t="s">
        <v>4091</v>
      </c>
      <c r="C28034" t="s">
        <v>144</v>
      </c>
      <c r="D28034" s="21" t="s">
        <v>34</v>
      </c>
      <c r="E28034" s="21" t="s">
        <v>35</v>
      </c>
      <c r="F28034">
        <v>11660021</v>
      </c>
      <c r="G28034" t="s">
        <v>16765</v>
      </c>
      <c r="H28034" s="21">
        <v>588.66999999999996</v>
      </c>
    </row>
    <row r="28035" spans="1:8" customFormat="1" x14ac:dyDescent="0.25">
      <c r="A28035" t="str">
        <f>"4443382"</f>
        <v>4443382</v>
      </c>
      <c r="B28035" t="s">
        <v>3508</v>
      </c>
      <c r="C28035" t="s">
        <v>249</v>
      </c>
      <c r="D28035" s="21" t="s">
        <v>34</v>
      </c>
      <c r="E28035" s="21" t="s">
        <v>71</v>
      </c>
      <c r="F28035">
        <v>12440042</v>
      </c>
      <c r="G28035" t="s">
        <v>10312</v>
      </c>
      <c r="H28035" s="21">
        <v>588.66999999999996</v>
      </c>
    </row>
    <row r="28036" spans="1:8" customFormat="1" x14ac:dyDescent="0.25">
      <c r="A28036" t="str">
        <f>"5970484"</f>
        <v>5970484</v>
      </c>
      <c r="B28036" t="s">
        <v>9276</v>
      </c>
      <c r="C28036" t="s">
        <v>2838</v>
      </c>
      <c r="D28036" s="21" t="s">
        <v>34</v>
      </c>
      <c r="E28036" s="21" t="s">
        <v>35</v>
      </c>
      <c r="F28036">
        <v>7590086</v>
      </c>
      <c r="G28036" t="s">
        <v>3557</v>
      </c>
      <c r="H28036" s="21">
        <v>588.66999999999996</v>
      </c>
    </row>
    <row r="28037" spans="1:8" customFormat="1" x14ac:dyDescent="0.25">
      <c r="A28037" t="str">
        <f>"253508"</f>
        <v>253508</v>
      </c>
      <c r="B28037" t="s">
        <v>18808</v>
      </c>
      <c r="C28037" t="s">
        <v>267</v>
      </c>
      <c r="D28037" s="21" t="s">
        <v>34</v>
      </c>
      <c r="E28037" s="21" t="s">
        <v>254</v>
      </c>
      <c r="F28037">
        <v>2250162</v>
      </c>
      <c r="G28037" t="s">
        <v>7388</v>
      </c>
      <c r="H28037" s="21">
        <v>588.66999999999996</v>
      </c>
    </row>
    <row r="28038" spans="1:8" customFormat="1" x14ac:dyDescent="0.25">
      <c r="A28038" t="str">
        <f>"4426618"</f>
        <v>4426618</v>
      </c>
      <c r="B28038" t="s">
        <v>1312</v>
      </c>
      <c r="C28038" t="s">
        <v>19492</v>
      </c>
      <c r="D28038" s="21" t="s">
        <v>34</v>
      </c>
      <c r="E28038" s="21" t="s">
        <v>35</v>
      </c>
      <c r="F28038">
        <v>12440149</v>
      </c>
      <c r="G28038" t="s">
        <v>15804</v>
      </c>
      <c r="H28038" s="21">
        <v>588.66999999999996</v>
      </c>
    </row>
    <row r="28039" spans="1:8" customFormat="1" x14ac:dyDescent="0.25">
      <c r="A28039" t="str">
        <f>"6923287"</f>
        <v>6923287</v>
      </c>
      <c r="B28039" t="s">
        <v>19655</v>
      </c>
      <c r="C28039" t="s">
        <v>547</v>
      </c>
      <c r="D28039" s="21" t="s">
        <v>34</v>
      </c>
      <c r="E28039" s="21" t="s">
        <v>1089</v>
      </c>
      <c r="F28039">
        <v>1730074</v>
      </c>
      <c r="G28039" t="s">
        <v>7704</v>
      </c>
      <c r="H28039" s="21">
        <v>588.66999999999996</v>
      </c>
    </row>
    <row r="28040" spans="1:8" customFormat="1" x14ac:dyDescent="0.25">
      <c r="A28040" t="str">
        <f>"7912000"</f>
        <v>7912000</v>
      </c>
      <c r="B28040" t="s">
        <v>19623</v>
      </c>
      <c r="C28040" t="s">
        <v>249</v>
      </c>
      <c r="D28040" s="21" t="s">
        <v>34</v>
      </c>
      <c r="E28040" s="21" t="s">
        <v>71</v>
      </c>
      <c r="F28040">
        <v>10790045</v>
      </c>
      <c r="G28040" t="s">
        <v>1498</v>
      </c>
      <c r="H28040" s="21">
        <v>588.66999999999996</v>
      </c>
    </row>
    <row r="28041" spans="1:8" customFormat="1" x14ac:dyDescent="0.25">
      <c r="A28041" t="str">
        <f>"5112283"</f>
        <v>5112283</v>
      </c>
      <c r="B28041" t="s">
        <v>2067</v>
      </c>
      <c r="C28041" t="s">
        <v>60</v>
      </c>
      <c r="D28041" s="21" t="s">
        <v>34</v>
      </c>
      <c r="E28041" s="21" t="s">
        <v>35</v>
      </c>
      <c r="F28041">
        <v>6510062</v>
      </c>
      <c r="G28041" t="s">
        <v>9059</v>
      </c>
      <c r="H28041" s="21">
        <v>588.66999999999996</v>
      </c>
    </row>
    <row r="28042" spans="1:8" customFormat="1" x14ac:dyDescent="0.25">
      <c r="A28042" t="str">
        <f>"806056"</f>
        <v>806056</v>
      </c>
      <c r="B28042" t="s">
        <v>17636</v>
      </c>
      <c r="C28042" t="s">
        <v>156</v>
      </c>
      <c r="D28042" s="21" t="s">
        <v>34</v>
      </c>
      <c r="E28042" s="21" t="s">
        <v>71</v>
      </c>
      <c r="F28042">
        <v>7800107</v>
      </c>
      <c r="G28042" t="s">
        <v>10161</v>
      </c>
      <c r="H28042" s="21">
        <v>588.66999999999996</v>
      </c>
    </row>
    <row r="28043" spans="1:8" customFormat="1" x14ac:dyDescent="0.25">
      <c r="A28043" t="str">
        <f>"3816697"</f>
        <v>3816697</v>
      </c>
      <c r="B28043" t="s">
        <v>2835</v>
      </c>
      <c r="C28043" t="s">
        <v>209</v>
      </c>
      <c r="D28043" s="21" t="s">
        <v>34</v>
      </c>
      <c r="E28043" s="21" t="s">
        <v>71</v>
      </c>
      <c r="F28043">
        <v>1730083</v>
      </c>
      <c r="G28043" t="s">
        <v>10955</v>
      </c>
      <c r="H28043" s="21">
        <v>588.66999999999996</v>
      </c>
    </row>
    <row r="28044" spans="1:8" customFormat="1" x14ac:dyDescent="0.25">
      <c r="A28044" t="str">
        <f>"7214374"</f>
        <v>7214374</v>
      </c>
      <c r="B28044" t="s">
        <v>12841</v>
      </c>
      <c r="C28044" t="s">
        <v>608</v>
      </c>
      <c r="D28044" s="21" t="s">
        <v>34</v>
      </c>
      <c r="E28044" s="21" t="s">
        <v>35</v>
      </c>
      <c r="F28044">
        <v>11340060</v>
      </c>
      <c r="G28044" t="s">
        <v>1275</v>
      </c>
      <c r="H28044" s="21">
        <v>588.54</v>
      </c>
    </row>
    <row r="28045" spans="1:8" customFormat="1" x14ac:dyDescent="0.25">
      <c r="A28045" t="str">
        <f>"4220136"</f>
        <v>4220136</v>
      </c>
      <c r="B28045" t="s">
        <v>4649</v>
      </c>
      <c r="C28045" t="s">
        <v>926</v>
      </c>
      <c r="D28045" s="21" t="s">
        <v>34</v>
      </c>
      <c r="E28045" s="21" t="s">
        <v>35</v>
      </c>
      <c r="F28045">
        <v>1420070</v>
      </c>
      <c r="G28045" t="s">
        <v>27046</v>
      </c>
      <c r="H28045" s="21">
        <v>588.5</v>
      </c>
    </row>
    <row r="28046" spans="1:8" customFormat="1" x14ac:dyDescent="0.25">
      <c r="A28046" t="str">
        <f>"3345469"</f>
        <v>3345469</v>
      </c>
      <c r="B28046" t="s">
        <v>4352</v>
      </c>
      <c r="C28046" t="s">
        <v>328</v>
      </c>
      <c r="D28046" s="21" t="s">
        <v>34</v>
      </c>
      <c r="E28046" s="21" t="s">
        <v>35</v>
      </c>
      <c r="F28046">
        <v>10330005</v>
      </c>
      <c r="G28046" t="s">
        <v>3526</v>
      </c>
      <c r="H28046" s="21">
        <v>588.5</v>
      </c>
    </row>
    <row r="28047" spans="1:8" customFormat="1" x14ac:dyDescent="0.25">
      <c r="A28047" t="str">
        <f>"3118396"</f>
        <v>3118396</v>
      </c>
      <c r="B28047" t="s">
        <v>11717</v>
      </c>
      <c r="C28047" t="s">
        <v>484</v>
      </c>
      <c r="D28047" s="21" t="s">
        <v>34</v>
      </c>
      <c r="E28047" s="21" t="s">
        <v>35</v>
      </c>
      <c r="F28047">
        <v>11310011</v>
      </c>
      <c r="G28047" t="s">
        <v>26586</v>
      </c>
      <c r="H28047" s="21">
        <v>588.5</v>
      </c>
    </row>
    <row r="28048" spans="1:8" customFormat="1" x14ac:dyDescent="0.25">
      <c r="A28048" t="str">
        <f>"9245003"</f>
        <v>9245003</v>
      </c>
      <c r="B28048" t="s">
        <v>22572</v>
      </c>
      <c r="C28048" t="s">
        <v>239</v>
      </c>
      <c r="D28048" s="21" t="s">
        <v>34</v>
      </c>
      <c r="E28048" s="21" t="s">
        <v>71</v>
      </c>
      <c r="F28048">
        <v>3290229</v>
      </c>
      <c r="G28048" t="s">
        <v>408</v>
      </c>
      <c r="H28048" s="21">
        <v>588.41999999999996</v>
      </c>
    </row>
    <row r="28049" spans="1:8" customFormat="1" x14ac:dyDescent="0.25">
      <c r="A28049" t="str">
        <f>"649076"</f>
        <v>649076</v>
      </c>
      <c r="B28049" t="s">
        <v>21743</v>
      </c>
      <c r="C28049" t="s">
        <v>55</v>
      </c>
      <c r="D28049" s="21" t="s">
        <v>34</v>
      </c>
      <c r="E28049" s="21" t="s">
        <v>71</v>
      </c>
      <c r="F28049">
        <v>10640004</v>
      </c>
      <c r="G28049" t="s">
        <v>26618</v>
      </c>
      <c r="H28049" s="21">
        <v>588.29</v>
      </c>
    </row>
    <row r="28050" spans="1:8" customFormat="1" x14ac:dyDescent="0.25">
      <c r="A28050" t="str">
        <f>"9456505"</f>
        <v>9456505</v>
      </c>
      <c r="B28050" t="s">
        <v>15626</v>
      </c>
      <c r="C28050" t="s">
        <v>269</v>
      </c>
      <c r="D28050" s="21" t="s">
        <v>34</v>
      </c>
      <c r="E28050" s="21" t="s">
        <v>35</v>
      </c>
      <c r="F28050">
        <v>8940524</v>
      </c>
      <c r="G28050" t="s">
        <v>6176</v>
      </c>
      <c r="H28050" s="21">
        <v>588.29</v>
      </c>
    </row>
    <row r="28051" spans="1:8" customFormat="1" x14ac:dyDescent="0.25">
      <c r="A28051" t="str">
        <f>"6722030"</f>
        <v>6722030</v>
      </c>
      <c r="B28051" t="s">
        <v>19791</v>
      </c>
      <c r="C28051" t="s">
        <v>415</v>
      </c>
      <c r="D28051" s="21" t="s">
        <v>34</v>
      </c>
      <c r="E28051" s="21" t="s">
        <v>254</v>
      </c>
      <c r="F28051">
        <v>6670149</v>
      </c>
      <c r="G28051" t="s">
        <v>4404</v>
      </c>
      <c r="H28051" s="21">
        <v>588.16999999999996</v>
      </c>
    </row>
    <row r="28052" spans="1:8" customFormat="1" x14ac:dyDescent="0.25">
      <c r="A28052" t="str">
        <f>"1613975"</f>
        <v>1613975</v>
      </c>
      <c r="B28052" t="s">
        <v>22152</v>
      </c>
      <c r="C28052" t="s">
        <v>151</v>
      </c>
      <c r="D28052" s="21" t="s">
        <v>34</v>
      </c>
      <c r="E28052" s="21" t="s">
        <v>35</v>
      </c>
      <c r="F28052">
        <v>10160010</v>
      </c>
      <c r="G28052" t="s">
        <v>5491</v>
      </c>
      <c r="H28052" s="21">
        <v>588.16999999999996</v>
      </c>
    </row>
    <row r="28053" spans="1:8" customFormat="1" x14ac:dyDescent="0.25">
      <c r="A28053" t="str">
        <f>"5619579"</f>
        <v>5619579</v>
      </c>
      <c r="B28053" t="s">
        <v>146</v>
      </c>
      <c r="C28053" t="s">
        <v>1914</v>
      </c>
      <c r="D28053" s="21" t="s">
        <v>34</v>
      </c>
      <c r="E28053" s="21" t="s">
        <v>254</v>
      </c>
      <c r="F28053">
        <v>3560038</v>
      </c>
      <c r="G28053" t="s">
        <v>3598</v>
      </c>
      <c r="H28053" s="21">
        <v>588.16999999999996</v>
      </c>
    </row>
    <row r="28054" spans="1:8" customFormat="1" x14ac:dyDescent="0.25">
      <c r="A28054" t="str">
        <f>"3713212"</f>
        <v>3713212</v>
      </c>
      <c r="B28054" t="s">
        <v>19280</v>
      </c>
      <c r="C28054" t="s">
        <v>114</v>
      </c>
      <c r="D28054" s="21" t="s">
        <v>34</v>
      </c>
      <c r="E28054" s="21" t="s">
        <v>71</v>
      </c>
      <c r="F28054">
        <v>4370681</v>
      </c>
      <c r="G28054" t="s">
        <v>4508</v>
      </c>
      <c r="H28054" s="21">
        <v>588.16999999999996</v>
      </c>
    </row>
    <row r="28055" spans="1:8" customFormat="1" x14ac:dyDescent="0.25">
      <c r="A28055" t="str">
        <f>"1613772"</f>
        <v>1613772</v>
      </c>
      <c r="B28055" t="s">
        <v>21873</v>
      </c>
      <c r="C28055" t="s">
        <v>1559</v>
      </c>
      <c r="D28055" s="21" t="s">
        <v>34</v>
      </c>
      <c r="E28055" s="21" t="s">
        <v>35</v>
      </c>
      <c r="F28055">
        <v>10160071</v>
      </c>
      <c r="G28055" t="s">
        <v>21857</v>
      </c>
      <c r="H28055" s="21">
        <v>588.16999999999996</v>
      </c>
    </row>
    <row r="28056" spans="1:8" customFormat="1" x14ac:dyDescent="0.25">
      <c r="A28056" t="str">
        <f>"9D2579"</f>
        <v>9D2579</v>
      </c>
      <c r="B28056" t="s">
        <v>14437</v>
      </c>
      <c r="C28056" t="s">
        <v>114</v>
      </c>
      <c r="D28056" s="21" t="s">
        <v>34</v>
      </c>
      <c r="E28056" s="21" t="s">
        <v>254</v>
      </c>
      <c r="F28056" t="s">
        <v>5881</v>
      </c>
      <c r="G28056" t="s">
        <v>5882</v>
      </c>
      <c r="H28056" s="21">
        <v>588.16999999999996</v>
      </c>
    </row>
    <row r="28057" spans="1:8" customFormat="1" x14ac:dyDescent="0.25">
      <c r="A28057" t="str">
        <f>"7819055"</f>
        <v>7819055</v>
      </c>
      <c r="B28057" t="s">
        <v>7628</v>
      </c>
      <c r="C28057" t="s">
        <v>209</v>
      </c>
      <c r="D28057" s="21" t="s">
        <v>34</v>
      </c>
      <c r="E28057" s="21" t="s">
        <v>71</v>
      </c>
      <c r="F28057">
        <v>8781196</v>
      </c>
      <c r="G28057" t="s">
        <v>8007</v>
      </c>
      <c r="H28057" s="21">
        <v>588.16999999999996</v>
      </c>
    </row>
    <row r="28058" spans="1:8" customFormat="1" x14ac:dyDescent="0.25">
      <c r="A28058" t="str">
        <f>"7719710"</f>
        <v>7719710</v>
      </c>
      <c r="B28058" t="s">
        <v>20787</v>
      </c>
      <c r="C28058" t="s">
        <v>507</v>
      </c>
      <c r="D28058" s="21" t="s">
        <v>34</v>
      </c>
      <c r="E28058" s="21" t="s">
        <v>71</v>
      </c>
      <c r="F28058" t="s">
        <v>5881</v>
      </c>
      <c r="G28058" t="s">
        <v>5882</v>
      </c>
      <c r="H28058" s="21">
        <v>588.16999999999996</v>
      </c>
    </row>
    <row r="28059" spans="1:8" customFormat="1" x14ac:dyDescent="0.25">
      <c r="A28059" t="str">
        <f>"3528718"</f>
        <v>3528718</v>
      </c>
      <c r="B28059" t="s">
        <v>19953</v>
      </c>
      <c r="C28059" t="s">
        <v>1110</v>
      </c>
      <c r="D28059" s="21" t="s">
        <v>34</v>
      </c>
      <c r="E28059" s="21" t="s">
        <v>71</v>
      </c>
      <c r="F28059">
        <v>3350156</v>
      </c>
      <c r="G28059" t="s">
        <v>18238</v>
      </c>
      <c r="H28059" s="21">
        <v>588.16999999999996</v>
      </c>
    </row>
    <row r="28060" spans="1:8" customFormat="1" x14ac:dyDescent="0.25">
      <c r="A28060" t="str">
        <f>"5952947"</f>
        <v>5952947</v>
      </c>
      <c r="B28060" t="s">
        <v>6847</v>
      </c>
      <c r="C28060" t="s">
        <v>233</v>
      </c>
      <c r="D28060" s="21" t="s">
        <v>34</v>
      </c>
      <c r="E28060" s="21" t="s">
        <v>71</v>
      </c>
      <c r="F28060">
        <v>7590137</v>
      </c>
      <c r="G28060" t="s">
        <v>4246</v>
      </c>
      <c r="H28060" s="21">
        <v>588.16999999999996</v>
      </c>
    </row>
    <row r="28061" spans="1:8" customFormat="1" x14ac:dyDescent="0.25">
      <c r="A28061" t="str">
        <f>"5427991"</f>
        <v>5427991</v>
      </c>
      <c r="B28061" t="s">
        <v>20043</v>
      </c>
      <c r="C28061" t="s">
        <v>3073</v>
      </c>
      <c r="D28061" s="21" t="s">
        <v>34</v>
      </c>
      <c r="E28061" s="21" t="s">
        <v>254</v>
      </c>
      <c r="F28061">
        <v>6540011</v>
      </c>
      <c r="G28061" t="s">
        <v>6084</v>
      </c>
      <c r="H28061" s="21">
        <v>588.16999999999996</v>
      </c>
    </row>
    <row r="28062" spans="1:8" customFormat="1" x14ac:dyDescent="0.25">
      <c r="A28062" t="str">
        <f>"5929856"</f>
        <v>5929856</v>
      </c>
      <c r="B28062" t="s">
        <v>19743</v>
      </c>
      <c r="C28062" t="s">
        <v>55</v>
      </c>
      <c r="D28062" s="21" t="s">
        <v>34</v>
      </c>
      <c r="E28062" s="21" t="s">
        <v>254</v>
      </c>
      <c r="F28062">
        <v>7590413</v>
      </c>
      <c r="G28062" t="s">
        <v>6848</v>
      </c>
      <c r="H28062" s="21">
        <v>588.16999999999996</v>
      </c>
    </row>
    <row r="28063" spans="1:8" customFormat="1" x14ac:dyDescent="0.25">
      <c r="A28063" t="str">
        <f>"879298"</f>
        <v>879298</v>
      </c>
      <c r="B28063" t="s">
        <v>20546</v>
      </c>
      <c r="C28063" t="s">
        <v>249</v>
      </c>
      <c r="D28063" s="21" t="s">
        <v>34</v>
      </c>
      <c r="E28063" s="21" t="s">
        <v>71</v>
      </c>
      <c r="F28063">
        <v>10870130</v>
      </c>
      <c r="G28063" t="s">
        <v>7564</v>
      </c>
      <c r="H28063" s="21">
        <v>588.16999999999996</v>
      </c>
    </row>
    <row r="28064" spans="1:8" customFormat="1" x14ac:dyDescent="0.25">
      <c r="A28064" t="str">
        <f>"889823"</f>
        <v>889823</v>
      </c>
      <c r="B28064" t="s">
        <v>19983</v>
      </c>
      <c r="C28064" t="s">
        <v>1946</v>
      </c>
      <c r="D28064" s="21" t="s">
        <v>34</v>
      </c>
      <c r="E28064" s="21" t="s">
        <v>254</v>
      </c>
      <c r="F28064">
        <v>6880051</v>
      </c>
      <c r="G28064" t="s">
        <v>6116</v>
      </c>
      <c r="H28064" s="21">
        <v>588.16999999999996</v>
      </c>
    </row>
    <row r="28065" spans="1:8" customFormat="1" x14ac:dyDescent="0.25">
      <c r="A28065" t="str">
        <f>"5713767"</f>
        <v>5713767</v>
      </c>
      <c r="B28065" t="s">
        <v>8158</v>
      </c>
      <c r="C28065" t="s">
        <v>1468</v>
      </c>
      <c r="D28065" s="21" t="s">
        <v>34</v>
      </c>
      <c r="E28065" s="21" t="s">
        <v>254</v>
      </c>
      <c r="F28065">
        <v>6570125</v>
      </c>
      <c r="G28065" t="s">
        <v>14599</v>
      </c>
      <c r="H28065" s="21">
        <v>588.16999999999996</v>
      </c>
    </row>
    <row r="28066" spans="1:8" customFormat="1" x14ac:dyDescent="0.25">
      <c r="A28066" t="str">
        <f>"2212803"</f>
        <v>2212803</v>
      </c>
      <c r="B28066" t="s">
        <v>8784</v>
      </c>
      <c r="C28066" t="s">
        <v>58</v>
      </c>
      <c r="D28066" s="21" t="s">
        <v>34</v>
      </c>
      <c r="E28066" s="21" t="s">
        <v>35</v>
      </c>
      <c r="F28066">
        <v>3560020</v>
      </c>
      <c r="G28066" t="s">
        <v>426</v>
      </c>
      <c r="H28066" s="21">
        <v>588.16999999999996</v>
      </c>
    </row>
    <row r="28067" spans="1:8" customFormat="1" x14ac:dyDescent="0.25">
      <c r="A28067" t="str">
        <f>"649261"</f>
        <v>649261</v>
      </c>
      <c r="B28067" t="s">
        <v>6964</v>
      </c>
      <c r="C28067" t="s">
        <v>87</v>
      </c>
      <c r="D28067" s="21" t="s">
        <v>34</v>
      </c>
      <c r="E28067" s="21" t="s">
        <v>71</v>
      </c>
      <c r="F28067">
        <v>10640003</v>
      </c>
      <c r="G28067" t="s">
        <v>1594</v>
      </c>
      <c r="H28067" s="21">
        <v>588.16999999999996</v>
      </c>
    </row>
    <row r="28068" spans="1:8" customFormat="1" x14ac:dyDescent="0.25">
      <c r="A28068" t="str">
        <f>"7626384"</f>
        <v>7626384</v>
      </c>
      <c r="B28068" t="s">
        <v>5473</v>
      </c>
      <c r="C28068" t="s">
        <v>249</v>
      </c>
      <c r="D28068" s="21" t="s">
        <v>34</v>
      </c>
      <c r="E28068" s="21" t="s">
        <v>71</v>
      </c>
      <c r="F28068">
        <v>9760157</v>
      </c>
      <c r="G28068" t="s">
        <v>3412</v>
      </c>
      <c r="H28068" s="21">
        <v>588.16999999999996</v>
      </c>
    </row>
    <row r="28069" spans="1:8" customFormat="1" x14ac:dyDescent="0.25">
      <c r="A28069" t="str">
        <f>"9411603"</f>
        <v>9411603</v>
      </c>
      <c r="B28069" t="s">
        <v>20634</v>
      </c>
      <c r="C28069" t="s">
        <v>198</v>
      </c>
      <c r="D28069" s="21" t="s">
        <v>34</v>
      </c>
      <c r="E28069" s="21" t="s">
        <v>254</v>
      </c>
      <c r="F28069">
        <v>8940976</v>
      </c>
      <c r="G28069" t="s">
        <v>615</v>
      </c>
      <c r="H28069" s="21">
        <v>588.16999999999996</v>
      </c>
    </row>
    <row r="28070" spans="1:8" customFormat="1" x14ac:dyDescent="0.25">
      <c r="A28070" t="str">
        <f>"652569"</f>
        <v>652569</v>
      </c>
      <c r="B28070" t="s">
        <v>1263</v>
      </c>
      <c r="C28070" t="s">
        <v>3905</v>
      </c>
      <c r="D28070" s="21" t="s">
        <v>34</v>
      </c>
      <c r="E28070" s="21" t="s">
        <v>71</v>
      </c>
      <c r="F28070">
        <v>11650017</v>
      </c>
      <c r="G28070" t="s">
        <v>13273</v>
      </c>
      <c r="H28070" s="21">
        <v>588.16999999999996</v>
      </c>
    </row>
    <row r="28071" spans="1:8" customFormat="1" x14ac:dyDescent="0.25">
      <c r="A28071" t="str">
        <f>"8528026"</f>
        <v>8528026</v>
      </c>
      <c r="B28071" t="s">
        <v>8898</v>
      </c>
      <c r="C28071" t="s">
        <v>3522</v>
      </c>
      <c r="D28071" s="21" t="s">
        <v>34</v>
      </c>
      <c r="E28071" s="21" t="s">
        <v>35</v>
      </c>
      <c r="F28071">
        <v>12850057</v>
      </c>
      <c r="G28071" t="s">
        <v>1291</v>
      </c>
      <c r="H28071" s="21">
        <v>588.16999999999996</v>
      </c>
    </row>
    <row r="28072" spans="1:8" customFormat="1" x14ac:dyDescent="0.25">
      <c r="A28072" t="str">
        <f>"2939208"</f>
        <v>2939208</v>
      </c>
      <c r="B28072" t="s">
        <v>28027</v>
      </c>
      <c r="C28072" t="s">
        <v>3784</v>
      </c>
      <c r="D28072" s="21" t="s">
        <v>34</v>
      </c>
      <c r="E28072" s="21" t="s">
        <v>35</v>
      </c>
      <c r="F28072">
        <v>3290215</v>
      </c>
      <c r="G28072" t="s">
        <v>5058</v>
      </c>
      <c r="H28072" s="21">
        <v>588.16999999999996</v>
      </c>
    </row>
    <row r="28073" spans="1:8" customFormat="1" x14ac:dyDescent="0.25">
      <c r="A28073" t="str">
        <f>"553000"</f>
        <v>553000</v>
      </c>
      <c r="B28073" t="s">
        <v>11866</v>
      </c>
      <c r="C28073" t="s">
        <v>415</v>
      </c>
      <c r="D28073" s="21" t="s">
        <v>34</v>
      </c>
      <c r="E28073" s="21" t="s">
        <v>35</v>
      </c>
      <c r="F28073">
        <v>6550003</v>
      </c>
      <c r="G28073" t="s">
        <v>7721</v>
      </c>
      <c r="H28073" s="21">
        <v>588.16999999999996</v>
      </c>
    </row>
    <row r="28074" spans="1:8" customFormat="1" x14ac:dyDescent="0.25">
      <c r="A28074" t="str">
        <f>"4518607"</f>
        <v>4518607</v>
      </c>
      <c r="B28074" t="s">
        <v>20558</v>
      </c>
      <c r="C28074" t="s">
        <v>13475</v>
      </c>
      <c r="D28074" s="21" t="s">
        <v>34</v>
      </c>
      <c r="E28074" s="21" t="s">
        <v>254</v>
      </c>
      <c r="F28074">
        <v>4450031</v>
      </c>
      <c r="G28074" t="s">
        <v>18263</v>
      </c>
      <c r="H28074" s="21">
        <v>587.91999999999996</v>
      </c>
    </row>
    <row r="28075" spans="1:8" customFormat="1" x14ac:dyDescent="0.25">
      <c r="A28075" t="str">
        <f>"5313931"</f>
        <v>5313931</v>
      </c>
      <c r="B28075" t="s">
        <v>7283</v>
      </c>
      <c r="C28075" t="s">
        <v>428</v>
      </c>
      <c r="D28075" s="21" t="s">
        <v>34</v>
      </c>
      <c r="E28075" s="21" t="s">
        <v>71</v>
      </c>
      <c r="F28075">
        <v>12530072</v>
      </c>
      <c r="G28075" t="s">
        <v>7342</v>
      </c>
      <c r="H28075" s="21">
        <v>587.91999999999996</v>
      </c>
    </row>
    <row r="28076" spans="1:8" customFormat="1" x14ac:dyDescent="0.25">
      <c r="A28076" t="str">
        <f>"7711332"</f>
        <v>7711332</v>
      </c>
      <c r="B28076" t="s">
        <v>28028</v>
      </c>
      <c r="C28076" t="s">
        <v>269</v>
      </c>
      <c r="D28076" s="21" t="s">
        <v>34</v>
      </c>
      <c r="E28076" s="21" t="s">
        <v>71</v>
      </c>
      <c r="F28076">
        <v>4450450</v>
      </c>
      <c r="G28076" t="s">
        <v>15140</v>
      </c>
      <c r="H28076" s="21">
        <v>587.91999999999996</v>
      </c>
    </row>
    <row r="28077" spans="1:8" customFormat="1" x14ac:dyDescent="0.25">
      <c r="A28077" t="str">
        <f>"5946024"</f>
        <v>5946024</v>
      </c>
      <c r="B28077" t="s">
        <v>4449</v>
      </c>
      <c r="C28077" t="s">
        <v>87</v>
      </c>
      <c r="D28077" s="21" t="s">
        <v>34</v>
      </c>
      <c r="E28077" s="21" t="s">
        <v>254</v>
      </c>
      <c r="F28077">
        <v>7590017</v>
      </c>
      <c r="G28077" t="s">
        <v>1316</v>
      </c>
      <c r="H28077" s="21">
        <v>587.91999999999996</v>
      </c>
    </row>
    <row r="28078" spans="1:8" customFormat="1" x14ac:dyDescent="0.25">
      <c r="A28078" t="str">
        <f>"9142518"</f>
        <v>9142518</v>
      </c>
      <c r="B28078" t="s">
        <v>28029</v>
      </c>
      <c r="C28078" t="s">
        <v>249</v>
      </c>
      <c r="D28078" s="21" t="s">
        <v>34</v>
      </c>
      <c r="E28078" s="21" t="s">
        <v>35</v>
      </c>
      <c r="F28078">
        <v>8911379</v>
      </c>
      <c r="G28078" t="s">
        <v>8430</v>
      </c>
      <c r="H28078" s="21">
        <v>587.91999999999996</v>
      </c>
    </row>
    <row r="28079" spans="1:8" customFormat="1" x14ac:dyDescent="0.25">
      <c r="A28079" t="str">
        <f>"2721653"</f>
        <v>2721653</v>
      </c>
      <c r="B28079" t="s">
        <v>28030</v>
      </c>
      <c r="C28079" t="s">
        <v>244</v>
      </c>
      <c r="D28079" s="21" t="s">
        <v>34</v>
      </c>
      <c r="E28079" s="21" t="s">
        <v>35</v>
      </c>
      <c r="F28079">
        <v>9270162</v>
      </c>
      <c r="G28079" t="s">
        <v>1865</v>
      </c>
      <c r="H28079" s="21">
        <v>587.79</v>
      </c>
    </row>
    <row r="28080" spans="1:8" customFormat="1" x14ac:dyDescent="0.25">
      <c r="A28080" t="str">
        <f>"4424755"</f>
        <v>4424755</v>
      </c>
      <c r="B28080" t="s">
        <v>7844</v>
      </c>
      <c r="C28080" t="s">
        <v>198</v>
      </c>
      <c r="D28080" s="21" t="s">
        <v>34</v>
      </c>
      <c r="E28080" s="21" t="s">
        <v>71</v>
      </c>
      <c r="F28080">
        <v>12440136</v>
      </c>
      <c r="G28080" t="s">
        <v>3271</v>
      </c>
      <c r="H28080" s="21">
        <v>587.66999999999996</v>
      </c>
    </row>
    <row r="28081" spans="1:8" customFormat="1" x14ac:dyDescent="0.25">
      <c r="A28081" t="str">
        <f>"7211670"</f>
        <v>7211670</v>
      </c>
      <c r="B28081" t="s">
        <v>5027</v>
      </c>
      <c r="C28081" t="s">
        <v>55</v>
      </c>
      <c r="D28081" s="21" t="s">
        <v>34</v>
      </c>
      <c r="E28081" s="21" t="s">
        <v>71</v>
      </c>
      <c r="F28081">
        <v>12720117</v>
      </c>
      <c r="G28081" t="s">
        <v>7788</v>
      </c>
      <c r="H28081" s="21">
        <v>587.66999999999996</v>
      </c>
    </row>
    <row r="28082" spans="1:8" customFormat="1" x14ac:dyDescent="0.25">
      <c r="A28082" t="str">
        <f>"6726458"</f>
        <v>6726458</v>
      </c>
      <c r="B28082" t="s">
        <v>8603</v>
      </c>
      <c r="C28082" t="s">
        <v>1841</v>
      </c>
      <c r="D28082" s="21" t="s">
        <v>34</v>
      </c>
      <c r="E28082" s="21" t="s">
        <v>254</v>
      </c>
      <c r="F28082">
        <v>6670257</v>
      </c>
      <c r="G28082" t="s">
        <v>26708</v>
      </c>
      <c r="H28082" s="21">
        <v>587.66999999999996</v>
      </c>
    </row>
    <row r="28083" spans="1:8" customFormat="1" x14ac:dyDescent="0.25">
      <c r="A28083" t="str">
        <f>"1710118"</f>
        <v>1710118</v>
      </c>
      <c r="B28083" t="s">
        <v>13394</v>
      </c>
      <c r="C28083" t="s">
        <v>2479</v>
      </c>
      <c r="D28083" s="21" t="s">
        <v>34</v>
      </c>
      <c r="E28083" s="21" t="s">
        <v>254</v>
      </c>
      <c r="F28083">
        <v>10170024</v>
      </c>
      <c r="G28083" t="s">
        <v>16864</v>
      </c>
      <c r="H28083" s="21">
        <v>587.66999999999996</v>
      </c>
    </row>
    <row r="28084" spans="1:8" customFormat="1" x14ac:dyDescent="0.25">
      <c r="A28084" t="str">
        <f>"7220269"</f>
        <v>7220269</v>
      </c>
      <c r="B28084" t="s">
        <v>20377</v>
      </c>
      <c r="C28084" t="s">
        <v>87</v>
      </c>
      <c r="D28084" s="21" t="s">
        <v>34</v>
      </c>
      <c r="E28084" s="21" t="s">
        <v>35</v>
      </c>
      <c r="F28084">
        <v>12720050</v>
      </c>
      <c r="G28084" t="s">
        <v>5522</v>
      </c>
      <c r="H28084" s="21">
        <v>587.66999999999996</v>
      </c>
    </row>
    <row r="28085" spans="1:8" customFormat="1" x14ac:dyDescent="0.25">
      <c r="A28085" t="str">
        <f>"4457753"</f>
        <v>4457753</v>
      </c>
      <c r="B28085" t="s">
        <v>28031</v>
      </c>
      <c r="C28085" t="s">
        <v>712</v>
      </c>
      <c r="D28085" s="21" t="s">
        <v>34</v>
      </c>
      <c r="E28085" s="21" t="s">
        <v>71</v>
      </c>
      <c r="F28085">
        <v>12440024</v>
      </c>
      <c r="G28085" t="s">
        <v>2205</v>
      </c>
      <c r="H28085" s="21">
        <v>587.66999999999996</v>
      </c>
    </row>
    <row r="28086" spans="1:8" customFormat="1" x14ac:dyDescent="0.25">
      <c r="A28086" t="str">
        <f>"4419397"</f>
        <v>4419397</v>
      </c>
      <c r="B28086" t="s">
        <v>20609</v>
      </c>
      <c r="C28086" t="s">
        <v>40</v>
      </c>
      <c r="D28086" s="21" t="s">
        <v>34</v>
      </c>
      <c r="E28086" s="21" t="s">
        <v>254</v>
      </c>
      <c r="F28086">
        <v>12440129</v>
      </c>
      <c r="G28086" t="s">
        <v>11755</v>
      </c>
      <c r="H28086" s="21">
        <v>587.66999999999996</v>
      </c>
    </row>
    <row r="28087" spans="1:8" customFormat="1" x14ac:dyDescent="0.25">
      <c r="A28087" t="str">
        <f>"9457228"</f>
        <v>9457228</v>
      </c>
      <c r="B28087" t="s">
        <v>28032</v>
      </c>
      <c r="C28087" t="s">
        <v>415</v>
      </c>
      <c r="D28087" s="21" t="s">
        <v>34</v>
      </c>
      <c r="E28087" s="21" t="s">
        <v>71</v>
      </c>
      <c r="F28087">
        <v>8940096</v>
      </c>
      <c r="G28087" t="s">
        <v>5453</v>
      </c>
      <c r="H28087" s="21">
        <v>587.66999999999996</v>
      </c>
    </row>
    <row r="28088" spans="1:8" customFormat="1" x14ac:dyDescent="0.25">
      <c r="A28088" t="str">
        <f>"7717126"</f>
        <v>7717126</v>
      </c>
      <c r="B28088" t="s">
        <v>20022</v>
      </c>
      <c r="C28088" t="s">
        <v>3073</v>
      </c>
      <c r="D28088" s="21" t="s">
        <v>34</v>
      </c>
      <c r="E28088" s="21" t="s">
        <v>1089</v>
      </c>
      <c r="F28088">
        <v>12440084</v>
      </c>
      <c r="G28088" t="s">
        <v>1014</v>
      </c>
      <c r="H28088" s="21">
        <v>587.66999999999996</v>
      </c>
    </row>
    <row r="28089" spans="1:8" customFormat="1" x14ac:dyDescent="0.25">
      <c r="A28089" t="str">
        <f>"5913537"</f>
        <v>5913537</v>
      </c>
      <c r="B28089" t="s">
        <v>4560</v>
      </c>
      <c r="C28089" t="s">
        <v>462</v>
      </c>
      <c r="D28089" s="21" t="s">
        <v>34</v>
      </c>
      <c r="E28089" s="21" t="s">
        <v>35</v>
      </c>
      <c r="F28089">
        <v>7590137</v>
      </c>
      <c r="G28089" t="s">
        <v>4246</v>
      </c>
      <c r="H28089" s="21">
        <v>587.66999999999996</v>
      </c>
    </row>
    <row r="28090" spans="1:8" customFormat="1" x14ac:dyDescent="0.25">
      <c r="A28090" t="str">
        <f>"5979296"</f>
        <v>5979296</v>
      </c>
      <c r="B28090" t="s">
        <v>1111</v>
      </c>
      <c r="C28090" t="s">
        <v>43</v>
      </c>
      <c r="D28090" s="21" t="s">
        <v>34</v>
      </c>
      <c r="E28090" s="21" t="s">
        <v>35</v>
      </c>
      <c r="F28090">
        <v>7590018</v>
      </c>
      <c r="G28090" t="s">
        <v>2807</v>
      </c>
      <c r="H28090" s="21">
        <v>587.66999999999996</v>
      </c>
    </row>
    <row r="28091" spans="1:8" customFormat="1" x14ac:dyDescent="0.25">
      <c r="A28091" t="str">
        <f>"9247037"</f>
        <v>9247037</v>
      </c>
      <c r="B28091" t="s">
        <v>890</v>
      </c>
      <c r="C28091" t="s">
        <v>712</v>
      </c>
      <c r="D28091" s="21" t="s">
        <v>34</v>
      </c>
      <c r="E28091" s="21" t="s">
        <v>35</v>
      </c>
      <c r="F28091">
        <v>8921316</v>
      </c>
      <c r="G28091" t="s">
        <v>12326</v>
      </c>
      <c r="H28091" s="21">
        <v>587.66999999999996</v>
      </c>
    </row>
    <row r="28092" spans="1:8" customFormat="1" x14ac:dyDescent="0.25">
      <c r="A28092" t="str">
        <f>"838068"</f>
        <v>838068</v>
      </c>
      <c r="B28092" t="s">
        <v>28033</v>
      </c>
      <c r="C28092" t="s">
        <v>239</v>
      </c>
      <c r="D28092" s="21" t="s">
        <v>34</v>
      </c>
      <c r="E28092" s="21" t="s">
        <v>1089</v>
      </c>
      <c r="F28092">
        <v>13830092</v>
      </c>
      <c r="G28092" t="s">
        <v>3632</v>
      </c>
      <c r="H28092" s="21">
        <v>587.66999999999996</v>
      </c>
    </row>
    <row r="28093" spans="1:8" customFormat="1" x14ac:dyDescent="0.25">
      <c r="A28093" t="str">
        <f>"138820"</f>
        <v>138820</v>
      </c>
      <c r="B28093" t="s">
        <v>19620</v>
      </c>
      <c r="C28093" t="s">
        <v>198</v>
      </c>
      <c r="D28093" s="21" t="s">
        <v>34</v>
      </c>
      <c r="E28093" s="21" t="s">
        <v>254</v>
      </c>
      <c r="F28093">
        <v>13130162</v>
      </c>
      <c r="G28093" t="s">
        <v>13411</v>
      </c>
      <c r="H28093" s="21">
        <v>587.66999999999996</v>
      </c>
    </row>
    <row r="28094" spans="1:8" customFormat="1" x14ac:dyDescent="0.25">
      <c r="A28094" t="str">
        <f>"9138863"</f>
        <v>9138863</v>
      </c>
      <c r="B28094" t="s">
        <v>20991</v>
      </c>
      <c r="C28094" t="s">
        <v>55</v>
      </c>
      <c r="D28094" s="21" t="s">
        <v>34</v>
      </c>
      <c r="E28094" s="21" t="s">
        <v>35</v>
      </c>
      <c r="F28094">
        <v>8911454</v>
      </c>
      <c r="G28094" t="s">
        <v>8016</v>
      </c>
      <c r="H28094" s="21">
        <v>587.66999999999996</v>
      </c>
    </row>
    <row r="28095" spans="1:8" customFormat="1" x14ac:dyDescent="0.25">
      <c r="A28095" t="str">
        <f>"6226950"</f>
        <v>6226950</v>
      </c>
      <c r="B28095" t="s">
        <v>20739</v>
      </c>
      <c r="C28095" t="s">
        <v>462</v>
      </c>
      <c r="D28095" s="21" t="s">
        <v>34</v>
      </c>
      <c r="E28095" s="21" t="s">
        <v>71</v>
      </c>
      <c r="F28095">
        <v>7620042</v>
      </c>
      <c r="G28095" t="s">
        <v>8102</v>
      </c>
      <c r="H28095" s="21">
        <v>587.66999999999996</v>
      </c>
    </row>
    <row r="28096" spans="1:8" customFormat="1" x14ac:dyDescent="0.25">
      <c r="A28096" t="str">
        <f>"667973"</f>
        <v>667973</v>
      </c>
      <c r="B28096" t="s">
        <v>3978</v>
      </c>
      <c r="C28096" t="s">
        <v>415</v>
      </c>
      <c r="D28096" s="21" t="s">
        <v>34</v>
      </c>
      <c r="E28096" s="21" t="s">
        <v>1089</v>
      </c>
      <c r="F28096">
        <v>11660021</v>
      </c>
      <c r="G28096" t="s">
        <v>16765</v>
      </c>
      <c r="H28096" s="21">
        <v>587.66999999999996</v>
      </c>
    </row>
    <row r="28097" spans="1:8" customFormat="1" x14ac:dyDescent="0.25">
      <c r="A28097" t="str">
        <f>"3830891"</f>
        <v>3830891</v>
      </c>
      <c r="B28097" t="s">
        <v>20474</v>
      </c>
      <c r="C28097" t="s">
        <v>285</v>
      </c>
      <c r="D28097" s="21" t="s">
        <v>34</v>
      </c>
      <c r="E28097" s="21" t="s">
        <v>35</v>
      </c>
      <c r="F28097">
        <v>1380300</v>
      </c>
      <c r="G28097" t="s">
        <v>20475</v>
      </c>
      <c r="H28097" s="21">
        <v>587.66999999999996</v>
      </c>
    </row>
    <row r="28098" spans="1:8" customFormat="1" x14ac:dyDescent="0.25">
      <c r="A28098" t="str">
        <f>"7717880"</f>
        <v>7717880</v>
      </c>
      <c r="B28098" t="s">
        <v>19921</v>
      </c>
      <c r="C28098" t="s">
        <v>879</v>
      </c>
      <c r="D28098" s="21" t="s">
        <v>34</v>
      </c>
      <c r="E28098" s="21" t="s">
        <v>71</v>
      </c>
      <c r="F28098">
        <v>8771394</v>
      </c>
      <c r="G28098" t="s">
        <v>1933</v>
      </c>
      <c r="H28098" s="21">
        <v>587.66999999999996</v>
      </c>
    </row>
    <row r="28099" spans="1:8" customFormat="1" x14ac:dyDescent="0.25">
      <c r="A28099" t="str">
        <f>"3722348"</f>
        <v>3722348</v>
      </c>
      <c r="B28099" t="s">
        <v>9834</v>
      </c>
      <c r="C28099" t="s">
        <v>239</v>
      </c>
      <c r="D28099" s="21" t="s">
        <v>34</v>
      </c>
      <c r="E28099" s="21" t="s">
        <v>71</v>
      </c>
      <c r="F28099">
        <v>4370269</v>
      </c>
      <c r="G28099" t="s">
        <v>4277</v>
      </c>
      <c r="H28099" s="21">
        <v>587.66999999999996</v>
      </c>
    </row>
    <row r="28100" spans="1:8" customFormat="1" x14ac:dyDescent="0.25">
      <c r="A28100" t="str">
        <f>"1613218"</f>
        <v>1613218</v>
      </c>
      <c r="B28100" t="s">
        <v>6925</v>
      </c>
      <c r="C28100" t="s">
        <v>598</v>
      </c>
      <c r="D28100" s="21" t="s">
        <v>34</v>
      </c>
      <c r="E28100" s="21" t="s">
        <v>71</v>
      </c>
      <c r="F28100">
        <v>10160236</v>
      </c>
      <c r="G28100" t="s">
        <v>7202</v>
      </c>
      <c r="H28100" s="21">
        <v>587.66999999999996</v>
      </c>
    </row>
    <row r="28101" spans="1:8" customFormat="1" x14ac:dyDescent="0.25">
      <c r="A28101" t="str">
        <f>"5327007"</f>
        <v>5327007</v>
      </c>
      <c r="B28101" t="s">
        <v>210</v>
      </c>
      <c r="C28101" t="s">
        <v>121</v>
      </c>
      <c r="D28101" s="21" t="s">
        <v>34</v>
      </c>
      <c r="E28101" s="21" t="s">
        <v>35</v>
      </c>
      <c r="F28101">
        <v>12530109</v>
      </c>
      <c r="G28101" t="s">
        <v>6924</v>
      </c>
      <c r="H28101" s="21">
        <v>587.41999999999996</v>
      </c>
    </row>
    <row r="28102" spans="1:8" customFormat="1" x14ac:dyDescent="0.25">
      <c r="A28102" t="str">
        <f>"6315503"</f>
        <v>6315503</v>
      </c>
      <c r="B28102" t="s">
        <v>20366</v>
      </c>
      <c r="C28102" t="s">
        <v>2529</v>
      </c>
      <c r="D28102" s="21" t="s">
        <v>34</v>
      </c>
      <c r="E28102" s="21" t="s">
        <v>71</v>
      </c>
      <c r="F28102">
        <v>11340040</v>
      </c>
      <c r="G28102" t="s">
        <v>5695</v>
      </c>
      <c r="H28102" s="21">
        <v>587.41999999999996</v>
      </c>
    </row>
    <row r="28103" spans="1:8" customFormat="1" x14ac:dyDescent="0.25">
      <c r="A28103" t="str">
        <f>"5317660"</f>
        <v>5317660</v>
      </c>
      <c r="B28103" t="s">
        <v>18866</v>
      </c>
      <c r="C28103" t="s">
        <v>244</v>
      </c>
      <c r="D28103" s="21" t="s">
        <v>34</v>
      </c>
      <c r="E28103" s="21" t="s">
        <v>35</v>
      </c>
      <c r="F28103">
        <v>12530078</v>
      </c>
      <c r="G28103" t="s">
        <v>3677</v>
      </c>
      <c r="H28103" s="21">
        <v>587.41999999999996</v>
      </c>
    </row>
    <row r="28104" spans="1:8" customFormat="1" x14ac:dyDescent="0.25">
      <c r="A28104" t="str">
        <f>"8011609"</f>
        <v>8011609</v>
      </c>
      <c r="B28104" t="s">
        <v>16710</v>
      </c>
      <c r="C28104" t="s">
        <v>236</v>
      </c>
      <c r="D28104" s="21" t="s">
        <v>34</v>
      </c>
      <c r="E28104" s="21" t="s">
        <v>254</v>
      </c>
      <c r="F28104">
        <v>7800106</v>
      </c>
      <c r="G28104" t="s">
        <v>2466</v>
      </c>
      <c r="H28104" s="21">
        <v>587.41999999999996</v>
      </c>
    </row>
    <row r="28105" spans="1:8" customFormat="1" x14ac:dyDescent="0.25">
      <c r="A28105" t="str">
        <f>"434493"</f>
        <v>434493</v>
      </c>
      <c r="B28105" t="s">
        <v>28034</v>
      </c>
      <c r="C28105" t="s">
        <v>328</v>
      </c>
      <c r="D28105" s="21" t="s">
        <v>34</v>
      </c>
      <c r="E28105" s="21" t="s">
        <v>35</v>
      </c>
      <c r="F28105">
        <v>1420307</v>
      </c>
      <c r="G28105" t="s">
        <v>26676</v>
      </c>
      <c r="H28105" s="21">
        <v>587.29</v>
      </c>
    </row>
    <row r="28106" spans="1:8" customFormat="1" x14ac:dyDescent="0.25">
      <c r="A28106" t="str">
        <f>"7922750"</f>
        <v>7922750</v>
      </c>
      <c r="B28106" t="s">
        <v>21170</v>
      </c>
      <c r="C28106" t="s">
        <v>2132</v>
      </c>
      <c r="D28106" s="21" t="s">
        <v>34</v>
      </c>
      <c r="E28106" s="21" t="s">
        <v>35</v>
      </c>
      <c r="F28106">
        <v>10790009</v>
      </c>
      <c r="G28106" t="s">
        <v>1155</v>
      </c>
      <c r="H28106" s="21">
        <v>587.16999999999996</v>
      </c>
    </row>
    <row r="28107" spans="1:8" customFormat="1" x14ac:dyDescent="0.25">
      <c r="A28107" t="str">
        <f>"941686"</f>
        <v>941686</v>
      </c>
      <c r="B28107" t="s">
        <v>20465</v>
      </c>
      <c r="C28107" t="s">
        <v>236</v>
      </c>
      <c r="D28107" s="21" t="s">
        <v>34</v>
      </c>
      <c r="E28107" s="21" t="s">
        <v>1089</v>
      </c>
      <c r="F28107">
        <v>4450756</v>
      </c>
      <c r="G28107" t="s">
        <v>19505</v>
      </c>
      <c r="H28107" s="21">
        <v>587.16999999999996</v>
      </c>
    </row>
    <row r="28108" spans="1:8" customFormat="1" x14ac:dyDescent="0.25">
      <c r="A28108" t="str">
        <f>"5732465"</f>
        <v>5732465</v>
      </c>
      <c r="B28108" t="s">
        <v>6312</v>
      </c>
      <c r="C28108" t="s">
        <v>323</v>
      </c>
      <c r="D28108" s="21" t="s">
        <v>34</v>
      </c>
      <c r="E28108" s="21" t="s">
        <v>71</v>
      </c>
      <c r="F28108">
        <v>6570200</v>
      </c>
      <c r="G28108" t="s">
        <v>10682</v>
      </c>
      <c r="H28108" s="21">
        <v>587.16999999999996</v>
      </c>
    </row>
    <row r="28109" spans="1:8" customFormat="1" x14ac:dyDescent="0.25">
      <c r="A28109" t="str">
        <f>"3821441"</f>
        <v>3821441</v>
      </c>
      <c r="B28109" t="s">
        <v>19964</v>
      </c>
      <c r="C28109" t="s">
        <v>9492</v>
      </c>
      <c r="D28109" s="21" t="s">
        <v>34</v>
      </c>
      <c r="E28109" s="21" t="s">
        <v>35</v>
      </c>
      <c r="F28109">
        <v>1380262</v>
      </c>
      <c r="G28109" t="s">
        <v>1216</v>
      </c>
      <c r="H28109" s="21">
        <v>587.16999999999996</v>
      </c>
    </row>
    <row r="28110" spans="1:8" customFormat="1" x14ac:dyDescent="0.25">
      <c r="A28110" t="str">
        <f>"2718606"</f>
        <v>2718606</v>
      </c>
      <c r="B28110" t="s">
        <v>64</v>
      </c>
      <c r="C28110" t="s">
        <v>169</v>
      </c>
      <c r="D28110" s="21" t="s">
        <v>34</v>
      </c>
      <c r="E28110" s="21" t="s">
        <v>71</v>
      </c>
      <c r="F28110">
        <v>9270095</v>
      </c>
      <c r="G28110" t="s">
        <v>1681</v>
      </c>
      <c r="H28110" s="21">
        <v>587.16999999999996</v>
      </c>
    </row>
    <row r="28111" spans="1:8" customFormat="1" x14ac:dyDescent="0.25">
      <c r="A28111" t="str">
        <f>"3725357"</f>
        <v>3725357</v>
      </c>
      <c r="B28111" t="s">
        <v>19300</v>
      </c>
      <c r="C28111" t="s">
        <v>239</v>
      </c>
      <c r="D28111" s="21" t="s">
        <v>34</v>
      </c>
      <c r="E28111" s="21" t="s">
        <v>254</v>
      </c>
      <c r="F28111">
        <v>4370284</v>
      </c>
      <c r="G28111" t="s">
        <v>3584</v>
      </c>
      <c r="H28111" s="21">
        <v>587.16999999999996</v>
      </c>
    </row>
    <row r="28112" spans="1:8" customFormat="1" x14ac:dyDescent="0.25">
      <c r="A28112" t="str">
        <f>"3337888"</f>
        <v>3337888</v>
      </c>
      <c r="B28112" t="s">
        <v>2816</v>
      </c>
      <c r="C28112" t="s">
        <v>269</v>
      </c>
      <c r="D28112" s="21" t="s">
        <v>34</v>
      </c>
      <c r="E28112" s="21" t="s">
        <v>71</v>
      </c>
      <c r="F28112">
        <v>10330017</v>
      </c>
      <c r="G28112" t="s">
        <v>2754</v>
      </c>
      <c r="H28112" s="21">
        <v>587.16999999999996</v>
      </c>
    </row>
    <row r="28113" spans="1:8" customFormat="1" x14ac:dyDescent="0.25">
      <c r="A28113" t="str">
        <f>"175132"</f>
        <v>175132</v>
      </c>
      <c r="B28113" t="s">
        <v>19526</v>
      </c>
      <c r="C28113" t="s">
        <v>453</v>
      </c>
      <c r="D28113" s="21" t="s">
        <v>34</v>
      </c>
      <c r="E28113" s="21" t="s">
        <v>254</v>
      </c>
      <c r="F28113">
        <v>10170138</v>
      </c>
      <c r="G28113" t="s">
        <v>13853</v>
      </c>
      <c r="H28113" s="21">
        <v>587.16999999999996</v>
      </c>
    </row>
    <row r="28114" spans="1:8" customFormat="1" x14ac:dyDescent="0.25">
      <c r="A28114" t="str">
        <f>"9247375"</f>
        <v>9247375</v>
      </c>
      <c r="B28114" t="s">
        <v>20629</v>
      </c>
      <c r="C28114" t="s">
        <v>712</v>
      </c>
      <c r="D28114" s="21" t="s">
        <v>34</v>
      </c>
      <c r="E28114" s="21" t="s">
        <v>254</v>
      </c>
      <c r="F28114">
        <v>8781017</v>
      </c>
      <c r="G28114" t="s">
        <v>2581</v>
      </c>
      <c r="H28114" s="21">
        <v>587.16999999999996</v>
      </c>
    </row>
    <row r="28115" spans="1:8" customFormat="1" x14ac:dyDescent="0.25">
      <c r="A28115" t="str">
        <f>"7521567"</f>
        <v>7521567</v>
      </c>
      <c r="B28115" t="s">
        <v>414</v>
      </c>
      <c r="C28115" t="s">
        <v>415</v>
      </c>
      <c r="D28115" s="21" t="s">
        <v>34</v>
      </c>
      <c r="E28115" s="21" t="s">
        <v>254</v>
      </c>
      <c r="F28115">
        <v>8751265</v>
      </c>
      <c r="G28115" t="s">
        <v>15965</v>
      </c>
      <c r="H28115" s="21">
        <v>587.16999999999996</v>
      </c>
    </row>
    <row r="28116" spans="1:8" customFormat="1" x14ac:dyDescent="0.25">
      <c r="A28116" t="str">
        <f>"068443"</f>
        <v>068443</v>
      </c>
      <c r="B28116" t="s">
        <v>19864</v>
      </c>
      <c r="C28116" t="s">
        <v>879</v>
      </c>
      <c r="D28116" s="21" t="s">
        <v>34</v>
      </c>
      <c r="E28116" s="21" t="s">
        <v>35</v>
      </c>
      <c r="F28116">
        <v>13060119</v>
      </c>
      <c r="G28116" t="s">
        <v>6179</v>
      </c>
      <c r="H28116" s="21">
        <v>587.16999999999996</v>
      </c>
    </row>
    <row r="28117" spans="1:8" customFormat="1" x14ac:dyDescent="0.25">
      <c r="A28117" t="str">
        <f>"5952995"</f>
        <v>5952995</v>
      </c>
      <c r="B28117" t="s">
        <v>6472</v>
      </c>
      <c r="C28117" t="s">
        <v>33</v>
      </c>
      <c r="D28117" s="21" t="s">
        <v>34</v>
      </c>
      <c r="E28117" s="21" t="s">
        <v>35</v>
      </c>
      <c r="F28117">
        <v>7590404</v>
      </c>
      <c r="G28117" t="s">
        <v>12173</v>
      </c>
      <c r="H28117" s="21">
        <v>587.16999999999996</v>
      </c>
    </row>
    <row r="28118" spans="1:8" customFormat="1" x14ac:dyDescent="0.25">
      <c r="A28118" t="str">
        <f>"06636"</f>
        <v>06636</v>
      </c>
      <c r="B28118" t="s">
        <v>19296</v>
      </c>
      <c r="C28118" t="s">
        <v>1146</v>
      </c>
      <c r="D28118" s="21" t="s">
        <v>34</v>
      </c>
      <c r="E28118" s="21" t="s">
        <v>254</v>
      </c>
      <c r="F28118">
        <v>13060080</v>
      </c>
      <c r="G28118" t="s">
        <v>14998</v>
      </c>
      <c r="H28118" s="21">
        <v>587.16999999999996</v>
      </c>
    </row>
    <row r="28119" spans="1:8" customFormat="1" x14ac:dyDescent="0.25">
      <c r="A28119" t="str">
        <f>"6111657"</f>
        <v>6111657</v>
      </c>
      <c r="B28119" t="s">
        <v>4348</v>
      </c>
      <c r="C28119" t="s">
        <v>379</v>
      </c>
      <c r="D28119" s="21" t="s">
        <v>34</v>
      </c>
      <c r="E28119" s="21" t="s">
        <v>254</v>
      </c>
      <c r="F28119">
        <v>9610087</v>
      </c>
      <c r="G28119" t="s">
        <v>2661</v>
      </c>
      <c r="H28119" s="21">
        <v>587.16999999999996</v>
      </c>
    </row>
    <row r="28120" spans="1:8" customFormat="1" x14ac:dyDescent="0.25">
      <c r="A28120" t="str">
        <f>"3333445"</f>
        <v>3333445</v>
      </c>
      <c r="B28120" t="s">
        <v>23355</v>
      </c>
      <c r="C28120" t="s">
        <v>323</v>
      </c>
      <c r="D28120" s="21" t="s">
        <v>34</v>
      </c>
      <c r="E28120" s="21" t="s">
        <v>35</v>
      </c>
      <c r="F28120">
        <v>10330004</v>
      </c>
      <c r="G28120" t="s">
        <v>525</v>
      </c>
      <c r="H28120" s="21">
        <v>587.04</v>
      </c>
    </row>
    <row r="28121" spans="1:8" customFormat="1" x14ac:dyDescent="0.25">
      <c r="A28121" t="str">
        <f>"3326653"</f>
        <v>3326653</v>
      </c>
      <c r="B28121" t="s">
        <v>19875</v>
      </c>
      <c r="C28121" t="s">
        <v>3784</v>
      </c>
      <c r="D28121" s="21" t="s">
        <v>34</v>
      </c>
      <c r="E28121" s="21" t="s">
        <v>71</v>
      </c>
      <c r="F28121">
        <v>10330074</v>
      </c>
      <c r="G28121" t="s">
        <v>12024</v>
      </c>
      <c r="H28121" s="21">
        <v>587.04</v>
      </c>
    </row>
    <row r="28122" spans="1:8" customFormat="1" x14ac:dyDescent="0.25">
      <c r="A28122" t="str">
        <f>"5964390"</f>
        <v>5964390</v>
      </c>
      <c r="B28122" t="s">
        <v>5814</v>
      </c>
      <c r="C28122" t="s">
        <v>428</v>
      </c>
      <c r="D28122" s="21" t="s">
        <v>34</v>
      </c>
      <c r="E28122" s="21" t="s">
        <v>35</v>
      </c>
      <c r="F28122">
        <v>1420152</v>
      </c>
      <c r="G28122" t="s">
        <v>2948</v>
      </c>
      <c r="H28122" s="21">
        <v>587.04</v>
      </c>
    </row>
    <row r="28123" spans="1:8" customFormat="1" x14ac:dyDescent="0.25">
      <c r="A28123" t="str">
        <f>"442819"</f>
        <v>442819</v>
      </c>
      <c r="B28123" t="s">
        <v>19733</v>
      </c>
      <c r="C28123" t="s">
        <v>267</v>
      </c>
      <c r="D28123" s="21" t="s">
        <v>34</v>
      </c>
      <c r="E28123" s="21" t="s">
        <v>1089</v>
      </c>
      <c r="F28123">
        <v>12440093</v>
      </c>
      <c r="G28123" t="s">
        <v>10627</v>
      </c>
      <c r="H28123" s="21">
        <v>586.91999999999996</v>
      </c>
    </row>
    <row r="28124" spans="1:8" customFormat="1" x14ac:dyDescent="0.25">
      <c r="A28124" t="str">
        <f>"2933747"</f>
        <v>2933747</v>
      </c>
      <c r="B28124" t="s">
        <v>3313</v>
      </c>
      <c r="C28124" t="s">
        <v>2322</v>
      </c>
      <c r="D28124" s="21" t="s">
        <v>34</v>
      </c>
      <c r="E28124" s="21" t="s">
        <v>71</v>
      </c>
      <c r="F28124">
        <v>3290081</v>
      </c>
      <c r="G28124" t="s">
        <v>3819</v>
      </c>
      <c r="H28124" s="21">
        <v>586.91999999999996</v>
      </c>
    </row>
    <row r="28125" spans="1:8" customFormat="1" x14ac:dyDescent="0.25">
      <c r="A28125" t="str">
        <f>"5967294"</f>
        <v>5967294</v>
      </c>
      <c r="B28125" t="s">
        <v>7041</v>
      </c>
      <c r="C28125" t="s">
        <v>249</v>
      </c>
      <c r="D28125" s="21" t="s">
        <v>34</v>
      </c>
      <c r="E28125" s="21" t="s">
        <v>71</v>
      </c>
      <c r="F28125">
        <v>7590065</v>
      </c>
      <c r="G28125" t="s">
        <v>1598</v>
      </c>
      <c r="H28125" s="21">
        <v>586.79</v>
      </c>
    </row>
    <row r="28126" spans="1:8" customFormat="1" x14ac:dyDescent="0.25">
      <c r="A28126" t="str">
        <f>"7515765"</f>
        <v>7515765</v>
      </c>
      <c r="B28126" t="s">
        <v>28035</v>
      </c>
      <c r="C28126" t="s">
        <v>22087</v>
      </c>
      <c r="D28126" s="21" t="s">
        <v>34</v>
      </c>
      <c r="E28126" s="21" t="s">
        <v>35</v>
      </c>
      <c r="F28126">
        <v>8750060</v>
      </c>
      <c r="G28126" t="s">
        <v>2821</v>
      </c>
      <c r="H28126" s="21">
        <v>586.79</v>
      </c>
    </row>
    <row r="28127" spans="1:8" customFormat="1" x14ac:dyDescent="0.25">
      <c r="A28127" t="str">
        <f>"461533"</f>
        <v>461533</v>
      </c>
      <c r="B28127" t="s">
        <v>2883</v>
      </c>
      <c r="C28127" t="s">
        <v>1146</v>
      </c>
      <c r="D28127" s="21" t="s">
        <v>34</v>
      </c>
      <c r="E28127" s="21" t="s">
        <v>254</v>
      </c>
      <c r="F28127">
        <v>11460017</v>
      </c>
      <c r="G28127" t="s">
        <v>7665</v>
      </c>
      <c r="H28127" s="21">
        <v>586.79</v>
      </c>
    </row>
    <row r="28128" spans="1:8" customFormat="1" x14ac:dyDescent="0.25">
      <c r="A28128" t="str">
        <f>"401426"</f>
        <v>401426</v>
      </c>
      <c r="B28128" t="s">
        <v>788</v>
      </c>
      <c r="C28128" t="s">
        <v>239</v>
      </c>
      <c r="D28128" s="21" t="s">
        <v>34</v>
      </c>
      <c r="E28128" s="21" t="s">
        <v>71</v>
      </c>
      <c r="F28128">
        <v>10400015</v>
      </c>
      <c r="G28128" t="s">
        <v>1095</v>
      </c>
      <c r="H28128" s="21">
        <v>586.66999999999996</v>
      </c>
    </row>
    <row r="28129" spans="1:8" customFormat="1" x14ac:dyDescent="0.25">
      <c r="A28129" t="str">
        <f>"4430706"</f>
        <v>4430706</v>
      </c>
      <c r="B28129" t="s">
        <v>1611</v>
      </c>
      <c r="C28129" t="s">
        <v>4623</v>
      </c>
      <c r="D28129" s="21" t="s">
        <v>34</v>
      </c>
      <c r="E28129" s="21" t="s">
        <v>35</v>
      </c>
      <c r="F28129">
        <v>12440075</v>
      </c>
      <c r="G28129" t="s">
        <v>1437</v>
      </c>
      <c r="H28129" s="21">
        <v>586.66999999999996</v>
      </c>
    </row>
    <row r="28130" spans="1:8" customFormat="1" x14ac:dyDescent="0.25">
      <c r="A28130" t="str">
        <f>"5948983"</f>
        <v>5948983</v>
      </c>
      <c r="B28130" t="s">
        <v>18583</v>
      </c>
      <c r="C28130" t="s">
        <v>1110</v>
      </c>
      <c r="D28130" s="21" t="s">
        <v>34</v>
      </c>
      <c r="E28130" s="21" t="s">
        <v>71</v>
      </c>
      <c r="F28130">
        <v>7590072</v>
      </c>
      <c r="G28130" t="s">
        <v>4059</v>
      </c>
      <c r="H28130" s="21">
        <v>586.66999999999996</v>
      </c>
    </row>
    <row r="28131" spans="1:8" customFormat="1" x14ac:dyDescent="0.25">
      <c r="A28131" t="str">
        <f>"5937072"</f>
        <v>5937072</v>
      </c>
      <c r="B28131" t="s">
        <v>5638</v>
      </c>
      <c r="C28131" t="s">
        <v>204</v>
      </c>
      <c r="D28131" s="21" t="s">
        <v>34</v>
      </c>
      <c r="E28131" s="21" t="s">
        <v>35</v>
      </c>
      <c r="F28131">
        <v>7590063</v>
      </c>
      <c r="G28131" t="s">
        <v>3426</v>
      </c>
      <c r="H28131" s="21">
        <v>586.66999999999996</v>
      </c>
    </row>
    <row r="28132" spans="1:8" customFormat="1" x14ac:dyDescent="0.25">
      <c r="A28132" t="str">
        <f>"626689"</f>
        <v>626689</v>
      </c>
      <c r="B28132" t="s">
        <v>19804</v>
      </c>
      <c r="C28132" t="s">
        <v>462</v>
      </c>
      <c r="D28132" s="21" t="s">
        <v>34</v>
      </c>
      <c r="E28132" s="21" t="s">
        <v>71</v>
      </c>
      <c r="F28132">
        <v>7620181</v>
      </c>
      <c r="G28132" t="s">
        <v>2268</v>
      </c>
      <c r="H28132" s="21">
        <v>586.66999999999996</v>
      </c>
    </row>
    <row r="28133" spans="1:8" customFormat="1" x14ac:dyDescent="0.25">
      <c r="A28133" t="str">
        <f>"1711291"</f>
        <v>1711291</v>
      </c>
      <c r="B28133" t="s">
        <v>19496</v>
      </c>
      <c r="C28133" t="s">
        <v>263</v>
      </c>
      <c r="D28133" s="21" t="s">
        <v>34</v>
      </c>
      <c r="E28133" s="21" t="s">
        <v>1089</v>
      </c>
      <c r="F28133">
        <v>10170035</v>
      </c>
      <c r="G28133" t="s">
        <v>12942</v>
      </c>
      <c r="H28133" s="21">
        <v>586.66999999999996</v>
      </c>
    </row>
    <row r="28134" spans="1:8" customFormat="1" x14ac:dyDescent="0.25">
      <c r="A28134" t="str">
        <f>"5930252"</f>
        <v>5930252</v>
      </c>
      <c r="B28134" t="s">
        <v>19706</v>
      </c>
      <c r="C28134" t="s">
        <v>249</v>
      </c>
      <c r="D28134" s="21" t="s">
        <v>34</v>
      </c>
      <c r="E28134" s="21" t="s">
        <v>71</v>
      </c>
      <c r="F28134">
        <v>7590173</v>
      </c>
      <c r="G28134" t="s">
        <v>5675</v>
      </c>
      <c r="H28134" s="21">
        <v>586.66999999999996</v>
      </c>
    </row>
    <row r="28135" spans="1:8" customFormat="1" x14ac:dyDescent="0.25">
      <c r="A28135" t="str">
        <f>"2924548"</f>
        <v>2924548</v>
      </c>
      <c r="B28135" t="s">
        <v>19851</v>
      </c>
      <c r="C28135" t="s">
        <v>415</v>
      </c>
      <c r="D28135" s="21" t="s">
        <v>34</v>
      </c>
      <c r="E28135" s="21" t="s">
        <v>71</v>
      </c>
      <c r="F28135">
        <v>3290223</v>
      </c>
      <c r="G28135" t="s">
        <v>2636</v>
      </c>
      <c r="H28135" s="21">
        <v>586.66999999999996</v>
      </c>
    </row>
    <row r="28136" spans="1:8" customFormat="1" x14ac:dyDescent="0.25">
      <c r="A28136" t="str">
        <f>"9136611"</f>
        <v>9136611</v>
      </c>
      <c r="B28136" t="s">
        <v>20512</v>
      </c>
      <c r="C28136" t="s">
        <v>415</v>
      </c>
      <c r="D28136" s="21" t="s">
        <v>34</v>
      </c>
      <c r="E28136" s="21" t="s">
        <v>71</v>
      </c>
      <c r="F28136">
        <v>8911132</v>
      </c>
      <c r="G28136" t="s">
        <v>10728</v>
      </c>
      <c r="H28136" s="21">
        <v>586.66999999999996</v>
      </c>
    </row>
    <row r="28137" spans="1:8" customFormat="1" x14ac:dyDescent="0.25">
      <c r="A28137" t="str">
        <f>"9213340"</f>
        <v>9213340</v>
      </c>
      <c r="B28137" t="s">
        <v>19374</v>
      </c>
      <c r="C28137" t="s">
        <v>564</v>
      </c>
      <c r="D28137" s="21" t="s">
        <v>34</v>
      </c>
      <c r="E28137" s="21" t="s">
        <v>1089</v>
      </c>
      <c r="F28137">
        <v>8920076</v>
      </c>
      <c r="G28137" t="s">
        <v>2281</v>
      </c>
      <c r="H28137" s="21">
        <v>586.66999999999996</v>
      </c>
    </row>
    <row r="28138" spans="1:8" customFormat="1" x14ac:dyDescent="0.25">
      <c r="A28138" t="str">
        <f>"6943778"</f>
        <v>6943778</v>
      </c>
      <c r="B28138" t="s">
        <v>9834</v>
      </c>
      <c r="C28138" t="s">
        <v>262</v>
      </c>
      <c r="D28138" s="21" t="s">
        <v>34</v>
      </c>
      <c r="E28138" s="21" t="s">
        <v>35</v>
      </c>
      <c r="F28138">
        <v>1690215</v>
      </c>
      <c r="G28138" t="s">
        <v>1080</v>
      </c>
      <c r="H28138" s="21">
        <v>586.66999999999996</v>
      </c>
    </row>
    <row r="28139" spans="1:8" customFormat="1" x14ac:dyDescent="0.25">
      <c r="A28139" t="str">
        <f>"5318331"</f>
        <v>5318331</v>
      </c>
      <c r="B28139" t="s">
        <v>22009</v>
      </c>
      <c r="C28139" t="s">
        <v>598</v>
      </c>
      <c r="D28139" s="21" t="s">
        <v>34</v>
      </c>
      <c r="E28139" s="21" t="s">
        <v>254</v>
      </c>
      <c r="F28139">
        <v>12530081</v>
      </c>
      <c r="G28139" t="s">
        <v>13952</v>
      </c>
      <c r="H28139" s="21">
        <v>586.66999999999996</v>
      </c>
    </row>
    <row r="28140" spans="1:8" customFormat="1" x14ac:dyDescent="0.25">
      <c r="A28140" t="str">
        <f>"9146544"</f>
        <v>9146544</v>
      </c>
      <c r="B28140" t="s">
        <v>28036</v>
      </c>
      <c r="C28140" t="s">
        <v>28037</v>
      </c>
      <c r="D28140" s="21" t="s">
        <v>34</v>
      </c>
      <c r="E28140" s="21" t="s">
        <v>254</v>
      </c>
      <c r="F28140">
        <v>8910214</v>
      </c>
      <c r="G28140" t="s">
        <v>986</v>
      </c>
      <c r="H28140" s="21">
        <v>586.66999999999996</v>
      </c>
    </row>
    <row r="28141" spans="1:8" customFormat="1" x14ac:dyDescent="0.25">
      <c r="A28141" t="str">
        <f>"905925"</f>
        <v>905925</v>
      </c>
      <c r="B28141" t="s">
        <v>2983</v>
      </c>
      <c r="C28141" t="s">
        <v>1914</v>
      </c>
      <c r="D28141" s="21" t="s">
        <v>34</v>
      </c>
      <c r="E28141" s="21" t="s">
        <v>35</v>
      </c>
      <c r="F28141">
        <v>2900041</v>
      </c>
      <c r="G28141" t="s">
        <v>4635</v>
      </c>
      <c r="H28141" s="21">
        <v>586.66999999999996</v>
      </c>
    </row>
    <row r="28142" spans="1:8" customFormat="1" x14ac:dyDescent="0.25">
      <c r="A28142" t="str">
        <f>"44181"</f>
        <v>44181</v>
      </c>
      <c r="B28142" t="s">
        <v>19703</v>
      </c>
      <c r="C28142" t="s">
        <v>209</v>
      </c>
      <c r="D28142" s="21" t="s">
        <v>34</v>
      </c>
      <c r="E28142" s="21" t="s">
        <v>254</v>
      </c>
      <c r="F28142">
        <v>12440084</v>
      </c>
      <c r="G28142" t="s">
        <v>1014</v>
      </c>
      <c r="H28142" s="21">
        <v>586.66999999999996</v>
      </c>
    </row>
    <row r="28143" spans="1:8" customFormat="1" x14ac:dyDescent="0.25">
      <c r="A28143" t="str">
        <f>"821008"</f>
        <v>821008</v>
      </c>
      <c r="B28143" t="s">
        <v>1419</v>
      </c>
      <c r="C28143" t="s">
        <v>453</v>
      </c>
      <c r="D28143" s="21" t="s">
        <v>34</v>
      </c>
      <c r="E28143" s="21" t="s">
        <v>71</v>
      </c>
      <c r="F28143">
        <v>11820011</v>
      </c>
      <c r="G28143" t="s">
        <v>2611</v>
      </c>
      <c r="H28143" s="21">
        <v>586.54</v>
      </c>
    </row>
    <row r="28144" spans="1:8" customFormat="1" x14ac:dyDescent="0.25">
      <c r="A28144" t="str">
        <f>"2714922"</f>
        <v>2714922</v>
      </c>
      <c r="B28144" t="s">
        <v>20082</v>
      </c>
      <c r="C28144" t="s">
        <v>187</v>
      </c>
      <c r="D28144" s="21" t="s">
        <v>34</v>
      </c>
      <c r="E28144" s="21" t="s">
        <v>35</v>
      </c>
      <c r="F28144">
        <v>9760286</v>
      </c>
      <c r="G28144" t="s">
        <v>11559</v>
      </c>
      <c r="H28144" s="21">
        <v>586.5</v>
      </c>
    </row>
    <row r="28145" spans="1:8" customFormat="1" x14ac:dyDescent="0.25">
      <c r="A28145" t="str">
        <f>"0115856"</f>
        <v>0115856</v>
      </c>
      <c r="B28145" t="s">
        <v>28038</v>
      </c>
      <c r="C28145" t="s">
        <v>28039</v>
      </c>
      <c r="D28145" s="21" t="s">
        <v>34</v>
      </c>
      <c r="E28145" s="21" t="s">
        <v>71</v>
      </c>
      <c r="F28145">
        <v>1010031</v>
      </c>
      <c r="G28145" t="s">
        <v>8957</v>
      </c>
      <c r="H28145" s="21">
        <v>586.5</v>
      </c>
    </row>
    <row r="28146" spans="1:8" customFormat="1" x14ac:dyDescent="0.25">
      <c r="A28146" t="str">
        <f>"944502"</f>
        <v>944502</v>
      </c>
      <c r="B28146" t="s">
        <v>1886</v>
      </c>
      <c r="C28146" t="s">
        <v>4842</v>
      </c>
      <c r="D28146" s="21" t="s">
        <v>34</v>
      </c>
      <c r="E28146" s="21" t="s">
        <v>254</v>
      </c>
      <c r="F28146">
        <v>8940535</v>
      </c>
      <c r="G28146" t="s">
        <v>2628</v>
      </c>
      <c r="H28146" s="21">
        <v>586.41999999999996</v>
      </c>
    </row>
    <row r="28147" spans="1:8" customFormat="1" x14ac:dyDescent="0.25">
      <c r="A28147" t="str">
        <f>"5982520"</f>
        <v>5982520</v>
      </c>
      <c r="B28147" t="s">
        <v>28040</v>
      </c>
      <c r="C28147" t="s">
        <v>217</v>
      </c>
      <c r="D28147" s="21" t="s">
        <v>34</v>
      </c>
      <c r="E28147" s="21" t="s">
        <v>71</v>
      </c>
      <c r="F28147">
        <v>7590126</v>
      </c>
      <c r="G28147" t="s">
        <v>4749</v>
      </c>
      <c r="H28147" s="21">
        <v>586.29</v>
      </c>
    </row>
    <row r="28148" spans="1:8" customFormat="1" x14ac:dyDescent="0.25">
      <c r="A28148" t="str">
        <f>"2938785"</f>
        <v>2938785</v>
      </c>
      <c r="B28148" t="s">
        <v>21624</v>
      </c>
      <c r="C28148" t="s">
        <v>1110</v>
      </c>
      <c r="D28148" s="21" t="s">
        <v>34</v>
      </c>
      <c r="E28148" s="21" t="s">
        <v>254</v>
      </c>
      <c r="F28148">
        <v>3290268</v>
      </c>
      <c r="G28148" t="s">
        <v>9878</v>
      </c>
      <c r="H28148" s="21">
        <v>586.16999999999996</v>
      </c>
    </row>
    <row r="28149" spans="1:8" customFormat="1" x14ac:dyDescent="0.25">
      <c r="A28149" t="str">
        <f>"7721507"</f>
        <v>7721507</v>
      </c>
      <c r="B28149" t="s">
        <v>5516</v>
      </c>
      <c r="C28149" t="s">
        <v>206</v>
      </c>
      <c r="D28149" s="21" t="s">
        <v>34</v>
      </c>
      <c r="E28149" s="21" t="s">
        <v>35</v>
      </c>
      <c r="F28149">
        <v>8771085</v>
      </c>
      <c r="G28149" t="s">
        <v>11894</v>
      </c>
      <c r="H28149" s="21">
        <v>586.16999999999996</v>
      </c>
    </row>
    <row r="28150" spans="1:8" customFormat="1" x14ac:dyDescent="0.25">
      <c r="A28150" t="str">
        <f>"4113825"</f>
        <v>4113825</v>
      </c>
      <c r="B28150" t="s">
        <v>13630</v>
      </c>
      <c r="C28150" t="s">
        <v>611</v>
      </c>
      <c r="D28150" s="21" t="s">
        <v>34</v>
      </c>
      <c r="E28150" s="21" t="s">
        <v>35</v>
      </c>
      <c r="F28150">
        <v>4410586</v>
      </c>
      <c r="G28150" t="s">
        <v>7672</v>
      </c>
      <c r="H28150" s="21">
        <v>586.16999999999996</v>
      </c>
    </row>
    <row r="28151" spans="1:8" customFormat="1" x14ac:dyDescent="0.25">
      <c r="A28151" t="str">
        <f>"738793"</f>
        <v>738793</v>
      </c>
      <c r="B28151" t="s">
        <v>6894</v>
      </c>
      <c r="C28151" t="s">
        <v>40</v>
      </c>
      <c r="D28151" s="21" t="s">
        <v>34</v>
      </c>
      <c r="E28151" s="21" t="s">
        <v>71</v>
      </c>
      <c r="F28151">
        <v>1730048</v>
      </c>
      <c r="G28151" t="s">
        <v>3173</v>
      </c>
      <c r="H28151" s="21">
        <v>586.16999999999996</v>
      </c>
    </row>
    <row r="28152" spans="1:8" customFormat="1" x14ac:dyDescent="0.25">
      <c r="A28152" t="str">
        <f>"2813871"</f>
        <v>2813871</v>
      </c>
      <c r="B28152" t="s">
        <v>28041</v>
      </c>
      <c r="C28152" t="s">
        <v>87</v>
      </c>
      <c r="D28152" s="21" t="s">
        <v>34</v>
      </c>
      <c r="E28152" s="21" t="s">
        <v>35</v>
      </c>
      <c r="F28152">
        <v>4280664</v>
      </c>
      <c r="G28152" t="s">
        <v>12012</v>
      </c>
      <c r="H28152" s="21">
        <v>586.16999999999996</v>
      </c>
    </row>
    <row r="28153" spans="1:8" customFormat="1" x14ac:dyDescent="0.25">
      <c r="A28153" t="str">
        <f>"4437722"</f>
        <v>4437722</v>
      </c>
      <c r="B28153" t="s">
        <v>12087</v>
      </c>
      <c r="C28153" t="s">
        <v>121</v>
      </c>
      <c r="D28153" s="21" t="s">
        <v>34</v>
      </c>
      <c r="E28153" s="21" t="s">
        <v>254</v>
      </c>
      <c r="F28153">
        <v>12440039</v>
      </c>
      <c r="G28153" t="s">
        <v>9650</v>
      </c>
      <c r="H28153" s="21">
        <v>586.16999999999996</v>
      </c>
    </row>
    <row r="28154" spans="1:8" customFormat="1" x14ac:dyDescent="0.25">
      <c r="A28154" t="str">
        <f>"8614370"</f>
        <v>8614370</v>
      </c>
      <c r="B28154" t="s">
        <v>7732</v>
      </c>
      <c r="C28154" t="s">
        <v>712</v>
      </c>
      <c r="D28154" s="21" t="s">
        <v>34</v>
      </c>
      <c r="E28154" s="21" t="s">
        <v>35</v>
      </c>
      <c r="F28154">
        <v>10860016</v>
      </c>
      <c r="G28154" t="s">
        <v>3289</v>
      </c>
      <c r="H28154" s="21">
        <v>586.16999999999996</v>
      </c>
    </row>
    <row r="28155" spans="1:8" customFormat="1" x14ac:dyDescent="0.25">
      <c r="A28155" t="str">
        <f>"2512962"</f>
        <v>2512962</v>
      </c>
      <c r="B28155" t="s">
        <v>20647</v>
      </c>
      <c r="C28155" t="s">
        <v>187</v>
      </c>
      <c r="D28155" s="21" t="s">
        <v>34</v>
      </c>
      <c r="E28155" s="21" t="s">
        <v>35</v>
      </c>
      <c r="F28155">
        <v>2250229</v>
      </c>
      <c r="G28155" t="s">
        <v>5004</v>
      </c>
      <c r="H28155" s="21">
        <v>586.16999999999996</v>
      </c>
    </row>
    <row r="28156" spans="1:8" customFormat="1" x14ac:dyDescent="0.25">
      <c r="A28156" t="str">
        <f>"442805"</f>
        <v>442805</v>
      </c>
      <c r="B28156" t="s">
        <v>19947</v>
      </c>
      <c r="C28156" t="s">
        <v>267</v>
      </c>
      <c r="D28156" s="21" t="s">
        <v>34</v>
      </c>
      <c r="E28156" s="21" t="s">
        <v>254</v>
      </c>
      <c r="F28156">
        <v>12440092</v>
      </c>
      <c r="G28156" t="s">
        <v>8475</v>
      </c>
      <c r="H28156" s="21">
        <v>586.16999999999996</v>
      </c>
    </row>
    <row r="28157" spans="1:8" customFormat="1" x14ac:dyDescent="0.25">
      <c r="A28157" t="str">
        <f>"1717043"</f>
        <v>1717043</v>
      </c>
      <c r="B28157" t="s">
        <v>21407</v>
      </c>
      <c r="C28157" t="s">
        <v>1110</v>
      </c>
      <c r="D28157" s="21" t="s">
        <v>34</v>
      </c>
      <c r="E28157" s="21" t="s">
        <v>254</v>
      </c>
      <c r="F28157">
        <v>10170178</v>
      </c>
      <c r="G28157" t="s">
        <v>17278</v>
      </c>
      <c r="H28157" s="21">
        <v>586.16999999999996</v>
      </c>
    </row>
    <row r="28158" spans="1:8" customFormat="1" x14ac:dyDescent="0.25">
      <c r="A28158" t="str">
        <f>"3830604"</f>
        <v>3830604</v>
      </c>
      <c r="B28158" t="s">
        <v>17113</v>
      </c>
      <c r="C28158" t="s">
        <v>246</v>
      </c>
      <c r="D28158" s="21" t="s">
        <v>34</v>
      </c>
      <c r="E28158" s="21" t="s">
        <v>71</v>
      </c>
      <c r="F28158">
        <v>1380273</v>
      </c>
      <c r="G28158" t="s">
        <v>7554</v>
      </c>
      <c r="H28158" s="21">
        <v>586.16999999999996</v>
      </c>
    </row>
    <row r="28159" spans="1:8" customFormat="1" x14ac:dyDescent="0.25">
      <c r="A28159" t="str">
        <f>"6912783"</f>
        <v>6912783</v>
      </c>
      <c r="B28159" t="s">
        <v>2052</v>
      </c>
      <c r="C28159" t="s">
        <v>598</v>
      </c>
      <c r="D28159" s="21" t="s">
        <v>34</v>
      </c>
      <c r="E28159" s="21" t="s">
        <v>254</v>
      </c>
      <c r="F28159">
        <v>1690004</v>
      </c>
      <c r="G28159" t="s">
        <v>12294</v>
      </c>
      <c r="H28159" s="21">
        <v>586.16999999999996</v>
      </c>
    </row>
    <row r="28160" spans="1:8" customFormat="1" x14ac:dyDescent="0.25">
      <c r="A28160" t="str">
        <f>"5113824"</f>
        <v>5113824</v>
      </c>
      <c r="B28160" t="s">
        <v>14439</v>
      </c>
      <c r="C28160" t="s">
        <v>462</v>
      </c>
      <c r="D28160" s="21" t="s">
        <v>34</v>
      </c>
      <c r="E28160" s="21" t="s">
        <v>71</v>
      </c>
      <c r="F28160">
        <v>6510110</v>
      </c>
      <c r="G28160" t="s">
        <v>9011</v>
      </c>
      <c r="H28160" s="21">
        <v>586.16999999999996</v>
      </c>
    </row>
    <row r="28161" spans="1:8" customFormat="1" x14ac:dyDescent="0.25">
      <c r="A28161" t="str">
        <f>"6211028"</f>
        <v>6211028</v>
      </c>
      <c r="B28161" t="s">
        <v>2851</v>
      </c>
      <c r="C28161" t="s">
        <v>1132</v>
      </c>
      <c r="D28161" s="21" t="s">
        <v>34</v>
      </c>
      <c r="E28161" s="21" t="s">
        <v>254</v>
      </c>
      <c r="F28161">
        <v>7620032</v>
      </c>
      <c r="G28161" t="s">
        <v>11181</v>
      </c>
      <c r="H28161" s="21">
        <v>586.16999999999996</v>
      </c>
    </row>
    <row r="28162" spans="1:8" customFormat="1" x14ac:dyDescent="0.25">
      <c r="A28162" t="str">
        <f>"562785"</f>
        <v>562785</v>
      </c>
      <c r="B28162" t="s">
        <v>18529</v>
      </c>
      <c r="C28162" t="s">
        <v>2232</v>
      </c>
      <c r="D28162" s="21" t="s">
        <v>34</v>
      </c>
      <c r="E28162" s="21" t="s">
        <v>254</v>
      </c>
      <c r="F28162">
        <v>3560049</v>
      </c>
      <c r="G28162" t="s">
        <v>8021</v>
      </c>
      <c r="H28162" s="21">
        <v>586.16999999999996</v>
      </c>
    </row>
    <row r="28163" spans="1:8" customFormat="1" x14ac:dyDescent="0.25">
      <c r="A28163" t="str">
        <f>"7923682"</f>
        <v>7923682</v>
      </c>
      <c r="B28163" t="s">
        <v>21516</v>
      </c>
      <c r="C28163" t="s">
        <v>169</v>
      </c>
      <c r="D28163" s="21" t="s">
        <v>34</v>
      </c>
      <c r="E28163" s="21" t="s">
        <v>35</v>
      </c>
      <c r="F28163">
        <v>10790043</v>
      </c>
      <c r="G28163" t="s">
        <v>2828</v>
      </c>
      <c r="H28163" s="21">
        <v>586.16999999999996</v>
      </c>
    </row>
    <row r="28164" spans="1:8" customFormat="1" x14ac:dyDescent="0.25">
      <c r="A28164" t="str">
        <f>"547456"</f>
        <v>547456</v>
      </c>
      <c r="B28164" t="s">
        <v>7281</v>
      </c>
      <c r="C28164" t="s">
        <v>209</v>
      </c>
      <c r="D28164" s="21" t="s">
        <v>34</v>
      </c>
      <c r="E28164" s="21" t="s">
        <v>254</v>
      </c>
      <c r="F28164">
        <v>6540108</v>
      </c>
      <c r="G28164" t="s">
        <v>4340</v>
      </c>
      <c r="H28164" s="21">
        <v>586.16999999999996</v>
      </c>
    </row>
    <row r="28165" spans="1:8" customFormat="1" x14ac:dyDescent="0.25">
      <c r="A28165" t="str">
        <f>"774084"</f>
        <v>774084</v>
      </c>
      <c r="B28165" t="s">
        <v>7980</v>
      </c>
      <c r="C28165" t="s">
        <v>772</v>
      </c>
      <c r="D28165" s="21" t="s">
        <v>34</v>
      </c>
      <c r="E28165" s="21" t="s">
        <v>254</v>
      </c>
      <c r="F28165">
        <v>8771448</v>
      </c>
      <c r="G28165" t="s">
        <v>11540</v>
      </c>
      <c r="H28165" s="21">
        <v>586.04</v>
      </c>
    </row>
    <row r="28166" spans="1:8" customFormat="1" x14ac:dyDescent="0.25">
      <c r="A28166" t="str">
        <f>"2516903"</f>
        <v>2516903</v>
      </c>
      <c r="B28166" t="s">
        <v>22604</v>
      </c>
      <c r="C28166" t="s">
        <v>55</v>
      </c>
      <c r="D28166" s="21" t="s">
        <v>34</v>
      </c>
      <c r="E28166" s="21" t="s">
        <v>71</v>
      </c>
      <c r="F28166">
        <v>2250070</v>
      </c>
      <c r="G28166" t="s">
        <v>3923</v>
      </c>
      <c r="H28166" s="21">
        <v>586.04</v>
      </c>
    </row>
    <row r="28167" spans="1:8" customFormat="1" x14ac:dyDescent="0.25">
      <c r="A28167" t="str">
        <f>"9145773"</f>
        <v>9145773</v>
      </c>
      <c r="B28167" t="s">
        <v>875</v>
      </c>
      <c r="C28167" t="s">
        <v>20741</v>
      </c>
      <c r="D28167" s="21" t="s">
        <v>34</v>
      </c>
      <c r="E28167" s="21" t="s">
        <v>35</v>
      </c>
      <c r="F28167">
        <v>8910165</v>
      </c>
      <c r="G28167" t="s">
        <v>3184</v>
      </c>
      <c r="H28167" s="21">
        <v>585.91999999999996</v>
      </c>
    </row>
    <row r="28168" spans="1:8" customFormat="1" x14ac:dyDescent="0.25">
      <c r="A28168" t="str">
        <f>"1321643"</f>
        <v>1321643</v>
      </c>
      <c r="B28168" t="s">
        <v>28042</v>
      </c>
      <c r="C28168" t="s">
        <v>320</v>
      </c>
      <c r="D28168" s="21" t="s">
        <v>34</v>
      </c>
      <c r="E28168" s="21" t="s">
        <v>35</v>
      </c>
      <c r="F28168">
        <v>13130162</v>
      </c>
      <c r="G28168" t="s">
        <v>13411</v>
      </c>
      <c r="H28168" s="21">
        <v>585.91999999999996</v>
      </c>
    </row>
    <row r="28169" spans="1:8" customFormat="1" x14ac:dyDescent="0.25">
      <c r="A28169" t="str">
        <f>"797798"</f>
        <v>797798</v>
      </c>
      <c r="B28169" t="s">
        <v>18272</v>
      </c>
      <c r="C28169" t="s">
        <v>631</v>
      </c>
      <c r="D28169" s="21" t="s">
        <v>34</v>
      </c>
      <c r="E28169" s="21" t="s">
        <v>35</v>
      </c>
      <c r="F28169">
        <v>10790015</v>
      </c>
      <c r="G28169" t="s">
        <v>12820</v>
      </c>
      <c r="H28169" s="21">
        <v>585.91999999999996</v>
      </c>
    </row>
    <row r="28170" spans="1:8" customFormat="1" x14ac:dyDescent="0.25">
      <c r="A28170" t="str">
        <f>"9754185"</f>
        <v>9754185</v>
      </c>
      <c r="B28170" t="s">
        <v>19975</v>
      </c>
      <c r="C28170" t="s">
        <v>656</v>
      </c>
      <c r="D28170" s="21" t="s">
        <v>34</v>
      </c>
      <c r="E28170" s="21" t="s">
        <v>35</v>
      </c>
      <c r="F28170" t="s">
        <v>1906</v>
      </c>
      <c r="G28170" t="s">
        <v>26625</v>
      </c>
      <c r="H28170" s="21">
        <v>585.91999999999996</v>
      </c>
    </row>
    <row r="28171" spans="1:8" customFormat="1" x14ac:dyDescent="0.25">
      <c r="A28171" t="str">
        <f>"5966288"</f>
        <v>5966288</v>
      </c>
      <c r="B28171" t="s">
        <v>22120</v>
      </c>
      <c r="C28171" t="s">
        <v>43</v>
      </c>
      <c r="D28171" s="21" t="s">
        <v>34</v>
      </c>
      <c r="E28171" s="21" t="s">
        <v>35</v>
      </c>
      <c r="F28171">
        <v>7590087</v>
      </c>
      <c r="G28171" t="s">
        <v>2112</v>
      </c>
      <c r="H28171" s="21">
        <v>585.91999999999996</v>
      </c>
    </row>
    <row r="28172" spans="1:8" customFormat="1" x14ac:dyDescent="0.25">
      <c r="A28172" t="str">
        <f>"4426356"</f>
        <v>4426356</v>
      </c>
      <c r="B28172" t="s">
        <v>19323</v>
      </c>
      <c r="C28172" t="s">
        <v>267</v>
      </c>
      <c r="D28172" s="21" t="s">
        <v>34</v>
      </c>
      <c r="E28172" s="21" t="s">
        <v>254</v>
      </c>
      <c r="F28172">
        <v>12440074</v>
      </c>
      <c r="G28172" t="s">
        <v>2436</v>
      </c>
      <c r="H28172" s="21">
        <v>585.66999999999996</v>
      </c>
    </row>
    <row r="28173" spans="1:8" customFormat="1" x14ac:dyDescent="0.25">
      <c r="A28173" t="str">
        <f>"111810"</f>
        <v>111810</v>
      </c>
      <c r="B28173" t="s">
        <v>20418</v>
      </c>
      <c r="C28173" t="s">
        <v>428</v>
      </c>
      <c r="D28173" s="21" t="s">
        <v>34</v>
      </c>
      <c r="E28173" s="21" t="s">
        <v>35</v>
      </c>
      <c r="F28173">
        <v>11110026</v>
      </c>
      <c r="G28173" t="s">
        <v>17718</v>
      </c>
      <c r="H28173" s="21">
        <v>585.66999999999996</v>
      </c>
    </row>
    <row r="28174" spans="1:8" customFormat="1" x14ac:dyDescent="0.25">
      <c r="A28174" t="str">
        <f>"4928142"</f>
        <v>4928142</v>
      </c>
      <c r="B28174" t="s">
        <v>28043</v>
      </c>
      <c r="C28174" t="s">
        <v>209</v>
      </c>
      <c r="D28174" s="21" t="s">
        <v>34</v>
      </c>
      <c r="E28174" s="21" t="s">
        <v>71</v>
      </c>
      <c r="F28174">
        <v>12490127</v>
      </c>
      <c r="G28174" t="s">
        <v>4034</v>
      </c>
      <c r="H28174" s="21">
        <v>585.66999999999996</v>
      </c>
    </row>
    <row r="28175" spans="1:8" customFormat="1" x14ac:dyDescent="0.25">
      <c r="A28175" t="str">
        <f>"668364"</f>
        <v>668364</v>
      </c>
      <c r="B28175" t="s">
        <v>24751</v>
      </c>
      <c r="C28175" t="s">
        <v>17808</v>
      </c>
      <c r="D28175" s="21" t="s">
        <v>34</v>
      </c>
      <c r="E28175" s="21" t="s">
        <v>35</v>
      </c>
      <c r="F28175">
        <v>11660031</v>
      </c>
      <c r="G28175" t="s">
        <v>12617</v>
      </c>
      <c r="H28175" s="21">
        <v>585.66999999999996</v>
      </c>
    </row>
    <row r="28176" spans="1:8" customFormat="1" x14ac:dyDescent="0.25">
      <c r="A28176" t="str">
        <f>"139803"</f>
        <v>139803</v>
      </c>
      <c r="B28176" t="s">
        <v>17420</v>
      </c>
      <c r="C28176" t="s">
        <v>462</v>
      </c>
      <c r="D28176" s="21" t="s">
        <v>34</v>
      </c>
      <c r="E28176" s="21" t="s">
        <v>71</v>
      </c>
      <c r="F28176">
        <v>10640003</v>
      </c>
      <c r="G28176" t="s">
        <v>1594</v>
      </c>
      <c r="H28176" s="21">
        <v>585.66999999999996</v>
      </c>
    </row>
    <row r="28177" spans="1:8" customFormat="1" x14ac:dyDescent="0.25">
      <c r="A28177" t="str">
        <f>"837286"</f>
        <v>837286</v>
      </c>
      <c r="B28177" t="s">
        <v>20225</v>
      </c>
      <c r="C28177" t="s">
        <v>249</v>
      </c>
      <c r="D28177" s="21" t="s">
        <v>34</v>
      </c>
      <c r="E28177" s="21" t="s">
        <v>71</v>
      </c>
      <c r="F28177">
        <v>8910102</v>
      </c>
      <c r="G28177" t="s">
        <v>3079</v>
      </c>
      <c r="H28177" s="21">
        <v>585.66999999999996</v>
      </c>
    </row>
    <row r="28178" spans="1:8" customFormat="1" x14ac:dyDescent="0.25">
      <c r="A28178" t="str">
        <f>"3525897"</f>
        <v>3525897</v>
      </c>
      <c r="B28178" t="s">
        <v>21486</v>
      </c>
      <c r="C28178" t="s">
        <v>576</v>
      </c>
      <c r="D28178" s="21" t="s">
        <v>34</v>
      </c>
      <c r="E28178" s="21" t="s">
        <v>35</v>
      </c>
      <c r="F28178">
        <v>3350014</v>
      </c>
      <c r="G28178" t="s">
        <v>1078</v>
      </c>
      <c r="H28178" s="21">
        <v>585.66999999999996</v>
      </c>
    </row>
    <row r="28179" spans="1:8" customFormat="1" x14ac:dyDescent="0.25">
      <c r="A28179" t="str">
        <f>"9A394"</f>
        <v>9A394</v>
      </c>
      <c r="B28179" t="s">
        <v>3646</v>
      </c>
      <c r="C28179" t="s">
        <v>169</v>
      </c>
      <c r="D28179" s="21" t="s">
        <v>34</v>
      </c>
      <c r="E28179" s="21" t="s">
        <v>35</v>
      </c>
      <c r="F28179">
        <v>10790235</v>
      </c>
      <c r="G28179" t="s">
        <v>413</v>
      </c>
      <c r="H28179" s="21">
        <v>585.66999999999996</v>
      </c>
    </row>
    <row r="28180" spans="1:8" customFormat="1" x14ac:dyDescent="0.25">
      <c r="A28180" t="str">
        <f>"3719128"</f>
        <v>3719128</v>
      </c>
      <c r="B28180" t="s">
        <v>19982</v>
      </c>
      <c r="C28180" t="s">
        <v>267</v>
      </c>
      <c r="D28180" s="21" t="s">
        <v>34</v>
      </c>
      <c r="E28180" s="21" t="s">
        <v>254</v>
      </c>
      <c r="F28180">
        <v>4370615</v>
      </c>
      <c r="G28180" t="s">
        <v>7437</v>
      </c>
      <c r="H28180" s="21">
        <v>585.66999999999996</v>
      </c>
    </row>
    <row r="28181" spans="1:8" customFormat="1" x14ac:dyDescent="0.25">
      <c r="A28181" t="str">
        <f>"9213870"</f>
        <v>9213870</v>
      </c>
      <c r="B28181" t="s">
        <v>20230</v>
      </c>
      <c r="C28181" t="s">
        <v>171</v>
      </c>
      <c r="D28181" s="21" t="s">
        <v>34</v>
      </c>
      <c r="E28181" s="21" t="s">
        <v>71</v>
      </c>
      <c r="F28181">
        <v>8921164</v>
      </c>
      <c r="G28181" t="s">
        <v>5203</v>
      </c>
      <c r="H28181" s="21">
        <v>585.66999999999996</v>
      </c>
    </row>
    <row r="28182" spans="1:8" customFormat="1" x14ac:dyDescent="0.25">
      <c r="A28182" t="str">
        <f>"5111731"</f>
        <v>5111731</v>
      </c>
      <c r="B28182" t="s">
        <v>9353</v>
      </c>
      <c r="C28182" t="s">
        <v>127</v>
      </c>
      <c r="D28182" s="21" t="s">
        <v>34</v>
      </c>
      <c r="E28182" s="21" t="s">
        <v>35</v>
      </c>
      <c r="F28182">
        <v>6510029</v>
      </c>
      <c r="G28182" t="s">
        <v>1879</v>
      </c>
      <c r="H28182" s="21">
        <v>585.66999999999996</v>
      </c>
    </row>
    <row r="28183" spans="1:8" customFormat="1" x14ac:dyDescent="0.25">
      <c r="A28183" t="str">
        <f>"3114475"</f>
        <v>3114475</v>
      </c>
      <c r="B28183" t="s">
        <v>1198</v>
      </c>
      <c r="C28183" t="s">
        <v>544</v>
      </c>
      <c r="D28183" s="21" t="s">
        <v>34</v>
      </c>
      <c r="E28183" s="21" t="s">
        <v>71</v>
      </c>
      <c r="F28183">
        <v>11310121</v>
      </c>
      <c r="G28183" t="s">
        <v>578</v>
      </c>
      <c r="H28183" s="21">
        <v>585.66999999999996</v>
      </c>
    </row>
    <row r="28184" spans="1:8" customFormat="1" x14ac:dyDescent="0.25">
      <c r="A28184" t="str">
        <f>"5983125"</f>
        <v>5983125</v>
      </c>
      <c r="B28184" t="s">
        <v>18698</v>
      </c>
      <c r="C28184" t="s">
        <v>1887</v>
      </c>
      <c r="D28184" s="21" t="s">
        <v>34</v>
      </c>
      <c r="E28184" s="21" t="s">
        <v>35</v>
      </c>
      <c r="F28184">
        <v>7590140</v>
      </c>
      <c r="G28184" t="s">
        <v>28044</v>
      </c>
      <c r="H28184" s="21">
        <v>585.66999999999996</v>
      </c>
    </row>
    <row r="28185" spans="1:8" customFormat="1" x14ac:dyDescent="0.25">
      <c r="A28185" t="str">
        <f>"9A762"</f>
        <v>9A762</v>
      </c>
      <c r="B28185" t="s">
        <v>20085</v>
      </c>
      <c r="C28185" t="s">
        <v>1914</v>
      </c>
      <c r="D28185" s="21" t="s">
        <v>34</v>
      </c>
      <c r="E28185" s="21" t="s">
        <v>35</v>
      </c>
      <c r="F28185" t="s">
        <v>2849</v>
      </c>
      <c r="G28185" t="s">
        <v>2850</v>
      </c>
      <c r="H28185" s="21">
        <v>585.66999999999996</v>
      </c>
    </row>
    <row r="28186" spans="1:8" customFormat="1" x14ac:dyDescent="0.25">
      <c r="A28186" t="str">
        <f>"324455"</f>
        <v>324455</v>
      </c>
      <c r="B28186" t="s">
        <v>20888</v>
      </c>
      <c r="C28186" t="s">
        <v>484</v>
      </c>
      <c r="D28186" s="21" t="s">
        <v>34</v>
      </c>
      <c r="E28186" s="21" t="s">
        <v>35</v>
      </c>
      <c r="F28186">
        <v>11320042</v>
      </c>
      <c r="G28186" t="s">
        <v>234</v>
      </c>
      <c r="H28186" s="21">
        <v>585.66999999999996</v>
      </c>
    </row>
    <row r="28187" spans="1:8" customFormat="1" x14ac:dyDescent="0.25">
      <c r="A28187" t="str">
        <f>"2929035"</f>
        <v>2929035</v>
      </c>
      <c r="B28187" t="s">
        <v>8329</v>
      </c>
      <c r="C28187" t="s">
        <v>55</v>
      </c>
      <c r="D28187" s="21" t="s">
        <v>34</v>
      </c>
      <c r="E28187" s="21" t="s">
        <v>71</v>
      </c>
      <c r="F28187">
        <v>3290019</v>
      </c>
      <c r="G28187" t="s">
        <v>4452</v>
      </c>
      <c r="H28187" s="21">
        <v>585.66999999999996</v>
      </c>
    </row>
    <row r="28188" spans="1:8" customFormat="1" x14ac:dyDescent="0.25">
      <c r="A28188" t="str">
        <f>"3536844"</f>
        <v>3536844</v>
      </c>
      <c r="B28188" t="s">
        <v>21765</v>
      </c>
      <c r="C28188" t="s">
        <v>209</v>
      </c>
      <c r="D28188" s="21" t="s">
        <v>34</v>
      </c>
      <c r="E28188" s="21" t="s">
        <v>71</v>
      </c>
      <c r="F28188">
        <v>3350023</v>
      </c>
      <c r="G28188" t="s">
        <v>12401</v>
      </c>
      <c r="H28188" s="21">
        <v>585.66999999999996</v>
      </c>
    </row>
    <row r="28189" spans="1:8" customFormat="1" x14ac:dyDescent="0.25">
      <c r="A28189" t="str">
        <f>"1612999"</f>
        <v>1612999</v>
      </c>
      <c r="B28189" t="s">
        <v>9922</v>
      </c>
      <c r="C28189" t="s">
        <v>209</v>
      </c>
      <c r="D28189" s="21" t="s">
        <v>34</v>
      </c>
      <c r="E28189" s="21" t="s">
        <v>71</v>
      </c>
      <c r="F28189">
        <v>10160186</v>
      </c>
      <c r="G28189" t="s">
        <v>4819</v>
      </c>
      <c r="H28189" s="21">
        <v>585.66999999999996</v>
      </c>
    </row>
    <row r="28190" spans="1:8" customFormat="1" x14ac:dyDescent="0.25">
      <c r="A28190" t="str">
        <f>"7510686"</f>
        <v>7510686</v>
      </c>
      <c r="B28190" t="s">
        <v>20272</v>
      </c>
      <c r="C28190" t="s">
        <v>147</v>
      </c>
      <c r="D28190" s="21" t="s">
        <v>34</v>
      </c>
      <c r="E28190" s="21" t="s">
        <v>71</v>
      </c>
      <c r="F28190">
        <v>8750100</v>
      </c>
      <c r="G28190" t="s">
        <v>10521</v>
      </c>
      <c r="H28190" s="21">
        <v>585.66999999999996</v>
      </c>
    </row>
    <row r="28191" spans="1:8" customFormat="1" x14ac:dyDescent="0.25">
      <c r="A28191" t="str">
        <f>"8019363"</f>
        <v>8019363</v>
      </c>
      <c r="B28191" t="s">
        <v>11602</v>
      </c>
      <c r="C28191" t="s">
        <v>2529</v>
      </c>
      <c r="D28191" s="21" t="s">
        <v>34</v>
      </c>
      <c r="E28191" s="21" t="s">
        <v>71</v>
      </c>
      <c r="F28191">
        <v>7800005</v>
      </c>
      <c r="G28191" t="s">
        <v>6547</v>
      </c>
      <c r="H28191" s="21">
        <v>585.66999999999996</v>
      </c>
    </row>
    <row r="28192" spans="1:8" customFormat="1" x14ac:dyDescent="0.25">
      <c r="A28192" t="str">
        <f>"671973"</f>
        <v>671973</v>
      </c>
      <c r="B28192" t="s">
        <v>19719</v>
      </c>
      <c r="C28192" t="s">
        <v>544</v>
      </c>
      <c r="D28192" s="21" t="s">
        <v>34</v>
      </c>
      <c r="E28192" s="21" t="s">
        <v>254</v>
      </c>
      <c r="F28192">
        <v>6670160</v>
      </c>
      <c r="G28192" t="s">
        <v>908</v>
      </c>
      <c r="H28192" s="21">
        <v>585.66999999999996</v>
      </c>
    </row>
    <row r="28193" spans="1:8" customFormat="1" x14ac:dyDescent="0.25">
      <c r="A28193" t="str">
        <f>"448326"</f>
        <v>448326</v>
      </c>
      <c r="B28193" t="s">
        <v>6305</v>
      </c>
      <c r="C28193" t="s">
        <v>1605</v>
      </c>
      <c r="D28193" s="21" t="s">
        <v>34</v>
      </c>
      <c r="E28193" s="21" t="s">
        <v>35</v>
      </c>
      <c r="F28193">
        <v>12440017</v>
      </c>
      <c r="G28193" t="s">
        <v>7683</v>
      </c>
      <c r="H28193" s="21">
        <v>585.66999999999996</v>
      </c>
    </row>
    <row r="28194" spans="1:8" customFormat="1" x14ac:dyDescent="0.25">
      <c r="A28194" t="str">
        <f>"3825956"</f>
        <v>3825956</v>
      </c>
      <c r="B28194" t="s">
        <v>4107</v>
      </c>
      <c r="C28194" t="s">
        <v>119</v>
      </c>
      <c r="D28194" s="21" t="s">
        <v>34</v>
      </c>
      <c r="E28194" s="21" t="s">
        <v>35</v>
      </c>
      <c r="F28194">
        <v>1380076</v>
      </c>
      <c r="G28194" t="s">
        <v>8543</v>
      </c>
      <c r="H28194" s="21">
        <v>585.66999999999996</v>
      </c>
    </row>
    <row r="28195" spans="1:8" customFormat="1" x14ac:dyDescent="0.25">
      <c r="A28195" t="str">
        <f>"711469"</f>
        <v>711469</v>
      </c>
      <c r="B28195" t="s">
        <v>6871</v>
      </c>
      <c r="C28195" t="s">
        <v>269</v>
      </c>
      <c r="D28195" s="21" t="s">
        <v>34</v>
      </c>
      <c r="E28195" s="21" t="s">
        <v>254</v>
      </c>
      <c r="F28195">
        <v>2710042</v>
      </c>
      <c r="G28195" t="s">
        <v>1997</v>
      </c>
      <c r="H28195" s="21">
        <v>585.66999999999996</v>
      </c>
    </row>
    <row r="28196" spans="1:8" customFormat="1" x14ac:dyDescent="0.25">
      <c r="A28196" t="str">
        <f>"6217281"</f>
        <v>6217281</v>
      </c>
      <c r="B28196" t="s">
        <v>19832</v>
      </c>
      <c r="C28196" t="s">
        <v>263</v>
      </c>
      <c r="D28196" s="21" t="s">
        <v>34</v>
      </c>
      <c r="E28196" s="21" t="s">
        <v>71</v>
      </c>
      <c r="F28196">
        <v>7620121</v>
      </c>
      <c r="G28196" t="s">
        <v>7146</v>
      </c>
      <c r="H28196" s="21">
        <v>585.66999999999996</v>
      </c>
    </row>
    <row r="28197" spans="1:8" customFormat="1" x14ac:dyDescent="0.25">
      <c r="A28197" t="str">
        <f>"2933156"</f>
        <v>2933156</v>
      </c>
      <c r="B28197" t="s">
        <v>13307</v>
      </c>
      <c r="C28197" t="s">
        <v>169</v>
      </c>
      <c r="D28197" s="21" t="s">
        <v>34</v>
      </c>
      <c r="E28197" s="21" t="s">
        <v>71</v>
      </c>
      <c r="F28197">
        <v>3290011</v>
      </c>
      <c r="G28197" t="s">
        <v>7083</v>
      </c>
      <c r="H28197" s="21">
        <v>585.66999999999996</v>
      </c>
    </row>
    <row r="28198" spans="1:8" customFormat="1" x14ac:dyDescent="0.25">
      <c r="A28198" t="str">
        <f>"588958"</f>
        <v>588958</v>
      </c>
      <c r="B28198" t="s">
        <v>8297</v>
      </c>
      <c r="C28198" t="s">
        <v>55</v>
      </c>
      <c r="D28198" s="21" t="s">
        <v>34</v>
      </c>
      <c r="E28198" s="21" t="s">
        <v>35</v>
      </c>
      <c r="F28198">
        <v>2580035</v>
      </c>
      <c r="G28198" t="s">
        <v>5991</v>
      </c>
      <c r="H28198" s="21">
        <v>585.66999999999996</v>
      </c>
    </row>
    <row r="28199" spans="1:8" customFormat="1" x14ac:dyDescent="0.25">
      <c r="A28199" t="str">
        <f>"5112964"</f>
        <v>5112964</v>
      </c>
      <c r="B28199" t="s">
        <v>97</v>
      </c>
      <c r="C28199" t="s">
        <v>55</v>
      </c>
      <c r="D28199" s="21" t="s">
        <v>34</v>
      </c>
      <c r="E28199" s="21" t="s">
        <v>35</v>
      </c>
      <c r="F28199">
        <v>6510111</v>
      </c>
      <c r="G28199" t="s">
        <v>19941</v>
      </c>
      <c r="H28199" s="21">
        <v>585.66999999999996</v>
      </c>
    </row>
    <row r="28200" spans="1:8" customFormat="1" x14ac:dyDescent="0.25">
      <c r="A28200" t="str">
        <f>"5942512"</f>
        <v>5942512</v>
      </c>
      <c r="B28200" t="s">
        <v>28045</v>
      </c>
      <c r="C28200" t="s">
        <v>469</v>
      </c>
      <c r="D28200" s="21" t="s">
        <v>34</v>
      </c>
      <c r="E28200" s="21" t="s">
        <v>71</v>
      </c>
      <c r="F28200">
        <v>7590195</v>
      </c>
      <c r="G28200" t="s">
        <v>5332</v>
      </c>
      <c r="H28200" s="21">
        <v>585.66999999999996</v>
      </c>
    </row>
    <row r="28201" spans="1:8" customFormat="1" x14ac:dyDescent="0.25">
      <c r="A28201" t="str">
        <f>"9139656"</f>
        <v>9139656</v>
      </c>
      <c r="B28201" t="s">
        <v>2350</v>
      </c>
      <c r="C28201" t="s">
        <v>144</v>
      </c>
      <c r="D28201" s="21" t="s">
        <v>34</v>
      </c>
      <c r="E28201" s="21" t="s">
        <v>35</v>
      </c>
      <c r="F28201">
        <v>8910165</v>
      </c>
      <c r="G28201" t="s">
        <v>3184</v>
      </c>
      <c r="H28201" s="21">
        <v>585.66999999999996</v>
      </c>
    </row>
    <row r="28202" spans="1:8" customFormat="1" x14ac:dyDescent="0.25">
      <c r="A28202" t="str">
        <f>"675363"</f>
        <v>675363</v>
      </c>
      <c r="B28202" t="s">
        <v>1094</v>
      </c>
      <c r="C28202" t="s">
        <v>40</v>
      </c>
      <c r="D28202" s="21" t="s">
        <v>34</v>
      </c>
      <c r="E28202" s="21" t="s">
        <v>254</v>
      </c>
      <c r="F28202">
        <v>6670216</v>
      </c>
      <c r="G28202" t="s">
        <v>2194</v>
      </c>
      <c r="H28202" s="21">
        <v>585.66999999999996</v>
      </c>
    </row>
    <row r="28203" spans="1:8" customFormat="1" x14ac:dyDescent="0.25">
      <c r="A28203" t="str">
        <f>"621169"</f>
        <v>621169</v>
      </c>
      <c r="B28203" t="s">
        <v>10525</v>
      </c>
      <c r="C28203" t="s">
        <v>187</v>
      </c>
      <c r="D28203" s="21" t="s">
        <v>34</v>
      </c>
      <c r="E28203" s="21" t="s">
        <v>71</v>
      </c>
      <c r="F28203">
        <v>7620111</v>
      </c>
      <c r="G28203" t="s">
        <v>1372</v>
      </c>
      <c r="H28203" s="21">
        <v>585.66999999999996</v>
      </c>
    </row>
    <row r="28204" spans="1:8" customFormat="1" x14ac:dyDescent="0.25">
      <c r="A28204" t="str">
        <f>"5944474"</f>
        <v>5944474</v>
      </c>
      <c r="B28204" t="s">
        <v>18936</v>
      </c>
      <c r="C28204" t="s">
        <v>576</v>
      </c>
      <c r="D28204" s="21" t="s">
        <v>34</v>
      </c>
      <c r="E28204" s="21" t="s">
        <v>35</v>
      </c>
      <c r="F28204">
        <v>7590258</v>
      </c>
      <c r="G28204" t="s">
        <v>18937</v>
      </c>
      <c r="H28204" s="21">
        <v>585.66999999999996</v>
      </c>
    </row>
    <row r="28205" spans="1:8" customFormat="1" x14ac:dyDescent="0.25">
      <c r="A28205" t="str">
        <f>"5424282"</f>
        <v>5424282</v>
      </c>
      <c r="B28205" t="s">
        <v>14164</v>
      </c>
      <c r="C28205" t="s">
        <v>204</v>
      </c>
      <c r="D28205" s="21" t="s">
        <v>34</v>
      </c>
      <c r="E28205" s="21" t="s">
        <v>71</v>
      </c>
      <c r="F28205">
        <v>6540097</v>
      </c>
      <c r="G28205" t="s">
        <v>12434</v>
      </c>
      <c r="H28205" s="21">
        <v>585.66999999999996</v>
      </c>
    </row>
    <row r="28206" spans="1:8" customFormat="1" x14ac:dyDescent="0.25">
      <c r="A28206" t="str">
        <f>"2720512"</f>
        <v>2720512</v>
      </c>
      <c r="B28206" t="s">
        <v>1892</v>
      </c>
      <c r="C28206" t="s">
        <v>198</v>
      </c>
      <c r="D28206" s="21" t="s">
        <v>34</v>
      </c>
      <c r="E28206" s="21" t="s">
        <v>35</v>
      </c>
      <c r="F28206">
        <v>9270162</v>
      </c>
      <c r="G28206" t="s">
        <v>1865</v>
      </c>
      <c r="H28206" s="21">
        <v>585.66999999999996</v>
      </c>
    </row>
    <row r="28207" spans="1:8" customFormat="1" x14ac:dyDescent="0.25">
      <c r="A28207" t="str">
        <f>"7869989"</f>
        <v>7869989</v>
      </c>
      <c r="B28207" t="s">
        <v>20865</v>
      </c>
      <c r="C28207" t="s">
        <v>139</v>
      </c>
      <c r="D28207" s="21" t="s">
        <v>34</v>
      </c>
      <c r="E28207" s="21" t="s">
        <v>35</v>
      </c>
      <c r="F28207">
        <v>8781432</v>
      </c>
      <c r="G28207" t="s">
        <v>9227</v>
      </c>
      <c r="H28207" s="21">
        <v>585.54</v>
      </c>
    </row>
    <row r="28208" spans="1:8" customFormat="1" x14ac:dyDescent="0.25">
      <c r="A28208" t="str">
        <f>"104378"</f>
        <v>104378</v>
      </c>
      <c r="B28208" t="s">
        <v>17924</v>
      </c>
      <c r="C28208" t="s">
        <v>109</v>
      </c>
      <c r="D28208" s="21" t="s">
        <v>34</v>
      </c>
      <c r="E28208" s="21" t="s">
        <v>71</v>
      </c>
      <c r="F28208">
        <v>6510020</v>
      </c>
      <c r="G28208" t="s">
        <v>3013</v>
      </c>
      <c r="H28208" s="21">
        <v>585.41999999999996</v>
      </c>
    </row>
    <row r="28209" spans="1:8" customFormat="1" x14ac:dyDescent="0.25">
      <c r="A28209" t="str">
        <f>"7623872"</f>
        <v>7623872</v>
      </c>
      <c r="B28209" t="s">
        <v>20646</v>
      </c>
      <c r="C28209" t="s">
        <v>3456</v>
      </c>
      <c r="D28209" s="21" t="s">
        <v>34</v>
      </c>
      <c r="E28209" s="21" t="s">
        <v>254</v>
      </c>
      <c r="F28209">
        <v>9760430</v>
      </c>
      <c r="G28209" t="s">
        <v>11565</v>
      </c>
      <c r="H28209" s="21">
        <v>585.41999999999996</v>
      </c>
    </row>
    <row r="28210" spans="1:8" customFormat="1" x14ac:dyDescent="0.25">
      <c r="A28210" t="str">
        <f>"038144"</f>
        <v>038144</v>
      </c>
      <c r="B28210" t="s">
        <v>20501</v>
      </c>
      <c r="C28210" t="s">
        <v>269</v>
      </c>
      <c r="D28210" s="21" t="s">
        <v>34</v>
      </c>
      <c r="E28210" s="21" t="s">
        <v>71</v>
      </c>
      <c r="F28210">
        <v>1030308</v>
      </c>
      <c r="G28210" t="s">
        <v>1485</v>
      </c>
      <c r="H28210" s="21">
        <v>585.29</v>
      </c>
    </row>
    <row r="28211" spans="1:8" customFormat="1" x14ac:dyDescent="0.25">
      <c r="A28211" t="str">
        <f>"629019"</f>
        <v>629019</v>
      </c>
      <c r="B28211" t="s">
        <v>21809</v>
      </c>
      <c r="C28211" t="s">
        <v>1132</v>
      </c>
      <c r="D28211" s="21" t="s">
        <v>34</v>
      </c>
      <c r="E28211" s="21" t="s">
        <v>35</v>
      </c>
      <c r="F28211">
        <v>7620031</v>
      </c>
      <c r="G28211" t="s">
        <v>2182</v>
      </c>
      <c r="H28211" s="21">
        <v>585.16999999999996</v>
      </c>
    </row>
    <row r="28212" spans="1:8" customFormat="1" x14ac:dyDescent="0.25">
      <c r="A28212" t="str">
        <f>"3819324"</f>
        <v>3819324</v>
      </c>
      <c r="B28212" t="s">
        <v>3958</v>
      </c>
      <c r="C28212" t="s">
        <v>2529</v>
      </c>
      <c r="D28212" s="21" t="s">
        <v>34</v>
      </c>
      <c r="E28212" s="21" t="s">
        <v>71</v>
      </c>
      <c r="F28212">
        <v>1380273</v>
      </c>
      <c r="G28212" t="s">
        <v>7554</v>
      </c>
      <c r="H28212" s="21">
        <v>585.16999999999996</v>
      </c>
    </row>
    <row r="28213" spans="1:8" customFormat="1" x14ac:dyDescent="0.25">
      <c r="A28213" t="str">
        <f>"043773"</f>
        <v>043773</v>
      </c>
      <c r="B28213" t="s">
        <v>19936</v>
      </c>
      <c r="C28213" t="s">
        <v>462</v>
      </c>
      <c r="D28213" s="21" t="s">
        <v>34</v>
      </c>
      <c r="E28213" s="21" t="s">
        <v>254</v>
      </c>
      <c r="F28213">
        <v>13040023</v>
      </c>
      <c r="G28213" t="s">
        <v>2542</v>
      </c>
      <c r="H28213" s="21">
        <v>585.16999999999996</v>
      </c>
    </row>
    <row r="28214" spans="1:8" customFormat="1" x14ac:dyDescent="0.25">
      <c r="A28214" t="str">
        <f>"619412"</f>
        <v>619412</v>
      </c>
      <c r="B28214" t="s">
        <v>3158</v>
      </c>
      <c r="C28214" t="s">
        <v>302</v>
      </c>
      <c r="D28214" s="21" t="s">
        <v>34</v>
      </c>
      <c r="E28214" s="21" t="s">
        <v>35</v>
      </c>
      <c r="F28214">
        <v>9610108</v>
      </c>
      <c r="G28214" t="s">
        <v>14594</v>
      </c>
      <c r="H28214" s="21">
        <v>585.16999999999996</v>
      </c>
    </row>
    <row r="28215" spans="1:8" customFormat="1" x14ac:dyDescent="0.25">
      <c r="A28215" t="str">
        <f>"519999"</f>
        <v>519999</v>
      </c>
      <c r="B28215" t="s">
        <v>18816</v>
      </c>
      <c r="C28215" t="s">
        <v>510</v>
      </c>
      <c r="D28215" s="21" t="s">
        <v>34</v>
      </c>
      <c r="E28215" s="21" t="s">
        <v>254</v>
      </c>
      <c r="F28215">
        <v>6510009</v>
      </c>
      <c r="G28215" t="s">
        <v>26950</v>
      </c>
      <c r="H28215" s="21">
        <v>585.16999999999996</v>
      </c>
    </row>
    <row r="28216" spans="1:8" customFormat="1" x14ac:dyDescent="0.25">
      <c r="A28216" t="str">
        <f>"3521851"</f>
        <v>3521851</v>
      </c>
      <c r="B28216" t="s">
        <v>5870</v>
      </c>
      <c r="C28216" t="s">
        <v>3010</v>
      </c>
      <c r="D28216" s="21" t="s">
        <v>34</v>
      </c>
      <c r="E28216" s="21" t="s">
        <v>71</v>
      </c>
      <c r="F28216">
        <v>3350055</v>
      </c>
      <c r="G28216" t="s">
        <v>6720</v>
      </c>
      <c r="H28216" s="21">
        <v>585.16999999999996</v>
      </c>
    </row>
    <row r="28217" spans="1:8" customFormat="1" x14ac:dyDescent="0.25">
      <c r="A28217" t="str">
        <f>"7513364"</f>
        <v>7513364</v>
      </c>
      <c r="B28217" t="s">
        <v>6887</v>
      </c>
      <c r="C28217" t="s">
        <v>288</v>
      </c>
      <c r="D28217" s="21" t="s">
        <v>34</v>
      </c>
      <c r="E28217" s="21" t="s">
        <v>71</v>
      </c>
      <c r="F28217">
        <v>8750120</v>
      </c>
      <c r="G28217" t="s">
        <v>838</v>
      </c>
      <c r="H28217" s="21">
        <v>585.16999999999996</v>
      </c>
    </row>
    <row r="28218" spans="1:8" customFormat="1" x14ac:dyDescent="0.25">
      <c r="A28218" t="str">
        <f>"254641"</f>
        <v>254641</v>
      </c>
      <c r="B28218" t="s">
        <v>19366</v>
      </c>
      <c r="C28218" t="s">
        <v>415</v>
      </c>
      <c r="D28218" s="21" t="s">
        <v>34</v>
      </c>
      <c r="E28218" s="21" t="s">
        <v>254</v>
      </c>
      <c r="F28218">
        <v>2250052</v>
      </c>
      <c r="G28218" t="s">
        <v>5443</v>
      </c>
      <c r="H28218" s="21">
        <v>585.16999999999996</v>
      </c>
    </row>
    <row r="28219" spans="1:8" customFormat="1" x14ac:dyDescent="0.25">
      <c r="A28219" t="str">
        <f>"2924626"</f>
        <v>2924626</v>
      </c>
      <c r="B28219" t="s">
        <v>1826</v>
      </c>
      <c r="C28219" t="s">
        <v>781</v>
      </c>
      <c r="D28219" s="21" t="s">
        <v>34</v>
      </c>
      <c r="E28219" s="21" t="s">
        <v>71</v>
      </c>
      <c r="F28219">
        <v>3290285</v>
      </c>
      <c r="G28219" t="s">
        <v>2234</v>
      </c>
      <c r="H28219" s="21">
        <v>585.16999999999996</v>
      </c>
    </row>
    <row r="28220" spans="1:8" customFormat="1" x14ac:dyDescent="0.25">
      <c r="A28220" t="str">
        <f>"407886"</f>
        <v>407886</v>
      </c>
      <c r="B28220" t="s">
        <v>18290</v>
      </c>
      <c r="C28220" t="s">
        <v>109</v>
      </c>
      <c r="D28220" s="21" t="s">
        <v>34</v>
      </c>
      <c r="E28220" s="21" t="s">
        <v>71</v>
      </c>
      <c r="F28220">
        <v>10400002</v>
      </c>
      <c r="G28220" t="s">
        <v>1975</v>
      </c>
      <c r="H28220" s="21">
        <v>585.16999999999996</v>
      </c>
    </row>
    <row r="28221" spans="1:8" customFormat="1" x14ac:dyDescent="0.25">
      <c r="A28221" t="str">
        <f>"7215591"</f>
        <v>7215591</v>
      </c>
      <c r="B28221" t="s">
        <v>20875</v>
      </c>
      <c r="C28221" t="s">
        <v>328</v>
      </c>
      <c r="D28221" s="21" t="s">
        <v>34</v>
      </c>
      <c r="E28221" s="21" t="s">
        <v>35</v>
      </c>
      <c r="F28221">
        <v>12720104</v>
      </c>
      <c r="G28221" t="s">
        <v>224</v>
      </c>
      <c r="H28221" s="21">
        <v>585.16999999999996</v>
      </c>
    </row>
    <row r="28222" spans="1:8" customFormat="1" x14ac:dyDescent="0.25">
      <c r="A28222" t="str">
        <f>"5325197"</f>
        <v>5325197</v>
      </c>
      <c r="B28222" t="s">
        <v>4486</v>
      </c>
      <c r="C28222" t="s">
        <v>209</v>
      </c>
      <c r="D28222" s="21" t="s">
        <v>34</v>
      </c>
      <c r="E28222" s="21" t="s">
        <v>71</v>
      </c>
      <c r="F28222">
        <v>12530048</v>
      </c>
      <c r="G28222" t="s">
        <v>7103</v>
      </c>
      <c r="H28222" s="21">
        <v>585.16999999999996</v>
      </c>
    </row>
    <row r="28223" spans="1:8" customFormat="1" x14ac:dyDescent="0.25">
      <c r="A28223" t="str">
        <f>"8515258"</f>
        <v>8515258</v>
      </c>
      <c r="B28223" t="s">
        <v>19781</v>
      </c>
      <c r="C28223" t="s">
        <v>817</v>
      </c>
      <c r="D28223" s="21" t="s">
        <v>34</v>
      </c>
      <c r="E28223" s="21" t="s">
        <v>71</v>
      </c>
      <c r="F28223">
        <v>12850051</v>
      </c>
      <c r="G28223" t="s">
        <v>5185</v>
      </c>
      <c r="H28223" s="21">
        <v>585.16999999999996</v>
      </c>
    </row>
    <row r="28224" spans="1:8" customFormat="1" x14ac:dyDescent="0.25">
      <c r="A28224" t="str">
        <f>"6012727"</f>
        <v>6012727</v>
      </c>
      <c r="B28224" t="s">
        <v>20303</v>
      </c>
      <c r="C28224" t="s">
        <v>139</v>
      </c>
      <c r="D28224" s="21" t="s">
        <v>34</v>
      </c>
      <c r="E28224" s="21" t="s">
        <v>35</v>
      </c>
      <c r="F28224">
        <v>7600026</v>
      </c>
      <c r="G28224" t="s">
        <v>10079</v>
      </c>
      <c r="H28224" s="21">
        <v>585.16999999999996</v>
      </c>
    </row>
    <row r="28225" spans="1:8" customFormat="1" x14ac:dyDescent="0.25">
      <c r="A28225" t="str">
        <f>"707140"</f>
        <v>707140</v>
      </c>
      <c r="B28225" t="s">
        <v>28046</v>
      </c>
      <c r="C28225" t="s">
        <v>43</v>
      </c>
      <c r="D28225" s="21" t="s">
        <v>34</v>
      </c>
      <c r="E28225" s="21" t="s">
        <v>35</v>
      </c>
      <c r="F28225">
        <v>2700089</v>
      </c>
      <c r="G28225" t="s">
        <v>2570</v>
      </c>
      <c r="H28225" s="21">
        <v>585.16999999999996</v>
      </c>
    </row>
    <row r="28226" spans="1:8" customFormat="1" x14ac:dyDescent="0.25">
      <c r="A28226" t="str">
        <f>"751734"</f>
        <v>751734</v>
      </c>
      <c r="B28226" t="s">
        <v>18956</v>
      </c>
      <c r="C28226" t="s">
        <v>1119</v>
      </c>
      <c r="D28226" s="21" t="s">
        <v>34</v>
      </c>
      <c r="E28226" s="21" t="s">
        <v>1089</v>
      </c>
      <c r="F28226">
        <v>8780632</v>
      </c>
      <c r="G28226" t="s">
        <v>1571</v>
      </c>
      <c r="H28226" s="21">
        <v>585.16999999999996</v>
      </c>
    </row>
    <row r="28227" spans="1:8" customFormat="1" x14ac:dyDescent="0.25">
      <c r="A28227" t="str">
        <f>"404661"</f>
        <v>404661</v>
      </c>
      <c r="B28227" t="s">
        <v>6628</v>
      </c>
      <c r="C28227" t="s">
        <v>33</v>
      </c>
      <c r="D28227" s="21" t="s">
        <v>34</v>
      </c>
      <c r="E28227" s="21" t="s">
        <v>35</v>
      </c>
      <c r="F28227">
        <v>10400025</v>
      </c>
      <c r="G28227" t="s">
        <v>5655</v>
      </c>
      <c r="H28227" s="21">
        <v>585.16999999999996</v>
      </c>
    </row>
    <row r="28228" spans="1:8" customFormat="1" x14ac:dyDescent="0.25">
      <c r="A28228" t="str">
        <f>"3117329"</f>
        <v>3117329</v>
      </c>
      <c r="B28228" t="s">
        <v>20844</v>
      </c>
      <c r="C28228" t="s">
        <v>498</v>
      </c>
      <c r="D28228" s="21" t="s">
        <v>34</v>
      </c>
      <c r="E28228" s="21" t="s">
        <v>35</v>
      </c>
      <c r="F28228">
        <v>11310115</v>
      </c>
      <c r="G28228" t="s">
        <v>10519</v>
      </c>
      <c r="H28228" s="21">
        <v>585.04</v>
      </c>
    </row>
    <row r="28229" spans="1:8" customFormat="1" x14ac:dyDescent="0.25">
      <c r="A28229" t="str">
        <f>"9537045"</f>
        <v>9537045</v>
      </c>
      <c r="B28229" t="s">
        <v>24189</v>
      </c>
      <c r="C28229" t="s">
        <v>812</v>
      </c>
      <c r="D28229" s="21" t="s">
        <v>34</v>
      </c>
      <c r="E28229" s="21" t="s">
        <v>35</v>
      </c>
      <c r="F28229">
        <v>8950330</v>
      </c>
      <c r="G28229" t="s">
        <v>794</v>
      </c>
      <c r="H28229" s="21">
        <v>585.04</v>
      </c>
    </row>
    <row r="28230" spans="1:8" customFormat="1" x14ac:dyDescent="0.25">
      <c r="A28230" t="str">
        <f>"3334245"</f>
        <v>3334245</v>
      </c>
      <c r="B28230" t="s">
        <v>21372</v>
      </c>
      <c r="C28230" t="s">
        <v>55</v>
      </c>
      <c r="D28230" s="21" t="s">
        <v>34</v>
      </c>
      <c r="E28230" s="21" t="s">
        <v>71</v>
      </c>
      <c r="F28230">
        <v>10330011</v>
      </c>
      <c r="G28230" t="s">
        <v>1789</v>
      </c>
      <c r="H28230" s="21">
        <v>584.91999999999996</v>
      </c>
    </row>
    <row r="28231" spans="1:8" customFormat="1" x14ac:dyDescent="0.25">
      <c r="A28231" t="str">
        <f>"16219"</f>
        <v>16219</v>
      </c>
      <c r="B28231" t="s">
        <v>21262</v>
      </c>
      <c r="C28231" t="s">
        <v>239</v>
      </c>
      <c r="D28231" s="21" t="s">
        <v>34</v>
      </c>
      <c r="E28231" s="21" t="s">
        <v>6185</v>
      </c>
      <c r="F28231">
        <v>10160185</v>
      </c>
      <c r="G28231" t="s">
        <v>2035</v>
      </c>
      <c r="H28231" s="21">
        <v>584.91999999999996</v>
      </c>
    </row>
    <row r="28232" spans="1:8" customFormat="1" x14ac:dyDescent="0.25">
      <c r="A28232" t="str">
        <f>"4526045"</f>
        <v>4526045</v>
      </c>
      <c r="B28232" t="s">
        <v>19069</v>
      </c>
      <c r="C28232" t="s">
        <v>249</v>
      </c>
      <c r="D28232" s="21" t="s">
        <v>34</v>
      </c>
      <c r="E28232" s="21" t="s">
        <v>254</v>
      </c>
      <c r="F28232">
        <v>4450144</v>
      </c>
      <c r="G28232" t="s">
        <v>6941</v>
      </c>
      <c r="H28232" s="21">
        <v>584.91999999999996</v>
      </c>
    </row>
    <row r="28233" spans="1:8" customFormat="1" x14ac:dyDescent="0.25">
      <c r="A28233" t="str">
        <f>"1312579"</f>
        <v>1312579</v>
      </c>
      <c r="B28233" t="s">
        <v>1048</v>
      </c>
      <c r="C28233" t="s">
        <v>236</v>
      </c>
      <c r="D28233" s="21" t="s">
        <v>34</v>
      </c>
      <c r="E28233" s="21" t="s">
        <v>254</v>
      </c>
      <c r="F28233">
        <v>13130152</v>
      </c>
      <c r="G28233" t="s">
        <v>906</v>
      </c>
      <c r="H28233" s="21">
        <v>584.79</v>
      </c>
    </row>
    <row r="28234" spans="1:8" customFormat="1" x14ac:dyDescent="0.25">
      <c r="A28234" t="str">
        <f>"811987"</f>
        <v>811987</v>
      </c>
      <c r="B28234" t="s">
        <v>19683</v>
      </c>
      <c r="C28234" t="s">
        <v>253</v>
      </c>
      <c r="D28234" s="21" t="s">
        <v>34</v>
      </c>
      <c r="E28234" s="21" t="s">
        <v>1089</v>
      </c>
      <c r="F28234">
        <v>11810003</v>
      </c>
      <c r="G28234" t="s">
        <v>1934</v>
      </c>
      <c r="H28234" s="21">
        <v>584.66999999999996</v>
      </c>
    </row>
    <row r="28235" spans="1:8" customFormat="1" x14ac:dyDescent="0.25">
      <c r="A28235" t="str">
        <f>"5972358"</f>
        <v>5972358</v>
      </c>
      <c r="B28235" t="s">
        <v>20554</v>
      </c>
      <c r="C28235" t="s">
        <v>2365</v>
      </c>
      <c r="D28235" s="21" t="s">
        <v>34</v>
      </c>
      <c r="E28235" s="21" t="s">
        <v>35</v>
      </c>
      <c r="F28235">
        <v>7590028</v>
      </c>
      <c r="G28235" t="s">
        <v>251</v>
      </c>
      <c r="H28235" s="21">
        <v>584.66999999999996</v>
      </c>
    </row>
    <row r="28236" spans="1:8" customFormat="1" x14ac:dyDescent="0.25">
      <c r="A28236" t="str">
        <f>"1713986"</f>
        <v>1713986</v>
      </c>
      <c r="B28236" t="s">
        <v>14638</v>
      </c>
      <c r="C28236" t="s">
        <v>253</v>
      </c>
      <c r="D28236" s="21" t="s">
        <v>34</v>
      </c>
      <c r="E28236" s="21" t="s">
        <v>254</v>
      </c>
      <c r="F28236">
        <v>10170024</v>
      </c>
      <c r="G28236" t="s">
        <v>16864</v>
      </c>
      <c r="H28236" s="21">
        <v>584.66999999999996</v>
      </c>
    </row>
    <row r="28237" spans="1:8" customFormat="1" x14ac:dyDescent="0.25">
      <c r="A28237" t="str">
        <f>"2913346"</f>
        <v>2913346</v>
      </c>
      <c r="B28237" t="s">
        <v>6001</v>
      </c>
      <c r="C28237" t="s">
        <v>1539</v>
      </c>
      <c r="D28237" s="21" t="s">
        <v>34</v>
      </c>
      <c r="E28237" s="21" t="s">
        <v>71</v>
      </c>
      <c r="F28237">
        <v>3290244</v>
      </c>
      <c r="G28237" t="s">
        <v>573</v>
      </c>
      <c r="H28237" s="21">
        <v>584.66999999999996</v>
      </c>
    </row>
    <row r="28238" spans="1:8" customFormat="1" x14ac:dyDescent="0.25">
      <c r="A28238" t="str">
        <f>"461468"</f>
        <v>461468</v>
      </c>
      <c r="B28238" t="s">
        <v>6472</v>
      </c>
      <c r="C28238" t="s">
        <v>139</v>
      </c>
      <c r="D28238" s="21" t="s">
        <v>34</v>
      </c>
      <c r="E28238" s="21" t="s">
        <v>35</v>
      </c>
      <c r="F28238">
        <v>11460021</v>
      </c>
      <c r="G28238" t="s">
        <v>6727</v>
      </c>
      <c r="H28238" s="21">
        <v>584.66999999999996</v>
      </c>
    </row>
    <row r="28239" spans="1:8" customFormat="1" x14ac:dyDescent="0.25">
      <c r="A28239" t="str">
        <f>"5713164"</f>
        <v>5713164</v>
      </c>
      <c r="B28239" t="s">
        <v>21176</v>
      </c>
      <c r="C28239" t="s">
        <v>1782</v>
      </c>
      <c r="D28239" s="21" t="s">
        <v>34</v>
      </c>
      <c r="E28239" s="21" t="s">
        <v>35</v>
      </c>
      <c r="F28239">
        <v>6570088</v>
      </c>
      <c r="G28239" t="s">
        <v>3461</v>
      </c>
      <c r="H28239" s="21">
        <v>584.66999999999996</v>
      </c>
    </row>
    <row r="28240" spans="1:8" customFormat="1" x14ac:dyDescent="0.25">
      <c r="A28240" t="str">
        <f>"5318797"</f>
        <v>5318797</v>
      </c>
      <c r="B28240" t="s">
        <v>9349</v>
      </c>
      <c r="C28240" t="s">
        <v>249</v>
      </c>
      <c r="D28240" s="21" t="s">
        <v>34</v>
      </c>
      <c r="E28240" s="21" t="s">
        <v>71</v>
      </c>
      <c r="F28240">
        <v>12530121</v>
      </c>
      <c r="G28240" t="s">
        <v>16301</v>
      </c>
      <c r="H28240" s="21">
        <v>584.66999999999996</v>
      </c>
    </row>
    <row r="28241" spans="1:8" customFormat="1" x14ac:dyDescent="0.25">
      <c r="A28241" t="str">
        <f>"3729614"</f>
        <v>3729614</v>
      </c>
      <c r="B28241" t="s">
        <v>20289</v>
      </c>
      <c r="C28241" t="s">
        <v>253</v>
      </c>
      <c r="D28241" s="21" t="s">
        <v>34</v>
      </c>
      <c r="E28241" s="21" t="s">
        <v>254</v>
      </c>
      <c r="F28241">
        <v>4370284</v>
      </c>
      <c r="G28241" t="s">
        <v>3584</v>
      </c>
      <c r="H28241" s="21">
        <v>584.66999999999996</v>
      </c>
    </row>
    <row r="28242" spans="1:8" customFormat="1" x14ac:dyDescent="0.25">
      <c r="A28242" t="str">
        <f>"088388"</f>
        <v>088388</v>
      </c>
      <c r="B28242" t="s">
        <v>20687</v>
      </c>
      <c r="C28242" t="s">
        <v>109</v>
      </c>
      <c r="D28242" s="21" t="s">
        <v>34</v>
      </c>
      <c r="E28242" s="21" t="s">
        <v>35</v>
      </c>
      <c r="F28242">
        <v>6080093</v>
      </c>
      <c r="G28242" t="s">
        <v>13289</v>
      </c>
      <c r="H28242" s="21">
        <v>584.66999999999996</v>
      </c>
    </row>
    <row r="28243" spans="1:8" customFormat="1" x14ac:dyDescent="0.25">
      <c r="A28243" t="str">
        <f>"553461"</f>
        <v>553461</v>
      </c>
      <c r="B28243" t="s">
        <v>19014</v>
      </c>
      <c r="C28243" t="s">
        <v>3905</v>
      </c>
      <c r="D28243" s="21" t="s">
        <v>34</v>
      </c>
      <c r="E28243" s="21" t="s">
        <v>6185</v>
      </c>
      <c r="F28243">
        <v>6550009</v>
      </c>
      <c r="G28243" t="s">
        <v>7080</v>
      </c>
      <c r="H28243" s="21">
        <v>584.66999999999996</v>
      </c>
    </row>
    <row r="28244" spans="1:8" customFormat="1" x14ac:dyDescent="0.25">
      <c r="A28244" t="str">
        <f>"592677"</f>
        <v>592677</v>
      </c>
      <c r="B28244" t="s">
        <v>14703</v>
      </c>
      <c r="C28244" t="s">
        <v>598</v>
      </c>
      <c r="D28244" s="21" t="s">
        <v>34</v>
      </c>
      <c r="E28244" s="21" t="s">
        <v>71</v>
      </c>
      <c r="F28244">
        <v>7590071</v>
      </c>
      <c r="G28244" t="s">
        <v>2602</v>
      </c>
      <c r="H28244" s="21">
        <v>584.66999999999996</v>
      </c>
    </row>
    <row r="28245" spans="1:8" customFormat="1" x14ac:dyDescent="0.25">
      <c r="A28245" t="str">
        <f>"5326317"</f>
        <v>5326317</v>
      </c>
      <c r="B28245" t="s">
        <v>3270</v>
      </c>
      <c r="C28245" t="s">
        <v>249</v>
      </c>
      <c r="D28245" s="21" t="s">
        <v>34</v>
      </c>
      <c r="E28245" s="21" t="s">
        <v>35</v>
      </c>
      <c r="F28245">
        <v>12530087</v>
      </c>
      <c r="G28245" t="s">
        <v>3860</v>
      </c>
      <c r="H28245" s="21">
        <v>584.66999999999996</v>
      </c>
    </row>
    <row r="28246" spans="1:8" customFormat="1" x14ac:dyDescent="0.25">
      <c r="A28246" t="str">
        <f>"7220934"</f>
        <v>7220934</v>
      </c>
      <c r="B28246" t="s">
        <v>18730</v>
      </c>
      <c r="C28246" t="s">
        <v>305</v>
      </c>
      <c r="D28246" s="21" t="s">
        <v>34</v>
      </c>
      <c r="E28246" s="21" t="s">
        <v>35</v>
      </c>
      <c r="F28246">
        <v>12720134</v>
      </c>
      <c r="G28246" t="s">
        <v>18891</v>
      </c>
      <c r="H28246" s="21">
        <v>584.66999999999996</v>
      </c>
    </row>
    <row r="28247" spans="1:8" customFormat="1" x14ac:dyDescent="0.25">
      <c r="A28247" t="str">
        <f>"662423"</f>
        <v>662423</v>
      </c>
      <c r="B28247" t="s">
        <v>4107</v>
      </c>
      <c r="C28247" t="s">
        <v>40</v>
      </c>
      <c r="D28247" s="21" t="s">
        <v>34</v>
      </c>
      <c r="E28247" s="21" t="s">
        <v>254</v>
      </c>
      <c r="F28247">
        <v>11660008</v>
      </c>
      <c r="G28247" t="s">
        <v>16161</v>
      </c>
      <c r="H28247" s="21">
        <v>584.66999999999996</v>
      </c>
    </row>
    <row r="28248" spans="1:8" customFormat="1" x14ac:dyDescent="0.25">
      <c r="A28248" t="str">
        <f>"6941323"</f>
        <v>6941323</v>
      </c>
      <c r="B28248" t="s">
        <v>21633</v>
      </c>
      <c r="C28248" t="s">
        <v>109</v>
      </c>
      <c r="D28248" s="21" t="s">
        <v>34</v>
      </c>
      <c r="E28248" s="21" t="s">
        <v>35</v>
      </c>
      <c r="F28248">
        <v>1690156</v>
      </c>
      <c r="G28248" t="s">
        <v>7062</v>
      </c>
      <c r="H28248" s="21">
        <v>584.66999999999996</v>
      </c>
    </row>
    <row r="28249" spans="1:8" customFormat="1" x14ac:dyDescent="0.25">
      <c r="A28249" t="str">
        <f>"286141"</f>
        <v>286141</v>
      </c>
      <c r="B28249" t="s">
        <v>19959</v>
      </c>
      <c r="C28249" t="s">
        <v>19960</v>
      </c>
      <c r="D28249" s="21" t="s">
        <v>34</v>
      </c>
      <c r="E28249" s="21" t="s">
        <v>1089</v>
      </c>
      <c r="F28249">
        <v>4280705</v>
      </c>
      <c r="G28249" t="s">
        <v>4088</v>
      </c>
      <c r="H28249" s="21">
        <v>584.66999999999996</v>
      </c>
    </row>
    <row r="28250" spans="1:8" customFormat="1" x14ac:dyDescent="0.25">
      <c r="A28250" t="str">
        <f>"486028"</f>
        <v>486028</v>
      </c>
      <c r="B28250" t="s">
        <v>12341</v>
      </c>
      <c r="C28250" t="s">
        <v>198</v>
      </c>
      <c r="D28250" s="21" t="s">
        <v>34</v>
      </c>
      <c r="E28250" s="21" t="s">
        <v>35</v>
      </c>
      <c r="F28250">
        <v>11480022</v>
      </c>
      <c r="G28250" t="s">
        <v>18917</v>
      </c>
      <c r="H28250" s="21">
        <v>584.66999999999996</v>
      </c>
    </row>
    <row r="28251" spans="1:8" customFormat="1" x14ac:dyDescent="0.25">
      <c r="A28251" t="str">
        <f>"044021"</f>
        <v>044021</v>
      </c>
      <c r="B28251" t="s">
        <v>20650</v>
      </c>
      <c r="C28251" t="s">
        <v>65</v>
      </c>
      <c r="D28251" s="21" t="s">
        <v>34</v>
      </c>
      <c r="E28251" s="21" t="s">
        <v>35</v>
      </c>
      <c r="F28251">
        <v>13040025</v>
      </c>
      <c r="G28251" t="s">
        <v>6715</v>
      </c>
      <c r="H28251" s="21">
        <v>584.54</v>
      </c>
    </row>
    <row r="28252" spans="1:8" customFormat="1" x14ac:dyDescent="0.25">
      <c r="A28252" t="str">
        <f>"416469"</f>
        <v>416469</v>
      </c>
      <c r="B28252" t="s">
        <v>6871</v>
      </c>
      <c r="C28252" t="s">
        <v>249</v>
      </c>
      <c r="D28252" s="21" t="s">
        <v>34</v>
      </c>
      <c r="E28252" s="21" t="s">
        <v>254</v>
      </c>
      <c r="F28252">
        <v>4410636</v>
      </c>
      <c r="G28252" t="s">
        <v>8111</v>
      </c>
      <c r="H28252" s="21">
        <v>584.41999999999996</v>
      </c>
    </row>
    <row r="28253" spans="1:8" customFormat="1" x14ac:dyDescent="0.25">
      <c r="A28253" t="str">
        <f>"6316473"</f>
        <v>6316473</v>
      </c>
      <c r="B28253" t="s">
        <v>7627</v>
      </c>
      <c r="C28253" t="s">
        <v>631</v>
      </c>
      <c r="D28253" s="21" t="s">
        <v>34</v>
      </c>
      <c r="E28253" s="21" t="s">
        <v>35</v>
      </c>
      <c r="F28253">
        <v>1630332</v>
      </c>
      <c r="G28253" t="s">
        <v>27136</v>
      </c>
      <c r="H28253" s="21">
        <v>584.41999999999996</v>
      </c>
    </row>
    <row r="28254" spans="1:8" customFormat="1" x14ac:dyDescent="0.25">
      <c r="A28254" t="str">
        <f>"0110822"</f>
        <v>0110822</v>
      </c>
      <c r="B28254" t="s">
        <v>21463</v>
      </c>
      <c r="C28254" t="s">
        <v>114</v>
      </c>
      <c r="D28254" s="21" t="s">
        <v>34</v>
      </c>
      <c r="E28254" s="21" t="s">
        <v>35</v>
      </c>
      <c r="F28254">
        <v>1010020</v>
      </c>
      <c r="G28254" t="s">
        <v>6121</v>
      </c>
      <c r="H28254" s="21">
        <v>584.41999999999996</v>
      </c>
    </row>
    <row r="28255" spans="1:8" customFormat="1" x14ac:dyDescent="0.25">
      <c r="A28255" t="str">
        <f>"125014"</f>
        <v>125014</v>
      </c>
      <c r="B28255" t="s">
        <v>22773</v>
      </c>
      <c r="C28255" t="s">
        <v>275</v>
      </c>
      <c r="D28255" s="21" t="s">
        <v>34</v>
      </c>
      <c r="E28255" s="21" t="s">
        <v>35</v>
      </c>
      <c r="F28255">
        <v>11120024</v>
      </c>
      <c r="G28255" t="s">
        <v>12259</v>
      </c>
      <c r="H28255" s="21">
        <v>584.29</v>
      </c>
    </row>
    <row r="28256" spans="1:8" customFormat="1" x14ac:dyDescent="0.25">
      <c r="A28256" t="str">
        <f>"7623958"</f>
        <v>7623958</v>
      </c>
      <c r="B28256" t="s">
        <v>19577</v>
      </c>
      <c r="C28256" t="s">
        <v>169</v>
      </c>
      <c r="D28256" s="21" t="s">
        <v>34</v>
      </c>
      <c r="E28256" s="21" t="s">
        <v>71</v>
      </c>
      <c r="F28256">
        <v>9760206</v>
      </c>
      <c r="G28256" t="s">
        <v>13046</v>
      </c>
      <c r="H28256" s="21">
        <v>584.16999999999996</v>
      </c>
    </row>
    <row r="28257" spans="1:8" customFormat="1" x14ac:dyDescent="0.25">
      <c r="A28257" t="str">
        <f>"9424240"</f>
        <v>9424240</v>
      </c>
      <c r="B28257" t="s">
        <v>20544</v>
      </c>
      <c r="C28257" t="s">
        <v>187</v>
      </c>
      <c r="D28257" s="21" t="s">
        <v>34</v>
      </c>
      <c r="E28257" s="21" t="s">
        <v>35</v>
      </c>
      <c r="F28257">
        <v>8940524</v>
      </c>
      <c r="G28257" t="s">
        <v>6176</v>
      </c>
      <c r="H28257" s="21">
        <v>584.16999999999996</v>
      </c>
    </row>
    <row r="28258" spans="1:8" customFormat="1" x14ac:dyDescent="0.25">
      <c r="A28258" t="str">
        <f>"7511359"</f>
        <v>7511359</v>
      </c>
      <c r="B28258" t="s">
        <v>2580</v>
      </c>
      <c r="C28258" t="s">
        <v>169</v>
      </c>
      <c r="D28258" s="21" t="s">
        <v>34</v>
      </c>
      <c r="E28258" s="21" t="s">
        <v>35</v>
      </c>
      <c r="F28258">
        <v>11820011</v>
      </c>
      <c r="G28258" t="s">
        <v>2611</v>
      </c>
      <c r="H28258" s="21">
        <v>584.16999999999996</v>
      </c>
    </row>
    <row r="28259" spans="1:8" customFormat="1" x14ac:dyDescent="0.25">
      <c r="A28259" t="str">
        <f>"7110136"</f>
        <v>7110136</v>
      </c>
      <c r="B28259" t="s">
        <v>1611</v>
      </c>
      <c r="C28259" t="s">
        <v>239</v>
      </c>
      <c r="D28259" s="21" t="s">
        <v>34</v>
      </c>
      <c r="E28259" s="21" t="s">
        <v>35</v>
      </c>
      <c r="F28259">
        <v>2710041</v>
      </c>
      <c r="G28259" t="s">
        <v>389</v>
      </c>
      <c r="H28259" s="21">
        <v>584.16999999999996</v>
      </c>
    </row>
    <row r="28260" spans="1:8" customFormat="1" x14ac:dyDescent="0.25">
      <c r="A28260" t="str">
        <f>"667092"</f>
        <v>667092</v>
      </c>
      <c r="B28260" t="s">
        <v>20819</v>
      </c>
      <c r="C28260" t="s">
        <v>156</v>
      </c>
      <c r="D28260" s="21" t="s">
        <v>34</v>
      </c>
      <c r="E28260" s="21" t="s">
        <v>71</v>
      </c>
      <c r="F28260">
        <v>11660011</v>
      </c>
      <c r="G28260" t="s">
        <v>4641</v>
      </c>
      <c r="H28260" s="21">
        <v>584.16999999999996</v>
      </c>
    </row>
    <row r="28261" spans="1:8" customFormat="1" x14ac:dyDescent="0.25">
      <c r="A28261" t="str">
        <f>"858908"</f>
        <v>858908</v>
      </c>
      <c r="B28261" t="s">
        <v>4128</v>
      </c>
      <c r="C28261" t="s">
        <v>3648</v>
      </c>
      <c r="D28261" s="21" t="s">
        <v>34</v>
      </c>
      <c r="E28261" s="21" t="s">
        <v>254</v>
      </c>
      <c r="F28261">
        <v>12850134</v>
      </c>
      <c r="G28261" t="s">
        <v>2359</v>
      </c>
      <c r="H28261" s="21">
        <v>584.16999999999996</v>
      </c>
    </row>
    <row r="28262" spans="1:8" customFormat="1" x14ac:dyDescent="0.25">
      <c r="A28262" t="str">
        <f>"6013153"</f>
        <v>6013153</v>
      </c>
      <c r="B28262" t="s">
        <v>19948</v>
      </c>
      <c r="C28262" t="s">
        <v>293</v>
      </c>
      <c r="D28262" s="21" t="s">
        <v>34</v>
      </c>
      <c r="E28262" s="21" t="s">
        <v>254</v>
      </c>
      <c r="F28262">
        <v>7600146</v>
      </c>
      <c r="G28262" t="s">
        <v>8647</v>
      </c>
      <c r="H28262" s="21">
        <v>584.16999999999996</v>
      </c>
    </row>
    <row r="28263" spans="1:8" customFormat="1" x14ac:dyDescent="0.25">
      <c r="A28263" t="str">
        <f>"029269"</f>
        <v>029269</v>
      </c>
      <c r="B28263" t="s">
        <v>16797</v>
      </c>
      <c r="C28263" t="s">
        <v>98</v>
      </c>
      <c r="D28263" s="21" t="s">
        <v>34</v>
      </c>
      <c r="E28263" s="21" t="s">
        <v>35</v>
      </c>
      <c r="F28263">
        <v>7020064</v>
      </c>
      <c r="G28263" t="s">
        <v>8396</v>
      </c>
      <c r="H28263" s="21">
        <v>584.16999999999996</v>
      </c>
    </row>
    <row r="28264" spans="1:8" customFormat="1" x14ac:dyDescent="0.25">
      <c r="A28264" t="str">
        <f>"558592"</f>
        <v>558592</v>
      </c>
      <c r="B28264" t="s">
        <v>1590</v>
      </c>
      <c r="C28264" t="s">
        <v>204</v>
      </c>
      <c r="D28264" s="21" t="s">
        <v>34</v>
      </c>
      <c r="E28264" s="21" t="s">
        <v>71</v>
      </c>
      <c r="F28264">
        <v>6550003</v>
      </c>
      <c r="G28264" t="s">
        <v>7721</v>
      </c>
      <c r="H28264" s="21">
        <v>584.16999999999996</v>
      </c>
    </row>
    <row r="28265" spans="1:8" customFormat="1" x14ac:dyDescent="0.25">
      <c r="A28265" t="str">
        <f>"5939878"</f>
        <v>5939878</v>
      </c>
      <c r="B28265" t="s">
        <v>21128</v>
      </c>
      <c r="C28265" t="s">
        <v>2227</v>
      </c>
      <c r="D28265" s="21" t="s">
        <v>34</v>
      </c>
      <c r="E28265" s="21" t="s">
        <v>35</v>
      </c>
      <c r="F28265">
        <v>7590151</v>
      </c>
      <c r="G28265" t="s">
        <v>12236</v>
      </c>
      <c r="H28265" s="21">
        <v>584.16999999999996</v>
      </c>
    </row>
    <row r="28266" spans="1:8" customFormat="1" x14ac:dyDescent="0.25">
      <c r="A28266" t="str">
        <f>"4431162"</f>
        <v>4431162</v>
      </c>
      <c r="B28266" t="s">
        <v>28047</v>
      </c>
      <c r="C28266" t="s">
        <v>285</v>
      </c>
      <c r="D28266" s="21" t="s">
        <v>34</v>
      </c>
      <c r="E28266" s="21" t="s">
        <v>35</v>
      </c>
      <c r="F28266">
        <v>12440274</v>
      </c>
      <c r="G28266" t="s">
        <v>3459</v>
      </c>
      <c r="H28266" s="21">
        <v>584.16999999999996</v>
      </c>
    </row>
    <row r="28267" spans="1:8" customFormat="1" x14ac:dyDescent="0.25">
      <c r="A28267" t="str">
        <f>"9454109"</f>
        <v>9454109</v>
      </c>
      <c r="B28267" t="s">
        <v>10740</v>
      </c>
      <c r="C28267" t="s">
        <v>19472</v>
      </c>
      <c r="D28267" s="21" t="s">
        <v>34</v>
      </c>
      <c r="E28267" s="21" t="s">
        <v>254</v>
      </c>
      <c r="F28267">
        <v>8941343</v>
      </c>
      <c r="G28267" t="s">
        <v>9614</v>
      </c>
      <c r="H28267" s="21">
        <v>584.16999999999996</v>
      </c>
    </row>
    <row r="28268" spans="1:8" customFormat="1" x14ac:dyDescent="0.25">
      <c r="A28268" t="str">
        <f>"8813863"</f>
        <v>8813863</v>
      </c>
      <c r="B28268" t="s">
        <v>679</v>
      </c>
      <c r="C28268" t="s">
        <v>60</v>
      </c>
      <c r="D28268" s="21" t="s">
        <v>34</v>
      </c>
      <c r="E28268" s="21" t="s">
        <v>35</v>
      </c>
      <c r="F28268">
        <v>6880138</v>
      </c>
      <c r="G28268" t="s">
        <v>10053</v>
      </c>
      <c r="H28268" s="21">
        <v>584.16999999999996</v>
      </c>
    </row>
    <row r="28269" spans="1:8" customFormat="1" x14ac:dyDescent="0.25">
      <c r="A28269" t="str">
        <f>"5931229"</f>
        <v>5931229</v>
      </c>
      <c r="B28269" t="s">
        <v>13993</v>
      </c>
      <c r="C28269" t="s">
        <v>484</v>
      </c>
      <c r="D28269" s="21" t="s">
        <v>34</v>
      </c>
      <c r="E28269" s="21" t="s">
        <v>35</v>
      </c>
      <c r="F28269">
        <v>7590315</v>
      </c>
      <c r="G28269" t="s">
        <v>11823</v>
      </c>
      <c r="H28269" s="21">
        <v>584.16999999999996</v>
      </c>
    </row>
    <row r="28270" spans="1:8" customFormat="1" x14ac:dyDescent="0.25">
      <c r="A28270" t="str">
        <f>"9114238"</f>
        <v>9114238</v>
      </c>
      <c r="B28270" t="s">
        <v>461</v>
      </c>
      <c r="C28270" t="s">
        <v>415</v>
      </c>
      <c r="D28270" s="21" t="s">
        <v>34</v>
      </c>
      <c r="E28270" s="21" t="s">
        <v>71</v>
      </c>
      <c r="F28270">
        <v>1150290</v>
      </c>
      <c r="G28270" t="s">
        <v>12544</v>
      </c>
      <c r="H28270" s="21">
        <v>584.16999999999996</v>
      </c>
    </row>
    <row r="28271" spans="1:8" customFormat="1" x14ac:dyDescent="0.25">
      <c r="A28271" t="str">
        <f>"519982"</f>
        <v>519982</v>
      </c>
      <c r="B28271" t="s">
        <v>21449</v>
      </c>
      <c r="C28271" t="s">
        <v>1620</v>
      </c>
      <c r="D28271" s="21" t="s">
        <v>34</v>
      </c>
      <c r="E28271" s="21" t="s">
        <v>254</v>
      </c>
      <c r="F28271">
        <v>6510008</v>
      </c>
      <c r="G28271" t="s">
        <v>26622</v>
      </c>
      <c r="H28271" s="21">
        <v>584.16999999999996</v>
      </c>
    </row>
    <row r="28272" spans="1:8" customFormat="1" x14ac:dyDescent="0.25">
      <c r="A28272" t="str">
        <f>"9B779"</f>
        <v>9B779</v>
      </c>
      <c r="B28272" t="s">
        <v>20882</v>
      </c>
      <c r="C28272" t="s">
        <v>528</v>
      </c>
      <c r="D28272" s="21" t="s">
        <v>34</v>
      </c>
      <c r="E28272" s="21" t="s">
        <v>71</v>
      </c>
      <c r="F28272" t="s">
        <v>17651</v>
      </c>
      <c r="G28272" t="s">
        <v>17652</v>
      </c>
      <c r="H28272" s="21">
        <v>584.16999999999996</v>
      </c>
    </row>
    <row r="28273" spans="1:8" customFormat="1" x14ac:dyDescent="0.25">
      <c r="A28273" t="str">
        <f>"592348"</f>
        <v>592348</v>
      </c>
      <c r="B28273" t="s">
        <v>8303</v>
      </c>
      <c r="C28273" t="s">
        <v>2479</v>
      </c>
      <c r="D28273" s="21" t="s">
        <v>34</v>
      </c>
      <c r="E28273" s="21" t="s">
        <v>254</v>
      </c>
      <c r="F28273">
        <v>7590361</v>
      </c>
      <c r="G28273" t="s">
        <v>3071</v>
      </c>
      <c r="H28273" s="21">
        <v>584.16999999999996</v>
      </c>
    </row>
    <row r="28274" spans="1:8" customFormat="1" x14ac:dyDescent="0.25">
      <c r="A28274" t="str">
        <f>"668363"</f>
        <v>668363</v>
      </c>
      <c r="B28274" t="s">
        <v>16353</v>
      </c>
      <c r="C28274" t="s">
        <v>462</v>
      </c>
      <c r="D28274" s="21" t="s">
        <v>34</v>
      </c>
      <c r="E28274" s="21" t="s">
        <v>35</v>
      </c>
      <c r="F28274">
        <v>11660031</v>
      </c>
      <c r="G28274" t="s">
        <v>12617</v>
      </c>
      <c r="H28274" s="21">
        <v>584.16999999999996</v>
      </c>
    </row>
    <row r="28275" spans="1:8" customFormat="1" x14ac:dyDescent="0.25">
      <c r="A28275" t="str">
        <f>"537973"</f>
        <v>537973</v>
      </c>
      <c r="B28275" t="s">
        <v>15466</v>
      </c>
      <c r="C28275" t="s">
        <v>253</v>
      </c>
      <c r="D28275" s="21" t="s">
        <v>34</v>
      </c>
      <c r="E28275" s="21" t="s">
        <v>254</v>
      </c>
      <c r="F28275">
        <v>12530038</v>
      </c>
      <c r="G28275" t="s">
        <v>4955</v>
      </c>
      <c r="H28275" s="21">
        <v>584.16999999999996</v>
      </c>
    </row>
    <row r="28276" spans="1:8" customFormat="1" x14ac:dyDescent="0.25">
      <c r="A28276" t="str">
        <f>"406330"</f>
        <v>406330</v>
      </c>
      <c r="B28276" t="s">
        <v>19751</v>
      </c>
      <c r="C28276" t="s">
        <v>209</v>
      </c>
      <c r="D28276" s="21" t="s">
        <v>34</v>
      </c>
      <c r="E28276" s="21" t="s">
        <v>35</v>
      </c>
      <c r="F28276">
        <v>10400026</v>
      </c>
      <c r="G28276" t="s">
        <v>9919</v>
      </c>
      <c r="H28276" s="21">
        <v>584.16999999999996</v>
      </c>
    </row>
    <row r="28277" spans="1:8" customFormat="1" x14ac:dyDescent="0.25">
      <c r="A28277" t="str">
        <f>"3813325"</f>
        <v>3813325</v>
      </c>
      <c r="B28277" t="s">
        <v>3972</v>
      </c>
      <c r="C28277" t="s">
        <v>305</v>
      </c>
      <c r="D28277" s="21" t="s">
        <v>34</v>
      </c>
      <c r="E28277" s="21" t="s">
        <v>254</v>
      </c>
      <c r="F28277">
        <v>1380273</v>
      </c>
      <c r="G28277" t="s">
        <v>7554</v>
      </c>
      <c r="H28277" s="21">
        <v>584.16999999999996</v>
      </c>
    </row>
    <row r="28278" spans="1:8" customFormat="1" x14ac:dyDescent="0.25">
      <c r="A28278" t="str">
        <f>"5414566"</f>
        <v>5414566</v>
      </c>
      <c r="B28278" t="s">
        <v>15982</v>
      </c>
      <c r="C28278" t="s">
        <v>55</v>
      </c>
      <c r="D28278" s="21" t="s">
        <v>34</v>
      </c>
      <c r="E28278" s="21" t="s">
        <v>71</v>
      </c>
      <c r="F28278">
        <v>6540198</v>
      </c>
      <c r="G28278" t="s">
        <v>9045</v>
      </c>
      <c r="H28278" s="21">
        <v>584.04</v>
      </c>
    </row>
    <row r="28279" spans="1:8" customFormat="1" x14ac:dyDescent="0.25">
      <c r="A28279" t="str">
        <f>"368208"</f>
        <v>368208</v>
      </c>
      <c r="B28279" t="s">
        <v>16618</v>
      </c>
      <c r="C28279" t="s">
        <v>60</v>
      </c>
      <c r="D28279" s="21" t="s">
        <v>34</v>
      </c>
      <c r="E28279" s="21" t="s">
        <v>35</v>
      </c>
      <c r="F28279">
        <v>4360002</v>
      </c>
      <c r="G28279" t="s">
        <v>222</v>
      </c>
      <c r="H28279" s="21">
        <v>584.04</v>
      </c>
    </row>
    <row r="28280" spans="1:8" customFormat="1" x14ac:dyDescent="0.25">
      <c r="A28280" t="str">
        <f>"3425716"</f>
        <v>3425716</v>
      </c>
      <c r="B28280" t="s">
        <v>21581</v>
      </c>
      <c r="C28280" t="s">
        <v>55</v>
      </c>
      <c r="D28280" s="21" t="s">
        <v>34</v>
      </c>
      <c r="E28280" s="21" t="s">
        <v>71</v>
      </c>
      <c r="F28280">
        <v>11340012</v>
      </c>
      <c r="G28280" t="s">
        <v>10413</v>
      </c>
      <c r="H28280" s="21">
        <v>583.91999999999996</v>
      </c>
    </row>
    <row r="28281" spans="1:8" customFormat="1" x14ac:dyDescent="0.25">
      <c r="A28281" t="str">
        <f>"4417355"</f>
        <v>4417355</v>
      </c>
      <c r="B28281" t="s">
        <v>890</v>
      </c>
      <c r="C28281" t="s">
        <v>171</v>
      </c>
      <c r="D28281" s="21" t="s">
        <v>34</v>
      </c>
      <c r="E28281" s="21" t="s">
        <v>71</v>
      </c>
      <c r="F28281">
        <v>12440084</v>
      </c>
      <c r="G28281" t="s">
        <v>1014</v>
      </c>
      <c r="H28281" s="21">
        <v>583.66999999999996</v>
      </c>
    </row>
    <row r="28282" spans="1:8" customFormat="1" x14ac:dyDescent="0.25">
      <c r="A28282" t="str">
        <f>"2935814"</f>
        <v>2935814</v>
      </c>
      <c r="B28282" t="s">
        <v>363</v>
      </c>
      <c r="C28282" t="s">
        <v>1199</v>
      </c>
      <c r="D28282" s="21" t="s">
        <v>34</v>
      </c>
      <c r="E28282" s="21" t="s">
        <v>35</v>
      </c>
      <c r="F28282">
        <v>3290286</v>
      </c>
      <c r="G28282" t="s">
        <v>18777</v>
      </c>
      <c r="H28282" s="21">
        <v>583.66999999999996</v>
      </c>
    </row>
    <row r="28283" spans="1:8" customFormat="1" x14ac:dyDescent="0.25">
      <c r="A28283" t="str">
        <f>"641654"</f>
        <v>641654</v>
      </c>
      <c r="B28283" t="s">
        <v>19116</v>
      </c>
      <c r="C28283" t="s">
        <v>1665</v>
      </c>
      <c r="D28283" s="21" t="s">
        <v>34</v>
      </c>
      <c r="E28283" s="21" t="s">
        <v>254</v>
      </c>
      <c r="F28283">
        <v>10640012</v>
      </c>
      <c r="G28283" t="s">
        <v>6475</v>
      </c>
      <c r="H28283" s="21">
        <v>583.66999999999996</v>
      </c>
    </row>
    <row r="28284" spans="1:8" customFormat="1" x14ac:dyDescent="0.25">
      <c r="A28284" t="str">
        <f>"4418390"</f>
        <v>4418390</v>
      </c>
      <c r="B28284" t="s">
        <v>890</v>
      </c>
      <c r="C28284" t="s">
        <v>253</v>
      </c>
      <c r="D28284" s="21" t="s">
        <v>34</v>
      </c>
      <c r="E28284" s="21" t="s">
        <v>254</v>
      </c>
      <c r="F28284">
        <v>12440064</v>
      </c>
      <c r="G28284" t="s">
        <v>9082</v>
      </c>
      <c r="H28284" s="21">
        <v>583.66999999999996</v>
      </c>
    </row>
    <row r="28285" spans="1:8" customFormat="1" x14ac:dyDescent="0.25">
      <c r="A28285" t="str">
        <f>"9145108"</f>
        <v>9145108</v>
      </c>
      <c r="B28285" t="s">
        <v>6530</v>
      </c>
      <c r="C28285" t="s">
        <v>1786</v>
      </c>
      <c r="D28285" s="21" t="s">
        <v>34</v>
      </c>
      <c r="E28285" s="21" t="s">
        <v>35</v>
      </c>
      <c r="F28285">
        <v>8911161</v>
      </c>
      <c r="G28285" t="s">
        <v>599</v>
      </c>
      <c r="H28285" s="21">
        <v>583.66999999999996</v>
      </c>
    </row>
    <row r="28286" spans="1:8" customFormat="1" x14ac:dyDescent="0.25">
      <c r="A28286" t="str">
        <f>"954098"</f>
        <v>954098</v>
      </c>
      <c r="B28286" t="s">
        <v>9800</v>
      </c>
      <c r="C28286" t="s">
        <v>267</v>
      </c>
      <c r="D28286" s="21" t="s">
        <v>34</v>
      </c>
      <c r="E28286" s="21" t="s">
        <v>254</v>
      </c>
      <c r="F28286">
        <v>8770202</v>
      </c>
      <c r="G28286" t="s">
        <v>1999</v>
      </c>
      <c r="H28286" s="21">
        <v>583.66999999999996</v>
      </c>
    </row>
    <row r="28287" spans="1:8" customFormat="1" x14ac:dyDescent="0.25">
      <c r="A28287" t="str">
        <f>"4410183"</f>
        <v>4410183</v>
      </c>
      <c r="B28287" t="s">
        <v>20139</v>
      </c>
      <c r="C28287" t="s">
        <v>2520</v>
      </c>
      <c r="D28287" s="21" t="s">
        <v>34</v>
      </c>
      <c r="E28287" s="21" t="s">
        <v>254</v>
      </c>
      <c r="F28287">
        <v>12440149</v>
      </c>
      <c r="G28287" t="s">
        <v>15804</v>
      </c>
      <c r="H28287" s="21">
        <v>583.66999999999996</v>
      </c>
    </row>
    <row r="28288" spans="1:8" customFormat="1" x14ac:dyDescent="0.25">
      <c r="A28288" t="str">
        <f>"3011552"</f>
        <v>3011552</v>
      </c>
      <c r="B28288" t="s">
        <v>20980</v>
      </c>
      <c r="C28288" t="s">
        <v>55</v>
      </c>
      <c r="D28288" s="21" t="s">
        <v>34</v>
      </c>
      <c r="E28288" s="21" t="s">
        <v>35</v>
      </c>
      <c r="F28288">
        <v>11300015</v>
      </c>
      <c r="G28288" t="s">
        <v>12613</v>
      </c>
      <c r="H28288" s="21">
        <v>583.66999999999996</v>
      </c>
    </row>
    <row r="28289" spans="1:8" customFormat="1" x14ac:dyDescent="0.25">
      <c r="A28289" t="str">
        <f>"1311523"</f>
        <v>1311523</v>
      </c>
      <c r="B28289" t="s">
        <v>16759</v>
      </c>
      <c r="C28289" t="s">
        <v>119</v>
      </c>
      <c r="D28289" s="21" t="s">
        <v>34</v>
      </c>
      <c r="E28289" s="21" t="s">
        <v>71</v>
      </c>
      <c r="F28289">
        <v>13130146</v>
      </c>
      <c r="G28289" t="s">
        <v>2471</v>
      </c>
      <c r="H28289" s="21">
        <v>583.66999999999996</v>
      </c>
    </row>
    <row r="28290" spans="1:8" customFormat="1" x14ac:dyDescent="0.25">
      <c r="A28290" t="str">
        <f>"9515139"</f>
        <v>9515139</v>
      </c>
      <c r="B28290" t="s">
        <v>22048</v>
      </c>
      <c r="C28290" t="s">
        <v>320</v>
      </c>
      <c r="D28290" s="21" t="s">
        <v>34</v>
      </c>
      <c r="E28290" s="21" t="s">
        <v>254</v>
      </c>
      <c r="F28290">
        <v>8951092</v>
      </c>
      <c r="G28290" t="s">
        <v>5801</v>
      </c>
      <c r="H28290" s="21">
        <v>583.66999999999996</v>
      </c>
    </row>
    <row r="28291" spans="1:8" customFormat="1" x14ac:dyDescent="0.25">
      <c r="A28291" t="str">
        <f>"024035"</f>
        <v>024035</v>
      </c>
      <c r="B28291" t="s">
        <v>20023</v>
      </c>
      <c r="C28291" t="s">
        <v>2546</v>
      </c>
      <c r="D28291" s="21" t="s">
        <v>34</v>
      </c>
      <c r="E28291" s="21" t="s">
        <v>1089</v>
      </c>
      <c r="F28291">
        <v>7020009</v>
      </c>
      <c r="G28291" t="s">
        <v>3362</v>
      </c>
      <c r="H28291" s="21">
        <v>583.66999999999996</v>
      </c>
    </row>
    <row r="28292" spans="1:8" customFormat="1" x14ac:dyDescent="0.25">
      <c r="A28292" t="str">
        <f>"507019"</f>
        <v>507019</v>
      </c>
      <c r="B28292" t="s">
        <v>2656</v>
      </c>
      <c r="C28292" t="s">
        <v>233</v>
      </c>
      <c r="D28292" s="21" t="s">
        <v>34</v>
      </c>
      <c r="E28292" s="21" t="s">
        <v>254</v>
      </c>
      <c r="F28292">
        <v>9500073</v>
      </c>
      <c r="G28292" t="s">
        <v>5393</v>
      </c>
      <c r="H28292" s="21">
        <v>583.66999999999996</v>
      </c>
    </row>
    <row r="28293" spans="1:8" customFormat="1" x14ac:dyDescent="0.25">
      <c r="A28293" t="str">
        <f>"7624099"</f>
        <v>7624099</v>
      </c>
      <c r="B28293" t="s">
        <v>20538</v>
      </c>
      <c r="C28293" t="s">
        <v>239</v>
      </c>
      <c r="D28293" s="21" t="s">
        <v>34</v>
      </c>
      <c r="E28293" s="21" t="s">
        <v>254</v>
      </c>
      <c r="F28293">
        <v>9760014</v>
      </c>
      <c r="G28293" t="s">
        <v>1017</v>
      </c>
      <c r="H28293" s="21">
        <v>583.54</v>
      </c>
    </row>
    <row r="28294" spans="1:8" customFormat="1" x14ac:dyDescent="0.25">
      <c r="A28294" t="str">
        <f>"103537"</f>
        <v>103537</v>
      </c>
      <c r="B28294" t="s">
        <v>18560</v>
      </c>
      <c r="C28294" t="s">
        <v>33</v>
      </c>
      <c r="D28294" s="21" t="s">
        <v>34</v>
      </c>
      <c r="E28294" s="21" t="s">
        <v>35</v>
      </c>
      <c r="F28294">
        <v>6100033</v>
      </c>
      <c r="G28294" t="s">
        <v>9697</v>
      </c>
      <c r="H28294" s="21">
        <v>583.54</v>
      </c>
    </row>
    <row r="28295" spans="1:8" customFormat="1" x14ac:dyDescent="0.25">
      <c r="A28295" t="str">
        <f>"9424190"</f>
        <v>9424190</v>
      </c>
      <c r="B28295" t="s">
        <v>28048</v>
      </c>
      <c r="C28295" t="s">
        <v>415</v>
      </c>
      <c r="D28295" s="21" t="s">
        <v>34</v>
      </c>
      <c r="E28295" s="21" t="s">
        <v>35</v>
      </c>
      <c r="F28295">
        <v>8940458</v>
      </c>
      <c r="G28295" t="s">
        <v>26774</v>
      </c>
      <c r="H28295" s="21">
        <v>583.5</v>
      </c>
    </row>
    <row r="28296" spans="1:8" customFormat="1" x14ac:dyDescent="0.25">
      <c r="A28296" t="str">
        <f>"5318841"</f>
        <v>5318841</v>
      </c>
      <c r="B28296" t="s">
        <v>20285</v>
      </c>
      <c r="C28296" t="s">
        <v>1665</v>
      </c>
      <c r="D28296" s="21" t="s">
        <v>34</v>
      </c>
      <c r="E28296" s="21" t="s">
        <v>254</v>
      </c>
      <c r="F28296">
        <v>12530010</v>
      </c>
      <c r="G28296" t="s">
        <v>7994</v>
      </c>
      <c r="H28296" s="21">
        <v>583.41999999999996</v>
      </c>
    </row>
    <row r="28297" spans="1:8" customFormat="1" x14ac:dyDescent="0.25">
      <c r="A28297" t="str">
        <f>"9B1091"</f>
        <v>9B1091</v>
      </c>
      <c r="B28297" t="s">
        <v>28049</v>
      </c>
      <c r="C28297" t="s">
        <v>147</v>
      </c>
      <c r="D28297" s="21" t="s">
        <v>34</v>
      </c>
      <c r="E28297" s="21" t="s">
        <v>35</v>
      </c>
      <c r="F28297" t="s">
        <v>2653</v>
      </c>
      <c r="G28297" t="s">
        <v>2654</v>
      </c>
      <c r="H28297" s="21">
        <v>583.25</v>
      </c>
    </row>
    <row r="28298" spans="1:8" customFormat="1" x14ac:dyDescent="0.25">
      <c r="A28298" t="str">
        <f>"788682"</f>
        <v>788682</v>
      </c>
      <c r="B28298" t="s">
        <v>8675</v>
      </c>
      <c r="C28298" t="s">
        <v>267</v>
      </c>
      <c r="D28298" s="21" t="s">
        <v>34</v>
      </c>
      <c r="E28298" s="21" t="s">
        <v>254</v>
      </c>
      <c r="F28298">
        <v>8780632</v>
      </c>
      <c r="G28298" t="s">
        <v>1571</v>
      </c>
      <c r="H28298" s="21">
        <v>583.16999999999996</v>
      </c>
    </row>
    <row r="28299" spans="1:8" customFormat="1" x14ac:dyDescent="0.25">
      <c r="A28299" t="str">
        <f>"929334"</f>
        <v>929334</v>
      </c>
      <c r="B28299" t="s">
        <v>18748</v>
      </c>
      <c r="C28299" t="s">
        <v>236</v>
      </c>
      <c r="D28299" s="21" t="s">
        <v>34</v>
      </c>
      <c r="E28299" s="21" t="s">
        <v>1089</v>
      </c>
      <c r="F28299">
        <v>8920646</v>
      </c>
      <c r="G28299" t="s">
        <v>2864</v>
      </c>
      <c r="H28299" s="21">
        <v>583.16999999999996</v>
      </c>
    </row>
    <row r="28300" spans="1:8" customFormat="1" x14ac:dyDescent="0.25">
      <c r="A28300" t="str">
        <f>"4435379"</f>
        <v>4435379</v>
      </c>
      <c r="B28300" t="s">
        <v>19064</v>
      </c>
      <c r="C28300" t="s">
        <v>169</v>
      </c>
      <c r="D28300" s="21" t="s">
        <v>34</v>
      </c>
      <c r="E28300" s="21" t="s">
        <v>71</v>
      </c>
      <c r="F28300">
        <v>12440141</v>
      </c>
      <c r="G28300" t="s">
        <v>3234</v>
      </c>
      <c r="H28300" s="21">
        <v>583.16999999999996</v>
      </c>
    </row>
    <row r="28301" spans="1:8" customFormat="1" x14ac:dyDescent="0.25">
      <c r="A28301" t="str">
        <f>"568836"</f>
        <v>568836</v>
      </c>
      <c r="B28301" t="s">
        <v>12334</v>
      </c>
      <c r="C28301" t="s">
        <v>598</v>
      </c>
      <c r="D28301" s="21" t="s">
        <v>34</v>
      </c>
      <c r="E28301" s="21" t="s">
        <v>254</v>
      </c>
      <c r="F28301">
        <v>3560016</v>
      </c>
      <c r="G28301" t="s">
        <v>15201</v>
      </c>
      <c r="H28301" s="21">
        <v>583.16999999999996</v>
      </c>
    </row>
    <row r="28302" spans="1:8" customFormat="1" x14ac:dyDescent="0.25">
      <c r="A28302" t="str">
        <f>"6942871"</f>
        <v>6942871</v>
      </c>
      <c r="B28302" t="s">
        <v>14268</v>
      </c>
      <c r="C28302" t="s">
        <v>267</v>
      </c>
      <c r="D28302" s="21" t="s">
        <v>34</v>
      </c>
      <c r="E28302" s="21" t="s">
        <v>254</v>
      </c>
      <c r="F28302">
        <v>1690220</v>
      </c>
      <c r="G28302" t="s">
        <v>16783</v>
      </c>
      <c r="H28302" s="21">
        <v>583.16999999999996</v>
      </c>
    </row>
    <row r="28303" spans="1:8" customFormat="1" x14ac:dyDescent="0.25">
      <c r="A28303" t="str">
        <f>"10224"</f>
        <v>10224</v>
      </c>
      <c r="B28303" t="s">
        <v>19673</v>
      </c>
      <c r="C28303" t="s">
        <v>211</v>
      </c>
      <c r="D28303" s="21" t="s">
        <v>34</v>
      </c>
      <c r="E28303" s="21" t="s">
        <v>1089</v>
      </c>
      <c r="F28303">
        <v>6100021</v>
      </c>
      <c r="G28303" t="s">
        <v>7789</v>
      </c>
      <c r="H28303" s="21">
        <v>583.16999999999996</v>
      </c>
    </row>
    <row r="28304" spans="1:8" customFormat="1" x14ac:dyDescent="0.25">
      <c r="A28304" t="str">
        <f>"5733572"</f>
        <v>5733572</v>
      </c>
      <c r="B28304" t="s">
        <v>21205</v>
      </c>
      <c r="C28304" t="s">
        <v>262</v>
      </c>
      <c r="D28304" s="21" t="s">
        <v>34</v>
      </c>
      <c r="E28304" s="21" t="s">
        <v>35</v>
      </c>
      <c r="F28304">
        <v>6570167</v>
      </c>
      <c r="G28304" t="s">
        <v>1174</v>
      </c>
      <c r="H28304" s="21">
        <v>583.16999999999996</v>
      </c>
    </row>
    <row r="28305" spans="1:8" customFormat="1" x14ac:dyDescent="0.25">
      <c r="A28305" t="str">
        <f>"5923925"</f>
        <v>5923925</v>
      </c>
      <c r="B28305" t="s">
        <v>3781</v>
      </c>
      <c r="C28305" t="s">
        <v>37</v>
      </c>
      <c r="D28305" s="21" t="s">
        <v>34</v>
      </c>
      <c r="E28305" s="21" t="s">
        <v>35</v>
      </c>
      <c r="F28305">
        <v>7590402</v>
      </c>
      <c r="G28305" t="s">
        <v>1623</v>
      </c>
      <c r="H28305" s="21">
        <v>583.16999999999996</v>
      </c>
    </row>
    <row r="28306" spans="1:8" customFormat="1" x14ac:dyDescent="0.25">
      <c r="A28306" t="str">
        <f>"5613221"</f>
        <v>5613221</v>
      </c>
      <c r="B28306" t="s">
        <v>8503</v>
      </c>
      <c r="C28306" t="s">
        <v>139</v>
      </c>
      <c r="D28306" s="21" t="s">
        <v>34</v>
      </c>
      <c r="E28306" s="21" t="s">
        <v>35</v>
      </c>
      <c r="F28306">
        <v>3560052</v>
      </c>
      <c r="G28306" t="s">
        <v>18504</v>
      </c>
      <c r="H28306" s="21">
        <v>583.16999999999996</v>
      </c>
    </row>
    <row r="28307" spans="1:8" customFormat="1" x14ac:dyDescent="0.25">
      <c r="A28307" t="str">
        <f>"2617663"</f>
        <v>2617663</v>
      </c>
      <c r="B28307" t="s">
        <v>3347</v>
      </c>
      <c r="C28307" t="s">
        <v>151</v>
      </c>
      <c r="D28307" s="21" t="s">
        <v>34</v>
      </c>
      <c r="E28307" s="21" t="s">
        <v>35</v>
      </c>
      <c r="F28307">
        <v>1260062</v>
      </c>
      <c r="G28307" t="s">
        <v>6156</v>
      </c>
      <c r="H28307" s="21">
        <v>583.16999999999996</v>
      </c>
    </row>
    <row r="28308" spans="1:8" customFormat="1" x14ac:dyDescent="0.25">
      <c r="A28308" t="str">
        <f>"5311444"</f>
        <v>5311444</v>
      </c>
      <c r="B28308" t="s">
        <v>19778</v>
      </c>
      <c r="C28308" t="s">
        <v>462</v>
      </c>
      <c r="D28308" s="21" t="s">
        <v>34</v>
      </c>
      <c r="E28308" s="21" t="s">
        <v>71</v>
      </c>
      <c r="F28308">
        <v>12530003</v>
      </c>
      <c r="G28308" t="s">
        <v>8260</v>
      </c>
      <c r="H28308" s="21">
        <v>583.16999999999996</v>
      </c>
    </row>
    <row r="28309" spans="1:8" customFormat="1" x14ac:dyDescent="0.25">
      <c r="A28309" t="str">
        <f>"4931786"</f>
        <v>4931786</v>
      </c>
      <c r="B28309" t="s">
        <v>20436</v>
      </c>
      <c r="C28309" t="s">
        <v>169</v>
      </c>
      <c r="D28309" s="21" t="s">
        <v>34</v>
      </c>
      <c r="E28309" s="21" t="s">
        <v>35</v>
      </c>
      <c r="F28309">
        <v>12490098</v>
      </c>
      <c r="G28309" t="s">
        <v>2670</v>
      </c>
      <c r="H28309" s="21">
        <v>583.16999999999996</v>
      </c>
    </row>
    <row r="28310" spans="1:8" customFormat="1" x14ac:dyDescent="0.25">
      <c r="A28310" t="str">
        <f>"1313889"</f>
        <v>1313889</v>
      </c>
      <c r="B28310" t="s">
        <v>18317</v>
      </c>
      <c r="C28310" t="s">
        <v>469</v>
      </c>
      <c r="D28310" s="21" t="s">
        <v>34</v>
      </c>
      <c r="E28310" s="21" t="s">
        <v>71</v>
      </c>
      <c r="F28310">
        <v>13130146</v>
      </c>
      <c r="G28310" t="s">
        <v>2471</v>
      </c>
      <c r="H28310" s="21">
        <v>583.16999999999996</v>
      </c>
    </row>
    <row r="28311" spans="1:8" customFormat="1" x14ac:dyDescent="0.25">
      <c r="A28311" t="str">
        <f>"823520"</f>
        <v>823520</v>
      </c>
      <c r="B28311" t="s">
        <v>3325</v>
      </c>
      <c r="C28311" t="s">
        <v>2907</v>
      </c>
      <c r="D28311" s="21" t="s">
        <v>34</v>
      </c>
      <c r="E28311" s="21" t="s">
        <v>71</v>
      </c>
      <c r="F28311">
        <v>11820008</v>
      </c>
      <c r="G28311" t="s">
        <v>294</v>
      </c>
      <c r="H28311" s="21">
        <v>583.16999999999996</v>
      </c>
    </row>
    <row r="28312" spans="1:8" customFormat="1" x14ac:dyDescent="0.25">
      <c r="A28312" t="str">
        <f>"4218863"</f>
        <v>4218863</v>
      </c>
      <c r="B28312" t="s">
        <v>158</v>
      </c>
      <c r="C28312" t="s">
        <v>144</v>
      </c>
      <c r="D28312" s="21" t="s">
        <v>34</v>
      </c>
      <c r="E28312" s="21" t="s">
        <v>35</v>
      </c>
      <c r="F28312">
        <v>1420163</v>
      </c>
      <c r="G28312" t="s">
        <v>2424</v>
      </c>
      <c r="H28312" s="21">
        <v>583.16999999999996</v>
      </c>
    </row>
    <row r="28313" spans="1:8" customFormat="1" x14ac:dyDescent="0.25">
      <c r="A28313" t="str">
        <f>"702212"</f>
        <v>702212</v>
      </c>
      <c r="B28313" t="s">
        <v>3140</v>
      </c>
      <c r="C28313" t="s">
        <v>1887</v>
      </c>
      <c r="D28313" s="21" t="s">
        <v>34</v>
      </c>
      <c r="E28313" s="21" t="s">
        <v>254</v>
      </c>
      <c r="F28313">
        <v>2700075</v>
      </c>
      <c r="G28313" t="s">
        <v>10511</v>
      </c>
      <c r="H28313" s="21">
        <v>583.16999999999996</v>
      </c>
    </row>
    <row r="28314" spans="1:8" customFormat="1" x14ac:dyDescent="0.25">
      <c r="A28314" t="str">
        <f>"6948730"</f>
        <v>6948730</v>
      </c>
      <c r="B28314" t="s">
        <v>28050</v>
      </c>
      <c r="C28314" t="s">
        <v>444</v>
      </c>
      <c r="D28314" s="21" t="s">
        <v>34</v>
      </c>
      <c r="E28314" s="21" t="s">
        <v>35</v>
      </c>
      <c r="F28314">
        <v>1690123</v>
      </c>
      <c r="G28314" t="s">
        <v>5156</v>
      </c>
      <c r="H28314" s="21">
        <v>583.16999999999996</v>
      </c>
    </row>
    <row r="28315" spans="1:8" customFormat="1" x14ac:dyDescent="0.25">
      <c r="A28315" t="str">
        <f>"7877324"</f>
        <v>7877324</v>
      </c>
      <c r="B28315" t="s">
        <v>4336</v>
      </c>
      <c r="C28315" t="s">
        <v>130</v>
      </c>
      <c r="D28315" s="21" t="s">
        <v>34</v>
      </c>
      <c r="E28315" s="21" t="s">
        <v>254</v>
      </c>
      <c r="F28315">
        <v>8780338</v>
      </c>
      <c r="G28315" t="s">
        <v>4145</v>
      </c>
      <c r="H28315" s="21">
        <v>583.16999999999996</v>
      </c>
    </row>
    <row r="28316" spans="1:8" customFormat="1" x14ac:dyDescent="0.25">
      <c r="A28316" t="str">
        <f>"836067"</f>
        <v>836067</v>
      </c>
      <c r="B28316" t="s">
        <v>21998</v>
      </c>
      <c r="C28316" t="s">
        <v>239</v>
      </c>
      <c r="D28316" s="21" t="s">
        <v>34</v>
      </c>
      <c r="E28316" s="21" t="s">
        <v>254</v>
      </c>
      <c r="F28316">
        <v>13830083</v>
      </c>
      <c r="G28316" t="s">
        <v>2159</v>
      </c>
      <c r="H28316" s="21">
        <v>583.16999999999996</v>
      </c>
    </row>
    <row r="28317" spans="1:8" customFormat="1" x14ac:dyDescent="0.25">
      <c r="A28317" t="str">
        <f>"7523009"</f>
        <v>7523009</v>
      </c>
      <c r="B28317" t="s">
        <v>5286</v>
      </c>
      <c r="C28317" t="s">
        <v>204</v>
      </c>
      <c r="D28317" s="21" t="s">
        <v>34</v>
      </c>
      <c r="E28317" s="21" t="s">
        <v>35</v>
      </c>
      <c r="F28317">
        <v>8751371</v>
      </c>
      <c r="G28317" t="s">
        <v>6605</v>
      </c>
      <c r="H28317" s="21">
        <v>583.16999999999996</v>
      </c>
    </row>
    <row r="28318" spans="1:8" customFormat="1" x14ac:dyDescent="0.25">
      <c r="A28318" t="str">
        <f>"761796"</f>
        <v>761796</v>
      </c>
      <c r="B28318" t="s">
        <v>10186</v>
      </c>
      <c r="C28318" t="s">
        <v>2305</v>
      </c>
      <c r="D28318" s="21" t="s">
        <v>34</v>
      </c>
      <c r="E28318" s="21" t="s">
        <v>254</v>
      </c>
      <c r="F28318">
        <v>9760100</v>
      </c>
      <c r="G28318" t="s">
        <v>9182</v>
      </c>
      <c r="H28318" s="21">
        <v>583.16999999999996</v>
      </c>
    </row>
    <row r="28319" spans="1:8" customFormat="1" x14ac:dyDescent="0.25">
      <c r="A28319" t="str">
        <f>"4522438"</f>
        <v>4522438</v>
      </c>
      <c r="B28319" t="s">
        <v>20610</v>
      </c>
      <c r="C28319" t="s">
        <v>412</v>
      </c>
      <c r="D28319" s="21" t="s">
        <v>34</v>
      </c>
      <c r="E28319" s="21" t="s">
        <v>71</v>
      </c>
      <c r="F28319">
        <v>4450750</v>
      </c>
      <c r="G28319" t="s">
        <v>6572</v>
      </c>
      <c r="H28319" s="21">
        <v>582.91999999999996</v>
      </c>
    </row>
    <row r="28320" spans="1:8" customFormat="1" x14ac:dyDescent="0.25">
      <c r="A28320" t="str">
        <f>"9139552"</f>
        <v>9139552</v>
      </c>
      <c r="B28320" t="s">
        <v>2544</v>
      </c>
      <c r="C28320" t="s">
        <v>65</v>
      </c>
      <c r="D28320" s="21" t="s">
        <v>34</v>
      </c>
      <c r="E28320" s="21" t="s">
        <v>35</v>
      </c>
      <c r="F28320">
        <v>8910881</v>
      </c>
      <c r="G28320" t="s">
        <v>1300</v>
      </c>
      <c r="H28320" s="21">
        <v>582.91999999999996</v>
      </c>
    </row>
    <row r="28321" spans="1:8" customFormat="1" x14ac:dyDescent="0.25">
      <c r="A28321" t="str">
        <f>"845840"</f>
        <v>845840</v>
      </c>
      <c r="B28321" t="s">
        <v>20681</v>
      </c>
      <c r="C28321" t="s">
        <v>33</v>
      </c>
      <c r="D28321" s="21" t="s">
        <v>34</v>
      </c>
      <c r="E28321" s="21" t="s">
        <v>71</v>
      </c>
      <c r="F28321">
        <v>13840012</v>
      </c>
      <c r="G28321" t="s">
        <v>5143</v>
      </c>
      <c r="H28321" s="21">
        <v>582.79</v>
      </c>
    </row>
    <row r="28322" spans="1:8" customFormat="1" x14ac:dyDescent="0.25">
      <c r="A28322" t="str">
        <f>"617751"</f>
        <v>617751</v>
      </c>
      <c r="B28322" t="s">
        <v>21408</v>
      </c>
      <c r="C28322" t="s">
        <v>1803</v>
      </c>
      <c r="D28322" s="21" t="s">
        <v>34</v>
      </c>
      <c r="E28322" s="21" t="s">
        <v>35</v>
      </c>
      <c r="F28322">
        <v>9610034</v>
      </c>
      <c r="G28322" t="s">
        <v>11021</v>
      </c>
      <c r="H28322" s="21">
        <v>582.66999999999996</v>
      </c>
    </row>
    <row r="28323" spans="1:8" customFormat="1" x14ac:dyDescent="0.25">
      <c r="A28323" t="str">
        <f>"7863732"</f>
        <v>7863732</v>
      </c>
      <c r="B28323" t="s">
        <v>20682</v>
      </c>
      <c r="C28323" t="s">
        <v>2479</v>
      </c>
      <c r="D28323" s="21" t="s">
        <v>34</v>
      </c>
      <c r="E28323" s="21" t="s">
        <v>35</v>
      </c>
      <c r="F28323">
        <v>8781094</v>
      </c>
      <c r="G28323" t="s">
        <v>7875</v>
      </c>
      <c r="H28323" s="21">
        <v>582.66999999999996</v>
      </c>
    </row>
    <row r="28324" spans="1:8" customFormat="1" x14ac:dyDescent="0.25">
      <c r="A28324" t="str">
        <f>"9116652"</f>
        <v>9116652</v>
      </c>
      <c r="B28324" t="s">
        <v>18302</v>
      </c>
      <c r="C28324" t="s">
        <v>209</v>
      </c>
      <c r="D28324" s="21" t="s">
        <v>34</v>
      </c>
      <c r="E28324" s="21" t="s">
        <v>35</v>
      </c>
      <c r="F28324">
        <v>8911280</v>
      </c>
      <c r="G28324" t="s">
        <v>3417</v>
      </c>
      <c r="H28324" s="21">
        <v>582.66999999999996</v>
      </c>
    </row>
    <row r="28325" spans="1:8" customFormat="1" x14ac:dyDescent="0.25">
      <c r="A28325" t="str">
        <f>"5930358"</f>
        <v>5930358</v>
      </c>
      <c r="B28325" t="s">
        <v>2218</v>
      </c>
      <c r="C28325" t="s">
        <v>547</v>
      </c>
      <c r="D28325" s="21" t="s">
        <v>34</v>
      </c>
      <c r="E28325" s="21" t="s">
        <v>254</v>
      </c>
      <c r="F28325">
        <v>7590087</v>
      </c>
      <c r="G28325" t="s">
        <v>2112</v>
      </c>
      <c r="H28325" s="21">
        <v>582.66999999999996</v>
      </c>
    </row>
    <row r="28326" spans="1:8" customFormat="1" x14ac:dyDescent="0.25">
      <c r="A28326" t="str">
        <f>"525103"</f>
        <v>525103</v>
      </c>
      <c r="B28326" t="s">
        <v>17550</v>
      </c>
      <c r="C28326" t="s">
        <v>119</v>
      </c>
      <c r="D28326" s="21" t="s">
        <v>34</v>
      </c>
      <c r="E28326" s="21" t="s">
        <v>35</v>
      </c>
      <c r="F28326">
        <v>6520054</v>
      </c>
      <c r="G28326" t="s">
        <v>2142</v>
      </c>
      <c r="H28326" s="21">
        <v>582.66999999999996</v>
      </c>
    </row>
    <row r="28327" spans="1:8" customFormat="1" x14ac:dyDescent="0.25">
      <c r="A28327" t="str">
        <f>"0211773"</f>
        <v>0211773</v>
      </c>
      <c r="B28327" t="s">
        <v>19552</v>
      </c>
      <c r="C28327" t="s">
        <v>151</v>
      </c>
      <c r="D28327" s="21" t="s">
        <v>34</v>
      </c>
      <c r="E28327" s="21" t="s">
        <v>35</v>
      </c>
      <c r="F28327">
        <v>7021010</v>
      </c>
      <c r="G28327" t="s">
        <v>10493</v>
      </c>
      <c r="H28327" s="21">
        <v>582.66999999999996</v>
      </c>
    </row>
    <row r="28328" spans="1:8" customFormat="1" x14ac:dyDescent="0.25">
      <c r="A28328" t="str">
        <f>"5731172"</f>
        <v>5731172</v>
      </c>
      <c r="B28328" t="s">
        <v>22333</v>
      </c>
      <c r="C28328" t="s">
        <v>598</v>
      </c>
      <c r="D28328" s="21" t="s">
        <v>34</v>
      </c>
      <c r="E28328" s="21" t="s">
        <v>71</v>
      </c>
      <c r="F28328">
        <v>6570005</v>
      </c>
      <c r="G28328" t="s">
        <v>351</v>
      </c>
      <c r="H28328" s="21">
        <v>582.66999999999996</v>
      </c>
    </row>
    <row r="28329" spans="1:8" customFormat="1" x14ac:dyDescent="0.25">
      <c r="A28329" t="str">
        <f>"861094"</f>
        <v>861094</v>
      </c>
      <c r="B28329" t="s">
        <v>19806</v>
      </c>
      <c r="C28329" t="s">
        <v>124</v>
      </c>
      <c r="D28329" s="21" t="s">
        <v>34</v>
      </c>
      <c r="E28329" s="21" t="s">
        <v>254</v>
      </c>
      <c r="F28329" t="s">
        <v>2591</v>
      </c>
      <c r="G28329" t="s">
        <v>2592</v>
      </c>
      <c r="H28329" s="21">
        <v>582.66999999999996</v>
      </c>
    </row>
    <row r="28330" spans="1:8" customFormat="1" x14ac:dyDescent="0.25">
      <c r="A28330" t="str">
        <f>"405528"</f>
        <v>405528</v>
      </c>
      <c r="B28330" t="s">
        <v>21283</v>
      </c>
      <c r="C28330" t="s">
        <v>114</v>
      </c>
      <c r="D28330" s="21" t="s">
        <v>34</v>
      </c>
      <c r="E28330" s="21" t="s">
        <v>71</v>
      </c>
      <c r="F28330">
        <v>10400002</v>
      </c>
      <c r="G28330" t="s">
        <v>1975</v>
      </c>
      <c r="H28330" s="21">
        <v>582.66999999999996</v>
      </c>
    </row>
    <row r="28331" spans="1:8" customFormat="1" x14ac:dyDescent="0.25">
      <c r="A28331" t="str">
        <f>"6227791"</f>
        <v>6227791</v>
      </c>
      <c r="B28331" t="s">
        <v>257</v>
      </c>
      <c r="C28331" t="s">
        <v>65</v>
      </c>
      <c r="D28331" s="21" t="s">
        <v>34</v>
      </c>
      <c r="E28331" s="21" t="s">
        <v>35</v>
      </c>
      <c r="F28331">
        <v>7620032</v>
      </c>
      <c r="G28331" t="s">
        <v>11181</v>
      </c>
      <c r="H28331" s="21">
        <v>582.66999999999996</v>
      </c>
    </row>
    <row r="28332" spans="1:8" customFormat="1" x14ac:dyDescent="0.25">
      <c r="A28332" t="str">
        <f>"3518873"</f>
        <v>3518873</v>
      </c>
      <c r="B28332" t="s">
        <v>9029</v>
      </c>
      <c r="C28332" t="s">
        <v>598</v>
      </c>
      <c r="D28332" s="21" t="s">
        <v>34</v>
      </c>
      <c r="E28332" s="21" t="s">
        <v>254</v>
      </c>
      <c r="F28332">
        <v>3350021</v>
      </c>
      <c r="G28332" t="s">
        <v>1758</v>
      </c>
      <c r="H28332" s="21">
        <v>582.66999999999996</v>
      </c>
    </row>
    <row r="28333" spans="1:8" customFormat="1" x14ac:dyDescent="0.25">
      <c r="A28333" t="str">
        <f>"7728835"</f>
        <v>7728835</v>
      </c>
      <c r="B28333" t="s">
        <v>7301</v>
      </c>
      <c r="C28333" t="s">
        <v>249</v>
      </c>
      <c r="D28333" s="21" t="s">
        <v>34</v>
      </c>
      <c r="E28333" s="21" t="s">
        <v>71</v>
      </c>
      <c r="F28333">
        <v>8771508</v>
      </c>
      <c r="G28333" t="s">
        <v>4072</v>
      </c>
      <c r="H28333" s="21">
        <v>582.66999999999996</v>
      </c>
    </row>
    <row r="28334" spans="1:8" customFormat="1" x14ac:dyDescent="0.25">
      <c r="A28334" t="str">
        <f>"568354"</f>
        <v>568354</v>
      </c>
      <c r="B28334" t="s">
        <v>2277</v>
      </c>
      <c r="C28334" t="s">
        <v>2479</v>
      </c>
      <c r="D28334" s="21" t="s">
        <v>34</v>
      </c>
      <c r="E28334" s="21" t="s">
        <v>254</v>
      </c>
      <c r="F28334">
        <v>3560013</v>
      </c>
      <c r="G28334" t="s">
        <v>7924</v>
      </c>
      <c r="H28334" s="21">
        <v>582.66999999999996</v>
      </c>
    </row>
    <row r="28335" spans="1:8" customFormat="1" x14ac:dyDescent="0.25">
      <c r="A28335" t="str">
        <f>"7862310"</f>
        <v>7862310</v>
      </c>
      <c r="B28335" t="s">
        <v>20758</v>
      </c>
      <c r="C28335" t="s">
        <v>187</v>
      </c>
      <c r="D28335" s="21" t="s">
        <v>34</v>
      </c>
      <c r="E28335" s="21" t="s">
        <v>254</v>
      </c>
      <c r="F28335">
        <v>8780080</v>
      </c>
      <c r="G28335" t="s">
        <v>865</v>
      </c>
      <c r="H28335" s="21">
        <v>582.66999999999996</v>
      </c>
    </row>
    <row r="28336" spans="1:8" customFormat="1" x14ac:dyDescent="0.25">
      <c r="A28336" t="str">
        <f>"6232428"</f>
        <v>6232428</v>
      </c>
      <c r="B28336" t="s">
        <v>17562</v>
      </c>
      <c r="C28336" t="s">
        <v>598</v>
      </c>
      <c r="D28336" s="21" t="s">
        <v>34</v>
      </c>
      <c r="E28336" s="21" t="s">
        <v>71</v>
      </c>
      <c r="F28336">
        <v>7620121</v>
      </c>
      <c r="G28336" t="s">
        <v>7146</v>
      </c>
      <c r="H28336" s="21">
        <v>582.66999999999996</v>
      </c>
    </row>
    <row r="28337" spans="1:8" customFormat="1" x14ac:dyDescent="0.25">
      <c r="A28337" t="str">
        <f>"1612158"</f>
        <v>1612158</v>
      </c>
      <c r="B28337" t="s">
        <v>20621</v>
      </c>
      <c r="C28337" t="s">
        <v>1588</v>
      </c>
      <c r="D28337" s="21" t="s">
        <v>34</v>
      </c>
      <c r="E28337" s="21" t="s">
        <v>1089</v>
      </c>
      <c r="F28337">
        <v>10160030</v>
      </c>
      <c r="G28337" t="s">
        <v>13173</v>
      </c>
      <c r="H28337" s="21">
        <v>582.66999999999996</v>
      </c>
    </row>
    <row r="28338" spans="1:8" customFormat="1" x14ac:dyDescent="0.25">
      <c r="A28338" t="str">
        <f>"147482"</f>
        <v>147482</v>
      </c>
      <c r="B28338" t="s">
        <v>19540</v>
      </c>
      <c r="C28338" t="s">
        <v>124</v>
      </c>
      <c r="D28338" s="21" t="s">
        <v>34</v>
      </c>
      <c r="E28338" s="21" t="s">
        <v>71</v>
      </c>
      <c r="F28338">
        <v>9140054</v>
      </c>
      <c r="G28338" t="s">
        <v>3300</v>
      </c>
      <c r="H28338" s="21">
        <v>582.66999999999996</v>
      </c>
    </row>
    <row r="28339" spans="1:8" customFormat="1" x14ac:dyDescent="0.25">
      <c r="A28339" t="str">
        <f>"038781"</f>
        <v>038781</v>
      </c>
      <c r="B28339" t="s">
        <v>8044</v>
      </c>
      <c r="C28339" t="s">
        <v>415</v>
      </c>
      <c r="D28339" s="21" t="s">
        <v>34</v>
      </c>
      <c r="E28339" s="21" t="s">
        <v>254</v>
      </c>
      <c r="F28339">
        <v>1030035</v>
      </c>
      <c r="G28339" t="s">
        <v>2343</v>
      </c>
      <c r="H28339" s="21">
        <v>582.66999999999996</v>
      </c>
    </row>
    <row r="28340" spans="1:8" customFormat="1" x14ac:dyDescent="0.25">
      <c r="A28340" t="str">
        <f>"5012429"</f>
        <v>5012429</v>
      </c>
      <c r="B28340" t="s">
        <v>20743</v>
      </c>
      <c r="C28340" t="s">
        <v>239</v>
      </c>
      <c r="D28340" s="21" t="s">
        <v>34</v>
      </c>
      <c r="E28340" s="21" t="s">
        <v>254</v>
      </c>
      <c r="F28340">
        <v>9500031</v>
      </c>
      <c r="G28340" t="s">
        <v>11126</v>
      </c>
      <c r="H28340" s="21">
        <v>582.66999999999996</v>
      </c>
    </row>
    <row r="28341" spans="1:8" customFormat="1" x14ac:dyDescent="0.25">
      <c r="A28341" t="str">
        <f>"2712739"</f>
        <v>2712739</v>
      </c>
      <c r="B28341" t="s">
        <v>5435</v>
      </c>
      <c r="C28341" t="s">
        <v>381</v>
      </c>
      <c r="D28341" s="21" t="s">
        <v>34</v>
      </c>
      <c r="E28341" s="21" t="s">
        <v>254</v>
      </c>
      <c r="F28341">
        <v>9270181</v>
      </c>
      <c r="G28341" t="s">
        <v>2952</v>
      </c>
      <c r="H28341" s="21">
        <v>582.66999999999996</v>
      </c>
    </row>
    <row r="28342" spans="1:8" customFormat="1" x14ac:dyDescent="0.25">
      <c r="A28342" t="str">
        <f>"2937732"</f>
        <v>2937732</v>
      </c>
      <c r="B28342" t="s">
        <v>20900</v>
      </c>
      <c r="C28342" t="s">
        <v>130</v>
      </c>
      <c r="D28342" s="21" t="s">
        <v>34</v>
      </c>
      <c r="E28342" s="21" t="s">
        <v>71</v>
      </c>
      <c r="F28342">
        <v>3290232</v>
      </c>
      <c r="G28342" t="s">
        <v>9588</v>
      </c>
      <c r="H28342" s="21">
        <v>582.41999999999996</v>
      </c>
    </row>
    <row r="28343" spans="1:8" customFormat="1" x14ac:dyDescent="0.25">
      <c r="A28343" t="str">
        <f>"9319969"</f>
        <v>9319969</v>
      </c>
      <c r="B28343" t="s">
        <v>28051</v>
      </c>
      <c r="C28343" t="s">
        <v>139</v>
      </c>
      <c r="D28343" s="21" t="s">
        <v>34</v>
      </c>
      <c r="E28343" s="21" t="s">
        <v>71</v>
      </c>
      <c r="F28343">
        <v>8930113</v>
      </c>
      <c r="G28343" t="s">
        <v>368</v>
      </c>
      <c r="H28343" s="21">
        <v>582.41999999999996</v>
      </c>
    </row>
    <row r="28344" spans="1:8" customFormat="1" x14ac:dyDescent="0.25">
      <c r="A28344" t="str">
        <f>"6939431"</f>
        <v>6939431</v>
      </c>
      <c r="B28344" t="s">
        <v>6187</v>
      </c>
      <c r="C28344" t="s">
        <v>275</v>
      </c>
      <c r="D28344" s="21" t="s">
        <v>34</v>
      </c>
      <c r="E28344" s="21" t="s">
        <v>71</v>
      </c>
      <c r="F28344">
        <v>1690160</v>
      </c>
      <c r="G28344" t="s">
        <v>4599</v>
      </c>
      <c r="H28344" s="21">
        <v>582.29</v>
      </c>
    </row>
    <row r="28345" spans="1:8" customFormat="1" x14ac:dyDescent="0.25">
      <c r="A28345" t="str">
        <f>"9447859"</f>
        <v>9447859</v>
      </c>
      <c r="B28345" t="s">
        <v>20431</v>
      </c>
      <c r="C28345" t="s">
        <v>498</v>
      </c>
      <c r="D28345" s="21" t="s">
        <v>34</v>
      </c>
      <c r="E28345" s="21" t="s">
        <v>71</v>
      </c>
      <c r="F28345">
        <v>8941461</v>
      </c>
      <c r="G28345" t="s">
        <v>10447</v>
      </c>
      <c r="H28345" s="21">
        <v>582.16999999999996</v>
      </c>
    </row>
    <row r="28346" spans="1:8" customFormat="1" x14ac:dyDescent="0.25">
      <c r="A28346" t="str">
        <f>"575591"</f>
        <v>575591</v>
      </c>
      <c r="B28346" t="s">
        <v>12669</v>
      </c>
      <c r="C28346" t="s">
        <v>3784</v>
      </c>
      <c r="D28346" s="21" t="s">
        <v>34</v>
      </c>
      <c r="E28346" s="21" t="s">
        <v>1089</v>
      </c>
      <c r="F28346">
        <v>6570132</v>
      </c>
      <c r="G28346" t="s">
        <v>26746</v>
      </c>
      <c r="H28346" s="21">
        <v>582.16999999999996</v>
      </c>
    </row>
    <row r="28347" spans="1:8" customFormat="1" x14ac:dyDescent="0.25">
      <c r="A28347" t="str">
        <f>"6214962"</f>
        <v>6214962</v>
      </c>
      <c r="B28347" t="s">
        <v>20810</v>
      </c>
      <c r="C28347" t="s">
        <v>4623</v>
      </c>
      <c r="D28347" s="21" t="s">
        <v>34</v>
      </c>
      <c r="E28347" s="21" t="s">
        <v>35</v>
      </c>
      <c r="F28347">
        <v>7620062</v>
      </c>
      <c r="G28347" t="s">
        <v>12602</v>
      </c>
      <c r="H28347" s="21">
        <v>582.16999999999996</v>
      </c>
    </row>
    <row r="28348" spans="1:8" customFormat="1" x14ac:dyDescent="0.25">
      <c r="A28348" t="str">
        <f>"6022087"</f>
        <v>6022087</v>
      </c>
      <c r="B28348" t="s">
        <v>9365</v>
      </c>
      <c r="C28348" t="s">
        <v>812</v>
      </c>
      <c r="D28348" s="21" t="s">
        <v>34</v>
      </c>
      <c r="E28348" s="21" t="s">
        <v>71</v>
      </c>
      <c r="F28348">
        <v>7600170</v>
      </c>
      <c r="G28348" t="s">
        <v>16044</v>
      </c>
      <c r="H28348" s="21">
        <v>582.16999999999996</v>
      </c>
    </row>
    <row r="28349" spans="1:8" customFormat="1" x14ac:dyDescent="0.25">
      <c r="A28349" t="str">
        <f>"5622226"</f>
        <v>5622226</v>
      </c>
      <c r="B28349" t="s">
        <v>7838</v>
      </c>
      <c r="C28349" t="s">
        <v>209</v>
      </c>
      <c r="D28349" s="21" t="s">
        <v>34</v>
      </c>
      <c r="E28349" s="21" t="s">
        <v>254</v>
      </c>
      <c r="F28349">
        <v>3560020</v>
      </c>
      <c r="G28349" t="s">
        <v>426</v>
      </c>
      <c r="H28349" s="21">
        <v>582.16999999999996</v>
      </c>
    </row>
    <row r="28350" spans="1:8" customFormat="1" x14ac:dyDescent="0.25">
      <c r="A28350" t="str">
        <f>"7922489"</f>
        <v>7922489</v>
      </c>
      <c r="B28350" t="s">
        <v>12444</v>
      </c>
      <c r="C28350" t="s">
        <v>239</v>
      </c>
      <c r="D28350" s="21" t="s">
        <v>34</v>
      </c>
      <c r="E28350" s="21" t="s">
        <v>35</v>
      </c>
      <c r="F28350">
        <v>10790003</v>
      </c>
      <c r="G28350" t="s">
        <v>10465</v>
      </c>
      <c r="H28350" s="21">
        <v>582.16999999999996</v>
      </c>
    </row>
    <row r="28351" spans="1:8" customFormat="1" x14ac:dyDescent="0.25">
      <c r="A28351" t="str">
        <f>"5114122"</f>
        <v>5114122</v>
      </c>
      <c r="B28351" t="s">
        <v>9529</v>
      </c>
      <c r="C28351" t="s">
        <v>239</v>
      </c>
      <c r="D28351" s="21" t="s">
        <v>34</v>
      </c>
      <c r="E28351" s="21" t="s">
        <v>254</v>
      </c>
      <c r="F28351">
        <v>6510112</v>
      </c>
      <c r="G28351" t="s">
        <v>588</v>
      </c>
      <c r="H28351" s="21">
        <v>582.16999999999996</v>
      </c>
    </row>
    <row r="28352" spans="1:8" customFormat="1" x14ac:dyDescent="0.25">
      <c r="A28352" t="str">
        <f>"7113682"</f>
        <v>7113682</v>
      </c>
      <c r="B28352" t="s">
        <v>21154</v>
      </c>
      <c r="C28352" t="s">
        <v>269</v>
      </c>
      <c r="D28352" s="21" t="s">
        <v>34</v>
      </c>
      <c r="E28352" s="21" t="s">
        <v>71</v>
      </c>
      <c r="F28352">
        <v>2710083</v>
      </c>
      <c r="G28352" t="s">
        <v>17590</v>
      </c>
      <c r="H28352" s="21">
        <v>582.16999999999996</v>
      </c>
    </row>
    <row r="28353" spans="1:8" customFormat="1" x14ac:dyDescent="0.25">
      <c r="A28353" t="str">
        <f>"2216118"</f>
        <v>2216118</v>
      </c>
      <c r="B28353" t="s">
        <v>8687</v>
      </c>
      <c r="C28353" t="s">
        <v>513</v>
      </c>
      <c r="D28353" s="21" t="s">
        <v>34</v>
      </c>
      <c r="E28353" s="21" t="s">
        <v>35</v>
      </c>
      <c r="F28353">
        <v>3220048</v>
      </c>
      <c r="G28353" t="s">
        <v>26532</v>
      </c>
      <c r="H28353" s="21">
        <v>582.16999999999996</v>
      </c>
    </row>
    <row r="28354" spans="1:8" customFormat="1" x14ac:dyDescent="0.25">
      <c r="A28354" t="str">
        <f>"4524075"</f>
        <v>4524075</v>
      </c>
      <c r="B28354" t="s">
        <v>19770</v>
      </c>
      <c r="C28354" t="s">
        <v>33</v>
      </c>
      <c r="D28354" s="21" t="s">
        <v>34</v>
      </c>
      <c r="E28354" s="21" t="s">
        <v>71</v>
      </c>
      <c r="F28354">
        <v>1690215</v>
      </c>
      <c r="G28354" t="s">
        <v>1080</v>
      </c>
      <c r="H28354" s="21">
        <v>582.16999999999996</v>
      </c>
    </row>
    <row r="28355" spans="1:8" customFormat="1" x14ac:dyDescent="0.25">
      <c r="A28355" t="str">
        <f>"5948393"</f>
        <v>5948393</v>
      </c>
      <c r="B28355" t="s">
        <v>2625</v>
      </c>
      <c r="C28355" t="s">
        <v>55</v>
      </c>
      <c r="D28355" s="21" t="s">
        <v>34</v>
      </c>
      <c r="E28355" s="21" t="s">
        <v>71</v>
      </c>
      <c r="F28355">
        <v>7590393</v>
      </c>
      <c r="G28355" t="s">
        <v>7754</v>
      </c>
      <c r="H28355" s="21">
        <v>582.16999999999996</v>
      </c>
    </row>
    <row r="28356" spans="1:8" customFormat="1" x14ac:dyDescent="0.25">
      <c r="A28356" t="str">
        <f>"246988"</f>
        <v>246988</v>
      </c>
      <c r="B28356" t="s">
        <v>19625</v>
      </c>
      <c r="C28356" t="s">
        <v>236</v>
      </c>
      <c r="D28356" s="21" t="s">
        <v>34</v>
      </c>
      <c r="E28356" s="21" t="s">
        <v>35</v>
      </c>
      <c r="F28356">
        <v>10240020</v>
      </c>
      <c r="G28356" t="s">
        <v>870</v>
      </c>
      <c r="H28356" s="21">
        <v>582.16999999999996</v>
      </c>
    </row>
    <row r="28357" spans="1:8" customFormat="1" x14ac:dyDescent="0.25">
      <c r="A28357" t="str">
        <f>"5432066"</f>
        <v>5432066</v>
      </c>
      <c r="B28357" t="s">
        <v>20624</v>
      </c>
      <c r="C28357" t="s">
        <v>65</v>
      </c>
      <c r="D28357" s="21" t="s">
        <v>34</v>
      </c>
      <c r="E28357" s="21" t="s">
        <v>35</v>
      </c>
      <c r="F28357">
        <v>6540014</v>
      </c>
      <c r="G28357" t="s">
        <v>1483</v>
      </c>
      <c r="H28357" s="21">
        <v>582.16999999999996</v>
      </c>
    </row>
    <row r="28358" spans="1:8" customFormat="1" x14ac:dyDescent="0.25">
      <c r="A28358" t="str">
        <f>"6017395"</f>
        <v>6017395</v>
      </c>
      <c r="B28358" t="s">
        <v>10227</v>
      </c>
      <c r="C28358" t="s">
        <v>1231</v>
      </c>
      <c r="D28358" s="21" t="s">
        <v>34</v>
      </c>
      <c r="E28358" s="21" t="s">
        <v>254</v>
      </c>
      <c r="F28358">
        <v>7600031</v>
      </c>
      <c r="G28358" t="s">
        <v>3283</v>
      </c>
      <c r="H28358" s="21">
        <v>582.16999999999996</v>
      </c>
    </row>
    <row r="28359" spans="1:8" customFormat="1" x14ac:dyDescent="0.25">
      <c r="A28359" t="str">
        <f>"7637837"</f>
        <v>7637837</v>
      </c>
      <c r="B28359" t="s">
        <v>946</v>
      </c>
      <c r="C28359" t="s">
        <v>1146</v>
      </c>
      <c r="D28359" s="21" t="s">
        <v>34</v>
      </c>
      <c r="E28359" s="21" t="s">
        <v>35</v>
      </c>
      <c r="F28359">
        <v>9760270</v>
      </c>
      <c r="G28359" t="s">
        <v>4167</v>
      </c>
      <c r="H28359" s="21">
        <v>582.16999999999996</v>
      </c>
    </row>
    <row r="28360" spans="1:8" customFormat="1" x14ac:dyDescent="0.25">
      <c r="A28360" t="str">
        <f>"6023062"</f>
        <v>6023062</v>
      </c>
      <c r="B28360" t="s">
        <v>19918</v>
      </c>
      <c r="C28360" t="s">
        <v>3048</v>
      </c>
      <c r="D28360" s="21" t="s">
        <v>34</v>
      </c>
      <c r="E28360" s="21" t="s">
        <v>35</v>
      </c>
      <c r="F28360">
        <v>7600004</v>
      </c>
      <c r="G28360" t="s">
        <v>848</v>
      </c>
      <c r="H28360" s="21">
        <v>582.16999999999996</v>
      </c>
    </row>
    <row r="28361" spans="1:8" customFormat="1" x14ac:dyDescent="0.25">
      <c r="A28361" t="str">
        <f>"3343234"</f>
        <v>3343234</v>
      </c>
      <c r="B28361" t="s">
        <v>22985</v>
      </c>
      <c r="C28361" t="s">
        <v>576</v>
      </c>
      <c r="D28361" s="21" t="s">
        <v>34</v>
      </c>
      <c r="E28361" s="21" t="s">
        <v>35</v>
      </c>
      <c r="F28361">
        <v>10330025</v>
      </c>
      <c r="G28361" t="s">
        <v>4450</v>
      </c>
      <c r="H28361" s="21">
        <v>582.16999999999996</v>
      </c>
    </row>
    <row r="28362" spans="1:8" customFormat="1" x14ac:dyDescent="0.25">
      <c r="A28362" t="str">
        <f>"8810526"</f>
        <v>8810526</v>
      </c>
      <c r="B28362" t="s">
        <v>11476</v>
      </c>
      <c r="C28362" t="s">
        <v>598</v>
      </c>
      <c r="D28362" s="21" t="s">
        <v>34</v>
      </c>
      <c r="E28362" s="21" t="s">
        <v>71</v>
      </c>
      <c r="F28362">
        <v>6880143</v>
      </c>
      <c r="G28362" t="s">
        <v>8078</v>
      </c>
      <c r="H28362" s="21">
        <v>582.04</v>
      </c>
    </row>
    <row r="28363" spans="1:8" customFormat="1" x14ac:dyDescent="0.25">
      <c r="A28363" t="str">
        <f>"6929399"</f>
        <v>6929399</v>
      </c>
      <c r="B28363" t="s">
        <v>5092</v>
      </c>
      <c r="C28363" t="s">
        <v>253</v>
      </c>
      <c r="D28363" s="21" t="s">
        <v>34</v>
      </c>
      <c r="E28363" s="21" t="s">
        <v>71</v>
      </c>
      <c r="F28363">
        <v>1420308</v>
      </c>
      <c r="G28363" t="s">
        <v>14514</v>
      </c>
      <c r="H28363" s="21">
        <v>582</v>
      </c>
    </row>
    <row r="28364" spans="1:8" customFormat="1" x14ac:dyDescent="0.25">
      <c r="A28364" t="str">
        <f>"5615409"</f>
        <v>5615409</v>
      </c>
      <c r="B28364" t="s">
        <v>20345</v>
      </c>
      <c r="C28364" t="s">
        <v>1914</v>
      </c>
      <c r="D28364" s="21" t="s">
        <v>34</v>
      </c>
      <c r="E28364" s="21" t="s">
        <v>35</v>
      </c>
      <c r="F28364">
        <v>3560050</v>
      </c>
      <c r="G28364" t="s">
        <v>5322</v>
      </c>
      <c r="H28364" s="21">
        <v>581.91999999999996</v>
      </c>
    </row>
    <row r="28365" spans="1:8" customFormat="1" x14ac:dyDescent="0.25">
      <c r="A28365" t="str">
        <f>"429919"</f>
        <v>429919</v>
      </c>
      <c r="B28365" t="s">
        <v>13027</v>
      </c>
      <c r="C28365" t="s">
        <v>267</v>
      </c>
      <c r="D28365" s="21" t="s">
        <v>34</v>
      </c>
      <c r="E28365" s="21" t="s">
        <v>1089</v>
      </c>
      <c r="F28365">
        <v>1420006</v>
      </c>
      <c r="G28365" t="s">
        <v>6019</v>
      </c>
      <c r="H28365" s="21">
        <v>581.79</v>
      </c>
    </row>
    <row r="28366" spans="1:8" customFormat="1" x14ac:dyDescent="0.25">
      <c r="A28366" t="str">
        <f>"7641676"</f>
        <v>7641676</v>
      </c>
      <c r="B28366" t="s">
        <v>28052</v>
      </c>
      <c r="C28366" t="s">
        <v>127</v>
      </c>
      <c r="D28366" s="21" t="s">
        <v>34</v>
      </c>
      <c r="E28366" s="21" t="s">
        <v>35</v>
      </c>
      <c r="F28366">
        <v>9760320</v>
      </c>
      <c r="G28366" t="s">
        <v>4917</v>
      </c>
      <c r="H28366" s="21">
        <v>581.66999999999996</v>
      </c>
    </row>
    <row r="28367" spans="1:8" customFormat="1" x14ac:dyDescent="0.25">
      <c r="A28367" t="str">
        <f>"8018196"</f>
        <v>8018196</v>
      </c>
      <c r="B28367" t="s">
        <v>5638</v>
      </c>
      <c r="C28367" t="s">
        <v>285</v>
      </c>
      <c r="D28367" s="21" t="s">
        <v>34</v>
      </c>
      <c r="E28367" s="21" t="s">
        <v>35</v>
      </c>
      <c r="F28367">
        <v>7800141</v>
      </c>
      <c r="G28367" t="s">
        <v>9939</v>
      </c>
      <c r="H28367" s="21">
        <v>581.66999999999996</v>
      </c>
    </row>
    <row r="28368" spans="1:8" customFormat="1" x14ac:dyDescent="0.25">
      <c r="A28368" t="str">
        <f>"8811272"</f>
        <v>8811272</v>
      </c>
      <c r="B28368" t="s">
        <v>20175</v>
      </c>
      <c r="C28368" t="s">
        <v>462</v>
      </c>
      <c r="D28368" s="21" t="s">
        <v>34</v>
      </c>
      <c r="E28368" s="21" t="s">
        <v>71</v>
      </c>
      <c r="F28368">
        <v>6880064</v>
      </c>
      <c r="G28368" t="s">
        <v>7090</v>
      </c>
      <c r="H28368" s="21">
        <v>581.66999999999996</v>
      </c>
    </row>
    <row r="28369" spans="1:8" customFormat="1" x14ac:dyDescent="0.25">
      <c r="A28369" t="str">
        <f>"5428734"</f>
        <v>5428734</v>
      </c>
      <c r="B28369" t="s">
        <v>3947</v>
      </c>
      <c r="C28369" t="s">
        <v>43</v>
      </c>
      <c r="D28369" s="21" t="s">
        <v>34</v>
      </c>
      <c r="E28369" s="21" t="s">
        <v>35</v>
      </c>
      <c r="F28369">
        <v>6540007</v>
      </c>
      <c r="G28369" t="s">
        <v>10264</v>
      </c>
      <c r="H28369" s="21">
        <v>581.66999999999996</v>
      </c>
    </row>
    <row r="28370" spans="1:8" customFormat="1" x14ac:dyDescent="0.25">
      <c r="A28370" t="str">
        <f>"267142"</f>
        <v>267142</v>
      </c>
      <c r="B28370" t="s">
        <v>20089</v>
      </c>
      <c r="C28370" t="s">
        <v>2479</v>
      </c>
      <c r="D28370" s="21" t="s">
        <v>34</v>
      </c>
      <c r="E28370" s="21" t="s">
        <v>254</v>
      </c>
      <c r="F28370">
        <v>1260001</v>
      </c>
      <c r="G28370" t="s">
        <v>16056</v>
      </c>
      <c r="H28370" s="21">
        <v>581.66999999999996</v>
      </c>
    </row>
    <row r="28371" spans="1:8" customFormat="1" x14ac:dyDescent="0.25">
      <c r="A28371" t="str">
        <f>"5940020"</f>
        <v>5940020</v>
      </c>
      <c r="B28371" t="s">
        <v>20361</v>
      </c>
      <c r="C28371" t="s">
        <v>3010</v>
      </c>
      <c r="D28371" s="21" t="s">
        <v>34</v>
      </c>
      <c r="E28371" s="21" t="s">
        <v>254</v>
      </c>
      <c r="F28371">
        <v>10240002</v>
      </c>
      <c r="G28371" t="s">
        <v>2935</v>
      </c>
      <c r="H28371" s="21">
        <v>581.66999999999996</v>
      </c>
    </row>
    <row r="28372" spans="1:8" customFormat="1" x14ac:dyDescent="0.25">
      <c r="A28372" t="str">
        <f>"8312175"</f>
        <v>8312175</v>
      </c>
      <c r="B28372" t="s">
        <v>2824</v>
      </c>
      <c r="C28372" t="s">
        <v>55</v>
      </c>
      <c r="D28372" s="21" t="s">
        <v>34</v>
      </c>
      <c r="E28372" s="21" t="s">
        <v>35</v>
      </c>
      <c r="F28372">
        <v>13830051</v>
      </c>
      <c r="G28372" t="s">
        <v>2031</v>
      </c>
      <c r="H28372" s="21">
        <v>581.66999999999996</v>
      </c>
    </row>
    <row r="28373" spans="1:8" customFormat="1" x14ac:dyDescent="0.25">
      <c r="A28373" t="str">
        <f>"5112583"</f>
        <v>5112583</v>
      </c>
      <c r="B28373" t="s">
        <v>20893</v>
      </c>
      <c r="C28373" t="s">
        <v>60</v>
      </c>
      <c r="D28373" s="21" t="s">
        <v>34</v>
      </c>
      <c r="E28373" s="21" t="s">
        <v>35</v>
      </c>
      <c r="F28373">
        <v>6510062</v>
      </c>
      <c r="G28373" t="s">
        <v>9059</v>
      </c>
      <c r="H28373" s="21">
        <v>581.66999999999996</v>
      </c>
    </row>
    <row r="28374" spans="1:8" customFormat="1" x14ac:dyDescent="0.25">
      <c r="A28374" t="str">
        <f>"6714819"</f>
        <v>6714819</v>
      </c>
      <c r="B28374" t="s">
        <v>19801</v>
      </c>
      <c r="C28374" t="s">
        <v>1025</v>
      </c>
      <c r="D28374" s="21" t="s">
        <v>34</v>
      </c>
      <c r="E28374" s="21" t="s">
        <v>1089</v>
      </c>
      <c r="F28374">
        <v>6670233</v>
      </c>
      <c r="G28374" t="s">
        <v>13421</v>
      </c>
      <c r="H28374" s="21">
        <v>581.66999999999996</v>
      </c>
    </row>
    <row r="28375" spans="1:8" customFormat="1" x14ac:dyDescent="0.25">
      <c r="A28375" t="str">
        <f>"2931428"</f>
        <v>2931428</v>
      </c>
      <c r="B28375" t="s">
        <v>727</v>
      </c>
      <c r="C28375" t="s">
        <v>2907</v>
      </c>
      <c r="D28375" s="21" t="s">
        <v>34</v>
      </c>
      <c r="E28375" s="21" t="s">
        <v>71</v>
      </c>
      <c r="F28375">
        <v>3290268</v>
      </c>
      <c r="G28375" t="s">
        <v>9878</v>
      </c>
      <c r="H28375" s="21">
        <v>581.66999999999996</v>
      </c>
    </row>
    <row r="28376" spans="1:8" customFormat="1" x14ac:dyDescent="0.25">
      <c r="A28376" t="str">
        <f>"5933258"</f>
        <v>5933258</v>
      </c>
      <c r="B28376" t="s">
        <v>19734</v>
      </c>
      <c r="C28376" t="s">
        <v>1812</v>
      </c>
      <c r="D28376" s="21" t="s">
        <v>34</v>
      </c>
      <c r="E28376" s="21" t="s">
        <v>71</v>
      </c>
      <c r="F28376">
        <v>7590034</v>
      </c>
      <c r="G28376" t="s">
        <v>17085</v>
      </c>
      <c r="H28376" s="21">
        <v>581.66999999999996</v>
      </c>
    </row>
    <row r="28377" spans="1:8" customFormat="1" x14ac:dyDescent="0.25">
      <c r="A28377" t="str">
        <f>"758693"</f>
        <v>758693</v>
      </c>
      <c r="B28377" t="s">
        <v>19831</v>
      </c>
      <c r="C28377" t="s">
        <v>576</v>
      </c>
      <c r="D28377" s="21" t="s">
        <v>34</v>
      </c>
      <c r="E28377" s="21" t="s">
        <v>35</v>
      </c>
      <c r="F28377">
        <v>8751124</v>
      </c>
      <c r="G28377" t="s">
        <v>1481</v>
      </c>
      <c r="H28377" s="21">
        <v>581.66999999999996</v>
      </c>
    </row>
    <row r="28378" spans="1:8" customFormat="1" x14ac:dyDescent="0.25">
      <c r="A28378" t="str">
        <f>"939689"</f>
        <v>939689</v>
      </c>
      <c r="B28378" t="s">
        <v>10118</v>
      </c>
      <c r="C28378" t="s">
        <v>124</v>
      </c>
      <c r="D28378" s="21" t="s">
        <v>34</v>
      </c>
      <c r="E28378" s="21" t="s">
        <v>71</v>
      </c>
      <c r="F28378">
        <v>8930024</v>
      </c>
      <c r="G28378" t="s">
        <v>44</v>
      </c>
      <c r="H28378" s="21">
        <v>581.66999999999996</v>
      </c>
    </row>
    <row r="28379" spans="1:8" customFormat="1" x14ac:dyDescent="0.25">
      <c r="A28379" t="str">
        <f>"79906"</f>
        <v>79906</v>
      </c>
      <c r="B28379" t="s">
        <v>1833</v>
      </c>
      <c r="C28379" t="s">
        <v>55</v>
      </c>
      <c r="D28379" s="21" t="s">
        <v>34</v>
      </c>
      <c r="E28379" s="21" t="s">
        <v>71</v>
      </c>
      <c r="F28379">
        <v>10790009</v>
      </c>
      <c r="G28379" t="s">
        <v>1155</v>
      </c>
      <c r="H28379" s="21">
        <v>581.66999999999996</v>
      </c>
    </row>
    <row r="28380" spans="1:8" customFormat="1" x14ac:dyDescent="0.25">
      <c r="A28380" t="str">
        <f>"7828480"</f>
        <v>7828480</v>
      </c>
      <c r="B28380" t="s">
        <v>20836</v>
      </c>
      <c r="C28380" t="s">
        <v>926</v>
      </c>
      <c r="D28380" s="21" t="s">
        <v>34</v>
      </c>
      <c r="E28380" s="21" t="s">
        <v>254</v>
      </c>
      <c r="F28380">
        <v>13040015</v>
      </c>
      <c r="G28380" t="s">
        <v>7151</v>
      </c>
      <c r="H28380" s="21">
        <v>581.66999999999996</v>
      </c>
    </row>
    <row r="28381" spans="1:8" customFormat="1" x14ac:dyDescent="0.25">
      <c r="A28381" t="str">
        <f>"7816189"</f>
        <v>7816189</v>
      </c>
      <c r="B28381" t="s">
        <v>28053</v>
      </c>
      <c r="C28381" t="s">
        <v>415</v>
      </c>
      <c r="D28381" s="21" t="s">
        <v>34</v>
      </c>
      <c r="E28381" s="21" t="s">
        <v>254</v>
      </c>
      <c r="F28381">
        <v>8781267</v>
      </c>
      <c r="G28381" t="s">
        <v>13791</v>
      </c>
      <c r="H28381" s="21">
        <v>581.66999999999996</v>
      </c>
    </row>
    <row r="28382" spans="1:8" customFormat="1" x14ac:dyDescent="0.25">
      <c r="A28382" t="str">
        <f>"4215572"</f>
        <v>4215572</v>
      </c>
      <c r="B28382" t="s">
        <v>1048</v>
      </c>
      <c r="C28382" t="s">
        <v>1665</v>
      </c>
      <c r="D28382" s="21" t="s">
        <v>34</v>
      </c>
      <c r="E28382" s="21" t="s">
        <v>254</v>
      </c>
      <c r="F28382">
        <v>1420138</v>
      </c>
      <c r="G28382" t="s">
        <v>27002</v>
      </c>
      <c r="H28382" s="21">
        <v>581.66999999999996</v>
      </c>
    </row>
    <row r="28383" spans="1:8" customFormat="1" x14ac:dyDescent="0.25">
      <c r="A28383" t="str">
        <f>"2918508"</f>
        <v>2918508</v>
      </c>
      <c r="B28383" t="s">
        <v>21109</v>
      </c>
      <c r="C28383" t="s">
        <v>336</v>
      </c>
      <c r="D28383" s="21" t="s">
        <v>34</v>
      </c>
      <c r="E28383" s="21" t="s">
        <v>35</v>
      </c>
      <c r="F28383">
        <v>3290235</v>
      </c>
      <c r="G28383" t="s">
        <v>12128</v>
      </c>
      <c r="H28383" s="21">
        <v>581.66999999999996</v>
      </c>
    </row>
    <row r="28384" spans="1:8" customFormat="1" x14ac:dyDescent="0.25">
      <c r="A28384" t="str">
        <f>"7871944"</f>
        <v>7871944</v>
      </c>
      <c r="B28384" t="s">
        <v>20571</v>
      </c>
      <c r="C28384" t="s">
        <v>249</v>
      </c>
      <c r="D28384" s="21" t="s">
        <v>34</v>
      </c>
      <c r="E28384" s="21" t="s">
        <v>254</v>
      </c>
      <c r="F28384">
        <v>8780886</v>
      </c>
      <c r="G28384" t="s">
        <v>3161</v>
      </c>
      <c r="H28384" s="21">
        <v>581.54</v>
      </c>
    </row>
    <row r="28385" spans="1:8" customFormat="1" x14ac:dyDescent="0.25">
      <c r="A28385" t="str">
        <f>"4113449"</f>
        <v>4113449</v>
      </c>
      <c r="B28385" t="s">
        <v>28054</v>
      </c>
      <c r="C28385" t="s">
        <v>96</v>
      </c>
      <c r="D28385" s="21" t="s">
        <v>34</v>
      </c>
      <c r="E28385" s="21" t="s">
        <v>35</v>
      </c>
      <c r="F28385">
        <v>4410080</v>
      </c>
      <c r="G28385" t="s">
        <v>135</v>
      </c>
      <c r="H28385" s="21">
        <v>581.5</v>
      </c>
    </row>
    <row r="28386" spans="1:8" customFormat="1" x14ac:dyDescent="0.25">
      <c r="A28386" t="str">
        <f>"6925743"</f>
        <v>6925743</v>
      </c>
      <c r="B28386" t="s">
        <v>7114</v>
      </c>
      <c r="C28386" t="s">
        <v>1146</v>
      </c>
      <c r="D28386" s="21" t="s">
        <v>34</v>
      </c>
      <c r="E28386" s="21" t="s">
        <v>71</v>
      </c>
      <c r="F28386">
        <v>1690162</v>
      </c>
      <c r="G28386" t="s">
        <v>7358</v>
      </c>
      <c r="H28386" s="21">
        <v>581.41999999999996</v>
      </c>
    </row>
    <row r="28387" spans="1:8" customFormat="1" x14ac:dyDescent="0.25">
      <c r="A28387" t="str">
        <f>"5323651"</f>
        <v>5323651</v>
      </c>
      <c r="B28387" t="s">
        <v>19914</v>
      </c>
      <c r="C28387" t="s">
        <v>62</v>
      </c>
      <c r="D28387" s="21" t="s">
        <v>34</v>
      </c>
      <c r="E28387" s="21" t="s">
        <v>35</v>
      </c>
      <c r="F28387">
        <v>12530003</v>
      </c>
      <c r="G28387" t="s">
        <v>8260</v>
      </c>
      <c r="H28387" s="21">
        <v>581.41999999999996</v>
      </c>
    </row>
    <row r="28388" spans="1:8" customFormat="1" x14ac:dyDescent="0.25">
      <c r="A28388" t="str">
        <f>"5733545"</f>
        <v>5733545</v>
      </c>
      <c r="B28388" t="s">
        <v>7937</v>
      </c>
      <c r="C28388" t="s">
        <v>14778</v>
      </c>
      <c r="D28388" s="21" t="s">
        <v>34</v>
      </c>
      <c r="E28388" s="21" t="s">
        <v>35</v>
      </c>
      <c r="F28388">
        <v>6570140</v>
      </c>
      <c r="G28388" t="s">
        <v>813</v>
      </c>
      <c r="H28388" s="21">
        <v>581.41999999999996</v>
      </c>
    </row>
    <row r="28389" spans="1:8" customFormat="1" x14ac:dyDescent="0.25">
      <c r="A28389" t="str">
        <f>"5019377"</f>
        <v>5019377</v>
      </c>
      <c r="B28389" t="s">
        <v>5913</v>
      </c>
      <c r="C28389" t="s">
        <v>415</v>
      </c>
      <c r="D28389" s="21" t="s">
        <v>34</v>
      </c>
      <c r="E28389" s="21" t="s">
        <v>35</v>
      </c>
      <c r="F28389">
        <v>9500093</v>
      </c>
      <c r="G28389" t="s">
        <v>1808</v>
      </c>
      <c r="H28389" s="21">
        <v>581.16999999999996</v>
      </c>
    </row>
    <row r="28390" spans="1:8" customFormat="1" x14ac:dyDescent="0.25">
      <c r="A28390" t="str">
        <f>"8524568"</f>
        <v>8524568</v>
      </c>
      <c r="B28390" t="s">
        <v>10598</v>
      </c>
      <c r="C28390" t="s">
        <v>305</v>
      </c>
      <c r="D28390" s="21" t="s">
        <v>34</v>
      </c>
      <c r="E28390" s="21" t="s">
        <v>35</v>
      </c>
      <c r="F28390">
        <v>12851016</v>
      </c>
      <c r="G28390" t="s">
        <v>1862</v>
      </c>
      <c r="H28390" s="21">
        <v>581.16999999999996</v>
      </c>
    </row>
    <row r="28391" spans="1:8" customFormat="1" x14ac:dyDescent="0.25">
      <c r="A28391" t="str">
        <f>"761048"</f>
        <v>761048</v>
      </c>
      <c r="B28391" t="s">
        <v>19915</v>
      </c>
      <c r="C28391" t="s">
        <v>4842</v>
      </c>
      <c r="D28391" s="21" t="s">
        <v>34</v>
      </c>
      <c r="E28391" s="21" t="s">
        <v>1089</v>
      </c>
      <c r="F28391">
        <v>9760107</v>
      </c>
      <c r="G28391" t="s">
        <v>122</v>
      </c>
      <c r="H28391" s="21">
        <v>581.16999999999996</v>
      </c>
    </row>
    <row r="28392" spans="1:8" customFormat="1" x14ac:dyDescent="0.25">
      <c r="A28392" t="str">
        <f>"4937227"</f>
        <v>4937227</v>
      </c>
      <c r="B28392" t="s">
        <v>21294</v>
      </c>
      <c r="C28392" t="s">
        <v>37</v>
      </c>
      <c r="D28392" s="21" t="s">
        <v>34</v>
      </c>
      <c r="E28392" s="21" t="s">
        <v>35</v>
      </c>
      <c r="F28392">
        <v>12490055</v>
      </c>
      <c r="G28392" t="s">
        <v>12099</v>
      </c>
      <c r="H28392" s="21">
        <v>581.16999999999996</v>
      </c>
    </row>
    <row r="28393" spans="1:8" customFormat="1" x14ac:dyDescent="0.25">
      <c r="A28393" t="str">
        <f>"3728130"</f>
        <v>3728130</v>
      </c>
      <c r="B28393" t="s">
        <v>20740</v>
      </c>
      <c r="C28393" t="s">
        <v>249</v>
      </c>
      <c r="D28393" s="21" t="s">
        <v>34</v>
      </c>
      <c r="E28393" s="21" t="s">
        <v>35</v>
      </c>
      <c r="F28393">
        <v>4370615</v>
      </c>
      <c r="G28393" t="s">
        <v>7437</v>
      </c>
      <c r="H28393" s="21">
        <v>581.16999999999996</v>
      </c>
    </row>
    <row r="28394" spans="1:8" customFormat="1" x14ac:dyDescent="0.25">
      <c r="A28394" t="str">
        <f>"619504"</f>
        <v>619504</v>
      </c>
      <c r="B28394" t="s">
        <v>16616</v>
      </c>
      <c r="C28394" t="s">
        <v>139</v>
      </c>
      <c r="D28394" s="21" t="s">
        <v>34</v>
      </c>
      <c r="E28394" s="21" t="s">
        <v>35</v>
      </c>
      <c r="F28394">
        <v>9610106</v>
      </c>
      <c r="G28394" t="s">
        <v>12520</v>
      </c>
      <c r="H28394" s="21">
        <v>581.16999999999996</v>
      </c>
    </row>
    <row r="28395" spans="1:8" customFormat="1" x14ac:dyDescent="0.25">
      <c r="A28395" t="str">
        <f>"748779"</f>
        <v>748779</v>
      </c>
      <c r="B28395" t="s">
        <v>7838</v>
      </c>
      <c r="C28395" t="s">
        <v>209</v>
      </c>
      <c r="D28395" s="21" t="s">
        <v>34</v>
      </c>
      <c r="E28395" s="21" t="s">
        <v>71</v>
      </c>
      <c r="F28395">
        <v>1740060</v>
      </c>
      <c r="G28395" t="s">
        <v>4907</v>
      </c>
      <c r="H28395" s="21">
        <v>581.16999999999996</v>
      </c>
    </row>
    <row r="28396" spans="1:8" customFormat="1" x14ac:dyDescent="0.25">
      <c r="A28396" t="str">
        <f>"8817589"</f>
        <v>8817589</v>
      </c>
      <c r="B28396" t="s">
        <v>20766</v>
      </c>
      <c r="C28396" t="s">
        <v>33</v>
      </c>
      <c r="D28396" s="21" t="s">
        <v>34</v>
      </c>
      <c r="E28396" s="21" t="s">
        <v>71</v>
      </c>
      <c r="F28396">
        <v>6880021</v>
      </c>
      <c r="G28396" t="s">
        <v>15780</v>
      </c>
      <c r="H28396" s="21">
        <v>581.16999999999996</v>
      </c>
    </row>
    <row r="28397" spans="1:8" customFormat="1" x14ac:dyDescent="0.25">
      <c r="A28397" t="str">
        <f>"1611606"</f>
        <v>1611606</v>
      </c>
      <c r="B28397" t="s">
        <v>20869</v>
      </c>
      <c r="C28397" t="s">
        <v>65</v>
      </c>
      <c r="D28397" s="21" t="s">
        <v>34</v>
      </c>
      <c r="E28397" s="21" t="s">
        <v>71</v>
      </c>
      <c r="F28397">
        <v>10160029</v>
      </c>
      <c r="G28397" t="s">
        <v>896</v>
      </c>
      <c r="H28397" s="21">
        <v>581.16999999999996</v>
      </c>
    </row>
    <row r="28398" spans="1:8" customFormat="1" x14ac:dyDescent="0.25">
      <c r="A28398" t="str">
        <f>"4528753"</f>
        <v>4528753</v>
      </c>
      <c r="B28398" t="s">
        <v>20904</v>
      </c>
      <c r="C28398" t="s">
        <v>484</v>
      </c>
      <c r="D28398" s="21" t="s">
        <v>34</v>
      </c>
      <c r="E28398" s="21" t="s">
        <v>35</v>
      </c>
      <c r="F28398">
        <v>4450144</v>
      </c>
      <c r="G28398" t="s">
        <v>6941</v>
      </c>
      <c r="H28398" s="21">
        <v>581.16999999999996</v>
      </c>
    </row>
    <row r="28399" spans="1:8" customFormat="1" x14ac:dyDescent="0.25">
      <c r="A28399" t="str">
        <f>"0613999"</f>
        <v>0613999</v>
      </c>
      <c r="B28399" t="s">
        <v>1932</v>
      </c>
      <c r="C28399" t="s">
        <v>305</v>
      </c>
      <c r="D28399" s="21" t="s">
        <v>34</v>
      </c>
      <c r="E28399" s="21" t="s">
        <v>35</v>
      </c>
      <c r="F28399">
        <v>13060029</v>
      </c>
      <c r="G28399" t="s">
        <v>1345</v>
      </c>
      <c r="H28399" s="21">
        <v>581.16999999999996</v>
      </c>
    </row>
    <row r="28400" spans="1:8" customFormat="1" x14ac:dyDescent="0.25">
      <c r="A28400" t="str">
        <f>"5018301"</f>
        <v>5018301</v>
      </c>
      <c r="B28400" t="s">
        <v>3729</v>
      </c>
      <c r="C28400" t="s">
        <v>8580</v>
      </c>
      <c r="D28400" s="21" t="s">
        <v>34</v>
      </c>
      <c r="E28400" s="21" t="s">
        <v>71</v>
      </c>
      <c r="F28400">
        <v>9500073</v>
      </c>
      <c r="G28400" t="s">
        <v>5393</v>
      </c>
      <c r="H28400" s="21">
        <v>581.16999999999996</v>
      </c>
    </row>
    <row r="28401" spans="1:8" customFormat="1" x14ac:dyDescent="0.25">
      <c r="A28401" t="str">
        <f>"737421"</f>
        <v>737421</v>
      </c>
      <c r="B28401" t="s">
        <v>10937</v>
      </c>
      <c r="C28401" t="s">
        <v>171</v>
      </c>
      <c r="D28401" s="21" t="s">
        <v>34</v>
      </c>
      <c r="E28401" s="21" t="s">
        <v>71</v>
      </c>
      <c r="F28401">
        <v>1730033</v>
      </c>
      <c r="G28401" t="s">
        <v>2407</v>
      </c>
      <c r="H28401" s="21">
        <v>581.16999999999996</v>
      </c>
    </row>
    <row r="28402" spans="1:8" customFormat="1" x14ac:dyDescent="0.25">
      <c r="A28402" t="str">
        <f>"5323221"</f>
        <v>5323221</v>
      </c>
      <c r="B28402" t="s">
        <v>20897</v>
      </c>
      <c r="C28402" t="s">
        <v>209</v>
      </c>
      <c r="D28402" s="21" t="s">
        <v>34</v>
      </c>
      <c r="E28402" s="21" t="s">
        <v>35</v>
      </c>
      <c r="F28402">
        <v>12530078</v>
      </c>
      <c r="G28402" t="s">
        <v>3677</v>
      </c>
      <c r="H28402" s="21">
        <v>581.16999999999996</v>
      </c>
    </row>
    <row r="28403" spans="1:8" customFormat="1" x14ac:dyDescent="0.25">
      <c r="A28403" t="str">
        <f>"9310081"</f>
        <v>9310081</v>
      </c>
      <c r="B28403" t="s">
        <v>20459</v>
      </c>
      <c r="C28403" t="s">
        <v>20460</v>
      </c>
      <c r="D28403" s="21" t="s">
        <v>34</v>
      </c>
      <c r="E28403" s="21" t="s">
        <v>35</v>
      </c>
      <c r="F28403">
        <v>8931032</v>
      </c>
      <c r="G28403" t="s">
        <v>10451</v>
      </c>
      <c r="H28403" s="21">
        <v>581.16999999999996</v>
      </c>
    </row>
    <row r="28404" spans="1:8" customFormat="1" x14ac:dyDescent="0.25">
      <c r="A28404" t="str">
        <f>"266623"</f>
        <v>266623</v>
      </c>
      <c r="B28404" t="s">
        <v>21098</v>
      </c>
      <c r="C28404" t="s">
        <v>269</v>
      </c>
      <c r="D28404" s="21" t="s">
        <v>34</v>
      </c>
      <c r="E28404" s="21" t="s">
        <v>71</v>
      </c>
      <c r="F28404">
        <v>1260005</v>
      </c>
      <c r="G28404" t="s">
        <v>10654</v>
      </c>
      <c r="H28404" s="21">
        <v>581.16999999999996</v>
      </c>
    </row>
    <row r="28405" spans="1:8" customFormat="1" x14ac:dyDescent="0.25">
      <c r="A28405" t="str">
        <f>"4515062"</f>
        <v>4515062</v>
      </c>
      <c r="B28405" t="s">
        <v>1180</v>
      </c>
      <c r="C28405" t="s">
        <v>246</v>
      </c>
      <c r="D28405" s="21" t="s">
        <v>34</v>
      </c>
      <c r="E28405" s="21" t="s">
        <v>71</v>
      </c>
      <c r="F28405">
        <v>4450756</v>
      </c>
      <c r="G28405" t="s">
        <v>19505</v>
      </c>
      <c r="H28405" s="21">
        <v>581.16999999999996</v>
      </c>
    </row>
    <row r="28406" spans="1:8" customFormat="1" x14ac:dyDescent="0.25">
      <c r="A28406" t="str">
        <f>"9513924"</f>
        <v>9513924</v>
      </c>
      <c r="B28406" t="s">
        <v>19892</v>
      </c>
      <c r="C28406" t="s">
        <v>60</v>
      </c>
      <c r="D28406" s="21" t="s">
        <v>34</v>
      </c>
      <c r="E28406" s="21" t="s">
        <v>35</v>
      </c>
      <c r="F28406">
        <v>8950088</v>
      </c>
      <c r="G28406" t="s">
        <v>11015</v>
      </c>
      <c r="H28406" s="21">
        <v>581.16999999999996</v>
      </c>
    </row>
    <row r="28407" spans="1:8" customFormat="1" x14ac:dyDescent="0.25">
      <c r="A28407" t="str">
        <f>"6225611"</f>
        <v>6225611</v>
      </c>
      <c r="B28407" t="s">
        <v>19140</v>
      </c>
      <c r="C28407" t="s">
        <v>486</v>
      </c>
      <c r="D28407" s="21" t="s">
        <v>34</v>
      </c>
      <c r="E28407" s="21" t="s">
        <v>71</v>
      </c>
      <c r="F28407">
        <v>7620011</v>
      </c>
      <c r="G28407" t="s">
        <v>10839</v>
      </c>
      <c r="H28407" s="21">
        <v>581.16999999999996</v>
      </c>
    </row>
    <row r="28408" spans="1:8" customFormat="1" x14ac:dyDescent="0.25">
      <c r="A28408" t="str">
        <f>"618964"</f>
        <v>618964</v>
      </c>
      <c r="B28408" t="s">
        <v>2686</v>
      </c>
      <c r="C28408" t="s">
        <v>1539</v>
      </c>
      <c r="D28408" s="21" t="s">
        <v>34</v>
      </c>
      <c r="E28408" s="21" t="s">
        <v>71</v>
      </c>
      <c r="F28408">
        <v>9610002</v>
      </c>
      <c r="G28408" t="s">
        <v>75</v>
      </c>
      <c r="H28408" s="21">
        <v>581.16999999999996</v>
      </c>
    </row>
    <row r="28409" spans="1:8" customFormat="1" x14ac:dyDescent="0.25">
      <c r="A28409" t="str">
        <f>"2936469"</f>
        <v>2936469</v>
      </c>
      <c r="B28409" t="s">
        <v>24315</v>
      </c>
      <c r="C28409" t="s">
        <v>269</v>
      </c>
      <c r="D28409" s="21" t="s">
        <v>34</v>
      </c>
      <c r="E28409" s="21" t="s">
        <v>71</v>
      </c>
      <c r="F28409">
        <v>3290229</v>
      </c>
      <c r="G28409" t="s">
        <v>408</v>
      </c>
      <c r="H28409" s="21">
        <v>581.16999999999996</v>
      </c>
    </row>
    <row r="28410" spans="1:8" customFormat="1" x14ac:dyDescent="0.25">
      <c r="A28410" t="str">
        <f>"921806"</f>
        <v>921806</v>
      </c>
      <c r="B28410" t="s">
        <v>10427</v>
      </c>
      <c r="C28410" t="s">
        <v>253</v>
      </c>
      <c r="D28410" s="21" t="s">
        <v>34</v>
      </c>
      <c r="E28410" s="21" t="s">
        <v>1089</v>
      </c>
      <c r="F28410">
        <v>8920646</v>
      </c>
      <c r="G28410" t="s">
        <v>2864</v>
      </c>
      <c r="H28410" s="21">
        <v>581.16999999999996</v>
      </c>
    </row>
    <row r="28411" spans="1:8" customFormat="1" x14ac:dyDescent="0.25">
      <c r="A28411" t="str">
        <f>"4454776"</f>
        <v>4454776</v>
      </c>
      <c r="B28411" t="s">
        <v>17501</v>
      </c>
      <c r="C28411" t="s">
        <v>926</v>
      </c>
      <c r="D28411" s="21" t="s">
        <v>34</v>
      </c>
      <c r="E28411" s="21" t="s">
        <v>35</v>
      </c>
      <c r="F28411">
        <v>12440259</v>
      </c>
      <c r="G28411" t="s">
        <v>833</v>
      </c>
      <c r="H28411" s="21">
        <v>581.16999999999996</v>
      </c>
    </row>
    <row r="28412" spans="1:8" customFormat="1" x14ac:dyDescent="0.25">
      <c r="A28412" t="str">
        <f>"5948541"</f>
        <v>5948541</v>
      </c>
      <c r="B28412" t="s">
        <v>20447</v>
      </c>
      <c r="C28412" t="s">
        <v>40</v>
      </c>
      <c r="D28412" s="21" t="s">
        <v>34</v>
      </c>
      <c r="E28412" s="21" t="s">
        <v>71</v>
      </c>
      <c r="F28412">
        <v>7590347</v>
      </c>
      <c r="G28412" t="s">
        <v>6041</v>
      </c>
      <c r="H28412" s="21">
        <v>581.16999999999996</v>
      </c>
    </row>
    <row r="28413" spans="1:8" customFormat="1" x14ac:dyDescent="0.25">
      <c r="A28413" t="str">
        <f>"3412425"</f>
        <v>3412425</v>
      </c>
      <c r="B28413" t="s">
        <v>19490</v>
      </c>
      <c r="C28413" t="s">
        <v>2907</v>
      </c>
      <c r="D28413" s="21" t="s">
        <v>34</v>
      </c>
      <c r="E28413" s="21" t="s">
        <v>71</v>
      </c>
      <c r="F28413">
        <v>11340061</v>
      </c>
      <c r="G28413" t="s">
        <v>6763</v>
      </c>
      <c r="H28413" s="21">
        <v>581.16999999999996</v>
      </c>
    </row>
    <row r="28414" spans="1:8" customFormat="1" x14ac:dyDescent="0.25">
      <c r="A28414" t="str">
        <f>"715992"</f>
        <v>715992</v>
      </c>
      <c r="B28414" t="s">
        <v>19869</v>
      </c>
      <c r="C28414" t="s">
        <v>3073</v>
      </c>
      <c r="D28414" s="21" t="s">
        <v>34</v>
      </c>
      <c r="E28414" s="21" t="s">
        <v>254</v>
      </c>
      <c r="F28414">
        <v>2710072</v>
      </c>
      <c r="G28414" t="s">
        <v>1461</v>
      </c>
      <c r="H28414" s="21">
        <v>581.16999999999996</v>
      </c>
    </row>
    <row r="28415" spans="1:8" customFormat="1" x14ac:dyDescent="0.25">
      <c r="A28415" t="str">
        <f>"8527686"</f>
        <v>8527686</v>
      </c>
      <c r="B28415" t="s">
        <v>12112</v>
      </c>
      <c r="C28415" t="s">
        <v>169</v>
      </c>
      <c r="D28415" s="21" t="s">
        <v>34</v>
      </c>
      <c r="E28415" s="21" t="s">
        <v>35</v>
      </c>
      <c r="F28415">
        <v>12850043</v>
      </c>
      <c r="G28415" t="s">
        <v>4873</v>
      </c>
      <c r="H28415" s="21">
        <v>581.16999999999996</v>
      </c>
    </row>
    <row r="28416" spans="1:8" customFormat="1" x14ac:dyDescent="0.25">
      <c r="A28416" t="str">
        <f>"653697"</f>
        <v>653697</v>
      </c>
      <c r="B28416" t="s">
        <v>20445</v>
      </c>
      <c r="C28416" t="s">
        <v>204</v>
      </c>
      <c r="D28416" s="21" t="s">
        <v>34</v>
      </c>
      <c r="E28416" s="21" t="s">
        <v>254</v>
      </c>
      <c r="F28416">
        <v>11340067</v>
      </c>
      <c r="G28416" t="s">
        <v>2895</v>
      </c>
      <c r="H28416" s="21">
        <v>581.04</v>
      </c>
    </row>
    <row r="28417" spans="1:8" customFormat="1" x14ac:dyDescent="0.25">
      <c r="A28417" t="str">
        <f>"4219678"</f>
        <v>4219678</v>
      </c>
      <c r="B28417" t="s">
        <v>28055</v>
      </c>
      <c r="C28417" t="s">
        <v>119</v>
      </c>
      <c r="D28417" s="21" t="s">
        <v>34</v>
      </c>
      <c r="E28417" s="21" t="s">
        <v>35</v>
      </c>
      <c r="F28417">
        <v>1420162</v>
      </c>
      <c r="G28417" t="s">
        <v>11209</v>
      </c>
      <c r="H28417" s="21">
        <v>580.91999999999996</v>
      </c>
    </row>
    <row r="28418" spans="1:8" customFormat="1" x14ac:dyDescent="0.25">
      <c r="A28418" t="str">
        <f>"836065"</f>
        <v>836065</v>
      </c>
      <c r="B28418" t="s">
        <v>28056</v>
      </c>
      <c r="C28418" t="s">
        <v>40</v>
      </c>
      <c r="D28418" s="21" t="s">
        <v>34</v>
      </c>
      <c r="E28418" s="21" t="s">
        <v>71</v>
      </c>
      <c r="F28418">
        <v>13830088</v>
      </c>
      <c r="G28418" t="s">
        <v>17664</v>
      </c>
      <c r="H28418" s="21">
        <v>580.91999999999996</v>
      </c>
    </row>
    <row r="28419" spans="1:8" customFormat="1" x14ac:dyDescent="0.25">
      <c r="A28419" t="str">
        <f>"125096"</f>
        <v>125096</v>
      </c>
      <c r="B28419" t="s">
        <v>2549</v>
      </c>
      <c r="C28419" t="s">
        <v>55</v>
      </c>
      <c r="D28419" s="21" t="s">
        <v>34</v>
      </c>
      <c r="E28419" s="21" t="s">
        <v>35</v>
      </c>
      <c r="F28419">
        <v>11120026</v>
      </c>
      <c r="G28419" t="s">
        <v>9107</v>
      </c>
      <c r="H28419" s="21">
        <v>580.79</v>
      </c>
    </row>
    <row r="28420" spans="1:8" customFormat="1" x14ac:dyDescent="0.25">
      <c r="A28420" t="str">
        <f>"7833828"</f>
        <v>7833828</v>
      </c>
      <c r="B28420" t="s">
        <v>28057</v>
      </c>
      <c r="C28420" t="s">
        <v>269</v>
      </c>
      <c r="D28420" s="21" t="s">
        <v>34</v>
      </c>
      <c r="E28420" s="21" t="s">
        <v>35</v>
      </c>
      <c r="F28420">
        <v>8781467</v>
      </c>
      <c r="G28420" t="s">
        <v>3838</v>
      </c>
      <c r="H28420" s="21">
        <v>580.79</v>
      </c>
    </row>
    <row r="28421" spans="1:8" customFormat="1" x14ac:dyDescent="0.25">
      <c r="A28421" t="str">
        <f>"6925416"</f>
        <v>6925416</v>
      </c>
      <c r="B28421" t="s">
        <v>8502</v>
      </c>
      <c r="C28421" t="s">
        <v>246</v>
      </c>
      <c r="D28421" s="21" t="s">
        <v>34</v>
      </c>
      <c r="E28421" s="21" t="s">
        <v>71</v>
      </c>
      <c r="F28421">
        <v>1690030</v>
      </c>
      <c r="G28421" t="s">
        <v>432</v>
      </c>
      <c r="H28421" s="21">
        <v>580.66999999999996</v>
      </c>
    </row>
    <row r="28422" spans="1:8" customFormat="1" x14ac:dyDescent="0.25">
      <c r="A28422" t="str">
        <f>"051024"</f>
        <v>051024</v>
      </c>
      <c r="B28422" t="s">
        <v>22778</v>
      </c>
      <c r="C28422" t="s">
        <v>598</v>
      </c>
      <c r="D28422" s="21" t="s">
        <v>34</v>
      </c>
      <c r="E28422" s="21" t="s">
        <v>254</v>
      </c>
      <c r="F28422">
        <v>13040005</v>
      </c>
      <c r="G28422" t="s">
        <v>7115</v>
      </c>
      <c r="H28422" s="21">
        <v>580.66999999999996</v>
      </c>
    </row>
    <row r="28423" spans="1:8" customFormat="1" x14ac:dyDescent="0.25">
      <c r="A28423" t="str">
        <f>"3824848"</f>
        <v>3824848</v>
      </c>
      <c r="B28423" t="s">
        <v>20518</v>
      </c>
      <c r="C28423" t="s">
        <v>2734</v>
      </c>
      <c r="D28423" s="21" t="s">
        <v>34</v>
      </c>
      <c r="E28423" s="21" t="s">
        <v>35</v>
      </c>
      <c r="F28423">
        <v>1380284</v>
      </c>
      <c r="G28423" t="s">
        <v>300</v>
      </c>
      <c r="H28423" s="21">
        <v>580.66999999999996</v>
      </c>
    </row>
    <row r="28424" spans="1:8" customFormat="1" x14ac:dyDescent="0.25">
      <c r="A28424" t="str">
        <f>"5113879"</f>
        <v>5113879</v>
      </c>
      <c r="B28424" t="s">
        <v>2032</v>
      </c>
      <c r="C28424" t="s">
        <v>139</v>
      </c>
      <c r="D28424" s="21" t="s">
        <v>34</v>
      </c>
      <c r="E28424" s="21" t="s">
        <v>254</v>
      </c>
      <c r="F28424">
        <v>6510040</v>
      </c>
      <c r="G28424" t="s">
        <v>9113</v>
      </c>
      <c r="H28424" s="21">
        <v>580.66999999999996</v>
      </c>
    </row>
    <row r="28425" spans="1:8" customFormat="1" x14ac:dyDescent="0.25">
      <c r="A28425" t="str">
        <f>"9140059"</f>
        <v>9140059</v>
      </c>
      <c r="B28425" t="s">
        <v>2010</v>
      </c>
      <c r="C28425" t="s">
        <v>60</v>
      </c>
      <c r="D28425" s="21" t="s">
        <v>34</v>
      </c>
      <c r="E28425" s="21" t="s">
        <v>35</v>
      </c>
      <c r="F28425">
        <v>8911050</v>
      </c>
      <c r="G28425" t="s">
        <v>1606</v>
      </c>
      <c r="H28425" s="21">
        <v>580.66999999999996</v>
      </c>
    </row>
    <row r="28426" spans="1:8" customFormat="1" x14ac:dyDescent="0.25">
      <c r="A28426" t="str">
        <f>"432465"</f>
        <v>432465</v>
      </c>
      <c r="B28426" t="s">
        <v>8582</v>
      </c>
      <c r="C28426" t="s">
        <v>209</v>
      </c>
      <c r="D28426" s="21" t="s">
        <v>34</v>
      </c>
      <c r="E28426" s="21" t="s">
        <v>35</v>
      </c>
      <c r="F28426">
        <v>1420003</v>
      </c>
      <c r="G28426" t="s">
        <v>11716</v>
      </c>
      <c r="H28426" s="21">
        <v>580.66999999999996</v>
      </c>
    </row>
    <row r="28427" spans="1:8" customFormat="1" x14ac:dyDescent="0.25">
      <c r="A28427" t="str">
        <f>"7610131"</f>
        <v>7610131</v>
      </c>
      <c r="B28427" t="s">
        <v>19444</v>
      </c>
      <c r="C28427" t="s">
        <v>3010</v>
      </c>
      <c r="D28427" s="21" t="s">
        <v>34</v>
      </c>
      <c r="E28427" s="21" t="s">
        <v>254</v>
      </c>
      <c r="F28427">
        <v>9760167</v>
      </c>
      <c r="G28427" t="s">
        <v>13836</v>
      </c>
      <c r="H28427" s="21">
        <v>580.66999999999996</v>
      </c>
    </row>
    <row r="28428" spans="1:8" customFormat="1" x14ac:dyDescent="0.25">
      <c r="A28428" t="str">
        <f>"4933192"</f>
        <v>4933192</v>
      </c>
      <c r="B28428" t="s">
        <v>21250</v>
      </c>
      <c r="C28428" t="s">
        <v>114</v>
      </c>
      <c r="D28428" s="21" t="s">
        <v>34</v>
      </c>
      <c r="E28428" s="21" t="s">
        <v>71</v>
      </c>
      <c r="F28428">
        <v>12490129</v>
      </c>
      <c r="G28428" t="s">
        <v>7607</v>
      </c>
      <c r="H28428" s="21">
        <v>580.66999999999996</v>
      </c>
    </row>
    <row r="28429" spans="1:8" customFormat="1" x14ac:dyDescent="0.25">
      <c r="A28429" t="str">
        <f>"8017226"</f>
        <v>8017226</v>
      </c>
      <c r="B28429" t="s">
        <v>1976</v>
      </c>
      <c r="C28429" t="s">
        <v>269</v>
      </c>
      <c r="D28429" s="21" t="s">
        <v>34</v>
      </c>
      <c r="E28429" s="21" t="s">
        <v>71</v>
      </c>
      <c r="F28429">
        <v>7800072</v>
      </c>
      <c r="G28429" t="s">
        <v>10919</v>
      </c>
      <c r="H28429" s="21">
        <v>580.66999999999996</v>
      </c>
    </row>
    <row r="28430" spans="1:8" customFormat="1" x14ac:dyDescent="0.25">
      <c r="A28430" t="str">
        <f>"448781"</f>
        <v>448781</v>
      </c>
      <c r="B28430" t="s">
        <v>2766</v>
      </c>
      <c r="C28430" t="s">
        <v>3648</v>
      </c>
      <c r="D28430" s="21" t="s">
        <v>34</v>
      </c>
      <c r="E28430" s="21" t="s">
        <v>254</v>
      </c>
      <c r="F28430">
        <v>12440238</v>
      </c>
      <c r="G28430" t="s">
        <v>5258</v>
      </c>
      <c r="H28430" s="21">
        <v>580.66999999999996</v>
      </c>
    </row>
    <row r="28431" spans="1:8" customFormat="1" x14ac:dyDescent="0.25">
      <c r="A28431" t="str">
        <f>"2932512"</f>
        <v>2932512</v>
      </c>
      <c r="B28431" t="s">
        <v>19592</v>
      </c>
      <c r="C28431" t="s">
        <v>249</v>
      </c>
      <c r="D28431" s="21" t="s">
        <v>34</v>
      </c>
      <c r="E28431" s="21" t="s">
        <v>71</v>
      </c>
      <c r="F28431">
        <v>3290222</v>
      </c>
      <c r="G28431" t="s">
        <v>2259</v>
      </c>
      <c r="H28431" s="21">
        <v>580.66999999999996</v>
      </c>
    </row>
    <row r="28432" spans="1:8" customFormat="1" x14ac:dyDescent="0.25">
      <c r="A28432" t="str">
        <f>"625218"</f>
        <v>625218</v>
      </c>
      <c r="B28432" t="s">
        <v>6552</v>
      </c>
      <c r="C28432" t="s">
        <v>515</v>
      </c>
      <c r="D28432" s="21" t="s">
        <v>34</v>
      </c>
      <c r="E28432" s="21" t="s">
        <v>35</v>
      </c>
      <c r="F28432">
        <v>7620176</v>
      </c>
      <c r="G28432" t="s">
        <v>3111</v>
      </c>
      <c r="H28432" s="21">
        <v>580.66999999999996</v>
      </c>
    </row>
    <row r="28433" spans="1:8" customFormat="1" x14ac:dyDescent="0.25">
      <c r="A28433" t="str">
        <f>"5614151"</f>
        <v>5614151</v>
      </c>
      <c r="B28433" t="s">
        <v>19449</v>
      </c>
      <c r="C28433" t="s">
        <v>151</v>
      </c>
      <c r="D28433" s="21" t="s">
        <v>34</v>
      </c>
      <c r="E28433" s="21" t="s">
        <v>71</v>
      </c>
      <c r="F28433">
        <v>3560096</v>
      </c>
      <c r="G28433" t="s">
        <v>2771</v>
      </c>
      <c r="H28433" s="21">
        <v>580.66999999999996</v>
      </c>
    </row>
    <row r="28434" spans="1:8" customFormat="1" x14ac:dyDescent="0.25">
      <c r="A28434" t="str">
        <f>"0812381"</f>
        <v>0812381</v>
      </c>
      <c r="B28434" t="s">
        <v>21061</v>
      </c>
      <c r="C28434" t="s">
        <v>611</v>
      </c>
      <c r="D28434" s="21" t="s">
        <v>34</v>
      </c>
      <c r="E28434" s="21" t="s">
        <v>35</v>
      </c>
      <c r="F28434">
        <v>6080059</v>
      </c>
      <c r="G28434" t="s">
        <v>4242</v>
      </c>
      <c r="H28434" s="21">
        <v>580.66999999999996</v>
      </c>
    </row>
    <row r="28435" spans="1:8" customFormat="1" x14ac:dyDescent="0.25">
      <c r="A28435" t="str">
        <f>"533181"</f>
        <v>533181</v>
      </c>
      <c r="B28435" t="s">
        <v>5428</v>
      </c>
      <c r="C28435" t="s">
        <v>263</v>
      </c>
      <c r="D28435" s="21" t="s">
        <v>34</v>
      </c>
      <c r="E28435" s="21" t="s">
        <v>254</v>
      </c>
      <c r="F28435">
        <v>12530105</v>
      </c>
      <c r="G28435" t="s">
        <v>4136</v>
      </c>
      <c r="H28435" s="21">
        <v>580.66999999999996</v>
      </c>
    </row>
    <row r="28436" spans="1:8" customFormat="1" x14ac:dyDescent="0.25">
      <c r="A28436" t="str">
        <f>"7221293"</f>
        <v>7221293</v>
      </c>
      <c r="B28436" t="s">
        <v>21218</v>
      </c>
      <c r="C28436" t="s">
        <v>462</v>
      </c>
      <c r="D28436" s="21" t="s">
        <v>34</v>
      </c>
      <c r="E28436" s="21" t="s">
        <v>71</v>
      </c>
      <c r="F28436">
        <v>12720110</v>
      </c>
      <c r="G28436" t="s">
        <v>3464</v>
      </c>
      <c r="H28436" s="21">
        <v>580.66999999999996</v>
      </c>
    </row>
    <row r="28437" spans="1:8" customFormat="1" x14ac:dyDescent="0.25">
      <c r="A28437" t="str">
        <f>"274943"</f>
        <v>274943</v>
      </c>
      <c r="B28437" t="s">
        <v>10937</v>
      </c>
      <c r="C28437" t="s">
        <v>812</v>
      </c>
      <c r="D28437" s="21" t="s">
        <v>34</v>
      </c>
      <c r="E28437" s="21" t="s">
        <v>254</v>
      </c>
      <c r="F28437">
        <v>9270071</v>
      </c>
      <c r="G28437" t="s">
        <v>7815</v>
      </c>
      <c r="H28437" s="21">
        <v>580.66999999999996</v>
      </c>
    </row>
    <row r="28438" spans="1:8" customFormat="1" x14ac:dyDescent="0.25">
      <c r="A28438" t="str">
        <f>"8313665"</f>
        <v>8313665</v>
      </c>
      <c r="B28438" t="s">
        <v>20051</v>
      </c>
      <c r="C28438" t="s">
        <v>1142</v>
      </c>
      <c r="D28438" s="21" t="s">
        <v>34</v>
      </c>
      <c r="E28438" s="21" t="s">
        <v>254</v>
      </c>
      <c r="F28438">
        <v>13830007</v>
      </c>
      <c r="G28438" t="s">
        <v>11316</v>
      </c>
      <c r="H28438" s="21">
        <v>580.66999999999996</v>
      </c>
    </row>
    <row r="28439" spans="1:8" customFormat="1" x14ac:dyDescent="0.25">
      <c r="A28439" t="str">
        <f>"7819716"</f>
        <v>7819716</v>
      </c>
      <c r="B28439" t="s">
        <v>21114</v>
      </c>
      <c r="C28439" t="s">
        <v>459</v>
      </c>
      <c r="D28439" s="21" t="s">
        <v>34</v>
      </c>
      <c r="E28439" s="21" t="s">
        <v>71</v>
      </c>
      <c r="F28439">
        <v>8780660</v>
      </c>
      <c r="G28439" t="s">
        <v>2801</v>
      </c>
      <c r="H28439" s="21">
        <v>580.66999999999996</v>
      </c>
    </row>
    <row r="28440" spans="1:8" customFormat="1" x14ac:dyDescent="0.25">
      <c r="A28440" t="str">
        <f>"601504"</f>
        <v>601504</v>
      </c>
      <c r="B28440" t="s">
        <v>20299</v>
      </c>
      <c r="C28440" t="s">
        <v>598</v>
      </c>
      <c r="D28440" s="21" t="s">
        <v>34</v>
      </c>
      <c r="E28440" s="21" t="s">
        <v>1089</v>
      </c>
      <c r="F28440">
        <v>7600070</v>
      </c>
      <c r="G28440" t="s">
        <v>542</v>
      </c>
      <c r="H28440" s="21">
        <v>580.66999999999996</v>
      </c>
    </row>
    <row r="28441" spans="1:8" customFormat="1" x14ac:dyDescent="0.25">
      <c r="A28441" t="str">
        <f>"2923790"</f>
        <v>2923790</v>
      </c>
      <c r="B28441" t="s">
        <v>363</v>
      </c>
      <c r="C28441" t="s">
        <v>528</v>
      </c>
      <c r="D28441" s="21" t="s">
        <v>34</v>
      </c>
      <c r="E28441" s="21" t="s">
        <v>35</v>
      </c>
      <c r="F28441">
        <v>3290200</v>
      </c>
      <c r="G28441" t="s">
        <v>3488</v>
      </c>
      <c r="H28441" s="21">
        <v>580.66999999999996</v>
      </c>
    </row>
    <row r="28442" spans="1:8" customFormat="1" x14ac:dyDescent="0.25">
      <c r="A28442" t="str">
        <f>"625655"</f>
        <v>625655</v>
      </c>
      <c r="B28442" t="s">
        <v>11717</v>
      </c>
      <c r="C28442" t="s">
        <v>269</v>
      </c>
      <c r="D28442" s="21" t="s">
        <v>34</v>
      </c>
      <c r="E28442" s="21" t="s">
        <v>254</v>
      </c>
      <c r="F28442">
        <v>7620185</v>
      </c>
      <c r="G28442" t="s">
        <v>1561</v>
      </c>
      <c r="H28442" s="21">
        <v>580.66999999999996</v>
      </c>
    </row>
    <row r="28443" spans="1:8" customFormat="1" x14ac:dyDescent="0.25">
      <c r="A28443" t="str">
        <f>"6315907"</f>
        <v>6315907</v>
      </c>
      <c r="B28443" t="s">
        <v>21635</v>
      </c>
      <c r="C28443" t="s">
        <v>498</v>
      </c>
      <c r="D28443" s="21" t="s">
        <v>34</v>
      </c>
      <c r="E28443" s="21" t="s">
        <v>35</v>
      </c>
      <c r="F28443">
        <v>1630317</v>
      </c>
      <c r="G28443" t="s">
        <v>7523</v>
      </c>
      <c r="H28443" s="21">
        <v>580.66999999999996</v>
      </c>
    </row>
    <row r="28444" spans="1:8" customFormat="1" x14ac:dyDescent="0.25">
      <c r="A28444" t="str">
        <f>"9419656"</f>
        <v>9419656</v>
      </c>
      <c r="B28444" t="s">
        <v>4357</v>
      </c>
      <c r="C28444" t="s">
        <v>2533</v>
      </c>
      <c r="D28444" s="21" t="s">
        <v>34</v>
      </c>
      <c r="E28444" s="21" t="s">
        <v>254</v>
      </c>
      <c r="F28444">
        <v>8940096</v>
      </c>
      <c r="G28444" t="s">
        <v>5453</v>
      </c>
      <c r="H28444" s="21">
        <v>580.66999999999996</v>
      </c>
    </row>
    <row r="28445" spans="1:8" customFormat="1" x14ac:dyDescent="0.25">
      <c r="A28445" t="str">
        <f>"5012699"</f>
        <v>5012699</v>
      </c>
      <c r="B28445" t="s">
        <v>8212</v>
      </c>
      <c r="C28445" t="s">
        <v>3648</v>
      </c>
      <c r="D28445" s="21" t="s">
        <v>34</v>
      </c>
      <c r="E28445" s="21" t="s">
        <v>1089</v>
      </c>
      <c r="F28445">
        <v>9500160</v>
      </c>
      <c r="G28445" t="s">
        <v>11418</v>
      </c>
      <c r="H28445" s="21">
        <v>580.66999999999996</v>
      </c>
    </row>
    <row r="28446" spans="1:8" customFormat="1" x14ac:dyDescent="0.25">
      <c r="A28446" t="str">
        <f>"5965307"</f>
        <v>5965307</v>
      </c>
      <c r="B28446" t="s">
        <v>20301</v>
      </c>
      <c r="C28446" t="s">
        <v>239</v>
      </c>
      <c r="D28446" s="21" t="s">
        <v>34</v>
      </c>
      <c r="E28446" s="21" t="s">
        <v>254</v>
      </c>
      <c r="F28446">
        <v>7590413</v>
      </c>
      <c r="G28446" t="s">
        <v>6848</v>
      </c>
      <c r="H28446" s="21">
        <v>580.5</v>
      </c>
    </row>
    <row r="28447" spans="1:8" customFormat="1" x14ac:dyDescent="0.25">
      <c r="A28447" t="str">
        <f>"4214783"</f>
        <v>4214783</v>
      </c>
      <c r="B28447" t="s">
        <v>20464</v>
      </c>
      <c r="C28447" t="s">
        <v>124</v>
      </c>
      <c r="D28447" s="21" t="s">
        <v>34</v>
      </c>
      <c r="E28447" s="21" t="s">
        <v>35</v>
      </c>
      <c r="F28447">
        <v>1420160</v>
      </c>
      <c r="G28447" t="s">
        <v>5488</v>
      </c>
      <c r="H28447" s="21">
        <v>580.29</v>
      </c>
    </row>
    <row r="28448" spans="1:8" customFormat="1" x14ac:dyDescent="0.25">
      <c r="A28448" t="str">
        <f>"6945627"</f>
        <v>6945627</v>
      </c>
      <c r="B28448" t="s">
        <v>28058</v>
      </c>
      <c r="C28448" t="s">
        <v>28059</v>
      </c>
      <c r="D28448" s="21" t="s">
        <v>34</v>
      </c>
      <c r="E28448" s="21" t="s">
        <v>35</v>
      </c>
      <c r="F28448">
        <v>1690186</v>
      </c>
      <c r="G28448" t="s">
        <v>438</v>
      </c>
      <c r="H28448" s="21">
        <v>580.16999999999996</v>
      </c>
    </row>
    <row r="28449" spans="1:8" customFormat="1" x14ac:dyDescent="0.25">
      <c r="A28449" t="str">
        <f>"242821"</f>
        <v>242821</v>
      </c>
      <c r="B28449" t="s">
        <v>19653</v>
      </c>
      <c r="C28449" t="s">
        <v>249</v>
      </c>
      <c r="D28449" s="21" t="s">
        <v>34</v>
      </c>
      <c r="E28449" s="21" t="s">
        <v>35</v>
      </c>
      <c r="F28449">
        <v>10240026</v>
      </c>
      <c r="G28449" t="s">
        <v>11667</v>
      </c>
      <c r="H28449" s="21">
        <v>580.16999999999996</v>
      </c>
    </row>
    <row r="28450" spans="1:8" customFormat="1" x14ac:dyDescent="0.25">
      <c r="A28450" t="str">
        <f>"374334"</f>
        <v>374334</v>
      </c>
      <c r="B28450" t="s">
        <v>18494</v>
      </c>
      <c r="C28450" t="s">
        <v>169</v>
      </c>
      <c r="D28450" s="21" t="s">
        <v>34</v>
      </c>
      <c r="E28450" s="21" t="s">
        <v>71</v>
      </c>
      <c r="F28450">
        <v>4370167</v>
      </c>
      <c r="G28450" t="s">
        <v>8834</v>
      </c>
      <c r="H28450" s="21">
        <v>580.16999999999996</v>
      </c>
    </row>
    <row r="28451" spans="1:8" customFormat="1" x14ac:dyDescent="0.25">
      <c r="A28451" t="str">
        <f>"5320220"</f>
        <v>5320220</v>
      </c>
      <c r="B28451" t="s">
        <v>3273</v>
      </c>
      <c r="C28451" t="s">
        <v>198</v>
      </c>
      <c r="D28451" s="21" t="s">
        <v>34</v>
      </c>
      <c r="E28451" s="21" t="s">
        <v>1089</v>
      </c>
      <c r="F28451">
        <v>10330123</v>
      </c>
      <c r="G28451" t="s">
        <v>12101</v>
      </c>
      <c r="H28451" s="21">
        <v>580.16999999999996</v>
      </c>
    </row>
    <row r="28452" spans="1:8" customFormat="1" x14ac:dyDescent="0.25">
      <c r="A28452" t="str">
        <f>"6225502"</f>
        <v>6225502</v>
      </c>
      <c r="B28452" t="s">
        <v>20678</v>
      </c>
      <c r="C28452" t="s">
        <v>269</v>
      </c>
      <c r="D28452" s="21" t="s">
        <v>34</v>
      </c>
      <c r="E28452" s="21" t="s">
        <v>71</v>
      </c>
      <c r="F28452">
        <v>7620176</v>
      </c>
      <c r="G28452" t="s">
        <v>3111</v>
      </c>
      <c r="H28452" s="21">
        <v>580.16999999999996</v>
      </c>
    </row>
    <row r="28453" spans="1:8" customFormat="1" x14ac:dyDescent="0.25">
      <c r="A28453" t="str">
        <f>"9250660"</f>
        <v>9250660</v>
      </c>
      <c r="B28453" t="s">
        <v>3830</v>
      </c>
      <c r="C28453" t="s">
        <v>305</v>
      </c>
      <c r="D28453" s="21" t="s">
        <v>34</v>
      </c>
      <c r="E28453" s="21" t="s">
        <v>35</v>
      </c>
      <c r="F28453">
        <v>8920075</v>
      </c>
      <c r="G28453" t="s">
        <v>317</v>
      </c>
      <c r="H28453" s="21">
        <v>580.16999999999996</v>
      </c>
    </row>
    <row r="28454" spans="1:8" customFormat="1" x14ac:dyDescent="0.25">
      <c r="A28454" t="str">
        <f>"879622"</f>
        <v>879622</v>
      </c>
      <c r="B28454" t="s">
        <v>6109</v>
      </c>
      <c r="C28454" t="s">
        <v>3889</v>
      </c>
      <c r="D28454" s="21" t="s">
        <v>34</v>
      </c>
      <c r="E28454" s="21" t="s">
        <v>35</v>
      </c>
      <c r="F28454">
        <v>10870081</v>
      </c>
      <c r="G28454" t="s">
        <v>6698</v>
      </c>
      <c r="H28454" s="21">
        <v>580.16999999999996</v>
      </c>
    </row>
    <row r="28455" spans="1:8" customFormat="1" x14ac:dyDescent="0.25">
      <c r="A28455" t="str">
        <f>"6315115"</f>
        <v>6315115</v>
      </c>
      <c r="B28455" t="s">
        <v>21327</v>
      </c>
      <c r="C28455" t="s">
        <v>55</v>
      </c>
      <c r="D28455" s="21" t="s">
        <v>34</v>
      </c>
      <c r="E28455" s="21" t="s">
        <v>35</v>
      </c>
      <c r="F28455">
        <v>1630289</v>
      </c>
      <c r="G28455" t="s">
        <v>8900</v>
      </c>
      <c r="H28455" s="21">
        <v>580.16999999999996</v>
      </c>
    </row>
    <row r="28456" spans="1:8" customFormat="1" x14ac:dyDescent="0.25">
      <c r="A28456" t="str">
        <f>"5111907"</f>
        <v>5111907</v>
      </c>
      <c r="B28456" t="s">
        <v>7301</v>
      </c>
      <c r="C28456" t="s">
        <v>60</v>
      </c>
      <c r="D28456" s="21" t="s">
        <v>34</v>
      </c>
      <c r="E28456" s="21" t="s">
        <v>71</v>
      </c>
      <c r="F28456">
        <v>6510112</v>
      </c>
      <c r="G28456" t="s">
        <v>588</v>
      </c>
      <c r="H28456" s="21">
        <v>580.16999999999996</v>
      </c>
    </row>
    <row r="28457" spans="1:8" customFormat="1" x14ac:dyDescent="0.25">
      <c r="A28457" t="str">
        <f>"4521375"</f>
        <v>4521375</v>
      </c>
      <c r="B28457" t="s">
        <v>28060</v>
      </c>
      <c r="C28457" t="s">
        <v>33</v>
      </c>
      <c r="D28457" s="21" t="s">
        <v>34</v>
      </c>
      <c r="E28457" s="21" t="s">
        <v>71</v>
      </c>
      <c r="F28457">
        <v>4450209</v>
      </c>
      <c r="G28457" t="s">
        <v>10425</v>
      </c>
      <c r="H28457" s="21">
        <v>580.16999999999996</v>
      </c>
    </row>
    <row r="28458" spans="1:8" customFormat="1" x14ac:dyDescent="0.25">
      <c r="A28458" t="str">
        <f>"5318714"</f>
        <v>5318714</v>
      </c>
      <c r="B28458" t="s">
        <v>20080</v>
      </c>
      <c r="C28458" t="s">
        <v>608</v>
      </c>
      <c r="D28458" s="21" t="s">
        <v>34</v>
      </c>
      <c r="E28458" s="21" t="s">
        <v>71</v>
      </c>
      <c r="F28458">
        <v>12538900</v>
      </c>
      <c r="G28458" t="s">
        <v>14904</v>
      </c>
      <c r="H28458" s="21">
        <v>580.16999999999996</v>
      </c>
    </row>
    <row r="28459" spans="1:8" customFormat="1" x14ac:dyDescent="0.25">
      <c r="A28459" t="str">
        <f>"5934100"</f>
        <v>5934100</v>
      </c>
      <c r="B28459" t="s">
        <v>6847</v>
      </c>
      <c r="C28459" t="s">
        <v>2365</v>
      </c>
      <c r="D28459" s="21" t="s">
        <v>34</v>
      </c>
      <c r="E28459" s="21" t="s">
        <v>1089</v>
      </c>
      <c r="F28459">
        <v>7590099</v>
      </c>
      <c r="G28459" t="s">
        <v>5792</v>
      </c>
      <c r="H28459" s="21">
        <v>580.16999999999996</v>
      </c>
    </row>
    <row r="28460" spans="1:8" customFormat="1" x14ac:dyDescent="0.25">
      <c r="A28460" t="str">
        <f>"0114938"</f>
        <v>0114938</v>
      </c>
      <c r="B28460" t="s">
        <v>20569</v>
      </c>
      <c r="C28460" t="s">
        <v>462</v>
      </c>
      <c r="D28460" s="21" t="s">
        <v>34</v>
      </c>
      <c r="E28460" s="21" t="s">
        <v>35</v>
      </c>
      <c r="F28460">
        <v>1010004</v>
      </c>
      <c r="G28460" t="s">
        <v>9066</v>
      </c>
      <c r="H28460" s="21">
        <v>580.16999999999996</v>
      </c>
    </row>
    <row r="28461" spans="1:8" customFormat="1" x14ac:dyDescent="0.25">
      <c r="A28461" t="str">
        <f>"668398"</f>
        <v>668398</v>
      </c>
      <c r="B28461" t="s">
        <v>28061</v>
      </c>
      <c r="C28461" t="s">
        <v>209</v>
      </c>
      <c r="D28461" s="21" t="s">
        <v>34</v>
      </c>
      <c r="E28461" s="21" t="s">
        <v>71</v>
      </c>
      <c r="F28461">
        <v>11660041</v>
      </c>
      <c r="G28461" t="s">
        <v>18594</v>
      </c>
      <c r="H28461" s="21">
        <v>580.16999999999996</v>
      </c>
    </row>
    <row r="28462" spans="1:8" customFormat="1" x14ac:dyDescent="0.25">
      <c r="A28462" t="str">
        <f>"6315916"</f>
        <v>6315916</v>
      </c>
      <c r="B28462" t="s">
        <v>2438</v>
      </c>
      <c r="C28462" t="s">
        <v>453</v>
      </c>
      <c r="D28462" s="21" t="s">
        <v>34</v>
      </c>
      <c r="E28462" s="21" t="s">
        <v>254</v>
      </c>
      <c r="F28462">
        <v>1630332</v>
      </c>
      <c r="G28462" t="s">
        <v>27136</v>
      </c>
      <c r="H28462" s="21">
        <v>580.16999999999996</v>
      </c>
    </row>
    <row r="28463" spans="1:8" customFormat="1" x14ac:dyDescent="0.25">
      <c r="A28463" t="str">
        <f>"025906"</f>
        <v>025906</v>
      </c>
      <c r="B28463" t="s">
        <v>20721</v>
      </c>
      <c r="C28463" t="s">
        <v>209</v>
      </c>
      <c r="D28463" s="21" t="s">
        <v>34</v>
      </c>
      <c r="E28463" s="21" t="s">
        <v>254</v>
      </c>
      <c r="F28463">
        <v>7020044</v>
      </c>
      <c r="G28463" t="s">
        <v>4690</v>
      </c>
      <c r="H28463" s="21">
        <v>580.16999999999996</v>
      </c>
    </row>
    <row r="28464" spans="1:8" customFormat="1" x14ac:dyDescent="0.25">
      <c r="A28464" t="str">
        <f>"5970661"</f>
        <v>5970661</v>
      </c>
      <c r="B28464" t="s">
        <v>21412</v>
      </c>
      <c r="C28464" t="s">
        <v>507</v>
      </c>
      <c r="D28464" s="21" t="s">
        <v>34</v>
      </c>
      <c r="E28464" s="21" t="s">
        <v>254</v>
      </c>
      <c r="F28464">
        <v>7590107</v>
      </c>
      <c r="G28464" t="s">
        <v>17475</v>
      </c>
      <c r="H28464" s="21">
        <v>580.16999999999996</v>
      </c>
    </row>
    <row r="28465" spans="1:8" customFormat="1" x14ac:dyDescent="0.25">
      <c r="A28465" t="str">
        <f>"2927916"</f>
        <v>2927916</v>
      </c>
      <c r="B28465" t="s">
        <v>13945</v>
      </c>
      <c r="C28465" t="s">
        <v>2520</v>
      </c>
      <c r="D28465" s="21" t="s">
        <v>34</v>
      </c>
      <c r="E28465" s="21" t="s">
        <v>254</v>
      </c>
      <c r="F28465">
        <v>3290037</v>
      </c>
      <c r="G28465" t="s">
        <v>11628</v>
      </c>
      <c r="H28465" s="21">
        <v>580.16999999999996</v>
      </c>
    </row>
    <row r="28466" spans="1:8" customFormat="1" x14ac:dyDescent="0.25">
      <c r="A28466" t="str">
        <f>"0112817"</f>
        <v>0112817</v>
      </c>
      <c r="B28466" t="s">
        <v>28062</v>
      </c>
      <c r="C28466" t="s">
        <v>124</v>
      </c>
      <c r="D28466" s="21" t="s">
        <v>34</v>
      </c>
      <c r="E28466" s="21" t="s">
        <v>71</v>
      </c>
      <c r="F28466">
        <v>1010027</v>
      </c>
      <c r="G28466" t="s">
        <v>6318</v>
      </c>
      <c r="H28466" s="21">
        <v>580.16999999999996</v>
      </c>
    </row>
    <row r="28467" spans="1:8" customFormat="1" x14ac:dyDescent="0.25">
      <c r="A28467" t="str">
        <f>"5931419"</f>
        <v>5931419</v>
      </c>
      <c r="B28467" t="s">
        <v>3703</v>
      </c>
      <c r="C28467" t="s">
        <v>528</v>
      </c>
      <c r="D28467" s="21" t="s">
        <v>34</v>
      </c>
      <c r="E28467" s="21" t="s">
        <v>71</v>
      </c>
      <c r="F28467">
        <v>11310064</v>
      </c>
      <c r="G28467" t="s">
        <v>931</v>
      </c>
      <c r="H28467" s="21">
        <v>580.16999999999996</v>
      </c>
    </row>
    <row r="28468" spans="1:8" customFormat="1" x14ac:dyDescent="0.25">
      <c r="A28468" t="str">
        <f>"5621517"</f>
        <v>5621517</v>
      </c>
      <c r="B28468" t="s">
        <v>23373</v>
      </c>
      <c r="C28468" t="s">
        <v>267</v>
      </c>
      <c r="D28468" s="21" t="s">
        <v>34</v>
      </c>
      <c r="E28468" s="21" t="s">
        <v>254</v>
      </c>
      <c r="F28468">
        <v>3560049</v>
      </c>
      <c r="G28468" t="s">
        <v>8021</v>
      </c>
      <c r="H28468" s="21">
        <v>580.16999999999996</v>
      </c>
    </row>
    <row r="28469" spans="1:8" customFormat="1" x14ac:dyDescent="0.25">
      <c r="A28469" t="str">
        <f>"217878"</f>
        <v>217878</v>
      </c>
      <c r="B28469" t="s">
        <v>19646</v>
      </c>
      <c r="C28469" t="s">
        <v>169</v>
      </c>
      <c r="D28469" s="21" t="s">
        <v>34</v>
      </c>
      <c r="E28469" s="21" t="s">
        <v>71</v>
      </c>
      <c r="F28469">
        <v>2210052</v>
      </c>
      <c r="G28469" t="s">
        <v>1070</v>
      </c>
      <c r="H28469" s="21">
        <v>579.91999999999996</v>
      </c>
    </row>
    <row r="28470" spans="1:8" customFormat="1" x14ac:dyDescent="0.25">
      <c r="A28470" t="str">
        <f>"715744"</f>
        <v>715744</v>
      </c>
      <c r="B28470" t="s">
        <v>28063</v>
      </c>
      <c r="C28470" t="s">
        <v>1597</v>
      </c>
      <c r="D28470" s="21" t="s">
        <v>34</v>
      </c>
      <c r="E28470" s="21" t="s">
        <v>1089</v>
      </c>
      <c r="F28470">
        <v>2710035</v>
      </c>
      <c r="G28470" t="s">
        <v>7300</v>
      </c>
      <c r="H28470" s="21">
        <v>579.91999999999996</v>
      </c>
    </row>
    <row r="28471" spans="1:8" customFormat="1" x14ac:dyDescent="0.25">
      <c r="A28471" t="str">
        <f>"1716336"</f>
        <v>1716336</v>
      </c>
      <c r="B28471" t="s">
        <v>509</v>
      </c>
      <c r="C28471" t="s">
        <v>33</v>
      </c>
      <c r="D28471" s="21" t="s">
        <v>34</v>
      </c>
      <c r="E28471" s="21" t="s">
        <v>71</v>
      </c>
      <c r="F28471">
        <v>10170035</v>
      </c>
      <c r="G28471" t="s">
        <v>12942</v>
      </c>
      <c r="H28471" s="21">
        <v>579.91999999999996</v>
      </c>
    </row>
    <row r="28472" spans="1:8" customFormat="1" x14ac:dyDescent="0.25">
      <c r="A28472" t="str">
        <f>"653470"</f>
        <v>653470</v>
      </c>
      <c r="B28472" t="s">
        <v>5291</v>
      </c>
      <c r="C28472" t="s">
        <v>40</v>
      </c>
      <c r="D28472" s="21" t="s">
        <v>34</v>
      </c>
      <c r="E28472" s="21" t="s">
        <v>35</v>
      </c>
      <c r="F28472">
        <v>11650016</v>
      </c>
      <c r="G28472" t="s">
        <v>9559</v>
      </c>
      <c r="H28472" s="21">
        <v>579.79</v>
      </c>
    </row>
    <row r="28473" spans="1:8" customFormat="1" x14ac:dyDescent="0.25">
      <c r="A28473" t="str">
        <f>"4440870"</f>
        <v>4440870</v>
      </c>
      <c r="B28473" t="s">
        <v>19894</v>
      </c>
      <c r="C28473" t="s">
        <v>62</v>
      </c>
      <c r="D28473" s="21" t="s">
        <v>34</v>
      </c>
      <c r="E28473" s="21" t="s">
        <v>35</v>
      </c>
      <c r="F28473">
        <v>12440023</v>
      </c>
      <c r="G28473" t="s">
        <v>3507</v>
      </c>
      <c r="H28473" s="21">
        <v>579.66999999999996</v>
      </c>
    </row>
    <row r="28474" spans="1:8" customFormat="1" x14ac:dyDescent="0.25">
      <c r="A28474" t="str">
        <f>"1312599"</f>
        <v>1312599</v>
      </c>
      <c r="B28474" t="s">
        <v>19431</v>
      </c>
      <c r="C28474" t="s">
        <v>412</v>
      </c>
      <c r="D28474" s="21" t="s">
        <v>34</v>
      </c>
      <c r="E28474" s="21" t="s">
        <v>1089</v>
      </c>
      <c r="F28474">
        <v>13130162</v>
      </c>
      <c r="G28474" t="s">
        <v>13411</v>
      </c>
      <c r="H28474" s="21">
        <v>579.66999999999996</v>
      </c>
    </row>
    <row r="28475" spans="1:8" customFormat="1" x14ac:dyDescent="0.25">
      <c r="A28475" t="str">
        <f>"2916218"</f>
        <v>2916218</v>
      </c>
      <c r="B28475" t="s">
        <v>14412</v>
      </c>
      <c r="C28475" t="s">
        <v>879</v>
      </c>
      <c r="D28475" s="21" t="s">
        <v>34</v>
      </c>
      <c r="E28475" s="21" t="s">
        <v>71</v>
      </c>
      <c r="F28475">
        <v>3290037</v>
      </c>
      <c r="G28475" t="s">
        <v>11628</v>
      </c>
      <c r="H28475" s="21">
        <v>579.66999999999996</v>
      </c>
    </row>
    <row r="28476" spans="1:8" customFormat="1" x14ac:dyDescent="0.25">
      <c r="A28476" t="str">
        <f>"106525"</f>
        <v>106525</v>
      </c>
      <c r="B28476" t="s">
        <v>20040</v>
      </c>
      <c r="C28476" t="s">
        <v>43</v>
      </c>
      <c r="D28476" s="21" t="s">
        <v>34</v>
      </c>
      <c r="E28476" s="21" t="s">
        <v>35</v>
      </c>
      <c r="F28476">
        <v>6100046</v>
      </c>
      <c r="G28476" t="s">
        <v>12853</v>
      </c>
      <c r="H28476" s="21">
        <v>579.66999999999996</v>
      </c>
    </row>
    <row r="28477" spans="1:8" customFormat="1" x14ac:dyDescent="0.25">
      <c r="A28477" t="str">
        <f>"8513250"</f>
        <v>8513250</v>
      </c>
      <c r="B28477" t="s">
        <v>11472</v>
      </c>
      <c r="C28477" t="s">
        <v>253</v>
      </c>
      <c r="D28477" s="21" t="s">
        <v>34</v>
      </c>
      <c r="E28477" s="21" t="s">
        <v>1089</v>
      </c>
      <c r="F28477">
        <v>12850001</v>
      </c>
      <c r="G28477" t="s">
        <v>1197</v>
      </c>
      <c r="H28477" s="21">
        <v>579.66999999999996</v>
      </c>
    </row>
    <row r="28478" spans="1:8" customFormat="1" x14ac:dyDescent="0.25">
      <c r="A28478" t="str">
        <f>"9456420"</f>
        <v>9456420</v>
      </c>
      <c r="B28478" t="s">
        <v>21701</v>
      </c>
      <c r="C28478" t="s">
        <v>249</v>
      </c>
      <c r="D28478" s="21" t="s">
        <v>34</v>
      </c>
      <c r="E28478" s="21" t="s">
        <v>35</v>
      </c>
      <c r="F28478">
        <v>8940926</v>
      </c>
      <c r="G28478" t="s">
        <v>4065</v>
      </c>
      <c r="H28478" s="21">
        <v>579.66999999999996</v>
      </c>
    </row>
    <row r="28479" spans="1:8" customFormat="1" x14ac:dyDescent="0.25">
      <c r="A28479" t="str">
        <f>"7711052"</f>
        <v>7711052</v>
      </c>
      <c r="B28479" t="s">
        <v>20843</v>
      </c>
      <c r="C28479" t="s">
        <v>130</v>
      </c>
      <c r="D28479" s="21" t="s">
        <v>34</v>
      </c>
      <c r="E28479" s="21" t="s">
        <v>71</v>
      </c>
      <c r="F28479">
        <v>8771394</v>
      </c>
      <c r="G28479" t="s">
        <v>1933</v>
      </c>
      <c r="H28479" s="21">
        <v>579.66999999999996</v>
      </c>
    </row>
    <row r="28480" spans="1:8" customFormat="1" x14ac:dyDescent="0.25">
      <c r="A28480" t="str">
        <f>"5313606"</f>
        <v>5313606</v>
      </c>
      <c r="B28480" t="s">
        <v>3367</v>
      </c>
      <c r="C28480" t="s">
        <v>415</v>
      </c>
      <c r="D28480" s="21" t="s">
        <v>34</v>
      </c>
      <c r="E28480" s="21" t="s">
        <v>254</v>
      </c>
      <c r="F28480">
        <v>12530147</v>
      </c>
      <c r="G28480" t="s">
        <v>1851</v>
      </c>
      <c r="H28480" s="21">
        <v>579.66999999999996</v>
      </c>
    </row>
    <row r="28481" spans="1:8" customFormat="1" x14ac:dyDescent="0.25">
      <c r="A28481" t="str">
        <f>"6316058"</f>
        <v>6316058</v>
      </c>
      <c r="B28481" t="s">
        <v>1833</v>
      </c>
      <c r="C28481" t="s">
        <v>269</v>
      </c>
      <c r="D28481" s="21" t="s">
        <v>34</v>
      </c>
      <c r="E28481" s="21" t="s">
        <v>71</v>
      </c>
      <c r="F28481">
        <v>1630182</v>
      </c>
      <c r="G28481" t="s">
        <v>20702</v>
      </c>
      <c r="H28481" s="21">
        <v>579.66999999999996</v>
      </c>
    </row>
    <row r="28482" spans="1:8" customFormat="1" x14ac:dyDescent="0.25">
      <c r="A28482" t="str">
        <f>"5972265"</f>
        <v>5972265</v>
      </c>
      <c r="B28482" t="s">
        <v>108</v>
      </c>
      <c r="C28482" t="s">
        <v>253</v>
      </c>
      <c r="D28482" s="21" t="s">
        <v>34</v>
      </c>
      <c r="E28482" s="21" t="s">
        <v>1089</v>
      </c>
      <c r="F28482">
        <v>7590012</v>
      </c>
      <c r="G28482" t="s">
        <v>15886</v>
      </c>
      <c r="H28482" s="21">
        <v>579.66999999999996</v>
      </c>
    </row>
    <row r="28483" spans="1:8" customFormat="1" x14ac:dyDescent="0.25">
      <c r="A28483" t="str">
        <f>"5326445"</f>
        <v>5326445</v>
      </c>
      <c r="B28483" t="s">
        <v>28064</v>
      </c>
      <c r="C28483" t="s">
        <v>2786</v>
      </c>
      <c r="D28483" s="21" t="s">
        <v>34</v>
      </c>
      <c r="E28483" s="21" t="s">
        <v>35</v>
      </c>
      <c r="F28483">
        <v>12530068</v>
      </c>
      <c r="G28483" t="s">
        <v>5165</v>
      </c>
      <c r="H28483" s="21">
        <v>579.66999999999996</v>
      </c>
    </row>
    <row r="28484" spans="1:8" customFormat="1" x14ac:dyDescent="0.25">
      <c r="A28484" t="str">
        <f>"3527590"</f>
        <v>3527590</v>
      </c>
      <c r="B28484" t="s">
        <v>21263</v>
      </c>
      <c r="C28484" t="s">
        <v>209</v>
      </c>
      <c r="D28484" s="21" t="s">
        <v>34</v>
      </c>
      <c r="E28484" s="21" t="s">
        <v>35</v>
      </c>
      <c r="F28484">
        <v>3350217</v>
      </c>
      <c r="G28484" t="s">
        <v>6797</v>
      </c>
      <c r="H28484" s="21">
        <v>579.66999999999996</v>
      </c>
    </row>
    <row r="28485" spans="1:8" customFormat="1" x14ac:dyDescent="0.25">
      <c r="A28485" t="str">
        <f>"6316424"</f>
        <v>6316424</v>
      </c>
      <c r="B28485" t="s">
        <v>23170</v>
      </c>
      <c r="C28485" t="s">
        <v>239</v>
      </c>
      <c r="D28485" s="21" t="s">
        <v>34</v>
      </c>
      <c r="E28485" s="21" t="s">
        <v>1089</v>
      </c>
      <c r="F28485">
        <v>1630320</v>
      </c>
      <c r="G28485" t="s">
        <v>4046</v>
      </c>
      <c r="H28485" s="21">
        <v>579.66999999999996</v>
      </c>
    </row>
    <row r="28486" spans="1:8" customFormat="1" x14ac:dyDescent="0.25">
      <c r="A28486" t="str">
        <f>"7515638"</f>
        <v>7515638</v>
      </c>
      <c r="B28486" t="s">
        <v>8001</v>
      </c>
      <c r="C28486" t="s">
        <v>288</v>
      </c>
      <c r="D28486" s="21" t="s">
        <v>34</v>
      </c>
      <c r="E28486" s="21" t="s">
        <v>35</v>
      </c>
      <c r="F28486">
        <v>8920140</v>
      </c>
      <c r="G28486" t="s">
        <v>3762</v>
      </c>
      <c r="H28486" s="21">
        <v>579.66999999999996</v>
      </c>
    </row>
    <row r="28487" spans="1:8" customFormat="1" x14ac:dyDescent="0.25">
      <c r="A28487" t="str">
        <f>"7612958"</f>
        <v>7612958</v>
      </c>
      <c r="B28487" t="s">
        <v>990</v>
      </c>
      <c r="C28487" t="s">
        <v>462</v>
      </c>
      <c r="D28487" s="21" t="s">
        <v>34</v>
      </c>
      <c r="E28487" s="21" t="s">
        <v>71</v>
      </c>
      <c r="F28487">
        <v>9760308</v>
      </c>
      <c r="G28487" t="s">
        <v>8917</v>
      </c>
      <c r="H28487" s="21">
        <v>579.66999999999996</v>
      </c>
    </row>
    <row r="28488" spans="1:8" customFormat="1" x14ac:dyDescent="0.25">
      <c r="A28488" t="str">
        <f>"1711429"</f>
        <v>1711429</v>
      </c>
      <c r="B28488" t="s">
        <v>22206</v>
      </c>
      <c r="C28488" t="s">
        <v>14756</v>
      </c>
      <c r="D28488" s="21" t="s">
        <v>34</v>
      </c>
      <c r="E28488" s="21" t="s">
        <v>254</v>
      </c>
      <c r="F28488">
        <v>12850008</v>
      </c>
      <c r="G28488" t="s">
        <v>4248</v>
      </c>
      <c r="H28488" s="21">
        <v>579.66999999999996</v>
      </c>
    </row>
    <row r="28489" spans="1:8" customFormat="1" x14ac:dyDescent="0.25">
      <c r="A28489" t="str">
        <f>"3537957"</f>
        <v>3537957</v>
      </c>
      <c r="B28489" t="s">
        <v>28065</v>
      </c>
      <c r="C28489" t="s">
        <v>55</v>
      </c>
      <c r="D28489" s="21" t="s">
        <v>34</v>
      </c>
      <c r="E28489" s="21" t="s">
        <v>254</v>
      </c>
      <c r="F28489">
        <v>3350009</v>
      </c>
      <c r="G28489" t="s">
        <v>1823</v>
      </c>
      <c r="H28489" s="21">
        <v>579.66999999999996</v>
      </c>
    </row>
    <row r="28490" spans="1:8" customFormat="1" x14ac:dyDescent="0.25">
      <c r="A28490" t="str">
        <f>"2714929"</f>
        <v>2714929</v>
      </c>
      <c r="B28490" t="s">
        <v>1180</v>
      </c>
      <c r="C28490" t="s">
        <v>1142</v>
      </c>
      <c r="D28490" s="21" t="s">
        <v>34</v>
      </c>
      <c r="E28490" s="21" t="s">
        <v>254</v>
      </c>
      <c r="F28490">
        <v>9270077</v>
      </c>
      <c r="G28490" t="s">
        <v>3228</v>
      </c>
      <c r="H28490" s="21">
        <v>579.66999999999996</v>
      </c>
    </row>
    <row r="28491" spans="1:8" customFormat="1" x14ac:dyDescent="0.25">
      <c r="A28491" t="str">
        <f>"4457555"</f>
        <v>4457555</v>
      </c>
      <c r="B28491" t="s">
        <v>356</v>
      </c>
      <c r="C28491" t="s">
        <v>2322</v>
      </c>
      <c r="D28491" s="21" t="s">
        <v>34</v>
      </c>
      <c r="E28491" s="21" t="s">
        <v>35</v>
      </c>
      <c r="F28491">
        <v>12440048</v>
      </c>
      <c r="G28491" t="s">
        <v>2090</v>
      </c>
      <c r="H28491" s="21">
        <v>579.66999999999996</v>
      </c>
    </row>
    <row r="28492" spans="1:8" customFormat="1" x14ac:dyDescent="0.25">
      <c r="A28492" t="str">
        <f>"6225405"</f>
        <v>6225405</v>
      </c>
      <c r="B28492" t="s">
        <v>9871</v>
      </c>
      <c r="C28492" t="s">
        <v>2365</v>
      </c>
      <c r="D28492" s="21" t="s">
        <v>34</v>
      </c>
      <c r="E28492" s="21" t="s">
        <v>35</v>
      </c>
      <c r="F28492">
        <v>7620175</v>
      </c>
      <c r="G28492" t="s">
        <v>15163</v>
      </c>
      <c r="H28492" s="21">
        <v>579.66999999999996</v>
      </c>
    </row>
    <row r="28493" spans="1:8" customFormat="1" x14ac:dyDescent="0.25">
      <c r="A28493" t="str">
        <f>"6111712"</f>
        <v>6111712</v>
      </c>
      <c r="B28493" t="s">
        <v>3957</v>
      </c>
      <c r="C28493" t="s">
        <v>1559</v>
      </c>
      <c r="D28493" s="21" t="s">
        <v>34</v>
      </c>
      <c r="E28493" s="21" t="s">
        <v>35</v>
      </c>
      <c r="F28493">
        <v>9610119</v>
      </c>
      <c r="G28493" t="s">
        <v>6655</v>
      </c>
      <c r="H28493" s="21">
        <v>579.66999999999996</v>
      </c>
    </row>
    <row r="28494" spans="1:8" customFormat="1" x14ac:dyDescent="0.25">
      <c r="A28494" t="str">
        <f>"6725097"</f>
        <v>6725097</v>
      </c>
      <c r="B28494" t="s">
        <v>19949</v>
      </c>
      <c r="C28494" t="s">
        <v>239</v>
      </c>
      <c r="D28494" s="21" t="s">
        <v>34</v>
      </c>
      <c r="E28494" s="21" t="s">
        <v>35</v>
      </c>
      <c r="F28494">
        <v>6670027</v>
      </c>
      <c r="G28494" t="s">
        <v>2791</v>
      </c>
      <c r="H28494" s="21">
        <v>579.66999999999996</v>
      </c>
    </row>
    <row r="28495" spans="1:8" customFormat="1" x14ac:dyDescent="0.25">
      <c r="A28495" t="str">
        <f>"9245302"</f>
        <v>9245302</v>
      </c>
      <c r="B28495" t="s">
        <v>21698</v>
      </c>
      <c r="C28495" t="s">
        <v>121</v>
      </c>
      <c r="D28495" s="21" t="s">
        <v>34</v>
      </c>
      <c r="E28495" s="21" t="s">
        <v>35</v>
      </c>
      <c r="F28495">
        <v>8920312</v>
      </c>
      <c r="G28495" t="s">
        <v>1026</v>
      </c>
      <c r="H28495" s="21">
        <v>579.66999999999996</v>
      </c>
    </row>
    <row r="28496" spans="1:8" customFormat="1" x14ac:dyDescent="0.25">
      <c r="A28496" t="str">
        <f>"5019374"</f>
        <v>5019374</v>
      </c>
      <c r="B28496" t="s">
        <v>21189</v>
      </c>
      <c r="C28496" t="s">
        <v>2904</v>
      </c>
      <c r="D28496" s="21" t="s">
        <v>34</v>
      </c>
      <c r="E28496" s="21" t="s">
        <v>35</v>
      </c>
      <c r="F28496">
        <v>9500069</v>
      </c>
      <c r="G28496" t="s">
        <v>26997</v>
      </c>
      <c r="H28496" s="21">
        <v>579.66999999999996</v>
      </c>
    </row>
    <row r="28497" spans="1:8" customFormat="1" x14ac:dyDescent="0.25">
      <c r="A28497" t="str">
        <f>"7212544"</f>
        <v>7212544</v>
      </c>
      <c r="B28497" t="s">
        <v>28066</v>
      </c>
      <c r="C28497" t="s">
        <v>236</v>
      </c>
      <c r="D28497" s="21" t="s">
        <v>34</v>
      </c>
      <c r="E28497" s="21" t="s">
        <v>71</v>
      </c>
      <c r="F28497">
        <v>12720027</v>
      </c>
      <c r="G28497" t="s">
        <v>3562</v>
      </c>
      <c r="H28497" s="21">
        <v>579.66999999999996</v>
      </c>
    </row>
    <row r="28498" spans="1:8" customFormat="1" x14ac:dyDescent="0.25">
      <c r="A28498" t="str">
        <f>"687407"</f>
        <v>687407</v>
      </c>
      <c r="B28498" t="s">
        <v>28067</v>
      </c>
      <c r="C28498" t="s">
        <v>169</v>
      </c>
      <c r="D28498" s="21" t="s">
        <v>34</v>
      </c>
      <c r="E28498" s="21" t="s">
        <v>254</v>
      </c>
      <c r="F28498">
        <v>6680090</v>
      </c>
      <c r="G28498" t="s">
        <v>3129</v>
      </c>
      <c r="H28498" s="21">
        <v>579.66999999999996</v>
      </c>
    </row>
    <row r="28499" spans="1:8" customFormat="1" x14ac:dyDescent="0.25">
      <c r="A28499" t="str">
        <f>"2930479"</f>
        <v>2930479</v>
      </c>
      <c r="B28499" t="s">
        <v>1341</v>
      </c>
      <c r="C28499" t="s">
        <v>2520</v>
      </c>
      <c r="D28499" s="21" t="s">
        <v>34</v>
      </c>
      <c r="E28499" s="21" t="s">
        <v>1089</v>
      </c>
      <c r="F28499">
        <v>3290090</v>
      </c>
      <c r="G28499" t="s">
        <v>1390</v>
      </c>
      <c r="H28499" s="21">
        <v>579.66999999999996</v>
      </c>
    </row>
    <row r="28500" spans="1:8" customFormat="1" x14ac:dyDescent="0.25">
      <c r="A28500" t="str">
        <f>"371671"</f>
        <v>371671</v>
      </c>
      <c r="B28500" t="s">
        <v>697</v>
      </c>
      <c r="C28500" t="s">
        <v>65</v>
      </c>
      <c r="D28500" s="21" t="s">
        <v>34</v>
      </c>
      <c r="E28500" s="21" t="s">
        <v>35</v>
      </c>
      <c r="F28500">
        <v>4370269</v>
      </c>
      <c r="G28500" t="s">
        <v>4277</v>
      </c>
      <c r="H28500" s="21">
        <v>579.54</v>
      </c>
    </row>
    <row r="28501" spans="1:8" customFormat="1" x14ac:dyDescent="0.25">
      <c r="A28501" t="str">
        <f>"8019877"</f>
        <v>8019877</v>
      </c>
      <c r="B28501" t="s">
        <v>22524</v>
      </c>
      <c r="C28501" t="s">
        <v>598</v>
      </c>
      <c r="D28501" s="21" t="s">
        <v>34</v>
      </c>
      <c r="E28501" s="21" t="s">
        <v>71</v>
      </c>
      <c r="F28501">
        <v>7800018</v>
      </c>
      <c r="G28501" t="s">
        <v>10207</v>
      </c>
      <c r="H28501" s="21">
        <v>579.5</v>
      </c>
    </row>
    <row r="28502" spans="1:8" customFormat="1" x14ac:dyDescent="0.25">
      <c r="A28502" t="str">
        <f>"1315081"</f>
        <v>1315081</v>
      </c>
      <c r="B28502" t="s">
        <v>21642</v>
      </c>
      <c r="C28502" t="s">
        <v>202</v>
      </c>
      <c r="D28502" s="21" t="s">
        <v>34</v>
      </c>
      <c r="E28502" s="21" t="s">
        <v>71</v>
      </c>
      <c r="F28502">
        <v>13130154</v>
      </c>
      <c r="G28502" t="s">
        <v>5503</v>
      </c>
      <c r="H28502" s="21">
        <v>579.41999999999996</v>
      </c>
    </row>
    <row r="28503" spans="1:8" customFormat="1" x14ac:dyDescent="0.25">
      <c r="A28503" t="str">
        <f>"2937064"</f>
        <v>2937064</v>
      </c>
      <c r="B28503" t="s">
        <v>22284</v>
      </c>
      <c r="C28503" t="s">
        <v>60</v>
      </c>
      <c r="D28503" s="21" t="s">
        <v>34</v>
      </c>
      <c r="E28503" s="21" t="s">
        <v>35</v>
      </c>
      <c r="F28503">
        <v>3290200</v>
      </c>
      <c r="G28503" t="s">
        <v>3488</v>
      </c>
      <c r="H28503" s="21">
        <v>579.41999999999996</v>
      </c>
    </row>
    <row r="28504" spans="1:8" customFormat="1" x14ac:dyDescent="0.25">
      <c r="A28504" t="str">
        <f>"2935405"</f>
        <v>2935405</v>
      </c>
      <c r="B28504" t="s">
        <v>13238</v>
      </c>
      <c r="C28504" t="s">
        <v>267</v>
      </c>
      <c r="D28504" s="21" t="s">
        <v>34</v>
      </c>
      <c r="E28504" s="21" t="s">
        <v>35</v>
      </c>
      <c r="F28504">
        <v>3290044</v>
      </c>
      <c r="G28504" t="s">
        <v>3897</v>
      </c>
      <c r="H28504" s="21">
        <v>579.41999999999996</v>
      </c>
    </row>
    <row r="28505" spans="1:8" customFormat="1" x14ac:dyDescent="0.25">
      <c r="A28505" t="str">
        <f>"4453777"</f>
        <v>4453777</v>
      </c>
      <c r="B28505" t="s">
        <v>11106</v>
      </c>
      <c r="C28505" t="s">
        <v>169</v>
      </c>
      <c r="D28505" s="21" t="s">
        <v>34</v>
      </c>
      <c r="E28505" s="21" t="s">
        <v>35</v>
      </c>
      <c r="F28505">
        <v>12440058</v>
      </c>
      <c r="G28505" t="s">
        <v>394</v>
      </c>
      <c r="H28505" s="21">
        <v>579.16999999999996</v>
      </c>
    </row>
    <row r="28506" spans="1:8" customFormat="1" x14ac:dyDescent="0.25">
      <c r="A28506" t="str">
        <f>"5973817"</f>
        <v>5973817</v>
      </c>
      <c r="B28506" t="s">
        <v>7608</v>
      </c>
      <c r="C28506" t="s">
        <v>206</v>
      </c>
      <c r="D28506" s="21" t="s">
        <v>34</v>
      </c>
      <c r="E28506" s="21" t="s">
        <v>35</v>
      </c>
      <c r="F28506">
        <v>7590228</v>
      </c>
      <c r="G28506" t="s">
        <v>1798</v>
      </c>
      <c r="H28506" s="21">
        <v>579.16999999999996</v>
      </c>
    </row>
    <row r="28507" spans="1:8" customFormat="1" x14ac:dyDescent="0.25">
      <c r="A28507" t="str">
        <f>"6813936"</f>
        <v>6813936</v>
      </c>
      <c r="B28507" t="s">
        <v>6487</v>
      </c>
      <c r="C28507" t="s">
        <v>547</v>
      </c>
      <c r="D28507" s="21" t="s">
        <v>34</v>
      </c>
      <c r="E28507" s="21" t="s">
        <v>1089</v>
      </c>
      <c r="F28507">
        <v>6680006</v>
      </c>
      <c r="G28507" t="s">
        <v>5266</v>
      </c>
      <c r="H28507" s="21">
        <v>579.16999999999996</v>
      </c>
    </row>
    <row r="28508" spans="1:8" customFormat="1" x14ac:dyDescent="0.25">
      <c r="A28508" t="str">
        <f>"688109"</f>
        <v>688109</v>
      </c>
      <c r="B28508" t="s">
        <v>19434</v>
      </c>
      <c r="C28508" t="s">
        <v>328</v>
      </c>
      <c r="D28508" s="21" t="s">
        <v>34</v>
      </c>
      <c r="E28508" s="21" t="s">
        <v>35</v>
      </c>
      <c r="F28508">
        <v>6680071</v>
      </c>
      <c r="G28508" t="s">
        <v>2899</v>
      </c>
      <c r="H28508" s="21">
        <v>579.16999999999996</v>
      </c>
    </row>
    <row r="28509" spans="1:8" customFormat="1" x14ac:dyDescent="0.25">
      <c r="A28509" t="str">
        <f>"051146"</f>
        <v>051146</v>
      </c>
      <c r="B28509" t="s">
        <v>8671</v>
      </c>
      <c r="C28509" t="s">
        <v>198</v>
      </c>
      <c r="D28509" s="21" t="s">
        <v>34</v>
      </c>
      <c r="E28509" s="21" t="s">
        <v>71</v>
      </c>
      <c r="F28509">
        <v>13050008</v>
      </c>
      <c r="G28509" t="s">
        <v>12322</v>
      </c>
      <c r="H28509" s="21">
        <v>579.16999999999996</v>
      </c>
    </row>
    <row r="28510" spans="1:8" customFormat="1" x14ac:dyDescent="0.25">
      <c r="A28510" t="str">
        <f>"4214104"</f>
        <v>4214104</v>
      </c>
      <c r="B28510" t="s">
        <v>20454</v>
      </c>
      <c r="C28510" t="s">
        <v>40</v>
      </c>
      <c r="D28510" s="21" t="s">
        <v>34</v>
      </c>
      <c r="E28510" s="21" t="s">
        <v>71</v>
      </c>
      <c r="F28510">
        <v>1420149</v>
      </c>
      <c r="G28510" t="s">
        <v>818</v>
      </c>
      <c r="H28510" s="21">
        <v>579.16999999999996</v>
      </c>
    </row>
    <row r="28511" spans="1:8" customFormat="1" x14ac:dyDescent="0.25">
      <c r="A28511" t="str">
        <f>"2933801"</f>
        <v>2933801</v>
      </c>
      <c r="B28511" t="s">
        <v>24243</v>
      </c>
      <c r="C28511" t="s">
        <v>249</v>
      </c>
      <c r="D28511" s="21" t="s">
        <v>34</v>
      </c>
      <c r="E28511" s="21" t="s">
        <v>35</v>
      </c>
      <c r="F28511">
        <v>3290039</v>
      </c>
      <c r="G28511" t="s">
        <v>3988</v>
      </c>
      <c r="H28511" s="21">
        <v>579.16999999999996</v>
      </c>
    </row>
    <row r="28512" spans="1:8" customFormat="1" x14ac:dyDescent="0.25">
      <c r="A28512" t="str">
        <f>"2939444"</f>
        <v>2939444</v>
      </c>
      <c r="B28512" t="s">
        <v>17891</v>
      </c>
      <c r="C28512" t="s">
        <v>4238</v>
      </c>
      <c r="D28512" s="21" t="s">
        <v>34</v>
      </c>
      <c r="E28512" s="21" t="s">
        <v>35</v>
      </c>
      <c r="F28512">
        <v>3290277</v>
      </c>
      <c r="G28512" t="s">
        <v>1671</v>
      </c>
      <c r="H28512" s="21">
        <v>579.16999999999996</v>
      </c>
    </row>
    <row r="28513" spans="1:8" customFormat="1" x14ac:dyDescent="0.25">
      <c r="A28513" t="str">
        <f>"898247"</f>
        <v>898247</v>
      </c>
      <c r="B28513" t="s">
        <v>2746</v>
      </c>
      <c r="C28513" t="s">
        <v>285</v>
      </c>
      <c r="D28513" s="21" t="s">
        <v>34</v>
      </c>
      <c r="E28513" s="21" t="s">
        <v>35</v>
      </c>
      <c r="F28513">
        <v>2890061</v>
      </c>
      <c r="G28513" t="s">
        <v>13076</v>
      </c>
      <c r="H28513" s="21">
        <v>579.16999999999996</v>
      </c>
    </row>
    <row r="28514" spans="1:8" customFormat="1" x14ac:dyDescent="0.25">
      <c r="A28514" t="str">
        <f>"9250163"</f>
        <v>9250163</v>
      </c>
      <c r="B28514" t="s">
        <v>108</v>
      </c>
      <c r="C28514" t="s">
        <v>576</v>
      </c>
      <c r="D28514" s="21" t="s">
        <v>34</v>
      </c>
      <c r="E28514" s="21" t="s">
        <v>35</v>
      </c>
      <c r="F28514">
        <v>8920018</v>
      </c>
      <c r="G28514" t="s">
        <v>1281</v>
      </c>
      <c r="H28514" s="21">
        <v>579.16999999999996</v>
      </c>
    </row>
    <row r="28515" spans="1:8" customFormat="1" x14ac:dyDescent="0.25">
      <c r="A28515" t="str">
        <f>"9456634"</f>
        <v>9456634</v>
      </c>
      <c r="B28515" t="s">
        <v>20857</v>
      </c>
      <c r="C28515" t="s">
        <v>109</v>
      </c>
      <c r="D28515" s="21" t="s">
        <v>34</v>
      </c>
      <c r="E28515" s="21" t="s">
        <v>71</v>
      </c>
      <c r="F28515">
        <v>8941352</v>
      </c>
      <c r="G28515" t="s">
        <v>3778</v>
      </c>
      <c r="H28515" s="21">
        <v>579.16999999999996</v>
      </c>
    </row>
    <row r="28516" spans="1:8" customFormat="1" x14ac:dyDescent="0.25">
      <c r="A28516" t="str">
        <f>"038606"</f>
        <v>038606</v>
      </c>
      <c r="B28516" t="s">
        <v>970</v>
      </c>
      <c r="C28516" t="s">
        <v>204</v>
      </c>
      <c r="D28516" s="21" t="s">
        <v>34</v>
      </c>
      <c r="E28516" s="21" t="s">
        <v>35</v>
      </c>
      <c r="F28516">
        <v>1030316</v>
      </c>
      <c r="G28516" t="s">
        <v>19924</v>
      </c>
      <c r="H28516" s="21">
        <v>579.16999999999996</v>
      </c>
    </row>
    <row r="28517" spans="1:8" customFormat="1" x14ac:dyDescent="0.25">
      <c r="A28517" t="str">
        <f>"1716602"</f>
        <v>1716602</v>
      </c>
      <c r="B28517" t="s">
        <v>16773</v>
      </c>
      <c r="C28517" t="s">
        <v>149</v>
      </c>
      <c r="D28517" s="21" t="s">
        <v>34</v>
      </c>
      <c r="E28517" s="21" t="s">
        <v>35</v>
      </c>
      <c r="F28517">
        <v>10170012</v>
      </c>
      <c r="G28517" t="s">
        <v>14768</v>
      </c>
      <c r="H28517" s="21">
        <v>579.16999999999996</v>
      </c>
    </row>
    <row r="28518" spans="1:8" customFormat="1" x14ac:dyDescent="0.25">
      <c r="A28518" t="str">
        <f>"2721340"</f>
        <v>2721340</v>
      </c>
      <c r="B28518" t="s">
        <v>10835</v>
      </c>
      <c r="C28518" t="s">
        <v>244</v>
      </c>
      <c r="D28518" s="21" t="s">
        <v>34</v>
      </c>
      <c r="E28518" s="21" t="s">
        <v>35</v>
      </c>
      <c r="F28518">
        <v>9270030</v>
      </c>
      <c r="G28518" t="s">
        <v>5853</v>
      </c>
      <c r="H28518" s="21">
        <v>579.16999999999996</v>
      </c>
    </row>
    <row r="28519" spans="1:8" customFormat="1" x14ac:dyDescent="0.25">
      <c r="A28519" t="str">
        <f>"9522828"</f>
        <v>9522828</v>
      </c>
      <c r="B28519" t="s">
        <v>6985</v>
      </c>
      <c r="C28519" t="s">
        <v>249</v>
      </c>
      <c r="D28519" s="21" t="s">
        <v>34</v>
      </c>
      <c r="E28519" s="21" t="s">
        <v>71</v>
      </c>
      <c r="F28519">
        <v>8951273</v>
      </c>
      <c r="G28519" t="s">
        <v>2382</v>
      </c>
      <c r="H28519" s="21">
        <v>579.16999999999996</v>
      </c>
    </row>
    <row r="28520" spans="1:8" customFormat="1" x14ac:dyDescent="0.25">
      <c r="A28520" t="str">
        <f>"3523914"</f>
        <v>3523914</v>
      </c>
      <c r="B28520" t="s">
        <v>20645</v>
      </c>
      <c r="C28520" t="s">
        <v>236</v>
      </c>
      <c r="D28520" s="21" t="s">
        <v>34</v>
      </c>
      <c r="E28520" s="21" t="s">
        <v>254</v>
      </c>
      <c r="F28520">
        <v>3350048</v>
      </c>
      <c r="G28520" t="s">
        <v>2303</v>
      </c>
      <c r="H28520" s="21">
        <v>579.16999999999996</v>
      </c>
    </row>
    <row r="28521" spans="1:8" customFormat="1" x14ac:dyDescent="0.25">
      <c r="A28521" t="str">
        <f>"5922426"</f>
        <v>5922426</v>
      </c>
      <c r="B28521" t="s">
        <v>19760</v>
      </c>
      <c r="C28521" t="s">
        <v>19761</v>
      </c>
      <c r="D28521" s="21" t="s">
        <v>34</v>
      </c>
      <c r="E28521" s="21" t="s">
        <v>71</v>
      </c>
      <c r="F28521">
        <v>7590048</v>
      </c>
      <c r="G28521" t="s">
        <v>4608</v>
      </c>
      <c r="H28521" s="21">
        <v>579.16999999999996</v>
      </c>
    </row>
    <row r="28522" spans="1:8" customFormat="1" x14ac:dyDescent="0.25">
      <c r="A28522" t="str">
        <f>"0114898"</f>
        <v>0114898</v>
      </c>
      <c r="B28522" t="s">
        <v>21081</v>
      </c>
      <c r="C28522" t="s">
        <v>544</v>
      </c>
      <c r="D28522" s="21" t="s">
        <v>34</v>
      </c>
      <c r="E28522" s="21" t="s">
        <v>35</v>
      </c>
      <c r="F28522">
        <v>1010027</v>
      </c>
      <c r="G28522" t="s">
        <v>6318</v>
      </c>
      <c r="H28522" s="21">
        <v>579.16999999999996</v>
      </c>
    </row>
    <row r="28523" spans="1:8" customFormat="1" x14ac:dyDescent="0.25">
      <c r="A28523" t="str">
        <f>"02145"</f>
        <v>02145</v>
      </c>
      <c r="B28523" t="s">
        <v>19445</v>
      </c>
      <c r="C28523" t="s">
        <v>879</v>
      </c>
      <c r="D28523" s="21" t="s">
        <v>34</v>
      </c>
      <c r="E28523" s="21" t="s">
        <v>1089</v>
      </c>
      <c r="F28523">
        <v>7590086</v>
      </c>
      <c r="G28523" t="s">
        <v>3557</v>
      </c>
      <c r="H28523" s="21">
        <v>579.16999999999996</v>
      </c>
    </row>
    <row r="28524" spans="1:8" customFormat="1" x14ac:dyDescent="0.25">
      <c r="A28524" t="str">
        <f>"1320831"</f>
        <v>1320831</v>
      </c>
      <c r="B28524" t="s">
        <v>22072</v>
      </c>
      <c r="C28524" t="s">
        <v>22073</v>
      </c>
      <c r="D28524" s="21" t="s">
        <v>34</v>
      </c>
      <c r="E28524" s="21" t="s">
        <v>35</v>
      </c>
      <c r="F28524">
        <v>13130152</v>
      </c>
      <c r="G28524" t="s">
        <v>906</v>
      </c>
      <c r="H28524" s="21">
        <v>579.16999999999996</v>
      </c>
    </row>
    <row r="28525" spans="1:8" customFormat="1" x14ac:dyDescent="0.25">
      <c r="A28525" t="str">
        <f>"8527722"</f>
        <v>8527722</v>
      </c>
      <c r="B28525" t="s">
        <v>6507</v>
      </c>
      <c r="C28525" t="s">
        <v>187</v>
      </c>
      <c r="D28525" s="21" t="s">
        <v>34</v>
      </c>
      <c r="E28525" s="21" t="s">
        <v>71</v>
      </c>
      <c r="F28525">
        <v>12850024</v>
      </c>
      <c r="G28525" t="s">
        <v>140</v>
      </c>
      <c r="H28525" s="21">
        <v>579.16999999999996</v>
      </c>
    </row>
    <row r="28526" spans="1:8" customFormat="1" x14ac:dyDescent="0.25">
      <c r="A28526" t="str">
        <f>"876380"</f>
        <v>876380</v>
      </c>
      <c r="B28526" t="s">
        <v>19779</v>
      </c>
      <c r="C28526" t="s">
        <v>2520</v>
      </c>
      <c r="D28526" s="21" t="s">
        <v>34</v>
      </c>
      <c r="E28526" s="21" t="s">
        <v>71</v>
      </c>
      <c r="F28526">
        <v>10870128</v>
      </c>
      <c r="G28526" t="s">
        <v>9710</v>
      </c>
      <c r="H28526" s="21">
        <v>579.16999999999996</v>
      </c>
    </row>
    <row r="28527" spans="1:8" customFormat="1" x14ac:dyDescent="0.25">
      <c r="A28527" t="str">
        <f>"5912665"</f>
        <v>5912665</v>
      </c>
      <c r="B28527" t="s">
        <v>20233</v>
      </c>
      <c r="C28527" t="s">
        <v>211</v>
      </c>
      <c r="D28527" s="21" t="s">
        <v>34</v>
      </c>
      <c r="E28527" s="21" t="s">
        <v>71</v>
      </c>
      <c r="F28527">
        <v>7590263</v>
      </c>
      <c r="G28527" t="s">
        <v>895</v>
      </c>
      <c r="H28527" s="21">
        <v>579.16999999999996</v>
      </c>
    </row>
    <row r="28528" spans="1:8" customFormat="1" x14ac:dyDescent="0.25">
      <c r="A28528" t="str">
        <f>"6023388"</f>
        <v>6023388</v>
      </c>
      <c r="B28528" t="s">
        <v>2078</v>
      </c>
      <c r="C28528" t="s">
        <v>43</v>
      </c>
      <c r="D28528" s="21" t="s">
        <v>34</v>
      </c>
      <c r="E28528" s="21" t="s">
        <v>35</v>
      </c>
      <c r="F28528">
        <v>7600018</v>
      </c>
      <c r="G28528" t="s">
        <v>5838</v>
      </c>
      <c r="H28528" s="21">
        <v>579.16999999999996</v>
      </c>
    </row>
    <row r="28529" spans="1:8" customFormat="1" x14ac:dyDescent="0.25">
      <c r="A28529" t="str">
        <f>"418544"</f>
        <v>418544</v>
      </c>
      <c r="B28529" t="s">
        <v>9687</v>
      </c>
      <c r="C28529" t="s">
        <v>33</v>
      </c>
      <c r="D28529" s="21" t="s">
        <v>34</v>
      </c>
      <c r="E28529" s="21" t="s">
        <v>71</v>
      </c>
      <c r="F28529">
        <v>4410718</v>
      </c>
      <c r="G28529" t="s">
        <v>5963</v>
      </c>
      <c r="H28529" s="21">
        <v>579.16999999999996</v>
      </c>
    </row>
    <row r="28530" spans="1:8" customFormat="1" x14ac:dyDescent="0.25">
      <c r="A28530" t="str">
        <f>"7510216"</f>
        <v>7510216</v>
      </c>
      <c r="B28530" t="s">
        <v>20309</v>
      </c>
      <c r="C28530" t="s">
        <v>415</v>
      </c>
      <c r="D28530" s="21" t="s">
        <v>34</v>
      </c>
      <c r="E28530" s="21" t="s">
        <v>254</v>
      </c>
      <c r="F28530">
        <v>8751058</v>
      </c>
      <c r="G28530" t="s">
        <v>4202</v>
      </c>
      <c r="H28530" s="21">
        <v>579.16999999999996</v>
      </c>
    </row>
    <row r="28531" spans="1:8" customFormat="1" x14ac:dyDescent="0.25">
      <c r="A28531" t="str">
        <f>"5720566"</f>
        <v>5720566</v>
      </c>
      <c r="B28531" t="s">
        <v>20297</v>
      </c>
      <c r="C28531" t="s">
        <v>486</v>
      </c>
      <c r="D28531" s="21" t="s">
        <v>34</v>
      </c>
      <c r="E28531" s="21" t="s">
        <v>35</v>
      </c>
      <c r="F28531">
        <v>6570029</v>
      </c>
      <c r="G28531" t="s">
        <v>2977</v>
      </c>
      <c r="H28531" s="21">
        <v>579.16999999999996</v>
      </c>
    </row>
    <row r="28532" spans="1:8" customFormat="1" x14ac:dyDescent="0.25">
      <c r="A28532" t="str">
        <f>"9147783"</f>
        <v>9147783</v>
      </c>
      <c r="B28532" t="s">
        <v>9541</v>
      </c>
      <c r="C28532" t="s">
        <v>169</v>
      </c>
      <c r="D28532" s="21" t="s">
        <v>34</v>
      </c>
      <c r="E28532" s="21" t="s">
        <v>254</v>
      </c>
      <c r="F28532">
        <v>8910102</v>
      </c>
      <c r="G28532" t="s">
        <v>3079</v>
      </c>
      <c r="H28532" s="21">
        <v>579.12</v>
      </c>
    </row>
    <row r="28533" spans="1:8" customFormat="1" x14ac:dyDescent="0.25">
      <c r="A28533" t="str">
        <f>"7524492"</f>
        <v>7524492</v>
      </c>
      <c r="B28533" t="s">
        <v>2067</v>
      </c>
      <c r="C28533" t="s">
        <v>275</v>
      </c>
      <c r="D28533" s="21" t="s">
        <v>34</v>
      </c>
      <c r="E28533" s="21" t="s">
        <v>35</v>
      </c>
      <c r="F28533">
        <v>8750117</v>
      </c>
      <c r="G28533" t="s">
        <v>3516</v>
      </c>
      <c r="H28533" s="21">
        <v>579.04</v>
      </c>
    </row>
    <row r="28534" spans="1:8" customFormat="1" x14ac:dyDescent="0.25">
      <c r="A28534" t="str">
        <f>"9237043"</f>
        <v>9237043</v>
      </c>
      <c r="B28534" t="s">
        <v>2983</v>
      </c>
      <c r="C28534" t="s">
        <v>21448</v>
      </c>
      <c r="D28534" s="21" t="s">
        <v>34</v>
      </c>
      <c r="E28534" s="21" t="s">
        <v>35</v>
      </c>
      <c r="F28534">
        <v>8920063</v>
      </c>
      <c r="G28534" t="s">
        <v>219</v>
      </c>
      <c r="H28534" s="21">
        <v>579.04</v>
      </c>
    </row>
    <row r="28535" spans="1:8" customFormat="1" x14ac:dyDescent="0.25">
      <c r="A28535" t="str">
        <f>"9418814"</f>
        <v>9418814</v>
      </c>
      <c r="B28535" t="s">
        <v>28068</v>
      </c>
      <c r="C28535" t="s">
        <v>1819</v>
      </c>
      <c r="D28535" s="21" t="s">
        <v>34</v>
      </c>
      <c r="E28535" s="21" t="s">
        <v>35</v>
      </c>
      <c r="F28535">
        <v>8941352</v>
      </c>
      <c r="G28535" t="s">
        <v>3778</v>
      </c>
      <c r="H28535" s="21">
        <v>579</v>
      </c>
    </row>
    <row r="28536" spans="1:8" customFormat="1" x14ac:dyDescent="0.25">
      <c r="A28536" t="str">
        <f>"34768"</f>
        <v>34768</v>
      </c>
      <c r="B28536" t="s">
        <v>19534</v>
      </c>
      <c r="C28536" t="s">
        <v>720</v>
      </c>
      <c r="D28536" s="21" t="s">
        <v>34</v>
      </c>
      <c r="E28536" s="21" t="s">
        <v>1089</v>
      </c>
      <c r="F28536">
        <v>11340012</v>
      </c>
      <c r="G28536" t="s">
        <v>10413</v>
      </c>
      <c r="H28536" s="21">
        <v>578.91999999999996</v>
      </c>
    </row>
    <row r="28537" spans="1:8" customFormat="1" x14ac:dyDescent="0.25">
      <c r="A28537" t="str">
        <f>"267962"</f>
        <v>267962</v>
      </c>
      <c r="B28537" t="s">
        <v>20913</v>
      </c>
      <c r="C28537" t="s">
        <v>249</v>
      </c>
      <c r="D28537" s="21" t="s">
        <v>34</v>
      </c>
      <c r="E28537" s="21" t="s">
        <v>71</v>
      </c>
      <c r="F28537">
        <v>1260040</v>
      </c>
      <c r="G28537" t="s">
        <v>10768</v>
      </c>
      <c r="H28537" s="21">
        <v>578.91999999999996</v>
      </c>
    </row>
    <row r="28538" spans="1:8" customFormat="1" x14ac:dyDescent="0.25">
      <c r="A28538" t="str">
        <f>"721652"</f>
        <v>721652</v>
      </c>
      <c r="B28538" t="s">
        <v>10072</v>
      </c>
      <c r="C28538" t="s">
        <v>253</v>
      </c>
      <c r="D28538" s="21" t="s">
        <v>34</v>
      </c>
      <c r="E28538" s="21" t="s">
        <v>1089</v>
      </c>
      <c r="F28538">
        <v>12720028</v>
      </c>
      <c r="G28538" t="s">
        <v>4381</v>
      </c>
      <c r="H28538" s="21">
        <v>578.91999999999996</v>
      </c>
    </row>
    <row r="28539" spans="1:8" customFormat="1" x14ac:dyDescent="0.25">
      <c r="A28539" t="str">
        <f>"7913390"</f>
        <v>7913390</v>
      </c>
      <c r="B28539" t="s">
        <v>2981</v>
      </c>
      <c r="C28539" t="s">
        <v>263</v>
      </c>
      <c r="D28539" s="21" t="s">
        <v>34</v>
      </c>
      <c r="E28539" s="21" t="s">
        <v>35</v>
      </c>
      <c r="F28539">
        <v>10790015</v>
      </c>
      <c r="G28539" t="s">
        <v>12820</v>
      </c>
      <c r="H28539" s="21">
        <v>578.91999999999996</v>
      </c>
    </row>
    <row r="28540" spans="1:8" customFormat="1" x14ac:dyDescent="0.25">
      <c r="A28540" t="str">
        <f>"5323544"</f>
        <v>5323544</v>
      </c>
      <c r="B28540" t="s">
        <v>18962</v>
      </c>
      <c r="C28540" t="s">
        <v>2479</v>
      </c>
      <c r="D28540" s="21" t="s">
        <v>34</v>
      </c>
      <c r="E28540" s="21" t="s">
        <v>71</v>
      </c>
      <c r="F28540">
        <v>12530058</v>
      </c>
      <c r="G28540" t="s">
        <v>3128</v>
      </c>
      <c r="H28540" s="21">
        <v>578.91999999999996</v>
      </c>
    </row>
    <row r="28541" spans="1:8" customFormat="1" x14ac:dyDescent="0.25">
      <c r="A28541" t="str">
        <f>"639003"</f>
        <v>639003</v>
      </c>
      <c r="B28541" t="s">
        <v>5066</v>
      </c>
      <c r="C28541" t="s">
        <v>156</v>
      </c>
      <c r="D28541" s="21" t="s">
        <v>34</v>
      </c>
      <c r="E28541" s="21" t="s">
        <v>254</v>
      </c>
      <c r="F28541">
        <v>1630241</v>
      </c>
      <c r="G28541" t="s">
        <v>4519</v>
      </c>
      <c r="H28541" s="21">
        <v>578.66999999999996</v>
      </c>
    </row>
    <row r="28542" spans="1:8" customFormat="1" x14ac:dyDescent="0.25">
      <c r="A28542" t="str">
        <f>"5618327"</f>
        <v>5618327</v>
      </c>
      <c r="B28542" t="s">
        <v>14791</v>
      </c>
      <c r="C28542" t="s">
        <v>1841</v>
      </c>
      <c r="D28542" s="21" t="s">
        <v>34</v>
      </c>
      <c r="E28542" s="21" t="s">
        <v>1089</v>
      </c>
      <c r="F28542">
        <v>3560092</v>
      </c>
      <c r="G28542" t="s">
        <v>10630</v>
      </c>
      <c r="H28542" s="21">
        <v>578.66999999999996</v>
      </c>
    </row>
    <row r="28543" spans="1:8" customFormat="1" x14ac:dyDescent="0.25">
      <c r="A28543" t="str">
        <f>"1317148"</f>
        <v>1317148</v>
      </c>
      <c r="B28543" t="s">
        <v>21277</v>
      </c>
      <c r="C28543" t="s">
        <v>169</v>
      </c>
      <c r="D28543" s="21" t="s">
        <v>34</v>
      </c>
      <c r="E28543" s="21" t="s">
        <v>71</v>
      </c>
      <c r="F28543">
        <v>13130124</v>
      </c>
      <c r="G28543" t="s">
        <v>5311</v>
      </c>
      <c r="H28543" s="21">
        <v>578.66999999999996</v>
      </c>
    </row>
    <row r="28544" spans="1:8" customFormat="1" x14ac:dyDescent="0.25">
      <c r="A28544" t="str">
        <f>"3521561"</f>
        <v>3521561</v>
      </c>
      <c r="B28544" t="s">
        <v>21320</v>
      </c>
      <c r="C28544" t="s">
        <v>598</v>
      </c>
      <c r="D28544" s="21" t="s">
        <v>34</v>
      </c>
      <c r="E28544" s="21" t="s">
        <v>254</v>
      </c>
      <c r="F28544">
        <v>3350009</v>
      </c>
      <c r="G28544" t="s">
        <v>1823</v>
      </c>
      <c r="H28544" s="21">
        <v>578.66999999999996</v>
      </c>
    </row>
    <row r="28545" spans="1:8" customFormat="1" x14ac:dyDescent="0.25">
      <c r="A28545" t="str">
        <f>"5326404"</f>
        <v>5326404</v>
      </c>
      <c r="B28545" t="s">
        <v>1087</v>
      </c>
      <c r="C28545" t="s">
        <v>119</v>
      </c>
      <c r="D28545" s="21" t="s">
        <v>34</v>
      </c>
      <c r="E28545" s="21" t="s">
        <v>35</v>
      </c>
      <c r="F28545">
        <v>12538907</v>
      </c>
      <c r="G28545" t="s">
        <v>9299</v>
      </c>
      <c r="H28545" s="21">
        <v>578.66999999999996</v>
      </c>
    </row>
    <row r="28546" spans="1:8" customFormat="1" x14ac:dyDescent="0.25">
      <c r="A28546" t="str">
        <f>"89668"</f>
        <v>89668</v>
      </c>
      <c r="B28546" t="s">
        <v>19898</v>
      </c>
      <c r="C28546" t="s">
        <v>202</v>
      </c>
      <c r="D28546" s="21" t="s">
        <v>34</v>
      </c>
      <c r="E28546" s="21" t="s">
        <v>1089</v>
      </c>
      <c r="F28546">
        <v>2890023</v>
      </c>
      <c r="G28546" t="s">
        <v>1995</v>
      </c>
      <c r="H28546" s="21">
        <v>578.66999999999996</v>
      </c>
    </row>
    <row r="28547" spans="1:8" customFormat="1" x14ac:dyDescent="0.25">
      <c r="A28547" t="str">
        <f>"3419884"</f>
        <v>3419884</v>
      </c>
      <c r="B28547" t="s">
        <v>20327</v>
      </c>
      <c r="C28547" t="s">
        <v>124</v>
      </c>
      <c r="D28547" s="21" t="s">
        <v>34</v>
      </c>
      <c r="E28547" s="21" t="s">
        <v>71</v>
      </c>
      <c r="F28547">
        <v>11340012</v>
      </c>
      <c r="G28547" t="s">
        <v>10413</v>
      </c>
      <c r="H28547" s="21">
        <v>578.66999999999996</v>
      </c>
    </row>
    <row r="28548" spans="1:8" customFormat="1" x14ac:dyDescent="0.25">
      <c r="A28548" t="str">
        <f>"8313350"</f>
        <v>8313350</v>
      </c>
      <c r="B28548" t="s">
        <v>19899</v>
      </c>
      <c r="C28548" t="s">
        <v>55</v>
      </c>
      <c r="D28548" s="21" t="s">
        <v>34</v>
      </c>
      <c r="E28548" s="21" t="s">
        <v>35</v>
      </c>
      <c r="F28548">
        <v>13830086</v>
      </c>
      <c r="G28548" t="s">
        <v>19900</v>
      </c>
      <c r="H28548" s="21">
        <v>578.66999999999996</v>
      </c>
    </row>
    <row r="28549" spans="1:8" customFormat="1" x14ac:dyDescent="0.25">
      <c r="A28549" t="str">
        <f>"7621874"</f>
        <v>7621874</v>
      </c>
      <c r="B28549" t="s">
        <v>21184</v>
      </c>
      <c r="C28549" t="s">
        <v>263</v>
      </c>
      <c r="D28549" s="21" t="s">
        <v>34</v>
      </c>
      <c r="E28549" s="21" t="s">
        <v>254</v>
      </c>
      <c r="F28549">
        <v>9760366</v>
      </c>
      <c r="G28549" t="s">
        <v>7640</v>
      </c>
      <c r="H28549" s="21">
        <v>578.66999999999996</v>
      </c>
    </row>
    <row r="28550" spans="1:8" customFormat="1" x14ac:dyDescent="0.25">
      <c r="A28550" t="str">
        <f>"5324569"</f>
        <v>5324569</v>
      </c>
      <c r="B28550" t="s">
        <v>7096</v>
      </c>
      <c r="C28550" t="s">
        <v>2132</v>
      </c>
      <c r="D28550" s="21" t="s">
        <v>34</v>
      </c>
      <c r="E28550" s="21" t="s">
        <v>35</v>
      </c>
      <c r="F28550">
        <v>12530078</v>
      </c>
      <c r="G28550" t="s">
        <v>3677</v>
      </c>
      <c r="H28550" s="21">
        <v>578.66999999999996</v>
      </c>
    </row>
    <row r="28551" spans="1:8" customFormat="1" x14ac:dyDescent="0.25">
      <c r="A28551" t="str">
        <f>"87467"</f>
        <v>87467</v>
      </c>
      <c r="B28551" t="s">
        <v>1295</v>
      </c>
      <c r="C28551" t="s">
        <v>236</v>
      </c>
      <c r="D28551" s="21" t="s">
        <v>34</v>
      </c>
      <c r="E28551" s="21" t="s">
        <v>254</v>
      </c>
      <c r="F28551">
        <v>10870017</v>
      </c>
      <c r="G28551" t="s">
        <v>26875</v>
      </c>
      <c r="H28551" s="21">
        <v>578.66999999999996</v>
      </c>
    </row>
    <row r="28552" spans="1:8" customFormat="1" x14ac:dyDescent="0.25">
      <c r="A28552" t="str">
        <f>"7728504"</f>
        <v>7728504</v>
      </c>
      <c r="B28552" t="s">
        <v>19410</v>
      </c>
      <c r="C28552" t="s">
        <v>598</v>
      </c>
      <c r="D28552" s="21" t="s">
        <v>34</v>
      </c>
      <c r="E28552" s="21" t="s">
        <v>254</v>
      </c>
      <c r="F28552">
        <v>8771514</v>
      </c>
      <c r="G28552" t="s">
        <v>10058</v>
      </c>
      <c r="H28552" s="21">
        <v>578.66999999999996</v>
      </c>
    </row>
    <row r="28553" spans="1:8" customFormat="1" x14ac:dyDescent="0.25">
      <c r="A28553" t="str">
        <f>"5310693"</f>
        <v>5310693</v>
      </c>
      <c r="B28553" t="s">
        <v>8077</v>
      </c>
      <c r="C28553" t="s">
        <v>121</v>
      </c>
      <c r="D28553" s="21" t="s">
        <v>34</v>
      </c>
      <c r="E28553" s="21" t="s">
        <v>35</v>
      </c>
      <c r="F28553">
        <v>3560022</v>
      </c>
      <c r="G28553" t="s">
        <v>2547</v>
      </c>
      <c r="H28553" s="21">
        <v>578.66999999999996</v>
      </c>
    </row>
    <row r="28554" spans="1:8" customFormat="1" x14ac:dyDescent="0.25">
      <c r="A28554" t="str">
        <f>"7852483"</f>
        <v>7852483</v>
      </c>
      <c r="B28554" t="s">
        <v>2405</v>
      </c>
      <c r="C28554" t="s">
        <v>269</v>
      </c>
      <c r="D28554" s="21" t="s">
        <v>34</v>
      </c>
      <c r="E28554" s="21" t="s">
        <v>254</v>
      </c>
      <c r="F28554">
        <v>8780571</v>
      </c>
      <c r="G28554" t="s">
        <v>2336</v>
      </c>
      <c r="H28554" s="21">
        <v>578.66999999999996</v>
      </c>
    </row>
    <row r="28555" spans="1:8" customFormat="1" x14ac:dyDescent="0.25">
      <c r="A28555" t="str">
        <f>"106927"</f>
        <v>106927</v>
      </c>
      <c r="B28555" t="s">
        <v>20195</v>
      </c>
      <c r="C28555" t="s">
        <v>98</v>
      </c>
      <c r="D28555" s="21" t="s">
        <v>34</v>
      </c>
      <c r="E28555" s="21" t="s">
        <v>35</v>
      </c>
      <c r="F28555">
        <v>6100016</v>
      </c>
      <c r="G28555" t="s">
        <v>7558</v>
      </c>
      <c r="H28555" s="21">
        <v>578.66999999999996</v>
      </c>
    </row>
    <row r="28556" spans="1:8" customFormat="1" x14ac:dyDescent="0.25">
      <c r="A28556" t="str">
        <f>"4423686"</f>
        <v>4423686</v>
      </c>
      <c r="B28556" t="s">
        <v>14404</v>
      </c>
      <c r="C28556" t="s">
        <v>13740</v>
      </c>
      <c r="D28556" s="21" t="s">
        <v>34</v>
      </c>
      <c r="E28556" s="21" t="s">
        <v>254</v>
      </c>
      <c r="F28556">
        <v>12440092</v>
      </c>
      <c r="G28556" t="s">
        <v>8475</v>
      </c>
      <c r="H28556" s="21">
        <v>578.66999999999996</v>
      </c>
    </row>
    <row r="28557" spans="1:8" customFormat="1" x14ac:dyDescent="0.25">
      <c r="A28557" t="str">
        <f>"086351"</f>
        <v>086351</v>
      </c>
      <c r="B28557" t="s">
        <v>5339</v>
      </c>
      <c r="C28557" t="s">
        <v>263</v>
      </c>
      <c r="D28557" s="21" t="s">
        <v>34</v>
      </c>
      <c r="E28557" s="21" t="s">
        <v>71</v>
      </c>
      <c r="F28557">
        <v>6080064</v>
      </c>
      <c r="G28557" t="s">
        <v>5825</v>
      </c>
      <c r="H28557" s="21">
        <v>578.66999999999996</v>
      </c>
    </row>
    <row r="28558" spans="1:8" customFormat="1" x14ac:dyDescent="0.25">
      <c r="A28558" t="str">
        <f>"2938699"</f>
        <v>2938699</v>
      </c>
      <c r="B28558" t="s">
        <v>3197</v>
      </c>
      <c r="C28558" t="s">
        <v>867</v>
      </c>
      <c r="D28558" s="21" t="s">
        <v>34</v>
      </c>
      <c r="E28558" s="21" t="s">
        <v>35</v>
      </c>
      <c r="F28558">
        <v>3290215</v>
      </c>
      <c r="G28558" t="s">
        <v>5058</v>
      </c>
      <c r="H28558" s="21">
        <v>578.66999999999996</v>
      </c>
    </row>
    <row r="28559" spans="1:8" customFormat="1" x14ac:dyDescent="0.25">
      <c r="A28559" t="str">
        <f>"066815"</f>
        <v>066815</v>
      </c>
      <c r="B28559" t="s">
        <v>19879</v>
      </c>
      <c r="C28559" t="s">
        <v>119</v>
      </c>
      <c r="D28559" s="21" t="s">
        <v>34</v>
      </c>
      <c r="E28559" s="21" t="s">
        <v>71</v>
      </c>
      <c r="F28559">
        <v>13060005</v>
      </c>
      <c r="G28559" t="s">
        <v>3609</v>
      </c>
      <c r="H28559" s="21">
        <v>578.66999999999996</v>
      </c>
    </row>
    <row r="28560" spans="1:8" customFormat="1" x14ac:dyDescent="0.25">
      <c r="A28560" t="str">
        <f>"9B824"</f>
        <v>9B824</v>
      </c>
      <c r="B28560" t="s">
        <v>12077</v>
      </c>
      <c r="C28560" t="s">
        <v>469</v>
      </c>
      <c r="D28560" s="21" t="s">
        <v>34</v>
      </c>
      <c r="E28560" s="21" t="s">
        <v>71</v>
      </c>
      <c r="F28560" t="s">
        <v>17651</v>
      </c>
      <c r="G28560" t="s">
        <v>17652</v>
      </c>
      <c r="H28560" s="21">
        <v>578.54</v>
      </c>
    </row>
    <row r="28561" spans="1:8" customFormat="1" x14ac:dyDescent="0.25">
      <c r="A28561" t="str">
        <f>"5952840"</f>
        <v>5952840</v>
      </c>
      <c r="B28561" t="s">
        <v>4148</v>
      </c>
      <c r="C28561" t="s">
        <v>249</v>
      </c>
      <c r="D28561" s="21" t="s">
        <v>34</v>
      </c>
      <c r="E28561" s="21" t="s">
        <v>35</v>
      </c>
      <c r="F28561">
        <v>7590112</v>
      </c>
      <c r="G28561" t="s">
        <v>3534</v>
      </c>
      <c r="H28561" s="21">
        <v>578.54</v>
      </c>
    </row>
    <row r="28562" spans="1:8" customFormat="1" x14ac:dyDescent="0.25">
      <c r="A28562" t="str">
        <f>"5731827"</f>
        <v>5731827</v>
      </c>
      <c r="B28562" t="s">
        <v>20996</v>
      </c>
      <c r="C28562" t="s">
        <v>1841</v>
      </c>
      <c r="D28562" s="21" t="s">
        <v>34</v>
      </c>
      <c r="E28562" s="21" t="s">
        <v>71</v>
      </c>
      <c r="F28562">
        <v>6570177</v>
      </c>
      <c r="G28562" t="s">
        <v>2586</v>
      </c>
      <c r="H28562" s="21">
        <v>578.41999999999996</v>
      </c>
    </row>
    <row r="28563" spans="1:8" customFormat="1" x14ac:dyDescent="0.25">
      <c r="A28563" t="str">
        <f>"2617214"</f>
        <v>2617214</v>
      </c>
      <c r="B28563" t="s">
        <v>1525</v>
      </c>
      <c r="C28563" t="s">
        <v>13011</v>
      </c>
      <c r="D28563" s="21" t="s">
        <v>34</v>
      </c>
      <c r="E28563" s="21" t="s">
        <v>35</v>
      </c>
      <c r="F28563">
        <v>1260065</v>
      </c>
      <c r="G28563" t="s">
        <v>1958</v>
      </c>
      <c r="H28563" s="21">
        <v>578.41999999999996</v>
      </c>
    </row>
    <row r="28564" spans="1:8" customFormat="1" x14ac:dyDescent="0.25">
      <c r="A28564" t="str">
        <f>"8012486"</f>
        <v>8012486</v>
      </c>
      <c r="B28564" t="s">
        <v>20356</v>
      </c>
      <c r="C28564" t="s">
        <v>263</v>
      </c>
      <c r="D28564" s="21" t="s">
        <v>34</v>
      </c>
      <c r="E28564" s="21" t="s">
        <v>71</v>
      </c>
      <c r="F28564">
        <v>7800023</v>
      </c>
      <c r="G28564" t="s">
        <v>8137</v>
      </c>
      <c r="H28564" s="21">
        <v>578.16999999999996</v>
      </c>
    </row>
    <row r="28565" spans="1:8" customFormat="1" x14ac:dyDescent="0.25">
      <c r="A28565" t="str">
        <f>"3713827"</f>
        <v>3713827</v>
      </c>
      <c r="B28565" t="s">
        <v>18567</v>
      </c>
      <c r="C28565" t="s">
        <v>10961</v>
      </c>
      <c r="D28565" s="21" t="s">
        <v>34</v>
      </c>
      <c r="E28565" s="21" t="s">
        <v>35</v>
      </c>
      <c r="F28565">
        <v>4370396</v>
      </c>
      <c r="G28565" t="s">
        <v>14579</v>
      </c>
      <c r="H28565" s="21">
        <v>578.16999999999996</v>
      </c>
    </row>
    <row r="28566" spans="1:8" customFormat="1" x14ac:dyDescent="0.25">
      <c r="A28566" t="str">
        <f>"4525294"</f>
        <v>4525294</v>
      </c>
      <c r="B28566" t="s">
        <v>2405</v>
      </c>
      <c r="C28566" t="s">
        <v>49</v>
      </c>
      <c r="D28566" s="21" t="s">
        <v>34</v>
      </c>
      <c r="E28566" s="21" t="s">
        <v>35</v>
      </c>
      <c r="F28566">
        <v>4450614</v>
      </c>
      <c r="G28566" t="s">
        <v>13344</v>
      </c>
      <c r="H28566" s="21">
        <v>578.16999999999996</v>
      </c>
    </row>
    <row r="28567" spans="1:8" customFormat="1" x14ac:dyDescent="0.25">
      <c r="A28567" t="str">
        <f>"3832645"</f>
        <v>3832645</v>
      </c>
      <c r="B28567" t="s">
        <v>28069</v>
      </c>
      <c r="C28567" t="s">
        <v>631</v>
      </c>
      <c r="D28567" s="21" t="s">
        <v>34</v>
      </c>
      <c r="E28567" s="21" t="s">
        <v>35</v>
      </c>
      <c r="F28567">
        <v>1380267</v>
      </c>
      <c r="G28567" t="s">
        <v>1002</v>
      </c>
      <c r="H28567" s="21">
        <v>578.16999999999996</v>
      </c>
    </row>
    <row r="28568" spans="1:8" customFormat="1" x14ac:dyDescent="0.25">
      <c r="A28568" t="str">
        <f>"7725975"</f>
        <v>7725975</v>
      </c>
      <c r="B28568" t="s">
        <v>20224</v>
      </c>
      <c r="C28568" t="s">
        <v>169</v>
      </c>
      <c r="D28568" s="21" t="s">
        <v>34</v>
      </c>
      <c r="E28568" s="21" t="s">
        <v>35</v>
      </c>
      <c r="F28568">
        <v>8770426</v>
      </c>
      <c r="G28568" t="s">
        <v>1847</v>
      </c>
      <c r="H28568" s="21">
        <v>578.16999999999996</v>
      </c>
    </row>
    <row r="28569" spans="1:8" customFormat="1" x14ac:dyDescent="0.25">
      <c r="A28569" t="str">
        <f>"038827"</f>
        <v>038827</v>
      </c>
      <c r="B28569" t="s">
        <v>8933</v>
      </c>
      <c r="C28569" t="s">
        <v>1714</v>
      </c>
      <c r="D28569" s="21" t="s">
        <v>34</v>
      </c>
      <c r="E28569" s="21" t="s">
        <v>35</v>
      </c>
      <c r="F28569">
        <v>1030308</v>
      </c>
      <c r="G28569" t="s">
        <v>1485</v>
      </c>
      <c r="H28569" s="21">
        <v>578.16999999999996</v>
      </c>
    </row>
    <row r="28570" spans="1:8" customFormat="1" x14ac:dyDescent="0.25">
      <c r="A28570" t="str">
        <f>"2617872"</f>
        <v>2617872</v>
      </c>
      <c r="B28570" t="s">
        <v>22025</v>
      </c>
      <c r="C28570" t="s">
        <v>22026</v>
      </c>
      <c r="D28570" s="21" t="s">
        <v>34</v>
      </c>
      <c r="E28570" s="21" t="s">
        <v>35</v>
      </c>
      <c r="F28570">
        <v>1260055</v>
      </c>
      <c r="G28570" t="s">
        <v>8460</v>
      </c>
      <c r="H28570" s="21">
        <v>578.16999999999996</v>
      </c>
    </row>
    <row r="28571" spans="1:8" customFormat="1" x14ac:dyDescent="0.25">
      <c r="A28571" t="str">
        <f>"7640775"</f>
        <v>7640775</v>
      </c>
      <c r="B28571" t="s">
        <v>24066</v>
      </c>
      <c r="C28571" t="s">
        <v>130</v>
      </c>
      <c r="D28571" s="21" t="s">
        <v>34</v>
      </c>
      <c r="E28571" s="21" t="s">
        <v>1089</v>
      </c>
      <c r="F28571">
        <v>9760425</v>
      </c>
      <c r="G28571" t="s">
        <v>5012</v>
      </c>
      <c r="H28571" s="21">
        <v>578.16999999999996</v>
      </c>
    </row>
    <row r="28572" spans="1:8" customFormat="1" x14ac:dyDescent="0.25">
      <c r="A28572" t="str">
        <f>"7410022"</f>
        <v>7410022</v>
      </c>
      <c r="B28572" t="s">
        <v>461</v>
      </c>
      <c r="C28572" t="s">
        <v>462</v>
      </c>
      <c r="D28572" s="21" t="s">
        <v>34</v>
      </c>
      <c r="E28572" s="21" t="s">
        <v>35</v>
      </c>
      <c r="F28572">
        <v>1740020</v>
      </c>
      <c r="G28572" t="s">
        <v>881</v>
      </c>
      <c r="H28572" s="21">
        <v>578.16999999999996</v>
      </c>
    </row>
    <row r="28573" spans="1:8" customFormat="1" x14ac:dyDescent="0.25">
      <c r="A28573" t="str">
        <f>"6215009"</f>
        <v>6215009</v>
      </c>
      <c r="B28573" t="s">
        <v>21496</v>
      </c>
      <c r="C28573" t="s">
        <v>2520</v>
      </c>
      <c r="D28573" s="21" t="s">
        <v>34</v>
      </c>
      <c r="E28573" s="21" t="s">
        <v>71</v>
      </c>
      <c r="F28573">
        <v>7620002</v>
      </c>
      <c r="G28573" t="s">
        <v>11925</v>
      </c>
      <c r="H28573" s="21">
        <v>578.16999999999996</v>
      </c>
    </row>
    <row r="28574" spans="1:8" customFormat="1" x14ac:dyDescent="0.25">
      <c r="A28574" t="str">
        <f>"257075"</f>
        <v>257075</v>
      </c>
      <c r="B28574" t="s">
        <v>20039</v>
      </c>
      <c r="C28574" t="s">
        <v>1271</v>
      </c>
      <c r="D28574" s="21" t="s">
        <v>34</v>
      </c>
      <c r="E28574" s="21" t="s">
        <v>1089</v>
      </c>
      <c r="F28574">
        <v>2250229</v>
      </c>
      <c r="G28574" t="s">
        <v>5004</v>
      </c>
      <c r="H28574" s="21">
        <v>578.16999999999996</v>
      </c>
    </row>
    <row r="28575" spans="1:8" customFormat="1" x14ac:dyDescent="0.25">
      <c r="A28575" t="str">
        <f>"3716914"</f>
        <v>3716914</v>
      </c>
      <c r="B28575" t="s">
        <v>16420</v>
      </c>
      <c r="C28575" t="s">
        <v>328</v>
      </c>
      <c r="D28575" s="21" t="s">
        <v>34</v>
      </c>
      <c r="E28575" s="21" t="s">
        <v>35</v>
      </c>
      <c r="F28575">
        <v>4370625</v>
      </c>
      <c r="G28575" t="s">
        <v>16671</v>
      </c>
      <c r="H28575" s="21">
        <v>578.16999999999996</v>
      </c>
    </row>
    <row r="28576" spans="1:8" customFormat="1" x14ac:dyDescent="0.25">
      <c r="A28576" t="str">
        <f>"381434"</f>
        <v>381434</v>
      </c>
      <c r="B28576" t="s">
        <v>10772</v>
      </c>
      <c r="C28576" t="s">
        <v>598</v>
      </c>
      <c r="D28576" s="21" t="s">
        <v>34</v>
      </c>
      <c r="E28576" s="21" t="s">
        <v>1089</v>
      </c>
      <c r="F28576">
        <v>1380225</v>
      </c>
      <c r="G28576" t="s">
        <v>4441</v>
      </c>
      <c r="H28576" s="21">
        <v>578.16999999999996</v>
      </c>
    </row>
    <row r="28577" spans="1:8" customFormat="1" x14ac:dyDescent="0.25">
      <c r="A28577" t="str">
        <f>"4111423"</f>
        <v>4111423</v>
      </c>
      <c r="B28577" t="s">
        <v>20312</v>
      </c>
      <c r="C28577" t="s">
        <v>246</v>
      </c>
      <c r="D28577" s="21" t="s">
        <v>34</v>
      </c>
      <c r="E28577" s="21" t="s">
        <v>254</v>
      </c>
      <c r="F28577">
        <v>4410418</v>
      </c>
      <c r="G28577" t="s">
        <v>14427</v>
      </c>
      <c r="H28577" s="21">
        <v>578</v>
      </c>
    </row>
    <row r="28578" spans="1:8" customFormat="1" x14ac:dyDescent="0.25">
      <c r="A28578" t="str">
        <f>"2928511"</f>
        <v>2928511</v>
      </c>
      <c r="B28578" t="s">
        <v>21088</v>
      </c>
      <c r="C28578" t="s">
        <v>415</v>
      </c>
      <c r="D28578" s="21" t="s">
        <v>34</v>
      </c>
      <c r="E28578" s="21" t="s">
        <v>254</v>
      </c>
      <c r="F28578">
        <v>3290249</v>
      </c>
      <c r="G28578" t="s">
        <v>7914</v>
      </c>
      <c r="H28578" s="21">
        <v>577.91999999999996</v>
      </c>
    </row>
    <row r="28579" spans="1:8" customFormat="1" x14ac:dyDescent="0.25">
      <c r="A28579" t="str">
        <f>"6725218"</f>
        <v>6725218</v>
      </c>
      <c r="B28579" t="s">
        <v>2210</v>
      </c>
      <c r="C28579" t="s">
        <v>169</v>
      </c>
      <c r="D28579" s="21" t="s">
        <v>34</v>
      </c>
      <c r="E28579" s="21" t="s">
        <v>35</v>
      </c>
      <c r="F28579">
        <v>6670256</v>
      </c>
      <c r="G28579" t="s">
        <v>14348</v>
      </c>
      <c r="H28579" s="21">
        <v>577.91999999999996</v>
      </c>
    </row>
    <row r="28580" spans="1:8" customFormat="1" x14ac:dyDescent="0.25">
      <c r="A28580" t="str">
        <f>"6230776"</f>
        <v>6230776</v>
      </c>
      <c r="B28580" t="s">
        <v>28070</v>
      </c>
      <c r="C28580" t="s">
        <v>3073</v>
      </c>
      <c r="D28580" s="21" t="s">
        <v>34</v>
      </c>
      <c r="E28580" s="21" t="s">
        <v>254</v>
      </c>
      <c r="F28580">
        <v>7620027</v>
      </c>
      <c r="G28580" t="s">
        <v>980</v>
      </c>
      <c r="H28580" s="21">
        <v>577.66999999999996</v>
      </c>
    </row>
    <row r="28581" spans="1:8" customFormat="1" x14ac:dyDescent="0.25">
      <c r="A28581" t="str">
        <f>"6229757"</f>
        <v>6229757</v>
      </c>
      <c r="B28581" t="s">
        <v>21458</v>
      </c>
      <c r="C28581" t="s">
        <v>1812</v>
      </c>
      <c r="D28581" s="21" t="s">
        <v>34</v>
      </c>
      <c r="E28581" s="21" t="s">
        <v>71</v>
      </c>
      <c r="F28581">
        <v>7620042</v>
      </c>
      <c r="G28581" t="s">
        <v>8102</v>
      </c>
      <c r="H28581" s="21">
        <v>577.66999999999996</v>
      </c>
    </row>
    <row r="28582" spans="1:8" customFormat="1" x14ac:dyDescent="0.25">
      <c r="A28582" t="str">
        <f>"286014"</f>
        <v>286014</v>
      </c>
      <c r="B28582" t="s">
        <v>19129</v>
      </c>
      <c r="C28582" t="s">
        <v>209</v>
      </c>
      <c r="D28582" s="21" t="s">
        <v>34</v>
      </c>
      <c r="E28582" s="21" t="s">
        <v>35</v>
      </c>
      <c r="F28582">
        <v>4280617</v>
      </c>
      <c r="G28582" t="s">
        <v>8540</v>
      </c>
      <c r="H28582" s="21">
        <v>577.66999999999996</v>
      </c>
    </row>
    <row r="28583" spans="1:8" customFormat="1" x14ac:dyDescent="0.25">
      <c r="A28583" t="str">
        <f>"6215166"</f>
        <v>6215166</v>
      </c>
      <c r="B28583" t="s">
        <v>3428</v>
      </c>
      <c r="C28583" t="s">
        <v>209</v>
      </c>
      <c r="D28583" s="21" t="s">
        <v>34</v>
      </c>
      <c r="E28583" s="21" t="s">
        <v>71</v>
      </c>
      <c r="F28583">
        <v>7620121</v>
      </c>
      <c r="G28583" t="s">
        <v>7146</v>
      </c>
      <c r="H28583" s="21">
        <v>577.66999999999996</v>
      </c>
    </row>
    <row r="28584" spans="1:8" customFormat="1" x14ac:dyDescent="0.25">
      <c r="A28584" t="str">
        <f>"4936471"</f>
        <v>4936471</v>
      </c>
      <c r="B28584" t="s">
        <v>1538</v>
      </c>
      <c r="C28584" t="s">
        <v>611</v>
      </c>
      <c r="D28584" s="21" t="s">
        <v>34</v>
      </c>
      <c r="E28584" s="21" t="s">
        <v>35</v>
      </c>
      <c r="F28584">
        <v>12490036</v>
      </c>
      <c r="G28584" t="s">
        <v>6557</v>
      </c>
      <c r="H28584" s="21">
        <v>577.66999999999996</v>
      </c>
    </row>
    <row r="28585" spans="1:8" customFormat="1" x14ac:dyDescent="0.25">
      <c r="A28585" t="str">
        <f>"5946050"</f>
        <v>5946050</v>
      </c>
      <c r="B28585" t="s">
        <v>5885</v>
      </c>
      <c r="C28585" t="s">
        <v>87</v>
      </c>
      <c r="D28585" s="21" t="s">
        <v>34</v>
      </c>
      <c r="E28585" s="21" t="s">
        <v>35</v>
      </c>
      <c r="F28585">
        <v>7590361</v>
      </c>
      <c r="G28585" t="s">
        <v>3071</v>
      </c>
      <c r="H28585" s="21">
        <v>577.66999999999996</v>
      </c>
    </row>
    <row r="28586" spans="1:8" customFormat="1" x14ac:dyDescent="0.25">
      <c r="A28586" t="str">
        <f>"8017689"</f>
        <v>8017689</v>
      </c>
      <c r="B28586" t="s">
        <v>19707</v>
      </c>
      <c r="C28586" t="s">
        <v>55</v>
      </c>
      <c r="D28586" s="21" t="s">
        <v>34</v>
      </c>
      <c r="E28586" s="21" t="s">
        <v>35</v>
      </c>
      <c r="F28586">
        <v>7800140</v>
      </c>
      <c r="G28586" t="s">
        <v>14290</v>
      </c>
      <c r="H28586" s="21">
        <v>577.66999999999996</v>
      </c>
    </row>
    <row r="28587" spans="1:8" customFormat="1" x14ac:dyDescent="0.25">
      <c r="A28587" t="str">
        <f>"9D2527"</f>
        <v>9D2527</v>
      </c>
      <c r="B28587" t="s">
        <v>20619</v>
      </c>
      <c r="C28587" t="s">
        <v>20620</v>
      </c>
      <c r="D28587" s="21" t="s">
        <v>34</v>
      </c>
      <c r="E28587" s="21" t="s">
        <v>35</v>
      </c>
      <c r="F28587" t="s">
        <v>5881</v>
      </c>
      <c r="G28587" t="s">
        <v>5882</v>
      </c>
      <c r="H28587" s="21">
        <v>577.66999999999996</v>
      </c>
    </row>
    <row r="28588" spans="1:8" customFormat="1" x14ac:dyDescent="0.25">
      <c r="A28588" t="str">
        <f>"025246"</f>
        <v>025246</v>
      </c>
      <c r="B28588" t="s">
        <v>13272</v>
      </c>
      <c r="C28588" t="s">
        <v>267</v>
      </c>
      <c r="D28588" s="21" t="s">
        <v>34</v>
      </c>
      <c r="E28588" s="21" t="s">
        <v>254</v>
      </c>
      <c r="F28588">
        <v>7020013</v>
      </c>
      <c r="G28588" t="s">
        <v>14136</v>
      </c>
      <c r="H28588" s="21">
        <v>577.66999999999996</v>
      </c>
    </row>
    <row r="28589" spans="1:8" customFormat="1" x14ac:dyDescent="0.25">
      <c r="A28589" t="str">
        <f>"7878887"</f>
        <v>7878887</v>
      </c>
      <c r="B28589" t="s">
        <v>24220</v>
      </c>
      <c r="C28589" t="s">
        <v>1675</v>
      </c>
      <c r="D28589" s="21" t="s">
        <v>34</v>
      </c>
      <c r="E28589" s="21" t="s">
        <v>35</v>
      </c>
      <c r="F28589">
        <v>8780224</v>
      </c>
      <c r="G28589" t="s">
        <v>8599</v>
      </c>
      <c r="H28589" s="21">
        <v>577.66999999999996</v>
      </c>
    </row>
    <row r="28590" spans="1:8" customFormat="1" x14ac:dyDescent="0.25">
      <c r="A28590" t="str">
        <f>"1317432"</f>
        <v>1317432</v>
      </c>
      <c r="B28590" t="s">
        <v>19949</v>
      </c>
      <c r="C28590" t="s">
        <v>55</v>
      </c>
      <c r="D28590" s="21" t="s">
        <v>34</v>
      </c>
      <c r="E28590" s="21" t="s">
        <v>71</v>
      </c>
      <c r="F28590">
        <v>13130146</v>
      </c>
      <c r="G28590" t="s">
        <v>2471</v>
      </c>
      <c r="H28590" s="21">
        <v>577.66999999999996</v>
      </c>
    </row>
    <row r="28591" spans="1:8" customFormat="1" x14ac:dyDescent="0.25">
      <c r="A28591" t="str">
        <f>"1314548"</f>
        <v>1314548</v>
      </c>
      <c r="B28591" t="s">
        <v>19741</v>
      </c>
      <c r="C28591" t="s">
        <v>462</v>
      </c>
      <c r="D28591" s="21" t="s">
        <v>34</v>
      </c>
      <c r="E28591" s="21" t="s">
        <v>254</v>
      </c>
      <c r="F28591">
        <v>13130161</v>
      </c>
      <c r="G28591" t="s">
        <v>1171</v>
      </c>
      <c r="H28591" s="21">
        <v>577.66999999999996</v>
      </c>
    </row>
    <row r="28592" spans="1:8" customFormat="1" x14ac:dyDescent="0.25">
      <c r="A28592" t="str">
        <f>"4922713"</f>
        <v>4922713</v>
      </c>
      <c r="B28592" t="s">
        <v>7072</v>
      </c>
      <c r="C28592" t="s">
        <v>121</v>
      </c>
      <c r="D28592" s="21" t="s">
        <v>34</v>
      </c>
      <c r="E28592" s="21" t="s">
        <v>254</v>
      </c>
      <c r="F28592">
        <v>12490001</v>
      </c>
      <c r="G28592" t="s">
        <v>19038</v>
      </c>
      <c r="H28592" s="21">
        <v>577.66999999999996</v>
      </c>
    </row>
    <row r="28593" spans="1:8" customFormat="1" x14ac:dyDescent="0.25">
      <c r="A28593" t="str">
        <f>"3825867"</f>
        <v>3825867</v>
      </c>
      <c r="B28593" t="s">
        <v>19225</v>
      </c>
      <c r="C28593" t="s">
        <v>484</v>
      </c>
      <c r="D28593" s="21" t="s">
        <v>34</v>
      </c>
      <c r="E28593" s="21" t="s">
        <v>35</v>
      </c>
      <c r="F28593">
        <v>1380164</v>
      </c>
      <c r="G28593" t="s">
        <v>2728</v>
      </c>
      <c r="H28593" s="21">
        <v>577.66999999999996</v>
      </c>
    </row>
    <row r="28594" spans="1:8" customFormat="1" x14ac:dyDescent="0.25">
      <c r="A28594" t="str">
        <f>"4110206"</f>
        <v>4110206</v>
      </c>
      <c r="B28594" t="s">
        <v>20329</v>
      </c>
      <c r="C28594" t="s">
        <v>233</v>
      </c>
      <c r="D28594" s="21" t="s">
        <v>34</v>
      </c>
      <c r="E28594" s="21" t="s">
        <v>71</v>
      </c>
      <c r="F28594">
        <v>4410615</v>
      </c>
      <c r="G28594" t="s">
        <v>4897</v>
      </c>
      <c r="H28594" s="21">
        <v>577.66999999999996</v>
      </c>
    </row>
    <row r="28595" spans="1:8" customFormat="1" x14ac:dyDescent="0.25">
      <c r="A28595" t="str">
        <f>"106341"</f>
        <v>106341</v>
      </c>
      <c r="B28595" t="s">
        <v>17332</v>
      </c>
      <c r="C28595" t="s">
        <v>2546</v>
      </c>
      <c r="D28595" s="21" t="s">
        <v>34</v>
      </c>
      <c r="E28595" s="21" t="s">
        <v>254</v>
      </c>
      <c r="F28595">
        <v>6100007</v>
      </c>
      <c r="G28595" t="s">
        <v>9706</v>
      </c>
      <c r="H28595" s="21">
        <v>577.66999999999996</v>
      </c>
    </row>
    <row r="28596" spans="1:8" customFormat="1" x14ac:dyDescent="0.25">
      <c r="A28596" t="str">
        <f>"24528"</f>
        <v>24528</v>
      </c>
      <c r="B28596" t="s">
        <v>2795</v>
      </c>
      <c r="C28596" t="s">
        <v>253</v>
      </c>
      <c r="D28596" s="21" t="s">
        <v>34</v>
      </c>
      <c r="E28596" s="21" t="s">
        <v>1089</v>
      </c>
      <c r="F28596">
        <v>10240003</v>
      </c>
      <c r="G28596" t="s">
        <v>2940</v>
      </c>
      <c r="H28596" s="21">
        <v>577.66999999999996</v>
      </c>
    </row>
    <row r="28597" spans="1:8" customFormat="1" x14ac:dyDescent="0.25">
      <c r="A28597" t="str">
        <f>"647158"</f>
        <v>647158</v>
      </c>
      <c r="B28597" t="s">
        <v>19386</v>
      </c>
      <c r="C28597" t="s">
        <v>109</v>
      </c>
      <c r="D28597" s="21" t="s">
        <v>34</v>
      </c>
      <c r="E28597" s="21" t="s">
        <v>71</v>
      </c>
      <c r="F28597">
        <v>10640004</v>
      </c>
      <c r="G28597" t="s">
        <v>26618</v>
      </c>
      <c r="H28597" s="21">
        <v>577.66999999999996</v>
      </c>
    </row>
    <row r="28598" spans="1:8" customFormat="1" x14ac:dyDescent="0.25">
      <c r="A28598" t="str">
        <f>"287202"</f>
        <v>287202</v>
      </c>
      <c r="B28598" t="s">
        <v>20360</v>
      </c>
      <c r="C28598" t="s">
        <v>598</v>
      </c>
      <c r="D28598" s="21" t="s">
        <v>34</v>
      </c>
      <c r="E28598" s="21" t="s">
        <v>1089</v>
      </c>
      <c r="F28598">
        <v>4280529</v>
      </c>
      <c r="G28598" t="s">
        <v>2970</v>
      </c>
      <c r="H28598" s="21">
        <v>577.66999999999996</v>
      </c>
    </row>
    <row r="28599" spans="1:8" customFormat="1" x14ac:dyDescent="0.25">
      <c r="A28599" t="str">
        <f>"94943"</f>
        <v>94943</v>
      </c>
      <c r="B28599" t="s">
        <v>19487</v>
      </c>
      <c r="C28599" t="s">
        <v>598</v>
      </c>
      <c r="D28599" s="21" t="s">
        <v>34</v>
      </c>
      <c r="E28599" s="21" t="s">
        <v>1089</v>
      </c>
      <c r="F28599">
        <v>8940524</v>
      </c>
      <c r="G28599" t="s">
        <v>6176</v>
      </c>
      <c r="H28599" s="21">
        <v>577.66999999999996</v>
      </c>
    </row>
    <row r="28600" spans="1:8" customFormat="1" x14ac:dyDescent="0.25">
      <c r="A28600" t="str">
        <f>"089954"</f>
        <v>089954</v>
      </c>
      <c r="B28600" t="s">
        <v>5948</v>
      </c>
      <c r="C28600" t="s">
        <v>1665</v>
      </c>
      <c r="D28600" s="21" t="s">
        <v>34</v>
      </c>
      <c r="E28600" s="21" t="s">
        <v>71</v>
      </c>
      <c r="F28600">
        <v>6080053</v>
      </c>
      <c r="G28600" t="s">
        <v>12951</v>
      </c>
      <c r="H28600" s="21">
        <v>577.66999999999996</v>
      </c>
    </row>
    <row r="28601" spans="1:8" customFormat="1" x14ac:dyDescent="0.25">
      <c r="A28601" t="str">
        <f>"7923962"</f>
        <v>7923962</v>
      </c>
      <c r="B28601" t="s">
        <v>3942</v>
      </c>
      <c r="C28601" t="s">
        <v>664</v>
      </c>
      <c r="D28601" s="21" t="s">
        <v>34</v>
      </c>
      <c r="E28601" s="21" t="s">
        <v>35</v>
      </c>
      <c r="F28601">
        <v>10790009</v>
      </c>
      <c r="G28601" t="s">
        <v>1155</v>
      </c>
      <c r="H28601" s="21">
        <v>577.66999999999996</v>
      </c>
    </row>
    <row r="28602" spans="1:8" customFormat="1" x14ac:dyDescent="0.25">
      <c r="A28602" t="str">
        <f>"7641494"</f>
        <v>7641494</v>
      </c>
      <c r="B28602" t="s">
        <v>13316</v>
      </c>
      <c r="C28602" t="s">
        <v>415</v>
      </c>
      <c r="D28602" s="21" t="s">
        <v>34</v>
      </c>
      <c r="E28602" s="21" t="s">
        <v>35</v>
      </c>
      <c r="F28602">
        <v>9760025</v>
      </c>
      <c r="G28602" t="s">
        <v>2620</v>
      </c>
      <c r="H28602" s="21">
        <v>577.66999999999996</v>
      </c>
    </row>
    <row r="28603" spans="1:8" customFormat="1" x14ac:dyDescent="0.25">
      <c r="A28603" t="str">
        <f>"5325106"</f>
        <v>5325106</v>
      </c>
      <c r="B28603" t="s">
        <v>20266</v>
      </c>
      <c r="C28603" t="s">
        <v>1231</v>
      </c>
      <c r="D28603" s="21" t="s">
        <v>34</v>
      </c>
      <c r="E28603" s="21" t="s">
        <v>35</v>
      </c>
      <c r="F28603">
        <v>12530099</v>
      </c>
      <c r="G28603" t="s">
        <v>3569</v>
      </c>
      <c r="H28603" s="21">
        <v>577.66999999999996</v>
      </c>
    </row>
    <row r="28604" spans="1:8" customFormat="1" x14ac:dyDescent="0.25">
      <c r="A28604" t="str">
        <f>"0110210"</f>
        <v>0110210</v>
      </c>
      <c r="B28604" t="s">
        <v>28071</v>
      </c>
      <c r="C28604" t="s">
        <v>1359</v>
      </c>
      <c r="D28604" s="21" t="s">
        <v>34</v>
      </c>
      <c r="E28604" s="21" t="s">
        <v>35</v>
      </c>
      <c r="F28604">
        <v>1010060</v>
      </c>
      <c r="G28604" t="s">
        <v>5128</v>
      </c>
      <c r="H28604" s="21">
        <v>577.66999999999996</v>
      </c>
    </row>
    <row r="28605" spans="1:8" customFormat="1" x14ac:dyDescent="0.25">
      <c r="A28605" t="str">
        <f>"412876"</f>
        <v>412876</v>
      </c>
      <c r="B28605" t="s">
        <v>890</v>
      </c>
      <c r="C28605" t="s">
        <v>263</v>
      </c>
      <c r="D28605" s="21" t="s">
        <v>34</v>
      </c>
      <c r="E28605" s="21" t="s">
        <v>254</v>
      </c>
      <c r="F28605">
        <v>4410697</v>
      </c>
      <c r="G28605" t="s">
        <v>2490</v>
      </c>
      <c r="H28605" s="21">
        <v>577.66999999999996</v>
      </c>
    </row>
    <row r="28606" spans="1:8" customFormat="1" x14ac:dyDescent="0.25">
      <c r="A28606" t="str">
        <f>"851894"</f>
        <v>851894</v>
      </c>
      <c r="B28606" t="s">
        <v>946</v>
      </c>
      <c r="C28606" t="s">
        <v>1142</v>
      </c>
      <c r="D28606" s="21" t="s">
        <v>34</v>
      </c>
      <c r="E28606" s="21" t="s">
        <v>1089</v>
      </c>
      <c r="F28606">
        <v>12850007</v>
      </c>
      <c r="G28606" t="s">
        <v>7649</v>
      </c>
      <c r="H28606" s="21">
        <v>577.66999999999996</v>
      </c>
    </row>
    <row r="28607" spans="1:8" customFormat="1" x14ac:dyDescent="0.25">
      <c r="A28607" t="str">
        <f>"9459462"</f>
        <v>9459462</v>
      </c>
      <c r="B28607" t="s">
        <v>4754</v>
      </c>
      <c r="C28607" t="s">
        <v>28072</v>
      </c>
      <c r="D28607" s="21" t="s">
        <v>34</v>
      </c>
      <c r="E28607" s="21" t="s">
        <v>35</v>
      </c>
      <c r="F28607">
        <v>8940012</v>
      </c>
      <c r="G28607" t="s">
        <v>1648</v>
      </c>
      <c r="H28607" s="21">
        <v>577.54</v>
      </c>
    </row>
    <row r="28608" spans="1:8" customFormat="1" x14ac:dyDescent="0.25">
      <c r="A28608" t="str">
        <f>"1425274"</f>
        <v>1425274</v>
      </c>
      <c r="B28608" t="s">
        <v>13042</v>
      </c>
      <c r="C28608" t="s">
        <v>236</v>
      </c>
      <c r="D28608" s="21" t="s">
        <v>34</v>
      </c>
      <c r="E28608" s="21" t="s">
        <v>35</v>
      </c>
      <c r="F28608">
        <v>9140023</v>
      </c>
      <c r="G28608" t="s">
        <v>2318</v>
      </c>
      <c r="H28608" s="21">
        <v>577.54</v>
      </c>
    </row>
    <row r="28609" spans="1:8" customFormat="1" x14ac:dyDescent="0.25">
      <c r="A28609" t="str">
        <f>"7515094"</f>
        <v>7515094</v>
      </c>
      <c r="B28609" t="s">
        <v>7439</v>
      </c>
      <c r="C28609" t="s">
        <v>415</v>
      </c>
      <c r="D28609" s="21" t="s">
        <v>34</v>
      </c>
      <c r="E28609" s="21" t="s">
        <v>71</v>
      </c>
      <c r="F28609">
        <v>8780485</v>
      </c>
      <c r="G28609" t="s">
        <v>1279</v>
      </c>
      <c r="H28609" s="21">
        <v>577.41999999999996</v>
      </c>
    </row>
    <row r="28610" spans="1:8" customFormat="1" x14ac:dyDescent="0.25">
      <c r="A28610" t="str">
        <f>"6945711"</f>
        <v>6945711</v>
      </c>
      <c r="B28610" t="s">
        <v>22225</v>
      </c>
      <c r="C28610" t="s">
        <v>209</v>
      </c>
      <c r="D28610" s="21" t="s">
        <v>34</v>
      </c>
      <c r="E28610" s="21" t="s">
        <v>71</v>
      </c>
      <c r="F28610">
        <v>1690212</v>
      </c>
      <c r="G28610" t="s">
        <v>7834</v>
      </c>
      <c r="H28610" s="21">
        <v>577.16999999999996</v>
      </c>
    </row>
    <row r="28611" spans="1:8" customFormat="1" x14ac:dyDescent="0.25">
      <c r="A28611" t="str">
        <f>"7215263"</f>
        <v>7215263</v>
      </c>
      <c r="B28611" t="s">
        <v>20154</v>
      </c>
      <c r="C28611" t="s">
        <v>1605</v>
      </c>
      <c r="D28611" s="21" t="s">
        <v>34</v>
      </c>
      <c r="E28611" s="21" t="s">
        <v>254</v>
      </c>
      <c r="F28611">
        <v>12720104</v>
      </c>
      <c r="G28611" t="s">
        <v>224</v>
      </c>
      <c r="H28611" s="21">
        <v>577.16999999999996</v>
      </c>
    </row>
    <row r="28612" spans="1:8" customFormat="1" x14ac:dyDescent="0.25">
      <c r="A28612" t="str">
        <f>"508625"</f>
        <v>508625</v>
      </c>
      <c r="B28612" t="s">
        <v>19453</v>
      </c>
      <c r="C28612" t="s">
        <v>139</v>
      </c>
      <c r="D28612" s="21" t="s">
        <v>34</v>
      </c>
      <c r="E28612" s="21" t="s">
        <v>35</v>
      </c>
      <c r="F28612">
        <v>9500122</v>
      </c>
      <c r="G28612" t="s">
        <v>6164</v>
      </c>
      <c r="H28612" s="21">
        <v>577.16999999999996</v>
      </c>
    </row>
    <row r="28613" spans="1:8" customFormat="1" x14ac:dyDescent="0.25">
      <c r="A28613" t="str">
        <f>"339606"</f>
        <v>339606</v>
      </c>
      <c r="B28613" t="s">
        <v>8212</v>
      </c>
      <c r="C28613" t="s">
        <v>453</v>
      </c>
      <c r="D28613" s="21" t="s">
        <v>34</v>
      </c>
      <c r="E28613" s="21" t="s">
        <v>254</v>
      </c>
      <c r="F28613">
        <v>10330067</v>
      </c>
      <c r="G28613" t="s">
        <v>125</v>
      </c>
      <c r="H28613" s="21">
        <v>577.16999999999996</v>
      </c>
    </row>
    <row r="28614" spans="1:8" customFormat="1" x14ac:dyDescent="0.25">
      <c r="A28614" t="str">
        <f>"7512064"</f>
        <v>7512064</v>
      </c>
      <c r="B28614" t="s">
        <v>1551</v>
      </c>
      <c r="C28614" t="s">
        <v>547</v>
      </c>
      <c r="D28614" s="21" t="s">
        <v>34</v>
      </c>
      <c r="E28614" s="21" t="s">
        <v>1089</v>
      </c>
      <c r="F28614">
        <v>2900038</v>
      </c>
      <c r="G28614" t="s">
        <v>6415</v>
      </c>
      <c r="H28614" s="21">
        <v>577.16999999999996</v>
      </c>
    </row>
    <row r="28615" spans="1:8" customFormat="1" x14ac:dyDescent="0.25">
      <c r="A28615" t="str">
        <f>"5977590"</f>
        <v>5977590</v>
      </c>
      <c r="B28615" t="s">
        <v>20348</v>
      </c>
      <c r="C28615" t="s">
        <v>209</v>
      </c>
      <c r="D28615" s="21" t="s">
        <v>34</v>
      </c>
      <c r="E28615" s="21" t="s">
        <v>254</v>
      </c>
      <c r="F28615">
        <v>7590402</v>
      </c>
      <c r="G28615" t="s">
        <v>1623</v>
      </c>
      <c r="H28615" s="21">
        <v>577.16999999999996</v>
      </c>
    </row>
    <row r="28616" spans="1:8" customFormat="1" x14ac:dyDescent="0.25">
      <c r="A28616" t="str">
        <f>"2712581"</f>
        <v>2712581</v>
      </c>
      <c r="B28616" t="s">
        <v>5500</v>
      </c>
      <c r="C28616" t="s">
        <v>4842</v>
      </c>
      <c r="D28616" s="21" t="s">
        <v>34</v>
      </c>
      <c r="E28616" s="21" t="s">
        <v>1089</v>
      </c>
      <c r="F28616">
        <v>9270136</v>
      </c>
      <c r="G28616" t="s">
        <v>5896</v>
      </c>
      <c r="H28616" s="21">
        <v>577.16999999999996</v>
      </c>
    </row>
    <row r="28617" spans="1:8" customFormat="1" x14ac:dyDescent="0.25">
      <c r="A28617" t="str">
        <f>"3117187"</f>
        <v>3117187</v>
      </c>
      <c r="B28617" t="s">
        <v>19146</v>
      </c>
      <c r="C28617" t="s">
        <v>267</v>
      </c>
      <c r="D28617" s="21" t="s">
        <v>34</v>
      </c>
      <c r="E28617" s="21" t="s">
        <v>71</v>
      </c>
      <c r="F28617">
        <v>11310131</v>
      </c>
      <c r="G28617" t="s">
        <v>16303</v>
      </c>
      <c r="H28617" s="21">
        <v>577.16999999999996</v>
      </c>
    </row>
    <row r="28618" spans="1:8" customFormat="1" x14ac:dyDescent="0.25">
      <c r="A28618" t="str">
        <f>"4438430"</f>
        <v>4438430</v>
      </c>
      <c r="B28618" t="s">
        <v>3253</v>
      </c>
      <c r="C28618" t="s">
        <v>4842</v>
      </c>
      <c r="D28618" s="21" t="s">
        <v>34</v>
      </c>
      <c r="E28618" s="21" t="s">
        <v>254</v>
      </c>
      <c r="F28618">
        <v>12850001</v>
      </c>
      <c r="G28618" t="s">
        <v>1197</v>
      </c>
      <c r="H28618" s="21">
        <v>577.16999999999996</v>
      </c>
    </row>
    <row r="28619" spans="1:8" customFormat="1" x14ac:dyDescent="0.25">
      <c r="A28619" t="str">
        <f>"5613103"</f>
        <v>5613103</v>
      </c>
      <c r="B28619" t="s">
        <v>20238</v>
      </c>
      <c r="C28619" t="s">
        <v>269</v>
      </c>
      <c r="D28619" s="21" t="s">
        <v>34</v>
      </c>
      <c r="E28619" s="21" t="s">
        <v>35</v>
      </c>
      <c r="F28619">
        <v>3560056</v>
      </c>
      <c r="G28619" t="s">
        <v>3145</v>
      </c>
      <c r="H28619" s="21">
        <v>577.16999999999996</v>
      </c>
    </row>
    <row r="28620" spans="1:8" customFormat="1" x14ac:dyDescent="0.25">
      <c r="A28620" t="str">
        <f>"7219104"</f>
        <v>7219104</v>
      </c>
      <c r="B28620" t="s">
        <v>697</v>
      </c>
      <c r="C28620" t="s">
        <v>320</v>
      </c>
      <c r="D28620" s="21" t="s">
        <v>34</v>
      </c>
      <c r="E28620" s="21" t="s">
        <v>71</v>
      </c>
      <c r="F28620">
        <v>12720071</v>
      </c>
      <c r="G28620" t="s">
        <v>783</v>
      </c>
      <c r="H28620" s="21">
        <v>577.16999999999996</v>
      </c>
    </row>
    <row r="28621" spans="1:8" customFormat="1" x14ac:dyDescent="0.25">
      <c r="A28621" t="str">
        <f>"637378"</f>
        <v>637378</v>
      </c>
      <c r="B28621" t="s">
        <v>517</v>
      </c>
      <c r="C28621" t="s">
        <v>486</v>
      </c>
      <c r="D28621" s="21" t="s">
        <v>34</v>
      </c>
      <c r="E28621" s="21" t="s">
        <v>35</v>
      </c>
      <c r="F28621">
        <v>1630114</v>
      </c>
      <c r="G28621" t="s">
        <v>10269</v>
      </c>
      <c r="H28621" s="21">
        <v>577.16999999999996</v>
      </c>
    </row>
    <row r="28622" spans="1:8" customFormat="1" x14ac:dyDescent="0.25">
      <c r="A28622" t="str">
        <f>"519179"</f>
        <v>519179</v>
      </c>
      <c r="B28622" t="s">
        <v>726</v>
      </c>
      <c r="C28622" t="s">
        <v>269</v>
      </c>
      <c r="D28622" s="21" t="s">
        <v>34</v>
      </c>
      <c r="E28622" s="21" t="s">
        <v>254</v>
      </c>
      <c r="F28622">
        <v>6510061</v>
      </c>
      <c r="G28622" t="s">
        <v>7426</v>
      </c>
      <c r="H28622" s="21">
        <v>577.16999999999996</v>
      </c>
    </row>
    <row r="28623" spans="1:8" customFormat="1" x14ac:dyDescent="0.25">
      <c r="A28623" t="str">
        <f>"4440363"</f>
        <v>4440363</v>
      </c>
      <c r="B28623" t="s">
        <v>19922</v>
      </c>
      <c r="C28623" t="s">
        <v>60</v>
      </c>
      <c r="D28623" s="21" t="s">
        <v>34</v>
      </c>
      <c r="E28623" s="21" t="s">
        <v>71</v>
      </c>
      <c r="F28623">
        <v>12440042</v>
      </c>
      <c r="G28623" t="s">
        <v>10312</v>
      </c>
      <c r="H28623" s="21">
        <v>577.16999999999996</v>
      </c>
    </row>
    <row r="28624" spans="1:8" customFormat="1" x14ac:dyDescent="0.25">
      <c r="A28624" t="str">
        <f>"7857597"</f>
        <v>7857597</v>
      </c>
      <c r="B28624" t="s">
        <v>7886</v>
      </c>
      <c r="C28624" t="s">
        <v>1142</v>
      </c>
      <c r="D28624" s="21" t="s">
        <v>34</v>
      </c>
      <c r="E28624" s="21" t="s">
        <v>71</v>
      </c>
      <c r="F28624">
        <v>8780678</v>
      </c>
      <c r="G28624" t="s">
        <v>8556</v>
      </c>
      <c r="H28624" s="21">
        <v>577.16999999999996</v>
      </c>
    </row>
    <row r="28625" spans="1:8" customFormat="1" x14ac:dyDescent="0.25">
      <c r="A28625" t="str">
        <f>"3340912"</f>
        <v>3340912</v>
      </c>
      <c r="B28625" t="s">
        <v>20808</v>
      </c>
      <c r="C28625" t="s">
        <v>267</v>
      </c>
      <c r="D28625" s="21" t="s">
        <v>34</v>
      </c>
      <c r="E28625" s="21" t="s">
        <v>254</v>
      </c>
      <c r="F28625">
        <v>10330082</v>
      </c>
      <c r="G28625" t="s">
        <v>5564</v>
      </c>
      <c r="H28625" s="21">
        <v>577.16999999999996</v>
      </c>
    </row>
    <row r="28626" spans="1:8" customFormat="1" x14ac:dyDescent="0.25">
      <c r="A28626" t="str">
        <f>"6718913"</f>
        <v>6718913</v>
      </c>
      <c r="B28626" t="s">
        <v>19938</v>
      </c>
      <c r="C28626" t="s">
        <v>415</v>
      </c>
      <c r="D28626" s="21" t="s">
        <v>34</v>
      </c>
      <c r="E28626" s="21" t="s">
        <v>35</v>
      </c>
      <c r="F28626">
        <v>6670045</v>
      </c>
      <c r="G28626" t="s">
        <v>707</v>
      </c>
      <c r="H28626" s="21">
        <v>577.16999999999996</v>
      </c>
    </row>
    <row r="28627" spans="1:8" customFormat="1" x14ac:dyDescent="0.25">
      <c r="A28627" t="str">
        <f>"9D2395"</f>
        <v>9D2395</v>
      </c>
      <c r="B28627" t="s">
        <v>727</v>
      </c>
      <c r="C28627" t="s">
        <v>144</v>
      </c>
      <c r="D28627" s="21" t="s">
        <v>34</v>
      </c>
      <c r="E28627" s="21" t="s">
        <v>71</v>
      </c>
      <c r="F28627" t="s">
        <v>2462</v>
      </c>
      <c r="G28627" t="s">
        <v>2463</v>
      </c>
      <c r="H28627" s="21">
        <v>577.16999999999996</v>
      </c>
    </row>
    <row r="28628" spans="1:8" customFormat="1" x14ac:dyDescent="0.25">
      <c r="A28628" t="str">
        <f>"6310083"</f>
        <v>6310083</v>
      </c>
      <c r="B28628" t="s">
        <v>1833</v>
      </c>
      <c r="C28628" t="s">
        <v>4721</v>
      </c>
      <c r="D28628" s="21" t="s">
        <v>34</v>
      </c>
      <c r="E28628" s="21" t="s">
        <v>71</v>
      </c>
      <c r="F28628">
        <v>1630243</v>
      </c>
      <c r="G28628" t="s">
        <v>9163</v>
      </c>
      <c r="H28628" s="21">
        <v>577.16999999999996</v>
      </c>
    </row>
    <row r="28629" spans="1:8" customFormat="1" x14ac:dyDescent="0.25">
      <c r="A28629" t="str">
        <f>"535881"</f>
        <v>535881</v>
      </c>
      <c r="B28629" t="s">
        <v>5831</v>
      </c>
      <c r="C28629" t="s">
        <v>1231</v>
      </c>
      <c r="D28629" s="21" t="s">
        <v>34</v>
      </c>
      <c r="E28629" s="21" t="s">
        <v>6185</v>
      </c>
      <c r="F28629">
        <v>12530116</v>
      </c>
      <c r="G28629" t="s">
        <v>7881</v>
      </c>
      <c r="H28629" s="21">
        <v>577.16999999999996</v>
      </c>
    </row>
    <row r="28630" spans="1:8" customFormat="1" x14ac:dyDescent="0.25">
      <c r="A28630" t="str">
        <f>"388252"</f>
        <v>388252</v>
      </c>
      <c r="B28630" t="s">
        <v>21710</v>
      </c>
      <c r="C28630" t="s">
        <v>21711</v>
      </c>
      <c r="D28630" s="21" t="s">
        <v>34</v>
      </c>
      <c r="E28630" s="21" t="s">
        <v>254</v>
      </c>
      <c r="F28630">
        <v>1380164</v>
      </c>
      <c r="G28630" t="s">
        <v>2728</v>
      </c>
      <c r="H28630" s="21">
        <v>577.16999999999996</v>
      </c>
    </row>
    <row r="28631" spans="1:8" customFormat="1" x14ac:dyDescent="0.25">
      <c r="A28631" t="str">
        <f>"2811442"</f>
        <v>2811442</v>
      </c>
      <c r="B28631" t="s">
        <v>24844</v>
      </c>
      <c r="C28631" t="s">
        <v>608</v>
      </c>
      <c r="D28631" s="21" t="s">
        <v>34</v>
      </c>
      <c r="E28631" s="21" t="s">
        <v>71</v>
      </c>
      <c r="F28631">
        <v>1380275</v>
      </c>
      <c r="G28631" t="s">
        <v>8042</v>
      </c>
      <c r="H28631" s="21">
        <v>577.16999999999996</v>
      </c>
    </row>
    <row r="28632" spans="1:8" customFormat="1" x14ac:dyDescent="0.25">
      <c r="A28632" t="str">
        <f>"5964914"</f>
        <v>5964914</v>
      </c>
      <c r="B28632" t="s">
        <v>28073</v>
      </c>
      <c r="C28632" t="s">
        <v>3456</v>
      </c>
      <c r="D28632" s="21" t="s">
        <v>34</v>
      </c>
      <c r="E28632" s="21" t="s">
        <v>35</v>
      </c>
      <c r="F28632">
        <v>7590400</v>
      </c>
      <c r="G28632" t="s">
        <v>26692</v>
      </c>
      <c r="H28632" s="21">
        <v>577</v>
      </c>
    </row>
    <row r="28633" spans="1:8" customFormat="1" x14ac:dyDescent="0.25">
      <c r="A28633" t="str">
        <f>"7643155"</f>
        <v>7643155</v>
      </c>
      <c r="B28633" t="s">
        <v>5638</v>
      </c>
      <c r="C28633" t="s">
        <v>253</v>
      </c>
      <c r="D28633" s="21" t="s">
        <v>34</v>
      </c>
      <c r="E28633" s="21" t="s">
        <v>71</v>
      </c>
      <c r="F28633">
        <v>9760127</v>
      </c>
      <c r="G28633" t="s">
        <v>7132</v>
      </c>
      <c r="H28633" s="21">
        <v>577</v>
      </c>
    </row>
    <row r="28634" spans="1:8" customFormat="1" x14ac:dyDescent="0.25">
      <c r="A28634" t="str">
        <f>"6023368"</f>
        <v>6023368</v>
      </c>
      <c r="B28634" t="s">
        <v>21761</v>
      </c>
      <c r="C28634" t="s">
        <v>187</v>
      </c>
      <c r="D28634" s="21" t="s">
        <v>34</v>
      </c>
      <c r="E28634" s="21" t="s">
        <v>35</v>
      </c>
      <c r="F28634">
        <v>7600070</v>
      </c>
      <c r="G28634" t="s">
        <v>542</v>
      </c>
      <c r="H28634" s="21">
        <v>576.91999999999996</v>
      </c>
    </row>
    <row r="28635" spans="1:8" customFormat="1" x14ac:dyDescent="0.25">
      <c r="A28635" t="str">
        <f>"7866126"</f>
        <v>7866126</v>
      </c>
      <c r="B28635" t="s">
        <v>20242</v>
      </c>
      <c r="C28635" t="s">
        <v>1132</v>
      </c>
      <c r="D28635" s="21" t="s">
        <v>34</v>
      </c>
      <c r="E28635" s="21" t="s">
        <v>35</v>
      </c>
      <c r="F28635">
        <v>8750117</v>
      </c>
      <c r="G28635" t="s">
        <v>3516</v>
      </c>
      <c r="H28635" s="21">
        <v>576.91999999999996</v>
      </c>
    </row>
    <row r="28636" spans="1:8" customFormat="1" x14ac:dyDescent="0.25">
      <c r="A28636" t="str">
        <f>"5915401"</f>
        <v>5915401</v>
      </c>
      <c r="B28636" t="s">
        <v>3103</v>
      </c>
      <c r="C28636" t="s">
        <v>130</v>
      </c>
      <c r="D28636" s="21" t="s">
        <v>34</v>
      </c>
      <c r="E28636" s="21" t="s">
        <v>254</v>
      </c>
      <c r="F28636">
        <v>7590087</v>
      </c>
      <c r="G28636" t="s">
        <v>2112</v>
      </c>
      <c r="H28636" s="21">
        <v>576.91999999999996</v>
      </c>
    </row>
    <row r="28637" spans="1:8" customFormat="1" x14ac:dyDescent="0.25">
      <c r="A28637" t="str">
        <f>"811864"</f>
        <v>811864</v>
      </c>
      <c r="B28637" t="s">
        <v>767</v>
      </c>
      <c r="C28637" t="s">
        <v>4721</v>
      </c>
      <c r="D28637" s="21" t="s">
        <v>34</v>
      </c>
      <c r="E28637" s="21" t="s">
        <v>254</v>
      </c>
      <c r="F28637">
        <v>11810013</v>
      </c>
      <c r="G28637" t="s">
        <v>8833</v>
      </c>
      <c r="H28637" s="21">
        <v>576.91999999999996</v>
      </c>
    </row>
    <row r="28638" spans="1:8" customFormat="1" x14ac:dyDescent="0.25">
      <c r="A28638" t="str">
        <f>"4933241"</f>
        <v>4933241</v>
      </c>
      <c r="B28638" t="s">
        <v>20132</v>
      </c>
      <c r="C28638" t="s">
        <v>20133</v>
      </c>
      <c r="D28638" s="21" t="s">
        <v>34</v>
      </c>
      <c r="E28638" s="21" t="s">
        <v>35</v>
      </c>
      <c r="F28638">
        <v>12490023</v>
      </c>
      <c r="G28638" t="s">
        <v>4979</v>
      </c>
      <c r="H28638" s="21">
        <v>576.79</v>
      </c>
    </row>
    <row r="28639" spans="1:8" customFormat="1" x14ac:dyDescent="0.25">
      <c r="A28639" t="str">
        <f>"4430030"</f>
        <v>4430030</v>
      </c>
      <c r="B28639" t="s">
        <v>19843</v>
      </c>
      <c r="C28639" t="s">
        <v>253</v>
      </c>
      <c r="D28639" s="21" t="s">
        <v>34</v>
      </c>
      <c r="E28639" s="21" t="s">
        <v>254</v>
      </c>
      <c r="F28639">
        <v>12440028</v>
      </c>
      <c r="G28639" t="s">
        <v>1314</v>
      </c>
      <c r="H28639" s="21">
        <v>576.66999999999996</v>
      </c>
    </row>
    <row r="28640" spans="1:8" customFormat="1" x14ac:dyDescent="0.25">
      <c r="A28640" t="str">
        <f>"4433370"</f>
        <v>4433370</v>
      </c>
      <c r="B28640" t="s">
        <v>2014</v>
      </c>
      <c r="C28640" t="s">
        <v>269</v>
      </c>
      <c r="D28640" s="21" t="s">
        <v>34</v>
      </c>
      <c r="E28640" s="21" t="s">
        <v>35</v>
      </c>
      <c r="F28640">
        <v>12440185</v>
      </c>
      <c r="G28640" t="s">
        <v>12476</v>
      </c>
      <c r="H28640" s="21">
        <v>576.66999999999996</v>
      </c>
    </row>
    <row r="28641" spans="1:8" customFormat="1" x14ac:dyDescent="0.25">
      <c r="A28641" t="str">
        <f>"5020674"</f>
        <v>5020674</v>
      </c>
      <c r="B28641" t="s">
        <v>15792</v>
      </c>
      <c r="C28641" t="s">
        <v>121</v>
      </c>
      <c r="D28641" s="21" t="s">
        <v>34</v>
      </c>
      <c r="E28641" s="21" t="s">
        <v>35</v>
      </c>
      <c r="F28641">
        <v>9500162</v>
      </c>
      <c r="G28641" t="s">
        <v>11252</v>
      </c>
      <c r="H28641" s="21">
        <v>576.66999999999996</v>
      </c>
    </row>
    <row r="28642" spans="1:8" customFormat="1" x14ac:dyDescent="0.25">
      <c r="A28642" t="str">
        <f>"9253064"</f>
        <v>9253064</v>
      </c>
      <c r="B28642" t="s">
        <v>4376</v>
      </c>
      <c r="C28642" t="s">
        <v>209</v>
      </c>
      <c r="D28642" s="21" t="s">
        <v>34</v>
      </c>
      <c r="E28642" s="21" t="s">
        <v>35</v>
      </c>
      <c r="F28642">
        <v>8920646</v>
      </c>
      <c r="G28642" t="s">
        <v>2864</v>
      </c>
      <c r="H28642" s="21">
        <v>576.66999999999996</v>
      </c>
    </row>
    <row r="28643" spans="1:8" customFormat="1" x14ac:dyDescent="0.25">
      <c r="A28643" t="str">
        <f>"751400"</f>
        <v>751400</v>
      </c>
      <c r="B28643" t="s">
        <v>19946</v>
      </c>
      <c r="C28643" t="s">
        <v>202</v>
      </c>
      <c r="D28643" s="21" t="s">
        <v>34</v>
      </c>
      <c r="E28643" s="21" t="s">
        <v>1089</v>
      </c>
      <c r="F28643">
        <v>8751177</v>
      </c>
      <c r="G28643" t="s">
        <v>396</v>
      </c>
      <c r="H28643" s="21">
        <v>576.66999999999996</v>
      </c>
    </row>
    <row r="28644" spans="1:8" customFormat="1" x14ac:dyDescent="0.25">
      <c r="A28644" t="str">
        <f>"9314075"</f>
        <v>9314075</v>
      </c>
      <c r="B28644" t="s">
        <v>6336</v>
      </c>
      <c r="C28644" t="s">
        <v>19987</v>
      </c>
      <c r="D28644" s="21" t="s">
        <v>34</v>
      </c>
      <c r="E28644" s="21" t="s">
        <v>71</v>
      </c>
      <c r="F28644">
        <v>8931461</v>
      </c>
      <c r="G28644" t="s">
        <v>1811</v>
      </c>
      <c r="H28644" s="21">
        <v>576.66999999999996</v>
      </c>
    </row>
    <row r="28645" spans="1:8" customFormat="1" x14ac:dyDescent="0.25">
      <c r="A28645" t="str">
        <f>"8310215"</f>
        <v>8310215</v>
      </c>
      <c r="B28645" t="s">
        <v>8882</v>
      </c>
      <c r="C28645" t="s">
        <v>2520</v>
      </c>
      <c r="D28645" s="21" t="s">
        <v>34</v>
      </c>
      <c r="E28645" s="21" t="s">
        <v>254</v>
      </c>
      <c r="F28645">
        <v>13830022</v>
      </c>
      <c r="G28645" t="s">
        <v>633</v>
      </c>
      <c r="H28645" s="21">
        <v>576.66999999999996</v>
      </c>
    </row>
    <row r="28646" spans="1:8" customFormat="1" x14ac:dyDescent="0.25">
      <c r="A28646" t="str">
        <f>"62617"</f>
        <v>62617</v>
      </c>
      <c r="B28646" t="s">
        <v>1362</v>
      </c>
      <c r="C28646" t="s">
        <v>253</v>
      </c>
      <c r="D28646" s="21" t="s">
        <v>34</v>
      </c>
      <c r="E28646" s="21" t="s">
        <v>1089</v>
      </c>
      <c r="F28646">
        <v>7620181</v>
      </c>
      <c r="G28646" t="s">
        <v>2268</v>
      </c>
      <c r="H28646" s="21">
        <v>576.66999999999996</v>
      </c>
    </row>
    <row r="28647" spans="1:8" customFormat="1" x14ac:dyDescent="0.25">
      <c r="A28647" t="str">
        <f>"0212070"</f>
        <v>0212070</v>
      </c>
      <c r="B28647" t="s">
        <v>8091</v>
      </c>
      <c r="C28647" t="s">
        <v>62</v>
      </c>
      <c r="D28647" s="21" t="s">
        <v>34</v>
      </c>
      <c r="E28647" s="21" t="s">
        <v>71</v>
      </c>
      <c r="F28647">
        <v>7020015</v>
      </c>
      <c r="G28647" t="s">
        <v>1289</v>
      </c>
      <c r="H28647" s="21">
        <v>576.66999999999996</v>
      </c>
    </row>
    <row r="28648" spans="1:8" customFormat="1" x14ac:dyDescent="0.25">
      <c r="A28648" t="str">
        <f>"3820323"</f>
        <v>3820323</v>
      </c>
      <c r="B28648" t="s">
        <v>20072</v>
      </c>
      <c r="C28648" t="s">
        <v>62</v>
      </c>
      <c r="D28648" s="21" t="s">
        <v>34</v>
      </c>
      <c r="E28648" s="21" t="s">
        <v>254</v>
      </c>
      <c r="F28648">
        <v>1380157</v>
      </c>
      <c r="G28648" t="s">
        <v>9044</v>
      </c>
      <c r="H28648" s="21">
        <v>576.66999999999996</v>
      </c>
    </row>
    <row r="28649" spans="1:8" customFormat="1" x14ac:dyDescent="0.25">
      <c r="A28649" t="str">
        <f>"314505"</f>
        <v>314505</v>
      </c>
      <c r="B28649" t="s">
        <v>19943</v>
      </c>
      <c r="C28649" t="s">
        <v>598</v>
      </c>
      <c r="D28649" s="21" t="s">
        <v>34</v>
      </c>
      <c r="E28649" s="21" t="s">
        <v>254</v>
      </c>
      <c r="F28649">
        <v>11310070</v>
      </c>
      <c r="G28649" t="s">
        <v>11563</v>
      </c>
      <c r="H28649" s="21">
        <v>576.66999999999996</v>
      </c>
    </row>
    <row r="28650" spans="1:8" customFormat="1" x14ac:dyDescent="0.25">
      <c r="A28650" t="str">
        <f>"5937288"</f>
        <v>5937288</v>
      </c>
      <c r="B28650" t="s">
        <v>28074</v>
      </c>
      <c r="C28650" t="s">
        <v>3073</v>
      </c>
      <c r="D28650" s="21" t="s">
        <v>34</v>
      </c>
      <c r="E28650" s="21" t="s">
        <v>254</v>
      </c>
      <c r="F28650">
        <v>9140055</v>
      </c>
      <c r="G28650" t="s">
        <v>344</v>
      </c>
      <c r="H28650" s="21">
        <v>576.66999999999996</v>
      </c>
    </row>
    <row r="28651" spans="1:8" customFormat="1" x14ac:dyDescent="0.25">
      <c r="A28651" t="str">
        <f>"4933685"</f>
        <v>4933685</v>
      </c>
      <c r="B28651" t="s">
        <v>3444</v>
      </c>
      <c r="C28651" t="s">
        <v>260</v>
      </c>
      <c r="D28651" s="21" t="s">
        <v>34</v>
      </c>
      <c r="E28651" s="21" t="s">
        <v>35</v>
      </c>
      <c r="F28651">
        <v>12490098</v>
      </c>
      <c r="G28651" t="s">
        <v>2670</v>
      </c>
      <c r="H28651" s="21">
        <v>576.66999999999996</v>
      </c>
    </row>
    <row r="28652" spans="1:8" customFormat="1" x14ac:dyDescent="0.25">
      <c r="A28652" t="str">
        <f>"4512818"</f>
        <v>4512818</v>
      </c>
      <c r="B28652" t="s">
        <v>9791</v>
      </c>
      <c r="C28652" t="s">
        <v>49</v>
      </c>
      <c r="D28652" s="21" t="s">
        <v>34</v>
      </c>
      <c r="E28652" s="21" t="s">
        <v>35</v>
      </c>
      <c r="F28652">
        <v>4450059</v>
      </c>
      <c r="G28652" t="s">
        <v>16170</v>
      </c>
      <c r="H28652" s="21">
        <v>576.66999999999996</v>
      </c>
    </row>
    <row r="28653" spans="1:8" customFormat="1" x14ac:dyDescent="0.25">
      <c r="A28653" t="str">
        <f>"575247"</f>
        <v>575247</v>
      </c>
      <c r="B28653" t="s">
        <v>19957</v>
      </c>
      <c r="C28653" t="s">
        <v>114</v>
      </c>
      <c r="D28653" s="21" t="s">
        <v>34</v>
      </c>
      <c r="E28653" s="21" t="s">
        <v>254</v>
      </c>
      <c r="F28653">
        <v>6570019</v>
      </c>
      <c r="G28653" t="s">
        <v>1510</v>
      </c>
      <c r="H28653" s="21">
        <v>576.66999999999996</v>
      </c>
    </row>
    <row r="28654" spans="1:8" customFormat="1" x14ac:dyDescent="0.25">
      <c r="A28654" t="str">
        <f>"5020540"</f>
        <v>5020540</v>
      </c>
      <c r="B28654" t="s">
        <v>13539</v>
      </c>
      <c r="C28654" t="s">
        <v>1539</v>
      </c>
      <c r="D28654" s="21" t="s">
        <v>34</v>
      </c>
      <c r="E28654" s="21" t="s">
        <v>254</v>
      </c>
      <c r="F28654">
        <v>9500112</v>
      </c>
      <c r="G28654" t="s">
        <v>1668</v>
      </c>
      <c r="H28654" s="21">
        <v>576.66999999999996</v>
      </c>
    </row>
    <row r="28655" spans="1:8" customFormat="1" x14ac:dyDescent="0.25">
      <c r="A28655" t="str">
        <f>"133106"</f>
        <v>133106</v>
      </c>
      <c r="B28655" t="s">
        <v>208</v>
      </c>
      <c r="C28655" t="s">
        <v>2365</v>
      </c>
      <c r="D28655" s="21" t="s">
        <v>34</v>
      </c>
      <c r="E28655" s="21" t="s">
        <v>1089</v>
      </c>
      <c r="F28655">
        <v>13130146</v>
      </c>
      <c r="G28655" t="s">
        <v>2471</v>
      </c>
      <c r="H28655" s="21">
        <v>576.66999999999996</v>
      </c>
    </row>
    <row r="28656" spans="1:8" customFormat="1" x14ac:dyDescent="0.25">
      <c r="A28656" t="str">
        <f>"594440"</f>
        <v>594440</v>
      </c>
      <c r="B28656" t="s">
        <v>18729</v>
      </c>
      <c r="C28656" t="s">
        <v>204</v>
      </c>
      <c r="D28656" s="21" t="s">
        <v>34</v>
      </c>
      <c r="E28656" s="21" t="s">
        <v>254</v>
      </c>
      <c r="F28656">
        <v>7590271</v>
      </c>
      <c r="G28656" t="s">
        <v>3163</v>
      </c>
      <c r="H28656" s="21">
        <v>576.66999999999996</v>
      </c>
    </row>
    <row r="28657" spans="1:8" customFormat="1" x14ac:dyDescent="0.25">
      <c r="A28657" t="str">
        <f>"8019411"</f>
        <v>8019411</v>
      </c>
      <c r="B28657" t="s">
        <v>16216</v>
      </c>
      <c r="C28657" t="s">
        <v>147</v>
      </c>
      <c r="D28657" s="21" t="s">
        <v>34</v>
      </c>
      <c r="E28657" s="21" t="s">
        <v>35</v>
      </c>
      <c r="F28657">
        <v>7800126</v>
      </c>
      <c r="G28657" t="s">
        <v>1105</v>
      </c>
      <c r="H28657" s="21">
        <v>576.66999999999996</v>
      </c>
    </row>
    <row r="28658" spans="1:8" customFormat="1" x14ac:dyDescent="0.25">
      <c r="A28658" t="str">
        <f>"9137380"</f>
        <v>9137380</v>
      </c>
      <c r="B28658" t="s">
        <v>19582</v>
      </c>
      <c r="C28658" t="s">
        <v>109</v>
      </c>
      <c r="D28658" s="21" t="s">
        <v>34</v>
      </c>
      <c r="E28658" s="21" t="s">
        <v>1089</v>
      </c>
      <c r="F28658">
        <v>8911439</v>
      </c>
      <c r="G28658" t="s">
        <v>3953</v>
      </c>
      <c r="H28658" s="21">
        <v>576.66999999999996</v>
      </c>
    </row>
    <row r="28659" spans="1:8" customFormat="1" x14ac:dyDescent="0.25">
      <c r="A28659" t="str">
        <f>"2612180"</f>
        <v>2612180</v>
      </c>
      <c r="B28659" t="s">
        <v>20125</v>
      </c>
      <c r="C28659" t="s">
        <v>209</v>
      </c>
      <c r="D28659" s="21" t="s">
        <v>34</v>
      </c>
      <c r="E28659" s="21" t="s">
        <v>71</v>
      </c>
      <c r="F28659">
        <v>1260068</v>
      </c>
      <c r="G28659" t="s">
        <v>6531</v>
      </c>
      <c r="H28659" s="21">
        <v>576.66999999999996</v>
      </c>
    </row>
    <row r="28660" spans="1:8" customFormat="1" x14ac:dyDescent="0.25">
      <c r="A28660" t="str">
        <f>"823561"</f>
        <v>823561</v>
      </c>
      <c r="B28660" t="s">
        <v>21361</v>
      </c>
      <c r="C28660" t="s">
        <v>469</v>
      </c>
      <c r="D28660" s="21" t="s">
        <v>34</v>
      </c>
      <c r="E28660" s="21" t="s">
        <v>35</v>
      </c>
      <c r="F28660">
        <v>11820018</v>
      </c>
      <c r="G28660" t="s">
        <v>2503</v>
      </c>
      <c r="H28660" s="21">
        <v>576.66999999999996</v>
      </c>
    </row>
    <row r="28661" spans="1:8" customFormat="1" x14ac:dyDescent="0.25">
      <c r="A28661" t="str">
        <f>"3724505"</f>
        <v>3724505</v>
      </c>
      <c r="B28661" t="s">
        <v>14139</v>
      </c>
      <c r="C28661" t="s">
        <v>62</v>
      </c>
      <c r="D28661" s="21" t="s">
        <v>34</v>
      </c>
      <c r="E28661" s="21" t="s">
        <v>35</v>
      </c>
      <c r="F28661">
        <v>4370346</v>
      </c>
      <c r="G28661" t="s">
        <v>8269</v>
      </c>
      <c r="H28661" s="21">
        <v>576.54</v>
      </c>
    </row>
    <row r="28662" spans="1:8" customFormat="1" x14ac:dyDescent="0.25">
      <c r="A28662" t="str">
        <f>"5734432"</f>
        <v>5734432</v>
      </c>
      <c r="B28662" t="s">
        <v>1886</v>
      </c>
      <c r="C28662" t="s">
        <v>40</v>
      </c>
      <c r="D28662" s="21" t="s">
        <v>34</v>
      </c>
      <c r="E28662" s="21" t="s">
        <v>35</v>
      </c>
      <c r="F28662">
        <v>6570175</v>
      </c>
      <c r="G28662" t="s">
        <v>9707</v>
      </c>
      <c r="H28662" s="21">
        <v>576.41999999999996</v>
      </c>
    </row>
    <row r="28663" spans="1:8" customFormat="1" x14ac:dyDescent="0.25">
      <c r="A28663" t="str">
        <f>"5324620"</f>
        <v>5324620</v>
      </c>
      <c r="B28663" t="s">
        <v>12577</v>
      </c>
      <c r="C28663" t="s">
        <v>1559</v>
      </c>
      <c r="D28663" s="21" t="s">
        <v>34</v>
      </c>
      <c r="E28663" s="21" t="s">
        <v>35</v>
      </c>
      <c r="F28663">
        <v>12538908</v>
      </c>
      <c r="G28663" t="s">
        <v>28075</v>
      </c>
      <c r="H28663" s="21">
        <v>576.41999999999996</v>
      </c>
    </row>
    <row r="28664" spans="1:8" customFormat="1" x14ac:dyDescent="0.25">
      <c r="A28664" t="str">
        <f>"6014412"</f>
        <v>6014412</v>
      </c>
      <c r="B28664" t="s">
        <v>22146</v>
      </c>
      <c r="C28664" t="s">
        <v>2475</v>
      </c>
      <c r="D28664" s="21" t="s">
        <v>34</v>
      </c>
      <c r="E28664" s="21" t="s">
        <v>35</v>
      </c>
      <c r="F28664">
        <v>7600146</v>
      </c>
      <c r="G28664" t="s">
        <v>8647</v>
      </c>
      <c r="H28664" s="21">
        <v>576.41999999999996</v>
      </c>
    </row>
    <row r="28665" spans="1:8" customFormat="1" x14ac:dyDescent="0.25">
      <c r="A28665" t="str">
        <f>"214593"</f>
        <v>214593</v>
      </c>
      <c r="B28665" t="s">
        <v>8685</v>
      </c>
      <c r="C28665" t="s">
        <v>269</v>
      </c>
      <c r="D28665" s="21" t="s">
        <v>34</v>
      </c>
      <c r="E28665" s="21" t="s">
        <v>71</v>
      </c>
      <c r="F28665">
        <v>2210126</v>
      </c>
      <c r="G28665" t="s">
        <v>10773</v>
      </c>
      <c r="H28665" s="21">
        <v>576.41999999999996</v>
      </c>
    </row>
    <row r="28666" spans="1:8" customFormat="1" x14ac:dyDescent="0.25">
      <c r="A28666" t="str">
        <f>"416612"</f>
        <v>416612</v>
      </c>
      <c r="B28666" t="s">
        <v>9785</v>
      </c>
      <c r="C28666" t="s">
        <v>328</v>
      </c>
      <c r="D28666" s="21" t="s">
        <v>34</v>
      </c>
      <c r="E28666" s="21" t="s">
        <v>71</v>
      </c>
      <c r="F28666">
        <v>4410507</v>
      </c>
      <c r="G28666" t="s">
        <v>19763</v>
      </c>
      <c r="H28666" s="21">
        <v>576.41999999999996</v>
      </c>
    </row>
    <row r="28667" spans="1:8" customFormat="1" x14ac:dyDescent="0.25">
      <c r="A28667" t="str">
        <f>"704004"</f>
        <v>704004</v>
      </c>
      <c r="B28667" t="s">
        <v>1165</v>
      </c>
      <c r="C28667" t="s">
        <v>236</v>
      </c>
      <c r="D28667" s="21" t="s">
        <v>34</v>
      </c>
      <c r="E28667" s="21" t="s">
        <v>254</v>
      </c>
      <c r="F28667">
        <v>2700089</v>
      </c>
      <c r="G28667" t="s">
        <v>2570</v>
      </c>
      <c r="H28667" s="21">
        <v>576.16999999999996</v>
      </c>
    </row>
    <row r="28668" spans="1:8" customFormat="1" x14ac:dyDescent="0.25">
      <c r="A28668" t="str">
        <f>"3345410"</f>
        <v>3345410</v>
      </c>
      <c r="B28668" t="s">
        <v>4418</v>
      </c>
      <c r="C28668" t="s">
        <v>2100</v>
      </c>
      <c r="D28668" s="21" t="s">
        <v>34</v>
      </c>
      <c r="E28668" s="21" t="s">
        <v>254</v>
      </c>
      <c r="F28668">
        <v>10330017</v>
      </c>
      <c r="G28668" t="s">
        <v>2754</v>
      </c>
      <c r="H28668" s="21">
        <v>576.16999999999996</v>
      </c>
    </row>
    <row r="28669" spans="1:8" customFormat="1" x14ac:dyDescent="0.25">
      <c r="A28669" t="str">
        <f>"4448924"</f>
        <v>4448924</v>
      </c>
      <c r="B28669" t="s">
        <v>21251</v>
      </c>
      <c r="C28669" t="s">
        <v>87</v>
      </c>
      <c r="D28669" s="21" t="s">
        <v>34</v>
      </c>
      <c r="E28669" s="21" t="s">
        <v>35</v>
      </c>
      <c r="F28669">
        <v>12440238</v>
      </c>
      <c r="G28669" t="s">
        <v>5258</v>
      </c>
      <c r="H28669" s="21">
        <v>576.16999999999996</v>
      </c>
    </row>
    <row r="28670" spans="1:8" customFormat="1" x14ac:dyDescent="0.25">
      <c r="A28670" t="str">
        <f>"7610404"</f>
        <v>7610404</v>
      </c>
      <c r="B28670" t="s">
        <v>28076</v>
      </c>
      <c r="C28670" t="s">
        <v>206</v>
      </c>
      <c r="D28670" s="21" t="s">
        <v>34</v>
      </c>
      <c r="E28670" s="21" t="s">
        <v>35</v>
      </c>
      <c r="F28670">
        <v>9760414</v>
      </c>
      <c r="G28670" t="s">
        <v>142</v>
      </c>
      <c r="H28670" s="21">
        <v>576.16999999999996</v>
      </c>
    </row>
    <row r="28671" spans="1:8" customFormat="1" x14ac:dyDescent="0.25">
      <c r="A28671" t="str">
        <f>"2719270"</f>
        <v>2719270</v>
      </c>
      <c r="B28671" t="s">
        <v>11619</v>
      </c>
      <c r="C28671" t="s">
        <v>1299</v>
      </c>
      <c r="D28671" s="21" t="s">
        <v>34</v>
      </c>
      <c r="E28671" s="21" t="s">
        <v>254</v>
      </c>
      <c r="F28671">
        <v>9270159</v>
      </c>
      <c r="G28671" t="s">
        <v>5425</v>
      </c>
      <c r="H28671" s="21">
        <v>576.16999999999996</v>
      </c>
    </row>
    <row r="28672" spans="1:8" customFormat="1" x14ac:dyDescent="0.25">
      <c r="A28672" t="str">
        <f>"3727991"</f>
        <v>3727991</v>
      </c>
      <c r="B28672" t="s">
        <v>16292</v>
      </c>
      <c r="C28672" t="s">
        <v>598</v>
      </c>
      <c r="D28672" s="21" t="s">
        <v>34</v>
      </c>
      <c r="E28672" s="21" t="s">
        <v>254</v>
      </c>
      <c r="F28672">
        <v>4370269</v>
      </c>
      <c r="G28672" t="s">
        <v>4277</v>
      </c>
      <c r="H28672" s="21">
        <v>576.16999999999996</v>
      </c>
    </row>
    <row r="28673" spans="1:8" customFormat="1" x14ac:dyDescent="0.25">
      <c r="A28673" t="str">
        <f>"593667"</f>
        <v>593667</v>
      </c>
      <c r="B28673" t="s">
        <v>6110</v>
      </c>
      <c r="C28673" t="s">
        <v>598</v>
      </c>
      <c r="D28673" s="21" t="s">
        <v>34</v>
      </c>
      <c r="E28673" s="21" t="s">
        <v>1089</v>
      </c>
      <c r="F28673">
        <v>7590218</v>
      </c>
      <c r="G28673" t="s">
        <v>26769</v>
      </c>
      <c r="H28673" s="21">
        <v>576.16999999999996</v>
      </c>
    </row>
    <row r="28674" spans="1:8" customFormat="1" x14ac:dyDescent="0.25">
      <c r="A28674" t="str">
        <f>"5620007"</f>
        <v>5620007</v>
      </c>
      <c r="B28674" t="s">
        <v>23748</v>
      </c>
      <c r="C28674" t="s">
        <v>90</v>
      </c>
      <c r="D28674" s="21" t="s">
        <v>34</v>
      </c>
      <c r="E28674" s="21" t="s">
        <v>35</v>
      </c>
      <c r="F28674">
        <v>3560088</v>
      </c>
      <c r="G28674" t="s">
        <v>15034</v>
      </c>
      <c r="H28674" s="21">
        <v>576.16999999999996</v>
      </c>
    </row>
    <row r="28675" spans="1:8" customFormat="1" x14ac:dyDescent="0.25">
      <c r="A28675" t="str">
        <f>"4448405"</f>
        <v>4448405</v>
      </c>
      <c r="B28675" t="s">
        <v>21692</v>
      </c>
      <c r="C28675" t="s">
        <v>867</v>
      </c>
      <c r="D28675" s="21" t="s">
        <v>34</v>
      </c>
      <c r="E28675" s="21" t="s">
        <v>35</v>
      </c>
      <c r="F28675">
        <v>12440013</v>
      </c>
      <c r="G28675" t="s">
        <v>9850</v>
      </c>
      <c r="H28675" s="21">
        <v>576.16999999999996</v>
      </c>
    </row>
    <row r="28676" spans="1:8" customFormat="1" x14ac:dyDescent="0.25">
      <c r="A28676" t="str">
        <f>"4449003"</f>
        <v>4449003</v>
      </c>
      <c r="B28676" t="s">
        <v>22236</v>
      </c>
      <c r="C28676" t="s">
        <v>1675</v>
      </c>
      <c r="D28676" s="21" t="s">
        <v>34</v>
      </c>
      <c r="E28676" s="21" t="s">
        <v>35</v>
      </c>
      <c r="F28676">
        <v>12440099</v>
      </c>
      <c r="G28676" t="s">
        <v>11536</v>
      </c>
      <c r="H28676" s="21">
        <v>576.16999999999996</v>
      </c>
    </row>
    <row r="28677" spans="1:8" customFormat="1" x14ac:dyDescent="0.25">
      <c r="A28677" t="str">
        <f>"5936670"</f>
        <v>5936670</v>
      </c>
      <c r="B28677" t="s">
        <v>3425</v>
      </c>
      <c r="C28677" t="s">
        <v>469</v>
      </c>
      <c r="D28677" s="21" t="s">
        <v>34</v>
      </c>
      <c r="E28677" s="21" t="s">
        <v>71</v>
      </c>
      <c r="F28677">
        <v>7590057</v>
      </c>
      <c r="G28677" t="s">
        <v>7575</v>
      </c>
      <c r="H28677" s="21">
        <v>576.16999999999996</v>
      </c>
    </row>
    <row r="28678" spans="1:8" customFormat="1" x14ac:dyDescent="0.25">
      <c r="A28678" t="str">
        <f>"08851"</f>
        <v>08851</v>
      </c>
      <c r="B28678" t="s">
        <v>14572</v>
      </c>
      <c r="C28678" t="s">
        <v>547</v>
      </c>
      <c r="D28678" s="21" t="s">
        <v>34</v>
      </c>
      <c r="E28678" s="21" t="s">
        <v>6185</v>
      </c>
      <c r="F28678">
        <v>6080057</v>
      </c>
      <c r="G28678" t="s">
        <v>10034</v>
      </c>
      <c r="H28678" s="21">
        <v>576.16999999999996</v>
      </c>
    </row>
    <row r="28679" spans="1:8" customFormat="1" x14ac:dyDescent="0.25">
      <c r="A28679" t="str">
        <f>"5325952"</f>
        <v>5325952</v>
      </c>
      <c r="B28679" t="s">
        <v>2851</v>
      </c>
      <c r="C28679" t="s">
        <v>285</v>
      </c>
      <c r="D28679" s="21" t="s">
        <v>34</v>
      </c>
      <c r="E28679" s="21" t="s">
        <v>35</v>
      </c>
      <c r="F28679">
        <v>12530072</v>
      </c>
      <c r="G28679" t="s">
        <v>7342</v>
      </c>
      <c r="H28679" s="21">
        <v>576.16999999999996</v>
      </c>
    </row>
    <row r="28680" spans="1:8" customFormat="1" x14ac:dyDescent="0.25">
      <c r="A28680" t="str">
        <f>"3727076"</f>
        <v>3727076</v>
      </c>
      <c r="B28680" t="s">
        <v>13137</v>
      </c>
      <c r="C28680" t="s">
        <v>328</v>
      </c>
      <c r="D28680" s="21" t="s">
        <v>34</v>
      </c>
      <c r="E28680" s="21" t="s">
        <v>35</v>
      </c>
      <c r="F28680">
        <v>4370132</v>
      </c>
      <c r="G28680" t="s">
        <v>2262</v>
      </c>
      <c r="H28680" s="21">
        <v>576.16999999999996</v>
      </c>
    </row>
    <row r="28681" spans="1:8" customFormat="1" x14ac:dyDescent="0.25">
      <c r="A28681" t="str">
        <f>"9213207"</f>
        <v>9213207</v>
      </c>
      <c r="B28681" t="s">
        <v>19406</v>
      </c>
      <c r="C28681" t="s">
        <v>1446</v>
      </c>
      <c r="D28681" s="21" t="s">
        <v>34</v>
      </c>
      <c r="E28681" s="21" t="s">
        <v>71</v>
      </c>
      <c r="F28681">
        <v>8921182</v>
      </c>
      <c r="G28681" t="s">
        <v>26954</v>
      </c>
      <c r="H28681" s="21">
        <v>576.16999999999996</v>
      </c>
    </row>
    <row r="28682" spans="1:8" customFormat="1" x14ac:dyDescent="0.25">
      <c r="A28682" t="str">
        <f>"5621939"</f>
        <v>5621939</v>
      </c>
      <c r="B28682" t="s">
        <v>16759</v>
      </c>
      <c r="C28682" t="s">
        <v>40</v>
      </c>
      <c r="D28682" s="21" t="s">
        <v>34</v>
      </c>
      <c r="E28682" s="21" t="s">
        <v>71</v>
      </c>
      <c r="F28682">
        <v>3560050</v>
      </c>
      <c r="G28682" t="s">
        <v>5322</v>
      </c>
      <c r="H28682" s="21">
        <v>576.16999999999996</v>
      </c>
    </row>
    <row r="28683" spans="1:8" customFormat="1" x14ac:dyDescent="0.25">
      <c r="A28683" t="str">
        <f>"3533984"</f>
        <v>3533984</v>
      </c>
      <c r="B28683" t="s">
        <v>19375</v>
      </c>
      <c r="C28683" t="s">
        <v>19376</v>
      </c>
      <c r="D28683" s="21" t="s">
        <v>34</v>
      </c>
      <c r="E28683" s="21" t="s">
        <v>35</v>
      </c>
      <c r="F28683">
        <v>3350090</v>
      </c>
      <c r="G28683" t="s">
        <v>9659</v>
      </c>
      <c r="H28683" s="21">
        <v>576.16999999999996</v>
      </c>
    </row>
    <row r="28684" spans="1:8" customFormat="1" x14ac:dyDescent="0.25">
      <c r="A28684" t="str">
        <f>"7641485"</f>
        <v>7641485</v>
      </c>
      <c r="B28684" t="s">
        <v>21212</v>
      </c>
      <c r="C28684" t="s">
        <v>60</v>
      </c>
      <c r="D28684" s="21" t="s">
        <v>34</v>
      </c>
      <c r="E28684" s="21" t="s">
        <v>35</v>
      </c>
      <c r="F28684">
        <v>9760230</v>
      </c>
      <c r="G28684" t="s">
        <v>12511</v>
      </c>
      <c r="H28684" s="21">
        <v>576.16999999999996</v>
      </c>
    </row>
    <row r="28685" spans="1:8" customFormat="1" x14ac:dyDescent="0.25">
      <c r="A28685" t="str">
        <f>"773641"</f>
        <v>773641</v>
      </c>
      <c r="B28685" t="s">
        <v>1087</v>
      </c>
      <c r="C28685" t="s">
        <v>822</v>
      </c>
      <c r="D28685" s="21" t="s">
        <v>34</v>
      </c>
      <c r="E28685" s="21" t="s">
        <v>1089</v>
      </c>
      <c r="F28685">
        <v>8770250</v>
      </c>
      <c r="G28685" t="s">
        <v>2595</v>
      </c>
      <c r="H28685" s="21">
        <v>576.16999999999996</v>
      </c>
    </row>
    <row r="28686" spans="1:8" customFormat="1" x14ac:dyDescent="0.25">
      <c r="A28686" t="str">
        <f>"3415615"</f>
        <v>3415615</v>
      </c>
      <c r="B28686" t="s">
        <v>20842</v>
      </c>
      <c r="C28686" t="s">
        <v>119</v>
      </c>
      <c r="D28686" s="21" t="s">
        <v>34</v>
      </c>
      <c r="E28686" s="21" t="s">
        <v>71</v>
      </c>
      <c r="F28686">
        <v>11340014</v>
      </c>
      <c r="G28686" t="s">
        <v>1455</v>
      </c>
      <c r="H28686" s="21">
        <v>576.16999999999996</v>
      </c>
    </row>
    <row r="28687" spans="1:8" customFormat="1" x14ac:dyDescent="0.25">
      <c r="A28687" t="str">
        <f>"6942402"</f>
        <v>6942402</v>
      </c>
      <c r="B28687" t="s">
        <v>20485</v>
      </c>
      <c r="C28687" t="s">
        <v>65</v>
      </c>
      <c r="D28687" s="21" t="s">
        <v>34</v>
      </c>
      <c r="E28687" s="21" t="s">
        <v>35</v>
      </c>
      <c r="F28687">
        <v>1690147</v>
      </c>
      <c r="G28687" t="s">
        <v>7245</v>
      </c>
      <c r="H28687" s="21">
        <v>576.16999999999996</v>
      </c>
    </row>
    <row r="28688" spans="1:8" customFormat="1" x14ac:dyDescent="0.25">
      <c r="A28688" t="str">
        <f>"7222048"</f>
        <v>7222048</v>
      </c>
      <c r="B28688" t="s">
        <v>28077</v>
      </c>
      <c r="C28688" t="s">
        <v>484</v>
      </c>
      <c r="D28688" s="21" t="s">
        <v>34</v>
      </c>
      <c r="E28688" s="21" t="s">
        <v>35</v>
      </c>
      <c r="F28688">
        <v>12720084</v>
      </c>
      <c r="G28688" t="s">
        <v>7532</v>
      </c>
      <c r="H28688" s="21">
        <v>576.16999999999996</v>
      </c>
    </row>
    <row r="28689" spans="1:8" customFormat="1" x14ac:dyDescent="0.25">
      <c r="A28689" t="str">
        <f>"4436869"</f>
        <v>4436869</v>
      </c>
      <c r="B28689" t="s">
        <v>12247</v>
      </c>
      <c r="C28689" t="s">
        <v>33</v>
      </c>
      <c r="D28689" s="21" t="s">
        <v>34</v>
      </c>
      <c r="E28689" s="21" t="s">
        <v>71</v>
      </c>
      <c r="F28689">
        <v>12440136</v>
      </c>
      <c r="G28689" t="s">
        <v>3271</v>
      </c>
      <c r="H28689" s="21">
        <v>576.16999999999996</v>
      </c>
    </row>
    <row r="28690" spans="1:8" customFormat="1" x14ac:dyDescent="0.25">
      <c r="A28690" t="str">
        <f>"7847001"</f>
        <v>7847001</v>
      </c>
      <c r="B28690" t="s">
        <v>213</v>
      </c>
      <c r="C28690" t="s">
        <v>1063</v>
      </c>
      <c r="D28690" s="21" t="s">
        <v>34</v>
      </c>
      <c r="E28690" s="21" t="s">
        <v>71</v>
      </c>
      <c r="F28690">
        <v>8780485</v>
      </c>
      <c r="G28690" t="s">
        <v>1279</v>
      </c>
      <c r="H28690" s="21">
        <v>576.04</v>
      </c>
    </row>
    <row r="28691" spans="1:8" customFormat="1" x14ac:dyDescent="0.25">
      <c r="A28691" t="str">
        <f>"0610934"</f>
        <v>0610934</v>
      </c>
      <c r="B28691" t="s">
        <v>21174</v>
      </c>
      <c r="C28691" t="s">
        <v>598</v>
      </c>
      <c r="D28691" s="21" t="s">
        <v>34</v>
      </c>
      <c r="E28691" s="21" t="s">
        <v>254</v>
      </c>
      <c r="F28691">
        <v>13060031</v>
      </c>
      <c r="G28691" t="s">
        <v>9379</v>
      </c>
      <c r="H28691" s="21">
        <v>576.04</v>
      </c>
    </row>
    <row r="28692" spans="1:8" customFormat="1" x14ac:dyDescent="0.25">
      <c r="A28692" t="str">
        <f>"7865546"</f>
        <v>7865546</v>
      </c>
      <c r="B28692" t="s">
        <v>20099</v>
      </c>
      <c r="C28692" t="s">
        <v>598</v>
      </c>
      <c r="D28692" s="21" t="s">
        <v>34</v>
      </c>
      <c r="E28692" s="21" t="s">
        <v>254</v>
      </c>
      <c r="F28692">
        <v>8780627</v>
      </c>
      <c r="G28692" t="s">
        <v>6097</v>
      </c>
      <c r="H28692" s="21">
        <v>576.04</v>
      </c>
    </row>
    <row r="28693" spans="1:8" customFormat="1" x14ac:dyDescent="0.25">
      <c r="A28693" t="str">
        <f>"5975143"</f>
        <v>5975143</v>
      </c>
      <c r="B28693" t="s">
        <v>20456</v>
      </c>
      <c r="C28693" t="s">
        <v>204</v>
      </c>
      <c r="D28693" s="21" t="s">
        <v>34</v>
      </c>
      <c r="E28693" s="21" t="s">
        <v>71</v>
      </c>
      <c r="F28693">
        <v>7590392</v>
      </c>
      <c r="G28693" t="s">
        <v>154</v>
      </c>
      <c r="H28693" s="21">
        <v>575.91999999999996</v>
      </c>
    </row>
    <row r="28694" spans="1:8" customFormat="1" x14ac:dyDescent="0.25">
      <c r="A28694" t="str">
        <f>"3338913"</f>
        <v>3338913</v>
      </c>
      <c r="B28694" t="s">
        <v>28078</v>
      </c>
      <c r="C28694" t="s">
        <v>2365</v>
      </c>
      <c r="D28694" s="21" t="s">
        <v>34</v>
      </c>
      <c r="E28694" s="21" t="s">
        <v>71</v>
      </c>
      <c r="F28694">
        <v>10330067</v>
      </c>
      <c r="G28694" t="s">
        <v>125</v>
      </c>
      <c r="H28694" s="21">
        <v>575.91999999999996</v>
      </c>
    </row>
    <row r="28695" spans="1:8" customFormat="1" x14ac:dyDescent="0.25">
      <c r="A28695" t="str">
        <f>"5969033"</f>
        <v>5969033</v>
      </c>
      <c r="B28695" t="s">
        <v>12821</v>
      </c>
      <c r="C28695" t="s">
        <v>33</v>
      </c>
      <c r="D28695" s="21" t="s">
        <v>34</v>
      </c>
      <c r="E28695" s="21" t="s">
        <v>35</v>
      </c>
      <c r="F28695">
        <v>7590237</v>
      </c>
      <c r="G28695" t="s">
        <v>3600</v>
      </c>
      <c r="H28695" s="21">
        <v>575.91999999999996</v>
      </c>
    </row>
    <row r="28696" spans="1:8" customFormat="1" x14ac:dyDescent="0.25">
      <c r="A28696" t="str">
        <f>"9237520"</f>
        <v>9237520</v>
      </c>
      <c r="B28696" t="s">
        <v>20792</v>
      </c>
      <c r="C28696" t="s">
        <v>269</v>
      </c>
      <c r="D28696" s="21" t="s">
        <v>34</v>
      </c>
      <c r="E28696" s="21" t="s">
        <v>254</v>
      </c>
      <c r="F28696">
        <v>8920063</v>
      </c>
      <c r="G28696" t="s">
        <v>219</v>
      </c>
      <c r="H28696" s="21">
        <v>575.91999999999996</v>
      </c>
    </row>
    <row r="28697" spans="1:8" customFormat="1" x14ac:dyDescent="0.25">
      <c r="A28697" t="str">
        <f>"4428099"</f>
        <v>4428099</v>
      </c>
      <c r="B28697" t="s">
        <v>16745</v>
      </c>
      <c r="C28697" t="s">
        <v>37</v>
      </c>
      <c r="D28697" s="21" t="s">
        <v>34</v>
      </c>
      <c r="E28697" s="21" t="s">
        <v>35</v>
      </c>
      <c r="F28697">
        <v>12440152</v>
      </c>
      <c r="G28697" t="s">
        <v>5481</v>
      </c>
      <c r="H28697" s="21">
        <v>575.66999999999996</v>
      </c>
    </row>
    <row r="28698" spans="1:8" customFormat="1" x14ac:dyDescent="0.25">
      <c r="A28698" t="str">
        <f>"5726934"</f>
        <v>5726934</v>
      </c>
      <c r="B28698" t="s">
        <v>21225</v>
      </c>
      <c r="C28698" t="s">
        <v>269</v>
      </c>
      <c r="D28698" s="21" t="s">
        <v>34</v>
      </c>
      <c r="E28698" s="21" t="s">
        <v>71</v>
      </c>
      <c r="F28698">
        <v>6570030</v>
      </c>
      <c r="G28698" t="s">
        <v>851</v>
      </c>
      <c r="H28698" s="21">
        <v>575.66999999999996</v>
      </c>
    </row>
    <row r="28699" spans="1:8" customFormat="1" x14ac:dyDescent="0.25">
      <c r="A28699" t="str">
        <f>"665731"</f>
        <v>665731</v>
      </c>
      <c r="B28699" t="s">
        <v>24748</v>
      </c>
      <c r="C28699" t="s">
        <v>239</v>
      </c>
      <c r="D28699" s="21" t="s">
        <v>34</v>
      </c>
      <c r="E28699" s="21" t="s">
        <v>71</v>
      </c>
      <c r="F28699">
        <v>11660013</v>
      </c>
      <c r="G28699" t="s">
        <v>10510</v>
      </c>
      <c r="H28699" s="21">
        <v>575.66999999999996</v>
      </c>
    </row>
    <row r="28700" spans="1:8" customFormat="1" x14ac:dyDescent="0.25">
      <c r="A28700" t="str">
        <f>"443533"</f>
        <v>443533</v>
      </c>
      <c r="B28700" t="s">
        <v>697</v>
      </c>
      <c r="C28700" t="s">
        <v>598</v>
      </c>
      <c r="D28700" s="21" t="s">
        <v>34</v>
      </c>
      <c r="E28700" s="21" t="s">
        <v>1089</v>
      </c>
      <c r="F28700">
        <v>12440129</v>
      </c>
      <c r="G28700" t="s">
        <v>11755</v>
      </c>
      <c r="H28700" s="21">
        <v>575.66999999999996</v>
      </c>
    </row>
    <row r="28701" spans="1:8" customFormat="1" x14ac:dyDescent="0.25">
      <c r="A28701" t="str">
        <f>"9145139"</f>
        <v>9145139</v>
      </c>
      <c r="B28701" t="s">
        <v>21268</v>
      </c>
      <c r="C28701" t="s">
        <v>1025</v>
      </c>
      <c r="D28701" s="21" t="s">
        <v>34</v>
      </c>
      <c r="E28701" s="21" t="s">
        <v>35</v>
      </c>
      <c r="F28701">
        <v>8910438</v>
      </c>
      <c r="G28701" t="s">
        <v>761</v>
      </c>
      <c r="H28701" s="21">
        <v>575.66999999999996</v>
      </c>
    </row>
    <row r="28702" spans="1:8" customFormat="1" x14ac:dyDescent="0.25">
      <c r="A28702" t="str">
        <f>"483560"</f>
        <v>483560</v>
      </c>
      <c r="B28702" t="s">
        <v>20131</v>
      </c>
      <c r="C28702" t="s">
        <v>169</v>
      </c>
      <c r="D28702" s="21" t="s">
        <v>34</v>
      </c>
      <c r="E28702" s="21" t="s">
        <v>71</v>
      </c>
      <c r="F28702">
        <v>11480028</v>
      </c>
      <c r="G28702" t="s">
        <v>14531</v>
      </c>
      <c r="H28702" s="21">
        <v>575.66999999999996</v>
      </c>
    </row>
    <row r="28703" spans="1:8" customFormat="1" x14ac:dyDescent="0.25">
      <c r="A28703" t="str">
        <f>"302493"</f>
        <v>302493</v>
      </c>
      <c r="B28703" t="s">
        <v>19383</v>
      </c>
      <c r="C28703" t="s">
        <v>2529</v>
      </c>
      <c r="D28703" s="21" t="s">
        <v>34</v>
      </c>
      <c r="E28703" s="21" t="s">
        <v>254</v>
      </c>
      <c r="F28703">
        <v>11300015</v>
      </c>
      <c r="G28703" t="s">
        <v>12613</v>
      </c>
      <c r="H28703" s="21">
        <v>575.66999999999996</v>
      </c>
    </row>
    <row r="28704" spans="1:8" customFormat="1" x14ac:dyDescent="0.25">
      <c r="A28704" t="str">
        <f>"4421983"</f>
        <v>4421983</v>
      </c>
      <c r="B28704" t="s">
        <v>14675</v>
      </c>
      <c r="C28704" t="s">
        <v>1231</v>
      </c>
      <c r="D28704" s="21" t="s">
        <v>34</v>
      </c>
      <c r="E28704" s="21" t="s">
        <v>254</v>
      </c>
      <c r="F28704">
        <v>12440129</v>
      </c>
      <c r="G28704" t="s">
        <v>11755</v>
      </c>
      <c r="H28704" s="21">
        <v>575.66999999999996</v>
      </c>
    </row>
    <row r="28705" spans="1:8" customFormat="1" x14ac:dyDescent="0.25">
      <c r="A28705" t="str">
        <f>"312402"</f>
        <v>312402</v>
      </c>
      <c r="B28705" t="s">
        <v>19972</v>
      </c>
      <c r="C28705" t="s">
        <v>156</v>
      </c>
      <c r="D28705" s="21" t="s">
        <v>34</v>
      </c>
      <c r="E28705" s="21" t="s">
        <v>254</v>
      </c>
      <c r="F28705">
        <v>11310070</v>
      </c>
      <c r="G28705" t="s">
        <v>11563</v>
      </c>
      <c r="H28705" s="21">
        <v>575.66999999999996</v>
      </c>
    </row>
    <row r="28706" spans="1:8" customFormat="1" x14ac:dyDescent="0.25">
      <c r="A28706" t="str">
        <f>"2921658"</f>
        <v>2921658</v>
      </c>
      <c r="B28706" t="s">
        <v>19659</v>
      </c>
      <c r="C28706" t="s">
        <v>1231</v>
      </c>
      <c r="D28706" s="21" t="s">
        <v>34</v>
      </c>
      <c r="E28706" s="21" t="s">
        <v>6185</v>
      </c>
      <c r="F28706">
        <v>3290277</v>
      </c>
      <c r="G28706" t="s">
        <v>1671</v>
      </c>
      <c r="H28706" s="21">
        <v>575.66999999999996</v>
      </c>
    </row>
    <row r="28707" spans="1:8" customFormat="1" x14ac:dyDescent="0.25">
      <c r="A28707" t="str">
        <f>"7837804"</f>
        <v>7837804</v>
      </c>
      <c r="B28707" t="s">
        <v>146</v>
      </c>
      <c r="C28707" t="s">
        <v>2276</v>
      </c>
      <c r="D28707" s="21" t="s">
        <v>34</v>
      </c>
      <c r="E28707" s="21" t="s">
        <v>1089</v>
      </c>
      <c r="F28707">
        <v>11340017</v>
      </c>
      <c r="G28707" t="s">
        <v>10668</v>
      </c>
      <c r="H28707" s="21">
        <v>575.66999999999996</v>
      </c>
    </row>
    <row r="28708" spans="1:8" customFormat="1" x14ac:dyDescent="0.25">
      <c r="A28708" t="str">
        <f>"563546"</f>
        <v>563546</v>
      </c>
      <c r="B28708" t="s">
        <v>8280</v>
      </c>
      <c r="C28708" t="s">
        <v>415</v>
      </c>
      <c r="D28708" s="21" t="s">
        <v>34</v>
      </c>
      <c r="E28708" s="21" t="s">
        <v>254</v>
      </c>
      <c r="F28708">
        <v>3560005</v>
      </c>
      <c r="G28708" t="s">
        <v>2101</v>
      </c>
      <c r="H28708" s="21">
        <v>575.66999999999996</v>
      </c>
    </row>
    <row r="28709" spans="1:8" customFormat="1" x14ac:dyDescent="0.25">
      <c r="A28709" t="str">
        <f>"2930165"</f>
        <v>2930165</v>
      </c>
      <c r="B28709" t="s">
        <v>21072</v>
      </c>
      <c r="C28709" t="s">
        <v>139</v>
      </c>
      <c r="D28709" s="21" t="s">
        <v>34</v>
      </c>
      <c r="E28709" s="21" t="s">
        <v>35</v>
      </c>
      <c r="F28709">
        <v>3290285</v>
      </c>
      <c r="G28709" t="s">
        <v>2234</v>
      </c>
      <c r="H28709" s="21">
        <v>575.66999999999996</v>
      </c>
    </row>
    <row r="28710" spans="1:8" customFormat="1" x14ac:dyDescent="0.25">
      <c r="A28710" t="str">
        <f>"033812"</f>
        <v>033812</v>
      </c>
      <c r="B28710" t="s">
        <v>16829</v>
      </c>
      <c r="C28710" t="s">
        <v>412</v>
      </c>
      <c r="D28710" s="21" t="s">
        <v>34</v>
      </c>
      <c r="E28710" s="21" t="s">
        <v>254</v>
      </c>
      <c r="F28710">
        <v>1030094</v>
      </c>
      <c r="G28710" t="s">
        <v>8523</v>
      </c>
      <c r="H28710" s="21">
        <v>575.66999999999996</v>
      </c>
    </row>
    <row r="28711" spans="1:8" customFormat="1" x14ac:dyDescent="0.25">
      <c r="A28711" t="str">
        <f>"7720797"</f>
        <v>7720797</v>
      </c>
      <c r="B28711" t="s">
        <v>1081</v>
      </c>
      <c r="C28711" t="s">
        <v>209</v>
      </c>
      <c r="D28711" s="21" t="s">
        <v>34</v>
      </c>
      <c r="E28711" s="21" t="s">
        <v>35</v>
      </c>
      <c r="F28711">
        <v>8770489</v>
      </c>
      <c r="G28711" t="s">
        <v>1763</v>
      </c>
      <c r="H28711" s="21">
        <v>575.66999999999996</v>
      </c>
    </row>
    <row r="28712" spans="1:8" customFormat="1" x14ac:dyDescent="0.25">
      <c r="A28712" t="str">
        <f>"7212514"</f>
        <v>7212514</v>
      </c>
      <c r="B28712" t="s">
        <v>19402</v>
      </c>
      <c r="C28712" t="s">
        <v>198</v>
      </c>
      <c r="D28712" s="21" t="s">
        <v>34</v>
      </c>
      <c r="E28712" s="21" t="s">
        <v>71</v>
      </c>
      <c r="F28712">
        <v>12720005</v>
      </c>
      <c r="G28712" t="s">
        <v>999</v>
      </c>
      <c r="H28712" s="21">
        <v>575.66999999999996</v>
      </c>
    </row>
    <row r="28713" spans="1:8" customFormat="1" x14ac:dyDescent="0.25">
      <c r="A28713" t="str">
        <f>"7855820"</f>
        <v>7855820</v>
      </c>
      <c r="B28713" t="s">
        <v>22756</v>
      </c>
      <c r="C28713" t="s">
        <v>916</v>
      </c>
      <c r="D28713" s="21" t="s">
        <v>34</v>
      </c>
      <c r="E28713" s="21" t="s">
        <v>71</v>
      </c>
      <c r="F28713">
        <v>8780130</v>
      </c>
      <c r="G28713" t="s">
        <v>5752</v>
      </c>
      <c r="H28713" s="21">
        <v>575.66999999999996</v>
      </c>
    </row>
    <row r="28714" spans="1:8" customFormat="1" x14ac:dyDescent="0.25">
      <c r="A28714" t="str">
        <f>"379655"</f>
        <v>379655</v>
      </c>
      <c r="B28714" t="s">
        <v>9285</v>
      </c>
      <c r="C28714" t="s">
        <v>2546</v>
      </c>
      <c r="D28714" s="21" t="s">
        <v>34</v>
      </c>
      <c r="E28714" s="21" t="s">
        <v>254</v>
      </c>
      <c r="F28714">
        <v>4370167</v>
      </c>
      <c r="G28714" t="s">
        <v>8834</v>
      </c>
      <c r="H28714" s="21">
        <v>575.66999999999996</v>
      </c>
    </row>
    <row r="28715" spans="1:8" customFormat="1" x14ac:dyDescent="0.25">
      <c r="A28715" t="str">
        <f>"5942755"</f>
        <v>5942755</v>
      </c>
      <c r="B28715" t="s">
        <v>19319</v>
      </c>
      <c r="C28715" t="s">
        <v>5861</v>
      </c>
      <c r="D28715" s="21" t="s">
        <v>34</v>
      </c>
      <c r="E28715" s="21" t="s">
        <v>35</v>
      </c>
      <c r="F28715">
        <v>7590089</v>
      </c>
      <c r="G28715" t="s">
        <v>1418</v>
      </c>
      <c r="H28715" s="21">
        <v>575.66999999999996</v>
      </c>
    </row>
    <row r="28716" spans="1:8" customFormat="1" x14ac:dyDescent="0.25">
      <c r="A28716" t="str">
        <f>"393752"</f>
        <v>393752</v>
      </c>
      <c r="B28716" t="s">
        <v>17333</v>
      </c>
      <c r="C28716" t="s">
        <v>462</v>
      </c>
      <c r="D28716" s="21" t="s">
        <v>34</v>
      </c>
      <c r="E28716" s="21" t="s">
        <v>254</v>
      </c>
      <c r="F28716">
        <v>12850138</v>
      </c>
      <c r="G28716" t="s">
        <v>6879</v>
      </c>
      <c r="H28716" s="21">
        <v>575.66999999999996</v>
      </c>
    </row>
    <row r="28717" spans="1:8" customFormat="1" x14ac:dyDescent="0.25">
      <c r="A28717" t="str">
        <f>"6212061"</f>
        <v>6212061</v>
      </c>
      <c r="B28717" t="s">
        <v>18577</v>
      </c>
      <c r="C28717" t="s">
        <v>3712</v>
      </c>
      <c r="D28717" s="21" t="s">
        <v>34</v>
      </c>
      <c r="E28717" s="21" t="s">
        <v>6185</v>
      </c>
      <c r="F28717">
        <v>7620082</v>
      </c>
      <c r="G28717" t="s">
        <v>4939</v>
      </c>
      <c r="H28717" s="21">
        <v>575.66999999999996</v>
      </c>
    </row>
    <row r="28718" spans="1:8" customFormat="1" x14ac:dyDescent="0.25">
      <c r="A28718" t="str">
        <f>"4933592"</f>
        <v>4933592</v>
      </c>
      <c r="B28718" t="s">
        <v>21519</v>
      </c>
      <c r="C28718" t="s">
        <v>58</v>
      </c>
      <c r="D28718" s="21" t="s">
        <v>34</v>
      </c>
      <c r="E28718" s="21" t="s">
        <v>35</v>
      </c>
      <c r="F28718">
        <v>12490117</v>
      </c>
      <c r="G28718" t="s">
        <v>10141</v>
      </c>
      <c r="H28718" s="21">
        <v>575.66999999999996</v>
      </c>
    </row>
    <row r="28719" spans="1:8" customFormat="1" x14ac:dyDescent="0.25">
      <c r="A28719" t="str">
        <f>"5319823"</f>
        <v>5319823</v>
      </c>
      <c r="B28719" t="s">
        <v>849</v>
      </c>
      <c r="C28719" t="s">
        <v>1271</v>
      </c>
      <c r="D28719" s="21" t="s">
        <v>34</v>
      </c>
      <c r="E28719" s="21" t="s">
        <v>1089</v>
      </c>
      <c r="F28719">
        <v>12530058</v>
      </c>
      <c r="G28719" t="s">
        <v>3128</v>
      </c>
      <c r="H28719" s="21">
        <v>575.54</v>
      </c>
    </row>
    <row r="28720" spans="1:8" customFormat="1" x14ac:dyDescent="0.25">
      <c r="A28720" t="str">
        <f>"5955033"</f>
        <v>5955033</v>
      </c>
      <c r="B28720" t="s">
        <v>20497</v>
      </c>
      <c r="C28720" t="s">
        <v>3010</v>
      </c>
      <c r="D28720" s="21" t="s">
        <v>34</v>
      </c>
      <c r="E28720" s="21" t="s">
        <v>254</v>
      </c>
      <c r="F28720">
        <v>7590112</v>
      </c>
      <c r="G28720" t="s">
        <v>3534</v>
      </c>
      <c r="H28720" s="21">
        <v>575.41999999999996</v>
      </c>
    </row>
    <row r="28721" spans="1:8" customFormat="1" x14ac:dyDescent="0.25">
      <c r="A28721" t="str">
        <f>"589641"</f>
        <v>589641</v>
      </c>
      <c r="B28721" t="s">
        <v>18976</v>
      </c>
      <c r="C28721" t="s">
        <v>311</v>
      </c>
      <c r="D28721" s="21" t="s">
        <v>34</v>
      </c>
      <c r="E28721" s="21" t="s">
        <v>35</v>
      </c>
      <c r="F28721">
        <v>2580091</v>
      </c>
      <c r="G28721" t="s">
        <v>13057</v>
      </c>
      <c r="H28721" s="21">
        <v>575.41999999999996</v>
      </c>
    </row>
    <row r="28722" spans="1:8" customFormat="1" x14ac:dyDescent="0.25">
      <c r="A28722" t="str">
        <f>"3724144"</f>
        <v>3724144</v>
      </c>
      <c r="B28722" t="s">
        <v>20283</v>
      </c>
      <c r="C28722" t="s">
        <v>130</v>
      </c>
      <c r="D28722" s="21" t="s">
        <v>34</v>
      </c>
      <c r="E28722" s="21" t="s">
        <v>71</v>
      </c>
      <c r="F28722">
        <v>4370102</v>
      </c>
      <c r="G28722" t="s">
        <v>10707</v>
      </c>
      <c r="H28722" s="21">
        <v>575.41999999999996</v>
      </c>
    </row>
    <row r="28723" spans="1:8" customFormat="1" x14ac:dyDescent="0.25">
      <c r="A28723" t="str">
        <f>"9320616"</f>
        <v>9320616</v>
      </c>
      <c r="B28723" t="s">
        <v>28079</v>
      </c>
      <c r="C28723" t="s">
        <v>40</v>
      </c>
      <c r="D28723" s="21" t="s">
        <v>34</v>
      </c>
      <c r="E28723" s="21" t="s">
        <v>71</v>
      </c>
      <c r="F28723">
        <v>8931011</v>
      </c>
      <c r="G28723" t="s">
        <v>530</v>
      </c>
      <c r="H28723" s="21">
        <v>575.41999999999996</v>
      </c>
    </row>
    <row r="28724" spans="1:8" customFormat="1" x14ac:dyDescent="0.25">
      <c r="A28724" t="str">
        <f>"1424442"</f>
        <v>1424442</v>
      </c>
      <c r="B28724" t="s">
        <v>20290</v>
      </c>
      <c r="C28724" t="s">
        <v>124</v>
      </c>
      <c r="D28724" s="21" t="s">
        <v>34</v>
      </c>
      <c r="E28724" s="21" t="s">
        <v>71</v>
      </c>
      <c r="F28724">
        <v>9140055</v>
      </c>
      <c r="G28724" t="s">
        <v>344</v>
      </c>
      <c r="H28724" s="21">
        <v>575.16999999999996</v>
      </c>
    </row>
    <row r="28725" spans="1:8" customFormat="1" x14ac:dyDescent="0.25">
      <c r="A28725" t="str">
        <f>"5981724"</f>
        <v>5981724</v>
      </c>
      <c r="B28725" t="s">
        <v>21661</v>
      </c>
      <c r="C28725" t="s">
        <v>2100</v>
      </c>
      <c r="D28725" s="21" t="s">
        <v>34</v>
      </c>
      <c r="E28725" s="21" t="s">
        <v>71</v>
      </c>
      <c r="F28725">
        <v>7590123</v>
      </c>
      <c r="G28725" t="s">
        <v>85</v>
      </c>
      <c r="H28725" s="21">
        <v>575.16999999999996</v>
      </c>
    </row>
    <row r="28726" spans="1:8" customFormat="1" x14ac:dyDescent="0.25">
      <c r="A28726" t="str">
        <f>"4442281"</f>
        <v>4442281</v>
      </c>
      <c r="B28726" t="s">
        <v>19573</v>
      </c>
      <c r="C28726" t="s">
        <v>236</v>
      </c>
      <c r="D28726" s="21" t="s">
        <v>34</v>
      </c>
      <c r="E28726" s="21" t="s">
        <v>254</v>
      </c>
      <c r="F28726">
        <v>12440030</v>
      </c>
      <c r="G28726" t="s">
        <v>5524</v>
      </c>
      <c r="H28726" s="21">
        <v>575.16999999999996</v>
      </c>
    </row>
    <row r="28727" spans="1:8" customFormat="1" x14ac:dyDescent="0.25">
      <c r="A28727" t="str">
        <f>"629633"</f>
        <v>629633</v>
      </c>
      <c r="B28727" t="s">
        <v>146</v>
      </c>
      <c r="C28727" t="s">
        <v>204</v>
      </c>
      <c r="D28727" s="21" t="s">
        <v>34</v>
      </c>
      <c r="E28727" s="21" t="s">
        <v>254</v>
      </c>
      <c r="F28727">
        <v>7620087</v>
      </c>
      <c r="G28727" t="s">
        <v>7637</v>
      </c>
      <c r="H28727" s="21">
        <v>575.16999999999996</v>
      </c>
    </row>
    <row r="28728" spans="1:8" customFormat="1" x14ac:dyDescent="0.25">
      <c r="A28728" t="str">
        <f>"5714755"</f>
        <v>5714755</v>
      </c>
      <c r="B28728" t="s">
        <v>1687</v>
      </c>
      <c r="C28728" t="s">
        <v>198</v>
      </c>
      <c r="D28728" s="21" t="s">
        <v>34</v>
      </c>
      <c r="E28728" s="21" t="s">
        <v>71</v>
      </c>
      <c r="F28728">
        <v>6570070</v>
      </c>
      <c r="G28728" t="s">
        <v>1765</v>
      </c>
      <c r="H28728" s="21">
        <v>575.16999999999996</v>
      </c>
    </row>
    <row r="28729" spans="1:8" customFormat="1" x14ac:dyDescent="0.25">
      <c r="A28729" t="str">
        <f>"7640137"</f>
        <v>7640137</v>
      </c>
      <c r="B28729" t="s">
        <v>20833</v>
      </c>
      <c r="C28729" t="s">
        <v>114</v>
      </c>
      <c r="D28729" s="21" t="s">
        <v>34</v>
      </c>
      <c r="E28729" s="21" t="s">
        <v>254</v>
      </c>
      <c r="F28729">
        <v>9760070</v>
      </c>
      <c r="G28729" t="s">
        <v>6226</v>
      </c>
      <c r="H28729" s="21">
        <v>575.16999999999996</v>
      </c>
    </row>
    <row r="28730" spans="1:8" customFormat="1" x14ac:dyDescent="0.25">
      <c r="A28730" t="str">
        <f>"1717109"</f>
        <v>1717109</v>
      </c>
      <c r="B28730" t="s">
        <v>1776</v>
      </c>
      <c r="C28730" t="s">
        <v>3522</v>
      </c>
      <c r="D28730" s="21" t="s">
        <v>34</v>
      </c>
      <c r="E28730" s="21" t="s">
        <v>35</v>
      </c>
      <c r="F28730">
        <v>10170150</v>
      </c>
      <c r="G28730" t="s">
        <v>4531</v>
      </c>
      <c r="H28730" s="21">
        <v>575.16999999999996</v>
      </c>
    </row>
    <row r="28731" spans="1:8" customFormat="1" x14ac:dyDescent="0.25">
      <c r="A28731" t="str">
        <f>"1313794"</f>
        <v>1313794</v>
      </c>
      <c r="B28731" t="s">
        <v>20809</v>
      </c>
      <c r="C28731" t="s">
        <v>2475</v>
      </c>
      <c r="D28731" s="21" t="s">
        <v>34</v>
      </c>
      <c r="E28731" s="21" t="s">
        <v>71</v>
      </c>
      <c r="F28731">
        <v>13130067</v>
      </c>
      <c r="G28731" t="s">
        <v>1420</v>
      </c>
      <c r="H28731" s="21">
        <v>575.16999999999996</v>
      </c>
    </row>
    <row r="28732" spans="1:8" customFormat="1" x14ac:dyDescent="0.25">
      <c r="A28732" t="str">
        <f>"6110405"</f>
        <v>6110405</v>
      </c>
      <c r="B28732" t="s">
        <v>16132</v>
      </c>
      <c r="C28732" t="s">
        <v>33</v>
      </c>
      <c r="D28732" s="21" t="s">
        <v>34</v>
      </c>
      <c r="E28732" s="21" t="s">
        <v>35</v>
      </c>
      <c r="F28732">
        <v>9610055</v>
      </c>
      <c r="G28732" t="s">
        <v>13803</v>
      </c>
      <c r="H28732" s="21">
        <v>575.16999999999996</v>
      </c>
    </row>
    <row r="28733" spans="1:8" customFormat="1" x14ac:dyDescent="0.25">
      <c r="A28733" t="str">
        <f>"5613774"</f>
        <v>5613774</v>
      </c>
      <c r="B28733" t="s">
        <v>4834</v>
      </c>
      <c r="C28733" t="s">
        <v>209</v>
      </c>
      <c r="D28733" s="21" t="s">
        <v>34</v>
      </c>
      <c r="E28733" s="21" t="s">
        <v>71</v>
      </c>
      <c r="F28733">
        <v>3560088</v>
      </c>
      <c r="G28733" t="s">
        <v>15034</v>
      </c>
      <c r="H28733" s="21">
        <v>575.16999999999996</v>
      </c>
    </row>
    <row r="28734" spans="1:8" customFormat="1" x14ac:dyDescent="0.25">
      <c r="A28734" t="str">
        <f>"847149"</f>
        <v>847149</v>
      </c>
      <c r="B28734" t="s">
        <v>4649</v>
      </c>
      <c r="C28734" t="s">
        <v>96</v>
      </c>
      <c r="D28734" s="21" t="s">
        <v>34</v>
      </c>
      <c r="E28734" s="21" t="s">
        <v>35</v>
      </c>
      <c r="F28734">
        <v>13840037</v>
      </c>
      <c r="G28734" t="s">
        <v>2019</v>
      </c>
      <c r="H28734" s="21">
        <v>575.16999999999996</v>
      </c>
    </row>
    <row r="28735" spans="1:8" customFormat="1" x14ac:dyDescent="0.25">
      <c r="A28735" t="str">
        <f>"1312211"</f>
        <v>1312211</v>
      </c>
      <c r="B28735" t="s">
        <v>19106</v>
      </c>
      <c r="C28735" t="s">
        <v>2520</v>
      </c>
      <c r="D28735" s="21" t="s">
        <v>34</v>
      </c>
      <c r="E28735" s="21" t="s">
        <v>71</v>
      </c>
      <c r="F28735">
        <v>13130156</v>
      </c>
      <c r="G28735" t="s">
        <v>16738</v>
      </c>
      <c r="H28735" s="21">
        <v>575.16999999999996</v>
      </c>
    </row>
    <row r="28736" spans="1:8" customFormat="1" x14ac:dyDescent="0.25">
      <c r="A28736" t="str">
        <f>"4212301"</f>
        <v>4212301</v>
      </c>
      <c r="B28736" t="s">
        <v>8311</v>
      </c>
      <c r="C28736" t="s">
        <v>28080</v>
      </c>
      <c r="D28736" s="21" t="s">
        <v>34</v>
      </c>
      <c r="E28736" s="21" t="s">
        <v>254</v>
      </c>
      <c r="F28736">
        <v>1420080</v>
      </c>
      <c r="G28736" t="s">
        <v>10230</v>
      </c>
      <c r="H28736" s="21">
        <v>575.16999999999996</v>
      </c>
    </row>
    <row r="28737" spans="1:8" customFormat="1" x14ac:dyDescent="0.25">
      <c r="A28737" t="str">
        <f>"648296"</f>
        <v>648296</v>
      </c>
      <c r="B28737" t="s">
        <v>3657</v>
      </c>
      <c r="C28737" t="s">
        <v>719</v>
      </c>
      <c r="D28737" s="21" t="s">
        <v>34</v>
      </c>
      <c r="E28737" s="21" t="s">
        <v>71</v>
      </c>
      <c r="F28737">
        <v>10640004</v>
      </c>
      <c r="G28737" t="s">
        <v>26618</v>
      </c>
      <c r="H28737" s="21">
        <v>575.16999999999996</v>
      </c>
    </row>
    <row r="28738" spans="1:8" customFormat="1" x14ac:dyDescent="0.25">
      <c r="A28738" t="str">
        <f>"168588"</f>
        <v>168588</v>
      </c>
      <c r="B28738" t="s">
        <v>2476</v>
      </c>
      <c r="C28738" t="s">
        <v>926</v>
      </c>
      <c r="D28738" s="21" t="s">
        <v>34</v>
      </c>
      <c r="E28738" s="21" t="s">
        <v>71</v>
      </c>
      <c r="F28738">
        <v>10160236</v>
      </c>
      <c r="G28738" t="s">
        <v>7202</v>
      </c>
      <c r="H28738" s="21">
        <v>575.16999999999996</v>
      </c>
    </row>
    <row r="28739" spans="1:8" customFormat="1" x14ac:dyDescent="0.25">
      <c r="A28739" t="str">
        <f>"3342665"</f>
        <v>3342665</v>
      </c>
      <c r="B28739" t="s">
        <v>21868</v>
      </c>
      <c r="C28739" t="s">
        <v>269</v>
      </c>
      <c r="D28739" s="21" t="s">
        <v>34</v>
      </c>
      <c r="E28739" s="21" t="s">
        <v>71</v>
      </c>
      <c r="F28739">
        <v>10330086</v>
      </c>
      <c r="G28739" t="s">
        <v>785</v>
      </c>
      <c r="H28739" s="21">
        <v>575.16999999999996</v>
      </c>
    </row>
    <row r="28740" spans="1:8" customFormat="1" x14ac:dyDescent="0.25">
      <c r="A28740" t="str">
        <f>"6232217"</f>
        <v>6232217</v>
      </c>
      <c r="B28740" t="s">
        <v>6248</v>
      </c>
      <c r="C28740" t="s">
        <v>275</v>
      </c>
      <c r="D28740" s="21" t="s">
        <v>34</v>
      </c>
      <c r="E28740" s="21" t="s">
        <v>35</v>
      </c>
      <c r="F28740">
        <v>7620153</v>
      </c>
      <c r="G28740" t="s">
        <v>5104</v>
      </c>
      <c r="H28740" s="21">
        <v>575.16999999999996</v>
      </c>
    </row>
    <row r="28741" spans="1:8" customFormat="1" x14ac:dyDescent="0.25">
      <c r="A28741" t="str">
        <f>"5111538"</f>
        <v>5111538</v>
      </c>
      <c r="B28741" t="s">
        <v>14722</v>
      </c>
      <c r="C28741" t="s">
        <v>2475</v>
      </c>
      <c r="D28741" s="21" t="s">
        <v>34</v>
      </c>
      <c r="E28741" s="21" t="s">
        <v>35</v>
      </c>
      <c r="F28741">
        <v>6510062</v>
      </c>
      <c r="G28741" t="s">
        <v>9059</v>
      </c>
      <c r="H28741" s="21">
        <v>575.16999999999996</v>
      </c>
    </row>
    <row r="28742" spans="1:8" customFormat="1" x14ac:dyDescent="0.25">
      <c r="A28742" t="str">
        <f>"7114007"</f>
        <v>7114007</v>
      </c>
      <c r="B28742" t="s">
        <v>2726</v>
      </c>
      <c r="C28742" t="s">
        <v>169</v>
      </c>
      <c r="D28742" s="21" t="s">
        <v>34</v>
      </c>
      <c r="E28742" s="21" t="s">
        <v>35</v>
      </c>
      <c r="F28742">
        <v>2710002</v>
      </c>
      <c r="G28742" t="s">
        <v>6838</v>
      </c>
      <c r="H28742" s="21">
        <v>575.16999999999996</v>
      </c>
    </row>
    <row r="28743" spans="1:8" customFormat="1" x14ac:dyDescent="0.25">
      <c r="A28743" t="str">
        <f>"8527311"</f>
        <v>8527311</v>
      </c>
      <c r="B28743" t="s">
        <v>646</v>
      </c>
      <c r="C28743" t="s">
        <v>37</v>
      </c>
      <c r="D28743" s="21" t="s">
        <v>34</v>
      </c>
      <c r="E28743" s="21" t="s">
        <v>35</v>
      </c>
      <c r="F28743">
        <v>12850057</v>
      </c>
      <c r="G28743" t="s">
        <v>1291</v>
      </c>
      <c r="H28743" s="21">
        <v>575.16999999999996</v>
      </c>
    </row>
    <row r="28744" spans="1:8" customFormat="1" x14ac:dyDescent="0.25">
      <c r="A28744" t="str">
        <f>"5317621"</f>
        <v>5317621</v>
      </c>
      <c r="B28744" t="s">
        <v>1908</v>
      </c>
      <c r="C28744" t="s">
        <v>1803</v>
      </c>
      <c r="D28744" s="21" t="s">
        <v>34</v>
      </c>
      <c r="E28744" s="21" t="s">
        <v>35</v>
      </c>
      <c r="F28744">
        <v>12530078</v>
      </c>
      <c r="G28744" t="s">
        <v>3677</v>
      </c>
      <c r="H28744" s="21">
        <v>575.16999999999996</v>
      </c>
    </row>
    <row r="28745" spans="1:8" customFormat="1" x14ac:dyDescent="0.25">
      <c r="A28745" t="str">
        <f>"461550"</f>
        <v>461550</v>
      </c>
      <c r="B28745" t="s">
        <v>20633</v>
      </c>
      <c r="C28745" t="s">
        <v>3010</v>
      </c>
      <c r="D28745" s="21" t="s">
        <v>34</v>
      </c>
      <c r="E28745" s="21" t="s">
        <v>71</v>
      </c>
      <c r="F28745">
        <v>11460029</v>
      </c>
      <c r="G28745" t="s">
        <v>10606</v>
      </c>
      <c r="H28745" s="21">
        <v>575.04</v>
      </c>
    </row>
    <row r="28746" spans="1:8" customFormat="1" x14ac:dyDescent="0.25">
      <c r="A28746" t="str">
        <f>"9216380"</f>
        <v>9216380</v>
      </c>
      <c r="B28746" t="s">
        <v>1351</v>
      </c>
      <c r="C28746" t="s">
        <v>3905</v>
      </c>
      <c r="D28746" s="21" t="s">
        <v>34</v>
      </c>
      <c r="E28746" s="21" t="s">
        <v>6185</v>
      </c>
      <c r="F28746">
        <v>8920076</v>
      </c>
      <c r="G28746" t="s">
        <v>2281</v>
      </c>
      <c r="H28746" s="21">
        <v>575.04</v>
      </c>
    </row>
    <row r="28747" spans="1:8" customFormat="1" x14ac:dyDescent="0.25">
      <c r="A28747" t="str">
        <f>"779159"</f>
        <v>779159</v>
      </c>
      <c r="B28747" t="s">
        <v>14059</v>
      </c>
      <c r="C28747" t="s">
        <v>822</v>
      </c>
      <c r="D28747" s="21" t="s">
        <v>34</v>
      </c>
      <c r="E28747" s="21" t="s">
        <v>254</v>
      </c>
      <c r="F28747">
        <v>11340060</v>
      </c>
      <c r="G28747" t="s">
        <v>1275</v>
      </c>
      <c r="H28747" s="21">
        <v>574.91999999999996</v>
      </c>
    </row>
    <row r="28748" spans="1:8" customFormat="1" x14ac:dyDescent="0.25">
      <c r="A28748" t="str">
        <f>"7518874"</f>
        <v>7518874</v>
      </c>
      <c r="B28748" t="s">
        <v>10605</v>
      </c>
      <c r="C28748" t="s">
        <v>2479</v>
      </c>
      <c r="D28748" s="21" t="s">
        <v>34</v>
      </c>
      <c r="E28748" s="21" t="s">
        <v>254</v>
      </c>
      <c r="F28748">
        <v>8750098</v>
      </c>
      <c r="G28748" t="s">
        <v>11606</v>
      </c>
      <c r="H28748" s="21">
        <v>574.91999999999996</v>
      </c>
    </row>
    <row r="28749" spans="1:8" customFormat="1" x14ac:dyDescent="0.25">
      <c r="A28749" t="str">
        <f>"1610736"</f>
        <v>1610736</v>
      </c>
      <c r="B28749" t="s">
        <v>2010</v>
      </c>
      <c r="C28749" t="s">
        <v>462</v>
      </c>
      <c r="D28749" s="21" t="s">
        <v>34</v>
      </c>
      <c r="E28749" s="21" t="s">
        <v>71</v>
      </c>
      <c r="F28749">
        <v>10160071</v>
      </c>
      <c r="G28749" t="s">
        <v>21857</v>
      </c>
      <c r="H28749" s="21">
        <v>574.91999999999996</v>
      </c>
    </row>
    <row r="28750" spans="1:8" customFormat="1" x14ac:dyDescent="0.25">
      <c r="A28750" t="str">
        <f>"153903"</f>
        <v>153903</v>
      </c>
      <c r="B28750" t="s">
        <v>6558</v>
      </c>
      <c r="C28750" t="s">
        <v>209</v>
      </c>
      <c r="D28750" s="21" t="s">
        <v>34</v>
      </c>
      <c r="E28750" s="21" t="s">
        <v>71</v>
      </c>
      <c r="F28750">
        <v>1150304</v>
      </c>
      <c r="G28750" t="s">
        <v>5647</v>
      </c>
      <c r="H28750" s="21">
        <v>574.66999999999996</v>
      </c>
    </row>
    <row r="28751" spans="1:8" customFormat="1" x14ac:dyDescent="0.25">
      <c r="A28751" t="str">
        <f>"3118841"</f>
        <v>3118841</v>
      </c>
      <c r="B28751" t="s">
        <v>28081</v>
      </c>
      <c r="C28751" t="s">
        <v>28082</v>
      </c>
      <c r="D28751" s="21" t="s">
        <v>34</v>
      </c>
      <c r="E28751" s="21" t="s">
        <v>35</v>
      </c>
      <c r="F28751">
        <v>11310076</v>
      </c>
      <c r="G28751" t="s">
        <v>5782</v>
      </c>
      <c r="H28751" s="21">
        <v>574.66999999999996</v>
      </c>
    </row>
    <row r="28752" spans="1:8" customFormat="1" x14ac:dyDescent="0.25">
      <c r="A28752" t="str">
        <f>"151982"</f>
        <v>151982</v>
      </c>
      <c r="B28752" t="s">
        <v>21427</v>
      </c>
      <c r="C28752" t="s">
        <v>486</v>
      </c>
      <c r="D28752" s="21" t="s">
        <v>34</v>
      </c>
      <c r="E28752" s="21" t="s">
        <v>35</v>
      </c>
      <c r="F28752">
        <v>1150304</v>
      </c>
      <c r="G28752" t="s">
        <v>5647</v>
      </c>
      <c r="H28752" s="21">
        <v>574.66999999999996</v>
      </c>
    </row>
    <row r="28753" spans="1:8" customFormat="1" x14ac:dyDescent="0.25">
      <c r="A28753" t="str">
        <f>"301466"</f>
        <v>301466</v>
      </c>
      <c r="B28753" t="s">
        <v>6221</v>
      </c>
      <c r="C28753" t="s">
        <v>239</v>
      </c>
      <c r="D28753" s="21" t="s">
        <v>34</v>
      </c>
      <c r="E28753" s="21" t="s">
        <v>254</v>
      </c>
      <c r="F28753">
        <v>11300028</v>
      </c>
      <c r="G28753" t="s">
        <v>18879</v>
      </c>
      <c r="H28753" s="21">
        <v>574.66999999999996</v>
      </c>
    </row>
    <row r="28754" spans="1:8" customFormat="1" x14ac:dyDescent="0.25">
      <c r="A28754" t="str">
        <f>"8614914"</f>
        <v>8614914</v>
      </c>
      <c r="B28754" t="s">
        <v>22361</v>
      </c>
      <c r="C28754" t="s">
        <v>209</v>
      </c>
      <c r="D28754" s="21" t="s">
        <v>34</v>
      </c>
      <c r="E28754" s="21" t="s">
        <v>254</v>
      </c>
      <c r="F28754">
        <v>10860016</v>
      </c>
      <c r="G28754" t="s">
        <v>3289</v>
      </c>
      <c r="H28754" s="21">
        <v>574.66999999999996</v>
      </c>
    </row>
    <row r="28755" spans="1:8" customFormat="1" x14ac:dyDescent="0.25">
      <c r="A28755" t="str">
        <f>"7626087"</f>
        <v>7626087</v>
      </c>
      <c r="B28755" t="s">
        <v>20308</v>
      </c>
      <c r="C28755" t="s">
        <v>209</v>
      </c>
      <c r="D28755" s="21" t="s">
        <v>34</v>
      </c>
      <c r="E28755" s="21" t="s">
        <v>254</v>
      </c>
      <c r="F28755">
        <v>9760390</v>
      </c>
      <c r="G28755" t="s">
        <v>17285</v>
      </c>
      <c r="H28755" s="21">
        <v>574.66999999999996</v>
      </c>
    </row>
    <row r="28756" spans="1:8" customFormat="1" x14ac:dyDescent="0.25">
      <c r="A28756" t="str">
        <f>"3524553"</f>
        <v>3524553</v>
      </c>
      <c r="B28756" t="s">
        <v>20252</v>
      </c>
      <c r="C28756" t="s">
        <v>3648</v>
      </c>
      <c r="D28756" s="21" t="s">
        <v>34</v>
      </c>
      <c r="E28756" s="21" t="s">
        <v>1089</v>
      </c>
      <c r="F28756">
        <v>3350090</v>
      </c>
      <c r="G28756" t="s">
        <v>9659</v>
      </c>
      <c r="H28756" s="21">
        <v>574.66999999999996</v>
      </c>
    </row>
    <row r="28757" spans="1:8" customFormat="1" x14ac:dyDescent="0.25">
      <c r="A28757" t="str">
        <f>"6023319"</f>
        <v>6023319</v>
      </c>
      <c r="B28757" t="s">
        <v>21911</v>
      </c>
      <c r="C28757" t="s">
        <v>817</v>
      </c>
      <c r="D28757" s="21" t="s">
        <v>34</v>
      </c>
      <c r="E28757" s="21" t="s">
        <v>35</v>
      </c>
      <c r="F28757">
        <v>7600163</v>
      </c>
      <c r="G28757" t="s">
        <v>12203</v>
      </c>
      <c r="H28757" s="21">
        <v>574.66999999999996</v>
      </c>
    </row>
    <row r="28758" spans="1:8" customFormat="1" x14ac:dyDescent="0.25">
      <c r="A28758" t="str">
        <f>"4937377"</f>
        <v>4937377</v>
      </c>
      <c r="B28758" t="s">
        <v>9940</v>
      </c>
      <c r="C28758" t="s">
        <v>65</v>
      </c>
      <c r="D28758" s="21" t="s">
        <v>34</v>
      </c>
      <c r="E28758" s="21" t="s">
        <v>35</v>
      </c>
      <c r="F28758">
        <v>12490017</v>
      </c>
      <c r="G28758" t="s">
        <v>9393</v>
      </c>
      <c r="H28758" s="21">
        <v>574.66999999999996</v>
      </c>
    </row>
    <row r="28759" spans="1:8" customFormat="1" x14ac:dyDescent="0.25">
      <c r="A28759" t="str">
        <f>"5312981"</f>
        <v>5312981</v>
      </c>
      <c r="B28759" t="s">
        <v>136</v>
      </c>
      <c r="C28759" t="s">
        <v>209</v>
      </c>
      <c r="D28759" s="21" t="s">
        <v>34</v>
      </c>
      <c r="E28759" s="21" t="s">
        <v>71</v>
      </c>
      <c r="F28759">
        <v>12530088</v>
      </c>
      <c r="G28759" t="s">
        <v>10746</v>
      </c>
      <c r="H28759" s="21">
        <v>574.66999999999996</v>
      </c>
    </row>
    <row r="28760" spans="1:8" customFormat="1" x14ac:dyDescent="0.25">
      <c r="A28760" t="str">
        <f>"544831"</f>
        <v>544831</v>
      </c>
      <c r="B28760" t="s">
        <v>1295</v>
      </c>
      <c r="C28760" t="s">
        <v>130</v>
      </c>
      <c r="D28760" s="21" t="s">
        <v>34</v>
      </c>
      <c r="E28760" s="21" t="s">
        <v>1089</v>
      </c>
      <c r="F28760">
        <v>6540011</v>
      </c>
      <c r="G28760" t="s">
        <v>6084</v>
      </c>
      <c r="H28760" s="21">
        <v>574.66999999999996</v>
      </c>
    </row>
    <row r="28761" spans="1:8" customFormat="1" x14ac:dyDescent="0.25">
      <c r="A28761" t="str">
        <f>"4525155"</f>
        <v>4525155</v>
      </c>
      <c r="B28761" t="s">
        <v>2903</v>
      </c>
      <c r="C28761" t="s">
        <v>239</v>
      </c>
      <c r="D28761" s="21" t="s">
        <v>34</v>
      </c>
      <c r="E28761" s="21" t="s">
        <v>254</v>
      </c>
      <c r="F28761">
        <v>4450417</v>
      </c>
      <c r="G28761" t="s">
        <v>2284</v>
      </c>
      <c r="H28761" s="21">
        <v>574.66999999999996</v>
      </c>
    </row>
    <row r="28762" spans="1:8" customFormat="1" x14ac:dyDescent="0.25">
      <c r="A28762" t="str">
        <f>"5960171"</f>
        <v>5960171</v>
      </c>
      <c r="B28762" t="s">
        <v>19432</v>
      </c>
      <c r="C28762" t="s">
        <v>151</v>
      </c>
      <c r="D28762" s="21" t="s">
        <v>34</v>
      </c>
      <c r="E28762" s="21" t="s">
        <v>35</v>
      </c>
      <c r="F28762">
        <v>7590354</v>
      </c>
      <c r="G28762" t="s">
        <v>5786</v>
      </c>
      <c r="H28762" s="21">
        <v>574.66999999999996</v>
      </c>
    </row>
    <row r="28763" spans="1:8" customFormat="1" x14ac:dyDescent="0.25">
      <c r="A28763" t="str">
        <f>"9519813"</f>
        <v>9519813</v>
      </c>
      <c r="B28763" t="s">
        <v>19352</v>
      </c>
      <c r="C28763" t="s">
        <v>926</v>
      </c>
      <c r="D28763" s="21" t="s">
        <v>34</v>
      </c>
      <c r="E28763" s="21" t="s">
        <v>71</v>
      </c>
      <c r="F28763">
        <v>8951451</v>
      </c>
      <c r="G28763" t="s">
        <v>3909</v>
      </c>
      <c r="H28763" s="21">
        <v>574.66999999999996</v>
      </c>
    </row>
    <row r="28764" spans="1:8" customFormat="1" x14ac:dyDescent="0.25">
      <c r="A28764" t="str">
        <f>"6923516"</f>
        <v>6923516</v>
      </c>
      <c r="B28764" t="s">
        <v>11489</v>
      </c>
      <c r="C28764" t="s">
        <v>171</v>
      </c>
      <c r="D28764" s="21" t="s">
        <v>34</v>
      </c>
      <c r="E28764" s="21" t="s">
        <v>35</v>
      </c>
      <c r="F28764">
        <v>1690141</v>
      </c>
      <c r="G28764" t="s">
        <v>7448</v>
      </c>
      <c r="H28764" s="21">
        <v>574.66999999999996</v>
      </c>
    </row>
    <row r="28765" spans="1:8" customFormat="1" x14ac:dyDescent="0.25">
      <c r="A28765" t="str">
        <f>"4452365"</f>
        <v>4452365</v>
      </c>
      <c r="B28765" t="s">
        <v>21952</v>
      </c>
      <c r="C28765" t="s">
        <v>124</v>
      </c>
      <c r="D28765" s="21" t="s">
        <v>34</v>
      </c>
      <c r="E28765" s="21" t="s">
        <v>35</v>
      </c>
      <c r="F28765">
        <v>12440081</v>
      </c>
      <c r="G28765" t="s">
        <v>617</v>
      </c>
      <c r="H28765" s="21">
        <v>574.66999999999996</v>
      </c>
    </row>
    <row r="28766" spans="1:8" customFormat="1" x14ac:dyDescent="0.25">
      <c r="A28766" t="str">
        <f>"1316735"</f>
        <v>1316735</v>
      </c>
      <c r="B28766" t="s">
        <v>21169</v>
      </c>
      <c r="C28766" t="s">
        <v>209</v>
      </c>
      <c r="D28766" s="21" t="s">
        <v>34</v>
      </c>
      <c r="E28766" s="21" t="s">
        <v>35</v>
      </c>
      <c r="F28766">
        <v>13130100</v>
      </c>
      <c r="G28766" t="s">
        <v>2893</v>
      </c>
      <c r="H28766" s="21">
        <v>574.66999999999996</v>
      </c>
    </row>
    <row r="28767" spans="1:8" customFormat="1" x14ac:dyDescent="0.25">
      <c r="A28767" t="str">
        <f>"4925867"</f>
        <v>4925867</v>
      </c>
      <c r="B28767" t="s">
        <v>1081</v>
      </c>
      <c r="C28767" t="s">
        <v>2907</v>
      </c>
      <c r="D28767" s="21" t="s">
        <v>34</v>
      </c>
      <c r="E28767" s="21" t="s">
        <v>71</v>
      </c>
      <c r="F28767">
        <v>12490132</v>
      </c>
      <c r="G28767" t="s">
        <v>1125</v>
      </c>
      <c r="H28767" s="21">
        <v>574.66999999999996</v>
      </c>
    </row>
    <row r="28768" spans="1:8" customFormat="1" x14ac:dyDescent="0.25">
      <c r="A28768" t="str">
        <f>"5962753"</f>
        <v>5962753</v>
      </c>
      <c r="B28768" t="s">
        <v>21388</v>
      </c>
      <c r="C28768" t="s">
        <v>87</v>
      </c>
      <c r="D28768" s="21" t="s">
        <v>34</v>
      </c>
      <c r="E28768" s="21" t="s">
        <v>71</v>
      </c>
      <c r="F28768">
        <v>7590231</v>
      </c>
      <c r="G28768" t="s">
        <v>207</v>
      </c>
      <c r="H28768" s="21">
        <v>574.66999999999996</v>
      </c>
    </row>
    <row r="28769" spans="1:8" customFormat="1" x14ac:dyDescent="0.25">
      <c r="A28769" t="str">
        <f>"6020921"</f>
        <v>6020921</v>
      </c>
      <c r="B28769" t="s">
        <v>575</v>
      </c>
      <c r="C28769" t="s">
        <v>40</v>
      </c>
      <c r="D28769" s="21" t="s">
        <v>34</v>
      </c>
      <c r="E28769" s="21" t="s">
        <v>254</v>
      </c>
      <c r="F28769">
        <v>7600027</v>
      </c>
      <c r="G28769" t="s">
        <v>2137</v>
      </c>
      <c r="H28769" s="21">
        <v>574.66999999999996</v>
      </c>
    </row>
    <row r="28770" spans="1:8" customFormat="1" x14ac:dyDescent="0.25">
      <c r="A28770" t="str">
        <f>"0812171"</f>
        <v>0812171</v>
      </c>
      <c r="B28770" t="s">
        <v>1103</v>
      </c>
      <c r="C28770" t="s">
        <v>1474</v>
      </c>
      <c r="D28770" s="21" t="s">
        <v>34</v>
      </c>
      <c r="E28770" s="21" t="s">
        <v>35</v>
      </c>
      <c r="F28770">
        <v>6080003</v>
      </c>
      <c r="G28770" t="s">
        <v>11899</v>
      </c>
      <c r="H28770" s="21">
        <v>574.66999999999996</v>
      </c>
    </row>
    <row r="28771" spans="1:8" customFormat="1" x14ac:dyDescent="0.25">
      <c r="A28771" t="str">
        <f>"2937199"</f>
        <v>2937199</v>
      </c>
      <c r="B28771" t="s">
        <v>13023</v>
      </c>
      <c r="C28771" t="s">
        <v>879</v>
      </c>
      <c r="D28771" s="21" t="s">
        <v>34</v>
      </c>
      <c r="E28771" s="21" t="s">
        <v>254</v>
      </c>
      <c r="F28771">
        <v>3290274</v>
      </c>
      <c r="G28771" t="s">
        <v>11751</v>
      </c>
      <c r="H28771" s="21">
        <v>574.66999999999996</v>
      </c>
    </row>
    <row r="28772" spans="1:8" customFormat="1" x14ac:dyDescent="0.25">
      <c r="A28772" t="str">
        <f>"6944757"</f>
        <v>6944757</v>
      </c>
      <c r="B28772" t="s">
        <v>765</v>
      </c>
      <c r="C28772" t="s">
        <v>817</v>
      </c>
      <c r="D28772" s="21" t="s">
        <v>34</v>
      </c>
      <c r="E28772" s="21" t="s">
        <v>71</v>
      </c>
      <c r="F28772">
        <v>1690090</v>
      </c>
      <c r="G28772" t="s">
        <v>6286</v>
      </c>
      <c r="H28772" s="21">
        <v>574.66999999999996</v>
      </c>
    </row>
    <row r="28773" spans="1:8" customFormat="1" x14ac:dyDescent="0.25">
      <c r="A28773" t="str">
        <f>"1310954"</f>
        <v>1310954</v>
      </c>
      <c r="B28773" t="s">
        <v>20055</v>
      </c>
      <c r="C28773" t="s">
        <v>2475</v>
      </c>
      <c r="D28773" s="21" t="s">
        <v>34</v>
      </c>
      <c r="E28773" s="21" t="s">
        <v>254</v>
      </c>
      <c r="F28773">
        <v>13130154</v>
      </c>
      <c r="G28773" t="s">
        <v>5503</v>
      </c>
      <c r="H28773" s="21">
        <v>574.66999999999996</v>
      </c>
    </row>
    <row r="28774" spans="1:8" customFormat="1" x14ac:dyDescent="0.25">
      <c r="A28774" t="str">
        <f>"758242"</f>
        <v>758242</v>
      </c>
      <c r="B28774" t="s">
        <v>21260</v>
      </c>
      <c r="C28774" t="s">
        <v>1110</v>
      </c>
      <c r="D28774" s="21" t="s">
        <v>34</v>
      </c>
      <c r="E28774" s="21" t="s">
        <v>71</v>
      </c>
      <c r="F28774">
        <v>8930009</v>
      </c>
      <c r="G28774" t="s">
        <v>2534</v>
      </c>
      <c r="H28774" s="21">
        <v>574.66999999999996</v>
      </c>
    </row>
    <row r="28775" spans="1:8" customFormat="1" x14ac:dyDescent="0.25">
      <c r="A28775" t="str">
        <f>"433596"</f>
        <v>433596</v>
      </c>
      <c r="B28775" t="s">
        <v>19334</v>
      </c>
      <c r="C28775" t="s">
        <v>169</v>
      </c>
      <c r="D28775" s="21" t="s">
        <v>34</v>
      </c>
      <c r="E28775" s="21" t="s">
        <v>71</v>
      </c>
      <c r="F28775">
        <v>1420291</v>
      </c>
      <c r="G28775" t="s">
        <v>13231</v>
      </c>
      <c r="H28775" s="21">
        <v>574.66999999999996</v>
      </c>
    </row>
    <row r="28776" spans="1:8" customFormat="1" x14ac:dyDescent="0.25">
      <c r="A28776" t="str">
        <f>"5423080"</f>
        <v>5423080</v>
      </c>
      <c r="B28776" t="s">
        <v>850</v>
      </c>
      <c r="C28776" t="s">
        <v>484</v>
      </c>
      <c r="D28776" s="21" t="s">
        <v>34</v>
      </c>
      <c r="E28776" s="21" t="s">
        <v>35</v>
      </c>
      <c r="F28776">
        <v>6540088</v>
      </c>
      <c r="G28776" t="s">
        <v>2108</v>
      </c>
      <c r="H28776" s="21">
        <v>574.66999999999996</v>
      </c>
    </row>
    <row r="28777" spans="1:8" customFormat="1" x14ac:dyDescent="0.25">
      <c r="A28777" t="str">
        <f>"3718177"</f>
        <v>3718177</v>
      </c>
      <c r="B28777" t="s">
        <v>28083</v>
      </c>
      <c r="C28777" t="s">
        <v>415</v>
      </c>
      <c r="D28777" s="21" t="s">
        <v>34</v>
      </c>
      <c r="E28777" s="21" t="s">
        <v>254</v>
      </c>
      <c r="F28777">
        <v>4370498</v>
      </c>
      <c r="G28777" t="s">
        <v>10872</v>
      </c>
      <c r="H28777" s="21">
        <v>574.66999999999996</v>
      </c>
    </row>
    <row r="28778" spans="1:8" customFormat="1" x14ac:dyDescent="0.25">
      <c r="A28778" t="str">
        <f>"7870068"</f>
        <v>7870068</v>
      </c>
      <c r="B28778" t="s">
        <v>20685</v>
      </c>
      <c r="C28778" t="s">
        <v>239</v>
      </c>
      <c r="D28778" s="21" t="s">
        <v>34</v>
      </c>
      <c r="E28778" s="21" t="s">
        <v>35</v>
      </c>
      <c r="F28778">
        <v>8781094</v>
      </c>
      <c r="G28778" t="s">
        <v>7875</v>
      </c>
      <c r="H28778" s="21">
        <v>574.66999999999996</v>
      </c>
    </row>
    <row r="28779" spans="1:8" customFormat="1" x14ac:dyDescent="0.25">
      <c r="A28779" t="str">
        <f>"6231804"</f>
        <v>6231804</v>
      </c>
      <c r="B28779" t="s">
        <v>5153</v>
      </c>
      <c r="C28779" t="s">
        <v>211</v>
      </c>
      <c r="D28779" s="21" t="s">
        <v>34</v>
      </c>
      <c r="E28779" s="21" t="s">
        <v>71</v>
      </c>
      <c r="F28779">
        <v>7620091</v>
      </c>
      <c r="G28779" t="s">
        <v>11533</v>
      </c>
      <c r="H28779" s="21">
        <v>574.66999999999996</v>
      </c>
    </row>
    <row r="28780" spans="1:8" customFormat="1" x14ac:dyDescent="0.25">
      <c r="A28780" t="str">
        <f>"9228512"</f>
        <v>9228512</v>
      </c>
      <c r="B28780" t="s">
        <v>19885</v>
      </c>
      <c r="C28780" t="s">
        <v>1132</v>
      </c>
      <c r="D28780" s="21" t="s">
        <v>34</v>
      </c>
      <c r="E28780" s="21" t="s">
        <v>71</v>
      </c>
      <c r="F28780">
        <v>8921458</v>
      </c>
      <c r="G28780" t="s">
        <v>162</v>
      </c>
      <c r="H28780" s="21">
        <v>574.54</v>
      </c>
    </row>
    <row r="28781" spans="1:8" customFormat="1" x14ac:dyDescent="0.25">
      <c r="A28781" t="str">
        <f>"4218688"</f>
        <v>4218688</v>
      </c>
      <c r="B28781" t="s">
        <v>20353</v>
      </c>
      <c r="C28781" t="s">
        <v>1841</v>
      </c>
      <c r="D28781" s="21" t="s">
        <v>34</v>
      </c>
      <c r="E28781" s="21" t="s">
        <v>254</v>
      </c>
      <c r="F28781">
        <v>1420017</v>
      </c>
      <c r="G28781" t="s">
        <v>1296</v>
      </c>
      <c r="H28781" s="21">
        <v>574.54</v>
      </c>
    </row>
    <row r="28782" spans="1:8" customFormat="1" x14ac:dyDescent="0.25">
      <c r="A28782" t="str">
        <f>"5938692"</f>
        <v>5938692</v>
      </c>
      <c r="B28782" t="s">
        <v>21605</v>
      </c>
      <c r="C28782" t="s">
        <v>328</v>
      </c>
      <c r="D28782" s="21" t="s">
        <v>34</v>
      </c>
      <c r="E28782" s="21" t="s">
        <v>35</v>
      </c>
      <c r="F28782">
        <v>7590058</v>
      </c>
      <c r="G28782" t="s">
        <v>5044</v>
      </c>
      <c r="H28782" s="21">
        <v>574.5</v>
      </c>
    </row>
    <row r="28783" spans="1:8" customFormat="1" x14ac:dyDescent="0.25">
      <c r="A28783" t="str">
        <f>"418333"</f>
        <v>418333</v>
      </c>
      <c r="B28783" t="s">
        <v>17501</v>
      </c>
      <c r="C28783" t="s">
        <v>3393</v>
      </c>
      <c r="D28783" s="21" t="s">
        <v>34</v>
      </c>
      <c r="E28783" s="21" t="s">
        <v>35</v>
      </c>
      <c r="F28783">
        <v>12440229</v>
      </c>
      <c r="G28783" t="s">
        <v>21854</v>
      </c>
      <c r="H28783" s="21">
        <v>574.41999999999996</v>
      </c>
    </row>
    <row r="28784" spans="1:8" customFormat="1" x14ac:dyDescent="0.25">
      <c r="A28784" t="str">
        <f>"5945721"</f>
        <v>5945721</v>
      </c>
      <c r="B28784" t="s">
        <v>20868</v>
      </c>
      <c r="C28784" t="s">
        <v>3905</v>
      </c>
      <c r="D28784" s="21" t="s">
        <v>34</v>
      </c>
      <c r="E28784" s="21" t="s">
        <v>254</v>
      </c>
      <c r="F28784">
        <v>7590400</v>
      </c>
      <c r="G28784" t="s">
        <v>26692</v>
      </c>
      <c r="H28784" s="21">
        <v>574.16999999999996</v>
      </c>
    </row>
    <row r="28785" spans="1:8" customFormat="1" x14ac:dyDescent="0.25">
      <c r="A28785" t="str">
        <f>"6940209"</f>
        <v>6940209</v>
      </c>
      <c r="B28785" t="s">
        <v>5292</v>
      </c>
      <c r="C28785" t="s">
        <v>124</v>
      </c>
      <c r="D28785" s="21" t="s">
        <v>34</v>
      </c>
      <c r="E28785" s="21" t="s">
        <v>71</v>
      </c>
      <c r="F28785">
        <v>1690221</v>
      </c>
      <c r="G28785" t="s">
        <v>303</v>
      </c>
      <c r="H28785" s="21">
        <v>574.16999999999996</v>
      </c>
    </row>
    <row r="28786" spans="1:8" customFormat="1" x14ac:dyDescent="0.25">
      <c r="A28786" t="str">
        <f>"8810422"</f>
        <v>8810422</v>
      </c>
      <c r="B28786" t="s">
        <v>19771</v>
      </c>
      <c r="C28786" t="s">
        <v>55</v>
      </c>
      <c r="D28786" s="21" t="s">
        <v>34</v>
      </c>
      <c r="E28786" s="21" t="s">
        <v>35</v>
      </c>
      <c r="F28786">
        <v>6880143</v>
      </c>
      <c r="G28786" t="s">
        <v>8078</v>
      </c>
      <c r="H28786" s="21">
        <v>574.16999999999996</v>
      </c>
    </row>
    <row r="28787" spans="1:8" customFormat="1" x14ac:dyDescent="0.25">
      <c r="A28787" t="str">
        <f>"5621756"</f>
        <v>5621756</v>
      </c>
      <c r="B28787" t="s">
        <v>28084</v>
      </c>
      <c r="C28787" t="s">
        <v>33</v>
      </c>
      <c r="D28787" s="21" t="s">
        <v>34</v>
      </c>
      <c r="E28787" s="21" t="s">
        <v>35</v>
      </c>
      <c r="F28787">
        <v>3560006</v>
      </c>
      <c r="G28787" t="s">
        <v>2708</v>
      </c>
      <c r="H28787" s="21">
        <v>574.16999999999996</v>
      </c>
    </row>
    <row r="28788" spans="1:8" customFormat="1" x14ac:dyDescent="0.25">
      <c r="A28788" t="str">
        <f>"5321138"</f>
        <v>5321138</v>
      </c>
      <c r="B28788" t="s">
        <v>28085</v>
      </c>
      <c r="C28788" t="s">
        <v>263</v>
      </c>
      <c r="D28788" s="21" t="s">
        <v>34</v>
      </c>
      <c r="E28788" s="21" t="s">
        <v>35</v>
      </c>
      <c r="F28788">
        <v>12530063</v>
      </c>
      <c r="G28788" t="s">
        <v>4313</v>
      </c>
      <c r="H28788" s="21">
        <v>574.16999999999996</v>
      </c>
    </row>
    <row r="28789" spans="1:8" customFormat="1" x14ac:dyDescent="0.25">
      <c r="A28789" t="str">
        <f>"4429605"</f>
        <v>4429605</v>
      </c>
      <c r="B28789" t="s">
        <v>28086</v>
      </c>
      <c r="C28789" t="s">
        <v>43</v>
      </c>
      <c r="D28789" s="21" t="s">
        <v>34</v>
      </c>
      <c r="E28789" s="21" t="s">
        <v>35</v>
      </c>
      <c r="F28789">
        <v>12490122</v>
      </c>
      <c r="G28789" t="s">
        <v>26752</v>
      </c>
      <c r="H28789" s="21">
        <v>574.16999999999996</v>
      </c>
    </row>
    <row r="28790" spans="1:8" customFormat="1" x14ac:dyDescent="0.25">
      <c r="A28790" t="str">
        <f>"781704"</f>
        <v>781704</v>
      </c>
      <c r="B28790" t="s">
        <v>2726</v>
      </c>
      <c r="C28790" t="s">
        <v>3648</v>
      </c>
      <c r="D28790" s="21" t="s">
        <v>34</v>
      </c>
      <c r="E28790" s="21" t="s">
        <v>254</v>
      </c>
      <c r="F28790">
        <v>8780890</v>
      </c>
      <c r="G28790" t="s">
        <v>6456</v>
      </c>
      <c r="H28790" s="21">
        <v>574.16999999999996</v>
      </c>
    </row>
    <row r="28791" spans="1:8" customFormat="1" x14ac:dyDescent="0.25">
      <c r="A28791" t="str">
        <f>"9310158"</f>
        <v>9310158</v>
      </c>
      <c r="B28791" t="s">
        <v>3249</v>
      </c>
      <c r="C28791" t="s">
        <v>82</v>
      </c>
      <c r="D28791" s="21" t="s">
        <v>34</v>
      </c>
      <c r="E28791" s="21" t="s">
        <v>35</v>
      </c>
      <c r="F28791">
        <v>8930430</v>
      </c>
      <c r="G28791" t="s">
        <v>995</v>
      </c>
      <c r="H28791" s="21">
        <v>574.16999999999996</v>
      </c>
    </row>
    <row r="28792" spans="1:8" customFormat="1" x14ac:dyDescent="0.25">
      <c r="A28792" t="str">
        <f>"8511741"</f>
        <v>8511741</v>
      </c>
      <c r="B28792" t="s">
        <v>20856</v>
      </c>
      <c r="C28792" t="s">
        <v>1705</v>
      </c>
      <c r="D28792" s="21" t="s">
        <v>34</v>
      </c>
      <c r="E28792" s="21" t="s">
        <v>71</v>
      </c>
      <c r="F28792">
        <v>12850033</v>
      </c>
      <c r="G28792" t="s">
        <v>703</v>
      </c>
      <c r="H28792" s="21">
        <v>574.16999999999996</v>
      </c>
    </row>
    <row r="28793" spans="1:8" customFormat="1" x14ac:dyDescent="0.25">
      <c r="A28793" t="str">
        <f>"2220402"</f>
        <v>2220402</v>
      </c>
      <c r="B28793" t="s">
        <v>1826</v>
      </c>
      <c r="C28793" t="s">
        <v>1146</v>
      </c>
      <c r="D28793" s="21" t="s">
        <v>34</v>
      </c>
      <c r="E28793" s="21" t="s">
        <v>71</v>
      </c>
      <c r="F28793">
        <v>3220004</v>
      </c>
      <c r="G28793" t="s">
        <v>26986</v>
      </c>
      <c r="H28793" s="21">
        <v>574.16999999999996</v>
      </c>
    </row>
    <row r="28794" spans="1:8" customFormat="1" x14ac:dyDescent="0.25">
      <c r="A28794" t="str">
        <f>"7642750"</f>
        <v>7642750</v>
      </c>
      <c r="B28794" t="s">
        <v>28087</v>
      </c>
      <c r="C28794" t="s">
        <v>967</v>
      </c>
      <c r="D28794" s="21" t="s">
        <v>34</v>
      </c>
      <c r="E28794" s="21" t="s">
        <v>35</v>
      </c>
      <c r="F28794">
        <v>9760417</v>
      </c>
      <c r="G28794" t="s">
        <v>11996</v>
      </c>
      <c r="H28794" s="21">
        <v>574.16999999999996</v>
      </c>
    </row>
    <row r="28795" spans="1:8" customFormat="1" x14ac:dyDescent="0.25">
      <c r="A28795" t="str">
        <f>"831083"</f>
        <v>831083</v>
      </c>
      <c r="B28795" t="s">
        <v>28088</v>
      </c>
      <c r="C28795" t="s">
        <v>415</v>
      </c>
      <c r="D28795" s="21" t="s">
        <v>34</v>
      </c>
      <c r="E28795" s="21" t="s">
        <v>254</v>
      </c>
      <c r="F28795">
        <v>13830051</v>
      </c>
      <c r="G28795" t="s">
        <v>2031</v>
      </c>
      <c r="H28795" s="21">
        <v>574.16999999999996</v>
      </c>
    </row>
    <row r="28796" spans="1:8" customFormat="1" x14ac:dyDescent="0.25">
      <c r="A28796" t="str">
        <f>"2517084"</f>
        <v>2517084</v>
      </c>
      <c r="B28796" t="s">
        <v>4891</v>
      </c>
      <c r="C28796" t="s">
        <v>263</v>
      </c>
      <c r="D28796" s="21" t="s">
        <v>34</v>
      </c>
      <c r="E28796" s="21" t="s">
        <v>254</v>
      </c>
      <c r="F28796">
        <v>2250132</v>
      </c>
      <c r="G28796" t="s">
        <v>7748</v>
      </c>
      <c r="H28796" s="21">
        <v>574.16999999999996</v>
      </c>
    </row>
    <row r="28797" spans="1:8" customFormat="1" x14ac:dyDescent="0.25">
      <c r="A28797" t="str">
        <f>"8312998"</f>
        <v>8312998</v>
      </c>
      <c r="B28797" t="s">
        <v>19787</v>
      </c>
      <c r="C28797" t="s">
        <v>19788</v>
      </c>
      <c r="D28797" s="21" t="s">
        <v>34</v>
      </c>
      <c r="E28797" s="21" t="s">
        <v>1089</v>
      </c>
      <c r="F28797">
        <v>13830067</v>
      </c>
      <c r="G28797" t="s">
        <v>13428</v>
      </c>
      <c r="H28797" s="21">
        <v>574.16999999999996</v>
      </c>
    </row>
    <row r="28798" spans="1:8" customFormat="1" x14ac:dyDescent="0.25">
      <c r="A28798" t="str">
        <f>"2617977"</f>
        <v>2617977</v>
      </c>
      <c r="B28798" t="s">
        <v>23873</v>
      </c>
      <c r="C28798" t="s">
        <v>428</v>
      </c>
      <c r="D28798" s="21" t="s">
        <v>34</v>
      </c>
      <c r="E28798" s="21" t="s">
        <v>35</v>
      </c>
      <c r="F28798">
        <v>1260026</v>
      </c>
      <c r="G28798" t="s">
        <v>516</v>
      </c>
      <c r="H28798" s="21">
        <v>574.16999999999996</v>
      </c>
    </row>
    <row r="28799" spans="1:8" customFormat="1" x14ac:dyDescent="0.25">
      <c r="A28799" t="str">
        <f>"4113300"</f>
        <v>4113300</v>
      </c>
      <c r="B28799" t="s">
        <v>11518</v>
      </c>
      <c r="C28799" t="s">
        <v>249</v>
      </c>
      <c r="D28799" s="21" t="s">
        <v>34</v>
      </c>
      <c r="E28799" s="21" t="s">
        <v>71</v>
      </c>
      <c r="F28799">
        <v>4410543</v>
      </c>
      <c r="G28799" t="s">
        <v>14950</v>
      </c>
      <c r="H28799" s="21">
        <v>574.16999999999996</v>
      </c>
    </row>
    <row r="28800" spans="1:8" customFormat="1" x14ac:dyDescent="0.25">
      <c r="A28800" t="str">
        <f>"365021"</f>
        <v>365021</v>
      </c>
      <c r="B28800" t="s">
        <v>21536</v>
      </c>
      <c r="C28800" t="s">
        <v>1539</v>
      </c>
      <c r="D28800" s="21" t="s">
        <v>34</v>
      </c>
      <c r="E28800" s="21" t="s">
        <v>71</v>
      </c>
      <c r="F28800">
        <v>4360723</v>
      </c>
      <c r="G28800" t="s">
        <v>27127</v>
      </c>
      <c r="H28800" s="21">
        <v>574.16999999999996</v>
      </c>
    </row>
    <row r="28801" spans="1:8" customFormat="1" x14ac:dyDescent="0.25">
      <c r="A28801" t="str">
        <f>"4916461"</f>
        <v>4916461</v>
      </c>
      <c r="B28801" t="s">
        <v>4312</v>
      </c>
      <c r="C28801" t="s">
        <v>87</v>
      </c>
      <c r="D28801" s="21" t="s">
        <v>34</v>
      </c>
      <c r="E28801" s="21" t="s">
        <v>35</v>
      </c>
      <c r="F28801">
        <v>12490134</v>
      </c>
      <c r="G28801" t="s">
        <v>4880</v>
      </c>
      <c r="H28801" s="21">
        <v>574.16999999999996</v>
      </c>
    </row>
    <row r="28802" spans="1:8" customFormat="1" x14ac:dyDescent="0.25">
      <c r="A28802" t="str">
        <f>"182503"</f>
        <v>182503</v>
      </c>
      <c r="B28802" t="s">
        <v>1522</v>
      </c>
      <c r="C28802" t="s">
        <v>2520</v>
      </c>
      <c r="D28802" s="21" t="s">
        <v>34</v>
      </c>
      <c r="E28802" s="21" t="s">
        <v>254</v>
      </c>
      <c r="F28802">
        <v>4180644</v>
      </c>
      <c r="G28802" t="s">
        <v>17253</v>
      </c>
      <c r="H28802" s="21">
        <v>574.16999999999996</v>
      </c>
    </row>
    <row r="28803" spans="1:8" customFormat="1" x14ac:dyDescent="0.25">
      <c r="A28803" t="str">
        <f>"7412524"</f>
        <v>7412524</v>
      </c>
      <c r="B28803" t="s">
        <v>16899</v>
      </c>
      <c r="C28803" t="s">
        <v>40</v>
      </c>
      <c r="D28803" s="21" t="s">
        <v>34</v>
      </c>
      <c r="E28803" s="21" t="s">
        <v>254</v>
      </c>
      <c r="F28803">
        <v>2210127</v>
      </c>
      <c r="G28803" t="s">
        <v>3447</v>
      </c>
      <c r="H28803" s="21">
        <v>574.16999999999996</v>
      </c>
    </row>
    <row r="28804" spans="1:8" customFormat="1" x14ac:dyDescent="0.25">
      <c r="A28804" t="str">
        <f>"3528131"</f>
        <v>3528131</v>
      </c>
      <c r="B28804" t="s">
        <v>19816</v>
      </c>
      <c r="C28804" t="s">
        <v>169</v>
      </c>
      <c r="D28804" s="21" t="s">
        <v>34</v>
      </c>
      <c r="E28804" s="21" t="s">
        <v>71</v>
      </c>
      <c r="F28804">
        <v>3350142</v>
      </c>
      <c r="G28804" t="s">
        <v>19817</v>
      </c>
      <c r="H28804" s="21">
        <v>574.16999999999996</v>
      </c>
    </row>
    <row r="28805" spans="1:8" customFormat="1" x14ac:dyDescent="0.25">
      <c r="A28805" t="str">
        <f>"072234"</f>
        <v>072234</v>
      </c>
      <c r="B28805" t="s">
        <v>20906</v>
      </c>
      <c r="C28805" t="s">
        <v>528</v>
      </c>
      <c r="D28805" s="21" t="s">
        <v>34</v>
      </c>
      <c r="E28805" s="21" t="s">
        <v>71</v>
      </c>
      <c r="F28805">
        <v>1260015</v>
      </c>
      <c r="G28805" t="s">
        <v>4712</v>
      </c>
      <c r="H28805" s="21">
        <v>574.04</v>
      </c>
    </row>
    <row r="28806" spans="1:8" customFormat="1" x14ac:dyDescent="0.25">
      <c r="A28806" t="str">
        <f>"3339880"</f>
        <v>3339880</v>
      </c>
      <c r="B28806" t="s">
        <v>19129</v>
      </c>
      <c r="C28806" t="s">
        <v>198</v>
      </c>
      <c r="D28806" s="21" t="s">
        <v>34</v>
      </c>
      <c r="E28806" s="21" t="s">
        <v>71</v>
      </c>
      <c r="F28806">
        <v>10330125</v>
      </c>
      <c r="G28806" t="s">
        <v>3753</v>
      </c>
      <c r="H28806" s="21">
        <v>574.04</v>
      </c>
    </row>
    <row r="28807" spans="1:8" customFormat="1" x14ac:dyDescent="0.25">
      <c r="A28807" t="str">
        <f>"7713233"</f>
        <v>7713233</v>
      </c>
      <c r="B28807" t="s">
        <v>10019</v>
      </c>
      <c r="C28807" t="s">
        <v>169</v>
      </c>
      <c r="D28807" s="21" t="s">
        <v>34</v>
      </c>
      <c r="E28807" s="21" t="s">
        <v>71</v>
      </c>
      <c r="F28807">
        <v>8770202</v>
      </c>
      <c r="G28807" t="s">
        <v>1999</v>
      </c>
      <c r="H28807" s="21">
        <v>574.04</v>
      </c>
    </row>
    <row r="28808" spans="1:8" customFormat="1" x14ac:dyDescent="0.25">
      <c r="A28808" t="str">
        <f>"7213224"</f>
        <v>7213224</v>
      </c>
      <c r="B28808" t="s">
        <v>20832</v>
      </c>
      <c r="C28808" t="s">
        <v>62</v>
      </c>
      <c r="D28808" s="21" t="s">
        <v>34</v>
      </c>
      <c r="E28808" s="21" t="s">
        <v>35</v>
      </c>
      <c r="F28808">
        <v>12720008</v>
      </c>
      <c r="G28808" t="s">
        <v>753</v>
      </c>
      <c r="H28808" s="21">
        <v>573.91999999999996</v>
      </c>
    </row>
    <row r="28809" spans="1:8" customFormat="1" x14ac:dyDescent="0.25">
      <c r="A28809" t="str">
        <f>"608078"</f>
        <v>608078</v>
      </c>
      <c r="B28809" t="s">
        <v>10037</v>
      </c>
      <c r="C28809" t="s">
        <v>121</v>
      </c>
      <c r="D28809" s="21" t="s">
        <v>34</v>
      </c>
      <c r="E28809" s="21" t="s">
        <v>71</v>
      </c>
      <c r="F28809">
        <v>7600112</v>
      </c>
      <c r="G28809" t="s">
        <v>9272</v>
      </c>
      <c r="H28809" s="21">
        <v>573.91999999999996</v>
      </c>
    </row>
    <row r="28810" spans="1:8" customFormat="1" x14ac:dyDescent="0.25">
      <c r="A28810" t="str">
        <f>"5324383"</f>
        <v>5324383</v>
      </c>
      <c r="B28810" t="s">
        <v>3709</v>
      </c>
      <c r="C28810" t="s">
        <v>169</v>
      </c>
      <c r="D28810" s="21" t="s">
        <v>34</v>
      </c>
      <c r="E28810" s="21" t="s">
        <v>71</v>
      </c>
      <c r="F28810">
        <v>12530127</v>
      </c>
      <c r="G28810" t="s">
        <v>7067</v>
      </c>
      <c r="H28810" s="21">
        <v>573.91999999999996</v>
      </c>
    </row>
    <row r="28811" spans="1:8" customFormat="1" x14ac:dyDescent="0.25">
      <c r="A28811" t="str">
        <f>"7922205"</f>
        <v>7922205</v>
      </c>
      <c r="B28811" t="s">
        <v>10803</v>
      </c>
      <c r="C28811" t="s">
        <v>275</v>
      </c>
      <c r="D28811" s="21" t="s">
        <v>34</v>
      </c>
      <c r="E28811" s="21" t="s">
        <v>35</v>
      </c>
      <c r="F28811">
        <v>10790002</v>
      </c>
      <c r="G28811" t="s">
        <v>6612</v>
      </c>
      <c r="H28811" s="21">
        <v>573.91999999999996</v>
      </c>
    </row>
    <row r="28812" spans="1:8" customFormat="1" x14ac:dyDescent="0.25">
      <c r="A28812" t="str">
        <f>"2936103"</f>
        <v>2936103</v>
      </c>
      <c r="B28812" t="s">
        <v>14675</v>
      </c>
      <c r="C28812" t="s">
        <v>302</v>
      </c>
      <c r="D28812" s="21" t="s">
        <v>34</v>
      </c>
      <c r="E28812" s="21" t="s">
        <v>35</v>
      </c>
      <c r="F28812">
        <v>3290214</v>
      </c>
      <c r="G28812" t="s">
        <v>10975</v>
      </c>
      <c r="H28812" s="21">
        <v>573.91999999999996</v>
      </c>
    </row>
    <row r="28813" spans="1:8" customFormat="1" x14ac:dyDescent="0.25">
      <c r="A28813" t="str">
        <f>"6942493"</f>
        <v>6942493</v>
      </c>
      <c r="B28813" t="s">
        <v>21341</v>
      </c>
      <c r="C28813" t="s">
        <v>109</v>
      </c>
      <c r="D28813" s="21" t="s">
        <v>34</v>
      </c>
      <c r="E28813" s="21" t="s">
        <v>35</v>
      </c>
      <c r="F28813">
        <v>1690079</v>
      </c>
      <c r="G28813" t="s">
        <v>21342</v>
      </c>
      <c r="H28813" s="21">
        <v>573.79</v>
      </c>
    </row>
    <row r="28814" spans="1:8" customFormat="1" x14ac:dyDescent="0.25">
      <c r="A28814" t="str">
        <f>"038579"</f>
        <v>038579</v>
      </c>
      <c r="B28814" t="s">
        <v>11896</v>
      </c>
      <c r="C28814" t="s">
        <v>60</v>
      </c>
      <c r="D28814" s="21" t="s">
        <v>34</v>
      </c>
      <c r="E28814" s="21" t="s">
        <v>35</v>
      </c>
      <c r="F28814">
        <v>1030308</v>
      </c>
      <c r="G28814" t="s">
        <v>1485</v>
      </c>
      <c r="H28814" s="21">
        <v>573.79</v>
      </c>
    </row>
    <row r="28815" spans="1:8" customFormat="1" x14ac:dyDescent="0.25">
      <c r="A28815" t="str">
        <f>"2516957"</f>
        <v>2516957</v>
      </c>
      <c r="B28815" t="s">
        <v>3684</v>
      </c>
      <c r="C28815" t="s">
        <v>1605</v>
      </c>
      <c r="D28815" s="21" t="s">
        <v>34</v>
      </c>
      <c r="E28815" s="21" t="s">
        <v>254</v>
      </c>
      <c r="F28815">
        <v>2250016</v>
      </c>
      <c r="G28815" t="s">
        <v>1709</v>
      </c>
      <c r="H28815" s="21">
        <v>573.66999999999996</v>
      </c>
    </row>
    <row r="28816" spans="1:8" customFormat="1" x14ac:dyDescent="0.25">
      <c r="A28816" t="str">
        <f>"1710303"</f>
        <v>1710303</v>
      </c>
      <c r="B28816" t="s">
        <v>20951</v>
      </c>
      <c r="C28816" t="s">
        <v>1605</v>
      </c>
      <c r="D28816" s="21" t="s">
        <v>34</v>
      </c>
      <c r="E28816" s="21" t="s">
        <v>1089</v>
      </c>
      <c r="F28816">
        <v>10170178</v>
      </c>
      <c r="G28816" t="s">
        <v>17278</v>
      </c>
      <c r="H28816" s="21">
        <v>573.66999999999996</v>
      </c>
    </row>
    <row r="28817" spans="1:8" customFormat="1" x14ac:dyDescent="0.25">
      <c r="A28817" t="str">
        <f>"3728318"</f>
        <v>3728318</v>
      </c>
      <c r="B28817" t="s">
        <v>3978</v>
      </c>
      <c r="C28817" t="s">
        <v>528</v>
      </c>
      <c r="D28817" s="21" t="s">
        <v>34</v>
      </c>
      <c r="E28817" s="21" t="s">
        <v>35</v>
      </c>
      <c r="F28817">
        <v>4370691</v>
      </c>
      <c r="G28817" t="s">
        <v>12036</v>
      </c>
      <c r="H28817" s="21">
        <v>573.66999999999996</v>
      </c>
    </row>
    <row r="28818" spans="1:8" customFormat="1" x14ac:dyDescent="0.25">
      <c r="A28818" t="str">
        <f>"2927286"</f>
        <v>2927286</v>
      </c>
      <c r="B28818" t="s">
        <v>21175</v>
      </c>
      <c r="C28818" t="s">
        <v>288</v>
      </c>
      <c r="D28818" s="21" t="s">
        <v>34</v>
      </c>
      <c r="E28818" s="21" t="s">
        <v>35</v>
      </c>
      <c r="F28818">
        <v>3290014</v>
      </c>
      <c r="G28818" t="s">
        <v>10174</v>
      </c>
      <c r="H28818" s="21">
        <v>573.66999999999996</v>
      </c>
    </row>
    <row r="28819" spans="1:8" customFormat="1" x14ac:dyDescent="0.25">
      <c r="A28819" t="str">
        <f>"935921"</f>
        <v>935921</v>
      </c>
      <c r="B28819" t="s">
        <v>19232</v>
      </c>
      <c r="C28819" t="s">
        <v>547</v>
      </c>
      <c r="D28819" s="21" t="s">
        <v>34</v>
      </c>
      <c r="E28819" s="21" t="s">
        <v>254</v>
      </c>
      <c r="F28819">
        <v>8930490</v>
      </c>
      <c r="G28819" t="s">
        <v>1563</v>
      </c>
      <c r="H28819" s="21">
        <v>573.66999999999996</v>
      </c>
    </row>
    <row r="28820" spans="1:8" customFormat="1" x14ac:dyDescent="0.25">
      <c r="A28820" t="str">
        <f>"2217285"</f>
        <v>2217285</v>
      </c>
      <c r="B28820" t="s">
        <v>14940</v>
      </c>
      <c r="C28820" t="s">
        <v>879</v>
      </c>
      <c r="D28820" s="21" t="s">
        <v>34</v>
      </c>
      <c r="E28820" s="21" t="s">
        <v>254</v>
      </c>
      <c r="F28820">
        <v>3220050</v>
      </c>
      <c r="G28820" t="s">
        <v>28006</v>
      </c>
      <c r="H28820" s="21">
        <v>573.66999999999996</v>
      </c>
    </row>
    <row r="28821" spans="1:8" customFormat="1" x14ac:dyDescent="0.25">
      <c r="A28821" t="str">
        <f>"5941601"</f>
        <v>5941601</v>
      </c>
      <c r="B28821" t="s">
        <v>7114</v>
      </c>
      <c r="C28821" t="s">
        <v>130</v>
      </c>
      <c r="D28821" s="21" t="s">
        <v>34</v>
      </c>
      <c r="E28821" s="21" t="s">
        <v>1089</v>
      </c>
      <c r="F28821">
        <v>7590003</v>
      </c>
      <c r="G28821" t="s">
        <v>1166</v>
      </c>
      <c r="H28821" s="21">
        <v>573.66999999999996</v>
      </c>
    </row>
    <row r="28822" spans="1:8" customFormat="1" x14ac:dyDescent="0.25">
      <c r="A28822" t="str">
        <f>"5622057"</f>
        <v>5622057</v>
      </c>
      <c r="B28822" t="s">
        <v>28089</v>
      </c>
      <c r="C28822" t="s">
        <v>9688</v>
      </c>
      <c r="D28822" s="21" t="s">
        <v>34</v>
      </c>
      <c r="E28822" s="21" t="s">
        <v>35</v>
      </c>
      <c r="F28822">
        <v>3560022</v>
      </c>
      <c r="G28822" t="s">
        <v>2547</v>
      </c>
      <c r="H28822" s="21">
        <v>573.66999999999996</v>
      </c>
    </row>
    <row r="28823" spans="1:8" customFormat="1" x14ac:dyDescent="0.25">
      <c r="A28823" t="str">
        <f>"245060"</f>
        <v>245060</v>
      </c>
      <c r="B28823" t="s">
        <v>20745</v>
      </c>
      <c r="C28823" t="s">
        <v>2693</v>
      </c>
      <c r="D28823" s="21" t="s">
        <v>34</v>
      </c>
      <c r="E28823" s="21" t="s">
        <v>254</v>
      </c>
      <c r="F28823">
        <v>10240001</v>
      </c>
      <c r="G28823" t="s">
        <v>10102</v>
      </c>
      <c r="H28823" s="21">
        <v>573.66999999999996</v>
      </c>
    </row>
    <row r="28824" spans="1:8" customFormat="1" x14ac:dyDescent="0.25">
      <c r="A28824" t="str">
        <f>"629958"</f>
        <v>629958</v>
      </c>
      <c r="B28824" t="s">
        <v>1016</v>
      </c>
      <c r="C28824" t="s">
        <v>55</v>
      </c>
      <c r="D28824" s="21" t="s">
        <v>34</v>
      </c>
      <c r="E28824" s="21" t="s">
        <v>71</v>
      </c>
      <c r="F28824">
        <v>7620037</v>
      </c>
      <c r="G28824" t="s">
        <v>13227</v>
      </c>
      <c r="H28824" s="21">
        <v>573.66999999999996</v>
      </c>
    </row>
    <row r="28825" spans="1:8" customFormat="1" x14ac:dyDescent="0.25">
      <c r="A28825" t="str">
        <f>"784472"</f>
        <v>784472</v>
      </c>
      <c r="B28825" t="s">
        <v>8887</v>
      </c>
      <c r="C28825" t="s">
        <v>169</v>
      </c>
      <c r="D28825" s="21" t="s">
        <v>34</v>
      </c>
      <c r="E28825" s="21" t="s">
        <v>254</v>
      </c>
      <c r="F28825">
        <v>8781094</v>
      </c>
      <c r="G28825" t="s">
        <v>7875</v>
      </c>
      <c r="H28825" s="21">
        <v>573.66999999999996</v>
      </c>
    </row>
    <row r="28826" spans="1:8" customFormat="1" x14ac:dyDescent="0.25">
      <c r="A28826" t="str">
        <f>"5325283"</f>
        <v>5325283</v>
      </c>
      <c r="B28826" t="s">
        <v>20847</v>
      </c>
      <c r="C28826" t="s">
        <v>58</v>
      </c>
      <c r="D28826" s="21" t="s">
        <v>34</v>
      </c>
      <c r="E28826" s="21" t="s">
        <v>35</v>
      </c>
      <c r="F28826">
        <v>12530011</v>
      </c>
      <c r="G28826" t="s">
        <v>7610</v>
      </c>
      <c r="H28826" s="21">
        <v>573.66999999999996</v>
      </c>
    </row>
    <row r="28827" spans="1:8" customFormat="1" x14ac:dyDescent="0.25">
      <c r="A28827" t="str">
        <f>"7829301"</f>
        <v>7829301</v>
      </c>
      <c r="B28827" t="s">
        <v>1533</v>
      </c>
      <c r="C28827" t="s">
        <v>5232</v>
      </c>
      <c r="D28827" s="21" t="s">
        <v>34</v>
      </c>
      <c r="E28827" s="21" t="s">
        <v>71</v>
      </c>
      <c r="F28827">
        <v>8931320</v>
      </c>
      <c r="G28827" t="s">
        <v>1537</v>
      </c>
      <c r="H28827" s="21">
        <v>573.66999999999996</v>
      </c>
    </row>
    <row r="28828" spans="1:8" customFormat="1" x14ac:dyDescent="0.25">
      <c r="A28828" t="str">
        <f>"956404"</f>
        <v>956404</v>
      </c>
      <c r="B28828" t="s">
        <v>24119</v>
      </c>
      <c r="C28828" t="s">
        <v>10052</v>
      </c>
      <c r="D28828" s="21" t="s">
        <v>34</v>
      </c>
      <c r="E28828" s="21" t="s">
        <v>35</v>
      </c>
      <c r="F28828">
        <v>8950088</v>
      </c>
      <c r="G28828" t="s">
        <v>11015</v>
      </c>
      <c r="H28828" s="21">
        <v>573.66999999999996</v>
      </c>
    </row>
    <row r="28829" spans="1:8" customFormat="1" x14ac:dyDescent="0.25">
      <c r="A28829" t="str">
        <f>"5977967"</f>
        <v>5977967</v>
      </c>
      <c r="B28829" t="s">
        <v>21304</v>
      </c>
      <c r="C28829" t="s">
        <v>1914</v>
      </c>
      <c r="D28829" s="21" t="s">
        <v>34</v>
      </c>
      <c r="E28829" s="21" t="s">
        <v>35</v>
      </c>
      <c r="F28829">
        <v>7590141</v>
      </c>
      <c r="G28829" t="s">
        <v>21305</v>
      </c>
      <c r="H28829" s="21">
        <v>573.66999999999996</v>
      </c>
    </row>
    <row r="28830" spans="1:8" customFormat="1" x14ac:dyDescent="0.25">
      <c r="A28830" t="str">
        <f>"9243174"</f>
        <v>9243174</v>
      </c>
      <c r="B28830" t="s">
        <v>6324</v>
      </c>
      <c r="C28830" t="s">
        <v>415</v>
      </c>
      <c r="D28830" s="21" t="s">
        <v>34</v>
      </c>
      <c r="E28830" s="21" t="s">
        <v>254</v>
      </c>
      <c r="F28830">
        <v>8920049</v>
      </c>
      <c r="G28830" t="s">
        <v>237</v>
      </c>
      <c r="H28830" s="21">
        <v>573.66999999999996</v>
      </c>
    </row>
    <row r="28831" spans="1:8" customFormat="1" x14ac:dyDescent="0.25">
      <c r="A28831" t="str">
        <f>"6942143"</f>
        <v>6942143</v>
      </c>
      <c r="B28831" t="s">
        <v>10642</v>
      </c>
      <c r="C28831" t="s">
        <v>55</v>
      </c>
      <c r="D28831" s="21" t="s">
        <v>34</v>
      </c>
      <c r="E28831" s="21" t="s">
        <v>35</v>
      </c>
      <c r="F28831">
        <v>1690002</v>
      </c>
      <c r="G28831" t="s">
        <v>5604</v>
      </c>
      <c r="H28831" s="21">
        <v>573.66999999999996</v>
      </c>
    </row>
    <row r="28832" spans="1:8" customFormat="1" x14ac:dyDescent="0.25">
      <c r="A28832" t="str">
        <f>"593389"</f>
        <v>593389</v>
      </c>
      <c r="B28832" t="s">
        <v>4834</v>
      </c>
      <c r="C28832" t="s">
        <v>87</v>
      </c>
      <c r="D28832" s="21" t="s">
        <v>34</v>
      </c>
      <c r="E28832" s="21" t="s">
        <v>71</v>
      </c>
      <c r="F28832">
        <v>7590107</v>
      </c>
      <c r="G28832" t="s">
        <v>17475</v>
      </c>
      <c r="H28832" s="21">
        <v>573.66999999999996</v>
      </c>
    </row>
    <row r="28833" spans="1:8" customFormat="1" x14ac:dyDescent="0.25">
      <c r="A28833" t="str">
        <f>"4216516"</f>
        <v>4216516</v>
      </c>
      <c r="B28833" t="s">
        <v>20342</v>
      </c>
      <c r="C28833" t="s">
        <v>169</v>
      </c>
      <c r="D28833" s="21" t="s">
        <v>34</v>
      </c>
      <c r="E28833" s="21" t="s">
        <v>35</v>
      </c>
      <c r="F28833">
        <v>1420156</v>
      </c>
      <c r="G28833" t="s">
        <v>5635</v>
      </c>
      <c r="H28833" s="21">
        <v>573.66999999999996</v>
      </c>
    </row>
    <row r="28834" spans="1:8" customFormat="1" x14ac:dyDescent="0.25">
      <c r="A28834" t="str">
        <f>"8524083"</f>
        <v>8524083</v>
      </c>
      <c r="B28834" t="s">
        <v>20724</v>
      </c>
      <c r="C28834" t="s">
        <v>144</v>
      </c>
      <c r="D28834" s="21" t="s">
        <v>34</v>
      </c>
      <c r="E28834" s="21" t="s">
        <v>71</v>
      </c>
      <c r="F28834">
        <v>12850136</v>
      </c>
      <c r="G28834" t="s">
        <v>2536</v>
      </c>
      <c r="H28834" s="21">
        <v>573.66999999999996</v>
      </c>
    </row>
    <row r="28835" spans="1:8" customFormat="1" x14ac:dyDescent="0.25">
      <c r="A28835" t="str">
        <f>"5973142"</f>
        <v>5973142</v>
      </c>
      <c r="B28835" t="s">
        <v>13625</v>
      </c>
      <c r="C28835" t="s">
        <v>55</v>
      </c>
      <c r="D28835" s="21" t="s">
        <v>34</v>
      </c>
      <c r="E28835" s="21" t="s">
        <v>71</v>
      </c>
      <c r="F28835">
        <v>7590055</v>
      </c>
      <c r="G28835" t="s">
        <v>1573</v>
      </c>
      <c r="H28835" s="21">
        <v>573.66999999999996</v>
      </c>
    </row>
    <row r="28836" spans="1:8" customFormat="1" x14ac:dyDescent="0.25">
      <c r="A28836" t="str">
        <f>"7874977"</f>
        <v>7874977</v>
      </c>
      <c r="B28836" t="s">
        <v>2932</v>
      </c>
      <c r="C28836" t="s">
        <v>20048</v>
      </c>
      <c r="D28836" s="21" t="s">
        <v>34</v>
      </c>
      <c r="E28836" s="21" t="s">
        <v>71</v>
      </c>
      <c r="F28836">
        <v>8780660</v>
      </c>
      <c r="G28836" t="s">
        <v>2801</v>
      </c>
      <c r="H28836" s="21">
        <v>573.54</v>
      </c>
    </row>
    <row r="28837" spans="1:8" customFormat="1" x14ac:dyDescent="0.25">
      <c r="A28837" t="str">
        <f>"179470"</f>
        <v>179470</v>
      </c>
      <c r="B28837" t="s">
        <v>22528</v>
      </c>
      <c r="C28837" t="s">
        <v>33</v>
      </c>
      <c r="D28837" s="21" t="s">
        <v>34</v>
      </c>
      <c r="E28837" s="21" t="s">
        <v>71</v>
      </c>
      <c r="F28837">
        <v>10170214</v>
      </c>
      <c r="G28837" t="s">
        <v>5533</v>
      </c>
      <c r="H28837" s="21">
        <v>573.41999999999996</v>
      </c>
    </row>
    <row r="28838" spans="1:8" customFormat="1" x14ac:dyDescent="0.25">
      <c r="A28838" t="str">
        <f>"618019"</f>
        <v>618019</v>
      </c>
      <c r="B28838" t="s">
        <v>3535</v>
      </c>
      <c r="C28838" t="s">
        <v>119</v>
      </c>
      <c r="D28838" s="21" t="s">
        <v>34</v>
      </c>
      <c r="E28838" s="21" t="s">
        <v>71</v>
      </c>
      <c r="F28838">
        <v>9610142</v>
      </c>
      <c r="G28838" t="s">
        <v>8211</v>
      </c>
      <c r="H28838" s="21">
        <v>573.41999999999996</v>
      </c>
    </row>
    <row r="28839" spans="1:8" customFormat="1" x14ac:dyDescent="0.25">
      <c r="A28839" t="str">
        <f>"2933473"</f>
        <v>2933473</v>
      </c>
      <c r="B28839" t="s">
        <v>10189</v>
      </c>
      <c r="C28839" t="s">
        <v>1474</v>
      </c>
      <c r="D28839" s="21" t="s">
        <v>34</v>
      </c>
      <c r="E28839" s="21" t="s">
        <v>35</v>
      </c>
      <c r="F28839">
        <v>3290014</v>
      </c>
      <c r="G28839" t="s">
        <v>10174</v>
      </c>
      <c r="H28839" s="21">
        <v>573.16999999999996</v>
      </c>
    </row>
    <row r="28840" spans="1:8" customFormat="1" x14ac:dyDescent="0.25">
      <c r="A28840" t="str">
        <f>"7514631"</f>
        <v>7514631</v>
      </c>
      <c r="B28840" t="s">
        <v>14670</v>
      </c>
      <c r="C28840" t="s">
        <v>926</v>
      </c>
      <c r="D28840" s="21" t="s">
        <v>34</v>
      </c>
      <c r="E28840" s="21" t="s">
        <v>35</v>
      </c>
      <c r="F28840">
        <v>8951458</v>
      </c>
      <c r="G28840" t="s">
        <v>20956</v>
      </c>
      <c r="H28840" s="21">
        <v>573.16999999999996</v>
      </c>
    </row>
    <row r="28841" spans="1:8" customFormat="1" x14ac:dyDescent="0.25">
      <c r="A28841" t="str">
        <f>"0619360"</f>
        <v>0619360</v>
      </c>
      <c r="B28841" t="s">
        <v>28090</v>
      </c>
      <c r="C28841" t="s">
        <v>428</v>
      </c>
      <c r="D28841" s="21" t="s">
        <v>34</v>
      </c>
      <c r="E28841" s="21" t="s">
        <v>35</v>
      </c>
      <c r="F28841">
        <v>13060064</v>
      </c>
      <c r="G28841" t="s">
        <v>976</v>
      </c>
      <c r="H28841" s="21">
        <v>573.16999999999996</v>
      </c>
    </row>
    <row r="28842" spans="1:8" customFormat="1" x14ac:dyDescent="0.25">
      <c r="A28842" t="str">
        <f>"7917850"</f>
        <v>7917850</v>
      </c>
      <c r="B28842" t="s">
        <v>136</v>
      </c>
      <c r="C28842" t="s">
        <v>1887</v>
      </c>
      <c r="D28842" s="21" t="s">
        <v>34</v>
      </c>
      <c r="E28842" s="21" t="s">
        <v>254</v>
      </c>
      <c r="F28842">
        <v>10790020</v>
      </c>
      <c r="G28842" t="s">
        <v>10221</v>
      </c>
      <c r="H28842" s="21">
        <v>573.16999999999996</v>
      </c>
    </row>
    <row r="28843" spans="1:8" customFormat="1" x14ac:dyDescent="0.25">
      <c r="A28843" t="str">
        <f>"5915238"</f>
        <v>5915238</v>
      </c>
      <c r="B28843" t="s">
        <v>20570</v>
      </c>
      <c r="C28843" t="s">
        <v>124</v>
      </c>
      <c r="D28843" s="21" t="s">
        <v>34</v>
      </c>
      <c r="E28843" s="21" t="s">
        <v>71</v>
      </c>
      <c r="F28843">
        <v>7590413</v>
      </c>
      <c r="G28843" t="s">
        <v>6848</v>
      </c>
      <c r="H28843" s="21">
        <v>573.16999999999996</v>
      </c>
    </row>
    <row r="28844" spans="1:8" customFormat="1" x14ac:dyDescent="0.25">
      <c r="A28844" t="str">
        <f>"2939011"</f>
        <v>2939011</v>
      </c>
      <c r="B28844" t="s">
        <v>23857</v>
      </c>
      <c r="C28844" t="s">
        <v>462</v>
      </c>
      <c r="D28844" s="21" t="s">
        <v>34</v>
      </c>
      <c r="E28844" s="21" t="s">
        <v>71</v>
      </c>
      <c r="F28844">
        <v>3290009</v>
      </c>
      <c r="G28844" t="s">
        <v>4358</v>
      </c>
      <c r="H28844" s="21">
        <v>573.16999999999996</v>
      </c>
    </row>
    <row r="28845" spans="1:8" customFormat="1" x14ac:dyDescent="0.25">
      <c r="A28845" t="str">
        <f>"5977444"</f>
        <v>5977444</v>
      </c>
      <c r="B28845" t="s">
        <v>2023</v>
      </c>
      <c r="C28845" t="s">
        <v>206</v>
      </c>
      <c r="D28845" s="21" t="s">
        <v>34</v>
      </c>
      <c r="E28845" s="21" t="s">
        <v>35</v>
      </c>
      <c r="F28845">
        <v>7590049</v>
      </c>
      <c r="G28845" t="s">
        <v>11040</v>
      </c>
      <c r="H28845" s="21">
        <v>573.16999999999996</v>
      </c>
    </row>
    <row r="28846" spans="1:8" customFormat="1" x14ac:dyDescent="0.25">
      <c r="A28846" t="str">
        <f>"9A123"</f>
        <v>9A123</v>
      </c>
      <c r="B28846" t="s">
        <v>19854</v>
      </c>
      <c r="C28846" t="s">
        <v>3784</v>
      </c>
      <c r="D28846" s="21" t="s">
        <v>34</v>
      </c>
      <c r="E28846" s="21" t="s">
        <v>1089</v>
      </c>
      <c r="F28846">
        <v>2700077</v>
      </c>
      <c r="G28846" t="s">
        <v>9311</v>
      </c>
      <c r="H28846" s="21">
        <v>573.16999999999996</v>
      </c>
    </row>
    <row r="28847" spans="1:8" customFormat="1" x14ac:dyDescent="0.25">
      <c r="A28847" t="str">
        <f>"3529778"</f>
        <v>3529778</v>
      </c>
      <c r="B28847" t="s">
        <v>23723</v>
      </c>
      <c r="C28847" t="s">
        <v>174</v>
      </c>
      <c r="D28847" s="21" t="s">
        <v>34</v>
      </c>
      <c r="E28847" s="21" t="s">
        <v>71</v>
      </c>
      <c r="F28847">
        <v>3350016</v>
      </c>
      <c r="G28847" t="s">
        <v>133</v>
      </c>
      <c r="H28847" s="21">
        <v>573.16999999999996</v>
      </c>
    </row>
    <row r="28848" spans="1:8" customFormat="1" x14ac:dyDescent="0.25">
      <c r="A28848" t="str">
        <f>"558774"</f>
        <v>558774</v>
      </c>
      <c r="B28848" t="s">
        <v>6632</v>
      </c>
      <c r="C28848" t="s">
        <v>611</v>
      </c>
      <c r="D28848" s="21" t="s">
        <v>34</v>
      </c>
      <c r="E28848" s="21" t="s">
        <v>71</v>
      </c>
      <c r="F28848">
        <v>6550009</v>
      </c>
      <c r="G28848" t="s">
        <v>7080</v>
      </c>
      <c r="H28848" s="21">
        <v>573.16999999999996</v>
      </c>
    </row>
    <row r="28849" spans="1:8" customFormat="1" x14ac:dyDescent="0.25">
      <c r="A28849" t="str">
        <f>"9129029"</f>
        <v>9129029</v>
      </c>
      <c r="B28849" t="s">
        <v>21544</v>
      </c>
      <c r="C28849" t="s">
        <v>817</v>
      </c>
      <c r="D28849" s="21" t="s">
        <v>34</v>
      </c>
      <c r="E28849" s="21" t="s">
        <v>254</v>
      </c>
      <c r="F28849">
        <v>8910642</v>
      </c>
      <c r="G28849" t="s">
        <v>27027</v>
      </c>
      <c r="H28849" s="21">
        <v>573.16999999999996</v>
      </c>
    </row>
    <row r="28850" spans="1:8" customFormat="1" x14ac:dyDescent="0.25">
      <c r="A28850" t="str">
        <f>"7215430"</f>
        <v>7215430</v>
      </c>
      <c r="B28850" t="s">
        <v>482</v>
      </c>
      <c r="C28850" t="s">
        <v>3397</v>
      </c>
      <c r="D28850" s="21" t="s">
        <v>34</v>
      </c>
      <c r="E28850" s="21" t="s">
        <v>35</v>
      </c>
      <c r="F28850">
        <v>12720020</v>
      </c>
      <c r="G28850" t="s">
        <v>8402</v>
      </c>
      <c r="H28850" s="21">
        <v>573.16999999999996</v>
      </c>
    </row>
    <row r="28851" spans="1:8" customFormat="1" x14ac:dyDescent="0.25">
      <c r="A28851" t="str">
        <f>"7642446"</f>
        <v>7642446</v>
      </c>
      <c r="B28851" t="s">
        <v>2319</v>
      </c>
      <c r="C28851" t="s">
        <v>3073</v>
      </c>
      <c r="D28851" s="21" t="s">
        <v>34</v>
      </c>
      <c r="E28851" s="21" t="s">
        <v>254</v>
      </c>
      <c r="F28851">
        <v>9760352</v>
      </c>
      <c r="G28851" t="s">
        <v>7885</v>
      </c>
      <c r="H28851" s="21">
        <v>573.16999999999996</v>
      </c>
    </row>
    <row r="28852" spans="1:8" customFormat="1" x14ac:dyDescent="0.25">
      <c r="A28852" t="str">
        <f>"3014279"</f>
        <v>3014279</v>
      </c>
      <c r="B28852" t="s">
        <v>28091</v>
      </c>
      <c r="C28852" t="s">
        <v>171</v>
      </c>
      <c r="D28852" s="21" t="s">
        <v>34</v>
      </c>
      <c r="E28852" s="21" t="s">
        <v>71</v>
      </c>
      <c r="F28852">
        <v>11300039</v>
      </c>
      <c r="G28852" t="s">
        <v>10680</v>
      </c>
      <c r="H28852" s="21">
        <v>573.16999999999996</v>
      </c>
    </row>
    <row r="28853" spans="1:8" customFormat="1" x14ac:dyDescent="0.25">
      <c r="A28853" t="str">
        <f>"3323964"</f>
        <v>3323964</v>
      </c>
      <c r="B28853" t="s">
        <v>20035</v>
      </c>
      <c r="C28853" t="s">
        <v>263</v>
      </c>
      <c r="D28853" s="21" t="s">
        <v>34</v>
      </c>
      <c r="E28853" s="21" t="s">
        <v>35</v>
      </c>
      <c r="F28853">
        <v>10330046</v>
      </c>
      <c r="G28853" t="s">
        <v>1787</v>
      </c>
      <c r="H28853" s="21">
        <v>573.16999999999996</v>
      </c>
    </row>
    <row r="28854" spans="1:8" customFormat="1" x14ac:dyDescent="0.25">
      <c r="A28854" t="str">
        <f>"7625880"</f>
        <v>7625880</v>
      </c>
      <c r="B28854" t="s">
        <v>213</v>
      </c>
      <c r="C28854" t="s">
        <v>33</v>
      </c>
      <c r="D28854" s="21" t="s">
        <v>34</v>
      </c>
      <c r="E28854" s="21" t="s">
        <v>35</v>
      </c>
      <c r="F28854">
        <v>9760315</v>
      </c>
      <c r="G28854" t="s">
        <v>12345</v>
      </c>
      <c r="H28854" s="21">
        <v>573.16999999999996</v>
      </c>
    </row>
    <row r="28855" spans="1:8" customFormat="1" x14ac:dyDescent="0.25">
      <c r="A28855" t="str">
        <f>"7621787"</f>
        <v>7621787</v>
      </c>
      <c r="B28855" t="s">
        <v>21075</v>
      </c>
      <c r="C28855" t="s">
        <v>1271</v>
      </c>
      <c r="D28855" s="21" t="s">
        <v>34</v>
      </c>
      <c r="E28855" s="21" t="s">
        <v>254</v>
      </c>
      <c r="F28855">
        <v>9760015</v>
      </c>
      <c r="G28855" t="s">
        <v>5277</v>
      </c>
      <c r="H28855" s="21">
        <v>573.16999999999996</v>
      </c>
    </row>
    <row r="28856" spans="1:8" customFormat="1" x14ac:dyDescent="0.25">
      <c r="A28856" t="str">
        <f>"667986"</f>
        <v>667986</v>
      </c>
      <c r="B28856" t="s">
        <v>1797</v>
      </c>
      <c r="C28856" t="s">
        <v>55</v>
      </c>
      <c r="D28856" s="21" t="s">
        <v>34</v>
      </c>
      <c r="E28856" s="21" t="s">
        <v>254</v>
      </c>
      <c r="F28856">
        <v>11660008</v>
      </c>
      <c r="G28856" t="s">
        <v>16161</v>
      </c>
      <c r="H28856" s="21">
        <v>573.16999999999996</v>
      </c>
    </row>
    <row r="28857" spans="1:8" customFormat="1" x14ac:dyDescent="0.25">
      <c r="A28857" t="str">
        <f>"3523801"</f>
        <v>3523801</v>
      </c>
      <c r="B28857" t="s">
        <v>8887</v>
      </c>
      <c r="C28857" t="s">
        <v>209</v>
      </c>
      <c r="D28857" s="21" t="s">
        <v>34</v>
      </c>
      <c r="E28857" s="21" t="s">
        <v>35</v>
      </c>
      <c r="F28857">
        <v>3350054</v>
      </c>
      <c r="G28857" t="s">
        <v>13881</v>
      </c>
      <c r="H28857" s="21">
        <v>573.16999999999996</v>
      </c>
    </row>
    <row r="28858" spans="1:8" customFormat="1" x14ac:dyDescent="0.25">
      <c r="A28858" t="str">
        <f>"761146"</f>
        <v>761146</v>
      </c>
      <c r="B28858" t="s">
        <v>19932</v>
      </c>
      <c r="C28858" t="s">
        <v>2693</v>
      </c>
      <c r="D28858" s="21" t="s">
        <v>34</v>
      </c>
      <c r="E28858" s="21" t="s">
        <v>254</v>
      </c>
      <c r="F28858">
        <v>9760069</v>
      </c>
      <c r="G28858" t="s">
        <v>13196</v>
      </c>
      <c r="H28858" s="21">
        <v>573.16999999999996</v>
      </c>
    </row>
    <row r="28859" spans="1:8" customFormat="1" x14ac:dyDescent="0.25">
      <c r="A28859" t="str">
        <f>"4218666"</f>
        <v>4218666</v>
      </c>
      <c r="B28859" t="s">
        <v>6352</v>
      </c>
      <c r="C28859" t="s">
        <v>8546</v>
      </c>
      <c r="D28859" s="21" t="s">
        <v>34</v>
      </c>
      <c r="E28859" s="21" t="s">
        <v>35</v>
      </c>
      <c r="F28859">
        <v>1420070</v>
      </c>
      <c r="G28859" t="s">
        <v>27046</v>
      </c>
      <c r="H28859" s="21">
        <v>573.04</v>
      </c>
    </row>
    <row r="28860" spans="1:8" customFormat="1" x14ac:dyDescent="0.25">
      <c r="A28860" t="str">
        <f>"9D2382"</f>
        <v>9D2382</v>
      </c>
      <c r="B28860" t="s">
        <v>2434</v>
      </c>
      <c r="C28860" t="s">
        <v>720</v>
      </c>
      <c r="D28860" s="21" t="s">
        <v>34</v>
      </c>
      <c r="E28860" s="21" t="s">
        <v>35</v>
      </c>
      <c r="F28860" t="s">
        <v>1477</v>
      </c>
      <c r="G28860" t="s">
        <v>1478</v>
      </c>
      <c r="H28860" s="21">
        <v>573.04</v>
      </c>
    </row>
    <row r="28861" spans="1:8" customFormat="1" x14ac:dyDescent="0.25">
      <c r="A28861" t="str">
        <f>"889042"</f>
        <v>889042</v>
      </c>
      <c r="B28861" t="s">
        <v>28092</v>
      </c>
      <c r="C28861" t="s">
        <v>812</v>
      </c>
      <c r="D28861" s="21" t="s">
        <v>34</v>
      </c>
      <c r="E28861" s="21" t="s">
        <v>35</v>
      </c>
      <c r="F28861">
        <v>8780338</v>
      </c>
      <c r="G28861" t="s">
        <v>4145</v>
      </c>
      <c r="H28861" s="21">
        <v>572.91999999999996</v>
      </c>
    </row>
    <row r="28862" spans="1:8" customFormat="1" x14ac:dyDescent="0.25">
      <c r="A28862" t="str">
        <f>"6716702"</f>
        <v>6716702</v>
      </c>
      <c r="B28862" t="s">
        <v>20760</v>
      </c>
      <c r="C28862" t="s">
        <v>236</v>
      </c>
      <c r="D28862" s="21" t="s">
        <v>34</v>
      </c>
      <c r="E28862" s="21" t="s">
        <v>71</v>
      </c>
      <c r="F28862">
        <v>6670122</v>
      </c>
      <c r="G28862" t="s">
        <v>3126</v>
      </c>
      <c r="H28862" s="21">
        <v>572.79</v>
      </c>
    </row>
    <row r="28863" spans="1:8" customFormat="1" x14ac:dyDescent="0.25">
      <c r="A28863" t="str">
        <f>"991654"</f>
        <v>991654</v>
      </c>
      <c r="B28863" t="s">
        <v>7681</v>
      </c>
      <c r="C28863" t="s">
        <v>598</v>
      </c>
      <c r="D28863" s="21" t="s">
        <v>34</v>
      </c>
      <c r="E28863" s="21" t="s">
        <v>1089</v>
      </c>
      <c r="F28863">
        <v>5990014</v>
      </c>
      <c r="G28863" t="s">
        <v>11225</v>
      </c>
      <c r="H28863" s="21">
        <v>572.79</v>
      </c>
    </row>
    <row r="28864" spans="1:8" customFormat="1" x14ac:dyDescent="0.25">
      <c r="A28864" t="str">
        <f>"3533546"</f>
        <v>3533546</v>
      </c>
      <c r="B28864" t="s">
        <v>18916</v>
      </c>
      <c r="C28864" t="s">
        <v>33</v>
      </c>
      <c r="D28864" s="21" t="s">
        <v>34</v>
      </c>
      <c r="E28864" s="21" t="s">
        <v>35</v>
      </c>
      <c r="F28864">
        <v>3350199</v>
      </c>
      <c r="G28864" t="s">
        <v>5603</v>
      </c>
      <c r="H28864" s="21">
        <v>572.66999999999996</v>
      </c>
    </row>
    <row r="28865" spans="1:8" customFormat="1" x14ac:dyDescent="0.25">
      <c r="A28865" t="str">
        <f>"0619991"</f>
        <v>0619991</v>
      </c>
      <c r="B28865" t="s">
        <v>23086</v>
      </c>
      <c r="C28865" t="s">
        <v>33</v>
      </c>
      <c r="D28865" s="21" t="s">
        <v>34</v>
      </c>
      <c r="E28865" s="21" t="s">
        <v>35</v>
      </c>
      <c r="F28865">
        <v>13060074</v>
      </c>
      <c r="G28865" t="s">
        <v>13510</v>
      </c>
      <c r="H28865" s="21">
        <v>572.66999999999996</v>
      </c>
    </row>
    <row r="28866" spans="1:8" customFormat="1" x14ac:dyDescent="0.25">
      <c r="A28866" t="str">
        <f>"5319267"</f>
        <v>5319267</v>
      </c>
      <c r="B28866" t="s">
        <v>19564</v>
      </c>
      <c r="C28866" t="s">
        <v>33</v>
      </c>
      <c r="D28866" s="21" t="s">
        <v>34</v>
      </c>
      <c r="E28866" s="21" t="s">
        <v>71</v>
      </c>
      <c r="F28866">
        <v>12538904</v>
      </c>
      <c r="G28866" t="s">
        <v>12489</v>
      </c>
      <c r="H28866" s="21">
        <v>572.66999999999996</v>
      </c>
    </row>
    <row r="28867" spans="1:8" customFormat="1" x14ac:dyDescent="0.25">
      <c r="A28867" t="str">
        <f>"544338"</f>
        <v>544338</v>
      </c>
      <c r="B28867" t="s">
        <v>20293</v>
      </c>
      <c r="C28867" t="s">
        <v>547</v>
      </c>
      <c r="D28867" s="21" t="s">
        <v>34</v>
      </c>
      <c r="E28867" s="21" t="s">
        <v>254</v>
      </c>
      <c r="F28867">
        <v>6540190</v>
      </c>
      <c r="G28867" t="s">
        <v>9727</v>
      </c>
      <c r="H28867" s="21">
        <v>572.66999999999996</v>
      </c>
    </row>
    <row r="28868" spans="1:8" customFormat="1" x14ac:dyDescent="0.25">
      <c r="A28868" t="str">
        <f>"6232410"</f>
        <v>6232410</v>
      </c>
      <c r="B28868" t="s">
        <v>22446</v>
      </c>
      <c r="C28868" t="s">
        <v>3780</v>
      </c>
      <c r="D28868" s="21" t="s">
        <v>34</v>
      </c>
      <c r="E28868" s="21" t="s">
        <v>71</v>
      </c>
      <c r="F28868">
        <v>7620047</v>
      </c>
      <c r="G28868" t="s">
        <v>16200</v>
      </c>
      <c r="H28868" s="21">
        <v>572.66999999999996</v>
      </c>
    </row>
    <row r="28869" spans="1:8" customFormat="1" x14ac:dyDescent="0.25">
      <c r="A28869" t="str">
        <f>"6315637"</f>
        <v>6315637</v>
      </c>
      <c r="B28869" t="s">
        <v>20511</v>
      </c>
      <c r="C28869" t="s">
        <v>55</v>
      </c>
      <c r="D28869" s="21" t="s">
        <v>34</v>
      </c>
      <c r="E28869" s="21" t="s">
        <v>71</v>
      </c>
      <c r="F28869">
        <v>1630191</v>
      </c>
      <c r="G28869" t="s">
        <v>11303</v>
      </c>
      <c r="H28869" s="21">
        <v>572.66999999999996</v>
      </c>
    </row>
    <row r="28870" spans="1:8" customFormat="1" x14ac:dyDescent="0.25">
      <c r="A28870" t="str">
        <f>"5621339"</f>
        <v>5621339</v>
      </c>
      <c r="B28870" t="s">
        <v>392</v>
      </c>
      <c r="C28870" t="s">
        <v>428</v>
      </c>
      <c r="D28870" s="21" t="s">
        <v>34</v>
      </c>
      <c r="E28870" s="21" t="s">
        <v>71</v>
      </c>
      <c r="F28870">
        <v>3560060</v>
      </c>
      <c r="G28870" t="s">
        <v>8368</v>
      </c>
      <c r="H28870" s="21">
        <v>572.66999999999996</v>
      </c>
    </row>
    <row r="28871" spans="1:8" customFormat="1" x14ac:dyDescent="0.25">
      <c r="A28871" t="str">
        <f>"628046"</f>
        <v>628046</v>
      </c>
      <c r="B28871" t="s">
        <v>19047</v>
      </c>
      <c r="C28871" t="s">
        <v>598</v>
      </c>
      <c r="D28871" s="21" t="s">
        <v>34</v>
      </c>
      <c r="E28871" s="21" t="s">
        <v>254</v>
      </c>
      <c r="F28871">
        <v>7620130</v>
      </c>
      <c r="G28871" t="s">
        <v>4386</v>
      </c>
      <c r="H28871" s="21">
        <v>572.66999999999996</v>
      </c>
    </row>
    <row r="28872" spans="1:8" customFormat="1" x14ac:dyDescent="0.25">
      <c r="A28872" t="str">
        <f>"443354"</f>
        <v>443354</v>
      </c>
      <c r="B28872" t="s">
        <v>20390</v>
      </c>
      <c r="C28872" t="s">
        <v>1146</v>
      </c>
      <c r="D28872" s="21" t="s">
        <v>34</v>
      </c>
      <c r="E28872" s="21" t="s">
        <v>1089</v>
      </c>
      <c r="F28872">
        <v>12440141</v>
      </c>
      <c r="G28872" t="s">
        <v>3234</v>
      </c>
      <c r="H28872" s="21">
        <v>572.66999999999996</v>
      </c>
    </row>
    <row r="28873" spans="1:8" customFormat="1" x14ac:dyDescent="0.25">
      <c r="A28873" t="str">
        <f>"9530270"</f>
        <v>9530270</v>
      </c>
      <c r="B28873" t="s">
        <v>5340</v>
      </c>
      <c r="C28873" t="s">
        <v>269</v>
      </c>
      <c r="D28873" s="21" t="s">
        <v>34</v>
      </c>
      <c r="E28873" s="21" t="s">
        <v>71</v>
      </c>
      <c r="F28873">
        <v>8950103</v>
      </c>
      <c r="G28873" t="s">
        <v>440</v>
      </c>
      <c r="H28873" s="21">
        <v>572.66999999999996</v>
      </c>
    </row>
    <row r="28874" spans="1:8" customFormat="1" x14ac:dyDescent="0.25">
      <c r="A28874" t="str">
        <f>"7638507"</f>
        <v>7638507</v>
      </c>
      <c r="B28874" t="s">
        <v>7684</v>
      </c>
      <c r="C28874" t="s">
        <v>275</v>
      </c>
      <c r="D28874" s="21" t="s">
        <v>34</v>
      </c>
      <c r="E28874" s="21" t="s">
        <v>35</v>
      </c>
      <c r="F28874">
        <v>9760018</v>
      </c>
      <c r="G28874" t="s">
        <v>117</v>
      </c>
      <c r="H28874" s="21">
        <v>572.66999999999996</v>
      </c>
    </row>
    <row r="28875" spans="1:8" customFormat="1" x14ac:dyDescent="0.25">
      <c r="A28875" t="str">
        <f>"441421"</f>
        <v>441421</v>
      </c>
      <c r="B28875" t="s">
        <v>20018</v>
      </c>
      <c r="C28875" t="s">
        <v>598</v>
      </c>
      <c r="D28875" s="21" t="s">
        <v>34</v>
      </c>
      <c r="E28875" s="21" t="s">
        <v>254</v>
      </c>
      <c r="F28875">
        <v>12440038</v>
      </c>
      <c r="G28875" t="s">
        <v>2057</v>
      </c>
      <c r="H28875" s="21">
        <v>572.66999999999996</v>
      </c>
    </row>
    <row r="28876" spans="1:8" customFormat="1" x14ac:dyDescent="0.25">
      <c r="A28876" t="str">
        <f>"7844790"</f>
        <v>7844790</v>
      </c>
      <c r="B28876" t="s">
        <v>20548</v>
      </c>
      <c r="C28876" t="s">
        <v>156</v>
      </c>
      <c r="D28876" s="21" t="s">
        <v>34</v>
      </c>
      <c r="E28876" s="21" t="s">
        <v>1089</v>
      </c>
      <c r="F28876">
        <v>8781176</v>
      </c>
      <c r="G28876" t="s">
        <v>3659</v>
      </c>
      <c r="H28876" s="21">
        <v>572.66999999999996</v>
      </c>
    </row>
    <row r="28877" spans="1:8" customFormat="1" x14ac:dyDescent="0.25">
      <c r="A28877" t="str">
        <f>"533289"</f>
        <v>533289</v>
      </c>
      <c r="B28877" t="s">
        <v>20666</v>
      </c>
      <c r="C28877" t="s">
        <v>1110</v>
      </c>
      <c r="D28877" s="21" t="s">
        <v>34</v>
      </c>
      <c r="E28877" s="21" t="s">
        <v>1089</v>
      </c>
      <c r="F28877">
        <v>12530147</v>
      </c>
      <c r="G28877" t="s">
        <v>1851</v>
      </c>
      <c r="H28877" s="21">
        <v>572.66999999999996</v>
      </c>
    </row>
    <row r="28878" spans="1:8" customFormat="1" x14ac:dyDescent="0.25">
      <c r="A28878" t="str">
        <f>"5936711"</f>
        <v>5936711</v>
      </c>
      <c r="B28878" t="s">
        <v>20851</v>
      </c>
      <c r="C28878" t="s">
        <v>209</v>
      </c>
      <c r="D28878" s="21" t="s">
        <v>34</v>
      </c>
      <c r="E28878" s="21" t="s">
        <v>254</v>
      </c>
      <c r="F28878">
        <v>7590351</v>
      </c>
      <c r="G28878" t="s">
        <v>8495</v>
      </c>
      <c r="H28878" s="21">
        <v>572.66999999999996</v>
      </c>
    </row>
    <row r="28879" spans="1:8" customFormat="1" x14ac:dyDescent="0.25">
      <c r="A28879" t="str">
        <f>"992221"</f>
        <v>992221</v>
      </c>
      <c r="B28879" t="s">
        <v>15420</v>
      </c>
      <c r="C28879" t="s">
        <v>114</v>
      </c>
      <c r="D28879" s="21" t="s">
        <v>34</v>
      </c>
      <c r="E28879" s="21" t="s">
        <v>254</v>
      </c>
      <c r="F28879">
        <v>5990014</v>
      </c>
      <c r="G28879" t="s">
        <v>11225</v>
      </c>
      <c r="H28879" s="21">
        <v>572.66999999999996</v>
      </c>
    </row>
    <row r="28880" spans="1:8" customFormat="1" x14ac:dyDescent="0.25">
      <c r="A28880" t="str">
        <f>"1715829"</f>
        <v>1715829</v>
      </c>
      <c r="B28880" t="s">
        <v>28093</v>
      </c>
      <c r="C28880" t="s">
        <v>43</v>
      </c>
      <c r="D28880" s="21" t="s">
        <v>34</v>
      </c>
      <c r="E28880" s="21" t="s">
        <v>35</v>
      </c>
      <c r="F28880">
        <v>10170029</v>
      </c>
      <c r="G28880" t="s">
        <v>9383</v>
      </c>
      <c r="H28880" s="21">
        <v>572.66999999999996</v>
      </c>
    </row>
    <row r="28881" spans="1:8" customFormat="1" x14ac:dyDescent="0.25">
      <c r="A28881" t="str">
        <f>"9221774"</f>
        <v>9221774</v>
      </c>
      <c r="B28881" t="s">
        <v>9541</v>
      </c>
      <c r="C28881" t="s">
        <v>19332</v>
      </c>
      <c r="D28881" s="21" t="s">
        <v>34</v>
      </c>
      <c r="E28881" s="21" t="s">
        <v>35</v>
      </c>
      <c r="F28881">
        <v>8910861</v>
      </c>
      <c r="G28881" t="s">
        <v>1120</v>
      </c>
      <c r="H28881" s="21">
        <v>572.66999999999996</v>
      </c>
    </row>
    <row r="28882" spans="1:8" customFormat="1" x14ac:dyDescent="0.25">
      <c r="A28882" t="str">
        <f>"3524120"</f>
        <v>3524120</v>
      </c>
      <c r="B28882" t="s">
        <v>20098</v>
      </c>
      <c r="C28882" t="s">
        <v>40</v>
      </c>
      <c r="D28882" s="21" t="s">
        <v>34</v>
      </c>
      <c r="E28882" s="21" t="s">
        <v>71</v>
      </c>
      <c r="F28882">
        <v>3350150</v>
      </c>
      <c r="G28882" t="s">
        <v>6419</v>
      </c>
      <c r="H28882" s="21">
        <v>572.66999999999996</v>
      </c>
    </row>
    <row r="28883" spans="1:8" customFormat="1" x14ac:dyDescent="0.25">
      <c r="A28883" t="str">
        <f>"3712744"</f>
        <v>3712744</v>
      </c>
      <c r="B28883" t="s">
        <v>6352</v>
      </c>
      <c r="C28883" t="s">
        <v>1665</v>
      </c>
      <c r="D28883" s="21" t="s">
        <v>34</v>
      </c>
      <c r="E28883" s="21" t="s">
        <v>254</v>
      </c>
      <c r="F28883">
        <v>4370030</v>
      </c>
      <c r="G28883" t="s">
        <v>14081</v>
      </c>
      <c r="H28883" s="21">
        <v>572.66999999999996</v>
      </c>
    </row>
    <row r="28884" spans="1:8" customFormat="1" x14ac:dyDescent="0.25">
      <c r="A28884" t="str">
        <f>"8018843"</f>
        <v>8018843</v>
      </c>
      <c r="B28884" t="s">
        <v>20594</v>
      </c>
      <c r="C28884" t="s">
        <v>249</v>
      </c>
      <c r="D28884" s="21" t="s">
        <v>34</v>
      </c>
      <c r="E28884" s="21" t="s">
        <v>35</v>
      </c>
      <c r="F28884">
        <v>7800141</v>
      </c>
      <c r="G28884" t="s">
        <v>9939</v>
      </c>
      <c r="H28884" s="21">
        <v>572.66999999999996</v>
      </c>
    </row>
    <row r="28885" spans="1:8" customFormat="1" x14ac:dyDescent="0.25">
      <c r="A28885" t="str">
        <f>"025966"</f>
        <v>025966</v>
      </c>
      <c r="B28885" t="s">
        <v>28094</v>
      </c>
      <c r="C28885" t="s">
        <v>462</v>
      </c>
      <c r="D28885" s="21" t="s">
        <v>34</v>
      </c>
      <c r="E28885" s="21" t="s">
        <v>71</v>
      </c>
      <c r="F28885">
        <v>7020073</v>
      </c>
      <c r="G28885" t="s">
        <v>8304</v>
      </c>
      <c r="H28885" s="21">
        <v>572.66999999999996</v>
      </c>
    </row>
    <row r="28886" spans="1:8" customFormat="1" x14ac:dyDescent="0.25">
      <c r="A28886" t="str">
        <f>"5020913"</f>
        <v>5020913</v>
      </c>
      <c r="B28886" t="s">
        <v>18517</v>
      </c>
      <c r="C28886" t="s">
        <v>269</v>
      </c>
      <c r="D28886" s="21" t="s">
        <v>34</v>
      </c>
      <c r="E28886" s="21" t="s">
        <v>254</v>
      </c>
      <c r="F28886">
        <v>9500121</v>
      </c>
      <c r="G28886" t="s">
        <v>7360</v>
      </c>
      <c r="H28886" s="21">
        <v>572.66999999999996</v>
      </c>
    </row>
    <row r="28887" spans="1:8" customFormat="1" x14ac:dyDescent="0.25">
      <c r="A28887" t="str">
        <f>"5731418"</f>
        <v>5731418</v>
      </c>
      <c r="B28887" t="s">
        <v>8332</v>
      </c>
      <c r="C28887" t="s">
        <v>236</v>
      </c>
      <c r="D28887" s="21" t="s">
        <v>34</v>
      </c>
      <c r="E28887" s="21" t="s">
        <v>71</v>
      </c>
      <c r="F28887">
        <v>6570057</v>
      </c>
      <c r="G28887" t="s">
        <v>8333</v>
      </c>
      <c r="H28887" s="21">
        <v>572.66999999999996</v>
      </c>
    </row>
    <row r="28888" spans="1:8" customFormat="1" x14ac:dyDescent="0.25">
      <c r="A28888" t="str">
        <f>"9244646"</f>
        <v>9244646</v>
      </c>
      <c r="B28888" t="s">
        <v>3904</v>
      </c>
      <c r="C28888" t="s">
        <v>169</v>
      </c>
      <c r="D28888" s="21" t="s">
        <v>34</v>
      </c>
      <c r="E28888" s="21" t="s">
        <v>71</v>
      </c>
      <c r="F28888">
        <v>8920075</v>
      </c>
      <c r="G28888" t="s">
        <v>317</v>
      </c>
      <c r="H28888" s="21">
        <v>572.66999999999996</v>
      </c>
    </row>
    <row r="28889" spans="1:8" customFormat="1" x14ac:dyDescent="0.25">
      <c r="A28889" t="str">
        <f>"6232704"</f>
        <v>6232704</v>
      </c>
      <c r="B28889" t="s">
        <v>28095</v>
      </c>
      <c r="C28889" t="s">
        <v>415</v>
      </c>
      <c r="D28889" s="21" t="s">
        <v>34</v>
      </c>
      <c r="E28889" s="21" t="s">
        <v>254</v>
      </c>
      <c r="F28889">
        <v>7620104</v>
      </c>
      <c r="G28889" t="s">
        <v>635</v>
      </c>
      <c r="H28889" s="21">
        <v>572.66999999999996</v>
      </c>
    </row>
    <row r="28890" spans="1:8" customFormat="1" x14ac:dyDescent="0.25">
      <c r="A28890" t="str">
        <f>"5718086"</f>
        <v>5718086</v>
      </c>
      <c r="B28890" t="s">
        <v>28096</v>
      </c>
      <c r="C28890" t="s">
        <v>3648</v>
      </c>
      <c r="D28890" s="21" t="s">
        <v>34</v>
      </c>
      <c r="E28890" s="21" t="s">
        <v>71</v>
      </c>
      <c r="F28890">
        <v>6570029</v>
      </c>
      <c r="G28890" t="s">
        <v>2977</v>
      </c>
      <c r="H28890" s="21">
        <v>572.66999999999996</v>
      </c>
    </row>
    <row r="28891" spans="1:8" customFormat="1" x14ac:dyDescent="0.25">
      <c r="A28891" t="str">
        <f>"5911546"</f>
        <v>5911546</v>
      </c>
      <c r="B28891" t="s">
        <v>20047</v>
      </c>
      <c r="C28891" t="s">
        <v>415</v>
      </c>
      <c r="D28891" s="21" t="s">
        <v>34</v>
      </c>
      <c r="E28891" s="21" t="s">
        <v>1089</v>
      </c>
      <c r="F28891">
        <v>7590310</v>
      </c>
      <c r="G28891" t="s">
        <v>10278</v>
      </c>
      <c r="H28891" s="21">
        <v>572.66999999999996</v>
      </c>
    </row>
    <row r="28892" spans="1:8" customFormat="1" x14ac:dyDescent="0.25">
      <c r="A28892" t="str">
        <f>"189086"</f>
        <v>189086</v>
      </c>
      <c r="B28892" t="s">
        <v>11860</v>
      </c>
      <c r="C28892" t="s">
        <v>498</v>
      </c>
      <c r="D28892" s="21" t="s">
        <v>34</v>
      </c>
      <c r="E28892" s="21" t="s">
        <v>35</v>
      </c>
      <c r="F28892">
        <v>4180737</v>
      </c>
      <c r="G28892" t="s">
        <v>26856</v>
      </c>
      <c r="H28892" s="21">
        <v>572.66999999999996</v>
      </c>
    </row>
    <row r="28893" spans="1:8" customFormat="1" x14ac:dyDescent="0.25">
      <c r="A28893" t="str">
        <f>"251695"</f>
        <v>251695</v>
      </c>
      <c r="B28893" t="s">
        <v>11571</v>
      </c>
      <c r="C28893" t="s">
        <v>2520</v>
      </c>
      <c r="D28893" s="21" t="s">
        <v>34</v>
      </c>
      <c r="E28893" s="21" t="s">
        <v>1089</v>
      </c>
      <c r="F28893">
        <v>2250110</v>
      </c>
      <c r="G28893" t="s">
        <v>9363</v>
      </c>
      <c r="H28893" s="21">
        <v>572.66999999999996</v>
      </c>
    </row>
    <row r="28894" spans="1:8" customFormat="1" x14ac:dyDescent="0.25">
      <c r="A28894" t="str">
        <f>"4454063"</f>
        <v>4454063</v>
      </c>
      <c r="B28894" t="s">
        <v>7824</v>
      </c>
      <c r="C28894" t="s">
        <v>576</v>
      </c>
      <c r="D28894" s="21" t="s">
        <v>34</v>
      </c>
      <c r="E28894" s="21" t="s">
        <v>35</v>
      </c>
      <c r="F28894">
        <v>12440059</v>
      </c>
      <c r="G28894" t="s">
        <v>6697</v>
      </c>
      <c r="H28894" s="21">
        <v>572.66999999999996</v>
      </c>
    </row>
    <row r="28895" spans="1:8" customFormat="1" x14ac:dyDescent="0.25">
      <c r="A28895" t="str">
        <f>"5615969"</f>
        <v>5615969</v>
      </c>
      <c r="B28895" t="s">
        <v>20275</v>
      </c>
      <c r="C28895" t="s">
        <v>239</v>
      </c>
      <c r="D28895" s="21" t="s">
        <v>34</v>
      </c>
      <c r="E28895" s="21" t="s">
        <v>71</v>
      </c>
      <c r="F28895">
        <v>3560025</v>
      </c>
      <c r="G28895" t="s">
        <v>14020</v>
      </c>
      <c r="H28895" s="21">
        <v>572.66999999999996</v>
      </c>
    </row>
    <row r="28896" spans="1:8" customFormat="1" x14ac:dyDescent="0.25">
      <c r="A28896" t="str">
        <f>"443226"</f>
        <v>443226</v>
      </c>
      <c r="B28896" t="s">
        <v>19974</v>
      </c>
      <c r="C28896" t="s">
        <v>2305</v>
      </c>
      <c r="D28896" s="21" t="s">
        <v>34</v>
      </c>
      <c r="E28896" s="21" t="s">
        <v>6185</v>
      </c>
      <c r="F28896">
        <v>12440112</v>
      </c>
      <c r="G28896" t="s">
        <v>9188</v>
      </c>
      <c r="H28896" s="21">
        <v>572.66999999999996</v>
      </c>
    </row>
    <row r="28897" spans="1:8" customFormat="1" x14ac:dyDescent="0.25">
      <c r="A28897" t="str">
        <f>"2615206"</f>
        <v>2615206</v>
      </c>
      <c r="B28897" t="s">
        <v>843</v>
      </c>
      <c r="C28897" t="s">
        <v>33</v>
      </c>
      <c r="D28897" s="21" t="s">
        <v>34</v>
      </c>
      <c r="E28897" s="21" t="s">
        <v>35</v>
      </c>
      <c r="F28897">
        <v>1260062</v>
      </c>
      <c r="G28897" t="s">
        <v>6156</v>
      </c>
      <c r="H28897" s="21">
        <v>572.54</v>
      </c>
    </row>
    <row r="28898" spans="1:8" customFormat="1" x14ac:dyDescent="0.25">
      <c r="A28898" t="str">
        <f>"189791"</f>
        <v>189791</v>
      </c>
      <c r="B28898" t="s">
        <v>28097</v>
      </c>
      <c r="C28898" t="s">
        <v>249</v>
      </c>
      <c r="D28898" s="21" t="s">
        <v>34</v>
      </c>
      <c r="E28898" s="21" t="s">
        <v>35</v>
      </c>
      <c r="F28898">
        <v>4180530</v>
      </c>
      <c r="G28898" t="s">
        <v>3622</v>
      </c>
      <c r="H28898" s="21">
        <v>572.5</v>
      </c>
    </row>
    <row r="28899" spans="1:8" customFormat="1" x14ac:dyDescent="0.25">
      <c r="A28899" t="str">
        <f>"5981982"</f>
        <v>5981982</v>
      </c>
      <c r="B28899" t="s">
        <v>18487</v>
      </c>
      <c r="C28899" t="s">
        <v>119</v>
      </c>
      <c r="D28899" s="21" t="s">
        <v>34</v>
      </c>
      <c r="E28899" s="21" t="s">
        <v>35</v>
      </c>
      <c r="F28899">
        <v>7590354</v>
      </c>
      <c r="G28899" t="s">
        <v>5786</v>
      </c>
      <c r="H28899" s="21">
        <v>572.5</v>
      </c>
    </row>
    <row r="28900" spans="1:8" customFormat="1" x14ac:dyDescent="0.25">
      <c r="A28900" t="str">
        <f>"3115907"</f>
        <v>3115907</v>
      </c>
      <c r="B28900" t="s">
        <v>21065</v>
      </c>
      <c r="C28900" t="s">
        <v>249</v>
      </c>
      <c r="D28900" s="21" t="s">
        <v>34</v>
      </c>
      <c r="E28900" s="21" t="s">
        <v>71</v>
      </c>
      <c r="F28900">
        <v>11310098</v>
      </c>
      <c r="G28900" t="s">
        <v>371</v>
      </c>
      <c r="H28900" s="21">
        <v>572.16999999999996</v>
      </c>
    </row>
    <row r="28901" spans="1:8" customFormat="1" x14ac:dyDescent="0.25">
      <c r="A28901" t="str">
        <f>"3833815"</f>
        <v>3833815</v>
      </c>
      <c r="B28901" t="s">
        <v>3952</v>
      </c>
      <c r="C28901" t="s">
        <v>275</v>
      </c>
      <c r="D28901" s="21" t="s">
        <v>34</v>
      </c>
      <c r="E28901" s="21" t="s">
        <v>35</v>
      </c>
      <c r="F28901">
        <v>1380005</v>
      </c>
      <c r="G28901" t="s">
        <v>3119</v>
      </c>
      <c r="H28901" s="21">
        <v>572.16999999999996</v>
      </c>
    </row>
    <row r="28902" spans="1:8" customFormat="1" x14ac:dyDescent="0.25">
      <c r="A28902" t="str">
        <f>"6936115"</f>
        <v>6936115</v>
      </c>
      <c r="B28902" t="s">
        <v>21132</v>
      </c>
      <c r="C28902" t="s">
        <v>169</v>
      </c>
      <c r="D28902" s="21" t="s">
        <v>34</v>
      </c>
      <c r="E28902" s="21" t="s">
        <v>35</v>
      </c>
      <c r="F28902">
        <v>1690201</v>
      </c>
      <c r="G28902" t="s">
        <v>11274</v>
      </c>
      <c r="H28902" s="21">
        <v>572.16999999999996</v>
      </c>
    </row>
    <row r="28903" spans="1:8" customFormat="1" x14ac:dyDescent="0.25">
      <c r="A28903" t="str">
        <f>"9314688"</f>
        <v>9314688</v>
      </c>
      <c r="B28903" t="s">
        <v>10173</v>
      </c>
      <c r="C28903" t="s">
        <v>3648</v>
      </c>
      <c r="D28903" s="21" t="s">
        <v>34</v>
      </c>
      <c r="E28903" s="21" t="s">
        <v>254</v>
      </c>
      <c r="F28903">
        <v>4410083</v>
      </c>
      <c r="G28903" t="s">
        <v>2333</v>
      </c>
      <c r="H28903" s="21">
        <v>572.16999999999996</v>
      </c>
    </row>
    <row r="28904" spans="1:8" customFormat="1" x14ac:dyDescent="0.25">
      <c r="A28904" t="str">
        <f>"7874703"</f>
        <v>7874703</v>
      </c>
      <c r="B28904" t="s">
        <v>3322</v>
      </c>
      <c r="C28904" t="s">
        <v>4580</v>
      </c>
      <c r="D28904" s="21" t="s">
        <v>34</v>
      </c>
      <c r="E28904" s="21" t="s">
        <v>254</v>
      </c>
      <c r="F28904">
        <v>8780108</v>
      </c>
      <c r="G28904" t="s">
        <v>4329</v>
      </c>
      <c r="H28904" s="21">
        <v>572.16999999999996</v>
      </c>
    </row>
    <row r="28905" spans="1:8" customFormat="1" x14ac:dyDescent="0.25">
      <c r="A28905" t="str">
        <f>"646158"</f>
        <v>646158</v>
      </c>
      <c r="B28905" t="s">
        <v>380</v>
      </c>
      <c r="C28905" t="s">
        <v>1110</v>
      </c>
      <c r="D28905" s="21" t="s">
        <v>34</v>
      </c>
      <c r="E28905" s="21" t="s">
        <v>71</v>
      </c>
      <c r="F28905">
        <v>10640012</v>
      </c>
      <c r="G28905" t="s">
        <v>6475</v>
      </c>
      <c r="H28905" s="21">
        <v>572.16999999999996</v>
      </c>
    </row>
    <row r="28906" spans="1:8" customFormat="1" x14ac:dyDescent="0.25">
      <c r="A28906" t="str">
        <f>"844791"</f>
        <v>844791</v>
      </c>
      <c r="B28906" t="s">
        <v>21104</v>
      </c>
      <c r="C28906" t="s">
        <v>547</v>
      </c>
      <c r="D28906" s="21" t="s">
        <v>34</v>
      </c>
      <c r="E28906" s="21" t="s">
        <v>254</v>
      </c>
      <c r="F28906">
        <v>13840001</v>
      </c>
      <c r="G28906" t="s">
        <v>972</v>
      </c>
      <c r="H28906" s="21">
        <v>572.16999999999996</v>
      </c>
    </row>
    <row r="28907" spans="1:8" customFormat="1" x14ac:dyDescent="0.25">
      <c r="A28907" t="str">
        <f>"668167"</f>
        <v>668167</v>
      </c>
      <c r="B28907" t="s">
        <v>21459</v>
      </c>
      <c r="C28907" t="s">
        <v>462</v>
      </c>
      <c r="D28907" s="21" t="s">
        <v>34</v>
      </c>
      <c r="E28907" s="21" t="s">
        <v>71</v>
      </c>
      <c r="F28907">
        <v>11660020</v>
      </c>
      <c r="G28907" t="s">
        <v>10247</v>
      </c>
      <c r="H28907" s="21">
        <v>572.16999999999996</v>
      </c>
    </row>
    <row r="28908" spans="1:8" customFormat="1" x14ac:dyDescent="0.25">
      <c r="A28908" t="str">
        <f>"5964169"</f>
        <v>5964169</v>
      </c>
      <c r="B28908" t="s">
        <v>17543</v>
      </c>
      <c r="C28908" t="s">
        <v>149</v>
      </c>
      <c r="D28908" s="21" t="s">
        <v>34</v>
      </c>
      <c r="E28908" s="21" t="s">
        <v>35</v>
      </c>
      <c r="F28908">
        <v>7590400</v>
      </c>
      <c r="G28908" t="s">
        <v>26692</v>
      </c>
      <c r="H28908" s="21">
        <v>572.16999999999996</v>
      </c>
    </row>
    <row r="28909" spans="1:8" customFormat="1" x14ac:dyDescent="0.25">
      <c r="A28909" t="str">
        <f>"9535388"</f>
        <v>9535388</v>
      </c>
      <c r="B28909" t="s">
        <v>8804</v>
      </c>
      <c r="C28909" t="s">
        <v>98</v>
      </c>
      <c r="D28909" s="21" t="s">
        <v>34</v>
      </c>
      <c r="E28909" s="21" t="s">
        <v>35</v>
      </c>
      <c r="F28909">
        <v>8951399</v>
      </c>
      <c r="G28909" t="s">
        <v>6745</v>
      </c>
      <c r="H28909" s="21">
        <v>572.16999999999996</v>
      </c>
    </row>
    <row r="28910" spans="1:8" customFormat="1" x14ac:dyDescent="0.25">
      <c r="A28910" t="str">
        <f>"9138505"</f>
        <v>9138505</v>
      </c>
      <c r="B28910" t="s">
        <v>1729</v>
      </c>
      <c r="C28910" t="s">
        <v>119</v>
      </c>
      <c r="D28910" s="21" t="s">
        <v>34</v>
      </c>
      <c r="E28910" s="21" t="s">
        <v>35</v>
      </c>
      <c r="F28910">
        <v>8910303</v>
      </c>
      <c r="G28910" t="s">
        <v>1244</v>
      </c>
      <c r="H28910" s="21">
        <v>572.16999999999996</v>
      </c>
    </row>
    <row r="28911" spans="1:8" customFormat="1" x14ac:dyDescent="0.25">
      <c r="A28911" t="str">
        <f>"8018048"</f>
        <v>8018048</v>
      </c>
      <c r="B28911" t="s">
        <v>20928</v>
      </c>
      <c r="C28911" t="s">
        <v>244</v>
      </c>
      <c r="D28911" s="21" t="s">
        <v>34</v>
      </c>
      <c r="E28911" s="21" t="s">
        <v>35</v>
      </c>
      <c r="F28911">
        <v>7800003</v>
      </c>
      <c r="G28911" t="s">
        <v>276</v>
      </c>
      <c r="H28911" s="21">
        <v>572.16999999999996</v>
      </c>
    </row>
    <row r="28912" spans="1:8" customFormat="1" x14ac:dyDescent="0.25">
      <c r="A28912" t="str">
        <f>"7222775"</f>
        <v>7222775</v>
      </c>
      <c r="B28912" t="s">
        <v>4413</v>
      </c>
      <c r="C28912" t="s">
        <v>40</v>
      </c>
      <c r="D28912" s="21" t="s">
        <v>34</v>
      </c>
      <c r="E28912" s="21" t="s">
        <v>71</v>
      </c>
      <c r="F28912">
        <v>12720021</v>
      </c>
      <c r="G28912" t="s">
        <v>3329</v>
      </c>
      <c r="H28912" s="21">
        <v>572.16999999999996</v>
      </c>
    </row>
    <row r="28913" spans="1:8" customFormat="1" x14ac:dyDescent="0.25">
      <c r="A28913" t="str">
        <f>"0610941"</f>
        <v>0610941</v>
      </c>
      <c r="B28913" t="s">
        <v>20595</v>
      </c>
      <c r="C28913" t="s">
        <v>598</v>
      </c>
      <c r="D28913" s="21" t="s">
        <v>34</v>
      </c>
      <c r="E28913" s="21" t="s">
        <v>254</v>
      </c>
      <c r="F28913">
        <v>13060114</v>
      </c>
      <c r="G28913" t="s">
        <v>4501</v>
      </c>
      <c r="H28913" s="21">
        <v>572.16999999999996</v>
      </c>
    </row>
    <row r="28914" spans="1:8" customFormat="1" x14ac:dyDescent="0.25">
      <c r="A28914" t="str">
        <f>"9531318"</f>
        <v>9531318</v>
      </c>
      <c r="B28914" t="s">
        <v>19337</v>
      </c>
      <c r="C28914" t="s">
        <v>269</v>
      </c>
      <c r="D28914" s="21" t="s">
        <v>34</v>
      </c>
      <c r="E28914" s="21" t="s">
        <v>254</v>
      </c>
      <c r="F28914">
        <v>8950103</v>
      </c>
      <c r="G28914" t="s">
        <v>440</v>
      </c>
      <c r="H28914" s="21">
        <v>572.16999999999996</v>
      </c>
    </row>
    <row r="28915" spans="1:8" customFormat="1" x14ac:dyDescent="0.25">
      <c r="A28915" t="str">
        <f>"7856153"</f>
        <v>7856153</v>
      </c>
      <c r="B28915" t="s">
        <v>22265</v>
      </c>
      <c r="C28915" t="s">
        <v>1199</v>
      </c>
      <c r="D28915" s="21" t="s">
        <v>34</v>
      </c>
      <c r="E28915" s="21" t="s">
        <v>254</v>
      </c>
      <c r="F28915">
        <v>8780892</v>
      </c>
      <c r="G28915" t="s">
        <v>3021</v>
      </c>
      <c r="H28915" s="21">
        <v>572.16999999999996</v>
      </c>
    </row>
    <row r="28916" spans="1:8" customFormat="1" x14ac:dyDescent="0.25">
      <c r="A28916" t="str">
        <f>"5326250"</f>
        <v>5326250</v>
      </c>
      <c r="B28916" t="s">
        <v>4728</v>
      </c>
      <c r="C28916" t="s">
        <v>253</v>
      </c>
      <c r="D28916" s="21" t="s">
        <v>34</v>
      </c>
      <c r="E28916" s="21" t="s">
        <v>254</v>
      </c>
      <c r="F28916">
        <v>12530046</v>
      </c>
      <c r="G28916" t="s">
        <v>10191</v>
      </c>
      <c r="H28916" s="21">
        <v>572.16999999999996</v>
      </c>
    </row>
    <row r="28917" spans="1:8" customFormat="1" x14ac:dyDescent="0.25">
      <c r="A28917" t="str">
        <f>"671664"</f>
        <v>671664</v>
      </c>
      <c r="B28917" t="s">
        <v>20000</v>
      </c>
      <c r="C28917" t="s">
        <v>20001</v>
      </c>
      <c r="D28917" s="21" t="s">
        <v>34</v>
      </c>
      <c r="E28917" s="21" t="s">
        <v>254</v>
      </c>
      <c r="F28917">
        <v>6670092</v>
      </c>
      <c r="G28917" t="s">
        <v>10845</v>
      </c>
      <c r="H28917" s="21">
        <v>572.16999999999996</v>
      </c>
    </row>
    <row r="28918" spans="1:8" customFormat="1" x14ac:dyDescent="0.25">
      <c r="A28918" t="str">
        <f>"7912231"</f>
        <v>7912231</v>
      </c>
      <c r="B28918" t="s">
        <v>20112</v>
      </c>
      <c r="C28918" t="s">
        <v>249</v>
      </c>
      <c r="D28918" s="21" t="s">
        <v>34</v>
      </c>
      <c r="E28918" s="21" t="s">
        <v>35</v>
      </c>
      <c r="F28918">
        <v>10790036</v>
      </c>
      <c r="G28918" t="s">
        <v>4946</v>
      </c>
      <c r="H28918" s="21">
        <v>572.16999999999996</v>
      </c>
    </row>
    <row r="28919" spans="1:8" customFormat="1" x14ac:dyDescent="0.25">
      <c r="A28919" t="str">
        <f>"135584"</f>
        <v>135584</v>
      </c>
      <c r="B28919" t="s">
        <v>5345</v>
      </c>
      <c r="C28919" t="s">
        <v>239</v>
      </c>
      <c r="D28919" s="21" t="s">
        <v>34</v>
      </c>
      <c r="E28919" s="21" t="s">
        <v>254</v>
      </c>
      <c r="F28919">
        <v>13130139</v>
      </c>
      <c r="G28919" t="s">
        <v>11785</v>
      </c>
      <c r="H28919" s="21">
        <v>572.16999999999996</v>
      </c>
    </row>
    <row r="28920" spans="1:8" customFormat="1" x14ac:dyDescent="0.25">
      <c r="A28920" t="str">
        <f>"5017949"</f>
        <v>5017949</v>
      </c>
      <c r="B28920" t="s">
        <v>2883</v>
      </c>
      <c r="C28920" t="s">
        <v>60</v>
      </c>
      <c r="D28920" s="21" t="s">
        <v>34</v>
      </c>
      <c r="E28920" s="21" t="s">
        <v>35</v>
      </c>
      <c r="F28920">
        <v>9500013</v>
      </c>
      <c r="G28920" t="s">
        <v>992</v>
      </c>
      <c r="H28920" s="21">
        <v>572.16999999999996</v>
      </c>
    </row>
    <row r="28921" spans="1:8" customFormat="1" x14ac:dyDescent="0.25">
      <c r="A28921" t="str">
        <f>"9450919"</f>
        <v>9450919</v>
      </c>
      <c r="B28921" t="s">
        <v>16359</v>
      </c>
      <c r="C28921" t="s">
        <v>288</v>
      </c>
      <c r="D28921" s="21" t="s">
        <v>34</v>
      </c>
      <c r="E28921" s="21" t="s">
        <v>35</v>
      </c>
      <c r="F28921">
        <v>8940459</v>
      </c>
      <c r="G28921" t="s">
        <v>743</v>
      </c>
      <c r="H28921" s="21">
        <v>572.16999999999996</v>
      </c>
    </row>
    <row r="28922" spans="1:8" customFormat="1" x14ac:dyDescent="0.25">
      <c r="A28922" t="str">
        <f>"7623674"</f>
        <v>7623674</v>
      </c>
      <c r="B28922" t="s">
        <v>6483</v>
      </c>
      <c r="C28922" t="s">
        <v>269</v>
      </c>
      <c r="D28922" s="21" t="s">
        <v>34</v>
      </c>
      <c r="E28922" s="21" t="s">
        <v>71</v>
      </c>
      <c r="F28922">
        <v>9760034</v>
      </c>
      <c r="G28922" t="s">
        <v>1242</v>
      </c>
      <c r="H28922" s="21">
        <v>572.16999999999996</v>
      </c>
    </row>
    <row r="28923" spans="1:8" customFormat="1" x14ac:dyDescent="0.25">
      <c r="A28923" t="str">
        <f>"9519549"</f>
        <v>9519549</v>
      </c>
      <c r="B28923" t="s">
        <v>11436</v>
      </c>
      <c r="C28923" t="s">
        <v>124</v>
      </c>
      <c r="D28923" s="21" t="s">
        <v>34</v>
      </c>
      <c r="E28923" s="21" t="s">
        <v>71</v>
      </c>
      <c r="F28923">
        <v>8951449</v>
      </c>
      <c r="G28923" t="s">
        <v>4475</v>
      </c>
      <c r="H28923" s="21">
        <v>572.16999999999996</v>
      </c>
    </row>
    <row r="28924" spans="1:8" customFormat="1" x14ac:dyDescent="0.25">
      <c r="A28924" t="str">
        <f>"407078"</f>
        <v>407078</v>
      </c>
      <c r="B28924" t="s">
        <v>20220</v>
      </c>
      <c r="C28924" t="s">
        <v>564</v>
      </c>
      <c r="D28924" s="21" t="s">
        <v>34</v>
      </c>
      <c r="E28924" s="21" t="s">
        <v>35</v>
      </c>
      <c r="F28924">
        <v>10400024</v>
      </c>
      <c r="G28924" t="s">
        <v>4680</v>
      </c>
      <c r="H28924" s="21">
        <v>572.16999999999996</v>
      </c>
    </row>
    <row r="28925" spans="1:8" customFormat="1" x14ac:dyDescent="0.25">
      <c r="A28925" t="str">
        <f>"4451910"</f>
        <v>4451910</v>
      </c>
      <c r="B28925" t="s">
        <v>11518</v>
      </c>
      <c r="C28925" t="s">
        <v>109</v>
      </c>
      <c r="D28925" s="21" t="s">
        <v>34</v>
      </c>
      <c r="E28925" s="21" t="s">
        <v>35</v>
      </c>
      <c r="F28925">
        <v>12440206</v>
      </c>
      <c r="G28925" t="s">
        <v>10374</v>
      </c>
      <c r="H28925" s="21">
        <v>572.16999999999996</v>
      </c>
    </row>
    <row r="28926" spans="1:8" customFormat="1" x14ac:dyDescent="0.25">
      <c r="A28926" t="str">
        <f>"4439319"</f>
        <v>4439319</v>
      </c>
      <c r="B28926" t="s">
        <v>22754</v>
      </c>
      <c r="C28926" t="s">
        <v>109</v>
      </c>
      <c r="D28926" s="21" t="s">
        <v>34</v>
      </c>
      <c r="E28926" s="21" t="s">
        <v>254</v>
      </c>
      <c r="F28926">
        <v>12440073</v>
      </c>
      <c r="G28926" t="s">
        <v>3492</v>
      </c>
      <c r="H28926" s="21">
        <v>572.16999999999996</v>
      </c>
    </row>
    <row r="28927" spans="1:8" customFormat="1" x14ac:dyDescent="0.25">
      <c r="A28927" t="str">
        <f>"2932923"</f>
        <v>2932923</v>
      </c>
      <c r="B28927" t="s">
        <v>3167</v>
      </c>
      <c r="C28927" t="s">
        <v>415</v>
      </c>
      <c r="D28927" s="21" t="s">
        <v>34</v>
      </c>
      <c r="E28927" s="21" t="s">
        <v>35</v>
      </c>
      <c r="F28927">
        <v>3290029</v>
      </c>
      <c r="G28927" t="s">
        <v>11486</v>
      </c>
      <c r="H28927" s="21">
        <v>572.04</v>
      </c>
    </row>
    <row r="28928" spans="1:8" customFormat="1" x14ac:dyDescent="0.25">
      <c r="A28928" t="str">
        <f>"9139105"</f>
        <v>9139105</v>
      </c>
      <c r="B28928" t="s">
        <v>5076</v>
      </c>
      <c r="C28928" t="s">
        <v>631</v>
      </c>
      <c r="D28928" s="21" t="s">
        <v>34</v>
      </c>
      <c r="E28928" s="21" t="s">
        <v>71</v>
      </c>
      <c r="F28928">
        <v>8910102</v>
      </c>
      <c r="G28928" t="s">
        <v>3079</v>
      </c>
      <c r="H28928" s="21">
        <v>571.91999999999996</v>
      </c>
    </row>
    <row r="28929" spans="1:8" customFormat="1" x14ac:dyDescent="0.25">
      <c r="A28929" t="str">
        <f>"9136545"</f>
        <v>9136545</v>
      </c>
      <c r="B28929" t="s">
        <v>22188</v>
      </c>
      <c r="C28929" t="s">
        <v>33</v>
      </c>
      <c r="D28929" s="21" t="s">
        <v>34</v>
      </c>
      <c r="E28929" s="21" t="s">
        <v>35</v>
      </c>
      <c r="F28929">
        <v>8911454</v>
      </c>
      <c r="G28929" t="s">
        <v>8016</v>
      </c>
      <c r="H28929" s="21">
        <v>571.91999999999996</v>
      </c>
    </row>
    <row r="28930" spans="1:8" customFormat="1" x14ac:dyDescent="0.25">
      <c r="A28930" t="str">
        <f>"5983482"</f>
        <v>5983482</v>
      </c>
      <c r="B28930" t="s">
        <v>28098</v>
      </c>
      <c r="C28930" t="s">
        <v>817</v>
      </c>
      <c r="D28930" s="21" t="s">
        <v>34</v>
      </c>
      <c r="E28930" s="21" t="s">
        <v>35</v>
      </c>
      <c r="F28930">
        <v>7590053</v>
      </c>
      <c r="G28930" t="s">
        <v>2825</v>
      </c>
      <c r="H28930" s="21">
        <v>571.91999999999996</v>
      </c>
    </row>
    <row r="28931" spans="1:8" customFormat="1" x14ac:dyDescent="0.25">
      <c r="A28931" t="str">
        <f>"6717528"</f>
        <v>6717528</v>
      </c>
      <c r="B28931" t="s">
        <v>17741</v>
      </c>
      <c r="C28931" t="s">
        <v>62</v>
      </c>
      <c r="D28931" s="21" t="s">
        <v>34</v>
      </c>
      <c r="E28931" s="21" t="s">
        <v>35</v>
      </c>
      <c r="F28931">
        <v>6670207</v>
      </c>
      <c r="G28931" t="s">
        <v>5419</v>
      </c>
      <c r="H28931" s="21">
        <v>571.66999999999996</v>
      </c>
    </row>
    <row r="28932" spans="1:8" customFormat="1" x14ac:dyDescent="0.25">
      <c r="A28932" t="str">
        <f>"536249"</f>
        <v>536249</v>
      </c>
      <c r="B28932" t="s">
        <v>14534</v>
      </c>
      <c r="C28932" t="s">
        <v>10500</v>
      </c>
      <c r="D28932" s="21" t="s">
        <v>34</v>
      </c>
      <c r="E28932" s="21" t="s">
        <v>71</v>
      </c>
      <c r="F28932">
        <v>12530049</v>
      </c>
      <c r="G28932" t="s">
        <v>9306</v>
      </c>
      <c r="H28932" s="21">
        <v>571.66999999999996</v>
      </c>
    </row>
    <row r="28933" spans="1:8" customFormat="1" x14ac:dyDescent="0.25">
      <c r="A28933" t="str">
        <f>"7730789"</f>
        <v>7730789</v>
      </c>
      <c r="B28933" t="s">
        <v>21119</v>
      </c>
      <c r="C28933" t="s">
        <v>204</v>
      </c>
      <c r="D28933" s="21" t="s">
        <v>34</v>
      </c>
      <c r="E28933" s="21" t="s">
        <v>35</v>
      </c>
      <c r="F28933">
        <v>8771446</v>
      </c>
      <c r="G28933" t="s">
        <v>830</v>
      </c>
      <c r="H28933" s="21">
        <v>571.66999999999996</v>
      </c>
    </row>
    <row r="28934" spans="1:8" customFormat="1" x14ac:dyDescent="0.25">
      <c r="A28934" t="str">
        <f>"7625706"</f>
        <v>7625706</v>
      </c>
      <c r="B28934" t="s">
        <v>20867</v>
      </c>
      <c r="C28934" t="s">
        <v>1146</v>
      </c>
      <c r="D28934" s="21" t="s">
        <v>34</v>
      </c>
      <c r="E28934" s="21" t="s">
        <v>254</v>
      </c>
      <c r="F28934">
        <v>9760403</v>
      </c>
      <c r="G28934" t="s">
        <v>11140</v>
      </c>
      <c r="H28934" s="21">
        <v>571.66999999999996</v>
      </c>
    </row>
    <row r="28935" spans="1:8" customFormat="1" x14ac:dyDescent="0.25">
      <c r="A28935" t="str">
        <f>"1716018"</f>
        <v>1716018</v>
      </c>
      <c r="B28935" t="s">
        <v>28099</v>
      </c>
      <c r="C28935" t="s">
        <v>119</v>
      </c>
      <c r="D28935" s="21" t="s">
        <v>34</v>
      </c>
      <c r="E28935" s="21" t="s">
        <v>71</v>
      </c>
      <c r="F28935">
        <v>10170064</v>
      </c>
      <c r="G28935" t="s">
        <v>1900</v>
      </c>
      <c r="H28935" s="21">
        <v>571.66999999999996</v>
      </c>
    </row>
    <row r="28936" spans="1:8" customFormat="1" x14ac:dyDescent="0.25">
      <c r="A28936" t="str">
        <f>"1419807"</f>
        <v>1419807</v>
      </c>
      <c r="B28936" t="s">
        <v>20014</v>
      </c>
      <c r="C28936" t="s">
        <v>2907</v>
      </c>
      <c r="D28936" s="21" t="s">
        <v>34</v>
      </c>
      <c r="E28936" s="21" t="s">
        <v>35</v>
      </c>
      <c r="F28936">
        <v>9140228</v>
      </c>
      <c r="G28936" t="s">
        <v>16772</v>
      </c>
      <c r="H28936" s="21">
        <v>571.66999999999996</v>
      </c>
    </row>
    <row r="28937" spans="1:8" customFormat="1" x14ac:dyDescent="0.25">
      <c r="A28937" t="str">
        <f>"173415"</f>
        <v>173415</v>
      </c>
      <c r="B28937" t="s">
        <v>650</v>
      </c>
      <c r="C28937" t="s">
        <v>246</v>
      </c>
      <c r="D28937" s="21" t="s">
        <v>34</v>
      </c>
      <c r="E28937" s="21" t="s">
        <v>254</v>
      </c>
      <c r="F28937">
        <v>10170214</v>
      </c>
      <c r="G28937" t="s">
        <v>5533</v>
      </c>
      <c r="H28937" s="21">
        <v>571.66999999999996</v>
      </c>
    </row>
    <row r="28938" spans="1:8" customFormat="1" x14ac:dyDescent="0.25">
      <c r="A28938" t="str">
        <f>"7623643"</f>
        <v>7623643</v>
      </c>
      <c r="B28938" t="s">
        <v>556</v>
      </c>
      <c r="C28938" t="s">
        <v>187</v>
      </c>
      <c r="D28938" s="21" t="s">
        <v>34</v>
      </c>
      <c r="E28938" s="21" t="s">
        <v>35</v>
      </c>
      <c r="F28938">
        <v>9760414</v>
      </c>
      <c r="G28938" t="s">
        <v>142</v>
      </c>
      <c r="H28938" s="21">
        <v>571.66999999999996</v>
      </c>
    </row>
    <row r="28939" spans="1:8" customFormat="1" x14ac:dyDescent="0.25">
      <c r="A28939" t="str">
        <f>"2212821"</f>
        <v>2212821</v>
      </c>
      <c r="B28939" t="s">
        <v>9281</v>
      </c>
      <c r="C28939" t="s">
        <v>652</v>
      </c>
      <c r="D28939" s="21" t="s">
        <v>34</v>
      </c>
      <c r="E28939" s="21" t="s">
        <v>1089</v>
      </c>
      <c r="F28939">
        <v>3220033</v>
      </c>
      <c r="G28939" t="s">
        <v>657</v>
      </c>
      <c r="H28939" s="21">
        <v>571.66999999999996</v>
      </c>
    </row>
    <row r="28940" spans="1:8" customFormat="1" x14ac:dyDescent="0.25">
      <c r="A28940" t="str">
        <f>"422041"</f>
        <v>422041</v>
      </c>
      <c r="B28940" t="s">
        <v>1737</v>
      </c>
      <c r="C28940" t="s">
        <v>1231</v>
      </c>
      <c r="D28940" s="21" t="s">
        <v>34</v>
      </c>
      <c r="E28940" s="21" t="s">
        <v>254</v>
      </c>
      <c r="F28940">
        <v>1420110</v>
      </c>
      <c r="G28940" t="s">
        <v>3928</v>
      </c>
      <c r="H28940" s="21">
        <v>571.66999999999996</v>
      </c>
    </row>
    <row r="28941" spans="1:8" customFormat="1" x14ac:dyDescent="0.25">
      <c r="A28941" t="str">
        <f>"911042"</f>
        <v>911042</v>
      </c>
      <c r="B28941" t="s">
        <v>1669</v>
      </c>
      <c r="C28941" t="s">
        <v>3073</v>
      </c>
      <c r="D28941" s="21" t="s">
        <v>34</v>
      </c>
      <c r="E28941" s="21" t="s">
        <v>254</v>
      </c>
      <c r="F28941">
        <v>8911050</v>
      </c>
      <c r="G28941" t="s">
        <v>1606</v>
      </c>
      <c r="H28941" s="21">
        <v>571.66999999999996</v>
      </c>
    </row>
    <row r="28942" spans="1:8" customFormat="1" x14ac:dyDescent="0.25">
      <c r="A28942" t="str">
        <f>"668100"</f>
        <v>668100</v>
      </c>
      <c r="B28942" t="s">
        <v>306</v>
      </c>
      <c r="C28942" t="s">
        <v>1110</v>
      </c>
      <c r="D28942" s="21" t="s">
        <v>34</v>
      </c>
      <c r="E28942" s="21" t="s">
        <v>254</v>
      </c>
      <c r="F28942">
        <v>11660040</v>
      </c>
      <c r="G28942" t="s">
        <v>17413</v>
      </c>
      <c r="H28942" s="21">
        <v>571.66999999999996</v>
      </c>
    </row>
    <row r="28943" spans="1:8" customFormat="1" x14ac:dyDescent="0.25">
      <c r="A28943" t="str">
        <f>"4433272"</f>
        <v>4433272</v>
      </c>
      <c r="B28943" t="s">
        <v>19602</v>
      </c>
      <c r="C28943" t="s">
        <v>608</v>
      </c>
      <c r="D28943" s="21" t="s">
        <v>34</v>
      </c>
      <c r="E28943" s="21" t="s">
        <v>71</v>
      </c>
      <c r="F28943">
        <v>12440104</v>
      </c>
      <c r="G28943" t="s">
        <v>5862</v>
      </c>
      <c r="H28943" s="21">
        <v>571.66999999999996</v>
      </c>
    </row>
    <row r="28944" spans="1:8" customFormat="1" x14ac:dyDescent="0.25">
      <c r="A28944" t="str">
        <f>"7818133"</f>
        <v>7818133</v>
      </c>
      <c r="B28944" t="s">
        <v>21502</v>
      </c>
      <c r="C28944" t="s">
        <v>3497</v>
      </c>
      <c r="D28944" s="21" t="s">
        <v>34</v>
      </c>
      <c r="E28944" s="21" t="s">
        <v>6185</v>
      </c>
      <c r="F28944">
        <v>8781473</v>
      </c>
      <c r="G28944" t="s">
        <v>1097</v>
      </c>
      <c r="H28944" s="21">
        <v>571.66999999999996</v>
      </c>
    </row>
    <row r="28945" spans="1:8" customFormat="1" x14ac:dyDescent="0.25">
      <c r="A28945" t="str">
        <f>"6233673"</f>
        <v>6233673</v>
      </c>
      <c r="B28945" t="s">
        <v>28100</v>
      </c>
      <c r="C28945" t="s">
        <v>96</v>
      </c>
      <c r="D28945" s="21" t="s">
        <v>34</v>
      </c>
      <c r="E28945" s="21" t="s">
        <v>35</v>
      </c>
      <c r="F28945">
        <v>7620131</v>
      </c>
      <c r="G28945" t="s">
        <v>9562</v>
      </c>
      <c r="H28945" s="21">
        <v>571.66999999999996</v>
      </c>
    </row>
    <row r="28946" spans="1:8" customFormat="1" x14ac:dyDescent="0.25">
      <c r="A28946" t="str">
        <f>"536896"</f>
        <v>536896</v>
      </c>
      <c r="B28946" t="s">
        <v>19166</v>
      </c>
      <c r="C28946" t="s">
        <v>2730</v>
      </c>
      <c r="D28946" s="21" t="s">
        <v>34</v>
      </c>
      <c r="E28946" s="21" t="s">
        <v>254</v>
      </c>
      <c r="F28946">
        <v>12530114</v>
      </c>
      <c r="G28946" t="s">
        <v>1342</v>
      </c>
      <c r="H28946" s="21">
        <v>571.66999999999996</v>
      </c>
    </row>
    <row r="28947" spans="1:8" customFormat="1" x14ac:dyDescent="0.25">
      <c r="A28947" t="str">
        <f>"2219051"</f>
        <v>2219051</v>
      </c>
      <c r="B28947" t="s">
        <v>20667</v>
      </c>
      <c r="C28947" t="s">
        <v>2322</v>
      </c>
      <c r="D28947" s="21" t="s">
        <v>34</v>
      </c>
      <c r="E28947" s="21" t="s">
        <v>35</v>
      </c>
      <c r="F28947">
        <v>3220008</v>
      </c>
      <c r="G28947" t="s">
        <v>6845</v>
      </c>
      <c r="H28947" s="21">
        <v>571.66999999999996</v>
      </c>
    </row>
    <row r="28948" spans="1:8" customFormat="1" x14ac:dyDescent="0.25">
      <c r="A28948" t="str">
        <f>"6315712"</f>
        <v>6315712</v>
      </c>
      <c r="B28948" t="s">
        <v>21293</v>
      </c>
      <c r="C28948" t="s">
        <v>267</v>
      </c>
      <c r="D28948" s="21" t="s">
        <v>34</v>
      </c>
      <c r="E28948" s="21" t="s">
        <v>254</v>
      </c>
      <c r="F28948">
        <v>1630078</v>
      </c>
      <c r="G28948" t="s">
        <v>326</v>
      </c>
      <c r="H28948" s="21">
        <v>571.66999999999996</v>
      </c>
    </row>
    <row r="28949" spans="1:8" customFormat="1" x14ac:dyDescent="0.25">
      <c r="A28949" t="str">
        <f>"1314134"</f>
        <v>1314134</v>
      </c>
      <c r="B28949" t="s">
        <v>19767</v>
      </c>
      <c r="C28949" t="s">
        <v>267</v>
      </c>
      <c r="D28949" s="21" t="s">
        <v>34</v>
      </c>
      <c r="E28949" s="21" t="s">
        <v>254</v>
      </c>
      <c r="F28949">
        <v>13130049</v>
      </c>
      <c r="G28949" t="s">
        <v>13169</v>
      </c>
      <c r="H28949" s="21">
        <v>571.66999999999996</v>
      </c>
    </row>
    <row r="28950" spans="1:8" customFormat="1" x14ac:dyDescent="0.25">
      <c r="A28950" t="str">
        <f>"258515"</f>
        <v>258515</v>
      </c>
      <c r="B28950" t="s">
        <v>7522</v>
      </c>
      <c r="C28950" t="s">
        <v>1841</v>
      </c>
      <c r="D28950" s="21" t="s">
        <v>34</v>
      </c>
      <c r="E28950" s="21" t="s">
        <v>254</v>
      </c>
      <c r="F28950">
        <v>2250176</v>
      </c>
      <c r="G28950" t="s">
        <v>7261</v>
      </c>
      <c r="H28950" s="21">
        <v>571.66999999999996</v>
      </c>
    </row>
    <row r="28951" spans="1:8" customFormat="1" x14ac:dyDescent="0.25">
      <c r="A28951" t="str">
        <f>"6023391"</f>
        <v>6023391</v>
      </c>
      <c r="B28951" t="s">
        <v>2538</v>
      </c>
      <c r="C28951" t="s">
        <v>1110</v>
      </c>
      <c r="D28951" s="21" t="s">
        <v>34</v>
      </c>
      <c r="E28951" s="21" t="s">
        <v>71</v>
      </c>
      <c r="F28951">
        <v>7600069</v>
      </c>
      <c r="G28951" t="s">
        <v>195</v>
      </c>
      <c r="H28951" s="21">
        <v>571.66999999999996</v>
      </c>
    </row>
    <row r="28952" spans="1:8" customFormat="1" x14ac:dyDescent="0.25">
      <c r="A28952" t="str">
        <f>"5975516"</f>
        <v>5975516</v>
      </c>
      <c r="B28952" t="s">
        <v>18936</v>
      </c>
      <c r="C28952" t="s">
        <v>867</v>
      </c>
      <c r="D28952" s="21" t="s">
        <v>34</v>
      </c>
      <c r="E28952" s="21" t="s">
        <v>35</v>
      </c>
      <c r="F28952">
        <v>7590332</v>
      </c>
      <c r="G28952" t="s">
        <v>6094</v>
      </c>
      <c r="H28952" s="21">
        <v>571.66999999999996</v>
      </c>
    </row>
    <row r="28953" spans="1:8" customFormat="1" x14ac:dyDescent="0.25">
      <c r="A28953" t="str">
        <f>"4458364"</f>
        <v>4458364</v>
      </c>
      <c r="B28953" t="s">
        <v>9505</v>
      </c>
      <c r="C28953" t="s">
        <v>781</v>
      </c>
      <c r="D28953" s="21" t="s">
        <v>34</v>
      </c>
      <c r="E28953" s="21" t="s">
        <v>35</v>
      </c>
      <c r="F28953">
        <v>12440266</v>
      </c>
      <c r="G28953" t="s">
        <v>924</v>
      </c>
      <c r="H28953" s="21">
        <v>571.5</v>
      </c>
    </row>
    <row r="28954" spans="1:8" customFormat="1" x14ac:dyDescent="0.25">
      <c r="A28954" t="str">
        <f>"9751808"</f>
        <v>9751808</v>
      </c>
      <c r="B28954" t="s">
        <v>20525</v>
      </c>
      <c r="C28954" t="s">
        <v>415</v>
      </c>
      <c r="D28954" s="21" t="s">
        <v>34</v>
      </c>
      <c r="E28954" s="21" t="s">
        <v>71</v>
      </c>
      <c r="F28954" t="s">
        <v>1403</v>
      </c>
      <c r="G28954" t="s">
        <v>1404</v>
      </c>
      <c r="H28954" s="21">
        <v>571.41999999999996</v>
      </c>
    </row>
    <row r="28955" spans="1:8" customFormat="1" x14ac:dyDescent="0.25">
      <c r="A28955" t="str">
        <f>"7628333"</f>
        <v>7628333</v>
      </c>
      <c r="B28955" t="s">
        <v>8212</v>
      </c>
      <c r="C28955" t="s">
        <v>239</v>
      </c>
      <c r="D28955" s="21" t="s">
        <v>34</v>
      </c>
      <c r="E28955" s="21" t="s">
        <v>1089</v>
      </c>
      <c r="F28955">
        <v>9760269</v>
      </c>
      <c r="G28955" t="s">
        <v>10282</v>
      </c>
      <c r="H28955" s="21">
        <v>571.41999999999996</v>
      </c>
    </row>
    <row r="28956" spans="1:8" customFormat="1" x14ac:dyDescent="0.25">
      <c r="A28956" t="str">
        <f>"7847504"</f>
        <v>7847504</v>
      </c>
      <c r="B28956" t="s">
        <v>19454</v>
      </c>
      <c r="C28956" t="s">
        <v>156</v>
      </c>
      <c r="D28956" s="21" t="s">
        <v>34</v>
      </c>
      <c r="E28956" s="21" t="s">
        <v>254</v>
      </c>
      <c r="F28956">
        <v>8780585</v>
      </c>
      <c r="G28956" t="s">
        <v>4630</v>
      </c>
      <c r="H28956" s="21">
        <v>571.29</v>
      </c>
    </row>
    <row r="28957" spans="1:8" customFormat="1" x14ac:dyDescent="0.25">
      <c r="A28957" t="str">
        <f>"2710279"</f>
        <v>2710279</v>
      </c>
      <c r="B28957" t="s">
        <v>1395</v>
      </c>
      <c r="C28957" t="s">
        <v>169</v>
      </c>
      <c r="D28957" s="21" t="s">
        <v>34</v>
      </c>
      <c r="E28957" s="21" t="s">
        <v>35</v>
      </c>
      <c r="F28957">
        <v>11110013</v>
      </c>
      <c r="G28957" t="s">
        <v>640</v>
      </c>
      <c r="H28957" s="21">
        <v>571.16999999999996</v>
      </c>
    </row>
    <row r="28958" spans="1:8" customFormat="1" x14ac:dyDescent="0.25">
      <c r="A28958" t="str">
        <f>"107161"</f>
        <v>107161</v>
      </c>
      <c r="B28958" t="s">
        <v>22089</v>
      </c>
      <c r="C28958" t="s">
        <v>2479</v>
      </c>
      <c r="D28958" s="21" t="s">
        <v>34</v>
      </c>
      <c r="E28958" s="21" t="s">
        <v>254</v>
      </c>
      <c r="F28958">
        <v>6100015</v>
      </c>
      <c r="G28958" t="s">
        <v>6173</v>
      </c>
      <c r="H28958" s="21">
        <v>571.16999999999996</v>
      </c>
    </row>
    <row r="28959" spans="1:8" customFormat="1" x14ac:dyDescent="0.25">
      <c r="A28959" t="str">
        <f>"762654"</f>
        <v>762654</v>
      </c>
      <c r="B28959" t="s">
        <v>17688</v>
      </c>
      <c r="C28959" t="s">
        <v>1665</v>
      </c>
      <c r="D28959" s="21" t="s">
        <v>34</v>
      </c>
      <c r="E28959" s="21" t="s">
        <v>1089</v>
      </c>
      <c r="F28959">
        <v>9760447</v>
      </c>
      <c r="G28959" t="s">
        <v>5942</v>
      </c>
      <c r="H28959" s="21">
        <v>571.16999999999996</v>
      </c>
    </row>
    <row r="28960" spans="1:8" customFormat="1" x14ac:dyDescent="0.25">
      <c r="A28960" t="str">
        <f>"5320055"</f>
        <v>5320055</v>
      </c>
      <c r="B28960" t="s">
        <v>2669</v>
      </c>
      <c r="C28960" t="s">
        <v>28101</v>
      </c>
      <c r="D28960" s="21" t="s">
        <v>34</v>
      </c>
      <c r="E28960" s="21" t="s">
        <v>1089</v>
      </c>
      <c r="F28960">
        <v>12530093</v>
      </c>
      <c r="G28960" t="s">
        <v>7865</v>
      </c>
      <c r="H28960" s="21">
        <v>571.16999999999996</v>
      </c>
    </row>
    <row r="28961" spans="1:8" customFormat="1" x14ac:dyDescent="0.25">
      <c r="A28961" t="str">
        <f>"7923581"</f>
        <v>7923581</v>
      </c>
      <c r="B28961" t="s">
        <v>19979</v>
      </c>
      <c r="C28961" t="s">
        <v>269</v>
      </c>
      <c r="D28961" s="21" t="s">
        <v>34</v>
      </c>
      <c r="E28961" s="21" t="s">
        <v>35</v>
      </c>
      <c r="F28961">
        <v>10790009</v>
      </c>
      <c r="G28961" t="s">
        <v>1155</v>
      </c>
      <c r="H28961" s="21">
        <v>571.16999999999996</v>
      </c>
    </row>
    <row r="28962" spans="1:8" customFormat="1" x14ac:dyDescent="0.25">
      <c r="A28962" t="str">
        <f>"1418062"</f>
        <v>1418062</v>
      </c>
      <c r="B28962" t="s">
        <v>20671</v>
      </c>
      <c r="C28962" t="s">
        <v>239</v>
      </c>
      <c r="D28962" s="21" t="s">
        <v>34</v>
      </c>
      <c r="E28962" s="21" t="s">
        <v>254</v>
      </c>
      <c r="F28962">
        <v>9140233</v>
      </c>
      <c r="G28962" t="s">
        <v>13269</v>
      </c>
      <c r="H28962" s="21">
        <v>571.16999999999996</v>
      </c>
    </row>
    <row r="28963" spans="1:8" customFormat="1" x14ac:dyDescent="0.25">
      <c r="A28963" t="str">
        <f>"518390"</f>
        <v>518390</v>
      </c>
      <c r="B28963" t="s">
        <v>12907</v>
      </c>
      <c r="C28963" t="s">
        <v>415</v>
      </c>
      <c r="D28963" s="21" t="s">
        <v>34</v>
      </c>
      <c r="E28963" s="21" t="s">
        <v>71</v>
      </c>
      <c r="F28963">
        <v>6510018</v>
      </c>
      <c r="G28963" t="s">
        <v>3055</v>
      </c>
      <c r="H28963" s="21">
        <v>571.16999999999996</v>
      </c>
    </row>
    <row r="28964" spans="1:8" customFormat="1" x14ac:dyDescent="0.25">
      <c r="A28964" t="str">
        <f>"6022848"</f>
        <v>6022848</v>
      </c>
      <c r="B28964" t="s">
        <v>6438</v>
      </c>
      <c r="C28964" t="s">
        <v>302</v>
      </c>
      <c r="D28964" s="21" t="s">
        <v>34</v>
      </c>
      <c r="E28964" s="21" t="s">
        <v>35</v>
      </c>
      <c r="F28964">
        <v>7600004</v>
      </c>
      <c r="G28964" t="s">
        <v>848</v>
      </c>
      <c r="H28964" s="21">
        <v>571.16999999999996</v>
      </c>
    </row>
    <row r="28965" spans="1:8" customFormat="1" x14ac:dyDescent="0.25">
      <c r="A28965" t="str">
        <f>"6225509"</f>
        <v>6225509</v>
      </c>
      <c r="B28965" t="s">
        <v>25304</v>
      </c>
      <c r="C28965" t="s">
        <v>285</v>
      </c>
      <c r="D28965" s="21" t="s">
        <v>34</v>
      </c>
      <c r="E28965" s="21" t="s">
        <v>71</v>
      </c>
      <c r="F28965">
        <v>7620104</v>
      </c>
      <c r="G28965" t="s">
        <v>635</v>
      </c>
      <c r="H28965" s="21">
        <v>571.16999999999996</v>
      </c>
    </row>
    <row r="28966" spans="1:8" customFormat="1" x14ac:dyDescent="0.25">
      <c r="A28966" t="str">
        <f>"8526709"</f>
        <v>8526709</v>
      </c>
      <c r="B28966" t="s">
        <v>7693</v>
      </c>
      <c r="C28966" t="s">
        <v>55</v>
      </c>
      <c r="D28966" s="21" t="s">
        <v>34</v>
      </c>
      <c r="E28966" s="21" t="s">
        <v>71</v>
      </c>
      <c r="F28966">
        <v>12850097</v>
      </c>
      <c r="G28966" t="s">
        <v>4111</v>
      </c>
      <c r="H28966" s="21">
        <v>571.16999999999996</v>
      </c>
    </row>
    <row r="28967" spans="1:8" customFormat="1" x14ac:dyDescent="0.25">
      <c r="A28967" t="str">
        <f>"6315228"</f>
        <v>6315228</v>
      </c>
      <c r="B28967" t="s">
        <v>20187</v>
      </c>
      <c r="C28967" t="s">
        <v>926</v>
      </c>
      <c r="D28967" s="21" t="s">
        <v>34</v>
      </c>
      <c r="E28967" s="21" t="s">
        <v>35</v>
      </c>
      <c r="F28967">
        <v>1630329</v>
      </c>
      <c r="G28967" t="s">
        <v>13763</v>
      </c>
      <c r="H28967" s="21">
        <v>571.16999999999996</v>
      </c>
    </row>
    <row r="28968" spans="1:8" customFormat="1" x14ac:dyDescent="0.25">
      <c r="A28968" t="str">
        <f>"1910107"</f>
        <v>1910107</v>
      </c>
      <c r="B28968" t="s">
        <v>22108</v>
      </c>
      <c r="C28968" t="s">
        <v>239</v>
      </c>
      <c r="D28968" s="21" t="s">
        <v>34</v>
      </c>
      <c r="E28968" s="21" t="s">
        <v>254</v>
      </c>
      <c r="F28968">
        <v>10190111</v>
      </c>
      <c r="G28968" t="s">
        <v>13161</v>
      </c>
      <c r="H28968" s="21">
        <v>571.16999999999996</v>
      </c>
    </row>
    <row r="28969" spans="1:8" customFormat="1" x14ac:dyDescent="0.25">
      <c r="A28969" t="str">
        <f>"413386"</f>
        <v>413386</v>
      </c>
      <c r="B28969" t="s">
        <v>19847</v>
      </c>
      <c r="C28969" t="s">
        <v>169</v>
      </c>
      <c r="D28969" s="21" t="s">
        <v>34</v>
      </c>
      <c r="E28969" s="21" t="s">
        <v>71</v>
      </c>
      <c r="F28969">
        <v>4410636</v>
      </c>
      <c r="G28969" t="s">
        <v>8111</v>
      </c>
      <c r="H28969" s="21">
        <v>571.16999999999996</v>
      </c>
    </row>
    <row r="28970" spans="1:8" customFormat="1" x14ac:dyDescent="0.25">
      <c r="A28970" t="str">
        <f>"3314379"</f>
        <v>3314379</v>
      </c>
      <c r="B28970" t="s">
        <v>2738</v>
      </c>
      <c r="C28970" t="s">
        <v>381</v>
      </c>
      <c r="D28970" s="21" t="s">
        <v>34</v>
      </c>
      <c r="E28970" s="21" t="s">
        <v>6185</v>
      </c>
      <c r="F28970">
        <v>10330040</v>
      </c>
      <c r="G28970" t="s">
        <v>1492</v>
      </c>
      <c r="H28970" s="21">
        <v>571.04</v>
      </c>
    </row>
    <row r="28971" spans="1:8" customFormat="1" x14ac:dyDescent="0.25">
      <c r="A28971" t="str">
        <f>"2517665"</f>
        <v>2517665</v>
      </c>
      <c r="B28971" t="s">
        <v>1460</v>
      </c>
      <c r="C28971" t="s">
        <v>87</v>
      </c>
      <c r="D28971" s="21" t="s">
        <v>34</v>
      </c>
      <c r="E28971" s="21" t="s">
        <v>35</v>
      </c>
      <c r="F28971">
        <v>2250007</v>
      </c>
      <c r="G28971" t="s">
        <v>1137</v>
      </c>
      <c r="H28971" s="21">
        <v>571</v>
      </c>
    </row>
    <row r="28972" spans="1:8" customFormat="1" x14ac:dyDescent="0.25">
      <c r="A28972" t="str">
        <f>"051029"</f>
        <v>051029</v>
      </c>
      <c r="B28972" t="s">
        <v>694</v>
      </c>
      <c r="C28972" t="s">
        <v>28102</v>
      </c>
      <c r="D28972" s="21" t="s">
        <v>34</v>
      </c>
      <c r="E28972" s="21" t="s">
        <v>1089</v>
      </c>
      <c r="F28972">
        <v>13050026</v>
      </c>
      <c r="G28972" t="s">
        <v>18179</v>
      </c>
      <c r="H28972" s="21">
        <v>570.91999999999996</v>
      </c>
    </row>
    <row r="28973" spans="1:8" customFormat="1" x14ac:dyDescent="0.25">
      <c r="A28973" t="str">
        <f>"4426220"</f>
        <v>4426220</v>
      </c>
      <c r="B28973" t="s">
        <v>20803</v>
      </c>
      <c r="C28973" t="s">
        <v>1146</v>
      </c>
      <c r="D28973" s="21" t="s">
        <v>34</v>
      </c>
      <c r="E28973" s="21" t="s">
        <v>1089</v>
      </c>
      <c r="F28973">
        <v>12440024</v>
      </c>
      <c r="G28973" t="s">
        <v>2205</v>
      </c>
      <c r="H28973" s="21">
        <v>570.91999999999996</v>
      </c>
    </row>
    <row r="28974" spans="1:8" customFormat="1" x14ac:dyDescent="0.25">
      <c r="A28974" t="str">
        <f>"7730579"</f>
        <v>7730579</v>
      </c>
      <c r="B28974" t="s">
        <v>22143</v>
      </c>
      <c r="C28974" t="s">
        <v>171</v>
      </c>
      <c r="D28974" s="21" t="s">
        <v>34</v>
      </c>
      <c r="E28974" s="21" t="s">
        <v>71</v>
      </c>
      <c r="F28974">
        <v>8771201</v>
      </c>
      <c r="G28974" t="s">
        <v>9153</v>
      </c>
      <c r="H28974" s="21">
        <v>570.79</v>
      </c>
    </row>
    <row r="28975" spans="1:8" customFormat="1" x14ac:dyDescent="0.25">
      <c r="A28975" t="str">
        <f>"3530033"</f>
        <v>3530033</v>
      </c>
      <c r="B28975" t="s">
        <v>21279</v>
      </c>
      <c r="C28975" t="s">
        <v>486</v>
      </c>
      <c r="D28975" s="21" t="s">
        <v>34</v>
      </c>
      <c r="E28975" s="21" t="s">
        <v>35</v>
      </c>
      <c r="F28975">
        <v>3350055</v>
      </c>
      <c r="G28975" t="s">
        <v>6720</v>
      </c>
      <c r="H28975" s="21">
        <v>570.66999999999996</v>
      </c>
    </row>
    <row r="28976" spans="1:8" customFormat="1" x14ac:dyDescent="0.25">
      <c r="A28976" t="str">
        <f>"594573"</f>
        <v>594573</v>
      </c>
      <c r="B28976" t="s">
        <v>16742</v>
      </c>
      <c r="C28976" t="s">
        <v>528</v>
      </c>
      <c r="D28976" s="21" t="s">
        <v>34</v>
      </c>
      <c r="E28976" s="21" t="s">
        <v>1089</v>
      </c>
      <c r="F28976">
        <v>7590281</v>
      </c>
      <c r="G28976" t="s">
        <v>7165</v>
      </c>
      <c r="H28976" s="21">
        <v>570.66999999999996</v>
      </c>
    </row>
    <row r="28977" spans="1:8" customFormat="1" x14ac:dyDescent="0.25">
      <c r="A28977" t="str">
        <f>"1612896"</f>
        <v>1612896</v>
      </c>
      <c r="B28977" t="s">
        <v>16019</v>
      </c>
      <c r="C28977" t="s">
        <v>500</v>
      </c>
      <c r="D28977" s="21" t="s">
        <v>34</v>
      </c>
      <c r="E28977" s="21" t="s">
        <v>254</v>
      </c>
      <c r="F28977">
        <v>10160240</v>
      </c>
      <c r="G28977" t="s">
        <v>7095</v>
      </c>
      <c r="H28977" s="21">
        <v>570.66999999999996</v>
      </c>
    </row>
    <row r="28978" spans="1:8" customFormat="1" x14ac:dyDescent="0.25">
      <c r="A28978" t="str">
        <f>"653069"</f>
        <v>653069</v>
      </c>
      <c r="B28978" t="s">
        <v>3942</v>
      </c>
      <c r="C28978" t="s">
        <v>267</v>
      </c>
      <c r="D28978" s="21" t="s">
        <v>34</v>
      </c>
      <c r="E28978" s="21" t="s">
        <v>35</v>
      </c>
      <c r="F28978">
        <v>11650017</v>
      </c>
      <c r="G28978" t="s">
        <v>13273</v>
      </c>
      <c r="H28978" s="21">
        <v>570.66999999999996</v>
      </c>
    </row>
    <row r="28979" spans="1:8" customFormat="1" x14ac:dyDescent="0.25">
      <c r="A28979" t="str">
        <f>"7512787"</f>
        <v>7512787</v>
      </c>
      <c r="B28979" t="s">
        <v>19826</v>
      </c>
      <c r="C28979" t="s">
        <v>87</v>
      </c>
      <c r="D28979" s="21" t="s">
        <v>34</v>
      </c>
      <c r="E28979" s="21" t="s">
        <v>71</v>
      </c>
      <c r="F28979">
        <v>8750074</v>
      </c>
      <c r="G28979" t="s">
        <v>698</v>
      </c>
      <c r="H28979" s="21">
        <v>570.66999999999996</v>
      </c>
    </row>
    <row r="28980" spans="1:8" customFormat="1" x14ac:dyDescent="0.25">
      <c r="A28980" t="str">
        <f>"813501"</f>
        <v>813501</v>
      </c>
      <c r="B28980" t="s">
        <v>20981</v>
      </c>
      <c r="C28980" t="s">
        <v>20982</v>
      </c>
      <c r="D28980" s="21" t="s">
        <v>34</v>
      </c>
      <c r="E28980" s="21" t="s">
        <v>71</v>
      </c>
      <c r="F28980">
        <v>11810024</v>
      </c>
      <c r="G28980" t="s">
        <v>2095</v>
      </c>
      <c r="H28980" s="21">
        <v>570.66999999999996</v>
      </c>
    </row>
    <row r="28981" spans="1:8" customFormat="1" x14ac:dyDescent="0.25">
      <c r="A28981" t="str">
        <f>"3012876"</f>
        <v>3012876</v>
      </c>
      <c r="B28981" t="s">
        <v>21384</v>
      </c>
      <c r="C28981" t="s">
        <v>109</v>
      </c>
      <c r="D28981" s="21" t="s">
        <v>34</v>
      </c>
      <c r="E28981" s="21" t="s">
        <v>35</v>
      </c>
      <c r="F28981">
        <v>11300010</v>
      </c>
      <c r="G28981" t="s">
        <v>6282</v>
      </c>
      <c r="H28981" s="21">
        <v>570.66999999999996</v>
      </c>
    </row>
    <row r="28982" spans="1:8" customFormat="1" x14ac:dyDescent="0.25">
      <c r="A28982" t="str">
        <f>"217147"</f>
        <v>217147</v>
      </c>
      <c r="B28982" t="s">
        <v>146</v>
      </c>
      <c r="C28982" t="s">
        <v>267</v>
      </c>
      <c r="D28982" s="21" t="s">
        <v>34</v>
      </c>
      <c r="E28982" s="21" t="s">
        <v>1089</v>
      </c>
      <c r="F28982">
        <v>2210088</v>
      </c>
      <c r="G28982" t="s">
        <v>2896</v>
      </c>
      <c r="H28982" s="21">
        <v>570.66999999999996</v>
      </c>
    </row>
    <row r="28983" spans="1:8" customFormat="1" x14ac:dyDescent="0.25">
      <c r="A28983" t="str">
        <f>"746932"</f>
        <v>746932</v>
      </c>
      <c r="B28983" t="s">
        <v>20845</v>
      </c>
      <c r="C28983" t="s">
        <v>486</v>
      </c>
      <c r="D28983" s="21" t="s">
        <v>34</v>
      </c>
      <c r="E28983" s="21" t="s">
        <v>71</v>
      </c>
      <c r="F28983">
        <v>1740069</v>
      </c>
      <c r="G28983" t="s">
        <v>8151</v>
      </c>
      <c r="H28983" s="21">
        <v>570.66999999999996</v>
      </c>
    </row>
    <row r="28984" spans="1:8" customFormat="1" x14ac:dyDescent="0.25">
      <c r="A28984" t="str">
        <f>"367619"</f>
        <v>367619</v>
      </c>
      <c r="B28984" t="s">
        <v>21136</v>
      </c>
      <c r="C28984" t="s">
        <v>415</v>
      </c>
      <c r="D28984" s="21" t="s">
        <v>34</v>
      </c>
      <c r="E28984" s="21" t="s">
        <v>254</v>
      </c>
      <c r="F28984">
        <v>4360726</v>
      </c>
      <c r="G28984" t="s">
        <v>5506</v>
      </c>
      <c r="H28984" s="21">
        <v>570.66999999999996</v>
      </c>
    </row>
    <row r="28985" spans="1:8" customFormat="1" x14ac:dyDescent="0.25">
      <c r="A28985" t="str">
        <f>"7217720"</f>
        <v>7217720</v>
      </c>
      <c r="B28985" t="s">
        <v>12152</v>
      </c>
      <c r="C28985" t="s">
        <v>62</v>
      </c>
      <c r="D28985" s="21" t="s">
        <v>34</v>
      </c>
      <c r="E28985" s="21" t="s">
        <v>35</v>
      </c>
      <c r="F28985">
        <v>12720108</v>
      </c>
      <c r="G28985" t="s">
        <v>27287</v>
      </c>
      <c r="H28985" s="21">
        <v>570.66999999999996</v>
      </c>
    </row>
    <row r="28986" spans="1:8" customFormat="1" x14ac:dyDescent="0.25">
      <c r="A28986" t="str">
        <f>"8015255"</f>
        <v>8015255</v>
      </c>
      <c r="B28986" t="s">
        <v>28103</v>
      </c>
      <c r="C28986" t="s">
        <v>65</v>
      </c>
      <c r="D28986" s="21" t="s">
        <v>34</v>
      </c>
      <c r="E28986" s="21" t="s">
        <v>35</v>
      </c>
      <c r="F28986">
        <v>7800107</v>
      </c>
      <c r="G28986" t="s">
        <v>10161</v>
      </c>
      <c r="H28986" s="21">
        <v>570.66999999999996</v>
      </c>
    </row>
    <row r="28987" spans="1:8" customFormat="1" x14ac:dyDescent="0.25">
      <c r="A28987" t="str">
        <f>"428664"</f>
        <v>428664</v>
      </c>
      <c r="B28987" t="s">
        <v>24363</v>
      </c>
      <c r="C28987" t="s">
        <v>171</v>
      </c>
      <c r="D28987" s="21" t="s">
        <v>34</v>
      </c>
      <c r="E28987" s="21" t="s">
        <v>71</v>
      </c>
      <c r="F28987">
        <v>1420080</v>
      </c>
      <c r="G28987" t="s">
        <v>10230</v>
      </c>
      <c r="H28987" s="21">
        <v>570.66999999999996</v>
      </c>
    </row>
    <row r="28988" spans="1:8" customFormat="1" x14ac:dyDescent="0.25">
      <c r="A28988" t="str">
        <f>"324611"</f>
        <v>324611</v>
      </c>
      <c r="B28988" t="s">
        <v>22559</v>
      </c>
      <c r="C28988" t="s">
        <v>476</v>
      </c>
      <c r="D28988" s="21" t="s">
        <v>34</v>
      </c>
      <c r="E28988" s="21" t="s">
        <v>71</v>
      </c>
      <c r="F28988">
        <v>11320042</v>
      </c>
      <c r="G28988" t="s">
        <v>234</v>
      </c>
      <c r="H28988" s="21">
        <v>570.66999999999996</v>
      </c>
    </row>
    <row r="28989" spans="1:8" customFormat="1" x14ac:dyDescent="0.25">
      <c r="A28989" t="str">
        <f>"5430756"</f>
        <v>5430756</v>
      </c>
      <c r="B28989" t="s">
        <v>22248</v>
      </c>
      <c r="C28989" t="s">
        <v>249</v>
      </c>
      <c r="D28989" s="21" t="s">
        <v>34</v>
      </c>
      <c r="E28989" s="21" t="s">
        <v>71</v>
      </c>
      <c r="F28989">
        <v>6540056</v>
      </c>
      <c r="G28989" t="s">
        <v>1136</v>
      </c>
      <c r="H28989" s="21">
        <v>570.66999999999996</v>
      </c>
    </row>
    <row r="28990" spans="1:8" customFormat="1" x14ac:dyDescent="0.25">
      <c r="A28990" t="str">
        <f>"0210881"</f>
        <v>0210881</v>
      </c>
      <c r="B28990" t="s">
        <v>19949</v>
      </c>
      <c r="C28990" t="s">
        <v>415</v>
      </c>
      <c r="D28990" s="21" t="s">
        <v>34</v>
      </c>
      <c r="E28990" s="21" t="s">
        <v>71</v>
      </c>
      <c r="F28990">
        <v>7020065</v>
      </c>
      <c r="G28990" t="s">
        <v>4852</v>
      </c>
      <c r="H28990" s="21">
        <v>570.66999999999996</v>
      </c>
    </row>
    <row r="28991" spans="1:8" customFormat="1" x14ac:dyDescent="0.25">
      <c r="A28991" t="str">
        <f>"2214608"</f>
        <v>2214608</v>
      </c>
      <c r="B28991" t="s">
        <v>20408</v>
      </c>
      <c r="C28991" t="s">
        <v>812</v>
      </c>
      <c r="D28991" s="21" t="s">
        <v>34</v>
      </c>
      <c r="E28991" s="21" t="s">
        <v>1089</v>
      </c>
      <c r="F28991">
        <v>3220048</v>
      </c>
      <c r="G28991" t="s">
        <v>26532</v>
      </c>
      <c r="H28991" s="21">
        <v>570.66999999999996</v>
      </c>
    </row>
    <row r="28992" spans="1:8" customFormat="1" x14ac:dyDescent="0.25">
      <c r="A28992" t="str">
        <f>"7513541"</f>
        <v>7513541</v>
      </c>
      <c r="B28992" t="s">
        <v>20110</v>
      </c>
      <c r="C28992" t="s">
        <v>55</v>
      </c>
      <c r="D28992" s="21" t="s">
        <v>34</v>
      </c>
      <c r="E28992" s="21" t="s">
        <v>71</v>
      </c>
      <c r="F28992">
        <v>8751450</v>
      </c>
      <c r="G28992" t="s">
        <v>41</v>
      </c>
      <c r="H28992" s="21">
        <v>570.66999999999996</v>
      </c>
    </row>
    <row r="28993" spans="1:8" customFormat="1" x14ac:dyDescent="0.25">
      <c r="A28993" t="str">
        <f>"593084"</f>
        <v>593084</v>
      </c>
      <c r="B28993" t="s">
        <v>10120</v>
      </c>
      <c r="C28993" t="s">
        <v>2520</v>
      </c>
      <c r="D28993" s="21" t="s">
        <v>34</v>
      </c>
      <c r="E28993" s="21" t="s">
        <v>6185</v>
      </c>
      <c r="F28993">
        <v>7590047</v>
      </c>
      <c r="G28993" t="s">
        <v>5788</v>
      </c>
      <c r="H28993" s="21">
        <v>570.66999999999996</v>
      </c>
    </row>
    <row r="28994" spans="1:8" customFormat="1" x14ac:dyDescent="0.25">
      <c r="A28994" t="str">
        <f>"5621476"</f>
        <v>5621476</v>
      </c>
      <c r="B28994" t="s">
        <v>12043</v>
      </c>
      <c r="C28994" t="s">
        <v>209</v>
      </c>
      <c r="D28994" s="21" t="s">
        <v>34</v>
      </c>
      <c r="E28994" s="21" t="s">
        <v>254</v>
      </c>
      <c r="F28994">
        <v>3560013</v>
      </c>
      <c r="G28994" t="s">
        <v>7924</v>
      </c>
      <c r="H28994" s="21">
        <v>570.66999999999996</v>
      </c>
    </row>
    <row r="28995" spans="1:8" customFormat="1" x14ac:dyDescent="0.25">
      <c r="A28995" t="str">
        <f>"6950074"</f>
        <v>6950074</v>
      </c>
      <c r="B28995" t="s">
        <v>2747</v>
      </c>
      <c r="C28995" t="s">
        <v>576</v>
      </c>
      <c r="D28995" s="21" t="s">
        <v>34</v>
      </c>
      <c r="E28995" s="21" t="s">
        <v>35</v>
      </c>
      <c r="F28995">
        <v>1690220</v>
      </c>
      <c r="G28995" t="s">
        <v>16783</v>
      </c>
      <c r="H28995" s="21">
        <v>570.66999999999996</v>
      </c>
    </row>
    <row r="28996" spans="1:8" customFormat="1" x14ac:dyDescent="0.25">
      <c r="A28996" t="str">
        <f>"455519"</f>
        <v>455519</v>
      </c>
      <c r="B28996" t="s">
        <v>18262</v>
      </c>
      <c r="C28996" t="s">
        <v>269</v>
      </c>
      <c r="D28996" s="21" t="s">
        <v>34</v>
      </c>
      <c r="E28996" s="21" t="s">
        <v>71</v>
      </c>
      <c r="F28996">
        <v>4450589</v>
      </c>
      <c r="G28996" t="s">
        <v>19465</v>
      </c>
      <c r="H28996" s="21">
        <v>570.66999999999996</v>
      </c>
    </row>
    <row r="28997" spans="1:8" customFormat="1" x14ac:dyDescent="0.25">
      <c r="A28997" t="str">
        <f>"6110518"</f>
        <v>6110518</v>
      </c>
      <c r="B28997" t="s">
        <v>1609</v>
      </c>
      <c r="C28997" t="s">
        <v>124</v>
      </c>
      <c r="D28997" s="21" t="s">
        <v>34</v>
      </c>
      <c r="E28997" s="21" t="s">
        <v>71</v>
      </c>
      <c r="F28997">
        <v>12720079</v>
      </c>
      <c r="G28997" t="s">
        <v>4028</v>
      </c>
      <c r="H28997" s="21">
        <v>570.66999999999996</v>
      </c>
    </row>
    <row r="28998" spans="1:8" customFormat="1" x14ac:dyDescent="0.25">
      <c r="A28998" t="str">
        <f>"9238823"</f>
        <v>9238823</v>
      </c>
      <c r="B28998" t="s">
        <v>20115</v>
      </c>
      <c r="C28998" t="s">
        <v>130</v>
      </c>
      <c r="D28998" s="21" t="s">
        <v>34</v>
      </c>
      <c r="E28998" s="21" t="s">
        <v>35</v>
      </c>
      <c r="F28998">
        <v>8921316</v>
      </c>
      <c r="G28998" t="s">
        <v>12326</v>
      </c>
      <c r="H28998" s="21">
        <v>570.66999999999996</v>
      </c>
    </row>
    <row r="28999" spans="1:8" customFormat="1" x14ac:dyDescent="0.25">
      <c r="A28999" t="str">
        <f>"3818363"</f>
        <v>3818363</v>
      </c>
      <c r="B28999" t="s">
        <v>19929</v>
      </c>
      <c r="C28999" t="s">
        <v>40</v>
      </c>
      <c r="D28999" s="21" t="s">
        <v>34</v>
      </c>
      <c r="E28999" s="21" t="s">
        <v>71</v>
      </c>
      <c r="F28999">
        <v>10330078</v>
      </c>
      <c r="G28999" t="s">
        <v>7597</v>
      </c>
      <c r="H28999" s="21">
        <v>570.54</v>
      </c>
    </row>
    <row r="29000" spans="1:8" customFormat="1" x14ac:dyDescent="0.25">
      <c r="A29000" t="str">
        <f>"9458804"</f>
        <v>9458804</v>
      </c>
      <c r="B29000" t="s">
        <v>28104</v>
      </c>
      <c r="C29000" t="s">
        <v>40</v>
      </c>
      <c r="D29000" s="21" t="s">
        <v>34</v>
      </c>
      <c r="E29000" s="21" t="s">
        <v>254</v>
      </c>
      <c r="F29000">
        <v>8940577</v>
      </c>
      <c r="G29000" t="s">
        <v>3774</v>
      </c>
      <c r="H29000" s="21">
        <v>570.54</v>
      </c>
    </row>
    <row r="29001" spans="1:8" customFormat="1" x14ac:dyDescent="0.25">
      <c r="A29001" t="str">
        <f>"769573"</f>
        <v>769573</v>
      </c>
      <c r="B29001" t="s">
        <v>9010</v>
      </c>
      <c r="C29001" t="s">
        <v>55</v>
      </c>
      <c r="D29001" s="21" t="s">
        <v>34</v>
      </c>
      <c r="E29001" s="21" t="s">
        <v>35</v>
      </c>
      <c r="F29001">
        <v>9760425</v>
      </c>
      <c r="G29001" t="s">
        <v>5012</v>
      </c>
      <c r="H29001" s="21">
        <v>570.41999999999996</v>
      </c>
    </row>
    <row r="29002" spans="1:8" customFormat="1" x14ac:dyDescent="0.25">
      <c r="A29002" t="str">
        <f>"6936706"</f>
        <v>6936706</v>
      </c>
      <c r="B29002" t="s">
        <v>21749</v>
      </c>
      <c r="C29002" t="s">
        <v>124</v>
      </c>
      <c r="D29002" s="21" t="s">
        <v>34</v>
      </c>
      <c r="E29002" s="21" t="s">
        <v>71</v>
      </c>
      <c r="F29002">
        <v>1690162</v>
      </c>
      <c r="G29002" t="s">
        <v>7358</v>
      </c>
      <c r="H29002" s="21">
        <v>570.41999999999996</v>
      </c>
    </row>
    <row r="29003" spans="1:8" customFormat="1" x14ac:dyDescent="0.25">
      <c r="A29003" t="str">
        <f>"1320183"</f>
        <v>1320183</v>
      </c>
      <c r="B29003" t="s">
        <v>21945</v>
      </c>
      <c r="C29003" t="s">
        <v>98</v>
      </c>
      <c r="D29003" s="21" t="s">
        <v>34</v>
      </c>
      <c r="E29003" s="21" t="s">
        <v>35</v>
      </c>
      <c r="F29003">
        <v>13130152</v>
      </c>
      <c r="G29003" t="s">
        <v>906</v>
      </c>
      <c r="H29003" s="21">
        <v>570.29</v>
      </c>
    </row>
    <row r="29004" spans="1:8" customFormat="1" x14ac:dyDescent="0.25">
      <c r="A29004" t="str">
        <f>"3825975"</f>
        <v>3825975</v>
      </c>
      <c r="B29004" t="s">
        <v>28105</v>
      </c>
      <c r="C29004" t="s">
        <v>415</v>
      </c>
      <c r="D29004" s="21" t="s">
        <v>34</v>
      </c>
      <c r="E29004" s="21" t="s">
        <v>71</v>
      </c>
      <c r="F29004">
        <v>1380056</v>
      </c>
      <c r="G29004" t="s">
        <v>846</v>
      </c>
      <c r="H29004" s="21">
        <v>570.29</v>
      </c>
    </row>
    <row r="29005" spans="1:8" customFormat="1" x14ac:dyDescent="0.25">
      <c r="A29005" t="str">
        <f>"7834311"</f>
        <v>7834311</v>
      </c>
      <c r="B29005" t="s">
        <v>2755</v>
      </c>
      <c r="C29005" t="s">
        <v>249</v>
      </c>
      <c r="D29005" s="21" t="s">
        <v>34</v>
      </c>
      <c r="E29005" s="21" t="s">
        <v>35</v>
      </c>
      <c r="F29005">
        <v>8780678</v>
      </c>
      <c r="G29005" t="s">
        <v>8556</v>
      </c>
      <c r="H29005" s="21">
        <v>570.16999999999996</v>
      </c>
    </row>
    <row r="29006" spans="1:8" customFormat="1" x14ac:dyDescent="0.25">
      <c r="A29006" t="str">
        <f>"1419345"</f>
        <v>1419345</v>
      </c>
      <c r="B29006" t="s">
        <v>21085</v>
      </c>
      <c r="C29006" t="s">
        <v>114</v>
      </c>
      <c r="D29006" s="21" t="s">
        <v>34</v>
      </c>
      <c r="E29006" s="21" t="s">
        <v>71</v>
      </c>
      <c r="F29006">
        <v>9140009</v>
      </c>
      <c r="G29006" t="s">
        <v>3530</v>
      </c>
      <c r="H29006" s="21">
        <v>570.16999999999996</v>
      </c>
    </row>
    <row r="29007" spans="1:8" customFormat="1" x14ac:dyDescent="0.25">
      <c r="A29007" t="str">
        <f>"4933351"</f>
        <v>4933351</v>
      </c>
      <c r="B29007" t="s">
        <v>6458</v>
      </c>
      <c r="C29007" t="s">
        <v>1110</v>
      </c>
      <c r="D29007" s="21" t="s">
        <v>34</v>
      </c>
      <c r="E29007" s="21" t="s">
        <v>254</v>
      </c>
      <c r="F29007">
        <v>12490037</v>
      </c>
      <c r="G29007" t="s">
        <v>8892</v>
      </c>
      <c r="H29007" s="21">
        <v>570.16999999999996</v>
      </c>
    </row>
    <row r="29008" spans="1:8" customFormat="1" x14ac:dyDescent="0.25">
      <c r="A29008" t="str">
        <f>"703066"</f>
        <v>703066</v>
      </c>
      <c r="B29008" t="s">
        <v>12979</v>
      </c>
      <c r="C29008" t="s">
        <v>598</v>
      </c>
      <c r="D29008" s="21" t="s">
        <v>34</v>
      </c>
      <c r="E29008" s="21" t="s">
        <v>254</v>
      </c>
      <c r="F29008">
        <v>2700018</v>
      </c>
      <c r="G29008" t="s">
        <v>3723</v>
      </c>
      <c r="H29008" s="21">
        <v>570.16999999999996</v>
      </c>
    </row>
    <row r="29009" spans="1:8" customFormat="1" x14ac:dyDescent="0.25">
      <c r="A29009" t="str">
        <f>"4434230"</f>
        <v>4434230</v>
      </c>
      <c r="B29009" t="s">
        <v>5011</v>
      </c>
      <c r="C29009" t="s">
        <v>20186</v>
      </c>
      <c r="D29009" s="21" t="s">
        <v>34</v>
      </c>
      <c r="E29009" s="21" t="s">
        <v>71</v>
      </c>
      <c r="F29009">
        <v>12440017</v>
      </c>
      <c r="G29009" t="s">
        <v>7683</v>
      </c>
      <c r="H29009" s="21">
        <v>570.16999999999996</v>
      </c>
    </row>
    <row r="29010" spans="1:8" customFormat="1" x14ac:dyDescent="0.25">
      <c r="A29010" t="str">
        <f>"2717378"</f>
        <v>2717378</v>
      </c>
      <c r="B29010" t="s">
        <v>20528</v>
      </c>
      <c r="C29010" t="s">
        <v>119</v>
      </c>
      <c r="D29010" s="21" t="s">
        <v>34</v>
      </c>
      <c r="E29010" s="21" t="s">
        <v>71</v>
      </c>
      <c r="F29010">
        <v>9270175</v>
      </c>
      <c r="G29010" t="s">
        <v>1909</v>
      </c>
      <c r="H29010" s="21">
        <v>570.16999999999996</v>
      </c>
    </row>
    <row r="29011" spans="1:8" customFormat="1" x14ac:dyDescent="0.25">
      <c r="A29011" t="str">
        <f>"689639"</f>
        <v>689639</v>
      </c>
      <c r="B29011" t="s">
        <v>14488</v>
      </c>
      <c r="C29011" t="s">
        <v>879</v>
      </c>
      <c r="D29011" s="21" t="s">
        <v>34</v>
      </c>
      <c r="E29011" s="21" t="s">
        <v>254</v>
      </c>
      <c r="F29011">
        <v>6680071</v>
      </c>
      <c r="G29011" t="s">
        <v>2899</v>
      </c>
      <c r="H29011" s="21">
        <v>570.16999999999996</v>
      </c>
    </row>
    <row r="29012" spans="1:8" customFormat="1" x14ac:dyDescent="0.25">
      <c r="A29012" t="str">
        <f>"4218434"</f>
        <v>4218434</v>
      </c>
      <c r="B29012" t="s">
        <v>20296</v>
      </c>
      <c r="C29012" t="s">
        <v>2693</v>
      </c>
      <c r="D29012" s="21" t="s">
        <v>34</v>
      </c>
      <c r="E29012" s="21" t="s">
        <v>254</v>
      </c>
      <c r="F29012">
        <v>1420117</v>
      </c>
      <c r="G29012" t="s">
        <v>2649</v>
      </c>
      <c r="H29012" s="21">
        <v>570.16999999999996</v>
      </c>
    </row>
    <row r="29013" spans="1:8" customFormat="1" x14ac:dyDescent="0.25">
      <c r="A29013" t="str">
        <f>"7612410"</f>
        <v>7612410</v>
      </c>
      <c r="B29013" t="s">
        <v>54</v>
      </c>
      <c r="C29013" t="s">
        <v>1914</v>
      </c>
      <c r="D29013" s="21" t="s">
        <v>34</v>
      </c>
      <c r="E29013" s="21" t="s">
        <v>1089</v>
      </c>
      <c r="F29013">
        <v>9760457</v>
      </c>
      <c r="G29013" t="s">
        <v>6912</v>
      </c>
      <c r="H29013" s="21">
        <v>570.16999999999996</v>
      </c>
    </row>
    <row r="29014" spans="1:8" customFormat="1" x14ac:dyDescent="0.25">
      <c r="A29014" t="str">
        <f>"648639"</f>
        <v>648639</v>
      </c>
      <c r="B29014" t="s">
        <v>15361</v>
      </c>
      <c r="C29014" t="s">
        <v>1025</v>
      </c>
      <c r="D29014" s="21" t="s">
        <v>34</v>
      </c>
      <c r="E29014" s="21" t="s">
        <v>254</v>
      </c>
      <c r="F29014">
        <v>10640013</v>
      </c>
      <c r="G29014" t="s">
        <v>4626</v>
      </c>
      <c r="H29014" s="21">
        <v>570.16999999999996</v>
      </c>
    </row>
    <row r="29015" spans="1:8" customFormat="1" x14ac:dyDescent="0.25">
      <c r="A29015" t="str">
        <f>"824285"</f>
        <v>824285</v>
      </c>
      <c r="B29015" t="s">
        <v>28106</v>
      </c>
      <c r="C29015" t="s">
        <v>28107</v>
      </c>
      <c r="D29015" s="21" t="s">
        <v>34</v>
      </c>
      <c r="E29015" s="21" t="s">
        <v>254</v>
      </c>
      <c r="F29015">
        <v>11820011</v>
      </c>
      <c r="G29015" t="s">
        <v>2611</v>
      </c>
      <c r="H29015" s="21">
        <v>570.16999999999996</v>
      </c>
    </row>
    <row r="29016" spans="1:8" customFormat="1" x14ac:dyDescent="0.25">
      <c r="A29016" t="str">
        <f>"191187"</f>
        <v>191187</v>
      </c>
      <c r="B29016" t="s">
        <v>21748</v>
      </c>
      <c r="C29016" t="s">
        <v>2520</v>
      </c>
      <c r="D29016" s="21" t="s">
        <v>34</v>
      </c>
      <c r="E29016" s="21" t="s">
        <v>254</v>
      </c>
      <c r="F29016">
        <v>10190080</v>
      </c>
      <c r="G29016" t="s">
        <v>1726</v>
      </c>
      <c r="H29016" s="21">
        <v>570.16999999999996</v>
      </c>
    </row>
    <row r="29017" spans="1:8" customFormat="1" x14ac:dyDescent="0.25">
      <c r="A29017" t="str">
        <f>"7210837"</f>
        <v>7210837</v>
      </c>
      <c r="B29017" t="s">
        <v>21210</v>
      </c>
      <c r="C29017" t="s">
        <v>3456</v>
      </c>
      <c r="D29017" s="21" t="s">
        <v>34</v>
      </c>
      <c r="E29017" s="21" t="s">
        <v>35</v>
      </c>
      <c r="F29017">
        <v>12720113</v>
      </c>
      <c r="G29017" t="s">
        <v>21211</v>
      </c>
      <c r="H29017" s="21">
        <v>570.16999999999996</v>
      </c>
    </row>
    <row r="29018" spans="1:8" customFormat="1" x14ac:dyDescent="0.25">
      <c r="A29018" t="str">
        <f>"8019688"</f>
        <v>8019688</v>
      </c>
      <c r="B29018" t="s">
        <v>28108</v>
      </c>
      <c r="C29018" t="s">
        <v>486</v>
      </c>
      <c r="D29018" s="21" t="s">
        <v>34</v>
      </c>
      <c r="E29018" s="21" t="s">
        <v>35</v>
      </c>
      <c r="F29018">
        <v>7800040</v>
      </c>
      <c r="G29018" t="s">
        <v>1448</v>
      </c>
      <c r="H29018" s="21">
        <v>570.16999999999996</v>
      </c>
    </row>
    <row r="29019" spans="1:8" customFormat="1" x14ac:dyDescent="0.25">
      <c r="A29019" t="str">
        <f>"5620037"</f>
        <v>5620037</v>
      </c>
      <c r="B29019" t="s">
        <v>21724</v>
      </c>
      <c r="C29019" t="s">
        <v>127</v>
      </c>
      <c r="D29019" s="21" t="s">
        <v>34</v>
      </c>
      <c r="E29019" s="21" t="s">
        <v>35</v>
      </c>
      <c r="F29019">
        <v>3560094</v>
      </c>
      <c r="G29019" t="s">
        <v>10313</v>
      </c>
      <c r="H29019" s="21">
        <v>570.16999999999996</v>
      </c>
    </row>
    <row r="29020" spans="1:8" customFormat="1" x14ac:dyDescent="0.25">
      <c r="A29020" t="str">
        <f>"9533359"</f>
        <v>9533359</v>
      </c>
      <c r="B29020" t="s">
        <v>6712</v>
      </c>
      <c r="C29020" t="s">
        <v>253</v>
      </c>
      <c r="D29020" s="21" t="s">
        <v>34</v>
      </c>
      <c r="E29020" s="21" t="s">
        <v>71</v>
      </c>
      <c r="F29020">
        <v>8950623</v>
      </c>
      <c r="G29020" t="s">
        <v>684</v>
      </c>
      <c r="H29020" s="21">
        <v>570.16999999999996</v>
      </c>
    </row>
    <row r="29021" spans="1:8" customFormat="1" x14ac:dyDescent="0.25">
      <c r="A29021" t="str">
        <f>"483120"</f>
        <v>483120</v>
      </c>
      <c r="B29021" t="s">
        <v>18040</v>
      </c>
      <c r="C29021" t="s">
        <v>1110</v>
      </c>
      <c r="D29021" s="21" t="s">
        <v>34</v>
      </c>
      <c r="E29021" s="21" t="s">
        <v>254</v>
      </c>
      <c r="F29021">
        <v>11480006</v>
      </c>
      <c r="G29021" t="s">
        <v>3317</v>
      </c>
      <c r="H29021" s="21">
        <v>570.16999999999996</v>
      </c>
    </row>
    <row r="29022" spans="1:8" customFormat="1" x14ac:dyDescent="0.25">
      <c r="A29022" t="str">
        <f>"5325487"</f>
        <v>5325487</v>
      </c>
      <c r="B29022" t="s">
        <v>11138</v>
      </c>
      <c r="C29022" t="s">
        <v>169</v>
      </c>
      <c r="D29022" s="21" t="s">
        <v>34</v>
      </c>
      <c r="E29022" s="21" t="s">
        <v>35</v>
      </c>
      <c r="F29022">
        <v>12530072</v>
      </c>
      <c r="G29022" t="s">
        <v>7342</v>
      </c>
      <c r="H29022" s="21">
        <v>570.16999999999996</v>
      </c>
    </row>
    <row r="29023" spans="1:8" customFormat="1" x14ac:dyDescent="0.25">
      <c r="A29023" t="str">
        <f>"561976"</f>
        <v>561976</v>
      </c>
      <c r="B29023" t="s">
        <v>12495</v>
      </c>
      <c r="C29023" t="s">
        <v>547</v>
      </c>
      <c r="D29023" s="21" t="s">
        <v>34</v>
      </c>
      <c r="E29023" s="21" t="s">
        <v>254</v>
      </c>
      <c r="F29023">
        <v>3560096</v>
      </c>
      <c r="G29023" t="s">
        <v>2771</v>
      </c>
      <c r="H29023" s="21">
        <v>570.16999999999996</v>
      </c>
    </row>
    <row r="29024" spans="1:8" customFormat="1" x14ac:dyDescent="0.25">
      <c r="A29024" t="str">
        <f>"534873"</f>
        <v>534873</v>
      </c>
      <c r="B29024" t="s">
        <v>5223</v>
      </c>
      <c r="C29024" t="s">
        <v>253</v>
      </c>
      <c r="D29024" s="21" t="s">
        <v>34</v>
      </c>
      <c r="E29024" s="21" t="s">
        <v>6185</v>
      </c>
      <c r="F29024">
        <v>12530087</v>
      </c>
      <c r="G29024" t="s">
        <v>3860</v>
      </c>
      <c r="H29024" s="21">
        <v>570.16999999999996</v>
      </c>
    </row>
    <row r="29025" spans="1:8" customFormat="1" x14ac:dyDescent="0.25">
      <c r="A29025" t="str">
        <f>"3320061"</f>
        <v>3320061</v>
      </c>
      <c r="B29025" t="s">
        <v>8344</v>
      </c>
      <c r="C29025" t="s">
        <v>415</v>
      </c>
      <c r="D29025" s="21" t="s">
        <v>34</v>
      </c>
      <c r="E29025" s="21" t="s">
        <v>254</v>
      </c>
      <c r="F29025">
        <v>10330032</v>
      </c>
      <c r="G29025" t="s">
        <v>4408</v>
      </c>
      <c r="H29025" s="21">
        <v>569.66999999999996</v>
      </c>
    </row>
    <row r="29026" spans="1:8" customFormat="1" x14ac:dyDescent="0.25">
      <c r="A29026" t="str">
        <f>"514461"</f>
        <v>514461</v>
      </c>
      <c r="B29026" t="s">
        <v>13790</v>
      </c>
      <c r="C29026" t="s">
        <v>2904</v>
      </c>
      <c r="D29026" s="21" t="s">
        <v>34</v>
      </c>
      <c r="E29026" s="21" t="s">
        <v>1089</v>
      </c>
      <c r="F29026">
        <v>6510002</v>
      </c>
      <c r="G29026" t="s">
        <v>4588</v>
      </c>
      <c r="H29026" s="21">
        <v>569.66999999999996</v>
      </c>
    </row>
    <row r="29027" spans="1:8" customFormat="1" x14ac:dyDescent="0.25">
      <c r="A29027" t="str">
        <f>"8524129"</f>
        <v>8524129</v>
      </c>
      <c r="B29027" t="s">
        <v>19158</v>
      </c>
      <c r="C29027" t="s">
        <v>14987</v>
      </c>
      <c r="D29027" s="21" t="s">
        <v>34</v>
      </c>
      <c r="E29027" s="21" t="s">
        <v>254</v>
      </c>
      <c r="F29027">
        <v>12850008</v>
      </c>
      <c r="G29027" t="s">
        <v>4248</v>
      </c>
      <c r="H29027" s="21">
        <v>569.66999999999996</v>
      </c>
    </row>
    <row r="29028" spans="1:8" customFormat="1" x14ac:dyDescent="0.25">
      <c r="A29028" t="str">
        <f>"8018084"</f>
        <v>8018084</v>
      </c>
      <c r="B29028" t="s">
        <v>28109</v>
      </c>
      <c r="C29028" t="s">
        <v>55</v>
      </c>
      <c r="D29028" s="21" t="s">
        <v>34</v>
      </c>
      <c r="E29028" s="21" t="s">
        <v>71</v>
      </c>
      <c r="F29028">
        <v>7800020</v>
      </c>
      <c r="G29028" t="s">
        <v>11608</v>
      </c>
      <c r="H29028" s="21">
        <v>569.66999999999996</v>
      </c>
    </row>
    <row r="29029" spans="1:8" customFormat="1" x14ac:dyDescent="0.25">
      <c r="A29029" t="str">
        <f>"9521765"</f>
        <v>9521765</v>
      </c>
      <c r="B29029" t="s">
        <v>6894</v>
      </c>
      <c r="C29029" t="s">
        <v>730</v>
      </c>
      <c r="D29029" s="21" t="s">
        <v>34</v>
      </c>
      <c r="E29029" s="21" t="s">
        <v>254</v>
      </c>
      <c r="F29029">
        <v>8950570</v>
      </c>
      <c r="G29029" t="s">
        <v>3226</v>
      </c>
      <c r="H29029" s="21">
        <v>569.66999999999996</v>
      </c>
    </row>
    <row r="29030" spans="1:8" customFormat="1" x14ac:dyDescent="0.25">
      <c r="A29030" t="str">
        <f>"312518"</f>
        <v>312518</v>
      </c>
      <c r="B29030" t="s">
        <v>5575</v>
      </c>
      <c r="C29030" t="s">
        <v>253</v>
      </c>
      <c r="D29030" s="21" t="s">
        <v>34</v>
      </c>
      <c r="E29030" s="21" t="s">
        <v>1089</v>
      </c>
      <c r="F29030">
        <v>11310064</v>
      </c>
      <c r="G29030" t="s">
        <v>931</v>
      </c>
      <c r="H29030" s="21">
        <v>569.66999999999996</v>
      </c>
    </row>
    <row r="29031" spans="1:8" customFormat="1" x14ac:dyDescent="0.25">
      <c r="A29031" t="str">
        <f>"845100"</f>
        <v>845100</v>
      </c>
      <c r="B29031" t="s">
        <v>20697</v>
      </c>
      <c r="C29031" t="s">
        <v>253</v>
      </c>
      <c r="D29031" s="21" t="s">
        <v>34</v>
      </c>
      <c r="E29031" s="21" t="s">
        <v>71</v>
      </c>
      <c r="F29031">
        <v>13840037</v>
      </c>
      <c r="G29031" t="s">
        <v>2019</v>
      </c>
      <c r="H29031" s="21">
        <v>569.66999999999996</v>
      </c>
    </row>
    <row r="29032" spans="1:8" customFormat="1" x14ac:dyDescent="0.25">
      <c r="A29032" t="str">
        <f>"9535689"</f>
        <v>9535689</v>
      </c>
      <c r="B29032" t="s">
        <v>24082</v>
      </c>
      <c r="C29032" t="s">
        <v>33</v>
      </c>
      <c r="D29032" s="21" t="s">
        <v>34</v>
      </c>
      <c r="E29032" s="21" t="s">
        <v>35</v>
      </c>
      <c r="F29032">
        <v>8950262</v>
      </c>
      <c r="G29032" t="s">
        <v>1881</v>
      </c>
      <c r="H29032" s="21">
        <v>569.66999999999996</v>
      </c>
    </row>
    <row r="29033" spans="1:8" customFormat="1" x14ac:dyDescent="0.25">
      <c r="A29033" t="str">
        <f>"736229"</f>
        <v>736229</v>
      </c>
      <c r="B29033" t="s">
        <v>3259</v>
      </c>
      <c r="C29033" t="s">
        <v>249</v>
      </c>
      <c r="D29033" s="21" t="s">
        <v>34</v>
      </c>
      <c r="E29033" s="21" t="s">
        <v>71</v>
      </c>
      <c r="F29033">
        <v>1730074</v>
      </c>
      <c r="G29033" t="s">
        <v>7704</v>
      </c>
      <c r="H29033" s="21">
        <v>569.66999999999996</v>
      </c>
    </row>
    <row r="29034" spans="1:8" customFormat="1" x14ac:dyDescent="0.25">
      <c r="A29034" t="str">
        <f>"8513303"</f>
        <v>8513303</v>
      </c>
      <c r="B29034" t="s">
        <v>21083</v>
      </c>
      <c r="C29034" t="s">
        <v>198</v>
      </c>
      <c r="D29034" s="21" t="s">
        <v>34</v>
      </c>
      <c r="E29034" s="21" t="s">
        <v>35</v>
      </c>
      <c r="F29034">
        <v>12850108</v>
      </c>
      <c r="G29034" t="s">
        <v>11093</v>
      </c>
      <c r="H29034" s="21">
        <v>569.66999999999996</v>
      </c>
    </row>
    <row r="29035" spans="1:8" customFormat="1" x14ac:dyDescent="0.25">
      <c r="A29035" t="str">
        <f>"7220647"</f>
        <v>7220647</v>
      </c>
      <c r="B29035" t="s">
        <v>19674</v>
      </c>
      <c r="C29035" t="s">
        <v>598</v>
      </c>
      <c r="D29035" s="21" t="s">
        <v>34</v>
      </c>
      <c r="E29035" s="21" t="s">
        <v>254</v>
      </c>
      <c r="F29035">
        <v>12720042</v>
      </c>
      <c r="G29035" t="s">
        <v>922</v>
      </c>
      <c r="H29035" s="21">
        <v>569.66999999999996</v>
      </c>
    </row>
    <row r="29036" spans="1:8" customFormat="1" x14ac:dyDescent="0.25">
      <c r="A29036" t="str">
        <f>"3414876"</f>
        <v>3414876</v>
      </c>
      <c r="B29036" t="s">
        <v>19762</v>
      </c>
      <c r="C29036" t="s">
        <v>55</v>
      </c>
      <c r="D29036" s="21" t="s">
        <v>34</v>
      </c>
      <c r="E29036" s="21" t="s">
        <v>71</v>
      </c>
      <c r="F29036">
        <v>11300016</v>
      </c>
      <c r="G29036" t="s">
        <v>157</v>
      </c>
      <c r="H29036" s="21">
        <v>569.66999999999996</v>
      </c>
    </row>
    <row r="29037" spans="1:8" customFormat="1" x14ac:dyDescent="0.25">
      <c r="A29037" t="str">
        <f>"08339"</f>
        <v>08339</v>
      </c>
      <c r="B29037" t="s">
        <v>20130</v>
      </c>
      <c r="C29037" t="s">
        <v>1110</v>
      </c>
      <c r="D29037" s="21" t="s">
        <v>34</v>
      </c>
      <c r="E29037" s="21" t="s">
        <v>254</v>
      </c>
      <c r="F29037">
        <v>6080017</v>
      </c>
      <c r="G29037" t="s">
        <v>5023</v>
      </c>
      <c r="H29037" s="21">
        <v>569.66999999999996</v>
      </c>
    </row>
    <row r="29038" spans="1:8" customFormat="1" x14ac:dyDescent="0.25">
      <c r="A29038" t="str">
        <f>"6725631"</f>
        <v>6725631</v>
      </c>
      <c r="B29038" t="s">
        <v>18082</v>
      </c>
      <c r="C29038" t="s">
        <v>547</v>
      </c>
      <c r="D29038" s="21" t="s">
        <v>34</v>
      </c>
      <c r="E29038" s="21" t="s">
        <v>35</v>
      </c>
      <c r="F29038">
        <v>6670267</v>
      </c>
      <c r="G29038" t="s">
        <v>2244</v>
      </c>
      <c r="H29038" s="21">
        <v>569.66999999999996</v>
      </c>
    </row>
    <row r="29039" spans="1:8" customFormat="1" x14ac:dyDescent="0.25">
      <c r="A29039" t="str">
        <f>"544454"</f>
        <v>544454</v>
      </c>
      <c r="B29039" t="s">
        <v>20174</v>
      </c>
      <c r="C29039" t="s">
        <v>87</v>
      </c>
      <c r="D29039" s="21" t="s">
        <v>34</v>
      </c>
      <c r="E29039" s="21" t="s">
        <v>254</v>
      </c>
      <c r="F29039">
        <v>6540043</v>
      </c>
      <c r="G29039" t="s">
        <v>947</v>
      </c>
      <c r="H29039" s="21">
        <v>569.66999999999996</v>
      </c>
    </row>
    <row r="29040" spans="1:8" customFormat="1" x14ac:dyDescent="0.25">
      <c r="A29040" t="str">
        <f>"5982444"</f>
        <v>5982444</v>
      </c>
      <c r="B29040" t="s">
        <v>2403</v>
      </c>
      <c r="C29040" t="s">
        <v>130</v>
      </c>
      <c r="D29040" s="21" t="s">
        <v>34</v>
      </c>
      <c r="E29040" s="21" t="s">
        <v>71</v>
      </c>
      <c r="F29040">
        <v>7590235</v>
      </c>
      <c r="G29040" t="s">
        <v>5121</v>
      </c>
      <c r="H29040" s="21">
        <v>569.66999999999996</v>
      </c>
    </row>
    <row r="29041" spans="1:8" customFormat="1" x14ac:dyDescent="0.25">
      <c r="A29041" t="str">
        <f>"0616354"</f>
        <v>0616354</v>
      </c>
      <c r="B29041" t="s">
        <v>1111</v>
      </c>
      <c r="C29041" t="s">
        <v>40</v>
      </c>
      <c r="D29041" s="21" t="s">
        <v>34</v>
      </c>
      <c r="E29041" s="21" t="s">
        <v>254</v>
      </c>
      <c r="F29041">
        <v>13060074</v>
      </c>
      <c r="G29041" t="s">
        <v>13510</v>
      </c>
      <c r="H29041" s="21">
        <v>569.66999999999996</v>
      </c>
    </row>
    <row r="29042" spans="1:8" customFormat="1" x14ac:dyDescent="0.25">
      <c r="A29042" t="str">
        <f>"199275"</f>
        <v>199275</v>
      </c>
      <c r="B29042" t="s">
        <v>24163</v>
      </c>
      <c r="C29042" t="s">
        <v>9631</v>
      </c>
      <c r="D29042" s="21" t="s">
        <v>34</v>
      </c>
      <c r="E29042" s="21" t="s">
        <v>35</v>
      </c>
      <c r="F29042">
        <v>10190073</v>
      </c>
      <c r="G29042" t="s">
        <v>2366</v>
      </c>
      <c r="H29042" s="21">
        <v>569.54</v>
      </c>
    </row>
    <row r="29043" spans="1:8" customFormat="1" x14ac:dyDescent="0.25">
      <c r="A29043" t="str">
        <f>"879229"</f>
        <v>879229</v>
      </c>
      <c r="B29043" t="s">
        <v>22221</v>
      </c>
      <c r="C29043" t="s">
        <v>22222</v>
      </c>
      <c r="D29043" s="21" t="s">
        <v>34</v>
      </c>
      <c r="E29043" s="21" t="s">
        <v>35</v>
      </c>
      <c r="F29043">
        <v>11310064</v>
      </c>
      <c r="G29043" t="s">
        <v>931</v>
      </c>
      <c r="H29043" s="21">
        <v>569.5</v>
      </c>
    </row>
    <row r="29044" spans="1:8" customFormat="1" x14ac:dyDescent="0.25">
      <c r="A29044" t="str">
        <f>"7220584"</f>
        <v>7220584</v>
      </c>
      <c r="B29044" t="s">
        <v>21380</v>
      </c>
      <c r="C29044" t="s">
        <v>204</v>
      </c>
      <c r="D29044" s="21" t="s">
        <v>34</v>
      </c>
      <c r="E29044" s="21" t="s">
        <v>71</v>
      </c>
      <c r="F29044">
        <v>12720104</v>
      </c>
      <c r="G29044" t="s">
        <v>224</v>
      </c>
      <c r="H29044" s="21">
        <v>569.41999999999996</v>
      </c>
    </row>
    <row r="29045" spans="1:8" customFormat="1" x14ac:dyDescent="0.25">
      <c r="A29045" t="str">
        <f>"451405"</f>
        <v>451405</v>
      </c>
      <c r="B29045" t="s">
        <v>4335</v>
      </c>
      <c r="C29045" t="s">
        <v>2907</v>
      </c>
      <c r="D29045" s="21" t="s">
        <v>34</v>
      </c>
      <c r="E29045" s="21" t="s">
        <v>254</v>
      </c>
      <c r="F29045">
        <v>4450410</v>
      </c>
      <c r="G29045" t="s">
        <v>26525</v>
      </c>
      <c r="H29045" s="21">
        <v>569.41999999999996</v>
      </c>
    </row>
    <row r="29046" spans="1:8" customFormat="1" x14ac:dyDescent="0.25">
      <c r="A29046" t="str">
        <f>"3725001"</f>
        <v>3725001</v>
      </c>
      <c r="B29046" t="s">
        <v>9576</v>
      </c>
      <c r="C29046" t="s">
        <v>2546</v>
      </c>
      <c r="D29046" s="21" t="s">
        <v>34</v>
      </c>
      <c r="E29046" s="21" t="s">
        <v>254</v>
      </c>
      <c r="F29046">
        <v>4370478</v>
      </c>
      <c r="G29046" t="s">
        <v>4735</v>
      </c>
      <c r="H29046" s="21">
        <v>569.41999999999996</v>
      </c>
    </row>
    <row r="29047" spans="1:8" customFormat="1" x14ac:dyDescent="0.25">
      <c r="A29047" t="str">
        <f>"0113791"</f>
        <v>0113791</v>
      </c>
      <c r="B29047" t="s">
        <v>933</v>
      </c>
      <c r="C29047" t="s">
        <v>156</v>
      </c>
      <c r="D29047" s="21" t="s">
        <v>34</v>
      </c>
      <c r="E29047" s="21" t="s">
        <v>35</v>
      </c>
      <c r="F29047">
        <v>1010061</v>
      </c>
      <c r="G29047" t="s">
        <v>9290</v>
      </c>
      <c r="H29047" s="21">
        <v>569.41999999999996</v>
      </c>
    </row>
    <row r="29048" spans="1:8" customFormat="1" x14ac:dyDescent="0.25">
      <c r="A29048" t="str">
        <f>"5979535"</f>
        <v>5979535</v>
      </c>
      <c r="B29048" t="s">
        <v>28110</v>
      </c>
      <c r="C29048" t="s">
        <v>98</v>
      </c>
      <c r="D29048" s="21" t="s">
        <v>34</v>
      </c>
      <c r="E29048" s="21" t="s">
        <v>35</v>
      </c>
      <c r="F29048">
        <v>7590417</v>
      </c>
      <c r="G29048" t="s">
        <v>10387</v>
      </c>
      <c r="H29048" s="21">
        <v>569.29</v>
      </c>
    </row>
    <row r="29049" spans="1:8" customFormat="1" x14ac:dyDescent="0.25">
      <c r="A29049" t="str">
        <f>"6010472"</f>
        <v>6010472</v>
      </c>
      <c r="B29049" t="s">
        <v>3845</v>
      </c>
      <c r="C29049" t="s">
        <v>415</v>
      </c>
      <c r="D29049" s="21" t="s">
        <v>34</v>
      </c>
      <c r="E29049" s="21" t="s">
        <v>254</v>
      </c>
      <c r="F29049">
        <v>7600086</v>
      </c>
      <c r="G29049" t="s">
        <v>2399</v>
      </c>
      <c r="H29049" s="21">
        <v>569.16999999999996</v>
      </c>
    </row>
    <row r="29050" spans="1:8" customFormat="1" x14ac:dyDescent="0.25">
      <c r="A29050" t="str">
        <f>"3412540"</f>
        <v>3412540</v>
      </c>
      <c r="B29050" t="s">
        <v>2143</v>
      </c>
      <c r="C29050" t="s">
        <v>139</v>
      </c>
      <c r="D29050" s="21" t="s">
        <v>34</v>
      </c>
      <c r="E29050" s="21" t="s">
        <v>71</v>
      </c>
      <c r="F29050">
        <v>11340007</v>
      </c>
      <c r="G29050" t="s">
        <v>2278</v>
      </c>
      <c r="H29050" s="21">
        <v>569.16999999999996</v>
      </c>
    </row>
    <row r="29051" spans="1:8" customFormat="1" x14ac:dyDescent="0.25">
      <c r="A29051" t="str">
        <f>"179027"</f>
        <v>179027</v>
      </c>
      <c r="B29051" t="s">
        <v>2089</v>
      </c>
      <c r="C29051" t="s">
        <v>33</v>
      </c>
      <c r="D29051" s="21" t="s">
        <v>34</v>
      </c>
      <c r="E29051" s="21" t="s">
        <v>35</v>
      </c>
      <c r="F29051">
        <v>10170223</v>
      </c>
      <c r="G29051" t="s">
        <v>7057</v>
      </c>
      <c r="H29051" s="21">
        <v>569.16999999999996</v>
      </c>
    </row>
    <row r="29052" spans="1:8" customFormat="1" x14ac:dyDescent="0.25">
      <c r="A29052" t="str">
        <f>"481930"</f>
        <v>481930</v>
      </c>
      <c r="B29052" t="s">
        <v>28111</v>
      </c>
      <c r="C29052" t="s">
        <v>601</v>
      </c>
      <c r="D29052" s="21" t="s">
        <v>34</v>
      </c>
      <c r="E29052" s="21" t="s">
        <v>35</v>
      </c>
      <c r="F29052">
        <v>11480006</v>
      </c>
      <c r="G29052" t="s">
        <v>3317</v>
      </c>
      <c r="H29052" s="21">
        <v>569.16999999999996</v>
      </c>
    </row>
    <row r="29053" spans="1:8" customFormat="1" x14ac:dyDescent="0.25">
      <c r="A29053" t="str">
        <f>"523214"</f>
        <v>523214</v>
      </c>
      <c r="B29053" t="s">
        <v>20427</v>
      </c>
      <c r="C29053" t="s">
        <v>598</v>
      </c>
      <c r="D29053" s="21" t="s">
        <v>34</v>
      </c>
      <c r="E29053" s="21" t="s">
        <v>6185</v>
      </c>
      <c r="F29053">
        <v>6520040</v>
      </c>
      <c r="G29053" t="s">
        <v>16367</v>
      </c>
      <c r="H29053" s="21">
        <v>569.16999999999996</v>
      </c>
    </row>
    <row r="29054" spans="1:8" customFormat="1" x14ac:dyDescent="0.25">
      <c r="A29054" t="str">
        <f>"6940680"</f>
        <v>6940680</v>
      </c>
      <c r="B29054" t="s">
        <v>1349</v>
      </c>
      <c r="C29054" t="s">
        <v>1110</v>
      </c>
      <c r="D29054" s="21" t="s">
        <v>34</v>
      </c>
      <c r="E29054" s="21" t="s">
        <v>1089</v>
      </c>
      <c r="F29054">
        <v>1690013</v>
      </c>
      <c r="G29054" t="s">
        <v>26900</v>
      </c>
      <c r="H29054" s="21">
        <v>569.16999999999996</v>
      </c>
    </row>
    <row r="29055" spans="1:8" customFormat="1" x14ac:dyDescent="0.25">
      <c r="A29055" t="str">
        <f>"7824779"</f>
        <v>7824779</v>
      </c>
      <c r="B29055" t="s">
        <v>9648</v>
      </c>
      <c r="C29055" t="s">
        <v>486</v>
      </c>
      <c r="D29055" s="21" t="s">
        <v>34</v>
      </c>
      <c r="E29055" s="21" t="s">
        <v>71</v>
      </c>
      <c r="F29055">
        <v>8780678</v>
      </c>
      <c r="G29055" t="s">
        <v>8556</v>
      </c>
      <c r="H29055" s="21">
        <v>569.16999999999996</v>
      </c>
    </row>
    <row r="29056" spans="1:8" customFormat="1" x14ac:dyDescent="0.25">
      <c r="A29056" t="str">
        <f>"536840"</f>
        <v>536840</v>
      </c>
      <c r="B29056" t="s">
        <v>1435</v>
      </c>
      <c r="C29056" t="s">
        <v>169</v>
      </c>
      <c r="D29056" s="21" t="s">
        <v>34</v>
      </c>
      <c r="E29056" s="21" t="s">
        <v>71</v>
      </c>
      <c r="F29056">
        <v>12530033</v>
      </c>
      <c r="G29056" t="s">
        <v>10046</v>
      </c>
      <c r="H29056" s="21">
        <v>569.16999999999996</v>
      </c>
    </row>
    <row r="29057" spans="1:8" customFormat="1" x14ac:dyDescent="0.25">
      <c r="A29057" t="str">
        <f>"3412308"</f>
        <v>3412308</v>
      </c>
      <c r="B29057" t="s">
        <v>20426</v>
      </c>
      <c r="C29057" t="s">
        <v>415</v>
      </c>
      <c r="D29057" s="21" t="s">
        <v>34</v>
      </c>
      <c r="E29057" s="21" t="s">
        <v>254</v>
      </c>
      <c r="F29057">
        <v>11340017</v>
      </c>
      <c r="G29057" t="s">
        <v>10668</v>
      </c>
      <c r="H29057" s="21">
        <v>569.16999999999996</v>
      </c>
    </row>
    <row r="29058" spans="1:8" customFormat="1" x14ac:dyDescent="0.25">
      <c r="A29058" t="str">
        <f>"0614454"</f>
        <v>0614454</v>
      </c>
      <c r="B29058" t="s">
        <v>1264</v>
      </c>
      <c r="C29058" t="s">
        <v>209</v>
      </c>
      <c r="D29058" s="21" t="s">
        <v>34</v>
      </c>
      <c r="E29058" s="21" t="s">
        <v>35</v>
      </c>
      <c r="F29058">
        <v>13060082</v>
      </c>
      <c r="G29058" t="s">
        <v>11729</v>
      </c>
      <c r="H29058" s="21">
        <v>569.16999999999996</v>
      </c>
    </row>
    <row r="29059" spans="1:8" customFormat="1" x14ac:dyDescent="0.25">
      <c r="A29059" t="str">
        <f>"015299"</f>
        <v>015299</v>
      </c>
      <c r="B29059" t="s">
        <v>22758</v>
      </c>
      <c r="C29059" t="s">
        <v>564</v>
      </c>
      <c r="D29059" s="21" t="s">
        <v>34</v>
      </c>
      <c r="E29059" s="21" t="s">
        <v>71</v>
      </c>
      <c r="F29059">
        <v>9760259</v>
      </c>
      <c r="G29059" t="s">
        <v>6926</v>
      </c>
      <c r="H29059" s="21">
        <v>569.16999999999996</v>
      </c>
    </row>
    <row r="29060" spans="1:8" customFormat="1" x14ac:dyDescent="0.25">
      <c r="A29060" t="str">
        <f>"5980590"</f>
        <v>5980590</v>
      </c>
      <c r="B29060" t="s">
        <v>21454</v>
      </c>
      <c r="C29060" t="s">
        <v>119</v>
      </c>
      <c r="D29060" s="21" t="s">
        <v>34</v>
      </c>
      <c r="E29060" s="21" t="s">
        <v>35</v>
      </c>
      <c r="F29060">
        <v>7590072</v>
      </c>
      <c r="G29060" t="s">
        <v>4059</v>
      </c>
      <c r="H29060" s="21">
        <v>569.16999999999996</v>
      </c>
    </row>
    <row r="29061" spans="1:8" customFormat="1" x14ac:dyDescent="0.25">
      <c r="A29061" t="str">
        <f>"7623321"</f>
        <v>7623321</v>
      </c>
      <c r="B29061" t="s">
        <v>15786</v>
      </c>
      <c r="C29061" t="s">
        <v>233</v>
      </c>
      <c r="D29061" s="21" t="s">
        <v>34</v>
      </c>
      <c r="E29061" s="21" t="s">
        <v>71</v>
      </c>
      <c r="F29061">
        <v>9760214</v>
      </c>
      <c r="G29061" t="s">
        <v>12889</v>
      </c>
      <c r="H29061" s="21">
        <v>569.16999999999996</v>
      </c>
    </row>
    <row r="29062" spans="1:8" customFormat="1" x14ac:dyDescent="0.25">
      <c r="A29062" t="str">
        <f>"7624606"</f>
        <v>7624606</v>
      </c>
      <c r="B29062" t="s">
        <v>1405</v>
      </c>
      <c r="C29062" t="s">
        <v>453</v>
      </c>
      <c r="D29062" s="21" t="s">
        <v>34</v>
      </c>
      <c r="E29062" s="21" t="s">
        <v>1089</v>
      </c>
      <c r="F29062">
        <v>9760396</v>
      </c>
      <c r="G29062" t="s">
        <v>3875</v>
      </c>
      <c r="H29062" s="21">
        <v>569.16999999999996</v>
      </c>
    </row>
    <row r="29063" spans="1:8" customFormat="1" x14ac:dyDescent="0.25">
      <c r="A29063" t="str">
        <f>"6018105"</f>
        <v>6018105</v>
      </c>
      <c r="B29063" t="s">
        <v>20129</v>
      </c>
      <c r="C29063" t="s">
        <v>239</v>
      </c>
      <c r="D29063" s="21" t="s">
        <v>34</v>
      </c>
      <c r="E29063" s="21" t="s">
        <v>254</v>
      </c>
      <c r="F29063">
        <v>12440206</v>
      </c>
      <c r="G29063" t="s">
        <v>10374</v>
      </c>
      <c r="H29063" s="21">
        <v>569.16999999999996</v>
      </c>
    </row>
    <row r="29064" spans="1:8" customFormat="1" x14ac:dyDescent="0.25">
      <c r="A29064" t="str">
        <f>"9113788"</f>
        <v>9113788</v>
      </c>
      <c r="B29064" t="s">
        <v>21056</v>
      </c>
      <c r="C29064" t="s">
        <v>33</v>
      </c>
      <c r="D29064" s="21" t="s">
        <v>34</v>
      </c>
      <c r="E29064" s="21" t="s">
        <v>71</v>
      </c>
      <c r="F29064">
        <v>8911458</v>
      </c>
      <c r="G29064" t="s">
        <v>16448</v>
      </c>
      <c r="H29064" s="21">
        <v>569.16999999999996</v>
      </c>
    </row>
    <row r="29065" spans="1:8" customFormat="1" x14ac:dyDescent="0.25">
      <c r="A29065" t="str">
        <f>"1716347"</f>
        <v>1716347</v>
      </c>
      <c r="B29065" t="s">
        <v>1624</v>
      </c>
      <c r="C29065" t="s">
        <v>934</v>
      </c>
      <c r="D29065" s="21" t="s">
        <v>34</v>
      </c>
      <c r="E29065" s="21" t="s">
        <v>35</v>
      </c>
      <c r="F29065">
        <v>10170046</v>
      </c>
      <c r="G29065" t="s">
        <v>7370</v>
      </c>
      <c r="H29065" s="21">
        <v>569.16999999999996</v>
      </c>
    </row>
    <row r="29066" spans="1:8" customFormat="1" x14ac:dyDescent="0.25">
      <c r="A29066" t="str">
        <f>"2938203"</f>
        <v>2938203</v>
      </c>
      <c r="B29066" t="s">
        <v>18233</v>
      </c>
      <c r="C29066" t="s">
        <v>1025</v>
      </c>
      <c r="D29066" s="21" t="s">
        <v>34</v>
      </c>
      <c r="E29066" s="21" t="s">
        <v>35</v>
      </c>
      <c r="F29066">
        <v>3290249</v>
      </c>
      <c r="G29066" t="s">
        <v>7914</v>
      </c>
      <c r="H29066" s="21">
        <v>569.16999999999996</v>
      </c>
    </row>
    <row r="29067" spans="1:8" customFormat="1" x14ac:dyDescent="0.25">
      <c r="A29067" t="str">
        <f>"2514607"</f>
        <v>2514607</v>
      </c>
      <c r="B29067" t="s">
        <v>21386</v>
      </c>
      <c r="C29067" t="s">
        <v>171</v>
      </c>
      <c r="D29067" s="21" t="s">
        <v>34</v>
      </c>
      <c r="E29067" s="21" t="s">
        <v>254</v>
      </c>
      <c r="F29067">
        <v>2250070</v>
      </c>
      <c r="G29067" t="s">
        <v>3923</v>
      </c>
      <c r="H29067" s="21">
        <v>569.16999999999996</v>
      </c>
    </row>
    <row r="29068" spans="1:8" customFormat="1" x14ac:dyDescent="0.25">
      <c r="A29068" t="str">
        <f>"9B369"</f>
        <v>9B369</v>
      </c>
      <c r="B29068" t="s">
        <v>20209</v>
      </c>
      <c r="C29068" t="s">
        <v>55</v>
      </c>
      <c r="D29068" s="21" t="s">
        <v>34</v>
      </c>
      <c r="E29068" s="21" t="s">
        <v>71</v>
      </c>
      <c r="F29068" t="s">
        <v>2653</v>
      </c>
      <c r="G29068" t="s">
        <v>2654</v>
      </c>
      <c r="H29068" s="21">
        <v>569.04</v>
      </c>
    </row>
    <row r="29069" spans="1:8" customFormat="1" x14ac:dyDescent="0.25">
      <c r="A29069" t="str">
        <f>"434643"</f>
        <v>434643</v>
      </c>
      <c r="B29069" t="s">
        <v>5153</v>
      </c>
      <c r="C29069" t="s">
        <v>967</v>
      </c>
      <c r="D29069" s="21" t="s">
        <v>34</v>
      </c>
      <c r="E29069" s="21" t="s">
        <v>35</v>
      </c>
      <c r="F29069">
        <v>1420240</v>
      </c>
      <c r="G29069" t="s">
        <v>9179</v>
      </c>
      <c r="H29069" s="21">
        <v>569.04</v>
      </c>
    </row>
    <row r="29070" spans="1:8" customFormat="1" x14ac:dyDescent="0.25">
      <c r="A29070" t="str">
        <f>"7624628"</f>
        <v>7624628</v>
      </c>
      <c r="B29070" t="s">
        <v>28112</v>
      </c>
      <c r="C29070" t="s">
        <v>13466</v>
      </c>
      <c r="D29070" s="21" t="s">
        <v>34</v>
      </c>
      <c r="E29070" s="21" t="s">
        <v>35</v>
      </c>
      <c r="F29070">
        <v>9760025</v>
      </c>
      <c r="G29070" t="s">
        <v>2620</v>
      </c>
      <c r="H29070" s="21">
        <v>569</v>
      </c>
    </row>
    <row r="29071" spans="1:8" customFormat="1" x14ac:dyDescent="0.25">
      <c r="A29071" t="str">
        <f>"5317742"</f>
        <v>5317742</v>
      </c>
      <c r="B29071" t="s">
        <v>19871</v>
      </c>
      <c r="C29071" t="s">
        <v>209</v>
      </c>
      <c r="D29071" s="21" t="s">
        <v>34</v>
      </c>
      <c r="E29071" s="21" t="s">
        <v>254</v>
      </c>
      <c r="F29071">
        <v>12530010</v>
      </c>
      <c r="G29071" t="s">
        <v>7994</v>
      </c>
      <c r="H29071" s="21">
        <v>568.91999999999996</v>
      </c>
    </row>
    <row r="29072" spans="1:8" customFormat="1" x14ac:dyDescent="0.25">
      <c r="A29072" t="str">
        <f>"7514843"</f>
        <v>7514843</v>
      </c>
      <c r="B29072" t="s">
        <v>13477</v>
      </c>
      <c r="C29072" t="s">
        <v>236</v>
      </c>
      <c r="D29072" s="21" t="s">
        <v>34</v>
      </c>
      <c r="E29072" s="21" t="s">
        <v>35</v>
      </c>
      <c r="F29072">
        <v>8751061</v>
      </c>
      <c r="G29072" t="s">
        <v>26628</v>
      </c>
      <c r="H29072" s="21">
        <v>568.91999999999996</v>
      </c>
    </row>
    <row r="29073" spans="1:8" customFormat="1" x14ac:dyDescent="0.25">
      <c r="A29073" t="str">
        <f>"7879230"</f>
        <v>7879230</v>
      </c>
      <c r="B29073" t="s">
        <v>21731</v>
      </c>
      <c r="C29073" t="s">
        <v>21732</v>
      </c>
      <c r="D29073" s="21" t="s">
        <v>34</v>
      </c>
      <c r="E29073" s="21" t="s">
        <v>35</v>
      </c>
      <c r="F29073">
        <v>8780440</v>
      </c>
      <c r="G29073" t="s">
        <v>6629</v>
      </c>
      <c r="H29073" s="21">
        <v>568.79</v>
      </c>
    </row>
    <row r="29074" spans="1:8" customFormat="1" x14ac:dyDescent="0.25">
      <c r="A29074" t="str">
        <f>"9144720"</f>
        <v>9144720</v>
      </c>
      <c r="B29074" t="s">
        <v>4134</v>
      </c>
      <c r="C29074" t="s">
        <v>2053</v>
      </c>
      <c r="D29074" s="21" t="s">
        <v>34</v>
      </c>
      <c r="E29074" s="21" t="s">
        <v>35</v>
      </c>
      <c r="F29074">
        <v>8910652</v>
      </c>
      <c r="G29074" t="s">
        <v>6533</v>
      </c>
      <c r="H29074" s="21">
        <v>568.79</v>
      </c>
    </row>
    <row r="29075" spans="1:8" customFormat="1" x14ac:dyDescent="0.25">
      <c r="A29075" t="str">
        <f>"7223073"</f>
        <v>7223073</v>
      </c>
      <c r="B29075" t="s">
        <v>28113</v>
      </c>
      <c r="C29075" t="s">
        <v>719</v>
      </c>
      <c r="D29075" s="21" t="s">
        <v>34</v>
      </c>
      <c r="E29075" s="21" t="s">
        <v>35</v>
      </c>
      <c r="F29075">
        <v>12720056</v>
      </c>
      <c r="G29075" t="s">
        <v>9231</v>
      </c>
      <c r="H29075" s="21">
        <v>568.75</v>
      </c>
    </row>
    <row r="29076" spans="1:8" customFormat="1" x14ac:dyDescent="0.25">
      <c r="A29076" t="str">
        <f>"3711254"</f>
        <v>3711254</v>
      </c>
      <c r="B29076" t="s">
        <v>8377</v>
      </c>
      <c r="C29076" t="s">
        <v>2907</v>
      </c>
      <c r="D29076" s="21" t="s">
        <v>34</v>
      </c>
      <c r="E29076" s="21" t="s">
        <v>254</v>
      </c>
      <c r="F29076">
        <v>4370349</v>
      </c>
      <c r="G29076" t="s">
        <v>2287</v>
      </c>
      <c r="H29076" s="21">
        <v>568.66999999999996</v>
      </c>
    </row>
    <row r="29077" spans="1:8" customFormat="1" x14ac:dyDescent="0.25">
      <c r="A29077" t="str">
        <f>"5020296"</f>
        <v>5020296</v>
      </c>
      <c r="B29077" t="s">
        <v>9417</v>
      </c>
      <c r="C29077" t="s">
        <v>328</v>
      </c>
      <c r="D29077" s="21" t="s">
        <v>34</v>
      </c>
      <c r="E29077" s="21" t="s">
        <v>71</v>
      </c>
      <c r="F29077">
        <v>9500088</v>
      </c>
      <c r="G29077" t="s">
        <v>15949</v>
      </c>
      <c r="H29077" s="21">
        <v>568.66999999999996</v>
      </c>
    </row>
    <row r="29078" spans="1:8" customFormat="1" x14ac:dyDescent="0.25">
      <c r="A29078" t="str">
        <f>"6111547"</f>
        <v>6111547</v>
      </c>
      <c r="B29078" t="s">
        <v>11317</v>
      </c>
      <c r="C29078" t="s">
        <v>1782</v>
      </c>
      <c r="D29078" s="21" t="s">
        <v>34</v>
      </c>
      <c r="E29078" s="21" t="s">
        <v>35</v>
      </c>
      <c r="F29078">
        <v>9610144</v>
      </c>
      <c r="G29078" t="s">
        <v>6311</v>
      </c>
      <c r="H29078" s="21">
        <v>568.66999999999996</v>
      </c>
    </row>
    <row r="29079" spans="1:8" customFormat="1" x14ac:dyDescent="0.25">
      <c r="A29079" t="str">
        <f>"9448560"</f>
        <v>9448560</v>
      </c>
      <c r="B29079" t="s">
        <v>20346</v>
      </c>
      <c r="C29079" t="s">
        <v>20347</v>
      </c>
      <c r="D29079" s="21" t="s">
        <v>34</v>
      </c>
      <c r="E29079" s="21" t="s">
        <v>35</v>
      </c>
      <c r="F29079">
        <v>8940926</v>
      </c>
      <c r="G29079" t="s">
        <v>4065</v>
      </c>
      <c r="H29079" s="21">
        <v>568.66999999999996</v>
      </c>
    </row>
    <row r="29080" spans="1:8" customFormat="1" x14ac:dyDescent="0.25">
      <c r="A29080" t="str">
        <f>"571308"</f>
        <v>571308</v>
      </c>
      <c r="B29080" t="s">
        <v>556</v>
      </c>
      <c r="C29080" t="s">
        <v>7740</v>
      </c>
      <c r="D29080" s="21" t="s">
        <v>34</v>
      </c>
      <c r="E29080" s="21" t="s">
        <v>71</v>
      </c>
      <c r="F29080">
        <v>6570190</v>
      </c>
      <c r="G29080" t="s">
        <v>622</v>
      </c>
      <c r="H29080" s="21">
        <v>568.66999999999996</v>
      </c>
    </row>
    <row r="29081" spans="1:8" customFormat="1" x14ac:dyDescent="0.25">
      <c r="A29081" t="str">
        <f>"5937750"</f>
        <v>5937750</v>
      </c>
      <c r="B29081" t="s">
        <v>18486</v>
      </c>
      <c r="C29081" t="s">
        <v>462</v>
      </c>
      <c r="D29081" s="21" t="s">
        <v>34</v>
      </c>
      <c r="E29081" s="21" t="s">
        <v>71</v>
      </c>
      <c r="F29081">
        <v>7590082</v>
      </c>
      <c r="G29081" t="s">
        <v>10063</v>
      </c>
      <c r="H29081" s="21">
        <v>568.66999999999996</v>
      </c>
    </row>
    <row r="29082" spans="1:8" customFormat="1" x14ac:dyDescent="0.25">
      <c r="A29082" t="str">
        <f>"2938709"</f>
        <v>2938709</v>
      </c>
      <c r="B29082" t="s">
        <v>22149</v>
      </c>
      <c r="C29082" t="s">
        <v>2393</v>
      </c>
      <c r="D29082" s="21" t="s">
        <v>34</v>
      </c>
      <c r="E29082" s="21" t="s">
        <v>35</v>
      </c>
      <c r="F29082">
        <v>3290045</v>
      </c>
      <c r="G29082" t="s">
        <v>17635</v>
      </c>
      <c r="H29082" s="21">
        <v>568.66999999999996</v>
      </c>
    </row>
    <row r="29083" spans="1:8" customFormat="1" x14ac:dyDescent="0.25">
      <c r="A29083" t="str">
        <f>"812725"</f>
        <v>812725</v>
      </c>
      <c r="B29083" t="s">
        <v>3942</v>
      </c>
      <c r="C29083" t="s">
        <v>1786</v>
      </c>
      <c r="D29083" s="21" t="s">
        <v>34</v>
      </c>
      <c r="E29083" s="21" t="s">
        <v>35</v>
      </c>
      <c r="F29083">
        <v>11810033</v>
      </c>
      <c r="G29083" t="s">
        <v>3852</v>
      </c>
      <c r="H29083" s="21">
        <v>568.66999999999996</v>
      </c>
    </row>
    <row r="29084" spans="1:8" customFormat="1" x14ac:dyDescent="0.25">
      <c r="A29084" t="str">
        <f>"2513759"</f>
        <v>2513759</v>
      </c>
      <c r="B29084" t="s">
        <v>22124</v>
      </c>
      <c r="C29084" t="s">
        <v>43</v>
      </c>
      <c r="D29084" s="21" t="s">
        <v>34</v>
      </c>
      <c r="E29084" s="21" t="s">
        <v>35</v>
      </c>
      <c r="F29084">
        <v>2250205</v>
      </c>
      <c r="G29084" t="s">
        <v>7311</v>
      </c>
      <c r="H29084" s="21">
        <v>568.66999999999996</v>
      </c>
    </row>
    <row r="29085" spans="1:8" customFormat="1" x14ac:dyDescent="0.25">
      <c r="A29085" t="str">
        <f>"5326717"</f>
        <v>5326717</v>
      </c>
      <c r="B29085" t="s">
        <v>28114</v>
      </c>
      <c r="C29085" t="s">
        <v>8546</v>
      </c>
      <c r="D29085" s="21" t="s">
        <v>34</v>
      </c>
      <c r="E29085" s="21" t="s">
        <v>35</v>
      </c>
      <c r="F29085">
        <v>12530017</v>
      </c>
      <c r="G29085" t="s">
        <v>307</v>
      </c>
      <c r="H29085" s="21">
        <v>568.66999999999996</v>
      </c>
    </row>
    <row r="29086" spans="1:8" customFormat="1" x14ac:dyDescent="0.25">
      <c r="A29086" t="str">
        <f>"534229"</f>
        <v>534229</v>
      </c>
      <c r="B29086" t="s">
        <v>20720</v>
      </c>
      <c r="C29086" t="s">
        <v>253</v>
      </c>
      <c r="D29086" s="21" t="s">
        <v>34</v>
      </c>
      <c r="E29086" s="21" t="s">
        <v>1089</v>
      </c>
      <c r="F29086">
        <v>12530112</v>
      </c>
      <c r="G29086" t="s">
        <v>4617</v>
      </c>
      <c r="H29086" s="21">
        <v>568.66999999999996</v>
      </c>
    </row>
    <row r="29087" spans="1:8" customFormat="1" x14ac:dyDescent="0.25">
      <c r="A29087" t="str">
        <f>"2932803"</f>
        <v>2932803</v>
      </c>
      <c r="B29087" t="s">
        <v>8348</v>
      </c>
      <c r="C29087" t="s">
        <v>55</v>
      </c>
      <c r="D29087" s="21" t="s">
        <v>34</v>
      </c>
      <c r="E29087" s="21" t="s">
        <v>35</v>
      </c>
      <c r="F29087">
        <v>3290044</v>
      </c>
      <c r="G29087" t="s">
        <v>3897</v>
      </c>
      <c r="H29087" s="21">
        <v>568.66999999999996</v>
      </c>
    </row>
    <row r="29088" spans="1:8" customFormat="1" x14ac:dyDescent="0.25">
      <c r="A29088" t="str">
        <f>"4455298"</f>
        <v>4455298</v>
      </c>
      <c r="B29088" t="s">
        <v>577</v>
      </c>
      <c r="C29088" t="s">
        <v>62</v>
      </c>
      <c r="D29088" s="21" t="s">
        <v>34</v>
      </c>
      <c r="E29088" s="21" t="s">
        <v>35</v>
      </c>
      <c r="F29088">
        <v>12440147</v>
      </c>
      <c r="G29088" t="s">
        <v>5472</v>
      </c>
      <c r="H29088" s="21">
        <v>568.66999999999996</v>
      </c>
    </row>
    <row r="29089" spans="1:8" customFormat="1" x14ac:dyDescent="0.25">
      <c r="A29089" t="str">
        <f>"415106"</f>
        <v>415106</v>
      </c>
      <c r="B29089" t="s">
        <v>17146</v>
      </c>
      <c r="C29089" t="s">
        <v>4721</v>
      </c>
      <c r="D29089" s="21" t="s">
        <v>34</v>
      </c>
      <c r="E29089" s="21" t="s">
        <v>1089</v>
      </c>
      <c r="F29089">
        <v>4410696</v>
      </c>
      <c r="G29089" t="s">
        <v>5909</v>
      </c>
      <c r="H29089" s="21">
        <v>568.66999999999996</v>
      </c>
    </row>
    <row r="29090" spans="1:8" customFormat="1" x14ac:dyDescent="0.25">
      <c r="A29090" t="str">
        <f>"4443763"</f>
        <v>4443763</v>
      </c>
      <c r="B29090" t="s">
        <v>1030</v>
      </c>
      <c r="C29090" t="s">
        <v>206</v>
      </c>
      <c r="D29090" s="21" t="s">
        <v>34</v>
      </c>
      <c r="E29090" s="21" t="s">
        <v>35</v>
      </c>
      <c r="F29090">
        <v>12440138</v>
      </c>
      <c r="G29090" t="s">
        <v>562</v>
      </c>
      <c r="H29090" s="21">
        <v>568.66999999999996</v>
      </c>
    </row>
    <row r="29091" spans="1:8" customFormat="1" x14ac:dyDescent="0.25">
      <c r="A29091" t="str">
        <f>"7523573"</f>
        <v>7523573</v>
      </c>
      <c r="B29091" t="s">
        <v>22051</v>
      </c>
      <c r="C29091" t="s">
        <v>22052</v>
      </c>
      <c r="D29091" s="21" t="s">
        <v>34</v>
      </c>
      <c r="E29091" s="21" t="s">
        <v>35</v>
      </c>
      <c r="F29091">
        <v>8751456</v>
      </c>
      <c r="G29091" t="s">
        <v>2683</v>
      </c>
      <c r="H29091" s="21">
        <v>568.66999999999996</v>
      </c>
    </row>
    <row r="29092" spans="1:8" customFormat="1" x14ac:dyDescent="0.25">
      <c r="A29092" t="str">
        <f>"3537519"</f>
        <v>3537519</v>
      </c>
      <c r="B29092" t="s">
        <v>14861</v>
      </c>
      <c r="C29092" t="s">
        <v>415</v>
      </c>
      <c r="D29092" s="21" t="s">
        <v>34</v>
      </c>
      <c r="E29092" s="21" t="s">
        <v>71</v>
      </c>
      <c r="F29092">
        <v>3350095</v>
      </c>
      <c r="G29092" t="s">
        <v>5813</v>
      </c>
      <c r="H29092" s="21">
        <v>568.66999999999996</v>
      </c>
    </row>
    <row r="29093" spans="1:8" customFormat="1" x14ac:dyDescent="0.25">
      <c r="A29093" t="str">
        <f>"5975273"</f>
        <v>5975273</v>
      </c>
      <c r="B29093" t="s">
        <v>392</v>
      </c>
      <c r="C29093" t="s">
        <v>109</v>
      </c>
      <c r="D29093" s="21" t="s">
        <v>34</v>
      </c>
      <c r="E29093" s="21" t="s">
        <v>35</v>
      </c>
      <c r="F29093">
        <v>7590336</v>
      </c>
      <c r="G29093" t="s">
        <v>2341</v>
      </c>
      <c r="H29093" s="21">
        <v>568.66999999999996</v>
      </c>
    </row>
    <row r="29094" spans="1:8" customFormat="1" x14ac:dyDescent="0.25">
      <c r="A29094" t="str">
        <f>"6948140"</f>
        <v>6948140</v>
      </c>
      <c r="B29094" t="s">
        <v>5118</v>
      </c>
      <c r="C29094" t="s">
        <v>144</v>
      </c>
      <c r="D29094" s="21" t="s">
        <v>34</v>
      </c>
      <c r="E29094" s="21" t="s">
        <v>35</v>
      </c>
      <c r="F29094">
        <v>1690167</v>
      </c>
      <c r="G29094" t="s">
        <v>11267</v>
      </c>
      <c r="H29094" s="21">
        <v>568.66999999999996</v>
      </c>
    </row>
    <row r="29095" spans="1:8" customFormat="1" x14ac:dyDescent="0.25">
      <c r="A29095" t="str">
        <f>"5984204"</f>
        <v>5984204</v>
      </c>
      <c r="B29095" t="s">
        <v>21105</v>
      </c>
      <c r="C29095" t="s">
        <v>4991</v>
      </c>
      <c r="D29095" s="21" t="s">
        <v>34</v>
      </c>
      <c r="E29095" s="21" t="s">
        <v>35</v>
      </c>
      <c r="F29095">
        <v>7590293</v>
      </c>
      <c r="G29095" t="s">
        <v>2431</v>
      </c>
      <c r="H29095" s="21">
        <v>568.5</v>
      </c>
    </row>
    <row r="29096" spans="1:8" customFormat="1" x14ac:dyDescent="0.25">
      <c r="A29096" t="str">
        <f>"7514419"</f>
        <v>7514419</v>
      </c>
      <c r="B29096" t="s">
        <v>20382</v>
      </c>
      <c r="C29096" t="s">
        <v>4580</v>
      </c>
      <c r="D29096" s="21" t="s">
        <v>34</v>
      </c>
      <c r="E29096" s="21" t="s">
        <v>71</v>
      </c>
      <c r="F29096">
        <v>8751163</v>
      </c>
      <c r="G29096" t="s">
        <v>80</v>
      </c>
      <c r="H29096" s="21">
        <v>568.41999999999996</v>
      </c>
    </row>
    <row r="29097" spans="1:8" customFormat="1" x14ac:dyDescent="0.25">
      <c r="A29097" t="str">
        <f>"4438031"</f>
        <v>4438031</v>
      </c>
      <c r="B29097" t="s">
        <v>21099</v>
      </c>
      <c r="C29097" t="s">
        <v>40</v>
      </c>
      <c r="D29097" s="21" t="s">
        <v>34</v>
      </c>
      <c r="E29097" s="21" t="s">
        <v>71</v>
      </c>
      <c r="F29097">
        <v>12440239</v>
      </c>
      <c r="G29097" t="s">
        <v>11158</v>
      </c>
      <c r="H29097" s="21">
        <v>568.16999999999996</v>
      </c>
    </row>
    <row r="29098" spans="1:8" customFormat="1" x14ac:dyDescent="0.25">
      <c r="A29098" t="str">
        <f>"4220526"</f>
        <v>4220526</v>
      </c>
      <c r="B29098" t="s">
        <v>28115</v>
      </c>
      <c r="C29098" t="s">
        <v>119</v>
      </c>
      <c r="D29098" s="21" t="s">
        <v>34</v>
      </c>
      <c r="E29098" s="21" t="s">
        <v>71</v>
      </c>
      <c r="F29098">
        <v>1420009</v>
      </c>
      <c r="G29098" t="s">
        <v>3113</v>
      </c>
      <c r="H29098" s="21">
        <v>568.16999999999996</v>
      </c>
    </row>
    <row r="29099" spans="1:8" customFormat="1" x14ac:dyDescent="0.25">
      <c r="A29099" t="str">
        <f>"9138557"</f>
        <v>9138557</v>
      </c>
      <c r="B29099" t="s">
        <v>20311</v>
      </c>
      <c r="C29099" t="s">
        <v>55</v>
      </c>
      <c r="D29099" s="21" t="s">
        <v>34</v>
      </c>
      <c r="E29099" s="21" t="s">
        <v>71</v>
      </c>
      <c r="F29099">
        <v>8910285</v>
      </c>
      <c r="G29099" t="s">
        <v>26604</v>
      </c>
      <c r="H29099" s="21">
        <v>568.16999999999996</v>
      </c>
    </row>
    <row r="29100" spans="1:8" customFormat="1" x14ac:dyDescent="0.25">
      <c r="A29100" t="str">
        <f>"9439678"</f>
        <v>9439678</v>
      </c>
      <c r="B29100" t="s">
        <v>21387</v>
      </c>
      <c r="C29100" t="s">
        <v>156</v>
      </c>
      <c r="D29100" s="21" t="s">
        <v>34</v>
      </c>
      <c r="E29100" s="21" t="s">
        <v>71</v>
      </c>
      <c r="F29100">
        <v>8941359</v>
      </c>
      <c r="G29100" t="s">
        <v>14474</v>
      </c>
      <c r="H29100" s="21">
        <v>568.16999999999996</v>
      </c>
    </row>
    <row r="29101" spans="1:8" customFormat="1" x14ac:dyDescent="0.25">
      <c r="A29101" t="str">
        <f>"5320074"</f>
        <v>5320074</v>
      </c>
      <c r="B29101" t="s">
        <v>14884</v>
      </c>
      <c r="C29101" t="s">
        <v>267</v>
      </c>
      <c r="D29101" s="21" t="s">
        <v>34</v>
      </c>
      <c r="E29101" s="21" t="s">
        <v>71</v>
      </c>
      <c r="F29101">
        <v>12530067</v>
      </c>
      <c r="G29101" t="s">
        <v>11121</v>
      </c>
      <c r="H29101" s="21">
        <v>568.16999999999996</v>
      </c>
    </row>
    <row r="29102" spans="1:8" customFormat="1" x14ac:dyDescent="0.25">
      <c r="A29102" t="str">
        <f>"6939792"</f>
        <v>6939792</v>
      </c>
      <c r="B29102" t="s">
        <v>1872</v>
      </c>
      <c r="C29102" t="s">
        <v>328</v>
      </c>
      <c r="D29102" s="21" t="s">
        <v>34</v>
      </c>
      <c r="E29102" s="21" t="s">
        <v>35</v>
      </c>
      <c r="F29102">
        <v>1690181</v>
      </c>
      <c r="G29102" t="s">
        <v>20881</v>
      </c>
      <c r="H29102" s="21">
        <v>568.16999999999996</v>
      </c>
    </row>
    <row r="29103" spans="1:8" customFormat="1" x14ac:dyDescent="0.25">
      <c r="A29103" t="str">
        <f>"5976180"</f>
        <v>5976180</v>
      </c>
      <c r="B29103" t="s">
        <v>12340</v>
      </c>
      <c r="C29103" t="s">
        <v>114</v>
      </c>
      <c r="D29103" s="21" t="s">
        <v>34</v>
      </c>
      <c r="E29103" s="21" t="s">
        <v>35</v>
      </c>
      <c r="F29103">
        <v>7590028</v>
      </c>
      <c r="G29103" t="s">
        <v>251</v>
      </c>
      <c r="H29103" s="21">
        <v>568.16999999999996</v>
      </c>
    </row>
    <row r="29104" spans="1:8" customFormat="1" x14ac:dyDescent="0.25">
      <c r="A29104" t="str">
        <f>"668083"</f>
        <v>668083</v>
      </c>
      <c r="B29104" t="s">
        <v>21916</v>
      </c>
      <c r="C29104" t="s">
        <v>21917</v>
      </c>
      <c r="D29104" s="21" t="s">
        <v>34</v>
      </c>
      <c r="E29104" s="21" t="s">
        <v>35</v>
      </c>
      <c r="F29104">
        <v>11660019</v>
      </c>
      <c r="G29104" t="s">
        <v>6292</v>
      </c>
      <c r="H29104" s="21">
        <v>568.16999999999996</v>
      </c>
    </row>
    <row r="29105" spans="1:8" customFormat="1" x14ac:dyDescent="0.25">
      <c r="A29105" t="str">
        <f>"7871720"</f>
        <v>7871720</v>
      </c>
      <c r="B29105" t="s">
        <v>21067</v>
      </c>
      <c r="C29105" t="s">
        <v>2479</v>
      </c>
      <c r="D29105" s="21" t="s">
        <v>34</v>
      </c>
      <c r="E29105" s="21" t="s">
        <v>71</v>
      </c>
      <c r="F29105">
        <v>10640017</v>
      </c>
      <c r="G29105" t="s">
        <v>2454</v>
      </c>
      <c r="H29105" s="21">
        <v>568.16999999999996</v>
      </c>
    </row>
    <row r="29106" spans="1:8" customFormat="1" x14ac:dyDescent="0.25">
      <c r="A29106" t="str">
        <f>"6213373"</f>
        <v>6213373</v>
      </c>
      <c r="B29106" t="s">
        <v>11257</v>
      </c>
      <c r="C29106" t="s">
        <v>130</v>
      </c>
      <c r="D29106" s="21" t="s">
        <v>34</v>
      </c>
      <c r="E29106" s="21" t="s">
        <v>254</v>
      </c>
      <c r="F29106">
        <v>7620072</v>
      </c>
      <c r="G29106" t="s">
        <v>2185</v>
      </c>
      <c r="H29106" s="21">
        <v>568.16999999999996</v>
      </c>
    </row>
    <row r="29107" spans="1:8" customFormat="1" x14ac:dyDescent="0.25">
      <c r="A29107" t="str">
        <f>"9141496"</f>
        <v>9141496</v>
      </c>
      <c r="B29107" t="s">
        <v>21703</v>
      </c>
      <c r="C29107" t="s">
        <v>1705</v>
      </c>
      <c r="D29107" s="21" t="s">
        <v>34</v>
      </c>
      <c r="E29107" s="21" t="s">
        <v>71</v>
      </c>
      <c r="F29107">
        <v>8911280</v>
      </c>
      <c r="G29107" t="s">
        <v>3417</v>
      </c>
      <c r="H29107" s="21">
        <v>568.16999999999996</v>
      </c>
    </row>
    <row r="29108" spans="1:8" customFormat="1" x14ac:dyDescent="0.25">
      <c r="A29108" t="str">
        <f>"406972"</f>
        <v>406972</v>
      </c>
      <c r="B29108" t="s">
        <v>4183</v>
      </c>
      <c r="C29108" t="s">
        <v>2276</v>
      </c>
      <c r="D29108" s="21" t="s">
        <v>34</v>
      </c>
      <c r="E29108" s="21" t="s">
        <v>254</v>
      </c>
      <c r="F29108">
        <v>10400025</v>
      </c>
      <c r="G29108" t="s">
        <v>5655</v>
      </c>
      <c r="H29108" s="21">
        <v>568.16999999999996</v>
      </c>
    </row>
    <row r="29109" spans="1:8" customFormat="1" x14ac:dyDescent="0.25">
      <c r="A29109" t="str">
        <f>"5327176"</f>
        <v>5327176</v>
      </c>
      <c r="B29109" t="s">
        <v>1885</v>
      </c>
      <c r="C29109" t="s">
        <v>7441</v>
      </c>
      <c r="D29109" s="21" t="s">
        <v>34</v>
      </c>
      <c r="E29109" s="21" t="s">
        <v>71</v>
      </c>
      <c r="F29109">
        <v>12530018</v>
      </c>
      <c r="G29109" t="s">
        <v>8768</v>
      </c>
      <c r="H29109" s="21">
        <v>568.16999999999996</v>
      </c>
    </row>
    <row r="29110" spans="1:8" customFormat="1" x14ac:dyDescent="0.25">
      <c r="A29110" t="str">
        <f>"639863"</f>
        <v>639863</v>
      </c>
      <c r="B29110" t="s">
        <v>20140</v>
      </c>
      <c r="C29110" t="s">
        <v>598</v>
      </c>
      <c r="D29110" s="21" t="s">
        <v>34</v>
      </c>
      <c r="E29110" s="21" t="s">
        <v>254</v>
      </c>
      <c r="F29110">
        <v>1630078</v>
      </c>
      <c r="G29110" t="s">
        <v>326</v>
      </c>
      <c r="H29110" s="21">
        <v>568.16999999999996</v>
      </c>
    </row>
    <row r="29111" spans="1:8" customFormat="1" x14ac:dyDescent="0.25">
      <c r="A29111" t="str">
        <f>"668049"</f>
        <v>668049</v>
      </c>
      <c r="B29111" t="s">
        <v>2580</v>
      </c>
      <c r="C29111" t="s">
        <v>353</v>
      </c>
      <c r="D29111" s="21" t="s">
        <v>34</v>
      </c>
      <c r="E29111" s="21" t="s">
        <v>71</v>
      </c>
      <c r="F29111">
        <v>11660011</v>
      </c>
      <c r="G29111" t="s">
        <v>4641</v>
      </c>
      <c r="H29111" s="21">
        <v>568.16999999999996</v>
      </c>
    </row>
    <row r="29112" spans="1:8" customFormat="1" x14ac:dyDescent="0.25">
      <c r="A29112" t="str">
        <f>"4430567"</f>
        <v>4430567</v>
      </c>
      <c r="B29112" t="s">
        <v>25617</v>
      </c>
      <c r="C29112" t="s">
        <v>2322</v>
      </c>
      <c r="D29112" s="21" t="s">
        <v>34</v>
      </c>
      <c r="E29112" s="21" t="s">
        <v>71</v>
      </c>
      <c r="F29112">
        <v>12440039</v>
      </c>
      <c r="G29112" t="s">
        <v>9650</v>
      </c>
      <c r="H29112" s="21">
        <v>568.16999999999996</v>
      </c>
    </row>
    <row r="29113" spans="1:8" customFormat="1" x14ac:dyDescent="0.25">
      <c r="A29113" t="str">
        <f>"647484"</f>
        <v>647484</v>
      </c>
      <c r="B29113" t="s">
        <v>20336</v>
      </c>
      <c r="C29113" t="s">
        <v>20337</v>
      </c>
      <c r="D29113" s="21" t="s">
        <v>34</v>
      </c>
      <c r="E29113" s="21" t="s">
        <v>71</v>
      </c>
      <c r="F29113">
        <v>10640017</v>
      </c>
      <c r="G29113" t="s">
        <v>2454</v>
      </c>
      <c r="H29113" s="21">
        <v>568.04</v>
      </c>
    </row>
    <row r="29114" spans="1:8" customFormat="1" x14ac:dyDescent="0.25">
      <c r="A29114" t="str">
        <f>"5919035"</f>
        <v>5919035</v>
      </c>
      <c r="B29114" t="s">
        <v>23206</v>
      </c>
      <c r="C29114" t="s">
        <v>469</v>
      </c>
      <c r="D29114" s="21" t="s">
        <v>34</v>
      </c>
      <c r="E29114" s="21" t="s">
        <v>254</v>
      </c>
      <c r="F29114">
        <v>7590392</v>
      </c>
      <c r="G29114" t="s">
        <v>154</v>
      </c>
      <c r="H29114" s="21">
        <v>568</v>
      </c>
    </row>
    <row r="29115" spans="1:8" customFormat="1" x14ac:dyDescent="0.25">
      <c r="A29115" t="str">
        <f>"7872452"</f>
        <v>7872452</v>
      </c>
      <c r="B29115" t="s">
        <v>21569</v>
      </c>
      <c r="C29115" t="s">
        <v>82</v>
      </c>
      <c r="D29115" s="21" t="s">
        <v>34</v>
      </c>
      <c r="E29115" s="21" t="s">
        <v>71</v>
      </c>
      <c r="F29115">
        <v>8780529</v>
      </c>
      <c r="G29115" t="s">
        <v>8624</v>
      </c>
      <c r="H29115" s="21">
        <v>567.91999999999996</v>
      </c>
    </row>
    <row r="29116" spans="1:8" customFormat="1" x14ac:dyDescent="0.25">
      <c r="A29116" t="str">
        <f>"1910237"</f>
        <v>1910237</v>
      </c>
      <c r="B29116" t="s">
        <v>4711</v>
      </c>
      <c r="C29116" t="s">
        <v>33</v>
      </c>
      <c r="D29116" s="21" t="s">
        <v>34</v>
      </c>
      <c r="E29116" s="21" t="s">
        <v>35</v>
      </c>
      <c r="F29116">
        <v>10190096</v>
      </c>
      <c r="G29116" t="s">
        <v>3949</v>
      </c>
      <c r="H29116" s="21">
        <v>567.79</v>
      </c>
    </row>
    <row r="29117" spans="1:8" customFormat="1" x14ac:dyDescent="0.25">
      <c r="A29117" t="str">
        <f>"5923170"</f>
        <v>5923170</v>
      </c>
      <c r="B29117" t="s">
        <v>19692</v>
      </c>
      <c r="C29117" t="s">
        <v>415</v>
      </c>
      <c r="D29117" s="21" t="s">
        <v>34</v>
      </c>
      <c r="E29117" s="21" t="s">
        <v>35</v>
      </c>
      <c r="F29117">
        <v>7590327</v>
      </c>
      <c r="G29117" t="s">
        <v>2330</v>
      </c>
      <c r="H29117" s="21">
        <v>567.66999999999996</v>
      </c>
    </row>
    <row r="29118" spans="1:8" customFormat="1" x14ac:dyDescent="0.25">
      <c r="A29118" t="str">
        <f>"7414341"</f>
        <v>7414341</v>
      </c>
      <c r="B29118" t="s">
        <v>6719</v>
      </c>
      <c r="C29118" t="s">
        <v>62</v>
      </c>
      <c r="D29118" s="21" t="s">
        <v>34</v>
      </c>
      <c r="E29118" s="21" t="s">
        <v>35</v>
      </c>
      <c r="F29118">
        <v>1740060</v>
      </c>
      <c r="G29118" t="s">
        <v>4907</v>
      </c>
      <c r="H29118" s="21">
        <v>567.66999999999996</v>
      </c>
    </row>
    <row r="29119" spans="1:8" customFormat="1" x14ac:dyDescent="0.25">
      <c r="A29119" t="str">
        <f>"566713"</f>
        <v>566713</v>
      </c>
      <c r="B29119" t="s">
        <v>20784</v>
      </c>
      <c r="C29119" t="s">
        <v>65</v>
      </c>
      <c r="D29119" s="21" t="s">
        <v>34</v>
      </c>
      <c r="E29119" s="21" t="s">
        <v>35</v>
      </c>
      <c r="F29119">
        <v>3560053</v>
      </c>
      <c r="G29119" t="s">
        <v>298</v>
      </c>
      <c r="H29119" s="21">
        <v>567.66999999999996</v>
      </c>
    </row>
    <row r="29120" spans="1:8" customFormat="1" x14ac:dyDescent="0.25">
      <c r="A29120" t="str">
        <f>"9456077"</f>
        <v>9456077</v>
      </c>
      <c r="B29120" t="s">
        <v>20120</v>
      </c>
      <c r="C29120" t="s">
        <v>598</v>
      </c>
      <c r="D29120" s="21" t="s">
        <v>34</v>
      </c>
      <c r="E29120" s="21" t="s">
        <v>254</v>
      </c>
      <c r="F29120">
        <v>8940976</v>
      </c>
      <c r="G29120" t="s">
        <v>615</v>
      </c>
      <c r="H29120" s="21">
        <v>567.66999999999996</v>
      </c>
    </row>
    <row r="29121" spans="1:8" customFormat="1" x14ac:dyDescent="0.25">
      <c r="A29121" t="str">
        <f>"5979632"</f>
        <v>5979632</v>
      </c>
      <c r="B29121" t="s">
        <v>28116</v>
      </c>
      <c r="C29121" t="s">
        <v>171</v>
      </c>
      <c r="D29121" s="21" t="s">
        <v>34</v>
      </c>
      <c r="E29121" s="21" t="s">
        <v>35</v>
      </c>
      <c r="F29121">
        <v>7590099</v>
      </c>
      <c r="G29121" t="s">
        <v>5792</v>
      </c>
      <c r="H29121" s="21">
        <v>567.66999999999996</v>
      </c>
    </row>
    <row r="29122" spans="1:8" customFormat="1" x14ac:dyDescent="0.25">
      <c r="A29122" t="str">
        <f>"541344"</f>
        <v>541344</v>
      </c>
      <c r="B29122" t="s">
        <v>20602</v>
      </c>
      <c r="C29122" t="s">
        <v>750</v>
      </c>
      <c r="D29122" s="21" t="s">
        <v>34</v>
      </c>
      <c r="E29122" s="21" t="s">
        <v>1089</v>
      </c>
      <c r="F29122">
        <v>6540097</v>
      </c>
      <c r="G29122" t="s">
        <v>12434</v>
      </c>
      <c r="H29122" s="21">
        <v>567.66999999999996</v>
      </c>
    </row>
    <row r="29123" spans="1:8" customFormat="1" x14ac:dyDescent="0.25">
      <c r="A29123" t="str">
        <f>"5320902"</f>
        <v>5320902</v>
      </c>
      <c r="B29123" t="s">
        <v>18479</v>
      </c>
      <c r="C29123" t="s">
        <v>121</v>
      </c>
      <c r="D29123" s="21" t="s">
        <v>34</v>
      </c>
      <c r="E29123" s="21" t="s">
        <v>35</v>
      </c>
      <c r="F29123">
        <v>12530005</v>
      </c>
      <c r="G29123" t="s">
        <v>6076</v>
      </c>
      <c r="H29123" s="21">
        <v>567.66999999999996</v>
      </c>
    </row>
    <row r="29124" spans="1:8" customFormat="1" x14ac:dyDescent="0.25">
      <c r="A29124" t="str">
        <f>"271028"</f>
        <v>271028</v>
      </c>
      <c r="B29124" t="s">
        <v>1645</v>
      </c>
      <c r="C29124" t="s">
        <v>1914</v>
      </c>
      <c r="D29124" s="21" t="s">
        <v>34</v>
      </c>
      <c r="E29124" s="21" t="s">
        <v>1089</v>
      </c>
      <c r="F29124">
        <v>9270087</v>
      </c>
      <c r="G29124" t="s">
        <v>7014</v>
      </c>
      <c r="H29124" s="21">
        <v>567.66999999999996</v>
      </c>
    </row>
    <row r="29125" spans="1:8" customFormat="1" x14ac:dyDescent="0.25">
      <c r="A29125" t="str">
        <f>"3730021"</f>
        <v>3730021</v>
      </c>
      <c r="B29125" t="s">
        <v>28117</v>
      </c>
      <c r="C29125" t="s">
        <v>96</v>
      </c>
      <c r="D29125" s="21" t="s">
        <v>34</v>
      </c>
      <c r="E29125" s="21" t="s">
        <v>35</v>
      </c>
      <c r="F29125">
        <v>4370269</v>
      </c>
      <c r="G29125" t="s">
        <v>4277</v>
      </c>
      <c r="H29125" s="21">
        <v>567.66999999999996</v>
      </c>
    </row>
    <row r="29126" spans="1:8" customFormat="1" x14ac:dyDescent="0.25">
      <c r="A29126" t="str">
        <f>"375904"</f>
        <v>375904</v>
      </c>
      <c r="B29126" t="s">
        <v>13478</v>
      </c>
      <c r="C29126" t="s">
        <v>267</v>
      </c>
      <c r="D29126" s="21" t="s">
        <v>34</v>
      </c>
      <c r="E29126" s="21" t="s">
        <v>254</v>
      </c>
      <c r="F29126">
        <v>4370146</v>
      </c>
      <c r="G29126" t="s">
        <v>10990</v>
      </c>
      <c r="H29126" s="21">
        <v>567.66999999999996</v>
      </c>
    </row>
    <row r="29127" spans="1:8" customFormat="1" x14ac:dyDescent="0.25">
      <c r="A29127" t="str">
        <f>"8615526"</f>
        <v>8615526</v>
      </c>
      <c r="B29127" t="s">
        <v>17734</v>
      </c>
      <c r="C29127" t="s">
        <v>2475</v>
      </c>
      <c r="D29127" s="21" t="s">
        <v>34</v>
      </c>
      <c r="E29127" s="21" t="s">
        <v>71</v>
      </c>
      <c r="F29127">
        <v>10860234</v>
      </c>
      <c r="G29127" t="s">
        <v>1966</v>
      </c>
      <c r="H29127" s="21">
        <v>567.66999999999996</v>
      </c>
    </row>
    <row r="29128" spans="1:8" customFormat="1" x14ac:dyDescent="0.25">
      <c r="A29128" t="str">
        <f>"104283"</f>
        <v>104283</v>
      </c>
      <c r="B29128" t="s">
        <v>14869</v>
      </c>
      <c r="C29128" t="s">
        <v>249</v>
      </c>
      <c r="D29128" s="21" t="s">
        <v>34</v>
      </c>
      <c r="E29128" s="21" t="s">
        <v>71</v>
      </c>
      <c r="F29128">
        <v>6100046</v>
      </c>
      <c r="G29128" t="s">
        <v>12853</v>
      </c>
      <c r="H29128" s="21">
        <v>567.66999999999996</v>
      </c>
    </row>
    <row r="29129" spans="1:8" customFormat="1" x14ac:dyDescent="0.25">
      <c r="A29129" t="str">
        <f>"1425540"</f>
        <v>1425540</v>
      </c>
      <c r="B29129" t="s">
        <v>20735</v>
      </c>
      <c r="C29129" t="s">
        <v>33</v>
      </c>
      <c r="D29129" s="21" t="s">
        <v>34</v>
      </c>
      <c r="E29129" s="21" t="s">
        <v>71</v>
      </c>
      <c r="F29129">
        <v>9140162</v>
      </c>
      <c r="G29129" t="s">
        <v>7663</v>
      </c>
      <c r="H29129" s="21">
        <v>567.66999999999996</v>
      </c>
    </row>
    <row r="29130" spans="1:8" customFormat="1" x14ac:dyDescent="0.25">
      <c r="A29130" t="str">
        <f>"64245"</f>
        <v>64245</v>
      </c>
      <c r="B29130" t="s">
        <v>20167</v>
      </c>
      <c r="C29130" t="s">
        <v>822</v>
      </c>
      <c r="D29130" s="21" t="s">
        <v>34</v>
      </c>
      <c r="E29130" s="21" t="s">
        <v>254</v>
      </c>
      <c r="F29130">
        <v>10640008</v>
      </c>
      <c r="G29130" t="s">
        <v>1694</v>
      </c>
      <c r="H29130" s="21">
        <v>567.66999999999996</v>
      </c>
    </row>
    <row r="29131" spans="1:8" customFormat="1" x14ac:dyDescent="0.25">
      <c r="A29131" t="str">
        <f>"8517412"</f>
        <v>8517412</v>
      </c>
      <c r="B29131" t="s">
        <v>20083</v>
      </c>
      <c r="C29131" t="s">
        <v>1705</v>
      </c>
      <c r="D29131" s="21" t="s">
        <v>34</v>
      </c>
      <c r="E29131" s="21" t="s">
        <v>1089</v>
      </c>
      <c r="F29131">
        <v>12850016</v>
      </c>
      <c r="G29131" t="s">
        <v>26554</v>
      </c>
      <c r="H29131" s="21">
        <v>567.66999999999996</v>
      </c>
    </row>
    <row r="29132" spans="1:8" customFormat="1" x14ac:dyDescent="0.25">
      <c r="A29132" t="str">
        <f>"4432552"</f>
        <v>4432552</v>
      </c>
      <c r="B29132" t="s">
        <v>20654</v>
      </c>
      <c r="C29132" t="s">
        <v>124</v>
      </c>
      <c r="D29132" s="21" t="s">
        <v>34</v>
      </c>
      <c r="E29132" s="21" t="s">
        <v>71</v>
      </c>
      <c r="F29132">
        <v>12440084</v>
      </c>
      <c r="G29132" t="s">
        <v>1014</v>
      </c>
      <c r="H29132" s="21">
        <v>567.66999999999996</v>
      </c>
    </row>
    <row r="29133" spans="1:8" customFormat="1" x14ac:dyDescent="0.25">
      <c r="A29133" t="str">
        <f>"518776"</f>
        <v>518776</v>
      </c>
      <c r="B29133" t="s">
        <v>12419</v>
      </c>
      <c r="C29133" t="s">
        <v>1782</v>
      </c>
      <c r="D29133" s="21" t="s">
        <v>34</v>
      </c>
      <c r="E29133" s="21" t="s">
        <v>35</v>
      </c>
      <c r="F29133">
        <v>6510018</v>
      </c>
      <c r="G29133" t="s">
        <v>3055</v>
      </c>
      <c r="H29133" s="21">
        <v>567.66999999999996</v>
      </c>
    </row>
    <row r="29134" spans="1:8" customFormat="1" x14ac:dyDescent="0.25">
      <c r="A29134" t="str">
        <f>"5967256"</f>
        <v>5967256</v>
      </c>
      <c r="B29134" t="s">
        <v>21365</v>
      </c>
      <c r="C29134" t="s">
        <v>867</v>
      </c>
      <c r="D29134" s="21" t="s">
        <v>34</v>
      </c>
      <c r="E29134" s="21" t="s">
        <v>35</v>
      </c>
      <c r="F29134">
        <v>7590106</v>
      </c>
      <c r="G29134" t="s">
        <v>4790</v>
      </c>
      <c r="H29134" s="21">
        <v>567.66999999999996</v>
      </c>
    </row>
    <row r="29135" spans="1:8" customFormat="1" x14ac:dyDescent="0.25">
      <c r="A29135" t="str">
        <f>"2720343"</f>
        <v>2720343</v>
      </c>
      <c r="B29135" t="s">
        <v>4865</v>
      </c>
      <c r="C29135" t="s">
        <v>130</v>
      </c>
      <c r="D29135" s="21" t="s">
        <v>34</v>
      </c>
      <c r="E29135" s="21" t="s">
        <v>35</v>
      </c>
      <c r="F29135">
        <v>9270097</v>
      </c>
      <c r="G29135" t="s">
        <v>9759</v>
      </c>
      <c r="H29135" s="21">
        <v>567.66999999999996</v>
      </c>
    </row>
    <row r="29136" spans="1:8" customFormat="1" x14ac:dyDescent="0.25">
      <c r="A29136" t="str">
        <f>"069919"</f>
        <v>069919</v>
      </c>
      <c r="B29136" t="s">
        <v>4805</v>
      </c>
      <c r="C29136" t="s">
        <v>267</v>
      </c>
      <c r="D29136" s="21" t="s">
        <v>34</v>
      </c>
      <c r="E29136" s="21" t="s">
        <v>1089</v>
      </c>
      <c r="F29136">
        <v>13060037</v>
      </c>
      <c r="G29136" t="s">
        <v>9521</v>
      </c>
      <c r="H29136" s="21">
        <v>567.66999999999996</v>
      </c>
    </row>
    <row r="29137" spans="1:8" customFormat="1" x14ac:dyDescent="0.25">
      <c r="A29137" t="str">
        <f>"8515369"</f>
        <v>8515369</v>
      </c>
      <c r="B29137" t="s">
        <v>2549</v>
      </c>
      <c r="C29137" t="s">
        <v>263</v>
      </c>
      <c r="D29137" s="21" t="s">
        <v>34</v>
      </c>
      <c r="E29137" s="21" t="s">
        <v>254</v>
      </c>
      <c r="F29137">
        <v>12850111</v>
      </c>
      <c r="G29137" t="s">
        <v>9234</v>
      </c>
      <c r="H29137" s="21">
        <v>567.5</v>
      </c>
    </row>
    <row r="29138" spans="1:8" customFormat="1" x14ac:dyDescent="0.25">
      <c r="A29138" t="str">
        <f>"557601"</f>
        <v>557601</v>
      </c>
      <c r="B29138" t="s">
        <v>5617</v>
      </c>
      <c r="C29138" t="s">
        <v>121</v>
      </c>
      <c r="D29138" s="21" t="s">
        <v>34</v>
      </c>
      <c r="E29138" s="21" t="s">
        <v>35</v>
      </c>
      <c r="F29138">
        <v>6550020</v>
      </c>
      <c r="G29138" t="s">
        <v>7526</v>
      </c>
      <c r="H29138" s="21">
        <v>567.5</v>
      </c>
    </row>
    <row r="29139" spans="1:8" customFormat="1" x14ac:dyDescent="0.25">
      <c r="A29139" t="str">
        <f>"5617788"</f>
        <v>5617788</v>
      </c>
      <c r="B29139" t="s">
        <v>5944</v>
      </c>
      <c r="C29139" t="s">
        <v>249</v>
      </c>
      <c r="D29139" s="21" t="s">
        <v>34</v>
      </c>
      <c r="E29139" s="21" t="s">
        <v>35</v>
      </c>
      <c r="F29139">
        <v>3560096</v>
      </c>
      <c r="G29139" t="s">
        <v>2771</v>
      </c>
      <c r="H29139" s="21">
        <v>567.41999999999996</v>
      </c>
    </row>
    <row r="29140" spans="1:8" customFormat="1" x14ac:dyDescent="0.25">
      <c r="A29140" t="str">
        <f>"4437224"</f>
        <v>4437224</v>
      </c>
      <c r="B29140" t="s">
        <v>11487</v>
      </c>
      <c r="C29140" t="s">
        <v>1119</v>
      </c>
      <c r="D29140" s="21" t="s">
        <v>34</v>
      </c>
      <c r="E29140" s="21" t="s">
        <v>254</v>
      </c>
      <c r="F29140">
        <v>12440012</v>
      </c>
      <c r="G29140" t="s">
        <v>807</v>
      </c>
      <c r="H29140" s="21">
        <v>567.41999999999996</v>
      </c>
    </row>
    <row r="29141" spans="1:8" customFormat="1" x14ac:dyDescent="0.25">
      <c r="A29141" t="str">
        <f>"522242"</f>
        <v>522242</v>
      </c>
      <c r="B29141" t="s">
        <v>21160</v>
      </c>
      <c r="C29141" t="s">
        <v>879</v>
      </c>
      <c r="D29141" s="21" t="s">
        <v>34</v>
      </c>
      <c r="E29141" s="21" t="s">
        <v>254</v>
      </c>
      <c r="F29141">
        <v>6520040</v>
      </c>
      <c r="G29141" t="s">
        <v>16367</v>
      </c>
      <c r="H29141" s="21">
        <v>567.41999999999996</v>
      </c>
    </row>
    <row r="29142" spans="1:8" customFormat="1" x14ac:dyDescent="0.25">
      <c r="A29142" t="str">
        <f>"7719024"</f>
        <v>7719024</v>
      </c>
      <c r="B29142" t="s">
        <v>21105</v>
      </c>
      <c r="C29142" t="s">
        <v>263</v>
      </c>
      <c r="D29142" s="21" t="s">
        <v>34</v>
      </c>
      <c r="E29142" s="21" t="s">
        <v>35</v>
      </c>
      <c r="F29142">
        <v>8771394</v>
      </c>
      <c r="G29142" t="s">
        <v>1933</v>
      </c>
      <c r="H29142" s="21">
        <v>567.29</v>
      </c>
    </row>
    <row r="29143" spans="1:8" customFormat="1" x14ac:dyDescent="0.25">
      <c r="A29143" t="str">
        <f>"4931347"</f>
        <v>4931347</v>
      </c>
      <c r="B29143" t="s">
        <v>9949</v>
      </c>
      <c r="C29143" t="s">
        <v>169</v>
      </c>
      <c r="D29143" s="21" t="s">
        <v>34</v>
      </c>
      <c r="E29143" s="21" t="s">
        <v>71</v>
      </c>
      <c r="F29143">
        <v>12490098</v>
      </c>
      <c r="G29143" t="s">
        <v>2670</v>
      </c>
      <c r="H29143" s="21">
        <v>567.16999999999996</v>
      </c>
    </row>
    <row r="29144" spans="1:8" customFormat="1" x14ac:dyDescent="0.25">
      <c r="A29144" t="str">
        <f>"5321027"</f>
        <v>5321027</v>
      </c>
      <c r="B29144" t="s">
        <v>21750</v>
      </c>
      <c r="C29144" t="s">
        <v>1271</v>
      </c>
      <c r="D29144" s="21" t="s">
        <v>34</v>
      </c>
      <c r="E29144" s="21" t="s">
        <v>254</v>
      </c>
      <c r="F29144">
        <v>12538908</v>
      </c>
      <c r="G29144" t="s">
        <v>28075</v>
      </c>
      <c r="H29144" s="21">
        <v>567.16999999999996</v>
      </c>
    </row>
    <row r="29145" spans="1:8" customFormat="1" x14ac:dyDescent="0.25">
      <c r="A29145" t="str">
        <f>"8019717"</f>
        <v>8019717</v>
      </c>
      <c r="B29145" t="s">
        <v>28118</v>
      </c>
      <c r="C29145" t="s">
        <v>486</v>
      </c>
      <c r="D29145" s="21" t="s">
        <v>34</v>
      </c>
      <c r="E29145" s="21" t="s">
        <v>71</v>
      </c>
      <c r="F29145">
        <v>7800020</v>
      </c>
      <c r="G29145" t="s">
        <v>11608</v>
      </c>
      <c r="H29145" s="21">
        <v>567.16999999999996</v>
      </c>
    </row>
    <row r="29146" spans="1:8" customFormat="1" x14ac:dyDescent="0.25">
      <c r="A29146" t="str">
        <f>"5110030"</f>
        <v>5110030</v>
      </c>
      <c r="B29146" t="s">
        <v>4893</v>
      </c>
      <c r="C29146" t="s">
        <v>547</v>
      </c>
      <c r="D29146" s="21" t="s">
        <v>34</v>
      </c>
      <c r="E29146" s="21" t="s">
        <v>35</v>
      </c>
      <c r="F29146">
        <v>6510002</v>
      </c>
      <c r="G29146" t="s">
        <v>4588</v>
      </c>
      <c r="H29146" s="21">
        <v>567.16999999999996</v>
      </c>
    </row>
    <row r="29147" spans="1:8" customFormat="1" x14ac:dyDescent="0.25">
      <c r="A29147" t="str">
        <f>"5020550"</f>
        <v>5020550</v>
      </c>
      <c r="B29147" t="s">
        <v>6106</v>
      </c>
      <c r="C29147" t="s">
        <v>204</v>
      </c>
      <c r="D29147" s="21" t="s">
        <v>34</v>
      </c>
      <c r="E29147" s="21" t="s">
        <v>35</v>
      </c>
      <c r="F29147">
        <v>9500093</v>
      </c>
      <c r="G29147" t="s">
        <v>1808</v>
      </c>
      <c r="H29147" s="21">
        <v>567.16999999999996</v>
      </c>
    </row>
    <row r="29148" spans="1:8" customFormat="1" x14ac:dyDescent="0.25">
      <c r="A29148" t="str">
        <f>"665535"</f>
        <v>665535</v>
      </c>
      <c r="B29148" t="s">
        <v>651</v>
      </c>
      <c r="C29148" t="s">
        <v>985</v>
      </c>
      <c r="D29148" s="21" t="s">
        <v>34</v>
      </c>
      <c r="E29148" s="21" t="s">
        <v>254</v>
      </c>
      <c r="F29148">
        <v>11660040</v>
      </c>
      <c r="G29148" t="s">
        <v>17413</v>
      </c>
      <c r="H29148" s="21">
        <v>567.16999999999996</v>
      </c>
    </row>
    <row r="29149" spans="1:8" customFormat="1" x14ac:dyDescent="0.25">
      <c r="A29149" t="str">
        <f>"3828751"</f>
        <v>3828751</v>
      </c>
      <c r="B29149" t="s">
        <v>3351</v>
      </c>
      <c r="C29149" t="s">
        <v>87</v>
      </c>
      <c r="D29149" s="21" t="s">
        <v>34</v>
      </c>
      <c r="E29149" s="21" t="s">
        <v>35</v>
      </c>
      <c r="F29149">
        <v>1380297</v>
      </c>
      <c r="G29149" t="s">
        <v>12031</v>
      </c>
      <c r="H29149" s="21">
        <v>567.16999999999996</v>
      </c>
    </row>
    <row r="29150" spans="1:8" customFormat="1" x14ac:dyDescent="0.25">
      <c r="A29150" t="str">
        <f>"7519921"</f>
        <v>7519921</v>
      </c>
      <c r="B29150" t="s">
        <v>21434</v>
      </c>
      <c r="C29150" t="s">
        <v>1110</v>
      </c>
      <c r="D29150" s="21" t="s">
        <v>34</v>
      </c>
      <c r="E29150" s="21" t="s">
        <v>71</v>
      </c>
      <c r="F29150">
        <v>8751260</v>
      </c>
      <c r="G29150" t="s">
        <v>10641</v>
      </c>
      <c r="H29150" s="21">
        <v>567.16999999999996</v>
      </c>
    </row>
    <row r="29151" spans="1:8" customFormat="1" x14ac:dyDescent="0.25">
      <c r="A29151" t="str">
        <f>"7222155"</f>
        <v>7222155</v>
      </c>
      <c r="B29151" t="s">
        <v>21890</v>
      </c>
      <c r="C29151" t="s">
        <v>139</v>
      </c>
      <c r="D29151" s="21" t="s">
        <v>34</v>
      </c>
      <c r="E29151" s="21" t="s">
        <v>35</v>
      </c>
      <c r="F29151">
        <v>12720004</v>
      </c>
      <c r="G29151" t="s">
        <v>2328</v>
      </c>
      <c r="H29151" s="21">
        <v>567.16999999999996</v>
      </c>
    </row>
    <row r="29152" spans="1:8" customFormat="1" x14ac:dyDescent="0.25">
      <c r="A29152" t="str">
        <f>"4218815"</f>
        <v>4218815</v>
      </c>
      <c r="B29152" t="s">
        <v>23548</v>
      </c>
      <c r="C29152" t="s">
        <v>23549</v>
      </c>
      <c r="D29152" s="21" t="s">
        <v>34</v>
      </c>
      <c r="E29152" s="21" t="s">
        <v>35</v>
      </c>
      <c r="F29152">
        <v>1420080</v>
      </c>
      <c r="G29152" t="s">
        <v>10230</v>
      </c>
      <c r="H29152" s="21">
        <v>567.16999999999996</v>
      </c>
    </row>
    <row r="29153" spans="1:8" customFormat="1" x14ac:dyDescent="0.25">
      <c r="A29153" t="str">
        <f>"6231687"</f>
        <v>6231687</v>
      </c>
      <c r="B29153" t="s">
        <v>2405</v>
      </c>
      <c r="C29153" t="s">
        <v>576</v>
      </c>
      <c r="D29153" s="21" t="s">
        <v>34</v>
      </c>
      <c r="E29153" s="21" t="s">
        <v>71</v>
      </c>
      <c r="F29153">
        <v>7620079</v>
      </c>
      <c r="G29153" t="s">
        <v>9718</v>
      </c>
      <c r="H29153" s="21">
        <v>567.16999999999996</v>
      </c>
    </row>
    <row r="29154" spans="1:8" customFormat="1" x14ac:dyDescent="0.25">
      <c r="A29154" t="str">
        <f>"4441132"</f>
        <v>4441132</v>
      </c>
      <c r="B29154" t="s">
        <v>11907</v>
      </c>
      <c r="C29154" t="s">
        <v>412</v>
      </c>
      <c r="D29154" s="21" t="s">
        <v>34</v>
      </c>
      <c r="E29154" s="21" t="s">
        <v>1089</v>
      </c>
      <c r="F29154">
        <v>12440149</v>
      </c>
      <c r="G29154" t="s">
        <v>15804</v>
      </c>
      <c r="H29154" s="21">
        <v>567.16999999999996</v>
      </c>
    </row>
    <row r="29155" spans="1:8" customFormat="1" x14ac:dyDescent="0.25">
      <c r="A29155" t="str">
        <f>"3343988"</f>
        <v>3343988</v>
      </c>
      <c r="B29155" t="s">
        <v>28119</v>
      </c>
      <c r="C29155" t="s">
        <v>87</v>
      </c>
      <c r="D29155" s="21" t="s">
        <v>34</v>
      </c>
      <c r="E29155" s="21" t="s">
        <v>35</v>
      </c>
      <c r="F29155">
        <v>10330084</v>
      </c>
      <c r="G29155" t="s">
        <v>1124</v>
      </c>
      <c r="H29155" s="21">
        <v>567.16999999999996</v>
      </c>
    </row>
    <row r="29156" spans="1:8" customFormat="1" x14ac:dyDescent="0.25">
      <c r="A29156" t="str">
        <f>"131145"</f>
        <v>131145</v>
      </c>
      <c r="B29156" t="s">
        <v>205</v>
      </c>
      <c r="C29156" t="s">
        <v>239</v>
      </c>
      <c r="D29156" s="21" t="s">
        <v>34</v>
      </c>
      <c r="E29156" s="21" t="s">
        <v>254</v>
      </c>
      <c r="F29156">
        <v>13130170</v>
      </c>
      <c r="G29156" t="s">
        <v>10164</v>
      </c>
      <c r="H29156" s="21">
        <v>567.16999999999996</v>
      </c>
    </row>
    <row r="29157" spans="1:8" customFormat="1" x14ac:dyDescent="0.25">
      <c r="A29157" t="str">
        <f>"9422535"</f>
        <v>9422535</v>
      </c>
      <c r="B29157" t="s">
        <v>20081</v>
      </c>
      <c r="C29157" t="s">
        <v>269</v>
      </c>
      <c r="D29157" s="21" t="s">
        <v>34</v>
      </c>
      <c r="E29157" s="21" t="s">
        <v>71</v>
      </c>
      <c r="F29157">
        <v>8910918</v>
      </c>
      <c r="G29157" t="s">
        <v>332</v>
      </c>
      <c r="H29157" s="21">
        <v>567.16999999999996</v>
      </c>
    </row>
    <row r="29158" spans="1:8" customFormat="1" x14ac:dyDescent="0.25">
      <c r="A29158" t="str">
        <f>"367597"</f>
        <v>367597</v>
      </c>
      <c r="B29158" t="s">
        <v>2549</v>
      </c>
      <c r="C29158" t="s">
        <v>55</v>
      </c>
      <c r="D29158" s="21" t="s">
        <v>34</v>
      </c>
      <c r="E29158" s="21" t="s">
        <v>71</v>
      </c>
      <c r="F29158">
        <v>4360123</v>
      </c>
      <c r="G29158" t="s">
        <v>4121</v>
      </c>
      <c r="H29158" s="21">
        <v>567.16999999999996</v>
      </c>
    </row>
    <row r="29159" spans="1:8" customFormat="1" x14ac:dyDescent="0.25">
      <c r="A29159" t="str">
        <f>"461548"</f>
        <v>461548</v>
      </c>
      <c r="B29159" t="s">
        <v>21089</v>
      </c>
      <c r="C29159" t="s">
        <v>269</v>
      </c>
      <c r="D29159" s="21" t="s">
        <v>34</v>
      </c>
      <c r="E29159" s="21" t="s">
        <v>71</v>
      </c>
      <c r="F29159">
        <v>11460029</v>
      </c>
      <c r="G29159" t="s">
        <v>10606</v>
      </c>
      <c r="H29159" s="21">
        <v>567.16999999999996</v>
      </c>
    </row>
    <row r="29160" spans="1:8" customFormat="1" x14ac:dyDescent="0.25">
      <c r="A29160" t="str">
        <f>"194658"</f>
        <v>194658</v>
      </c>
      <c r="B29160" t="s">
        <v>19844</v>
      </c>
      <c r="C29160" t="s">
        <v>275</v>
      </c>
      <c r="D29160" s="21" t="s">
        <v>34</v>
      </c>
      <c r="E29160" s="21" t="s">
        <v>35</v>
      </c>
      <c r="F29160">
        <v>1630185</v>
      </c>
      <c r="G29160" t="s">
        <v>858</v>
      </c>
      <c r="H29160" s="21">
        <v>567.16999999999996</v>
      </c>
    </row>
    <row r="29161" spans="1:8" customFormat="1" x14ac:dyDescent="0.25">
      <c r="A29161" t="str">
        <f>"5946637"</f>
        <v>5946637</v>
      </c>
      <c r="B29161" t="s">
        <v>20967</v>
      </c>
      <c r="C29161" t="s">
        <v>62</v>
      </c>
      <c r="D29161" s="21" t="s">
        <v>34</v>
      </c>
      <c r="E29161" s="21" t="s">
        <v>35</v>
      </c>
      <c r="F29161">
        <v>7590405</v>
      </c>
      <c r="G29161" t="s">
        <v>11198</v>
      </c>
      <c r="H29161" s="21">
        <v>567.16999999999996</v>
      </c>
    </row>
    <row r="29162" spans="1:8" customFormat="1" x14ac:dyDescent="0.25">
      <c r="A29162" t="str">
        <f>"5713691"</f>
        <v>5713691</v>
      </c>
      <c r="B29162" t="s">
        <v>690</v>
      </c>
      <c r="C29162" t="s">
        <v>11542</v>
      </c>
      <c r="D29162" s="21" t="s">
        <v>34</v>
      </c>
      <c r="E29162" s="21" t="s">
        <v>254</v>
      </c>
      <c r="F29162">
        <v>6570088</v>
      </c>
      <c r="G29162" t="s">
        <v>3461</v>
      </c>
      <c r="H29162" s="21">
        <v>567.16999999999996</v>
      </c>
    </row>
    <row r="29163" spans="1:8" customFormat="1" x14ac:dyDescent="0.25">
      <c r="A29163" t="str">
        <f>"582622"</f>
        <v>582622</v>
      </c>
      <c r="B29163" t="s">
        <v>16374</v>
      </c>
      <c r="C29163" t="s">
        <v>360</v>
      </c>
      <c r="D29163" s="21" t="s">
        <v>34</v>
      </c>
      <c r="E29163" s="21" t="s">
        <v>71</v>
      </c>
      <c r="F29163">
        <v>2580012</v>
      </c>
      <c r="G29163" t="s">
        <v>1144</v>
      </c>
      <c r="H29163" s="21">
        <v>567.16999999999996</v>
      </c>
    </row>
    <row r="29164" spans="1:8" customFormat="1" x14ac:dyDescent="0.25">
      <c r="A29164" t="str">
        <f>"2218554"</f>
        <v>2218554</v>
      </c>
      <c r="B29164" t="s">
        <v>10894</v>
      </c>
      <c r="C29164" t="s">
        <v>453</v>
      </c>
      <c r="D29164" s="21" t="s">
        <v>34</v>
      </c>
      <c r="E29164" s="21" t="s">
        <v>254</v>
      </c>
      <c r="F29164">
        <v>3220022</v>
      </c>
      <c r="G29164" t="s">
        <v>27551</v>
      </c>
      <c r="H29164" s="21">
        <v>567.16999999999996</v>
      </c>
    </row>
    <row r="29165" spans="1:8" customFormat="1" x14ac:dyDescent="0.25">
      <c r="A29165" t="str">
        <f>"6314890"</f>
        <v>6314890</v>
      </c>
      <c r="B29165" t="s">
        <v>21179</v>
      </c>
      <c r="C29165" t="s">
        <v>239</v>
      </c>
      <c r="D29165" s="21" t="s">
        <v>34</v>
      </c>
      <c r="E29165" s="21" t="s">
        <v>71</v>
      </c>
      <c r="F29165">
        <v>1630121</v>
      </c>
      <c r="G29165" t="s">
        <v>3663</v>
      </c>
      <c r="H29165" s="21">
        <v>567.04</v>
      </c>
    </row>
    <row r="29166" spans="1:8" customFormat="1" x14ac:dyDescent="0.25">
      <c r="A29166" t="str">
        <f>"512854"</f>
        <v>512854</v>
      </c>
      <c r="B29166" t="s">
        <v>21021</v>
      </c>
      <c r="C29166" t="s">
        <v>719</v>
      </c>
      <c r="D29166" s="21" t="s">
        <v>34</v>
      </c>
      <c r="E29166" s="21" t="s">
        <v>35</v>
      </c>
      <c r="F29166">
        <v>6510004</v>
      </c>
      <c r="G29166" t="s">
        <v>9465</v>
      </c>
      <c r="H29166" s="21">
        <v>567.04</v>
      </c>
    </row>
    <row r="29167" spans="1:8" customFormat="1" x14ac:dyDescent="0.25">
      <c r="A29167" t="str">
        <f>"9537288"</f>
        <v>9537288</v>
      </c>
      <c r="B29167" t="s">
        <v>22038</v>
      </c>
      <c r="C29167" t="s">
        <v>22039</v>
      </c>
      <c r="D29167" s="21" t="s">
        <v>34</v>
      </c>
      <c r="E29167" s="21" t="s">
        <v>35</v>
      </c>
      <c r="F29167">
        <v>8951452</v>
      </c>
      <c r="G29167" t="s">
        <v>9763</v>
      </c>
      <c r="H29167" s="21">
        <v>567.04</v>
      </c>
    </row>
    <row r="29168" spans="1:8" customFormat="1" x14ac:dyDescent="0.25">
      <c r="A29168" t="str">
        <f>"4450004"</f>
        <v>4450004</v>
      </c>
      <c r="B29168" t="s">
        <v>21810</v>
      </c>
      <c r="C29168" t="s">
        <v>109</v>
      </c>
      <c r="D29168" s="21" t="s">
        <v>34</v>
      </c>
      <c r="E29168" s="21" t="s">
        <v>71</v>
      </c>
      <c r="F29168">
        <v>10330117</v>
      </c>
      <c r="G29168" t="s">
        <v>1942</v>
      </c>
      <c r="H29168" s="21">
        <v>566.91999999999996</v>
      </c>
    </row>
    <row r="29169" spans="1:8" customFormat="1" x14ac:dyDescent="0.25">
      <c r="A29169" t="str">
        <f>"8818050"</f>
        <v>8818050</v>
      </c>
      <c r="B29169" t="s">
        <v>23850</v>
      </c>
      <c r="C29169" t="s">
        <v>109</v>
      </c>
      <c r="D29169" s="21" t="s">
        <v>34</v>
      </c>
      <c r="E29169" s="21" t="s">
        <v>71</v>
      </c>
      <c r="F29169">
        <v>6880157</v>
      </c>
      <c r="G29169" t="s">
        <v>19530</v>
      </c>
      <c r="H29169" s="21">
        <v>566.79</v>
      </c>
    </row>
    <row r="29170" spans="1:8" customFormat="1" x14ac:dyDescent="0.25">
      <c r="A29170" t="str">
        <f>"2720888"</f>
        <v>2720888</v>
      </c>
      <c r="B29170" t="s">
        <v>21910</v>
      </c>
      <c r="C29170" t="s">
        <v>269</v>
      </c>
      <c r="D29170" s="21" t="s">
        <v>34</v>
      </c>
      <c r="E29170" s="21" t="s">
        <v>35</v>
      </c>
      <c r="F29170">
        <v>9270180</v>
      </c>
      <c r="G29170" t="s">
        <v>10755</v>
      </c>
      <c r="H29170" s="21">
        <v>566.66999999999996</v>
      </c>
    </row>
    <row r="29171" spans="1:8" customFormat="1" x14ac:dyDescent="0.25">
      <c r="A29171" t="str">
        <f>"648602"</f>
        <v>648602</v>
      </c>
      <c r="B29171" t="s">
        <v>21875</v>
      </c>
      <c r="C29171" t="s">
        <v>204</v>
      </c>
      <c r="D29171" s="21" t="s">
        <v>34</v>
      </c>
      <c r="E29171" s="21" t="s">
        <v>35</v>
      </c>
      <c r="F29171">
        <v>10640010</v>
      </c>
      <c r="G29171" t="s">
        <v>9410</v>
      </c>
      <c r="H29171" s="21">
        <v>566.66999999999996</v>
      </c>
    </row>
    <row r="29172" spans="1:8" customFormat="1" x14ac:dyDescent="0.25">
      <c r="A29172" t="str">
        <f>"6930170"</f>
        <v>6930170</v>
      </c>
      <c r="B29172" t="s">
        <v>20162</v>
      </c>
      <c r="C29172" t="s">
        <v>249</v>
      </c>
      <c r="D29172" s="21" t="s">
        <v>34</v>
      </c>
      <c r="E29172" s="21" t="s">
        <v>254</v>
      </c>
      <c r="F29172">
        <v>1690220</v>
      </c>
      <c r="G29172" t="s">
        <v>16783</v>
      </c>
      <c r="H29172" s="21">
        <v>566.66999999999996</v>
      </c>
    </row>
    <row r="29173" spans="1:8" customFormat="1" x14ac:dyDescent="0.25">
      <c r="A29173" t="str">
        <f>"4454190"</f>
        <v>4454190</v>
      </c>
      <c r="B29173" t="s">
        <v>18573</v>
      </c>
      <c r="C29173" t="s">
        <v>926</v>
      </c>
      <c r="D29173" s="21" t="s">
        <v>34</v>
      </c>
      <c r="E29173" s="21" t="s">
        <v>35</v>
      </c>
      <c r="F29173">
        <v>12440042</v>
      </c>
      <c r="G29173" t="s">
        <v>10312</v>
      </c>
      <c r="H29173" s="21">
        <v>566.66999999999996</v>
      </c>
    </row>
    <row r="29174" spans="1:8" customFormat="1" x14ac:dyDescent="0.25">
      <c r="A29174" t="str">
        <f>"7728863"</f>
        <v>7728863</v>
      </c>
      <c r="B29174" t="s">
        <v>22699</v>
      </c>
      <c r="C29174" t="s">
        <v>262</v>
      </c>
      <c r="D29174" s="21" t="s">
        <v>34</v>
      </c>
      <c r="E29174" s="21" t="s">
        <v>35</v>
      </c>
      <c r="F29174">
        <v>8770988</v>
      </c>
      <c r="G29174" t="s">
        <v>6334</v>
      </c>
      <c r="H29174" s="21">
        <v>566.66999999999996</v>
      </c>
    </row>
    <row r="29175" spans="1:8" customFormat="1" x14ac:dyDescent="0.25">
      <c r="A29175" t="str">
        <f>"7213342"</f>
        <v>7213342</v>
      </c>
      <c r="B29175" t="s">
        <v>3587</v>
      </c>
      <c r="C29175" t="s">
        <v>96</v>
      </c>
      <c r="D29175" s="21" t="s">
        <v>34</v>
      </c>
      <c r="E29175" s="21" t="s">
        <v>35</v>
      </c>
      <c r="F29175">
        <v>12720068</v>
      </c>
      <c r="G29175" t="s">
        <v>15917</v>
      </c>
      <c r="H29175" s="21">
        <v>566.66999999999996</v>
      </c>
    </row>
    <row r="29176" spans="1:8" customFormat="1" x14ac:dyDescent="0.25">
      <c r="A29176" t="str">
        <f>"062781"</f>
        <v>062781</v>
      </c>
      <c r="B29176" t="s">
        <v>21630</v>
      </c>
      <c r="C29176" t="s">
        <v>239</v>
      </c>
      <c r="D29176" s="21" t="s">
        <v>34</v>
      </c>
      <c r="E29176" s="21" t="s">
        <v>254</v>
      </c>
      <c r="F29176">
        <v>13060080</v>
      </c>
      <c r="G29176" t="s">
        <v>14998</v>
      </c>
      <c r="H29176" s="21">
        <v>566.66999999999996</v>
      </c>
    </row>
    <row r="29177" spans="1:8" customFormat="1" x14ac:dyDescent="0.25">
      <c r="A29177" t="str">
        <f>"1424574"</f>
        <v>1424574</v>
      </c>
      <c r="B29177" t="s">
        <v>4987</v>
      </c>
      <c r="C29177" t="s">
        <v>415</v>
      </c>
      <c r="D29177" s="21" t="s">
        <v>34</v>
      </c>
      <c r="E29177" s="21" t="s">
        <v>35</v>
      </c>
      <c r="F29177">
        <v>9140189</v>
      </c>
      <c r="G29177" t="s">
        <v>4200</v>
      </c>
      <c r="H29177" s="21">
        <v>566.66999999999996</v>
      </c>
    </row>
    <row r="29178" spans="1:8" customFormat="1" x14ac:dyDescent="0.25">
      <c r="A29178" t="str">
        <f>"7827291"</f>
        <v>7827291</v>
      </c>
      <c r="B29178" t="s">
        <v>3878</v>
      </c>
      <c r="C29178" t="s">
        <v>33</v>
      </c>
      <c r="D29178" s="21" t="s">
        <v>34</v>
      </c>
      <c r="E29178" s="21" t="s">
        <v>71</v>
      </c>
      <c r="F29178">
        <v>8781267</v>
      </c>
      <c r="G29178" t="s">
        <v>13791</v>
      </c>
      <c r="H29178" s="21">
        <v>566.66999999999996</v>
      </c>
    </row>
    <row r="29179" spans="1:8" customFormat="1" x14ac:dyDescent="0.25">
      <c r="A29179" t="str">
        <f>"595267"</f>
        <v>595267</v>
      </c>
      <c r="B29179" t="s">
        <v>5961</v>
      </c>
      <c r="C29179" t="s">
        <v>453</v>
      </c>
      <c r="D29179" s="21" t="s">
        <v>34</v>
      </c>
      <c r="E29179" s="21" t="s">
        <v>254</v>
      </c>
      <c r="F29179">
        <v>7590184</v>
      </c>
      <c r="G29179" t="s">
        <v>6722</v>
      </c>
      <c r="H29179" s="21">
        <v>566.66999999999996</v>
      </c>
    </row>
    <row r="29180" spans="1:8" customFormat="1" x14ac:dyDescent="0.25">
      <c r="A29180" t="str">
        <f>"9527704"</f>
        <v>9527704</v>
      </c>
      <c r="B29180" t="s">
        <v>2313</v>
      </c>
      <c r="C29180" t="s">
        <v>28120</v>
      </c>
      <c r="D29180" s="21" t="s">
        <v>34</v>
      </c>
      <c r="E29180" s="21" t="s">
        <v>254</v>
      </c>
      <c r="F29180">
        <v>8950330</v>
      </c>
      <c r="G29180" t="s">
        <v>794</v>
      </c>
      <c r="H29180" s="21">
        <v>566.66999999999996</v>
      </c>
    </row>
    <row r="29181" spans="1:8" customFormat="1" x14ac:dyDescent="0.25">
      <c r="A29181" t="str">
        <f>"567158"</f>
        <v>567158</v>
      </c>
      <c r="B29181" t="s">
        <v>28121</v>
      </c>
      <c r="C29181" t="s">
        <v>269</v>
      </c>
      <c r="D29181" s="21" t="s">
        <v>34</v>
      </c>
      <c r="E29181" s="21" t="s">
        <v>71</v>
      </c>
      <c r="F29181">
        <v>3560091</v>
      </c>
      <c r="G29181" t="s">
        <v>27212</v>
      </c>
      <c r="H29181" s="21">
        <v>566.66999999999996</v>
      </c>
    </row>
    <row r="29182" spans="1:8" customFormat="1" x14ac:dyDescent="0.25">
      <c r="A29182" t="str">
        <f>"7412421"</f>
        <v>7412421</v>
      </c>
      <c r="B29182" t="s">
        <v>3573</v>
      </c>
      <c r="C29182" t="s">
        <v>462</v>
      </c>
      <c r="D29182" s="21" t="s">
        <v>34</v>
      </c>
      <c r="E29182" s="21" t="s">
        <v>35</v>
      </c>
      <c r="F29182">
        <v>1740060</v>
      </c>
      <c r="G29182" t="s">
        <v>4907</v>
      </c>
      <c r="H29182" s="21">
        <v>566.66999999999996</v>
      </c>
    </row>
    <row r="29183" spans="1:8" customFormat="1" x14ac:dyDescent="0.25">
      <c r="A29183" t="str">
        <f>"7636892"</f>
        <v>7636892</v>
      </c>
      <c r="B29183" t="s">
        <v>21661</v>
      </c>
      <c r="C29183" t="s">
        <v>2365</v>
      </c>
      <c r="D29183" s="21" t="s">
        <v>34</v>
      </c>
      <c r="E29183" s="21" t="s">
        <v>254</v>
      </c>
      <c r="F29183">
        <v>3220132</v>
      </c>
      <c r="G29183" t="s">
        <v>27242</v>
      </c>
      <c r="H29183" s="21">
        <v>566.66999999999996</v>
      </c>
    </row>
    <row r="29184" spans="1:8" customFormat="1" x14ac:dyDescent="0.25">
      <c r="A29184" t="str">
        <f>"242125"</f>
        <v>242125</v>
      </c>
      <c r="B29184" t="s">
        <v>20200</v>
      </c>
      <c r="C29184" t="s">
        <v>40</v>
      </c>
      <c r="D29184" s="21" t="s">
        <v>34</v>
      </c>
      <c r="E29184" s="21" t="s">
        <v>71</v>
      </c>
      <c r="F29184">
        <v>10240005</v>
      </c>
      <c r="G29184" t="s">
        <v>2496</v>
      </c>
      <c r="H29184" s="21">
        <v>566.66999999999996</v>
      </c>
    </row>
    <row r="29185" spans="1:8" customFormat="1" x14ac:dyDescent="0.25">
      <c r="A29185" t="str">
        <f>"3532857"</f>
        <v>3532857</v>
      </c>
      <c r="B29185" t="s">
        <v>509</v>
      </c>
      <c r="C29185" t="s">
        <v>285</v>
      </c>
      <c r="D29185" s="21" t="s">
        <v>34</v>
      </c>
      <c r="E29185" s="21" t="s">
        <v>35</v>
      </c>
      <c r="F29185">
        <v>3350023</v>
      </c>
      <c r="G29185" t="s">
        <v>12401</v>
      </c>
      <c r="H29185" s="21">
        <v>566.66999999999996</v>
      </c>
    </row>
    <row r="29186" spans="1:8" customFormat="1" x14ac:dyDescent="0.25">
      <c r="A29186" t="str">
        <f>"4218744"</f>
        <v>4218744</v>
      </c>
      <c r="B29186" t="s">
        <v>8695</v>
      </c>
      <c r="C29186" t="s">
        <v>151</v>
      </c>
      <c r="D29186" s="21" t="s">
        <v>34</v>
      </c>
      <c r="E29186" s="21" t="s">
        <v>35</v>
      </c>
      <c r="F29186">
        <v>1420163</v>
      </c>
      <c r="G29186" t="s">
        <v>2424</v>
      </c>
      <c r="H29186" s="21">
        <v>566.66999999999996</v>
      </c>
    </row>
    <row r="29187" spans="1:8" customFormat="1" x14ac:dyDescent="0.25">
      <c r="A29187" t="str">
        <f>"113364"</f>
        <v>113364</v>
      </c>
      <c r="B29187" t="s">
        <v>20388</v>
      </c>
      <c r="C29187" t="s">
        <v>20389</v>
      </c>
      <c r="D29187" s="21" t="s">
        <v>34</v>
      </c>
      <c r="E29187" s="21" t="s">
        <v>71</v>
      </c>
      <c r="F29187">
        <v>11110027</v>
      </c>
      <c r="G29187" t="s">
        <v>713</v>
      </c>
      <c r="H29187" s="21">
        <v>566.66999999999996</v>
      </c>
    </row>
    <row r="29188" spans="1:8" customFormat="1" x14ac:dyDescent="0.25">
      <c r="A29188" t="str">
        <f>"7629065"</f>
        <v>7629065</v>
      </c>
      <c r="B29188" t="s">
        <v>4315</v>
      </c>
      <c r="C29188" t="s">
        <v>55</v>
      </c>
      <c r="D29188" s="21" t="s">
        <v>34</v>
      </c>
      <c r="E29188" s="21" t="s">
        <v>71</v>
      </c>
      <c r="F29188">
        <v>9760447</v>
      </c>
      <c r="G29188" t="s">
        <v>5942</v>
      </c>
      <c r="H29188" s="21">
        <v>566.66999999999996</v>
      </c>
    </row>
    <row r="29189" spans="1:8" customFormat="1" x14ac:dyDescent="0.25">
      <c r="A29189" t="str">
        <f>"777966"</f>
        <v>777966</v>
      </c>
      <c r="B29189" t="s">
        <v>20206</v>
      </c>
      <c r="C29189" t="s">
        <v>1220</v>
      </c>
      <c r="D29189" s="21" t="s">
        <v>34</v>
      </c>
      <c r="E29189" s="21" t="s">
        <v>1089</v>
      </c>
      <c r="F29189">
        <v>8770489</v>
      </c>
      <c r="G29189" t="s">
        <v>1763</v>
      </c>
      <c r="H29189" s="21">
        <v>566.66999999999996</v>
      </c>
    </row>
    <row r="29190" spans="1:8" customFormat="1" x14ac:dyDescent="0.25">
      <c r="A29190" t="str">
        <f>"6921357"</f>
        <v>6921357</v>
      </c>
      <c r="B29190" t="s">
        <v>14806</v>
      </c>
      <c r="C29190" t="s">
        <v>1887</v>
      </c>
      <c r="D29190" s="21" t="s">
        <v>34</v>
      </c>
      <c r="E29190" s="21" t="s">
        <v>1089</v>
      </c>
      <c r="F29190">
        <v>1690212</v>
      </c>
      <c r="G29190" t="s">
        <v>7834</v>
      </c>
      <c r="H29190" s="21">
        <v>566.66999999999996</v>
      </c>
    </row>
    <row r="29191" spans="1:8" customFormat="1" x14ac:dyDescent="0.25">
      <c r="A29191" t="str">
        <f>"035929"</f>
        <v>035929</v>
      </c>
      <c r="B29191" t="s">
        <v>15375</v>
      </c>
      <c r="C29191" t="s">
        <v>428</v>
      </c>
      <c r="D29191" s="21" t="s">
        <v>34</v>
      </c>
      <c r="E29191" s="21" t="s">
        <v>35</v>
      </c>
      <c r="F29191">
        <v>4180729</v>
      </c>
      <c r="G29191" t="s">
        <v>15734</v>
      </c>
      <c r="H29191" s="21">
        <v>566.66999999999996</v>
      </c>
    </row>
    <row r="29192" spans="1:8" customFormat="1" x14ac:dyDescent="0.25">
      <c r="A29192" t="str">
        <f>"5725"</f>
        <v>5725</v>
      </c>
      <c r="B29192" t="s">
        <v>2690</v>
      </c>
      <c r="C29192" t="s">
        <v>156</v>
      </c>
      <c r="D29192" s="21" t="s">
        <v>34</v>
      </c>
      <c r="E29192" s="21" t="s">
        <v>254</v>
      </c>
      <c r="F29192">
        <v>6570005</v>
      </c>
      <c r="G29192" t="s">
        <v>351</v>
      </c>
      <c r="H29192" s="21">
        <v>566.66999999999996</v>
      </c>
    </row>
    <row r="29193" spans="1:8" customFormat="1" x14ac:dyDescent="0.25">
      <c r="A29193" t="str">
        <f>"8521328"</f>
        <v>8521328</v>
      </c>
      <c r="B29193" t="s">
        <v>6558</v>
      </c>
      <c r="C29193" t="s">
        <v>415</v>
      </c>
      <c r="D29193" s="21" t="s">
        <v>34</v>
      </c>
      <c r="E29193" s="21" t="s">
        <v>35</v>
      </c>
      <c r="F29193">
        <v>12850024</v>
      </c>
      <c r="G29193" t="s">
        <v>140</v>
      </c>
      <c r="H29193" s="21">
        <v>566.66999999999996</v>
      </c>
    </row>
    <row r="29194" spans="1:8" customFormat="1" x14ac:dyDescent="0.25">
      <c r="A29194" t="str">
        <f>"3337147"</f>
        <v>3337147</v>
      </c>
      <c r="B29194" t="s">
        <v>19334</v>
      </c>
      <c r="C29194" t="s">
        <v>40</v>
      </c>
      <c r="D29194" s="21" t="s">
        <v>34</v>
      </c>
      <c r="E29194" s="21" t="s">
        <v>71</v>
      </c>
      <c r="F29194">
        <v>10330077</v>
      </c>
      <c r="G29194" t="s">
        <v>4274</v>
      </c>
      <c r="H29194" s="21">
        <v>566.66999999999996</v>
      </c>
    </row>
    <row r="29195" spans="1:8" customFormat="1" x14ac:dyDescent="0.25">
      <c r="A29195" t="str">
        <f>"9110312"</f>
        <v>9110312</v>
      </c>
      <c r="B29195" t="s">
        <v>1897</v>
      </c>
      <c r="C29195" t="s">
        <v>40</v>
      </c>
      <c r="D29195" s="21" t="s">
        <v>34</v>
      </c>
      <c r="E29195" s="21" t="s">
        <v>254</v>
      </c>
      <c r="F29195">
        <v>8910434</v>
      </c>
      <c r="G29195" t="s">
        <v>681</v>
      </c>
      <c r="H29195" s="21">
        <v>566.54</v>
      </c>
    </row>
    <row r="29196" spans="1:8" customFormat="1" x14ac:dyDescent="0.25">
      <c r="A29196" t="str">
        <f>"3715998"</f>
        <v>3715998</v>
      </c>
      <c r="B29196" t="s">
        <v>8887</v>
      </c>
      <c r="C29196" t="s">
        <v>55</v>
      </c>
      <c r="D29196" s="21" t="s">
        <v>34</v>
      </c>
      <c r="E29196" s="21" t="s">
        <v>35</v>
      </c>
      <c r="F29196">
        <v>4370151</v>
      </c>
      <c r="G29196" t="s">
        <v>5304</v>
      </c>
      <c r="H29196" s="21">
        <v>566.41999999999996</v>
      </c>
    </row>
    <row r="29197" spans="1:8" customFormat="1" x14ac:dyDescent="0.25">
      <c r="A29197" t="str">
        <f>"7857112"</f>
        <v>7857112</v>
      </c>
      <c r="B29197" t="s">
        <v>7257</v>
      </c>
      <c r="C29197" t="s">
        <v>415</v>
      </c>
      <c r="D29197" s="21" t="s">
        <v>34</v>
      </c>
      <c r="E29197" s="21" t="s">
        <v>71</v>
      </c>
      <c r="F29197">
        <v>8781196</v>
      </c>
      <c r="G29197" t="s">
        <v>8007</v>
      </c>
      <c r="H29197" s="21">
        <v>566.29</v>
      </c>
    </row>
    <row r="29198" spans="1:8" customFormat="1" x14ac:dyDescent="0.25">
      <c r="A29198" t="str">
        <f>"9529431"</f>
        <v>9529431</v>
      </c>
      <c r="B29198" t="s">
        <v>21816</v>
      </c>
      <c r="C29198" t="s">
        <v>209</v>
      </c>
      <c r="D29198" s="21" t="s">
        <v>34</v>
      </c>
      <c r="E29198" s="21" t="s">
        <v>71</v>
      </c>
      <c r="F29198">
        <v>8950260</v>
      </c>
      <c r="G29198" t="s">
        <v>8564</v>
      </c>
      <c r="H29198" s="21">
        <v>566.29</v>
      </c>
    </row>
    <row r="29199" spans="1:8" customFormat="1" x14ac:dyDescent="0.25">
      <c r="A29199" t="str">
        <f>"7716022"</f>
        <v>7716022</v>
      </c>
      <c r="B29199" t="s">
        <v>20939</v>
      </c>
      <c r="C29199" t="s">
        <v>124</v>
      </c>
      <c r="D29199" s="21" t="s">
        <v>34</v>
      </c>
      <c r="E29199" s="21" t="s">
        <v>71</v>
      </c>
      <c r="F29199">
        <v>8771236</v>
      </c>
      <c r="G29199" t="s">
        <v>386</v>
      </c>
      <c r="H29199" s="21">
        <v>566.16999999999996</v>
      </c>
    </row>
    <row r="29200" spans="1:8" customFormat="1" x14ac:dyDescent="0.25">
      <c r="A29200" t="str">
        <f>"0111317"</f>
        <v>0111317</v>
      </c>
      <c r="B29200" t="s">
        <v>9027</v>
      </c>
      <c r="C29200" t="s">
        <v>598</v>
      </c>
      <c r="D29200" s="21" t="s">
        <v>34</v>
      </c>
      <c r="E29200" s="21" t="s">
        <v>71</v>
      </c>
      <c r="F29200">
        <v>1010020</v>
      </c>
      <c r="G29200" t="s">
        <v>6121</v>
      </c>
      <c r="H29200" s="21">
        <v>566.16999999999996</v>
      </c>
    </row>
    <row r="29201" spans="1:8" customFormat="1" x14ac:dyDescent="0.25">
      <c r="A29201" t="str">
        <f>"749950"</f>
        <v>749950</v>
      </c>
      <c r="B29201" t="s">
        <v>20923</v>
      </c>
      <c r="C29201" t="s">
        <v>55</v>
      </c>
      <c r="D29201" s="21" t="s">
        <v>34</v>
      </c>
      <c r="E29201" s="21" t="s">
        <v>35</v>
      </c>
      <c r="F29201">
        <v>1740045</v>
      </c>
      <c r="G29201" t="s">
        <v>9857</v>
      </c>
      <c r="H29201" s="21">
        <v>566.16999999999996</v>
      </c>
    </row>
    <row r="29202" spans="1:8" customFormat="1" x14ac:dyDescent="0.25">
      <c r="A29202" t="str">
        <f>"323857"</f>
        <v>323857</v>
      </c>
      <c r="B29202" t="s">
        <v>8239</v>
      </c>
      <c r="C29202" t="s">
        <v>121</v>
      </c>
      <c r="D29202" s="21" t="s">
        <v>34</v>
      </c>
      <c r="E29202" s="21" t="s">
        <v>35</v>
      </c>
      <c r="F29202">
        <v>11320005</v>
      </c>
      <c r="G29202" t="s">
        <v>120</v>
      </c>
      <c r="H29202" s="21">
        <v>566.16999999999996</v>
      </c>
    </row>
    <row r="29203" spans="1:8" customFormat="1" x14ac:dyDescent="0.25">
      <c r="A29203" t="str">
        <f>"124569"</f>
        <v>124569</v>
      </c>
      <c r="B29203" t="s">
        <v>17040</v>
      </c>
      <c r="C29203" t="s">
        <v>9790</v>
      </c>
      <c r="D29203" s="21" t="s">
        <v>34</v>
      </c>
      <c r="E29203" s="21" t="s">
        <v>35</v>
      </c>
      <c r="F29203">
        <v>11120044</v>
      </c>
      <c r="G29203" t="s">
        <v>15823</v>
      </c>
      <c r="H29203" s="21">
        <v>566.16999999999996</v>
      </c>
    </row>
    <row r="29204" spans="1:8" customFormat="1" x14ac:dyDescent="0.25">
      <c r="A29204" t="str">
        <f>"7639663"</f>
        <v>7639663</v>
      </c>
      <c r="B29204" t="s">
        <v>19160</v>
      </c>
      <c r="C29204" t="s">
        <v>130</v>
      </c>
      <c r="D29204" s="21" t="s">
        <v>34</v>
      </c>
      <c r="E29204" s="21" t="s">
        <v>35</v>
      </c>
      <c r="F29204">
        <v>9760070</v>
      </c>
      <c r="G29204" t="s">
        <v>6226</v>
      </c>
      <c r="H29204" s="21">
        <v>566.16999999999996</v>
      </c>
    </row>
    <row r="29205" spans="1:8" customFormat="1" x14ac:dyDescent="0.25">
      <c r="A29205" t="str">
        <f>"5979076"</f>
        <v>5979076</v>
      </c>
      <c r="B29205" t="s">
        <v>28122</v>
      </c>
      <c r="C29205" t="s">
        <v>171</v>
      </c>
      <c r="D29205" s="21" t="s">
        <v>34</v>
      </c>
      <c r="E29205" s="21" t="s">
        <v>71</v>
      </c>
      <c r="F29205">
        <v>7590014</v>
      </c>
      <c r="G29205" t="s">
        <v>1326</v>
      </c>
      <c r="H29205" s="21">
        <v>566.16999999999996</v>
      </c>
    </row>
    <row r="29206" spans="1:8" customFormat="1" x14ac:dyDescent="0.25">
      <c r="A29206" t="str">
        <f>"5113792"</f>
        <v>5113792</v>
      </c>
      <c r="B29206" t="s">
        <v>21090</v>
      </c>
      <c r="C29206" t="s">
        <v>4674</v>
      </c>
      <c r="D29206" s="21" t="s">
        <v>34</v>
      </c>
      <c r="E29206" s="21" t="s">
        <v>35</v>
      </c>
      <c r="F29206">
        <v>6510105</v>
      </c>
      <c r="G29206" t="s">
        <v>11107</v>
      </c>
      <c r="H29206" s="21">
        <v>566.16999999999996</v>
      </c>
    </row>
    <row r="29207" spans="1:8" customFormat="1" x14ac:dyDescent="0.25">
      <c r="A29207" t="str">
        <f>"385724"</f>
        <v>385724</v>
      </c>
      <c r="B29207" t="s">
        <v>16194</v>
      </c>
      <c r="C29207" t="s">
        <v>3905</v>
      </c>
      <c r="D29207" s="21" t="s">
        <v>34</v>
      </c>
      <c r="E29207" s="21" t="s">
        <v>1089</v>
      </c>
      <c r="F29207">
        <v>1380290</v>
      </c>
      <c r="G29207" t="s">
        <v>619</v>
      </c>
      <c r="H29207" s="21">
        <v>566.16999999999996</v>
      </c>
    </row>
    <row r="29208" spans="1:8" customFormat="1" x14ac:dyDescent="0.25">
      <c r="A29208" t="str">
        <f>"593660"</f>
        <v>593660</v>
      </c>
      <c r="B29208" t="s">
        <v>21003</v>
      </c>
      <c r="C29208" t="s">
        <v>1142</v>
      </c>
      <c r="D29208" s="21" t="s">
        <v>34</v>
      </c>
      <c r="E29208" s="21" t="s">
        <v>254</v>
      </c>
      <c r="F29208">
        <v>7590218</v>
      </c>
      <c r="G29208" t="s">
        <v>26769</v>
      </c>
      <c r="H29208" s="21">
        <v>566.16999999999996</v>
      </c>
    </row>
    <row r="29209" spans="1:8" customFormat="1" x14ac:dyDescent="0.25">
      <c r="A29209" t="str">
        <f>"3420713"</f>
        <v>3420713</v>
      </c>
      <c r="B29209" t="s">
        <v>134</v>
      </c>
      <c r="C29209" t="s">
        <v>198</v>
      </c>
      <c r="D29209" s="21" t="s">
        <v>34</v>
      </c>
      <c r="E29209" s="21" t="s">
        <v>71</v>
      </c>
      <c r="F29209">
        <v>11340001</v>
      </c>
      <c r="G29209" t="s">
        <v>9248</v>
      </c>
      <c r="H29209" s="21">
        <v>566.16999999999996</v>
      </c>
    </row>
    <row r="29210" spans="1:8" customFormat="1" x14ac:dyDescent="0.25">
      <c r="A29210" t="str">
        <f>"477333"</f>
        <v>477333</v>
      </c>
      <c r="B29210" t="s">
        <v>12905</v>
      </c>
      <c r="C29210" t="s">
        <v>198</v>
      </c>
      <c r="D29210" s="21" t="s">
        <v>34</v>
      </c>
      <c r="E29210" s="21" t="s">
        <v>254</v>
      </c>
      <c r="F29210">
        <v>10470004</v>
      </c>
      <c r="G29210" t="s">
        <v>15474</v>
      </c>
      <c r="H29210" s="21">
        <v>566.16999999999996</v>
      </c>
    </row>
    <row r="29211" spans="1:8" customFormat="1" x14ac:dyDescent="0.25">
      <c r="A29211" t="str">
        <f>"2939505"</f>
        <v>2939505</v>
      </c>
      <c r="B29211" t="s">
        <v>12994</v>
      </c>
      <c r="C29211" t="s">
        <v>60</v>
      </c>
      <c r="D29211" s="21" t="s">
        <v>34</v>
      </c>
      <c r="E29211" s="21" t="s">
        <v>35</v>
      </c>
      <c r="F29211">
        <v>3290283</v>
      </c>
      <c r="G29211" t="s">
        <v>12108</v>
      </c>
      <c r="H29211" s="21">
        <v>566.16999999999996</v>
      </c>
    </row>
    <row r="29212" spans="1:8" customFormat="1" x14ac:dyDescent="0.25">
      <c r="A29212" t="str">
        <f>"5019423"</f>
        <v>5019423</v>
      </c>
      <c r="B29212" t="s">
        <v>2010</v>
      </c>
      <c r="C29212" t="s">
        <v>249</v>
      </c>
      <c r="D29212" s="21" t="s">
        <v>34</v>
      </c>
      <c r="E29212" s="21" t="s">
        <v>71</v>
      </c>
      <c r="F29212">
        <v>9500131</v>
      </c>
      <c r="G29212" t="s">
        <v>1073</v>
      </c>
      <c r="H29212" s="21">
        <v>566.16999999999996</v>
      </c>
    </row>
    <row r="29213" spans="1:8" customFormat="1" x14ac:dyDescent="0.25">
      <c r="A29213" t="str">
        <f>"5733766"</f>
        <v>5733766</v>
      </c>
      <c r="B29213" t="s">
        <v>1516</v>
      </c>
      <c r="C29213" t="s">
        <v>2520</v>
      </c>
      <c r="D29213" s="21" t="s">
        <v>34</v>
      </c>
      <c r="E29213" s="21" t="s">
        <v>35</v>
      </c>
      <c r="F29213">
        <v>6570027</v>
      </c>
      <c r="G29213" t="s">
        <v>395</v>
      </c>
      <c r="H29213" s="21">
        <v>566</v>
      </c>
    </row>
    <row r="29214" spans="1:8" customFormat="1" x14ac:dyDescent="0.25">
      <c r="A29214" t="str">
        <f>"697174"</f>
        <v>697174</v>
      </c>
      <c r="B29214" t="s">
        <v>28123</v>
      </c>
      <c r="C29214" t="s">
        <v>33</v>
      </c>
      <c r="D29214" s="21" t="s">
        <v>34</v>
      </c>
      <c r="E29214" s="21" t="s">
        <v>35</v>
      </c>
      <c r="F29214">
        <v>1690207</v>
      </c>
      <c r="G29214" t="s">
        <v>4232</v>
      </c>
      <c r="H29214" s="21">
        <v>565.91999999999996</v>
      </c>
    </row>
    <row r="29215" spans="1:8" customFormat="1" x14ac:dyDescent="0.25">
      <c r="A29215" t="str">
        <f>"538790"</f>
        <v>538790</v>
      </c>
      <c r="B29215" t="s">
        <v>8608</v>
      </c>
      <c r="C29215" t="s">
        <v>598</v>
      </c>
      <c r="D29215" s="21" t="s">
        <v>34</v>
      </c>
      <c r="E29215" s="21" t="s">
        <v>254</v>
      </c>
      <c r="F29215">
        <v>12530038</v>
      </c>
      <c r="G29215" t="s">
        <v>4955</v>
      </c>
      <c r="H29215" s="21">
        <v>565.91999999999996</v>
      </c>
    </row>
    <row r="29216" spans="1:8" customFormat="1" x14ac:dyDescent="0.25">
      <c r="A29216" t="str">
        <f>"3728872"</f>
        <v>3728872</v>
      </c>
      <c r="B29216" t="s">
        <v>18685</v>
      </c>
      <c r="C29216" t="s">
        <v>171</v>
      </c>
      <c r="D29216" s="21" t="s">
        <v>34</v>
      </c>
      <c r="E29216" s="21" t="s">
        <v>71</v>
      </c>
      <c r="F29216">
        <v>4370608</v>
      </c>
      <c r="G29216" t="s">
        <v>11068</v>
      </c>
      <c r="H29216" s="21">
        <v>565.91999999999996</v>
      </c>
    </row>
    <row r="29217" spans="1:8" customFormat="1" x14ac:dyDescent="0.25">
      <c r="A29217" t="str">
        <f>"9531988"</f>
        <v>9531988</v>
      </c>
      <c r="B29217" t="s">
        <v>1744</v>
      </c>
      <c r="C29217" t="s">
        <v>209</v>
      </c>
      <c r="D29217" s="21" t="s">
        <v>34</v>
      </c>
      <c r="E29217" s="21" t="s">
        <v>35</v>
      </c>
      <c r="F29217">
        <v>8950479</v>
      </c>
      <c r="G29217" t="s">
        <v>728</v>
      </c>
      <c r="H29217" s="21">
        <v>565.79</v>
      </c>
    </row>
    <row r="29218" spans="1:8" customFormat="1" x14ac:dyDescent="0.25">
      <c r="A29218" t="str">
        <f>"6712202"</f>
        <v>6712202</v>
      </c>
      <c r="B29218" t="s">
        <v>20172</v>
      </c>
      <c r="C29218" t="s">
        <v>253</v>
      </c>
      <c r="D29218" s="21" t="s">
        <v>34</v>
      </c>
      <c r="E29218" s="21" t="s">
        <v>254</v>
      </c>
      <c r="F29218">
        <v>6670011</v>
      </c>
      <c r="G29218" t="s">
        <v>5493</v>
      </c>
      <c r="H29218" s="21">
        <v>565.66999999999996</v>
      </c>
    </row>
    <row r="29219" spans="1:8" customFormat="1" x14ac:dyDescent="0.25">
      <c r="A29219" t="str">
        <f>"6111067"</f>
        <v>6111067</v>
      </c>
      <c r="B29219" t="s">
        <v>20970</v>
      </c>
      <c r="C29219" t="s">
        <v>65</v>
      </c>
      <c r="D29219" s="21" t="s">
        <v>34</v>
      </c>
      <c r="E29219" s="21" t="s">
        <v>35</v>
      </c>
      <c r="F29219">
        <v>9610144</v>
      </c>
      <c r="G29219" t="s">
        <v>6311</v>
      </c>
      <c r="H29219" s="21">
        <v>565.66999999999996</v>
      </c>
    </row>
    <row r="29220" spans="1:8" customFormat="1" x14ac:dyDescent="0.25">
      <c r="A29220" t="str">
        <f>"3013253"</f>
        <v>3013253</v>
      </c>
      <c r="B29220" t="s">
        <v>3978</v>
      </c>
      <c r="C29220" t="s">
        <v>1714</v>
      </c>
      <c r="D29220" s="21" t="s">
        <v>34</v>
      </c>
      <c r="E29220" s="21" t="s">
        <v>35</v>
      </c>
      <c r="F29220">
        <v>11300023</v>
      </c>
      <c r="G29220" t="s">
        <v>2679</v>
      </c>
      <c r="H29220" s="21">
        <v>565.66999999999996</v>
      </c>
    </row>
    <row r="29221" spans="1:8" customFormat="1" x14ac:dyDescent="0.25">
      <c r="A29221" t="str">
        <f>"4934056"</f>
        <v>4934056</v>
      </c>
      <c r="B29221" t="s">
        <v>1749</v>
      </c>
      <c r="C29221" t="s">
        <v>119</v>
      </c>
      <c r="D29221" s="21" t="s">
        <v>34</v>
      </c>
      <c r="E29221" s="21" t="s">
        <v>71</v>
      </c>
      <c r="F29221">
        <v>12490080</v>
      </c>
      <c r="G29221" t="s">
        <v>5692</v>
      </c>
      <c r="H29221" s="21">
        <v>565.66999999999996</v>
      </c>
    </row>
    <row r="29222" spans="1:8" customFormat="1" x14ac:dyDescent="0.25">
      <c r="A29222" t="str">
        <f>"5978407"</f>
        <v>5978407</v>
      </c>
      <c r="B29222" t="s">
        <v>28124</v>
      </c>
      <c r="C29222" t="s">
        <v>1104</v>
      </c>
      <c r="D29222" s="21" t="s">
        <v>34</v>
      </c>
      <c r="E29222" s="21" t="s">
        <v>35</v>
      </c>
      <c r="F29222">
        <v>7590315</v>
      </c>
      <c r="G29222" t="s">
        <v>11823</v>
      </c>
      <c r="H29222" s="21">
        <v>565.66999999999996</v>
      </c>
    </row>
    <row r="29223" spans="1:8" customFormat="1" x14ac:dyDescent="0.25">
      <c r="A29223" t="str">
        <f>"513531"</f>
        <v>513531</v>
      </c>
      <c r="B29223" t="s">
        <v>12559</v>
      </c>
      <c r="C29223" t="s">
        <v>169</v>
      </c>
      <c r="D29223" s="21" t="s">
        <v>34</v>
      </c>
      <c r="E29223" s="21" t="s">
        <v>71</v>
      </c>
      <c r="F29223">
        <v>6510067</v>
      </c>
      <c r="G29223" t="s">
        <v>19343</v>
      </c>
      <c r="H29223" s="21">
        <v>565.66999999999996</v>
      </c>
    </row>
    <row r="29224" spans="1:8" customFormat="1" x14ac:dyDescent="0.25">
      <c r="A29224" t="str">
        <f>"4457585"</f>
        <v>4457585</v>
      </c>
      <c r="B29224" t="s">
        <v>28125</v>
      </c>
      <c r="C29224" t="s">
        <v>484</v>
      </c>
      <c r="D29224" s="21" t="s">
        <v>34</v>
      </c>
      <c r="E29224" s="21" t="s">
        <v>35</v>
      </c>
      <c r="F29224">
        <v>12440139</v>
      </c>
      <c r="G29224" t="s">
        <v>2655</v>
      </c>
      <c r="H29224" s="21">
        <v>565.66999999999996</v>
      </c>
    </row>
    <row r="29225" spans="1:8" customFormat="1" x14ac:dyDescent="0.25">
      <c r="A29225" t="str">
        <f>"7612897"</f>
        <v>7612897</v>
      </c>
      <c r="B29225" t="s">
        <v>11147</v>
      </c>
      <c r="C29225" t="s">
        <v>169</v>
      </c>
      <c r="D29225" s="21" t="s">
        <v>34</v>
      </c>
      <c r="E29225" s="21" t="s">
        <v>71</v>
      </c>
      <c r="F29225">
        <v>9270005</v>
      </c>
      <c r="G29225" t="s">
        <v>1255</v>
      </c>
      <c r="H29225" s="21">
        <v>565.66999999999996</v>
      </c>
    </row>
    <row r="29226" spans="1:8" customFormat="1" x14ac:dyDescent="0.25">
      <c r="A29226" t="str">
        <f>"9448605"</f>
        <v>9448605</v>
      </c>
      <c r="B29226" t="s">
        <v>28126</v>
      </c>
      <c r="C29226" t="s">
        <v>28127</v>
      </c>
      <c r="D29226" s="21" t="s">
        <v>34</v>
      </c>
      <c r="E29226" s="21" t="s">
        <v>254</v>
      </c>
      <c r="F29226">
        <v>8940655</v>
      </c>
      <c r="G29226" t="s">
        <v>10168</v>
      </c>
      <c r="H29226" s="21">
        <v>565.66999999999996</v>
      </c>
    </row>
    <row r="29227" spans="1:8" customFormat="1" x14ac:dyDescent="0.25">
      <c r="A29227" t="str">
        <f>"6018002"</f>
        <v>6018002</v>
      </c>
      <c r="B29227" t="s">
        <v>20034</v>
      </c>
      <c r="C29227" t="s">
        <v>2907</v>
      </c>
      <c r="D29227" s="21" t="s">
        <v>34</v>
      </c>
      <c r="E29227" s="21" t="s">
        <v>71</v>
      </c>
      <c r="F29227">
        <v>7600039</v>
      </c>
      <c r="G29227" t="s">
        <v>3151</v>
      </c>
      <c r="H29227" s="21">
        <v>565.66999999999996</v>
      </c>
    </row>
    <row r="29228" spans="1:8" customFormat="1" x14ac:dyDescent="0.25">
      <c r="A29228" t="str">
        <f>"857386"</f>
        <v>857386</v>
      </c>
      <c r="B29228" t="s">
        <v>17596</v>
      </c>
      <c r="C29228" t="s">
        <v>209</v>
      </c>
      <c r="D29228" s="21" t="s">
        <v>34</v>
      </c>
      <c r="E29228" s="21" t="s">
        <v>71</v>
      </c>
      <c r="F29228">
        <v>12850153</v>
      </c>
      <c r="G29228" t="s">
        <v>5794</v>
      </c>
      <c r="H29228" s="21">
        <v>565.66999999999996</v>
      </c>
    </row>
    <row r="29229" spans="1:8" customFormat="1" x14ac:dyDescent="0.25">
      <c r="A29229" t="str">
        <f>"4212890"</f>
        <v>4212890</v>
      </c>
      <c r="B29229" t="s">
        <v>7009</v>
      </c>
      <c r="C29229" t="s">
        <v>305</v>
      </c>
      <c r="D29229" s="21" t="s">
        <v>34</v>
      </c>
      <c r="E29229" s="21" t="s">
        <v>254</v>
      </c>
      <c r="F29229">
        <v>1420006</v>
      </c>
      <c r="G29229" t="s">
        <v>6019</v>
      </c>
      <c r="H29229" s="21">
        <v>565.66999999999996</v>
      </c>
    </row>
    <row r="29230" spans="1:8" customFormat="1" x14ac:dyDescent="0.25">
      <c r="A29230" t="str">
        <f>"3111886"</f>
        <v>3111886</v>
      </c>
      <c r="B29230" t="s">
        <v>22119</v>
      </c>
      <c r="C29230" t="s">
        <v>750</v>
      </c>
      <c r="D29230" s="21" t="s">
        <v>34</v>
      </c>
      <c r="E29230" s="21" t="s">
        <v>71</v>
      </c>
      <c r="F29230">
        <v>11310124</v>
      </c>
      <c r="G29230" t="s">
        <v>7977</v>
      </c>
      <c r="H29230" s="21">
        <v>565.66999999999996</v>
      </c>
    </row>
    <row r="29231" spans="1:8" customFormat="1" x14ac:dyDescent="0.25">
      <c r="A29231" t="str">
        <f>"461413"</f>
        <v>461413</v>
      </c>
      <c r="B29231" t="s">
        <v>17945</v>
      </c>
      <c r="C29231" t="s">
        <v>169</v>
      </c>
      <c r="D29231" s="21" t="s">
        <v>34</v>
      </c>
      <c r="E29231" s="21" t="s">
        <v>71</v>
      </c>
      <c r="F29231">
        <v>9140227</v>
      </c>
      <c r="G29231" t="s">
        <v>5130</v>
      </c>
      <c r="H29231" s="21">
        <v>565.66999999999996</v>
      </c>
    </row>
    <row r="29232" spans="1:8" customFormat="1" x14ac:dyDescent="0.25">
      <c r="A29232" t="str">
        <f>"3011955"</f>
        <v>3011955</v>
      </c>
      <c r="B29232" t="s">
        <v>4244</v>
      </c>
      <c r="C29232" t="s">
        <v>3648</v>
      </c>
      <c r="D29232" s="21" t="s">
        <v>34</v>
      </c>
      <c r="E29232" s="21" t="s">
        <v>254</v>
      </c>
      <c r="F29232">
        <v>11300039</v>
      </c>
      <c r="G29232" t="s">
        <v>10680</v>
      </c>
      <c r="H29232" s="21">
        <v>565.66999999999996</v>
      </c>
    </row>
    <row r="29233" spans="1:8" customFormat="1" x14ac:dyDescent="0.25">
      <c r="A29233" t="str">
        <f>"1910224"</f>
        <v>1910224</v>
      </c>
      <c r="B29233" t="s">
        <v>18640</v>
      </c>
      <c r="C29233" t="s">
        <v>60</v>
      </c>
      <c r="D29233" s="21" t="s">
        <v>34</v>
      </c>
      <c r="E29233" s="21" t="s">
        <v>35</v>
      </c>
      <c r="F29233">
        <v>10190054</v>
      </c>
      <c r="G29233" t="s">
        <v>4189</v>
      </c>
      <c r="H29233" s="21">
        <v>565.66999999999996</v>
      </c>
    </row>
    <row r="29234" spans="1:8" customFormat="1" x14ac:dyDescent="0.25">
      <c r="A29234" t="str">
        <f>"8520385"</f>
        <v>8520385</v>
      </c>
      <c r="B29234" t="s">
        <v>5416</v>
      </c>
      <c r="C29234" t="s">
        <v>244</v>
      </c>
      <c r="D29234" s="21" t="s">
        <v>34</v>
      </c>
      <c r="E29234" s="21" t="s">
        <v>35</v>
      </c>
      <c r="F29234">
        <v>12850162</v>
      </c>
      <c r="G29234" t="s">
        <v>15095</v>
      </c>
      <c r="H29234" s="21">
        <v>565.66999999999996</v>
      </c>
    </row>
    <row r="29235" spans="1:8" customFormat="1" x14ac:dyDescent="0.25">
      <c r="A29235" t="str">
        <f>"4455386"</f>
        <v>4455386</v>
      </c>
      <c r="B29235" t="s">
        <v>23821</v>
      </c>
      <c r="C29235" t="s">
        <v>151</v>
      </c>
      <c r="D29235" s="21" t="s">
        <v>34</v>
      </c>
      <c r="E29235" s="21" t="s">
        <v>35</v>
      </c>
      <c r="F29235">
        <v>12440139</v>
      </c>
      <c r="G29235" t="s">
        <v>2655</v>
      </c>
      <c r="H29235" s="21">
        <v>565.66999999999996</v>
      </c>
    </row>
    <row r="29236" spans="1:8" customFormat="1" x14ac:dyDescent="0.25">
      <c r="A29236" t="str">
        <f>"6210858"</f>
        <v>6210858</v>
      </c>
      <c r="B29236" t="s">
        <v>9645</v>
      </c>
      <c r="C29236" t="s">
        <v>2276</v>
      </c>
      <c r="D29236" s="21" t="s">
        <v>34</v>
      </c>
      <c r="E29236" s="21" t="s">
        <v>71</v>
      </c>
      <c r="F29236">
        <v>7620057</v>
      </c>
      <c r="G29236" t="s">
        <v>184</v>
      </c>
      <c r="H29236" s="21">
        <v>565.66999999999996</v>
      </c>
    </row>
    <row r="29237" spans="1:8" customFormat="1" x14ac:dyDescent="0.25">
      <c r="A29237" t="str">
        <f>"5977569"</f>
        <v>5977569</v>
      </c>
      <c r="B29237" t="s">
        <v>6690</v>
      </c>
      <c r="C29237" t="s">
        <v>2479</v>
      </c>
      <c r="D29237" s="21" t="s">
        <v>34</v>
      </c>
      <c r="E29237" s="21" t="s">
        <v>71</v>
      </c>
      <c r="F29237">
        <v>7590228</v>
      </c>
      <c r="G29237" t="s">
        <v>1798</v>
      </c>
      <c r="H29237" s="21">
        <v>565.66999999999996</v>
      </c>
    </row>
    <row r="29238" spans="1:8" customFormat="1" x14ac:dyDescent="0.25">
      <c r="A29238" t="str">
        <f>"524390"</f>
        <v>524390</v>
      </c>
      <c r="B29238" t="s">
        <v>1490</v>
      </c>
      <c r="C29238" t="s">
        <v>484</v>
      </c>
      <c r="D29238" s="21" t="s">
        <v>34</v>
      </c>
      <c r="E29238" s="21" t="s">
        <v>35</v>
      </c>
      <c r="F29238">
        <v>6520022</v>
      </c>
      <c r="G29238" t="s">
        <v>2041</v>
      </c>
      <c r="H29238" s="21">
        <v>565.66999999999996</v>
      </c>
    </row>
    <row r="29239" spans="1:8" customFormat="1" x14ac:dyDescent="0.25">
      <c r="A29239" t="str">
        <f>"5958686"</f>
        <v>5958686</v>
      </c>
      <c r="B29239" t="s">
        <v>20124</v>
      </c>
      <c r="C29239" t="s">
        <v>750</v>
      </c>
      <c r="D29239" s="21" t="s">
        <v>34</v>
      </c>
      <c r="E29239" s="21" t="s">
        <v>254</v>
      </c>
      <c r="F29239">
        <v>7590068</v>
      </c>
      <c r="G29239" t="s">
        <v>1005</v>
      </c>
      <c r="H29239" s="21">
        <v>565.66999999999996</v>
      </c>
    </row>
    <row r="29240" spans="1:8" customFormat="1" x14ac:dyDescent="0.25">
      <c r="A29240" t="str">
        <f>"9225779"</f>
        <v>9225779</v>
      </c>
      <c r="B29240" t="s">
        <v>10295</v>
      </c>
      <c r="C29240" t="s">
        <v>12515</v>
      </c>
      <c r="D29240" s="21" t="s">
        <v>34</v>
      </c>
      <c r="E29240" s="21" t="s">
        <v>35</v>
      </c>
      <c r="F29240">
        <v>8921316</v>
      </c>
      <c r="G29240" t="s">
        <v>12326</v>
      </c>
      <c r="H29240" s="21">
        <v>565.66999999999996</v>
      </c>
    </row>
    <row r="29241" spans="1:8" customFormat="1" x14ac:dyDescent="0.25">
      <c r="A29241" t="str">
        <f>"6224045"</f>
        <v>6224045</v>
      </c>
      <c r="B29241" t="s">
        <v>21166</v>
      </c>
      <c r="C29241" t="s">
        <v>119</v>
      </c>
      <c r="D29241" s="21" t="s">
        <v>34</v>
      </c>
      <c r="E29241" s="21" t="s">
        <v>35</v>
      </c>
      <c r="F29241">
        <v>7620092</v>
      </c>
      <c r="G29241" t="s">
        <v>9874</v>
      </c>
      <c r="H29241" s="21">
        <v>565.54</v>
      </c>
    </row>
    <row r="29242" spans="1:8" customFormat="1" x14ac:dyDescent="0.25">
      <c r="A29242" t="str">
        <f>"756788"</f>
        <v>756788</v>
      </c>
      <c r="B29242" t="s">
        <v>5755</v>
      </c>
      <c r="C29242" t="s">
        <v>263</v>
      </c>
      <c r="D29242" s="21" t="s">
        <v>34</v>
      </c>
      <c r="E29242" s="21" t="s">
        <v>71</v>
      </c>
      <c r="F29242">
        <v>8750060</v>
      </c>
      <c r="G29242" t="s">
        <v>2821</v>
      </c>
      <c r="H29242" s="21">
        <v>565.54</v>
      </c>
    </row>
    <row r="29243" spans="1:8" customFormat="1" x14ac:dyDescent="0.25">
      <c r="A29243" t="str">
        <f>"9422614"</f>
        <v>9422614</v>
      </c>
      <c r="B29243" t="s">
        <v>20344</v>
      </c>
      <c r="C29243" t="s">
        <v>3905</v>
      </c>
      <c r="D29243" s="21" t="s">
        <v>34</v>
      </c>
      <c r="E29243" s="21" t="s">
        <v>254</v>
      </c>
      <c r="F29243">
        <v>8940326</v>
      </c>
      <c r="G29243" t="s">
        <v>659</v>
      </c>
      <c r="H29243" s="21">
        <v>565.54</v>
      </c>
    </row>
    <row r="29244" spans="1:8" customFormat="1" x14ac:dyDescent="0.25">
      <c r="A29244" t="str">
        <f>"029024"</f>
        <v>029024</v>
      </c>
      <c r="B29244" t="s">
        <v>14869</v>
      </c>
      <c r="C29244" t="s">
        <v>13092</v>
      </c>
      <c r="D29244" s="21" t="s">
        <v>34</v>
      </c>
      <c r="E29244" s="21" t="s">
        <v>35</v>
      </c>
      <c r="F29244">
        <v>7021012</v>
      </c>
      <c r="G29244" t="s">
        <v>14342</v>
      </c>
      <c r="H29244" s="21">
        <v>565.41999999999996</v>
      </c>
    </row>
    <row r="29245" spans="1:8" customFormat="1" x14ac:dyDescent="0.25">
      <c r="A29245" t="str">
        <f>"9534472"</f>
        <v>9534472</v>
      </c>
      <c r="B29245" t="s">
        <v>21802</v>
      </c>
      <c r="C29245" t="s">
        <v>269</v>
      </c>
      <c r="D29245" s="21" t="s">
        <v>34</v>
      </c>
      <c r="E29245" s="21" t="s">
        <v>71</v>
      </c>
      <c r="F29245">
        <v>8951331</v>
      </c>
      <c r="G29245" t="s">
        <v>1134</v>
      </c>
      <c r="H29245" s="21">
        <v>565.41999999999996</v>
      </c>
    </row>
    <row r="29246" spans="1:8" customFormat="1" x14ac:dyDescent="0.25">
      <c r="A29246" t="str">
        <f>"2717831"</f>
        <v>2717831</v>
      </c>
      <c r="B29246" t="s">
        <v>1892</v>
      </c>
      <c r="C29246" t="s">
        <v>209</v>
      </c>
      <c r="D29246" s="21" t="s">
        <v>34</v>
      </c>
      <c r="E29246" s="21" t="s">
        <v>71</v>
      </c>
      <c r="F29246">
        <v>9270188</v>
      </c>
      <c r="G29246" t="s">
        <v>11292</v>
      </c>
      <c r="H29246" s="21">
        <v>565.29</v>
      </c>
    </row>
    <row r="29247" spans="1:8" customFormat="1" x14ac:dyDescent="0.25">
      <c r="A29247" t="str">
        <f>"955830"</f>
        <v>955830</v>
      </c>
      <c r="B29247" t="s">
        <v>2010</v>
      </c>
      <c r="C29247" t="s">
        <v>269</v>
      </c>
      <c r="D29247" s="21" t="s">
        <v>34</v>
      </c>
      <c r="E29247" s="21" t="s">
        <v>254</v>
      </c>
      <c r="F29247">
        <v>8950978</v>
      </c>
      <c r="G29247" t="s">
        <v>1164</v>
      </c>
      <c r="H29247" s="21">
        <v>565.29</v>
      </c>
    </row>
    <row r="29248" spans="1:8" customFormat="1" x14ac:dyDescent="0.25">
      <c r="A29248" t="str">
        <f>"114452"</f>
        <v>114452</v>
      </c>
      <c r="B29248" t="s">
        <v>4296</v>
      </c>
      <c r="C29248" t="s">
        <v>486</v>
      </c>
      <c r="D29248" s="21" t="s">
        <v>34</v>
      </c>
      <c r="E29248" s="21" t="s">
        <v>35</v>
      </c>
      <c r="F29248">
        <v>11340035</v>
      </c>
      <c r="G29248" t="s">
        <v>10724</v>
      </c>
      <c r="H29248" s="21">
        <v>565.16999999999996</v>
      </c>
    </row>
    <row r="29249" spans="1:8" customFormat="1" x14ac:dyDescent="0.25">
      <c r="A29249" t="str">
        <f>"9514078"</f>
        <v>9514078</v>
      </c>
      <c r="B29249" t="s">
        <v>8044</v>
      </c>
      <c r="C29249" t="s">
        <v>198</v>
      </c>
      <c r="D29249" s="21" t="s">
        <v>34</v>
      </c>
      <c r="E29249" s="21" t="s">
        <v>35</v>
      </c>
      <c r="F29249">
        <v>8910642</v>
      </c>
      <c r="G29249" t="s">
        <v>27027</v>
      </c>
      <c r="H29249" s="21">
        <v>565.16999999999996</v>
      </c>
    </row>
    <row r="29250" spans="1:8" customFormat="1" x14ac:dyDescent="0.25">
      <c r="A29250" t="str">
        <f>"761465"</f>
        <v>761465</v>
      </c>
      <c r="B29250" t="s">
        <v>20478</v>
      </c>
      <c r="C29250" t="s">
        <v>20479</v>
      </c>
      <c r="D29250" s="21" t="s">
        <v>34</v>
      </c>
      <c r="E29250" s="21" t="s">
        <v>254</v>
      </c>
      <c r="F29250">
        <v>9760425</v>
      </c>
      <c r="G29250" t="s">
        <v>5012</v>
      </c>
      <c r="H29250" s="21">
        <v>565.16999999999996</v>
      </c>
    </row>
    <row r="29251" spans="1:8" customFormat="1" x14ac:dyDescent="0.25">
      <c r="A29251" t="str">
        <f>"015436"</f>
        <v>015436</v>
      </c>
      <c r="B29251" t="s">
        <v>4125</v>
      </c>
      <c r="C29251" t="s">
        <v>547</v>
      </c>
      <c r="D29251" s="21" t="s">
        <v>34</v>
      </c>
      <c r="E29251" s="21" t="s">
        <v>71</v>
      </c>
      <c r="F29251">
        <v>1010017</v>
      </c>
      <c r="G29251" t="s">
        <v>6502</v>
      </c>
      <c r="H29251" s="21">
        <v>565.16999999999996</v>
      </c>
    </row>
    <row r="29252" spans="1:8" customFormat="1" x14ac:dyDescent="0.25">
      <c r="A29252" t="str">
        <f>"6011545"</f>
        <v>6011545</v>
      </c>
      <c r="B29252" t="s">
        <v>5728</v>
      </c>
      <c r="C29252" t="s">
        <v>415</v>
      </c>
      <c r="D29252" s="21" t="s">
        <v>34</v>
      </c>
      <c r="E29252" s="21" t="s">
        <v>254</v>
      </c>
      <c r="F29252">
        <v>7600015</v>
      </c>
      <c r="G29252" t="s">
        <v>8343</v>
      </c>
      <c r="H29252" s="21">
        <v>565.16999999999996</v>
      </c>
    </row>
    <row r="29253" spans="1:8" customFormat="1" x14ac:dyDescent="0.25">
      <c r="A29253" t="str">
        <f>"9523048"</f>
        <v>9523048</v>
      </c>
      <c r="B29253" t="s">
        <v>21721</v>
      </c>
      <c r="C29253" t="s">
        <v>124</v>
      </c>
      <c r="D29253" s="21" t="s">
        <v>34</v>
      </c>
      <c r="E29253" s="21" t="s">
        <v>35</v>
      </c>
      <c r="F29253">
        <v>8950917</v>
      </c>
      <c r="G29253" t="s">
        <v>3823</v>
      </c>
      <c r="H29253" s="21">
        <v>565.16999999999996</v>
      </c>
    </row>
    <row r="29254" spans="1:8" customFormat="1" x14ac:dyDescent="0.25">
      <c r="A29254" t="str">
        <f>"5939826"</f>
        <v>5939826</v>
      </c>
      <c r="B29254" t="s">
        <v>2761</v>
      </c>
      <c r="C29254" t="s">
        <v>547</v>
      </c>
      <c r="D29254" s="21" t="s">
        <v>34</v>
      </c>
      <c r="E29254" s="21" t="s">
        <v>71</v>
      </c>
      <c r="F29254">
        <v>7590058</v>
      </c>
      <c r="G29254" t="s">
        <v>5044</v>
      </c>
      <c r="H29254" s="21">
        <v>565.16999999999996</v>
      </c>
    </row>
    <row r="29255" spans="1:8" customFormat="1" x14ac:dyDescent="0.25">
      <c r="A29255" t="str">
        <f>"9128112"</f>
        <v>9128112</v>
      </c>
      <c r="B29255" t="s">
        <v>18059</v>
      </c>
      <c r="C29255" t="s">
        <v>1675</v>
      </c>
      <c r="D29255" s="21" t="s">
        <v>34</v>
      </c>
      <c r="E29255" s="21" t="s">
        <v>35</v>
      </c>
      <c r="F29255">
        <v>8910918</v>
      </c>
      <c r="G29255" t="s">
        <v>332</v>
      </c>
      <c r="H29255" s="21">
        <v>565.16999999999996</v>
      </c>
    </row>
    <row r="29256" spans="1:8" customFormat="1" x14ac:dyDescent="0.25">
      <c r="A29256" t="str">
        <f>"2510116"</f>
        <v>2510116</v>
      </c>
      <c r="B29256" t="s">
        <v>22227</v>
      </c>
      <c r="C29256" t="s">
        <v>43</v>
      </c>
      <c r="D29256" s="21" t="s">
        <v>34</v>
      </c>
      <c r="E29256" s="21" t="s">
        <v>35</v>
      </c>
      <c r="F29256">
        <v>2250232</v>
      </c>
      <c r="G29256" t="s">
        <v>14919</v>
      </c>
      <c r="H29256" s="21">
        <v>565.16999999999996</v>
      </c>
    </row>
    <row r="29257" spans="1:8" customFormat="1" x14ac:dyDescent="0.25">
      <c r="A29257" t="str">
        <f>"3538172"</f>
        <v>3538172</v>
      </c>
      <c r="B29257" t="s">
        <v>9122</v>
      </c>
      <c r="C29257" t="s">
        <v>62</v>
      </c>
      <c r="D29257" s="21" t="s">
        <v>34</v>
      </c>
      <c r="E29257" s="21" t="s">
        <v>35</v>
      </c>
      <c r="F29257">
        <v>3350122</v>
      </c>
      <c r="G29257" t="s">
        <v>3069</v>
      </c>
      <c r="H29257" s="21">
        <v>565.16999999999996</v>
      </c>
    </row>
    <row r="29258" spans="1:8" customFormat="1" x14ac:dyDescent="0.25">
      <c r="A29258" t="str">
        <f>"8517818"</f>
        <v>8517818</v>
      </c>
      <c r="B29258" t="s">
        <v>7110</v>
      </c>
      <c r="C29258" t="s">
        <v>119</v>
      </c>
      <c r="D29258" s="21" t="s">
        <v>34</v>
      </c>
      <c r="E29258" s="21" t="s">
        <v>71</v>
      </c>
      <c r="F29258">
        <v>12851025</v>
      </c>
      <c r="G29258" t="s">
        <v>26858</v>
      </c>
      <c r="H29258" s="21">
        <v>565.16999999999996</v>
      </c>
    </row>
    <row r="29259" spans="1:8" customFormat="1" x14ac:dyDescent="0.25">
      <c r="A29259" t="str">
        <f>"5914154"</f>
        <v>5914154</v>
      </c>
      <c r="B29259" t="s">
        <v>20614</v>
      </c>
      <c r="C29259" t="s">
        <v>817</v>
      </c>
      <c r="D29259" s="21" t="s">
        <v>34</v>
      </c>
      <c r="E29259" s="21" t="s">
        <v>1089</v>
      </c>
      <c r="F29259">
        <v>7620168</v>
      </c>
      <c r="G29259" t="s">
        <v>15521</v>
      </c>
      <c r="H29259" s="21">
        <v>565.16999999999996</v>
      </c>
    </row>
    <row r="29260" spans="1:8" customFormat="1" x14ac:dyDescent="0.25">
      <c r="A29260" t="str">
        <f>"7512768"</f>
        <v>7512768</v>
      </c>
      <c r="B29260" t="s">
        <v>16335</v>
      </c>
      <c r="C29260" t="s">
        <v>253</v>
      </c>
      <c r="D29260" s="21" t="s">
        <v>34</v>
      </c>
      <c r="E29260" s="21" t="s">
        <v>71</v>
      </c>
      <c r="F29260">
        <v>8750074</v>
      </c>
      <c r="G29260" t="s">
        <v>698</v>
      </c>
      <c r="H29260" s="21">
        <v>565.16999999999996</v>
      </c>
    </row>
    <row r="29261" spans="1:8" customFormat="1" x14ac:dyDescent="0.25">
      <c r="A29261" t="str">
        <f>"2917299"</f>
        <v>2917299</v>
      </c>
      <c r="B29261" t="s">
        <v>3022</v>
      </c>
      <c r="C29261" t="s">
        <v>3648</v>
      </c>
      <c r="D29261" s="21" t="s">
        <v>34</v>
      </c>
      <c r="E29261" s="21" t="s">
        <v>71</v>
      </c>
      <c r="F29261">
        <v>3290039</v>
      </c>
      <c r="G29261" t="s">
        <v>3988</v>
      </c>
      <c r="H29261" s="21">
        <v>565.16999999999996</v>
      </c>
    </row>
    <row r="29262" spans="1:8" customFormat="1" x14ac:dyDescent="0.25">
      <c r="A29262" t="str">
        <f>"8528922"</f>
        <v>8528922</v>
      </c>
      <c r="B29262" t="s">
        <v>427</v>
      </c>
      <c r="C29262" t="s">
        <v>2752</v>
      </c>
      <c r="D29262" s="21" t="s">
        <v>34</v>
      </c>
      <c r="E29262" s="21" t="s">
        <v>35</v>
      </c>
      <c r="F29262">
        <v>12850165</v>
      </c>
      <c r="G29262" t="s">
        <v>9632</v>
      </c>
      <c r="H29262" s="21">
        <v>565.16999999999996</v>
      </c>
    </row>
    <row r="29263" spans="1:8" customFormat="1" x14ac:dyDescent="0.25">
      <c r="A29263" t="str">
        <f>"2212478"</f>
        <v>2212478</v>
      </c>
      <c r="B29263" t="s">
        <v>28128</v>
      </c>
      <c r="C29263" t="s">
        <v>55</v>
      </c>
      <c r="D29263" s="21" t="s">
        <v>34</v>
      </c>
      <c r="E29263" s="21" t="s">
        <v>35</v>
      </c>
      <c r="F29263">
        <v>3220050</v>
      </c>
      <c r="G29263" t="s">
        <v>28006</v>
      </c>
      <c r="H29263" s="21">
        <v>565.16999999999996</v>
      </c>
    </row>
    <row r="29264" spans="1:8" customFormat="1" x14ac:dyDescent="0.25">
      <c r="A29264" t="str">
        <f>"5613194"</f>
        <v>5613194</v>
      </c>
      <c r="B29264" t="s">
        <v>21801</v>
      </c>
      <c r="C29264" t="s">
        <v>19267</v>
      </c>
      <c r="D29264" s="21" t="s">
        <v>34</v>
      </c>
      <c r="E29264" s="21" t="s">
        <v>35</v>
      </c>
      <c r="F29264">
        <v>3560036</v>
      </c>
      <c r="G29264" t="s">
        <v>910</v>
      </c>
      <c r="H29264" s="21">
        <v>565.16999999999996</v>
      </c>
    </row>
    <row r="29265" spans="1:8" customFormat="1" x14ac:dyDescent="0.25">
      <c r="A29265" t="str">
        <f>"7220469"</f>
        <v>7220469</v>
      </c>
      <c r="B29265" t="s">
        <v>24649</v>
      </c>
      <c r="C29265" t="s">
        <v>187</v>
      </c>
      <c r="D29265" s="21" t="s">
        <v>34</v>
      </c>
      <c r="E29265" s="21" t="s">
        <v>35</v>
      </c>
      <c r="F29265">
        <v>12720049</v>
      </c>
      <c r="G29265" t="s">
        <v>1627</v>
      </c>
      <c r="H29265" s="21">
        <v>565.04</v>
      </c>
    </row>
    <row r="29266" spans="1:8" customFormat="1" x14ac:dyDescent="0.25">
      <c r="A29266" t="str">
        <f>"2937274"</f>
        <v>2937274</v>
      </c>
      <c r="B29266" t="s">
        <v>9102</v>
      </c>
      <c r="C29266" t="s">
        <v>40</v>
      </c>
      <c r="D29266" s="21" t="s">
        <v>34</v>
      </c>
      <c r="E29266" s="21" t="s">
        <v>71</v>
      </c>
      <c r="F29266">
        <v>3290276</v>
      </c>
      <c r="G29266" t="s">
        <v>26710</v>
      </c>
      <c r="H29266" s="21">
        <v>565.04</v>
      </c>
    </row>
    <row r="29267" spans="1:8" customFormat="1" x14ac:dyDescent="0.25">
      <c r="A29267" t="str">
        <f>"8818052"</f>
        <v>8818052</v>
      </c>
      <c r="B29267" t="s">
        <v>4261</v>
      </c>
      <c r="C29267" t="s">
        <v>209</v>
      </c>
      <c r="D29267" s="21" t="s">
        <v>34</v>
      </c>
      <c r="E29267" s="21" t="s">
        <v>71</v>
      </c>
      <c r="F29267">
        <v>6880022</v>
      </c>
      <c r="G29267" t="s">
        <v>339</v>
      </c>
      <c r="H29267" s="21">
        <v>565.04</v>
      </c>
    </row>
    <row r="29268" spans="1:8" customFormat="1" x14ac:dyDescent="0.25">
      <c r="A29268" t="str">
        <f>"847882"</f>
        <v>847882</v>
      </c>
      <c r="B29268" t="s">
        <v>21645</v>
      </c>
      <c r="C29268" t="s">
        <v>263</v>
      </c>
      <c r="D29268" s="21" t="s">
        <v>34</v>
      </c>
      <c r="E29268" s="21" t="s">
        <v>35</v>
      </c>
      <c r="F29268">
        <v>13840012</v>
      </c>
      <c r="G29268" t="s">
        <v>5143</v>
      </c>
      <c r="H29268" s="21">
        <v>564.91999999999996</v>
      </c>
    </row>
    <row r="29269" spans="1:8" customFormat="1" x14ac:dyDescent="0.25">
      <c r="A29269" t="str">
        <f>"9136104"</f>
        <v>9136104</v>
      </c>
      <c r="B29269" t="s">
        <v>28129</v>
      </c>
      <c r="C29269" t="s">
        <v>7441</v>
      </c>
      <c r="D29269" s="21" t="s">
        <v>34</v>
      </c>
      <c r="E29269" s="21" t="s">
        <v>35</v>
      </c>
      <c r="F29269">
        <v>8751163</v>
      </c>
      <c r="G29269" t="s">
        <v>80</v>
      </c>
      <c r="H29269" s="21">
        <v>564.91999999999996</v>
      </c>
    </row>
    <row r="29270" spans="1:8" customFormat="1" x14ac:dyDescent="0.25">
      <c r="A29270" t="str">
        <f>"3832644"</f>
        <v>3832644</v>
      </c>
      <c r="B29270" t="s">
        <v>1422</v>
      </c>
      <c r="C29270" t="s">
        <v>267</v>
      </c>
      <c r="D29270" s="21" t="s">
        <v>34</v>
      </c>
      <c r="E29270" s="21" t="s">
        <v>254</v>
      </c>
      <c r="F29270">
        <v>1380189</v>
      </c>
      <c r="G29270" t="s">
        <v>8143</v>
      </c>
      <c r="H29270" s="21">
        <v>564.91999999999996</v>
      </c>
    </row>
    <row r="29271" spans="1:8" customFormat="1" x14ac:dyDescent="0.25">
      <c r="A29271" t="str">
        <f>"3729442"</f>
        <v>3729442</v>
      </c>
      <c r="B29271" t="s">
        <v>24746</v>
      </c>
      <c r="C29271" t="s">
        <v>43</v>
      </c>
      <c r="D29271" s="21" t="s">
        <v>34</v>
      </c>
      <c r="E29271" s="21" t="s">
        <v>35</v>
      </c>
      <c r="F29271">
        <v>4370596</v>
      </c>
      <c r="G29271" t="s">
        <v>9270</v>
      </c>
      <c r="H29271" s="21">
        <v>564.91999999999996</v>
      </c>
    </row>
    <row r="29272" spans="1:8" customFormat="1" x14ac:dyDescent="0.25">
      <c r="A29272" t="str">
        <f>"1424539"</f>
        <v>1424539</v>
      </c>
      <c r="B29272" t="s">
        <v>21843</v>
      </c>
      <c r="C29272" t="s">
        <v>275</v>
      </c>
      <c r="D29272" s="21" t="s">
        <v>34</v>
      </c>
      <c r="E29272" s="21" t="s">
        <v>35</v>
      </c>
      <c r="F29272">
        <v>9140063</v>
      </c>
      <c r="G29272" t="s">
        <v>4764</v>
      </c>
      <c r="H29272" s="21">
        <v>564.79</v>
      </c>
    </row>
    <row r="29273" spans="1:8" customFormat="1" x14ac:dyDescent="0.25">
      <c r="A29273" t="str">
        <f>"1877"</f>
        <v>1877</v>
      </c>
      <c r="B29273" t="s">
        <v>20651</v>
      </c>
      <c r="C29273" t="s">
        <v>2904</v>
      </c>
      <c r="D29273" s="21" t="s">
        <v>34</v>
      </c>
      <c r="E29273" s="21" t="s">
        <v>1089</v>
      </c>
      <c r="F29273">
        <v>4180057</v>
      </c>
      <c r="G29273" t="s">
        <v>9021</v>
      </c>
      <c r="H29273" s="21">
        <v>564.66999999999996</v>
      </c>
    </row>
    <row r="29274" spans="1:8" customFormat="1" x14ac:dyDescent="0.25">
      <c r="A29274" t="str">
        <f>"3718628"</f>
        <v>3718628</v>
      </c>
      <c r="B29274" t="s">
        <v>22313</v>
      </c>
      <c r="C29274" t="s">
        <v>33</v>
      </c>
      <c r="D29274" s="21" t="s">
        <v>34</v>
      </c>
      <c r="E29274" s="21" t="s">
        <v>35</v>
      </c>
      <c r="F29274">
        <v>4370498</v>
      </c>
      <c r="G29274" t="s">
        <v>10872</v>
      </c>
      <c r="H29274" s="21">
        <v>564.66999999999996</v>
      </c>
    </row>
    <row r="29275" spans="1:8" customFormat="1" x14ac:dyDescent="0.25">
      <c r="A29275" t="str">
        <f>"7111221"</f>
        <v>7111221</v>
      </c>
      <c r="B29275" t="s">
        <v>4218</v>
      </c>
      <c r="C29275" t="s">
        <v>18107</v>
      </c>
      <c r="D29275" s="21" t="s">
        <v>34</v>
      </c>
      <c r="E29275" s="21" t="s">
        <v>254</v>
      </c>
      <c r="F29275">
        <v>2710042</v>
      </c>
      <c r="G29275" t="s">
        <v>1997</v>
      </c>
      <c r="H29275" s="21">
        <v>564.66999999999996</v>
      </c>
    </row>
    <row r="29276" spans="1:8" customFormat="1" x14ac:dyDescent="0.25">
      <c r="A29276" t="str">
        <f>"7923386"</f>
        <v>7923386</v>
      </c>
      <c r="B29276" t="s">
        <v>4352</v>
      </c>
      <c r="C29276" t="s">
        <v>40</v>
      </c>
      <c r="D29276" s="21" t="s">
        <v>34</v>
      </c>
      <c r="E29276" s="21" t="s">
        <v>35</v>
      </c>
      <c r="F29276">
        <v>10790204</v>
      </c>
      <c r="G29276" t="s">
        <v>5681</v>
      </c>
      <c r="H29276" s="21">
        <v>564.66999999999996</v>
      </c>
    </row>
    <row r="29277" spans="1:8" customFormat="1" x14ac:dyDescent="0.25">
      <c r="A29277" t="str">
        <f>"6941575"</f>
        <v>6941575</v>
      </c>
      <c r="B29277" t="s">
        <v>20251</v>
      </c>
      <c r="C29277" t="s">
        <v>2907</v>
      </c>
      <c r="D29277" s="21" t="s">
        <v>34</v>
      </c>
      <c r="E29277" s="21" t="s">
        <v>254</v>
      </c>
      <c r="F29277">
        <v>1690027</v>
      </c>
      <c r="G29277" t="s">
        <v>17499</v>
      </c>
      <c r="H29277" s="21">
        <v>564.66999999999996</v>
      </c>
    </row>
    <row r="29278" spans="1:8" customFormat="1" x14ac:dyDescent="0.25">
      <c r="A29278" t="str">
        <f>"6112829"</f>
        <v>6112829</v>
      </c>
      <c r="B29278" t="s">
        <v>28130</v>
      </c>
      <c r="C29278" t="s">
        <v>415</v>
      </c>
      <c r="D29278" s="21" t="s">
        <v>34</v>
      </c>
      <c r="E29278" s="21" t="s">
        <v>254</v>
      </c>
      <c r="F29278">
        <v>9610055</v>
      </c>
      <c r="G29278" t="s">
        <v>13803</v>
      </c>
      <c r="H29278" s="21">
        <v>564.66999999999996</v>
      </c>
    </row>
    <row r="29279" spans="1:8" customFormat="1" x14ac:dyDescent="0.25">
      <c r="A29279" t="str">
        <f>"3113740"</f>
        <v>3113740</v>
      </c>
      <c r="B29279" t="s">
        <v>24058</v>
      </c>
      <c r="C29279" t="s">
        <v>33</v>
      </c>
      <c r="D29279" s="21" t="s">
        <v>34</v>
      </c>
      <c r="E29279" s="21" t="s">
        <v>71</v>
      </c>
      <c r="F29279">
        <v>11310006</v>
      </c>
      <c r="G29279" t="s">
        <v>419</v>
      </c>
      <c r="H29279" s="21">
        <v>564.66999999999996</v>
      </c>
    </row>
    <row r="29280" spans="1:8" customFormat="1" x14ac:dyDescent="0.25">
      <c r="A29280" t="str">
        <f>"4444150"</f>
        <v>4444150</v>
      </c>
      <c r="B29280" t="s">
        <v>12444</v>
      </c>
      <c r="C29280" t="s">
        <v>1132</v>
      </c>
      <c r="D29280" s="21" t="s">
        <v>34</v>
      </c>
      <c r="E29280" s="21" t="s">
        <v>1089</v>
      </c>
      <c r="F29280">
        <v>12850078</v>
      </c>
      <c r="G29280" t="s">
        <v>5639</v>
      </c>
      <c r="H29280" s="21">
        <v>564.66999999999996</v>
      </c>
    </row>
    <row r="29281" spans="1:8" customFormat="1" x14ac:dyDescent="0.25">
      <c r="A29281" t="str">
        <f>"2926808"</f>
        <v>2926808</v>
      </c>
      <c r="B29281" t="s">
        <v>18415</v>
      </c>
      <c r="C29281" t="s">
        <v>209</v>
      </c>
      <c r="D29281" s="21" t="s">
        <v>34</v>
      </c>
      <c r="E29281" s="21" t="s">
        <v>71</v>
      </c>
      <c r="F29281">
        <v>3290019</v>
      </c>
      <c r="G29281" t="s">
        <v>4452</v>
      </c>
      <c r="H29281" s="21">
        <v>564.66999999999996</v>
      </c>
    </row>
    <row r="29282" spans="1:8" customFormat="1" x14ac:dyDescent="0.25">
      <c r="A29282" t="str">
        <f>"624025"</f>
        <v>624025</v>
      </c>
      <c r="B29282" t="s">
        <v>20871</v>
      </c>
      <c r="C29282" t="s">
        <v>10114</v>
      </c>
      <c r="D29282" s="21" t="s">
        <v>34</v>
      </c>
      <c r="E29282" s="21" t="s">
        <v>71</v>
      </c>
      <c r="F29282">
        <v>7620168</v>
      </c>
      <c r="G29282" t="s">
        <v>15521</v>
      </c>
      <c r="H29282" s="21">
        <v>564.66999999999996</v>
      </c>
    </row>
    <row r="29283" spans="1:8" customFormat="1" x14ac:dyDescent="0.25">
      <c r="A29283" t="str">
        <f>"1418017"</f>
        <v>1418017</v>
      </c>
      <c r="B29283" t="s">
        <v>19738</v>
      </c>
      <c r="C29283" t="s">
        <v>302</v>
      </c>
      <c r="D29283" s="21" t="s">
        <v>34</v>
      </c>
      <c r="E29283" s="21" t="s">
        <v>71</v>
      </c>
      <c r="F29283">
        <v>9140128</v>
      </c>
      <c r="G29283" t="s">
        <v>2798</v>
      </c>
      <c r="H29283" s="21">
        <v>564.66999999999996</v>
      </c>
    </row>
    <row r="29284" spans="1:8" customFormat="1" x14ac:dyDescent="0.25">
      <c r="A29284" t="str">
        <f>"7730274"</f>
        <v>7730274</v>
      </c>
      <c r="B29284" t="s">
        <v>16666</v>
      </c>
      <c r="C29284" t="s">
        <v>209</v>
      </c>
      <c r="D29284" s="21" t="s">
        <v>34</v>
      </c>
      <c r="E29284" s="21" t="s">
        <v>35</v>
      </c>
      <c r="F29284">
        <v>8771501</v>
      </c>
      <c r="G29284" t="s">
        <v>10128</v>
      </c>
      <c r="H29284" s="21">
        <v>564.66999999999996</v>
      </c>
    </row>
    <row r="29285" spans="1:8" customFormat="1" x14ac:dyDescent="0.25">
      <c r="A29285" t="str">
        <f>"616643"</f>
        <v>616643</v>
      </c>
      <c r="B29285" t="s">
        <v>20204</v>
      </c>
      <c r="C29285" t="s">
        <v>415</v>
      </c>
      <c r="D29285" s="21" t="s">
        <v>34</v>
      </c>
      <c r="E29285" s="21" t="s">
        <v>254</v>
      </c>
      <c r="F29285">
        <v>9610004</v>
      </c>
      <c r="G29285" t="s">
        <v>1042</v>
      </c>
      <c r="H29285" s="21">
        <v>564.66999999999996</v>
      </c>
    </row>
    <row r="29286" spans="1:8" customFormat="1" x14ac:dyDescent="0.25">
      <c r="A29286" t="str">
        <f>"4452262"</f>
        <v>4452262</v>
      </c>
      <c r="B29286" t="s">
        <v>2922</v>
      </c>
      <c r="C29286" t="s">
        <v>171</v>
      </c>
      <c r="D29286" s="21" t="s">
        <v>34</v>
      </c>
      <c r="E29286" s="21" t="s">
        <v>35</v>
      </c>
      <c r="F29286">
        <v>12440026</v>
      </c>
      <c r="G29286" t="s">
        <v>2987</v>
      </c>
      <c r="H29286" s="21">
        <v>564.66999999999996</v>
      </c>
    </row>
    <row r="29287" spans="1:8" customFormat="1" x14ac:dyDescent="0.25">
      <c r="A29287" t="str">
        <f>"3729461"</f>
        <v>3729461</v>
      </c>
      <c r="B29287" t="s">
        <v>22878</v>
      </c>
      <c r="C29287" t="s">
        <v>639</v>
      </c>
      <c r="D29287" s="21" t="s">
        <v>34</v>
      </c>
      <c r="E29287" s="21" t="s">
        <v>71</v>
      </c>
      <c r="F29287">
        <v>4370132</v>
      </c>
      <c r="G29287" t="s">
        <v>2262</v>
      </c>
      <c r="H29287" s="21">
        <v>564.66999999999996</v>
      </c>
    </row>
    <row r="29288" spans="1:8" customFormat="1" x14ac:dyDescent="0.25">
      <c r="A29288" t="str">
        <f>"7112001"</f>
        <v>7112001</v>
      </c>
      <c r="B29288" t="s">
        <v>20641</v>
      </c>
      <c r="C29288" t="s">
        <v>40</v>
      </c>
      <c r="D29288" s="21" t="s">
        <v>34</v>
      </c>
      <c r="E29288" s="21" t="s">
        <v>71</v>
      </c>
      <c r="F29288">
        <v>2710042</v>
      </c>
      <c r="G29288" t="s">
        <v>1997</v>
      </c>
      <c r="H29288" s="21">
        <v>564.66999999999996</v>
      </c>
    </row>
    <row r="29289" spans="1:8" customFormat="1" x14ac:dyDescent="0.25">
      <c r="A29289" t="str">
        <f>"5966618"</f>
        <v>5966618</v>
      </c>
      <c r="B29289" t="s">
        <v>392</v>
      </c>
      <c r="C29289" t="s">
        <v>415</v>
      </c>
      <c r="D29289" s="21" t="s">
        <v>34</v>
      </c>
      <c r="E29289" s="21" t="s">
        <v>71</v>
      </c>
      <c r="F29289">
        <v>7590410</v>
      </c>
      <c r="G29289" t="s">
        <v>2048</v>
      </c>
      <c r="H29289" s="21">
        <v>564.66999999999996</v>
      </c>
    </row>
    <row r="29290" spans="1:8" customFormat="1" x14ac:dyDescent="0.25">
      <c r="A29290" t="str">
        <f>"3829945"</f>
        <v>3829945</v>
      </c>
      <c r="B29290" t="s">
        <v>24181</v>
      </c>
      <c r="C29290" t="s">
        <v>211</v>
      </c>
      <c r="D29290" s="21" t="s">
        <v>34</v>
      </c>
      <c r="E29290" s="21" t="s">
        <v>35</v>
      </c>
      <c r="F29290">
        <v>3290277</v>
      </c>
      <c r="G29290" t="s">
        <v>1671</v>
      </c>
      <c r="H29290" s="21">
        <v>564.66999999999996</v>
      </c>
    </row>
    <row r="29291" spans="1:8" customFormat="1" x14ac:dyDescent="0.25">
      <c r="A29291" t="str">
        <f>"9512427"</f>
        <v>9512427</v>
      </c>
      <c r="B29291" t="s">
        <v>3759</v>
      </c>
      <c r="C29291" t="s">
        <v>40</v>
      </c>
      <c r="D29291" s="21" t="s">
        <v>34</v>
      </c>
      <c r="E29291" s="21" t="s">
        <v>254</v>
      </c>
      <c r="F29291">
        <v>7800139</v>
      </c>
      <c r="G29291" t="s">
        <v>6694</v>
      </c>
      <c r="H29291" s="21">
        <v>564.66999999999996</v>
      </c>
    </row>
    <row r="29292" spans="1:8" customFormat="1" x14ac:dyDescent="0.25">
      <c r="A29292" t="str">
        <f>"1314374"</f>
        <v>1314374</v>
      </c>
      <c r="B29292" t="s">
        <v>11422</v>
      </c>
      <c r="C29292" t="s">
        <v>109</v>
      </c>
      <c r="D29292" s="21" t="s">
        <v>34</v>
      </c>
      <c r="E29292" s="21" t="s">
        <v>35</v>
      </c>
      <c r="F29292">
        <v>13130139</v>
      </c>
      <c r="G29292" t="s">
        <v>11785</v>
      </c>
      <c r="H29292" s="21">
        <v>564.66999999999996</v>
      </c>
    </row>
    <row r="29293" spans="1:8" customFormat="1" x14ac:dyDescent="0.25">
      <c r="A29293" t="str">
        <f>"3537432"</f>
        <v>3537432</v>
      </c>
      <c r="B29293" t="s">
        <v>7434</v>
      </c>
      <c r="C29293" t="s">
        <v>87</v>
      </c>
      <c r="D29293" s="21" t="s">
        <v>34</v>
      </c>
      <c r="E29293" s="21" t="s">
        <v>71</v>
      </c>
      <c r="F29293">
        <v>3350011</v>
      </c>
      <c r="G29293" t="s">
        <v>2404</v>
      </c>
      <c r="H29293" s="21">
        <v>564.41999999999996</v>
      </c>
    </row>
    <row r="29294" spans="1:8" customFormat="1" x14ac:dyDescent="0.25">
      <c r="A29294" t="str">
        <f>"5323588"</f>
        <v>5323588</v>
      </c>
      <c r="B29294" t="s">
        <v>16973</v>
      </c>
      <c r="C29294" t="s">
        <v>204</v>
      </c>
      <c r="D29294" s="21" t="s">
        <v>34</v>
      </c>
      <c r="E29294" s="21" t="s">
        <v>35</v>
      </c>
      <c r="F29294">
        <v>12538907</v>
      </c>
      <c r="G29294" t="s">
        <v>9299</v>
      </c>
      <c r="H29294" s="21">
        <v>564.41999999999996</v>
      </c>
    </row>
    <row r="29295" spans="1:8" customFormat="1" x14ac:dyDescent="0.25">
      <c r="A29295" t="str">
        <f>"636256"</f>
        <v>636256</v>
      </c>
      <c r="B29295" t="s">
        <v>20127</v>
      </c>
      <c r="C29295" t="s">
        <v>415</v>
      </c>
      <c r="D29295" s="21" t="s">
        <v>34</v>
      </c>
      <c r="E29295" s="21" t="s">
        <v>35</v>
      </c>
      <c r="F29295">
        <v>1630078</v>
      </c>
      <c r="G29295" t="s">
        <v>326</v>
      </c>
      <c r="H29295" s="21">
        <v>564.16999999999996</v>
      </c>
    </row>
    <row r="29296" spans="1:8" customFormat="1" x14ac:dyDescent="0.25">
      <c r="A29296" t="str">
        <f>"3426610"</f>
        <v>3426610</v>
      </c>
      <c r="B29296" t="s">
        <v>2558</v>
      </c>
      <c r="C29296" t="s">
        <v>40</v>
      </c>
      <c r="D29296" s="21" t="s">
        <v>34</v>
      </c>
      <c r="E29296" s="21" t="s">
        <v>35</v>
      </c>
      <c r="F29296">
        <v>11340001</v>
      </c>
      <c r="G29296" t="s">
        <v>9248</v>
      </c>
      <c r="H29296" s="21">
        <v>564.16999999999996</v>
      </c>
    </row>
    <row r="29297" spans="1:8" customFormat="1" x14ac:dyDescent="0.25">
      <c r="A29297" t="str">
        <f>"2111652"</f>
        <v>2111652</v>
      </c>
      <c r="B29297" t="s">
        <v>22155</v>
      </c>
      <c r="C29297" t="s">
        <v>33</v>
      </c>
      <c r="D29297" s="21" t="s">
        <v>34</v>
      </c>
      <c r="E29297" s="21" t="s">
        <v>71</v>
      </c>
      <c r="F29297">
        <v>2210126</v>
      </c>
      <c r="G29297" t="s">
        <v>10773</v>
      </c>
      <c r="H29297" s="21">
        <v>564.16999999999996</v>
      </c>
    </row>
    <row r="29298" spans="1:8" customFormat="1" x14ac:dyDescent="0.25">
      <c r="A29298" t="str">
        <f>"7480"</f>
        <v>7480</v>
      </c>
      <c r="B29298" t="s">
        <v>4330</v>
      </c>
      <c r="C29298" t="s">
        <v>1914</v>
      </c>
      <c r="D29298" s="21" t="s">
        <v>34</v>
      </c>
      <c r="E29298" s="21" t="s">
        <v>71</v>
      </c>
      <c r="F29298">
        <v>1740075</v>
      </c>
      <c r="G29298" t="s">
        <v>10362</v>
      </c>
      <c r="H29298" s="21">
        <v>564.16999999999996</v>
      </c>
    </row>
    <row r="29299" spans="1:8" customFormat="1" x14ac:dyDescent="0.25">
      <c r="A29299" t="str">
        <f>"2922147"</f>
        <v>2922147</v>
      </c>
      <c r="B29299" t="s">
        <v>20394</v>
      </c>
      <c r="C29299" t="s">
        <v>2520</v>
      </c>
      <c r="D29299" s="21" t="s">
        <v>34</v>
      </c>
      <c r="E29299" s="21" t="s">
        <v>254</v>
      </c>
      <c r="F29299">
        <v>3290217</v>
      </c>
      <c r="G29299" t="s">
        <v>6770</v>
      </c>
      <c r="H29299" s="21">
        <v>564.16999999999996</v>
      </c>
    </row>
    <row r="29300" spans="1:8" customFormat="1" x14ac:dyDescent="0.25">
      <c r="A29300" t="str">
        <f>"9141633"</f>
        <v>9141633</v>
      </c>
      <c r="B29300" t="s">
        <v>21894</v>
      </c>
      <c r="C29300" t="s">
        <v>151</v>
      </c>
      <c r="D29300" s="21" t="s">
        <v>34</v>
      </c>
      <c r="E29300" s="21" t="s">
        <v>35</v>
      </c>
      <c r="F29300">
        <v>8910438</v>
      </c>
      <c r="G29300" t="s">
        <v>761</v>
      </c>
      <c r="H29300" s="21">
        <v>564.16999999999996</v>
      </c>
    </row>
    <row r="29301" spans="1:8" customFormat="1" x14ac:dyDescent="0.25">
      <c r="A29301" t="str">
        <f>"5942077"</f>
        <v>5942077</v>
      </c>
      <c r="B29301" t="s">
        <v>28131</v>
      </c>
      <c r="C29301" t="s">
        <v>28132</v>
      </c>
      <c r="D29301" s="21" t="s">
        <v>34</v>
      </c>
      <c r="E29301" s="21" t="s">
        <v>35</v>
      </c>
      <c r="F29301">
        <v>7590017</v>
      </c>
      <c r="G29301" t="s">
        <v>1316</v>
      </c>
      <c r="H29301" s="21">
        <v>564.16999999999996</v>
      </c>
    </row>
    <row r="29302" spans="1:8" customFormat="1" x14ac:dyDescent="0.25">
      <c r="A29302" t="str">
        <f>"6941523"</f>
        <v>6941523</v>
      </c>
      <c r="B29302" t="s">
        <v>23961</v>
      </c>
      <c r="C29302" t="s">
        <v>1812</v>
      </c>
      <c r="D29302" s="21" t="s">
        <v>34</v>
      </c>
      <c r="E29302" s="21" t="s">
        <v>35</v>
      </c>
      <c r="F29302">
        <v>1690141</v>
      </c>
      <c r="G29302" t="s">
        <v>7448</v>
      </c>
      <c r="H29302" s="21">
        <v>564.16999999999996</v>
      </c>
    </row>
    <row r="29303" spans="1:8" customFormat="1" x14ac:dyDescent="0.25">
      <c r="A29303" t="str">
        <f>"7411299"</f>
        <v>7411299</v>
      </c>
      <c r="B29303" t="s">
        <v>21185</v>
      </c>
      <c r="C29303" t="s">
        <v>486</v>
      </c>
      <c r="D29303" s="21" t="s">
        <v>34</v>
      </c>
      <c r="E29303" s="21" t="s">
        <v>71</v>
      </c>
      <c r="F29303">
        <v>1740075</v>
      </c>
      <c r="G29303" t="s">
        <v>10362</v>
      </c>
      <c r="H29303" s="21">
        <v>564.16999999999996</v>
      </c>
    </row>
    <row r="29304" spans="1:8" customFormat="1" x14ac:dyDescent="0.25">
      <c r="A29304" t="str">
        <f>"905894"</f>
        <v>905894</v>
      </c>
      <c r="B29304" t="s">
        <v>12306</v>
      </c>
      <c r="C29304" t="s">
        <v>62</v>
      </c>
      <c r="D29304" s="21" t="s">
        <v>34</v>
      </c>
      <c r="E29304" s="21" t="s">
        <v>35</v>
      </c>
      <c r="F29304">
        <v>2900047</v>
      </c>
      <c r="G29304" t="s">
        <v>6819</v>
      </c>
      <c r="H29304" s="21">
        <v>564.16999999999996</v>
      </c>
    </row>
    <row r="29305" spans="1:8" customFormat="1" x14ac:dyDescent="0.25">
      <c r="A29305" t="str">
        <f>"822897"</f>
        <v>822897</v>
      </c>
      <c r="B29305" t="s">
        <v>13048</v>
      </c>
      <c r="C29305" t="s">
        <v>415</v>
      </c>
      <c r="D29305" s="21" t="s">
        <v>34</v>
      </c>
      <c r="E29305" s="21" t="s">
        <v>71</v>
      </c>
      <c r="F29305">
        <v>11820027</v>
      </c>
      <c r="G29305" t="s">
        <v>15324</v>
      </c>
      <c r="H29305" s="21">
        <v>564.16999999999996</v>
      </c>
    </row>
    <row r="29306" spans="1:8" customFormat="1" x14ac:dyDescent="0.25">
      <c r="A29306" t="str">
        <f>"318678"</f>
        <v>318678</v>
      </c>
      <c r="B29306" t="s">
        <v>1945</v>
      </c>
      <c r="C29306" t="s">
        <v>9877</v>
      </c>
      <c r="D29306" s="21" t="s">
        <v>34</v>
      </c>
      <c r="E29306" s="21" t="s">
        <v>71</v>
      </c>
      <c r="F29306">
        <v>11310121</v>
      </c>
      <c r="G29306" t="s">
        <v>578</v>
      </c>
      <c r="H29306" s="21">
        <v>564.16999999999996</v>
      </c>
    </row>
    <row r="29307" spans="1:8" customFormat="1" x14ac:dyDescent="0.25">
      <c r="A29307" t="str">
        <f>"5423011"</f>
        <v>5423011</v>
      </c>
      <c r="B29307" t="s">
        <v>21946</v>
      </c>
      <c r="C29307" t="s">
        <v>415</v>
      </c>
      <c r="D29307" s="21" t="s">
        <v>34</v>
      </c>
      <c r="E29307" s="21" t="s">
        <v>71</v>
      </c>
      <c r="F29307">
        <v>6540068</v>
      </c>
      <c r="G29307" t="s">
        <v>21942</v>
      </c>
      <c r="H29307" s="21">
        <v>564.16999999999996</v>
      </c>
    </row>
    <row r="29308" spans="1:8" customFormat="1" x14ac:dyDescent="0.25">
      <c r="A29308" t="str">
        <f>"219573"</f>
        <v>219573</v>
      </c>
      <c r="B29308" t="s">
        <v>20231</v>
      </c>
      <c r="C29308" t="s">
        <v>2479</v>
      </c>
      <c r="D29308" s="21" t="s">
        <v>34</v>
      </c>
      <c r="E29308" s="21" t="s">
        <v>71</v>
      </c>
      <c r="F29308">
        <v>2210005</v>
      </c>
      <c r="G29308" t="s">
        <v>5020</v>
      </c>
      <c r="H29308" s="21">
        <v>564.16999999999996</v>
      </c>
    </row>
    <row r="29309" spans="1:8" customFormat="1" x14ac:dyDescent="0.25">
      <c r="A29309" t="str">
        <f>"3343881"</f>
        <v>3343881</v>
      </c>
      <c r="B29309" t="s">
        <v>22661</v>
      </c>
      <c r="C29309" t="s">
        <v>169</v>
      </c>
      <c r="D29309" s="21" t="s">
        <v>34</v>
      </c>
      <c r="E29309" s="21" t="s">
        <v>35</v>
      </c>
      <c r="F29309">
        <v>11820008</v>
      </c>
      <c r="G29309" t="s">
        <v>294</v>
      </c>
      <c r="H29309" s="21">
        <v>564.16999999999996</v>
      </c>
    </row>
    <row r="29310" spans="1:8" customFormat="1" x14ac:dyDescent="0.25">
      <c r="A29310" t="str">
        <f>"5326081"</f>
        <v>5326081</v>
      </c>
      <c r="B29310" t="s">
        <v>747</v>
      </c>
      <c r="C29310" t="s">
        <v>1697</v>
      </c>
      <c r="D29310" s="21" t="s">
        <v>34</v>
      </c>
      <c r="E29310" s="21" t="s">
        <v>35</v>
      </c>
      <c r="F29310">
        <v>12530016</v>
      </c>
      <c r="G29310" t="s">
        <v>2069</v>
      </c>
      <c r="H29310" s="21">
        <v>564.16999999999996</v>
      </c>
    </row>
    <row r="29311" spans="1:8" customFormat="1" x14ac:dyDescent="0.25">
      <c r="A29311" t="str">
        <f>"6234102"</f>
        <v>6234102</v>
      </c>
      <c r="B29311" t="s">
        <v>6958</v>
      </c>
      <c r="C29311" t="s">
        <v>1588</v>
      </c>
      <c r="D29311" s="21" t="s">
        <v>34</v>
      </c>
      <c r="E29311" s="21" t="s">
        <v>71</v>
      </c>
      <c r="F29311">
        <v>7620036</v>
      </c>
      <c r="G29311" t="s">
        <v>8154</v>
      </c>
      <c r="H29311" s="21">
        <v>564.16999999999996</v>
      </c>
    </row>
    <row r="29312" spans="1:8" customFormat="1" x14ac:dyDescent="0.25">
      <c r="A29312" t="str">
        <f>"0111984"</f>
        <v>0111984</v>
      </c>
      <c r="B29312" t="s">
        <v>18759</v>
      </c>
      <c r="C29312" t="s">
        <v>1142</v>
      </c>
      <c r="D29312" s="21" t="s">
        <v>34</v>
      </c>
      <c r="E29312" s="21" t="s">
        <v>254</v>
      </c>
      <c r="F29312">
        <v>1010023</v>
      </c>
      <c r="G29312" t="s">
        <v>2174</v>
      </c>
      <c r="H29312" s="21">
        <v>564.16999999999996</v>
      </c>
    </row>
    <row r="29313" spans="1:8" customFormat="1" x14ac:dyDescent="0.25">
      <c r="A29313" t="str">
        <f>"6713380"</f>
        <v>6713380</v>
      </c>
      <c r="B29313" t="s">
        <v>3893</v>
      </c>
      <c r="C29313" t="s">
        <v>812</v>
      </c>
      <c r="D29313" s="21" t="s">
        <v>34</v>
      </c>
      <c r="E29313" s="21" t="s">
        <v>254</v>
      </c>
      <c r="F29313">
        <v>6670247</v>
      </c>
      <c r="G29313" t="s">
        <v>7594</v>
      </c>
      <c r="H29313" s="21">
        <v>564.16999999999996</v>
      </c>
    </row>
    <row r="29314" spans="1:8" customFormat="1" x14ac:dyDescent="0.25">
      <c r="A29314" t="str">
        <f>"081379"</f>
        <v>081379</v>
      </c>
      <c r="B29314" t="s">
        <v>19625</v>
      </c>
      <c r="C29314" t="s">
        <v>1199</v>
      </c>
      <c r="D29314" s="21" t="s">
        <v>34</v>
      </c>
      <c r="E29314" s="21" t="s">
        <v>1089</v>
      </c>
      <c r="F29314">
        <v>6080043</v>
      </c>
      <c r="G29314" t="s">
        <v>961</v>
      </c>
      <c r="H29314" s="21">
        <v>564.04</v>
      </c>
    </row>
    <row r="29315" spans="1:8" customFormat="1" x14ac:dyDescent="0.25">
      <c r="A29315" t="str">
        <f>"4216234"</f>
        <v>4216234</v>
      </c>
      <c r="B29315" t="s">
        <v>582</v>
      </c>
      <c r="C29315" t="s">
        <v>1675</v>
      </c>
      <c r="D29315" s="21" t="s">
        <v>34</v>
      </c>
      <c r="E29315" s="21" t="s">
        <v>35</v>
      </c>
      <c r="F29315">
        <v>1420138</v>
      </c>
      <c r="G29315" t="s">
        <v>27002</v>
      </c>
      <c r="H29315" s="21">
        <v>564.04</v>
      </c>
    </row>
    <row r="29316" spans="1:8" customFormat="1" x14ac:dyDescent="0.25">
      <c r="A29316" t="str">
        <f>"3119823"</f>
        <v>3119823</v>
      </c>
      <c r="B29316" t="s">
        <v>4825</v>
      </c>
      <c r="C29316" t="s">
        <v>33</v>
      </c>
      <c r="D29316" s="21" t="s">
        <v>34</v>
      </c>
      <c r="E29316" s="21" t="s">
        <v>35</v>
      </c>
      <c r="F29316">
        <v>11310075</v>
      </c>
      <c r="G29316" t="s">
        <v>2531</v>
      </c>
      <c r="H29316" s="21">
        <v>564</v>
      </c>
    </row>
    <row r="29317" spans="1:8" customFormat="1" x14ac:dyDescent="0.25">
      <c r="A29317" t="str">
        <f>"6220151"</f>
        <v>6220151</v>
      </c>
      <c r="B29317" t="s">
        <v>1407</v>
      </c>
      <c r="C29317" t="s">
        <v>1887</v>
      </c>
      <c r="D29317" s="21" t="s">
        <v>34</v>
      </c>
      <c r="E29317" s="21" t="s">
        <v>35</v>
      </c>
      <c r="F29317">
        <v>7620015</v>
      </c>
      <c r="G29317" t="s">
        <v>377</v>
      </c>
      <c r="H29317" s="21">
        <v>564</v>
      </c>
    </row>
    <row r="29318" spans="1:8" customFormat="1" x14ac:dyDescent="0.25">
      <c r="A29318" t="str">
        <f>"5950806"</f>
        <v>5950806</v>
      </c>
      <c r="B29318" t="s">
        <v>623</v>
      </c>
      <c r="C29318" t="s">
        <v>4623</v>
      </c>
      <c r="D29318" s="21" t="s">
        <v>34</v>
      </c>
      <c r="E29318" s="21" t="s">
        <v>254</v>
      </c>
      <c r="F29318">
        <v>7590061</v>
      </c>
      <c r="G29318" t="s">
        <v>1207</v>
      </c>
      <c r="H29318" s="21">
        <v>564</v>
      </c>
    </row>
    <row r="29319" spans="1:8" customFormat="1" x14ac:dyDescent="0.25">
      <c r="A29319" t="str">
        <f>"9320996"</f>
        <v>9320996</v>
      </c>
      <c r="B29319" t="s">
        <v>14129</v>
      </c>
      <c r="C29319" t="s">
        <v>462</v>
      </c>
      <c r="D29319" s="21" t="s">
        <v>34</v>
      </c>
      <c r="E29319" s="21" t="s">
        <v>71</v>
      </c>
      <c r="F29319">
        <v>8931057</v>
      </c>
      <c r="G29319" t="s">
        <v>1011</v>
      </c>
      <c r="H29319" s="21">
        <v>563.79</v>
      </c>
    </row>
    <row r="29320" spans="1:8" customFormat="1" x14ac:dyDescent="0.25">
      <c r="A29320" t="str">
        <f>"2936442"</f>
        <v>2936442</v>
      </c>
      <c r="B29320" t="s">
        <v>21296</v>
      </c>
      <c r="C29320" t="s">
        <v>139</v>
      </c>
      <c r="D29320" s="21" t="s">
        <v>34</v>
      </c>
      <c r="E29320" s="21" t="s">
        <v>35</v>
      </c>
      <c r="F29320">
        <v>3290215</v>
      </c>
      <c r="G29320" t="s">
        <v>5058</v>
      </c>
      <c r="H29320" s="21">
        <v>563.66999999999996</v>
      </c>
    </row>
    <row r="29321" spans="1:8" customFormat="1" x14ac:dyDescent="0.25">
      <c r="A29321" t="str">
        <f>"2710102"</f>
        <v>2710102</v>
      </c>
      <c r="B29321" t="s">
        <v>4557</v>
      </c>
      <c r="C29321" t="s">
        <v>55</v>
      </c>
      <c r="D29321" s="21" t="s">
        <v>34</v>
      </c>
      <c r="E29321" s="21" t="s">
        <v>254</v>
      </c>
      <c r="F29321">
        <v>9270166</v>
      </c>
      <c r="G29321" t="s">
        <v>16629</v>
      </c>
      <c r="H29321" s="21">
        <v>563.66999999999996</v>
      </c>
    </row>
    <row r="29322" spans="1:8" customFormat="1" x14ac:dyDescent="0.25">
      <c r="A29322" t="str">
        <f>"556233"</f>
        <v>556233</v>
      </c>
      <c r="B29322" t="s">
        <v>20649</v>
      </c>
      <c r="C29322" t="s">
        <v>462</v>
      </c>
      <c r="D29322" s="21" t="s">
        <v>34</v>
      </c>
      <c r="E29322" s="21" t="s">
        <v>71</v>
      </c>
      <c r="F29322">
        <v>6550026</v>
      </c>
      <c r="G29322" t="s">
        <v>14543</v>
      </c>
      <c r="H29322" s="21">
        <v>563.66999999999996</v>
      </c>
    </row>
    <row r="29323" spans="1:8" customFormat="1" x14ac:dyDescent="0.25">
      <c r="A29323" t="str">
        <f>"9A1105"</f>
        <v>9A1105</v>
      </c>
      <c r="B29323" t="s">
        <v>20639</v>
      </c>
      <c r="C29323" t="s">
        <v>249</v>
      </c>
      <c r="D29323" s="21" t="s">
        <v>34</v>
      </c>
      <c r="E29323" s="21" t="s">
        <v>71</v>
      </c>
      <c r="F29323" t="s">
        <v>2849</v>
      </c>
      <c r="G29323" t="s">
        <v>2850</v>
      </c>
      <c r="H29323" s="21">
        <v>563.66999999999996</v>
      </c>
    </row>
    <row r="29324" spans="1:8" customFormat="1" x14ac:dyDescent="0.25">
      <c r="A29324" t="str">
        <f>"1410415"</f>
        <v>1410415</v>
      </c>
      <c r="B29324" t="s">
        <v>6472</v>
      </c>
      <c r="C29324" t="s">
        <v>124</v>
      </c>
      <c r="D29324" s="21" t="s">
        <v>34</v>
      </c>
      <c r="E29324" s="21" t="s">
        <v>71</v>
      </c>
      <c r="F29324">
        <v>9140209</v>
      </c>
      <c r="G29324" t="s">
        <v>27492</v>
      </c>
      <c r="H29324" s="21">
        <v>563.66999999999996</v>
      </c>
    </row>
    <row r="29325" spans="1:8" customFormat="1" x14ac:dyDescent="0.25">
      <c r="A29325" t="str">
        <f>"419071"</f>
        <v>419071</v>
      </c>
      <c r="B29325" t="s">
        <v>9693</v>
      </c>
      <c r="C29325" t="s">
        <v>171</v>
      </c>
      <c r="D29325" s="21" t="s">
        <v>34</v>
      </c>
      <c r="E29325" s="21" t="s">
        <v>71</v>
      </c>
      <c r="F29325">
        <v>4410507</v>
      </c>
      <c r="G29325" t="s">
        <v>19763</v>
      </c>
      <c r="H29325" s="21">
        <v>563.66999999999996</v>
      </c>
    </row>
    <row r="29326" spans="1:8" customFormat="1" x14ac:dyDescent="0.25">
      <c r="A29326" t="str">
        <f>"5951267"</f>
        <v>5951267</v>
      </c>
      <c r="B29326" t="s">
        <v>19288</v>
      </c>
      <c r="C29326" t="s">
        <v>4963</v>
      </c>
      <c r="D29326" s="21" t="s">
        <v>34</v>
      </c>
      <c r="E29326" s="21" t="s">
        <v>35</v>
      </c>
      <c r="F29326">
        <v>7590087</v>
      </c>
      <c r="G29326" t="s">
        <v>2112</v>
      </c>
      <c r="H29326" s="21">
        <v>563.66999999999996</v>
      </c>
    </row>
    <row r="29327" spans="1:8" customFormat="1" x14ac:dyDescent="0.25">
      <c r="A29327" t="str">
        <f>"621475"</f>
        <v>621475</v>
      </c>
      <c r="B29327" t="s">
        <v>8001</v>
      </c>
      <c r="C29327" t="s">
        <v>253</v>
      </c>
      <c r="D29327" s="21" t="s">
        <v>34</v>
      </c>
      <c r="E29327" s="21" t="s">
        <v>1089</v>
      </c>
      <c r="F29327">
        <v>7620108</v>
      </c>
      <c r="G29327" t="s">
        <v>3035</v>
      </c>
      <c r="H29327" s="21">
        <v>563.66999999999996</v>
      </c>
    </row>
    <row r="29328" spans="1:8" customFormat="1" x14ac:dyDescent="0.25">
      <c r="A29328" t="str">
        <f>"1611681"</f>
        <v>1611681</v>
      </c>
      <c r="B29328" t="s">
        <v>20362</v>
      </c>
      <c r="C29328" t="s">
        <v>33</v>
      </c>
      <c r="D29328" s="21" t="s">
        <v>34</v>
      </c>
      <c r="E29328" s="21" t="s">
        <v>71</v>
      </c>
      <c r="F29328">
        <v>10160085</v>
      </c>
      <c r="G29328" t="s">
        <v>10818</v>
      </c>
      <c r="H29328" s="21">
        <v>563.66999999999996</v>
      </c>
    </row>
    <row r="29329" spans="1:8" customFormat="1" x14ac:dyDescent="0.25">
      <c r="A29329" t="str">
        <f>"723168"</f>
        <v>723168</v>
      </c>
      <c r="B29329" t="s">
        <v>7114</v>
      </c>
      <c r="C29329" t="s">
        <v>87</v>
      </c>
      <c r="D29329" s="21" t="s">
        <v>34</v>
      </c>
      <c r="E29329" s="21" t="s">
        <v>71</v>
      </c>
      <c r="F29329">
        <v>12720004</v>
      </c>
      <c r="G29329" t="s">
        <v>2328</v>
      </c>
      <c r="H29329" s="21">
        <v>563.66999999999996</v>
      </c>
    </row>
    <row r="29330" spans="1:8" customFormat="1" x14ac:dyDescent="0.25">
      <c r="A29330" t="str">
        <f>"54662"</f>
        <v>54662</v>
      </c>
      <c r="B29330" t="s">
        <v>6190</v>
      </c>
      <c r="C29330" t="s">
        <v>3073</v>
      </c>
      <c r="D29330" s="21" t="s">
        <v>34</v>
      </c>
      <c r="E29330" s="21" t="s">
        <v>1089</v>
      </c>
      <c r="F29330">
        <v>6540032</v>
      </c>
      <c r="G29330" t="s">
        <v>63</v>
      </c>
      <c r="H29330" s="21">
        <v>563.66999999999996</v>
      </c>
    </row>
    <row r="29331" spans="1:8" customFormat="1" x14ac:dyDescent="0.25">
      <c r="A29331" t="str">
        <f>"9445253"</f>
        <v>9445253</v>
      </c>
      <c r="B29331" t="s">
        <v>20269</v>
      </c>
      <c r="C29331" t="s">
        <v>444</v>
      </c>
      <c r="D29331" s="21" t="s">
        <v>34</v>
      </c>
      <c r="E29331" s="21" t="s">
        <v>71</v>
      </c>
      <c r="F29331">
        <v>8940655</v>
      </c>
      <c r="G29331" t="s">
        <v>10168</v>
      </c>
      <c r="H29331" s="21">
        <v>563.66999999999996</v>
      </c>
    </row>
    <row r="29332" spans="1:8" customFormat="1" x14ac:dyDescent="0.25">
      <c r="A29332" t="str">
        <f>"5967377"</f>
        <v>5967377</v>
      </c>
      <c r="B29332" t="s">
        <v>17721</v>
      </c>
      <c r="C29332" t="s">
        <v>40</v>
      </c>
      <c r="D29332" s="21" t="s">
        <v>34</v>
      </c>
      <c r="E29332" s="21" t="s">
        <v>254</v>
      </c>
      <c r="F29332">
        <v>11310131</v>
      </c>
      <c r="G29332" t="s">
        <v>16303</v>
      </c>
      <c r="H29332" s="21">
        <v>563.66999999999996</v>
      </c>
    </row>
    <row r="29333" spans="1:8" customFormat="1" x14ac:dyDescent="0.25">
      <c r="A29333" t="str">
        <f>"8316596"</f>
        <v>8316596</v>
      </c>
      <c r="B29333" t="s">
        <v>28133</v>
      </c>
      <c r="C29333" t="s">
        <v>87</v>
      </c>
      <c r="D29333" s="21" t="s">
        <v>34</v>
      </c>
      <c r="E29333" s="21" t="s">
        <v>35</v>
      </c>
      <c r="F29333">
        <v>13830064</v>
      </c>
      <c r="G29333" t="s">
        <v>8410</v>
      </c>
      <c r="H29333" s="21">
        <v>563.66999999999996</v>
      </c>
    </row>
    <row r="29334" spans="1:8" customFormat="1" x14ac:dyDescent="0.25">
      <c r="A29334" t="str">
        <f>"6216350"</f>
        <v>6216350</v>
      </c>
      <c r="B29334" t="s">
        <v>8764</v>
      </c>
      <c r="C29334" t="s">
        <v>169</v>
      </c>
      <c r="D29334" s="21" t="s">
        <v>34</v>
      </c>
      <c r="E29334" s="21" t="s">
        <v>35</v>
      </c>
      <c r="F29334">
        <v>7620153</v>
      </c>
      <c r="G29334" t="s">
        <v>5104</v>
      </c>
      <c r="H29334" s="21">
        <v>563.66999999999996</v>
      </c>
    </row>
    <row r="29335" spans="1:8" customFormat="1" x14ac:dyDescent="0.25">
      <c r="A29335" t="str">
        <f>"6211225"</f>
        <v>6211225</v>
      </c>
      <c r="B29335" t="s">
        <v>6871</v>
      </c>
      <c r="C29335" t="s">
        <v>320</v>
      </c>
      <c r="D29335" s="21" t="s">
        <v>34</v>
      </c>
      <c r="E29335" s="21" t="s">
        <v>35</v>
      </c>
      <c r="F29335">
        <v>7620104</v>
      </c>
      <c r="G29335" t="s">
        <v>635</v>
      </c>
      <c r="H29335" s="21">
        <v>563.66999999999996</v>
      </c>
    </row>
    <row r="29336" spans="1:8" customFormat="1" x14ac:dyDescent="0.25">
      <c r="A29336" t="str">
        <f>"49515"</f>
        <v>49515</v>
      </c>
      <c r="B29336" t="s">
        <v>20684</v>
      </c>
      <c r="C29336" t="s">
        <v>3073</v>
      </c>
      <c r="D29336" s="21" t="s">
        <v>34</v>
      </c>
      <c r="E29336" s="21" t="s">
        <v>1089</v>
      </c>
      <c r="F29336">
        <v>12490017</v>
      </c>
      <c r="G29336" t="s">
        <v>9393</v>
      </c>
      <c r="H29336" s="21">
        <v>563.66999999999996</v>
      </c>
    </row>
    <row r="29337" spans="1:8" customFormat="1" x14ac:dyDescent="0.25">
      <c r="A29337" t="str">
        <f>"5982724"</f>
        <v>5982724</v>
      </c>
      <c r="B29337" t="s">
        <v>10824</v>
      </c>
      <c r="C29337" t="s">
        <v>233</v>
      </c>
      <c r="D29337" s="21" t="s">
        <v>34</v>
      </c>
      <c r="E29337" s="21" t="s">
        <v>35</v>
      </c>
      <c r="F29337">
        <v>7590063</v>
      </c>
      <c r="G29337" t="s">
        <v>3426</v>
      </c>
      <c r="H29337" s="21">
        <v>563.66999999999996</v>
      </c>
    </row>
    <row r="29338" spans="1:8" customFormat="1" x14ac:dyDescent="0.25">
      <c r="A29338" t="str">
        <f>"6712348"</f>
        <v>6712348</v>
      </c>
      <c r="B29338" t="s">
        <v>20111</v>
      </c>
      <c r="C29338" t="s">
        <v>1489</v>
      </c>
      <c r="D29338" s="21" t="s">
        <v>34</v>
      </c>
      <c r="E29338" s="21" t="s">
        <v>1089</v>
      </c>
      <c r="F29338">
        <v>6670216</v>
      </c>
      <c r="G29338" t="s">
        <v>2194</v>
      </c>
      <c r="H29338" s="21">
        <v>563.66999999999996</v>
      </c>
    </row>
    <row r="29339" spans="1:8" customFormat="1" x14ac:dyDescent="0.25">
      <c r="A29339" t="str">
        <f>"5723954"</f>
        <v>5723954</v>
      </c>
      <c r="B29339" t="s">
        <v>28134</v>
      </c>
      <c r="C29339" t="s">
        <v>87</v>
      </c>
      <c r="D29339" s="21" t="s">
        <v>34</v>
      </c>
      <c r="E29339" s="21" t="s">
        <v>35</v>
      </c>
      <c r="F29339">
        <v>6570107</v>
      </c>
      <c r="G29339" t="s">
        <v>5598</v>
      </c>
      <c r="H29339" s="21">
        <v>563.66999999999996</v>
      </c>
    </row>
    <row r="29340" spans="1:8" customFormat="1" x14ac:dyDescent="0.25">
      <c r="A29340" t="str">
        <f>"2220182"</f>
        <v>2220182</v>
      </c>
      <c r="B29340" t="s">
        <v>23981</v>
      </c>
      <c r="C29340" t="s">
        <v>288</v>
      </c>
      <c r="D29340" s="21" t="s">
        <v>34</v>
      </c>
      <c r="E29340" s="21" t="s">
        <v>35</v>
      </c>
      <c r="F29340">
        <v>3220011</v>
      </c>
      <c r="G29340" t="s">
        <v>27394</v>
      </c>
      <c r="H29340" s="21">
        <v>563.66999999999996</v>
      </c>
    </row>
    <row r="29341" spans="1:8" customFormat="1" x14ac:dyDescent="0.25">
      <c r="A29341" t="str">
        <f>"5012149"</f>
        <v>5012149</v>
      </c>
      <c r="B29341" t="s">
        <v>28135</v>
      </c>
      <c r="C29341" t="s">
        <v>267</v>
      </c>
      <c r="D29341" s="21" t="s">
        <v>34</v>
      </c>
      <c r="E29341" s="21" t="s">
        <v>254</v>
      </c>
      <c r="F29341">
        <v>9500162</v>
      </c>
      <c r="G29341" t="s">
        <v>11252</v>
      </c>
      <c r="H29341" s="21">
        <v>563.66999999999996</v>
      </c>
    </row>
    <row r="29342" spans="1:8" customFormat="1" x14ac:dyDescent="0.25">
      <c r="A29342" t="str">
        <f>"854297"</f>
        <v>854297</v>
      </c>
      <c r="B29342" t="s">
        <v>19754</v>
      </c>
      <c r="C29342" t="s">
        <v>1605</v>
      </c>
      <c r="D29342" s="21" t="s">
        <v>34</v>
      </c>
      <c r="E29342" s="21" t="s">
        <v>254</v>
      </c>
      <c r="F29342">
        <v>12850043</v>
      </c>
      <c r="G29342" t="s">
        <v>4873</v>
      </c>
      <c r="H29342" s="21">
        <v>563.66999999999996</v>
      </c>
    </row>
    <row r="29343" spans="1:8" customFormat="1" x14ac:dyDescent="0.25">
      <c r="A29343" t="str">
        <f>"1613978"</f>
        <v>1613978</v>
      </c>
      <c r="B29343" t="s">
        <v>1322</v>
      </c>
      <c r="C29343" t="s">
        <v>65</v>
      </c>
      <c r="D29343" s="21" t="s">
        <v>34</v>
      </c>
      <c r="E29343" s="21" t="s">
        <v>35</v>
      </c>
      <c r="F29343">
        <v>10160069</v>
      </c>
      <c r="G29343" t="s">
        <v>5379</v>
      </c>
      <c r="H29343" s="21">
        <v>563.66999999999996</v>
      </c>
    </row>
    <row r="29344" spans="1:8" customFormat="1" x14ac:dyDescent="0.25">
      <c r="A29344" t="str">
        <f>"9522668"</f>
        <v>9522668</v>
      </c>
      <c r="B29344" t="s">
        <v>28136</v>
      </c>
      <c r="C29344" t="s">
        <v>62</v>
      </c>
      <c r="D29344" s="21" t="s">
        <v>34</v>
      </c>
      <c r="E29344" s="21" t="s">
        <v>71</v>
      </c>
      <c r="F29344">
        <v>8780568</v>
      </c>
      <c r="G29344" t="s">
        <v>5279</v>
      </c>
      <c r="H29344" s="21">
        <v>563.66999999999996</v>
      </c>
    </row>
    <row r="29345" spans="1:8" customFormat="1" x14ac:dyDescent="0.25">
      <c r="A29345" t="str">
        <f>"1612665"</f>
        <v>1612665</v>
      </c>
      <c r="B29345" t="s">
        <v>2302</v>
      </c>
      <c r="C29345" t="s">
        <v>547</v>
      </c>
      <c r="D29345" s="21" t="s">
        <v>34</v>
      </c>
      <c r="E29345" s="21" t="s">
        <v>254</v>
      </c>
      <c r="F29345">
        <v>10160029</v>
      </c>
      <c r="G29345" t="s">
        <v>896</v>
      </c>
      <c r="H29345" s="21">
        <v>563.66999999999996</v>
      </c>
    </row>
    <row r="29346" spans="1:8" customFormat="1" x14ac:dyDescent="0.25">
      <c r="A29346" t="str">
        <f>"6112344"</f>
        <v>6112344</v>
      </c>
      <c r="B29346" t="s">
        <v>17105</v>
      </c>
      <c r="C29346" t="s">
        <v>2322</v>
      </c>
      <c r="D29346" s="21" t="s">
        <v>34</v>
      </c>
      <c r="E29346" s="21" t="s">
        <v>35</v>
      </c>
      <c r="F29346">
        <v>9610031</v>
      </c>
      <c r="G29346" t="s">
        <v>1792</v>
      </c>
      <c r="H29346" s="21">
        <v>563.66999999999996</v>
      </c>
    </row>
    <row r="29347" spans="1:8" customFormat="1" x14ac:dyDescent="0.25">
      <c r="A29347" t="str">
        <f>"307077"</f>
        <v>307077</v>
      </c>
      <c r="B29347" t="s">
        <v>4352</v>
      </c>
      <c r="C29347" t="s">
        <v>598</v>
      </c>
      <c r="D29347" s="21" t="s">
        <v>34</v>
      </c>
      <c r="E29347" s="21" t="s">
        <v>254</v>
      </c>
      <c r="F29347">
        <v>11810032</v>
      </c>
      <c r="G29347" t="s">
        <v>7859</v>
      </c>
      <c r="H29347" s="21">
        <v>563.54</v>
      </c>
    </row>
    <row r="29348" spans="1:8" customFormat="1" x14ac:dyDescent="0.25">
      <c r="A29348" t="str">
        <f>"847921"</f>
        <v>847921</v>
      </c>
      <c r="B29348" t="s">
        <v>21455</v>
      </c>
      <c r="C29348" t="s">
        <v>209</v>
      </c>
      <c r="D29348" s="21" t="s">
        <v>34</v>
      </c>
      <c r="E29348" s="21" t="s">
        <v>71</v>
      </c>
      <c r="F29348">
        <v>13840004</v>
      </c>
      <c r="G29348" t="s">
        <v>8611</v>
      </c>
      <c r="H29348" s="21">
        <v>563.54</v>
      </c>
    </row>
    <row r="29349" spans="1:8" customFormat="1" x14ac:dyDescent="0.25">
      <c r="A29349" t="str">
        <f>"324157"</f>
        <v>324157</v>
      </c>
      <c r="B29349" t="s">
        <v>21779</v>
      </c>
      <c r="C29349" t="s">
        <v>3010</v>
      </c>
      <c r="D29349" s="21" t="s">
        <v>34</v>
      </c>
      <c r="E29349" s="21" t="s">
        <v>71</v>
      </c>
      <c r="F29349">
        <v>11320027</v>
      </c>
      <c r="G29349" t="s">
        <v>8305</v>
      </c>
      <c r="H29349" s="21">
        <v>563.5</v>
      </c>
    </row>
    <row r="29350" spans="1:8" customFormat="1" x14ac:dyDescent="0.25">
      <c r="A29350" t="str">
        <f>"5319507"</f>
        <v>5319507</v>
      </c>
      <c r="B29350" t="s">
        <v>21723</v>
      </c>
      <c r="C29350" t="s">
        <v>1025</v>
      </c>
      <c r="D29350" s="21" t="s">
        <v>34</v>
      </c>
      <c r="E29350" s="21" t="s">
        <v>71</v>
      </c>
      <c r="F29350">
        <v>12538904</v>
      </c>
      <c r="G29350" t="s">
        <v>12489</v>
      </c>
      <c r="H29350" s="21">
        <v>563.41999999999996</v>
      </c>
    </row>
    <row r="29351" spans="1:8" customFormat="1" x14ac:dyDescent="0.25">
      <c r="A29351" t="str">
        <f>"4113544"</f>
        <v>4113544</v>
      </c>
      <c r="B29351" t="s">
        <v>5200</v>
      </c>
      <c r="C29351" t="s">
        <v>109</v>
      </c>
      <c r="D29351" s="21" t="s">
        <v>34</v>
      </c>
      <c r="E29351" s="21" t="s">
        <v>35</v>
      </c>
      <c r="F29351">
        <v>4410279</v>
      </c>
      <c r="G29351" t="s">
        <v>3499</v>
      </c>
      <c r="H29351" s="21">
        <v>563.41999999999996</v>
      </c>
    </row>
    <row r="29352" spans="1:8" customFormat="1" x14ac:dyDescent="0.25">
      <c r="A29352" t="str">
        <f>"9320872"</f>
        <v>9320872</v>
      </c>
      <c r="B29352" t="s">
        <v>2460</v>
      </c>
      <c r="C29352" t="s">
        <v>311</v>
      </c>
      <c r="D29352" s="21" t="s">
        <v>34</v>
      </c>
      <c r="E29352" s="21" t="s">
        <v>35</v>
      </c>
      <c r="F29352">
        <v>8931313</v>
      </c>
      <c r="G29352" t="s">
        <v>3305</v>
      </c>
      <c r="H29352" s="21">
        <v>563.41999999999996</v>
      </c>
    </row>
    <row r="29353" spans="1:8" customFormat="1" x14ac:dyDescent="0.25">
      <c r="A29353" t="str">
        <f>"7880056"</f>
        <v>7880056</v>
      </c>
      <c r="B29353" t="s">
        <v>21644</v>
      </c>
      <c r="C29353" t="s">
        <v>879</v>
      </c>
      <c r="D29353" s="21" t="s">
        <v>34</v>
      </c>
      <c r="E29353" s="21" t="s">
        <v>71</v>
      </c>
      <c r="F29353">
        <v>8781469</v>
      </c>
      <c r="G29353" t="s">
        <v>4779</v>
      </c>
      <c r="H29353" s="21">
        <v>563.41999999999996</v>
      </c>
    </row>
    <row r="29354" spans="1:8" customFormat="1" x14ac:dyDescent="0.25">
      <c r="A29354" t="str">
        <f>"7726164"</f>
        <v>7726164</v>
      </c>
      <c r="B29354" t="s">
        <v>20190</v>
      </c>
      <c r="C29354" t="s">
        <v>249</v>
      </c>
      <c r="D29354" s="21" t="s">
        <v>34</v>
      </c>
      <c r="E29354" s="21" t="s">
        <v>71</v>
      </c>
      <c r="F29354">
        <v>8771303</v>
      </c>
      <c r="G29354" t="s">
        <v>13447</v>
      </c>
      <c r="H29354" s="21">
        <v>563.41999999999996</v>
      </c>
    </row>
    <row r="29355" spans="1:8" customFormat="1" x14ac:dyDescent="0.25">
      <c r="A29355" t="str">
        <f>"7413447"</f>
        <v>7413447</v>
      </c>
      <c r="B29355" t="s">
        <v>7586</v>
      </c>
      <c r="C29355" t="s">
        <v>62</v>
      </c>
      <c r="D29355" s="21" t="s">
        <v>34</v>
      </c>
      <c r="E29355" s="21" t="s">
        <v>35</v>
      </c>
      <c r="F29355">
        <v>1740057</v>
      </c>
      <c r="G29355" t="s">
        <v>1567</v>
      </c>
      <c r="H29355" s="21">
        <v>563.29</v>
      </c>
    </row>
    <row r="29356" spans="1:8" customFormat="1" x14ac:dyDescent="0.25">
      <c r="A29356" t="str">
        <f>"5978575"</f>
        <v>5978575</v>
      </c>
      <c r="B29356" t="s">
        <v>21928</v>
      </c>
      <c r="C29356" t="s">
        <v>82</v>
      </c>
      <c r="D29356" s="21" t="s">
        <v>34</v>
      </c>
      <c r="E29356" s="21" t="s">
        <v>35</v>
      </c>
      <c r="F29356">
        <v>7590176</v>
      </c>
      <c r="G29356" t="s">
        <v>4079</v>
      </c>
      <c r="H29356" s="21">
        <v>563.16999999999996</v>
      </c>
    </row>
    <row r="29357" spans="1:8" customFormat="1" x14ac:dyDescent="0.25">
      <c r="A29357" t="str">
        <f>"456601"</f>
        <v>456601</v>
      </c>
      <c r="B29357" t="s">
        <v>7102</v>
      </c>
      <c r="C29357" t="s">
        <v>209</v>
      </c>
      <c r="D29357" s="21" t="s">
        <v>34</v>
      </c>
      <c r="E29357" s="21" t="s">
        <v>71</v>
      </c>
      <c r="F29357">
        <v>10170028</v>
      </c>
      <c r="G29357" t="s">
        <v>649</v>
      </c>
      <c r="H29357" s="21">
        <v>563.16999999999996</v>
      </c>
    </row>
    <row r="29358" spans="1:8" customFormat="1" x14ac:dyDescent="0.25">
      <c r="A29358" t="str">
        <f>"302302"</f>
        <v>302302</v>
      </c>
      <c r="B29358" t="s">
        <v>28137</v>
      </c>
      <c r="C29358" t="s">
        <v>822</v>
      </c>
      <c r="D29358" s="21" t="s">
        <v>34</v>
      </c>
      <c r="E29358" s="21" t="s">
        <v>1089</v>
      </c>
      <c r="F29358">
        <v>11300023</v>
      </c>
      <c r="G29358" t="s">
        <v>2679</v>
      </c>
      <c r="H29358" s="21">
        <v>563.16999999999996</v>
      </c>
    </row>
    <row r="29359" spans="1:8" customFormat="1" x14ac:dyDescent="0.25">
      <c r="A29359" t="str">
        <f>"7219324"</f>
        <v>7219324</v>
      </c>
      <c r="B29359" t="s">
        <v>20304</v>
      </c>
      <c r="C29359" t="s">
        <v>87</v>
      </c>
      <c r="D29359" s="21" t="s">
        <v>34</v>
      </c>
      <c r="E29359" s="21" t="s">
        <v>35</v>
      </c>
      <c r="F29359">
        <v>12720023</v>
      </c>
      <c r="G29359" t="s">
        <v>1898</v>
      </c>
      <c r="H29359" s="21">
        <v>563.16999999999996</v>
      </c>
    </row>
    <row r="29360" spans="1:8" customFormat="1" x14ac:dyDescent="0.25">
      <c r="A29360" t="str">
        <f>"4417359"</f>
        <v>4417359</v>
      </c>
      <c r="B29360" t="s">
        <v>21165</v>
      </c>
      <c r="C29360" t="s">
        <v>124</v>
      </c>
      <c r="D29360" s="21" t="s">
        <v>34</v>
      </c>
      <c r="E29360" s="21" t="s">
        <v>71</v>
      </c>
      <c r="F29360">
        <v>12440104</v>
      </c>
      <c r="G29360" t="s">
        <v>5862</v>
      </c>
      <c r="H29360" s="21">
        <v>563.16999999999996</v>
      </c>
    </row>
    <row r="29361" spans="1:8" customFormat="1" x14ac:dyDescent="0.25">
      <c r="A29361" t="str">
        <f>"5734173"</f>
        <v>5734173</v>
      </c>
      <c r="B29361" t="s">
        <v>28138</v>
      </c>
      <c r="C29361" t="s">
        <v>720</v>
      </c>
      <c r="D29361" s="21" t="s">
        <v>34</v>
      </c>
      <c r="E29361" s="21" t="s">
        <v>254</v>
      </c>
      <c r="F29361">
        <v>6570132</v>
      </c>
      <c r="G29361" t="s">
        <v>26746</v>
      </c>
      <c r="H29361" s="21">
        <v>563.16999999999996</v>
      </c>
    </row>
    <row r="29362" spans="1:8" customFormat="1" x14ac:dyDescent="0.25">
      <c r="A29362" t="str">
        <f>"2720584"</f>
        <v>2720584</v>
      </c>
      <c r="B29362" t="s">
        <v>7168</v>
      </c>
      <c r="C29362" t="s">
        <v>328</v>
      </c>
      <c r="D29362" s="21" t="s">
        <v>34</v>
      </c>
      <c r="E29362" s="21" t="s">
        <v>35</v>
      </c>
      <c r="F29362">
        <v>9270015</v>
      </c>
      <c r="G29362" t="s">
        <v>8095</v>
      </c>
      <c r="H29362" s="21">
        <v>563.16999999999996</v>
      </c>
    </row>
    <row r="29363" spans="1:8" customFormat="1" x14ac:dyDescent="0.25">
      <c r="A29363" t="str">
        <f>"6718938"</f>
        <v>6718938</v>
      </c>
      <c r="B29363" t="s">
        <v>20016</v>
      </c>
      <c r="C29363" t="s">
        <v>3010</v>
      </c>
      <c r="D29363" s="21" t="s">
        <v>34</v>
      </c>
      <c r="E29363" s="21" t="s">
        <v>71</v>
      </c>
      <c r="F29363">
        <v>6670195</v>
      </c>
      <c r="G29363" t="s">
        <v>3974</v>
      </c>
      <c r="H29363" s="21">
        <v>563.16999999999996</v>
      </c>
    </row>
    <row r="29364" spans="1:8" customFormat="1" x14ac:dyDescent="0.25">
      <c r="A29364" t="str">
        <f>"4447658"</f>
        <v>4447658</v>
      </c>
      <c r="B29364" t="s">
        <v>19314</v>
      </c>
      <c r="C29364" t="s">
        <v>156</v>
      </c>
      <c r="D29364" s="21" t="s">
        <v>34</v>
      </c>
      <c r="E29364" s="21" t="s">
        <v>254</v>
      </c>
      <c r="F29364">
        <v>12440148</v>
      </c>
      <c r="G29364" t="s">
        <v>27727</v>
      </c>
      <c r="H29364" s="21">
        <v>563.16999999999996</v>
      </c>
    </row>
    <row r="29365" spans="1:8" customFormat="1" x14ac:dyDescent="0.25">
      <c r="A29365" t="str">
        <f>"5111351"</f>
        <v>5111351</v>
      </c>
      <c r="B29365" t="s">
        <v>21846</v>
      </c>
      <c r="C29365" t="s">
        <v>267</v>
      </c>
      <c r="D29365" s="21" t="s">
        <v>34</v>
      </c>
      <c r="E29365" s="21" t="s">
        <v>1089</v>
      </c>
      <c r="F29365">
        <v>6510107</v>
      </c>
      <c r="G29365" t="s">
        <v>1392</v>
      </c>
      <c r="H29365" s="21">
        <v>563.16999999999996</v>
      </c>
    </row>
    <row r="29366" spans="1:8" customFormat="1" x14ac:dyDescent="0.25">
      <c r="A29366" t="str">
        <f>"6948142"</f>
        <v>6948142</v>
      </c>
      <c r="B29366" t="s">
        <v>22387</v>
      </c>
      <c r="C29366" t="s">
        <v>2150</v>
      </c>
      <c r="D29366" s="21" t="s">
        <v>34</v>
      </c>
      <c r="E29366" s="21" t="s">
        <v>35</v>
      </c>
      <c r="F29366">
        <v>1690076</v>
      </c>
      <c r="G29366" t="s">
        <v>4049</v>
      </c>
      <c r="H29366" s="21">
        <v>563.16999999999996</v>
      </c>
    </row>
    <row r="29367" spans="1:8" customFormat="1" x14ac:dyDescent="0.25">
      <c r="A29367" t="str">
        <f>"7641737"</f>
        <v>7641737</v>
      </c>
      <c r="B29367" t="s">
        <v>4865</v>
      </c>
      <c r="C29367" t="s">
        <v>209</v>
      </c>
      <c r="D29367" s="21" t="s">
        <v>34</v>
      </c>
      <c r="E29367" s="21" t="s">
        <v>254</v>
      </c>
      <c r="F29367">
        <v>9760286</v>
      </c>
      <c r="G29367" t="s">
        <v>11559</v>
      </c>
      <c r="H29367" s="21">
        <v>563.16999999999996</v>
      </c>
    </row>
    <row r="29368" spans="1:8" customFormat="1" x14ac:dyDescent="0.25">
      <c r="A29368" t="str">
        <f>"2617090"</f>
        <v>2617090</v>
      </c>
      <c r="B29368" t="s">
        <v>9356</v>
      </c>
      <c r="C29368" t="s">
        <v>55</v>
      </c>
      <c r="D29368" s="21" t="s">
        <v>34</v>
      </c>
      <c r="E29368" s="21" t="s">
        <v>71</v>
      </c>
      <c r="F29368">
        <v>1260035</v>
      </c>
      <c r="G29368" t="s">
        <v>9835</v>
      </c>
      <c r="H29368" s="21">
        <v>563.16999999999996</v>
      </c>
    </row>
    <row r="29369" spans="1:8" customFormat="1" x14ac:dyDescent="0.25">
      <c r="A29369" t="str">
        <f>"3343910"</f>
        <v>3343910</v>
      </c>
      <c r="B29369" t="s">
        <v>22399</v>
      </c>
      <c r="C29369" t="s">
        <v>267</v>
      </c>
      <c r="D29369" s="21" t="s">
        <v>34</v>
      </c>
      <c r="E29369" s="21" t="s">
        <v>71</v>
      </c>
      <c r="F29369">
        <v>10330050</v>
      </c>
      <c r="G29369" t="s">
        <v>2488</v>
      </c>
      <c r="H29369" s="21">
        <v>563.16999999999996</v>
      </c>
    </row>
    <row r="29370" spans="1:8" customFormat="1" x14ac:dyDescent="0.25">
      <c r="A29370" t="str">
        <f>"1423518"</f>
        <v>1423518</v>
      </c>
      <c r="B29370" t="s">
        <v>20807</v>
      </c>
      <c r="C29370" t="s">
        <v>415</v>
      </c>
      <c r="D29370" s="21" t="s">
        <v>34</v>
      </c>
      <c r="E29370" s="21" t="s">
        <v>71</v>
      </c>
      <c r="F29370">
        <v>9140235</v>
      </c>
      <c r="G29370" t="s">
        <v>165</v>
      </c>
      <c r="H29370" s="21">
        <v>563.16999999999996</v>
      </c>
    </row>
    <row r="29371" spans="1:8" customFormat="1" x14ac:dyDescent="0.25">
      <c r="A29371" t="str">
        <f>"029881"</f>
        <v>029881</v>
      </c>
      <c r="B29371" t="s">
        <v>21299</v>
      </c>
      <c r="C29371" t="s">
        <v>90</v>
      </c>
      <c r="D29371" s="21" t="s">
        <v>34</v>
      </c>
      <c r="E29371" s="21" t="s">
        <v>35</v>
      </c>
      <c r="F29371">
        <v>7021009</v>
      </c>
      <c r="G29371" t="s">
        <v>2739</v>
      </c>
      <c r="H29371" s="21">
        <v>563.04</v>
      </c>
    </row>
    <row r="29372" spans="1:8" customFormat="1" x14ac:dyDescent="0.25">
      <c r="A29372" t="str">
        <f>"4530399"</f>
        <v>4530399</v>
      </c>
      <c r="B29372" t="s">
        <v>13235</v>
      </c>
      <c r="C29372" t="s">
        <v>656</v>
      </c>
      <c r="D29372" s="21" t="s">
        <v>34</v>
      </c>
      <c r="E29372" s="21" t="s">
        <v>35</v>
      </c>
      <c r="F29372">
        <v>4450661</v>
      </c>
      <c r="G29372" t="s">
        <v>12253</v>
      </c>
      <c r="H29372" s="21">
        <v>563</v>
      </c>
    </row>
    <row r="29373" spans="1:8" customFormat="1" x14ac:dyDescent="0.25">
      <c r="A29373" t="str">
        <f>"779347"</f>
        <v>779347</v>
      </c>
      <c r="B29373" t="s">
        <v>13395</v>
      </c>
      <c r="C29373" t="s">
        <v>233</v>
      </c>
      <c r="D29373" s="21" t="s">
        <v>34</v>
      </c>
      <c r="E29373" s="21" t="s">
        <v>254</v>
      </c>
      <c r="F29373">
        <v>8771202</v>
      </c>
      <c r="G29373" t="s">
        <v>10223</v>
      </c>
      <c r="H29373" s="21">
        <v>563</v>
      </c>
    </row>
    <row r="29374" spans="1:8" customFormat="1" x14ac:dyDescent="0.25">
      <c r="A29374" t="str">
        <f>"3425664"</f>
        <v>3425664</v>
      </c>
      <c r="B29374" t="s">
        <v>22494</v>
      </c>
      <c r="C29374" t="s">
        <v>608</v>
      </c>
      <c r="D29374" s="21" t="s">
        <v>34</v>
      </c>
      <c r="E29374" s="21" t="s">
        <v>35</v>
      </c>
      <c r="F29374">
        <v>11340053</v>
      </c>
      <c r="G29374" t="s">
        <v>9935</v>
      </c>
      <c r="H29374" s="21">
        <v>562.91999999999996</v>
      </c>
    </row>
    <row r="29375" spans="1:8" customFormat="1" x14ac:dyDescent="0.25">
      <c r="A29375" t="str">
        <f>"324094"</f>
        <v>324094</v>
      </c>
      <c r="B29375" t="s">
        <v>20866</v>
      </c>
      <c r="C29375" t="s">
        <v>4721</v>
      </c>
      <c r="D29375" s="21" t="s">
        <v>34</v>
      </c>
      <c r="E29375" s="21" t="s">
        <v>35</v>
      </c>
      <c r="F29375">
        <v>10170051</v>
      </c>
      <c r="G29375" t="s">
        <v>826</v>
      </c>
      <c r="H29375" s="21">
        <v>562.91999999999996</v>
      </c>
    </row>
    <row r="29376" spans="1:8" customFormat="1" x14ac:dyDescent="0.25">
      <c r="A29376" t="str">
        <f>"2515967"</f>
        <v>2515967</v>
      </c>
      <c r="B29376" t="s">
        <v>17983</v>
      </c>
      <c r="C29376" t="s">
        <v>7441</v>
      </c>
      <c r="D29376" s="21" t="s">
        <v>34</v>
      </c>
      <c r="E29376" s="21" t="s">
        <v>35</v>
      </c>
      <c r="F29376">
        <v>2250208</v>
      </c>
      <c r="G29376" t="s">
        <v>10923</v>
      </c>
      <c r="H29376" s="21">
        <v>562.88</v>
      </c>
    </row>
    <row r="29377" spans="1:8" customFormat="1" x14ac:dyDescent="0.25">
      <c r="A29377" t="str">
        <f>"9247500"</f>
        <v>9247500</v>
      </c>
      <c r="B29377" t="s">
        <v>10236</v>
      </c>
      <c r="C29377" t="s">
        <v>187</v>
      </c>
      <c r="D29377" s="21" t="s">
        <v>34</v>
      </c>
      <c r="E29377" s="21" t="s">
        <v>71</v>
      </c>
      <c r="F29377">
        <v>8920503</v>
      </c>
      <c r="G29377" t="s">
        <v>9047</v>
      </c>
      <c r="H29377" s="21">
        <v>562.79</v>
      </c>
    </row>
    <row r="29378" spans="1:8" customFormat="1" x14ac:dyDescent="0.25">
      <c r="A29378" t="str">
        <f>"8527202"</f>
        <v>8527202</v>
      </c>
      <c r="B29378" t="s">
        <v>12119</v>
      </c>
      <c r="C29378" t="s">
        <v>547</v>
      </c>
      <c r="D29378" s="21" t="s">
        <v>34</v>
      </c>
      <c r="E29378" s="21" t="s">
        <v>254</v>
      </c>
      <c r="F29378">
        <v>12850026</v>
      </c>
      <c r="G29378" t="s">
        <v>1400</v>
      </c>
      <c r="H29378" s="21">
        <v>562.66999999999996</v>
      </c>
    </row>
    <row r="29379" spans="1:8" customFormat="1" x14ac:dyDescent="0.25">
      <c r="A29379" t="str">
        <f>"6214763"</f>
        <v>6214763</v>
      </c>
      <c r="B29379" t="s">
        <v>20108</v>
      </c>
      <c r="C29379" t="s">
        <v>267</v>
      </c>
      <c r="D29379" s="21" t="s">
        <v>34</v>
      </c>
      <c r="E29379" s="21" t="s">
        <v>254</v>
      </c>
      <c r="F29379">
        <v>7620153</v>
      </c>
      <c r="G29379" t="s">
        <v>5104</v>
      </c>
      <c r="H29379" s="21">
        <v>562.66999999999996</v>
      </c>
    </row>
    <row r="29380" spans="1:8" customFormat="1" x14ac:dyDescent="0.25">
      <c r="A29380" t="str">
        <f>"721866"</f>
        <v>721866</v>
      </c>
      <c r="B29380" t="s">
        <v>4554</v>
      </c>
      <c r="C29380" t="s">
        <v>20696</v>
      </c>
      <c r="D29380" s="21" t="s">
        <v>34</v>
      </c>
      <c r="E29380" s="21" t="s">
        <v>1089</v>
      </c>
      <c r="F29380">
        <v>12720110</v>
      </c>
      <c r="G29380" t="s">
        <v>3464</v>
      </c>
      <c r="H29380" s="21">
        <v>562.66999999999996</v>
      </c>
    </row>
    <row r="29381" spans="1:8" customFormat="1" x14ac:dyDescent="0.25">
      <c r="A29381" t="str">
        <f>"0610262"</f>
        <v>0610262</v>
      </c>
      <c r="B29381" t="s">
        <v>20658</v>
      </c>
      <c r="C29381" t="s">
        <v>2546</v>
      </c>
      <c r="D29381" s="21" t="s">
        <v>34</v>
      </c>
      <c r="E29381" s="21" t="s">
        <v>1089</v>
      </c>
      <c r="F29381">
        <v>13060066</v>
      </c>
      <c r="G29381" t="s">
        <v>2556</v>
      </c>
      <c r="H29381" s="21">
        <v>562.66999999999996</v>
      </c>
    </row>
    <row r="29382" spans="1:8" customFormat="1" x14ac:dyDescent="0.25">
      <c r="A29382" t="str">
        <f>"5918853"</f>
        <v>5918853</v>
      </c>
      <c r="B29382" t="s">
        <v>20060</v>
      </c>
      <c r="C29382" t="s">
        <v>1271</v>
      </c>
      <c r="D29382" s="21" t="s">
        <v>34</v>
      </c>
      <c r="E29382" s="21" t="s">
        <v>254</v>
      </c>
      <c r="F29382">
        <v>7590086</v>
      </c>
      <c r="G29382" t="s">
        <v>3557</v>
      </c>
      <c r="H29382" s="21">
        <v>562.66999999999996</v>
      </c>
    </row>
    <row r="29383" spans="1:8" customFormat="1" x14ac:dyDescent="0.25">
      <c r="A29383" t="str">
        <f>"876396"</f>
        <v>876396</v>
      </c>
      <c r="B29383" t="s">
        <v>20494</v>
      </c>
      <c r="C29383" t="s">
        <v>598</v>
      </c>
      <c r="D29383" s="21" t="s">
        <v>34</v>
      </c>
      <c r="E29383" s="21" t="s">
        <v>254</v>
      </c>
      <c r="F29383">
        <v>10870007</v>
      </c>
      <c r="G29383" t="s">
        <v>8903</v>
      </c>
      <c r="H29383" s="21">
        <v>562.66999999999996</v>
      </c>
    </row>
    <row r="29384" spans="1:8" customFormat="1" x14ac:dyDescent="0.25">
      <c r="A29384" t="str">
        <f>"2938356"</f>
        <v>2938356</v>
      </c>
      <c r="B29384" t="s">
        <v>21713</v>
      </c>
      <c r="C29384" t="s">
        <v>211</v>
      </c>
      <c r="D29384" s="21" t="s">
        <v>34</v>
      </c>
      <c r="E29384" s="21" t="s">
        <v>71</v>
      </c>
      <c r="F29384">
        <v>3290276</v>
      </c>
      <c r="G29384" t="s">
        <v>26710</v>
      </c>
      <c r="H29384" s="21">
        <v>562.66999999999996</v>
      </c>
    </row>
    <row r="29385" spans="1:8" customFormat="1" x14ac:dyDescent="0.25">
      <c r="A29385" t="str">
        <f>"5019230"</f>
        <v>5019230</v>
      </c>
      <c r="B29385" t="s">
        <v>2881</v>
      </c>
      <c r="C29385" t="s">
        <v>621</v>
      </c>
      <c r="D29385" s="21" t="s">
        <v>34</v>
      </c>
      <c r="E29385" s="21" t="s">
        <v>35</v>
      </c>
      <c r="F29385">
        <v>9500131</v>
      </c>
      <c r="G29385" t="s">
        <v>1073</v>
      </c>
      <c r="H29385" s="21">
        <v>562.66999999999996</v>
      </c>
    </row>
    <row r="29386" spans="1:8" customFormat="1" x14ac:dyDescent="0.25">
      <c r="A29386" t="str">
        <f>"5431872"</f>
        <v>5431872</v>
      </c>
      <c r="B29386" t="s">
        <v>18988</v>
      </c>
      <c r="C29386" t="s">
        <v>267</v>
      </c>
      <c r="D29386" s="21" t="s">
        <v>34</v>
      </c>
      <c r="E29386" s="21" t="s">
        <v>254</v>
      </c>
      <c r="F29386">
        <v>6540184</v>
      </c>
      <c r="G29386" t="s">
        <v>4395</v>
      </c>
      <c r="H29386" s="21">
        <v>562.66999999999996</v>
      </c>
    </row>
    <row r="29387" spans="1:8" customFormat="1" x14ac:dyDescent="0.25">
      <c r="A29387" t="str">
        <f>"5732487"</f>
        <v>5732487</v>
      </c>
      <c r="B29387" t="s">
        <v>15760</v>
      </c>
      <c r="C29387" t="s">
        <v>3784</v>
      </c>
      <c r="D29387" s="21" t="s">
        <v>34</v>
      </c>
      <c r="E29387" s="21" t="s">
        <v>254</v>
      </c>
      <c r="F29387">
        <v>6570132</v>
      </c>
      <c r="G29387" t="s">
        <v>26746</v>
      </c>
      <c r="H29387" s="21">
        <v>562.66999999999996</v>
      </c>
    </row>
    <row r="29388" spans="1:8" customFormat="1" x14ac:dyDescent="0.25">
      <c r="A29388" t="str">
        <f>"665088"</f>
        <v>665088</v>
      </c>
      <c r="B29388" t="s">
        <v>15825</v>
      </c>
      <c r="C29388" t="s">
        <v>1132</v>
      </c>
      <c r="D29388" s="21" t="s">
        <v>34</v>
      </c>
      <c r="E29388" s="21" t="s">
        <v>254</v>
      </c>
      <c r="F29388">
        <v>11660020</v>
      </c>
      <c r="G29388" t="s">
        <v>10247</v>
      </c>
      <c r="H29388" s="21">
        <v>562.66999999999996</v>
      </c>
    </row>
    <row r="29389" spans="1:8" customFormat="1" x14ac:dyDescent="0.25">
      <c r="A29389" t="str">
        <f>"246094"</f>
        <v>246094</v>
      </c>
      <c r="B29389" t="s">
        <v>22122</v>
      </c>
      <c r="C29389" t="s">
        <v>236</v>
      </c>
      <c r="D29389" s="21" t="s">
        <v>34</v>
      </c>
      <c r="E29389" s="21" t="s">
        <v>71</v>
      </c>
      <c r="F29389">
        <v>10240020</v>
      </c>
      <c r="G29389" t="s">
        <v>870</v>
      </c>
      <c r="H29389" s="21">
        <v>562.66999999999996</v>
      </c>
    </row>
    <row r="29390" spans="1:8" customFormat="1" x14ac:dyDescent="0.25">
      <c r="A29390" t="str">
        <f>"5432830"</f>
        <v>5432830</v>
      </c>
      <c r="B29390" t="s">
        <v>8228</v>
      </c>
      <c r="C29390" t="s">
        <v>288</v>
      </c>
      <c r="D29390" s="21" t="s">
        <v>34</v>
      </c>
      <c r="E29390" s="21" t="s">
        <v>35</v>
      </c>
      <c r="F29390">
        <v>6540055</v>
      </c>
      <c r="G29390" t="s">
        <v>9080</v>
      </c>
      <c r="H29390" s="21">
        <v>562.66999999999996</v>
      </c>
    </row>
    <row r="29391" spans="1:8" customFormat="1" x14ac:dyDescent="0.25">
      <c r="A29391" t="str">
        <f>"5113553"</f>
        <v>5113553</v>
      </c>
      <c r="B29391" t="s">
        <v>7387</v>
      </c>
      <c r="C29391" t="s">
        <v>879</v>
      </c>
      <c r="D29391" s="21" t="s">
        <v>34</v>
      </c>
      <c r="E29391" s="21" t="s">
        <v>35</v>
      </c>
      <c r="F29391">
        <v>6510042</v>
      </c>
      <c r="G29391" t="s">
        <v>15015</v>
      </c>
      <c r="H29391" s="21">
        <v>562.66999999999996</v>
      </c>
    </row>
    <row r="29392" spans="1:8" customFormat="1" x14ac:dyDescent="0.25">
      <c r="A29392" t="str">
        <f>"1614097"</f>
        <v>1614097</v>
      </c>
      <c r="B29392" t="s">
        <v>10700</v>
      </c>
      <c r="C29392" t="s">
        <v>8120</v>
      </c>
      <c r="D29392" s="21" t="s">
        <v>34</v>
      </c>
      <c r="E29392" s="21" t="s">
        <v>71</v>
      </c>
      <c r="F29392">
        <v>10160029</v>
      </c>
      <c r="G29392" t="s">
        <v>896</v>
      </c>
      <c r="H29392" s="21">
        <v>562.66999999999996</v>
      </c>
    </row>
    <row r="29393" spans="1:8" customFormat="1" x14ac:dyDescent="0.25">
      <c r="A29393" t="str">
        <f>"5930945"</f>
        <v>5930945</v>
      </c>
      <c r="B29393" t="s">
        <v>2835</v>
      </c>
      <c r="C29393" t="s">
        <v>2100</v>
      </c>
      <c r="D29393" s="21" t="s">
        <v>34</v>
      </c>
      <c r="E29393" s="21" t="s">
        <v>254</v>
      </c>
      <c r="F29393">
        <v>7590027</v>
      </c>
      <c r="G29393" t="s">
        <v>629</v>
      </c>
      <c r="H29393" s="21">
        <v>562.66999999999996</v>
      </c>
    </row>
    <row r="29394" spans="1:8" customFormat="1" x14ac:dyDescent="0.25">
      <c r="A29394" t="str">
        <f>"71568"</f>
        <v>71568</v>
      </c>
      <c r="B29394" t="s">
        <v>9568</v>
      </c>
      <c r="C29394" t="s">
        <v>2305</v>
      </c>
      <c r="D29394" s="21" t="s">
        <v>34</v>
      </c>
      <c r="E29394" s="21" t="s">
        <v>71</v>
      </c>
      <c r="F29394">
        <v>2710067</v>
      </c>
      <c r="G29394" t="s">
        <v>284</v>
      </c>
      <c r="H29394" s="21">
        <v>562.66999999999996</v>
      </c>
    </row>
    <row r="29395" spans="1:8" customFormat="1" x14ac:dyDescent="0.25">
      <c r="A29395" t="str">
        <f>"844167"</f>
        <v>844167</v>
      </c>
      <c r="B29395" t="s">
        <v>146</v>
      </c>
      <c r="C29395" t="s">
        <v>951</v>
      </c>
      <c r="D29395" s="21" t="s">
        <v>34</v>
      </c>
      <c r="E29395" s="21" t="s">
        <v>35</v>
      </c>
      <c r="F29395">
        <v>13840038</v>
      </c>
      <c r="G29395" t="s">
        <v>8931</v>
      </c>
      <c r="H29395" s="21">
        <v>562.66999999999996</v>
      </c>
    </row>
    <row r="29396" spans="1:8" customFormat="1" x14ac:dyDescent="0.25">
      <c r="A29396" t="str">
        <f>"4724"</f>
        <v>4724</v>
      </c>
      <c r="B29396" t="s">
        <v>20298</v>
      </c>
      <c r="C29396" t="s">
        <v>598</v>
      </c>
      <c r="D29396" s="21" t="s">
        <v>34</v>
      </c>
      <c r="E29396" s="21" t="s">
        <v>254</v>
      </c>
      <c r="F29396">
        <v>10470001</v>
      </c>
      <c r="G29396" t="s">
        <v>391</v>
      </c>
      <c r="H29396" s="21">
        <v>562.66999999999996</v>
      </c>
    </row>
    <row r="29397" spans="1:8" customFormat="1" x14ac:dyDescent="0.25">
      <c r="A29397" t="str">
        <f>"8017263"</f>
        <v>8017263</v>
      </c>
      <c r="B29397" t="s">
        <v>213</v>
      </c>
      <c r="C29397" t="s">
        <v>1025</v>
      </c>
      <c r="D29397" s="21" t="s">
        <v>34</v>
      </c>
      <c r="E29397" s="21" t="s">
        <v>71</v>
      </c>
      <c r="F29397">
        <v>7800006</v>
      </c>
      <c r="G29397" t="s">
        <v>6365</v>
      </c>
      <c r="H29397" s="21">
        <v>562.66999999999996</v>
      </c>
    </row>
    <row r="29398" spans="1:8" customFormat="1" x14ac:dyDescent="0.25">
      <c r="A29398" t="str">
        <f>"2218698"</f>
        <v>2218698</v>
      </c>
      <c r="B29398" t="s">
        <v>17567</v>
      </c>
      <c r="C29398" t="s">
        <v>60</v>
      </c>
      <c r="D29398" s="21" t="s">
        <v>34</v>
      </c>
      <c r="E29398" s="21" t="s">
        <v>35</v>
      </c>
      <c r="F29398">
        <v>3220022</v>
      </c>
      <c r="G29398" t="s">
        <v>27551</v>
      </c>
      <c r="H29398" s="21">
        <v>562.66999999999996</v>
      </c>
    </row>
    <row r="29399" spans="1:8" customFormat="1" x14ac:dyDescent="0.25">
      <c r="A29399" t="str">
        <f>"9426452"</f>
        <v>9426452</v>
      </c>
      <c r="B29399" t="s">
        <v>20549</v>
      </c>
      <c r="C29399" t="s">
        <v>65</v>
      </c>
      <c r="D29399" s="21" t="s">
        <v>34</v>
      </c>
      <c r="E29399" s="21" t="s">
        <v>35</v>
      </c>
      <c r="F29399">
        <v>8941359</v>
      </c>
      <c r="G29399" t="s">
        <v>14474</v>
      </c>
      <c r="H29399" s="21">
        <v>562.66999999999996</v>
      </c>
    </row>
    <row r="29400" spans="1:8" customFormat="1" x14ac:dyDescent="0.25">
      <c r="A29400" t="str">
        <f>"2718217"</f>
        <v>2718217</v>
      </c>
      <c r="B29400" t="s">
        <v>20886</v>
      </c>
      <c r="C29400" t="s">
        <v>608</v>
      </c>
      <c r="D29400" s="21" t="s">
        <v>34</v>
      </c>
      <c r="E29400" s="21" t="s">
        <v>71</v>
      </c>
      <c r="F29400">
        <v>9270015</v>
      </c>
      <c r="G29400" t="s">
        <v>8095</v>
      </c>
      <c r="H29400" s="21">
        <v>562.5</v>
      </c>
    </row>
    <row r="29401" spans="1:8" customFormat="1" x14ac:dyDescent="0.25">
      <c r="A29401" t="str">
        <f>"6021338"</f>
        <v>6021338</v>
      </c>
      <c r="B29401" t="s">
        <v>1442</v>
      </c>
      <c r="C29401" t="s">
        <v>209</v>
      </c>
      <c r="D29401" s="21" t="s">
        <v>34</v>
      </c>
      <c r="E29401" s="21" t="s">
        <v>71</v>
      </c>
      <c r="F29401">
        <v>7600054</v>
      </c>
      <c r="G29401" t="s">
        <v>1352</v>
      </c>
      <c r="H29401" s="21">
        <v>562.16999999999996</v>
      </c>
    </row>
    <row r="29402" spans="1:8" customFormat="1" x14ac:dyDescent="0.25">
      <c r="A29402" t="str">
        <f>"112016"</f>
        <v>112016</v>
      </c>
      <c r="B29402" t="s">
        <v>197</v>
      </c>
      <c r="C29402" t="s">
        <v>3456</v>
      </c>
      <c r="D29402" s="21" t="s">
        <v>34</v>
      </c>
      <c r="E29402" s="21" t="s">
        <v>1089</v>
      </c>
      <c r="F29402">
        <v>11110009</v>
      </c>
      <c r="G29402" t="s">
        <v>6231</v>
      </c>
      <c r="H29402" s="21">
        <v>562.16999999999996</v>
      </c>
    </row>
    <row r="29403" spans="1:8" customFormat="1" x14ac:dyDescent="0.25">
      <c r="A29403" t="str">
        <f>"616393"</f>
        <v>616393</v>
      </c>
      <c r="B29403" t="s">
        <v>21001</v>
      </c>
      <c r="C29403" t="s">
        <v>462</v>
      </c>
      <c r="D29403" s="21" t="s">
        <v>34</v>
      </c>
      <c r="E29403" s="21" t="s">
        <v>254</v>
      </c>
      <c r="F29403">
        <v>9610115</v>
      </c>
      <c r="G29403" t="s">
        <v>17938</v>
      </c>
      <c r="H29403" s="21">
        <v>562.16999999999996</v>
      </c>
    </row>
    <row r="29404" spans="1:8" customFormat="1" x14ac:dyDescent="0.25">
      <c r="A29404" t="str">
        <f>"905838"</f>
        <v>905838</v>
      </c>
      <c r="B29404" t="s">
        <v>21589</v>
      </c>
      <c r="C29404" t="s">
        <v>130</v>
      </c>
      <c r="D29404" s="21" t="s">
        <v>34</v>
      </c>
      <c r="E29404" s="21" t="s">
        <v>71</v>
      </c>
      <c r="F29404">
        <v>2900047</v>
      </c>
      <c r="G29404" t="s">
        <v>6819</v>
      </c>
      <c r="H29404" s="21">
        <v>562.16999999999996</v>
      </c>
    </row>
    <row r="29405" spans="1:8" customFormat="1" x14ac:dyDescent="0.25">
      <c r="A29405" t="str">
        <f>"5428630"</f>
        <v>5428630</v>
      </c>
      <c r="B29405" t="s">
        <v>2082</v>
      </c>
      <c r="C29405" t="s">
        <v>209</v>
      </c>
      <c r="D29405" s="21" t="s">
        <v>34</v>
      </c>
      <c r="E29405" s="21" t="s">
        <v>35</v>
      </c>
      <c r="F29405">
        <v>6540076</v>
      </c>
      <c r="G29405" t="s">
        <v>2947</v>
      </c>
      <c r="H29405" s="21">
        <v>562.16999999999996</v>
      </c>
    </row>
    <row r="29406" spans="1:8" customFormat="1" x14ac:dyDescent="0.25">
      <c r="A29406" t="str">
        <f>"376905"</f>
        <v>376905</v>
      </c>
      <c r="B29406" t="s">
        <v>20500</v>
      </c>
      <c r="C29406" t="s">
        <v>21893</v>
      </c>
      <c r="D29406" s="21" t="s">
        <v>34</v>
      </c>
      <c r="E29406" s="21" t="s">
        <v>71</v>
      </c>
      <c r="F29406">
        <v>4370615</v>
      </c>
      <c r="G29406" t="s">
        <v>7437</v>
      </c>
      <c r="H29406" s="21">
        <v>562.16999999999996</v>
      </c>
    </row>
    <row r="29407" spans="1:8" customFormat="1" x14ac:dyDescent="0.25">
      <c r="A29407" t="str">
        <f>"4456175"</f>
        <v>4456175</v>
      </c>
      <c r="B29407" t="s">
        <v>1165</v>
      </c>
      <c r="C29407" t="s">
        <v>211</v>
      </c>
      <c r="D29407" s="21" t="s">
        <v>34</v>
      </c>
      <c r="E29407" s="21" t="s">
        <v>35</v>
      </c>
      <c r="F29407">
        <v>12440067</v>
      </c>
      <c r="G29407" t="s">
        <v>1723</v>
      </c>
      <c r="H29407" s="21">
        <v>562.16999999999996</v>
      </c>
    </row>
    <row r="29408" spans="1:8" customFormat="1" x14ac:dyDescent="0.25">
      <c r="A29408" t="str">
        <f>"8518361"</f>
        <v>8518361</v>
      </c>
      <c r="B29408" t="s">
        <v>21190</v>
      </c>
      <c r="C29408" t="s">
        <v>7200</v>
      </c>
      <c r="D29408" s="21" t="s">
        <v>34</v>
      </c>
      <c r="E29408" s="21" t="s">
        <v>254</v>
      </c>
      <c r="F29408">
        <v>12850108</v>
      </c>
      <c r="G29408" t="s">
        <v>11093</v>
      </c>
      <c r="H29408" s="21">
        <v>562.16999999999996</v>
      </c>
    </row>
    <row r="29409" spans="1:8" customFormat="1" x14ac:dyDescent="0.25">
      <c r="A29409" t="str">
        <f>"2928938"</f>
        <v>2928938</v>
      </c>
      <c r="B29409" t="s">
        <v>20975</v>
      </c>
      <c r="C29409" t="s">
        <v>263</v>
      </c>
      <c r="D29409" s="21" t="s">
        <v>34</v>
      </c>
      <c r="E29409" s="21" t="s">
        <v>35</v>
      </c>
      <c r="F29409">
        <v>3290232</v>
      </c>
      <c r="G29409" t="s">
        <v>9588</v>
      </c>
      <c r="H29409" s="21">
        <v>562.16999999999996</v>
      </c>
    </row>
    <row r="29410" spans="1:8" customFormat="1" x14ac:dyDescent="0.25">
      <c r="A29410" t="str">
        <f>"396266"</f>
        <v>396266</v>
      </c>
      <c r="B29410" t="s">
        <v>24083</v>
      </c>
      <c r="C29410" t="s">
        <v>269</v>
      </c>
      <c r="D29410" s="21" t="s">
        <v>34</v>
      </c>
      <c r="E29410" s="21" t="s">
        <v>254</v>
      </c>
      <c r="F29410">
        <v>2390007</v>
      </c>
      <c r="G29410" t="s">
        <v>3365</v>
      </c>
      <c r="H29410" s="21">
        <v>562.16999999999996</v>
      </c>
    </row>
    <row r="29411" spans="1:8" customFormat="1" x14ac:dyDescent="0.25">
      <c r="A29411" t="str">
        <f>"406594"</f>
        <v>406594</v>
      </c>
      <c r="B29411" t="s">
        <v>20166</v>
      </c>
      <c r="C29411" t="s">
        <v>462</v>
      </c>
      <c r="D29411" s="21" t="s">
        <v>34</v>
      </c>
      <c r="E29411" s="21" t="s">
        <v>71</v>
      </c>
      <c r="F29411">
        <v>10400024</v>
      </c>
      <c r="G29411" t="s">
        <v>4680</v>
      </c>
      <c r="H29411" s="21">
        <v>562.16999999999996</v>
      </c>
    </row>
    <row r="29412" spans="1:8" customFormat="1" x14ac:dyDescent="0.25">
      <c r="A29412" t="str">
        <f>"5315673"</f>
        <v>5315673</v>
      </c>
      <c r="B29412" t="s">
        <v>14265</v>
      </c>
      <c r="C29412" t="s">
        <v>1142</v>
      </c>
      <c r="D29412" s="21" t="s">
        <v>34</v>
      </c>
      <c r="E29412" s="21" t="s">
        <v>254</v>
      </c>
      <c r="F29412">
        <v>12530146</v>
      </c>
      <c r="G29412" t="s">
        <v>10916</v>
      </c>
      <c r="H29412" s="21">
        <v>562.16999999999996</v>
      </c>
    </row>
    <row r="29413" spans="1:8" customFormat="1" x14ac:dyDescent="0.25">
      <c r="A29413" t="str">
        <f>"7636280"</f>
        <v>7636280</v>
      </c>
      <c r="B29413" t="s">
        <v>4335</v>
      </c>
      <c r="C29413" t="s">
        <v>486</v>
      </c>
      <c r="D29413" s="21" t="s">
        <v>34</v>
      </c>
      <c r="E29413" s="21" t="s">
        <v>35</v>
      </c>
      <c r="F29413">
        <v>9760419</v>
      </c>
      <c r="G29413" t="s">
        <v>8549</v>
      </c>
      <c r="H29413" s="21">
        <v>562.16999999999996</v>
      </c>
    </row>
    <row r="29414" spans="1:8" customFormat="1" x14ac:dyDescent="0.25">
      <c r="A29414" t="str">
        <f>"3537088"</f>
        <v>3537088</v>
      </c>
      <c r="B29414" t="s">
        <v>2944</v>
      </c>
      <c r="C29414" t="s">
        <v>867</v>
      </c>
      <c r="D29414" s="21" t="s">
        <v>34</v>
      </c>
      <c r="E29414" s="21" t="s">
        <v>35</v>
      </c>
      <c r="F29414">
        <v>3350014</v>
      </c>
      <c r="G29414" t="s">
        <v>1078</v>
      </c>
      <c r="H29414" s="21">
        <v>562.16999999999996</v>
      </c>
    </row>
    <row r="29415" spans="1:8" customFormat="1" x14ac:dyDescent="0.25">
      <c r="A29415" t="str">
        <f>"036006"</f>
        <v>036006</v>
      </c>
      <c r="B29415" t="s">
        <v>15513</v>
      </c>
      <c r="C29415" t="s">
        <v>33</v>
      </c>
      <c r="D29415" s="21" t="s">
        <v>34</v>
      </c>
      <c r="E29415" s="21" t="s">
        <v>35</v>
      </c>
      <c r="F29415">
        <v>7590381</v>
      </c>
      <c r="G29415" t="s">
        <v>11048</v>
      </c>
      <c r="H29415" s="21">
        <v>562.16999999999996</v>
      </c>
    </row>
    <row r="29416" spans="1:8" customFormat="1" x14ac:dyDescent="0.25">
      <c r="A29416" t="str">
        <f>"5970738"</f>
        <v>5970738</v>
      </c>
      <c r="B29416" t="s">
        <v>22422</v>
      </c>
      <c r="C29416" t="s">
        <v>639</v>
      </c>
      <c r="D29416" s="21" t="s">
        <v>34</v>
      </c>
      <c r="E29416" s="21" t="s">
        <v>254</v>
      </c>
      <c r="F29416">
        <v>7590177</v>
      </c>
      <c r="G29416" t="s">
        <v>10380</v>
      </c>
      <c r="H29416" s="21">
        <v>562.16999999999996</v>
      </c>
    </row>
    <row r="29417" spans="1:8" customFormat="1" x14ac:dyDescent="0.25">
      <c r="A29417" t="str">
        <f>"5431812"</f>
        <v>5431812</v>
      </c>
      <c r="B29417" t="s">
        <v>20496</v>
      </c>
      <c r="C29417" t="s">
        <v>124</v>
      </c>
      <c r="D29417" s="21" t="s">
        <v>34</v>
      </c>
      <c r="E29417" s="21" t="s">
        <v>71</v>
      </c>
      <c r="F29417">
        <v>6540082</v>
      </c>
      <c r="G29417" t="s">
        <v>9816</v>
      </c>
      <c r="H29417" s="21">
        <v>562.16999999999996</v>
      </c>
    </row>
    <row r="29418" spans="1:8" customFormat="1" x14ac:dyDescent="0.25">
      <c r="A29418" t="str">
        <f>"803791"</f>
        <v>803791</v>
      </c>
      <c r="B29418" t="s">
        <v>3759</v>
      </c>
      <c r="C29418" t="s">
        <v>598</v>
      </c>
      <c r="D29418" s="21" t="s">
        <v>34</v>
      </c>
      <c r="E29418" s="21" t="s">
        <v>6185</v>
      </c>
      <c r="F29418">
        <v>7800074</v>
      </c>
      <c r="G29418" t="s">
        <v>7104</v>
      </c>
      <c r="H29418" s="21">
        <v>562.16999999999996</v>
      </c>
    </row>
    <row r="29419" spans="1:8" customFormat="1" x14ac:dyDescent="0.25">
      <c r="A29419" t="str">
        <f>"7841287"</f>
        <v>7841287</v>
      </c>
      <c r="B29419" t="s">
        <v>17433</v>
      </c>
      <c r="C29419" t="s">
        <v>2520</v>
      </c>
      <c r="D29419" s="21" t="s">
        <v>34</v>
      </c>
      <c r="E29419" s="21" t="s">
        <v>35</v>
      </c>
      <c r="F29419">
        <v>8781006</v>
      </c>
      <c r="G29419" t="s">
        <v>5376</v>
      </c>
      <c r="H29419" s="21">
        <v>562.16999999999996</v>
      </c>
    </row>
    <row r="29420" spans="1:8" customFormat="1" x14ac:dyDescent="0.25">
      <c r="A29420" t="str">
        <f>"2934824"</f>
        <v>2934824</v>
      </c>
      <c r="B29420" t="s">
        <v>13395</v>
      </c>
      <c r="C29420" t="s">
        <v>598</v>
      </c>
      <c r="D29420" s="21" t="s">
        <v>34</v>
      </c>
      <c r="E29420" s="21" t="s">
        <v>71</v>
      </c>
      <c r="F29420">
        <v>3290226</v>
      </c>
      <c r="G29420" t="s">
        <v>4637</v>
      </c>
      <c r="H29420" s="21">
        <v>562.16999999999996</v>
      </c>
    </row>
    <row r="29421" spans="1:8" customFormat="1" x14ac:dyDescent="0.25">
      <c r="A29421" t="str">
        <f>"2815102"</f>
        <v>2815102</v>
      </c>
      <c r="B29421" t="s">
        <v>5039</v>
      </c>
      <c r="C29421" t="s">
        <v>1110</v>
      </c>
      <c r="D29421" s="21" t="s">
        <v>34</v>
      </c>
      <c r="E29421" s="21" t="s">
        <v>1089</v>
      </c>
      <c r="F29421">
        <v>4280038</v>
      </c>
      <c r="G29421" t="s">
        <v>2526</v>
      </c>
      <c r="H29421" s="21">
        <v>562.16999999999996</v>
      </c>
    </row>
    <row r="29422" spans="1:8" customFormat="1" x14ac:dyDescent="0.25">
      <c r="A29422" t="str">
        <f>"5421905"</f>
        <v>5421905</v>
      </c>
      <c r="B29422" t="s">
        <v>28139</v>
      </c>
      <c r="C29422" t="s">
        <v>60</v>
      </c>
      <c r="D29422" s="21" t="s">
        <v>34</v>
      </c>
      <c r="E29422" s="21" t="s">
        <v>35</v>
      </c>
      <c r="F29422">
        <v>6540128</v>
      </c>
      <c r="G29422" t="s">
        <v>1249</v>
      </c>
      <c r="H29422" s="21">
        <v>562.16999999999996</v>
      </c>
    </row>
    <row r="29423" spans="1:8" customFormat="1" x14ac:dyDescent="0.25">
      <c r="A29423" t="str">
        <f>"3713330"</f>
        <v>3713330</v>
      </c>
      <c r="B29423" t="s">
        <v>20959</v>
      </c>
      <c r="C29423" t="s">
        <v>65</v>
      </c>
      <c r="D29423" s="21" t="s">
        <v>34</v>
      </c>
      <c r="E29423" s="21" t="s">
        <v>71</v>
      </c>
      <c r="F29423">
        <v>4370464</v>
      </c>
      <c r="G29423" t="s">
        <v>5348</v>
      </c>
      <c r="H29423" s="21">
        <v>562.04</v>
      </c>
    </row>
    <row r="29424" spans="1:8" customFormat="1" x14ac:dyDescent="0.25">
      <c r="A29424" t="str">
        <f>"4457349"</f>
        <v>4457349</v>
      </c>
      <c r="B29424" t="s">
        <v>28140</v>
      </c>
      <c r="C29424" t="s">
        <v>269</v>
      </c>
      <c r="D29424" s="21" t="s">
        <v>34</v>
      </c>
      <c r="E29424" s="21" t="s">
        <v>71</v>
      </c>
      <c r="F29424">
        <v>12440238</v>
      </c>
      <c r="G29424" t="s">
        <v>5258</v>
      </c>
      <c r="H29424" s="21">
        <v>562</v>
      </c>
    </row>
    <row r="29425" spans="1:8" customFormat="1" x14ac:dyDescent="0.25">
      <c r="A29425" t="str">
        <f>"6946686"</f>
        <v>6946686</v>
      </c>
      <c r="B29425" t="s">
        <v>25928</v>
      </c>
      <c r="C29425" t="s">
        <v>87</v>
      </c>
      <c r="D29425" s="21" t="s">
        <v>34</v>
      </c>
      <c r="E29425" s="21" t="s">
        <v>71</v>
      </c>
      <c r="F29425">
        <v>1690224</v>
      </c>
      <c r="G29425" t="s">
        <v>27093</v>
      </c>
      <c r="H29425" s="21">
        <v>562</v>
      </c>
    </row>
    <row r="29426" spans="1:8" customFormat="1" x14ac:dyDescent="0.25">
      <c r="A29426" t="str">
        <f>"397088"</f>
        <v>397088</v>
      </c>
      <c r="B29426" t="s">
        <v>6880</v>
      </c>
      <c r="C29426" t="s">
        <v>60</v>
      </c>
      <c r="D29426" s="21" t="s">
        <v>34</v>
      </c>
      <c r="E29426" s="21" t="s">
        <v>35</v>
      </c>
      <c r="F29426">
        <v>2390046</v>
      </c>
      <c r="G29426" t="s">
        <v>2140</v>
      </c>
      <c r="H29426" s="21">
        <v>562</v>
      </c>
    </row>
    <row r="29427" spans="1:8" customFormat="1" x14ac:dyDescent="0.25">
      <c r="A29427" t="str">
        <f>"1424170"</f>
        <v>1424170</v>
      </c>
      <c r="B29427" t="s">
        <v>22774</v>
      </c>
      <c r="C29427" t="s">
        <v>1887</v>
      </c>
      <c r="D29427" s="21" t="s">
        <v>34</v>
      </c>
      <c r="E29427" s="21" t="s">
        <v>254</v>
      </c>
      <c r="F29427">
        <v>9140228</v>
      </c>
      <c r="G29427" t="s">
        <v>16772</v>
      </c>
      <c r="H29427" s="21">
        <v>561.91999999999996</v>
      </c>
    </row>
    <row r="29428" spans="1:8" customFormat="1" x14ac:dyDescent="0.25">
      <c r="A29428" t="str">
        <f>"41491"</f>
        <v>41491</v>
      </c>
      <c r="B29428" t="s">
        <v>9693</v>
      </c>
      <c r="C29428" t="s">
        <v>55</v>
      </c>
      <c r="D29428" s="21" t="s">
        <v>34</v>
      </c>
      <c r="E29428" s="21" t="s">
        <v>254</v>
      </c>
      <c r="F29428">
        <v>4410543</v>
      </c>
      <c r="G29428" t="s">
        <v>14950</v>
      </c>
      <c r="H29428" s="21">
        <v>561.91999999999996</v>
      </c>
    </row>
    <row r="29429" spans="1:8" customFormat="1" x14ac:dyDescent="0.25">
      <c r="A29429" t="str">
        <f>"4416706"</f>
        <v>4416706</v>
      </c>
      <c r="B29429" t="s">
        <v>3435</v>
      </c>
      <c r="C29429" t="s">
        <v>236</v>
      </c>
      <c r="D29429" s="21" t="s">
        <v>34</v>
      </c>
      <c r="E29429" s="21" t="s">
        <v>254</v>
      </c>
      <c r="F29429">
        <v>12440088</v>
      </c>
      <c r="G29429" t="s">
        <v>17289</v>
      </c>
      <c r="H29429" s="21">
        <v>561.91999999999996</v>
      </c>
    </row>
    <row r="29430" spans="1:8" customFormat="1" x14ac:dyDescent="0.25">
      <c r="A29430" t="str">
        <f>"94228"</f>
        <v>94228</v>
      </c>
      <c r="B29430" t="s">
        <v>19407</v>
      </c>
      <c r="C29430" t="s">
        <v>598</v>
      </c>
      <c r="D29430" s="21" t="s">
        <v>34</v>
      </c>
      <c r="E29430" s="21" t="s">
        <v>1089</v>
      </c>
      <c r="F29430">
        <v>8940070</v>
      </c>
      <c r="G29430" t="s">
        <v>2320</v>
      </c>
      <c r="H29430" s="21">
        <v>561.91999999999996</v>
      </c>
    </row>
    <row r="29431" spans="1:8" customFormat="1" x14ac:dyDescent="0.25">
      <c r="A29431" t="str">
        <f>"521323"</f>
        <v>521323</v>
      </c>
      <c r="B29431" t="s">
        <v>21127</v>
      </c>
      <c r="C29431" t="s">
        <v>2904</v>
      </c>
      <c r="D29431" s="21" t="s">
        <v>34</v>
      </c>
      <c r="E29431" s="21" t="s">
        <v>71</v>
      </c>
      <c r="F29431">
        <v>6520040</v>
      </c>
      <c r="G29431" t="s">
        <v>16367</v>
      </c>
      <c r="H29431" s="21">
        <v>561.79</v>
      </c>
    </row>
    <row r="29432" spans="1:8" customFormat="1" x14ac:dyDescent="0.25">
      <c r="A29432" t="str">
        <f>"7639170"</f>
        <v>7639170</v>
      </c>
      <c r="B29432" t="s">
        <v>2120</v>
      </c>
      <c r="C29432" t="s">
        <v>60</v>
      </c>
      <c r="D29432" s="21" t="s">
        <v>34</v>
      </c>
      <c r="E29432" s="21" t="s">
        <v>35</v>
      </c>
      <c r="F29432">
        <v>9760315</v>
      </c>
      <c r="G29432" t="s">
        <v>12345</v>
      </c>
      <c r="H29432" s="21">
        <v>561.66999999999996</v>
      </c>
    </row>
    <row r="29433" spans="1:8" customFormat="1" x14ac:dyDescent="0.25">
      <c r="A29433" t="str">
        <f>"3719649"</f>
        <v>3719649</v>
      </c>
      <c r="B29433" t="s">
        <v>10192</v>
      </c>
      <c r="C29433" t="s">
        <v>2907</v>
      </c>
      <c r="D29433" s="21" t="s">
        <v>34</v>
      </c>
      <c r="E29433" s="21" t="s">
        <v>254</v>
      </c>
      <c r="F29433">
        <v>4370269</v>
      </c>
      <c r="G29433" t="s">
        <v>4277</v>
      </c>
      <c r="H29433" s="21">
        <v>561.66999999999996</v>
      </c>
    </row>
    <row r="29434" spans="1:8" customFormat="1" x14ac:dyDescent="0.25">
      <c r="A29434" t="str">
        <f>"5018574"</f>
        <v>5018574</v>
      </c>
      <c r="B29434" t="s">
        <v>21303</v>
      </c>
      <c r="C29434" t="s">
        <v>249</v>
      </c>
      <c r="D29434" s="21" t="s">
        <v>34</v>
      </c>
      <c r="E29434" s="21" t="s">
        <v>35</v>
      </c>
      <c r="F29434">
        <v>9500107</v>
      </c>
      <c r="G29434" t="s">
        <v>9792</v>
      </c>
      <c r="H29434" s="21">
        <v>561.66999999999996</v>
      </c>
    </row>
    <row r="29435" spans="1:8" customFormat="1" x14ac:dyDescent="0.25">
      <c r="A29435" t="str">
        <f>"3537965"</f>
        <v>3537965</v>
      </c>
      <c r="B29435" t="s">
        <v>9000</v>
      </c>
      <c r="C29435" t="s">
        <v>249</v>
      </c>
      <c r="D29435" s="21" t="s">
        <v>34</v>
      </c>
      <c r="E29435" s="21" t="s">
        <v>71</v>
      </c>
      <c r="F29435">
        <v>3350160</v>
      </c>
      <c r="G29435" t="s">
        <v>13252</v>
      </c>
      <c r="H29435" s="21">
        <v>561.66999999999996</v>
      </c>
    </row>
    <row r="29436" spans="1:8" customFormat="1" x14ac:dyDescent="0.25">
      <c r="A29436" t="str">
        <f>"4455420"</f>
        <v>4455420</v>
      </c>
      <c r="B29436" t="s">
        <v>28141</v>
      </c>
      <c r="C29436" t="s">
        <v>82</v>
      </c>
      <c r="D29436" s="21" t="s">
        <v>34</v>
      </c>
      <c r="E29436" s="21" t="s">
        <v>35</v>
      </c>
      <c r="F29436">
        <v>12440116</v>
      </c>
      <c r="G29436" t="s">
        <v>26673</v>
      </c>
      <c r="H29436" s="21">
        <v>561.66999999999996</v>
      </c>
    </row>
    <row r="29437" spans="1:8" customFormat="1" x14ac:dyDescent="0.25">
      <c r="A29437" t="str">
        <f>"5967385"</f>
        <v>5967385</v>
      </c>
      <c r="B29437" t="s">
        <v>20392</v>
      </c>
      <c r="C29437" t="s">
        <v>263</v>
      </c>
      <c r="D29437" s="21" t="s">
        <v>34</v>
      </c>
      <c r="E29437" s="21" t="s">
        <v>254</v>
      </c>
      <c r="F29437">
        <v>7590405</v>
      </c>
      <c r="G29437" t="s">
        <v>11198</v>
      </c>
      <c r="H29437" s="21">
        <v>561.66999999999996</v>
      </c>
    </row>
    <row r="29438" spans="1:8" customFormat="1" x14ac:dyDescent="0.25">
      <c r="A29438" t="str">
        <f>"4212572"</f>
        <v>4212572</v>
      </c>
      <c r="B29438" t="s">
        <v>15528</v>
      </c>
      <c r="C29438" t="s">
        <v>114</v>
      </c>
      <c r="D29438" s="21" t="s">
        <v>34</v>
      </c>
      <c r="E29438" s="21" t="s">
        <v>71</v>
      </c>
      <c r="F29438">
        <v>1420149</v>
      </c>
      <c r="G29438" t="s">
        <v>818</v>
      </c>
      <c r="H29438" s="21">
        <v>561.66999999999996</v>
      </c>
    </row>
    <row r="29439" spans="1:8" customFormat="1" x14ac:dyDescent="0.25">
      <c r="A29439" t="str">
        <f>"3713825"</f>
        <v>3713825</v>
      </c>
      <c r="B29439" t="s">
        <v>21008</v>
      </c>
      <c r="C29439" t="s">
        <v>5855</v>
      </c>
      <c r="D29439" s="21" t="s">
        <v>34</v>
      </c>
      <c r="E29439" s="21" t="s">
        <v>35</v>
      </c>
      <c r="F29439">
        <v>4370615</v>
      </c>
      <c r="G29439" t="s">
        <v>7437</v>
      </c>
      <c r="H29439" s="21">
        <v>561.66999999999996</v>
      </c>
    </row>
    <row r="29440" spans="1:8" customFormat="1" x14ac:dyDescent="0.25">
      <c r="A29440" t="str">
        <f>"3119726"</f>
        <v>3119726</v>
      </c>
      <c r="B29440" t="s">
        <v>14395</v>
      </c>
      <c r="C29440" t="s">
        <v>323</v>
      </c>
      <c r="D29440" s="21" t="s">
        <v>34</v>
      </c>
      <c r="E29440" s="21" t="s">
        <v>35</v>
      </c>
      <c r="F29440">
        <v>11310117</v>
      </c>
      <c r="G29440" t="s">
        <v>10279</v>
      </c>
      <c r="H29440" s="21">
        <v>561.66999999999996</v>
      </c>
    </row>
    <row r="29441" spans="1:8" customFormat="1" x14ac:dyDescent="0.25">
      <c r="A29441" t="str">
        <f>"4456171"</f>
        <v>4456171</v>
      </c>
      <c r="B29441" t="s">
        <v>21243</v>
      </c>
      <c r="C29441" t="s">
        <v>204</v>
      </c>
      <c r="D29441" s="21" t="s">
        <v>34</v>
      </c>
      <c r="E29441" s="21" t="s">
        <v>35</v>
      </c>
      <c r="F29441">
        <v>12440094</v>
      </c>
      <c r="G29441" t="s">
        <v>892</v>
      </c>
      <c r="H29441" s="21">
        <v>561.66999999999996</v>
      </c>
    </row>
    <row r="29442" spans="1:8" customFormat="1" x14ac:dyDescent="0.25">
      <c r="A29442" t="str">
        <f>"307588"</f>
        <v>307588</v>
      </c>
      <c r="B29442" t="s">
        <v>28142</v>
      </c>
      <c r="C29442" t="s">
        <v>3456</v>
      </c>
      <c r="D29442" s="21" t="s">
        <v>34</v>
      </c>
      <c r="E29442" s="21" t="s">
        <v>35</v>
      </c>
      <c r="F29442">
        <v>1260061</v>
      </c>
      <c r="G29442" t="s">
        <v>6363</v>
      </c>
      <c r="H29442" s="21">
        <v>561.66999999999996</v>
      </c>
    </row>
    <row r="29443" spans="1:8" customFormat="1" x14ac:dyDescent="0.25">
      <c r="A29443" t="str">
        <f>"6924448"</f>
        <v>6924448</v>
      </c>
      <c r="B29443" t="s">
        <v>3318</v>
      </c>
      <c r="C29443" t="s">
        <v>60</v>
      </c>
      <c r="D29443" s="21" t="s">
        <v>34</v>
      </c>
      <c r="E29443" s="21" t="s">
        <v>35</v>
      </c>
      <c r="F29443">
        <v>1690104</v>
      </c>
      <c r="G29443" t="s">
        <v>3501</v>
      </c>
      <c r="H29443" s="21">
        <v>561.66999999999996</v>
      </c>
    </row>
    <row r="29444" spans="1:8" customFormat="1" x14ac:dyDescent="0.25">
      <c r="A29444" t="str">
        <f>"7824159"</f>
        <v>7824159</v>
      </c>
      <c r="B29444" t="s">
        <v>21500</v>
      </c>
      <c r="C29444" t="s">
        <v>2365</v>
      </c>
      <c r="D29444" s="21" t="s">
        <v>34</v>
      </c>
      <c r="E29444" s="21" t="s">
        <v>71</v>
      </c>
      <c r="F29444">
        <v>8781196</v>
      </c>
      <c r="G29444" t="s">
        <v>8007</v>
      </c>
      <c r="H29444" s="21">
        <v>561.66999999999996</v>
      </c>
    </row>
    <row r="29445" spans="1:8" customFormat="1" x14ac:dyDescent="0.25">
      <c r="A29445" t="str">
        <f>"5951334"</f>
        <v>5951334</v>
      </c>
      <c r="B29445" t="s">
        <v>6002</v>
      </c>
      <c r="C29445" t="s">
        <v>288</v>
      </c>
      <c r="D29445" s="21" t="s">
        <v>34</v>
      </c>
      <c r="E29445" s="21" t="s">
        <v>71</v>
      </c>
      <c r="F29445">
        <v>7590058</v>
      </c>
      <c r="G29445" t="s">
        <v>5044</v>
      </c>
      <c r="H29445" s="21">
        <v>561.66999999999996</v>
      </c>
    </row>
    <row r="29446" spans="1:8" customFormat="1" x14ac:dyDescent="0.25">
      <c r="A29446" t="str">
        <f>"9252381"</f>
        <v>9252381</v>
      </c>
      <c r="B29446" t="s">
        <v>28143</v>
      </c>
      <c r="C29446" t="s">
        <v>486</v>
      </c>
      <c r="D29446" s="21" t="s">
        <v>34</v>
      </c>
      <c r="E29446" s="21" t="s">
        <v>71</v>
      </c>
      <c r="F29446">
        <v>8920025</v>
      </c>
      <c r="G29446" t="s">
        <v>159</v>
      </c>
      <c r="H29446" s="21">
        <v>561.66999999999996</v>
      </c>
    </row>
    <row r="29447" spans="1:8" customFormat="1" x14ac:dyDescent="0.25">
      <c r="A29447" t="str">
        <f>"185455"</f>
        <v>185455</v>
      </c>
      <c r="B29447" t="s">
        <v>3930</v>
      </c>
      <c r="C29447" t="s">
        <v>462</v>
      </c>
      <c r="D29447" s="21" t="s">
        <v>34</v>
      </c>
      <c r="E29447" s="21" t="s">
        <v>71</v>
      </c>
      <c r="F29447">
        <v>12440136</v>
      </c>
      <c r="G29447" t="s">
        <v>3271</v>
      </c>
      <c r="H29447" s="21">
        <v>561.66999999999996</v>
      </c>
    </row>
    <row r="29448" spans="1:8" customFormat="1" x14ac:dyDescent="0.25">
      <c r="A29448" t="str">
        <f>"2721664"</f>
        <v>2721664</v>
      </c>
      <c r="B29448" t="s">
        <v>3733</v>
      </c>
      <c r="C29448" t="s">
        <v>187</v>
      </c>
      <c r="D29448" s="21" t="s">
        <v>34</v>
      </c>
      <c r="E29448" s="21" t="s">
        <v>35</v>
      </c>
      <c r="F29448">
        <v>9270126</v>
      </c>
      <c r="G29448" t="s">
        <v>7569</v>
      </c>
      <c r="H29448" s="21">
        <v>561.62</v>
      </c>
    </row>
    <row r="29449" spans="1:8" customFormat="1" x14ac:dyDescent="0.25">
      <c r="A29449" t="str">
        <f>"9528449"</f>
        <v>9528449</v>
      </c>
      <c r="B29449" t="s">
        <v>21831</v>
      </c>
      <c r="C29449" t="s">
        <v>209</v>
      </c>
      <c r="D29449" s="21" t="s">
        <v>34</v>
      </c>
      <c r="E29449" s="21" t="s">
        <v>71</v>
      </c>
      <c r="F29449">
        <v>8951273</v>
      </c>
      <c r="G29449" t="s">
        <v>2382</v>
      </c>
      <c r="H29449" s="21">
        <v>561.54</v>
      </c>
    </row>
    <row r="29450" spans="1:8" customFormat="1" x14ac:dyDescent="0.25">
      <c r="A29450" t="str">
        <f>"2716759"</f>
        <v>2716759</v>
      </c>
      <c r="B29450" t="s">
        <v>20605</v>
      </c>
      <c r="C29450" t="s">
        <v>60</v>
      </c>
      <c r="D29450" s="21" t="s">
        <v>34</v>
      </c>
      <c r="E29450" s="21" t="s">
        <v>35</v>
      </c>
      <c r="F29450">
        <v>9270047</v>
      </c>
      <c r="G29450" t="s">
        <v>4420</v>
      </c>
      <c r="H29450" s="21">
        <v>561.5</v>
      </c>
    </row>
    <row r="29451" spans="1:8" customFormat="1" x14ac:dyDescent="0.25">
      <c r="A29451" t="str">
        <f>"4938027"</f>
        <v>4938027</v>
      </c>
      <c r="B29451" t="s">
        <v>7114</v>
      </c>
      <c r="C29451" t="s">
        <v>2520</v>
      </c>
      <c r="D29451" s="21" t="s">
        <v>34</v>
      </c>
      <c r="E29451" s="21" t="s">
        <v>254</v>
      </c>
      <c r="F29451">
        <v>12490037</v>
      </c>
      <c r="G29451" t="s">
        <v>8892</v>
      </c>
      <c r="H29451" s="21">
        <v>561.5</v>
      </c>
    </row>
    <row r="29452" spans="1:8" customFormat="1" x14ac:dyDescent="0.25">
      <c r="A29452" t="str">
        <f>"5433056"</f>
        <v>5433056</v>
      </c>
      <c r="B29452" t="s">
        <v>28144</v>
      </c>
      <c r="C29452" t="s">
        <v>124</v>
      </c>
      <c r="D29452" s="21" t="s">
        <v>34</v>
      </c>
      <c r="E29452" s="21" t="s">
        <v>35</v>
      </c>
      <c r="F29452">
        <v>6540192</v>
      </c>
      <c r="G29452" t="s">
        <v>3644</v>
      </c>
      <c r="H29452" s="21">
        <v>561.5</v>
      </c>
    </row>
    <row r="29453" spans="1:8" customFormat="1" x14ac:dyDescent="0.25">
      <c r="A29453" t="str">
        <f>"5611826"</f>
        <v>5611826</v>
      </c>
      <c r="B29453" t="s">
        <v>2362</v>
      </c>
      <c r="C29453" t="s">
        <v>209</v>
      </c>
      <c r="D29453" s="21" t="s">
        <v>34</v>
      </c>
      <c r="E29453" s="21" t="s">
        <v>71</v>
      </c>
      <c r="F29453">
        <v>3560072</v>
      </c>
      <c r="G29453" t="s">
        <v>12285</v>
      </c>
      <c r="H29453" s="21">
        <v>561.41999999999996</v>
      </c>
    </row>
    <row r="29454" spans="1:8" customFormat="1" x14ac:dyDescent="0.25">
      <c r="A29454" t="str">
        <f>"5321842"</f>
        <v>5321842</v>
      </c>
      <c r="B29454" t="s">
        <v>8654</v>
      </c>
      <c r="C29454" t="s">
        <v>598</v>
      </c>
      <c r="D29454" s="21" t="s">
        <v>34</v>
      </c>
      <c r="E29454" s="21" t="s">
        <v>71</v>
      </c>
      <c r="F29454">
        <v>12530136</v>
      </c>
      <c r="G29454" t="s">
        <v>4866</v>
      </c>
      <c r="H29454" s="21">
        <v>561.41999999999996</v>
      </c>
    </row>
    <row r="29455" spans="1:8" customFormat="1" x14ac:dyDescent="0.25">
      <c r="A29455" t="str">
        <f>"2931847"</f>
        <v>2931847</v>
      </c>
      <c r="B29455" t="s">
        <v>197</v>
      </c>
      <c r="C29455" t="s">
        <v>130</v>
      </c>
      <c r="D29455" s="21" t="s">
        <v>34</v>
      </c>
      <c r="E29455" s="21" t="s">
        <v>71</v>
      </c>
      <c r="F29455">
        <v>3290262</v>
      </c>
      <c r="G29455" t="s">
        <v>1139</v>
      </c>
      <c r="H29455" s="21">
        <v>561.41999999999996</v>
      </c>
    </row>
    <row r="29456" spans="1:8" customFormat="1" x14ac:dyDescent="0.25">
      <c r="A29456" t="str">
        <f>"9136710"</f>
        <v>9136710</v>
      </c>
      <c r="B29456" t="s">
        <v>20979</v>
      </c>
      <c r="C29456" t="s">
        <v>1119</v>
      </c>
      <c r="D29456" s="21" t="s">
        <v>34</v>
      </c>
      <c r="E29456" s="21" t="s">
        <v>71</v>
      </c>
      <c r="F29456">
        <v>8911395</v>
      </c>
      <c r="G29456" t="s">
        <v>8758</v>
      </c>
      <c r="H29456" s="21">
        <v>561.29</v>
      </c>
    </row>
    <row r="29457" spans="1:8" customFormat="1" x14ac:dyDescent="0.25">
      <c r="A29457" t="str">
        <f>"189695"</f>
        <v>189695</v>
      </c>
      <c r="B29457" t="s">
        <v>11323</v>
      </c>
      <c r="C29457" t="s">
        <v>28145</v>
      </c>
      <c r="D29457" s="21" t="s">
        <v>34</v>
      </c>
      <c r="E29457" s="21" t="s">
        <v>254</v>
      </c>
      <c r="F29457">
        <v>4180696</v>
      </c>
      <c r="G29457" t="s">
        <v>3018</v>
      </c>
      <c r="H29457" s="21">
        <v>561.25</v>
      </c>
    </row>
    <row r="29458" spans="1:8" customFormat="1" x14ac:dyDescent="0.25">
      <c r="A29458" t="str">
        <f>"7923629"</f>
        <v>7923629</v>
      </c>
      <c r="B29458" t="s">
        <v>1885</v>
      </c>
      <c r="C29458" t="s">
        <v>1782</v>
      </c>
      <c r="D29458" s="21" t="s">
        <v>34</v>
      </c>
      <c r="E29458" s="21" t="s">
        <v>35</v>
      </c>
      <c r="F29458">
        <v>10790158</v>
      </c>
      <c r="G29458" t="s">
        <v>9319</v>
      </c>
      <c r="H29458" s="21">
        <v>561.16999999999996</v>
      </c>
    </row>
    <row r="29459" spans="1:8" customFormat="1" x14ac:dyDescent="0.25">
      <c r="A29459" t="str">
        <f>"7221335"</f>
        <v>7221335</v>
      </c>
      <c r="B29459" t="s">
        <v>20625</v>
      </c>
      <c r="C29459" t="s">
        <v>60</v>
      </c>
      <c r="D29459" s="21" t="s">
        <v>34</v>
      </c>
      <c r="E29459" s="21" t="s">
        <v>35</v>
      </c>
      <c r="F29459">
        <v>12720062</v>
      </c>
      <c r="G29459" t="s">
        <v>4026</v>
      </c>
      <c r="H29459" s="21">
        <v>561.16999999999996</v>
      </c>
    </row>
    <row r="29460" spans="1:8" customFormat="1" x14ac:dyDescent="0.25">
      <c r="A29460" t="str">
        <f>"3831251"</f>
        <v>3831251</v>
      </c>
      <c r="B29460" t="s">
        <v>28146</v>
      </c>
      <c r="C29460" t="s">
        <v>62</v>
      </c>
      <c r="D29460" s="21" t="s">
        <v>34</v>
      </c>
      <c r="E29460" s="21" t="s">
        <v>35</v>
      </c>
      <c r="F29460">
        <v>1380057</v>
      </c>
      <c r="G29460" t="s">
        <v>26700</v>
      </c>
      <c r="H29460" s="21">
        <v>561.16999999999996</v>
      </c>
    </row>
    <row r="29461" spans="1:8" customFormat="1" x14ac:dyDescent="0.25">
      <c r="A29461" t="str">
        <f>"0115184"</f>
        <v>0115184</v>
      </c>
      <c r="B29461" t="s">
        <v>28147</v>
      </c>
      <c r="C29461" t="s">
        <v>209</v>
      </c>
      <c r="D29461" s="21" t="s">
        <v>34</v>
      </c>
      <c r="E29461" s="21" t="s">
        <v>254</v>
      </c>
      <c r="F29461">
        <v>1010071</v>
      </c>
      <c r="G29461" t="s">
        <v>8104</v>
      </c>
      <c r="H29461" s="21">
        <v>561.16999999999996</v>
      </c>
    </row>
    <row r="29462" spans="1:8" customFormat="1" x14ac:dyDescent="0.25">
      <c r="A29462" t="str">
        <f>"5618816"</f>
        <v>5618816</v>
      </c>
      <c r="B29462" t="s">
        <v>21443</v>
      </c>
      <c r="C29462" t="s">
        <v>156</v>
      </c>
      <c r="D29462" s="21" t="s">
        <v>34</v>
      </c>
      <c r="E29462" s="21" t="s">
        <v>71</v>
      </c>
      <c r="F29462">
        <v>3560023</v>
      </c>
      <c r="G29462" t="s">
        <v>8213</v>
      </c>
      <c r="H29462" s="21">
        <v>561.16999999999996</v>
      </c>
    </row>
    <row r="29463" spans="1:8" customFormat="1" x14ac:dyDescent="0.25">
      <c r="A29463" t="str">
        <f>"192085"</f>
        <v>192085</v>
      </c>
      <c r="B29463" t="s">
        <v>20062</v>
      </c>
      <c r="C29463" t="s">
        <v>1489</v>
      </c>
      <c r="D29463" s="21" t="s">
        <v>34</v>
      </c>
      <c r="E29463" s="21" t="s">
        <v>1089</v>
      </c>
      <c r="F29463">
        <v>10190133</v>
      </c>
      <c r="G29463" t="s">
        <v>13392</v>
      </c>
      <c r="H29463" s="21">
        <v>561.16999999999996</v>
      </c>
    </row>
    <row r="29464" spans="1:8" customFormat="1" x14ac:dyDescent="0.25">
      <c r="A29464" t="str">
        <f>"6023324"</f>
        <v>6023324</v>
      </c>
      <c r="B29464" t="s">
        <v>4261</v>
      </c>
      <c r="C29464" t="s">
        <v>124</v>
      </c>
      <c r="D29464" s="21" t="s">
        <v>34</v>
      </c>
      <c r="E29464" s="21" t="s">
        <v>35</v>
      </c>
      <c r="F29464">
        <v>7600134</v>
      </c>
      <c r="G29464" t="s">
        <v>8819</v>
      </c>
      <c r="H29464" s="21">
        <v>561.16999999999996</v>
      </c>
    </row>
    <row r="29465" spans="1:8" customFormat="1" x14ac:dyDescent="0.25">
      <c r="A29465" t="str">
        <f>"1717140"</f>
        <v>1717140</v>
      </c>
      <c r="B29465" t="s">
        <v>461</v>
      </c>
      <c r="C29465" t="s">
        <v>206</v>
      </c>
      <c r="D29465" s="21" t="s">
        <v>34</v>
      </c>
      <c r="E29465" s="21" t="s">
        <v>35</v>
      </c>
      <c r="F29465">
        <v>10170049</v>
      </c>
      <c r="G29465" t="s">
        <v>15023</v>
      </c>
      <c r="H29465" s="21">
        <v>561.16999999999996</v>
      </c>
    </row>
    <row r="29466" spans="1:8" customFormat="1" x14ac:dyDescent="0.25">
      <c r="A29466" t="str">
        <f>"5952634"</f>
        <v>5952634</v>
      </c>
      <c r="B29466" t="s">
        <v>872</v>
      </c>
      <c r="C29466" t="s">
        <v>453</v>
      </c>
      <c r="D29466" s="21" t="s">
        <v>34</v>
      </c>
      <c r="E29466" s="21" t="s">
        <v>1089</v>
      </c>
      <c r="F29466">
        <v>7590419</v>
      </c>
      <c r="G29466" t="s">
        <v>8051</v>
      </c>
      <c r="H29466" s="21">
        <v>561.16999999999996</v>
      </c>
    </row>
    <row r="29467" spans="1:8" customFormat="1" x14ac:dyDescent="0.25">
      <c r="A29467" t="str">
        <f>"7729535"</f>
        <v>7729535</v>
      </c>
      <c r="B29467" t="s">
        <v>1462</v>
      </c>
      <c r="C29467" t="s">
        <v>267</v>
      </c>
      <c r="D29467" s="21" t="s">
        <v>34</v>
      </c>
      <c r="E29467" s="21" t="s">
        <v>1089</v>
      </c>
      <c r="F29467">
        <v>8770377</v>
      </c>
      <c r="G29467" t="s">
        <v>4862</v>
      </c>
      <c r="H29467" s="21">
        <v>561.16999999999996</v>
      </c>
    </row>
    <row r="29468" spans="1:8" customFormat="1" x14ac:dyDescent="0.25">
      <c r="A29468" t="str">
        <f>"5013319"</f>
        <v>5013319</v>
      </c>
      <c r="B29468" t="s">
        <v>2317</v>
      </c>
      <c r="C29468" t="s">
        <v>453</v>
      </c>
      <c r="D29468" s="21" t="s">
        <v>34</v>
      </c>
      <c r="E29468" s="21" t="s">
        <v>254</v>
      </c>
      <c r="F29468">
        <v>9500059</v>
      </c>
      <c r="G29468" t="s">
        <v>26714</v>
      </c>
      <c r="H29468" s="21">
        <v>561.16999999999996</v>
      </c>
    </row>
    <row r="29469" spans="1:8" customFormat="1" x14ac:dyDescent="0.25">
      <c r="A29469" t="str">
        <f>"6935285"</f>
        <v>6935285</v>
      </c>
      <c r="B29469" t="s">
        <v>20773</v>
      </c>
      <c r="C29469" t="s">
        <v>462</v>
      </c>
      <c r="D29469" s="21" t="s">
        <v>34</v>
      </c>
      <c r="E29469" s="21" t="s">
        <v>71</v>
      </c>
      <c r="F29469">
        <v>1690090</v>
      </c>
      <c r="G29469" t="s">
        <v>6286</v>
      </c>
      <c r="H29469" s="21">
        <v>561.16999999999996</v>
      </c>
    </row>
    <row r="29470" spans="1:8" customFormat="1" x14ac:dyDescent="0.25">
      <c r="A29470" t="str">
        <f>"41470"</f>
        <v>41470</v>
      </c>
      <c r="B29470" t="s">
        <v>1393</v>
      </c>
      <c r="C29470" t="s">
        <v>415</v>
      </c>
      <c r="D29470" s="21" t="s">
        <v>34</v>
      </c>
      <c r="E29470" s="21" t="s">
        <v>254</v>
      </c>
      <c r="F29470">
        <v>4410594</v>
      </c>
      <c r="G29470" t="s">
        <v>10169</v>
      </c>
      <c r="H29470" s="21">
        <v>561.16999999999996</v>
      </c>
    </row>
    <row r="29471" spans="1:8" customFormat="1" x14ac:dyDescent="0.25">
      <c r="A29471" t="str">
        <f>"019326"</f>
        <v>019326</v>
      </c>
      <c r="B29471" t="s">
        <v>5155</v>
      </c>
      <c r="C29471" t="s">
        <v>40</v>
      </c>
      <c r="D29471" s="21" t="s">
        <v>34</v>
      </c>
      <c r="E29471" s="21" t="s">
        <v>254</v>
      </c>
      <c r="F29471">
        <v>1010009</v>
      </c>
      <c r="G29471" t="s">
        <v>1385</v>
      </c>
      <c r="H29471" s="21">
        <v>561.16999999999996</v>
      </c>
    </row>
    <row r="29472" spans="1:8" customFormat="1" x14ac:dyDescent="0.25">
      <c r="A29472" t="str">
        <f>"4923770"</f>
        <v>4923770</v>
      </c>
      <c r="B29472" t="s">
        <v>5444</v>
      </c>
      <c r="C29472" t="s">
        <v>2479</v>
      </c>
      <c r="D29472" s="21" t="s">
        <v>34</v>
      </c>
      <c r="E29472" s="21" t="s">
        <v>71</v>
      </c>
      <c r="F29472">
        <v>12490035</v>
      </c>
      <c r="G29472" t="s">
        <v>9242</v>
      </c>
      <c r="H29472" s="21">
        <v>561.16999999999996</v>
      </c>
    </row>
    <row r="29473" spans="1:8" customFormat="1" x14ac:dyDescent="0.25">
      <c r="A29473" t="str">
        <f>"0619026"</f>
        <v>0619026</v>
      </c>
      <c r="B29473" t="s">
        <v>23826</v>
      </c>
      <c r="C29473" t="s">
        <v>2520</v>
      </c>
      <c r="D29473" s="21" t="s">
        <v>34</v>
      </c>
      <c r="E29473" s="21" t="s">
        <v>254</v>
      </c>
      <c r="F29473">
        <v>13060063</v>
      </c>
      <c r="G29473" t="s">
        <v>2001</v>
      </c>
      <c r="H29473" s="21">
        <v>561.16999999999996</v>
      </c>
    </row>
    <row r="29474" spans="1:8" customFormat="1" x14ac:dyDescent="0.25">
      <c r="A29474" t="str">
        <f>"4920402"</f>
        <v>4920402</v>
      </c>
      <c r="B29474" t="s">
        <v>18685</v>
      </c>
      <c r="C29474" t="s">
        <v>547</v>
      </c>
      <c r="D29474" s="21" t="s">
        <v>34</v>
      </c>
      <c r="E29474" s="21" t="s">
        <v>1089</v>
      </c>
      <c r="F29474">
        <v>12490064</v>
      </c>
      <c r="G29474" t="s">
        <v>8425</v>
      </c>
      <c r="H29474" s="21">
        <v>561.16999999999996</v>
      </c>
    </row>
    <row r="29475" spans="1:8" customFormat="1" x14ac:dyDescent="0.25">
      <c r="A29475" t="str">
        <f>"168613"</f>
        <v>168613</v>
      </c>
      <c r="B29475" t="s">
        <v>22016</v>
      </c>
      <c r="C29475" t="s">
        <v>3073</v>
      </c>
      <c r="D29475" s="21" t="s">
        <v>34</v>
      </c>
      <c r="E29475" s="21" t="s">
        <v>1089</v>
      </c>
      <c r="F29475">
        <v>10160226</v>
      </c>
      <c r="G29475" t="s">
        <v>8751</v>
      </c>
      <c r="H29475" s="21">
        <v>561.16999999999996</v>
      </c>
    </row>
    <row r="29476" spans="1:8" customFormat="1" x14ac:dyDescent="0.25">
      <c r="A29476" t="str">
        <f>"324911"</f>
        <v>324911</v>
      </c>
      <c r="B29476" t="s">
        <v>28148</v>
      </c>
      <c r="C29476" t="s">
        <v>3712</v>
      </c>
      <c r="D29476" s="21" t="s">
        <v>34</v>
      </c>
      <c r="E29476" s="21" t="s">
        <v>35</v>
      </c>
      <c r="F29476">
        <v>11320033</v>
      </c>
      <c r="G29476" t="s">
        <v>8133</v>
      </c>
      <c r="H29476" s="21">
        <v>561.04</v>
      </c>
    </row>
    <row r="29477" spans="1:8" customFormat="1" x14ac:dyDescent="0.25">
      <c r="A29477" t="str">
        <f>"2935794"</f>
        <v>2935794</v>
      </c>
      <c r="B29477" t="s">
        <v>24067</v>
      </c>
      <c r="C29477" t="s">
        <v>269</v>
      </c>
      <c r="D29477" s="21" t="s">
        <v>34</v>
      </c>
      <c r="E29477" s="21" t="s">
        <v>71</v>
      </c>
      <c r="F29477">
        <v>3290264</v>
      </c>
      <c r="G29477" t="s">
        <v>6934</v>
      </c>
      <c r="H29477" s="21">
        <v>561.04</v>
      </c>
    </row>
    <row r="29478" spans="1:8" customFormat="1" x14ac:dyDescent="0.25">
      <c r="A29478" t="str">
        <f>"5715275"</f>
        <v>5715275</v>
      </c>
      <c r="B29478" t="s">
        <v>21582</v>
      </c>
      <c r="C29478" t="s">
        <v>239</v>
      </c>
      <c r="D29478" s="21" t="s">
        <v>34</v>
      </c>
      <c r="E29478" s="21" t="s">
        <v>71</v>
      </c>
      <c r="F29478">
        <v>6570057</v>
      </c>
      <c r="G29478" t="s">
        <v>8333</v>
      </c>
      <c r="H29478" s="21">
        <v>561</v>
      </c>
    </row>
    <row r="29479" spans="1:8" customFormat="1" x14ac:dyDescent="0.25">
      <c r="A29479" t="str">
        <f>"0115712"</f>
        <v>0115712</v>
      </c>
      <c r="B29479" t="s">
        <v>28149</v>
      </c>
      <c r="C29479" t="s">
        <v>23838</v>
      </c>
      <c r="D29479" s="21" t="s">
        <v>34</v>
      </c>
      <c r="E29479" s="21" t="s">
        <v>35</v>
      </c>
      <c r="F29479">
        <v>1010044</v>
      </c>
      <c r="G29479" t="s">
        <v>4603</v>
      </c>
      <c r="H29479" s="21">
        <v>560.91999999999996</v>
      </c>
    </row>
    <row r="29480" spans="1:8" customFormat="1" x14ac:dyDescent="0.25">
      <c r="A29480" t="str">
        <f>"6110769"</f>
        <v>6110769</v>
      </c>
      <c r="B29480" t="s">
        <v>13910</v>
      </c>
      <c r="C29480" t="s">
        <v>43</v>
      </c>
      <c r="D29480" s="21" t="s">
        <v>34</v>
      </c>
      <c r="E29480" s="21" t="s">
        <v>35</v>
      </c>
      <c r="F29480">
        <v>9610017</v>
      </c>
      <c r="G29480" t="s">
        <v>12194</v>
      </c>
      <c r="H29480" s="21">
        <v>560.91999999999996</v>
      </c>
    </row>
    <row r="29481" spans="1:8" customFormat="1" x14ac:dyDescent="0.25">
      <c r="A29481" t="str">
        <f>"7882584"</f>
        <v>7882584</v>
      </c>
      <c r="B29481" t="s">
        <v>28150</v>
      </c>
      <c r="C29481" t="s">
        <v>169</v>
      </c>
      <c r="D29481" s="21" t="s">
        <v>34</v>
      </c>
      <c r="E29481" s="21" t="s">
        <v>35</v>
      </c>
      <c r="F29481">
        <v>8781176</v>
      </c>
      <c r="G29481" t="s">
        <v>3659</v>
      </c>
      <c r="H29481" s="21">
        <v>560.91999999999996</v>
      </c>
    </row>
    <row r="29482" spans="1:8" customFormat="1" x14ac:dyDescent="0.25">
      <c r="A29482" t="str">
        <f>"0617609"</f>
        <v>0617609</v>
      </c>
      <c r="B29482" t="s">
        <v>21428</v>
      </c>
      <c r="C29482" t="s">
        <v>119</v>
      </c>
      <c r="D29482" s="21" t="s">
        <v>34</v>
      </c>
      <c r="E29482" s="21" t="s">
        <v>71</v>
      </c>
      <c r="F29482">
        <v>13060090</v>
      </c>
      <c r="G29482" t="s">
        <v>1363</v>
      </c>
      <c r="H29482" s="21">
        <v>560.75</v>
      </c>
    </row>
    <row r="29483" spans="1:8" customFormat="1" x14ac:dyDescent="0.25">
      <c r="A29483" t="str">
        <f>"587405"</f>
        <v>587405</v>
      </c>
      <c r="B29483" t="s">
        <v>28151</v>
      </c>
      <c r="C29483" t="s">
        <v>169</v>
      </c>
      <c r="D29483" s="21" t="s">
        <v>34</v>
      </c>
      <c r="E29483" s="21" t="s">
        <v>35</v>
      </c>
      <c r="F29483">
        <v>2580076</v>
      </c>
      <c r="G29483" t="s">
        <v>3666</v>
      </c>
      <c r="H29483" s="21">
        <v>560.66999999999996</v>
      </c>
    </row>
    <row r="29484" spans="1:8" customFormat="1" x14ac:dyDescent="0.25">
      <c r="A29484" t="str">
        <f>"609167"</f>
        <v>609167</v>
      </c>
      <c r="B29484" t="s">
        <v>6194</v>
      </c>
      <c r="C29484" t="s">
        <v>209</v>
      </c>
      <c r="D29484" s="21" t="s">
        <v>34</v>
      </c>
      <c r="E29484" s="21" t="s">
        <v>254</v>
      </c>
      <c r="F29484">
        <v>7600040</v>
      </c>
      <c r="G29484" t="s">
        <v>6757</v>
      </c>
      <c r="H29484" s="21">
        <v>560.66999999999996</v>
      </c>
    </row>
    <row r="29485" spans="1:8" customFormat="1" x14ac:dyDescent="0.25">
      <c r="A29485" t="str">
        <f>"01193"</f>
        <v>01193</v>
      </c>
      <c r="B29485" t="s">
        <v>1867</v>
      </c>
      <c r="C29485" t="s">
        <v>1597</v>
      </c>
      <c r="D29485" s="21" t="s">
        <v>34</v>
      </c>
      <c r="E29485" s="21" t="s">
        <v>1089</v>
      </c>
      <c r="F29485">
        <v>1010020</v>
      </c>
      <c r="G29485" t="s">
        <v>6121</v>
      </c>
      <c r="H29485" s="21">
        <v>560.66999999999996</v>
      </c>
    </row>
    <row r="29486" spans="1:8" customFormat="1" x14ac:dyDescent="0.25">
      <c r="A29486" t="str">
        <f>"9456626"</f>
        <v>9456626</v>
      </c>
      <c r="B29486" t="s">
        <v>20930</v>
      </c>
      <c r="C29486" t="s">
        <v>98</v>
      </c>
      <c r="D29486" s="21" t="s">
        <v>34</v>
      </c>
      <c r="E29486" s="21" t="s">
        <v>71</v>
      </c>
      <c r="F29486">
        <v>8941403</v>
      </c>
      <c r="G29486" t="s">
        <v>978</v>
      </c>
      <c r="H29486" s="21">
        <v>560.66999999999996</v>
      </c>
    </row>
    <row r="29487" spans="1:8" customFormat="1" x14ac:dyDescent="0.25">
      <c r="A29487" t="str">
        <f>"2517243"</f>
        <v>2517243</v>
      </c>
      <c r="B29487" t="s">
        <v>21825</v>
      </c>
      <c r="C29487" t="s">
        <v>275</v>
      </c>
      <c r="D29487" s="21" t="s">
        <v>34</v>
      </c>
      <c r="E29487" s="21" t="s">
        <v>35</v>
      </c>
      <c r="F29487">
        <v>2250208</v>
      </c>
      <c r="G29487" t="s">
        <v>10923</v>
      </c>
      <c r="H29487" s="21">
        <v>560.66999999999996</v>
      </c>
    </row>
    <row r="29488" spans="1:8" customFormat="1" x14ac:dyDescent="0.25">
      <c r="A29488" t="str">
        <f>"1423574"</f>
        <v>1423574</v>
      </c>
      <c r="B29488" t="s">
        <v>2189</v>
      </c>
      <c r="C29488" t="s">
        <v>1100</v>
      </c>
      <c r="D29488" s="21" t="s">
        <v>34</v>
      </c>
      <c r="E29488" s="21" t="s">
        <v>35</v>
      </c>
      <c r="F29488">
        <v>9140190</v>
      </c>
      <c r="G29488" t="s">
        <v>7368</v>
      </c>
      <c r="H29488" s="21">
        <v>560.66999999999996</v>
      </c>
    </row>
    <row r="29489" spans="1:8" customFormat="1" x14ac:dyDescent="0.25">
      <c r="A29489" t="str">
        <f>"2810229"</f>
        <v>2810229</v>
      </c>
      <c r="B29489" t="s">
        <v>21031</v>
      </c>
      <c r="C29489" t="s">
        <v>239</v>
      </c>
      <c r="D29489" s="21" t="s">
        <v>34</v>
      </c>
      <c r="E29489" s="21" t="s">
        <v>71</v>
      </c>
      <c r="F29489">
        <v>4280045</v>
      </c>
      <c r="G29489" t="s">
        <v>787</v>
      </c>
      <c r="H29489" s="21">
        <v>560.66999999999996</v>
      </c>
    </row>
    <row r="29490" spans="1:8" customFormat="1" x14ac:dyDescent="0.25">
      <c r="A29490" t="str">
        <f>"688940"</f>
        <v>688940</v>
      </c>
      <c r="B29490" t="s">
        <v>21147</v>
      </c>
      <c r="C29490" t="s">
        <v>139</v>
      </c>
      <c r="D29490" s="21" t="s">
        <v>34</v>
      </c>
      <c r="E29490" s="21" t="s">
        <v>71</v>
      </c>
      <c r="F29490">
        <v>6680020</v>
      </c>
      <c r="G29490" t="s">
        <v>12995</v>
      </c>
      <c r="H29490" s="21">
        <v>560.66999999999996</v>
      </c>
    </row>
    <row r="29491" spans="1:8" customFormat="1" x14ac:dyDescent="0.25">
      <c r="A29491" t="str">
        <f>"6232322"</f>
        <v>6232322</v>
      </c>
      <c r="B29491" t="s">
        <v>24723</v>
      </c>
      <c r="C29491" t="s">
        <v>486</v>
      </c>
      <c r="D29491" s="21" t="s">
        <v>34</v>
      </c>
      <c r="E29491" s="21" t="s">
        <v>35</v>
      </c>
      <c r="F29491">
        <v>7620104</v>
      </c>
      <c r="G29491" t="s">
        <v>635</v>
      </c>
      <c r="H29491" s="21">
        <v>560.66999999999996</v>
      </c>
    </row>
    <row r="29492" spans="1:8" customFormat="1" x14ac:dyDescent="0.25">
      <c r="A29492" t="str">
        <f>"3013701"</f>
        <v>3013701</v>
      </c>
      <c r="B29492" t="s">
        <v>21549</v>
      </c>
      <c r="C29492" t="s">
        <v>40</v>
      </c>
      <c r="D29492" s="21" t="s">
        <v>34</v>
      </c>
      <c r="E29492" s="21" t="s">
        <v>35</v>
      </c>
      <c r="F29492">
        <v>11300007</v>
      </c>
      <c r="G29492" t="s">
        <v>361</v>
      </c>
      <c r="H29492" s="21">
        <v>560.66999999999996</v>
      </c>
    </row>
    <row r="29493" spans="1:8" customFormat="1" x14ac:dyDescent="0.25">
      <c r="A29493" t="str">
        <f>"5967664"</f>
        <v>5967664</v>
      </c>
      <c r="B29493" t="s">
        <v>20207</v>
      </c>
      <c r="C29493" t="s">
        <v>2520</v>
      </c>
      <c r="D29493" s="21" t="s">
        <v>34</v>
      </c>
      <c r="E29493" s="21" t="s">
        <v>1089</v>
      </c>
      <c r="F29493">
        <v>7590164</v>
      </c>
      <c r="G29493" t="s">
        <v>2451</v>
      </c>
      <c r="H29493" s="21">
        <v>560.66999999999996</v>
      </c>
    </row>
    <row r="29494" spans="1:8" customFormat="1" x14ac:dyDescent="0.25">
      <c r="A29494" t="str">
        <f>"8524637"</f>
        <v>8524637</v>
      </c>
      <c r="B29494" t="s">
        <v>9730</v>
      </c>
      <c r="C29494" t="s">
        <v>114</v>
      </c>
      <c r="D29494" s="21" t="s">
        <v>34</v>
      </c>
      <c r="E29494" s="21" t="s">
        <v>71</v>
      </c>
      <c r="F29494">
        <v>12850091</v>
      </c>
      <c r="G29494" t="s">
        <v>4233</v>
      </c>
      <c r="H29494" s="21">
        <v>560.66999999999996</v>
      </c>
    </row>
    <row r="29495" spans="1:8" customFormat="1" x14ac:dyDescent="0.25">
      <c r="A29495" t="str">
        <f>"9D2703"</f>
        <v>9D2703</v>
      </c>
      <c r="B29495" t="s">
        <v>22157</v>
      </c>
      <c r="C29495" t="s">
        <v>415</v>
      </c>
      <c r="D29495" s="21" t="s">
        <v>34</v>
      </c>
      <c r="E29495" s="21" t="s">
        <v>71</v>
      </c>
      <c r="F29495" t="s">
        <v>2462</v>
      </c>
      <c r="G29495" t="s">
        <v>2463</v>
      </c>
      <c r="H29495" s="21">
        <v>560.66999999999996</v>
      </c>
    </row>
    <row r="29496" spans="1:8" customFormat="1" x14ac:dyDescent="0.25">
      <c r="A29496" t="str">
        <f>"4217325"</f>
        <v>4217325</v>
      </c>
      <c r="B29496" t="s">
        <v>4747</v>
      </c>
      <c r="C29496" t="s">
        <v>233</v>
      </c>
      <c r="D29496" s="21" t="s">
        <v>34</v>
      </c>
      <c r="E29496" s="21" t="s">
        <v>71</v>
      </c>
      <c r="F29496">
        <v>1420153</v>
      </c>
      <c r="G29496" t="s">
        <v>8897</v>
      </c>
      <c r="H29496" s="21">
        <v>560.66999999999996</v>
      </c>
    </row>
    <row r="29497" spans="1:8" customFormat="1" x14ac:dyDescent="0.25">
      <c r="A29497" t="str">
        <f>"244452"</f>
        <v>244452</v>
      </c>
      <c r="B29497" t="s">
        <v>20350</v>
      </c>
      <c r="C29497" t="s">
        <v>1489</v>
      </c>
      <c r="D29497" s="21" t="s">
        <v>34</v>
      </c>
      <c r="E29497" s="21" t="s">
        <v>71</v>
      </c>
      <c r="F29497">
        <v>10240005</v>
      </c>
      <c r="G29497" t="s">
        <v>2496</v>
      </c>
      <c r="H29497" s="21">
        <v>560.66999999999996</v>
      </c>
    </row>
    <row r="29498" spans="1:8" customFormat="1" x14ac:dyDescent="0.25">
      <c r="A29498" t="str">
        <f>"4218023"</f>
        <v>4218023</v>
      </c>
      <c r="B29498" t="s">
        <v>21620</v>
      </c>
      <c r="C29498" t="s">
        <v>462</v>
      </c>
      <c r="D29498" s="21" t="s">
        <v>34</v>
      </c>
      <c r="E29498" s="21" t="s">
        <v>71</v>
      </c>
      <c r="F29498">
        <v>1420163</v>
      </c>
      <c r="G29498" t="s">
        <v>2424</v>
      </c>
      <c r="H29498" s="21">
        <v>560.66999999999996</v>
      </c>
    </row>
    <row r="29499" spans="1:8" customFormat="1" x14ac:dyDescent="0.25">
      <c r="A29499" t="str">
        <f>"643054"</f>
        <v>643054</v>
      </c>
      <c r="B29499" t="s">
        <v>10859</v>
      </c>
      <c r="C29499" t="s">
        <v>608</v>
      </c>
      <c r="D29499" s="21" t="s">
        <v>34</v>
      </c>
      <c r="E29499" s="21" t="s">
        <v>254</v>
      </c>
      <c r="F29499">
        <v>7590068</v>
      </c>
      <c r="G29499" t="s">
        <v>1005</v>
      </c>
      <c r="H29499" s="21">
        <v>560.66999999999996</v>
      </c>
    </row>
    <row r="29500" spans="1:8" customFormat="1" x14ac:dyDescent="0.25">
      <c r="A29500" t="str">
        <f>"7837164"</f>
        <v>7837164</v>
      </c>
      <c r="B29500" t="s">
        <v>5648</v>
      </c>
      <c r="C29500" t="s">
        <v>1665</v>
      </c>
      <c r="D29500" s="21" t="s">
        <v>34</v>
      </c>
      <c r="E29500" s="21" t="s">
        <v>254</v>
      </c>
      <c r="F29500">
        <v>8781432</v>
      </c>
      <c r="G29500" t="s">
        <v>9227</v>
      </c>
      <c r="H29500" s="21">
        <v>560.66999999999996</v>
      </c>
    </row>
    <row r="29501" spans="1:8" customFormat="1" x14ac:dyDescent="0.25">
      <c r="A29501" t="str">
        <f>"17458"</f>
        <v>17458</v>
      </c>
      <c r="B29501" t="s">
        <v>20044</v>
      </c>
      <c r="C29501" t="s">
        <v>772</v>
      </c>
      <c r="D29501" s="21" t="s">
        <v>34</v>
      </c>
      <c r="E29501" s="21" t="s">
        <v>6185</v>
      </c>
      <c r="F29501">
        <v>10170050</v>
      </c>
      <c r="G29501" t="s">
        <v>2514</v>
      </c>
      <c r="H29501" s="21">
        <v>560.66999999999996</v>
      </c>
    </row>
    <row r="29502" spans="1:8" customFormat="1" x14ac:dyDescent="0.25">
      <c r="A29502" t="str">
        <f>"6315931"</f>
        <v>6315931</v>
      </c>
      <c r="B29502" t="s">
        <v>20498</v>
      </c>
      <c r="C29502" t="s">
        <v>233</v>
      </c>
      <c r="D29502" s="21" t="s">
        <v>34</v>
      </c>
      <c r="E29502" s="21" t="s">
        <v>254</v>
      </c>
      <c r="F29502">
        <v>1630332</v>
      </c>
      <c r="G29502" t="s">
        <v>27136</v>
      </c>
      <c r="H29502" s="21">
        <v>560.66999999999996</v>
      </c>
    </row>
    <row r="29503" spans="1:8" customFormat="1" x14ac:dyDescent="0.25">
      <c r="A29503" t="str">
        <f>"588908"</f>
        <v>588908</v>
      </c>
      <c r="B29503" t="s">
        <v>1096</v>
      </c>
      <c r="C29503" t="s">
        <v>198</v>
      </c>
      <c r="D29503" s="21" t="s">
        <v>34</v>
      </c>
      <c r="E29503" s="21" t="s">
        <v>71</v>
      </c>
      <c r="F29503">
        <v>2580089</v>
      </c>
      <c r="G29503" t="s">
        <v>15805</v>
      </c>
      <c r="H29503" s="21">
        <v>560.66999999999996</v>
      </c>
    </row>
    <row r="29504" spans="1:8" customFormat="1" x14ac:dyDescent="0.25">
      <c r="A29504" t="str">
        <f>"7639902"</f>
        <v>7639902</v>
      </c>
      <c r="B29504" t="s">
        <v>20556</v>
      </c>
      <c r="C29504" t="s">
        <v>2678</v>
      </c>
      <c r="D29504" s="21" t="s">
        <v>34</v>
      </c>
      <c r="E29504" s="21" t="s">
        <v>35</v>
      </c>
      <c r="F29504">
        <v>9760417</v>
      </c>
      <c r="G29504" t="s">
        <v>11996</v>
      </c>
      <c r="H29504" s="21">
        <v>560.66999999999996</v>
      </c>
    </row>
    <row r="29505" spans="1:8" customFormat="1" x14ac:dyDescent="0.25">
      <c r="A29505" t="str">
        <f>"7852697"</f>
        <v>7852697</v>
      </c>
      <c r="B29505" t="s">
        <v>889</v>
      </c>
      <c r="C29505" t="s">
        <v>119</v>
      </c>
      <c r="D29505" s="21" t="s">
        <v>34</v>
      </c>
      <c r="E29505" s="21" t="s">
        <v>254</v>
      </c>
      <c r="F29505">
        <v>8780585</v>
      </c>
      <c r="G29505" t="s">
        <v>4630</v>
      </c>
      <c r="H29505" s="21">
        <v>560.66999999999996</v>
      </c>
    </row>
    <row r="29506" spans="1:8" customFormat="1" x14ac:dyDescent="0.25">
      <c r="A29506" t="str">
        <f>"5428553"</f>
        <v>5428553</v>
      </c>
      <c r="B29506" t="s">
        <v>20977</v>
      </c>
      <c r="C29506" t="s">
        <v>206</v>
      </c>
      <c r="D29506" s="21" t="s">
        <v>34</v>
      </c>
      <c r="E29506" s="21" t="s">
        <v>35</v>
      </c>
      <c r="F29506">
        <v>6540190</v>
      </c>
      <c r="G29506" t="s">
        <v>9727</v>
      </c>
      <c r="H29506" s="21">
        <v>560.66999999999996</v>
      </c>
    </row>
    <row r="29507" spans="1:8" customFormat="1" x14ac:dyDescent="0.25">
      <c r="A29507" t="str">
        <f>"3115786"</f>
        <v>3115786</v>
      </c>
      <c r="B29507" t="s">
        <v>20638</v>
      </c>
      <c r="C29507" t="s">
        <v>55</v>
      </c>
      <c r="D29507" s="21" t="s">
        <v>34</v>
      </c>
      <c r="E29507" s="21" t="s">
        <v>71</v>
      </c>
      <c r="F29507">
        <v>11310123</v>
      </c>
      <c r="G29507" t="s">
        <v>3915</v>
      </c>
      <c r="H29507" s="21">
        <v>560.66999999999996</v>
      </c>
    </row>
    <row r="29508" spans="1:8" customFormat="1" x14ac:dyDescent="0.25">
      <c r="A29508" t="str">
        <f>"1415875"</f>
        <v>1415875</v>
      </c>
      <c r="B29508" t="s">
        <v>10176</v>
      </c>
      <c r="C29508" t="s">
        <v>1142</v>
      </c>
      <c r="D29508" s="21" t="s">
        <v>34</v>
      </c>
      <c r="E29508" s="21" t="s">
        <v>254</v>
      </c>
      <c r="F29508">
        <v>9500082</v>
      </c>
      <c r="G29508" t="s">
        <v>11183</v>
      </c>
      <c r="H29508" s="21">
        <v>560.66999999999996</v>
      </c>
    </row>
    <row r="29509" spans="1:8" customFormat="1" x14ac:dyDescent="0.25">
      <c r="A29509" t="str">
        <f>"5952420"</f>
        <v>5952420</v>
      </c>
      <c r="B29509" t="s">
        <v>20603</v>
      </c>
      <c r="C29509" t="s">
        <v>2100</v>
      </c>
      <c r="D29509" s="21" t="s">
        <v>34</v>
      </c>
      <c r="E29509" s="21" t="s">
        <v>71</v>
      </c>
      <c r="F29509">
        <v>7590008</v>
      </c>
      <c r="G29509" t="s">
        <v>110</v>
      </c>
      <c r="H29509" s="21">
        <v>560.66999999999996</v>
      </c>
    </row>
    <row r="29510" spans="1:8" customFormat="1" x14ac:dyDescent="0.25">
      <c r="A29510" t="str">
        <f>"2927302"</f>
        <v>2927302</v>
      </c>
      <c r="B29510" t="s">
        <v>10350</v>
      </c>
      <c r="C29510" t="s">
        <v>459</v>
      </c>
      <c r="D29510" s="21" t="s">
        <v>34</v>
      </c>
      <c r="E29510" s="21" t="s">
        <v>254</v>
      </c>
      <c r="F29510">
        <v>3290232</v>
      </c>
      <c r="G29510" t="s">
        <v>9588</v>
      </c>
      <c r="H29510" s="21">
        <v>560.66999999999996</v>
      </c>
    </row>
    <row r="29511" spans="1:8" customFormat="1" x14ac:dyDescent="0.25">
      <c r="A29511" t="str">
        <f>"8527391"</f>
        <v>8527391</v>
      </c>
      <c r="B29511" t="s">
        <v>24166</v>
      </c>
      <c r="C29511" t="s">
        <v>1146</v>
      </c>
      <c r="D29511" s="21" t="s">
        <v>34</v>
      </c>
      <c r="E29511" s="21" t="s">
        <v>254</v>
      </c>
      <c r="F29511">
        <v>12850001</v>
      </c>
      <c r="G29511" t="s">
        <v>1197</v>
      </c>
      <c r="H29511" s="21">
        <v>560.66999999999996</v>
      </c>
    </row>
    <row r="29512" spans="1:8" customFormat="1" x14ac:dyDescent="0.25">
      <c r="A29512" t="str">
        <f>"6016385"</f>
        <v>6016385</v>
      </c>
      <c r="B29512" t="s">
        <v>213</v>
      </c>
      <c r="C29512" t="s">
        <v>285</v>
      </c>
      <c r="D29512" s="21" t="s">
        <v>34</v>
      </c>
      <c r="E29512" s="21" t="s">
        <v>71</v>
      </c>
      <c r="F29512">
        <v>7600167</v>
      </c>
      <c r="G29512" t="s">
        <v>12431</v>
      </c>
      <c r="H29512" s="21">
        <v>560.66999999999996</v>
      </c>
    </row>
    <row r="29513" spans="1:8" customFormat="1" x14ac:dyDescent="0.25">
      <c r="A29513" t="str">
        <f>"035944"</f>
        <v>035944</v>
      </c>
      <c r="B29513" t="s">
        <v>8407</v>
      </c>
      <c r="C29513" t="s">
        <v>2520</v>
      </c>
      <c r="D29513" s="21" t="s">
        <v>34</v>
      </c>
      <c r="E29513" s="21" t="s">
        <v>254</v>
      </c>
      <c r="F29513">
        <v>1030165</v>
      </c>
      <c r="G29513" t="s">
        <v>2357</v>
      </c>
      <c r="H29513" s="21">
        <v>560.66999999999996</v>
      </c>
    </row>
    <row r="29514" spans="1:8" customFormat="1" x14ac:dyDescent="0.25">
      <c r="A29514" t="str">
        <f>"2814040"</f>
        <v>2814040</v>
      </c>
      <c r="B29514" t="s">
        <v>13694</v>
      </c>
      <c r="C29514" t="s">
        <v>2529</v>
      </c>
      <c r="D29514" s="21" t="s">
        <v>34</v>
      </c>
      <c r="E29514" s="21" t="s">
        <v>71</v>
      </c>
      <c r="F29514">
        <v>4280005</v>
      </c>
      <c r="G29514" t="s">
        <v>5760</v>
      </c>
      <c r="H29514" s="21">
        <v>560.41999999999996</v>
      </c>
    </row>
    <row r="29515" spans="1:8" customFormat="1" x14ac:dyDescent="0.25">
      <c r="A29515" t="str">
        <f>"7215766"</f>
        <v>7215766</v>
      </c>
      <c r="B29515" t="s">
        <v>726</v>
      </c>
      <c r="C29515" t="s">
        <v>33</v>
      </c>
      <c r="D29515" s="21" t="s">
        <v>34</v>
      </c>
      <c r="E29515" s="21" t="s">
        <v>35</v>
      </c>
      <c r="F29515">
        <v>12720016</v>
      </c>
      <c r="G29515" t="s">
        <v>11791</v>
      </c>
      <c r="H29515" s="21">
        <v>560.41999999999996</v>
      </c>
    </row>
    <row r="29516" spans="1:8" customFormat="1" x14ac:dyDescent="0.25">
      <c r="A29516" t="str">
        <f>"7715724"</f>
        <v>7715724</v>
      </c>
      <c r="B29516" t="s">
        <v>5428</v>
      </c>
      <c r="C29516" t="s">
        <v>98</v>
      </c>
      <c r="D29516" s="21" t="s">
        <v>34</v>
      </c>
      <c r="E29516" s="21" t="s">
        <v>35</v>
      </c>
      <c r="F29516">
        <v>8770895</v>
      </c>
      <c r="G29516" t="s">
        <v>4795</v>
      </c>
      <c r="H29516" s="21">
        <v>560.41999999999996</v>
      </c>
    </row>
    <row r="29517" spans="1:8" customFormat="1" x14ac:dyDescent="0.25">
      <c r="A29517" t="str">
        <f>"6315238"</f>
        <v>6315238</v>
      </c>
      <c r="B29517" t="s">
        <v>12944</v>
      </c>
      <c r="C29517" t="s">
        <v>124</v>
      </c>
      <c r="D29517" s="21" t="s">
        <v>34</v>
      </c>
      <c r="E29517" s="21" t="s">
        <v>35</v>
      </c>
      <c r="F29517">
        <v>1630327</v>
      </c>
      <c r="G29517" t="s">
        <v>13353</v>
      </c>
      <c r="H29517" s="21">
        <v>560.29</v>
      </c>
    </row>
    <row r="29518" spans="1:8" customFormat="1" x14ac:dyDescent="0.25">
      <c r="A29518" t="str">
        <f>"367404"</f>
        <v>367404</v>
      </c>
      <c r="B29518" t="s">
        <v>970</v>
      </c>
      <c r="C29518" t="s">
        <v>2475</v>
      </c>
      <c r="D29518" s="21" t="s">
        <v>34</v>
      </c>
      <c r="E29518" s="21" t="s">
        <v>71</v>
      </c>
      <c r="F29518">
        <v>4360315</v>
      </c>
      <c r="G29518" t="s">
        <v>6888</v>
      </c>
      <c r="H29518" s="21">
        <v>560.29</v>
      </c>
    </row>
    <row r="29519" spans="1:8" customFormat="1" x14ac:dyDescent="0.25">
      <c r="A29519" t="str">
        <f>"9236460"</f>
        <v>9236460</v>
      </c>
      <c r="B29519" t="s">
        <v>6113</v>
      </c>
      <c r="C29519" t="s">
        <v>33</v>
      </c>
      <c r="D29519" s="21" t="s">
        <v>34</v>
      </c>
      <c r="E29519" s="21" t="s">
        <v>71</v>
      </c>
      <c r="F29519">
        <v>8920389</v>
      </c>
      <c r="G29519" t="s">
        <v>1739</v>
      </c>
      <c r="H29519" s="21">
        <v>560.29</v>
      </c>
    </row>
    <row r="29520" spans="1:8" customFormat="1" x14ac:dyDescent="0.25">
      <c r="A29520" t="str">
        <f>"486292"</f>
        <v>486292</v>
      </c>
      <c r="B29520" t="s">
        <v>19499</v>
      </c>
      <c r="C29520" t="s">
        <v>1665</v>
      </c>
      <c r="D29520" s="21" t="s">
        <v>34</v>
      </c>
      <c r="E29520" s="21" t="s">
        <v>71</v>
      </c>
      <c r="F29520">
        <v>11480020</v>
      </c>
      <c r="G29520" t="s">
        <v>5221</v>
      </c>
      <c r="H29520" s="21">
        <v>560.16999999999996</v>
      </c>
    </row>
    <row r="29521" spans="1:8" customFormat="1" x14ac:dyDescent="0.25">
      <c r="A29521" t="str">
        <f>"2610018"</f>
        <v>2610018</v>
      </c>
      <c r="B29521" t="s">
        <v>8097</v>
      </c>
      <c r="C29521" t="s">
        <v>598</v>
      </c>
      <c r="D29521" s="21" t="s">
        <v>34</v>
      </c>
      <c r="E29521" s="21" t="s">
        <v>71</v>
      </c>
      <c r="F29521">
        <v>1260068</v>
      </c>
      <c r="G29521" t="s">
        <v>6531</v>
      </c>
      <c r="H29521" s="21">
        <v>560.16999999999996</v>
      </c>
    </row>
    <row r="29522" spans="1:8" customFormat="1" x14ac:dyDescent="0.25">
      <c r="A29522" t="str">
        <f>"8018587"</f>
        <v>8018587</v>
      </c>
      <c r="B29522" t="s">
        <v>6558</v>
      </c>
      <c r="C29522" t="s">
        <v>1665</v>
      </c>
      <c r="D29522" s="21" t="s">
        <v>34</v>
      </c>
      <c r="E29522" s="21" t="s">
        <v>254</v>
      </c>
      <c r="F29522">
        <v>7800098</v>
      </c>
      <c r="G29522" t="s">
        <v>8445</v>
      </c>
      <c r="H29522" s="21">
        <v>560.16999999999996</v>
      </c>
    </row>
    <row r="29523" spans="1:8" customFormat="1" x14ac:dyDescent="0.25">
      <c r="A29523" t="str">
        <f>"7519639"</f>
        <v>7519639</v>
      </c>
      <c r="B29523" t="s">
        <v>8159</v>
      </c>
      <c r="C29523" t="s">
        <v>233</v>
      </c>
      <c r="D29523" s="21" t="s">
        <v>34</v>
      </c>
      <c r="E29523" s="21" t="s">
        <v>71</v>
      </c>
      <c r="F29523">
        <v>8751453</v>
      </c>
      <c r="G29523" t="s">
        <v>7029</v>
      </c>
      <c r="H29523" s="21">
        <v>560.16999999999996</v>
      </c>
    </row>
    <row r="29524" spans="1:8" customFormat="1" x14ac:dyDescent="0.25">
      <c r="A29524" t="str">
        <f>"089647"</f>
        <v>089647</v>
      </c>
      <c r="B29524" t="s">
        <v>5431</v>
      </c>
      <c r="C29524" t="s">
        <v>8442</v>
      </c>
      <c r="D29524" s="21" t="s">
        <v>34</v>
      </c>
      <c r="E29524" s="21" t="s">
        <v>35</v>
      </c>
      <c r="F29524">
        <v>6080093</v>
      </c>
      <c r="G29524" t="s">
        <v>13289</v>
      </c>
      <c r="H29524" s="21">
        <v>560.16999999999996</v>
      </c>
    </row>
    <row r="29525" spans="1:8" customFormat="1" x14ac:dyDescent="0.25">
      <c r="A29525" t="str">
        <f>"5015206"</f>
        <v>5015206</v>
      </c>
      <c r="B29525" t="s">
        <v>20331</v>
      </c>
      <c r="C29525" t="s">
        <v>209</v>
      </c>
      <c r="D29525" s="21" t="s">
        <v>34</v>
      </c>
      <c r="E29525" s="21" t="s">
        <v>71</v>
      </c>
      <c r="F29525">
        <v>9500122</v>
      </c>
      <c r="G29525" t="s">
        <v>6164</v>
      </c>
      <c r="H29525" s="21">
        <v>560.16999999999996</v>
      </c>
    </row>
    <row r="29526" spans="1:8" customFormat="1" x14ac:dyDescent="0.25">
      <c r="A29526" t="str">
        <f>"8529194"</f>
        <v>8529194</v>
      </c>
      <c r="B29526" t="s">
        <v>15983</v>
      </c>
      <c r="C29526" t="s">
        <v>269</v>
      </c>
      <c r="D29526" s="21" t="s">
        <v>34</v>
      </c>
      <c r="E29526" s="21" t="s">
        <v>35</v>
      </c>
      <c r="F29526">
        <v>12850060</v>
      </c>
      <c r="G29526" t="s">
        <v>2783</v>
      </c>
      <c r="H29526" s="21">
        <v>560.16999999999996</v>
      </c>
    </row>
    <row r="29527" spans="1:8" customFormat="1" x14ac:dyDescent="0.25">
      <c r="A29527" t="str">
        <f>"878800"</f>
        <v>878800</v>
      </c>
      <c r="B29527" t="s">
        <v>20700</v>
      </c>
      <c r="C29527" t="s">
        <v>269</v>
      </c>
      <c r="D29527" s="21" t="s">
        <v>34</v>
      </c>
      <c r="E29527" s="21" t="s">
        <v>35</v>
      </c>
      <c r="F29527">
        <v>10870130</v>
      </c>
      <c r="G29527" t="s">
        <v>7564</v>
      </c>
      <c r="H29527" s="21">
        <v>560.16999999999996</v>
      </c>
    </row>
    <row r="29528" spans="1:8" customFormat="1" x14ac:dyDescent="0.25">
      <c r="A29528" t="str">
        <f>"6228345"</f>
        <v>6228345</v>
      </c>
      <c r="B29528" t="s">
        <v>802</v>
      </c>
      <c r="C29528" t="s">
        <v>415</v>
      </c>
      <c r="D29528" s="21" t="s">
        <v>34</v>
      </c>
      <c r="E29528" s="21" t="s">
        <v>71</v>
      </c>
      <c r="F29528">
        <v>7620165</v>
      </c>
      <c r="G29528" t="s">
        <v>6254</v>
      </c>
      <c r="H29528" s="21">
        <v>560.16999999999996</v>
      </c>
    </row>
    <row r="29529" spans="1:8" customFormat="1" x14ac:dyDescent="0.25">
      <c r="A29529" t="str">
        <f>"8520846"</f>
        <v>8520846</v>
      </c>
      <c r="B29529" t="s">
        <v>15879</v>
      </c>
      <c r="C29529" t="s">
        <v>1853</v>
      </c>
      <c r="D29529" s="21" t="s">
        <v>34</v>
      </c>
      <c r="E29529" s="21" t="s">
        <v>35</v>
      </c>
      <c r="F29529">
        <v>12850153</v>
      </c>
      <c r="G29529" t="s">
        <v>5794</v>
      </c>
      <c r="H29529" s="21">
        <v>560.16999999999996</v>
      </c>
    </row>
    <row r="29530" spans="1:8" customFormat="1" x14ac:dyDescent="0.25">
      <c r="A29530" t="str">
        <f>"7522257"</f>
        <v>7522257</v>
      </c>
      <c r="B29530" t="s">
        <v>21902</v>
      </c>
      <c r="C29530" t="s">
        <v>1665</v>
      </c>
      <c r="D29530" s="21" t="s">
        <v>34</v>
      </c>
      <c r="E29530" s="21" t="s">
        <v>35</v>
      </c>
      <c r="F29530">
        <v>8750074</v>
      </c>
      <c r="G29530" t="s">
        <v>698</v>
      </c>
      <c r="H29530" s="21">
        <v>560.16999999999996</v>
      </c>
    </row>
    <row r="29531" spans="1:8" customFormat="1" x14ac:dyDescent="0.25">
      <c r="A29531" t="str">
        <f>"4217552"</f>
        <v>4217552</v>
      </c>
      <c r="B29531" t="s">
        <v>15506</v>
      </c>
      <c r="C29531" t="s">
        <v>4721</v>
      </c>
      <c r="D29531" s="21" t="s">
        <v>34</v>
      </c>
      <c r="E29531" s="21" t="s">
        <v>1089</v>
      </c>
      <c r="F29531">
        <v>1420163</v>
      </c>
      <c r="G29531" t="s">
        <v>2424</v>
      </c>
      <c r="H29531" s="21">
        <v>560.16999999999996</v>
      </c>
    </row>
    <row r="29532" spans="1:8" customFormat="1" x14ac:dyDescent="0.25">
      <c r="A29532" t="str">
        <f>"4443112"</f>
        <v>4443112</v>
      </c>
      <c r="B29532" t="s">
        <v>16207</v>
      </c>
      <c r="C29532" t="s">
        <v>1812</v>
      </c>
      <c r="D29532" s="21" t="s">
        <v>34</v>
      </c>
      <c r="E29532" s="21" t="s">
        <v>71</v>
      </c>
      <c r="F29532">
        <v>12440258</v>
      </c>
      <c r="G29532" t="s">
        <v>17845</v>
      </c>
      <c r="H29532" s="21">
        <v>560.16999999999996</v>
      </c>
    </row>
    <row r="29533" spans="1:8" customFormat="1" x14ac:dyDescent="0.25">
      <c r="A29533" t="str">
        <f>"7639405"</f>
        <v>7639405</v>
      </c>
      <c r="B29533" t="s">
        <v>1198</v>
      </c>
      <c r="C29533" t="s">
        <v>130</v>
      </c>
      <c r="D29533" s="21" t="s">
        <v>34</v>
      </c>
      <c r="E29533" s="21" t="s">
        <v>71</v>
      </c>
      <c r="F29533">
        <v>9760344</v>
      </c>
      <c r="G29533" t="s">
        <v>2523</v>
      </c>
      <c r="H29533" s="21">
        <v>560.16999999999996</v>
      </c>
    </row>
    <row r="29534" spans="1:8" customFormat="1" x14ac:dyDescent="0.25">
      <c r="A29534" t="str">
        <f>"3715229"</f>
        <v>3715229</v>
      </c>
      <c r="B29534" t="s">
        <v>28152</v>
      </c>
      <c r="C29534" t="s">
        <v>415</v>
      </c>
      <c r="D29534" s="21" t="s">
        <v>34</v>
      </c>
      <c r="E29534" s="21" t="s">
        <v>35</v>
      </c>
      <c r="F29534">
        <v>3350022</v>
      </c>
      <c r="G29534" t="s">
        <v>1287</v>
      </c>
      <c r="H29534" s="21">
        <v>560.04</v>
      </c>
    </row>
    <row r="29535" spans="1:8" customFormat="1" x14ac:dyDescent="0.25">
      <c r="A29535" t="str">
        <f>"9244592"</f>
        <v>9244592</v>
      </c>
      <c r="B29535" t="s">
        <v>20768</v>
      </c>
      <c r="C29535" t="s">
        <v>198</v>
      </c>
      <c r="D29535" s="21" t="s">
        <v>34</v>
      </c>
      <c r="E29535" s="21" t="s">
        <v>71</v>
      </c>
      <c r="F29535">
        <v>8920151</v>
      </c>
      <c r="G29535" t="s">
        <v>1434</v>
      </c>
      <c r="H29535" s="21">
        <v>560.04</v>
      </c>
    </row>
    <row r="29536" spans="1:8" customFormat="1" x14ac:dyDescent="0.25">
      <c r="A29536" t="str">
        <f>"7847188"</f>
        <v>7847188</v>
      </c>
      <c r="B29536" t="s">
        <v>3337</v>
      </c>
      <c r="C29536" t="s">
        <v>867</v>
      </c>
      <c r="D29536" s="21" t="s">
        <v>34</v>
      </c>
      <c r="E29536" s="21" t="s">
        <v>35</v>
      </c>
      <c r="F29536">
        <v>3350011</v>
      </c>
      <c r="G29536" t="s">
        <v>2404</v>
      </c>
      <c r="H29536" s="21">
        <v>560</v>
      </c>
    </row>
    <row r="29537" spans="1:8" customFormat="1" x14ac:dyDescent="0.25">
      <c r="A29537" t="str">
        <f>"1418194"</f>
        <v>1418194</v>
      </c>
      <c r="B29537" t="s">
        <v>22109</v>
      </c>
      <c r="C29537" t="s">
        <v>65</v>
      </c>
      <c r="D29537" s="21" t="s">
        <v>34</v>
      </c>
      <c r="E29537" s="21" t="s">
        <v>35</v>
      </c>
      <c r="F29537">
        <v>9140032</v>
      </c>
      <c r="G29537" t="s">
        <v>2130</v>
      </c>
      <c r="H29537" s="21">
        <v>559.91999999999996</v>
      </c>
    </row>
    <row r="29538" spans="1:8" customFormat="1" x14ac:dyDescent="0.25">
      <c r="A29538" t="str">
        <f>"277031"</f>
        <v>277031</v>
      </c>
      <c r="B29538" t="s">
        <v>8614</v>
      </c>
      <c r="C29538" t="s">
        <v>239</v>
      </c>
      <c r="D29538" s="21" t="s">
        <v>34</v>
      </c>
      <c r="E29538" s="21" t="s">
        <v>1089</v>
      </c>
      <c r="F29538">
        <v>9270110</v>
      </c>
      <c r="G29538" t="s">
        <v>7417</v>
      </c>
      <c r="H29538" s="21">
        <v>559.91999999999996</v>
      </c>
    </row>
    <row r="29539" spans="1:8" customFormat="1" x14ac:dyDescent="0.25">
      <c r="A29539" t="str">
        <f>"9124613"</f>
        <v>9124613</v>
      </c>
      <c r="B29539" t="s">
        <v>24214</v>
      </c>
      <c r="C29539" t="s">
        <v>24215</v>
      </c>
      <c r="D29539" s="21" t="s">
        <v>34</v>
      </c>
      <c r="E29539" s="21" t="s">
        <v>35</v>
      </c>
      <c r="F29539">
        <v>8910434</v>
      </c>
      <c r="G29539" t="s">
        <v>681</v>
      </c>
      <c r="H29539" s="21">
        <v>559.91999999999996</v>
      </c>
    </row>
    <row r="29540" spans="1:8" customFormat="1" x14ac:dyDescent="0.25">
      <c r="A29540" t="str">
        <f>"9510994"</f>
        <v>9510994</v>
      </c>
      <c r="B29540" t="s">
        <v>20632</v>
      </c>
      <c r="C29540" t="s">
        <v>239</v>
      </c>
      <c r="D29540" s="21" t="s">
        <v>34</v>
      </c>
      <c r="E29540" s="21" t="s">
        <v>71</v>
      </c>
      <c r="F29540">
        <v>8951312</v>
      </c>
      <c r="G29540" t="s">
        <v>1007</v>
      </c>
      <c r="H29540" s="21">
        <v>559.79</v>
      </c>
    </row>
    <row r="29541" spans="1:8" customFormat="1" x14ac:dyDescent="0.25">
      <c r="A29541" t="str">
        <f>"2218272"</f>
        <v>2218272</v>
      </c>
      <c r="B29541" t="s">
        <v>24001</v>
      </c>
      <c r="C29541" t="s">
        <v>1841</v>
      </c>
      <c r="D29541" s="21" t="s">
        <v>34</v>
      </c>
      <c r="E29541" s="21" t="s">
        <v>254</v>
      </c>
      <c r="F29541">
        <v>3220123</v>
      </c>
      <c r="G29541" t="s">
        <v>26953</v>
      </c>
      <c r="H29541" s="21">
        <v>559.66999999999996</v>
      </c>
    </row>
    <row r="29542" spans="1:8" customFormat="1" x14ac:dyDescent="0.25">
      <c r="A29542" t="str">
        <f>"7910730"</f>
        <v>7910730</v>
      </c>
      <c r="B29542" t="s">
        <v>10803</v>
      </c>
      <c r="C29542" t="s">
        <v>90</v>
      </c>
      <c r="D29542" s="21" t="s">
        <v>34</v>
      </c>
      <c r="E29542" s="21" t="s">
        <v>35</v>
      </c>
      <c r="F29542">
        <v>10790036</v>
      </c>
      <c r="G29542" t="s">
        <v>4946</v>
      </c>
      <c r="H29542" s="21">
        <v>559.66999999999996</v>
      </c>
    </row>
    <row r="29543" spans="1:8" customFormat="1" x14ac:dyDescent="0.25">
      <c r="A29543" t="str">
        <f>"576005"</f>
        <v>576005</v>
      </c>
      <c r="B29543" t="s">
        <v>5678</v>
      </c>
      <c r="C29543" t="s">
        <v>3784</v>
      </c>
      <c r="D29543" s="21" t="s">
        <v>34</v>
      </c>
      <c r="E29543" s="21" t="s">
        <v>71</v>
      </c>
      <c r="F29543">
        <v>6570078</v>
      </c>
      <c r="G29543" t="s">
        <v>6852</v>
      </c>
      <c r="H29543" s="21">
        <v>559.66999999999996</v>
      </c>
    </row>
    <row r="29544" spans="1:8" customFormat="1" x14ac:dyDescent="0.25">
      <c r="A29544" t="str">
        <f>"513932"</f>
        <v>513932</v>
      </c>
      <c r="B29544" t="s">
        <v>11199</v>
      </c>
      <c r="C29544" t="s">
        <v>206</v>
      </c>
      <c r="D29544" s="21" t="s">
        <v>34</v>
      </c>
      <c r="E29544" s="21" t="s">
        <v>71</v>
      </c>
      <c r="F29544">
        <v>6510090</v>
      </c>
      <c r="G29544" t="s">
        <v>11924</v>
      </c>
      <c r="H29544" s="21">
        <v>559.66999999999996</v>
      </c>
    </row>
    <row r="29545" spans="1:8" customFormat="1" x14ac:dyDescent="0.25">
      <c r="A29545" t="str">
        <f>"9314039"</f>
        <v>9314039</v>
      </c>
      <c r="B29545" t="s">
        <v>3890</v>
      </c>
      <c r="C29545" t="s">
        <v>879</v>
      </c>
      <c r="D29545" s="21" t="s">
        <v>34</v>
      </c>
      <c r="E29545" s="21" t="s">
        <v>1089</v>
      </c>
      <c r="F29545">
        <v>13840045</v>
      </c>
      <c r="G29545" t="s">
        <v>11703</v>
      </c>
      <c r="H29545" s="21">
        <v>559.66999999999996</v>
      </c>
    </row>
    <row r="29546" spans="1:8" customFormat="1" x14ac:dyDescent="0.25">
      <c r="A29546" t="str">
        <f>"3522125"</f>
        <v>3522125</v>
      </c>
      <c r="B29546" t="s">
        <v>19902</v>
      </c>
      <c r="C29546" t="s">
        <v>8491</v>
      </c>
      <c r="D29546" s="21" t="s">
        <v>34</v>
      </c>
      <c r="E29546" s="21" t="s">
        <v>35</v>
      </c>
      <c r="F29546">
        <v>3350065</v>
      </c>
      <c r="G29546" t="s">
        <v>5910</v>
      </c>
      <c r="H29546" s="21">
        <v>559.66999999999996</v>
      </c>
    </row>
    <row r="29547" spans="1:8" customFormat="1" x14ac:dyDescent="0.25">
      <c r="A29547" t="str">
        <f>"6231778"</f>
        <v>6231778</v>
      </c>
      <c r="B29547" t="s">
        <v>2406</v>
      </c>
      <c r="C29547" t="s">
        <v>484</v>
      </c>
      <c r="D29547" s="21" t="s">
        <v>34</v>
      </c>
      <c r="E29547" s="21" t="s">
        <v>35</v>
      </c>
      <c r="F29547">
        <v>7620016</v>
      </c>
      <c r="G29547" t="s">
        <v>6850</v>
      </c>
      <c r="H29547" s="21">
        <v>559.66999999999996</v>
      </c>
    </row>
    <row r="29548" spans="1:8" customFormat="1" x14ac:dyDescent="0.25">
      <c r="A29548" t="str">
        <f>"5963002"</f>
        <v>5963002</v>
      </c>
      <c r="B29548" t="s">
        <v>28153</v>
      </c>
      <c r="C29548" t="s">
        <v>462</v>
      </c>
      <c r="D29548" s="21" t="s">
        <v>34</v>
      </c>
      <c r="E29548" s="21" t="s">
        <v>35</v>
      </c>
      <c r="F29548">
        <v>7590361</v>
      </c>
      <c r="G29548" t="s">
        <v>3071</v>
      </c>
      <c r="H29548" s="21">
        <v>559.66999999999996</v>
      </c>
    </row>
    <row r="29549" spans="1:8" customFormat="1" x14ac:dyDescent="0.25">
      <c r="A29549" t="str">
        <f>"704528"</f>
        <v>704528</v>
      </c>
      <c r="B29549" t="s">
        <v>16115</v>
      </c>
      <c r="C29549" t="s">
        <v>55</v>
      </c>
      <c r="D29549" s="21" t="s">
        <v>34</v>
      </c>
      <c r="E29549" s="21" t="s">
        <v>35</v>
      </c>
      <c r="F29549">
        <v>6080059</v>
      </c>
      <c r="G29549" t="s">
        <v>4242</v>
      </c>
      <c r="H29549" s="21">
        <v>559.66999999999996</v>
      </c>
    </row>
    <row r="29550" spans="1:8" customFormat="1" x14ac:dyDescent="0.25">
      <c r="A29550" t="str">
        <f>"63665"</f>
        <v>63665</v>
      </c>
      <c r="B29550" t="s">
        <v>146</v>
      </c>
      <c r="C29550" t="s">
        <v>253</v>
      </c>
      <c r="D29550" s="21" t="s">
        <v>34</v>
      </c>
      <c r="E29550" s="21" t="s">
        <v>254</v>
      </c>
      <c r="F29550">
        <v>1630123</v>
      </c>
      <c r="G29550" t="s">
        <v>1036</v>
      </c>
      <c r="H29550" s="21">
        <v>559.66999999999996</v>
      </c>
    </row>
    <row r="29551" spans="1:8" customFormat="1" x14ac:dyDescent="0.25">
      <c r="A29551" t="str">
        <f>"7217620"</f>
        <v>7217620</v>
      </c>
      <c r="B29551" t="s">
        <v>3720</v>
      </c>
      <c r="C29551" t="s">
        <v>147</v>
      </c>
      <c r="D29551" s="21" t="s">
        <v>34</v>
      </c>
      <c r="E29551" s="21" t="s">
        <v>35</v>
      </c>
      <c r="F29551">
        <v>12720067</v>
      </c>
      <c r="G29551" t="s">
        <v>10622</v>
      </c>
      <c r="H29551" s="21">
        <v>559.66999999999996</v>
      </c>
    </row>
    <row r="29552" spans="1:8" customFormat="1" x14ac:dyDescent="0.25">
      <c r="A29552" t="str">
        <f>"9445161"</f>
        <v>9445161</v>
      </c>
      <c r="B29552" t="s">
        <v>20891</v>
      </c>
      <c r="C29552" t="s">
        <v>269</v>
      </c>
      <c r="D29552" s="21" t="s">
        <v>34</v>
      </c>
      <c r="E29552" s="21" t="s">
        <v>71</v>
      </c>
      <c r="F29552">
        <v>8941461</v>
      </c>
      <c r="G29552" t="s">
        <v>10447</v>
      </c>
      <c r="H29552" s="21">
        <v>559.66999999999996</v>
      </c>
    </row>
    <row r="29553" spans="1:8" customFormat="1" x14ac:dyDescent="0.25">
      <c r="A29553" t="str">
        <f>"2720864"</f>
        <v>2720864</v>
      </c>
      <c r="B29553" t="s">
        <v>28154</v>
      </c>
      <c r="C29553" t="s">
        <v>5232</v>
      </c>
      <c r="D29553" s="21" t="s">
        <v>34</v>
      </c>
      <c r="E29553" s="21" t="s">
        <v>35</v>
      </c>
      <c r="F29553">
        <v>9270175</v>
      </c>
      <c r="G29553" t="s">
        <v>1909</v>
      </c>
      <c r="H29553" s="21">
        <v>559.66999999999996</v>
      </c>
    </row>
    <row r="29554" spans="1:8" customFormat="1" x14ac:dyDescent="0.25">
      <c r="A29554" t="str">
        <f>"61736"</f>
        <v>61736</v>
      </c>
      <c r="B29554" t="s">
        <v>18502</v>
      </c>
      <c r="C29554" t="s">
        <v>236</v>
      </c>
      <c r="D29554" s="21" t="s">
        <v>34</v>
      </c>
      <c r="E29554" s="21" t="s">
        <v>254</v>
      </c>
      <c r="F29554">
        <v>9610107</v>
      </c>
      <c r="G29554" t="s">
        <v>6302</v>
      </c>
      <c r="H29554" s="21">
        <v>559.66999999999996</v>
      </c>
    </row>
    <row r="29555" spans="1:8" customFormat="1" x14ac:dyDescent="0.25">
      <c r="A29555" t="str">
        <f>"3536976"</f>
        <v>3536976</v>
      </c>
      <c r="B29555" t="s">
        <v>17255</v>
      </c>
      <c r="C29555" t="s">
        <v>486</v>
      </c>
      <c r="D29555" s="21" t="s">
        <v>34</v>
      </c>
      <c r="E29555" s="21" t="s">
        <v>35</v>
      </c>
      <c r="F29555">
        <v>3350217</v>
      </c>
      <c r="G29555" t="s">
        <v>6797</v>
      </c>
      <c r="H29555" s="21">
        <v>559.66999999999996</v>
      </c>
    </row>
    <row r="29556" spans="1:8" customFormat="1" x14ac:dyDescent="0.25">
      <c r="A29556" t="str">
        <f>"322562"</f>
        <v>322562</v>
      </c>
      <c r="B29556" t="s">
        <v>19329</v>
      </c>
      <c r="C29556" t="s">
        <v>3648</v>
      </c>
      <c r="D29556" s="21" t="s">
        <v>34</v>
      </c>
      <c r="E29556" s="21" t="s">
        <v>254</v>
      </c>
      <c r="F29556">
        <v>11320040</v>
      </c>
      <c r="G29556" t="s">
        <v>14128</v>
      </c>
      <c r="H29556" s="21">
        <v>559.66999999999996</v>
      </c>
    </row>
    <row r="29557" spans="1:8" customFormat="1" x14ac:dyDescent="0.25">
      <c r="A29557" t="str">
        <f>"7640403"</f>
        <v>7640403</v>
      </c>
      <c r="B29557" t="s">
        <v>1428</v>
      </c>
      <c r="C29557" t="s">
        <v>3073</v>
      </c>
      <c r="D29557" s="21" t="s">
        <v>34</v>
      </c>
      <c r="E29557" s="21" t="s">
        <v>71</v>
      </c>
      <c r="F29557">
        <v>9760018</v>
      </c>
      <c r="G29557" t="s">
        <v>117</v>
      </c>
      <c r="H29557" s="21">
        <v>559.66999999999996</v>
      </c>
    </row>
    <row r="29558" spans="1:8" customFormat="1" x14ac:dyDescent="0.25">
      <c r="A29558" t="str">
        <f>"2514657"</f>
        <v>2514657</v>
      </c>
      <c r="B29558" t="s">
        <v>11984</v>
      </c>
      <c r="C29558" t="s">
        <v>33</v>
      </c>
      <c r="D29558" s="21" t="s">
        <v>34</v>
      </c>
      <c r="E29558" s="21" t="s">
        <v>71</v>
      </c>
      <c r="F29558">
        <v>2250217</v>
      </c>
      <c r="G29558" t="s">
        <v>11815</v>
      </c>
      <c r="H29558" s="21">
        <v>559.66999999999996</v>
      </c>
    </row>
    <row r="29559" spans="1:8" customFormat="1" x14ac:dyDescent="0.25">
      <c r="A29559" t="str">
        <f>"331026"</f>
        <v>331026</v>
      </c>
      <c r="B29559" t="s">
        <v>18234</v>
      </c>
      <c r="C29559" t="s">
        <v>249</v>
      </c>
      <c r="D29559" s="21" t="s">
        <v>34</v>
      </c>
      <c r="E29559" s="21" t="s">
        <v>254</v>
      </c>
      <c r="F29559">
        <v>10330082</v>
      </c>
      <c r="G29559" t="s">
        <v>5564</v>
      </c>
      <c r="H29559" s="21">
        <v>559.66999999999996</v>
      </c>
    </row>
    <row r="29560" spans="1:8" customFormat="1" x14ac:dyDescent="0.25">
      <c r="A29560" t="str">
        <f>"5326350"</f>
        <v>5326350</v>
      </c>
      <c r="B29560" t="s">
        <v>20859</v>
      </c>
      <c r="C29560" t="s">
        <v>320</v>
      </c>
      <c r="D29560" s="21" t="s">
        <v>34</v>
      </c>
      <c r="E29560" s="21" t="s">
        <v>71</v>
      </c>
      <c r="F29560">
        <v>12530095</v>
      </c>
      <c r="G29560" t="s">
        <v>5381</v>
      </c>
      <c r="H29560" s="21">
        <v>559.66999999999996</v>
      </c>
    </row>
    <row r="29561" spans="1:8" customFormat="1" x14ac:dyDescent="0.25">
      <c r="A29561" t="str">
        <f>"2617000"</f>
        <v>2617000</v>
      </c>
      <c r="B29561" t="s">
        <v>21651</v>
      </c>
      <c r="C29561" t="s">
        <v>412</v>
      </c>
      <c r="D29561" s="21" t="s">
        <v>34</v>
      </c>
      <c r="E29561" s="21" t="s">
        <v>254</v>
      </c>
      <c r="F29561">
        <v>1260001</v>
      </c>
      <c r="G29561" t="s">
        <v>16056</v>
      </c>
      <c r="H29561" s="21">
        <v>559.66999999999996</v>
      </c>
    </row>
    <row r="29562" spans="1:8" customFormat="1" x14ac:dyDescent="0.25">
      <c r="A29562" t="str">
        <f>"8526883"</f>
        <v>8526883</v>
      </c>
      <c r="B29562" t="s">
        <v>11529</v>
      </c>
      <c r="C29562" t="s">
        <v>11750</v>
      </c>
      <c r="D29562" s="21" t="s">
        <v>34</v>
      </c>
      <c r="E29562" s="21" t="s">
        <v>35</v>
      </c>
      <c r="F29562">
        <v>12850057</v>
      </c>
      <c r="G29562" t="s">
        <v>1291</v>
      </c>
      <c r="H29562" s="21">
        <v>559.66999999999996</v>
      </c>
    </row>
    <row r="29563" spans="1:8" customFormat="1" x14ac:dyDescent="0.25">
      <c r="A29563" t="str">
        <f>"4214680"</f>
        <v>4214680</v>
      </c>
      <c r="B29563" t="s">
        <v>18117</v>
      </c>
      <c r="C29563" t="s">
        <v>750</v>
      </c>
      <c r="D29563" s="21" t="s">
        <v>34</v>
      </c>
      <c r="E29563" s="21" t="s">
        <v>254</v>
      </c>
      <c r="F29563">
        <v>1420078</v>
      </c>
      <c r="G29563" t="s">
        <v>4287</v>
      </c>
      <c r="H29563" s="21">
        <v>559.66999999999996</v>
      </c>
    </row>
    <row r="29564" spans="1:8" customFormat="1" x14ac:dyDescent="0.25">
      <c r="A29564" t="str">
        <f>"846077"</f>
        <v>846077</v>
      </c>
      <c r="B29564" t="s">
        <v>12880</v>
      </c>
      <c r="C29564" t="s">
        <v>750</v>
      </c>
      <c r="D29564" s="21" t="s">
        <v>34</v>
      </c>
      <c r="E29564" s="21" t="s">
        <v>1089</v>
      </c>
      <c r="F29564">
        <v>13840058</v>
      </c>
      <c r="G29564" t="s">
        <v>7032</v>
      </c>
      <c r="H29564" s="21">
        <v>559.66999999999996</v>
      </c>
    </row>
    <row r="29565" spans="1:8" customFormat="1" x14ac:dyDescent="0.25">
      <c r="A29565" t="str">
        <f>"4217629"</f>
        <v>4217629</v>
      </c>
      <c r="B29565" t="s">
        <v>1419</v>
      </c>
      <c r="C29565" t="s">
        <v>209</v>
      </c>
      <c r="D29565" s="21" t="s">
        <v>34</v>
      </c>
      <c r="E29565" s="21" t="s">
        <v>71</v>
      </c>
      <c r="F29565">
        <v>1420055</v>
      </c>
      <c r="G29565" t="s">
        <v>5421</v>
      </c>
      <c r="H29565" s="21">
        <v>559.66999999999996</v>
      </c>
    </row>
    <row r="29566" spans="1:8" customFormat="1" x14ac:dyDescent="0.25">
      <c r="A29566" t="str">
        <f>"6937777"</f>
        <v>6937777</v>
      </c>
      <c r="B29566" t="s">
        <v>20449</v>
      </c>
      <c r="C29566" t="s">
        <v>87</v>
      </c>
      <c r="D29566" s="21" t="s">
        <v>34</v>
      </c>
      <c r="E29566" s="21" t="s">
        <v>35</v>
      </c>
      <c r="F29566">
        <v>1690105</v>
      </c>
      <c r="G29566" t="s">
        <v>9580</v>
      </c>
      <c r="H29566" s="21">
        <v>559.66999999999996</v>
      </c>
    </row>
    <row r="29567" spans="1:8" customFormat="1" x14ac:dyDescent="0.25">
      <c r="A29567" t="str">
        <f>"8515433"</f>
        <v>8515433</v>
      </c>
      <c r="B29567" t="s">
        <v>20934</v>
      </c>
      <c r="C29567" t="s">
        <v>20935</v>
      </c>
      <c r="D29567" s="21" t="s">
        <v>34</v>
      </c>
      <c r="E29567" s="21" t="s">
        <v>254</v>
      </c>
      <c r="F29567">
        <v>12850131</v>
      </c>
      <c r="G29567" t="s">
        <v>4392</v>
      </c>
      <c r="H29567" s="21">
        <v>559.66999999999996</v>
      </c>
    </row>
    <row r="29568" spans="1:8" customFormat="1" x14ac:dyDescent="0.25">
      <c r="A29568" t="str">
        <f>"9142180"</f>
        <v>9142180</v>
      </c>
      <c r="B29568" t="s">
        <v>28155</v>
      </c>
      <c r="C29568" t="s">
        <v>96</v>
      </c>
      <c r="D29568" s="21" t="s">
        <v>34</v>
      </c>
      <c r="E29568" s="21" t="s">
        <v>35</v>
      </c>
      <c r="F29568">
        <v>8910889</v>
      </c>
      <c r="G29568" t="s">
        <v>11971</v>
      </c>
      <c r="H29568" s="21">
        <v>559.54</v>
      </c>
    </row>
    <row r="29569" spans="1:8" customFormat="1" x14ac:dyDescent="0.25">
      <c r="A29569" t="str">
        <f>"5621810"</f>
        <v>5621810</v>
      </c>
      <c r="B29569" t="s">
        <v>22223</v>
      </c>
      <c r="C29569" t="s">
        <v>528</v>
      </c>
      <c r="D29569" s="21" t="s">
        <v>34</v>
      </c>
      <c r="E29569" s="21" t="s">
        <v>71</v>
      </c>
      <c r="F29569">
        <v>3560044</v>
      </c>
      <c r="G29569" t="s">
        <v>4890</v>
      </c>
      <c r="H29569" s="21">
        <v>559.41999999999996</v>
      </c>
    </row>
    <row r="29570" spans="1:8" customFormat="1" x14ac:dyDescent="0.25">
      <c r="A29570" t="str">
        <f>"3730326"</f>
        <v>3730326</v>
      </c>
      <c r="B29570" t="s">
        <v>3874</v>
      </c>
      <c r="C29570" t="s">
        <v>399</v>
      </c>
      <c r="D29570" s="21" t="s">
        <v>34</v>
      </c>
      <c r="E29570" s="21" t="s">
        <v>35</v>
      </c>
      <c r="F29570">
        <v>4370669</v>
      </c>
      <c r="G29570" t="s">
        <v>8189</v>
      </c>
      <c r="H29570" s="21">
        <v>559.41999999999996</v>
      </c>
    </row>
    <row r="29571" spans="1:8" customFormat="1" x14ac:dyDescent="0.25">
      <c r="A29571" t="str">
        <f>"2717968"</f>
        <v>2717968</v>
      </c>
      <c r="B29571" t="s">
        <v>3952</v>
      </c>
      <c r="C29571" t="s">
        <v>209</v>
      </c>
      <c r="D29571" s="21" t="s">
        <v>34</v>
      </c>
      <c r="E29571" s="21" t="s">
        <v>71</v>
      </c>
      <c r="F29571">
        <v>9270159</v>
      </c>
      <c r="G29571" t="s">
        <v>5425</v>
      </c>
      <c r="H29571" s="21">
        <v>559.41999999999996</v>
      </c>
    </row>
    <row r="29572" spans="1:8" customFormat="1" x14ac:dyDescent="0.25">
      <c r="A29572" t="str">
        <f>"725645"</f>
        <v>725645</v>
      </c>
      <c r="B29572" t="s">
        <v>12880</v>
      </c>
      <c r="C29572" t="s">
        <v>720</v>
      </c>
      <c r="D29572" s="21" t="s">
        <v>34</v>
      </c>
      <c r="E29572" s="21" t="s">
        <v>1089</v>
      </c>
      <c r="F29572">
        <v>12530038</v>
      </c>
      <c r="G29572" t="s">
        <v>4955</v>
      </c>
      <c r="H29572" s="21">
        <v>559.41999999999996</v>
      </c>
    </row>
    <row r="29573" spans="1:8" customFormat="1" x14ac:dyDescent="0.25">
      <c r="A29573" t="str">
        <f>"6814319"</f>
        <v>6814319</v>
      </c>
      <c r="B29573" t="s">
        <v>22263</v>
      </c>
      <c r="C29573" t="s">
        <v>169</v>
      </c>
      <c r="D29573" s="21" t="s">
        <v>34</v>
      </c>
      <c r="E29573" s="21" t="s">
        <v>35</v>
      </c>
      <c r="F29573">
        <v>6680071</v>
      </c>
      <c r="G29573" t="s">
        <v>2899</v>
      </c>
      <c r="H29573" s="21">
        <v>559.29</v>
      </c>
    </row>
    <row r="29574" spans="1:8" customFormat="1" x14ac:dyDescent="0.25">
      <c r="A29574" t="str">
        <f>"3012455"</f>
        <v>3012455</v>
      </c>
      <c r="B29574" t="s">
        <v>4138</v>
      </c>
      <c r="C29574" t="s">
        <v>1714</v>
      </c>
      <c r="D29574" s="21" t="s">
        <v>34</v>
      </c>
      <c r="E29574" s="21" t="s">
        <v>254</v>
      </c>
      <c r="F29574">
        <v>11300014</v>
      </c>
      <c r="G29574" t="s">
        <v>2345</v>
      </c>
      <c r="H29574" s="21">
        <v>559.29</v>
      </c>
    </row>
    <row r="29575" spans="1:8" customFormat="1" x14ac:dyDescent="0.25">
      <c r="A29575" t="str">
        <f>"667260"</f>
        <v>667260</v>
      </c>
      <c r="B29575" t="s">
        <v>21278</v>
      </c>
      <c r="C29575" t="s">
        <v>114</v>
      </c>
      <c r="D29575" s="21" t="s">
        <v>34</v>
      </c>
      <c r="E29575" s="21" t="s">
        <v>71</v>
      </c>
      <c r="F29575">
        <v>11660021</v>
      </c>
      <c r="G29575" t="s">
        <v>16765</v>
      </c>
      <c r="H29575" s="21">
        <v>559.16999999999996</v>
      </c>
    </row>
    <row r="29576" spans="1:8" customFormat="1" x14ac:dyDescent="0.25">
      <c r="A29576" t="str">
        <f>"764389"</f>
        <v>764389</v>
      </c>
      <c r="B29576" t="s">
        <v>19973</v>
      </c>
      <c r="C29576" t="s">
        <v>1539</v>
      </c>
      <c r="D29576" s="21" t="s">
        <v>34</v>
      </c>
      <c r="E29576" s="21" t="s">
        <v>254</v>
      </c>
      <c r="F29576">
        <v>9760269</v>
      </c>
      <c r="G29576" t="s">
        <v>10282</v>
      </c>
      <c r="H29576" s="21">
        <v>559.16999999999996</v>
      </c>
    </row>
    <row r="29577" spans="1:8" customFormat="1" x14ac:dyDescent="0.25">
      <c r="A29577" t="str">
        <f>"6213154"</f>
        <v>6213154</v>
      </c>
      <c r="B29577" t="s">
        <v>556</v>
      </c>
      <c r="C29577" t="s">
        <v>20328</v>
      </c>
      <c r="D29577" s="21" t="s">
        <v>34</v>
      </c>
      <c r="E29577" s="21" t="s">
        <v>35</v>
      </c>
      <c r="F29577">
        <v>7620057</v>
      </c>
      <c r="G29577" t="s">
        <v>184</v>
      </c>
      <c r="H29577" s="21">
        <v>559.16999999999996</v>
      </c>
    </row>
    <row r="29578" spans="1:8" customFormat="1" x14ac:dyDescent="0.25">
      <c r="A29578" t="str">
        <f>"905656"</f>
        <v>905656</v>
      </c>
      <c r="B29578" t="s">
        <v>2392</v>
      </c>
      <c r="C29578" t="s">
        <v>1539</v>
      </c>
      <c r="D29578" s="21" t="s">
        <v>34</v>
      </c>
      <c r="E29578" s="21" t="s">
        <v>71</v>
      </c>
      <c r="F29578">
        <v>2900038</v>
      </c>
      <c r="G29578" t="s">
        <v>6415</v>
      </c>
      <c r="H29578" s="21">
        <v>559.16999999999996</v>
      </c>
    </row>
    <row r="29579" spans="1:8" customFormat="1" x14ac:dyDescent="0.25">
      <c r="A29579" t="str">
        <f>"2220273"</f>
        <v>2220273</v>
      </c>
      <c r="B29579" t="s">
        <v>26035</v>
      </c>
      <c r="C29579" t="s">
        <v>55</v>
      </c>
      <c r="D29579" s="21" t="s">
        <v>34</v>
      </c>
      <c r="E29579" s="21" t="s">
        <v>71</v>
      </c>
      <c r="F29579">
        <v>3220007</v>
      </c>
      <c r="G29579" t="s">
        <v>26946</v>
      </c>
      <c r="H29579" s="21">
        <v>559.16999999999996</v>
      </c>
    </row>
    <row r="29580" spans="1:8" customFormat="1" x14ac:dyDescent="0.25">
      <c r="A29580" t="str">
        <f>"7642329"</f>
        <v>7642329</v>
      </c>
      <c r="B29580" t="s">
        <v>4560</v>
      </c>
      <c r="C29580" t="s">
        <v>169</v>
      </c>
      <c r="D29580" s="21" t="s">
        <v>34</v>
      </c>
      <c r="E29580" s="21" t="s">
        <v>35</v>
      </c>
      <c r="F29580">
        <v>9760070</v>
      </c>
      <c r="G29580" t="s">
        <v>6226</v>
      </c>
      <c r="H29580" s="21">
        <v>559.16999999999996</v>
      </c>
    </row>
    <row r="29581" spans="1:8" customFormat="1" x14ac:dyDescent="0.25">
      <c r="A29581" t="str">
        <f>"729797"</f>
        <v>729797</v>
      </c>
      <c r="B29581" t="s">
        <v>5674</v>
      </c>
      <c r="C29581" t="s">
        <v>263</v>
      </c>
      <c r="D29581" s="21" t="s">
        <v>34</v>
      </c>
      <c r="E29581" s="21" t="s">
        <v>71</v>
      </c>
      <c r="F29581">
        <v>12720134</v>
      </c>
      <c r="G29581" t="s">
        <v>18891</v>
      </c>
      <c r="H29581" s="21">
        <v>559.16999999999996</v>
      </c>
    </row>
    <row r="29582" spans="1:8" customFormat="1" x14ac:dyDescent="0.25">
      <c r="A29582" t="str">
        <f>"853001"</f>
        <v>853001</v>
      </c>
      <c r="B29582" t="s">
        <v>3868</v>
      </c>
      <c r="C29582" t="s">
        <v>10915</v>
      </c>
      <c r="D29582" s="21" t="s">
        <v>34</v>
      </c>
      <c r="E29582" s="21" t="s">
        <v>1089</v>
      </c>
      <c r="F29582">
        <v>12850043</v>
      </c>
      <c r="G29582" t="s">
        <v>4873</v>
      </c>
      <c r="H29582" s="21">
        <v>559.16999999999996</v>
      </c>
    </row>
    <row r="29583" spans="1:8" customFormat="1" x14ac:dyDescent="0.25">
      <c r="A29583" t="str">
        <f>"6018544"</f>
        <v>6018544</v>
      </c>
      <c r="B29583" t="s">
        <v>21954</v>
      </c>
      <c r="C29583" t="s">
        <v>263</v>
      </c>
      <c r="D29583" s="21" t="s">
        <v>34</v>
      </c>
      <c r="E29583" s="21" t="s">
        <v>71</v>
      </c>
      <c r="F29583">
        <v>7600031</v>
      </c>
      <c r="G29583" t="s">
        <v>3283</v>
      </c>
      <c r="H29583" s="21">
        <v>559.16999999999996</v>
      </c>
    </row>
    <row r="29584" spans="1:8" customFormat="1" x14ac:dyDescent="0.25">
      <c r="A29584" t="str">
        <f>"3535980"</f>
        <v>3535980</v>
      </c>
      <c r="B29584" t="s">
        <v>21239</v>
      </c>
      <c r="C29584" t="s">
        <v>3648</v>
      </c>
      <c r="D29584" s="21" t="s">
        <v>34</v>
      </c>
      <c r="E29584" s="21" t="s">
        <v>254</v>
      </c>
      <c r="F29584">
        <v>3350030</v>
      </c>
      <c r="G29584" t="s">
        <v>4549</v>
      </c>
      <c r="H29584" s="21">
        <v>559.16999999999996</v>
      </c>
    </row>
    <row r="29585" spans="1:8" customFormat="1" x14ac:dyDescent="0.25">
      <c r="A29585" t="str">
        <f>"9218737"</f>
        <v>9218737</v>
      </c>
      <c r="B29585" t="s">
        <v>21742</v>
      </c>
      <c r="C29585" t="s">
        <v>528</v>
      </c>
      <c r="D29585" s="21" t="s">
        <v>34</v>
      </c>
      <c r="E29585" s="21" t="s">
        <v>1089</v>
      </c>
      <c r="F29585">
        <v>11660011</v>
      </c>
      <c r="G29585" t="s">
        <v>4641</v>
      </c>
      <c r="H29585" s="21">
        <v>559.16999999999996</v>
      </c>
    </row>
    <row r="29586" spans="1:8" customFormat="1" x14ac:dyDescent="0.25">
      <c r="A29586" t="str">
        <f>"4454349"</f>
        <v>4454349</v>
      </c>
      <c r="B29586" t="s">
        <v>23846</v>
      </c>
      <c r="C29586" t="s">
        <v>513</v>
      </c>
      <c r="D29586" s="21" t="s">
        <v>34</v>
      </c>
      <c r="E29586" s="21" t="s">
        <v>71</v>
      </c>
      <c r="F29586">
        <v>12440116</v>
      </c>
      <c r="G29586" t="s">
        <v>26673</v>
      </c>
      <c r="H29586" s="21">
        <v>559.16999999999996</v>
      </c>
    </row>
    <row r="29587" spans="1:8" customFormat="1" x14ac:dyDescent="0.25">
      <c r="A29587" t="str">
        <f>"3727658"</f>
        <v>3727658</v>
      </c>
      <c r="B29587" t="s">
        <v>28156</v>
      </c>
      <c r="C29587" t="s">
        <v>119</v>
      </c>
      <c r="D29587" s="21" t="s">
        <v>34</v>
      </c>
      <c r="E29587" s="21" t="s">
        <v>35</v>
      </c>
      <c r="F29587">
        <v>4370269</v>
      </c>
      <c r="G29587" t="s">
        <v>4277</v>
      </c>
      <c r="H29587" s="21">
        <v>559.16999999999996</v>
      </c>
    </row>
    <row r="29588" spans="1:8" customFormat="1" x14ac:dyDescent="0.25">
      <c r="A29588" t="str">
        <f>"3341005"</f>
        <v>3341005</v>
      </c>
      <c r="B29588" t="s">
        <v>20402</v>
      </c>
      <c r="C29588" t="s">
        <v>33</v>
      </c>
      <c r="D29588" s="21" t="s">
        <v>34</v>
      </c>
      <c r="E29588" s="21" t="s">
        <v>35</v>
      </c>
      <c r="F29588">
        <v>10330099</v>
      </c>
      <c r="G29588" t="s">
        <v>10670</v>
      </c>
      <c r="H29588" s="21">
        <v>559.16999999999996</v>
      </c>
    </row>
    <row r="29589" spans="1:8" customFormat="1" x14ac:dyDescent="0.25">
      <c r="A29589" t="str">
        <f>"151"</f>
        <v>151</v>
      </c>
      <c r="B29589" t="s">
        <v>19985</v>
      </c>
      <c r="C29589" t="s">
        <v>415</v>
      </c>
      <c r="D29589" s="21" t="s">
        <v>34</v>
      </c>
      <c r="E29589" s="21" t="s">
        <v>254</v>
      </c>
      <c r="F29589">
        <v>1150145</v>
      </c>
      <c r="G29589" t="s">
        <v>6857</v>
      </c>
      <c r="H29589" s="21">
        <v>559.16999999999996</v>
      </c>
    </row>
    <row r="29590" spans="1:8" customFormat="1" x14ac:dyDescent="0.25">
      <c r="A29590" t="str">
        <f>"3514638"</f>
        <v>3514638</v>
      </c>
      <c r="B29590" t="s">
        <v>3179</v>
      </c>
      <c r="C29590" t="s">
        <v>3010</v>
      </c>
      <c r="D29590" s="21" t="s">
        <v>34</v>
      </c>
      <c r="E29590" s="21" t="s">
        <v>254</v>
      </c>
      <c r="F29590">
        <v>3350110</v>
      </c>
      <c r="G29590" t="s">
        <v>7790</v>
      </c>
      <c r="H29590" s="21">
        <v>559.16999999999996</v>
      </c>
    </row>
    <row r="29591" spans="1:8" customFormat="1" x14ac:dyDescent="0.25">
      <c r="A29591" t="str">
        <f>"3821776"</f>
        <v>3821776</v>
      </c>
      <c r="B29591" t="s">
        <v>14826</v>
      </c>
      <c r="C29591" t="s">
        <v>3309</v>
      </c>
      <c r="D29591" s="21" t="s">
        <v>34</v>
      </c>
      <c r="E29591" s="21" t="s">
        <v>35</v>
      </c>
      <c r="F29591">
        <v>1380290</v>
      </c>
      <c r="G29591" t="s">
        <v>619</v>
      </c>
      <c r="H29591" s="21">
        <v>559.16999999999996</v>
      </c>
    </row>
    <row r="29592" spans="1:8" customFormat="1" x14ac:dyDescent="0.25">
      <c r="A29592" t="str">
        <f>"3118951"</f>
        <v>3118951</v>
      </c>
      <c r="B29592" t="s">
        <v>24691</v>
      </c>
      <c r="C29592" t="s">
        <v>486</v>
      </c>
      <c r="D29592" s="21" t="s">
        <v>34</v>
      </c>
      <c r="E29592" s="21" t="s">
        <v>71</v>
      </c>
      <c r="F29592">
        <v>11310117</v>
      </c>
      <c r="G29592" t="s">
        <v>10279</v>
      </c>
      <c r="H29592" s="21">
        <v>559.12</v>
      </c>
    </row>
    <row r="29593" spans="1:8" customFormat="1" x14ac:dyDescent="0.25">
      <c r="A29593" t="str">
        <f>"9533615"</f>
        <v>9533615</v>
      </c>
      <c r="B29593" t="s">
        <v>21177</v>
      </c>
      <c r="C29593" t="s">
        <v>60</v>
      </c>
      <c r="D29593" s="21" t="s">
        <v>34</v>
      </c>
      <c r="E29593" s="21" t="s">
        <v>35</v>
      </c>
      <c r="F29593">
        <v>8951451</v>
      </c>
      <c r="G29593" t="s">
        <v>3909</v>
      </c>
      <c r="H29593" s="21">
        <v>558.91999999999996</v>
      </c>
    </row>
    <row r="29594" spans="1:8" customFormat="1" x14ac:dyDescent="0.25">
      <c r="A29594" t="str">
        <f>"9445072"</f>
        <v>9445072</v>
      </c>
      <c r="B29594" t="s">
        <v>4152</v>
      </c>
      <c r="C29594" t="s">
        <v>40</v>
      </c>
      <c r="D29594" s="21" t="s">
        <v>34</v>
      </c>
      <c r="E29594" s="21" t="s">
        <v>35</v>
      </c>
      <c r="F29594">
        <v>8940052</v>
      </c>
      <c r="G29594" t="s">
        <v>190</v>
      </c>
      <c r="H29594" s="21">
        <v>558.91999999999996</v>
      </c>
    </row>
    <row r="29595" spans="1:8" customFormat="1" x14ac:dyDescent="0.25">
      <c r="A29595" t="str">
        <f>"9228569"</f>
        <v>9228569</v>
      </c>
      <c r="B29595" t="s">
        <v>21814</v>
      </c>
      <c r="C29595" t="s">
        <v>249</v>
      </c>
      <c r="D29595" s="21" t="s">
        <v>34</v>
      </c>
      <c r="E29595" s="21" t="s">
        <v>35</v>
      </c>
      <c r="F29595">
        <v>8751260</v>
      </c>
      <c r="G29595" t="s">
        <v>10641</v>
      </c>
      <c r="H29595" s="21">
        <v>558.91999999999996</v>
      </c>
    </row>
    <row r="29596" spans="1:8" customFormat="1" x14ac:dyDescent="0.25">
      <c r="A29596" t="str">
        <f>"7523823"</f>
        <v>7523823</v>
      </c>
      <c r="B29596" t="s">
        <v>28157</v>
      </c>
      <c r="C29596" t="s">
        <v>1665</v>
      </c>
      <c r="D29596" s="21" t="s">
        <v>34</v>
      </c>
      <c r="E29596" s="21" t="s">
        <v>35</v>
      </c>
      <c r="F29596">
        <v>8750141</v>
      </c>
      <c r="G29596" t="s">
        <v>1514</v>
      </c>
      <c r="H29596" s="21">
        <v>558.91999999999996</v>
      </c>
    </row>
    <row r="29597" spans="1:8" customFormat="1" x14ac:dyDescent="0.25">
      <c r="A29597" t="str">
        <f>"5319298"</f>
        <v>5319298</v>
      </c>
      <c r="B29597" t="s">
        <v>20510</v>
      </c>
      <c r="C29597" t="s">
        <v>49</v>
      </c>
      <c r="D29597" s="21" t="s">
        <v>34</v>
      </c>
      <c r="E29597" s="21" t="s">
        <v>35</v>
      </c>
      <c r="F29597">
        <v>12530084</v>
      </c>
      <c r="G29597" t="s">
        <v>5766</v>
      </c>
      <c r="H29597" s="21">
        <v>558.66999999999996</v>
      </c>
    </row>
    <row r="29598" spans="1:8" customFormat="1" x14ac:dyDescent="0.25">
      <c r="A29598" t="str">
        <f>"6214784"</f>
        <v>6214784</v>
      </c>
      <c r="B29598" t="s">
        <v>6351</v>
      </c>
      <c r="C29598" t="s">
        <v>130</v>
      </c>
      <c r="D29598" s="21" t="s">
        <v>34</v>
      </c>
      <c r="E29598" s="21" t="s">
        <v>71</v>
      </c>
      <c r="F29598">
        <v>7620108</v>
      </c>
      <c r="G29598" t="s">
        <v>3035</v>
      </c>
      <c r="H29598" s="21">
        <v>558.66999999999996</v>
      </c>
    </row>
    <row r="29599" spans="1:8" customFormat="1" x14ac:dyDescent="0.25">
      <c r="A29599" t="str">
        <f>"5325064"</f>
        <v>5325064</v>
      </c>
      <c r="B29599" t="s">
        <v>18954</v>
      </c>
      <c r="C29599" t="s">
        <v>664</v>
      </c>
      <c r="D29599" s="21" t="s">
        <v>34</v>
      </c>
      <c r="E29599" s="21" t="s">
        <v>254</v>
      </c>
      <c r="F29599">
        <v>12530054</v>
      </c>
      <c r="G29599" t="s">
        <v>354</v>
      </c>
      <c r="H29599" s="21">
        <v>558.66999999999996</v>
      </c>
    </row>
    <row r="29600" spans="1:8" customFormat="1" x14ac:dyDescent="0.25">
      <c r="A29600" t="str">
        <f>"5958078"</f>
        <v>5958078</v>
      </c>
      <c r="B29600" t="s">
        <v>19720</v>
      </c>
      <c r="C29600" t="s">
        <v>825</v>
      </c>
      <c r="D29600" s="21" t="s">
        <v>34</v>
      </c>
      <c r="E29600" s="21" t="s">
        <v>35</v>
      </c>
      <c r="F29600">
        <v>7590005</v>
      </c>
      <c r="G29600" t="s">
        <v>540</v>
      </c>
      <c r="H29600" s="21">
        <v>558.66999999999996</v>
      </c>
    </row>
    <row r="29601" spans="1:8" customFormat="1" x14ac:dyDescent="0.25">
      <c r="A29601" t="str">
        <f>"9724845"</f>
        <v>9724845</v>
      </c>
      <c r="B29601" t="s">
        <v>21447</v>
      </c>
      <c r="C29601" t="s">
        <v>415</v>
      </c>
      <c r="D29601" s="21" t="s">
        <v>34</v>
      </c>
      <c r="E29601" s="21" t="s">
        <v>254</v>
      </c>
      <c r="F29601" t="s">
        <v>8815</v>
      </c>
      <c r="G29601" t="s">
        <v>8816</v>
      </c>
      <c r="H29601" s="21">
        <v>558.66999999999996</v>
      </c>
    </row>
    <row r="29602" spans="1:8" customFormat="1" x14ac:dyDescent="0.25">
      <c r="A29602" t="str">
        <f>"621163"</f>
        <v>621163</v>
      </c>
      <c r="B29602" t="s">
        <v>5699</v>
      </c>
      <c r="C29602" t="s">
        <v>3073</v>
      </c>
      <c r="D29602" s="21" t="s">
        <v>34</v>
      </c>
      <c r="E29602" s="21" t="s">
        <v>254</v>
      </c>
      <c r="F29602">
        <v>7620111</v>
      </c>
      <c r="G29602" t="s">
        <v>1372</v>
      </c>
      <c r="H29602" s="21">
        <v>558.66999999999996</v>
      </c>
    </row>
    <row r="29603" spans="1:8" customFormat="1" x14ac:dyDescent="0.25">
      <c r="A29603" t="str">
        <f>"295321"</f>
        <v>295321</v>
      </c>
      <c r="B29603" t="s">
        <v>1413</v>
      </c>
      <c r="C29603" t="s">
        <v>2907</v>
      </c>
      <c r="D29603" s="21" t="s">
        <v>34</v>
      </c>
      <c r="E29603" s="21" t="s">
        <v>71</v>
      </c>
      <c r="F29603">
        <v>3290039</v>
      </c>
      <c r="G29603" t="s">
        <v>3988</v>
      </c>
      <c r="H29603" s="21">
        <v>558.66999999999996</v>
      </c>
    </row>
    <row r="29604" spans="1:8" customFormat="1" x14ac:dyDescent="0.25">
      <c r="A29604" t="str">
        <f>"5980222"</f>
        <v>5980222</v>
      </c>
      <c r="B29604" t="s">
        <v>12386</v>
      </c>
      <c r="C29604" t="s">
        <v>1132</v>
      </c>
      <c r="D29604" s="21" t="s">
        <v>34</v>
      </c>
      <c r="E29604" s="21" t="s">
        <v>35</v>
      </c>
      <c r="F29604">
        <v>7590018</v>
      </c>
      <c r="G29604" t="s">
        <v>2807</v>
      </c>
      <c r="H29604" s="21">
        <v>558.66999999999996</v>
      </c>
    </row>
    <row r="29605" spans="1:8" customFormat="1" x14ac:dyDescent="0.25">
      <c r="A29605" t="str">
        <f>"2814856"</f>
        <v>2814856</v>
      </c>
      <c r="B29605" t="s">
        <v>23186</v>
      </c>
      <c r="C29605" t="s">
        <v>43</v>
      </c>
      <c r="D29605" s="21" t="s">
        <v>34</v>
      </c>
      <c r="E29605" s="21" t="s">
        <v>35</v>
      </c>
      <c r="F29605">
        <v>4280716</v>
      </c>
      <c r="G29605" t="s">
        <v>5281</v>
      </c>
      <c r="H29605" s="21">
        <v>558.66999999999996</v>
      </c>
    </row>
    <row r="29606" spans="1:8" customFormat="1" x14ac:dyDescent="0.25">
      <c r="A29606" t="str">
        <f>"2930588"</f>
        <v>2930588</v>
      </c>
      <c r="B29606" t="s">
        <v>20228</v>
      </c>
      <c r="C29606" t="s">
        <v>269</v>
      </c>
      <c r="D29606" s="21" t="s">
        <v>34</v>
      </c>
      <c r="E29606" s="21" t="s">
        <v>35</v>
      </c>
      <c r="F29606">
        <v>3290280</v>
      </c>
      <c r="G29606" t="s">
        <v>4913</v>
      </c>
      <c r="H29606" s="21">
        <v>558.66999999999996</v>
      </c>
    </row>
    <row r="29607" spans="1:8" customFormat="1" x14ac:dyDescent="0.25">
      <c r="A29607" t="str">
        <f>"2613686"</f>
        <v>2613686</v>
      </c>
      <c r="B29607" t="s">
        <v>4522</v>
      </c>
      <c r="C29607" t="s">
        <v>879</v>
      </c>
      <c r="D29607" s="21" t="s">
        <v>34</v>
      </c>
      <c r="E29607" s="21" t="s">
        <v>71</v>
      </c>
      <c r="F29607">
        <v>1260034</v>
      </c>
      <c r="G29607" t="s">
        <v>1884</v>
      </c>
      <c r="H29607" s="21">
        <v>558.66999999999996</v>
      </c>
    </row>
    <row r="29608" spans="1:8" customFormat="1" x14ac:dyDescent="0.25">
      <c r="A29608" t="str">
        <f>"7824184"</f>
        <v>7824184</v>
      </c>
      <c r="B29608" t="s">
        <v>28158</v>
      </c>
      <c r="C29608" t="s">
        <v>267</v>
      </c>
      <c r="D29608" s="21" t="s">
        <v>34</v>
      </c>
      <c r="E29608" s="21" t="s">
        <v>254</v>
      </c>
      <c r="F29608">
        <v>3290268</v>
      </c>
      <c r="G29608" t="s">
        <v>9878</v>
      </c>
      <c r="H29608" s="21">
        <v>558.66999999999996</v>
      </c>
    </row>
    <row r="29609" spans="1:8" customFormat="1" x14ac:dyDescent="0.25">
      <c r="A29609" t="str">
        <f>"7637725"</f>
        <v>7637725</v>
      </c>
      <c r="B29609" t="s">
        <v>22740</v>
      </c>
      <c r="C29609" t="s">
        <v>87</v>
      </c>
      <c r="D29609" s="21" t="s">
        <v>34</v>
      </c>
      <c r="E29609" s="21" t="s">
        <v>71</v>
      </c>
      <c r="F29609">
        <v>9760420</v>
      </c>
      <c r="G29609" t="s">
        <v>11290</v>
      </c>
      <c r="H29609" s="21">
        <v>558.66999999999996</v>
      </c>
    </row>
    <row r="29610" spans="1:8" customFormat="1" x14ac:dyDescent="0.25">
      <c r="A29610" t="str">
        <f>"5432570"</f>
        <v>5432570</v>
      </c>
      <c r="B29610" t="s">
        <v>28159</v>
      </c>
      <c r="C29610" t="s">
        <v>311</v>
      </c>
      <c r="D29610" s="21" t="s">
        <v>34</v>
      </c>
      <c r="E29610" s="21" t="s">
        <v>1089</v>
      </c>
      <c r="F29610">
        <v>6540034</v>
      </c>
      <c r="G29610" t="s">
        <v>2211</v>
      </c>
      <c r="H29610" s="21">
        <v>558.66999999999996</v>
      </c>
    </row>
    <row r="29611" spans="1:8" customFormat="1" x14ac:dyDescent="0.25">
      <c r="A29611" t="str">
        <f>"7620694"</f>
        <v>7620694</v>
      </c>
      <c r="B29611" t="s">
        <v>9102</v>
      </c>
      <c r="C29611" t="s">
        <v>926</v>
      </c>
      <c r="D29611" s="21" t="s">
        <v>34</v>
      </c>
      <c r="E29611" s="21" t="s">
        <v>71</v>
      </c>
      <c r="F29611">
        <v>7590087</v>
      </c>
      <c r="G29611" t="s">
        <v>2112</v>
      </c>
      <c r="H29611" s="21">
        <v>558.66999999999996</v>
      </c>
    </row>
    <row r="29612" spans="1:8" customFormat="1" x14ac:dyDescent="0.25">
      <c r="A29612" t="str">
        <f>"113366"</f>
        <v>113366</v>
      </c>
      <c r="B29612" t="s">
        <v>18000</v>
      </c>
      <c r="C29612" t="s">
        <v>40</v>
      </c>
      <c r="D29612" s="21" t="s">
        <v>34</v>
      </c>
      <c r="E29612" s="21" t="s">
        <v>71</v>
      </c>
      <c r="F29612">
        <v>11110009</v>
      </c>
      <c r="G29612" t="s">
        <v>6231</v>
      </c>
      <c r="H29612" s="21">
        <v>558.66999999999996</v>
      </c>
    </row>
    <row r="29613" spans="1:8" customFormat="1" x14ac:dyDescent="0.25">
      <c r="A29613" t="str">
        <f>"3517545"</f>
        <v>3517545</v>
      </c>
      <c r="B29613" t="s">
        <v>7072</v>
      </c>
      <c r="C29613" t="s">
        <v>263</v>
      </c>
      <c r="D29613" s="21" t="s">
        <v>34</v>
      </c>
      <c r="E29613" s="21" t="s">
        <v>254</v>
      </c>
      <c r="F29613">
        <v>3350027</v>
      </c>
      <c r="G29613" t="s">
        <v>2760</v>
      </c>
      <c r="H29613" s="21">
        <v>558.66999999999996</v>
      </c>
    </row>
    <row r="29614" spans="1:8" customFormat="1" x14ac:dyDescent="0.25">
      <c r="A29614" t="str">
        <f>"7922928"</f>
        <v>7922928</v>
      </c>
      <c r="B29614" t="s">
        <v>3270</v>
      </c>
      <c r="C29614" t="s">
        <v>121</v>
      </c>
      <c r="D29614" s="21" t="s">
        <v>34</v>
      </c>
      <c r="E29614" s="21" t="s">
        <v>35</v>
      </c>
      <c r="F29614">
        <v>10790005</v>
      </c>
      <c r="G29614" t="s">
        <v>1948</v>
      </c>
      <c r="H29614" s="21">
        <v>558.66999999999996</v>
      </c>
    </row>
    <row r="29615" spans="1:8" customFormat="1" x14ac:dyDescent="0.25">
      <c r="A29615" t="str">
        <f>"1424450"</f>
        <v>1424450</v>
      </c>
      <c r="B29615" t="s">
        <v>17934</v>
      </c>
      <c r="C29615" t="s">
        <v>285</v>
      </c>
      <c r="D29615" s="21" t="s">
        <v>34</v>
      </c>
      <c r="E29615" s="21" t="s">
        <v>35</v>
      </c>
      <c r="F29615">
        <v>9140202</v>
      </c>
      <c r="G29615" t="s">
        <v>2011</v>
      </c>
      <c r="H29615" s="21">
        <v>558.66999999999996</v>
      </c>
    </row>
    <row r="29616" spans="1:8" customFormat="1" x14ac:dyDescent="0.25">
      <c r="A29616" t="str">
        <f>"9529557"</f>
        <v>9529557</v>
      </c>
      <c r="B29616" t="s">
        <v>185</v>
      </c>
      <c r="C29616" t="s">
        <v>263</v>
      </c>
      <c r="D29616" s="21" t="s">
        <v>34</v>
      </c>
      <c r="E29616" s="21" t="s">
        <v>71</v>
      </c>
      <c r="F29616">
        <v>8950262</v>
      </c>
      <c r="G29616" t="s">
        <v>1881</v>
      </c>
      <c r="H29616" s="21">
        <v>558.66999999999996</v>
      </c>
    </row>
    <row r="29617" spans="1:8" customFormat="1" x14ac:dyDescent="0.25">
      <c r="A29617" t="str">
        <f>"7727063"</f>
        <v>7727063</v>
      </c>
      <c r="B29617" t="s">
        <v>1724</v>
      </c>
      <c r="C29617" t="s">
        <v>109</v>
      </c>
      <c r="D29617" s="21" t="s">
        <v>34</v>
      </c>
      <c r="E29617" s="21" t="s">
        <v>35</v>
      </c>
      <c r="F29617">
        <v>8770489</v>
      </c>
      <c r="G29617" t="s">
        <v>1763</v>
      </c>
      <c r="H29617" s="21">
        <v>558.66999999999996</v>
      </c>
    </row>
    <row r="29618" spans="1:8" customFormat="1" x14ac:dyDescent="0.25">
      <c r="A29618" t="str">
        <f>"824177"</f>
        <v>824177</v>
      </c>
      <c r="B29618" t="s">
        <v>28160</v>
      </c>
      <c r="C29618" t="s">
        <v>6201</v>
      </c>
      <c r="D29618" s="21" t="s">
        <v>34</v>
      </c>
      <c r="E29618" s="21" t="s">
        <v>71</v>
      </c>
      <c r="F29618">
        <v>11820018</v>
      </c>
      <c r="G29618" t="s">
        <v>2503</v>
      </c>
      <c r="H29618" s="21">
        <v>558.66999999999996</v>
      </c>
    </row>
    <row r="29619" spans="1:8" customFormat="1" x14ac:dyDescent="0.25">
      <c r="A29619" t="str">
        <f>"5018187"</f>
        <v>5018187</v>
      </c>
      <c r="B29619" t="s">
        <v>20873</v>
      </c>
      <c r="C29619" t="s">
        <v>269</v>
      </c>
      <c r="D29619" s="21" t="s">
        <v>34</v>
      </c>
      <c r="E29619" s="21" t="s">
        <v>71</v>
      </c>
      <c r="F29619">
        <v>9500131</v>
      </c>
      <c r="G29619" t="s">
        <v>1073</v>
      </c>
      <c r="H29619" s="21">
        <v>558.66999999999996</v>
      </c>
    </row>
    <row r="29620" spans="1:8" customFormat="1" x14ac:dyDescent="0.25">
      <c r="A29620" t="str">
        <f>"8817415"</f>
        <v>8817415</v>
      </c>
      <c r="B29620" t="s">
        <v>20916</v>
      </c>
      <c r="C29620" t="s">
        <v>1782</v>
      </c>
      <c r="D29620" s="21" t="s">
        <v>34</v>
      </c>
      <c r="E29620" s="21" t="s">
        <v>35</v>
      </c>
      <c r="F29620">
        <v>6880116</v>
      </c>
      <c r="G29620" t="s">
        <v>2465</v>
      </c>
      <c r="H29620" s="21">
        <v>558.66999999999996</v>
      </c>
    </row>
    <row r="29621" spans="1:8" customFormat="1" x14ac:dyDescent="0.25">
      <c r="A29621" t="str">
        <f>"0114994"</f>
        <v>0114994</v>
      </c>
      <c r="B29621" t="s">
        <v>28161</v>
      </c>
      <c r="C29621" t="s">
        <v>500</v>
      </c>
      <c r="D29621" s="21" t="s">
        <v>34</v>
      </c>
      <c r="E29621" s="21" t="s">
        <v>35</v>
      </c>
      <c r="F29621">
        <v>1010068</v>
      </c>
      <c r="G29621" t="s">
        <v>4755</v>
      </c>
      <c r="H29621" s="21">
        <v>558.54</v>
      </c>
    </row>
    <row r="29622" spans="1:8" customFormat="1" x14ac:dyDescent="0.25">
      <c r="A29622" t="str">
        <f>"9140643"</f>
        <v>9140643</v>
      </c>
      <c r="B29622" t="s">
        <v>8334</v>
      </c>
      <c r="C29622" t="s">
        <v>98</v>
      </c>
      <c r="D29622" s="21" t="s">
        <v>34</v>
      </c>
      <c r="E29622" s="21" t="s">
        <v>71</v>
      </c>
      <c r="F29622">
        <v>8910914</v>
      </c>
      <c r="G29622" t="s">
        <v>3302</v>
      </c>
      <c r="H29622" s="21">
        <v>558.5</v>
      </c>
    </row>
    <row r="29623" spans="1:8" customFormat="1" x14ac:dyDescent="0.25">
      <c r="A29623" t="str">
        <f>"886930"</f>
        <v>886930</v>
      </c>
      <c r="B29623" t="s">
        <v>28162</v>
      </c>
      <c r="C29623" t="s">
        <v>2520</v>
      </c>
      <c r="D29623" s="21" t="s">
        <v>34</v>
      </c>
      <c r="E29623" s="21" t="s">
        <v>254</v>
      </c>
      <c r="F29623">
        <v>6880073</v>
      </c>
      <c r="G29623" t="s">
        <v>6648</v>
      </c>
      <c r="H29623" s="21">
        <v>558.5</v>
      </c>
    </row>
    <row r="29624" spans="1:8" customFormat="1" x14ac:dyDescent="0.25">
      <c r="A29624" t="str">
        <f>"2911353"</f>
        <v>2911353</v>
      </c>
      <c r="B29624" t="s">
        <v>1349</v>
      </c>
      <c r="C29624" t="s">
        <v>428</v>
      </c>
      <c r="D29624" s="21" t="s">
        <v>34</v>
      </c>
      <c r="E29624" s="21" t="s">
        <v>35</v>
      </c>
      <c r="F29624">
        <v>3290226</v>
      </c>
      <c r="G29624" t="s">
        <v>4637</v>
      </c>
      <c r="H29624" s="21">
        <v>558.5</v>
      </c>
    </row>
    <row r="29625" spans="1:8" customFormat="1" x14ac:dyDescent="0.25">
      <c r="A29625" t="str">
        <f>"4936901"</f>
        <v>4936901</v>
      </c>
      <c r="B29625" t="s">
        <v>16617</v>
      </c>
      <c r="C29625" t="s">
        <v>4625</v>
      </c>
      <c r="D29625" s="21" t="s">
        <v>34</v>
      </c>
      <c r="E29625" s="21" t="s">
        <v>35</v>
      </c>
      <c r="F29625">
        <v>12490038</v>
      </c>
      <c r="G29625" t="s">
        <v>467</v>
      </c>
      <c r="H29625" s="21">
        <v>558.41999999999996</v>
      </c>
    </row>
    <row r="29626" spans="1:8" customFormat="1" x14ac:dyDescent="0.25">
      <c r="A29626" t="str">
        <f>"4442647"</f>
        <v>4442647</v>
      </c>
      <c r="B29626" t="s">
        <v>20915</v>
      </c>
      <c r="C29626" t="s">
        <v>608</v>
      </c>
      <c r="D29626" s="21" t="s">
        <v>34</v>
      </c>
      <c r="E29626" s="21" t="s">
        <v>1089</v>
      </c>
      <c r="F29626">
        <v>12440239</v>
      </c>
      <c r="G29626" t="s">
        <v>11158</v>
      </c>
      <c r="H29626" s="21">
        <v>558.16999999999996</v>
      </c>
    </row>
    <row r="29627" spans="1:8" customFormat="1" x14ac:dyDescent="0.25">
      <c r="A29627" t="str">
        <f>"7636900"</f>
        <v>7636900</v>
      </c>
      <c r="B29627" t="s">
        <v>2854</v>
      </c>
      <c r="C29627" t="s">
        <v>576</v>
      </c>
      <c r="D29627" s="21" t="s">
        <v>34</v>
      </c>
      <c r="E29627" s="21" t="s">
        <v>35</v>
      </c>
      <c r="F29627">
        <v>9760218</v>
      </c>
      <c r="G29627" t="s">
        <v>26836</v>
      </c>
      <c r="H29627" s="21">
        <v>558.16999999999996</v>
      </c>
    </row>
    <row r="29628" spans="1:8" customFormat="1" x14ac:dyDescent="0.25">
      <c r="A29628" t="str">
        <f>"824255"</f>
        <v>824255</v>
      </c>
      <c r="B29628" t="s">
        <v>28163</v>
      </c>
      <c r="C29628" t="s">
        <v>621</v>
      </c>
      <c r="D29628" s="21" t="s">
        <v>34</v>
      </c>
      <c r="E29628" s="21" t="s">
        <v>35</v>
      </c>
      <c r="F29628">
        <v>11820011</v>
      </c>
      <c r="G29628" t="s">
        <v>2611</v>
      </c>
      <c r="H29628" s="21">
        <v>558.16999999999996</v>
      </c>
    </row>
    <row r="29629" spans="1:8" customFormat="1" x14ac:dyDescent="0.25">
      <c r="A29629" t="str">
        <f>"9534904"</f>
        <v>9534904</v>
      </c>
      <c r="B29629" t="s">
        <v>13653</v>
      </c>
      <c r="C29629" t="s">
        <v>169</v>
      </c>
      <c r="D29629" s="21" t="s">
        <v>34</v>
      </c>
      <c r="E29629" s="21" t="s">
        <v>35</v>
      </c>
      <c r="F29629">
        <v>8951458</v>
      </c>
      <c r="G29629" t="s">
        <v>20956</v>
      </c>
      <c r="H29629" s="21">
        <v>558.16999999999996</v>
      </c>
    </row>
    <row r="29630" spans="1:8" customFormat="1" x14ac:dyDescent="0.25">
      <c r="A29630" t="str">
        <f>"2811818"</f>
        <v>2811818</v>
      </c>
      <c r="B29630" t="s">
        <v>20343</v>
      </c>
      <c r="C29630" t="s">
        <v>598</v>
      </c>
      <c r="D29630" s="21" t="s">
        <v>34</v>
      </c>
      <c r="E29630" s="21" t="s">
        <v>1089</v>
      </c>
      <c r="F29630">
        <v>4280404</v>
      </c>
      <c r="G29630" t="s">
        <v>13467</v>
      </c>
      <c r="H29630" s="21">
        <v>558.16999999999996</v>
      </c>
    </row>
    <row r="29631" spans="1:8" customFormat="1" x14ac:dyDescent="0.25">
      <c r="A29631" t="str">
        <f>"3529142"</f>
        <v>3529142</v>
      </c>
      <c r="B29631" t="s">
        <v>20564</v>
      </c>
      <c r="C29631" t="s">
        <v>209</v>
      </c>
      <c r="D29631" s="21" t="s">
        <v>34</v>
      </c>
      <c r="E29631" s="21" t="s">
        <v>35</v>
      </c>
      <c r="F29631">
        <v>3350016</v>
      </c>
      <c r="G29631" t="s">
        <v>133</v>
      </c>
      <c r="H29631" s="21">
        <v>558.16999999999996</v>
      </c>
    </row>
    <row r="29632" spans="1:8" customFormat="1" x14ac:dyDescent="0.25">
      <c r="A29632" t="str">
        <f>"703910"</f>
        <v>703910</v>
      </c>
      <c r="B29632" t="s">
        <v>19901</v>
      </c>
      <c r="C29632" t="s">
        <v>33</v>
      </c>
      <c r="D29632" s="21" t="s">
        <v>34</v>
      </c>
      <c r="E29632" s="21" t="s">
        <v>35</v>
      </c>
      <c r="F29632">
        <v>2700085</v>
      </c>
      <c r="G29632" t="s">
        <v>7691</v>
      </c>
      <c r="H29632" s="21">
        <v>558.16999999999996</v>
      </c>
    </row>
    <row r="29633" spans="1:8" customFormat="1" x14ac:dyDescent="0.25">
      <c r="A29633" t="str">
        <f>"1310446"</f>
        <v>1310446</v>
      </c>
      <c r="B29633" t="s">
        <v>2505</v>
      </c>
      <c r="C29633" t="s">
        <v>198</v>
      </c>
      <c r="D29633" s="21" t="s">
        <v>34</v>
      </c>
      <c r="E29633" s="21" t="s">
        <v>254</v>
      </c>
      <c r="F29633">
        <v>13130067</v>
      </c>
      <c r="G29633" t="s">
        <v>1420</v>
      </c>
      <c r="H29633" s="21">
        <v>558.16999999999996</v>
      </c>
    </row>
    <row r="29634" spans="1:8" customFormat="1" x14ac:dyDescent="0.25">
      <c r="A29634" t="str">
        <f>"6231040"</f>
        <v>6231040</v>
      </c>
      <c r="B29634" t="s">
        <v>21446</v>
      </c>
      <c r="C29634" t="s">
        <v>328</v>
      </c>
      <c r="D29634" s="21" t="s">
        <v>34</v>
      </c>
      <c r="E29634" s="21" t="s">
        <v>35</v>
      </c>
      <c r="F29634">
        <v>7620005</v>
      </c>
      <c r="G29634" t="s">
        <v>200</v>
      </c>
      <c r="H29634" s="21">
        <v>558.16999999999996</v>
      </c>
    </row>
    <row r="29635" spans="1:8" customFormat="1" x14ac:dyDescent="0.25">
      <c r="A29635" t="str">
        <f>"191367"</f>
        <v>191367</v>
      </c>
      <c r="B29635" t="s">
        <v>23183</v>
      </c>
      <c r="C29635" t="s">
        <v>60</v>
      </c>
      <c r="D29635" s="21" t="s">
        <v>34</v>
      </c>
      <c r="E29635" s="21" t="s">
        <v>35</v>
      </c>
      <c r="F29635">
        <v>10190066</v>
      </c>
      <c r="G29635" t="s">
        <v>15933</v>
      </c>
      <c r="H29635" s="21">
        <v>558.16999999999996</v>
      </c>
    </row>
    <row r="29636" spans="1:8" customFormat="1" x14ac:dyDescent="0.25">
      <c r="A29636" t="str">
        <f>"185094"</f>
        <v>185094</v>
      </c>
      <c r="B29636" t="s">
        <v>21834</v>
      </c>
      <c r="C29636" t="s">
        <v>156</v>
      </c>
      <c r="D29636" s="21" t="s">
        <v>34</v>
      </c>
      <c r="E29636" s="21" t="s">
        <v>254</v>
      </c>
      <c r="F29636">
        <v>4180721</v>
      </c>
      <c r="G29636" t="s">
        <v>6330</v>
      </c>
      <c r="H29636" s="21">
        <v>558.16999999999996</v>
      </c>
    </row>
    <row r="29637" spans="1:8" customFormat="1" x14ac:dyDescent="0.25">
      <c r="A29637" t="str">
        <f>"9510828"</f>
        <v>9510828</v>
      </c>
      <c r="B29637" t="s">
        <v>20815</v>
      </c>
      <c r="C29637" t="s">
        <v>750</v>
      </c>
      <c r="D29637" s="21" t="s">
        <v>34</v>
      </c>
      <c r="E29637" s="21" t="s">
        <v>254</v>
      </c>
      <c r="F29637">
        <v>8951366</v>
      </c>
      <c r="G29637" t="s">
        <v>3708</v>
      </c>
      <c r="H29637" s="21">
        <v>558.16999999999996</v>
      </c>
    </row>
    <row r="29638" spans="1:8" customFormat="1" x14ac:dyDescent="0.25">
      <c r="A29638" t="str">
        <f>"7222937"</f>
        <v>7222937</v>
      </c>
      <c r="B29638" t="s">
        <v>1208</v>
      </c>
      <c r="C29638" t="s">
        <v>288</v>
      </c>
      <c r="D29638" s="21" t="s">
        <v>34</v>
      </c>
      <c r="E29638" s="21" t="s">
        <v>35</v>
      </c>
      <c r="F29638">
        <v>12720084</v>
      </c>
      <c r="G29638" t="s">
        <v>7532</v>
      </c>
      <c r="H29638" s="21">
        <v>558.16999999999996</v>
      </c>
    </row>
    <row r="29639" spans="1:8" customFormat="1" x14ac:dyDescent="0.25">
      <c r="A29639" t="str">
        <f>"258040"</f>
        <v>258040</v>
      </c>
      <c r="B29639" t="s">
        <v>19354</v>
      </c>
      <c r="C29639" t="s">
        <v>1271</v>
      </c>
      <c r="D29639" s="21" t="s">
        <v>34</v>
      </c>
      <c r="E29639" s="21" t="s">
        <v>1089</v>
      </c>
      <c r="F29639">
        <v>2250162</v>
      </c>
      <c r="G29639" t="s">
        <v>7388</v>
      </c>
      <c r="H29639" s="21">
        <v>558.16999999999996</v>
      </c>
    </row>
    <row r="29640" spans="1:8" customFormat="1" x14ac:dyDescent="0.25">
      <c r="A29640" t="str">
        <f>"2219234"</f>
        <v>2219234</v>
      </c>
      <c r="B29640" t="s">
        <v>21638</v>
      </c>
      <c r="C29640" t="s">
        <v>239</v>
      </c>
      <c r="D29640" s="21" t="s">
        <v>34</v>
      </c>
      <c r="E29640" s="21" t="s">
        <v>254</v>
      </c>
      <c r="F29640">
        <v>3220127</v>
      </c>
      <c r="G29640" t="s">
        <v>26652</v>
      </c>
      <c r="H29640" s="21">
        <v>558.16999999999996</v>
      </c>
    </row>
    <row r="29641" spans="1:8" customFormat="1" x14ac:dyDescent="0.25">
      <c r="A29641" t="str">
        <f>"4218439"</f>
        <v>4218439</v>
      </c>
      <c r="B29641" t="s">
        <v>7008</v>
      </c>
      <c r="C29641" t="s">
        <v>55</v>
      </c>
      <c r="D29641" s="21" t="s">
        <v>34</v>
      </c>
      <c r="E29641" s="21" t="s">
        <v>71</v>
      </c>
      <c r="F29641">
        <v>1420013</v>
      </c>
      <c r="G29641" t="s">
        <v>2013</v>
      </c>
      <c r="H29641" s="21">
        <v>558.16999999999996</v>
      </c>
    </row>
    <row r="29642" spans="1:8" customFormat="1" x14ac:dyDescent="0.25">
      <c r="A29642" t="str">
        <f>"5020430"</f>
        <v>5020430</v>
      </c>
      <c r="B29642" t="s">
        <v>22687</v>
      </c>
      <c r="C29642" t="s">
        <v>1605</v>
      </c>
      <c r="D29642" s="21" t="s">
        <v>34</v>
      </c>
      <c r="E29642" s="21" t="s">
        <v>71</v>
      </c>
      <c r="F29642">
        <v>9500063</v>
      </c>
      <c r="G29642" t="s">
        <v>4114</v>
      </c>
      <c r="H29642" s="21">
        <v>558.16999999999996</v>
      </c>
    </row>
    <row r="29643" spans="1:8" customFormat="1" x14ac:dyDescent="0.25">
      <c r="A29643" t="str">
        <f>"6922274"</f>
        <v>6922274</v>
      </c>
      <c r="B29643" t="s">
        <v>23915</v>
      </c>
      <c r="C29643" t="s">
        <v>750</v>
      </c>
      <c r="D29643" s="21" t="s">
        <v>34</v>
      </c>
      <c r="E29643" s="21" t="s">
        <v>71</v>
      </c>
      <c r="F29643">
        <v>13060037</v>
      </c>
      <c r="G29643" t="s">
        <v>9521</v>
      </c>
      <c r="H29643" s="21">
        <v>558.16999999999996</v>
      </c>
    </row>
    <row r="29644" spans="1:8" customFormat="1" x14ac:dyDescent="0.25">
      <c r="A29644" t="str">
        <f>"8017807"</f>
        <v>8017807</v>
      </c>
      <c r="B29644" t="s">
        <v>1558</v>
      </c>
      <c r="C29644" t="s">
        <v>169</v>
      </c>
      <c r="D29644" s="21" t="s">
        <v>34</v>
      </c>
      <c r="E29644" s="21" t="s">
        <v>35</v>
      </c>
      <c r="F29644">
        <v>7800006</v>
      </c>
      <c r="G29644" t="s">
        <v>6365</v>
      </c>
      <c r="H29644" s="21">
        <v>558.16999999999996</v>
      </c>
    </row>
    <row r="29645" spans="1:8" customFormat="1" x14ac:dyDescent="0.25">
      <c r="A29645" t="str">
        <f>"169880"</f>
        <v>169880</v>
      </c>
      <c r="B29645" t="s">
        <v>20566</v>
      </c>
      <c r="C29645" t="s">
        <v>65</v>
      </c>
      <c r="D29645" s="21" t="s">
        <v>34</v>
      </c>
      <c r="E29645" s="21" t="s">
        <v>35</v>
      </c>
      <c r="F29645">
        <v>10160023</v>
      </c>
      <c r="G29645" t="s">
        <v>2246</v>
      </c>
      <c r="H29645" s="21">
        <v>558.16999999999996</v>
      </c>
    </row>
    <row r="29646" spans="1:8" customFormat="1" x14ac:dyDescent="0.25">
      <c r="A29646" t="str">
        <f>"7223181"</f>
        <v>7223181</v>
      </c>
      <c r="B29646" t="s">
        <v>6990</v>
      </c>
      <c r="C29646" t="s">
        <v>1914</v>
      </c>
      <c r="D29646" s="21" t="s">
        <v>34</v>
      </c>
      <c r="E29646" s="21" t="s">
        <v>254</v>
      </c>
      <c r="F29646">
        <v>12720113</v>
      </c>
      <c r="G29646" t="s">
        <v>21211</v>
      </c>
      <c r="H29646" s="21">
        <v>558.16999999999996</v>
      </c>
    </row>
    <row r="29647" spans="1:8" customFormat="1" x14ac:dyDescent="0.25">
      <c r="A29647" t="str">
        <f>"7923742"</f>
        <v>7923742</v>
      </c>
      <c r="B29647" t="s">
        <v>21162</v>
      </c>
      <c r="C29647" t="s">
        <v>21163</v>
      </c>
      <c r="D29647" s="21" t="s">
        <v>34</v>
      </c>
      <c r="E29647" s="21" t="s">
        <v>71</v>
      </c>
      <c r="F29647">
        <v>10790036</v>
      </c>
      <c r="G29647" t="s">
        <v>4946</v>
      </c>
      <c r="H29647" s="21">
        <v>558.16999999999996</v>
      </c>
    </row>
    <row r="29648" spans="1:8" customFormat="1" x14ac:dyDescent="0.25">
      <c r="A29648" t="str">
        <f>"3724651"</f>
        <v>3724651</v>
      </c>
      <c r="B29648" t="s">
        <v>20517</v>
      </c>
      <c r="C29648" t="s">
        <v>209</v>
      </c>
      <c r="D29648" s="21" t="s">
        <v>34</v>
      </c>
      <c r="E29648" s="21" t="s">
        <v>71</v>
      </c>
      <c r="F29648">
        <v>4370346</v>
      </c>
      <c r="G29648" t="s">
        <v>8269</v>
      </c>
      <c r="H29648" s="21">
        <v>558.16999999999996</v>
      </c>
    </row>
    <row r="29649" spans="1:8" customFormat="1" x14ac:dyDescent="0.25">
      <c r="A29649" t="str">
        <f>"682849"</f>
        <v>682849</v>
      </c>
      <c r="B29649" t="s">
        <v>10941</v>
      </c>
      <c r="C29649" t="s">
        <v>2546</v>
      </c>
      <c r="D29649" s="21" t="s">
        <v>34</v>
      </c>
      <c r="E29649" s="21" t="s">
        <v>254</v>
      </c>
      <c r="F29649">
        <v>6680059</v>
      </c>
      <c r="G29649" t="s">
        <v>11282</v>
      </c>
      <c r="H29649" s="21">
        <v>558.16999999999996</v>
      </c>
    </row>
    <row r="29650" spans="1:8" customFormat="1" x14ac:dyDescent="0.25">
      <c r="A29650" t="str">
        <f>"319956"</f>
        <v>319956</v>
      </c>
      <c r="B29650" t="s">
        <v>185</v>
      </c>
      <c r="C29650" t="s">
        <v>305</v>
      </c>
      <c r="D29650" s="21" t="s">
        <v>34</v>
      </c>
      <c r="E29650" s="21" t="s">
        <v>35</v>
      </c>
      <c r="F29650">
        <v>11310047</v>
      </c>
      <c r="G29650" t="s">
        <v>2188</v>
      </c>
      <c r="H29650" s="21">
        <v>558.16999999999996</v>
      </c>
    </row>
    <row r="29651" spans="1:8" customFormat="1" x14ac:dyDescent="0.25">
      <c r="A29651" t="str">
        <f>"3527697"</f>
        <v>3527697</v>
      </c>
      <c r="B29651" t="s">
        <v>20333</v>
      </c>
      <c r="C29651" t="s">
        <v>3309</v>
      </c>
      <c r="D29651" s="21" t="s">
        <v>34</v>
      </c>
      <c r="E29651" s="21" t="s">
        <v>35</v>
      </c>
      <c r="F29651">
        <v>3350127</v>
      </c>
      <c r="G29651" t="s">
        <v>10614</v>
      </c>
      <c r="H29651" s="21">
        <v>558.16999999999996</v>
      </c>
    </row>
    <row r="29652" spans="1:8" customFormat="1" x14ac:dyDescent="0.25">
      <c r="A29652" t="str">
        <f>"5734051"</f>
        <v>5734051</v>
      </c>
      <c r="B29652" t="s">
        <v>526</v>
      </c>
      <c r="C29652" t="s">
        <v>249</v>
      </c>
      <c r="D29652" s="21" t="s">
        <v>34</v>
      </c>
      <c r="E29652" s="21" t="s">
        <v>71</v>
      </c>
      <c r="F29652">
        <v>6570022</v>
      </c>
      <c r="G29652" t="s">
        <v>3870</v>
      </c>
      <c r="H29652" s="21">
        <v>558.16999999999996</v>
      </c>
    </row>
    <row r="29653" spans="1:8" customFormat="1" x14ac:dyDescent="0.25">
      <c r="A29653" t="str">
        <f>"9251941"</f>
        <v>9251941</v>
      </c>
      <c r="B29653" t="s">
        <v>21836</v>
      </c>
      <c r="C29653" t="s">
        <v>21837</v>
      </c>
      <c r="D29653" s="21" t="s">
        <v>34</v>
      </c>
      <c r="E29653" s="21" t="s">
        <v>71</v>
      </c>
      <c r="F29653">
        <v>8920312</v>
      </c>
      <c r="G29653" t="s">
        <v>1026</v>
      </c>
      <c r="H29653" s="21">
        <v>558.16999999999996</v>
      </c>
    </row>
    <row r="29654" spans="1:8" customFormat="1" x14ac:dyDescent="0.25">
      <c r="A29654" t="str">
        <f>"9457063"</f>
        <v>9457063</v>
      </c>
      <c r="B29654" t="s">
        <v>24218</v>
      </c>
      <c r="C29654" t="s">
        <v>288</v>
      </c>
      <c r="D29654" s="21" t="s">
        <v>34</v>
      </c>
      <c r="E29654" s="21" t="s">
        <v>35</v>
      </c>
      <c r="F29654">
        <v>8941359</v>
      </c>
      <c r="G29654" t="s">
        <v>14474</v>
      </c>
      <c r="H29654" s="21">
        <v>558.04</v>
      </c>
    </row>
    <row r="29655" spans="1:8" customFormat="1" x14ac:dyDescent="0.25">
      <c r="A29655" t="str">
        <f>"9450643"</f>
        <v>9450643</v>
      </c>
      <c r="B29655" t="s">
        <v>28164</v>
      </c>
      <c r="C29655" t="s">
        <v>127</v>
      </c>
      <c r="D29655" s="21" t="s">
        <v>34</v>
      </c>
      <c r="E29655" s="21" t="s">
        <v>35</v>
      </c>
      <c r="F29655">
        <v>8941461</v>
      </c>
      <c r="G29655" t="s">
        <v>10447</v>
      </c>
      <c r="H29655" s="21">
        <v>558.04</v>
      </c>
    </row>
    <row r="29656" spans="1:8" customFormat="1" x14ac:dyDescent="0.25">
      <c r="A29656" t="str">
        <f>"905633"</f>
        <v>905633</v>
      </c>
      <c r="B29656" t="s">
        <v>21191</v>
      </c>
      <c r="C29656" t="s">
        <v>249</v>
      </c>
      <c r="D29656" s="21" t="s">
        <v>34</v>
      </c>
      <c r="E29656" s="21" t="s">
        <v>254</v>
      </c>
      <c r="F29656">
        <v>2900028</v>
      </c>
      <c r="G29656" t="s">
        <v>1541</v>
      </c>
      <c r="H29656" s="21">
        <v>557.91999999999996</v>
      </c>
    </row>
    <row r="29657" spans="1:8" customFormat="1" x14ac:dyDescent="0.25">
      <c r="A29657" t="str">
        <f>"5620831"</f>
        <v>5620831</v>
      </c>
      <c r="B29657" t="s">
        <v>21469</v>
      </c>
      <c r="C29657" t="s">
        <v>988</v>
      </c>
      <c r="D29657" s="21" t="s">
        <v>34</v>
      </c>
      <c r="E29657" s="21" t="s">
        <v>35</v>
      </c>
      <c r="F29657">
        <v>3560020</v>
      </c>
      <c r="G29657" t="s">
        <v>426</v>
      </c>
      <c r="H29657" s="21">
        <v>557.91999999999996</v>
      </c>
    </row>
    <row r="29658" spans="1:8" customFormat="1" x14ac:dyDescent="0.25">
      <c r="A29658" t="str">
        <f>"1426787"</f>
        <v>1426787</v>
      </c>
      <c r="B29658" t="s">
        <v>6872</v>
      </c>
      <c r="C29658" t="s">
        <v>486</v>
      </c>
      <c r="D29658" s="21" t="s">
        <v>34</v>
      </c>
      <c r="E29658" s="21" t="s">
        <v>35</v>
      </c>
      <c r="F29658">
        <v>9140078</v>
      </c>
      <c r="G29658" t="s">
        <v>1920</v>
      </c>
      <c r="H29658" s="21">
        <v>557.91999999999996</v>
      </c>
    </row>
    <row r="29659" spans="1:8" customFormat="1" x14ac:dyDescent="0.25">
      <c r="A29659" t="str">
        <f>"3342798"</f>
        <v>3342798</v>
      </c>
      <c r="B29659" t="s">
        <v>21644</v>
      </c>
      <c r="C29659" t="s">
        <v>127</v>
      </c>
      <c r="D29659" s="21" t="s">
        <v>34</v>
      </c>
      <c r="E29659" s="21" t="s">
        <v>35</v>
      </c>
      <c r="F29659">
        <v>10330084</v>
      </c>
      <c r="G29659" t="s">
        <v>1124</v>
      </c>
      <c r="H29659" s="21">
        <v>557.91999999999996</v>
      </c>
    </row>
    <row r="29660" spans="1:8" customFormat="1" x14ac:dyDescent="0.25">
      <c r="A29660" t="str">
        <f>"2721609"</f>
        <v>2721609</v>
      </c>
      <c r="B29660" t="s">
        <v>28165</v>
      </c>
      <c r="C29660" t="s">
        <v>169</v>
      </c>
      <c r="D29660" s="21" t="s">
        <v>34</v>
      </c>
      <c r="E29660" s="21" t="s">
        <v>35</v>
      </c>
      <c r="F29660">
        <v>9270006</v>
      </c>
      <c r="G29660" t="s">
        <v>780</v>
      </c>
      <c r="H29660" s="21">
        <v>557.75</v>
      </c>
    </row>
    <row r="29661" spans="1:8" customFormat="1" x14ac:dyDescent="0.25">
      <c r="A29661" t="str">
        <f>"7634228"</f>
        <v>7634228</v>
      </c>
      <c r="B29661" t="s">
        <v>23992</v>
      </c>
      <c r="C29661" t="s">
        <v>40</v>
      </c>
      <c r="D29661" s="21" t="s">
        <v>34</v>
      </c>
      <c r="E29661" s="21" t="s">
        <v>71</v>
      </c>
      <c r="F29661">
        <v>9760447</v>
      </c>
      <c r="G29661" t="s">
        <v>5942</v>
      </c>
      <c r="H29661" s="21">
        <v>557.66999999999996</v>
      </c>
    </row>
    <row r="29662" spans="1:8" customFormat="1" x14ac:dyDescent="0.25">
      <c r="A29662" t="str">
        <f>"67664"</f>
        <v>67664</v>
      </c>
      <c r="B29662" t="s">
        <v>11954</v>
      </c>
      <c r="C29662" t="s">
        <v>598</v>
      </c>
      <c r="D29662" s="21" t="s">
        <v>34</v>
      </c>
      <c r="E29662" s="21" t="s">
        <v>1089</v>
      </c>
      <c r="F29662">
        <v>6670014</v>
      </c>
      <c r="G29662" t="s">
        <v>4258</v>
      </c>
      <c r="H29662" s="21">
        <v>557.66999999999996</v>
      </c>
    </row>
    <row r="29663" spans="1:8" customFormat="1" x14ac:dyDescent="0.25">
      <c r="A29663" t="str">
        <f>"9521928"</f>
        <v>9521928</v>
      </c>
      <c r="B29663" t="s">
        <v>23818</v>
      </c>
      <c r="C29663" t="s">
        <v>1146</v>
      </c>
      <c r="D29663" s="21" t="s">
        <v>34</v>
      </c>
      <c r="E29663" s="21" t="s">
        <v>71</v>
      </c>
      <c r="F29663">
        <v>8950330</v>
      </c>
      <c r="G29663" t="s">
        <v>794</v>
      </c>
      <c r="H29663" s="21">
        <v>557.66999999999996</v>
      </c>
    </row>
    <row r="29664" spans="1:8" customFormat="1" x14ac:dyDescent="0.25">
      <c r="A29664" t="str">
        <f>"2716863"</f>
        <v>2716863</v>
      </c>
      <c r="B29664" t="s">
        <v>9145</v>
      </c>
      <c r="C29664" t="s">
        <v>1914</v>
      </c>
      <c r="D29664" s="21" t="s">
        <v>34</v>
      </c>
      <c r="E29664" s="21" t="s">
        <v>254</v>
      </c>
      <c r="F29664">
        <v>9270013</v>
      </c>
      <c r="G29664" t="s">
        <v>26924</v>
      </c>
      <c r="H29664" s="21">
        <v>557.66999999999996</v>
      </c>
    </row>
    <row r="29665" spans="1:8" customFormat="1" x14ac:dyDescent="0.25">
      <c r="A29665" t="str">
        <f>"1419516"</f>
        <v>1419516</v>
      </c>
      <c r="B29665" t="s">
        <v>21493</v>
      </c>
      <c r="C29665" t="s">
        <v>33</v>
      </c>
      <c r="D29665" s="21" t="s">
        <v>34</v>
      </c>
      <c r="E29665" s="21" t="s">
        <v>35</v>
      </c>
      <c r="F29665">
        <v>9140200</v>
      </c>
      <c r="G29665" t="s">
        <v>17963</v>
      </c>
      <c r="H29665" s="21">
        <v>557.66999999999996</v>
      </c>
    </row>
    <row r="29666" spans="1:8" customFormat="1" x14ac:dyDescent="0.25">
      <c r="A29666" t="str">
        <f>"1716878"</f>
        <v>1716878</v>
      </c>
      <c r="B29666" t="s">
        <v>22362</v>
      </c>
      <c r="C29666" t="s">
        <v>269</v>
      </c>
      <c r="D29666" s="21" t="s">
        <v>34</v>
      </c>
      <c r="E29666" s="21" t="s">
        <v>71</v>
      </c>
      <c r="F29666">
        <v>10170050</v>
      </c>
      <c r="G29666" t="s">
        <v>2514</v>
      </c>
      <c r="H29666" s="21">
        <v>557.66999999999996</v>
      </c>
    </row>
    <row r="29667" spans="1:8" customFormat="1" x14ac:dyDescent="0.25">
      <c r="A29667" t="str">
        <f>"066999"</f>
        <v>066999</v>
      </c>
      <c r="B29667" t="s">
        <v>20902</v>
      </c>
      <c r="C29667" t="s">
        <v>3648</v>
      </c>
      <c r="D29667" s="21" t="s">
        <v>34</v>
      </c>
      <c r="E29667" s="21" t="s">
        <v>1089</v>
      </c>
      <c r="F29667">
        <v>13060063</v>
      </c>
      <c r="G29667" t="s">
        <v>2001</v>
      </c>
      <c r="H29667" s="21">
        <v>557.66999999999996</v>
      </c>
    </row>
    <row r="29668" spans="1:8" customFormat="1" x14ac:dyDescent="0.25">
      <c r="A29668" t="str">
        <f>"0618047"</f>
        <v>0618047</v>
      </c>
      <c r="B29668" t="s">
        <v>21718</v>
      </c>
      <c r="C29668" t="s">
        <v>381</v>
      </c>
      <c r="D29668" s="21" t="s">
        <v>34</v>
      </c>
      <c r="E29668" s="21" t="s">
        <v>254</v>
      </c>
      <c r="F29668">
        <v>13060119</v>
      </c>
      <c r="G29668" t="s">
        <v>6179</v>
      </c>
      <c r="H29668" s="21">
        <v>557.66999999999996</v>
      </c>
    </row>
    <row r="29669" spans="1:8" customFormat="1" x14ac:dyDescent="0.25">
      <c r="A29669" t="str">
        <f>"161766"</f>
        <v>161766</v>
      </c>
      <c r="B29669" t="s">
        <v>18655</v>
      </c>
      <c r="C29669" t="s">
        <v>2904</v>
      </c>
      <c r="D29669" s="21" t="s">
        <v>34</v>
      </c>
      <c r="E29669" s="21" t="s">
        <v>254</v>
      </c>
      <c r="F29669">
        <v>10160196</v>
      </c>
      <c r="G29669" t="s">
        <v>13348</v>
      </c>
      <c r="H29669" s="21">
        <v>557.66999999999996</v>
      </c>
    </row>
    <row r="29670" spans="1:8" customFormat="1" x14ac:dyDescent="0.25">
      <c r="A29670" t="str">
        <f>"8019136"</f>
        <v>8019136</v>
      </c>
      <c r="B29670" t="s">
        <v>10182</v>
      </c>
      <c r="C29670" t="s">
        <v>33</v>
      </c>
      <c r="D29670" s="21" t="s">
        <v>34</v>
      </c>
      <c r="E29670" s="21" t="s">
        <v>71</v>
      </c>
      <c r="F29670">
        <v>7800141</v>
      </c>
      <c r="G29670" t="s">
        <v>9939</v>
      </c>
      <c r="H29670" s="21">
        <v>557.66999999999996</v>
      </c>
    </row>
    <row r="29671" spans="1:8" customFormat="1" x14ac:dyDescent="0.25">
      <c r="A29671" t="str">
        <f>"6926366"</f>
        <v>6926366</v>
      </c>
      <c r="B29671" t="s">
        <v>20590</v>
      </c>
      <c r="C29671" t="s">
        <v>2907</v>
      </c>
      <c r="D29671" s="21" t="s">
        <v>34</v>
      </c>
      <c r="E29671" s="21" t="s">
        <v>254</v>
      </c>
      <c r="F29671">
        <v>1690206</v>
      </c>
      <c r="G29671" t="s">
        <v>17667</v>
      </c>
      <c r="H29671" s="21">
        <v>557.66999999999996</v>
      </c>
    </row>
    <row r="29672" spans="1:8" customFormat="1" x14ac:dyDescent="0.25">
      <c r="A29672" t="str">
        <f>"5323139"</f>
        <v>5323139</v>
      </c>
      <c r="B29672" t="s">
        <v>5066</v>
      </c>
      <c r="C29672" t="s">
        <v>55</v>
      </c>
      <c r="D29672" s="21" t="s">
        <v>34</v>
      </c>
      <c r="E29672" s="21" t="s">
        <v>35</v>
      </c>
      <c r="F29672">
        <v>12530106</v>
      </c>
      <c r="G29672" t="s">
        <v>27079</v>
      </c>
      <c r="H29672" s="21">
        <v>557.66999999999996</v>
      </c>
    </row>
    <row r="29673" spans="1:8" customFormat="1" x14ac:dyDescent="0.25">
      <c r="A29673" t="str">
        <f>"954855"</f>
        <v>954855</v>
      </c>
      <c r="B29673" t="s">
        <v>20631</v>
      </c>
      <c r="C29673" t="s">
        <v>3784</v>
      </c>
      <c r="D29673" s="21" t="s">
        <v>34</v>
      </c>
      <c r="E29673" s="21" t="s">
        <v>1089</v>
      </c>
      <c r="F29673">
        <v>8950479</v>
      </c>
      <c r="G29673" t="s">
        <v>728</v>
      </c>
      <c r="H29673" s="21">
        <v>557.66999999999996</v>
      </c>
    </row>
    <row r="29674" spans="1:8" customFormat="1" x14ac:dyDescent="0.25">
      <c r="A29674" t="str">
        <f>"5981662"</f>
        <v>5981662</v>
      </c>
      <c r="B29674" t="s">
        <v>16975</v>
      </c>
      <c r="C29674" t="s">
        <v>14345</v>
      </c>
      <c r="D29674" s="21" t="s">
        <v>34</v>
      </c>
      <c r="E29674" s="21" t="s">
        <v>35</v>
      </c>
      <c r="F29674">
        <v>7590068</v>
      </c>
      <c r="G29674" t="s">
        <v>1005</v>
      </c>
      <c r="H29674" s="21">
        <v>557.66999999999996</v>
      </c>
    </row>
    <row r="29675" spans="1:8" customFormat="1" x14ac:dyDescent="0.25">
      <c r="A29675" t="str">
        <f>"7731948"</f>
        <v>7731948</v>
      </c>
      <c r="B29675" t="s">
        <v>6805</v>
      </c>
      <c r="C29675" t="s">
        <v>598</v>
      </c>
      <c r="D29675" s="21" t="s">
        <v>34</v>
      </c>
      <c r="E29675" s="21" t="s">
        <v>35</v>
      </c>
      <c r="F29675">
        <v>8771514</v>
      </c>
      <c r="G29675" t="s">
        <v>10058</v>
      </c>
      <c r="H29675" s="21">
        <v>557.66999999999996</v>
      </c>
    </row>
    <row r="29676" spans="1:8" customFormat="1" x14ac:dyDescent="0.25">
      <c r="A29676" t="str">
        <f>"434549"</f>
        <v>434549</v>
      </c>
      <c r="B29676" t="s">
        <v>21689</v>
      </c>
      <c r="C29676" t="s">
        <v>269</v>
      </c>
      <c r="D29676" s="21" t="s">
        <v>34</v>
      </c>
      <c r="E29676" s="21" t="s">
        <v>35</v>
      </c>
      <c r="F29676">
        <v>1420309</v>
      </c>
      <c r="G29676" t="s">
        <v>26798</v>
      </c>
      <c r="H29676" s="21">
        <v>557.66999999999996</v>
      </c>
    </row>
    <row r="29677" spans="1:8" customFormat="1" x14ac:dyDescent="0.25">
      <c r="A29677" t="str">
        <f>"188864"</f>
        <v>188864</v>
      </c>
      <c r="B29677" t="s">
        <v>890</v>
      </c>
      <c r="C29677" t="s">
        <v>249</v>
      </c>
      <c r="D29677" s="21" t="s">
        <v>34</v>
      </c>
      <c r="E29677" s="21" t="s">
        <v>71</v>
      </c>
      <c r="F29677">
        <v>4180041</v>
      </c>
      <c r="G29677" t="s">
        <v>1740</v>
      </c>
      <c r="H29677" s="21">
        <v>557.66999999999996</v>
      </c>
    </row>
    <row r="29678" spans="1:8" customFormat="1" x14ac:dyDescent="0.25">
      <c r="A29678" t="str">
        <f>"642368"</f>
        <v>642368</v>
      </c>
      <c r="B29678" t="s">
        <v>10855</v>
      </c>
      <c r="C29678" t="s">
        <v>267</v>
      </c>
      <c r="D29678" s="21" t="s">
        <v>34</v>
      </c>
      <c r="E29678" s="21" t="s">
        <v>254</v>
      </c>
      <c r="F29678">
        <v>10640010</v>
      </c>
      <c r="G29678" t="s">
        <v>9410</v>
      </c>
      <c r="H29678" s="21">
        <v>557.66999999999996</v>
      </c>
    </row>
    <row r="29679" spans="1:8" customFormat="1" x14ac:dyDescent="0.25">
      <c r="A29679" t="str">
        <f>"3516668"</f>
        <v>3516668</v>
      </c>
      <c r="B29679" t="s">
        <v>12907</v>
      </c>
      <c r="C29679" t="s">
        <v>233</v>
      </c>
      <c r="D29679" s="21" t="s">
        <v>34</v>
      </c>
      <c r="E29679" s="21" t="s">
        <v>71</v>
      </c>
      <c r="F29679">
        <v>3350044</v>
      </c>
      <c r="G29679" t="s">
        <v>12041</v>
      </c>
      <c r="H29679" s="21">
        <v>557.66999999999996</v>
      </c>
    </row>
    <row r="29680" spans="1:8" customFormat="1" x14ac:dyDescent="0.25">
      <c r="A29680" t="str">
        <f>"1610491"</f>
        <v>1610491</v>
      </c>
      <c r="B29680" t="s">
        <v>882</v>
      </c>
      <c r="C29680" t="s">
        <v>65</v>
      </c>
      <c r="D29680" s="21" t="s">
        <v>34</v>
      </c>
      <c r="E29680" s="21" t="s">
        <v>35</v>
      </c>
      <c r="F29680">
        <v>10160226</v>
      </c>
      <c r="G29680" t="s">
        <v>8751</v>
      </c>
      <c r="H29680" s="21">
        <v>557.66999999999996</v>
      </c>
    </row>
    <row r="29681" spans="1:8" customFormat="1" x14ac:dyDescent="0.25">
      <c r="A29681" t="str">
        <f>"8315086"</f>
        <v>8315086</v>
      </c>
      <c r="B29681" t="s">
        <v>4013</v>
      </c>
      <c r="C29681" t="s">
        <v>21625</v>
      </c>
      <c r="D29681" s="21" t="s">
        <v>34</v>
      </c>
      <c r="E29681" s="21" t="s">
        <v>254</v>
      </c>
      <c r="F29681">
        <v>13830090</v>
      </c>
      <c r="G29681" t="s">
        <v>1535</v>
      </c>
      <c r="H29681" s="21">
        <v>557.66999999999996</v>
      </c>
    </row>
    <row r="29682" spans="1:8" customFormat="1" x14ac:dyDescent="0.25">
      <c r="A29682" t="str">
        <f>"3512550"</f>
        <v>3512550</v>
      </c>
      <c r="B29682" t="s">
        <v>20214</v>
      </c>
      <c r="C29682" t="s">
        <v>114</v>
      </c>
      <c r="D29682" s="21" t="s">
        <v>34</v>
      </c>
      <c r="E29682" s="21" t="s">
        <v>254</v>
      </c>
      <c r="F29682">
        <v>3350023</v>
      </c>
      <c r="G29682" t="s">
        <v>12401</v>
      </c>
      <c r="H29682" s="21">
        <v>557.66999999999996</v>
      </c>
    </row>
    <row r="29683" spans="1:8" customFormat="1" x14ac:dyDescent="0.25">
      <c r="A29683" t="str">
        <f>"67395"</f>
        <v>67395</v>
      </c>
      <c r="B29683" t="s">
        <v>20422</v>
      </c>
      <c r="C29683" t="s">
        <v>547</v>
      </c>
      <c r="D29683" s="21" t="s">
        <v>34</v>
      </c>
      <c r="E29683" s="21" t="s">
        <v>254</v>
      </c>
      <c r="F29683">
        <v>6670010</v>
      </c>
      <c r="G29683" t="s">
        <v>721</v>
      </c>
      <c r="H29683" s="21">
        <v>557.66999999999996</v>
      </c>
    </row>
    <row r="29684" spans="1:8" customFormat="1" x14ac:dyDescent="0.25">
      <c r="A29684" t="str">
        <f>"106737"</f>
        <v>106737</v>
      </c>
      <c r="B29684" t="s">
        <v>6472</v>
      </c>
      <c r="C29684" t="s">
        <v>598</v>
      </c>
      <c r="D29684" s="21" t="s">
        <v>34</v>
      </c>
      <c r="E29684" s="21" t="s">
        <v>1089</v>
      </c>
      <c r="F29684">
        <v>6100005</v>
      </c>
      <c r="G29684" t="s">
        <v>855</v>
      </c>
      <c r="H29684" s="21">
        <v>557.5</v>
      </c>
    </row>
    <row r="29685" spans="1:8" customFormat="1" x14ac:dyDescent="0.25">
      <c r="A29685" t="str">
        <f>"039339"</f>
        <v>039339</v>
      </c>
      <c r="B29685" t="s">
        <v>2738</v>
      </c>
      <c r="C29685" t="s">
        <v>926</v>
      </c>
      <c r="D29685" s="21" t="s">
        <v>34</v>
      </c>
      <c r="E29685" s="21" t="s">
        <v>35</v>
      </c>
      <c r="F29685">
        <v>1030316</v>
      </c>
      <c r="G29685" t="s">
        <v>19924</v>
      </c>
      <c r="H29685" s="21">
        <v>557.5</v>
      </c>
    </row>
    <row r="29686" spans="1:8" customFormat="1" x14ac:dyDescent="0.25">
      <c r="A29686" t="str">
        <f>"3831608"</f>
        <v>3831608</v>
      </c>
      <c r="B29686" t="s">
        <v>16121</v>
      </c>
      <c r="C29686" t="s">
        <v>288</v>
      </c>
      <c r="D29686" s="21" t="s">
        <v>34</v>
      </c>
      <c r="E29686" s="21" t="s">
        <v>71</v>
      </c>
      <c r="F29686">
        <v>1380297</v>
      </c>
      <c r="G29686" t="s">
        <v>12031</v>
      </c>
      <c r="H29686" s="21">
        <v>557.5</v>
      </c>
    </row>
    <row r="29687" spans="1:8" customFormat="1" x14ac:dyDescent="0.25">
      <c r="A29687" t="str">
        <f>"2923481"</f>
        <v>2923481</v>
      </c>
      <c r="B29687" t="s">
        <v>8578</v>
      </c>
      <c r="C29687" t="s">
        <v>2322</v>
      </c>
      <c r="D29687" s="21" t="s">
        <v>34</v>
      </c>
      <c r="E29687" s="21" t="s">
        <v>71</v>
      </c>
      <c r="F29687">
        <v>3290014</v>
      </c>
      <c r="G29687" t="s">
        <v>10174</v>
      </c>
      <c r="H29687" s="21">
        <v>557.41999999999996</v>
      </c>
    </row>
    <row r="29688" spans="1:8" customFormat="1" x14ac:dyDescent="0.25">
      <c r="A29688" t="str">
        <f>"3013839"</f>
        <v>3013839</v>
      </c>
      <c r="B29688" t="s">
        <v>28166</v>
      </c>
      <c r="C29688" t="s">
        <v>62</v>
      </c>
      <c r="D29688" s="21" t="s">
        <v>34</v>
      </c>
      <c r="E29688" s="21" t="s">
        <v>71</v>
      </c>
      <c r="F29688">
        <v>11300040</v>
      </c>
      <c r="G29688" t="s">
        <v>13373</v>
      </c>
      <c r="H29688" s="21">
        <v>557.16999999999996</v>
      </c>
    </row>
    <row r="29689" spans="1:8" customFormat="1" x14ac:dyDescent="0.25">
      <c r="A29689" t="str">
        <f>"09891"</f>
        <v>09891</v>
      </c>
      <c r="B29689" t="s">
        <v>18552</v>
      </c>
      <c r="C29689" t="s">
        <v>249</v>
      </c>
      <c r="D29689" s="21" t="s">
        <v>34</v>
      </c>
      <c r="E29689" s="21" t="s">
        <v>71</v>
      </c>
      <c r="F29689">
        <v>11090014</v>
      </c>
      <c r="G29689" t="s">
        <v>9140</v>
      </c>
      <c r="H29689" s="21">
        <v>557.16999999999996</v>
      </c>
    </row>
    <row r="29690" spans="1:8" customFormat="1" x14ac:dyDescent="0.25">
      <c r="A29690" t="str">
        <f>"8817562"</f>
        <v>8817562</v>
      </c>
      <c r="B29690" t="s">
        <v>21820</v>
      </c>
      <c r="C29690" t="s">
        <v>381</v>
      </c>
      <c r="D29690" s="21" t="s">
        <v>34</v>
      </c>
      <c r="E29690" s="21" t="s">
        <v>35</v>
      </c>
      <c r="F29690">
        <v>6880064</v>
      </c>
      <c r="G29690" t="s">
        <v>7090</v>
      </c>
      <c r="H29690" s="21">
        <v>557.16999999999996</v>
      </c>
    </row>
    <row r="29691" spans="1:8" customFormat="1" x14ac:dyDescent="0.25">
      <c r="A29691" t="str">
        <f>"1418932"</f>
        <v>1418932</v>
      </c>
      <c r="B29691" t="s">
        <v>7648</v>
      </c>
      <c r="C29691" t="s">
        <v>60</v>
      </c>
      <c r="D29691" s="21" t="s">
        <v>34</v>
      </c>
      <c r="E29691" s="21" t="s">
        <v>35</v>
      </c>
      <c r="F29691">
        <v>9140195</v>
      </c>
      <c r="G29691" t="s">
        <v>20121</v>
      </c>
      <c r="H29691" s="21">
        <v>557.16999999999996</v>
      </c>
    </row>
    <row r="29692" spans="1:8" customFormat="1" x14ac:dyDescent="0.25">
      <c r="A29692" t="str">
        <f>"728246"</f>
        <v>728246</v>
      </c>
      <c r="B29692" t="s">
        <v>996</v>
      </c>
      <c r="C29692" t="s">
        <v>486</v>
      </c>
      <c r="D29692" s="21" t="s">
        <v>34</v>
      </c>
      <c r="E29692" s="21" t="s">
        <v>35</v>
      </c>
      <c r="F29692">
        <v>12720084</v>
      </c>
      <c r="G29692" t="s">
        <v>7532</v>
      </c>
      <c r="H29692" s="21">
        <v>557.16999999999996</v>
      </c>
    </row>
    <row r="29693" spans="1:8" customFormat="1" x14ac:dyDescent="0.25">
      <c r="A29693" t="str">
        <f>"367967"</f>
        <v>367967</v>
      </c>
      <c r="B29693" t="s">
        <v>21817</v>
      </c>
      <c r="C29693" t="s">
        <v>156</v>
      </c>
      <c r="D29693" s="21" t="s">
        <v>34</v>
      </c>
      <c r="E29693" s="21" t="s">
        <v>35</v>
      </c>
      <c r="F29693">
        <v>4360123</v>
      </c>
      <c r="G29693" t="s">
        <v>4121</v>
      </c>
      <c r="H29693" s="21">
        <v>557.16999999999996</v>
      </c>
    </row>
    <row r="29694" spans="1:8" customFormat="1" x14ac:dyDescent="0.25">
      <c r="A29694" t="str">
        <f>"415888"</f>
        <v>415888</v>
      </c>
      <c r="B29694" t="s">
        <v>6372</v>
      </c>
      <c r="C29694" t="s">
        <v>239</v>
      </c>
      <c r="D29694" s="21" t="s">
        <v>34</v>
      </c>
      <c r="E29694" s="21" t="s">
        <v>1089</v>
      </c>
      <c r="F29694">
        <v>4410546</v>
      </c>
      <c r="G29694" t="s">
        <v>5001</v>
      </c>
      <c r="H29694" s="21">
        <v>557.16999999999996</v>
      </c>
    </row>
    <row r="29695" spans="1:8" customFormat="1" x14ac:dyDescent="0.25">
      <c r="A29695" t="str">
        <f>"168253"</f>
        <v>168253</v>
      </c>
      <c r="B29695" t="s">
        <v>5300</v>
      </c>
      <c r="C29695" t="s">
        <v>3010</v>
      </c>
      <c r="D29695" s="21" t="s">
        <v>34</v>
      </c>
      <c r="E29695" s="21" t="s">
        <v>35</v>
      </c>
      <c r="F29695">
        <v>10160085</v>
      </c>
      <c r="G29695" t="s">
        <v>10818</v>
      </c>
      <c r="H29695" s="21">
        <v>557.16999999999996</v>
      </c>
    </row>
    <row r="29696" spans="1:8" customFormat="1" x14ac:dyDescent="0.25">
      <c r="A29696" t="str">
        <f>"4447994"</f>
        <v>4447994</v>
      </c>
      <c r="B29696" t="s">
        <v>4148</v>
      </c>
      <c r="C29696" t="s">
        <v>124</v>
      </c>
      <c r="D29696" s="21" t="s">
        <v>34</v>
      </c>
      <c r="E29696" s="21" t="s">
        <v>71</v>
      </c>
      <c r="F29696">
        <v>12440101</v>
      </c>
      <c r="G29696" t="s">
        <v>3482</v>
      </c>
      <c r="H29696" s="21">
        <v>557.16999999999996</v>
      </c>
    </row>
    <row r="29697" spans="1:8" customFormat="1" x14ac:dyDescent="0.25">
      <c r="A29697" t="str">
        <f>"2917846"</f>
        <v>2917846</v>
      </c>
      <c r="B29697" t="s">
        <v>20556</v>
      </c>
      <c r="C29697" t="s">
        <v>269</v>
      </c>
      <c r="D29697" s="21" t="s">
        <v>34</v>
      </c>
      <c r="E29697" s="21" t="s">
        <v>71</v>
      </c>
      <c r="F29697">
        <v>3290019</v>
      </c>
      <c r="G29697" t="s">
        <v>4452</v>
      </c>
      <c r="H29697" s="21">
        <v>557.16999999999996</v>
      </c>
    </row>
    <row r="29698" spans="1:8" customFormat="1" x14ac:dyDescent="0.25">
      <c r="A29698" t="str">
        <f>"5432084"</f>
        <v>5432084</v>
      </c>
      <c r="B29698" t="s">
        <v>24304</v>
      </c>
      <c r="C29698" t="s">
        <v>879</v>
      </c>
      <c r="D29698" s="21" t="s">
        <v>34</v>
      </c>
      <c r="E29698" s="21" t="s">
        <v>71</v>
      </c>
      <c r="F29698">
        <v>6540108</v>
      </c>
      <c r="G29698" t="s">
        <v>4340</v>
      </c>
      <c r="H29698" s="21">
        <v>557.16999999999996</v>
      </c>
    </row>
    <row r="29699" spans="1:8" customFormat="1" x14ac:dyDescent="0.25">
      <c r="A29699" t="str">
        <f>"6021674"</f>
        <v>6021674</v>
      </c>
      <c r="B29699" t="s">
        <v>2824</v>
      </c>
      <c r="C29699" t="s">
        <v>204</v>
      </c>
      <c r="D29699" s="21" t="s">
        <v>34</v>
      </c>
      <c r="E29699" s="21" t="s">
        <v>71</v>
      </c>
      <c r="F29699" t="s">
        <v>8815</v>
      </c>
      <c r="G29699" t="s">
        <v>8816</v>
      </c>
      <c r="H29699" s="21">
        <v>557.16999999999996</v>
      </c>
    </row>
    <row r="29700" spans="1:8" customFormat="1" x14ac:dyDescent="0.25">
      <c r="A29700" t="str">
        <f>"7640103"</f>
        <v>7640103</v>
      </c>
      <c r="B29700" t="s">
        <v>105</v>
      </c>
      <c r="C29700" t="s">
        <v>149</v>
      </c>
      <c r="D29700" s="21" t="s">
        <v>34</v>
      </c>
      <c r="E29700" s="21" t="s">
        <v>35</v>
      </c>
      <c r="F29700">
        <v>9760420</v>
      </c>
      <c r="G29700" t="s">
        <v>11290</v>
      </c>
      <c r="H29700" s="21">
        <v>557.16999999999996</v>
      </c>
    </row>
    <row r="29701" spans="1:8" customFormat="1" x14ac:dyDescent="0.25">
      <c r="A29701" t="str">
        <f>"4432830"</f>
        <v>4432830</v>
      </c>
      <c r="B29701" t="s">
        <v>7008</v>
      </c>
      <c r="C29701" t="s">
        <v>285</v>
      </c>
      <c r="D29701" s="21" t="s">
        <v>34</v>
      </c>
      <c r="E29701" s="21" t="s">
        <v>35</v>
      </c>
      <c r="F29701">
        <v>12440002</v>
      </c>
      <c r="G29701" t="s">
        <v>47</v>
      </c>
      <c r="H29701" s="21">
        <v>557.16999999999996</v>
      </c>
    </row>
    <row r="29702" spans="1:8" customFormat="1" x14ac:dyDescent="0.25">
      <c r="A29702" t="str">
        <f>"5432167"</f>
        <v>5432167</v>
      </c>
      <c r="B29702" t="s">
        <v>6089</v>
      </c>
      <c r="C29702" t="s">
        <v>288</v>
      </c>
      <c r="D29702" s="21" t="s">
        <v>34</v>
      </c>
      <c r="E29702" s="21" t="s">
        <v>35</v>
      </c>
      <c r="F29702">
        <v>6540135</v>
      </c>
      <c r="G29702" t="s">
        <v>11525</v>
      </c>
      <c r="H29702" s="21">
        <v>557.16999999999996</v>
      </c>
    </row>
    <row r="29703" spans="1:8" customFormat="1" x14ac:dyDescent="0.25">
      <c r="A29703" t="str">
        <f>"847886"</f>
        <v>847886</v>
      </c>
      <c r="B29703" t="s">
        <v>21804</v>
      </c>
      <c r="C29703" t="s">
        <v>209</v>
      </c>
      <c r="D29703" s="21" t="s">
        <v>34</v>
      </c>
      <c r="E29703" s="21" t="s">
        <v>254</v>
      </c>
      <c r="F29703">
        <v>13840038</v>
      </c>
      <c r="G29703" t="s">
        <v>8931</v>
      </c>
      <c r="H29703" s="21">
        <v>557.16999999999996</v>
      </c>
    </row>
    <row r="29704" spans="1:8" customFormat="1" x14ac:dyDescent="0.25">
      <c r="A29704" t="str">
        <f>"429502"</f>
        <v>429502</v>
      </c>
      <c r="B29704" t="s">
        <v>21115</v>
      </c>
      <c r="C29704" t="s">
        <v>817</v>
      </c>
      <c r="D29704" s="21" t="s">
        <v>34</v>
      </c>
      <c r="E29704" s="21" t="s">
        <v>71</v>
      </c>
      <c r="F29704">
        <v>1420117</v>
      </c>
      <c r="G29704" t="s">
        <v>2649</v>
      </c>
      <c r="H29704" s="21">
        <v>557.16999999999996</v>
      </c>
    </row>
    <row r="29705" spans="1:8" customFormat="1" x14ac:dyDescent="0.25">
      <c r="A29705" t="str">
        <f>"4452740"</f>
        <v>4452740</v>
      </c>
      <c r="B29705" t="s">
        <v>22193</v>
      </c>
      <c r="C29705" t="s">
        <v>169</v>
      </c>
      <c r="D29705" s="21" t="s">
        <v>34</v>
      </c>
      <c r="E29705" s="21" t="s">
        <v>71</v>
      </c>
      <c r="F29705">
        <v>12440138</v>
      </c>
      <c r="G29705" t="s">
        <v>562</v>
      </c>
      <c r="H29705" s="21">
        <v>557.16999999999996</v>
      </c>
    </row>
    <row r="29706" spans="1:8" customFormat="1" x14ac:dyDescent="0.25">
      <c r="A29706" t="str">
        <f>"3724461"</f>
        <v>3724461</v>
      </c>
      <c r="B29706" t="s">
        <v>21523</v>
      </c>
      <c r="C29706" t="s">
        <v>33</v>
      </c>
      <c r="D29706" s="21" t="s">
        <v>34</v>
      </c>
      <c r="E29706" s="21" t="s">
        <v>71</v>
      </c>
      <c r="F29706">
        <v>4370015</v>
      </c>
      <c r="G29706" t="s">
        <v>17941</v>
      </c>
      <c r="H29706" s="21">
        <v>557.16999999999996</v>
      </c>
    </row>
    <row r="29707" spans="1:8" customFormat="1" x14ac:dyDescent="0.25">
      <c r="A29707" t="str">
        <f>"3344154"</f>
        <v>3344154</v>
      </c>
      <c r="B29707" t="s">
        <v>21922</v>
      </c>
      <c r="C29707" t="s">
        <v>169</v>
      </c>
      <c r="D29707" s="21" t="s">
        <v>34</v>
      </c>
      <c r="E29707" s="21" t="s">
        <v>35</v>
      </c>
      <c r="F29707">
        <v>10330024</v>
      </c>
      <c r="G29707" t="s">
        <v>16744</v>
      </c>
      <c r="H29707" s="21">
        <v>557.04</v>
      </c>
    </row>
    <row r="29708" spans="1:8" customFormat="1" x14ac:dyDescent="0.25">
      <c r="A29708" t="str">
        <f>"7710706"</f>
        <v>7710706</v>
      </c>
      <c r="B29708" t="s">
        <v>28167</v>
      </c>
      <c r="C29708" t="s">
        <v>40</v>
      </c>
      <c r="D29708" s="21" t="s">
        <v>34</v>
      </c>
      <c r="E29708" s="21" t="s">
        <v>254</v>
      </c>
      <c r="F29708">
        <v>8771025</v>
      </c>
      <c r="G29708" t="s">
        <v>5469</v>
      </c>
      <c r="H29708" s="21">
        <v>557.04</v>
      </c>
    </row>
    <row r="29709" spans="1:8" customFormat="1" x14ac:dyDescent="0.25">
      <c r="A29709" t="str">
        <f>"9144524"</f>
        <v>9144524</v>
      </c>
      <c r="B29709" t="s">
        <v>1462</v>
      </c>
      <c r="C29709" t="s">
        <v>462</v>
      </c>
      <c r="D29709" s="21" t="s">
        <v>34</v>
      </c>
      <c r="E29709" s="21" t="s">
        <v>71</v>
      </c>
      <c r="F29709">
        <v>8911064</v>
      </c>
      <c r="G29709" t="s">
        <v>2209</v>
      </c>
      <c r="H29709" s="21">
        <v>556.91999999999996</v>
      </c>
    </row>
    <row r="29710" spans="1:8" customFormat="1" x14ac:dyDescent="0.25">
      <c r="A29710" t="str">
        <f>"837267"</f>
        <v>837267</v>
      </c>
      <c r="B29710" t="s">
        <v>20067</v>
      </c>
      <c r="C29710" t="s">
        <v>598</v>
      </c>
      <c r="D29710" s="21" t="s">
        <v>34</v>
      </c>
      <c r="E29710" s="21" t="s">
        <v>71</v>
      </c>
      <c r="F29710">
        <v>13130166</v>
      </c>
      <c r="G29710" t="s">
        <v>2539</v>
      </c>
      <c r="H29710" s="21">
        <v>556.91999999999996</v>
      </c>
    </row>
    <row r="29711" spans="1:8" customFormat="1" x14ac:dyDescent="0.25">
      <c r="A29711" t="str">
        <f>"5957584"</f>
        <v>5957584</v>
      </c>
      <c r="B29711" t="s">
        <v>7174</v>
      </c>
      <c r="C29711" t="s">
        <v>3348</v>
      </c>
      <c r="D29711" s="21" t="s">
        <v>34</v>
      </c>
      <c r="E29711" s="21" t="s">
        <v>1089</v>
      </c>
      <c r="F29711">
        <v>7590141</v>
      </c>
      <c r="G29711" t="s">
        <v>21305</v>
      </c>
      <c r="H29711" s="21">
        <v>556.66999999999996</v>
      </c>
    </row>
    <row r="29712" spans="1:8" customFormat="1" x14ac:dyDescent="0.25">
      <c r="A29712" t="str">
        <f>"5938327"</f>
        <v>5938327</v>
      </c>
      <c r="B29712" t="s">
        <v>21780</v>
      </c>
      <c r="C29712" t="s">
        <v>169</v>
      </c>
      <c r="D29712" s="21" t="s">
        <v>34</v>
      </c>
      <c r="E29712" s="21" t="s">
        <v>71</v>
      </c>
      <c r="F29712">
        <v>7590040</v>
      </c>
      <c r="G29712" t="s">
        <v>104</v>
      </c>
      <c r="H29712" s="21">
        <v>556.66999999999996</v>
      </c>
    </row>
    <row r="29713" spans="1:8" customFormat="1" x14ac:dyDescent="0.25">
      <c r="A29713" t="str">
        <f>"0212012"</f>
        <v>0212012</v>
      </c>
      <c r="B29713" t="s">
        <v>21452</v>
      </c>
      <c r="C29713" t="s">
        <v>2529</v>
      </c>
      <c r="D29713" s="21" t="s">
        <v>34</v>
      </c>
      <c r="E29713" s="21" t="s">
        <v>254</v>
      </c>
      <c r="F29713">
        <v>7020037</v>
      </c>
      <c r="G29713" t="s">
        <v>4701</v>
      </c>
      <c r="H29713" s="21">
        <v>556.66999999999996</v>
      </c>
    </row>
    <row r="29714" spans="1:8" customFormat="1" x14ac:dyDescent="0.25">
      <c r="A29714" t="str">
        <f>"3725332"</f>
        <v>3725332</v>
      </c>
      <c r="B29714" t="s">
        <v>1827</v>
      </c>
      <c r="C29714" t="s">
        <v>891</v>
      </c>
      <c r="D29714" s="21" t="s">
        <v>34</v>
      </c>
      <c r="E29714" s="21" t="s">
        <v>35</v>
      </c>
      <c r="F29714">
        <v>4370681</v>
      </c>
      <c r="G29714" t="s">
        <v>4508</v>
      </c>
      <c r="H29714" s="21">
        <v>556.66999999999996</v>
      </c>
    </row>
    <row r="29715" spans="1:8" customFormat="1" x14ac:dyDescent="0.25">
      <c r="A29715" t="str">
        <f>"9525753"</f>
        <v>9525753</v>
      </c>
      <c r="B29715" t="s">
        <v>20355</v>
      </c>
      <c r="C29715" t="s">
        <v>3784</v>
      </c>
      <c r="D29715" s="21" t="s">
        <v>34</v>
      </c>
      <c r="E29715" s="21" t="s">
        <v>1089</v>
      </c>
      <c r="F29715">
        <v>8950330</v>
      </c>
      <c r="G29715" t="s">
        <v>794</v>
      </c>
      <c r="H29715" s="21">
        <v>556.66999999999996</v>
      </c>
    </row>
    <row r="29716" spans="1:8" customFormat="1" x14ac:dyDescent="0.25">
      <c r="A29716" t="str">
        <f>"307238"</f>
        <v>307238</v>
      </c>
      <c r="B29716" t="s">
        <v>28093</v>
      </c>
      <c r="C29716" t="s">
        <v>664</v>
      </c>
      <c r="D29716" s="21" t="s">
        <v>34</v>
      </c>
      <c r="E29716" s="21" t="s">
        <v>71</v>
      </c>
      <c r="F29716">
        <v>12440266</v>
      </c>
      <c r="G29716" t="s">
        <v>924</v>
      </c>
      <c r="H29716" s="21">
        <v>556.66999999999996</v>
      </c>
    </row>
    <row r="29717" spans="1:8" customFormat="1" x14ac:dyDescent="0.25">
      <c r="A29717" t="str">
        <f>"5964194"</f>
        <v>5964194</v>
      </c>
      <c r="B29717" t="s">
        <v>21568</v>
      </c>
      <c r="C29717" t="s">
        <v>55</v>
      </c>
      <c r="D29717" s="21" t="s">
        <v>34</v>
      </c>
      <c r="E29717" s="21" t="s">
        <v>71</v>
      </c>
      <c r="F29717">
        <v>7590003</v>
      </c>
      <c r="G29717" t="s">
        <v>1166</v>
      </c>
      <c r="H29717" s="21">
        <v>556.66999999999996</v>
      </c>
    </row>
    <row r="29718" spans="1:8" customFormat="1" x14ac:dyDescent="0.25">
      <c r="A29718" t="str">
        <f>"4454727"</f>
        <v>4454727</v>
      </c>
      <c r="B29718" t="s">
        <v>12448</v>
      </c>
      <c r="C29718" t="s">
        <v>528</v>
      </c>
      <c r="D29718" s="21" t="s">
        <v>34</v>
      </c>
      <c r="E29718" s="21" t="s">
        <v>71</v>
      </c>
      <c r="F29718">
        <v>12440014</v>
      </c>
      <c r="G29718" t="s">
        <v>6767</v>
      </c>
      <c r="H29718" s="21">
        <v>556.66999999999996</v>
      </c>
    </row>
    <row r="29719" spans="1:8" customFormat="1" x14ac:dyDescent="0.25">
      <c r="A29719" t="str">
        <f>"5911262"</f>
        <v>5911262</v>
      </c>
      <c r="B29719" t="s">
        <v>9802</v>
      </c>
      <c r="C29719" t="s">
        <v>3073</v>
      </c>
      <c r="D29719" s="21" t="s">
        <v>34</v>
      </c>
      <c r="E29719" s="21" t="s">
        <v>1089</v>
      </c>
      <c r="F29719">
        <v>7590235</v>
      </c>
      <c r="G29719" t="s">
        <v>5121</v>
      </c>
      <c r="H29719" s="21">
        <v>556.66999999999996</v>
      </c>
    </row>
    <row r="29720" spans="1:8" customFormat="1" x14ac:dyDescent="0.25">
      <c r="A29720" t="str">
        <f>"6926154"</f>
        <v>6926154</v>
      </c>
      <c r="B29720" t="s">
        <v>23063</v>
      </c>
      <c r="C29720" t="s">
        <v>169</v>
      </c>
      <c r="D29720" s="21" t="s">
        <v>34</v>
      </c>
      <c r="E29720" s="21" t="s">
        <v>35</v>
      </c>
      <c r="F29720">
        <v>1690221</v>
      </c>
      <c r="G29720" t="s">
        <v>303</v>
      </c>
      <c r="H29720" s="21">
        <v>556.66999999999996</v>
      </c>
    </row>
    <row r="29721" spans="1:8" customFormat="1" x14ac:dyDescent="0.25">
      <c r="A29721" t="str">
        <f>"2937355"</f>
        <v>2937355</v>
      </c>
      <c r="B29721" t="s">
        <v>18612</v>
      </c>
      <c r="C29721" t="s">
        <v>22287</v>
      </c>
      <c r="D29721" s="21" t="s">
        <v>34</v>
      </c>
      <c r="E29721" s="21" t="s">
        <v>35</v>
      </c>
      <c r="F29721">
        <v>3290229</v>
      </c>
      <c r="G29721" t="s">
        <v>408</v>
      </c>
      <c r="H29721" s="21">
        <v>556.66999999999996</v>
      </c>
    </row>
    <row r="29722" spans="1:8" customFormat="1" x14ac:dyDescent="0.25">
      <c r="A29722" t="str">
        <f>"07837"</f>
        <v>07837</v>
      </c>
      <c r="B29722" t="s">
        <v>19457</v>
      </c>
      <c r="C29722" t="s">
        <v>598</v>
      </c>
      <c r="D29722" s="21" t="s">
        <v>34</v>
      </c>
      <c r="E29722" s="21" t="s">
        <v>1089</v>
      </c>
      <c r="F29722">
        <v>1260034</v>
      </c>
      <c r="G29722" t="s">
        <v>1884</v>
      </c>
      <c r="H29722" s="21">
        <v>556.66999999999996</v>
      </c>
    </row>
    <row r="29723" spans="1:8" customFormat="1" x14ac:dyDescent="0.25">
      <c r="A29723" t="str">
        <f>"5731178"</f>
        <v>5731178</v>
      </c>
      <c r="B29723" t="s">
        <v>9102</v>
      </c>
      <c r="C29723" t="s">
        <v>87</v>
      </c>
      <c r="D29723" s="21" t="s">
        <v>34</v>
      </c>
      <c r="E29723" s="21" t="s">
        <v>71</v>
      </c>
      <c r="F29723">
        <v>6570015</v>
      </c>
      <c r="G29723" t="s">
        <v>749</v>
      </c>
      <c r="H29723" s="21">
        <v>556.66999999999996</v>
      </c>
    </row>
    <row r="29724" spans="1:8" customFormat="1" x14ac:dyDescent="0.25">
      <c r="A29724" t="str">
        <f>"124380"</f>
        <v>124380</v>
      </c>
      <c r="B29724" t="s">
        <v>11531</v>
      </c>
      <c r="C29724" t="s">
        <v>90</v>
      </c>
      <c r="D29724" s="21" t="s">
        <v>34</v>
      </c>
      <c r="E29724" s="21" t="s">
        <v>35</v>
      </c>
      <c r="F29724">
        <v>11120025</v>
      </c>
      <c r="G29724" t="s">
        <v>10943</v>
      </c>
      <c r="H29724" s="21">
        <v>556.66999999999996</v>
      </c>
    </row>
    <row r="29725" spans="1:8" customFormat="1" x14ac:dyDescent="0.25">
      <c r="A29725" t="str">
        <f>"7413093"</f>
        <v>7413093</v>
      </c>
      <c r="B29725" t="s">
        <v>2313</v>
      </c>
      <c r="C29725" t="s">
        <v>21241</v>
      </c>
      <c r="D29725" s="21" t="s">
        <v>34</v>
      </c>
      <c r="E29725" s="21" t="s">
        <v>71</v>
      </c>
      <c r="F29725">
        <v>1740003</v>
      </c>
      <c r="G29725" t="s">
        <v>982</v>
      </c>
      <c r="H29725" s="21">
        <v>556.66999999999996</v>
      </c>
    </row>
    <row r="29726" spans="1:8" customFormat="1" x14ac:dyDescent="0.25">
      <c r="A29726" t="str">
        <f>"6110109"</f>
        <v>6110109</v>
      </c>
      <c r="B29726" t="s">
        <v>1456</v>
      </c>
      <c r="C29726" t="s">
        <v>2546</v>
      </c>
      <c r="D29726" s="21" t="s">
        <v>34</v>
      </c>
      <c r="E29726" s="21" t="s">
        <v>35</v>
      </c>
      <c r="F29726">
        <v>9610130</v>
      </c>
      <c r="G29726" t="s">
        <v>18435</v>
      </c>
      <c r="H29726" s="21">
        <v>556.66999999999996</v>
      </c>
    </row>
    <row r="29727" spans="1:8" customFormat="1" x14ac:dyDescent="0.25">
      <c r="A29727" t="str">
        <f>"6314037"</f>
        <v>6314037</v>
      </c>
      <c r="B29727" t="s">
        <v>983</v>
      </c>
      <c r="C29727" t="s">
        <v>2276</v>
      </c>
      <c r="D29727" s="21" t="s">
        <v>34</v>
      </c>
      <c r="E29727" s="21" t="s">
        <v>71</v>
      </c>
      <c r="F29727">
        <v>1630303</v>
      </c>
      <c r="G29727" t="s">
        <v>8915</v>
      </c>
      <c r="H29727" s="21">
        <v>556.66999999999996</v>
      </c>
    </row>
    <row r="29728" spans="1:8" customFormat="1" x14ac:dyDescent="0.25">
      <c r="A29728" t="str">
        <f>"404191"</f>
        <v>404191</v>
      </c>
      <c r="B29728" t="s">
        <v>1442</v>
      </c>
      <c r="C29728" t="s">
        <v>415</v>
      </c>
      <c r="D29728" s="21" t="s">
        <v>34</v>
      </c>
      <c r="E29728" s="21" t="s">
        <v>71</v>
      </c>
      <c r="F29728">
        <v>10400018</v>
      </c>
      <c r="G29728" t="s">
        <v>12851</v>
      </c>
      <c r="H29728" s="21">
        <v>556.66999999999996</v>
      </c>
    </row>
    <row r="29729" spans="1:8" customFormat="1" x14ac:dyDescent="0.25">
      <c r="A29729" t="str">
        <f>"7428"</f>
        <v>7428</v>
      </c>
      <c r="B29729" t="s">
        <v>19110</v>
      </c>
      <c r="C29729" t="s">
        <v>598</v>
      </c>
      <c r="D29729" s="21" t="s">
        <v>34</v>
      </c>
      <c r="E29729" s="21" t="s">
        <v>1089</v>
      </c>
      <c r="F29729">
        <v>1740001</v>
      </c>
      <c r="G29729" t="s">
        <v>347</v>
      </c>
      <c r="H29729" s="21">
        <v>556.66999999999996</v>
      </c>
    </row>
    <row r="29730" spans="1:8" customFormat="1" x14ac:dyDescent="0.25">
      <c r="A29730" t="str">
        <f>"23453"</f>
        <v>23453</v>
      </c>
      <c r="B29730" t="s">
        <v>10528</v>
      </c>
      <c r="C29730" t="s">
        <v>169</v>
      </c>
      <c r="D29730" s="21" t="s">
        <v>34</v>
      </c>
      <c r="E29730" s="21" t="s">
        <v>71</v>
      </c>
      <c r="F29730">
        <v>10230111</v>
      </c>
      <c r="G29730" t="s">
        <v>1980</v>
      </c>
      <c r="H29730" s="21">
        <v>556.66999999999996</v>
      </c>
    </row>
    <row r="29731" spans="1:8" customFormat="1" x14ac:dyDescent="0.25">
      <c r="A29731" t="str">
        <f>"5724608"</f>
        <v>5724608</v>
      </c>
      <c r="B29731" t="s">
        <v>20786</v>
      </c>
      <c r="C29731" t="s">
        <v>812</v>
      </c>
      <c r="D29731" s="21" t="s">
        <v>34</v>
      </c>
      <c r="E29731" s="21" t="s">
        <v>35</v>
      </c>
      <c r="F29731">
        <v>1630121</v>
      </c>
      <c r="G29731" t="s">
        <v>3663</v>
      </c>
      <c r="H29731" s="21">
        <v>556.66999999999996</v>
      </c>
    </row>
    <row r="29732" spans="1:8" customFormat="1" x14ac:dyDescent="0.25">
      <c r="A29732" t="str">
        <f>"3527874"</f>
        <v>3527874</v>
      </c>
      <c r="B29732" t="s">
        <v>21965</v>
      </c>
      <c r="C29732" t="s">
        <v>209</v>
      </c>
      <c r="D29732" s="21" t="s">
        <v>34</v>
      </c>
      <c r="E29732" s="21" t="s">
        <v>71</v>
      </c>
      <c r="F29732">
        <v>3350210</v>
      </c>
      <c r="G29732" t="s">
        <v>12171</v>
      </c>
      <c r="H29732" s="21">
        <v>556.66999999999996</v>
      </c>
    </row>
    <row r="29733" spans="1:8" customFormat="1" x14ac:dyDescent="0.25">
      <c r="A29733" t="str">
        <f>"4426616"</f>
        <v>4426616</v>
      </c>
      <c r="B29733" t="s">
        <v>21204</v>
      </c>
      <c r="C29733" t="s">
        <v>462</v>
      </c>
      <c r="D29733" s="21" t="s">
        <v>34</v>
      </c>
      <c r="E29733" s="21" t="s">
        <v>254</v>
      </c>
      <c r="F29733">
        <v>12440149</v>
      </c>
      <c r="G29733" t="s">
        <v>15804</v>
      </c>
      <c r="H29733" s="21">
        <v>556.66999999999996</v>
      </c>
    </row>
    <row r="29734" spans="1:8" customFormat="1" x14ac:dyDescent="0.25">
      <c r="A29734" t="str">
        <f>"3719912"</f>
        <v>3719912</v>
      </c>
      <c r="B29734" t="s">
        <v>1500</v>
      </c>
      <c r="C29734" t="s">
        <v>209</v>
      </c>
      <c r="D29734" s="21" t="s">
        <v>34</v>
      </c>
      <c r="E29734" s="21" t="s">
        <v>71</v>
      </c>
      <c r="F29734">
        <v>4370349</v>
      </c>
      <c r="G29734" t="s">
        <v>2287</v>
      </c>
      <c r="H29734" s="21">
        <v>556.66999999999996</v>
      </c>
    </row>
    <row r="29735" spans="1:8" customFormat="1" x14ac:dyDescent="0.25">
      <c r="A29735" t="str">
        <f>"2922428"</f>
        <v>2922428</v>
      </c>
      <c r="B29735" t="s">
        <v>19819</v>
      </c>
      <c r="C29735" t="s">
        <v>3784</v>
      </c>
      <c r="D29735" s="21" t="s">
        <v>34</v>
      </c>
      <c r="E29735" s="21" t="s">
        <v>1089</v>
      </c>
      <c r="F29735">
        <v>4360454</v>
      </c>
      <c r="G29735" t="s">
        <v>637</v>
      </c>
      <c r="H29735" s="21">
        <v>556.66999999999996</v>
      </c>
    </row>
    <row r="29736" spans="1:8" customFormat="1" x14ac:dyDescent="0.25">
      <c r="A29736" t="str">
        <f>"4517516"</f>
        <v>4517516</v>
      </c>
      <c r="B29736" t="s">
        <v>4643</v>
      </c>
      <c r="C29736" t="s">
        <v>114</v>
      </c>
      <c r="D29736" s="21" t="s">
        <v>34</v>
      </c>
      <c r="E29736" s="21" t="s">
        <v>71</v>
      </c>
      <c r="F29736">
        <v>4450748</v>
      </c>
      <c r="G29736" t="s">
        <v>22902</v>
      </c>
      <c r="H29736" s="21">
        <v>556.66999999999996</v>
      </c>
    </row>
    <row r="29737" spans="1:8" customFormat="1" x14ac:dyDescent="0.25">
      <c r="A29737" t="str">
        <f>"7852199"</f>
        <v>7852199</v>
      </c>
      <c r="B29737" t="s">
        <v>20579</v>
      </c>
      <c r="C29737" t="s">
        <v>269</v>
      </c>
      <c r="D29737" s="21" t="s">
        <v>34</v>
      </c>
      <c r="E29737" s="21" t="s">
        <v>71</v>
      </c>
      <c r="F29737">
        <v>8780002</v>
      </c>
      <c r="G29737" t="s">
        <v>2196</v>
      </c>
      <c r="H29737" s="21">
        <v>556.29</v>
      </c>
    </row>
    <row r="29738" spans="1:8" customFormat="1" x14ac:dyDescent="0.25">
      <c r="A29738" t="str">
        <f>"1716926"</f>
        <v>1716926</v>
      </c>
      <c r="B29738" t="s">
        <v>20583</v>
      </c>
      <c r="C29738" t="s">
        <v>5232</v>
      </c>
      <c r="D29738" s="21" t="s">
        <v>34</v>
      </c>
      <c r="E29738" s="21" t="s">
        <v>35</v>
      </c>
      <c r="F29738">
        <v>10170016</v>
      </c>
      <c r="G29738" t="s">
        <v>88</v>
      </c>
      <c r="H29738" s="21">
        <v>556.16999999999996</v>
      </c>
    </row>
    <row r="29739" spans="1:8" customFormat="1" x14ac:dyDescent="0.25">
      <c r="A29739" t="str">
        <f>"5013132"</f>
        <v>5013132</v>
      </c>
      <c r="B29739" t="s">
        <v>5027</v>
      </c>
      <c r="C29739" t="s">
        <v>3073</v>
      </c>
      <c r="D29739" s="21" t="s">
        <v>34</v>
      </c>
      <c r="E29739" s="21" t="s">
        <v>1089</v>
      </c>
      <c r="F29739">
        <v>9500143</v>
      </c>
      <c r="G29739" t="s">
        <v>2884</v>
      </c>
      <c r="H29739" s="21">
        <v>556.16999999999996</v>
      </c>
    </row>
    <row r="29740" spans="1:8" customFormat="1" x14ac:dyDescent="0.25">
      <c r="A29740" t="str">
        <f>"9142817"</f>
        <v>9142817</v>
      </c>
      <c r="B29740" t="s">
        <v>14244</v>
      </c>
      <c r="C29740" t="s">
        <v>121</v>
      </c>
      <c r="D29740" s="21" t="s">
        <v>34</v>
      </c>
      <c r="E29740" s="21" t="s">
        <v>35</v>
      </c>
      <c r="F29740">
        <v>8910916</v>
      </c>
      <c r="G29740" t="s">
        <v>2251</v>
      </c>
      <c r="H29740" s="21">
        <v>556.16999999999996</v>
      </c>
    </row>
    <row r="29741" spans="1:8" customFormat="1" x14ac:dyDescent="0.25">
      <c r="A29741" t="str">
        <f>"3014227"</f>
        <v>3014227</v>
      </c>
      <c r="B29741" t="s">
        <v>4583</v>
      </c>
      <c r="C29741" t="s">
        <v>12593</v>
      </c>
      <c r="D29741" s="21" t="s">
        <v>34</v>
      </c>
      <c r="E29741" s="21" t="s">
        <v>35</v>
      </c>
      <c r="F29741">
        <v>11300022</v>
      </c>
      <c r="G29741" t="s">
        <v>22534</v>
      </c>
      <c r="H29741" s="21">
        <v>556.16999999999996</v>
      </c>
    </row>
    <row r="29742" spans="1:8" customFormat="1" x14ac:dyDescent="0.25">
      <c r="A29742" t="str">
        <f>"9434262"</f>
        <v>9434262</v>
      </c>
      <c r="B29742" t="s">
        <v>23585</v>
      </c>
      <c r="C29742" t="s">
        <v>40</v>
      </c>
      <c r="D29742" s="21" t="s">
        <v>34</v>
      </c>
      <c r="E29742" s="21" t="s">
        <v>71</v>
      </c>
      <c r="F29742">
        <v>8940926</v>
      </c>
      <c r="G29742" t="s">
        <v>4065</v>
      </c>
      <c r="H29742" s="21">
        <v>556.16999999999996</v>
      </c>
    </row>
    <row r="29743" spans="1:8" customFormat="1" x14ac:dyDescent="0.25">
      <c r="A29743" t="str">
        <f>"1419300"</f>
        <v>1419300</v>
      </c>
      <c r="B29743" t="s">
        <v>5292</v>
      </c>
      <c r="C29743" t="s">
        <v>415</v>
      </c>
      <c r="D29743" s="21" t="s">
        <v>34</v>
      </c>
      <c r="E29743" s="21" t="s">
        <v>1089</v>
      </c>
      <c r="F29743">
        <v>9140063</v>
      </c>
      <c r="G29743" t="s">
        <v>4764</v>
      </c>
      <c r="H29743" s="21">
        <v>556.16999999999996</v>
      </c>
    </row>
    <row r="29744" spans="1:8" customFormat="1" x14ac:dyDescent="0.25">
      <c r="A29744" t="str">
        <f>"7639849"</f>
        <v>7639849</v>
      </c>
      <c r="B29744" t="s">
        <v>3952</v>
      </c>
      <c r="C29744" t="s">
        <v>60</v>
      </c>
      <c r="D29744" s="21" t="s">
        <v>34</v>
      </c>
      <c r="E29744" s="21" t="s">
        <v>35</v>
      </c>
      <c r="F29744">
        <v>9760391</v>
      </c>
      <c r="G29744" t="s">
        <v>10757</v>
      </c>
      <c r="H29744" s="21">
        <v>556.16999999999996</v>
      </c>
    </row>
    <row r="29745" spans="1:8" customFormat="1" x14ac:dyDescent="0.25">
      <c r="A29745" t="str">
        <f>"9520828"</f>
        <v>9520828</v>
      </c>
      <c r="B29745" t="s">
        <v>17668</v>
      </c>
      <c r="C29745" t="s">
        <v>997</v>
      </c>
      <c r="D29745" s="21" t="s">
        <v>34</v>
      </c>
      <c r="E29745" s="21" t="s">
        <v>71</v>
      </c>
      <c r="F29745">
        <v>8770937</v>
      </c>
      <c r="G29745" t="s">
        <v>2119</v>
      </c>
      <c r="H29745" s="21">
        <v>556.16999999999996</v>
      </c>
    </row>
    <row r="29746" spans="1:8" customFormat="1" x14ac:dyDescent="0.25">
      <c r="A29746" t="str">
        <f>"797479"</f>
        <v>797479</v>
      </c>
      <c r="B29746" t="s">
        <v>5932</v>
      </c>
      <c r="C29746" t="s">
        <v>598</v>
      </c>
      <c r="D29746" s="21" t="s">
        <v>34</v>
      </c>
      <c r="E29746" s="21" t="s">
        <v>254</v>
      </c>
      <c r="F29746">
        <v>3220123</v>
      </c>
      <c r="G29746" t="s">
        <v>26953</v>
      </c>
      <c r="H29746" s="21">
        <v>556.16999999999996</v>
      </c>
    </row>
    <row r="29747" spans="1:8" customFormat="1" x14ac:dyDescent="0.25">
      <c r="A29747" t="str">
        <f>"5429048"</f>
        <v>5429048</v>
      </c>
      <c r="B29747" t="s">
        <v>21084</v>
      </c>
      <c r="C29747" t="s">
        <v>119</v>
      </c>
      <c r="D29747" s="21" t="s">
        <v>34</v>
      </c>
      <c r="E29747" s="21" t="s">
        <v>71</v>
      </c>
      <c r="F29747">
        <v>6540157</v>
      </c>
      <c r="G29747" t="s">
        <v>10647</v>
      </c>
      <c r="H29747" s="21">
        <v>556.16999999999996</v>
      </c>
    </row>
    <row r="29748" spans="1:8" customFormat="1" x14ac:dyDescent="0.25">
      <c r="A29748" t="str">
        <f>"6221487"</f>
        <v>6221487</v>
      </c>
      <c r="B29748" t="s">
        <v>20751</v>
      </c>
      <c r="C29748" t="s">
        <v>267</v>
      </c>
      <c r="D29748" s="21" t="s">
        <v>34</v>
      </c>
      <c r="E29748" s="21" t="s">
        <v>1089</v>
      </c>
      <c r="F29748">
        <v>7620064</v>
      </c>
      <c r="G29748" t="s">
        <v>2266</v>
      </c>
      <c r="H29748" s="21">
        <v>556.16999999999996</v>
      </c>
    </row>
    <row r="29749" spans="1:8" customFormat="1" x14ac:dyDescent="0.25">
      <c r="A29749" t="str">
        <f>"7724334"</f>
        <v>7724334</v>
      </c>
      <c r="B29749" t="s">
        <v>12030</v>
      </c>
      <c r="C29749" t="s">
        <v>246</v>
      </c>
      <c r="D29749" s="21" t="s">
        <v>34</v>
      </c>
      <c r="E29749" s="21" t="s">
        <v>254</v>
      </c>
      <c r="F29749">
        <v>8771184</v>
      </c>
      <c r="G29749" t="s">
        <v>137</v>
      </c>
      <c r="H29749" s="21">
        <v>556.16999999999996</v>
      </c>
    </row>
    <row r="29750" spans="1:8" customFormat="1" x14ac:dyDescent="0.25">
      <c r="A29750" t="str">
        <f>"4443523"</f>
        <v>4443523</v>
      </c>
      <c r="B29750" t="s">
        <v>3546</v>
      </c>
      <c r="C29750" t="s">
        <v>269</v>
      </c>
      <c r="D29750" s="21" t="s">
        <v>34</v>
      </c>
      <c r="E29750" s="21" t="s">
        <v>71</v>
      </c>
      <c r="F29750">
        <v>12440141</v>
      </c>
      <c r="G29750" t="s">
        <v>3234</v>
      </c>
      <c r="H29750" s="21">
        <v>556.16999999999996</v>
      </c>
    </row>
    <row r="29751" spans="1:8" customFormat="1" x14ac:dyDescent="0.25">
      <c r="A29751" t="str">
        <f>"623244"</f>
        <v>623244</v>
      </c>
      <c r="B29751" t="s">
        <v>17208</v>
      </c>
      <c r="C29751" t="s">
        <v>239</v>
      </c>
      <c r="D29751" s="21" t="s">
        <v>34</v>
      </c>
      <c r="E29751" s="21" t="s">
        <v>1089</v>
      </c>
      <c r="F29751">
        <v>7620061</v>
      </c>
      <c r="G29751" t="s">
        <v>4448</v>
      </c>
      <c r="H29751" s="21">
        <v>556.16999999999996</v>
      </c>
    </row>
    <row r="29752" spans="1:8" customFormat="1" x14ac:dyDescent="0.25">
      <c r="A29752" t="str">
        <f>"2937831"</f>
        <v>2937831</v>
      </c>
      <c r="B29752" t="s">
        <v>21498</v>
      </c>
      <c r="C29752" t="s">
        <v>156</v>
      </c>
      <c r="D29752" s="21" t="s">
        <v>34</v>
      </c>
      <c r="E29752" s="21" t="s">
        <v>254</v>
      </c>
      <c r="F29752">
        <v>3290232</v>
      </c>
      <c r="G29752" t="s">
        <v>9588</v>
      </c>
      <c r="H29752" s="21">
        <v>556.16999999999996</v>
      </c>
    </row>
    <row r="29753" spans="1:8" customFormat="1" x14ac:dyDescent="0.25">
      <c r="A29753" t="str">
        <f>"401434"</f>
        <v>401434</v>
      </c>
      <c r="B29753" t="s">
        <v>21574</v>
      </c>
      <c r="C29753" t="s">
        <v>2520</v>
      </c>
      <c r="D29753" s="21" t="s">
        <v>34</v>
      </c>
      <c r="E29753" s="21" t="s">
        <v>254</v>
      </c>
      <c r="F29753">
        <v>10400001</v>
      </c>
      <c r="G29753" t="s">
        <v>609</v>
      </c>
      <c r="H29753" s="21">
        <v>556.16999999999996</v>
      </c>
    </row>
    <row r="29754" spans="1:8" customFormat="1" x14ac:dyDescent="0.25">
      <c r="A29754" t="str">
        <f>"254449"</f>
        <v>254449</v>
      </c>
      <c r="B29754" t="s">
        <v>1974</v>
      </c>
      <c r="C29754" t="s">
        <v>209</v>
      </c>
      <c r="D29754" s="21" t="s">
        <v>34</v>
      </c>
      <c r="E29754" s="21" t="s">
        <v>71</v>
      </c>
      <c r="F29754">
        <v>2250176</v>
      </c>
      <c r="G29754" t="s">
        <v>7261</v>
      </c>
      <c r="H29754" s="21">
        <v>556.16999999999996</v>
      </c>
    </row>
    <row r="29755" spans="1:8" customFormat="1" x14ac:dyDescent="0.25">
      <c r="A29755" t="str">
        <f>"72936"</f>
        <v>72936</v>
      </c>
      <c r="B29755" t="s">
        <v>13540</v>
      </c>
      <c r="C29755" t="s">
        <v>267</v>
      </c>
      <c r="D29755" s="21" t="s">
        <v>34</v>
      </c>
      <c r="E29755" s="21" t="s">
        <v>254</v>
      </c>
      <c r="F29755">
        <v>12720141</v>
      </c>
      <c r="G29755" t="s">
        <v>12632</v>
      </c>
      <c r="H29755" s="21">
        <v>556.16999999999996</v>
      </c>
    </row>
    <row r="29756" spans="1:8" customFormat="1" x14ac:dyDescent="0.25">
      <c r="A29756" t="str">
        <f>"5323199"</f>
        <v>5323199</v>
      </c>
      <c r="B29756" t="s">
        <v>9896</v>
      </c>
      <c r="C29756" t="s">
        <v>40</v>
      </c>
      <c r="D29756" s="21" t="s">
        <v>34</v>
      </c>
      <c r="E29756" s="21" t="s">
        <v>71</v>
      </c>
      <c r="F29756">
        <v>12538900</v>
      </c>
      <c r="G29756" t="s">
        <v>14904</v>
      </c>
      <c r="H29756" s="21">
        <v>556.16999999999996</v>
      </c>
    </row>
    <row r="29757" spans="1:8" customFormat="1" x14ac:dyDescent="0.25">
      <c r="A29757" t="str">
        <f>"2218926"</f>
        <v>2218926</v>
      </c>
      <c r="B29757" t="s">
        <v>22351</v>
      </c>
      <c r="C29757" t="s">
        <v>249</v>
      </c>
      <c r="D29757" s="21" t="s">
        <v>34</v>
      </c>
      <c r="E29757" s="21" t="s">
        <v>254</v>
      </c>
      <c r="F29757">
        <v>3220041</v>
      </c>
      <c r="G29757" t="s">
        <v>27133</v>
      </c>
      <c r="H29757" s="21">
        <v>556.16999999999996</v>
      </c>
    </row>
    <row r="29758" spans="1:8" customFormat="1" x14ac:dyDescent="0.25">
      <c r="A29758" t="str">
        <f>"7918354"</f>
        <v>7918354</v>
      </c>
      <c r="B29758" t="s">
        <v>97</v>
      </c>
      <c r="C29758" t="s">
        <v>263</v>
      </c>
      <c r="D29758" s="21" t="s">
        <v>34</v>
      </c>
      <c r="E29758" s="21" t="s">
        <v>35</v>
      </c>
      <c r="F29758">
        <v>10790025</v>
      </c>
      <c r="G29758" t="s">
        <v>1218</v>
      </c>
      <c r="H29758" s="21">
        <v>556.04</v>
      </c>
    </row>
    <row r="29759" spans="1:8" customFormat="1" x14ac:dyDescent="0.25">
      <c r="A29759" t="str">
        <f>"7732191"</f>
        <v>7732191</v>
      </c>
      <c r="B29759" t="s">
        <v>28168</v>
      </c>
      <c r="C29759" t="s">
        <v>8198</v>
      </c>
      <c r="D29759" s="21" t="s">
        <v>34</v>
      </c>
      <c r="E29759" s="21" t="s">
        <v>35</v>
      </c>
      <c r="F29759">
        <v>8770237</v>
      </c>
      <c r="G29759" t="s">
        <v>128</v>
      </c>
      <c r="H29759" s="21">
        <v>556</v>
      </c>
    </row>
    <row r="29760" spans="1:8" customFormat="1" x14ac:dyDescent="0.25">
      <c r="A29760" t="str">
        <f>"1426701"</f>
        <v>1426701</v>
      </c>
      <c r="B29760" t="s">
        <v>27971</v>
      </c>
      <c r="C29760" t="s">
        <v>926</v>
      </c>
      <c r="D29760" s="21" t="s">
        <v>34</v>
      </c>
      <c r="E29760" s="21" t="s">
        <v>35</v>
      </c>
      <c r="F29760">
        <v>9140115</v>
      </c>
      <c r="G29760" t="s">
        <v>26590</v>
      </c>
      <c r="H29760" s="21">
        <v>556</v>
      </c>
    </row>
    <row r="29761" spans="1:8" customFormat="1" x14ac:dyDescent="0.25">
      <c r="A29761" t="str">
        <f>"4457064"</f>
        <v>4457064</v>
      </c>
      <c r="B29761" t="s">
        <v>4128</v>
      </c>
      <c r="C29761" t="s">
        <v>1665</v>
      </c>
      <c r="D29761" s="21" t="s">
        <v>34</v>
      </c>
      <c r="E29761" s="21" t="s">
        <v>254</v>
      </c>
      <c r="F29761">
        <v>12440116</v>
      </c>
      <c r="G29761" t="s">
        <v>26673</v>
      </c>
      <c r="H29761" s="21">
        <v>556</v>
      </c>
    </row>
    <row r="29762" spans="1:8" customFormat="1" x14ac:dyDescent="0.25">
      <c r="A29762" t="str">
        <f>"5979461"</f>
        <v>5979461</v>
      </c>
      <c r="B29762" t="s">
        <v>21977</v>
      </c>
      <c r="C29762" t="s">
        <v>507</v>
      </c>
      <c r="D29762" s="21" t="s">
        <v>34</v>
      </c>
      <c r="E29762" s="21" t="s">
        <v>35</v>
      </c>
      <c r="F29762">
        <v>7590069</v>
      </c>
      <c r="G29762" t="s">
        <v>7225</v>
      </c>
      <c r="H29762" s="21">
        <v>555.91999999999996</v>
      </c>
    </row>
    <row r="29763" spans="1:8" customFormat="1" x14ac:dyDescent="0.25">
      <c r="A29763" t="str">
        <f>"4439687"</f>
        <v>4439687</v>
      </c>
      <c r="B29763" t="s">
        <v>1143</v>
      </c>
      <c r="C29763" t="s">
        <v>328</v>
      </c>
      <c r="D29763" s="21" t="s">
        <v>34</v>
      </c>
      <c r="E29763" s="21" t="s">
        <v>35</v>
      </c>
      <c r="F29763">
        <v>12440004</v>
      </c>
      <c r="G29763" t="s">
        <v>26530</v>
      </c>
      <c r="H29763" s="21">
        <v>555.91999999999996</v>
      </c>
    </row>
    <row r="29764" spans="1:8" customFormat="1" x14ac:dyDescent="0.25">
      <c r="A29764" t="str">
        <f>"2112424"</f>
        <v>2112424</v>
      </c>
      <c r="B29764" t="s">
        <v>2930</v>
      </c>
      <c r="C29764" t="s">
        <v>2479</v>
      </c>
      <c r="D29764" s="21" t="s">
        <v>34</v>
      </c>
      <c r="E29764" s="21" t="s">
        <v>71</v>
      </c>
      <c r="F29764">
        <v>2210123</v>
      </c>
      <c r="G29764" t="s">
        <v>11231</v>
      </c>
      <c r="H29764" s="21">
        <v>555.79</v>
      </c>
    </row>
    <row r="29765" spans="1:8" customFormat="1" x14ac:dyDescent="0.25">
      <c r="A29765" t="str">
        <f>"6313452"</f>
        <v>6313452</v>
      </c>
      <c r="B29765" t="s">
        <v>18724</v>
      </c>
      <c r="C29765" t="s">
        <v>598</v>
      </c>
      <c r="D29765" s="21" t="s">
        <v>34</v>
      </c>
      <c r="E29765" s="21" t="s">
        <v>254</v>
      </c>
      <c r="F29765">
        <v>1630123</v>
      </c>
      <c r="G29765" t="s">
        <v>1036</v>
      </c>
      <c r="H29765" s="21">
        <v>555.66999999999996</v>
      </c>
    </row>
    <row r="29766" spans="1:8" customFormat="1" x14ac:dyDescent="0.25">
      <c r="A29766" t="str">
        <f>"335983"</f>
        <v>335983</v>
      </c>
      <c r="B29766" t="s">
        <v>20958</v>
      </c>
      <c r="C29766" t="s">
        <v>3109</v>
      </c>
      <c r="D29766" s="21" t="s">
        <v>34</v>
      </c>
      <c r="E29766" s="21" t="s">
        <v>254</v>
      </c>
      <c r="F29766">
        <v>10330117</v>
      </c>
      <c r="G29766" t="s">
        <v>1942</v>
      </c>
      <c r="H29766" s="21">
        <v>555.66999999999996</v>
      </c>
    </row>
    <row r="29767" spans="1:8" customFormat="1" x14ac:dyDescent="0.25">
      <c r="A29767" t="str">
        <f>"7625292"</f>
        <v>7625292</v>
      </c>
      <c r="B29767" t="s">
        <v>3146</v>
      </c>
      <c r="C29767" t="s">
        <v>60</v>
      </c>
      <c r="D29767" s="21" t="s">
        <v>34</v>
      </c>
      <c r="E29767" s="21" t="s">
        <v>35</v>
      </c>
      <c r="F29767">
        <v>9760206</v>
      </c>
      <c r="G29767" t="s">
        <v>13046</v>
      </c>
      <c r="H29767" s="21">
        <v>555.66999999999996</v>
      </c>
    </row>
    <row r="29768" spans="1:8" customFormat="1" x14ac:dyDescent="0.25">
      <c r="A29768" t="str">
        <f>"5317657"</f>
        <v>5317657</v>
      </c>
      <c r="B29768" t="s">
        <v>4954</v>
      </c>
      <c r="C29768" t="s">
        <v>1615</v>
      </c>
      <c r="D29768" s="21" t="s">
        <v>34</v>
      </c>
      <c r="E29768" s="21" t="s">
        <v>71</v>
      </c>
      <c r="F29768">
        <v>12530063</v>
      </c>
      <c r="G29768" t="s">
        <v>4313</v>
      </c>
      <c r="H29768" s="21">
        <v>555.66999999999996</v>
      </c>
    </row>
    <row r="29769" spans="1:8" customFormat="1" x14ac:dyDescent="0.25">
      <c r="A29769" t="str">
        <f>"7622074"</f>
        <v>7622074</v>
      </c>
      <c r="B29769" t="s">
        <v>2954</v>
      </c>
      <c r="C29769" t="s">
        <v>719</v>
      </c>
      <c r="D29769" s="21" t="s">
        <v>34</v>
      </c>
      <c r="E29769" s="21" t="s">
        <v>35</v>
      </c>
      <c r="F29769">
        <v>9760286</v>
      </c>
      <c r="G29769" t="s">
        <v>11559</v>
      </c>
      <c r="H29769" s="21">
        <v>555.66999999999996</v>
      </c>
    </row>
    <row r="29770" spans="1:8" customFormat="1" x14ac:dyDescent="0.25">
      <c r="A29770" t="str">
        <f>"5622074"</f>
        <v>5622074</v>
      </c>
      <c r="B29770" t="s">
        <v>8539</v>
      </c>
      <c r="C29770" t="s">
        <v>486</v>
      </c>
      <c r="D29770" s="21" t="s">
        <v>34</v>
      </c>
      <c r="E29770" s="21" t="s">
        <v>35</v>
      </c>
      <c r="F29770">
        <v>3560036</v>
      </c>
      <c r="G29770" t="s">
        <v>910</v>
      </c>
      <c r="H29770" s="21">
        <v>555.66999999999996</v>
      </c>
    </row>
    <row r="29771" spans="1:8" customFormat="1" x14ac:dyDescent="0.25">
      <c r="A29771" t="str">
        <f>"4217668"</f>
        <v>4217668</v>
      </c>
      <c r="B29771" t="s">
        <v>17553</v>
      </c>
      <c r="C29771" t="s">
        <v>40</v>
      </c>
      <c r="D29771" s="21" t="s">
        <v>34</v>
      </c>
      <c r="E29771" s="21" t="s">
        <v>254</v>
      </c>
      <c r="F29771">
        <v>1420108</v>
      </c>
      <c r="G29771" t="s">
        <v>9177</v>
      </c>
      <c r="H29771" s="21">
        <v>555.66999999999996</v>
      </c>
    </row>
    <row r="29772" spans="1:8" customFormat="1" x14ac:dyDescent="0.25">
      <c r="A29772" t="str">
        <f>"704465"</f>
        <v>704465</v>
      </c>
      <c r="B29772" t="s">
        <v>20978</v>
      </c>
      <c r="C29772" t="s">
        <v>267</v>
      </c>
      <c r="D29772" s="21" t="s">
        <v>34</v>
      </c>
      <c r="E29772" s="21" t="s">
        <v>254</v>
      </c>
      <c r="F29772">
        <v>2700089</v>
      </c>
      <c r="G29772" t="s">
        <v>2570</v>
      </c>
      <c r="H29772" s="21">
        <v>555.66999999999996</v>
      </c>
    </row>
    <row r="29773" spans="1:8" customFormat="1" x14ac:dyDescent="0.25">
      <c r="A29773" t="str">
        <f>"422984"</f>
        <v>422984</v>
      </c>
      <c r="B29773" t="s">
        <v>19013</v>
      </c>
      <c r="C29773" t="s">
        <v>40</v>
      </c>
      <c r="D29773" s="21" t="s">
        <v>34</v>
      </c>
      <c r="E29773" s="21" t="s">
        <v>254</v>
      </c>
      <c r="F29773">
        <v>1420013</v>
      </c>
      <c r="G29773" t="s">
        <v>2013</v>
      </c>
      <c r="H29773" s="21">
        <v>555.66999999999996</v>
      </c>
    </row>
    <row r="29774" spans="1:8" customFormat="1" x14ac:dyDescent="0.25">
      <c r="A29774" t="str">
        <f>"167072"</f>
        <v>167072</v>
      </c>
      <c r="B29774" t="s">
        <v>21281</v>
      </c>
      <c r="C29774" t="s">
        <v>415</v>
      </c>
      <c r="D29774" s="21" t="s">
        <v>34</v>
      </c>
      <c r="E29774" s="21" t="s">
        <v>254</v>
      </c>
      <c r="F29774">
        <v>10160232</v>
      </c>
      <c r="G29774" t="s">
        <v>2882</v>
      </c>
      <c r="H29774" s="21">
        <v>555.66999999999996</v>
      </c>
    </row>
    <row r="29775" spans="1:8" customFormat="1" x14ac:dyDescent="0.25">
      <c r="A29775" t="str">
        <f>"9225021"</f>
        <v>9225021</v>
      </c>
      <c r="B29775" t="s">
        <v>2306</v>
      </c>
      <c r="C29775" t="s">
        <v>498</v>
      </c>
      <c r="D29775" s="21" t="s">
        <v>34</v>
      </c>
      <c r="E29775" s="21" t="s">
        <v>71</v>
      </c>
      <c r="F29775">
        <v>8920309</v>
      </c>
      <c r="G29775" t="s">
        <v>1894</v>
      </c>
      <c r="H29775" s="21">
        <v>555.66999999999996</v>
      </c>
    </row>
    <row r="29776" spans="1:8" customFormat="1" x14ac:dyDescent="0.25">
      <c r="A29776" t="str">
        <f>"7870152"</f>
        <v>7870152</v>
      </c>
      <c r="B29776" t="s">
        <v>25671</v>
      </c>
      <c r="C29776" t="s">
        <v>169</v>
      </c>
      <c r="D29776" s="21" t="s">
        <v>34</v>
      </c>
      <c r="E29776" s="21" t="s">
        <v>35</v>
      </c>
      <c r="F29776">
        <v>8780485</v>
      </c>
      <c r="G29776" t="s">
        <v>1279</v>
      </c>
      <c r="H29776" s="21">
        <v>555.66999999999996</v>
      </c>
    </row>
    <row r="29777" spans="1:8" customFormat="1" x14ac:dyDescent="0.25">
      <c r="A29777" t="str">
        <f>"1415328"</f>
        <v>1415328</v>
      </c>
      <c r="B29777" t="s">
        <v>20472</v>
      </c>
      <c r="C29777" t="s">
        <v>269</v>
      </c>
      <c r="D29777" s="21" t="s">
        <v>34</v>
      </c>
      <c r="E29777" s="21" t="s">
        <v>71</v>
      </c>
      <c r="F29777">
        <v>9140014</v>
      </c>
      <c r="G29777" t="s">
        <v>9546</v>
      </c>
      <c r="H29777" s="21">
        <v>555.66999999999996</v>
      </c>
    </row>
    <row r="29778" spans="1:8" customFormat="1" x14ac:dyDescent="0.25">
      <c r="A29778" t="str">
        <f>"5429785"</f>
        <v>5429785</v>
      </c>
      <c r="B29778" t="s">
        <v>7578</v>
      </c>
      <c r="C29778" t="s">
        <v>2904</v>
      </c>
      <c r="D29778" s="21" t="s">
        <v>34</v>
      </c>
      <c r="E29778" s="21" t="s">
        <v>71</v>
      </c>
      <c r="F29778">
        <v>6540068</v>
      </c>
      <c r="G29778" t="s">
        <v>21942</v>
      </c>
      <c r="H29778" s="21">
        <v>555.66999999999996</v>
      </c>
    </row>
    <row r="29779" spans="1:8" customFormat="1" x14ac:dyDescent="0.25">
      <c r="A29779" t="str">
        <f>"44802"</f>
        <v>44802</v>
      </c>
      <c r="B29779" t="s">
        <v>11376</v>
      </c>
      <c r="C29779" t="s">
        <v>598</v>
      </c>
      <c r="D29779" s="21" t="s">
        <v>34</v>
      </c>
      <c r="E29779" s="21" t="s">
        <v>254</v>
      </c>
      <c r="F29779">
        <v>12440023</v>
      </c>
      <c r="G29779" t="s">
        <v>3507</v>
      </c>
      <c r="H29779" s="21">
        <v>555.66999999999996</v>
      </c>
    </row>
    <row r="29780" spans="1:8" customFormat="1" x14ac:dyDescent="0.25">
      <c r="A29780" t="str">
        <f>"7638435"</f>
        <v>7638435</v>
      </c>
      <c r="B29780" t="s">
        <v>2522</v>
      </c>
      <c r="C29780" t="s">
        <v>934</v>
      </c>
      <c r="D29780" s="21" t="s">
        <v>34</v>
      </c>
      <c r="E29780" s="21" t="s">
        <v>35</v>
      </c>
      <c r="F29780">
        <v>9760457</v>
      </c>
      <c r="G29780" t="s">
        <v>6912</v>
      </c>
      <c r="H29780" s="21">
        <v>555.66999999999996</v>
      </c>
    </row>
    <row r="29781" spans="1:8" customFormat="1" x14ac:dyDescent="0.25">
      <c r="A29781" t="str">
        <f>"5618668"</f>
        <v>5618668</v>
      </c>
      <c r="B29781" t="s">
        <v>19988</v>
      </c>
      <c r="C29781" t="s">
        <v>19989</v>
      </c>
      <c r="D29781" s="21" t="s">
        <v>34</v>
      </c>
      <c r="E29781" s="21" t="s">
        <v>71</v>
      </c>
      <c r="F29781">
        <v>3560038</v>
      </c>
      <c r="G29781" t="s">
        <v>3598</v>
      </c>
      <c r="H29781" s="21">
        <v>555.66999999999996</v>
      </c>
    </row>
    <row r="29782" spans="1:8" customFormat="1" x14ac:dyDescent="0.25">
      <c r="A29782" t="str">
        <f>"027147"</f>
        <v>027147</v>
      </c>
      <c r="B29782" t="s">
        <v>257</v>
      </c>
      <c r="C29782" t="s">
        <v>209</v>
      </c>
      <c r="D29782" s="21" t="s">
        <v>34</v>
      </c>
      <c r="E29782" s="21" t="s">
        <v>254</v>
      </c>
      <c r="F29782">
        <v>7021010</v>
      </c>
      <c r="G29782" t="s">
        <v>10493</v>
      </c>
      <c r="H29782" s="21">
        <v>555.66999999999996</v>
      </c>
    </row>
    <row r="29783" spans="1:8" customFormat="1" x14ac:dyDescent="0.25">
      <c r="A29783" t="str">
        <f>"688099"</f>
        <v>688099</v>
      </c>
      <c r="B29783" t="s">
        <v>4369</v>
      </c>
      <c r="C29783" t="s">
        <v>2730</v>
      </c>
      <c r="D29783" s="21" t="s">
        <v>34</v>
      </c>
      <c r="E29783" s="21" t="s">
        <v>1089</v>
      </c>
      <c r="F29783">
        <v>6680006</v>
      </c>
      <c r="G29783" t="s">
        <v>5266</v>
      </c>
      <c r="H29783" s="21">
        <v>555.66999999999996</v>
      </c>
    </row>
    <row r="29784" spans="1:8" customFormat="1" x14ac:dyDescent="0.25">
      <c r="A29784" t="str">
        <f>"6314571"</f>
        <v>6314571</v>
      </c>
      <c r="B29784" t="s">
        <v>3952</v>
      </c>
      <c r="C29784" t="s">
        <v>1146</v>
      </c>
      <c r="D29784" s="21" t="s">
        <v>34</v>
      </c>
      <c r="E29784" s="21" t="s">
        <v>35</v>
      </c>
      <c r="F29784">
        <v>1630327</v>
      </c>
      <c r="G29784" t="s">
        <v>13353</v>
      </c>
      <c r="H29784" s="21">
        <v>555.66999999999996</v>
      </c>
    </row>
    <row r="29785" spans="1:8" customFormat="1" x14ac:dyDescent="0.25">
      <c r="A29785" t="str">
        <f>"5617814"</f>
        <v>5617814</v>
      </c>
      <c r="B29785" t="s">
        <v>21872</v>
      </c>
      <c r="C29785" t="s">
        <v>1299</v>
      </c>
      <c r="D29785" s="21" t="s">
        <v>34</v>
      </c>
      <c r="E29785" s="21" t="s">
        <v>35</v>
      </c>
      <c r="F29785">
        <v>3560052</v>
      </c>
      <c r="G29785" t="s">
        <v>18504</v>
      </c>
      <c r="H29785" s="21">
        <v>555.66999999999996</v>
      </c>
    </row>
    <row r="29786" spans="1:8" customFormat="1" x14ac:dyDescent="0.25">
      <c r="A29786" t="str">
        <f>"843464"</f>
        <v>843464</v>
      </c>
      <c r="B29786" t="s">
        <v>21650</v>
      </c>
      <c r="C29786" t="s">
        <v>65</v>
      </c>
      <c r="D29786" s="21" t="s">
        <v>34</v>
      </c>
      <c r="E29786" s="21" t="s">
        <v>254</v>
      </c>
      <c r="F29786">
        <v>8770426</v>
      </c>
      <c r="G29786" t="s">
        <v>1847</v>
      </c>
      <c r="H29786" s="21">
        <v>555.5</v>
      </c>
    </row>
    <row r="29787" spans="1:8" customFormat="1" x14ac:dyDescent="0.25">
      <c r="A29787" t="str">
        <f>"5320548"</f>
        <v>5320548</v>
      </c>
      <c r="B29787" t="s">
        <v>24353</v>
      </c>
      <c r="C29787" t="s">
        <v>1605</v>
      </c>
      <c r="D29787" s="21" t="s">
        <v>34</v>
      </c>
      <c r="E29787" s="21" t="s">
        <v>71</v>
      </c>
      <c r="F29787">
        <v>12530121</v>
      </c>
      <c r="G29787" t="s">
        <v>16301</v>
      </c>
      <c r="H29787" s="21">
        <v>555.41999999999996</v>
      </c>
    </row>
    <row r="29788" spans="1:8" customFormat="1" x14ac:dyDescent="0.25">
      <c r="A29788" t="str">
        <f>"8816287"</f>
        <v>8816287</v>
      </c>
      <c r="B29788" t="s">
        <v>21058</v>
      </c>
      <c r="C29788" t="s">
        <v>169</v>
      </c>
      <c r="D29788" s="21" t="s">
        <v>34</v>
      </c>
      <c r="E29788" s="21" t="s">
        <v>35</v>
      </c>
      <c r="F29788">
        <v>6880010</v>
      </c>
      <c r="G29788" t="s">
        <v>1029</v>
      </c>
      <c r="H29788" s="21">
        <v>555.41999999999996</v>
      </c>
    </row>
    <row r="29789" spans="1:8" customFormat="1" x14ac:dyDescent="0.25">
      <c r="A29789" t="str">
        <f>"7523888"</f>
        <v>7523888</v>
      </c>
      <c r="B29789" t="s">
        <v>3770</v>
      </c>
      <c r="C29789" t="s">
        <v>1110</v>
      </c>
      <c r="D29789" s="21" t="s">
        <v>34</v>
      </c>
      <c r="E29789" s="21" t="s">
        <v>71</v>
      </c>
      <c r="F29789">
        <v>8751271</v>
      </c>
      <c r="G29789" t="s">
        <v>1067</v>
      </c>
      <c r="H29789" s="21">
        <v>555.41999999999996</v>
      </c>
    </row>
    <row r="29790" spans="1:8" customFormat="1" x14ac:dyDescent="0.25">
      <c r="A29790" t="str">
        <f>"7720563"</f>
        <v>7720563</v>
      </c>
      <c r="B29790" t="s">
        <v>4596</v>
      </c>
      <c r="C29790" t="s">
        <v>19930</v>
      </c>
      <c r="D29790" s="21" t="s">
        <v>34</v>
      </c>
      <c r="E29790" s="21" t="s">
        <v>71</v>
      </c>
      <c r="F29790">
        <v>8770937</v>
      </c>
      <c r="G29790" t="s">
        <v>2119</v>
      </c>
      <c r="H29790" s="21">
        <v>555.41999999999996</v>
      </c>
    </row>
    <row r="29791" spans="1:8" customFormat="1" x14ac:dyDescent="0.25">
      <c r="A29791" t="str">
        <f>"7218414"</f>
        <v>7218414</v>
      </c>
      <c r="B29791" t="s">
        <v>3947</v>
      </c>
      <c r="C29791" t="s">
        <v>269</v>
      </c>
      <c r="D29791" s="21" t="s">
        <v>34</v>
      </c>
      <c r="E29791" s="21" t="s">
        <v>35</v>
      </c>
      <c r="F29791">
        <v>12720141</v>
      </c>
      <c r="G29791" t="s">
        <v>12632</v>
      </c>
      <c r="H29791" s="21">
        <v>555.41999999999996</v>
      </c>
    </row>
    <row r="29792" spans="1:8" customFormat="1" x14ac:dyDescent="0.25">
      <c r="A29792" t="str">
        <f>"153849"</f>
        <v>153849</v>
      </c>
      <c r="B29792" t="s">
        <v>21521</v>
      </c>
      <c r="C29792" t="s">
        <v>198</v>
      </c>
      <c r="D29792" s="21" t="s">
        <v>34</v>
      </c>
      <c r="E29792" s="21" t="s">
        <v>71</v>
      </c>
      <c r="F29792">
        <v>1150307</v>
      </c>
      <c r="G29792" t="s">
        <v>26826</v>
      </c>
      <c r="H29792" s="21">
        <v>555.41999999999996</v>
      </c>
    </row>
    <row r="29793" spans="1:8" customFormat="1" x14ac:dyDescent="0.25">
      <c r="A29793" t="str">
        <f>"278196"</f>
        <v>278196</v>
      </c>
      <c r="B29793" t="s">
        <v>20783</v>
      </c>
      <c r="C29793" t="s">
        <v>114</v>
      </c>
      <c r="D29793" s="21" t="s">
        <v>34</v>
      </c>
      <c r="E29793" s="21" t="s">
        <v>254</v>
      </c>
      <c r="F29793">
        <v>9270004</v>
      </c>
      <c r="G29793" t="s">
        <v>13439</v>
      </c>
      <c r="H29793" s="21">
        <v>555.16999999999996</v>
      </c>
    </row>
    <row r="29794" spans="1:8" customFormat="1" x14ac:dyDescent="0.25">
      <c r="A29794" t="str">
        <f>"0114881"</f>
        <v>0114881</v>
      </c>
      <c r="B29794" t="s">
        <v>9520</v>
      </c>
      <c r="C29794" t="s">
        <v>239</v>
      </c>
      <c r="D29794" s="21" t="s">
        <v>34</v>
      </c>
      <c r="E29794" s="21" t="s">
        <v>35</v>
      </c>
      <c r="F29794">
        <v>1010027</v>
      </c>
      <c r="G29794" t="s">
        <v>6318</v>
      </c>
      <c r="H29794" s="21">
        <v>555.16999999999996</v>
      </c>
    </row>
    <row r="29795" spans="1:8" customFormat="1" x14ac:dyDescent="0.25">
      <c r="A29795" t="str">
        <f>"4456536"</f>
        <v>4456536</v>
      </c>
      <c r="B29795" t="s">
        <v>8901</v>
      </c>
      <c r="C29795" t="s">
        <v>1665</v>
      </c>
      <c r="D29795" s="21" t="s">
        <v>34</v>
      </c>
      <c r="E29795" s="21" t="s">
        <v>35</v>
      </c>
      <c r="F29795">
        <v>12440127</v>
      </c>
      <c r="G29795" t="s">
        <v>7692</v>
      </c>
      <c r="H29795" s="21">
        <v>555.16999999999996</v>
      </c>
    </row>
    <row r="29796" spans="1:8" customFormat="1" x14ac:dyDescent="0.25">
      <c r="A29796" t="str">
        <f>"7921518"</f>
        <v>7921518</v>
      </c>
      <c r="B29796" t="s">
        <v>20734</v>
      </c>
      <c r="C29796" t="s">
        <v>2752</v>
      </c>
      <c r="D29796" s="21" t="s">
        <v>34</v>
      </c>
      <c r="E29796" s="21" t="s">
        <v>71</v>
      </c>
      <c r="F29796">
        <v>10790020</v>
      </c>
      <c r="G29796" t="s">
        <v>10221</v>
      </c>
      <c r="H29796" s="21">
        <v>555.16999999999996</v>
      </c>
    </row>
    <row r="29797" spans="1:8" customFormat="1" x14ac:dyDescent="0.25">
      <c r="A29797" t="str">
        <f>"5969615"</f>
        <v>5969615</v>
      </c>
      <c r="B29797" t="s">
        <v>22783</v>
      </c>
      <c r="C29797" t="s">
        <v>119</v>
      </c>
      <c r="D29797" s="21" t="s">
        <v>34</v>
      </c>
      <c r="E29797" s="21" t="s">
        <v>71</v>
      </c>
      <c r="F29797">
        <v>7590011</v>
      </c>
      <c r="G29797" t="s">
        <v>2147</v>
      </c>
      <c r="H29797" s="21">
        <v>555.16999999999996</v>
      </c>
    </row>
    <row r="29798" spans="1:8" customFormat="1" x14ac:dyDescent="0.25">
      <c r="A29798" t="str">
        <f>"6924151"</f>
        <v>6924151</v>
      </c>
      <c r="B29798" t="s">
        <v>3107</v>
      </c>
      <c r="C29798" t="s">
        <v>198</v>
      </c>
      <c r="D29798" s="21" t="s">
        <v>34</v>
      </c>
      <c r="E29798" s="21" t="s">
        <v>254</v>
      </c>
      <c r="F29798">
        <v>1690224</v>
      </c>
      <c r="G29798" t="s">
        <v>27093</v>
      </c>
      <c r="H29798" s="21">
        <v>555.16999999999996</v>
      </c>
    </row>
    <row r="29799" spans="1:8" customFormat="1" x14ac:dyDescent="0.25">
      <c r="A29799" t="str">
        <f>"706442"</f>
        <v>706442</v>
      </c>
      <c r="B29799" t="s">
        <v>20679</v>
      </c>
      <c r="C29799" t="s">
        <v>507</v>
      </c>
      <c r="D29799" s="21" t="s">
        <v>34</v>
      </c>
      <c r="E29799" s="21" t="s">
        <v>1089</v>
      </c>
      <c r="F29799">
        <v>2700014</v>
      </c>
      <c r="G29799" t="s">
        <v>7714</v>
      </c>
      <c r="H29799" s="21">
        <v>555.16999999999996</v>
      </c>
    </row>
    <row r="29800" spans="1:8" customFormat="1" x14ac:dyDescent="0.25">
      <c r="A29800" t="str">
        <f>"8314062"</f>
        <v>8314062</v>
      </c>
      <c r="B29800" t="s">
        <v>1624</v>
      </c>
      <c r="C29800" t="s">
        <v>121</v>
      </c>
      <c r="D29800" s="21" t="s">
        <v>34</v>
      </c>
      <c r="E29800" s="21" t="s">
        <v>35</v>
      </c>
      <c r="F29800">
        <v>13830007</v>
      </c>
      <c r="G29800" t="s">
        <v>11316</v>
      </c>
      <c r="H29800" s="21">
        <v>555.16999999999996</v>
      </c>
    </row>
    <row r="29801" spans="1:8" customFormat="1" x14ac:dyDescent="0.25">
      <c r="A29801" t="str">
        <f>"6936352"</f>
        <v>6936352</v>
      </c>
      <c r="B29801" t="s">
        <v>20094</v>
      </c>
      <c r="C29801" t="s">
        <v>598</v>
      </c>
      <c r="D29801" s="21" t="s">
        <v>34</v>
      </c>
      <c r="E29801" s="21" t="s">
        <v>254</v>
      </c>
      <c r="F29801">
        <v>1690147</v>
      </c>
      <c r="G29801" t="s">
        <v>7245</v>
      </c>
      <c r="H29801" s="21">
        <v>555.16999999999996</v>
      </c>
    </row>
    <row r="29802" spans="1:8" customFormat="1" x14ac:dyDescent="0.25">
      <c r="A29802" t="str">
        <f>"84609"</f>
        <v>84609</v>
      </c>
      <c r="B29802" t="s">
        <v>15733</v>
      </c>
      <c r="C29802" t="s">
        <v>236</v>
      </c>
      <c r="D29802" s="21" t="s">
        <v>34</v>
      </c>
      <c r="E29802" s="21" t="s">
        <v>254</v>
      </c>
      <c r="F29802">
        <v>13840038</v>
      </c>
      <c r="G29802" t="s">
        <v>8931</v>
      </c>
      <c r="H29802" s="21">
        <v>555.16999999999996</v>
      </c>
    </row>
    <row r="29803" spans="1:8" customFormat="1" x14ac:dyDescent="0.25">
      <c r="A29803" t="str">
        <f>"524909"</f>
        <v>524909</v>
      </c>
      <c r="B29803" t="s">
        <v>22346</v>
      </c>
      <c r="C29803" t="s">
        <v>249</v>
      </c>
      <c r="D29803" s="21" t="s">
        <v>34</v>
      </c>
      <c r="E29803" s="21" t="s">
        <v>71</v>
      </c>
      <c r="F29803">
        <v>6520054</v>
      </c>
      <c r="G29803" t="s">
        <v>2142</v>
      </c>
      <c r="H29803" s="21">
        <v>555.16999999999996</v>
      </c>
    </row>
    <row r="29804" spans="1:8" customFormat="1" x14ac:dyDescent="0.25">
      <c r="A29804" t="str">
        <f>"2811944"</f>
        <v>2811944</v>
      </c>
      <c r="B29804" t="s">
        <v>767</v>
      </c>
      <c r="C29804" t="s">
        <v>171</v>
      </c>
      <c r="D29804" s="21" t="s">
        <v>34</v>
      </c>
      <c r="E29804" s="21" t="s">
        <v>71</v>
      </c>
      <c r="F29804">
        <v>4280705</v>
      </c>
      <c r="G29804" t="s">
        <v>4088</v>
      </c>
      <c r="H29804" s="21">
        <v>555.16999999999996</v>
      </c>
    </row>
    <row r="29805" spans="1:8" customFormat="1" x14ac:dyDescent="0.25">
      <c r="A29805" t="str">
        <f>"6942869"</f>
        <v>6942869</v>
      </c>
      <c r="B29805" t="s">
        <v>21054</v>
      </c>
      <c r="C29805" t="s">
        <v>239</v>
      </c>
      <c r="D29805" s="21" t="s">
        <v>34</v>
      </c>
      <c r="E29805" s="21" t="s">
        <v>71</v>
      </c>
      <c r="F29805">
        <v>1690220</v>
      </c>
      <c r="G29805" t="s">
        <v>16783</v>
      </c>
      <c r="H29805" s="21">
        <v>555.16999999999996</v>
      </c>
    </row>
    <row r="29806" spans="1:8" customFormat="1" x14ac:dyDescent="0.25">
      <c r="A29806" t="str">
        <f>"912686"</f>
        <v>912686</v>
      </c>
      <c r="B29806" t="s">
        <v>6779</v>
      </c>
      <c r="C29806" t="s">
        <v>239</v>
      </c>
      <c r="D29806" s="21" t="s">
        <v>34</v>
      </c>
      <c r="E29806" s="21" t="s">
        <v>254</v>
      </c>
      <c r="F29806">
        <v>8911009</v>
      </c>
      <c r="G29806" t="s">
        <v>2177</v>
      </c>
      <c r="H29806" s="21">
        <v>555.16999999999996</v>
      </c>
    </row>
    <row r="29807" spans="1:8" customFormat="1" x14ac:dyDescent="0.25">
      <c r="A29807" t="str">
        <f>"1317579"</f>
        <v>1317579</v>
      </c>
      <c r="B29807" t="s">
        <v>22874</v>
      </c>
      <c r="C29807" t="s">
        <v>302</v>
      </c>
      <c r="D29807" s="21" t="s">
        <v>34</v>
      </c>
      <c r="E29807" s="21" t="s">
        <v>35</v>
      </c>
      <c r="F29807">
        <v>13130004</v>
      </c>
      <c r="G29807" t="s">
        <v>942</v>
      </c>
      <c r="H29807" s="21">
        <v>555.16999999999996</v>
      </c>
    </row>
    <row r="29808" spans="1:8" customFormat="1" x14ac:dyDescent="0.25">
      <c r="A29808" t="str">
        <f>"9419870"</f>
        <v>9419870</v>
      </c>
      <c r="B29808" t="s">
        <v>20985</v>
      </c>
      <c r="C29808" t="s">
        <v>812</v>
      </c>
      <c r="D29808" s="21" t="s">
        <v>34</v>
      </c>
      <c r="E29808" s="21" t="s">
        <v>254</v>
      </c>
      <c r="F29808">
        <v>8940976</v>
      </c>
      <c r="G29808" t="s">
        <v>615</v>
      </c>
      <c r="H29808" s="21">
        <v>555.16999999999996</v>
      </c>
    </row>
    <row r="29809" spans="1:8" customFormat="1" x14ac:dyDescent="0.25">
      <c r="A29809" t="str">
        <f>"9534722"</f>
        <v>9534722</v>
      </c>
      <c r="B29809" t="s">
        <v>24645</v>
      </c>
      <c r="C29809" t="s">
        <v>60</v>
      </c>
      <c r="D29809" s="21" t="s">
        <v>34</v>
      </c>
      <c r="E29809" s="21" t="s">
        <v>35</v>
      </c>
      <c r="F29809">
        <v>8950092</v>
      </c>
      <c r="G29809" t="s">
        <v>2039</v>
      </c>
      <c r="H29809" s="21">
        <v>555.16999999999996</v>
      </c>
    </row>
    <row r="29810" spans="1:8" customFormat="1" x14ac:dyDescent="0.25">
      <c r="A29810" t="str">
        <f>"051152"</f>
        <v>051152</v>
      </c>
      <c r="B29810" t="s">
        <v>10203</v>
      </c>
      <c r="C29810" t="s">
        <v>24312</v>
      </c>
      <c r="D29810" s="21" t="s">
        <v>34</v>
      </c>
      <c r="E29810" s="21" t="s">
        <v>71</v>
      </c>
      <c r="F29810">
        <v>13050026</v>
      </c>
      <c r="G29810" t="s">
        <v>18179</v>
      </c>
      <c r="H29810" s="21">
        <v>555.16999999999996</v>
      </c>
    </row>
    <row r="29811" spans="1:8" customFormat="1" x14ac:dyDescent="0.25">
      <c r="A29811" t="str">
        <f>"0811941"</f>
        <v>0811941</v>
      </c>
      <c r="B29811" t="s">
        <v>1147</v>
      </c>
      <c r="C29811" t="s">
        <v>139</v>
      </c>
      <c r="D29811" s="21" t="s">
        <v>34</v>
      </c>
      <c r="E29811" s="21" t="s">
        <v>71</v>
      </c>
      <c r="F29811">
        <v>6080047</v>
      </c>
      <c r="G29811" t="s">
        <v>4632</v>
      </c>
      <c r="H29811" s="21">
        <v>555.16999999999996</v>
      </c>
    </row>
    <row r="29812" spans="1:8" customFormat="1" x14ac:dyDescent="0.25">
      <c r="A29812" t="str">
        <f>"73323"</f>
        <v>73323</v>
      </c>
      <c r="B29812" t="s">
        <v>319</v>
      </c>
      <c r="C29812" t="s">
        <v>453</v>
      </c>
      <c r="D29812" s="21" t="s">
        <v>34</v>
      </c>
      <c r="E29812" s="21" t="s">
        <v>1089</v>
      </c>
      <c r="F29812">
        <v>1730048</v>
      </c>
      <c r="G29812" t="s">
        <v>3173</v>
      </c>
      <c r="H29812" s="21">
        <v>555.16999999999996</v>
      </c>
    </row>
    <row r="29813" spans="1:8" customFormat="1" x14ac:dyDescent="0.25">
      <c r="A29813" t="str">
        <f>"0810300"</f>
        <v>0810300</v>
      </c>
      <c r="B29813" t="s">
        <v>7326</v>
      </c>
      <c r="C29813" t="s">
        <v>114</v>
      </c>
      <c r="D29813" s="21" t="s">
        <v>34</v>
      </c>
      <c r="E29813" s="21" t="s">
        <v>254</v>
      </c>
      <c r="F29813">
        <v>6080013</v>
      </c>
      <c r="G29813" t="s">
        <v>1532</v>
      </c>
      <c r="H29813" s="21">
        <v>555.16999999999996</v>
      </c>
    </row>
    <row r="29814" spans="1:8" customFormat="1" x14ac:dyDescent="0.25">
      <c r="A29814" t="str">
        <f>"9D2901"</f>
        <v>9D2901</v>
      </c>
      <c r="B29814" t="s">
        <v>4424</v>
      </c>
      <c r="C29814" t="s">
        <v>62</v>
      </c>
      <c r="D29814" s="21" t="s">
        <v>34</v>
      </c>
      <c r="E29814" s="21" t="s">
        <v>35</v>
      </c>
      <c r="F29814" t="s">
        <v>2462</v>
      </c>
      <c r="G29814" t="s">
        <v>2463</v>
      </c>
      <c r="H29814" s="21">
        <v>555.16999999999996</v>
      </c>
    </row>
    <row r="29815" spans="1:8" customFormat="1" x14ac:dyDescent="0.25">
      <c r="A29815" t="str">
        <f>"0614416"</f>
        <v>0614416</v>
      </c>
      <c r="B29815" t="s">
        <v>9159</v>
      </c>
      <c r="C29815" t="s">
        <v>114</v>
      </c>
      <c r="D29815" s="21" t="s">
        <v>34</v>
      </c>
      <c r="E29815" s="21" t="s">
        <v>1089</v>
      </c>
      <c r="F29815">
        <v>13060037</v>
      </c>
      <c r="G29815" t="s">
        <v>9521</v>
      </c>
      <c r="H29815" s="21">
        <v>555.16999999999996</v>
      </c>
    </row>
    <row r="29816" spans="1:8" customFormat="1" x14ac:dyDescent="0.25">
      <c r="A29816" t="str">
        <f>"4931171"</f>
        <v>4931171</v>
      </c>
      <c r="B29816" t="s">
        <v>19394</v>
      </c>
      <c r="C29816" t="s">
        <v>2479</v>
      </c>
      <c r="D29816" s="21" t="s">
        <v>34</v>
      </c>
      <c r="E29816" s="21" t="s">
        <v>254</v>
      </c>
      <c r="F29816">
        <v>12490019</v>
      </c>
      <c r="G29816" t="s">
        <v>14652</v>
      </c>
      <c r="H29816" s="21">
        <v>555.16999999999996</v>
      </c>
    </row>
    <row r="29817" spans="1:8" customFormat="1" x14ac:dyDescent="0.25">
      <c r="A29817" t="str">
        <f>"5934499"</f>
        <v>5934499</v>
      </c>
      <c r="B29817" t="s">
        <v>22484</v>
      </c>
      <c r="C29817" t="s">
        <v>174</v>
      </c>
      <c r="D29817" s="21" t="s">
        <v>34</v>
      </c>
      <c r="E29817" s="21" t="s">
        <v>35</v>
      </c>
      <c r="F29817">
        <v>7590417</v>
      </c>
      <c r="G29817" t="s">
        <v>10387</v>
      </c>
      <c r="H29817" s="21">
        <v>555.16999999999996</v>
      </c>
    </row>
    <row r="29818" spans="1:8" customFormat="1" x14ac:dyDescent="0.25">
      <c r="A29818" t="str">
        <f>"3720970"</f>
        <v>3720970</v>
      </c>
      <c r="B29818" t="s">
        <v>21440</v>
      </c>
      <c r="C29818" t="s">
        <v>428</v>
      </c>
      <c r="D29818" s="21" t="s">
        <v>34</v>
      </c>
      <c r="E29818" s="21" t="s">
        <v>35</v>
      </c>
      <c r="F29818">
        <v>12440015</v>
      </c>
      <c r="G29818" t="s">
        <v>8421</v>
      </c>
      <c r="H29818" s="21">
        <v>555.16999999999996</v>
      </c>
    </row>
    <row r="29819" spans="1:8" customFormat="1" x14ac:dyDescent="0.25">
      <c r="A29819" t="str">
        <f>"616007"</f>
        <v>616007</v>
      </c>
      <c r="B29819" t="s">
        <v>21015</v>
      </c>
      <c r="C29819" t="s">
        <v>598</v>
      </c>
      <c r="D29819" s="21" t="s">
        <v>34</v>
      </c>
      <c r="E29819" s="21" t="s">
        <v>35</v>
      </c>
      <c r="F29819">
        <v>9610012</v>
      </c>
      <c r="G29819" t="s">
        <v>5316</v>
      </c>
      <c r="H29819" s="21">
        <v>555.16999999999996</v>
      </c>
    </row>
    <row r="29820" spans="1:8" customFormat="1" x14ac:dyDescent="0.25">
      <c r="A29820" t="str">
        <f>"718426"</f>
        <v>718426</v>
      </c>
      <c r="B29820" t="s">
        <v>21993</v>
      </c>
      <c r="C29820" t="s">
        <v>269</v>
      </c>
      <c r="D29820" s="21" t="s">
        <v>34</v>
      </c>
      <c r="E29820" s="21" t="s">
        <v>35</v>
      </c>
      <c r="F29820">
        <v>2710023</v>
      </c>
      <c r="G29820" t="s">
        <v>3549</v>
      </c>
      <c r="H29820" s="21">
        <v>555.16999999999996</v>
      </c>
    </row>
    <row r="29821" spans="1:8" customFormat="1" x14ac:dyDescent="0.25">
      <c r="A29821" t="str">
        <f>"7623433"</f>
        <v>7623433</v>
      </c>
      <c r="B29821" t="s">
        <v>21958</v>
      </c>
      <c r="C29821" t="s">
        <v>40</v>
      </c>
      <c r="D29821" s="21" t="s">
        <v>34</v>
      </c>
      <c r="E29821" s="21" t="s">
        <v>71</v>
      </c>
      <c r="F29821">
        <v>9760428</v>
      </c>
      <c r="G29821" t="s">
        <v>5081</v>
      </c>
      <c r="H29821" s="21">
        <v>555.16999999999996</v>
      </c>
    </row>
    <row r="29822" spans="1:8" customFormat="1" x14ac:dyDescent="0.25">
      <c r="A29822" t="str">
        <f>"6316650"</f>
        <v>6316650</v>
      </c>
      <c r="B29822" t="s">
        <v>10937</v>
      </c>
      <c r="C29822" t="s">
        <v>121</v>
      </c>
      <c r="D29822" s="21" t="s">
        <v>34</v>
      </c>
      <c r="E29822" s="21" t="s">
        <v>35</v>
      </c>
      <c r="F29822">
        <v>1630301</v>
      </c>
      <c r="G29822" t="s">
        <v>7897</v>
      </c>
      <c r="H29822" s="21">
        <v>555.16999999999996</v>
      </c>
    </row>
    <row r="29823" spans="1:8" customFormat="1" x14ac:dyDescent="0.25">
      <c r="A29823" t="str">
        <f>"434721"</f>
        <v>434721</v>
      </c>
      <c r="B29823" t="s">
        <v>23741</v>
      </c>
      <c r="C29823" t="s">
        <v>1142</v>
      </c>
      <c r="D29823" s="21" t="s">
        <v>34</v>
      </c>
      <c r="E29823" s="21" t="s">
        <v>254</v>
      </c>
      <c r="F29823">
        <v>1420210</v>
      </c>
      <c r="G29823" t="s">
        <v>7943</v>
      </c>
      <c r="H29823" s="21">
        <v>555.04</v>
      </c>
    </row>
    <row r="29824" spans="1:8" customFormat="1" x14ac:dyDescent="0.25">
      <c r="A29824" t="str">
        <f>"7730986"</f>
        <v>7730986</v>
      </c>
      <c r="B29824" t="s">
        <v>22237</v>
      </c>
      <c r="C29824" t="s">
        <v>87</v>
      </c>
      <c r="D29824" s="21" t="s">
        <v>34</v>
      </c>
      <c r="E29824" s="21" t="s">
        <v>71</v>
      </c>
      <c r="F29824">
        <v>8770955</v>
      </c>
      <c r="G29824" t="s">
        <v>9946</v>
      </c>
      <c r="H29824" s="21">
        <v>555.04</v>
      </c>
    </row>
    <row r="29825" spans="1:8" customFormat="1" x14ac:dyDescent="0.25">
      <c r="A29825" t="str">
        <f>"019863"</f>
        <v>019863</v>
      </c>
      <c r="B29825" t="s">
        <v>9256</v>
      </c>
      <c r="C29825" t="s">
        <v>65</v>
      </c>
      <c r="D29825" s="21" t="s">
        <v>34</v>
      </c>
      <c r="E29825" s="21" t="s">
        <v>71</v>
      </c>
      <c r="F29825">
        <v>1010017</v>
      </c>
      <c r="G29825" t="s">
        <v>6502</v>
      </c>
      <c r="H29825" s="21">
        <v>555.04</v>
      </c>
    </row>
    <row r="29826" spans="1:8" customFormat="1" x14ac:dyDescent="0.25">
      <c r="A29826" t="str">
        <f>"2928626"</f>
        <v>2928626</v>
      </c>
      <c r="B29826" t="s">
        <v>1626</v>
      </c>
      <c r="C29826" t="s">
        <v>2479</v>
      </c>
      <c r="D29826" s="21" t="s">
        <v>34</v>
      </c>
      <c r="E29826" s="21" t="s">
        <v>71</v>
      </c>
      <c r="F29826">
        <v>3290223</v>
      </c>
      <c r="G29826" t="s">
        <v>2636</v>
      </c>
      <c r="H29826" s="21">
        <v>555</v>
      </c>
    </row>
    <row r="29827" spans="1:8" customFormat="1" x14ac:dyDescent="0.25">
      <c r="A29827" t="str">
        <f>"6726069"</f>
        <v>6726069</v>
      </c>
      <c r="B29827" t="s">
        <v>21602</v>
      </c>
      <c r="C29827" t="s">
        <v>1597</v>
      </c>
      <c r="D29827" s="21" t="s">
        <v>34</v>
      </c>
      <c r="E29827" s="21" t="s">
        <v>71</v>
      </c>
      <c r="F29827">
        <v>6670201</v>
      </c>
      <c r="G29827" t="s">
        <v>8483</v>
      </c>
      <c r="H29827" s="21">
        <v>554.75</v>
      </c>
    </row>
    <row r="29828" spans="1:8" customFormat="1" x14ac:dyDescent="0.25">
      <c r="A29828" t="str">
        <f>"6726372"</f>
        <v>6726372</v>
      </c>
      <c r="B29828" t="s">
        <v>28169</v>
      </c>
      <c r="C29828" t="s">
        <v>209</v>
      </c>
      <c r="D29828" s="21" t="s">
        <v>34</v>
      </c>
      <c r="E29828" s="21" t="s">
        <v>35</v>
      </c>
      <c r="F29828">
        <v>6670187</v>
      </c>
      <c r="G29828" t="s">
        <v>240</v>
      </c>
      <c r="H29828" s="21">
        <v>554.66999999999996</v>
      </c>
    </row>
    <row r="29829" spans="1:8" customFormat="1" x14ac:dyDescent="0.25">
      <c r="A29829" t="str">
        <f>"535885"</f>
        <v>535885</v>
      </c>
      <c r="B29829" t="s">
        <v>12119</v>
      </c>
      <c r="C29829" t="s">
        <v>3648</v>
      </c>
      <c r="D29829" s="21" t="s">
        <v>34</v>
      </c>
      <c r="E29829" s="21" t="s">
        <v>254</v>
      </c>
      <c r="F29829">
        <v>12530116</v>
      </c>
      <c r="G29829" t="s">
        <v>7881</v>
      </c>
      <c r="H29829" s="21">
        <v>554.66999999999996</v>
      </c>
    </row>
    <row r="29830" spans="1:8" customFormat="1" x14ac:dyDescent="0.25">
      <c r="A29830" t="str">
        <f>"5962794"</f>
        <v>5962794</v>
      </c>
      <c r="B29830" t="s">
        <v>17773</v>
      </c>
      <c r="C29830" t="s">
        <v>171</v>
      </c>
      <c r="D29830" s="21" t="s">
        <v>34</v>
      </c>
      <c r="E29830" s="21" t="s">
        <v>35</v>
      </c>
      <c r="F29830">
        <v>7590008</v>
      </c>
      <c r="G29830" t="s">
        <v>110</v>
      </c>
      <c r="H29830" s="21">
        <v>554.66999999999996</v>
      </c>
    </row>
    <row r="29831" spans="1:8" customFormat="1" x14ac:dyDescent="0.25">
      <c r="A29831" t="str">
        <f>"558398"</f>
        <v>558398</v>
      </c>
      <c r="B29831" t="s">
        <v>21247</v>
      </c>
      <c r="C29831" t="s">
        <v>267</v>
      </c>
      <c r="D29831" s="21" t="s">
        <v>34</v>
      </c>
      <c r="E29831" s="21" t="s">
        <v>254</v>
      </c>
      <c r="F29831">
        <v>6550009</v>
      </c>
      <c r="G29831" t="s">
        <v>7080</v>
      </c>
      <c r="H29831" s="21">
        <v>554.66999999999996</v>
      </c>
    </row>
    <row r="29832" spans="1:8" customFormat="1" x14ac:dyDescent="0.25">
      <c r="A29832" t="str">
        <f>"1717316"</f>
        <v>1717316</v>
      </c>
      <c r="B29832" t="s">
        <v>2489</v>
      </c>
      <c r="C29832" t="s">
        <v>275</v>
      </c>
      <c r="D29832" s="21" t="s">
        <v>34</v>
      </c>
      <c r="E29832" s="21" t="s">
        <v>35</v>
      </c>
      <c r="F29832">
        <v>10170218</v>
      </c>
      <c r="G29832" t="s">
        <v>8381</v>
      </c>
      <c r="H29832" s="21">
        <v>554.66999999999996</v>
      </c>
    </row>
    <row r="29833" spans="1:8" customFormat="1" x14ac:dyDescent="0.25">
      <c r="A29833" t="str">
        <f>"3343181"</f>
        <v>3343181</v>
      </c>
      <c r="B29833" t="s">
        <v>21794</v>
      </c>
      <c r="C29833" t="s">
        <v>82</v>
      </c>
      <c r="D29833" s="21" t="s">
        <v>34</v>
      </c>
      <c r="E29833" s="21" t="s">
        <v>35</v>
      </c>
      <c r="F29833">
        <v>10330037</v>
      </c>
      <c r="G29833" t="s">
        <v>5960</v>
      </c>
      <c r="H29833" s="21">
        <v>554.66999999999996</v>
      </c>
    </row>
    <row r="29834" spans="1:8" customFormat="1" x14ac:dyDescent="0.25">
      <c r="A29834" t="str">
        <f>"164216"</f>
        <v>164216</v>
      </c>
      <c r="B29834" t="s">
        <v>18436</v>
      </c>
      <c r="C29834" t="s">
        <v>1146</v>
      </c>
      <c r="D29834" s="21" t="s">
        <v>34</v>
      </c>
      <c r="E29834" s="21" t="s">
        <v>1089</v>
      </c>
      <c r="F29834">
        <v>10160059</v>
      </c>
      <c r="G29834" t="s">
        <v>6791</v>
      </c>
      <c r="H29834" s="21">
        <v>554.66999999999996</v>
      </c>
    </row>
    <row r="29835" spans="1:8" customFormat="1" x14ac:dyDescent="0.25">
      <c r="A29835" t="str">
        <f>"9423178"</f>
        <v>9423178</v>
      </c>
      <c r="B29835" t="s">
        <v>22129</v>
      </c>
      <c r="C29835" t="s">
        <v>2479</v>
      </c>
      <c r="D29835" s="21" t="s">
        <v>34</v>
      </c>
      <c r="E29835" s="21" t="s">
        <v>71</v>
      </c>
      <c r="F29835">
        <v>8940894</v>
      </c>
      <c r="G29835" t="s">
        <v>481</v>
      </c>
      <c r="H29835" s="21">
        <v>554.66999999999996</v>
      </c>
    </row>
    <row r="29836" spans="1:8" customFormat="1" x14ac:dyDescent="0.25">
      <c r="A29836" t="str">
        <f>"524216"</f>
        <v>524216</v>
      </c>
      <c r="B29836" t="s">
        <v>10664</v>
      </c>
      <c r="C29836" t="s">
        <v>2479</v>
      </c>
      <c r="D29836" s="21" t="s">
        <v>34</v>
      </c>
      <c r="E29836" s="21" t="s">
        <v>254</v>
      </c>
      <c r="F29836">
        <v>6520003</v>
      </c>
      <c r="G29836" t="s">
        <v>571</v>
      </c>
      <c r="H29836" s="21">
        <v>554.66999999999996</v>
      </c>
    </row>
    <row r="29837" spans="1:8" customFormat="1" x14ac:dyDescent="0.25">
      <c r="A29837" t="str">
        <f>"4111066"</f>
        <v>4111066</v>
      </c>
      <c r="B29837" t="s">
        <v>3498</v>
      </c>
      <c r="C29837" t="s">
        <v>262</v>
      </c>
      <c r="D29837" s="21" t="s">
        <v>34</v>
      </c>
      <c r="E29837" s="21" t="s">
        <v>35</v>
      </c>
      <c r="F29837">
        <v>4410612</v>
      </c>
      <c r="G29837" t="s">
        <v>815</v>
      </c>
      <c r="H29837" s="21">
        <v>554.66999999999996</v>
      </c>
    </row>
    <row r="29838" spans="1:8" customFormat="1" x14ac:dyDescent="0.25">
      <c r="A29838" t="str">
        <f>"8014897"</f>
        <v>8014897</v>
      </c>
      <c r="B29838" t="s">
        <v>1533</v>
      </c>
      <c r="C29838" t="s">
        <v>2479</v>
      </c>
      <c r="D29838" s="21" t="s">
        <v>34</v>
      </c>
      <c r="E29838" s="21" t="s">
        <v>71</v>
      </c>
      <c r="F29838">
        <v>7800040</v>
      </c>
      <c r="G29838" t="s">
        <v>1448</v>
      </c>
      <c r="H29838" s="21">
        <v>554.66999999999996</v>
      </c>
    </row>
    <row r="29839" spans="1:8" customFormat="1" x14ac:dyDescent="0.25">
      <c r="A29839" t="str">
        <f>"667772"</f>
        <v>667772</v>
      </c>
      <c r="B29839" t="s">
        <v>20253</v>
      </c>
      <c r="C29839" t="s">
        <v>119</v>
      </c>
      <c r="D29839" s="21" t="s">
        <v>34</v>
      </c>
      <c r="E29839" s="21" t="s">
        <v>35</v>
      </c>
      <c r="F29839">
        <v>11660040</v>
      </c>
      <c r="G29839" t="s">
        <v>17413</v>
      </c>
      <c r="H29839" s="21">
        <v>554.66999999999996</v>
      </c>
    </row>
    <row r="29840" spans="1:8" customFormat="1" x14ac:dyDescent="0.25">
      <c r="A29840" t="str">
        <f>"6020492"</f>
        <v>6020492</v>
      </c>
      <c r="B29840" t="s">
        <v>20698</v>
      </c>
      <c r="C29840" t="s">
        <v>3456</v>
      </c>
      <c r="D29840" s="21" t="s">
        <v>34</v>
      </c>
      <c r="E29840" s="21" t="s">
        <v>35</v>
      </c>
      <c r="F29840">
        <v>7600035</v>
      </c>
      <c r="G29840" t="s">
        <v>4737</v>
      </c>
      <c r="H29840" s="21">
        <v>554.66999999999996</v>
      </c>
    </row>
    <row r="29841" spans="1:8" customFormat="1" x14ac:dyDescent="0.25">
      <c r="A29841" t="str">
        <f>"3726813"</f>
        <v>3726813</v>
      </c>
      <c r="B29841" t="s">
        <v>14856</v>
      </c>
      <c r="C29841" t="s">
        <v>263</v>
      </c>
      <c r="D29841" s="21" t="s">
        <v>34</v>
      </c>
      <c r="E29841" s="21" t="s">
        <v>71</v>
      </c>
      <c r="F29841">
        <v>12720021</v>
      </c>
      <c r="G29841" t="s">
        <v>3329</v>
      </c>
      <c r="H29841" s="21">
        <v>554.66999999999996</v>
      </c>
    </row>
    <row r="29842" spans="1:8" customFormat="1" x14ac:dyDescent="0.25">
      <c r="A29842" t="str">
        <f>"5932029"</f>
        <v>5932029</v>
      </c>
      <c r="B29842" t="s">
        <v>20241</v>
      </c>
      <c r="C29842" t="s">
        <v>415</v>
      </c>
      <c r="D29842" s="21" t="s">
        <v>34</v>
      </c>
      <c r="E29842" s="21" t="s">
        <v>1089</v>
      </c>
      <c r="F29842">
        <v>7590123</v>
      </c>
      <c r="G29842" t="s">
        <v>85</v>
      </c>
      <c r="H29842" s="21">
        <v>554.66999999999996</v>
      </c>
    </row>
    <row r="29843" spans="1:8" customFormat="1" x14ac:dyDescent="0.25">
      <c r="A29843" t="str">
        <f>"2715634"</f>
        <v>2715634</v>
      </c>
      <c r="B29843" t="s">
        <v>21360</v>
      </c>
      <c r="C29843" t="s">
        <v>62</v>
      </c>
      <c r="D29843" s="21" t="s">
        <v>34</v>
      </c>
      <c r="E29843" s="21" t="s">
        <v>35</v>
      </c>
      <c r="F29843">
        <v>9270047</v>
      </c>
      <c r="G29843" t="s">
        <v>4420</v>
      </c>
      <c r="H29843" s="21">
        <v>554.66999999999996</v>
      </c>
    </row>
    <row r="29844" spans="1:8" customFormat="1" x14ac:dyDescent="0.25">
      <c r="A29844" t="str">
        <f>"6721755"</f>
        <v>6721755</v>
      </c>
      <c r="B29844" t="s">
        <v>28170</v>
      </c>
      <c r="C29844" t="s">
        <v>269</v>
      </c>
      <c r="D29844" s="21" t="s">
        <v>34</v>
      </c>
      <c r="E29844" s="21" t="s">
        <v>35</v>
      </c>
      <c r="F29844">
        <v>6670064</v>
      </c>
      <c r="G29844" t="s">
        <v>9358</v>
      </c>
      <c r="H29844" s="21">
        <v>554.66999999999996</v>
      </c>
    </row>
    <row r="29845" spans="1:8" customFormat="1" x14ac:dyDescent="0.25">
      <c r="A29845" t="str">
        <f>"6213057"</f>
        <v>6213057</v>
      </c>
      <c r="B29845" t="s">
        <v>20827</v>
      </c>
      <c r="C29845" t="s">
        <v>720</v>
      </c>
      <c r="D29845" s="21" t="s">
        <v>34</v>
      </c>
      <c r="E29845" s="21" t="s">
        <v>254</v>
      </c>
      <c r="F29845">
        <v>7620065</v>
      </c>
      <c r="G29845" t="s">
        <v>6550</v>
      </c>
      <c r="H29845" s="21">
        <v>554.66999999999996</v>
      </c>
    </row>
    <row r="29846" spans="1:8" customFormat="1" x14ac:dyDescent="0.25">
      <c r="A29846" t="str">
        <f>"9432055"</f>
        <v>9432055</v>
      </c>
      <c r="B29846" t="s">
        <v>19061</v>
      </c>
      <c r="C29846" t="s">
        <v>144</v>
      </c>
      <c r="D29846" s="21" t="s">
        <v>34</v>
      </c>
      <c r="E29846" s="21" t="s">
        <v>71</v>
      </c>
      <c r="F29846">
        <v>8940482</v>
      </c>
      <c r="G29846" t="s">
        <v>2560</v>
      </c>
      <c r="H29846" s="21">
        <v>554.66999999999996</v>
      </c>
    </row>
    <row r="29847" spans="1:8" customFormat="1" x14ac:dyDescent="0.25">
      <c r="A29847" t="str">
        <f>"288962"</f>
        <v>288962</v>
      </c>
      <c r="B29847" t="s">
        <v>13732</v>
      </c>
      <c r="C29847" t="s">
        <v>598</v>
      </c>
      <c r="D29847" s="21" t="s">
        <v>34</v>
      </c>
      <c r="E29847" s="21" t="s">
        <v>35</v>
      </c>
      <c r="F29847">
        <v>10640013</v>
      </c>
      <c r="G29847" t="s">
        <v>4626</v>
      </c>
      <c r="H29847" s="21">
        <v>554.66999999999996</v>
      </c>
    </row>
    <row r="29848" spans="1:8" customFormat="1" x14ac:dyDescent="0.25">
      <c r="A29848" t="str">
        <f>"9126203"</f>
        <v>9126203</v>
      </c>
      <c r="B29848" t="s">
        <v>7512</v>
      </c>
      <c r="C29848" t="s">
        <v>249</v>
      </c>
      <c r="D29848" s="21" t="s">
        <v>34</v>
      </c>
      <c r="E29848" s="21" t="s">
        <v>71</v>
      </c>
      <c r="F29848">
        <v>8910285</v>
      </c>
      <c r="G29848" t="s">
        <v>26604</v>
      </c>
      <c r="H29848" s="21">
        <v>554.66999999999996</v>
      </c>
    </row>
    <row r="29849" spans="1:8" customFormat="1" x14ac:dyDescent="0.25">
      <c r="A29849" t="str">
        <f>"662361"</f>
        <v>662361</v>
      </c>
      <c r="B29849" t="s">
        <v>15911</v>
      </c>
      <c r="C29849" t="s">
        <v>139</v>
      </c>
      <c r="D29849" s="21" t="s">
        <v>34</v>
      </c>
      <c r="E29849" s="21" t="s">
        <v>35</v>
      </c>
      <c r="F29849">
        <v>11660032</v>
      </c>
      <c r="G29849" t="s">
        <v>3232</v>
      </c>
      <c r="H29849" s="21">
        <v>554.66999999999996</v>
      </c>
    </row>
    <row r="29850" spans="1:8" customFormat="1" x14ac:dyDescent="0.25">
      <c r="A29850" t="str">
        <f>"714363"</f>
        <v>714363</v>
      </c>
      <c r="B29850" t="s">
        <v>20405</v>
      </c>
      <c r="C29850" t="s">
        <v>1199</v>
      </c>
      <c r="D29850" s="21" t="s">
        <v>34</v>
      </c>
      <c r="E29850" s="21" t="s">
        <v>71</v>
      </c>
      <c r="F29850">
        <v>2710071</v>
      </c>
      <c r="G29850" t="s">
        <v>18603</v>
      </c>
      <c r="H29850" s="21">
        <v>554.66999999999996</v>
      </c>
    </row>
    <row r="29851" spans="1:8" customFormat="1" x14ac:dyDescent="0.25">
      <c r="A29851" t="str">
        <f>"3342790"</f>
        <v>3342790</v>
      </c>
      <c r="B29851" t="s">
        <v>4449</v>
      </c>
      <c r="C29851" t="s">
        <v>879</v>
      </c>
      <c r="D29851" s="21" t="s">
        <v>34</v>
      </c>
      <c r="E29851" s="21" t="s">
        <v>71</v>
      </c>
      <c r="F29851">
        <v>10330084</v>
      </c>
      <c r="G29851" t="s">
        <v>1124</v>
      </c>
      <c r="H29851" s="21">
        <v>554.54</v>
      </c>
    </row>
    <row r="29852" spans="1:8" customFormat="1" x14ac:dyDescent="0.25">
      <c r="A29852" t="str">
        <f>"2721670"</f>
        <v>2721670</v>
      </c>
      <c r="B29852" t="s">
        <v>5397</v>
      </c>
      <c r="C29852" t="s">
        <v>121</v>
      </c>
      <c r="D29852" s="21" t="s">
        <v>34</v>
      </c>
      <c r="E29852" s="21" t="s">
        <v>35</v>
      </c>
      <c r="F29852">
        <v>9270060</v>
      </c>
      <c r="G29852" t="s">
        <v>1982</v>
      </c>
      <c r="H29852" s="21">
        <v>554.5</v>
      </c>
    </row>
    <row r="29853" spans="1:8" customFormat="1" x14ac:dyDescent="0.25">
      <c r="A29853" t="str">
        <f>"7639345"</f>
        <v>7639345</v>
      </c>
      <c r="B29853" t="s">
        <v>1185</v>
      </c>
      <c r="C29853" t="s">
        <v>139</v>
      </c>
      <c r="D29853" s="21" t="s">
        <v>34</v>
      </c>
      <c r="E29853" s="21" t="s">
        <v>35</v>
      </c>
      <c r="F29853">
        <v>9760007</v>
      </c>
      <c r="G29853" t="s">
        <v>7255</v>
      </c>
      <c r="H29853" s="21">
        <v>554.41999999999996</v>
      </c>
    </row>
    <row r="29854" spans="1:8" customFormat="1" x14ac:dyDescent="0.25">
      <c r="A29854" t="str">
        <f>"798205"</f>
        <v>798205</v>
      </c>
      <c r="B29854" t="s">
        <v>5795</v>
      </c>
      <c r="C29854" t="s">
        <v>547</v>
      </c>
      <c r="D29854" s="21" t="s">
        <v>34</v>
      </c>
      <c r="E29854" s="21" t="s">
        <v>1089</v>
      </c>
      <c r="F29854">
        <v>10170024</v>
      </c>
      <c r="G29854" t="s">
        <v>16864</v>
      </c>
      <c r="H29854" s="21">
        <v>554.41999999999996</v>
      </c>
    </row>
    <row r="29855" spans="1:8" customFormat="1" x14ac:dyDescent="0.25">
      <c r="A29855" t="str">
        <f>"306627"</f>
        <v>306627</v>
      </c>
      <c r="B29855" t="s">
        <v>20109</v>
      </c>
      <c r="C29855" t="s">
        <v>98</v>
      </c>
      <c r="D29855" s="21" t="s">
        <v>34</v>
      </c>
      <c r="E29855" s="21" t="s">
        <v>35</v>
      </c>
      <c r="F29855">
        <v>4360002</v>
      </c>
      <c r="G29855" t="s">
        <v>222</v>
      </c>
      <c r="H29855" s="21">
        <v>554.41999999999996</v>
      </c>
    </row>
    <row r="29856" spans="1:8" customFormat="1" x14ac:dyDescent="0.25">
      <c r="A29856" t="str">
        <f>"3312884"</f>
        <v>3312884</v>
      </c>
      <c r="B29856" t="s">
        <v>2006</v>
      </c>
      <c r="C29856" t="s">
        <v>547</v>
      </c>
      <c r="D29856" s="21" t="s">
        <v>34</v>
      </c>
      <c r="E29856" s="21" t="s">
        <v>254</v>
      </c>
      <c r="F29856">
        <v>10330030</v>
      </c>
      <c r="G29856" t="s">
        <v>2990</v>
      </c>
      <c r="H29856" s="21">
        <v>554.41999999999996</v>
      </c>
    </row>
    <row r="29857" spans="1:8" customFormat="1" x14ac:dyDescent="0.25">
      <c r="A29857" t="str">
        <f>"5980629"</f>
        <v>5980629</v>
      </c>
      <c r="B29857" t="s">
        <v>21193</v>
      </c>
      <c r="C29857" t="s">
        <v>169</v>
      </c>
      <c r="D29857" s="21" t="s">
        <v>34</v>
      </c>
      <c r="E29857" s="21" t="s">
        <v>35</v>
      </c>
      <c r="F29857">
        <v>7590036</v>
      </c>
      <c r="G29857" t="s">
        <v>3802</v>
      </c>
      <c r="H29857" s="21">
        <v>554.41999999999996</v>
      </c>
    </row>
    <row r="29858" spans="1:8" customFormat="1" x14ac:dyDescent="0.25">
      <c r="A29858" t="str">
        <f>"7612630"</f>
        <v>7612630</v>
      </c>
      <c r="B29858" t="s">
        <v>2355</v>
      </c>
      <c r="C29858" t="s">
        <v>209</v>
      </c>
      <c r="D29858" s="21" t="s">
        <v>34</v>
      </c>
      <c r="E29858" s="21" t="s">
        <v>254</v>
      </c>
      <c r="F29858">
        <v>9760221</v>
      </c>
      <c r="G29858" t="s">
        <v>1306</v>
      </c>
      <c r="H29858" s="21">
        <v>554.41999999999996</v>
      </c>
    </row>
    <row r="29859" spans="1:8" customFormat="1" x14ac:dyDescent="0.25">
      <c r="A29859" t="str">
        <f>"1316945"</f>
        <v>1316945</v>
      </c>
      <c r="B29859" t="s">
        <v>24321</v>
      </c>
      <c r="C29859" t="s">
        <v>2904</v>
      </c>
      <c r="D29859" s="21" t="s">
        <v>34</v>
      </c>
      <c r="E29859" s="21" t="s">
        <v>254</v>
      </c>
      <c r="F29859">
        <v>13130100</v>
      </c>
      <c r="G29859" t="s">
        <v>2893</v>
      </c>
      <c r="H29859" s="21">
        <v>554.29</v>
      </c>
    </row>
    <row r="29860" spans="1:8" customFormat="1" x14ac:dyDescent="0.25">
      <c r="A29860" t="str">
        <f>"434515"</f>
        <v>434515</v>
      </c>
      <c r="B29860" t="s">
        <v>20358</v>
      </c>
      <c r="C29860" t="s">
        <v>1025</v>
      </c>
      <c r="D29860" s="21" t="s">
        <v>34</v>
      </c>
      <c r="E29860" s="21" t="s">
        <v>1089</v>
      </c>
      <c r="F29860">
        <v>1420308</v>
      </c>
      <c r="G29860" t="s">
        <v>14514</v>
      </c>
      <c r="H29860" s="21">
        <v>554.16999999999996</v>
      </c>
    </row>
    <row r="29861" spans="1:8" customFormat="1" x14ac:dyDescent="0.25">
      <c r="A29861" t="str">
        <f>"5432855"</f>
        <v>5432855</v>
      </c>
      <c r="B29861" t="s">
        <v>28171</v>
      </c>
      <c r="C29861" t="s">
        <v>174</v>
      </c>
      <c r="D29861" s="21" t="s">
        <v>34</v>
      </c>
      <c r="E29861" s="21" t="s">
        <v>35</v>
      </c>
      <c r="F29861">
        <v>6540194</v>
      </c>
      <c r="G29861" t="s">
        <v>7171</v>
      </c>
      <c r="H29861" s="21">
        <v>554.16999999999996</v>
      </c>
    </row>
    <row r="29862" spans="1:8" customFormat="1" x14ac:dyDescent="0.25">
      <c r="A29862" t="str">
        <f>"9239403"</f>
        <v>9239403</v>
      </c>
      <c r="B29862" t="s">
        <v>21233</v>
      </c>
      <c r="C29862" t="s">
        <v>139</v>
      </c>
      <c r="D29862" s="21" t="s">
        <v>34</v>
      </c>
      <c r="E29862" s="21" t="s">
        <v>35</v>
      </c>
      <c r="F29862">
        <v>8920066</v>
      </c>
      <c r="G29862" t="s">
        <v>4899</v>
      </c>
      <c r="H29862" s="21">
        <v>554.16999999999996</v>
      </c>
    </row>
    <row r="29863" spans="1:8" customFormat="1" x14ac:dyDescent="0.25">
      <c r="A29863" t="str">
        <f>"2720522"</f>
        <v>2720522</v>
      </c>
      <c r="B29863" t="s">
        <v>21700</v>
      </c>
      <c r="C29863" t="s">
        <v>412</v>
      </c>
      <c r="D29863" s="21" t="s">
        <v>34</v>
      </c>
      <c r="E29863" s="21" t="s">
        <v>1089</v>
      </c>
      <c r="F29863">
        <v>9270047</v>
      </c>
      <c r="G29863" t="s">
        <v>4420</v>
      </c>
      <c r="H29863" s="21">
        <v>554.16999999999996</v>
      </c>
    </row>
    <row r="29864" spans="1:8" customFormat="1" x14ac:dyDescent="0.25">
      <c r="A29864" t="str">
        <f>"8521325"</f>
        <v>8521325</v>
      </c>
      <c r="B29864" t="s">
        <v>3089</v>
      </c>
      <c r="C29864" t="s">
        <v>169</v>
      </c>
      <c r="D29864" s="21" t="s">
        <v>34</v>
      </c>
      <c r="E29864" s="21" t="s">
        <v>71</v>
      </c>
      <c r="F29864">
        <v>12850072</v>
      </c>
      <c r="G29864" t="s">
        <v>7184</v>
      </c>
      <c r="H29864" s="21">
        <v>554.16999999999996</v>
      </c>
    </row>
    <row r="29865" spans="1:8" customFormat="1" x14ac:dyDescent="0.25">
      <c r="A29865" t="str">
        <f>"4710270"</f>
        <v>4710270</v>
      </c>
      <c r="B29865" t="s">
        <v>14487</v>
      </c>
      <c r="C29865" t="s">
        <v>82</v>
      </c>
      <c r="D29865" s="21" t="s">
        <v>34</v>
      </c>
      <c r="E29865" s="21" t="s">
        <v>35</v>
      </c>
      <c r="F29865">
        <v>10470004</v>
      </c>
      <c r="G29865" t="s">
        <v>15474</v>
      </c>
      <c r="H29865" s="21">
        <v>554.16999999999996</v>
      </c>
    </row>
    <row r="29866" spans="1:8" customFormat="1" x14ac:dyDescent="0.25">
      <c r="A29866" t="str">
        <f>"8614870"</f>
        <v>8614870</v>
      </c>
      <c r="B29866" t="s">
        <v>22565</v>
      </c>
      <c r="C29866" t="s">
        <v>43</v>
      </c>
      <c r="D29866" s="21" t="s">
        <v>34</v>
      </c>
      <c r="E29866" s="21" t="s">
        <v>35</v>
      </c>
      <c r="F29866">
        <v>10860016</v>
      </c>
      <c r="G29866" t="s">
        <v>3289</v>
      </c>
      <c r="H29866" s="21">
        <v>554.16999999999996</v>
      </c>
    </row>
    <row r="29867" spans="1:8" customFormat="1" x14ac:dyDescent="0.25">
      <c r="A29867" t="str">
        <f>"2610880"</f>
        <v>2610880</v>
      </c>
      <c r="B29867" t="s">
        <v>16476</v>
      </c>
      <c r="C29867" t="s">
        <v>2529</v>
      </c>
      <c r="D29867" s="21" t="s">
        <v>34</v>
      </c>
      <c r="E29867" s="21" t="s">
        <v>254</v>
      </c>
      <c r="F29867">
        <v>1380130</v>
      </c>
      <c r="G29867" t="s">
        <v>6667</v>
      </c>
      <c r="H29867" s="21">
        <v>554.16999999999996</v>
      </c>
    </row>
    <row r="29868" spans="1:8" customFormat="1" x14ac:dyDescent="0.25">
      <c r="A29868" t="str">
        <f>"4450557"</f>
        <v>4450557</v>
      </c>
      <c r="B29868" t="s">
        <v>19781</v>
      </c>
      <c r="C29868" t="s">
        <v>33</v>
      </c>
      <c r="D29868" s="21" t="s">
        <v>34</v>
      </c>
      <c r="E29868" s="21" t="s">
        <v>35</v>
      </c>
      <c r="F29868">
        <v>12440197</v>
      </c>
      <c r="G29868" t="s">
        <v>1101</v>
      </c>
      <c r="H29868" s="21">
        <v>554.16999999999996</v>
      </c>
    </row>
    <row r="29869" spans="1:8" customFormat="1" x14ac:dyDescent="0.25">
      <c r="A29869" t="str">
        <f>"6232119"</f>
        <v>6232119</v>
      </c>
      <c r="B29869" t="s">
        <v>22085</v>
      </c>
      <c r="C29869" t="s">
        <v>239</v>
      </c>
      <c r="D29869" s="21" t="s">
        <v>34</v>
      </c>
      <c r="E29869" s="21" t="s">
        <v>71</v>
      </c>
      <c r="F29869">
        <v>7620016</v>
      </c>
      <c r="G29869" t="s">
        <v>6850</v>
      </c>
      <c r="H29869" s="21">
        <v>554.16999999999996</v>
      </c>
    </row>
    <row r="29870" spans="1:8" customFormat="1" x14ac:dyDescent="0.25">
      <c r="A29870" t="str">
        <f>"0212333"</f>
        <v>0212333</v>
      </c>
      <c r="B29870" t="s">
        <v>28172</v>
      </c>
      <c r="C29870" t="s">
        <v>1110</v>
      </c>
      <c r="D29870" s="21" t="s">
        <v>34</v>
      </c>
      <c r="E29870" s="21" t="s">
        <v>254</v>
      </c>
      <c r="F29870">
        <v>7020036</v>
      </c>
      <c r="G29870" t="s">
        <v>8431</v>
      </c>
      <c r="H29870" s="21">
        <v>554.16999999999996</v>
      </c>
    </row>
    <row r="29871" spans="1:8" customFormat="1" x14ac:dyDescent="0.25">
      <c r="A29871" t="str">
        <f>"2717147"</f>
        <v>2717147</v>
      </c>
      <c r="B29871" t="s">
        <v>22086</v>
      </c>
      <c r="C29871" t="s">
        <v>22087</v>
      </c>
      <c r="D29871" s="21" t="s">
        <v>34</v>
      </c>
      <c r="E29871" s="21" t="s">
        <v>254</v>
      </c>
      <c r="F29871">
        <v>4370608</v>
      </c>
      <c r="G29871" t="s">
        <v>11068</v>
      </c>
      <c r="H29871" s="21">
        <v>554.16999999999996</v>
      </c>
    </row>
    <row r="29872" spans="1:8" customFormat="1" x14ac:dyDescent="0.25">
      <c r="A29872" t="str">
        <f>"768542"</f>
        <v>768542</v>
      </c>
      <c r="B29872" t="s">
        <v>392</v>
      </c>
      <c r="C29872" t="s">
        <v>598</v>
      </c>
      <c r="D29872" s="21" t="s">
        <v>34</v>
      </c>
      <c r="E29872" s="21" t="s">
        <v>254</v>
      </c>
      <c r="F29872">
        <v>9760129</v>
      </c>
      <c r="G29872" t="s">
        <v>6147</v>
      </c>
      <c r="H29872" s="21">
        <v>554.16999999999996</v>
      </c>
    </row>
    <row r="29873" spans="1:8" customFormat="1" x14ac:dyDescent="0.25">
      <c r="A29873" t="str">
        <f>"8312557"</f>
        <v>8312557</v>
      </c>
      <c r="B29873" t="s">
        <v>15963</v>
      </c>
      <c r="C29873" t="s">
        <v>139</v>
      </c>
      <c r="D29873" s="21" t="s">
        <v>34</v>
      </c>
      <c r="E29873" s="21" t="s">
        <v>71</v>
      </c>
      <c r="F29873">
        <v>13830013</v>
      </c>
      <c r="G29873" t="s">
        <v>3374</v>
      </c>
      <c r="H29873" s="21">
        <v>554.16999999999996</v>
      </c>
    </row>
    <row r="29874" spans="1:8" customFormat="1" x14ac:dyDescent="0.25">
      <c r="A29874" t="str">
        <f>"7923458"</f>
        <v>7923458</v>
      </c>
      <c r="B29874" t="s">
        <v>19979</v>
      </c>
      <c r="C29874" t="s">
        <v>288</v>
      </c>
      <c r="D29874" s="21" t="s">
        <v>34</v>
      </c>
      <c r="E29874" s="21" t="s">
        <v>35</v>
      </c>
      <c r="F29874">
        <v>10790009</v>
      </c>
      <c r="G29874" t="s">
        <v>1155</v>
      </c>
      <c r="H29874" s="21">
        <v>554.16999999999996</v>
      </c>
    </row>
    <row r="29875" spans="1:8" customFormat="1" x14ac:dyDescent="0.25">
      <c r="A29875" t="str">
        <f>"6725917"</f>
        <v>6725917</v>
      </c>
      <c r="B29875" t="s">
        <v>20884</v>
      </c>
      <c r="C29875" t="s">
        <v>379</v>
      </c>
      <c r="D29875" s="21" t="s">
        <v>34</v>
      </c>
      <c r="E29875" s="21" t="s">
        <v>71</v>
      </c>
      <c r="F29875">
        <v>6670271</v>
      </c>
      <c r="G29875" t="s">
        <v>5193</v>
      </c>
      <c r="H29875" s="21">
        <v>554.16999999999996</v>
      </c>
    </row>
    <row r="29876" spans="1:8" customFormat="1" x14ac:dyDescent="0.25">
      <c r="A29876" t="str">
        <f>"8613538"</f>
        <v>8613538</v>
      </c>
      <c r="B29876" t="s">
        <v>21325</v>
      </c>
      <c r="C29876" t="s">
        <v>33</v>
      </c>
      <c r="D29876" s="21" t="s">
        <v>34</v>
      </c>
      <c r="E29876" s="21" t="s">
        <v>35</v>
      </c>
      <c r="F29876">
        <v>10860234</v>
      </c>
      <c r="G29876" t="s">
        <v>1966</v>
      </c>
      <c r="H29876" s="21">
        <v>554.16999999999996</v>
      </c>
    </row>
    <row r="29877" spans="1:8" customFormat="1" x14ac:dyDescent="0.25">
      <c r="A29877" t="str">
        <f>"2720342"</f>
        <v>2720342</v>
      </c>
      <c r="B29877" t="s">
        <v>4368</v>
      </c>
      <c r="C29877" t="s">
        <v>462</v>
      </c>
      <c r="D29877" s="21" t="s">
        <v>34</v>
      </c>
      <c r="E29877" s="21" t="s">
        <v>35</v>
      </c>
      <c r="F29877">
        <v>9270180</v>
      </c>
      <c r="G29877" t="s">
        <v>10755</v>
      </c>
      <c r="H29877" s="21">
        <v>554.16999999999996</v>
      </c>
    </row>
    <row r="29878" spans="1:8" customFormat="1" x14ac:dyDescent="0.25">
      <c r="A29878" t="str">
        <f>"848375"</f>
        <v>848375</v>
      </c>
      <c r="B29878" t="s">
        <v>21515</v>
      </c>
      <c r="C29878" t="s">
        <v>343</v>
      </c>
      <c r="D29878" s="21" t="s">
        <v>34</v>
      </c>
      <c r="E29878" s="21" t="s">
        <v>35</v>
      </c>
      <c r="F29878">
        <v>13840013</v>
      </c>
      <c r="G29878" t="s">
        <v>7323</v>
      </c>
      <c r="H29878" s="21">
        <v>554.04</v>
      </c>
    </row>
    <row r="29879" spans="1:8" customFormat="1" x14ac:dyDescent="0.25">
      <c r="A29879" t="str">
        <f>"9236839"</f>
        <v>9236839</v>
      </c>
      <c r="B29879" t="s">
        <v>16476</v>
      </c>
      <c r="C29879" t="s">
        <v>336</v>
      </c>
      <c r="D29879" s="21" t="s">
        <v>34</v>
      </c>
      <c r="E29879" s="21" t="s">
        <v>254</v>
      </c>
      <c r="F29879">
        <v>8921316</v>
      </c>
      <c r="G29879" t="s">
        <v>12326</v>
      </c>
      <c r="H29879" s="21">
        <v>554</v>
      </c>
    </row>
    <row r="29880" spans="1:8" customFormat="1" x14ac:dyDescent="0.25">
      <c r="A29880" t="str">
        <f>"6948128"</f>
        <v>6948128</v>
      </c>
      <c r="B29880" t="s">
        <v>11865</v>
      </c>
      <c r="C29880" t="s">
        <v>156</v>
      </c>
      <c r="D29880" s="21" t="s">
        <v>34</v>
      </c>
      <c r="E29880" s="21" t="s">
        <v>35</v>
      </c>
      <c r="F29880">
        <v>1690058</v>
      </c>
      <c r="G29880" t="s">
        <v>1644</v>
      </c>
      <c r="H29880" s="21">
        <v>554</v>
      </c>
    </row>
    <row r="29881" spans="1:8" customFormat="1" x14ac:dyDescent="0.25">
      <c r="A29881" t="str">
        <f>"434412"</f>
        <v>434412</v>
      </c>
      <c r="B29881" t="s">
        <v>19278</v>
      </c>
      <c r="C29881" t="s">
        <v>60</v>
      </c>
      <c r="D29881" s="21" t="s">
        <v>34</v>
      </c>
      <c r="E29881" s="21" t="s">
        <v>35</v>
      </c>
      <c r="F29881">
        <v>1420309</v>
      </c>
      <c r="G29881" t="s">
        <v>26798</v>
      </c>
      <c r="H29881" s="21">
        <v>553.79</v>
      </c>
    </row>
    <row r="29882" spans="1:8" customFormat="1" x14ac:dyDescent="0.25">
      <c r="A29882" t="str">
        <f>"6930534"</f>
        <v>6930534</v>
      </c>
      <c r="B29882" t="s">
        <v>28173</v>
      </c>
      <c r="C29882" t="s">
        <v>269</v>
      </c>
      <c r="D29882" s="21" t="s">
        <v>34</v>
      </c>
      <c r="E29882" s="21" t="s">
        <v>71</v>
      </c>
      <c r="F29882">
        <v>1690181</v>
      </c>
      <c r="G29882" t="s">
        <v>20881</v>
      </c>
      <c r="H29882" s="21">
        <v>553.66999999999996</v>
      </c>
    </row>
    <row r="29883" spans="1:8" customFormat="1" x14ac:dyDescent="0.25">
      <c r="A29883" t="str">
        <f>"165893"</f>
        <v>165893</v>
      </c>
      <c r="B29883" t="s">
        <v>21915</v>
      </c>
      <c r="C29883" t="s">
        <v>1714</v>
      </c>
      <c r="D29883" s="21" t="s">
        <v>34</v>
      </c>
      <c r="E29883" s="21" t="s">
        <v>254</v>
      </c>
      <c r="F29883">
        <v>10160122</v>
      </c>
      <c r="G29883" t="s">
        <v>8169</v>
      </c>
      <c r="H29883" s="21">
        <v>553.66999999999996</v>
      </c>
    </row>
    <row r="29884" spans="1:8" customFormat="1" x14ac:dyDescent="0.25">
      <c r="A29884" t="str">
        <f>"7729734"</f>
        <v>7729734</v>
      </c>
      <c r="B29884" t="s">
        <v>28174</v>
      </c>
      <c r="C29884" t="s">
        <v>412</v>
      </c>
      <c r="D29884" s="21" t="s">
        <v>34</v>
      </c>
      <c r="E29884" s="21" t="s">
        <v>254</v>
      </c>
      <c r="F29884">
        <v>8770499</v>
      </c>
      <c r="G29884" t="s">
        <v>447</v>
      </c>
      <c r="H29884" s="21">
        <v>553.66999999999996</v>
      </c>
    </row>
    <row r="29885" spans="1:8" customFormat="1" x14ac:dyDescent="0.25">
      <c r="A29885" t="str">
        <f>"3714420"</f>
        <v>3714420</v>
      </c>
      <c r="B29885" t="s">
        <v>19326</v>
      </c>
      <c r="C29885" t="s">
        <v>415</v>
      </c>
      <c r="D29885" s="21" t="s">
        <v>34</v>
      </c>
      <c r="E29885" s="21" t="s">
        <v>254</v>
      </c>
      <c r="F29885">
        <v>4370132</v>
      </c>
      <c r="G29885" t="s">
        <v>2262</v>
      </c>
      <c r="H29885" s="21">
        <v>553.66999999999996</v>
      </c>
    </row>
    <row r="29886" spans="1:8" customFormat="1" x14ac:dyDescent="0.25">
      <c r="A29886" t="str">
        <f>"8019678"</f>
        <v>8019678</v>
      </c>
      <c r="B29886" t="s">
        <v>19573</v>
      </c>
      <c r="C29886" t="s">
        <v>246</v>
      </c>
      <c r="D29886" s="21" t="s">
        <v>34</v>
      </c>
      <c r="E29886" s="21" t="s">
        <v>254</v>
      </c>
      <c r="F29886">
        <v>7800141</v>
      </c>
      <c r="G29886" t="s">
        <v>9939</v>
      </c>
      <c r="H29886" s="21">
        <v>553.66999999999996</v>
      </c>
    </row>
    <row r="29887" spans="1:8" customFormat="1" x14ac:dyDescent="0.25">
      <c r="A29887" t="str">
        <f>"3730163"</f>
        <v>3730163</v>
      </c>
      <c r="B29887" t="s">
        <v>8753</v>
      </c>
      <c r="C29887" t="s">
        <v>90</v>
      </c>
      <c r="D29887" s="21" t="s">
        <v>34</v>
      </c>
      <c r="E29887" s="21" t="s">
        <v>35</v>
      </c>
      <c r="F29887">
        <v>4370015</v>
      </c>
      <c r="G29887" t="s">
        <v>17941</v>
      </c>
      <c r="H29887" s="21">
        <v>553.66999999999996</v>
      </c>
    </row>
    <row r="29888" spans="1:8" customFormat="1" x14ac:dyDescent="0.25">
      <c r="A29888" t="str">
        <f>"4442637"</f>
        <v>4442637</v>
      </c>
      <c r="B29888" t="s">
        <v>10803</v>
      </c>
      <c r="C29888" t="s">
        <v>8106</v>
      </c>
      <c r="D29888" s="21" t="s">
        <v>34</v>
      </c>
      <c r="E29888" s="21" t="s">
        <v>35</v>
      </c>
      <c r="F29888">
        <v>12440104</v>
      </c>
      <c r="G29888" t="s">
        <v>5862</v>
      </c>
      <c r="H29888" s="21">
        <v>553.66999999999996</v>
      </c>
    </row>
    <row r="29889" spans="1:8" customFormat="1" x14ac:dyDescent="0.25">
      <c r="A29889" t="str">
        <f>"5310798"</f>
        <v>5310798</v>
      </c>
      <c r="B29889" t="s">
        <v>19997</v>
      </c>
      <c r="C29889" t="s">
        <v>239</v>
      </c>
      <c r="D29889" s="21" t="s">
        <v>34</v>
      </c>
      <c r="E29889" s="21" t="s">
        <v>254</v>
      </c>
      <c r="F29889">
        <v>12530070</v>
      </c>
      <c r="G29889" t="s">
        <v>4905</v>
      </c>
      <c r="H29889" s="21">
        <v>553.66999999999996</v>
      </c>
    </row>
    <row r="29890" spans="1:8" customFormat="1" x14ac:dyDescent="0.25">
      <c r="A29890" t="str">
        <f>"443449"</f>
        <v>443449</v>
      </c>
      <c r="B29890" t="s">
        <v>19755</v>
      </c>
      <c r="C29890" t="s">
        <v>269</v>
      </c>
      <c r="D29890" s="21" t="s">
        <v>34</v>
      </c>
      <c r="E29890" s="21" t="s">
        <v>254</v>
      </c>
      <c r="F29890">
        <v>12440125</v>
      </c>
      <c r="G29890" t="s">
        <v>8347</v>
      </c>
      <c r="H29890" s="21">
        <v>553.66999999999996</v>
      </c>
    </row>
    <row r="29891" spans="1:8" customFormat="1" x14ac:dyDescent="0.25">
      <c r="A29891" t="str">
        <f>"4424564"</f>
        <v>4424564</v>
      </c>
      <c r="B29891" t="s">
        <v>20416</v>
      </c>
      <c r="C29891" t="s">
        <v>124</v>
      </c>
      <c r="D29891" s="21" t="s">
        <v>34</v>
      </c>
      <c r="E29891" s="21" t="s">
        <v>71</v>
      </c>
      <c r="F29891">
        <v>12440009</v>
      </c>
      <c r="G29891" t="s">
        <v>1983</v>
      </c>
      <c r="H29891" s="21">
        <v>553.66999999999996</v>
      </c>
    </row>
    <row r="29892" spans="1:8" customFormat="1" x14ac:dyDescent="0.25">
      <c r="A29892" t="str">
        <f>"5613674"</f>
        <v>5613674</v>
      </c>
      <c r="B29892" t="s">
        <v>28175</v>
      </c>
      <c r="C29892" t="s">
        <v>1025</v>
      </c>
      <c r="D29892" s="21" t="s">
        <v>34</v>
      </c>
      <c r="E29892" s="21" t="s">
        <v>35</v>
      </c>
      <c r="F29892">
        <v>3560028</v>
      </c>
      <c r="G29892" t="s">
        <v>5916</v>
      </c>
      <c r="H29892" s="21">
        <v>553.66999999999996</v>
      </c>
    </row>
    <row r="29893" spans="1:8" customFormat="1" x14ac:dyDescent="0.25">
      <c r="A29893" t="str">
        <f>"2938213"</f>
        <v>2938213</v>
      </c>
      <c r="B29893" t="s">
        <v>4124</v>
      </c>
      <c r="C29893" t="s">
        <v>2100</v>
      </c>
      <c r="D29893" s="21" t="s">
        <v>34</v>
      </c>
      <c r="E29893" s="21" t="s">
        <v>254</v>
      </c>
      <c r="F29893">
        <v>3290200</v>
      </c>
      <c r="G29893" t="s">
        <v>3488</v>
      </c>
      <c r="H29893" s="21">
        <v>553.66999999999996</v>
      </c>
    </row>
    <row r="29894" spans="1:8" customFormat="1" x14ac:dyDescent="0.25">
      <c r="A29894" t="str">
        <f>"1419886"</f>
        <v>1419886</v>
      </c>
      <c r="B29894" t="s">
        <v>2518</v>
      </c>
      <c r="C29894" t="s">
        <v>33</v>
      </c>
      <c r="D29894" s="21" t="s">
        <v>34</v>
      </c>
      <c r="E29894" s="21" t="s">
        <v>35</v>
      </c>
      <c r="F29894">
        <v>9140003</v>
      </c>
      <c r="G29894" t="s">
        <v>6152</v>
      </c>
      <c r="H29894" s="21">
        <v>553.66999999999996</v>
      </c>
    </row>
    <row r="29895" spans="1:8" customFormat="1" x14ac:dyDescent="0.25">
      <c r="A29895" t="str">
        <f>"4425136"</f>
        <v>4425136</v>
      </c>
      <c r="B29895" t="s">
        <v>20420</v>
      </c>
      <c r="C29895" t="s">
        <v>209</v>
      </c>
      <c r="D29895" s="21" t="s">
        <v>34</v>
      </c>
      <c r="E29895" s="21" t="s">
        <v>254</v>
      </c>
      <c r="F29895">
        <v>12440131</v>
      </c>
      <c r="G29895" t="s">
        <v>15572</v>
      </c>
      <c r="H29895" s="21">
        <v>553.66999999999996</v>
      </c>
    </row>
    <row r="29896" spans="1:8" customFormat="1" x14ac:dyDescent="0.25">
      <c r="A29896" t="str">
        <f>"087381"</f>
        <v>087381</v>
      </c>
      <c r="B29896" t="s">
        <v>19649</v>
      </c>
      <c r="C29896" t="s">
        <v>5574</v>
      </c>
      <c r="D29896" s="21" t="s">
        <v>34</v>
      </c>
      <c r="E29896" s="21" t="s">
        <v>254</v>
      </c>
      <c r="F29896">
        <v>6080074</v>
      </c>
      <c r="G29896" t="s">
        <v>13069</v>
      </c>
      <c r="H29896" s="21">
        <v>553.66999999999996</v>
      </c>
    </row>
    <row r="29897" spans="1:8" customFormat="1" x14ac:dyDescent="0.25">
      <c r="A29897" t="str">
        <f>"5311808"</f>
        <v>5311808</v>
      </c>
      <c r="B29897" t="s">
        <v>5883</v>
      </c>
      <c r="C29897" t="s">
        <v>119</v>
      </c>
      <c r="D29897" s="21" t="s">
        <v>34</v>
      </c>
      <c r="E29897" s="21" t="s">
        <v>35</v>
      </c>
      <c r="F29897">
        <v>12530042</v>
      </c>
      <c r="G29897" t="s">
        <v>4619</v>
      </c>
      <c r="H29897" s="21">
        <v>553.66999999999996</v>
      </c>
    </row>
    <row r="29898" spans="1:8" customFormat="1" x14ac:dyDescent="0.25">
      <c r="A29898" t="str">
        <f>"5978100"</f>
        <v>5978100</v>
      </c>
      <c r="B29898" t="s">
        <v>6422</v>
      </c>
      <c r="C29898" t="s">
        <v>65</v>
      </c>
      <c r="D29898" s="21" t="s">
        <v>34</v>
      </c>
      <c r="E29898" s="21" t="s">
        <v>35</v>
      </c>
      <c r="F29898">
        <v>7590412</v>
      </c>
      <c r="G29898" t="s">
        <v>489</v>
      </c>
      <c r="H29898" s="21">
        <v>553.66999999999996</v>
      </c>
    </row>
    <row r="29899" spans="1:8" customFormat="1" x14ac:dyDescent="0.25">
      <c r="A29899" t="str">
        <f>"3343591"</f>
        <v>3343591</v>
      </c>
      <c r="B29899" t="s">
        <v>21499</v>
      </c>
      <c r="C29899" t="s">
        <v>462</v>
      </c>
      <c r="D29899" s="21" t="s">
        <v>34</v>
      </c>
      <c r="E29899" s="21" t="s">
        <v>71</v>
      </c>
      <c r="F29899">
        <v>10330130</v>
      </c>
      <c r="G29899" t="s">
        <v>13867</v>
      </c>
      <c r="H29899" s="21">
        <v>553.66999999999996</v>
      </c>
    </row>
    <row r="29900" spans="1:8" customFormat="1" x14ac:dyDescent="0.25">
      <c r="A29900" t="str">
        <f>"4112562"</f>
        <v>4112562</v>
      </c>
      <c r="B29900" t="s">
        <v>20732</v>
      </c>
      <c r="C29900" t="s">
        <v>20733</v>
      </c>
      <c r="D29900" s="21" t="s">
        <v>34</v>
      </c>
      <c r="E29900" s="21" t="s">
        <v>71</v>
      </c>
      <c r="F29900">
        <v>4410469</v>
      </c>
      <c r="G29900" t="s">
        <v>7919</v>
      </c>
      <c r="H29900" s="21">
        <v>553.66999999999996</v>
      </c>
    </row>
    <row r="29901" spans="1:8" customFormat="1" x14ac:dyDescent="0.25">
      <c r="A29901" t="str">
        <f>"6921412"</f>
        <v>6921412</v>
      </c>
      <c r="B29901" t="s">
        <v>20450</v>
      </c>
      <c r="C29901" t="s">
        <v>267</v>
      </c>
      <c r="D29901" s="21" t="s">
        <v>34</v>
      </c>
      <c r="E29901" s="21" t="s">
        <v>254</v>
      </c>
      <c r="F29901">
        <v>1690052</v>
      </c>
      <c r="G29901" t="s">
        <v>273</v>
      </c>
      <c r="H29901" s="21">
        <v>553.66999999999996</v>
      </c>
    </row>
    <row r="29902" spans="1:8" customFormat="1" x14ac:dyDescent="0.25">
      <c r="A29902" t="str">
        <f>"4447541"</f>
        <v>4447541</v>
      </c>
      <c r="B29902" t="s">
        <v>14669</v>
      </c>
      <c r="C29902" t="s">
        <v>1132</v>
      </c>
      <c r="D29902" s="21" t="s">
        <v>34</v>
      </c>
      <c r="E29902" s="21" t="s">
        <v>71</v>
      </c>
      <c r="F29902">
        <v>12440141</v>
      </c>
      <c r="G29902" t="s">
        <v>3234</v>
      </c>
      <c r="H29902" s="21">
        <v>553.66999999999996</v>
      </c>
    </row>
    <row r="29903" spans="1:8" customFormat="1" x14ac:dyDescent="0.25">
      <c r="A29903" t="str">
        <f>"2716120"</f>
        <v>2716120</v>
      </c>
      <c r="B29903" t="s">
        <v>20825</v>
      </c>
      <c r="C29903" t="s">
        <v>40</v>
      </c>
      <c r="D29903" s="21" t="s">
        <v>34</v>
      </c>
      <c r="E29903" s="21" t="s">
        <v>254</v>
      </c>
      <c r="F29903">
        <v>9270185</v>
      </c>
      <c r="G29903" t="s">
        <v>9160</v>
      </c>
      <c r="H29903" s="21">
        <v>553.66999999999996</v>
      </c>
    </row>
    <row r="29904" spans="1:8" customFormat="1" x14ac:dyDescent="0.25">
      <c r="A29904" t="str">
        <f>"7711330"</f>
        <v>7711330</v>
      </c>
      <c r="B29904" t="s">
        <v>11670</v>
      </c>
      <c r="C29904" t="s">
        <v>198</v>
      </c>
      <c r="D29904" s="21" t="s">
        <v>34</v>
      </c>
      <c r="E29904" s="21" t="s">
        <v>71</v>
      </c>
      <c r="F29904">
        <v>8771426</v>
      </c>
      <c r="G29904" t="s">
        <v>844</v>
      </c>
      <c r="H29904" s="21">
        <v>553.66999999999996</v>
      </c>
    </row>
    <row r="29905" spans="1:8" customFormat="1" x14ac:dyDescent="0.25">
      <c r="A29905" t="str">
        <f>"9239066"</f>
        <v>9239066</v>
      </c>
      <c r="B29905" t="s">
        <v>22737</v>
      </c>
      <c r="C29905" t="s">
        <v>22738</v>
      </c>
      <c r="D29905" s="21" t="s">
        <v>34</v>
      </c>
      <c r="E29905" s="21" t="s">
        <v>35</v>
      </c>
      <c r="F29905">
        <v>8920067</v>
      </c>
      <c r="G29905" t="s">
        <v>258</v>
      </c>
      <c r="H29905" s="21">
        <v>553.66999999999996</v>
      </c>
    </row>
    <row r="29906" spans="1:8" customFormat="1" x14ac:dyDescent="0.25">
      <c r="A29906" t="str">
        <f>"7822349"</f>
        <v>7822349</v>
      </c>
      <c r="B29906" t="s">
        <v>2189</v>
      </c>
      <c r="C29906" t="s">
        <v>1841</v>
      </c>
      <c r="D29906" s="21" t="s">
        <v>34</v>
      </c>
      <c r="E29906" s="21" t="s">
        <v>254</v>
      </c>
      <c r="F29906">
        <v>9140202</v>
      </c>
      <c r="G29906" t="s">
        <v>2011</v>
      </c>
      <c r="H29906" s="21">
        <v>553.66999999999996</v>
      </c>
    </row>
    <row r="29907" spans="1:8" customFormat="1" x14ac:dyDescent="0.25">
      <c r="A29907" t="str">
        <f>"5020428"</f>
        <v>5020428</v>
      </c>
      <c r="B29907" t="s">
        <v>21522</v>
      </c>
      <c r="C29907" t="s">
        <v>55</v>
      </c>
      <c r="D29907" s="21" t="s">
        <v>34</v>
      </c>
      <c r="E29907" s="21" t="s">
        <v>254</v>
      </c>
      <c r="F29907">
        <v>9500132</v>
      </c>
      <c r="G29907" t="s">
        <v>11167</v>
      </c>
      <c r="H29907" s="21">
        <v>553.66999999999996</v>
      </c>
    </row>
    <row r="29908" spans="1:8" customFormat="1" x14ac:dyDescent="0.25">
      <c r="A29908" t="str">
        <f>"5947439"</f>
        <v>5947439</v>
      </c>
      <c r="B29908" t="s">
        <v>392</v>
      </c>
      <c r="C29908" t="s">
        <v>204</v>
      </c>
      <c r="D29908" s="21" t="s">
        <v>34</v>
      </c>
      <c r="E29908" s="21" t="s">
        <v>35</v>
      </c>
      <c r="F29908">
        <v>7590065</v>
      </c>
      <c r="G29908" t="s">
        <v>1598</v>
      </c>
      <c r="H29908" s="21">
        <v>553.66999999999996</v>
      </c>
    </row>
    <row r="29909" spans="1:8" customFormat="1" x14ac:dyDescent="0.25">
      <c r="A29909" t="str">
        <f>"4451180"</f>
        <v>4451180</v>
      </c>
      <c r="B29909" t="s">
        <v>679</v>
      </c>
      <c r="C29909" t="s">
        <v>712</v>
      </c>
      <c r="D29909" s="21" t="s">
        <v>34</v>
      </c>
      <c r="E29909" s="21" t="s">
        <v>35</v>
      </c>
      <c r="F29909">
        <v>12440116</v>
      </c>
      <c r="G29909" t="s">
        <v>26673</v>
      </c>
      <c r="H29909" s="21">
        <v>553.66999999999996</v>
      </c>
    </row>
    <row r="29910" spans="1:8" customFormat="1" x14ac:dyDescent="0.25">
      <c r="A29910" t="str">
        <f>"7220272"</f>
        <v>7220272</v>
      </c>
      <c r="B29910" t="s">
        <v>556</v>
      </c>
      <c r="C29910" t="s">
        <v>187</v>
      </c>
      <c r="D29910" s="21" t="s">
        <v>34</v>
      </c>
      <c r="E29910" s="21" t="s">
        <v>35</v>
      </c>
      <c r="F29910">
        <v>12720050</v>
      </c>
      <c r="G29910" t="s">
        <v>5522</v>
      </c>
      <c r="H29910" s="21">
        <v>553.5</v>
      </c>
    </row>
    <row r="29911" spans="1:8" customFormat="1" x14ac:dyDescent="0.25">
      <c r="A29911" t="str">
        <f>"667905"</f>
        <v>667905</v>
      </c>
      <c r="B29911" t="s">
        <v>28176</v>
      </c>
      <c r="C29911" t="s">
        <v>209</v>
      </c>
      <c r="D29911" s="21" t="s">
        <v>34</v>
      </c>
      <c r="E29911" s="21" t="s">
        <v>71</v>
      </c>
      <c r="F29911">
        <v>11660031</v>
      </c>
      <c r="G29911" t="s">
        <v>12617</v>
      </c>
      <c r="H29911" s="21">
        <v>553.5</v>
      </c>
    </row>
    <row r="29912" spans="1:8" customFormat="1" x14ac:dyDescent="0.25">
      <c r="A29912" t="str">
        <f>"123230"</f>
        <v>123230</v>
      </c>
      <c r="B29912" t="s">
        <v>28177</v>
      </c>
      <c r="C29912" t="s">
        <v>171</v>
      </c>
      <c r="D29912" s="21" t="s">
        <v>34</v>
      </c>
      <c r="E29912" s="21" t="s">
        <v>35</v>
      </c>
      <c r="F29912">
        <v>11820007</v>
      </c>
      <c r="G29912" t="s">
        <v>532</v>
      </c>
      <c r="H29912" s="21">
        <v>553.5</v>
      </c>
    </row>
    <row r="29913" spans="1:8" customFormat="1" x14ac:dyDescent="0.25">
      <c r="A29913" t="str">
        <f>"9534729"</f>
        <v>9534729</v>
      </c>
      <c r="B29913" t="s">
        <v>21618</v>
      </c>
      <c r="C29913" t="s">
        <v>305</v>
      </c>
      <c r="D29913" s="21" t="s">
        <v>34</v>
      </c>
      <c r="E29913" s="21" t="s">
        <v>35</v>
      </c>
      <c r="F29913">
        <v>8950092</v>
      </c>
      <c r="G29913" t="s">
        <v>2039</v>
      </c>
      <c r="H29913" s="21">
        <v>553.41999999999996</v>
      </c>
    </row>
    <row r="29914" spans="1:8" customFormat="1" x14ac:dyDescent="0.25">
      <c r="A29914" t="str">
        <f>"4110801"</f>
        <v>4110801</v>
      </c>
      <c r="B29914" t="s">
        <v>16820</v>
      </c>
      <c r="C29914" t="s">
        <v>750</v>
      </c>
      <c r="D29914" s="21" t="s">
        <v>34</v>
      </c>
      <c r="E29914" s="21" t="s">
        <v>254</v>
      </c>
      <c r="F29914">
        <v>4370167</v>
      </c>
      <c r="G29914" t="s">
        <v>8834</v>
      </c>
      <c r="H29914" s="21">
        <v>553.16999999999996</v>
      </c>
    </row>
    <row r="29915" spans="1:8" customFormat="1" x14ac:dyDescent="0.25">
      <c r="A29915" t="str">
        <f>"125155"</f>
        <v>125155</v>
      </c>
      <c r="B29915" t="s">
        <v>20486</v>
      </c>
      <c r="C29915" t="s">
        <v>121</v>
      </c>
      <c r="D29915" s="21" t="s">
        <v>34</v>
      </c>
      <c r="E29915" s="21" t="s">
        <v>35</v>
      </c>
      <c r="F29915">
        <v>11120017</v>
      </c>
      <c r="G29915" t="s">
        <v>6560</v>
      </c>
      <c r="H29915" s="21">
        <v>553.16999999999996</v>
      </c>
    </row>
    <row r="29916" spans="1:8" customFormat="1" x14ac:dyDescent="0.25">
      <c r="A29916" t="str">
        <f>"1614477"</f>
        <v>1614477</v>
      </c>
      <c r="B29916" t="s">
        <v>3089</v>
      </c>
      <c r="C29916" t="s">
        <v>147</v>
      </c>
      <c r="D29916" s="21" t="s">
        <v>34</v>
      </c>
      <c r="E29916" s="21" t="s">
        <v>35</v>
      </c>
      <c r="F29916">
        <v>10160024</v>
      </c>
      <c r="G29916" t="s">
        <v>511</v>
      </c>
      <c r="H29916" s="21">
        <v>553.16999999999996</v>
      </c>
    </row>
    <row r="29917" spans="1:8" customFormat="1" x14ac:dyDescent="0.25">
      <c r="A29917" t="str">
        <f>"1424568"</f>
        <v>1424568</v>
      </c>
      <c r="B29917" t="s">
        <v>11244</v>
      </c>
      <c r="C29917" t="s">
        <v>43</v>
      </c>
      <c r="D29917" s="21" t="s">
        <v>34</v>
      </c>
      <c r="E29917" s="21" t="s">
        <v>35</v>
      </c>
      <c r="F29917">
        <v>9140078</v>
      </c>
      <c r="G29917" t="s">
        <v>1920</v>
      </c>
      <c r="H29917" s="21">
        <v>553.16999999999996</v>
      </c>
    </row>
    <row r="29918" spans="1:8" customFormat="1" x14ac:dyDescent="0.25">
      <c r="A29918" t="str">
        <f>"5919177"</f>
        <v>5919177</v>
      </c>
      <c r="B29918" t="s">
        <v>21664</v>
      </c>
      <c r="C29918" t="s">
        <v>65</v>
      </c>
      <c r="D29918" s="21" t="s">
        <v>34</v>
      </c>
      <c r="E29918" s="21" t="s">
        <v>35</v>
      </c>
      <c r="F29918">
        <v>7590033</v>
      </c>
      <c r="G29918" t="s">
        <v>6329</v>
      </c>
      <c r="H29918" s="21">
        <v>553.16999999999996</v>
      </c>
    </row>
    <row r="29919" spans="1:8" customFormat="1" x14ac:dyDescent="0.25">
      <c r="A29919" t="str">
        <f>"49724"</f>
        <v>49724</v>
      </c>
      <c r="B29919" t="s">
        <v>6273</v>
      </c>
      <c r="C29919" t="s">
        <v>2305</v>
      </c>
      <c r="D29919" s="21" t="s">
        <v>34</v>
      </c>
      <c r="E29919" s="21" t="s">
        <v>1089</v>
      </c>
      <c r="F29919">
        <v>12490026</v>
      </c>
      <c r="G29919" t="s">
        <v>6274</v>
      </c>
      <c r="H29919" s="21">
        <v>553.16999999999996</v>
      </c>
    </row>
    <row r="29920" spans="1:8" customFormat="1" x14ac:dyDescent="0.25">
      <c r="A29920" t="str">
        <f>"6314132"</f>
        <v>6314132</v>
      </c>
      <c r="B29920" t="s">
        <v>20652</v>
      </c>
      <c r="C29920" t="s">
        <v>13475</v>
      </c>
      <c r="D29920" s="21" t="s">
        <v>34</v>
      </c>
      <c r="E29920" s="21" t="s">
        <v>71</v>
      </c>
      <c r="F29920">
        <v>1630288</v>
      </c>
      <c r="G29920" t="s">
        <v>20156</v>
      </c>
      <c r="H29920" s="21">
        <v>553.16999999999996</v>
      </c>
    </row>
    <row r="29921" spans="1:8" customFormat="1" x14ac:dyDescent="0.25">
      <c r="A29921" t="str">
        <f>"667571"</f>
        <v>667571</v>
      </c>
      <c r="B29921" t="s">
        <v>208</v>
      </c>
      <c r="C29921" t="s">
        <v>87</v>
      </c>
      <c r="D29921" s="21" t="s">
        <v>34</v>
      </c>
      <c r="E29921" s="21" t="s">
        <v>35</v>
      </c>
      <c r="F29921">
        <v>11660021</v>
      </c>
      <c r="G29921" t="s">
        <v>16765</v>
      </c>
      <c r="H29921" s="21">
        <v>553.16999999999996</v>
      </c>
    </row>
    <row r="29922" spans="1:8" customFormat="1" x14ac:dyDescent="0.25">
      <c r="A29922" t="str">
        <f>"6312595"</f>
        <v>6312595</v>
      </c>
      <c r="B29922" t="s">
        <v>21550</v>
      </c>
      <c r="C29922" t="s">
        <v>2479</v>
      </c>
      <c r="D29922" s="21" t="s">
        <v>34</v>
      </c>
      <c r="E29922" s="21" t="s">
        <v>71</v>
      </c>
      <c r="F29922">
        <v>1630303</v>
      </c>
      <c r="G29922" t="s">
        <v>8915</v>
      </c>
      <c r="H29922" s="21">
        <v>553.16999999999996</v>
      </c>
    </row>
    <row r="29923" spans="1:8" customFormat="1" x14ac:dyDescent="0.25">
      <c r="A29923" t="str">
        <f>"0110134"</f>
        <v>0110134</v>
      </c>
      <c r="B29923" t="s">
        <v>19181</v>
      </c>
      <c r="C29923" t="s">
        <v>87</v>
      </c>
      <c r="D29923" s="21" t="s">
        <v>34</v>
      </c>
      <c r="E29923" s="21" t="s">
        <v>71</v>
      </c>
      <c r="F29923">
        <v>1010004</v>
      </c>
      <c r="G29923" t="s">
        <v>9066</v>
      </c>
      <c r="H29923" s="21">
        <v>553.16999999999996</v>
      </c>
    </row>
    <row r="29924" spans="1:8" customFormat="1" x14ac:dyDescent="0.25">
      <c r="A29924" t="str">
        <f>"3728539"</f>
        <v>3728539</v>
      </c>
      <c r="B29924" t="s">
        <v>20747</v>
      </c>
      <c r="C29924" t="s">
        <v>2393</v>
      </c>
      <c r="D29924" s="21" t="s">
        <v>34</v>
      </c>
      <c r="E29924" s="21" t="s">
        <v>35</v>
      </c>
      <c r="F29924">
        <v>4370269</v>
      </c>
      <c r="G29924" t="s">
        <v>4277</v>
      </c>
      <c r="H29924" s="21">
        <v>553.16999999999996</v>
      </c>
    </row>
    <row r="29925" spans="1:8" customFormat="1" x14ac:dyDescent="0.25">
      <c r="A29925" t="str">
        <f>"7825689"</f>
        <v>7825689</v>
      </c>
      <c r="B29925" t="s">
        <v>4124</v>
      </c>
      <c r="C29925" t="s">
        <v>62</v>
      </c>
      <c r="D29925" s="21" t="s">
        <v>34</v>
      </c>
      <c r="E29925" s="21" t="s">
        <v>71</v>
      </c>
      <c r="F29925">
        <v>9140071</v>
      </c>
      <c r="G29925" t="s">
        <v>1775</v>
      </c>
      <c r="H29925" s="21">
        <v>553.16999999999996</v>
      </c>
    </row>
    <row r="29926" spans="1:8" customFormat="1" x14ac:dyDescent="0.25">
      <c r="A29926" t="str">
        <f>"0610327"</f>
        <v>0610327</v>
      </c>
      <c r="B29926" t="s">
        <v>4772</v>
      </c>
      <c r="C29926" t="s">
        <v>4158</v>
      </c>
      <c r="D29926" s="21" t="s">
        <v>34</v>
      </c>
      <c r="E29926" s="21" t="s">
        <v>35</v>
      </c>
      <c r="F29926">
        <v>13060090</v>
      </c>
      <c r="G29926" t="s">
        <v>1363</v>
      </c>
      <c r="H29926" s="21">
        <v>553.16999999999996</v>
      </c>
    </row>
    <row r="29927" spans="1:8" customFormat="1" x14ac:dyDescent="0.25">
      <c r="A29927" t="str">
        <f>"8516280"</f>
        <v>8516280</v>
      </c>
      <c r="B29927" t="s">
        <v>1212</v>
      </c>
      <c r="C29927" t="s">
        <v>2100</v>
      </c>
      <c r="D29927" s="21" t="s">
        <v>34</v>
      </c>
      <c r="E29927" s="21" t="s">
        <v>254</v>
      </c>
      <c r="F29927">
        <v>12850016</v>
      </c>
      <c r="G29927" t="s">
        <v>26554</v>
      </c>
      <c r="H29927" s="21">
        <v>553.16999999999996</v>
      </c>
    </row>
    <row r="29928" spans="1:8" customFormat="1" x14ac:dyDescent="0.25">
      <c r="A29928" t="str">
        <f>"667541"</f>
        <v>667541</v>
      </c>
      <c r="B29928" t="s">
        <v>21348</v>
      </c>
      <c r="C29928" t="s">
        <v>1914</v>
      </c>
      <c r="D29928" s="21" t="s">
        <v>34</v>
      </c>
      <c r="E29928" s="21" t="s">
        <v>254</v>
      </c>
      <c r="F29928">
        <v>11660038</v>
      </c>
      <c r="G29928" t="s">
        <v>8493</v>
      </c>
      <c r="H29928" s="21">
        <v>553.16999999999996</v>
      </c>
    </row>
    <row r="29929" spans="1:8" customFormat="1" x14ac:dyDescent="0.25">
      <c r="A29929" t="str">
        <f>"125074"</f>
        <v>125074</v>
      </c>
      <c r="B29929" t="s">
        <v>2362</v>
      </c>
      <c r="C29929" t="s">
        <v>926</v>
      </c>
      <c r="D29929" s="21" t="s">
        <v>34</v>
      </c>
      <c r="E29929" s="21" t="s">
        <v>254</v>
      </c>
      <c r="F29929">
        <v>11120004</v>
      </c>
      <c r="G29929" t="s">
        <v>2311</v>
      </c>
      <c r="H29929" s="21">
        <v>553.04</v>
      </c>
    </row>
    <row r="29930" spans="1:8" customFormat="1" x14ac:dyDescent="0.25">
      <c r="A29930" t="str">
        <f>"9231019"</f>
        <v>9231019</v>
      </c>
      <c r="B29930" t="s">
        <v>6104</v>
      </c>
      <c r="C29930" t="s">
        <v>19654</v>
      </c>
      <c r="D29930" s="21" t="s">
        <v>34</v>
      </c>
      <c r="E29930" s="21" t="s">
        <v>71</v>
      </c>
      <c r="F29930">
        <v>10330099</v>
      </c>
      <c r="G29930" t="s">
        <v>10670</v>
      </c>
      <c r="H29930" s="21">
        <v>553.04</v>
      </c>
    </row>
    <row r="29931" spans="1:8" customFormat="1" x14ac:dyDescent="0.25">
      <c r="A29931" t="str">
        <f>"2939670"</f>
        <v>2939670</v>
      </c>
      <c r="B29931" t="s">
        <v>28178</v>
      </c>
      <c r="C29931" t="s">
        <v>1812</v>
      </c>
      <c r="D29931" s="21" t="s">
        <v>34</v>
      </c>
      <c r="E29931" s="21" t="s">
        <v>35</v>
      </c>
      <c r="F29931">
        <v>3290215</v>
      </c>
      <c r="G29931" t="s">
        <v>5058</v>
      </c>
      <c r="H29931" s="21">
        <v>553</v>
      </c>
    </row>
    <row r="29932" spans="1:8" customFormat="1" x14ac:dyDescent="0.25">
      <c r="A29932" t="str">
        <f>"6234239"</f>
        <v>6234239</v>
      </c>
      <c r="B29932" t="s">
        <v>623</v>
      </c>
      <c r="C29932" t="s">
        <v>169</v>
      </c>
      <c r="D29932" s="21" t="s">
        <v>34</v>
      </c>
      <c r="E29932" s="21" t="s">
        <v>35</v>
      </c>
      <c r="F29932">
        <v>7620140</v>
      </c>
      <c r="G29932" t="s">
        <v>7454</v>
      </c>
      <c r="H29932" s="21">
        <v>553</v>
      </c>
    </row>
    <row r="29933" spans="1:8" customFormat="1" x14ac:dyDescent="0.25">
      <c r="A29933" t="str">
        <f>"363611"</f>
        <v>363611</v>
      </c>
      <c r="B29933" t="s">
        <v>22024</v>
      </c>
      <c r="C29933" t="s">
        <v>1119</v>
      </c>
      <c r="D29933" s="21" t="s">
        <v>34</v>
      </c>
      <c r="E29933" s="21" t="s">
        <v>71</v>
      </c>
      <c r="F29933">
        <v>4360707</v>
      </c>
      <c r="G29933" t="s">
        <v>6621</v>
      </c>
      <c r="H29933" s="21">
        <v>553</v>
      </c>
    </row>
    <row r="29934" spans="1:8" customFormat="1" x14ac:dyDescent="0.25">
      <c r="A29934" t="str">
        <f>"9316314"</f>
        <v>9316314</v>
      </c>
      <c r="B29934" t="s">
        <v>22755</v>
      </c>
      <c r="C29934" t="s">
        <v>169</v>
      </c>
      <c r="D29934" s="21" t="s">
        <v>34</v>
      </c>
      <c r="E29934" s="21" t="s">
        <v>35</v>
      </c>
      <c r="F29934">
        <v>8930185</v>
      </c>
      <c r="G29934" t="s">
        <v>3846</v>
      </c>
      <c r="H29934" s="21">
        <v>552.91999999999996</v>
      </c>
    </row>
    <row r="29935" spans="1:8" customFormat="1" x14ac:dyDescent="0.25">
      <c r="A29935" t="str">
        <f>"1415344"</f>
        <v>1415344</v>
      </c>
      <c r="B29935" t="s">
        <v>21076</v>
      </c>
      <c r="C29935" t="s">
        <v>1025</v>
      </c>
      <c r="D29935" s="21" t="s">
        <v>34</v>
      </c>
      <c r="E29935" s="21" t="s">
        <v>71</v>
      </c>
      <c r="F29935">
        <v>9140123</v>
      </c>
      <c r="G29935" t="s">
        <v>661</v>
      </c>
      <c r="H29935" s="21">
        <v>552.91999999999996</v>
      </c>
    </row>
    <row r="29936" spans="1:8" customFormat="1" x14ac:dyDescent="0.25">
      <c r="A29936" t="str">
        <f>"6726457"</f>
        <v>6726457</v>
      </c>
      <c r="B29936" t="s">
        <v>28179</v>
      </c>
      <c r="C29936" t="s">
        <v>60</v>
      </c>
      <c r="D29936" s="21" t="s">
        <v>34</v>
      </c>
      <c r="E29936" s="21" t="s">
        <v>35</v>
      </c>
      <c r="F29936">
        <v>6670256</v>
      </c>
      <c r="G29936" t="s">
        <v>14348</v>
      </c>
      <c r="H29936" s="21">
        <v>552.91999999999996</v>
      </c>
    </row>
    <row r="29937" spans="1:8" customFormat="1" x14ac:dyDescent="0.25">
      <c r="A29937" t="str">
        <f>"7219099"</f>
        <v>7219099</v>
      </c>
      <c r="B29937" t="s">
        <v>623</v>
      </c>
      <c r="C29937" t="s">
        <v>462</v>
      </c>
      <c r="D29937" s="21" t="s">
        <v>34</v>
      </c>
      <c r="E29937" s="21" t="s">
        <v>35</v>
      </c>
      <c r="F29937">
        <v>12720023</v>
      </c>
      <c r="G29937" t="s">
        <v>1898</v>
      </c>
      <c r="H29937" s="21">
        <v>552.88</v>
      </c>
    </row>
    <row r="29938" spans="1:8" customFormat="1" x14ac:dyDescent="0.25">
      <c r="A29938" t="str">
        <f>"4517377"</f>
        <v>4517377</v>
      </c>
      <c r="B29938" t="s">
        <v>1349</v>
      </c>
      <c r="C29938" t="s">
        <v>598</v>
      </c>
      <c r="D29938" s="21" t="s">
        <v>34</v>
      </c>
      <c r="E29938" s="21" t="s">
        <v>254</v>
      </c>
      <c r="F29938">
        <v>4450573</v>
      </c>
      <c r="G29938" t="s">
        <v>4106</v>
      </c>
      <c r="H29938" s="21">
        <v>552.79</v>
      </c>
    </row>
    <row r="29939" spans="1:8" customFormat="1" x14ac:dyDescent="0.25">
      <c r="A29939" t="str">
        <f>"475266"</f>
        <v>475266</v>
      </c>
      <c r="B29939" t="s">
        <v>8088</v>
      </c>
      <c r="C29939" t="s">
        <v>879</v>
      </c>
      <c r="D29939" s="21" t="s">
        <v>34</v>
      </c>
      <c r="E29939" s="21" t="s">
        <v>1089</v>
      </c>
      <c r="F29939">
        <v>10470005</v>
      </c>
      <c r="G29939" t="s">
        <v>4216</v>
      </c>
      <c r="H29939" s="21">
        <v>552.66999999999996</v>
      </c>
    </row>
    <row r="29940" spans="1:8" customFormat="1" x14ac:dyDescent="0.25">
      <c r="A29940" t="str">
        <f>"4220223"</f>
        <v>4220223</v>
      </c>
      <c r="B29940" t="s">
        <v>15072</v>
      </c>
      <c r="C29940" t="s">
        <v>1605</v>
      </c>
      <c r="D29940" s="21" t="s">
        <v>34</v>
      </c>
      <c r="E29940" s="21" t="s">
        <v>35</v>
      </c>
      <c r="F29940">
        <v>1420152</v>
      </c>
      <c r="G29940" t="s">
        <v>2948</v>
      </c>
      <c r="H29940" s="21">
        <v>552.66999999999996</v>
      </c>
    </row>
    <row r="29941" spans="1:8" customFormat="1" x14ac:dyDescent="0.25">
      <c r="A29941" t="str">
        <f>"3729135"</f>
        <v>3729135</v>
      </c>
      <c r="B29941" t="s">
        <v>2717</v>
      </c>
      <c r="C29941" t="s">
        <v>60</v>
      </c>
      <c r="D29941" s="21" t="s">
        <v>34</v>
      </c>
      <c r="E29941" s="21" t="s">
        <v>35</v>
      </c>
      <c r="F29941">
        <v>4370730</v>
      </c>
      <c r="G29941" t="s">
        <v>18791</v>
      </c>
      <c r="H29941" s="21">
        <v>552.66999999999996</v>
      </c>
    </row>
    <row r="29942" spans="1:8" customFormat="1" x14ac:dyDescent="0.25">
      <c r="A29942" t="str">
        <f>"7816825"</f>
        <v>7816825</v>
      </c>
      <c r="B29942" t="s">
        <v>21202</v>
      </c>
      <c r="C29942" t="s">
        <v>415</v>
      </c>
      <c r="D29942" s="21" t="s">
        <v>34</v>
      </c>
      <c r="E29942" s="21" t="s">
        <v>254</v>
      </c>
      <c r="F29942">
        <v>8780890</v>
      </c>
      <c r="G29942" t="s">
        <v>6456</v>
      </c>
      <c r="H29942" s="21">
        <v>552.66999999999996</v>
      </c>
    </row>
    <row r="29943" spans="1:8" customFormat="1" x14ac:dyDescent="0.25">
      <c r="A29943" t="str">
        <f>"478411"</f>
        <v>478411</v>
      </c>
      <c r="B29943" t="s">
        <v>20096</v>
      </c>
      <c r="C29943" t="s">
        <v>33</v>
      </c>
      <c r="D29943" s="21" t="s">
        <v>34</v>
      </c>
      <c r="E29943" s="21" t="s">
        <v>35</v>
      </c>
      <c r="F29943">
        <v>10470005</v>
      </c>
      <c r="G29943" t="s">
        <v>4216</v>
      </c>
      <c r="H29943" s="21">
        <v>552.66999999999996</v>
      </c>
    </row>
    <row r="29944" spans="1:8" customFormat="1" x14ac:dyDescent="0.25">
      <c r="A29944" t="str">
        <f>"3523346"</f>
        <v>3523346</v>
      </c>
      <c r="B29944" t="s">
        <v>19428</v>
      </c>
      <c r="C29944" t="s">
        <v>246</v>
      </c>
      <c r="D29944" s="21" t="s">
        <v>34</v>
      </c>
      <c r="E29944" s="21" t="s">
        <v>71</v>
      </c>
      <c r="F29944">
        <v>3350136</v>
      </c>
      <c r="G29944" t="s">
        <v>2773</v>
      </c>
      <c r="H29944" s="21">
        <v>552.66999999999996</v>
      </c>
    </row>
    <row r="29945" spans="1:8" customFormat="1" x14ac:dyDescent="0.25">
      <c r="A29945" t="str">
        <f>"5974927"</f>
        <v>5974927</v>
      </c>
      <c r="B29945" t="s">
        <v>9123</v>
      </c>
      <c r="C29945" t="s">
        <v>127</v>
      </c>
      <c r="D29945" s="21" t="s">
        <v>34</v>
      </c>
      <c r="E29945" s="21" t="s">
        <v>35</v>
      </c>
      <c r="F29945">
        <v>7590269</v>
      </c>
      <c r="G29945" t="s">
        <v>873</v>
      </c>
      <c r="H29945" s="21">
        <v>552.66999999999996</v>
      </c>
    </row>
    <row r="29946" spans="1:8" customFormat="1" x14ac:dyDescent="0.25">
      <c r="A29946" t="str">
        <f>"5413775"</f>
        <v>5413775</v>
      </c>
      <c r="B29946" t="s">
        <v>2981</v>
      </c>
      <c r="C29946" t="s">
        <v>209</v>
      </c>
      <c r="D29946" s="21" t="s">
        <v>34</v>
      </c>
      <c r="E29946" s="21" t="s">
        <v>71</v>
      </c>
      <c r="F29946">
        <v>6540056</v>
      </c>
      <c r="G29946" t="s">
        <v>1136</v>
      </c>
      <c r="H29946" s="21">
        <v>552.66999999999996</v>
      </c>
    </row>
    <row r="29947" spans="1:8" customFormat="1" x14ac:dyDescent="0.25">
      <c r="A29947" t="str">
        <f>"545415"</f>
        <v>545415</v>
      </c>
      <c r="B29947" t="s">
        <v>1462</v>
      </c>
      <c r="C29947" t="s">
        <v>6486</v>
      </c>
      <c r="D29947" s="21" t="s">
        <v>34</v>
      </c>
      <c r="E29947" s="21" t="s">
        <v>1089</v>
      </c>
      <c r="F29947">
        <v>6540097</v>
      </c>
      <c r="G29947" t="s">
        <v>12434</v>
      </c>
      <c r="H29947" s="21">
        <v>552.66999999999996</v>
      </c>
    </row>
    <row r="29948" spans="1:8" customFormat="1" x14ac:dyDescent="0.25">
      <c r="A29948" t="str">
        <f>"4938894"</f>
        <v>4938894</v>
      </c>
      <c r="B29948" t="s">
        <v>28180</v>
      </c>
      <c r="C29948" t="s">
        <v>33</v>
      </c>
      <c r="D29948" s="21" t="s">
        <v>34</v>
      </c>
      <c r="E29948" s="21" t="s">
        <v>35</v>
      </c>
      <c r="F29948">
        <v>12490106</v>
      </c>
      <c r="G29948" t="s">
        <v>4555</v>
      </c>
      <c r="H29948" s="21">
        <v>552.66999999999996</v>
      </c>
    </row>
    <row r="29949" spans="1:8" customFormat="1" x14ac:dyDescent="0.25">
      <c r="A29949" t="str">
        <f>"7713028"</f>
        <v>7713028</v>
      </c>
      <c r="B29949" t="s">
        <v>21438</v>
      </c>
      <c r="C29949" t="s">
        <v>187</v>
      </c>
      <c r="D29949" s="21" t="s">
        <v>34</v>
      </c>
      <c r="E29949" s="21" t="s">
        <v>35</v>
      </c>
      <c r="F29949">
        <v>8770250</v>
      </c>
      <c r="G29949" t="s">
        <v>2595</v>
      </c>
      <c r="H29949" s="21">
        <v>552.66999999999996</v>
      </c>
    </row>
    <row r="29950" spans="1:8" customFormat="1" x14ac:dyDescent="0.25">
      <c r="A29950" t="str">
        <f>"735484"</f>
        <v>735484</v>
      </c>
      <c r="B29950" t="s">
        <v>1315</v>
      </c>
      <c r="C29950" t="s">
        <v>459</v>
      </c>
      <c r="D29950" s="21" t="s">
        <v>34</v>
      </c>
      <c r="E29950" s="21" t="s">
        <v>1089</v>
      </c>
      <c r="F29950">
        <v>1730068</v>
      </c>
      <c r="G29950" t="s">
        <v>3375</v>
      </c>
      <c r="H29950" s="21">
        <v>552.66999999999996</v>
      </c>
    </row>
    <row r="29951" spans="1:8" customFormat="1" x14ac:dyDescent="0.25">
      <c r="A29951" t="str">
        <f>"5612937"</f>
        <v>5612937</v>
      </c>
      <c r="B29951" t="s">
        <v>20691</v>
      </c>
      <c r="C29951" t="s">
        <v>2520</v>
      </c>
      <c r="D29951" s="21" t="s">
        <v>34</v>
      </c>
      <c r="E29951" s="21" t="s">
        <v>71</v>
      </c>
      <c r="F29951">
        <v>3560028</v>
      </c>
      <c r="G29951" t="s">
        <v>5916</v>
      </c>
      <c r="H29951" s="21">
        <v>552.66999999999996</v>
      </c>
    </row>
    <row r="29952" spans="1:8" customFormat="1" x14ac:dyDescent="0.25">
      <c r="A29952" t="str">
        <f>"3536237"</f>
        <v>3536237</v>
      </c>
      <c r="B29952" t="s">
        <v>18906</v>
      </c>
      <c r="C29952" t="s">
        <v>130</v>
      </c>
      <c r="D29952" s="21" t="s">
        <v>34</v>
      </c>
      <c r="E29952" s="21" t="s">
        <v>35</v>
      </c>
      <c r="F29952">
        <v>3350217</v>
      </c>
      <c r="G29952" t="s">
        <v>6797</v>
      </c>
      <c r="H29952" s="21">
        <v>552.66999999999996</v>
      </c>
    </row>
    <row r="29953" spans="1:8" customFormat="1" x14ac:dyDescent="0.25">
      <c r="A29953" t="str">
        <f>"1611162"</f>
        <v>1611162</v>
      </c>
      <c r="B29953" t="s">
        <v>21148</v>
      </c>
      <c r="C29953" t="s">
        <v>267</v>
      </c>
      <c r="D29953" s="21" t="s">
        <v>34</v>
      </c>
      <c r="E29953" s="21" t="s">
        <v>254</v>
      </c>
      <c r="F29953">
        <v>10160186</v>
      </c>
      <c r="G29953" t="s">
        <v>4819</v>
      </c>
      <c r="H29953" s="21">
        <v>552.66999999999996</v>
      </c>
    </row>
    <row r="29954" spans="1:8" customFormat="1" x14ac:dyDescent="0.25">
      <c r="A29954" t="str">
        <f>"3824194"</f>
        <v>3824194</v>
      </c>
      <c r="B29954" t="s">
        <v>20693</v>
      </c>
      <c r="C29954" t="s">
        <v>486</v>
      </c>
      <c r="D29954" s="21" t="s">
        <v>34</v>
      </c>
      <c r="E29954" s="21" t="s">
        <v>71</v>
      </c>
      <c r="F29954">
        <v>1380287</v>
      </c>
      <c r="G29954" t="s">
        <v>14614</v>
      </c>
      <c r="H29954" s="21">
        <v>552.66999999999996</v>
      </c>
    </row>
    <row r="29955" spans="1:8" customFormat="1" x14ac:dyDescent="0.25">
      <c r="A29955" t="str">
        <f>"6233669"</f>
        <v>6233669</v>
      </c>
      <c r="B29955" t="s">
        <v>10170</v>
      </c>
      <c r="C29955" t="s">
        <v>249</v>
      </c>
      <c r="D29955" s="21" t="s">
        <v>34</v>
      </c>
      <c r="E29955" s="21" t="s">
        <v>71</v>
      </c>
      <c r="F29955">
        <v>7620032</v>
      </c>
      <c r="G29955" t="s">
        <v>11181</v>
      </c>
      <c r="H29955" s="21">
        <v>552.66999999999996</v>
      </c>
    </row>
    <row r="29956" spans="1:8" customFormat="1" x14ac:dyDescent="0.25">
      <c r="A29956" t="str">
        <f>"2516586"</f>
        <v>2516586</v>
      </c>
      <c r="B29956" t="s">
        <v>24699</v>
      </c>
      <c r="C29956" t="s">
        <v>269</v>
      </c>
      <c r="D29956" s="21" t="s">
        <v>34</v>
      </c>
      <c r="E29956" s="21" t="s">
        <v>254</v>
      </c>
      <c r="F29956">
        <v>2250059</v>
      </c>
      <c r="G29956" t="s">
        <v>10904</v>
      </c>
      <c r="H29956" s="21">
        <v>552.66999999999996</v>
      </c>
    </row>
    <row r="29957" spans="1:8" customFormat="1" x14ac:dyDescent="0.25">
      <c r="A29957" t="str">
        <f>"3527645"</f>
        <v>3527645</v>
      </c>
      <c r="B29957" t="s">
        <v>2707</v>
      </c>
      <c r="C29957" t="s">
        <v>8618</v>
      </c>
      <c r="D29957" s="21" t="s">
        <v>34</v>
      </c>
      <c r="E29957" s="21" t="s">
        <v>35</v>
      </c>
      <c r="F29957">
        <v>3350150</v>
      </c>
      <c r="G29957" t="s">
        <v>6419</v>
      </c>
      <c r="H29957" s="21">
        <v>552.66999999999996</v>
      </c>
    </row>
    <row r="29958" spans="1:8" customFormat="1" x14ac:dyDescent="0.25">
      <c r="A29958" t="str">
        <f>"8527644"</f>
        <v>8527644</v>
      </c>
      <c r="B29958" t="s">
        <v>2722</v>
      </c>
      <c r="C29958" t="s">
        <v>62</v>
      </c>
      <c r="D29958" s="21" t="s">
        <v>34</v>
      </c>
      <c r="E29958" s="21" t="s">
        <v>71</v>
      </c>
      <c r="F29958">
        <v>12850148</v>
      </c>
      <c r="G29958" t="s">
        <v>2380</v>
      </c>
      <c r="H29958" s="21">
        <v>552.66999999999996</v>
      </c>
    </row>
    <row r="29959" spans="1:8" customFormat="1" x14ac:dyDescent="0.25">
      <c r="A29959" t="str">
        <f>"653863"</f>
        <v>653863</v>
      </c>
      <c r="B29959" t="s">
        <v>16802</v>
      </c>
      <c r="C29959" t="s">
        <v>169</v>
      </c>
      <c r="D29959" s="21" t="s">
        <v>34</v>
      </c>
      <c r="E29959" s="21" t="s">
        <v>35</v>
      </c>
      <c r="F29959">
        <v>11650018</v>
      </c>
      <c r="G29959" t="s">
        <v>6247</v>
      </c>
      <c r="H29959" s="21">
        <v>552.62</v>
      </c>
    </row>
    <row r="29960" spans="1:8" customFormat="1" x14ac:dyDescent="0.25">
      <c r="A29960" t="str">
        <f>"1314830"</f>
        <v>1314830</v>
      </c>
      <c r="B29960" t="s">
        <v>20227</v>
      </c>
      <c r="C29960" t="s">
        <v>156</v>
      </c>
      <c r="D29960" s="21" t="s">
        <v>34</v>
      </c>
      <c r="E29960" s="21" t="s">
        <v>71</v>
      </c>
      <c r="F29960">
        <v>13130133</v>
      </c>
      <c r="G29960" t="s">
        <v>12333</v>
      </c>
      <c r="H29960" s="21">
        <v>552.54</v>
      </c>
    </row>
    <row r="29961" spans="1:8" customFormat="1" x14ac:dyDescent="0.25">
      <c r="A29961" t="str">
        <f>"7636304"</f>
        <v>7636304</v>
      </c>
      <c r="B29961" t="s">
        <v>20198</v>
      </c>
      <c r="C29961" t="s">
        <v>43</v>
      </c>
      <c r="D29961" s="21" t="s">
        <v>34</v>
      </c>
      <c r="E29961" s="21" t="s">
        <v>35</v>
      </c>
      <c r="F29961">
        <v>9760107</v>
      </c>
      <c r="G29961" t="s">
        <v>122</v>
      </c>
      <c r="H29961" s="21">
        <v>552.5</v>
      </c>
    </row>
    <row r="29962" spans="1:8" customFormat="1" x14ac:dyDescent="0.25">
      <c r="A29962" t="str">
        <f>"8615780"</f>
        <v>8615780</v>
      </c>
      <c r="B29962" t="s">
        <v>146</v>
      </c>
      <c r="C29962" t="s">
        <v>156</v>
      </c>
      <c r="D29962" s="21" t="s">
        <v>34</v>
      </c>
      <c r="E29962" s="21" t="s">
        <v>35</v>
      </c>
      <c r="F29962">
        <v>10860084</v>
      </c>
      <c r="G29962" t="s">
        <v>7471</v>
      </c>
      <c r="H29962" s="21">
        <v>552.5</v>
      </c>
    </row>
    <row r="29963" spans="1:8" customFormat="1" x14ac:dyDescent="0.25">
      <c r="A29963" t="str">
        <f>"5621012"</f>
        <v>5621012</v>
      </c>
      <c r="B29963" t="s">
        <v>946</v>
      </c>
      <c r="C29963" t="s">
        <v>486</v>
      </c>
      <c r="D29963" s="21" t="s">
        <v>34</v>
      </c>
      <c r="E29963" s="21" t="s">
        <v>35</v>
      </c>
      <c r="F29963">
        <v>3560045</v>
      </c>
      <c r="G29963" t="s">
        <v>4969</v>
      </c>
      <c r="H29963" s="21">
        <v>552.41999999999996</v>
      </c>
    </row>
    <row r="29964" spans="1:8" customFormat="1" x14ac:dyDescent="0.25">
      <c r="A29964" t="str">
        <f>"4931841"</f>
        <v>4931841</v>
      </c>
      <c r="B29964" t="s">
        <v>12631</v>
      </c>
      <c r="C29964" t="s">
        <v>7939</v>
      </c>
      <c r="D29964" s="21" t="s">
        <v>34</v>
      </c>
      <c r="E29964" s="21" t="s">
        <v>71</v>
      </c>
      <c r="F29964">
        <v>12490107</v>
      </c>
      <c r="G29964" t="s">
        <v>715</v>
      </c>
      <c r="H29964" s="21">
        <v>552.29</v>
      </c>
    </row>
    <row r="29965" spans="1:8" customFormat="1" x14ac:dyDescent="0.25">
      <c r="A29965" t="str">
        <f>"15852"</f>
        <v>15852</v>
      </c>
      <c r="B29965" t="s">
        <v>21979</v>
      </c>
      <c r="C29965" t="s">
        <v>33</v>
      </c>
      <c r="D29965" s="21" t="s">
        <v>34</v>
      </c>
      <c r="E29965" s="21" t="s">
        <v>35</v>
      </c>
      <c r="F29965">
        <v>1150303</v>
      </c>
      <c r="G29965" t="s">
        <v>5809</v>
      </c>
      <c r="H29965" s="21">
        <v>552.29</v>
      </c>
    </row>
    <row r="29966" spans="1:8" customFormat="1" x14ac:dyDescent="0.25">
      <c r="A29966" t="str">
        <f>"6813898"</f>
        <v>6813898</v>
      </c>
      <c r="B29966" t="s">
        <v>22384</v>
      </c>
      <c r="C29966" t="s">
        <v>288</v>
      </c>
      <c r="D29966" s="21" t="s">
        <v>34</v>
      </c>
      <c r="E29966" s="21" t="s">
        <v>35</v>
      </c>
      <c r="F29966">
        <v>6680123</v>
      </c>
      <c r="G29966" t="s">
        <v>8996</v>
      </c>
      <c r="H29966" s="21">
        <v>552.25</v>
      </c>
    </row>
    <row r="29967" spans="1:8" customFormat="1" x14ac:dyDescent="0.25">
      <c r="A29967" t="str">
        <f>"5733510"</f>
        <v>5733510</v>
      </c>
      <c r="B29967" t="s">
        <v>7778</v>
      </c>
      <c r="C29967" t="s">
        <v>598</v>
      </c>
      <c r="D29967" s="21" t="s">
        <v>34</v>
      </c>
      <c r="E29967" s="21" t="s">
        <v>35</v>
      </c>
      <c r="F29967">
        <v>6570057</v>
      </c>
      <c r="G29967" t="s">
        <v>8333</v>
      </c>
      <c r="H29967" s="21">
        <v>552.16999999999996</v>
      </c>
    </row>
    <row r="29968" spans="1:8" customFormat="1" x14ac:dyDescent="0.25">
      <c r="A29968" t="str">
        <f>"5983260"</f>
        <v>5983260</v>
      </c>
      <c r="B29968" t="s">
        <v>28181</v>
      </c>
      <c r="C29968" t="s">
        <v>244</v>
      </c>
      <c r="D29968" s="21" t="s">
        <v>34</v>
      </c>
      <c r="E29968" s="21" t="s">
        <v>35</v>
      </c>
      <c r="F29968">
        <v>7590244</v>
      </c>
      <c r="G29968" t="s">
        <v>5768</v>
      </c>
      <c r="H29968" s="21">
        <v>552.16999999999996</v>
      </c>
    </row>
    <row r="29969" spans="1:8" customFormat="1" x14ac:dyDescent="0.25">
      <c r="A29969" t="str">
        <f>"9458325"</f>
        <v>9458325</v>
      </c>
      <c r="B29969" t="s">
        <v>28182</v>
      </c>
      <c r="C29969" t="s">
        <v>28183</v>
      </c>
      <c r="D29969" s="21" t="s">
        <v>34</v>
      </c>
      <c r="E29969" s="21" t="s">
        <v>254</v>
      </c>
      <c r="F29969">
        <v>8940448</v>
      </c>
      <c r="G29969" t="s">
        <v>1691</v>
      </c>
      <c r="H29969" s="21">
        <v>552.16999999999996</v>
      </c>
    </row>
    <row r="29970" spans="1:8" customFormat="1" x14ac:dyDescent="0.25">
      <c r="A29970" t="str">
        <f>"8517361"</f>
        <v>8517361</v>
      </c>
      <c r="B29970" t="s">
        <v>21048</v>
      </c>
      <c r="C29970" t="s">
        <v>4092</v>
      </c>
      <c r="D29970" s="21" t="s">
        <v>34</v>
      </c>
      <c r="E29970" s="21" t="s">
        <v>1089</v>
      </c>
      <c r="F29970">
        <v>12850072</v>
      </c>
      <c r="G29970" t="s">
        <v>7184</v>
      </c>
      <c r="H29970" s="21">
        <v>552.16999999999996</v>
      </c>
    </row>
    <row r="29971" spans="1:8" customFormat="1" x14ac:dyDescent="0.25">
      <c r="A29971" t="str">
        <f>"486103"</f>
        <v>486103</v>
      </c>
      <c r="B29971" t="s">
        <v>21665</v>
      </c>
      <c r="C29971" t="s">
        <v>171</v>
      </c>
      <c r="D29971" s="21" t="s">
        <v>34</v>
      </c>
      <c r="E29971" s="21" t="s">
        <v>35</v>
      </c>
      <c r="F29971">
        <v>11480027</v>
      </c>
      <c r="G29971" t="s">
        <v>2950</v>
      </c>
      <c r="H29971" s="21">
        <v>552.16999999999996</v>
      </c>
    </row>
    <row r="29972" spans="1:8" customFormat="1" x14ac:dyDescent="0.25">
      <c r="A29972" t="str">
        <f>"5730498"</f>
        <v>5730498</v>
      </c>
      <c r="B29972" t="s">
        <v>21678</v>
      </c>
      <c r="C29972" t="s">
        <v>60</v>
      </c>
      <c r="D29972" s="21" t="s">
        <v>34</v>
      </c>
      <c r="E29972" s="21" t="s">
        <v>35</v>
      </c>
      <c r="F29972">
        <v>6570014</v>
      </c>
      <c r="G29972" t="s">
        <v>72</v>
      </c>
      <c r="H29972" s="21">
        <v>552.16999999999996</v>
      </c>
    </row>
    <row r="29973" spans="1:8" customFormat="1" x14ac:dyDescent="0.25">
      <c r="A29973" t="str">
        <f>"375424"</f>
        <v>375424</v>
      </c>
      <c r="B29973" t="s">
        <v>9940</v>
      </c>
      <c r="C29973" t="s">
        <v>453</v>
      </c>
      <c r="D29973" s="21" t="s">
        <v>34</v>
      </c>
      <c r="E29973" s="21" t="s">
        <v>254</v>
      </c>
      <c r="F29973">
        <v>4370656</v>
      </c>
      <c r="G29973" t="s">
        <v>1127</v>
      </c>
      <c r="H29973" s="21">
        <v>552.16999999999996</v>
      </c>
    </row>
    <row r="29974" spans="1:8" customFormat="1" x14ac:dyDescent="0.25">
      <c r="A29974" t="str">
        <f>"3537086"</f>
        <v>3537086</v>
      </c>
      <c r="B29974" t="s">
        <v>21207</v>
      </c>
      <c r="C29974" t="s">
        <v>21208</v>
      </c>
      <c r="D29974" s="21" t="s">
        <v>34</v>
      </c>
      <c r="E29974" s="21" t="s">
        <v>71</v>
      </c>
      <c r="F29974">
        <v>3350221</v>
      </c>
      <c r="G29974" t="s">
        <v>14681</v>
      </c>
      <c r="H29974" s="21">
        <v>552.16999999999996</v>
      </c>
    </row>
    <row r="29975" spans="1:8" customFormat="1" x14ac:dyDescent="0.25">
      <c r="A29975" t="str">
        <f>"2716768"</f>
        <v>2716768</v>
      </c>
      <c r="B29975" t="s">
        <v>21444</v>
      </c>
      <c r="C29975" t="s">
        <v>1142</v>
      </c>
      <c r="D29975" s="21" t="s">
        <v>34</v>
      </c>
      <c r="E29975" s="21" t="s">
        <v>254</v>
      </c>
      <c r="F29975">
        <v>9270138</v>
      </c>
      <c r="G29975" t="s">
        <v>6112</v>
      </c>
      <c r="H29975" s="21">
        <v>552.16999999999996</v>
      </c>
    </row>
    <row r="29976" spans="1:8" customFormat="1" x14ac:dyDescent="0.25">
      <c r="A29976" t="str">
        <f>"5019236"</f>
        <v>5019236</v>
      </c>
      <c r="B29976" t="s">
        <v>14475</v>
      </c>
      <c r="C29976" t="s">
        <v>2100</v>
      </c>
      <c r="D29976" s="21" t="s">
        <v>34</v>
      </c>
      <c r="E29976" s="21" t="s">
        <v>254</v>
      </c>
      <c r="F29976">
        <v>9500131</v>
      </c>
      <c r="G29976" t="s">
        <v>1073</v>
      </c>
      <c r="H29976" s="21">
        <v>552.16999999999996</v>
      </c>
    </row>
    <row r="29977" spans="1:8" customFormat="1" x14ac:dyDescent="0.25">
      <c r="A29977" t="str">
        <f>"7879298"</f>
        <v>7879298</v>
      </c>
      <c r="B29977" t="s">
        <v>623</v>
      </c>
      <c r="C29977" t="s">
        <v>2117</v>
      </c>
      <c r="D29977" s="21" t="s">
        <v>34</v>
      </c>
      <c r="E29977" s="21" t="s">
        <v>35</v>
      </c>
      <c r="F29977">
        <v>8780114</v>
      </c>
      <c r="G29977" t="s">
        <v>927</v>
      </c>
      <c r="H29977" s="21">
        <v>552.16999999999996</v>
      </c>
    </row>
    <row r="29978" spans="1:8" customFormat="1" x14ac:dyDescent="0.25">
      <c r="A29978" t="str">
        <f>"125022"</f>
        <v>125022</v>
      </c>
      <c r="B29978" t="s">
        <v>21707</v>
      </c>
      <c r="C29978" t="s">
        <v>415</v>
      </c>
      <c r="D29978" s="21" t="s">
        <v>34</v>
      </c>
      <c r="E29978" s="21" t="s">
        <v>254</v>
      </c>
      <c r="F29978">
        <v>11340071</v>
      </c>
      <c r="G29978" t="s">
        <v>17733</v>
      </c>
      <c r="H29978" s="21">
        <v>552.16999999999996</v>
      </c>
    </row>
    <row r="29979" spans="1:8" customFormat="1" x14ac:dyDescent="0.25">
      <c r="A29979" t="str">
        <f>"7916079"</f>
        <v>7916079</v>
      </c>
      <c r="B29979" t="s">
        <v>4822</v>
      </c>
      <c r="C29979" t="s">
        <v>21828</v>
      </c>
      <c r="D29979" s="21" t="s">
        <v>34</v>
      </c>
      <c r="E29979" s="21" t="s">
        <v>71</v>
      </c>
      <c r="F29979">
        <v>10790186</v>
      </c>
      <c r="G29979" t="s">
        <v>16305</v>
      </c>
      <c r="H29979" s="21">
        <v>552.16999999999996</v>
      </c>
    </row>
    <row r="29980" spans="1:8" customFormat="1" x14ac:dyDescent="0.25">
      <c r="A29980" t="str">
        <f>"5946477"</f>
        <v>5946477</v>
      </c>
      <c r="B29980" t="s">
        <v>11398</v>
      </c>
      <c r="C29980" t="s">
        <v>43</v>
      </c>
      <c r="D29980" s="21" t="s">
        <v>34</v>
      </c>
      <c r="E29980" s="21" t="s">
        <v>35</v>
      </c>
      <c r="F29980">
        <v>7590120</v>
      </c>
      <c r="G29980" t="s">
        <v>5351</v>
      </c>
      <c r="H29980" s="21">
        <v>552.16999999999996</v>
      </c>
    </row>
    <row r="29981" spans="1:8" customFormat="1" x14ac:dyDescent="0.25">
      <c r="A29981" t="str">
        <f>"7223585"</f>
        <v>7223585</v>
      </c>
      <c r="B29981" t="s">
        <v>28184</v>
      </c>
      <c r="C29981" t="s">
        <v>576</v>
      </c>
      <c r="D29981" s="21" t="s">
        <v>34</v>
      </c>
      <c r="E29981" s="21" t="s">
        <v>35</v>
      </c>
      <c r="F29981">
        <v>12720009</v>
      </c>
      <c r="G29981" t="s">
        <v>6928</v>
      </c>
      <c r="H29981" s="21">
        <v>552.16999999999996</v>
      </c>
    </row>
    <row r="29982" spans="1:8" customFormat="1" x14ac:dyDescent="0.25">
      <c r="A29982" t="str">
        <f>"7922925"</f>
        <v>7922925</v>
      </c>
      <c r="B29982" t="s">
        <v>1525</v>
      </c>
      <c r="C29982" t="s">
        <v>1468</v>
      </c>
      <c r="D29982" s="21" t="s">
        <v>34</v>
      </c>
      <c r="E29982" s="21" t="s">
        <v>71</v>
      </c>
      <c r="F29982">
        <v>10790022</v>
      </c>
      <c r="G29982" t="s">
        <v>7916</v>
      </c>
      <c r="H29982" s="21">
        <v>552.16999999999996</v>
      </c>
    </row>
    <row r="29983" spans="1:8" customFormat="1" x14ac:dyDescent="0.25">
      <c r="A29983" t="str">
        <f>"5949134"</f>
        <v>5949134</v>
      </c>
      <c r="B29983" t="s">
        <v>11180</v>
      </c>
      <c r="C29983" t="s">
        <v>2520</v>
      </c>
      <c r="D29983" s="21" t="s">
        <v>34</v>
      </c>
      <c r="E29983" s="21" t="s">
        <v>71</v>
      </c>
      <c r="F29983">
        <v>7590223</v>
      </c>
      <c r="G29983" t="s">
        <v>5218</v>
      </c>
      <c r="H29983" s="21">
        <v>552.16999999999996</v>
      </c>
    </row>
    <row r="29984" spans="1:8" customFormat="1" x14ac:dyDescent="0.25">
      <c r="A29984" t="str">
        <f>"486078"</f>
        <v>486078</v>
      </c>
      <c r="B29984" t="s">
        <v>17111</v>
      </c>
      <c r="C29984" t="s">
        <v>9631</v>
      </c>
      <c r="D29984" s="21" t="s">
        <v>34</v>
      </c>
      <c r="E29984" s="21" t="s">
        <v>35</v>
      </c>
      <c r="F29984">
        <v>11480019</v>
      </c>
      <c r="G29984" t="s">
        <v>11028</v>
      </c>
      <c r="H29984" s="21">
        <v>552.16999999999996</v>
      </c>
    </row>
    <row r="29985" spans="1:8" customFormat="1" x14ac:dyDescent="0.25">
      <c r="A29985" t="str">
        <f>"8529411"</f>
        <v>8529411</v>
      </c>
      <c r="B29985" t="s">
        <v>23285</v>
      </c>
      <c r="C29985" t="s">
        <v>1605</v>
      </c>
      <c r="D29985" s="21" t="s">
        <v>34</v>
      </c>
      <c r="E29985" s="21" t="s">
        <v>71</v>
      </c>
      <c r="F29985">
        <v>12850136</v>
      </c>
      <c r="G29985" t="s">
        <v>2536</v>
      </c>
      <c r="H29985" s="21">
        <v>552.12</v>
      </c>
    </row>
    <row r="29986" spans="1:8" customFormat="1" x14ac:dyDescent="0.25">
      <c r="A29986" t="str">
        <f>"926610"</f>
        <v>926610</v>
      </c>
      <c r="B29986" t="s">
        <v>20483</v>
      </c>
      <c r="C29986" t="s">
        <v>169</v>
      </c>
      <c r="D29986" s="21" t="s">
        <v>34</v>
      </c>
      <c r="E29986" s="21" t="s">
        <v>254</v>
      </c>
      <c r="F29986">
        <v>8920140</v>
      </c>
      <c r="G29986" t="s">
        <v>3762</v>
      </c>
      <c r="H29986" s="21">
        <v>551.91999999999996</v>
      </c>
    </row>
    <row r="29987" spans="1:8" customFormat="1" x14ac:dyDescent="0.25">
      <c r="A29987" t="str">
        <f>"4928760"</f>
        <v>4928760</v>
      </c>
      <c r="B29987" t="s">
        <v>20949</v>
      </c>
      <c r="C29987" t="s">
        <v>169</v>
      </c>
      <c r="D29987" s="21" t="s">
        <v>34</v>
      </c>
      <c r="E29987" s="21" t="s">
        <v>35</v>
      </c>
      <c r="F29987">
        <v>12490032</v>
      </c>
      <c r="G29987" t="s">
        <v>6233</v>
      </c>
      <c r="H29987" s="21">
        <v>551.91999999999996</v>
      </c>
    </row>
    <row r="29988" spans="1:8" customFormat="1" x14ac:dyDescent="0.25">
      <c r="A29988" t="str">
        <f>"6112252"</f>
        <v>6112252</v>
      </c>
      <c r="B29988" t="s">
        <v>24553</v>
      </c>
      <c r="C29988" t="s">
        <v>260</v>
      </c>
      <c r="D29988" s="21" t="s">
        <v>34</v>
      </c>
      <c r="E29988" s="21" t="s">
        <v>35</v>
      </c>
      <c r="F29988">
        <v>9610119</v>
      </c>
      <c r="G29988" t="s">
        <v>6655</v>
      </c>
      <c r="H29988" s="21">
        <v>551.91999999999996</v>
      </c>
    </row>
    <row r="29989" spans="1:8" customFormat="1" x14ac:dyDescent="0.25">
      <c r="A29989" t="str">
        <f>"3014109"</f>
        <v>3014109</v>
      </c>
      <c r="B29989" t="s">
        <v>24550</v>
      </c>
      <c r="C29989" t="s">
        <v>198</v>
      </c>
      <c r="D29989" s="21" t="s">
        <v>34</v>
      </c>
      <c r="E29989" s="21" t="s">
        <v>71</v>
      </c>
      <c r="F29989">
        <v>11300016</v>
      </c>
      <c r="G29989" t="s">
        <v>157</v>
      </c>
      <c r="H29989" s="21">
        <v>551.91999999999996</v>
      </c>
    </row>
    <row r="29990" spans="1:8" customFormat="1" x14ac:dyDescent="0.25">
      <c r="A29990" t="str">
        <f>"1614077"</f>
        <v>1614077</v>
      </c>
      <c r="B29990" t="s">
        <v>882</v>
      </c>
      <c r="C29990" t="s">
        <v>253</v>
      </c>
      <c r="D29990" s="21" t="s">
        <v>34</v>
      </c>
      <c r="E29990" s="21" t="s">
        <v>254</v>
      </c>
      <c r="F29990">
        <v>10160225</v>
      </c>
      <c r="G29990" t="s">
        <v>2865</v>
      </c>
      <c r="H29990" s="21">
        <v>551.88</v>
      </c>
    </row>
    <row r="29991" spans="1:8" customFormat="1" x14ac:dyDescent="0.25">
      <c r="A29991" t="str">
        <f>"9453277"</f>
        <v>9453277</v>
      </c>
      <c r="B29991" t="s">
        <v>21931</v>
      </c>
      <c r="C29991" t="s">
        <v>3010</v>
      </c>
      <c r="D29991" s="21" t="s">
        <v>34</v>
      </c>
      <c r="E29991" s="21" t="s">
        <v>35</v>
      </c>
      <c r="F29991">
        <v>8940926</v>
      </c>
      <c r="G29991" t="s">
        <v>4065</v>
      </c>
      <c r="H29991" s="21">
        <v>551.79</v>
      </c>
    </row>
    <row r="29992" spans="1:8" customFormat="1" x14ac:dyDescent="0.25">
      <c r="A29992" t="str">
        <f>"7519342"</f>
        <v>7519342</v>
      </c>
      <c r="B29992" t="s">
        <v>2388</v>
      </c>
      <c r="C29992" t="s">
        <v>812</v>
      </c>
      <c r="D29992" s="21" t="s">
        <v>34</v>
      </c>
      <c r="E29992" s="21" t="s">
        <v>71</v>
      </c>
      <c r="F29992">
        <v>1260054</v>
      </c>
      <c r="G29992" t="s">
        <v>358</v>
      </c>
      <c r="H29992" s="21">
        <v>551.66999999999996</v>
      </c>
    </row>
    <row r="29993" spans="1:8" customFormat="1" x14ac:dyDescent="0.25">
      <c r="A29993" t="str">
        <f>"431526"</f>
        <v>431526</v>
      </c>
      <c r="B29993" t="s">
        <v>8895</v>
      </c>
      <c r="C29993" t="s">
        <v>239</v>
      </c>
      <c r="D29993" s="21" t="s">
        <v>34</v>
      </c>
      <c r="E29993" s="21" t="s">
        <v>254</v>
      </c>
      <c r="F29993">
        <v>1420309</v>
      </c>
      <c r="G29993" t="s">
        <v>26798</v>
      </c>
      <c r="H29993" s="21">
        <v>551.66999999999996</v>
      </c>
    </row>
    <row r="29994" spans="1:8" customFormat="1" x14ac:dyDescent="0.25">
      <c r="A29994" t="str">
        <f>"0111"</f>
        <v>0111</v>
      </c>
      <c r="B29994" t="s">
        <v>5112</v>
      </c>
      <c r="C29994" t="s">
        <v>124</v>
      </c>
      <c r="D29994" s="21" t="s">
        <v>34</v>
      </c>
      <c r="E29994" s="21" t="s">
        <v>71</v>
      </c>
      <c r="F29994">
        <v>1010063</v>
      </c>
      <c r="G29994" t="s">
        <v>5215</v>
      </c>
      <c r="H29994" s="21">
        <v>551.66999999999996</v>
      </c>
    </row>
    <row r="29995" spans="1:8" customFormat="1" x14ac:dyDescent="0.25">
      <c r="A29995" t="str">
        <f>"213345"</f>
        <v>213345</v>
      </c>
      <c r="B29995" t="s">
        <v>11601</v>
      </c>
      <c r="C29995" t="s">
        <v>2730</v>
      </c>
      <c r="D29995" s="21" t="s">
        <v>34</v>
      </c>
      <c r="E29995" s="21" t="s">
        <v>254</v>
      </c>
      <c r="F29995">
        <v>2210029</v>
      </c>
      <c r="G29995" t="s">
        <v>6983</v>
      </c>
      <c r="H29995" s="21">
        <v>551.66999999999996</v>
      </c>
    </row>
    <row r="29996" spans="1:8" customFormat="1" x14ac:dyDescent="0.25">
      <c r="A29996" t="str">
        <f>"9529583"</f>
        <v>9529583</v>
      </c>
      <c r="B29996" t="s">
        <v>7374</v>
      </c>
      <c r="C29996" t="s">
        <v>124</v>
      </c>
      <c r="D29996" s="21" t="s">
        <v>34</v>
      </c>
      <c r="E29996" s="21" t="s">
        <v>35</v>
      </c>
      <c r="F29996">
        <v>8950083</v>
      </c>
      <c r="G29996" t="s">
        <v>405</v>
      </c>
      <c r="H29996" s="21">
        <v>551.66999999999996</v>
      </c>
    </row>
    <row r="29997" spans="1:8" customFormat="1" x14ac:dyDescent="0.25">
      <c r="A29997" t="str">
        <f>"662971"</f>
        <v>662971</v>
      </c>
      <c r="B29997" t="s">
        <v>21730</v>
      </c>
      <c r="C29997" t="s">
        <v>2752</v>
      </c>
      <c r="D29997" s="21" t="s">
        <v>34</v>
      </c>
      <c r="E29997" s="21" t="s">
        <v>254</v>
      </c>
      <c r="F29997">
        <v>11660038</v>
      </c>
      <c r="G29997" t="s">
        <v>8493</v>
      </c>
      <c r="H29997" s="21">
        <v>551.66999999999996</v>
      </c>
    </row>
    <row r="29998" spans="1:8" customFormat="1" x14ac:dyDescent="0.25">
      <c r="A29998" t="str">
        <f>"6215175"</f>
        <v>6215175</v>
      </c>
      <c r="B29998" t="s">
        <v>22012</v>
      </c>
      <c r="C29998" t="s">
        <v>576</v>
      </c>
      <c r="D29998" s="21" t="s">
        <v>34</v>
      </c>
      <c r="E29998" s="21" t="s">
        <v>35</v>
      </c>
      <c r="F29998">
        <v>7620143</v>
      </c>
      <c r="G29998" t="s">
        <v>8762</v>
      </c>
      <c r="H29998" s="21">
        <v>551.66999999999996</v>
      </c>
    </row>
    <row r="29999" spans="1:8" customFormat="1" x14ac:dyDescent="0.25">
      <c r="A29999" t="str">
        <f>"81471"</f>
        <v>81471</v>
      </c>
      <c r="B29999" t="s">
        <v>12647</v>
      </c>
      <c r="C29999" t="s">
        <v>415</v>
      </c>
      <c r="D29999" s="21" t="s">
        <v>34</v>
      </c>
      <c r="E29999" s="21" t="s">
        <v>35</v>
      </c>
      <c r="F29999">
        <v>11810008</v>
      </c>
      <c r="G29999" t="s">
        <v>8796</v>
      </c>
      <c r="H29999" s="21">
        <v>551.66999999999996</v>
      </c>
    </row>
    <row r="30000" spans="1:8" customFormat="1" x14ac:dyDescent="0.25">
      <c r="A30000" t="str">
        <f>"4933746"</f>
        <v>4933746</v>
      </c>
      <c r="B30000" t="s">
        <v>22292</v>
      </c>
      <c r="C30000" t="s">
        <v>2072</v>
      </c>
      <c r="D30000" s="21" t="s">
        <v>34</v>
      </c>
      <c r="E30000" s="21" t="s">
        <v>71</v>
      </c>
      <c r="F30000">
        <v>12490067</v>
      </c>
      <c r="G30000" t="s">
        <v>7654</v>
      </c>
      <c r="H30000" s="21">
        <v>551.66999999999996</v>
      </c>
    </row>
    <row r="30001" spans="1:8" customFormat="1" x14ac:dyDescent="0.25">
      <c r="A30001" t="str">
        <f>"9141248"</f>
        <v>9141248</v>
      </c>
      <c r="B30001" t="s">
        <v>21040</v>
      </c>
      <c r="C30001" t="s">
        <v>462</v>
      </c>
      <c r="D30001" s="21" t="s">
        <v>34</v>
      </c>
      <c r="E30001" s="21" t="s">
        <v>254</v>
      </c>
      <c r="F30001">
        <v>8911461</v>
      </c>
      <c r="G30001" t="s">
        <v>6705</v>
      </c>
      <c r="H30001" s="21">
        <v>551.66999999999996</v>
      </c>
    </row>
    <row r="30002" spans="1:8" customFormat="1" x14ac:dyDescent="0.25">
      <c r="A30002" t="str">
        <f>"8815341"</f>
        <v>8815341</v>
      </c>
      <c r="B30002" t="s">
        <v>11871</v>
      </c>
      <c r="C30002" t="s">
        <v>267</v>
      </c>
      <c r="D30002" s="21" t="s">
        <v>34</v>
      </c>
      <c r="E30002" s="21" t="s">
        <v>71</v>
      </c>
      <c r="F30002">
        <v>6880123</v>
      </c>
      <c r="G30002" t="s">
        <v>527</v>
      </c>
      <c r="H30002" s="21">
        <v>551.66999999999996</v>
      </c>
    </row>
    <row r="30003" spans="1:8" customFormat="1" x14ac:dyDescent="0.25">
      <c r="A30003" t="str">
        <f>"2112178"</f>
        <v>2112178</v>
      </c>
      <c r="B30003" t="s">
        <v>24191</v>
      </c>
      <c r="C30003" t="s">
        <v>1119</v>
      </c>
      <c r="D30003" s="21" t="s">
        <v>34</v>
      </c>
      <c r="E30003" s="21" t="s">
        <v>254</v>
      </c>
      <c r="F30003">
        <v>2210106</v>
      </c>
      <c r="G30003" t="s">
        <v>8845</v>
      </c>
      <c r="H30003" s="21">
        <v>551.66999999999996</v>
      </c>
    </row>
    <row r="30004" spans="1:8" customFormat="1" x14ac:dyDescent="0.25">
      <c r="A30004" t="str">
        <f>"51812"</f>
        <v>51812</v>
      </c>
      <c r="B30004" t="s">
        <v>2271</v>
      </c>
      <c r="C30004" t="s">
        <v>1665</v>
      </c>
      <c r="D30004" s="21" t="s">
        <v>34</v>
      </c>
      <c r="E30004" s="21" t="s">
        <v>254</v>
      </c>
      <c r="F30004">
        <v>6510018</v>
      </c>
      <c r="G30004" t="s">
        <v>3055</v>
      </c>
      <c r="H30004" s="21">
        <v>551.66999999999996</v>
      </c>
    </row>
    <row r="30005" spans="1:8" customFormat="1" x14ac:dyDescent="0.25">
      <c r="A30005" t="str">
        <f>"905837"</f>
        <v>905837</v>
      </c>
      <c r="B30005" t="s">
        <v>7443</v>
      </c>
      <c r="C30005" t="s">
        <v>288</v>
      </c>
      <c r="D30005" s="21" t="s">
        <v>34</v>
      </c>
      <c r="E30005" s="21" t="s">
        <v>35</v>
      </c>
      <c r="F30005">
        <v>2900047</v>
      </c>
      <c r="G30005" t="s">
        <v>6819</v>
      </c>
      <c r="H30005" s="21">
        <v>551.66999999999996</v>
      </c>
    </row>
    <row r="30006" spans="1:8" customFormat="1" x14ac:dyDescent="0.25">
      <c r="A30006" t="str">
        <f>"6917909"</f>
        <v>6917909</v>
      </c>
      <c r="B30006" t="s">
        <v>28185</v>
      </c>
      <c r="C30006" t="s">
        <v>3905</v>
      </c>
      <c r="D30006" s="21" t="s">
        <v>34</v>
      </c>
      <c r="E30006" s="21" t="s">
        <v>254</v>
      </c>
      <c r="F30006">
        <v>1690155</v>
      </c>
      <c r="G30006" t="s">
        <v>11464</v>
      </c>
      <c r="H30006" s="21">
        <v>551.66999999999996</v>
      </c>
    </row>
    <row r="30007" spans="1:8" customFormat="1" x14ac:dyDescent="0.25">
      <c r="A30007" t="str">
        <f>"172254"</f>
        <v>172254</v>
      </c>
      <c r="B30007" t="s">
        <v>19549</v>
      </c>
      <c r="C30007" t="s">
        <v>233</v>
      </c>
      <c r="D30007" s="21" t="s">
        <v>34</v>
      </c>
      <c r="E30007" s="21" t="s">
        <v>254</v>
      </c>
      <c r="F30007">
        <v>10170158</v>
      </c>
      <c r="G30007" t="s">
        <v>1262</v>
      </c>
      <c r="H30007" s="21">
        <v>551.66999999999996</v>
      </c>
    </row>
    <row r="30008" spans="1:8" customFormat="1" x14ac:dyDescent="0.25">
      <c r="A30008" t="str">
        <f>"6315707"</f>
        <v>6315707</v>
      </c>
      <c r="B30008" t="s">
        <v>23474</v>
      </c>
      <c r="C30008" t="s">
        <v>121</v>
      </c>
      <c r="D30008" s="21" t="s">
        <v>34</v>
      </c>
      <c r="E30008" s="21" t="s">
        <v>35</v>
      </c>
      <c r="F30008">
        <v>1630241</v>
      </c>
      <c r="G30008" t="s">
        <v>4519</v>
      </c>
      <c r="H30008" s="21">
        <v>551.66999999999996</v>
      </c>
    </row>
    <row r="30009" spans="1:8" customFormat="1" x14ac:dyDescent="0.25">
      <c r="A30009" t="str">
        <f>"4432916"</f>
        <v>4432916</v>
      </c>
      <c r="B30009" t="s">
        <v>1626</v>
      </c>
      <c r="C30009" t="s">
        <v>2520</v>
      </c>
      <c r="D30009" s="21" t="s">
        <v>34</v>
      </c>
      <c r="E30009" s="21" t="s">
        <v>1089</v>
      </c>
      <c r="F30009">
        <v>12440239</v>
      </c>
      <c r="G30009" t="s">
        <v>11158</v>
      </c>
      <c r="H30009" s="21">
        <v>551.66999999999996</v>
      </c>
    </row>
    <row r="30010" spans="1:8" customFormat="1" x14ac:dyDescent="0.25">
      <c r="A30010" t="str">
        <f>"932339"</f>
        <v>932339</v>
      </c>
      <c r="B30010" t="s">
        <v>20781</v>
      </c>
      <c r="C30010" t="s">
        <v>3987</v>
      </c>
      <c r="D30010" s="21" t="s">
        <v>34</v>
      </c>
      <c r="E30010" s="21" t="s">
        <v>254</v>
      </c>
      <c r="F30010">
        <v>3220011</v>
      </c>
      <c r="G30010" t="s">
        <v>27394</v>
      </c>
      <c r="H30010" s="21">
        <v>551.66999999999996</v>
      </c>
    </row>
    <row r="30011" spans="1:8" customFormat="1" x14ac:dyDescent="0.25">
      <c r="A30011" t="str">
        <f>"661361"</f>
        <v>661361</v>
      </c>
      <c r="B30011" t="s">
        <v>15754</v>
      </c>
      <c r="C30011" t="s">
        <v>1489</v>
      </c>
      <c r="D30011" s="21" t="s">
        <v>34</v>
      </c>
      <c r="E30011" s="21" t="s">
        <v>6185</v>
      </c>
      <c r="F30011">
        <v>11660032</v>
      </c>
      <c r="G30011" t="s">
        <v>3232</v>
      </c>
      <c r="H30011" s="21">
        <v>551.66999999999996</v>
      </c>
    </row>
    <row r="30012" spans="1:8" customFormat="1" x14ac:dyDescent="0.25">
      <c r="A30012" t="str">
        <f>"161806"</f>
        <v>161806</v>
      </c>
      <c r="B30012" t="s">
        <v>6355</v>
      </c>
      <c r="C30012" t="s">
        <v>1665</v>
      </c>
      <c r="D30012" s="21" t="s">
        <v>34</v>
      </c>
      <c r="E30012" s="21" t="s">
        <v>6185</v>
      </c>
      <c r="F30012">
        <v>10160197</v>
      </c>
      <c r="G30012" t="s">
        <v>4472</v>
      </c>
      <c r="H30012" s="21">
        <v>551.66999999999996</v>
      </c>
    </row>
    <row r="30013" spans="1:8" customFormat="1" x14ac:dyDescent="0.25">
      <c r="A30013" t="str">
        <f>"351907"</f>
        <v>351907</v>
      </c>
      <c r="B30013" t="s">
        <v>9988</v>
      </c>
      <c r="C30013" t="s">
        <v>453</v>
      </c>
      <c r="D30013" s="21" t="s">
        <v>34</v>
      </c>
      <c r="E30013" s="21" t="s">
        <v>1089</v>
      </c>
      <c r="F30013">
        <v>3350209</v>
      </c>
      <c r="G30013" t="s">
        <v>3023</v>
      </c>
      <c r="H30013" s="21">
        <v>551.66999999999996</v>
      </c>
    </row>
    <row r="30014" spans="1:8" customFormat="1" x14ac:dyDescent="0.25">
      <c r="A30014" t="str">
        <f>"9142054"</f>
        <v>9142054</v>
      </c>
      <c r="B30014" t="s">
        <v>12179</v>
      </c>
      <c r="C30014" t="s">
        <v>664</v>
      </c>
      <c r="D30014" s="21" t="s">
        <v>34</v>
      </c>
      <c r="E30014" s="21" t="s">
        <v>71</v>
      </c>
      <c r="F30014">
        <v>8911395</v>
      </c>
      <c r="G30014" t="s">
        <v>8758</v>
      </c>
      <c r="H30014" s="21">
        <v>551.66999999999996</v>
      </c>
    </row>
    <row r="30015" spans="1:8" customFormat="1" x14ac:dyDescent="0.25">
      <c r="A30015" t="str">
        <f>"5113484"</f>
        <v>5113484</v>
      </c>
      <c r="B30015" t="s">
        <v>20901</v>
      </c>
      <c r="C30015" t="s">
        <v>119</v>
      </c>
      <c r="D30015" s="21" t="s">
        <v>34</v>
      </c>
      <c r="E30015" s="21" t="s">
        <v>71</v>
      </c>
      <c r="F30015">
        <v>6510015</v>
      </c>
      <c r="G30015" t="s">
        <v>5462</v>
      </c>
      <c r="H30015" s="21">
        <v>551.66999999999996</v>
      </c>
    </row>
    <row r="30016" spans="1:8" customFormat="1" x14ac:dyDescent="0.25">
      <c r="A30016" t="str">
        <f>"844975"</f>
        <v>844975</v>
      </c>
      <c r="B30016" t="s">
        <v>1198</v>
      </c>
      <c r="C30016" t="s">
        <v>328</v>
      </c>
      <c r="D30016" s="21" t="s">
        <v>34</v>
      </c>
      <c r="E30016" s="21" t="s">
        <v>71</v>
      </c>
      <c r="F30016">
        <v>13840021</v>
      </c>
      <c r="G30016" t="s">
        <v>3946</v>
      </c>
      <c r="H30016" s="21">
        <v>551.66999999999996</v>
      </c>
    </row>
    <row r="30017" spans="1:8" customFormat="1" x14ac:dyDescent="0.25">
      <c r="A30017" t="str">
        <f>"5111900"</f>
        <v>5111900</v>
      </c>
      <c r="B30017" t="s">
        <v>20429</v>
      </c>
      <c r="C30017" t="s">
        <v>121</v>
      </c>
      <c r="D30017" s="21" t="s">
        <v>34</v>
      </c>
      <c r="E30017" s="21" t="s">
        <v>71</v>
      </c>
      <c r="F30017">
        <v>6510110</v>
      </c>
      <c r="G30017" t="s">
        <v>9011</v>
      </c>
      <c r="H30017" s="21">
        <v>551.54</v>
      </c>
    </row>
    <row r="30018" spans="1:8" customFormat="1" x14ac:dyDescent="0.25">
      <c r="A30018" t="str">
        <f>"731055"</f>
        <v>731055</v>
      </c>
      <c r="B30018" t="s">
        <v>19950</v>
      </c>
      <c r="C30018" t="s">
        <v>598</v>
      </c>
      <c r="D30018" s="21" t="s">
        <v>34</v>
      </c>
      <c r="E30018" s="21" t="s">
        <v>1089</v>
      </c>
      <c r="F30018">
        <v>1730007</v>
      </c>
      <c r="G30018" t="s">
        <v>6989</v>
      </c>
      <c r="H30018" s="21">
        <v>551.54</v>
      </c>
    </row>
    <row r="30019" spans="1:8" customFormat="1" x14ac:dyDescent="0.25">
      <c r="A30019" t="str">
        <f>"9137252"</f>
        <v>9137252</v>
      </c>
      <c r="B30019" t="s">
        <v>3591</v>
      </c>
      <c r="C30019" t="s">
        <v>656</v>
      </c>
      <c r="D30019" s="21" t="s">
        <v>34</v>
      </c>
      <c r="E30019" s="21" t="s">
        <v>71</v>
      </c>
      <c r="F30019">
        <v>8911456</v>
      </c>
      <c r="G30019" t="s">
        <v>6481</v>
      </c>
      <c r="H30019" s="21">
        <v>551.41999999999996</v>
      </c>
    </row>
    <row r="30020" spans="1:8" customFormat="1" x14ac:dyDescent="0.25">
      <c r="A30020" t="str">
        <f>"4938598"</f>
        <v>4938598</v>
      </c>
      <c r="B30020" t="s">
        <v>1278</v>
      </c>
      <c r="C30020" t="s">
        <v>87</v>
      </c>
      <c r="D30020" s="21" t="s">
        <v>34</v>
      </c>
      <c r="E30020" s="21" t="s">
        <v>35</v>
      </c>
      <c r="F30020">
        <v>12490059</v>
      </c>
      <c r="G30020" t="s">
        <v>5063</v>
      </c>
      <c r="H30020" s="21">
        <v>551.41999999999996</v>
      </c>
    </row>
    <row r="30021" spans="1:8" customFormat="1" x14ac:dyDescent="0.25">
      <c r="A30021" t="str">
        <f>"2815451"</f>
        <v>2815451</v>
      </c>
      <c r="B30021" t="s">
        <v>11709</v>
      </c>
      <c r="C30021" t="s">
        <v>720</v>
      </c>
      <c r="D30021" s="21" t="s">
        <v>34</v>
      </c>
      <c r="E30021" s="21" t="s">
        <v>254</v>
      </c>
      <c r="F30021">
        <v>4280722</v>
      </c>
      <c r="G30021" t="s">
        <v>8251</v>
      </c>
      <c r="H30021" s="21">
        <v>551.25</v>
      </c>
    </row>
    <row r="30022" spans="1:8" customFormat="1" x14ac:dyDescent="0.25">
      <c r="A30022" t="str">
        <f>"5981241"</f>
        <v>5981241</v>
      </c>
      <c r="B30022" t="s">
        <v>23302</v>
      </c>
      <c r="C30022" t="s">
        <v>156</v>
      </c>
      <c r="D30022" s="21" t="s">
        <v>34</v>
      </c>
      <c r="E30022" s="21" t="s">
        <v>35</v>
      </c>
      <c r="F30022">
        <v>7590215</v>
      </c>
      <c r="G30022" t="s">
        <v>15580</v>
      </c>
      <c r="H30022" s="21">
        <v>551.16999999999996</v>
      </c>
    </row>
    <row r="30023" spans="1:8" customFormat="1" x14ac:dyDescent="0.25">
      <c r="A30023" t="str">
        <f>"81566"</f>
        <v>81566</v>
      </c>
      <c r="B30023" t="s">
        <v>15135</v>
      </c>
      <c r="C30023" t="s">
        <v>239</v>
      </c>
      <c r="D30023" s="21" t="s">
        <v>34</v>
      </c>
      <c r="E30023" s="21" t="s">
        <v>6185</v>
      </c>
      <c r="F30023">
        <v>11810003</v>
      </c>
      <c r="G30023" t="s">
        <v>1934</v>
      </c>
      <c r="H30023" s="21">
        <v>551.16999999999996</v>
      </c>
    </row>
    <row r="30024" spans="1:8" customFormat="1" x14ac:dyDescent="0.25">
      <c r="A30024" t="str">
        <f>"538300"</f>
        <v>538300</v>
      </c>
      <c r="B30024" t="s">
        <v>20924</v>
      </c>
      <c r="C30024" t="s">
        <v>2100</v>
      </c>
      <c r="D30024" s="21" t="s">
        <v>34</v>
      </c>
      <c r="E30024" s="21" t="s">
        <v>254</v>
      </c>
      <c r="F30024">
        <v>12530090</v>
      </c>
      <c r="G30024" t="s">
        <v>6132</v>
      </c>
      <c r="H30024" s="21">
        <v>551.16999999999996</v>
      </c>
    </row>
    <row r="30025" spans="1:8" customFormat="1" x14ac:dyDescent="0.25">
      <c r="A30025" t="str">
        <f>"7642418"</f>
        <v>7642418</v>
      </c>
      <c r="B30025" t="s">
        <v>17114</v>
      </c>
      <c r="C30025" t="s">
        <v>119</v>
      </c>
      <c r="D30025" s="21" t="s">
        <v>34</v>
      </c>
      <c r="E30025" s="21" t="s">
        <v>71</v>
      </c>
      <c r="F30025">
        <v>9760104</v>
      </c>
      <c r="G30025" t="s">
        <v>26795</v>
      </c>
      <c r="H30025" s="21">
        <v>551.16999999999996</v>
      </c>
    </row>
    <row r="30026" spans="1:8" customFormat="1" x14ac:dyDescent="0.25">
      <c r="A30026" t="str">
        <f>"5957800"</f>
        <v>5957800</v>
      </c>
      <c r="B30026" t="s">
        <v>6847</v>
      </c>
      <c r="C30026" t="s">
        <v>33</v>
      </c>
      <c r="D30026" s="21" t="s">
        <v>34</v>
      </c>
      <c r="E30026" s="21" t="s">
        <v>71</v>
      </c>
      <c r="F30026">
        <v>7590065</v>
      </c>
      <c r="G30026" t="s">
        <v>1598</v>
      </c>
      <c r="H30026" s="21">
        <v>551.16999999999996</v>
      </c>
    </row>
    <row r="30027" spans="1:8" customFormat="1" x14ac:dyDescent="0.25">
      <c r="A30027" t="str">
        <f>"4437466"</f>
        <v>4437466</v>
      </c>
      <c r="B30027" t="s">
        <v>10649</v>
      </c>
      <c r="C30027" t="s">
        <v>269</v>
      </c>
      <c r="D30027" s="21" t="s">
        <v>34</v>
      </c>
      <c r="E30027" s="21" t="s">
        <v>71</v>
      </c>
      <c r="F30027">
        <v>12440059</v>
      </c>
      <c r="G30027" t="s">
        <v>6697</v>
      </c>
      <c r="H30027" s="21">
        <v>551.16999999999996</v>
      </c>
    </row>
    <row r="30028" spans="1:8" customFormat="1" x14ac:dyDescent="0.25">
      <c r="A30028" t="str">
        <f>"4938470"</f>
        <v>4938470</v>
      </c>
      <c r="B30028" t="s">
        <v>8472</v>
      </c>
      <c r="C30028" t="s">
        <v>1914</v>
      </c>
      <c r="D30028" s="21" t="s">
        <v>34</v>
      </c>
      <c r="E30028" s="21" t="s">
        <v>254</v>
      </c>
      <c r="F30028">
        <v>12490055</v>
      </c>
      <c r="G30028" t="s">
        <v>12099</v>
      </c>
      <c r="H30028" s="21">
        <v>551.16999999999996</v>
      </c>
    </row>
    <row r="30029" spans="1:8" customFormat="1" x14ac:dyDescent="0.25">
      <c r="A30029" t="str">
        <f>"4110765"</f>
        <v>4110765</v>
      </c>
      <c r="B30029" t="s">
        <v>6089</v>
      </c>
      <c r="C30029" t="s">
        <v>817</v>
      </c>
      <c r="D30029" s="21" t="s">
        <v>34</v>
      </c>
      <c r="E30029" s="21" t="s">
        <v>71</v>
      </c>
      <c r="F30029">
        <v>4410015</v>
      </c>
      <c r="G30029" t="s">
        <v>2223</v>
      </c>
      <c r="H30029" s="21">
        <v>551.16999999999996</v>
      </c>
    </row>
    <row r="30030" spans="1:8" customFormat="1" x14ac:dyDescent="0.25">
      <c r="A30030" t="str">
        <f>"2212798"</f>
        <v>2212798</v>
      </c>
      <c r="B30030" t="s">
        <v>5276</v>
      </c>
      <c r="C30030" t="s">
        <v>1142</v>
      </c>
      <c r="D30030" s="21" t="s">
        <v>34</v>
      </c>
      <c r="E30030" s="21" t="s">
        <v>1089</v>
      </c>
      <c r="F30030">
        <v>3220013</v>
      </c>
      <c r="G30030" t="s">
        <v>27198</v>
      </c>
      <c r="H30030" s="21">
        <v>551.16999999999996</v>
      </c>
    </row>
    <row r="30031" spans="1:8" customFormat="1" x14ac:dyDescent="0.25">
      <c r="A30031" t="str">
        <f>"67533"</f>
        <v>67533</v>
      </c>
      <c r="B30031" t="s">
        <v>19938</v>
      </c>
      <c r="C30031" t="s">
        <v>1841</v>
      </c>
      <c r="D30031" s="21" t="s">
        <v>34</v>
      </c>
      <c r="E30031" s="21" t="s">
        <v>254</v>
      </c>
      <c r="F30031">
        <v>6670045</v>
      </c>
      <c r="G30031" t="s">
        <v>707</v>
      </c>
      <c r="H30031" s="21">
        <v>551.16999999999996</v>
      </c>
    </row>
    <row r="30032" spans="1:8" customFormat="1" x14ac:dyDescent="0.25">
      <c r="A30032" t="str">
        <f>"6017893"</f>
        <v>6017893</v>
      </c>
      <c r="B30032" t="s">
        <v>14415</v>
      </c>
      <c r="C30032" t="s">
        <v>415</v>
      </c>
      <c r="D30032" s="21" t="s">
        <v>34</v>
      </c>
      <c r="E30032" s="21" t="s">
        <v>71</v>
      </c>
      <c r="F30032">
        <v>7600005</v>
      </c>
      <c r="G30032" t="s">
        <v>2299</v>
      </c>
      <c r="H30032" s="21">
        <v>551.16999999999996</v>
      </c>
    </row>
    <row r="30033" spans="1:8" customFormat="1" x14ac:dyDescent="0.25">
      <c r="A30033" t="str">
        <f>"3422511"</f>
        <v>3422511</v>
      </c>
      <c r="B30033" t="s">
        <v>4711</v>
      </c>
      <c r="C30033" t="s">
        <v>239</v>
      </c>
      <c r="D30033" s="21" t="s">
        <v>34</v>
      </c>
      <c r="E30033" s="21" t="s">
        <v>71</v>
      </c>
      <c r="F30033">
        <v>11340010</v>
      </c>
      <c r="G30033" t="s">
        <v>66</v>
      </c>
      <c r="H30033" s="21">
        <v>551.16999999999996</v>
      </c>
    </row>
    <row r="30034" spans="1:8" customFormat="1" x14ac:dyDescent="0.25">
      <c r="A30034" t="str">
        <f>"8816759"</f>
        <v>8816759</v>
      </c>
      <c r="B30034" t="s">
        <v>22577</v>
      </c>
      <c r="C30034" t="s">
        <v>40</v>
      </c>
      <c r="D30034" s="21" t="s">
        <v>34</v>
      </c>
      <c r="E30034" s="21" t="s">
        <v>71</v>
      </c>
      <c r="F30034">
        <v>6880051</v>
      </c>
      <c r="G30034" t="s">
        <v>6116</v>
      </c>
      <c r="H30034" s="21">
        <v>551.16999999999996</v>
      </c>
    </row>
    <row r="30035" spans="1:8" customFormat="1" x14ac:dyDescent="0.25">
      <c r="A30035" t="str">
        <f>"6021727"</f>
        <v>6021727</v>
      </c>
      <c r="B30035" t="s">
        <v>20374</v>
      </c>
      <c r="C30035" t="s">
        <v>15298</v>
      </c>
      <c r="D30035" s="21" t="s">
        <v>34</v>
      </c>
      <c r="E30035" s="21" t="s">
        <v>71</v>
      </c>
      <c r="F30035">
        <v>7600041</v>
      </c>
      <c r="G30035" t="s">
        <v>8033</v>
      </c>
      <c r="H30035" s="21">
        <v>551.16999999999996</v>
      </c>
    </row>
    <row r="30036" spans="1:8" customFormat="1" x14ac:dyDescent="0.25">
      <c r="A30036" t="str">
        <f>"7414453"</f>
        <v>7414453</v>
      </c>
      <c r="B30036" t="s">
        <v>15548</v>
      </c>
      <c r="C30036" t="s">
        <v>415</v>
      </c>
      <c r="D30036" s="21" t="s">
        <v>34</v>
      </c>
      <c r="E30036" s="21" t="s">
        <v>71</v>
      </c>
      <c r="F30036">
        <v>1740063</v>
      </c>
      <c r="G30036" t="s">
        <v>9745</v>
      </c>
      <c r="H30036" s="21">
        <v>551.16999999999996</v>
      </c>
    </row>
    <row r="30037" spans="1:8" customFormat="1" x14ac:dyDescent="0.25">
      <c r="A30037" t="str">
        <f>"5113853"</f>
        <v>5113853</v>
      </c>
      <c r="B30037" t="s">
        <v>21608</v>
      </c>
      <c r="C30037" t="s">
        <v>817</v>
      </c>
      <c r="D30037" s="21" t="s">
        <v>34</v>
      </c>
      <c r="E30037" s="21" t="s">
        <v>71</v>
      </c>
      <c r="F30037">
        <v>6510029</v>
      </c>
      <c r="G30037" t="s">
        <v>1879</v>
      </c>
      <c r="H30037" s="21">
        <v>551.16999999999996</v>
      </c>
    </row>
    <row r="30038" spans="1:8" customFormat="1" x14ac:dyDescent="0.25">
      <c r="A30038" t="str">
        <f>"2939518"</f>
        <v>2939518</v>
      </c>
      <c r="B30038" t="s">
        <v>28186</v>
      </c>
      <c r="C30038" t="s">
        <v>249</v>
      </c>
      <c r="D30038" s="21" t="s">
        <v>34</v>
      </c>
      <c r="E30038" s="21" t="s">
        <v>71</v>
      </c>
      <c r="F30038">
        <v>3290023</v>
      </c>
      <c r="G30038" t="s">
        <v>3883</v>
      </c>
      <c r="H30038" s="21">
        <v>551.16999999999996</v>
      </c>
    </row>
    <row r="30039" spans="1:8" customFormat="1" x14ac:dyDescent="0.25">
      <c r="A30039" t="str">
        <f>"5966154"</f>
        <v>5966154</v>
      </c>
      <c r="B30039" t="s">
        <v>21819</v>
      </c>
      <c r="C30039" t="s">
        <v>1468</v>
      </c>
      <c r="D30039" s="21" t="s">
        <v>34</v>
      </c>
      <c r="E30039" s="21" t="s">
        <v>35</v>
      </c>
      <c r="F30039">
        <v>7590100</v>
      </c>
      <c r="G30039" t="s">
        <v>1660</v>
      </c>
      <c r="H30039" s="21">
        <v>551.16999999999996</v>
      </c>
    </row>
    <row r="30040" spans="1:8" customFormat="1" x14ac:dyDescent="0.25">
      <c r="A30040" t="str">
        <f>"1419237"</f>
        <v>1419237</v>
      </c>
      <c r="B30040" t="s">
        <v>21091</v>
      </c>
      <c r="C30040" t="s">
        <v>926</v>
      </c>
      <c r="D30040" s="21" t="s">
        <v>34</v>
      </c>
      <c r="E30040" s="21" t="s">
        <v>71</v>
      </c>
      <c r="F30040">
        <v>9140013</v>
      </c>
      <c r="G30040" t="s">
        <v>1837</v>
      </c>
      <c r="H30040" s="21">
        <v>551.12</v>
      </c>
    </row>
    <row r="30041" spans="1:8" customFormat="1" x14ac:dyDescent="0.25">
      <c r="A30041" t="str">
        <f>"2815093"</f>
        <v>2815093</v>
      </c>
      <c r="B30041" t="s">
        <v>19898</v>
      </c>
      <c r="C30041" t="s">
        <v>209</v>
      </c>
      <c r="D30041" s="21" t="s">
        <v>34</v>
      </c>
      <c r="E30041" s="21" t="s">
        <v>254</v>
      </c>
      <c r="F30041">
        <v>4280722</v>
      </c>
      <c r="G30041" t="s">
        <v>8251</v>
      </c>
      <c r="H30041" s="21">
        <v>551.12</v>
      </c>
    </row>
    <row r="30042" spans="1:8" customFormat="1" x14ac:dyDescent="0.25">
      <c r="A30042" t="str">
        <f>"3522767"</f>
        <v>3522767</v>
      </c>
      <c r="B30042" t="s">
        <v>20688</v>
      </c>
      <c r="C30042" t="s">
        <v>124</v>
      </c>
      <c r="D30042" s="21" t="s">
        <v>34</v>
      </c>
      <c r="E30042" s="21" t="s">
        <v>71</v>
      </c>
      <c r="F30042">
        <v>3350091</v>
      </c>
      <c r="G30042" t="s">
        <v>5864</v>
      </c>
      <c r="H30042" s="21">
        <v>551</v>
      </c>
    </row>
    <row r="30043" spans="1:8" customFormat="1" x14ac:dyDescent="0.25">
      <c r="A30043" t="str">
        <f>"2220643"</f>
        <v>2220643</v>
      </c>
      <c r="B30043" t="s">
        <v>2726</v>
      </c>
      <c r="C30043" t="s">
        <v>249</v>
      </c>
      <c r="D30043" s="21" t="s">
        <v>34</v>
      </c>
      <c r="E30043" s="21" t="s">
        <v>35</v>
      </c>
      <c r="F30043">
        <v>3220004</v>
      </c>
      <c r="G30043" t="s">
        <v>26986</v>
      </c>
      <c r="H30043" s="21">
        <v>551</v>
      </c>
    </row>
    <row r="30044" spans="1:8" customFormat="1" x14ac:dyDescent="0.25">
      <c r="A30044" t="str">
        <f>"4523858"</f>
        <v>4523858</v>
      </c>
      <c r="B30044" t="s">
        <v>11670</v>
      </c>
      <c r="C30044" t="s">
        <v>2907</v>
      </c>
      <c r="D30044" s="21" t="s">
        <v>34</v>
      </c>
      <c r="E30044" s="21" t="s">
        <v>254</v>
      </c>
      <c r="F30044">
        <v>4450026</v>
      </c>
      <c r="G30044" t="s">
        <v>291</v>
      </c>
      <c r="H30044" s="21">
        <v>550.91999999999996</v>
      </c>
    </row>
    <row r="30045" spans="1:8" customFormat="1" x14ac:dyDescent="0.25">
      <c r="A30045" t="str">
        <f>"5111106"</f>
        <v>5111106</v>
      </c>
      <c r="B30045" t="s">
        <v>22131</v>
      </c>
      <c r="C30045" t="s">
        <v>40</v>
      </c>
      <c r="D30045" s="21" t="s">
        <v>34</v>
      </c>
      <c r="E30045" s="21" t="s">
        <v>254</v>
      </c>
      <c r="F30045">
        <v>6510020</v>
      </c>
      <c r="G30045" t="s">
        <v>3013</v>
      </c>
      <c r="H30045" s="21">
        <v>550.91999999999996</v>
      </c>
    </row>
    <row r="30046" spans="1:8" customFormat="1" x14ac:dyDescent="0.25">
      <c r="A30046" t="str">
        <f>"758136"</f>
        <v>758136</v>
      </c>
      <c r="B30046" t="s">
        <v>7379</v>
      </c>
      <c r="C30046" t="s">
        <v>2520</v>
      </c>
      <c r="D30046" s="21" t="s">
        <v>34</v>
      </c>
      <c r="E30046" s="21" t="s">
        <v>1089</v>
      </c>
      <c r="F30046">
        <v>8750098</v>
      </c>
      <c r="G30046" t="s">
        <v>11606</v>
      </c>
      <c r="H30046" s="21">
        <v>550.79</v>
      </c>
    </row>
    <row r="30047" spans="1:8" customFormat="1" x14ac:dyDescent="0.25">
      <c r="A30047" t="str">
        <f>"851344"</f>
        <v>851344</v>
      </c>
      <c r="B30047" t="s">
        <v>1247</v>
      </c>
      <c r="C30047" t="s">
        <v>2730</v>
      </c>
      <c r="D30047" s="21" t="s">
        <v>34</v>
      </c>
      <c r="E30047" s="21" t="s">
        <v>1089</v>
      </c>
      <c r="F30047">
        <v>12850040</v>
      </c>
      <c r="G30047" t="s">
        <v>2074</v>
      </c>
      <c r="H30047" s="21">
        <v>550.66999999999996</v>
      </c>
    </row>
    <row r="30048" spans="1:8" customFormat="1" x14ac:dyDescent="0.25">
      <c r="A30048" t="str">
        <f>"9534754"</f>
        <v>9534754</v>
      </c>
      <c r="B30048" t="s">
        <v>3387</v>
      </c>
      <c r="C30048" t="s">
        <v>169</v>
      </c>
      <c r="D30048" s="21" t="s">
        <v>34</v>
      </c>
      <c r="E30048" s="21" t="s">
        <v>35</v>
      </c>
      <c r="F30048">
        <v>8950129</v>
      </c>
      <c r="G30048" t="s">
        <v>10701</v>
      </c>
      <c r="H30048" s="21">
        <v>550.66999999999996</v>
      </c>
    </row>
    <row r="30049" spans="1:8" customFormat="1" x14ac:dyDescent="0.25">
      <c r="A30049" t="str">
        <f>"539259"</f>
        <v>539259</v>
      </c>
      <c r="B30049" t="s">
        <v>7072</v>
      </c>
      <c r="C30049" t="s">
        <v>598</v>
      </c>
      <c r="D30049" s="21" t="s">
        <v>34</v>
      </c>
      <c r="E30049" s="21" t="s">
        <v>1089</v>
      </c>
      <c r="F30049">
        <v>12530108</v>
      </c>
      <c r="G30049" t="s">
        <v>16085</v>
      </c>
      <c r="H30049" s="21">
        <v>550.66999999999996</v>
      </c>
    </row>
    <row r="30050" spans="1:8" customFormat="1" x14ac:dyDescent="0.25">
      <c r="A30050" t="str">
        <f>"4451908"</f>
        <v>4451908</v>
      </c>
      <c r="B30050" t="s">
        <v>22058</v>
      </c>
      <c r="C30050" t="s">
        <v>87</v>
      </c>
      <c r="D30050" s="21" t="s">
        <v>34</v>
      </c>
      <c r="E30050" s="21" t="s">
        <v>35</v>
      </c>
      <c r="F30050">
        <v>12440014</v>
      </c>
      <c r="G30050" t="s">
        <v>6767</v>
      </c>
      <c r="H30050" s="21">
        <v>550.66999999999996</v>
      </c>
    </row>
    <row r="30051" spans="1:8" customFormat="1" x14ac:dyDescent="0.25">
      <c r="A30051" t="str">
        <f>"5926068"</f>
        <v>5926068</v>
      </c>
      <c r="B30051" t="s">
        <v>21178</v>
      </c>
      <c r="C30051" t="s">
        <v>253</v>
      </c>
      <c r="D30051" s="21" t="s">
        <v>34</v>
      </c>
      <c r="E30051" s="21" t="s">
        <v>71</v>
      </c>
      <c r="F30051">
        <v>7590137</v>
      </c>
      <c r="G30051" t="s">
        <v>4246</v>
      </c>
      <c r="H30051" s="21">
        <v>550.66999999999996</v>
      </c>
    </row>
    <row r="30052" spans="1:8" customFormat="1" x14ac:dyDescent="0.25">
      <c r="A30052" t="str">
        <f>"3114028"</f>
        <v>3114028</v>
      </c>
      <c r="B30052" t="s">
        <v>22179</v>
      </c>
      <c r="C30052" t="s">
        <v>1110</v>
      </c>
      <c r="D30052" s="21" t="s">
        <v>34</v>
      </c>
      <c r="E30052" s="21" t="s">
        <v>254</v>
      </c>
      <c r="F30052">
        <v>11310098</v>
      </c>
      <c r="G30052" t="s">
        <v>371</v>
      </c>
      <c r="H30052" s="21">
        <v>550.66999999999996</v>
      </c>
    </row>
    <row r="30053" spans="1:8" customFormat="1" x14ac:dyDescent="0.25">
      <c r="A30053" t="str">
        <f>"4513036"</f>
        <v>4513036</v>
      </c>
      <c r="B30053" t="s">
        <v>20599</v>
      </c>
      <c r="C30053" t="s">
        <v>1812</v>
      </c>
      <c r="D30053" s="21" t="s">
        <v>34</v>
      </c>
      <c r="E30053" s="21" t="s">
        <v>71</v>
      </c>
      <c r="F30053">
        <v>4450757</v>
      </c>
      <c r="G30053" t="s">
        <v>3829</v>
      </c>
      <c r="H30053" s="21">
        <v>550.66999999999996</v>
      </c>
    </row>
    <row r="30054" spans="1:8" customFormat="1" x14ac:dyDescent="0.25">
      <c r="A30054" t="str">
        <f>"3527473"</f>
        <v>3527473</v>
      </c>
      <c r="B30054" t="s">
        <v>21286</v>
      </c>
      <c r="C30054" t="s">
        <v>323</v>
      </c>
      <c r="D30054" s="21" t="s">
        <v>34</v>
      </c>
      <c r="E30054" s="21" t="s">
        <v>71</v>
      </c>
      <c r="F30054">
        <v>3350209</v>
      </c>
      <c r="G30054" t="s">
        <v>3023</v>
      </c>
      <c r="H30054" s="21">
        <v>550.66999999999996</v>
      </c>
    </row>
    <row r="30055" spans="1:8" customFormat="1" x14ac:dyDescent="0.25">
      <c r="A30055" t="str">
        <f>"392343"</f>
        <v>392343</v>
      </c>
      <c r="B30055" t="s">
        <v>22203</v>
      </c>
      <c r="C30055" t="s">
        <v>22204</v>
      </c>
      <c r="D30055" s="21" t="s">
        <v>34</v>
      </c>
      <c r="E30055" s="21" t="s">
        <v>254</v>
      </c>
      <c r="F30055">
        <v>2390046</v>
      </c>
      <c r="G30055" t="s">
        <v>2140</v>
      </c>
      <c r="H30055" s="21">
        <v>550.66999999999996</v>
      </c>
    </row>
    <row r="30056" spans="1:8" customFormat="1" x14ac:dyDescent="0.25">
      <c r="A30056" t="str">
        <f>"4456956"</f>
        <v>4456956</v>
      </c>
      <c r="B30056" t="s">
        <v>23654</v>
      </c>
      <c r="C30056" t="s">
        <v>2338</v>
      </c>
      <c r="D30056" s="21" t="s">
        <v>34</v>
      </c>
      <c r="E30056" s="21" t="s">
        <v>35</v>
      </c>
      <c r="F30056">
        <v>12440139</v>
      </c>
      <c r="G30056" t="s">
        <v>2655</v>
      </c>
      <c r="H30056" s="21">
        <v>550.66999999999996</v>
      </c>
    </row>
    <row r="30057" spans="1:8" customFormat="1" x14ac:dyDescent="0.25">
      <c r="A30057" t="str">
        <f>"535396"</f>
        <v>535396</v>
      </c>
      <c r="B30057" t="s">
        <v>18877</v>
      </c>
      <c r="C30057" t="s">
        <v>1110</v>
      </c>
      <c r="D30057" s="21" t="s">
        <v>34</v>
      </c>
      <c r="E30057" s="21" t="s">
        <v>1089</v>
      </c>
      <c r="F30057">
        <v>12530054</v>
      </c>
      <c r="G30057" t="s">
        <v>354</v>
      </c>
      <c r="H30057" s="21">
        <v>550.66999999999996</v>
      </c>
    </row>
    <row r="30058" spans="1:8" customFormat="1" x14ac:dyDescent="0.25">
      <c r="A30058" t="str">
        <f>"8528709"</f>
        <v>8528709</v>
      </c>
      <c r="B30058" t="s">
        <v>2082</v>
      </c>
      <c r="C30058" t="s">
        <v>114</v>
      </c>
      <c r="D30058" s="21" t="s">
        <v>34</v>
      </c>
      <c r="E30058" s="21" t="s">
        <v>71</v>
      </c>
      <c r="F30058">
        <v>12850039</v>
      </c>
      <c r="G30058" t="s">
        <v>7123</v>
      </c>
      <c r="H30058" s="21">
        <v>550.66999999999996</v>
      </c>
    </row>
    <row r="30059" spans="1:8" customFormat="1" x14ac:dyDescent="0.25">
      <c r="A30059" t="str">
        <f>"4427260"</f>
        <v>4427260</v>
      </c>
      <c r="B30059" t="s">
        <v>1892</v>
      </c>
      <c r="C30059" t="s">
        <v>239</v>
      </c>
      <c r="D30059" s="21" t="s">
        <v>34</v>
      </c>
      <c r="E30059" s="21" t="s">
        <v>254</v>
      </c>
      <c r="F30059">
        <v>12440056</v>
      </c>
      <c r="G30059" t="s">
        <v>2037</v>
      </c>
      <c r="H30059" s="21">
        <v>550.66999999999996</v>
      </c>
    </row>
    <row r="30060" spans="1:8" customFormat="1" x14ac:dyDescent="0.25">
      <c r="A30060" t="str">
        <f>"4525115"</f>
        <v>4525115</v>
      </c>
      <c r="B30060" t="s">
        <v>28187</v>
      </c>
      <c r="C30060" t="s">
        <v>988</v>
      </c>
      <c r="D30060" s="21" t="s">
        <v>34</v>
      </c>
      <c r="E30060" s="21" t="s">
        <v>35</v>
      </c>
      <c r="F30060">
        <v>3290255</v>
      </c>
      <c r="G30060" t="s">
        <v>2852</v>
      </c>
      <c r="H30060" s="21">
        <v>550.66999999999996</v>
      </c>
    </row>
    <row r="30061" spans="1:8" customFormat="1" x14ac:dyDescent="0.25">
      <c r="A30061" t="str">
        <f>"559277"</f>
        <v>559277</v>
      </c>
      <c r="B30061" t="s">
        <v>28188</v>
      </c>
      <c r="C30061" t="s">
        <v>462</v>
      </c>
      <c r="D30061" s="21" t="s">
        <v>34</v>
      </c>
      <c r="E30061" s="21" t="s">
        <v>35</v>
      </c>
      <c r="F30061">
        <v>6550026</v>
      </c>
      <c r="G30061" t="s">
        <v>14543</v>
      </c>
      <c r="H30061" s="21">
        <v>550.66999999999996</v>
      </c>
    </row>
    <row r="30062" spans="1:8" customFormat="1" x14ac:dyDescent="0.25">
      <c r="A30062" t="str">
        <f>"4933161"</f>
        <v>4933161</v>
      </c>
      <c r="B30062" t="s">
        <v>7196</v>
      </c>
      <c r="C30062" t="s">
        <v>169</v>
      </c>
      <c r="D30062" s="21" t="s">
        <v>34</v>
      </c>
      <c r="E30062" s="21" t="s">
        <v>71</v>
      </c>
      <c r="F30062">
        <v>12490064</v>
      </c>
      <c r="G30062" t="s">
        <v>8425</v>
      </c>
      <c r="H30062" s="21">
        <v>550.66999999999996</v>
      </c>
    </row>
    <row r="30063" spans="1:8" customFormat="1" x14ac:dyDescent="0.25">
      <c r="A30063" t="str">
        <f>"9250530"</f>
        <v>9250530</v>
      </c>
      <c r="B30063" t="s">
        <v>28189</v>
      </c>
      <c r="C30063" t="s">
        <v>656</v>
      </c>
      <c r="D30063" s="21" t="s">
        <v>34</v>
      </c>
      <c r="E30063" s="21" t="s">
        <v>35</v>
      </c>
      <c r="F30063">
        <v>8921458</v>
      </c>
      <c r="G30063" t="s">
        <v>162</v>
      </c>
      <c r="H30063" s="21">
        <v>550.66999999999996</v>
      </c>
    </row>
    <row r="30064" spans="1:8" customFormat="1" x14ac:dyDescent="0.25">
      <c r="A30064" t="str">
        <f>"4921484"</f>
        <v>4921484</v>
      </c>
      <c r="B30064" t="s">
        <v>6729</v>
      </c>
      <c r="C30064" t="s">
        <v>269</v>
      </c>
      <c r="D30064" s="21" t="s">
        <v>34</v>
      </c>
      <c r="E30064" s="21" t="s">
        <v>71</v>
      </c>
      <c r="F30064">
        <v>12490008</v>
      </c>
      <c r="G30064" t="s">
        <v>15452</v>
      </c>
      <c r="H30064" s="21">
        <v>550.66999999999996</v>
      </c>
    </row>
    <row r="30065" spans="1:8" customFormat="1" x14ac:dyDescent="0.25">
      <c r="A30065" t="str">
        <f>"396630"</f>
        <v>396630</v>
      </c>
      <c r="B30065" t="s">
        <v>23596</v>
      </c>
      <c r="C30065" t="s">
        <v>209</v>
      </c>
      <c r="D30065" s="21" t="s">
        <v>34</v>
      </c>
      <c r="E30065" s="21" t="s">
        <v>254</v>
      </c>
      <c r="F30065">
        <v>2390094</v>
      </c>
      <c r="G30065" t="s">
        <v>14784</v>
      </c>
      <c r="H30065" s="21">
        <v>550.66999999999996</v>
      </c>
    </row>
    <row r="30066" spans="1:8" customFormat="1" x14ac:dyDescent="0.25">
      <c r="A30066" t="str">
        <f>"3717871"</f>
        <v>3717871</v>
      </c>
      <c r="B30066" t="s">
        <v>20952</v>
      </c>
      <c r="C30066" t="s">
        <v>124</v>
      </c>
      <c r="D30066" s="21" t="s">
        <v>34</v>
      </c>
      <c r="E30066" s="21" t="s">
        <v>71</v>
      </c>
      <c r="F30066">
        <v>4370669</v>
      </c>
      <c r="G30066" t="s">
        <v>8189</v>
      </c>
      <c r="H30066" s="21">
        <v>550.66999999999996</v>
      </c>
    </row>
    <row r="30067" spans="1:8" customFormat="1" x14ac:dyDescent="0.25">
      <c r="A30067" t="str">
        <f>"3523691"</f>
        <v>3523691</v>
      </c>
      <c r="B30067" t="s">
        <v>1094</v>
      </c>
      <c r="C30067" t="s">
        <v>249</v>
      </c>
      <c r="D30067" s="21" t="s">
        <v>34</v>
      </c>
      <c r="E30067" s="21" t="s">
        <v>71</v>
      </c>
      <c r="F30067">
        <v>3350030</v>
      </c>
      <c r="G30067" t="s">
        <v>4549</v>
      </c>
      <c r="H30067" s="21">
        <v>550.66999999999996</v>
      </c>
    </row>
    <row r="30068" spans="1:8" customFormat="1" x14ac:dyDescent="0.25">
      <c r="A30068" t="str">
        <f>"105964"</f>
        <v>105964</v>
      </c>
      <c r="B30068" t="s">
        <v>5728</v>
      </c>
      <c r="C30068" t="s">
        <v>87</v>
      </c>
      <c r="D30068" s="21" t="s">
        <v>34</v>
      </c>
      <c r="E30068" s="21" t="s">
        <v>254</v>
      </c>
      <c r="F30068">
        <v>6100005</v>
      </c>
      <c r="G30068" t="s">
        <v>855</v>
      </c>
      <c r="H30068" s="21">
        <v>550.66999999999996</v>
      </c>
    </row>
    <row r="30069" spans="1:8" customFormat="1" x14ac:dyDescent="0.25">
      <c r="A30069" t="str">
        <f>"4711414"</f>
        <v>4711414</v>
      </c>
      <c r="B30069" t="s">
        <v>22044</v>
      </c>
      <c r="C30069" t="s">
        <v>239</v>
      </c>
      <c r="D30069" s="21" t="s">
        <v>34</v>
      </c>
      <c r="E30069" s="21" t="s">
        <v>71</v>
      </c>
      <c r="F30069">
        <v>10470001</v>
      </c>
      <c r="G30069" t="s">
        <v>391</v>
      </c>
      <c r="H30069" s="21">
        <v>550.66999999999996</v>
      </c>
    </row>
    <row r="30070" spans="1:8" customFormat="1" x14ac:dyDescent="0.25">
      <c r="A30070" t="str">
        <f>"4931315"</f>
        <v>4931315</v>
      </c>
      <c r="B30070" t="s">
        <v>21623</v>
      </c>
      <c r="C30070" t="s">
        <v>267</v>
      </c>
      <c r="D30070" s="21" t="s">
        <v>34</v>
      </c>
      <c r="E30070" s="21" t="s">
        <v>1089</v>
      </c>
      <c r="F30070">
        <v>12490059</v>
      </c>
      <c r="G30070" t="s">
        <v>5063</v>
      </c>
      <c r="H30070" s="21">
        <v>550.66999999999996</v>
      </c>
    </row>
    <row r="30071" spans="1:8" customFormat="1" x14ac:dyDescent="0.25">
      <c r="A30071" t="str">
        <f>"3343915"</f>
        <v>3343915</v>
      </c>
      <c r="B30071" t="s">
        <v>15055</v>
      </c>
      <c r="C30071" t="s">
        <v>249</v>
      </c>
      <c r="D30071" s="21" t="s">
        <v>34</v>
      </c>
      <c r="E30071" s="21" t="s">
        <v>35</v>
      </c>
      <c r="F30071">
        <v>10330077</v>
      </c>
      <c r="G30071" t="s">
        <v>4274</v>
      </c>
      <c r="H30071" s="21">
        <v>550.54</v>
      </c>
    </row>
    <row r="30072" spans="1:8" customFormat="1" x14ac:dyDescent="0.25">
      <c r="A30072" t="str">
        <f>"7924722"</f>
        <v>7924722</v>
      </c>
      <c r="B30072" t="s">
        <v>17500</v>
      </c>
      <c r="C30072" t="s">
        <v>656</v>
      </c>
      <c r="D30072" s="21" t="s">
        <v>34</v>
      </c>
      <c r="E30072" s="21" t="s">
        <v>35</v>
      </c>
      <c r="F30072">
        <v>10790235</v>
      </c>
      <c r="G30072" t="s">
        <v>413</v>
      </c>
      <c r="H30072" s="21">
        <v>550.5</v>
      </c>
    </row>
    <row r="30073" spans="1:8" customFormat="1" x14ac:dyDescent="0.25">
      <c r="A30073" t="str">
        <f>"5619337"</f>
        <v>5619337</v>
      </c>
      <c r="B30073" t="s">
        <v>24457</v>
      </c>
      <c r="C30073" t="s">
        <v>462</v>
      </c>
      <c r="D30073" s="21" t="s">
        <v>34</v>
      </c>
      <c r="E30073" s="21" t="s">
        <v>71</v>
      </c>
      <c r="F30073">
        <v>3560096</v>
      </c>
      <c r="G30073" t="s">
        <v>2771</v>
      </c>
      <c r="H30073" s="21">
        <v>550.41999999999996</v>
      </c>
    </row>
    <row r="30074" spans="1:8" customFormat="1" x14ac:dyDescent="0.25">
      <c r="A30074" t="str">
        <f>"365404"</f>
        <v>365404</v>
      </c>
      <c r="B30074" t="s">
        <v>20597</v>
      </c>
      <c r="C30074" t="s">
        <v>415</v>
      </c>
      <c r="D30074" s="21" t="s">
        <v>34</v>
      </c>
      <c r="E30074" s="21" t="s">
        <v>71</v>
      </c>
      <c r="F30074">
        <v>4360343</v>
      </c>
      <c r="G30074" t="s">
        <v>6348</v>
      </c>
      <c r="H30074" s="21">
        <v>550.41999999999996</v>
      </c>
    </row>
    <row r="30075" spans="1:8" customFormat="1" x14ac:dyDescent="0.25">
      <c r="A30075" t="str">
        <f>"3325828"</f>
        <v>3325828</v>
      </c>
      <c r="B30075" t="s">
        <v>28190</v>
      </c>
      <c r="C30075" t="s">
        <v>1665</v>
      </c>
      <c r="D30075" s="21" t="s">
        <v>34</v>
      </c>
      <c r="E30075" s="21" t="s">
        <v>1089</v>
      </c>
      <c r="F30075">
        <v>10330084</v>
      </c>
      <c r="G30075" t="s">
        <v>1124</v>
      </c>
      <c r="H30075" s="21">
        <v>550.29</v>
      </c>
    </row>
    <row r="30076" spans="1:8" customFormat="1" x14ac:dyDescent="0.25">
      <c r="A30076" t="str">
        <f>"839390"</f>
        <v>839390</v>
      </c>
      <c r="B30076" t="s">
        <v>18784</v>
      </c>
      <c r="C30076" t="s">
        <v>1812</v>
      </c>
      <c r="D30076" s="21" t="s">
        <v>34</v>
      </c>
      <c r="E30076" s="21" t="s">
        <v>71</v>
      </c>
      <c r="F30076">
        <v>13830051</v>
      </c>
      <c r="G30076" t="s">
        <v>2031</v>
      </c>
      <c r="H30076" s="21">
        <v>550.16999999999996</v>
      </c>
    </row>
    <row r="30077" spans="1:8" customFormat="1" x14ac:dyDescent="0.25">
      <c r="A30077" t="str">
        <f>"3326994"</f>
        <v>3326994</v>
      </c>
      <c r="B30077" t="s">
        <v>20268</v>
      </c>
      <c r="C30077" t="s">
        <v>11542</v>
      </c>
      <c r="D30077" s="21" t="s">
        <v>34</v>
      </c>
      <c r="E30077" s="21" t="s">
        <v>1089</v>
      </c>
      <c r="F30077">
        <v>10330077</v>
      </c>
      <c r="G30077" t="s">
        <v>4274</v>
      </c>
      <c r="H30077" s="21">
        <v>550.16999999999996</v>
      </c>
    </row>
    <row r="30078" spans="1:8" customFormat="1" x14ac:dyDescent="0.25">
      <c r="A30078" t="str">
        <f>"368178"</f>
        <v>368178</v>
      </c>
      <c r="B30078" t="s">
        <v>19094</v>
      </c>
      <c r="C30078" t="s">
        <v>233</v>
      </c>
      <c r="D30078" s="21" t="s">
        <v>34</v>
      </c>
      <c r="E30078" s="21" t="s">
        <v>35</v>
      </c>
      <c r="F30078">
        <v>4360707</v>
      </c>
      <c r="G30078" t="s">
        <v>6621</v>
      </c>
      <c r="H30078" s="21">
        <v>550.16999999999996</v>
      </c>
    </row>
    <row r="30079" spans="1:8" customFormat="1" x14ac:dyDescent="0.25">
      <c r="A30079" t="str">
        <f>"9140652"</f>
        <v>9140652</v>
      </c>
      <c r="B30079" t="s">
        <v>21287</v>
      </c>
      <c r="C30079" t="s">
        <v>484</v>
      </c>
      <c r="D30079" s="21" t="s">
        <v>34</v>
      </c>
      <c r="E30079" s="21" t="s">
        <v>35</v>
      </c>
      <c r="F30079">
        <v>8910442</v>
      </c>
      <c r="G30079" t="s">
        <v>1336</v>
      </c>
      <c r="H30079" s="21">
        <v>550.16999999999996</v>
      </c>
    </row>
    <row r="30080" spans="1:8" customFormat="1" x14ac:dyDescent="0.25">
      <c r="A30080" t="str">
        <f>"6112943"</f>
        <v>6112943</v>
      </c>
      <c r="B30080" t="s">
        <v>28191</v>
      </c>
      <c r="C30080" t="s">
        <v>507</v>
      </c>
      <c r="D30080" s="21" t="s">
        <v>34</v>
      </c>
      <c r="E30080" s="21" t="s">
        <v>254</v>
      </c>
      <c r="F30080">
        <v>9610039</v>
      </c>
      <c r="G30080" t="s">
        <v>3965</v>
      </c>
      <c r="H30080" s="21">
        <v>550.16999999999996</v>
      </c>
    </row>
    <row r="30081" spans="1:8" customFormat="1" x14ac:dyDescent="0.25">
      <c r="A30081" t="str">
        <f>"814312"</f>
        <v>814312</v>
      </c>
      <c r="B30081" t="s">
        <v>8800</v>
      </c>
      <c r="C30081" t="s">
        <v>267</v>
      </c>
      <c r="D30081" s="21" t="s">
        <v>34</v>
      </c>
      <c r="E30081" s="21" t="s">
        <v>71</v>
      </c>
      <c r="F30081">
        <v>11810030</v>
      </c>
      <c r="G30081" t="s">
        <v>27055</v>
      </c>
      <c r="H30081" s="21">
        <v>550.16999999999996</v>
      </c>
    </row>
    <row r="30082" spans="1:8" customFormat="1" x14ac:dyDescent="0.25">
      <c r="A30082" t="str">
        <f>"9D1021"</f>
        <v>9D1021</v>
      </c>
      <c r="B30082" t="s">
        <v>21142</v>
      </c>
      <c r="C30082" t="s">
        <v>2546</v>
      </c>
      <c r="D30082" s="21" t="s">
        <v>34</v>
      </c>
      <c r="E30082" s="21" t="s">
        <v>71</v>
      </c>
      <c r="F30082" t="s">
        <v>2462</v>
      </c>
      <c r="G30082" t="s">
        <v>2463</v>
      </c>
      <c r="H30082" s="21">
        <v>550.16999999999996</v>
      </c>
    </row>
    <row r="30083" spans="1:8" customFormat="1" x14ac:dyDescent="0.25">
      <c r="A30083" t="str">
        <f>"4938268"</f>
        <v>4938268</v>
      </c>
      <c r="B30083" t="s">
        <v>3759</v>
      </c>
      <c r="C30083" t="s">
        <v>3456</v>
      </c>
      <c r="D30083" s="21" t="s">
        <v>34</v>
      </c>
      <c r="E30083" s="21" t="s">
        <v>254</v>
      </c>
      <c r="F30083">
        <v>12490037</v>
      </c>
      <c r="G30083" t="s">
        <v>8892</v>
      </c>
      <c r="H30083" s="21">
        <v>550.16999999999996</v>
      </c>
    </row>
    <row r="30084" spans="1:8" customFormat="1" x14ac:dyDescent="0.25">
      <c r="A30084" t="str">
        <f>"5726068"</f>
        <v>5726068</v>
      </c>
      <c r="B30084" t="s">
        <v>28192</v>
      </c>
      <c r="C30084" t="s">
        <v>249</v>
      </c>
      <c r="D30084" s="21" t="s">
        <v>34</v>
      </c>
      <c r="E30084" s="21" t="s">
        <v>71</v>
      </c>
      <c r="F30084">
        <v>6570190</v>
      </c>
      <c r="G30084" t="s">
        <v>622</v>
      </c>
      <c r="H30084" s="21">
        <v>550.16999999999996</v>
      </c>
    </row>
    <row r="30085" spans="1:8" customFormat="1" x14ac:dyDescent="0.25">
      <c r="A30085" t="str">
        <f>"2780"</f>
        <v>2780</v>
      </c>
      <c r="B30085" t="s">
        <v>577</v>
      </c>
      <c r="C30085" t="s">
        <v>2520</v>
      </c>
      <c r="D30085" s="21" t="s">
        <v>34</v>
      </c>
      <c r="E30085" s="21" t="s">
        <v>254</v>
      </c>
      <c r="F30085">
        <v>9270005</v>
      </c>
      <c r="G30085" t="s">
        <v>1255</v>
      </c>
      <c r="H30085" s="21">
        <v>550.16999999999996</v>
      </c>
    </row>
    <row r="30086" spans="1:8" customFormat="1" x14ac:dyDescent="0.25">
      <c r="A30086" t="str">
        <f>"937160"</f>
        <v>937160</v>
      </c>
      <c r="B30086" t="s">
        <v>21811</v>
      </c>
      <c r="C30086" t="s">
        <v>124</v>
      </c>
      <c r="D30086" s="21" t="s">
        <v>34</v>
      </c>
      <c r="E30086" s="21" t="s">
        <v>71</v>
      </c>
      <c r="F30086">
        <v>8930928</v>
      </c>
      <c r="G30086" t="s">
        <v>606</v>
      </c>
      <c r="H30086" s="21">
        <v>550.16999999999996</v>
      </c>
    </row>
    <row r="30087" spans="1:8" customFormat="1" x14ac:dyDescent="0.25">
      <c r="A30087" t="str">
        <f>"241023"</f>
        <v>241023</v>
      </c>
      <c r="B30087" t="s">
        <v>4686</v>
      </c>
      <c r="C30087" t="s">
        <v>114</v>
      </c>
      <c r="D30087" s="21" t="s">
        <v>34</v>
      </c>
      <c r="E30087" s="21" t="s">
        <v>254</v>
      </c>
      <c r="F30087">
        <v>10240003</v>
      </c>
      <c r="G30087" t="s">
        <v>2940</v>
      </c>
      <c r="H30087" s="21">
        <v>550.16999999999996</v>
      </c>
    </row>
    <row r="30088" spans="1:8" customFormat="1" x14ac:dyDescent="0.25">
      <c r="A30088" t="str">
        <f>"011145"</f>
        <v>011145</v>
      </c>
      <c r="B30088" t="s">
        <v>1094</v>
      </c>
      <c r="C30088" t="s">
        <v>65</v>
      </c>
      <c r="D30088" s="21" t="s">
        <v>34</v>
      </c>
      <c r="E30088" s="21" t="s">
        <v>71</v>
      </c>
      <c r="F30088">
        <v>1010009</v>
      </c>
      <c r="G30088" t="s">
        <v>1385</v>
      </c>
      <c r="H30088" s="21">
        <v>550.16999999999996</v>
      </c>
    </row>
    <row r="30089" spans="1:8" customFormat="1" x14ac:dyDescent="0.25">
      <c r="A30089" t="str">
        <f>"3532781"</f>
        <v>3532781</v>
      </c>
      <c r="B30089" t="s">
        <v>4096</v>
      </c>
      <c r="C30089" t="s">
        <v>267</v>
      </c>
      <c r="D30089" s="21" t="s">
        <v>34</v>
      </c>
      <c r="E30089" s="21" t="s">
        <v>71</v>
      </c>
      <c r="F30089">
        <v>3350160</v>
      </c>
      <c r="G30089" t="s">
        <v>13252</v>
      </c>
      <c r="H30089" s="21">
        <v>550.16999999999996</v>
      </c>
    </row>
    <row r="30090" spans="1:8" customFormat="1" x14ac:dyDescent="0.25">
      <c r="A30090" t="str">
        <f>"5733526"</f>
        <v>5733526</v>
      </c>
      <c r="B30090" t="s">
        <v>2878</v>
      </c>
      <c r="C30090" t="s">
        <v>7515</v>
      </c>
      <c r="D30090" s="21" t="s">
        <v>34</v>
      </c>
      <c r="E30090" s="21" t="s">
        <v>71</v>
      </c>
      <c r="F30090">
        <v>6570022</v>
      </c>
      <c r="G30090" t="s">
        <v>3870</v>
      </c>
      <c r="H30090" s="21">
        <v>550.16999999999996</v>
      </c>
    </row>
    <row r="30091" spans="1:8" customFormat="1" x14ac:dyDescent="0.25">
      <c r="A30091" t="str">
        <f>"6714390"</f>
        <v>6714390</v>
      </c>
      <c r="B30091" t="s">
        <v>13213</v>
      </c>
      <c r="C30091" t="s">
        <v>2730</v>
      </c>
      <c r="D30091" s="21" t="s">
        <v>34</v>
      </c>
      <c r="E30091" s="21" t="s">
        <v>254</v>
      </c>
      <c r="F30091">
        <v>6670248</v>
      </c>
      <c r="G30091" t="s">
        <v>1194</v>
      </c>
      <c r="H30091" s="21">
        <v>550.16999999999996</v>
      </c>
    </row>
    <row r="30092" spans="1:8" customFormat="1" x14ac:dyDescent="0.25">
      <c r="A30092" t="str">
        <f>"3830804"</f>
        <v>3830804</v>
      </c>
      <c r="B30092" t="s">
        <v>21561</v>
      </c>
      <c r="C30092" t="s">
        <v>87</v>
      </c>
      <c r="D30092" s="21" t="s">
        <v>34</v>
      </c>
      <c r="E30092" s="21" t="s">
        <v>71</v>
      </c>
      <c r="F30092">
        <v>1380028</v>
      </c>
      <c r="G30092" t="s">
        <v>374</v>
      </c>
      <c r="H30092" s="21">
        <v>550.16999999999996</v>
      </c>
    </row>
    <row r="30093" spans="1:8" customFormat="1" x14ac:dyDescent="0.25">
      <c r="A30093" t="str">
        <f>"812413"</f>
        <v>812413</v>
      </c>
      <c r="B30093" t="s">
        <v>20169</v>
      </c>
      <c r="C30093" t="s">
        <v>87</v>
      </c>
      <c r="D30093" s="21" t="s">
        <v>34</v>
      </c>
      <c r="E30093" s="21" t="s">
        <v>71</v>
      </c>
      <c r="F30093">
        <v>11810028</v>
      </c>
      <c r="G30093" t="s">
        <v>5817</v>
      </c>
      <c r="H30093" s="21">
        <v>550.16999999999996</v>
      </c>
    </row>
    <row r="30094" spans="1:8" customFormat="1" x14ac:dyDescent="0.25">
      <c r="A30094" t="str">
        <f>"4930064"</f>
        <v>4930064</v>
      </c>
      <c r="B30094" t="s">
        <v>22074</v>
      </c>
      <c r="C30094" t="s">
        <v>288</v>
      </c>
      <c r="D30094" s="21" t="s">
        <v>34</v>
      </c>
      <c r="E30094" s="21" t="s">
        <v>35</v>
      </c>
      <c r="F30094">
        <v>12490106</v>
      </c>
      <c r="G30094" t="s">
        <v>4555</v>
      </c>
      <c r="H30094" s="21">
        <v>550.16999999999996</v>
      </c>
    </row>
    <row r="30095" spans="1:8" customFormat="1" x14ac:dyDescent="0.25">
      <c r="A30095" t="str">
        <f>"5618346"</f>
        <v>5618346</v>
      </c>
      <c r="B30095" t="s">
        <v>20914</v>
      </c>
      <c r="C30095" t="s">
        <v>55</v>
      </c>
      <c r="D30095" s="21" t="s">
        <v>34</v>
      </c>
      <c r="E30095" s="21" t="s">
        <v>71</v>
      </c>
      <c r="F30095">
        <v>3560087</v>
      </c>
      <c r="G30095" t="s">
        <v>7767</v>
      </c>
      <c r="H30095" s="21">
        <v>550.04</v>
      </c>
    </row>
    <row r="30096" spans="1:8" customFormat="1" x14ac:dyDescent="0.25">
      <c r="A30096" t="str">
        <f>"1613699"</f>
        <v>1613699</v>
      </c>
      <c r="B30096" t="s">
        <v>7122</v>
      </c>
      <c r="C30096" t="s">
        <v>60</v>
      </c>
      <c r="D30096" s="21" t="s">
        <v>34</v>
      </c>
      <c r="E30096" s="21" t="s">
        <v>35</v>
      </c>
      <c r="F30096">
        <v>10160024</v>
      </c>
      <c r="G30096" t="s">
        <v>511</v>
      </c>
      <c r="H30096" s="21">
        <v>550</v>
      </c>
    </row>
    <row r="30097" spans="1:8" customFormat="1" x14ac:dyDescent="0.25">
      <c r="A30097" t="str">
        <f>"5923043"</f>
        <v>5923043</v>
      </c>
      <c r="B30097" t="s">
        <v>28193</v>
      </c>
      <c r="C30097" t="s">
        <v>55</v>
      </c>
      <c r="D30097" s="21" t="s">
        <v>34</v>
      </c>
      <c r="E30097" s="21" t="s">
        <v>35</v>
      </c>
      <c r="F30097">
        <v>7590131</v>
      </c>
      <c r="G30097" t="s">
        <v>6300</v>
      </c>
      <c r="H30097" s="21">
        <v>550</v>
      </c>
    </row>
    <row r="30098" spans="1:8" customFormat="1" x14ac:dyDescent="0.25">
      <c r="A30098" t="str">
        <f>"824236"</f>
        <v>824236</v>
      </c>
      <c r="B30098" t="s">
        <v>28194</v>
      </c>
      <c r="C30098" t="s">
        <v>37</v>
      </c>
      <c r="D30098" s="21" t="s">
        <v>34</v>
      </c>
      <c r="E30098" s="21" t="s">
        <v>35</v>
      </c>
      <c r="F30098">
        <v>11820034</v>
      </c>
      <c r="G30098" t="s">
        <v>4498</v>
      </c>
      <c r="H30098" s="21">
        <v>550</v>
      </c>
    </row>
    <row r="30099" spans="1:8" customFormat="1" x14ac:dyDescent="0.25">
      <c r="A30099" t="str">
        <f>"2926368"</f>
        <v>2926368</v>
      </c>
      <c r="B30099" t="s">
        <v>13174</v>
      </c>
      <c r="C30099" t="s">
        <v>1142</v>
      </c>
      <c r="D30099" s="21" t="s">
        <v>34</v>
      </c>
      <c r="E30099" s="21" t="s">
        <v>1089</v>
      </c>
      <c r="F30099">
        <v>3290205</v>
      </c>
      <c r="G30099" t="s">
        <v>26882</v>
      </c>
      <c r="H30099" s="21">
        <v>550</v>
      </c>
    </row>
    <row r="30100" spans="1:8" customFormat="1" x14ac:dyDescent="0.25">
      <c r="A30100" t="str">
        <f>"992207"</f>
        <v>992207</v>
      </c>
      <c r="B30100" t="s">
        <v>20855</v>
      </c>
      <c r="C30100" t="s">
        <v>87</v>
      </c>
      <c r="D30100" s="21" t="s">
        <v>34</v>
      </c>
      <c r="E30100" s="21" t="s">
        <v>71</v>
      </c>
      <c r="F30100">
        <v>5990014</v>
      </c>
      <c r="G30100" t="s">
        <v>11225</v>
      </c>
      <c r="H30100" s="21">
        <v>549.79</v>
      </c>
    </row>
    <row r="30101" spans="1:8" customFormat="1" x14ac:dyDescent="0.25">
      <c r="A30101" t="str">
        <f>"8819194"</f>
        <v>8819194</v>
      </c>
      <c r="B30101" t="s">
        <v>12877</v>
      </c>
      <c r="C30101" t="s">
        <v>62</v>
      </c>
      <c r="D30101" s="21" t="s">
        <v>34</v>
      </c>
      <c r="E30101" s="21" t="s">
        <v>35</v>
      </c>
      <c r="F30101">
        <v>6880138</v>
      </c>
      <c r="G30101" t="s">
        <v>10053</v>
      </c>
      <c r="H30101" s="21">
        <v>549.66999999999996</v>
      </c>
    </row>
    <row r="30102" spans="1:8" customFormat="1" x14ac:dyDescent="0.25">
      <c r="A30102" t="str">
        <f>"836070"</f>
        <v>836070</v>
      </c>
      <c r="B30102" t="s">
        <v>20381</v>
      </c>
      <c r="C30102" t="s">
        <v>249</v>
      </c>
      <c r="D30102" s="21" t="s">
        <v>34</v>
      </c>
      <c r="E30102" s="21" t="s">
        <v>1089</v>
      </c>
      <c r="F30102">
        <v>13130124</v>
      </c>
      <c r="G30102" t="s">
        <v>5311</v>
      </c>
      <c r="H30102" s="21">
        <v>549.66999999999996</v>
      </c>
    </row>
    <row r="30103" spans="1:8" customFormat="1" x14ac:dyDescent="0.25">
      <c r="A30103" t="str">
        <f>"5718283"</f>
        <v>5718283</v>
      </c>
      <c r="B30103" t="s">
        <v>21729</v>
      </c>
      <c r="C30103" t="s">
        <v>2529</v>
      </c>
      <c r="D30103" s="21" t="s">
        <v>34</v>
      </c>
      <c r="E30103" s="21" t="s">
        <v>254</v>
      </c>
      <c r="F30103">
        <v>6570180</v>
      </c>
      <c r="G30103" t="s">
        <v>456</v>
      </c>
      <c r="H30103" s="21">
        <v>549.66999999999996</v>
      </c>
    </row>
    <row r="30104" spans="1:8" customFormat="1" x14ac:dyDescent="0.25">
      <c r="A30104" t="str">
        <f>"809675"</f>
        <v>809675</v>
      </c>
      <c r="B30104" t="s">
        <v>14487</v>
      </c>
      <c r="C30104" t="s">
        <v>21030</v>
      </c>
      <c r="D30104" s="21" t="s">
        <v>34</v>
      </c>
      <c r="E30104" s="21" t="s">
        <v>71</v>
      </c>
      <c r="F30104">
        <v>7800003</v>
      </c>
      <c r="G30104" t="s">
        <v>276</v>
      </c>
      <c r="H30104" s="21">
        <v>549.66999999999996</v>
      </c>
    </row>
    <row r="30105" spans="1:8" customFormat="1" x14ac:dyDescent="0.25">
      <c r="A30105" t="str">
        <f>"9135364"</f>
        <v>9135364</v>
      </c>
      <c r="B30105" t="s">
        <v>20648</v>
      </c>
      <c r="C30105" t="s">
        <v>253</v>
      </c>
      <c r="D30105" s="21" t="s">
        <v>34</v>
      </c>
      <c r="E30105" s="21" t="s">
        <v>254</v>
      </c>
      <c r="F30105">
        <v>8910861</v>
      </c>
      <c r="G30105" t="s">
        <v>1120</v>
      </c>
      <c r="H30105" s="21">
        <v>549.66999999999996</v>
      </c>
    </row>
    <row r="30106" spans="1:8" customFormat="1" x14ac:dyDescent="0.25">
      <c r="A30106" t="str">
        <f>"366474"</f>
        <v>366474</v>
      </c>
      <c r="B30106" t="s">
        <v>23841</v>
      </c>
      <c r="C30106" t="s">
        <v>1714</v>
      </c>
      <c r="D30106" s="21" t="s">
        <v>34</v>
      </c>
      <c r="E30106" s="21" t="s">
        <v>71</v>
      </c>
      <c r="F30106">
        <v>4360124</v>
      </c>
      <c r="G30106" t="s">
        <v>5229</v>
      </c>
      <c r="H30106" s="21">
        <v>549.66999999999996</v>
      </c>
    </row>
    <row r="30107" spans="1:8" customFormat="1" x14ac:dyDescent="0.25">
      <c r="A30107" t="str">
        <f>"1610061"</f>
        <v>1610061</v>
      </c>
      <c r="B30107" t="s">
        <v>20941</v>
      </c>
      <c r="C30107" t="s">
        <v>239</v>
      </c>
      <c r="D30107" s="21" t="s">
        <v>34</v>
      </c>
      <c r="E30107" s="21" t="s">
        <v>254</v>
      </c>
      <c r="F30107">
        <v>10160044</v>
      </c>
      <c r="G30107" t="s">
        <v>4941</v>
      </c>
      <c r="H30107" s="21">
        <v>549.66999999999996</v>
      </c>
    </row>
    <row r="30108" spans="1:8" customFormat="1" x14ac:dyDescent="0.25">
      <c r="A30108" t="str">
        <f>"2617627"</f>
        <v>2617627</v>
      </c>
      <c r="B30108" t="s">
        <v>1547</v>
      </c>
      <c r="C30108" t="s">
        <v>267</v>
      </c>
      <c r="D30108" s="21" t="s">
        <v>34</v>
      </c>
      <c r="E30108" s="21" t="s">
        <v>71</v>
      </c>
      <c r="F30108">
        <v>1260026</v>
      </c>
      <c r="G30108" t="s">
        <v>516</v>
      </c>
      <c r="H30108" s="21">
        <v>549.66999999999996</v>
      </c>
    </row>
    <row r="30109" spans="1:8" customFormat="1" x14ac:dyDescent="0.25">
      <c r="A30109" t="str">
        <f>"3830135"</f>
        <v>3830135</v>
      </c>
      <c r="B30109" t="s">
        <v>21932</v>
      </c>
      <c r="C30109" t="s">
        <v>867</v>
      </c>
      <c r="D30109" s="21" t="s">
        <v>34</v>
      </c>
      <c r="E30109" s="21" t="s">
        <v>35</v>
      </c>
      <c r="F30109">
        <v>1380290</v>
      </c>
      <c r="G30109" t="s">
        <v>619</v>
      </c>
      <c r="H30109" s="21">
        <v>549.66999999999996</v>
      </c>
    </row>
    <row r="30110" spans="1:8" customFormat="1" x14ac:dyDescent="0.25">
      <c r="A30110" t="str">
        <f>"5964908"</f>
        <v>5964908</v>
      </c>
      <c r="B30110" t="s">
        <v>20050</v>
      </c>
      <c r="C30110" t="s">
        <v>60</v>
      </c>
      <c r="D30110" s="21" t="s">
        <v>34</v>
      </c>
      <c r="E30110" s="21" t="s">
        <v>35</v>
      </c>
      <c r="F30110">
        <v>7590372</v>
      </c>
      <c r="G30110" t="s">
        <v>3638</v>
      </c>
      <c r="H30110" s="21">
        <v>549.66999999999996</v>
      </c>
    </row>
    <row r="30111" spans="1:8" customFormat="1" x14ac:dyDescent="0.25">
      <c r="A30111" t="str">
        <f>"5931955"</f>
        <v>5931955</v>
      </c>
      <c r="B30111" t="s">
        <v>10028</v>
      </c>
      <c r="C30111" t="s">
        <v>269</v>
      </c>
      <c r="D30111" s="21" t="s">
        <v>34</v>
      </c>
      <c r="E30111" s="21" t="s">
        <v>35</v>
      </c>
      <c r="F30111">
        <v>7590345</v>
      </c>
      <c r="G30111" t="s">
        <v>3297</v>
      </c>
      <c r="H30111" s="21">
        <v>549.66999999999996</v>
      </c>
    </row>
    <row r="30112" spans="1:8" customFormat="1" x14ac:dyDescent="0.25">
      <c r="A30112" t="str">
        <f>"4527631"</f>
        <v>4527631</v>
      </c>
      <c r="B30112" t="s">
        <v>19537</v>
      </c>
      <c r="C30112" t="s">
        <v>415</v>
      </c>
      <c r="D30112" s="21" t="s">
        <v>34</v>
      </c>
      <c r="E30112" s="21" t="s">
        <v>71</v>
      </c>
      <c r="F30112">
        <v>4450614</v>
      </c>
      <c r="G30112" t="s">
        <v>13344</v>
      </c>
      <c r="H30112" s="21">
        <v>549.66999999999996</v>
      </c>
    </row>
    <row r="30113" spans="1:8" customFormat="1" x14ac:dyDescent="0.25">
      <c r="A30113" t="str">
        <f>"5725400"</f>
        <v>5725400</v>
      </c>
      <c r="B30113" t="s">
        <v>22316</v>
      </c>
      <c r="C30113" t="s">
        <v>55</v>
      </c>
      <c r="D30113" s="21" t="s">
        <v>34</v>
      </c>
      <c r="E30113" s="21" t="s">
        <v>35</v>
      </c>
      <c r="F30113">
        <v>6570015</v>
      </c>
      <c r="G30113" t="s">
        <v>749</v>
      </c>
      <c r="H30113" s="21">
        <v>549.66999999999996</v>
      </c>
    </row>
    <row r="30114" spans="1:8" customFormat="1" x14ac:dyDescent="0.25">
      <c r="A30114" t="str">
        <f>"458427"</f>
        <v>458427</v>
      </c>
      <c r="B30114" t="s">
        <v>20622</v>
      </c>
      <c r="C30114" t="s">
        <v>209</v>
      </c>
      <c r="D30114" s="21" t="s">
        <v>34</v>
      </c>
      <c r="E30114" s="21" t="s">
        <v>1089</v>
      </c>
      <c r="F30114">
        <v>4450031</v>
      </c>
      <c r="G30114" t="s">
        <v>18263</v>
      </c>
      <c r="H30114" s="21">
        <v>549.66999999999996</v>
      </c>
    </row>
    <row r="30115" spans="1:8" customFormat="1" x14ac:dyDescent="0.25">
      <c r="A30115" t="str">
        <f>"3116103"</f>
        <v>3116103</v>
      </c>
      <c r="B30115" t="s">
        <v>28195</v>
      </c>
      <c r="C30115" t="s">
        <v>926</v>
      </c>
      <c r="D30115" s="21" t="s">
        <v>34</v>
      </c>
      <c r="E30115" s="21" t="s">
        <v>35</v>
      </c>
      <c r="F30115">
        <v>11310047</v>
      </c>
      <c r="G30115" t="s">
        <v>2188</v>
      </c>
      <c r="H30115" s="21">
        <v>549.66999999999996</v>
      </c>
    </row>
    <row r="30116" spans="1:8" customFormat="1" x14ac:dyDescent="0.25">
      <c r="A30116" t="str">
        <f>"069080"</f>
        <v>069080</v>
      </c>
      <c r="B30116" t="s">
        <v>28196</v>
      </c>
      <c r="C30116" t="s">
        <v>109</v>
      </c>
      <c r="D30116" s="21" t="s">
        <v>34</v>
      </c>
      <c r="E30116" s="21" t="s">
        <v>35</v>
      </c>
      <c r="F30116">
        <v>13060082</v>
      </c>
      <c r="G30116" t="s">
        <v>11729</v>
      </c>
      <c r="H30116" s="21">
        <v>549.66999999999996</v>
      </c>
    </row>
    <row r="30117" spans="1:8" customFormat="1" x14ac:dyDescent="0.25">
      <c r="A30117" t="str">
        <f>"6722453"</f>
        <v>6722453</v>
      </c>
      <c r="B30117" t="s">
        <v>12185</v>
      </c>
      <c r="C30117" t="s">
        <v>2520</v>
      </c>
      <c r="D30117" s="21" t="s">
        <v>34</v>
      </c>
      <c r="E30117" s="21" t="s">
        <v>71</v>
      </c>
      <c r="F30117">
        <v>6670202</v>
      </c>
      <c r="G30117" t="s">
        <v>605</v>
      </c>
      <c r="H30117" s="21">
        <v>549.66999999999996</v>
      </c>
    </row>
    <row r="30118" spans="1:8" customFormat="1" x14ac:dyDescent="0.25">
      <c r="A30118" t="str">
        <f>"042320"</f>
        <v>042320</v>
      </c>
      <c r="B30118" t="s">
        <v>2967</v>
      </c>
      <c r="C30118" t="s">
        <v>1146</v>
      </c>
      <c r="D30118" s="21" t="s">
        <v>34</v>
      </c>
      <c r="E30118" s="21" t="s">
        <v>254</v>
      </c>
      <c r="F30118">
        <v>13040024</v>
      </c>
      <c r="G30118" t="s">
        <v>5900</v>
      </c>
      <c r="H30118" s="21">
        <v>549.66999999999996</v>
      </c>
    </row>
    <row r="30119" spans="1:8" customFormat="1" x14ac:dyDescent="0.25">
      <c r="A30119" t="str">
        <f>"3831259"</f>
        <v>3831259</v>
      </c>
      <c r="B30119" t="s">
        <v>6253</v>
      </c>
      <c r="C30119" t="s">
        <v>87</v>
      </c>
      <c r="D30119" s="21" t="s">
        <v>34</v>
      </c>
      <c r="E30119" s="21" t="s">
        <v>35</v>
      </c>
      <c r="F30119">
        <v>1380246</v>
      </c>
      <c r="G30119" t="s">
        <v>27941</v>
      </c>
      <c r="H30119" s="21">
        <v>549.66999999999996</v>
      </c>
    </row>
    <row r="30120" spans="1:8" customFormat="1" x14ac:dyDescent="0.25">
      <c r="A30120" t="str">
        <f>"868230"</f>
        <v>868230</v>
      </c>
      <c r="B30120" t="s">
        <v>21671</v>
      </c>
      <c r="C30120" t="s">
        <v>169</v>
      </c>
      <c r="D30120" s="21" t="s">
        <v>34</v>
      </c>
      <c r="E30120" s="21" t="s">
        <v>35</v>
      </c>
      <c r="F30120">
        <v>4370583</v>
      </c>
      <c r="G30120" t="s">
        <v>13975</v>
      </c>
      <c r="H30120" s="21">
        <v>549.66999999999996</v>
      </c>
    </row>
    <row r="30121" spans="1:8" customFormat="1" x14ac:dyDescent="0.25">
      <c r="A30121" t="str">
        <f>"7633146"</f>
        <v>7633146</v>
      </c>
      <c r="B30121" t="s">
        <v>14595</v>
      </c>
      <c r="C30121" t="s">
        <v>2907</v>
      </c>
      <c r="D30121" s="21" t="s">
        <v>34</v>
      </c>
      <c r="E30121" s="21" t="s">
        <v>71</v>
      </c>
      <c r="F30121">
        <v>9760366</v>
      </c>
      <c r="G30121" t="s">
        <v>7640</v>
      </c>
      <c r="H30121" s="21">
        <v>549.66999999999996</v>
      </c>
    </row>
    <row r="30122" spans="1:8" customFormat="1" x14ac:dyDescent="0.25">
      <c r="A30122" t="str">
        <f>"515312"</f>
        <v>515312</v>
      </c>
      <c r="B30122" t="s">
        <v>1094</v>
      </c>
      <c r="C30122" t="s">
        <v>1665</v>
      </c>
      <c r="D30122" s="21" t="s">
        <v>34</v>
      </c>
      <c r="E30122" s="21" t="s">
        <v>6185</v>
      </c>
      <c r="F30122">
        <v>6510009</v>
      </c>
      <c r="G30122" t="s">
        <v>26950</v>
      </c>
      <c r="H30122" s="21">
        <v>549.66999999999996</v>
      </c>
    </row>
    <row r="30123" spans="1:8" customFormat="1" x14ac:dyDescent="0.25">
      <c r="A30123" t="str">
        <f>"9535116"</f>
        <v>9535116</v>
      </c>
      <c r="B30123" t="s">
        <v>15612</v>
      </c>
      <c r="C30123" t="s">
        <v>269</v>
      </c>
      <c r="D30123" s="21" t="s">
        <v>34</v>
      </c>
      <c r="E30123" s="21" t="s">
        <v>71</v>
      </c>
      <c r="F30123">
        <v>8950262</v>
      </c>
      <c r="G30123" t="s">
        <v>1881</v>
      </c>
      <c r="H30123" s="21">
        <v>549.54</v>
      </c>
    </row>
    <row r="30124" spans="1:8" customFormat="1" x14ac:dyDescent="0.25">
      <c r="A30124" t="str">
        <f>"7632618"</f>
        <v>7632618</v>
      </c>
      <c r="B30124" t="s">
        <v>20436</v>
      </c>
      <c r="C30124" t="s">
        <v>262</v>
      </c>
      <c r="D30124" s="21" t="s">
        <v>34</v>
      </c>
      <c r="E30124" s="21" t="s">
        <v>1089</v>
      </c>
      <c r="F30124">
        <v>9760286</v>
      </c>
      <c r="G30124" t="s">
        <v>11559</v>
      </c>
      <c r="H30124" s="21">
        <v>549.5</v>
      </c>
    </row>
    <row r="30125" spans="1:8" customFormat="1" x14ac:dyDescent="0.25">
      <c r="A30125" t="str">
        <f>"8610983"</f>
        <v>8610983</v>
      </c>
      <c r="B30125" t="s">
        <v>21726</v>
      </c>
      <c r="C30125" t="s">
        <v>493</v>
      </c>
      <c r="D30125" s="21" t="s">
        <v>34</v>
      </c>
      <c r="E30125" s="21" t="s">
        <v>71</v>
      </c>
      <c r="F30125">
        <v>10860017</v>
      </c>
      <c r="G30125" t="s">
        <v>2439</v>
      </c>
      <c r="H30125" s="21">
        <v>549.41999999999996</v>
      </c>
    </row>
    <row r="30126" spans="1:8" customFormat="1" x14ac:dyDescent="0.25">
      <c r="A30126" t="str">
        <f>"3726093"</f>
        <v>3726093</v>
      </c>
      <c r="B30126" t="s">
        <v>21370</v>
      </c>
      <c r="C30126" t="s">
        <v>305</v>
      </c>
      <c r="D30126" s="21" t="s">
        <v>34</v>
      </c>
      <c r="E30126" s="21" t="s">
        <v>35</v>
      </c>
      <c r="F30126">
        <v>4370269</v>
      </c>
      <c r="G30126" t="s">
        <v>4277</v>
      </c>
      <c r="H30126" s="21">
        <v>549.41999999999996</v>
      </c>
    </row>
    <row r="30127" spans="1:8" customFormat="1" x14ac:dyDescent="0.25">
      <c r="A30127" t="str">
        <f>"7850022"</f>
        <v>7850022</v>
      </c>
      <c r="B30127" t="s">
        <v>9256</v>
      </c>
      <c r="C30127" t="s">
        <v>484</v>
      </c>
      <c r="D30127" s="21" t="s">
        <v>34</v>
      </c>
      <c r="E30127" s="21" t="s">
        <v>35</v>
      </c>
      <c r="F30127">
        <v>8780935</v>
      </c>
      <c r="G30127" t="s">
        <v>1944</v>
      </c>
      <c r="H30127" s="21">
        <v>549.29</v>
      </c>
    </row>
    <row r="30128" spans="1:8" customFormat="1" x14ac:dyDescent="0.25">
      <c r="A30128" t="str">
        <f>"8518586"</f>
        <v>8518586</v>
      </c>
      <c r="B30128" t="s">
        <v>21767</v>
      </c>
      <c r="C30128" t="s">
        <v>6493</v>
      </c>
      <c r="D30128" s="21" t="s">
        <v>34</v>
      </c>
      <c r="E30128" s="21" t="s">
        <v>71</v>
      </c>
      <c r="F30128">
        <v>10330125</v>
      </c>
      <c r="G30128" t="s">
        <v>3753</v>
      </c>
      <c r="H30128" s="21">
        <v>549.29</v>
      </c>
    </row>
    <row r="30129" spans="1:8" customFormat="1" x14ac:dyDescent="0.25">
      <c r="A30129" t="str">
        <f>"3329877"</f>
        <v>3329877</v>
      </c>
      <c r="B30129" t="s">
        <v>19520</v>
      </c>
      <c r="C30129" t="s">
        <v>40</v>
      </c>
      <c r="D30129" s="21" t="s">
        <v>34</v>
      </c>
      <c r="E30129" s="21" t="s">
        <v>71</v>
      </c>
      <c r="F30129">
        <v>10330002</v>
      </c>
      <c r="G30129" t="s">
        <v>53</v>
      </c>
      <c r="H30129" s="21">
        <v>549.16999999999996</v>
      </c>
    </row>
    <row r="30130" spans="1:8" customFormat="1" x14ac:dyDescent="0.25">
      <c r="A30130" t="str">
        <f>"2923525"</f>
        <v>2923525</v>
      </c>
      <c r="B30130" t="s">
        <v>2047</v>
      </c>
      <c r="C30130" t="s">
        <v>209</v>
      </c>
      <c r="D30130" s="21" t="s">
        <v>34</v>
      </c>
      <c r="E30130" s="21" t="s">
        <v>71</v>
      </c>
      <c r="F30130">
        <v>3290037</v>
      </c>
      <c r="G30130" t="s">
        <v>11628</v>
      </c>
      <c r="H30130" s="21">
        <v>549.16999999999996</v>
      </c>
    </row>
    <row r="30131" spans="1:8" customFormat="1" x14ac:dyDescent="0.25">
      <c r="A30131" t="str">
        <f>"5955684"</f>
        <v>5955684</v>
      </c>
      <c r="B30131" t="s">
        <v>11216</v>
      </c>
      <c r="C30131" t="s">
        <v>879</v>
      </c>
      <c r="D30131" s="21" t="s">
        <v>34</v>
      </c>
      <c r="E30131" s="21" t="s">
        <v>254</v>
      </c>
      <c r="F30131">
        <v>7590044</v>
      </c>
      <c r="G30131" t="s">
        <v>2029</v>
      </c>
      <c r="H30131" s="21">
        <v>549.16999999999996</v>
      </c>
    </row>
    <row r="30132" spans="1:8" customFormat="1" x14ac:dyDescent="0.25">
      <c r="A30132" t="str">
        <f>"4518437"</f>
        <v>4518437</v>
      </c>
      <c r="B30132" t="s">
        <v>20818</v>
      </c>
      <c r="C30132" t="s">
        <v>412</v>
      </c>
      <c r="D30132" s="21" t="s">
        <v>34</v>
      </c>
      <c r="E30132" s="21" t="s">
        <v>35</v>
      </c>
      <c r="F30132">
        <v>4450702</v>
      </c>
      <c r="G30132" t="s">
        <v>1772</v>
      </c>
      <c r="H30132" s="21">
        <v>549.16999999999996</v>
      </c>
    </row>
    <row r="30133" spans="1:8" customFormat="1" x14ac:dyDescent="0.25">
      <c r="A30133" t="str">
        <f>"9145963"</f>
        <v>9145963</v>
      </c>
      <c r="B30133" t="s">
        <v>23211</v>
      </c>
      <c r="C30133" t="s">
        <v>455</v>
      </c>
      <c r="D30133" s="21" t="s">
        <v>34</v>
      </c>
      <c r="E30133" s="21" t="s">
        <v>35</v>
      </c>
      <c r="F30133">
        <v>8910042</v>
      </c>
      <c r="G30133" t="s">
        <v>4009</v>
      </c>
      <c r="H30133" s="21">
        <v>549.16999999999996</v>
      </c>
    </row>
    <row r="30134" spans="1:8" customFormat="1" x14ac:dyDescent="0.25">
      <c r="A30134" t="str">
        <f>"807075"</f>
        <v>807075</v>
      </c>
      <c r="B30134" t="s">
        <v>18629</v>
      </c>
      <c r="C30134" t="s">
        <v>1914</v>
      </c>
      <c r="D30134" s="21" t="s">
        <v>34</v>
      </c>
      <c r="E30134" s="21" t="s">
        <v>254</v>
      </c>
      <c r="F30134">
        <v>13050008</v>
      </c>
      <c r="G30134" t="s">
        <v>12322</v>
      </c>
      <c r="H30134" s="21">
        <v>549.16999999999996</v>
      </c>
    </row>
    <row r="30135" spans="1:8" customFormat="1" x14ac:dyDescent="0.25">
      <c r="A30135" t="str">
        <f>"443447"</f>
        <v>443447</v>
      </c>
      <c r="B30135" t="s">
        <v>3900</v>
      </c>
      <c r="C30135" t="s">
        <v>750</v>
      </c>
      <c r="D30135" s="21" t="s">
        <v>34</v>
      </c>
      <c r="E30135" s="21" t="s">
        <v>254</v>
      </c>
      <c r="F30135">
        <v>12440125</v>
      </c>
      <c r="G30135" t="s">
        <v>8347</v>
      </c>
      <c r="H30135" s="21">
        <v>549.16999999999996</v>
      </c>
    </row>
    <row r="30136" spans="1:8" customFormat="1" x14ac:dyDescent="0.25">
      <c r="A30136" t="str">
        <f>"7844130"</f>
        <v>7844130</v>
      </c>
      <c r="B30136" t="s">
        <v>22705</v>
      </c>
      <c r="C30136" t="s">
        <v>96</v>
      </c>
      <c r="D30136" s="21" t="s">
        <v>34</v>
      </c>
      <c r="E30136" s="21" t="s">
        <v>35</v>
      </c>
      <c r="F30136">
        <v>8781176</v>
      </c>
      <c r="G30136" t="s">
        <v>3659</v>
      </c>
      <c r="H30136" s="21">
        <v>549.16999999999996</v>
      </c>
    </row>
    <row r="30137" spans="1:8" customFormat="1" x14ac:dyDescent="0.25">
      <c r="A30137" t="str">
        <f>"9532837"</f>
        <v>9532837</v>
      </c>
      <c r="B30137" t="s">
        <v>356</v>
      </c>
      <c r="C30137" t="s">
        <v>239</v>
      </c>
      <c r="D30137" s="21" t="s">
        <v>34</v>
      </c>
      <c r="E30137" s="21" t="s">
        <v>71</v>
      </c>
      <c r="F30137">
        <v>8950022</v>
      </c>
      <c r="G30137" t="s">
        <v>2785</v>
      </c>
      <c r="H30137" s="21">
        <v>549.16999999999996</v>
      </c>
    </row>
    <row r="30138" spans="1:8" customFormat="1" x14ac:dyDescent="0.25">
      <c r="A30138" t="str">
        <f>"2934990"</f>
        <v>2934990</v>
      </c>
      <c r="B30138" t="s">
        <v>12230</v>
      </c>
      <c r="C30138" t="s">
        <v>486</v>
      </c>
      <c r="D30138" s="21" t="s">
        <v>34</v>
      </c>
      <c r="E30138" s="21" t="s">
        <v>71</v>
      </c>
      <c r="F30138">
        <v>3290285</v>
      </c>
      <c r="G30138" t="s">
        <v>2234</v>
      </c>
      <c r="H30138" s="21">
        <v>549.16999999999996</v>
      </c>
    </row>
    <row r="30139" spans="1:8" customFormat="1" x14ac:dyDescent="0.25">
      <c r="A30139" t="str">
        <f>"037809"</f>
        <v>037809</v>
      </c>
      <c r="B30139" t="s">
        <v>14116</v>
      </c>
      <c r="C30139" t="s">
        <v>817</v>
      </c>
      <c r="D30139" s="21" t="s">
        <v>34</v>
      </c>
      <c r="E30139" s="21" t="s">
        <v>35</v>
      </c>
      <c r="F30139">
        <v>1030094</v>
      </c>
      <c r="G30139" t="s">
        <v>8523</v>
      </c>
      <c r="H30139" s="21">
        <v>549.16999999999996</v>
      </c>
    </row>
    <row r="30140" spans="1:8" customFormat="1" x14ac:dyDescent="0.25">
      <c r="A30140" t="str">
        <f>"3333692"</f>
        <v>3333692</v>
      </c>
      <c r="B30140" t="s">
        <v>28197</v>
      </c>
      <c r="C30140" t="s">
        <v>43</v>
      </c>
      <c r="D30140" s="21" t="s">
        <v>34</v>
      </c>
      <c r="E30140" s="21" t="s">
        <v>35</v>
      </c>
      <c r="F30140">
        <v>10330020</v>
      </c>
      <c r="G30140" t="s">
        <v>7481</v>
      </c>
      <c r="H30140" s="21">
        <v>549.16999999999996</v>
      </c>
    </row>
    <row r="30141" spans="1:8" customFormat="1" x14ac:dyDescent="0.25">
      <c r="A30141" t="str">
        <f>"707001"</f>
        <v>707001</v>
      </c>
      <c r="B30141" t="s">
        <v>28198</v>
      </c>
      <c r="C30141" t="s">
        <v>2907</v>
      </c>
      <c r="D30141" s="21" t="s">
        <v>34</v>
      </c>
      <c r="E30141" s="21" t="s">
        <v>254</v>
      </c>
      <c r="F30141">
        <v>2700030</v>
      </c>
      <c r="G30141" t="s">
        <v>9981</v>
      </c>
      <c r="H30141" s="21">
        <v>549.16999999999996</v>
      </c>
    </row>
    <row r="30142" spans="1:8" customFormat="1" x14ac:dyDescent="0.25">
      <c r="A30142" t="str">
        <f>"2213905"</f>
        <v>2213905</v>
      </c>
      <c r="B30142" t="s">
        <v>22315</v>
      </c>
      <c r="C30142" t="s">
        <v>156</v>
      </c>
      <c r="D30142" s="21" t="s">
        <v>34</v>
      </c>
      <c r="E30142" s="21" t="s">
        <v>71</v>
      </c>
      <c r="F30142">
        <v>3220001</v>
      </c>
      <c r="G30142" t="s">
        <v>8173</v>
      </c>
      <c r="H30142" s="21">
        <v>549.16999999999996</v>
      </c>
    </row>
    <row r="30143" spans="1:8" customFormat="1" x14ac:dyDescent="0.25">
      <c r="A30143" t="str">
        <f>"2933678"</f>
        <v>2933678</v>
      </c>
      <c r="B30143" t="s">
        <v>15462</v>
      </c>
      <c r="C30143" t="s">
        <v>3648</v>
      </c>
      <c r="D30143" s="21" t="s">
        <v>34</v>
      </c>
      <c r="E30143" s="21" t="s">
        <v>254</v>
      </c>
      <c r="F30143">
        <v>3290014</v>
      </c>
      <c r="G30143" t="s">
        <v>10174</v>
      </c>
      <c r="H30143" s="21">
        <v>549.16999999999996</v>
      </c>
    </row>
    <row r="30144" spans="1:8" customFormat="1" x14ac:dyDescent="0.25">
      <c r="A30144" t="str">
        <f>"79762"</f>
        <v>79762</v>
      </c>
      <c r="B30144" t="s">
        <v>4014</v>
      </c>
      <c r="C30144" t="s">
        <v>822</v>
      </c>
      <c r="D30144" s="21" t="s">
        <v>34</v>
      </c>
      <c r="E30144" s="21" t="s">
        <v>254</v>
      </c>
      <c r="F30144">
        <v>10790039</v>
      </c>
      <c r="G30144" t="s">
        <v>14238</v>
      </c>
      <c r="H30144" s="21">
        <v>549.16999999999996</v>
      </c>
    </row>
    <row r="30145" spans="1:8" customFormat="1" x14ac:dyDescent="0.25">
      <c r="A30145" t="str">
        <f>"665559"</f>
        <v>665559</v>
      </c>
      <c r="B30145" t="s">
        <v>22419</v>
      </c>
      <c r="C30145" t="s">
        <v>2475</v>
      </c>
      <c r="D30145" s="21" t="s">
        <v>34</v>
      </c>
      <c r="E30145" s="21" t="s">
        <v>71</v>
      </c>
      <c r="F30145">
        <v>11660032</v>
      </c>
      <c r="G30145" t="s">
        <v>3232</v>
      </c>
      <c r="H30145" s="21">
        <v>549.16999999999996</v>
      </c>
    </row>
    <row r="30146" spans="1:8" customFormat="1" x14ac:dyDescent="0.25">
      <c r="A30146" t="str">
        <f>"5726089"</f>
        <v>5726089</v>
      </c>
      <c r="B30146" t="s">
        <v>20146</v>
      </c>
      <c r="C30146" t="s">
        <v>4674</v>
      </c>
      <c r="D30146" s="21" t="s">
        <v>34</v>
      </c>
      <c r="E30146" s="21" t="s">
        <v>35</v>
      </c>
      <c r="F30146">
        <v>6570102</v>
      </c>
      <c r="G30146" t="s">
        <v>16722</v>
      </c>
      <c r="H30146" s="21">
        <v>549.16999999999996</v>
      </c>
    </row>
    <row r="30147" spans="1:8" customFormat="1" x14ac:dyDescent="0.25">
      <c r="A30147" t="str">
        <f>"4455610"</f>
        <v>4455610</v>
      </c>
      <c r="B30147" t="s">
        <v>5516</v>
      </c>
      <c r="C30147" t="s">
        <v>1025</v>
      </c>
      <c r="D30147" s="21" t="s">
        <v>34</v>
      </c>
      <c r="E30147" s="21" t="s">
        <v>254</v>
      </c>
      <c r="F30147">
        <v>12440139</v>
      </c>
      <c r="G30147" t="s">
        <v>2655</v>
      </c>
      <c r="H30147" s="21">
        <v>549.16999999999996</v>
      </c>
    </row>
    <row r="30148" spans="1:8" customFormat="1" x14ac:dyDescent="0.25">
      <c r="A30148" t="str">
        <f>"5937057"</f>
        <v>5937057</v>
      </c>
      <c r="B30148" t="s">
        <v>12320</v>
      </c>
      <c r="C30148" t="s">
        <v>598</v>
      </c>
      <c r="D30148" s="21" t="s">
        <v>34</v>
      </c>
      <c r="E30148" s="21" t="s">
        <v>254</v>
      </c>
      <c r="F30148">
        <v>7590027</v>
      </c>
      <c r="G30148" t="s">
        <v>629</v>
      </c>
      <c r="H30148" s="21">
        <v>549.16999999999996</v>
      </c>
    </row>
    <row r="30149" spans="1:8" customFormat="1" x14ac:dyDescent="0.25">
      <c r="A30149" t="str">
        <f>"729773"</f>
        <v>729773</v>
      </c>
      <c r="B30149" t="s">
        <v>5795</v>
      </c>
      <c r="C30149" t="s">
        <v>462</v>
      </c>
      <c r="D30149" s="21" t="s">
        <v>34</v>
      </c>
      <c r="E30149" s="21" t="s">
        <v>71</v>
      </c>
      <c r="F30149">
        <v>12720006</v>
      </c>
      <c r="G30149" t="s">
        <v>4022</v>
      </c>
      <c r="H30149" s="21">
        <v>549.16999999999996</v>
      </c>
    </row>
    <row r="30150" spans="1:8" customFormat="1" x14ac:dyDescent="0.25">
      <c r="A30150" t="str">
        <f>"4428315"</f>
        <v>4428315</v>
      </c>
      <c r="B30150" t="s">
        <v>13248</v>
      </c>
      <c r="C30150" t="s">
        <v>169</v>
      </c>
      <c r="D30150" s="21" t="s">
        <v>34</v>
      </c>
      <c r="E30150" s="21" t="s">
        <v>71</v>
      </c>
      <c r="F30150">
        <v>12440074</v>
      </c>
      <c r="G30150" t="s">
        <v>2436</v>
      </c>
      <c r="H30150" s="21">
        <v>549.16999999999996</v>
      </c>
    </row>
    <row r="30151" spans="1:8" customFormat="1" x14ac:dyDescent="0.25">
      <c r="A30151" t="str">
        <f>"5617841"</f>
        <v>5617841</v>
      </c>
      <c r="B30151" t="s">
        <v>20861</v>
      </c>
      <c r="C30151" t="s">
        <v>65</v>
      </c>
      <c r="D30151" s="21" t="s">
        <v>34</v>
      </c>
      <c r="E30151" s="21" t="s">
        <v>71</v>
      </c>
      <c r="F30151">
        <v>3560056</v>
      </c>
      <c r="G30151" t="s">
        <v>3145</v>
      </c>
      <c r="H30151" s="21">
        <v>549.16999999999996</v>
      </c>
    </row>
    <row r="30152" spans="1:8" customFormat="1" x14ac:dyDescent="0.25">
      <c r="A30152" t="str">
        <f>"6112807"</f>
        <v>6112807</v>
      </c>
      <c r="B30152" t="s">
        <v>2203</v>
      </c>
      <c r="C30152" t="s">
        <v>90</v>
      </c>
      <c r="D30152" s="21" t="s">
        <v>34</v>
      </c>
      <c r="E30152" s="21" t="s">
        <v>35</v>
      </c>
      <c r="F30152">
        <v>9610039</v>
      </c>
      <c r="G30152" t="s">
        <v>3965</v>
      </c>
      <c r="H30152" s="21">
        <v>549.16999999999996</v>
      </c>
    </row>
    <row r="30153" spans="1:8" customFormat="1" x14ac:dyDescent="0.25">
      <c r="A30153" t="str">
        <f>"896651"</f>
        <v>896651</v>
      </c>
      <c r="B30153" t="s">
        <v>1111</v>
      </c>
      <c r="C30153" t="s">
        <v>598</v>
      </c>
      <c r="D30153" s="21" t="s">
        <v>34</v>
      </c>
      <c r="E30153" s="21" t="s">
        <v>71</v>
      </c>
      <c r="F30153">
        <v>2890010</v>
      </c>
      <c r="G30153" t="s">
        <v>3790</v>
      </c>
      <c r="H30153" s="21">
        <v>549.16999999999996</v>
      </c>
    </row>
    <row r="30154" spans="1:8" customFormat="1" x14ac:dyDescent="0.25">
      <c r="A30154" t="str">
        <f>"367767"</f>
        <v>367767</v>
      </c>
      <c r="B30154" t="s">
        <v>22363</v>
      </c>
      <c r="C30154" t="s">
        <v>109</v>
      </c>
      <c r="D30154" s="21" t="s">
        <v>34</v>
      </c>
      <c r="E30154" s="21" t="s">
        <v>35</v>
      </c>
      <c r="F30154">
        <v>4360124</v>
      </c>
      <c r="G30154" t="s">
        <v>5229</v>
      </c>
      <c r="H30154" s="21">
        <v>549.16999999999996</v>
      </c>
    </row>
    <row r="30155" spans="1:8" customFormat="1" x14ac:dyDescent="0.25">
      <c r="A30155" t="str">
        <f>"7622224"</f>
        <v>7622224</v>
      </c>
      <c r="B30155" t="s">
        <v>21906</v>
      </c>
      <c r="C30155" t="s">
        <v>87</v>
      </c>
      <c r="D30155" s="21" t="s">
        <v>34</v>
      </c>
      <c r="E30155" s="21" t="s">
        <v>35</v>
      </c>
      <c r="F30155">
        <v>9760380</v>
      </c>
      <c r="G30155" t="s">
        <v>12973</v>
      </c>
      <c r="H30155" s="21">
        <v>548.91999999999996</v>
      </c>
    </row>
    <row r="30156" spans="1:8" customFormat="1" x14ac:dyDescent="0.25">
      <c r="A30156" t="str">
        <f>"0115199"</f>
        <v>0115199</v>
      </c>
      <c r="B30156" t="s">
        <v>22396</v>
      </c>
      <c r="C30156" t="s">
        <v>462</v>
      </c>
      <c r="D30156" s="21" t="s">
        <v>34</v>
      </c>
      <c r="E30156" s="21" t="s">
        <v>71</v>
      </c>
      <c r="F30156">
        <v>1010071</v>
      </c>
      <c r="G30156" t="s">
        <v>8104</v>
      </c>
      <c r="H30156" s="21">
        <v>548.88</v>
      </c>
    </row>
    <row r="30157" spans="1:8" customFormat="1" x14ac:dyDescent="0.25">
      <c r="A30157" t="str">
        <f>"106443"</f>
        <v>106443</v>
      </c>
      <c r="B30157" t="s">
        <v>17351</v>
      </c>
      <c r="C30157" t="s">
        <v>2752</v>
      </c>
      <c r="D30157" s="21" t="s">
        <v>34</v>
      </c>
      <c r="E30157" s="21" t="s">
        <v>1089</v>
      </c>
      <c r="F30157">
        <v>6100032</v>
      </c>
      <c r="G30157" t="s">
        <v>1641</v>
      </c>
      <c r="H30157" s="21">
        <v>548.79</v>
      </c>
    </row>
    <row r="30158" spans="1:8" customFormat="1" x14ac:dyDescent="0.25">
      <c r="A30158" t="str">
        <f>"649435"</f>
        <v>649435</v>
      </c>
      <c r="B30158" t="s">
        <v>28199</v>
      </c>
      <c r="C30158" t="s">
        <v>33</v>
      </c>
      <c r="D30158" s="21" t="s">
        <v>34</v>
      </c>
      <c r="E30158" s="21" t="s">
        <v>35</v>
      </c>
      <c r="F30158">
        <v>10640006</v>
      </c>
      <c r="G30158" t="s">
        <v>3872</v>
      </c>
      <c r="H30158" s="21">
        <v>548.79</v>
      </c>
    </row>
    <row r="30159" spans="1:8" customFormat="1" x14ac:dyDescent="0.25">
      <c r="A30159" t="str">
        <f>"7856968"</f>
        <v>7856968</v>
      </c>
      <c r="B30159" t="s">
        <v>20585</v>
      </c>
      <c r="C30159" t="s">
        <v>87</v>
      </c>
      <c r="D30159" s="21" t="s">
        <v>34</v>
      </c>
      <c r="E30159" s="21" t="s">
        <v>71</v>
      </c>
      <c r="F30159">
        <v>8781196</v>
      </c>
      <c r="G30159" t="s">
        <v>8007</v>
      </c>
      <c r="H30159" s="21">
        <v>548.79</v>
      </c>
    </row>
    <row r="30160" spans="1:8" customFormat="1" x14ac:dyDescent="0.25">
      <c r="A30160" t="str">
        <f>"5734482"</f>
        <v>5734482</v>
      </c>
      <c r="B30160" t="s">
        <v>1945</v>
      </c>
      <c r="C30160" t="s">
        <v>28200</v>
      </c>
      <c r="D30160" s="21" t="s">
        <v>34</v>
      </c>
      <c r="E30160" s="21" t="s">
        <v>71</v>
      </c>
      <c r="F30160">
        <v>6570078</v>
      </c>
      <c r="G30160" t="s">
        <v>6852</v>
      </c>
      <c r="H30160" s="21">
        <v>548.75</v>
      </c>
    </row>
    <row r="30161" spans="1:8" customFormat="1" x14ac:dyDescent="0.25">
      <c r="A30161" t="str">
        <f>"7922197"</f>
        <v>7922197</v>
      </c>
      <c r="B30161" t="s">
        <v>10015</v>
      </c>
      <c r="C30161" t="s">
        <v>209</v>
      </c>
      <c r="D30161" s="21" t="s">
        <v>34</v>
      </c>
      <c r="E30161" s="21" t="s">
        <v>71</v>
      </c>
      <c r="F30161">
        <v>10790229</v>
      </c>
      <c r="G30161" t="s">
        <v>27165</v>
      </c>
      <c r="H30161" s="21">
        <v>548.66999999999996</v>
      </c>
    </row>
    <row r="30162" spans="1:8" customFormat="1" x14ac:dyDescent="0.25">
      <c r="A30162" t="str">
        <f>"857389"</f>
        <v>857389</v>
      </c>
      <c r="B30162" t="s">
        <v>4013</v>
      </c>
      <c r="C30162" t="s">
        <v>598</v>
      </c>
      <c r="D30162" s="21" t="s">
        <v>34</v>
      </c>
      <c r="E30162" s="21" t="s">
        <v>254</v>
      </c>
      <c r="F30162">
        <v>12850153</v>
      </c>
      <c r="G30162" t="s">
        <v>5794</v>
      </c>
      <c r="H30162" s="21">
        <v>548.66999999999996</v>
      </c>
    </row>
    <row r="30163" spans="1:8" customFormat="1" x14ac:dyDescent="0.25">
      <c r="A30163" t="str">
        <f>"541060"</f>
        <v>541060</v>
      </c>
      <c r="B30163" t="s">
        <v>28201</v>
      </c>
      <c r="C30163" t="s">
        <v>2904</v>
      </c>
      <c r="D30163" s="21" t="s">
        <v>34</v>
      </c>
      <c r="E30163" s="21" t="s">
        <v>254</v>
      </c>
      <c r="F30163">
        <v>6540056</v>
      </c>
      <c r="G30163" t="s">
        <v>1136</v>
      </c>
      <c r="H30163" s="21">
        <v>548.66999999999996</v>
      </c>
    </row>
    <row r="30164" spans="1:8" customFormat="1" x14ac:dyDescent="0.25">
      <c r="A30164" t="str">
        <f>"162322"</f>
        <v>162322</v>
      </c>
      <c r="B30164" t="s">
        <v>20500</v>
      </c>
      <c r="C30164" t="s">
        <v>124</v>
      </c>
      <c r="D30164" s="21" t="s">
        <v>34</v>
      </c>
      <c r="E30164" s="21" t="s">
        <v>1089</v>
      </c>
      <c r="F30164">
        <v>10160047</v>
      </c>
      <c r="G30164" t="s">
        <v>13957</v>
      </c>
      <c r="H30164" s="21">
        <v>548.66999999999996</v>
      </c>
    </row>
    <row r="30165" spans="1:8" customFormat="1" x14ac:dyDescent="0.25">
      <c r="A30165" t="str">
        <f>"3424893"</f>
        <v>3424893</v>
      </c>
      <c r="B30165" t="s">
        <v>12342</v>
      </c>
      <c r="C30165" t="s">
        <v>114</v>
      </c>
      <c r="D30165" s="21" t="s">
        <v>34</v>
      </c>
      <c r="E30165" s="21" t="s">
        <v>71</v>
      </c>
      <c r="F30165">
        <v>11340018</v>
      </c>
      <c r="G30165" t="s">
        <v>2421</v>
      </c>
      <c r="H30165" s="21">
        <v>548.66999999999996</v>
      </c>
    </row>
    <row r="30166" spans="1:8" customFormat="1" x14ac:dyDescent="0.25">
      <c r="A30166" t="str">
        <f>"5955104"</f>
        <v>5955104</v>
      </c>
      <c r="B30166" t="s">
        <v>20770</v>
      </c>
      <c r="C30166" t="s">
        <v>1468</v>
      </c>
      <c r="D30166" s="21" t="s">
        <v>34</v>
      </c>
      <c r="E30166" s="21" t="s">
        <v>71</v>
      </c>
      <c r="F30166">
        <v>7590336</v>
      </c>
      <c r="G30166" t="s">
        <v>2341</v>
      </c>
      <c r="H30166" s="21">
        <v>548.66999999999996</v>
      </c>
    </row>
    <row r="30167" spans="1:8" customFormat="1" x14ac:dyDescent="0.25">
      <c r="A30167" t="str">
        <f>"5921143"</f>
        <v>5921143</v>
      </c>
      <c r="B30167" t="s">
        <v>16352</v>
      </c>
      <c r="C30167" t="s">
        <v>528</v>
      </c>
      <c r="D30167" s="21" t="s">
        <v>34</v>
      </c>
      <c r="E30167" s="21" t="s">
        <v>254</v>
      </c>
      <c r="F30167">
        <v>7590173</v>
      </c>
      <c r="G30167" t="s">
        <v>5675</v>
      </c>
      <c r="H30167" s="21">
        <v>548.66999999999996</v>
      </c>
    </row>
    <row r="30168" spans="1:8" customFormat="1" x14ac:dyDescent="0.25">
      <c r="A30168" t="str">
        <f>"6228708"</f>
        <v>6228708</v>
      </c>
      <c r="B30168" t="s">
        <v>21439</v>
      </c>
      <c r="C30168" t="s">
        <v>33</v>
      </c>
      <c r="D30168" s="21" t="s">
        <v>34</v>
      </c>
      <c r="E30168" s="21" t="s">
        <v>35</v>
      </c>
      <c r="F30168">
        <v>7620044</v>
      </c>
      <c r="G30168" t="s">
        <v>2961</v>
      </c>
      <c r="H30168" s="21">
        <v>548.66999999999996</v>
      </c>
    </row>
    <row r="30169" spans="1:8" customFormat="1" x14ac:dyDescent="0.25">
      <c r="A30169" t="str">
        <f>"743700"</f>
        <v>743700</v>
      </c>
      <c r="B30169" t="s">
        <v>21026</v>
      </c>
      <c r="C30169" t="s">
        <v>2365</v>
      </c>
      <c r="D30169" s="21" t="s">
        <v>34</v>
      </c>
      <c r="E30169" s="21" t="s">
        <v>71</v>
      </c>
      <c r="F30169">
        <v>1740065</v>
      </c>
      <c r="G30169" t="s">
        <v>5226</v>
      </c>
      <c r="H30169" s="21">
        <v>548.66999999999996</v>
      </c>
    </row>
    <row r="30170" spans="1:8" customFormat="1" x14ac:dyDescent="0.25">
      <c r="A30170" t="str">
        <f>"5721505"</f>
        <v>5721505</v>
      </c>
      <c r="B30170" t="s">
        <v>9812</v>
      </c>
      <c r="C30170" t="s">
        <v>249</v>
      </c>
      <c r="D30170" s="21" t="s">
        <v>34</v>
      </c>
      <c r="E30170" s="21" t="s">
        <v>71</v>
      </c>
      <c r="F30170">
        <v>6570167</v>
      </c>
      <c r="G30170" t="s">
        <v>1174</v>
      </c>
      <c r="H30170" s="21">
        <v>548.66999999999996</v>
      </c>
    </row>
    <row r="30171" spans="1:8" customFormat="1" x14ac:dyDescent="0.25">
      <c r="A30171" t="str">
        <f>"4931741"</f>
        <v>4931741</v>
      </c>
      <c r="B30171" t="s">
        <v>11393</v>
      </c>
      <c r="C30171" t="s">
        <v>3522</v>
      </c>
      <c r="D30171" s="21" t="s">
        <v>34</v>
      </c>
      <c r="E30171" s="21" t="s">
        <v>71</v>
      </c>
      <c r="F30171">
        <v>12490061</v>
      </c>
      <c r="G30171" t="s">
        <v>969</v>
      </c>
      <c r="H30171" s="21">
        <v>548.66999999999996</v>
      </c>
    </row>
    <row r="30172" spans="1:8" customFormat="1" x14ac:dyDescent="0.25">
      <c r="A30172" t="str">
        <f>"177995"</f>
        <v>177995</v>
      </c>
      <c r="B30172" t="s">
        <v>20655</v>
      </c>
      <c r="C30172" t="s">
        <v>1142</v>
      </c>
      <c r="D30172" s="21" t="s">
        <v>34</v>
      </c>
      <c r="E30172" s="21" t="s">
        <v>1089</v>
      </c>
      <c r="F30172">
        <v>1010062</v>
      </c>
      <c r="G30172" t="s">
        <v>9638</v>
      </c>
      <c r="H30172" s="21">
        <v>548.66999999999996</v>
      </c>
    </row>
    <row r="30173" spans="1:8" customFormat="1" x14ac:dyDescent="0.25">
      <c r="A30173" t="str">
        <f>"905626"</f>
        <v>905626</v>
      </c>
      <c r="B30173" t="s">
        <v>21578</v>
      </c>
      <c r="C30173" t="s">
        <v>263</v>
      </c>
      <c r="D30173" s="21" t="s">
        <v>34</v>
      </c>
      <c r="E30173" s="21" t="s">
        <v>254</v>
      </c>
      <c r="F30173">
        <v>2900041</v>
      </c>
      <c r="G30173" t="s">
        <v>4635</v>
      </c>
      <c r="H30173" s="21">
        <v>548.66999999999996</v>
      </c>
    </row>
    <row r="30174" spans="1:8" customFormat="1" x14ac:dyDescent="0.25">
      <c r="A30174" t="str">
        <f>"3341049"</f>
        <v>3341049</v>
      </c>
      <c r="B30174" t="s">
        <v>9642</v>
      </c>
      <c r="C30174" t="s">
        <v>40</v>
      </c>
      <c r="D30174" s="21" t="s">
        <v>34</v>
      </c>
      <c r="E30174" s="21" t="s">
        <v>71</v>
      </c>
      <c r="F30174">
        <v>10330036</v>
      </c>
      <c r="G30174" t="s">
        <v>6209</v>
      </c>
      <c r="H30174" s="21">
        <v>548.66999999999996</v>
      </c>
    </row>
    <row r="30175" spans="1:8" customFormat="1" x14ac:dyDescent="0.25">
      <c r="A30175" t="str">
        <f>"5618713"</f>
        <v>5618713</v>
      </c>
      <c r="B30175" t="s">
        <v>21791</v>
      </c>
      <c r="C30175" t="s">
        <v>124</v>
      </c>
      <c r="D30175" s="21" t="s">
        <v>34</v>
      </c>
      <c r="E30175" s="21" t="s">
        <v>71</v>
      </c>
      <c r="F30175">
        <v>3560039</v>
      </c>
      <c r="G30175" t="s">
        <v>167</v>
      </c>
      <c r="H30175" s="21">
        <v>548.66999999999996</v>
      </c>
    </row>
    <row r="30176" spans="1:8" customFormat="1" x14ac:dyDescent="0.25">
      <c r="A30176" t="str">
        <f>"8524867"</f>
        <v>8524867</v>
      </c>
      <c r="B30176" t="s">
        <v>12112</v>
      </c>
      <c r="C30176" t="s">
        <v>415</v>
      </c>
      <c r="D30176" s="21" t="s">
        <v>34</v>
      </c>
      <c r="E30176" s="21" t="s">
        <v>1089</v>
      </c>
      <c r="F30176">
        <v>12850008</v>
      </c>
      <c r="G30176" t="s">
        <v>4248</v>
      </c>
      <c r="H30176" s="21">
        <v>548.66999999999996</v>
      </c>
    </row>
    <row r="30177" spans="1:8" customFormat="1" x14ac:dyDescent="0.25">
      <c r="A30177" t="str">
        <f>"9116304"</f>
        <v>9116304</v>
      </c>
      <c r="B30177" t="s">
        <v>1593</v>
      </c>
      <c r="C30177" t="s">
        <v>528</v>
      </c>
      <c r="D30177" s="21" t="s">
        <v>34</v>
      </c>
      <c r="E30177" s="21" t="s">
        <v>35</v>
      </c>
      <c r="F30177">
        <v>8911285</v>
      </c>
      <c r="G30177" t="s">
        <v>2396</v>
      </c>
      <c r="H30177" s="21">
        <v>548.66999999999996</v>
      </c>
    </row>
    <row r="30178" spans="1:8" customFormat="1" x14ac:dyDescent="0.25">
      <c r="A30178" t="str">
        <f>"5980882"</f>
        <v>5980882</v>
      </c>
      <c r="B30178" t="s">
        <v>28202</v>
      </c>
      <c r="C30178" t="s">
        <v>27438</v>
      </c>
      <c r="D30178" s="21" t="s">
        <v>34</v>
      </c>
      <c r="E30178" s="21" t="s">
        <v>35</v>
      </c>
      <c r="F30178">
        <v>7590244</v>
      </c>
      <c r="G30178" t="s">
        <v>5768</v>
      </c>
      <c r="H30178" s="21">
        <v>548.66999999999996</v>
      </c>
    </row>
    <row r="30179" spans="1:8" customFormat="1" x14ac:dyDescent="0.25">
      <c r="A30179" t="str">
        <f>"257074"</f>
        <v>257074</v>
      </c>
      <c r="B30179" t="s">
        <v>21986</v>
      </c>
      <c r="C30179" t="s">
        <v>2520</v>
      </c>
      <c r="D30179" s="21" t="s">
        <v>34</v>
      </c>
      <c r="E30179" s="21" t="s">
        <v>1089</v>
      </c>
      <c r="F30179">
        <v>2250229</v>
      </c>
      <c r="G30179" t="s">
        <v>5004</v>
      </c>
      <c r="H30179" s="21">
        <v>548.66999999999996</v>
      </c>
    </row>
    <row r="30180" spans="1:8" customFormat="1" x14ac:dyDescent="0.25">
      <c r="A30180" t="str">
        <f>"5973675"</f>
        <v>5973675</v>
      </c>
      <c r="B30180" t="s">
        <v>21691</v>
      </c>
      <c r="C30180" t="s">
        <v>209</v>
      </c>
      <c r="D30180" s="21" t="s">
        <v>34</v>
      </c>
      <c r="E30180" s="21" t="s">
        <v>71</v>
      </c>
      <c r="F30180">
        <v>7590352</v>
      </c>
      <c r="G30180" t="s">
        <v>9634</v>
      </c>
      <c r="H30180" s="21">
        <v>548.66999999999996</v>
      </c>
    </row>
    <row r="30181" spans="1:8" customFormat="1" x14ac:dyDescent="0.25">
      <c r="A30181" t="str">
        <f>"5619295"</f>
        <v>5619295</v>
      </c>
      <c r="B30181" t="s">
        <v>1781</v>
      </c>
      <c r="C30181" t="s">
        <v>33</v>
      </c>
      <c r="D30181" s="21" t="s">
        <v>34</v>
      </c>
      <c r="E30181" s="21" t="s">
        <v>71</v>
      </c>
      <c r="F30181">
        <v>3560013</v>
      </c>
      <c r="G30181" t="s">
        <v>7924</v>
      </c>
      <c r="H30181" s="21">
        <v>548.66999999999996</v>
      </c>
    </row>
    <row r="30182" spans="1:8" customFormat="1" x14ac:dyDescent="0.25">
      <c r="A30182" t="str">
        <f>"9531353"</f>
        <v>9531353</v>
      </c>
      <c r="B30182" t="s">
        <v>21783</v>
      </c>
      <c r="C30182" t="s">
        <v>21784</v>
      </c>
      <c r="D30182" s="21" t="s">
        <v>34</v>
      </c>
      <c r="E30182" s="21" t="s">
        <v>35</v>
      </c>
      <c r="F30182">
        <v>8951449</v>
      </c>
      <c r="G30182" t="s">
        <v>4475</v>
      </c>
      <c r="H30182" s="21">
        <v>548.54</v>
      </c>
    </row>
    <row r="30183" spans="1:8" customFormat="1" x14ac:dyDescent="0.25">
      <c r="A30183" t="str">
        <f>"461339"</f>
        <v>461339</v>
      </c>
      <c r="B30183" t="s">
        <v>4483</v>
      </c>
      <c r="C30183" t="s">
        <v>664</v>
      </c>
      <c r="D30183" s="21" t="s">
        <v>34</v>
      </c>
      <c r="E30183" s="21" t="s">
        <v>254</v>
      </c>
      <c r="F30183">
        <v>11460024</v>
      </c>
      <c r="G30183" t="s">
        <v>14804</v>
      </c>
      <c r="H30183" s="21">
        <v>548.54</v>
      </c>
    </row>
    <row r="30184" spans="1:8" customFormat="1" x14ac:dyDescent="0.25">
      <c r="A30184" t="str">
        <f>"9519810"</f>
        <v>9519810</v>
      </c>
      <c r="B30184" t="s">
        <v>7059</v>
      </c>
      <c r="C30184" t="s">
        <v>239</v>
      </c>
      <c r="D30184" s="21" t="s">
        <v>34</v>
      </c>
      <c r="E30184" s="21" t="s">
        <v>1089</v>
      </c>
      <c r="F30184">
        <v>8951451</v>
      </c>
      <c r="G30184" t="s">
        <v>3909</v>
      </c>
      <c r="H30184" s="21">
        <v>548.54</v>
      </c>
    </row>
    <row r="30185" spans="1:8" customFormat="1" x14ac:dyDescent="0.25">
      <c r="A30185" t="str">
        <f>"3339923"</f>
        <v>3339923</v>
      </c>
      <c r="B30185" t="s">
        <v>28203</v>
      </c>
      <c r="C30185" t="s">
        <v>198</v>
      </c>
      <c r="D30185" s="21" t="s">
        <v>34</v>
      </c>
      <c r="E30185" s="21" t="s">
        <v>71</v>
      </c>
      <c r="F30185">
        <v>10330032</v>
      </c>
      <c r="G30185" t="s">
        <v>4408</v>
      </c>
      <c r="H30185" s="21">
        <v>548.5</v>
      </c>
    </row>
    <row r="30186" spans="1:8" customFormat="1" x14ac:dyDescent="0.25">
      <c r="A30186" t="str">
        <f>"9B253"</f>
        <v>9B253</v>
      </c>
      <c r="B30186" t="s">
        <v>20069</v>
      </c>
      <c r="C30186" t="s">
        <v>8375</v>
      </c>
      <c r="D30186" s="21" t="s">
        <v>34</v>
      </c>
      <c r="E30186" s="21" t="s">
        <v>254</v>
      </c>
      <c r="F30186" t="s">
        <v>10239</v>
      </c>
      <c r="G30186" t="s">
        <v>10240</v>
      </c>
      <c r="H30186" s="21">
        <v>548.41999999999996</v>
      </c>
    </row>
    <row r="30187" spans="1:8" customFormat="1" x14ac:dyDescent="0.25">
      <c r="A30187" t="str">
        <f>"9316494"</f>
        <v>9316494</v>
      </c>
      <c r="B30187" t="s">
        <v>20425</v>
      </c>
      <c r="C30187" t="s">
        <v>415</v>
      </c>
      <c r="D30187" s="21" t="s">
        <v>34</v>
      </c>
      <c r="E30187" s="21" t="s">
        <v>71</v>
      </c>
      <c r="F30187">
        <v>8931057</v>
      </c>
      <c r="G30187" t="s">
        <v>1011</v>
      </c>
      <c r="H30187" s="21">
        <v>548.29</v>
      </c>
    </row>
    <row r="30188" spans="1:8" customFormat="1" x14ac:dyDescent="0.25">
      <c r="A30188" t="str">
        <f>"815252"</f>
        <v>815252</v>
      </c>
      <c r="B30188" t="s">
        <v>28204</v>
      </c>
      <c r="C30188" t="s">
        <v>288</v>
      </c>
      <c r="D30188" s="21" t="s">
        <v>34</v>
      </c>
      <c r="E30188" s="21" t="s">
        <v>35</v>
      </c>
      <c r="F30188">
        <v>11810015</v>
      </c>
      <c r="G30188" t="s">
        <v>9678</v>
      </c>
      <c r="H30188" s="21">
        <v>548.25</v>
      </c>
    </row>
    <row r="30189" spans="1:8" customFormat="1" x14ac:dyDescent="0.25">
      <c r="A30189" t="str">
        <f>"838208"</f>
        <v>838208</v>
      </c>
      <c r="B30189" t="s">
        <v>22169</v>
      </c>
      <c r="C30189" t="s">
        <v>40</v>
      </c>
      <c r="D30189" s="21" t="s">
        <v>34</v>
      </c>
      <c r="E30189" s="21" t="s">
        <v>71</v>
      </c>
      <c r="F30189">
        <v>13830022</v>
      </c>
      <c r="G30189" t="s">
        <v>633</v>
      </c>
      <c r="H30189" s="21">
        <v>548.16999999999996</v>
      </c>
    </row>
    <row r="30190" spans="1:8" customFormat="1" x14ac:dyDescent="0.25">
      <c r="A30190" t="str">
        <f>"3336424"</f>
        <v>3336424</v>
      </c>
      <c r="B30190" t="s">
        <v>21962</v>
      </c>
      <c r="C30190" t="s">
        <v>428</v>
      </c>
      <c r="D30190" s="21" t="s">
        <v>34</v>
      </c>
      <c r="E30190" s="21" t="s">
        <v>71</v>
      </c>
      <c r="F30190">
        <v>10330032</v>
      </c>
      <c r="G30190" t="s">
        <v>4408</v>
      </c>
      <c r="H30190" s="21">
        <v>548.16999999999996</v>
      </c>
    </row>
    <row r="30191" spans="1:8" customFormat="1" x14ac:dyDescent="0.25">
      <c r="A30191" t="str">
        <f>"6310604"</f>
        <v>6310604</v>
      </c>
      <c r="B30191" t="s">
        <v>21141</v>
      </c>
      <c r="C30191" t="s">
        <v>2907</v>
      </c>
      <c r="D30191" s="21" t="s">
        <v>34</v>
      </c>
      <c r="E30191" s="21" t="s">
        <v>71</v>
      </c>
      <c r="F30191">
        <v>1630298</v>
      </c>
      <c r="G30191" t="s">
        <v>7247</v>
      </c>
      <c r="H30191" s="21">
        <v>548.16999999999996</v>
      </c>
    </row>
    <row r="30192" spans="1:8" customFormat="1" x14ac:dyDescent="0.25">
      <c r="A30192" t="str">
        <f>"0811487"</f>
        <v>0811487</v>
      </c>
      <c r="B30192" t="s">
        <v>12042</v>
      </c>
      <c r="C30192" t="s">
        <v>209</v>
      </c>
      <c r="D30192" s="21" t="s">
        <v>34</v>
      </c>
      <c r="E30192" s="21" t="s">
        <v>254</v>
      </c>
      <c r="F30192">
        <v>6080015</v>
      </c>
      <c r="G30192" t="s">
        <v>15205</v>
      </c>
      <c r="H30192" s="21">
        <v>548.16999999999996</v>
      </c>
    </row>
    <row r="30193" spans="1:8" customFormat="1" x14ac:dyDescent="0.25">
      <c r="A30193" t="str">
        <f>"5980194"</f>
        <v>5980194</v>
      </c>
      <c r="B30193" t="s">
        <v>8001</v>
      </c>
      <c r="C30193" t="s">
        <v>151</v>
      </c>
      <c r="D30193" s="21" t="s">
        <v>34</v>
      </c>
      <c r="E30193" s="21" t="s">
        <v>71</v>
      </c>
      <c r="F30193">
        <v>7590223</v>
      </c>
      <c r="G30193" t="s">
        <v>5218</v>
      </c>
      <c r="H30193" s="21">
        <v>548.16999999999996</v>
      </c>
    </row>
    <row r="30194" spans="1:8" customFormat="1" x14ac:dyDescent="0.25">
      <c r="A30194" t="str">
        <f>"26612"</f>
        <v>26612</v>
      </c>
      <c r="B30194" t="s">
        <v>24143</v>
      </c>
      <c r="C30194" t="s">
        <v>1146</v>
      </c>
      <c r="D30194" s="21" t="s">
        <v>34</v>
      </c>
      <c r="E30194" s="21" t="s">
        <v>6185</v>
      </c>
      <c r="F30194">
        <v>1260006</v>
      </c>
      <c r="G30194" t="s">
        <v>790</v>
      </c>
      <c r="H30194" s="21">
        <v>548.16999999999996</v>
      </c>
    </row>
    <row r="30195" spans="1:8" customFormat="1" x14ac:dyDescent="0.25">
      <c r="A30195" t="str">
        <f>"9421657"</f>
        <v>9421657</v>
      </c>
      <c r="B30195" t="s">
        <v>22505</v>
      </c>
      <c r="C30195" t="s">
        <v>253</v>
      </c>
      <c r="D30195" s="21" t="s">
        <v>34</v>
      </c>
      <c r="E30195" s="21" t="s">
        <v>254</v>
      </c>
      <c r="F30195">
        <v>8771501</v>
      </c>
      <c r="G30195" t="s">
        <v>10128</v>
      </c>
      <c r="H30195" s="21">
        <v>548.16999999999996</v>
      </c>
    </row>
    <row r="30196" spans="1:8" customFormat="1" x14ac:dyDescent="0.25">
      <c r="A30196" t="str">
        <f>"9452927"</f>
        <v>9452927</v>
      </c>
      <c r="B30196" t="s">
        <v>20889</v>
      </c>
      <c r="C30196" t="s">
        <v>20890</v>
      </c>
      <c r="D30196" s="21" t="s">
        <v>34</v>
      </c>
      <c r="E30196" s="21" t="s">
        <v>71</v>
      </c>
      <c r="F30196">
        <v>8941352</v>
      </c>
      <c r="G30196" t="s">
        <v>3778</v>
      </c>
      <c r="H30196" s="21">
        <v>548.16999999999996</v>
      </c>
    </row>
    <row r="30197" spans="1:8" customFormat="1" x14ac:dyDescent="0.25">
      <c r="A30197" t="str">
        <f>"7641732"</f>
        <v>7641732</v>
      </c>
      <c r="B30197" t="s">
        <v>983</v>
      </c>
      <c r="C30197" t="s">
        <v>1468</v>
      </c>
      <c r="D30197" s="21" t="s">
        <v>34</v>
      </c>
      <c r="E30197" s="21" t="s">
        <v>35</v>
      </c>
      <c r="F30197">
        <v>9760448</v>
      </c>
      <c r="G30197" t="s">
        <v>11345</v>
      </c>
      <c r="H30197" s="21">
        <v>548.16999999999996</v>
      </c>
    </row>
    <row r="30198" spans="1:8" customFormat="1" x14ac:dyDescent="0.25">
      <c r="A30198" t="str">
        <f>"3344149"</f>
        <v>3344149</v>
      </c>
      <c r="B30198" t="s">
        <v>28205</v>
      </c>
      <c r="C30198" t="s">
        <v>121</v>
      </c>
      <c r="D30198" s="21" t="s">
        <v>34</v>
      </c>
      <c r="E30198" s="21" t="s">
        <v>35</v>
      </c>
      <c r="F30198">
        <v>10330084</v>
      </c>
      <c r="G30198" t="s">
        <v>1124</v>
      </c>
      <c r="H30198" s="21">
        <v>548.16999999999996</v>
      </c>
    </row>
    <row r="30199" spans="1:8" customFormat="1" x14ac:dyDescent="0.25">
      <c r="A30199" t="str">
        <f>"762509"</f>
        <v>762509</v>
      </c>
      <c r="B30199" t="s">
        <v>21064</v>
      </c>
      <c r="C30199" t="s">
        <v>87</v>
      </c>
      <c r="D30199" s="21" t="s">
        <v>34</v>
      </c>
      <c r="E30199" s="21" t="s">
        <v>35</v>
      </c>
      <c r="F30199">
        <v>9760308</v>
      </c>
      <c r="G30199" t="s">
        <v>8917</v>
      </c>
      <c r="H30199" s="21">
        <v>548.16999999999996</v>
      </c>
    </row>
    <row r="30200" spans="1:8" customFormat="1" x14ac:dyDescent="0.25">
      <c r="A30200" t="str">
        <f>"2516933"</f>
        <v>2516933</v>
      </c>
      <c r="B30200" t="s">
        <v>13769</v>
      </c>
      <c r="C30200" t="s">
        <v>209</v>
      </c>
      <c r="D30200" s="21" t="s">
        <v>34</v>
      </c>
      <c r="E30200" s="21" t="s">
        <v>71</v>
      </c>
      <c r="F30200">
        <v>2250070</v>
      </c>
      <c r="G30200" t="s">
        <v>3923</v>
      </c>
      <c r="H30200" s="21">
        <v>548.16999999999996</v>
      </c>
    </row>
    <row r="30201" spans="1:8" customFormat="1" x14ac:dyDescent="0.25">
      <c r="A30201" t="str">
        <f>"614238"</f>
        <v>614238</v>
      </c>
      <c r="B30201" t="s">
        <v>461</v>
      </c>
      <c r="C30201" t="s">
        <v>121</v>
      </c>
      <c r="D30201" s="21" t="s">
        <v>34</v>
      </c>
      <c r="E30201" s="21" t="s">
        <v>71</v>
      </c>
      <c r="F30201">
        <v>1730068</v>
      </c>
      <c r="G30201" t="s">
        <v>3375</v>
      </c>
      <c r="H30201" s="21">
        <v>548.16999999999996</v>
      </c>
    </row>
    <row r="30202" spans="1:8" customFormat="1" x14ac:dyDescent="0.25">
      <c r="A30202" t="str">
        <f>"3727303"</f>
        <v>3727303</v>
      </c>
      <c r="B30202" t="s">
        <v>28206</v>
      </c>
      <c r="C30202" t="s">
        <v>926</v>
      </c>
      <c r="D30202" s="21" t="s">
        <v>34</v>
      </c>
      <c r="E30202" s="21" t="s">
        <v>35</v>
      </c>
      <c r="F30202">
        <v>4370669</v>
      </c>
      <c r="G30202" t="s">
        <v>8189</v>
      </c>
      <c r="H30202" s="21">
        <v>548.16999999999996</v>
      </c>
    </row>
    <row r="30203" spans="1:8" customFormat="1" x14ac:dyDescent="0.25">
      <c r="A30203" t="str">
        <f>"7721586"</f>
        <v>7721586</v>
      </c>
      <c r="B30203" t="s">
        <v>20937</v>
      </c>
      <c r="C30203" t="s">
        <v>62</v>
      </c>
      <c r="D30203" s="21" t="s">
        <v>34</v>
      </c>
      <c r="E30203" s="21" t="s">
        <v>35</v>
      </c>
      <c r="F30203">
        <v>3290036</v>
      </c>
      <c r="G30203" t="s">
        <v>3903</v>
      </c>
      <c r="H30203" s="21">
        <v>548.16999999999996</v>
      </c>
    </row>
    <row r="30204" spans="1:8" customFormat="1" x14ac:dyDescent="0.25">
      <c r="A30204" t="str">
        <f>"7830522"</f>
        <v>7830522</v>
      </c>
      <c r="B30204" t="s">
        <v>21687</v>
      </c>
      <c r="C30204" t="s">
        <v>33</v>
      </c>
      <c r="D30204" s="21" t="s">
        <v>34</v>
      </c>
      <c r="E30204" s="21" t="s">
        <v>35</v>
      </c>
      <c r="F30204">
        <v>8780632</v>
      </c>
      <c r="G30204" t="s">
        <v>1571</v>
      </c>
      <c r="H30204" s="21">
        <v>548.16999999999996</v>
      </c>
    </row>
    <row r="30205" spans="1:8" customFormat="1" x14ac:dyDescent="0.25">
      <c r="A30205" t="str">
        <f>"427455"</f>
        <v>427455</v>
      </c>
      <c r="B30205" t="s">
        <v>5136</v>
      </c>
      <c r="C30205" t="s">
        <v>1812</v>
      </c>
      <c r="D30205" s="21" t="s">
        <v>34</v>
      </c>
      <c r="E30205" s="21" t="s">
        <v>254</v>
      </c>
      <c r="F30205">
        <v>1420160</v>
      </c>
      <c r="G30205" t="s">
        <v>5488</v>
      </c>
      <c r="H30205" s="21">
        <v>548.16999999999996</v>
      </c>
    </row>
    <row r="30206" spans="1:8" customFormat="1" x14ac:dyDescent="0.25">
      <c r="A30206" t="str">
        <f>"2516271"</f>
        <v>2516271</v>
      </c>
      <c r="B30206" t="s">
        <v>20731</v>
      </c>
      <c r="C30206" t="s">
        <v>486</v>
      </c>
      <c r="D30206" s="21" t="s">
        <v>34</v>
      </c>
      <c r="E30206" s="21" t="s">
        <v>35</v>
      </c>
      <c r="F30206">
        <v>2250125</v>
      </c>
      <c r="G30206" t="s">
        <v>26911</v>
      </c>
      <c r="H30206" s="21">
        <v>548.16999999999996</v>
      </c>
    </row>
    <row r="30207" spans="1:8" customFormat="1" x14ac:dyDescent="0.25">
      <c r="A30207" t="str">
        <f>"3535868"</f>
        <v>3535868</v>
      </c>
      <c r="B30207" t="s">
        <v>4654</v>
      </c>
      <c r="C30207" t="s">
        <v>169</v>
      </c>
      <c r="D30207" s="21" t="s">
        <v>34</v>
      </c>
      <c r="E30207" s="21" t="s">
        <v>35</v>
      </c>
      <c r="F30207">
        <v>3350091</v>
      </c>
      <c r="G30207" t="s">
        <v>5864</v>
      </c>
      <c r="H30207" s="21">
        <v>548</v>
      </c>
    </row>
    <row r="30208" spans="1:8" customFormat="1" x14ac:dyDescent="0.25">
      <c r="A30208" t="str">
        <f>"4219019"</f>
        <v>4219019</v>
      </c>
      <c r="B30208" t="s">
        <v>11555</v>
      </c>
      <c r="C30208" t="s">
        <v>263</v>
      </c>
      <c r="D30208" s="21" t="s">
        <v>34</v>
      </c>
      <c r="E30208" s="21" t="s">
        <v>35</v>
      </c>
      <c r="F30208">
        <v>1420151</v>
      </c>
      <c r="G30208" t="s">
        <v>6802</v>
      </c>
      <c r="H30208" s="21">
        <v>548</v>
      </c>
    </row>
    <row r="30209" spans="1:8" customFormat="1" x14ac:dyDescent="0.25">
      <c r="A30209" t="str">
        <f>"2936204"</f>
        <v>2936204</v>
      </c>
      <c r="B30209" t="s">
        <v>1258</v>
      </c>
      <c r="C30209" t="s">
        <v>2208</v>
      </c>
      <c r="D30209" s="21" t="s">
        <v>34</v>
      </c>
      <c r="E30209" s="21" t="s">
        <v>35</v>
      </c>
      <c r="F30209">
        <v>3290278</v>
      </c>
      <c r="G30209" t="s">
        <v>3649</v>
      </c>
      <c r="H30209" s="21">
        <v>548</v>
      </c>
    </row>
    <row r="30210" spans="1:8" customFormat="1" x14ac:dyDescent="0.25">
      <c r="A30210" t="str">
        <f>"4451300"</f>
        <v>4451300</v>
      </c>
      <c r="B30210" t="s">
        <v>22308</v>
      </c>
      <c r="C30210" t="s">
        <v>139</v>
      </c>
      <c r="D30210" s="21" t="s">
        <v>34</v>
      </c>
      <c r="E30210" s="21" t="s">
        <v>71</v>
      </c>
      <c r="F30210">
        <v>12440139</v>
      </c>
      <c r="G30210" t="s">
        <v>2655</v>
      </c>
      <c r="H30210" s="21">
        <v>547.91999999999996</v>
      </c>
    </row>
    <row r="30211" spans="1:8" customFormat="1" x14ac:dyDescent="0.25">
      <c r="A30211" t="str">
        <f>"1426209"</f>
        <v>1426209</v>
      </c>
      <c r="B30211" t="s">
        <v>28207</v>
      </c>
      <c r="C30211" t="s">
        <v>43</v>
      </c>
      <c r="D30211" s="21" t="s">
        <v>34</v>
      </c>
      <c r="E30211" s="21" t="s">
        <v>35</v>
      </c>
      <c r="F30211">
        <v>9140023</v>
      </c>
      <c r="G30211" t="s">
        <v>2318</v>
      </c>
      <c r="H30211" s="21">
        <v>547.91999999999996</v>
      </c>
    </row>
    <row r="30212" spans="1:8" customFormat="1" x14ac:dyDescent="0.25">
      <c r="A30212" t="str">
        <f>"814565"</f>
        <v>814565</v>
      </c>
      <c r="B30212" t="s">
        <v>22047</v>
      </c>
      <c r="C30212" t="s">
        <v>275</v>
      </c>
      <c r="D30212" s="21" t="s">
        <v>34</v>
      </c>
      <c r="E30212" s="21" t="s">
        <v>35</v>
      </c>
      <c r="F30212">
        <v>11810001</v>
      </c>
      <c r="G30212" t="s">
        <v>26998</v>
      </c>
      <c r="H30212" s="21">
        <v>547.91999999999996</v>
      </c>
    </row>
    <row r="30213" spans="1:8" customFormat="1" x14ac:dyDescent="0.25">
      <c r="A30213" t="str">
        <f>"3522606"</f>
        <v>3522606</v>
      </c>
      <c r="B30213" t="s">
        <v>7621</v>
      </c>
      <c r="C30213" t="s">
        <v>209</v>
      </c>
      <c r="D30213" s="21" t="s">
        <v>34</v>
      </c>
      <c r="E30213" s="21" t="s">
        <v>71</v>
      </c>
      <c r="F30213">
        <v>3350011</v>
      </c>
      <c r="G30213" t="s">
        <v>2404</v>
      </c>
      <c r="H30213" s="21">
        <v>547.79</v>
      </c>
    </row>
    <row r="30214" spans="1:8" customFormat="1" x14ac:dyDescent="0.25">
      <c r="A30214" t="str">
        <f>"4455326"</f>
        <v>4455326</v>
      </c>
      <c r="B30214" t="s">
        <v>10649</v>
      </c>
      <c r="C30214" t="s">
        <v>269</v>
      </c>
      <c r="D30214" s="21" t="s">
        <v>34</v>
      </c>
      <c r="E30214" s="21" t="s">
        <v>71</v>
      </c>
      <c r="F30214">
        <v>12440034</v>
      </c>
      <c r="G30214" t="s">
        <v>10586</v>
      </c>
      <c r="H30214" s="21">
        <v>547.75</v>
      </c>
    </row>
    <row r="30215" spans="1:8" customFormat="1" x14ac:dyDescent="0.25">
      <c r="A30215" t="str">
        <f>"6316147"</f>
        <v>6316147</v>
      </c>
      <c r="B30215" t="s">
        <v>19760</v>
      </c>
      <c r="C30215" t="s">
        <v>49</v>
      </c>
      <c r="D30215" s="21" t="s">
        <v>34</v>
      </c>
      <c r="E30215" s="21" t="s">
        <v>35</v>
      </c>
      <c r="F30215">
        <v>1630123</v>
      </c>
      <c r="G30215" t="s">
        <v>1036</v>
      </c>
      <c r="H30215" s="21">
        <v>547.66999999999996</v>
      </c>
    </row>
    <row r="30216" spans="1:8" customFormat="1" x14ac:dyDescent="0.25">
      <c r="A30216" t="str">
        <f>"685088"</f>
        <v>685088</v>
      </c>
      <c r="B30216" t="s">
        <v>21151</v>
      </c>
      <c r="C30216" t="s">
        <v>1142</v>
      </c>
      <c r="D30216" s="21" t="s">
        <v>34</v>
      </c>
      <c r="E30216" s="21" t="s">
        <v>254</v>
      </c>
      <c r="F30216">
        <v>6680091</v>
      </c>
      <c r="G30216" t="s">
        <v>693</v>
      </c>
      <c r="H30216" s="21">
        <v>547.66999999999996</v>
      </c>
    </row>
    <row r="30217" spans="1:8" customFormat="1" x14ac:dyDescent="0.25">
      <c r="A30217" t="str">
        <f>"1612845"</f>
        <v>1612845</v>
      </c>
      <c r="B30217" t="s">
        <v>21763</v>
      </c>
      <c r="C30217" t="s">
        <v>879</v>
      </c>
      <c r="D30217" s="21" t="s">
        <v>34</v>
      </c>
      <c r="E30217" s="21" t="s">
        <v>71</v>
      </c>
      <c r="F30217">
        <v>10160010</v>
      </c>
      <c r="G30217" t="s">
        <v>5491</v>
      </c>
      <c r="H30217" s="21">
        <v>547.66999999999996</v>
      </c>
    </row>
    <row r="30218" spans="1:8" customFormat="1" x14ac:dyDescent="0.25">
      <c r="A30218" t="str">
        <f>"4424857"</f>
        <v>4424857</v>
      </c>
      <c r="B30218" t="s">
        <v>21593</v>
      </c>
      <c r="C30218" t="s">
        <v>169</v>
      </c>
      <c r="D30218" s="21" t="s">
        <v>34</v>
      </c>
      <c r="E30218" s="21" t="s">
        <v>71</v>
      </c>
      <c r="F30218">
        <v>12440125</v>
      </c>
      <c r="G30218" t="s">
        <v>8347</v>
      </c>
      <c r="H30218" s="21">
        <v>547.66999999999996</v>
      </c>
    </row>
    <row r="30219" spans="1:8" customFormat="1" x14ac:dyDescent="0.25">
      <c r="A30219" t="str">
        <f>"848621"</f>
        <v>848621</v>
      </c>
      <c r="B30219" t="s">
        <v>16510</v>
      </c>
      <c r="C30219" t="s">
        <v>127</v>
      </c>
      <c r="D30219" s="21" t="s">
        <v>34</v>
      </c>
      <c r="E30219" s="21" t="s">
        <v>35</v>
      </c>
      <c r="F30219">
        <v>13840013</v>
      </c>
      <c r="G30219" t="s">
        <v>7323</v>
      </c>
      <c r="H30219" s="21">
        <v>547.66999999999996</v>
      </c>
    </row>
    <row r="30220" spans="1:8" customFormat="1" x14ac:dyDescent="0.25">
      <c r="A30220" t="str">
        <f>"666603"</f>
        <v>666603</v>
      </c>
      <c r="B30220" t="s">
        <v>21567</v>
      </c>
      <c r="C30220" t="s">
        <v>507</v>
      </c>
      <c r="D30220" s="21" t="s">
        <v>34</v>
      </c>
      <c r="E30220" s="21" t="s">
        <v>35</v>
      </c>
      <c r="F30220">
        <v>11660001</v>
      </c>
      <c r="G30220" t="s">
        <v>8203</v>
      </c>
      <c r="H30220" s="21">
        <v>547.66999999999996</v>
      </c>
    </row>
    <row r="30221" spans="1:8" customFormat="1" x14ac:dyDescent="0.25">
      <c r="A30221" t="str">
        <f>"5619603"</f>
        <v>5619603</v>
      </c>
      <c r="B30221" t="s">
        <v>20059</v>
      </c>
      <c r="C30221" t="s">
        <v>328</v>
      </c>
      <c r="D30221" s="21" t="s">
        <v>34</v>
      </c>
      <c r="E30221" s="21" t="s">
        <v>35</v>
      </c>
      <c r="F30221">
        <v>3560036</v>
      </c>
      <c r="G30221" t="s">
        <v>910</v>
      </c>
      <c r="H30221" s="21">
        <v>547.66999999999996</v>
      </c>
    </row>
    <row r="30222" spans="1:8" customFormat="1" x14ac:dyDescent="0.25">
      <c r="A30222" t="str">
        <f>"4456096"</f>
        <v>4456096</v>
      </c>
      <c r="B30222" t="s">
        <v>22174</v>
      </c>
      <c r="C30222" t="s">
        <v>1146</v>
      </c>
      <c r="D30222" s="21" t="s">
        <v>34</v>
      </c>
      <c r="E30222" s="21" t="s">
        <v>71</v>
      </c>
      <c r="F30222">
        <v>12440081</v>
      </c>
      <c r="G30222" t="s">
        <v>617</v>
      </c>
      <c r="H30222" s="21">
        <v>547.66999999999996</v>
      </c>
    </row>
    <row r="30223" spans="1:8" customFormat="1" x14ac:dyDescent="0.25">
      <c r="A30223" t="str">
        <f>"0619269"</f>
        <v>0619269</v>
      </c>
      <c r="B30223" t="s">
        <v>5819</v>
      </c>
      <c r="C30223" t="s">
        <v>169</v>
      </c>
      <c r="D30223" s="21" t="s">
        <v>34</v>
      </c>
      <c r="E30223" s="21" t="s">
        <v>35</v>
      </c>
      <c r="F30223">
        <v>13060114</v>
      </c>
      <c r="G30223" t="s">
        <v>4501</v>
      </c>
      <c r="H30223" s="21">
        <v>547.66999999999996</v>
      </c>
    </row>
    <row r="30224" spans="1:8" customFormat="1" x14ac:dyDescent="0.25">
      <c r="A30224" t="str">
        <f>"638784"</f>
        <v>638784</v>
      </c>
      <c r="B30224" t="s">
        <v>6758</v>
      </c>
      <c r="C30224" t="s">
        <v>239</v>
      </c>
      <c r="D30224" s="21" t="s">
        <v>34</v>
      </c>
      <c r="E30224" s="21" t="s">
        <v>71</v>
      </c>
      <c r="F30224">
        <v>1630191</v>
      </c>
      <c r="G30224" t="s">
        <v>11303</v>
      </c>
      <c r="H30224" s="21">
        <v>547.66999999999996</v>
      </c>
    </row>
    <row r="30225" spans="1:8" customFormat="1" x14ac:dyDescent="0.25">
      <c r="A30225" t="str">
        <f>"368068"</f>
        <v>368068</v>
      </c>
      <c r="B30225" t="s">
        <v>13646</v>
      </c>
      <c r="C30225" t="s">
        <v>65</v>
      </c>
      <c r="D30225" s="21" t="s">
        <v>34</v>
      </c>
      <c r="E30225" s="21" t="s">
        <v>35</v>
      </c>
      <c r="F30225">
        <v>4360315</v>
      </c>
      <c r="G30225" t="s">
        <v>6888</v>
      </c>
      <c r="H30225" s="21">
        <v>547.66999999999996</v>
      </c>
    </row>
    <row r="30226" spans="1:8" customFormat="1" x14ac:dyDescent="0.25">
      <c r="A30226" t="str">
        <f>"7221819"</f>
        <v>7221819</v>
      </c>
      <c r="B30226" t="s">
        <v>4118</v>
      </c>
      <c r="C30226" t="s">
        <v>37</v>
      </c>
      <c r="D30226" s="21" t="s">
        <v>34</v>
      </c>
      <c r="E30226" s="21" t="s">
        <v>35</v>
      </c>
      <c r="F30226">
        <v>12720078</v>
      </c>
      <c r="G30226" t="s">
        <v>5085</v>
      </c>
      <c r="H30226" s="21">
        <v>547.66999999999996</v>
      </c>
    </row>
    <row r="30227" spans="1:8" customFormat="1" x14ac:dyDescent="0.25">
      <c r="A30227" t="str">
        <f>"6911412"</f>
        <v>6911412</v>
      </c>
      <c r="B30227" t="s">
        <v>20017</v>
      </c>
      <c r="C30227" t="s">
        <v>1841</v>
      </c>
      <c r="D30227" s="21" t="s">
        <v>34</v>
      </c>
      <c r="E30227" s="21" t="s">
        <v>1089</v>
      </c>
      <c r="F30227">
        <v>1690154</v>
      </c>
      <c r="G30227" t="s">
        <v>4573</v>
      </c>
      <c r="H30227" s="21">
        <v>547.66999999999996</v>
      </c>
    </row>
    <row r="30228" spans="1:8" customFormat="1" x14ac:dyDescent="0.25">
      <c r="A30228" t="str">
        <f>"2719597"</f>
        <v>2719597</v>
      </c>
      <c r="B30228" t="s">
        <v>641</v>
      </c>
      <c r="C30228" t="s">
        <v>96</v>
      </c>
      <c r="D30228" s="21" t="s">
        <v>34</v>
      </c>
      <c r="E30228" s="21" t="s">
        <v>35</v>
      </c>
      <c r="F30228">
        <v>9270013</v>
      </c>
      <c r="G30228" t="s">
        <v>26924</v>
      </c>
      <c r="H30228" s="21">
        <v>547.66999999999996</v>
      </c>
    </row>
    <row r="30229" spans="1:8" customFormat="1" x14ac:dyDescent="0.25">
      <c r="A30229" t="str">
        <f>"4424576"</f>
        <v>4424576</v>
      </c>
      <c r="B30229" t="s">
        <v>2189</v>
      </c>
      <c r="C30229" t="s">
        <v>263</v>
      </c>
      <c r="D30229" s="21" t="s">
        <v>34</v>
      </c>
      <c r="E30229" s="21" t="s">
        <v>71</v>
      </c>
      <c r="F30229">
        <v>12440039</v>
      </c>
      <c r="G30229" t="s">
        <v>9650</v>
      </c>
      <c r="H30229" s="21">
        <v>547.66999999999996</v>
      </c>
    </row>
    <row r="30230" spans="1:8" customFormat="1" x14ac:dyDescent="0.25">
      <c r="A30230" t="str">
        <f>"6311169"</f>
        <v>6311169</v>
      </c>
      <c r="B30230" t="s">
        <v>4828</v>
      </c>
      <c r="C30230" t="s">
        <v>209</v>
      </c>
      <c r="D30230" s="21" t="s">
        <v>34</v>
      </c>
      <c r="E30230" s="21" t="s">
        <v>71</v>
      </c>
      <c r="F30230">
        <v>1630301</v>
      </c>
      <c r="G30230" t="s">
        <v>7897</v>
      </c>
      <c r="H30230" s="21">
        <v>547.66999999999996</v>
      </c>
    </row>
    <row r="30231" spans="1:8" customFormat="1" x14ac:dyDescent="0.25">
      <c r="A30231" t="str">
        <f>"6019707"</f>
        <v>6019707</v>
      </c>
      <c r="B30231" t="s">
        <v>15396</v>
      </c>
      <c r="C30231" t="s">
        <v>55</v>
      </c>
      <c r="D30231" s="21" t="s">
        <v>34</v>
      </c>
      <c r="E30231" s="21" t="s">
        <v>71</v>
      </c>
      <c r="F30231">
        <v>7600031</v>
      </c>
      <c r="G30231" t="s">
        <v>3283</v>
      </c>
      <c r="H30231" s="21">
        <v>547.66999999999996</v>
      </c>
    </row>
    <row r="30232" spans="1:8" customFormat="1" x14ac:dyDescent="0.25">
      <c r="A30232" t="str">
        <f>"1312545"</f>
        <v>1312545</v>
      </c>
      <c r="B30232" t="s">
        <v>18138</v>
      </c>
      <c r="C30232" t="s">
        <v>1299</v>
      </c>
      <c r="D30232" s="21" t="s">
        <v>34</v>
      </c>
      <c r="E30232" s="21" t="s">
        <v>71</v>
      </c>
      <c r="F30232">
        <v>13130139</v>
      </c>
      <c r="G30232" t="s">
        <v>11785</v>
      </c>
      <c r="H30232" s="21">
        <v>547.66999999999996</v>
      </c>
    </row>
    <row r="30233" spans="1:8" customFormat="1" x14ac:dyDescent="0.25">
      <c r="A30233" t="str">
        <f>"3830158"</f>
        <v>3830158</v>
      </c>
      <c r="B30233" t="s">
        <v>28208</v>
      </c>
      <c r="C30233" t="s">
        <v>109</v>
      </c>
      <c r="D30233" s="21" t="s">
        <v>34</v>
      </c>
      <c r="E30233" s="21" t="s">
        <v>71</v>
      </c>
      <c r="F30233">
        <v>1380293</v>
      </c>
      <c r="G30233" t="s">
        <v>2103</v>
      </c>
      <c r="H30233" s="21">
        <v>547.62</v>
      </c>
    </row>
    <row r="30234" spans="1:8" customFormat="1" x14ac:dyDescent="0.25">
      <c r="A30234" t="str">
        <f>"9518561"</f>
        <v>9518561</v>
      </c>
      <c r="B30234" t="s">
        <v>5064</v>
      </c>
      <c r="C30234" t="s">
        <v>239</v>
      </c>
      <c r="D30234" s="21" t="s">
        <v>34</v>
      </c>
      <c r="E30234" s="21" t="s">
        <v>254</v>
      </c>
      <c r="F30234">
        <v>8951386</v>
      </c>
      <c r="G30234" t="s">
        <v>7765</v>
      </c>
      <c r="H30234" s="21">
        <v>547.54</v>
      </c>
    </row>
    <row r="30235" spans="1:8" customFormat="1" x14ac:dyDescent="0.25">
      <c r="A30235" t="str">
        <f>"6023363"</f>
        <v>6023363</v>
      </c>
      <c r="B30235" t="s">
        <v>21908</v>
      </c>
      <c r="C30235" t="s">
        <v>149</v>
      </c>
      <c r="D30235" s="21" t="s">
        <v>34</v>
      </c>
      <c r="E30235" s="21" t="s">
        <v>35</v>
      </c>
      <c r="F30235">
        <v>7600171</v>
      </c>
      <c r="G30235" t="s">
        <v>4705</v>
      </c>
      <c r="H30235" s="21">
        <v>547.54</v>
      </c>
    </row>
    <row r="30236" spans="1:8" customFormat="1" x14ac:dyDescent="0.25">
      <c r="A30236" t="str">
        <f>"224498"</f>
        <v>224498</v>
      </c>
      <c r="B30236" t="s">
        <v>6418</v>
      </c>
      <c r="C30236" t="s">
        <v>239</v>
      </c>
      <c r="D30236" s="21" t="s">
        <v>34</v>
      </c>
      <c r="E30236" s="21" t="s">
        <v>71</v>
      </c>
      <c r="F30236">
        <v>3220022</v>
      </c>
      <c r="G30236" t="s">
        <v>27551</v>
      </c>
      <c r="H30236" s="21">
        <v>547.5</v>
      </c>
    </row>
    <row r="30237" spans="1:8" customFormat="1" x14ac:dyDescent="0.25">
      <c r="A30237" t="str">
        <f>"4444013"</f>
        <v>4444013</v>
      </c>
      <c r="B30237" t="s">
        <v>21790</v>
      </c>
      <c r="C30237" t="s">
        <v>198</v>
      </c>
      <c r="D30237" s="21" t="s">
        <v>34</v>
      </c>
      <c r="E30237" s="21" t="s">
        <v>71</v>
      </c>
      <c r="F30237">
        <v>12440258</v>
      </c>
      <c r="G30237" t="s">
        <v>17845</v>
      </c>
      <c r="H30237" s="21">
        <v>547.41999999999996</v>
      </c>
    </row>
    <row r="30238" spans="1:8" customFormat="1" x14ac:dyDescent="0.25">
      <c r="A30238" t="str">
        <f>"346383"</f>
        <v>346383</v>
      </c>
      <c r="B30238" t="s">
        <v>20626</v>
      </c>
      <c r="C30238" t="s">
        <v>412</v>
      </c>
      <c r="D30238" s="21" t="s">
        <v>34</v>
      </c>
      <c r="E30238" s="21" t="s">
        <v>6185</v>
      </c>
      <c r="F30238">
        <v>11340007</v>
      </c>
      <c r="G30238" t="s">
        <v>2278</v>
      </c>
      <c r="H30238" s="21">
        <v>547.41999999999996</v>
      </c>
    </row>
    <row r="30239" spans="1:8" customFormat="1" x14ac:dyDescent="0.25">
      <c r="A30239" t="str">
        <f>"7730915"</f>
        <v>7730915</v>
      </c>
      <c r="B30239" t="s">
        <v>1333</v>
      </c>
      <c r="C30239" t="s">
        <v>121</v>
      </c>
      <c r="D30239" s="21" t="s">
        <v>34</v>
      </c>
      <c r="E30239" s="21" t="s">
        <v>35</v>
      </c>
      <c r="F30239">
        <v>8771170</v>
      </c>
      <c r="G30239" t="s">
        <v>50</v>
      </c>
      <c r="H30239" s="21">
        <v>547.41999999999996</v>
      </c>
    </row>
    <row r="30240" spans="1:8" customFormat="1" x14ac:dyDescent="0.25">
      <c r="A30240" t="str">
        <f>"4442102"</f>
        <v>4442102</v>
      </c>
      <c r="B30240" t="s">
        <v>4024</v>
      </c>
      <c r="C30240" t="s">
        <v>87</v>
      </c>
      <c r="D30240" s="21" t="s">
        <v>34</v>
      </c>
      <c r="E30240" s="21" t="s">
        <v>35</v>
      </c>
      <c r="F30240">
        <v>12440009</v>
      </c>
      <c r="G30240" t="s">
        <v>1983</v>
      </c>
      <c r="H30240" s="21">
        <v>547.41999999999996</v>
      </c>
    </row>
    <row r="30241" spans="1:8" customFormat="1" x14ac:dyDescent="0.25">
      <c r="A30241" t="str">
        <f>"619914"</f>
        <v>619914</v>
      </c>
      <c r="B30241" t="s">
        <v>10241</v>
      </c>
      <c r="C30241" t="s">
        <v>267</v>
      </c>
      <c r="D30241" s="21" t="s">
        <v>34</v>
      </c>
      <c r="E30241" s="21" t="s">
        <v>71</v>
      </c>
      <c r="F30241">
        <v>9610142</v>
      </c>
      <c r="G30241" t="s">
        <v>8211</v>
      </c>
      <c r="H30241" s="21">
        <v>547.25</v>
      </c>
    </row>
    <row r="30242" spans="1:8" customFormat="1" x14ac:dyDescent="0.25">
      <c r="A30242" t="str">
        <f>"0619341"</f>
        <v>0619341</v>
      </c>
      <c r="B30242" t="s">
        <v>28209</v>
      </c>
      <c r="C30242" t="s">
        <v>43</v>
      </c>
      <c r="D30242" s="21" t="s">
        <v>34</v>
      </c>
      <c r="E30242" s="21" t="s">
        <v>35</v>
      </c>
      <c r="F30242">
        <v>13060043</v>
      </c>
      <c r="G30242" t="s">
        <v>4761</v>
      </c>
      <c r="H30242" s="21">
        <v>547.16999999999996</v>
      </c>
    </row>
    <row r="30243" spans="1:8" customFormat="1" x14ac:dyDescent="0.25">
      <c r="A30243" t="str">
        <f>"5980713"</f>
        <v>5980713</v>
      </c>
      <c r="B30243" t="s">
        <v>12390</v>
      </c>
      <c r="C30243" t="s">
        <v>1025</v>
      </c>
      <c r="D30243" s="21" t="s">
        <v>34</v>
      </c>
      <c r="E30243" s="21" t="s">
        <v>71</v>
      </c>
      <c r="F30243">
        <v>7590404</v>
      </c>
      <c r="G30243" t="s">
        <v>12173</v>
      </c>
      <c r="H30243" s="21">
        <v>547.16999999999996</v>
      </c>
    </row>
    <row r="30244" spans="1:8" customFormat="1" x14ac:dyDescent="0.25">
      <c r="A30244" t="str">
        <f>"2938612"</f>
        <v>2938612</v>
      </c>
      <c r="B30244" t="s">
        <v>10802</v>
      </c>
      <c r="C30244" t="s">
        <v>2322</v>
      </c>
      <c r="D30244" s="21" t="s">
        <v>34</v>
      </c>
      <c r="E30244" s="21" t="s">
        <v>35</v>
      </c>
      <c r="F30244">
        <v>3290044</v>
      </c>
      <c r="G30244" t="s">
        <v>3897</v>
      </c>
      <c r="H30244" s="21">
        <v>547.16999999999996</v>
      </c>
    </row>
    <row r="30245" spans="1:8" customFormat="1" x14ac:dyDescent="0.25">
      <c r="A30245" t="str">
        <f>"801648"</f>
        <v>801648</v>
      </c>
      <c r="B30245" t="s">
        <v>15255</v>
      </c>
      <c r="C30245" t="s">
        <v>2276</v>
      </c>
      <c r="D30245" s="21" t="s">
        <v>34</v>
      </c>
      <c r="E30245" s="21" t="s">
        <v>254</v>
      </c>
      <c r="F30245">
        <v>7800088</v>
      </c>
      <c r="G30245" t="s">
        <v>1899</v>
      </c>
      <c r="H30245" s="21">
        <v>547.16999999999996</v>
      </c>
    </row>
    <row r="30246" spans="1:8" customFormat="1" x14ac:dyDescent="0.25">
      <c r="A30246" t="str">
        <f>"5929387"</f>
        <v>5929387</v>
      </c>
      <c r="B30246" t="s">
        <v>20473</v>
      </c>
      <c r="C30246" t="s">
        <v>267</v>
      </c>
      <c r="D30246" s="21" t="s">
        <v>34</v>
      </c>
      <c r="E30246" s="21" t="s">
        <v>254</v>
      </c>
      <c r="F30246">
        <v>7590082</v>
      </c>
      <c r="G30246" t="s">
        <v>10063</v>
      </c>
      <c r="H30246" s="21">
        <v>547.16999999999996</v>
      </c>
    </row>
    <row r="30247" spans="1:8" customFormat="1" x14ac:dyDescent="0.25">
      <c r="A30247" t="str">
        <f>"8817619"</f>
        <v>8817619</v>
      </c>
      <c r="B30247" t="s">
        <v>24270</v>
      </c>
      <c r="C30247" t="s">
        <v>62</v>
      </c>
      <c r="D30247" s="21" t="s">
        <v>34</v>
      </c>
      <c r="E30247" s="21" t="s">
        <v>35</v>
      </c>
      <c r="F30247">
        <v>6880050</v>
      </c>
      <c r="G30247" t="s">
        <v>9344</v>
      </c>
      <c r="H30247" s="21">
        <v>547.16999999999996</v>
      </c>
    </row>
    <row r="30248" spans="1:8" customFormat="1" x14ac:dyDescent="0.25">
      <c r="A30248" t="str">
        <f>"7874577"</f>
        <v>7874577</v>
      </c>
      <c r="B30248" t="s">
        <v>4959</v>
      </c>
      <c r="C30248" t="s">
        <v>631</v>
      </c>
      <c r="D30248" s="21" t="s">
        <v>34</v>
      </c>
      <c r="E30248" s="21" t="s">
        <v>71</v>
      </c>
      <c r="F30248">
        <v>8781006</v>
      </c>
      <c r="G30248" t="s">
        <v>5376</v>
      </c>
      <c r="H30248" s="21">
        <v>547.16999999999996</v>
      </c>
    </row>
    <row r="30249" spans="1:8" customFormat="1" x14ac:dyDescent="0.25">
      <c r="A30249" t="str">
        <f>"3711812"</f>
        <v>3711812</v>
      </c>
      <c r="B30249" t="s">
        <v>21249</v>
      </c>
      <c r="C30249" t="s">
        <v>328</v>
      </c>
      <c r="D30249" s="21" t="s">
        <v>34</v>
      </c>
      <c r="E30249" s="21" t="s">
        <v>71</v>
      </c>
      <c r="F30249">
        <v>4370465</v>
      </c>
      <c r="G30249" t="s">
        <v>26922</v>
      </c>
      <c r="H30249" s="21">
        <v>547.16999999999996</v>
      </c>
    </row>
    <row r="30250" spans="1:8" customFormat="1" x14ac:dyDescent="0.25">
      <c r="A30250" t="str">
        <f>"618923"</f>
        <v>618923</v>
      </c>
      <c r="B30250" t="s">
        <v>15809</v>
      </c>
      <c r="C30250" t="s">
        <v>598</v>
      </c>
      <c r="D30250" s="21" t="s">
        <v>34</v>
      </c>
      <c r="E30250" s="21" t="s">
        <v>71</v>
      </c>
      <c r="F30250">
        <v>9610073</v>
      </c>
      <c r="G30250" t="s">
        <v>8382</v>
      </c>
      <c r="H30250" s="21">
        <v>547.16999999999996</v>
      </c>
    </row>
    <row r="30251" spans="1:8" customFormat="1" x14ac:dyDescent="0.25">
      <c r="A30251" t="str">
        <f>"4436055"</f>
        <v>4436055</v>
      </c>
      <c r="B30251" t="s">
        <v>21310</v>
      </c>
      <c r="C30251" t="s">
        <v>412</v>
      </c>
      <c r="D30251" s="21" t="s">
        <v>34</v>
      </c>
      <c r="E30251" s="21" t="s">
        <v>71</v>
      </c>
      <c r="F30251">
        <v>12440074</v>
      </c>
      <c r="G30251" t="s">
        <v>2436</v>
      </c>
      <c r="H30251" s="21">
        <v>547.16999999999996</v>
      </c>
    </row>
    <row r="30252" spans="1:8" customFormat="1" x14ac:dyDescent="0.25">
      <c r="A30252" t="str">
        <f>"316934"</f>
        <v>316934</v>
      </c>
      <c r="B30252" t="s">
        <v>13016</v>
      </c>
      <c r="C30252" t="s">
        <v>621</v>
      </c>
      <c r="D30252" s="21" t="s">
        <v>34</v>
      </c>
      <c r="E30252" s="21" t="s">
        <v>35</v>
      </c>
      <c r="F30252">
        <v>11310011</v>
      </c>
      <c r="G30252" t="s">
        <v>26586</v>
      </c>
      <c r="H30252" s="21">
        <v>547.16999999999996</v>
      </c>
    </row>
    <row r="30253" spans="1:8" customFormat="1" x14ac:dyDescent="0.25">
      <c r="A30253" t="str">
        <f>"5621988"</f>
        <v>5621988</v>
      </c>
      <c r="B30253" t="s">
        <v>3322</v>
      </c>
      <c r="C30253" t="s">
        <v>209</v>
      </c>
      <c r="D30253" s="21" t="s">
        <v>34</v>
      </c>
      <c r="E30253" s="21" t="s">
        <v>35</v>
      </c>
      <c r="F30253">
        <v>3560033</v>
      </c>
      <c r="G30253" t="s">
        <v>4927</v>
      </c>
      <c r="H30253" s="21">
        <v>547.16999999999996</v>
      </c>
    </row>
    <row r="30254" spans="1:8" customFormat="1" x14ac:dyDescent="0.25">
      <c r="A30254" t="str">
        <f>"461669"</f>
        <v>461669</v>
      </c>
      <c r="B30254" t="s">
        <v>21089</v>
      </c>
      <c r="C30254" t="s">
        <v>249</v>
      </c>
      <c r="D30254" s="21" t="s">
        <v>34</v>
      </c>
      <c r="E30254" s="21" t="s">
        <v>71</v>
      </c>
      <c r="F30254">
        <v>11460029</v>
      </c>
      <c r="G30254" t="s">
        <v>10606</v>
      </c>
      <c r="H30254" s="21">
        <v>547.16999999999996</v>
      </c>
    </row>
    <row r="30255" spans="1:8" customFormat="1" x14ac:dyDescent="0.25">
      <c r="A30255" t="str">
        <f>"2938673"</f>
        <v>2938673</v>
      </c>
      <c r="B30255" t="s">
        <v>10227</v>
      </c>
      <c r="C30255" t="s">
        <v>209</v>
      </c>
      <c r="D30255" s="21" t="s">
        <v>34</v>
      </c>
      <c r="E30255" s="21" t="s">
        <v>35</v>
      </c>
      <c r="F30255">
        <v>3290047</v>
      </c>
      <c r="G30255" t="s">
        <v>2874</v>
      </c>
      <c r="H30255" s="21">
        <v>547.16999999999996</v>
      </c>
    </row>
    <row r="30256" spans="1:8" customFormat="1" x14ac:dyDescent="0.25">
      <c r="A30256" t="str">
        <f>"5726000"</f>
        <v>5726000</v>
      </c>
      <c r="B30256" t="s">
        <v>22509</v>
      </c>
      <c r="C30256" t="s">
        <v>7181</v>
      </c>
      <c r="D30256" s="21" t="s">
        <v>34</v>
      </c>
      <c r="E30256" s="21" t="s">
        <v>71</v>
      </c>
      <c r="F30256">
        <v>6570132</v>
      </c>
      <c r="G30256" t="s">
        <v>26746</v>
      </c>
      <c r="H30256" s="21">
        <v>547.16999999999996</v>
      </c>
    </row>
    <row r="30257" spans="1:8" customFormat="1" x14ac:dyDescent="0.25">
      <c r="A30257" t="str">
        <f>"5717966"</f>
        <v>5717966</v>
      </c>
      <c r="B30257" t="s">
        <v>20606</v>
      </c>
      <c r="C30257" t="s">
        <v>253</v>
      </c>
      <c r="D30257" s="21" t="s">
        <v>34</v>
      </c>
      <c r="E30257" s="21" t="s">
        <v>1089</v>
      </c>
      <c r="F30257">
        <v>6570070</v>
      </c>
      <c r="G30257" t="s">
        <v>1765</v>
      </c>
      <c r="H30257" s="21">
        <v>547.16999999999996</v>
      </c>
    </row>
    <row r="30258" spans="1:8" customFormat="1" x14ac:dyDescent="0.25">
      <c r="A30258" t="str">
        <f>"114041"</f>
        <v>114041</v>
      </c>
      <c r="B30258" t="s">
        <v>54</v>
      </c>
      <c r="C30258" t="s">
        <v>239</v>
      </c>
      <c r="D30258" s="21" t="s">
        <v>34</v>
      </c>
      <c r="E30258" s="21" t="s">
        <v>254</v>
      </c>
      <c r="F30258">
        <v>11110028</v>
      </c>
      <c r="G30258" t="s">
        <v>10634</v>
      </c>
      <c r="H30258" s="21">
        <v>547</v>
      </c>
    </row>
    <row r="30259" spans="1:8" customFormat="1" x14ac:dyDescent="0.25">
      <c r="A30259" t="str">
        <f>"2714921"</f>
        <v>2714921</v>
      </c>
      <c r="B30259" t="s">
        <v>22354</v>
      </c>
      <c r="C30259" t="s">
        <v>415</v>
      </c>
      <c r="D30259" s="21" t="s">
        <v>34</v>
      </c>
      <c r="E30259" s="21" t="s">
        <v>254</v>
      </c>
      <c r="F30259">
        <v>9270177</v>
      </c>
      <c r="G30259" t="s">
        <v>10384</v>
      </c>
      <c r="H30259" s="21">
        <v>546.91999999999996</v>
      </c>
    </row>
    <row r="30260" spans="1:8" customFormat="1" x14ac:dyDescent="0.25">
      <c r="A30260" t="str">
        <f>"8315916"</f>
        <v>8315916</v>
      </c>
      <c r="B30260" t="s">
        <v>21253</v>
      </c>
      <c r="C30260" t="s">
        <v>1786</v>
      </c>
      <c r="D30260" s="21" t="s">
        <v>34</v>
      </c>
      <c r="E30260" s="21" t="s">
        <v>35</v>
      </c>
      <c r="F30260">
        <v>13830068</v>
      </c>
      <c r="G30260" t="s">
        <v>6181</v>
      </c>
      <c r="H30260" s="21">
        <v>546.91999999999996</v>
      </c>
    </row>
    <row r="30261" spans="1:8" customFormat="1" x14ac:dyDescent="0.25">
      <c r="A30261" t="str">
        <f>"98552"</f>
        <v>98552</v>
      </c>
      <c r="B30261" t="s">
        <v>739</v>
      </c>
      <c r="C30261" t="s">
        <v>33</v>
      </c>
      <c r="D30261" s="21" t="s">
        <v>34</v>
      </c>
      <c r="E30261" s="21" t="s">
        <v>35</v>
      </c>
      <c r="F30261">
        <v>5980004</v>
      </c>
      <c r="G30261" t="s">
        <v>3869</v>
      </c>
      <c r="H30261" s="21">
        <v>546.91999999999996</v>
      </c>
    </row>
    <row r="30262" spans="1:8" customFormat="1" x14ac:dyDescent="0.25">
      <c r="A30262" t="str">
        <f>"9251160"</f>
        <v>9251160</v>
      </c>
      <c r="B30262" t="s">
        <v>22421</v>
      </c>
      <c r="C30262" t="s">
        <v>139</v>
      </c>
      <c r="D30262" s="21" t="s">
        <v>34</v>
      </c>
      <c r="E30262" s="21" t="s">
        <v>71</v>
      </c>
      <c r="F30262">
        <v>8921182</v>
      </c>
      <c r="G30262" t="s">
        <v>26954</v>
      </c>
      <c r="H30262" s="21">
        <v>546.91999999999996</v>
      </c>
    </row>
    <row r="30263" spans="1:8" customFormat="1" x14ac:dyDescent="0.25">
      <c r="A30263" t="str">
        <f>"3014361"</f>
        <v>3014361</v>
      </c>
      <c r="B30263" t="s">
        <v>21355</v>
      </c>
      <c r="C30263" t="s">
        <v>712</v>
      </c>
      <c r="D30263" s="21" t="s">
        <v>34</v>
      </c>
      <c r="E30263" s="21" t="s">
        <v>35</v>
      </c>
      <c r="F30263">
        <v>11300022</v>
      </c>
      <c r="G30263" t="s">
        <v>22534</v>
      </c>
      <c r="H30263" s="21">
        <v>546.66999999999996</v>
      </c>
    </row>
    <row r="30264" spans="1:8" customFormat="1" x14ac:dyDescent="0.25">
      <c r="A30264" t="str">
        <f>"5111123"</f>
        <v>5111123</v>
      </c>
      <c r="B30264" t="s">
        <v>2003</v>
      </c>
      <c r="C30264" t="s">
        <v>2579</v>
      </c>
      <c r="D30264" s="21" t="s">
        <v>34</v>
      </c>
      <c r="E30264" s="21" t="s">
        <v>71</v>
      </c>
      <c r="F30264">
        <v>6510009</v>
      </c>
      <c r="G30264" t="s">
        <v>26950</v>
      </c>
      <c r="H30264" s="21">
        <v>546.66999999999996</v>
      </c>
    </row>
    <row r="30265" spans="1:8" customFormat="1" x14ac:dyDescent="0.25">
      <c r="A30265" t="str">
        <f>"1424048"</f>
        <v>1424048</v>
      </c>
      <c r="B30265" t="s">
        <v>7367</v>
      </c>
      <c r="C30265" t="s">
        <v>198</v>
      </c>
      <c r="D30265" s="21" t="s">
        <v>34</v>
      </c>
      <c r="E30265" s="21" t="s">
        <v>254</v>
      </c>
      <c r="F30265">
        <v>9140189</v>
      </c>
      <c r="G30265" t="s">
        <v>4200</v>
      </c>
      <c r="H30265" s="21">
        <v>546.66999999999996</v>
      </c>
    </row>
    <row r="30266" spans="1:8" customFormat="1" x14ac:dyDescent="0.25">
      <c r="A30266" t="str">
        <f>"1424792"</f>
        <v>1424792</v>
      </c>
      <c r="B30266" t="s">
        <v>22582</v>
      </c>
      <c r="C30266" t="s">
        <v>288</v>
      </c>
      <c r="D30266" s="21" t="s">
        <v>34</v>
      </c>
      <c r="E30266" s="21" t="s">
        <v>71</v>
      </c>
      <c r="F30266">
        <v>9140083</v>
      </c>
      <c r="G30266" t="s">
        <v>8440</v>
      </c>
      <c r="H30266" s="21">
        <v>546.66999999999996</v>
      </c>
    </row>
    <row r="30267" spans="1:8" customFormat="1" x14ac:dyDescent="0.25">
      <c r="A30267" t="str">
        <f>"806739"</f>
        <v>806739</v>
      </c>
      <c r="B30267" t="s">
        <v>20375</v>
      </c>
      <c r="C30267" t="s">
        <v>6493</v>
      </c>
      <c r="D30267" s="21" t="s">
        <v>34</v>
      </c>
      <c r="E30267" s="21" t="s">
        <v>35</v>
      </c>
      <c r="F30267">
        <v>7800033</v>
      </c>
      <c r="G30267" t="s">
        <v>7309</v>
      </c>
      <c r="H30267" s="21">
        <v>546.66999999999996</v>
      </c>
    </row>
    <row r="30268" spans="1:8" customFormat="1" x14ac:dyDescent="0.25">
      <c r="A30268" t="str">
        <f>"7728019"</f>
        <v>7728019</v>
      </c>
      <c r="B30268" t="s">
        <v>21696</v>
      </c>
      <c r="C30268" t="s">
        <v>21697</v>
      </c>
      <c r="D30268" s="21" t="s">
        <v>34</v>
      </c>
      <c r="E30268" s="21" t="s">
        <v>35</v>
      </c>
      <c r="F30268">
        <v>8771506</v>
      </c>
      <c r="G30268" t="s">
        <v>7314</v>
      </c>
      <c r="H30268" s="21">
        <v>546.66999999999996</v>
      </c>
    </row>
    <row r="30269" spans="1:8" customFormat="1" x14ac:dyDescent="0.25">
      <c r="A30269" t="str">
        <f>"4444103"</f>
        <v>4444103</v>
      </c>
      <c r="B30269" t="s">
        <v>7847</v>
      </c>
      <c r="C30269" t="s">
        <v>62</v>
      </c>
      <c r="D30269" s="21" t="s">
        <v>34</v>
      </c>
      <c r="E30269" s="21" t="s">
        <v>35</v>
      </c>
      <c r="F30269">
        <v>12440039</v>
      </c>
      <c r="G30269" t="s">
        <v>9650</v>
      </c>
      <c r="H30269" s="21">
        <v>546.66999999999996</v>
      </c>
    </row>
    <row r="30270" spans="1:8" customFormat="1" x14ac:dyDescent="0.25">
      <c r="A30270" t="str">
        <f>"8523815"</f>
        <v>8523815</v>
      </c>
      <c r="B30270" t="s">
        <v>18523</v>
      </c>
      <c r="C30270" t="s">
        <v>169</v>
      </c>
      <c r="D30270" s="21" t="s">
        <v>34</v>
      </c>
      <c r="E30270" s="21" t="s">
        <v>71</v>
      </c>
      <c r="F30270">
        <v>12850167</v>
      </c>
      <c r="G30270" t="s">
        <v>7617</v>
      </c>
      <c r="H30270" s="21">
        <v>546.66999999999996</v>
      </c>
    </row>
    <row r="30271" spans="1:8" customFormat="1" x14ac:dyDescent="0.25">
      <c r="A30271" t="str">
        <f>"1312975"</f>
        <v>1312975</v>
      </c>
      <c r="B30271" t="s">
        <v>21884</v>
      </c>
      <c r="C30271" t="s">
        <v>130</v>
      </c>
      <c r="D30271" s="21" t="s">
        <v>34</v>
      </c>
      <c r="E30271" s="21" t="s">
        <v>71</v>
      </c>
      <c r="F30271">
        <v>13130154</v>
      </c>
      <c r="G30271" t="s">
        <v>5503</v>
      </c>
      <c r="H30271" s="21">
        <v>546.66999999999996</v>
      </c>
    </row>
    <row r="30272" spans="1:8" customFormat="1" x14ac:dyDescent="0.25">
      <c r="A30272" t="str">
        <f>"2935543"</f>
        <v>2935543</v>
      </c>
      <c r="B30272" t="s">
        <v>5835</v>
      </c>
      <c r="C30272" t="s">
        <v>2520</v>
      </c>
      <c r="D30272" s="21" t="s">
        <v>34</v>
      </c>
      <c r="E30272" s="21" t="s">
        <v>254</v>
      </c>
      <c r="F30272">
        <v>3290255</v>
      </c>
      <c r="G30272" t="s">
        <v>2852</v>
      </c>
      <c r="H30272" s="21">
        <v>546.66999999999996</v>
      </c>
    </row>
    <row r="30273" spans="1:8" customFormat="1" x14ac:dyDescent="0.25">
      <c r="A30273" t="str">
        <f>"5326996"</f>
        <v>5326996</v>
      </c>
      <c r="B30273" t="s">
        <v>28210</v>
      </c>
      <c r="C30273" t="s">
        <v>1803</v>
      </c>
      <c r="D30273" s="21" t="s">
        <v>34</v>
      </c>
      <c r="E30273" s="21" t="s">
        <v>35</v>
      </c>
      <c r="F30273">
        <v>12530078</v>
      </c>
      <c r="G30273" t="s">
        <v>3677</v>
      </c>
      <c r="H30273" s="21">
        <v>546.66999999999996</v>
      </c>
    </row>
    <row r="30274" spans="1:8" customFormat="1" x14ac:dyDescent="0.25">
      <c r="A30274" t="str">
        <f>"4433645"</f>
        <v>4433645</v>
      </c>
      <c r="B30274" t="s">
        <v>2082</v>
      </c>
      <c r="C30274" t="s">
        <v>320</v>
      </c>
      <c r="D30274" s="21" t="s">
        <v>34</v>
      </c>
      <c r="E30274" s="21" t="s">
        <v>71</v>
      </c>
      <c r="F30274">
        <v>12440023</v>
      </c>
      <c r="G30274" t="s">
        <v>3507</v>
      </c>
      <c r="H30274" s="21">
        <v>546.66999999999996</v>
      </c>
    </row>
    <row r="30275" spans="1:8" customFormat="1" x14ac:dyDescent="0.25">
      <c r="A30275" t="str">
        <f>"491829"</f>
        <v>491829</v>
      </c>
      <c r="B30275" t="s">
        <v>1986</v>
      </c>
      <c r="C30275" t="s">
        <v>2529</v>
      </c>
      <c r="D30275" s="21" t="s">
        <v>34</v>
      </c>
      <c r="E30275" s="21" t="s">
        <v>1089</v>
      </c>
      <c r="F30275">
        <v>12490080</v>
      </c>
      <c r="G30275" t="s">
        <v>5692</v>
      </c>
      <c r="H30275" s="21">
        <v>546.66999999999996</v>
      </c>
    </row>
    <row r="30276" spans="1:8" customFormat="1" x14ac:dyDescent="0.25">
      <c r="A30276" t="str">
        <f>"5015623"</f>
        <v>5015623</v>
      </c>
      <c r="B30276" t="s">
        <v>2403</v>
      </c>
      <c r="C30276" t="s">
        <v>236</v>
      </c>
      <c r="D30276" s="21" t="s">
        <v>34</v>
      </c>
      <c r="E30276" s="21" t="s">
        <v>71</v>
      </c>
      <c r="F30276">
        <v>9500153</v>
      </c>
      <c r="G30276" t="s">
        <v>5779</v>
      </c>
      <c r="H30276" s="21">
        <v>546.66999999999996</v>
      </c>
    </row>
    <row r="30277" spans="1:8" customFormat="1" x14ac:dyDescent="0.25">
      <c r="A30277" t="str">
        <f>"3523460"</f>
        <v>3523460</v>
      </c>
      <c r="B30277" t="s">
        <v>21497</v>
      </c>
      <c r="C30277" t="s">
        <v>62</v>
      </c>
      <c r="D30277" s="21" t="s">
        <v>34</v>
      </c>
      <c r="E30277" s="21" t="s">
        <v>35</v>
      </c>
      <c r="F30277">
        <v>3350122</v>
      </c>
      <c r="G30277" t="s">
        <v>3069</v>
      </c>
      <c r="H30277" s="21">
        <v>546.66999999999996</v>
      </c>
    </row>
    <row r="30278" spans="1:8" customFormat="1" x14ac:dyDescent="0.25">
      <c r="A30278" t="str">
        <f>"307773"</f>
        <v>307773</v>
      </c>
      <c r="B30278" t="s">
        <v>983</v>
      </c>
      <c r="C30278" t="s">
        <v>812</v>
      </c>
      <c r="D30278" s="21" t="s">
        <v>34</v>
      </c>
      <c r="E30278" s="21" t="s">
        <v>71</v>
      </c>
      <c r="F30278">
        <v>11300028</v>
      </c>
      <c r="G30278" t="s">
        <v>18879</v>
      </c>
      <c r="H30278" s="21">
        <v>546.66999999999996</v>
      </c>
    </row>
    <row r="30279" spans="1:8" customFormat="1" x14ac:dyDescent="0.25">
      <c r="A30279" t="str">
        <f>"764013"</f>
        <v>764013</v>
      </c>
      <c r="B30279" t="s">
        <v>13826</v>
      </c>
      <c r="C30279" t="s">
        <v>598</v>
      </c>
      <c r="D30279" s="21" t="s">
        <v>34</v>
      </c>
      <c r="E30279" s="21" t="s">
        <v>254</v>
      </c>
      <c r="F30279">
        <v>9760259</v>
      </c>
      <c r="G30279" t="s">
        <v>6926</v>
      </c>
      <c r="H30279" s="21">
        <v>546.66999999999996</v>
      </c>
    </row>
    <row r="30280" spans="1:8" customFormat="1" x14ac:dyDescent="0.25">
      <c r="A30280" t="str">
        <f>"693343"</f>
        <v>693343</v>
      </c>
      <c r="B30280" t="s">
        <v>22855</v>
      </c>
      <c r="C30280" t="s">
        <v>1887</v>
      </c>
      <c r="D30280" s="21" t="s">
        <v>34</v>
      </c>
      <c r="E30280" s="21" t="s">
        <v>254</v>
      </c>
      <c r="F30280">
        <v>1380297</v>
      </c>
      <c r="G30280" t="s">
        <v>12031</v>
      </c>
      <c r="H30280" s="21">
        <v>546.66999999999996</v>
      </c>
    </row>
    <row r="30281" spans="1:8" customFormat="1" x14ac:dyDescent="0.25">
      <c r="A30281" t="str">
        <f>"0810853"</f>
        <v>0810853</v>
      </c>
      <c r="B30281" t="s">
        <v>19356</v>
      </c>
      <c r="C30281" t="s">
        <v>263</v>
      </c>
      <c r="D30281" s="21" t="s">
        <v>34</v>
      </c>
      <c r="E30281" s="21" t="s">
        <v>71</v>
      </c>
      <c r="F30281">
        <v>6080053</v>
      </c>
      <c r="G30281" t="s">
        <v>12951</v>
      </c>
      <c r="H30281" s="21">
        <v>546.66999999999996</v>
      </c>
    </row>
    <row r="30282" spans="1:8" customFormat="1" x14ac:dyDescent="0.25">
      <c r="A30282" t="str">
        <f>"9452944"</f>
        <v>9452944</v>
      </c>
      <c r="B30282" t="s">
        <v>9048</v>
      </c>
      <c r="C30282" t="s">
        <v>43</v>
      </c>
      <c r="D30282" s="21" t="s">
        <v>34</v>
      </c>
      <c r="E30282" s="21" t="s">
        <v>35</v>
      </c>
      <c r="F30282">
        <v>8940012</v>
      </c>
      <c r="G30282" t="s">
        <v>1648</v>
      </c>
      <c r="H30282" s="21">
        <v>546.66999999999996</v>
      </c>
    </row>
    <row r="30283" spans="1:8" customFormat="1" x14ac:dyDescent="0.25">
      <c r="A30283" t="str">
        <f>"2937643"</f>
        <v>2937643</v>
      </c>
      <c r="B30283" t="s">
        <v>18529</v>
      </c>
      <c r="C30283" t="s">
        <v>169</v>
      </c>
      <c r="D30283" s="21" t="s">
        <v>34</v>
      </c>
      <c r="E30283" s="21" t="s">
        <v>35</v>
      </c>
      <c r="F30283">
        <v>3290268</v>
      </c>
      <c r="G30283" t="s">
        <v>9878</v>
      </c>
      <c r="H30283" s="21">
        <v>546.66999999999996</v>
      </c>
    </row>
    <row r="30284" spans="1:8" customFormat="1" x14ac:dyDescent="0.25">
      <c r="A30284" t="str">
        <f>"4437159"</f>
        <v>4437159</v>
      </c>
      <c r="B30284" t="s">
        <v>4914</v>
      </c>
      <c r="C30284" t="s">
        <v>879</v>
      </c>
      <c r="D30284" s="21" t="s">
        <v>34</v>
      </c>
      <c r="E30284" s="21" t="s">
        <v>254</v>
      </c>
      <c r="F30284">
        <v>12440074</v>
      </c>
      <c r="G30284" t="s">
        <v>2436</v>
      </c>
      <c r="H30284" s="21">
        <v>546.66999999999996</v>
      </c>
    </row>
    <row r="30285" spans="1:8" customFormat="1" x14ac:dyDescent="0.25">
      <c r="A30285" t="str">
        <f>"6014655"</f>
        <v>6014655</v>
      </c>
      <c r="B30285" t="s">
        <v>461</v>
      </c>
      <c r="C30285" t="s">
        <v>209</v>
      </c>
      <c r="D30285" s="21" t="s">
        <v>34</v>
      </c>
      <c r="E30285" s="21" t="s">
        <v>71</v>
      </c>
      <c r="F30285">
        <v>7600088</v>
      </c>
      <c r="G30285" t="s">
        <v>334</v>
      </c>
      <c r="H30285" s="21">
        <v>546.66999999999996</v>
      </c>
    </row>
    <row r="30286" spans="1:8" customFormat="1" x14ac:dyDescent="0.25">
      <c r="A30286" t="str">
        <f>"3339485"</f>
        <v>3339485</v>
      </c>
      <c r="B30286" t="s">
        <v>28211</v>
      </c>
      <c r="C30286" t="s">
        <v>55</v>
      </c>
      <c r="D30286" s="21" t="s">
        <v>34</v>
      </c>
      <c r="E30286" s="21" t="s">
        <v>71</v>
      </c>
      <c r="F30286">
        <v>10330005</v>
      </c>
      <c r="G30286" t="s">
        <v>3526</v>
      </c>
      <c r="H30286" s="21">
        <v>546.5</v>
      </c>
    </row>
    <row r="30287" spans="1:8" customFormat="1" x14ac:dyDescent="0.25">
      <c r="A30287" t="str">
        <f>"4457785"</f>
        <v>4457785</v>
      </c>
      <c r="B30287" t="s">
        <v>9594</v>
      </c>
      <c r="C30287" t="s">
        <v>486</v>
      </c>
      <c r="D30287" s="21" t="s">
        <v>34</v>
      </c>
      <c r="E30287" s="21" t="s">
        <v>35</v>
      </c>
      <c r="F30287">
        <v>12440227</v>
      </c>
      <c r="G30287" t="s">
        <v>19150</v>
      </c>
      <c r="H30287" s="21">
        <v>546.5</v>
      </c>
    </row>
    <row r="30288" spans="1:8" customFormat="1" x14ac:dyDescent="0.25">
      <c r="A30288" t="str">
        <f>"9536221"</f>
        <v>9536221</v>
      </c>
      <c r="B30288" t="s">
        <v>21900</v>
      </c>
      <c r="C30288" t="s">
        <v>169</v>
      </c>
      <c r="D30288" s="21" t="s">
        <v>34</v>
      </c>
      <c r="E30288" s="21" t="s">
        <v>35</v>
      </c>
      <c r="F30288">
        <v>8950119</v>
      </c>
      <c r="G30288" t="s">
        <v>8174</v>
      </c>
      <c r="H30288" s="21">
        <v>546.41999999999996</v>
      </c>
    </row>
    <row r="30289" spans="1:8" customFormat="1" x14ac:dyDescent="0.25">
      <c r="A30289" t="str">
        <f>"1318372"</f>
        <v>1318372</v>
      </c>
      <c r="B30289" t="s">
        <v>4128</v>
      </c>
      <c r="C30289" t="s">
        <v>43</v>
      </c>
      <c r="D30289" s="21" t="s">
        <v>34</v>
      </c>
      <c r="E30289" s="21" t="s">
        <v>35</v>
      </c>
      <c r="F30289">
        <v>13130049</v>
      </c>
      <c r="G30289" t="s">
        <v>13169</v>
      </c>
      <c r="H30289" s="21">
        <v>546.41999999999996</v>
      </c>
    </row>
    <row r="30290" spans="1:8" customFormat="1" x14ac:dyDescent="0.25">
      <c r="A30290" t="str">
        <f>"5431088"</f>
        <v>5431088</v>
      </c>
      <c r="B30290" t="s">
        <v>3948</v>
      </c>
      <c r="C30290" t="s">
        <v>37</v>
      </c>
      <c r="D30290" s="21" t="s">
        <v>34</v>
      </c>
      <c r="E30290" s="21" t="s">
        <v>35</v>
      </c>
      <c r="F30290">
        <v>6540010</v>
      </c>
      <c r="G30290" t="s">
        <v>7832</v>
      </c>
      <c r="H30290" s="21">
        <v>546.29</v>
      </c>
    </row>
    <row r="30291" spans="1:8" customFormat="1" x14ac:dyDescent="0.25">
      <c r="A30291" t="str">
        <f>"2719588"</f>
        <v>2719588</v>
      </c>
      <c r="B30291" t="s">
        <v>22397</v>
      </c>
      <c r="C30291" t="s">
        <v>124</v>
      </c>
      <c r="D30291" s="21" t="s">
        <v>34</v>
      </c>
      <c r="E30291" s="21" t="s">
        <v>254</v>
      </c>
      <c r="F30291">
        <v>9270071</v>
      </c>
      <c r="G30291" t="s">
        <v>7815</v>
      </c>
      <c r="H30291" s="21">
        <v>546.16999999999996</v>
      </c>
    </row>
    <row r="30292" spans="1:8" customFormat="1" x14ac:dyDescent="0.25">
      <c r="A30292" t="str">
        <f>"3534238"</f>
        <v>3534238</v>
      </c>
      <c r="B30292" t="s">
        <v>8807</v>
      </c>
      <c r="C30292" t="s">
        <v>2393</v>
      </c>
      <c r="D30292" s="21" t="s">
        <v>34</v>
      </c>
      <c r="E30292" s="21" t="s">
        <v>35</v>
      </c>
      <c r="F30292">
        <v>3350156</v>
      </c>
      <c r="G30292" t="s">
        <v>18238</v>
      </c>
      <c r="H30292" s="21">
        <v>546.16999999999996</v>
      </c>
    </row>
    <row r="30293" spans="1:8" customFormat="1" x14ac:dyDescent="0.25">
      <c r="A30293" t="str">
        <f>"0210530"</f>
        <v>0210530</v>
      </c>
      <c r="B30293" t="s">
        <v>20061</v>
      </c>
      <c r="C30293" t="s">
        <v>211</v>
      </c>
      <c r="D30293" s="21" t="s">
        <v>34</v>
      </c>
      <c r="E30293" s="21" t="s">
        <v>71</v>
      </c>
      <c r="F30293">
        <v>7020003</v>
      </c>
      <c r="G30293" t="s">
        <v>7268</v>
      </c>
      <c r="H30293" s="21">
        <v>546.16999999999996</v>
      </c>
    </row>
    <row r="30294" spans="1:8" customFormat="1" x14ac:dyDescent="0.25">
      <c r="A30294" t="str">
        <f>"8016770"</f>
        <v>8016770</v>
      </c>
      <c r="B30294" t="s">
        <v>10517</v>
      </c>
      <c r="C30294" t="s">
        <v>119</v>
      </c>
      <c r="D30294" s="21" t="s">
        <v>34</v>
      </c>
      <c r="E30294" s="21" t="s">
        <v>35</v>
      </c>
      <c r="F30294">
        <v>2580010</v>
      </c>
      <c r="G30294" t="s">
        <v>1965</v>
      </c>
      <c r="H30294" s="21">
        <v>546.16999999999996</v>
      </c>
    </row>
    <row r="30295" spans="1:8" customFormat="1" x14ac:dyDescent="0.25">
      <c r="A30295" t="str">
        <f>"9433601"</f>
        <v>9433601</v>
      </c>
      <c r="B30295" t="s">
        <v>21615</v>
      </c>
      <c r="C30295" t="s">
        <v>21616</v>
      </c>
      <c r="D30295" s="21" t="s">
        <v>34</v>
      </c>
      <c r="E30295" s="21" t="s">
        <v>35</v>
      </c>
      <c r="F30295">
        <v>8940326</v>
      </c>
      <c r="G30295" t="s">
        <v>659</v>
      </c>
      <c r="H30295" s="21">
        <v>546.16999999999996</v>
      </c>
    </row>
    <row r="30296" spans="1:8" customFormat="1" x14ac:dyDescent="0.25">
      <c r="A30296" t="str">
        <f>"7721045"</f>
        <v>7721045</v>
      </c>
      <c r="B30296" t="s">
        <v>21533</v>
      </c>
      <c r="C30296" t="s">
        <v>720</v>
      </c>
      <c r="D30296" s="21" t="s">
        <v>34</v>
      </c>
      <c r="E30296" s="21" t="s">
        <v>254</v>
      </c>
      <c r="F30296">
        <v>8770166</v>
      </c>
      <c r="G30296" t="s">
        <v>653</v>
      </c>
      <c r="H30296" s="21">
        <v>546.16999999999996</v>
      </c>
    </row>
    <row r="30297" spans="1:8" customFormat="1" x14ac:dyDescent="0.25">
      <c r="A30297" t="str">
        <f>"2218917"</f>
        <v>2218917</v>
      </c>
      <c r="B30297" t="s">
        <v>21588</v>
      </c>
      <c r="C30297" t="s">
        <v>209</v>
      </c>
      <c r="D30297" s="21" t="s">
        <v>34</v>
      </c>
      <c r="E30297" s="21" t="s">
        <v>254</v>
      </c>
      <c r="F30297">
        <v>3220033</v>
      </c>
      <c r="G30297" t="s">
        <v>657</v>
      </c>
      <c r="H30297" s="21">
        <v>546.16999999999996</v>
      </c>
    </row>
    <row r="30298" spans="1:8" customFormat="1" x14ac:dyDescent="0.25">
      <c r="A30298" t="str">
        <f>"5980452"</f>
        <v>5980452</v>
      </c>
      <c r="B30298" t="s">
        <v>6772</v>
      </c>
      <c r="C30298" t="s">
        <v>7175</v>
      </c>
      <c r="D30298" s="21" t="s">
        <v>34</v>
      </c>
      <c r="E30298" s="21" t="s">
        <v>35</v>
      </c>
      <c r="F30298">
        <v>7590404</v>
      </c>
      <c r="G30298" t="s">
        <v>12173</v>
      </c>
      <c r="H30298" s="21">
        <v>546.16999999999996</v>
      </c>
    </row>
    <row r="30299" spans="1:8" customFormat="1" x14ac:dyDescent="0.25">
      <c r="A30299" t="str">
        <f>"7853410"</f>
        <v>7853410</v>
      </c>
      <c r="B30299" t="s">
        <v>21663</v>
      </c>
      <c r="C30299" t="s">
        <v>3648</v>
      </c>
      <c r="D30299" s="21" t="s">
        <v>34</v>
      </c>
      <c r="E30299" s="21" t="s">
        <v>254</v>
      </c>
      <c r="F30299">
        <v>8781162</v>
      </c>
      <c r="G30299" t="s">
        <v>7991</v>
      </c>
      <c r="H30299" s="21">
        <v>546.16999999999996</v>
      </c>
    </row>
    <row r="30300" spans="1:8" customFormat="1" x14ac:dyDescent="0.25">
      <c r="A30300" t="str">
        <f>"374329"</f>
        <v>374329</v>
      </c>
      <c r="B30300" t="s">
        <v>20535</v>
      </c>
      <c r="C30300" t="s">
        <v>209</v>
      </c>
      <c r="D30300" s="21" t="s">
        <v>34</v>
      </c>
      <c r="E30300" s="21" t="s">
        <v>71</v>
      </c>
      <c r="F30300">
        <v>4370655</v>
      </c>
      <c r="G30300" t="s">
        <v>14574</v>
      </c>
      <c r="H30300" s="21">
        <v>546.16999999999996</v>
      </c>
    </row>
    <row r="30301" spans="1:8" customFormat="1" x14ac:dyDescent="0.25">
      <c r="A30301" t="str">
        <f>"2717894"</f>
        <v>2717894</v>
      </c>
      <c r="B30301" t="s">
        <v>28212</v>
      </c>
      <c r="C30301" t="s">
        <v>62</v>
      </c>
      <c r="D30301" s="21" t="s">
        <v>34</v>
      </c>
      <c r="E30301" s="21" t="s">
        <v>35</v>
      </c>
      <c r="F30301">
        <v>9270030</v>
      </c>
      <c r="G30301" t="s">
        <v>5853</v>
      </c>
      <c r="H30301" s="21">
        <v>546.16999999999996</v>
      </c>
    </row>
    <row r="30302" spans="1:8" customFormat="1" x14ac:dyDescent="0.25">
      <c r="A30302" t="str">
        <f>"1316028"</f>
        <v>1316028</v>
      </c>
      <c r="B30302" t="s">
        <v>14718</v>
      </c>
      <c r="C30302" t="s">
        <v>1142</v>
      </c>
      <c r="D30302" s="21" t="s">
        <v>34</v>
      </c>
      <c r="E30302" s="21" t="s">
        <v>35</v>
      </c>
      <c r="F30302">
        <v>13130100</v>
      </c>
      <c r="G30302" t="s">
        <v>2893</v>
      </c>
      <c r="H30302" s="21">
        <v>546.16999999999996</v>
      </c>
    </row>
    <row r="30303" spans="1:8" customFormat="1" x14ac:dyDescent="0.25">
      <c r="A30303" t="str">
        <f>"6718933"</f>
        <v>6718933</v>
      </c>
      <c r="B30303" t="s">
        <v>20750</v>
      </c>
      <c r="C30303" t="s">
        <v>412</v>
      </c>
      <c r="D30303" s="21" t="s">
        <v>34</v>
      </c>
      <c r="E30303" s="21" t="s">
        <v>35</v>
      </c>
      <c r="F30303">
        <v>6670207</v>
      </c>
      <c r="G30303" t="s">
        <v>5419</v>
      </c>
      <c r="H30303" s="21">
        <v>546.16999999999996</v>
      </c>
    </row>
    <row r="30304" spans="1:8" customFormat="1" x14ac:dyDescent="0.25">
      <c r="A30304" t="str">
        <f>"6228254"</f>
        <v>6228254</v>
      </c>
      <c r="B30304" t="s">
        <v>5734</v>
      </c>
      <c r="C30304" t="s">
        <v>486</v>
      </c>
      <c r="D30304" s="21" t="s">
        <v>34</v>
      </c>
      <c r="E30304" s="21" t="s">
        <v>35</v>
      </c>
      <c r="F30304">
        <v>7620077</v>
      </c>
      <c r="G30304" t="s">
        <v>4131</v>
      </c>
      <c r="H30304" s="21">
        <v>546.16999999999996</v>
      </c>
    </row>
    <row r="30305" spans="1:8" customFormat="1" x14ac:dyDescent="0.25">
      <c r="A30305" t="str">
        <f>"6938083"</f>
        <v>6938083</v>
      </c>
      <c r="B30305" t="s">
        <v>18009</v>
      </c>
      <c r="C30305" t="s">
        <v>305</v>
      </c>
      <c r="D30305" s="21" t="s">
        <v>34</v>
      </c>
      <c r="E30305" s="21" t="s">
        <v>35</v>
      </c>
      <c r="F30305">
        <v>1690123</v>
      </c>
      <c r="G30305" t="s">
        <v>5156</v>
      </c>
      <c r="H30305" s="21">
        <v>546.16999999999996</v>
      </c>
    </row>
    <row r="30306" spans="1:8" customFormat="1" x14ac:dyDescent="0.25">
      <c r="A30306" t="str">
        <f>"9535270"</f>
        <v>9535270</v>
      </c>
      <c r="B30306" t="s">
        <v>16029</v>
      </c>
      <c r="C30306" t="s">
        <v>239</v>
      </c>
      <c r="D30306" s="21" t="s">
        <v>34</v>
      </c>
      <c r="E30306" s="21" t="s">
        <v>35</v>
      </c>
      <c r="F30306">
        <v>8951366</v>
      </c>
      <c r="G30306" t="s">
        <v>3708</v>
      </c>
      <c r="H30306" s="21">
        <v>546.04</v>
      </c>
    </row>
    <row r="30307" spans="1:8" customFormat="1" x14ac:dyDescent="0.25">
      <c r="A30307" t="str">
        <f>"1418763"</f>
        <v>1418763</v>
      </c>
      <c r="B30307" t="s">
        <v>22116</v>
      </c>
      <c r="C30307" t="s">
        <v>253</v>
      </c>
      <c r="D30307" s="21" t="s">
        <v>34</v>
      </c>
      <c r="E30307" s="21" t="s">
        <v>254</v>
      </c>
      <c r="F30307">
        <v>9140174</v>
      </c>
      <c r="G30307" t="s">
        <v>26738</v>
      </c>
      <c r="H30307" s="21">
        <v>546.04</v>
      </c>
    </row>
    <row r="30308" spans="1:8" customFormat="1" x14ac:dyDescent="0.25">
      <c r="A30308" t="str">
        <f>"2220496"</f>
        <v>2220496</v>
      </c>
      <c r="B30308" t="s">
        <v>9771</v>
      </c>
      <c r="C30308" t="s">
        <v>486</v>
      </c>
      <c r="D30308" s="21" t="s">
        <v>34</v>
      </c>
      <c r="E30308" s="21" t="s">
        <v>35</v>
      </c>
      <c r="F30308">
        <v>3220033</v>
      </c>
      <c r="G30308" t="s">
        <v>657</v>
      </c>
      <c r="H30308" s="21">
        <v>546</v>
      </c>
    </row>
    <row r="30309" spans="1:8" customFormat="1" x14ac:dyDescent="0.25">
      <c r="A30309" t="str">
        <f>"4411770"</f>
        <v>4411770</v>
      </c>
      <c r="B30309" t="s">
        <v>5222</v>
      </c>
      <c r="C30309" t="s">
        <v>156</v>
      </c>
      <c r="D30309" s="21" t="s">
        <v>34</v>
      </c>
      <c r="E30309" s="21" t="s">
        <v>1089</v>
      </c>
      <c r="F30309">
        <v>12440084</v>
      </c>
      <c r="G30309" t="s">
        <v>1014</v>
      </c>
      <c r="H30309" s="21">
        <v>546</v>
      </c>
    </row>
    <row r="30310" spans="1:8" customFormat="1" x14ac:dyDescent="0.25">
      <c r="A30310" t="str">
        <f>"9537377"</f>
        <v>9537377</v>
      </c>
      <c r="B30310" t="s">
        <v>26694</v>
      </c>
      <c r="C30310" t="s">
        <v>812</v>
      </c>
      <c r="D30310" s="21" t="s">
        <v>34</v>
      </c>
      <c r="E30310" s="21" t="s">
        <v>35</v>
      </c>
      <c r="F30310">
        <v>8950330</v>
      </c>
      <c r="G30310" t="s">
        <v>794</v>
      </c>
      <c r="H30310" s="21">
        <v>546</v>
      </c>
    </row>
    <row r="30311" spans="1:8" customFormat="1" x14ac:dyDescent="0.25">
      <c r="A30311" t="str">
        <f>"9318978"</f>
        <v>9318978</v>
      </c>
      <c r="B30311" t="s">
        <v>22117</v>
      </c>
      <c r="C30311" t="s">
        <v>103</v>
      </c>
      <c r="D30311" s="21" t="s">
        <v>34</v>
      </c>
      <c r="E30311" s="21" t="s">
        <v>35</v>
      </c>
      <c r="F30311">
        <v>8930598</v>
      </c>
      <c r="G30311" t="s">
        <v>445</v>
      </c>
      <c r="H30311" s="21">
        <v>545.91999999999996</v>
      </c>
    </row>
    <row r="30312" spans="1:8" customFormat="1" x14ac:dyDescent="0.25">
      <c r="A30312" t="str">
        <f>"3714230"</f>
        <v>3714230</v>
      </c>
      <c r="B30312" t="s">
        <v>933</v>
      </c>
      <c r="C30312" t="s">
        <v>2479</v>
      </c>
      <c r="D30312" s="21" t="s">
        <v>34</v>
      </c>
      <c r="E30312" s="21" t="s">
        <v>254</v>
      </c>
      <c r="F30312">
        <v>4370708</v>
      </c>
      <c r="G30312" t="s">
        <v>21080</v>
      </c>
      <c r="H30312" s="21">
        <v>545.79</v>
      </c>
    </row>
    <row r="30313" spans="1:8" customFormat="1" x14ac:dyDescent="0.25">
      <c r="A30313" t="str">
        <f>"461818"</f>
        <v>461818</v>
      </c>
      <c r="B30313" t="s">
        <v>28213</v>
      </c>
      <c r="C30313" t="s">
        <v>412</v>
      </c>
      <c r="D30313" s="21" t="s">
        <v>34</v>
      </c>
      <c r="E30313" s="21" t="s">
        <v>254</v>
      </c>
      <c r="F30313">
        <v>11460028</v>
      </c>
      <c r="G30313" t="s">
        <v>5243</v>
      </c>
      <c r="H30313" s="21">
        <v>545.75</v>
      </c>
    </row>
    <row r="30314" spans="1:8" customFormat="1" x14ac:dyDescent="0.25">
      <c r="A30314" t="str">
        <f>"7716754"</f>
        <v>7716754</v>
      </c>
      <c r="B30314" t="s">
        <v>20002</v>
      </c>
      <c r="C30314" t="s">
        <v>7453</v>
      </c>
      <c r="D30314" s="21" t="s">
        <v>34</v>
      </c>
      <c r="E30314" s="21" t="s">
        <v>71</v>
      </c>
      <c r="F30314">
        <v>8771446</v>
      </c>
      <c r="G30314" t="s">
        <v>830</v>
      </c>
      <c r="H30314" s="21">
        <v>545.66999999999996</v>
      </c>
    </row>
    <row r="30315" spans="1:8" customFormat="1" x14ac:dyDescent="0.25">
      <c r="A30315" t="str">
        <f>"1320634"</f>
        <v>1320634</v>
      </c>
      <c r="B30315" t="s">
        <v>21708</v>
      </c>
      <c r="C30315" t="s">
        <v>2250</v>
      </c>
      <c r="D30315" s="21" t="s">
        <v>34</v>
      </c>
      <c r="E30315" s="21" t="s">
        <v>35</v>
      </c>
      <c r="F30315">
        <v>13130145</v>
      </c>
      <c r="G30315" t="s">
        <v>21547</v>
      </c>
      <c r="H30315" s="21">
        <v>545.66999999999996</v>
      </c>
    </row>
    <row r="30316" spans="1:8" customFormat="1" x14ac:dyDescent="0.25">
      <c r="A30316" t="str">
        <f>"4446827"</f>
        <v>4446827</v>
      </c>
      <c r="B30316" t="s">
        <v>12704</v>
      </c>
      <c r="C30316" t="s">
        <v>87</v>
      </c>
      <c r="D30316" s="21" t="s">
        <v>34</v>
      </c>
      <c r="E30316" s="21" t="s">
        <v>35</v>
      </c>
      <c r="F30316">
        <v>12440034</v>
      </c>
      <c r="G30316" t="s">
        <v>10586</v>
      </c>
      <c r="H30316" s="21">
        <v>545.66999999999996</v>
      </c>
    </row>
    <row r="30317" spans="1:8" customFormat="1" x14ac:dyDescent="0.25">
      <c r="A30317" t="str">
        <f>"3531613"</f>
        <v>3531613</v>
      </c>
      <c r="B30317" t="s">
        <v>14409</v>
      </c>
      <c r="C30317" t="s">
        <v>249</v>
      </c>
      <c r="D30317" s="21" t="s">
        <v>34</v>
      </c>
      <c r="E30317" s="21" t="s">
        <v>71</v>
      </c>
      <c r="F30317">
        <v>3350122</v>
      </c>
      <c r="G30317" t="s">
        <v>3069</v>
      </c>
      <c r="H30317" s="21">
        <v>545.66999999999996</v>
      </c>
    </row>
    <row r="30318" spans="1:8" customFormat="1" x14ac:dyDescent="0.25">
      <c r="A30318" t="str">
        <f>"38572"</f>
        <v>38572</v>
      </c>
      <c r="B30318" t="s">
        <v>5431</v>
      </c>
      <c r="C30318" t="s">
        <v>267</v>
      </c>
      <c r="D30318" s="21" t="s">
        <v>34</v>
      </c>
      <c r="E30318" s="21" t="s">
        <v>254</v>
      </c>
      <c r="F30318">
        <v>1380068</v>
      </c>
      <c r="G30318" t="s">
        <v>12680</v>
      </c>
      <c r="H30318" s="21">
        <v>545.66999999999996</v>
      </c>
    </row>
    <row r="30319" spans="1:8" customFormat="1" x14ac:dyDescent="0.25">
      <c r="A30319" t="str">
        <f>"7923919"</f>
        <v>7923919</v>
      </c>
      <c r="B30319" t="s">
        <v>24709</v>
      </c>
      <c r="C30319" t="s">
        <v>288</v>
      </c>
      <c r="D30319" s="21" t="s">
        <v>34</v>
      </c>
      <c r="E30319" s="21" t="s">
        <v>71</v>
      </c>
      <c r="F30319">
        <v>10790020</v>
      </c>
      <c r="G30319" t="s">
        <v>10221</v>
      </c>
      <c r="H30319" s="21">
        <v>545.66999999999996</v>
      </c>
    </row>
    <row r="30320" spans="1:8" customFormat="1" x14ac:dyDescent="0.25">
      <c r="A30320" t="str">
        <f>"706520"</f>
        <v>706520</v>
      </c>
      <c r="B30320" t="s">
        <v>7551</v>
      </c>
      <c r="C30320" t="s">
        <v>149</v>
      </c>
      <c r="D30320" s="21" t="s">
        <v>34</v>
      </c>
      <c r="E30320" s="21" t="s">
        <v>35</v>
      </c>
      <c r="F30320">
        <v>2250024</v>
      </c>
      <c r="G30320" t="s">
        <v>751</v>
      </c>
      <c r="H30320" s="21">
        <v>545.66999999999996</v>
      </c>
    </row>
    <row r="30321" spans="1:8" customFormat="1" x14ac:dyDescent="0.25">
      <c r="A30321" t="str">
        <f>"7627485"</f>
        <v>7627485</v>
      </c>
      <c r="B30321" t="s">
        <v>14692</v>
      </c>
      <c r="C30321" t="s">
        <v>87</v>
      </c>
      <c r="D30321" s="21" t="s">
        <v>34</v>
      </c>
      <c r="E30321" s="21" t="s">
        <v>71</v>
      </c>
      <c r="F30321">
        <v>9760341</v>
      </c>
      <c r="G30321" t="s">
        <v>12913</v>
      </c>
      <c r="H30321" s="21">
        <v>545.66999999999996</v>
      </c>
    </row>
    <row r="30322" spans="1:8" customFormat="1" x14ac:dyDescent="0.25">
      <c r="A30322" t="str">
        <f>"5964101"</f>
        <v>5964101</v>
      </c>
      <c r="B30322" t="s">
        <v>21558</v>
      </c>
      <c r="C30322" t="s">
        <v>62</v>
      </c>
      <c r="D30322" s="21" t="s">
        <v>34</v>
      </c>
      <c r="E30322" s="21" t="s">
        <v>71</v>
      </c>
      <c r="F30322">
        <v>7590009</v>
      </c>
      <c r="G30322" t="s">
        <v>535</v>
      </c>
      <c r="H30322" s="21">
        <v>545.66999999999996</v>
      </c>
    </row>
    <row r="30323" spans="1:8" customFormat="1" x14ac:dyDescent="0.25">
      <c r="A30323" t="str">
        <f>"5972007"</f>
        <v>5972007</v>
      </c>
      <c r="B30323" t="s">
        <v>21957</v>
      </c>
      <c r="C30323" t="s">
        <v>4989</v>
      </c>
      <c r="D30323" s="21" t="s">
        <v>34</v>
      </c>
      <c r="E30323" s="21" t="s">
        <v>71</v>
      </c>
      <c r="F30323">
        <v>7590410</v>
      </c>
      <c r="G30323" t="s">
        <v>2048</v>
      </c>
      <c r="H30323" s="21">
        <v>545.66999999999996</v>
      </c>
    </row>
    <row r="30324" spans="1:8" customFormat="1" x14ac:dyDescent="0.25">
      <c r="A30324" t="str">
        <f>"2218038"</f>
        <v>2218038</v>
      </c>
      <c r="B30324" t="s">
        <v>21082</v>
      </c>
      <c r="C30324" t="s">
        <v>169</v>
      </c>
      <c r="D30324" s="21" t="s">
        <v>34</v>
      </c>
      <c r="E30324" s="21" t="s">
        <v>35</v>
      </c>
      <c r="F30324">
        <v>3220013</v>
      </c>
      <c r="G30324" t="s">
        <v>27198</v>
      </c>
      <c r="H30324" s="21">
        <v>545.66999999999996</v>
      </c>
    </row>
    <row r="30325" spans="1:8" customFormat="1" x14ac:dyDescent="0.25">
      <c r="A30325" t="str">
        <f>"5021179"</f>
        <v>5021179</v>
      </c>
      <c r="B30325" t="s">
        <v>4063</v>
      </c>
      <c r="C30325" t="s">
        <v>712</v>
      </c>
      <c r="D30325" s="21" t="s">
        <v>34</v>
      </c>
      <c r="E30325" s="21" t="s">
        <v>71</v>
      </c>
      <c r="F30325">
        <v>9500139</v>
      </c>
      <c r="G30325" t="s">
        <v>6892</v>
      </c>
      <c r="H30325" s="21">
        <v>545.66999999999996</v>
      </c>
    </row>
    <row r="30326" spans="1:8" customFormat="1" x14ac:dyDescent="0.25">
      <c r="A30326" t="str">
        <f>"7874375"</f>
        <v>7874375</v>
      </c>
      <c r="B30326" t="s">
        <v>9388</v>
      </c>
      <c r="C30326" t="s">
        <v>484</v>
      </c>
      <c r="D30326" s="21" t="s">
        <v>34</v>
      </c>
      <c r="E30326" s="21" t="s">
        <v>35</v>
      </c>
      <c r="F30326">
        <v>8780627</v>
      </c>
      <c r="G30326" t="s">
        <v>6097</v>
      </c>
      <c r="H30326" s="21">
        <v>545.66999999999996</v>
      </c>
    </row>
    <row r="30327" spans="1:8" customFormat="1" x14ac:dyDescent="0.25">
      <c r="A30327" t="str">
        <f>"5975893"</f>
        <v>5975893</v>
      </c>
      <c r="B30327" t="s">
        <v>5431</v>
      </c>
      <c r="C30327" t="s">
        <v>204</v>
      </c>
      <c r="D30327" s="21" t="s">
        <v>34</v>
      </c>
      <c r="E30327" s="21" t="s">
        <v>35</v>
      </c>
      <c r="F30327">
        <v>7590417</v>
      </c>
      <c r="G30327" t="s">
        <v>10387</v>
      </c>
      <c r="H30327" s="21">
        <v>545.66999999999996</v>
      </c>
    </row>
    <row r="30328" spans="1:8" customFormat="1" x14ac:dyDescent="0.25">
      <c r="A30328" t="str">
        <f>"6228847"</f>
        <v>6228847</v>
      </c>
      <c r="B30328" t="s">
        <v>22269</v>
      </c>
      <c r="C30328" t="s">
        <v>22270</v>
      </c>
      <c r="D30328" s="21" t="s">
        <v>34</v>
      </c>
      <c r="E30328" s="21" t="s">
        <v>254</v>
      </c>
      <c r="F30328">
        <v>7620044</v>
      </c>
      <c r="G30328" t="s">
        <v>2961</v>
      </c>
      <c r="H30328" s="21">
        <v>545.66999999999996</v>
      </c>
    </row>
    <row r="30329" spans="1:8" customFormat="1" x14ac:dyDescent="0.25">
      <c r="A30329" t="str">
        <f>"7523929"</f>
        <v>7523929</v>
      </c>
      <c r="B30329" t="s">
        <v>17754</v>
      </c>
      <c r="C30329" t="s">
        <v>21565</v>
      </c>
      <c r="D30329" s="21" t="s">
        <v>34</v>
      </c>
      <c r="E30329" s="21" t="s">
        <v>71</v>
      </c>
      <c r="F30329">
        <v>8751455</v>
      </c>
      <c r="G30329" t="s">
        <v>14280</v>
      </c>
      <c r="H30329" s="21">
        <v>545.66999999999996</v>
      </c>
    </row>
    <row r="30330" spans="1:8" customFormat="1" x14ac:dyDescent="0.25">
      <c r="A30330" t="str">
        <f>"5618376"</f>
        <v>5618376</v>
      </c>
      <c r="B30330" t="s">
        <v>2544</v>
      </c>
      <c r="C30330" t="s">
        <v>5861</v>
      </c>
      <c r="D30330" s="21" t="s">
        <v>34</v>
      </c>
      <c r="E30330" s="21" t="s">
        <v>71</v>
      </c>
      <c r="F30330">
        <v>3560022</v>
      </c>
      <c r="G30330" t="s">
        <v>2547</v>
      </c>
      <c r="H30330" s="21">
        <v>545.66999999999996</v>
      </c>
    </row>
    <row r="30331" spans="1:8" customFormat="1" x14ac:dyDescent="0.25">
      <c r="A30331" t="str">
        <f>"905765"</f>
        <v>905765</v>
      </c>
      <c r="B30331" t="s">
        <v>6120</v>
      </c>
      <c r="C30331" t="s">
        <v>169</v>
      </c>
      <c r="D30331" s="21" t="s">
        <v>34</v>
      </c>
      <c r="E30331" s="21" t="s">
        <v>35</v>
      </c>
      <c r="F30331">
        <v>2900042</v>
      </c>
      <c r="G30331" t="s">
        <v>7866</v>
      </c>
      <c r="H30331" s="21">
        <v>545.66999999999996</v>
      </c>
    </row>
    <row r="30332" spans="1:8" customFormat="1" x14ac:dyDescent="0.25">
      <c r="A30332" t="str">
        <f>"888203"</f>
        <v>888203</v>
      </c>
      <c r="B30332" t="s">
        <v>9251</v>
      </c>
      <c r="C30332" t="s">
        <v>656</v>
      </c>
      <c r="D30332" s="21" t="s">
        <v>34</v>
      </c>
      <c r="E30332" s="21" t="s">
        <v>35</v>
      </c>
      <c r="F30332">
        <v>6880140</v>
      </c>
      <c r="G30332" t="s">
        <v>4827</v>
      </c>
      <c r="H30332" s="21">
        <v>545.66999999999996</v>
      </c>
    </row>
    <row r="30333" spans="1:8" customFormat="1" x14ac:dyDescent="0.25">
      <c r="A30333" t="str">
        <f>"5615028"</f>
        <v>5615028</v>
      </c>
      <c r="B30333" t="s">
        <v>20812</v>
      </c>
      <c r="C30333" t="s">
        <v>40</v>
      </c>
      <c r="D30333" s="21" t="s">
        <v>34</v>
      </c>
      <c r="E30333" s="21" t="s">
        <v>71</v>
      </c>
      <c r="F30333">
        <v>3560088</v>
      </c>
      <c r="G30333" t="s">
        <v>15034</v>
      </c>
      <c r="H30333" s="21">
        <v>545.66999999999996</v>
      </c>
    </row>
    <row r="30334" spans="1:8" customFormat="1" x14ac:dyDescent="0.25">
      <c r="A30334" t="str">
        <f>"5983307"</f>
        <v>5983307</v>
      </c>
      <c r="B30334" t="s">
        <v>28214</v>
      </c>
      <c r="C30334" t="s">
        <v>7951</v>
      </c>
      <c r="D30334" s="21" t="s">
        <v>34</v>
      </c>
      <c r="E30334" s="21" t="s">
        <v>35</v>
      </c>
      <c r="F30334">
        <v>7590089</v>
      </c>
      <c r="G30334" t="s">
        <v>1418</v>
      </c>
      <c r="H30334" s="21">
        <v>545.66999999999996</v>
      </c>
    </row>
    <row r="30335" spans="1:8" customFormat="1" x14ac:dyDescent="0.25">
      <c r="A30335" t="str">
        <f>"5615235"</f>
        <v>5615235</v>
      </c>
      <c r="B30335" t="s">
        <v>11794</v>
      </c>
      <c r="C30335" t="s">
        <v>55</v>
      </c>
      <c r="D30335" s="21" t="s">
        <v>34</v>
      </c>
      <c r="E30335" s="21" t="s">
        <v>35</v>
      </c>
      <c r="F30335">
        <v>3560072</v>
      </c>
      <c r="G30335" t="s">
        <v>12285</v>
      </c>
      <c r="H30335" s="21">
        <v>545.66999999999996</v>
      </c>
    </row>
    <row r="30336" spans="1:8" customFormat="1" x14ac:dyDescent="0.25">
      <c r="A30336" t="str">
        <f>"4457368"</f>
        <v>4457368</v>
      </c>
      <c r="B30336" t="s">
        <v>4015</v>
      </c>
      <c r="C30336" t="s">
        <v>263</v>
      </c>
      <c r="D30336" s="21" t="s">
        <v>34</v>
      </c>
      <c r="E30336" s="21" t="s">
        <v>71</v>
      </c>
      <c r="F30336">
        <v>12440141</v>
      </c>
      <c r="G30336" t="s">
        <v>3234</v>
      </c>
      <c r="H30336" s="21">
        <v>545.66999999999996</v>
      </c>
    </row>
    <row r="30337" spans="1:8" customFormat="1" x14ac:dyDescent="0.25">
      <c r="A30337" t="str">
        <f>"5967216"</f>
        <v>5967216</v>
      </c>
      <c r="B30337" t="s">
        <v>21585</v>
      </c>
      <c r="C30337" t="s">
        <v>114</v>
      </c>
      <c r="D30337" s="21" t="s">
        <v>34</v>
      </c>
      <c r="E30337" s="21" t="s">
        <v>254</v>
      </c>
      <c r="F30337">
        <v>7590141</v>
      </c>
      <c r="G30337" t="s">
        <v>21305</v>
      </c>
      <c r="H30337" s="21">
        <v>545.66999999999996</v>
      </c>
    </row>
    <row r="30338" spans="1:8" customFormat="1" x14ac:dyDescent="0.25">
      <c r="A30338" t="str">
        <f>"5980711"</f>
        <v>5980711</v>
      </c>
      <c r="B30338" t="s">
        <v>11864</v>
      </c>
      <c r="C30338" t="s">
        <v>1025</v>
      </c>
      <c r="D30338" s="21" t="s">
        <v>34</v>
      </c>
      <c r="E30338" s="21" t="s">
        <v>71</v>
      </c>
      <c r="F30338">
        <v>7590058</v>
      </c>
      <c r="G30338" t="s">
        <v>5044</v>
      </c>
      <c r="H30338" s="21">
        <v>545.66999999999996</v>
      </c>
    </row>
    <row r="30339" spans="1:8" customFormat="1" x14ac:dyDescent="0.25">
      <c r="A30339" t="str">
        <f>"638156"</f>
        <v>638156</v>
      </c>
      <c r="B30339" t="s">
        <v>20683</v>
      </c>
      <c r="C30339" t="s">
        <v>2520</v>
      </c>
      <c r="D30339" s="21" t="s">
        <v>34</v>
      </c>
      <c r="E30339" s="21" t="s">
        <v>1089</v>
      </c>
      <c r="F30339">
        <v>1630185</v>
      </c>
      <c r="G30339" t="s">
        <v>858</v>
      </c>
      <c r="H30339" s="21">
        <v>545.66999999999996</v>
      </c>
    </row>
    <row r="30340" spans="1:8" customFormat="1" x14ac:dyDescent="0.25">
      <c r="A30340" t="str">
        <f>"367152"</f>
        <v>367152</v>
      </c>
      <c r="B30340" t="s">
        <v>11721</v>
      </c>
      <c r="C30340" t="s">
        <v>65</v>
      </c>
      <c r="D30340" s="21" t="s">
        <v>34</v>
      </c>
      <c r="E30340" s="21" t="s">
        <v>35</v>
      </c>
      <c r="F30340">
        <v>4360729</v>
      </c>
      <c r="G30340" t="s">
        <v>15028</v>
      </c>
      <c r="H30340" s="21">
        <v>545.66999999999996</v>
      </c>
    </row>
    <row r="30341" spans="1:8" customFormat="1" x14ac:dyDescent="0.25">
      <c r="A30341" t="str">
        <f>"7633456"</f>
        <v>7633456</v>
      </c>
      <c r="B30341" t="s">
        <v>20730</v>
      </c>
      <c r="C30341" t="s">
        <v>169</v>
      </c>
      <c r="D30341" s="21" t="s">
        <v>34</v>
      </c>
      <c r="E30341" s="21" t="s">
        <v>71</v>
      </c>
      <c r="F30341">
        <v>9760425</v>
      </c>
      <c r="G30341" t="s">
        <v>5012</v>
      </c>
      <c r="H30341" s="21">
        <v>545.66999999999996</v>
      </c>
    </row>
    <row r="30342" spans="1:8" customFormat="1" x14ac:dyDescent="0.25">
      <c r="A30342" t="str">
        <f>"165670"</f>
        <v>165670</v>
      </c>
      <c r="B30342" t="s">
        <v>20178</v>
      </c>
      <c r="C30342" t="s">
        <v>3648</v>
      </c>
      <c r="D30342" s="21" t="s">
        <v>34</v>
      </c>
      <c r="E30342" s="21" t="s">
        <v>71</v>
      </c>
      <c r="F30342">
        <v>10160051</v>
      </c>
      <c r="G30342" t="s">
        <v>7167</v>
      </c>
      <c r="H30342" s="21">
        <v>545.66999999999996</v>
      </c>
    </row>
    <row r="30343" spans="1:8" customFormat="1" x14ac:dyDescent="0.25">
      <c r="A30343" t="str">
        <f>"2215470"</f>
        <v>2215470</v>
      </c>
      <c r="B30343" t="s">
        <v>20971</v>
      </c>
      <c r="C30343" t="s">
        <v>20620</v>
      </c>
      <c r="D30343" s="21" t="s">
        <v>34</v>
      </c>
      <c r="E30343" s="21" t="s">
        <v>1089</v>
      </c>
      <c r="F30343">
        <v>3220041</v>
      </c>
      <c r="G30343" t="s">
        <v>27133</v>
      </c>
      <c r="H30343" s="21">
        <v>545.66999999999996</v>
      </c>
    </row>
    <row r="30344" spans="1:8" customFormat="1" x14ac:dyDescent="0.25">
      <c r="A30344" t="str">
        <f>"677716"</f>
        <v>677716</v>
      </c>
      <c r="B30344" t="s">
        <v>20954</v>
      </c>
      <c r="C30344" t="s">
        <v>156</v>
      </c>
      <c r="D30344" s="21" t="s">
        <v>34</v>
      </c>
      <c r="E30344" s="21" t="s">
        <v>254</v>
      </c>
      <c r="F30344">
        <v>6670114</v>
      </c>
      <c r="G30344" t="s">
        <v>3084</v>
      </c>
      <c r="H30344" s="21">
        <v>545.66999999999996</v>
      </c>
    </row>
    <row r="30345" spans="1:8" customFormat="1" x14ac:dyDescent="0.25">
      <c r="A30345" t="str">
        <f>"7518420"</f>
        <v>7518420</v>
      </c>
      <c r="B30345" t="s">
        <v>21037</v>
      </c>
      <c r="C30345" t="s">
        <v>1119</v>
      </c>
      <c r="D30345" s="21" t="s">
        <v>34</v>
      </c>
      <c r="E30345" s="21" t="s">
        <v>71</v>
      </c>
      <c r="F30345">
        <v>8750120</v>
      </c>
      <c r="G30345" t="s">
        <v>838</v>
      </c>
      <c r="H30345" s="21">
        <v>545.66999999999996</v>
      </c>
    </row>
    <row r="30346" spans="1:8" customFormat="1" x14ac:dyDescent="0.25">
      <c r="A30346" t="str">
        <f>"106408"</f>
        <v>106408</v>
      </c>
      <c r="B30346" t="s">
        <v>19733</v>
      </c>
      <c r="C30346" t="s">
        <v>879</v>
      </c>
      <c r="D30346" s="21" t="s">
        <v>34</v>
      </c>
      <c r="E30346" s="21" t="s">
        <v>254</v>
      </c>
      <c r="F30346">
        <v>6100005</v>
      </c>
      <c r="G30346" t="s">
        <v>855</v>
      </c>
      <c r="H30346" s="21">
        <v>545.66999999999996</v>
      </c>
    </row>
    <row r="30347" spans="1:8" customFormat="1" x14ac:dyDescent="0.25">
      <c r="A30347" t="str">
        <f>"8315565"</f>
        <v>8315565</v>
      </c>
      <c r="B30347" t="s">
        <v>22046</v>
      </c>
      <c r="C30347" t="s">
        <v>60</v>
      </c>
      <c r="D30347" s="21" t="s">
        <v>34</v>
      </c>
      <c r="E30347" s="21" t="s">
        <v>35</v>
      </c>
      <c r="F30347">
        <v>13830029</v>
      </c>
      <c r="G30347" t="s">
        <v>315</v>
      </c>
      <c r="H30347" s="21">
        <v>545.54</v>
      </c>
    </row>
    <row r="30348" spans="1:8" customFormat="1" x14ac:dyDescent="0.25">
      <c r="A30348" t="str">
        <f>"2517163"</f>
        <v>2517163</v>
      </c>
      <c r="B30348" t="s">
        <v>5169</v>
      </c>
      <c r="C30348" t="s">
        <v>10675</v>
      </c>
      <c r="D30348" s="21" t="s">
        <v>34</v>
      </c>
      <c r="E30348" s="21" t="s">
        <v>35</v>
      </c>
      <c r="F30348">
        <v>2250138</v>
      </c>
      <c r="G30348" t="s">
        <v>4094</v>
      </c>
      <c r="H30348" s="21">
        <v>545.5</v>
      </c>
    </row>
    <row r="30349" spans="1:8" customFormat="1" x14ac:dyDescent="0.25">
      <c r="A30349" t="str">
        <f>"2924402"</f>
        <v>2924402</v>
      </c>
      <c r="B30349" t="s">
        <v>4770</v>
      </c>
      <c r="C30349" t="s">
        <v>469</v>
      </c>
      <c r="D30349" s="21" t="s">
        <v>34</v>
      </c>
      <c r="E30349" s="21" t="s">
        <v>71</v>
      </c>
      <c r="F30349">
        <v>3290009</v>
      </c>
      <c r="G30349" t="s">
        <v>4358</v>
      </c>
      <c r="H30349" s="21">
        <v>545.5</v>
      </c>
    </row>
    <row r="30350" spans="1:8" customFormat="1" x14ac:dyDescent="0.25">
      <c r="A30350" t="str">
        <f>"6110721"</f>
        <v>6110721</v>
      </c>
      <c r="B30350" t="s">
        <v>21643</v>
      </c>
      <c r="C30350" t="s">
        <v>65</v>
      </c>
      <c r="D30350" s="21" t="s">
        <v>34</v>
      </c>
      <c r="E30350" s="21" t="s">
        <v>35</v>
      </c>
      <c r="F30350">
        <v>9610142</v>
      </c>
      <c r="G30350" t="s">
        <v>8211</v>
      </c>
      <c r="H30350" s="21">
        <v>545.5</v>
      </c>
    </row>
    <row r="30351" spans="1:8" customFormat="1" x14ac:dyDescent="0.25">
      <c r="A30351" t="str">
        <f>"642467"</f>
        <v>642467</v>
      </c>
      <c r="B30351" t="s">
        <v>19253</v>
      </c>
      <c r="C30351" t="s">
        <v>2479</v>
      </c>
      <c r="D30351" s="21" t="s">
        <v>34</v>
      </c>
      <c r="E30351" s="21" t="s">
        <v>254</v>
      </c>
      <c r="F30351">
        <v>10640008</v>
      </c>
      <c r="G30351" t="s">
        <v>1694</v>
      </c>
      <c r="H30351" s="21">
        <v>545.41999999999996</v>
      </c>
    </row>
    <row r="30352" spans="1:8" customFormat="1" x14ac:dyDescent="0.25">
      <c r="A30352" t="str">
        <f>"36463"</f>
        <v>36463</v>
      </c>
      <c r="B30352" t="s">
        <v>8512</v>
      </c>
      <c r="C30352" t="s">
        <v>453</v>
      </c>
      <c r="D30352" s="21" t="s">
        <v>34</v>
      </c>
      <c r="E30352" s="21" t="s">
        <v>254</v>
      </c>
      <c r="F30352">
        <v>4360340</v>
      </c>
      <c r="G30352" t="s">
        <v>14132</v>
      </c>
      <c r="H30352" s="21">
        <v>545.29</v>
      </c>
    </row>
    <row r="30353" spans="1:8" customFormat="1" x14ac:dyDescent="0.25">
      <c r="A30353" t="str">
        <f>"3830363"</f>
        <v>3830363</v>
      </c>
      <c r="B30353" t="s">
        <v>21944</v>
      </c>
      <c r="C30353" t="s">
        <v>5574</v>
      </c>
      <c r="D30353" s="21" t="s">
        <v>34</v>
      </c>
      <c r="E30353" s="21" t="s">
        <v>35</v>
      </c>
      <c r="F30353">
        <v>1380076</v>
      </c>
      <c r="G30353" t="s">
        <v>8543</v>
      </c>
      <c r="H30353" s="21">
        <v>545.29</v>
      </c>
    </row>
    <row r="30354" spans="1:8" customFormat="1" x14ac:dyDescent="0.25">
      <c r="A30354" t="str">
        <f>"7732021"</f>
        <v>7732021</v>
      </c>
      <c r="B30354" t="s">
        <v>22176</v>
      </c>
      <c r="C30354" t="s">
        <v>28215</v>
      </c>
      <c r="D30354" s="21" t="s">
        <v>34</v>
      </c>
      <c r="E30354" s="21" t="s">
        <v>71</v>
      </c>
      <c r="F30354">
        <v>8770169</v>
      </c>
      <c r="G30354" t="s">
        <v>1001</v>
      </c>
      <c r="H30354" s="21">
        <v>545.25</v>
      </c>
    </row>
    <row r="30355" spans="1:8" customFormat="1" x14ac:dyDescent="0.25">
      <c r="A30355" t="str">
        <f>"9143883"</f>
        <v>9143883</v>
      </c>
      <c r="B30355" t="s">
        <v>15161</v>
      </c>
      <c r="C30355" t="s">
        <v>3098</v>
      </c>
      <c r="D30355" s="21" t="s">
        <v>34</v>
      </c>
      <c r="E30355" s="21" t="s">
        <v>35</v>
      </c>
      <c r="F30355">
        <v>8911456</v>
      </c>
      <c r="G30355" t="s">
        <v>6481</v>
      </c>
      <c r="H30355" s="21">
        <v>545.16999999999996</v>
      </c>
    </row>
    <row r="30356" spans="1:8" customFormat="1" x14ac:dyDescent="0.25">
      <c r="A30356" t="str">
        <f>"1416203"</f>
        <v>1416203</v>
      </c>
      <c r="B30356" t="s">
        <v>21441</v>
      </c>
      <c r="C30356" t="s">
        <v>239</v>
      </c>
      <c r="D30356" s="21" t="s">
        <v>34</v>
      </c>
      <c r="E30356" s="21" t="s">
        <v>254</v>
      </c>
      <c r="F30356">
        <v>9140228</v>
      </c>
      <c r="G30356" t="s">
        <v>16772</v>
      </c>
      <c r="H30356" s="21">
        <v>545.16999999999996</v>
      </c>
    </row>
    <row r="30357" spans="1:8" customFormat="1" x14ac:dyDescent="0.25">
      <c r="A30357" t="str">
        <f>"7615221"</f>
        <v>7615221</v>
      </c>
      <c r="B30357" t="s">
        <v>1939</v>
      </c>
      <c r="C30357" t="s">
        <v>40</v>
      </c>
      <c r="D30357" s="21" t="s">
        <v>34</v>
      </c>
      <c r="E30357" s="21" t="s">
        <v>1089</v>
      </c>
      <c r="F30357">
        <v>9760014</v>
      </c>
      <c r="G30357" t="s">
        <v>1017</v>
      </c>
      <c r="H30357" s="21">
        <v>545.16999999999996</v>
      </c>
    </row>
    <row r="30358" spans="1:8" customFormat="1" x14ac:dyDescent="0.25">
      <c r="A30358" t="str">
        <f>"0617563"</f>
        <v>0617563</v>
      </c>
      <c r="B30358" t="s">
        <v>8458</v>
      </c>
      <c r="C30358" t="s">
        <v>285</v>
      </c>
      <c r="D30358" s="21" t="s">
        <v>34</v>
      </c>
      <c r="E30358" s="21" t="s">
        <v>35</v>
      </c>
      <c r="F30358">
        <v>13060088</v>
      </c>
      <c r="G30358" t="s">
        <v>15538</v>
      </c>
      <c r="H30358" s="21">
        <v>545.16999999999996</v>
      </c>
    </row>
    <row r="30359" spans="1:8" customFormat="1" x14ac:dyDescent="0.25">
      <c r="A30359" t="str">
        <f>"9141342"</f>
        <v>9141342</v>
      </c>
      <c r="B30359" t="s">
        <v>21291</v>
      </c>
      <c r="C30359" t="s">
        <v>867</v>
      </c>
      <c r="D30359" s="21" t="s">
        <v>34</v>
      </c>
      <c r="E30359" s="21" t="s">
        <v>35</v>
      </c>
      <c r="F30359">
        <v>8911368</v>
      </c>
      <c r="G30359" t="s">
        <v>12227</v>
      </c>
      <c r="H30359" s="21">
        <v>545.16999999999996</v>
      </c>
    </row>
    <row r="30360" spans="1:8" customFormat="1" x14ac:dyDescent="0.25">
      <c r="A30360" t="str">
        <f>"3423502"</f>
        <v>3423502</v>
      </c>
      <c r="B30360" t="s">
        <v>1522</v>
      </c>
      <c r="C30360" t="s">
        <v>239</v>
      </c>
      <c r="D30360" s="21" t="s">
        <v>34</v>
      </c>
      <c r="E30360" s="21" t="s">
        <v>254</v>
      </c>
      <c r="F30360">
        <v>11340007</v>
      </c>
      <c r="G30360" t="s">
        <v>2278</v>
      </c>
      <c r="H30360" s="21">
        <v>545.16999999999996</v>
      </c>
    </row>
    <row r="30361" spans="1:8" customFormat="1" x14ac:dyDescent="0.25">
      <c r="A30361" t="str">
        <f>"5014975"</f>
        <v>5014975</v>
      </c>
      <c r="B30361" t="s">
        <v>8167</v>
      </c>
      <c r="C30361" t="s">
        <v>263</v>
      </c>
      <c r="D30361" s="21" t="s">
        <v>34</v>
      </c>
      <c r="E30361" s="21" t="s">
        <v>71</v>
      </c>
      <c r="F30361">
        <v>9500031</v>
      </c>
      <c r="G30361" t="s">
        <v>11126</v>
      </c>
      <c r="H30361" s="21">
        <v>545.16999999999996</v>
      </c>
    </row>
    <row r="30362" spans="1:8" customFormat="1" x14ac:dyDescent="0.25">
      <c r="A30362" t="str">
        <f>"6941878"</f>
        <v>6941878</v>
      </c>
      <c r="B30362" t="s">
        <v>623</v>
      </c>
      <c r="C30362" t="s">
        <v>415</v>
      </c>
      <c r="D30362" s="21" t="s">
        <v>34</v>
      </c>
      <c r="E30362" s="21" t="s">
        <v>71</v>
      </c>
      <c r="F30362">
        <v>1690023</v>
      </c>
      <c r="G30362" t="s">
        <v>647</v>
      </c>
      <c r="H30362" s="21">
        <v>545.16999999999996</v>
      </c>
    </row>
    <row r="30363" spans="1:8" customFormat="1" x14ac:dyDescent="0.25">
      <c r="A30363" t="str">
        <f>"067969"</f>
        <v>067969</v>
      </c>
      <c r="B30363" t="s">
        <v>28216</v>
      </c>
      <c r="C30363" t="s">
        <v>2904</v>
      </c>
      <c r="D30363" s="21" t="s">
        <v>34</v>
      </c>
      <c r="E30363" s="21" t="s">
        <v>35</v>
      </c>
      <c r="F30363">
        <v>13060110</v>
      </c>
      <c r="G30363" t="s">
        <v>3268</v>
      </c>
      <c r="H30363" s="21">
        <v>545.16999999999996</v>
      </c>
    </row>
    <row r="30364" spans="1:8" customFormat="1" x14ac:dyDescent="0.25">
      <c r="A30364" t="str">
        <f>"637114"</f>
        <v>637114</v>
      </c>
      <c r="B30364" t="s">
        <v>5435</v>
      </c>
      <c r="C30364" t="s">
        <v>267</v>
      </c>
      <c r="D30364" s="21" t="s">
        <v>34</v>
      </c>
      <c r="E30364" s="21" t="s">
        <v>254</v>
      </c>
      <c r="F30364">
        <v>1630184</v>
      </c>
      <c r="G30364" t="s">
        <v>26702</v>
      </c>
      <c r="H30364" s="21">
        <v>545.16999999999996</v>
      </c>
    </row>
    <row r="30365" spans="1:8" customFormat="1" x14ac:dyDescent="0.25">
      <c r="A30365" t="str">
        <f>"4215170"</f>
        <v>4215170</v>
      </c>
      <c r="B30365" t="s">
        <v>12096</v>
      </c>
      <c r="C30365" t="s">
        <v>269</v>
      </c>
      <c r="D30365" s="21" t="s">
        <v>34</v>
      </c>
      <c r="E30365" s="21" t="s">
        <v>35</v>
      </c>
      <c r="F30365">
        <v>1420070</v>
      </c>
      <c r="G30365" t="s">
        <v>27046</v>
      </c>
      <c r="H30365" s="21">
        <v>545.16999999999996</v>
      </c>
    </row>
    <row r="30366" spans="1:8" customFormat="1" x14ac:dyDescent="0.25">
      <c r="A30366" t="str">
        <f>"8526648"</f>
        <v>8526648</v>
      </c>
      <c r="B30366" t="s">
        <v>15090</v>
      </c>
      <c r="C30366" t="s">
        <v>1146</v>
      </c>
      <c r="D30366" s="21" t="s">
        <v>34</v>
      </c>
      <c r="E30366" s="21" t="s">
        <v>254</v>
      </c>
      <c r="F30366">
        <v>12850001</v>
      </c>
      <c r="G30366" t="s">
        <v>1197</v>
      </c>
      <c r="H30366" s="21">
        <v>545.16999999999996</v>
      </c>
    </row>
    <row r="30367" spans="1:8" customFormat="1" x14ac:dyDescent="0.25">
      <c r="A30367" t="str">
        <f>"6218741"</f>
        <v>6218741</v>
      </c>
      <c r="B30367" t="s">
        <v>108</v>
      </c>
      <c r="C30367" t="s">
        <v>1110</v>
      </c>
      <c r="D30367" s="21" t="s">
        <v>34</v>
      </c>
      <c r="E30367" s="21" t="s">
        <v>254</v>
      </c>
      <c r="F30367">
        <v>7620077</v>
      </c>
      <c r="G30367" t="s">
        <v>4131</v>
      </c>
      <c r="H30367" s="21">
        <v>545.16999999999996</v>
      </c>
    </row>
    <row r="30368" spans="1:8" customFormat="1" x14ac:dyDescent="0.25">
      <c r="A30368" t="str">
        <f>"754087"</f>
        <v>754087</v>
      </c>
      <c r="B30368" t="s">
        <v>2658</v>
      </c>
      <c r="C30368" t="s">
        <v>2529</v>
      </c>
      <c r="D30368" s="21" t="s">
        <v>34</v>
      </c>
      <c r="E30368" s="21" t="s">
        <v>71</v>
      </c>
      <c r="F30368">
        <v>8950330</v>
      </c>
      <c r="G30368" t="s">
        <v>794</v>
      </c>
      <c r="H30368" s="21">
        <v>545.04</v>
      </c>
    </row>
    <row r="30369" spans="1:8" customFormat="1" x14ac:dyDescent="0.25">
      <c r="A30369" t="str">
        <f>"2716058"</f>
        <v>2716058</v>
      </c>
      <c r="B30369" t="s">
        <v>22233</v>
      </c>
      <c r="C30369" t="s">
        <v>40</v>
      </c>
      <c r="D30369" s="21" t="s">
        <v>34</v>
      </c>
      <c r="E30369" s="21" t="s">
        <v>71</v>
      </c>
      <c r="F30369">
        <v>9270185</v>
      </c>
      <c r="G30369" t="s">
        <v>9160</v>
      </c>
      <c r="H30369" s="21">
        <v>545</v>
      </c>
    </row>
    <row r="30370" spans="1:8" customFormat="1" x14ac:dyDescent="0.25">
      <c r="A30370" t="str">
        <f>"1614615"</f>
        <v>1614615</v>
      </c>
      <c r="B30370" t="s">
        <v>28217</v>
      </c>
      <c r="C30370" t="s">
        <v>119</v>
      </c>
      <c r="D30370" s="21" t="s">
        <v>34</v>
      </c>
      <c r="E30370" s="21" t="s">
        <v>35</v>
      </c>
      <c r="F30370">
        <v>10160071</v>
      </c>
      <c r="G30370" t="s">
        <v>21857</v>
      </c>
      <c r="H30370" s="21">
        <v>545</v>
      </c>
    </row>
    <row r="30371" spans="1:8" customFormat="1" x14ac:dyDescent="0.25">
      <c r="A30371" t="str">
        <f>"6010609"</f>
        <v>6010609</v>
      </c>
      <c r="B30371" t="s">
        <v>111</v>
      </c>
      <c r="C30371" t="s">
        <v>2479</v>
      </c>
      <c r="D30371" s="21" t="s">
        <v>34</v>
      </c>
      <c r="E30371" s="21" t="s">
        <v>71</v>
      </c>
      <c r="F30371">
        <v>7600134</v>
      </c>
      <c r="G30371" t="s">
        <v>8819</v>
      </c>
      <c r="H30371" s="21">
        <v>545</v>
      </c>
    </row>
    <row r="30372" spans="1:8" customFormat="1" x14ac:dyDescent="0.25">
      <c r="A30372" t="str">
        <f>"7732252"</f>
        <v>7732252</v>
      </c>
      <c r="B30372" t="s">
        <v>28218</v>
      </c>
      <c r="C30372" t="s">
        <v>49</v>
      </c>
      <c r="D30372" s="21" t="s">
        <v>34</v>
      </c>
      <c r="E30372" s="21" t="s">
        <v>35</v>
      </c>
      <c r="F30372">
        <v>8770166</v>
      </c>
      <c r="G30372" t="s">
        <v>653</v>
      </c>
      <c r="H30372" s="21">
        <v>545</v>
      </c>
    </row>
    <row r="30373" spans="1:8" customFormat="1" x14ac:dyDescent="0.25">
      <c r="A30373" t="str">
        <f>"9244403"</f>
        <v>9244403</v>
      </c>
      <c r="B30373" t="s">
        <v>21403</v>
      </c>
      <c r="C30373" t="s">
        <v>267</v>
      </c>
      <c r="D30373" s="21" t="s">
        <v>34</v>
      </c>
      <c r="E30373" s="21" t="s">
        <v>71</v>
      </c>
      <c r="F30373">
        <v>8920063</v>
      </c>
      <c r="G30373" t="s">
        <v>219</v>
      </c>
      <c r="H30373" s="21">
        <v>544.79</v>
      </c>
    </row>
    <row r="30374" spans="1:8" customFormat="1" x14ac:dyDescent="0.25">
      <c r="A30374" t="str">
        <f>"7412861"</f>
        <v>7412861</v>
      </c>
      <c r="B30374" t="s">
        <v>7060</v>
      </c>
      <c r="C30374" t="s">
        <v>772</v>
      </c>
      <c r="D30374" s="21" t="s">
        <v>34</v>
      </c>
      <c r="E30374" s="21" t="s">
        <v>35</v>
      </c>
      <c r="F30374">
        <v>1740001</v>
      </c>
      <c r="G30374" t="s">
        <v>347</v>
      </c>
      <c r="H30374" s="21">
        <v>544.79</v>
      </c>
    </row>
    <row r="30375" spans="1:8" customFormat="1" x14ac:dyDescent="0.25">
      <c r="A30375" t="str">
        <f>"9538151"</f>
        <v>9538151</v>
      </c>
      <c r="B30375" t="s">
        <v>28219</v>
      </c>
      <c r="C30375" t="s">
        <v>204</v>
      </c>
      <c r="D30375" s="21" t="s">
        <v>34</v>
      </c>
      <c r="E30375" s="21" t="s">
        <v>71</v>
      </c>
      <c r="F30375">
        <v>8950481</v>
      </c>
      <c r="G30375" t="s">
        <v>1472</v>
      </c>
      <c r="H30375" s="21">
        <v>544.75</v>
      </c>
    </row>
    <row r="30376" spans="1:8" customFormat="1" x14ac:dyDescent="0.25">
      <c r="A30376" t="str">
        <f>"6925183"</f>
        <v>6925183</v>
      </c>
      <c r="B30376" t="s">
        <v>19553</v>
      </c>
      <c r="C30376" t="s">
        <v>1110</v>
      </c>
      <c r="D30376" s="21" t="s">
        <v>34</v>
      </c>
      <c r="E30376" s="21" t="s">
        <v>254</v>
      </c>
      <c r="F30376">
        <v>1380164</v>
      </c>
      <c r="G30376" t="s">
        <v>2728</v>
      </c>
      <c r="H30376" s="21">
        <v>544.66999999999996</v>
      </c>
    </row>
    <row r="30377" spans="1:8" customFormat="1" x14ac:dyDescent="0.25">
      <c r="A30377" t="str">
        <f>"5958669"</f>
        <v>5958669</v>
      </c>
      <c r="B30377" t="s">
        <v>18379</v>
      </c>
      <c r="C30377" t="s">
        <v>55</v>
      </c>
      <c r="D30377" s="21" t="s">
        <v>34</v>
      </c>
      <c r="E30377" s="21" t="s">
        <v>71</v>
      </c>
      <c r="F30377">
        <v>7590164</v>
      </c>
      <c r="G30377" t="s">
        <v>2451</v>
      </c>
      <c r="H30377" s="21">
        <v>544.66999999999996</v>
      </c>
    </row>
    <row r="30378" spans="1:8" customFormat="1" x14ac:dyDescent="0.25">
      <c r="A30378" t="str">
        <f>"0616287"</f>
        <v>0616287</v>
      </c>
      <c r="B30378" t="s">
        <v>28220</v>
      </c>
      <c r="C30378" t="s">
        <v>206</v>
      </c>
      <c r="D30378" s="21" t="s">
        <v>34</v>
      </c>
      <c r="E30378" s="21" t="s">
        <v>35</v>
      </c>
      <c r="F30378">
        <v>13060090</v>
      </c>
      <c r="G30378" t="s">
        <v>1363</v>
      </c>
      <c r="H30378" s="21">
        <v>544.66999999999996</v>
      </c>
    </row>
    <row r="30379" spans="1:8" customFormat="1" x14ac:dyDescent="0.25">
      <c r="A30379" t="str">
        <f>"1716398"</f>
        <v>1716398</v>
      </c>
      <c r="B30379" t="s">
        <v>20947</v>
      </c>
      <c r="C30379" t="s">
        <v>951</v>
      </c>
      <c r="D30379" s="21" t="s">
        <v>34</v>
      </c>
      <c r="E30379" s="21" t="s">
        <v>35</v>
      </c>
      <c r="F30379">
        <v>10170178</v>
      </c>
      <c r="G30379" t="s">
        <v>17278</v>
      </c>
      <c r="H30379" s="21">
        <v>544.66999999999996</v>
      </c>
    </row>
    <row r="30380" spans="1:8" customFormat="1" x14ac:dyDescent="0.25">
      <c r="A30380" t="str">
        <f>"585683"</f>
        <v>585683</v>
      </c>
      <c r="B30380" t="s">
        <v>20593</v>
      </c>
      <c r="C30380" t="s">
        <v>33</v>
      </c>
      <c r="D30380" s="21" t="s">
        <v>34</v>
      </c>
      <c r="E30380" s="21" t="s">
        <v>71</v>
      </c>
      <c r="F30380">
        <v>2580035</v>
      </c>
      <c r="G30380" t="s">
        <v>5991</v>
      </c>
      <c r="H30380" s="21">
        <v>544.66999999999996</v>
      </c>
    </row>
    <row r="30381" spans="1:8" customFormat="1" x14ac:dyDescent="0.25">
      <c r="A30381" t="str">
        <f>"2935884"</f>
        <v>2935884</v>
      </c>
      <c r="B30381" t="s">
        <v>22522</v>
      </c>
      <c r="C30381" t="s">
        <v>22523</v>
      </c>
      <c r="D30381" s="21" t="s">
        <v>34</v>
      </c>
      <c r="E30381" s="21" t="s">
        <v>35</v>
      </c>
      <c r="F30381">
        <v>3290024</v>
      </c>
      <c r="G30381" t="s">
        <v>5690</v>
      </c>
      <c r="H30381" s="21">
        <v>544.66999999999996</v>
      </c>
    </row>
    <row r="30382" spans="1:8" customFormat="1" x14ac:dyDescent="0.25">
      <c r="A30382" t="str">
        <f>"6229347"</f>
        <v>6229347</v>
      </c>
      <c r="B30382" t="s">
        <v>19850</v>
      </c>
      <c r="C30382" t="s">
        <v>119</v>
      </c>
      <c r="D30382" s="21" t="s">
        <v>34</v>
      </c>
      <c r="E30382" s="21" t="s">
        <v>71</v>
      </c>
      <c r="F30382">
        <v>7620104</v>
      </c>
      <c r="G30382" t="s">
        <v>635</v>
      </c>
      <c r="H30382" s="21">
        <v>544.66999999999996</v>
      </c>
    </row>
    <row r="30383" spans="1:8" customFormat="1" x14ac:dyDescent="0.25">
      <c r="A30383" t="str">
        <f>"5620691"</f>
        <v>5620691</v>
      </c>
      <c r="B30383" t="s">
        <v>24336</v>
      </c>
      <c r="C30383" t="s">
        <v>867</v>
      </c>
      <c r="D30383" s="21" t="s">
        <v>34</v>
      </c>
      <c r="E30383" s="21" t="s">
        <v>35</v>
      </c>
      <c r="F30383">
        <v>3560043</v>
      </c>
      <c r="G30383" t="s">
        <v>11635</v>
      </c>
      <c r="H30383" s="21">
        <v>544.66999999999996</v>
      </c>
    </row>
    <row r="30384" spans="1:8" customFormat="1" x14ac:dyDescent="0.25">
      <c r="A30384" t="str">
        <f>"9515586"</f>
        <v>9515586</v>
      </c>
      <c r="B30384" t="s">
        <v>20713</v>
      </c>
      <c r="C30384" t="s">
        <v>211</v>
      </c>
      <c r="D30384" s="21" t="s">
        <v>34</v>
      </c>
      <c r="E30384" s="21" t="s">
        <v>254</v>
      </c>
      <c r="F30384">
        <v>13130139</v>
      </c>
      <c r="G30384" t="s">
        <v>11785</v>
      </c>
      <c r="H30384" s="21">
        <v>544.66999999999996</v>
      </c>
    </row>
    <row r="30385" spans="1:8" customFormat="1" x14ac:dyDescent="0.25">
      <c r="A30385" t="str">
        <f>"6110544"</f>
        <v>6110544</v>
      </c>
      <c r="B30385" t="s">
        <v>9675</v>
      </c>
      <c r="C30385" t="s">
        <v>2479</v>
      </c>
      <c r="D30385" s="21" t="s">
        <v>34</v>
      </c>
      <c r="E30385" s="21" t="s">
        <v>71</v>
      </c>
      <c r="F30385">
        <v>9610138</v>
      </c>
      <c r="G30385" t="s">
        <v>20717</v>
      </c>
      <c r="H30385" s="21">
        <v>544.66999999999996</v>
      </c>
    </row>
    <row r="30386" spans="1:8" customFormat="1" x14ac:dyDescent="0.25">
      <c r="A30386" t="str">
        <f>"5326398"</f>
        <v>5326398</v>
      </c>
      <c r="B30386" t="s">
        <v>20049</v>
      </c>
      <c r="C30386" t="s">
        <v>33</v>
      </c>
      <c r="D30386" s="21" t="s">
        <v>34</v>
      </c>
      <c r="E30386" s="21" t="s">
        <v>71</v>
      </c>
      <c r="F30386">
        <v>12530007</v>
      </c>
      <c r="G30386" t="s">
        <v>2966</v>
      </c>
      <c r="H30386" s="21">
        <v>544.66999999999996</v>
      </c>
    </row>
    <row r="30387" spans="1:8" customFormat="1" x14ac:dyDescent="0.25">
      <c r="A30387" t="str">
        <f>"1419169"</f>
        <v>1419169</v>
      </c>
      <c r="B30387" t="s">
        <v>21292</v>
      </c>
      <c r="C30387" t="s">
        <v>239</v>
      </c>
      <c r="D30387" s="21" t="s">
        <v>34</v>
      </c>
      <c r="E30387" s="21" t="s">
        <v>254</v>
      </c>
      <c r="F30387">
        <v>9140156</v>
      </c>
      <c r="G30387" t="s">
        <v>645</v>
      </c>
      <c r="H30387" s="21">
        <v>544.66999999999996</v>
      </c>
    </row>
    <row r="30388" spans="1:8" customFormat="1" x14ac:dyDescent="0.25">
      <c r="A30388" t="str">
        <f>"3525185"</f>
        <v>3525185</v>
      </c>
      <c r="B30388" t="s">
        <v>20821</v>
      </c>
      <c r="C30388" t="s">
        <v>2479</v>
      </c>
      <c r="D30388" s="21" t="s">
        <v>34</v>
      </c>
      <c r="E30388" s="21" t="s">
        <v>71</v>
      </c>
      <c r="F30388">
        <v>12440263</v>
      </c>
      <c r="G30388" t="s">
        <v>9503</v>
      </c>
      <c r="H30388" s="21">
        <v>544.66999999999996</v>
      </c>
    </row>
    <row r="30389" spans="1:8" customFormat="1" x14ac:dyDescent="0.25">
      <c r="A30389" t="str">
        <f>"32123"</f>
        <v>32123</v>
      </c>
      <c r="B30389" t="s">
        <v>877</v>
      </c>
      <c r="C30389" t="s">
        <v>1665</v>
      </c>
      <c r="D30389" s="21" t="s">
        <v>34</v>
      </c>
      <c r="E30389" s="21" t="s">
        <v>1089</v>
      </c>
      <c r="F30389">
        <v>11320032</v>
      </c>
      <c r="G30389" t="s">
        <v>5722</v>
      </c>
      <c r="H30389" s="21">
        <v>544.66999999999996</v>
      </c>
    </row>
    <row r="30390" spans="1:8" customFormat="1" x14ac:dyDescent="0.25">
      <c r="A30390" t="str">
        <f>"9450685"</f>
        <v>9450685</v>
      </c>
      <c r="B30390" t="s">
        <v>11865</v>
      </c>
      <c r="C30390" t="s">
        <v>1446</v>
      </c>
      <c r="D30390" s="21" t="s">
        <v>34</v>
      </c>
      <c r="E30390" s="21" t="s">
        <v>71</v>
      </c>
      <c r="F30390">
        <v>8940549</v>
      </c>
      <c r="G30390" t="s">
        <v>454</v>
      </c>
      <c r="H30390" s="21">
        <v>544.66999999999996</v>
      </c>
    </row>
    <row r="30391" spans="1:8" customFormat="1" x14ac:dyDescent="0.25">
      <c r="A30391" t="str">
        <f>"4220200"</f>
        <v>4220200</v>
      </c>
      <c r="B30391" t="s">
        <v>22840</v>
      </c>
      <c r="C30391" t="s">
        <v>2276</v>
      </c>
      <c r="D30391" s="21" t="s">
        <v>34</v>
      </c>
      <c r="E30391" s="21" t="s">
        <v>71</v>
      </c>
      <c r="F30391">
        <v>1420018</v>
      </c>
      <c r="G30391" t="s">
        <v>9778</v>
      </c>
      <c r="H30391" s="21">
        <v>544.66999999999996</v>
      </c>
    </row>
    <row r="30392" spans="1:8" customFormat="1" x14ac:dyDescent="0.25">
      <c r="A30392" t="str">
        <f>"7522200"</f>
        <v>7522200</v>
      </c>
      <c r="B30392" t="s">
        <v>21720</v>
      </c>
      <c r="C30392" t="s">
        <v>171</v>
      </c>
      <c r="D30392" s="21" t="s">
        <v>34</v>
      </c>
      <c r="E30392" s="21" t="s">
        <v>71</v>
      </c>
      <c r="F30392">
        <v>8750074</v>
      </c>
      <c r="G30392" t="s">
        <v>698</v>
      </c>
      <c r="H30392" s="21">
        <v>544.54</v>
      </c>
    </row>
    <row r="30393" spans="1:8" customFormat="1" x14ac:dyDescent="0.25">
      <c r="A30393" t="str">
        <f>"9459729"</f>
        <v>9459729</v>
      </c>
      <c r="B30393" t="s">
        <v>28221</v>
      </c>
      <c r="C30393" t="s">
        <v>311</v>
      </c>
      <c r="D30393" s="21" t="s">
        <v>34</v>
      </c>
      <c r="E30393" s="21" t="s">
        <v>35</v>
      </c>
      <c r="F30393">
        <v>8940052</v>
      </c>
      <c r="G30393" t="s">
        <v>190</v>
      </c>
      <c r="H30393" s="21">
        <v>544.5</v>
      </c>
    </row>
    <row r="30394" spans="1:8" customFormat="1" x14ac:dyDescent="0.25">
      <c r="A30394" t="str">
        <f>"4938937"</f>
        <v>4938937</v>
      </c>
      <c r="B30394" t="s">
        <v>5435</v>
      </c>
      <c r="C30394" t="s">
        <v>206</v>
      </c>
      <c r="D30394" s="21" t="s">
        <v>34</v>
      </c>
      <c r="E30394" s="21" t="s">
        <v>35</v>
      </c>
      <c r="F30394">
        <v>12490008</v>
      </c>
      <c r="G30394" t="s">
        <v>15452</v>
      </c>
      <c r="H30394" s="21">
        <v>544.5</v>
      </c>
    </row>
    <row r="30395" spans="1:8" customFormat="1" x14ac:dyDescent="0.25">
      <c r="A30395" t="str">
        <f>"4431011"</f>
        <v>4431011</v>
      </c>
      <c r="B30395" t="s">
        <v>4980</v>
      </c>
      <c r="C30395" t="s">
        <v>1665</v>
      </c>
      <c r="D30395" s="21" t="s">
        <v>34</v>
      </c>
      <c r="E30395" s="21" t="s">
        <v>35</v>
      </c>
      <c r="F30395">
        <v>12440004</v>
      </c>
      <c r="G30395" t="s">
        <v>26530</v>
      </c>
      <c r="H30395" s="21">
        <v>544.5</v>
      </c>
    </row>
    <row r="30396" spans="1:8" customFormat="1" x14ac:dyDescent="0.25">
      <c r="A30396" t="str">
        <f>"307055"</f>
        <v>307055</v>
      </c>
      <c r="B30396" t="s">
        <v>15285</v>
      </c>
      <c r="C30396" t="s">
        <v>2100</v>
      </c>
      <c r="D30396" s="21" t="s">
        <v>34</v>
      </c>
      <c r="E30396" s="21" t="s">
        <v>254</v>
      </c>
      <c r="F30396">
        <v>11300015</v>
      </c>
      <c r="G30396" t="s">
        <v>12613</v>
      </c>
      <c r="H30396" s="21">
        <v>544.41999999999996</v>
      </c>
    </row>
    <row r="30397" spans="1:8" customFormat="1" x14ac:dyDescent="0.25">
      <c r="A30397" t="str">
        <f>"7521444"</f>
        <v>7521444</v>
      </c>
      <c r="B30397" t="s">
        <v>9117</v>
      </c>
      <c r="C30397" t="s">
        <v>929</v>
      </c>
      <c r="D30397" s="21" t="s">
        <v>34</v>
      </c>
      <c r="E30397" s="21" t="s">
        <v>35</v>
      </c>
      <c r="F30397">
        <v>8751124</v>
      </c>
      <c r="G30397" t="s">
        <v>1481</v>
      </c>
      <c r="H30397" s="21">
        <v>544.38</v>
      </c>
    </row>
    <row r="30398" spans="1:8" customFormat="1" x14ac:dyDescent="0.25">
      <c r="A30398" t="str">
        <f>"0617452"</f>
        <v>0617452</v>
      </c>
      <c r="B30398" t="s">
        <v>23789</v>
      </c>
      <c r="C30398" t="s">
        <v>60</v>
      </c>
      <c r="D30398" s="21" t="s">
        <v>34</v>
      </c>
      <c r="E30398" s="21" t="s">
        <v>35</v>
      </c>
      <c r="F30398">
        <v>13060031</v>
      </c>
      <c r="G30398" t="s">
        <v>9379</v>
      </c>
      <c r="H30398" s="21">
        <v>544.38</v>
      </c>
    </row>
    <row r="30399" spans="1:8" customFormat="1" x14ac:dyDescent="0.25">
      <c r="A30399" t="str">
        <f>"6022679"</f>
        <v>6022679</v>
      </c>
      <c r="B30399" t="s">
        <v>22753</v>
      </c>
      <c r="C30399" t="s">
        <v>109</v>
      </c>
      <c r="D30399" s="21" t="s">
        <v>34</v>
      </c>
      <c r="E30399" s="21" t="s">
        <v>71</v>
      </c>
      <c r="F30399">
        <v>7600119</v>
      </c>
      <c r="G30399" t="s">
        <v>11415</v>
      </c>
      <c r="H30399" s="21">
        <v>544.38</v>
      </c>
    </row>
    <row r="30400" spans="1:8" customFormat="1" x14ac:dyDescent="0.25">
      <c r="A30400" t="str">
        <f>"408117"</f>
        <v>408117</v>
      </c>
      <c r="B30400" t="s">
        <v>4253</v>
      </c>
      <c r="C30400" t="s">
        <v>1025</v>
      </c>
      <c r="D30400" s="21" t="s">
        <v>34</v>
      </c>
      <c r="E30400" s="21" t="s">
        <v>254</v>
      </c>
      <c r="F30400">
        <v>10400013</v>
      </c>
      <c r="G30400" t="s">
        <v>6238</v>
      </c>
      <c r="H30400" s="21">
        <v>544.16999999999996</v>
      </c>
    </row>
    <row r="30401" spans="1:8" customFormat="1" x14ac:dyDescent="0.25">
      <c r="A30401" t="str">
        <f>"7732474"</f>
        <v>7732474</v>
      </c>
      <c r="B30401" t="s">
        <v>2868</v>
      </c>
      <c r="C30401" t="s">
        <v>462</v>
      </c>
      <c r="D30401" s="21" t="s">
        <v>34</v>
      </c>
      <c r="E30401" s="21" t="s">
        <v>71</v>
      </c>
      <c r="F30401">
        <v>8771501</v>
      </c>
      <c r="G30401" t="s">
        <v>10128</v>
      </c>
      <c r="H30401" s="21">
        <v>544.16999999999996</v>
      </c>
    </row>
    <row r="30402" spans="1:8" customFormat="1" x14ac:dyDescent="0.25">
      <c r="A30402" t="str">
        <f>"9138108"</f>
        <v>9138108</v>
      </c>
      <c r="B30402" t="s">
        <v>18188</v>
      </c>
      <c r="C30402" t="s">
        <v>239</v>
      </c>
      <c r="D30402" s="21" t="s">
        <v>34</v>
      </c>
      <c r="E30402" s="21" t="s">
        <v>254</v>
      </c>
      <c r="F30402">
        <v>8910402</v>
      </c>
      <c r="G30402" t="s">
        <v>1371</v>
      </c>
      <c r="H30402" s="21">
        <v>544.16999999999996</v>
      </c>
    </row>
    <row r="30403" spans="1:8" customFormat="1" x14ac:dyDescent="0.25">
      <c r="A30403" t="str">
        <f>"9411799"</f>
        <v>9411799</v>
      </c>
      <c r="B30403" t="s">
        <v>7208</v>
      </c>
      <c r="C30403" t="s">
        <v>2520</v>
      </c>
      <c r="D30403" s="21" t="s">
        <v>34</v>
      </c>
      <c r="E30403" s="21" t="s">
        <v>254</v>
      </c>
      <c r="F30403">
        <v>10860122</v>
      </c>
      <c r="G30403" t="s">
        <v>3800</v>
      </c>
      <c r="H30403" s="21">
        <v>544.16999999999996</v>
      </c>
    </row>
    <row r="30404" spans="1:8" customFormat="1" x14ac:dyDescent="0.25">
      <c r="A30404" t="str">
        <f>"601134"</f>
        <v>601134</v>
      </c>
      <c r="B30404" t="s">
        <v>18819</v>
      </c>
      <c r="C30404" t="s">
        <v>1025</v>
      </c>
      <c r="D30404" s="21" t="s">
        <v>34</v>
      </c>
      <c r="E30404" s="21" t="s">
        <v>254</v>
      </c>
      <c r="F30404">
        <v>7600069</v>
      </c>
      <c r="G30404" t="s">
        <v>195</v>
      </c>
      <c r="H30404" s="21">
        <v>544.16999999999996</v>
      </c>
    </row>
    <row r="30405" spans="1:8" customFormat="1" x14ac:dyDescent="0.25">
      <c r="A30405" t="str">
        <f>"5980648"</f>
        <v>5980648</v>
      </c>
      <c r="B30405" t="s">
        <v>24115</v>
      </c>
      <c r="C30405" t="s">
        <v>24116</v>
      </c>
      <c r="D30405" s="21" t="s">
        <v>34</v>
      </c>
      <c r="E30405" s="21" t="s">
        <v>71</v>
      </c>
      <c r="F30405">
        <v>7590416</v>
      </c>
      <c r="G30405" t="s">
        <v>16746</v>
      </c>
      <c r="H30405" s="21">
        <v>544.16999999999996</v>
      </c>
    </row>
    <row r="30406" spans="1:8" customFormat="1" x14ac:dyDescent="0.25">
      <c r="A30406" t="str">
        <f>"9239083"</f>
        <v>9239083</v>
      </c>
      <c r="B30406" t="s">
        <v>1959</v>
      </c>
      <c r="C30406" t="s">
        <v>209</v>
      </c>
      <c r="D30406" s="21" t="s">
        <v>34</v>
      </c>
      <c r="E30406" s="21" t="s">
        <v>71</v>
      </c>
      <c r="F30406">
        <v>8921164</v>
      </c>
      <c r="G30406" t="s">
        <v>5203</v>
      </c>
      <c r="H30406" s="21">
        <v>544.16999999999996</v>
      </c>
    </row>
    <row r="30407" spans="1:8" customFormat="1" x14ac:dyDescent="0.25">
      <c r="A30407" t="str">
        <f>"5944948"</f>
        <v>5944948</v>
      </c>
      <c r="B30407" t="s">
        <v>21883</v>
      </c>
      <c r="C30407" t="s">
        <v>2752</v>
      </c>
      <c r="D30407" s="21" t="s">
        <v>34</v>
      </c>
      <c r="E30407" s="21" t="s">
        <v>71</v>
      </c>
      <c r="F30407">
        <v>7590215</v>
      </c>
      <c r="G30407" t="s">
        <v>15580</v>
      </c>
      <c r="H30407" s="21">
        <v>544.16999999999996</v>
      </c>
    </row>
    <row r="30408" spans="1:8" customFormat="1" x14ac:dyDescent="0.25">
      <c r="A30408" t="str">
        <f>"4450328"</f>
        <v>4450328</v>
      </c>
      <c r="B30408" t="s">
        <v>946</v>
      </c>
      <c r="C30408" t="s">
        <v>82</v>
      </c>
      <c r="D30408" s="21" t="s">
        <v>34</v>
      </c>
      <c r="E30408" s="21" t="s">
        <v>71</v>
      </c>
      <c r="F30408">
        <v>12440084</v>
      </c>
      <c r="G30408" t="s">
        <v>1014</v>
      </c>
      <c r="H30408" s="21">
        <v>544.16999999999996</v>
      </c>
    </row>
    <row r="30409" spans="1:8" customFormat="1" x14ac:dyDescent="0.25">
      <c r="A30409" t="str">
        <f>"7640453"</f>
        <v>7640453</v>
      </c>
      <c r="B30409" t="s">
        <v>2842</v>
      </c>
      <c r="C30409" t="s">
        <v>484</v>
      </c>
      <c r="D30409" s="21" t="s">
        <v>34</v>
      </c>
      <c r="E30409" s="21" t="s">
        <v>35</v>
      </c>
      <c r="F30409">
        <v>9760428</v>
      </c>
      <c r="G30409" t="s">
        <v>5081</v>
      </c>
      <c r="H30409" s="21">
        <v>544.16999999999996</v>
      </c>
    </row>
    <row r="30410" spans="1:8" customFormat="1" x14ac:dyDescent="0.25">
      <c r="A30410" t="str">
        <f>"5325678"</f>
        <v>5325678</v>
      </c>
      <c r="B30410" t="s">
        <v>22134</v>
      </c>
      <c r="C30410" t="s">
        <v>1142</v>
      </c>
      <c r="D30410" s="21" t="s">
        <v>34</v>
      </c>
      <c r="E30410" s="21" t="s">
        <v>254</v>
      </c>
      <c r="F30410">
        <v>12530121</v>
      </c>
      <c r="G30410" t="s">
        <v>16301</v>
      </c>
      <c r="H30410" s="21">
        <v>544.16999999999996</v>
      </c>
    </row>
    <row r="30411" spans="1:8" customFormat="1" x14ac:dyDescent="0.25">
      <c r="A30411" t="str">
        <f>"9122607"</f>
        <v>9122607</v>
      </c>
      <c r="B30411" t="s">
        <v>22065</v>
      </c>
      <c r="C30411" t="s">
        <v>90</v>
      </c>
      <c r="D30411" s="21" t="s">
        <v>34</v>
      </c>
      <c r="E30411" s="21" t="s">
        <v>71</v>
      </c>
      <c r="F30411">
        <v>8910861</v>
      </c>
      <c r="G30411" t="s">
        <v>1120</v>
      </c>
      <c r="H30411" s="21">
        <v>544.16999999999996</v>
      </c>
    </row>
    <row r="30412" spans="1:8" customFormat="1" x14ac:dyDescent="0.25">
      <c r="A30412" t="str">
        <f>"5019799"</f>
        <v>5019799</v>
      </c>
      <c r="B30412" t="s">
        <v>21799</v>
      </c>
      <c r="C30412" t="s">
        <v>1146</v>
      </c>
      <c r="D30412" s="21" t="s">
        <v>34</v>
      </c>
      <c r="E30412" s="21" t="s">
        <v>254</v>
      </c>
      <c r="F30412">
        <v>9500157</v>
      </c>
      <c r="G30412" t="s">
        <v>5074</v>
      </c>
      <c r="H30412" s="21">
        <v>544.16999999999996</v>
      </c>
    </row>
    <row r="30413" spans="1:8" customFormat="1" x14ac:dyDescent="0.25">
      <c r="A30413" t="str">
        <f>"5938398"</f>
        <v>5938398</v>
      </c>
      <c r="B30413" t="s">
        <v>19589</v>
      </c>
      <c r="C30413" t="s">
        <v>55</v>
      </c>
      <c r="D30413" s="21" t="s">
        <v>34</v>
      </c>
      <c r="E30413" s="21" t="s">
        <v>71</v>
      </c>
      <c r="F30413">
        <v>7590173</v>
      </c>
      <c r="G30413" t="s">
        <v>5675</v>
      </c>
      <c r="H30413" s="21">
        <v>544.16999999999996</v>
      </c>
    </row>
    <row r="30414" spans="1:8" customFormat="1" x14ac:dyDescent="0.25">
      <c r="A30414" t="str">
        <f>"8615146"</f>
        <v>8615146</v>
      </c>
      <c r="B30414" t="s">
        <v>22364</v>
      </c>
      <c r="C30414" t="s">
        <v>60</v>
      </c>
      <c r="D30414" s="21" t="s">
        <v>34</v>
      </c>
      <c r="E30414" s="21" t="s">
        <v>35</v>
      </c>
      <c r="F30414">
        <v>10860016</v>
      </c>
      <c r="G30414" t="s">
        <v>3289</v>
      </c>
      <c r="H30414" s="21">
        <v>544.16999999999996</v>
      </c>
    </row>
    <row r="30415" spans="1:8" customFormat="1" x14ac:dyDescent="0.25">
      <c r="A30415" t="str">
        <f>"2931873"</f>
        <v>2931873</v>
      </c>
      <c r="B30415" t="s">
        <v>21659</v>
      </c>
      <c r="C30415" t="s">
        <v>415</v>
      </c>
      <c r="D30415" s="21" t="s">
        <v>34</v>
      </c>
      <c r="E30415" s="21" t="s">
        <v>254</v>
      </c>
      <c r="F30415">
        <v>3290221</v>
      </c>
      <c r="G30415" t="s">
        <v>3544</v>
      </c>
      <c r="H30415" s="21">
        <v>544.16999999999996</v>
      </c>
    </row>
    <row r="30416" spans="1:8" customFormat="1" x14ac:dyDescent="0.25">
      <c r="A30416" t="str">
        <f>"084733"</f>
        <v>084733</v>
      </c>
      <c r="B30416" t="s">
        <v>13248</v>
      </c>
      <c r="C30416" t="s">
        <v>415</v>
      </c>
      <c r="D30416" s="21" t="s">
        <v>34</v>
      </c>
      <c r="E30416" s="21" t="s">
        <v>254</v>
      </c>
      <c r="F30416">
        <v>6080044</v>
      </c>
      <c r="G30416" t="s">
        <v>7450</v>
      </c>
      <c r="H30416" s="21">
        <v>544.16999999999996</v>
      </c>
    </row>
    <row r="30417" spans="1:8" customFormat="1" x14ac:dyDescent="0.25">
      <c r="A30417" t="str">
        <f>"5326159"</f>
        <v>5326159</v>
      </c>
      <c r="B30417" t="s">
        <v>2010</v>
      </c>
      <c r="C30417" t="s">
        <v>547</v>
      </c>
      <c r="D30417" s="21" t="s">
        <v>34</v>
      </c>
      <c r="E30417" s="21" t="s">
        <v>254</v>
      </c>
      <c r="F30417">
        <v>12530018</v>
      </c>
      <c r="G30417" t="s">
        <v>8768</v>
      </c>
      <c r="H30417" s="21">
        <v>544.16999999999996</v>
      </c>
    </row>
    <row r="30418" spans="1:8" customFormat="1" x14ac:dyDescent="0.25">
      <c r="A30418" t="str">
        <f>"7636006"</f>
        <v>7636006</v>
      </c>
      <c r="B30418" t="s">
        <v>882</v>
      </c>
      <c r="C30418" t="s">
        <v>2072</v>
      </c>
      <c r="D30418" s="21" t="s">
        <v>34</v>
      </c>
      <c r="E30418" s="21" t="s">
        <v>1089</v>
      </c>
      <c r="F30418">
        <v>9760461</v>
      </c>
      <c r="G30418" t="s">
        <v>6804</v>
      </c>
      <c r="H30418" s="21">
        <v>544.16999999999996</v>
      </c>
    </row>
    <row r="30419" spans="1:8" customFormat="1" x14ac:dyDescent="0.25">
      <c r="A30419" t="str">
        <f>"4445075"</f>
        <v>4445075</v>
      </c>
      <c r="B30419" t="s">
        <v>20498</v>
      </c>
      <c r="C30419" t="s">
        <v>21491</v>
      </c>
      <c r="D30419" s="21" t="s">
        <v>34</v>
      </c>
      <c r="E30419" s="21" t="s">
        <v>254</v>
      </c>
      <c r="F30419">
        <v>12440064</v>
      </c>
      <c r="G30419" t="s">
        <v>9082</v>
      </c>
      <c r="H30419" s="21">
        <v>544.16999999999996</v>
      </c>
    </row>
    <row r="30420" spans="1:8" customFormat="1" x14ac:dyDescent="0.25">
      <c r="A30420" t="str">
        <f>"5424512"</f>
        <v>5424512</v>
      </c>
      <c r="B30420" t="s">
        <v>4535</v>
      </c>
      <c r="C30420" t="s">
        <v>2907</v>
      </c>
      <c r="D30420" s="21" t="s">
        <v>34</v>
      </c>
      <c r="E30420" s="21" t="s">
        <v>71</v>
      </c>
      <c r="F30420">
        <v>6540171</v>
      </c>
      <c r="G30420" t="s">
        <v>20414</v>
      </c>
      <c r="H30420" s="21">
        <v>544.16999999999996</v>
      </c>
    </row>
    <row r="30421" spans="1:8" customFormat="1" x14ac:dyDescent="0.25">
      <c r="A30421" t="str">
        <f>"6921218"</f>
        <v>6921218</v>
      </c>
      <c r="B30421" t="s">
        <v>20670</v>
      </c>
      <c r="C30421" t="s">
        <v>33</v>
      </c>
      <c r="D30421" s="21" t="s">
        <v>34</v>
      </c>
      <c r="E30421" s="21" t="s">
        <v>71</v>
      </c>
      <c r="F30421">
        <v>1690107</v>
      </c>
      <c r="G30421" t="s">
        <v>4163</v>
      </c>
      <c r="H30421" s="21">
        <v>544.16999999999996</v>
      </c>
    </row>
    <row r="30422" spans="1:8" customFormat="1" x14ac:dyDescent="0.25">
      <c r="A30422" t="str">
        <f>"9431932"</f>
        <v>9431932</v>
      </c>
      <c r="B30422" t="s">
        <v>21640</v>
      </c>
      <c r="C30422" t="s">
        <v>455</v>
      </c>
      <c r="D30422" s="21" t="s">
        <v>34</v>
      </c>
      <c r="E30422" s="21" t="s">
        <v>35</v>
      </c>
      <c r="F30422">
        <v>8940926</v>
      </c>
      <c r="G30422" t="s">
        <v>4065</v>
      </c>
      <c r="H30422" s="21">
        <v>544.16999999999996</v>
      </c>
    </row>
    <row r="30423" spans="1:8" customFormat="1" x14ac:dyDescent="0.25">
      <c r="A30423" t="str">
        <f>"3833391"</f>
        <v>3833391</v>
      </c>
      <c r="B30423" t="s">
        <v>14069</v>
      </c>
      <c r="C30423" t="s">
        <v>1119</v>
      </c>
      <c r="D30423" s="21" t="s">
        <v>34</v>
      </c>
      <c r="E30423" s="21" t="s">
        <v>71</v>
      </c>
      <c r="F30423">
        <v>1380068</v>
      </c>
      <c r="G30423" t="s">
        <v>12680</v>
      </c>
      <c r="H30423" s="21">
        <v>544.16999999999996</v>
      </c>
    </row>
    <row r="30424" spans="1:8" customFormat="1" x14ac:dyDescent="0.25">
      <c r="A30424" t="str">
        <f>"0613418"</f>
        <v>0613418</v>
      </c>
      <c r="B30424" t="s">
        <v>20484</v>
      </c>
      <c r="C30424" t="s">
        <v>267</v>
      </c>
      <c r="D30424" s="21" t="s">
        <v>34</v>
      </c>
      <c r="E30424" s="21" t="s">
        <v>1089</v>
      </c>
      <c r="F30424">
        <v>13060090</v>
      </c>
      <c r="G30424" t="s">
        <v>1363</v>
      </c>
      <c r="H30424" s="21">
        <v>544</v>
      </c>
    </row>
    <row r="30425" spans="1:8" customFormat="1" x14ac:dyDescent="0.25">
      <c r="A30425" t="str">
        <f>"5021292"</f>
        <v>5021292</v>
      </c>
      <c r="B30425" t="s">
        <v>9133</v>
      </c>
      <c r="C30425" t="s">
        <v>2520</v>
      </c>
      <c r="D30425" s="21" t="s">
        <v>34</v>
      </c>
      <c r="E30425" s="21" t="s">
        <v>71</v>
      </c>
      <c r="F30425">
        <v>9500131</v>
      </c>
      <c r="G30425" t="s">
        <v>1073</v>
      </c>
      <c r="H30425" s="21">
        <v>544</v>
      </c>
    </row>
    <row r="30426" spans="1:8" customFormat="1" x14ac:dyDescent="0.25">
      <c r="A30426" t="str">
        <f>"664715"</f>
        <v>664715</v>
      </c>
      <c r="B30426" t="s">
        <v>7512</v>
      </c>
      <c r="C30426" t="s">
        <v>239</v>
      </c>
      <c r="D30426" s="21" t="s">
        <v>34</v>
      </c>
      <c r="E30426" s="21" t="s">
        <v>71</v>
      </c>
      <c r="F30426">
        <v>11660032</v>
      </c>
      <c r="G30426" t="s">
        <v>3232</v>
      </c>
      <c r="H30426" s="21">
        <v>544</v>
      </c>
    </row>
    <row r="30427" spans="1:8" customFormat="1" x14ac:dyDescent="0.25">
      <c r="A30427" t="str">
        <f>"713534"</f>
        <v>713534</v>
      </c>
      <c r="B30427" t="s">
        <v>20707</v>
      </c>
      <c r="C30427" t="s">
        <v>263</v>
      </c>
      <c r="D30427" s="21" t="s">
        <v>34</v>
      </c>
      <c r="E30427" s="21" t="s">
        <v>71</v>
      </c>
      <c r="F30427">
        <v>2710067</v>
      </c>
      <c r="G30427" t="s">
        <v>284</v>
      </c>
      <c r="H30427" s="21">
        <v>543.91999999999996</v>
      </c>
    </row>
    <row r="30428" spans="1:8" customFormat="1" x14ac:dyDescent="0.25">
      <c r="A30428" t="str">
        <f>"1320788"</f>
        <v>1320788</v>
      </c>
      <c r="B30428" t="s">
        <v>23934</v>
      </c>
      <c r="C30428" t="s">
        <v>169</v>
      </c>
      <c r="D30428" s="21" t="s">
        <v>34</v>
      </c>
      <c r="E30428" s="21" t="s">
        <v>35</v>
      </c>
      <c r="F30428">
        <v>13130067</v>
      </c>
      <c r="G30428" t="s">
        <v>1420</v>
      </c>
      <c r="H30428" s="21">
        <v>543.91999999999996</v>
      </c>
    </row>
    <row r="30429" spans="1:8" customFormat="1" x14ac:dyDescent="0.25">
      <c r="A30429" t="str">
        <f>"5317268"</f>
        <v>5317268</v>
      </c>
      <c r="B30429" t="s">
        <v>26168</v>
      </c>
      <c r="C30429" t="s">
        <v>275</v>
      </c>
      <c r="D30429" s="21" t="s">
        <v>34</v>
      </c>
      <c r="E30429" s="21" t="s">
        <v>35</v>
      </c>
      <c r="F30429">
        <v>12530022</v>
      </c>
      <c r="G30429" t="s">
        <v>914</v>
      </c>
      <c r="H30429" s="21">
        <v>543.75</v>
      </c>
    </row>
    <row r="30430" spans="1:8" customFormat="1" x14ac:dyDescent="0.25">
      <c r="A30430" t="str">
        <f>"9530685"</f>
        <v>9530685</v>
      </c>
      <c r="B30430" t="s">
        <v>21255</v>
      </c>
      <c r="C30430" t="s">
        <v>21256</v>
      </c>
      <c r="D30430" s="21" t="s">
        <v>34</v>
      </c>
      <c r="E30430" s="21" t="s">
        <v>71</v>
      </c>
      <c r="F30430">
        <v>8950479</v>
      </c>
      <c r="G30430" t="s">
        <v>728</v>
      </c>
      <c r="H30430" s="21">
        <v>543.66999999999996</v>
      </c>
    </row>
    <row r="30431" spans="1:8" customFormat="1" x14ac:dyDescent="0.25">
      <c r="A30431" t="str">
        <f>"7727925"</f>
        <v>7727925</v>
      </c>
      <c r="B30431" t="s">
        <v>4468</v>
      </c>
      <c r="C30431" t="s">
        <v>209</v>
      </c>
      <c r="D30431" s="21" t="s">
        <v>34</v>
      </c>
      <c r="E30431" s="21" t="s">
        <v>254</v>
      </c>
      <c r="F30431">
        <v>8770911</v>
      </c>
      <c r="G30431" t="s">
        <v>4824</v>
      </c>
      <c r="H30431" s="21">
        <v>543.66999999999996</v>
      </c>
    </row>
    <row r="30432" spans="1:8" customFormat="1" x14ac:dyDescent="0.25">
      <c r="A30432" t="str">
        <f>"9238850"</f>
        <v>9238850</v>
      </c>
      <c r="B30432" t="s">
        <v>20746</v>
      </c>
      <c r="C30432" t="s">
        <v>171</v>
      </c>
      <c r="D30432" s="21" t="s">
        <v>34</v>
      </c>
      <c r="E30432" s="21" t="s">
        <v>254</v>
      </c>
      <c r="F30432">
        <v>8920111</v>
      </c>
      <c r="G30432" t="s">
        <v>1064</v>
      </c>
      <c r="H30432" s="21">
        <v>543.66999999999996</v>
      </c>
    </row>
    <row r="30433" spans="1:8" customFormat="1" x14ac:dyDescent="0.25">
      <c r="A30433" t="str">
        <f>"2925257"</f>
        <v>2925257</v>
      </c>
      <c r="B30433" t="s">
        <v>7686</v>
      </c>
      <c r="C30433" t="s">
        <v>3010</v>
      </c>
      <c r="D30433" s="21" t="s">
        <v>34</v>
      </c>
      <c r="E30433" s="21" t="s">
        <v>71</v>
      </c>
      <c r="F30433">
        <v>3290274</v>
      </c>
      <c r="G30433" t="s">
        <v>11751</v>
      </c>
      <c r="H30433" s="21">
        <v>543.66999999999996</v>
      </c>
    </row>
    <row r="30434" spans="1:8" customFormat="1" x14ac:dyDescent="0.25">
      <c r="A30434" t="str">
        <f>"181136"</f>
        <v>181136</v>
      </c>
      <c r="B30434" t="s">
        <v>20440</v>
      </c>
      <c r="C30434" t="s">
        <v>109</v>
      </c>
      <c r="D30434" s="21" t="s">
        <v>34</v>
      </c>
      <c r="E30434" s="21" t="s">
        <v>35</v>
      </c>
      <c r="F30434">
        <v>4180737</v>
      </c>
      <c r="G30434" t="s">
        <v>26856</v>
      </c>
      <c r="H30434" s="21">
        <v>543.66999999999996</v>
      </c>
    </row>
    <row r="30435" spans="1:8" customFormat="1" x14ac:dyDescent="0.25">
      <c r="A30435" t="str">
        <f>"5622024"</f>
        <v>5622024</v>
      </c>
      <c r="B30435" t="s">
        <v>28222</v>
      </c>
      <c r="C30435" t="s">
        <v>1132</v>
      </c>
      <c r="D30435" s="21" t="s">
        <v>34</v>
      </c>
      <c r="E30435" s="21" t="s">
        <v>35</v>
      </c>
      <c r="F30435">
        <v>3560088</v>
      </c>
      <c r="G30435" t="s">
        <v>15034</v>
      </c>
      <c r="H30435" s="21">
        <v>543.66999999999996</v>
      </c>
    </row>
    <row r="30436" spans="1:8" customFormat="1" x14ac:dyDescent="0.25">
      <c r="A30436" t="str">
        <f>"6227468"</f>
        <v>6227468</v>
      </c>
      <c r="B30436" t="s">
        <v>4695</v>
      </c>
      <c r="C30436" t="s">
        <v>462</v>
      </c>
      <c r="D30436" s="21" t="s">
        <v>34</v>
      </c>
      <c r="E30436" s="21" t="s">
        <v>71</v>
      </c>
      <c r="F30436">
        <v>7620104</v>
      </c>
      <c r="G30436" t="s">
        <v>635</v>
      </c>
      <c r="H30436" s="21">
        <v>543.66999999999996</v>
      </c>
    </row>
    <row r="30437" spans="1:8" customFormat="1" x14ac:dyDescent="0.25">
      <c r="A30437" t="str">
        <f>"568126"</f>
        <v>568126</v>
      </c>
      <c r="B30437" t="s">
        <v>679</v>
      </c>
      <c r="C30437" t="s">
        <v>3010</v>
      </c>
      <c r="D30437" s="21" t="s">
        <v>34</v>
      </c>
      <c r="E30437" s="21" t="s">
        <v>1089</v>
      </c>
      <c r="F30437">
        <v>3560053</v>
      </c>
      <c r="G30437" t="s">
        <v>298</v>
      </c>
      <c r="H30437" s="21">
        <v>543.66999999999996</v>
      </c>
    </row>
    <row r="30438" spans="1:8" customFormat="1" x14ac:dyDescent="0.25">
      <c r="A30438" t="str">
        <f>"5980300"</f>
        <v>5980300</v>
      </c>
      <c r="B30438" t="s">
        <v>21572</v>
      </c>
      <c r="C30438" t="s">
        <v>462</v>
      </c>
      <c r="D30438" s="21" t="s">
        <v>34</v>
      </c>
      <c r="E30438" s="21" t="s">
        <v>71</v>
      </c>
      <c r="F30438">
        <v>7590204</v>
      </c>
      <c r="G30438" t="s">
        <v>696</v>
      </c>
      <c r="H30438" s="21">
        <v>543.66999999999996</v>
      </c>
    </row>
    <row r="30439" spans="1:8" customFormat="1" x14ac:dyDescent="0.25">
      <c r="A30439" t="str">
        <f>"3427382"</f>
        <v>3427382</v>
      </c>
      <c r="B30439" t="s">
        <v>28223</v>
      </c>
      <c r="C30439" t="s">
        <v>96</v>
      </c>
      <c r="D30439" s="21" t="s">
        <v>34</v>
      </c>
      <c r="E30439" s="21" t="s">
        <v>35</v>
      </c>
      <c r="F30439">
        <v>11340075</v>
      </c>
      <c r="G30439" t="s">
        <v>18069</v>
      </c>
      <c r="H30439" s="21">
        <v>543.66999999999996</v>
      </c>
    </row>
    <row r="30440" spans="1:8" customFormat="1" x14ac:dyDescent="0.25">
      <c r="A30440" t="str">
        <f>"252913"</f>
        <v>252913</v>
      </c>
      <c r="B30440" t="s">
        <v>18908</v>
      </c>
      <c r="C30440" t="s">
        <v>1675</v>
      </c>
      <c r="D30440" s="21" t="s">
        <v>34</v>
      </c>
      <c r="E30440" s="21" t="s">
        <v>71</v>
      </c>
      <c r="F30440">
        <v>2700094</v>
      </c>
      <c r="G30440" t="s">
        <v>18448</v>
      </c>
      <c r="H30440" s="21">
        <v>543.66999999999996</v>
      </c>
    </row>
    <row r="30441" spans="1:8" customFormat="1" x14ac:dyDescent="0.25">
      <c r="A30441" t="str">
        <f>"6110885"</f>
        <v>6110885</v>
      </c>
      <c r="B30441" t="s">
        <v>8582</v>
      </c>
      <c r="C30441" t="s">
        <v>130</v>
      </c>
      <c r="D30441" s="21" t="s">
        <v>34</v>
      </c>
      <c r="E30441" s="21" t="s">
        <v>254</v>
      </c>
      <c r="F30441">
        <v>9610144</v>
      </c>
      <c r="G30441" t="s">
        <v>6311</v>
      </c>
      <c r="H30441" s="21">
        <v>543.66999999999996</v>
      </c>
    </row>
    <row r="30442" spans="1:8" customFormat="1" x14ac:dyDescent="0.25">
      <c r="A30442" t="str">
        <f>"4113105"</f>
        <v>4113105</v>
      </c>
      <c r="B30442" t="s">
        <v>9431</v>
      </c>
      <c r="C30442" t="s">
        <v>121</v>
      </c>
      <c r="D30442" s="21" t="s">
        <v>34</v>
      </c>
      <c r="E30442" s="21" t="s">
        <v>35</v>
      </c>
      <c r="F30442">
        <v>4410724</v>
      </c>
      <c r="G30442" t="s">
        <v>15872</v>
      </c>
      <c r="H30442" s="21">
        <v>543.66999999999996</v>
      </c>
    </row>
    <row r="30443" spans="1:8" customFormat="1" x14ac:dyDescent="0.25">
      <c r="A30443" t="str">
        <f>"697067"</f>
        <v>697067</v>
      </c>
      <c r="B30443" t="s">
        <v>17175</v>
      </c>
      <c r="C30443" t="s">
        <v>611</v>
      </c>
      <c r="D30443" s="21" t="s">
        <v>34</v>
      </c>
      <c r="E30443" s="21" t="s">
        <v>35</v>
      </c>
      <c r="F30443">
        <v>1690169</v>
      </c>
      <c r="G30443" t="s">
        <v>10963</v>
      </c>
      <c r="H30443" s="21">
        <v>543.66999999999996</v>
      </c>
    </row>
    <row r="30444" spans="1:8" customFormat="1" x14ac:dyDescent="0.25">
      <c r="A30444" t="str">
        <f>"6312586"</f>
        <v>6312586</v>
      </c>
      <c r="B30444" t="s">
        <v>21943</v>
      </c>
      <c r="C30444" t="s">
        <v>114</v>
      </c>
      <c r="D30444" s="21" t="s">
        <v>34</v>
      </c>
      <c r="E30444" s="21" t="s">
        <v>71</v>
      </c>
      <c r="F30444">
        <v>1630317</v>
      </c>
      <c r="G30444" t="s">
        <v>7523</v>
      </c>
      <c r="H30444" s="21">
        <v>543.5</v>
      </c>
    </row>
    <row r="30445" spans="1:8" customFormat="1" x14ac:dyDescent="0.25">
      <c r="A30445" t="str">
        <f>"9452522"</f>
        <v>9452522</v>
      </c>
      <c r="B30445" t="s">
        <v>24578</v>
      </c>
      <c r="C30445" t="s">
        <v>121</v>
      </c>
      <c r="D30445" s="21" t="s">
        <v>34</v>
      </c>
      <c r="E30445" s="21" t="s">
        <v>71</v>
      </c>
      <c r="F30445">
        <v>8940096</v>
      </c>
      <c r="G30445" t="s">
        <v>5453</v>
      </c>
      <c r="H30445" s="21">
        <v>543.5</v>
      </c>
    </row>
    <row r="30446" spans="1:8" customFormat="1" x14ac:dyDescent="0.25">
      <c r="A30446" t="str">
        <f>"7882799"</f>
        <v>7882799</v>
      </c>
      <c r="B30446" t="s">
        <v>1413</v>
      </c>
      <c r="C30446" t="s">
        <v>1665</v>
      </c>
      <c r="D30446" s="21" t="s">
        <v>34</v>
      </c>
      <c r="E30446" s="21" t="s">
        <v>71</v>
      </c>
      <c r="F30446">
        <v>8781380</v>
      </c>
      <c r="G30446" t="s">
        <v>10815</v>
      </c>
      <c r="H30446" s="21">
        <v>543.5</v>
      </c>
    </row>
    <row r="30447" spans="1:8" customFormat="1" x14ac:dyDescent="0.25">
      <c r="A30447" t="str">
        <f>"6813481"</f>
        <v>6813481</v>
      </c>
      <c r="B30447" t="s">
        <v>21889</v>
      </c>
      <c r="C30447" t="s">
        <v>209</v>
      </c>
      <c r="D30447" s="21" t="s">
        <v>34</v>
      </c>
      <c r="E30447" s="21" t="s">
        <v>35</v>
      </c>
      <c r="F30447">
        <v>6680130</v>
      </c>
      <c r="G30447" t="s">
        <v>26772</v>
      </c>
      <c r="H30447" s="21">
        <v>543.5</v>
      </c>
    </row>
    <row r="30448" spans="1:8" customFormat="1" x14ac:dyDescent="0.25">
      <c r="A30448" t="str">
        <f>"6234325"</f>
        <v>6234325</v>
      </c>
      <c r="B30448" t="s">
        <v>28224</v>
      </c>
      <c r="C30448" t="s">
        <v>204</v>
      </c>
      <c r="D30448" s="21" t="s">
        <v>34</v>
      </c>
      <c r="E30448" s="21" t="s">
        <v>35</v>
      </c>
      <c r="F30448">
        <v>7620185</v>
      </c>
      <c r="G30448" t="s">
        <v>1561</v>
      </c>
      <c r="H30448" s="21">
        <v>543.5</v>
      </c>
    </row>
    <row r="30449" spans="1:8" customFormat="1" x14ac:dyDescent="0.25">
      <c r="A30449" t="str">
        <f>"8315149"</f>
        <v>8315149</v>
      </c>
      <c r="B30449" t="s">
        <v>21092</v>
      </c>
      <c r="C30449" t="s">
        <v>249</v>
      </c>
      <c r="D30449" s="21" t="s">
        <v>34</v>
      </c>
      <c r="E30449" s="21" t="s">
        <v>35</v>
      </c>
      <c r="F30449">
        <v>13830044</v>
      </c>
      <c r="G30449" t="s">
        <v>945</v>
      </c>
      <c r="H30449" s="21">
        <v>543.41999999999996</v>
      </c>
    </row>
    <row r="30450" spans="1:8" customFormat="1" x14ac:dyDescent="0.25">
      <c r="A30450" t="str">
        <f>"1424471"</f>
        <v>1424471</v>
      </c>
      <c r="B30450" t="s">
        <v>23931</v>
      </c>
      <c r="C30450" t="s">
        <v>544</v>
      </c>
      <c r="D30450" s="21" t="s">
        <v>34</v>
      </c>
      <c r="E30450" s="21" t="s">
        <v>71</v>
      </c>
      <c r="F30450">
        <v>9140234</v>
      </c>
      <c r="G30450" t="s">
        <v>5548</v>
      </c>
      <c r="H30450" s="21">
        <v>543.16999999999996</v>
      </c>
    </row>
    <row r="30451" spans="1:8" customFormat="1" x14ac:dyDescent="0.25">
      <c r="A30451" t="str">
        <f>"7854405"</f>
        <v>7854405</v>
      </c>
      <c r="B30451" t="s">
        <v>20817</v>
      </c>
      <c r="C30451" t="s">
        <v>130</v>
      </c>
      <c r="D30451" s="21" t="s">
        <v>34</v>
      </c>
      <c r="E30451" s="21" t="s">
        <v>35</v>
      </c>
      <c r="F30451">
        <v>13830025</v>
      </c>
      <c r="G30451" t="s">
        <v>106</v>
      </c>
      <c r="H30451" s="21">
        <v>543.16999999999996</v>
      </c>
    </row>
    <row r="30452" spans="1:8" customFormat="1" x14ac:dyDescent="0.25">
      <c r="A30452" t="str">
        <f>"6724060"</f>
        <v>6724060</v>
      </c>
      <c r="B30452" t="s">
        <v>21505</v>
      </c>
      <c r="C30452" t="s">
        <v>33</v>
      </c>
      <c r="D30452" s="21" t="s">
        <v>34</v>
      </c>
      <c r="E30452" s="21" t="s">
        <v>35</v>
      </c>
      <c r="F30452">
        <v>6670257</v>
      </c>
      <c r="G30452" t="s">
        <v>26708</v>
      </c>
      <c r="H30452" s="21">
        <v>543.16999999999996</v>
      </c>
    </row>
    <row r="30453" spans="1:8" customFormat="1" x14ac:dyDescent="0.25">
      <c r="A30453" t="str">
        <f>"588692"</f>
        <v>588692</v>
      </c>
      <c r="B30453" t="s">
        <v>1614</v>
      </c>
      <c r="C30453" t="s">
        <v>187</v>
      </c>
      <c r="D30453" s="21" t="s">
        <v>34</v>
      </c>
      <c r="E30453" s="21" t="s">
        <v>71</v>
      </c>
      <c r="F30453">
        <v>2580006</v>
      </c>
      <c r="G30453" t="s">
        <v>4813</v>
      </c>
      <c r="H30453" s="21">
        <v>543.16999999999996</v>
      </c>
    </row>
    <row r="30454" spans="1:8" customFormat="1" x14ac:dyDescent="0.25">
      <c r="A30454" t="str">
        <f>"6949796"</f>
        <v>6949796</v>
      </c>
      <c r="B30454" t="s">
        <v>28225</v>
      </c>
      <c r="C30454" t="s">
        <v>156</v>
      </c>
      <c r="D30454" s="21" t="s">
        <v>34</v>
      </c>
      <c r="E30454" s="21" t="s">
        <v>71</v>
      </c>
      <c r="F30454">
        <v>1690034</v>
      </c>
      <c r="G30454" t="s">
        <v>8838</v>
      </c>
      <c r="H30454" s="21">
        <v>543.16999999999996</v>
      </c>
    </row>
    <row r="30455" spans="1:8" customFormat="1" x14ac:dyDescent="0.25">
      <c r="A30455" t="str">
        <f>"859397"</f>
        <v>859397</v>
      </c>
      <c r="B30455" t="s">
        <v>20173</v>
      </c>
      <c r="C30455" t="s">
        <v>415</v>
      </c>
      <c r="D30455" s="21" t="s">
        <v>34</v>
      </c>
      <c r="E30455" s="21" t="s">
        <v>254</v>
      </c>
      <c r="F30455">
        <v>12850135</v>
      </c>
      <c r="G30455" t="s">
        <v>5201</v>
      </c>
      <c r="H30455" s="21">
        <v>543.16999999999996</v>
      </c>
    </row>
    <row r="30456" spans="1:8" customFormat="1" x14ac:dyDescent="0.25">
      <c r="A30456" t="str">
        <f>"533169"</f>
        <v>533169</v>
      </c>
      <c r="B30456" t="s">
        <v>20223</v>
      </c>
      <c r="C30456" t="s">
        <v>3073</v>
      </c>
      <c r="D30456" s="21" t="s">
        <v>34</v>
      </c>
      <c r="E30456" s="21" t="s">
        <v>1089</v>
      </c>
      <c r="F30456">
        <v>12530114</v>
      </c>
      <c r="G30456" t="s">
        <v>1342</v>
      </c>
      <c r="H30456" s="21">
        <v>543.16999999999996</v>
      </c>
    </row>
    <row r="30457" spans="1:8" customFormat="1" x14ac:dyDescent="0.25">
      <c r="A30457" t="str">
        <f>"2514615"</f>
        <v>2514615</v>
      </c>
      <c r="B30457" t="s">
        <v>22094</v>
      </c>
      <c r="C30457" t="s">
        <v>3073</v>
      </c>
      <c r="D30457" s="21" t="s">
        <v>34</v>
      </c>
      <c r="E30457" s="21" t="s">
        <v>254</v>
      </c>
      <c r="F30457">
        <v>2250211</v>
      </c>
      <c r="G30457" t="s">
        <v>9174</v>
      </c>
      <c r="H30457" s="21">
        <v>543.16999999999996</v>
      </c>
    </row>
    <row r="30458" spans="1:8" customFormat="1" x14ac:dyDescent="0.25">
      <c r="A30458" t="str">
        <f>"114429"</f>
        <v>114429</v>
      </c>
      <c r="B30458" t="s">
        <v>23648</v>
      </c>
      <c r="C30458" t="s">
        <v>62</v>
      </c>
      <c r="D30458" s="21" t="s">
        <v>34</v>
      </c>
      <c r="E30458" s="21" t="s">
        <v>35</v>
      </c>
      <c r="F30458">
        <v>11110015</v>
      </c>
      <c r="G30458" t="s">
        <v>26669</v>
      </c>
      <c r="H30458" s="21">
        <v>543.16999999999996</v>
      </c>
    </row>
    <row r="30459" spans="1:8" customFormat="1" x14ac:dyDescent="0.25">
      <c r="A30459" t="str">
        <f>"2110463"</f>
        <v>2110463</v>
      </c>
      <c r="B30459" t="s">
        <v>10498</v>
      </c>
      <c r="C30459" t="s">
        <v>249</v>
      </c>
      <c r="D30459" s="21" t="s">
        <v>34</v>
      </c>
      <c r="E30459" s="21" t="s">
        <v>35</v>
      </c>
      <c r="F30459">
        <v>2210029</v>
      </c>
      <c r="G30459" t="s">
        <v>6983</v>
      </c>
      <c r="H30459" s="21">
        <v>543.16999999999996</v>
      </c>
    </row>
    <row r="30460" spans="1:8" customFormat="1" x14ac:dyDescent="0.25">
      <c r="A30460" t="str">
        <f>"9453146"</f>
        <v>9453146</v>
      </c>
      <c r="B30460" t="s">
        <v>12320</v>
      </c>
      <c r="C30460" t="s">
        <v>2907</v>
      </c>
      <c r="D30460" s="21" t="s">
        <v>34</v>
      </c>
      <c r="E30460" s="21" t="s">
        <v>254</v>
      </c>
      <c r="F30460">
        <v>10330004</v>
      </c>
      <c r="G30460" t="s">
        <v>525</v>
      </c>
      <c r="H30460" s="21">
        <v>543.16999999999996</v>
      </c>
    </row>
    <row r="30461" spans="1:8" customFormat="1" x14ac:dyDescent="0.25">
      <c r="A30461" t="str">
        <f>"366868"</f>
        <v>366868</v>
      </c>
      <c r="B30461" t="s">
        <v>20754</v>
      </c>
      <c r="C30461" t="s">
        <v>1841</v>
      </c>
      <c r="D30461" s="21" t="s">
        <v>34</v>
      </c>
      <c r="E30461" s="21" t="s">
        <v>1089</v>
      </c>
      <c r="F30461">
        <v>4360707</v>
      </c>
      <c r="G30461" t="s">
        <v>6621</v>
      </c>
      <c r="H30461" s="21">
        <v>543.16999999999996</v>
      </c>
    </row>
    <row r="30462" spans="1:8" customFormat="1" x14ac:dyDescent="0.25">
      <c r="A30462" t="str">
        <f>"4511969"</f>
        <v>4511969</v>
      </c>
      <c r="B30462" t="s">
        <v>28226</v>
      </c>
      <c r="C30462" t="s">
        <v>812</v>
      </c>
      <c r="D30462" s="21" t="s">
        <v>34</v>
      </c>
      <c r="E30462" s="21" t="s">
        <v>254</v>
      </c>
      <c r="F30462">
        <v>4450417</v>
      </c>
      <c r="G30462" t="s">
        <v>2284</v>
      </c>
      <c r="H30462" s="21">
        <v>543.16999999999996</v>
      </c>
    </row>
    <row r="30463" spans="1:8" customFormat="1" x14ac:dyDescent="0.25">
      <c r="A30463" t="str">
        <f>"5918422"</f>
        <v>5918422</v>
      </c>
      <c r="B30463" t="s">
        <v>11385</v>
      </c>
      <c r="C30463" t="s">
        <v>412</v>
      </c>
      <c r="D30463" s="21" t="s">
        <v>34</v>
      </c>
      <c r="E30463" s="21" t="s">
        <v>35</v>
      </c>
      <c r="F30463">
        <v>7590215</v>
      </c>
      <c r="G30463" t="s">
        <v>15580</v>
      </c>
      <c r="H30463" s="21">
        <v>543.16999999999996</v>
      </c>
    </row>
    <row r="30464" spans="1:8" customFormat="1" x14ac:dyDescent="0.25">
      <c r="A30464" t="str">
        <f>"6021655"</f>
        <v>6021655</v>
      </c>
      <c r="B30464" t="s">
        <v>22186</v>
      </c>
      <c r="C30464" t="s">
        <v>169</v>
      </c>
      <c r="D30464" s="21" t="s">
        <v>34</v>
      </c>
      <c r="E30464" s="21" t="s">
        <v>35</v>
      </c>
      <c r="F30464">
        <v>7600163</v>
      </c>
      <c r="G30464" t="s">
        <v>12203</v>
      </c>
      <c r="H30464" s="21">
        <v>543.16999999999996</v>
      </c>
    </row>
    <row r="30465" spans="1:8" customFormat="1" x14ac:dyDescent="0.25">
      <c r="A30465" t="str">
        <f>"668172"</f>
        <v>668172</v>
      </c>
      <c r="B30465" t="s">
        <v>21599</v>
      </c>
      <c r="C30465" t="s">
        <v>21600</v>
      </c>
      <c r="D30465" s="21" t="s">
        <v>34</v>
      </c>
      <c r="E30465" s="21" t="s">
        <v>254</v>
      </c>
      <c r="F30465">
        <v>11660041</v>
      </c>
      <c r="G30465" t="s">
        <v>18594</v>
      </c>
      <c r="H30465" s="21">
        <v>543.16999999999996</v>
      </c>
    </row>
    <row r="30466" spans="1:8" customFormat="1" x14ac:dyDescent="0.25">
      <c r="A30466" t="str">
        <f>"2934234"</f>
        <v>2934234</v>
      </c>
      <c r="B30466" t="s">
        <v>13390</v>
      </c>
      <c r="C30466" t="s">
        <v>209</v>
      </c>
      <c r="D30466" s="21" t="s">
        <v>34</v>
      </c>
      <c r="E30466" s="21" t="s">
        <v>71</v>
      </c>
      <c r="F30466">
        <v>3290244</v>
      </c>
      <c r="G30466" t="s">
        <v>573</v>
      </c>
      <c r="H30466" s="21">
        <v>543.16999999999996</v>
      </c>
    </row>
    <row r="30467" spans="1:8" customFormat="1" x14ac:dyDescent="0.25">
      <c r="A30467" t="str">
        <f>"565793"</f>
        <v>565793</v>
      </c>
      <c r="B30467" t="s">
        <v>6831</v>
      </c>
      <c r="C30467" t="s">
        <v>1597</v>
      </c>
      <c r="D30467" s="21" t="s">
        <v>34</v>
      </c>
      <c r="E30467" s="21" t="s">
        <v>71</v>
      </c>
      <c r="F30467">
        <v>3560023</v>
      </c>
      <c r="G30467" t="s">
        <v>8213</v>
      </c>
      <c r="H30467" s="21">
        <v>543.16999999999996</v>
      </c>
    </row>
    <row r="30468" spans="1:8" customFormat="1" x14ac:dyDescent="0.25">
      <c r="A30468" t="str">
        <f>"4711045"</f>
        <v>4711045</v>
      </c>
      <c r="B30468" t="s">
        <v>2508</v>
      </c>
      <c r="C30468" t="s">
        <v>10743</v>
      </c>
      <c r="D30468" s="21" t="s">
        <v>34</v>
      </c>
      <c r="E30468" s="21" t="s">
        <v>35</v>
      </c>
      <c r="F30468">
        <v>10470021</v>
      </c>
      <c r="G30468" t="s">
        <v>1034</v>
      </c>
      <c r="H30468" s="21">
        <v>543.16999999999996</v>
      </c>
    </row>
    <row r="30469" spans="1:8" customFormat="1" x14ac:dyDescent="0.25">
      <c r="A30469" t="str">
        <f>"9458622"</f>
        <v>9458622</v>
      </c>
      <c r="B30469" t="s">
        <v>28227</v>
      </c>
      <c r="C30469" t="s">
        <v>601</v>
      </c>
      <c r="D30469" s="21" t="s">
        <v>34</v>
      </c>
      <c r="E30469" s="21" t="s">
        <v>35</v>
      </c>
      <c r="F30469">
        <v>8940577</v>
      </c>
      <c r="G30469" t="s">
        <v>3774</v>
      </c>
      <c r="H30469" s="21">
        <v>543.16999999999996</v>
      </c>
    </row>
    <row r="30470" spans="1:8" customFormat="1" x14ac:dyDescent="0.25">
      <c r="A30470" t="str">
        <f>"5432284"</f>
        <v>5432284</v>
      </c>
      <c r="B30470" t="s">
        <v>22352</v>
      </c>
      <c r="C30470" t="s">
        <v>4260</v>
      </c>
      <c r="D30470" s="21" t="s">
        <v>34</v>
      </c>
      <c r="E30470" s="21" t="s">
        <v>35</v>
      </c>
      <c r="F30470">
        <v>6540040</v>
      </c>
      <c r="G30470" t="s">
        <v>256</v>
      </c>
      <c r="H30470" s="21">
        <v>543.16999999999996</v>
      </c>
    </row>
    <row r="30471" spans="1:8" customFormat="1" x14ac:dyDescent="0.25">
      <c r="A30471" t="str">
        <f>"5015485"</f>
        <v>5015485</v>
      </c>
      <c r="B30471" t="s">
        <v>21850</v>
      </c>
      <c r="C30471" t="s">
        <v>4267</v>
      </c>
      <c r="D30471" s="21" t="s">
        <v>34</v>
      </c>
      <c r="E30471" s="21" t="s">
        <v>1089</v>
      </c>
      <c r="F30471">
        <v>9500161</v>
      </c>
      <c r="G30471" t="s">
        <v>11812</v>
      </c>
      <c r="H30471" s="21">
        <v>543.16999999999996</v>
      </c>
    </row>
    <row r="30472" spans="1:8" customFormat="1" x14ac:dyDescent="0.25">
      <c r="A30472" t="str">
        <f>"4524866"</f>
        <v>4524866</v>
      </c>
      <c r="B30472" t="s">
        <v>21134</v>
      </c>
      <c r="C30472" t="s">
        <v>598</v>
      </c>
      <c r="D30472" s="21" t="s">
        <v>34</v>
      </c>
      <c r="E30472" s="21" t="s">
        <v>71</v>
      </c>
      <c r="F30472">
        <v>4450026</v>
      </c>
      <c r="G30472" t="s">
        <v>291</v>
      </c>
      <c r="H30472" s="21">
        <v>543.16999999999996</v>
      </c>
    </row>
    <row r="30473" spans="1:8" customFormat="1" x14ac:dyDescent="0.25">
      <c r="A30473" t="str">
        <f>"6110881"</f>
        <v>6110881</v>
      </c>
      <c r="B30473" t="s">
        <v>4959</v>
      </c>
      <c r="C30473" t="s">
        <v>263</v>
      </c>
      <c r="D30473" s="21" t="s">
        <v>34</v>
      </c>
      <c r="E30473" s="21" t="s">
        <v>71</v>
      </c>
      <c r="F30473">
        <v>9610144</v>
      </c>
      <c r="G30473" t="s">
        <v>6311</v>
      </c>
      <c r="H30473" s="21">
        <v>543.16999999999996</v>
      </c>
    </row>
    <row r="30474" spans="1:8" customFormat="1" x14ac:dyDescent="0.25">
      <c r="A30474" t="str">
        <f>"5323037"</f>
        <v>5323037</v>
      </c>
      <c r="B30474" t="s">
        <v>2405</v>
      </c>
      <c r="C30474" t="s">
        <v>1110</v>
      </c>
      <c r="D30474" s="21" t="s">
        <v>34</v>
      </c>
      <c r="E30474" s="21" t="s">
        <v>71</v>
      </c>
      <c r="F30474">
        <v>12530068</v>
      </c>
      <c r="G30474" t="s">
        <v>5165</v>
      </c>
      <c r="H30474" s="21">
        <v>543.16999999999996</v>
      </c>
    </row>
    <row r="30475" spans="1:8" customFormat="1" x14ac:dyDescent="0.25">
      <c r="A30475" t="str">
        <f>"3725275"</f>
        <v>3725275</v>
      </c>
      <c r="B30475" t="s">
        <v>28228</v>
      </c>
      <c r="C30475" t="s">
        <v>388</v>
      </c>
      <c r="D30475" s="21" t="s">
        <v>34</v>
      </c>
      <c r="E30475" s="21" t="s">
        <v>71</v>
      </c>
      <c r="F30475">
        <v>4370269</v>
      </c>
      <c r="G30475" t="s">
        <v>4277</v>
      </c>
      <c r="H30475" s="21">
        <v>543.16999999999996</v>
      </c>
    </row>
    <row r="30476" spans="1:8" customFormat="1" x14ac:dyDescent="0.25">
      <c r="A30476" t="str">
        <f>"2810681"</f>
        <v>2810681</v>
      </c>
      <c r="B30476" t="s">
        <v>20764</v>
      </c>
      <c r="C30476" t="s">
        <v>3393</v>
      </c>
      <c r="D30476" s="21" t="s">
        <v>34</v>
      </c>
      <c r="E30476" s="21" t="s">
        <v>35</v>
      </c>
      <c r="F30476">
        <v>4280121</v>
      </c>
      <c r="G30476" t="s">
        <v>4565</v>
      </c>
      <c r="H30476" s="21">
        <v>543.04</v>
      </c>
    </row>
    <row r="30477" spans="1:8" customFormat="1" x14ac:dyDescent="0.25">
      <c r="A30477" t="str">
        <f>"5980781"</f>
        <v>5980781</v>
      </c>
      <c r="B30477" t="s">
        <v>11868</v>
      </c>
      <c r="C30477" t="s">
        <v>934</v>
      </c>
      <c r="D30477" s="21" t="s">
        <v>34</v>
      </c>
      <c r="E30477" s="21" t="s">
        <v>35</v>
      </c>
      <c r="F30477">
        <v>7590259</v>
      </c>
      <c r="G30477" t="s">
        <v>6385</v>
      </c>
      <c r="H30477" s="21">
        <v>543</v>
      </c>
    </row>
    <row r="30478" spans="1:8" customFormat="1" x14ac:dyDescent="0.25">
      <c r="A30478" t="str">
        <f>"6948637"</f>
        <v>6948637</v>
      </c>
      <c r="B30478" t="s">
        <v>24195</v>
      </c>
      <c r="C30478" t="s">
        <v>598</v>
      </c>
      <c r="D30478" s="21" t="s">
        <v>34</v>
      </c>
      <c r="E30478" s="21" t="s">
        <v>71</v>
      </c>
      <c r="F30478">
        <v>1690034</v>
      </c>
      <c r="G30478" t="s">
        <v>8838</v>
      </c>
      <c r="H30478" s="21">
        <v>543</v>
      </c>
    </row>
    <row r="30479" spans="1:8" customFormat="1" x14ac:dyDescent="0.25">
      <c r="A30479" t="str">
        <f>"6316855"</f>
        <v>6316855</v>
      </c>
      <c r="B30479" t="s">
        <v>17539</v>
      </c>
      <c r="C30479" t="s">
        <v>65</v>
      </c>
      <c r="D30479" s="21" t="s">
        <v>34</v>
      </c>
      <c r="E30479" s="21" t="s">
        <v>35</v>
      </c>
      <c r="F30479">
        <v>1630317</v>
      </c>
      <c r="G30479" t="s">
        <v>7523</v>
      </c>
      <c r="H30479" s="21">
        <v>543</v>
      </c>
    </row>
    <row r="30480" spans="1:8" customFormat="1" x14ac:dyDescent="0.25">
      <c r="A30480" t="str">
        <f>"1614448"</f>
        <v>1614448</v>
      </c>
      <c r="B30480" t="s">
        <v>28229</v>
      </c>
      <c r="C30480" t="s">
        <v>285</v>
      </c>
      <c r="D30480" s="21" t="s">
        <v>34</v>
      </c>
      <c r="E30480" s="21" t="s">
        <v>35</v>
      </c>
      <c r="F30480">
        <v>10160236</v>
      </c>
      <c r="G30480" t="s">
        <v>7202</v>
      </c>
      <c r="H30480" s="21">
        <v>543</v>
      </c>
    </row>
    <row r="30481" spans="1:8" customFormat="1" x14ac:dyDescent="0.25">
      <c r="A30481" t="str">
        <f>"3536145"</f>
        <v>3536145</v>
      </c>
      <c r="B30481" t="s">
        <v>22710</v>
      </c>
      <c r="C30481" t="s">
        <v>121</v>
      </c>
      <c r="D30481" s="21" t="s">
        <v>34</v>
      </c>
      <c r="E30481" s="21" t="s">
        <v>35</v>
      </c>
      <c r="F30481">
        <v>3350092</v>
      </c>
      <c r="G30481" t="s">
        <v>26881</v>
      </c>
      <c r="H30481" s="21">
        <v>543</v>
      </c>
    </row>
    <row r="30482" spans="1:8" customFormat="1" x14ac:dyDescent="0.25">
      <c r="A30482" t="str">
        <f>"5984273"</f>
        <v>5984273</v>
      </c>
      <c r="B30482" t="s">
        <v>3424</v>
      </c>
      <c r="C30482" t="s">
        <v>149</v>
      </c>
      <c r="D30482" s="21" t="s">
        <v>34</v>
      </c>
      <c r="E30482" s="21" t="s">
        <v>35</v>
      </c>
      <c r="F30482">
        <v>7590024</v>
      </c>
      <c r="G30482" t="s">
        <v>14009</v>
      </c>
      <c r="H30482" s="21">
        <v>543</v>
      </c>
    </row>
    <row r="30483" spans="1:8" customFormat="1" x14ac:dyDescent="0.25">
      <c r="A30483" t="str">
        <f>"3117308"</f>
        <v>3117308</v>
      </c>
      <c r="B30483" t="s">
        <v>24562</v>
      </c>
      <c r="C30483" t="s">
        <v>87</v>
      </c>
      <c r="D30483" s="21" t="s">
        <v>34</v>
      </c>
      <c r="E30483" s="21" t="s">
        <v>71</v>
      </c>
      <c r="F30483">
        <v>4280529</v>
      </c>
      <c r="G30483" t="s">
        <v>2970</v>
      </c>
      <c r="H30483" s="21">
        <v>542.91999999999996</v>
      </c>
    </row>
    <row r="30484" spans="1:8" customFormat="1" x14ac:dyDescent="0.25">
      <c r="A30484" t="str">
        <f>"1416222"</f>
        <v>1416222</v>
      </c>
      <c r="B30484" t="s">
        <v>19016</v>
      </c>
      <c r="C30484" t="s">
        <v>267</v>
      </c>
      <c r="D30484" s="21" t="s">
        <v>34</v>
      </c>
      <c r="E30484" s="21" t="s">
        <v>6185</v>
      </c>
      <c r="F30484">
        <v>9140227</v>
      </c>
      <c r="G30484" t="s">
        <v>5130</v>
      </c>
      <c r="H30484" s="21">
        <v>542.91999999999996</v>
      </c>
    </row>
    <row r="30485" spans="1:8" customFormat="1" x14ac:dyDescent="0.25">
      <c r="A30485" t="str">
        <f>"7113506"</f>
        <v>7113506</v>
      </c>
      <c r="B30485" t="s">
        <v>28230</v>
      </c>
      <c r="C30485" t="s">
        <v>415</v>
      </c>
      <c r="D30485" s="21" t="s">
        <v>34</v>
      </c>
      <c r="E30485" s="21" t="s">
        <v>35</v>
      </c>
      <c r="F30485">
        <v>2710067</v>
      </c>
      <c r="G30485" t="s">
        <v>284</v>
      </c>
      <c r="H30485" s="21">
        <v>542.91999999999996</v>
      </c>
    </row>
    <row r="30486" spans="1:8" customFormat="1" x14ac:dyDescent="0.25">
      <c r="A30486" t="str">
        <f>"3332712"</f>
        <v>3332712</v>
      </c>
      <c r="B30486" t="s">
        <v>20664</v>
      </c>
      <c r="C30486" t="s">
        <v>3456</v>
      </c>
      <c r="D30486" s="21" t="s">
        <v>34</v>
      </c>
      <c r="E30486" s="21" t="s">
        <v>254</v>
      </c>
      <c r="F30486">
        <v>10330022</v>
      </c>
      <c r="G30486" t="s">
        <v>1830</v>
      </c>
      <c r="H30486" s="21">
        <v>542.91999999999996</v>
      </c>
    </row>
    <row r="30487" spans="1:8" customFormat="1" x14ac:dyDescent="0.25">
      <c r="A30487" t="str">
        <f>"219235"</f>
        <v>219235</v>
      </c>
      <c r="B30487" t="s">
        <v>20716</v>
      </c>
      <c r="C30487" t="s">
        <v>812</v>
      </c>
      <c r="D30487" s="21" t="s">
        <v>34</v>
      </c>
      <c r="E30487" s="21" t="s">
        <v>1089</v>
      </c>
      <c r="F30487">
        <v>2210088</v>
      </c>
      <c r="G30487" t="s">
        <v>2896</v>
      </c>
      <c r="H30487" s="21">
        <v>542.79</v>
      </c>
    </row>
    <row r="30488" spans="1:8" customFormat="1" x14ac:dyDescent="0.25">
      <c r="A30488" t="str">
        <f>"0810433"</f>
        <v>0810433</v>
      </c>
      <c r="B30488" t="s">
        <v>15130</v>
      </c>
      <c r="C30488" t="s">
        <v>498</v>
      </c>
      <c r="D30488" s="21" t="s">
        <v>34</v>
      </c>
      <c r="E30488" s="21" t="s">
        <v>35</v>
      </c>
      <c r="F30488">
        <v>6080043</v>
      </c>
      <c r="G30488" t="s">
        <v>961</v>
      </c>
      <c r="H30488" s="21">
        <v>542.66999999999996</v>
      </c>
    </row>
    <row r="30489" spans="1:8" customFormat="1" x14ac:dyDescent="0.25">
      <c r="A30489" t="str">
        <f>"6023408"</f>
        <v>6023408</v>
      </c>
      <c r="B30489" t="s">
        <v>28231</v>
      </c>
      <c r="C30489" t="s">
        <v>302</v>
      </c>
      <c r="D30489" s="21" t="s">
        <v>34</v>
      </c>
      <c r="E30489" s="21" t="s">
        <v>35</v>
      </c>
      <c r="F30489">
        <v>7600154</v>
      </c>
      <c r="G30489" t="s">
        <v>7836</v>
      </c>
      <c r="H30489" s="21">
        <v>542.66999999999996</v>
      </c>
    </row>
    <row r="30490" spans="1:8" customFormat="1" x14ac:dyDescent="0.25">
      <c r="A30490" t="str">
        <f>"5978479"</f>
        <v>5978479</v>
      </c>
      <c r="B30490" t="s">
        <v>28232</v>
      </c>
      <c r="C30490" t="s">
        <v>23085</v>
      </c>
      <c r="D30490" s="21" t="s">
        <v>34</v>
      </c>
      <c r="E30490" s="21" t="s">
        <v>35</v>
      </c>
      <c r="F30490">
        <v>7590126</v>
      </c>
      <c r="G30490" t="s">
        <v>4749</v>
      </c>
      <c r="H30490" s="21">
        <v>542.66999999999996</v>
      </c>
    </row>
    <row r="30491" spans="1:8" customFormat="1" x14ac:dyDescent="0.25">
      <c r="A30491" t="str">
        <f>"5320633"</f>
        <v>5320633</v>
      </c>
      <c r="B30491" t="s">
        <v>1198</v>
      </c>
      <c r="C30491" t="s">
        <v>33</v>
      </c>
      <c r="D30491" s="21" t="s">
        <v>34</v>
      </c>
      <c r="E30491" s="21" t="s">
        <v>71</v>
      </c>
      <c r="F30491">
        <v>12538910</v>
      </c>
      <c r="G30491" t="s">
        <v>8855</v>
      </c>
      <c r="H30491" s="21">
        <v>542.66999999999996</v>
      </c>
    </row>
    <row r="30492" spans="1:8" customFormat="1" x14ac:dyDescent="0.25">
      <c r="A30492" t="str">
        <f>"1420521"</f>
        <v>1420521</v>
      </c>
      <c r="B30492" t="s">
        <v>21011</v>
      </c>
      <c r="C30492" t="s">
        <v>233</v>
      </c>
      <c r="D30492" s="21" t="s">
        <v>34</v>
      </c>
      <c r="E30492" s="21" t="s">
        <v>71</v>
      </c>
      <c r="F30492">
        <v>9140228</v>
      </c>
      <c r="G30492" t="s">
        <v>16772</v>
      </c>
      <c r="H30492" s="21">
        <v>542.66999999999996</v>
      </c>
    </row>
    <row r="30493" spans="1:8" customFormat="1" x14ac:dyDescent="0.25">
      <c r="A30493" t="str">
        <f>"7716500"</f>
        <v>7716500</v>
      </c>
      <c r="B30493" t="s">
        <v>21488</v>
      </c>
      <c r="C30493" t="s">
        <v>2305</v>
      </c>
      <c r="D30493" s="21" t="s">
        <v>34</v>
      </c>
      <c r="E30493" s="21" t="s">
        <v>71</v>
      </c>
      <c r="F30493">
        <v>8770426</v>
      </c>
      <c r="G30493" t="s">
        <v>1847</v>
      </c>
      <c r="H30493" s="21">
        <v>542.66999999999996</v>
      </c>
    </row>
    <row r="30494" spans="1:8" customFormat="1" x14ac:dyDescent="0.25">
      <c r="A30494" t="str">
        <f>"7222903"</f>
        <v>7222903</v>
      </c>
      <c r="B30494" t="s">
        <v>2010</v>
      </c>
      <c r="C30494" t="s">
        <v>328</v>
      </c>
      <c r="D30494" s="21" t="s">
        <v>34</v>
      </c>
      <c r="E30494" s="21" t="s">
        <v>35</v>
      </c>
      <c r="F30494">
        <v>12720081</v>
      </c>
      <c r="G30494" t="s">
        <v>6360</v>
      </c>
      <c r="H30494" s="21">
        <v>542.66999999999996</v>
      </c>
    </row>
    <row r="30495" spans="1:8" customFormat="1" x14ac:dyDescent="0.25">
      <c r="A30495" t="str">
        <f>"848199"</f>
        <v>848199</v>
      </c>
      <c r="B30495" t="s">
        <v>21335</v>
      </c>
      <c r="C30495" t="s">
        <v>119</v>
      </c>
      <c r="D30495" s="21" t="s">
        <v>34</v>
      </c>
      <c r="E30495" s="21" t="s">
        <v>35</v>
      </c>
      <c r="F30495">
        <v>13840021</v>
      </c>
      <c r="G30495" t="s">
        <v>3946</v>
      </c>
      <c r="H30495" s="21">
        <v>542.66999999999996</v>
      </c>
    </row>
    <row r="30496" spans="1:8" customFormat="1" x14ac:dyDescent="0.25">
      <c r="A30496" t="str">
        <f>"6937763"</f>
        <v>6937763</v>
      </c>
      <c r="B30496" t="s">
        <v>7891</v>
      </c>
      <c r="C30496" t="s">
        <v>20469</v>
      </c>
      <c r="D30496" s="21" t="s">
        <v>34</v>
      </c>
      <c r="E30496" s="21" t="s">
        <v>35</v>
      </c>
      <c r="F30496">
        <v>1690105</v>
      </c>
      <c r="G30496" t="s">
        <v>9580</v>
      </c>
      <c r="H30496" s="21">
        <v>542.66999999999996</v>
      </c>
    </row>
    <row r="30497" spans="1:8" customFormat="1" x14ac:dyDescent="0.25">
      <c r="A30497" t="str">
        <f>"9238588"</f>
        <v>9238588</v>
      </c>
      <c r="B30497" t="s">
        <v>21476</v>
      </c>
      <c r="C30497" t="s">
        <v>21477</v>
      </c>
      <c r="D30497" s="21" t="s">
        <v>34</v>
      </c>
      <c r="E30497" s="21" t="s">
        <v>71</v>
      </c>
      <c r="F30497">
        <v>8920111</v>
      </c>
      <c r="G30497" t="s">
        <v>1064</v>
      </c>
      <c r="H30497" s="21">
        <v>542.66999999999996</v>
      </c>
    </row>
    <row r="30498" spans="1:8" customFormat="1" x14ac:dyDescent="0.25">
      <c r="A30498" t="str">
        <f>"2939640"</f>
        <v>2939640</v>
      </c>
      <c r="B30498" t="s">
        <v>7071</v>
      </c>
      <c r="C30498" t="s">
        <v>486</v>
      </c>
      <c r="D30498" s="21" t="s">
        <v>34</v>
      </c>
      <c r="E30498" s="21" t="s">
        <v>35</v>
      </c>
      <c r="F30498">
        <v>3290283</v>
      </c>
      <c r="G30498" t="s">
        <v>12108</v>
      </c>
      <c r="H30498" s="21">
        <v>542.66999999999996</v>
      </c>
    </row>
    <row r="30499" spans="1:8" customFormat="1" x14ac:dyDescent="0.25">
      <c r="A30499" t="str">
        <f>"6950148"</f>
        <v>6950148</v>
      </c>
      <c r="B30499" t="s">
        <v>12206</v>
      </c>
      <c r="C30499" t="s">
        <v>62</v>
      </c>
      <c r="D30499" s="21" t="s">
        <v>34</v>
      </c>
      <c r="E30499" s="21" t="s">
        <v>35</v>
      </c>
      <c r="F30499">
        <v>1690199</v>
      </c>
      <c r="G30499" t="s">
        <v>12608</v>
      </c>
      <c r="H30499" s="21">
        <v>542.66999999999996</v>
      </c>
    </row>
    <row r="30500" spans="1:8" customFormat="1" x14ac:dyDescent="0.25">
      <c r="A30500" t="str">
        <f>"9316910"</f>
        <v>9316910</v>
      </c>
      <c r="B30500" t="s">
        <v>20753</v>
      </c>
      <c r="C30500" t="s">
        <v>40</v>
      </c>
      <c r="D30500" s="21" t="s">
        <v>34</v>
      </c>
      <c r="E30500" s="21" t="s">
        <v>254</v>
      </c>
      <c r="F30500">
        <v>8930610</v>
      </c>
      <c r="G30500" t="s">
        <v>3002</v>
      </c>
      <c r="H30500" s="21">
        <v>542.66999999999996</v>
      </c>
    </row>
    <row r="30501" spans="1:8" customFormat="1" x14ac:dyDescent="0.25">
      <c r="A30501" t="str">
        <f>"5014187"</f>
        <v>5014187</v>
      </c>
      <c r="B30501" t="s">
        <v>22197</v>
      </c>
      <c r="C30501" t="s">
        <v>198</v>
      </c>
      <c r="D30501" s="21" t="s">
        <v>34</v>
      </c>
      <c r="E30501" s="21" t="s">
        <v>71</v>
      </c>
      <c r="F30501">
        <v>9500053</v>
      </c>
      <c r="G30501" t="s">
        <v>11847</v>
      </c>
      <c r="H30501" s="21">
        <v>542.66999999999996</v>
      </c>
    </row>
    <row r="30502" spans="1:8" customFormat="1" x14ac:dyDescent="0.25">
      <c r="A30502" t="str">
        <f>"3831178"</f>
        <v>3831178</v>
      </c>
      <c r="B30502" t="s">
        <v>21566</v>
      </c>
      <c r="C30502" t="s">
        <v>2479</v>
      </c>
      <c r="D30502" s="21" t="s">
        <v>34</v>
      </c>
      <c r="E30502" s="21" t="s">
        <v>71</v>
      </c>
      <c r="F30502">
        <v>1380275</v>
      </c>
      <c r="G30502" t="s">
        <v>8042</v>
      </c>
      <c r="H30502" s="21">
        <v>542.66999999999996</v>
      </c>
    </row>
    <row r="30503" spans="1:8" customFormat="1" x14ac:dyDescent="0.25">
      <c r="A30503" t="str">
        <f>"5934091"</f>
        <v>5934091</v>
      </c>
      <c r="B30503" t="s">
        <v>4107</v>
      </c>
      <c r="C30503" t="s">
        <v>598</v>
      </c>
      <c r="D30503" s="21" t="s">
        <v>34</v>
      </c>
      <c r="E30503" s="21" t="s">
        <v>71</v>
      </c>
      <c r="F30503">
        <v>7590123</v>
      </c>
      <c r="G30503" t="s">
        <v>85</v>
      </c>
      <c r="H30503" s="21">
        <v>542.66999999999996</v>
      </c>
    </row>
    <row r="30504" spans="1:8" customFormat="1" x14ac:dyDescent="0.25">
      <c r="A30504" t="str">
        <f>"7723372"</f>
        <v>7723372</v>
      </c>
      <c r="B30504" t="s">
        <v>21359</v>
      </c>
      <c r="C30504" t="s">
        <v>2533</v>
      </c>
      <c r="D30504" s="21" t="s">
        <v>34</v>
      </c>
      <c r="E30504" s="21" t="s">
        <v>71</v>
      </c>
      <c r="F30504">
        <v>8771519</v>
      </c>
      <c r="G30504" t="s">
        <v>10685</v>
      </c>
      <c r="H30504" s="21">
        <v>542.66999999999996</v>
      </c>
    </row>
    <row r="30505" spans="1:8" customFormat="1" x14ac:dyDescent="0.25">
      <c r="A30505" t="str">
        <f>"6725563"</f>
        <v>6725563</v>
      </c>
      <c r="B30505" t="s">
        <v>2816</v>
      </c>
      <c r="C30505" t="s">
        <v>62</v>
      </c>
      <c r="D30505" s="21" t="s">
        <v>34</v>
      </c>
      <c r="E30505" s="21" t="s">
        <v>35</v>
      </c>
      <c r="F30505">
        <v>6670187</v>
      </c>
      <c r="G30505" t="s">
        <v>240</v>
      </c>
      <c r="H30505" s="21">
        <v>542.66999999999996</v>
      </c>
    </row>
    <row r="30506" spans="1:8" customFormat="1" x14ac:dyDescent="0.25">
      <c r="A30506" t="str">
        <f>"6943352"</f>
        <v>6943352</v>
      </c>
      <c r="B30506" t="s">
        <v>21264</v>
      </c>
      <c r="C30506" t="s">
        <v>812</v>
      </c>
      <c r="D30506" s="21" t="s">
        <v>34</v>
      </c>
      <c r="E30506" s="21" t="s">
        <v>35</v>
      </c>
      <c r="F30506">
        <v>1690221</v>
      </c>
      <c r="G30506" t="s">
        <v>303</v>
      </c>
      <c r="H30506" s="21">
        <v>542.66999999999996</v>
      </c>
    </row>
    <row r="30507" spans="1:8" customFormat="1" x14ac:dyDescent="0.25">
      <c r="A30507" t="str">
        <f>"2939432"</f>
        <v>2939432</v>
      </c>
      <c r="B30507" t="s">
        <v>28233</v>
      </c>
      <c r="C30507" t="s">
        <v>55</v>
      </c>
      <c r="D30507" s="21" t="s">
        <v>34</v>
      </c>
      <c r="E30507" s="21" t="s">
        <v>71</v>
      </c>
      <c r="F30507">
        <v>3290047</v>
      </c>
      <c r="G30507" t="s">
        <v>2874</v>
      </c>
      <c r="H30507" s="21">
        <v>542.5</v>
      </c>
    </row>
    <row r="30508" spans="1:8" customFormat="1" x14ac:dyDescent="0.25">
      <c r="A30508" t="str">
        <f>"6023577"</f>
        <v>6023577</v>
      </c>
      <c r="B30508" t="s">
        <v>2726</v>
      </c>
      <c r="C30508" t="s">
        <v>198</v>
      </c>
      <c r="D30508" s="21" t="s">
        <v>34</v>
      </c>
      <c r="E30508" s="21" t="s">
        <v>254</v>
      </c>
      <c r="F30508">
        <v>7600043</v>
      </c>
      <c r="G30508" t="s">
        <v>1928</v>
      </c>
      <c r="H30508" s="21">
        <v>542.41999999999996</v>
      </c>
    </row>
    <row r="30509" spans="1:8" customFormat="1" x14ac:dyDescent="0.25">
      <c r="A30509" t="str">
        <f>"1425247"</f>
        <v>1425247</v>
      </c>
      <c r="B30509" t="s">
        <v>22235</v>
      </c>
      <c r="C30509" t="s">
        <v>156</v>
      </c>
      <c r="D30509" s="21" t="s">
        <v>34</v>
      </c>
      <c r="E30509" s="21" t="s">
        <v>71</v>
      </c>
      <c r="F30509">
        <v>9140063</v>
      </c>
      <c r="G30509" t="s">
        <v>4764</v>
      </c>
      <c r="H30509" s="21">
        <v>542.41999999999996</v>
      </c>
    </row>
    <row r="30510" spans="1:8" customFormat="1" x14ac:dyDescent="0.25">
      <c r="A30510" t="str">
        <f>"1420662"</f>
        <v>1420662</v>
      </c>
      <c r="B30510" t="s">
        <v>2656</v>
      </c>
      <c r="C30510" t="s">
        <v>82</v>
      </c>
      <c r="D30510" s="21" t="s">
        <v>34</v>
      </c>
      <c r="E30510" s="21" t="s">
        <v>35</v>
      </c>
      <c r="F30510">
        <v>9140127</v>
      </c>
      <c r="G30510" t="s">
        <v>6641</v>
      </c>
      <c r="H30510" s="21">
        <v>542.41999999999996</v>
      </c>
    </row>
    <row r="30511" spans="1:8" customFormat="1" x14ac:dyDescent="0.25">
      <c r="A30511" t="str">
        <f>"125172"</f>
        <v>125172</v>
      </c>
      <c r="B30511" t="s">
        <v>24377</v>
      </c>
      <c r="C30511" t="s">
        <v>750</v>
      </c>
      <c r="D30511" s="21" t="s">
        <v>34</v>
      </c>
      <c r="E30511" s="21" t="s">
        <v>71</v>
      </c>
      <c r="F30511">
        <v>11120045</v>
      </c>
      <c r="G30511" t="s">
        <v>13082</v>
      </c>
      <c r="H30511" s="21">
        <v>542.29</v>
      </c>
    </row>
    <row r="30512" spans="1:8" customFormat="1" x14ac:dyDescent="0.25">
      <c r="A30512" t="str">
        <f>"7639731"</f>
        <v>7639731</v>
      </c>
      <c r="B30512" t="s">
        <v>19833</v>
      </c>
      <c r="C30512" t="s">
        <v>239</v>
      </c>
      <c r="D30512" s="21" t="s">
        <v>34</v>
      </c>
      <c r="E30512" s="21" t="s">
        <v>254</v>
      </c>
      <c r="F30512">
        <v>9760351</v>
      </c>
      <c r="G30512" t="s">
        <v>5898</v>
      </c>
      <c r="H30512" s="21">
        <v>542.16999999999996</v>
      </c>
    </row>
    <row r="30513" spans="1:8" customFormat="1" x14ac:dyDescent="0.25">
      <c r="A30513" t="str">
        <f>"113584"</f>
        <v>113584</v>
      </c>
      <c r="B30513" t="s">
        <v>21113</v>
      </c>
      <c r="C30513" t="s">
        <v>267</v>
      </c>
      <c r="D30513" s="21" t="s">
        <v>34</v>
      </c>
      <c r="E30513" s="21" t="s">
        <v>71</v>
      </c>
      <c r="F30513">
        <v>11110024</v>
      </c>
      <c r="G30513" t="s">
        <v>3378</v>
      </c>
      <c r="H30513" s="21">
        <v>542.16999999999996</v>
      </c>
    </row>
    <row r="30514" spans="1:8" customFormat="1" x14ac:dyDescent="0.25">
      <c r="A30514" t="str">
        <f>"3729872"</f>
        <v>3729872</v>
      </c>
      <c r="B30514" t="s">
        <v>5800</v>
      </c>
      <c r="C30514" t="s">
        <v>37</v>
      </c>
      <c r="D30514" s="21" t="s">
        <v>34</v>
      </c>
      <c r="E30514" s="21" t="s">
        <v>35</v>
      </c>
      <c r="F30514">
        <v>4370724</v>
      </c>
      <c r="G30514" t="s">
        <v>11672</v>
      </c>
      <c r="H30514" s="21">
        <v>542.16999999999996</v>
      </c>
    </row>
    <row r="30515" spans="1:8" customFormat="1" x14ac:dyDescent="0.25">
      <c r="A30515" t="str">
        <f>"396611"</f>
        <v>396611</v>
      </c>
      <c r="B30515" t="s">
        <v>9102</v>
      </c>
      <c r="C30515" t="s">
        <v>206</v>
      </c>
      <c r="D30515" s="21" t="s">
        <v>34</v>
      </c>
      <c r="E30515" s="21" t="s">
        <v>35</v>
      </c>
      <c r="F30515">
        <v>2390080</v>
      </c>
      <c r="G30515" t="s">
        <v>15549</v>
      </c>
      <c r="H30515" s="21">
        <v>542.16999999999996</v>
      </c>
    </row>
    <row r="30516" spans="1:8" customFormat="1" x14ac:dyDescent="0.25">
      <c r="A30516" t="str">
        <f>"665136"</f>
        <v>665136</v>
      </c>
      <c r="B30516" t="s">
        <v>20520</v>
      </c>
      <c r="C30516" t="s">
        <v>119</v>
      </c>
      <c r="D30516" s="21" t="s">
        <v>34</v>
      </c>
      <c r="E30516" s="21" t="s">
        <v>35</v>
      </c>
      <c r="F30516">
        <v>11660011</v>
      </c>
      <c r="G30516" t="s">
        <v>4641</v>
      </c>
      <c r="H30516" s="21">
        <v>542.16999999999996</v>
      </c>
    </row>
    <row r="30517" spans="1:8" customFormat="1" x14ac:dyDescent="0.25">
      <c r="A30517" t="str">
        <f>"453246"</f>
        <v>453246</v>
      </c>
      <c r="B30517" t="s">
        <v>20581</v>
      </c>
      <c r="C30517" t="s">
        <v>2479</v>
      </c>
      <c r="D30517" s="21" t="s">
        <v>34</v>
      </c>
      <c r="E30517" s="21" t="s">
        <v>1089</v>
      </c>
      <c r="F30517">
        <v>4450186</v>
      </c>
      <c r="G30517" t="s">
        <v>8255</v>
      </c>
      <c r="H30517" s="21">
        <v>542.16999999999996</v>
      </c>
    </row>
    <row r="30518" spans="1:8" customFormat="1" x14ac:dyDescent="0.25">
      <c r="A30518" t="str">
        <f>"3536108"</f>
        <v>3536108</v>
      </c>
      <c r="B30518" t="s">
        <v>4352</v>
      </c>
      <c r="C30518" t="s">
        <v>209</v>
      </c>
      <c r="D30518" s="21" t="s">
        <v>34</v>
      </c>
      <c r="E30518" s="21" t="s">
        <v>35</v>
      </c>
      <c r="F30518">
        <v>3350102</v>
      </c>
      <c r="G30518" t="s">
        <v>4942</v>
      </c>
      <c r="H30518" s="21">
        <v>542.16999999999996</v>
      </c>
    </row>
    <row r="30519" spans="1:8" customFormat="1" x14ac:dyDescent="0.25">
      <c r="A30519" t="str">
        <f>"029113"</f>
        <v>029113</v>
      </c>
      <c r="B30519" t="s">
        <v>21171</v>
      </c>
      <c r="C30519" t="s">
        <v>486</v>
      </c>
      <c r="D30519" s="21" t="s">
        <v>34</v>
      </c>
      <c r="E30519" s="21" t="s">
        <v>71</v>
      </c>
      <c r="F30519">
        <v>8771401</v>
      </c>
      <c r="G30519" t="s">
        <v>6636</v>
      </c>
      <c r="H30519" s="21">
        <v>542.16999999999996</v>
      </c>
    </row>
    <row r="30520" spans="1:8" customFormat="1" x14ac:dyDescent="0.25">
      <c r="A30520" t="str">
        <f>"668463"</f>
        <v>668463</v>
      </c>
      <c r="B30520" t="s">
        <v>10107</v>
      </c>
      <c r="C30520" t="s">
        <v>576</v>
      </c>
      <c r="D30520" s="21" t="s">
        <v>34</v>
      </c>
      <c r="E30520" s="21" t="s">
        <v>35</v>
      </c>
      <c r="F30520">
        <v>11660040</v>
      </c>
      <c r="G30520" t="s">
        <v>17413</v>
      </c>
      <c r="H30520" s="21">
        <v>542.16999999999996</v>
      </c>
    </row>
    <row r="30521" spans="1:8" customFormat="1" x14ac:dyDescent="0.25">
      <c r="A30521" t="str">
        <f>"5325264"</f>
        <v>5325264</v>
      </c>
      <c r="B30521" t="s">
        <v>21352</v>
      </c>
      <c r="C30521" t="s">
        <v>119</v>
      </c>
      <c r="D30521" s="21" t="s">
        <v>34</v>
      </c>
      <c r="E30521" s="21" t="s">
        <v>71</v>
      </c>
      <c r="F30521">
        <v>12530081</v>
      </c>
      <c r="G30521" t="s">
        <v>13952</v>
      </c>
      <c r="H30521" s="21">
        <v>542.16999999999996</v>
      </c>
    </row>
    <row r="30522" spans="1:8" customFormat="1" x14ac:dyDescent="0.25">
      <c r="A30522" t="str">
        <f>"9529925"</f>
        <v>9529925</v>
      </c>
      <c r="B30522" t="s">
        <v>19718</v>
      </c>
      <c r="C30522" t="s">
        <v>249</v>
      </c>
      <c r="D30522" s="21" t="s">
        <v>34</v>
      </c>
      <c r="E30522" s="21" t="s">
        <v>71</v>
      </c>
      <c r="F30522">
        <v>8950092</v>
      </c>
      <c r="G30522" t="s">
        <v>2039</v>
      </c>
      <c r="H30522" s="21">
        <v>542.16999999999996</v>
      </c>
    </row>
    <row r="30523" spans="1:8" customFormat="1" x14ac:dyDescent="0.25">
      <c r="A30523" t="str">
        <f>"5959799"</f>
        <v>5959799</v>
      </c>
      <c r="B30523" t="s">
        <v>12577</v>
      </c>
      <c r="C30523" t="s">
        <v>598</v>
      </c>
      <c r="D30523" s="21" t="s">
        <v>34</v>
      </c>
      <c r="E30523" s="21" t="s">
        <v>71</v>
      </c>
      <c r="F30523">
        <v>7590260</v>
      </c>
      <c r="G30523" t="s">
        <v>3043</v>
      </c>
      <c r="H30523" s="21">
        <v>542.16999999999996</v>
      </c>
    </row>
    <row r="30524" spans="1:8" customFormat="1" x14ac:dyDescent="0.25">
      <c r="A30524" t="str">
        <f>"105513"</f>
        <v>105513</v>
      </c>
      <c r="B30524" t="s">
        <v>20439</v>
      </c>
      <c r="C30524" t="s">
        <v>269</v>
      </c>
      <c r="D30524" s="21" t="s">
        <v>34</v>
      </c>
      <c r="E30524" s="21" t="s">
        <v>35</v>
      </c>
      <c r="F30524">
        <v>6100002</v>
      </c>
      <c r="G30524" t="s">
        <v>1602</v>
      </c>
      <c r="H30524" s="21">
        <v>542.16999999999996</v>
      </c>
    </row>
    <row r="30525" spans="1:8" customFormat="1" x14ac:dyDescent="0.25">
      <c r="A30525" t="str">
        <f>"9241340"</f>
        <v>9241340</v>
      </c>
      <c r="B30525" t="s">
        <v>20005</v>
      </c>
      <c r="C30525" t="s">
        <v>55</v>
      </c>
      <c r="D30525" s="21" t="s">
        <v>34</v>
      </c>
      <c r="E30525" s="21" t="s">
        <v>254</v>
      </c>
      <c r="F30525">
        <v>8920151</v>
      </c>
      <c r="G30525" t="s">
        <v>1434</v>
      </c>
      <c r="H30525" s="21">
        <v>542.16999999999996</v>
      </c>
    </row>
    <row r="30526" spans="1:8" customFormat="1" x14ac:dyDescent="0.25">
      <c r="A30526" t="str">
        <f>"6921496"</f>
        <v>6921496</v>
      </c>
      <c r="B30526" t="s">
        <v>11992</v>
      </c>
      <c r="C30526" t="s">
        <v>1914</v>
      </c>
      <c r="D30526" s="21" t="s">
        <v>34</v>
      </c>
      <c r="E30526" s="21" t="s">
        <v>254</v>
      </c>
      <c r="F30526">
        <v>1690031</v>
      </c>
      <c r="G30526" t="s">
        <v>2716</v>
      </c>
      <c r="H30526" s="21">
        <v>542.16999999999996</v>
      </c>
    </row>
    <row r="30527" spans="1:8" customFormat="1" x14ac:dyDescent="0.25">
      <c r="A30527" t="str">
        <f>"766971"</f>
        <v>766971</v>
      </c>
      <c r="B30527" t="s">
        <v>20056</v>
      </c>
      <c r="C30527" t="s">
        <v>2520</v>
      </c>
      <c r="D30527" s="21" t="s">
        <v>34</v>
      </c>
      <c r="E30527" s="21" t="s">
        <v>254</v>
      </c>
      <c r="F30527">
        <v>9760167</v>
      </c>
      <c r="G30527" t="s">
        <v>13836</v>
      </c>
      <c r="H30527" s="21">
        <v>542.16999999999996</v>
      </c>
    </row>
    <row r="30528" spans="1:8" customFormat="1" x14ac:dyDescent="0.25">
      <c r="A30528" t="str">
        <f>"9D1123"</f>
        <v>9D1123</v>
      </c>
      <c r="B30528" t="s">
        <v>21095</v>
      </c>
      <c r="C30528" t="s">
        <v>1539</v>
      </c>
      <c r="D30528" s="21" t="s">
        <v>34</v>
      </c>
      <c r="E30528" s="21" t="s">
        <v>71</v>
      </c>
      <c r="F30528" t="s">
        <v>1923</v>
      </c>
      <c r="G30528" t="s">
        <v>1924</v>
      </c>
      <c r="H30528" s="21">
        <v>542.16999999999996</v>
      </c>
    </row>
    <row r="30529" spans="1:8" customFormat="1" x14ac:dyDescent="0.25">
      <c r="A30529" t="str">
        <f>"5953529"</f>
        <v>5953529</v>
      </c>
      <c r="B30529" t="s">
        <v>4834</v>
      </c>
      <c r="C30529" t="s">
        <v>772</v>
      </c>
      <c r="D30529" s="21" t="s">
        <v>34</v>
      </c>
      <c r="E30529" s="21" t="s">
        <v>1089</v>
      </c>
      <c r="F30529">
        <v>7590074</v>
      </c>
      <c r="G30529" t="s">
        <v>1992</v>
      </c>
      <c r="H30529" s="21">
        <v>542.16999999999996</v>
      </c>
    </row>
    <row r="30530" spans="1:8" customFormat="1" x14ac:dyDescent="0.25">
      <c r="A30530" t="str">
        <f>"14924"</f>
        <v>14924</v>
      </c>
      <c r="B30530" t="s">
        <v>21298</v>
      </c>
      <c r="C30530" t="s">
        <v>253</v>
      </c>
      <c r="D30530" s="21" t="s">
        <v>34</v>
      </c>
      <c r="E30530" s="21" t="s">
        <v>254</v>
      </c>
      <c r="F30530">
        <v>9140231</v>
      </c>
      <c r="G30530" t="s">
        <v>5392</v>
      </c>
      <c r="H30530" s="21">
        <v>542.16999999999996</v>
      </c>
    </row>
    <row r="30531" spans="1:8" customFormat="1" x14ac:dyDescent="0.25">
      <c r="A30531" t="str">
        <f>"6230576"</f>
        <v>6230576</v>
      </c>
      <c r="B30531" t="s">
        <v>10170</v>
      </c>
      <c r="C30531" t="s">
        <v>40</v>
      </c>
      <c r="D30531" s="21" t="s">
        <v>34</v>
      </c>
      <c r="E30531" s="21" t="s">
        <v>71</v>
      </c>
      <c r="F30531">
        <v>7620180</v>
      </c>
      <c r="G30531" t="s">
        <v>7188</v>
      </c>
      <c r="H30531" s="21">
        <v>542.16999999999996</v>
      </c>
    </row>
    <row r="30532" spans="1:8" customFormat="1" x14ac:dyDescent="0.25">
      <c r="A30532" t="str">
        <f>"4456505"</f>
        <v>4456505</v>
      </c>
      <c r="B30532" t="s">
        <v>28234</v>
      </c>
      <c r="C30532" t="s">
        <v>58</v>
      </c>
      <c r="D30532" s="21" t="s">
        <v>34</v>
      </c>
      <c r="E30532" s="21" t="s">
        <v>35</v>
      </c>
      <c r="F30532">
        <v>12440024</v>
      </c>
      <c r="G30532" t="s">
        <v>2205</v>
      </c>
      <c r="H30532" s="21">
        <v>542.16999999999996</v>
      </c>
    </row>
    <row r="30533" spans="1:8" customFormat="1" x14ac:dyDescent="0.25">
      <c r="A30533" t="str">
        <f>"9449436"</f>
        <v>9449436</v>
      </c>
      <c r="B30533" t="s">
        <v>4649</v>
      </c>
      <c r="C30533" t="s">
        <v>82</v>
      </c>
      <c r="D30533" s="21" t="s">
        <v>34</v>
      </c>
      <c r="E30533" s="21" t="s">
        <v>35</v>
      </c>
      <c r="F30533">
        <v>8770988</v>
      </c>
      <c r="G30533" t="s">
        <v>6334</v>
      </c>
      <c r="H30533" s="21">
        <v>542.16999999999996</v>
      </c>
    </row>
    <row r="30534" spans="1:8" customFormat="1" x14ac:dyDescent="0.25">
      <c r="A30534" t="str">
        <f>"2517398"</f>
        <v>2517398</v>
      </c>
      <c r="B30534" t="s">
        <v>28235</v>
      </c>
      <c r="C30534" t="s">
        <v>353</v>
      </c>
      <c r="D30534" s="21" t="s">
        <v>34</v>
      </c>
      <c r="E30534" s="21" t="s">
        <v>35</v>
      </c>
      <c r="F30534">
        <v>2250066</v>
      </c>
      <c r="G30534" t="s">
        <v>5321</v>
      </c>
      <c r="H30534" s="21">
        <v>542.16999999999996</v>
      </c>
    </row>
    <row r="30535" spans="1:8" customFormat="1" x14ac:dyDescent="0.25">
      <c r="A30535" t="str">
        <f>"5113845"</f>
        <v>5113845</v>
      </c>
      <c r="B30535" t="s">
        <v>22061</v>
      </c>
      <c r="C30535" t="s">
        <v>462</v>
      </c>
      <c r="D30535" s="21" t="s">
        <v>34</v>
      </c>
      <c r="E30535" s="21" t="s">
        <v>71</v>
      </c>
      <c r="F30535">
        <v>6510077</v>
      </c>
      <c r="G30535" t="s">
        <v>756</v>
      </c>
      <c r="H30535" s="21">
        <v>542.16999999999996</v>
      </c>
    </row>
    <row r="30536" spans="1:8" customFormat="1" x14ac:dyDescent="0.25">
      <c r="A30536" t="str">
        <f>"396767"</f>
        <v>396767</v>
      </c>
      <c r="B30536" t="s">
        <v>28236</v>
      </c>
      <c r="C30536" t="s">
        <v>598</v>
      </c>
      <c r="D30536" s="21" t="s">
        <v>34</v>
      </c>
      <c r="E30536" s="21" t="s">
        <v>71</v>
      </c>
      <c r="F30536">
        <v>2390094</v>
      </c>
      <c r="G30536" t="s">
        <v>14784</v>
      </c>
      <c r="H30536" s="21">
        <v>542.16999999999996</v>
      </c>
    </row>
    <row r="30537" spans="1:8" customFormat="1" x14ac:dyDescent="0.25">
      <c r="A30537" t="str">
        <f>"9138423"</f>
        <v>9138423</v>
      </c>
      <c r="B30537" t="s">
        <v>16676</v>
      </c>
      <c r="C30537" t="s">
        <v>3456</v>
      </c>
      <c r="D30537" s="21" t="s">
        <v>34</v>
      </c>
      <c r="E30537" s="21" t="s">
        <v>35</v>
      </c>
      <c r="F30537">
        <v>8911280</v>
      </c>
      <c r="G30537" t="s">
        <v>3417</v>
      </c>
      <c r="H30537" s="21">
        <v>542.04</v>
      </c>
    </row>
    <row r="30538" spans="1:8" customFormat="1" x14ac:dyDescent="0.25">
      <c r="A30538" t="str">
        <f>"7642722"</f>
        <v>7642722</v>
      </c>
      <c r="B30538" t="s">
        <v>28237</v>
      </c>
      <c r="C30538" t="s">
        <v>209</v>
      </c>
      <c r="D30538" s="21" t="s">
        <v>34</v>
      </c>
      <c r="E30538" s="21" t="s">
        <v>35</v>
      </c>
      <c r="F30538">
        <v>9760039</v>
      </c>
      <c r="G30538" t="s">
        <v>9501</v>
      </c>
      <c r="H30538" s="21">
        <v>542</v>
      </c>
    </row>
    <row r="30539" spans="1:8" customFormat="1" x14ac:dyDescent="0.25">
      <c r="A30539" t="str">
        <f>"9246716"</f>
        <v>9246716</v>
      </c>
      <c r="B30539" t="s">
        <v>9489</v>
      </c>
      <c r="C30539" t="s">
        <v>4729</v>
      </c>
      <c r="D30539" s="21" t="s">
        <v>34</v>
      </c>
      <c r="E30539" s="21" t="s">
        <v>254</v>
      </c>
      <c r="F30539">
        <v>8920031</v>
      </c>
      <c r="G30539" t="s">
        <v>552</v>
      </c>
      <c r="H30539" s="21">
        <v>542</v>
      </c>
    </row>
    <row r="30540" spans="1:8" customFormat="1" x14ac:dyDescent="0.25">
      <c r="A30540" t="str">
        <f>"3424245"</f>
        <v>3424245</v>
      </c>
      <c r="B30540" t="s">
        <v>21992</v>
      </c>
      <c r="C30540" t="s">
        <v>109</v>
      </c>
      <c r="D30540" s="21" t="s">
        <v>34</v>
      </c>
      <c r="E30540" s="21" t="s">
        <v>35</v>
      </c>
      <c r="F30540">
        <v>11340014</v>
      </c>
      <c r="G30540" t="s">
        <v>1455</v>
      </c>
      <c r="H30540" s="21">
        <v>542</v>
      </c>
    </row>
    <row r="30541" spans="1:8" customFormat="1" x14ac:dyDescent="0.25">
      <c r="A30541" t="str">
        <f>"9534033"</f>
        <v>9534033</v>
      </c>
      <c r="B30541" t="s">
        <v>24151</v>
      </c>
      <c r="C30541" t="s">
        <v>6784</v>
      </c>
      <c r="D30541" s="21" t="s">
        <v>34</v>
      </c>
      <c r="E30541" s="21" t="s">
        <v>35</v>
      </c>
      <c r="F30541">
        <v>8951399</v>
      </c>
      <c r="G30541" t="s">
        <v>6745</v>
      </c>
      <c r="H30541" s="21">
        <v>541.91999999999996</v>
      </c>
    </row>
    <row r="30542" spans="1:8" customFormat="1" x14ac:dyDescent="0.25">
      <c r="A30542" t="str">
        <f>"3721437"</f>
        <v>3721437</v>
      </c>
      <c r="B30542" t="s">
        <v>168</v>
      </c>
      <c r="C30542" t="s">
        <v>109</v>
      </c>
      <c r="D30542" s="21" t="s">
        <v>34</v>
      </c>
      <c r="E30542" s="21" t="s">
        <v>35</v>
      </c>
      <c r="F30542">
        <v>4370102</v>
      </c>
      <c r="G30542" t="s">
        <v>10707</v>
      </c>
      <c r="H30542" s="21">
        <v>541.91999999999996</v>
      </c>
    </row>
    <row r="30543" spans="1:8" customFormat="1" x14ac:dyDescent="0.25">
      <c r="A30543" t="str">
        <f>"7730277"</f>
        <v>7730277</v>
      </c>
      <c r="B30543" t="s">
        <v>4558</v>
      </c>
      <c r="C30543" t="s">
        <v>204</v>
      </c>
      <c r="D30543" s="21" t="s">
        <v>34</v>
      </c>
      <c r="E30543" s="21" t="s">
        <v>35</v>
      </c>
      <c r="F30543">
        <v>8771184</v>
      </c>
      <c r="G30543" t="s">
        <v>137</v>
      </c>
      <c r="H30543" s="21">
        <v>541.91999999999996</v>
      </c>
    </row>
    <row r="30544" spans="1:8" customFormat="1" x14ac:dyDescent="0.25">
      <c r="A30544" t="str">
        <f>"7924528"</f>
        <v>7924528</v>
      </c>
      <c r="B30544" t="s">
        <v>28238</v>
      </c>
      <c r="C30544" t="s">
        <v>462</v>
      </c>
      <c r="D30544" s="21" t="s">
        <v>34</v>
      </c>
      <c r="E30544" s="21" t="s">
        <v>71</v>
      </c>
      <c r="F30544">
        <v>10790005</v>
      </c>
      <c r="G30544" t="s">
        <v>1948</v>
      </c>
      <c r="H30544" s="21">
        <v>541.91999999999996</v>
      </c>
    </row>
    <row r="30545" spans="1:8" customFormat="1" x14ac:dyDescent="0.25">
      <c r="A30545" t="str">
        <f>"7849696"</f>
        <v>7849696</v>
      </c>
      <c r="B30545" t="s">
        <v>21344</v>
      </c>
      <c r="C30545" t="s">
        <v>87</v>
      </c>
      <c r="D30545" s="21" t="s">
        <v>34</v>
      </c>
      <c r="E30545" s="21" t="s">
        <v>71</v>
      </c>
      <c r="F30545">
        <v>8780224</v>
      </c>
      <c r="G30545" t="s">
        <v>8599</v>
      </c>
      <c r="H30545" s="21">
        <v>541.79</v>
      </c>
    </row>
    <row r="30546" spans="1:8" customFormat="1" x14ac:dyDescent="0.25">
      <c r="A30546" t="str">
        <f>"815195"</f>
        <v>815195</v>
      </c>
      <c r="B30546" t="s">
        <v>28239</v>
      </c>
      <c r="C30546" t="s">
        <v>484</v>
      </c>
      <c r="D30546" s="21" t="s">
        <v>34</v>
      </c>
      <c r="E30546" s="21" t="s">
        <v>35</v>
      </c>
      <c r="F30546">
        <v>11810001</v>
      </c>
      <c r="G30546" t="s">
        <v>26998</v>
      </c>
      <c r="H30546" s="21">
        <v>541.75</v>
      </c>
    </row>
    <row r="30547" spans="1:8" customFormat="1" x14ac:dyDescent="0.25">
      <c r="A30547" t="str">
        <f>"6726184"</f>
        <v>6726184</v>
      </c>
      <c r="B30547" t="s">
        <v>15892</v>
      </c>
      <c r="C30547" t="s">
        <v>23693</v>
      </c>
      <c r="D30547" s="21" t="s">
        <v>34</v>
      </c>
      <c r="E30547" s="21" t="s">
        <v>71</v>
      </c>
      <c r="F30547">
        <v>6670011</v>
      </c>
      <c r="G30547" t="s">
        <v>5493</v>
      </c>
      <c r="H30547" s="21">
        <v>541.75</v>
      </c>
    </row>
    <row r="30548" spans="1:8" customFormat="1" x14ac:dyDescent="0.25">
      <c r="A30548" t="str">
        <f>"3533153"</f>
        <v>3533153</v>
      </c>
      <c r="B30548" t="s">
        <v>20827</v>
      </c>
      <c r="C30548" t="s">
        <v>209</v>
      </c>
      <c r="D30548" s="21" t="s">
        <v>34</v>
      </c>
      <c r="E30548" s="21" t="s">
        <v>71</v>
      </c>
      <c r="F30548">
        <v>3350067</v>
      </c>
      <c r="G30548" t="s">
        <v>4439</v>
      </c>
      <c r="H30548" s="21">
        <v>541.66999999999996</v>
      </c>
    </row>
    <row r="30549" spans="1:8" customFormat="1" x14ac:dyDescent="0.25">
      <c r="A30549" t="str">
        <f>"224290"</f>
        <v>224290</v>
      </c>
      <c r="B30549" t="s">
        <v>14613</v>
      </c>
      <c r="C30549" t="s">
        <v>598</v>
      </c>
      <c r="D30549" s="21" t="s">
        <v>34</v>
      </c>
      <c r="E30549" s="21" t="s">
        <v>1089</v>
      </c>
      <c r="F30549">
        <v>3220078</v>
      </c>
      <c r="G30549" t="s">
        <v>27356</v>
      </c>
      <c r="H30549" s="21">
        <v>541.66999999999996</v>
      </c>
    </row>
    <row r="30550" spans="1:8" customFormat="1" x14ac:dyDescent="0.25">
      <c r="A30550" t="str">
        <f>"3811273"</f>
        <v>3811273</v>
      </c>
      <c r="B30550" t="s">
        <v>20932</v>
      </c>
      <c r="C30550" t="s">
        <v>55</v>
      </c>
      <c r="D30550" s="21" t="s">
        <v>34</v>
      </c>
      <c r="E30550" s="21" t="s">
        <v>35</v>
      </c>
      <c r="F30550">
        <v>1380233</v>
      </c>
      <c r="G30550" t="s">
        <v>2694</v>
      </c>
      <c r="H30550" s="21">
        <v>541.66999999999996</v>
      </c>
    </row>
    <row r="30551" spans="1:8" customFormat="1" x14ac:dyDescent="0.25">
      <c r="A30551" t="str">
        <f>"228539"</f>
        <v>228539</v>
      </c>
      <c r="B30551" t="s">
        <v>20983</v>
      </c>
      <c r="C30551" t="s">
        <v>55</v>
      </c>
      <c r="D30551" s="21" t="s">
        <v>34</v>
      </c>
      <c r="E30551" s="21" t="s">
        <v>71</v>
      </c>
      <c r="F30551">
        <v>3220001</v>
      </c>
      <c r="G30551" t="s">
        <v>8173</v>
      </c>
      <c r="H30551" s="21">
        <v>541.66999999999996</v>
      </c>
    </row>
    <row r="30552" spans="1:8" customFormat="1" x14ac:dyDescent="0.25">
      <c r="A30552" t="str">
        <f>"4445124"</f>
        <v>4445124</v>
      </c>
      <c r="B30552" t="s">
        <v>13979</v>
      </c>
      <c r="C30552" t="s">
        <v>169</v>
      </c>
      <c r="D30552" s="21" t="s">
        <v>34</v>
      </c>
      <c r="E30552" s="21" t="s">
        <v>71</v>
      </c>
      <c r="F30552">
        <v>12440004</v>
      </c>
      <c r="G30552" t="s">
        <v>26530</v>
      </c>
      <c r="H30552" s="21">
        <v>541.66999999999996</v>
      </c>
    </row>
    <row r="30553" spans="1:8" customFormat="1" x14ac:dyDescent="0.25">
      <c r="A30553" t="str">
        <f>"6232935"</f>
        <v>6232935</v>
      </c>
      <c r="B30553" t="s">
        <v>6229</v>
      </c>
      <c r="C30553" t="s">
        <v>263</v>
      </c>
      <c r="D30553" s="21" t="s">
        <v>34</v>
      </c>
      <c r="E30553" s="21" t="s">
        <v>254</v>
      </c>
      <c r="F30553">
        <v>7620016</v>
      </c>
      <c r="G30553" t="s">
        <v>6850</v>
      </c>
      <c r="H30553" s="21">
        <v>541.66999999999996</v>
      </c>
    </row>
    <row r="30554" spans="1:8" customFormat="1" x14ac:dyDescent="0.25">
      <c r="A30554" t="str">
        <f>"5615402"</f>
        <v>5615402</v>
      </c>
      <c r="B30554" t="s">
        <v>28240</v>
      </c>
      <c r="C30554" t="s">
        <v>781</v>
      </c>
      <c r="D30554" s="21" t="s">
        <v>34</v>
      </c>
      <c r="E30554" s="21" t="s">
        <v>35</v>
      </c>
      <c r="F30554">
        <v>3560057</v>
      </c>
      <c r="G30554" t="s">
        <v>17793</v>
      </c>
      <c r="H30554" s="21">
        <v>541.66999999999996</v>
      </c>
    </row>
    <row r="30555" spans="1:8" customFormat="1" x14ac:dyDescent="0.25">
      <c r="A30555" t="str">
        <f>"7868838"</f>
        <v>7868838</v>
      </c>
      <c r="B30555" t="s">
        <v>51</v>
      </c>
      <c r="C30555" t="s">
        <v>20896</v>
      </c>
      <c r="D30555" s="21" t="s">
        <v>34</v>
      </c>
      <c r="E30555" s="21" t="s">
        <v>254</v>
      </c>
      <c r="F30555">
        <v>8780660</v>
      </c>
      <c r="G30555" t="s">
        <v>2801</v>
      </c>
      <c r="H30555" s="21">
        <v>541.66999999999996</v>
      </c>
    </row>
    <row r="30556" spans="1:8" customFormat="1" x14ac:dyDescent="0.25">
      <c r="A30556" t="str">
        <f>"3529612"</f>
        <v>3529612</v>
      </c>
      <c r="B30556" t="s">
        <v>14749</v>
      </c>
      <c r="C30556" t="s">
        <v>60</v>
      </c>
      <c r="D30556" s="21" t="s">
        <v>34</v>
      </c>
      <c r="E30556" s="21" t="s">
        <v>35</v>
      </c>
      <c r="F30556">
        <v>3350217</v>
      </c>
      <c r="G30556" t="s">
        <v>6797</v>
      </c>
      <c r="H30556" s="21">
        <v>541.66999999999996</v>
      </c>
    </row>
    <row r="30557" spans="1:8" customFormat="1" x14ac:dyDescent="0.25">
      <c r="A30557" t="str">
        <f>"4455449"</f>
        <v>4455449</v>
      </c>
      <c r="B30557" t="s">
        <v>2981</v>
      </c>
      <c r="C30557" t="s">
        <v>2479</v>
      </c>
      <c r="D30557" s="21" t="s">
        <v>34</v>
      </c>
      <c r="E30557" s="21" t="s">
        <v>71</v>
      </c>
      <c r="F30557">
        <v>12440139</v>
      </c>
      <c r="G30557" t="s">
        <v>2655</v>
      </c>
      <c r="H30557" s="21">
        <v>541.66999999999996</v>
      </c>
    </row>
    <row r="30558" spans="1:8" customFormat="1" x14ac:dyDescent="0.25">
      <c r="A30558" t="str">
        <f>"724386"</f>
        <v>724386</v>
      </c>
      <c r="B30558" t="s">
        <v>20831</v>
      </c>
      <c r="C30558" t="s">
        <v>3073</v>
      </c>
      <c r="D30558" s="21" t="s">
        <v>34</v>
      </c>
      <c r="E30558" s="21" t="s">
        <v>254</v>
      </c>
      <c r="F30558">
        <v>12720102</v>
      </c>
      <c r="G30558" t="s">
        <v>4469</v>
      </c>
      <c r="H30558" s="21">
        <v>541.66999999999996</v>
      </c>
    </row>
    <row r="30559" spans="1:8" customFormat="1" x14ac:dyDescent="0.25">
      <c r="A30559" t="str">
        <f>"039034"</f>
        <v>039034</v>
      </c>
      <c r="B30559" t="s">
        <v>10464</v>
      </c>
      <c r="C30559" t="s">
        <v>246</v>
      </c>
      <c r="D30559" s="21" t="s">
        <v>34</v>
      </c>
      <c r="E30559" s="21" t="s">
        <v>71</v>
      </c>
      <c r="F30559">
        <v>1030312</v>
      </c>
      <c r="G30559" t="s">
        <v>7573</v>
      </c>
      <c r="H30559" s="21">
        <v>541.66999999999996</v>
      </c>
    </row>
    <row r="30560" spans="1:8" customFormat="1" x14ac:dyDescent="0.25">
      <c r="A30560" t="str">
        <f>"806330"</f>
        <v>806330</v>
      </c>
      <c r="B30560" t="s">
        <v>13961</v>
      </c>
      <c r="C30560" t="s">
        <v>156</v>
      </c>
      <c r="D30560" s="21" t="s">
        <v>34</v>
      </c>
      <c r="E30560" s="21" t="s">
        <v>71</v>
      </c>
      <c r="F30560">
        <v>7620002</v>
      </c>
      <c r="G30560" t="s">
        <v>11925</v>
      </c>
      <c r="H30560" s="21">
        <v>541.66999999999996</v>
      </c>
    </row>
    <row r="30561" spans="1:8" customFormat="1" x14ac:dyDescent="0.25">
      <c r="A30561" t="str">
        <f>"5967335"</f>
        <v>5967335</v>
      </c>
      <c r="B30561" t="s">
        <v>3108</v>
      </c>
      <c r="C30561" t="s">
        <v>33</v>
      </c>
      <c r="D30561" s="21" t="s">
        <v>34</v>
      </c>
      <c r="E30561" s="21" t="s">
        <v>35</v>
      </c>
      <c r="F30561">
        <v>7590177</v>
      </c>
      <c r="G30561" t="s">
        <v>10380</v>
      </c>
      <c r="H30561" s="21">
        <v>541.66999999999996</v>
      </c>
    </row>
    <row r="30562" spans="1:8" customFormat="1" x14ac:dyDescent="0.25">
      <c r="A30562" t="str">
        <f>"104477"</f>
        <v>104477</v>
      </c>
      <c r="B30562" t="s">
        <v>28241</v>
      </c>
      <c r="C30562" t="s">
        <v>156</v>
      </c>
      <c r="D30562" s="21" t="s">
        <v>34</v>
      </c>
      <c r="E30562" s="21" t="s">
        <v>71</v>
      </c>
      <c r="F30562">
        <v>2710051</v>
      </c>
      <c r="G30562" t="s">
        <v>4811</v>
      </c>
      <c r="H30562" s="21">
        <v>541.66999999999996</v>
      </c>
    </row>
    <row r="30563" spans="1:8" customFormat="1" x14ac:dyDescent="0.25">
      <c r="A30563" t="str">
        <f>"192613"</f>
        <v>192613</v>
      </c>
      <c r="B30563" t="s">
        <v>20065</v>
      </c>
      <c r="C30563" t="s">
        <v>2520</v>
      </c>
      <c r="D30563" s="21" t="s">
        <v>34</v>
      </c>
      <c r="E30563" s="21" t="s">
        <v>254</v>
      </c>
      <c r="F30563">
        <v>10190146</v>
      </c>
      <c r="G30563" t="s">
        <v>6303</v>
      </c>
      <c r="H30563" s="21">
        <v>541.66999999999996</v>
      </c>
    </row>
    <row r="30564" spans="1:8" customFormat="1" x14ac:dyDescent="0.25">
      <c r="A30564" t="str">
        <f>"5939011"</f>
        <v>5939011</v>
      </c>
      <c r="B30564" t="s">
        <v>21755</v>
      </c>
      <c r="C30564" t="s">
        <v>124</v>
      </c>
      <c r="D30564" s="21" t="s">
        <v>34</v>
      </c>
      <c r="E30564" s="21" t="s">
        <v>71</v>
      </c>
      <c r="F30564">
        <v>7590131</v>
      </c>
      <c r="G30564" t="s">
        <v>6300</v>
      </c>
      <c r="H30564" s="21">
        <v>541.66999999999996</v>
      </c>
    </row>
    <row r="30565" spans="1:8" customFormat="1" x14ac:dyDescent="0.25">
      <c r="A30565" t="str">
        <f>"2721042"</f>
        <v>2721042</v>
      </c>
      <c r="B30565" t="s">
        <v>108</v>
      </c>
      <c r="C30565" t="s">
        <v>209</v>
      </c>
      <c r="D30565" s="21" t="s">
        <v>34</v>
      </c>
      <c r="E30565" s="21" t="s">
        <v>71</v>
      </c>
      <c r="F30565">
        <v>9270150</v>
      </c>
      <c r="G30565" t="s">
        <v>11661</v>
      </c>
      <c r="H30565" s="21">
        <v>541.66999999999996</v>
      </c>
    </row>
    <row r="30566" spans="1:8" customFormat="1" x14ac:dyDescent="0.25">
      <c r="A30566" t="str">
        <f>"289306"</f>
        <v>289306</v>
      </c>
      <c r="B30566" t="s">
        <v>548</v>
      </c>
      <c r="C30566" t="s">
        <v>253</v>
      </c>
      <c r="D30566" s="21" t="s">
        <v>34</v>
      </c>
      <c r="E30566" s="21" t="s">
        <v>1089</v>
      </c>
      <c r="F30566">
        <v>4280004</v>
      </c>
      <c r="G30566" t="s">
        <v>91</v>
      </c>
      <c r="H30566" s="21">
        <v>541.66999999999996</v>
      </c>
    </row>
    <row r="30567" spans="1:8" customFormat="1" x14ac:dyDescent="0.25">
      <c r="A30567" t="str">
        <f>"8614521"</f>
        <v>8614521</v>
      </c>
      <c r="B30567" t="s">
        <v>1451</v>
      </c>
      <c r="C30567" t="s">
        <v>2546</v>
      </c>
      <c r="D30567" s="21" t="s">
        <v>34</v>
      </c>
      <c r="E30567" s="21" t="s">
        <v>35</v>
      </c>
      <c r="F30567">
        <v>10860084</v>
      </c>
      <c r="G30567" t="s">
        <v>7471</v>
      </c>
      <c r="H30567" s="21">
        <v>541.66999999999996</v>
      </c>
    </row>
    <row r="30568" spans="1:8" customFormat="1" x14ac:dyDescent="0.25">
      <c r="A30568" t="str">
        <f>"4439841"</f>
        <v>4439841</v>
      </c>
      <c r="B30568" t="s">
        <v>28242</v>
      </c>
      <c r="C30568" t="s">
        <v>55</v>
      </c>
      <c r="D30568" s="21" t="s">
        <v>34</v>
      </c>
      <c r="E30568" s="21" t="s">
        <v>71</v>
      </c>
      <c r="F30568">
        <v>12440049</v>
      </c>
      <c r="G30568" t="s">
        <v>3339</v>
      </c>
      <c r="H30568" s="21">
        <v>541.66999999999996</v>
      </c>
    </row>
    <row r="30569" spans="1:8" customFormat="1" x14ac:dyDescent="0.25">
      <c r="A30569" t="str">
        <f>"2917569"</f>
        <v>2917569</v>
      </c>
      <c r="B30569" t="s">
        <v>4124</v>
      </c>
      <c r="C30569" t="s">
        <v>631</v>
      </c>
      <c r="D30569" s="21" t="s">
        <v>34</v>
      </c>
      <c r="E30569" s="21" t="s">
        <v>71</v>
      </c>
      <c r="F30569">
        <v>3290029</v>
      </c>
      <c r="G30569" t="s">
        <v>11486</v>
      </c>
      <c r="H30569" s="21">
        <v>541.66999999999996</v>
      </c>
    </row>
    <row r="30570" spans="1:8" customFormat="1" x14ac:dyDescent="0.25">
      <c r="A30570" t="str">
        <f>"5718806"</f>
        <v>5718806</v>
      </c>
      <c r="B30570" t="s">
        <v>15118</v>
      </c>
      <c r="C30570" t="s">
        <v>267</v>
      </c>
      <c r="D30570" s="21" t="s">
        <v>34</v>
      </c>
      <c r="E30570" s="21" t="s">
        <v>254</v>
      </c>
      <c r="F30570">
        <v>6570019</v>
      </c>
      <c r="G30570" t="s">
        <v>1510</v>
      </c>
      <c r="H30570" s="21">
        <v>541.66999999999996</v>
      </c>
    </row>
    <row r="30571" spans="1:8" customFormat="1" x14ac:dyDescent="0.25">
      <c r="A30571" t="str">
        <f>"3714472"</f>
        <v>3714472</v>
      </c>
      <c r="B30571" t="s">
        <v>28243</v>
      </c>
      <c r="C30571" t="s">
        <v>817</v>
      </c>
      <c r="D30571" s="21" t="s">
        <v>34</v>
      </c>
      <c r="E30571" s="21" t="s">
        <v>35</v>
      </c>
      <c r="F30571">
        <v>10330073</v>
      </c>
      <c r="G30571" t="s">
        <v>18352</v>
      </c>
      <c r="H30571" s="21">
        <v>541.54</v>
      </c>
    </row>
    <row r="30572" spans="1:8" customFormat="1" x14ac:dyDescent="0.25">
      <c r="A30572" t="str">
        <f>"0211310"</f>
        <v>0211310</v>
      </c>
      <c r="B30572" t="s">
        <v>21921</v>
      </c>
      <c r="C30572" t="s">
        <v>55</v>
      </c>
      <c r="D30572" s="21" t="s">
        <v>34</v>
      </c>
      <c r="E30572" s="21" t="s">
        <v>71</v>
      </c>
      <c r="F30572">
        <v>7020030</v>
      </c>
      <c r="G30572" t="s">
        <v>1796</v>
      </c>
      <c r="H30572" s="21">
        <v>541.5</v>
      </c>
    </row>
    <row r="30573" spans="1:8" customFormat="1" x14ac:dyDescent="0.25">
      <c r="A30573" t="str">
        <f>"3117336"</f>
        <v>3117336</v>
      </c>
      <c r="B30573" t="s">
        <v>970</v>
      </c>
      <c r="C30573" t="s">
        <v>253</v>
      </c>
      <c r="D30573" s="21" t="s">
        <v>34</v>
      </c>
      <c r="E30573" s="21" t="s">
        <v>71</v>
      </c>
      <c r="F30573">
        <v>11310131</v>
      </c>
      <c r="G30573" t="s">
        <v>16303</v>
      </c>
      <c r="H30573" s="21">
        <v>541.5</v>
      </c>
    </row>
    <row r="30574" spans="1:8" customFormat="1" x14ac:dyDescent="0.25">
      <c r="A30574" t="str">
        <f>"6213862"</f>
        <v>6213862</v>
      </c>
      <c r="B30574" t="s">
        <v>13332</v>
      </c>
      <c r="C30574" t="s">
        <v>114</v>
      </c>
      <c r="D30574" s="21" t="s">
        <v>34</v>
      </c>
      <c r="E30574" s="21" t="s">
        <v>35</v>
      </c>
      <c r="F30574">
        <v>9760104</v>
      </c>
      <c r="G30574" t="s">
        <v>26795</v>
      </c>
      <c r="H30574" s="21">
        <v>541.5</v>
      </c>
    </row>
    <row r="30575" spans="1:8" customFormat="1" x14ac:dyDescent="0.25">
      <c r="A30575" t="str">
        <f>"951076"</f>
        <v>951076</v>
      </c>
      <c r="B30575" t="s">
        <v>8310</v>
      </c>
      <c r="C30575" t="s">
        <v>5595</v>
      </c>
      <c r="D30575" s="21" t="s">
        <v>34</v>
      </c>
      <c r="E30575" s="21" t="s">
        <v>6185</v>
      </c>
      <c r="F30575">
        <v>8950545</v>
      </c>
      <c r="G30575" t="s">
        <v>14503</v>
      </c>
      <c r="H30575" s="21">
        <v>541.41999999999996</v>
      </c>
    </row>
    <row r="30576" spans="1:8" customFormat="1" x14ac:dyDescent="0.25">
      <c r="A30576" t="str">
        <f>"185502"</f>
        <v>185502</v>
      </c>
      <c r="B30576" t="s">
        <v>2386</v>
      </c>
      <c r="C30576" t="s">
        <v>598</v>
      </c>
      <c r="D30576" s="21" t="s">
        <v>34</v>
      </c>
      <c r="E30576" s="21" t="s">
        <v>71</v>
      </c>
      <c r="F30576">
        <v>4360726</v>
      </c>
      <c r="G30576" t="s">
        <v>5506</v>
      </c>
      <c r="H30576" s="21">
        <v>541.38</v>
      </c>
    </row>
    <row r="30577" spans="1:8" customFormat="1" x14ac:dyDescent="0.25">
      <c r="A30577" t="str">
        <f>"7732104"</f>
        <v>7732104</v>
      </c>
      <c r="B30577" t="s">
        <v>28244</v>
      </c>
      <c r="C30577" t="s">
        <v>3401</v>
      </c>
      <c r="D30577" s="21" t="s">
        <v>34</v>
      </c>
      <c r="E30577" s="21" t="s">
        <v>35</v>
      </c>
      <c r="F30577">
        <v>8770408</v>
      </c>
      <c r="G30577" t="s">
        <v>212</v>
      </c>
      <c r="H30577" s="21">
        <v>541.25</v>
      </c>
    </row>
    <row r="30578" spans="1:8" customFormat="1" x14ac:dyDescent="0.25">
      <c r="A30578" t="str">
        <f>"2210397"</f>
        <v>2210397</v>
      </c>
      <c r="B30578" t="s">
        <v>28245</v>
      </c>
      <c r="C30578" t="s">
        <v>109</v>
      </c>
      <c r="D30578" s="21" t="s">
        <v>34</v>
      </c>
      <c r="E30578" s="21" t="s">
        <v>254</v>
      </c>
      <c r="F30578">
        <v>3220113</v>
      </c>
      <c r="G30578" t="s">
        <v>26775</v>
      </c>
      <c r="H30578" s="21">
        <v>541.16999999999996</v>
      </c>
    </row>
    <row r="30579" spans="1:8" customFormat="1" x14ac:dyDescent="0.25">
      <c r="A30579" t="str">
        <f>"1614313"</f>
        <v>1614313</v>
      </c>
      <c r="B30579" t="s">
        <v>28246</v>
      </c>
      <c r="C30579" t="s">
        <v>2525</v>
      </c>
      <c r="D30579" s="21" t="s">
        <v>34</v>
      </c>
      <c r="E30579" s="21" t="s">
        <v>35</v>
      </c>
      <c r="F30579">
        <v>10160003</v>
      </c>
      <c r="G30579" t="s">
        <v>4692</v>
      </c>
      <c r="H30579" s="21">
        <v>541.16999999999996</v>
      </c>
    </row>
    <row r="30580" spans="1:8" customFormat="1" x14ac:dyDescent="0.25">
      <c r="A30580" t="str">
        <f>"933196"</f>
        <v>933196</v>
      </c>
      <c r="B30580" t="s">
        <v>2088</v>
      </c>
      <c r="C30580" t="s">
        <v>2907</v>
      </c>
      <c r="D30580" s="21" t="s">
        <v>34</v>
      </c>
      <c r="E30580" s="21" t="s">
        <v>254</v>
      </c>
      <c r="F30580">
        <v>10170051</v>
      </c>
      <c r="G30580" t="s">
        <v>826</v>
      </c>
      <c r="H30580" s="21">
        <v>541.16999999999996</v>
      </c>
    </row>
    <row r="30581" spans="1:8" customFormat="1" x14ac:dyDescent="0.25">
      <c r="A30581" t="str">
        <f>"5621467"</f>
        <v>5621467</v>
      </c>
      <c r="B30581" t="s">
        <v>1099</v>
      </c>
      <c r="C30581" t="s">
        <v>652</v>
      </c>
      <c r="D30581" s="21" t="s">
        <v>34</v>
      </c>
      <c r="E30581" s="21" t="s">
        <v>1089</v>
      </c>
      <c r="F30581">
        <v>3560091</v>
      </c>
      <c r="G30581" t="s">
        <v>27212</v>
      </c>
      <c r="H30581" s="21">
        <v>541.16999999999996</v>
      </c>
    </row>
    <row r="30582" spans="1:8" customFormat="1" x14ac:dyDescent="0.25">
      <c r="A30582" t="str">
        <f>"2615253"</f>
        <v>2615253</v>
      </c>
      <c r="B30582" t="s">
        <v>21667</v>
      </c>
      <c r="C30582" t="s">
        <v>3073</v>
      </c>
      <c r="D30582" s="21" t="s">
        <v>34</v>
      </c>
      <c r="E30582" s="21" t="s">
        <v>254</v>
      </c>
      <c r="F30582">
        <v>1260068</v>
      </c>
      <c r="G30582" t="s">
        <v>6531</v>
      </c>
      <c r="H30582" s="21">
        <v>541.16999999999996</v>
      </c>
    </row>
    <row r="30583" spans="1:8" customFormat="1" x14ac:dyDescent="0.25">
      <c r="A30583" t="str">
        <f>"9535943"</f>
        <v>9535943</v>
      </c>
      <c r="B30583" t="s">
        <v>21938</v>
      </c>
      <c r="C30583" t="s">
        <v>267</v>
      </c>
      <c r="D30583" s="21" t="s">
        <v>34</v>
      </c>
      <c r="E30583" s="21" t="s">
        <v>71</v>
      </c>
      <c r="F30583">
        <v>8950564</v>
      </c>
      <c r="G30583" t="s">
        <v>9523</v>
      </c>
      <c r="H30583" s="21">
        <v>541.16999999999996</v>
      </c>
    </row>
    <row r="30584" spans="1:8" customFormat="1" x14ac:dyDescent="0.25">
      <c r="A30584" t="str">
        <f>"3339809"</f>
        <v>3339809</v>
      </c>
      <c r="B30584" t="s">
        <v>20104</v>
      </c>
      <c r="C30584" t="s">
        <v>20105</v>
      </c>
      <c r="D30584" s="21" t="s">
        <v>34</v>
      </c>
      <c r="E30584" s="21" t="s">
        <v>71</v>
      </c>
      <c r="F30584">
        <v>10330086</v>
      </c>
      <c r="G30584" t="s">
        <v>785</v>
      </c>
      <c r="H30584" s="21">
        <v>541.16999999999996</v>
      </c>
    </row>
    <row r="30585" spans="1:8" customFormat="1" x14ac:dyDescent="0.25">
      <c r="A30585" t="str">
        <f>"7627287"</f>
        <v>7627287</v>
      </c>
      <c r="B30585" t="s">
        <v>22452</v>
      </c>
      <c r="C30585" t="s">
        <v>40</v>
      </c>
      <c r="D30585" s="21" t="s">
        <v>34</v>
      </c>
      <c r="E30585" s="21" t="s">
        <v>254</v>
      </c>
      <c r="F30585">
        <v>9760414</v>
      </c>
      <c r="G30585" t="s">
        <v>142</v>
      </c>
      <c r="H30585" s="21">
        <v>541.16999999999996</v>
      </c>
    </row>
    <row r="30586" spans="1:8" customFormat="1" x14ac:dyDescent="0.25">
      <c r="A30586" t="str">
        <f>"8525519"</f>
        <v>8525519</v>
      </c>
      <c r="B30586" t="s">
        <v>1576</v>
      </c>
      <c r="C30586" t="s">
        <v>3522</v>
      </c>
      <c r="D30586" s="21" t="s">
        <v>34</v>
      </c>
      <c r="E30586" s="21" t="s">
        <v>35</v>
      </c>
      <c r="F30586">
        <v>12850170</v>
      </c>
      <c r="G30586" t="s">
        <v>3349</v>
      </c>
      <c r="H30586" s="21">
        <v>541.16999999999996</v>
      </c>
    </row>
    <row r="30587" spans="1:8" customFormat="1" x14ac:dyDescent="0.25">
      <c r="A30587" t="str">
        <f>"5618972"</f>
        <v>5618972</v>
      </c>
      <c r="B30587" t="s">
        <v>7906</v>
      </c>
      <c r="C30587" t="s">
        <v>55</v>
      </c>
      <c r="D30587" s="21" t="s">
        <v>34</v>
      </c>
      <c r="E30587" s="21" t="s">
        <v>35</v>
      </c>
      <c r="F30587">
        <v>3560088</v>
      </c>
      <c r="G30587" t="s">
        <v>15034</v>
      </c>
      <c r="H30587" s="21">
        <v>541.16999999999996</v>
      </c>
    </row>
    <row r="30588" spans="1:8" customFormat="1" x14ac:dyDescent="0.25">
      <c r="A30588" t="str">
        <f>"085181"</f>
        <v>085181</v>
      </c>
      <c r="B30588" t="s">
        <v>20637</v>
      </c>
      <c r="C30588" t="s">
        <v>2520</v>
      </c>
      <c r="D30588" s="21" t="s">
        <v>34</v>
      </c>
      <c r="E30588" s="21" t="s">
        <v>71</v>
      </c>
      <c r="F30588">
        <v>6080035</v>
      </c>
      <c r="G30588" t="s">
        <v>583</v>
      </c>
      <c r="H30588" s="21">
        <v>541.16999999999996</v>
      </c>
    </row>
    <row r="30589" spans="1:8" customFormat="1" x14ac:dyDescent="0.25">
      <c r="A30589" t="str">
        <f>"443699"</f>
        <v>443699</v>
      </c>
      <c r="B30589" t="s">
        <v>5079</v>
      </c>
      <c r="C30589" t="s">
        <v>1231</v>
      </c>
      <c r="D30589" s="21" t="s">
        <v>34</v>
      </c>
      <c r="E30589" s="21" t="s">
        <v>1089</v>
      </c>
      <c r="F30589">
        <v>12440139</v>
      </c>
      <c r="G30589" t="s">
        <v>2655</v>
      </c>
      <c r="H30589" s="21">
        <v>541.16999999999996</v>
      </c>
    </row>
    <row r="30590" spans="1:8" customFormat="1" x14ac:dyDescent="0.25">
      <c r="A30590" t="str">
        <f>"4218675"</f>
        <v>4218675</v>
      </c>
      <c r="B30590" t="s">
        <v>20615</v>
      </c>
      <c r="C30590" t="s">
        <v>40</v>
      </c>
      <c r="D30590" s="21" t="s">
        <v>34</v>
      </c>
      <c r="E30590" s="21" t="s">
        <v>35</v>
      </c>
      <c r="F30590">
        <v>1420013</v>
      </c>
      <c r="G30590" t="s">
        <v>2013</v>
      </c>
      <c r="H30590" s="21">
        <v>541.16999999999996</v>
      </c>
    </row>
    <row r="30591" spans="1:8" customFormat="1" x14ac:dyDescent="0.25">
      <c r="A30591" t="str">
        <f>"848329"</f>
        <v>848329</v>
      </c>
      <c r="B30591" t="s">
        <v>22613</v>
      </c>
      <c r="C30591" t="s">
        <v>156</v>
      </c>
      <c r="D30591" s="21" t="s">
        <v>34</v>
      </c>
      <c r="E30591" s="21" t="s">
        <v>254</v>
      </c>
      <c r="F30591">
        <v>13840012</v>
      </c>
      <c r="G30591" t="s">
        <v>5143</v>
      </c>
      <c r="H30591" s="21">
        <v>541.16999999999996</v>
      </c>
    </row>
    <row r="30592" spans="1:8" customFormat="1" x14ac:dyDescent="0.25">
      <c r="A30592" t="str">
        <f>"365023"</f>
        <v>365023</v>
      </c>
      <c r="B30592" t="s">
        <v>9541</v>
      </c>
      <c r="C30592" t="s">
        <v>2479</v>
      </c>
      <c r="D30592" s="21" t="s">
        <v>34</v>
      </c>
      <c r="E30592" s="21" t="s">
        <v>1089</v>
      </c>
      <c r="F30592">
        <v>4360723</v>
      </c>
      <c r="G30592" t="s">
        <v>27127</v>
      </c>
      <c r="H30592" s="21">
        <v>541.16999999999996</v>
      </c>
    </row>
    <row r="30593" spans="1:8" customFormat="1" x14ac:dyDescent="0.25">
      <c r="A30593" t="str">
        <f>"4110754"</f>
        <v>4110754</v>
      </c>
      <c r="B30593" t="s">
        <v>9615</v>
      </c>
      <c r="C30593" t="s">
        <v>267</v>
      </c>
      <c r="D30593" s="21" t="s">
        <v>34</v>
      </c>
      <c r="E30593" s="21" t="s">
        <v>35</v>
      </c>
      <c r="F30593">
        <v>4410469</v>
      </c>
      <c r="G30593" t="s">
        <v>7919</v>
      </c>
      <c r="H30593" s="21">
        <v>541.16999999999996</v>
      </c>
    </row>
    <row r="30594" spans="1:8" customFormat="1" x14ac:dyDescent="0.25">
      <c r="A30594" t="str">
        <f>"6944206"</f>
        <v>6944206</v>
      </c>
      <c r="B30594" t="s">
        <v>19807</v>
      </c>
      <c r="C30594" t="s">
        <v>119</v>
      </c>
      <c r="D30594" s="21" t="s">
        <v>34</v>
      </c>
      <c r="E30594" s="21" t="s">
        <v>71</v>
      </c>
      <c r="F30594">
        <v>1690194</v>
      </c>
      <c r="G30594" t="s">
        <v>5285</v>
      </c>
      <c r="H30594" s="21">
        <v>541.16999999999996</v>
      </c>
    </row>
    <row r="30595" spans="1:8" customFormat="1" x14ac:dyDescent="0.25">
      <c r="A30595" t="str">
        <f>"3327969"</f>
        <v>3327969</v>
      </c>
      <c r="B30595" t="s">
        <v>28247</v>
      </c>
      <c r="C30595" t="s">
        <v>249</v>
      </c>
      <c r="D30595" s="21" t="s">
        <v>34</v>
      </c>
      <c r="E30595" s="21" t="s">
        <v>35</v>
      </c>
      <c r="F30595">
        <v>10330045</v>
      </c>
      <c r="G30595" t="s">
        <v>4506</v>
      </c>
      <c r="H30595" s="21">
        <v>541.12</v>
      </c>
    </row>
    <row r="30596" spans="1:8" customFormat="1" x14ac:dyDescent="0.25">
      <c r="A30596" t="str">
        <f>"9538155"</f>
        <v>9538155</v>
      </c>
      <c r="B30596" t="s">
        <v>6134</v>
      </c>
      <c r="C30596" t="s">
        <v>4674</v>
      </c>
      <c r="D30596" s="21" t="s">
        <v>34</v>
      </c>
      <c r="E30596" s="21" t="s">
        <v>35</v>
      </c>
      <c r="F30596">
        <v>8950479</v>
      </c>
      <c r="G30596" t="s">
        <v>728</v>
      </c>
      <c r="H30596" s="21">
        <v>541.12</v>
      </c>
    </row>
    <row r="30597" spans="1:8" customFormat="1" x14ac:dyDescent="0.25">
      <c r="A30597" t="str">
        <f>"7725688"</f>
        <v>7725688</v>
      </c>
      <c r="B30597" t="s">
        <v>21803</v>
      </c>
      <c r="C30597" t="s">
        <v>1146</v>
      </c>
      <c r="D30597" s="21" t="s">
        <v>34</v>
      </c>
      <c r="E30597" s="21" t="s">
        <v>71</v>
      </c>
      <c r="F30597">
        <v>8770250</v>
      </c>
      <c r="G30597" t="s">
        <v>2595</v>
      </c>
      <c r="H30597" s="21">
        <v>541.04</v>
      </c>
    </row>
    <row r="30598" spans="1:8" customFormat="1" x14ac:dyDescent="0.25">
      <c r="A30598" t="str">
        <f>"6312976"</f>
        <v>6312976</v>
      </c>
      <c r="B30598" t="s">
        <v>22727</v>
      </c>
      <c r="C30598" t="s">
        <v>130</v>
      </c>
      <c r="D30598" s="21" t="s">
        <v>34</v>
      </c>
      <c r="E30598" s="21" t="s">
        <v>71</v>
      </c>
      <c r="F30598">
        <v>1630330</v>
      </c>
      <c r="G30598" t="s">
        <v>7263</v>
      </c>
      <c r="H30598" s="21">
        <v>541.04</v>
      </c>
    </row>
    <row r="30599" spans="1:8" customFormat="1" x14ac:dyDescent="0.25">
      <c r="A30599" t="str">
        <f>"9424414"</f>
        <v>9424414</v>
      </c>
      <c r="B30599" t="s">
        <v>6219</v>
      </c>
      <c r="C30599" t="s">
        <v>1812</v>
      </c>
      <c r="D30599" s="21" t="s">
        <v>34</v>
      </c>
      <c r="E30599" s="21" t="s">
        <v>71</v>
      </c>
      <c r="F30599">
        <v>8940535</v>
      </c>
      <c r="G30599" t="s">
        <v>2628</v>
      </c>
      <c r="H30599" s="21">
        <v>541</v>
      </c>
    </row>
    <row r="30600" spans="1:8" customFormat="1" x14ac:dyDescent="0.25">
      <c r="A30600" t="str">
        <f>"4431404"</f>
        <v>4431404</v>
      </c>
      <c r="B30600" t="s">
        <v>7122</v>
      </c>
      <c r="C30600" t="s">
        <v>379</v>
      </c>
      <c r="D30600" s="21" t="s">
        <v>34</v>
      </c>
      <c r="E30600" s="21" t="s">
        <v>6185</v>
      </c>
      <c r="F30600">
        <v>12440147</v>
      </c>
      <c r="G30600" t="s">
        <v>5472</v>
      </c>
      <c r="H30600" s="21">
        <v>541</v>
      </c>
    </row>
    <row r="30601" spans="1:8" customFormat="1" x14ac:dyDescent="0.25">
      <c r="A30601" t="str">
        <f>"7730043"</f>
        <v>7730043</v>
      </c>
      <c r="B30601" t="s">
        <v>22231</v>
      </c>
      <c r="C30601" t="s">
        <v>62</v>
      </c>
      <c r="D30601" s="21" t="s">
        <v>34</v>
      </c>
      <c r="E30601" s="21" t="s">
        <v>35</v>
      </c>
      <c r="F30601">
        <v>8770562</v>
      </c>
      <c r="G30601" t="s">
        <v>4847</v>
      </c>
      <c r="H30601" s="21">
        <v>540.91999999999996</v>
      </c>
    </row>
    <row r="30602" spans="1:8" customFormat="1" x14ac:dyDescent="0.25">
      <c r="A30602" t="str">
        <f>"5713768"</f>
        <v>5713768</v>
      </c>
      <c r="B30602" t="s">
        <v>5969</v>
      </c>
      <c r="C30602" t="s">
        <v>124</v>
      </c>
      <c r="D30602" s="21" t="s">
        <v>34</v>
      </c>
      <c r="E30602" s="21" t="s">
        <v>71</v>
      </c>
      <c r="F30602">
        <v>6570125</v>
      </c>
      <c r="G30602" t="s">
        <v>14599</v>
      </c>
      <c r="H30602" s="21">
        <v>540.91999999999996</v>
      </c>
    </row>
    <row r="30603" spans="1:8" customFormat="1" x14ac:dyDescent="0.25">
      <c r="A30603" t="str">
        <f>"7521955"</f>
        <v>7521955</v>
      </c>
      <c r="B30603" t="s">
        <v>21503</v>
      </c>
      <c r="C30603" t="s">
        <v>1119</v>
      </c>
      <c r="D30603" s="21" t="s">
        <v>34</v>
      </c>
      <c r="E30603" s="21" t="s">
        <v>35</v>
      </c>
      <c r="F30603">
        <v>8751311</v>
      </c>
      <c r="G30603" t="s">
        <v>11818</v>
      </c>
      <c r="H30603" s="21">
        <v>540.79</v>
      </c>
    </row>
    <row r="30604" spans="1:8" customFormat="1" x14ac:dyDescent="0.25">
      <c r="A30604" t="str">
        <f>"7635918"</f>
        <v>7635918</v>
      </c>
      <c r="B30604" t="s">
        <v>21614</v>
      </c>
      <c r="C30604" t="s">
        <v>43</v>
      </c>
      <c r="D30604" s="21" t="s">
        <v>34</v>
      </c>
      <c r="E30604" s="21" t="s">
        <v>35</v>
      </c>
      <c r="F30604">
        <v>9760442</v>
      </c>
      <c r="G30604" t="s">
        <v>5753</v>
      </c>
      <c r="H30604" s="21">
        <v>540.79</v>
      </c>
    </row>
    <row r="30605" spans="1:8" customFormat="1" x14ac:dyDescent="0.25">
      <c r="A30605" t="str">
        <f>"3829985"</f>
        <v>3829985</v>
      </c>
      <c r="B30605" t="s">
        <v>638</v>
      </c>
      <c r="C30605" t="s">
        <v>209</v>
      </c>
      <c r="D30605" s="21" t="s">
        <v>34</v>
      </c>
      <c r="E30605" s="21" t="s">
        <v>71</v>
      </c>
      <c r="F30605">
        <v>1380267</v>
      </c>
      <c r="G30605" t="s">
        <v>1002</v>
      </c>
      <c r="H30605" s="21">
        <v>540.66999999999996</v>
      </c>
    </row>
    <row r="30606" spans="1:8" customFormat="1" x14ac:dyDescent="0.25">
      <c r="A30606" t="str">
        <f>"394518"</f>
        <v>394518</v>
      </c>
      <c r="B30606" t="s">
        <v>21236</v>
      </c>
      <c r="C30606" t="s">
        <v>750</v>
      </c>
      <c r="D30606" s="21" t="s">
        <v>34</v>
      </c>
      <c r="E30606" s="21" t="s">
        <v>71</v>
      </c>
      <c r="F30606">
        <v>2390094</v>
      </c>
      <c r="G30606" t="s">
        <v>14784</v>
      </c>
      <c r="H30606" s="21">
        <v>540.66999999999996</v>
      </c>
    </row>
    <row r="30607" spans="1:8" customFormat="1" x14ac:dyDescent="0.25">
      <c r="A30607" t="str">
        <f>"8611768"</f>
        <v>8611768</v>
      </c>
      <c r="B30607" t="s">
        <v>9345</v>
      </c>
      <c r="C30607" t="s">
        <v>233</v>
      </c>
      <c r="D30607" s="21" t="s">
        <v>34</v>
      </c>
      <c r="E30607" s="21" t="s">
        <v>254</v>
      </c>
      <c r="F30607">
        <v>10860016</v>
      </c>
      <c r="G30607" t="s">
        <v>3289</v>
      </c>
      <c r="H30607" s="21">
        <v>540.66999999999996</v>
      </c>
    </row>
    <row r="30608" spans="1:8" customFormat="1" x14ac:dyDescent="0.25">
      <c r="A30608" t="str">
        <f>"7632800"</f>
        <v>7632800</v>
      </c>
      <c r="B30608" t="s">
        <v>8233</v>
      </c>
      <c r="C30608" t="s">
        <v>82</v>
      </c>
      <c r="D30608" s="21" t="s">
        <v>34</v>
      </c>
      <c r="E30608" s="21" t="s">
        <v>35</v>
      </c>
      <c r="F30608">
        <v>9760127</v>
      </c>
      <c r="G30608" t="s">
        <v>7132</v>
      </c>
      <c r="H30608" s="21">
        <v>540.66999999999996</v>
      </c>
    </row>
    <row r="30609" spans="1:8" customFormat="1" x14ac:dyDescent="0.25">
      <c r="A30609" t="str">
        <f>"9516336"</f>
        <v>9516336</v>
      </c>
      <c r="B30609" t="s">
        <v>4711</v>
      </c>
      <c r="C30609" t="s">
        <v>415</v>
      </c>
      <c r="D30609" s="21" t="s">
        <v>34</v>
      </c>
      <c r="E30609" s="21" t="s">
        <v>71</v>
      </c>
      <c r="F30609">
        <v>8950570</v>
      </c>
      <c r="G30609" t="s">
        <v>3226</v>
      </c>
      <c r="H30609" s="21">
        <v>540.66999999999996</v>
      </c>
    </row>
    <row r="30610" spans="1:8" customFormat="1" x14ac:dyDescent="0.25">
      <c r="A30610" t="str">
        <f>"5978379"</f>
        <v>5978379</v>
      </c>
      <c r="B30610" t="s">
        <v>16298</v>
      </c>
      <c r="C30610" t="s">
        <v>246</v>
      </c>
      <c r="D30610" s="21" t="s">
        <v>34</v>
      </c>
      <c r="E30610" s="21" t="s">
        <v>71</v>
      </c>
      <c r="F30610">
        <v>7590244</v>
      </c>
      <c r="G30610" t="s">
        <v>5768</v>
      </c>
      <c r="H30610" s="21">
        <v>540.66999999999996</v>
      </c>
    </row>
    <row r="30611" spans="1:8" customFormat="1" x14ac:dyDescent="0.25">
      <c r="A30611" t="str">
        <f>"8313740"</f>
        <v>8313740</v>
      </c>
      <c r="B30611" t="s">
        <v>20883</v>
      </c>
      <c r="C30611" t="s">
        <v>825</v>
      </c>
      <c r="D30611" s="21" t="s">
        <v>34</v>
      </c>
      <c r="E30611" s="21" t="s">
        <v>254</v>
      </c>
      <c r="F30611">
        <v>13830089</v>
      </c>
      <c r="G30611" t="s">
        <v>14112</v>
      </c>
      <c r="H30611" s="21">
        <v>540.66999999999996</v>
      </c>
    </row>
    <row r="30612" spans="1:8" customFormat="1" x14ac:dyDescent="0.25">
      <c r="A30612" t="str">
        <f>"1612922"</f>
        <v>1612922</v>
      </c>
      <c r="B30612" t="s">
        <v>28248</v>
      </c>
      <c r="C30612" t="s">
        <v>486</v>
      </c>
      <c r="D30612" s="21" t="s">
        <v>34</v>
      </c>
      <c r="E30612" s="21" t="s">
        <v>35</v>
      </c>
      <c r="F30612">
        <v>10160042</v>
      </c>
      <c r="G30612" t="s">
        <v>7461</v>
      </c>
      <c r="H30612" s="21">
        <v>540.66999999999996</v>
      </c>
    </row>
    <row r="30613" spans="1:8" customFormat="1" x14ac:dyDescent="0.25">
      <c r="A30613" t="str">
        <f>"54594"</f>
        <v>54594</v>
      </c>
      <c r="B30613" t="s">
        <v>20794</v>
      </c>
      <c r="C30613" t="s">
        <v>598</v>
      </c>
      <c r="D30613" s="21" t="s">
        <v>34</v>
      </c>
      <c r="E30613" s="21" t="s">
        <v>1089</v>
      </c>
      <c r="F30613">
        <v>6540040</v>
      </c>
      <c r="G30613" t="s">
        <v>256</v>
      </c>
      <c r="H30613" s="21">
        <v>540.66999999999996</v>
      </c>
    </row>
    <row r="30614" spans="1:8" customFormat="1" x14ac:dyDescent="0.25">
      <c r="A30614" t="str">
        <f>"5948834"</f>
        <v>5948834</v>
      </c>
      <c r="B30614" t="s">
        <v>9622</v>
      </c>
      <c r="C30614" t="s">
        <v>1665</v>
      </c>
      <c r="D30614" s="21" t="s">
        <v>34</v>
      </c>
      <c r="E30614" s="21" t="s">
        <v>1089</v>
      </c>
      <c r="F30614">
        <v>7590164</v>
      </c>
      <c r="G30614" t="s">
        <v>2451</v>
      </c>
      <c r="H30614" s="21">
        <v>540.66999999999996</v>
      </c>
    </row>
    <row r="30615" spans="1:8" customFormat="1" x14ac:dyDescent="0.25">
      <c r="A30615" t="str">
        <f>"068531"</f>
        <v>068531</v>
      </c>
      <c r="B30615" t="s">
        <v>20936</v>
      </c>
      <c r="C30615" t="s">
        <v>260</v>
      </c>
      <c r="D30615" s="21" t="s">
        <v>34</v>
      </c>
      <c r="E30615" s="21" t="s">
        <v>254</v>
      </c>
      <c r="F30615">
        <v>13060005</v>
      </c>
      <c r="G30615" t="s">
        <v>3609</v>
      </c>
      <c r="H30615" s="21">
        <v>540.66999999999996</v>
      </c>
    </row>
    <row r="30616" spans="1:8" customFormat="1" x14ac:dyDescent="0.25">
      <c r="A30616" t="str">
        <f>"195208"</f>
        <v>195208</v>
      </c>
      <c r="B30616" t="s">
        <v>4711</v>
      </c>
      <c r="C30616" t="s">
        <v>2529</v>
      </c>
      <c r="D30616" s="21" t="s">
        <v>34</v>
      </c>
      <c r="E30616" s="21" t="s">
        <v>71</v>
      </c>
      <c r="F30616">
        <v>10190075</v>
      </c>
      <c r="G30616" t="s">
        <v>14431</v>
      </c>
      <c r="H30616" s="21">
        <v>540.66999999999996</v>
      </c>
    </row>
    <row r="30617" spans="1:8" customFormat="1" x14ac:dyDescent="0.25">
      <c r="A30617" t="str">
        <f>"114162"</f>
        <v>114162</v>
      </c>
      <c r="B30617" t="s">
        <v>956</v>
      </c>
      <c r="C30617" t="s">
        <v>267</v>
      </c>
      <c r="D30617" s="21" t="s">
        <v>34</v>
      </c>
      <c r="E30617" s="21" t="s">
        <v>254</v>
      </c>
      <c r="F30617">
        <v>11110032</v>
      </c>
      <c r="G30617" t="s">
        <v>2698</v>
      </c>
      <c r="H30617" s="21">
        <v>540.66999999999996</v>
      </c>
    </row>
    <row r="30618" spans="1:8" customFormat="1" x14ac:dyDescent="0.25">
      <c r="A30618" t="str">
        <f>"665117"</f>
        <v>665117</v>
      </c>
      <c r="B30618" t="s">
        <v>21555</v>
      </c>
      <c r="C30618" t="s">
        <v>453</v>
      </c>
      <c r="D30618" s="21" t="s">
        <v>34</v>
      </c>
      <c r="E30618" s="21" t="s">
        <v>1089</v>
      </c>
      <c r="F30618">
        <v>11660040</v>
      </c>
      <c r="G30618" t="s">
        <v>17413</v>
      </c>
      <c r="H30618" s="21">
        <v>540.66999999999996</v>
      </c>
    </row>
    <row r="30619" spans="1:8" customFormat="1" x14ac:dyDescent="0.25">
      <c r="A30619" t="str">
        <f>"38928"</f>
        <v>38928</v>
      </c>
      <c r="B30619" t="s">
        <v>20789</v>
      </c>
      <c r="C30619" t="s">
        <v>3010</v>
      </c>
      <c r="D30619" s="21" t="s">
        <v>34</v>
      </c>
      <c r="E30619" s="21" t="s">
        <v>254</v>
      </c>
      <c r="F30619">
        <v>1380108</v>
      </c>
      <c r="G30619" t="s">
        <v>6103</v>
      </c>
      <c r="H30619" s="21">
        <v>540.66999999999996</v>
      </c>
    </row>
    <row r="30620" spans="1:8" customFormat="1" x14ac:dyDescent="0.25">
      <c r="A30620" t="str">
        <f>"4521615"</f>
        <v>4521615</v>
      </c>
      <c r="B30620" t="s">
        <v>2438</v>
      </c>
      <c r="C30620" t="s">
        <v>249</v>
      </c>
      <c r="D30620" s="21" t="s">
        <v>34</v>
      </c>
      <c r="E30620" s="21" t="s">
        <v>254</v>
      </c>
      <c r="F30620">
        <v>4450362</v>
      </c>
      <c r="G30620" t="s">
        <v>20963</v>
      </c>
      <c r="H30620" s="21">
        <v>540.66999999999996</v>
      </c>
    </row>
    <row r="30621" spans="1:8" customFormat="1" x14ac:dyDescent="0.25">
      <c r="A30621" t="str">
        <f>"7215897"</f>
        <v>7215897</v>
      </c>
      <c r="B30621" t="s">
        <v>2505</v>
      </c>
      <c r="C30621" t="s">
        <v>2276</v>
      </c>
      <c r="D30621" s="21" t="s">
        <v>34</v>
      </c>
      <c r="E30621" s="21" t="s">
        <v>254</v>
      </c>
      <c r="F30621">
        <v>12720052</v>
      </c>
      <c r="G30621" t="s">
        <v>9628</v>
      </c>
      <c r="H30621" s="21">
        <v>540.66999999999996</v>
      </c>
    </row>
    <row r="30622" spans="1:8" customFormat="1" x14ac:dyDescent="0.25">
      <c r="A30622" t="str">
        <f>"2217380"</f>
        <v>2217380</v>
      </c>
      <c r="B30622" t="s">
        <v>1551</v>
      </c>
      <c r="C30622" t="s">
        <v>576</v>
      </c>
      <c r="D30622" s="21" t="s">
        <v>34</v>
      </c>
      <c r="E30622" s="21" t="s">
        <v>35</v>
      </c>
      <c r="F30622">
        <v>3220031</v>
      </c>
      <c r="G30622" t="s">
        <v>26743</v>
      </c>
      <c r="H30622" s="21">
        <v>540.66999999999996</v>
      </c>
    </row>
    <row r="30623" spans="1:8" customFormat="1" x14ac:dyDescent="0.25">
      <c r="A30623" t="str">
        <f>"3534393"</f>
        <v>3534393</v>
      </c>
      <c r="B30623" t="s">
        <v>22595</v>
      </c>
      <c r="C30623" t="s">
        <v>33</v>
      </c>
      <c r="D30623" s="21" t="s">
        <v>34</v>
      </c>
      <c r="E30623" s="21" t="s">
        <v>35</v>
      </c>
      <c r="F30623">
        <v>3350225</v>
      </c>
      <c r="G30623" t="s">
        <v>22594</v>
      </c>
      <c r="H30623" s="21">
        <v>540.66999999999996</v>
      </c>
    </row>
    <row r="30624" spans="1:8" customFormat="1" x14ac:dyDescent="0.25">
      <c r="A30624" t="str">
        <f>"5965954"</f>
        <v>5965954</v>
      </c>
      <c r="B30624" t="s">
        <v>12340</v>
      </c>
      <c r="C30624" t="s">
        <v>2520</v>
      </c>
      <c r="D30624" s="21" t="s">
        <v>34</v>
      </c>
      <c r="E30624" s="21" t="s">
        <v>1089</v>
      </c>
      <c r="F30624">
        <v>7590228</v>
      </c>
      <c r="G30624" t="s">
        <v>1798</v>
      </c>
      <c r="H30624" s="21">
        <v>540.66999999999996</v>
      </c>
    </row>
    <row r="30625" spans="1:8" customFormat="1" x14ac:dyDescent="0.25">
      <c r="A30625" t="str">
        <f>"3811449"</f>
        <v>3811449</v>
      </c>
      <c r="B30625" t="s">
        <v>20790</v>
      </c>
      <c r="C30625" t="s">
        <v>253</v>
      </c>
      <c r="D30625" s="21" t="s">
        <v>34</v>
      </c>
      <c r="E30625" s="21" t="s">
        <v>6185</v>
      </c>
      <c r="F30625">
        <v>1380246</v>
      </c>
      <c r="G30625" t="s">
        <v>27941</v>
      </c>
      <c r="H30625" s="21">
        <v>540.66999999999996</v>
      </c>
    </row>
    <row r="30626" spans="1:8" customFormat="1" x14ac:dyDescent="0.25">
      <c r="A30626" t="str">
        <f>"0618286"</f>
        <v>0618286</v>
      </c>
      <c r="B30626" t="s">
        <v>2189</v>
      </c>
      <c r="C30626" t="s">
        <v>109</v>
      </c>
      <c r="D30626" s="21" t="s">
        <v>34</v>
      </c>
      <c r="E30626" s="21" t="s">
        <v>71</v>
      </c>
      <c r="F30626">
        <v>13060119</v>
      </c>
      <c r="G30626" t="s">
        <v>6179</v>
      </c>
      <c r="H30626" s="21">
        <v>540.66999999999996</v>
      </c>
    </row>
    <row r="30627" spans="1:8" customFormat="1" x14ac:dyDescent="0.25">
      <c r="A30627" t="str">
        <f>"9126020"</f>
        <v>9126020</v>
      </c>
      <c r="B30627" t="s">
        <v>20306</v>
      </c>
      <c r="C30627" t="s">
        <v>462</v>
      </c>
      <c r="D30627" s="21" t="s">
        <v>34</v>
      </c>
      <c r="E30627" s="21" t="s">
        <v>71</v>
      </c>
      <c r="F30627">
        <v>8911458</v>
      </c>
      <c r="G30627" t="s">
        <v>16448</v>
      </c>
      <c r="H30627" s="21">
        <v>540.66999999999996</v>
      </c>
    </row>
    <row r="30628" spans="1:8" customFormat="1" x14ac:dyDescent="0.25">
      <c r="A30628" t="str">
        <f>"6111434"</f>
        <v>6111434</v>
      </c>
      <c r="B30628" t="s">
        <v>24041</v>
      </c>
      <c r="C30628" t="s">
        <v>40</v>
      </c>
      <c r="D30628" s="21" t="s">
        <v>34</v>
      </c>
      <c r="E30628" s="21" t="s">
        <v>254</v>
      </c>
      <c r="F30628">
        <v>9610097</v>
      </c>
      <c r="G30628" t="s">
        <v>9432</v>
      </c>
      <c r="H30628" s="21">
        <v>540.66999999999996</v>
      </c>
    </row>
    <row r="30629" spans="1:8" customFormat="1" x14ac:dyDescent="0.25">
      <c r="A30629" t="str">
        <f>"3318185"</f>
        <v>3318185</v>
      </c>
      <c r="B30629" t="s">
        <v>3274</v>
      </c>
      <c r="C30629" t="s">
        <v>40</v>
      </c>
      <c r="D30629" s="21" t="s">
        <v>34</v>
      </c>
      <c r="E30629" s="21" t="s">
        <v>1089</v>
      </c>
      <c r="F30629">
        <v>10330040</v>
      </c>
      <c r="G30629" t="s">
        <v>1492</v>
      </c>
      <c r="H30629" s="21">
        <v>540.54</v>
      </c>
    </row>
    <row r="30630" spans="1:8" customFormat="1" x14ac:dyDescent="0.25">
      <c r="A30630" t="str">
        <f>"9D2586"</f>
        <v>9D2586</v>
      </c>
      <c r="B30630" t="s">
        <v>24275</v>
      </c>
      <c r="C30630" t="s">
        <v>236</v>
      </c>
      <c r="D30630" s="21" t="s">
        <v>34</v>
      </c>
      <c r="E30630" s="21" t="s">
        <v>71</v>
      </c>
      <c r="F30630" t="s">
        <v>13222</v>
      </c>
      <c r="G30630" t="s">
        <v>13223</v>
      </c>
      <c r="H30630" s="21">
        <v>540.54</v>
      </c>
    </row>
    <row r="30631" spans="1:8" customFormat="1" x14ac:dyDescent="0.25">
      <c r="A30631" t="str">
        <f>"9458863"</f>
        <v>9458863</v>
      </c>
      <c r="B30631" t="s">
        <v>28249</v>
      </c>
      <c r="C30631" t="s">
        <v>1423</v>
      </c>
      <c r="D30631" s="21" t="s">
        <v>34</v>
      </c>
      <c r="E30631" s="21" t="s">
        <v>35</v>
      </c>
      <c r="F30631">
        <v>8941359</v>
      </c>
      <c r="G30631" t="s">
        <v>14474</v>
      </c>
      <c r="H30631" s="21">
        <v>540.5</v>
      </c>
    </row>
    <row r="30632" spans="1:8" customFormat="1" x14ac:dyDescent="0.25">
      <c r="A30632" t="str">
        <f>"3730771"</f>
        <v>3730771</v>
      </c>
      <c r="B30632" t="s">
        <v>8922</v>
      </c>
      <c r="C30632" t="s">
        <v>33</v>
      </c>
      <c r="D30632" s="21" t="s">
        <v>34</v>
      </c>
      <c r="E30632" s="21" t="s">
        <v>35</v>
      </c>
      <c r="F30632">
        <v>4370729</v>
      </c>
      <c r="G30632" t="s">
        <v>15423</v>
      </c>
      <c r="H30632" s="21">
        <v>540.5</v>
      </c>
    </row>
    <row r="30633" spans="1:8" customFormat="1" x14ac:dyDescent="0.25">
      <c r="A30633" t="str">
        <f>"5982678"</f>
        <v>5982678</v>
      </c>
      <c r="B30633" t="s">
        <v>28250</v>
      </c>
      <c r="C30633" t="s">
        <v>60</v>
      </c>
      <c r="D30633" s="21" t="s">
        <v>34</v>
      </c>
      <c r="E30633" s="21" t="s">
        <v>35</v>
      </c>
      <c r="F30633">
        <v>7590087</v>
      </c>
      <c r="G30633" t="s">
        <v>2112</v>
      </c>
      <c r="H30633" s="21">
        <v>540.5</v>
      </c>
    </row>
    <row r="30634" spans="1:8" customFormat="1" x14ac:dyDescent="0.25">
      <c r="A30634" t="str">
        <f>"7523596"</f>
        <v>7523596</v>
      </c>
      <c r="B30634" t="s">
        <v>17754</v>
      </c>
      <c r="C30634" t="s">
        <v>879</v>
      </c>
      <c r="D30634" s="21" t="s">
        <v>34</v>
      </c>
      <c r="E30634" s="21" t="s">
        <v>35</v>
      </c>
      <c r="F30634">
        <v>8751455</v>
      </c>
      <c r="G30634" t="s">
        <v>14280</v>
      </c>
      <c r="H30634" s="21">
        <v>540.5</v>
      </c>
    </row>
    <row r="30635" spans="1:8" customFormat="1" x14ac:dyDescent="0.25">
      <c r="A30635" t="str">
        <f>"5612583"</f>
        <v>5612583</v>
      </c>
      <c r="B30635" t="s">
        <v>15525</v>
      </c>
      <c r="C30635" t="s">
        <v>58</v>
      </c>
      <c r="D30635" s="21" t="s">
        <v>34</v>
      </c>
      <c r="E30635" s="21" t="s">
        <v>35</v>
      </c>
      <c r="F30635">
        <v>3560072</v>
      </c>
      <c r="G30635" t="s">
        <v>12285</v>
      </c>
      <c r="H30635" s="21">
        <v>540.41999999999996</v>
      </c>
    </row>
    <row r="30636" spans="1:8" customFormat="1" x14ac:dyDescent="0.25">
      <c r="A30636" t="str">
        <f>"6022823"</f>
        <v>6022823</v>
      </c>
      <c r="B30636" t="s">
        <v>12438</v>
      </c>
      <c r="C30636" t="s">
        <v>204</v>
      </c>
      <c r="D30636" s="21" t="s">
        <v>34</v>
      </c>
      <c r="E30636" s="21" t="s">
        <v>35</v>
      </c>
      <c r="F30636">
        <v>7600157</v>
      </c>
      <c r="G30636" t="s">
        <v>12263</v>
      </c>
      <c r="H30636" s="21">
        <v>540.41999999999996</v>
      </c>
    </row>
    <row r="30637" spans="1:8" customFormat="1" x14ac:dyDescent="0.25">
      <c r="A30637" t="str">
        <f>"1715504"</f>
        <v>1715504</v>
      </c>
      <c r="B30637" t="s">
        <v>6232</v>
      </c>
      <c r="C30637" t="s">
        <v>1146</v>
      </c>
      <c r="D30637" s="21" t="s">
        <v>34</v>
      </c>
      <c r="E30637" s="21" t="s">
        <v>254</v>
      </c>
      <c r="F30637">
        <v>10170178</v>
      </c>
      <c r="G30637" t="s">
        <v>17278</v>
      </c>
      <c r="H30637" s="21">
        <v>540.41999999999996</v>
      </c>
    </row>
    <row r="30638" spans="1:8" customFormat="1" x14ac:dyDescent="0.25">
      <c r="A30638" t="str">
        <f>"367940"</f>
        <v>367940</v>
      </c>
      <c r="B30638" t="s">
        <v>20663</v>
      </c>
      <c r="C30638" t="s">
        <v>469</v>
      </c>
      <c r="D30638" s="21" t="s">
        <v>34</v>
      </c>
      <c r="E30638" s="21" t="s">
        <v>35</v>
      </c>
      <c r="F30638">
        <v>4360723</v>
      </c>
      <c r="G30638" t="s">
        <v>27127</v>
      </c>
      <c r="H30638" s="21">
        <v>540.41999999999996</v>
      </c>
    </row>
    <row r="30639" spans="1:8" customFormat="1" x14ac:dyDescent="0.25">
      <c r="A30639" t="str">
        <f>"3536402"</f>
        <v>3536402</v>
      </c>
      <c r="B30639" t="s">
        <v>17934</v>
      </c>
      <c r="C30639" t="s">
        <v>285</v>
      </c>
      <c r="D30639" s="21" t="s">
        <v>34</v>
      </c>
      <c r="E30639" s="21" t="s">
        <v>35</v>
      </c>
      <c r="F30639">
        <v>3350014</v>
      </c>
      <c r="G30639" t="s">
        <v>1078</v>
      </c>
      <c r="H30639" s="21">
        <v>540.41999999999996</v>
      </c>
    </row>
    <row r="30640" spans="1:8" customFormat="1" x14ac:dyDescent="0.25">
      <c r="A30640" t="str">
        <f>"815102"</f>
        <v>815102</v>
      </c>
      <c r="B30640" t="s">
        <v>28251</v>
      </c>
      <c r="C30640" t="s">
        <v>121</v>
      </c>
      <c r="D30640" s="21" t="s">
        <v>34</v>
      </c>
      <c r="E30640" s="21" t="s">
        <v>35</v>
      </c>
      <c r="F30640">
        <v>11810024</v>
      </c>
      <c r="G30640" t="s">
        <v>2095</v>
      </c>
      <c r="H30640" s="21">
        <v>540.41999999999996</v>
      </c>
    </row>
    <row r="30641" spans="1:8" customFormat="1" x14ac:dyDescent="0.25">
      <c r="A30641" t="str">
        <f>"9317496"</f>
        <v>9317496</v>
      </c>
      <c r="B30641" t="s">
        <v>21093</v>
      </c>
      <c r="C30641" t="s">
        <v>712</v>
      </c>
      <c r="D30641" s="21" t="s">
        <v>34</v>
      </c>
      <c r="E30641" s="21" t="s">
        <v>35</v>
      </c>
      <c r="F30641">
        <v>8940482</v>
      </c>
      <c r="G30641" t="s">
        <v>2560</v>
      </c>
      <c r="H30641" s="21">
        <v>540.41999999999996</v>
      </c>
    </row>
    <row r="30642" spans="1:8" customFormat="1" x14ac:dyDescent="0.25">
      <c r="A30642" t="str">
        <f>"6315335"</f>
        <v>6315335</v>
      </c>
      <c r="B30642" t="s">
        <v>13472</v>
      </c>
      <c r="C30642" t="s">
        <v>3905</v>
      </c>
      <c r="D30642" s="21" t="s">
        <v>34</v>
      </c>
      <c r="E30642" s="21" t="s">
        <v>71</v>
      </c>
      <c r="F30642">
        <v>1630301</v>
      </c>
      <c r="G30642" t="s">
        <v>7897</v>
      </c>
      <c r="H30642" s="21">
        <v>540.29</v>
      </c>
    </row>
    <row r="30643" spans="1:8" customFormat="1" x14ac:dyDescent="0.25">
      <c r="A30643" t="str">
        <f>"5620081"</f>
        <v>5620081</v>
      </c>
      <c r="B30643" t="s">
        <v>12611</v>
      </c>
      <c r="C30643" t="s">
        <v>328</v>
      </c>
      <c r="D30643" s="21" t="s">
        <v>34</v>
      </c>
      <c r="E30643" s="21" t="s">
        <v>35</v>
      </c>
      <c r="F30643">
        <v>3560088</v>
      </c>
      <c r="G30643" t="s">
        <v>15034</v>
      </c>
      <c r="H30643" s="21">
        <v>540.16999999999996</v>
      </c>
    </row>
    <row r="30644" spans="1:8" customFormat="1" x14ac:dyDescent="0.25">
      <c r="A30644" t="str">
        <f>"0812145"</f>
        <v>0812145</v>
      </c>
      <c r="B30644" t="s">
        <v>21960</v>
      </c>
      <c r="C30644" t="s">
        <v>455</v>
      </c>
      <c r="D30644" s="21" t="s">
        <v>34</v>
      </c>
      <c r="E30644" s="21" t="s">
        <v>35</v>
      </c>
      <c r="F30644">
        <v>6080014</v>
      </c>
      <c r="G30644" t="s">
        <v>1272</v>
      </c>
      <c r="H30644" s="21">
        <v>540.16999999999996</v>
      </c>
    </row>
    <row r="30645" spans="1:8" customFormat="1" x14ac:dyDescent="0.25">
      <c r="A30645" t="str">
        <f>"8516103"</f>
        <v>8516103</v>
      </c>
      <c r="B30645" t="s">
        <v>427</v>
      </c>
      <c r="C30645" t="s">
        <v>151</v>
      </c>
      <c r="D30645" s="21" t="s">
        <v>34</v>
      </c>
      <c r="E30645" s="21" t="s">
        <v>35</v>
      </c>
      <c r="F30645">
        <v>10790009</v>
      </c>
      <c r="G30645" t="s">
        <v>1155</v>
      </c>
      <c r="H30645" s="21">
        <v>540.16999999999996</v>
      </c>
    </row>
    <row r="30646" spans="1:8" customFormat="1" x14ac:dyDescent="0.25">
      <c r="A30646" t="str">
        <f>"406668"</f>
        <v>406668</v>
      </c>
      <c r="B30646" t="s">
        <v>28252</v>
      </c>
      <c r="C30646" t="s">
        <v>65</v>
      </c>
      <c r="D30646" s="21" t="s">
        <v>34</v>
      </c>
      <c r="E30646" s="21" t="s">
        <v>35</v>
      </c>
      <c r="F30646">
        <v>10400008</v>
      </c>
      <c r="G30646" t="s">
        <v>2294</v>
      </c>
      <c r="H30646" s="21">
        <v>540.16999999999996</v>
      </c>
    </row>
    <row r="30647" spans="1:8" customFormat="1" x14ac:dyDescent="0.25">
      <c r="A30647" t="str">
        <f>"6225008"</f>
        <v>6225008</v>
      </c>
      <c r="B30647" t="s">
        <v>16470</v>
      </c>
      <c r="C30647" t="s">
        <v>171</v>
      </c>
      <c r="D30647" s="21" t="s">
        <v>34</v>
      </c>
      <c r="E30647" s="21" t="s">
        <v>35</v>
      </c>
      <c r="F30647">
        <v>7620046</v>
      </c>
      <c r="G30647" t="s">
        <v>242</v>
      </c>
      <c r="H30647" s="21">
        <v>540.16999999999996</v>
      </c>
    </row>
    <row r="30648" spans="1:8" customFormat="1" x14ac:dyDescent="0.25">
      <c r="A30648" t="str">
        <f>"5982944"</f>
        <v>5982944</v>
      </c>
      <c r="B30648" t="s">
        <v>28253</v>
      </c>
      <c r="C30648" t="s">
        <v>1196</v>
      </c>
      <c r="D30648" s="21" t="s">
        <v>34</v>
      </c>
      <c r="E30648" s="21" t="s">
        <v>35</v>
      </c>
      <c r="F30648">
        <v>7590338</v>
      </c>
      <c r="G30648" t="s">
        <v>682</v>
      </c>
      <c r="H30648" s="21">
        <v>540.16999999999996</v>
      </c>
    </row>
    <row r="30649" spans="1:8" customFormat="1" x14ac:dyDescent="0.25">
      <c r="A30649" t="str">
        <f>"4453645"</f>
        <v>4453645</v>
      </c>
      <c r="B30649" t="s">
        <v>23831</v>
      </c>
      <c r="C30649" t="s">
        <v>209</v>
      </c>
      <c r="D30649" s="21" t="s">
        <v>34</v>
      </c>
      <c r="E30649" s="21" t="s">
        <v>254</v>
      </c>
      <c r="F30649">
        <v>12440116</v>
      </c>
      <c r="G30649" t="s">
        <v>26673</v>
      </c>
      <c r="H30649" s="21">
        <v>540.16999999999996</v>
      </c>
    </row>
    <row r="30650" spans="1:8" customFormat="1" x14ac:dyDescent="0.25">
      <c r="A30650" t="str">
        <f>"4433419"</f>
        <v>4433419</v>
      </c>
      <c r="B30650" t="s">
        <v>28254</v>
      </c>
      <c r="C30650" t="s">
        <v>147</v>
      </c>
      <c r="D30650" s="21" t="s">
        <v>34</v>
      </c>
      <c r="E30650" s="21" t="s">
        <v>35</v>
      </c>
      <c r="F30650">
        <v>12440084</v>
      </c>
      <c r="G30650" t="s">
        <v>1014</v>
      </c>
      <c r="H30650" s="21">
        <v>540.16999999999996</v>
      </c>
    </row>
    <row r="30651" spans="1:8" customFormat="1" x14ac:dyDescent="0.25">
      <c r="A30651" t="str">
        <f>"5613671"</f>
        <v>5613671</v>
      </c>
      <c r="B30651" t="s">
        <v>28255</v>
      </c>
      <c r="C30651" t="s">
        <v>60</v>
      </c>
      <c r="D30651" s="21" t="s">
        <v>34</v>
      </c>
      <c r="E30651" s="21" t="s">
        <v>35</v>
      </c>
      <c r="F30651">
        <v>3560049</v>
      </c>
      <c r="G30651" t="s">
        <v>8021</v>
      </c>
      <c r="H30651" s="21">
        <v>540.16999999999996</v>
      </c>
    </row>
    <row r="30652" spans="1:8" customFormat="1" x14ac:dyDescent="0.25">
      <c r="A30652" t="str">
        <f>"6933010"</f>
        <v>6933010</v>
      </c>
      <c r="B30652" t="s">
        <v>8285</v>
      </c>
      <c r="C30652" t="s">
        <v>65</v>
      </c>
      <c r="D30652" s="21" t="s">
        <v>34</v>
      </c>
      <c r="E30652" s="21" t="s">
        <v>35</v>
      </c>
      <c r="F30652">
        <v>1690221</v>
      </c>
      <c r="G30652" t="s">
        <v>303</v>
      </c>
      <c r="H30652" s="21">
        <v>540.16999999999996</v>
      </c>
    </row>
    <row r="30653" spans="1:8" customFormat="1" x14ac:dyDescent="0.25">
      <c r="A30653" t="str">
        <f>"7910873"</f>
        <v>7910873</v>
      </c>
      <c r="B30653" t="s">
        <v>10483</v>
      </c>
      <c r="C30653" t="s">
        <v>204</v>
      </c>
      <c r="D30653" s="21" t="s">
        <v>34</v>
      </c>
      <c r="E30653" s="21" t="s">
        <v>71</v>
      </c>
      <c r="F30653">
        <v>10790158</v>
      </c>
      <c r="G30653" t="s">
        <v>9319</v>
      </c>
      <c r="H30653" s="21">
        <v>540.16999999999996</v>
      </c>
    </row>
    <row r="30654" spans="1:8" customFormat="1" x14ac:dyDescent="0.25">
      <c r="A30654" t="str">
        <f>"1410098"</f>
        <v>1410098</v>
      </c>
      <c r="B30654" t="s">
        <v>14976</v>
      </c>
      <c r="C30654" t="s">
        <v>209</v>
      </c>
      <c r="D30654" s="21" t="s">
        <v>34</v>
      </c>
      <c r="E30654" s="21" t="s">
        <v>71</v>
      </c>
      <c r="F30654">
        <v>9140003</v>
      </c>
      <c r="G30654" t="s">
        <v>6152</v>
      </c>
      <c r="H30654" s="21">
        <v>540.16999999999996</v>
      </c>
    </row>
    <row r="30655" spans="1:8" customFormat="1" x14ac:dyDescent="0.25">
      <c r="A30655" t="str">
        <f>"3729942"</f>
        <v>3729942</v>
      </c>
      <c r="B30655" t="s">
        <v>27162</v>
      </c>
      <c r="C30655" t="s">
        <v>62</v>
      </c>
      <c r="D30655" s="21" t="s">
        <v>34</v>
      </c>
      <c r="E30655" s="21" t="s">
        <v>35</v>
      </c>
      <c r="F30655">
        <v>4370533</v>
      </c>
      <c r="G30655" t="s">
        <v>10553</v>
      </c>
      <c r="H30655" s="21">
        <v>540.16999999999996</v>
      </c>
    </row>
    <row r="30656" spans="1:8" customFormat="1" x14ac:dyDescent="0.25">
      <c r="A30656" t="str">
        <f>"2718348"</f>
        <v>2718348</v>
      </c>
      <c r="B30656" t="s">
        <v>20899</v>
      </c>
      <c r="C30656" t="s">
        <v>7441</v>
      </c>
      <c r="D30656" s="21" t="s">
        <v>34</v>
      </c>
      <c r="E30656" s="21" t="s">
        <v>71</v>
      </c>
      <c r="F30656">
        <v>9270060</v>
      </c>
      <c r="G30656" t="s">
        <v>1982</v>
      </c>
      <c r="H30656" s="21">
        <v>540.16999999999996</v>
      </c>
    </row>
    <row r="30657" spans="1:8" customFormat="1" x14ac:dyDescent="0.25">
      <c r="A30657" t="str">
        <f>"3729164"</f>
        <v>3729164</v>
      </c>
      <c r="B30657" t="s">
        <v>24507</v>
      </c>
      <c r="C30657" t="s">
        <v>206</v>
      </c>
      <c r="D30657" s="21" t="s">
        <v>34</v>
      </c>
      <c r="E30657" s="21" t="s">
        <v>35</v>
      </c>
      <c r="F30657">
        <v>4370730</v>
      </c>
      <c r="G30657" t="s">
        <v>18791</v>
      </c>
      <c r="H30657" s="21">
        <v>540.16999999999996</v>
      </c>
    </row>
    <row r="30658" spans="1:8" customFormat="1" x14ac:dyDescent="0.25">
      <c r="A30658" t="str">
        <f>"2112217"</f>
        <v>2112217</v>
      </c>
      <c r="B30658" t="s">
        <v>2851</v>
      </c>
      <c r="C30658" t="s">
        <v>275</v>
      </c>
      <c r="D30658" s="21" t="s">
        <v>34</v>
      </c>
      <c r="E30658" s="21" t="s">
        <v>35</v>
      </c>
      <c r="F30658">
        <v>2210039</v>
      </c>
      <c r="G30658" t="s">
        <v>9930</v>
      </c>
      <c r="H30658" s="21">
        <v>540.16999999999996</v>
      </c>
    </row>
    <row r="30659" spans="1:8" customFormat="1" x14ac:dyDescent="0.25">
      <c r="A30659" t="str">
        <f>"783475"</f>
        <v>783475</v>
      </c>
      <c r="B30659" t="s">
        <v>4926</v>
      </c>
      <c r="C30659" t="s">
        <v>2520</v>
      </c>
      <c r="D30659" s="21" t="s">
        <v>34</v>
      </c>
      <c r="E30659" s="21" t="s">
        <v>254</v>
      </c>
      <c r="F30659">
        <v>8780002</v>
      </c>
      <c r="G30659" t="s">
        <v>2196</v>
      </c>
      <c r="H30659" s="21">
        <v>540.16999999999996</v>
      </c>
    </row>
    <row r="30660" spans="1:8" customFormat="1" x14ac:dyDescent="0.25">
      <c r="A30660" t="str">
        <f>"5016792"</f>
        <v>5016792</v>
      </c>
      <c r="B30660" t="s">
        <v>19614</v>
      </c>
      <c r="C30660" t="s">
        <v>121</v>
      </c>
      <c r="D30660" s="21" t="s">
        <v>34</v>
      </c>
      <c r="E30660" s="21" t="s">
        <v>71</v>
      </c>
      <c r="F30660">
        <v>9500107</v>
      </c>
      <c r="G30660" t="s">
        <v>9792</v>
      </c>
      <c r="H30660" s="21">
        <v>540.16999999999996</v>
      </c>
    </row>
    <row r="30661" spans="1:8" customFormat="1" x14ac:dyDescent="0.25">
      <c r="A30661" t="str">
        <f>"66308"</f>
        <v>66308</v>
      </c>
      <c r="B30661" t="s">
        <v>28256</v>
      </c>
      <c r="C30661" t="s">
        <v>288</v>
      </c>
      <c r="D30661" s="21" t="s">
        <v>34</v>
      </c>
      <c r="E30661" s="21" t="s">
        <v>6185</v>
      </c>
      <c r="F30661">
        <v>11660001</v>
      </c>
      <c r="G30661" t="s">
        <v>8203</v>
      </c>
      <c r="H30661" s="21">
        <v>540.16999999999996</v>
      </c>
    </row>
    <row r="30662" spans="1:8" customFormat="1" x14ac:dyDescent="0.25">
      <c r="A30662" t="str">
        <f>"9253501"</f>
        <v>9253501</v>
      </c>
      <c r="B30662" t="s">
        <v>7238</v>
      </c>
      <c r="C30662" t="s">
        <v>28257</v>
      </c>
      <c r="D30662" s="21" t="s">
        <v>34</v>
      </c>
      <c r="E30662" s="21" t="s">
        <v>71</v>
      </c>
      <c r="F30662">
        <v>8920025</v>
      </c>
      <c r="G30662" t="s">
        <v>159</v>
      </c>
      <c r="H30662" s="21">
        <v>540.16999999999996</v>
      </c>
    </row>
    <row r="30663" spans="1:8" customFormat="1" x14ac:dyDescent="0.25">
      <c r="A30663" t="str">
        <f>"5622477"</f>
        <v>5622477</v>
      </c>
      <c r="B30663" t="s">
        <v>28258</v>
      </c>
      <c r="C30663" t="s">
        <v>1812</v>
      </c>
      <c r="D30663" s="21" t="s">
        <v>34</v>
      </c>
      <c r="E30663" s="21" t="s">
        <v>71</v>
      </c>
      <c r="F30663">
        <v>3560052</v>
      </c>
      <c r="G30663" t="s">
        <v>18504</v>
      </c>
      <c r="H30663" s="21">
        <v>540</v>
      </c>
    </row>
    <row r="30664" spans="1:8" customFormat="1" x14ac:dyDescent="0.25">
      <c r="A30664" t="str">
        <f>"3538787"</f>
        <v>3538787</v>
      </c>
      <c r="B30664" t="s">
        <v>10109</v>
      </c>
      <c r="C30664" t="s">
        <v>269</v>
      </c>
      <c r="D30664" s="21" t="s">
        <v>34</v>
      </c>
      <c r="E30664" s="21" t="s">
        <v>71</v>
      </c>
      <c r="F30664">
        <v>3350150</v>
      </c>
      <c r="G30664" t="s">
        <v>6419</v>
      </c>
      <c r="H30664" s="21">
        <v>540</v>
      </c>
    </row>
    <row r="30665" spans="1:8" customFormat="1" x14ac:dyDescent="0.25">
      <c r="A30665" t="str">
        <f>"7643135"</f>
        <v>7643135</v>
      </c>
      <c r="B30665" t="s">
        <v>8455</v>
      </c>
      <c r="C30665" t="s">
        <v>119</v>
      </c>
      <c r="D30665" s="21" t="s">
        <v>34</v>
      </c>
      <c r="E30665" s="21" t="s">
        <v>35</v>
      </c>
      <c r="F30665">
        <v>9760403</v>
      </c>
      <c r="G30665" t="s">
        <v>11140</v>
      </c>
      <c r="H30665" s="21">
        <v>540</v>
      </c>
    </row>
    <row r="30666" spans="1:8" customFormat="1" x14ac:dyDescent="0.25">
      <c r="A30666" t="str">
        <f>"5114279"</f>
        <v>5114279</v>
      </c>
      <c r="B30666" t="s">
        <v>765</v>
      </c>
      <c r="C30666" t="s">
        <v>1325</v>
      </c>
      <c r="D30666" s="21" t="s">
        <v>34</v>
      </c>
      <c r="E30666" s="21" t="s">
        <v>35</v>
      </c>
      <c r="F30666">
        <v>6510020</v>
      </c>
      <c r="G30666" t="s">
        <v>3013</v>
      </c>
      <c r="H30666" s="21">
        <v>540</v>
      </c>
    </row>
    <row r="30667" spans="1:8" customFormat="1" x14ac:dyDescent="0.25">
      <c r="A30667" t="str">
        <f>"4458329"</f>
        <v>4458329</v>
      </c>
      <c r="B30667" t="s">
        <v>6678</v>
      </c>
      <c r="C30667" t="s">
        <v>109</v>
      </c>
      <c r="D30667" s="21" t="s">
        <v>34</v>
      </c>
      <c r="E30667" s="21" t="s">
        <v>35</v>
      </c>
      <c r="F30667">
        <v>12440058</v>
      </c>
      <c r="G30667" t="s">
        <v>394</v>
      </c>
      <c r="H30667" s="21">
        <v>540</v>
      </c>
    </row>
    <row r="30668" spans="1:8" customFormat="1" x14ac:dyDescent="0.25">
      <c r="A30668" t="str">
        <f>"735657"</f>
        <v>735657</v>
      </c>
      <c r="B30668" t="s">
        <v>21319</v>
      </c>
      <c r="C30668" t="s">
        <v>55</v>
      </c>
      <c r="D30668" s="21" t="s">
        <v>34</v>
      </c>
      <c r="E30668" s="21" t="s">
        <v>35</v>
      </c>
      <c r="F30668">
        <v>1730033</v>
      </c>
      <c r="G30668" t="s">
        <v>2407</v>
      </c>
      <c r="H30668" s="21">
        <v>540</v>
      </c>
    </row>
    <row r="30669" spans="1:8" customFormat="1" x14ac:dyDescent="0.25">
      <c r="A30669" t="str">
        <f>"4449188"</f>
        <v>4449188</v>
      </c>
      <c r="B30669" t="s">
        <v>28259</v>
      </c>
      <c r="C30669" t="s">
        <v>60</v>
      </c>
      <c r="D30669" s="21" t="s">
        <v>34</v>
      </c>
      <c r="E30669" s="21" t="s">
        <v>35</v>
      </c>
      <c r="F30669">
        <v>12440012</v>
      </c>
      <c r="G30669" t="s">
        <v>807</v>
      </c>
      <c r="H30669" s="21">
        <v>539.91999999999996</v>
      </c>
    </row>
    <row r="30670" spans="1:8" customFormat="1" x14ac:dyDescent="0.25">
      <c r="A30670" t="str">
        <f>"98619"</f>
        <v>98619</v>
      </c>
      <c r="B30670" t="s">
        <v>1000</v>
      </c>
      <c r="C30670" t="s">
        <v>498</v>
      </c>
      <c r="D30670" s="21" t="s">
        <v>34</v>
      </c>
      <c r="E30670" s="21" t="s">
        <v>71</v>
      </c>
      <c r="F30670">
        <v>5980003</v>
      </c>
      <c r="G30670" t="s">
        <v>1746</v>
      </c>
      <c r="H30670" s="21">
        <v>539.79</v>
      </c>
    </row>
    <row r="30671" spans="1:8" customFormat="1" x14ac:dyDescent="0.25">
      <c r="A30671" t="str">
        <f>"7641185"</f>
        <v>7641185</v>
      </c>
      <c r="B30671" t="s">
        <v>1393</v>
      </c>
      <c r="C30671" t="s">
        <v>253</v>
      </c>
      <c r="D30671" s="21" t="s">
        <v>34</v>
      </c>
      <c r="E30671" s="21" t="s">
        <v>254</v>
      </c>
      <c r="F30671">
        <v>9760344</v>
      </c>
      <c r="G30671" t="s">
        <v>2523</v>
      </c>
      <c r="H30671" s="21">
        <v>539.66999999999996</v>
      </c>
    </row>
    <row r="30672" spans="1:8" customFormat="1" x14ac:dyDescent="0.25">
      <c r="A30672" t="str">
        <f>"3533732"</f>
        <v>3533732</v>
      </c>
      <c r="B30672" t="s">
        <v>21518</v>
      </c>
      <c r="C30672" t="s">
        <v>1812</v>
      </c>
      <c r="D30672" s="21" t="s">
        <v>34</v>
      </c>
      <c r="E30672" s="21" t="s">
        <v>35</v>
      </c>
      <c r="F30672">
        <v>3350074</v>
      </c>
      <c r="G30672" t="s">
        <v>5432</v>
      </c>
      <c r="H30672" s="21">
        <v>539.66999999999996</v>
      </c>
    </row>
    <row r="30673" spans="1:8" customFormat="1" x14ac:dyDescent="0.25">
      <c r="A30673" t="str">
        <f>"5621995"</f>
        <v>5621995</v>
      </c>
      <c r="B30673" t="s">
        <v>28260</v>
      </c>
      <c r="C30673" t="s">
        <v>209</v>
      </c>
      <c r="D30673" s="21" t="s">
        <v>34</v>
      </c>
      <c r="E30673" s="21" t="s">
        <v>254</v>
      </c>
      <c r="F30673">
        <v>3560090</v>
      </c>
      <c r="G30673" t="s">
        <v>7777</v>
      </c>
      <c r="H30673" s="21">
        <v>539.66999999999996</v>
      </c>
    </row>
    <row r="30674" spans="1:8" customFormat="1" x14ac:dyDescent="0.25">
      <c r="A30674" t="str">
        <f>"4936481"</f>
        <v>4936481</v>
      </c>
      <c r="B30674" t="s">
        <v>23142</v>
      </c>
      <c r="C30674" t="s">
        <v>211</v>
      </c>
      <c r="D30674" s="21" t="s">
        <v>34</v>
      </c>
      <c r="E30674" s="21" t="s">
        <v>35</v>
      </c>
      <c r="F30674">
        <v>12490033</v>
      </c>
      <c r="G30674" t="s">
        <v>3469</v>
      </c>
      <c r="H30674" s="21">
        <v>539.66999999999996</v>
      </c>
    </row>
    <row r="30675" spans="1:8" customFormat="1" x14ac:dyDescent="0.25">
      <c r="A30675" t="str">
        <f>"5975978"</f>
        <v>5975978</v>
      </c>
      <c r="B30675" t="s">
        <v>21126</v>
      </c>
      <c r="C30675" t="s">
        <v>209</v>
      </c>
      <c r="D30675" s="21" t="s">
        <v>34</v>
      </c>
      <c r="E30675" s="21" t="s">
        <v>35</v>
      </c>
      <c r="F30675">
        <v>7590354</v>
      </c>
      <c r="G30675" t="s">
        <v>5786</v>
      </c>
      <c r="H30675" s="21">
        <v>539.66999999999996</v>
      </c>
    </row>
    <row r="30676" spans="1:8" customFormat="1" x14ac:dyDescent="0.25">
      <c r="A30676" t="str">
        <f>"5322420"</f>
        <v>5322420</v>
      </c>
      <c r="B30676" t="s">
        <v>22580</v>
      </c>
      <c r="C30676" t="s">
        <v>2730</v>
      </c>
      <c r="D30676" s="21" t="s">
        <v>34</v>
      </c>
      <c r="E30676" s="21" t="s">
        <v>71</v>
      </c>
      <c r="F30676">
        <v>12530067</v>
      </c>
      <c r="G30676" t="s">
        <v>11121</v>
      </c>
      <c r="H30676" s="21">
        <v>539.66999999999996</v>
      </c>
    </row>
    <row r="30677" spans="1:8" customFormat="1" x14ac:dyDescent="0.25">
      <c r="A30677" t="str">
        <f>"50532"</f>
        <v>50532</v>
      </c>
      <c r="B30677" t="s">
        <v>482</v>
      </c>
      <c r="C30677" t="s">
        <v>598</v>
      </c>
      <c r="D30677" s="21" t="s">
        <v>34</v>
      </c>
      <c r="E30677" s="21" t="s">
        <v>254</v>
      </c>
      <c r="F30677">
        <v>9500025</v>
      </c>
      <c r="G30677" t="s">
        <v>665</v>
      </c>
      <c r="H30677" s="21">
        <v>539.66999999999996</v>
      </c>
    </row>
    <row r="30678" spans="1:8" customFormat="1" x14ac:dyDescent="0.25">
      <c r="A30678" t="str">
        <f>"703868"</f>
        <v>703868</v>
      </c>
      <c r="B30678" t="s">
        <v>1357</v>
      </c>
      <c r="C30678" t="s">
        <v>415</v>
      </c>
      <c r="D30678" s="21" t="s">
        <v>34</v>
      </c>
      <c r="E30678" s="21" t="s">
        <v>35</v>
      </c>
      <c r="F30678">
        <v>2700002</v>
      </c>
      <c r="G30678" t="s">
        <v>953</v>
      </c>
      <c r="H30678" s="21">
        <v>539.66999999999996</v>
      </c>
    </row>
    <row r="30679" spans="1:8" customFormat="1" x14ac:dyDescent="0.25">
      <c r="A30679" t="str">
        <f>"88212"</f>
        <v>88212</v>
      </c>
      <c r="B30679" t="s">
        <v>5657</v>
      </c>
      <c r="C30679" t="s">
        <v>3073</v>
      </c>
      <c r="D30679" s="21" t="s">
        <v>34</v>
      </c>
      <c r="E30679" s="21" t="s">
        <v>1089</v>
      </c>
      <c r="F30679">
        <v>6880010</v>
      </c>
      <c r="G30679" t="s">
        <v>1029</v>
      </c>
      <c r="H30679" s="21">
        <v>539.66999999999996</v>
      </c>
    </row>
    <row r="30680" spans="1:8" customFormat="1" x14ac:dyDescent="0.25">
      <c r="A30680" t="str">
        <f>"9445889"</f>
        <v>9445889</v>
      </c>
      <c r="B30680" t="s">
        <v>21878</v>
      </c>
      <c r="C30680" t="s">
        <v>130</v>
      </c>
      <c r="D30680" s="21" t="s">
        <v>34</v>
      </c>
      <c r="E30680" s="21" t="s">
        <v>254</v>
      </c>
      <c r="F30680">
        <v>8940975</v>
      </c>
      <c r="G30680" t="s">
        <v>7959</v>
      </c>
      <c r="H30680" s="21">
        <v>539.66999999999996</v>
      </c>
    </row>
    <row r="30681" spans="1:8" customFormat="1" x14ac:dyDescent="0.25">
      <c r="A30681" t="str">
        <f>"4931538"</f>
        <v>4931538</v>
      </c>
      <c r="B30681" t="s">
        <v>9304</v>
      </c>
      <c r="C30681" t="s">
        <v>28261</v>
      </c>
      <c r="D30681" s="21" t="s">
        <v>34</v>
      </c>
      <c r="E30681" s="21" t="s">
        <v>71</v>
      </c>
      <c r="F30681">
        <v>12490131</v>
      </c>
      <c r="G30681" t="s">
        <v>12847</v>
      </c>
      <c r="H30681" s="21">
        <v>539.66999999999996</v>
      </c>
    </row>
    <row r="30682" spans="1:8" customFormat="1" x14ac:dyDescent="0.25">
      <c r="A30682" t="str">
        <f>"57694"</f>
        <v>57694</v>
      </c>
      <c r="B30682" t="s">
        <v>18692</v>
      </c>
      <c r="C30682" t="s">
        <v>156</v>
      </c>
      <c r="D30682" s="21" t="s">
        <v>34</v>
      </c>
      <c r="E30682" s="21" t="s">
        <v>254</v>
      </c>
      <c r="F30682">
        <v>6570037</v>
      </c>
      <c r="G30682" t="s">
        <v>20463</v>
      </c>
      <c r="H30682" s="21">
        <v>539.66999999999996</v>
      </c>
    </row>
    <row r="30683" spans="1:8" customFormat="1" x14ac:dyDescent="0.25">
      <c r="A30683" t="str">
        <f>"2919340"</f>
        <v>2919340</v>
      </c>
      <c r="B30683" t="s">
        <v>16310</v>
      </c>
      <c r="C30683" t="s">
        <v>187</v>
      </c>
      <c r="D30683" s="21" t="s">
        <v>34</v>
      </c>
      <c r="E30683" s="21" t="s">
        <v>71</v>
      </c>
      <c r="F30683">
        <v>3290006</v>
      </c>
      <c r="G30683" t="s">
        <v>13009</v>
      </c>
      <c r="H30683" s="21">
        <v>539.66999999999996</v>
      </c>
    </row>
    <row r="30684" spans="1:8" customFormat="1" x14ac:dyDescent="0.25">
      <c r="A30684" t="str">
        <f>"707020"</f>
        <v>707020</v>
      </c>
      <c r="B30684" t="s">
        <v>22084</v>
      </c>
      <c r="C30684" t="s">
        <v>1708</v>
      </c>
      <c r="D30684" s="21" t="s">
        <v>34</v>
      </c>
      <c r="E30684" s="21" t="s">
        <v>35</v>
      </c>
      <c r="F30684">
        <v>2700015</v>
      </c>
      <c r="G30684" t="s">
        <v>9856</v>
      </c>
      <c r="H30684" s="21">
        <v>539.66999999999996</v>
      </c>
    </row>
    <row r="30685" spans="1:8" customFormat="1" x14ac:dyDescent="0.25">
      <c r="A30685" t="str">
        <f>"123131"</f>
        <v>123131</v>
      </c>
      <c r="B30685" t="s">
        <v>21013</v>
      </c>
      <c r="C30685" t="s">
        <v>1675</v>
      </c>
      <c r="D30685" s="21" t="s">
        <v>34</v>
      </c>
      <c r="E30685" s="21" t="s">
        <v>71</v>
      </c>
      <c r="F30685">
        <v>11120040</v>
      </c>
      <c r="G30685" t="s">
        <v>13830</v>
      </c>
      <c r="H30685" s="21">
        <v>539.66999999999996</v>
      </c>
    </row>
    <row r="30686" spans="1:8" customFormat="1" x14ac:dyDescent="0.25">
      <c r="A30686" t="str">
        <f>"5621056"</f>
        <v>5621056</v>
      </c>
      <c r="B30686" t="s">
        <v>28262</v>
      </c>
      <c r="C30686" t="s">
        <v>302</v>
      </c>
      <c r="D30686" s="21" t="s">
        <v>34</v>
      </c>
      <c r="E30686" s="21" t="s">
        <v>35</v>
      </c>
      <c r="F30686">
        <v>3560007</v>
      </c>
      <c r="G30686" t="s">
        <v>10211</v>
      </c>
      <c r="H30686" s="21">
        <v>539.66999999999996</v>
      </c>
    </row>
    <row r="30687" spans="1:8" customFormat="1" x14ac:dyDescent="0.25">
      <c r="A30687" t="str">
        <f>"7628020"</f>
        <v>7628020</v>
      </c>
      <c r="B30687" t="s">
        <v>20877</v>
      </c>
      <c r="C30687" t="s">
        <v>209</v>
      </c>
      <c r="D30687" s="21" t="s">
        <v>34</v>
      </c>
      <c r="E30687" s="21" t="s">
        <v>71</v>
      </c>
      <c r="F30687">
        <v>9760377</v>
      </c>
      <c r="G30687" t="s">
        <v>6631</v>
      </c>
      <c r="H30687" s="21">
        <v>539.66999999999996</v>
      </c>
    </row>
    <row r="30688" spans="1:8" customFormat="1" x14ac:dyDescent="0.25">
      <c r="A30688" t="str">
        <f>"7210746"</f>
        <v>7210746</v>
      </c>
      <c r="B30688" t="s">
        <v>6510</v>
      </c>
      <c r="C30688" t="s">
        <v>269</v>
      </c>
      <c r="D30688" s="21" t="s">
        <v>34</v>
      </c>
      <c r="E30688" s="21" t="s">
        <v>71</v>
      </c>
      <c r="F30688">
        <v>12720056</v>
      </c>
      <c r="G30688" t="s">
        <v>9231</v>
      </c>
      <c r="H30688" s="21">
        <v>539.66999999999996</v>
      </c>
    </row>
    <row r="30689" spans="1:8" customFormat="1" x14ac:dyDescent="0.25">
      <c r="A30689" t="str">
        <f>"7634345"</f>
        <v>7634345</v>
      </c>
      <c r="B30689" t="s">
        <v>28263</v>
      </c>
      <c r="C30689" t="s">
        <v>156</v>
      </c>
      <c r="D30689" s="21" t="s">
        <v>34</v>
      </c>
      <c r="E30689" s="21" t="s">
        <v>71</v>
      </c>
      <c r="F30689">
        <v>9760206</v>
      </c>
      <c r="G30689" t="s">
        <v>13046</v>
      </c>
      <c r="H30689" s="21">
        <v>539.66999999999996</v>
      </c>
    </row>
    <row r="30690" spans="1:8" customFormat="1" x14ac:dyDescent="0.25">
      <c r="A30690" t="str">
        <f>"5954859"</f>
        <v>5954859</v>
      </c>
      <c r="B30690" t="s">
        <v>1986</v>
      </c>
      <c r="C30690" t="s">
        <v>87</v>
      </c>
      <c r="D30690" s="21" t="s">
        <v>34</v>
      </c>
      <c r="E30690" s="21" t="s">
        <v>71</v>
      </c>
      <c r="F30690">
        <v>7590194</v>
      </c>
      <c r="G30690" t="s">
        <v>460</v>
      </c>
      <c r="H30690" s="21">
        <v>539.66999999999996</v>
      </c>
    </row>
    <row r="30691" spans="1:8" customFormat="1" x14ac:dyDescent="0.25">
      <c r="A30691" t="str">
        <f>"2922586"</f>
        <v>2922586</v>
      </c>
      <c r="B30691" t="s">
        <v>5146</v>
      </c>
      <c r="C30691" t="s">
        <v>1119</v>
      </c>
      <c r="D30691" s="21" t="s">
        <v>34</v>
      </c>
      <c r="E30691" s="21" t="s">
        <v>35</v>
      </c>
      <c r="F30691">
        <v>3290281</v>
      </c>
      <c r="G30691" t="s">
        <v>11077</v>
      </c>
      <c r="H30691" s="21">
        <v>539.66999999999996</v>
      </c>
    </row>
    <row r="30692" spans="1:8" customFormat="1" x14ac:dyDescent="0.25">
      <c r="A30692" t="str">
        <f>"9115425"</f>
        <v>9115425</v>
      </c>
      <c r="B30692" t="s">
        <v>210</v>
      </c>
      <c r="C30692" t="s">
        <v>144</v>
      </c>
      <c r="D30692" s="21" t="s">
        <v>34</v>
      </c>
      <c r="E30692" s="21" t="s">
        <v>71</v>
      </c>
      <c r="F30692">
        <v>1630123</v>
      </c>
      <c r="G30692" t="s">
        <v>1036</v>
      </c>
      <c r="H30692" s="21">
        <v>539.66999999999996</v>
      </c>
    </row>
    <row r="30693" spans="1:8" customFormat="1" x14ac:dyDescent="0.25">
      <c r="A30693" t="str">
        <f>"2926777"</f>
        <v>2926777</v>
      </c>
      <c r="B30693" t="s">
        <v>10227</v>
      </c>
      <c r="C30693" t="s">
        <v>55</v>
      </c>
      <c r="D30693" s="21" t="s">
        <v>34</v>
      </c>
      <c r="E30693" s="21" t="s">
        <v>35</v>
      </c>
      <c r="F30693">
        <v>3290200</v>
      </c>
      <c r="G30693" t="s">
        <v>3488</v>
      </c>
      <c r="H30693" s="21">
        <v>539.66999999999996</v>
      </c>
    </row>
    <row r="30694" spans="1:8" customFormat="1" x14ac:dyDescent="0.25">
      <c r="A30694" t="str">
        <f>"7627965"</f>
        <v>7627965</v>
      </c>
      <c r="B30694" t="s">
        <v>4443</v>
      </c>
      <c r="C30694" t="s">
        <v>3456</v>
      </c>
      <c r="D30694" s="21" t="s">
        <v>34</v>
      </c>
      <c r="E30694" s="21" t="s">
        <v>35</v>
      </c>
      <c r="F30694">
        <v>9270187</v>
      </c>
      <c r="G30694" t="s">
        <v>6733</v>
      </c>
      <c r="H30694" s="21">
        <v>539.5</v>
      </c>
    </row>
    <row r="30695" spans="1:8" customFormat="1" x14ac:dyDescent="0.25">
      <c r="A30695" t="str">
        <f>"5727333"</f>
        <v>5727333</v>
      </c>
      <c r="B30695" t="s">
        <v>21107</v>
      </c>
      <c r="C30695" t="s">
        <v>269</v>
      </c>
      <c r="D30695" s="21" t="s">
        <v>34</v>
      </c>
      <c r="E30695" s="21" t="s">
        <v>35</v>
      </c>
      <c r="F30695">
        <v>6570173</v>
      </c>
      <c r="G30695" t="s">
        <v>9959</v>
      </c>
      <c r="H30695" s="21">
        <v>539.5</v>
      </c>
    </row>
    <row r="30696" spans="1:8" customFormat="1" x14ac:dyDescent="0.25">
      <c r="A30696" t="str">
        <f>"5319301"</f>
        <v>5319301</v>
      </c>
      <c r="B30696" t="s">
        <v>1178</v>
      </c>
      <c r="C30696" t="s">
        <v>415</v>
      </c>
      <c r="D30696" s="21" t="s">
        <v>34</v>
      </c>
      <c r="E30696" s="21" t="s">
        <v>71</v>
      </c>
      <c r="F30696">
        <v>12530046</v>
      </c>
      <c r="G30696" t="s">
        <v>10191</v>
      </c>
      <c r="H30696" s="21">
        <v>539.41999999999996</v>
      </c>
    </row>
    <row r="30697" spans="1:8" customFormat="1" x14ac:dyDescent="0.25">
      <c r="A30697" t="str">
        <f>"36450"</f>
        <v>36450</v>
      </c>
      <c r="B30697" t="s">
        <v>1405</v>
      </c>
      <c r="C30697" t="s">
        <v>2520</v>
      </c>
      <c r="D30697" s="21" t="s">
        <v>34</v>
      </c>
      <c r="E30697" s="21" t="s">
        <v>254</v>
      </c>
      <c r="F30697">
        <v>4360340</v>
      </c>
      <c r="G30697" t="s">
        <v>14132</v>
      </c>
      <c r="H30697" s="21">
        <v>539.29</v>
      </c>
    </row>
    <row r="30698" spans="1:8" customFormat="1" x14ac:dyDescent="0.25">
      <c r="A30698" t="str">
        <f>"734281"</f>
        <v>734281</v>
      </c>
      <c r="B30698" t="s">
        <v>24026</v>
      </c>
      <c r="C30698" t="s">
        <v>109</v>
      </c>
      <c r="D30698" s="21" t="s">
        <v>34</v>
      </c>
      <c r="E30698" s="21" t="s">
        <v>35</v>
      </c>
      <c r="F30698">
        <v>1730048</v>
      </c>
      <c r="G30698" t="s">
        <v>3173</v>
      </c>
      <c r="H30698" s="21">
        <v>539.29</v>
      </c>
    </row>
    <row r="30699" spans="1:8" customFormat="1" x14ac:dyDescent="0.25">
      <c r="A30699" t="str">
        <f>"9A1521"</f>
        <v>9A1521</v>
      </c>
      <c r="B30699" t="s">
        <v>14150</v>
      </c>
      <c r="C30699" t="s">
        <v>60</v>
      </c>
      <c r="D30699" s="21" t="s">
        <v>34</v>
      </c>
      <c r="E30699" s="21" t="s">
        <v>35</v>
      </c>
      <c r="F30699" t="s">
        <v>8473</v>
      </c>
      <c r="G30699" t="s">
        <v>8474</v>
      </c>
      <c r="H30699" s="21">
        <v>539.25</v>
      </c>
    </row>
    <row r="30700" spans="1:8" customFormat="1" x14ac:dyDescent="0.25">
      <c r="A30700" t="str">
        <f>"569579"</f>
        <v>569579</v>
      </c>
      <c r="B30700" t="s">
        <v>15174</v>
      </c>
      <c r="C30700" t="s">
        <v>285</v>
      </c>
      <c r="D30700" s="21" t="s">
        <v>34</v>
      </c>
      <c r="E30700" s="21" t="s">
        <v>35</v>
      </c>
      <c r="F30700">
        <v>3560057</v>
      </c>
      <c r="G30700" t="s">
        <v>17793</v>
      </c>
      <c r="H30700" s="21">
        <v>539.16999999999996</v>
      </c>
    </row>
    <row r="30701" spans="1:8" customFormat="1" x14ac:dyDescent="0.25">
      <c r="A30701" t="str">
        <f>"6110819"</f>
        <v>6110819</v>
      </c>
      <c r="B30701" t="s">
        <v>21006</v>
      </c>
      <c r="C30701" t="s">
        <v>415</v>
      </c>
      <c r="D30701" s="21" t="s">
        <v>34</v>
      </c>
      <c r="E30701" s="21" t="s">
        <v>71</v>
      </c>
      <c r="F30701">
        <v>9610119</v>
      </c>
      <c r="G30701" t="s">
        <v>6655</v>
      </c>
      <c r="H30701" s="21">
        <v>539.16999999999996</v>
      </c>
    </row>
    <row r="30702" spans="1:8" customFormat="1" x14ac:dyDescent="0.25">
      <c r="A30702" t="str">
        <f>"124489"</f>
        <v>124489</v>
      </c>
      <c r="B30702" t="s">
        <v>23795</v>
      </c>
      <c r="C30702" t="s">
        <v>121</v>
      </c>
      <c r="D30702" s="21" t="s">
        <v>34</v>
      </c>
      <c r="E30702" s="21" t="s">
        <v>71</v>
      </c>
      <c r="F30702">
        <v>11120004</v>
      </c>
      <c r="G30702" t="s">
        <v>2311</v>
      </c>
      <c r="H30702" s="21">
        <v>539.16999999999996</v>
      </c>
    </row>
    <row r="30703" spans="1:8" customFormat="1" x14ac:dyDescent="0.25">
      <c r="A30703" t="str">
        <f>"5620868"</f>
        <v>5620868</v>
      </c>
      <c r="B30703" t="s">
        <v>20933</v>
      </c>
      <c r="C30703" t="s">
        <v>198</v>
      </c>
      <c r="D30703" s="21" t="s">
        <v>34</v>
      </c>
      <c r="E30703" s="21" t="s">
        <v>35</v>
      </c>
      <c r="F30703">
        <v>3560006</v>
      </c>
      <c r="G30703" t="s">
        <v>2708</v>
      </c>
      <c r="H30703" s="21">
        <v>539.16999999999996</v>
      </c>
    </row>
    <row r="30704" spans="1:8" customFormat="1" x14ac:dyDescent="0.25">
      <c r="A30704" t="str">
        <f>"4416818"</f>
        <v>4416818</v>
      </c>
      <c r="B30704" t="s">
        <v>1349</v>
      </c>
      <c r="C30704" t="s">
        <v>249</v>
      </c>
      <c r="D30704" s="21" t="s">
        <v>34</v>
      </c>
      <c r="E30704" s="21" t="s">
        <v>254</v>
      </c>
      <c r="F30704">
        <v>12440176</v>
      </c>
      <c r="G30704" t="s">
        <v>1020</v>
      </c>
      <c r="H30704" s="21">
        <v>539.16999999999996</v>
      </c>
    </row>
    <row r="30705" spans="1:8" customFormat="1" x14ac:dyDescent="0.25">
      <c r="A30705" t="str">
        <f>"106069"</f>
        <v>106069</v>
      </c>
      <c r="B30705" t="s">
        <v>1028</v>
      </c>
      <c r="C30705" t="s">
        <v>239</v>
      </c>
      <c r="D30705" s="21" t="s">
        <v>34</v>
      </c>
      <c r="E30705" s="21" t="s">
        <v>1089</v>
      </c>
      <c r="F30705">
        <v>6100016</v>
      </c>
      <c r="G30705" t="s">
        <v>7558</v>
      </c>
      <c r="H30705" s="21">
        <v>539.16999999999996</v>
      </c>
    </row>
    <row r="30706" spans="1:8" customFormat="1" x14ac:dyDescent="0.25">
      <c r="A30706" t="str">
        <f>"5962839"</f>
        <v>5962839</v>
      </c>
      <c r="B30706" t="s">
        <v>24010</v>
      </c>
      <c r="C30706" t="s">
        <v>209</v>
      </c>
      <c r="D30706" s="21" t="s">
        <v>34</v>
      </c>
      <c r="E30706" s="21" t="s">
        <v>254</v>
      </c>
      <c r="F30706">
        <v>7590410</v>
      </c>
      <c r="G30706" t="s">
        <v>2048</v>
      </c>
      <c r="H30706" s="21">
        <v>539.16999999999996</v>
      </c>
    </row>
    <row r="30707" spans="1:8" customFormat="1" x14ac:dyDescent="0.25">
      <c r="A30707" t="str">
        <f>"4524152"</f>
        <v>4524152</v>
      </c>
      <c r="B30707" t="s">
        <v>9535</v>
      </c>
      <c r="C30707" t="s">
        <v>9999</v>
      </c>
      <c r="D30707" s="21" t="s">
        <v>34</v>
      </c>
      <c r="E30707" s="21" t="s">
        <v>35</v>
      </c>
      <c r="F30707">
        <v>10160030</v>
      </c>
      <c r="G30707" t="s">
        <v>13173</v>
      </c>
      <c r="H30707" s="21">
        <v>539.16999999999996</v>
      </c>
    </row>
    <row r="30708" spans="1:8" customFormat="1" x14ac:dyDescent="0.25">
      <c r="A30708" t="str">
        <f>"3516044"</f>
        <v>3516044</v>
      </c>
      <c r="B30708" t="s">
        <v>3386</v>
      </c>
      <c r="C30708" t="s">
        <v>249</v>
      </c>
      <c r="D30708" s="21" t="s">
        <v>34</v>
      </c>
      <c r="E30708" s="21" t="s">
        <v>71</v>
      </c>
      <c r="F30708">
        <v>3350027</v>
      </c>
      <c r="G30708" t="s">
        <v>2760</v>
      </c>
      <c r="H30708" s="21">
        <v>539.16999999999996</v>
      </c>
    </row>
    <row r="30709" spans="1:8" customFormat="1" x14ac:dyDescent="0.25">
      <c r="A30709" t="str">
        <f>"0612358"</f>
        <v>0612358</v>
      </c>
      <c r="B30709" t="s">
        <v>18604</v>
      </c>
      <c r="C30709" t="s">
        <v>187</v>
      </c>
      <c r="D30709" s="21" t="s">
        <v>34</v>
      </c>
      <c r="E30709" s="21" t="s">
        <v>71</v>
      </c>
      <c r="F30709">
        <v>13060008</v>
      </c>
      <c r="G30709" t="s">
        <v>36</v>
      </c>
      <c r="H30709" s="21">
        <v>539.16999999999996</v>
      </c>
    </row>
    <row r="30710" spans="1:8" customFormat="1" x14ac:dyDescent="0.25">
      <c r="A30710" t="str">
        <f>"3340014"</f>
        <v>3340014</v>
      </c>
      <c r="B30710" t="s">
        <v>28264</v>
      </c>
      <c r="C30710" t="s">
        <v>263</v>
      </c>
      <c r="D30710" s="21" t="s">
        <v>34</v>
      </c>
      <c r="E30710" s="21" t="s">
        <v>71</v>
      </c>
      <c r="F30710">
        <v>10330024</v>
      </c>
      <c r="G30710" t="s">
        <v>16744</v>
      </c>
      <c r="H30710" s="21">
        <v>539.16999999999996</v>
      </c>
    </row>
    <row r="30711" spans="1:8" customFormat="1" x14ac:dyDescent="0.25">
      <c r="A30711" t="str">
        <f>"662432"</f>
        <v>662432</v>
      </c>
      <c r="B30711" t="s">
        <v>11156</v>
      </c>
      <c r="C30711" t="s">
        <v>40</v>
      </c>
      <c r="D30711" s="21" t="s">
        <v>34</v>
      </c>
      <c r="E30711" s="21" t="s">
        <v>71</v>
      </c>
      <c r="F30711">
        <v>11660003</v>
      </c>
      <c r="G30711" t="s">
        <v>5188</v>
      </c>
      <c r="H30711" s="21">
        <v>539.16999999999996</v>
      </c>
    </row>
    <row r="30712" spans="1:8" customFormat="1" x14ac:dyDescent="0.25">
      <c r="A30712" t="str">
        <f>"4429677"</f>
        <v>4429677</v>
      </c>
      <c r="B30712" t="s">
        <v>13549</v>
      </c>
      <c r="C30712" t="s">
        <v>121</v>
      </c>
      <c r="D30712" s="21" t="s">
        <v>34</v>
      </c>
      <c r="E30712" s="21" t="s">
        <v>35</v>
      </c>
      <c r="F30712">
        <v>12440070</v>
      </c>
      <c r="G30712" t="s">
        <v>5224</v>
      </c>
      <c r="H30712" s="21">
        <v>539.16999999999996</v>
      </c>
    </row>
    <row r="30713" spans="1:8" customFormat="1" x14ac:dyDescent="0.25">
      <c r="A30713" t="str">
        <f>"0114040"</f>
        <v>0114040</v>
      </c>
      <c r="B30713" t="s">
        <v>2306</v>
      </c>
      <c r="C30713" t="s">
        <v>2520</v>
      </c>
      <c r="D30713" s="21" t="s">
        <v>34</v>
      </c>
      <c r="E30713" s="21" t="s">
        <v>254</v>
      </c>
      <c r="F30713">
        <v>1010004</v>
      </c>
      <c r="G30713" t="s">
        <v>9066</v>
      </c>
      <c r="H30713" s="21">
        <v>539.16999999999996</v>
      </c>
    </row>
    <row r="30714" spans="1:8" customFormat="1" x14ac:dyDescent="0.25">
      <c r="A30714" t="str">
        <f>"6230729"</f>
        <v>6230729</v>
      </c>
      <c r="B30714" t="s">
        <v>4335</v>
      </c>
      <c r="C30714" t="s">
        <v>285</v>
      </c>
      <c r="D30714" s="21" t="s">
        <v>34</v>
      </c>
      <c r="E30714" s="21" t="s">
        <v>35</v>
      </c>
      <c r="F30714">
        <v>7620139</v>
      </c>
      <c r="G30714" t="s">
        <v>2061</v>
      </c>
      <c r="H30714" s="21">
        <v>539.16999999999996</v>
      </c>
    </row>
    <row r="30715" spans="1:8" customFormat="1" x14ac:dyDescent="0.25">
      <c r="A30715" t="str">
        <f>"5616524"</f>
        <v>5616524</v>
      </c>
      <c r="B30715" t="s">
        <v>11327</v>
      </c>
      <c r="C30715" t="s">
        <v>3905</v>
      </c>
      <c r="D30715" s="21" t="s">
        <v>34</v>
      </c>
      <c r="E30715" s="21" t="s">
        <v>35</v>
      </c>
      <c r="F30715">
        <v>3560045</v>
      </c>
      <c r="G30715" t="s">
        <v>4969</v>
      </c>
      <c r="H30715" s="21">
        <v>539.16999999999996</v>
      </c>
    </row>
    <row r="30716" spans="1:8" customFormat="1" x14ac:dyDescent="0.25">
      <c r="A30716" t="str">
        <f>"3011554"</f>
        <v>3011554</v>
      </c>
      <c r="B30716" t="s">
        <v>3582</v>
      </c>
      <c r="C30716" t="s">
        <v>415</v>
      </c>
      <c r="D30716" s="21" t="s">
        <v>34</v>
      </c>
      <c r="E30716" s="21" t="s">
        <v>254</v>
      </c>
      <c r="F30716">
        <v>11300007</v>
      </c>
      <c r="G30716" t="s">
        <v>361</v>
      </c>
      <c r="H30716" s="21">
        <v>539.16999999999996</v>
      </c>
    </row>
    <row r="30717" spans="1:8" customFormat="1" x14ac:dyDescent="0.25">
      <c r="A30717" t="str">
        <f>"365366"</f>
        <v>365366</v>
      </c>
      <c r="B30717" t="s">
        <v>776</v>
      </c>
      <c r="C30717" t="s">
        <v>285</v>
      </c>
      <c r="D30717" s="21" t="s">
        <v>34</v>
      </c>
      <c r="E30717" s="21" t="s">
        <v>35</v>
      </c>
      <c r="F30717">
        <v>4360341</v>
      </c>
      <c r="G30717" t="s">
        <v>4912</v>
      </c>
      <c r="H30717" s="21">
        <v>539.16999999999996</v>
      </c>
    </row>
    <row r="30718" spans="1:8" customFormat="1" x14ac:dyDescent="0.25">
      <c r="A30718" t="str">
        <f>"3728316"</f>
        <v>3728316</v>
      </c>
      <c r="B30718" t="s">
        <v>10706</v>
      </c>
      <c r="C30718" t="s">
        <v>43</v>
      </c>
      <c r="D30718" s="21" t="s">
        <v>34</v>
      </c>
      <c r="E30718" s="21" t="s">
        <v>35</v>
      </c>
      <c r="F30718">
        <v>4370102</v>
      </c>
      <c r="G30718" t="s">
        <v>10707</v>
      </c>
      <c r="H30718" s="21">
        <v>539.16999999999996</v>
      </c>
    </row>
    <row r="30719" spans="1:8" customFormat="1" x14ac:dyDescent="0.25">
      <c r="A30719" t="str">
        <f>"4113448"</f>
        <v>4113448</v>
      </c>
      <c r="B30719" t="s">
        <v>21676</v>
      </c>
      <c r="C30719" t="s">
        <v>139</v>
      </c>
      <c r="D30719" s="21" t="s">
        <v>34</v>
      </c>
      <c r="E30719" s="21" t="s">
        <v>35</v>
      </c>
      <c r="F30719">
        <v>4410080</v>
      </c>
      <c r="G30719" t="s">
        <v>135</v>
      </c>
      <c r="H30719" s="21">
        <v>539.04</v>
      </c>
    </row>
    <row r="30720" spans="1:8" customFormat="1" x14ac:dyDescent="0.25">
      <c r="A30720" t="str">
        <f>"368483"</f>
        <v>368483</v>
      </c>
      <c r="B30720" t="s">
        <v>28265</v>
      </c>
      <c r="C30720" t="s">
        <v>144</v>
      </c>
      <c r="D30720" s="21" t="s">
        <v>34</v>
      </c>
      <c r="E30720" s="21" t="s">
        <v>35</v>
      </c>
      <c r="F30720">
        <v>4360005</v>
      </c>
      <c r="G30720" t="s">
        <v>11227</v>
      </c>
      <c r="H30720" s="21">
        <v>539</v>
      </c>
    </row>
    <row r="30721" spans="1:8" customFormat="1" x14ac:dyDescent="0.25">
      <c r="A30721" t="str">
        <f>"7524489"</f>
        <v>7524489</v>
      </c>
      <c r="B30721" t="s">
        <v>4289</v>
      </c>
      <c r="C30721" t="s">
        <v>1841</v>
      </c>
      <c r="D30721" s="21" t="s">
        <v>34</v>
      </c>
      <c r="E30721" s="21" t="s">
        <v>35</v>
      </c>
      <c r="F30721">
        <v>8750120</v>
      </c>
      <c r="G30721" t="s">
        <v>838</v>
      </c>
      <c r="H30721" s="21">
        <v>539</v>
      </c>
    </row>
    <row r="30722" spans="1:8" customFormat="1" x14ac:dyDescent="0.25">
      <c r="A30722" t="str">
        <f>"7219793"</f>
        <v>7219793</v>
      </c>
      <c r="B30722" t="s">
        <v>8898</v>
      </c>
      <c r="C30722" t="s">
        <v>169</v>
      </c>
      <c r="D30722" s="21" t="s">
        <v>34</v>
      </c>
      <c r="E30722" s="21" t="s">
        <v>35</v>
      </c>
      <c r="F30722">
        <v>12720147</v>
      </c>
      <c r="G30722" t="s">
        <v>27267</v>
      </c>
      <c r="H30722" s="21">
        <v>539</v>
      </c>
    </row>
    <row r="30723" spans="1:8" customFormat="1" x14ac:dyDescent="0.25">
      <c r="A30723" t="str">
        <f>"6942363"</f>
        <v>6942363</v>
      </c>
      <c r="B30723" t="s">
        <v>11238</v>
      </c>
      <c r="C30723" t="s">
        <v>1705</v>
      </c>
      <c r="D30723" s="21" t="s">
        <v>34</v>
      </c>
      <c r="E30723" s="21" t="s">
        <v>254</v>
      </c>
      <c r="F30723">
        <v>1690215</v>
      </c>
      <c r="G30723" t="s">
        <v>1080</v>
      </c>
      <c r="H30723" s="21">
        <v>538.91999999999996</v>
      </c>
    </row>
    <row r="30724" spans="1:8" customFormat="1" x14ac:dyDescent="0.25">
      <c r="A30724" t="str">
        <f>"905923"</f>
        <v>905923</v>
      </c>
      <c r="B30724" t="s">
        <v>28266</v>
      </c>
      <c r="C30724" t="s">
        <v>262</v>
      </c>
      <c r="D30724" s="21" t="s">
        <v>34</v>
      </c>
      <c r="E30724" s="21" t="s">
        <v>35</v>
      </c>
      <c r="F30724">
        <v>2900046</v>
      </c>
      <c r="G30724" t="s">
        <v>4101</v>
      </c>
      <c r="H30724" s="21">
        <v>538.91999999999996</v>
      </c>
    </row>
    <row r="30725" spans="1:8" customFormat="1" x14ac:dyDescent="0.25">
      <c r="A30725" t="str">
        <f>"5621024"</f>
        <v>5621024</v>
      </c>
      <c r="B30725" t="s">
        <v>21891</v>
      </c>
      <c r="C30725" t="s">
        <v>169</v>
      </c>
      <c r="D30725" s="21" t="s">
        <v>34</v>
      </c>
      <c r="E30725" s="21" t="s">
        <v>254</v>
      </c>
      <c r="F30725">
        <v>3560087</v>
      </c>
      <c r="G30725" t="s">
        <v>7767</v>
      </c>
      <c r="H30725" s="21">
        <v>538.91999999999996</v>
      </c>
    </row>
    <row r="30726" spans="1:8" customFormat="1" x14ac:dyDescent="0.25">
      <c r="A30726" t="str">
        <f>"4929684"</f>
        <v>4929684</v>
      </c>
      <c r="B30726" t="s">
        <v>22271</v>
      </c>
      <c r="C30726" t="s">
        <v>206</v>
      </c>
      <c r="D30726" s="21" t="s">
        <v>34</v>
      </c>
      <c r="E30726" s="21" t="s">
        <v>35</v>
      </c>
      <c r="F30726">
        <v>12490129</v>
      </c>
      <c r="G30726" t="s">
        <v>7607</v>
      </c>
      <c r="H30726" s="21">
        <v>538.91999999999996</v>
      </c>
    </row>
    <row r="30727" spans="1:8" customFormat="1" x14ac:dyDescent="0.25">
      <c r="A30727" t="str">
        <f>"4936066"</f>
        <v>4936066</v>
      </c>
      <c r="B30727" t="s">
        <v>18030</v>
      </c>
      <c r="C30727" t="s">
        <v>139</v>
      </c>
      <c r="D30727" s="21" t="s">
        <v>34</v>
      </c>
      <c r="E30727" s="21" t="s">
        <v>35</v>
      </c>
      <c r="F30727">
        <v>12490023</v>
      </c>
      <c r="G30727" t="s">
        <v>4979</v>
      </c>
      <c r="H30727" s="21">
        <v>538.91999999999996</v>
      </c>
    </row>
    <row r="30728" spans="1:8" customFormat="1" x14ac:dyDescent="0.25">
      <c r="A30728" t="str">
        <f>"7852565"</f>
        <v>7852565</v>
      </c>
      <c r="B30728" t="s">
        <v>21046</v>
      </c>
      <c r="C30728" t="s">
        <v>2479</v>
      </c>
      <c r="D30728" s="21" t="s">
        <v>34</v>
      </c>
      <c r="E30728" s="21" t="s">
        <v>1089</v>
      </c>
      <c r="F30728">
        <v>8781466</v>
      </c>
      <c r="G30728" t="s">
        <v>21047</v>
      </c>
      <c r="H30728" s="21">
        <v>538.66999999999996</v>
      </c>
    </row>
    <row r="30729" spans="1:8" customFormat="1" x14ac:dyDescent="0.25">
      <c r="A30729" t="str">
        <f>"7636529"</f>
        <v>7636529</v>
      </c>
      <c r="B30729" t="s">
        <v>11816</v>
      </c>
      <c r="C30729" t="s">
        <v>926</v>
      </c>
      <c r="D30729" s="21" t="s">
        <v>34</v>
      </c>
      <c r="E30729" s="21" t="s">
        <v>71</v>
      </c>
      <c r="F30729">
        <v>9760319</v>
      </c>
      <c r="G30729" t="s">
        <v>3051</v>
      </c>
      <c r="H30729" s="21">
        <v>538.66999999999996</v>
      </c>
    </row>
    <row r="30730" spans="1:8" customFormat="1" x14ac:dyDescent="0.25">
      <c r="A30730" t="str">
        <f>"8315683"</f>
        <v>8315683</v>
      </c>
      <c r="B30730" t="s">
        <v>23414</v>
      </c>
      <c r="C30730" t="s">
        <v>598</v>
      </c>
      <c r="D30730" s="21" t="s">
        <v>34</v>
      </c>
      <c r="E30730" s="21" t="s">
        <v>71</v>
      </c>
      <c r="F30730">
        <v>13830066</v>
      </c>
      <c r="G30730" t="s">
        <v>7148</v>
      </c>
      <c r="H30730" s="21">
        <v>538.66999999999996</v>
      </c>
    </row>
    <row r="30731" spans="1:8" customFormat="1" x14ac:dyDescent="0.25">
      <c r="A30731" t="str">
        <f>"5979231"</f>
        <v>5979231</v>
      </c>
      <c r="B30731" t="s">
        <v>28267</v>
      </c>
      <c r="C30731" t="s">
        <v>139</v>
      </c>
      <c r="D30731" s="21" t="s">
        <v>34</v>
      </c>
      <c r="E30731" s="21" t="s">
        <v>71</v>
      </c>
      <c r="F30731">
        <v>7590361</v>
      </c>
      <c r="G30731" t="s">
        <v>3071</v>
      </c>
      <c r="H30731" s="21">
        <v>538.66999999999996</v>
      </c>
    </row>
    <row r="30732" spans="1:8" customFormat="1" x14ac:dyDescent="0.25">
      <c r="A30732" t="str">
        <f>"5983371"</f>
        <v>5983371</v>
      </c>
      <c r="B30732" t="s">
        <v>28268</v>
      </c>
      <c r="C30732" t="s">
        <v>1754</v>
      </c>
      <c r="D30732" s="21" t="s">
        <v>34</v>
      </c>
      <c r="E30732" s="21" t="s">
        <v>35</v>
      </c>
      <c r="F30732">
        <v>7590076</v>
      </c>
      <c r="G30732" t="s">
        <v>6662</v>
      </c>
      <c r="H30732" s="21">
        <v>538.66999999999996</v>
      </c>
    </row>
    <row r="30733" spans="1:8" customFormat="1" x14ac:dyDescent="0.25">
      <c r="A30733" t="str">
        <f>"9131767"</f>
        <v>9131767</v>
      </c>
      <c r="B30733" t="s">
        <v>21474</v>
      </c>
      <c r="C30733" t="s">
        <v>486</v>
      </c>
      <c r="D30733" s="21" t="s">
        <v>34</v>
      </c>
      <c r="E30733" s="21" t="s">
        <v>35</v>
      </c>
      <c r="F30733">
        <v>11110003</v>
      </c>
      <c r="G30733" t="s">
        <v>21475</v>
      </c>
      <c r="H30733" s="21">
        <v>538.66999999999996</v>
      </c>
    </row>
    <row r="30734" spans="1:8" customFormat="1" x14ac:dyDescent="0.25">
      <c r="A30734" t="str">
        <f>"534811"</f>
        <v>534811</v>
      </c>
      <c r="B30734" t="s">
        <v>9122</v>
      </c>
      <c r="C30734" t="s">
        <v>8491</v>
      </c>
      <c r="D30734" s="21" t="s">
        <v>34</v>
      </c>
      <c r="E30734" s="21" t="s">
        <v>254</v>
      </c>
      <c r="F30734">
        <v>12530005</v>
      </c>
      <c r="G30734" t="s">
        <v>6076</v>
      </c>
      <c r="H30734" s="21">
        <v>538.66999999999996</v>
      </c>
    </row>
    <row r="30735" spans="1:8" customFormat="1" x14ac:dyDescent="0.25">
      <c r="A30735" t="str">
        <f>"16179"</f>
        <v>16179</v>
      </c>
      <c r="B30735" t="s">
        <v>20725</v>
      </c>
      <c r="C30735" t="s">
        <v>1119</v>
      </c>
      <c r="D30735" s="21" t="s">
        <v>34</v>
      </c>
      <c r="E30735" s="21" t="s">
        <v>1089</v>
      </c>
      <c r="F30735">
        <v>10160186</v>
      </c>
      <c r="G30735" t="s">
        <v>4819</v>
      </c>
      <c r="H30735" s="21">
        <v>538.66999999999996</v>
      </c>
    </row>
    <row r="30736" spans="1:8" customFormat="1" x14ac:dyDescent="0.25">
      <c r="A30736" t="str">
        <f>"2929323"</f>
        <v>2929323</v>
      </c>
      <c r="B30736" t="s">
        <v>22165</v>
      </c>
      <c r="C30736" t="s">
        <v>253</v>
      </c>
      <c r="D30736" s="21" t="s">
        <v>34</v>
      </c>
      <c r="E30736" s="21" t="s">
        <v>254</v>
      </c>
      <c r="F30736">
        <v>3290228</v>
      </c>
      <c r="G30736" t="s">
        <v>8738</v>
      </c>
      <c r="H30736" s="21">
        <v>538.66999999999996</v>
      </c>
    </row>
    <row r="30737" spans="1:8" customFormat="1" x14ac:dyDescent="0.25">
      <c r="A30737" t="str">
        <f>"5113280"</f>
        <v>5113280</v>
      </c>
      <c r="B30737" t="s">
        <v>21351</v>
      </c>
      <c r="C30737" t="s">
        <v>3522</v>
      </c>
      <c r="D30737" s="21" t="s">
        <v>34</v>
      </c>
      <c r="E30737" s="21" t="s">
        <v>35</v>
      </c>
      <c r="F30737">
        <v>6510015</v>
      </c>
      <c r="G30737" t="s">
        <v>5462</v>
      </c>
      <c r="H30737" s="21">
        <v>538.66999999999996</v>
      </c>
    </row>
    <row r="30738" spans="1:8" customFormat="1" x14ac:dyDescent="0.25">
      <c r="A30738" t="str">
        <f>"289729"</f>
        <v>289729</v>
      </c>
      <c r="B30738" t="s">
        <v>2613</v>
      </c>
      <c r="C30738" t="s">
        <v>40</v>
      </c>
      <c r="D30738" s="21" t="s">
        <v>34</v>
      </c>
      <c r="E30738" s="21" t="s">
        <v>254</v>
      </c>
      <c r="F30738">
        <v>4280322</v>
      </c>
      <c r="G30738" t="s">
        <v>265</v>
      </c>
      <c r="H30738" s="21">
        <v>538.66999999999996</v>
      </c>
    </row>
    <row r="30739" spans="1:8" customFormat="1" x14ac:dyDescent="0.25">
      <c r="A30739" t="str">
        <f>"3339486"</f>
        <v>3339486</v>
      </c>
      <c r="B30739" t="s">
        <v>24224</v>
      </c>
      <c r="C30739" t="s">
        <v>40</v>
      </c>
      <c r="D30739" s="21" t="s">
        <v>34</v>
      </c>
      <c r="E30739" s="21" t="s">
        <v>254</v>
      </c>
      <c r="F30739">
        <v>10330030</v>
      </c>
      <c r="G30739" t="s">
        <v>2990</v>
      </c>
      <c r="H30739" s="21">
        <v>538.66999999999996</v>
      </c>
    </row>
    <row r="30740" spans="1:8" customFormat="1" x14ac:dyDescent="0.25">
      <c r="A30740" t="str">
        <f>"8310141"</f>
        <v>8310141</v>
      </c>
      <c r="B30740" t="s">
        <v>946</v>
      </c>
      <c r="C30740" t="s">
        <v>239</v>
      </c>
      <c r="D30740" s="21" t="s">
        <v>34</v>
      </c>
      <c r="E30740" s="21" t="s">
        <v>71</v>
      </c>
      <c r="F30740">
        <v>13830067</v>
      </c>
      <c r="G30740" t="s">
        <v>13428</v>
      </c>
      <c r="H30740" s="21">
        <v>538.66999999999996</v>
      </c>
    </row>
    <row r="30741" spans="1:8" customFormat="1" x14ac:dyDescent="0.25">
      <c r="A30741" t="str">
        <f>"9144892"</f>
        <v>9144892</v>
      </c>
      <c r="B30741" t="s">
        <v>21929</v>
      </c>
      <c r="C30741" t="s">
        <v>285</v>
      </c>
      <c r="D30741" s="21" t="s">
        <v>34</v>
      </c>
      <c r="E30741" s="21" t="s">
        <v>35</v>
      </c>
      <c r="F30741">
        <v>8910667</v>
      </c>
      <c r="G30741" t="s">
        <v>2361</v>
      </c>
      <c r="H30741" s="21">
        <v>538.66999999999996</v>
      </c>
    </row>
    <row r="30742" spans="1:8" customFormat="1" x14ac:dyDescent="0.25">
      <c r="A30742" t="str">
        <f>"7922216"</f>
        <v>7922216</v>
      </c>
      <c r="B30742" t="s">
        <v>12477</v>
      </c>
      <c r="C30742" t="s">
        <v>2356</v>
      </c>
      <c r="D30742" s="21" t="s">
        <v>34</v>
      </c>
      <c r="E30742" s="21" t="s">
        <v>35</v>
      </c>
      <c r="F30742">
        <v>10790003</v>
      </c>
      <c r="G30742" t="s">
        <v>10465</v>
      </c>
      <c r="H30742" s="21">
        <v>538.66999999999996</v>
      </c>
    </row>
    <row r="30743" spans="1:8" customFormat="1" x14ac:dyDescent="0.25">
      <c r="A30743" t="str">
        <f>"557343"</f>
        <v>557343</v>
      </c>
      <c r="B30743" t="s">
        <v>20492</v>
      </c>
      <c r="C30743" t="s">
        <v>2208</v>
      </c>
      <c r="D30743" s="21" t="s">
        <v>34</v>
      </c>
      <c r="E30743" s="21" t="s">
        <v>35</v>
      </c>
      <c r="F30743">
        <v>6550005</v>
      </c>
      <c r="G30743" t="s">
        <v>1581</v>
      </c>
      <c r="H30743" s="21">
        <v>538.66999999999996</v>
      </c>
    </row>
    <row r="30744" spans="1:8" customFormat="1" x14ac:dyDescent="0.25">
      <c r="A30744" t="str">
        <f>"875883"</f>
        <v>875883</v>
      </c>
      <c r="B30744" t="s">
        <v>1658</v>
      </c>
      <c r="C30744" t="s">
        <v>1146</v>
      </c>
      <c r="D30744" s="21" t="s">
        <v>34</v>
      </c>
      <c r="E30744" s="21" t="s">
        <v>71</v>
      </c>
      <c r="F30744">
        <v>10870101</v>
      </c>
      <c r="G30744" t="s">
        <v>6607</v>
      </c>
      <c r="H30744" s="21">
        <v>538.66999999999996</v>
      </c>
    </row>
    <row r="30745" spans="1:8" customFormat="1" x14ac:dyDescent="0.25">
      <c r="A30745" t="str">
        <f>"3322425"</f>
        <v>3322425</v>
      </c>
      <c r="B30745" t="s">
        <v>20563</v>
      </c>
      <c r="C30745" t="s">
        <v>209</v>
      </c>
      <c r="D30745" s="21" t="s">
        <v>34</v>
      </c>
      <c r="E30745" s="21" t="s">
        <v>254</v>
      </c>
      <c r="F30745">
        <v>10330013</v>
      </c>
      <c r="G30745" t="s">
        <v>613</v>
      </c>
      <c r="H30745" s="21">
        <v>538.66999999999996</v>
      </c>
    </row>
    <row r="30746" spans="1:8" customFormat="1" x14ac:dyDescent="0.25">
      <c r="A30746" t="str">
        <f>"9432324"</f>
        <v>9432324</v>
      </c>
      <c r="B30746" t="s">
        <v>28269</v>
      </c>
      <c r="C30746" t="s">
        <v>1468</v>
      </c>
      <c r="D30746" s="21" t="s">
        <v>34</v>
      </c>
      <c r="E30746" s="21" t="s">
        <v>254</v>
      </c>
      <c r="F30746">
        <v>8940926</v>
      </c>
      <c r="G30746" t="s">
        <v>4065</v>
      </c>
      <c r="H30746" s="21">
        <v>538.66999999999996</v>
      </c>
    </row>
    <row r="30747" spans="1:8" customFormat="1" x14ac:dyDescent="0.25">
      <c r="A30747" t="str">
        <f>"312078"</f>
        <v>312078</v>
      </c>
      <c r="B30747" t="s">
        <v>4834</v>
      </c>
      <c r="C30747" t="s">
        <v>198</v>
      </c>
      <c r="D30747" s="21" t="s">
        <v>34</v>
      </c>
      <c r="E30747" s="21" t="s">
        <v>71</v>
      </c>
      <c r="F30747">
        <v>11310047</v>
      </c>
      <c r="G30747" t="s">
        <v>2188</v>
      </c>
      <c r="H30747" s="21">
        <v>538.54</v>
      </c>
    </row>
    <row r="30748" spans="1:8" customFormat="1" x14ac:dyDescent="0.25">
      <c r="A30748" t="str">
        <f>"589637"</f>
        <v>589637</v>
      </c>
      <c r="B30748" t="s">
        <v>21345</v>
      </c>
      <c r="C30748" t="s">
        <v>55</v>
      </c>
      <c r="D30748" s="21" t="s">
        <v>34</v>
      </c>
      <c r="E30748" s="21" t="s">
        <v>35</v>
      </c>
      <c r="F30748">
        <v>2580093</v>
      </c>
      <c r="G30748" t="s">
        <v>9104</v>
      </c>
      <c r="H30748" s="21">
        <v>538.41999999999996</v>
      </c>
    </row>
    <row r="30749" spans="1:8" customFormat="1" x14ac:dyDescent="0.25">
      <c r="A30749" t="str">
        <f>"3326997"</f>
        <v>3326997</v>
      </c>
      <c r="B30749" t="s">
        <v>28270</v>
      </c>
      <c r="C30749" t="s">
        <v>2100</v>
      </c>
      <c r="D30749" s="21" t="s">
        <v>34</v>
      </c>
      <c r="E30749" s="21" t="s">
        <v>254</v>
      </c>
      <c r="F30749">
        <v>10330040</v>
      </c>
      <c r="G30749" t="s">
        <v>1492</v>
      </c>
      <c r="H30749" s="21">
        <v>538.41999999999996</v>
      </c>
    </row>
    <row r="30750" spans="1:8" customFormat="1" x14ac:dyDescent="0.25">
      <c r="A30750" t="str">
        <f>"1311800"</f>
        <v>1311800</v>
      </c>
      <c r="B30750" t="s">
        <v>23236</v>
      </c>
      <c r="C30750" t="s">
        <v>598</v>
      </c>
      <c r="D30750" s="21" t="s">
        <v>34</v>
      </c>
      <c r="E30750" s="21" t="s">
        <v>254</v>
      </c>
      <c r="F30750">
        <v>13130165</v>
      </c>
      <c r="G30750" t="s">
        <v>2827</v>
      </c>
      <c r="H30750" s="21">
        <v>538.29</v>
      </c>
    </row>
    <row r="30751" spans="1:8" customFormat="1" x14ac:dyDescent="0.25">
      <c r="A30751" t="str">
        <f>"567544"</f>
        <v>567544</v>
      </c>
      <c r="B30751" t="s">
        <v>20286</v>
      </c>
      <c r="C30751" t="s">
        <v>2520</v>
      </c>
      <c r="D30751" s="21" t="s">
        <v>34</v>
      </c>
      <c r="E30751" s="21" t="s">
        <v>254</v>
      </c>
      <c r="F30751">
        <v>3560052</v>
      </c>
      <c r="G30751" t="s">
        <v>18504</v>
      </c>
      <c r="H30751" s="21">
        <v>538.16999999999996</v>
      </c>
    </row>
    <row r="30752" spans="1:8" customFormat="1" x14ac:dyDescent="0.25">
      <c r="A30752" t="str">
        <f>"1424005"</f>
        <v>1424005</v>
      </c>
      <c r="B30752" t="s">
        <v>15751</v>
      </c>
      <c r="C30752" t="s">
        <v>328</v>
      </c>
      <c r="D30752" s="21" t="s">
        <v>34</v>
      </c>
      <c r="E30752" s="21" t="s">
        <v>35</v>
      </c>
      <c r="F30752">
        <v>9140115</v>
      </c>
      <c r="G30752" t="s">
        <v>26590</v>
      </c>
      <c r="H30752" s="21">
        <v>538.16999999999996</v>
      </c>
    </row>
    <row r="30753" spans="1:8" customFormat="1" x14ac:dyDescent="0.25">
      <c r="A30753" t="str">
        <f>"1321810"</f>
        <v>1321810</v>
      </c>
      <c r="B30753" t="s">
        <v>28271</v>
      </c>
      <c r="C30753" t="s">
        <v>9895</v>
      </c>
      <c r="D30753" s="21" t="s">
        <v>34</v>
      </c>
      <c r="E30753" s="21" t="s">
        <v>35</v>
      </c>
      <c r="F30753">
        <v>13130165</v>
      </c>
      <c r="G30753" t="s">
        <v>2827</v>
      </c>
      <c r="H30753" s="21">
        <v>538.16999999999996</v>
      </c>
    </row>
    <row r="30754" spans="1:8" customFormat="1" x14ac:dyDescent="0.25">
      <c r="A30754" t="str">
        <f>"5317656"</f>
        <v>5317656</v>
      </c>
      <c r="B30754" t="s">
        <v>18432</v>
      </c>
      <c r="C30754" t="s">
        <v>462</v>
      </c>
      <c r="D30754" s="21" t="s">
        <v>34</v>
      </c>
      <c r="E30754" s="21" t="s">
        <v>35</v>
      </c>
      <c r="F30754">
        <v>12530147</v>
      </c>
      <c r="G30754" t="s">
        <v>1851</v>
      </c>
      <c r="H30754" s="21">
        <v>538.16999999999996</v>
      </c>
    </row>
    <row r="30755" spans="1:8" customFormat="1" x14ac:dyDescent="0.25">
      <c r="A30755" t="str">
        <f>"376906"</f>
        <v>376906</v>
      </c>
      <c r="B30755" t="s">
        <v>5827</v>
      </c>
      <c r="C30755" t="s">
        <v>209</v>
      </c>
      <c r="D30755" s="21" t="s">
        <v>34</v>
      </c>
      <c r="E30755" s="21" t="s">
        <v>254</v>
      </c>
      <c r="F30755">
        <v>4370615</v>
      </c>
      <c r="G30755" t="s">
        <v>7437</v>
      </c>
      <c r="H30755" s="21">
        <v>538.16999999999996</v>
      </c>
    </row>
    <row r="30756" spans="1:8" customFormat="1" x14ac:dyDescent="0.25">
      <c r="A30756" t="str">
        <f>"5964050"</f>
        <v>5964050</v>
      </c>
      <c r="B30756" t="s">
        <v>21586</v>
      </c>
      <c r="C30756" t="s">
        <v>33</v>
      </c>
      <c r="D30756" s="21" t="s">
        <v>34</v>
      </c>
      <c r="E30756" s="21" t="s">
        <v>71</v>
      </c>
      <c r="F30756">
        <v>7590164</v>
      </c>
      <c r="G30756" t="s">
        <v>2451</v>
      </c>
      <c r="H30756" s="21">
        <v>538.16999999999996</v>
      </c>
    </row>
    <row r="30757" spans="1:8" customFormat="1" x14ac:dyDescent="0.25">
      <c r="A30757" t="str">
        <f>"4454169"</f>
        <v>4454169</v>
      </c>
      <c r="B30757" t="s">
        <v>22019</v>
      </c>
      <c r="C30757" t="s">
        <v>60</v>
      </c>
      <c r="D30757" s="21" t="s">
        <v>34</v>
      </c>
      <c r="E30757" s="21" t="s">
        <v>35</v>
      </c>
      <c r="F30757">
        <v>12440048</v>
      </c>
      <c r="G30757" t="s">
        <v>2090</v>
      </c>
      <c r="H30757" s="21">
        <v>538.16999999999996</v>
      </c>
    </row>
    <row r="30758" spans="1:8" customFormat="1" x14ac:dyDescent="0.25">
      <c r="A30758" t="str">
        <f>"807432"</f>
        <v>807432</v>
      </c>
      <c r="B30758" t="s">
        <v>19070</v>
      </c>
      <c r="C30758" t="s">
        <v>1812</v>
      </c>
      <c r="D30758" s="21" t="s">
        <v>34</v>
      </c>
      <c r="E30758" s="21" t="s">
        <v>254</v>
      </c>
      <c r="F30758">
        <v>7800030</v>
      </c>
      <c r="G30758" t="s">
        <v>13589</v>
      </c>
      <c r="H30758" s="21">
        <v>538.16999999999996</v>
      </c>
    </row>
    <row r="30759" spans="1:8" customFormat="1" x14ac:dyDescent="0.25">
      <c r="A30759" t="str">
        <f>"824056"</f>
        <v>824056</v>
      </c>
      <c r="B30759" t="s">
        <v>22142</v>
      </c>
      <c r="C30759" t="s">
        <v>55</v>
      </c>
      <c r="D30759" s="21" t="s">
        <v>34</v>
      </c>
      <c r="E30759" s="21" t="s">
        <v>71</v>
      </c>
      <c r="F30759">
        <v>11820035</v>
      </c>
      <c r="G30759" t="s">
        <v>16643</v>
      </c>
      <c r="H30759" s="21">
        <v>538.16999999999996</v>
      </c>
    </row>
    <row r="30760" spans="1:8" customFormat="1" x14ac:dyDescent="0.25">
      <c r="A30760" t="str">
        <f>"493946"</f>
        <v>493946</v>
      </c>
      <c r="B30760" t="s">
        <v>6324</v>
      </c>
      <c r="C30760" t="s">
        <v>328</v>
      </c>
      <c r="D30760" s="21" t="s">
        <v>34</v>
      </c>
      <c r="E30760" s="21" t="s">
        <v>71</v>
      </c>
      <c r="F30760">
        <v>12490018</v>
      </c>
      <c r="G30760" t="s">
        <v>2269</v>
      </c>
      <c r="H30760" s="21">
        <v>538.16999999999996</v>
      </c>
    </row>
    <row r="30761" spans="1:8" customFormat="1" x14ac:dyDescent="0.25">
      <c r="A30761" t="str">
        <f>"649522"</f>
        <v>649522</v>
      </c>
      <c r="B30761" t="s">
        <v>28272</v>
      </c>
      <c r="C30761" t="s">
        <v>33</v>
      </c>
      <c r="D30761" s="21" t="s">
        <v>34</v>
      </c>
      <c r="E30761" s="21" t="s">
        <v>35</v>
      </c>
      <c r="F30761">
        <v>10640003</v>
      </c>
      <c r="G30761" t="s">
        <v>1594</v>
      </c>
      <c r="H30761" s="21">
        <v>538.16999999999996</v>
      </c>
    </row>
    <row r="30762" spans="1:8" customFormat="1" x14ac:dyDescent="0.25">
      <c r="A30762" t="str">
        <f>"5431658"</f>
        <v>5431658</v>
      </c>
      <c r="B30762" t="s">
        <v>22180</v>
      </c>
      <c r="C30762" t="s">
        <v>2529</v>
      </c>
      <c r="D30762" s="21" t="s">
        <v>34</v>
      </c>
      <c r="E30762" s="21" t="s">
        <v>35</v>
      </c>
      <c r="F30762">
        <v>6540020</v>
      </c>
      <c r="G30762" t="s">
        <v>1269</v>
      </c>
      <c r="H30762" s="21">
        <v>538.16999999999996</v>
      </c>
    </row>
    <row r="30763" spans="1:8" customFormat="1" x14ac:dyDescent="0.25">
      <c r="A30763" t="str">
        <f>"879550"</f>
        <v>879550</v>
      </c>
      <c r="B30763" t="s">
        <v>28273</v>
      </c>
      <c r="C30763" t="s">
        <v>96</v>
      </c>
      <c r="D30763" s="21" t="s">
        <v>34</v>
      </c>
      <c r="E30763" s="21" t="s">
        <v>35</v>
      </c>
      <c r="F30763">
        <v>10870081</v>
      </c>
      <c r="G30763" t="s">
        <v>6698</v>
      </c>
      <c r="H30763" s="21">
        <v>538.16999999999996</v>
      </c>
    </row>
    <row r="30764" spans="1:8" customFormat="1" x14ac:dyDescent="0.25">
      <c r="A30764" t="str">
        <f>"761052"</f>
        <v>761052</v>
      </c>
      <c r="B30764" t="s">
        <v>1198</v>
      </c>
      <c r="C30764" t="s">
        <v>598</v>
      </c>
      <c r="D30764" s="21" t="s">
        <v>34</v>
      </c>
      <c r="E30764" s="21" t="s">
        <v>1089</v>
      </c>
      <c r="F30764">
        <v>9760107</v>
      </c>
      <c r="G30764" t="s">
        <v>122</v>
      </c>
      <c r="H30764" s="21">
        <v>538.16999999999996</v>
      </c>
    </row>
    <row r="30765" spans="1:8" customFormat="1" x14ac:dyDescent="0.25">
      <c r="A30765" t="str">
        <f>"9448149"</f>
        <v>9448149</v>
      </c>
      <c r="B30765" t="s">
        <v>8712</v>
      </c>
      <c r="C30765" t="s">
        <v>3456</v>
      </c>
      <c r="D30765" s="21" t="s">
        <v>34</v>
      </c>
      <c r="E30765" s="21" t="s">
        <v>35</v>
      </c>
      <c r="F30765">
        <v>8941461</v>
      </c>
      <c r="G30765" t="s">
        <v>10447</v>
      </c>
      <c r="H30765" s="21">
        <v>538.16999999999996</v>
      </c>
    </row>
    <row r="30766" spans="1:8" customFormat="1" x14ac:dyDescent="0.25">
      <c r="A30766" t="str">
        <f>"323135"</f>
        <v>323135</v>
      </c>
      <c r="B30766" t="s">
        <v>12467</v>
      </c>
      <c r="C30766" t="s">
        <v>267</v>
      </c>
      <c r="D30766" s="21" t="s">
        <v>34</v>
      </c>
      <c r="E30766" s="21" t="s">
        <v>71</v>
      </c>
      <c r="F30766">
        <v>11320040</v>
      </c>
      <c r="G30766" t="s">
        <v>14128</v>
      </c>
      <c r="H30766" s="21">
        <v>538.04</v>
      </c>
    </row>
    <row r="30767" spans="1:8" customFormat="1" x14ac:dyDescent="0.25">
      <c r="A30767" t="str">
        <f>"9225170"</f>
        <v>9225170</v>
      </c>
      <c r="B30767" t="s">
        <v>22459</v>
      </c>
      <c r="C30767" t="s">
        <v>22460</v>
      </c>
      <c r="D30767" s="21" t="s">
        <v>34</v>
      </c>
      <c r="E30767" s="21" t="s">
        <v>71</v>
      </c>
      <c r="F30767">
        <v>8920066</v>
      </c>
      <c r="G30767" t="s">
        <v>4899</v>
      </c>
      <c r="H30767" s="21">
        <v>538.04</v>
      </c>
    </row>
    <row r="30768" spans="1:8" customFormat="1" x14ac:dyDescent="0.25">
      <c r="A30768" t="str">
        <f>"7110282"</f>
        <v>7110282</v>
      </c>
      <c r="B30768" t="s">
        <v>22347</v>
      </c>
      <c r="C30768" t="s">
        <v>1812</v>
      </c>
      <c r="D30768" s="21" t="s">
        <v>34</v>
      </c>
      <c r="E30768" s="21" t="s">
        <v>71</v>
      </c>
      <c r="F30768">
        <v>2710049</v>
      </c>
      <c r="G30768" t="s">
        <v>11357</v>
      </c>
      <c r="H30768" s="21">
        <v>538.04</v>
      </c>
    </row>
    <row r="30769" spans="1:8" customFormat="1" x14ac:dyDescent="0.25">
      <c r="A30769" t="str">
        <f>"3833447"</f>
        <v>3833447</v>
      </c>
      <c r="B30769" t="s">
        <v>3224</v>
      </c>
      <c r="C30769" t="s">
        <v>484</v>
      </c>
      <c r="D30769" s="21" t="s">
        <v>34</v>
      </c>
      <c r="E30769" s="21" t="s">
        <v>35</v>
      </c>
      <c r="F30769">
        <v>1380189</v>
      </c>
      <c r="G30769" t="s">
        <v>8143</v>
      </c>
      <c r="H30769" s="21">
        <v>538</v>
      </c>
    </row>
    <row r="30770" spans="1:8" customFormat="1" x14ac:dyDescent="0.25">
      <c r="A30770" t="str">
        <f>"3833243"</f>
        <v>3833243</v>
      </c>
      <c r="B30770" t="s">
        <v>9645</v>
      </c>
      <c r="C30770" t="s">
        <v>1474</v>
      </c>
      <c r="D30770" s="21" t="s">
        <v>34</v>
      </c>
      <c r="E30770" s="21" t="s">
        <v>35</v>
      </c>
      <c r="F30770">
        <v>1380225</v>
      </c>
      <c r="G30770" t="s">
        <v>4441</v>
      </c>
      <c r="H30770" s="21">
        <v>538</v>
      </c>
    </row>
    <row r="30771" spans="1:8" customFormat="1" x14ac:dyDescent="0.25">
      <c r="A30771" t="str">
        <f>"1716415"</f>
        <v>1716415</v>
      </c>
      <c r="B30771" t="s">
        <v>22722</v>
      </c>
      <c r="C30771" t="s">
        <v>217</v>
      </c>
      <c r="D30771" s="21" t="s">
        <v>34</v>
      </c>
      <c r="E30771" s="21" t="s">
        <v>71</v>
      </c>
      <c r="F30771">
        <v>10170012</v>
      </c>
      <c r="G30771" t="s">
        <v>14768</v>
      </c>
      <c r="H30771" s="21">
        <v>538</v>
      </c>
    </row>
    <row r="30772" spans="1:8" customFormat="1" x14ac:dyDescent="0.25">
      <c r="A30772" t="str">
        <f>"4220233"</f>
        <v>4220233</v>
      </c>
      <c r="B30772" t="s">
        <v>2809</v>
      </c>
      <c r="C30772" t="s">
        <v>267</v>
      </c>
      <c r="D30772" s="21" t="s">
        <v>34</v>
      </c>
      <c r="E30772" s="21" t="s">
        <v>71</v>
      </c>
      <c r="F30772">
        <v>1420017</v>
      </c>
      <c r="G30772" t="s">
        <v>1296</v>
      </c>
      <c r="H30772" s="21">
        <v>538</v>
      </c>
    </row>
    <row r="30773" spans="1:8" customFormat="1" x14ac:dyDescent="0.25">
      <c r="A30773" t="str">
        <f>"1320286"</f>
        <v>1320286</v>
      </c>
      <c r="B30773" t="s">
        <v>8688</v>
      </c>
      <c r="C30773" t="s">
        <v>65</v>
      </c>
      <c r="D30773" s="21" t="s">
        <v>34</v>
      </c>
      <c r="E30773" s="21" t="s">
        <v>35</v>
      </c>
      <c r="F30773">
        <v>13130170</v>
      </c>
      <c r="G30773" t="s">
        <v>10164</v>
      </c>
      <c r="H30773" s="21">
        <v>538</v>
      </c>
    </row>
    <row r="30774" spans="1:8" customFormat="1" x14ac:dyDescent="0.25">
      <c r="A30774" t="str">
        <f>"366193"</f>
        <v>366193</v>
      </c>
      <c r="B30774" t="s">
        <v>12823</v>
      </c>
      <c r="C30774" t="s">
        <v>1271</v>
      </c>
      <c r="D30774" s="21" t="s">
        <v>34</v>
      </c>
      <c r="E30774" s="21" t="s">
        <v>254</v>
      </c>
      <c r="F30774">
        <v>4360728</v>
      </c>
      <c r="G30774" t="s">
        <v>12735</v>
      </c>
      <c r="H30774" s="21">
        <v>537.91999999999996</v>
      </c>
    </row>
    <row r="30775" spans="1:8" customFormat="1" x14ac:dyDescent="0.25">
      <c r="A30775" t="str">
        <f>"9A1554"</f>
        <v>9A1554</v>
      </c>
      <c r="B30775" t="s">
        <v>28274</v>
      </c>
      <c r="C30775" t="s">
        <v>28275</v>
      </c>
      <c r="D30775" s="21" t="s">
        <v>34</v>
      </c>
      <c r="E30775" s="21" t="s">
        <v>71</v>
      </c>
      <c r="F30775" t="s">
        <v>1458</v>
      </c>
      <c r="G30775" t="s">
        <v>1459</v>
      </c>
      <c r="H30775" s="21">
        <v>537.91999999999996</v>
      </c>
    </row>
    <row r="30776" spans="1:8" customFormat="1" x14ac:dyDescent="0.25">
      <c r="A30776" t="str">
        <f>"0112643"</f>
        <v>0112643</v>
      </c>
      <c r="B30776" t="s">
        <v>28276</v>
      </c>
      <c r="C30776" t="s">
        <v>33</v>
      </c>
      <c r="D30776" s="21" t="s">
        <v>34</v>
      </c>
      <c r="E30776" s="21" t="s">
        <v>35</v>
      </c>
      <c r="F30776">
        <v>1010068</v>
      </c>
      <c r="G30776" t="s">
        <v>4755</v>
      </c>
      <c r="H30776" s="21">
        <v>537.79</v>
      </c>
    </row>
    <row r="30777" spans="1:8" customFormat="1" x14ac:dyDescent="0.25">
      <c r="A30777" t="str">
        <f>"9252917"</f>
        <v>9252917</v>
      </c>
      <c r="B30777" t="s">
        <v>18936</v>
      </c>
      <c r="C30777" t="s">
        <v>82</v>
      </c>
      <c r="D30777" s="21" t="s">
        <v>34</v>
      </c>
      <c r="E30777" s="21" t="s">
        <v>71</v>
      </c>
      <c r="F30777">
        <v>8920505</v>
      </c>
      <c r="G30777" t="s">
        <v>12288</v>
      </c>
      <c r="H30777" s="21">
        <v>537.75</v>
      </c>
    </row>
    <row r="30778" spans="1:8" customFormat="1" x14ac:dyDescent="0.25">
      <c r="A30778" t="str">
        <f>"5016929"</f>
        <v>5016929</v>
      </c>
      <c r="B30778" t="s">
        <v>697</v>
      </c>
      <c r="C30778" t="s">
        <v>130</v>
      </c>
      <c r="D30778" s="21" t="s">
        <v>34</v>
      </c>
      <c r="E30778" s="21" t="s">
        <v>71</v>
      </c>
      <c r="F30778">
        <v>9500159</v>
      </c>
      <c r="G30778" t="s">
        <v>11102</v>
      </c>
      <c r="H30778" s="21">
        <v>537.66999999999996</v>
      </c>
    </row>
    <row r="30779" spans="1:8" customFormat="1" x14ac:dyDescent="0.25">
      <c r="A30779" t="str">
        <f>"8014876"</f>
        <v>8014876</v>
      </c>
      <c r="B30779" t="s">
        <v>1959</v>
      </c>
      <c r="C30779" t="s">
        <v>1705</v>
      </c>
      <c r="D30779" s="21" t="s">
        <v>34</v>
      </c>
      <c r="E30779" s="21" t="s">
        <v>254</v>
      </c>
      <c r="F30779">
        <v>7800064</v>
      </c>
      <c r="G30779" t="s">
        <v>4496</v>
      </c>
      <c r="H30779" s="21">
        <v>537.66999999999996</v>
      </c>
    </row>
    <row r="30780" spans="1:8" customFormat="1" x14ac:dyDescent="0.25">
      <c r="A30780" t="str">
        <f>"9D2766"</f>
        <v>9D2766</v>
      </c>
      <c r="B30780" t="s">
        <v>23350</v>
      </c>
      <c r="C30780" t="s">
        <v>2232</v>
      </c>
      <c r="D30780" s="21" t="s">
        <v>34</v>
      </c>
      <c r="E30780" s="21" t="s">
        <v>35</v>
      </c>
      <c r="F30780" t="s">
        <v>1923</v>
      </c>
      <c r="G30780" t="s">
        <v>1924</v>
      </c>
      <c r="H30780" s="21">
        <v>537.66999999999996</v>
      </c>
    </row>
    <row r="30781" spans="1:8" customFormat="1" x14ac:dyDescent="0.25">
      <c r="A30781" t="str">
        <f>"5614862"</f>
        <v>5614862</v>
      </c>
      <c r="B30781" t="s">
        <v>15771</v>
      </c>
      <c r="C30781" t="s">
        <v>547</v>
      </c>
      <c r="D30781" s="21" t="s">
        <v>34</v>
      </c>
      <c r="E30781" s="21" t="s">
        <v>1089</v>
      </c>
      <c r="F30781">
        <v>3560090</v>
      </c>
      <c r="G30781" t="s">
        <v>7777</v>
      </c>
      <c r="H30781" s="21">
        <v>537.66999999999996</v>
      </c>
    </row>
    <row r="30782" spans="1:8" customFormat="1" x14ac:dyDescent="0.25">
      <c r="A30782" t="str">
        <f>"4453400"</f>
        <v>4453400</v>
      </c>
      <c r="B30782" t="s">
        <v>5011</v>
      </c>
      <c r="C30782" t="s">
        <v>65</v>
      </c>
      <c r="D30782" s="21" t="s">
        <v>34</v>
      </c>
      <c r="E30782" s="21" t="s">
        <v>35</v>
      </c>
      <c r="F30782">
        <v>12440116</v>
      </c>
      <c r="G30782" t="s">
        <v>26673</v>
      </c>
      <c r="H30782" s="21">
        <v>537.66999999999996</v>
      </c>
    </row>
    <row r="30783" spans="1:8" customFormat="1" x14ac:dyDescent="0.25">
      <c r="A30783" t="str">
        <f>"3010"</f>
        <v>3010</v>
      </c>
      <c r="B30783" t="s">
        <v>20715</v>
      </c>
      <c r="C30783" t="s">
        <v>249</v>
      </c>
      <c r="D30783" s="21" t="s">
        <v>34</v>
      </c>
      <c r="E30783" s="21" t="s">
        <v>254</v>
      </c>
      <c r="F30783">
        <v>11300017</v>
      </c>
      <c r="G30783" t="s">
        <v>13115</v>
      </c>
      <c r="H30783" s="21">
        <v>537.66999999999996</v>
      </c>
    </row>
    <row r="30784" spans="1:8" customFormat="1" x14ac:dyDescent="0.25">
      <c r="A30784" t="str">
        <f>"5019411"</f>
        <v>5019411</v>
      </c>
      <c r="B30784" t="s">
        <v>20876</v>
      </c>
      <c r="C30784" t="s">
        <v>1841</v>
      </c>
      <c r="D30784" s="21" t="s">
        <v>34</v>
      </c>
      <c r="E30784" s="21" t="s">
        <v>71</v>
      </c>
      <c r="F30784">
        <v>9500059</v>
      </c>
      <c r="G30784" t="s">
        <v>26714</v>
      </c>
      <c r="H30784" s="21">
        <v>537.66999999999996</v>
      </c>
    </row>
    <row r="30785" spans="1:8" customFormat="1" x14ac:dyDescent="0.25">
      <c r="A30785" t="str">
        <f>"735381"</f>
        <v>735381</v>
      </c>
      <c r="B30785" t="s">
        <v>21766</v>
      </c>
      <c r="C30785" t="s">
        <v>209</v>
      </c>
      <c r="D30785" s="21" t="s">
        <v>34</v>
      </c>
      <c r="E30785" s="21" t="s">
        <v>254</v>
      </c>
      <c r="F30785">
        <v>1730007</v>
      </c>
      <c r="G30785" t="s">
        <v>6989</v>
      </c>
      <c r="H30785" s="21">
        <v>537.66999999999996</v>
      </c>
    </row>
    <row r="30786" spans="1:8" customFormat="1" x14ac:dyDescent="0.25">
      <c r="A30786" t="str">
        <f>"394514"</f>
        <v>394514</v>
      </c>
      <c r="B30786" t="s">
        <v>5427</v>
      </c>
      <c r="C30786" t="s">
        <v>664</v>
      </c>
      <c r="D30786" s="21" t="s">
        <v>34</v>
      </c>
      <c r="E30786" s="21" t="s">
        <v>71</v>
      </c>
      <c r="F30786">
        <v>2390010</v>
      </c>
      <c r="G30786" t="s">
        <v>27283</v>
      </c>
      <c r="H30786" s="21">
        <v>537.66999999999996</v>
      </c>
    </row>
    <row r="30787" spans="1:8" customFormat="1" x14ac:dyDescent="0.25">
      <c r="A30787" t="str">
        <f>"188581"</f>
        <v>188581</v>
      </c>
      <c r="B30787" t="s">
        <v>21904</v>
      </c>
      <c r="C30787" t="s">
        <v>169</v>
      </c>
      <c r="D30787" s="21" t="s">
        <v>34</v>
      </c>
      <c r="E30787" s="21" t="s">
        <v>35</v>
      </c>
      <c r="F30787">
        <v>4180057</v>
      </c>
      <c r="G30787" t="s">
        <v>9021</v>
      </c>
      <c r="H30787" s="21">
        <v>537.66999999999996</v>
      </c>
    </row>
    <row r="30788" spans="1:8" customFormat="1" x14ac:dyDescent="0.25">
      <c r="A30788" t="str">
        <f>"67690"</f>
        <v>67690</v>
      </c>
      <c r="B30788" t="s">
        <v>18598</v>
      </c>
      <c r="C30788" t="s">
        <v>598</v>
      </c>
      <c r="D30788" s="21" t="s">
        <v>34</v>
      </c>
      <c r="E30788" s="21" t="s">
        <v>71</v>
      </c>
      <c r="F30788">
        <v>6670064</v>
      </c>
      <c r="G30788" t="s">
        <v>9358</v>
      </c>
      <c r="H30788" s="21">
        <v>537.66999999999996</v>
      </c>
    </row>
    <row r="30789" spans="1:8" customFormat="1" x14ac:dyDescent="0.25">
      <c r="A30789" t="str">
        <f>"9145230"</f>
        <v>9145230</v>
      </c>
      <c r="B30789" t="s">
        <v>20511</v>
      </c>
      <c r="C30789" t="s">
        <v>305</v>
      </c>
      <c r="D30789" s="21" t="s">
        <v>34</v>
      </c>
      <c r="E30789" s="21" t="s">
        <v>35</v>
      </c>
      <c r="F30789">
        <v>8911064</v>
      </c>
      <c r="G30789" t="s">
        <v>2209</v>
      </c>
      <c r="H30789" s="21">
        <v>537.66999999999996</v>
      </c>
    </row>
    <row r="30790" spans="1:8" customFormat="1" x14ac:dyDescent="0.25">
      <c r="A30790" t="str">
        <f>"637583"</f>
        <v>637583</v>
      </c>
      <c r="B30790" t="s">
        <v>10674</v>
      </c>
      <c r="C30790" t="s">
        <v>1468</v>
      </c>
      <c r="D30790" s="21" t="s">
        <v>34</v>
      </c>
      <c r="E30790" s="21" t="s">
        <v>35</v>
      </c>
      <c r="F30790">
        <v>1630325</v>
      </c>
      <c r="G30790" t="s">
        <v>10751</v>
      </c>
      <c r="H30790" s="21">
        <v>537.66999999999996</v>
      </c>
    </row>
    <row r="30791" spans="1:8" customFormat="1" x14ac:dyDescent="0.25">
      <c r="A30791" t="str">
        <f>"6210775"</f>
        <v>6210775</v>
      </c>
      <c r="B30791" t="s">
        <v>22027</v>
      </c>
      <c r="C30791" t="s">
        <v>598</v>
      </c>
      <c r="D30791" s="21" t="s">
        <v>34</v>
      </c>
      <c r="E30791" s="21" t="s">
        <v>254</v>
      </c>
      <c r="F30791">
        <v>7620042</v>
      </c>
      <c r="G30791" t="s">
        <v>8102</v>
      </c>
      <c r="H30791" s="21">
        <v>537.66999999999996</v>
      </c>
    </row>
    <row r="30792" spans="1:8" customFormat="1" x14ac:dyDescent="0.25">
      <c r="A30792" t="str">
        <f>"5975799"</f>
        <v>5975799</v>
      </c>
      <c r="B30792" t="s">
        <v>8275</v>
      </c>
      <c r="C30792" t="s">
        <v>98</v>
      </c>
      <c r="D30792" s="21" t="s">
        <v>34</v>
      </c>
      <c r="E30792" s="21" t="s">
        <v>35</v>
      </c>
      <c r="F30792">
        <v>7590057</v>
      </c>
      <c r="G30792" t="s">
        <v>7575</v>
      </c>
      <c r="H30792" s="21">
        <v>537.66999999999996</v>
      </c>
    </row>
    <row r="30793" spans="1:8" customFormat="1" x14ac:dyDescent="0.25">
      <c r="A30793" t="str">
        <f>"3523027"</f>
        <v>3523027</v>
      </c>
      <c r="B30793" t="s">
        <v>28277</v>
      </c>
      <c r="C30793" t="s">
        <v>62</v>
      </c>
      <c r="D30793" s="21" t="s">
        <v>34</v>
      </c>
      <c r="E30793" s="21" t="s">
        <v>35</v>
      </c>
      <c r="F30793">
        <v>3350087</v>
      </c>
      <c r="G30793" t="s">
        <v>7430</v>
      </c>
      <c r="H30793" s="21">
        <v>537.66999999999996</v>
      </c>
    </row>
    <row r="30794" spans="1:8" customFormat="1" x14ac:dyDescent="0.25">
      <c r="A30794" t="str">
        <f>"5325178"</f>
        <v>5325178</v>
      </c>
      <c r="B30794" t="s">
        <v>3664</v>
      </c>
      <c r="C30794" t="s">
        <v>121</v>
      </c>
      <c r="D30794" s="21" t="s">
        <v>34</v>
      </c>
      <c r="E30794" s="21" t="s">
        <v>35</v>
      </c>
      <c r="F30794">
        <v>12538910</v>
      </c>
      <c r="G30794" t="s">
        <v>8855</v>
      </c>
      <c r="H30794" s="21">
        <v>537.66999999999996</v>
      </c>
    </row>
    <row r="30795" spans="1:8" customFormat="1" x14ac:dyDescent="0.25">
      <c r="A30795" t="str">
        <f>"5943231"</f>
        <v>5943231</v>
      </c>
      <c r="B30795" t="s">
        <v>28278</v>
      </c>
      <c r="C30795" t="s">
        <v>1489</v>
      </c>
      <c r="D30795" s="21" t="s">
        <v>34</v>
      </c>
      <c r="E30795" s="21" t="s">
        <v>1089</v>
      </c>
      <c r="F30795">
        <v>7590014</v>
      </c>
      <c r="G30795" t="s">
        <v>1326</v>
      </c>
      <c r="H30795" s="21">
        <v>537.66999999999996</v>
      </c>
    </row>
    <row r="30796" spans="1:8" customFormat="1" x14ac:dyDescent="0.25">
      <c r="A30796" t="str">
        <f>"3012756"</f>
        <v>3012756</v>
      </c>
      <c r="B30796" t="s">
        <v>4147</v>
      </c>
      <c r="C30796" t="s">
        <v>547</v>
      </c>
      <c r="D30796" s="21" t="s">
        <v>34</v>
      </c>
      <c r="E30796" s="21" t="s">
        <v>71</v>
      </c>
      <c r="F30796">
        <v>11300016</v>
      </c>
      <c r="G30796" t="s">
        <v>157</v>
      </c>
      <c r="H30796" s="21">
        <v>537.66999999999996</v>
      </c>
    </row>
    <row r="30797" spans="1:8" customFormat="1" x14ac:dyDescent="0.25">
      <c r="A30797" t="str">
        <f>"038792"</f>
        <v>038792</v>
      </c>
      <c r="B30797" t="s">
        <v>21648</v>
      </c>
      <c r="C30797" t="s">
        <v>608</v>
      </c>
      <c r="D30797" s="21" t="s">
        <v>34</v>
      </c>
      <c r="E30797" s="21" t="s">
        <v>35</v>
      </c>
      <c r="F30797">
        <v>1030300</v>
      </c>
      <c r="G30797" t="s">
        <v>7676</v>
      </c>
      <c r="H30797" s="21">
        <v>537.66999999999996</v>
      </c>
    </row>
    <row r="30798" spans="1:8" customFormat="1" x14ac:dyDescent="0.25">
      <c r="A30798" t="str">
        <f>"14613"</f>
        <v>14613</v>
      </c>
      <c r="B30798" t="s">
        <v>20565</v>
      </c>
      <c r="C30798" t="s">
        <v>249</v>
      </c>
      <c r="D30798" s="21" t="s">
        <v>34</v>
      </c>
      <c r="E30798" s="21" t="s">
        <v>71</v>
      </c>
      <c r="F30798">
        <v>9140054</v>
      </c>
      <c r="G30798" t="s">
        <v>3300</v>
      </c>
      <c r="H30798" s="21">
        <v>537.66999999999996</v>
      </c>
    </row>
    <row r="30799" spans="1:8" customFormat="1" x14ac:dyDescent="0.25">
      <c r="A30799" t="str">
        <f>"7879009"</f>
        <v>7879009</v>
      </c>
      <c r="B30799" t="s">
        <v>22069</v>
      </c>
      <c r="C30799" t="s">
        <v>812</v>
      </c>
      <c r="D30799" s="21" t="s">
        <v>34</v>
      </c>
      <c r="E30799" s="21" t="s">
        <v>71</v>
      </c>
      <c r="F30799">
        <v>8780892</v>
      </c>
      <c r="G30799" t="s">
        <v>3021</v>
      </c>
      <c r="H30799" s="21">
        <v>537.54</v>
      </c>
    </row>
    <row r="30800" spans="1:8" customFormat="1" x14ac:dyDescent="0.25">
      <c r="A30800" t="str">
        <f>"091715"</f>
        <v>091715</v>
      </c>
      <c r="B30800" t="s">
        <v>28279</v>
      </c>
      <c r="C30800" t="s">
        <v>656</v>
      </c>
      <c r="D30800" s="21" t="s">
        <v>34</v>
      </c>
      <c r="E30800" s="21" t="s">
        <v>35</v>
      </c>
      <c r="F30800">
        <v>11090019</v>
      </c>
      <c r="G30800" t="s">
        <v>5591</v>
      </c>
      <c r="H30800" s="21">
        <v>537.5</v>
      </c>
    </row>
    <row r="30801" spans="1:8" customFormat="1" x14ac:dyDescent="0.25">
      <c r="A30801" t="str">
        <f>"9140587"</f>
        <v>9140587</v>
      </c>
      <c r="B30801" t="s">
        <v>28280</v>
      </c>
      <c r="C30801" t="s">
        <v>1222</v>
      </c>
      <c r="D30801" s="21" t="s">
        <v>34</v>
      </c>
      <c r="E30801" s="21" t="s">
        <v>254</v>
      </c>
      <c r="F30801">
        <v>8910042</v>
      </c>
      <c r="G30801" t="s">
        <v>4009</v>
      </c>
      <c r="H30801" s="21">
        <v>537.5</v>
      </c>
    </row>
    <row r="30802" spans="1:8" customFormat="1" x14ac:dyDescent="0.25">
      <c r="A30802" t="str">
        <f>"6017261"</f>
        <v>6017261</v>
      </c>
      <c r="B30802" t="s">
        <v>6482</v>
      </c>
      <c r="C30802" t="s">
        <v>187</v>
      </c>
      <c r="D30802" s="21" t="s">
        <v>34</v>
      </c>
      <c r="E30802" s="21" t="s">
        <v>35</v>
      </c>
      <c r="F30802">
        <v>7600074</v>
      </c>
      <c r="G30802" t="s">
        <v>1912</v>
      </c>
      <c r="H30802" s="21">
        <v>537.5</v>
      </c>
    </row>
    <row r="30803" spans="1:8" customFormat="1" x14ac:dyDescent="0.25">
      <c r="A30803" t="str">
        <f>"7921468"</f>
        <v>7921468</v>
      </c>
      <c r="B30803" t="s">
        <v>1626</v>
      </c>
      <c r="C30803" t="s">
        <v>305</v>
      </c>
      <c r="D30803" s="21" t="s">
        <v>34</v>
      </c>
      <c r="E30803" s="21" t="s">
        <v>35</v>
      </c>
      <c r="F30803">
        <v>10790002</v>
      </c>
      <c r="G30803" t="s">
        <v>6612</v>
      </c>
      <c r="H30803" s="21">
        <v>537.5</v>
      </c>
    </row>
    <row r="30804" spans="1:8" customFormat="1" x14ac:dyDescent="0.25">
      <c r="A30804" t="str">
        <f>"738143"</f>
        <v>738143</v>
      </c>
      <c r="B30804" t="s">
        <v>12983</v>
      </c>
      <c r="C30804" t="s">
        <v>198</v>
      </c>
      <c r="D30804" s="21" t="s">
        <v>34</v>
      </c>
      <c r="E30804" s="21" t="s">
        <v>254</v>
      </c>
      <c r="F30804">
        <v>1730090</v>
      </c>
      <c r="G30804" t="s">
        <v>19889</v>
      </c>
      <c r="H30804" s="21">
        <v>537.5</v>
      </c>
    </row>
    <row r="30805" spans="1:8" customFormat="1" x14ac:dyDescent="0.25">
      <c r="A30805" t="str">
        <f>"407848"</f>
        <v>407848</v>
      </c>
      <c r="B30805" t="s">
        <v>2489</v>
      </c>
      <c r="C30805" t="s">
        <v>33</v>
      </c>
      <c r="D30805" s="21" t="s">
        <v>34</v>
      </c>
      <c r="E30805" s="21" t="s">
        <v>71</v>
      </c>
      <c r="F30805">
        <v>10400002</v>
      </c>
      <c r="G30805" t="s">
        <v>1975</v>
      </c>
      <c r="H30805" s="21">
        <v>537.5</v>
      </c>
    </row>
    <row r="30806" spans="1:8" customFormat="1" x14ac:dyDescent="0.25">
      <c r="A30806" t="str">
        <f>"9321189"</f>
        <v>9321189</v>
      </c>
      <c r="B30806" t="s">
        <v>24225</v>
      </c>
      <c r="C30806" t="s">
        <v>462</v>
      </c>
      <c r="D30806" s="21" t="s">
        <v>34</v>
      </c>
      <c r="E30806" s="21" t="s">
        <v>71</v>
      </c>
      <c r="F30806">
        <v>8931032</v>
      </c>
      <c r="G30806" t="s">
        <v>10451</v>
      </c>
      <c r="H30806" s="21">
        <v>537.5</v>
      </c>
    </row>
    <row r="30807" spans="1:8" customFormat="1" x14ac:dyDescent="0.25">
      <c r="A30807" t="str">
        <f>"7516914"</f>
        <v>7516914</v>
      </c>
      <c r="B30807" t="s">
        <v>20631</v>
      </c>
      <c r="C30807" t="s">
        <v>1588</v>
      </c>
      <c r="D30807" s="21" t="s">
        <v>34</v>
      </c>
      <c r="E30807" s="21" t="s">
        <v>254</v>
      </c>
      <c r="F30807">
        <v>8751260</v>
      </c>
      <c r="G30807" t="s">
        <v>10641</v>
      </c>
      <c r="H30807" s="21">
        <v>537.41999999999996</v>
      </c>
    </row>
    <row r="30808" spans="1:8" customFormat="1" x14ac:dyDescent="0.25">
      <c r="A30808" t="str">
        <f>"897885"</f>
        <v>897885</v>
      </c>
      <c r="B30808" t="s">
        <v>16145</v>
      </c>
      <c r="C30808" t="s">
        <v>37</v>
      </c>
      <c r="D30808" s="21" t="s">
        <v>34</v>
      </c>
      <c r="E30808" s="21" t="s">
        <v>35</v>
      </c>
      <c r="F30808">
        <v>2890059</v>
      </c>
      <c r="G30808" t="s">
        <v>26651</v>
      </c>
      <c r="H30808" s="21">
        <v>537.29</v>
      </c>
    </row>
    <row r="30809" spans="1:8" customFormat="1" x14ac:dyDescent="0.25">
      <c r="A30809" t="str">
        <f>"68357"</f>
        <v>68357</v>
      </c>
      <c r="B30809" t="s">
        <v>4600</v>
      </c>
      <c r="C30809" t="s">
        <v>1142</v>
      </c>
      <c r="D30809" s="21" t="s">
        <v>34</v>
      </c>
      <c r="E30809" s="21" t="s">
        <v>1089</v>
      </c>
      <c r="F30809">
        <v>6680011</v>
      </c>
      <c r="G30809" t="s">
        <v>1524</v>
      </c>
      <c r="H30809" s="21">
        <v>537.16999999999996</v>
      </c>
    </row>
    <row r="30810" spans="1:8" customFormat="1" x14ac:dyDescent="0.25">
      <c r="A30810" t="str">
        <f>"1613894"</f>
        <v>1613894</v>
      </c>
      <c r="B30810" t="s">
        <v>22291</v>
      </c>
      <c r="C30810" t="s">
        <v>55</v>
      </c>
      <c r="D30810" s="21" t="s">
        <v>34</v>
      </c>
      <c r="E30810" s="21" t="s">
        <v>35</v>
      </c>
      <c r="F30810">
        <v>10160069</v>
      </c>
      <c r="G30810" t="s">
        <v>5379</v>
      </c>
      <c r="H30810" s="21">
        <v>537.16999999999996</v>
      </c>
    </row>
    <row r="30811" spans="1:8" customFormat="1" x14ac:dyDescent="0.25">
      <c r="A30811" t="str">
        <f>"425581"</f>
        <v>425581</v>
      </c>
      <c r="B30811" t="s">
        <v>17759</v>
      </c>
      <c r="C30811" t="s">
        <v>253</v>
      </c>
      <c r="D30811" s="21" t="s">
        <v>34</v>
      </c>
      <c r="E30811" s="21" t="s">
        <v>254</v>
      </c>
      <c r="F30811">
        <v>1420124</v>
      </c>
      <c r="G30811" t="s">
        <v>3195</v>
      </c>
      <c r="H30811" s="21">
        <v>537.16999999999996</v>
      </c>
    </row>
    <row r="30812" spans="1:8" customFormat="1" x14ac:dyDescent="0.25">
      <c r="A30812" t="str">
        <f>"7221265"</f>
        <v>7221265</v>
      </c>
      <c r="B30812" t="s">
        <v>17255</v>
      </c>
      <c r="C30812" t="s">
        <v>209</v>
      </c>
      <c r="D30812" s="21" t="s">
        <v>34</v>
      </c>
      <c r="E30812" s="21" t="s">
        <v>71</v>
      </c>
      <c r="F30812">
        <v>12720071</v>
      </c>
      <c r="G30812" t="s">
        <v>783</v>
      </c>
      <c r="H30812" s="21">
        <v>537.16999999999996</v>
      </c>
    </row>
    <row r="30813" spans="1:8" customFormat="1" x14ac:dyDescent="0.25">
      <c r="A30813" t="str">
        <f>"139780"</f>
        <v>139780</v>
      </c>
      <c r="B30813" t="s">
        <v>20540</v>
      </c>
      <c r="C30813" t="s">
        <v>1841</v>
      </c>
      <c r="D30813" s="21" t="s">
        <v>34</v>
      </c>
      <c r="E30813" s="21" t="s">
        <v>1089</v>
      </c>
      <c r="F30813">
        <v>13130022</v>
      </c>
      <c r="G30813" t="s">
        <v>2666</v>
      </c>
      <c r="H30813" s="21">
        <v>537.16999999999996</v>
      </c>
    </row>
    <row r="30814" spans="1:8" customFormat="1" x14ac:dyDescent="0.25">
      <c r="A30814" t="str">
        <f>"7515709"</f>
        <v>7515709</v>
      </c>
      <c r="B30814" t="s">
        <v>28281</v>
      </c>
      <c r="C30814" t="s">
        <v>1665</v>
      </c>
      <c r="D30814" s="21" t="s">
        <v>34</v>
      </c>
      <c r="E30814" s="21" t="s">
        <v>254</v>
      </c>
      <c r="F30814">
        <v>11660031</v>
      </c>
      <c r="G30814" t="s">
        <v>12617</v>
      </c>
      <c r="H30814" s="21">
        <v>537.16999999999996</v>
      </c>
    </row>
    <row r="30815" spans="1:8" customFormat="1" x14ac:dyDescent="0.25">
      <c r="A30815" t="str">
        <f>"5931518"</f>
        <v>5931518</v>
      </c>
      <c r="B30815" t="s">
        <v>1435</v>
      </c>
      <c r="C30815" t="s">
        <v>879</v>
      </c>
      <c r="D30815" s="21" t="s">
        <v>34</v>
      </c>
      <c r="E30815" s="21" t="s">
        <v>254</v>
      </c>
      <c r="F30815">
        <v>7590011</v>
      </c>
      <c r="G30815" t="s">
        <v>2147</v>
      </c>
      <c r="H30815" s="21">
        <v>537.16999999999996</v>
      </c>
    </row>
    <row r="30816" spans="1:8" customFormat="1" x14ac:dyDescent="0.25">
      <c r="A30816" t="str">
        <f>"1417789"</f>
        <v>1417789</v>
      </c>
      <c r="B30816" t="s">
        <v>21925</v>
      </c>
      <c r="C30816" t="s">
        <v>288</v>
      </c>
      <c r="D30816" s="21" t="s">
        <v>34</v>
      </c>
      <c r="E30816" s="21" t="s">
        <v>35</v>
      </c>
      <c r="F30816">
        <v>9140156</v>
      </c>
      <c r="G30816" t="s">
        <v>645</v>
      </c>
      <c r="H30816" s="21">
        <v>537.16999999999996</v>
      </c>
    </row>
    <row r="30817" spans="1:8" customFormat="1" x14ac:dyDescent="0.25">
      <c r="A30817" t="str">
        <f>"517903"</f>
        <v>517903</v>
      </c>
      <c r="B30817" t="s">
        <v>597</v>
      </c>
      <c r="C30817" t="s">
        <v>249</v>
      </c>
      <c r="D30817" s="21" t="s">
        <v>34</v>
      </c>
      <c r="E30817" s="21" t="s">
        <v>71</v>
      </c>
      <c r="F30817">
        <v>6510004</v>
      </c>
      <c r="G30817" t="s">
        <v>9465</v>
      </c>
      <c r="H30817" s="21">
        <v>537.16999999999996</v>
      </c>
    </row>
    <row r="30818" spans="1:8" customFormat="1" x14ac:dyDescent="0.25">
      <c r="A30818" t="str">
        <f>"667891"</f>
        <v>667891</v>
      </c>
      <c r="B30818" t="s">
        <v>28282</v>
      </c>
      <c r="C30818" t="s">
        <v>37</v>
      </c>
      <c r="D30818" s="21" t="s">
        <v>34</v>
      </c>
      <c r="E30818" s="21" t="s">
        <v>35</v>
      </c>
      <c r="F30818">
        <v>11660009</v>
      </c>
      <c r="G30818" t="s">
        <v>26624</v>
      </c>
      <c r="H30818" s="21">
        <v>537.16999999999996</v>
      </c>
    </row>
    <row r="30819" spans="1:8" customFormat="1" x14ac:dyDescent="0.25">
      <c r="A30819" t="str">
        <f>"46628"</f>
        <v>46628</v>
      </c>
      <c r="B30819" t="s">
        <v>890</v>
      </c>
      <c r="C30819" t="s">
        <v>209</v>
      </c>
      <c r="D30819" s="21" t="s">
        <v>34</v>
      </c>
      <c r="E30819" s="21" t="s">
        <v>254</v>
      </c>
      <c r="F30819">
        <v>12720062</v>
      </c>
      <c r="G30819" t="s">
        <v>4026</v>
      </c>
      <c r="H30819" s="21">
        <v>537.16999999999996</v>
      </c>
    </row>
    <row r="30820" spans="1:8" customFormat="1" x14ac:dyDescent="0.25">
      <c r="A30820" t="str">
        <f>"051300"</f>
        <v>051300</v>
      </c>
      <c r="B30820" t="s">
        <v>21472</v>
      </c>
      <c r="C30820" t="s">
        <v>211</v>
      </c>
      <c r="D30820" s="21" t="s">
        <v>34</v>
      </c>
      <c r="E30820" s="21" t="s">
        <v>35</v>
      </c>
      <c r="F30820">
        <v>13050008</v>
      </c>
      <c r="G30820" t="s">
        <v>12322</v>
      </c>
      <c r="H30820" s="21">
        <v>537.12</v>
      </c>
    </row>
    <row r="30821" spans="1:8" customFormat="1" x14ac:dyDescent="0.25">
      <c r="A30821" t="str">
        <f>"814788"</f>
        <v>814788</v>
      </c>
      <c r="B30821" t="s">
        <v>21980</v>
      </c>
      <c r="C30821" t="s">
        <v>712</v>
      </c>
      <c r="D30821" s="21" t="s">
        <v>34</v>
      </c>
      <c r="E30821" s="21" t="s">
        <v>71</v>
      </c>
      <c r="F30821">
        <v>11810003</v>
      </c>
      <c r="G30821" t="s">
        <v>1934</v>
      </c>
      <c r="H30821" s="21">
        <v>537.04</v>
      </c>
    </row>
    <row r="30822" spans="1:8" customFormat="1" x14ac:dyDescent="0.25">
      <c r="A30822" t="str">
        <f>"747131"</f>
        <v>747131</v>
      </c>
      <c r="B30822" t="s">
        <v>28283</v>
      </c>
      <c r="C30822" t="s">
        <v>462</v>
      </c>
      <c r="D30822" s="21" t="s">
        <v>34</v>
      </c>
      <c r="E30822" s="21" t="s">
        <v>71</v>
      </c>
      <c r="F30822">
        <v>1740011</v>
      </c>
      <c r="G30822" t="s">
        <v>2638</v>
      </c>
      <c r="H30822" s="21">
        <v>537</v>
      </c>
    </row>
    <row r="30823" spans="1:8" customFormat="1" x14ac:dyDescent="0.25">
      <c r="A30823" t="str">
        <f>"394082"</f>
        <v>394082</v>
      </c>
      <c r="B30823" t="s">
        <v>3427</v>
      </c>
      <c r="C30823" t="s">
        <v>156</v>
      </c>
      <c r="D30823" s="21" t="s">
        <v>34</v>
      </c>
      <c r="E30823" s="21" t="s">
        <v>35</v>
      </c>
      <c r="F30823">
        <v>2390098</v>
      </c>
      <c r="G30823" t="s">
        <v>22589</v>
      </c>
      <c r="H30823" s="21">
        <v>537</v>
      </c>
    </row>
    <row r="30824" spans="1:8" customFormat="1" x14ac:dyDescent="0.25">
      <c r="A30824" t="str">
        <f>"7642730"</f>
        <v>7642730</v>
      </c>
      <c r="B30824" t="s">
        <v>2434</v>
      </c>
      <c r="C30824" t="s">
        <v>119</v>
      </c>
      <c r="D30824" s="21" t="s">
        <v>34</v>
      </c>
      <c r="E30824" s="21" t="s">
        <v>35</v>
      </c>
      <c r="F30824">
        <v>9760306</v>
      </c>
      <c r="G30824" t="s">
        <v>7890</v>
      </c>
      <c r="H30824" s="21">
        <v>537</v>
      </c>
    </row>
    <row r="30825" spans="1:8" customFormat="1" x14ac:dyDescent="0.25">
      <c r="A30825" t="str">
        <f>"5327279"</f>
        <v>5327279</v>
      </c>
      <c r="B30825" t="s">
        <v>2711</v>
      </c>
      <c r="C30825" t="s">
        <v>139</v>
      </c>
      <c r="D30825" s="21" t="s">
        <v>34</v>
      </c>
      <c r="E30825" s="21" t="s">
        <v>71</v>
      </c>
      <c r="F30825">
        <v>12530016</v>
      </c>
      <c r="G30825" t="s">
        <v>2069</v>
      </c>
      <c r="H30825" s="21">
        <v>536.75</v>
      </c>
    </row>
    <row r="30826" spans="1:8" customFormat="1" x14ac:dyDescent="0.25">
      <c r="A30826" t="str">
        <f>"4217366"</f>
        <v>4217366</v>
      </c>
      <c r="B30826" t="s">
        <v>24052</v>
      </c>
      <c r="C30826" t="s">
        <v>119</v>
      </c>
      <c r="D30826" s="21" t="s">
        <v>34</v>
      </c>
      <c r="E30826" s="21" t="s">
        <v>35</v>
      </c>
      <c r="F30826">
        <v>1420148</v>
      </c>
      <c r="G30826" t="s">
        <v>10763</v>
      </c>
      <c r="H30826" s="21">
        <v>536.66999999999996</v>
      </c>
    </row>
    <row r="30827" spans="1:8" customFormat="1" x14ac:dyDescent="0.25">
      <c r="A30827" t="str">
        <f>"5980983"</f>
        <v>5980983</v>
      </c>
      <c r="B30827" t="s">
        <v>17229</v>
      </c>
      <c r="C30827" t="s">
        <v>209</v>
      </c>
      <c r="D30827" s="21" t="s">
        <v>34</v>
      </c>
      <c r="E30827" s="21" t="s">
        <v>254</v>
      </c>
      <c r="F30827">
        <v>7590020</v>
      </c>
      <c r="G30827" t="s">
        <v>5181</v>
      </c>
      <c r="H30827" s="21">
        <v>536.66999999999996</v>
      </c>
    </row>
    <row r="30828" spans="1:8" customFormat="1" x14ac:dyDescent="0.25">
      <c r="A30828" t="str">
        <f>"6717542"</f>
        <v>6717542</v>
      </c>
      <c r="B30828" t="s">
        <v>2886</v>
      </c>
      <c r="C30828" t="s">
        <v>20305</v>
      </c>
      <c r="D30828" s="21" t="s">
        <v>34</v>
      </c>
      <c r="E30828" s="21" t="s">
        <v>254</v>
      </c>
      <c r="F30828">
        <v>6670129</v>
      </c>
      <c r="G30828" t="s">
        <v>12249</v>
      </c>
      <c r="H30828" s="21">
        <v>536.66999999999996</v>
      </c>
    </row>
    <row r="30829" spans="1:8" customFormat="1" x14ac:dyDescent="0.25">
      <c r="A30829" t="str">
        <f>"8526524"</f>
        <v>8526524</v>
      </c>
      <c r="B30829" t="s">
        <v>7228</v>
      </c>
      <c r="C30829" t="s">
        <v>40</v>
      </c>
      <c r="D30829" s="21" t="s">
        <v>34</v>
      </c>
      <c r="E30829" s="21" t="s">
        <v>71</v>
      </c>
      <c r="F30829">
        <v>12850097</v>
      </c>
      <c r="G30829" t="s">
        <v>4111</v>
      </c>
      <c r="H30829" s="21">
        <v>536.66999999999996</v>
      </c>
    </row>
    <row r="30830" spans="1:8" customFormat="1" x14ac:dyDescent="0.25">
      <c r="A30830" t="str">
        <f>"5939564"</f>
        <v>5939564</v>
      </c>
      <c r="B30830" t="s">
        <v>9791</v>
      </c>
      <c r="C30830" t="s">
        <v>269</v>
      </c>
      <c r="D30830" s="21" t="s">
        <v>34</v>
      </c>
      <c r="E30830" s="21" t="s">
        <v>71</v>
      </c>
      <c r="F30830">
        <v>7590411</v>
      </c>
      <c r="G30830" t="s">
        <v>4036</v>
      </c>
      <c r="H30830" s="21">
        <v>536.66999999999996</v>
      </c>
    </row>
    <row r="30831" spans="1:8" customFormat="1" x14ac:dyDescent="0.25">
      <c r="A30831" t="str">
        <f>"806325"</f>
        <v>806325</v>
      </c>
      <c r="B30831" t="s">
        <v>8212</v>
      </c>
      <c r="C30831" t="s">
        <v>3522</v>
      </c>
      <c r="D30831" s="21" t="s">
        <v>34</v>
      </c>
      <c r="E30831" s="21" t="s">
        <v>35</v>
      </c>
      <c r="F30831">
        <v>7800005</v>
      </c>
      <c r="G30831" t="s">
        <v>6547</v>
      </c>
      <c r="H30831" s="21">
        <v>536.66999999999996</v>
      </c>
    </row>
    <row r="30832" spans="1:8" customFormat="1" x14ac:dyDescent="0.25">
      <c r="A30832" t="str">
        <f>"4525156"</f>
        <v>4525156</v>
      </c>
      <c r="B30832" t="s">
        <v>21617</v>
      </c>
      <c r="C30832" t="s">
        <v>328</v>
      </c>
      <c r="D30832" s="21" t="s">
        <v>34</v>
      </c>
      <c r="E30832" s="21" t="s">
        <v>35</v>
      </c>
      <c r="F30832">
        <v>4450118</v>
      </c>
      <c r="G30832" t="s">
        <v>20341</v>
      </c>
      <c r="H30832" s="21">
        <v>536.66999999999996</v>
      </c>
    </row>
    <row r="30833" spans="1:8" customFormat="1" x14ac:dyDescent="0.25">
      <c r="A30833" t="str">
        <f>"718405"</f>
        <v>718405</v>
      </c>
      <c r="B30833" t="s">
        <v>970</v>
      </c>
      <c r="C30833" t="s">
        <v>236</v>
      </c>
      <c r="D30833" s="21" t="s">
        <v>34</v>
      </c>
      <c r="E30833" s="21" t="s">
        <v>71</v>
      </c>
      <c r="F30833">
        <v>2710005</v>
      </c>
      <c r="G30833" t="s">
        <v>642</v>
      </c>
      <c r="H30833" s="21">
        <v>536.66999999999996</v>
      </c>
    </row>
    <row r="30834" spans="1:8" customFormat="1" x14ac:dyDescent="0.25">
      <c r="A30834" t="str">
        <f>"3833183"</f>
        <v>3833183</v>
      </c>
      <c r="B30834" t="s">
        <v>23277</v>
      </c>
      <c r="C30834" t="s">
        <v>119</v>
      </c>
      <c r="D30834" s="21" t="s">
        <v>34</v>
      </c>
      <c r="E30834" s="21" t="s">
        <v>35</v>
      </c>
      <c r="F30834">
        <v>1380296</v>
      </c>
      <c r="G30834" t="s">
        <v>2810</v>
      </c>
      <c r="H30834" s="21">
        <v>536.66999999999996</v>
      </c>
    </row>
    <row r="30835" spans="1:8" customFormat="1" x14ac:dyDescent="0.25">
      <c r="A30835" t="str">
        <f>"592864"</f>
        <v>592864</v>
      </c>
      <c r="B30835" t="s">
        <v>20521</v>
      </c>
      <c r="C30835" t="s">
        <v>20522</v>
      </c>
      <c r="D30835" s="21" t="s">
        <v>34</v>
      </c>
      <c r="E30835" s="21" t="s">
        <v>1089</v>
      </c>
      <c r="F30835">
        <v>7590170</v>
      </c>
      <c r="G30835" t="s">
        <v>868</v>
      </c>
      <c r="H30835" s="21">
        <v>536.66999999999996</v>
      </c>
    </row>
    <row r="30836" spans="1:8" customFormat="1" x14ac:dyDescent="0.25">
      <c r="A30836" t="str">
        <f>"4936654"</f>
        <v>4936654</v>
      </c>
      <c r="B30836" t="s">
        <v>3835</v>
      </c>
      <c r="C30836" t="s">
        <v>40</v>
      </c>
      <c r="D30836" s="21" t="s">
        <v>34</v>
      </c>
      <c r="E30836" s="21" t="s">
        <v>254</v>
      </c>
      <c r="F30836">
        <v>12490017</v>
      </c>
      <c r="G30836" t="s">
        <v>9393</v>
      </c>
      <c r="H30836" s="21">
        <v>536.66999999999996</v>
      </c>
    </row>
    <row r="30837" spans="1:8" customFormat="1" x14ac:dyDescent="0.25">
      <c r="A30837" t="str">
        <f>"9143139"</f>
        <v>9143139</v>
      </c>
      <c r="B30837" t="s">
        <v>13271</v>
      </c>
      <c r="C30837" t="s">
        <v>139</v>
      </c>
      <c r="D30837" s="21" t="s">
        <v>34</v>
      </c>
      <c r="E30837" s="21" t="s">
        <v>71</v>
      </c>
      <c r="F30837">
        <v>8911050</v>
      </c>
      <c r="G30837" t="s">
        <v>1606</v>
      </c>
      <c r="H30837" s="21">
        <v>536.66999999999996</v>
      </c>
    </row>
    <row r="30838" spans="1:8" customFormat="1" x14ac:dyDescent="0.25">
      <c r="A30838" t="str">
        <f>"8525830"</f>
        <v>8525830</v>
      </c>
      <c r="B30838" t="s">
        <v>20635</v>
      </c>
      <c r="C30838" t="s">
        <v>87</v>
      </c>
      <c r="D30838" s="21" t="s">
        <v>34</v>
      </c>
      <c r="E30838" s="21" t="s">
        <v>71</v>
      </c>
      <c r="F30838">
        <v>12850118</v>
      </c>
      <c r="G30838" t="s">
        <v>6811</v>
      </c>
      <c r="H30838" s="21">
        <v>536.66999999999996</v>
      </c>
    </row>
    <row r="30839" spans="1:8" customFormat="1" x14ac:dyDescent="0.25">
      <c r="A30839" t="str">
        <f>"3832787"</f>
        <v>3832787</v>
      </c>
      <c r="B30839" t="s">
        <v>24320</v>
      </c>
      <c r="C30839" t="s">
        <v>2365</v>
      </c>
      <c r="D30839" s="21" t="s">
        <v>34</v>
      </c>
      <c r="E30839" s="21" t="s">
        <v>254</v>
      </c>
      <c r="F30839">
        <v>1380256</v>
      </c>
      <c r="G30839" t="s">
        <v>6946</v>
      </c>
      <c r="H30839" s="21">
        <v>536.66999999999996</v>
      </c>
    </row>
    <row r="30840" spans="1:8" customFormat="1" x14ac:dyDescent="0.25">
      <c r="A30840" t="str">
        <f>"1425406"</f>
        <v>1425406</v>
      </c>
      <c r="B30840" t="s">
        <v>16370</v>
      </c>
      <c r="C30840" t="s">
        <v>198</v>
      </c>
      <c r="D30840" s="21" t="s">
        <v>34</v>
      </c>
      <c r="E30840" s="21" t="s">
        <v>35</v>
      </c>
      <c r="F30840">
        <v>9140071</v>
      </c>
      <c r="G30840" t="s">
        <v>1775</v>
      </c>
      <c r="H30840" s="21">
        <v>536.66999999999996</v>
      </c>
    </row>
    <row r="30841" spans="1:8" customFormat="1" x14ac:dyDescent="0.25">
      <c r="A30841" t="str">
        <f>"2618223"</f>
        <v>2618223</v>
      </c>
      <c r="B30841" t="s">
        <v>146</v>
      </c>
      <c r="C30841" t="s">
        <v>1665</v>
      </c>
      <c r="D30841" s="21" t="s">
        <v>34</v>
      </c>
      <c r="E30841" s="21" t="s">
        <v>254</v>
      </c>
      <c r="F30841">
        <v>1260026</v>
      </c>
      <c r="G30841" t="s">
        <v>516</v>
      </c>
      <c r="H30841" s="21">
        <v>536.66999999999996</v>
      </c>
    </row>
    <row r="30842" spans="1:8" customFormat="1" x14ac:dyDescent="0.25">
      <c r="A30842" t="str">
        <f>"6226483"</f>
        <v>6226483</v>
      </c>
      <c r="B30842" t="s">
        <v>108</v>
      </c>
      <c r="C30842" t="s">
        <v>114</v>
      </c>
      <c r="D30842" s="21" t="s">
        <v>34</v>
      </c>
      <c r="E30842" s="21" t="s">
        <v>71</v>
      </c>
      <c r="F30842">
        <v>7620121</v>
      </c>
      <c r="G30842" t="s">
        <v>7146</v>
      </c>
      <c r="H30842" s="21">
        <v>536.66999999999996</v>
      </c>
    </row>
    <row r="30843" spans="1:8" customFormat="1" x14ac:dyDescent="0.25">
      <c r="A30843" t="str">
        <f>"9B635"</f>
        <v>9B635</v>
      </c>
      <c r="B30843" t="s">
        <v>21130</v>
      </c>
      <c r="C30843" t="s">
        <v>21131</v>
      </c>
      <c r="D30843" s="21" t="s">
        <v>34</v>
      </c>
      <c r="E30843" s="21" t="s">
        <v>71</v>
      </c>
      <c r="F30843" t="s">
        <v>590</v>
      </c>
      <c r="G30843" t="s">
        <v>591</v>
      </c>
      <c r="H30843" s="21">
        <v>536.66999999999996</v>
      </c>
    </row>
    <row r="30844" spans="1:8" customFormat="1" x14ac:dyDescent="0.25">
      <c r="A30844" t="str">
        <f>"6022212"</f>
        <v>6022212</v>
      </c>
      <c r="B30844" t="s">
        <v>21929</v>
      </c>
      <c r="C30844" t="s">
        <v>462</v>
      </c>
      <c r="D30844" s="21" t="s">
        <v>34</v>
      </c>
      <c r="E30844" s="21" t="s">
        <v>71</v>
      </c>
      <c r="F30844">
        <v>7600168</v>
      </c>
      <c r="G30844" t="s">
        <v>27372</v>
      </c>
      <c r="H30844" s="21">
        <v>536.66999999999996</v>
      </c>
    </row>
    <row r="30845" spans="1:8" customFormat="1" x14ac:dyDescent="0.25">
      <c r="A30845" t="str">
        <f>"461643"</f>
        <v>461643</v>
      </c>
      <c r="B30845" t="s">
        <v>22939</v>
      </c>
      <c r="C30845" t="s">
        <v>2365</v>
      </c>
      <c r="D30845" s="21" t="s">
        <v>34</v>
      </c>
      <c r="E30845" s="21" t="s">
        <v>71</v>
      </c>
      <c r="F30845">
        <v>11460029</v>
      </c>
      <c r="G30845" t="s">
        <v>10606</v>
      </c>
      <c r="H30845" s="21">
        <v>536.66999999999996</v>
      </c>
    </row>
    <row r="30846" spans="1:8" customFormat="1" x14ac:dyDescent="0.25">
      <c r="A30846" t="str">
        <f>"9459632"</f>
        <v>9459632</v>
      </c>
      <c r="B30846" t="s">
        <v>28284</v>
      </c>
      <c r="C30846" t="s">
        <v>139</v>
      </c>
      <c r="D30846" s="21" t="s">
        <v>34</v>
      </c>
      <c r="E30846" s="21" t="s">
        <v>35</v>
      </c>
      <c r="F30846">
        <v>8941352</v>
      </c>
      <c r="G30846" t="s">
        <v>3778</v>
      </c>
      <c r="H30846" s="21">
        <v>536.66999999999996</v>
      </c>
    </row>
    <row r="30847" spans="1:8" customFormat="1" x14ac:dyDescent="0.25">
      <c r="A30847" t="str">
        <f>"0619634"</f>
        <v>0619634</v>
      </c>
      <c r="B30847" t="s">
        <v>28285</v>
      </c>
      <c r="C30847" t="s">
        <v>320</v>
      </c>
      <c r="D30847" s="21" t="s">
        <v>34</v>
      </c>
      <c r="E30847" s="21" t="s">
        <v>35</v>
      </c>
      <c r="F30847">
        <v>13060043</v>
      </c>
      <c r="G30847" t="s">
        <v>4761</v>
      </c>
      <c r="H30847" s="21">
        <v>536.66999999999996</v>
      </c>
    </row>
    <row r="30848" spans="1:8" customFormat="1" x14ac:dyDescent="0.25">
      <c r="A30848" t="str">
        <f>"7728753"</f>
        <v>7728753</v>
      </c>
      <c r="B30848" t="s">
        <v>23869</v>
      </c>
      <c r="C30848" t="s">
        <v>147</v>
      </c>
      <c r="D30848" s="21" t="s">
        <v>34</v>
      </c>
      <c r="E30848" s="21" t="s">
        <v>35</v>
      </c>
      <c r="F30848">
        <v>8771200</v>
      </c>
      <c r="G30848" t="s">
        <v>5455</v>
      </c>
      <c r="H30848" s="21">
        <v>536.66999999999996</v>
      </c>
    </row>
    <row r="30849" spans="1:8" customFormat="1" x14ac:dyDescent="0.25">
      <c r="A30849" t="str">
        <f>"7912892"</f>
        <v>7912892</v>
      </c>
      <c r="B30849" t="s">
        <v>7992</v>
      </c>
      <c r="C30849" t="s">
        <v>1675</v>
      </c>
      <c r="D30849" s="21" t="s">
        <v>34</v>
      </c>
      <c r="E30849" s="21" t="s">
        <v>71</v>
      </c>
      <c r="F30849">
        <v>10790005</v>
      </c>
      <c r="G30849" t="s">
        <v>1948</v>
      </c>
      <c r="H30849" s="21">
        <v>536.66999999999996</v>
      </c>
    </row>
    <row r="30850" spans="1:8" customFormat="1" x14ac:dyDescent="0.25">
      <c r="A30850" t="str">
        <f>"872024"</f>
        <v>872024</v>
      </c>
      <c r="B30850" t="s">
        <v>22391</v>
      </c>
      <c r="C30850" t="s">
        <v>22392</v>
      </c>
      <c r="D30850" s="21" t="s">
        <v>34</v>
      </c>
      <c r="E30850" s="21" t="s">
        <v>254</v>
      </c>
      <c r="F30850">
        <v>10870101</v>
      </c>
      <c r="G30850" t="s">
        <v>6607</v>
      </c>
      <c r="H30850" s="21">
        <v>536.66999999999996</v>
      </c>
    </row>
    <row r="30851" spans="1:8" customFormat="1" x14ac:dyDescent="0.25">
      <c r="A30851" t="str">
        <f>"276915"</f>
        <v>276915</v>
      </c>
      <c r="B30851" t="s">
        <v>6089</v>
      </c>
      <c r="C30851" t="s">
        <v>263</v>
      </c>
      <c r="D30851" s="21" t="s">
        <v>34</v>
      </c>
      <c r="E30851" s="21" t="s">
        <v>254</v>
      </c>
      <c r="F30851">
        <v>9270137</v>
      </c>
      <c r="G30851" t="s">
        <v>3714</v>
      </c>
      <c r="H30851" s="21">
        <v>536.66999999999996</v>
      </c>
    </row>
    <row r="30852" spans="1:8" customFormat="1" x14ac:dyDescent="0.25">
      <c r="A30852" t="str">
        <f>"4931196"</f>
        <v>4931196</v>
      </c>
      <c r="B30852" t="s">
        <v>2489</v>
      </c>
      <c r="C30852" t="s">
        <v>1119</v>
      </c>
      <c r="D30852" s="21" t="s">
        <v>34</v>
      </c>
      <c r="E30852" s="21" t="s">
        <v>1089</v>
      </c>
      <c r="F30852">
        <v>12490068</v>
      </c>
      <c r="G30852" t="s">
        <v>2070</v>
      </c>
      <c r="H30852" s="21">
        <v>536.66999999999996</v>
      </c>
    </row>
    <row r="30853" spans="1:8" customFormat="1" x14ac:dyDescent="0.25">
      <c r="A30853" t="str">
        <f>"7641538"</f>
        <v>7641538</v>
      </c>
      <c r="B30853" t="s">
        <v>28286</v>
      </c>
      <c r="C30853" t="s">
        <v>576</v>
      </c>
      <c r="D30853" s="21" t="s">
        <v>34</v>
      </c>
      <c r="E30853" s="21" t="s">
        <v>35</v>
      </c>
      <c r="F30853">
        <v>9760425</v>
      </c>
      <c r="G30853" t="s">
        <v>5012</v>
      </c>
      <c r="H30853" s="21">
        <v>536.5</v>
      </c>
    </row>
    <row r="30854" spans="1:8" customFormat="1" x14ac:dyDescent="0.25">
      <c r="A30854" t="str">
        <f>"7721443"</f>
        <v>7721443</v>
      </c>
      <c r="B30854" t="s">
        <v>22187</v>
      </c>
      <c r="C30854" t="s">
        <v>547</v>
      </c>
      <c r="D30854" s="21" t="s">
        <v>34</v>
      </c>
      <c r="E30854" s="21" t="s">
        <v>71</v>
      </c>
      <c r="F30854">
        <v>8771202</v>
      </c>
      <c r="G30854" t="s">
        <v>10223</v>
      </c>
      <c r="H30854" s="21">
        <v>536.5</v>
      </c>
    </row>
    <row r="30855" spans="1:8" customFormat="1" x14ac:dyDescent="0.25">
      <c r="A30855" t="str">
        <f>"3014252"</f>
        <v>3014252</v>
      </c>
      <c r="B30855" t="s">
        <v>28287</v>
      </c>
      <c r="C30855" t="s">
        <v>2904</v>
      </c>
      <c r="D30855" s="21" t="s">
        <v>34</v>
      </c>
      <c r="E30855" s="21" t="s">
        <v>254</v>
      </c>
      <c r="F30855">
        <v>11300016</v>
      </c>
      <c r="G30855" t="s">
        <v>157</v>
      </c>
      <c r="H30855" s="21">
        <v>536.5</v>
      </c>
    </row>
    <row r="30856" spans="1:8" customFormat="1" x14ac:dyDescent="0.25">
      <c r="A30856" t="str">
        <f>"187595"</f>
        <v>187595</v>
      </c>
      <c r="B30856" t="s">
        <v>10214</v>
      </c>
      <c r="C30856" t="s">
        <v>121</v>
      </c>
      <c r="D30856" s="21" t="s">
        <v>34</v>
      </c>
      <c r="E30856" s="21" t="s">
        <v>254</v>
      </c>
      <c r="F30856">
        <v>4180057</v>
      </c>
      <c r="G30856" t="s">
        <v>9021</v>
      </c>
      <c r="H30856" s="21">
        <v>536.5</v>
      </c>
    </row>
    <row r="30857" spans="1:8" customFormat="1" x14ac:dyDescent="0.25">
      <c r="A30857" t="str">
        <f>"319724"</f>
        <v>319724</v>
      </c>
      <c r="B30857" t="s">
        <v>8591</v>
      </c>
      <c r="C30857" t="s">
        <v>720</v>
      </c>
      <c r="D30857" s="21" t="s">
        <v>34</v>
      </c>
      <c r="E30857" s="21" t="s">
        <v>71</v>
      </c>
      <c r="F30857">
        <v>11310123</v>
      </c>
      <c r="G30857" t="s">
        <v>3915</v>
      </c>
      <c r="H30857" s="21">
        <v>536.5</v>
      </c>
    </row>
    <row r="30858" spans="1:8" customFormat="1" x14ac:dyDescent="0.25">
      <c r="A30858" t="str">
        <f>"5948814"</f>
        <v>5948814</v>
      </c>
      <c r="B30858" t="s">
        <v>22441</v>
      </c>
      <c r="C30858" t="s">
        <v>169</v>
      </c>
      <c r="D30858" s="21" t="s">
        <v>34</v>
      </c>
      <c r="E30858" s="21" t="s">
        <v>35</v>
      </c>
      <c r="F30858">
        <v>7590113</v>
      </c>
      <c r="G30858" t="s">
        <v>7808</v>
      </c>
      <c r="H30858" s="21">
        <v>536.5</v>
      </c>
    </row>
    <row r="30859" spans="1:8" customFormat="1" x14ac:dyDescent="0.25">
      <c r="A30859" t="str">
        <f>"5013516"</f>
        <v>5013516</v>
      </c>
      <c r="B30859" t="s">
        <v>2042</v>
      </c>
      <c r="C30859" t="s">
        <v>1812</v>
      </c>
      <c r="D30859" s="21" t="s">
        <v>34</v>
      </c>
      <c r="E30859" s="21" t="s">
        <v>71</v>
      </c>
      <c r="F30859">
        <v>13830059</v>
      </c>
      <c r="G30859" t="s">
        <v>5440</v>
      </c>
      <c r="H30859" s="21">
        <v>536.5</v>
      </c>
    </row>
    <row r="30860" spans="1:8" customFormat="1" x14ac:dyDescent="0.25">
      <c r="A30860" t="str">
        <f>"1321033"</f>
        <v>1321033</v>
      </c>
      <c r="B30860" t="s">
        <v>28288</v>
      </c>
      <c r="C30860" t="s">
        <v>60</v>
      </c>
      <c r="D30860" s="21" t="s">
        <v>34</v>
      </c>
      <c r="E30860" s="21" t="s">
        <v>35</v>
      </c>
      <c r="F30860">
        <v>13130156</v>
      </c>
      <c r="G30860" t="s">
        <v>16738</v>
      </c>
      <c r="H30860" s="21">
        <v>536.16999999999996</v>
      </c>
    </row>
    <row r="30861" spans="1:8" customFormat="1" x14ac:dyDescent="0.25">
      <c r="A30861" t="str">
        <f>"4214361"</f>
        <v>4214361</v>
      </c>
      <c r="B30861" t="s">
        <v>21295</v>
      </c>
      <c r="C30861" t="s">
        <v>415</v>
      </c>
      <c r="D30861" s="21" t="s">
        <v>34</v>
      </c>
      <c r="E30861" s="21" t="s">
        <v>71</v>
      </c>
      <c r="F30861">
        <v>1420088</v>
      </c>
      <c r="G30861" t="s">
        <v>7613</v>
      </c>
      <c r="H30861" s="21">
        <v>536.16999999999996</v>
      </c>
    </row>
    <row r="30862" spans="1:8" customFormat="1" x14ac:dyDescent="0.25">
      <c r="A30862" t="str">
        <f>"282974"</f>
        <v>282974</v>
      </c>
      <c r="B30862" t="s">
        <v>2010</v>
      </c>
      <c r="C30862" t="s">
        <v>1597</v>
      </c>
      <c r="D30862" s="21" t="s">
        <v>34</v>
      </c>
      <c r="E30862" s="21" t="s">
        <v>6185</v>
      </c>
      <c r="F30862">
        <v>4280612</v>
      </c>
      <c r="G30862" t="s">
        <v>6809</v>
      </c>
      <c r="H30862" s="21">
        <v>536.16999999999996</v>
      </c>
    </row>
    <row r="30863" spans="1:8" customFormat="1" x14ac:dyDescent="0.25">
      <c r="A30863" t="str">
        <f>"4430162"</f>
        <v>4430162</v>
      </c>
      <c r="B30863" t="s">
        <v>2388</v>
      </c>
      <c r="C30863" t="s">
        <v>3355</v>
      </c>
      <c r="D30863" s="21" t="s">
        <v>34</v>
      </c>
      <c r="E30863" s="21" t="s">
        <v>35</v>
      </c>
      <c r="F30863">
        <v>3560086</v>
      </c>
      <c r="G30863" t="s">
        <v>15139</v>
      </c>
      <c r="H30863" s="21">
        <v>536.16999999999996</v>
      </c>
    </row>
    <row r="30864" spans="1:8" customFormat="1" x14ac:dyDescent="0.25">
      <c r="A30864" t="str">
        <f>"461227"</f>
        <v>461227</v>
      </c>
      <c r="B30864" t="s">
        <v>8954</v>
      </c>
      <c r="C30864" t="s">
        <v>3784</v>
      </c>
      <c r="D30864" s="21" t="s">
        <v>34</v>
      </c>
      <c r="E30864" s="21" t="s">
        <v>1089</v>
      </c>
      <c r="F30864">
        <v>11460027</v>
      </c>
      <c r="G30864" t="s">
        <v>26580</v>
      </c>
      <c r="H30864" s="21">
        <v>536.16999999999996</v>
      </c>
    </row>
    <row r="30865" spans="1:8" customFormat="1" x14ac:dyDescent="0.25">
      <c r="A30865" t="str">
        <f>"7638617"</f>
        <v>7638617</v>
      </c>
      <c r="B30865" t="s">
        <v>21808</v>
      </c>
      <c r="C30865" t="s">
        <v>1271</v>
      </c>
      <c r="D30865" s="21" t="s">
        <v>34</v>
      </c>
      <c r="E30865" s="21" t="s">
        <v>35</v>
      </c>
      <c r="F30865">
        <v>9760270</v>
      </c>
      <c r="G30865" t="s">
        <v>4167</v>
      </c>
      <c r="H30865" s="21">
        <v>536.16999999999996</v>
      </c>
    </row>
    <row r="30866" spans="1:8" customFormat="1" x14ac:dyDescent="0.25">
      <c r="A30866" t="str">
        <f>"3826027"</f>
        <v>3826027</v>
      </c>
      <c r="B30866" t="s">
        <v>1422</v>
      </c>
      <c r="C30866" t="s">
        <v>428</v>
      </c>
      <c r="D30866" s="21" t="s">
        <v>34</v>
      </c>
      <c r="E30866" s="21" t="s">
        <v>35</v>
      </c>
      <c r="F30866">
        <v>1380293</v>
      </c>
      <c r="G30866" t="s">
        <v>2103</v>
      </c>
      <c r="H30866" s="21">
        <v>536.16999999999996</v>
      </c>
    </row>
    <row r="30867" spans="1:8" customFormat="1" x14ac:dyDescent="0.25">
      <c r="A30867" t="str">
        <f>"8013992"</f>
        <v>8013992</v>
      </c>
      <c r="B30867" t="s">
        <v>8000</v>
      </c>
      <c r="C30867" t="s">
        <v>127</v>
      </c>
      <c r="D30867" s="21" t="s">
        <v>34</v>
      </c>
      <c r="E30867" s="21" t="s">
        <v>35</v>
      </c>
      <c r="F30867">
        <v>7800032</v>
      </c>
      <c r="G30867" t="s">
        <v>8629</v>
      </c>
      <c r="H30867" s="21">
        <v>536.16999999999996</v>
      </c>
    </row>
    <row r="30868" spans="1:8" customFormat="1" x14ac:dyDescent="0.25">
      <c r="A30868" t="str">
        <f>"3726007"</f>
        <v>3726007</v>
      </c>
      <c r="B30868" t="s">
        <v>14422</v>
      </c>
      <c r="C30868" t="s">
        <v>209</v>
      </c>
      <c r="D30868" s="21" t="s">
        <v>34</v>
      </c>
      <c r="E30868" s="21" t="s">
        <v>71</v>
      </c>
      <c r="F30868">
        <v>4370015</v>
      </c>
      <c r="G30868" t="s">
        <v>17941</v>
      </c>
      <c r="H30868" s="21">
        <v>536.16999999999996</v>
      </c>
    </row>
    <row r="30869" spans="1:8" customFormat="1" x14ac:dyDescent="0.25">
      <c r="A30869" t="str">
        <f>"4511836"</f>
        <v>4511836</v>
      </c>
      <c r="B30869" t="s">
        <v>17472</v>
      </c>
      <c r="C30869" t="s">
        <v>631</v>
      </c>
      <c r="D30869" s="21" t="s">
        <v>34</v>
      </c>
      <c r="E30869" s="21" t="s">
        <v>35</v>
      </c>
      <c r="F30869">
        <v>4450760</v>
      </c>
      <c r="G30869" t="s">
        <v>5775</v>
      </c>
      <c r="H30869" s="21">
        <v>536.16999999999996</v>
      </c>
    </row>
    <row r="30870" spans="1:8" customFormat="1" x14ac:dyDescent="0.25">
      <c r="A30870" t="str">
        <f>"2510327"</f>
        <v>2510327</v>
      </c>
      <c r="B30870" t="s">
        <v>20706</v>
      </c>
      <c r="C30870" t="s">
        <v>144</v>
      </c>
      <c r="D30870" s="21" t="s">
        <v>34</v>
      </c>
      <c r="E30870" s="21" t="s">
        <v>71</v>
      </c>
      <c r="F30870">
        <v>2250002</v>
      </c>
      <c r="G30870" t="s">
        <v>2745</v>
      </c>
      <c r="H30870" s="21">
        <v>536.16999999999996</v>
      </c>
    </row>
    <row r="30871" spans="1:8" customFormat="1" x14ac:dyDescent="0.25">
      <c r="A30871" t="str">
        <f>"36209"</f>
        <v>36209</v>
      </c>
      <c r="B30871" t="s">
        <v>10812</v>
      </c>
      <c r="C30871" t="s">
        <v>198</v>
      </c>
      <c r="D30871" s="21" t="s">
        <v>34</v>
      </c>
      <c r="E30871" s="21" t="s">
        <v>1089</v>
      </c>
      <c r="F30871">
        <v>4360454</v>
      </c>
      <c r="G30871" t="s">
        <v>637</v>
      </c>
      <c r="H30871" s="21">
        <v>536.16999999999996</v>
      </c>
    </row>
    <row r="30872" spans="1:8" customFormat="1" x14ac:dyDescent="0.25">
      <c r="A30872" t="str">
        <f>"7412227"</f>
        <v>7412227</v>
      </c>
      <c r="B30872" t="s">
        <v>400</v>
      </c>
      <c r="C30872" t="s">
        <v>3073</v>
      </c>
      <c r="D30872" s="21" t="s">
        <v>34</v>
      </c>
      <c r="E30872" s="21" t="s">
        <v>254</v>
      </c>
      <c r="F30872">
        <v>1740010</v>
      </c>
      <c r="G30872" t="s">
        <v>4986</v>
      </c>
      <c r="H30872" s="21">
        <v>536.16999999999996</v>
      </c>
    </row>
    <row r="30873" spans="1:8" customFormat="1" x14ac:dyDescent="0.25">
      <c r="A30873" t="str">
        <f>"729758"</f>
        <v>729758</v>
      </c>
      <c r="B30873" t="s">
        <v>4944</v>
      </c>
      <c r="C30873" t="s">
        <v>198</v>
      </c>
      <c r="D30873" s="21" t="s">
        <v>34</v>
      </c>
      <c r="E30873" s="21" t="s">
        <v>35</v>
      </c>
      <c r="F30873">
        <v>12720070</v>
      </c>
      <c r="G30873" t="s">
        <v>2348</v>
      </c>
      <c r="H30873" s="21">
        <v>536.16999999999996</v>
      </c>
    </row>
    <row r="30874" spans="1:8" customFormat="1" x14ac:dyDescent="0.25">
      <c r="A30874" t="str">
        <f>"7641414"</f>
        <v>7641414</v>
      </c>
      <c r="B30874" t="s">
        <v>24763</v>
      </c>
      <c r="C30874" t="s">
        <v>33</v>
      </c>
      <c r="D30874" s="21" t="s">
        <v>34</v>
      </c>
      <c r="E30874" s="21" t="s">
        <v>35</v>
      </c>
      <c r="F30874">
        <v>9760416</v>
      </c>
      <c r="G30874" t="s">
        <v>4614</v>
      </c>
      <c r="H30874" s="21">
        <v>536.04</v>
      </c>
    </row>
    <row r="30875" spans="1:8" customFormat="1" x14ac:dyDescent="0.25">
      <c r="A30875" t="str">
        <f>"4457026"</f>
        <v>4457026</v>
      </c>
      <c r="B30875" t="s">
        <v>6088</v>
      </c>
      <c r="C30875" t="s">
        <v>926</v>
      </c>
      <c r="D30875" s="21" t="s">
        <v>34</v>
      </c>
      <c r="E30875" s="21" t="s">
        <v>71</v>
      </c>
      <c r="F30875">
        <v>12440066</v>
      </c>
      <c r="G30875" t="s">
        <v>7602</v>
      </c>
      <c r="H30875" s="21">
        <v>536</v>
      </c>
    </row>
    <row r="30876" spans="1:8" customFormat="1" x14ac:dyDescent="0.25">
      <c r="A30876" t="str">
        <f>"106679"</f>
        <v>106679</v>
      </c>
      <c r="B30876" t="s">
        <v>12020</v>
      </c>
      <c r="C30876" t="s">
        <v>43</v>
      </c>
      <c r="D30876" s="21" t="s">
        <v>34</v>
      </c>
      <c r="E30876" s="21" t="s">
        <v>35</v>
      </c>
      <c r="F30876">
        <v>6100021</v>
      </c>
      <c r="G30876" t="s">
        <v>7789</v>
      </c>
      <c r="H30876" s="21">
        <v>536</v>
      </c>
    </row>
    <row r="30877" spans="1:8" customFormat="1" x14ac:dyDescent="0.25">
      <c r="A30877" t="str">
        <f>"2815161"</f>
        <v>2815161</v>
      </c>
      <c r="B30877" t="s">
        <v>15850</v>
      </c>
      <c r="C30877" t="s">
        <v>87</v>
      </c>
      <c r="D30877" s="21" t="s">
        <v>34</v>
      </c>
      <c r="E30877" s="21" t="s">
        <v>35</v>
      </c>
      <c r="F30877">
        <v>4280004</v>
      </c>
      <c r="G30877" t="s">
        <v>91</v>
      </c>
      <c r="H30877" s="21">
        <v>536</v>
      </c>
    </row>
    <row r="30878" spans="1:8" customFormat="1" x14ac:dyDescent="0.25">
      <c r="A30878" t="str">
        <f>"3536306"</f>
        <v>3536306</v>
      </c>
      <c r="B30878" t="s">
        <v>21757</v>
      </c>
      <c r="C30878" t="s">
        <v>55</v>
      </c>
      <c r="D30878" s="21" t="s">
        <v>34</v>
      </c>
      <c r="E30878" s="21" t="s">
        <v>35</v>
      </c>
      <c r="F30878">
        <v>3350148</v>
      </c>
      <c r="G30878" t="s">
        <v>7497</v>
      </c>
      <c r="H30878" s="21">
        <v>536</v>
      </c>
    </row>
    <row r="30879" spans="1:8" customFormat="1" x14ac:dyDescent="0.25">
      <c r="A30879" t="str">
        <f>"2936617"</f>
        <v>2936617</v>
      </c>
      <c r="B30879" t="s">
        <v>8329</v>
      </c>
      <c r="C30879" t="s">
        <v>249</v>
      </c>
      <c r="D30879" s="21" t="s">
        <v>34</v>
      </c>
      <c r="E30879" s="21" t="s">
        <v>71</v>
      </c>
      <c r="F30879">
        <v>3290006</v>
      </c>
      <c r="G30879" t="s">
        <v>13009</v>
      </c>
      <c r="H30879" s="21">
        <v>536</v>
      </c>
    </row>
    <row r="30880" spans="1:8" customFormat="1" x14ac:dyDescent="0.25">
      <c r="A30880" t="str">
        <f>"9454685"</f>
        <v>9454685</v>
      </c>
      <c r="B30880" t="s">
        <v>6721</v>
      </c>
      <c r="C30880" t="s">
        <v>198</v>
      </c>
      <c r="D30880" s="21" t="s">
        <v>34</v>
      </c>
      <c r="E30880" s="21" t="s">
        <v>71</v>
      </c>
      <c r="F30880">
        <v>8940577</v>
      </c>
      <c r="G30880" t="s">
        <v>3774</v>
      </c>
      <c r="H30880" s="21">
        <v>536</v>
      </c>
    </row>
    <row r="30881" spans="1:8" customFormat="1" x14ac:dyDescent="0.25">
      <c r="A30881" t="str">
        <f>"2933909"</f>
        <v>2933909</v>
      </c>
      <c r="B30881" t="s">
        <v>16996</v>
      </c>
      <c r="C30881" t="s">
        <v>3784</v>
      </c>
      <c r="D30881" s="21" t="s">
        <v>34</v>
      </c>
      <c r="E30881" s="21" t="s">
        <v>254</v>
      </c>
      <c r="F30881">
        <v>3290290</v>
      </c>
      <c r="G30881" t="s">
        <v>27072</v>
      </c>
      <c r="H30881" s="21">
        <v>536</v>
      </c>
    </row>
    <row r="30882" spans="1:8" customFormat="1" x14ac:dyDescent="0.25">
      <c r="A30882" t="str">
        <f>"2938897"</f>
        <v>2938897</v>
      </c>
      <c r="B30882" t="s">
        <v>7847</v>
      </c>
      <c r="C30882" t="s">
        <v>236</v>
      </c>
      <c r="D30882" s="21" t="s">
        <v>34</v>
      </c>
      <c r="E30882" s="21" t="s">
        <v>71</v>
      </c>
      <c r="F30882">
        <v>3290232</v>
      </c>
      <c r="G30882" t="s">
        <v>9588</v>
      </c>
      <c r="H30882" s="21">
        <v>536</v>
      </c>
    </row>
    <row r="30883" spans="1:8" customFormat="1" x14ac:dyDescent="0.25">
      <c r="A30883" t="str">
        <f>"3831583"</f>
        <v>3831583</v>
      </c>
      <c r="B30883" t="s">
        <v>22322</v>
      </c>
      <c r="C30883" t="s">
        <v>253</v>
      </c>
      <c r="D30883" s="21" t="s">
        <v>34</v>
      </c>
      <c r="E30883" s="21" t="s">
        <v>254</v>
      </c>
      <c r="F30883">
        <v>1380297</v>
      </c>
      <c r="G30883" t="s">
        <v>12031</v>
      </c>
      <c r="H30883" s="21">
        <v>536</v>
      </c>
    </row>
    <row r="30884" spans="1:8" customFormat="1" x14ac:dyDescent="0.25">
      <c r="A30884" t="str">
        <f>"113116"</f>
        <v>113116</v>
      </c>
      <c r="B30884" t="s">
        <v>9739</v>
      </c>
      <c r="C30884" t="s">
        <v>2479</v>
      </c>
      <c r="D30884" s="21" t="s">
        <v>34</v>
      </c>
      <c r="E30884" s="21" t="s">
        <v>71</v>
      </c>
      <c r="F30884">
        <v>11110009</v>
      </c>
      <c r="G30884" t="s">
        <v>6231</v>
      </c>
      <c r="H30884" s="21">
        <v>535.91999999999996</v>
      </c>
    </row>
    <row r="30885" spans="1:8" customFormat="1" x14ac:dyDescent="0.25">
      <c r="A30885" t="str">
        <f>"4442077"</f>
        <v>4442077</v>
      </c>
      <c r="B30885" t="s">
        <v>21562</v>
      </c>
      <c r="C30885" t="s">
        <v>11083</v>
      </c>
      <c r="D30885" s="21" t="s">
        <v>34</v>
      </c>
      <c r="E30885" s="21" t="s">
        <v>35</v>
      </c>
      <c r="F30885">
        <v>12440221</v>
      </c>
      <c r="G30885" t="s">
        <v>21563</v>
      </c>
      <c r="H30885" s="21">
        <v>535.91999999999996</v>
      </c>
    </row>
    <row r="30886" spans="1:8" customFormat="1" x14ac:dyDescent="0.25">
      <c r="A30886" t="str">
        <f>"7220068"</f>
        <v>7220068</v>
      </c>
      <c r="B30886" t="s">
        <v>820</v>
      </c>
      <c r="C30886" t="s">
        <v>109</v>
      </c>
      <c r="D30886" s="21" t="s">
        <v>34</v>
      </c>
      <c r="E30886" s="21" t="s">
        <v>35</v>
      </c>
      <c r="F30886">
        <v>12720049</v>
      </c>
      <c r="G30886" t="s">
        <v>1627</v>
      </c>
      <c r="H30886" s="21">
        <v>535.75</v>
      </c>
    </row>
    <row r="30887" spans="1:8" customFormat="1" x14ac:dyDescent="0.25">
      <c r="A30887" t="str">
        <f>"6939481"</f>
        <v>6939481</v>
      </c>
      <c r="B30887" t="s">
        <v>4782</v>
      </c>
      <c r="C30887" t="s">
        <v>209</v>
      </c>
      <c r="D30887" s="21" t="s">
        <v>34</v>
      </c>
      <c r="E30887" s="21" t="s">
        <v>71</v>
      </c>
      <c r="F30887">
        <v>1690005</v>
      </c>
      <c r="G30887" t="s">
        <v>16595</v>
      </c>
      <c r="H30887" s="21">
        <v>535.66999999999996</v>
      </c>
    </row>
    <row r="30888" spans="1:8" customFormat="1" x14ac:dyDescent="0.25">
      <c r="A30888" t="str">
        <f>"2619336"</f>
        <v>2619336</v>
      </c>
      <c r="B30888" t="s">
        <v>28289</v>
      </c>
      <c r="C30888" t="s">
        <v>817</v>
      </c>
      <c r="D30888" s="21" t="s">
        <v>34</v>
      </c>
      <c r="E30888" s="21" t="s">
        <v>71</v>
      </c>
      <c r="F30888">
        <v>1260055</v>
      </c>
      <c r="G30888" t="s">
        <v>8460</v>
      </c>
      <c r="H30888" s="21">
        <v>535.66999999999996</v>
      </c>
    </row>
    <row r="30889" spans="1:8" customFormat="1" x14ac:dyDescent="0.25">
      <c r="A30889" t="str">
        <f>"9414726"</f>
        <v>9414726</v>
      </c>
      <c r="B30889" t="s">
        <v>20370</v>
      </c>
      <c r="C30889" t="s">
        <v>598</v>
      </c>
      <c r="D30889" s="21" t="s">
        <v>34</v>
      </c>
      <c r="E30889" s="21" t="s">
        <v>71</v>
      </c>
      <c r="F30889">
        <v>8940872</v>
      </c>
      <c r="G30889" t="s">
        <v>4687</v>
      </c>
      <c r="H30889" s="21">
        <v>535.66999999999996</v>
      </c>
    </row>
    <row r="30890" spans="1:8" customFormat="1" x14ac:dyDescent="0.25">
      <c r="A30890" t="str">
        <f>"9245239"</f>
        <v>9245239</v>
      </c>
      <c r="B30890" t="s">
        <v>19204</v>
      </c>
      <c r="C30890" t="s">
        <v>486</v>
      </c>
      <c r="D30890" s="21" t="s">
        <v>34</v>
      </c>
      <c r="E30890" s="21" t="s">
        <v>71</v>
      </c>
      <c r="F30890">
        <v>8920049</v>
      </c>
      <c r="G30890" t="s">
        <v>237</v>
      </c>
      <c r="H30890" s="21">
        <v>535.66999999999996</v>
      </c>
    </row>
    <row r="30891" spans="1:8" customFormat="1" x14ac:dyDescent="0.25">
      <c r="A30891" t="str">
        <f>"4448832"</f>
        <v>4448832</v>
      </c>
      <c r="B30891" t="s">
        <v>22171</v>
      </c>
      <c r="C30891" t="s">
        <v>263</v>
      </c>
      <c r="D30891" s="21" t="s">
        <v>34</v>
      </c>
      <c r="E30891" s="21" t="s">
        <v>35</v>
      </c>
      <c r="F30891">
        <v>12440039</v>
      </c>
      <c r="G30891" t="s">
        <v>9650</v>
      </c>
      <c r="H30891" s="21">
        <v>535.66999999999996</v>
      </c>
    </row>
    <row r="30892" spans="1:8" customFormat="1" x14ac:dyDescent="0.25">
      <c r="A30892" t="str">
        <f>"6725236"</f>
        <v>6725236</v>
      </c>
      <c r="B30892" t="s">
        <v>22252</v>
      </c>
      <c r="C30892" t="s">
        <v>415</v>
      </c>
      <c r="D30892" s="21" t="s">
        <v>34</v>
      </c>
      <c r="E30892" s="21" t="s">
        <v>35</v>
      </c>
      <c r="F30892">
        <v>6670178</v>
      </c>
      <c r="G30892" t="s">
        <v>10001</v>
      </c>
      <c r="H30892" s="21">
        <v>535.66999999999996</v>
      </c>
    </row>
    <row r="30893" spans="1:8" customFormat="1" x14ac:dyDescent="0.25">
      <c r="A30893" t="str">
        <f>"3419960"</f>
        <v>3419960</v>
      </c>
      <c r="B30893" t="s">
        <v>1090</v>
      </c>
      <c r="C30893" t="s">
        <v>239</v>
      </c>
      <c r="D30893" s="21" t="s">
        <v>34</v>
      </c>
      <c r="E30893" s="21" t="s">
        <v>71</v>
      </c>
      <c r="F30893">
        <v>11340059</v>
      </c>
      <c r="G30893" t="s">
        <v>10368</v>
      </c>
      <c r="H30893" s="21">
        <v>535.66999999999996</v>
      </c>
    </row>
    <row r="30894" spans="1:8" customFormat="1" x14ac:dyDescent="0.25">
      <c r="A30894" t="str">
        <f>"4937426"</f>
        <v>4937426</v>
      </c>
      <c r="B30894" t="s">
        <v>3273</v>
      </c>
      <c r="C30894" t="s">
        <v>763</v>
      </c>
      <c r="D30894" s="21" t="s">
        <v>34</v>
      </c>
      <c r="E30894" s="21" t="s">
        <v>35</v>
      </c>
      <c r="F30894">
        <v>12490019</v>
      </c>
      <c r="G30894" t="s">
        <v>14652</v>
      </c>
      <c r="H30894" s="21">
        <v>535.66999999999996</v>
      </c>
    </row>
    <row r="30895" spans="1:8" customFormat="1" x14ac:dyDescent="0.25">
      <c r="A30895" t="str">
        <f>"9534523"</f>
        <v>9534523</v>
      </c>
      <c r="B30895" t="s">
        <v>22170</v>
      </c>
      <c r="C30895" t="s">
        <v>139</v>
      </c>
      <c r="D30895" s="21" t="s">
        <v>34</v>
      </c>
      <c r="E30895" s="21" t="s">
        <v>35</v>
      </c>
      <c r="F30895">
        <v>8951458</v>
      </c>
      <c r="G30895" t="s">
        <v>20956</v>
      </c>
      <c r="H30895" s="21">
        <v>535.66999999999996</v>
      </c>
    </row>
    <row r="30896" spans="1:8" customFormat="1" x14ac:dyDescent="0.25">
      <c r="A30896" t="str">
        <f>"2219985"</f>
        <v>2219985</v>
      </c>
      <c r="B30896" t="s">
        <v>24696</v>
      </c>
      <c r="C30896" t="s">
        <v>24697</v>
      </c>
      <c r="D30896" s="21" t="s">
        <v>34</v>
      </c>
      <c r="E30896" s="21" t="s">
        <v>35</v>
      </c>
      <c r="F30896">
        <v>3220123</v>
      </c>
      <c r="G30896" t="s">
        <v>26953</v>
      </c>
      <c r="H30896" s="21">
        <v>535.66999999999996</v>
      </c>
    </row>
    <row r="30897" spans="1:8" customFormat="1" x14ac:dyDescent="0.25">
      <c r="A30897" t="str">
        <f>"8314970"</f>
        <v>8314970</v>
      </c>
      <c r="B30897" t="s">
        <v>24462</v>
      </c>
      <c r="C30897" t="s">
        <v>253</v>
      </c>
      <c r="D30897" s="21" t="s">
        <v>34</v>
      </c>
      <c r="E30897" s="21" t="s">
        <v>1089</v>
      </c>
      <c r="F30897">
        <v>13830090</v>
      </c>
      <c r="G30897" t="s">
        <v>1535</v>
      </c>
      <c r="H30897" s="21">
        <v>535.66999999999996</v>
      </c>
    </row>
    <row r="30898" spans="1:8" customFormat="1" x14ac:dyDescent="0.25">
      <c r="A30898" t="str">
        <f>"083094"</f>
        <v>083094</v>
      </c>
      <c r="B30898" t="s">
        <v>6119</v>
      </c>
      <c r="C30898" t="s">
        <v>269</v>
      </c>
      <c r="D30898" s="21" t="s">
        <v>34</v>
      </c>
      <c r="E30898" s="21" t="s">
        <v>35</v>
      </c>
      <c r="F30898">
        <v>6080017</v>
      </c>
      <c r="G30898" t="s">
        <v>5023</v>
      </c>
      <c r="H30898" s="21">
        <v>535.66999999999996</v>
      </c>
    </row>
    <row r="30899" spans="1:8" customFormat="1" x14ac:dyDescent="0.25">
      <c r="A30899" t="str">
        <f>"6939826"</f>
        <v>6939826</v>
      </c>
      <c r="B30899" t="s">
        <v>24332</v>
      </c>
      <c r="C30899" t="s">
        <v>1100</v>
      </c>
      <c r="D30899" s="21" t="s">
        <v>34</v>
      </c>
      <c r="E30899" s="21" t="s">
        <v>71</v>
      </c>
      <c r="F30899">
        <v>1690196</v>
      </c>
      <c r="G30899" t="s">
        <v>6149</v>
      </c>
      <c r="H30899" s="21">
        <v>535.66999999999996</v>
      </c>
    </row>
    <row r="30900" spans="1:8" customFormat="1" x14ac:dyDescent="0.25">
      <c r="A30900" t="str">
        <f>"7727627"</f>
        <v>7727627</v>
      </c>
      <c r="B30900" t="s">
        <v>28290</v>
      </c>
      <c r="C30900" t="s">
        <v>87</v>
      </c>
      <c r="D30900" s="21" t="s">
        <v>34</v>
      </c>
      <c r="E30900" s="21" t="s">
        <v>35</v>
      </c>
      <c r="F30900">
        <v>8770426</v>
      </c>
      <c r="G30900" t="s">
        <v>1847</v>
      </c>
      <c r="H30900" s="21">
        <v>535.66999999999996</v>
      </c>
    </row>
    <row r="30901" spans="1:8" customFormat="1" x14ac:dyDescent="0.25">
      <c r="A30901" t="str">
        <f>"3815387"</f>
        <v>3815387</v>
      </c>
      <c r="B30901" t="s">
        <v>20802</v>
      </c>
      <c r="C30901" t="s">
        <v>269</v>
      </c>
      <c r="D30901" s="21" t="s">
        <v>34</v>
      </c>
      <c r="E30901" s="21" t="s">
        <v>71</v>
      </c>
      <c r="F30901">
        <v>1380225</v>
      </c>
      <c r="G30901" t="s">
        <v>4441</v>
      </c>
      <c r="H30901" s="21">
        <v>535.66999999999996</v>
      </c>
    </row>
    <row r="30902" spans="1:8" customFormat="1" x14ac:dyDescent="0.25">
      <c r="A30902" t="str">
        <f>"2511649"</f>
        <v>2511649</v>
      </c>
      <c r="B30902" t="s">
        <v>54</v>
      </c>
      <c r="C30902" t="s">
        <v>817</v>
      </c>
      <c r="D30902" s="21" t="s">
        <v>34</v>
      </c>
      <c r="E30902" s="21" t="s">
        <v>71</v>
      </c>
      <c r="F30902">
        <v>2250154</v>
      </c>
      <c r="G30902" t="s">
        <v>1973</v>
      </c>
      <c r="H30902" s="21">
        <v>535.66999999999996</v>
      </c>
    </row>
    <row r="30903" spans="1:8" customFormat="1" x14ac:dyDescent="0.25">
      <c r="A30903" t="str">
        <f>"7869941"</f>
        <v>7869941</v>
      </c>
      <c r="B30903" t="s">
        <v>22706</v>
      </c>
      <c r="C30903" t="s">
        <v>1110</v>
      </c>
      <c r="D30903" s="21" t="s">
        <v>34</v>
      </c>
      <c r="E30903" s="21" t="s">
        <v>254</v>
      </c>
      <c r="F30903">
        <v>13830068</v>
      </c>
      <c r="G30903" t="s">
        <v>6181</v>
      </c>
      <c r="H30903" s="21">
        <v>535.66999999999996</v>
      </c>
    </row>
    <row r="30904" spans="1:8" customFormat="1" x14ac:dyDescent="0.25">
      <c r="A30904" t="str">
        <f>"3537545"</f>
        <v>3537545</v>
      </c>
      <c r="B30904" t="s">
        <v>24261</v>
      </c>
      <c r="C30904" t="s">
        <v>1803</v>
      </c>
      <c r="D30904" s="21" t="s">
        <v>34</v>
      </c>
      <c r="E30904" s="21" t="s">
        <v>35</v>
      </c>
      <c r="F30904">
        <v>3350027</v>
      </c>
      <c r="G30904" t="s">
        <v>2760</v>
      </c>
      <c r="H30904" s="21">
        <v>535.66999999999996</v>
      </c>
    </row>
    <row r="30905" spans="1:8" customFormat="1" x14ac:dyDescent="0.25">
      <c r="A30905" t="str">
        <f>"9116086"</f>
        <v>9116086</v>
      </c>
      <c r="B30905" t="s">
        <v>20905</v>
      </c>
      <c r="C30905" t="s">
        <v>2546</v>
      </c>
      <c r="D30905" s="21" t="s">
        <v>34</v>
      </c>
      <c r="E30905" s="21" t="s">
        <v>6185</v>
      </c>
      <c r="F30905">
        <v>8910165</v>
      </c>
      <c r="G30905" t="s">
        <v>3184</v>
      </c>
      <c r="H30905" s="21">
        <v>535.66999999999996</v>
      </c>
    </row>
    <row r="30906" spans="1:8" customFormat="1" x14ac:dyDescent="0.25">
      <c r="A30906" t="str">
        <f>"269913"</f>
        <v>269913</v>
      </c>
      <c r="B30906" t="s">
        <v>28291</v>
      </c>
      <c r="C30906" t="s">
        <v>33</v>
      </c>
      <c r="D30906" s="21" t="s">
        <v>34</v>
      </c>
      <c r="E30906" s="21" t="s">
        <v>35</v>
      </c>
      <c r="F30906">
        <v>1260026</v>
      </c>
      <c r="G30906" t="s">
        <v>516</v>
      </c>
      <c r="H30906" s="21">
        <v>535.66999999999996</v>
      </c>
    </row>
    <row r="30907" spans="1:8" customFormat="1" x14ac:dyDescent="0.25">
      <c r="A30907" t="str">
        <f>"9232102"</f>
        <v>9232102</v>
      </c>
      <c r="B30907" t="s">
        <v>28292</v>
      </c>
      <c r="C30907" t="s">
        <v>926</v>
      </c>
      <c r="D30907" s="21" t="s">
        <v>34</v>
      </c>
      <c r="E30907" s="21" t="s">
        <v>71</v>
      </c>
      <c r="F30907">
        <v>8910434</v>
      </c>
      <c r="G30907" t="s">
        <v>681</v>
      </c>
      <c r="H30907" s="21">
        <v>535.66999999999996</v>
      </c>
    </row>
    <row r="30908" spans="1:8" customFormat="1" x14ac:dyDescent="0.25">
      <c r="A30908" t="str">
        <f>"038160"</f>
        <v>038160</v>
      </c>
      <c r="B30908" t="s">
        <v>2306</v>
      </c>
      <c r="C30908" t="s">
        <v>621</v>
      </c>
      <c r="D30908" s="21" t="s">
        <v>34</v>
      </c>
      <c r="E30908" s="21" t="s">
        <v>35</v>
      </c>
      <c r="F30908">
        <v>1030299</v>
      </c>
      <c r="G30908" t="s">
        <v>2631</v>
      </c>
      <c r="H30908" s="21">
        <v>535.66999999999996</v>
      </c>
    </row>
    <row r="30909" spans="1:8" customFormat="1" x14ac:dyDescent="0.25">
      <c r="A30909" t="str">
        <f>"7862749"</f>
        <v>7862749</v>
      </c>
      <c r="B30909" t="s">
        <v>10836</v>
      </c>
      <c r="C30909" t="s">
        <v>484</v>
      </c>
      <c r="D30909" s="21" t="s">
        <v>34</v>
      </c>
      <c r="E30909" s="21" t="s">
        <v>35</v>
      </c>
      <c r="F30909">
        <v>8780401</v>
      </c>
      <c r="G30909" t="s">
        <v>9116</v>
      </c>
      <c r="H30909" s="21">
        <v>535.66999999999996</v>
      </c>
    </row>
    <row r="30910" spans="1:8" customFormat="1" x14ac:dyDescent="0.25">
      <c r="A30910" t="str">
        <f>"5980666"</f>
        <v>5980666</v>
      </c>
      <c r="B30910" t="s">
        <v>24318</v>
      </c>
      <c r="C30910" t="s">
        <v>43</v>
      </c>
      <c r="D30910" s="21" t="s">
        <v>34</v>
      </c>
      <c r="E30910" s="21" t="s">
        <v>35</v>
      </c>
      <c r="F30910">
        <v>7590269</v>
      </c>
      <c r="G30910" t="s">
        <v>873</v>
      </c>
      <c r="H30910" s="21">
        <v>535.66999999999996</v>
      </c>
    </row>
    <row r="30911" spans="1:8" customFormat="1" x14ac:dyDescent="0.25">
      <c r="A30911" t="str">
        <f>"6023745"</f>
        <v>6023745</v>
      </c>
      <c r="B30911" t="s">
        <v>5763</v>
      </c>
      <c r="C30911" t="s">
        <v>55</v>
      </c>
      <c r="D30911" s="21" t="s">
        <v>34</v>
      </c>
      <c r="E30911" s="21" t="s">
        <v>35</v>
      </c>
      <c r="F30911">
        <v>7600119</v>
      </c>
      <c r="G30911" t="s">
        <v>11415</v>
      </c>
      <c r="H30911" s="21">
        <v>535.66999999999996</v>
      </c>
    </row>
    <row r="30912" spans="1:8" customFormat="1" x14ac:dyDescent="0.25">
      <c r="A30912" t="str">
        <f>"5322010"</f>
        <v>5322010</v>
      </c>
      <c r="B30912" t="s">
        <v>24317</v>
      </c>
      <c r="C30912" t="s">
        <v>926</v>
      </c>
      <c r="D30912" s="21" t="s">
        <v>34</v>
      </c>
      <c r="E30912" s="21" t="s">
        <v>254</v>
      </c>
      <c r="F30912">
        <v>12530022</v>
      </c>
      <c r="G30912" t="s">
        <v>914</v>
      </c>
      <c r="H30912" s="21">
        <v>535.66999999999996</v>
      </c>
    </row>
    <row r="30913" spans="1:8" customFormat="1" x14ac:dyDescent="0.25">
      <c r="A30913" t="str">
        <f>"3118655"</f>
        <v>3118655</v>
      </c>
      <c r="B30913" t="s">
        <v>22433</v>
      </c>
      <c r="C30913" t="s">
        <v>139</v>
      </c>
      <c r="D30913" s="21" t="s">
        <v>34</v>
      </c>
      <c r="E30913" s="21" t="s">
        <v>71</v>
      </c>
      <c r="F30913">
        <v>11310115</v>
      </c>
      <c r="G30913" t="s">
        <v>10519</v>
      </c>
      <c r="H30913" s="21">
        <v>535.66999999999996</v>
      </c>
    </row>
    <row r="30914" spans="1:8" customFormat="1" x14ac:dyDescent="0.25">
      <c r="A30914" t="str">
        <f>"8015936"</f>
        <v>8015936</v>
      </c>
      <c r="B30914" t="s">
        <v>2111</v>
      </c>
      <c r="C30914" t="s">
        <v>21124</v>
      </c>
      <c r="D30914" s="21" t="s">
        <v>34</v>
      </c>
      <c r="E30914" s="21" t="s">
        <v>6185</v>
      </c>
      <c r="F30914">
        <v>7800098</v>
      </c>
      <c r="G30914" t="s">
        <v>8445</v>
      </c>
      <c r="H30914" s="21">
        <v>535.66999999999996</v>
      </c>
    </row>
    <row r="30915" spans="1:8" customFormat="1" x14ac:dyDescent="0.25">
      <c r="A30915" t="str">
        <f>"0210519"</f>
        <v>0210519</v>
      </c>
      <c r="B30915" t="s">
        <v>21508</v>
      </c>
      <c r="C30915" t="s">
        <v>55</v>
      </c>
      <c r="D30915" s="21" t="s">
        <v>34</v>
      </c>
      <c r="E30915" s="21" t="s">
        <v>35</v>
      </c>
      <c r="F30915">
        <v>7021010</v>
      </c>
      <c r="G30915" t="s">
        <v>10493</v>
      </c>
      <c r="H30915" s="21">
        <v>535.66999999999996</v>
      </c>
    </row>
    <row r="30916" spans="1:8" customFormat="1" x14ac:dyDescent="0.25">
      <c r="A30916" t="str">
        <f>"461246"</f>
        <v>461246</v>
      </c>
      <c r="B30916" t="s">
        <v>10254</v>
      </c>
      <c r="C30916" t="s">
        <v>5701</v>
      </c>
      <c r="D30916" s="21" t="s">
        <v>34</v>
      </c>
      <c r="E30916" s="21" t="s">
        <v>71</v>
      </c>
      <c r="F30916">
        <v>11460021</v>
      </c>
      <c r="G30916" t="s">
        <v>6727</v>
      </c>
      <c r="H30916" s="21">
        <v>535.66999999999996</v>
      </c>
    </row>
    <row r="30917" spans="1:8" customFormat="1" x14ac:dyDescent="0.25">
      <c r="A30917" t="str">
        <f>"6814209"</f>
        <v>6814209</v>
      </c>
      <c r="B30917" t="s">
        <v>1200</v>
      </c>
      <c r="C30917" t="s">
        <v>2907</v>
      </c>
      <c r="D30917" s="21" t="s">
        <v>34</v>
      </c>
      <c r="E30917" s="21" t="s">
        <v>35</v>
      </c>
      <c r="F30917">
        <v>6680006</v>
      </c>
      <c r="G30917" t="s">
        <v>5266</v>
      </c>
      <c r="H30917" s="21">
        <v>535.66999999999996</v>
      </c>
    </row>
    <row r="30918" spans="1:8" customFormat="1" x14ac:dyDescent="0.25">
      <c r="A30918" t="str">
        <f>"7515555"</f>
        <v>7515555</v>
      </c>
      <c r="B30918" t="s">
        <v>22540</v>
      </c>
      <c r="C30918" t="s">
        <v>874</v>
      </c>
      <c r="D30918" s="21" t="s">
        <v>34</v>
      </c>
      <c r="E30918" s="21" t="s">
        <v>35</v>
      </c>
      <c r="F30918">
        <v>8751061</v>
      </c>
      <c r="G30918" t="s">
        <v>26628</v>
      </c>
      <c r="H30918" s="21">
        <v>535.54</v>
      </c>
    </row>
    <row r="30919" spans="1:8" customFormat="1" x14ac:dyDescent="0.25">
      <c r="A30919" t="str">
        <f>"2219766"</f>
        <v>2219766</v>
      </c>
      <c r="B30919" t="s">
        <v>17404</v>
      </c>
      <c r="C30919" t="s">
        <v>412</v>
      </c>
      <c r="D30919" s="21" t="s">
        <v>34</v>
      </c>
      <c r="E30919" s="21" t="s">
        <v>71</v>
      </c>
      <c r="F30919">
        <v>3220011</v>
      </c>
      <c r="G30919" t="s">
        <v>27394</v>
      </c>
      <c r="H30919" s="21">
        <v>535.5</v>
      </c>
    </row>
    <row r="30920" spans="1:8" customFormat="1" x14ac:dyDescent="0.25">
      <c r="A30920" t="str">
        <f>"6315911"</f>
        <v>6315911</v>
      </c>
      <c r="B30920" t="s">
        <v>23072</v>
      </c>
      <c r="C30920" t="s">
        <v>233</v>
      </c>
      <c r="D30920" s="21" t="s">
        <v>34</v>
      </c>
      <c r="E30920" s="21" t="s">
        <v>35</v>
      </c>
      <c r="F30920">
        <v>1630145</v>
      </c>
      <c r="G30920" t="s">
        <v>13804</v>
      </c>
      <c r="H30920" s="21">
        <v>535.5</v>
      </c>
    </row>
    <row r="30921" spans="1:8" customFormat="1" x14ac:dyDescent="0.25">
      <c r="A30921" t="str">
        <f>"9252887"</f>
        <v>9252887</v>
      </c>
      <c r="B30921" t="s">
        <v>28293</v>
      </c>
      <c r="C30921" t="s">
        <v>288</v>
      </c>
      <c r="D30921" s="21" t="s">
        <v>34</v>
      </c>
      <c r="E30921" s="21" t="s">
        <v>35</v>
      </c>
      <c r="F30921">
        <v>8920234</v>
      </c>
      <c r="G30921" t="s">
        <v>1184</v>
      </c>
      <c r="H30921" s="21">
        <v>535.5</v>
      </c>
    </row>
    <row r="30922" spans="1:8" customFormat="1" x14ac:dyDescent="0.25">
      <c r="A30922" t="str">
        <f>"9431724"</f>
        <v>9431724</v>
      </c>
      <c r="B30922" t="s">
        <v>21680</v>
      </c>
      <c r="C30922" t="s">
        <v>415</v>
      </c>
      <c r="D30922" s="21" t="s">
        <v>34</v>
      </c>
      <c r="E30922" s="21" t="s">
        <v>71</v>
      </c>
      <c r="F30922">
        <v>8940326</v>
      </c>
      <c r="G30922" t="s">
        <v>659</v>
      </c>
      <c r="H30922" s="21">
        <v>535.41999999999996</v>
      </c>
    </row>
    <row r="30923" spans="1:8" customFormat="1" x14ac:dyDescent="0.25">
      <c r="A30923" t="str">
        <f>"153643"</f>
        <v>153643</v>
      </c>
      <c r="B30923" t="s">
        <v>24627</v>
      </c>
      <c r="C30923" t="s">
        <v>528</v>
      </c>
      <c r="D30923" s="21" t="s">
        <v>34</v>
      </c>
      <c r="E30923" s="21" t="s">
        <v>71</v>
      </c>
      <c r="F30923">
        <v>1150290</v>
      </c>
      <c r="G30923" t="s">
        <v>12544</v>
      </c>
      <c r="H30923" s="21">
        <v>535.41999999999996</v>
      </c>
    </row>
    <row r="30924" spans="1:8" customFormat="1" x14ac:dyDescent="0.25">
      <c r="A30924" t="str">
        <f>"6814573"</f>
        <v>6814573</v>
      </c>
      <c r="B30924" t="s">
        <v>24678</v>
      </c>
      <c r="C30924" t="s">
        <v>169</v>
      </c>
      <c r="D30924" s="21" t="s">
        <v>34</v>
      </c>
      <c r="E30924" s="21" t="s">
        <v>35</v>
      </c>
      <c r="F30924">
        <v>6680123</v>
      </c>
      <c r="G30924" t="s">
        <v>8996</v>
      </c>
      <c r="H30924" s="21">
        <v>535.25</v>
      </c>
    </row>
    <row r="30925" spans="1:8" customFormat="1" x14ac:dyDescent="0.25">
      <c r="A30925" t="str">
        <f>"314962"</f>
        <v>314962</v>
      </c>
      <c r="B30925" t="s">
        <v>21217</v>
      </c>
      <c r="C30925" t="s">
        <v>130</v>
      </c>
      <c r="D30925" s="21" t="s">
        <v>34</v>
      </c>
      <c r="E30925" s="21" t="s">
        <v>71</v>
      </c>
      <c r="F30925">
        <v>11310070</v>
      </c>
      <c r="G30925" t="s">
        <v>11563</v>
      </c>
      <c r="H30925" s="21">
        <v>535.16999999999996</v>
      </c>
    </row>
    <row r="30926" spans="1:8" customFormat="1" x14ac:dyDescent="0.25">
      <c r="A30926" t="str">
        <f>"8015687"</f>
        <v>8015687</v>
      </c>
      <c r="B30926" t="s">
        <v>11280</v>
      </c>
      <c r="C30926" t="s">
        <v>1271</v>
      </c>
      <c r="D30926" s="21" t="s">
        <v>34</v>
      </c>
      <c r="E30926" s="21" t="s">
        <v>1089</v>
      </c>
      <c r="F30926">
        <v>7800153</v>
      </c>
      <c r="G30926" t="s">
        <v>13728</v>
      </c>
      <c r="H30926" s="21">
        <v>535.16999999999996</v>
      </c>
    </row>
    <row r="30927" spans="1:8" customFormat="1" x14ac:dyDescent="0.25">
      <c r="A30927" t="str">
        <f>"7633720"</f>
        <v>7633720</v>
      </c>
      <c r="B30927" t="s">
        <v>1919</v>
      </c>
      <c r="C30927" t="s">
        <v>462</v>
      </c>
      <c r="D30927" s="21" t="s">
        <v>34</v>
      </c>
      <c r="E30927" s="21" t="s">
        <v>71</v>
      </c>
      <c r="F30927">
        <v>9760420</v>
      </c>
      <c r="G30927" t="s">
        <v>11290</v>
      </c>
      <c r="H30927" s="21">
        <v>535.16999999999996</v>
      </c>
    </row>
    <row r="30928" spans="1:8" customFormat="1" x14ac:dyDescent="0.25">
      <c r="A30928" t="str">
        <f>"5978676"</f>
        <v>5978676</v>
      </c>
      <c r="B30928" t="s">
        <v>28294</v>
      </c>
      <c r="C30928" t="s">
        <v>40</v>
      </c>
      <c r="D30928" s="21" t="s">
        <v>34</v>
      </c>
      <c r="E30928" s="21" t="s">
        <v>1089</v>
      </c>
      <c r="F30928">
        <v>7590170</v>
      </c>
      <c r="G30928" t="s">
        <v>868</v>
      </c>
      <c r="H30928" s="21">
        <v>535.16999999999996</v>
      </c>
    </row>
    <row r="30929" spans="1:8" customFormat="1" x14ac:dyDescent="0.25">
      <c r="A30929" t="str">
        <f>"5621020"</f>
        <v>5621020</v>
      </c>
      <c r="B30929" t="s">
        <v>24580</v>
      </c>
      <c r="C30929" t="s">
        <v>249</v>
      </c>
      <c r="D30929" s="21" t="s">
        <v>34</v>
      </c>
      <c r="E30929" s="21" t="s">
        <v>71</v>
      </c>
      <c r="F30929">
        <v>3560002</v>
      </c>
      <c r="G30929" t="s">
        <v>5437</v>
      </c>
      <c r="H30929" s="21">
        <v>535.16999999999996</v>
      </c>
    </row>
    <row r="30930" spans="1:8" customFormat="1" x14ac:dyDescent="0.25">
      <c r="A30930" t="str">
        <f>"27211"</f>
        <v>27211</v>
      </c>
      <c r="B30930" t="s">
        <v>20257</v>
      </c>
      <c r="C30930" t="s">
        <v>3784</v>
      </c>
      <c r="D30930" s="21" t="s">
        <v>34</v>
      </c>
      <c r="E30930" s="21" t="s">
        <v>1089</v>
      </c>
      <c r="F30930">
        <v>9270008</v>
      </c>
      <c r="G30930" t="s">
        <v>7853</v>
      </c>
      <c r="H30930" s="21">
        <v>535.16999999999996</v>
      </c>
    </row>
    <row r="30931" spans="1:8" customFormat="1" x14ac:dyDescent="0.25">
      <c r="A30931" t="str">
        <f>"7858921"</f>
        <v>7858921</v>
      </c>
      <c r="B30931" t="s">
        <v>3140</v>
      </c>
      <c r="C30931" t="s">
        <v>879</v>
      </c>
      <c r="D30931" s="21" t="s">
        <v>34</v>
      </c>
      <c r="E30931" s="21" t="s">
        <v>254</v>
      </c>
      <c r="F30931">
        <v>8780356</v>
      </c>
      <c r="G30931" t="s">
        <v>5449</v>
      </c>
      <c r="H30931" s="21">
        <v>535.16999999999996</v>
      </c>
    </row>
    <row r="30932" spans="1:8" customFormat="1" x14ac:dyDescent="0.25">
      <c r="A30932" t="str">
        <f>"3343476"</f>
        <v>3343476</v>
      </c>
      <c r="B30932" t="s">
        <v>24043</v>
      </c>
      <c r="C30932" t="s">
        <v>43</v>
      </c>
      <c r="D30932" s="21" t="s">
        <v>34</v>
      </c>
      <c r="E30932" s="21" t="s">
        <v>35</v>
      </c>
      <c r="F30932">
        <v>10330028</v>
      </c>
      <c r="G30932" t="s">
        <v>4553</v>
      </c>
      <c r="H30932" s="21">
        <v>535.16999999999996</v>
      </c>
    </row>
    <row r="30933" spans="1:8" customFormat="1" x14ac:dyDescent="0.25">
      <c r="A30933" t="str">
        <f>"13703"</f>
        <v>13703</v>
      </c>
      <c r="B30933" t="s">
        <v>21248</v>
      </c>
      <c r="C30933" t="s">
        <v>3456</v>
      </c>
      <c r="D30933" s="21" t="s">
        <v>34</v>
      </c>
      <c r="E30933" s="21" t="s">
        <v>254</v>
      </c>
      <c r="F30933">
        <v>13130049</v>
      </c>
      <c r="G30933" t="s">
        <v>13169</v>
      </c>
      <c r="H30933" s="21">
        <v>535.16999999999996</v>
      </c>
    </row>
    <row r="30934" spans="1:8" customFormat="1" x14ac:dyDescent="0.25">
      <c r="A30934" t="str">
        <f>"85242"</f>
        <v>85242</v>
      </c>
      <c r="B30934" t="s">
        <v>185</v>
      </c>
      <c r="C30934" t="s">
        <v>1588</v>
      </c>
      <c r="D30934" s="21" t="s">
        <v>34</v>
      </c>
      <c r="E30934" s="21" t="s">
        <v>1089</v>
      </c>
      <c r="F30934">
        <v>12850008</v>
      </c>
      <c r="G30934" t="s">
        <v>4248</v>
      </c>
      <c r="H30934" s="21">
        <v>535.16999999999996</v>
      </c>
    </row>
    <row r="30935" spans="1:8" customFormat="1" x14ac:dyDescent="0.25">
      <c r="A30935" t="str">
        <f>"8018541"</f>
        <v>8018541</v>
      </c>
      <c r="B30935" t="s">
        <v>8233</v>
      </c>
      <c r="C30935" t="s">
        <v>33</v>
      </c>
      <c r="D30935" s="21" t="s">
        <v>34</v>
      </c>
      <c r="E30935" s="21" t="s">
        <v>71</v>
      </c>
      <c r="F30935">
        <v>7800006</v>
      </c>
      <c r="G30935" t="s">
        <v>6365</v>
      </c>
      <c r="H30935" s="21">
        <v>535.16999999999996</v>
      </c>
    </row>
    <row r="30936" spans="1:8" customFormat="1" x14ac:dyDescent="0.25">
      <c r="A30936" t="str">
        <f>"169336"</f>
        <v>169336</v>
      </c>
      <c r="B30936" t="s">
        <v>21526</v>
      </c>
      <c r="C30936" t="s">
        <v>55</v>
      </c>
      <c r="D30936" s="21" t="s">
        <v>34</v>
      </c>
      <c r="E30936" s="21" t="s">
        <v>71</v>
      </c>
      <c r="F30936">
        <v>10160051</v>
      </c>
      <c r="G30936" t="s">
        <v>7167</v>
      </c>
      <c r="H30936" s="21">
        <v>535.16999999999996</v>
      </c>
    </row>
    <row r="30937" spans="1:8" customFormat="1" x14ac:dyDescent="0.25">
      <c r="A30937" t="str">
        <f>"9228585"</f>
        <v>9228585</v>
      </c>
      <c r="B30937" t="s">
        <v>4027</v>
      </c>
      <c r="C30937" t="s">
        <v>601</v>
      </c>
      <c r="D30937" s="21" t="s">
        <v>34</v>
      </c>
      <c r="E30937" s="21" t="s">
        <v>254</v>
      </c>
      <c r="F30937">
        <v>8920075</v>
      </c>
      <c r="G30937" t="s">
        <v>317</v>
      </c>
      <c r="H30937" s="21">
        <v>535.16999999999996</v>
      </c>
    </row>
    <row r="30938" spans="1:8" customFormat="1" x14ac:dyDescent="0.25">
      <c r="A30938" t="str">
        <f>"6020463"</f>
        <v>6020463</v>
      </c>
      <c r="B30938" t="s">
        <v>726</v>
      </c>
      <c r="C30938" t="s">
        <v>1325</v>
      </c>
      <c r="D30938" s="21" t="s">
        <v>34</v>
      </c>
      <c r="E30938" s="21" t="s">
        <v>71</v>
      </c>
      <c r="F30938">
        <v>7600018</v>
      </c>
      <c r="G30938" t="s">
        <v>5838</v>
      </c>
      <c r="H30938" s="21">
        <v>535.16999999999996</v>
      </c>
    </row>
    <row r="30939" spans="1:8" customFormat="1" x14ac:dyDescent="0.25">
      <c r="A30939" t="str">
        <f>"6315591"</f>
        <v>6315591</v>
      </c>
      <c r="B30939" t="s">
        <v>22638</v>
      </c>
      <c r="C30939" t="s">
        <v>1786</v>
      </c>
      <c r="D30939" s="21" t="s">
        <v>34</v>
      </c>
      <c r="E30939" s="21" t="s">
        <v>35</v>
      </c>
      <c r="F30939">
        <v>1630330</v>
      </c>
      <c r="G30939" t="s">
        <v>7263</v>
      </c>
      <c r="H30939" s="21">
        <v>535.16999999999996</v>
      </c>
    </row>
    <row r="30940" spans="1:8" customFormat="1" x14ac:dyDescent="0.25">
      <c r="A30940" t="str">
        <f>"4516626"</f>
        <v>4516626</v>
      </c>
      <c r="B30940" t="s">
        <v>3936</v>
      </c>
      <c r="C30940" t="s">
        <v>2907</v>
      </c>
      <c r="D30940" s="21" t="s">
        <v>34</v>
      </c>
      <c r="E30940" s="21" t="s">
        <v>71</v>
      </c>
      <c r="F30940">
        <v>4450192</v>
      </c>
      <c r="G30940" t="s">
        <v>2411</v>
      </c>
      <c r="H30940" s="21">
        <v>535.16999999999996</v>
      </c>
    </row>
    <row r="30941" spans="1:8" customFormat="1" x14ac:dyDescent="0.25">
      <c r="A30941" t="str">
        <f>"1712807"</f>
        <v>1712807</v>
      </c>
      <c r="B30941" t="s">
        <v>517</v>
      </c>
      <c r="C30941" t="s">
        <v>415</v>
      </c>
      <c r="D30941" s="21" t="s">
        <v>34</v>
      </c>
      <c r="E30941" s="21" t="s">
        <v>254</v>
      </c>
      <c r="F30941">
        <v>10170162</v>
      </c>
      <c r="G30941" t="s">
        <v>2817</v>
      </c>
      <c r="H30941" s="21">
        <v>535.16999999999996</v>
      </c>
    </row>
    <row r="30942" spans="1:8" customFormat="1" x14ac:dyDescent="0.25">
      <c r="A30942" t="str">
        <f>"5014410"</f>
        <v>5014410</v>
      </c>
      <c r="B30942" t="s">
        <v>22195</v>
      </c>
      <c r="C30942" t="s">
        <v>288</v>
      </c>
      <c r="D30942" s="21" t="s">
        <v>34</v>
      </c>
      <c r="E30942" s="21" t="s">
        <v>35</v>
      </c>
      <c r="F30942">
        <v>9500088</v>
      </c>
      <c r="G30942" t="s">
        <v>15949</v>
      </c>
      <c r="H30942" s="21">
        <v>535.16999999999996</v>
      </c>
    </row>
    <row r="30943" spans="1:8" customFormat="1" x14ac:dyDescent="0.25">
      <c r="A30943" t="str">
        <f>"461563"</f>
        <v>461563</v>
      </c>
      <c r="B30943" t="s">
        <v>1320</v>
      </c>
      <c r="C30943" t="s">
        <v>639</v>
      </c>
      <c r="D30943" s="21" t="s">
        <v>34</v>
      </c>
      <c r="E30943" s="21" t="s">
        <v>1089</v>
      </c>
      <c r="F30943">
        <v>11460012</v>
      </c>
      <c r="G30943" t="s">
        <v>5929</v>
      </c>
      <c r="H30943" s="21">
        <v>535.16999999999996</v>
      </c>
    </row>
    <row r="30944" spans="1:8" customFormat="1" x14ac:dyDescent="0.25">
      <c r="A30944" t="str">
        <f>"5956962"</f>
        <v>5956962</v>
      </c>
      <c r="B30944" t="s">
        <v>1490</v>
      </c>
      <c r="C30944" t="s">
        <v>547</v>
      </c>
      <c r="D30944" s="21" t="s">
        <v>34</v>
      </c>
      <c r="E30944" s="21" t="s">
        <v>1089</v>
      </c>
      <c r="F30944">
        <v>7590061</v>
      </c>
      <c r="G30944" t="s">
        <v>1207</v>
      </c>
      <c r="H30944" s="21">
        <v>535.16999999999996</v>
      </c>
    </row>
    <row r="30945" spans="1:8" customFormat="1" x14ac:dyDescent="0.25">
      <c r="A30945" t="str">
        <f>"5325182"</f>
        <v>5325182</v>
      </c>
      <c r="B30945" t="s">
        <v>4558</v>
      </c>
      <c r="C30945" t="s">
        <v>263</v>
      </c>
      <c r="D30945" s="21" t="s">
        <v>34</v>
      </c>
      <c r="E30945" s="21" t="s">
        <v>35</v>
      </c>
      <c r="F30945">
        <v>12538910</v>
      </c>
      <c r="G30945" t="s">
        <v>8855</v>
      </c>
      <c r="H30945" s="21">
        <v>535.16999999999996</v>
      </c>
    </row>
    <row r="30946" spans="1:8" customFormat="1" x14ac:dyDescent="0.25">
      <c r="A30946" t="str">
        <f>"9531544"</f>
        <v>9531544</v>
      </c>
      <c r="B30946" t="s">
        <v>1974</v>
      </c>
      <c r="C30946" t="s">
        <v>169</v>
      </c>
      <c r="D30946" s="21" t="s">
        <v>34</v>
      </c>
      <c r="E30946" s="21" t="s">
        <v>35</v>
      </c>
      <c r="F30946">
        <v>8950978</v>
      </c>
      <c r="G30946" t="s">
        <v>1164</v>
      </c>
      <c r="H30946" s="21">
        <v>535.16999999999996</v>
      </c>
    </row>
    <row r="30947" spans="1:8" customFormat="1" x14ac:dyDescent="0.25">
      <c r="A30947" t="str">
        <f>"761983"</f>
        <v>761983</v>
      </c>
      <c r="B30947" t="s">
        <v>19905</v>
      </c>
      <c r="C30947" t="s">
        <v>87</v>
      </c>
      <c r="D30947" s="21" t="s">
        <v>34</v>
      </c>
      <c r="E30947" s="21" t="s">
        <v>254</v>
      </c>
      <c r="F30947">
        <v>9760156</v>
      </c>
      <c r="G30947" t="s">
        <v>26731</v>
      </c>
      <c r="H30947" s="21">
        <v>535.16999999999996</v>
      </c>
    </row>
    <row r="30948" spans="1:8" customFormat="1" x14ac:dyDescent="0.25">
      <c r="A30948" t="str">
        <f>"379991"</f>
        <v>379991</v>
      </c>
      <c r="B30948" t="s">
        <v>17669</v>
      </c>
      <c r="C30948" t="s">
        <v>611</v>
      </c>
      <c r="D30948" s="21" t="s">
        <v>34</v>
      </c>
      <c r="E30948" s="21" t="s">
        <v>35</v>
      </c>
      <c r="F30948">
        <v>4370583</v>
      </c>
      <c r="G30948" t="s">
        <v>13975</v>
      </c>
      <c r="H30948" s="21">
        <v>535.04</v>
      </c>
    </row>
    <row r="30949" spans="1:8" customFormat="1" x14ac:dyDescent="0.25">
      <c r="A30949" t="str">
        <f>"185922"</f>
        <v>185922</v>
      </c>
      <c r="B30949" t="s">
        <v>28295</v>
      </c>
      <c r="C30949" t="s">
        <v>388</v>
      </c>
      <c r="D30949" s="21" t="s">
        <v>34</v>
      </c>
      <c r="E30949" s="21" t="s">
        <v>71</v>
      </c>
      <c r="F30949">
        <v>4180057</v>
      </c>
      <c r="G30949" t="s">
        <v>9021</v>
      </c>
      <c r="H30949" s="21">
        <v>535</v>
      </c>
    </row>
    <row r="30950" spans="1:8" customFormat="1" x14ac:dyDescent="0.25">
      <c r="A30950" t="str">
        <f>"1316048"</f>
        <v>1316048</v>
      </c>
      <c r="B30950" t="s">
        <v>4707</v>
      </c>
      <c r="C30950" t="s">
        <v>1025</v>
      </c>
      <c r="D30950" s="21" t="s">
        <v>34</v>
      </c>
      <c r="E30950" s="21" t="s">
        <v>71</v>
      </c>
      <c r="F30950">
        <v>13130148</v>
      </c>
      <c r="G30950" t="s">
        <v>12894</v>
      </c>
      <c r="H30950" s="21">
        <v>535</v>
      </c>
    </row>
    <row r="30951" spans="1:8" customFormat="1" x14ac:dyDescent="0.25">
      <c r="A30951" t="str">
        <f>"788680"</f>
        <v>788680</v>
      </c>
      <c r="B30951" t="s">
        <v>22983</v>
      </c>
      <c r="C30951" t="s">
        <v>124</v>
      </c>
      <c r="D30951" s="21" t="s">
        <v>34</v>
      </c>
      <c r="E30951" s="21" t="s">
        <v>254</v>
      </c>
      <c r="F30951">
        <v>10330004</v>
      </c>
      <c r="G30951" t="s">
        <v>525</v>
      </c>
      <c r="H30951" s="21">
        <v>535</v>
      </c>
    </row>
    <row r="30952" spans="1:8" customFormat="1" x14ac:dyDescent="0.25">
      <c r="A30952" t="str">
        <f>"408172"</f>
        <v>408172</v>
      </c>
      <c r="B30952" t="s">
        <v>28296</v>
      </c>
      <c r="C30952" t="s">
        <v>1559</v>
      </c>
      <c r="D30952" s="21" t="s">
        <v>34</v>
      </c>
      <c r="E30952" s="21" t="s">
        <v>35</v>
      </c>
      <c r="F30952">
        <v>10400004</v>
      </c>
      <c r="G30952" t="s">
        <v>2929</v>
      </c>
      <c r="H30952" s="21">
        <v>534.79</v>
      </c>
    </row>
    <row r="30953" spans="1:8" customFormat="1" x14ac:dyDescent="0.25">
      <c r="A30953" t="str">
        <f>"7730996"</f>
        <v>7730996</v>
      </c>
      <c r="B30953" t="s">
        <v>1599</v>
      </c>
      <c r="C30953" t="s">
        <v>60</v>
      </c>
      <c r="D30953" s="21" t="s">
        <v>34</v>
      </c>
      <c r="E30953" s="21" t="s">
        <v>35</v>
      </c>
      <c r="F30953">
        <v>8770937</v>
      </c>
      <c r="G30953" t="s">
        <v>2119</v>
      </c>
      <c r="H30953" s="21">
        <v>534.75</v>
      </c>
    </row>
    <row r="30954" spans="1:8" customFormat="1" x14ac:dyDescent="0.25">
      <c r="A30954" t="str">
        <f>"811808"</f>
        <v>811808</v>
      </c>
      <c r="B30954" t="s">
        <v>21181</v>
      </c>
      <c r="C30954" t="s">
        <v>1597</v>
      </c>
      <c r="D30954" s="21" t="s">
        <v>34</v>
      </c>
      <c r="E30954" s="21" t="s">
        <v>71</v>
      </c>
      <c r="F30954">
        <v>11810008</v>
      </c>
      <c r="G30954" t="s">
        <v>8796</v>
      </c>
      <c r="H30954" s="21">
        <v>534.66999999999996</v>
      </c>
    </row>
    <row r="30955" spans="1:8" customFormat="1" x14ac:dyDescent="0.25">
      <c r="A30955" t="str">
        <f>"9251982"</f>
        <v>9251982</v>
      </c>
      <c r="B30955" t="s">
        <v>28297</v>
      </c>
      <c r="C30955" t="s">
        <v>28298</v>
      </c>
      <c r="D30955" s="21" t="s">
        <v>34</v>
      </c>
      <c r="E30955" s="21" t="s">
        <v>35</v>
      </c>
      <c r="F30955">
        <v>8920025</v>
      </c>
      <c r="G30955" t="s">
        <v>159</v>
      </c>
      <c r="H30955" s="21">
        <v>534.66999999999996</v>
      </c>
    </row>
    <row r="30956" spans="1:8" customFormat="1" x14ac:dyDescent="0.25">
      <c r="A30956" t="str">
        <f>"7827326"</f>
        <v>7827326</v>
      </c>
      <c r="B30956" t="s">
        <v>20042</v>
      </c>
      <c r="C30956" t="s">
        <v>598</v>
      </c>
      <c r="D30956" s="21" t="s">
        <v>34</v>
      </c>
      <c r="E30956" s="21" t="s">
        <v>254</v>
      </c>
      <c r="F30956">
        <v>8781248</v>
      </c>
      <c r="G30956" t="s">
        <v>2005</v>
      </c>
      <c r="H30956" s="21">
        <v>534.66999999999996</v>
      </c>
    </row>
    <row r="30957" spans="1:8" customFormat="1" x14ac:dyDescent="0.25">
      <c r="A30957" t="str">
        <f>"9245679"</f>
        <v>9245679</v>
      </c>
      <c r="B30957" t="s">
        <v>13035</v>
      </c>
      <c r="C30957" t="s">
        <v>55</v>
      </c>
      <c r="D30957" s="21" t="s">
        <v>34</v>
      </c>
      <c r="E30957" s="21" t="s">
        <v>71</v>
      </c>
      <c r="F30957">
        <v>8920140</v>
      </c>
      <c r="G30957" t="s">
        <v>3762</v>
      </c>
      <c r="H30957" s="21">
        <v>534.66999999999996</v>
      </c>
    </row>
    <row r="30958" spans="1:8" customFormat="1" x14ac:dyDescent="0.25">
      <c r="A30958" t="str">
        <f>"7523914"</f>
        <v>7523914</v>
      </c>
      <c r="B30958" t="s">
        <v>20383</v>
      </c>
      <c r="C30958" t="s">
        <v>269</v>
      </c>
      <c r="D30958" s="21" t="s">
        <v>34</v>
      </c>
      <c r="E30958" s="21" t="s">
        <v>35</v>
      </c>
      <c r="F30958">
        <v>8751265</v>
      </c>
      <c r="G30958" t="s">
        <v>15965</v>
      </c>
      <c r="H30958" s="21">
        <v>534.66999999999996</v>
      </c>
    </row>
    <row r="30959" spans="1:8" customFormat="1" x14ac:dyDescent="0.25">
      <c r="A30959" t="str">
        <f>"738999"</f>
        <v>738999</v>
      </c>
      <c r="B30959" t="s">
        <v>28299</v>
      </c>
      <c r="C30959" t="s">
        <v>4991</v>
      </c>
      <c r="D30959" s="21" t="s">
        <v>34</v>
      </c>
      <c r="E30959" s="21" t="s">
        <v>35</v>
      </c>
      <c r="F30959">
        <v>1730076</v>
      </c>
      <c r="G30959" t="s">
        <v>936</v>
      </c>
      <c r="H30959" s="21">
        <v>534.66999999999996</v>
      </c>
    </row>
    <row r="30960" spans="1:8" customFormat="1" x14ac:dyDescent="0.25">
      <c r="A30960" t="str">
        <f>"5621954"</f>
        <v>5621954</v>
      </c>
      <c r="B30960" t="s">
        <v>8281</v>
      </c>
      <c r="C30960" t="s">
        <v>209</v>
      </c>
      <c r="D30960" s="21" t="s">
        <v>34</v>
      </c>
      <c r="E30960" s="21" t="s">
        <v>35</v>
      </c>
      <c r="F30960">
        <v>3560056</v>
      </c>
      <c r="G30960" t="s">
        <v>3145</v>
      </c>
      <c r="H30960" s="21">
        <v>534.66999999999996</v>
      </c>
    </row>
    <row r="30961" spans="1:8" customFormat="1" x14ac:dyDescent="0.25">
      <c r="A30961" t="str">
        <f>"747346"</f>
        <v>747346</v>
      </c>
      <c r="B30961" t="s">
        <v>28300</v>
      </c>
      <c r="C30961" t="s">
        <v>33</v>
      </c>
      <c r="D30961" s="21" t="s">
        <v>34</v>
      </c>
      <c r="E30961" s="21" t="s">
        <v>35</v>
      </c>
      <c r="F30961">
        <v>1420156</v>
      </c>
      <c r="G30961" t="s">
        <v>5635</v>
      </c>
      <c r="H30961" s="21">
        <v>534.66999999999996</v>
      </c>
    </row>
    <row r="30962" spans="1:8" customFormat="1" x14ac:dyDescent="0.25">
      <c r="A30962" t="str">
        <f>"3725172"</f>
        <v>3725172</v>
      </c>
      <c r="B30962" t="s">
        <v>23176</v>
      </c>
      <c r="C30962" t="s">
        <v>60</v>
      </c>
      <c r="D30962" s="21" t="s">
        <v>34</v>
      </c>
      <c r="E30962" s="21" t="s">
        <v>35</v>
      </c>
      <c r="F30962">
        <v>4370681</v>
      </c>
      <c r="G30962" t="s">
        <v>4508</v>
      </c>
      <c r="H30962" s="21">
        <v>534.66999999999996</v>
      </c>
    </row>
    <row r="30963" spans="1:8" customFormat="1" x14ac:dyDescent="0.25">
      <c r="A30963" t="str">
        <f>"7729158"</f>
        <v>7729158</v>
      </c>
      <c r="B30963" t="s">
        <v>1657</v>
      </c>
      <c r="C30963" t="s">
        <v>130</v>
      </c>
      <c r="D30963" s="21" t="s">
        <v>34</v>
      </c>
      <c r="E30963" s="21" t="s">
        <v>71</v>
      </c>
      <c r="F30963">
        <v>8770988</v>
      </c>
      <c r="G30963" t="s">
        <v>6334</v>
      </c>
      <c r="H30963" s="21">
        <v>534.66999999999996</v>
      </c>
    </row>
    <row r="30964" spans="1:8" customFormat="1" x14ac:dyDescent="0.25">
      <c r="A30964" t="str">
        <f>"7210678"</f>
        <v>7210678</v>
      </c>
      <c r="B30964" t="s">
        <v>21354</v>
      </c>
      <c r="C30964" t="s">
        <v>1025</v>
      </c>
      <c r="D30964" s="21" t="s">
        <v>34</v>
      </c>
      <c r="E30964" s="21" t="s">
        <v>71</v>
      </c>
      <c r="F30964">
        <v>12720005</v>
      </c>
      <c r="G30964" t="s">
        <v>999</v>
      </c>
      <c r="H30964" s="21">
        <v>534.66999999999996</v>
      </c>
    </row>
    <row r="30965" spans="1:8" customFormat="1" x14ac:dyDescent="0.25">
      <c r="A30965" t="str">
        <f>"0612604"</f>
        <v>0612604</v>
      </c>
      <c r="B30965" t="s">
        <v>21012</v>
      </c>
      <c r="C30965" t="s">
        <v>43</v>
      </c>
      <c r="D30965" s="21" t="s">
        <v>34</v>
      </c>
      <c r="E30965" s="21" t="s">
        <v>35</v>
      </c>
      <c r="F30965">
        <v>13060064</v>
      </c>
      <c r="G30965" t="s">
        <v>976</v>
      </c>
      <c r="H30965" s="21">
        <v>534.66999999999996</v>
      </c>
    </row>
    <row r="30966" spans="1:8" customFormat="1" x14ac:dyDescent="0.25">
      <c r="A30966" t="str">
        <f>"1316191"</f>
        <v>1316191</v>
      </c>
      <c r="B30966" t="s">
        <v>21996</v>
      </c>
      <c r="C30966" t="s">
        <v>236</v>
      </c>
      <c r="D30966" s="21" t="s">
        <v>34</v>
      </c>
      <c r="E30966" s="21" t="s">
        <v>254</v>
      </c>
      <c r="F30966">
        <v>13130067</v>
      </c>
      <c r="G30966" t="s">
        <v>1420</v>
      </c>
      <c r="H30966" s="21">
        <v>534.66999999999996</v>
      </c>
    </row>
    <row r="30967" spans="1:8" customFormat="1" x14ac:dyDescent="0.25">
      <c r="A30967" t="str">
        <f>"9314701"</f>
        <v>9314701</v>
      </c>
      <c r="B30967" t="s">
        <v>2405</v>
      </c>
      <c r="C30967" t="s">
        <v>124</v>
      </c>
      <c r="D30967" s="21" t="s">
        <v>34</v>
      </c>
      <c r="E30967" s="21" t="s">
        <v>71</v>
      </c>
      <c r="F30967">
        <v>8930452</v>
      </c>
      <c r="G30967" t="s">
        <v>83</v>
      </c>
      <c r="H30967" s="21">
        <v>534.66999999999996</v>
      </c>
    </row>
    <row r="30968" spans="1:8" customFormat="1" x14ac:dyDescent="0.25">
      <c r="A30968" t="str">
        <f>"3337083"</f>
        <v>3337083</v>
      </c>
      <c r="B30968" t="s">
        <v>20446</v>
      </c>
      <c r="C30968" t="s">
        <v>269</v>
      </c>
      <c r="D30968" s="21" t="s">
        <v>34</v>
      </c>
      <c r="E30968" s="21" t="s">
        <v>35</v>
      </c>
      <c r="F30968">
        <v>10330025</v>
      </c>
      <c r="G30968" t="s">
        <v>4450</v>
      </c>
      <c r="H30968" s="21">
        <v>534.66999999999996</v>
      </c>
    </row>
    <row r="30969" spans="1:8" customFormat="1" x14ac:dyDescent="0.25">
      <c r="A30969" t="str">
        <f>"7610658"</f>
        <v>7610658</v>
      </c>
      <c r="B30969" t="s">
        <v>9988</v>
      </c>
      <c r="C30969" t="s">
        <v>879</v>
      </c>
      <c r="D30969" s="21" t="s">
        <v>34</v>
      </c>
      <c r="E30969" s="21" t="s">
        <v>254</v>
      </c>
      <c r="F30969">
        <v>9760070</v>
      </c>
      <c r="G30969" t="s">
        <v>6226</v>
      </c>
      <c r="H30969" s="21">
        <v>534.66999999999996</v>
      </c>
    </row>
    <row r="30970" spans="1:8" customFormat="1" x14ac:dyDescent="0.25">
      <c r="A30970" t="str">
        <f>"5982704"</f>
        <v>5982704</v>
      </c>
      <c r="B30970" t="s">
        <v>28301</v>
      </c>
      <c r="C30970" t="s">
        <v>288</v>
      </c>
      <c r="D30970" s="21" t="s">
        <v>34</v>
      </c>
      <c r="E30970" s="21" t="s">
        <v>35</v>
      </c>
      <c r="F30970">
        <v>7590354</v>
      </c>
      <c r="G30970" t="s">
        <v>5786</v>
      </c>
      <c r="H30970" s="21">
        <v>534.66999999999996</v>
      </c>
    </row>
    <row r="30971" spans="1:8" customFormat="1" x14ac:dyDescent="0.25">
      <c r="A30971" t="str">
        <f>"588574"</f>
        <v>588574</v>
      </c>
      <c r="B30971" t="s">
        <v>20480</v>
      </c>
      <c r="C30971" t="s">
        <v>87</v>
      </c>
      <c r="D30971" s="21" t="s">
        <v>34</v>
      </c>
      <c r="E30971" s="21" t="s">
        <v>71</v>
      </c>
      <c r="F30971">
        <v>2580089</v>
      </c>
      <c r="G30971" t="s">
        <v>15805</v>
      </c>
      <c r="H30971" s="21">
        <v>534.66999999999996</v>
      </c>
    </row>
    <row r="30972" spans="1:8" customFormat="1" x14ac:dyDescent="0.25">
      <c r="A30972" t="str">
        <f>"7516695"</f>
        <v>7516695</v>
      </c>
      <c r="B30972" t="s">
        <v>2313</v>
      </c>
      <c r="C30972" t="s">
        <v>21173</v>
      </c>
      <c r="D30972" s="21" t="s">
        <v>34</v>
      </c>
      <c r="E30972" s="21" t="s">
        <v>1089</v>
      </c>
      <c r="F30972">
        <v>10330010</v>
      </c>
      <c r="G30972" t="s">
        <v>2831</v>
      </c>
      <c r="H30972" s="21">
        <v>534.66999999999996</v>
      </c>
    </row>
    <row r="30973" spans="1:8" customFormat="1" x14ac:dyDescent="0.25">
      <c r="A30973" t="str">
        <f>"7414842"</f>
        <v>7414842</v>
      </c>
      <c r="B30973" t="s">
        <v>28302</v>
      </c>
      <c r="C30973" t="s">
        <v>631</v>
      </c>
      <c r="D30973" s="21" t="s">
        <v>34</v>
      </c>
      <c r="E30973" s="21" t="s">
        <v>35</v>
      </c>
      <c r="F30973">
        <v>1740045</v>
      </c>
      <c r="G30973" t="s">
        <v>9857</v>
      </c>
      <c r="H30973" s="21">
        <v>534.66999999999996</v>
      </c>
    </row>
    <row r="30974" spans="1:8" customFormat="1" x14ac:dyDescent="0.25">
      <c r="A30974" t="str">
        <f>"288407"</f>
        <v>288407</v>
      </c>
      <c r="B30974" t="s">
        <v>20722</v>
      </c>
      <c r="C30974" t="s">
        <v>267</v>
      </c>
      <c r="D30974" s="21" t="s">
        <v>34</v>
      </c>
      <c r="E30974" s="21" t="s">
        <v>1089</v>
      </c>
      <c r="F30974">
        <v>4280612</v>
      </c>
      <c r="G30974" t="s">
        <v>6809</v>
      </c>
      <c r="H30974" s="21">
        <v>534.66999999999996</v>
      </c>
    </row>
    <row r="30975" spans="1:8" customFormat="1" x14ac:dyDescent="0.25">
      <c r="A30975" t="str">
        <f>"8019686"</f>
        <v>8019686</v>
      </c>
      <c r="B30975" t="s">
        <v>5895</v>
      </c>
      <c r="C30975" t="s">
        <v>55</v>
      </c>
      <c r="D30975" s="21" t="s">
        <v>34</v>
      </c>
      <c r="E30975" s="21" t="s">
        <v>71</v>
      </c>
      <c r="F30975">
        <v>7800074</v>
      </c>
      <c r="G30975" t="s">
        <v>7104</v>
      </c>
      <c r="H30975" s="21">
        <v>534.66999999999996</v>
      </c>
    </row>
    <row r="30976" spans="1:8" customFormat="1" x14ac:dyDescent="0.25">
      <c r="A30976" t="str">
        <f>"5935984"</f>
        <v>5935984</v>
      </c>
      <c r="B30976" t="s">
        <v>14863</v>
      </c>
      <c r="C30976" t="s">
        <v>547</v>
      </c>
      <c r="D30976" s="21" t="s">
        <v>34</v>
      </c>
      <c r="E30976" s="21" t="s">
        <v>71</v>
      </c>
      <c r="F30976">
        <v>7590218</v>
      </c>
      <c r="G30976" t="s">
        <v>26769</v>
      </c>
      <c r="H30976" s="21">
        <v>534.66999999999996</v>
      </c>
    </row>
    <row r="30977" spans="1:8" customFormat="1" x14ac:dyDescent="0.25">
      <c r="A30977" t="str">
        <f>"878274"</f>
        <v>878274</v>
      </c>
      <c r="B30977" t="s">
        <v>20940</v>
      </c>
      <c r="C30977" t="s">
        <v>156</v>
      </c>
      <c r="D30977" s="21" t="s">
        <v>34</v>
      </c>
      <c r="E30977" s="21" t="s">
        <v>71</v>
      </c>
      <c r="F30977">
        <v>10870081</v>
      </c>
      <c r="G30977" t="s">
        <v>6698</v>
      </c>
      <c r="H30977" s="21">
        <v>534.54</v>
      </c>
    </row>
    <row r="30978" spans="1:8" customFormat="1" x14ac:dyDescent="0.25">
      <c r="A30978" t="str">
        <f>"6230913"</f>
        <v>6230913</v>
      </c>
      <c r="B30978" t="s">
        <v>8685</v>
      </c>
      <c r="C30978" t="s">
        <v>598</v>
      </c>
      <c r="D30978" s="21" t="s">
        <v>34</v>
      </c>
      <c r="E30978" s="21" t="s">
        <v>71</v>
      </c>
      <c r="F30978">
        <v>7620031</v>
      </c>
      <c r="G30978" t="s">
        <v>2182</v>
      </c>
      <c r="H30978" s="21">
        <v>534.5</v>
      </c>
    </row>
    <row r="30979" spans="1:8" customFormat="1" x14ac:dyDescent="0.25">
      <c r="A30979" t="str">
        <f>"5618976"</f>
        <v>5618976</v>
      </c>
      <c r="B30979" t="s">
        <v>14274</v>
      </c>
      <c r="C30979" t="s">
        <v>3073</v>
      </c>
      <c r="D30979" s="21" t="s">
        <v>34</v>
      </c>
      <c r="E30979" s="21" t="s">
        <v>71</v>
      </c>
      <c r="F30979">
        <v>3560046</v>
      </c>
      <c r="G30979" t="s">
        <v>9309</v>
      </c>
      <c r="H30979" s="21">
        <v>534.5</v>
      </c>
    </row>
    <row r="30980" spans="1:8" customFormat="1" x14ac:dyDescent="0.25">
      <c r="A30980" t="str">
        <f>"9536980"</f>
        <v>9536980</v>
      </c>
      <c r="B30980" t="s">
        <v>24672</v>
      </c>
      <c r="C30980" t="s">
        <v>1146</v>
      </c>
      <c r="D30980" s="21" t="s">
        <v>34</v>
      </c>
      <c r="E30980" s="21" t="s">
        <v>71</v>
      </c>
      <c r="F30980">
        <v>8950882</v>
      </c>
      <c r="G30980" t="s">
        <v>9516</v>
      </c>
      <c r="H30980" s="21">
        <v>534.5</v>
      </c>
    </row>
    <row r="30981" spans="1:8" customFormat="1" x14ac:dyDescent="0.25">
      <c r="A30981" t="str">
        <f>"0618554"</f>
        <v>0618554</v>
      </c>
      <c r="B30981" t="s">
        <v>24089</v>
      </c>
      <c r="C30981" t="s">
        <v>119</v>
      </c>
      <c r="D30981" s="21" t="s">
        <v>34</v>
      </c>
      <c r="E30981" s="21" t="s">
        <v>35</v>
      </c>
      <c r="F30981">
        <v>13060031</v>
      </c>
      <c r="G30981" t="s">
        <v>9379</v>
      </c>
      <c r="H30981" s="21">
        <v>534.5</v>
      </c>
    </row>
    <row r="30982" spans="1:8" customFormat="1" x14ac:dyDescent="0.25">
      <c r="A30982" t="str">
        <f>"7846771"</f>
        <v>7846771</v>
      </c>
      <c r="B30982" t="s">
        <v>5827</v>
      </c>
      <c r="C30982" t="s">
        <v>40</v>
      </c>
      <c r="D30982" s="21" t="s">
        <v>34</v>
      </c>
      <c r="E30982" s="21" t="s">
        <v>71</v>
      </c>
      <c r="F30982">
        <v>8780130</v>
      </c>
      <c r="G30982" t="s">
        <v>5752</v>
      </c>
      <c r="H30982" s="21">
        <v>534.41999999999996</v>
      </c>
    </row>
    <row r="30983" spans="1:8" customFormat="1" x14ac:dyDescent="0.25">
      <c r="A30983" t="str">
        <f>"9B727"</f>
        <v>9B727</v>
      </c>
      <c r="B30983" t="s">
        <v>22020</v>
      </c>
      <c r="C30983" t="s">
        <v>1539</v>
      </c>
      <c r="D30983" s="21" t="s">
        <v>34</v>
      </c>
      <c r="E30983" s="21" t="s">
        <v>71</v>
      </c>
      <c r="F30983" t="s">
        <v>17651</v>
      </c>
      <c r="G30983" t="s">
        <v>17652</v>
      </c>
      <c r="H30983" s="21">
        <v>534.29</v>
      </c>
    </row>
    <row r="30984" spans="1:8" customFormat="1" x14ac:dyDescent="0.25">
      <c r="A30984" t="str">
        <f>"2814981"</f>
        <v>2814981</v>
      </c>
      <c r="B30984" t="s">
        <v>6686</v>
      </c>
      <c r="C30984" t="s">
        <v>33</v>
      </c>
      <c r="D30984" s="21" t="s">
        <v>34</v>
      </c>
      <c r="E30984" s="21" t="s">
        <v>35</v>
      </c>
      <c r="F30984">
        <v>4280038</v>
      </c>
      <c r="G30984" t="s">
        <v>2526</v>
      </c>
      <c r="H30984" s="21">
        <v>534.29</v>
      </c>
    </row>
    <row r="30985" spans="1:8" customFormat="1" x14ac:dyDescent="0.25">
      <c r="A30985" t="str">
        <f>"7919483"</f>
        <v>7919483</v>
      </c>
      <c r="B30985" t="s">
        <v>24722</v>
      </c>
      <c r="C30985" t="s">
        <v>156</v>
      </c>
      <c r="D30985" s="21" t="s">
        <v>34</v>
      </c>
      <c r="E30985" s="21" t="s">
        <v>254</v>
      </c>
      <c r="F30985">
        <v>10790020</v>
      </c>
      <c r="G30985" t="s">
        <v>10221</v>
      </c>
      <c r="H30985" s="21">
        <v>534.16999999999996</v>
      </c>
    </row>
    <row r="30986" spans="1:8" customFormat="1" x14ac:dyDescent="0.25">
      <c r="A30986" t="str">
        <f>"7846833"</f>
        <v>7846833</v>
      </c>
      <c r="B30986" t="s">
        <v>28303</v>
      </c>
      <c r="C30986" t="s">
        <v>3073</v>
      </c>
      <c r="D30986" s="21" t="s">
        <v>34</v>
      </c>
      <c r="E30986" s="21" t="s">
        <v>71</v>
      </c>
      <c r="F30986">
        <v>8951092</v>
      </c>
      <c r="G30986" t="s">
        <v>5801</v>
      </c>
      <c r="H30986" s="21">
        <v>534.16999999999996</v>
      </c>
    </row>
    <row r="30987" spans="1:8" customFormat="1" x14ac:dyDescent="0.25">
      <c r="A30987" t="str">
        <f>"667781"</f>
        <v>667781</v>
      </c>
      <c r="B30987" t="s">
        <v>7781</v>
      </c>
      <c r="C30987" t="s">
        <v>24483</v>
      </c>
      <c r="D30987" s="21" t="s">
        <v>34</v>
      </c>
      <c r="E30987" s="21" t="s">
        <v>1089</v>
      </c>
      <c r="F30987">
        <v>11660011</v>
      </c>
      <c r="G30987" t="s">
        <v>4641</v>
      </c>
      <c r="H30987" s="21">
        <v>534.16999999999996</v>
      </c>
    </row>
    <row r="30988" spans="1:8" customFormat="1" x14ac:dyDescent="0.25">
      <c r="A30988" t="str">
        <f>"263859"</f>
        <v>263859</v>
      </c>
      <c r="B30988" t="s">
        <v>28304</v>
      </c>
      <c r="C30988" t="s">
        <v>156</v>
      </c>
      <c r="D30988" s="21" t="s">
        <v>34</v>
      </c>
      <c r="E30988" s="21" t="s">
        <v>254</v>
      </c>
      <c r="F30988">
        <v>1260026</v>
      </c>
      <c r="G30988" t="s">
        <v>516</v>
      </c>
      <c r="H30988" s="21">
        <v>534.16999999999996</v>
      </c>
    </row>
    <row r="30989" spans="1:8" customFormat="1" x14ac:dyDescent="0.25">
      <c r="A30989" t="str">
        <f>"8614030"</f>
        <v>8614030</v>
      </c>
      <c r="B30989" t="s">
        <v>623</v>
      </c>
      <c r="C30989" t="s">
        <v>169</v>
      </c>
      <c r="D30989" s="21" t="s">
        <v>34</v>
      </c>
      <c r="E30989" s="21" t="s">
        <v>35</v>
      </c>
      <c r="F30989">
        <v>10860017</v>
      </c>
      <c r="G30989" t="s">
        <v>2439</v>
      </c>
      <c r="H30989" s="21">
        <v>534.16999999999996</v>
      </c>
    </row>
    <row r="30990" spans="1:8" customFormat="1" x14ac:dyDescent="0.25">
      <c r="A30990" t="str">
        <f>"1423153"</f>
        <v>1423153</v>
      </c>
      <c r="B30990" t="s">
        <v>4888</v>
      </c>
      <c r="C30990" t="s">
        <v>209</v>
      </c>
      <c r="D30990" s="21" t="s">
        <v>34</v>
      </c>
      <c r="E30990" s="21" t="s">
        <v>71</v>
      </c>
      <c r="F30990">
        <v>9140228</v>
      </c>
      <c r="G30990" t="s">
        <v>16772</v>
      </c>
      <c r="H30990" s="21">
        <v>534.16999999999996</v>
      </c>
    </row>
    <row r="30991" spans="1:8" customFormat="1" x14ac:dyDescent="0.25">
      <c r="A30991" t="str">
        <f>"8512087"</f>
        <v>8512087</v>
      </c>
      <c r="B30991" t="s">
        <v>8044</v>
      </c>
      <c r="C30991" t="s">
        <v>40</v>
      </c>
      <c r="D30991" s="21" t="s">
        <v>34</v>
      </c>
      <c r="E30991" s="21" t="s">
        <v>254</v>
      </c>
      <c r="F30991">
        <v>12851016</v>
      </c>
      <c r="G30991" t="s">
        <v>1862</v>
      </c>
      <c r="H30991" s="21">
        <v>534.16999999999996</v>
      </c>
    </row>
    <row r="30992" spans="1:8" customFormat="1" x14ac:dyDescent="0.25">
      <c r="A30992" t="str">
        <f>"7635706"</f>
        <v>7635706</v>
      </c>
      <c r="B30992" t="s">
        <v>2883</v>
      </c>
      <c r="C30992" t="s">
        <v>60</v>
      </c>
      <c r="D30992" s="21" t="s">
        <v>34</v>
      </c>
      <c r="E30992" s="21" t="s">
        <v>35</v>
      </c>
      <c r="F30992">
        <v>9760127</v>
      </c>
      <c r="G30992" t="s">
        <v>7132</v>
      </c>
      <c r="H30992" s="21">
        <v>534.16999999999996</v>
      </c>
    </row>
    <row r="30993" spans="1:8" customFormat="1" x14ac:dyDescent="0.25">
      <c r="A30993" t="str">
        <f>"647964"</f>
        <v>647964</v>
      </c>
      <c r="B30993" t="s">
        <v>28305</v>
      </c>
      <c r="C30993" t="s">
        <v>598</v>
      </c>
      <c r="D30993" s="21" t="s">
        <v>34</v>
      </c>
      <c r="E30993" s="21" t="s">
        <v>35</v>
      </c>
      <c r="F30993">
        <v>8921458</v>
      </c>
      <c r="G30993" t="s">
        <v>162</v>
      </c>
      <c r="H30993" s="21">
        <v>534.16999999999996</v>
      </c>
    </row>
    <row r="30994" spans="1:8" customFormat="1" x14ac:dyDescent="0.25">
      <c r="A30994" t="str">
        <f>"396813"</f>
        <v>396813</v>
      </c>
      <c r="B30994" t="s">
        <v>597</v>
      </c>
      <c r="C30994" t="s">
        <v>171</v>
      </c>
      <c r="D30994" s="21" t="s">
        <v>34</v>
      </c>
      <c r="E30994" s="21" t="s">
        <v>35</v>
      </c>
      <c r="F30994">
        <v>2390007</v>
      </c>
      <c r="G30994" t="s">
        <v>3365</v>
      </c>
      <c r="H30994" s="21">
        <v>534.16999999999996</v>
      </c>
    </row>
    <row r="30995" spans="1:8" customFormat="1" x14ac:dyDescent="0.25">
      <c r="A30995" t="str">
        <f>"845935"</f>
        <v>845935</v>
      </c>
      <c r="B30995" t="s">
        <v>23961</v>
      </c>
      <c r="C30995" t="s">
        <v>253</v>
      </c>
      <c r="D30995" s="21" t="s">
        <v>34</v>
      </c>
      <c r="E30995" s="21" t="s">
        <v>254</v>
      </c>
      <c r="F30995">
        <v>13840012</v>
      </c>
      <c r="G30995" t="s">
        <v>5143</v>
      </c>
      <c r="H30995" s="21">
        <v>534.16999999999996</v>
      </c>
    </row>
    <row r="30996" spans="1:8" customFormat="1" x14ac:dyDescent="0.25">
      <c r="A30996" t="str">
        <f>"9318165"</f>
        <v>9318165</v>
      </c>
      <c r="B30996" t="s">
        <v>1167</v>
      </c>
      <c r="C30996" t="s">
        <v>7740</v>
      </c>
      <c r="D30996" s="21" t="s">
        <v>34</v>
      </c>
      <c r="E30996" s="21" t="s">
        <v>71</v>
      </c>
      <c r="F30996">
        <v>8931320</v>
      </c>
      <c r="G30996" t="s">
        <v>1537</v>
      </c>
      <c r="H30996" s="21">
        <v>534.16999999999996</v>
      </c>
    </row>
    <row r="30997" spans="1:8" customFormat="1" x14ac:dyDescent="0.25">
      <c r="A30997" t="str">
        <f>"6814671"</f>
        <v>6814671</v>
      </c>
      <c r="B30997" t="s">
        <v>28306</v>
      </c>
      <c r="C30997" t="s">
        <v>1119</v>
      </c>
      <c r="D30997" s="21" t="s">
        <v>34</v>
      </c>
      <c r="E30997" s="21" t="s">
        <v>71</v>
      </c>
      <c r="F30997">
        <v>6680139</v>
      </c>
      <c r="G30997" t="s">
        <v>8652</v>
      </c>
      <c r="H30997" s="21">
        <v>534.16999999999996</v>
      </c>
    </row>
    <row r="30998" spans="1:8" customFormat="1" x14ac:dyDescent="0.25">
      <c r="A30998" t="str">
        <f>"3342722"</f>
        <v>3342722</v>
      </c>
      <c r="B30998" t="s">
        <v>24721</v>
      </c>
      <c r="C30998" t="s">
        <v>601</v>
      </c>
      <c r="D30998" s="21" t="s">
        <v>34</v>
      </c>
      <c r="E30998" s="21" t="s">
        <v>35</v>
      </c>
      <c r="F30998">
        <v>10330004</v>
      </c>
      <c r="G30998" t="s">
        <v>525</v>
      </c>
      <c r="H30998" s="21">
        <v>534.16999999999996</v>
      </c>
    </row>
    <row r="30999" spans="1:8" customFormat="1" x14ac:dyDescent="0.25">
      <c r="A30999" t="str">
        <f>"893237"</f>
        <v>893237</v>
      </c>
      <c r="B30999" t="s">
        <v>4081</v>
      </c>
      <c r="C30999" t="s">
        <v>1705</v>
      </c>
      <c r="D30999" s="21" t="s">
        <v>34</v>
      </c>
      <c r="E30999" s="21" t="s">
        <v>1089</v>
      </c>
      <c r="F30999">
        <v>2890019</v>
      </c>
      <c r="G30999" t="s">
        <v>1857</v>
      </c>
      <c r="H30999" s="21">
        <v>534.16999999999996</v>
      </c>
    </row>
    <row r="31000" spans="1:8" customFormat="1" x14ac:dyDescent="0.25">
      <c r="A31000" t="str">
        <f>"4112418"</f>
        <v>4112418</v>
      </c>
      <c r="B31000" t="s">
        <v>3906</v>
      </c>
      <c r="C31000" t="s">
        <v>114</v>
      </c>
      <c r="D31000" s="21" t="s">
        <v>34</v>
      </c>
      <c r="E31000" s="21" t="s">
        <v>71</v>
      </c>
      <c r="F31000">
        <v>4410612</v>
      </c>
      <c r="G31000" t="s">
        <v>815</v>
      </c>
      <c r="H31000" s="21">
        <v>534.16999999999996</v>
      </c>
    </row>
    <row r="31001" spans="1:8" customFormat="1" x14ac:dyDescent="0.25">
      <c r="A31001" t="str">
        <f>"1425726"</f>
        <v>1425726</v>
      </c>
      <c r="B31001" t="s">
        <v>28307</v>
      </c>
      <c r="C31001" t="s">
        <v>23771</v>
      </c>
      <c r="D31001" s="21" t="s">
        <v>34</v>
      </c>
      <c r="E31001" s="21" t="s">
        <v>254</v>
      </c>
      <c r="F31001">
        <v>9140012</v>
      </c>
      <c r="G31001" t="s">
        <v>26518</v>
      </c>
      <c r="H31001" s="21">
        <v>534.16999999999996</v>
      </c>
    </row>
    <row r="31002" spans="1:8" customFormat="1" x14ac:dyDescent="0.25">
      <c r="A31002" t="str">
        <f>"2512561"</f>
        <v>2512561</v>
      </c>
      <c r="B31002" t="s">
        <v>21662</v>
      </c>
      <c r="C31002" t="s">
        <v>267</v>
      </c>
      <c r="D31002" s="21" t="s">
        <v>34</v>
      </c>
      <c r="E31002" s="21" t="s">
        <v>71</v>
      </c>
      <c r="F31002">
        <v>2250216</v>
      </c>
      <c r="G31002" t="s">
        <v>11454</v>
      </c>
      <c r="H31002" s="21">
        <v>534.16999999999996</v>
      </c>
    </row>
    <row r="31003" spans="1:8" customFormat="1" x14ac:dyDescent="0.25">
      <c r="A31003" t="str">
        <f>"5960003"</f>
        <v>5960003</v>
      </c>
      <c r="B31003" t="s">
        <v>19049</v>
      </c>
      <c r="C31003" t="s">
        <v>169</v>
      </c>
      <c r="D31003" s="21" t="s">
        <v>34</v>
      </c>
      <c r="E31003" s="21" t="s">
        <v>35</v>
      </c>
      <c r="F31003">
        <v>7620049</v>
      </c>
      <c r="G31003" t="s">
        <v>1176</v>
      </c>
      <c r="H31003" s="21">
        <v>534.16999999999996</v>
      </c>
    </row>
    <row r="31004" spans="1:8" customFormat="1" x14ac:dyDescent="0.25">
      <c r="A31004" t="str">
        <f>"3332215"</f>
        <v>3332215</v>
      </c>
      <c r="B31004" t="s">
        <v>22826</v>
      </c>
      <c r="C31004" t="s">
        <v>415</v>
      </c>
      <c r="D31004" s="21" t="s">
        <v>34</v>
      </c>
      <c r="E31004" s="21" t="s">
        <v>71</v>
      </c>
      <c r="F31004">
        <v>10330004</v>
      </c>
      <c r="G31004" t="s">
        <v>525</v>
      </c>
      <c r="H31004" s="21">
        <v>534.16999999999996</v>
      </c>
    </row>
    <row r="31005" spans="1:8" customFormat="1" x14ac:dyDescent="0.25">
      <c r="A31005" t="str">
        <f>"7622004"</f>
        <v>7622004</v>
      </c>
      <c r="B31005" t="s">
        <v>2355</v>
      </c>
      <c r="C31005" t="s">
        <v>60</v>
      </c>
      <c r="D31005" s="21" t="s">
        <v>34</v>
      </c>
      <c r="E31005" s="21" t="s">
        <v>35</v>
      </c>
      <c r="F31005">
        <v>9270187</v>
      </c>
      <c r="G31005" t="s">
        <v>6733</v>
      </c>
      <c r="H31005" s="21">
        <v>534.16999999999996</v>
      </c>
    </row>
    <row r="31006" spans="1:8" customFormat="1" x14ac:dyDescent="0.25">
      <c r="A31006" t="str">
        <f>"2916728"</f>
        <v>2916728</v>
      </c>
      <c r="B31006" t="s">
        <v>21206</v>
      </c>
      <c r="C31006" t="s">
        <v>40</v>
      </c>
      <c r="D31006" s="21" t="s">
        <v>34</v>
      </c>
      <c r="E31006" s="21" t="s">
        <v>71</v>
      </c>
      <c r="F31006">
        <v>3290087</v>
      </c>
      <c r="G31006" t="s">
        <v>364</v>
      </c>
      <c r="H31006" s="21">
        <v>534.16999999999996</v>
      </c>
    </row>
    <row r="31007" spans="1:8" customFormat="1" x14ac:dyDescent="0.25">
      <c r="A31007" t="str">
        <f>"396787"</f>
        <v>396787</v>
      </c>
      <c r="B31007" t="s">
        <v>28308</v>
      </c>
      <c r="C31007" t="s">
        <v>3843</v>
      </c>
      <c r="D31007" s="21" t="s">
        <v>34</v>
      </c>
      <c r="E31007" s="21" t="s">
        <v>71</v>
      </c>
      <c r="F31007">
        <v>2390003</v>
      </c>
      <c r="G31007" t="s">
        <v>1150</v>
      </c>
      <c r="H31007" s="21">
        <v>534.16999999999996</v>
      </c>
    </row>
    <row r="31008" spans="1:8" customFormat="1" x14ac:dyDescent="0.25">
      <c r="A31008" t="str">
        <f>"417497"</f>
        <v>417497</v>
      </c>
      <c r="B31008" t="s">
        <v>22960</v>
      </c>
      <c r="C31008" t="s">
        <v>62</v>
      </c>
      <c r="D31008" s="21" t="s">
        <v>34</v>
      </c>
      <c r="E31008" s="21" t="s">
        <v>35</v>
      </c>
      <c r="F31008">
        <v>4410543</v>
      </c>
      <c r="G31008" t="s">
        <v>14950</v>
      </c>
      <c r="H31008" s="21">
        <v>534.16999999999996</v>
      </c>
    </row>
    <row r="31009" spans="1:8" customFormat="1" x14ac:dyDescent="0.25">
      <c r="A31009" t="str">
        <f>"2938919"</f>
        <v>2938919</v>
      </c>
      <c r="B31009" t="s">
        <v>28309</v>
      </c>
      <c r="C31009" t="s">
        <v>269</v>
      </c>
      <c r="D31009" s="21" t="s">
        <v>34</v>
      </c>
      <c r="E31009" s="21" t="s">
        <v>71</v>
      </c>
      <c r="F31009">
        <v>3290023</v>
      </c>
      <c r="G31009" t="s">
        <v>3883</v>
      </c>
      <c r="H31009" s="21">
        <v>534.16999999999996</v>
      </c>
    </row>
    <row r="31010" spans="1:8" customFormat="1" x14ac:dyDescent="0.25">
      <c r="A31010" t="str">
        <f>"9320357"</f>
        <v>9320357</v>
      </c>
      <c r="B31010" t="s">
        <v>11175</v>
      </c>
      <c r="C31010" t="s">
        <v>1119</v>
      </c>
      <c r="D31010" s="21" t="s">
        <v>34</v>
      </c>
      <c r="E31010" s="21" t="s">
        <v>71</v>
      </c>
      <c r="F31010">
        <v>8930430</v>
      </c>
      <c r="G31010" t="s">
        <v>995</v>
      </c>
      <c r="H31010" s="21">
        <v>534.04</v>
      </c>
    </row>
    <row r="31011" spans="1:8" customFormat="1" x14ac:dyDescent="0.25">
      <c r="A31011" t="str">
        <f>"3722583"</f>
        <v>3722583</v>
      </c>
      <c r="B31011" t="s">
        <v>1886</v>
      </c>
      <c r="C31011" t="s">
        <v>119</v>
      </c>
      <c r="D31011" s="21" t="s">
        <v>34</v>
      </c>
      <c r="E31011" s="21" t="s">
        <v>35</v>
      </c>
      <c r="F31011">
        <v>4370442</v>
      </c>
      <c r="G31011" t="s">
        <v>7869</v>
      </c>
      <c r="H31011" s="21">
        <v>534</v>
      </c>
    </row>
    <row r="31012" spans="1:8" customFormat="1" x14ac:dyDescent="0.25">
      <c r="A31012" t="str">
        <f>"5969370"</f>
        <v>5969370</v>
      </c>
      <c r="B31012" t="s">
        <v>21197</v>
      </c>
      <c r="C31012" t="s">
        <v>1468</v>
      </c>
      <c r="D31012" s="21" t="s">
        <v>34</v>
      </c>
      <c r="E31012" s="21" t="s">
        <v>35</v>
      </c>
      <c r="F31012">
        <v>7590352</v>
      </c>
      <c r="G31012" t="s">
        <v>9634</v>
      </c>
      <c r="H31012" s="21">
        <v>534</v>
      </c>
    </row>
    <row r="31013" spans="1:8" customFormat="1" x14ac:dyDescent="0.25">
      <c r="A31013" t="str">
        <f>"5414376"</f>
        <v>5414376</v>
      </c>
      <c r="B31013" t="s">
        <v>461</v>
      </c>
      <c r="C31013" t="s">
        <v>462</v>
      </c>
      <c r="D31013" s="21" t="s">
        <v>34</v>
      </c>
      <c r="E31013" s="21" t="s">
        <v>35</v>
      </c>
      <c r="F31013">
        <v>6540010</v>
      </c>
      <c r="G31013" t="s">
        <v>7832</v>
      </c>
      <c r="H31013" s="21">
        <v>534</v>
      </c>
    </row>
    <row r="31014" spans="1:8" customFormat="1" x14ac:dyDescent="0.25">
      <c r="A31014" t="str">
        <f>"9459764"</f>
        <v>9459764</v>
      </c>
      <c r="B31014" t="s">
        <v>6122</v>
      </c>
      <c r="C31014" t="s">
        <v>1132</v>
      </c>
      <c r="D31014" s="21" t="s">
        <v>34</v>
      </c>
      <c r="E31014" s="21" t="s">
        <v>35</v>
      </c>
      <c r="F31014">
        <v>8940655</v>
      </c>
      <c r="G31014" t="s">
        <v>10168</v>
      </c>
      <c r="H31014" s="21">
        <v>534</v>
      </c>
    </row>
    <row r="31015" spans="1:8" customFormat="1" x14ac:dyDescent="0.25">
      <c r="A31015" t="str">
        <f>"879770"</f>
        <v>879770</v>
      </c>
      <c r="B31015" t="s">
        <v>4574</v>
      </c>
      <c r="C31015" t="s">
        <v>130</v>
      </c>
      <c r="D31015" s="21" t="s">
        <v>34</v>
      </c>
      <c r="E31015" s="21" t="s">
        <v>35</v>
      </c>
      <c r="F31015">
        <v>10870031</v>
      </c>
      <c r="G31015" t="s">
        <v>959</v>
      </c>
      <c r="H31015" s="21">
        <v>534</v>
      </c>
    </row>
    <row r="31016" spans="1:8" customFormat="1" x14ac:dyDescent="0.25">
      <c r="A31016" t="str">
        <f>"7111309"</f>
        <v>7111309</v>
      </c>
      <c r="B31016" t="s">
        <v>22201</v>
      </c>
      <c r="C31016" t="s">
        <v>3648</v>
      </c>
      <c r="D31016" s="21" t="s">
        <v>34</v>
      </c>
      <c r="E31016" s="21" t="s">
        <v>1089</v>
      </c>
      <c r="F31016">
        <v>2710025</v>
      </c>
      <c r="G31016" t="s">
        <v>2719</v>
      </c>
      <c r="H31016" s="21">
        <v>534</v>
      </c>
    </row>
    <row r="31017" spans="1:8" customFormat="1" x14ac:dyDescent="0.25">
      <c r="A31017" t="str">
        <f>"3830334"</f>
        <v>3830334</v>
      </c>
      <c r="B31017" t="s">
        <v>22359</v>
      </c>
      <c r="C31017" t="s">
        <v>7506</v>
      </c>
      <c r="D31017" s="21" t="s">
        <v>34</v>
      </c>
      <c r="E31017" s="21" t="s">
        <v>35</v>
      </c>
      <c r="F31017">
        <v>1380199</v>
      </c>
      <c r="G31017" t="s">
        <v>321</v>
      </c>
      <c r="H31017" s="21">
        <v>534</v>
      </c>
    </row>
    <row r="31018" spans="1:8" customFormat="1" x14ac:dyDescent="0.25">
      <c r="A31018" t="str">
        <f>"774398"</f>
        <v>774398</v>
      </c>
      <c r="B31018" t="s">
        <v>22573</v>
      </c>
      <c r="C31018" t="s">
        <v>267</v>
      </c>
      <c r="D31018" s="21" t="s">
        <v>34</v>
      </c>
      <c r="E31018" s="21" t="s">
        <v>254</v>
      </c>
      <c r="F31018">
        <v>8771172</v>
      </c>
      <c r="G31018" t="s">
        <v>12662</v>
      </c>
      <c r="H31018" s="21">
        <v>533.91999999999996</v>
      </c>
    </row>
    <row r="31019" spans="1:8" customFormat="1" x14ac:dyDescent="0.25">
      <c r="A31019" t="str">
        <f>"5325206"</f>
        <v>5325206</v>
      </c>
      <c r="B31019" t="s">
        <v>556</v>
      </c>
      <c r="C31019" t="s">
        <v>139</v>
      </c>
      <c r="D31019" s="21" t="s">
        <v>34</v>
      </c>
      <c r="E31019" s="21" t="s">
        <v>35</v>
      </c>
      <c r="F31019">
        <v>12530033</v>
      </c>
      <c r="G31019" t="s">
        <v>10046</v>
      </c>
      <c r="H31019" s="21">
        <v>533.91999999999996</v>
      </c>
    </row>
    <row r="31020" spans="1:8" customFormat="1" x14ac:dyDescent="0.25">
      <c r="A31020" t="str">
        <f>"716119"</f>
        <v>716119</v>
      </c>
      <c r="B31020" t="s">
        <v>6355</v>
      </c>
      <c r="C31020" t="s">
        <v>209</v>
      </c>
      <c r="D31020" s="21" t="s">
        <v>34</v>
      </c>
      <c r="E31020" s="21" t="s">
        <v>71</v>
      </c>
      <c r="F31020">
        <v>2710035</v>
      </c>
      <c r="G31020" t="s">
        <v>7300</v>
      </c>
      <c r="H31020" s="21">
        <v>533.91999999999996</v>
      </c>
    </row>
    <row r="31021" spans="1:8" customFormat="1" x14ac:dyDescent="0.25">
      <c r="A31021" t="str">
        <f>"4527601"</f>
        <v>4527601</v>
      </c>
      <c r="B31021" t="s">
        <v>19371</v>
      </c>
      <c r="C31021" t="s">
        <v>43</v>
      </c>
      <c r="D31021" s="21" t="s">
        <v>34</v>
      </c>
      <c r="E31021" s="21" t="s">
        <v>35</v>
      </c>
      <c r="F31021">
        <v>4450762</v>
      </c>
      <c r="G31021" t="s">
        <v>8632</v>
      </c>
      <c r="H31021" s="21">
        <v>533.88</v>
      </c>
    </row>
    <row r="31022" spans="1:8" customFormat="1" x14ac:dyDescent="0.25">
      <c r="A31022" t="str">
        <f>"3343944"</f>
        <v>3343944</v>
      </c>
      <c r="B31022" t="s">
        <v>3942</v>
      </c>
      <c r="C31022" t="s">
        <v>55</v>
      </c>
      <c r="D31022" s="21" t="s">
        <v>34</v>
      </c>
      <c r="E31022" s="21" t="s">
        <v>35</v>
      </c>
      <c r="F31022">
        <v>10330024</v>
      </c>
      <c r="G31022" t="s">
        <v>16744</v>
      </c>
      <c r="H31022" s="21">
        <v>533.79</v>
      </c>
    </row>
    <row r="31023" spans="1:8" customFormat="1" x14ac:dyDescent="0.25">
      <c r="A31023" t="str">
        <f>"4920971"</f>
        <v>4920971</v>
      </c>
      <c r="B31023" t="s">
        <v>12933</v>
      </c>
      <c r="C31023" t="s">
        <v>1853</v>
      </c>
      <c r="D31023" s="21" t="s">
        <v>34</v>
      </c>
      <c r="E31023" s="21" t="s">
        <v>71</v>
      </c>
      <c r="F31023">
        <v>12490033</v>
      </c>
      <c r="G31023" t="s">
        <v>3469</v>
      </c>
      <c r="H31023" s="21">
        <v>533.79</v>
      </c>
    </row>
    <row r="31024" spans="1:8" customFormat="1" x14ac:dyDescent="0.25">
      <c r="A31024" t="str">
        <f>"5973575"</f>
        <v>5973575</v>
      </c>
      <c r="B31024" t="s">
        <v>21981</v>
      </c>
      <c r="C31024" t="s">
        <v>204</v>
      </c>
      <c r="D31024" s="21" t="s">
        <v>34</v>
      </c>
      <c r="E31024" s="21" t="s">
        <v>35</v>
      </c>
      <c r="F31024">
        <v>7590033</v>
      </c>
      <c r="G31024" t="s">
        <v>6329</v>
      </c>
      <c r="H31024" s="21">
        <v>533.66999999999996</v>
      </c>
    </row>
    <row r="31025" spans="1:8" customFormat="1" x14ac:dyDescent="0.25">
      <c r="A31025" t="str">
        <f>"0811735"</f>
        <v>0811735</v>
      </c>
      <c r="B31025" t="s">
        <v>21564</v>
      </c>
      <c r="C31025" t="s">
        <v>1812</v>
      </c>
      <c r="D31025" s="21" t="s">
        <v>34</v>
      </c>
      <c r="E31025" s="21" t="s">
        <v>35</v>
      </c>
      <c r="F31025">
        <v>6080004</v>
      </c>
      <c r="G31025" t="s">
        <v>2059</v>
      </c>
      <c r="H31025" s="21">
        <v>533.66999999999996</v>
      </c>
    </row>
    <row r="31026" spans="1:8" customFormat="1" x14ac:dyDescent="0.25">
      <c r="A31026" t="str">
        <f>"4220111"</f>
        <v>4220111</v>
      </c>
      <c r="B31026" t="s">
        <v>4352</v>
      </c>
      <c r="C31026" t="s">
        <v>198</v>
      </c>
      <c r="D31026" s="21" t="s">
        <v>34</v>
      </c>
      <c r="E31026" s="21" t="s">
        <v>35</v>
      </c>
      <c r="F31026">
        <v>1420017</v>
      </c>
      <c r="G31026" t="s">
        <v>1296</v>
      </c>
      <c r="H31026" s="21">
        <v>533.66999999999996</v>
      </c>
    </row>
    <row r="31027" spans="1:8" customFormat="1" x14ac:dyDescent="0.25">
      <c r="A31027" t="str">
        <f>"2718332"</f>
        <v>2718332</v>
      </c>
      <c r="B31027" t="s">
        <v>15161</v>
      </c>
      <c r="C31027" t="s">
        <v>187</v>
      </c>
      <c r="D31027" s="21" t="s">
        <v>34</v>
      </c>
      <c r="E31027" s="21" t="s">
        <v>35</v>
      </c>
      <c r="F31027">
        <v>9270150</v>
      </c>
      <c r="G31027" t="s">
        <v>11661</v>
      </c>
      <c r="H31027" s="21">
        <v>533.66999999999996</v>
      </c>
    </row>
    <row r="31028" spans="1:8" customFormat="1" x14ac:dyDescent="0.25">
      <c r="A31028" t="str">
        <f>"94932"</f>
        <v>94932</v>
      </c>
      <c r="B31028" t="s">
        <v>20116</v>
      </c>
      <c r="C31028" t="s">
        <v>598</v>
      </c>
      <c r="D31028" s="21" t="s">
        <v>34</v>
      </c>
      <c r="E31028" s="21" t="s">
        <v>254</v>
      </c>
      <c r="F31028">
        <v>8940524</v>
      </c>
      <c r="G31028" t="s">
        <v>6176</v>
      </c>
      <c r="H31028" s="21">
        <v>533.66999999999996</v>
      </c>
    </row>
    <row r="31029" spans="1:8" customFormat="1" x14ac:dyDescent="0.25">
      <c r="A31029" t="str">
        <f>"861445"</f>
        <v>861445</v>
      </c>
      <c r="B31029" t="s">
        <v>20955</v>
      </c>
      <c r="C31029" t="s">
        <v>239</v>
      </c>
      <c r="D31029" s="21" t="s">
        <v>34</v>
      </c>
      <c r="E31029" s="21" t="s">
        <v>254</v>
      </c>
      <c r="F31029">
        <v>10860017</v>
      </c>
      <c r="G31029" t="s">
        <v>2439</v>
      </c>
      <c r="H31029" s="21">
        <v>533.66999999999996</v>
      </c>
    </row>
    <row r="31030" spans="1:8" customFormat="1" x14ac:dyDescent="0.25">
      <c r="A31030" t="str">
        <f>"4217565"</f>
        <v>4217565</v>
      </c>
      <c r="B31030" t="s">
        <v>6964</v>
      </c>
      <c r="C31030" t="s">
        <v>149</v>
      </c>
      <c r="D31030" s="21" t="s">
        <v>34</v>
      </c>
      <c r="E31030" s="21" t="s">
        <v>35</v>
      </c>
      <c r="F31030">
        <v>1420117</v>
      </c>
      <c r="G31030" t="s">
        <v>2649</v>
      </c>
      <c r="H31030" s="21">
        <v>533.66999999999996</v>
      </c>
    </row>
    <row r="31031" spans="1:8" customFormat="1" x14ac:dyDescent="0.25">
      <c r="A31031" t="str">
        <f>"5940130"</f>
        <v>5940130</v>
      </c>
      <c r="B31031" t="s">
        <v>21494</v>
      </c>
      <c r="C31031" t="s">
        <v>109</v>
      </c>
      <c r="D31031" s="21" t="s">
        <v>34</v>
      </c>
      <c r="E31031" s="21" t="s">
        <v>71</v>
      </c>
      <c r="F31031">
        <v>7590244</v>
      </c>
      <c r="G31031" t="s">
        <v>5768</v>
      </c>
      <c r="H31031" s="21">
        <v>533.66999999999996</v>
      </c>
    </row>
    <row r="31032" spans="1:8" customFormat="1" x14ac:dyDescent="0.25">
      <c r="A31032" t="str">
        <f>"7721969"</f>
        <v>7721969</v>
      </c>
      <c r="B31032" t="s">
        <v>20771</v>
      </c>
      <c r="C31032" t="s">
        <v>486</v>
      </c>
      <c r="D31032" s="21" t="s">
        <v>34</v>
      </c>
      <c r="E31032" s="21" t="s">
        <v>71</v>
      </c>
      <c r="F31032">
        <v>8770911</v>
      </c>
      <c r="G31032" t="s">
        <v>4824</v>
      </c>
      <c r="H31032" s="21">
        <v>533.66999999999996</v>
      </c>
    </row>
    <row r="31033" spans="1:8" customFormat="1" x14ac:dyDescent="0.25">
      <c r="A31033" t="str">
        <f>"537273"</f>
        <v>537273</v>
      </c>
      <c r="B31033" t="s">
        <v>4029</v>
      </c>
      <c r="C31033" t="s">
        <v>98</v>
      </c>
      <c r="D31033" s="21" t="s">
        <v>34</v>
      </c>
      <c r="E31033" s="21" t="s">
        <v>35</v>
      </c>
      <c r="F31033">
        <v>12530016</v>
      </c>
      <c r="G31033" t="s">
        <v>2069</v>
      </c>
      <c r="H31033" s="21">
        <v>533.66999999999996</v>
      </c>
    </row>
    <row r="31034" spans="1:8" customFormat="1" x14ac:dyDescent="0.25">
      <c r="A31034" t="str">
        <f>"036837"</f>
        <v>036837</v>
      </c>
      <c r="B31034" t="s">
        <v>21426</v>
      </c>
      <c r="C31034" t="s">
        <v>33</v>
      </c>
      <c r="D31034" s="21" t="s">
        <v>34</v>
      </c>
      <c r="E31034" s="21" t="s">
        <v>71</v>
      </c>
      <c r="F31034">
        <v>1030308</v>
      </c>
      <c r="G31034" t="s">
        <v>1485</v>
      </c>
      <c r="H31034" s="21">
        <v>533.66999999999996</v>
      </c>
    </row>
    <row r="31035" spans="1:8" customFormat="1" x14ac:dyDescent="0.25">
      <c r="A31035" t="str">
        <f>"5413275"</f>
        <v>5413275</v>
      </c>
      <c r="B31035" t="s">
        <v>22762</v>
      </c>
      <c r="C31035" t="s">
        <v>109</v>
      </c>
      <c r="D31035" s="21" t="s">
        <v>34</v>
      </c>
      <c r="E31035" s="21" t="s">
        <v>71</v>
      </c>
      <c r="F31035">
        <v>6540068</v>
      </c>
      <c r="G31035" t="s">
        <v>21942</v>
      </c>
      <c r="H31035" s="21">
        <v>533.66999999999996</v>
      </c>
    </row>
    <row r="31036" spans="1:8" customFormat="1" x14ac:dyDescent="0.25">
      <c r="A31036" t="str">
        <f>"7638911"</f>
        <v>7638911</v>
      </c>
      <c r="B31036" t="s">
        <v>20210</v>
      </c>
      <c r="C31036" t="s">
        <v>267</v>
      </c>
      <c r="D31036" s="21" t="s">
        <v>34</v>
      </c>
      <c r="E31036" s="21" t="s">
        <v>254</v>
      </c>
      <c r="F31036">
        <v>9760374</v>
      </c>
      <c r="G31036" t="s">
        <v>6867</v>
      </c>
      <c r="H31036" s="21">
        <v>533.66999999999996</v>
      </c>
    </row>
    <row r="31037" spans="1:8" customFormat="1" x14ac:dyDescent="0.25">
      <c r="A31037" t="str">
        <f>"4449839"</f>
        <v>4449839</v>
      </c>
      <c r="B31037" t="s">
        <v>23557</v>
      </c>
      <c r="C31037" t="s">
        <v>209</v>
      </c>
      <c r="D31037" s="21" t="s">
        <v>34</v>
      </c>
      <c r="E31037" s="21" t="s">
        <v>71</v>
      </c>
      <c r="F31037">
        <v>12440002</v>
      </c>
      <c r="G31037" t="s">
        <v>47</v>
      </c>
      <c r="H31037" s="21">
        <v>533.66999999999996</v>
      </c>
    </row>
    <row r="31038" spans="1:8" customFormat="1" x14ac:dyDescent="0.25">
      <c r="A31038" t="str">
        <f>"864596"</f>
        <v>864596</v>
      </c>
      <c r="B31038" t="s">
        <v>11561</v>
      </c>
      <c r="C31038" t="s">
        <v>2520</v>
      </c>
      <c r="D31038" s="21" t="s">
        <v>34</v>
      </c>
      <c r="E31038" s="21" t="s">
        <v>6185</v>
      </c>
      <c r="F31038">
        <v>10860187</v>
      </c>
      <c r="G31038" t="s">
        <v>9991</v>
      </c>
      <c r="H31038" s="21">
        <v>533.66999999999996</v>
      </c>
    </row>
    <row r="31039" spans="1:8" customFormat="1" x14ac:dyDescent="0.25">
      <c r="A31039" t="str">
        <f>"7726753"</f>
        <v>7726753</v>
      </c>
      <c r="B31039" t="s">
        <v>21672</v>
      </c>
      <c r="C31039" t="s">
        <v>288</v>
      </c>
      <c r="D31039" s="21" t="s">
        <v>34</v>
      </c>
      <c r="E31039" s="21" t="s">
        <v>35</v>
      </c>
      <c r="F31039">
        <v>8771448</v>
      </c>
      <c r="G31039" t="s">
        <v>11540</v>
      </c>
      <c r="H31039" s="21">
        <v>533.66999999999996</v>
      </c>
    </row>
    <row r="31040" spans="1:8" customFormat="1" x14ac:dyDescent="0.25">
      <c r="A31040" t="str">
        <f>"9535932"</f>
        <v>9535932</v>
      </c>
      <c r="B31040" t="s">
        <v>28310</v>
      </c>
      <c r="C31040" t="s">
        <v>28311</v>
      </c>
      <c r="D31040" s="21" t="s">
        <v>34</v>
      </c>
      <c r="E31040" s="21" t="s">
        <v>35</v>
      </c>
      <c r="F31040">
        <v>8950119</v>
      </c>
      <c r="G31040" t="s">
        <v>8174</v>
      </c>
      <c r="H31040" s="21">
        <v>533.66999999999996</v>
      </c>
    </row>
    <row r="31041" spans="1:8" customFormat="1" x14ac:dyDescent="0.25">
      <c r="A31041" t="str">
        <f>"1426602"</f>
        <v>1426602</v>
      </c>
      <c r="B31041" t="s">
        <v>1094</v>
      </c>
      <c r="C31041" t="s">
        <v>236</v>
      </c>
      <c r="D31041" s="21" t="s">
        <v>34</v>
      </c>
      <c r="E31041" s="21" t="s">
        <v>71</v>
      </c>
      <c r="F31041">
        <v>9140237</v>
      </c>
      <c r="G31041" t="s">
        <v>4722</v>
      </c>
      <c r="H31041" s="21">
        <v>533.66999999999996</v>
      </c>
    </row>
    <row r="31042" spans="1:8" customFormat="1" x14ac:dyDescent="0.25">
      <c r="A31042" t="str">
        <f>"1424462"</f>
        <v>1424462</v>
      </c>
      <c r="B31042" t="s">
        <v>16513</v>
      </c>
      <c r="C31042" t="s">
        <v>109</v>
      </c>
      <c r="D31042" s="21" t="s">
        <v>34</v>
      </c>
      <c r="E31042" s="21" t="s">
        <v>35</v>
      </c>
      <c r="F31042">
        <v>9140013</v>
      </c>
      <c r="G31042" t="s">
        <v>1837</v>
      </c>
      <c r="H31042" s="21">
        <v>533.66999999999996</v>
      </c>
    </row>
    <row r="31043" spans="1:8" customFormat="1" x14ac:dyDescent="0.25">
      <c r="A31043" t="str">
        <f>"9251949"</f>
        <v>9251949</v>
      </c>
      <c r="B31043" t="s">
        <v>4291</v>
      </c>
      <c r="C31043" t="s">
        <v>169</v>
      </c>
      <c r="D31043" s="21" t="s">
        <v>34</v>
      </c>
      <c r="E31043" s="21" t="s">
        <v>35</v>
      </c>
      <c r="F31043">
        <v>8920025</v>
      </c>
      <c r="G31043" t="s">
        <v>159</v>
      </c>
      <c r="H31043" s="21">
        <v>533.5</v>
      </c>
    </row>
    <row r="31044" spans="1:8" customFormat="1" x14ac:dyDescent="0.25">
      <c r="A31044" t="str">
        <f>"7641336"</f>
        <v>7641336</v>
      </c>
      <c r="B31044" t="s">
        <v>14361</v>
      </c>
      <c r="C31044" t="s">
        <v>124</v>
      </c>
      <c r="D31044" s="21" t="s">
        <v>34</v>
      </c>
      <c r="E31044" s="21" t="s">
        <v>254</v>
      </c>
      <c r="F31044">
        <v>9760291</v>
      </c>
      <c r="G31044" t="s">
        <v>26611</v>
      </c>
      <c r="H31044" s="21">
        <v>533.5</v>
      </c>
    </row>
    <row r="31045" spans="1:8" customFormat="1" x14ac:dyDescent="0.25">
      <c r="A31045" t="str">
        <f>"9420471"</f>
        <v>9420471</v>
      </c>
      <c r="B31045" t="s">
        <v>23828</v>
      </c>
      <c r="C31045" t="s">
        <v>121</v>
      </c>
      <c r="D31045" s="21" t="s">
        <v>34</v>
      </c>
      <c r="E31045" s="21" t="s">
        <v>254</v>
      </c>
      <c r="F31045">
        <v>8771501</v>
      </c>
      <c r="G31045" t="s">
        <v>10128</v>
      </c>
      <c r="H31045" s="21">
        <v>533.5</v>
      </c>
    </row>
    <row r="31046" spans="1:8" customFormat="1" x14ac:dyDescent="0.25">
      <c r="A31046" t="str">
        <f>"4710343"</f>
        <v>4710343</v>
      </c>
      <c r="B31046" t="s">
        <v>28312</v>
      </c>
      <c r="C31046" t="s">
        <v>269</v>
      </c>
      <c r="D31046" s="21" t="s">
        <v>34</v>
      </c>
      <c r="E31046" s="21" t="s">
        <v>71</v>
      </c>
      <c r="F31046">
        <v>10470007</v>
      </c>
      <c r="G31046" t="s">
        <v>3049</v>
      </c>
      <c r="H31046" s="21">
        <v>533.16999999999996</v>
      </c>
    </row>
    <row r="31047" spans="1:8" customFormat="1" x14ac:dyDescent="0.25">
      <c r="A31047" t="str">
        <f>"284641"</f>
        <v>284641</v>
      </c>
      <c r="B31047" t="s">
        <v>20988</v>
      </c>
      <c r="C31047" t="s">
        <v>269</v>
      </c>
      <c r="D31047" s="21" t="s">
        <v>34</v>
      </c>
      <c r="E31047" s="21" t="s">
        <v>71</v>
      </c>
      <c r="F31047">
        <v>4280617</v>
      </c>
      <c r="G31047" t="s">
        <v>8540</v>
      </c>
      <c r="H31047" s="21">
        <v>533.16999999999996</v>
      </c>
    </row>
    <row r="31048" spans="1:8" customFormat="1" x14ac:dyDescent="0.25">
      <c r="A31048" t="str">
        <f>"4938771"</f>
        <v>4938771</v>
      </c>
      <c r="B31048" t="s">
        <v>67</v>
      </c>
      <c r="C31048" t="s">
        <v>171</v>
      </c>
      <c r="D31048" s="21" t="s">
        <v>34</v>
      </c>
      <c r="E31048" s="21" t="s">
        <v>35</v>
      </c>
      <c r="F31048">
        <v>12490061</v>
      </c>
      <c r="G31048" t="s">
        <v>969</v>
      </c>
      <c r="H31048" s="21">
        <v>533.16999999999996</v>
      </c>
    </row>
    <row r="31049" spans="1:8" customFormat="1" x14ac:dyDescent="0.25">
      <c r="A31049" t="str">
        <f>"2719695"</f>
        <v>2719695</v>
      </c>
      <c r="B31049" t="s">
        <v>24014</v>
      </c>
      <c r="C31049" t="s">
        <v>90</v>
      </c>
      <c r="D31049" s="21" t="s">
        <v>34</v>
      </c>
      <c r="E31049" s="21" t="s">
        <v>35</v>
      </c>
      <c r="F31049">
        <v>9270187</v>
      </c>
      <c r="G31049" t="s">
        <v>6733</v>
      </c>
      <c r="H31049" s="21">
        <v>533.16999999999996</v>
      </c>
    </row>
    <row r="31050" spans="1:8" customFormat="1" x14ac:dyDescent="0.25">
      <c r="A31050" t="str">
        <f>"7630592"</f>
        <v>7630592</v>
      </c>
      <c r="B31050" t="s">
        <v>18074</v>
      </c>
      <c r="C31050" t="s">
        <v>598</v>
      </c>
      <c r="D31050" s="21" t="s">
        <v>34</v>
      </c>
      <c r="E31050" s="21" t="s">
        <v>1089</v>
      </c>
      <c r="F31050">
        <v>9760012</v>
      </c>
      <c r="G31050" t="s">
        <v>17233</v>
      </c>
      <c r="H31050" s="21">
        <v>533.16999999999996</v>
      </c>
    </row>
    <row r="31051" spans="1:8" customFormat="1" x14ac:dyDescent="0.25">
      <c r="A31051" t="str">
        <f>"4217508"</f>
        <v>4217508</v>
      </c>
      <c r="B31051" t="s">
        <v>21869</v>
      </c>
      <c r="C31051" t="s">
        <v>285</v>
      </c>
      <c r="D31051" s="21" t="s">
        <v>34</v>
      </c>
      <c r="E31051" s="21" t="s">
        <v>35</v>
      </c>
      <c r="F31051">
        <v>1420163</v>
      </c>
      <c r="G31051" t="s">
        <v>2424</v>
      </c>
      <c r="H31051" s="21">
        <v>533.16999999999996</v>
      </c>
    </row>
    <row r="31052" spans="1:8" customFormat="1" x14ac:dyDescent="0.25">
      <c r="A31052" t="str">
        <f>"2618039"</f>
        <v>2618039</v>
      </c>
      <c r="B31052" t="s">
        <v>21999</v>
      </c>
      <c r="C31052" t="s">
        <v>311</v>
      </c>
      <c r="D31052" s="21" t="s">
        <v>34</v>
      </c>
      <c r="E31052" s="21" t="s">
        <v>35</v>
      </c>
      <c r="F31052">
        <v>1260068</v>
      </c>
      <c r="G31052" t="s">
        <v>6531</v>
      </c>
      <c r="H31052" s="21">
        <v>533.16999999999996</v>
      </c>
    </row>
    <row r="31053" spans="1:8" customFormat="1" x14ac:dyDescent="0.25">
      <c r="A31053" t="str">
        <f>"2934726"</f>
        <v>2934726</v>
      </c>
      <c r="B31053" t="s">
        <v>22366</v>
      </c>
      <c r="C31053" t="s">
        <v>22367</v>
      </c>
      <c r="D31053" s="21" t="s">
        <v>34</v>
      </c>
      <c r="E31053" s="21" t="s">
        <v>35</v>
      </c>
      <c r="F31053">
        <v>3290081</v>
      </c>
      <c r="G31053" t="s">
        <v>3819</v>
      </c>
      <c r="H31053" s="21">
        <v>533.16999999999996</v>
      </c>
    </row>
    <row r="31054" spans="1:8" customFormat="1" x14ac:dyDescent="0.25">
      <c r="A31054" t="str">
        <f>"4441435"</f>
        <v>4441435</v>
      </c>
      <c r="B31054" t="s">
        <v>28313</v>
      </c>
      <c r="C31054" t="s">
        <v>2752</v>
      </c>
      <c r="D31054" s="21" t="s">
        <v>34</v>
      </c>
      <c r="E31054" s="21" t="s">
        <v>1089</v>
      </c>
      <c r="F31054">
        <v>12440141</v>
      </c>
      <c r="G31054" t="s">
        <v>3234</v>
      </c>
      <c r="H31054" s="21">
        <v>533.16999999999996</v>
      </c>
    </row>
    <row r="31055" spans="1:8" customFormat="1" x14ac:dyDescent="0.25">
      <c r="A31055" t="str">
        <f>"6112810"</f>
        <v>6112810</v>
      </c>
      <c r="B31055" t="s">
        <v>9256</v>
      </c>
      <c r="C31055" t="s">
        <v>486</v>
      </c>
      <c r="D31055" s="21" t="s">
        <v>34</v>
      </c>
      <c r="E31055" s="21" t="s">
        <v>35</v>
      </c>
      <c r="F31055">
        <v>9610056</v>
      </c>
      <c r="G31055" t="s">
        <v>11830</v>
      </c>
      <c r="H31055" s="21">
        <v>533.16999999999996</v>
      </c>
    </row>
    <row r="31056" spans="1:8" customFormat="1" x14ac:dyDescent="0.25">
      <c r="A31056" t="str">
        <f>"9534643"</f>
        <v>9534643</v>
      </c>
      <c r="B31056" t="s">
        <v>4834</v>
      </c>
      <c r="C31056" t="s">
        <v>62</v>
      </c>
      <c r="D31056" s="21" t="s">
        <v>34</v>
      </c>
      <c r="E31056" s="21" t="s">
        <v>35</v>
      </c>
      <c r="F31056">
        <v>8950348</v>
      </c>
      <c r="G31056" t="s">
        <v>491</v>
      </c>
      <c r="H31056" s="21">
        <v>533.16999999999996</v>
      </c>
    </row>
    <row r="31057" spans="1:8" customFormat="1" x14ac:dyDescent="0.25">
      <c r="A31057" t="str">
        <f>"846625"</f>
        <v>846625</v>
      </c>
      <c r="B31057" t="s">
        <v>4458</v>
      </c>
      <c r="C31057" t="s">
        <v>202</v>
      </c>
      <c r="D31057" s="21" t="s">
        <v>34</v>
      </c>
      <c r="E31057" s="21" t="s">
        <v>254</v>
      </c>
      <c r="F31057">
        <v>13840058</v>
      </c>
      <c r="G31057" t="s">
        <v>7032</v>
      </c>
      <c r="H31057" s="21">
        <v>533.16999999999996</v>
      </c>
    </row>
    <row r="31058" spans="1:8" customFormat="1" x14ac:dyDescent="0.25">
      <c r="A31058" t="str">
        <f>"4454644"</f>
        <v>4454644</v>
      </c>
      <c r="B31058" t="s">
        <v>2557</v>
      </c>
      <c r="C31058" t="s">
        <v>267</v>
      </c>
      <c r="D31058" s="21" t="s">
        <v>34</v>
      </c>
      <c r="E31058" s="21" t="s">
        <v>71</v>
      </c>
      <c r="F31058">
        <v>12440051</v>
      </c>
      <c r="G31058" t="s">
        <v>2191</v>
      </c>
      <c r="H31058" s="21">
        <v>533.16999999999996</v>
      </c>
    </row>
    <row r="31059" spans="1:8" customFormat="1" x14ac:dyDescent="0.25">
      <c r="A31059" t="str">
        <f>"5962697"</f>
        <v>5962697</v>
      </c>
      <c r="B31059" t="s">
        <v>22752</v>
      </c>
      <c r="C31059" t="s">
        <v>269</v>
      </c>
      <c r="D31059" s="21" t="s">
        <v>34</v>
      </c>
      <c r="E31059" s="21" t="s">
        <v>254</v>
      </c>
      <c r="F31059">
        <v>7590410</v>
      </c>
      <c r="G31059" t="s">
        <v>2048</v>
      </c>
      <c r="H31059" s="21">
        <v>533.16999999999996</v>
      </c>
    </row>
    <row r="31060" spans="1:8" customFormat="1" x14ac:dyDescent="0.25">
      <c r="A31060" t="str">
        <f>"648969"</f>
        <v>648969</v>
      </c>
      <c r="B31060" t="s">
        <v>23623</v>
      </c>
      <c r="C31060" t="s">
        <v>236</v>
      </c>
      <c r="D31060" s="21" t="s">
        <v>34</v>
      </c>
      <c r="E31060" s="21" t="s">
        <v>254</v>
      </c>
      <c r="F31060">
        <v>10640019</v>
      </c>
      <c r="G31060" t="s">
        <v>3123</v>
      </c>
      <c r="H31060" s="21">
        <v>533.12</v>
      </c>
    </row>
    <row r="31061" spans="1:8" customFormat="1" x14ac:dyDescent="0.25">
      <c r="A31061" t="str">
        <f>"9458824"</f>
        <v>9458824</v>
      </c>
      <c r="B31061" t="s">
        <v>14861</v>
      </c>
      <c r="C31061" t="s">
        <v>33</v>
      </c>
      <c r="D31061" s="21" t="s">
        <v>34</v>
      </c>
      <c r="E31061" s="21" t="s">
        <v>35</v>
      </c>
      <c r="F31061">
        <v>8940033</v>
      </c>
      <c r="G31061" t="s">
        <v>1376</v>
      </c>
      <c r="H31061" s="21">
        <v>533</v>
      </c>
    </row>
    <row r="31062" spans="1:8" customFormat="1" x14ac:dyDescent="0.25">
      <c r="A31062" t="str">
        <f>"824202"</f>
        <v>824202</v>
      </c>
      <c r="B31062" t="s">
        <v>7111</v>
      </c>
      <c r="C31062" t="s">
        <v>171</v>
      </c>
      <c r="D31062" s="21" t="s">
        <v>34</v>
      </c>
      <c r="E31062" s="21" t="s">
        <v>71</v>
      </c>
      <c r="F31062">
        <v>11820032</v>
      </c>
      <c r="G31062" t="s">
        <v>14258</v>
      </c>
      <c r="H31062" s="21">
        <v>533</v>
      </c>
    </row>
    <row r="31063" spans="1:8" customFormat="1" x14ac:dyDescent="0.25">
      <c r="A31063" t="str">
        <f>"1322071"</f>
        <v>1322071</v>
      </c>
      <c r="B31063" t="s">
        <v>5340</v>
      </c>
      <c r="C31063" t="s">
        <v>121</v>
      </c>
      <c r="D31063" s="21" t="s">
        <v>34</v>
      </c>
      <c r="E31063" s="21" t="s">
        <v>35</v>
      </c>
      <c r="F31063">
        <v>13130145</v>
      </c>
      <c r="G31063" t="s">
        <v>21547</v>
      </c>
      <c r="H31063" s="21">
        <v>533</v>
      </c>
    </row>
    <row r="31064" spans="1:8" customFormat="1" x14ac:dyDescent="0.25">
      <c r="A31064" t="str">
        <f>"5941689"</f>
        <v>5941689</v>
      </c>
      <c r="B31064" t="s">
        <v>21557</v>
      </c>
      <c r="C31064" t="s">
        <v>209</v>
      </c>
      <c r="D31064" s="21" t="s">
        <v>34</v>
      </c>
      <c r="E31064" s="21" t="s">
        <v>35</v>
      </c>
      <c r="F31064">
        <v>7590080</v>
      </c>
      <c r="G31064" t="s">
        <v>1715</v>
      </c>
      <c r="H31064" s="21">
        <v>533</v>
      </c>
    </row>
    <row r="31065" spans="1:8" customFormat="1" x14ac:dyDescent="0.25">
      <c r="A31065" t="str">
        <f>"7729126"</f>
        <v>7729126</v>
      </c>
      <c r="B31065" t="s">
        <v>7041</v>
      </c>
      <c r="C31065" t="s">
        <v>130</v>
      </c>
      <c r="D31065" s="21" t="s">
        <v>34</v>
      </c>
      <c r="E31065" s="21" t="s">
        <v>35</v>
      </c>
      <c r="F31065">
        <v>8771085</v>
      </c>
      <c r="G31065" t="s">
        <v>11894</v>
      </c>
      <c r="H31065" s="21">
        <v>532.91999999999996</v>
      </c>
    </row>
    <row r="31066" spans="1:8" customFormat="1" x14ac:dyDescent="0.25">
      <c r="A31066" t="str">
        <f>"7726671"</f>
        <v>7726671</v>
      </c>
      <c r="B31066" t="s">
        <v>22295</v>
      </c>
      <c r="C31066" t="s">
        <v>5848</v>
      </c>
      <c r="D31066" s="21" t="s">
        <v>34</v>
      </c>
      <c r="E31066" s="21" t="s">
        <v>35</v>
      </c>
      <c r="F31066">
        <v>8771304</v>
      </c>
      <c r="G31066" t="s">
        <v>5314</v>
      </c>
      <c r="H31066" s="21">
        <v>532.91999999999996</v>
      </c>
    </row>
    <row r="31067" spans="1:8" customFormat="1" x14ac:dyDescent="0.25">
      <c r="A31067" t="str">
        <f>"4528700"</f>
        <v>4528700</v>
      </c>
      <c r="B31067" t="s">
        <v>20564</v>
      </c>
      <c r="C31067" t="s">
        <v>269</v>
      </c>
      <c r="D31067" s="21" t="s">
        <v>34</v>
      </c>
      <c r="E31067" s="21" t="s">
        <v>71</v>
      </c>
      <c r="F31067">
        <v>4450571</v>
      </c>
      <c r="G31067" t="s">
        <v>188</v>
      </c>
      <c r="H31067" s="21">
        <v>532.91999999999996</v>
      </c>
    </row>
    <row r="31068" spans="1:8" customFormat="1" x14ac:dyDescent="0.25">
      <c r="A31068" t="str">
        <f>"1717318"</f>
        <v>1717318</v>
      </c>
      <c r="B31068" t="s">
        <v>23911</v>
      </c>
      <c r="C31068" t="s">
        <v>1146</v>
      </c>
      <c r="D31068" s="21" t="s">
        <v>34</v>
      </c>
      <c r="E31068" s="21" t="s">
        <v>71</v>
      </c>
      <c r="F31068">
        <v>10170158</v>
      </c>
      <c r="G31068" t="s">
        <v>1262</v>
      </c>
      <c r="H31068" s="21">
        <v>532.91999999999996</v>
      </c>
    </row>
    <row r="31069" spans="1:8" customFormat="1" x14ac:dyDescent="0.25">
      <c r="A31069" t="str">
        <f>"2813121"</f>
        <v>2813121</v>
      </c>
      <c r="B31069" t="s">
        <v>21150</v>
      </c>
      <c r="C31069" t="s">
        <v>4945</v>
      </c>
      <c r="D31069" s="21" t="s">
        <v>34</v>
      </c>
      <c r="E31069" s="21" t="s">
        <v>35</v>
      </c>
      <c r="F31069">
        <v>4280322</v>
      </c>
      <c r="G31069" t="s">
        <v>265</v>
      </c>
      <c r="H31069" s="21">
        <v>532.79</v>
      </c>
    </row>
    <row r="31070" spans="1:8" customFormat="1" x14ac:dyDescent="0.25">
      <c r="A31070" t="str">
        <f>"721611"</f>
        <v>721611</v>
      </c>
      <c r="B31070" t="s">
        <v>392</v>
      </c>
      <c r="C31070" t="s">
        <v>598</v>
      </c>
      <c r="D31070" s="21" t="s">
        <v>34</v>
      </c>
      <c r="E31070" s="21" t="s">
        <v>1089</v>
      </c>
      <c r="F31070">
        <v>12720058</v>
      </c>
      <c r="G31070" t="s">
        <v>17331</v>
      </c>
      <c r="H31070" s="21">
        <v>532.66999999999996</v>
      </c>
    </row>
    <row r="31071" spans="1:8" customFormat="1" x14ac:dyDescent="0.25">
      <c r="A31071" t="str">
        <f>"444756"</f>
        <v>444756</v>
      </c>
      <c r="B31071" t="s">
        <v>2109</v>
      </c>
      <c r="C31071" t="s">
        <v>65</v>
      </c>
      <c r="D31071" s="21" t="s">
        <v>34</v>
      </c>
      <c r="E31071" s="21" t="s">
        <v>35</v>
      </c>
      <c r="F31071">
        <v>12440193</v>
      </c>
      <c r="G31071" t="s">
        <v>3786</v>
      </c>
      <c r="H31071" s="21">
        <v>532.66999999999996</v>
      </c>
    </row>
    <row r="31072" spans="1:8" customFormat="1" x14ac:dyDescent="0.25">
      <c r="A31072" t="str">
        <f>"9314245"</f>
        <v>9314245</v>
      </c>
      <c r="B31072" t="s">
        <v>28314</v>
      </c>
      <c r="C31072" t="s">
        <v>49</v>
      </c>
      <c r="D31072" s="21" t="s">
        <v>34</v>
      </c>
      <c r="E31072" s="21" t="s">
        <v>35</v>
      </c>
      <c r="F31072">
        <v>8780128</v>
      </c>
      <c r="G31072" t="s">
        <v>4201</v>
      </c>
      <c r="H31072" s="21">
        <v>532.66999999999996</v>
      </c>
    </row>
    <row r="31073" spans="1:8" customFormat="1" x14ac:dyDescent="0.25">
      <c r="A31073" t="str">
        <f>"1321683"</f>
        <v>1321683</v>
      </c>
      <c r="B31073" t="s">
        <v>3009</v>
      </c>
      <c r="C31073" t="s">
        <v>65</v>
      </c>
      <c r="D31073" s="21" t="s">
        <v>34</v>
      </c>
      <c r="E31073" s="21" t="s">
        <v>71</v>
      </c>
      <c r="F31073">
        <v>13130165</v>
      </c>
      <c r="G31073" t="s">
        <v>2827</v>
      </c>
      <c r="H31073" s="21">
        <v>532.66999999999996</v>
      </c>
    </row>
    <row r="31074" spans="1:8" customFormat="1" x14ac:dyDescent="0.25">
      <c r="A31074" t="str">
        <f>"4438774"</f>
        <v>4438774</v>
      </c>
      <c r="B31074" t="s">
        <v>2189</v>
      </c>
      <c r="C31074" t="s">
        <v>87</v>
      </c>
      <c r="D31074" s="21" t="s">
        <v>34</v>
      </c>
      <c r="E31074" s="21" t="s">
        <v>71</v>
      </c>
      <c r="F31074">
        <v>12440039</v>
      </c>
      <c r="G31074" t="s">
        <v>9650</v>
      </c>
      <c r="H31074" s="21">
        <v>532.66999999999996</v>
      </c>
    </row>
    <row r="31075" spans="1:8" customFormat="1" x14ac:dyDescent="0.25">
      <c r="A31075" t="str">
        <f>"172760"</f>
        <v>172760</v>
      </c>
      <c r="B31075" t="s">
        <v>20976</v>
      </c>
      <c r="C31075" t="s">
        <v>198</v>
      </c>
      <c r="D31075" s="21" t="s">
        <v>34</v>
      </c>
      <c r="E31075" s="21" t="s">
        <v>254</v>
      </c>
      <c r="F31075">
        <v>10170009</v>
      </c>
      <c r="G31075" t="s">
        <v>3810</v>
      </c>
      <c r="H31075" s="21">
        <v>532.66999999999996</v>
      </c>
    </row>
    <row r="31076" spans="1:8" customFormat="1" x14ac:dyDescent="0.25">
      <c r="A31076" t="str">
        <f>"805363"</f>
        <v>805363</v>
      </c>
      <c r="B31076" t="s">
        <v>9333</v>
      </c>
      <c r="C31076" t="s">
        <v>544</v>
      </c>
      <c r="D31076" s="21" t="s">
        <v>34</v>
      </c>
      <c r="E31076" s="21" t="s">
        <v>254</v>
      </c>
      <c r="F31076">
        <v>7800013</v>
      </c>
      <c r="G31076" t="s">
        <v>10778</v>
      </c>
      <c r="H31076" s="21">
        <v>532.66999999999996</v>
      </c>
    </row>
    <row r="31077" spans="1:8" customFormat="1" x14ac:dyDescent="0.25">
      <c r="A31077" t="str">
        <f>"497944"</f>
        <v>497944</v>
      </c>
      <c r="B31077" t="s">
        <v>2082</v>
      </c>
      <c r="C31077" t="s">
        <v>428</v>
      </c>
      <c r="D31077" s="21" t="s">
        <v>34</v>
      </c>
      <c r="E31077" s="21" t="s">
        <v>71</v>
      </c>
      <c r="F31077">
        <v>12490030</v>
      </c>
      <c r="G31077" t="s">
        <v>8366</v>
      </c>
      <c r="H31077" s="21">
        <v>532.66999999999996</v>
      </c>
    </row>
    <row r="31078" spans="1:8" customFormat="1" x14ac:dyDescent="0.25">
      <c r="A31078" t="str">
        <f>"879243"</f>
        <v>879243</v>
      </c>
      <c r="B31078" t="s">
        <v>22163</v>
      </c>
      <c r="C31078" t="s">
        <v>22164</v>
      </c>
      <c r="D31078" s="21" t="s">
        <v>34</v>
      </c>
      <c r="E31078" s="21" t="s">
        <v>254</v>
      </c>
      <c r="F31078">
        <v>10870029</v>
      </c>
      <c r="G31078" t="s">
        <v>15820</v>
      </c>
      <c r="H31078" s="21">
        <v>532.66999999999996</v>
      </c>
    </row>
    <row r="31079" spans="1:8" customFormat="1" x14ac:dyDescent="0.25">
      <c r="A31079" t="str">
        <f>"4710289"</f>
        <v>4710289</v>
      </c>
      <c r="B31079" t="s">
        <v>9149</v>
      </c>
      <c r="C31079" t="s">
        <v>58</v>
      </c>
      <c r="D31079" s="21" t="s">
        <v>34</v>
      </c>
      <c r="E31079" s="21" t="s">
        <v>35</v>
      </c>
      <c r="F31079">
        <v>10470001</v>
      </c>
      <c r="G31079" t="s">
        <v>391</v>
      </c>
      <c r="H31079" s="21">
        <v>532.66999999999996</v>
      </c>
    </row>
    <row r="31080" spans="1:8" customFormat="1" x14ac:dyDescent="0.25">
      <c r="A31080" t="str">
        <f>"7731414"</f>
        <v>7731414</v>
      </c>
      <c r="B31080" t="s">
        <v>21762</v>
      </c>
      <c r="C31080" t="s">
        <v>49</v>
      </c>
      <c r="D31080" s="21" t="s">
        <v>34</v>
      </c>
      <c r="E31080" s="21" t="s">
        <v>35</v>
      </c>
      <c r="F31080">
        <v>8771516</v>
      </c>
      <c r="G31080" t="s">
        <v>7155</v>
      </c>
      <c r="H31080" s="21">
        <v>532.66999999999996</v>
      </c>
    </row>
    <row r="31081" spans="1:8" customFormat="1" x14ac:dyDescent="0.25">
      <c r="A31081" t="str">
        <f>"2517304"</f>
        <v>2517304</v>
      </c>
      <c r="B31081" t="s">
        <v>22258</v>
      </c>
      <c r="C31081" t="s">
        <v>6504</v>
      </c>
      <c r="D31081" s="21" t="s">
        <v>34</v>
      </c>
      <c r="E31081" s="21" t="s">
        <v>35</v>
      </c>
      <c r="F31081">
        <v>2250217</v>
      </c>
      <c r="G31081" t="s">
        <v>11815</v>
      </c>
      <c r="H31081" s="21">
        <v>532.66999999999996</v>
      </c>
    </row>
    <row r="31082" spans="1:8" customFormat="1" x14ac:dyDescent="0.25">
      <c r="A31082" t="str">
        <f>"5932043"</f>
        <v>5932043</v>
      </c>
      <c r="B31082" t="s">
        <v>23650</v>
      </c>
      <c r="C31082" t="s">
        <v>267</v>
      </c>
      <c r="D31082" s="21" t="s">
        <v>34</v>
      </c>
      <c r="E31082" s="21" t="s">
        <v>254</v>
      </c>
      <c r="F31082">
        <v>7590392</v>
      </c>
      <c r="G31082" t="s">
        <v>154</v>
      </c>
      <c r="H31082" s="21">
        <v>532.66999999999996</v>
      </c>
    </row>
    <row r="31083" spans="1:8" customFormat="1" x14ac:dyDescent="0.25">
      <c r="A31083" t="str">
        <f>"7221525"</f>
        <v>7221525</v>
      </c>
      <c r="B31083" t="s">
        <v>22107</v>
      </c>
      <c r="C31083" t="s">
        <v>249</v>
      </c>
      <c r="D31083" s="21" t="s">
        <v>34</v>
      </c>
      <c r="E31083" s="21" t="s">
        <v>71</v>
      </c>
      <c r="F31083">
        <v>12720079</v>
      </c>
      <c r="G31083" t="s">
        <v>4028</v>
      </c>
      <c r="H31083" s="21">
        <v>532.66999999999996</v>
      </c>
    </row>
    <row r="31084" spans="1:8" customFormat="1" x14ac:dyDescent="0.25">
      <c r="A31084" t="str">
        <f>"7713792"</f>
        <v>7713792</v>
      </c>
      <c r="B31084" t="s">
        <v>2308</v>
      </c>
      <c r="C31084" t="s">
        <v>40</v>
      </c>
      <c r="D31084" s="21" t="s">
        <v>34</v>
      </c>
      <c r="E31084" s="21" t="s">
        <v>254</v>
      </c>
      <c r="F31084">
        <v>8770237</v>
      </c>
      <c r="G31084" t="s">
        <v>128</v>
      </c>
      <c r="H31084" s="21">
        <v>532.66999999999996</v>
      </c>
    </row>
    <row r="31085" spans="1:8" customFormat="1" x14ac:dyDescent="0.25">
      <c r="A31085" t="str">
        <f>"7613091"</f>
        <v>7613091</v>
      </c>
      <c r="B31085" t="s">
        <v>21591</v>
      </c>
      <c r="C31085" t="s">
        <v>21592</v>
      </c>
      <c r="D31085" s="21" t="s">
        <v>34</v>
      </c>
      <c r="E31085" s="21" t="s">
        <v>1089</v>
      </c>
      <c r="F31085">
        <v>1740065</v>
      </c>
      <c r="G31085" t="s">
        <v>5226</v>
      </c>
      <c r="H31085" s="21">
        <v>532.66999999999996</v>
      </c>
    </row>
    <row r="31086" spans="1:8" customFormat="1" x14ac:dyDescent="0.25">
      <c r="A31086" t="str">
        <f>"7213552"</f>
        <v>7213552</v>
      </c>
      <c r="B31086" t="s">
        <v>22079</v>
      </c>
      <c r="C31086" t="s">
        <v>144</v>
      </c>
      <c r="D31086" s="21" t="s">
        <v>34</v>
      </c>
      <c r="E31086" s="21" t="s">
        <v>35</v>
      </c>
      <c r="F31086">
        <v>12720020</v>
      </c>
      <c r="G31086" t="s">
        <v>8402</v>
      </c>
      <c r="H31086" s="21">
        <v>532.66999999999996</v>
      </c>
    </row>
    <row r="31087" spans="1:8" customFormat="1" x14ac:dyDescent="0.25">
      <c r="A31087" t="str">
        <f>"513090"</f>
        <v>513090</v>
      </c>
      <c r="B31087" t="s">
        <v>21308</v>
      </c>
      <c r="C31087" t="s">
        <v>825</v>
      </c>
      <c r="D31087" s="21" t="s">
        <v>34</v>
      </c>
      <c r="E31087" s="21" t="s">
        <v>254</v>
      </c>
      <c r="F31087">
        <v>6510111</v>
      </c>
      <c r="G31087" t="s">
        <v>19941</v>
      </c>
      <c r="H31087" s="21">
        <v>532.66999999999996</v>
      </c>
    </row>
    <row r="31088" spans="1:8" customFormat="1" x14ac:dyDescent="0.25">
      <c r="A31088" t="str">
        <f>"7639231"</f>
        <v>7639231</v>
      </c>
      <c r="B31088" t="s">
        <v>21415</v>
      </c>
      <c r="C31088" t="s">
        <v>40</v>
      </c>
      <c r="D31088" s="21" t="s">
        <v>34</v>
      </c>
      <c r="E31088" s="21" t="s">
        <v>71</v>
      </c>
      <c r="F31088">
        <v>9760458</v>
      </c>
      <c r="G31088" t="s">
        <v>3594</v>
      </c>
      <c r="H31088" s="21">
        <v>532.66999999999996</v>
      </c>
    </row>
    <row r="31089" spans="1:8" customFormat="1" x14ac:dyDescent="0.25">
      <c r="A31089" t="str">
        <f>"558702"</f>
        <v>558702</v>
      </c>
      <c r="B31089" t="s">
        <v>24057</v>
      </c>
      <c r="C31089" t="s">
        <v>817</v>
      </c>
      <c r="D31089" s="21" t="s">
        <v>34</v>
      </c>
      <c r="E31089" s="21" t="s">
        <v>71</v>
      </c>
      <c r="F31089">
        <v>6550005</v>
      </c>
      <c r="G31089" t="s">
        <v>1581</v>
      </c>
      <c r="H31089" s="21">
        <v>532.66999999999996</v>
      </c>
    </row>
    <row r="31090" spans="1:8" customFormat="1" x14ac:dyDescent="0.25">
      <c r="A31090" t="str">
        <f>"7872708"</f>
        <v>7872708</v>
      </c>
      <c r="B31090" t="s">
        <v>11792</v>
      </c>
      <c r="C31090" t="s">
        <v>269</v>
      </c>
      <c r="D31090" s="21" t="s">
        <v>34</v>
      </c>
      <c r="E31090" s="21" t="s">
        <v>35</v>
      </c>
      <c r="F31090">
        <v>8781290</v>
      </c>
      <c r="G31090" t="s">
        <v>2927</v>
      </c>
      <c r="H31090" s="21">
        <v>532.66999999999996</v>
      </c>
    </row>
    <row r="31091" spans="1:8" customFormat="1" x14ac:dyDescent="0.25">
      <c r="A31091" t="str">
        <f>"4110236"</f>
        <v>4110236</v>
      </c>
      <c r="B31091" t="s">
        <v>21385</v>
      </c>
      <c r="C31091" t="s">
        <v>209</v>
      </c>
      <c r="D31091" s="21" t="s">
        <v>34</v>
      </c>
      <c r="E31091" s="21" t="s">
        <v>35</v>
      </c>
      <c r="F31091">
        <v>4410696</v>
      </c>
      <c r="G31091" t="s">
        <v>5909</v>
      </c>
      <c r="H31091" s="21">
        <v>532.66999999999996</v>
      </c>
    </row>
    <row r="31092" spans="1:8" customFormat="1" x14ac:dyDescent="0.25">
      <c r="A31092" t="str">
        <f>"50645"</f>
        <v>50645</v>
      </c>
      <c r="B31092" t="s">
        <v>14450</v>
      </c>
      <c r="C31092" t="s">
        <v>720</v>
      </c>
      <c r="D31092" s="21" t="s">
        <v>34</v>
      </c>
      <c r="E31092" s="21" t="s">
        <v>254</v>
      </c>
      <c r="F31092">
        <v>9500117</v>
      </c>
      <c r="G31092" t="s">
        <v>247</v>
      </c>
      <c r="H31092" s="21">
        <v>532.54</v>
      </c>
    </row>
    <row r="31093" spans="1:8" customFormat="1" x14ac:dyDescent="0.25">
      <c r="A31093" t="str">
        <f>"3537980"</f>
        <v>3537980</v>
      </c>
      <c r="B31093" t="s">
        <v>2295</v>
      </c>
      <c r="C31093" t="s">
        <v>2529</v>
      </c>
      <c r="D31093" s="21" t="s">
        <v>34</v>
      </c>
      <c r="E31093" s="21" t="s">
        <v>35</v>
      </c>
      <c r="F31093">
        <v>3350030</v>
      </c>
      <c r="G31093" t="s">
        <v>4549</v>
      </c>
      <c r="H31093" s="21">
        <v>532.5</v>
      </c>
    </row>
    <row r="31094" spans="1:8" customFormat="1" x14ac:dyDescent="0.25">
      <c r="A31094" t="str">
        <f>"5432839"</f>
        <v>5432839</v>
      </c>
      <c r="B31094" t="s">
        <v>8582</v>
      </c>
      <c r="C31094" t="s">
        <v>65</v>
      </c>
      <c r="D31094" s="21" t="s">
        <v>34</v>
      </c>
      <c r="E31094" s="21" t="s">
        <v>35</v>
      </c>
      <c r="F31094">
        <v>6540016</v>
      </c>
      <c r="G31094" t="s">
        <v>14523</v>
      </c>
      <c r="H31094" s="21">
        <v>532.5</v>
      </c>
    </row>
    <row r="31095" spans="1:8" customFormat="1" x14ac:dyDescent="0.25">
      <c r="A31095" t="str">
        <f>"8528667"</f>
        <v>8528667</v>
      </c>
      <c r="B31095" t="s">
        <v>12136</v>
      </c>
      <c r="C31095" t="s">
        <v>3415</v>
      </c>
      <c r="D31095" s="21" t="s">
        <v>34</v>
      </c>
      <c r="E31095" s="21" t="s">
        <v>35</v>
      </c>
      <c r="F31095">
        <v>12850043</v>
      </c>
      <c r="G31095" t="s">
        <v>4873</v>
      </c>
      <c r="H31095" s="21">
        <v>532.5</v>
      </c>
    </row>
    <row r="31096" spans="1:8" customFormat="1" x14ac:dyDescent="0.25">
      <c r="A31096" t="str">
        <f>"5982831"</f>
        <v>5982831</v>
      </c>
      <c r="B31096" t="s">
        <v>15348</v>
      </c>
      <c r="C31096" t="s">
        <v>55</v>
      </c>
      <c r="D31096" s="21" t="s">
        <v>34</v>
      </c>
      <c r="E31096" s="21" t="s">
        <v>71</v>
      </c>
      <c r="F31096">
        <v>7590310</v>
      </c>
      <c r="G31096" t="s">
        <v>10278</v>
      </c>
      <c r="H31096" s="21">
        <v>532.5</v>
      </c>
    </row>
    <row r="31097" spans="1:8" customFormat="1" x14ac:dyDescent="0.25">
      <c r="A31097" t="str">
        <f>"324825"</f>
        <v>324825</v>
      </c>
      <c r="B31097" t="s">
        <v>28315</v>
      </c>
      <c r="C31097" t="s">
        <v>28316</v>
      </c>
      <c r="D31097" s="21" t="s">
        <v>34</v>
      </c>
      <c r="E31097" s="21" t="s">
        <v>71</v>
      </c>
      <c r="F31097">
        <v>11320045</v>
      </c>
      <c r="G31097" t="s">
        <v>27117</v>
      </c>
      <c r="H31097" s="21">
        <v>532.41999999999996</v>
      </c>
    </row>
    <row r="31098" spans="1:8" customFormat="1" x14ac:dyDescent="0.25">
      <c r="A31098" t="str">
        <f>"7214501"</f>
        <v>7214501</v>
      </c>
      <c r="B31098" t="s">
        <v>19868</v>
      </c>
      <c r="C31098" t="s">
        <v>547</v>
      </c>
      <c r="D31098" s="21" t="s">
        <v>34</v>
      </c>
      <c r="E31098" s="21" t="s">
        <v>254</v>
      </c>
      <c r="F31098">
        <v>12720028</v>
      </c>
      <c r="G31098" t="s">
        <v>4381</v>
      </c>
      <c r="H31098" s="21">
        <v>532.41999999999996</v>
      </c>
    </row>
    <row r="31099" spans="1:8" customFormat="1" x14ac:dyDescent="0.25">
      <c r="A31099" t="str">
        <f>"217274"</f>
        <v>217274</v>
      </c>
      <c r="B31099" t="s">
        <v>11266</v>
      </c>
      <c r="C31099" t="s">
        <v>130</v>
      </c>
      <c r="D31099" s="21" t="s">
        <v>34</v>
      </c>
      <c r="E31099" s="21" t="s">
        <v>254</v>
      </c>
      <c r="F31099">
        <v>2210029</v>
      </c>
      <c r="G31099" t="s">
        <v>6983</v>
      </c>
      <c r="H31099" s="21">
        <v>532.41999999999996</v>
      </c>
    </row>
    <row r="31100" spans="1:8" customFormat="1" x14ac:dyDescent="0.25">
      <c r="A31100" t="str">
        <f>"668513"</f>
        <v>668513</v>
      </c>
      <c r="B31100" t="s">
        <v>28317</v>
      </c>
      <c r="C31100" t="s">
        <v>486</v>
      </c>
      <c r="D31100" s="21" t="s">
        <v>34</v>
      </c>
      <c r="E31100" s="21" t="s">
        <v>35</v>
      </c>
      <c r="F31100">
        <v>11660009</v>
      </c>
      <c r="G31100" t="s">
        <v>26624</v>
      </c>
      <c r="H31100" s="21">
        <v>532.29</v>
      </c>
    </row>
    <row r="31101" spans="1:8" customFormat="1" x14ac:dyDescent="0.25">
      <c r="A31101" t="str">
        <f>"7840325"</f>
        <v>7840325</v>
      </c>
      <c r="B31101" t="s">
        <v>593</v>
      </c>
      <c r="C31101" t="s">
        <v>415</v>
      </c>
      <c r="D31101" s="21" t="s">
        <v>34</v>
      </c>
      <c r="E31101" s="21" t="s">
        <v>71</v>
      </c>
      <c r="F31101">
        <v>8780674</v>
      </c>
      <c r="G31101" t="s">
        <v>26585</v>
      </c>
      <c r="H31101" s="21">
        <v>532.25</v>
      </c>
    </row>
    <row r="31102" spans="1:8" customFormat="1" x14ac:dyDescent="0.25">
      <c r="A31102" t="str">
        <f>"1910180"</f>
        <v>1910180</v>
      </c>
      <c r="B31102" t="s">
        <v>28318</v>
      </c>
      <c r="C31102" t="s">
        <v>1146</v>
      </c>
      <c r="D31102" s="21" t="s">
        <v>34</v>
      </c>
      <c r="E31102" s="21" t="s">
        <v>254</v>
      </c>
      <c r="F31102">
        <v>10190134</v>
      </c>
      <c r="G31102" t="s">
        <v>27150</v>
      </c>
      <c r="H31102" s="21">
        <v>532.16999999999996</v>
      </c>
    </row>
    <row r="31103" spans="1:8" customFormat="1" x14ac:dyDescent="0.25">
      <c r="A31103" t="str">
        <f>"9445319"</f>
        <v>9445319</v>
      </c>
      <c r="B31103" t="s">
        <v>4723</v>
      </c>
      <c r="C31103" t="s">
        <v>60</v>
      </c>
      <c r="D31103" s="21" t="s">
        <v>34</v>
      </c>
      <c r="E31103" s="21" t="s">
        <v>35</v>
      </c>
      <c r="F31103">
        <v>8940942</v>
      </c>
      <c r="G31103" t="s">
        <v>8505</v>
      </c>
      <c r="H31103" s="21">
        <v>532.16999999999996</v>
      </c>
    </row>
    <row r="31104" spans="1:8" customFormat="1" x14ac:dyDescent="0.25">
      <c r="A31104" t="str">
        <f>"4447176"</f>
        <v>4447176</v>
      </c>
      <c r="B31104" t="s">
        <v>20498</v>
      </c>
      <c r="C31104" t="s">
        <v>58</v>
      </c>
      <c r="D31104" s="21" t="s">
        <v>34</v>
      </c>
      <c r="E31104" s="21" t="s">
        <v>35</v>
      </c>
      <c r="F31104">
        <v>12440039</v>
      </c>
      <c r="G31104" t="s">
        <v>9650</v>
      </c>
      <c r="H31104" s="21">
        <v>532.16999999999996</v>
      </c>
    </row>
    <row r="31105" spans="1:8" customFormat="1" x14ac:dyDescent="0.25">
      <c r="A31105" t="str">
        <f>"9453118"</f>
        <v>9453118</v>
      </c>
      <c r="B31105" t="s">
        <v>18745</v>
      </c>
      <c r="C31105" t="s">
        <v>249</v>
      </c>
      <c r="D31105" s="21" t="s">
        <v>34</v>
      </c>
      <c r="E31105" s="21" t="s">
        <v>35</v>
      </c>
      <c r="F31105">
        <v>8940655</v>
      </c>
      <c r="G31105" t="s">
        <v>10168</v>
      </c>
      <c r="H31105" s="21">
        <v>532.16999999999996</v>
      </c>
    </row>
    <row r="31106" spans="1:8" customFormat="1" x14ac:dyDescent="0.25">
      <c r="A31106" t="str">
        <f>"847207"</f>
        <v>847207</v>
      </c>
      <c r="B31106" t="s">
        <v>1320</v>
      </c>
      <c r="C31106" t="s">
        <v>151</v>
      </c>
      <c r="D31106" s="21" t="s">
        <v>34</v>
      </c>
      <c r="E31106" s="21" t="s">
        <v>71</v>
      </c>
      <c r="F31106">
        <v>13840028</v>
      </c>
      <c r="G31106" t="s">
        <v>4139</v>
      </c>
      <c r="H31106" s="21">
        <v>532.16999999999996</v>
      </c>
    </row>
    <row r="31107" spans="1:8" customFormat="1" x14ac:dyDescent="0.25">
      <c r="A31107" t="str">
        <f>"4432090"</f>
        <v>4432090</v>
      </c>
      <c r="B31107" t="s">
        <v>20938</v>
      </c>
      <c r="C31107" t="s">
        <v>121</v>
      </c>
      <c r="D31107" s="21" t="s">
        <v>34</v>
      </c>
      <c r="E31107" s="21" t="s">
        <v>71</v>
      </c>
      <c r="F31107">
        <v>12440174</v>
      </c>
      <c r="G31107" t="s">
        <v>27498</v>
      </c>
      <c r="H31107" s="21">
        <v>532.16999999999996</v>
      </c>
    </row>
    <row r="31108" spans="1:8" customFormat="1" x14ac:dyDescent="0.25">
      <c r="A31108" t="str">
        <f>"5431623"</f>
        <v>5431623</v>
      </c>
      <c r="B31108" t="s">
        <v>21607</v>
      </c>
      <c r="C31108" t="s">
        <v>109</v>
      </c>
      <c r="D31108" s="21" t="s">
        <v>34</v>
      </c>
      <c r="E31108" s="21" t="s">
        <v>35</v>
      </c>
      <c r="F31108">
        <v>6540108</v>
      </c>
      <c r="G31108" t="s">
        <v>4340</v>
      </c>
      <c r="H31108" s="21">
        <v>532.16999999999996</v>
      </c>
    </row>
    <row r="31109" spans="1:8" customFormat="1" x14ac:dyDescent="0.25">
      <c r="A31109" t="str">
        <f>"9111217"</f>
        <v>9111217</v>
      </c>
      <c r="B31109" t="s">
        <v>24647</v>
      </c>
      <c r="C31109" t="s">
        <v>249</v>
      </c>
      <c r="D31109" s="21" t="s">
        <v>34</v>
      </c>
      <c r="E31109" s="21" t="s">
        <v>71</v>
      </c>
      <c r="F31109">
        <v>8911430</v>
      </c>
      <c r="G31109" t="s">
        <v>3523</v>
      </c>
      <c r="H31109" s="21">
        <v>532.16999999999996</v>
      </c>
    </row>
    <row r="31110" spans="1:8" customFormat="1" x14ac:dyDescent="0.25">
      <c r="A31110" t="str">
        <f>"5966848"</f>
        <v>5966848</v>
      </c>
      <c r="B31110" t="s">
        <v>22172</v>
      </c>
      <c r="C31110" t="s">
        <v>87</v>
      </c>
      <c r="D31110" s="21" t="s">
        <v>34</v>
      </c>
      <c r="E31110" s="21" t="s">
        <v>35</v>
      </c>
      <c r="F31110">
        <v>7590023</v>
      </c>
      <c r="G31110" t="s">
        <v>7058</v>
      </c>
      <c r="H31110" s="21">
        <v>532.16999999999996</v>
      </c>
    </row>
    <row r="31111" spans="1:8" customFormat="1" x14ac:dyDescent="0.25">
      <c r="A31111" t="str">
        <f>"9414441"</f>
        <v>9414441</v>
      </c>
      <c r="B31111" t="s">
        <v>1840</v>
      </c>
      <c r="C31111" t="s">
        <v>22011</v>
      </c>
      <c r="D31111" s="21" t="s">
        <v>34</v>
      </c>
      <c r="E31111" s="21" t="s">
        <v>71</v>
      </c>
      <c r="F31111">
        <v>8940073</v>
      </c>
      <c r="G31111" t="s">
        <v>1085</v>
      </c>
      <c r="H31111" s="21">
        <v>532.16999999999996</v>
      </c>
    </row>
    <row r="31112" spans="1:8" customFormat="1" x14ac:dyDescent="0.25">
      <c r="A31112" t="str">
        <f>"9523073"</f>
        <v>9523073</v>
      </c>
      <c r="B31112" t="s">
        <v>946</v>
      </c>
      <c r="C31112" t="s">
        <v>169</v>
      </c>
      <c r="D31112" s="21" t="s">
        <v>34</v>
      </c>
      <c r="E31112" s="21" t="s">
        <v>71</v>
      </c>
      <c r="F31112">
        <v>8951366</v>
      </c>
      <c r="G31112" t="s">
        <v>3708</v>
      </c>
      <c r="H31112" s="21">
        <v>532.16999999999996</v>
      </c>
    </row>
    <row r="31113" spans="1:8" customFormat="1" x14ac:dyDescent="0.25">
      <c r="A31113" t="str">
        <f>"7618298"</f>
        <v>7618298</v>
      </c>
      <c r="B31113" t="s">
        <v>21545</v>
      </c>
      <c r="C31113" t="s">
        <v>40</v>
      </c>
      <c r="D31113" s="21" t="s">
        <v>34</v>
      </c>
      <c r="E31113" s="21" t="s">
        <v>254</v>
      </c>
      <c r="F31113">
        <v>9760416</v>
      </c>
      <c r="G31113" t="s">
        <v>4614</v>
      </c>
      <c r="H31113" s="21">
        <v>532.16999999999996</v>
      </c>
    </row>
    <row r="31114" spans="1:8" customFormat="1" x14ac:dyDescent="0.25">
      <c r="A31114" t="str">
        <f>"619904"</f>
        <v>619904</v>
      </c>
      <c r="B31114" t="s">
        <v>20785</v>
      </c>
      <c r="C31114" t="s">
        <v>1110</v>
      </c>
      <c r="D31114" s="21" t="s">
        <v>34</v>
      </c>
      <c r="E31114" s="21" t="s">
        <v>254</v>
      </c>
      <c r="F31114">
        <v>9610138</v>
      </c>
      <c r="G31114" t="s">
        <v>20717</v>
      </c>
      <c r="H31114" s="21">
        <v>532.16999999999996</v>
      </c>
    </row>
    <row r="31115" spans="1:8" customFormat="1" x14ac:dyDescent="0.25">
      <c r="A31115" t="str">
        <f>"5621702"</f>
        <v>5621702</v>
      </c>
      <c r="B31115" t="s">
        <v>22285</v>
      </c>
      <c r="C31115" t="s">
        <v>1025</v>
      </c>
      <c r="D31115" s="21" t="s">
        <v>34</v>
      </c>
      <c r="E31115" s="21" t="s">
        <v>254</v>
      </c>
      <c r="F31115">
        <v>3560033</v>
      </c>
      <c r="G31115" t="s">
        <v>4927</v>
      </c>
      <c r="H31115" s="21">
        <v>532.16999999999996</v>
      </c>
    </row>
    <row r="31116" spans="1:8" customFormat="1" x14ac:dyDescent="0.25">
      <c r="A31116" t="str">
        <f>"1716836"</f>
        <v>1716836</v>
      </c>
      <c r="B31116" t="s">
        <v>14617</v>
      </c>
      <c r="C31116" t="s">
        <v>109</v>
      </c>
      <c r="D31116" s="21" t="s">
        <v>34</v>
      </c>
      <c r="E31116" s="21" t="s">
        <v>71</v>
      </c>
      <c r="F31116">
        <v>10170178</v>
      </c>
      <c r="G31116" t="s">
        <v>17278</v>
      </c>
      <c r="H31116" s="21">
        <v>532.16999999999996</v>
      </c>
    </row>
    <row r="31117" spans="1:8" customFormat="1" x14ac:dyDescent="0.25">
      <c r="A31117" t="str">
        <f>"4214702"</f>
        <v>4214702</v>
      </c>
      <c r="B31117" t="s">
        <v>21681</v>
      </c>
      <c r="C31117" t="s">
        <v>3010</v>
      </c>
      <c r="D31117" s="21" t="s">
        <v>34</v>
      </c>
      <c r="E31117" s="21" t="s">
        <v>71</v>
      </c>
      <c r="F31117">
        <v>1420138</v>
      </c>
      <c r="G31117" t="s">
        <v>27002</v>
      </c>
      <c r="H31117" s="21">
        <v>532.16999999999996</v>
      </c>
    </row>
    <row r="31118" spans="1:8" customFormat="1" x14ac:dyDescent="0.25">
      <c r="A31118" t="str">
        <f>"5981430"</f>
        <v>5981430</v>
      </c>
      <c r="B31118" t="s">
        <v>28319</v>
      </c>
      <c r="C31118" t="s">
        <v>114</v>
      </c>
      <c r="D31118" s="21" t="s">
        <v>34</v>
      </c>
      <c r="E31118" s="21" t="s">
        <v>35</v>
      </c>
      <c r="F31118">
        <v>7590379</v>
      </c>
      <c r="G31118" t="s">
        <v>13711</v>
      </c>
      <c r="H31118" s="21">
        <v>532.16999999999996</v>
      </c>
    </row>
    <row r="31119" spans="1:8" customFormat="1" x14ac:dyDescent="0.25">
      <c r="A31119" t="str">
        <f>"5939503"</f>
        <v>5939503</v>
      </c>
      <c r="B31119" t="s">
        <v>3671</v>
      </c>
      <c r="C31119" t="s">
        <v>528</v>
      </c>
      <c r="D31119" s="21" t="s">
        <v>34</v>
      </c>
      <c r="E31119" s="21" t="s">
        <v>71</v>
      </c>
      <c r="F31119">
        <v>7590281</v>
      </c>
      <c r="G31119" t="s">
        <v>7165</v>
      </c>
      <c r="H31119" s="21">
        <v>532.16999999999996</v>
      </c>
    </row>
    <row r="31120" spans="1:8" customFormat="1" x14ac:dyDescent="0.25">
      <c r="A31120" t="str">
        <f>"5326390"</f>
        <v>5326390</v>
      </c>
      <c r="B31120" t="s">
        <v>9879</v>
      </c>
      <c r="C31120" t="s">
        <v>288</v>
      </c>
      <c r="D31120" s="21" t="s">
        <v>34</v>
      </c>
      <c r="E31120" s="21" t="s">
        <v>35</v>
      </c>
      <c r="F31120">
        <v>12538910</v>
      </c>
      <c r="G31120" t="s">
        <v>8855</v>
      </c>
      <c r="H31120" s="21">
        <v>532.16999999999996</v>
      </c>
    </row>
    <row r="31121" spans="1:8" customFormat="1" x14ac:dyDescent="0.25">
      <c r="A31121" t="str">
        <f>"6940470"</f>
        <v>6940470</v>
      </c>
      <c r="B31121" t="s">
        <v>22064</v>
      </c>
      <c r="C31121" t="s">
        <v>1119</v>
      </c>
      <c r="D31121" s="21" t="s">
        <v>34</v>
      </c>
      <c r="E31121" s="21" t="s">
        <v>254</v>
      </c>
      <c r="F31121">
        <v>1690155</v>
      </c>
      <c r="G31121" t="s">
        <v>11464</v>
      </c>
      <c r="H31121" s="21">
        <v>532.16999999999996</v>
      </c>
    </row>
    <row r="31122" spans="1:8" customFormat="1" x14ac:dyDescent="0.25">
      <c r="A31122" t="str">
        <f>"5959943"</f>
        <v>5959943</v>
      </c>
      <c r="B31122" t="s">
        <v>2046</v>
      </c>
      <c r="C31122" t="s">
        <v>119</v>
      </c>
      <c r="D31122" s="21" t="s">
        <v>34</v>
      </c>
      <c r="E31122" s="21" t="s">
        <v>35</v>
      </c>
      <c r="F31122">
        <v>7590004</v>
      </c>
      <c r="G31122" t="s">
        <v>4816</v>
      </c>
      <c r="H31122" s="21">
        <v>532.16999999999996</v>
      </c>
    </row>
    <row r="31123" spans="1:8" customFormat="1" x14ac:dyDescent="0.25">
      <c r="A31123" t="str">
        <f>"844822"</f>
        <v>844822</v>
      </c>
      <c r="B31123" t="s">
        <v>20806</v>
      </c>
      <c r="C31123" t="s">
        <v>598</v>
      </c>
      <c r="D31123" s="21" t="s">
        <v>34</v>
      </c>
      <c r="E31123" s="21" t="s">
        <v>71</v>
      </c>
      <c r="F31123">
        <v>13840045</v>
      </c>
      <c r="G31123" t="s">
        <v>11703</v>
      </c>
      <c r="H31123" s="21">
        <v>532.16999999999996</v>
      </c>
    </row>
    <row r="31124" spans="1:8" customFormat="1" x14ac:dyDescent="0.25">
      <c r="A31124" t="str">
        <f>"9532820"</f>
        <v>9532820</v>
      </c>
      <c r="B31124" t="s">
        <v>1264</v>
      </c>
      <c r="C31124" t="s">
        <v>5368</v>
      </c>
      <c r="D31124" s="21" t="s">
        <v>34</v>
      </c>
      <c r="E31124" s="21" t="s">
        <v>71</v>
      </c>
      <c r="F31124">
        <v>8951451</v>
      </c>
      <c r="G31124" t="s">
        <v>3909</v>
      </c>
      <c r="H31124" s="21">
        <v>532.16999999999996</v>
      </c>
    </row>
    <row r="31125" spans="1:8" customFormat="1" x14ac:dyDescent="0.25">
      <c r="A31125" t="str">
        <f>"56794"</f>
        <v>56794</v>
      </c>
      <c r="B31125" t="s">
        <v>23906</v>
      </c>
      <c r="C31125" t="s">
        <v>96</v>
      </c>
      <c r="D31125" s="21" t="s">
        <v>34</v>
      </c>
      <c r="E31125" s="21" t="s">
        <v>1089</v>
      </c>
      <c r="F31125">
        <v>3560045</v>
      </c>
      <c r="G31125" t="s">
        <v>4969</v>
      </c>
      <c r="H31125" s="21">
        <v>532.16999999999996</v>
      </c>
    </row>
    <row r="31126" spans="1:8" customFormat="1" x14ac:dyDescent="0.25">
      <c r="A31126" t="str">
        <f>"9528919"</f>
        <v>9528919</v>
      </c>
      <c r="B31126" t="s">
        <v>20669</v>
      </c>
      <c r="C31126" t="s">
        <v>16656</v>
      </c>
      <c r="D31126" s="21" t="s">
        <v>34</v>
      </c>
      <c r="E31126" s="21" t="s">
        <v>1089</v>
      </c>
      <c r="F31126">
        <v>8950083</v>
      </c>
      <c r="G31126" t="s">
        <v>405</v>
      </c>
      <c r="H31126" s="21">
        <v>532.12</v>
      </c>
    </row>
    <row r="31127" spans="1:8" customFormat="1" x14ac:dyDescent="0.25">
      <c r="A31127" t="str">
        <f>"9437286"</f>
        <v>9437286</v>
      </c>
      <c r="B31127" t="s">
        <v>146</v>
      </c>
      <c r="C31127" t="s">
        <v>109</v>
      </c>
      <c r="D31127" s="21" t="s">
        <v>34</v>
      </c>
      <c r="E31127" s="21" t="s">
        <v>35</v>
      </c>
      <c r="F31127">
        <v>8940872</v>
      </c>
      <c r="G31127" t="s">
        <v>4687</v>
      </c>
      <c r="H31127" s="21">
        <v>532.04</v>
      </c>
    </row>
    <row r="31128" spans="1:8" customFormat="1" x14ac:dyDescent="0.25">
      <c r="A31128" t="str">
        <f>"3833085"</f>
        <v>3833085</v>
      </c>
      <c r="B31128" t="s">
        <v>22478</v>
      </c>
      <c r="C31128" t="s">
        <v>263</v>
      </c>
      <c r="D31128" s="21" t="s">
        <v>34</v>
      </c>
      <c r="E31128" s="21" t="s">
        <v>71</v>
      </c>
      <c r="F31128">
        <v>1380225</v>
      </c>
      <c r="G31128" t="s">
        <v>4441</v>
      </c>
      <c r="H31128" s="21">
        <v>532</v>
      </c>
    </row>
    <row r="31129" spans="1:8" customFormat="1" x14ac:dyDescent="0.25">
      <c r="A31129" t="str">
        <f>"324600"</f>
        <v>324600</v>
      </c>
      <c r="B31129" t="s">
        <v>20845</v>
      </c>
      <c r="C31129" t="s">
        <v>462</v>
      </c>
      <c r="D31129" s="21" t="s">
        <v>34</v>
      </c>
      <c r="E31129" s="21" t="s">
        <v>71</v>
      </c>
      <c r="F31129">
        <v>11320027</v>
      </c>
      <c r="G31129" t="s">
        <v>8305</v>
      </c>
      <c r="H31129" s="21">
        <v>532</v>
      </c>
    </row>
    <row r="31130" spans="1:8" customFormat="1" x14ac:dyDescent="0.25">
      <c r="A31130" t="str">
        <f>"4449363"</f>
        <v>4449363</v>
      </c>
      <c r="B31130" t="s">
        <v>650</v>
      </c>
      <c r="C31130" t="s">
        <v>253</v>
      </c>
      <c r="D31130" s="21" t="s">
        <v>34</v>
      </c>
      <c r="E31130" s="21" t="s">
        <v>254</v>
      </c>
      <c r="F31130">
        <v>12440084</v>
      </c>
      <c r="G31130" t="s">
        <v>1014</v>
      </c>
      <c r="H31130" s="21">
        <v>532</v>
      </c>
    </row>
    <row r="31131" spans="1:8" customFormat="1" x14ac:dyDescent="0.25">
      <c r="A31131" t="str">
        <f>"6948014"</f>
        <v>6948014</v>
      </c>
      <c r="B31131" t="s">
        <v>28320</v>
      </c>
      <c r="C31131" t="s">
        <v>130</v>
      </c>
      <c r="D31131" s="21" t="s">
        <v>34</v>
      </c>
      <c r="E31131" s="21" t="s">
        <v>35</v>
      </c>
      <c r="F31131">
        <v>1690138</v>
      </c>
      <c r="G31131" t="s">
        <v>18533</v>
      </c>
      <c r="H31131" s="21">
        <v>532</v>
      </c>
    </row>
    <row r="31132" spans="1:8" customFormat="1" x14ac:dyDescent="0.25">
      <c r="A31132" t="str">
        <f>"0115628"</f>
        <v>0115628</v>
      </c>
      <c r="B31132" t="s">
        <v>28321</v>
      </c>
      <c r="C31132" t="s">
        <v>114</v>
      </c>
      <c r="D31132" s="21" t="s">
        <v>34</v>
      </c>
      <c r="E31132" s="21" t="s">
        <v>71</v>
      </c>
      <c r="F31132">
        <v>1010020</v>
      </c>
      <c r="G31132" t="s">
        <v>6121</v>
      </c>
      <c r="H31132" s="21">
        <v>532</v>
      </c>
    </row>
    <row r="31133" spans="1:8" customFormat="1" x14ac:dyDescent="0.25">
      <c r="A31133" t="str">
        <f>"395742"</f>
        <v>395742</v>
      </c>
      <c r="B31133" t="s">
        <v>21990</v>
      </c>
      <c r="C31133" t="s">
        <v>253</v>
      </c>
      <c r="D31133" s="21" t="s">
        <v>34</v>
      </c>
      <c r="E31133" s="21" t="s">
        <v>254</v>
      </c>
      <c r="F31133">
        <v>2390082</v>
      </c>
      <c r="G31133" t="s">
        <v>3343</v>
      </c>
      <c r="H31133" s="21">
        <v>532</v>
      </c>
    </row>
    <row r="31134" spans="1:8" customFormat="1" x14ac:dyDescent="0.25">
      <c r="A31134" t="str">
        <f>"4914374"</f>
        <v>4914374</v>
      </c>
      <c r="B31134" t="s">
        <v>2842</v>
      </c>
      <c r="C31134" t="s">
        <v>926</v>
      </c>
      <c r="D31134" s="21" t="s">
        <v>34</v>
      </c>
      <c r="E31134" s="21" t="s">
        <v>71</v>
      </c>
      <c r="F31134">
        <v>12490017</v>
      </c>
      <c r="G31134" t="s">
        <v>9393</v>
      </c>
      <c r="H31134" s="21">
        <v>532</v>
      </c>
    </row>
    <row r="31135" spans="1:8" customFormat="1" x14ac:dyDescent="0.25">
      <c r="A31135" t="str">
        <f>"0212487"</f>
        <v>0212487</v>
      </c>
      <c r="B31135" t="s">
        <v>28322</v>
      </c>
      <c r="C31135" t="s">
        <v>82</v>
      </c>
      <c r="D31135" s="21" t="s">
        <v>34</v>
      </c>
      <c r="E31135" s="21" t="s">
        <v>35</v>
      </c>
      <c r="F31135">
        <v>7021015</v>
      </c>
      <c r="G31135" t="s">
        <v>27639</v>
      </c>
      <c r="H31135" s="21">
        <v>532</v>
      </c>
    </row>
    <row r="31136" spans="1:8" customFormat="1" x14ac:dyDescent="0.25">
      <c r="A31136" t="str">
        <f>"2939643"</f>
        <v>2939643</v>
      </c>
      <c r="B31136" t="s">
        <v>1724</v>
      </c>
      <c r="C31136" t="s">
        <v>262</v>
      </c>
      <c r="D31136" s="21" t="s">
        <v>34</v>
      </c>
      <c r="E31136" s="21" t="s">
        <v>35</v>
      </c>
      <c r="F31136">
        <v>3290215</v>
      </c>
      <c r="G31136" t="s">
        <v>5058</v>
      </c>
      <c r="H31136" s="21">
        <v>532</v>
      </c>
    </row>
    <row r="31137" spans="1:8" customFormat="1" x14ac:dyDescent="0.25">
      <c r="A31137" t="str">
        <f>"2210970"</f>
        <v>2210970</v>
      </c>
      <c r="B31137" t="s">
        <v>392</v>
      </c>
      <c r="C31137" t="s">
        <v>239</v>
      </c>
      <c r="D31137" s="21" t="s">
        <v>34</v>
      </c>
      <c r="E31137" s="21" t="s">
        <v>1089</v>
      </c>
      <c r="F31137">
        <v>3220132</v>
      </c>
      <c r="G31137" t="s">
        <v>27242</v>
      </c>
      <c r="H31137" s="21">
        <v>531.66999999999996</v>
      </c>
    </row>
    <row r="31138" spans="1:8" customFormat="1" x14ac:dyDescent="0.25">
      <c r="A31138" t="str">
        <f>"228190"</f>
        <v>228190</v>
      </c>
      <c r="B31138" t="s">
        <v>9281</v>
      </c>
      <c r="C31138" t="s">
        <v>267</v>
      </c>
      <c r="D31138" s="21" t="s">
        <v>34</v>
      </c>
      <c r="E31138" s="21" t="s">
        <v>254</v>
      </c>
      <c r="F31138">
        <v>3220128</v>
      </c>
      <c r="G31138" t="s">
        <v>26938</v>
      </c>
      <c r="H31138" s="21">
        <v>531.66999999999996</v>
      </c>
    </row>
    <row r="31139" spans="1:8" customFormat="1" x14ac:dyDescent="0.25">
      <c r="A31139" t="str">
        <f>"4448594"</f>
        <v>4448594</v>
      </c>
      <c r="B31139" t="s">
        <v>22294</v>
      </c>
      <c r="C31139" t="s">
        <v>267</v>
      </c>
      <c r="D31139" s="21" t="s">
        <v>34</v>
      </c>
      <c r="E31139" s="21" t="s">
        <v>1089</v>
      </c>
      <c r="F31139">
        <v>12440166</v>
      </c>
      <c r="G31139" t="s">
        <v>4031</v>
      </c>
      <c r="H31139" s="21">
        <v>531.66999999999996</v>
      </c>
    </row>
    <row r="31140" spans="1:8" customFormat="1" x14ac:dyDescent="0.25">
      <c r="A31140" t="str">
        <f>"5015216"</f>
        <v>5015216</v>
      </c>
      <c r="B31140" t="s">
        <v>1462</v>
      </c>
      <c r="C31140" t="s">
        <v>9895</v>
      </c>
      <c r="D31140" s="21" t="s">
        <v>34</v>
      </c>
      <c r="E31140" s="21" t="s">
        <v>35</v>
      </c>
      <c r="F31140">
        <v>9500059</v>
      </c>
      <c r="G31140" t="s">
        <v>26714</v>
      </c>
      <c r="H31140" s="21">
        <v>531.66999999999996</v>
      </c>
    </row>
    <row r="31141" spans="1:8" customFormat="1" x14ac:dyDescent="0.25">
      <c r="A31141" t="str">
        <f>"1321106"</f>
        <v>1321106</v>
      </c>
      <c r="B31141" t="s">
        <v>22733</v>
      </c>
      <c r="C31141" t="s">
        <v>1146</v>
      </c>
      <c r="D31141" s="21" t="s">
        <v>34</v>
      </c>
      <c r="E31141" s="21" t="s">
        <v>254</v>
      </c>
      <c r="F31141">
        <v>13130100</v>
      </c>
      <c r="G31141" t="s">
        <v>2893</v>
      </c>
      <c r="H31141" s="21">
        <v>531.66999999999996</v>
      </c>
    </row>
    <row r="31142" spans="1:8" customFormat="1" x14ac:dyDescent="0.25">
      <c r="A31142" t="str">
        <f>"4512701"</f>
        <v>4512701</v>
      </c>
      <c r="B31142" t="s">
        <v>10582</v>
      </c>
      <c r="C31142" t="s">
        <v>253</v>
      </c>
      <c r="D31142" s="21" t="s">
        <v>34</v>
      </c>
      <c r="E31142" s="21" t="s">
        <v>254</v>
      </c>
      <c r="F31142">
        <v>4450616</v>
      </c>
      <c r="G31142" t="s">
        <v>3254</v>
      </c>
      <c r="H31142" s="21">
        <v>531.66999999999996</v>
      </c>
    </row>
    <row r="31143" spans="1:8" customFormat="1" x14ac:dyDescent="0.25">
      <c r="A31143" t="str">
        <f>"7622282"</f>
        <v>7622282</v>
      </c>
      <c r="B31143" t="s">
        <v>20835</v>
      </c>
      <c r="C31143" t="s">
        <v>249</v>
      </c>
      <c r="D31143" s="21" t="s">
        <v>34</v>
      </c>
      <c r="E31143" s="21" t="s">
        <v>71</v>
      </c>
      <c r="F31143">
        <v>9760291</v>
      </c>
      <c r="G31143" t="s">
        <v>26611</v>
      </c>
      <c r="H31143" s="21">
        <v>531.66999999999996</v>
      </c>
    </row>
    <row r="31144" spans="1:8" customFormat="1" x14ac:dyDescent="0.25">
      <c r="A31144" t="str">
        <f>"9130037"</f>
        <v>9130037</v>
      </c>
      <c r="B31144" t="s">
        <v>2046</v>
      </c>
      <c r="C31144" t="s">
        <v>1025</v>
      </c>
      <c r="D31144" s="21" t="s">
        <v>34</v>
      </c>
      <c r="E31144" s="21" t="s">
        <v>254</v>
      </c>
      <c r="F31144">
        <v>8910876</v>
      </c>
      <c r="G31144" t="s">
        <v>1721</v>
      </c>
      <c r="H31144" s="21">
        <v>531.66999999999996</v>
      </c>
    </row>
    <row r="31145" spans="1:8" customFormat="1" x14ac:dyDescent="0.25">
      <c r="A31145" t="str">
        <f>"0115447"</f>
        <v>0115447</v>
      </c>
      <c r="B31145" t="s">
        <v>24477</v>
      </c>
      <c r="C31145" t="s">
        <v>263</v>
      </c>
      <c r="D31145" s="21" t="s">
        <v>34</v>
      </c>
      <c r="E31145" s="21" t="s">
        <v>71</v>
      </c>
      <c r="F31145">
        <v>1010004</v>
      </c>
      <c r="G31145" t="s">
        <v>9066</v>
      </c>
      <c r="H31145" s="21">
        <v>531.66999999999996</v>
      </c>
    </row>
    <row r="31146" spans="1:8" customFormat="1" x14ac:dyDescent="0.25">
      <c r="A31146" t="str">
        <f>"7866234"</f>
        <v>7866234</v>
      </c>
      <c r="B31146" t="s">
        <v>3088</v>
      </c>
      <c r="C31146" t="s">
        <v>233</v>
      </c>
      <c r="D31146" s="21" t="s">
        <v>34</v>
      </c>
      <c r="E31146" s="21" t="s">
        <v>35</v>
      </c>
      <c r="F31146">
        <v>8780128</v>
      </c>
      <c r="G31146" t="s">
        <v>4201</v>
      </c>
      <c r="H31146" s="21">
        <v>531.66999999999996</v>
      </c>
    </row>
    <row r="31147" spans="1:8" customFormat="1" x14ac:dyDescent="0.25">
      <c r="A31147" t="str">
        <f>"6915588"</f>
        <v>6915588</v>
      </c>
      <c r="B31147" t="s">
        <v>1094</v>
      </c>
      <c r="C31147" t="s">
        <v>415</v>
      </c>
      <c r="D31147" s="21" t="s">
        <v>34</v>
      </c>
      <c r="E31147" s="21" t="s">
        <v>254</v>
      </c>
      <c r="F31147">
        <v>1690090</v>
      </c>
      <c r="G31147" t="s">
        <v>6286</v>
      </c>
      <c r="H31147" s="21">
        <v>531.66999999999996</v>
      </c>
    </row>
    <row r="31148" spans="1:8" customFormat="1" x14ac:dyDescent="0.25">
      <c r="A31148" t="str">
        <f>"105136"</f>
        <v>105136</v>
      </c>
      <c r="B31148" t="s">
        <v>6932</v>
      </c>
      <c r="C31148" t="s">
        <v>114</v>
      </c>
      <c r="D31148" s="21" t="s">
        <v>34</v>
      </c>
      <c r="E31148" s="21" t="s">
        <v>254</v>
      </c>
      <c r="F31148">
        <v>6100002</v>
      </c>
      <c r="G31148" t="s">
        <v>1602</v>
      </c>
      <c r="H31148" s="21">
        <v>531.66999999999996</v>
      </c>
    </row>
    <row r="31149" spans="1:8" customFormat="1" x14ac:dyDescent="0.25">
      <c r="A31149" t="str">
        <f>"2216861"</f>
        <v>2216861</v>
      </c>
      <c r="B31149" t="s">
        <v>21004</v>
      </c>
      <c r="C31149" t="s">
        <v>598</v>
      </c>
      <c r="D31149" s="21" t="s">
        <v>34</v>
      </c>
      <c r="E31149" s="21" t="s">
        <v>1089</v>
      </c>
      <c r="F31149">
        <v>3220140</v>
      </c>
      <c r="G31149" t="s">
        <v>26656</v>
      </c>
      <c r="H31149" s="21">
        <v>531.66999999999996</v>
      </c>
    </row>
    <row r="31150" spans="1:8" customFormat="1" x14ac:dyDescent="0.25">
      <c r="A31150" t="str">
        <f>"7222573"</f>
        <v>7222573</v>
      </c>
      <c r="B31150" t="s">
        <v>21881</v>
      </c>
      <c r="C31150" t="s">
        <v>269</v>
      </c>
      <c r="D31150" s="21" t="s">
        <v>34</v>
      </c>
      <c r="E31150" s="21" t="s">
        <v>35</v>
      </c>
      <c r="F31150">
        <v>12720147</v>
      </c>
      <c r="G31150" t="s">
        <v>27267</v>
      </c>
      <c r="H31150" s="21">
        <v>531.66999999999996</v>
      </c>
    </row>
    <row r="31151" spans="1:8" customFormat="1" x14ac:dyDescent="0.25">
      <c r="A31151" t="str">
        <f>"3537215"</f>
        <v>3537215</v>
      </c>
      <c r="B31151" t="s">
        <v>9356</v>
      </c>
      <c r="C31151" t="s">
        <v>60</v>
      </c>
      <c r="D31151" s="21" t="s">
        <v>34</v>
      </c>
      <c r="E31151" s="21" t="s">
        <v>35</v>
      </c>
      <c r="F31151">
        <v>3350003</v>
      </c>
      <c r="G31151" t="s">
        <v>23119</v>
      </c>
      <c r="H31151" s="21">
        <v>531.66999999999996</v>
      </c>
    </row>
    <row r="31152" spans="1:8" customFormat="1" x14ac:dyDescent="0.25">
      <c r="A31152" t="str">
        <f>"8529005"</f>
        <v>8529005</v>
      </c>
      <c r="B31152" t="s">
        <v>3209</v>
      </c>
      <c r="C31152" t="s">
        <v>1782</v>
      </c>
      <c r="D31152" s="21" t="s">
        <v>34</v>
      </c>
      <c r="E31152" s="21" t="s">
        <v>35</v>
      </c>
      <c r="F31152">
        <v>12850162</v>
      </c>
      <c r="G31152" t="s">
        <v>15095</v>
      </c>
      <c r="H31152" s="21">
        <v>531.66999999999996</v>
      </c>
    </row>
    <row r="31153" spans="1:8" customFormat="1" x14ac:dyDescent="0.25">
      <c r="A31153" t="str">
        <f>"3426648"</f>
        <v>3426648</v>
      </c>
      <c r="B31153" t="s">
        <v>28323</v>
      </c>
      <c r="C31153" t="s">
        <v>87</v>
      </c>
      <c r="D31153" s="21" t="s">
        <v>34</v>
      </c>
      <c r="E31153" s="21" t="s">
        <v>71</v>
      </c>
      <c r="F31153">
        <v>11340042</v>
      </c>
      <c r="G31153" t="s">
        <v>13840</v>
      </c>
      <c r="H31153" s="21">
        <v>531.66999999999996</v>
      </c>
    </row>
    <row r="31154" spans="1:8" customFormat="1" x14ac:dyDescent="0.25">
      <c r="A31154" t="str">
        <f>"3011913"</f>
        <v>3011913</v>
      </c>
      <c r="B31154" t="s">
        <v>21219</v>
      </c>
      <c r="C31154" t="s">
        <v>415</v>
      </c>
      <c r="D31154" s="21" t="s">
        <v>34</v>
      </c>
      <c r="E31154" s="21" t="s">
        <v>35</v>
      </c>
      <c r="F31154">
        <v>11300039</v>
      </c>
      <c r="G31154" t="s">
        <v>10680</v>
      </c>
      <c r="H31154" s="21">
        <v>531.66999999999996</v>
      </c>
    </row>
    <row r="31155" spans="1:8" customFormat="1" x14ac:dyDescent="0.25">
      <c r="A31155" t="str">
        <f>"9421050"</f>
        <v>9421050</v>
      </c>
      <c r="B31155" t="s">
        <v>480</v>
      </c>
      <c r="C31155" t="s">
        <v>1110</v>
      </c>
      <c r="D31155" s="21" t="s">
        <v>34</v>
      </c>
      <c r="E31155" s="21" t="s">
        <v>1089</v>
      </c>
      <c r="F31155">
        <v>8940894</v>
      </c>
      <c r="G31155" t="s">
        <v>481</v>
      </c>
      <c r="H31155" s="21">
        <v>531.54</v>
      </c>
    </row>
    <row r="31156" spans="1:8" customFormat="1" x14ac:dyDescent="0.25">
      <c r="A31156" t="str">
        <f>"285054"</f>
        <v>285054</v>
      </c>
      <c r="B31156" t="s">
        <v>22132</v>
      </c>
      <c r="C31156" t="s">
        <v>462</v>
      </c>
      <c r="D31156" s="21" t="s">
        <v>34</v>
      </c>
      <c r="E31156" s="21" t="s">
        <v>71</v>
      </c>
      <c r="F31156">
        <v>4280322</v>
      </c>
      <c r="G31156" t="s">
        <v>265</v>
      </c>
      <c r="H31156" s="21">
        <v>531.5</v>
      </c>
    </row>
    <row r="31157" spans="1:8" customFormat="1" x14ac:dyDescent="0.25">
      <c r="A31157" t="str">
        <f>"3538738"</f>
        <v>3538738</v>
      </c>
      <c r="B31157" t="s">
        <v>20730</v>
      </c>
      <c r="C31157" t="s">
        <v>209</v>
      </c>
      <c r="D31157" s="21" t="s">
        <v>34</v>
      </c>
      <c r="E31157" s="21" t="s">
        <v>71</v>
      </c>
      <c r="F31157">
        <v>3350209</v>
      </c>
      <c r="G31157" t="s">
        <v>3023</v>
      </c>
      <c r="H31157" s="21">
        <v>531.5</v>
      </c>
    </row>
    <row r="31158" spans="1:8" customFormat="1" x14ac:dyDescent="0.25">
      <c r="A31158" t="str">
        <f>"4218985"</f>
        <v>4218985</v>
      </c>
      <c r="B31158" t="s">
        <v>28324</v>
      </c>
      <c r="C31158" t="s">
        <v>631</v>
      </c>
      <c r="D31158" s="21" t="s">
        <v>34</v>
      </c>
      <c r="E31158" s="21" t="s">
        <v>35</v>
      </c>
      <c r="F31158">
        <v>1420017</v>
      </c>
      <c r="G31158" t="s">
        <v>1296</v>
      </c>
      <c r="H31158" s="21">
        <v>531.5</v>
      </c>
    </row>
    <row r="31159" spans="1:8" customFormat="1" x14ac:dyDescent="0.25">
      <c r="A31159" t="str">
        <f>"396887"</f>
        <v>396887</v>
      </c>
      <c r="B31159" t="s">
        <v>22588</v>
      </c>
      <c r="C31159" t="s">
        <v>169</v>
      </c>
      <c r="D31159" s="21" t="s">
        <v>34</v>
      </c>
      <c r="E31159" s="21" t="s">
        <v>35</v>
      </c>
      <c r="F31159">
        <v>2390098</v>
      </c>
      <c r="G31159" t="s">
        <v>22589</v>
      </c>
      <c r="H31159" s="21">
        <v>531.5</v>
      </c>
    </row>
    <row r="31160" spans="1:8" customFormat="1" x14ac:dyDescent="0.25">
      <c r="A31160" t="str">
        <f>"9438118"</f>
        <v>9438118</v>
      </c>
      <c r="B31160" t="s">
        <v>8746</v>
      </c>
      <c r="C31160" t="s">
        <v>87</v>
      </c>
      <c r="D31160" s="21" t="s">
        <v>34</v>
      </c>
      <c r="E31160" s="21" t="s">
        <v>35</v>
      </c>
      <c r="F31160">
        <v>8941352</v>
      </c>
      <c r="G31160" t="s">
        <v>3778</v>
      </c>
      <c r="H31160" s="21">
        <v>531.5</v>
      </c>
    </row>
    <row r="31161" spans="1:8" customFormat="1" x14ac:dyDescent="0.25">
      <c r="A31161" t="str">
        <f>"8811969"</f>
        <v>8811969</v>
      </c>
      <c r="B31161" t="s">
        <v>20686</v>
      </c>
      <c r="C31161" t="s">
        <v>493</v>
      </c>
      <c r="D31161" s="21" t="s">
        <v>34</v>
      </c>
      <c r="E31161" s="21" t="s">
        <v>71</v>
      </c>
      <c r="F31161">
        <v>6880086</v>
      </c>
      <c r="G31161" t="s">
        <v>3245</v>
      </c>
      <c r="H31161" s="21">
        <v>531.41999999999996</v>
      </c>
    </row>
    <row r="31162" spans="1:8" customFormat="1" x14ac:dyDescent="0.25">
      <c r="A31162" t="str">
        <f>"5322179"</f>
        <v>5322179</v>
      </c>
      <c r="B31162" t="s">
        <v>1738</v>
      </c>
      <c r="C31162" t="s">
        <v>209</v>
      </c>
      <c r="D31162" s="21" t="s">
        <v>34</v>
      </c>
      <c r="E31162" s="21" t="s">
        <v>71</v>
      </c>
      <c r="F31162">
        <v>12530072</v>
      </c>
      <c r="G31162" t="s">
        <v>7342</v>
      </c>
      <c r="H31162" s="21">
        <v>531.41999999999996</v>
      </c>
    </row>
    <row r="31163" spans="1:8" customFormat="1" x14ac:dyDescent="0.25">
      <c r="A31163" t="str">
        <f>"2516958"</f>
        <v>2516958</v>
      </c>
      <c r="B31163" t="s">
        <v>22936</v>
      </c>
      <c r="C31163" t="s">
        <v>547</v>
      </c>
      <c r="D31163" s="21" t="s">
        <v>34</v>
      </c>
      <c r="E31163" s="21" t="s">
        <v>254</v>
      </c>
      <c r="F31163">
        <v>2250016</v>
      </c>
      <c r="G31163" t="s">
        <v>1709</v>
      </c>
      <c r="H31163" s="21">
        <v>531.16999999999996</v>
      </c>
    </row>
    <row r="31164" spans="1:8" customFormat="1" x14ac:dyDescent="0.25">
      <c r="A31164" t="str">
        <f>"7834299"</f>
        <v>7834299</v>
      </c>
      <c r="B31164" t="s">
        <v>3958</v>
      </c>
      <c r="C31164" t="s">
        <v>2208</v>
      </c>
      <c r="D31164" s="21" t="s">
        <v>34</v>
      </c>
      <c r="E31164" s="21" t="s">
        <v>35</v>
      </c>
      <c r="F31164">
        <v>3350233</v>
      </c>
      <c r="G31164" t="s">
        <v>27023</v>
      </c>
      <c r="H31164" s="21">
        <v>531.16999999999996</v>
      </c>
    </row>
    <row r="31165" spans="1:8" customFormat="1" x14ac:dyDescent="0.25">
      <c r="A31165" t="str">
        <f>"51291"</f>
        <v>51291</v>
      </c>
      <c r="B31165" t="s">
        <v>19944</v>
      </c>
      <c r="C31165" t="s">
        <v>19945</v>
      </c>
      <c r="D31165" s="21" t="s">
        <v>34</v>
      </c>
      <c r="E31165" s="21" t="s">
        <v>254</v>
      </c>
      <c r="F31165">
        <v>6510015</v>
      </c>
      <c r="G31165" t="s">
        <v>5462</v>
      </c>
      <c r="H31165" s="21">
        <v>531.16999999999996</v>
      </c>
    </row>
    <row r="31166" spans="1:8" customFormat="1" x14ac:dyDescent="0.25">
      <c r="A31166" t="str">
        <f>"7721242"</f>
        <v>7721242</v>
      </c>
      <c r="B31166" t="s">
        <v>22761</v>
      </c>
      <c r="C31166" t="s">
        <v>328</v>
      </c>
      <c r="D31166" s="21" t="s">
        <v>34</v>
      </c>
      <c r="E31166" s="21" t="s">
        <v>35</v>
      </c>
      <c r="F31166">
        <v>8771506</v>
      </c>
      <c r="G31166" t="s">
        <v>7314</v>
      </c>
      <c r="H31166" s="21">
        <v>531.16999999999996</v>
      </c>
    </row>
    <row r="31167" spans="1:8" customFormat="1" x14ac:dyDescent="0.25">
      <c r="A31167" t="str">
        <f>"2718190"</f>
        <v>2718190</v>
      </c>
      <c r="B31167" t="s">
        <v>1165</v>
      </c>
      <c r="C31167" t="s">
        <v>415</v>
      </c>
      <c r="D31167" s="21" t="s">
        <v>34</v>
      </c>
      <c r="E31167" s="21" t="s">
        <v>254</v>
      </c>
      <c r="F31167">
        <v>9270095</v>
      </c>
      <c r="G31167" t="s">
        <v>1681</v>
      </c>
      <c r="H31167" s="21">
        <v>531.16999999999996</v>
      </c>
    </row>
    <row r="31168" spans="1:8" customFormat="1" x14ac:dyDescent="0.25">
      <c r="A31168" t="str">
        <f>"2720567"</f>
        <v>2720567</v>
      </c>
      <c r="B31168" t="s">
        <v>6805</v>
      </c>
      <c r="C31168" t="s">
        <v>211</v>
      </c>
      <c r="D31168" s="21" t="s">
        <v>34</v>
      </c>
      <c r="E31168" s="21" t="s">
        <v>35</v>
      </c>
      <c r="F31168">
        <v>9270166</v>
      </c>
      <c r="G31168" t="s">
        <v>16629</v>
      </c>
      <c r="H31168" s="21">
        <v>531.16999999999996</v>
      </c>
    </row>
    <row r="31169" spans="1:8" customFormat="1" x14ac:dyDescent="0.25">
      <c r="A31169" t="str">
        <f>"3829375"</f>
        <v>3829375</v>
      </c>
      <c r="B31169" t="s">
        <v>6659</v>
      </c>
      <c r="C31169" t="s">
        <v>124</v>
      </c>
      <c r="D31169" s="21" t="s">
        <v>34</v>
      </c>
      <c r="E31169" s="21" t="s">
        <v>71</v>
      </c>
      <c r="F31169">
        <v>1380296</v>
      </c>
      <c r="G31169" t="s">
        <v>2810</v>
      </c>
      <c r="H31169" s="21">
        <v>531.16999999999996</v>
      </c>
    </row>
    <row r="31170" spans="1:8" customFormat="1" x14ac:dyDescent="0.25">
      <c r="A31170" t="str">
        <f>"6229343"</f>
        <v>6229343</v>
      </c>
      <c r="B31170" t="s">
        <v>4382</v>
      </c>
      <c r="C31170" t="s">
        <v>7181</v>
      </c>
      <c r="D31170" s="21" t="s">
        <v>34</v>
      </c>
      <c r="E31170" s="21" t="s">
        <v>71</v>
      </c>
      <c r="F31170">
        <v>7620080</v>
      </c>
      <c r="G31170" t="s">
        <v>6056</v>
      </c>
      <c r="H31170" s="21">
        <v>531.16999999999996</v>
      </c>
    </row>
    <row r="31171" spans="1:8" customFormat="1" x14ac:dyDescent="0.25">
      <c r="A31171" t="str">
        <f>"609234"</f>
        <v>609234</v>
      </c>
      <c r="B31171" t="s">
        <v>5699</v>
      </c>
      <c r="C31171" t="s">
        <v>269</v>
      </c>
      <c r="D31171" s="21" t="s">
        <v>34</v>
      </c>
      <c r="E31171" s="21" t="s">
        <v>254</v>
      </c>
      <c r="F31171">
        <v>7600017</v>
      </c>
      <c r="G31171" t="s">
        <v>8498</v>
      </c>
      <c r="H31171" s="21">
        <v>531.16999999999996</v>
      </c>
    </row>
    <row r="31172" spans="1:8" customFormat="1" x14ac:dyDescent="0.25">
      <c r="A31172" t="str">
        <f>"1416295"</f>
        <v>1416295</v>
      </c>
      <c r="B31172" t="s">
        <v>12873</v>
      </c>
      <c r="C31172" t="s">
        <v>33</v>
      </c>
      <c r="D31172" s="21" t="s">
        <v>34</v>
      </c>
      <c r="E31172" s="21" t="s">
        <v>71</v>
      </c>
      <c r="F31172">
        <v>9140127</v>
      </c>
      <c r="G31172" t="s">
        <v>6641</v>
      </c>
      <c r="H31172" s="21">
        <v>531.16999999999996</v>
      </c>
    </row>
    <row r="31173" spans="1:8" customFormat="1" x14ac:dyDescent="0.25">
      <c r="A31173" t="str">
        <f>"6814321"</f>
        <v>6814321</v>
      </c>
      <c r="B31173" t="s">
        <v>24234</v>
      </c>
      <c r="C31173" t="s">
        <v>547</v>
      </c>
      <c r="D31173" s="21" t="s">
        <v>34</v>
      </c>
      <c r="E31173" s="21" t="s">
        <v>71</v>
      </c>
      <c r="F31173">
        <v>6680125</v>
      </c>
      <c r="G31173" t="s">
        <v>6543</v>
      </c>
      <c r="H31173" s="21">
        <v>531.16999999999996</v>
      </c>
    </row>
    <row r="31174" spans="1:8" customFormat="1" x14ac:dyDescent="0.25">
      <c r="A31174" t="str">
        <f>"6949304"</f>
        <v>6949304</v>
      </c>
      <c r="B31174" t="s">
        <v>5416</v>
      </c>
      <c r="C31174" t="s">
        <v>130</v>
      </c>
      <c r="D31174" s="21" t="s">
        <v>34</v>
      </c>
      <c r="E31174" s="21" t="s">
        <v>71</v>
      </c>
      <c r="F31174">
        <v>1690002</v>
      </c>
      <c r="G31174" t="s">
        <v>5604</v>
      </c>
      <c r="H31174" s="21">
        <v>531.16999999999996</v>
      </c>
    </row>
    <row r="31175" spans="1:8" customFormat="1" x14ac:dyDescent="0.25">
      <c r="A31175" t="str">
        <f>"9128999"</f>
        <v>9128999</v>
      </c>
      <c r="B31175" t="s">
        <v>4261</v>
      </c>
      <c r="C31175" t="s">
        <v>656</v>
      </c>
      <c r="D31175" s="21" t="s">
        <v>34</v>
      </c>
      <c r="E31175" s="21" t="s">
        <v>254</v>
      </c>
      <c r="F31175">
        <v>8911161</v>
      </c>
      <c r="G31175" t="s">
        <v>599</v>
      </c>
      <c r="H31175" s="21">
        <v>531.16999999999996</v>
      </c>
    </row>
    <row r="31176" spans="1:8" customFormat="1" x14ac:dyDescent="0.25">
      <c r="A31176" t="str">
        <f>"3810254"</f>
        <v>3810254</v>
      </c>
      <c r="B31176" t="s">
        <v>9535</v>
      </c>
      <c r="C31176" t="s">
        <v>1146</v>
      </c>
      <c r="D31176" s="21" t="s">
        <v>34</v>
      </c>
      <c r="E31176" s="21" t="s">
        <v>1089</v>
      </c>
      <c r="F31176">
        <v>1380045</v>
      </c>
      <c r="G31176" t="s">
        <v>2114</v>
      </c>
      <c r="H31176" s="21">
        <v>531.16999999999996</v>
      </c>
    </row>
    <row r="31177" spans="1:8" customFormat="1" x14ac:dyDescent="0.25">
      <c r="A31177" t="str">
        <f>"6316833"</f>
        <v>6316833</v>
      </c>
      <c r="B31177" t="s">
        <v>28325</v>
      </c>
      <c r="C31177" t="s">
        <v>249</v>
      </c>
      <c r="D31177" s="21" t="s">
        <v>34</v>
      </c>
      <c r="E31177" s="21" t="s">
        <v>35</v>
      </c>
      <c r="F31177">
        <v>1630145</v>
      </c>
      <c r="G31177" t="s">
        <v>13804</v>
      </c>
      <c r="H31177" s="21">
        <v>531.16999999999996</v>
      </c>
    </row>
    <row r="31178" spans="1:8" customFormat="1" x14ac:dyDescent="0.25">
      <c r="A31178" t="str">
        <f>"7522365"</f>
        <v>7522365</v>
      </c>
      <c r="B31178" t="s">
        <v>22057</v>
      </c>
      <c r="C31178" t="s">
        <v>8417</v>
      </c>
      <c r="D31178" s="21" t="s">
        <v>34</v>
      </c>
      <c r="E31178" s="21" t="s">
        <v>71</v>
      </c>
      <c r="F31178">
        <v>8750120</v>
      </c>
      <c r="G31178" t="s">
        <v>838</v>
      </c>
      <c r="H31178" s="21">
        <v>531.16999999999996</v>
      </c>
    </row>
    <row r="31179" spans="1:8" customFormat="1" x14ac:dyDescent="0.25">
      <c r="A31179" t="str">
        <f>"4919156"</f>
        <v>4919156</v>
      </c>
      <c r="B31179" t="s">
        <v>16075</v>
      </c>
      <c r="C31179" t="s">
        <v>547</v>
      </c>
      <c r="D31179" s="21" t="s">
        <v>34</v>
      </c>
      <c r="E31179" s="21" t="s">
        <v>254</v>
      </c>
      <c r="F31179">
        <v>12490092</v>
      </c>
      <c r="G31179" t="s">
        <v>1854</v>
      </c>
      <c r="H31179" s="21">
        <v>531.16999999999996</v>
      </c>
    </row>
    <row r="31180" spans="1:8" customFormat="1" x14ac:dyDescent="0.25">
      <c r="A31180" t="str">
        <f>"3116181"</f>
        <v>3116181</v>
      </c>
      <c r="B31180" t="s">
        <v>21556</v>
      </c>
      <c r="C31180" t="s">
        <v>124</v>
      </c>
      <c r="D31180" s="21" t="s">
        <v>34</v>
      </c>
      <c r="E31180" s="21" t="s">
        <v>71</v>
      </c>
      <c r="F31180">
        <v>11310117</v>
      </c>
      <c r="G31180" t="s">
        <v>10279</v>
      </c>
      <c r="H31180" s="21">
        <v>531.16999999999996</v>
      </c>
    </row>
    <row r="31181" spans="1:8" customFormat="1" x14ac:dyDescent="0.25">
      <c r="A31181" t="str">
        <f>"0610908"</f>
        <v>0610908</v>
      </c>
      <c r="B31181" t="s">
        <v>4199</v>
      </c>
      <c r="C31181" t="s">
        <v>20591</v>
      </c>
      <c r="D31181" s="21" t="s">
        <v>34</v>
      </c>
      <c r="E31181" s="21" t="s">
        <v>1089</v>
      </c>
      <c r="F31181">
        <v>13060066</v>
      </c>
      <c r="G31181" t="s">
        <v>2556</v>
      </c>
      <c r="H31181" s="21">
        <v>531.16999999999996</v>
      </c>
    </row>
    <row r="31182" spans="1:8" customFormat="1" x14ac:dyDescent="0.25">
      <c r="A31182" t="str">
        <f>"7856990"</f>
        <v>7856990</v>
      </c>
      <c r="B31182" t="s">
        <v>22903</v>
      </c>
      <c r="C31182" t="s">
        <v>169</v>
      </c>
      <c r="D31182" s="21" t="s">
        <v>34</v>
      </c>
      <c r="E31182" s="21" t="s">
        <v>35</v>
      </c>
      <c r="F31182">
        <v>8781162</v>
      </c>
      <c r="G31182" t="s">
        <v>7991</v>
      </c>
      <c r="H31182" s="21">
        <v>531.16999999999996</v>
      </c>
    </row>
    <row r="31183" spans="1:8" customFormat="1" x14ac:dyDescent="0.25">
      <c r="A31183" t="str">
        <f>"0115168"</f>
        <v>0115168</v>
      </c>
      <c r="B31183" t="s">
        <v>28326</v>
      </c>
      <c r="C31183" t="s">
        <v>2475</v>
      </c>
      <c r="D31183" s="21" t="s">
        <v>34</v>
      </c>
      <c r="E31183" s="21" t="s">
        <v>35</v>
      </c>
      <c r="F31183">
        <v>1010063</v>
      </c>
      <c r="G31183" t="s">
        <v>5215</v>
      </c>
      <c r="H31183" s="21">
        <v>531.16999999999996</v>
      </c>
    </row>
    <row r="31184" spans="1:8" customFormat="1" x14ac:dyDescent="0.25">
      <c r="A31184" t="str">
        <f>"735512"</f>
        <v>735512</v>
      </c>
      <c r="B31184" t="s">
        <v>5385</v>
      </c>
      <c r="C31184" t="s">
        <v>285</v>
      </c>
      <c r="D31184" s="21" t="s">
        <v>34</v>
      </c>
      <c r="E31184" s="21" t="s">
        <v>35</v>
      </c>
      <c r="F31184">
        <v>1380173</v>
      </c>
      <c r="G31184" t="s">
        <v>9553</v>
      </c>
      <c r="H31184" s="21">
        <v>531.16999999999996</v>
      </c>
    </row>
    <row r="31185" spans="1:8" customFormat="1" x14ac:dyDescent="0.25">
      <c r="A31185" t="str">
        <f>"4711262"</f>
        <v>4711262</v>
      </c>
      <c r="B31185" t="s">
        <v>23481</v>
      </c>
      <c r="C31185" t="s">
        <v>2806</v>
      </c>
      <c r="D31185" s="21" t="s">
        <v>34</v>
      </c>
      <c r="E31185" s="21" t="s">
        <v>254</v>
      </c>
      <c r="F31185">
        <v>10470001</v>
      </c>
      <c r="G31185" t="s">
        <v>391</v>
      </c>
      <c r="H31185" s="21">
        <v>531.16999999999996</v>
      </c>
    </row>
    <row r="31186" spans="1:8" customFormat="1" x14ac:dyDescent="0.25">
      <c r="A31186" t="str">
        <f>"8526229"</f>
        <v>8526229</v>
      </c>
      <c r="B31186" t="s">
        <v>650</v>
      </c>
      <c r="C31186" t="s">
        <v>263</v>
      </c>
      <c r="D31186" s="21" t="s">
        <v>34</v>
      </c>
      <c r="E31186" s="21" t="s">
        <v>35</v>
      </c>
      <c r="F31186">
        <v>12850109</v>
      </c>
      <c r="G31186" t="s">
        <v>2714</v>
      </c>
      <c r="H31186" s="21">
        <v>531.16999999999996</v>
      </c>
    </row>
    <row r="31187" spans="1:8" customFormat="1" x14ac:dyDescent="0.25">
      <c r="A31187" t="str">
        <f>"7636008"</f>
        <v>7636008</v>
      </c>
      <c r="B31187" t="s">
        <v>5814</v>
      </c>
      <c r="C31187" t="s">
        <v>204</v>
      </c>
      <c r="D31187" s="21" t="s">
        <v>34</v>
      </c>
      <c r="E31187" s="21" t="s">
        <v>71</v>
      </c>
      <c r="F31187">
        <v>10330098</v>
      </c>
      <c r="G31187" t="s">
        <v>8299</v>
      </c>
      <c r="H31187" s="21">
        <v>531.04</v>
      </c>
    </row>
    <row r="31188" spans="1:8" customFormat="1" x14ac:dyDescent="0.25">
      <c r="A31188" t="str">
        <f>"5733719"</f>
        <v>5733719</v>
      </c>
      <c r="B31188" t="s">
        <v>28327</v>
      </c>
      <c r="C31188" t="s">
        <v>879</v>
      </c>
      <c r="D31188" s="21" t="s">
        <v>34</v>
      </c>
      <c r="E31188" s="21" t="s">
        <v>35</v>
      </c>
      <c r="F31188">
        <v>6570107</v>
      </c>
      <c r="G31188" t="s">
        <v>5598</v>
      </c>
      <c r="H31188" s="21">
        <v>531</v>
      </c>
    </row>
    <row r="31189" spans="1:8" customFormat="1" x14ac:dyDescent="0.25">
      <c r="A31189" t="str">
        <f>"7856995"</f>
        <v>7856995</v>
      </c>
      <c r="B31189" t="s">
        <v>22776</v>
      </c>
      <c r="C31189" t="s">
        <v>151</v>
      </c>
      <c r="D31189" s="21" t="s">
        <v>34</v>
      </c>
      <c r="E31189" s="21" t="s">
        <v>254</v>
      </c>
      <c r="F31189">
        <v>8781380</v>
      </c>
      <c r="G31189" t="s">
        <v>10815</v>
      </c>
      <c r="H31189" s="21">
        <v>531</v>
      </c>
    </row>
    <row r="31190" spans="1:8" customFormat="1" x14ac:dyDescent="0.25">
      <c r="A31190" t="str">
        <f>"7914090"</f>
        <v>7914090</v>
      </c>
      <c r="B31190" t="s">
        <v>15877</v>
      </c>
      <c r="C31190" t="s">
        <v>209</v>
      </c>
      <c r="D31190" s="21" t="s">
        <v>34</v>
      </c>
      <c r="E31190" s="21" t="s">
        <v>71</v>
      </c>
      <c r="F31190">
        <v>10170162</v>
      </c>
      <c r="G31190" t="s">
        <v>2817</v>
      </c>
      <c r="H31190" s="21">
        <v>531</v>
      </c>
    </row>
    <row r="31191" spans="1:8" customFormat="1" x14ac:dyDescent="0.25">
      <c r="A31191" t="str">
        <f>"6316092"</f>
        <v>6316092</v>
      </c>
      <c r="B31191" t="s">
        <v>582</v>
      </c>
      <c r="C31191" t="s">
        <v>62</v>
      </c>
      <c r="D31191" s="21" t="s">
        <v>34</v>
      </c>
      <c r="E31191" s="21" t="s">
        <v>35</v>
      </c>
      <c r="F31191">
        <v>1630015</v>
      </c>
      <c r="G31191" t="s">
        <v>2097</v>
      </c>
      <c r="H31191" s="21">
        <v>531</v>
      </c>
    </row>
    <row r="31192" spans="1:8" customFormat="1" x14ac:dyDescent="0.25">
      <c r="A31192" t="str">
        <f>"4939122"</f>
        <v>4939122</v>
      </c>
      <c r="B31192" t="s">
        <v>9502</v>
      </c>
      <c r="C31192" t="s">
        <v>65</v>
      </c>
      <c r="D31192" s="21" t="s">
        <v>34</v>
      </c>
      <c r="E31192" s="21" t="s">
        <v>35</v>
      </c>
      <c r="F31192">
        <v>12490132</v>
      </c>
      <c r="G31192" t="s">
        <v>1125</v>
      </c>
      <c r="H31192" s="21">
        <v>531</v>
      </c>
    </row>
    <row r="31193" spans="1:8" customFormat="1" x14ac:dyDescent="0.25">
      <c r="A31193" t="str">
        <f>"3816130"</f>
        <v>3816130</v>
      </c>
      <c r="B31193" t="s">
        <v>18615</v>
      </c>
      <c r="C31193" t="s">
        <v>33</v>
      </c>
      <c r="D31193" s="21" t="s">
        <v>34</v>
      </c>
      <c r="E31193" s="21" t="s">
        <v>35</v>
      </c>
      <c r="F31193">
        <v>1380045</v>
      </c>
      <c r="G31193" t="s">
        <v>2114</v>
      </c>
      <c r="H31193" s="21">
        <v>531</v>
      </c>
    </row>
    <row r="31194" spans="1:8" customFormat="1" x14ac:dyDescent="0.25">
      <c r="A31194" t="str">
        <f>"4455550"</f>
        <v>4455550</v>
      </c>
      <c r="B31194" t="s">
        <v>10935</v>
      </c>
      <c r="C31194" t="s">
        <v>269</v>
      </c>
      <c r="D31194" s="21" t="s">
        <v>34</v>
      </c>
      <c r="E31194" s="21" t="s">
        <v>35</v>
      </c>
      <c r="F31194">
        <v>12440144</v>
      </c>
      <c r="G31194" t="s">
        <v>3702</v>
      </c>
      <c r="H31194" s="21">
        <v>530.91999999999996</v>
      </c>
    </row>
    <row r="31195" spans="1:8" customFormat="1" x14ac:dyDescent="0.25">
      <c r="A31195" t="str">
        <f>"4451690"</f>
        <v>4451690</v>
      </c>
      <c r="B31195" t="s">
        <v>28328</v>
      </c>
      <c r="C31195" t="s">
        <v>28329</v>
      </c>
      <c r="D31195" s="21" t="s">
        <v>34</v>
      </c>
      <c r="E31195" s="21" t="s">
        <v>35</v>
      </c>
      <c r="F31195">
        <v>12440134</v>
      </c>
      <c r="G31195" t="s">
        <v>10580</v>
      </c>
      <c r="H31195" s="21">
        <v>530.91999999999996</v>
      </c>
    </row>
    <row r="31196" spans="1:8" customFormat="1" x14ac:dyDescent="0.25">
      <c r="A31196" t="str">
        <f>"7822214"</f>
        <v>7822214</v>
      </c>
      <c r="B31196" t="s">
        <v>21079</v>
      </c>
      <c r="C31196" t="s">
        <v>239</v>
      </c>
      <c r="D31196" s="21" t="s">
        <v>34</v>
      </c>
      <c r="E31196" s="21" t="s">
        <v>254</v>
      </c>
      <c r="F31196">
        <v>8781413</v>
      </c>
      <c r="G31196" t="s">
        <v>13028</v>
      </c>
      <c r="H31196" s="21">
        <v>530.91999999999996</v>
      </c>
    </row>
    <row r="31197" spans="1:8" customFormat="1" x14ac:dyDescent="0.25">
      <c r="A31197" t="str">
        <f>"814668"</f>
        <v>814668</v>
      </c>
      <c r="B31197" t="s">
        <v>67</v>
      </c>
      <c r="C31197" t="s">
        <v>62</v>
      </c>
      <c r="D31197" s="21" t="s">
        <v>34</v>
      </c>
      <c r="E31197" s="21" t="s">
        <v>35</v>
      </c>
      <c r="F31197">
        <v>11810015</v>
      </c>
      <c r="G31197" t="s">
        <v>9678</v>
      </c>
      <c r="H31197" s="21">
        <v>530.66999999999996</v>
      </c>
    </row>
    <row r="31198" spans="1:8" customFormat="1" x14ac:dyDescent="0.25">
      <c r="A31198" t="str">
        <f>"3011546"</f>
        <v>3011546</v>
      </c>
      <c r="B31198" t="s">
        <v>16870</v>
      </c>
      <c r="C31198" t="s">
        <v>124</v>
      </c>
      <c r="D31198" s="21" t="s">
        <v>34</v>
      </c>
      <c r="E31198" s="21" t="s">
        <v>71</v>
      </c>
      <c r="F31198">
        <v>11300007</v>
      </c>
      <c r="G31198" t="s">
        <v>361</v>
      </c>
      <c r="H31198" s="21">
        <v>530.66999999999996</v>
      </c>
    </row>
    <row r="31199" spans="1:8" customFormat="1" x14ac:dyDescent="0.25">
      <c r="A31199" t="str">
        <f>"2933080"</f>
        <v>2933080</v>
      </c>
      <c r="B31199" t="s">
        <v>28330</v>
      </c>
      <c r="C31199" t="s">
        <v>486</v>
      </c>
      <c r="D31199" s="21" t="s">
        <v>34</v>
      </c>
      <c r="E31199" s="21" t="s">
        <v>35</v>
      </c>
      <c r="F31199">
        <v>3290281</v>
      </c>
      <c r="G31199" t="s">
        <v>11077</v>
      </c>
      <c r="H31199" s="21">
        <v>530.66999999999996</v>
      </c>
    </row>
    <row r="31200" spans="1:8" customFormat="1" x14ac:dyDescent="0.25">
      <c r="A31200" t="str">
        <f>"4926427"</f>
        <v>4926427</v>
      </c>
      <c r="B31200" t="s">
        <v>577</v>
      </c>
      <c r="C31200" t="s">
        <v>1231</v>
      </c>
      <c r="D31200" s="21" t="s">
        <v>34</v>
      </c>
      <c r="E31200" s="21" t="s">
        <v>254</v>
      </c>
      <c r="F31200">
        <v>12490027</v>
      </c>
      <c r="G31200" t="s">
        <v>766</v>
      </c>
      <c r="H31200" s="21">
        <v>530.66999999999996</v>
      </c>
    </row>
    <row r="31201" spans="1:8" customFormat="1" x14ac:dyDescent="0.25">
      <c r="A31201" t="str">
        <f>"7519581"</f>
        <v>7519581</v>
      </c>
      <c r="B31201" t="s">
        <v>4707</v>
      </c>
      <c r="C31201" t="s">
        <v>249</v>
      </c>
      <c r="D31201" s="21" t="s">
        <v>34</v>
      </c>
      <c r="E31201" s="21" t="s">
        <v>35</v>
      </c>
      <c r="F31201">
        <v>8751265</v>
      </c>
      <c r="G31201" t="s">
        <v>15965</v>
      </c>
      <c r="H31201" s="21">
        <v>530.66999999999996</v>
      </c>
    </row>
    <row r="31202" spans="1:8" customFormat="1" x14ac:dyDescent="0.25">
      <c r="A31202" t="str">
        <f>"2931438"</f>
        <v>2931438</v>
      </c>
      <c r="B31202" t="s">
        <v>21559</v>
      </c>
      <c r="C31202" t="s">
        <v>1559</v>
      </c>
      <c r="D31202" s="21" t="s">
        <v>34</v>
      </c>
      <c r="E31202" s="21" t="s">
        <v>35</v>
      </c>
      <c r="F31202">
        <v>3290018</v>
      </c>
      <c r="G31202" t="s">
        <v>1706</v>
      </c>
      <c r="H31202" s="21">
        <v>530.66999999999996</v>
      </c>
    </row>
    <row r="31203" spans="1:8" customFormat="1" x14ac:dyDescent="0.25">
      <c r="A31203" t="str">
        <f>"4113626"</f>
        <v>4113626</v>
      </c>
      <c r="B31203" t="s">
        <v>7614</v>
      </c>
      <c r="C31203" t="s">
        <v>206</v>
      </c>
      <c r="D31203" s="21" t="s">
        <v>34</v>
      </c>
      <c r="E31203" s="21" t="s">
        <v>35</v>
      </c>
      <c r="F31203">
        <v>4410586</v>
      </c>
      <c r="G31203" t="s">
        <v>7672</v>
      </c>
      <c r="H31203" s="21">
        <v>530.66999999999996</v>
      </c>
    </row>
    <row r="31204" spans="1:8" customFormat="1" x14ac:dyDescent="0.25">
      <c r="A31204" t="str">
        <f>"6726396"</f>
        <v>6726396</v>
      </c>
      <c r="B31204" t="s">
        <v>4368</v>
      </c>
      <c r="C31204" t="s">
        <v>90</v>
      </c>
      <c r="D31204" s="21" t="s">
        <v>34</v>
      </c>
      <c r="E31204" s="21" t="s">
        <v>35</v>
      </c>
      <c r="F31204">
        <v>6670272</v>
      </c>
      <c r="G31204" t="s">
        <v>26568</v>
      </c>
      <c r="H31204" s="21">
        <v>530.66999999999996</v>
      </c>
    </row>
    <row r="31205" spans="1:8" customFormat="1" x14ac:dyDescent="0.25">
      <c r="A31205" t="str">
        <f>"289358"</f>
        <v>289358</v>
      </c>
      <c r="B31205" t="s">
        <v>4109</v>
      </c>
      <c r="C31205" t="s">
        <v>1705</v>
      </c>
      <c r="D31205" s="21" t="s">
        <v>34</v>
      </c>
      <c r="E31205" s="21" t="s">
        <v>254</v>
      </c>
      <c r="F31205">
        <v>4280004</v>
      </c>
      <c r="G31205" t="s">
        <v>91</v>
      </c>
      <c r="H31205" s="21">
        <v>530.66999999999996</v>
      </c>
    </row>
    <row r="31206" spans="1:8" customFormat="1" x14ac:dyDescent="0.25">
      <c r="A31206" t="str">
        <f>"3832667"</f>
        <v>3832667</v>
      </c>
      <c r="B31206" t="s">
        <v>22407</v>
      </c>
      <c r="C31206" t="s">
        <v>462</v>
      </c>
      <c r="D31206" s="21" t="s">
        <v>34</v>
      </c>
      <c r="E31206" s="21" t="s">
        <v>35</v>
      </c>
      <c r="F31206">
        <v>1380173</v>
      </c>
      <c r="G31206" t="s">
        <v>9553</v>
      </c>
      <c r="H31206" s="21">
        <v>530.66999999999996</v>
      </c>
    </row>
    <row r="31207" spans="1:8" customFormat="1" x14ac:dyDescent="0.25">
      <c r="A31207" t="str">
        <f>"365462"</f>
        <v>365462</v>
      </c>
      <c r="B31207" t="s">
        <v>650</v>
      </c>
      <c r="C31207" t="s">
        <v>169</v>
      </c>
      <c r="D31207" s="21" t="s">
        <v>34</v>
      </c>
      <c r="E31207" s="21" t="s">
        <v>71</v>
      </c>
      <c r="F31207">
        <v>4360005</v>
      </c>
      <c r="G31207" t="s">
        <v>11227</v>
      </c>
      <c r="H31207" s="21">
        <v>530.66999999999996</v>
      </c>
    </row>
    <row r="31208" spans="1:8" customFormat="1" x14ac:dyDescent="0.25">
      <c r="A31208" t="str">
        <f>"9448178"</f>
        <v>9448178</v>
      </c>
      <c r="B31208" t="s">
        <v>14352</v>
      </c>
      <c r="C31208" t="s">
        <v>1231</v>
      </c>
      <c r="D31208" s="21" t="s">
        <v>34</v>
      </c>
      <c r="E31208" s="21" t="s">
        <v>254</v>
      </c>
      <c r="F31208">
        <v>9270077</v>
      </c>
      <c r="G31208" t="s">
        <v>3228</v>
      </c>
      <c r="H31208" s="21">
        <v>530.66999999999996</v>
      </c>
    </row>
    <row r="31209" spans="1:8" customFormat="1" x14ac:dyDescent="0.25">
      <c r="A31209" t="str">
        <f>"177553"</f>
        <v>177553</v>
      </c>
      <c r="B31209" t="s">
        <v>28331</v>
      </c>
      <c r="C31209" t="s">
        <v>10961</v>
      </c>
      <c r="D31209" s="21" t="s">
        <v>34</v>
      </c>
      <c r="E31209" s="21" t="s">
        <v>71</v>
      </c>
      <c r="F31209">
        <v>10330038</v>
      </c>
      <c r="G31209" t="s">
        <v>4280</v>
      </c>
      <c r="H31209" s="21">
        <v>530.66999999999996</v>
      </c>
    </row>
    <row r="31210" spans="1:8" customFormat="1" x14ac:dyDescent="0.25">
      <c r="A31210" t="str">
        <f>"4517820"</f>
        <v>4517820</v>
      </c>
      <c r="B31210" t="s">
        <v>6120</v>
      </c>
      <c r="C31210" t="s">
        <v>822</v>
      </c>
      <c r="D31210" s="21" t="s">
        <v>34</v>
      </c>
      <c r="E31210" s="21" t="s">
        <v>71</v>
      </c>
      <c r="F31210">
        <v>4450757</v>
      </c>
      <c r="G31210" t="s">
        <v>3829</v>
      </c>
      <c r="H31210" s="21">
        <v>530.66999999999996</v>
      </c>
    </row>
    <row r="31211" spans="1:8" customFormat="1" x14ac:dyDescent="0.25">
      <c r="A31211" t="str">
        <f>"7635048"</f>
        <v>7635048</v>
      </c>
      <c r="B31211" t="s">
        <v>582</v>
      </c>
      <c r="C31211" t="s">
        <v>2752</v>
      </c>
      <c r="D31211" s="21" t="s">
        <v>34</v>
      </c>
      <c r="E31211" s="21" t="s">
        <v>71</v>
      </c>
      <c r="F31211">
        <v>9760396</v>
      </c>
      <c r="G31211" t="s">
        <v>3875</v>
      </c>
      <c r="H31211" s="21">
        <v>530.66999999999996</v>
      </c>
    </row>
    <row r="31212" spans="1:8" customFormat="1" x14ac:dyDescent="0.25">
      <c r="A31212" t="str">
        <f>"7514752"</f>
        <v>7514752</v>
      </c>
      <c r="B31212" t="s">
        <v>24542</v>
      </c>
      <c r="C31212" t="s">
        <v>217</v>
      </c>
      <c r="D31212" s="21" t="s">
        <v>34</v>
      </c>
      <c r="E31212" s="21" t="s">
        <v>71</v>
      </c>
      <c r="F31212">
        <v>8750120</v>
      </c>
      <c r="G31212" t="s">
        <v>838</v>
      </c>
      <c r="H31212" s="21">
        <v>530.66999999999996</v>
      </c>
    </row>
    <row r="31213" spans="1:8" customFormat="1" x14ac:dyDescent="0.25">
      <c r="A31213" t="str">
        <f>"903467"</f>
        <v>903467</v>
      </c>
      <c r="B31213" t="s">
        <v>20727</v>
      </c>
      <c r="C31213" t="s">
        <v>5232</v>
      </c>
      <c r="D31213" s="21" t="s">
        <v>34</v>
      </c>
      <c r="E31213" s="21" t="s">
        <v>35</v>
      </c>
      <c r="F31213">
        <v>2900046</v>
      </c>
      <c r="G31213" t="s">
        <v>4101</v>
      </c>
      <c r="H31213" s="21">
        <v>530.66999999999996</v>
      </c>
    </row>
    <row r="31214" spans="1:8" customFormat="1" x14ac:dyDescent="0.25">
      <c r="A31214" t="str">
        <f>"413412"</f>
        <v>413412</v>
      </c>
      <c r="B31214" t="s">
        <v>21897</v>
      </c>
      <c r="C31214" t="s">
        <v>130</v>
      </c>
      <c r="D31214" s="21" t="s">
        <v>34</v>
      </c>
      <c r="E31214" s="21" t="s">
        <v>71</v>
      </c>
      <c r="F31214">
        <v>4410418</v>
      </c>
      <c r="G31214" t="s">
        <v>14427</v>
      </c>
      <c r="H31214" s="21">
        <v>530.66999999999996</v>
      </c>
    </row>
    <row r="31215" spans="1:8" customFormat="1" x14ac:dyDescent="0.25">
      <c r="A31215" t="str">
        <f>"1612474"</f>
        <v>1612474</v>
      </c>
      <c r="B31215" t="s">
        <v>18522</v>
      </c>
      <c r="C31215" t="s">
        <v>33</v>
      </c>
      <c r="D31215" s="21" t="s">
        <v>34</v>
      </c>
      <c r="E31215" s="21" t="s">
        <v>35</v>
      </c>
      <c r="F31215">
        <v>10160051</v>
      </c>
      <c r="G31215" t="s">
        <v>7167</v>
      </c>
      <c r="H31215" s="21">
        <v>530.66999999999996</v>
      </c>
    </row>
    <row r="31216" spans="1:8" customFormat="1" x14ac:dyDescent="0.25">
      <c r="A31216" t="str">
        <f>"16177"</f>
        <v>16177</v>
      </c>
      <c r="B31216" t="s">
        <v>21584</v>
      </c>
      <c r="C31216" t="s">
        <v>1914</v>
      </c>
      <c r="D31216" s="21" t="s">
        <v>34</v>
      </c>
      <c r="E31216" s="21" t="s">
        <v>1089</v>
      </c>
      <c r="F31216">
        <v>10160018</v>
      </c>
      <c r="G31216" t="s">
        <v>6900</v>
      </c>
      <c r="H31216" s="21">
        <v>530.66999999999996</v>
      </c>
    </row>
    <row r="31217" spans="1:8" customFormat="1" x14ac:dyDescent="0.25">
      <c r="A31217" t="str">
        <f>"5325184"</f>
        <v>5325184</v>
      </c>
      <c r="B31217" t="s">
        <v>14563</v>
      </c>
      <c r="C31217" t="s">
        <v>2907</v>
      </c>
      <c r="D31217" s="21" t="s">
        <v>34</v>
      </c>
      <c r="E31217" s="21" t="s">
        <v>71</v>
      </c>
      <c r="F31217">
        <v>12538910</v>
      </c>
      <c r="G31217" t="s">
        <v>8855</v>
      </c>
      <c r="H31217" s="21">
        <v>530.66999999999996</v>
      </c>
    </row>
    <row r="31218" spans="1:8" customFormat="1" x14ac:dyDescent="0.25">
      <c r="A31218" t="str">
        <f>"519729"</f>
        <v>519729</v>
      </c>
      <c r="B31218" t="s">
        <v>4483</v>
      </c>
      <c r="C31218" t="s">
        <v>544</v>
      </c>
      <c r="D31218" s="21" t="s">
        <v>34</v>
      </c>
      <c r="E31218" s="21" t="s">
        <v>254</v>
      </c>
      <c r="F31218">
        <v>12440014</v>
      </c>
      <c r="G31218" t="s">
        <v>6767</v>
      </c>
      <c r="H31218" s="21">
        <v>530.66999999999996</v>
      </c>
    </row>
    <row r="31219" spans="1:8" customFormat="1" x14ac:dyDescent="0.25">
      <c r="A31219" t="str">
        <f>"486174"</f>
        <v>486174</v>
      </c>
      <c r="B31219" t="s">
        <v>208</v>
      </c>
      <c r="C31219" t="s">
        <v>415</v>
      </c>
      <c r="D31219" s="21" t="s">
        <v>34</v>
      </c>
      <c r="E31219" s="21" t="s">
        <v>71</v>
      </c>
      <c r="F31219">
        <v>11480027</v>
      </c>
      <c r="G31219" t="s">
        <v>2950</v>
      </c>
      <c r="H31219" s="21">
        <v>530.66999999999996</v>
      </c>
    </row>
    <row r="31220" spans="1:8" customFormat="1" x14ac:dyDescent="0.25">
      <c r="A31220" t="str">
        <f>"5326455"</f>
        <v>5326455</v>
      </c>
      <c r="B31220" t="s">
        <v>12719</v>
      </c>
      <c r="C31220" t="s">
        <v>2168</v>
      </c>
      <c r="D31220" s="21" t="s">
        <v>34</v>
      </c>
      <c r="E31220" s="21" t="s">
        <v>35</v>
      </c>
      <c r="F31220">
        <v>12538909</v>
      </c>
      <c r="G31220" t="s">
        <v>13536</v>
      </c>
      <c r="H31220" s="21">
        <v>530.66999999999996</v>
      </c>
    </row>
    <row r="31221" spans="1:8" customFormat="1" x14ac:dyDescent="0.25">
      <c r="A31221" t="str">
        <f>"3728639"</f>
        <v>3728639</v>
      </c>
      <c r="B31221" t="s">
        <v>24460</v>
      </c>
      <c r="C31221" t="s">
        <v>2479</v>
      </c>
      <c r="D31221" s="21" t="s">
        <v>34</v>
      </c>
      <c r="E31221" s="21" t="s">
        <v>1089</v>
      </c>
      <c r="F31221">
        <v>4370001</v>
      </c>
      <c r="G31221" t="s">
        <v>957</v>
      </c>
      <c r="H31221" s="21">
        <v>530.66999999999996</v>
      </c>
    </row>
    <row r="31222" spans="1:8" customFormat="1" x14ac:dyDescent="0.25">
      <c r="A31222" t="str">
        <f>"2721542"</f>
        <v>2721542</v>
      </c>
      <c r="B31222" t="s">
        <v>28332</v>
      </c>
      <c r="C31222" t="s">
        <v>253</v>
      </c>
      <c r="D31222" s="21" t="s">
        <v>34</v>
      </c>
      <c r="E31222" s="21" t="s">
        <v>254</v>
      </c>
      <c r="F31222">
        <v>9270148</v>
      </c>
      <c r="G31222" t="s">
        <v>8058</v>
      </c>
      <c r="H31222" s="21">
        <v>530.62</v>
      </c>
    </row>
    <row r="31223" spans="1:8" customFormat="1" x14ac:dyDescent="0.25">
      <c r="A31223" t="str">
        <f>"4921420"</f>
        <v>4921420</v>
      </c>
      <c r="B31223" t="s">
        <v>28333</v>
      </c>
      <c r="C31223" t="s">
        <v>139</v>
      </c>
      <c r="D31223" s="21" t="s">
        <v>34</v>
      </c>
      <c r="E31223" s="21" t="s">
        <v>35</v>
      </c>
      <c r="F31223">
        <v>12490023</v>
      </c>
      <c r="G31223" t="s">
        <v>4979</v>
      </c>
      <c r="H31223" s="21">
        <v>530.62</v>
      </c>
    </row>
    <row r="31224" spans="1:8" customFormat="1" x14ac:dyDescent="0.25">
      <c r="A31224" t="str">
        <f>"814558"</f>
        <v>814558</v>
      </c>
      <c r="B31224" t="s">
        <v>3942</v>
      </c>
      <c r="C31224" t="s">
        <v>2529</v>
      </c>
      <c r="D31224" s="21" t="s">
        <v>34</v>
      </c>
      <c r="E31224" s="21" t="s">
        <v>254</v>
      </c>
      <c r="F31224">
        <v>11810028</v>
      </c>
      <c r="G31224" t="s">
        <v>5817</v>
      </c>
      <c r="H31224" s="21">
        <v>530.54</v>
      </c>
    </row>
    <row r="31225" spans="1:8" customFormat="1" x14ac:dyDescent="0.25">
      <c r="A31225" t="str">
        <f>"9535744"</f>
        <v>9535744</v>
      </c>
      <c r="B31225" t="s">
        <v>22524</v>
      </c>
      <c r="C31225" t="s">
        <v>275</v>
      </c>
      <c r="D31225" s="21" t="s">
        <v>34</v>
      </c>
      <c r="E31225" s="21" t="s">
        <v>35</v>
      </c>
      <c r="F31225">
        <v>8951449</v>
      </c>
      <c r="G31225" t="s">
        <v>4475</v>
      </c>
      <c r="H31225" s="21">
        <v>530.54</v>
      </c>
    </row>
    <row r="31226" spans="1:8" customFormat="1" x14ac:dyDescent="0.25">
      <c r="A31226" t="str">
        <f>"2515655"</f>
        <v>2515655</v>
      </c>
      <c r="B31226" t="s">
        <v>24356</v>
      </c>
      <c r="C31226" t="s">
        <v>55</v>
      </c>
      <c r="D31226" s="21" t="s">
        <v>34</v>
      </c>
      <c r="E31226" s="21" t="s">
        <v>35</v>
      </c>
      <c r="F31226">
        <v>2250224</v>
      </c>
      <c r="G31226" t="s">
        <v>9217</v>
      </c>
      <c r="H31226" s="21">
        <v>530.5</v>
      </c>
    </row>
    <row r="31227" spans="1:8" customFormat="1" x14ac:dyDescent="0.25">
      <c r="A31227" t="str">
        <f>"6724141"</f>
        <v>6724141</v>
      </c>
      <c r="B31227" t="s">
        <v>23863</v>
      </c>
      <c r="C31227" t="s">
        <v>58</v>
      </c>
      <c r="D31227" s="21" t="s">
        <v>34</v>
      </c>
      <c r="E31227" s="21" t="s">
        <v>35</v>
      </c>
      <c r="F31227">
        <v>6670257</v>
      </c>
      <c r="G31227" t="s">
        <v>26708</v>
      </c>
      <c r="H31227" s="21">
        <v>530.5</v>
      </c>
    </row>
    <row r="31228" spans="1:8" customFormat="1" x14ac:dyDescent="0.25">
      <c r="A31228" t="str">
        <f>"7881978"</f>
        <v>7881978</v>
      </c>
      <c r="B31228" t="s">
        <v>28334</v>
      </c>
      <c r="C31228" t="s">
        <v>1025</v>
      </c>
      <c r="D31228" s="21" t="s">
        <v>34</v>
      </c>
      <c r="E31228" s="21" t="s">
        <v>35</v>
      </c>
      <c r="F31228">
        <v>8780356</v>
      </c>
      <c r="G31228" t="s">
        <v>5449</v>
      </c>
      <c r="H31228" s="21">
        <v>530.5</v>
      </c>
    </row>
    <row r="31229" spans="1:8" customFormat="1" x14ac:dyDescent="0.25">
      <c r="A31229" t="str">
        <f>"3334512"</f>
        <v>3334512</v>
      </c>
      <c r="B31229" t="s">
        <v>20874</v>
      </c>
      <c r="C31229" t="s">
        <v>1588</v>
      </c>
      <c r="D31229" s="21" t="s">
        <v>34</v>
      </c>
      <c r="E31229" s="21" t="s">
        <v>1089</v>
      </c>
      <c r="F31229">
        <v>10330017</v>
      </c>
      <c r="G31229" t="s">
        <v>2754</v>
      </c>
      <c r="H31229" s="21">
        <v>530.16999999999996</v>
      </c>
    </row>
    <row r="31230" spans="1:8" customFormat="1" x14ac:dyDescent="0.25">
      <c r="A31230" t="str">
        <f>"4521707"</f>
        <v>4521707</v>
      </c>
      <c r="B31230" t="s">
        <v>4256</v>
      </c>
      <c r="C31230" t="s">
        <v>1708</v>
      </c>
      <c r="D31230" s="21" t="s">
        <v>34</v>
      </c>
      <c r="E31230" s="21" t="s">
        <v>35</v>
      </c>
      <c r="F31230">
        <v>4450702</v>
      </c>
      <c r="G31230" t="s">
        <v>1772</v>
      </c>
      <c r="H31230" s="21">
        <v>530.16999999999996</v>
      </c>
    </row>
    <row r="31231" spans="1:8" customFormat="1" x14ac:dyDescent="0.25">
      <c r="A31231" t="str">
        <f>"879272"</f>
        <v>879272</v>
      </c>
      <c r="B31231" t="s">
        <v>21343</v>
      </c>
      <c r="C31231" t="s">
        <v>60</v>
      </c>
      <c r="D31231" s="21" t="s">
        <v>34</v>
      </c>
      <c r="E31231" s="21" t="s">
        <v>35</v>
      </c>
      <c r="F31231">
        <v>10870128</v>
      </c>
      <c r="G31231" t="s">
        <v>9710</v>
      </c>
      <c r="H31231" s="21">
        <v>530.16999999999996</v>
      </c>
    </row>
    <row r="31232" spans="1:8" customFormat="1" x14ac:dyDescent="0.25">
      <c r="A31232" t="str">
        <f>"5716018"</f>
        <v>5716018</v>
      </c>
      <c r="B31232" t="s">
        <v>21705</v>
      </c>
      <c r="C31232" t="s">
        <v>564</v>
      </c>
      <c r="D31232" s="21" t="s">
        <v>34</v>
      </c>
      <c r="E31232" s="21" t="s">
        <v>254</v>
      </c>
      <c r="F31232">
        <v>6570102</v>
      </c>
      <c r="G31232" t="s">
        <v>16722</v>
      </c>
      <c r="H31232" s="21">
        <v>530.16999999999996</v>
      </c>
    </row>
    <row r="31233" spans="1:8" customFormat="1" x14ac:dyDescent="0.25">
      <c r="A31233" t="str">
        <f>"7513706"</f>
        <v>7513706</v>
      </c>
      <c r="B31233" t="s">
        <v>12069</v>
      </c>
      <c r="C31233" t="s">
        <v>21679</v>
      </c>
      <c r="D31233" s="21" t="s">
        <v>34</v>
      </c>
      <c r="E31233" s="21" t="s">
        <v>254</v>
      </c>
      <c r="F31233">
        <v>8750400</v>
      </c>
      <c r="G31233" t="s">
        <v>2804</v>
      </c>
      <c r="H31233" s="21">
        <v>530.16999999999996</v>
      </c>
    </row>
    <row r="31234" spans="1:8" customFormat="1" x14ac:dyDescent="0.25">
      <c r="A31234" t="str">
        <f>"693677"</f>
        <v>693677</v>
      </c>
      <c r="B31234" t="s">
        <v>28335</v>
      </c>
      <c r="C31234" t="s">
        <v>1119</v>
      </c>
      <c r="D31234" s="21" t="s">
        <v>34</v>
      </c>
      <c r="E31234" s="21" t="s">
        <v>1089</v>
      </c>
      <c r="F31234">
        <v>1690064</v>
      </c>
      <c r="G31234" t="s">
        <v>9490</v>
      </c>
      <c r="H31234" s="21">
        <v>530.16999999999996</v>
      </c>
    </row>
    <row r="31235" spans="1:8" customFormat="1" x14ac:dyDescent="0.25">
      <c r="A31235" t="str">
        <f>"3335977"</f>
        <v>3335977</v>
      </c>
      <c r="B31235" t="s">
        <v>11294</v>
      </c>
      <c r="C31235" t="s">
        <v>55</v>
      </c>
      <c r="D31235" s="21" t="s">
        <v>34</v>
      </c>
      <c r="E31235" s="21" t="s">
        <v>71</v>
      </c>
      <c r="F31235">
        <v>10330002</v>
      </c>
      <c r="G31235" t="s">
        <v>53</v>
      </c>
      <c r="H31235" s="21">
        <v>530.16999999999996</v>
      </c>
    </row>
    <row r="31236" spans="1:8" customFormat="1" x14ac:dyDescent="0.25">
      <c r="A31236" t="str">
        <f>"2618272"</f>
        <v>2618272</v>
      </c>
      <c r="B31236" t="s">
        <v>2203</v>
      </c>
      <c r="C31236" t="s">
        <v>33</v>
      </c>
      <c r="D31236" s="21" t="s">
        <v>34</v>
      </c>
      <c r="E31236" s="21" t="s">
        <v>35</v>
      </c>
      <c r="F31236">
        <v>1260015</v>
      </c>
      <c r="G31236" t="s">
        <v>4712</v>
      </c>
      <c r="H31236" s="21">
        <v>530.16999999999996</v>
      </c>
    </row>
    <row r="31237" spans="1:8" customFormat="1" x14ac:dyDescent="0.25">
      <c r="A31237" t="str">
        <f>"7525036"</f>
        <v>7525036</v>
      </c>
      <c r="B31237" t="s">
        <v>28336</v>
      </c>
      <c r="C31237" t="s">
        <v>988</v>
      </c>
      <c r="D31237" s="21" t="s">
        <v>34</v>
      </c>
      <c r="E31237" s="21" t="s">
        <v>35</v>
      </c>
      <c r="F31237">
        <v>8751459</v>
      </c>
      <c r="G31237" t="s">
        <v>27461</v>
      </c>
      <c r="H31237" s="21">
        <v>530.16999999999996</v>
      </c>
    </row>
    <row r="31238" spans="1:8" customFormat="1" x14ac:dyDescent="0.25">
      <c r="A31238" t="str">
        <f>"1613603"</f>
        <v>1613603</v>
      </c>
      <c r="B31238" t="s">
        <v>1422</v>
      </c>
      <c r="C31238" t="s">
        <v>239</v>
      </c>
      <c r="D31238" s="21" t="s">
        <v>34</v>
      </c>
      <c r="E31238" s="21" t="s">
        <v>6185</v>
      </c>
      <c r="F31238">
        <v>10160003</v>
      </c>
      <c r="G31238" t="s">
        <v>4692</v>
      </c>
      <c r="H31238" s="21">
        <v>530.16999999999996</v>
      </c>
    </row>
    <row r="31239" spans="1:8" customFormat="1" x14ac:dyDescent="0.25">
      <c r="A31239" t="str">
        <f>"3830617"</f>
        <v>3830617</v>
      </c>
      <c r="B31239" t="s">
        <v>697</v>
      </c>
      <c r="C31239" t="s">
        <v>33</v>
      </c>
      <c r="D31239" s="21" t="s">
        <v>34</v>
      </c>
      <c r="E31239" s="21" t="s">
        <v>35</v>
      </c>
      <c r="F31239">
        <v>1380256</v>
      </c>
      <c r="G31239" t="s">
        <v>6946</v>
      </c>
      <c r="H31239" s="21">
        <v>530.16999999999996</v>
      </c>
    </row>
    <row r="31240" spans="1:8" customFormat="1" x14ac:dyDescent="0.25">
      <c r="A31240" t="str">
        <f>"7210452"</f>
        <v>7210452</v>
      </c>
      <c r="B31240" t="s">
        <v>10427</v>
      </c>
      <c r="C31240" t="s">
        <v>33</v>
      </c>
      <c r="D31240" s="21" t="s">
        <v>34</v>
      </c>
      <c r="E31240" s="21" t="s">
        <v>71</v>
      </c>
      <c r="F31240">
        <v>12720092</v>
      </c>
      <c r="G31240" t="s">
        <v>13214</v>
      </c>
      <c r="H31240" s="21">
        <v>530.16999999999996</v>
      </c>
    </row>
    <row r="31241" spans="1:8" customFormat="1" x14ac:dyDescent="0.25">
      <c r="A31241" t="str">
        <f>"5620240"</f>
        <v>5620240</v>
      </c>
      <c r="B31241" t="s">
        <v>20804</v>
      </c>
      <c r="C31241" t="s">
        <v>3115</v>
      </c>
      <c r="D31241" s="21" t="s">
        <v>34</v>
      </c>
      <c r="E31241" s="21" t="s">
        <v>35</v>
      </c>
      <c r="F31241">
        <v>3560005</v>
      </c>
      <c r="G31241" t="s">
        <v>2101</v>
      </c>
      <c r="H31241" s="21">
        <v>530.16999999999996</v>
      </c>
    </row>
    <row r="31242" spans="1:8" customFormat="1" x14ac:dyDescent="0.25">
      <c r="A31242" t="str">
        <f>"9214567"</f>
        <v>9214567</v>
      </c>
      <c r="B31242" t="s">
        <v>22596</v>
      </c>
      <c r="C31242" t="s">
        <v>1665</v>
      </c>
      <c r="D31242" s="21" t="s">
        <v>34</v>
      </c>
      <c r="E31242" s="21" t="s">
        <v>1089</v>
      </c>
      <c r="F31242">
        <v>8931011</v>
      </c>
      <c r="G31242" t="s">
        <v>530</v>
      </c>
      <c r="H31242" s="21">
        <v>530.16999999999996</v>
      </c>
    </row>
    <row r="31243" spans="1:8" customFormat="1" x14ac:dyDescent="0.25">
      <c r="A31243" t="str">
        <f>"6232765"</f>
        <v>6232765</v>
      </c>
      <c r="B31243" t="s">
        <v>16426</v>
      </c>
      <c r="C31243" t="s">
        <v>49</v>
      </c>
      <c r="D31243" s="21" t="s">
        <v>34</v>
      </c>
      <c r="E31243" s="21" t="s">
        <v>35</v>
      </c>
      <c r="F31243">
        <v>7620143</v>
      </c>
      <c r="G31243" t="s">
        <v>8762</v>
      </c>
      <c r="H31243" s="21">
        <v>530.16999999999996</v>
      </c>
    </row>
    <row r="31244" spans="1:8" customFormat="1" x14ac:dyDescent="0.25">
      <c r="A31244" t="str">
        <f>"823989"</f>
        <v>823989</v>
      </c>
      <c r="B31244" t="s">
        <v>882</v>
      </c>
      <c r="C31244" t="s">
        <v>275</v>
      </c>
      <c r="D31244" s="21" t="s">
        <v>34</v>
      </c>
      <c r="E31244" s="21" t="s">
        <v>35</v>
      </c>
      <c r="F31244">
        <v>11820034</v>
      </c>
      <c r="G31244" t="s">
        <v>4498</v>
      </c>
      <c r="H31244" s="21">
        <v>530.16999999999996</v>
      </c>
    </row>
    <row r="31245" spans="1:8" customFormat="1" x14ac:dyDescent="0.25">
      <c r="A31245" t="str">
        <f>"9122182"</f>
        <v>9122182</v>
      </c>
      <c r="B31245" t="s">
        <v>14353</v>
      </c>
      <c r="C31245" t="s">
        <v>40</v>
      </c>
      <c r="D31245" s="21" t="s">
        <v>34</v>
      </c>
      <c r="E31245" s="21" t="s">
        <v>254</v>
      </c>
      <c r="F31245">
        <v>10240001</v>
      </c>
      <c r="G31245" t="s">
        <v>10102</v>
      </c>
      <c r="H31245" s="21">
        <v>530.16999999999996</v>
      </c>
    </row>
    <row r="31246" spans="1:8" customFormat="1" x14ac:dyDescent="0.25">
      <c r="A31246" t="str">
        <f>"0112561"</f>
        <v>0112561</v>
      </c>
      <c r="B31246" t="s">
        <v>28337</v>
      </c>
      <c r="C31246" t="s">
        <v>156</v>
      </c>
      <c r="D31246" s="21" t="s">
        <v>34</v>
      </c>
      <c r="E31246" s="21" t="s">
        <v>71</v>
      </c>
      <c r="F31246">
        <v>1730089</v>
      </c>
      <c r="G31246" t="s">
        <v>5395</v>
      </c>
      <c r="H31246" s="21">
        <v>530.16999999999996</v>
      </c>
    </row>
    <row r="31247" spans="1:8" customFormat="1" x14ac:dyDescent="0.25">
      <c r="A31247" t="str">
        <f>"5432143"</f>
        <v>5432143</v>
      </c>
      <c r="B31247" t="s">
        <v>771</v>
      </c>
      <c r="C31247" t="s">
        <v>249</v>
      </c>
      <c r="D31247" s="21" t="s">
        <v>34</v>
      </c>
      <c r="E31247" s="21" t="s">
        <v>71</v>
      </c>
      <c r="F31247">
        <v>6540056</v>
      </c>
      <c r="G31247" t="s">
        <v>1136</v>
      </c>
      <c r="H31247" s="21">
        <v>530.16999999999996</v>
      </c>
    </row>
    <row r="31248" spans="1:8" customFormat="1" x14ac:dyDescent="0.25">
      <c r="A31248" t="str">
        <f>"852318"</f>
        <v>852318</v>
      </c>
      <c r="B31248" t="s">
        <v>10087</v>
      </c>
      <c r="C31248" t="s">
        <v>209</v>
      </c>
      <c r="D31248" s="21" t="s">
        <v>34</v>
      </c>
      <c r="E31248" s="21" t="s">
        <v>254</v>
      </c>
      <c r="F31248">
        <v>12850107</v>
      </c>
      <c r="G31248" t="s">
        <v>12181</v>
      </c>
      <c r="H31248" s="21">
        <v>530.16999999999996</v>
      </c>
    </row>
    <row r="31249" spans="1:8" customFormat="1" x14ac:dyDescent="0.25">
      <c r="A31249" t="str">
        <f>"428362"</f>
        <v>428362</v>
      </c>
      <c r="B31249" t="s">
        <v>20927</v>
      </c>
      <c r="C31249" t="s">
        <v>269</v>
      </c>
      <c r="D31249" s="21" t="s">
        <v>34</v>
      </c>
      <c r="E31249" s="21" t="s">
        <v>254</v>
      </c>
      <c r="F31249">
        <v>1420305</v>
      </c>
      <c r="G31249" t="s">
        <v>13520</v>
      </c>
      <c r="H31249" s="21">
        <v>530.16999999999996</v>
      </c>
    </row>
    <row r="31250" spans="1:8" customFormat="1" x14ac:dyDescent="0.25">
      <c r="A31250" t="str">
        <f>"9225119"</f>
        <v>9225119</v>
      </c>
      <c r="B31250" t="s">
        <v>21335</v>
      </c>
      <c r="C31250" t="s">
        <v>926</v>
      </c>
      <c r="D31250" s="21" t="s">
        <v>34</v>
      </c>
      <c r="E31250" s="21" t="s">
        <v>35</v>
      </c>
      <c r="F31250">
        <v>8920018</v>
      </c>
      <c r="G31250" t="s">
        <v>1281</v>
      </c>
      <c r="H31250" s="21">
        <v>530.16999999999996</v>
      </c>
    </row>
    <row r="31251" spans="1:8" customFormat="1" x14ac:dyDescent="0.25">
      <c r="A31251" t="str">
        <f>"848616"</f>
        <v>848616</v>
      </c>
      <c r="B31251" t="s">
        <v>2125</v>
      </c>
      <c r="C31251" t="s">
        <v>484</v>
      </c>
      <c r="D31251" s="21" t="s">
        <v>34</v>
      </c>
      <c r="E31251" s="21" t="s">
        <v>35</v>
      </c>
      <c r="F31251">
        <v>13840028</v>
      </c>
      <c r="G31251" t="s">
        <v>4139</v>
      </c>
      <c r="H31251" s="21">
        <v>530.16999999999996</v>
      </c>
    </row>
    <row r="31252" spans="1:8" customFormat="1" x14ac:dyDescent="0.25">
      <c r="A31252" t="str">
        <f>"6949746"</f>
        <v>6949746</v>
      </c>
      <c r="B31252" t="s">
        <v>28338</v>
      </c>
      <c r="C31252" t="s">
        <v>28339</v>
      </c>
      <c r="D31252" s="21" t="s">
        <v>34</v>
      </c>
      <c r="E31252" s="21" t="s">
        <v>71</v>
      </c>
      <c r="F31252">
        <v>1690175</v>
      </c>
      <c r="G31252" t="s">
        <v>410</v>
      </c>
      <c r="H31252" s="21">
        <v>530.12</v>
      </c>
    </row>
    <row r="31253" spans="1:8" customFormat="1" x14ac:dyDescent="0.25">
      <c r="A31253" t="str">
        <f>"619434"</f>
        <v>619434</v>
      </c>
      <c r="B31253" t="s">
        <v>13613</v>
      </c>
      <c r="C31253" t="s">
        <v>65</v>
      </c>
      <c r="D31253" s="21" t="s">
        <v>34</v>
      </c>
      <c r="E31253" s="21" t="s">
        <v>35</v>
      </c>
      <c r="F31253">
        <v>9610017</v>
      </c>
      <c r="G31253" t="s">
        <v>12194</v>
      </c>
      <c r="H31253" s="21">
        <v>530</v>
      </c>
    </row>
    <row r="31254" spans="1:8" customFormat="1" x14ac:dyDescent="0.25">
      <c r="A31254" t="str">
        <f>"3344412"</f>
        <v>3344412</v>
      </c>
      <c r="B31254" t="s">
        <v>24389</v>
      </c>
      <c r="C31254" t="s">
        <v>114</v>
      </c>
      <c r="D31254" s="21" t="s">
        <v>34</v>
      </c>
      <c r="E31254" s="21" t="s">
        <v>71</v>
      </c>
      <c r="F31254">
        <v>10330043</v>
      </c>
      <c r="G31254" t="s">
        <v>1703</v>
      </c>
      <c r="H31254" s="21">
        <v>530</v>
      </c>
    </row>
    <row r="31255" spans="1:8" customFormat="1" x14ac:dyDescent="0.25">
      <c r="A31255" t="str">
        <f>"407896"</f>
        <v>407896</v>
      </c>
      <c r="B31255" t="s">
        <v>28340</v>
      </c>
      <c r="C31255" t="s">
        <v>3073</v>
      </c>
      <c r="D31255" s="21" t="s">
        <v>34</v>
      </c>
      <c r="E31255" s="21" t="s">
        <v>71</v>
      </c>
      <c r="F31255">
        <v>10400008</v>
      </c>
      <c r="G31255" t="s">
        <v>2294</v>
      </c>
      <c r="H31255" s="21">
        <v>530</v>
      </c>
    </row>
    <row r="31256" spans="1:8" customFormat="1" x14ac:dyDescent="0.25">
      <c r="A31256" t="str">
        <f>"8515267"</f>
        <v>8515267</v>
      </c>
      <c r="B31256" t="s">
        <v>7828</v>
      </c>
      <c r="C31256" t="s">
        <v>8491</v>
      </c>
      <c r="D31256" s="21" t="s">
        <v>34</v>
      </c>
      <c r="E31256" s="21" t="s">
        <v>35</v>
      </c>
      <c r="F31256">
        <v>12850069</v>
      </c>
      <c r="G31256" t="s">
        <v>2154</v>
      </c>
      <c r="H31256" s="21">
        <v>530</v>
      </c>
    </row>
    <row r="31257" spans="1:8" customFormat="1" x14ac:dyDescent="0.25">
      <c r="A31257" t="str">
        <f>"3537940"</f>
        <v>3537940</v>
      </c>
      <c r="B31257" t="s">
        <v>28341</v>
      </c>
      <c r="C31257" t="s">
        <v>262</v>
      </c>
      <c r="D31257" s="21" t="s">
        <v>34</v>
      </c>
      <c r="E31257" s="21" t="s">
        <v>35</v>
      </c>
      <c r="F31257">
        <v>3350001</v>
      </c>
      <c r="G31257" t="s">
        <v>17502</v>
      </c>
      <c r="H31257" s="21">
        <v>530</v>
      </c>
    </row>
    <row r="31258" spans="1:8" customFormat="1" x14ac:dyDescent="0.25">
      <c r="A31258" t="str">
        <f>"5421918"</f>
        <v>5421918</v>
      </c>
      <c r="B31258" t="s">
        <v>8285</v>
      </c>
      <c r="C31258" t="s">
        <v>275</v>
      </c>
      <c r="D31258" s="21" t="s">
        <v>34</v>
      </c>
      <c r="E31258" s="21" t="s">
        <v>35</v>
      </c>
      <c r="F31258">
        <v>6540128</v>
      </c>
      <c r="G31258" t="s">
        <v>1249</v>
      </c>
      <c r="H31258" s="21">
        <v>530</v>
      </c>
    </row>
    <row r="31259" spans="1:8" customFormat="1" x14ac:dyDescent="0.25">
      <c r="A31259" t="str">
        <f>"1717187"</f>
        <v>1717187</v>
      </c>
      <c r="B31259" t="s">
        <v>5941</v>
      </c>
      <c r="C31259" t="s">
        <v>209</v>
      </c>
      <c r="D31259" s="21" t="s">
        <v>34</v>
      </c>
      <c r="E31259" s="21" t="s">
        <v>254</v>
      </c>
      <c r="F31259">
        <v>10170024</v>
      </c>
      <c r="G31259" t="s">
        <v>16864</v>
      </c>
      <c r="H31259" s="21">
        <v>530</v>
      </c>
    </row>
    <row r="31260" spans="1:8" customFormat="1" x14ac:dyDescent="0.25">
      <c r="A31260" t="str">
        <f>"36462"</f>
        <v>36462</v>
      </c>
      <c r="B31260" t="s">
        <v>5292</v>
      </c>
      <c r="C31260" t="s">
        <v>3648</v>
      </c>
      <c r="D31260" s="21" t="s">
        <v>34</v>
      </c>
      <c r="E31260" s="21" t="s">
        <v>1089</v>
      </c>
      <c r="F31260">
        <v>4360340</v>
      </c>
      <c r="G31260" t="s">
        <v>14132</v>
      </c>
      <c r="H31260" s="21">
        <v>529.91999999999996</v>
      </c>
    </row>
    <row r="31261" spans="1:8" customFormat="1" x14ac:dyDescent="0.25">
      <c r="A31261" t="str">
        <f>"9B972"</f>
        <v>9B972</v>
      </c>
      <c r="B31261" t="s">
        <v>1180</v>
      </c>
      <c r="C31261" t="s">
        <v>87</v>
      </c>
      <c r="D31261" s="21" t="s">
        <v>34</v>
      </c>
      <c r="E31261" s="21" t="s">
        <v>35</v>
      </c>
      <c r="F31261" t="s">
        <v>17651</v>
      </c>
      <c r="G31261" t="s">
        <v>17652</v>
      </c>
      <c r="H31261" s="21">
        <v>529.91999999999996</v>
      </c>
    </row>
    <row r="31262" spans="1:8" customFormat="1" x14ac:dyDescent="0.25">
      <c r="A31262" t="str">
        <f>"4926164"</f>
        <v>4926164</v>
      </c>
      <c r="B31262" t="s">
        <v>20526</v>
      </c>
      <c r="C31262" t="s">
        <v>926</v>
      </c>
      <c r="D31262" s="21" t="s">
        <v>34</v>
      </c>
      <c r="E31262" s="21" t="s">
        <v>71</v>
      </c>
      <c r="F31262">
        <v>12490021</v>
      </c>
      <c r="G31262" t="s">
        <v>4592</v>
      </c>
      <c r="H31262" s="21">
        <v>529.91999999999996</v>
      </c>
    </row>
    <row r="31263" spans="1:8" customFormat="1" x14ac:dyDescent="0.25">
      <c r="A31263" t="str">
        <f>"9146967"</f>
        <v>9146967</v>
      </c>
      <c r="B31263" t="s">
        <v>28342</v>
      </c>
      <c r="C31263" t="s">
        <v>967</v>
      </c>
      <c r="D31263" s="21" t="s">
        <v>34</v>
      </c>
      <c r="E31263" s="21" t="s">
        <v>35</v>
      </c>
      <c r="F31263">
        <v>8910652</v>
      </c>
      <c r="G31263" t="s">
        <v>6533</v>
      </c>
      <c r="H31263" s="21">
        <v>529.75</v>
      </c>
    </row>
    <row r="31264" spans="1:8" customFormat="1" x14ac:dyDescent="0.25">
      <c r="A31264" t="str">
        <f>"9145249"</f>
        <v>9145249</v>
      </c>
      <c r="B31264" t="s">
        <v>22147</v>
      </c>
      <c r="C31264" t="s">
        <v>62</v>
      </c>
      <c r="D31264" s="21" t="s">
        <v>34</v>
      </c>
      <c r="E31264" s="21" t="s">
        <v>35</v>
      </c>
      <c r="F31264">
        <v>8910438</v>
      </c>
      <c r="G31264" t="s">
        <v>761</v>
      </c>
      <c r="H31264" s="21">
        <v>529.75</v>
      </c>
    </row>
    <row r="31265" spans="1:8" customFormat="1" x14ac:dyDescent="0.25">
      <c r="A31265" t="str">
        <f>"9139640"</f>
        <v>9139640</v>
      </c>
      <c r="B31265" t="s">
        <v>22192</v>
      </c>
      <c r="C31265" t="s">
        <v>2529</v>
      </c>
      <c r="D31265" s="21" t="s">
        <v>34</v>
      </c>
      <c r="E31265" s="21" t="s">
        <v>71</v>
      </c>
      <c r="F31265">
        <v>8911083</v>
      </c>
      <c r="G31265" t="s">
        <v>7357</v>
      </c>
      <c r="H31265" s="21">
        <v>529.66999999999996</v>
      </c>
    </row>
    <row r="31266" spans="1:8" customFormat="1" x14ac:dyDescent="0.25">
      <c r="A31266" t="str">
        <f>"5972863"</f>
        <v>5972863</v>
      </c>
      <c r="B31266" t="s">
        <v>22402</v>
      </c>
      <c r="C31266" t="s">
        <v>60</v>
      </c>
      <c r="D31266" s="21" t="s">
        <v>34</v>
      </c>
      <c r="E31266" s="21" t="s">
        <v>35</v>
      </c>
      <c r="F31266">
        <v>7590361</v>
      </c>
      <c r="G31266" t="s">
        <v>3071</v>
      </c>
      <c r="H31266" s="21">
        <v>529.66999999999996</v>
      </c>
    </row>
    <row r="31267" spans="1:8" customFormat="1" x14ac:dyDescent="0.25">
      <c r="A31267" t="str">
        <f>"3344303"</f>
        <v>3344303</v>
      </c>
      <c r="B31267" t="s">
        <v>24268</v>
      </c>
      <c r="C31267" t="s">
        <v>24269</v>
      </c>
      <c r="D31267" s="21" t="s">
        <v>34</v>
      </c>
      <c r="E31267" s="21" t="s">
        <v>35</v>
      </c>
      <c r="F31267">
        <v>10330028</v>
      </c>
      <c r="G31267" t="s">
        <v>4553</v>
      </c>
      <c r="H31267" s="21">
        <v>529.66999999999996</v>
      </c>
    </row>
    <row r="31268" spans="1:8" customFormat="1" x14ac:dyDescent="0.25">
      <c r="A31268" t="str">
        <f>"8019643"</f>
        <v>8019643</v>
      </c>
      <c r="B31268" t="s">
        <v>28343</v>
      </c>
      <c r="C31268" t="s">
        <v>2533</v>
      </c>
      <c r="D31268" s="21" t="s">
        <v>34</v>
      </c>
      <c r="E31268" s="21" t="s">
        <v>35</v>
      </c>
      <c r="F31268">
        <v>7800130</v>
      </c>
      <c r="G31268" t="s">
        <v>4998</v>
      </c>
      <c r="H31268" s="21">
        <v>529.66999999999996</v>
      </c>
    </row>
    <row r="31269" spans="1:8" customFormat="1" x14ac:dyDescent="0.25">
      <c r="A31269" t="str">
        <f>"8018790"</f>
        <v>8018790</v>
      </c>
      <c r="B31269" t="s">
        <v>28344</v>
      </c>
      <c r="C31269" t="s">
        <v>139</v>
      </c>
      <c r="D31269" s="21" t="s">
        <v>34</v>
      </c>
      <c r="E31269" s="21" t="s">
        <v>254</v>
      </c>
      <c r="F31269">
        <v>9140156</v>
      </c>
      <c r="G31269" t="s">
        <v>645</v>
      </c>
      <c r="H31269" s="21">
        <v>529.66999999999996</v>
      </c>
    </row>
    <row r="31270" spans="1:8" customFormat="1" x14ac:dyDescent="0.25">
      <c r="A31270" t="str">
        <f>"3013472"</f>
        <v>3013472</v>
      </c>
      <c r="B31270" t="s">
        <v>22110</v>
      </c>
      <c r="C31270" t="s">
        <v>260</v>
      </c>
      <c r="D31270" s="21" t="s">
        <v>34</v>
      </c>
      <c r="E31270" s="21" t="s">
        <v>71</v>
      </c>
      <c r="F31270">
        <v>11300007</v>
      </c>
      <c r="G31270" t="s">
        <v>361</v>
      </c>
      <c r="H31270" s="21">
        <v>529.66999999999996</v>
      </c>
    </row>
    <row r="31271" spans="1:8" customFormat="1" x14ac:dyDescent="0.25">
      <c r="A31271" t="str">
        <f>"573796"</f>
        <v>573796</v>
      </c>
      <c r="B31271" t="s">
        <v>3576</v>
      </c>
      <c r="C31271" t="s">
        <v>40</v>
      </c>
      <c r="D31271" s="21" t="s">
        <v>34</v>
      </c>
      <c r="E31271" s="21" t="s">
        <v>254</v>
      </c>
      <c r="F31271">
        <v>6570037</v>
      </c>
      <c r="G31271" t="s">
        <v>20463</v>
      </c>
      <c r="H31271" s="21">
        <v>529.66999999999996</v>
      </c>
    </row>
    <row r="31272" spans="1:8" customFormat="1" x14ac:dyDescent="0.25">
      <c r="A31272" t="str">
        <f>"591702"</f>
        <v>591702</v>
      </c>
      <c r="B31272" t="s">
        <v>23792</v>
      </c>
      <c r="C31272" t="s">
        <v>249</v>
      </c>
      <c r="D31272" s="21" t="s">
        <v>34</v>
      </c>
      <c r="E31272" s="21" t="s">
        <v>254</v>
      </c>
      <c r="F31272">
        <v>7590072</v>
      </c>
      <c r="G31272" t="s">
        <v>4059</v>
      </c>
      <c r="H31272" s="21">
        <v>529.66999999999996</v>
      </c>
    </row>
    <row r="31273" spans="1:8" customFormat="1" x14ac:dyDescent="0.25">
      <c r="A31273" t="str">
        <f>"5018536"</f>
        <v>5018536</v>
      </c>
      <c r="B31273" t="s">
        <v>21466</v>
      </c>
      <c r="C31273" t="s">
        <v>2546</v>
      </c>
      <c r="D31273" s="21" t="s">
        <v>34</v>
      </c>
      <c r="E31273" s="21" t="s">
        <v>1089</v>
      </c>
      <c r="F31273">
        <v>9500130</v>
      </c>
      <c r="G31273" t="s">
        <v>5326</v>
      </c>
      <c r="H31273" s="21">
        <v>529.66999999999996</v>
      </c>
    </row>
    <row r="31274" spans="1:8" customFormat="1" x14ac:dyDescent="0.25">
      <c r="A31274" t="str">
        <f>"588894"</f>
        <v>588894</v>
      </c>
      <c r="B31274" t="s">
        <v>21848</v>
      </c>
      <c r="C31274" t="s">
        <v>1812</v>
      </c>
      <c r="D31274" s="21" t="s">
        <v>34</v>
      </c>
      <c r="E31274" s="21" t="s">
        <v>71</v>
      </c>
      <c r="F31274">
        <v>2580019</v>
      </c>
      <c r="G31274" t="s">
        <v>8527</v>
      </c>
      <c r="H31274" s="21">
        <v>529.66999999999996</v>
      </c>
    </row>
    <row r="31275" spans="1:8" customFormat="1" x14ac:dyDescent="0.25">
      <c r="A31275" t="str">
        <f>"837850"</f>
        <v>837850</v>
      </c>
      <c r="B31275" t="s">
        <v>5276</v>
      </c>
      <c r="C31275" t="s">
        <v>2904</v>
      </c>
      <c r="D31275" s="21" t="s">
        <v>34</v>
      </c>
      <c r="E31275" s="21" t="s">
        <v>254</v>
      </c>
      <c r="F31275">
        <v>13830059</v>
      </c>
      <c r="G31275" t="s">
        <v>5440</v>
      </c>
      <c r="H31275" s="21">
        <v>529.66999999999996</v>
      </c>
    </row>
    <row r="31276" spans="1:8" customFormat="1" x14ac:dyDescent="0.25">
      <c r="A31276" t="str">
        <f>"279114"</f>
        <v>279114</v>
      </c>
      <c r="B31276" t="s">
        <v>15100</v>
      </c>
      <c r="C31276" t="s">
        <v>547</v>
      </c>
      <c r="D31276" s="21" t="s">
        <v>34</v>
      </c>
      <c r="E31276" s="21" t="s">
        <v>254</v>
      </c>
      <c r="F31276">
        <v>9270137</v>
      </c>
      <c r="G31276" t="s">
        <v>3714</v>
      </c>
      <c r="H31276" s="21">
        <v>529.66999999999996</v>
      </c>
    </row>
    <row r="31277" spans="1:8" customFormat="1" x14ac:dyDescent="0.25">
      <c r="A31277" t="str">
        <f>"461558"</f>
        <v>461558</v>
      </c>
      <c r="B31277" t="s">
        <v>15477</v>
      </c>
      <c r="C31277" t="s">
        <v>60</v>
      </c>
      <c r="D31277" s="21" t="s">
        <v>34</v>
      </c>
      <c r="E31277" s="21" t="s">
        <v>35</v>
      </c>
      <c r="F31277">
        <v>11460021</v>
      </c>
      <c r="G31277" t="s">
        <v>6727</v>
      </c>
      <c r="H31277" s="21">
        <v>529.66999999999996</v>
      </c>
    </row>
    <row r="31278" spans="1:8" customFormat="1" x14ac:dyDescent="0.25">
      <c r="A31278" t="str">
        <f>"4212451"</f>
        <v>4212451</v>
      </c>
      <c r="B31278" t="s">
        <v>5452</v>
      </c>
      <c r="C31278" t="s">
        <v>262</v>
      </c>
      <c r="D31278" s="21" t="s">
        <v>34</v>
      </c>
      <c r="E31278" s="21" t="s">
        <v>35</v>
      </c>
      <c r="F31278">
        <v>1030291</v>
      </c>
      <c r="G31278" t="s">
        <v>14963</v>
      </c>
      <c r="H31278" s="21">
        <v>529.66999999999996</v>
      </c>
    </row>
    <row r="31279" spans="1:8" customFormat="1" x14ac:dyDescent="0.25">
      <c r="A31279" t="str">
        <f>"301101"</f>
        <v>301101</v>
      </c>
      <c r="B31279" t="s">
        <v>20945</v>
      </c>
      <c r="C31279" t="s">
        <v>114</v>
      </c>
      <c r="D31279" s="21" t="s">
        <v>34</v>
      </c>
      <c r="E31279" s="21" t="s">
        <v>71</v>
      </c>
      <c r="F31279">
        <v>11300014</v>
      </c>
      <c r="G31279" t="s">
        <v>2345</v>
      </c>
      <c r="H31279" s="21">
        <v>529.66999999999996</v>
      </c>
    </row>
    <row r="31280" spans="1:8" customFormat="1" x14ac:dyDescent="0.25">
      <c r="A31280" t="str">
        <f>"836695"</f>
        <v>836695</v>
      </c>
      <c r="B31280" t="s">
        <v>28345</v>
      </c>
      <c r="C31280" t="s">
        <v>144</v>
      </c>
      <c r="D31280" s="21" t="s">
        <v>34</v>
      </c>
      <c r="E31280" s="21" t="s">
        <v>254</v>
      </c>
      <c r="F31280">
        <v>13830025</v>
      </c>
      <c r="G31280" t="s">
        <v>106</v>
      </c>
      <c r="H31280" s="21">
        <v>529.66999999999996</v>
      </c>
    </row>
    <row r="31281" spans="1:8" customFormat="1" x14ac:dyDescent="0.25">
      <c r="A31281" t="str">
        <f>"4511089"</f>
        <v>4511089</v>
      </c>
      <c r="B31281" t="s">
        <v>10981</v>
      </c>
      <c r="C31281" t="s">
        <v>40</v>
      </c>
      <c r="D31281" s="21" t="s">
        <v>34</v>
      </c>
      <c r="E31281" s="21" t="s">
        <v>254</v>
      </c>
      <c r="F31281">
        <v>4450571</v>
      </c>
      <c r="G31281" t="s">
        <v>188</v>
      </c>
      <c r="H31281" s="21">
        <v>529.66999999999996</v>
      </c>
    </row>
    <row r="31282" spans="1:8" customFormat="1" x14ac:dyDescent="0.25">
      <c r="A31282" t="str">
        <f>"9250050"</f>
        <v>9250050</v>
      </c>
      <c r="B31282" t="s">
        <v>24503</v>
      </c>
      <c r="C31282" t="s">
        <v>17192</v>
      </c>
      <c r="D31282" s="21" t="s">
        <v>34</v>
      </c>
      <c r="E31282" s="21" t="s">
        <v>71</v>
      </c>
      <c r="F31282">
        <v>8920049</v>
      </c>
      <c r="G31282" t="s">
        <v>237</v>
      </c>
      <c r="H31282" s="21">
        <v>529.66999999999996</v>
      </c>
    </row>
    <row r="31283" spans="1:8" customFormat="1" x14ac:dyDescent="0.25">
      <c r="A31283" t="str">
        <f>"4442272"</f>
        <v>4442272</v>
      </c>
      <c r="B31283" t="s">
        <v>9983</v>
      </c>
      <c r="C31283" t="s">
        <v>2752</v>
      </c>
      <c r="D31283" s="21" t="s">
        <v>34</v>
      </c>
      <c r="E31283" s="21" t="s">
        <v>71</v>
      </c>
      <c r="F31283">
        <v>12440094</v>
      </c>
      <c r="G31283" t="s">
        <v>892</v>
      </c>
      <c r="H31283" s="21">
        <v>529.66999999999996</v>
      </c>
    </row>
    <row r="31284" spans="1:8" customFormat="1" x14ac:dyDescent="0.25">
      <c r="A31284" t="str">
        <f>"5622405"</f>
        <v>5622405</v>
      </c>
      <c r="B31284" t="s">
        <v>18430</v>
      </c>
      <c r="C31284" t="s">
        <v>415</v>
      </c>
      <c r="D31284" s="21" t="s">
        <v>34</v>
      </c>
      <c r="E31284" s="21" t="s">
        <v>254</v>
      </c>
      <c r="F31284">
        <v>3560014</v>
      </c>
      <c r="G31284" t="s">
        <v>8206</v>
      </c>
      <c r="H31284" s="21">
        <v>529.66999999999996</v>
      </c>
    </row>
    <row r="31285" spans="1:8" customFormat="1" x14ac:dyDescent="0.25">
      <c r="A31285" t="str">
        <f>"4939245"</f>
        <v>4939245</v>
      </c>
      <c r="B31285" t="s">
        <v>10130</v>
      </c>
      <c r="C31285" t="s">
        <v>3662</v>
      </c>
      <c r="D31285" s="21" t="s">
        <v>34</v>
      </c>
      <c r="E31285" s="21" t="s">
        <v>35</v>
      </c>
      <c r="F31285">
        <v>12490134</v>
      </c>
      <c r="G31285" t="s">
        <v>4880</v>
      </c>
      <c r="H31285" s="21">
        <v>529.66999999999996</v>
      </c>
    </row>
    <row r="31286" spans="1:8" customFormat="1" x14ac:dyDescent="0.25">
      <c r="A31286" t="str">
        <f>"5977709"</f>
        <v>5977709</v>
      </c>
      <c r="B31286" t="s">
        <v>5500</v>
      </c>
      <c r="C31286" t="s">
        <v>43</v>
      </c>
      <c r="D31286" s="21" t="s">
        <v>34</v>
      </c>
      <c r="E31286" s="21" t="s">
        <v>35</v>
      </c>
      <c r="F31286">
        <v>7590107</v>
      </c>
      <c r="G31286" t="s">
        <v>17475</v>
      </c>
      <c r="H31286" s="21">
        <v>529.66999999999996</v>
      </c>
    </row>
    <row r="31287" spans="1:8" customFormat="1" x14ac:dyDescent="0.25">
      <c r="A31287" t="str">
        <f>"9143647"</f>
        <v>9143647</v>
      </c>
      <c r="B31287" t="s">
        <v>22622</v>
      </c>
      <c r="C31287" t="s">
        <v>305</v>
      </c>
      <c r="D31287" s="21" t="s">
        <v>34</v>
      </c>
      <c r="E31287" s="21" t="s">
        <v>35</v>
      </c>
      <c r="F31287">
        <v>8911161</v>
      </c>
      <c r="G31287" t="s">
        <v>599</v>
      </c>
      <c r="H31287" s="21">
        <v>529.66999999999996</v>
      </c>
    </row>
    <row r="31288" spans="1:8" customFormat="1" x14ac:dyDescent="0.25">
      <c r="A31288" t="str">
        <f>"292549"</f>
        <v>292549</v>
      </c>
      <c r="B31288" t="s">
        <v>2954</v>
      </c>
      <c r="C31288" t="s">
        <v>267</v>
      </c>
      <c r="D31288" s="21" t="s">
        <v>34</v>
      </c>
      <c r="E31288" s="21" t="s">
        <v>254</v>
      </c>
      <c r="F31288">
        <v>3290087</v>
      </c>
      <c r="G31288" t="s">
        <v>364</v>
      </c>
      <c r="H31288" s="21">
        <v>529.66999999999996</v>
      </c>
    </row>
    <row r="31289" spans="1:8" customFormat="1" x14ac:dyDescent="0.25">
      <c r="A31289" t="str">
        <f>"476231"</f>
        <v>476231</v>
      </c>
      <c r="B31289" t="s">
        <v>21923</v>
      </c>
      <c r="C31289" t="s">
        <v>239</v>
      </c>
      <c r="D31289" s="21" t="s">
        <v>34</v>
      </c>
      <c r="E31289" s="21" t="s">
        <v>254</v>
      </c>
      <c r="F31289">
        <v>10470021</v>
      </c>
      <c r="G31289" t="s">
        <v>1034</v>
      </c>
      <c r="H31289" s="21">
        <v>529.66999999999996</v>
      </c>
    </row>
    <row r="31290" spans="1:8" customFormat="1" x14ac:dyDescent="0.25">
      <c r="A31290" t="str">
        <f>"9536385"</f>
        <v>9536385</v>
      </c>
      <c r="B31290" t="s">
        <v>22493</v>
      </c>
      <c r="C31290" t="s">
        <v>12109</v>
      </c>
      <c r="D31290" s="21" t="s">
        <v>34</v>
      </c>
      <c r="E31290" s="21" t="s">
        <v>71</v>
      </c>
      <c r="F31290">
        <v>8950083</v>
      </c>
      <c r="G31290" t="s">
        <v>405</v>
      </c>
      <c r="H31290" s="21">
        <v>529.54</v>
      </c>
    </row>
    <row r="31291" spans="1:8" customFormat="1" x14ac:dyDescent="0.25">
      <c r="A31291" t="str">
        <f>"6013776"</f>
        <v>6013776</v>
      </c>
      <c r="B31291" t="s">
        <v>28346</v>
      </c>
      <c r="C31291" t="s">
        <v>412</v>
      </c>
      <c r="D31291" s="21" t="s">
        <v>34</v>
      </c>
      <c r="E31291" s="21" t="s">
        <v>71</v>
      </c>
      <c r="F31291">
        <v>7600170</v>
      </c>
      <c r="G31291" t="s">
        <v>16044</v>
      </c>
      <c r="H31291" s="21">
        <v>529.5</v>
      </c>
    </row>
    <row r="31292" spans="1:8" customFormat="1" x14ac:dyDescent="0.25">
      <c r="A31292" t="str">
        <f>"3426366"</f>
        <v>3426366</v>
      </c>
      <c r="B31292" t="s">
        <v>7241</v>
      </c>
      <c r="C31292" t="s">
        <v>65</v>
      </c>
      <c r="D31292" s="21" t="s">
        <v>34</v>
      </c>
      <c r="E31292" s="21" t="s">
        <v>71</v>
      </c>
      <c r="F31292">
        <v>11340075</v>
      </c>
      <c r="G31292" t="s">
        <v>18069</v>
      </c>
      <c r="H31292" s="21">
        <v>529.5</v>
      </c>
    </row>
    <row r="31293" spans="1:8" customFormat="1" x14ac:dyDescent="0.25">
      <c r="A31293" t="str">
        <f>"7643106"</f>
        <v>7643106</v>
      </c>
      <c r="B31293" t="s">
        <v>2824</v>
      </c>
      <c r="C31293" t="s">
        <v>1539</v>
      </c>
      <c r="D31293" s="21" t="s">
        <v>34</v>
      </c>
      <c r="E31293" s="21" t="s">
        <v>35</v>
      </c>
      <c r="F31293">
        <v>9760417</v>
      </c>
      <c r="G31293" t="s">
        <v>11996</v>
      </c>
      <c r="H31293" s="21">
        <v>529.5</v>
      </c>
    </row>
    <row r="31294" spans="1:8" customFormat="1" x14ac:dyDescent="0.25">
      <c r="A31294" t="str">
        <f>"514120"</f>
        <v>514120</v>
      </c>
      <c r="B31294" t="s">
        <v>22238</v>
      </c>
      <c r="C31294" t="s">
        <v>198</v>
      </c>
      <c r="D31294" s="21" t="s">
        <v>34</v>
      </c>
      <c r="E31294" s="21" t="s">
        <v>71</v>
      </c>
      <c r="F31294">
        <v>6510074</v>
      </c>
      <c r="G31294" t="s">
        <v>20151</v>
      </c>
      <c r="H31294" s="21">
        <v>529.5</v>
      </c>
    </row>
    <row r="31295" spans="1:8" customFormat="1" x14ac:dyDescent="0.25">
      <c r="A31295" t="str">
        <f>"368485"</f>
        <v>368485</v>
      </c>
      <c r="B31295" t="s">
        <v>28347</v>
      </c>
      <c r="C31295" t="s">
        <v>65</v>
      </c>
      <c r="D31295" s="21" t="s">
        <v>34</v>
      </c>
      <c r="E31295" s="21" t="s">
        <v>71</v>
      </c>
      <c r="F31295">
        <v>4360727</v>
      </c>
      <c r="G31295" t="s">
        <v>10026</v>
      </c>
      <c r="H31295" s="21">
        <v>529.5</v>
      </c>
    </row>
    <row r="31296" spans="1:8" customFormat="1" x14ac:dyDescent="0.25">
      <c r="A31296" t="str">
        <f>"5621291"</f>
        <v>5621291</v>
      </c>
      <c r="B31296" t="s">
        <v>551</v>
      </c>
      <c r="C31296" t="s">
        <v>469</v>
      </c>
      <c r="D31296" s="21" t="s">
        <v>34</v>
      </c>
      <c r="E31296" s="21" t="s">
        <v>35</v>
      </c>
      <c r="F31296">
        <v>3560020</v>
      </c>
      <c r="G31296" t="s">
        <v>426</v>
      </c>
      <c r="H31296" s="21">
        <v>529.5</v>
      </c>
    </row>
    <row r="31297" spans="1:8" customFormat="1" x14ac:dyDescent="0.25">
      <c r="A31297" t="str">
        <f>"3538135"</f>
        <v>3538135</v>
      </c>
      <c r="B31297" t="s">
        <v>13802</v>
      </c>
      <c r="C31297" t="s">
        <v>1675</v>
      </c>
      <c r="D31297" s="21" t="s">
        <v>34</v>
      </c>
      <c r="E31297" s="21" t="s">
        <v>35</v>
      </c>
      <c r="F31297">
        <v>3350212</v>
      </c>
      <c r="G31297" t="s">
        <v>5154</v>
      </c>
      <c r="H31297" s="21">
        <v>529.29</v>
      </c>
    </row>
    <row r="31298" spans="1:8" customFormat="1" x14ac:dyDescent="0.25">
      <c r="A31298" t="str">
        <f>"418847"</f>
        <v>418847</v>
      </c>
      <c r="B31298" t="s">
        <v>551</v>
      </c>
      <c r="C31298" t="s">
        <v>288</v>
      </c>
      <c r="D31298" s="21" t="s">
        <v>34</v>
      </c>
      <c r="E31298" s="21" t="s">
        <v>35</v>
      </c>
      <c r="F31298">
        <v>4410696</v>
      </c>
      <c r="G31298" t="s">
        <v>5909</v>
      </c>
      <c r="H31298" s="21">
        <v>529.29</v>
      </c>
    </row>
    <row r="31299" spans="1:8" customFormat="1" x14ac:dyDescent="0.25">
      <c r="A31299" t="str">
        <f>"287160"</f>
        <v>287160</v>
      </c>
      <c r="B31299" t="s">
        <v>21070</v>
      </c>
      <c r="C31299" t="s">
        <v>462</v>
      </c>
      <c r="D31299" s="21" t="s">
        <v>34</v>
      </c>
      <c r="E31299" s="21" t="s">
        <v>71</v>
      </c>
      <c r="F31299">
        <v>4280705</v>
      </c>
      <c r="G31299" t="s">
        <v>4088</v>
      </c>
      <c r="H31299" s="21">
        <v>529.16999999999996</v>
      </c>
    </row>
    <row r="31300" spans="1:8" customFormat="1" x14ac:dyDescent="0.25">
      <c r="A31300" t="str">
        <f>"4512952"</f>
        <v>4512952</v>
      </c>
      <c r="B31300" t="s">
        <v>21244</v>
      </c>
      <c r="C31300" t="s">
        <v>2100</v>
      </c>
      <c r="D31300" s="21" t="s">
        <v>34</v>
      </c>
      <c r="E31300" s="21" t="s">
        <v>1089</v>
      </c>
      <c r="F31300">
        <v>4450661</v>
      </c>
      <c r="G31300" t="s">
        <v>12253</v>
      </c>
      <c r="H31300" s="21">
        <v>529.16999999999996</v>
      </c>
    </row>
    <row r="31301" spans="1:8" customFormat="1" x14ac:dyDescent="0.25">
      <c r="A31301" t="str">
        <f>"4433280"</f>
        <v>4433280</v>
      </c>
      <c r="B31301" t="s">
        <v>28348</v>
      </c>
      <c r="C31301" t="s">
        <v>3648</v>
      </c>
      <c r="D31301" s="21" t="s">
        <v>34</v>
      </c>
      <c r="E31301" s="21" t="s">
        <v>1089</v>
      </c>
      <c r="F31301">
        <v>12440039</v>
      </c>
      <c r="G31301" t="s">
        <v>9650</v>
      </c>
      <c r="H31301" s="21">
        <v>529.16999999999996</v>
      </c>
    </row>
    <row r="31302" spans="1:8" customFormat="1" x14ac:dyDescent="0.25">
      <c r="A31302" t="str">
        <f>"735654"</f>
        <v>735654</v>
      </c>
      <c r="B31302" t="s">
        <v>9255</v>
      </c>
      <c r="C31302" t="s">
        <v>239</v>
      </c>
      <c r="D31302" s="21" t="s">
        <v>34</v>
      </c>
      <c r="E31302" s="21" t="s">
        <v>71</v>
      </c>
      <c r="F31302">
        <v>1730033</v>
      </c>
      <c r="G31302" t="s">
        <v>2407</v>
      </c>
      <c r="H31302" s="21">
        <v>529.16999999999996</v>
      </c>
    </row>
    <row r="31303" spans="1:8" customFormat="1" x14ac:dyDescent="0.25">
      <c r="A31303" t="str">
        <f>"4441450"</f>
        <v>4441450</v>
      </c>
      <c r="B31303" t="s">
        <v>2138</v>
      </c>
      <c r="C31303" t="s">
        <v>1231</v>
      </c>
      <c r="D31303" s="21" t="s">
        <v>34</v>
      </c>
      <c r="E31303" s="21" t="s">
        <v>71</v>
      </c>
      <c r="F31303">
        <v>12440138</v>
      </c>
      <c r="G31303" t="s">
        <v>562</v>
      </c>
      <c r="H31303" s="21">
        <v>529.16999999999996</v>
      </c>
    </row>
    <row r="31304" spans="1:8" customFormat="1" x14ac:dyDescent="0.25">
      <c r="A31304" t="str">
        <f>"8516177"</f>
        <v>8516177</v>
      </c>
      <c r="B31304" t="s">
        <v>10193</v>
      </c>
      <c r="C31304" t="s">
        <v>5464</v>
      </c>
      <c r="D31304" s="21" t="s">
        <v>34</v>
      </c>
      <c r="E31304" s="21" t="s">
        <v>71</v>
      </c>
      <c r="F31304">
        <v>12850107</v>
      </c>
      <c r="G31304" t="s">
        <v>12181</v>
      </c>
      <c r="H31304" s="21">
        <v>529.16999999999996</v>
      </c>
    </row>
    <row r="31305" spans="1:8" customFormat="1" x14ac:dyDescent="0.25">
      <c r="A31305" t="str">
        <f>"2929638"</f>
        <v>2929638</v>
      </c>
      <c r="B31305" t="s">
        <v>6418</v>
      </c>
      <c r="C31305" t="s">
        <v>598</v>
      </c>
      <c r="D31305" s="21" t="s">
        <v>34</v>
      </c>
      <c r="E31305" s="21" t="s">
        <v>71</v>
      </c>
      <c r="F31305">
        <v>3290237</v>
      </c>
      <c r="G31305" t="s">
        <v>8731</v>
      </c>
      <c r="H31305" s="21">
        <v>529.16999999999996</v>
      </c>
    </row>
    <row r="31306" spans="1:8" customFormat="1" x14ac:dyDescent="0.25">
      <c r="A31306" t="str">
        <f>"0615929"</f>
        <v>0615929</v>
      </c>
      <c r="B31306" t="s">
        <v>17270</v>
      </c>
      <c r="C31306" t="s">
        <v>249</v>
      </c>
      <c r="D31306" s="21" t="s">
        <v>34</v>
      </c>
      <c r="E31306" s="21" t="s">
        <v>71</v>
      </c>
      <c r="F31306">
        <v>13060090</v>
      </c>
      <c r="G31306" t="s">
        <v>1363</v>
      </c>
      <c r="H31306" s="21">
        <v>529.16999999999996</v>
      </c>
    </row>
    <row r="31307" spans="1:8" customFormat="1" x14ac:dyDescent="0.25">
      <c r="A31307" t="str">
        <f>"5981221"</f>
        <v>5981221</v>
      </c>
      <c r="B31307" t="s">
        <v>23718</v>
      </c>
      <c r="C31307" t="s">
        <v>156</v>
      </c>
      <c r="D31307" s="21" t="s">
        <v>34</v>
      </c>
      <c r="E31307" s="21" t="s">
        <v>254</v>
      </c>
      <c r="F31307">
        <v>7590351</v>
      </c>
      <c r="G31307" t="s">
        <v>8495</v>
      </c>
      <c r="H31307" s="21">
        <v>529.16999999999996</v>
      </c>
    </row>
    <row r="31308" spans="1:8" customFormat="1" x14ac:dyDescent="0.25">
      <c r="A31308" t="str">
        <f>"1910160"</f>
        <v>1910160</v>
      </c>
      <c r="B31308" t="s">
        <v>12975</v>
      </c>
      <c r="C31308" t="s">
        <v>486</v>
      </c>
      <c r="D31308" s="21" t="s">
        <v>34</v>
      </c>
      <c r="E31308" s="21" t="s">
        <v>35</v>
      </c>
      <c r="F31308">
        <v>10190054</v>
      </c>
      <c r="G31308" t="s">
        <v>4189</v>
      </c>
      <c r="H31308" s="21">
        <v>529.16999999999996</v>
      </c>
    </row>
    <row r="31309" spans="1:8" customFormat="1" x14ac:dyDescent="0.25">
      <c r="A31309" t="str">
        <f>"5015009"</f>
        <v>5015009</v>
      </c>
      <c r="B31309" t="s">
        <v>21495</v>
      </c>
      <c r="C31309" t="s">
        <v>288</v>
      </c>
      <c r="D31309" s="21" t="s">
        <v>34</v>
      </c>
      <c r="E31309" s="21" t="s">
        <v>35</v>
      </c>
      <c r="F31309">
        <v>9500087</v>
      </c>
      <c r="G31309" t="s">
        <v>12569</v>
      </c>
      <c r="H31309" s="21">
        <v>529.16999999999996</v>
      </c>
    </row>
    <row r="31310" spans="1:8" customFormat="1" x14ac:dyDescent="0.25">
      <c r="A31310" t="str">
        <f>"833313"</f>
        <v>833313</v>
      </c>
      <c r="B31310" t="s">
        <v>21830</v>
      </c>
      <c r="C31310" t="s">
        <v>4842</v>
      </c>
      <c r="D31310" s="21" t="s">
        <v>34</v>
      </c>
      <c r="E31310" s="21" t="s">
        <v>254</v>
      </c>
      <c r="F31310">
        <v>13830088</v>
      </c>
      <c r="G31310" t="s">
        <v>17664</v>
      </c>
      <c r="H31310" s="21">
        <v>529.16999999999996</v>
      </c>
    </row>
    <row r="31311" spans="1:8" customFormat="1" x14ac:dyDescent="0.25">
      <c r="A31311" t="str">
        <f>"6714276"</f>
        <v>6714276</v>
      </c>
      <c r="B31311" t="s">
        <v>8916</v>
      </c>
      <c r="C31311" t="s">
        <v>82</v>
      </c>
      <c r="D31311" s="21" t="s">
        <v>34</v>
      </c>
      <c r="E31311" s="21" t="s">
        <v>35</v>
      </c>
      <c r="F31311">
        <v>10870101</v>
      </c>
      <c r="G31311" t="s">
        <v>6607</v>
      </c>
      <c r="H31311" s="21">
        <v>529.16999999999996</v>
      </c>
    </row>
    <row r="31312" spans="1:8" customFormat="1" x14ac:dyDescent="0.25">
      <c r="A31312" t="str">
        <f>"2217456"</f>
        <v>2217456</v>
      </c>
      <c r="B31312" t="s">
        <v>21577</v>
      </c>
      <c r="C31312" t="s">
        <v>267</v>
      </c>
      <c r="D31312" s="21" t="s">
        <v>34</v>
      </c>
      <c r="E31312" s="21" t="s">
        <v>254</v>
      </c>
      <c r="F31312">
        <v>3220124</v>
      </c>
      <c r="G31312" t="s">
        <v>27347</v>
      </c>
      <c r="H31312" s="21">
        <v>529.16999999999996</v>
      </c>
    </row>
    <row r="31313" spans="1:8" customFormat="1" x14ac:dyDescent="0.25">
      <c r="A31313" t="str">
        <f>"4928448"</f>
        <v>4928448</v>
      </c>
      <c r="B31313" t="s">
        <v>4685</v>
      </c>
      <c r="C31313" t="s">
        <v>209</v>
      </c>
      <c r="D31313" s="21" t="s">
        <v>34</v>
      </c>
      <c r="E31313" s="21" t="s">
        <v>71</v>
      </c>
      <c r="F31313">
        <v>12490107</v>
      </c>
      <c r="G31313" t="s">
        <v>715</v>
      </c>
      <c r="H31313" s="21">
        <v>529.16999999999996</v>
      </c>
    </row>
    <row r="31314" spans="1:8" customFormat="1" x14ac:dyDescent="0.25">
      <c r="A31314" t="str">
        <f>"3832944"</f>
        <v>3832944</v>
      </c>
      <c r="B31314" t="s">
        <v>28349</v>
      </c>
      <c r="C31314" t="s">
        <v>955</v>
      </c>
      <c r="D31314" s="21" t="s">
        <v>34</v>
      </c>
      <c r="E31314" s="21" t="s">
        <v>35</v>
      </c>
      <c r="F31314">
        <v>1380236</v>
      </c>
      <c r="G31314" t="s">
        <v>2876</v>
      </c>
      <c r="H31314" s="21">
        <v>529.16999999999996</v>
      </c>
    </row>
    <row r="31315" spans="1:8" customFormat="1" x14ac:dyDescent="0.25">
      <c r="A31315" t="str">
        <f>"6314935"</f>
        <v>6314935</v>
      </c>
      <c r="B31315" t="s">
        <v>22630</v>
      </c>
      <c r="C31315" t="s">
        <v>198</v>
      </c>
      <c r="D31315" s="21" t="s">
        <v>34</v>
      </c>
      <c r="E31315" s="21" t="s">
        <v>71</v>
      </c>
      <c r="F31315">
        <v>1630301</v>
      </c>
      <c r="G31315" t="s">
        <v>7897</v>
      </c>
      <c r="H31315" s="21">
        <v>529.16999999999996</v>
      </c>
    </row>
    <row r="31316" spans="1:8" customFormat="1" x14ac:dyDescent="0.25">
      <c r="A31316" t="str">
        <f>"821919"</f>
        <v>821919</v>
      </c>
      <c r="B31316" t="s">
        <v>21033</v>
      </c>
      <c r="C31316" t="s">
        <v>239</v>
      </c>
      <c r="D31316" s="21" t="s">
        <v>34</v>
      </c>
      <c r="E31316" s="21" t="s">
        <v>71</v>
      </c>
      <c r="F31316">
        <v>11820031</v>
      </c>
      <c r="G31316" t="s">
        <v>18667</v>
      </c>
      <c r="H31316" s="21">
        <v>529.16999999999996</v>
      </c>
    </row>
    <row r="31317" spans="1:8" customFormat="1" x14ac:dyDescent="0.25">
      <c r="A31317" t="str">
        <f>"561696"</f>
        <v>561696</v>
      </c>
      <c r="B31317" t="s">
        <v>20203</v>
      </c>
      <c r="C31317" t="s">
        <v>412</v>
      </c>
      <c r="D31317" s="21" t="s">
        <v>34</v>
      </c>
      <c r="E31317" s="21" t="s">
        <v>254</v>
      </c>
      <c r="F31317">
        <v>3560051</v>
      </c>
      <c r="G31317" t="s">
        <v>14709</v>
      </c>
      <c r="H31317" s="21">
        <v>529.16999999999996</v>
      </c>
    </row>
    <row r="31318" spans="1:8" customFormat="1" x14ac:dyDescent="0.25">
      <c r="A31318" t="str">
        <f>"9119050"</f>
        <v>9119050</v>
      </c>
      <c r="B31318" t="s">
        <v>16815</v>
      </c>
      <c r="C31318" t="s">
        <v>453</v>
      </c>
      <c r="D31318" s="21" t="s">
        <v>34</v>
      </c>
      <c r="E31318" s="21" t="s">
        <v>254</v>
      </c>
      <c r="F31318">
        <v>10170033</v>
      </c>
      <c r="G31318" t="s">
        <v>3756</v>
      </c>
      <c r="H31318" s="21">
        <v>529.16999999999996</v>
      </c>
    </row>
    <row r="31319" spans="1:8" customFormat="1" x14ac:dyDescent="0.25">
      <c r="A31319" t="str">
        <f>"3730521"</f>
        <v>3730521</v>
      </c>
      <c r="B31319" t="s">
        <v>18632</v>
      </c>
      <c r="C31319" t="s">
        <v>60</v>
      </c>
      <c r="D31319" s="21" t="s">
        <v>34</v>
      </c>
      <c r="E31319" s="21" t="s">
        <v>35</v>
      </c>
      <c r="F31319">
        <v>4370013</v>
      </c>
      <c r="G31319" t="s">
        <v>7097</v>
      </c>
      <c r="H31319" s="21">
        <v>529.16999999999996</v>
      </c>
    </row>
    <row r="31320" spans="1:8" customFormat="1" x14ac:dyDescent="0.25">
      <c r="A31320" t="str">
        <f>"56294"</f>
        <v>56294</v>
      </c>
      <c r="B31320" t="s">
        <v>24182</v>
      </c>
      <c r="C31320" t="s">
        <v>4842</v>
      </c>
      <c r="D31320" s="21" t="s">
        <v>34</v>
      </c>
      <c r="E31320" s="21" t="s">
        <v>6185</v>
      </c>
      <c r="F31320">
        <v>3560072</v>
      </c>
      <c r="G31320" t="s">
        <v>12285</v>
      </c>
      <c r="H31320" s="21">
        <v>529.04</v>
      </c>
    </row>
    <row r="31321" spans="1:8" customFormat="1" x14ac:dyDescent="0.25">
      <c r="A31321" t="str">
        <f>"2211659"</f>
        <v>2211659</v>
      </c>
      <c r="B31321" t="s">
        <v>16310</v>
      </c>
      <c r="C31321" t="s">
        <v>65</v>
      </c>
      <c r="D31321" s="21" t="s">
        <v>34</v>
      </c>
      <c r="E31321" s="21" t="s">
        <v>71</v>
      </c>
      <c r="F31321">
        <v>3220123</v>
      </c>
      <c r="G31321" t="s">
        <v>26953</v>
      </c>
      <c r="H31321" s="21">
        <v>529</v>
      </c>
    </row>
    <row r="31322" spans="1:8" customFormat="1" x14ac:dyDescent="0.25">
      <c r="A31322" t="str">
        <f>"905989"</f>
        <v>905989</v>
      </c>
      <c r="B31322" t="s">
        <v>10752</v>
      </c>
      <c r="C31322" t="s">
        <v>1474</v>
      </c>
      <c r="D31322" s="21" t="s">
        <v>34</v>
      </c>
      <c r="E31322" s="21" t="s">
        <v>71</v>
      </c>
      <c r="F31322">
        <v>2900047</v>
      </c>
      <c r="G31322" t="s">
        <v>6819</v>
      </c>
      <c r="H31322" s="21">
        <v>529</v>
      </c>
    </row>
    <row r="31323" spans="1:8" customFormat="1" x14ac:dyDescent="0.25">
      <c r="A31323" t="str">
        <f>"7728224"</f>
        <v>7728224</v>
      </c>
      <c r="B31323" t="s">
        <v>24703</v>
      </c>
      <c r="C31323" t="s">
        <v>204</v>
      </c>
      <c r="D31323" s="21" t="s">
        <v>34</v>
      </c>
      <c r="E31323" s="21" t="s">
        <v>35</v>
      </c>
      <c r="F31323">
        <v>8771402</v>
      </c>
      <c r="G31323" t="s">
        <v>15493</v>
      </c>
      <c r="H31323" s="21">
        <v>529</v>
      </c>
    </row>
    <row r="31324" spans="1:8" customFormat="1" x14ac:dyDescent="0.25">
      <c r="A31324" t="str">
        <f>"7878857"</f>
        <v>7878857</v>
      </c>
      <c r="B31324" t="s">
        <v>22307</v>
      </c>
      <c r="C31324" t="s">
        <v>40</v>
      </c>
      <c r="D31324" s="21" t="s">
        <v>34</v>
      </c>
      <c r="E31324" s="21" t="s">
        <v>71</v>
      </c>
      <c r="F31324">
        <v>8780356</v>
      </c>
      <c r="G31324" t="s">
        <v>5449</v>
      </c>
      <c r="H31324" s="21">
        <v>529</v>
      </c>
    </row>
    <row r="31325" spans="1:8" customFormat="1" x14ac:dyDescent="0.25">
      <c r="A31325" t="str">
        <f>"9128926"</f>
        <v>9128926</v>
      </c>
      <c r="B31325" t="s">
        <v>1531</v>
      </c>
      <c r="C31325" t="s">
        <v>169</v>
      </c>
      <c r="D31325" s="21" t="s">
        <v>34</v>
      </c>
      <c r="E31325" s="21" t="s">
        <v>254</v>
      </c>
      <c r="F31325">
        <v>8911456</v>
      </c>
      <c r="G31325" t="s">
        <v>6481</v>
      </c>
      <c r="H31325" s="21">
        <v>528.91999999999996</v>
      </c>
    </row>
    <row r="31326" spans="1:8" customFormat="1" x14ac:dyDescent="0.25">
      <c r="A31326" t="str">
        <f>"4433462"</f>
        <v>4433462</v>
      </c>
      <c r="B31326" t="s">
        <v>21949</v>
      </c>
      <c r="C31326" t="s">
        <v>781</v>
      </c>
      <c r="D31326" s="21" t="s">
        <v>34</v>
      </c>
      <c r="E31326" s="21" t="s">
        <v>254</v>
      </c>
      <c r="F31326">
        <v>12440088</v>
      </c>
      <c r="G31326" t="s">
        <v>17289</v>
      </c>
      <c r="H31326" s="21">
        <v>528.91999999999996</v>
      </c>
    </row>
    <row r="31327" spans="1:8" customFormat="1" x14ac:dyDescent="0.25">
      <c r="A31327" t="str">
        <f>"72372"</f>
        <v>72372</v>
      </c>
      <c r="B31327" t="s">
        <v>21045</v>
      </c>
      <c r="C31327" t="s">
        <v>263</v>
      </c>
      <c r="D31327" s="21" t="s">
        <v>34</v>
      </c>
      <c r="E31327" s="21" t="s">
        <v>254</v>
      </c>
      <c r="F31327">
        <v>12720058</v>
      </c>
      <c r="G31327" t="s">
        <v>17331</v>
      </c>
      <c r="H31327" s="21">
        <v>528.91999999999996</v>
      </c>
    </row>
    <row r="31328" spans="1:8" customFormat="1" x14ac:dyDescent="0.25">
      <c r="A31328" t="str">
        <f>"7731527"</f>
        <v>7731527</v>
      </c>
      <c r="B31328" t="s">
        <v>1361</v>
      </c>
      <c r="C31328" t="s">
        <v>24431</v>
      </c>
      <c r="D31328" s="21" t="s">
        <v>34</v>
      </c>
      <c r="E31328" s="21" t="s">
        <v>71</v>
      </c>
      <c r="F31328">
        <v>8771200</v>
      </c>
      <c r="G31328" t="s">
        <v>5455</v>
      </c>
      <c r="H31328" s="21">
        <v>528.88</v>
      </c>
    </row>
    <row r="31329" spans="1:8" customFormat="1" x14ac:dyDescent="0.25">
      <c r="A31329" t="str">
        <f>"7111058"</f>
        <v>7111058</v>
      </c>
      <c r="B31329" t="s">
        <v>22290</v>
      </c>
      <c r="C31329" t="s">
        <v>55</v>
      </c>
      <c r="D31329" s="21" t="s">
        <v>34</v>
      </c>
      <c r="E31329" s="21" t="s">
        <v>35</v>
      </c>
      <c r="F31329">
        <v>2710023</v>
      </c>
      <c r="G31329" t="s">
        <v>3549</v>
      </c>
      <c r="H31329" s="21">
        <v>528.75</v>
      </c>
    </row>
    <row r="31330" spans="1:8" customFormat="1" x14ac:dyDescent="0.25">
      <c r="A31330" t="str">
        <f>"199864"</f>
        <v>199864</v>
      </c>
      <c r="B31330" t="s">
        <v>28350</v>
      </c>
      <c r="C31330" t="s">
        <v>28351</v>
      </c>
      <c r="D31330" s="21" t="s">
        <v>34</v>
      </c>
      <c r="E31330" s="21" t="s">
        <v>35</v>
      </c>
      <c r="F31330">
        <v>10190073</v>
      </c>
      <c r="G31330" t="s">
        <v>2366</v>
      </c>
      <c r="H31330" s="21">
        <v>528.66999999999996</v>
      </c>
    </row>
    <row r="31331" spans="1:8" customFormat="1" x14ac:dyDescent="0.25">
      <c r="A31331" t="str">
        <f>"6227562"</f>
        <v>6227562</v>
      </c>
      <c r="B31331" t="s">
        <v>28352</v>
      </c>
      <c r="C31331" t="s">
        <v>130</v>
      </c>
      <c r="D31331" s="21" t="s">
        <v>34</v>
      </c>
      <c r="E31331" s="21" t="s">
        <v>35</v>
      </c>
      <c r="F31331">
        <v>7620088</v>
      </c>
      <c r="G31331" t="s">
        <v>3342</v>
      </c>
      <c r="H31331" s="21">
        <v>528.66999999999996</v>
      </c>
    </row>
    <row r="31332" spans="1:8" customFormat="1" x14ac:dyDescent="0.25">
      <c r="A31332" t="str">
        <f>"563594"</f>
        <v>563594</v>
      </c>
      <c r="B31332" t="s">
        <v>20221</v>
      </c>
      <c r="C31332" t="s">
        <v>5861</v>
      </c>
      <c r="D31332" s="21" t="s">
        <v>34</v>
      </c>
      <c r="E31332" s="21" t="s">
        <v>254</v>
      </c>
      <c r="F31332">
        <v>3560053</v>
      </c>
      <c r="G31332" t="s">
        <v>298</v>
      </c>
      <c r="H31332" s="21">
        <v>528.66999999999996</v>
      </c>
    </row>
    <row r="31333" spans="1:8" customFormat="1" x14ac:dyDescent="0.25">
      <c r="A31333" t="str">
        <f>"7517067"</f>
        <v>7517067</v>
      </c>
      <c r="B31333" t="s">
        <v>21017</v>
      </c>
      <c r="C31333" t="s">
        <v>87</v>
      </c>
      <c r="D31333" s="21" t="s">
        <v>34</v>
      </c>
      <c r="E31333" s="21" t="s">
        <v>35</v>
      </c>
      <c r="F31333">
        <v>8920312</v>
      </c>
      <c r="G31333" t="s">
        <v>1026</v>
      </c>
      <c r="H31333" s="21">
        <v>528.66999999999996</v>
      </c>
    </row>
    <row r="31334" spans="1:8" customFormat="1" x14ac:dyDescent="0.25">
      <c r="A31334" t="str">
        <f>"4218690"</f>
        <v>4218690</v>
      </c>
      <c r="B31334" t="s">
        <v>3865</v>
      </c>
      <c r="C31334" t="s">
        <v>62</v>
      </c>
      <c r="D31334" s="21" t="s">
        <v>34</v>
      </c>
      <c r="E31334" s="21" t="s">
        <v>71</v>
      </c>
      <c r="F31334">
        <v>1420152</v>
      </c>
      <c r="G31334" t="s">
        <v>2948</v>
      </c>
      <c r="H31334" s="21">
        <v>528.66999999999996</v>
      </c>
    </row>
    <row r="31335" spans="1:8" customFormat="1" x14ac:dyDescent="0.25">
      <c r="A31335" t="str">
        <f>"199904"</f>
        <v>199904</v>
      </c>
      <c r="B31335" t="s">
        <v>21442</v>
      </c>
      <c r="C31335" t="s">
        <v>269</v>
      </c>
      <c r="D31335" s="21" t="s">
        <v>34</v>
      </c>
      <c r="E31335" s="21" t="s">
        <v>35</v>
      </c>
      <c r="F31335">
        <v>10190120</v>
      </c>
      <c r="G31335" t="s">
        <v>4616</v>
      </c>
      <c r="H31335" s="21">
        <v>528.66999999999996</v>
      </c>
    </row>
    <row r="31336" spans="1:8" customFormat="1" x14ac:dyDescent="0.25">
      <c r="A31336" t="str">
        <f>"6725257"</f>
        <v>6725257</v>
      </c>
      <c r="B31336" t="s">
        <v>21987</v>
      </c>
      <c r="C31336" t="s">
        <v>926</v>
      </c>
      <c r="D31336" s="21" t="s">
        <v>34</v>
      </c>
      <c r="E31336" s="21" t="s">
        <v>71</v>
      </c>
      <c r="F31336">
        <v>6670002</v>
      </c>
      <c r="G31336" t="s">
        <v>5740</v>
      </c>
      <c r="H31336" s="21">
        <v>528.66999999999996</v>
      </c>
    </row>
    <row r="31337" spans="1:8" customFormat="1" x14ac:dyDescent="0.25">
      <c r="A31337" t="str">
        <f>"2517034"</f>
        <v>2517034</v>
      </c>
      <c r="B31337" t="s">
        <v>21800</v>
      </c>
      <c r="C31337" t="s">
        <v>812</v>
      </c>
      <c r="D31337" s="21" t="s">
        <v>34</v>
      </c>
      <c r="E31337" s="21" t="s">
        <v>71</v>
      </c>
      <c r="F31337">
        <v>2250132</v>
      </c>
      <c r="G31337" t="s">
        <v>7748</v>
      </c>
      <c r="H31337" s="21">
        <v>528.66999999999996</v>
      </c>
    </row>
    <row r="31338" spans="1:8" customFormat="1" x14ac:dyDescent="0.25">
      <c r="A31338" t="str">
        <f>"27937"</f>
        <v>27937</v>
      </c>
      <c r="B31338" t="s">
        <v>213</v>
      </c>
      <c r="C31338" t="s">
        <v>1072</v>
      </c>
      <c r="D31338" s="21" t="s">
        <v>34</v>
      </c>
      <c r="E31338" s="21" t="s">
        <v>254</v>
      </c>
      <c r="F31338">
        <v>9270077</v>
      </c>
      <c r="G31338" t="s">
        <v>3228</v>
      </c>
      <c r="H31338" s="21">
        <v>528.66999999999996</v>
      </c>
    </row>
    <row r="31339" spans="1:8" customFormat="1" x14ac:dyDescent="0.25">
      <c r="A31339" t="str">
        <f>"3112937"</f>
        <v>3112937</v>
      </c>
      <c r="B31339" t="s">
        <v>20710</v>
      </c>
      <c r="C31339" t="s">
        <v>12304</v>
      </c>
      <c r="D31339" s="21" t="s">
        <v>34</v>
      </c>
      <c r="E31339" s="21" t="s">
        <v>254</v>
      </c>
      <c r="F31339">
        <v>11340071</v>
      </c>
      <c r="G31339" t="s">
        <v>17733</v>
      </c>
      <c r="H31339" s="21">
        <v>528.66999999999996</v>
      </c>
    </row>
    <row r="31340" spans="1:8" customFormat="1" x14ac:dyDescent="0.25">
      <c r="A31340" t="str">
        <f>"51107"</f>
        <v>51107</v>
      </c>
      <c r="B31340" t="s">
        <v>4994</v>
      </c>
      <c r="C31340" t="s">
        <v>750</v>
      </c>
      <c r="D31340" s="21" t="s">
        <v>34</v>
      </c>
      <c r="E31340" s="21" t="s">
        <v>254</v>
      </c>
      <c r="F31340">
        <v>6510112</v>
      </c>
      <c r="G31340" t="s">
        <v>588</v>
      </c>
      <c r="H31340" s="21">
        <v>528.66999999999996</v>
      </c>
    </row>
    <row r="31341" spans="1:8" customFormat="1" x14ac:dyDescent="0.25">
      <c r="A31341" t="str">
        <f>"6231406"</f>
        <v>6231406</v>
      </c>
      <c r="B31341" t="s">
        <v>22005</v>
      </c>
      <c r="C31341" t="s">
        <v>1665</v>
      </c>
      <c r="D31341" s="21" t="s">
        <v>34</v>
      </c>
      <c r="E31341" s="21" t="s">
        <v>35</v>
      </c>
      <c r="F31341">
        <v>7620031</v>
      </c>
      <c r="G31341" t="s">
        <v>2182</v>
      </c>
      <c r="H31341" s="21">
        <v>528.66999999999996</v>
      </c>
    </row>
    <row r="31342" spans="1:8" customFormat="1" x14ac:dyDescent="0.25">
      <c r="A31342" t="str">
        <f>"3820794"</f>
        <v>3820794</v>
      </c>
      <c r="B31342" t="s">
        <v>21071</v>
      </c>
      <c r="C31342" t="s">
        <v>187</v>
      </c>
      <c r="D31342" s="21" t="s">
        <v>34</v>
      </c>
      <c r="E31342" s="21" t="s">
        <v>35</v>
      </c>
      <c r="F31342">
        <v>1380267</v>
      </c>
      <c r="G31342" t="s">
        <v>1002</v>
      </c>
      <c r="H31342" s="21">
        <v>528.66999999999996</v>
      </c>
    </row>
    <row r="31343" spans="1:8" customFormat="1" x14ac:dyDescent="0.25">
      <c r="A31343" t="str">
        <f>"4934970"</f>
        <v>4934970</v>
      </c>
      <c r="B31343" t="s">
        <v>9879</v>
      </c>
      <c r="C31343" t="s">
        <v>822</v>
      </c>
      <c r="D31343" s="21" t="s">
        <v>34</v>
      </c>
      <c r="E31343" s="21" t="s">
        <v>1089</v>
      </c>
      <c r="F31343">
        <v>12490064</v>
      </c>
      <c r="G31343" t="s">
        <v>8425</v>
      </c>
      <c r="H31343" s="21">
        <v>528.66999999999996</v>
      </c>
    </row>
    <row r="31344" spans="1:8" customFormat="1" x14ac:dyDescent="0.25">
      <c r="A31344" t="str">
        <f>"4915251"</f>
        <v>4915251</v>
      </c>
      <c r="B31344" t="s">
        <v>8623</v>
      </c>
      <c r="C31344" t="s">
        <v>263</v>
      </c>
      <c r="D31344" s="21" t="s">
        <v>34</v>
      </c>
      <c r="E31344" s="21" t="s">
        <v>71</v>
      </c>
      <c r="F31344">
        <v>12490064</v>
      </c>
      <c r="G31344" t="s">
        <v>8425</v>
      </c>
      <c r="H31344" s="21">
        <v>528.54</v>
      </c>
    </row>
    <row r="31345" spans="1:8" customFormat="1" x14ac:dyDescent="0.25">
      <c r="A31345" t="str">
        <f>"7880043"</f>
        <v>7880043</v>
      </c>
      <c r="B31345" t="s">
        <v>21603</v>
      </c>
      <c r="C31345" t="s">
        <v>21604</v>
      </c>
      <c r="D31345" s="21" t="s">
        <v>34</v>
      </c>
      <c r="E31345" s="21" t="s">
        <v>254</v>
      </c>
      <c r="F31345">
        <v>8780440</v>
      </c>
      <c r="G31345" t="s">
        <v>6629</v>
      </c>
      <c r="H31345" s="21">
        <v>528.54</v>
      </c>
    </row>
    <row r="31346" spans="1:8" customFormat="1" x14ac:dyDescent="0.25">
      <c r="A31346" t="str">
        <f>"7859852"</f>
        <v>7859852</v>
      </c>
      <c r="B31346" t="s">
        <v>765</v>
      </c>
      <c r="C31346" t="s">
        <v>151</v>
      </c>
      <c r="D31346" s="21" t="s">
        <v>34</v>
      </c>
      <c r="E31346" s="21" t="s">
        <v>35</v>
      </c>
      <c r="F31346">
        <v>8780529</v>
      </c>
      <c r="G31346" t="s">
        <v>8624</v>
      </c>
      <c r="H31346" s="21">
        <v>528.54</v>
      </c>
    </row>
    <row r="31347" spans="1:8" customFormat="1" x14ac:dyDescent="0.25">
      <c r="A31347" t="str">
        <f>"7865645"</f>
        <v>7865645</v>
      </c>
      <c r="B31347" t="s">
        <v>12509</v>
      </c>
      <c r="C31347" t="s">
        <v>2520</v>
      </c>
      <c r="D31347" s="21" t="s">
        <v>34</v>
      </c>
      <c r="E31347" s="21" t="s">
        <v>254</v>
      </c>
      <c r="F31347">
        <v>8780224</v>
      </c>
      <c r="G31347" t="s">
        <v>8599</v>
      </c>
      <c r="H31347" s="21">
        <v>528.5</v>
      </c>
    </row>
    <row r="31348" spans="1:8" customFormat="1" x14ac:dyDescent="0.25">
      <c r="A31348" t="str">
        <f>"114034"</f>
        <v>114034</v>
      </c>
      <c r="B31348" t="s">
        <v>22609</v>
      </c>
      <c r="C31348" t="s">
        <v>1812</v>
      </c>
      <c r="D31348" s="21" t="s">
        <v>34</v>
      </c>
      <c r="E31348" s="21" t="s">
        <v>71</v>
      </c>
      <c r="F31348">
        <v>11110009</v>
      </c>
      <c r="G31348" t="s">
        <v>6231</v>
      </c>
      <c r="H31348" s="21">
        <v>528.5</v>
      </c>
    </row>
    <row r="31349" spans="1:8" customFormat="1" x14ac:dyDescent="0.25">
      <c r="A31349" t="str">
        <f>"2939803"</f>
        <v>2939803</v>
      </c>
      <c r="B31349" t="s">
        <v>10369</v>
      </c>
      <c r="C31349" t="s">
        <v>269</v>
      </c>
      <c r="D31349" s="21" t="s">
        <v>34</v>
      </c>
      <c r="E31349" s="21" t="s">
        <v>35</v>
      </c>
      <c r="F31349">
        <v>3290286</v>
      </c>
      <c r="G31349" t="s">
        <v>18777</v>
      </c>
      <c r="H31349" s="21">
        <v>528.5</v>
      </c>
    </row>
    <row r="31350" spans="1:8" customFormat="1" x14ac:dyDescent="0.25">
      <c r="A31350" t="str">
        <f>"3829497"</f>
        <v>3829497</v>
      </c>
      <c r="B31350" t="s">
        <v>8862</v>
      </c>
      <c r="C31350" t="s">
        <v>33</v>
      </c>
      <c r="D31350" s="21" t="s">
        <v>34</v>
      </c>
      <c r="E31350" s="21" t="s">
        <v>71</v>
      </c>
      <c r="F31350">
        <v>1380199</v>
      </c>
      <c r="G31350" t="s">
        <v>321</v>
      </c>
      <c r="H31350" s="21">
        <v>528.5</v>
      </c>
    </row>
    <row r="31351" spans="1:8" customFormat="1" x14ac:dyDescent="0.25">
      <c r="A31351" t="str">
        <f>"3717661"</f>
        <v>3717661</v>
      </c>
      <c r="B31351" t="s">
        <v>28353</v>
      </c>
      <c r="C31351" t="s">
        <v>40</v>
      </c>
      <c r="D31351" s="21" t="s">
        <v>34</v>
      </c>
      <c r="E31351" s="21" t="s">
        <v>254</v>
      </c>
      <c r="F31351">
        <v>11300007</v>
      </c>
      <c r="G31351" t="s">
        <v>361</v>
      </c>
      <c r="H31351" s="21">
        <v>528.5</v>
      </c>
    </row>
    <row r="31352" spans="1:8" customFormat="1" x14ac:dyDescent="0.25">
      <c r="A31352" t="str">
        <f>"4519240"</f>
        <v>4519240</v>
      </c>
      <c r="B31352" t="s">
        <v>2046</v>
      </c>
      <c r="C31352" t="s">
        <v>1605</v>
      </c>
      <c r="D31352" s="21" t="s">
        <v>34</v>
      </c>
      <c r="E31352" s="21" t="s">
        <v>1089</v>
      </c>
      <c r="F31352">
        <v>4450561</v>
      </c>
      <c r="G31352" t="s">
        <v>10125</v>
      </c>
      <c r="H31352" s="21">
        <v>528.5</v>
      </c>
    </row>
    <row r="31353" spans="1:8" customFormat="1" x14ac:dyDescent="0.25">
      <c r="A31353" t="str">
        <f>"7727852"</f>
        <v>7727852</v>
      </c>
      <c r="B31353" t="s">
        <v>7627</v>
      </c>
      <c r="C31353" t="s">
        <v>285</v>
      </c>
      <c r="D31353" s="21" t="s">
        <v>34</v>
      </c>
      <c r="E31353" s="21" t="s">
        <v>35</v>
      </c>
      <c r="F31353">
        <v>8770911</v>
      </c>
      <c r="G31353" t="s">
        <v>4824</v>
      </c>
      <c r="H31353" s="21">
        <v>528.41999999999996</v>
      </c>
    </row>
    <row r="31354" spans="1:8" customFormat="1" x14ac:dyDescent="0.25">
      <c r="A31354" t="str">
        <f>"9536487"</f>
        <v>9536487</v>
      </c>
      <c r="B31354" t="s">
        <v>28354</v>
      </c>
      <c r="C31354" t="s">
        <v>515</v>
      </c>
      <c r="D31354" s="21" t="s">
        <v>34</v>
      </c>
      <c r="E31354" s="21" t="s">
        <v>35</v>
      </c>
      <c r="F31354">
        <v>8951386</v>
      </c>
      <c r="G31354" t="s">
        <v>7765</v>
      </c>
      <c r="H31354" s="21">
        <v>528.25</v>
      </c>
    </row>
    <row r="31355" spans="1:8" customFormat="1" x14ac:dyDescent="0.25">
      <c r="A31355" t="str">
        <f>"2927679"</f>
        <v>2927679</v>
      </c>
      <c r="B31355" t="s">
        <v>21331</v>
      </c>
      <c r="C31355" t="s">
        <v>7429</v>
      </c>
      <c r="D31355" s="21" t="s">
        <v>34</v>
      </c>
      <c r="E31355" s="21" t="s">
        <v>35</v>
      </c>
      <c r="F31355">
        <v>3290228</v>
      </c>
      <c r="G31355" t="s">
        <v>8738</v>
      </c>
      <c r="H31355" s="21">
        <v>528.25</v>
      </c>
    </row>
    <row r="31356" spans="1:8" customFormat="1" x14ac:dyDescent="0.25">
      <c r="A31356" t="str">
        <f>"2112220"</f>
        <v>2112220</v>
      </c>
      <c r="B31356" t="s">
        <v>24614</v>
      </c>
      <c r="C31356" t="s">
        <v>469</v>
      </c>
      <c r="D31356" s="21" t="s">
        <v>34</v>
      </c>
      <c r="E31356" s="21" t="s">
        <v>35</v>
      </c>
      <c r="F31356">
        <v>2210088</v>
      </c>
      <c r="G31356" t="s">
        <v>2896</v>
      </c>
      <c r="H31356" s="21">
        <v>528.25</v>
      </c>
    </row>
    <row r="31357" spans="1:8" customFormat="1" x14ac:dyDescent="0.25">
      <c r="A31357" t="str">
        <f>"8614319"</f>
        <v>8614319</v>
      </c>
      <c r="B31357" t="s">
        <v>24587</v>
      </c>
      <c r="C31357" t="s">
        <v>169</v>
      </c>
      <c r="D31357" s="21" t="s">
        <v>34</v>
      </c>
      <c r="E31357" s="21" t="s">
        <v>35</v>
      </c>
      <c r="F31357">
        <v>10860213</v>
      </c>
      <c r="G31357" t="s">
        <v>17902</v>
      </c>
      <c r="H31357" s="21">
        <v>528.16999999999996</v>
      </c>
    </row>
    <row r="31358" spans="1:8" customFormat="1" x14ac:dyDescent="0.25">
      <c r="A31358" t="str">
        <f>"445715"</f>
        <v>445715</v>
      </c>
      <c r="B31358" t="s">
        <v>15198</v>
      </c>
      <c r="C31358" t="s">
        <v>23849</v>
      </c>
      <c r="D31358" s="21" t="s">
        <v>34</v>
      </c>
      <c r="E31358" s="21" t="s">
        <v>1089</v>
      </c>
      <c r="F31358">
        <v>12440166</v>
      </c>
      <c r="G31358" t="s">
        <v>4031</v>
      </c>
      <c r="H31358" s="21">
        <v>528.16999999999996</v>
      </c>
    </row>
    <row r="31359" spans="1:8" customFormat="1" x14ac:dyDescent="0.25">
      <c r="A31359" t="str">
        <f>"5319101"</f>
        <v>5319101</v>
      </c>
      <c r="B31359" t="s">
        <v>16057</v>
      </c>
      <c r="C31359" t="s">
        <v>598</v>
      </c>
      <c r="D31359" s="21" t="s">
        <v>34</v>
      </c>
      <c r="E31359" s="21" t="s">
        <v>254</v>
      </c>
      <c r="F31359">
        <v>12530058</v>
      </c>
      <c r="G31359" t="s">
        <v>3128</v>
      </c>
      <c r="H31359" s="21">
        <v>528.16999999999996</v>
      </c>
    </row>
    <row r="31360" spans="1:8" customFormat="1" x14ac:dyDescent="0.25">
      <c r="A31360" t="str">
        <f>"2111006"</f>
        <v>2111006</v>
      </c>
      <c r="B31360" t="s">
        <v>2023</v>
      </c>
      <c r="C31360" t="s">
        <v>236</v>
      </c>
      <c r="D31360" s="21" t="s">
        <v>34</v>
      </c>
      <c r="E31360" s="21" t="s">
        <v>254</v>
      </c>
      <c r="F31360">
        <v>2210101</v>
      </c>
      <c r="G31360" t="s">
        <v>1374</v>
      </c>
      <c r="H31360" s="21">
        <v>528.16999999999996</v>
      </c>
    </row>
    <row r="31361" spans="1:8" customFormat="1" x14ac:dyDescent="0.25">
      <c r="A31361" t="str">
        <f>"813602"</f>
        <v>813602</v>
      </c>
      <c r="B31361" t="s">
        <v>19023</v>
      </c>
      <c r="C31361" t="s">
        <v>415</v>
      </c>
      <c r="D31361" s="21" t="s">
        <v>34</v>
      </c>
      <c r="E31361" s="21" t="s">
        <v>1089</v>
      </c>
      <c r="F31361">
        <v>11810003</v>
      </c>
      <c r="G31361" t="s">
        <v>1934</v>
      </c>
      <c r="H31361" s="21">
        <v>528.16999999999996</v>
      </c>
    </row>
    <row r="31362" spans="1:8" customFormat="1" x14ac:dyDescent="0.25">
      <c r="A31362" t="str">
        <f>"4416692"</f>
        <v>4416692</v>
      </c>
      <c r="B31362" t="s">
        <v>2954</v>
      </c>
      <c r="C31362" t="s">
        <v>1665</v>
      </c>
      <c r="D31362" s="21" t="s">
        <v>34</v>
      </c>
      <c r="E31362" s="21" t="s">
        <v>71</v>
      </c>
      <c r="F31362">
        <v>12440136</v>
      </c>
      <c r="G31362" t="s">
        <v>3271</v>
      </c>
      <c r="H31362" s="21">
        <v>528.16999999999996</v>
      </c>
    </row>
    <row r="31363" spans="1:8" customFormat="1" x14ac:dyDescent="0.25">
      <c r="A31363" t="str">
        <f>"3532007"</f>
        <v>3532007</v>
      </c>
      <c r="B31363" t="s">
        <v>21183</v>
      </c>
      <c r="C31363" t="s">
        <v>781</v>
      </c>
      <c r="D31363" s="21" t="s">
        <v>34</v>
      </c>
      <c r="E31363" s="21" t="s">
        <v>71</v>
      </c>
      <c r="F31363">
        <v>3350217</v>
      </c>
      <c r="G31363" t="s">
        <v>6797</v>
      </c>
      <c r="H31363" s="21">
        <v>528.16999999999996</v>
      </c>
    </row>
    <row r="31364" spans="1:8" customFormat="1" x14ac:dyDescent="0.25">
      <c r="A31364" t="str">
        <f>"089679"</f>
        <v>089679</v>
      </c>
      <c r="B31364" t="s">
        <v>146</v>
      </c>
      <c r="C31364" t="s">
        <v>4267</v>
      </c>
      <c r="D31364" s="21" t="s">
        <v>34</v>
      </c>
      <c r="E31364" s="21" t="s">
        <v>71</v>
      </c>
      <c r="F31364">
        <v>6080072</v>
      </c>
      <c r="G31364" t="s">
        <v>6765</v>
      </c>
      <c r="H31364" s="21">
        <v>528.16999999999996</v>
      </c>
    </row>
    <row r="31365" spans="1:8" customFormat="1" x14ac:dyDescent="0.25">
      <c r="A31365" t="str">
        <f>"667976"</f>
        <v>667976</v>
      </c>
      <c r="B31365" t="s">
        <v>22070</v>
      </c>
      <c r="C31365" t="s">
        <v>1597</v>
      </c>
      <c r="D31365" s="21" t="s">
        <v>34</v>
      </c>
      <c r="E31365" s="21" t="s">
        <v>1089</v>
      </c>
      <c r="F31365">
        <v>11660040</v>
      </c>
      <c r="G31365" t="s">
        <v>17413</v>
      </c>
      <c r="H31365" s="21">
        <v>528.16999999999996</v>
      </c>
    </row>
    <row r="31366" spans="1:8" customFormat="1" x14ac:dyDescent="0.25">
      <c r="A31366" t="str">
        <f>"7724728"</f>
        <v>7724728</v>
      </c>
      <c r="B31366" t="s">
        <v>22550</v>
      </c>
      <c r="C31366" t="s">
        <v>239</v>
      </c>
      <c r="D31366" s="21" t="s">
        <v>34</v>
      </c>
      <c r="E31366" s="21" t="s">
        <v>71</v>
      </c>
      <c r="F31366">
        <v>8771085</v>
      </c>
      <c r="G31366" t="s">
        <v>11894</v>
      </c>
      <c r="H31366" s="21">
        <v>528.16999999999996</v>
      </c>
    </row>
    <row r="31367" spans="1:8" customFormat="1" x14ac:dyDescent="0.25">
      <c r="A31367" t="str">
        <f>"879319"</f>
        <v>879319</v>
      </c>
      <c r="B31367" t="s">
        <v>22578</v>
      </c>
      <c r="C31367" t="s">
        <v>33</v>
      </c>
      <c r="D31367" s="21" t="s">
        <v>34</v>
      </c>
      <c r="E31367" s="21" t="s">
        <v>35</v>
      </c>
      <c r="F31367">
        <v>10870110</v>
      </c>
      <c r="G31367" t="s">
        <v>5888</v>
      </c>
      <c r="H31367" s="21">
        <v>528.16999999999996</v>
      </c>
    </row>
    <row r="31368" spans="1:8" customFormat="1" x14ac:dyDescent="0.25">
      <c r="A31368" t="str">
        <f>"4510499"</f>
        <v>4510499</v>
      </c>
      <c r="B31368" t="s">
        <v>4926</v>
      </c>
      <c r="C31368" t="s">
        <v>55</v>
      </c>
      <c r="D31368" s="21" t="s">
        <v>34</v>
      </c>
      <c r="E31368" s="21" t="s">
        <v>35</v>
      </c>
      <c r="F31368">
        <v>4450712</v>
      </c>
      <c r="G31368" t="s">
        <v>9449</v>
      </c>
      <c r="H31368" s="21">
        <v>528.16999999999996</v>
      </c>
    </row>
    <row r="31369" spans="1:8" customFormat="1" x14ac:dyDescent="0.25">
      <c r="A31369" t="str">
        <f>"2815013"</f>
        <v>2815013</v>
      </c>
      <c r="B31369" t="s">
        <v>22099</v>
      </c>
      <c r="C31369" t="s">
        <v>82</v>
      </c>
      <c r="D31369" s="21" t="s">
        <v>34</v>
      </c>
      <c r="E31369" s="21" t="s">
        <v>35</v>
      </c>
      <c r="F31369">
        <v>4280045</v>
      </c>
      <c r="G31369" t="s">
        <v>787</v>
      </c>
      <c r="H31369" s="21">
        <v>528.16999999999996</v>
      </c>
    </row>
    <row r="31370" spans="1:8" customFormat="1" x14ac:dyDescent="0.25">
      <c r="A31370" t="str">
        <f>"686165"</f>
        <v>686165</v>
      </c>
      <c r="B31370" t="s">
        <v>20642</v>
      </c>
      <c r="C31370" t="s">
        <v>288</v>
      </c>
      <c r="D31370" s="21" t="s">
        <v>34</v>
      </c>
      <c r="E31370" s="21" t="s">
        <v>71</v>
      </c>
      <c r="F31370">
        <v>6680120</v>
      </c>
      <c r="G31370" t="s">
        <v>11122</v>
      </c>
      <c r="H31370" s="21">
        <v>528.16999999999996</v>
      </c>
    </row>
    <row r="31371" spans="1:8" customFormat="1" x14ac:dyDescent="0.25">
      <c r="A31371" t="str">
        <f>"4431294"</f>
        <v>4431294</v>
      </c>
      <c r="B31371" t="s">
        <v>23445</v>
      </c>
      <c r="C31371" t="s">
        <v>206</v>
      </c>
      <c r="D31371" s="21" t="s">
        <v>34</v>
      </c>
      <c r="E31371" s="21" t="s">
        <v>35</v>
      </c>
      <c r="F31371">
        <v>12440059</v>
      </c>
      <c r="G31371" t="s">
        <v>6697</v>
      </c>
      <c r="H31371" s="21">
        <v>528.16999999999996</v>
      </c>
    </row>
    <row r="31372" spans="1:8" customFormat="1" x14ac:dyDescent="0.25">
      <c r="A31372" t="str">
        <f>"153911"</f>
        <v>153911</v>
      </c>
      <c r="B31372" t="s">
        <v>22696</v>
      </c>
      <c r="C31372" t="s">
        <v>1665</v>
      </c>
      <c r="D31372" s="21" t="s">
        <v>34</v>
      </c>
      <c r="E31372" s="21" t="s">
        <v>71</v>
      </c>
      <c r="F31372">
        <v>1150306</v>
      </c>
      <c r="G31372" t="s">
        <v>14324</v>
      </c>
      <c r="H31372" s="21">
        <v>528.16999999999996</v>
      </c>
    </row>
    <row r="31373" spans="1:8" customFormat="1" x14ac:dyDescent="0.25">
      <c r="A31373" t="str">
        <f>"3012423"</f>
        <v>3012423</v>
      </c>
      <c r="B31373" t="s">
        <v>21793</v>
      </c>
      <c r="C31373" t="s">
        <v>825</v>
      </c>
      <c r="D31373" s="21" t="s">
        <v>34</v>
      </c>
      <c r="E31373" s="21" t="s">
        <v>35</v>
      </c>
      <c r="F31373">
        <v>11300010</v>
      </c>
      <c r="G31373" t="s">
        <v>6282</v>
      </c>
      <c r="H31373" s="21">
        <v>528.16999999999996</v>
      </c>
    </row>
    <row r="31374" spans="1:8" customFormat="1" x14ac:dyDescent="0.25">
      <c r="A31374" t="str">
        <f>"8615274"</f>
        <v>8615274</v>
      </c>
      <c r="B31374" t="s">
        <v>4560</v>
      </c>
      <c r="C31374" t="s">
        <v>119</v>
      </c>
      <c r="D31374" s="21" t="s">
        <v>34</v>
      </c>
      <c r="E31374" s="21" t="s">
        <v>35</v>
      </c>
      <c r="F31374">
        <v>10860193</v>
      </c>
      <c r="G31374" t="s">
        <v>1603</v>
      </c>
      <c r="H31374" s="21">
        <v>528.12</v>
      </c>
    </row>
    <row r="31375" spans="1:8" customFormat="1" x14ac:dyDescent="0.25">
      <c r="A31375" t="str">
        <f>"992415"</f>
        <v>992415</v>
      </c>
      <c r="B31375" t="s">
        <v>28355</v>
      </c>
      <c r="C31375" t="s">
        <v>169</v>
      </c>
      <c r="D31375" s="21" t="s">
        <v>34</v>
      </c>
      <c r="E31375" s="21" t="s">
        <v>35</v>
      </c>
      <c r="F31375">
        <v>5990014</v>
      </c>
      <c r="G31375" t="s">
        <v>11225</v>
      </c>
      <c r="H31375" s="21">
        <v>528.12</v>
      </c>
    </row>
    <row r="31376" spans="1:8" customFormat="1" x14ac:dyDescent="0.25">
      <c r="A31376" t="str">
        <f>"648477"</f>
        <v>648477</v>
      </c>
      <c r="B31376" t="s">
        <v>24285</v>
      </c>
      <c r="C31376" t="s">
        <v>130</v>
      </c>
      <c r="D31376" s="21" t="s">
        <v>34</v>
      </c>
      <c r="E31376" s="21" t="s">
        <v>71</v>
      </c>
      <c r="F31376">
        <v>10640004</v>
      </c>
      <c r="G31376" t="s">
        <v>26618</v>
      </c>
      <c r="H31376" s="21">
        <v>528.04</v>
      </c>
    </row>
    <row r="31377" spans="1:8" customFormat="1" x14ac:dyDescent="0.25">
      <c r="A31377" t="str">
        <f>"9144870"</f>
        <v>9144870</v>
      </c>
      <c r="B31377" t="s">
        <v>2598</v>
      </c>
      <c r="C31377" t="s">
        <v>621</v>
      </c>
      <c r="D31377" s="21" t="s">
        <v>34</v>
      </c>
      <c r="E31377" s="21" t="s">
        <v>71</v>
      </c>
      <c r="F31377">
        <v>8910881</v>
      </c>
      <c r="G31377" t="s">
        <v>1300</v>
      </c>
      <c r="H31377" s="21">
        <v>528</v>
      </c>
    </row>
    <row r="31378" spans="1:8" customFormat="1" x14ac:dyDescent="0.25">
      <c r="A31378" t="str">
        <f>"228237"</f>
        <v>228237</v>
      </c>
      <c r="B31378" t="s">
        <v>146</v>
      </c>
      <c r="C31378" t="s">
        <v>87</v>
      </c>
      <c r="D31378" s="21" t="s">
        <v>34</v>
      </c>
      <c r="E31378" s="21" t="s">
        <v>71</v>
      </c>
      <c r="F31378">
        <v>3220129</v>
      </c>
      <c r="G31378" t="s">
        <v>16580</v>
      </c>
      <c r="H31378" s="21">
        <v>528</v>
      </c>
    </row>
    <row r="31379" spans="1:8" customFormat="1" x14ac:dyDescent="0.25">
      <c r="A31379" t="str">
        <f>"6950688"</f>
        <v>6950688</v>
      </c>
      <c r="B31379" t="s">
        <v>28356</v>
      </c>
      <c r="C31379" t="s">
        <v>233</v>
      </c>
      <c r="D31379" s="21" t="s">
        <v>34</v>
      </c>
      <c r="E31379" s="21" t="s">
        <v>71</v>
      </c>
      <c r="F31379">
        <v>1690002</v>
      </c>
      <c r="G31379" t="s">
        <v>5604</v>
      </c>
      <c r="H31379" s="21">
        <v>528</v>
      </c>
    </row>
    <row r="31380" spans="1:8" customFormat="1" x14ac:dyDescent="0.25">
      <c r="A31380" t="str">
        <f>"758689"</f>
        <v>758689</v>
      </c>
      <c r="B31380" t="s">
        <v>28357</v>
      </c>
      <c r="C31380" t="s">
        <v>269</v>
      </c>
      <c r="D31380" s="21" t="s">
        <v>34</v>
      </c>
      <c r="E31380" s="21" t="s">
        <v>71</v>
      </c>
      <c r="F31380">
        <v>8770169</v>
      </c>
      <c r="G31380" t="s">
        <v>1001</v>
      </c>
      <c r="H31380" s="21">
        <v>528</v>
      </c>
    </row>
    <row r="31381" spans="1:8" customFormat="1" x14ac:dyDescent="0.25">
      <c r="A31381" t="str">
        <f>"5969869"</f>
        <v>5969869</v>
      </c>
      <c r="B31381" t="s">
        <v>3703</v>
      </c>
      <c r="C31381" t="s">
        <v>124</v>
      </c>
      <c r="D31381" s="21" t="s">
        <v>34</v>
      </c>
      <c r="E31381" s="21" t="s">
        <v>254</v>
      </c>
      <c r="F31381">
        <v>11320027</v>
      </c>
      <c r="G31381" t="s">
        <v>8305</v>
      </c>
      <c r="H31381" s="21">
        <v>528</v>
      </c>
    </row>
    <row r="31382" spans="1:8" customFormat="1" x14ac:dyDescent="0.25">
      <c r="A31382" t="str">
        <f>"4925670"</f>
        <v>4925670</v>
      </c>
      <c r="B31382" t="s">
        <v>18886</v>
      </c>
      <c r="C31382" t="s">
        <v>598</v>
      </c>
      <c r="D31382" s="21" t="s">
        <v>34</v>
      </c>
      <c r="E31382" s="21" t="s">
        <v>71</v>
      </c>
      <c r="F31382">
        <v>12490098</v>
      </c>
      <c r="G31382" t="s">
        <v>2670</v>
      </c>
      <c r="H31382" s="21">
        <v>528</v>
      </c>
    </row>
    <row r="31383" spans="1:8" customFormat="1" x14ac:dyDescent="0.25">
      <c r="A31383" t="str">
        <f>"1311738"</f>
        <v>1311738</v>
      </c>
      <c r="B31383" t="s">
        <v>28358</v>
      </c>
      <c r="C31383" t="s">
        <v>656</v>
      </c>
      <c r="D31383" s="21" t="s">
        <v>34</v>
      </c>
      <c r="E31383" s="21" t="s">
        <v>35</v>
      </c>
      <c r="F31383">
        <v>13130022</v>
      </c>
      <c r="G31383" t="s">
        <v>2666</v>
      </c>
      <c r="H31383" s="21">
        <v>528</v>
      </c>
    </row>
    <row r="31384" spans="1:8" customFormat="1" x14ac:dyDescent="0.25">
      <c r="A31384" t="str">
        <f>"5616283"</f>
        <v>5616283</v>
      </c>
      <c r="B31384" t="s">
        <v>28359</v>
      </c>
      <c r="C31384" t="s">
        <v>239</v>
      </c>
      <c r="D31384" s="21" t="s">
        <v>34</v>
      </c>
      <c r="E31384" s="21" t="s">
        <v>254</v>
      </c>
      <c r="F31384">
        <v>3560012</v>
      </c>
      <c r="G31384" t="s">
        <v>3857</v>
      </c>
      <c r="H31384" s="21">
        <v>528</v>
      </c>
    </row>
    <row r="31385" spans="1:8" customFormat="1" x14ac:dyDescent="0.25">
      <c r="A31385" t="str">
        <f>"7838011"</f>
        <v>7838011</v>
      </c>
      <c r="B31385" t="s">
        <v>6462</v>
      </c>
      <c r="C31385" t="s">
        <v>156</v>
      </c>
      <c r="D31385" s="21" t="s">
        <v>34</v>
      </c>
      <c r="E31385" s="21" t="s">
        <v>254</v>
      </c>
      <c r="F31385">
        <v>8781469</v>
      </c>
      <c r="G31385" t="s">
        <v>4779</v>
      </c>
      <c r="H31385" s="21">
        <v>528</v>
      </c>
    </row>
    <row r="31386" spans="1:8" customFormat="1" x14ac:dyDescent="0.25">
      <c r="A31386" t="str">
        <f>"168091"</f>
        <v>168091</v>
      </c>
      <c r="B31386" t="s">
        <v>20253</v>
      </c>
      <c r="C31386" t="s">
        <v>209</v>
      </c>
      <c r="D31386" s="21" t="s">
        <v>34</v>
      </c>
      <c r="E31386" s="21" t="s">
        <v>35</v>
      </c>
      <c r="F31386">
        <v>10160232</v>
      </c>
      <c r="G31386" t="s">
        <v>2882</v>
      </c>
      <c r="H31386" s="21">
        <v>528</v>
      </c>
    </row>
    <row r="31387" spans="1:8" customFormat="1" x14ac:dyDescent="0.25">
      <c r="A31387" t="str">
        <f>"039105"</f>
        <v>039105</v>
      </c>
      <c r="B31387" t="s">
        <v>146</v>
      </c>
      <c r="C31387" t="s">
        <v>33</v>
      </c>
      <c r="D31387" s="21" t="s">
        <v>34</v>
      </c>
      <c r="E31387" s="21" t="s">
        <v>35</v>
      </c>
      <c r="F31387">
        <v>1030128</v>
      </c>
      <c r="G31387" t="s">
        <v>7355</v>
      </c>
      <c r="H31387" s="21">
        <v>528</v>
      </c>
    </row>
    <row r="31388" spans="1:8" customFormat="1" x14ac:dyDescent="0.25">
      <c r="A31388" t="str">
        <f>"2940164"</f>
        <v>2940164</v>
      </c>
      <c r="B31388" t="s">
        <v>4589</v>
      </c>
      <c r="C31388" t="s">
        <v>87</v>
      </c>
      <c r="D31388" s="21" t="s">
        <v>34</v>
      </c>
      <c r="E31388" s="21" t="s">
        <v>71</v>
      </c>
      <c r="F31388">
        <v>3290263</v>
      </c>
      <c r="G31388" t="s">
        <v>4108</v>
      </c>
      <c r="H31388" s="21">
        <v>528</v>
      </c>
    </row>
    <row r="31389" spans="1:8" customFormat="1" x14ac:dyDescent="0.25">
      <c r="A31389" t="str">
        <f>"7877628"</f>
        <v>7877628</v>
      </c>
      <c r="B31389" t="s">
        <v>12486</v>
      </c>
      <c r="C31389" t="s">
        <v>249</v>
      </c>
      <c r="D31389" s="21" t="s">
        <v>34</v>
      </c>
      <c r="E31389" s="21" t="s">
        <v>35</v>
      </c>
      <c r="F31389">
        <v>8781266</v>
      </c>
      <c r="G31389" t="s">
        <v>26704</v>
      </c>
      <c r="H31389" s="21">
        <v>528</v>
      </c>
    </row>
    <row r="31390" spans="1:8" customFormat="1" x14ac:dyDescent="0.25">
      <c r="A31390" t="str">
        <f>"4422679"</f>
        <v>4422679</v>
      </c>
      <c r="B31390" t="s">
        <v>20630</v>
      </c>
      <c r="C31390" t="s">
        <v>65</v>
      </c>
      <c r="D31390" s="21" t="s">
        <v>34</v>
      </c>
      <c r="E31390" s="21" t="s">
        <v>71</v>
      </c>
      <c r="F31390">
        <v>12440074</v>
      </c>
      <c r="G31390" t="s">
        <v>2436</v>
      </c>
      <c r="H31390" s="21">
        <v>527.91999999999996</v>
      </c>
    </row>
    <row r="31391" spans="1:8" customFormat="1" x14ac:dyDescent="0.25">
      <c r="A31391" t="str">
        <f>"3331173"</f>
        <v>3331173</v>
      </c>
      <c r="B31391" t="s">
        <v>19911</v>
      </c>
      <c r="C31391" t="s">
        <v>253</v>
      </c>
      <c r="D31391" s="21" t="s">
        <v>34</v>
      </c>
      <c r="E31391" s="21" t="s">
        <v>254</v>
      </c>
      <c r="F31391">
        <v>10330099</v>
      </c>
      <c r="G31391" t="s">
        <v>10670</v>
      </c>
      <c r="H31391" s="21">
        <v>527.91999999999996</v>
      </c>
    </row>
    <row r="31392" spans="1:8" customFormat="1" x14ac:dyDescent="0.25">
      <c r="A31392" t="str">
        <f>"4529841"</f>
        <v>4529841</v>
      </c>
      <c r="B31392" t="s">
        <v>2726</v>
      </c>
      <c r="C31392" t="s">
        <v>320</v>
      </c>
      <c r="D31392" s="21" t="s">
        <v>34</v>
      </c>
      <c r="E31392" s="21" t="s">
        <v>35</v>
      </c>
      <c r="F31392">
        <v>4450762</v>
      </c>
      <c r="G31392" t="s">
        <v>8632</v>
      </c>
      <c r="H31392" s="21">
        <v>527.91999999999996</v>
      </c>
    </row>
    <row r="31393" spans="1:8" customFormat="1" x14ac:dyDescent="0.25">
      <c r="A31393" t="str">
        <f>"226686"</f>
        <v>226686</v>
      </c>
      <c r="B31393" t="s">
        <v>21357</v>
      </c>
      <c r="C31393" t="s">
        <v>171</v>
      </c>
      <c r="D31393" s="21" t="s">
        <v>34</v>
      </c>
      <c r="E31393" s="21" t="s">
        <v>254</v>
      </c>
      <c r="F31393">
        <v>3220132</v>
      </c>
      <c r="G31393" t="s">
        <v>27242</v>
      </c>
      <c r="H31393" s="21">
        <v>527.66999999999996</v>
      </c>
    </row>
    <row r="31394" spans="1:8" customFormat="1" x14ac:dyDescent="0.25">
      <c r="A31394" t="str">
        <f>"5936183"</f>
        <v>5936183</v>
      </c>
      <c r="B31394" t="s">
        <v>22785</v>
      </c>
      <c r="C31394" t="s">
        <v>1914</v>
      </c>
      <c r="D31394" s="21" t="s">
        <v>34</v>
      </c>
      <c r="E31394" s="21" t="s">
        <v>254</v>
      </c>
      <c r="F31394">
        <v>7590080</v>
      </c>
      <c r="G31394" t="s">
        <v>1715</v>
      </c>
      <c r="H31394" s="21">
        <v>527.66999999999996</v>
      </c>
    </row>
    <row r="31395" spans="1:8" customFormat="1" x14ac:dyDescent="0.25">
      <c r="A31395" t="str">
        <f>"9138469"</f>
        <v>9138469</v>
      </c>
      <c r="B31395" t="s">
        <v>14666</v>
      </c>
      <c r="C31395" t="s">
        <v>233</v>
      </c>
      <c r="D31395" s="21" t="s">
        <v>34</v>
      </c>
      <c r="E31395" s="21" t="s">
        <v>71</v>
      </c>
      <c r="F31395">
        <v>8910285</v>
      </c>
      <c r="G31395" t="s">
        <v>26604</v>
      </c>
      <c r="H31395" s="21">
        <v>527.66999999999996</v>
      </c>
    </row>
    <row r="31396" spans="1:8" customFormat="1" x14ac:dyDescent="0.25">
      <c r="A31396" t="str">
        <f>"3517668"</f>
        <v>3517668</v>
      </c>
      <c r="B31396" t="s">
        <v>6766</v>
      </c>
      <c r="C31396" t="s">
        <v>21907</v>
      </c>
      <c r="D31396" s="21" t="s">
        <v>34</v>
      </c>
      <c r="E31396" s="21" t="s">
        <v>71</v>
      </c>
      <c r="F31396">
        <v>3350045</v>
      </c>
      <c r="G31396" t="s">
        <v>13569</v>
      </c>
      <c r="H31396" s="21">
        <v>527.66999999999996</v>
      </c>
    </row>
    <row r="31397" spans="1:8" customFormat="1" x14ac:dyDescent="0.25">
      <c r="A31397" t="str">
        <f>"4920397"</f>
        <v>4920397</v>
      </c>
      <c r="B31397" t="s">
        <v>2425</v>
      </c>
      <c r="C31397" t="s">
        <v>2786</v>
      </c>
      <c r="D31397" s="21" t="s">
        <v>34</v>
      </c>
      <c r="E31397" s="21" t="s">
        <v>35</v>
      </c>
      <c r="F31397">
        <v>12440031</v>
      </c>
      <c r="G31397" t="s">
        <v>3603</v>
      </c>
      <c r="H31397" s="21">
        <v>527.66999999999996</v>
      </c>
    </row>
    <row r="31398" spans="1:8" customFormat="1" x14ac:dyDescent="0.25">
      <c r="A31398" t="str">
        <f>"85522"</f>
        <v>85522</v>
      </c>
      <c r="B31398" t="s">
        <v>21096</v>
      </c>
      <c r="C31398" t="s">
        <v>2479</v>
      </c>
      <c r="D31398" s="21" t="s">
        <v>34</v>
      </c>
      <c r="E31398" s="21" t="s">
        <v>1089</v>
      </c>
      <c r="F31398">
        <v>12850016</v>
      </c>
      <c r="G31398" t="s">
        <v>26554</v>
      </c>
      <c r="H31398" s="21">
        <v>527.66999999999996</v>
      </c>
    </row>
    <row r="31399" spans="1:8" customFormat="1" x14ac:dyDescent="0.25">
      <c r="A31399" t="str">
        <f>"629619"</f>
        <v>629619</v>
      </c>
      <c r="B31399" t="s">
        <v>2630</v>
      </c>
      <c r="C31399" t="s">
        <v>415</v>
      </c>
      <c r="D31399" s="21" t="s">
        <v>34</v>
      </c>
      <c r="E31399" s="21" t="s">
        <v>254</v>
      </c>
      <c r="F31399">
        <v>7620143</v>
      </c>
      <c r="G31399" t="s">
        <v>8762</v>
      </c>
      <c r="H31399" s="21">
        <v>527.66999999999996</v>
      </c>
    </row>
    <row r="31400" spans="1:8" customFormat="1" x14ac:dyDescent="0.25">
      <c r="A31400" t="str">
        <f>"064402"</f>
        <v>064402</v>
      </c>
      <c r="B31400" t="s">
        <v>28360</v>
      </c>
      <c r="C31400" t="s">
        <v>28361</v>
      </c>
      <c r="D31400" s="21" t="s">
        <v>34</v>
      </c>
      <c r="E31400" s="21" t="s">
        <v>71</v>
      </c>
      <c r="F31400">
        <v>13060111</v>
      </c>
      <c r="G31400" t="s">
        <v>26647</v>
      </c>
      <c r="H31400" s="21">
        <v>527.66999999999996</v>
      </c>
    </row>
    <row r="31401" spans="1:8" customFormat="1" x14ac:dyDescent="0.25">
      <c r="A31401" t="str">
        <f>"3532066"</f>
        <v>3532066</v>
      </c>
      <c r="B31401" t="s">
        <v>20149</v>
      </c>
      <c r="C31401" t="s">
        <v>169</v>
      </c>
      <c r="D31401" s="21" t="s">
        <v>34</v>
      </c>
      <c r="E31401" s="21" t="s">
        <v>71</v>
      </c>
      <c r="F31401">
        <v>3350102</v>
      </c>
      <c r="G31401" t="s">
        <v>4942</v>
      </c>
      <c r="H31401" s="21">
        <v>527.66999999999996</v>
      </c>
    </row>
    <row r="31402" spans="1:8" customFormat="1" x14ac:dyDescent="0.25">
      <c r="A31402" t="str">
        <f>"068931"</f>
        <v>068931</v>
      </c>
      <c r="B31402" t="s">
        <v>21199</v>
      </c>
      <c r="C31402" t="s">
        <v>269</v>
      </c>
      <c r="D31402" s="21" t="s">
        <v>34</v>
      </c>
      <c r="E31402" s="21" t="s">
        <v>71</v>
      </c>
      <c r="F31402">
        <v>10330086</v>
      </c>
      <c r="G31402" t="s">
        <v>785</v>
      </c>
      <c r="H31402" s="21">
        <v>527.66999999999996</v>
      </c>
    </row>
    <row r="31403" spans="1:8" customFormat="1" x14ac:dyDescent="0.25">
      <c r="A31403" t="str">
        <f>"5967797"</f>
        <v>5967797</v>
      </c>
      <c r="B31403" t="s">
        <v>11245</v>
      </c>
      <c r="C31403" t="s">
        <v>98</v>
      </c>
      <c r="D31403" s="21" t="s">
        <v>34</v>
      </c>
      <c r="E31403" s="21" t="s">
        <v>35</v>
      </c>
      <c r="F31403">
        <v>7590005</v>
      </c>
      <c r="G31403" t="s">
        <v>540</v>
      </c>
      <c r="H31403" s="21">
        <v>527.66999999999996</v>
      </c>
    </row>
    <row r="31404" spans="1:8" customFormat="1" x14ac:dyDescent="0.25">
      <c r="A31404" t="str">
        <f>"7856392"</f>
        <v>7856392</v>
      </c>
      <c r="B31404" t="s">
        <v>7544</v>
      </c>
      <c r="C31404" t="s">
        <v>267</v>
      </c>
      <c r="D31404" s="21" t="s">
        <v>34</v>
      </c>
      <c r="E31404" s="21" t="s">
        <v>254</v>
      </c>
      <c r="F31404">
        <v>8780902</v>
      </c>
      <c r="G31404" t="s">
        <v>6390</v>
      </c>
      <c r="H31404" s="21">
        <v>527.66999999999996</v>
      </c>
    </row>
    <row r="31405" spans="1:8" customFormat="1" x14ac:dyDescent="0.25">
      <c r="A31405" t="str">
        <f>"3117424"</f>
        <v>3117424</v>
      </c>
      <c r="B31405" t="s">
        <v>13472</v>
      </c>
      <c r="C31405" t="s">
        <v>2520</v>
      </c>
      <c r="D31405" s="21" t="s">
        <v>34</v>
      </c>
      <c r="E31405" s="21" t="s">
        <v>71</v>
      </c>
      <c r="F31405">
        <v>11310005</v>
      </c>
      <c r="G31405" t="s">
        <v>6980</v>
      </c>
      <c r="H31405" s="21">
        <v>527.66999999999996</v>
      </c>
    </row>
    <row r="31406" spans="1:8" customFormat="1" x14ac:dyDescent="0.25">
      <c r="A31406" t="str">
        <f>"9455186"</f>
        <v>9455186</v>
      </c>
      <c r="B31406" t="s">
        <v>3978</v>
      </c>
      <c r="C31406" t="s">
        <v>1132</v>
      </c>
      <c r="D31406" s="21" t="s">
        <v>34</v>
      </c>
      <c r="E31406" s="21" t="s">
        <v>1089</v>
      </c>
      <c r="F31406">
        <v>8940455</v>
      </c>
      <c r="G31406" t="s">
        <v>7944</v>
      </c>
      <c r="H31406" s="21">
        <v>527.66999999999996</v>
      </c>
    </row>
    <row r="31407" spans="1:8" customFormat="1" x14ac:dyDescent="0.25">
      <c r="A31407" t="str">
        <f>"6110104"</f>
        <v>6110104</v>
      </c>
      <c r="B31407" t="s">
        <v>9585</v>
      </c>
      <c r="C31407" t="s">
        <v>269</v>
      </c>
      <c r="D31407" s="21" t="s">
        <v>34</v>
      </c>
      <c r="E31407" s="21" t="s">
        <v>71</v>
      </c>
      <c r="F31407">
        <v>9610101</v>
      </c>
      <c r="G31407" t="s">
        <v>3969</v>
      </c>
      <c r="H31407" s="21">
        <v>527.66999999999996</v>
      </c>
    </row>
    <row r="31408" spans="1:8" customFormat="1" x14ac:dyDescent="0.25">
      <c r="A31408" t="str">
        <f>"2936910"</f>
        <v>2936910</v>
      </c>
      <c r="B31408" t="s">
        <v>3646</v>
      </c>
      <c r="C31408" t="s">
        <v>926</v>
      </c>
      <c r="D31408" s="21" t="s">
        <v>34</v>
      </c>
      <c r="E31408" s="21" t="s">
        <v>35</v>
      </c>
      <c r="F31408">
        <v>3290281</v>
      </c>
      <c r="G31408" t="s">
        <v>11077</v>
      </c>
      <c r="H31408" s="21">
        <v>527.66999999999996</v>
      </c>
    </row>
    <row r="31409" spans="1:8" customFormat="1" x14ac:dyDescent="0.25">
      <c r="A31409" t="str">
        <f>"4417342"</f>
        <v>4417342</v>
      </c>
      <c r="B31409" t="s">
        <v>4987</v>
      </c>
      <c r="C31409" t="s">
        <v>269</v>
      </c>
      <c r="D31409" s="21" t="s">
        <v>34</v>
      </c>
      <c r="E31409" s="21" t="s">
        <v>35</v>
      </c>
      <c r="F31409">
        <v>12850131</v>
      </c>
      <c r="G31409" t="s">
        <v>4392</v>
      </c>
      <c r="H31409" s="21">
        <v>527.66999999999996</v>
      </c>
    </row>
    <row r="31410" spans="1:8" customFormat="1" x14ac:dyDescent="0.25">
      <c r="A31410" t="str">
        <f>"794356"</f>
        <v>794356</v>
      </c>
      <c r="B31410" t="s">
        <v>9535</v>
      </c>
      <c r="C31410" t="s">
        <v>1072</v>
      </c>
      <c r="D31410" s="21" t="s">
        <v>34</v>
      </c>
      <c r="E31410" s="21" t="s">
        <v>254</v>
      </c>
      <c r="F31410">
        <v>10790025</v>
      </c>
      <c r="G31410" t="s">
        <v>1218</v>
      </c>
      <c r="H31410" s="21">
        <v>527.66999999999996</v>
      </c>
    </row>
    <row r="31411" spans="1:8" customFormat="1" x14ac:dyDescent="0.25">
      <c r="A31411" t="str">
        <f>"188078"</f>
        <v>188078</v>
      </c>
      <c r="B31411" t="s">
        <v>20917</v>
      </c>
      <c r="C31411" t="s">
        <v>249</v>
      </c>
      <c r="D31411" s="21" t="s">
        <v>34</v>
      </c>
      <c r="E31411" s="21" t="s">
        <v>35</v>
      </c>
      <c r="F31411">
        <v>4180729</v>
      </c>
      <c r="G31411" t="s">
        <v>15734</v>
      </c>
      <c r="H31411" s="21">
        <v>527.66999999999996</v>
      </c>
    </row>
    <row r="31412" spans="1:8" customFormat="1" x14ac:dyDescent="0.25">
      <c r="A31412" t="str">
        <f>"4441513"</f>
        <v>4441513</v>
      </c>
      <c r="B31412" t="s">
        <v>23433</v>
      </c>
      <c r="C31412" t="s">
        <v>249</v>
      </c>
      <c r="D31412" s="21" t="s">
        <v>34</v>
      </c>
      <c r="E31412" s="21" t="s">
        <v>71</v>
      </c>
      <c r="F31412">
        <v>12440138</v>
      </c>
      <c r="G31412" t="s">
        <v>562</v>
      </c>
      <c r="H31412" s="21">
        <v>527.66999999999996</v>
      </c>
    </row>
    <row r="31413" spans="1:8" customFormat="1" x14ac:dyDescent="0.25">
      <c r="A31413" t="str">
        <f>"9424539"</f>
        <v>9424539</v>
      </c>
      <c r="B31413" t="s">
        <v>20123</v>
      </c>
      <c r="C31413" t="s">
        <v>415</v>
      </c>
      <c r="D31413" s="21" t="s">
        <v>34</v>
      </c>
      <c r="E31413" s="21" t="s">
        <v>71</v>
      </c>
      <c r="F31413">
        <v>8940524</v>
      </c>
      <c r="G31413" t="s">
        <v>6176</v>
      </c>
      <c r="H31413" s="21">
        <v>527.66999999999996</v>
      </c>
    </row>
    <row r="31414" spans="1:8" customFormat="1" x14ac:dyDescent="0.25">
      <c r="A31414" t="str">
        <f>"3424814"</f>
        <v>3424814</v>
      </c>
      <c r="B31414" t="s">
        <v>2558</v>
      </c>
      <c r="C31414" t="s">
        <v>33</v>
      </c>
      <c r="D31414" s="21" t="s">
        <v>34</v>
      </c>
      <c r="E31414" s="21" t="s">
        <v>35</v>
      </c>
      <c r="F31414">
        <v>11340001</v>
      </c>
      <c r="G31414" t="s">
        <v>9248</v>
      </c>
      <c r="H31414" s="21">
        <v>527.66999999999996</v>
      </c>
    </row>
    <row r="31415" spans="1:8" customFormat="1" x14ac:dyDescent="0.25">
      <c r="A31415" t="str">
        <f>"905556"</f>
        <v>905556</v>
      </c>
      <c r="B31415" t="s">
        <v>20211</v>
      </c>
      <c r="C31415" t="s">
        <v>169</v>
      </c>
      <c r="D31415" s="21" t="s">
        <v>34</v>
      </c>
      <c r="E31415" s="21" t="s">
        <v>71</v>
      </c>
      <c r="F31415">
        <v>2900046</v>
      </c>
      <c r="G31415" t="s">
        <v>4101</v>
      </c>
      <c r="H31415" s="21">
        <v>527.54</v>
      </c>
    </row>
    <row r="31416" spans="1:8" customFormat="1" x14ac:dyDescent="0.25">
      <c r="A31416" t="str">
        <f>"5021080"</f>
        <v>5021080</v>
      </c>
      <c r="B31416" t="s">
        <v>10960</v>
      </c>
      <c r="C31416" t="s">
        <v>817</v>
      </c>
      <c r="D31416" s="21" t="s">
        <v>34</v>
      </c>
      <c r="E31416" s="21" t="s">
        <v>71</v>
      </c>
      <c r="F31416">
        <v>9500031</v>
      </c>
      <c r="G31416" t="s">
        <v>11126</v>
      </c>
      <c r="H31416" s="21">
        <v>527.5</v>
      </c>
    </row>
    <row r="31417" spans="1:8" customFormat="1" x14ac:dyDescent="0.25">
      <c r="A31417" t="str">
        <f>"0619284"</f>
        <v>0619284</v>
      </c>
      <c r="B31417" t="s">
        <v>24352</v>
      </c>
      <c r="C31417" t="s">
        <v>1588</v>
      </c>
      <c r="D31417" s="21" t="s">
        <v>34</v>
      </c>
      <c r="E31417" s="21" t="s">
        <v>35</v>
      </c>
      <c r="F31417">
        <v>13060119</v>
      </c>
      <c r="G31417" t="s">
        <v>6179</v>
      </c>
      <c r="H31417" s="21">
        <v>527.5</v>
      </c>
    </row>
    <row r="31418" spans="1:8" customFormat="1" x14ac:dyDescent="0.25">
      <c r="A31418" t="str">
        <f>"721077"</f>
        <v>721077</v>
      </c>
      <c r="B31418" t="s">
        <v>23879</v>
      </c>
      <c r="C31418" t="s">
        <v>249</v>
      </c>
      <c r="D31418" s="21" t="s">
        <v>34</v>
      </c>
      <c r="E31418" s="21" t="s">
        <v>71</v>
      </c>
      <c r="F31418">
        <v>12720041</v>
      </c>
      <c r="G31418" t="s">
        <v>4240</v>
      </c>
      <c r="H31418" s="21">
        <v>527.41999999999996</v>
      </c>
    </row>
    <row r="31419" spans="1:8" customFormat="1" x14ac:dyDescent="0.25">
      <c r="A31419" t="str">
        <f>"7642799"</f>
        <v>7642799</v>
      </c>
      <c r="B31419" t="s">
        <v>28362</v>
      </c>
      <c r="C31419" t="s">
        <v>328</v>
      </c>
      <c r="D31419" s="21" t="s">
        <v>34</v>
      </c>
      <c r="E31419" s="21" t="s">
        <v>71</v>
      </c>
      <c r="F31419">
        <v>9760025</v>
      </c>
      <c r="G31419" t="s">
        <v>2620</v>
      </c>
      <c r="H31419" s="21">
        <v>527.38</v>
      </c>
    </row>
    <row r="31420" spans="1:8" customFormat="1" x14ac:dyDescent="0.25">
      <c r="A31420" t="str">
        <f>"758918"</f>
        <v>758918</v>
      </c>
      <c r="B31420" t="s">
        <v>20788</v>
      </c>
      <c r="C31420" t="s">
        <v>60</v>
      </c>
      <c r="D31420" s="21" t="s">
        <v>34</v>
      </c>
      <c r="E31420" s="21" t="s">
        <v>35</v>
      </c>
      <c r="F31420">
        <v>8751124</v>
      </c>
      <c r="G31420" t="s">
        <v>1481</v>
      </c>
      <c r="H31420" s="21">
        <v>527.29</v>
      </c>
    </row>
    <row r="31421" spans="1:8" customFormat="1" x14ac:dyDescent="0.25">
      <c r="A31421" t="str">
        <f>"7222565"</f>
        <v>7222565</v>
      </c>
      <c r="B31421" t="s">
        <v>28363</v>
      </c>
      <c r="C31421" t="s">
        <v>130</v>
      </c>
      <c r="D31421" s="21" t="s">
        <v>34</v>
      </c>
      <c r="E31421" s="21" t="s">
        <v>71</v>
      </c>
      <c r="F31421">
        <v>12720008</v>
      </c>
      <c r="G31421" t="s">
        <v>753</v>
      </c>
      <c r="H31421" s="21">
        <v>527.25</v>
      </c>
    </row>
    <row r="31422" spans="1:8" customFormat="1" x14ac:dyDescent="0.25">
      <c r="A31422" t="str">
        <f>"7641434"</f>
        <v>7641434</v>
      </c>
      <c r="B31422" t="s">
        <v>21726</v>
      </c>
      <c r="C31422" t="s">
        <v>2479</v>
      </c>
      <c r="D31422" s="21" t="s">
        <v>34</v>
      </c>
      <c r="E31422" s="21" t="s">
        <v>71</v>
      </c>
      <c r="F31422">
        <v>9760291</v>
      </c>
      <c r="G31422" t="s">
        <v>26611</v>
      </c>
      <c r="H31422" s="21">
        <v>527.16999999999996</v>
      </c>
    </row>
    <row r="31423" spans="1:8" customFormat="1" x14ac:dyDescent="0.25">
      <c r="A31423" t="str">
        <f>"2216567"</f>
        <v>2216567</v>
      </c>
      <c r="B31423" t="s">
        <v>21358</v>
      </c>
      <c r="C31423" t="s">
        <v>269</v>
      </c>
      <c r="D31423" s="21" t="s">
        <v>34</v>
      </c>
      <c r="E31423" s="21" t="s">
        <v>71</v>
      </c>
      <c r="F31423">
        <v>3220128</v>
      </c>
      <c r="G31423" t="s">
        <v>26938</v>
      </c>
      <c r="H31423" s="21">
        <v>527.16999999999996</v>
      </c>
    </row>
    <row r="31424" spans="1:8" customFormat="1" x14ac:dyDescent="0.25">
      <c r="A31424" t="str">
        <f>"2712408"</f>
        <v>2712408</v>
      </c>
      <c r="B31424" t="s">
        <v>13172</v>
      </c>
      <c r="C31424" t="s">
        <v>1199</v>
      </c>
      <c r="D31424" s="21" t="s">
        <v>34</v>
      </c>
      <c r="E31424" s="21" t="s">
        <v>1089</v>
      </c>
      <c r="F31424">
        <v>9270021</v>
      </c>
      <c r="G31424" t="s">
        <v>4934</v>
      </c>
      <c r="H31424" s="21">
        <v>527.16999999999996</v>
      </c>
    </row>
    <row r="31425" spans="1:8" customFormat="1" x14ac:dyDescent="0.25">
      <c r="A31425" t="str">
        <f>"9142757"</f>
        <v>9142757</v>
      </c>
      <c r="B31425" t="s">
        <v>21242</v>
      </c>
      <c r="C31425" t="s">
        <v>96</v>
      </c>
      <c r="D31425" s="21" t="s">
        <v>34</v>
      </c>
      <c r="E31425" s="21" t="s">
        <v>35</v>
      </c>
      <c r="F31425">
        <v>8910642</v>
      </c>
      <c r="G31425" t="s">
        <v>27027</v>
      </c>
      <c r="H31425" s="21">
        <v>527.16999999999996</v>
      </c>
    </row>
    <row r="31426" spans="1:8" customFormat="1" x14ac:dyDescent="0.25">
      <c r="A31426" t="str">
        <f>"9238825"</f>
        <v>9238825</v>
      </c>
      <c r="B31426" t="s">
        <v>3555</v>
      </c>
      <c r="C31426" t="s">
        <v>2752</v>
      </c>
      <c r="D31426" s="21" t="s">
        <v>34</v>
      </c>
      <c r="E31426" s="21" t="s">
        <v>35</v>
      </c>
      <c r="F31426">
        <v>8921316</v>
      </c>
      <c r="G31426" t="s">
        <v>12326</v>
      </c>
      <c r="H31426" s="21">
        <v>527.16999999999996</v>
      </c>
    </row>
    <row r="31427" spans="1:8" customFormat="1" x14ac:dyDescent="0.25">
      <c r="A31427" t="str">
        <f>"6944530"</f>
        <v>6944530</v>
      </c>
      <c r="B31427" t="s">
        <v>21896</v>
      </c>
      <c r="C31427" t="s">
        <v>926</v>
      </c>
      <c r="D31427" s="21" t="s">
        <v>34</v>
      </c>
      <c r="E31427" s="21" t="s">
        <v>35</v>
      </c>
      <c r="F31427">
        <v>1690167</v>
      </c>
      <c r="G31427" t="s">
        <v>11267</v>
      </c>
      <c r="H31427" s="21">
        <v>527.16999999999996</v>
      </c>
    </row>
    <row r="31428" spans="1:8" customFormat="1" x14ac:dyDescent="0.25">
      <c r="A31428" t="str">
        <f>"814765"</f>
        <v>814765</v>
      </c>
      <c r="B31428" t="s">
        <v>14487</v>
      </c>
      <c r="C31428" t="s">
        <v>119</v>
      </c>
      <c r="D31428" s="21" t="s">
        <v>34</v>
      </c>
      <c r="E31428" s="21" t="s">
        <v>35</v>
      </c>
      <c r="F31428">
        <v>11810015</v>
      </c>
      <c r="G31428" t="s">
        <v>9678</v>
      </c>
      <c r="H31428" s="21">
        <v>527.16999999999996</v>
      </c>
    </row>
    <row r="31429" spans="1:8" customFormat="1" x14ac:dyDescent="0.25">
      <c r="A31429" t="str">
        <f>"665727"</f>
        <v>665727</v>
      </c>
      <c r="B31429" t="s">
        <v>8129</v>
      </c>
      <c r="C31429" t="s">
        <v>169</v>
      </c>
      <c r="D31429" s="21" t="s">
        <v>34</v>
      </c>
      <c r="E31429" s="21" t="s">
        <v>35</v>
      </c>
      <c r="F31429">
        <v>11660003</v>
      </c>
      <c r="G31429" t="s">
        <v>5188</v>
      </c>
      <c r="H31429" s="21">
        <v>527.16999999999996</v>
      </c>
    </row>
    <row r="31430" spans="1:8" customFormat="1" x14ac:dyDescent="0.25">
      <c r="A31430" t="str">
        <f>"76149"</f>
        <v>76149</v>
      </c>
      <c r="B31430" t="s">
        <v>4147</v>
      </c>
      <c r="C31430" t="s">
        <v>156</v>
      </c>
      <c r="D31430" s="21" t="s">
        <v>34</v>
      </c>
      <c r="E31430" s="21" t="s">
        <v>1089</v>
      </c>
      <c r="F31430">
        <v>9760004</v>
      </c>
      <c r="G31430" t="s">
        <v>56</v>
      </c>
      <c r="H31430" s="21">
        <v>527.16999999999996</v>
      </c>
    </row>
    <row r="31431" spans="1:8" customFormat="1" x14ac:dyDescent="0.25">
      <c r="A31431" t="str">
        <f>"7216615"</f>
        <v>7216615</v>
      </c>
      <c r="B31431" t="s">
        <v>19721</v>
      </c>
      <c r="C31431" t="s">
        <v>187</v>
      </c>
      <c r="D31431" s="21" t="s">
        <v>34</v>
      </c>
      <c r="E31431" s="21" t="s">
        <v>1089</v>
      </c>
      <c r="F31431">
        <v>12720084</v>
      </c>
      <c r="G31431" t="s">
        <v>7532</v>
      </c>
      <c r="H31431" s="21">
        <v>527.16999999999996</v>
      </c>
    </row>
    <row r="31432" spans="1:8" customFormat="1" x14ac:dyDescent="0.25">
      <c r="A31432" t="str">
        <f>"0717"</f>
        <v>0717</v>
      </c>
      <c r="B31432" t="s">
        <v>146</v>
      </c>
      <c r="C31432" t="s">
        <v>652</v>
      </c>
      <c r="D31432" s="21" t="s">
        <v>34</v>
      </c>
      <c r="E31432" s="21" t="s">
        <v>6185</v>
      </c>
      <c r="F31432">
        <v>1260034</v>
      </c>
      <c r="G31432" t="s">
        <v>1884</v>
      </c>
      <c r="H31432" s="21">
        <v>527.16999999999996</v>
      </c>
    </row>
    <row r="31433" spans="1:8" customFormat="1" x14ac:dyDescent="0.25">
      <c r="A31433" t="str">
        <f>"7729318"</f>
        <v>7729318</v>
      </c>
      <c r="B31433" t="s">
        <v>28364</v>
      </c>
      <c r="C31433" t="s">
        <v>817</v>
      </c>
      <c r="D31433" s="21" t="s">
        <v>34</v>
      </c>
      <c r="E31433" s="21" t="s">
        <v>71</v>
      </c>
      <c r="F31433">
        <v>8770665</v>
      </c>
      <c r="G31433" t="s">
        <v>903</v>
      </c>
      <c r="H31433" s="21">
        <v>527.16999999999996</v>
      </c>
    </row>
    <row r="31434" spans="1:8" customFormat="1" x14ac:dyDescent="0.25">
      <c r="A31434" t="str">
        <f>"8014856"</f>
        <v>8014856</v>
      </c>
      <c r="B31434" t="s">
        <v>208</v>
      </c>
      <c r="C31434" t="s">
        <v>926</v>
      </c>
      <c r="D31434" s="21" t="s">
        <v>34</v>
      </c>
      <c r="E31434" s="21" t="s">
        <v>254</v>
      </c>
      <c r="F31434">
        <v>7800117</v>
      </c>
      <c r="G31434" t="s">
        <v>20999</v>
      </c>
      <c r="H31434" s="21">
        <v>527.16999999999996</v>
      </c>
    </row>
    <row r="31435" spans="1:8" customFormat="1" x14ac:dyDescent="0.25">
      <c r="A31435" t="str">
        <f>"8526986"</f>
        <v>8526986</v>
      </c>
      <c r="B31435" t="s">
        <v>10193</v>
      </c>
      <c r="C31435" t="s">
        <v>1025</v>
      </c>
      <c r="D31435" s="21" t="s">
        <v>34</v>
      </c>
      <c r="E31435" s="21" t="s">
        <v>71</v>
      </c>
      <c r="F31435">
        <v>12850171</v>
      </c>
      <c r="G31435" t="s">
        <v>2687</v>
      </c>
      <c r="H31435" s="21">
        <v>527</v>
      </c>
    </row>
    <row r="31436" spans="1:8" customFormat="1" x14ac:dyDescent="0.25">
      <c r="A31436" t="str">
        <f>"6212294"</f>
        <v>6212294</v>
      </c>
      <c r="B31436" t="s">
        <v>28365</v>
      </c>
      <c r="C31436" t="s">
        <v>187</v>
      </c>
      <c r="D31436" s="21" t="s">
        <v>34</v>
      </c>
      <c r="E31436" s="21" t="s">
        <v>35</v>
      </c>
      <c r="F31436">
        <v>7620096</v>
      </c>
      <c r="G31436" t="s">
        <v>5829</v>
      </c>
      <c r="H31436" s="21">
        <v>527</v>
      </c>
    </row>
    <row r="31437" spans="1:8" customFormat="1" x14ac:dyDescent="0.25">
      <c r="A31437" t="str">
        <f>"5619078"</f>
        <v>5619078</v>
      </c>
      <c r="B31437" t="s">
        <v>24427</v>
      </c>
      <c r="C31437" t="s">
        <v>320</v>
      </c>
      <c r="D31437" s="21" t="s">
        <v>34</v>
      </c>
      <c r="E31437" s="21" t="s">
        <v>254</v>
      </c>
      <c r="F31437">
        <v>3560016</v>
      </c>
      <c r="G31437" t="s">
        <v>15201</v>
      </c>
      <c r="H31437" s="21">
        <v>527</v>
      </c>
    </row>
    <row r="31438" spans="1:8" customFormat="1" x14ac:dyDescent="0.25">
      <c r="A31438" t="str">
        <f>"2940145"</f>
        <v>2940145</v>
      </c>
      <c r="B31438" t="s">
        <v>431</v>
      </c>
      <c r="C31438" t="s">
        <v>1196</v>
      </c>
      <c r="D31438" s="21" t="s">
        <v>34</v>
      </c>
      <c r="E31438" s="21" t="s">
        <v>35</v>
      </c>
      <c r="F31438">
        <v>3290232</v>
      </c>
      <c r="G31438" t="s">
        <v>9588</v>
      </c>
      <c r="H31438" s="21">
        <v>527</v>
      </c>
    </row>
    <row r="31439" spans="1:8" customFormat="1" x14ac:dyDescent="0.25">
      <c r="A31439" t="str">
        <f>"3342418"</f>
        <v>3342418</v>
      </c>
      <c r="B31439" t="s">
        <v>8524</v>
      </c>
      <c r="C31439" t="s">
        <v>1665</v>
      </c>
      <c r="D31439" s="21" t="s">
        <v>34</v>
      </c>
      <c r="E31439" s="21" t="s">
        <v>254</v>
      </c>
      <c r="F31439">
        <v>10330123</v>
      </c>
      <c r="G31439" t="s">
        <v>12101</v>
      </c>
      <c r="H31439" s="21">
        <v>527</v>
      </c>
    </row>
    <row r="31440" spans="1:8" customFormat="1" x14ac:dyDescent="0.25">
      <c r="A31440" t="str">
        <f>"5013392"</f>
        <v>5013392</v>
      </c>
      <c r="B31440" t="s">
        <v>13908</v>
      </c>
      <c r="C31440" t="s">
        <v>269</v>
      </c>
      <c r="D31440" s="21" t="s">
        <v>34</v>
      </c>
      <c r="E31440" s="21" t="s">
        <v>71</v>
      </c>
      <c r="F31440">
        <v>9500143</v>
      </c>
      <c r="G31440" t="s">
        <v>2884</v>
      </c>
      <c r="H31440" s="21">
        <v>527</v>
      </c>
    </row>
    <row r="31441" spans="1:8" customFormat="1" x14ac:dyDescent="0.25">
      <c r="A31441" t="str">
        <f>"54944"</f>
        <v>54944</v>
      </c>
      <c r="B31441" t="s">
        <v>5735</v>
      </c>
      <c r="C31441" t="s">
        <v>239</v>
      </c>
      <c r="D31441" s="21" t="s">
        <v>34</v>
      </c>
      <c r="E31441" s="21" t="s">
        <v>254</v>
      </c>
      <c r="F31441">
        <v>6540034</v>
      </c>
      <c r="G31441" t="s">
        <v>2211</v>
      </c>
      <c r="H31441" s="21">
        <v>527</v>
      </c>
    </row>
    <row r="31442" spans="1:8" customFormat="1" x14ac:dyDescent="0.25">
      <c r="A31442" t="str">
        <f>"9421337"</f>
        <v>9421337</v>
      </c>
      <c r="B31442" t="s">
        <v>9832</v>
      </c>
      <c r="C31442" t="s">
        <v>198</v>
      </c>
      <c r="D31442" s="21" t="s">
        <v>34</v>
      </c>
      <c r="E31442" s="21" t="s">
        <v>254</v>
      </c>
      <c r="F31442">
        <v>1690215</v>
      </c>
      <c r="G31442" t="s">
        <v>1080</v>
      </c>
      <c r="H31442" s="21">
        <v>527</v>
      </c>
    </row>
    <row r="31443" spans="1:8" customFormat="1" x14ac:dyDescent="0.25">
      <c r="A31443" t="str">
        <f>"044201"</f>
        <v>044201</v>
      </c>
      <c r="B31443" t="s">
        <v>28366</v>
      </c>
      <c r="C31443" t="s">
        <v>204</v>
      </c>
      <c r="D31443" s="21" t="s">
        <v>34</v>
      </c>
      <c r="E31443" s="21" t="s">
        <v>35</v>
      </c>
      <c r="F31443">
        <v>13040025</v>
      </c>
      <c r="G31443" t="s">
        <v>6715</v>
      </c>
      <c r="H31443" s="21">
        <v>527</v>
      </c>
    </row>
    <row r="31444" spans="1:8" customFormat="1" x14ac:dyDescent="0.25">
      <c r="A31444" t="str">
        <f>"5981393"</f>
        <v>5981393</v>
      </c>
      <c r="B31444" t="s">
        <v>16046</v>
      </c>
      <c r="C31444" t="s">
        <v>336</v>
      </c>
      <c r="D31444" s="21" t="s">
        <v>34</v>
      </c>
      <c r="E31444" s="21" t="s">
        <v>71</v>
      </c>
      <c r="F31444">
        <v>7590352</v>
      </c>
      <c r="G31444" t="s">
        <v>9634</v>
      </c>
      <c r="H31444" s="21">
        <v>527</v>
      </c>
    </row>
    <row r="31445" spans="1:8" customFormat="1" x14ac:dyDescent="0.25">
      <c r="A31445" t="str">
        <f>"4433483"</f>
        <v>4433483</v>
      </c>
      <c r="B31445" t="s">
        <v>23210</v>
      </c>
      <c r="C31445" t="s">
        <v>1597</v>
      </c>
      <c r="D31445" s="21" t="s">
        <v>34</v>
      </c>
      <c r="E31445" s="21" t="s">
        <v>71</v>
      </c>
      <c r="F31445">
        <v>12440084</v>
      </c>
      <c r="G31445" t="s">
        <v>1014</v>
      </c>
      <c r="H31445" s="21">
        <v>527</v>
      </c>
    </row>
    <row r="31446" spans="1:8" customFormat="1" x14ac:dyDescent="0.25">
      <c r="A31446" t="str">
        <f>"2933265"</f>
        <v>2933265</v>
      </c>
      <c r="B31446" t="s">
        <v>3313</v>
      </c>
      <c r="C31446" t="s">
        <v>639</v>
      </c>
      <c r="D31446" s="21" t="s">
        <v>34</v>
      </c>
      <c r="E31446" s="21" t="s">
        <v>254</v>
      </c>
      <c r="F31446">
        <v>3290026</v>
      </c>
      <c r="G31446" t="s">
        <v>7421</v>
      </c>
      <c r="H31446" s="21">
        <v>527</v>
      </c>
    </row>
    <row r="31447" spans="1:8" customFormat="1" x14ac:dyDescent="0.25">
      <c r="A31447" t="str">
        <f>"1321636"</f>
        <v>1321636</v>
      </c>
      <c r="B31447" t="s">
        <v>28367</v>
      </c>
      <c r="C31447" t="s">
        <v>288</v>
      </c>
      <c r="D31447" s="21" t="s">
        <v>34</v>
      </c>
      <c r="E31447" s="21" t="s">
        <v>35</v>
      </c>
      <c r="F31447">
        <v>13130138</v>
      </c>
      <c r="G31447" t="s">
        <v>5409</v>
      </c>
      <c r="H31447" s="21">
        <v>527</v>
      </c>
    </row>
    <row r="31448" spans="1:8" customFormat="1" x14ac:dyDescent="0.25">
      <c r="A31448" t="str">
        <f>"1321938"</f>
        <v>1321938</v>
      </c>
      <c r="B31448" t="s">
        <v>4128</v>
      </c>
      <c r="C31448" t="s">
        <v>28368</v>
      </c>
      <c r="D31448" s="21" t="s">
        <v>34</v>
      </c>
      <c r="E31448" s="21" t="s">
        <v>71</v>
      </c>
      <c r="F31448">
        <v>13130148</v>
      </c>
      <c r="G31448" t="s">
        <v>12894</v>
      </c>
      <c r="H31448" s="21">
        <v>527</v>
      </c>
    </row>
    <row r="31449" spans="1:8" customFormat="1" x14ac:dyDescent="0.25">
      <c r="A31449" t="str">
        <f>"3818751"</f>
        <v>3818751</v>
      </c>
      <c r="B31449" t="s">
        <v>20455</v>
      </c>
      <c r="C31449" t="s">
        <v>239</v>
      </c>
      <c r="D31449" s="21" t="s">
        <v>34</v>
      </c>
      <c r="E31449" s="21" t="s">
        <v>71</v>
      </c>
      <c r="F31449">
        <v>1380199</v>
      </c>
      <c r="G31449" t="s">
        <v>321</v>
      </c>
      <c r="H31449" s="21">
        <v>526.79</v>
      </c>
    </row>
    <row r="31450" spans="1:8" customFormat="1" x14ac:dyDescent="0.25">
      <c r="A31450" t="str">
        <f>"5933126"</f>
        <v>5933126</v>
      </c>
      <c r="B31450" t="s">
        <v>21431</v>
      </c>
      <c r="C31450" t="s">
        <v>415</v>
      </c>
      <c r="D31450" s="21" t="s">
        <v>34</v>
      </c>
      <c r="E31450" s="21" t="s">
        <v>71</v>
      </c>
      <c r="F31450">
        <v>11810001</v>
      </c>
      <c r="G31450" t="s">
        <v>26998</v>
      </c>
      <c r="H31450" s="21">
        <v>526.66999999999996</v>
      </c>
    </row>
    <row r="31451" spans="1:8" customFormat="1" x14ac:dyDescent="0.25">
      <c r="A31451" t="str">
        <f>"9518671"</f>
        <v>9518671</v>
      </c>
      <c r="B31451" t="s">
        <v>20994</v>
      </c>
      <c r="C31451" t="s">
        <v>5855</v>
      </c>
      <c r="D31451" s="21" t="s">
        <v>34</v>
      </c>
      <c r="E31451" s="21" t="s">
        <v>1089</v>
      </c>
      <c r="F31451">
        <v>8950103</v>
      </c>
      <c r="G31451" t="s">
        <v>440</v>
      </c>
      <c r="H31451" s="21">
        <v>526.66999999999996</v>
      </c>
    </row>
    <row r="31452" spans="1:8" customFormat="1" x14ac:dyDescent="0.25">
      <c r="A31452" t="str">
        <f>"3341670"</f>
        <v>3341670</v>
      </c>
      <c r="B31452" t="s">
        <v>480</v>
      </c>
      <c r="C31452" t="s">
        <v>2566</v>
      </c>
      <c r="D31452" s="21" t="s">
        <v>34</v>
      </c>
      <c r="E31452" s="21" t="s">
        <v>35</v>
      </c>
      <c r="F31452">
        <v>10330093</v>
      </c>
      <c r="G31452" t="s">
        <v>8324</v>
      </c>
      <c r="H31452" s="21">
        <v>526.66999999999996</v>
      </c>
    </row>
    <row r="31453" spans="1:8" customFormat="1" x14ac:dyDescent="0.25">
      <c r="A31453" t="str">
        <f>"2936088"</f>
        <v>2936088</v>
      </c>
      <c r="B31453" t="s">
        <v>16770</v>
      </c>
      <c r="C31453" t="s">
        <v>55</v>
      </c>
      <c r="D31453" s="21" t="s">
        <v>34</v>
      </c>
      <c r="E31453" s="21" t="s">
        <v>35</v>
      </c>
      <c r="F31453">
        <v>3290266</v>
      </c>
      <c r="G31453" t="s">
        <v>1783</v>
      </c>
      <c r="H31453" s="21">
        <v>526.66999999999996</v>
      </c>
    </row>
    <row r="31454" spans="1:8" customFormat="1" x14ac:dyDescent="0.25">
      <c r="A31454" t="str">
        <f>"143716"</f>
        <v>143716</v>
      </c>
      <c r="B31454" t="s">
        <v>21118</v>
      </c>
      <c r="C31454" t="s">
        <v>119</v>
      </c>
      <c r="D31454" s="21" t="s">
        <v>34</v>
      </c>
      <c r="E31454" s="21" t="s">
        <v>35</v>
      </c>
      <c r="F31454">
        <v>9140123</v>
      </c>
      <c r="G31454" t="s">
        <v>661</v>
      </c>
      <c r="H31454" s="21">
        <v>526.66999999999996</v>
      </c>
    </row>
    <row r="31455" spans="1:8" customFormat="1" x14ac:dyDescent="0.25">
      <c r="A31455" t="str">
        <f>"8817420"</f>
        <v>8817420</v>
      </c>
      <c r="B31455" t="s">
        <v>3198</v>
      </c>
      <c r="C31455" t="s">
        <v>33</v>
      </c>
      <c r="D31455" s="21" t="s">
        <v>34</v>
      </c>
      <c r="E31455" s="21" t="s">
        <v>35</v>
      </c>
      <c r="F31455">
        <v>6880113</v>
      </c>
      <c r="G31455" t="s">
        <v>11089</v>
      </c>
      <c r="H31455" s="21">
        <v>526.66999999999996</v>
      </c>
    </row>
    <row r="31456" spans="1:8" customFormat="1" x14ac:dyDescent="0.25">
      <c r="A31456" t="str">
        <f>"7219359"</f>
        <v>7219359</v>
      </c>
      <c r="B31456" t="s">
        <v>21355</v>
      </c>
      <c r="C31456" t="s">
        <v>62</v>
      </c>
      <c r="D31456" s="21" t="s">
        <v>34</v>
      </c>
      <c r="E31456" s="21" t="s">
        <v>35</v>
      </c>
      <c r="F31456">
        <v>12720078</v>
      </c>
      <c r="G31456" t="s">
        <v>5085</v>
      </c>
      <c r="H31456" s="21">
        <v>526.66999999999996</v>
      </c>
    </row>
    <row r="31457" spans="1:8" customFormat="1" x14ac:dyDescent="0.25">
      <c r="A31457" t="str">
        <f>"845453"</f>
        <v>845453</v>
      </c>
      <c r="B31457" t="s">
        <v>21669</v>
      </c>
      <c r="C31457" t="s">
        <v>119</v>
      </c>
      <c r="D31457" s="21" t="s">
        <v>34</v>
      </c>
      <c r="E31457" s="21" t="s">
        <v>71</v>
      </c>
      <c r="F31457">
        <v>13840059</v>
      </c>
      <c r="G31457" t="s">
        <v>21670</v>
      </c>
      <c r="H31457" s="21">
        <v>526.66999999999996</v>
      </c>
    </row>
    <row r="31458" spans="1:8" customFormat="1" x14ac:dyDescent="0.25">
      <c r="A31458" t="str">
        <f>"4427529"</f>
        <v>4427529</v>
      </c>
      <c r="B31458" t="s">
        <v>10303</v>
      </c>
      <c r="C31458" t="s">
        <v>263</v>
      </c>
      <c r="D31458" s="21" t="s">
        <v>34</v>
      </c>
      <c r="E31458" s="21" t="s">
        <v>71</v>
      </c>
      <c r="F31458">
        <v>12440084</v>
      </c>
      <c r="G31458" t="s">
        <v>1014</v>
      </c>
      <c r="H31458" s="21">
        <v>526.66999999999996</v>
      </c>
    </row>
    <row r="31459" spans="1:8" customFormat="1" x14ac:dyDescent="0.25">
      <c r="A31459" t="str">
        <f>"1320306"</f>
        <v>1320306</v>
      </c>
      <c r="B31459" t="s">
        <v>22274</v>
      </c>
      <c r="C31459" t="s">
        <v>1146</v>
      </c>
      <c r="D31459" s="21" t="s">
        <v>34</v>
      </c>
      <c r="E31459" s="21" t="s">
        <v>254</v>
      </c>
      <c r="F31459">
        <v>13130166</v>
      </c>
      <c r="G31459" t="s">
        <v>2539</v>
      </c>
      <c r="H31459" s="21">
        <v>526.66999999999996</v>
      </c>
    </row>
    <row r="31460" spans="1:8" customFormat="1" x14ac:dyDescent="0.25">
      <c r="A31460" t="str">
        <f>"39421"</f>
        <v>39421</v>
      </c>
      <c r="B31460" t="s">
        <v>12138</v>
      </c>
      <c r="C31460" t="s">
        <v>388</v>
      </c>
      <c r="D31460" s="21" t="s">
        <v>34</v>
      </c>
      <c r="E31460" s="21" t="s">
        <v>71</v>
      </c>
      <c r="F31460">
        <v>2390046</v>
      </c>
      <c r="G31460" t="s">
        <v>2140</v>
      </c>
      <c r="H31460" s="21">
        <v>526.66999999999996</v>
      </c>
    </row>
    <row r="31461" spans="1:8" customFormat="1" x14ac:dyDescent="0.25">
      <c r="A31461" t="str">
        <f>"588045"</f>
        <v>588045</v>
      </c>
      <c r="B31461" t="s">
        <v>16463</v>
      </c>
      <c r="C31461" t="s">
        <v>2546</v>
      </c>
      <c r="D31461" s="21" t="s">
        <v>34</v>
      </c>
      <c r="E31461" s="21" t="s">
        <v>254</v>
      </c>
      <c r="F31461">
        <v>2580017</v>
      </c>
      <c r="G31461" t="s">
        <v>7044</v>
      </c>
      <c r="H31461" s="21">
        <v>526.66999999999996</v>
      </c>
    </row>
    <row r="31462" spans="1:8" customFormat="1" x14ac:dyDescent="0.25">
      <c r="A31462" t="str">
        <f>"9B1063"</f>
        <v>9B1063</v>
      </c>
      <c r="B31462" t="s">
        <v>28369</v>
      </c>
      <c r="C31462" t="s">
        <v>33</v>
      </c>
      <c r="D31462" s="21" t="s">
        <v>34</v>
      </c>
      <c r="E31462" s="21" t="s">
        <v>71</v>
      </c>
      <c r="F31462" t="s">
        <v>2861</v>
      </c>
      <c r="G31462" t="s">
        <v>2862</v>
      </c>
      <c r="H31462" s="21">
        <v>526.54</v>
      </c>
    </row>
    <row r="31463" spans="1:8" customFormat="1" x14ac:dyDescent="0.25">
      <c r="A31463" t="str">
        <f>"8018086"</f>
        <v>8018086</v>
      </c>
      <c r="B31463" t="s">
        <v>24164</v>
      </c>
      <c r="C31463" t="s">
        <v>65</v>
      </c>
      <c r="D31463" s="21" t="s">
        <v>34</v>
      </c>
      <c r="E31463" s="21" t="s">
        <v>71</v>
      </c>
      <c r="F31463">
        <v>7800035</v>
      </c>
      <c r="G31463" t="s">
        <v>12990</v>
      </c>
      <c r="H31463" s="21">
        <v>526.5</v>
      </c>
    </row>
    <row r="31464" spans="1:8" customFormat="1" x14ac:dyDescent="0.25">
      <c r="A31464" t="str">
        <f>"3011556"</f>
        <v>3011556</v>
      </c>
      <c r="B31464" t="s">
        <v>1094</v>
      </c>
      <c r="C31464" t="s">
        <v>1132</v>
      </c>
      <c r="D31464" s="21" t="s">
        <v>34</v>
      </c>
      <c r="E31464" s="21" t="s">
        <v>254</v>
      </c>
      <c r="F31464">
        <v>11300007</v>
      </c>
      <c r="G31464" t="s">
        <v>361</v>
      </c>
      <c r="H31464" s="21">
        <v>526.5</v>
      </c>
    </row>
    <row r="31465" spans="1:8" customFormat="1" x14ac:dyDescent="0.25">
      <c r="A31465" t="str">
        <f>"2220302"</f>
        <v>2220302</v>
      </c>
      <c r="B31465" t="s">
        <v>1593</v>
      </c>
      <c r="C31465" t="s">
        <v>249</v>
      </c>
      <c r="D31465" s="21" t="s">
        <v>34</v>
      </c>
      <c r="E31465" s="21" t="s">
        <v>71</v>
      </c>
      <c r="F31465">
        <v>3220011</v>
      </c>
      <c r="G31465" t="s">
        <v>27394</v>
      </c>
      <c r="H31465" s="21">
        <v>526.5</v>
      </c>
    </row>
    <row r="31466" spans="1:8" customFormat="1" x14ac:dyDescent="0.25">
      <c r="A31466" t="str">
        <f>"408046"</f>
        <v>408046</v>
      </c>
      <c r="B31466" t="s">
        <v>5187</v>
      </c>
      <c r="C31466" t="s">
        <v>598</v>
      </c>
      <c r="D31466" s="21" t="s">
        <v>34</v>
      </c>
      <c r="E31466" s="21" t="s">
        <v>71</v>
      </c>
      <c r="F31466">
        <v>10400008</v>
      </c>
      <c r="G31466" t="s">
        <v>2294</v>
      </c>
      <c r="H31466" s="21">
        <v>526.5</v>
      </c>
    </row>
    <row r="31467" spans="1:8" customFormat="1" x14ac:dyDescent="0.25">
      <c r="A31467" t="str">
        <f>"9538199"</f>
        <v>9538199</v>
      </c>
      <c r="B31467" t="s">
        <v>28370</v>
      </c>
      <c r="C31467" t="s">
        <v>507</v>
      </c>
      <c r="D31467" s="21" t="s">
        <v>34</v>
      </c>
      <c r="E31467" s="21" t="s">
        <v>35</v>
      </c>
      <c r="F31467">
        <v>8950974</v>
      </c>
      <c r="G31467" t="s">
        <v>6615</v>
      </c>
      <c r="H31467" s="21">
        <v>526.5</v>
      </c>
    </row>
    <row r="31468" spans="1:8" customFormat="1" x14ac:dyDescent="0.25">
      <c r="A31468" t="str">
        <f>"247106"</f>
        <v>247106</v>
      </c>
      <c r="B31468" t="s">
        <v>8212</v>
      </c>
      <c r="C31468" t="s">
        <v>817</v>
      </c>
      <c r="D31468" s="21" t="s">
        <v>34</v>
      </c>
      <c r="E31468" s="21" t="s">
        <v>71</v>
      </c>
      <c r="F31468">
        <v>10240014</v>
      </c>
      <c r="G31468" t="s">
        <v>5445</v>
      </c>
      <c r="H31468" s="21">
        <v>526.5</v>
      </c>
    </row>
    <row r="31469" spans="1:8" customFormat="1" x14ac:dyDescent="0.25">
      <c r="A31469" t="str">
        <f>"8611378"</f>
        <v>8611378</v>
      </c>
      <c r="B31469" t="s">
        <v>17221</v>
      </c>
      <c r="C31469" t="s">
        <v>21798</v>
      </c>
      <c r="D31469" s="21" t="s">
        <v>34</v>
      </c>
      <c r="E31469" s="21" t="s">
        <v>35</v>
      </c>
      <c r="F31469">
        <v>10860122</v>
      </c>
      <c r="G31469" t="s">
        <v>3800</v>
      </c>
      <c r="H31469" s="21">
        <v>526.5</v>
      </c>
    </row>
    <row r="31470" spans="1:8" customFormat="1" x14ac:dyDescent="0.25">
      <c r="A31470" t="str">
        <f>"242127"</f>
        <v>242127</v>
      </c>
      <c r="B31470" t="s">
        <v>7008</v>
      </c>
      <c r="C31470" t="s">
        <v>22760</v>
      </c>
      <c r="D31470" s="21" t="s">
        <v>34</v>
      </c>
      <c r="E31470" s="21" t="s">
        <v>6185</v>
      </c>
      <c r="F31470">
        <v>10240014</v>
      </c>
      <c r="G31470" t="s">
        <v>5445</v>
      </c>
      <c r="H31470" s="21">
        <v>526.5</v>
      </c>
    </row>
    <row r="31471" spans="1:8" customFormat="1" x14ac:dyDescent="0.25">
      <c r="A31471" t="str">
        <f>"7223123"</f>
        <v>7223123</v>
      </c>
      <c r="B31471" t="s">
        <v>8853</v>
      </c>
      <c r="C31471" t="s">
        <v>1853</v>
      </c>
      <c r="D31471" s="21" t="s">
        <v>34</v>
      </c>
      <c r="E31471" s="21" t="s">
        <v>35</v>
      </c>
      <c r="F31471">
        <v>12720081</v>
      </c>
      <c r="G31471" t="s">
        <v>6360</v>
      </c>
      <c r="H31471" s="21">
        <v>526.38</v>
      </c>
    </row>
    <row r="31472" spans="1:8" customFormat="1" x14ac:dyDescent="0.25">
      <c r="A31472" t="str">
        <f>"7812057"</f>
        <v>7812057</v>
      </c>
      <c r="B31472" t="s">
        <v>21347</v>
      </c>
      <c r="C31472" t="s">
        <v>209</v>
      </c>
      <c r="D31472" s="21" t="s">
        <v>34</v>
      </c>
      <c r="E31472" s="21" t="s">
        <v>254</v>
      </c>
      <c r="F31472">
        <v>8780892</v>
      </c>
      <c r="G31472" t="s">
        <v>3021</v>
      </c>
      <c r="H31472" s="21">
        <v>526.29</v>
      </c>
    </row>
    <row r="31473" spans="1:8" customFormat="1" x14ac:dyDescent="0.25">
      <c r="A31473" t="str">
        <f>"9421079"</f>
        <v>9421079</v>
      </c>
      <c r="B31473" t="s">
        <v>3781</v>
      </c>
      <c r="C31473" t="s">
        <v>1914</v>
      </c>
      <c r="D31473" s="21" t="s">
        <v>34</v>
      </c>
      <c r="E31473" s="21" t="s">
        <v>6185</v>
      </c>
      <c r="F31473">
        <v>8780080</v>
      </c>
      <c r="G31473" t="s">
        <v>865</v>
      </c>
      <c r="H31473" s="21">
        <v>526.29</v>
      </c>
    </row>
    <row r="31474" spans="1:8" customFormat="1" x14ac:dyDescent="0.25">
      <c r="A31474" t="str">
        <f>"9459760"</f>
        <v>9459760</v>
      </c>
      <c r="B31474" t="s">
        <v>28371</v>
      </c>
      <c r="C31474" t="s">
        <v>62</v>
      </c>
      <c r="D31474" s="21" t="s">
        <v>34</v>
      </c>
      <c r="E31474" s="21" t="s">
        <v>35</v>
      </c>
      <c r="F31474">
        <v>8941282</v>
      </c>
      <c r="G31474" t="s">
        <v>5040</v>
      </c>
      <c r="H31474" s="21">
        <v>526.25</v>
      </c>
    </row>
    <row r="31475" spans="1:8" customFormat="1" x14ac:dyDescent="0.25">
      <c r="A31475" t="str">
        <f>"9419214"</f>
        <v>9419214</v>
      </c>
      <c r="B31475" t="s">
        <v>2362</v>
      </c>
      <c r="C31475" t="s">
        <v>415</v>
      </c>
      <c r="D31475" s="21" t="s">
        <v>34</v>
      </c>
      <c r="E31475" s="21" t="s">
        <v>71</v>
      </c>
      <c r="F31475">
        <v>10240030</v>
      </c>
      <c r="G31475" t="s">
        <v>8997</v>
      </c>
      <c r="H31475" s="21">
        <v>526.25</v>
      </c>
    </row>
    <row r="31476" spans="1:8" customFormat="1" x14ac:dyDescent="0.25">
      <c r="A31476" t="str">
        <f>"4528386"</f>
        <v>4528386</v>
      </c>
      <c r="B31476" t="s">
        <v>1872</v>
      </c>
      <c r="C31476" t="s">
        <v>566</v>
      </c>
      <c r="D31476" s="21" t="s">
        <v>34</v>
      </c>
      <c r="E31476" s="21" t="s">
        <v>35</v>
      </c>
      <c r="F31476">
        <v>4450773</v>
      </c>
      <c r="G31476" t="s">
        <v>26903</v>
      </c>
      <c r="H31476" s="21">
        <v>526.16999999999996</v>
      </c>
    </row>
    <row r="31477" spans="1:8" customFormat="1" x14ac:dyDescent="0.25">
      <c r="A31477" t="str">
        <f>"7713350"</f>
        <v>7713350</v>
      </c>
      <c r="B31477" t="s">
        <v>5115</v>
      </c>
      <c r="C31477" t="s">
        <v>33</v>
      </c>
      <c r="D31477" s="21" t="s">
        <v>34</v>
      </c>
      <c r="E31477" s="21" t="s">
        <v>35</v>
      </c>
      <c r="F31477">
        <v>8770665</v>
      </c>
      <c r="G31477" t="s">
        <v>903</v>
      </c>
      <c r="H31477" s="21">
        <v>526.16999999999996</v>
      </c>
    </row>
    <row r="31478" spans="1:8" customFormat="1" x14ac:dyDescent="0.25">
      <c r="A31478" t="str">
        <f>"7220728"</f>
        <v>7220728</v>
      </c>
      <c r="B31478" t="s">
        <v>22795</v>
      </c>
      <c r="C31478" t="s">
        <v>124</v>
      </c>
      <c r="D31478" s="21" t="s">
        <v>34</v>
      </c>
      <c r="E31478" s="21" t="s">
        <v>71</v>
      </c>
      <c r="F31478">
        <v>12720084</v>
      </c>
      <c r="G31478" t="s">
        <v>7532</v>
      </c>
      <c r="H31478" s="21">
        <v>526.16999999999996</v>
      </c>
    </row>
    <row r="31479" spans="1:8" customFormat="1" x14ac:dyDescent="0.25">
      <c r="A31479" t="str">
        <f>"6218568"</f>
        <v>6218568</v>
      </c>
      <c r="B31479" t="s">
        <v>10143</v>
      </c>
      <c r="C31479" t="s">
        <v>4161</v>
      </c>
      <c r="D31479" s="21" t="s">
        <v>34</v>
      </c>
      <c r="E31479" s="21" t="s">
        <v>35</v>
      </c>
      <c r="F31479">
        <v>7620140</v>
      </c>
      <c r="G31479" t="s">
        <v>7454</v>
      </c>
      <c r="H31479" s="21">
        <v>526.16999999999996</v>
      </c>
    </row>
    <row r="31480" spans="1:8" customFormat="1" x14ac:dyDescent="0.25">
      <c r="A31480" t="str">
        <f>"2219193"</f>
        <v>2219193</v>
      </c>
      <c r="B31480" t="s">
        <v>22082</v>
      </c>
      <c r="C31480" t="s">
        <v>428</v>
      </c>
      <c r="D31480" s="21" t="s">
        <v>34</v>
      </c>
      <c r="E31480" s="21" t="s">
        <v>71</v>
      </c>
      <c r="F31480">
        <v>3220048</v>
      </c>
      <c r="G31480" t="s">
        <v>26532</v>
      </c>
      <c r="H31480" s="21">
        <v>526.16999999999996</v>
      </c>
    </row>
    <row r="31481" spans="1:8" customFormat="1" x14ac:dyDescent="0.25">
      <c r="A31481" t="str">
        <f>"351679"</f>
        <v>351679</v>
      </c>
      <c r="B31481" t="s">
        <v>20148</v>
      </c>
      <c r="C31481" t="s">
        <v>2520</v>
      </c>
      <c r="D31481" s="21" t="s">
        <v>34</v>
      </c>
      <c r="E31481" s="21" t="s">
        <v>1089</v>
      </c>
      <c r="F31481">
        <v>3350063</v>
      </c>
      <c r="G31481" t="s">
        <v>14782</v>
      </c>
      <c r="H31481" s="21">
        <v>526.16999999999996</v>
      </c>
    </row>
    <row r="31482" spans="1:8" customFormat="1" x14ac:dyDescent="0.25">
      <c r="A31482" t="str">
        <f>"7920205"</f>
        <v>7920205</v>
      </c>
      <c r="B31482" t="s">
        <v>108</v>
      </c>
      <c r="C31482" t="s">
        <v>328</v>
      </c>
      <c r="D31482" s="21" t="s">
        <v>34</v>
      </c>
      <c r="E31482" s="21" t="s">
        <v>71</v>
      </c>
      <c r="F31482">
        <v>10790234</v>
      </c>
      <c r="G31482" t="s">
        <v>13166</v>
      </c>
      <c r="H31482" s="21">
        <v>526.16999999999996</v>
      </c>
    </row>
    <row r="31483" spans="1:8" customFormat="1" x14ac:dyDescent="0.25">
      <c r="A31483" t="str">
        <f>"9243673"</f>
        <v>9243673</v>
      </c>
      <c r="B31483" t="s">
        <v>2544</v>
      </c>
      <c r="C31483" t="s">
        <v>415</v>
      </c>
      <c r="D31483" s="21" t="s">
        <v>34</v>
      </c>
      <c r="E31483" s="21" t="s">
        <v>71</v>
      </c>
      <c r="F31483">
        <v>8920646</v>
      </c>
      <c r="G31483" t="s">
        <v>2864</v>
      </c>
      <c r="H31483" s="21">
        <v>526.16999999999996</v>
      </c>
    </row>
    <row r="31484" spans="1:8" customFormat="1" x14ac:dyDescent="0.25">
      <c r="A31484" t="str">
        <f>"46266"</f>
        <v>46266</v>
      </c>
      <c r="B31484" t="s">
        <v>28372</v>
      </c>
      <c r="C31484" t="s">
        <v>267</v>
      </c>
      <c r="D31484" s="21" t="s">
        <v>34</v>
      </c>
      <c r="E31484" s="21" t="s">
        <v>71</v>
      </c>
      <c r="F31484">
        <v>11460017</v>
      </c>
      <c r="G31484" t="s">
        <v>7665</v>
      </c>
      <c r="H31484" s="21">
        <v>526.16999999999996</v>
      </c>
    </row>
    <row r="31485" spans="1:8" customFormat="1" x14ac:dyDescent="0.25">
      <c r="A31485" t="str">
        <f>"7917503"</f>
        <v>7917503</v>
      </c>
      <c r="B31485" t="s">
        <v>1490</v>
      </c>
      <c r="C31485" t="s">
        <v>2072</v>
      </c>
      <c r="D31485" s="21" t="s">
        <v>34</v>
      </c>
      <c r="E31485" s="21" t="s">
        <v>71</v>
      </c>
      <c r="F31485">
        <v>10790186</v>
      </c>
      <c r="G31485" t="s">
        <v>16305</v>
      </c>
      <c r="H31485" s="21">
        <v>526.16999999999996</v>
      </c>
    </row>
    <row r="31486" spans="1:8" customFormat="1" x14ac:dyDescent="0.25">
      <c r="A31486" t="str">
        <f>"5326114"</f>
        <v>5326114</v>
      </c>
      <c r="B31486" t="s">
        <v>14450</v>
      </c>
      <c r="C31486" t="s">
        <v>1588</v>
      </c>
      <c r="D31486" s="21" t="s">
        <v>34</v>
      </c>
      <c r="E31486" s="21" t="s">
        <v>71</v>
      </c>
      <c r="F31486">
        <v>12538900</v>
      </c>
      <c r="G31486" t="s">
        <v>14904</v>
      </c>
      <c r="H31486" s="21">
        <v>526.16999999999996</v>
      </c>
    </row>
    <row r="31487" spans="1:8" customFormat="1" x14ac:dyDescent="0.25">
      <c r="A31487" t="str">
        <f>"6019440"</f>
        <v>6019440</v>
      </c>
      <c r="B31487" t="s">
        <v>2298</v>
      </c>
      <c r="C31487" t="s">
        <v>598</v>
      </c>
      <c r="D31487" s="21" t="s">
        <v>34</v>
      </c>
      <c r="E31487" s="21" t="s">
        <v>1089</v>
      </c>
      <c r="F31487">
        <v>7600031</v>
      </c>
      <c r="G31487" t="s">
        <v>3283</v>
      </c>
      <c r="H31487" s="21">
        <v>526.16999999999996</v>
      </c>
    </row>
    <row r="31488" spans="1:8" customFormat="1" x14ac:dyDescent="0.25">
      <c r="A31488" t="str">
        <f>"2517472"</f>
        <v>2517472</v>
      </c>
      <c r="B31488" t="s">
        <v>28373</v>
      </c>
      <c r="C31488" t="s">
        <v>712</v>
      </c>
      <c r="D31488" s="21" t="s">
        <v>34</v>
      </c>
      <c r="E31488" s="21" t="s">
        <v>254</v>
      </c>
      <c r="F31488">
        <v>2250154</v>
      </c>
      <c r="G31488" t="s">
        <v>1973</v>
      </c>
      <c r="H31488" s="21">
        <v>526.16999999999996</v>
      </c>
    </row>
    <row r="31489" spans="1:8" customFormat="1" x14ac:dyDescent="0.25">
      <c r="A31489" t="str">
        <f>"5975556"</f>
        <v>5975556</v>
      </c>
      <c r="B31489" t="s">
        <v>24482</v>
      </c>
      <c r="C31489" t="s">
        <v>528</v>
      </c>
      <c r="D31489" s="21" t="s">
        <v>34</v>
      </c>
      <c r="E31489" s="21" t="s">
        <v>254</v>
      </c>
      <c r="F31489">
        <v>7590137</v>
      </c>
      <c r="G31489" t="s">
        <v>4246</v>
      </c>
      <c r="H31489" s="21">
        <v>526.16999999999996</v>
      </c>
    </row>
    <row r="31490" spans="1:8" customFormat="1" x14ac:dyDescent="0.25">
      <c r="A31490" t="str">
        <f>"7923960"</f>
        <v>7923960</v>
      </c>
      <c r="B31490" t="s">
        <v>23048</v>
      </c>
      <c r="C31490" t="s">
        <v>40</v>
      </c>
      <c r="D31490" s="21" t="s">
        <v>34</v>
      </c>
      <c r="E31490" s="21" t="s">
        <v>71</v>
      </c>
      <c r="F31490">
        <v>10790235</v>
      </c>
      <c r="G31490" t="s">
        <v>413</v>
      </c>
      <c r="H31490" s="21">
        <v>526.16999999999996</v>
      </c>
    </row>
    <row r="31491" spans="1:8" customFormat="1" x14ac:dyDescent="0.25">
      <c r="A31491" t="str">
        <f>"7881874"</f>
        <v>7881874</v>
      </c>
      <c r="B31491" t="s">
        <v>28374</v>
      </c>
      <c r="C31491" t="s">
        <v>28375</v>
      </c>
      <c r="D31491" s="21" t="s">
        <v>34</v>
      </c>
      <c r="E31491" s="21" t="s">
        <v>35</v>
      </c>
      <c r="F31491">
        <v>8780485</v>
      </c>
      <c r="G31491" t="s">
        <v>1279</v>
      </c>
      <c r="H31491" s="21">
        <v>526.16999999999996</v>
      </c>
    </row>
    <row r="31492" spans="1:8" customFormat="1" x14ac:dyDescent="0.25">
      <c r="A31492" t="str">
        <f>"6943142"</f>
        <v>6943142</v>
      </c>
      <c r="B31492" t="s">
        <v>21858</v>
      </c>
      <c r="C31492" t="s">
        <v>96</v>
      </c>
      <c r="D31492" s="21" t="s">
        <v>34</v>
      </c>
      <c r="E31492" s="21" t="s">
        <v>35</v>
      </c>
      <c r="F31492">
        <v>1690001</v>
      </c>
      <c r="G31492" t="s">
        <v>3275</v>
      </c>
      <c r="H31492" s="21">
        <v>526.16999999999996</v>
      </c>
    </row>
    <row r="31493" spans="1:8" customFormat="1" x14ac:dyDescent="0.25">
      <c r="A31493" t="str">
        <f>"6111952"</f>
        <v>6111952</v>
      </c>
      <c r="B31493" t="s">
        <v>28376</v>
      </c>
      <c r="C31493" t="s">
        <v>15353</v>
      </c>
      <c r="D31493" s="21" t="s">
        <v>34</v>
      </c>
      <c r="E31493" s="21" t="s">
        <v>35</v>
      </c>
      <c r="F31493">
        <v>9610002</v>
      </c>
      <c r="G31493" t="s">
        <v>75</v>
      </c>
      <c r="H31493" s="21">
        <v>526.16999999999996</v>
      </c>
    </row>
    <row r="31494" spans="1:8" customFormat="1" x14ac:dyDescent="0.25">
      <c r="A31494" t="str">
        <f>"113601"</f>
        <v>113601</v>
      </c>
      <c r="B31494" t="s">
        <v>20965</v>
      </c>
      <c r="C31494" t="s">
        <v>3456</v>
      </c>
      <c r="D31494" s="21" t="s">
        <v>34</v>
      </c>
      <c r="E31494" s="21" t="s">
        <v>254</v>
      </c>
      <c r="F31494">
        <v>11110028</v>
      </c>
      <c r="G31494" t="s">
        <v>10634</v>
      </c>
      <c r="H31494" s="21">
        <v>526.16999999999996</v>
      </c>
    </row>
    <row r="31495" spans="1:8" customFormat="1" x14ac:dyDescent="0.25">
      <c r="A31495" t="str">
        <f>"7515967"</f>
        <v>7515967</v>
      </c>
      <c r="B31495" t="s">
        <v>22054</v>
      </c>
      <c r="C31495" t="s">
        <v>62</v>
      </c>
      <c r="D31495" s="21" t="s">
        <v>34</v>
      </c>
      <c r="E31495" s="21" t="s">
        <v>35</v>
      </c>
      <c r="F31495">
        <v>8750100</v>
      </c>
      <c r="G31495" t="s">
        <v>10521</v>
      </c>
      <c r="H31495" s="21">
        <v>526.16999999999996</v>
      </c>
    </row>
    <row r="31496" spans="1:8" customFormat="1" x14ac:dyDescent="0.25">
      <c r="A31496" t="str">
        <f>"7638238"</f>
        <v>7638238</v>
      </c>
      <c r="B31496" t="s">
        <v>4124</v>
      </c>
      <c r="C31496" t="s">
        <v>2520</v>
      </c>
      <c r="D31496" s="21" t="s">
        <v>34</v>
      </c>
      <c r="E31496" s="21" t="s">
        <v>254</v>
      </c>
      <c r="F31496">
        <v>9760100</v>
      </c>
      <c r="G31496" t="s">
        <v>9182</v>
      </c>
      <c r="H31496" s="21">
        <v>526.16999999999996</v>
      </c>
    </row>
    <row r="31497" spans="1:8" customFormat="1" x14ac:dyDescent="0.25">
      <c r="A31497" t="str">
        <f>"4936749"</f>
        <v>4936749</v>
      </c>
      <c r="B31497" t="s">
        <v>22576</v>
      </c>
      <c r="C31497" t="s">
        <v>576</v>
      </c>
      <c r="D31497" s="21" t="s">
        <v>34</v>
      </c>
      <c r="E31497" s="21" t="s">
        <v>35</v>
      </c>
      <c r="F31497">
        <v>12490132</v>
      </c>
      <c r="G31497" t="s">
        <v>1125</v>
      </c>
      <c r="H31497" s="21">
        <v>526.04</v>
      </c>
    </row>
    <row r="31498" spans="1:8" customFormat="1" x14ac:dyDescent="0.25">
      <c r="A31498" t="str">
        <f>"3332115"</f>
        <v>3332115</v>
      </c>
      <c r="B31498" t="s">
        <v>21329</v>
      </c>
      <c r="C31498" t="s">
        <v>1142</v>
      </c>
      <c r="D31498" s="21" t="s">
        <v>34</v>
      </c>
      <c r="E31498" s="21" t="s">
        <v>71</v>
      </c>
      <c r="F31498">
        <v>10330022</v>
      </c>
      <c r="G31498" t="s">
        <v>1830</v>
      </c>
      <c r="H31498" s="21">
        <v>526.04</v>
      </c>
    </row>
    <row r="31499" spans="1:8" customFormat="1" x14ac:dyDescent="0.25">
      <c r="A31499" t="str">
        <f>"3831963"</f>
        <v>3831963</v>
      </c>
      <c r="B31499" t="s">
        <v>19278</v>
      </c>
      <c r="C31499" t="s">
        <v>156</v>
      </c>
      <c r="D31499" s="21" t="s">
        <v>34</v>
      </c>
      <c r="E31499" s="21" t="s">
        <v>35</v>
      </c>
      <c r="F31499">
        <v>1380108</v>
      </c>
      <c r="G31499" t="s">
        <v>6103</v>
      </c>
      <c r="H31499" s="21">
        <v>526</v>
      </c>
    </row>
    <row r="31500" spans="1:8" customFormat="1" x14ac:dyDescent="0.25">
      <c r="A31500" t="str">
        <f>"2517658"</f>
        <v>2517658</v>
      </c>
      <c r="B31500" t="s">
        <v>461</v>
      </c>
      <c r="C31500" t="s">
        <v>62</v>
      </c>
      <c r="D31500" s="21" t="s">
        <v>34</v>
      </c>
      <c r="E31500" s="21" t="s">
        <v>35</v>
      </c>
      <c r="F31500">
        <v>2250154</v>
      </c>
      <c r="G31500" t="s">
        <v>1973</v>
      </c>
      <c r="H31500" s="21">
        <v>526</v>
      </c>
    </row>
    <row r="31501" spans="1:8" customFormat="1" x14ac:dyDescent="0.25">
      <c r="A31501" t="str">
        <f>"4453572"</f>
        <v>4453572</v>
      </c>
      <c r="B31501" t="s">
        <v>3983</v>
      </c>
      <c r="C31501" t="s">
        <v>40</v>
      </c>
      <c r="D31501" s="21" t="s">
        <v>34</v>
      </c>
      <c r="E31501" s="21" t="s">
        <v>254</v>
      </c>
      <c r="F31501">
        <v>12440141</v>
      </c>
      <c r="G31501" t="s">
        <v>3234</v>
      </c>
      <c r="H31501" s="21">
        <v>526</v>
      </c>
    </row>
    <row r="31502" spans="1:8" customFormat="1" x14ac:dyDescent="0.25">
      <c r="A31502" t="str">
        <f>"6312657"</f>
        <v>6312657</v>
      </c>
      <c r="B31502" t="s">
        <v>21200</v>
      </c>
      <c r="C31502" t="s">
        <v>60</v>
      </c>
      <c r="D31502" s="21" t="s">
        <v>34</v>
      </c>
      <c r="E31502" s="21" t="s">
        <v>35</v>
      </c>
      <c r="F31502">
        <v>1630308</v>
      </c>
      <c r="G31502" t="s">
        <v>8083</v>
      </c>
      <c r="H31502" s="21">
        <v>526</v>
      </c>
    </row>
    <row r="31503" spans="1:8" customFormat="1" x14ac:dyDescent="0.25">
      <c r="A31503" t="str">
        <f>"9139223"</f>
        <v>9139223</v>
      </c>
      <c r="B31503" t="s">
        <v>23621</v>
      </c>
      <c r="C31503" t="s">
        <v>874</v>
      </c>
      <c r="D31503" s="21" t="s">
        <v>34</v>
      </c>
      <c r="E31503" s="21" t="s">
        <v>35</v>
      </c>
      <c r="F31503">
        <v>8911132</v>
      </c>
      <c r="G31503" t="s">
        <v>10728</v>
      </c>
      <c r="H31503" s="21">
        <v>526</v>
      </c>
    </row>
    <row r="31504" spans="1:8" customFormat="1" x14ac:dyDescent="0.25">
      <c r="A31504" t="str">
        <f>"1612684"</f>
        <v>1612684</v>
      </c>
      <c r="B31504" t="s">
        <v>22636</v>
      </c>
      <c r="C31504" t="s">
        <v>87</v>
      </c>
      <c r="D31504" s="21" t="s">
        <v>34</v>
      </c>
      <c r="E31504" s="21" t="s">
        <v>35</v>
      </c>
      <c r="F31504">
        <v>10160044</v>
      </c>
      <c r="G31504" t="s">
        <v>4941</v>
      </c>
      <c r="H31504" s="21">
        <v>526</v>
      </c>
    </row>
    <row r="31505" spans="1:8" customFormat="1" x14ac:dyDescent="0.25">
      <c r="A31505" t="str">
        <f>"3523850"</f>
        <v>3523850</v>
      </c>
      <c r="B31505" t="s">
        <v>1081</v>
      </c>
      <c r="C31505" t="s">
        <v>40</v>
      </c>
      <c r="D31505" s="21" t="s">
        <v>34</v>
      </c>
      <c r="E31505" s="21" t="s">
        <v>35</v>
      </c>
      <c r="F31505">
        <v>3350014</v>
      </c>
      <c r="G31505" t="s">
        <v>1078</v>
      </c>
      <c r="H31505" s="21">
        <v>526</v>
      </c>
    </row>
    <row r="31506" spans="1:8" customFormat="1" x14ac:dyDescent="0.25">
      <c r="A31506" t="str">
        <f>"8525270"</f>
        <v>8525270</v>
      </c>
      <c r="B31506" t="s">
        <v>6674</v>
      </c>
      <c r="C31506" t="s">
        <v>87</v>
      </c>
      <c r="D31506" s="21" t="s">
        <v>34</v>
      </c>
      <c r="E31506" s="21" t="s">
        <v>35</v>
      </c>
      <c r="F31506">
        <v>12850165</v>
      </c>
      <c r="G31506" t="s">
        <v>9632</v>
      </c>
      <c r="H31506" s="21">
        <v>526</v>
      </c>
    </row>
    <row r="31507" spans="1:8" customFormat="1" x14ac:dyDescent="0.25">
      <c r="A31507" t="str">
        <f>"6929450"</f>
        <v>6929450</v>
      </c>
      <c r="B31507" t="s">
        <v>697</v>
      </c>
      <c r="C31507" t="s">
        <v>817</v>
      </c>
      <c r="D31507" s="21" t="s">
        <v>34</v>
      </c>
      <c r="E31507" s="21" t="s">
        <v>254</v>
      </c>
      <c r="F31507">
        <v>1690206</v>
      </c>
      <c r="G31507" t="s">
        <v>17667</v>
      </c>
      <c r="H31507" s="21">
        <v>526</v>
      </c>
    </row>
    <row r="31508" spans="1:8" customFormat="1" x14ac:dyDescent="0.25">
      <c r="A31508" t="str">
        <f>"772893"</f>
        <v>772893</v>
      </c>
      <c r="B31508" t="s">
        <v>18037</v>
      </c>
      <c r="C31508" t="s">
        <v>33</v>
      </c>
      <c r="D31508" s="21" t="s">
        <v>34</v>
      </c>
      <c r="E31508" s="21" t="s">
        <v>71</v>
      </c>
      <c r="F31508">
        <v>8771201</v>
      </c>
      <c r="G31508" t="s">
        <v>9153</v>
      </c>
      <c r="H31508" s="21">
        <v>525.88</v>
      </c>
    </row>
    <row r="31509" spans="1:8" customFormat="1" x14ac:dyDescent="0.25">
      <c r="A31509" t="str">
        <f>"413080"</f>
        <v>413080</v>
      </c>
      <c r="B31509" t="s">
        <v>16366</v>
      </c>
      <c r="C31509" t="s">
        <v>415</v>
      </c>
      <c r="D31509" s="21" t="s">
        <v>34</v>
      </c>
      <c r="E31509" s="21" t="s">
        <v>254</v>
      </c>
      <c r="F31509">
        <v>4410543</v>
      </c>
      <c r="G31509" t="s">
        <v>14950</v>
      </c>
      <c r="H31509" s="21">
        <v>525.79</v>
      </c>
    </row>
    <row r="31510" spans="1:8" customFormat="1" x14ac:dyDescent="0.25">
      <c r="A31510" t="str">
        <f>"5326157"</f>
        <v>5326157</v>
      </c>
      <c r="B31510" t="s">
        <v>22486</v>
      </c>
      <c r="C31510" t="s">
        <v>121</v>
      </c>
      <c r="D31510" s="21" t="s">
        <v>34</v>
      </c>
      <c r="E31510" s="21" t="s">
        <v>71</v>
      </c>
      <c r="F31510">
        <v>12530010</v>
      </c>
      <c r="G31510" t="s">
        <v>7994</v>
      </c>
      <c r="H31510" s="21">
        <v>525.66999999999996</v>
      </c>
    </row>
    <row r="31511" spans="1:8" customFormat="1" x14ac:dyDescent="0.25">
      <c r="A31511" t="str">
        <f>"4416542"</f>
        <v>4416542</v>
      </c>
      <c r="B31511" t="s">
        <v>2317</v>
      </c>
      <c r="C31511" t="s">
        <v>58</v>
      </c>
      <c r="D31511" s="21" t="s">
        <v>34</v>
      </c>
      <c r="E31511" s="21" t="s">
        <v>35</v>
      </c>
      <c r="F31511">
        <v>12440206</v>
      </c>
      <c r="G31511" t="s">
        <v>10374</v>
      </c>
      <c r="H31511" s="21">
        <v>525.66999999999996</v>
      </c>
    </row>
    <row r="31512" spans="1:8" customFormat="1" x14ac:dyDescent="0.25">
      <c r="A31512" t="str">
        <f>"5950101"</f>
        <v>5950101</v>
      </c>
      <c r="B31512" t="s">
        <v>2386</v>
      </c>
      <c r="C31512" t="s">
        <v>55</v>
      </c>
      <c r="D31512" s="21" t="s">
        <v>34</v>
      </c>
      <c r="E31512" s="21" t="s">
        <v>71</v>
      </c>
      <c r="F31512">
        <v>7590182</v>
      </c>
      <c r="G31512" t="s">
        <v>172</v>
      </c>
      <c r="H31512" s="21">
        <v>525.66999999999996</v>
      </c>
    </row>
    <row r="31513" spans="1:8" customFormat="1" x14ac:dyDescent="0.25">
      <c r="A31513" t="str">
        <f>"9537410"</f>
        <v>9537410</v>
      </c>
      <c r="B31513" t="s">
        <v>28377</v>
      </c>
      <c r="C31513" t="s">
        <v>1025</v>
      </c>
      <c r="D31513" s="21" t="s">
        <v>34</v>
      </c>
      <c r="E31513" s="21" t="s">
        <v>35</v>
      </c>
      <c r="F31513">
        <v>8950479</v>
      </c>
      <c r="G31513" t="s">
        <v>728</v>
      </c>
      <c r="H31513" s="21">
        <v>525.66999999999996</v>
      </c>
    </row>
    <row r="31514" spans="1:8" customFormat="1" x14ac:dyDescent="0.25">
      <c r="A31514" t="str">
        <f>"5959865"</f>
        <v>5959865</v>
      </c>
      <c r="B31514" t="s">
        <v>12023</v>
      </c>
      <c r="C31514" t="s">
        <v>233</v>
      </c>
      <c r="D31514" s="21" t="s">
        <v>34</v>
      </c>
      <c r="E31514" s="21" t="s">
        <v>71</v>
      </c>
      <c r="F31514">
        <v>7620151</v>
      </c>
      <c r="G31514" t="s">
        <v>14891</v>
      </c>
      <c r="H31514" s="21">
        <v>525.66999999999996</v>
      </c>
    </row>
    <row r="31515" spans="1:8" customFormat="1" x14ac:dyDescent="0.25">
      <c r="A31515" t="str">
        <f>"6944112"</f>
        <v>6944112</v>
      </c>
      <c r="B31515" t="s">
        <v>970</v>
      </c>
      <c r="C31515" t="s">
        <v>269</v>
      </c>
      <c r="D31515" s="21" t="s">
        <v>34</v>
      </c>
      <c r="E31515" s="21" t="s">
        <v>71</v>
      </c>
      <c r="F31515">
        <v>1690103</v>
      </c>
      <c r="G31515" t="s">
        <v>5411</v>
      </c>
      <c r="H31515" s="21">
        <v>525.66999999999996</v>
      </c>
    </row>
    <row r="31516" spans="1:8" customFormat="1" x14ac:dyDescent="0.25">
      <c r="A31516" t="str">
        <f>"3517411"</f>
        <v>3517411</v>
      </c>
      <c r="B31516" t="s">
        <v>1435</v>
      </c>
      <c r="C31516" t="s">
        <v>1271</v>
      </c>
      <c r="D31516" s="21" t="s">
        <v>34</v>
      </c>
      <c r="E31516" s="21" t="s">
        <v>254</v>
      </c>
      <c r="F31516">
        <v>3350010</v>
      </c>
      <c r="G31516" t="s">
        <v>14315</v>
      </c>
      <c r="H31516" s="21">
        <v>525.66999999999996</v>
      </c>
    </row>
    <row r="31517" spans="1:8" customFormat="1" x14ac:dyDescent="0.25">
      <c r="A31517" t="str">
        <f>"1421531"</f>
        <v>1421531</v>
      </c>
      <c r="B31517" t="s">
        <v>1939</v>
      </c>
      <c r="C31517" t="s">
        <v>288</v>
      </c>
      <c r="D31517" s="21" t="s">
        <v>34</v>
      </c>
      <c r="E31517" s="21" t="s">
        <v>35</v>
      </c>
      <c r="F31517">
        <v>8751061</v>
      </c>
      <c r="G31517" t="s">
        <v>26628</v>
      </c>
      <c r="H31517" s="21">
        <v>525.66999999999996</v>
      </c>
    </row>
    <row r="31518" spans="1:8" customFormat="1" x14ac:dyDescent="0.25">
      <c r="A31518" t="str">
        <f>"8011105"</f>
        <v>8011105</v>
      </c>
      <c r="B31518" t="s">
        <v>21144</v>
      </c>
      <c r="C31518" t="s">
        <v>926</v>
      </c>
      <c r="D31518" s="21" t="s">
        <v>34</v>
      </c>
      <c r="E31518" s="21" t="s">
        <v>71</v>
      </c>
      <c r="F31518">
        <v>3350060</v>
      </c>
      <c r="G31518" t="s">
        <v>38</v>
      </c>
      <c r="H31518" s="21">
        <v>525.66999999999996</v>
      </c>
    </row>
    <row r="31519" spans="1:8" customFormat="1" x14ac:dyDescent="0.25">
      <c r="A31519" t="str">
        <f>"3532885"</f>
        <v>3532885</v>
      </c>
      <c r="B31519" t="s">
        <v>21193</v>
      </c>
      <c r="C31519" t="s">
        <v>124</v>
      </c>
      <c r="D31519" s="21" t="s">
        <v>34</v>
      </c>
      <c r="E31519" s="21" t="s">
        <v>71</v>
      </c>
      <c r="F31519">
        <v>3350233</v>
      </c>
      <c r="G31519" t="s">
        <v>27023</v>
      </c>
      <c r="H31519" s="21">
        <v>525.66999999999996</v>
      </c>
    </row>
    <row r="31520" spans="1:8" customFormat="1" x14ac:dyDescent="0.25">
      <c r="A31520" t="str">
        <f>"6311053"</f>
        <v>6311053</v>
      </c>
      <c r="B31520" t="s">
        <v>21736</v>
      </c>
      <c r="C31520" t="s">
        <v>124</v>
      </c>
      <c r="D31520" s="21" t="s">
        <v>34</v>
      </c>
      <c r="E31520" s="21" t="s">
        <v>254</v>
      </c>
      <c r="F31520">
        <v>1630330</v>
      </c>
      <c r="G31520" t="s">
        <v>7263</v>
      </c>
      <c r="H31520" s="21">
        <v>525.66999999999996</v>
      </c>
    </row>
    <row r="31521" spans="1:8" customFormat="1" x14ac:dyDescent="0.25">
      <c r="A31521" t="str">
        <f>"148089"</f>
        <v>148089</v>
      </c>
      <c r="B31521" t="s">
        <v>19970</v>
      </c>
      <c r="C31521" t="s">
        <v>236</v>
      </c>
      <c r="D31521" s="21" t="s">
        <v>34</v>
      </c>
      <c r="E31521" s="21" t="s">
        <v>254</v>
      </c>
      <c r="F31521">
        <v>9140162</v>
      </c>
      <c r="G31521" t="s">
        <v>7663</v>
      </c>
      <c r="H31521" s="21">
        <v>525.66999999999996</v>
      </c>
    </row>
    <row r="31522" spans="1:8" customFormat="1" x14ac:dyDescent="0.25">
      <c r="A31522" t="str">
        <f>"5981691"</f>
        <v>5981691</v>
      </c>
      <c r="B31522" t="s">
        <v>24733</v>
      </c>
      <c r="C31522" t="s">
        <v>62</v>
      </c>
      <c r="D31522" s="21" t="s">
        <v>34</v>
      </c>
      <c r="E31522" s="21" t="s">
        <v>35</v>
      </c>
      <c r="F31522">
        <v>7590413</v>
      </c>
      <c r="G31522" t="s">
        <v>6848</v>
      </c>
      <c r="H31522" s="21">
        <v>525.66999999999996</v>
      </c>
    </row>
    <row r="31523" spans="1:8" customFormat="1" x14ac:dyDescent="0.25">
      <c r="A31523" t="str">
        <f>"6023641"</f>
        <v>6023641</v>
      </c>
      <c r="B31523" t="s">
        <v>1451</v>
      </c>
      <c r="C31523" t="s">
        <v>320</v>
      </c>
      <c r="D31523" s="21" t="s">
        <v>34</v>
      </c>
      <c r="E31523" s="21" t="s">
        <v>35</v>
      </c>
      <c r="F31523">
        <v>7600088</v>
      </c>
      <c r="G31523" t="s">
        <v>334</v>
      </c>
      <c r="H31523" s="21">
        <v>525.66999999999996</v>
      </c>
    </row>
    <row r="31524" spans="1:8" customFormat="1" x14ac:dyDescent="0.25">
      <c r="A31524" t="str">
        <f>"8017042"</f>
        <v>8017042</v>
      </c>
      <c r="B31524" t="s">
        <v>11105</v>
      </c>
      <c r="C31524" t="s">
        <v>269</v>
      </c>
      <c r="D31524" s="21" t="s">
        <v>34</v>
      </c>
      <c r="E31524" s="21" t="s">
        <v>35</v>
      </c>
      <c r="F31524">
        <v>7800147</v>
      </c>
      <c r="G31524" t="s">
        <v>10438</v>
      </c>
      <c r="H31524" s="21">
        <v>525.66999999999996</v>
      </c>
    </row>
    <row r="31525" spans="1:8" customFormat="1" x14ac:dyDescent="0.25">
      <c r="A31525" t="str">
        <f>"833598"</f>
        <v>833598</v>
      </c>
      <c r="B31525" t="s">
        <v>21023</v>
      </c>
      <c r="C31525" t="s">
        <v>55</v>
      </c>
      <c r="D31525" s="21" t="s">
        <v>34</v>
      </c>
      <c r="E31525" s="21" t="s">
        <v>71</v>
      </c>
      <c r="F31525">
        <v>13830062</v>
      </c>
      <c r="G31525" t="s">
        <v>9074</v>
      </c>
      <c r="H31525" s="21">
        <v>525.66999999999996</v>
      </c>
    </row>
    <row r="31526" spans="1:8" customFormat="1" x14ac:dyDescent="0.25">
      <c r="A31526" t="str">
        <f>"137187"</f>
        <v>137187</v>
      </c>
      <c r="B31526" t="s">
        <v>20692</v>
      </c>
      <c r="C31526" t="s">
        <v>1705</v>
      </c>
      <c r="D31526" s="21" t="s">
        <v>34</v>
      </c>
      <c r="E31526" s="21" t="s">
        <v>71</v>
      </c>
      <c r="F31526">
        <v>13130162</v>
      </c>
      <c r="G31526" t="s">
        <v>13411</v>
      </c>
      <c r="H31526" s="21">
        <v>525.66999999999996</v>
      </c>
    </row>
    <row r="31527" spans="1:8" customFormat="1" x14ac:dyDescent="0.25">
      <c r="A31527" t="str">
        <f>"7824545"</f>
        <v>7824545</v>
      </c>
      <c r="B31527" t="s">
        <v>21699</v>
      </c>
      <c r="C31527" t="s">
        <v>121</v>
      </c>
      <c r="D31527" s="21" t="s">
        <v>34</v>
      </c>
      <c r="E31527" s="21" t="s">
        <v>35</v>
      </c>
      <c r="F31527">
        <v>8780401</v>
      </c>
      <c r="G31527" t="s">
        <v>9116</v>
      </c>
      <c r="H31527" s="21">
        <v>525.66999999999996</v>
      </c>
    </row>
    <row r="31528" spans="1:8" customFormat="1" x14ac:dyDescent="0.25">
      <c r="A31528" t="str">
        <f>"635158"</f>
        <v>635158</v>
      </c>
      <c r="B31528" t="s">
        <v>1945</v>
      </c>
      <c r="C31528" t="s">
        <v>5855</v>
      </c>
      <c r="D31528" s="21" t="s">
        <v>34</v>
      </c>
      <c r="E31528" s="21" t="s">
        <v>254</v>
      </c>
      <c r="F31528">
        <v>1630298</v>
      </c>
      <c r="G31528" t="s">
        <v>7247</v>
      </c>
      <c r="H31528" s="21">
        <v>525.66999999999996</v>
      </c>
    </row>
    <row r="31529" spans="1:8" customFormat="1" x14ac:dyDescent="0.25">
      <c r="A31529" t="str">
        <f>"3827993"</f>
        <v>3827993</v>
      </c>
      <c r="B31529" t="s">
        <v>21145</v>
      </c>
      <c r="C31529" t="s">
        <v>3859</v>
      </c>
      <c r="D31529" s="21" t="s">
        <v>34</v>
      </c>
      <c r="E31529" s="21" t="s">
        <v>71</v>
      </c>
      <c r="F31529">
        <v>1380056</v>
      </c>
      <c r="G31529" t="s">
        <v>846</v>
      </c>
      <c r="H31529" s="21">
        <v>525.66999999999996</v>
      </c>
    </row>
    <row r="31530" spans="1:8" customFormat="1" x14ac:dyDescent="0.25">
      <c r="A31530" t="str">
        <f>"323786"</f>
        <v>323786</v>
      </c>
      <c r="B31530" t="s">
        <v>21395</v>
      </c>
      <c r="C31530" t="s">
        <v>2730</v>
      </c>
      <c r="D31530" s="21" t="s">
        <v>34</v>
      </c>
      <c r="E31530" s="21" t="s">
        <v>71</v>
      </c>
      <c r="F31530">
        <v>11320005</v>
      </c>
      <c r="G31530" t="s">
        <v>120</v>
      </c>
      <c r="H31530" s="21">
        <v>525.66999999999996</v>
      </c>
    </row>
    <row r="31531" spans="1:8" customFormat="1" x14ac:dyDescent="0.25">
      <c r="A31531" t="str">
        <f>"2928819"</f>
        <v>2928819</v>
      </c>
      <c r="B31531" t="s">
        <v>3646</v>
      </c>
      <c r="C31531" t="s">
        <v>7923</v>
      </c>
      <c r="D31531" s="21" t="s">
        <v>34</v>
      </c>
      <c r="E31531" s="21" t="s">
        <v>71</v>
      </c>
      <c r="F31531">
        <v>3290081</v>
      </c>
      <c r="G31531" t="s">
        <v>3819</v>
      </c>
      <c r="H31531" s="21">
        <v>525.66999999999996</v>
      </c>
    </row>
    <row r="31532" spans="1:8" customFormat="1" x14ac:dyDescent="0.25">
      <c r="A31532" t="str">
        <f>"5983521"</f>
        <v>5983521</v>
      </c>
      <c r="B31532" t="s">
        <v>28378</v>
      </c>
      <c r="C31532" t="s">
        <v>169</v>
      </c>
      <c r="D31532" s="21" t="s">
        <v>34</v>
      </c>
      <c r="E31532" s="21" t="s">
        <v>35</v>
      </c>
      <c r="F31532">
        <v>7590021</v>
      </c>
      <c r="G31532" t="s">
        <v>4910</v>
      </c>
      <c r="H31532" s="21">
        <v>525.66999999999996</v>
      </c>
    </row>
    <row r="31533" spans="1:8" customFormat="1" x14ac:dyDescent="0.25">
      <c r="A31533" t="str">
        <f>"948791"</f>
        <v>948791</v>
      </c>
      <c r="B31533" t="s">
        <v>3001</v>
      </c>
      <c r="C31533" t="s">
        <v>55</v>
      </c>
      <c r="D31533" s="21" t="s">
        <v>34</v>
      </c>
      <c r="E31533" s="21" t="s">
        <v>71</v>
      </c>
      <c r="F31533">
        <v>8940549</v>
      </c>
      <c r="G31533" t="s">
        <v>454</v>
      </c>
      <c r="H31533" s="21">
        <v>525.54</v>
      </c>
    </row>
    <row r="31534" spans="1:8" customFormat="1" x14ac:dyDescent="0.25">
      <c r="A31534" t="str">
        <f>"2815238"</f>
        <v>2815238</v>
      </c>
      <c r="B31534" t="s">
        <v>4321</v>
      </c>
      <c r="C31534" t="s">
        <v>412</v>
      </c>
      <c r="D31534" s="21" t="s">
        <v>34</v>
      </c>
      <c r="E31534" s="21" t="s">
        <v>71</v>
      </c>
      <c r="F31534">
        <v>4280681</v>
      </c>
      <c r="G31534" t="s">
        <v>1656</v>
      </c>
      <c r="H31534" s="21">
        <v>525.5</v>
      </c>
    </row>
    <row r="31535" spans="1:8" customFormat="1" x14ac:dyDescent="0.25">
      <c r="A31535" t="str">
        <f>"558998"</f>
        <v>558998</v>
      </c>
      <c r="B31535" t="s">
        <v>582</v>
      </c>
      <c r="C31535" t="s">
        <v>33</v>
      </c>
      <c r="D31535" s="21" t="s">
        <v>34</v>
      </c>
      <c r="E31535" s="21" t="s">
        <v>254</v>
      </c>
      <c r="F31535">
        <v>6550052</v>
      </c>
      <c r="G31535" t="s">
        <v>6028</v>
      </c>
      <c r="H31535" s="21">
        <v>525.5</v>
      </c>
    </row>
    <row r="31536" spans="1:8" customFormat="1" x14ac:dyDescent="0.25">
      <c r="A31536" t="str">
        <f>"7633724"</f>
        <v>7633724</v>
      </c>
      <c r="B31536" t="s">
        <v>15115</v>
      </c>
      <c r="C31536" t="s">
        <v>33</v>
      </c>
      <c r="D31536" s="21" t="s">
        <v>34</v>
      </c>
      <c r="E31536" s="21" t="s">
        <v>71</v>
      </c>
      <c r="F31536">
        <v>9760167</v>
      </c>
      <c r="G31536" t="s">
        <v>13836</v>
      </c>
      <c r="H31536" s="21">
        <v>525.5</v>
      </c>
    </row>
    <row r="31537" spans="1:8" customFormat="1" x14ac:dyDescent="0.25">
      <c r="A31537" t="str">
        <f>"3421838"</f>
        <v>3421838</v>
      </c>
      <c r="B31537" t="s">
        <v>24436</v>
      </c>
      <c r="C31537" t="s">
        <v>305</v>
      </c>
      <c r="D31537" s="21" t="s">
        <v>34</v>
      </c>
      <c r="E31537" s="21" t="s">
        <v>35</v>
      </c>
      <c r="F31537">
        <v>11340003</v>
      </c>
      <c r="G31537" t="s">
        <v>3326</v>
      </c>
      <c r="H31537" s="21">
        <v>525.5</v>
      </c>
    </row>
    <row r="31538" spans="1:8" customFormat="1" x14ac:dyDescent="0.25">
      <c r="A31538" t="str">
        <f>"5919908"</f>
        <v>5919908</v>
      </c>
      <c r="B31538" t="s">
        <v>22017</v>
      </c>
      <c r="C31538" t="s">
        <v>55</v>
      </c>
      <c r="D31538" s="21" t="s">
        <v>34</v>
      </c>
      <c r="E31538" s="21" t="s">
        <v>71</v>
      </c>
      <c r="F31538">
        <v>7590164</v>
      </c>
      <c r="G31538" t="s">
        <v>2451</v>
      </c>
      <c r="H31538" s="21">
        <v>525.5</v>
      </c>
    </row>
    <row r="31539" spans="1:8" customFormat="1" x14ac:dyDescent="0.25">
      <c r="A31539" t="str">
        <f>"4928321"</f>
        <v>4928321</v>
      </c>
      <c r="B31539" t="s">
        <v>21930</v>
      </c>
      <c r="C31539" t="s">
        <v>40</v>
      </c>
      <c r="D31539" s="21" t="s">
        <v>34</v>
      </c>
      <c r="E31539" s="21" t="s">
        <v>254</v>
      </c>
      <c r="F31539">
        <v>12490092</v>
      </c>
      <c r="G31539" t="s">
        <v>1854</v>
      </c>
      <c r="H31539" s="21">
        <v>525.5</v>
      </c>
    </row>
    <row r="31540" spans="1:8" customFormat="1" x14ac:dyDescent="0.25">
      <c r="A31540" t="str">
        <f>"434491"</f>
        <v>434491</v>
      </c>
      <c r="B31540" t="s">
        <v>1312</v>
      </c>
      <c r="C31540" t="s">
        <v>187</v>
      </c>
      <c r="D31540" s="21" t="s">
        <v>34</v>
      </c>
      <c r="E31540" s="21" t="s">
        <v>35</v>
      </c>
      <c r="F31540">
        <v>1420240</v>
      </c>
      <c r="G31540" t="s">
        <v>9179</v>
      </c>
      <c r="H31540" s="21">
        <v>525.5</v>
      </c>
    </row>
    <row r="31541" spans="1:8" customFormat="1" x14ac:dyDescent="0.25">
      <c r="A31541" t="str">
        <f>"3344326"</f>
        <v>3344326</v>
      </c>
      <c r="B31541" t="s">
        <v>28379</v>
      </c>
      <c r="C31541" t="s">
        <v>428</v>
      </c>
      <c r="D31541" s="21" t="s">
        <v>34</v>
      </c>
      <c r="E31541" s="21" t="s">
        <v>35</v>
      </c>
      <c r="F31541">
        <v>10330073</v>
      </c>
      <c r="G31541" t="s">
        <v>18352</v>
      </c>
      <c r="H31541" s="21">
        <v>525.41999999999996</v>
      </c>
    </row>
    <row r="31542" spans="1:8" customFormat="1" x14ac:dyDescent="0.25">
      <c r="A31542" t="str">
        <f>"941610"</f>
        <v>941610</v>
      </c>
      <c r="B31542" t="s">
        <v>20816</v>
      </c>
      <c r="C31542" t="s">
        <v>65</v>
      </c>
      <c r="D31542" s="21" t="s">
        <v>34</v>
      </c>
      <c r="E31542" s="21" t="s">
        <v>254</v>
      </c>
      <c r="F31542">
        <v>8940975</v>
      </c>
      <c r="G31542" t="s">
        <v>7959</v>
      </c>
      <c r="H31542" s="21">
        <v>525.29</v>
      </c>
    </row>
    <row r="31543" spans="1:8" customFormat="1" x14ac:dyDescent="0.25">
      <c r="A31543" t="str">
        <f>"8017234"</f>
        <v>8017234</v>
      </c>
      <c r="B31543" t="s">
        <v>22118</v>
      </c>
      <c r="C31543" t="s">
        <v>169</v>
      </c>
      <c r="D31543" s="21" t="s">
        <v>34</v>
      </c>
      <c r="E31543" s="21" t="s">
        <v>35</v>
      </c>
      <c r="F31543">
        <v>7800108</v>
      </c>
      <c r="G31543" t="s">
        <v>13093</v>
      </c>
      <c r="H31543" s="21">
        <v>525.16999999999996</v>
      </c>
    </row>
    <row r="31544" spans="1:8" customFormat="1" x14ac:dyDescent="0.25">
      <c r="A31544" t="str">
        <f>"898674"</f>
        <v>898674</v>
      </c>
      <c r="B31544" t="s">
        <v>21417</v>
      </c>
      <c r="C31544" t="s">
        <v>1841</v>
      </c>
      <c r="D31544" s="21" t="s">
        <v>34</v>
      </c>
      <c r="E31544" s="21" t="s">
        <v>254</v>
      </c>
      <c r="F31544">
        <v>2890062</v>
      </c>
      <c r="G31544" t="s">
        <v>9283</v>
      </c>
      <c r="H31544" s="21">
        <v>525.16999999999996</v>
      </c>
    </row>
    <row r="31545" spans="1:8" customFormat="1" x14ac:dyDescent="0.25">
      <c r="A31545" t="str">
        <f>"5019413"</f>
        <v>5019413</v>
      </c>
      <c r="B31545" t="s">
        <v>20959</v>
      </c>
      <c r="C31545" t="s">
        <v>244</v>
      </c>
      <c r="D31545" s="21" t="s">
        <v>34</v>
      </c>
      <c r="E31545" s="21" t="s">
        <v>35</v>
      </c>
      <c r="F31545">
        <v>9500132</v>
      </c>
      <c r="G31545" t="s">
        <v>11167</v>
      </c>
      <c r="H31545" s="21">
        <v>525.16999999999996</v>
      </c>
    </row>
    <row r="31546" spans="1:8" customFormat="1" x14ac:dyDescent="0.25">
      <c r="A31546" t="str">
        <f>"716231"</f>
        <v>716231</v>
      </c>
      <c r="B31546" t="s">
        <v>11379</v>
      </c>
      <c r="C31546" t="s">
        <v>3010</v>
      </c>
      <c r="D31546" s="21" t="s">
        <v>34</v>
      </c>
      <c r="E31546" s="21" t="s">
        <v>1089</v>
      </c>
      <c r="F31546">
        <v>2710035</v>
      </c>
      <c r="G31546" t="s">
        <v>7300</v>
      </c>
      <c r="H31546" s="21">
        <v>525.16999999999996</v>
      </c>
    </row>
    <row r="31547" spans="1:8" customFormat="1" x14ac:dyDescent="0.25">
      <c r="A31547" t="str">
        <f>"5729952"</f>
        <v>5729952</v>
      </c>
      <c r="B31547" t="s">
        <v>21509</v>
      </c>
      <c r="C31547" t="s">
        <v>598</v>
      </c>
      <c r="D31547" s="21" t="s">
        <v>34</v>
      </c>
      <c r="E31547" s="21" t="s">
        <v>35</v>
      </c>
      <c r="F31547">
        <v>6570007</v>
      </c>
      <c r="G31547" t="s">
        <v>2845</v>
      </c>
      <c r="H31547" s="21">
        <v>525.16999999999996</v>
      </c>
    </row>
    <row r="31548" spans="1:8" customFormat="1" x14ac:dyDescent="0.25">
      <c r="A31548" t="str">
        <f>"7825394"</f>
        <v>7825394</v>
      </c>
      <c r="B31548" t="s">
        <v>20462</v>
      </c>
      <c r="C31548" t="s">
        <v>209</v>
      </c>
      <c r="D31548" s="21" t="s">
        <v>34</v>
      </c>
      <c r="E31548" s="21" t="s">
        <v>71</v>
      </c>
      <c r="F31548">
        <v>8780353</v>
      </c>
      <c r="G31548" t="s">
        <v>6524</v>
      </c>
      <c r="H31548" s="21">
        <v>525.16999999999996</v>
      </c>
    </row>
    <row r="31549" spans="1:8" customFormat="1" x14ac:dyDescent="0.25">
      <c r="A31549" t="str">
        <f>"5964702"</f>
        <v>5964702</v>
      </c>
      <c r="B31549" t="s">
        <v>17022</v>
      </c>
      <c r="C31549" t="s">
        <v>2520</v>
      </c>
      <c r="D31549" s="21" t="s">
        <v>34</v>
      </c>
      <c r="E31549" s="21" t="s">
        <v>1089</v>
      </c>
      <c r="F31549">
        <v>7590137</v>
      </c>
      <c r="G31549" t="s">
        <v>4246</v>
      </c>
      <c r="H31549" s="21">
        <v>525.16999999999996</v>
      </c>
    </row>
    <row r="31550" spans="1:8" customFormat="1" x14ac:dyDescent="0.25">
      <c r="A31550" t="str">
        <f>"6112808"</f>
        <v>6112808</v>
      </c>
      <c r="B31550" t="s">
        <v>22317</v>
      </c>
      <c r="C31550" t="s">
        <v>87</v>
      </c>
      <c r="D31550" s="21" t="s">
        <v>34</v>
      </c>
      <c r="E31550" s="21" t="s">
        <v>35</v>
      </c>
      <c r="F31550">
        <v>9610087</v>
      </c>
      <c r="G31550" t="s">
        <v>2661</v>
      </c>
      <c r="H31550" s="21">
        <v>525.16999999999996</v>
      </c>
    </row>
    <row r="31551" spans="1:8" customFormat="1" x14ac:dyDescent="0.25">
      <c r="A31551" t="str">
        <f>"1418604"</f>
        <v>1418604</v>
      </c>
      <c r="B31551" t="s">
        <v>2289</v>
      </c>
      <c r="C31551" t="s">
        <v>412</v>
      </c>
      <c r="D31551" s="21" t="s">
        <v>34</v>
      </c>
      <c r="E31551" s="21" t="s">
        <v>1089</v>
      </c>
      <c r="F31551">
        <v>9140123</v>
      </c>
      <c r="G31551" t="s">
        <v>661</v>
      </c>
      <c r="H31551" s="21">
        <v>525.16999999999996</v>
      </c>
    </row>
    <row r="31552" spans="1:8" customFormat="1" x14ac:dyDescent="0.25">
      <c r="A31552" t="str">
        <f>"4214888"</f>
        <v>4214888</v>
      </c>
      <c r="B31552" t="s">
        <v>13782</v>
      </c>
      <c r="C31552" t="s">
        <v>2752</v>
      </c>
      <c r="D31552" s="21" t="s">
        <v>34</v>
      </c>
      <c r="E31552" s="21" t="s">
        <v>71</v>
      </c>
      <c r="F31552">
        <v>1420048</v>
      </c>
      <c r="G31552" t="s">
        <v>745</v>
      </c>
      <c r="H31552" s="21">
        <v>525.16999999999996</v>
      </c>
    </row>
    <row r="31553" spans="1:8" customFormat="1" x14ac:dyDescent="0.25">
      <c r="A31553" t="str">
        <f>"6720912"</f>
        <v>6720912</v>
      </c>
      <c r="B31553" t="s">
        <v>20744</v>
      </c>
      <c r="C31553" t="s">
        <v>1812</v>
      </c>
      <c r="D31553" s="21" t="s">
        <v>34</v>
      </c>
      <c r="E31553" s="21" t="s">
        <v>254</v>
      </c>
      <c r="F31553">
        <v>6670178</v>
      </c>
      <c r="G31553" t="s">
        <v>10001</v>
      </c>
      <c r="H31553" s="21">
        <v>525.16999999999996</v>
      </c>
    </row>
    <row r="31554" spans="1:8" customFormat="1" x14ac:dyDescent="0.25">
      <c r="A31554" t="str">
        <f>"1426303"</f>
        <v>1426303</v>
      </c>
      <c r="B31554" t="s">
        <v>4493</v>
      </c>
      <c r="C31554" t="s">
        <v>204</v>
      </c>
      <c r="D31554" s="21" t="s">
        <v>34</v>
      </c>
      <c r="E31554" s="21" t="s">
        <v>35</v>
      </c>
      <c r="F31554">
        <v>9140209</v>
      </c>
      <c r="G31554" t="s">
        <v>27492</v>
      </c>
      <c r="H31554" s="21">
        <v>525.16999999999996</v>
      </c>
    </row>
    <row r="31555" spans="1:8" customFormat="1" x14ac:dyDescent="0.25">
      <c r="A31555" t="str">
        <f>"5972354"</f>
        <v>5972354</v>
      </c>
      <c r="B31555" t="s">
        <v>1055</v>
      </c>
      <c r="C31555" t="s">
        <v>40</v>
      </c>
      <c r="D31555" s="21" t="s">
        <v>34</v>
      </c>
      <c r="E31555" s="21" t="s">
        <v>71</v>
      </c>
      <c r="F31555">
        <v>7590237</v>
      </c>
      <c r="G31555" t="s">
        <v>3600</v>
      </c>
      <c r="H31555" s="21">
        <v>525.16999999999996</v>
      </c>
    </row>
    <row r="31556" spans="1:8" customFormat="1" x14ac:dyDescent="0.25">
      <c r="A31556" t="str">
        <f>"5974667"</f>
        <v>5974667</v>
      </c>
      <c r="B31556" t="s">
        <v>22651</v>
      </c>
      <c r="C31556" t="s">
        <v>119</v>
      </c>
      <c r="D31556" s="21" t="s">
        <v>34</v>
      </c>
      <c r="E31556" s="21" t="s">
        <v>35</v>
      </c>
      <c r="F31556">
        <v>7590089</v>
      </c>
      <c r="G31556" t="s">
        <v>1418</v>
      </c>
      <c r="H31556" s="21">
        <v>525</v>
      </c>
    </row>
    <row r="31557" spans="1:8" customFormat="1" x14ac:dyDescent="0.25">
      <c r="A31557" t="str">
        <f>"678295"</f>
        <v>678295</v>
      </c>
      <c r="B31557" t="s">
        <v>22743</v>
      </c>
      <c r="C31557" t="s">
        <v>288</v>
      </c>
      <c r="D31557" s="21" t="s">
        <v>34</v>
      </c>
      <c r="E31557" s="21" t="s">
        <v>35</v>
      </c>
      <c r="F31557">
        <v>6670200</v>
      </c>
      <c r="G31557" t="s">
        <v>27156</v>
      </c>
      <c r="H31557" s="21">
        <v>525</v>
      </c>
    </row>
    <row r="31558" spans="1:8" customFormat="1" x14ac:dyDescent="0.25">
      <c r="A31558" t="str">
        <f>"9511366"</f>
        <v>9511366</v>
      </c>
      <c r="B31558" t="s">
        <v>28380</v>
      </c>
      <c r="C31558" t="s">
        <v>124</v>
      </c>
      <c r="D31558" s="21" t="s">
        <v>34</v>
      </c>
      <c r="E31558" s="21" t="s">
        <v>254</v>
      </c>
      <c r="F31558">
        <v>6510053</v>
      </c>
      <c r="G31558" t="s">
        <v>27203</v>
      </c>
      <c r="H31558" s="21">
        <v>525</v>
      </c>
    </row>
    <row r="31559" spans="1:8" customFormat="1" x14ac:dyDescent="0.25">
      <c r="A31559" t="str">
        <f>"879737"</f>
        <v>879737</v>
      </c>
      <c r="B31559" t="s">
        <v>701</v>
      </c>
      <c r="C31559" t="s">
        <v>2838</v>
      </c>
      <c r="D31559" s="21" t="s">
        <v>34</v>
      </c>
      <c r="E31559" s="21" t="s">
        <v>35</v>
      </c>
      <c r="F31559">
        <v>10870128</v>
      </c>
      <c r="G31559" t="s">
        <v>9710</v>
      </c>
      <c r="H31559" s="21">
        <v>525</v>
      </c>
    </row>
    <row r="31560" spans="1:8" customFormat="1" x14ac:dyDescent="0.25">
      <c r="A31560" t="str">
        <f>"3537661"</f>
        <v>3537661</v>
      </c>
      <c r="B31560" t="s">
        <v>1908</v>
      </c>
      <c r="C31560" t="s">
        <v>608</v>
      </c>
      <c r="D31560" s="21" t="s">
        <v>34</v>
      </c>
      <c r="E31560" s="21" t="s">
        <v>35</v>
      </c>
      <c r="F31560">
        <v>3350160</v>
      </c>
      <c r="G31560" t="s">
        <v>13252</v>
      </c>
      <c r="H31560" s="21">
        <v>525</v>
      </c>
    </row>
    <row r="31561" spans="1:8" customFormat="1" x14ac:dyDescent="0.25">
      <c r="A31561" t="str">
        <f>"5317358"</f>
        <v>5317358</v>
      </c>
      <c r="B31561" t="s">
        <v>5697</v>
      </c>
      <c r="C31561" t="s">
        <v>239</v>
      </c>
      <c r="D31561" s="21" t="s">
        <v>34</v>
      </c>
      <c r="E31561" s="21" t="s">
        <v>71</v>
      </c>
      <c r="F31561">
        <v>12538900</v>
      </c>
      <c r="G31561" t="s">
        <v>14904</v>
      </c>
      <c r="H31561" s="21">
        <v>525</v>
      </c>
    </row>
    <row r="31562" spans="1:8" customFormat="1" x14ac:dyDescent="0.25">
      <c r="A31562" t="str">
        <f>"7412513"</f>
        <v>7412513</v>
      </c>
      <c r="B31562" t="s">
        <v>3689</v>
      </c>
      <c r="C31562" t="s">
        <v>415</v>
      </c>
      <c r="D31562" s="21" t="s">
        <v>34</v>
      </c>
      <c r="E31562" s="21" t="s">
        <v>35</v>
      </c>
      <c r="F31562">
        <v>1380056</v>
      </c>
      <c r="G31562" t="s">
        <v>846</v>
      </c>
      <c r="H31562" s="21">
        <v>525</v>
      </c>
    </row>
    <row r="31563" spans="1:8" customFormat="1" x14ac:dyDescent="0.25">
      <c r="A31563" t="str">
        <f>"3113206"</f>
        <v>3113206</v>
      </c>
      <c r="B31563" t="s">
        <v>20822</v>
      </c>
      <c r="C31563" t="s">
        <v>209</v>
      </c>
      <c r="D31563" s="21" t="s">
        <v>34</v>
      </c>
      <c r="E31563" s="21" t="s">
        <v>71</v>
      </c>
      <c r="F31563">
        <v>11310123</v>
      </c>
      <c r="G31563" t="s">
        <v>3915</v>
      </c>
      <c r="H31563" s="21">
        <v>525</v>
      </c>
    </row>
    <row r="31564" spans="1:8" customFormat="1" x14ac:dyDescent="0.25">
      <c r="A31564" t="str">
        <f>"667771"</f>
        <v>667771</v>
      </c>
      <c r="B31564" t="s">
        <v>15159</v>
      </c>
      <c r="C31564" t="s">
        <v>119</v>
      </c>
      <c r="D31564" s="21" t="s">
        <v>34</v>
      </c>
      <c r="E31564" s="21" t="s">
        <v>71</v>
      </c>
      <c r="F31564">
        <v>11660040</v>
      </c>
      <c r="G31564" t="s">
        <v>17413</v>
      </c>
      <c r="H31564" s="21">
        <v>525</v>
      </c>
    </row>
    <row r="31565" spans="1:8" customFormat="1" x14ac:dyDescent="0.25">
      <c r="A31565" t="str">
        <f>"434621"</f>
        <v>434621</v>
      </c>
      <c r="B31565" t="s">
        <v>760</v>
      </c>
      <c r="C31565" t="s">
        <v>263</v>
      </c>
      <c r="D31565" s="21" t="s">
        <v>34</v>
      </c>
      <c r="E31565" s="21" t="s">
        <v>254</v>
      </c>
      <c r="F31565">
        <v>1420240</v>
      </c>
      <c r="G31565" t="s">
        <v>9179</v>
      </c>
      <c r="H31565" s="21">
        <v>525</v>
      </c>
    </row>
    <row r="31566" spans="1:8" customFormat="1" x14ac:dyDescent="0.25">
      <c r="A31566" t="str">
        <f>"4113965"</f>
        <v>4113965</v>
      </c>
      <c r="B31566" t="s">
        <v>2978</v>
      </c>
      <c r="C31566" t="s">
        <v>5183</v>
      </c>
      <c r="D31566" s="21" t="s">
        <v>34</v>
      </c>
      <c r="E31566" s="21" t="s">
        <v>35</v>
      </c>
      <c r="F31566">
        <v>4410217</v>
      </c>
      <c r="G31566" t="s">
        <v>10838</v>
      </c>
      <c r="H31566" s="21">
        <v>525</v>
      </c>
    </row>
    <row r="31567" spans="1:8" customFormat="1" x14ac:dyDescent="0.25">
      <c r="A31567" t="str">
        <f>"9145522"</f>
        <v>9145522</v>
      </c>
      <c r="B31567" t="s">
        <v>24401</v>
      </c>
      <c r="C31567" t="s">
        <v>169</v>
      </c>
      <c r="D31567" s="21" t="s">
        <v>34</v>
      </c>
      <c r="E31567" s="21" t="s">
        <v>35</v>
      </c>
      <c r="F31567">
        <v>8910916</v>
      </c>
      <c r="G31567" t="s">
        <v>2251</v>
      </c>
      <c r="H31567" s="21">
        <v>525</v>
      </c>
    </row>
    <row r="31568" spans="1:8" customFormat="1" x14ac:dyDescent="0.25">
      <c r="A31568" t="str">
        <f>"7920996"</f>
        <v>7920996</v>
      </c>
      <c r="B31568" t="s">
        <v>67</v>
      </c>
      <c r="C31568" t="s">
        <v>121</v>
      </c>
      <c r="D31568" s="21" t="s">
        <v>34</v>
      </c>
      <c r="E31568" s="21" t="s">
        <v>35</v>
      </c>
      <c r="F31568">
        <v>10160069</v>
      </c>
      <c r="G31568" t="s">
        <v>5379</v>
      </c>
      <c r="H31568" s="21">
        <v>525</v>
      </c>
    </row>
    <row r="31569" spans="1:8" customFormat="1" x14ac:dyDescent="0.25">
      <c r="A31569" t="str">
        <f>"6234156"</f>
        <v>6234156</v>
      </c>
      <c r="B31569" t="s">
        <v>22725</v>
      </c>
      <c r="C31569" t="s">
        <v>90</v>
      </c>
      <c r="D31569" s="21" t="s">
        <v>34</v>
      </c>
      <c r="E31569" s="21" t="s">
        <v>35</v>
      </c>
      <c r="F31569">
        <v>7620103</v>
      </c>
      <c r="G31569" t="s">
        <v>1107</v>
      </c>
      <c r="H31569" s="21">
        <v>525</v>
      </c>
    </row>
    <row r="31570" spans="1:8" customFormat="1" x14ac:dyDescent="0.25">
      <c r="A31570" t="str">
        <f>"365910"</f>
        <v>365910</v>
      </c>
      <c r="B31570" t="s">
        <v>22158</v>
      </c>
      <c r="C31570" t="s">
        <v>33</v>
      </c>
      <c r="D31570" s="21" t="s">
        <v>34</v>
      </c>
      <c r="E31570" s="21" t="s">
        <v>71</v>
      </c>
      <c r="F31570">
        <v>4360123</v>
      </c>
      <c r="G31570" t="s">
        <v>4121</v>
      </c>
      <c r="H31570" s="21">
        <v>525</v>
      </c>
    </row>
    <row r="31571" spans="1:8" customFormat="1" x14ac:dyDescent="0.25">
      <c r="A31571" t="str">
        <f>"9243143"</f>
        <v>9243143</v>
      </c>
      <c r="B31571" t="s">
        <v>22153</v>
      </c>
      <c r="C31571" t="s">
        <v>130</v>
      </c>
      <c r="D31571" s="21" t="s">
        <v>34</v>
      </c>
      <c r="E31571" s="21" t="s">
        <v>71</v>
      </c>
      <c r="F31571">
        <v>8920140</v>
      </c>
      <c r="G31571" t="s">
        <v>3762</v>
      </c>
      <c r="H31571" s="21">
        <v>524.91999999999996</v>
      </c>
    </row>
    <row r="31572" spans="1:8" customFormat="1" x14ac:dyDescent="0.25">
      <c r="A31572" t="str">
        <f>"5810654"</f>
        <v>5810654</v>
      </c>
      <c r="B31572" t="s">
        <v>4027</v>
      </c>
      <c r="C31572" t="s">
        <v>486</v>
      </c>
      <c r="D31572" s="21" t="s">
        <v>34</v>
      </c>
      <c r="E31572" s="21" t="s">
        <v>35</v>
      </c>
      <c r="F31572">
        <v>2580035</v>
      </c>
      <c r="G31572" t="s">
        <v>5991</v>
      </c>
      <c r="H31572" s="21">
        <v>524.88</v>
      </c>
    </row>
    <row r="31573" spans="1:8" customFormat="1" x14ac:dyDescent="0.25">
      <c r="A31573" t="str">
        <f>"2719181"</f>
        <v>2719181</v>
      </c>
      <c r="B31573" t="s">
        <v>20742</v>
      </c>
      <c r="C31573" t="s">
        <v>576</v>
      </c>
      <c r="D31573" s="21" t="s">
        <v>34</v>
      </c>
      <c r="E31573" s="21" t="s">
        <v>35</v>
      </c>
      <c r="F31573">
        <v>9270005</v>
      </c>
      <c r="G31573" t="s">
        <v>1255</v>
      </c>
      <c r="H31573" s="21">
        <v>524.66999999999996</v>
      </c>
    </row>
    <row r="31574" spans="1:8" customFormat="1" x14ac:dyDescent="0.25">
      <c r="A31574" t="str">
        <f>"7732212"</f>
        <v>7732212</v>
      </c>
      <c r="B31574" t="s">
        <v>6325</v>
      </c>
      <c r="C31574" t="s">
        <v>269</v>
      </c>
      <c r="D31574" s="21" t="s">
        <v>34</v>
      </c>
      <c r="E31574" s="21" t="s">
        <v>71</v>
      </c>
      <c r="F31574">
        <v>8771518</v>
      </c>
      <c r="G31574" t="s">
        <v>12274</v>
      </c>
      <c r="H31574" s="21">
        <v>524.66999999999996</v>
      </c>
    </row>
    <row r="31575" spans="1:8" customFormat="1" x14ac:dyDescent="0.25">
      <c r="A31575" t="str">
        <f>"7635424"</f>
        <v>7635424</v>
      </c>
      <c r="B31575" t="s">
        <v>28381</v>
      </c>
      <c r="C31575" t="s">
        <v>62</v>
      </c>
      <c r="D31575" s="21" t="s">
        <v>34</v>
      </c>
      <c r="E31575" s="21" t="s">
        <v>35</v>
      </c>
      <c r="F31575">
        <v>9760156</v>
      </c>
      <c r="G31575" t="s">
        <v>26731</v>
      </c>
      <c r="H31575" s="21">
        <v>524.66999999999996</v>
      </c>
    </row>
    <row r="31576" spans="1:8" customFormat="1" x14ac:dyDescent="0.25">
      <c r="A31576" t="str">
        <f>"6231263"</f>
        <v>6231263</v>
      </c>
      <c r="B31576" t="s">
        <v>21941</v>
      </c>
      <c r="C31576" t="s">
        <v>209</v>
      </c>
      <c r="D31576" s="21" t="s">
        <v>34</v>
      </c>
      <c r="E31576" s="21" t="s">
        <v>254</v>
      </c>
      <c r="F31576">
        <v>7620178</v>
      </c>
      <c r="G31576" t="s">
        <v>11090</v>
      </c>
      <c r="H31576" s="21">
        <v>524.66999999999996</v>
      </c>
    </row>
    <row r="31577" spans="1:8" customFormat="1" x14ac:dyDescent="0.25">
      <c r="A31577" t="str">
        <f>"6721758"</f>
        <v>6721758</v>
      </c>
      <c r="B31577" t="s">
        <v>17444</v>
      </c>
      <c r="C31577" t="s">
        <v>415</v>
      </c>
      <c r="D31577" s="21" t="s">
        <v>34</v>
      </c>
      <c r="E31577" s="21" t="s">
        <v>71</v>
      </c>
      <c r="F31577">
        <v>6670207</v>
      </c>
      <c r="G31577" t="s">
        <v>5419</v>
      </c>
      <c r="H31577" s="21">
        <v>524.66999999999996</v>
      </c>
    </row>
    <row r="31578" spans="1:8" customFormat="1" x14ac:dyDescent="0.25">
      <c r="A31578" t="str">
        <f>"568263"</f>
        <v>568263</v>
      </c>
      <c r="B31578" t="s">
        <v>10950</v>
      </c>
      <c r="C31578" t="s">
        <v>1110</v>
      </c>
      <c r="D31578" s="21" t="s">
        <v>34</v>
      </c>
      <c r="E31578" s="21" t="s">
        <v>71</v>
      </c>
      <c r="F31578">
        <v>3560055</v>
      </c>
      <c r="G31578" t="s">
        <v>8371</v>
      </c>
      <c r="H31578" s="21">
        <v>524.66999999999996</v>
      </c>
    </row>
    <row r="31579" spans="1:8" customFormat="1" x14ac:dyDescent="0.25">
      <c r="A31579" t="str">
        <f>"7634185"</f>
        <v>7634185</v>
      </c>
      <c r="B31579" t="s">
        <v>23446</v>
      </c>
      <c r="C31579" t="s">
        <v>462</v>
      </c>
      <c r="D31579" s="21" t="s">
        <v>34</v>
      </c>
      <c r="E31579" s="21" t="s">
        <v>71</v>
      </c>
      <c r="F31579">
        <v>9760156</v>
      </c>
      <c r="G31579" t="s">
        <v>26731</v>
      </c>
      <c r="H31579" s="21">
        <v>524.66999999999996</v>
      </c>
    </row>
    <row r="31580" spans="1:8" customFormat="1" x14ac:dyDescent="0.25">
      <c r="A31580" t="str">
        <f>"813865"</f>
        <v>813865</v>
      </c>
      <c r="B31580" t="s">
        <v>23320</v>
      </c>
      <c r="C31580" t="s">
        <v>23321</v>
      </c>
      <c r="D31580" s="21" t="s">
        <v>34</v>
      </c>
      <c r="E31580" s="21" t="s">
        <v>1089</v>
      </c>
      <c r="F31580">
        <v>11810003</v>
      </c>
      <c r="G31580" t="s">
        <v>1934</v>
      </c>
      <c r="H31580" s="21">
        <v>524.66999999999996</v>
      </c>
    </row>
    <row r="31581" spans="1:8" customFormat="1" x14ac:dyDescent="0.25">
      <c r="A31581" t="str">
        <f>"081328"</f>
        <v>081328</v>
      </c>
      <c r="B31581" t="s">
        <v>2723</v>
      </c>
      <c r="C31581" t="s">
        <v>2479</v>
      </c>
      <c r="D31581" s="21" t="s">
        <v>34</v>
      </c>
      <c r="E31581" s="21" t="s">
        <v>254</v>
      </c>
      <c r="F31581">
        <v>6080053</v>
      </c>
      <c r="G31581" t="s">
        <v>12951</v>
      </c>
      <c r="H31581" s="21">
        <v>524.66999999999996</v>
      </c>
    </row>
    <row r="31582" spans="1:8" customFormat="1" x14ac:dyDescent="0.25">
      <c r="A31582" t="str">
        <f>"5941419"</f>
        <v>5941419</v>
      </c>
      <c r="B31582" t="s">
        <v>14563</v>
      </c>
      <c r="C31582" t="s">
        <v>169</v>
      </c>
      <c r="D31582" s="21" t="s">
        <v>34</v>
      </c>
      <c r="E31582" s="21" t="s">
        <v>35</v>
      </c>
      <c r="F31582">
        <v>10860017</v>
      </c>
      <c r="G31582" t="s">
        <v>2439</v>
      </c>
      <c r="H31582" s="21">
        <v>524.66999999999996</v>
      </c>
    </row>
    <row r="31583" spans="1:8" customFormat="1" x14ac:dyDescent="0.25">
      <c r="A31583" t="str">
        <f>"99188"</f>
        <v>99188</v>
      </c>
      <c r="B31583" t="s">
        <v>21164</v>
      </c>
      <c r="C31583" t="s">
        <v>3648</v>
      </c>
      <c r="D31583" s="21" t="s">
        <v>34</v>
      </c>
      <c r="E31583" s="21" t="s">
        <v>1089</v>
      </c>
      <c r="F31583">
        <v>5990009</v>
      </c>
      <c r="G31583" t="s">
        <v>3127</v>
      </c>
      <c r="H31583" s="21">
        <v>524.66999999999996</v>
      </c>
    </row>
    <row r="31584" spans="1:8" customFormat="1" x14ac:dyDescent="0.25">
      <c r="A31584" t="str">
        <f>"2924155"</f>
        <v>2924155</v>
      </c>
      <c r="B31584" t="s">
        <v>5944</v>
      </c>
      <c r="C31584" t="s">
        <v>33</v>
      </c>
      <c r="D31584" s="21" t="s">
        <v>34</v>
      </c>
      <c r="E31584" s="21" t="s">
        <v>35</v>
      </c>
      <c r="F31584">
        <v>3290047</v>
      </c>
      <c r="G31584" t="s">
        <v>2874</v>
      </c>
      <c r="H31584" s="21">
        <v>524.66999999999996</v>
      </c>
    </row>
    <row r="31585" spans="1:8" customFormat="1" x14ac:dyDescent="0.25">
      <c r="A31585" t="str">
        <f>"1426601"</f>
        <v>1426601</v>
      </c>
      <c r="B31585" t="s">
        <v>7196</v>
      </c>
      <c r="C31585" t="s">
        <v>55</v>
      </c>
      <c r="D31585" s="21" t="s">
        <v>34</v>
      </c>
      <c r="E31585" s="21" t="s">
        <v>35</v>
      </c>
      <c r="F31585">
        <v>9140237</v>
      </c>
      <c r="G31585" t="s">
        <v>4722</v>
      </c>
      <c r="H31585" s="21">
        <v>524.66999999999996</v>
      </c>
    </row>
    <row r="31586" spans="1:8" customFormat="1" x14ac:dyDescent="0.25">
      <c r="A31586" t="str">
        <f>"429539"</f>
        <v>429539</v>
      </c>
      <c r="B31586" t="s">
        <v>22276</v>
      </c>
      <c r="C31586" t="s">
        <v>3010</v>
      </c>
      <c r="D31586" s="21" t="s">
        <v>34</v>
      </c>
      <c r="E31586" s="21" t="s">
        <v>254</v>
      </c>
      <c r="F31586">
        <v>1420148</v>
      </c>
      <c r="G31586" t="s">
        <v>10763</v>
      </c>
      <c r="H31586" s="21">
        <v>524.66999999999996</v>
      </c>
    </row>
    <row r="31587" spans="1:8" customFormat="1" x14ac:dyDescent="0.25">
      <c r="A31587" t="str">
        <f>"2936337"</f>
        <v>2936337</v>
      </c>
      <c r="B31587" t="s">
        <v>1551</v>
      </c>
      <c r="C31587" t="s">
        <v>275</v>
      </c>
      <c r="D31587" s="21" t="s">
        <v>34</v>
      </c>
      <c r="E31587" s="21" t="s">
        <v>35</v>
      </c>
      <c r="F31587">
        <v>3290235</v>
      </c>
      <c r="G31587" t="s">
        <v>12128</v>
      </c>
      <c r="H31587" s="21">
        <v>524.66999999999996</v>
      </c>
    </row>
    <row r="31588" spans="1:8" customFormat="1" x14ac:dyDescent="0.25">
      <c r="A31588" t="str">
        <f>"5618367"</f>
        <v>5618367</v>
      </c>
      <c r="B31588" t="s">
        <v>15982</v>
      </c>
      <c r="C31588" t="s">
        <v>1199</v>
      </c>
      <c r="D31588" s="21" t="s">
        <v>34</v>
      </c>
      <c r="E31588" s="21" t="s">
        <v>254</v>
      </c>
      <c r="F31588">
        <v>3560051</v>
      </c>
      <c r="G31588" t="s">
        <v>14709</v>
      </c>
      <c r="H31588" s="21">
        <v>524.66999999999996</v>
      </c>
    </row>
    <row r="31589" spans="1:8" customFormat="1" x14ac:dyDescent="0.25">
      <c r="A31589" t="str">
        <f>"7413957"</f>
        <v>7413957</v>
      </c>
      <c r="B31589" t="s">
        <v>22546</v>
      </c>
      <c r="C31589" t="s">
        <v>22547</v>
      </c>
      <c r="D31589" s="21" t="s">
        <v>34</v>
      </c>
      <c r="E31589" s="21" t="s">
        <v>71</v>
      </c>
      <c r="F31589">
        <v>1740020</v>
      </c>
      <c r="G31589" t="s">
        <v>881</v>
      </c>
      <c r="H31589" s="21">
        <v>524.66999999999996</v>
      </c>
    </row>
    <row r="31590" spans="1:8" customFormat="1" x14ac:dyDescent="0.25">
      <c r="A31590" t="str">
        <f>"889680"</f>
        <v>889680</v>
      </c>
      <c r="B31590" t="s">
        <v>20690</v>
      </c>
      <c r="C31590" t="s">
        <v>415</v>
      </c>
      <c r="D31590" s="21" t="s">
        <v>34</v>
      </c>
      <c r="E31590" s="21" t="s">
        <v>254</v>
      </c>
      <c r="F31590">
        <v>7620130</v>
      </c>
      <c r="G31590" t="s">
        <v>4386</v>
      </c>
      <c r="H31590" s="21">
        <v>524.66999999999996</v>
      </c>
    </row>
    <row r="31591" spans="1:8" customFormat="1" x14ac:dyDescent="0.25">
      <c r="A31591" t="str">
        <f>"5019812"</f>
        <v>5019812</v>
      </c>
      <c r="B31591" t="s">
        <v>22981</v>
      </c>
      <c r="C31591" t="s">
        <v>121</v>
      </c>
      <c r="D31591" s="21" t="s">
        <v>34</v>
      </c>
      <c r="E31591" s="21" t="s">
        <v>35</v>
      </c>
      <c r="F31591">
        <v>9500023</v>
      </c>
      <c r="G31591" t="s">
        <v>4876</v>
      </c>
      <c r="H31591" s="21">
        <v>524.66999999999996</v>
      </c>
    </row>
    <row r="31592" spans="1:8" customFormat="1" x14ac:dyDescent="0.25">
      <c r="A31592" t="str">
        <f>"5620337"</f>
        <v>5620337</v>
      </c>
      <c r="B31592" t="s">
        <v>146</v>
      </c>
      <c r="C31592" t="s">
        <v>4161</v>
      </c>
      <c r="D31592" s="21" t="s">
        <v>34</v>
      </c>
      <c r="E31592" s="21" t="s">
        <v>71</v>
      </c>
      <c r="F31592">
        <v>3560054</v>
      </c>
      <c r="G31592" t="s">
        <v>10188</v>
      </c>
      <c r="H31592" s="21">
        <v>524.66999999999996</v>
      </c>
    </row>
    <row r="31593" spans="1:8" customFormat="1" x14ac:dyDescent="0.25">
      <c r="A31593" t="str">
        <f>"0812394"</f>
        <v>0812394</v>
      </c>
      <c r="B31593" t="s">
        <v>22063</v>
      </c>
      <c r="C31593" t="s">
        <v>169</v>
      </c>
      <c r="D31593" s="21" t="s">
        <v>34</v>
      </c>
      <c r="E31593" s="21" t="s">
        <v>35</v>
      </c>
      <c r="F31593">
        <v>6080059</v>
      </c>
      <c r="G31593" t="s">
        <v>4242</v>
      </c>
      <c r="H31593" s="21">
        <v>524.66999999999996</v>
      </c>
    </row>
    <row r="31594" spans="1:8" customFormat="1" x14ac:dyDescent="0.25">
      <c r="A31594" t="str">
        <f>"407706"</f>
        <v>407706</v>
      </c>
      <c r="B31594" t="s">
        <v>771</v>
      </c>
      <c r="C31594" t="s">
        <v>62</v>
      </c>
      <c r="D31594" s="21" t="s">
        <v>34</v>
      </c>
      <c r="E31594" s="21" t="s">
        <v>35</v>
      </c>
      <c r="F31594">
        <v>10400025</v>
      </c>
      <c r="G31594" t="s">
        <v>5655</v>
      </c>
      <c r="H31594" s="21">
        <v>524.66999999999996</v>
      </c>
    </row>
    <row r="31595" spans="1:8" customFormat="1" x14ac:dyDescent="0.25">
      <c r="A31595" t="str">
        <f>"8612893"</f>
        <v>8612893</v>
      </c>
      <c r="B31595" t="s">
        <v>4872</v>
      </c>
      <c r="C31595" t="s">
        <v>926</v>
      </c>
      <c r="D31595" s="21" t="s">
        <v>34</v>
      </c>
      <c r="E31595" s="21" t="s">
        <v>71</v>
      </c>
      <c r="F31595">
        <v>10860234</v>
      </c>
      <c r="G31595" t="s">
        <v>1966</v>
      </c>
      <c r="H31595" s="21">
        <v>524.66999999999996</v>
      </c>
    </row>
    <row r="31596" spans="1:8" customFormat="1" x14ac:dyDescent="0.25">
      <c r="A31596" t="str">
        <f>"5317892"</f>
        <v>5317892</v>
      </c>
      <c r="B31596" t="s">
        <v>21445</v>
      </c>
      <c r="C31596" t="s">
        <v>269</v>
      </c>
      <c r="D31596" s="21" t="s">
        <v>34</v>
      </c>
      <c r="E31596" s="21" t="s">
        <v>35</v>
      </c>
      <c r="F31596">
        <v>12530059</v>
      </c>
      <c r="G31596" t="s">
        <v>4062</v>
      </c>
      <c r="H31596" s="21">
        <v>524.66999999999996</v>
      </c>
    </row>
    <row r="31597" spans="1:8" customFormat="1" x14ac:dyDescent="0.25">
      <c r="A31597" t="str">
        <f>"824256"</f>
        <v>824256</v>
      </c>
      <c r="B31597" t="s">
        <v>28382</v>
      </c>
      <c r="C31597" t="s">
        <v>1025</v>
      </c>
      <c r="D31597" s="21" t="s">
        <v>34</v>
      </c>
      <c r="E31597" s="21" t="s">
        <v>35</v>
      </c>
      <c r="F31597">
        <v>11820011</v>
      </c>
      <c r="G31597" t="s">
        <v>2611</v>
      </c>
      <c r="H31597" s="21">
        <v>524.66999999999996</v>
      </c>
    </row>
    <row r="31598" spans="1:8" customFormat="1" x14ac:dyDescent="0.25">
      <c r="A31598" t="str">
        <f>"833675"</f>
        <v>833675</v>
      </c>
      <c r="B31598" t="s">
        <v>21172</v>
      </c>
      <c r="C31598" t="s">
        <v>114</v>
      </c>
      <c r="D31598" s="21" t="s">
        <v>34</v>
      </c>
      <c r="E31598" s="21" t="s">
        <v>254</v>
      </c>
      <c r="F31598">
        <v>13830067</v>
      </c>
      <c r="G31598" t="s">
        <v>13428</v>
      </c>
      <c r="H31598" s="21">
        <v>524.66999999999996</v>
      </c>
    </row>
    <row r="31599" spans="1:8" customFormat="1" x14ac:dyDescent="0.25">
      <c r="A31599" t="str">
        <f>"8527439"</f>
        <v>8527439</v>
      </c>
      <c r="B31599" t="s">
        <v>24288</v>
      </c>
      <c r="C31599" t="s">
        <v>879</v>
      </c>
      <c r="D31599" s="21" t="s">
        <v>34</v>
      </c>
      <c r="E31599" s="21" t="s">
        <v>254</v>
      </c>
      <c r="F31599">
        <v>12850001</v>
      </c>
      <c r="G31599" t="s">
        <v>1197</v>
      </c>
      <c r="H31599" s="21">
        <v>524.66999999999996</v>
      </c>
    </row>
    <row r="31600" spans="1:8" customFormat="1" x14ac:dyDescent="0.25">
      <c r="A31600" t="str">
        <f>"9744910"</f>
        <v>9744910</v>
      </c>
      <c r="B31600" t="s">
        <v>21028</v>
      </c>
      <c r="C31600" t="s">
        <v>1841</v>
      </c>
      <c r="D31600" s="21" t="s">
        <v>34</v>
      </c>
      <c r="E31600" s="21" t="s">
        <v>71</v>
      </c>
      <c r="F31600" t="s">
        <v>1458</v>
      </c>
      <c r="G31600" t="s">
        <v>1459</v>
      </c>
      <c r="H31600" s="21">
        <v>524.66999999999996</v>
      </c>
    </row>
    <row r="31601" spans="1:8" customFormat="1" x14ac:dyDescent="0.25">
      <c r="A31601" t="str">
        <f>"4412125"</f>
        <v>4412125</v>
      </c>
      <c r="B31601" t="s">
        <v>21005</v>
      </c>
      <c r="C31601" t="s">
        <v>720</v>
      </c>
      <c r="D31601" s="21" t="s">
        <v>34</v>
      </c>
      <c r="E31601" s="21" t="s">
        <v>1089</v>
      </c>
      <c r="F31601">
        <v>12440149</v>
      </c>
      <c r="G31601" t="s">
        <v>15804</v>
      </c>
      <c r="H31601" s="21">
        <v>524.66999999999996</v>
      </c>
    </row>
    <row r="31602" spans="1:8" customFormat="1" x14ac:dyDescent="0.25">
      <c r="A31602" t="str">
        <f>"038693"</f>
        <v>038693</v>
      </c>
      <c r="B31602" t="s">
        <v>22746</v>
      </c>
      <c r="C31602" t="s">
        <v>198</v>
      </c>
      <c r="D31602" s="21" t="s">
        <v>34</v>
      </c>
      <c r="E31602" s="21" t="s">
        <v>71</v>
      </c>
      <c r="F31602">
        <v>1030035</v>
      </c>
      <c r="G31602" t="s">
        <v>2343</v>
      </c>
      <c r="H31602" s="21">
        <v>524.66999999999996</v>
      </c>
    </row>
    <row r="31603" spans="1:8" customFormat="1" x14ac:dyDescent="0.25">
      <c r="A31603" t="str">
        <f>"1318850"</f>
        <v>1318850</v>
      </c>
      <c r="B31603" t="s">
        <v>4723</v>
      </c>
      <c r="C31603" t="s">
        <v>493</v>
      </c>
      <c r="D31603" s="21" t="s">
        <v>34</v>
      </c>
      <c r="E31603" s="21" t="s">
        <v>71</v>
      </c>
      <c r="F31603">
        <v>13130005</v>
      </c>
      <c r="G31603" t="s">
        <v>2008</v>
      </c>
      <c r="H31603" s="21">
        <v>524.66999999999996</v>
      </c>
    </row>
    <row r="31604" spans="1:8" customFormat="1" x14ac:dyDescent="0.25">
      <c r="A31604" t="str">
        <f>"4518579"</f>
        <v>4518579</v>
      </c>
      <c r="B31604" t="s">
        <v>537</v>
      </c>
      <c r="C31604" t="s">
        <v>817</v>
      </c>
      <c r="D31604" s="21" t="s">
        <v>34</v>
      </c>
      <c r="E31604" s="21" t="s">
        <v>254</v>
      </c>
      <c r="F31604">
        <v>4450573</v>
      </c>
      <c r="G31604" t="s">
        <v>4106</v>
      </c>
      <c r="H31604" s="21">
        <v>524.66999999999996</v>
      </c>
    </row>
    <row r="31605" spans="1:8" customFormat="1" x14ac:dyDescent="0.25">
      <c r="A31605" t="str">
        <f>"6311905"</f>
        <v>6311905</v>
      </c>
      <c r="B31605" t="s">
        <v>921</v>
      </c>
      <c r="C31605" t="s">
        <v>239</v>
      </c>
      <c r="D31605" s="21" t="s">
        <v>34</v>
      </c>
      <c r="E31605" s="21" t="s">
        <v>254</v>
      </c>
      <c r="F31605">
        <v>1630184</v>
      </c>
      <c r="G31605" t="s">
        <v>26702</v>
      </c>
      <c r="H31605" s="21">
        <v>524.66999999999996</v>
      </c>
    </row>
    <row r="31606" spans="1:8" customFormat="1" x14ac:dyDescent="0.25">
      <c r="A31606" t="str">
        <f>"51238"</f>
        <v>51238</v>
      </c>
      <c r="B31606" t="s">
        <v>747</v>
      </c>
      <c r="C31606" t="s">
        <v>817</v>
      </c>
      <c r="D31606" s="21" t="s">
        <v>34</v>
      </c>
      <c r="E31606" s="21" t="s">
        <v>71</v>
      </c>
      <c r="F31606">
        <v>6510008</v>
      </c>
      <c r="G31606" t="s">
        <v>26622</v>
      </c>
      <c r="H31606" s="21">
        <v>524.66999999999996</v>
      </c>
    </row>
    <row r="31607" spans="1:8" customFormat="1" x14ac:dyDescent="0.25">
      <c r="A31607" t="str">
        <f>"254942"</f>
        <v>254942</v>
      </c>
      <c r="B31607" t="s">
        <v>21660</v>
      </c>
      <c r="C31607" t="s">
        <v>1271</v>
      </c>
      <c r="D31607" s="21" t="s">
        <v>34</v>
      </c>
      <c r="E31607" s="21" t="s">
        <v>1089</v>
      </c>
      <c r="F31607">
        <v>2250208</v>
      </c>
      <c r="G31607" t="s">
        <v>10923</v>
      </c>
      <c r="H31607" s="21">
        <v>524.66999999999996</v>
      </c>
    </row>
    <row r="31608" spans="1:8" customFormat="1" x14ac:dyDescent="0.25">
      <c r="A31608" t="str">
        <f>"3517637"</f>
        <v>3517637</v>
      </c>
      <c r="B31608" t="s">
        <v>1198</v>
      </c>
      <c r="C31608" t="s">
        <v>114</v>
      </c>
      <c r="D31608" s="21" t="s">
        <v>34</v>
      </c>
      <c r="E31608" s="21" t="s">
        <v>254</v>
      </c>
      <c r="F31608">
        <v>12440029</v>
      </c>
      <c r="G31608" t="s">
        <v>567</v>
      </c>
      <c r="H31608" s="21">
        <v>524.66999999999996</v>
      </c>
    </row>
    <row r="31609" spans="1:8" customFormat="1" x14ac:dyDescent="0.25">
      <c r="A31609" t="str">
        <f>"323207"</f>
        <v>323207</v>
      </c>
      <c r="B31609" t="s">
        <v>946</v>
      </c>
      <c r="C31609" t="s">
        <v>336</v>
      </c>
      <c r="D31609" s="21" t="s">
        <v>34</v>
      </c>
      <c r="E31609" s="21" t="s">
        <v>35</v>
      </c>
      <c r="F31609">
        <v>11320027</v>
      </c>
      <c r="G31609" t="s">
        <v>8305</v>
      </c>
      <c r="H31609" s="21">
        <v>524.54</v>
      </c>
    </row>
    <row r="31610" spans="1:8" customFormat="1" x14ac:dyDescent="0.25">
      <c r="A31610" t="str">
        <f>"9243672"</f>
        <v>9243672</v>
      </c>
      <c r="B31610" t="s">
        <v>17193</v>
      </c>
      <c r="C31610" t="s">
        <v>249</v>
      </c>
      <c r="D31610" s="21" t="s">
        <v>34</v>
      </c>
      <c r="E31610" s="21" t="s">
        <v>71</v>
      </c>
      <c r="F31610">
        <v>8920137</v>
      </c>
      <c r="G31610" t="s">
        <v>6082</v>
      </c>
      <c r="H31610" s="21">
        <v>524.54</v>
      </c>
    </row>
    <row r="31611" spans="1:8" customFormat="1" x14ac:dyDescent="0.25">
      <c r="A31611" t="str">
        <f>"5982721"</f>
        <v>5982721</v>
      </c>
      <c r="B31611" t="s">
        <v>1394</v>
      </c>
      <c r="C31611" t="s">
        <v>109</v>
      </c>
      <c r="D31611" s="21" t="s">
        <v>34</v>
      </c>
      <c r="E31611" s="21" t="s">
        <v>71</v>
      </c>
      <c r="F31611">
        <v>7590194</v>
      </c>
      <c r="G31611" t="s">
        <v>460</v>
      </c>
      <c r="H31611" s="21">
        <v>524.5</v>
      </c>
    </row>
    <row r="31612" spans="1:8" customFormat="1" x14ac:dyDescent="0.25">
      <c r="A31612" t="str">
        <f>"7637868"</f>
        <v>7637868</v>
      </c>
      <c r="B31612" t="s">
        <v>22234</v>
      </c>
      <c r="C31612" t="s">
        <v>124</v>
      </c>
      <c r="D31612" s="21" t="s">
        <v>34</v>
      </c>
      <c r="E31612" s="21" t="s">
        <v>254</v>
      </c>
      <c r="F31612">
        <v>9760028</v>
      </c>
      <c r="G31612" t="s">
        <v>4086</v>
      </c>
      <c r="H31612" s="21">
        <v>524.5</v>
      </c>
    </row>
    <row r="31613" spans="1:8" customFormat="1" x14ac:dyDescent="0.25">
      <c r="A31613" t="str">
        <f>"153534"</f>
        <v>153534</v>
      </c>
      <c r="B31613" t="s">
        <v>23239</v>
      </c>
      <c r="C31613" t="s">
        <v>2907</v>
      </c>
      <c r="D31613" s="21" t="s">
        <v>34</v>
      </c>
      <c r="E31613" s="21" t="s">
        <v>71</v>
      </c>
      <c r="F31613">
        <v>1150278</v>
      </c>
      <c r="G31613" t="s">
        <v>16041</v>
      </c>
      <c r="H31613" s="21">
        <v>524.5</v>
      </c>
    </row>
    <row r="31614" spans="1:8" customFormat="1" x14ac:dyDescent="0.25">
      <c r="A31614" t="str">
        <f>"2618740"</f>
        <v>2618740</v>
      </c>
      <c r="B31614" t="s">
        <v>9834</v>
      </c>
      <c r="C31614" t="s">
        <v>169</v>
      </c>
      <c r="D31614" s="21" t="s">
        <v>34</v>
      </c>
      <c r="E31614" s="21" t="s">
        <v>71</v>
      </c>
      <c r="F31614">
        <v>1260072</v>
      </c>
      <c r="G31614" t="s">
        <v>12420</v>
      </c>
      <c r="H31614" s="21">
        <v>524.5</v>
      </c>
    </row>
    <row r="31615" spans="1:8" customFormat="1" x14ac:dyDescent="0.25">
      <c r="A31615" t="str">
        <f>"5427033"</f>
        <v>5427033</v>
      </c>
      <c r="B31615" t="s">
        <v>24657</v>
      </c>
      <c r="C31615" t="s">
        <v>124</v>
      </c>
      <c r="D31615" s="21" t="s">
        <v>34</v>
      </c>
      <c r="E31615" s="21" t="s">
        <v>35</v>
      </c>
      <c r="F31615">
        <v>6540020</v>
      </c>
      <c r="G31615" t="s">
        <v>1269</v>
      </c>
      <c r="H31615" s="21">
        <v>524.5</v>
      </c>
    </row>
    <row r="31616" spans="1:8" customFormat="1" x14ac:dyDescent="0.25">
      <c r="A31616" t="str">
        <f>"7859363"</f>
        <v>7859363</v>
      </c>
      <c r="B31616" t="s">
        <v>21489</v>
      </c>
      <c r="C31616" t="s">
        <v>1812</v>
      </c>
      <c r="D31616" s="21" t="s">
        <v>34</v>
      </c>
      <c r="E31616" s="21" t="s">
        <v>71</v>
      </c>
      <c r="F31616">
        <v>8780892</v>
      </c>
      <c r="G31616" t="s">
        <v>3021</v>
      </c>
      <c r="H31616" s="21">
        <v>524.41999999999996</v>
      </c>
    </row>
    <row r="31617" spans="1:8" customFormat="1" x14ac:dyDescent="0.25">
      <c r="A31617" t="str">
        <f>"7634886"</f>
        <v>7634886</v>
      </c>
      <c r="B31617" t="s">
        <v>19816</v>
      </c>
      <c r="C31617" t="s">
        <v>253</v>
      </c>
      <c r="D31617" s="21" t="s">
        <v>34</v>
      </c>
      <c r="E31617" s="21" t="s">
        <v>1089</v>
      </c>
      <c r="F31617">
        <v>9760028</v>
      </c>
      <c r="G31617" t="s">
        <v>4086</v>
      </c>
      <c r="H31617" s="21">
        <v>524.41999999999996</v>
      </c>
    </row>
    <row r="31618" spans="1:8" customFormat="1" x14ac:dyDescent="0.25">
      <c r="A31618" t="str">
        <f>"7923764"</f>
        <v>7923764</v>
      </c>
      <c r="B31618" t="s">
        <v>10692</v>
      </c>
      <c r="C31618" t="s">
        <v>144</v>
      </c>
      <c r="D31618" s="21" t="s">
        <v>34</v>
      </c>
      <c r="E31618" s="21" t="s">
        <v>35</v>
      </c>
      <c r="F31618">
        <v>10790002</v>
      </c>
      <c r="G31618" t="s">
        <v>6612</v>
      </c>
      <c r="H31618" s="21">
        <v>524.41999999999996</v>
      </c>
    </row>
    <row r="31619" spans="1:8" customFormat="1" x14ac:dyDescent="0.25">
      <c r="A31619" t="str">
        <f>"7919203"</f>
        <v>7919203</v>
      </c>
      <c r="B31619" t="s">
        <v>12472</v>
      </c>
      <c r="C31619" t="s">
        <v>462</v>
      </c>
      <c r="D31619" s="21" t="s">
        <v>34</v>
      </c>
      <c r="E31619" s="21" t="s">
        <v>71</v>
      </c>
      <c r="F31619">
        <v>10790126</v>
      </c>
      <c r="G31619" t="s">
        <v>15019</v>
      </c>
      <c r="H31619" s="21">
        <v>524.16999999999996</v>
      </c>
    </row>
    <row r="31620" spans="1:8" customFormat="1" x14ac:dyDescent="0.25">
      <c r="A31620" t="str">
        <f>"4514108"</f>
        <v>4514108</v>
      </c>
      <c r="B31620" t="s">
        <v>20946</v>
      </c>
      <c r="C31620" t="s">
        <v>262</v>
      </c>
      <c r="D31620" s="21" t="s">
        <v>34</v>
      </c>
      <c r="E31620" s="21" t="s">
        <v>35</v>
      </c>
      <c r="F31620">
        <v>2890059</v>
      </c>
      <c r="G31620" t="s">
        <v>26651</v>
      </c>
      <c r="H31620" s="21">
        <v>524.16999999999996</v>
      </c>
    </row>
    <row r="31621" spans="1:8" customFormat="1" x14ac:dyDescent="0.25">
      <c r="A31621" t="str">
        <f>"1716062"</f>
        <v>1716062</v>
      </c>
      <c r="B31621" t="s">
        <v>24028</v>
      </c>
      <c r="C31621" t="s">
        <v>2529</v>
      </c>
      <c r="D31621" s="21" t="s">
        <v>34</v>
      </c>
      <c r="E31621" s="21" t="s">
        <v>254</v>
      </c>
      <c r="F31621">
        <v>10170051</v>
      </c>
      <c r="G31621" t="s">
        <v>826</v>
      </c>
      <c r="H31621" s="21">
        <v>524.16999999999996</v>
      </c>
    </row>
    <row r="31622" spans="1:8" customFormat="1" x14ac:dyDescent="0.25">
      <c r="A31622" t="str">
        <f>"4214446"</f>
        <v>4214446</v>
      </c>
      <c r="B31622" t="s">
        <v>744</v>
      </c>
      <c r="C31622" t="s">
        <v>1110</v>
      </c>
      <c r="D31622" s="21" t="s">
        <v>34</v>
      </c>
      <c r="E31622" s="21" t="s">
        <v>1089</v>
      </c>
      <c r="F31622">
        <v>1420048</v>
      </c>
      <c r="G31622" t="s">
        <v>745</v>
      </c>
      <c r="H31622" s="21">
        <v>524.16999999999996</v>
      </c>
    </row>
    <row r="31623" spans="1:8" customFormat="1" x14ac:dyDescent="0.25">
      <c r="A31623" t="str">
        <f>"112398"</f>
        <v>112398</v>
      </c>
      <c r="B31623" t="s">
        <v>21935</v>
      </c>
      <c r="C31623" t="s">
        <v>139</v>
      </c>
      <c r="D31623" s="21" t="s">
        <v>34</v>
      </c>
      <c r="E31623" s="21" t="s">
        <v>35</v>
      </c>
      <c r="F31623">
        <v>11110015</v>
      </c>
      <c r="G31623" t="s">
        <v>26669</v>
      </c>
      <c r="H31623" s="21">
        <v>524.16999999999996</v>
      </c>
    </row>
    <row r="31624" spans="1:8" customFormat="1" x14ac:dyDescent="0.25">
      <c r="A31624" t="str">
        <f>"5964365"</f>
        <v>5964365</v>
      </c>
      <c r="B31624" t="s">
        <v>28383</v>
      </c>
      <c r="C31624" t="s">
        <v>305</v>
      </c>
      <c r="D31624" s="21" t="s">
        <v>34</v>
      </c>
      <c r="E31624" s="21" t="s">
        <v>35</v>
      </c>
      <c r="F31624">
        <v>7590162</v>
      </c>
      <c r="G31624" t="s">
        <v>7211</v>
      </c>
      <c r="H31624" s="21">
        <v>524.16999999999996</v>
      </c>
    </row>
    <row r="31625" spans="1:8" customFormat="1" x14ac:dyDescent="0.25">
      <c r="A31625" t="str">
        <f>"667744"</f>
        <v>667744</v>
      </c>
      <c r="B31625" t="s">
        <v>24323</v>
      </c>
      <c r="C31625" t="s">
        <v>2305</v>
      </c>
      <c r="D31625" s="21" t="s">
        <v>34</v>
      </c>
      <c r="E31625" s="21" t="s">
        <v>254</v>
      </c>
      <c r="F31625">
        <v>11660020</v>
      </c>
      <c r="G31625" t="s">
        <v>10247</v>
      </c>
      <c r="H31625" s="21">
        <v>524.16999999999996</v>
      </c>
    </row>
    <row r="31626" spans="1:8" customFormat="1" x14ac:dyDescent="0.25">
      <c r="A31626" t="str">
        <f>"639906"</f>
        <v>639906</v>
      </c>
      <c r="B31626" t="s">
        <v>23146</v>
      </c>
      <c r="C31626" t="s">
        <v>1946</v>
      </c>
      <c r="D31626" s="21" t="s">
        <v>34</v>
      </c>
      <c r="E31626" s="21" t="s">
        <v>35</v>
      </c>
      <c r="F31626">
        <v>1630307</v>
      </c>
      <c r="G31626" t="s">
        <v>15524</v>
      </c>
      <c r="H31626" s="21">
        <v>524.16999999999996</v>
      </c>
    </row>
    <row r="31627" spans="1:8" customFormat="1" x14ac:dyDescent="0.25">
      <c r="A31627" t="str">
        <f>"95921"</f>
        <v>95921</v>
      </c>
      <c r="B31627" t="s">
        <v>16299</v>
      </c>
      <c r="C31627" t="s">
        <v>3905</v>
      </c>
      <c r="D31627" s="21" t="s">
        <v>34</v>
      </c>
      <c r="E31627" s="21" t="s">
        <v>1089</v>
      </c>
      <c r="F31627">
        <v>8950435</v>
      </c>
      <c r="G31627" t="s">
        <v>6404</v>
      </c>
      <c r="H31627" s="21">
        <v>524.16999999999996</v>
      </c>
    </row>
    <row r="31628" spans="1:8" customFormat="1" x14ac:dyDescent="0.25">
      <c r="A31628" t="str">
        <f>"426680"</f>
        <v>426680</v>
      </c>
      <c r="B31628" t="s">
        <v>5902</v>
      </c>
      <c r="C31628" t="s">
        <v>453</v>
      </c>
      <c r="D31628" s="21" t="s">
        <v>34</v>
      </c>
      <c r="E31628" s="21" t="s">
        <v>254</v>
      </c>
      <c r="F31628">
        <v>1420160</v>
      </c>
      <c r="G31628" t="s">
        <v>5488</v>
      </c>
      <c r="H31628" s="21">
        <v>524.16999999999996</v>
      </c>
    </row>
    <row r="31629" spans="1:8" customFormat="1" x14ac:dyDescent="0.25">
      <c r="A31629" t="str">
        <f>"7634473"</f>
        <v>7634473</v>
      </c>
      <c r="B31629" t="s">
        <v>20761</v>
      </c>
      <c r="C31629" t="s">
        <v>328</v>
      </c>
      <c r="D31629" s="21" t="s">
        <v>34</v>
      </c>
      <c r="E31629" s="21" t="s">
        <v>71</v>
      </c>
      <c r="F31629">
        <v>9760448</v>
      </c>
      <c r="G31629" t="s">
        <v>11345</v>
      </c>
      <c r="H31629" s="21">
        <v>524.16999999999996</v>
      </c>
    </row>
    <row r="31630" spans="1:8" customFormat="1" x14ac:dyDescent="0.25">
      <c r="A31630" t="str">
        <f>"2929422"</f>
        <v>2929422</v>
      </c>
      <c r="B31630" t="s">
        <v>20777</v>
      </c>
      <c r="C31630" t="s">
        <v>269</v>
      </c>
      <c r="D31630" s="21" t="s">
        <v>34</v>
      </c>
      <c r="E31630" s="21" t="s">
        <v>71</v>
      </c>
      <c r="F31630">
        <v>3290014</v>
      </c>
      <c r="G31630" t="s">
        <v>10174</v>
      </c>
      <c r="H31630" s="21">
        <v>524.16999999999996</v>
      </c>
    </row>
    <row r="31631" spans="1:8" customFormat="1" x14ac:dyDescent="0.25">
      <c r="A31631" t="str">
        <f>"3534834"</f>
        <v>3534834</v>
      </c>
      <c r="B31631" t="s">
        <v>21654</v>
      </c>
      <c r="C31631" t="s">
        <v>1299</v>
      </c>
      <c r="D31631" s="21" t="s">
        <v>34</v>
      </c>
      <c r="E31631" s="21" t="s">
        <v>71</v>
      </c>
      <c r="F31631">
        <v>3350207</v>
      </c>
      <c r="G31631" t="s">
        <v>3668</v>
      </c>
      <c r="H31631" s="21">
        <v>524.16999999999996</v>
      </c>
    </row>
    <row r="31632" spans="1:8" customFormat="1" x14ac:dyDescent="0.25">
      <c r="A31632" t="str">
        <f>"8313117"</f>
        <v>8313117</v>
      </c>
      <c r="B31632" t="s">
        <v>946</v>
      </c>
      <c r="C31632" t="s">
        <v>288</v>
      </c>
      <c r="D31632" s="21" t="s">
        <v>34</v>
      </c>
      <c r="E31632" s="21" t="s">
        <v>35</v>
      </c>
      <c r="F31632">
        <v>13830059</v>
      </c>
      <c r="G31632" t="s">
        <v>5440</v>
      </c>
      <c r="H31632" s="21">
        <v>524.16999999999996</v>
      </c>
    </row>
    <row r="31633" spans="1:8" customFormat="1" x14ac:dyDescent="0.25">
      <c r="A31633" t="str">
        <f>"3117530"</f>
        <v>3117530</v>
      </c>
      <c r="B31633" t="s">
        <v>3198</v>
      </c>
      <c r="C31633" t="s">
        <v>40</v>
      </c>
      <c r="D31633" s="21" t="s">
        <v>34</v>
      </c>
      <c r="E31633" s="21" t="s">
        <v>71</v>
      </c>
      <c r="F31633">
        <v>11310130</v>
      </c>
      <c r="G31633" t="s">
        <v>18858</v>
      </c>
      <c r="H31633" s="21">
        <v>524.16999999999996</v>
      </c>
    </row>
    <row r="31634" spans="1:8" customFormat="1" x14ac:dyDescent="0.25">
      <c r="A31634" t="str">
        <f>"2218596"</f>
        <v>2218596</v>
      </c>
      <c r="B31634" t="s">
        <v>4704</v>
      </c>
      <c r="C31634" t="s">
        <v>879</v>
      </c>
      <c r="D31634" s="21" t="s">
        <v>34</v>
      </c>
      <c r="E31634" s="21" t="s">
        <v>254</v>
      </c>
      <c r="F31634">
        <v>3220050</v>
      </c>
      <c r="G31634" t="s">
        <v>28006</v>
      </c>
      <c r="H31634" s="21">
        <v>524.16999999999996</v>
      </c>
    </row>
    <row r="31635" spans="1:8" customFormat="1" x14ac:dyDescent="0.25">
      <c r="A31635" t="str">
        <f>"4219264"</f>
        <v>4219264</v>
      </c>
      <c r="B31635" t="s">
        <v>23945</v>
      </c>
      <c r="C31635" t="s">
        <v>23946</v>
      </c>
      <c r="D31635" s="21" t="s">
        <v>34</v>
      </c>
      <c r="E31635" s="21" t="s">
        <v>71</v>
      </c>
      <c r="F31635">
        <v>1420080</v>
      </c>
      <c r="G31635" t="s">
        <v>10230</v>
      </c>
      <c r="H31635" s="21">
        <v>524.16999999999996</v>
      </c>
    </row>
    <row r="31636" spans="1:8" customFormat="1" x14ac:dyDescent="0.25">
      <c r="A31636" t="str">
        <f>"9318834"</f>
        <v>9318834</v>
      </c>
      <c r="B31636" t="s">
        <v>7216</v>
      </c>
      <c r="C31636" t="s">
        <v>209</v>
      </c>
      <c r="D31636" s="21" t="s">
        <v>34</v>
      </c>
      <c r="E31636" s="21" t="s">
        <v>71</v>
      </c>
      <c r="F31636">
        <v>8930003</v>
      </c>
      <c r="G31636" t="s">
        <v>13083</v>
      </c>
      <c r="H31636" s="21">
        <v>524.16999999999996</v>
      </c>
    </row>
    <row r="31637" spans="1:8" customFormat="1" x14ac:dyDescent="0.25">
      <c r="A31637" t="str">
        <f>"602696"</f>
        <v>602696</v>
      </c>
      <c r="B31637" t="s">
        <v>4368</v>
      </c>
      <c r="C31637" t="s">
        <v>124</v>
      </c>
      <c r="D31637" s="21" t="s">
        <v>34</v>
      </c>
      <c r="E31637" s="21" t="s">
        <v>254</v>
      </c>
      <c r="F31637">
        <v>7600044</v>
      </c>
      <c r="G31637" t="s">
        <v>3411</v>
      </c>
      <c r="H31637" s="21">
        <v>524.16999999999996</v>
      </c>
    </row>
    <row r="31638" spans="1:8" customFormat="1" x14ac:dyDescent="0.25">
      <c r="A31638" t="str">
        <f>"6216289"</f>
        <v>6216289</v>
      </c>
      <c r="B31638" t="s">
        <v>21529</v>
      </c>
      <c r="C31638" t="s">
        <v>209</v>
      </c>
      <c r="D31638" s="21" t="s">
        <v>34</v>
      </c>
      <c r="E31638" s="21" t="s">
        <v>254</v>
      </c>
      <c r="F31638">
        <v>7620140</v>
      </c>
      <c r="G31638" t="s">
        <v>7454</v>
      </c>
      <c r="H31638" s="21">
        <v>524.16999999999996</v>
      </c>
    </row>
    <row r="31639" spans="1:8" customFormat="1" x14ac:dyDescent="0.25">
      <c r="A31639" t="str">
        <f>"044085"</f>
        <v>044085</v>
      </c>
      <c r="B31639" t="s">
        <v>16520</v>
      </c>
      <c r="C31639" t="s">
        <v>302</v>
      </c>
      <c r="D31639" s="21" t="s">
        <v>34</v>
      </c>
      <c r="E31639" s="21" t="s">
        <v>35</v>
      </c>
      <c r="F31639">
        <v>13040023</v>
      </c>
      <c r="G31639" t="s">
        <v>2542</v>
      </c>
      <c r="H31639" s="21">
        <v>524</v>
      </c>
    </row>
    <row r="31640" spans="1:8" customFormat="1" x14ac:dyDescent="0.25">
      <c r="A31640" t="str">
        <f>"653848"</f>
        <v>653848</v>
      </c>
      <c r="B31640" t="s">
        <v>28384</v>
      </c>
      <c r="C31640" t="s">
        <v>28385</v>
      </c>
      <c r="D31640" s="21" t="s">
        <v>34</v>
      </c>
      <c r="E31640" s="21" t="s">
        <v>35</v>
      </c>
      <c r="F31640">
        <v>11650018</v>
      </c>
      <c r="G31640" t="s">
        <v>6247</v>
      </c>
      <c r="H31640" s="21">
        <v>524</v>
      </c>
    </row>
    <row r="31641" spans="1:8" customFormat="1" x14ac:dyDescent="0.25">
      <c r="A31641" t="str">
        <f>"6313567"</f>
        <v>6313567</v>
      </c>
      <c r="B31641" t="s">
        <v>21265</v>
      </c>
      <c r="C31641" t="s">
        <v>2356</v>
      </c>
      <c r="D31641" s="21" t="s">
        <v>34</v>
      </c>
      <c r="E31641" s="21" t="s">
        <v>71</v>
      </c>
      <c r="F31641">
        <v>1630322</v>
      </c>
      <c r="G31641" t="s">
        <v>13419</v>
      </c>
      <c r="H31641" s="21">
        <v>524</v>
      </c>
    </row>
    <row r="31642" spans="1:8" customFormat="1" x14ac:dyDescent="0.25">
      <c r="A31642" t="str">
        <f>"9245633"</f>
        <v>9245633</v>
      </c>
      <c r="B31642" t="s">
        <v>23057</v>
      </c>
      <c r="C31642" t="s">
        <v>55</v>
      </c>
      <c r="D31642" s="21" t="s">
        <v>34</v>
      </c>
      <c r="E31642" s="21" t="s">
        <v>35</v>
      </c>
      <c r="F31642">
        <v>8920137</v>
      </c>
      <c r="G31642" t="s">
        <v>6082</v>
      </c>
      <c r="H31642" s="21">
        <v>524</v>
      </c>
    </row>
    <row r="31643" spans="1:8" customFormat="1" x14ac:dyDescent="0.25">
      <c r="A31643" t="str">
        <f>"639148"</f>
        <v>639148</v>
      </c>
      <c r="B31643" t="s">
        <v>11768</v>
      </c>
      <c r="C31643" t="s">
        <v>121</v>
      </c>
      <c r="D31643" s="21" t="s">
        <v>34</v>
      </c>
      <c r="E31643" s="21" t="s">
        <v>35</v>
      </c>
      <c r="F31643">
        <v>1630241</v>
      </c>
      <c r="G31643" t="s">
        <v>4519</v>
      </c>
      <c r="H31643" s="21">
        <v>524</v>
      </c>
    </row>
    <row r="31644" spans="1:8" customFormat="1" x14ac:dyDescent="0.25">
      <c r="A31644" t="str">
        <f>"2616471"</f>
        <v>2616471</v>
      </c>
      <c r="B31644" t="s">
        <v>1959</v>
      </c>
      <c r="C31644" t="s">
        <v>55</v>
      </c>
      <c r="D31644" s="21" t="s">
        <v>34</v>
      </c>
      <c r="E31644" s="21" t="s">
        <v>71</v>
      </c>
      <c r="F31644">
        <v>1260054</v>
      </c>
      <c r="G31644" t="s">
        <v>358</v>
      </c>
      <c r="H31644" s="21">
        <v>524</v>
      </c>
    </row>
    <row r="31645" spans="1:8" customFormat="1" x14ac:dyDescent="0.25">
      <c r="A31645" t="str">
        <f>"1613637"</f>
        <v>1613637</v>
      </c>
      <c r="B31645" t="s">
        <v>22312</v>
      </c>
      <c r="C31645" t="s">
        <v>2786</v>
      </c>
      <c r="D31645" s="21" t="s">
        <v>34</v>
      </c>
      <c r="E31645" s="21" t="s">
        <v>35</v>
      </c>
      <c r="F31645">
        <v>10160010</v>
      </c>
      <c r="G31645" t="s">
        <v>5491</v>
      </c>
      <c r="H31645" s="21">
        <v>524</v>
      </c>
    </row>
    <row r="31646" spans="1:8" customFormat="1" x14ac:dyDescent="0.25">
      <c r="A31646" t="str">
        <f>"6937372"</f>
        <v>6937372</v>
      </c>
      <c r="B31646" t="s">
        <v>22385</v>
      </c>
      <c r="C31646" t="s">
        <v>415</v>
      </c>
      <c r="D31646" s="21" t="s">
        <v>34</v>
      </c>
      <c r="E31646" s="21" t="s">
        <v>254</v>
      </c>
      <c r="F31646">
        <v>1690105</v>
      </c>
      <c r="G31646" t="s">
        <v>9580</v>
      </c>
      <c r="H31646" s="21">
        <v>524</v>
      </c>
    </row>
    <row r="31647" spans="1:8" customFormat="1" x14ac:dyDescent="0.25">
      <c r="A31647" t="str">
        <f>"823908"</f>
        <v>823908</v>
      </c>
      <c r="B31647" t="s">
        <v>2863</v>
      </c>
      <c r="C31647" t="s">
        <v>275</v>
      </c>
      <c r="D31647" s="21" t="s">
        <v>34</v>
      </c>
      <c r="E31647" s="21" t="s">
        <v>35</v>
      </c>
      <c r="F31647">
        <v>11820034</v>
      </c>
      <c r="G31647" t="s">
        <v>4498</v>
      </c>
      <c r="H31647" s="21">
        <v>524</v>
      </c>
    </row>
    <row r="31648" spans="1:8" customFormat="1" x14ac:dyDescent="0.25">
      <c r="A31648" t="str">
        <f>"519193"</f>
        <v>519193</v>
      </c>
      <c r="B31648" t="s">
        <v>2402</v>
      </c>
      <c r="C31648" t="s">
        <v>62</v>
      </c>
      <c r="D31648" s="21" t="s">
        <v>34</v>
      </c>
      <c r="E31648" s="21" t="s">
        <v>35</v>
      </c>
      <c r="F31648">
        <v>6510015</v>
      </c>
      <c r="G31648" t="s">
        <v>5462</v>
      </c>
      <c r="H31648" s="21">
        <v>524</v>
      </c>
    </row>
    <row r="31649" spans="1:8" customFormat="1" x14ac:dyDescent="0.25">
      <c r="A31649" t="str">
        <f>"6944331"</f>
        <v>6944331</v>
      </c>
      <c r="B31649" t="s">
        <v>22097</v>
      </c>
      <c r="C31649" t="s">
        <v>1142</v>
      </c>
      <c r="D31649" s="21" t="s">
        <v>34</v>
      </c>
      <c r="E31649" s="21" t="s">
        <v>254</v>
      </c>
      <c r="F31649">
        <v>1690058</v>
      </c>
      <c r="G31649" t="s">
        <v>1644</v>
      </c>
      <c r="H31649" s="21">
        <v>524</v>
      </c>
    </row>
    <row r="31650" spans="1:8" customFormat="1" x14ac:dyDescent="0.25">
      <c r="A31650" t="str">
        <f>"7223642"</f>
        <v>7223642</v>
      </c>
      <c r="B31650" t="s">
        <v>20117</v>
      </c>
      <c r="C31650" t="s">
        <v>28386</v>
      </c>
      <c r="D31650" s="21" t="s">
        <v>34</v>
      </c>
      <c r="E31650" s="21" t="s">
        <v>35</v>
      </c>
      <c r="F31650">
        <v>12720021</v>
      </c>
      <c r="G31650" t="s">
        <v>3329</v>
      </c>
      <c r="H31650" s="21">
        <v>524</v>
      </c>
    </row>
    <row r="31651" spans="1:8" customFormat="1" x14ac:dyDescent="0.25">
      <c r="A31651" t="str">
        <f>"6912457"</f>
        <v>6912457</v>
      </c>
      <c r="B31651" t="s">
        <v>21524</v>
      </c>
      <c r="C31651" t="s">
        <v>1841</v>
      </c>
      <c r="D31651" s="21" t="s">
        <v>34</v>
      </c>
      <c r="E31651" s="21" t="s">
        <v>254</v>
      </c>
      <c r="F31651">
        <v>1690155</v>
      </c>
      <c r="G31651" t="s">
        <v>11464</v>
      </c>
      <c r="H31651" s="21">
        <v>524</v>
      </c>
    </row>
    <row r="31652" spans="1:8" customFormat="1" x14ac:dyDescent="0.25">
      <c r="A31652" t="str">
        <f>"407284"</f>
        <v>407284</v>
      </c>
      <c r="B31652" t="s">
        <v>28387</v>
      </c>
      <c r="C31652" t="s">
        <v>43</v>
      </c>
      <c r="D31652" s="21" t="s">
        <v>34</v>
      </c>
      <c r="E31652" s="21" t="s">
        <v>35</v>
      </c>
      <c r="F31652">
        <v>10400008</v>
      </c>
      <c r="G31652" t="s">
        <v>2294</v>
      </c>
      <c r="H31652" s="21">
        <v>524</v>
      </c>
    </row>
    <row r="31653" spans="1:8" customFormat="1" x14ac:dyDescent="0.25">
      <c r="A31653" t="str">
        <f>"9248731"</f>
        <v>9248731</v>
      </c>
      <c r="B31653" t="s">
        <v>7072</v>
      </c>
      <c r="C31653" t="s">
        <v>62</v>
      </c>
      <c r="D31653" s="21" t="s">
        <v>34</v>
      </c>
      <c r="E31653" s="21" t="s">
        <v>35</v>
      </c>
      <c r="F31653">
        <v>8920137</v>
      </c>
      <c r="G31653" t="s">
        <v>6082</v>
      </c>
      <c r="H31653" s="21">
        <v>524</v>
      </c>
    </row>
    <row r="31654" spans="1:8" customFormat="1" x14ac:dyDescent="0.25">
      <c r="A31654" t="str">
        <f>"3344939"</f>
        <v>3344939</v>
      </c>
      <c r="B31654" t="s">
        <v>20897</v>
      </c>
      <c r="C31654" t="s">
        <v>33</v>
      </c>
      <c r="D31654" s="21" t="s">
        <v>34</v>
      </c>
      <c r="E31654" s="21" t="s">
        <v>35</v>
      </c>
      <c r="F31654">
        <v>10330003</v>
      </c>
      <c r="G31654" t="s">
        <v>309</v>
      </c>
      <c r="H31654" s="21">
        <v>524</v>
      </c>
    </row>
    <row r="31655" spans="1:8" customFormat="1" x14ac:dyDescent="0.25">
      <c r="A31655" t="str">
        <f>"2720825"</f>
        <v>2720825</v>
      </c>
      <c r="B31655" t="s">
        <v>24308</v>
      </c>
      <c r="C31655" t="s">
        <v>40</v>
      </c>
      <c r="D31655" s="21" t="s">
        <v>34</v>
      </c>
      <c r="E31655" s="21" t="s">
        <v>254</v>
      </c>
      <c r="F31655">
        <v>9270005</v>
      </c>
      <c r="G31655" t="s">
        <v>1255</v>
      </c>
      <c r="H31655" s="21">
        <v>524</v>
      </c>
    </row>
    <row r="31656" spans="1:8" customFormat="1" x14ac:dyDescent="0.25">
      <c r="A31656" t="str">
        <f>"9247868"</f>
        <v>9247868</v>
      </c>
      <c r="B31656" t="s">
        <v>28388</v>
      </c>
      <c r="C31656" t="s">
        <v>28389</v>
      </c>
      <c r="D31656" s="21" t="s">
        <v>34</v>
      </c>
      <c r="E31656" s="21" t="s">
        <v>35</v>
      </c>
      <c r="F31656">
        <v>8920389</v>
      </c>
      <c r="G31656" t="s">
        <v>1739</v>
      </c>
      <c r="H31656" s="21">
        <v>523.91999999999996</v>
      </c>
    </row>
    <row r="31657" spans="1:8" customFormat="1" x14ac:dyDescent="0.25">
      <c r="A31657" t="str">
        <f>"6713451"</f>
        <v>6713451</v>
      </c>
      <c r="B31657" t="s">
        <v>22739</v>
      </c>
      <c r="C31657" t="s">
        <v>2520</v>
      </c>
      <c r="D31657" s="21" t="s">
        <v>34</v>
      </c>
      <c r="E31657" s="21" t="s">
        <v>71</v>
      </c>
      <c r="F31657">
        <v>6670246</v>
      </c>
      <c r="G31657" t="s">
        <v>7707</v>
      </c>
      <c r="H31657" s="21">
        <v>523.91999999999996</v>
      </c>
    </row>
    <row r="31658" spans="1:8" customFormat="1" x14ac:dyDescent="0.25">
      <c r="A31658" t="str">
        <f>"649416"</f>
        <v>649416</v>
      </c>
      <c r="B31658" t="s">
        <v>28390</v>
      </c>
      <c r="C31658" t="s">
        <v>288</v>
      </c>
      <c r="D31658" s="21" t="s">
        <v>34</v>
      </c>
      <c r="E31658" s="21" t="s">
        <v>35</v>
      </c>
      <c r="F31658">
        <v>10640017</v>
      </c>
      <c r="G31658" t="s">
        <v>2454</v>
      </c>
      <c r="H31658" s="21">
        <v>523.88</v>
      </c>
    </row>
    <row r="31659" spans="1:8" customFormat="1" x14ac:dyDescent="0.25">
      <c r="A31659" t="str">
        <f>"7521053"</f>
        <v>7521053</v>
      </c>
      <c r="B31659" t="s">
        <v>24796</v>
      </c>
      <c r="C31659" t="s">
        <v>130</v>
      </c>
      <c r="D31659" s="21" t="s">
        <v>34</v>
      </c>
      <c r="E31659" s="21" t="s">
        <v>71</v>
      </c>
      <c r="F31659">
        <v>8751177</v>
      </c>
      <c r="G31659" t="s">
        <v>396</v>
      </c>
      <c r="H31659" s="21">
        <v>523.79</v>
      </c>
    </row>
    <row r="31660" spans="1:8" customFormat="1" x14ac:dyDescent="0.25">
      <c r="A31660" t="str">
        <f>"3417405"</f>
        <v>3417405</v>
      </c>
      <c r="B31660" t="s">
        <v>22115</v>
      </c>
      <c r="C31660" t="s">
        <v>1705</v>
      </c>
      <c r="D31660" s="21" t="s">
        <v>34</v>
      </c>
      <c r="E31660" s="21" t="s">
        <v>254</v>
      </c>
      <c r="F31660">
        <v>11340017</v>
      </c>
      <c r="G31660" t="s">
        <v>10668</v>
      </c>
      <c r="H31660" s="21">
        <v>523.79</v>
      </c>
    </row>
    <row r="31661" spans="1:8" customFormat="1" x14ac:dyDescent="0.25">
      <c r="A31661" t="str">
        <f>"461507"</f>
        <v>461507</v>
      </c>
      <c r="B31661" t="s">
        <v>22337</v>
      </c>
      <c r="C31661" t="s">
        <v>598</v>
      </c>
      <c r="D31661" s="21" t="s">
        <v>34</v>
      </c>
      <c r="E31661" s="21" t="s">
        <v>254</v>
      </c>
      <c r="F31661">
        <v>11460017</v>
      </c>
      <c r="G31661" t="s">
        <v>7665</v>
      </c>
      <c r="H31661" s="21">
        <v>523.79</v>
      </c>
    </row>
    <row r="31662" spans="1:8" customFormat="1" x14ac:dyDescent="0.25">
      <c r="A31662" t="str">
        <f>"1717250"</f>
        <v>1717250</v>
      </c>
      <c r="B31662" t="s">
        <v>21927</v>
      </c>
      <c r="C31662" t="s">
        <v>40</v>
      </c>
      <c r="D31662" s="21" t="s">
        <v>34</v>
      </c>
      <c r="E31662" s="21" t="s">
        <v>254</v>
      </c>
      <c r="F31662">
        <v>10170033</v>
      </c>
      <c r="G31662" t="s">
        <v>3756</v>
      </c>
      <c r="H31662" s="21">
        <v>523.66999999999996</v>
      </c>
    </row>
    <row r="31663" spans="1:8" customFormat="1" x14ac:dyDescent="0.25">
      <c r="A31663" t="str">
        <f>"028005"</f>
        <v>028005</v>
      </c>
      <c r="B31663" t="s">
        <v>21316</v>
      </c>
      <c r="C31663" t="s">
        <v>60</v>
      </c>
      <c r="D31663" s="21" t="s">
        <v>34</v>
      </c>
      <c r="E31663" s="21" t="s">
        <v>71</v>
      </c>
      <c r="F31663">
        <v>7020040</v>
      </c>
      <c r="G31663" t="s">
        <v>1698</v>
      </c>
      <c r="H31663" s="21">
        <v>523.66999999999996</v>
      </c>
    </row>
    <row r="31664" spans="1:8" customFormat="1" x14ac:dyDescent="0.25">
      <c r="A31664" t="str">
        <f>"9144218"</f>
        <v>9144218</v>
      </c>
      <c r="B31664" t="s">
        <v>4652</v>
      </c>
      <c r="C31664" t="s">
        <v>285</v>
      </c>
      <c r="D31664" s="21" t="s">
        <v>34</v>
      </c>
      <c r="E31664" s="21" t="s">
        <v>35</v>
      </c>
      <c r="F31664">
        <v>8911464</v>
      </c>
      <c r="G31664" t="s">
        <v>17832</v>
      </c>
      <c r="H31664" s="21">
        <v>523.66999999999996</v>
      </c>
    </row>
    <row r="31665" spans="1:8" customFormat="1" x14ac:dyDescent="0.25">
      <c r="A31665" t="str">
        <f>"4457890"</f>
        <v>4457890</v>
      </c>
      <c r="B31665" t="s">
        <v>13730</v>
      </c>
      <c r="C31665" t="s">
        <v>124</v>
      </c>
      <c r="D31665" s="21" t="s">
        <v>34</v>
      </c>
      <c r="E31665" s="21" t="s">
        <v>35</v>
      </c>
      <c r="F31665">
        <v>12440274</v>
      </c>
      <c r="G31665" t="s">
        <v>3459</v>
      </c>
      <c r="H31665" s="21">
        <v>523.66999999999996</v>
      </c>
    </row>
    <row r="31666" spans="1:8" customFormat="1" x14ac:dyDescent="0.25">
      <c r="A31666" t="str">
        <f>"5020476"</f>
        <v>5020476</v>
      </c>
      <c r="B31666" t="s">
        <v>20857</v>
      </c>
      <c r="C31666" t="s">
        <v>87</v>
      </c>
      <c r="D31666" s="21" t="s">
        <v>34</v>
      </c>
      <c r="E31666" s="21" t="s">
        <v>35</v>
      </c>
      <c r="F31666">
        <v>9500087</v>
      </c>
      <c r="G31666" t="s">
        <v>12569</v>
      </c>
      <c r="H31666" s="21">
        <v>523.66999999999996</v>
      </c>
    </row>
    <row r="31667" spans="1:8" customFormat="1" x14ac:dyDescent="0.25">
      <c r="A31667" t="str">
        <f>"8520330"</f>
        <v>8520330</v>
      </c>
      <c r="B31667" t="s">
        <v>2210</v>
      </c>
      <c r="C31667" t="s">
        <v>1887</v>
      </c>
      <c r="D31667" s="21" t="s">
        <v>34</v>
      </c>
      <c r="E31667" s="21" t="s">
        <v>1089</v>
      </c>
      <c r="F31667">
        <v>12850030</v>
      </c>
      <c r="G31667" t="s">
        <v>5078</v>
      </c>
      <c r="H31667" s="21">
        <v>523.66999999999996</v>
      </c>
    </row>
    <row r="31668" spans="1:8" customFormat="1" x14ac:dyDescent="0.25">
      <c r="A31668" t="str">
        <f>"3729967"</f>
        <v>3729967</v>
      </c>
      <c r="B31668" t="s">
        <v>17654</v>
      </c>
      <c r="C31668" t="s">
        <v>65</v>
      </c>
      <c r="D31668" s="21" t="s">
        <v>34</v>
      </c>
      <c r="E31668" s="21" t="s">
        <v>35</v>
      </c>
      <c r="F31668">
        <v>4370596</v>
      </c>
      <c r="G31668" t="s">
        <v>9270</v>
      </c>
      <c r="H31668" s="21">
        <v>523.66999999999996</v>
      </c>
    </row>
    <row r="31669" spans="1:8" customFormat="1" x14ac:dyDescent="0.25">
      <c r="A31669" t="str">
        <f>"2925241"</f>
        <v>2925241</v>
      </c>
      <c r="B31669" t="s">
        <v>3089</v>
      </c>
      <c r="C31669" t="s">
        <v>236</v>
      </c>
      <c r="D31669" s="21" t="s">
        <v>34</v>
      </c>
      <c r="E31669" s="21" t="s">
        <v>71</v>
      </c>
      <c r="F31669">
        <v>3290226</v>
      </c>
      <c r="G31669" t="s">
        <v>4637</v>
      </c>
      <c r="H31669" s="21">
        <v>523.66999999999996</v>
      </c>
    </row>
    <row r="31670" spans="1:8" customFormat="1" x14ac:dyDescent="0.25">
      <c r="A31670" t="str">
        <f>"8612540"</f>
        <v>8612540</v>
      </c>
      <c r="B31670" t="s">
        <v>16956</v>
      </c>
      <c r="C31670" t="s">
        <v>2546</v>
      </c>
      <c r="D31670" s="21" t="s">
        <v>34</v>
      </c>
      <c r="E31670" s="21" t="s">
        <v>254</v>
      </c>
      <c r="F31670">
        <v>10860017</v>
      </c>
      <c r="G31670" t="s">
        <v>2439</v>
      </c>
      <c r="H31670" s="21">
        <v>523.66999999999996</v>
      </c>
    </row>
    <row r="31671" spans="1:8" customFormat="1" x14ac:dyDescent="0.25">
      <c r="A31671" t="str">
        <f>"2937765"</f>
        <v>2937765</v>
      </c>
      <c r="B31671" t="s">
        <v>21258</v>
      </c>
      <c r="C31671" t="s">
        <v>415</v>
      </c>
      <c r="D31671" s="21" t="s">
        <v>34</v>
      </c>
      <c r="E31671" s="21" t="s">
        <v>71</v>
      </c>
      <c r="F31671">
        <v>3290036</v>
      </c>
      <c r="G31671" t="s">
        <v>3903</v>
      </c>
      <c r="H31671" s="21">
        <v>523.66999999999996</v>
      </c>
    </row>
    <row r="31672" spans="1:8" customFormat="1" x14ac:dyDescent="0.25">
      <c r="A31672" t="str">
        <f>"5614362"</f>
        <v>5614362</v>
      </c>
      <c r="B31672" t="s">
        <v>4183</v>
      </c>
      <c r="C31672" t="s">
        <v>130</v>
      </c>
      <c r="D31672" s="21" t="s">
        <v>34</v>
      </c>
      <c r="E31672" s="21" t="s">
        <v>71</v>
      </c>
      <c r="F31672">
        <v>3560051</v>
      </c>
      <c r="G31672" t="s">
        <v>14709</v>
      </c>
      <c r="H31672" s="21">
        <v>523.66999999999996</v>
      </c>
    </row>
    <row r="31673" spans="1:8" customFormat="1" x14ac:dyDescent="0.25">
      <c r="A31673" t="str">
        <f>"8512263"</f>
        <v>8512263</v>
      </c>
      <c r="B31673" t="s">
        <v>2315</v>
      </c>
      <c r="C31673" t="s">
        <v>3522</v>
      </c>
      <c r="D31673" s="21" t="s">
        <v>34</v>
      </c>
      <c r="E31673" s="21" t="s">
        <v>35</v>
      </c>
      <c r="F31673">
        <v>12850015</v>
      </c>
      <c r="G31673" t="s">
        <v>4076</v>
      </c>
      <c r="H31673" s="21">
        <v>523.66999999999996</v>
      </c>
    </row>
    <row r="31674" spans="1:8" customFormat="1" x14ac:dyDescent="0.25">
      <c r="A31674" t="str">
        <f>"283982"</f>
        <v>283982</v>
      </c>
      <c r="B31674" t="s">
        <v>2544</v>
      </c>
      <c r="C31674" t="s">
        <v>415</v>
      </c>
      <c r="D31674" s="21" t="s">
        <v>34</v>
      </c>
      <c r="E31674" s="21" t="s">
        <v>1089</v>
      </c>
      <c r="F31674">
        <v>4280004</v>
      </c>
      <c r="G31674" t="s">
        <v>91</v>
      </c>
      <c r="H31674" s="21">
        <v>523.66999999999996</v>
      </c>
    </row>
    <row r="31675" spans="1:8" customFormat="1" x14ac:dyDescent="0.25">
      <c r="A31675" t="str">
        <f>"5730479"</f>
        <v>5730479</v>
      </c>
      <c r="B31675" t="s">
        <v>10474</v>
      </c>
      <c r="C31675" t="s">
        <v>28391</v>
      </c>
      <c r="D31675" s="21" t="s">
        <v>34</v>
      </c>
      <c r="E31675" s="21" t="s">
        <v>35</v>
      </c>
      <c r="F31675">
        <v>6570140</v>
      </c>
      <c r="G31675" t="s">
        <v>813</v>
      </c>
      <c r="H31675" s="21">
        <v>523.66999999999996</v>
      </c>
    </row>
    <row r="31676" spans="1:8" customFormat="1" x14ac:dyDescent="0.25">
      <c r="A31676" t="str">
        <f>"6021330"</f>
        <v>6021330</v>
      </c>
      <c r="B31676" t="s">
        <v>21887</v>
      </c>
      <c r="C31676" t="s">
        <v>87</v>
      </c>
      <c r="D31676" s="21" t="s">
        <v>34</v>
      </c>
      <c r="E31676" s="21" t="s">
        <v>35</v>
      </c>
      <c r="F31676">
        <v>7600054</v>
      </c>
      <c r="G31676" t="s">
        <v>1352</v>
      </c>
      <c r="H31676" s="21">
        <v>523.66999999999996</v>
      </c>
    </row>
    <row r="31677" spans="1:8" customFormat="1" x14ac:dyDescent="0.25">
      <c r="A31677" t="str">
        <f>"1318725"</f>
        <v>1318725</v>
      </c>
      <c r="B31677" t="s">
        <v>21940</v>
      </c>
      <c r="C31677" t="s">
        <v>484</v>
      </c>
      <c r="D31677" s="21" t="s">
        <v>34</v>
      </c>
      <c r="E31677" s="21" t="s">
        <v>71</v>
      </c>
      <c r="F31677">
        <v>13130148</v>
      </c>
      <c r="G31677" t="s">
        <v>12894</v>
      </c>
      <c r="H31677" s="21">
        <v>523.66999999999996</v>
      </c>
    </row>
    <row r="31678" spans="1:8" customFormat="1" x14ac:dyDescent="0.25">
      <c r="A31678" t="str">
        <f>"851506"</f>
        <v>851506</v>
      </c>
      <c r="B31678" t="s">
        <v>1611</v>
      </c>
      <c r="C31678" t="s">
        <v>1853</v>
      </c>
      <c r="D31678" s="21" t="s">
        <v>34</v>
      </c>
      <c r="E31678" s="21" t="s">
        <v>254</v>
      </c>
      <c r="F31678">
        <v>12850046</v>
      </c>
      <c r="G31678" t="s">
        <v>3136</v>
      </c>
      <c r="H31678" s="21">
        <v>523.66999999999996</v>
      </c>
    </row>
    <row r="31679" spans="1:8" customFormat="1" x14ac:dyDescent="0.25">
      <c r="A31679" t="str">
        <f>"5620963"</f>
        <v>5620963</v>
      </c>
      <c r="B31679" t="s">
        <v>22608</v>
      </c>
      <c r="C31679" t="s">
        <v>209</v>
      </c>
      <c r="D31679" s="21" t="s">
        <v>34</v>
      </c>
      <c r="E31679" s="21" t="s">
        <v>35</v>
      </c>
      <c r="F31679">
        <v>3560088</v>
      </c>
      <c r="G31679" t="s">
        <v>15034</v>
      </c>
      <c r="H31679" s="21">
        <v>523.66999999999996</v>
      </c>
    </row>
    <row r="31680" spans="1:8" customFormat="1" x14ac:dyDescent="0.25">
      <c r="A31680" t="str">
        <f>"307620"</f>
        <v>307620</v>
      </c>
      <c r="B31680" t="s">
        <v>15735</v>
      </c>
      <c r="C31680" t="s">
        <v>2907</v>
      </c>
      <c r="D31680" s="21" t="s">
        <v>34</v>
      </c>
      <c r="E31680" s="21" t="s">
        <v>254</v>
      </c>
      <c r="F31680">
        <v>11460010</v>
      </c>
      <c r="G31680" t="s">
        <v>654</v>
      </c>
      <c r="H31680" s="21">
        <v>523.66999999999996</v>
      </c>
    </row>
    <row r="31681" spans="1:8" customFormat="1" x14ac:dyDescent="0.25">
      <c r="A31681" t="str">
        <f>"3338453"</f>
        <v>3338453</v>
      </c>
      <c r="B31681" t="s">
        <v>28392</v>
      </c>
      <c r="C31681" t="s">
        <v>33</v>
      </c>
      <c r="D31681" s="21" t="s">
        <v>34</v>
      </c>
      <c r="E31681" s="21" t="s">
        <v>35</v>
      </c>
      <c r="F31681">
        <v>10330127</v>
      </c>
      <c r="G31681" t="s">
        <v>9051</v>
      </c>
      <c r="H31681" s="21">
        <v>523.66999999999996</v>
      </c>
    </row>
    <row r="31682" spans="1:8" customFormat="1" x14ac:dyDescent="0.25">
      <c r="A31682" t="str">
        <f>"7726417"</f>
        <v>7726417</v>
      </c>
      <c r="B31682" t="s">
        <v>2983</v>
      </c>
      <c r="C31682" t="s">
        <v>415</v>
      </c>
      <c r="D31682" s="21" t="s">
        <v>34</v>
      </c>
      <c r="E31682" s="21" t="s">
        <v>71</v>
      </c>
      <c r="F31682">
        <v>8771516</v>
      </c>
      <c r="G31682" t="s">
        <v>7155</v>
      </c>
      <c r="H31682" s="21">
        <v>523.66999999999996</v>
      </c>
    </row>
    <row r="31683" spans="1:8" customFormat="1" x14ac:dyDescent="0.25">
      <c r="A31683" t="str">
        <f>"622304"</f>
        <v>622304</v>
      </c>
      <c r="B31683" t="s">
        <v>2218</v>
      </c>
      <c r="C31683" t="s">
        <v>2520</v>
      </c>
      <c r="D31683" s="21" t="s">
        <v>34</v>
      </c>
      <c r="E31683" s="21" t="s">
        <v>254</v>
      </c>
      <c r="F31683">
        <v>7620100</v>
      </c>
      <c r="G31683" t="s">
        <v>145</v>
      </c>
      <c r="H31683" s="21">
        <v>523.66999999999996</v>
      </c>
    </row>
    <row r="31684" spans="1:8" customFormat="1" x14ac:dyDescent="0.25">
      <c r="A31684" t="str">
        <f>"5018815"</f>
        <v>5018815</v>
      </c>
      <c r="B31684" t="s">
        <v>21392</v>
      </c>
      <c r="C31684" t="s">
        <v>33</v>
      </c>
      <c r="D31684" s="21" t="s">
        <v>34</v>
      </c>
      <c r="E31684" s="21" t="s">
        <v>35</v>
      </c>
      <c r="F31684">
        <v>9500011</v>
      </c>
      <c r="G31684" t="s">
        <v>4903</v>
      </c>
      <c r="H31684" s="21">
        <v>523.62</v>
      </c>
    </row>
    <row r="31685" spans="1:8" customFormat="1" x14ac:dyDescent="0.25">
      <c r="A31685" t="str">
        <f>"6024367"</f>
        <v>6024367</v>
      </c>
      <c r="B31685" t="s">
        <v>28393</v>
      </c>
      <c r="C31685" t="s">
        <v>1142</v>
      </c>
      <c r="D31685" s="21" t="s">
        <v>34</v>
      </c>
      <c r="E31685" s="21" t="s">
        <v>254</v>
      </c>
      <c r="F31685">
        <v>7600157</v>
      </c>
      <c r="G31685" t="s">
        <v>12263</v>
      </c>
      <c r="H31685" s="21">
        <v>523.5</v>
      </c>
    </row>
    <row r="31686" spans="1:8" customFormat="1" x14ac:dyDescent="0.25">
      <c r="A31686" t="str">
        <f>"6929465"</f>
        <v>6929465</v>
      </c>
      <c r="B31686" t="s">
        <v>5292</v>
      </c>
      <c r="C31686" t="s">
        <v>462</v>
      </c>
      <c r="D31686" s="21" t="s">
        <v>34</v>
      </c>
      <c r="E31686" s="21" t="s">
        <v>71</v>
      </c>
      <c r="F31686">
        <v>1690162</v>
      </c>
      <c r="G31686" t="s">
        <v>7358</v>
      </c>
      <c r="H31686" s="21">
        <v>523.5</v>
      </c>
    </row>
    <row r="31687" spans="1:8" customFormat="1" x14ac:dyDescent="0.25">
      <c r="A31687" t="str">
        <f>"7729651"</f>
        <v>7729651</v>
      </c>
      <c r="B31687" t="s">
        <v>22677</v>
      </c>
      <c r="C31687" t="s">
        <v>22678</v>
      </c>
      <c r="D31687" s="21" t="s">
        <v>34</v>
      </c>
      <c r="E31687" s="21" t="s">
        <v>35</v>
      </c>
      <c r="F31687">
        <v>8770474</v>
      </c>
      <c r="G31687" t="s">
        <v>1600</v>
      </c>
      <c r="H31687" s="21">
        <v>523.5</v>
      </c>
    </row>
    <row r="31688" spans="1:8" customFormat="1" x14ac:dyDescent="0.25">
      <c r="A31688" t="str">
        <f>"9536505"</f>
        <v>9536505</v>
      </c>
      <c r="B31688" t="s">
        <v>3072</v>
      </c>
      <c r="C31688" t="s">
        <v>1559</v>
      </c>
      <c r="D31688" s="21" t="s">
        <v>34</v>
      </c>
      <c r="E31688" s="21" t="s">
        <v>35</v>
      </c>
      <c r="F31688">
        <v>8950479</v>
      </c>
      <c r="G31688" t="s">
        <v>728</v>
      </c>
      <c r="H31688" s="21">
        <v>523.5</v>
      </c>
    </row>
    <row r="31689" spans="1:8" customFormat="1" x14ac:dyDescent="0.25">
      <c r="A31689" t="str">
        <f>"1316889"</f>
        <v>1316889</v>
      </c>
      <c r="B31689" t="s">
        <v>24228</v>
      </c>
      <c r="C31689" t="s">
        <v>269</v>
      </c>
      <c r="D31689" s="21" t="s">
        <v>34</v>
      </c>
      <c r="E31689" s="21" t="s">
        <v>254</v>
      </c>
      <c r="F31689">
        <v>13130152</v>
      </c>
      <c r="G31689" t="s">
        <v>906</v>
      </c>
      <c r="H31689" s="21">
        <v>523.5</v>
      </c>
    </row>
    <row r="31690" spans="1:8" customFormat="1" x14ac:dyDescent="0.25">
      <c r="A31690" t="str">
        <f>"5713294"</f>
        <v>5713294</v>
      </c>
      <c r="B31690" t="s">
        <v>23917</v>
      </c>
      <c r="C31690" t="s">
        <v>598</v>
      </c>
      <c r="D31690" s="21" t="s">
        <v>34</v>
      </c>
      <c r="E31690" s="21" t="s">
        <v>71</v>
      </c>
      <c r="F31690">
        <v>6570173</v>
      </c>
      <c r="G31690" t="s">
        <v>9959</v>
      </c>
      <c r="H31690" s="21">
        <v>523.5</v>
      </c>
    </row>
    <row r="31691" spans="1:8" customFormat="1" x14ac:dyDescent="0.25">
      <c r="A31691" t="str">
        <f>"5431608"</f>
        <v>5431608</v>
      </c>
      <c r="B31691" t="s">
        <v>23515</v>
      </c>
      <c r="C31691" t="s">
        <v>151</v>
      </c>
      <c r="D31691" s="21" t="s">
        <v>34</v>
      </c>
      <c r="E31691" s="21" t="s">
        <v>71</v>
      </c>
      <c r="F31691">
        <v>6540001</v>
      </c>
      <c r="G31691" t="s">
        <v>5886</v>
      </c>
      <c r="H31691" s="21">
        <v>523.5</v>
      </c>
    </row>
    <row r="31692" spans="1:8" customFormat="1" x14ac:dyDescent="0.25">
      <c r="A31692" t="str">
        <f>"5984329"</f>
        <v>5984329</v>
      </c>
      <c r="B31692" t="s">
        <v>17478</v>
      </c>
      <c r="C31692" t="s">
        <v>169</v>
      </c>
      <c r="D31692" s="21" t="s">
        <v>34</v>
      </c>
      <c r="E31692" s="21" t="s">
        <v>35</v>
      </c>
      <c r="F31692">
        <v>7590069</v>
      </c>
      <c r="G31692" t="s">
        <v>7225</v>
      </c>
      <c r="H31692" s="21">
        <v>523.5</v>
      </c>
    </row>
    <row r="31693" spans="1:8" customFormat="1" x14ac:dyDescent="0.25">
      <c r="A31693" t="str">
        <f>"7830611"</f>
        <v>7830611</v>
      </c>
      <c r="B31693" t="s">
        <v>23747</v>
      </c>
      <c r="C31693" t="s">
        <v>156</v>
      </c>
      <c r="D31693" s="21" t="s">
        <v>34</v>
      </c>
      <c r="E31693" s="21" t="s">
        <v>254</v>
      </c>
      <c r="F31693">
        <v>8781226</v>
      </c>
      <c r="G31693" t="s">
        <v>12752</v>
      </c>
      <c r="H31693" s="21">
        <v>523.41999999999996</v>
      </c>
    </row>
    <row r="31694" spans="1:8" customFormat="1" x14ac:dyDescent="0.25">
      <c r="A31694" t="str">
        <f>"5958127"</f>
        <v>5958127</v>
      </c>
      <c r="B31694" t="s">
        <v>1886</v>
      </c>
      <c r="C31694" t="s">
        <v>934</v>
      </c>
      <c r="D31694" s="21" t="s">
        <v>34</v>
      </c>
      <c r="E31694" s="21" t="s">
        <v>35</v>
      </c>
      <c r="F31694">
        <v>7590005</v>
      </c>
      <c r="G31694" t="s">
        <v>540</v>
      </c>
      <c r="H31694" s="21">
        <v>523.41999999999996</v>
      </c>
    </row>
    <row r="31695" spans="1:8" customFormat="1" x14ac:dyDescent="0.25">
      <c r="A31695" t="str">
        <f>"5324580"</f>
        <v>5324580</v>
      </c>
      <c r="B31695" t="s">
        <v>2656</v>
      </c>
      <c r="C31695" t="s">
        <v>33</v>
      </c>
      <c r="D31695" s="21" t="s">
        <v>34</v>
      </c>
      <c r="E31695" s="21" t="s">
        <v>35</v>
      </c>
      <c r="F31695">
        <v>12530001</v>
      </c>
      <c r="G31695" t="s">
        <v>6349</v>
      </c>
      <c r="H31695" s="21">
        <v>523.41999999999996</v>
      </c>
    </row>
    <row r="31696" spans="1:8" customFormat="1" x14ac:dyDescent="0.25">
      <c r="A31696" t="str">
        <f>"218517"</f>
        <v>218517</v>
      </c>
      <c r="B31696" t="s">
        <v>20325</v>
      </c>
      <c r="C31696" t="s">
        <v>9009</v>
      </c>
      <c r="D31696" s="21" t="s">
        <v>34</v>
      </c>
      <c r="E31696" s="21" t="s">
        <v>6185</v>
      </c>
      <c r="F31696">
        <v>2210029</v>
      </c>
      <c r="G31696" t="s">
        <v>6983</v>
      </c>
      <c r="H31696" s="21">
        <v>523.41999999999996</v>
      </c>
    </row>
    <row r="31697" spans="1:8" customFormat="1" x14ac:dyDescent="0.25">
      <c r="A31697" t="str">
        <f>"5949254"</f>
        <v>5949254</v>
      </c>
      <c r="B31697" t="s">
        <v>21478</v>
      </c>
      <c r="C31697" t="s">
        <v>3648</v>
      </c>
      <c r="D31697" s="21" t="s">
        <v>34</v>
      </c>
      <c r="E31697" s="21" t="s">
        <v>71</v>
      </c>
      <c r="F31697">
        <v>7590063</v>
      </c>
      <c r="G31697" t="s">
        <v>3426</v>
      </c>
      <c r="H31697" s="21">
        <v>523.16999999999996</v>
      </c>
    </row>
    <row r="31698" spans="1:8" customFormat="1" x14ac:dyDescent="0.25">
      <c r="A31698" t="str">
        <f>"4418470"</f>
        <v>4418470</v>
      </c>
      <c r="B31698" t="s">
        <v>21139</v>
      </c>
      <c r="C31698" t="s">
        <v>4721</v>
      </c>
      <c r="D31698" s="21" t="s">
        <v>34</v>
      </c>
      <c r="E31698" s="21" t="s">
        <v>1089</v>
      </c>
      <c r="F31698">
        <v>12440154</v>
      </c>
      <c r="G31698" t="s">
        <v>7124</v>
      </c>
      <c r="H31698" s="21">
        <v>523.16999999999996</v>
      </c>
    </row>
    <row r="31699" spans="1:8" customFormat="1" x14ac:dyDescent="0.25">
      <c r="A31699" t="str">
        <f>"1318668"</f>
        <v>1318668</v>
      </c>
      <c r="B31699" t="s">
        <v>19485</v>
      </c>
      <c r="C31699" t="s">
        <v>611</v>
      </c>
      <c r="D31699" s="21" t="s">
        <v>34</v>
      </c>
      <c r="E31699" s="21" t="s">
        <v>35</v>
      </c>
      <c r="F31699">
        <v>13130158</v>
      </c>
      <c r="G31699" t="s">
        <v>3215</v>
      </c>
      <c r="H31699" s="21">
        <v>523.16999999999996</v>
      </c>
    </row>
    <row r="31700" spans="1:8" customFormat="1" x14ac:dyDescent="0.25">
      <c r="A31700" t="str">
        <f>"6230485"</f>
        <v>6230485</v>
      </c>
      <c r="B31700" t="s">
        <v>21741</v>
      </c>
      <c r="C31700" t="s">
        <v>60</v>
      </c>
      <c r="D31700" s="21" t="s">
        <v>34</v>
      </c>
      <c r="E31700" s="21" t="s">
        <v>35</v>
      </c>
      <c r="F31700">
        <v>7620112</v>
      </c>
      <c r="G31700" t="s">
        <v>5663</v>
      </c>
      <c r="H31700" s="21">
        <v>523.16999999999996</v>
      </c>
    </row>
    <row r="31701" spans="1:8" customFormat="1" x14ac:dyDescent="0.25">
      <c r="A31701" t="str">
        <f>"5956707"</f>
        <v>5956707</v>
      </c>
      <c r="B31701" t="s">
        <v>760</v>
      </c>
      <c r="C31701" t="s">
        <v>209</v>
      </c>
      <c r="D31701" s="21" t="s">
        <v>34</v>
      </c>
      <c r="E31701" s="21" t="s">
        <v>254</v>
      </c>
      <c r="F31701">
        <v>7590170</v>
      </c>
      <c r="G31701" t="s">
        <v>868</v>
      </c>
      <c r="H31701" s="21">
        <v>523.16999999999996</v>
      </c>
    </row>
    <row r="31702" spans="1:8" customFormat="1" x14ac:dyDescent="0.25">
      <c r="A31702" t="str">
        <f>"715193"</f>
        <v>715193</v>
      </c>
      <c r="B31702" t="s">
        <v>12870</v>
      </c>
      <c r="C31702" t="s">
        <v>156</v>
      </c>
      <c r="D31702" s="21" t="s">
        <v>34</v>
      </c>
      <c r="E31702" s="21" t="s">
        <v>1089</v>
      </c>
      <c r="F31702">
        <v>2710051</v>
      </c>
      <c r="G31702" t="s">
        <v>4811</v>
      </c>
      <c r="H31702" s="21">
        <v>523.16999999999996</v>
      </c>
    </row>
    <row r="31703" spans="1:8" customFormat="1" x14ac:dyDescent="0.25">
      <c r="A31703" t="str">
        <f>"4912183"</f>
        <v>4912183</v>
      </c>
      <c r="B31703" t="s">
        <v>21964</v>
      </c>
      <c r="C31703" t="s">
        <v>2305</v>
      </c>
      <c r="D31703" s="21" t="s">
        <v>34</v>
      </c>
      <c r="E31703" s="21" t="s">
        <v>71</v>
      </c>
      <c r="F31703">
        <v>12490064</v>
      </c>
      <c r="G31703" t="s">
        <v>8425</v>
      </c>
      <c r="H31703" s="21">
        <v>523.16999999999996</v>
      </c>
    </row>
    <row r="31704" spans="1:8" customFormat="1" x14ac:dyDescent="0.25">
      <c r="A31704" t="str">
        <f>"8013027"</f>
        <v>8013027</v>
      </c>
      <c r="B31704" t="s">
        <v>7125</v>
      </c>
      <c r="C31704" t="s">
        <v>124</v>
      </c>
      <c r="D31704" s="21" t="s">
        <v>34</v>
      </c>
      <c r="E31704" s="21" t="s">
        <v>71</v>
      </c>
      <c r="F31704">
        <v>7800066</v>
      </c>
      <c r="G31704" t="s">
        <v>14130</v>
      </c>
      <c r="H31704" s="21">
        <v>523.16999999999996</v>
      </c>
    </row>
    <row r="31705" spans="1:8" customFormat="1" x14ac:dyDescent="0.25">
      <c r="A31705" t="str">
        <f>"3538116"</f>
        <v>3538116</v>
      </c>
      <c r="B31705" t="s">
        <v>7216</v>
      </c>
      <c r="C31705" t="s">
        <v>2121</v>
      </c>
      <c r="D31705" s="21" t="s">
        <v>34</v>
      </c>
      <c r="E31705" s="21" t="s">
        <v>254</v>
      </c>
      <c r="F31705">
        <v>3350025</v>
      </c>
      <c r="G31705" t="s">
        <v>11920</v>
      </c>
      <c r="H31705" s="21">
        <v>523.16999999999996</v>
      </c>
    </row>
    <row r="31706" spans="1:8" customFormat="1" x14ac:dyDescent="0.25">
      <c r="A31706" t="str">
        <f>"4441787"</f>
        <v>4441787</v>
      </c>
      <c r="B31706" t="s">
        <v>22133</v>
      </c>
      <c r="C31706" t="s">
        <v>43</v>
      </c>
      <c r="D31706" s="21" t="s">
        <v>34</v>
      </c>
      <c r="E31706" s="21" t="s">
        <v>35</v>
      </c>
      <c r="F31706">
        <v>12440014</v>
      </c>
      <c r="G31706" t="s">
        <v>6767</v>
      </c>
      <c r="H31706" s="21">
        <v>523.16999999999996</v>
      </c>
    </row>
    <row r="31707" spans="1:8" customFormat="1" x14ac:dyDescent="0.25">
      <c r="A31707" t="str">
        <f>"5015369"</f>
        <v>5015369</v>
      </c>
      <c r="B31707" t="s">
        <v>14701</v>
      </c>
      <c r="C31707" t="s">
        <v>415</v>
      </c>
      <c r="D31707" s="21" t="s">
        <v>34</v>
      </c>
      <c r="E31707" s="21" t="s">
        <v>1089</v>
      </c>
      <c r="F31707">
        <v>9500130</v>
      </c>
      <c r="G31707" t="s">
        <v>5326</v>
      </c>
      <c r="H31707" s="21">
        <v>523.16999999999996</v>
      </c>
    </row>
    <row r="31708" spans="1:8" customFormat="1" x14ac:dyDescent="0.25">
      <c r="A31708" t="str">
        <f>"6234191"</f>
        <v>6234191</v>
      </c>
      <c r="B31708" t="s">
        <v>21182</v>
      </c>
      <c r="C31708" t="s">
        <v>209</v>
      </c>
      <c r="D31708" s="21" t="s">
        <v>34</v>
      </c>
      <c r="E31708" s="21" t="s">
        <v>254</v>
      </c>
      <c r="F31708">
        <v>7620061</v>
      </c>
      <c r="G31708" t="s">
        <v>4448</v>
      </c>
      <c r="H31708" s="21">
        <v>523.16999999999996</v>
      </c>
    </row>
    <row r="31709" spans="1:8" customFormat="1" x14ac:dyDescent="0.25">
      <c r="A31709" t="str">
        <f>"7722437"</f>
        <v>7722437</v>
      </c>
      <c r="B31709" t="s">
        <v>21947</v>
      </c>
      <c r="C31709" t="s">
        <v>1588</v>
      </c>
      <c r="D31709" s="21" t="s">
        <v>34</v>
      </c>
      <c r="E31709" s="21" t="s">
        <v>71</v>
      </c>
      <c r="F31709">
        <v>12440105</v>
      </c>
      <c r="G31709" t="s">
        <v>594</v>
      </c>
      <c r="H31709" s="21">
        <v>523.16999999999996</v>
      </c>
    </row>
    <row r="31710" spans="1:8" customFormat="1" x14ac:dyDescent="0.25">
      <c r="A31710" t="str">
        <f>"6316593"</f>
        <v>6316593</v>
      </c>
      <c r="B31710" t="s">
        <v>21683</v>
      </c>
      <c r="C31710" t="s">
        <v>206</v>
      </c>
      <c r="D31710" s="21" t="s">
        <v>34</v>
      </c>
      <c r="E31710" s="21" t="s">
        <v>35</v>
      </c>
      <c r="F31710">
        <v>1630241</v>
      </c>
      <c r="G31710" t="s">
        <v>4519</v>
      </c>
      <c r="H31710" s="21">
        <v>523.16999999999996</v>
      </c>
    </row>
    <row r="31711" spans="1:8" customFormat="1" x14ac:dyDescent="0.25">
      <c r="A31711" t="str">
        <f>"069621"</f>
        <v>069621</v>
      </c>
      <c r="B31711" t="s">
        <v>19365</v>
      </c>
      <c r="C31711" t="s">
        <v>65</v>
      </c>
      <c r="D31711" s="21" t="s">
        <v>34</v>
      </c>
      <c r="E31711" s="21" t="s">
        <v>254</v>
      </c>
      <c r="F31711">
        <v>13060102</v>
      </c>
      <c r="G31711" t="s">
        <v>2918</v>
      </c>
      <c r="H31711" s="21">
        <v>523.16999999999996</v>
      </c>
    </row>
    <row r="31712" spans="1:8" customFormat="1" x14ac:dyDescent="0.25">
      <c r="A31712" t="str">
        <f>"5967858"</f>
        <v>5967858</v>
      </c>
      <c r="B31712" t="s">
        <v>5976</v>
      </c>
      <c r="C31712" t="s">
        <v>60</v>
      </c>
      <c r="D31712" s="21" t="s">
        <v>34</v>
      </c>
      <c r="E31712" s="21" t="s">
        <v>35</v>
      </c>
      <c r="F31712">
        <v>7590016</v>
      </c>
      <c r="G31712" t="s">
        <v>5653</v>
      </c>
      <c r="H31712" s="21">
        <v>523.16999999999996</v>
      </c>
    </row>
    <row r="31713" spans="1:8" customFormat="1" x14ac:dyDescent="0.25">
      <c r="A31713" t="str">
        <f>"59670"</f>
        <v>59670</v>
      </c>
      <c r="B31713" t="s">
        <v>5217</v>
      </c>
      <c r="C31713" t="s">
        <v>1271</v>
      </c>
      <c r="D31713" s="21" t="s">
        <v>34</v>
      </c>
      <c r="E31713" s="21" t="s">
        <v>254</v>
      </c>
      <c r="F31713">
        <v>7590351</v>
      </c>
      <c r="G31713" t="s">
        <v>8495</v>
      </c>
      <c r="H31713" s="21">
        <v>523.16999999999996</v>
      </c>
    </row>
    <row r="31714" spans="1:8" customFormat="1" x14ac:dyDescent="0.25">
      <c r="A31714" t="str">
        <f>"5325570"</f>
        <v>5325570</v>
      </c>
      <c r="B31714" t="s">
        <v>5341</v>
      </c>
      <c r="C31714" t="s">
        <v>144</v>
      </c>
      <c r="D31714" s="21" t="s">
        <v>34</v>
      </c>
      <c r="E31714" s="21" t="s">
        <v>35</v>
      </c>
      <c r="F31714">
        <v>12530059</v>
      </c>
      <c r="G31714" t="s">
        <v>4062</v>
      </c>
      <c r="H31714" s="21">
        <v>523.16999999999996</v>
      </c>
    </row>
    <row r="31715" spans="1:8" customFormat="1" x14ac:dyDescent="0.25">
      <c r="A31715" t="str">
        <f>"5620699"</f>
        <v>5620699</v>
      </c>
      <c r="B31715" t="s">
        <v>22303</v>
      </c>
      <c r="C31715" t="s">
        <v>1025</v>
      </c>
      <c r="D31715" s="21" t="s">
        <v>34</v>
      </c>
      <c r="E31715" s="21" t="s">
        <v>71</v>
      </c>
      <c r="F31715">
        <v>3560049</v>
      </c>
      <c r="G31715" t="s">
        <v>8021</v>
      </c>
      <c r="H31715" s="21">
        <v>523.16999999999996</v>
      </c>
    </row>
    <row r="31716" spans="1:8" customFormat="1" x14ac:dyDescent="0.25">
      <c r="A31716" t="str">
        <f>"1422911"</f>
        <v>1422911</v>
      </c>
      <c r="B31716" t="s">
        <v>4898</v>
      </c>
      <c r="C31716" t="s">
        <v>269</v>
      </c>
      <c r="D31716" s="21" t="s">
        <v>34</v>
      </c>
      <c r="E31716" s="21" t="s">
        <v>71</v>
      </c>
      <c r="F31716">
        <v>9140234</v>
      </c>
      <c r="G31716" t="s">
        <v>5548</v>
      </c>
      <c r="H31716" s="21">
        <v>523.16999999999996</v>
      </c>
    </row>
    <row r="31717" spans="1:8" customFormat="1" x14ac:dyDescent="0.25">
      <c r="A31717" t="str">
        <f>"748342"</f>
        <v>748342</v>
      </c>
      <c r="B31717" t="s">
        <v>24497</v>
      </c>
      <c r="C31717" t="s">
        <v>169</v>
      </c>
      <c r="D31717" s="21" t="s">
        <v>34</v>
      </c>
      <c r="E31717" s="21" t="s">
        <v>35</v>
      </c>
      <c r="F31717">
        <v>13830083</v>
      </c>
      <c r="G31717" t="s">
        <v>2159</v>
      </c>
      <c r="H31717" s="21">
        <v>523.16999999999996</v>
      </c>
    </row>
    <row r="31718" spans="1:8" customFormat="1" x14ac:dyDescent="0.25">
      <c r="A31718" t="str">
        <f>"4428262"</f>
        <v>4428262</v>
      </c>
      <c r="B31718" t="s">
        <v>5352</v>
      </c>
      <c r="C31718" t="s">
        <v>33</v>
      </c>
      <c r="D31718" s="21" t="s">
        <v>34</v>
      </c>
      <c r="E31718" s="21" t="s">
        <v>35</v>
      </c>
      <c r="F31718">
        <v>12440055</v>
      </c>
      <c r="G31718" t="s">
        <v>2979</v>
      </c>
      <c r="H31718" s="21">
        <v>523.16999999999996</v>
      </c>
    </row>
    <row r="31719" spans="1:8" customFormat="1" x14ac:dyDescent="0.25">
      <c r="A31719" t="str">
        <f>"668259"</f>
        <v>668259</v>
      </c>
      <c r="B31719" t="s">
        <v>23274</v>
      </c>
      <c r="C31719" t="s">
        <v>49</v>
      </c>
      <c r="D31719" s="21" t="s">
        <v>34</v>
      </c>
      <c r="E31719" s="21" t="s">
        <v>35</v>
      </c>
      <c r="F31719">
        <v>11660031</v>
      </c>
      <c r="G31719" t="s">
        <v>12617</v>
      </c>
      <c r="H31719" s="21">
        <v>523</v>
      </c>
    </row>
    <row r="31720" spans="1:8" customFormat="1" x14ac:dyDescent="0.25">
      <c r="A31720" t="str">
        <f>"6810716"</f>
        <v>6810716</v>
      </c>
      <c r="B31720" t="s">
        <v>28394</v>
      </c>
      <c r="C31720" t="s">
        <v>233</v>
      </c>
      <c r="D31720" s="21" t="s">
        <v>34</v>
      </c>
      <c r="E31720" s="21" t="s">
        <v>71</v>
      </c>
      <c r="F31720">
        <v>6680059</v>
      </c>
      <c r="G31720" t="s">
        <v>11282</v>
      </c>
      <c r="H31720" s="21">
        <v>523</v>
      </c>
    </row>
    <row r="31721" spans="1:8" customFormat="1" x14ac:dyDescent="0.25">
      <c r="A31721" t="str">
        <f>"7221917"</f>
        <v>7221917</v>
      </c>
      <c r="B31721" t="s">
        <v>28395</v>
      </c>
      <c r="C31721" t="s">
        <v>130</v>
      </c>
      <c r="D31721" s="21" t="s">
        <v>34</v>
      </c>
      <c r="E31721" s="21" t="s">
        <v>254</v>
      </c>
      <c r="F31721">
        <v>12720021</v>
      </c>
      <c r="G31721" t="s">
        <v>3329</v>
      </c>
      <c r="H31721" s="21">
        <v>523</v>
      </c>
    </row>
    <row r="31722" spans="1:8" customFormat="1" x14ac:dyDescent="0.25">
      <c r="A31722" t="str">
        <f>"9139338"</f>
        <v>9139338</v>
      </c>
      <c r="B31722" t="s">
        <v>6713</v>
      </c>
      <c r="C31722" t="s">
        <v>24779</v>
      </c>
      <c r="D31722" s="21" t="s">
        <v>34</v>
      </c>
      <c r="E31722" s="21" t="s">
        <v>35</v>
      </c>
      <c r="F31722">
        <v>8910876</v>
      </c>
      <c r="G31722" t="s">
        <v>1721</v>
      </c>
      <c r="H31722" s="21">
        <v>523</v>
      </c>
    </row>
    <row r="31723" spans="1:8" customFormat="1" x14ac:dyDescent="0.25">
      <c r="A31723" t="str">
        <f>"4420312"</f>
        <v>4420312</v>
      </c>
      <c r="B31723" t="s">
        <v>392</v>
      </c>
      <c r="C31723" t="s">
        <v>547</v>
      </c>
      <c r="D31723" s="21" t="s">
        <v>34</v>
      </c>
      <c r="E31723" s="21" t="s">
        <v>254</v>
      </c>
      <c r="F31723">
        <v>12440015</v>
      </c>
      <c r="G31723" t="s">
        <v>8421</v>
      </c>
      <c r="H31723" s="21">
        <v>523</v>
      </c>
    </row>
    <row r="31724" spans="1:8" customFormat="1" x14ac:dyDescent="0.25">
      <c r="A31724" t="str">
        <f>"026916"</f>
        <v>026916</v>
      </c>
      <c r="B31724" t="s">
        <v>5951</v>
      </c>
      <c r="C31724" t="s">
        <v>462</v>
      </c>
      <c r="D31724" s="21" t="s">
        <v>34</v>
      </c>
      <c r="E31724" s="21" t="s">
        <v>71</v>
      </c>
      <c r="F31724">
        <v>7020013</v>
      </c>
      <c r="G31724" t="s">
        <v>14136</v>
      </c>
      <c r="H31724" s="21">
        <v>523</v>
      </c>
    </row>
    <row r="31725" spans="1:8" customFormat="1" x14ac:dyDescent="0.25">
      <c r="A31725" t="str">
        <f>"7220001"</f>
        <v>7220001</v>
      </c>
      <c r="B31725" t="s">
        <v>21777</v>
      </c>
      <c r="C31725" t="s">
        <v>269</v>
      </c>
      <c r="D31725" s="21" t="s">
        <v>34</v>
      </c>
      <c r="E31725" s="21" t="s">
        <v>71</v>
      </c>
      <c r="F31725">
        <v>12720133</v>
      </c>
      <c r="G31725" t="s">
        <v>21778</v>
      </c>
      <c r="H31725" s="21">
        <v>523</v>
      </c>
    </row>
    <row r="31726" spans="1:8" customFormat="1" x14ac:dyDescent="0.25">
      <c r="A31726" t="str">
        <f>"3341191"</f>
        <v>3341191</v>
      </c>
      <c r="B31726" t="s">
        <v>4669</v>
      </c>
      <c r="C31726" t="s">
        <v>1946</v>
      </c>
      <c r="D31726" s="21" t="s">
        <v>34</v>
      </c>
      <c r="E31726" s="21" t="s">
        <v>254</v>
      </c>
      <c r="F31726">
        <v>10330082</v>
      </c>
      <c r="G31726" t="s">
        <v>5564</v>
      </c>
      <c r="H31726" s="21">
        <v>523</v>
      </c>
    </row>
    <row r="31727" spans="1:8" customFormat="1" x14ac:dyDescent="0.25">
      <c r="A31727" t="str">
        <f>"8310595"</f>
        <v>8310595</v>
      </c>
      <c r="B31727" t="s">
        <v>20575</v>
      </c>
      <c r="C31727" t="s">
        <v>2806</v>
      </c>
      <c r="D31727" s="21" t="s">
        <v>34</v>
      </c>
      <c r="E31727" s="21" t="s">
        <v>71</v>
      </c>
      <c r="F31727">
        <v>13830083</v>
      </c>
      <c r="G31727" t="s">
        <v>2159</v>
      </c>
      <c r="H31727" s="21">
        <v>522.91999999999996</v>
      </c>
    </row>
    <row r="31728" spans="1:8" customFormat="1" x14ac:dyDescent="0.25">
      <c r="A31728" t="str">
        <f>"923759"</f>
        <v>923759</v>
      </c>
      <c r="B31728" t="s">
        <v>7870</v>
      </c>
      <c r="C31728" t="s">
        <v>156</v>
      </c>
      <c r="D31728" s="21" t="s">
        <v>34</v>
      </c>
      <c r="E31728" s="21" t="s">
        <v>6185</v>
      </c>
      <c r="F31728">
        <v>8920076</v>
      </c>
      <c r="G31728" t="s">
        <v>2281</v>
      </c>
      <c r="H31728" s="21">
        <v>522.91999999999996</v>
      </c>
    </row>
    <row r="31729" spans="1:8" customFormat="1" x14ac:dyDescent="0.25">
      <c r="A31729" t="str">
        <f>"3522583"</f>
        <v>3522583</v>
      </c>
      <c r="B31729" t="s">
        <v>28396</v>
      </c>
      <c r="C31729" t="s">
        <v>1868</v>
      </c>
      <c r="D31729" s="21" t="s">
        <v>34</v>
      </c>
      <c r="E31729" s="21" t="s">
        <v>35</v>
      </c>
      <c r="F31729">
        <v>3560087</v>
      </c>
      <c r="G31729" t="s">
        <v>7767</v>
      </c>
      <c r="H31729" s="21">
        <v>522.91999999999996</v>
      </c>
    </row>
    <row r="31730" spans="1:8" customFormat="1" x14ac:dyDescent="0.25">
      <c r="A31730" t="str">
        <f>"4510832"</f>
        <v>4510832</v>
      </c>
      <c r="B31730" t="s">
        <v>9431</v>
      </c>
      <c r="C31730" t="s">
        <v>2475</v>
      </c>
      <c r="D31730" s="21" t="s">
        <v>34</v>
      </c>
      <c r="E31730" s="21" t="s">
        <v>71</v>
      </c>
      <c r="F31730">
        <v>4450663</v>
      </c>
      <c r="G31730" t="s">
        <v>2527</v>
      </c>
      <c r="H31730" s="21">
        <v>522.91999999999996</v>
      </c>
    </row>
    <row r="31731" spans="1:8" customFormat="1" x14ac:dyDescent="0.25">
      <c r="A31731" t="str">
        <f>"7710202"</f>
        <v>7710202</v>
      </c>
      <c r="B31731" t="s">
        <v>19543</v>
      </c>
      <c r="C31731" t="s">
        <v>263</v>
      </c>
      <c r="D31731" s="21" t="s">
        <v>34</v>
      </c>
      <c r="E31731" s="21" t="s">
        <v>254</v>
      </c>
      <c r="F31731">
        <v>8771201</v>
      </c>
      <c r="G31731" t="s">
        <v>9153</v>
      </c>
      <c r="H31731" s="21">
        <v>522.91999999999996</v>
      </c>
    </row>
    <row r="31732" spans="1:8" customFormat="1" x14ac:dyDescent="0.25">
      <c r="A31732" t="str">
        <f>"453126"</f>
        <v>453126</v>
      </c>
      <c r="B31732" t="s">
        <v>641</v>
      </c>
      <c r="C31732" t="s">
        <v>1665</v>
      </c>
      <c r="D31732" s="21" t="s">
        <v>34</v>
      </c>
      <c r="E31732" s="21" t="s">
        <v>1089</v>
      </c>
      <c r="F31732">
        <v>4450663</v>
      </c>
      <c r="G31732" t="s">
        <v>2527</v>
      </c>
      <c r="H31732" s="21">
        <v>522.91999999999996</v>
      </c>
    </row>
    <row r="31733" spans="1:8" customFormat="1" x14ac:dyDescent="0.25">
      <c r="A31733" t="str">
        <f>"2721214"</f>
        <v>2721214</v>
      </c>
      <c r="B31733" t="s">
        <v>22623</v>
      </c>
      <c r="C31733" t="s">
        <v>139</v>
      </c>
      <c r="D31733" s="21" t="s">
        <v>34</v>
      </c>
      <c r="E31733" s="21" t="s">
        <v>35</v>
      </c>
      <c r="F31733">
        <v>9270148</v>
      </c>
      <c r="G31733" t="s">
        <v>8058</v>
      </c>
      <c r="H31733" s="21">
        <v>522.88</v>
      </c>
    </row>
    <row r="31734" spans="1:8" customFormat="1" x14ac:dyDescent="0.25">
      <c r="A31734" t="str">
        <f>"835447"</f>
        <v>835447</v>
      </c>
      <c r="B31734" t="s">
        <v>970</v>
      </c>
      <c r="C31734" t="s">
        <v>33</v>
      </c>
      <c r="D31734" s="21" t="s">
        <v>34</v>
      </c>
      <c r="E31734" s="21" t="s">
        <v>71</v>
      </c>
      <c r="F31734">
        <v>13830071</v>
      </c>
      <c r="G31734" t="s">
        <v>3221</v>
      </c>
      <c r="H31734" s="21">
        <v>522.88</v>
      </c>
    </row>
    <row r="31735" spans="1:8" customFormat="1" x14ac:dyDescent="0.25">
      <c r="A31735" t="str">
        <f>"7726378"</f>
        <v>7726378</v>
      </c>
      <c r="B31735" t="s">
        <v>23444</v>
      </c>
      <c r="C31735" t="s">
        <v>328</v>
      </c>
      <c r="D31735" s="21" t="s">
        <v>34</v>
      </c>
      <c r="E31735" s="21" t="s">
        <v>35</v>
      </c>
      <c r="F31735">
        <v>8771398</v>
      </c>
      <c r="G31735" t="s">
        <v>2759</v>
      </c>
      <c r="H31735" s="21">
        <v>522.79</v>
      </c>
    </row>
    <row r="31736" spans="1:8" customFormat="1" x14ac:dyDescent="0.25">
      <c r="A31736" t="str">
        <f>"4435505"</f>
        <v>4435505</v>
      </c>
      <c r="B31736" t="s">
        <v>14563</v>
      </c>
      <c r="C31736" t="s">
        <v>169</v>
      </c>
      <c r="D31736" s="21" t="s">
        <v>34</v>
      </c>
      <c r="E31736" s="21" t="s">
        <v>35</v>
      </c>
      <c r="F31736">
        <v>12440158</v>
      </c>
      <c r="G31736" t="s">
        <v>9695</v>
      </c>
      <c r="H31736" s="21">
        <v>522.75</v>
      </c>
    </row>
    <row r="31737" spans="1:8" customFormat="1" x14ac:dyDescent="0.25">
      <c r="A31737" t="str">
        <f>"9147836"</f>
        <v>9147836</v>
      </c>
      <c r="B31737" t="s">
        <v>16376</v>
      </c>
      <c r="C31737" t="s">
        <v>305</v>
      </c>
      <c r="D31737" s="21" t="s">
        <v>34</v>
      </c>
      <c r="E31737" s="21" t="s">
        <v>35</v>
      </c>
      <c r="F31737">
        <v>8910652</v>
      </c>
      <c r="G31737" t="s">
        <v>6533</v>
      </c>
      <c r="H31737" s="21">
        <v>522.75</v>
      </c>
    </row>
    <row r="31738" spans="1:8" customFormat="1" x14ac:dyDescent="0.25">
      <c r="A31738" t="str">
        <f>"8529171"</f>
        <v>8529171</v>
      </c>
      <c r="B31738" t="s">
        <v>18444</v>
      </c>
      <c r="C31738" t="s">
        <v>130</v>
      </c>
      <c r="D31738" s="21" t="s">
        <v>34</v>
      </c>
      <c r="E31738" s="21" t="s">
        <v>35</v>
      </c>
      <c r="F31738">
        <v>12850072</v>
      </c>
      <c r="G31738" t="s">
        <v>7184</v>
      </c>
      <c r="H31738" s="21">
        <v>522.66999999999996</v>
      </c>
    </row>
    <row r="31739" spans="1:8" customFormat="1" x14ac:dyDescent="0.25">
      <c r="A31739" t="str">
        <f>"423776"</f>
        <v>423776</v>
      </c>
      <c r="B31739" t="s">
        <v>21465</v>
      </c>
      <c r="C31739" t="s">
        <v>1588</v>
      </c>
      <c r="D31739" s="21" t="s">
        <v>34</v>
      </c>
      <c r="E31739" s="21" t="s">
        <v>1089</v>
      </c>
      <c r="F31739">
        <v>1420080</v>
      </c>
      <c r="G31739" t="s">
        <v>10230</v>
      </c>
      <c r="H31739" s="21">
        <v>522.66999999999996</v>
      </c>
    </row>
    <row r="31740" spans="1:8" customFormat="1" x14ac:dyDescent="0.25">
      <c r="A31740" t="str">
        <f>"1417922"</f>
        <v>1417922</v>
      </c>
      <c r="B31740" t="s">
        <v>6088</v>
      </c>
      <c r="C31740" t="s">
        <v>139</v>
      </c>
      <c r="D31740" s="21" t="s">
        <v>34</v>
      </c>
      <c r="E31740" s="21" t="s">
        <v>35</v>
      </c>
      <c r="F31740">
        <v>9140123</v>
      </c>
      <c r="G31740" t="s">
        <v>661</v>
      </c>
      <c r="H31740" s="21">
        <v>522.66999999999996</v>
      </c>
    </row>
    <row r="31741" spans="1:8" customFormat="1" x14ac:dyDescent="0.25">
      <c r="A31741" t="str">
        <f>"6720819"</f>
        <v>6720819</v>
      </c>
      <c r="B31741" t="s">
        <v>20846</v>
      </c>
      <c r="C31741" t="s">
        <v>169</v>
      </c>
      <c r="D31741" s="21" t="s">
        <v>34</v>
      </c>
      <c r="E31741" s="21" t="s">
        <v>71</v>
      </c>
      <c r="F31741">
        <v>6670207</v>
      </c>
      <c r="G31741" t="s">
        <v>5419</v>
      </c>
      <c r="H31741" s="21">
        <v>522.66999999999996</v>
      </c>
    </row>
    <row r="31742" spans="1:8" customFormat="1" x14ac:dyDescent="0.25">
      <c r="A31742" t="str">
        <f>"6313128"</f>
        <v>6313128</v>
      </c>
      <c r="B31742" t="s">
        <v>21631</v>
      </c>
      <c r="C31742" t="s">
        <v>267</v>
      </c>
      <c r="D31742" s="21" t="s">
        <v>34</v>
      </c>
      <c r="E31742" s="21" t="s">
        <v>254</v>
      </c>
      <c r="F31742">
        <v>1630289</v>
      </c>
      <c r="G31742" t="s">
        <v>8900</v>
      </c>
      <c r="H31742" s="21">
        <v>522.66999999999996</v>
      </c>
    </row>
    <row r="31743" spans="1:8" customFormat="1" x14ac:dyDescent="0.25">
      <c r="A31743" t="str">
        <f>"3537028"</f>
        <v>3537028</v>
      </c>
      <c r="B31743" t="s">
        <v>641</v>
      </c>
      <c r="C31743" t="s">
        <v>206</v>
      </c>
      <c r="D31743" s="21" t="s">
        <v>34</v>
      </c>
      <c r="E31743" s="21" t="s">
        <v>35</v>
      </c>
      <c r="F31743">
        <v>3350113</v>
      </c>
      <c r="G31743" t="s">
        <v>7631</v>
      </c>
      <c r="H31743" s="21">
        <v>522.66999999999996</v>
      </c>
    </row>
    <row r="31744" spans="1:8" customFormat="1" x14ac:dyDescent="0.25">
      <c r="A31744" t="str">
        <f>"407998"</f>
        <v>407998</v>
      </c>
      <c r="B31744" t="s">
        <v>22667</v>
      </c>
      <c r="C31744" t="s">
        <v>720</v>
      </c>
      <c r="D31744" s="21" t="s">
        <v>34</v>
      </c>
      <c r="E31744" s="21" t="s">
        <v>1089</v>
      </c>
      <c r="F31744">
        <v>10400008</v>
      </c>
      <c r="G31744" t="s">
        <v>2294</v>
      </c>
      <c r="H31744" s="21">
        <v>522.66999999999996</v>
      </c>
    </row>
    <row r="31745" spans="1:8" customFormat="1" x14ac:dyDescent="0.25">
      <c r="A31745" t="str">
        <f>"5970441"</f>
        <v>5970441</v>
      </c>
      <c r="B31745" t="s">
        <v>18125</v>
      </c>
      <c r="C31745" t="s">
        <v>233</v>
      </c>
      <c r="D31745" s="21" t="s">
        <v>34</v>
      </c>
      <c r="E31745" s="21" t="s">
        <v>71</v>
      </c>
      <c r="F31745">
        <v>7590100</v>
      </c>
      <c r="G31745" t="s">
        <v>1660</v>
      </c>
      <c r="H31745" s="21">
        <v>522.66999999999996</v>
      </c>
    </row>
    <row r="31746" spans="1:8" customFormat="1" x14ac:dyDescent="0.25">
      <c r="A31746" t="str">
        <f>"197415"</f>
        <v>197415</v>
      </c>
      <c r="B31746" t="s">
        <v>24474</v>
      </c>
      <c r="C31746" t="s">
        <v>412</v>
      </c>
      <c r="D31746" s="21" t="s">
        <v>34</v>
      </c>
      <c r="E31746" s="21" t="s">
        <v>71</v>
      </c>
      <c r="F31746">
        <v>10190144</v>
      </c>
      <c r="G31746" t="s">
        <v>8165</v>
      </c>
      <c r="H31746" s="21">
        <v>522.66999999999996</v>
      </c>
    </row>
    <row r="31747" spans="1:8" customFormat="1" x14ac:dyDescent="0.25">
      <c r="A31747" t="str">
        <f>"123927"</f>
        <v>123927</v>
      </c>
      <c r="B31747" t="s">
        <v>21460</v>
      </c>
      <c r="C31747" t="s">
        <v>1946</v>
      </c>
      <c r="D31747" s="21" t="s">
        <v>34</v>
      </c>
      <c r="E31747" s="21" t="s">
        <v>71</v>
      </c>
      <c r="F31747">
        <v>11120046</v>
      </c>
      <c r="G31747" t="s">
        <v>15491</v>
      </c>
      <c r="H31747" s="21">
        <v>522.66999999999996</v>
      </c>
    </row>
    <row r="31748" spans="1:8" customFormat="1" x14ac:dyDescent="0.25">
      <c r="A31748" t="str">
        <f>"3422447"</f>
        <v>3422447</v>
      </c>
      <c r="B31748" t="s">
        <v>266</v>
      </c>
      <c r="C31748" t="s">
        <v>244</v>
      </c>
      <c r="D31748" s="21" t="s">
        <v>34</v>
      </c>
      <c r="E31748" s="21" t="s">
        <v>1089</v>
      </c>
      <c r="F31748">
        <v>11340060</v>
      </c>
      <c r="G31748" t="s">
        <v>1275</v>
      </c>
      <c r="H31748" s="21">
        <v>522.66999999999996</v>
      </c>
    </row>
    <row r="31749" spans="1:8" customFormat="1" x14ac:dyDescent="0.25">
      <c r="A31749" t="str">
        <f>"2515641"</f>
        <v>2515641</v>
      </c>
      <c r="B31749" t="s">
        <v>21038</v>
      </c>
      <c r="C31749" t="s">
        <v>40</v>
      </c>
      <c r="D31749" s="21" t="s">
        <v>34</v>
      </c>
      <c r="E31749" s="21" t="s">
        <v>71</v>
      </c>
      <c r="F31749">
        <v>2250138</v>
      </c>
      <c r="G31749" t="s">
        <v>4094</v>
      </c>
      <c r="H31749" s="21">
        <v>522.66999999999996</v>
      </c>
    </row>
    <row r="31750" spans="1:8" customFormat="1" x14ac:dyDescent="0.25">
      <c r="A31750" t="str">
        <f>"843549"</f>
        <v>843549</v>
      </c>
      <c r="B31750" t="s">
        <v>21227</v>
      </c>
      <c r="C31750" t="s">
        <v>130</v>
      </c>
      <c r="D31750" s="21" t="s">
        <v>34</v>
      </c>
      <c r="E31750" s="21" t="s">
        <v>254</v>
      </c>
      <c r="F31750">
        <v>13840050</v>
      </c>
      <c r="G31750" t="s">
        <v>21228</v>
      </c>
      <c r="H31750" s="21">
        <v>522.66999999999996</v>
      </c>
    </row>
    <row r="31751" spans="1:8" customFormat="1" x14ac:dyDescent="0.25">
      <c r="A31751" t="str">
        <f>"8527773"</f>
        <v>8527773</v>
      </c>
      <c r="B31751" t="s">
        <v>1724</v>
      </c>
      <c r="C31751" t="s">
        <v>58</v>
      </c>
      <c r="D31751" s="21" t="s">
        <v>34</v>
      </c>
      <c r="E31751" s="21" t="s">
        <v>35</v>
      </c>
      <c r="F31751">
        <v>12850057</v>
      </c>
      <c r="G31751" t="s">
        <v>1291</v>
      </c>
      <c r="H31751" s="21">
        <v>522.66999999999996</v>
      </c>
    </row>
    <row r="31752" spans="1:8" customFormat="1" x14ac:dyDescent="0.25">
      <c r="A31752" t="str">
        <f>"6217298"</f>
        <v>6217298</v>
      </c>
      <c r="B31752" t="s">
        <v>23999</v>
      </c>
      <c r="C31752" t="s">
        <v>285</v>
      </c>
      <c r="D31752" s="21" t="s">
        <v>34</v>
      </c>
      <c r="E31752" s="21" t="s">
        <v>35</v>
      </c>
      <c r="F31752">
        <v>7620169</v>
      </c>
      <c r="G31752" t="s">
        <v>7116</v>
      </c>
      <c r="H31752" s="21">
        <v>522.66999999999996</v>
      </c>
    </row>
    <row r="31753" spans="1:8" customFormat="1" x14ac:dyDescent="0.25">
      <c r="A31753" t="str">
        <f>"958169"</f>
        <v>958169</v>
      </c>
      <c r="B31753" t="s">
        <v>20779</v>
      </c>
      <c r="C31753" t="s">
        <v>253</v>
      </c>
      <c r="D31753" s="21" t="s">
        <v>34</v>
      </c>
      <c r="E31753" s="21" t="s">
        <v>1089</v>
      </c>
      <c r="F31753">
        <v>8951399</v>
      </c>
      <c r="G31753" t="s">
        <v>6745</v>
      </c>
      <c r="H31753" s="21">
        <v>522.66999999999996</v>
      </c>
    </row>
    <row r="31754" spans="1:8" customFormat="1" x14ac:dyDescent="0.25">
      <c r="A31754" t="str">
        <f>"5969331"</f>
        <v>5969331</v>
      </c>
      <c r="B31754" t="s">
        <v>21548</v>
      </c>
      <c r="C31754" t="s">
        <v>1665</v>
      </c>
      <c r="D31754" s="21" t="s">
        <v>34</v>
      </c>
      <c r="E31754" s="21" t="s">
        <v>254</v>
      </c>
      <c r="F31754">
        <v>7590195</v>
      </c>
      <c r="G31754" t="s">
        <v>5332</v>
      </c>
      <c r="H31754" s="21">
        <v>522.66999999999996</v>
      </c>
    </row>
    <row r="31755" spans="1:8" customFormat="1" x14ac:dyDescent="0.25">
      <c r="A31755" t="str">
        <f>"9140396"</f>
        <v>9140396</v>
      </c>
      <c r="B31755" t="s">
        <v>28397</v>
      </c>
      <c r="C31755" t="s">
        <v>608</v>
      </c>
      <c r="D31755" s="21" t="s">
        <v>34</v>
      </c>
      <c r="E31755" s="21" t="s">
        <v>35</v>
      </c>
      <c r="F31755">
        <v>8910214</v>
      </c>
      <c r="G31755" t="s">
        <v>986</v>
      </c>
      <c r="H31755" s="21">
        <v>522.66999999999996</v>
      </c>
    </row>
    <row r="31756" spans="1:8" customFormat="1" x14ac:dyDescent="0.25">
      <c r="A31756" t="str">
        <f>"4211647"</f>
        <v>4211647</v>
      </c>
      <c r="B31756" t="s">
        <v>3056</v>
      </c>
      <c r="C31756" t="s">
        <v>198</v>
      </c>
      <c r="D31756" s="21" t="s">
        <v>34</v>
      </c>
      <c r="E31756" s="21" t="s">
        <v>35</v>
      </c>
      <c r="F31756">
        <v>1420018</v>
      </c>
      <c r="G31756" t="s">
        <v>9778</v>
      </c>
      <c r="H31756" s="21">
        <v>522.66999999999996</v>
      </c>
    </row>
    <row r="31757" spans="1:8" customFormat="1" x14ac:dyDescent="0.25">
      <c r="A31757" t="str">
        <f>"49725"</f>
        <v>49725</v>
      </c>
      <c r="B31757" t="s">
        <v>6273</v>
      </c>
      <c r="C31757" t="s">
        <v>598</v>
      </c>
      <c r="D31757" s="21" t="s">
        <v>34</v>
      </c>
      <c r="E31757" s="21" t="s">
        <v>1089</v>
      </c>
      <c r="F31757">
        <v>12490026</v>
      </c>
      <c r="G31757" t="s">
        <v>6274</v>
      </c>
      <c r="H31757" s="21">
        <v>522.66999999999996</v>
      </c>
    </row>
    <row r="31758" spans="1:8" customFormat="1" x14ac:dyDescent="0.25">
      <c r="A31758" t="str">
        <f>"672602"</f>
        <v>672602</v>
      </c>
      <c r="B31758" t="s">
        <v>21324</v>
      </c>
      <c r="C31758" t="s">
        <v>381</v>
      </c>
      <c r="D31758" s="21" t="s">
        <v>34</v>
      </c>
      <c r="E31758" s="21" t="s">
        <v>71</v>
      </c>
      <c r="F31758">
        <v>6670092</v>
      </c>
      <c r="G31758" t="s">
        <v>10845</v>
      </c>
      <c r="H31758" s="21">
        <v>522.66999999999996</v>
      </c>
    </row>
    <row r="31759" spans="1:8" customFormat="1" x14ac:dyDescent="0.25">
      <c r="A31759" t="str">
        <f>"5318087"</f>
        <v>5318087</v>
      </c>
      <c r="B31759" t="s">
        <v>6766</v>
      </c>
      <c r="C31759" t="s">
        <v>1841</v>
      </c>
      <c r="D31759" s="21" t="s">
        <v>34</v>
      </c>
      <c r="E31759" s="21" t="s">
        <v>254</v>
      </c>
      <c r="F31759">
        <v>12530147</v>
      </c>
      <c r="G31759" t="s">
        <v>1851</v>
      </c>
      <c r="H31759" s="21">
        <v>522.66999999999996</v>
      </c>
    </row>
    <row r="31760" spans="1:8" customFormat="1" x14ac:dyDescent="0.25">
      <c r="A31760" t="str">
        <f>"477244"</f>
        <v>477244</v>
      </c>
      <c r="B31760" t="s">
        <v>10311</v>
      </c>
      <c r="C31760" t="s">
        <v>664</v>
      </c>
      <c r="D31760" s="21" t="s">
        <v>34</v>
      </c>
      <c r="E31760" s="21" t="s">
        <v>71</v>
      </c>
      <c r="F31760">
        <v>10470009</v>
      </c>
      <c r="G31760" t="s">
        <v>4915</v>
      </c>
      <c r="H31760" s="21">
        <v>522.66999999999996</v>
      </c>
    </row>
    <row r="31761" spans="1:8" customFormat="1" x14ac:dyDescent="0.25">
      <c r="A31761" t="str">
        <f>"9321872"</f>
        <v>9321872</v>
      </c>
      <c r="B31761" t="s">
        <v>24585</v>
      </c>
      <c r="C31761" t="s">
        <v>87</v>
      </c>
      <c r="D31761" s="21" t="s">
        <v>34</v>
      </c>
      <c r="E31761" s="21" t="s">
        <v>35</v>
      </c>
      <c r="F31761">
        <v>8931057</v>
      </c>
      <c r="G31761" t="s">
        <v>1011</v>
      </c>
      <c r="H31761" s="21">
        <v>522.66999999999996</v>
      </c>
    </row>
    <row r="31762" spans="1:8" customFormat="1" x14ac:dyDescent="0.25">
      <c r="A31762" t="str">
        <f>"0812153"</f>
        <v>0812153</v>
      </c>
      <c r="B31762" t="s">
        <v>13010</v>
      </c>
      <c r="C31762" t="s">
        <v>879</v>
      </c>
      <c r="D31762" s="21" t="s">
        <v>34</v>
      </c>
      <c r="E31762" s="21" t="s">
        <v>71</v>
      </c>
      <c r="F31762">
        <v>6080024</v>
      </c>
      <c r="G31762" t="s">
        <v>5511</v>
      </c>
      <c r="H31762" s="21">
        <v>522.66999999999996</v>
      </c>
    </row>
    <row r="31763" spans="1:8" customFormat="1" x14ac:dyDescent="0.25">
      <c r="A31763" t="str">
        <f>"672779"</f>
        <v>672779</v>
      </c>
      <c r="B31763" t="s">
        <v>12338</v>
      </c>
      <c r="C31763" t="s">
        <v>608</v>
      </c>
      <c r="D31763" s="21" t="s">
        <v>34</v>
      </c>
      <c r="E31763" s="21" t="s">
        <v>254</v>
      </c>
      <c r="F31763">
        <v>6670254</v>
      </c>
      <c r="G31763" t="s">
        <v>21423</v>
      </c>
      <c r="H31763" s="21">
        <v>522.66999999999996</v>
      </c>
    </row>
    <row r="31764" spans="1:8" customFormat="1" x14ac:dyDescent="0.25">
      <c r="A31764" t="str">
        <f>"0210421"</f>
        <v>0210421</v>
      </c>
      <c r="B31764" t="s">
        <v>27342</v>
      </c>
      <c r="C31764" t="s">
        <v>719</v>
      </c>
      <c r="D31764" s="21" t="s">
        <v>34</v>
      </c>
      <c r="E31764" s="21" t="s">
        <v>35</v>
      </c>
      <c r="F31764">
        <v>7020037</v>
      </c>
      <c r="G31764" t="s">
        <v>4701</v>
      </c>
      <c r="H31764" s="21">
        <v>522.5</v>
      </c>
    </row>
    <row r="31765" spans="1:8" customFormat="1" x14ac:dyDescent="0.25">
      <c r="A31765" t="str">
        <f>"8529469"</f>
        <v>8529469</v>
      </c>
      <c r="B31765" t="s">
        <v>28398</v>
      </c>
      <c r="C31765" t="s">
        <v>65</v>
      </c>
      <c r="D31765" s="21" t="s">
        <v>34</v>
      </c>
      <c r="E31765" s="21" t="s">
        <v>71</v>
      </c>
      <c r="F31765">
        <v>12850063</v>
      </c>
      <c r="G31765" t="s">
        <v>10302</v>
      </c>
      <c r="H31765" s="21">
        <v>522.5</v>
      </c>
    </row>
    <row r="31766" spans="1:8" customFormat="1" x14ac:dyDescent="0.25">
      <c r="A31766" t="str">
        <f>"549138"</f>
        <v>549138</v>
      </c>
      <c r="B31766" t="s">
        <v>24000</v>
      </c>
      <c r="C31766" t="s">
        <v>598</v>
      </c>
      <c r="D31766" s="21" t="s">
        <v>34</v>
      </c>
      <c r="E31766" s="21" t="s">
        <v>254</v>
      </c>
      <c r="F31766">
        <v>6540157</v>
      </c>
      <c r="G31766" t="s">
        <v>10647</v>
      </c>
      <c r="H31766" s="21">
        <v>522.5</v>
      </c>
    </row>
    <row r="31767" spans="1:8" customFormat="1" x14ac:dyDescent="0.25">
      <c r="A31767" t="str">
        <f>"4113091"</f>
        <v>4113091</v>
      </c>
      <c r="B31767" t="s">
        <v>28399</v>
      </c>
      <c r="C31767" t="s">
        <v>139</v>
      </c>
      <c r="D31767" s="21" t="s">
        <v>34</v>
      </c>
      <c r="E31767" s="21" t="s">
        <v>35</v>
      </c>
      <c r="F31767">
        <v>4450192</v>
      </c>
      <c r="G31767" t="s">
        <v>2411</v>
      </c>
      <c r="H31767" s="21">
        <v>522.5</v>
      </c>
    </row>
    <row r="31768" spans="1:8" customFormat="1" x14ac:dyDescent="0.25">
      <c r="A31768" t="str">
        <f>"5323242"</f>
        <v>5323242</v>
      </c>
      <c r="B31768" t="s">
        <v>21764</v>
      </c>
      <c r="C31768" t="s">
        <v>547</v>
      </c>
      <c r="D31768" s="21" t="s">
        <v>34</v>
      </c>
      <c r="E31768" s="21" t="s">
        <v>1089</v>
      </c>
      <c r="F31768">
        <v>12530116</v>
      </c>
      <c r="G31768" t="s">
        <v>7881</v>
      </c>
      <c r="H31768" s="21">
        <v>522.5</v>
      </c>
    </row>
    <row r="31769" spans="1:8" customFormat="1" x14ac:dyDescent="0.25">
      <c r="A31769" t="str">
        <f>"5961077"</f>
        <v>5961077</v>
      </c>
      <c r="B31769" t="s">
        <v>22688</v>
      </c>
      <c r="C31769" t="s">
        <v>130</v>
      </c>
      <c r="D31769" s="21" t="s">
        <v>34</v>
      </c>
      <c r="E31769" s="21" t="s">
        <v>71</v>
      </c>
      <c r="F31769">
        <v>7590074</v>
      </c>
      <c r="G31769" t="s">
        <v>1992</v>
      </c>
      <c r="H31769" s="21">
        <v>522.5</v>
      </c>
    </row>
    <row r="31770" spans="1:8" customFormat="1" x14ac:dyDescent="0.25">
      <c r="A31770" t="str">
        <f>"2930612"</f>
        <v>2930612</v>
      </c>
      <c r="B31770" t="s">
        <v>3313</v>
      </c>
      <c r="C31770" t="s">
        <v>2730</v>
      </c>
      <c r="D31770" s="21" t="s">
        <v>34</v>
      </c>
      <c r="E31770" s="21" t="s">
        <v>254</v>
      </c>
      <c r="F31770">
        <v>3290262</v>
      </c>
      <c r="G31770" t="s">
        <v>1139</v>
      </c>
      <c r="H31770" s="21">
        <v>522.5</v>
      </c>
    </row>
    <row r="31771" spans="1:8" customFormat="1" x14ac:dyDescent="0.25">
      <c r="A31771" t="str">
        <f>"6950651"</f>
        <v>6950651</v>
      </c>
      <c r="B31771" t="s">
        <v>28400</v>
      </c>
      <c r="C31771" t="s">
        <v>147</v>
      </c>
      <c r="D31771" s="21" t="s">
        <v>34</v>
      </c>
      <c r="E31771" s="21" t="s">
        <v>71</v>
      </c>
      <c r="F31771">
        <v>1690034</v>
      </c>
      <c r="G31771" t="s">
        <v>8838</v>
      </c>
      <c r="H31771" s="21">
        <v>522.5</v>
      </c>
    </row>
    <row r="31772" spans="1:8" customFormat="1" x14ac:dyDescent="0.25">
      <c r="A31772" t="str">
        <f>"9535618"</f>
        <v>9535618</v>
      </c>
      <c r="B31772" t="s">
        <v>24593</v>
      </c>
      <c r="C31772" t="s">
        <v>1468</v>
      </c>
      <c r="D31772" s="21" t="s">
        <v>34</v>
      </c>
      <c r="E31772" s="21" t="s">
        <v>35</v>
      </c>
      <c r="F31772">
        <v>8950129</v>
      </c>
      <c r="G31772" t="s">
        <v>10701</v>
      </c>
      <c r="H31772" s="21">
        <v>522.5</v>
      </c>
    </row>
    <row r="31773" spans="1:8" customFormat="1" x14ac:dyDescent="0.25">
      <c r="A31773" t="str">
        <f>"1710833"</f>
        <v>1710833</v>
      </c>
      <c r="B31773" t="s">
        <v>21539</v>
      </c>
      <c r="C31773" t="s">
        <v>87</v>
      </c>
      <c r="D31773" s="21" t="s">
        <v>34</v>
      </c>
      <c r="E31773" s="21" t="s">
        <v>71</v>
      </c>
      <c r="F31773">
        <v>10170035</v>
      </c>
      <c r="G31773" t="s">
        <v>12942</v>
      </c>
      <c r="H31773" s="21">
        <v>522.41999999999996</v>
      </c>
    </row>
    <row r="31774" spans="1:8" customFormat="1" x14ac:dyDescent="0.25">
      <c r="A31774" t="str">
        <f>"7721433"</f>
        <v>7721433</v>
      </c>
      <c r="B31774" t="s">
        <v>1195</v>
      </c>
      <c r="C31774" t="s">
        <v>249</v>
      </c>
      <c r="D31774" s="21" t="s">
        <v>34</v>
      </c>
      <c r="E31774" s="21" t="s">
        <v>71</v>
      </c>
      <c r="F31774">
        <v>8771202</v>
      </c>
      <c r="G31774" t="s">
        <v>10223</v>
      </c>
      <c r="H31774" s="21">
        <v>522.29</v>
      </c>
    </row>
    <row r="31775" spans="1:8" customFormat="1" x14ac:dyDescent="0.25">
      <c r="A31775" t="str">
        <f>"9A1334"</f>
        <v>9A1334</v>
      </c>
      <c r="B31775" t="s">
        <v>28401</v>
      </c>
      <c r="C31775" t="s">
        <v>415</v>
      </c>
      <c r="D31775" s="21" t="s">
        <v>34</v>
      </c>
      <c r="E31775" s="21" t="s">
        <v>71</v>
      </c>
      <c r="F31775" t="s">
        <v>2849</v>
      </c>
      <c r="G31775" t="s">
        <v>2850</v>
      </c>
      <c r="H31775" s="21">
        <v>522.29</v>
      </c>
    </row>
    <row r="31776" spans="1:8" customFormat="1" x14ac:dyDescent="0.25">
      <c r="A31776" t="str">
        <f>"6021741"</f>
        <v>6021741</v>
      </c>
      <c r="B31776" t="s">
        <v>21525</v>
      </c>
      <c r="C31776" t="s">
        <v>3010</v>
      </c>
      <c r="D31776" s="21" t="s">
        <v>34</v>
      </c>
      <c r="E31776" s="21" t="s">
        <v>71</v>
      </c>
      <c r="F31776">
        <v>7600008</v>
      </c>
      <c r="G31776" t="s">
        <v>4646</v>
      </c>
      <c r="H31776" s="21">
        <v>522.29</v>
      </c>
    </row>
    <row r="31777" spans="1:8" customFormat="1" x14ac:dyDescent="0.25">
      <c r="A31777" t="str">
        <f>"9315758"</f>
        <v>9315758</v>
      </c>
      <c r="B31777" t="s">
        <v>4589</v>
      </c>
      <c r="C31777" t="s">
        <v>269</v>
      </c>
      <c r="D31777" s="21" t="s">
        <v>34</v>
      </c>
      <c r="E31777" s="21" t="s">
        <v>71</v>
      </c>
      <c r="F31777">
        <v>8931320</v>
      </c>
      <c r="G31777" t="s">
        <v>1537</v>
      </c>
      <c r="H31777" s="21">
        <v>522.25</v>
      </c>
    </row>
    <row r="31778" spans="1:8" customFormat="1" x14ac:dyDescent="0.25">
      <c r="A31778" t="str">
        <f>"4529915"</f>
        <v>4529915</v>
      </c>
      <c r="B31778" t="s">
        <v>28402</v>
      </c>
      <c r="C31778" t="s">
        <v>187</v>
      </c>
      <c r="D31778" s="21" t="s">
        <v>34</v>
      </c>
      <c r="E31778" s="21" t="s">
        <v>35</v>
      </c>
      <c r="F31778">
        <v>4450754</v>
      </c>
      <c r="G31778" t="s">
        <v>2695</v>
      </c>
      <c r="H31778" s="21">
        <v>522.25</v>
      </c>
    </row>
    <row r="31779" spans="1:8" customFormat="1" x14ac:dyDescent="0.25">
      <c r="A31779" t="str">
        <f>"1418572"</f>
        <v>1418572</v>
      </c>
      <c r="B31779" t="s">
        <v>21532</v>
      </c>
      <c r="C31779" t="s">
        <v>249</v>
      </c>
      <c r="D31779" s="21" t="s">
        <v>34</v>
      </c>
      <c r="E31779" s="21" t="s">
        <v>71</v>
      </c>
      <c r="F31779">
        <v>9140063</v>
      </c>
      <c r="G31779" t="s">
        <v>4764</v>
      </c>
      <c r="H31779" s="21">
        <v>522.16999999999996</v>
      </c>
    </row>
    <row r="31780" spans="1:8" customFormat="1" x14ac:dyDescent="0.25">
      <c r="A31780" t="str">
        <f>"6814612"</f>
        <v>6814612</v>
      </c>
      <c r="B31780" t="s">
        <v>8615</v>
      </c>
      <c r="C31780" t="s">
        <v>515</v>
      </c>
      <c r="D31780" s="21" t="s">
        <v>34</v>
      </c>
      <c r="E31780" s="21" t="s">
        <v>35</v>
      </c>
      <c r="F31780">
        <v>6680140</v>
      </c>
      <c r="G31780" t="s">
        <v>27516</v>
      </c>
      <c r="H31780" s="21">
        <v>522.16999999999996</v>
      </c>
    </row>
    <row r="31781" spans="1:8" customFormat="1" x14ac:dyDescent="0.25">
      <c r="A31781" t="str">
        <f>"7633054"</f>
        <v>7633054</v>
      </c>
      <c r="B31781" t="s">
        <v>8850</v>
      </c>
      <c r="C31781" t="s">
        <v>55</v>
      </c>
      <c r="D31781" s="21" t="s">
        <v>34</v>
      </c>
      <c r="E31781" s="21" t="s">
        <v>71</v>
      </c>
      <c r="F31781">
        <v>9760457</v>
      </c>
      <c r="G31781" t="s">
        <v>6912</v>
      </c>
      <c r="H31781" s="21">
        <v>522.16999999999996</v>
      </c>
    </row>
    <row r="31782" spans="1:8" customFormat="1" x14ac:dyDescent="0.25">
      <c r="A31782" t="str">
        <f>"3723598"</f>
        <v>3723598</v>
      </c>
      <c r="B31782" t="s">
        <v>23887</v>
      </c>
      <c r="C31782" t="s">
        <v>1914</v>
      </c>
      <c r="D31782" s="21" t="s">
        <v>34</v>
      </c>
      <c r="E31782" s="21" t="s">
        <v>254</v>
      </c>
      <c r="F31782">
        <v>4370307</v>
      </c>
      <c r="G31782" t="s">
        <v>7652</v>
      </c>
      <c r="H31782" s="21">
        <v>522.16999999999996</v>
      </c>
    </row>
    <row r="31783" spans="1:8" customFormat="1" x14ac:dyDescent="0.25">
      <c r="A31783" t="str">
        <f>"6311456"</f>
        <v>6311456</v>
      </c>
      <c r="B31783" t="s">
        <v>4126</v>
      </c>
      <c r="C31783" t="s">
        <v>2479</v>
      </c>
      <c r="D31783" s="21" t="s">
        <v>34</v>
      </c>
      <c r="E31783" s="21" t="s">
        <v>1089</v>
      </c>
      <c r="F31783">
        <v>1630332</v>
      </c>
      <c r="G31783" t="s">
        <v>27136</v>
      </c>
      <c r="H31783" s="21">
        <v>522.16999999999996</v>
      </c>
    </row>
    <row r="31784" spans="1:8" customFormat="1" x14ac:dyDescent="0.25">
      <c r="A31784" t="str">
        <f>"748849"</f>
        <v>748849</v>
      </c>
      <c r="B31784" t="s">
        <v>1081</v>
      </c>
      <c r="C31784" t="s">
        <v>2475</v>
      </c>
      <c r="D31784" s="21" t="s">
        <v>34</v>
      </c>
      <c r="E31784" s="21" t="s">
        <v>35</v>
      </c>
      <c r="F31784">
        <v>1740090</v>
      </c>
      <c r="G31784" t="s">
        <v>1369</v>
      </c>
      <c r="H31784" s="21">
        <v>522.16999999999996</v>
      </c>
    </row>
    <row r="31785" spans="1:8" customFormat="1" x14ac:dyDescent="0.25">
      <c r="A31785" t="str">
        <f>"387090"</f>
        <v>387090</v>
      </c>
      <c r="B31785" t="s">
        <v>21371</v>
      </c>
      <c r="C31785" t="s">
        <v>236</v>
      </c>
      <c r="D31785" s="21" t="s">
        <v>34</v>
      </c>
      <c r="E31785" s="21" t="s">
        <v>71</v>
      </c>
      <c r="F31785">
        <v>1380262</v>
      </c>
      <c r="G31785" t="s">
        <v>1216</v>
      </c>
      <c r="H31785" s="21">
        <v>522.16999999999996</v>
      </c>
    </row>
    <row r="31786" spans="1:8" customFormat="1" x14ac:dyDescent="0.25">
      <c r="A31786" t="str">
        <f>"4457183"</f>
        <v>4457183</v>
      </c>
      <c r="B31786" t="s">
        <v>10937</v>
      </c>
      <c r="C31786" t="s">
        <v>147</v>
      </c>
      <c r="D31786" s="21" t="s">
        <v>34</v>
      </c>
      <c r="E31786" s="21" t="s">
        <v>35</v>
      </c>
      <c r="F31786">
        <v>12440099</v>
      </c>
      <c r="G31786" t="s">
        <v>11536</v>
      </c>
      <c r="H31786" s="21">
        <v>522.16999999999996</v>
      </c>
    </row>
    <row r="31787" spans="1:8" customFormat="1" x14ac:dyDescent="0.25">
      <c r="A31787" t="str">
        <f>"7638875"</f>
        <v>7638875</v>
      </c>
      <c r="B31787" t="s">
        <v>17229</v>
      </c>
      <c r="C31787" t="s">
        <v>1841</v>
      </c>
      <c r="D31787" s="21" t="s">
        <v>34</v>
      </c>
      <c r="E31787" s="21" t="s">
        <v>1089</v>
      </c>
      <c r="F31787">
        <v>9270187</v>
      </c>
      <c r="G31787" t="s">
        <v>6733</v>
      </c>
      <c r="H31787" s="21">
        <v>522.16999999999996</v>
      </c>
    </row>
    <row r="31788" spans="1:8" customFormat="1" x14ac:dyDescent="0.25">
      <c r="A31788" t="str">
        <f>"5113351"</f>
        <v>5113351</v>
      </c>
      <c r="B31788" t="s">
        <v>28403</v>
      </c>
      <c r="C31788" t="s">
        <v>249</v>
      </c>
      <c r="D31788" s="21" t="s">
        <v>34</v>
      </c>
      <c r="E31788" s="21" t="s">
        <v>71</v>
      </c>
      <c r="F31788">
        <v>6510001</v>
      </c>
      <c r="G31788" t="s">
        <v>286</v>
      </c>
      <c r="H31788" s="21">
        <v>522.16999999999996</v>
      </c>
    </row>
    <row r="31789" spans="1:8" customFormat="1" x14ac:dyDescent="0.25">
      <c r="A31789" t="str">
        <f>"7869777"</f>
        <v>7869777</v>
      </c>
      <c r="B31789" t="s">
        <v>197</v>
      </c>
      <c r="C31789" t="s">
        <v>879</v>
      </c>
      <c r="D31789" s="21" t="s">
        <v>34</v>
      </c>
      <c r="E31789" s="21" t="s">
        <v>254</v>
      </c>
      <c r="F31789">
        <v>8781466</v>
      </c>
      <c r="G31789" t="s">
        <v>21047</v>
      </c>
      <c r="H31789" s="21">
        <v>522.16999999999996</v>
      </c>
    </row>
    <row r="31790" spans="1:8" customFormat="1" x14ac:dyDescent="0.25">
      <c r="A31790" t="str">
        <f>"7220628"</f>
        <v>7220628</v>
      </c>
      <c r="B31790" t="s">
        <v>845</v>
      </c>
      <c r="C31790" t="s">
        <v>2907</v>
      </c>
      <c r="D31790" s="21" t="s">
        <v>34</v>
      </c>
      <c r="E31790" s="21" t="s">
        <v>71</v>
      </c>
      <c r="F31790">
        <v>12720062</v>
      </c>
      <c r="G31790" t="s">
        <v>4026</v>
      </c>
      <c r="H31790" s="21">
        <v>522.16999999999996</v>
      </c>
    </row>
    <row r="31791" spans="1:8" customFormat="1" x14ac:dyDescent="0.25">
      <c r="A31791" t="str">
        <f>"1421745"</f>
        <v>1421745</v>
      </c>
      <c r="B31791" t="s">
        <v>21870</v>
      </c>
      <c r="C31791" t="s">
        <v>21871</v>
      </c>
      <c r="D31791" s="21" t="s">
        <v>34</v>
      </c>
      <c r="E31791" s="21" t="s">
        <v>254</v>
      </c>
      <c r="F31791">
        <v>9140013</v>
      </c>
      <c r="G31791" t="s">
        <v>1837</v>
      </c>
      <c r="H31791" s="21">
        <v>522.16999999999996</v>
      </c>
    </row>
    <row r="31792" spans="1:8" customFormat="1" x14ac:dyDescent="0.25">
      <c r="A31792" t="str">
        <f>"7841860"</f>
        <v>7841860</v>
      </c>
      <c r="B31792" t="s">
        <v>28404</v>
      </c>
      <c r="C31792" t="s">
        <v>664</v>
      </c>
      <c r="D31792" s="21" t="s">
        <v>34</v>
      </c>
      <c r="E31792" s="21" t="s">
        <v>1089</v>
      </c>
      <c r="F31792">
        <v>3560034</v>
      </c>
      <c r="G31792" t="s">
        <v>2220</v>
      </c>
      <c r="H31792" s="21">
        <v>522.16999999999996</v>
      </c>
    </row>
    <row r="31793" spans="1:8" customFormat="1" x14ac:dyDescent="0.25">
      <c r="A31793" t="str">
        <f>"9133488"</f>
        <v>9133488</v>
      </c>
      <c r="B31793" t="s">
        <v>21223</v>
      </c>
      <c r="C31793" t="s">
        <v>209</v>
      </c>
      <c r="D31793" s="21" t="s">
        <v>34</v>
      </c>
      <c r="E31793" s="21" t="s">
        <v>254</v>
      </c>
      <c r="F31793">
        <v>8910916</v>
      </c>
      <c r="G31793" t="s">
        <v>2251</v>
      </c>
      <c r="H31793" s="21">
        <v>522.16999999999996</v>
      </c>
    </row>
    <row r="31794" spans="1:8" customFormat="1" x14ac:dyDescent="0.25">
      <c r="A31794" t="str">
        <f>"8529035"</f>
        <v>8529035</v>
      </c>
      <c r="B31794" t="s">
        <v>28405</v>
      </c>
      <c r="C31794" t="s">
        <v>462</v>
      </c>
      <c r="D31794" s="21" t="s">
        <v>34</v>
      </c>
      <c r="E31794" s="21" t="s">
        <v>35</v>
      </c>
      <c r="F31794">
        <v>12851024</v>
      </c>
      <c r="G31794" t="s">
        <v>25858</v>
      </c>
      <c r="H31794" s="21">
        <v>522.16999999999996</v>
      </c>
    </row>
    <row r="31795" spans="1:8" customFormat="1" x14ac:dyDescent="0.25">
      <c r="A31795" t="str">
        <f>"062665"</f>
        <v>062665</v>
      </c>
      <c r="B31795" t="s">
        <v>23207</v>
      </c>
      <c r="C31795" t="s">
        <v>926</v>
      </c>
      <c r="D31795" s="21" t="s">
        <v>34</v>
      </c>
      <c r="E31795" s="21" t="s">
        <v>71</v>
      </c>
      <c r="F31795">
        <v>13060074</v>
      </c>
      <c r="G31795" t="s">
        <v>13510</v>
      </c>
      <c r="H31795" s="21">
        <v>522.16999999999996</v>
      </c>
    </row>
    <row r="31796" spans="1:8" customFormat="1" x14ac:dyDescent="0.25">
      <c r="A31796" t="str">
        <f>"6225450"</f>
        <v>6225450</v>
      </c>
      <c r="B31796" t="s">
        <v>21167</v>
      </c>
      <c r="C31796" t="s">
        <v>3073</v>
      </c>
      <c r="D31796" s="21" t="s">
        <v>34</v>
      </c>
      <c r="E31796" s="21" t="s">
        <v>254</v>
      </c>
      <c r="F31796">
        <v>7620065</v>
      </c>
      <c r="G31796" t="s">
        <v>6550</v>
      </c>
      <c r="H31796" s="21">
        <v>522.16999999999996</v>
      </c>
    </row>
    <row r="31797" spans="1:8" customFormat="1" x14ac:dyDescent="0.25">
      <c r="A31797" t="str">
        <f>"6316808"</f>
        <v>6316808</v>
      </c>
      <c r="B31797" t="s">
        <v>28406</v>
      </c>
      <c r="C31797" t="s">
        <v>151</v>
      </c>
      <c r="D31797" s="21" t="s">
        <v>34</v>
      </c>
      <c r="E31797" s="21" t="s">
        <v>35</v>
      </c>
      <c r="F31797">
        <v>1630333</v>
      </c>
      <c r="G31797" t="s">
        <v>28407</v>
      </c>
      <c r="H31797" s="21">
        <v>522.16999999999996</v>
      </c>
    </row>
    <row r="31798" spans="1:8" customFormat="1" x14ac:dyDescent="0.25">
      <c r="A31798" t="str">
        <f>"5110933"</f>
        <v>5110933</v>
      </c>
      <c r="B31798" t="s">
        <v>22633</v>
      </c>
      <c r="C31798" t="s">
        <v>198</v>
      </c>
      <c r="D31798" s="21" t="s">
        <v>34</v>
      </c>
      <c r="E31798" s="21" t="s">
        <v>35</v>
      </c>
      <c r="F31798">
        <v>6510002</v>
      </c>
      <c r="G31798" t="s">
        <v>4588</v>
      </c>
      <c r="H31798" s="21">
        <v>522.16999999999996</v>
      </c>
    </row>
    <row r="31799" spans="1:8" customFormat="1" x14ac:dyDescent="0.25">
      <c r="A31799" t="str">
        <f>"186670"</f>
        <v>186670</v>
      </c>
      <c r="B31799" t="s">
        <v>23767</v>
      </c>
      <c r="C31799" t="s">
        <v>1914</v>
      </c>
      <c r="D31799" s="21" t="s">
        <v>34</v>
      </c>
      <c r="E31799" s="21" t="s">
        <v>254</v>
      </c>
      <c r="F31799">
        <v>3560053</v>
      </c>
      <c r="G31799" t="s">
        <v>298</v>
      </c>
      <c r="H31799" s="21">
        <v>522.16999999999996</v>
      </c>
    </row>
    <row r="31800" spans="1:8" customFormat="1" x14ac:dyDescent="0.25">
      <c r="A31800" t="str">
        <f>"2112616"</f>
        <v>2112616</v>
      </c>
      <c r="B31800" t="s">
        <v>27601</v>
      </c>
      <c r="C31800" t="s">
        <v>412</v>
      </c>
      <c r="D31800" s="21" t="s">
        <v>34</v>
      </c>
      <c r="E31800" s="21" t="s">
        <v>35</v>
      </c>
      <c r="F31800">
        <v>2210052</v>
      </c>
      <c r="G31800" t="s">
        <v>1070</v>
      </c>
      <c r="H31800" s="21">
        <v>522.16999999999996</v>
      </c>
    </row>
    <row r="31801" spans="1:8" customFormat="1" x14ac:dyDescent="0.25">
      <c r="A31801" t="str">
        <f>"522425"</f>
        <v>522425</v>
      </c>
      <c r="B31801" t="s">
        <v>22336</v>
      </c>
      <c r="C31801" t="s">
        <v>1146</v>
      </c>
      <c r="D31801" s="21" t="s">
        <v>34</v>
      </c>
      <c r="E31801" s="21" t="s">
        <v>1089</v>
      </c>
      <c r="F31801">
        <v>6520001</v>
      </c>
      <c r="G31801" t="s">
        <v>7318</v>
      </c>
      <c r="H31801" s="21">
        <v>522.16999999999996</v>
      </c>
    </row>
    <row r="31802" spans="1:8" customFormat="1" x14ac:dyDescent="0.25">
      <c r="A31802" t="str">
        <f>"8513344"</f>
        <v>8513344</v>
      </c>
      <c r="B31802" t="s">
        <v>2263</v>
      </c>
      <c r="C31802" t="s">
        <v>21401</v>
      </c>
      <c r="D31802" s="21" t="s">
        <v>34</v>
      </c>
      <c r="E31802" s="21" t="s">
        <v>71</v>
      </c>
      <c r="F31802">
        <v>12440042</v>
      </c>
      <c r="G31802" t="s">
        <v>10312</v>
      </c>
      <c r="H31802" s="21">
        <v>522.16999999999996</v>
      </c>
    </row>
    <row r="31803" spans="1:8" customFormat="1" x14ac:dyDescent="0.25">
      <c r="A31803" t="str">
        <f>"486026"</f>
        <v>486026</v>
      </c>
      <c r="B31803" t="s">
        <v>1959</v>
      </c>
      <c r="C31803" t="s">
        <v>169</v>
      </c>
      <c r="D31803" s="21" t="s">
        <v>34</v>
      </c>
      <c r="E31803" s="21" t="s">
        <v>35</v>
      </c>
      <c r="F31803">
        <v>11480022</v>
      </c>
      <c r="G31803" t="s">
        <v>18917</v>
      </c>
      <c r="H31803" s="21">
        <v>522.16999999999996</v>
      </c>
    </row>
    <row r="31804" spans="1:8" customFormat="1" x14ac:dyDescent="0.25">
      <c r="A31804" t="str">
        <f>"8018825"</f>
        <v>8018825</v>
      </c>
      <c r="B31804" t="s">
        <v>24472</v>
      </c>
      <c r="C31804" t="s">
        <v>1782</v>
      </c>
      <c r="D31804" s="21" t="s">
        <v>34</v>
      </c>
      <c r="E31804" s="21" t="s">
        <v>35</v>
      </c>
      <c r="F31804">
        <v>7800074</v>
      </c>
      <c r="G31804" t="s">
        <v>7104</v>
      </c>
      <c r="H31804" s="21">
        <v>522.16999999999996</v>
      </c>
    </row>
    <row r="31805" spans="1:8" customFormat="1" x14ac:dyDescent="0.25">
      <c r="A31805" t="str">
        <f>"199849"</f>
        <v>199849</v>
      </c>
      <c r="B31805" t="s">
        <v>22646</v>
      </c>
      <c r="C31805" t="s">
        <v>2520</v>
      </c>
      <c r="D31805" s="21" t="s">
        <v>34</v>
      </c>
      <c r="E31805" s="21" t="s">
        <v>71</v>
      </c>
      <c r="F31805">
        <v>10190120</v>
      </c>
      <c r="G31805" t="s">
        <v>4616</v>
      </c>
      <c r="H31805" s="21">
        <v>522.16999999999996</v>
      </c>
    </row>
    <row r="31806" spans="1:8" customFormat="1" x14ac:dyDescent="0.25">
      <c r="A31806" t="str">
        <f>"812496"</f>
        <v>812496</v>
      </c>
      <c r="B31806" t="s">
        <v>19447</v>
      </c>
      <c r="C31806" t="s">
        <v>598</v>
      </c>
      <c r="D31806" s="21" t="s">
        <v>34</v>
      </c>
      <c r="E31806" s="21" t="s">
        <v>254</v>
      </c>
      <c r="F31806">
        <v>11810001</v>
      </c>
      <c r="G31806" t="s">
        <v>26998</v>
      </c>
      <c r="H31806" s="21">
        <v>522.04</v>
      </c>
    </row>
    <row r="31807" spans="1:8" customFormat="1" x14ac:dyDescent="0.25">
      <c r="A31807" t="str">
        <f>"5618122"</f>
        <v>5618122</v>
      </c>
      <c r="B31807" t="s">
        <v>22978</v>
      </c>
      <c r="C31807" t="s">
        <v>62</v>
      </c>
      <c r="D31807" s="21" t="s">
        <v>34</v>
      </c>
      <c r="E31807" s="21" t="s">
        <v>71</v>
      </c>
      <c r="F31807">
        <v>3560054</v>
      </c>
      <c r="G31807" t="s">
        <v>10188</v>
      </c>
      <c r="H31807" s="21">
        <v>522.04</v>
      </c>
    </row>
    <row r="31808" spans="1:8" customFormat="1" x14ac:dyDescent="0.25">
      <c r="A31808" t="str">
        <f>"9234752"</f>
        <v>9234752</v>
      </c>
      <c r="B31808" t="s">
        <v>22218</v>
      </c>
      <c r="C31808" t="s">
        <v>269</v>
      </c>
      <c r="D31808" s="21" t="s">
        <v>34</v>
      </c>
      <c r="E31808" s="21" t="s">
        <v>254</v>
      </c>
      <c r="F31808">
        <v>8920140</v>
      </c>
      <c r="G31808" t="s">
        <v>3762</v>
      </c>
      <c r="H31808" s="21">
        <v>522</v>
      </c>
    </row>
    <row r="31809" spans="1:8" customFormat="1" x14ac:dyDescent="0.25">
      <c r="A31809" t="str">
        <f>"2516357"</f>
        <v>2516357</v>
      </c>
      <c r="B31809" t="s">
        <v>13634</v>
      </c>
      <c r="C31809" t="s">
        <v>249</v>
      </c>
      <c r="D31809" s="21" t="s">
        <v>34</v>
      </c>
      <c r="E31809" s="21" t="s">
        <v>71</v>
      </c>
      <c r="F31809">
        <v>2250216</v>
      </c>
      <c r="G31809" t="s">
        <v>11454</v>
      </c>
      <c r="H31809" s="21">
        <v>522</v>
      </c>
    </row>
    <row r="31810" spans="1:8" customFormat="1" x14ac:dyDescent="0.25">
      <c r="A31810" t="str">
        <f>"2929282"</f>
        <v>2929282</v>
      </c>
      <c r="B31810" t="s">
        <v>22603</v>
      </c>
      <c r="C31810" t="s">
        <v>2393</v>
      </c>
      <c r="D31810" s="21" t="s">
        <v>34</v>
      </c>
      <c r="E31810" s="21" t="s">
        <v>35</v>
      </c>
      <c r="F31810">
        <v>3290047</v>
      </c>
      <c r="G31810" t="s">
        <v>2874</v>
      </c>
      <c r="H31810" s="21">
        <v>522</v>
      </c>
    </row>
    <row r="31811" spans="1:8" customFormat="1" x14ac:dyDescent="0.25">
      <c r="A31811" t="str">
        <f>"1614595"</f>
        <v>1614595</v>
      </c>
      <c r="B31811" t="s">
        <v>8321</v>
      </c>
      <c r="C31811" t="s">
        <v>4989</v>
      </c>
      <c r="D31811" s="21" t="s">
        <v>34</v>
      </c>
      <c r="E31811" s="21" t="s">
        <v>254</v>
      </c>
      <c r="F31811">
        <v>10160226</v>
      </c>
      <c r="G31811" t="s">
        <v>8751</v>
      </c>
      <c r="H31811" s="21">
        <v>522</v>
      </c>
    </row>
    <row r="31812" spans="1:8" customFormat="1" x14ac:dyDescent="0.25">
      <c r="A31812" t="str">
        <f>"7639779"</f>
        <v>7639779</v>
      </c>
      <c r="B31812" t="s">
        <v>24606</v>
      </c>
      <c r="C31812" t="s">
        <v>664</v>
      </c>
      <c r="D31812" s="21" t="s">
        <v>34</v>
      </c>
      <c r="E31812" s="21" t="s">
        <v>1089</v>
      </c>
      <c r="F31812">
        <v>9760157</v>
      </c>
      <c r="G31812" t="s">
        <v>3412</v>
      </c>
      <c r="H31812" s="21">
        <v>522</v>
      </c>
    </row>
    <row r="31813" spans="1:8" customFormat="1" x14ac:dyDescent="0.25">
      <c r="A31813" t="str">
        <f>"594782"</f>
        <v>594782</v>
      </c>
      <c r="B31813" t="s">
        <v>853</v>
      </c>
      <c r="C31813" t="s">
        <v>10066</v>
      </c>
      <c r="D31813" s="21" t="s">
        <v>34</v>
      </c>
      <c r="E31813" s="21" t="s">
        <v>6185</v>
      </c>
      <c r="F31813">
        <v>7590027</v>
      </c>
      <c r="G31813" t="s">
        <v>629</v>
      </c>
      <c r="H31813" s="21">
        <v>522</v>
      </c>
    </row>
    <row r="31814" spans="1:8" customFormat="1" x14ac:dyDescent="0.25">
      <c r="A31814" t="str">
        <f>"5730246"</f>
        <v>5730246</v>
      </c>
      <c r="B31814" t="s">
        <v>24420</v>
      </c>
      <c r="C31814" t="s">
        <v>1231</v>
      </c>
      <c r="D31814" s="21" t="s">
        <v>34</v>
      </c>
      <c r="E31814" s="21" t="s">
        <v>71</v>
      </c>
      <c r="F31814">
        <v>6570125</v>
      </c>
      <c r="G31814" t="s">
        <v>14599</v>
      </c>
      <c r="H31814" s="21">
        <v>521.91999999999996</v>
      </c>
    </row>
    <row r="31815" spans="1:8" customFormat="1" x14ac:dyDescent="0.25">
      <c r="A31815" t="str">
        <f>"3329963"</f>
        <v>3329963</v>
      </c>
      <c r="B31815" t="s">
        <v>21919</v>
      </c>
      <c r="C31815" t="s">
        <v>1914</v>
      </c>
      <c r="D31815" s="21" t="s">
        <v>34</v>
      </c>
      <c r="E31815" s="21" t="s">
        <v>254</v>
      </c>
      <c r="F31815">
        <v>10330034</v>
      </c>
      <c r="G31815" t="s">
        <v>6011</v>
      </c>
      <c r="H31815" s="21">
        <v>521.75</v>
      </c>
    </row>
    <row r="31816" spans="1:8" customFormat="1" x14ac:dyDescent="0.25">
      <c r="A31816" t="str">
        <f>"13299"</f>
        <v>13299</v>
      </c>
      <c r="B31816" t="s">
        <v>1213</v>
      </c>
      <c r="C31816" t="s">
        <v>874</v>
      </c>
      <c r="D31816" s="21" t="s">
        <v>34</v>
      </c>
      <c r="E31816" s="21" t="s">
        <v>1089</v>
      </c>
      <c r="F31816">
        <v>13130170</v>
      </c>
      <c r="G31816" t="s">
        <v>10164</v>
      </c>
      <c r="H31816" s="21">
        <v>521.66999999999996</v>
      </c>
    </row>
    <row r="31817" spans="1:8" customFormat="1" x14ac:dyDescent="0.25">
      <c r="A31817" t="str">
        <f>"9251469"</f>
        <v>9251469</v>
      </c>
      <c r="B31817" t="s">
        <v>638</v>
      </c>
      <c r="C31817" t="s">
        <v>62</v>
      </c>
      <c r="D31817" s="21" t="s">
        <v>34</v>
      </c>
      <c r="E31817" s="21" t="s">
        <v>35</v>
      </c>
      <c r="F31817">
        <v>8921316</v>
      </c>
      <c r="G31817" t="s">
        <v>12326</v>
      </c>
      <c r="H31817" s="21">
        <v>521.66999999999996</v>
      </c>
    </row>
    <row r="31818" spans="1:8" customFormat="1" x14ac:dyDescent="0.25">
      <c r="A31818" t="str">
        <f>"396644"</f>
        <v>396644</v>
      </c>
      <c r="B31818" t="s">
        <v>3627</v>
      </c>
      <c r="C31818" t="s">
        <v>139</v>
      </c>
      <c r="D31818" s="21" t="s">
        <v>34</v>
      </c>
      <c r="E31818" s="21" t="s">
        <v>35</v>
      </c>
      <c r="F31818">
        <v>2390094</v>
      </c>
      <c r="G31818" t="s">
        <v>14784</v>
      </c>
      <c r="H31818" s="21">
        <v>521.66999999999996</v>
      </c>
    </row>
    <row r="31819" spans="1:8" customFormat="1" x14ac:dyDescent="0.25">
      <c r="A31819" t="str">
        <f>"905752"</f>
        <v>905752</v>
      </c>
      <c r="B31819" t="s">
        <v>21416</v>
      </c>
      <c r="C31819" t="s">
        <v>62</v>
      </c>
      <c r="D31819" s="21" t="s">
        <v>34</v>
      </c>
      <c r="E31819" s="21" t="s">
        <v>71</v>
      </c>
      <c r="F31819">
        <v>2900041</v>
      </c>
      <c r="G31819" t="s">
        <v>4635</v>
      </c>
      <c r="H31819" s="21">
        <v>521.66999999999996</v>
      </c>
    </row>
    <row r="31820" spans="1:8" customFormat="1" x14ac:dyDescent="0.25">
      <c r="A31820" t="str">
        <f>"3723342"</f>
        <v>3723342</v>
      </c>
      <c r="B31820" t="s">
        <v>1094</v>
      </c>
      <c r="C31820" t="s">
        <v>415</v>
      </c>
      <c r="D31820" s="21" t="s">
        <v>34</v>
      </c>
      <c r="E31820" s="21" t="s">
        <v>254</v>
      </c>
      <c r="F31820">
        <v>4370708</v>
      </c>
      <c r="G31820" t="s">
        <v>21080</v>
      </c>
      <c r="H31820" s="21">
        <v>521.66999999999996</v>
      </c>
    </row>
    <row r="31821" spans="1:8" customFormat="1" x14ac:dyDescent="0.25">
      <c r="A31821" t="str">
        <f>"445993"</f>
        <v>445993</v>
      </c>
      <c r="B31821" t="s">
        <v>4533</v>
      </c>
      <c r="C31821" t="s">
        <v>2305</v>
      </c>
      <c r="D31821" s="21" t="s">
        <v>34</v>
      </c>
      <c r="E31821" s="21" t="s">
        <v>254</v>
      </c>
      <c r="F31821">
        <v>12440054</v>
      </c>
      <c r="G31821" t="s">
        <v>5474</v>
      </c>
      <c r="H31821" s="21">
        <v>521.66999999999996</v>
      </c>
    </row>
    <row r="31822" spans="1:8" customFormat="1" x14ac:dyDescent="0.25">
      <c r="A31822" t="str">
        <f>"4456482"</f>
        <v>4456482</v>
      </c>
      <c r="B31822" t="s">
        <v>23794</v>
      </c>
      <c r="C31822" t="s">
        <v>98</v>
      </c>
      <c r="D31822" s="21" t="s">
        <v>34</v>
      </c>
      <c r="E31822" s="21" t="s">
        <v>35</v>
      </c>
      <c r="F31822">
        <v>12440056</v>
      </c>
      <c r="G31822" t="s">
        <v>2037</v>
      </c>
      <c r="H31822" s="21">
        <v>521.66999999999996</v>
      </c>
    </row>
    <row r="31823" spans="1:8" customFormat="1" x14ac:dyDescent="0.25">
      <c r="A31823" t="str">
        <f>"9138845"</f>
        <v>9138845</v>
      </c>
      <c r="B31823" t="s">
        <v>21271</v>
      </c>
      <c r="C31823" t="s">
        <v>249</v>
      </c>
      <c r="D31823" s="21" t="s">
        <v>34</v>
      </c>
      <c r="E31823" s="21" t="s">
        <v>71</v>
      </c>
      <c r="F31823">
        <v>8910916</v>
      </c>
      <c r="G31823" t="s">
        <v>2251</v>
      </c>
      <c r="H31823" s="21">
        <v>521.66999999999996</v>
      </c>
    </row>
    <row r="31824" spans="1:8" customFormat="1" x14ac:dyDescent="0.25">
      <c r="A31824" t="str">
        <f>"3118940"</f>
        <v>3118940</v>
      </c>
      <c r="B31824" t="s">
        <v>18375</v>
      </c>
      <c r="C31824" t="s">
        <v>1665</v>
      </c>
      <c r="D31824" s="21" t="s">
        <v>34</v>
      </c>
      <c r="E31824" s="21" t="s">
        <v>71</v>
      </c>
      <c r="F31824">
        <v>11310123</v>
      </c>
      <c r="G31824" t="s">
        <v>3915</v>
      </c>
      <c r="H31824" s="21">
        <v>521.66999999999996</v>
      </c>
    </row>
    <row r="31825" spans="1:8" customFormat="1" x14ac:dyDescent="0.25">
      <c r="A31825" t="str">
        <f>"5948923"</f>
        <v>5948923</v>
      </c>
      <c r="B31825" t="s">
        <v>21453</v>
      </c>
      <c r="C31825" t="s">
        <v>156</v>
      </c>
      <c r="D31825" s="21" t="s">
        <v>34</v>
      </c>
      <c r="E31825" s="21" t="s">
        <v>35</v>
      </c>
      <c r="F31825">
        <v>13060114</v>
      </c>
      <c r="G31825" t="s">
        <v>4501</v>
      </c>
      <c r="H31825" s="21">
        <v>521.66999999999996</v>
      </c>
    </row>
    <row r="31826" spans="1:8" customFormat="1" x14ac:dyDescent="0.25">
      <c r="A31826" t="str">
        <f>"6935941"</f>
        <v>6935941</v>
      </c>
      <c r="B31826" t="s">
        <v>20150</v>
      </c>
      <c r="C31826" t="s">
        <v>169</v>
      </c>
      <c r="D31826" s="21" t="s">
        <v>34</v>
      </c>
      <c r="E31826" s="21" t="s">
        <v>35</v>
      </c>
      <c r="F31826">
        <v>1690008</v>
      </c>
      <c r="G31826" t="s">
        <v>6276</v>
      </c>
      <c r="H31826" s="21">
        <v>521.66999999999996</v>
      </c>
    </row>
    <row r="31827" spans="1:8" customFormat="1" x14ac:dyDescent="0.25">
      <c r="A31827" t="str">
        <f>"7875065"</f>
        <v>7875065</v>
      </c>
      <c r="B31827" t="s">
        <v>485</v>
      </c>
      <c r="C31827" t="s">
        <v>13960</v>
      </c>
      <c r="D31827" s="21" t="s">
        <v>34</v>
      </c>
      <c r="E31827" s="21" t="s">
        <v>35</v>
      </c>
      <c r="F31827">
        <v>8781248</v>
      </c>
      <c r="G31827" t="s">
        <v>2005</v>
      </c>
      <c r="H31827" s="21">
        <v>521.66999999999996</v>
      </c>
    </row>
    <row r="31828" spans="1:8" customFormat="1" x14ac:dyDescent="0.25">
      <c r="A31828" t="str">
        <f>"3712225"</f>
        <v>3712225</v>
      </c>
      <c r="B31828" t="s">
        <v>16399</v>
      </c>
      <c r="C31828" t="s">
        <v>28408</v>
      </c>
      <c r="D31828" s="21" t="s">
        <v>34</v>
      </c>
      <c r="E31828" s="21" t="s">
        <v>35</v>
      </c>
      <c r="F31828">
        <v>4370625</v>
      </c>
      <c r="G31828" t="s">
        <v>16671</v>
      </c>
      <c r="H31828" s="21">
        <v>521.66999999999996</v>
      </c>
    </row>
    <row r="31829" spans="1:8" customFormat="1" x14ac:dyDescent="0.25">
      <c r="A31829" t="str">
        <f>"3420889"</f>
        <v>3420889</v>
      </c>
      <c r="B31829" t="s">
        <v>22252</v>
      </c>
      <c r="C31829" t="s">
        <v>119</v>
      </c>
      <c r="D31829" s="21" t="s">
        <v>34</v>
      </c>
      <c r="E31829" s="21" t="s">
        <v>35</v>
      </c>
      <c r="F31829">
        <v>11340018</v>
      </c>
      <c r="G31829" t="s">
        <v>2421</v>
      </c>
      <c r="H31829" s="21">
        <v>521.66999999999996</v>
      </c>
    </row>
    <row r="31830" spans="1:8" customFormat="1" x14ac:dyDescent="0.25">
      <c r="A31830" t="str">
        <f>"4216596"</f>
        <v>4216596</v>
      </c>
      <c r="B31830" t="s">
        <v>4128</v>
      </c>
      <c r="C31830" t="s">
        <v>209</v>
      </c>
      <c r="D31830" s="21" t="s">
        <v>34</v>
      </c>
      <c r="E31830" s="21" t="s">
        <v>71</v>
      </c>
      <c r="F31830">
        <v>1420141</v>
      </c>
      <c r="G31830" t="s">
        <v>5190</v>
      </c>
      <c r="H31830" s="21">
        <v>521.66999999999996</v>
      </c>
    </row>
    <row r="31831" spans="1:8" customFormat="1" x14ac:dyDescent="0.25">
      <c r="A31831" t="str">
        <f>"924732"</f>
        <v>924732</v>
      </c>
      <c r="B31831" t="s">
        <v>1645</v>
      </c>
      <c r="C31831" t="s">
        <v>1142</v>
      </c>
      <c r="D31831" s="21" t="s">
        <v>34</v>
      </c>
      <c r="E31831" s="21" t="s">
        <v>1089</v>
      </c>
      <c r="F31831">
        <v>8920031</v>
      </c>
      <c r="G31831" t="s">
        <v>552</v>
      </c>
      <c r="H31831" s="21">
        <v>521.66999999999996</v>
      </c>
    </row>
    <row r="31832" spans="1:8" customFormat="1" x14ac:dyDescent="0.25">
      <c r="A31832" t="str">
        <f>"2939203"</f>
        <v>2939203</v>
      </c>
      <c r="B31832" t="s">
        <v>11991</v>
      </c>
      <c r="C31832" t="s">
        <v>2100</v>
      </c>
      <c r="D31832" s="21" t="s">
        <v>34</v>
      </c>
      <c r="E31832" s="21" t="s">
        <v>35</v>
      </c>
      <c r="F31832">
        <v>3290263</v>
      </c>
      <c r="G31832" t="s">
        <v>4108</v>
      </c>
      <c r="H31832" s="21">
        <v>521.66999999999996</v>
      </c>
    </row>
    <row r="31833" spans="1:8" customFormat="1" x14ac:dyDescent="0.25">
      <c r="A31833" t="str">
        <f>"1316892"</f>
        <v>1316892</v>
      </c>
      <c r="B31833" t="s">
        <v>22138</v>
      </c>
      <c r="C31833" t="s">
        <v>5861</v>
      </c>
      <c r="D31833" s="21" t="s">
        <v>34</v>
      </c>
      <c r="E31833" s="21" t="s">
        <v>71</v>
      </c>
      <c r="F31833">
        <v>13130133</v>
      </c>
      <c r="G31833" t="s">
        <v>12333</v>
      </c>
      <c r="H31833" s="21">
        <v>521.66999999999996</v>
      </c>
    </row>
    <row r="31834" spans="1:8" customFormat="1" x14ac:dyDescent="0.25">
      <c r="A31834" t="str">
        <f>"516157"</f>
        <v>516157</v>
      </c>
      <c r="B31834" t="s">
        <v>14678</v>
      </c>
      <c r="C31834" t="s">
        <v>453</v>
      </c>
      <c r="D31834" s="21" t="s">
        <v>34</v>
      </c>
      <c r="E31834" s="21" t="s">
        <v>254</v>
      </c>
      <c r="F31834">
        <v>6510090</v>
      </c>
      <c r="G31834" t="s">
        <v>11924</v>
      </c>
      <c r="H31834" s="21">
        <v>521.66999999999996</v>
      </c>
    </row>
    <row r="31835" spans="1:8" customFormat="1" x14ac:dyDescent="0.25">
      <c r="A31835" t="str">
        <f>"5967795"</f>
        <v>5967795</v>
      </c>
      <c r="B31835" t="s">
        <v>9251</v>
      </c>
      <c r="C31835" t="s">
        <v>149</v>
      </c>
      <c r="D31835" s="21" t="s">
        <v>34</v>
      </c>
      <c r="E31835" s="21" t="s">
        <v>35</v>
      </c>
      <c r="F31835">
        <v>7590293</v>
      </c>
      <c r="G31835" t="s">
        <v>2431</v>
      </c>
      <c r="H31835" s="21">
        <v>521.66999999999996</v>
      </c>
    </row>
    <row r="31836" spans="1:8" customFormat="1" x14ac:dyDescent="0.25">
      <c r="A31836" t="str">
        <f>"7922913"</f>
        <v>7922913</v>
      </c>
      <c r="B31836" t="s">
        <v>7725</v>
      </c>
      <c r="C31836" t="s">
        <v>96</v>
      </c>
      <c r="D31836" s="21" t="s">
        <v>34</v>
      </c>
      <c r="E31836" s="21" t="s">
        <v>35</v>
      </c>
      <c r="F31836">
        <v>10790022</v>
      </c>
      <c r="G31836" t="s">
        <v>7916</v>
      </c>
      <c r="H31836" s="21">
        <v>521.66999999999996</v>
      </c>
    </row>
    <row r="31837" spans="1:8" customFormat="1" x14ac:dyDescent="0.25">
      <c r="A31837" t="str">
        <f>"7821360"</f>
        <v>7821360</v>
      </c>
      <c r="B31837" t="s">
        <v>7041</v>
      </c>
      <c r="C31837" t="s">
        <v>1665</v>
      </c>
      <c r="D31837" s="21" t="s">
        <v>34</v>
      </c>
      <c r="E31837" s="21" t="s">
        <v>71</v>
      </c>
      <c r="F31837">
        <v>8781094</v>
      </c>
      <c r="G31837" t="s">
        <v>7875</v>
      </c>
      <c r="H31837" s="21">
        <v>521.66999999999996</v>
      </c>
    </row>
    <row r="31838" spans="1:8" customFormat="1" x14ac:dyDescent="0.25">
      <c r="A31838" t="str">
        <f>"928194"</f>
        <v>928194</v>
      </c>
      <c r="B31838" t="s">
        <v>7432</v>
      </c>
      <c r="C31838" t="s">
        <v>244</v>
      </c>
      <c r="D31838" s="21" t="s">
        <v>34</v>
      </c>
      <c r="E31838" s="21" t="s">
        <v>254</v>
      </c>
      <c r="F31838">
        <v>8920234</v>
      </c>
      <c r="G31838" t="s">
        <v>1184</v>
      </c>
      <c r="H31838" s="21">
        <v>521.66999999999996</v>
      </c>
    </row>
    <row r="31839" spans="1:8" customFormat="1" x14ac:dyDescent="0.25">
      <c r="A31839" t="str">
        <f>"3521762"</f>
        <v>3521762</v>
      </c>
      <c r="B31839" t="s">
        <v>3835</v>
      </c>
      <c r="C31839" t="s">
        <v>55</v>
      </c>
      <c r="D31839" s="21" t="s">
        <v>34</v>
      </c>
      <c r="E31839" s="21" t="s">
        <v>71</v>
      </c>
      <c r="F31839">
        <v>3350067</v>
      </c>
      <c r="G31839" t="s">
        <v>4439</v>
      </c>
      <c r="H31839" s="21">
        <v>521.66999999999996</v>
      </c>
    </row>
    <row r="31840" spans="1:8" customFormat="1" x14ac:dyDescent="0.25">
      <c r="A31840" t="str">
        <f>"4218796"</f>
        <v>4218796</v>
      </c>
      <c r="B31840" t="s">
        <v>22123</v>
      </c>
      <c r="C31840" t="s">
        <v>415</v>
      </c>
      <c r="D31840" s="21" t="s">
        <v>34</v>
      </c>
      <c r="E31840" s="21" t="s">
        <v>254</v>
      </c>
      <c r="F31840">
        <v>1420117</v>
      </c>
      <c r="G31840" t="s">
        <v>2649</v>
      </c>
      <c r="H31840" s="21">
        <v>521.66999999999996</v>
      </c>
    </row>
    <row r="31841" spans="1:8" customFormat="1" x14ac:dyDescent="0.25">
      <c r="A31841" t="str">
        <f>"4111086"</f>
        <v>4111086</v>
      </c>
      <c r="B31841" t="s">
        <v>23806</v>
      </c>
      <c r="C31841" t="s">
        <v>40</v>
      </c>
      <c r="D31841" s="21" t="s">
        <v>34</v>
      </c>
      <c r="E31841" s="21" t="s">
        <v>71</v>
      </c>
      <c r="F31841">
        <v>4410537</v>
      </c>
      <c r="G31841" t="s">
        <v>6515</v>
      </c>
      <c r="H31841" s="21">
        <v>521.66999999999996</v>
      </c>
    </row>
    <row r="31842" spans="1:8" customFormat="1" x14ac:dyDescent="0.25">
      <c r="A31842" t="str">
        <f>"807038"</f>
        <v>807038</v>
      </c>
      <c r="B31842" t="s">
        <v>24044</v>
      </c>
      <c r="C31842" t="s">
        <v>3010</v>
      </c>
      <c r="D31842" s="21" t="s">
        <v>34</v>
      </c>
      <c r="E31842" s="21" t="s">
        <v>254</v>
      </c>
      <c r="F31842">
        <v>7800074</v>
      </c>
      <c r="G31842" t="s">
        <v>7104</v>
      </c>
      <c r="H31842" s="21">
        <v>521.66999999999996</v>
      </c>
    </row>
    <row r="31843" spans="1:8" customFormat="1" x14ac:dyDescent="0.25">
      <c r="A31843" t="str">
        <f>"7641420"</f>
        <v>7641420</v>
      </c>
      <c r="B31843" t="s">
        <v>2434</v>
      </c>
      <c r="C31843" t="s">
        <v>169</v>
      </c>
      <c r="D31843" s="21" t="s">
        <v>34</v>
      </c>
      <c r="E31843" s="21" t="s">
        <v>71</v>
      </c>
      <c r="F31843">
        <v>9760308</v>
      </c>
      <c r="G31843" t="s">
        <v>8917</v>
      </c>
      <c r="H31843" s="21">
        <v>521.66999999999996</v>
      </c>
    </row>
    <row r="31844" spans="1:8" customFormat="1" x14ac:dyDescent="0.25">
      <c r="A31844" t="str">
        <f>"7222070"</f>
        <v>7222070</v>
      </c>
      <c r="B31844" t="s">
        <v>10609</v>
      </c>
      <c r="C31844" t="s">
        <v>49</v>
      </c>
      <c r="D31844" s="21" t="s">
        <v>34</v>
      </c>
      <c r="E31844" s="21" t="s">
        <v>35</v>
      </c>
      <c r="F31844">
        <v>12720079</v>
      </c>
      <c r="G31844" t="s">
        <v>4028</v>
      </c>
      <c r="H31844" s="21">
        <v>521.66999999999996</v>
      </c>
    </row>
    <row r="31845" spans="1:8" customFormat="1" x14ac:dyDescent="0.25">
      <c r="A31845" t="str">
        <f>"52138"</f>
        <v>52138</v>
      </c>
      <c r="B31845" t="s">
        <v>7623</v>
      </c>
      <c r="C31845" t="s">
        <v>598</v>
      </c>
      <c r="D31845" s="21" t="s">
        <v>34</v>
      </c>
      <c r="E31845" s="21" t="s">
        <v>254</v>
      </c>
      <c r="F31845">
        <v>6520004</v>
      </c>
      <c r="G31845" t="s">
        <v>5152</v>
      </c>
      <c r="H31845" s="21">
        <v>521.66999999999996</v>
      </c>
    </row>
    <row r="31846" spans="1:8" customFormat="1" x14ac:dyDescent="0.25">
      <c r="A31846" t="str">
        <f>"7629493"</f>
        <v>7629493</v>
      </c>
      <c r="B31846" t="s">
        <v>22126</v>
      </c>
      <c r="C31846" t="s">
        <v>2904</v>
      </c>
      <c r="D31846" s="21" t="s">
        <v>34</v>
      </c>
      <c r="E31846" s="21" t="s">
        <v>71</v>
      </c>
      <c r="F31846">
        <v>9760425</v>
      </c>
      <c r="G31846" t="s">
        <v>5012</v>
      </c>
      <c r="H31846" s="21">
        <v>521.66999999999996</v>
      </c>
    </row>
    <row r="31847" spans="1:8" customFormat="1" x14ac:dyDescent="0.25">
      <c r="A31847" t="str">
        <f>"3729133"</f>
        <v>3729133</v>
      </c>
      <c r="B31847" t="s">
        <v>6684</v>
      </c>
      <c r="C31847" t="s">
        <v>33</v>
      </c>
      <c r="D31847" s="21" t="s">
        <v>34</v>
      </c>
      <c r="E31847" s="21" t="s">
        <v>71</v>
      </c>
      <c r="F31847">
        <v>4370730</v>
      </c>
      <c r="G31847" t="s">
        <v>18791</v>
      </c>
      <c r="H31847" s="21">
        <v>521.66999999999996</v>
      </c>
    </row>
    <row r="31848" spans="1:8" customFormat="1" x14ac:dyDescent="0.25">
      <c r="A31848" t="str">
        <f>"5618001"</f>
        <v>5618001</v>
      </c>
      <c r="B31848" t="s">
        <v>22514</v>
      </c>
      <c r="C31848" t="s">
        <v>269</v>
      </c>
      <c r="D31848" s="21" t="s">
        <v>34</v>
      </c>
      <c r="E31848" s="21" t="s">
        <v>71</v>
      </c>
      <c r="F31848">
        <v>3560054</v>
      </c>
      <c r="G31848" t="s">
        <v>10188</v>
      </c>
      <c r="H31848" s="21">
        <v>521.66999999999996</v>
      </c>
    </row>
    <row r="31849" spans="1:8" customFormat="1" x14ac:dyDescent="0.25">
      <c r="A31849" t="str">
        <f>"5731187"</f>
        <v>5731187</v>
      </c>
      <c r="B31849" t="s">
        <v>24381</v>
      </c>
      <c r="C31849" t="s">
        <v>601</v>
      </c>
      <c r="D31849" s="21" t="s">
        <v>34</v>
      </c>
      <c r="E31849" s="21" t="s">
        <v>71</v>
      </c>
      <c r="F31849">
        <v>6570093</v>
      </c>
      <c r="G31849" t="s">
        <v>6118</v>
      </c>
      <c r="H31849" s="21">
        <v>521.66999999999996</v>
      </c>
    </row>
    <row r="31850" spans="1:8" customFormat="1" x14ac:dyDescent="0.25">
      <c r="A31850" t="str">
        <f>"091340"</f>
        <v>091340</v>
      </c>
      <c r="B31850" t="s">
        <v>22121</v>
      </c>
      <c r="C31850" t="s">
        <v>302</v>
      </c>
      <c r="D31850" s="21" t="s">
        <v>34</v>
      </c>
      <c r="E31850" s="21" t="s">
        <v>35</v>
      </c>
      <c r="F31850">
        <v>11090001</v>
      </c>
      <c r="G31850" t="s">
        <v>4829</v>
      </c>
      <c r="H31850" s="21">
        <v>521.54</v>
      </c>
    </row>
    <row r="31851" spans="1:8" customFormat="1" x14ac:dyDescent="0.25">
      <c r="A31851" t="str">
        <f>"911051"</f>
        <v>911051</v>
      </c>
      <c r="B31851" t="s">
        <v>20930</v>
      </c>
      <c r="C31851" t="s">
        <v>547</v>
      </c>
      <c r="D31851" s="21" t="s">
        <v>34</v>
      </c>
      <c r="E31851" s="21" t="s">
        <v>1089</v>
      </c>
      <c r="F31851">
        <v>8910591</v>
      </c>
      <c r="G31851" t="s">
        <v>9841</v>
      </c>
      <c r="H31851" s="21">
        <v>521.54</v>
      </c>
    </row>
    <row r="31852" spans="1:8" customFormat="1" x14ac:dyDescent="0.25">
      <c r="A31852" t="str">
        <f>"5326851"</f>
        <v>5326851</v>
      </c>
      <c r="B31852" t="s">
        <v>28409</v>
      </c>
      <c r="C31852" t="s">
        <v>2529</v>
      </c>
      <c r="D31852" s="21" t="s">
        <v>34</v>
      </c>
      <c r="E31852" s="21" t="s">
        <v>71</v>
      </c>
      <c r="F31852">
        <v>12530063</v>
      </c>
      <c r="G31852" t="s">
        <v>4313</v>
      </c>
      <c r="H31852" s="21">
        <v>521.5</v>
      </c>
    </row>
    <row r="31853" spans="1:8" customFormat="1" x14ac:dyDescent="0.25">
      <c r="A31853" t="str">
        <f>"3340260"</f>
        <v>3340260</v>
      </c>
      <c r="B31853" t="s">
        <v>28410</v>
      </c>
      <c r="C31853" t="s">
        <v>2520</v>
      </c>
      <c r="D31853" s="21" t="s">
        <v>34</v>
      </c>
      <c r="E31853" s="21" t="s">
        <v>35</v>
      </c>
      <c r="F31853">
        <v>10330045</v>
      </c>
      <c r="G31853" t="s">
        <v>4506</v>
      </c>
      <c r="H31853" s="21">
        <v>521.5</v>
      </c>
    </row>
    <row r="31854" spans="1:8" customFormat="1" x14ac:dyDescent="0.25">
      <c r="A31854" t="str">
        <f>"6225430"</f>
        <v>6225430</v>
      </c>
      <c r="B31854" t="s">
        <v>16706</v>
      </c>
      <c r="C31854" t="s">
        <v>2276</v>
      </c>
      <c r="D31854" s="21" t="s">
        <v>34</v>
      </c>
      <c r="E31854" s="21" t="s">
        <v>254</v>
      </c>
      <c r="F31854">
        <v>7620042</v>
      </c>
      <c r="G31854" t="s">
        <v>8102</v>
      </c>
      <c r="H31854" s="21">
        <v>521.5</v>
      </c>
    </row>
    <row r="31855" spans="1:8" customFormat="1" x14ac:dyDescent="0.25">
      <c r="A31855" t="str">
        <f>"5321750"</f>
        <v>5321750</v>
      </c>
      <c r="B31855" t="s">
        <v>5132</v>
      </c>
      <c r="C31855" t="s">
        <v>139</v>
      </c>
      <c r="D31855" s="21" t="s">
        <v>34</v>
      </c>
      <c r="E31855" s="21" t="s">
        <v>35</v>
      </c>
      <c r="F31855">
        <v>12530063</v>
      </c>
      <c r="G31855" t="s">
        <v>4313</v>
      </c>
      <c r="H31855" s="21">
        <v>521.5</v>
      </c>
    </row>
    <row r="31856" spans="1:8" customFormat="1" x14ac:dyDescent="0.25">
      <c r="A31856" t="str">
        <f>"5984526"</f>
        <v>5984526</v>
      </c>
      <c r="B31856" t="s">
        <v>28411</v>
      </c>
      <c r="C31856" t="s">
        <v>27955</v>
      </c>
      <c r="D31856" s="21" t="s">
        <v>34</v>
      </c>
      <c r="E31856" s="21" t="s">
        <v>35</v>
      </c>
      <c r="F31856">
        <v>7590069</v>
      </c>
      <c r="G31856" t="s">
        <v>7225</v>
      </c>
      <c r="H31856" s="21">
        <v>521.5</v>
      </c>
    </row>
    <row r="31857" spans="1:8" customFormat="1" x14ac:dyDescent="0.25">
      <c r="A31857" t="str">
        <f>"3725743"</f>
        <v>3725743</v>
      </c>
      <c r="B31857" t="s">
        <v>24046</v>
      </c>
      <c r="C31857" t="s">
        <v>750</v>
      </c>
      <c r="D31857" s="21" t="s">
        <v>34</v>
      </c>
      <c r="E31857" s="21" t="s">
        <v>35</v>
      </c>
      <c r="F31857">
        <v>4370346</v>
      </c>
      <c r="G31857" t="s">
        <v>8269</v>
      </c>
      <c r="H31857" s="21">
        <v>521.5</v>
      </c>
    </row>
    <row r="31858" spans="1:8" customFormat="1" x14ac:dyDescent="0.25">
      <c r="A31858" t="str">
        <f>"7640942"</f>
        <v>7640942</v>
      </c>
      <c r="B31858" t="s">
        <v>23894</v>
      </c>
      <c r="C31858" t="s">
        <v>121</v>
      </c>
      <c r="D31858" s="21" t="s">
        <v>34</v>
      </c>
      <c r="E31858" s="21" t="s">
        <v>71</v>
      </c>
      <c r="F31858">
        <v>9760286</v>
      </c>
      <c r="G31858" t="s">
        <v>11559</v>
      </c>
      <c r="H31858" s="21">
        <v>521.5</v>
      </c>
    </row>
    <row r="31859" spans="1:8" customFormat="1" x14ac:dyDescent="0.25">
      <c r="A31859" t="str">
        <f>"3334197"</f>
        <v>3334197</v>
      </c>
      <c r="B31859" t="s">
        <v>20273</v>
      </c>
      <c r="C31859" t="s">
        <v>462</v>
      </c>
      <c r="D31859" s="21" t="s">
        <v>34</v>
      </c>
      <c r="E31859" s="21" t="s">
        <v>71</v>
      </c>
      <c r="F31859">
        <v>10330002</v>
      </c>
      <c r="G31859" t="s">
        <v>53</v>
      </c>
      <c r="H31859" s="21">
        <v>521.5</v>
      </c>
    </row>
    <row r="31860" spans="1:8" customFormat="1" x14ac:dyDescent="0.25">
      <c r="A31860" t="str">
        <f>"7642482"</f>
        <v>7642482</v>
      </c>
      <c r="B31860" t="s">
        <v>14161</v>
      </c>
      <c r="C31860" t="s">
        <v>33</v>
      </c>
      <c r="D31860" s="21" t="s">
        <v>34</v>
      </c>
      <c r="E31860" s="21" t="s">
        <v>71</v>
      </c>
      <c r="F31860">
        <v>9760214</v>
      </c>
      <c r="G31860" t="s">
        <v>12889</v>
      </c>
      <c r="H31860" s="21">
        <v>521.5</v>
      </c>
    </row>
    <row r="31861" spans="1:8" customFormat="1" x14ac:dyDescent="0.25">
      <c r="A31861" t="str">
        <f>"3341956"</f>
        <v>3341956</v>
      </c>
      <c r="B31861" t="s">
        <v>9102</v>
      </c>
      <c r="C31861" t="s">
        <v>2250</v>
      </c>
      <c r="D31861" s="21" t="s">
        <v>34</v>
      </c>
      <c r="E31861" s="21" t="s">
        <v>35</v>
      </c>
      <c r="F31861">
        <v>10330125</v>
      </c>
      <c r="G31861" t="s">
        <v>3753</v>
      </c>
      <c r="H31861" s="21">
        <v>521.41999999999996</v>
      </c>
    </row>
    <row r="31862" spans="1:8" customFormat="1" x14ac:dyDescent="0.25">
      <c r="A31862" t="str">
        <f>"4526317"</f>
        <v>4526317</v>
      </c>
      <c r="B31862" t="s">
        <v>17601</v>
      </c>
      <c r="C31862" t="s">
        <v>462</v>
      </c>
      <c r="D31862" s="21" t="s">
        <v>34</v>
      </c>
      <c r="E31862" s="21" t="s">
        <v>71</v>
      </c>
      <c r="F31862">
        <v>4450576</v>
      </c>
      <c r="G31862" t="s">
        <v>26857</v>
      </c>
      <c r="H31862" s="21">
        <v>521.41999999999996</v>
      </c>
    </row>
    <row r="31863" spans="1:8" customFormat="1" x14ac:dyDescent="0.25">
      <c r="A31863" t="str">
        <f>"7216835"</f>
        <v>7216835</v>
      </c>
      <c r="B31863" t="s">
        <v>3179</v>
      </c>
      <c r="C31863" t="s">
        <v>1588</v>
      </c>
      <c r="D31863" s="21" t="s">
        <v>34</v>
      </c>
      <c r="E31863" s="21" t="s">
        <v>254</v>
      </c>
      <c r="F31863">
        <v>12720117</v>
      </c>
      <c r="G31863" t="s">
        <v>7788</v>
      </c>
      <c r="H31863" s="21">
        <v>521.41999999999996</v>
      </c>
    </row>
    <row r="31864" spans="1:8" customFormat="1" x14ac:dyDescent="0.25">
      <c r="A31864" t="str">
        <f>"9456571"</f>
        <v>9456571</v>
      </c>
      <c r="B31864" t="s">
        <v>14536</v>
      </c>
      <c r="C31864" t="s">
        <v>1025</v>
      </c>
      <c r="D31864" s="21" t="s">
        <v>34</v>
      </c>
      <c r="E31864" s="21" t="s">
        <v>35</v>
      </c>
      <c r="F31864">
        <v>8940482</v>
      </c>
      <c r="G31864" t="s">
        <v>2560</v>
      </c>
      <c r="H31864" s="21">
        <v>521.25</v>
      </c>
    </row>
    <row r="31865" spans="1:8" customFormat="1" x14ac:dyDescent="0.25">
      <c r="A31865" t="str">
        <f>"7922783"</f>
        <v>7922783</v>
      </c>
      <c r="B31865" t="s">
        <v>21641</v>
      </c>
      <c r="C31865" t="s">
        <v>169</v>
      </c>
      <c r="D31865" s="21" t="s">
        <v>34</v>
      </c>
      <c r="E31865" s="21" t="s">
        <v>35</v>
      </c>
      <c r="F31865">
        <v>10790043</v>
      </c>
      <c r="G31865" t="s">
        <v>2828</v>
      </c>
      <c r="H31865" s="21">
        <v>521.16999999999996</v>
      </c>
    </row>
    <row r="31866" spans="1:8" customFormat="1" x14ac:dyDescent="0.25">
      <c r="A31866" t="str">
        <f>"6942249"</f>
        <v>6942249</v>
      </c>
      <c r="B31866" t="s">
        <v>136</v>
      </c>
      <c r="C31866" t="s">
        <v>3073</v>
      </c>
      <c r="D31866" s="21" t="s">
        <v>34</v>
      </c>
      <c r="E31866" s="21" t="s">
        <v>1089</v>
      </c>
      <c r="F31866">
        <v>1690220</v>
      </c>
      <c r="G31866" t="s">
        <v>16783</v>
      </c>
      <c r="H31866" s="21">
        <v>521.16999999999996</v>
      </c>
    </row>
    <row r="31867" spans="1:8" customFormat="1" x14ac:dyDescent="0.25">
      <c r="A31867" t="str">
        <f>"038804"</f>
        <v>038804</v>
      </c>
      <c r="B31867" t="s">
        <v>23815</v>
      </c>
      <c r="C31867" t="s">
        <v>33</v>
      </c>
      <c r="D31867" s="21" t="s">
        <v>34</v>
      </c>
      <c r="E31867" s="21" t="s">
        <v>35</v>
      </c>
      <c r="F31867">
        <v>1030312</v>
      </c>
      <c r="G31867" t="s">
        <v>7573</v>
      </c>
      <c r="H31867" s="21">
        <v>521.16999999999996</v>
      </c>
    </row>
    <row r="31868" spans="1:8" customFormat="1" x14ac:dyDescent="0.25">
      <c r="A31868" t="str">
        <f>"2220244"</f>
        <v>2220244</v>
      </c>
      <c r="B31868" t="s">
        <v>2362</v>
      </c>
      <c r="C31868" t="s">
        <v>1665</v>
      </c>
      <c r="D31868" s="21" t="s">
        <v>34</v>
      </c>
      <c r="E31868" s="21" t="s">
        <v>71</v>
      </c>
      <c r="F31868">
        <v>3220050</v>
      </c>
      <c r="G31868" t="s">
        <v>28006</v>
      </c>
      <c r="H31868" s="21">
        <v>521.16999999999996</v>
      </c>
    </row>
    <row r="31869" spans="1:8" customFormat="1" x14ac:dyDescent="0.25">
      <c r="A31869" t="str">
        <f>"8522904"</f>
        <v>8522904</v>
      </c>
      <c r="B31869" t="s">
        <v>24274</v>
      </c>
      <c r="C31869" t="s">
        <v>379</v>
      </c>
      <c r="D31869" s="21" t="s">
        <v>34</v>
      </c>
      <c r="E31869" s="21" t="s">
        <v>254</v>
      </c>
      <c r="F31869">
        <v>12851018</v>
      </c>
      <c r="G31869" t="s">
        <v>8085</v>
      </c>
      <c r="H31869" s="21">
        <v>521.16999999999996</v>
      </c>
    </row>
    <row r="31870" spans="1:8" customFormat="1" x14ac:dyDescent="0.25">
      <c r="A31870" t="str">
        <f>"4915254"</f>
        <v>4915254</v>
      </c>
      <c r="B31870" t="s">
        <v>20280</v>
      </c>
      <c r="C31870" t="s">
        <v>124</v>
      </c>
      <c r="D31870" s="21" t="s">
        <v>34</v>
      </c>
      <c r="E31870" s="21" t="s">
        <v>254</v>
      </c>
      <c r="F31870">
        <v>12490106</v>
      </c>
      <c r="G31870" t="s">
        <v>4555</v>
      </c>
      <c r="H31870" s="21">
        <v>521.16999999999996</v>
      </c>
    </row>
    <row r="31871" spans="1:8" customFormat="1" x14ac:dyDescent="0.25">
      <c r="A31871" t="str">
        <f>"8019280"</f>
        <v>8019280</v>
      </c>
      <c r="B31871" t="s">
        <v>28412</v>
      </c>
      <c r="C31871" t="s">
        <v>169</v>
      </c>
      <c r="D31871" s="21" t="s">
        <v>34</v>
      </c>
      <c r="E31871" s="21" t="s">
        <v>35</v>
      </c>
      <c r="F31871">
        <v>7800067</v>
      </c>
      <c r="G31871" t="s">
        <v>16355</v>
      </c>
      <c r="H31871" s="21">
        <v>521.16999999999996</v>
      </c>
    </row>
    <row r="31872" spans="1:8" customFormat="1" x14ac:dyDescent="0.25">
      <c r="A31872" t="str">
        <f>"2925399"</f>
        <v>2925399</v>
      </c>
      <c r="B31872" t="s">
        <v>7401</v>
      </c>
      <c r="C31872" t="s">
        <v>486</v>
      </c>
      <c r="D31872" s="21" t="s">
        <v>34</v>
      </c>
      <c r="E31872" s="21" t="s">
        <v>35</v>
      </c>
      <c r="F31872">
        <v>3290023</v>
      </c>
      <c r="G31872" t="s">
        <v>3883</v>
      </c>
      <c r="H31872" s="21">
        <v>521.16999999999996</v>
      </c>
    </row>
    <row r="31873" spans="1:8" customFormat="1" x14ac:dyDescent="0.25">
      <c r="A31873" t="str">
        <f>"7870735"</f>
        <v>7870735</v>
      </c>
      <c r="B31873" t="s">
        <v>3572</v>
      </c>
      <c r="C31873" t="s">
        <v>198</v>
      </c>
      <c r="D31873" s="21" t="s">
        <v>34</v>
      </c>
      <c r="E31873" s="21" t="s">
        <v>71</v>
      </c>
      <c r="F31873">
        <v>8780496</v>
      </c>
      <c r="G31873" t="s">
        <v>2477</v>
      </c>
      <c r="H31873" s="21">
        <v>521.16999999999996</v>
      </c>
    </row>
    <row r="31874" spans="1:8" customFormat="1" x14ac:dyDescent="0.25">
      <c r="A31874" t="str">
        <f>"7874514"</f>
        <v>7874514</v>
      </c>
      <c r="B31874" t="s">
        <v>22374</v>
      </c>
      <c r="C31874" t="s">
        <v>33</v>
      </c>
      <c r="D31874" s="21" t="s">
        <v>34</v>
      </c>
      <c r="E31874" s="21" t="s">
        <v>71</v>
      </c>
      <c r="F31874">
        <v>8781380</v>
      </c>
      <c r="G31874" t="s">
        <v>10815</v>
      </c>
      <c r="H31874" s="21">
        <v>521.16999999999996</v>
      </c>
    </row>
    <row r="31875" spans="1:8" customFormat="1" x14ac:dyDescent="0.25">
      <c r="A31875" t="str">
        <f>"585873"</f>
        <v>585873</v>
      </c>
      <c r="B31875" t="s">
        <v>4013</v>
      </c>
      <c r="C31875" t="s">
        <v>124</v>
      </c>
      <c r="D31875" s="21" t="s">
        <v>34</v>
      </c>
      <c r="E31875" s="21" t="s">
        <v>71</v>
      </c>
      <c r="F31875">
        <v>2580078</v>
      </c>
      <c r="G31875" t="s">
        <v>4432</v>
      </c>
      <c r="H31875" s="21">
        <v>521.16999999999996</v>
      </c>
    </row>
    <row r="31876" spans="1:8" customFormat="1" x14ac:dyDescent="0.25">
      <c r="A31876" t="str">
        <f>"168664"</f>
        <v>168664</v>
      </c>
      <c r="B31876" t="s">
        <v>18977</v>
      </c>
      <c r="C31876" t="s">
        <v>822</v>
      </c>
      <c r="D31876" s="21" t="s">
        <v>34</v>
      </c>
      <c r="E31876" s="21" t="s">
        <v>1089</v>
      </c>
      <c r="F31876">
        <v>10160024</v>
      </c>
      <c r="G31876" t="s">
        <v>511</v>
      </c>
      <c r="H31876" s="21">
        <v>521.16999999999996</v>
      </c>
    </row>
    <row r="31877" spans="1:8" customFormat="1" x14ac:dyDescent="0.25">
      <c r="A31877" t="str">
        <f>"2934861"</f>
        <v>2934861</v>
      </c>
      <c r="B31877" t="s">
        <v>16310</v>
      </c>
      <c r="C31877" t="s">
        <v>1841</v>
      </c>
      <c r="D31877" s="21" t="s">
        <v>34</v>
      </c>
      <c r="E31877" s="21" t="s">
        <v>254</v>
      </c>
      <c r="F31877">
        <v>3290221</v>
      </c>
      <c r="G31877" t="s">
        <v>3544</v>
      </c>
      <c r="H31877" s="21">
        <v>521.16999999999996</v>
      </c>
    </row>
    <row r="31878" spans="1:8" customFormat="1" x14ac:dyDescent="0.25">
      <c r="A31878" t="str">
        <f>"5958845"</f>
        <v>5958845</v>
      </c>
      <c r="B31878" t="s">
        <v>21807</v>
      </c>
      <c r="C31878" t="s">
        <v>712</v>
      </c>
      <c r="D31878" s="21" t="s">
        <v>34</v>
      </c>
      <c r="E31878" s="21" t="s">
        <v>71</v>
      </c>
      <c r="F31878">
        <v>7590259</v>
      </c>
      <c r="G31878" t="s">
        <v>6385</v>
      </c>
      <c r="H31878" s="21">
        <v>521.16999999999996</v>
      </c>
    </row>
    <row r="31879" spans="1:8" customFormat="1" x14ac:dyDescent="0.25">
      <c r="A31879" t="str">
        <f>"5733787"</f>
        <v>5733787</v>
      </c>
      <c r="B31879" t="s">
        <v>22745</v>
      </c>
      <c r="C31879" t="s">
        <v>13424</v>
      </c>
      <c r="D31879" s="21" t="s">
        <v>34</v>
      </c>
      <c r="E31879" s="21" t="s">
        <v>254</v>
      </c>
      <c r="F31879">
        <v>6570029</v>
      </c>
      <c r="G31879" t="s">
        <v>2977</v>
      </c>
      <c r="H31879" s="21">
        <v>521.16999999999996</v>
      </c>
    </row>
    <row r="31880" spans="1:8" customFormat="1" x14ac:dyDescent="0.25">
      <c r="A31880" t="str">
        <f>"594405"</f>
        <v>594405</v>
      </c>
      <c r="B31880" t="s">
        <v>4748</v>
      </c>
      <c r="C31880" t="s">
        <v>528</v>
      </c>
      <c r="D31880" s="21" t="s">
        <v>34</v>
      </c>
      <c r="E31880" s="21" t="s">
        <v>254</v>
      </c>
      <c r="F31880">
        <v>7590271</v>
      </c>
      <c r="G31880" t="s">
        <v>3163</v>
      </c>
      <c r="H31880" s="21">
        <v>521.16999999999996</v>
      </c>
    </row>
    <row r="31881" spans="1:8" customFormat="1" x14ac:dyDescent="0.25">
      <c r="A31881" t="str">
        <f>"0612223"</f>
        <v>0612223</v>
      </c>
      <c r="B31881" t="s">
        <v>14196</v>
      </c>
      <c r="C31881" t="s">
        <v>2520</v>
      </c>
      <c r="D31881" s="21" t="s">
        <v>34</v>
      </c>
      <c r="E31881" s="21" t="s">
        <v>254</v>
      </c>
      <c r="F31881">
        <v>13060110</v>
      </c>
      <c r="G31881" t="s">
        <v>3268</v>
      </c>
      <c r="H31881" s="21">
        <v>521.16999999999996</v>
      </c>
    </row>
    <row r="31882" spans="1:8" customFormat="1" x14ac:dyDescent="0.25">
      <c r="A31882" t="str">
        <f>"884335"</f>
        <v>884335</v>
      </c>
      <c r="B31882" t="s">
        <v>20278</v>
      </c>
      <c r="C31882" t="s">
        <v>263</v>
      </c>
      <c r="D31882" s="21" t="s">
        <v>34</v>
      </c>
      <c r="E31882" s="21" t="s">
        <v>1089</v>
      </c>
      <c r="F31882">
        <v>6880119</v>
      </c>
      <c r="G31882" t="s">
        <v>3443</v>
      </c>
      <c r="H31882" s="21">
        <v>521.04</v>
      </c>
    </row>
    <row r="31883" spans="1:8" customFormat="1" x14ac:dyDescent="0.25">
      <c r="A31883" t="str">
        <f>"9144193"</f>
        <v>9144193</v>
      </c>
      <c r="B31883" t="s">
        <v>551</v>
      </c>
      <c r="C31883" t="s">
        <v>236</v>
      </c>
      <c r="D31883" s="21" t="s">
        <v>34</v>
      </c>
      <c r="E31883" s="21" t="s">
        <v>35</v>
      </c>
      <c r="F31883">
        <v>8911464</v>
      </c>
      <c r="G31883" t="s">
        <v>17832</v>
      </c>
      <c r="H31883" s="21">
        <v>521.04</v>
      </c>
    </row>
    <row r="31884" spans="1:8" customFormat="1" x14ac:dyDescent="0.25">
      <c r="A31884" t="str">
        <f>"9536488"</f>
        <v>9536488</v>
      </c>
      <c r="B31884" t="s">
        <v>24577</v>
      </c>
      <c r="C31884" t="s">
        <v>204</v>
      </c>
      <c r="D31884" s="21" t="s">
        <v>34</v>
      </c>
      <c r="E31884" s="21" t="s">
        <v>35</v>
      </c>
      <c r="F31884">
        <v>8951273</v>
      </c>
      <c r="G31884" t="s">
        <v>2382</v>
      </c>
      <c r="H31884" s="21">
        <v>521</v>
      </c>
    </row>
    <row r="31885" spans="1:8" customFormat="1" x14ac:dyDescent="0.25">
      <c r="A31885" t="str">
        <f>"051183"</f>
        <v>051183</v>
      </c>
      <c r="B31885" t="s">
        <v>22239</v>
      </c>
      <c r="C31885" t="s">
        <v>187</v>
      </c>
      <c r="D31885" s="21" t="s">
        <v>34</v>
      </c>
      <c r="E31885" s="21" t="s">
        <v>35</v>
      </c>
      <c r="F31885">
        <v>13050005</v>
      </c>
      <c r="G31885" t="s">
        <v>5248</v>
      </c>
      <c r="H31885" s="21">
        <v>521</v>
      </c>
    </row>
    <row r="31886" spans="1:8" customFormat="1" x14ac:dyDescent="0.25">
      <c r="A31886" t="str">
        <f>"2937705"</f>
        <v>2937705</v>
      </c>
      <c r="B31886" t="s">
        <v>22672</v>
      </c>
      <c r="C31886" t="s">
        <v>1853</v>
      </c>
      <c r="D31886" s="21" t="s">
        <v>34</v>
      </c>
      <c r="E31886" s="21" t="s">
        <v>35</v>
      </c>
      <c r="F31886">
        <v>3290274</v>
      </c>
      <c r="G31886" t="s">
        <v>11751</v>
      </c>
      <c r="H31886" s="21">
        <v>521</v>
      </c>
    </row>
    <row r="31887" spans="1:8" customFormat="1" x14ac:dyDescent="0.25">
      <c r="A31887" t="str">
        <f>"5011041"</f>
        <v>5011041</v>
      </c>
      <c r="B31887" t="s">
        <v>14575</v>
      </c>
      <c r="C31887" t="s">
        <v>253</v>
      </c>
      <c r="D31887" s="21" t="s">
        <v>34</v>
      </c>
      <c r="E31887" s="21" t="s">
        <v>71</v>
      </c>
      <c r="F31887">
        <v>9500015</v>
      </c>
      <c r="G31887" t="s">
        <v>3389</v>
      </c>
      <c r="H31887" s="21">
        <v>521</v>
      </c>
    </row>
    <row r="31888" spans="1:8" customFormat="1" x14ac:dyDescent="0.25">
      <c r="A31888" t="str">
        <f>"9319683"</f>
        <v>9319683</v>
      </c>
      <c r="B31888" t="s">
        <v>22434</v>
      </c>
      <c r="C31888" t="s">
        <v>812</v>
      </c>
      <c r="D31888" s="21" t="s">
        <v>34</v>
      </c>
      <c r="E31888" s="21" t="s">
        <v>35</v>
      </c>
      <c r="F31888">
        <v>8930928</v>
      </c>
      <c r="G31888" t="s">
        <v>606</v>
      </c>
      <c r="H31888" s="21">
        <v>521</v>
      </c>
    </row>
    <row r="31889" spans="1:8" customFormat="1" x14ac:dyDescent="0.25">
      <c r="A31889" t="str">
        <f>"396964"</f>
        <v>396964</v>
      </c>
      <c r="B31889" t="s">
        <v>28413</v>
      </c>
      <c r="C31889" t="s">
        <v>139</v>
      </c>
      <c r="D31889" s="21" t="s">
        <v>34</v>
      </c>
      <c r="E31889" s="21" t="s">
        <v>35</v>
      </c>
      <c r="F31889">
        <v>2390013</v>
      </c>
      <c r="G31889" t="s">
        <v>22103</v>
      </c>
      <c r="H31889" s="21">
        <v>521</v>
      </c>
    </row>
    <row r="31890" spans="1:8" customFormat="1" x14ac:dyDescent="0.25">
      <c r="A31890" t="str">
        <f>"6941483"</f>
        <v>6941483</v>
      </c>
      <c r="B31890" t="s">
        <v>8627</v>
      </c>
      <c r="C31890" t="s">
        <v>169</v>
      </c>
      <c r="D31890" s="21" t="s">
        <v>34</v>
      </c>
      <c r="E31890" s="21" t="s">
        <v>35</v>
      </c>
      <c r="F31890">
        <v>1690047</v>
      </c>
      <c r="G31890" t="s">
        <v>4223</v>
      </c>
      <c r="H31890" s="21">
        <v>521</v>
      </c>
    </row>
    <row r="31891" spans="1:8" customFormat="1" x14ac:dyDescent="0.25">
      <c r="A31891" t="str">
        <f>"3537938"</f>
        <v>3537938</v>
      </c>
      <c r="B31891" t="s">
        <v>509</v>
      </c>
      <c r="C31891" t="s">
        <v>62</v>
      </c>
      <c r="D31891" s="21" t="s">
        <v>34</v>
      </c>
      <c r="E31891" s="21" t="s">
        <v>35</v>
      </c>
      <c r="F31891">
        <v>3350215</v>
      </c>
      <c r="G31891" t="s">
        <v>20009</v>
      </c>
      <c r="H31891" s="21">
        <v>521</v>
      </c>
    </row>
    <row r="31892" spans="1:8" customFormat="1" x14ac:dyDescent="0.25">
      <c r="A31892" t="str">
        <f>"4218920"</f>
        <v>4218920</v>
      </c>
      <c r="B31892" t="s">
        <v>21772</v>
      </c>
      <c r="C31892" t="s">
        <v>60</v>
      </c>
      <c r="D31892" s="21" t="s">
        <v>34</v>
      </c>
      <c r="E31892" s="21" t="s">
        <v>35</v>
      </c>
      <c r="F31892">
        <v>1420017</v>
      </c>
      <c r="G31892" t="s">
        <v>1296</v>
      </c>
      <c r="H31892" s="21">
        <v>521</v>
      </c>
    </row>
    <row r="31893" spans="1:8" customFormat="1" x14ac:dyDescent="0.25">
      <c r="A31893" t="str">
        <f>"7732415"</f>
        <v>7732415</v>
      </c>
      <c r="B31893" t="s">
        <v>28414</v>
      </c>
      <c r="C31893" t="s">
        <v>198</v>
      </c>
      <c r="D31893" s="21" t="s">
        <v>34</v>
      </c>
      <c r="E31893" s="21" t="s">
        <v>71</v>
      </c>
      <c r="F31893">
        <v>8770937</v>
      </c>
      <c r="G31893" t="s">
        <v>2119</v>
      </c>
      <c r="H31893" s="21">
        <v>521</v>
      </c>
    </row>
    <row r="31894" spans="1:8" customFormat="1" x14ac:dyDescent="0.25">
      <c r="A31894" t="str">
        <f>"911138"</f>
        <v>911138</v>
      </c>
      <c r="B31894" t="s">
        <v>21468</v>
      </c>
      <c r="C31894" t="s">
        <v>412</v>
      </c>
      <c r="D31894" s="21" t="s">
        <v>34</v>
      </c>
      <c r="E31894" s="21" t="s">
        <v>1089</v>
      </c>
      <c r="F31894">
        <v>8910652</v>
      </c>
      <c r="G31894" t="s">
        <v>6533</v>
      </c>
      <c r="H31894" s="21">
        <v>520.79</v>
      </c>
    </row>
    <row r="31895" spans="1:8" customFormat="1" x14ac:dyDescent="0.25">
      <c r="A31895" t="str">
        <f>"7522705"</f>
        <v>7522705</v>
      </c>
      <c r="B31895" t="s">
        <v>28415</v>
      </c>
      <c r="C31895" t="s">
        <v>302</v>
      </c>
      <c r="D31895" s="21" t="s">
        <v>34</v>
      </c>
      <c r="E31895" s="21" t="s">
        <v>35</v>
      </c>
      <c r="F31895">
        <v>8751061</v>
      </c>
      <c r="G31895" t="s">
        <v>26628</v>
      </c>
      <c r="H31895" s="21">
        <v>520.79</v>
      </c>
    </row>
    <row r="31896" spans="1:8" customFormat="1" x14ac:dyDescent="0.25">
      <c r="A31896" t="str">
        <f>"186663"</f>
        <v>186663</v>
      </c>
      <c r="B31896" t="s">
        <v>1611</v>
      </c>
      <c r="C31896" t="s">
        <v>233</v>
      </c>
      <c r="D31896" s="21" t="s">
        <v>34</v>
      </c>
      <c r="E31896" s="21" t="s">
        <v>71</v>
      </c>
      <c r="F31896">
        <v>4180485</v>
      </c>
      <c r="G31896" t="s">
        <v>345</v>
      </c>
      <c r="H31896" s="21">
        <v>520.66999999999996</v>
      </c>
    </row>
    <row r="31897" spans="1:8" customFormat="1" x14ac:dyDescent="0.25">
      <c r="A31897" t="str">
        <f>"6023895"</f>
        <v>6023895</v>
      </c>
      <c r="B31897" t="s">
        <v>23150</v>
      </c>
      <c r="C31897" t="s">
        <v>608</v>
      </c>
      <c r="D31897" s="21" t="s">
        <v>34</v>
      </c>
      <c r="E31897" s="21" t="s">
        <v>35</v>
      </c>
      <c r="F31897">
        <v>7600114</v>
      </c>
      <c r="G31897" t="s">
        <v>4584</v>
      </c>
      <c r="H31897" s="21">
        <v>520.66999999999996</v>
      </c>
    </row>
    <row r="31898" spans="1:8" customFormat="1" x14ac:dyDescent="0.25">
      <c r="A31898" t="str">
        <f>"7923497"</f>
        <v>7923497</v>
      </c>
      <c r="B31898" t="s">
        <v>23813</v>
      </c>
      <c r="C31898" t="s">
        <v>246</v>
      </c>
      <c r="D31898" s="21" t="s">
        <v>34</v>
      </c>
      <c r="E31898" s="21" t="s">
        <v>71</v>
      </c>
      <c r="F31898">
        <v>10790071</v>
      </c>
      <c r="G31898" t="s">
        <v>5806</v>
      </c>
      <c r="H31898" s="21">
        <v>520.66999999999996</v>
      </c>
    </row>
    <row r="31899" spans="1:8" customFormat="1" x14ac:dyDescent="0.25">
      <c r="A31899" t="str">
        <f>"5015367"</f>
        <v>5015367</v>
      </c>
      <c r="B31899" t="s">
        <v>8803</v>
      </c>
      <c r="C31899" t="s">
        <v>1142</v>
      </c>
      <c r="D31899" s="21" t="s">
        <v>34</v>
      </c>
      <c r="E31899" s="21" t="s">
        <v>1089</v>
      </c>
      <c r="F31899">
        <v>9500130</v>
      </c>
      <c r="G31899" t="s">
        <v>5326</v>
      </c>
      <c r="H31899" s="21">
        <v>520.66999999999996</v>
      </c>
    </row>
    <row r="31900" spans="1:8" customFormat="1" x14ac:dyDescent="0.25">
      <c r="A31900" t="str">
        <f>"3830603"</f>
        <v>3830603</v>
      </c>
      <c r="B31900" t="s">
        <v>23802</v>
      </c>
      <c r="C31900" t="s">
        <v>198</v>
      </c>
      <c r="D31900" s="21" t="s">
        <v>34</v>
      </c>
      <c r="E31900" s="21" t="s">
        <v>71</v>
      </c>
      <c r="F31900">
        <v>1380068</v>
      </c>
      <c r="G31900" t="s">
        <v>12680</v>
      </c>
      <c r="H31900" s="21">
        <v>520.66999999999996</v>
      </c>
    </row>
    <row r="31901" spans="1:8" customFormat="1" x14ac:dyDescent="0.25">
      <c r="A31901" t="str">
        <f>"624550"</f>
        <v>624550</v>
      </c>
      <c r="B31901" t="s">
        <v>21273</v>
      </c>
      <c r="C31901" t="s">
        <v>55</v>
      </c>
      <c r="D31901" s="21" t="s">
        <v>34</v>
      </c>
      <c r="E31901" s="21" t="s">
        <v>35</v>
      </c>
      <c r="F31901">
        <v>7620046</v>
      </c>
      <c r="G31901" t="s">
        <v>242</v>
      </c>
      <c r="H31901" s="21">
        <v>520.66999999999996</v>
      </c>
    </row>
    <row r="31902" spans="1:8" customFormat="1" x14ac:dyDescent="0.25">
      <c r="A31902" t="str">
        <f>"579612"</f>
        <v>579612</v>
      </c>
      <c r="B31902" t="s">
        <v>9799</v>
      </c>
      <c r="C31902" t="s">
        <v>611</v>
      </c>
      <c r="D31902" s="21" t="s">
        <v>34</v>
      </c>
      <c r="E31902" s="21" t="s">
        <v>35</v>
      </c>
      <c r="F31902">
        <v>6570175</v>
      </c>
      <c r="G31902" t="s">
        <v>9707</v>
      </c>
      <c r="H31902" s="21">
        <v>520.66999999999996</v>
      </c>
    </row>
    <row r="31903" spans="1:8" customFormat="1" x14ac:dyDescent="0.25">
      <c r="A31903" t="str">
        <f>"4219234"</f>
        <v>4219234</v>
      </c>
      <c r="B31903" t="s">
        <v>22394</v>
      </c>
      <c r="C31903" t="s">
        <v>204</v>
      </c>
      <c r="D31903" s="21" t="s">
        <v>34</v>
      </c>
      <c r="E31903" s="21" t="s">
        <v>71</v>
      </c>
      <c r="F31903">
        <v>1420141</v>
      </c>
      <c r="G31903" t="s">
        <v>5190</v>
      </c>
      <c r="H31903" s="21">
        <v>520.66999999999996</v>
      </c>
    </row>
    <row r="31904" spans="1:8" customFormat="1" x14ac:dyDescent="0.25">
      <c r="A31904" t="str">
        <f>"4421978"</f>
        <v>4421978</v>
      </c>
      <c r="B31904" t="s">
        <v>22209</v>
      </c>
      <c r="C31904" t="s">
        <v>2232</v>
      </c>
      <c r="D31904" s="21" t="s">
        <v>34</v>
      </c>
      <c r="E31904" s="21" t="s">
        <v>254</v>
      </c>
      <c r="F31904">
        <v>12440066</v>
      </c>
      <c r="G31904" t="s">
        <v>7602</v>
      </c>
      <c r="H31904" s="21">
        <v>520.66999999999996</v>
      </c>
    </row>
    <row r="31905" spans="1:8" customFormat="1" x14ac:dyDescent="0.25">
      <c r="A31905" t="str">
        <f>"1716899"</f>
        <v>1716899</v>
      </c>
      <c r="B31905" t="s">
        <v>9804</v>
      </c>
      <c r="C31905" t="s">
        <v>8482</v>
      </c>
      <c r="D31905" s="21" t="s">
        <v>34</v>
      </c>
      <c r="E31905" s="21" t="s">
        <v>254</v>
      </c>
      <c r="F31905">
        <v>10170064</v>
      </c>
      <c r="G31905" t="s">
        <v>1900</v>
      </c>
      <c r="H31905" s="21">
        <v>520.66999999999996</v>
      </c>
    </row>
    <row r="31906" spans="1:8" customFormat="1" x14ac:dyDescent="0.25">
      <c r="A31906" t="str">
        <f>"6232130"</f>
        <v>6232130</v>
      </c>
      <c r="B31906" t="s">
        <v>5867</v>
      </c>
      <c r="C31906" t="s">
        <v>598</v>
      </c>
      <c r="D31906" s="21" t="s">
        <v>34</v>
      </c>
      <c r="E31906" s="21" t="s">
        <v>71</v>
      </c>
      <c r="F31906">
        <v>7620091</v>
      </c>
      <c r="G31906" t="s">
        <v>11533</v>
      </c>
      <c r="H31906" s="21">
        <v>520.66999999999996</v>
      </c>
    </row>
    <row r="31907" spans="1:8" customFormat="1" x14ac:dyDescent="0.25">
      <c r="A31907" t="str">
        <f>"461786"</f>
        <v>461786</v>
      </c>
      <c r="B31907" t="s">
        <v>17708</v>
      </c>
      <c r="C31907" t="s">
        <v>1025</v>
      </c>
      <c r="D31907" s="21" t="s">
        <v>34</v>
      </c>
      <c r="E31907" s="21" t="s">
        <v>254</v>
      </c>
      <c r="F31907">
        <v>11460023</v>
      </c>
      <c r="G31907" t="s">
        <v>5430</v>
      </c>
      <c r="H31907" s="21">
        <v>520.66999999999996</v>
      </c>
    </row>
    <row r="31908" spans="1:8" customFormat="1" x14ac:dyDescent="0.25">
      <c r="A31908" t="str">
        <f>"7639811"</f>
        <v>7639811</v>
      </c>
      <c r="B31908" t="s">
        <v>4183</v>
      </c>
      <c r="C31908" t="s">
        <v>2475</v>
      </c>
      <c r="D31908" s="21" t="s">
        <v>34</v>
      </c>
      <c r="E31908" s="21" t="s">
        <v>35</v>
      </c>
      <c r="F31908">
        <v>9760127</v>
      </c>
      <c r="G31908" t="s">
        <v>7132</v>
      </c>
      <c r="H31908" s="21">
        <v>520.66999999999996</v>
      </c>
    </row>
    <row r="31909" spans="1:8" customFormat="1" x14ac:dyDescent="0.25">
      <c r="A31909" t="str">
        <f>"7728529"</f>
        <v>7728529</v>
      </c>
      <c r="B31909" t="s">
        <v>2046</v>
      </c>
      <c r="C31909" t="s">
        <v>209</v>
      </c>
      <c r="D31909" s="21" t="s">
        <v>34</v>
      </c>
      <c r="E31909" s="21" t="s">
        <v>35</v>
      </c>
      <c r="F31909">
        <v>8771518</v>
      </c>
      <c r="G31909" t="s">
        <v>12274</v>
      </c>
      <c r="H31909" s="21">
        <v>520.66999999999996</v>
      </c>
    </row>
    <row r="31910" spans="1:8" customFormat="1" x14ac:dyDescent="0.25">
      <c r="A31910" t="str">
        <f>"6111574"</f>
        <v>6111574</v>
      </c>
      <c r="B31910" t="s">
        <v>1185</v>
      </c>
      <c r="C31910" t="s">
        <v>2907</v>
      </c>
      <c r="D31910" s="21" t="s">
        <v>34</v>
      </c>
      <c r="E31910" s="21" t="s">
        <v>1089</v>
      </c>
      <c r="F31910">
        <v>9610055</v>
      </c>
      <c r="G31910" t="s">
        <v>13803</v>
      </c>
      <c r="H31910" s="21">
        <v>520.66999999999996</v>
      </c>
    </row>
    <row r="31911" spans="1:8" customFormat="1" x14ac:dyDescent="0.25">
      <c r="A31911" t="str">
        <f>"7515135"</f>
        <v>7515135</v>
      </c>
      <c r="B31911" t="s">
        <v>23980</v>
      </c>
      <c r="C31911" t="s">
        <v>55</v>
      </c>
      <c r="D31911" s="21" t="s">
        <v>34</v>
      </c>
      <c r="E31911" s="21" t="s">
        <v>35</v>
      </c>
      <c r="F31911">
        <v>8750292</v>
      </c>
      <c r="G31911" t="s">
        <v>9069</v>
      </c>
      <c r="H31911" s="21">
        <v>520.54</v>
      </c>
    </row>
    <row r="31912" spans="1:8" customFormat="1" x14ac:dyDescent="0.25">
      <c r="A31912" t="str">
        <f>"088439"</f>
        <v>088439</v>
      </c>
      <c r="B31912" t="s">
        <v>28416</v>
      </c>
      <c r="C31912" t="s">
        <v>246</v>
      </c>
      <c r="D31912" s="21" t="s">
        <v>34</v>
      </c>
      <c r="E31912" s="21" t="s">
        <v>35</v>
      </c>
      <c r="F31912">
        <v>6080043</v>
      </c>
      <c r="G31912" t="s">
        <v>961</v>
      </c>
      <c r="H31912" s="21">
        <v>520.54</v>
      </c>
    </row>
    <row r="31913" spans="1:8" customFormat="1" x14ac:dyDescent="0.25">
      <c r="A31913" t="str">
        <f>"5620462"</f>
        <v>5620462</v>
      </c>
      <c r="B31913" t="s">
        <v>20847</v>
      </c>
      <c r="C31913" t="s">
        <v>65</v>
      </c>
      <c r="D31913" s="21" t="s">
        <v>34</v>
      </c>
      <c r="E31913" s="21" t="s">
        <v>71</v>
      </c>
      <c r="F31913">
        <v>3560036</v>
      </c>
      <c r="G31913" t="s">
        <v>910</v>
      </c>
      <c r="H31913" s="21">
        <v>520.5</v>
      </c>
    </row>
    <row r="31914" spans="1:8" customFormat="1" x14ac:dyDescent="0.25">
      <c r="A31914" t="str">
        <f>"61955"</f>
        <v>61955</v>
      </c>
      <c r="B31914" t="s">
        <v>2487</v>
      </c>
      <c r="C31914" t="s">
        <v>1841</v>
      </c>
      <c r="D31914" s="21" t="s">
        <v>34</v>
      </c>
      <c r="E31914" s="21" t="s">
        <v>254</v>
      </c>
      <c r="F31914">
        <v>9610097</v>
      </c>
      <c r="G31914" t="s">
        <v>9432</v>
      </c>
      <c r="H31914" s="21">
        <v>520.5</v>
      </c>
    </row>
    <row r="31915" spans="1:8" customFormat="1" x14ac:dyDescent="0.25">
      <c r="A31915" t="str">
        <f>"4458401"</f>
        <v>4458401</v>
      </c>
      <c r="B31915" t="s">
        <v>2308</v>
      </c>
      <c r="C31915" t="s">
        <v>2479</v>
      </c>
      <c r="D31915" s="21" t="s">
        <v>34</v>
      </c>
      <c r="E31915" s="21" t="s">
        <v>35</v>
      </c>
      <c r="F31915">
        <v>12440197</v>
      </c>
      <c r="G31915" t="s">
        <v>1101</v>
      </c>
      <c r="H31915" s="21">
        <v>520.5</v>
      </c>
    </row>
    <row r="31916" spans="1:8" customFormat="1" x14ac:dyDescent="0.25">
      <c r="A31916" t="str">
        <f>"6916117"</f>
        <v>6916117</v>
      </c>
      <c r="B31916" t="s">
        <v>8655</v>
      </c>
      <c r="C31916" t="s">
        <v>109</v>
      </c>
      <c r="D31916" s="21" t="s">
        <v>34</v>
      </c>
      <c r="E31916" s="21" t="s">
        <v>35</v>
      </c>
      <c r="F31916">
        <v>1010031</v>
      </c>
      <c r="G31916" t="s">
        <v>8957</v>
      </c>
      <c r="H31916" s="21">
        <v>520.5</v>
      </c>
    </row>
    <row r="31917" spans="1:8" customFormat="1" x14ac:dyDescent="0.25">
      <c r="A31917" t="str">
        <f>"9130774"</f>
        <v>9130774</v>
      </c>
      <c r="B31917" t="s">
        <v>28417</v>
      </c>
      <c r="C31917" t="s">
        <v>5232</v>
      </c>
      <c r="D31917" s="21" t="s">
        <v>34</v>
      </c>
      <c r="E31917" s="21" t="s">
        <v>35</v>
      </c>
      <c r="F31917">
        <v>8911132</v>
      </c>
      <c r="G31917" t="s">
        <v>10728</v>
      </c>
      <c r="H31917" s="21">
        <v>520.5</v>
      </c>
    </row>
    <row r="31918" spans="1:8" customFormat="1" x14ac:dyDescent="0.25">
      <c r="A31918" t="str">
        <f>"0618738"</f>
        <v>0618738</v>
      </c>
      <c r="B31918" t="s">
        <v>16963</v>
      </c>
      <c r="C31918" t="s">
        <v>5979</v>
      </c>
      <c r="D31918" s="21" t="s">
        <v>34</v>
      </c>
      <c r="E31918" s="21" t="s">
        <v>35</v>
      </c>
      <c r="F31918">
        <v>13060114</v>
      </c>
      <c r="G31918" t="s">
        <v>4501</v>
      </c>
      <c r="H31918" s="21">
        <v>520.5</v>
      </c>
    </row>
    <row r="31919" spans="1:8" customFormat="1" x14ac:dyDescent="0.25">
      <c r="A31919" t="str">
        <f>"7642688"</f>
        <v>7642688</v>
      </c>
      <c r="B31919" t="s">
        <v>1939</v>
      </c>
      <c r="C31919" t="s">
        <v>90</v>
      </c>
      <c r="D31919" s="21" t="s">
        <v>34</v>
      </c>
      <c r="E31919" s="21" t="s">
        <v>35</v>
      </c>
      <c r="F31919">
        <v>9760403</v>
      </c>
      <c r="G31919" t="s">
        <v>11140</v>
      </c>
      <c r="H31919" s="21">
        <v>520.5</v>
      </c>
    </row>
    <row r="31920" spans="1:8" customFormat="1" x14ac:dyDescent="0.25">
      <c r="A31920" t="str">
        <f>"1412280"</f>
        <v>1412280</v>
      </c>
      <c r="B31920" t="s">
        <v>4336</v>
      </c>
      <c r="C31920" t="s">
        <v>415</v>
      </c>
      <c r="D31920" s="21" t="s">
        <v>34</v>
      </c>
      <c r="E31920" s="21" t="s">
        <v>254</v>
      </c>
      <c r="F31920">
        <v>9140060</v>
      </c>
      <c r="G31920" t="s">
        <v>5773</v>
      </c>
      <c r="H31920" s="21">
        <v>520.5</v>
      </c>
    </row>
    <row r="31921" spans="1:8" customFormat="1" x14ac:dyDescent="0.25">
      <c r="A31921" t="str">
        <f>"9139405"</f>
        <v>9139405</v>
      </c>
      <c r="B31921" t="s">
        <v>3958</v>
      </c>
      <c r="C31921" t="s">
        <v>576</v>
      </c>
      <c r="D31921" s="21" t="s">
        <v>34</v>
      </c>
      <c r="E31921" s="21" t="s">
        <v>35</v>
      </c>
      <c r="F31921">
        <v>8910077</v>
      </c>
      <c r="G31921" t="s">
        <v>1380</v>
      </c>
      <c r="H31921" s="21">
        <v>520.41999999999996</v>
      </c>
    </row>
    <row r="31922" spans="1:8" customFormat="1" x14ac:dyDescent="0.25">
      <c r="A31922" t="str">
        <f>"3536037"</f>
        <v>3536037</v>
      </c>
      <c r="B31922" t="s">
        <v>638</v>
      </c>
      <c r="C31922" t="s">
        <v>1119</v>
      </c>
      <c r="D31922" s="21" t="s">
        <v>34</v>
      </c>
      <c r="E31922" s="21" t="s">
        <v>254</v>
      </c>
      <c r="F31922">
        <v>3350009</v>
      </c>
      <c r="G31922" t="s">
        <v>1823</v>
      </c>
      <c r="H31922" s="21">
        <v>520.41999999999996</v>
      </c>
    </row>
    <row r="31923" spans="1:8" customFormat="1" x14ac:dyDescent="0.25">
      <c r="A31923" t="str">
        <f>"4218906"</f>
        <v>4218906</v>
      </c>
      <c r="B31923" t="s">
        <v>22145</v>
      </c>
      <c r="C31923" t="s">
        <v>1559</v>
      </c>
      <c r="D31923" s="21" t="s">
        <v>34</v>
      </c>
      <c r="E31923" s="21" t="s">
        <v>35</v>
      </c>
      <c r="F31923">
        <v>1420017</v>
      </c>
      <c r="G31923" t="s">
        <v>1296</v>
      </c>
      <c r="H31923" s="21">
        <v>520.38</v>
      </c>
    </row>
    <row r="31924" spans="1:8" customFormat="1" x14ac:dyDescent="0.25">
      <c r="A31924" t="str">
        <f>"1910255"</f>
        <v>1910255</v>
      </c>
      <c r="B31924" t="s">
        <v>6328</v>
      </c>
      <c r="C31924" t="s">
        <v>462</v>
      </c>
      <c r="D31924" s="21" t="s">
        <v>34</v>
      </c>
      <c r="E31924" s="21" t="s">
        <v>35</v>
      </c>
      <c r="F31924">
        <v>10190073</v>
      </c>
      <c r="G31924" t="s">
        <v>2366</v>
      </c>
      <c r="H31924" s="21">
        <v>520.25</v>
      </c>
    </row>
    <row r="31925" spans="1:8" customFormat="1" x14ac:dyDescent="0.25">
      <c r="A31925" t="str">
        <f>"5983697"</f>
        <v>5983697</v>
      </c>
      <c r="B31925" t="s">
        <v>28418</v>
      </c>
      <c r="C31925" t="s">
        <v>3073</v>
      </c>
      <c r="D31925" s="21" t="s">
        <v>34</v>
      </c>
      <c r="E31925" s="21" t="s">
        <v>71</v>
      </c>
      <c r="F31925">
        <v>7590041</v>
      </c>
      <c r="G31925" t="s">
        <v>16047</v>
      </c>
      <c r="H31925" s="21">
        <v>520.25</v>
      </c>
    </row>
    <row r="31926" spans="1:8" customFormat="1" x14ac:dyDescent="0.25">
      <c r="A31926" t="str">
        <f>"7641389"</f>
        <v>7641389</v>
      </c>
      <c r="B31926" t="s">
        <v>8458</v>
      </c>
      <c r="C31926" t="s">
        <v>415</v>
      </c>
      <c r="D31926" s="21" t="s">
        <v>34</v>
      </c>
      <c r="E31926" s="21" t="s">
        <v>71</v>
      </c>
      <c r="F31926">
        <v>9760104</v>
      </c>
      <c r="G31926" t="s">
        <v>26795</v>
      </c>
      <c r="H31926" s="21">
        <v>520.16999999999996</v>
      </c>
    </row>
    <row r="31927" spans="1:8" customFormat="1" x14ac:dyDescent="0.25">
      <c r="A31927" t="str">
        <f>"7413809"</f>
        <v>7413809</v>
      </c>
      <c r="B31927" t="s">
        <v>5031</v>
      </c>
      <c r="C31927" t="s">
        <v>4267</v>
      </c>
      <c r="D31927" s="21" t="s">
        <v>34</v>
      </c>
      <c r="E31927" s="21" t="s">
        <v>35</v>
      </c>
      <c r="F31927">
        <v>1740060</v>
      </c>
      <c r="G31927" t="s">
        <v>4907</v>
      </c>
      <c r="H31927" s="21">
        <v>520.16999999999996</v>
      </c>
    </row>
    <row r="31928" spans="1:8" customFormat="1" x14ac:dyDescent="0.25">
      <c r="A31928" t="str">
        <f>"5112193"</f>
        <v>5112193</v>
      </c>
      <c r="B31928" t="s">
        <v>24198</v>
      </c>
      <c r="C31928" t="s">
        <v>24199</v>
      </c>
      <c r="D31928" s="21" t="s">
        <v>34</v>
      </c>
      <c r="E31928" s="21" t="s">
        <v>71</v>
      </c>
      <c r="F31928">
        <v>6510015</v>
      </c>
      <c r="G31928" t="s">
        <v>5462</v>
      </c>
      <c r="H31928" s="21">
        <v>520.16999999999996</v>
      </c>
    </row>
    <row r="31929" spans="1:8" customFormat="1" x14ac:dyDescent="0.25">
      <c r="A31929" t="str">
        <f>"3343169"</f>
        <v>3343169</v>
      </c>
      <c r="B31929" t="s">
        <v>21612</v>
      </c>
      <c r="C31929" t="s">
        <v>119</v>
      </c>
      <c r="D31929" s="21" t="s">
        <v>34</v>
      </c>
      <c r="E31929" s="21" t="s">
        <v>71</v>
      </c>
      <c r="F31929">
        <v>10330123</v>
      </c>
      <c r="G31929" t="s">
        <v>12101</v>
      </c>
      <c r="H31929" s="21">
        <v>520.16999999999996</v>
      </c>
    </row>
    <row r="31930" spans="1:8" customFormat="1" x14ac:dyDescent="0.25">
      <c r="A31930" t="str">
        <f>"9322154"</f>
        <v>9322154</v>
      </c>
      <c r="B31930" t="s">
        <v>271</v>
      </c>
      <c r="C31930" t="s">
        <v>28419</v>
      </c>
      <c r="D31930" s="21" t="s">
        <v>34</v>
      </c>
      <c r="E31930" s="21" t="s">
        <v>254</v>
      </c>
      <c r="F31930">
        <v>8930610</v>
      </c>
      <c r="G31930" t="s">
        <v>3002</v>
      </c>
      <c r="H31930" s="21">
        <v>520.16999999999996</v>
      </c>
    </row>
    <row r="31931" spans="1:8" customFormat="1" x14ac:dyDescent="0.25">
      <c r="A31931" t="str">
        <f>"7917760"</f>
        <v>7917760</v>
      </c>
      <c r="B31931" t="s">
        <v>22435</v>
      </c>
      <c r="C31931" t="s">
        <v>720</v>
      </c>
      <c r="D31931" s="21" t="s">
        <v>34</v>
      </c>
      <c r="E31931" s="21" t="s">
        <v>1089</v>
      </c>
      <c r="F31931">
        <v>10790009</v>
      </c>
      <c r="G31931" t="s">
        <v>1155</v>
      </c>
      <c r="H31931" s="21">
        <v>520.16999999999996</v>
      </c>
    </row>
    <row r="31932" spans="1:8" customFormat="1" x14ac:dyDescent="0.25">
      <c r="A31932" t="str">
        <f>"2922362"</f>
        <v>2922362</v>
      </c>
      <c r="B31932" t="s">
        <v>21367</v>
      </c>
      <c r="C31932" t="s">
        <v>198</v>
      </c>
      <c r="D31932" s="21" t="s">
        <v>34</v>
      </c>
      <c r="E31932" s="21" t="s">
        <v>71</v>
      </c>
      <c r="F31932">
        <v>3290014</v>
      </c>
      <c r="G31932" t="s">
        <v>10174</v>
      </c>
      <c r="H31932" s="21">
        <v>520.16999999999996</v>
      </c>
    </row>
    <row r="31933" spans="1:8" customFormat="1" x14ac:dyDescent="0.25">
      <c r="A31933" t="str">
        <f>"3421666"</f>
        <v>3421666</v>
      </c>
      <c r="B31933" t="s">
        <v>6139</v>
      </c>
      <c r="C31933" t="s">
        <v>3712</v>
      </c>
      <c r="D31933" s="21" t="s">
        <v>34</v>
      </c>
      <c r="E31933" s="21" t="s">
        <v>35</v>
      </c>
      <c r="F31933">
        <v>11340033</v>
      </c>
      <c r="G31933" t="s">
        <v>433</v>
      </c>
      <c r="H31933" s="21">
        <v>520.16999999999996</v>
      </c>
    </row>
    <row r="31934" spans="1:8" customFormat="1" x14ac:dyDescent="0.25">
      <c r="A31934" t="str">
        <f>"5914409"</f>
        <v>5914409</v>
      </c>
      <c r="B31934" t="s">
        <v>20880</v>
      </c>
      <c r="C31934" t="s">
        <v>5861</v>
      </c>
      <c r="D31934" s="21" t="s">
        <v>34</v>
      </c>
      <c r="E31934" s="21" t="s">
        <v>254</v>
      </c>
      <c r="F31934">
        <v>7590259</v>
      </c>
      <c r="G31934" t="s">
        <v>6385</v>
      </c>
      <c r="H31934" s="21">
        <v>520.16999999999996</v>
      </c>
    </row>
    <row r="31935" spans="1:8" customFormat="1" x14ac:dyDescent="0.25">
      <c r="A31935" t="str">
        <f>"1312430"</f>
        <v>1312430</v>
      </c>
      <c r="B31935" t="s">
        <v>21542</v>
      </c>
      <c r="C31935" t="s">
        <v>462</v>
      </c>
      <c r="D31935" s="21" t="s">
        <v>34</v>
      </c>
      <c r="E31935" s="21" t="s">
        <v>71</v>
      </c>
      <c r="F31935">
        <v>13130067</v>
      </c>
      <c r="G31935" t="s">
        <v>1420</v>
      </c>
      <c r="H31935" s="21">
        <v>520.16999999999996</v>
      </c>
    </row>
    <row r="31936" spans="1:8" customFormat="1" x14ac:dyDescent="0.25">
      <c r="A31936" t="str">
        <f>"7626038"</f>
        <v>7626038</v>
      </c>
      <c r="B31936" t="s">
        <v>20393</v>
      </c>
      <c r="C31936" t="s">
        <v>879</v>
      </c>
      <c r="D31936" s="21" t="s">
        <v>34</v>
      </c>
      <c r="E31936" s="21" t="s">
        <v>6185</v>
      </c>
      <c r="F31936">
        <v>9760449</v>
      </c>
      <c r="G31936" t="s">
        <v>4848</v>
      </c>
      <c r="H31936" s="21">
        <v>520.16999999999996</v>
      </c>
    </row>
    <row r="31937" spans="1:8" customFormat="1" x14ac:dyDescent="0.25">
      <c r="A31937" t="str">
        <f>"1319555"</f>
        <v>1319555</v>
      </c>
      <c r="B31937" t="s">
        <v>771</v>
      </c>
      <c r="C31937" t="s">
        <v>119</v>
      </c>
      <c r="D31937" s="21" t="s">
        <v>34</v>
      </c>
      <c r="E31937" s="21" t="s">
        <v>71</v>
      </c>
      <c r="F31937">
        <v>13130145</v>
      </c>
      <c r="G31937" t="s">
        <v>21547</v>
      </c>
      <c r="H31937" s="21">
        <v>520.16999999999996</v>
      </c>
    </row>
    <row r="31938" spans="1:8" customFormat="1" x14ac:dyDescent="0.25">
      <c r="A31938" t="str">
        <f>"2510485"</f>
        <v>2510485</v>
      </c>
      <c r="B31938" t="s">
        <v>526</v>
      </c>
      <c r="C31938" t="s">
        <v>267</v>
      </c>
      <c r="D31938" s="21" t="s">
        <v>34</v>
      </c>
      <c r="E31938" s="21" t="s">
        <v>1089</v>
      </c>
      <c r="F31938">
        <v>2250016</v>
      </c>
      <c r="G31938" t="s">
        <v>1709</v>
      </c>
      <c r="H31938" s="21">
        <v>520.16999999999996</v>
      </c>
    </row>
    <row r="31939" spans="1:8" customFormat="1" x14ac:dyDescent="0.25">
      <c r="A31939" t="str">
        <f>"2915578"</f>
        <v>2915578</v>
      </c>
      <c r="B31939" t="s">
        <v>582</v>
      </c>
      <c r="C31939" t="s">
        <v>415</v>
      </c>
      <c r="D31939" s="21" t="s">
        <v>34</v>
      </c>
      <c r="E31939" s="21" t="s">
        <v>6185</v>
      </c>
      <c r="F31939">
        <v>3290224</v>
      </c>
      <c r="G31939" t="s">
        <v>7829</v>
      </c>
      <c r="H31939" s="21">
        <v>520.16999999999996</v>
      </c>
    </row>
    <row r="31940" spans="1:8" customFormat="1" x14ac:dyDescent="0.25">
      <c r="A31940" t="str">
        <f>"4529091"</f>
        <v>4529091</v>
      </c>
      <c r="B31940" t="s">
        <v>8158</v>
      </c>
      <c r="C31940" t="s">
        <v>62</v>
      </c>
      <c r="D31940" s="21" t="s">
        <v>34</v>
      </c>
      <c r="E31940" s="21" t="s">
        <v>35</v>
      </c>
      <c r="F31940">
        <v>4450144</v>
      </c>
      <c r="G31940" t="s">
        <v>6941</v>
      </c>
      <c r="H31940" s="21">
        <v>520.16999999999996</v>
      </c>
    </row>
    <row r="31941" spans="1:8" customFormat="1" x14ac:dyDescent="0.25">
      <c r="A31941" t="str">
        <f>"9131635"</f>
        <v>9131635</v>
      </c>
      <c r="B31941" t="s">
        <v>3384</v>
      </c>
      <c r="C31941" t="s">
        <v>415</v>
      </c>
      <c r="D31941" s="21" t="s">
        <v>34</v>
      </c>
      <c r="E31941" s="21" t="s">
        <v>71</v>
      </c>
      <c r="F31941">
        <v>8781473</v>
      </c>
      <c r="G31941" t="s">
        <v>1097</v>
      </c>
      <c r="H31941" s="21">
        <v>520.16999999999996</v>
      </c>
    </row>
    <row r="31942" spans="1:8" customFormat="1" x14ac:dyDescent="0.25">
      <c r="A31942" t="str">
        <f>"27537"</f>
        <v>27537</v>
      </c>
      <c r="B31942" t="s">
        <v>11241</v>
      </c>
      <c r="C31942" t="s">
        <v>1468</v>
      </c>
      <c r="D31942" s="21" t="s">
        <v>34</v>
      </c>
      <c r="E31942" s="21" t="s">
        <v>6185</v>
      </c>
      <c r="F31942">
        <v>9270152</v>
      </c>
      <c r="G31942" t="s">
        <v>1985</v>
      </c>
      <c r="H31942" s="21">
        <v>520.16999999999996</v>
      </c>
    </row>
    <row r="31943" spans="1:8" customFormat="1" x14ac:dyDescent="0.25">
      <c r="A31943" t="str">
        <f>"6210077"</f>
        <v>6210077</v>
      </c>
      <c r="B31943" t="s">
        <v>3930</v>
      </c>
      <c r="C31943" t="s">
        <v>459</v>
      </c>
      <c r="D31943" s="21" t="s">
        <v>34</v>
      </c>
      <c r="E31943" s="21" t="s">
        <v>35</v>
      </c>
      <c r="F31943">
        <v>7620088</v>
      </c>
      <c r="G31943" t="s">
        <v>3342</v>
      </c>
      <c r="H31943" s="21">
        <v>520.16999999999996</v>
      </c>
    </row>
    <row r="31944" spans="1:8" customFormat="1" x14ac:dyDescent="0.25">
      <c r="A31944" t="str">
        <f>"1425839"</f>
        <v>1425839</v>
      </c>
      <c r="B31944" t="s">
        <v>7383</v>
      </c>
      <c r="C31944" t="s">
        <v>87</v>
      </c>
      <c r="D31944" s="21" t="s">
        <v>34</v>
      </c>
      <c r="E31944" s="21" t="s">
        <v>35</v>
      </c>
      <c r="F31944">
        <v>9140200</v>
      </c>
      <c r="G31944" t="s">
        <v>17963</v>
      </c>
      <c r="H31944" s="21">
        <v>520.16999999999996</v>
      </c>
    </row>
    <row r="31945" spans="1:8" customFormat="1" x14ac:dyDescent="0.25">
      <c r="A31945" t="str">
        <f>"0211825"</f>
        <v>0211825</v>
      </c>
      <c r="B31945" t="s">
        <v>2226</v>
      </c>
      <c r="C31945" t="s">
        <v>55</v>
      </c>
      <c r="D31945" s="21" t="s">
        <v>34</v>
      </c>
      <c r="E31945" s="21" t="s">
        <v>35</v>
      </c>
      <c r="F31945">
        <v>7020003</v>
      </c>
      <c r="G31945" t="s">
        <v>7268</v>
      </c>
      <c r="H31945" s="21">
        <v>520</v>
      </c>
    </row>
    <row r="31946" spans="1:8" customFormat="1" x14ac:dyDescent="0.25">
      <c r="A31946" t="str">
        <f>"6226929"</f>
        <v>6226929</v>
      </c>
      <c r="B31946" t="s">
        <v>28382</v>
      </c>
      <c r="C31946" t="s">
        <v>656</v>
      </c>
      <c r="D31946" s="21" t="s">
        <v>34</v>
      </c>
      <c r="E31946" s="21" t="s">
        <v>35</v>
      </c>
      <c r="F31946">
        <v>7620181</v>
      </c>
      <c r="G31946" t="s">
        <v>2268</v>
      </c>
      <c r="H31946" s="21">
        <v>520</v>
      </c>
    </row>
    <row r="31947" spans="1:8" customFormat="1" x14ac:dyDescent="0.25">
      <c r="A31947" t="str">
        <f>"8529278"</f>
        <v>8529278</v>
      </c>
      <c r="B31947" t="s">
        <v>28420</v>
      </c>
      <c r="C31947" t="s">
        <v>6285</v>
      </c>
      <c r="D31947" s="21" t="s">
        <v>34</v>
      </c>
      <c r="E31947" s="21" t="s">
        <v>254</v>
      </c>
      <c r="F31947">
        <v>12850072</v>
      </c>
      <c r="G31947" t="s">
        <v>7184</v>
      </c>
      <c r="H31947" s="21">
        <v>520</v>
      </c>
    </row>
    <row r="31948" spans="1:8" customFormat="1" x14ac:dyDescent="0.25">
      <c r="A31948" t="str">
        <f>"1613706"</f>
        <v>1613706</v>
      </c>
      <c r="B31948" t="s">
        <v>1729</v>
      </c>
      <c r="C31948" t="s">
        <v>33</v>
      </c>
      <c r="D31948" s="21" t="s">
        <v>34</v>
      </c>
      <c r="E31948" s="21" t="s">
        <v>71</v>
      </c>
      <c r="F31948">
        <v>10160010</v>
      </c>
      <c r="G31948" t="s">
        <v>5491</v>
      </c>
      <c r="H31948" s="21">
        <v>520</v>
      </c>
    </row>
    <row r="31949" spans="1:8" customFormat="1" x14ac:dyDescent="0.25">
      <c r="A31949" t="str">
        <f>"3537978"</f>
        <v>3537978</v>
      </c>
      <c r="B31949" t="s">
        <v>28421</v>
      </c>
      <c r="C31949" t="s">
        <v>98</v>
      </c>
      <c r="D31949" s="21" t="s">
        <v>34</v>
      </c>
      <c r="E31949" s="21" t="s">
        <v>35</v>
      </c>
      <c r="F31949">
        <v>3350150</v>
      </c>
      <c r="G31949" t="s">
        <v>6419</v>
      </c>
      <c r="H31949" s="21">
        <v>520</v>
      </c>
    </row>
    <row r="31950" spans="1:8" customFormat="1" x14ac:dyDescent="0.25">
      <c r="A31950" t="str">
        <f>"442639"</f>
        <v>442639</v>
      </c>
      <c r="B31950" t="s">
        <v>6472</v>
      </c>
      <c r="C31950" t="s">
        <v>2100</v>
      </c>
      <c r="D31950" s="21" t="s">
        <v>34</v>
      </c>
      <c r="E31950" s="21" t="s">
        <v>254</v>
      </c>
      <c r="F31950">
        <v>10170016</v>
      </c>
      <c r="G31950" t="s">
        <v>88</v>
      </c>
      <c r="H31950" s="21">
        <v>520</v>
      </c>
    </row>
    <row r="31951" spans="1:8" customFormat="1" x14ac:dyDescent="0.25">
      <c r="A31951" t="str">
        <f>"359485"</f>
        <v>359485</v>
      </c>
      <c r="B31951" t="s">
        <v>11120</v>
      </c>
      <c r="C31951" t="s">
        <v>269</v>
      </c>
      <c r="D31951" s="21" t="s">
        <v>34</v>
      </c>
      <c r="E31951" s="21" t="s">
        <v>71</v>
      </c>
      <c r="F31951">
        <v>3350092</v>
      </c>
      <c r="G31951" t="s">
        <v>26881</v>
      </c>
      <c r="H31951" s="21">
        <v>520</v>
      </c>
    </row>
    <row r="31952" spans="1:8" customFormat="1" x14ac:dyDescent="0.25">
      <c r="A31952" t="str">
        <f>"107257"</f>
        <v>107257</v>
      </c>
      <c r="B31952" t="s">
        <v>10726</v>
      </c>
      <c r="C31952" t="s">
        <v>87</v>
      </c>
      <c r="D31952" s="21" t="s">
        <v>34</v>
      </c>
      <c r="E31952" s="21" t="s">
        <v>35</v>
      </c>
      <c r="F31952">
        <v>4450759</v>
      </c>
      <c r="G31952" t="s">
        <v>6587</v>
      </c>
      <c r="H31952" s="21">
        <v>520</v>
      </c>
    </row>
    <row r="31953" spans="1:8" customFormat="1" x14ac:dyDescent="0.25">
      <c r="A31953" t="str">
        <f>"4515263"</f>
        <v>4515263</v>
      </c>
      <c r="B31953" t="s">
        <v>20824</v>
      </c>
      <c r="C31953" t="s">
        <v>2529</v>
      </c>
      <c r="D31953" s="21" t="s">
        <v>34</v>
      </c>
      <c r="E31953" s="21" t="s">
        <v>71</v>
      </c>
      <c r="F31953">
        <v>4450589</v>
      </c>
      <c r="G31953" t="s">
        <v>19465</v>
      </c>
      <c r="H31953" s="21">
        <v>519.91999999999996</v>
      </c>
    </row>
    <row r="31954" spans="1:8" customFormat="1" x14ac:dyDescent="0.25">
      <c r="A31954" t="str">
        <f>"7517837"</f>
        <v>7517837</v>
      </c>
      <c r="B31954" t="s">
        <v>20298</v>
      </c>
      <c r="C31954" t="s">
        <v>1675</v>
      </c>
      <c r="D31954" s="21" t="s">
        <v>34</v>
      </c>
      <c r="E31954" s="21" t="s">
        <v>35</v>
      </c>
      <c r="F31954">
        <v>8751061</v>
      </c>
      <c r="G31954" t="s">
        <v>26628</v>
      </c>
      <c r="H31954" s="21">
        <v>519.75</v>
      </c>
    </row>
    <row r="31955" spans="1:8" customFormat="1" x14ac:dyDescent="0.25">
      <c r="A31955" t="str">
        <f>"5020494"</f>
        <v>5020494</v>
      </c>
      <c r="B31955" t="s">
        <v>8461</v>
      </c>
      <c r="C31955" t="s">
        <v>3355</v>
      </c>
      <c r="D31955" s="21" t="s">
        <v>34</v>
      </c>
      <c r="E31955" s="21" t="s">
        <v>35</v>
      </c>
      <c r="F31955">
        <v>9500159</v>
      </c>
      <c r="G31955" t="s">
        <v>11102</v>
      </c>
      <c r="H31955" s="21">
        <v>519.66999999999996</v>
      </c>
    </row>
    <row r="31956" spans="1:8" customFormat="1" x14ac:dyDescent="0.25">
      <c r="A31956" t="str">
        <f>"4422991"</f>
        <v>4422991</v>
      </c>
      <c r="B31956" t="s">
        <v>25388</v>
      </c>
      <c r="C31956" t="s">
        <v>253</v>
      </c>
      <c r="D31956" s="21" t="s">
        <v>34</v>
      </c>
      <c r="E31956" s="21" t="s">
        <v>254</v>
      </c>
      <c r="F31956">
        <v>12440166</v>
      </c>
      <c r="G31956" t="s">
        <v>4031</v>
      </c>
      <c r="H31956" s="21">
        <v>519.66999999999996</v>
      </c>
    </row>
    <row r="31957" spans="1:8" customFormat="1" x14ac:dyDescent="0.25">
      <c r="A31957" t="str">
        <f>"5928947"</f>
        <v>5928947</v>
      </c>
      <c r="B31957" t="s">
        <v>28422</v>
      </c>
      <c r="C31957" t="s">
        <v>576</v>
      </c>
      <c r="D31957" s="21" t="s">
        <v>34</v>
      </c>
      <c r="E31957" s="21" t="s">
        <v>35</v>
      </c>
      <c r="F31957">
        <v>7590175</v>
      </c>
      <c r="G31957" t="s">
        <v>3063</v>
      </c>
      <c r="H31957" s="21">
        <v>519.66999999999996</v>
      </c>
    </row>
    <row r="31958" spans="1:8" customFormat="1" x14ac:dyDescent="0.25">
      <c r="A31958" t="str">
        <f>"2516277"</f>
        <v>2516277</v>
      </c>
      <c r="B31958" t="s">
        <v>4355</v>
      </c>
      <c r="C31958" t="s">
        <v>96</v>
      </c>
      <c r="D31958" s="21" t="s">
        <v>34</v>
      </c>
      <c r="E31958" s="21" t="s">
        <v>35</v>
      </c>
      <c r="F31958">
        <v>2250231</v>
      </c>
      <c r="G31958" t="s">
        <v>8994</v>
      </c>
      <c r="H31958" s="21">
        <v>519.66999999999996</v>
      </c>
    </row>
    <row r="31959" spans="1:8" customFormat="1" x14ac:dyDescent="0.25">
      <c r="A31959" t="str">
        <f>"7642632"</f>
        <v>7642632</v>
      </c>
      <c r="B31959" t="s">
        <v>28423</v>
      </c>
      <c r="C31959" t="s">
        <v>28424</v>
      </c>
      <c r="D31959" s="21" t="s">
        <v>34</v>
      </c>
      <c r="E31959" s="21" t="s">
        <v>35</v>
      </c>
      <c r="F31959">
        <v>9760046</v>
      </c>
      <c r="G31959" t="s">
        <v>14625</v>
      </c>
      <c r="H31959" s="21">
        <v>519.66999999999996</v>
      </c>
    </row>
    <row r="31960" spans="1:8" customFormat="1" x14ac:dyDescent="0.25">
      <c r="A31960" t="str">
        <f>"9142607"</f>
        <v>9142607</v>
      </c>
      <c r="B31960" t="s">
        <v>21649</v>
      </c>
      <c r="C31960" t="s">
        <v>576</v>
      </c>
      <c r="D31960" s="21" t="s">
        <v>34</v>
      </c>
      <c r="E31960" s="21" t="s">
        <v>35</v>
      </c>
      <c r="F31960">
        <v>8910042</v>
      </c>
      <c r="G31960" t="s">
        <v>4009</v>
      </c>
      <c r="H31960" s="21">
        <v>519.66999999999996</v>
      </c>
    </row>
    <row r="31961" spans="1:8" customFormat="1" x14ac:dyDescent="0.25">
      <c r="A31961" t="str">
        <f>"5431489"</f>
        <v>5431489</v>
      </c>
      <c r="B31961" t="s">
        <v>2886</v>
      </c>
      <c r="C31961" t="s">
        <v>879</v>
      </c>
      <c r="D31961" s="21" t="s">
        <v>34</v>
      </c>
      <c r="E31961" s="21" t="s">
        <v>71</v>
      </c>
      <c r="F31961">
        <v>6540171</v>
      </c>
      <c r="G31961" t="s">
        <v>20414</v>
      </c>
      <c r="H31961" s="21">
        <v>519.66999999999996</v>
      </c>
    </row>
    <row r="31962" spans="1:8" customFormat="1" x14ac:dyDescent="0.25">
      <c r="A31962" t="str">
        <f>"252575"</f>
        <v>252575</v>
      </c>
      <c r="B31962" t="s">
        <v>22182</v>
      </c>
      <c r="C31962" t="s">
        <v>1100</v>
      </c>
      <c r="D31962" s="21" t="s">
        <v>34</v>
      </c>
      <c r="E31962" s="21" t="s">
        <v>71</v>
      </c>
      <c r="F31962">
        <v>2250179</v>
      </c>
      <c r="G31962" t="s">
        <v>7007</v>
      </c>
      <c r="H31962" s="21">
        <v>519.66999999999996</v>
      </c>
    </row>
    <row r="31963" spans="1:8" customFormat="1" x14ac:dyDescent="0.25">
      <c r="A31963" t="str">
        <f>"7729209"</f>
        <v>7729209</v>
      </c>
      <c r="B31963" t="s">
        <v>3017</v>
      </c>
      <c r="C31963" t="s">
        <v>96</v>
      </c>
      <c r="D31963" s="21" t="s">
        <v>34</v>
      </c>
      <c r="E31963" s="21" t="s">
        <v>35</v>
      </c>
      <c r="F31963">
        <v>8771303</v>
      </c>
      <c r="G31963" t="s">
        <v>13447</v>
      </c>
      <c r="H31963" s="21">
        <v>519.66999999999996</v>
      </c>
    </row>
    <row r="31964" spans="1:8" customFormat="1" x14ac:dyDescent="0.25">
      <c r="A31964" t="str">
        <f>"5980665"</f>
        <v>5980665</v>
      </c>
      <c r="B31964" t="s">
        <v>1320</v>
      </c>
      <c r="C31964" t="s">
        <v>114</v>
      </c>
      <c r="D31964" s="21" t="s">
        <v>34</v>
      </c>
      <c r="E31964" s="21" t="s">
        <v>254</v>
      </c>
      <c r="F31964">
        <v>7590156</v>
      </c>
      <c r="G31964" t="s">
        <v>6224</v>
      </c>
      <c r="H31964" s="21">
        <v>519.66999999999996</v>
      </c>
    </row>
    <row r="31965" spans="1:8" customFormat="1" x14ac:dyDescent="0.25">
      <c r="A31965" t="str">
        <f>"323343"</f>
        <v>323343</v>
      </c>
      <c r="B31965" t="s">
        <v>10643</v>
      </c>
      <c r="C31965" t="s">
        <v>33</v>
      </c>
      <c r="D31965" s="21" t="s">
        <v>34</v>
      </c>
      <c r="E31965" s="21" t="s">
        <v>35</v>
      </c>
      <c r="F31965">
        <v>11320033</v>
      </c>
      <c r="G31965" t="s">
        <v>8133</v>
      </c>
      <c r="H31965" s="21">
        <v>519.66999999999996</v>
      </c>
    </row>
    <row r="31966" spans="1:8" customFormat="1" x14ac:dyDescent="0.25">
      <c r="A31966" t="str">
        <f>"5983924"</f>
        <v>5983924</v>
      </c>
      <c r="B31966" t="s">
        <v>1604</v>
      </c>
      <c r="C31966" t="s">
        <v>3475</v>
      </c>
      <c r="D31966" s="21" t="s">
        <v>34</v>
      </c>
      <c r="E31966" s="21" t="s">
        <v>71</v>
      </c>
      <c r="F31966">
        <v>7590177</v>
      </c>
      <c r="G31966" t="s">
        <v>10380</v>
      </c>
      <c r="H31966" s="21">
        <v>519.66999999999996</v>
      </c>
    </row>
    <row r="31967" spans="1:8" customFormat="1" x14ac:dyDescent="0.25">
      <c r="A31967" t="str">
        <f>"9531435"</f>
        <v>9531435</v>
      </c>
      <c r="B31967" t="s">
        <v>12385</v>
      </c>
      <c r="C31967" t="s">
        <v>2520</v>
      </c>
      <c r="D31967" s="21" t="s">
        <v>34</v>
      </c>
      <c r="E31967" s="21" t="s">
        <v>1089</v>
      </c>
      <c r="F31967">
        <v>8950481</v>
      </c>
      <c r="G31967" t="s">
        <v>1472</v>
      </c>
      <c r="H31967" s="21">
        <v>519.66999999999996</v>
      </c>
    </row>
    <row r="31968" spans="1:8" customFormat="1" x14ac:dyDescent="0.25">
      <c r="A31968" t="str">
        <f>"114112"</f>
        <v>114112</v>
      </c>
      <c r="B31968" t="s">
        <v>11766</v>
      </c>
      <c r="C31968" t="s">
        <v>462</v>
      </c>
      <c r="D31968" s="21" t="s">
        <v>34</v>
      </c>
      <c r="E31968" s="21" t="s">
        <v>71</v>
      </c>
      <c r="F31968">
        <v>11110032</v>
      </c>
      <c r="G31968" t="s">
        <v>2698</v>
      </c>
      <c r="H31968" s="21">
        <v>519.66999999999996</v>
      </c>
    </row>
    <row r="31969" spans="1:8" customFormat="1" x14ac:dyDescent="0.25">
      <c r="A31969" t="str">
        <f>"2717090"</f>
        <v>2717090</v>
      </c>
      <c r="B31969" t="s">
        <v>24222</v>
      </c>
      <c r="C31969" t="s">
        <v>2520</v>
      </c>
      <c r="D31969" s="21" t="s">
        <v>34</v>
      </c>
      <c r="E31969" s="21" t="s">
        <v>254</v>
      </c>
      <c r="F31969">
        <v>9270185</v>
      </c>
      <c r="G31969" t="s">
        <v>9160</v>
      </c>
      <c r="H31969" s="21">
        <v>519.62</v>
      </c>
    </row>
    <row r="31970" spans="1:8" customFormat="1" x14ac:dyDescent="0.25">
      <c r="A31970" t="str">
        <f>"519616"</f>
        <v>519616</v>
      </c>
      <c r="B31970" t="s">
        <v>22002</v>
      </c>
      <c r="C31970" t="s">
        <v>130</v>
      </c>
      <c r="D31970" s="21" t="s">
        <v>34</v>
      </c>
      <c r="E31970" s="21" t="s">
        <v>1089</v>
      </c>
      <c r="F31970">
        <v>6510110</v>
      </c>
      <c r="G31970" t="s">
        <v>9011</v>
      </c>
      <c r="H31970" s="21">
        <v>519.5</v>
      </c>
    </row>
    <row r="31971" spans="1:8" customFormat="1" x14ac:dyDescent="0.25">
      <c r="A31971" t="str">
        <f>"5734563"</f>
        <v>5734563</v>
      </c>
      <c r="B31971" t="s">
        <v>2656</v>
      </c>
      <c r="C31971" t="s">
        <v>114</v>
      </c>
      <c r="D31971" s="21" t="s">
        <v>34</v>
      </c>
      <c r="E31971" s="21" t="s">
        <v>71</v>
      </c>
      <c r="F31971">
        <v>6570057</v>
      </c>
      <c r="G31971" t="s">
        <v>8333</v>
      </c>
      <c r="H31971" s="21">
        <v>519.5</v>
      </c>
    </row>
    <row r="31972" spans="1:8" customFormat="1" x14ac:dyDescent="0.25">
      <c r="A31972" t="str">
        <f>"1426434"</f>
        <v>1426434</v>
      </c>
      <c r="B31972" t="s">
        <v>19730</v>
      </c>
      <c r="C31972" t="s">
        <v>320</v>
      </c>
      <c r="D31972" s="21" t="s">
        <v>34</v>
      </c>
      <c r="E31972" s="21" t="s">
        <v>254</v>
      </c>
      <c r="F31972">
        <v>9140003</v>
      </c>
      <c r="G31972" t="s">
        <v>6152</v>
      </c>
      <c r="H31972" s="21">
        <v>519.5</v>
      </c>
    </row>
    <row r="31973" spans="1:8" customFormat="1" x14ac:dyDescent="0.25">
      <c r="A31973" t="str">
        <f>"7879946"</f>
        <v>7879946</v>
      </c>
      <c r="B31973" t="s">
        <v>28425</v>
      </c>
      <c r="C31973" t="s">
        <v>206</v>
      </c>
      <c r="D31973" s="21" t="s">
        <v>34</v>
      </c>
      <c r="E31973" s="21" t="s">
        <v>35</v>
      </c>
      <c r="F31973">
        <v>8780892</v>
      </c>
      <c r="G31973" t="s">
        <v>3021</v>
      </c>
      <c r="H31973" s="21">
        <v>519.5</v>
      </c>
    </row>
    <row r="31974" spans="1:8" customFormat="1" x14ac:dyDescent="0.25">
      <c r="A31974" t="str">
        <f>"3345223"</f>
        <v>3345223</v>
      </c>
      <c r="B31974" t="s">
        <v>1347</v>
      </c>
      <c r="C31974" t="s">
        <v>3456</v>
      </c>
      <c r="D31974" s="21" t="s">
        <v>34</v>
      </c>
      <c r="E31974" s="21" t="s">
        <v>35</v>
      </c>
      <c r="F31974">
        <v>10330011</v>
      </c>
      <c r="G31974" t="s">
        <v>1789</v>
      </c>
      <c r="H31974" s="21">
        <v>519.5</v>
      </c>
    </row>
    <row r="31975" spans="1:8" customFormat="1" x14ac:dyDescent="0.25">
      <c r="A31975" t="str">
        <f>"6023320"</f>
        <v>6023320</v>
      </c>
      <c r="B31975" t="s">
        <v>5398</v>
      </c>
      <c r="C31975" t="s">
        <v>462</v>
      </c>
      <c r="D31975" s="21" t="s">
        <v>34</v>
      </c>
      <c r="E31975" s="21" t="s">
        <v>35</v>
      </c>
      <c r="F31975">
        <v>7600026</v>
      </c>
      <c r="G31975" t="s">
        <v>10079</v>
      </c>
      <c r="H31975" s="21">
        <v>519.5</v>
      </c>
    </row>
    <row r="31976" spans="1:8" customFormat="1" x14ac:dyDescent="0.25">
      <c r="A31976" t="str">
        <f>"9143075"</f>
        <v>9143075</v>
      </c>
      <c r="B31976" t="s">
        <v>23870</v>
      </c>
      <c r="C31976" t="s">
        <v>639</v>
      </c>
      <c r="D31976" s="21" t="s">
        <v>34</v>
      </c>
      <c r="E31976" s="21" t="s">
        <v>254</v>
      </c>
      <c r="F31976">
        <v>8910028</v>
      </c>
      <c r="G31976" t="s">
        <v>2634</v>
      </c>
      <c r="H31976" s="21">
        <v>519.5</v>
      </c>
    </row>
    <row r="31977" spans="1:8" customFormat="1" x14ac:dyDescent="0.25">
      <c r="A31977" t="str">
        <f>"2612991"</f>
        <v>2612991</v>
      </c>
      <c r="B31977" t="s">
        <v>28426</v>
      </c>
      <c r="C31977" t="s">
        <v>236</v>
      </c>
      <c r="D31977" s="21" t="s">
        <v>34</v>
      </c>
      <c r="E31977" s="21" t="s">
        <v>1089</v>
      </c>
      <c r="F31977">
        <v>11340059</v>
      </c>
      <c r="G31977" t="s">
        <v>10368</v>
      </c>
      <c r="H31977" s="21">
        <v>519.5</v>
      </c>
    </row>
    <row r="31978" spans="1:8" customFormat="1" x14ac:dyDescent="0.25">
      <c r="A31978" t="str">
        <f>"7414638"</f>
        <v>7414638</v>
      </c>
      <c r="B31978" t="s">
        <v>28427</v>
      </c>
      <c r="C31978" t="s">
        <v>486</v>
      </c>
      <c r="D31978" s="21" t="s">
        <v>34</v>
      </c>
      <c r="E31978" s="21" t="s">
        <v>71</v>
      </c>
      <c r="F31978">
        <v>1740069</v>
      </c>
      <c r="G31978" t="s">
        <v>8151</v>
      </c>
      <c r="H31978" s="21">
        <v>519.5</v>
      </c>
    </row>
    <row r="31979" spans="1:8" customFormat="1" x14ac:dyDescent="0.25">
      <c r="A31979" t="str">
        <f>"5326178"</f>
        <v>5326178</v>
      </c>
      <c r="B31979" t="s">
        <v>7301</v>
      </c>
      <c r="C31979" t="s">
        <v>60</v>
      </c>
      <c r="D31979" s="21" t="s">
        <v>34</v>
      </c>
      <c r="E31979" s="21" t="s">
        <v>35</v>
      </c>
      <c r="F31979">
        <v>12530147</v>
      </c>
      <c r="G31979" t="s">
        <v>1851</v>
      </c>
      <c r="H31979" s="21">
        <v>519.5</v>
      </c>
    </row>
    <row r="31980" spans="1:8" customFormat="1" x14ac:dyDescent="0.25">
      <c r="A31980" t="str">
        <f>"3014454"</f>
        <v>3014454</v>
      </c>
      <c r="B31980" t="s">
        <v>28428</v>
      </c>
      <c r="C31980" t="s">
        <v>3217</v>
      </c>
      <c r="D31980" s="21" t="s">
        <v>34</v>
      </c>
      <c r="E31980" s="21" t="s">
        <v>35</v>
      </c>
      <c r="F31980">
        <v>11300003</v>
      </c>
      <c r="G31980" t="s">
        <v>7949</v>
      </c>
      <c r="H31980" s="21">
        <v>519.5</v>
      </c>
    </row>
    <row r="31981" spans="1:8" customFormat="1" x14ac:dyDescent="0.25">
      <c r="A31981" t="str">
        <f>"2612768"</f>
        <v>2612768</v>
      </c>
      <c r="B31981" t="s">
        <v>23107</v>
      </c>
      <c r="C31981" t="s">
        <v>55</v>
      </c>
      <c r="D31981" s="21" t="s">
        <v>34</v>
      </c>
      <c r="E31981" s="21" t="s">
        <v>71</v>
      </c>
      <c r="F31981">
        <v>1260015</v>
      </c>
      <c r="G31981" t="s">
        <v>4712</v>
      </c>
      <c r="H31981" s="21">
        <v>519.5</v>
      </c>
    </row>
    <row r="31982" spans="1:8" customFormat="1" x14ac:dyDescent="0.25">
      <c r="A31982" t="str">
        <f>"3012645"</f>
        <v>3012645</v>
      </c>
      <c r="B31982" t="s">
        <v>24279</v>
      </c>
      <c r="C31982" t="s">
        <v>1468</v>
      </c>
      <c r="D31982" s="21" t="s">
        <v>34</v>
      </c>
      <c r="E31982" s="21" t="s">
        <v>35</v>
      </c>
      <c r="F31982">
        <v>11300032</v>
      </c>
      <c r="G31982" t="s">
        <v>17309</v>
      </c>
      <c r="H31982" s="21">
        <v>519.5</v>
      </c>
    </row>
    <row r="31983" spans="1:8" customFormat="1" x14ac:dyDescent="0.25">
      <c r="A31983" t="str">
        <f>"9726761"</f>
        <v>9726761</v>
      </c>
      <c r="B31983" t="s">
        <v>22215</v>
      </c>
      <c r="C31983" t="s">
        <v>1025</v>
      </c>
      <c r="D31983" s="21" t="s">
        <v>34</v>
      </c>
      <c r="E31983" s="21" t="s">
        <v>254</v>
      </c>
      <c r="F31983" t="s">
        <v>3911</v>
      </c>
      <c r="G31983" t="s">
        <v>3912</v>
      </c>
      <c r="H31983" s="21">
        <v>519.5</v>
      </c>
    </row>
    <row r="31984" spans="1:8" customFormat="1" x14ac:dyDescent="0.25">
      <c r="A31984" t="str">
        <f>"6948172"</f>
        <v>6948172</v>
      </c>
      <c r="B31984" t="s">
        <v>22414</v>
      </c>
      <c r="C31984" t="s">
        <v>209</v>
      </c>
      <c r="D31984" s="21" t="s">
        <v>34</v>
      </c>
      <c r="E31984" s="21" t="s">
        <v>254</v>
      </c>
      <c r="F31984">
        <v>1690052</v>
      </c>
      <c r="G31984" t="s">
        <v>273</v>
      </c>
      <c r="H31984" s="21">
        <v>519.5</v>
      </c>
    </row>
    <row r="31985" spans="1:8" customFormat="1" x14ac:dyDescent="0.25">
      <c r="A31985" t="str">
        <f>"3531334"</f>
        <v>3531334</v>
      </c>
      <c r="B31985" t="s">
        <v>18595</v>
      </c>
      <c r="C31985" t="s">
        <v>6135</v>
      </c>
      <c r="D31985" s="21" t="s">
        <v>34</v>
      </c>
      <c r="E31985" s="21" t="s">
        <v>35</v>
      </c>
      <c r="F31985">
        <v>3350213</v>
      </c>
      <c r="G31985" t="s">
        <v>13671</v>
      </c>
      <c r="H31985" s="21">
        <v>519.5</v>
      </c>
    </row>
    <row r="31986" spans="1:8" customFormat="1" x14ac:dyDescent="0.25">
      <c r="A31986" t="str">
        <f>"9442998"</f>
        <v>9442998</v>
      </c>
      <c r="B31986" t="s">
        <v>23938</v>
      </c>
      <c r="C31986" t="s">
        <v>169</v>
      </c>
      <c r="D31986" s="21" t="s">
        <v>34</v>
      </c>
      <c r="E31986" s="21" t="s">
        <v>35</v>
      </c>
      <c r="F31986">
        <v>8940894</v>
      </c>
      <c r="G31986" t="s">
        <v>481</v>
      </c>
      <c r="H31986" s="21">
        <v>519.41999999999996</v>
      </c>
    </row>
    <row r="31987" spans="1:8" customFormat="1" x14ac:dyDescent="0.25">
      <c r="A31987" t="str">
        <f>"9142919"</f>
        <v>9142919</v>
      </c>
      <c r="B31987" t="s">
        <v>22212</v>
      </c>
      <c r="C31987" t="s">
        <v>187</v>
      </c>
      <c r="D31987" s="21" t="s">
        <v>34</v>
      </c>
      <c r="E31987" s="21" t="s">
        <v>71</v>
      </c>
      <c r="F31987">
        <v>8910303</v>
      </c>
      <c r="G31987" t="s">
        <v>1244</v>
      </c>
      <c r="H31987" s="21">
        <v>519.29</v>
      </c>
    </row>
    <row r="31988" spans="1:8" customFormat="1" x14ac:dyDescent="0.25">
      <c r="A31988" t="str">
        <f>"3013837"</f>
        <v>3013837</v>
      </c>
      <c r="B31988" t="s">
        <v>22568</v>
      </c>
      <c r="C31988" t="s">
        <v>328</v>
      </c>
      <c r="D31988" s="21" t="s">
        <v>34</v>
      </c>
      <c r="E31988" s="21" t="s">
        <v>35</v>
      </c>
      <c r="F31988">
        <v>11300040</v>
      </c>
      <c r="G31988" t="s">
        <v>13373</v>
      </c>
      <c r="H31988" s="21">
        <v>519.25</v>
      </c>
    </row>
    <row r="31989" spans="1:8" customFormat="1" x14ac:dyDescent="0.25">
      <c r="A31989" t="str">
        <f>"5969930"</f>
        <v>5969930</v>
      </c>
      <c r="B31989" t="s">
        <v>21535</v>
      </c>
      <c r="C31989" t="s">
        <v>328</v>
      </c>
      <c r="D31989" s="21" t="s">
        <v>34</v>
      </c>
      <c r="E31989" s="21" t="s">
        <v>35</v>
      </c>
      <c r="F31989">
        <v>7590033</v>
      </c>
      <c r="G31989" t="s">
        <v>6329</v>
      </c>
      <c r="H31989" s="21">
        <v>519.16999999999996</v>
      </c>
    </row>
    <row r="31990" spans="1:8" customFormat="1" x14ac:dyDescent="0.25">
      <c r="A31990" t="str">
        <f>"324812"</f>
        <v>324812</v>
      </c>
      <c r="B31990" t="s">
        <v>7111</v>
      </c>
      <c r="C31990" t="s">
        <v>60</v>
      </c>
      <c r="D31990" s="21" t="s">
        <v>34</v>
      </c>
      <c r="E31990" s="21" t="s">
        <v>35</v>
      </c>
      <c r="F31990">
        <v>11320005</v>
      </c>
      <c r="G31990" t="s">
        <v>120</v>
      </c>
      <c r="H31990" s="21">
        <v>519.16999999999996</v>
      </c>
    </row>
    <row r="31991" spans="1:8" customFormat="1" x14ac:dyDescent="0.25">
      <c r="A31991" t="str">
        <f>"6814611"</f>
        <v>6814611</v>
      </c>
      <c r="B31991" t="s">
        <v>28429</v>
      </c>
      <c r="C31991" t="s">
        <v>55</v>
      </c>
      <c r="D31991" s="21" t="s">
        <v>34</v>
      </c>
      <c r="E31991" s="21" t="s">
        <v>35</v>
      </c>
      <c r="F31991">
        <v>6680120</v>
      </c>
      <c r="G31991" t="s">
        <v>11122</v>
      </c>
      <c r="H31991" s="21">
        <v>519.16999999999996</v>
      </c>
    </row>
    <row r="31992" spans="1:8" customFormat="1" x14ac:dyDescent="0.25">
      <c r="A31992" t="str">
        <f>"9536111"</f>
        <v>9536111</v>
      </c>
      <c r="B31992" t="s">
        <v>697</v>
      </c>
      <c r="C31992" t="s">
        <v>621</v>
      </c>
      <c r="D31992" s="21" t="s">
        <v>34</v>
      </c>
      <c r="E31992" s="21" t="s">
        <v>71</v>
      </c>
      <c r="F31992">
        <v>8951411</v>
      </c>
      <c r="G31992" t="s">
        <v>416</v>
      </c>
      <c r="H31992" s="21">
        <v>519.16999999999996</v>
      </c>
    </row>
    <row r="31993" spans="1:8" customFormat="1" x14ac:dyDescent="0.25">
      <c r="A31993" t="str">
        <f>"6111226"</f>
        <v>6111226</v>
      </c>
      <c r="B31993" t="s">
        <v>12448</v>
      </c>
      <c r="C31993" t="s">
        <v>114</v>
      </c>
      <c r="D31993" s="21" t="s">
        <v>34</v>
      </c>
      <c r="E31993" s="21" t="s">
        <v>71</v>
      </c>
      <c r="F31993">
        <v>9610009</v>
      </c>
      <c r="G31993" t="s">
        <v>282</v>
      </c>
      <c r="H31993" s="21">
        <v>519.16999999999996</v>
      </c>
    </row>
    <row r="31994" spans="1:8" customFormat="1" x14ac:dyDescent="0.25">
      <c r="A31994" t="str">
        <f>"4424577"</f>
        <v>4424577</v>
      </c>
      <c r="B31994" t="s">
        <v>24003</v>
      </c>
      <c r="C31994" t="s">
        <v>428</v>
      </c>
      <c r="D31994" s="21" t="s">
        <v>34</v>
      </c>
      <c r="E31994" s="21" t="s">
        <v>71</v>
      </c>
      <c r="F31994">
        <v>12440039</v>
      </c>
      <c r="G31994" t="s">
        <v>9650</v>
      </c>
      <c r="H31994" s="21">
        <v>519.16999999999996</v>
      </c>
    </row>
    <row r="31995" spans="1:8" customFormat="1" x14ac:dyDescent="0.25">
      <c r="A31995" t="str">
        <f>"7627630"</f>
        <v>7627630</v>
      </c>
      <c r="B31995" t="s">
        <v>21760</v>
      </c>
      <c r="C31995" t="s">
        <v>926</v>
      </c>
      <c r="D31995" s="21" t="s">
        <v>34</v>
      </c>
      <c r="E31995" s="21" t="s">
        <v>254</v>
      </c>
      <c r="F31995">
        <v>9760377</v>
      </c>
      <c r="G31995" t="s">
        <v>6631</v>
      </c>
      <c r="H31995" s="21">
        <v>519.16999999999996</v>
      </c>
    </row>
    <row r="31996" spans="1:8" customFormat="1" x14ac:dyDescent="0.25">
      <c r="A31996" t="str">
        <f>"4936755"</f>
        <v>4936755</v>
      </c>
      <c r="B31996" t="s">
        <v>23956</v>
      </c>
      <c r="C31996" t="s">
        <v>249</v>
      </c>
      <c r="D31996" s="21" t="s">
        <v>34</v>
      </c>
      <c r="E31996" s="21" t="s">
        <v>71</v>
      </c>
      <c r="F31996">
        <v>12490064</v>
      </c>
      <c r="G31996" t="s">
        <v>8425</v>
      </c>
      <c r="H31996" s="21">
        <v>519.16999999999996</v>
      </c>
    </row>
    <row r="31997" spans="1:8" customFormat="1" x14ac:dyDescent="0.25">
      <c r="A31997" t="str">
        <f>"5319312"</f>
        <v>5319312</v>
      </c>
      <c r="B31997" t="s">
        <v>5416</v>
      </c>
      <c r="C31997" t="s">
        <v>926</v>
      </c>
      <c r="D31997" s="21" t="s">
        <v>34</v>
      </c>
      <c r="E31997" s="21" t="s">
        <v>254</v>
      </c>
      <c r="F31997">
        <v>12530048</v>
      </c>
      <c r="G31997" t="s">
        <v>7103</v>
      </c>
      <c r="H31997" s="21">
        <v>519.16999999999996</v>
      </c>
    </row>
    <row r="31998" spans="1:8" customFormat="1" x14ac:dyDescent="0.25">
      <c r="A31998" t="str">
        <f>"7617927"</f>
        <v>7617927</v>
      </c>
      <c r="B31998" t="s">
        <v>22125</v>
      </c>
      <c r="C31998" t="s">
        <v>55</v>
      </c>
      <c r="D31998" s="21" t="s">
        <v>34</v>
      </c>
      <c r="E31998" s="21" t="s">
        <v>71</v>
      </c>
      <c r="F31998">
        <v>9760390</v>
      </c>
      <c r="G31998" t="s">
        <v>17285</v>
      </c>
      <c r="H31998" s="21">
        <v>519.16999999999996</v>
      </c>
    </row>
    <row r="31999" spans="1:8" customFormat="1" x14ac:dyDescent="0.25">
      <c r="A31999" t="str">
        <f>"9420681"</f>
        <v>9420681</v>
      </c>
      <c r="B31999" t="s">
        <v>28430</v>
      </c>
      <c r="C31999" t="s">
        <v>1705</v>
      </c>
      <c r="D31999" s="21" t="s">
        <v>34</v>
      </c>
      <c r="E31999" s="21" t="s">
        <v>71</v>
      </c>
      <c r="F31999">
        <v>8940326</v>
      </c>
      <c r="G31999" t="s">
        <v>659</v>
      </c>
      <c r="H31999" s="21">
        <v>519.16999999999996</v>
      </c>
    </row>
    <row r="32000" spans="1:8" customFormat="1" x14ac:dyDescent="0.25">
      <c r="A32000" t="str">
        <f>"2616856"</f>
        <v>2616856</v>
      </c>
      <c r="B32000" t="s">
        <v>940</v>
      </c>
      <c r="C32000" t="s">
        <v>2730</v>
      </c>
      <c r="D32000" s="21" t="s">
        <v>34</v>
      </c>
      <c r="E32000" s="21" t="s">
        <v>254</v>
      </c>
      <c r="F32000">
        <v>1260071</v>
      </c>
      <c r="G32000" t="s">
        <v>798</v>
      </c>
      <c r="H32000" s="21">
        <v>519.16999999999996</v>
      </c>
    </row>
    <row r="32001" spans="1:8" customFormat="1" x14ac:dyDescent="0.25">
      <c r="A32001" t="str">
        <f>"3833943"</f>
        <v>3833943</v>
      </c>
      <c r="B32001" t="s">
        <v>28431</v>
      </c>
      <c r="C32001" t="s">
        <v>202</v>
      </c>
      <c r="D32001" s="21" t="s">
        <v>34</v>
      </c>
      <c r="E32001" s="21" t="s">
        <v>254</v>
      </c>
      <c r="F32001">
        <v>1380068</v>
      </c>
      <c r="G32001" t="s">
        <v>12680</v>
      </c>
      <c r="H32001" s="21">
        <v>519.16999999999996</v>
      </c>
    </row>
    <row r="32002" spans="1:8" customFormat="1" x14ac:dyDescent="0.25">
      <c r="A32002" t="str">
        <f>"9458774"</f>
        <v>9458774</v>
      </c>
      <c r="B32002" t="s">
        <v>1885</v>
      </c>
      <c r="C32002" t="s">
        <v>87</v>
      </c>
      <c r="D32002" s="21" t="s">
        <v>34</v>
      </c>
      <c r="E32002" s="21" t="s">
        <v>35</v>
      </c>
      <c r="F32002">
        <v>8940894</v>
      </c>
      <c r="G32002" t="s">
        <v>481</v>
      </c>
      <c r="H32002" s="21">
        <v>519.16999999999996</v>
      </c>
    </row>
    <row r="32003" spans="1:8" customFormat="1" x14ac:dyDescent="0.25">
      <c r="A32003" t="str">
        <f>"722280"</f>
        <v>722280</v>
      </c>
      <c r="B32003" t="s">
        <v>20135</v>
      </c>
      <c r="C32003" t="s">
        <v>40</v>
      </c>
      <c r="D32003" s="21" t="s">
        <v>34</v>
      </c>
      <c r="E32003" s="21" t="s">
        <v>71</v>
      </c>
      <c r="F32003">
        <v>12720021</v>
      </c>
      <c r="G32003" t="s">
        <v>3329</v>
      </c>
      <c r="H32003" s="21">
        <v>519.16999999999996</v>
      </c>
    </row>
    <row r="32004" spans="1:8" customFormat="1" x14ac:dyDescent="0.25">
      <c r="A32004" t="str">
        <f>"6017457"</f>
        <v>6017457</v>
      </c>
      <c r="B32004" t="s">
        <v>28432</v>
      </c>
      <c r="C32004" t="s">
        <v>55</v>
      </c>
      <c r="D32004" s="21" t="s">
        <v>34</v>
      </c>
      <c r="E32004" s="21" t="s">
        <v>254</v>
      </c>
      <c r="F32004">
        <v>7600004</v>
      </c>
      <c r="G32004" t="s">
        <v>848</v>
      </c>
      <c r="H32004" s="21">
        <v>519</v>
      </c>
    </row>
    <row r="32005" spans="1:8" customFormat="1" x14ac:dyDescent="0.25">
      <c r="A32005" t="str">
        <f>"5431576"</f>
        <v>5431576</v>
      </c>
      <c r="B32005" t="s">
        <v>623</v>
      </c>
      <c r="C32005" t="s">
        <v>5384</v>
      </c>
      <c r="D32005" s="21" t="s">
        <v>34</v>
      </c>
      <c r="E32005" s="21" t="s">
        <v>71</v>
      </c>
      <c r="F32005">
        <v>6540198</v>
      </c>
      <c r="G32005" t="s">
        <v>9045</v>
      </c>
      <c r="H32005" s="21">
        <v>519</v>
      </c>
    </row>
    <row r="32006" spans="1:8" customFormat="1" x14ac:dyDescent="0.25">
      <c r="A32006" t="str">
        <f>"6229603"</f>
        <v>6229603</v>
      </c>
      <c r="B32006" t="s">
        <v>22725</v>
      </c>
      <c r="C32006" t="s">
        <v>4161</v>
      </c>
      <c r="D32006" s="21" t="s">
        <v>34</v>
      </c>
      <c r="E32006" s="21" t="s">
        <v>35</v>
      </c>
      <c r="F32006">
        <v>7620005</v>
      </c>
      <c r="G32006" t="s">
        <v>200</v>
      </c>
      <c r="H32006" s="21">
        <v>519</v>
      </c>
    </row>
    <row r="32007" spans="1:8" customFormat="1" x14ac:dyDescent="0.25">
      <c r="A32007" t="str">
        <f>"5114138"</f>
        <v>5114138</v>
      </c>
      <c r="B32007" t="s">
        <v>26049</v>
      </c>
      <c r="C32007" t="s">
        <v>33</v>
      </c>
      <c r="D32007" s="21" t="s">
        <v>34</v>
      </c>
      <c r="E32007" s="21" t="s">
        <v>35</v>
      </c>
      <c r="F32007">
        <v>6510009</v>
      </c>
      <c r="G32007" t="s">
        <v>26950</v>
      </c>
      <c r="H32007" s="21">
        <v>519</v>
      </c>
    </row>
    <row r="32008" spans="1:8" customFormat="1" x14ac:dyDescent="0.25">
      <c r="A32008" t="str">
        <f>"6810798"</f>
        <v>6810798</v>
      </c>
      <c r="B32008" t="s">
        <v>2997</v>
      </c>
      <c r="C32008" t="s">
        <v>209</v>
      </c>
      <c r="D32008" s="21" t="s">
        <v>34</v>
      </c>
      <c r="E32008" s="21" t="s">
        <v>71</v>
      </c>
      <c r="F32008">
        <v>6680105</v>
      </c>
      <c r="G32008" t="s">
        <v>403</v>
      </c>
      <c r="H32008" s="21">
        <v>519</v>
      </c>
    </row>
    <row r="32009" spans="1:8" customFormat="1" x14ac:dyDescent="0.25">
      <c r="A32009" t="str">
        <f>"3716789"</f>
        <v>3716789</v>
      </c>
      <c r="B32009" t="s">
        <v>67</v>
      </c>
      <c r="C32009" t="s">
        <v>87</v>
      </c>
      <c r="D32009" s="21" t="s">
        <v>34</v>
      </c>
      <c r="E32009" s="21" t="s">
        <v>35</v>
      </c>
      <c r="F32009">
        <v>4370615</v>
      </c>
      <c r="G32009" t="s">
        <v>7437</v>
      </c>
      <c r="H32009" s="21">
        <v>519</v>
      </c>
    </row>
    <row r="32010" spans="1:8" customFormat="1" x14ac:dyDescent="0.25">
      <c r="A32010" t="str">
        <f>"6726377"</f>
        <v>6726377</v>
      </c>
      <c r="B32010" t="s">
        <v>23052</v>
      </c>
      <c r="C32010" t="s">
        <v>812</v>
      </c>
      <c r="D32010" s="21" t="s">
        <v>34</v>
      </c>
      <c r="E32010" s="21" t="s">
        <v>254</v>
      </c>
      <c r="F32010">
        <v>6670187</v>
      </c>
      <c r="G32010" t="s">
        <v>240</v>
      </c>
      <c r="H32010" s="21">
        <v>519</v>
      </c>
    </row>
    <row r="32011" spans="1:8" customFormat="1" x14ac:dyDescent="0.25">
      <c r="A32011" t="str">
        <f>"1612276"</f>
        <v>1612276</v>
      </c>
      <c r="B32011" t="s">
        <v>21192</v>
      </c>
      <c r="C32011" t="s">
        <v>2479</v>
      </c>
      <c r="D32011" s="21" t="s">
        <v>34</v>
      </c>
      <c r="E32011" s="21" t="s">
        <v>254</v>
      </c>
      <c r="F32011">
        <v>10160042</v>
      </c>
      <c r="G32011" t="s">
        <v>7461</v>
      </c>
      <c r="H32011" s="21">
        <v>518.91999999999996</v>
      </c>
    </row>
    <row r="32012" spans="1:8" customFormat="1" x14ac:dyDescent="0.25">
      <c r="A32012" t="str">
        <f>"3117617"</f>
        <v>3117617</v>
      </c>
      <c r="B32012" t="s">
        <v>28433</v>
      </c>
      <c r="C32012" t="s">
        <v>305</v>
      </c>
      <c r="D32012" s="21" t="s">
        <v>34</v>
      </c>
      <c r="E32012" s="21" t="s">
        <v>35</v>
      </c>
      <c r="F32012">
        <v>11310115</v>
      </c>
      <c r="G32012" t="s">
        <v>10519</v>
      </c>
      <c r="H32012" s="21">
        <v>518.91999999999996</v>
      </c>
    </row>
    <row r="32013" spans="1:8" customFormat="1" x14ac:dyDescent="0.25">
      <c r="A32013" t="str">
        <f>"2921627"</f>
        <v>2921627</v>
      </c>
      <c r="B32013" t="s">
        <v>24112</v>
      </c>
      <c r="C32013" t="s">
        <v>2365</v>
      </c>
      <c r="D32013" s="21" t="s">
        <v>34</v>
      </c>
      <c r="E32013" s="21" t="s">
        <v>71</v>
      </c>
      <c r="F32013">
        <v>3290263</v>
      </c>
      <c r="G32013" t="s">
        <v>4108</v>
      </c>
      <c r="H32013" s="21">
        <v>518.75</v>
      </c>
    </row>
    <row r="32014" spans="1:8" customFormat="1" x14ac:dyDescent="0.25">
      <c r="A32014" t="str">
        <f>"4513975"</f>
        <v>4513975</v>
      </c>
      <c r="B32014" t="s">
        <v>6098</v>
      </c>
      <c r="C32014" t="s">
        <v>209</v>
      </c>
      <c r="D32014" s="21" t="s">
        <v>34</v>
      </c>
      <c r="E32014" s="21" t="s">
        <v>71</v>
      </c>
      <c r="F32014">
        <v>4450309</v>
      </c>
      <c r="G32014" t="s">
        <v>15692</v>
      </c>
      <c r="H32014" s="21">
        <v>518.66999999999996</v>
      </c>
    </row>
    <row r="32015" spans="1:8" customFormat="1" x14ac:dyDescent="0.25">
      <c r="A32015" t="str">
        <f>"6948087"</f>
        <v>6948087</v>
      </c>
      <c r="B32015" t="s">
        <v>24527</v>
      </c>
      <c r="C32015" t="s">
        <v>631</v>
      </c>
      <c r="D32015" s="21" t="s">
        <v>34</v>
      </c>
      <c r="E32015" s="21" t="s">
        <v>35</v>
      </c>
      <c r="F32015">
        <v>1690052</v>
      </c>
      <c r="G32015" t="s">
        <v>273</v>
      </c>
      <c r="H32015" s="21">
        <v>518.66999999999996</v>
      </c>
    </row>
    <row r="32016" spans="1:8" customFormat="1" x14ac:dyDescent="0.25">
      <c r="A32016" t="str">
        <f>"665434"</f>
        <v>665434</v>
      </c>
      <c r="B32016" t="s">
        <v>23532</v>
      </c>
      <c r="C32016" t="s">
        <v>217</v>
      </c>
      <c r="D32016" s="21" t="s">
        <v>34</v>
      </c>
      <c r="E32016" s="21" t="s">
        <v>71</v>
      </c>
      <c r="F32016">
        <v>11660020</v>
      </c>
      <c r="G32016" t="s">
        <v>10247</v>
      </c>
      <c r="H32016" s="21">
        <v>518.66999999999996</v>
      </c>
    </row>
    <row r="32017" spans="1:8" customFormat="1" x14ac:dyDescent="0.25">
      <c r="A32017" t="str">
        <f>"408162"</f>
        <v>408162</v>
      </c>
      <c r="B32017" t="s">
        <v>3591</v>
      </c>
      <c r="C32017" t="s">
        <v>174</v>
      </c>
      <c r="D32017" s="21" t="s">
        <v>34</v>
      </c>
      <c r="E32017" s="21" t="s">
        <v>35</v>
      </c>
      <c r="F32017">
        <v>10400004</v>
      </c>
      <c r="G32017" t="s">
        <v>2929</v>
      </c>
      <c r="H32017" s="21">
        <v>518.66999999999996</v>
      </c>
    </row>
    <row r="32018" spans="1:8" customFormat="1" x14ac:dyDescent="0.25">
      <c r="A32018" t="str">
        <f>"3528945"</f>
        <v>3528945</v>
      </c>
      <c r="B32018" t="s">
        <v>2306</v>
      </c>
      <c r="C32018" t="s">
        <v>263</v>
      </c>
      <c r="D32018" s="21" t="s">
        <v>34</v>
      </c>
      <c r="E32018" s="21" t="s">
        <v>254</v>
      </c>
      <c r="F32018">
        <v>3350212</v>
      </c>
      <c r="G32018" t="s">
        <v>5154</v>
      </c>
      <c r="H32018" s="21">
        <v>518.66999999999996</v>
      </c>
    </row>
    <row r="32019" spans="1:8" customFormat="1" x14ac:dyDescent="0.25">
      <c r="A32019" t="str">
        <f>"1317135"</f>
        <v>1317135</v>
      </c>
      <c r="B32019" t="s">
        <v>22382</v>
      </c>
      <c r="C32019" t="s">
        <v>65</v>
      </c>
      <c r="D32019" s="21" t="s">
        <v>34</v>
      </c>
      <c r="E32019" s="21" t="s">
        <v>35</v>
      </c>
      <c r="F32019">
        <v>13130133</v>
      </c>
      <c r="G32019" t="s">
        <v>12333</v>
      </c>
      <c r="H32019" s="21">
        <v>518.66999999999996</v>
      </c>
    </row>
    <row r="32020" spans="1:8" customFormat="1" x14ac:dyDescent="0.25">
      <c r="A32020" t="str">
        <f>"3531527"</f>
        <v>3531527</v>
      </c>
      <c r="B32020" t="s">
        <v>23197</v>
      </c>
      <c r="C32020" t="s">
        <v>239</v>
      </c>
      <c r="D32020" s="21" t="s">
        <v>34</v>
      </c>
      <c r="E32020" s="21" t="s">
        <v>71</v>
      </c>
      <c r="F32020">
        <v>12850008</v>
      </c>
      <c r="G32020" t="s">
        <v>4248</v>
      </c>
      <c r="H32020" s="21">
        <v>518.66999999999996</v>
      </c>
    </row>
    <row r="32021" spans="1:8" customFormat="1" x14ac:dyDescent="0.25">
      <c r="A32021" t="str">
        <f>"4457506"</f>
        <v>4457506</v>
      </c>
      <c r="B32021" t="s">
        <v>28434</v>
      </c>
      <c r="C32021" t="s">
        <v>62</v>
      </c>
      <c r="D32021" s="21" t="s">
        <v>34</v>
      </c>
      <c r="E32021" s="21" t="s">
        <v>35</v>
      </c>
      <c r="F32021">
        <v>12440017</v>
      </c>
      <c r="G32021" t="s">
        <v>7683</v>
      </c>
      <c r="H32021" s="21">
        <v>518.66999999999996</v>
      </c>
    </row>
    <row r="32022" spans="1:8" customFormat="1" x14ac:dyDescent="0.25">
      <c r="A32022" t="str">
        <f>"8612586"</f>
        <v>8612586</v>
      </c>
      <c r="B32022" t="s">
        <v>21326</v>
      </c>
      <c r="C32022" t="s">
        <v>262</v>
      </c>
      <c r="D32022" s="21" t="s">
        <v>34</v>
      </c>
      <c r="E32022" s="21" t="s">
        <v>35</v>
      </c>
      <c r="F32022">
        <v>10860035</v>
      </c>
      <c r="G32022" t="s">
        <v>4019</v>
      </c>
      <c r="H32022" s="21">
        <v>518.66999999999996</v>
      </c>
    </row>
    <row r="32023" spans="1:8" customFormat="1" x14ac:dyDescent="0.25">
      <c r="A32023" t="str">
        <f>"9D2978"</f>
        <v>9D2978</v>
      </c>
      <c r="B32023" t="s">
        <v>28435</v>
      </c>
      <c r="C32023" t="s">
        <v>139</v>
      </c>
      <c r="D32023" s="21" t="s">
        <v>34</v>
      </c>
      <c r="E32023" s="21" t="s">
        <v>35</v>
      </c>
      <c r="F32023" t="s">
        <v>13222</v>
      </c>
      <c r="G32023" t="s">
        <v>13223</v>
      </c>
      <c r="H32023" s="21">
        <v>518.66999999999996</v>
      </c>
    </row>
    <row r="32024" spans="1:8" customFormat="1" x14ac:dyDescent="0.25">
      <c r="A32024" t="str">
        <f>"676519"</f>
        <v>676519</v>
      </c>
      <c r="B32024" t="s">
        <v>11460</v>
      </c>
      <c r="C32024" t="s">
        <v>462</v>
      </c>
      <c r="D32024" s="21" t="s">
        <v>34</v>
      </c>
      <c r="E32024" s="21" t="s">
        <v>71</v>
      </c>
      <c r="F32024">
        <v>6670187</v>
      </c>
      <c r="G32024" t="s">
        <v>240</v>
      </c>
      <c r="H32024" s="21">
        <v>518.66999999999996</v>
      </c>
    </row>
    <row r="32025" spans="1:8" customFormat="1" x14ac:dyDescent="0.25">
      <c r="A32025" t="str">
        <f>"2216430"</f>
        <v>2216430</v>
      </c>
      <c r="B32025" t="s">
        <v>22227</v>
      </c>
      <c r="C32025" t="s">
        <v>121</v>
      </c>
      <c r="D32025" s="21" t="s">
        <v>34</v>
      </c>
      <c r="E32025" s="21" t="s">
        <v>35</v>
      </c>
      <c r="F32025">
        <v>3220139</v>
      </c>
      <c r="G32025" t="s">
        <v>27114</v>
      </c>
      <c r="H32025" s="21">
        <v>518.66999999999996</v>
      </c>
    </row>
    <row r="32026" spans="1:8" customFormat="1" x14ac:dyDescent="0.25">
      <c r="A32026" t="str">
        <f>"7639672"</f>
        <v>7639672</v>
      </c>
      <c r="B32026" t="s">
        <v>3781</v>
      </c>
      <c r="C32026" t="s">
        <v>87</v>
      </c>
      <c r="D32026" s="21" t="s">
        <v>34</v>
      </c>
      <c r="E32026" s="21" t="s">
        <v>35</v>
      </c>
      <c r="F32026">
        <v>9760368</v>
      </c>
      <c r="G32026" t="s">
        <v>8267</v>
      </c>
      <c r="H32026" s="21">
        <v>518.66999999999996</v>
      </c>
    </row>
    <row r="32027" spans="1:8" customFormat="1" x14ac:dyDescent="0.25">
      <c r="A32027" t="str">
        <f>"619090"</f>
        <v>619090</v>
      </c>
      <c r="B32027" t="s">
        <v>24197</v>
      </c>
      <c r="C32027" t="s">
        <v>62</v>
      </c>
      <c r="D32027" s="21" t="s">
        <v>34</v>
      </c>
      <c r="E32027" s="21" t="s">
        <v>35</v>
      </c>
      <c r="F32027">
        <v>9610017</v>
      </c>
      <c r="G32027" t="s">
        <v>12194</v>
      </c>
      <c r="H32027" s="21">
        <v>518.66999999999996</v>
      </c>
    </row>
    <row r="32028" spans="1:8" customFormat="1" x14ac:dyDescent="0.25">
      <c r="A32028" t="str">
        <f>"845944"</f>
        <v>845944</v>
      </c>
      <c r="B32028" t="s">
        <v>21100</v>
      </c>
      <c r="C32028" t="s">
        <v>21101</v>
      </c>
      <c r="D32028" s="21" t="s">
        <v>34</v>
      </c>
      <c r="E32028" s="21" t="s">
        <v>35</v>
      </c>
      <c r="F32028">
        <v>13840005</v>
      </c>
      <c r="G32028" t="s">
        <v>2145</v>
      </c>
      <c r="H32028" s="21">
        <v>518.66999999999996</v>
      </c>
    </row>
    <row r="32029" spans="1:8" customFormat="1" x14ac:dyDescent="0.25">
      <c r="A32029" t="str">
        <f>"814125"</f>
        <v>814125</v>
      </c>
      <c r="B32029" t="s">
        <v>2613</v>
      </c>
      <c r="C32029" t="s">
        <v>2479</v>
      </c>
      <c r="D32029" s="21" t="s">
        <v>34</v>
      </c>
      <c r="E32029" s="21" t="s">
        <v>71</v>
      </c>
      <c r="F32029">
        <v>11810024</v>
      </c>
      <c r="G32029" t="s">
        <v>2095</v>
      </c>
      <c r="H32029" s="21">
        <v>518.66999999999996</v>
      </c>
    </row>
    <row r="32030" spans="1:8" customFormat="1" x14ac:dyDescent="0.25">
      <c r="A32030" t="str">
        <f>"6725245"</f>
        <v>6725245</v>
      </c>
      <c r="B32030" t="s">
        <v>20033</v>
      </c>
      <c r="C32030" t="s">
        <v>415</v>
      </c>
      <c r="D32030" s="21" t="s">
        <v>34</v>
      </c>
      <c r="E32030" s="21" t="s">
        <v>71</v>
      </c>
      <c r="F32030">
        <v>6670178</v>
      </c>
      <c r="G32030" t="s">
        <v>10001</v>
      </c>
      <c r="H32030" s="21">
        <v>518.66999999999996</v>
      </c>
    </row>
    <row r="32031" spans="1:8" customFormat="1" x14ac:dyDescent="0.25">
      <c r="A32031" t="str">
        <f>"083239"</f>
        <v>083239</v>
      </c>
      <c r="B32031" t="s">
        <v>21111</v>
      </c>
      <c r="C32031" t="s">
        <v>171</v>
      </c>
      <c r="D32031" s="21" t="s">
        <v>34</v>
      </c>
      <c r="E32031" s="21" t="s">
        <v>254</v>
      </c>
      <c r="F32031">
        <v>6080015</v>
      </c>
      <c r="G32031" t="s">
        <v>15205</v>
      </c>
      <c r="H32031" s="21">
        <v>518.66999999999996</v>
      </c>
    </row>
    <row r="32032" spans="1:8" customFormat="1" x14ac:dyDescent="0.25">
      <c r="A32032" t="str">
        <f>"6948330"</f>
        <v>6948330</v>
      </c>
      <c r="B32032" t="s">
        <v>23079</v>
      </c>
      <c r="C32032" t="s">
        <v>486</v>
      </c>
      <c r="D32032" s="21" t="s">
        <v>34</v>
      </c>
      <c r="E32032" s="21" t="s">
        <v>35</v>
      </c>
      <c r="F32032">
        <v>1690107</v>
      </c>
      <c r="G32032" t="s">
        <v>4163</v>
      </c>
      <c r="H32032" s="21">
        <v>518.66999999999996</v>
      </c>
    </row>
    <row r="32033" spans="1:8" customFormat="1" x14ac:dyDescent="0.25">
      <c r="A32033" t="str">
        <f>"284145"</f>
        <v>284145</v>
      </c>
      <c r="B32033" t="s">
        <v>20409</v>
      </c>
      <c r="C32033" t="s">
        <v>253</v>
      </c>
      <c r="D32033" s="21" t="s">
        <v>34</v>
      </c>
      <c r="E32033" s="21" t="s">
        <v>254</v>
      </c>
      <c r="F32033">
        <v>4280048</v>
      </c>
      <c r="G32033" t="s">
        <v>3053</v>
      </c>
      <c r="H32033" s="21">
        <v>518.66999999999996</v>
      </c>
    </row>
    <row r="32034" spans="1:8" customFormat="1" x14ac:dyDescent="0.25">
      <c r="A32034" t="str">
        <f>"516720"</f>
        <v>516720</v>
      </c>
      <c r="B32034" t="s">
        <v>1198</v>
      </c>
      <c r="C32034" t="s">
        <v>462</v>
      </c>
      <c r="D32034" s="21" t="s">
        <v>34</v>
      </c>
      <c r="E32034" s="21" t="s">
        <v>35</v>
      </c>
      <c r="F32034">
        <v>6510074</v>
      </c>
      <c r="G32034" t="s">
        <v>20151</v>
      </c>
      <c r="H32034" s="21">
        <v>518.66999999999996</v>
      </c>
    </row>
    <row r="32035" spans="1:8" customFormat="1" x14ac:dyDescent="0.25">
      <c r="A32035" t="str">
        <f>"7522550"</f>
        <v>7522550</v>
      </c>
      <c r="B32035" t="s">
        <v>6280</v>
      </c>
      <c r="C32035" t="s">
        <v>169</v>
      </c>
      <c r="D32035" s="21" t="s">
        <v>34</v>
      </c>
      <c r="E32035" s="21" t="s">
        <v>35</v>
      </c>
      <c r="F32035">
        <v>8750117</v>
      </c>
      <c r="G32035" t="s">
        <v>3516</v>
      </c>
      <c r="H32035" s="21">
        <v>518.54</v>
      </c>
    </row>
    <row r="32036" spans="1:8" customFormat="1" x14ac:dyDescent="0.25">
      <c r="A32036" t="str">
        <f>"182877"</f>
        <v>182877</v>
      </c>
      <c r="B32036" t="s">
        <v>8911</v>
      </c>
      <c r="C32036" t="s">
        <v>1539</v>
      </c>
      <c r="D32036" s="21" t="s">
        <v>34</v>
      </c>
      <c r="E32036" s="21" t="s">
        <v>254</v>
      </c>
      <c r="F32036">
        <v>4180057</v>
      </c>
      <c r="G32036" t="s">
        <v>9021</v>
      </c>
      <c r="H32036" s="21">
        <v>518.54</v>
      </c>
    </row>
    <row r="32037" spans="1:8" customFormat="1" x14ac:dyDescent="0.25">
      <c r="A32037" t="str">
        <f>"4529503"</f>
        <v>4529503</v>
      </c>
      <c r="B32037" t="s">
        <v>2199</v>
      </c>
      <c r="C32037" t="s">
        <v>2479</v>
      </c>
      <c r="D32037" s="21" t="s">
        <v>34</v>
      </c>
      <c r="E32037" s="21" t="s">
        <v>254</v>
      </c>
      <c r="F32037">
        <v>4450757</v>
      </c>
      <c r="G32037" t="s">
        <v>3829</v>
      </c>
      <c r="H32037" s="21">
        <v>518.5</v>
      </c>
    </row>
    <row r="32038" spans="1:8" customFormat="1" x14ac:dyDescent="0.25">
      <c r="A32038" t="str">
        <f>"8017598"</f>
        <v>8017598</v>
      </c>
      <c r="B32038" t="s">
        <v>14129</v>
      </c>
      <c r="C32038" t="s">
        <v>209</v>
      </c>
      <c r="D32038" s="21" t="s">
        <v>34</v>
      </c>
      <c r="E32038" s="21" t="s">
        <v>71</v>
      </c>
      <c r="F32038">
        <v>7800064</v>
      </c>
      <c r="G32038" t="s">
        <v>4496</v>
      </c>
      <c r="H32038" s="21">
        <v>518.5</v>
      </c>
    </row>
    <row r="32039" spans="1:8" customFormat="1" x14ac:dyDescent="0.25">
      <c r="A32039" t="str">
        <f>"746332"</f>
        <v>746332</v>
      </c>
      <c r="B32039" t="s">
        <v>24022</v>
      </c>
      <c r="C32039" t="s">
        <v>55</v>
      </c>
      <c r="D32039" s="21" t="s">
        <v>34</v>
      </c>
      <c r="E32039" s="21" t="s">
        <v>35</v>
      </c>
      <c r="F32039">
        <v>1740020</v>
      </c>
      <c r="G32039" t="s">
        <v>881</v>
      </c>
      <c r="H32039" s="21">
        <v>518.5</v>
      </c>
    </row>
    <row r="32040" spans="1:8" customFormat="1" x14ac:dyDescent="0.25">
      <c r="A32040" t="str">
        <f>"3730504"</f>
        <v>3730504</v>
      </c>
      <c r="B32040" t="s">
        <v>461</v>
      </c>
      <c r="C32040" t="s">
        <v>269</v>
      </c>
      <c r="D32040" s="21" t="s">
        <v>34</v>
      </c>
      <c r="E32040" s="21" t="s">
        <v>71</v>
      </c>
      <c r="F32040">
        <v>4370730</v>
      </c>
      <c r="G32040" t="s">
        <v>18791</v>
      </c>
      <c r="H32040" s="21">
        <v>518.5</v>
      </c>
    </row>
    <row r="32041" spans="1:8" customFormat="1" x14ac:dyDescent="0.25">
      <c r="A32041" t="str">
        <f>"8526533"</f>
        <v>8526533</v>
      </c>
      <c r="B32041" t="s">
        <v>23853</v>
      </c>
      <c r="C32041" t="s">
        <v>1665</v>
      </c>
      <c r="D32041" s="21" t="s">
        <v>34</v>
      </c>
      <c r="E32041" s="21" t="s">
        <v>254</v>
      </c>
      <c r="F32041">
        <v>12850001</v>
      </c>
      <c r="G32041" t="s">
        <v>1197</v>
      </c>
      <c r="H32041" s="21">
        <v>518.5</v>
      </c>
    </row>
    <row r="32042" spans="1:8" customFormat="1" x14ac:dyDescent="0.25">
      <c r="A32042" t="str">
        <f>"923668"</f>
        <v>923668</v>
      </c>
      <c r="B32042" t="s">
        <v>6884</v>
      </c>
      <c r="C32042" t="s">
        <v>2479</v>
      </c>
      <c r="D32042" s="21" t="s">
        <v>34</v>
      </c>
      <c r="E32042" s="21" t="s">
        <v>35</v>
      </c>
      <c r="F32042">
        <v>7021010</v>
      </c>
      <c r="G32042" t="s">
        <v>10493</v>
      </c>
      <c r="H32042" s="21">
        <v>518.5</v>
      </c>
    </row>
    <row r="32043" spans="1:8" customFormat="1" x14ac:dyDescent="0.25">
      <c r="A32043" t="str">
        <f>"897150"</f>
        <v>897150</v>
      </c>
      <c r="B32043" t="s">
        <v>21813</v>
      </c>
      <c r="C32043" t="s">
        <v>151</v>
      </c>
      <c r="D32043" s="21" t="s">
        <v>34</v>
      </c>
      <c r="E32043" s="21" t="s">
        <v>71</v>
      </c>
      <c r="F32043">
        <v>2890061</v>
      </c>
      <c r="G32043" t="s">
        <v>13076</v>
      </c>
      <c r="H32043" s="21">
        <v>518.5</v>
      </c>
    </row>
    <row r="32044" spans="1:8" customFormat="1" x14ac:dyDescent="0.25">
      <c r="A32044" t="str">
        <f>"8019792"</f>
        <v>8019792</v>
      </c>
      <c r="B32044" t="s">
        <v>28436</v>
      </c>
      <c r="C32044" t="s">
        <v>1803</v>
      </c>
      <c r="D32044" s="21" t="s">
        <v>34</v>
      </c>
      <c r="E32044" s="21" t="s">
        <v>35</v>
      </c>
      <c r="F32044">
        <v>7800066</v>
      </c>
      <c r="G32044" t="s">
        <v>14130</v>
      </c>
      <c r="H32044" s="21">
        <v>518.5</v>
      </c>
    </row>
    <row r="32045" spans="1:8" customFormat="1" x14ac:dyDescent="0.25">
      <c r="A32045" t="str">
        <f>"668473"</f>
        <v>668473</v>
      </c>
      <c r="B32045" t="s">
        <v>16624</v>
      </c>
      <c r="C32045" t="s">
        <v>288</v>
      </c>
      <c r="D32045" s="21" t="s">
        <v>34</v>
      </c>
      <c r="E32045" s="21" t="s">
        <v>35</v>
      </c>
      <c r="F32045">
        <v>11660001</v>
      </c>
      <c r="G32045" t="s">
        <v>8203</v>
      </c>
      <c r="H32045" s="21">
        <v>518.5</v>
      </c>
    </row>
    <row r="32046" spans="1:8" customFormat="1" x14ac:dyDescent="0.25">
      <c r="A32046" t="str">
        <f>"5326949"</f>
        <v>5326949</v>
      </c>
      <c r="B32046" t="s">
        <v>28437</v>
      </c>
      <c r="C32046" t="s">
        <v>96</v>
      </c>
      <c r="D32046" s="21" t="s">
        <v>34</v>
      </c>
      <c r="E32046" s="21" t="s">
        <v>35</v>
      </c>
      <c r="F32046">
        <v>12530018</v>
      </c>
      <c r="G32046" t="s">
        <v>8768</v>
      </c>
      <c r="H32046" s="21">
        <v>518.5</v>
      </c>
    </row>
    <row r="32047" spans="1:8" customFormat="1" x14ac:dyDescent="0.25">
      <c r="A32047" t="str">
        <f>"3426576"</f>
        <v>3426576</v>
      </c>
      <c r="B32047" t="s">
        <v>28438</v>
      </c>
      <c r="C32047" t="s">
        <v>12639</v>
      </c>
      <c r="D32047" s="21" t="s">
        <v>34</v>
      </c>
      <c r="E32047" s="21" t="s">
        <v>35</v>
      </c>
      <c r="F32047">
        <v>11340071</v>
      </c>
      <c r="G32047" t="s">
        <v>17733</v>
      </c>
      <c r="H32047" s="21">
        <v>518.5</v>
      </c>
    </row>
    <row r="32048" spans="1:8" customFormat="1" x14ac:dyDescent="0.25">
      <c r="A32048" t="str">
        <f>"4452637"</f>
        <v>4452637</v>
      </c>
      <c r="B32048" t="s">
        <v>10455</v>
      </c>
      <c r="C32048" t="s">
        <v>656</v>
      </c>
      <c r="D32048" s="21" t="s">
        <v>34</v>
      </c>
      <c r="E32048" s="21" t="s">
        <v>35</v>
      </c>
      <c r="F32048">
        <v>12440087</v>
      </c>
      <c r="G32048" t="s">
        <v>1860</v>
      </c>
      <c r="H32048" s="21">
        <v>518.5</v>
      </c>
    </row>
    <row r="32049" spans="1:8" customFormat="1" x14ac:dyDescent="0.25">
      <c r="A32049" t="str">
        <f>"9143687"</f>
        <v>9143687</v>
      </c>
      <c r="B32049" t="s">
        <v>8566</v>
      </c>
      <c r="C32049" t="s">
        <v>576</v>
      </c>
      <c r="D32049" s="21" t="s">
        <v>34</v>
      </c>
      <c r="E32049" s="21" t="s">
        <v>35</v>
      </c>
      <c r="F32049">
        <v>8910642</v>
      </c>
      <c r="G32049" t="s">
        <v>27027</v>
      </c>
      <c r="H32049" s="21">
        <v>518.41999999999996</v>
      </c>
    </row>
    <row r="32050" spans="1:8" customFormat="1" x14ac:dyDescent="0.25">
      <c r="A32050" t="str">
        <f>"3426064"</f>
        <v>3426064</v>
      </c>
      <c r="B32050" t="s">
        <v>16593</v>
      </c>
      <c r="C32050" t="s">
        <v>269</v>
      </c>
      <c r="D32050" s="21" t="s">
        <v>34</v>
      </c>
      <c r="E32050" s="21" t="s">
        <v>35</v>
      </c>
      <c r="F32050">
        <v>11340007</v>
      </c>
      <c r="G32050" t="s">
        <v>2278</v>
      </c>
      <c r="H32050" s="21">
        <v>518.41999999999996</v>
      </c>
    </row>
    <row r="32051" spans="1:8" customFormat="1" x14ac:dyDescent="0.25">
      <c r="A32051" t="str">
        <f>"447173"</f>
        <v>447173</v>
      </c>
      <c r="B32051" t="s">
        <v>22723</v>
      </c>
      <c r="C32051" t="s">
        <v>236</v>
      </c>
      <c r="D32051" s="21" t="s">
        <v>34</v>
      </c>
      <c r="E32051" s="21" t="s">
        <v>6185</v>
      </c>
      <c r="F32051">
        <v>12440038</v>
      </c>
      <c r="G32051" t="s">
        <v>2057</v>
      </c>
      <c r="H32051" s="21">
        <v>518.41999999999996</v>
      </c>
    </row>
    <row r="32052" spans="1:8" customFormat="1" x14ac:dyDescent="0.25">
      <c r="A32052" t="str">
        <f>"3333476"</f>
        <v>3333476</v>
      </c>
      <c r="B32052" t="s">
        <v>22525</v>
      </c>
      <c r="C32052" t="s">
        <v>415</v>
      </c>
      <c r="D32052" s="21" t="s">
        <v>34</v>
      </c>
      <c r="E32052" s="21" t="s">
        <v>71</v>
      </c>
      <c r="F32052">
        <v>10330125</v>
      </c>
      <c r="G32052" t="s">
        <v>3753</v>
      </c>
      <c r="H32052" s="21">
        <v>518.29</v>
      </c>
    </row>
    <row r="32053" spans="1:8" customFormat="1" x14ac:dyDescent="0.25">
      <c r="A32053" t="str">
        <f>"5960270"</f>
        <v>5960270</v>
      </c>
      <c r="B32053" t="s">
        <v>4780</v>
      </c>
      <c r="C32053" t="s">
        <v>43</v>
      </c>
      <c r="D32053" s="21" t="s">
        <v>34</v>
      </c>
      <c r="E32053" s="21" t="s">
        <v>35</v>
      </c>
      <c r="F32053">
        <v>7590405</v>
      </c>
      <c r="G32053" t="s">
        <v>11198</v>
      </c>
      <c r="H32053" s="21">
        <v>518.16999999999996</v>
      </c>
    </row>
    <row r="32054" spans="1:8" customFormat="1" x14ac:dyDescent="0.25">
      <c r="A32054" t="str">
        <f>"8019789"</f>
        <v>8019789</v>
      </c>
      <c r="B32054" t="s">
        <v>28439</v>
      </c>
      <c r="C32054" t="s">
        <v>198</v>
      </c>
      <c r="D32054" s="21" t="s">
        <v>34</v>
      </c>
      <c r="E32054" s="21" t="s">
        <v>71</v>
      </c>
      <c r="F32054">
        <v>7800108</v>
      </c>
      <c r="G32054" t="s">
        <v>13093</v>
      </c>
      <c r="H32054" s="21">
        <v>518.16999999999996</v>
      </c>
    </row>
    <row r="32055" spans="1:8" customFormat="1" x14ac:dyDescent="0.25">
      <c r="A32055" t="str">
        <f>"46948"</f>
        <v>46948</v>
      </c>
      <c r="B32055" t="s">
        <v>20170</v>
      </c>
      <c r="C32055" t="s">
        <v>253</v>
      </c>
      <c r="D32055" s="21" t="s">
        <v>34</v>
      </c>
      <c r="E32055" s="21" t="s">
        <v>6185</v>
      </c>
      <c r="F32055">
        <v>11120043</v>
      </c>
      <c r="G32055" t="s">
        <v>9111</v>
      </c>
      <c r="H32055" s="21">
        <v>518.16999999999996</v>
      </c>
    </row>
    <row r="32056" spans="1:8" customFormat="1" x14ac:dyDescent="0.25">
      <c r="A32056" t="str">
        <f>"167555"</f>
        <v>167555</v>
      </c>
      <c r="B32056" t="s">
        <v>2505</v>
      </c>
      <c r="C32056" t="s">
        <v>263</v>
      </c>
      <c r="D32056" s="21" t="s">
        <v>34</v>
      </c>
      <c r="E32056" s="21" t="s">
        <v>71</v>
      </c>
      <c r="F32056">
        <v>10160071</v>
      </c>
      <c r="G32056" t="s">
        <v>21857</v>
      </c>
      <c r="H32056" s="21">
        <v>518.16999999999996</v>
      </c>
    </row>
    <row r="32057" spans="1:8" customFormat="1" x14ac:dyDescent="0.25">
      <c r="A32057" t="str">
        <f>"7215535"</f>
        <v>7215535</v>
      </c>
      <c r="B32057" t="s">
        <v>6507</v>
      </c>
      <c r="C32057" t="s">
        <v>174</v>
      </c>
      <c r="D32057" s="21" t="s">
        <v>34</v>
      </c>
      <c r="E32057" s="21" t="s">
        <v>35</v>
      </c>
      <c r="F32057">
        <v>12720029</v>
      </c>
      <c r="G32057" t="s">
        <v>11575</v>
      </c>
      <c r="H32057" s="21">
        <v>518.16999999999996</v>
      </c>
    </row>
    <row r="32058" spans="1:8" customFormat="1" x14ac:dyDescent="0.25">
      <c r="A32058" t="str">
        <f>"1613994"</f>
        <v>1613994</v>
      </c>
      <c r="B32058" t="s">
        <v>24153</v>
      </c>
      <c r="C32058" t="s">
        <v>486</v>
      </c>
      <c r="D32058" s="21" t="s">
        <v>34</v>
      </c>
      <c r="E32058" s="21" t="s">
        <v>71</v>
      </c>
      <c r="F32058">
        <v>10160002</v>
      </c>
      <c r="G32058" t="s">
        <v>15000</v>
      </c>
      <c r="H32058" s="21">
        <v>518.16999999999996</v>
      </c>
    </row>
    <row r="32059" spans="1:8" customFormat="1" x14ac:dyDescent="0.25">
      <c r="A32059" t="str">
        <f>"848342"</f>
        <v>848342</v>
      </c>
      <c r="B32059" t="s">
        <v>11408</v>
      </c>
      <c r="C32059" t="s">
        <v>253</v>
      </c>
      <c r="D32059" s="21" t="s">
        <v>34</v>
      </c>
      <c r="E32059" s="21" t="s">
        <v>254</v>
      </c>
      <c r="F32059">
        <v>13840038</v>
      </c>
      <c r="G32059" t="s">
        <v>8931</v>
      </c>
      <c r="H32059" s="21">
        <v>518.16999999999996</v>
      </c>
    </row>
    <row r="32060" spans="1:8" customFormat="1" x14ac:dyDescent="0.25">
      <c r="A32060" t="str">
        <f>"6726445"</f>
        <v>6726445</v>
      </c>
      <c r="B32060" t="s">
        <v>28440</v>
      </c>
      <c r="C32060" t="s">
        <v>156</v>
      </c>
      <c r="D32060" s="21" t="s">
        <v>34</v>
      </c>
      <c r="E32060" s="21" t="s">
        <v>35</v>
      </c>
      <c r="F32060">
        <v>6670267</v>
      </c>
      <c r="G32060" t="s">
        <v>2244</v>
      </c>
      <c r="H32060" s="21">
        <v>518.16999999999996</v>
      </c>
    </row>
    <row r="32061" spans="1:8" customFormat="1" x14ac:dyDescent="0.25">
      <c r="A32061" t="str">
        <f>"8520848"</f>
        <v>8520848</v>
      </c>
      <c r="B32061" t="s">
        <v>22724</v>
      </c>
      <c r="C32061" t="s">
        <v>87</v>
      </c>
      <c r="D32061" s="21" t="s">
        <v>34</v>
      </c>
      <c r="E32061" s="21" t="s">
        <v>35</v>
      </c>
      <c r="F32061">
        <v>12850134</v>
      </c>
      <c r="G32061" t="s">
        <v>2359</v>
      </c>
      <c r="H32061" s="21">
        <v>518.16999999999996</v>
      </c>
    </row>
    <row r="32062" spans="1:8" customFormat="1" x14ac:dyDescent="0.25">
      <c r="A32062" t="str">
        <f>"9247950"</f>
        <v>9247950</v>
      </c>
      <c r="B32062" t="s">
        <v>1180</v>
      </c>
      <c r="C32062" t="s">
        <v>1025</v>
      </c>
      <c r="D32062" s="21" t="s">
        <v>34</v>
      </c>
      <c r="E32062" s="21" t="s">
        <v>71</v>
      </c>
      <c r="F32062">
        <v>8920075</v>
      </c>
      <c r="G32062" t="s">
        <v>317</v>
      </c>
      <c r="H32062" s="21">
        <v>518.16999999999996</v>
      </c>
    </row>
    <row r="32063" spans="1:8" customFormat="1" x14ac:dyDescent="0.25">
      <c r="A32063" t="str">
        <f>"6311394"</f>
        <v>6311394</v>
      </c>
      <c r="B32063" t="s">
        <v>22250</v>
      </c>
      <c r="C32063" t="s">
        <v>2100</v>
      </c>
      <c r="D32063" s="21" t="s">
        <v>34</v>
      </c>
      <c r="E32063" s="21" t="s">
        <v>71</v>
      </c>
      <c r="F32063">
        <v>1630331</v>
      </c>
      <c r="G32063" t="s">
        <v>12919</v>
      </c>
      <c r="H32063" s="21">
        <v>518.16999999999996</v>
      </c>
    </row>
    <row r="32064" spans="1:8" customFormat="1" x14ac:dyDescent="0.25">
      <c r="A32064" t="str">
        <f>"9141150"</f>
        <v>9141150</v>
      </c>
      <c r="B32064" t="s">
        <v>21791</v>
      </c>
      <c r="C32064" t="s">
        <v>415</v>
      </c>
      <c r="D32064" s="21" t="s">
        <v>34</v>
      </c>
      <c r="E32064" s="21" t="s">
        <v>254</v>
      </c>
      <c r="F32064">
        <v>8910578</v>
      </c>
      <c r="G32064" t="s">
        <v>5776</v>
      </c>
      <c r="H32064" s="21">
        <v>518.16999999999996</v>
      </c>
    </row>
    <row r="32065" spans="1:8" customFormat="1" x14ac:dyDescent="0.25">
      <c r="A32065" t="str">
        <f>"633161"</f>
        <v>633161</v>
      </c>
      <c r="B32065" t="s">
        <v>13697</v>
      </c>
      <c r="C32065" t="s">
        <v>1142</v>
      </c>
      <c r="D32065" s="21" t="s">
        <v>34</v>
      </c>
      <c r="E32065" s="21" t="s">
        <v>1089</v>
      </c>
      <c r="F32065">
        <v>1630287</v>
      </c>
      <c r="G32065" t="s">
        <v>9906</v>
      </c>
      <c r="H32065" s="21">
        <v>518.16999999999996</v>
      </c>
    </row>
    <row r="32066" spans="1:8" customFormat="1" x14ac:dyDescent="0.25">
      <c r="A32066" t="str">
        <f>"461769"</f>
        <v>461769</v>
      </c>
      <c r="B32066" t="s">
        <v>5291</v>
      </c>
      <c r="C32066" t="s">
        <v>1468</v>
      </c>
      <c r="D32066" s="21" t="s">
        <v>34</v>
      </c>
      <c r="E32066" s="21" t="s">
        <v>35</v>
      </c>
      <c r="F32066">
        <v>11460023</v>
      </c>
      <c r="G32066" t="s">
        <v>5430</v>
      </c>
      <c r="H32066" s="21">
        <v>518.16999999999996</v>
      </c>
    </row>
    <row r="32067" spans="1:8" customFormat="1" x14ac:dyDescent="0.25">
      <c r="A32067" t="str">
        <f>"853509"</f>
        <v>853509</v>
      </c>
      <c r="B32067" t="s">
        <v>383</v>
      </c>
      <c r="C32067" t="s">
        <v>1025</v>
      </c>
      <c r="D32067" s="21" t="s">
        <v>34</v>
      </c>
      <c r="E32067" s="21" t="s">
        <v>35</v>
      </c>
      <c r="F32067">
        <v>12851025</v>
      </c>
      <c r="G32067" t="s">
        <v>26858</v>
      </c>
      <c r="H32067" s="21">
        <v>518.16999999999996</v>
      </c>
    </row>
    <row r="32068" spans="1:8" customFormat="1" x14ac:dyDescent="0.25">
      <c r="A32068" t="str">
        <f>"9142907"</f>
        <v>9142907</v>
      </c>
      <c r="B32068" t="s">
        <v>6751</v>
      </c>
      <c r="C32068" t="s">
        <v>55</v>
      </c>
      <c r="D32068" s="21" t="s">
        <v>34</v>
      </c>
      <c r="E32068" s="21" t="s">
        <v>35</v>
      </c>
      <c r="F32068">
        <v>8910861</v>
      </c>
      <c r="G32068" t="s">
        <v>1120</v>
      </c>
      <c r="H32068" s="21">
        <v>518.16999999999996</v>
      </c>
    </row>
    <row r="32069" spans="1:8" customFormat="1" x14ac:dyDescent="0.25">
      <c r="A32069" t="str">
        <f>"2940054"</f>
        <v>2940054</v>
      </c>
      <c r="B32069" t="s">
        <v>1252</v>
      </c>
      <c r="C32069" t="s">
        <v>33</v>
      </c>
      <c r="D32069" s="21" t="s">
        <v>34</v>
      </c>
      <c r="E32069" s="21" t="s">
        <v>35</v>
      </c>
      <c r="F32069">
        <v>3290224</v>
      </c>
      <c r="G32069" t="s">
        <v>7829</v>
      </c>
      <c r="H32069" s="21">
        <v>518.16999999999996</v>
      </c>
    </row>
    <row r="32070" spans="1:8" customFormat="1" x14ac:dyDescent="0.25">
      <c r="A32070" t="str">
        <f>"4935451"</f>
        <v>4935451</v>
      </c>
      <c r="B32070" t="s">
        <v>20112</v>
      </c>
      <c r="C32070" t="s">
        <v>10958</v>
      </c>
      <c r="D32070" s="21" t="s">
        <v>34</v>
      </c>
      <c r="E32070" s="21" t="s">
        <v>35</v>
      </c>
      <c r="F32070">
        <v>12490124</v>
      </c>
      <c r="G32070" t="s">
        <v>677</v>
      </c>
      <c r="H32070" s="21">
        <v>518.16999999999996</v>
      </c>
    </row>
    <row r="32071" spans="1:8" customFormat="1" x14ac:dyDescent="0.25">
      <c r="A32071" t="str">
        <f>"3341954"</f>
        <v>3341954</v>
      </c>
      <c r="B32071" t="s">
        <v>22267</v>
      </c>
      <c r="C32071" t="s">
        <v>114</v>
      </c>
      <c r="D32071" s="21" t="s">
        <v>34</v>
      </c>
      <c r="E32071" s="21" t="s">
        <v>35</v>
      </c>
      <c r="F32071">
        <v>10330032</v>
      </c>
      <c r="G32071" t="s">
        <v>4408</v>
      </c>
      <c r="H32071" s="21">
        <v>518.16999999999996</v>
      </c>
    </row>
    <row r="32072" spans="1:8" customFormat="1" x14ac:dyDescent="0.25">
      <c r="A32072" t="str">
        <f>"4931579"</f>
        <v>4931579</v>
      </c>
      <c r="B32072" t="s">
        <v>650</v>
      </c>
      <c r="C32072" t="s">
        <v>169</v>
      </c>
      <c r="D32072" s="21" t="s">
        <v>34</v>
      </c>
      <c r="E32072" s="21" t="s">
        <v>71</v>
      </c>
      <c r="F32072">
        <v>12490006</v>
      </c>
      <c r="G32072" t="s">
        <v>1480</v>
      </c>
      <c r="H32072" s="21">
        <v>518.16999999999996</v>
      </c>
    </row>
    <row r="32073" spans="1:8" customFormat="1" x14ac:dyDescent="0.25">
      <c r="A32073" t="str">
        <f>"188579"</f>
        <v>188579</v>
      </c>
      <c r="B32073" t="s">
        <v>623</v>
      </c>
      <c r="C32073" t="s">
        <v>60</v>
      </c>
      <c r="D32073" s="21" t="s">
        <v>34</v>
      </c>
      <c r="E32073" s="21" t="s">
        <v>35</v>
      </c>
      <c r="F32073">
        <v>4180729</v>
      </c>
      <c r="G32073" t="s">
        <v>15734</v>
      </c>
      <c r="H32073" s="21">
        <v>518.16999999999996</v>
      </c>
    </row>
    <row r="32074" spans="1:8" customFormat="1" x14ac:dyDescent="0.25">
      <c r="A32074" t="str">
        <f>"8815420"</f>
        <v>8815420</v>
      </c>
      <c r="B32074" t="s">
        <v>19297</v>
      </c>
      <c r="C32074" t="s">
        <v>381</v>
      </c>
      <c r="D32074" s="21" t="s">
        <v>34</v>
      </c>
      <c r="E32074" s="21" t="s">
        <v>71</v>
      </c>
      <c r="F32074">
        <v>6880066</v>
      </c>
      <c r="G32074" t="s">
        <v>4833</v>
      </c>
      <c r="H32074" s="21">
        <v>518.16999999999996</v>
      </c>
    </row>
    <row r="32075" spans="1:8" customFormat="1" x14ac:dyDescent="0.25">
      <c r="A32075" t="str">
        <f>"8019585"</f>
        <v>8019585</v>
      </c>
      <c r="B32075" t="s">
        <v>28441</v>
      </c>
      <c r="C32075" t="s">
        <v>206</v>
      </c>
      <c r="D32075" s="21" t="s">
        <v>34</v>
      </c>
      <c r="E32075" s="21" t="s">
        <v>35</v>
      </c>
      <c r="F32075">
        <v>7800035</v>
      </c>
      <c r="G32075" t="s">
        <v>12990</v>
      </c>
      <c r="H32075" s="21">
        <v>518.16999999999996</v>
      </c>
    </row>
    <row r="32076" spans="1:8" customFormat="1" x14ac:dyDescent="0.25">
      <c r="A32076" t="str">
        <f>"9215087"</f>
        <v>9215087</v>
      </c>
      <c r="B32076" t="s">
        <v>20580</v>
      </c>
      <c r="C32076" t="s">
        <v>55</v>
      </c>
      <c r="D32076" s="21" t="s">
        <v>34</v>
      </c>
      <c r="E32076" s="21" t="s">
        <v>254</v>
      </c>
      <c r="F32076">
        <v>8921164</v>
      </c>
      <c r="G32076" t="s">
        <v>5203</v>
      </c>
      <c r="H32076" s="21">
        <v>518.04</v>
      </c>
    </row>
    <row r="32077" spans="1:8" customFormat="1" x14ac:dyDescent="0.25">
      <c r="A32077" t="str">
        <f>"2617799"</f>
        <v>2617799</v>
      </c>
      <c r="B32077" t="s">
        <v>17277</v>
      </c>
      <c r="C32077" t="s">
        <v>1620</v>
      </c>
      <c r="D32077" s="21" t="s">
        <v>34</v>
      </c>
      <c r="E32077" s="21" t="s">
        <v>35</v>
      </c>
      <c r="F32077">
        <v>1630185</v>
      </c>
      <c r="G32077" t="s">
        <v>858</v>
      </c>
      <c r="H32077" s="21">
        <v>518.04</v>
      </c>
    </row>
    <row r="32078" spans="1:8" customFormat="1" x14ac:dyDescent="0.25">
      <c r="A32078" t="str">
        <f>"5110082"</f>
        <v>5110082</v>
      </c>
      <c r="B32078" t="s">
        <v>690</v>
      </c>
      <c r="C32078" t="s">
        <v>462</v>
      </c>
      <c r="D32078" s="21" t="s">
        <v>34</v>
      </c>
      <c r="E32078" s="21" t="s">
        <v>71</v>
      </c>
      <c r="F32078">
        <v>6510020</v>
      </c>
      <c r="G32078" t="s">
        <v>3013</v>
      </c>
      <c r="H32078" s="21">
        <v>518</v>
      </c>
    </row>
    <row r="32079" spans="1:8" customFormat="1" x14ac:dyDescent="0.25">
      <c r="A32079" t="str">
        <f>"4455271"</f>
        <v>4455271</v>
      </c>
      <c r="B32079" t="s">
        <v>20582</v>
      </c>
      <c r="C32079" t="s">
        <v>1665</v>
      </c>
      <c r="D32079" s="21" t="s">
        <v>34</v>
      </c>
      <c r="E32079" s="21" t="s">
        <v>254</v>
      </c>
      <c r="F32079">
        <v>12440116</v>
      </c>
      <c r="G32079" t="s">
        <v>26673</v>
      </c>
      <c r="H32079" s="21">
        <v>518</v>
      </c>
    </row>
    <row r="32080" spans="1:8" customFormat="1" x14ac:dyDescent="0.25">
      <c r="A32080" t="str">
        <f>"3728728"</f>
        <v>3728728</v>
      </c>
      <c r="B32080" t="s">
        <v>146</v>
      </c>
      <c r="C32080" t="s">
        <v>249</v>
      </c>
      <c r="D32080" s="21" t="s">
        <v>34</v>
      </c>
      <c r="E32080" s="21" t="s">
        <v>35</v>
      </c>
      <c r="F32080">
        <v>4370289</v>
      </c>
      <c r="G32080" t="s">
        <v>7887</v>
      </c>
      <c r="H32080" s="21">
        <v>518</v>
      </c>
    </row>
    <row r="32081" spans="1:8" customFormat="1" x14ac:dyDescent="0.25">
      <c r="A32081" t="str">
        <f>"5984128"</f>
        <v>5984128</v>
      </c>
      <c r="B32081" t="s">
        <v>28442</v>
      </c>
      <c r="C32081" t="s">
        <v>2276</v>
      </c>
      <c r="D32081" s="21" t="s">
        <v>34</v>
      </c>
      <c r="E32081" s="21" t="s">
        <v>71</v>
      </c>
      <c r="F32081">
        <v>7590414</v>
      </c>
      <c r="G32081" t="s">
        <v>10056</v>
      </c>
      <c r="H32081" s="21">
        <v>518</v>
      </c>
    </row>
    <row r="32082" spans="1:8" customFormat="1" x14ac:dyDescent="0.25">
      <c r="A32082" t="str">
        <f>"3536232"</f>
        <v>3536232</v>
      </c>
      <c r="B32082" t="s">
        <v>3367</v>
      </c>
      <c r="C32082" t="s">
        <v>139</v>
      </c>
      <c r="D32082" s="21" t="s">
        <v>34</v>
      </c>
      <c r="E32082" s="21" t="s">
        <v>35</v>
      </c>
      <c r="F32082">
        <v>3350136</v>
      </c>
      <c r="G32082" t="s">
        <v>2773</v>
      </c>
      <c r="H32082" s="21">
        <v>518</v>
      </c>
    </row>
    <row r="32083" spans="1:8" customFormat="1" x14ac:dyDescent="0.25">
      <c r="A32083" t="str">
        <f>"5973540"</f>
        <v>5973540</v>
      </c>
      <c r="B32083" t="s">
        <v>5350</v>
      </c>
      <c r="C32083" t="s">
        <v>275</v>
      </c>
      <c r="D32083" s="21" t="s">
        <v>34</v>
      </c>
      <c r="E32083" s="21" t="s">
        <v>35</v>
      </c>
      <c r="F32083">
        <v>7590061</v>
      </c>
      <c r="G32083" t="s">
        <v>1207</v>
      </c>
      <c r="H32083" s="21">
        <v>518</v>
      </c>
    </row>
    <row r="32084" spans="1:8" customFormat="1" x14ac:dyDescent="0.25">
      <c r="A32084" t="str">
        <f>"8316595"</f>
        <v>8316595</v>
      </c>
      <c r="B32084" t="s">
        <v>28443</v>
      </c>
      <c r="C32084" t="s">
        <v>198</v>
      </c>
      <c r="D32084" s="21" t="s">
        <v>34</v>
      </c>
      <c r="E32084" s="21" t="s">
        <v>71</v>
      </c>
      <c r="F32084">
        <v>13830064</v>
      </c>
      <c r="G32084" t="s">
        <v>8410</v>
      </c>
      <c r="H32084" s="21">
        <v>518</v>
      </c>
    </row>
    <row r="32085" spans="1:8" customFormat="1" x14ac:dyDescent="0.25">
      <c r="A32085" t="str">
        <f>"7643216"</f>
        <v>7643216</v>
      </c>
      <c r="B32085" t="s">
        <v>15690</v>
      </c>
      <c r="C32085" t="s">
        <v>486</v>
      </c>
      <c r="D32085" s="21" t="s">
        <v>34</v>
      </c>
      <c r="E32085" s="21" t="s">
        <v>35</v>
      </c>
      <c r="F32085">
        <v>9760269</v>
      </c>
      <c r="G32085" t="s">
        <v>10282</v>
      </c>
      <c r="H32085" s="21">
        <v>518</v>
      </c>
    </row>
    <row r="32086" spans="1:8" customFormat="1" x14ac:dyDescent="0.25">
      <c r="A32086" t="str">
        <f>"6726088"</f>
        <v>6726088</v>
      </c>
      <c r="B32086" t="s">
        <v>23773</v>
      </c>
      <c r="C32086" t="s">
        <v>171</v>
      </c>
      <c r="D32086" s="21" t="s">
        <v>34</v>
      </c>
      <c r="E32086" s="21" t="s">
        <v>35</v>
      </c>
      <c r="F32086">
        <v>6670043</v>
      </c>
      <c r="G32086" t="s">
        <v>5658</v>
      </c>
      <c r="H32086" s="21">
        <v>518</v>
      </c>
    </row>
    <row r="32087" spans="1:8" customFormat="1" x14ac:dyDescent="0.25">
      <c r="A32087" t="str">
        <f>"5984519"</f>
        <v>5984519</v>
      </c>
      <c r="B32087" t="s">
        <v>28444</v>
      </c>
      <c r="C32087" t="s">
        <v>82</v>
      </c>
      <c r="D32087" s="21" t="s">
        <v>34</v>
      </c>
      <c r="E32087" s="21" t="s">
        <v>35</v>
      </c>
      <c r="F32087">
        <v>7590071</v>
      </c>
      <c r="G32087" t="s">
        <v>2602</v>
      </c>
      <c r="H32087" s="21">
        <v>518</v>
      </c>
    </row>
    <row r="32088" spans="1:8" customFormat="1" x14ac:dyDescent="0.25">
      <c r="A32088" t="str">
        <f>"33601"</f>
        <v>33601</v>
      </c>
      <c r="B32088" t="s">
        <v>7241</v>
      </c>
      <c r="C32088" t="s">
        <v>598</v>
      </c>
      <c r="D32088" s="21" t="s">
        <v>34</v>
      </c>
      <c r="E32088" s="21" t="s">
        <v>1089</v>
      </c>
      <c r="F32088">
        <v>10330004</v>
      </c>
      <c r="G32088" t="s">
        <v>525</v>
      </c>
      <c r="H32088" s="21">
        <v>518</v>
      </c>
    </row>
    <row r="32089" spans="1:8" customFormat="1" x14ac:dyDescent="0.25">
      <c r="A32089" t="str">
        <f>"7881887"</f>
        <v>7881887</v>
      </c>
      <c r="B32089" t="s">
        <v>28445</v>
      </c>
      <c r="C32089" t="s">
        <v>62</v>
      </c>
      <c r="D32089" s="21" t="s">
        <v>34</v>
      </c>
      <c r="E32089" s="21" t="s">
        <v>35</v>
      </c>
      <c r="F32089">
        <v>8781468</v>
      </c>
      <c r="G32089" t="s">
        <v>27832</v>
      </c>
      <c r="H32089" s="21">
        <v>518</v>
      </c>
    </row>
    <row r="32090" spans="1:8" customFormat="1" x14ac:dyDescent="0.25">
      <c r="A32090" t="str">
        <f>"5975737"</f>
        <v>5975737</v>
      </c>
      <c r="B32090" t="s">
        <v>5638</v>
      </c>
      <c r="C32090" t="s">
        <v>82</v>
      </c>
      <c r="D32090" s="21" t="s">
        <v>34</v>
      </c>
      <c r="E32090" s="21" t="s">
        <v>35</v>
      </c>
      <c r="F32090">
        <v>7590009</v>
      </c>
      <c r="G32090" t="s">
        <v>535</v>
      </c>
      <c r="H32090" s="21">
        <v>518</v>
      </c>
    </row>
    <row r="32091" spans="1:8" customFormat="1" x14ac:dyDescent="0.25">
      <c r="A32091" t="str">
        <f>"899167"</f>
        <v>899167</v>
      </c>
      <c r="B32091" t="s">
        <v>24665</v>
      </c>
      <c r="C32091" t="s">
        <v>267</v>
      </c>
      <c r="D32091" s="21" t="s">
        <v>34</v>
      </c>
      <c r="E32091" s="21" t="s">
        <v>71</v>
      </c>
      <c r="F32091">
        <v>2890062</v>
      </c>
      <c r="G32091" t="s">
        <v>9283</v>
      </c>
      <c r="H32091" s="21">
        <v>518</v>
      </c>
    </row>
    <row r="32092" spans="1:8" customFormat="1" x14ac:dyDescent="0.25">
      <c r="A32092" t="str">
        <f>"9146737"</f>
        <v>9146737</v>
      </c>
      <c r="B32092" t="s">
        <v>21377</v>
      </c>
      <c r="C32092" t="s">
        <v>109</v>
      </c>
      <c r="D32092" s="21" t="s">
        <v>34</v>
      </c>
      <c r="E32092" s="21" t="s">
        <v>71</v>
      </c>
      <c r="F32092">
        <v>8910102</v>
      </c>
      <c r="G32092" t="s">
        <v>3079</v>
      </c>
      <c r="H32092" s="21">
        <v>518</v>
      </c>
    </row>
    <row r="32093" spans="1:8" customFormat="1" x14ac:dyDescent="0.25">
      <c r="A32093" t="str">
        <f>"5977963"</f>
        <v>5977963</v>
      </c>
      <c r="B32093" t="s">
        <v>22669</v>
      </c>
      <c r="C32093" t="s">
        <v>62</v>
      </c>
      <c r="D32093" s="21" t="s">
        <v>34</v>
      </c>
      <c r="E32093" s="21" t="s">
        <v>35</v>
      </c>
      <c r="F32093">
        <v>7590069</v>
      </c>
      <c r="G32093" t="s">
        <v>7225</v>
      </c>
      <c r="H32093" s="21">
        <v>518</v>
      </c>
    </row>
    <row r="32094" spans="1:8" customFormat="1" x14ac:dyDescent="0.25">
      <c r="A32094" t="str">
        <f>"5431493"</f>
        <v>5431493</v>
      </c>
      <c r="B32094" t="s">
        <v>13994</v>
      </c>
      <c r="C32094" t="s">
        <v>28446</v>
      </c>
      <c r="D32094" s="21" t="s">
        <v>34</v>
      </c>
      <c r="E32094" s="21" t="s">
        <v>35</v>
      </c>
      <c r="F32094">
        <v>4450759</v>
      </c>
      <c r="G32094" t="s">
        <v>6587</v>
      </c>
      <c r="H32094" s="21">
        <v>518</v>
      </c>
    </row>
    <row r="32095" spans="1:8" customFormat="1" x14ac:dyDescent="0.25">
      <c r="A32095" t="str">
        <f>"4451589"</f>
        <v>4451589</v>
      </c>
      <c r="B32095" t="s">
        <v>28447</v>
      </c>
      <c r="C32095" t="s">
        <v>267</v>
      </c>
      <c r="D32095" s="21" t="s">
        <v>34</v>
      </c>
      <c r="E32095" s="21" t="s">
        <v>71</v>
      </c>
      <c r="F32095">
        <v>12440067</v>
      </c>
      <c r="G32095" t="s">
        <v>1723</v>
      </c>
      <c r="H32095" s="21">
        <v>518</v>
      </c>
    </row>
    <row r="32096" spans="1:8" customFormat="1" x14ac:dyDescent="0.25">
      <c r="A32096" t="str">
        <f>"6920031"</f>
        <v>6920031</v>
      </c>
      <c r="B32096" t="s">
        <v>1499</v>
      </c>
      <c r="C32096" t="s">
        <v>130</v>
      </c>
      <c r="D32096" s="21" t="s">
        <v>34</v>
      </c>
      <c r="E32096" s="21" t="s">
        <v>35</v>
      </c>
      <c r="F32096">
        <v>1690224</v>
      </c>
      <c r="G32096" t="s">
        <v>27093</v>
      </c>
      <c r="H32096" s="21">
        <v>518</v>
      </c>
    </row>
    <row r="32097" spans="1:8" customFormat="1" x14ac:dyDescent="0.25">
      <c r="A32097" t="str">
        <f>"9245516"</f>
        <v>9245516</v>
      </c>
      <c r="B32097" t="s">
        <v>23635</v>
      </c>
      <c r="C32097" t="s">
        <v>249</v>
      </c>
      <c r="D32097" s="21" t="s">
        <v>34</v>
      </c>
      <c r="E32097" s="21" t="s">
        <v>254</v>
      </c>
      <c r="F32097">
        <v>8920075</v>
      </c>
      <c r="G32097" t="s">
        <v>317</v>
      </c>
      <c r="H32097" s="21">
        <v>518</v>
      </c>
    </row>
    <row r="32098" spans="1:8" customFormat="1" x14ac:dyDescent="0.25">
      <c r="A32098" t="str">
        <f>"1315639"</f>
        <v>1315639</v>
      </c>
      <c r="B32098" t="s">
        <v>28448</v>
      </c>
      <c r="C32098" t="s">
        <v>28449</v>
      </c>
      <c r="D32098" s="21" t="s">
        <v>34</v>
      </c>
      <c r="E32098" s="21" t="s">
        <v>35</v>
      </c>
      <c r="F32098">
        <v>13130158</v>
      </c>
      <c r="G32098" t="s">
        <v>3215</v>
      </c>
      <c r="H32098" s="21">
        <v>518</v>
      </c>
    </row>
    <row r="32099" spans="1:8" customFormat="1" x14ac:dyDescent="0.25">
      <c r="A32099" t="str">
        <f>"9419863"</f>
        <v>9419863</v>
      </c>
      <c r="B32099" t="s">
        <v>24252</v>
      </c>
      <c r="C32099" t="s">
        <v>60</v>
      </c>
      <c r="D32099" s="21" t="s">
        <v>34</v>
      </c>
      <c r="E32099" s="21" t="s">
        <v>71</v>
      </c>
      <c r="F32099">
        <v>8751456</v>
      </c>
      <c r="G32099" t="s">
        <v>2683</v>
      </c>
      <c r="H32099" s="21">
        <v>518</v>
      </c>
    </row>
    <row r="32100" spans="1:8" customFormat="1" x14ac:dyDescent="0.25">
      <c r="A32100" t="str">
        <f>"6021086"</f>
        <v>6021086</v>
      </c>
      <c r="B32100" t="s">
        <v>21832</v>
      </c>
      <c r="C32100" t="s">
        <v>1588</v>
      </c>
      <c r="D32100" s="21" t="s">
        <v>34</v>
      </c>
      <c r="E32100" s="21" t="s">
        <v>1089</v>
      </c>
      <c r="F32100">
        <v>7600168</v>
      </c>
      <c r="G32100" t="s">
        <v>27372</v>
      </c>
      <c r="H32100" s="21">
        <v>518</v>
      </c>
    </row>
    <row r="32101" spans="1:8" customFormat="1" x14ac:dyDescent="0.25">
      <c r="A32101" t="str">
        <f>"653776"</f>
        <v>653776</v>
      </c>
      <c r="B32101" t="s">
        <v>22571</v>
      </c>
      <c r="C32101" t="s">
        <v>412</v>
      </c>
      <c r="D32101" s="21" t="s">
        <v>34</v>
      </c>
      <c r="E32101" s="21" t="s">
        <v>71</v>
      </c>
      <c r="F32101">
        <v>11650014</v>
      </c>
      <c r="G32101" t="s">
        <v>9313</v>
      </c>
      <c r="H32101" s="21">
        <v>517.91999999999996</v>
      </c>
    </row>
    <row r="32102" spans="1:8" customFormat="1" x14ac:dyDescent="0.25">
      <c r="A32102" t="str">
        <f>"2939418"</f>
        <v>2939418</v>
      </c>
      <c r="B32102" t="s">
        <v>28450</v>
      </c>
      <c r="C32102" t="s">
        <v>1299</v>
      </c>
      <c r="D32102" s="21" t="s">
        <v>34</v>
      </c>
      <c r="E32102" s="21" t="s">
        <v>254</v>
      </c>
      <c r="F32102">
        <v>3290232</v>
      </c>
      <c r="G32102" t="s">
        <v>9588</v>
      </c>
      <c r="H32102" s="21">
        <v>517.91999999999996</v>
      </c>
    </row>
    <row r="32103" spans="1:8" customFormat="1" x14ac:dyDescent="0.25">
      <c r="A32103" t="str">
        <f>"185365"</f>
        <v>185365</v>
      </c>
      <c r="B32103" t="s">
        <v>7681</v>
      </c>
      <c r="C32103" t="s">
        <v>109</v>
      </c>
      <c r="D32103" s="21" t="s">
        <v>34</v>
      </c>
      <c r="E32103" s="21" t="s">
        <v>35</v>
      </c>
      <c r="F32103">
        <v>4180057</v>
      </c>
      <c r="G32103" t="s">
        <v>9021</v>
      </c>
      <c r="H32103" s="21">
        <v>517.75</v>
      </c>
    </row>
    <row r="32104" spans="1:8" customFormat="1" x14ac:dyDescent="0.25">
      <c r="A32104" t="str">
        <f>"3730234"</f>
        <v>3730234</v>
      </c>
      <c r="B32104" t="s">
        <v>28451</v>
      </c>
      <c r="C32104" t="s">
        <v>87</v>
      </c>
      <c r="D32104" s="21" t="s">
        <v>34</v>
      </c>
      <c r="E32104" s="21" t="s">
        <v>35</v>
      </c>
      <c r="F32104">
        <v>4370464</v>
      </c>
      <c r="G32104" t="s">
        <v>5348</v>
      </c>
      <c r="H32104" s="21">
        <v>517.75</v>
      </c>
    </row>
    <row r="32105" spans="1:8" customFormat="1" x14ac:dyDescent="0.25">
      <c r="A32105" t="str">
        <f>"5980195"</f>
        <v>5980195</v>
      </c>
      <c r="B32105" t="s">
        <v>24262</v>
      </c>
      <c r="C32105" t="s">
        <v>462</v>
      </c>
      <c r="D32105" s="21" t="s">
        <v>34</v>
      </c>
      <c r="E32105" s="21" t="s">
        <v>71</v>
      </c>
      <c r="F32105">
        <v>7590107</v>
      </c>
      <c r="G32105" t="s">
        <v>17475</v>
      </c>
      <c r="H32105" s="21">
        <v>517.66999999999996</v>
      </c>
    </row>
    <row r="32106" spans="1:8" customFormat="1" x14ac:dyDescent="0.25">
      <c r="A32106" t="str">
        <f>"667633"</f>
        <v>667633</v>
      </c>
      <c r="B32106" t="s">
        <v>21406</v>
      </c>
      <c r="C32106" t="s">
        <v>239</v>
      </c>
      <c r="D32106" s="21" t="s">
        <v>34</v>
      </c>
      <c r="E32106" s="21" t="s">
        <v>254</v>
      </c>
      <c r="F32106">
        <v>11660040</v>
      </c>
      <c r="G32106" t="s">
        <v>17413</v>
      </c>
      <c r="H32106" s="21">
        <v>517.66999999999996</v>
      </c>
    </row>
    <row r="32107" spans="1:8" customFormat="1" x14ac:dyDescent="0.25">
      <c r="A32107" t="str">
        <f>"744475"</f>
        <v>744475</v>
      </c>
      <c r="B32107" t="s">
        <v>2247</v>
      </c>
      <c r="C32107" t="s">
        <v>412</v>
      </c>
      <c r="D32107" s="21" t="s">
        <v>34</v>
      </c>
      <c r="E32107" s="21" t="s">
        <v>1089</v>
      </c>
      <c r="F32107">
        <v>1740077</v>
      </c>
      <c r="G32107" t="s">
        <v>19636</v>
      </c>
      <c r="H32107" s="21">
        <v>517.66999999999996</v>
      </c>
    </row>
    <row r="32108" spans="1:8" customFormat="1" x14ac:dyDescent="0.25">
      <c r="A32108" t="str">
        <f>"745001"</f>
        <v>745001</v>
      </c>
      <c r="B32108" t="s">
        <v>28452</v>
      </c>
      <c r="C32108" t="s">
        <v>2479</v>
      </c>
      <c r="D32108" s="21" t="s">
        <v>34</v>
      </c>
      <c r="E32108" s="21" t="s">
        <v>71</v>
      </c>
      <c r="F32108">
        <v>6080076</v>
      </c>
      <c r="G32108" t="s">
        <v>1767</v>
      </c>
      <c r="H32108" s="21">
        <v>517.66999999999996</v>
      </c>
    </row>
    <row r="32109" spans="1:8" customFormat="1" x14ac:dyDescent="0.25">
      <c r="A32109" t="str">
        <f>"5113254"</f>
        <v>5113254</v>
      </c>
      <c r="B32109" t="s">
        <v>22006</v>
      </c>
      <c r="C32109" t="s">
        <v>1946</v>
      </c>
      <c r="D32109" s="21" t="s">
        <v>34</v>
      </c>
      <c r="E32109" s="21" t="s">
        <v>254</v>
      </c>
      <c r="F32109">
        <v>6510008</v>
      </c>
      <c r="G32109" t="s">
        <v>26622</v>
      </c>
      <c r="H32109" s="21">
        <v>517.66999999999996</v>
      </c>
    </row>
    <row r="32110" spans="1:8" customFormat="1" x14ac:dyDescent="0.25">
      <c r="A32110" t="str">
        <f>"199785"</f>
        <v>199785</v>
      </c>
      <c r="B32110" t="s">
        <v>3895</v>
      </c>
      <c r="C32110" t="s">
        <v>139</v>
      </c>
      <c r="D32110" s="21" t="s">
        <v>34</v>
      </c>
      <c r="E32110" s="21" t="s">
        <v>35</v>
      </c>
      <c r="F32110">
        <v>10190066</v>
      </c>
      <c r="G32110" t="s">
        <v>15933</v>
      </c>
      <c r="H32110" s="21">
        <v>517.66999999999996</v>
      </c>
    </row>
    <row r="32111" spans="1:8" customFormat="1" x14ac:dyDescent="0.25">
      <c r="A32111" t="str">
        <f>"3823426"</f>
        <v>3823426</v>
      </c>
      <c r="B32111" t="s">
        <v>11911</v>
      </c>
      <c r="C32111" t="s">
        <v>484</v>
      </c>
      <c r="D32111" s="21" t="s">
        <v>34</v>
      </c>
      <c r="E32111" s="21" t="s">
        <v>35</v>
      </c>
      <c r="F32111">
        <v>1380164</v>
      </c>
      <c r="G32111" t="s">
        <v>2728</v>
      </c>
      <c r="H32111" s="21">
        <v>517.66999999999996</v>
      </c>
    </row>
    <row r="32112" spans="1:8" customFormat="1" x14ac:dyDescent="0.25">
      <c r="A32112" t="str">
        <f>"7634142"</f>
        <v>7634142</v>
      </c>
      <c r="B32112" t="s">
        <v>3954</v>
      </c>
      <c r="C32112" t="s">
        <v>3073</v>
      </c>
      <c r="D32112" s="21" t="s">
        <v>34</v>
      </c>
      <c r="E32112" s="21" t="s">
        <v>254</v>
      </c>
      <c r="F32112">
        <v>9760351</v>
      </c>
      <c r="G32112" t="s">
        <v>5898</v>
      </c>
      <c r="H32112" s="21">
        <v>517.66999999999996</v>
      </c>
    </row>
    <row r="32113" spans="1:8" customFormat="1" x14ac:dyDescent="0.25">
      <c r="A32113" t="str">
        <f>"2929948"</f>
        <v>2929948</v>
      </c>
      <c r="B32113" t="s">
        <v>20228</v>
      </c>
      <c r="C32113" t="s">
        <v>267</v>
      </c>
      <c r="D32113" s="21" t="s">
        <v>34</v>
      </c>
      <c r="E32113" s="21" t="s">
        <v>71</v>
      </c>
      <c r="F32113">
        <v>3290014</v>
      </c>
      <c r="G32113" t="s">
        <v>10174</v>
      </c>
      <c r="H32113" s="21">
        <v>517.66999999999996</v>
      </c>
    </row>
    <row r="32114" spans="1:8" customFormat="1" x14ac:dyDescent="0.25">
      <c r="A32114" t="str">
        <f>"256571"</f>
        <v>256571</v>
      </c>
      <c r="B32114" t="s">
        <v>21966</v>
      </c>
      <c r="C32114" t="s">
        <v>418</v>
      </c>
      <c r="D32114" s="21" t="s">
        <v>34</v>
      </c>
      <c r="E32114" s="21" t="s">
        <v>254</v>
      </c>
      <c r="F32114">
        <v>2250017</v>
      </c>
      <c r="G32114" t="s">
        <v>521</v>
      </c>
      <c r="H32114" s="21">
        <v>517.66999999999996</v>
      </c>
    </row>
    <row r="32115" spans="1:8" customFormat="1" x14ac:dyDescent="0.25">
      <c r="A32115" t="str">
        <f>"912684"</f>
        <v>912684</v>
      </c>
      <c r="B32115" t="s">
        <v>20507</v>
      </c>
      <c r="C32115" t="s">
        <v>598</v>
      </c>
      <c r="D32115" s="21" t="s">
        <v>34</v>
      </c>
      <c r="E32115" s="21" t="s">
        <v>1089</v>
      </c>
      <c r="F32115">
        <v>8911009</v>
      </c>
      <c r="G32115" t="s">
        <v>2177</v>
      </c>
      <c r="H32115" s="21">
        <v>517.66999999999996</v>
      </c>
    </row>
    <row r="32116" spans="1:8" customFormat="1" x14ac:dyDescent="0.25">
      <c r="A32116" t="str">
        <f>"0811858"</f>
        <v>0811858</v>
      </c>
      <c r="B32116" t="s">
        <v>21865</v>
      </c>
      <c r="C32116" t="s">
        <v>119</v>
      </c>
      <c r="D32116" s="21" t="s">
        <v>34</v>
      </c>
      <c r="E32116" s="21" t="s">
        <v>35</v>
      </c>
      <c r="F32116">
        <v>6080003</v>
      </c>
      <c r="G32116" t="s">
        <v>11899</v>
      </c>
      <c r="H32116" s="21">
        <v>517.66999999999996</v>
      </c>
    </row>
    <row r="32117" spans="1:8" customFormat="1" x14ac:dyDescent="0.25">
      <c r="A32117" t="str">
        <f>"4215134"</f>
        <v>4215134</v>
      </c>
      <c r="B32117" t="s">
        <v>24194</v>
      </c>
      <c r="C32117" t="s">
        <v>598</v>
      </c>
      <c r="D32117" s="21" t="s">
        <v>34</v>
      </c>
      <c r="E32117" s="21" t="s">
        <v>254</v>
      </c>
      <c r="F32117">
        <v>1420088</v>
      </c>
      <c r="G32117" t="s">
        <v>7613</v>
      </c>
      <c r="H32117" s="21">
        <v>517.66999999999996</v>
      </c>
    </row>
    <row r="32118" spans="1:8" customFormat="1" x14ac:dyDescent="0.25">
      <c r="A32118" t="str">
        <f>"9247618"</f>
        <v>9247618</v>
      </c>
      <c r="B32118" t="s">
        <v>21694</v>
      </c>
      <c r="C32118" t="s">
        <v>87</v>
      </c>
      <c r="D32118" s="21" t="s">
        <v>34</v>
      </c>
      <c r="E32118" s="21" t="s">
        <v>35</v>
      </c>
      <c r="F32118">
        <v>8920066</v>
      </c>
      <c r="G32118" t="s">
        <v>4899</v>
      </c>
      <c r="H32118" s="21">
        <v>517.66999999999996</v>
      </c>
    </row>
    <row r="32119" spans="1:8" customFormat="1" x14ac:dyDescent="0.25">
      <c r="A32119" t="str">
        <f>"2935889"</f>
        <v>2935889</v>
      </c>
      <c r="B32119" t="s">
        <v>11375</v>
      </c>
      <c r="C32119" t="s">
        <v>1559</v>
      </c>
      <c r="D32119" s="21" t="s">
        <v>34</v>
      </c>
      <c r="E32119" s="21" t="s">
        <v>35</v>
      </c>
      <c r="F32119">
        <v>3290011</v>
      </c>
      <c r="G32119" t="s">
        <v>7083</v>
      </c>
      <c r="H32119" s="21">
        <v>517.66999999999996</v>
      </c>
    </row>
    <row r="32120" spans="1:8" customFormat="1" x14ac:dyDescent="0.25">
      <c r="A32120" t="str">
        <f>"4451563"</f>
        <v>4451563</v>
      </c>
      <c r="B32120" t="s">
        <v>8579</v>
      </c>
      <c r="C32120" t="s">
        <v>3355</v>
      </c>
      <c r="D32120" s="21" t="s">
        <v>34</v>
      </c>
      <c r="E32120" s="21" t="s">
        <v>71</v>
      </c>
      <c r="F32120">
        <v>12440014</v>
      </c>
      <c r="G32120" t="s">
        <v>6767</v>
      </c>
      <c r="H32120" s="21">
        <v>517.66999999999996</v>
      </c>
    </row>
    <row r="32121" spans="1:8" customFormat="1" x14ac:dyDescent="0.25">
      <c r="A32121" t="str">
        <f>"9536072"</f>
        <v>9536072</v>
      </c>
      <c r="B32121" t="s">
        <v>771</v>
      </c>
      <c r="C32121" t="s">
        <v>598</v>
      </c>
      <c r="D32121" s="21" t="s">
        <v>34</v>
      </c>
      <c r="E32121" s="21" t="s">
        <v>71</v>
      </c>
      <c r="F32121">
        <v>8950553</v>
      </c>
      <c r="G32121" t="s">
        <v>1058</v>
      </c>
      <c r="H32121" s="21">
        <v>517.66999999999996</v>
      </c>
    </row>
    <row r="32122" spans="1:8" customFormat="1" x14ac:dyDescent="0.25">
      <c r="A32122" t="str">
        <f>"3534436"</f>
        <v>3534436</v>
      </c>
      <c r="B32122" t="s">
        <v>4382</v>
      </c>
      <c r="C32122" t="s">
        <v>40</v>
      </c>
      <c r="D32122" s="21" t="s">
        <v>34</v>
      </c>
      <c r="E32122" s="21" t="s">
        <v>35</v>
      </c>
      <c r="F32122">
        <v>3350091</v>
      </c>
      <c r="G32122" t="s">
        <v>5864</v>
      </c>
      <c r="H32122" s="21">
        <v>517.66999999999996</v>
      </c>
    </row>
    <row r="32123" spans="1:8" customFormat="1" x14ac:dyDescent="0.25">
      <c r="A32123" t="str">
        <f>"2936562"</f>
        <v>2936562</v>
      </c>
      <c r="B32123" t="s">
        <v>1094</v>
      </c>
      <c r="C32123" t="s">
        <v>62</v>
      </c>
      <c r="D32123" s="21" t="s">
        <v>34</v>
      </c>
      <c r="E32123" s="21" t="s">
        <v>35</v>
      </c>
      <c r="F32123">
        <v>3290290</v>
      </c>
      <c r="G32123" t="s">
        <v>27072</v>
      </c>
      <c r="H32123" s="21">
        <v>517.66999999999996</v>
      </c>
    </row>
    <row r="32124" spans="1:8" customFormat="1" x14ac:dyDescent="0.25">
      <c r="A32124" t="str">
        <f>"323833"</f>
        <v>323833</v>
      </c>
      <c r="B32124" t="s">
        <v>28453</v>
      </c>
      <c r="C32124" t="s">
        <v>62</v>
      </c>
      <c r="D32124" s="21" t="s">
        <v>34</v>
      </c>
      <c r="E32124" s="21" t="s">
        <v>71</v>
      </c>
      <c r="F32124">
        <v>11320005</v>
      </c>
      <c r="G32124" t="s">
        <v>120</v>
      </c>
      <c r="H32124" s="21">
        <v>517.66999999999996</v>
      </c>
    </row>
    <row r="32125" spans="1:8" customFormat="1" x14ac:dyDescent="0.25">
      <c r="A32125" t="str">
        <f>"6717927"</f>
        <v>6717927</v>
      </c>
      <c r="B32125" t="s">
        <v>21974</v>
      </c>
      <c r="C32125" t="s">
        <v>267</v>
      </c>
      <c r="D32125" s="21" t="s">
        <v>34</v>
      </c>
      <c r="E32125" s="21" t="s">
        <v>35</v>
      </c>
      <c r="F32125">
        <v>6670160</v>
      </c>
      <c r="G32125" t="s">
        <v>908</v>
      </c>
      <c r="H32125" s="21">
        <v>517.66999999999996</v>
      </c>
    </row>
    <row r="32126" spans="1:8" customFormat="1" x14ac:dyDescent="0.25">
      <c r="A32126" t="str">
        <f>"6212794"</f>
        <v>6212794</v>
      </c>
      <c r="B32126" t="s">
        <v>2218</v>
      </c>
      <c r="C32126" t="s">
        <v>415</v>
      </c>
      <c r="D32126" s="21" t="s">
        <v>34</v>
      </c>
      <c r="E32126" s="21" t="s">
        <v>1089</v>
      </c>
      <c r="F32126">
        <v>7620046</v>
      </c>
      <c r="G32126" t="s">
        <v>242</v>
      </c>
      <c r="H32126" s="21">
        <v>517.66999999999996</v>
      </c>
    </row>
    <row r="32127" spans="1:8" customFormat="1" x14ac:dyDescent="0.25">
      <c r="A32127" t="str">
        <f>"9525920"</f>
        <v>9525920</v>
      </c>
      <c r="B32127" t="s">
        <v>24138</v>
      </c>
      <c r="C32127" t="s">
        <v>24139</v>
      </c>
      <c r="D32127" s="21" t="s">
        <v>34</v>
      </c>
      <c r="E32127" s="21" t="s">
        <v>254</v>
      </c>
      <c r="F32127">
        <v>8950424</v>
      </c>
      <c r="G32127" t="s">
        <v>12098</v>
      </c>
      <c r="H32127" s="21">
        <v>517.54</v>
      </c>
    </row>
    <row r="32128" spans="1:8" customFormat="1" x14ac:dyDescent="0.25">
      <c r="A32128" t="str">
        <f>"9243592"</f>
        <v>9243592</v>
      </c>
      <c r="B32128" t="s">
        <v>28454</v>
      </c>
      <c r="C32128" t="s">
        <v>62</v>
      </c>
      <c r="D32128" s="21" t="s">
        <v>34</v>
      </c>
      <c r="E32128" s="21" t="s">
        <v>71</v>
      </c>
      <c r="F32128">
        <v>8920031</v>
      </c>
      <c r="G32128" t="s">
        <v>552</v>
      </c>
      <c r="H32128" s="21">
        <v>517.5</v>
      </c>
    </row>
    <row r="32129" spans="1:8" customFormat="1" x14ac:dyDescent="0.25">
      <c r="A32129" t="str">
        <f>"1910112"</f>
        <v>1910112</v>
      </c>
      <c r="B32129" t="s">
        <v>8631</v>
      </c>
      <c r="C32129" t="s">
        <v>5855</v>
      </c>
      <c r="D32129" s="21" t="s">
        <v>34</v>
      </c>
      <c r="E32129" s="21" t="s">
        <v>254</v>
      </c>
      <c r="F32129">
        <v>10190120</v>
      </c>
      <c r="G32129" t="s">
        <v>4616</v>
      </c>
      <c r="H32129" s="21">
        <v>517.5</v>
      </c>
    </row>
    <row r="32130" spans="1:8" customFormat="1" x14ac:dyDescent="0.25">
      <c r="A32130" t="str">
        <f>"4114000"</f>
        <v>4114000</v>
      </c>
      <c r="B32130" t="s">
        <v>28455</v>
      </c>
      <c r="C32130" t="s">
        <v>598</v>
      </c>
      <c r="D32130" s="21" t="s">
        <v>34</v>
      </c>
      <c r="E32130" s="21" t="s">
        <v>71</v>
      </c>
      <c r="F32130">
        <v>4410546</v>
      </c>
      <c r="G32130" t="s">
        <v>5001</v>
      </c>
      <c r="H32130" s="21">
        <v>517.5</v>
      </c>
    </row>
    <row r="32131" spans="1:8" customFormat="1" x14ac:dyDescent="0.25">
      <c r="A32131" t="str">
        <f>"7113785"</f>
        <v>7113785</v>
      </c>
      <c r="B32131" t="s">
        <v>28456</v>
      </c>
      <c r="C32131" t="s">
        <v>2520</v>
      </c>
      <c r="D32131" s="21" t="s">
        <v>34</v>
      </c>
      <c r="E32131" s="21" t="s">
        <v>254</v>
      </c>
      <c r="F32131">
        <v>2710083</v>
      </c>
      <c r="G32131" t="s">
        <v>17590</v>
      </c>
      <c r="H32131" s="21">
        <v>517.5</v>
      </c>
    </row>
    <row r="32132" spans="1:8" customFormat="1" x14ac:dyDescent="0.25">
      <c r="A32132" t="str">
        <f>"8528793"</f>
        <v>8528793</v>
      </c>
      <c r="B32132" t="s">
        <v>28457</v>
      </c>
      <c r="C32132" t="s">
        <v>55</v>
      </c>
      <c r="D32132" s="21" t="s">
        <v>34</v>
      </c>
      <c r="E32132" s="21" t="s">
        <v>254</v>
      </c>
      <c r="F32132">
        <v>12850001</v>
      </c>
      <c r="G32132" t="s">
        <v>1197</v>
      </c>
      <c r="H32132" s="21">
        <v>517.5</v>
      </c>
    </row>
    <row r="32133" spans="1:8" customFormat="1" x14ac:dyDescent="0.25">
      <c r="A32133" t="str">
        <f>"486444"</f>
        <v>486444</v>
      </c>
      <c r="B32133" t="s">
        <v>18924</v>
      </c>
      <c r="C32133" t="s">
        <v>239</v>
      </c>
      <c r="D32133" s="21" t="s">
        <v>34</v>
      </c>
      <c r="E32133" s="21" t="s">
        <v>71</v>
      </c>
      <c r="F32133">
        <v>11480022</v>
      </c>
      <c r="G32133" t="s">
        <v>18917</v>
      </c>
      <c r="H32133" s="21">
        <v>517.5</v>
      </c>
    </row>
    <row r="32134" spans="1:8" customFormat="1" x14ac:dyDescent="0.25">
      <c r="A32134" t="str">
        <f>"652731"</f>
        <v>652731</v>
      </c>
      <c r="B32134" t="s">
        <v>3294</v>
      </c>
      <c r="C32134" t="s">
        <v>1605</v>
      </c>
      <c r="D32134" s="21" t="s">
        <v>34</v>
      </c>
      <c r="E32134" s="21" t="s">
        <v>71</v>
      </c>
      <c r="F32134">
        <v>11650016</v>
      </c>
      <c r="G32134" t="s">
        <v>9559</v>
      </c>
      <c r="H32134" s="21">
        <v>517.5</v>
      </c>
    </row>
    <row r="32135" spans="1:8" customFormat="1" x14ac:dyDescent="0.25">
      <c r="A32135" t="str">
        <f>"4445872"</f>
        <v>4445872</v>
      </c>
      <c r="B32135" t="s">
        <v>18285</v>
      </c>
      <c r="C32135" t="s">
        <v>453</v>
      </c>
      <c r="D32135" s="21" t="s">
        <v>34</v>
      </c>
      <c r="E32135" s="21" t="s">
        <v>1089</v>
      </c>
      <c r="F32135">
        <v>12440030</v>
      </c>
      <c r="G32135" t="s">
        <v>5524</v>
      </c>
      <c r="H32135" s="21">
        <v>517.5</v>
      </c>
    </row>
    <row r="32136" spans="1:8" customFormat="1" x14ac:dyDescent="0.25">
      <c r="A32136" t="str">
        <f>"8819026"</f>
        <v>8819026</v>
      </c>
      <c r="B32136" t="s">
        <v>28458</v>
      </c>
      <c r="C32136" t="s">
        <v>1100</v>
      </c>
      <c r="D32136" s="21" t="s">
        <v>34</v>
      </c>
      <c r="E32136" s="21" t="s">
        <v>35</v>
      </c>
      <c r="F32136">
        <v>6880049</v>
      </c>
      <c r="G32136" t="s">
        <v>4514</v>
      </c>
      <c r="H32136" s="21">
        <v>517.5</v>
      </c>
    </row>
    <row r="32137" spans="1:8" customFormat="1" x14ac:dyDescent="0.25">
      <c r="A32137" t="str">
        <f>"3819538"</f>
        <v>3819538</v>
      </c>
      <c r="B32137" t="s">
        <v>308</v>
      </c>
      <c r="C32137" t="s">
        <v>415</v>
      </c>
      <c r="D32137" s="21" t="s">
        <v>34</v>
      </c>
      <c r="E32137" s="21" t="s">
        <v>254</v>
      </c>
      <c r="F32137">
        <v>1380076</v>
      </c>
      <c r="G32137" t="s">
        <v>8543</v>
      </c>
      <c r="H32137" s="21">
        <v>517.5</v>
      </c>
    </row>
    <row r="32138" spans="1:8" customFormat="1" x14ac:dyDescent="0.25">
      <c r="A32138" t="str">
        <f>"499619"</f>
        <v>499619</v>
      </c>
      <c r="B32138" t="s">
        <v>15600</v>
      </c>
      <c r="C32138" t="s">
        <v>2276</v>
      </c>
      <c r="D32138" s="21" t="s">
        <v>34</v>
      </c>
      <c r="E32138" s="21" t="s">
        <v>254</v>
      </c>
      <c r="F32138">
        <v>12490048</v>
      </c>
      <c r="G32138" t="s">
        <v>4228</v>
      </c>
      <c r="H32138" s="21">
        <v>517.41999999999996</v>
      </c>
    </row>
    <row r="32139" spans="1:8" customFormat="1" x14ac:dyDescent="0.25">
      <c r="A32139" t="str">
        <f>"7511985"</f>
        <v>7511985</v>
      </c>
      <c r="B32139" t="s">
        <v>21259</v>
      </c>
      <c r="C32139" t="s">
        <v>16280</v>
      </c>
      <c r="D32139" s="21" t="s">
        <v>34</v>
      </c>
      <c r="E32139" s="21" t="s">
        <v>254</v>
      </c>
      <c r="F32139">
        <v>9270177</v>
      </c>
      <c r="G32139" t="s">
        <v>10384</v>
      </c>
      <c r="H32139" s="21">
        <v>517.29</v>
      </c>
    </row>
    <row r="32140" spans="1:8" customFormat="1" x14ac:dyDescent="0.25">
      <c r="A32140" t="str">
        <f>"1614330"</f>
        <v>1614330</v>
      </c>
      <c r="B32140" t="s">
        <v>23162</v>
      </c>
      <c r="C32140" t="s">
        <v>864</v>
      </c>
      <c r="D32140" s="21" t="s">
        <v>34</v>
      </c>
      <c r="E32140" s="21" t="s">
        <v>35</v>
      </c>
      <c r="F32140">
        <v>10160051</v>
      </c>
      <c r="G32140" t="s">
        <v>7167</v>
      </c>
      <c r="H32140" s="21">
        <v>517.16999999999996</v>
      </c>
    </row>
    <row r="32141" spans="1:8" customFormat="1" x14ac:dyDescent="0.25">
      <c r="A32141" t="str">
        <f>"7517290"</f>
        <v>7517290</v>
      </c>
      <c r="B32141" t="s">
        <v>3528</v>
      </c>
      <c r="C32141" t="s">
        <v>415</v>
      </c>
      <c r="D32141" s="21" t="s">
        <v>34</v>
      </c>
      <c r="E32141" s="21" t="s">
        <v>71</v>
      </c>
      <c r="F32141">
        <v>8751124</v>
      </c>
      <c r="G32141" t="s">
        <v>1481</v>
      </c>
      <c r="H32141" s="21">
        <v>517.16999999999996</v>
      </c>
    </row>
    <row r="32142" spans="1:8" customFormat="1" x14ac:dyDescent="0.25">
      <c r="A32142" t="str">
        <f>"324678"</f>
        <v>324678</v>
      </c>
      <c r="B32142" t="s">
        <v>28459</v>
      </c>
      <c r="C32142" t="s">
        <v>204</v>
      </c>
      <c r="D32142" s="21" t="s">
        <v>34</v>
      </c>
      <c r="E32142" s="21" t="s">
        <v>35</v>
      </c>
      <c r="F32142">
        <v>11320042</v>
      </c>
      <c r="G32142" t="s">
        <v>234</v>
      </c>
      <c r="H32142" s="21">
        <v>517.16999999999996</v>
      </c>
    </row>
    <row r="32143" spans="1:8" customFormat="1" x14ac:dyDescent="0.25">
      <c r="A32143" t="str">
        <f>"113251"</f>
        <v>113251</v>
      </c>
      <c r="B32143" t="s">
        <v>24004</v>
      </c>
      <c r="C32143" t="s">
        <v>119</v>
      </c>
      <c r="D32143" s="21" t="s">
        <v>34</v>
      </c>
      <c r="E32143" s="21" t="s">
        <v>35</v>
      </c>
      <c r="F32143">
        <v>11110015</v>
      </c>
      <c r="G32143" t="s">
        <v>26669</v>
      </c>
      <c r="H32143" s="21">
        <v>517.16999999999996</v>
      </c>
    </row>
    <row r="32144" spans="1:8" customFormat="1" x14ac:dyDescent="0.25">
      <c r="A32144" t="str">
        <f>"7637173"</f>
        <v>7637173</v>
      </c>
      <c r="B32144" t="s">
        <v>4557</v>
      </c>
      <c r="C32144" t="s">
        <v>87</v>
      </c>
      <c r="D32144" s="21" t="s">
        <v>34</v>
      </c>
      <c r="E32144" s="21" t="s">
        <v>71</v>
      </c>
      <c r="F32144">
        <v>9760333</v>
      </c>
      <c r="G32144" t="s">
        <v>27096</v>
      </c>
      <c r="H32144" s="21">
        <v>517.16999999999996</v>
      </c>
    </row>
    <row r="32145" spans="1:8" customFormat="1" x14ac:dyDescent="0.25">
      <c r="A32145" t="str">
        <f>"5960066"</f>
        <v>5960066</v>
      </c>
      <c r="B32145" t="s">
        <v>15866</v>
      </c>
      <c r="C32145" t="s">
        <v>13005</v>
      </c>
      <c r="D32145" s="21" t="s">
        <v>34</v>
      </c>
      <c r="E32145" s="21" t="s">
        <v>35</v>
      </c>
      <c r="F32145">
        <v>7590170</v>
      </c>
      <c r="G32145" t="s">
        <v>868</v>
      </c>
      <c r="H32145" s="21">
        <v>517.16999999999996</v>
      </c>
    </row>
    <row r="32146" spans="1:8" customFormat="1" x14ac:dyDescent="0.25">
      <c r="A32146" t="str">
        <f>"0812526"</f>
        <v>0812526</v>
      </c>
      <c r="B32146" t="s">
        <v>23943</v>
      </c>
      <c r="C32146" t="s">
        <v>1946</v>
      </c>
      <c r="D32146" s="21" t="s">
        <v>34</v>
      </c>
      <c r="E32146" s="21" t="s">
        <v>71</v>
      </c>
      <c r="F32146">
        <v>6080047</v>
      </c>
      <c r="G32146" t="s">
        <v>4632</v>
      </c>
      <c r="H32146" s="21">
        <v>517.16999999999996</v>
      </c>
    </row>
    <row r="32147" spans="1:8" customFormat="1" x14ac:dyDescent="0.25">
      <c r="A32147" t="str">
        <f>"298434"</f>
        <v>298434</v>
      </c>
      <c r="B32147" t="s">
        <v>3729</v>
      </c>
      <c r="C32147" t="s">
        <v>598</v>
      </c>
      <c r="D32147" s="21" t="s">
        <v>34</v>
      </c>
      <c r="E32147" s="21" t="s">
        <v>254</v>
      </c>
      <c r="F32147">
        <v>3290047</v>
      </c>
      <c r="G32147" t="s">
        <v>2874</v>
      </c>
      <c r="H32147" s="21">
        <v>517.16999999999996</v>
      </c>
    </row>
    <row r="32148" spans="1:8" customFormat="1" x14ac:dyDescent="0.25">
      <c r="A32148" t="str">
        <f>"5015303"</f>
        <v>5015303</v>
      </c>
      <c r="B32148" t="s">
        <v>22779</v>
      </c>
      <c r="C32148" t="s">
        <v>13466</v>
      </c>
      <c r="D32148" s="21" t="s">
        <v>34</v>
      </c>
      <c r="E32148" s="21" t="s">
        <v>71</v>
      </c>
      <c r="F32148">
        <v>9500139</v>
      </c>
      <c r="G32148" t="s">
        <v>6892</v>
      </c>
      <c r="H32148" s="21">
        <v>517.16999999999996</v>
      </c>
    </row>
    <row r="32149" spans="1:8" customFormat="1" x14ac:dyDescent="0.25">
      <c r="A32149" t="str">
        <f>"5721590"</f>
        <v>5721590</v>
      </c>
      <c r="B32149" t="s">
        <v>21813</v>
      </c>
      <c r="C32149" t="s">
        <v>263</v>
      </c>
      <c r="D32149" s="21" t="s">
        <v>34</v>
      </c>
      <c r="E32149" s="21" t="s">
        <v>71</v>
      </c>
      <c r="F32149">
        <v>6570005</v>
      </c>
      <c r="G32149" t="s">
        <v>351</v>
      </c>
      <c r="H32149" s="21">
        <v>517.16999999999996</v>
      </c>
    </row>
    <row r="32150" spans="1:8" customFormat="1" x14ac:dyDescent="0.25">
      <c r="A32150" t="str">
        <f>"196127"</f>
        <v>196127</v>
      </c>
      <c r="B32150" t="s">
        <v>6969</v>
      </c>
      <c r="C32150" t="s">
        <v>1271</v>
      </c>
      <c r="D32150" s="21" t="s">
        <v>34</v>
      </c>
      <c r="E32150" s="21" t="s">
        <v>254</v>
      </c>
      <c r="F32150">
        <v>10190144</v>
      </c>
      <c r="G32150" t="s">
        <v>8165</v>
      </c>
      <c r="H32150" s="21">
        <v>517.16999999999996</v>
      </c>
    </row>
    <row r="32151" spans="1:8" customFormat="1" x14ac:dyDescent="0.25">
      <c r="A32151" t="str">
        <f>"2937712"</f>
        <v>2937712</v>
      </c>
      <c r="B32151" t="s">
        <v>1087</v>
      </c>
      <c r="C32151" t="s">
        <v>40</v>
      </c>
      <c r="D32151" s="21" t="s">
        <v>34</v>
      </c>
      <c r="E32151" s="21" t="s">
        <v>254</v>
      </c>
      <c r="F32151">
        <v>3290249</v>
      </c>
      <c r="G32151" t="s">
        <v>7914</v>
      </c>
      <c r="H32151" s="21">
        <v>517.16999999999996</v>
      </c>
    </row>
    <row r="32152" spans="1:8" customFormat="1" x14ac:dyDescent="0.25">
      <c r="A32152" t="str">
        <f>"2218975"</f>
        <v>2218975</v>
      </c>
      <c r="B32152" t="s">
        <v>21420</v>
      </c>
      <c r="C32152" t="s">
        <v>3355</v>
      </c>
      <c r="D32152" s="21" t="s">
        <v>34</v>
      </c>
      <c r="E32152" s="21" t="s">
        <v>35</v>
      </c>
      <c r="F32152">
        <v>3220127</v>
      </c>
      <c r="G32152" t="s">
        <v>26652</v>
      </c>
      <c r="H32152" s="21">
        <v>517.16999999999996</v>
      </c>
    </row>
    <row r="32153" spans="1:8" customFormat="1" x14ac:dyDescent="0.25">
      <c r="A32153" t="str">
        <f>"9124058"</f>
        <v>9124058</v>
      </c>
      <c r="B32153" t="s">
        <v>15808</v>
      </c>
      <c r="C32153" t="s">
        <v>55</v>
      </c>
      <c r="D32153" s="21" t="s">
        <v>34</v>
      </c>
      <c r="E32153" s="21" t="s">
        <v>71</v>
      </c>
      <c r="F32153">
        <v>10860016</v>
      </c>
      <c r="G32153" t="s">
        <v>3289</v>
      </c>
      <c r="H32153" s="21">
        <v>517.16999999999996</v>
      </c>
    </row>
    <row r="32154" spans="1:8" customFormat="1" x14ac:dyDescent="0.25">
      <c r="A32154" t="str">
        <f>"8014630"</f>
        <v>8014630</v>
      </c>
      <c r="B32154" t="s">
        <v>23232</v>
      </c>
      <c r="C32154" t="s">
        <v>1803</v>
      </c>
      <c r="D32154" s="21" t="s">
        <v>34</v>
      </c>
      <c r="E32154" s="21" t="s">
        <v>71</v>
      </c>
      <c r="F32154">
        <v>7800008</v>
      </c>
      <c r="G32154" t="s">
        <v>842</v>
      </c>
      <c r="H32154" s="21">
        <v>517.16999999999996</v>
      </c>
    </row>
    <row r="32155" spans="1:8" customFormat="1" x14ac:dyDescent="0.25">
      <c r="A32155" t="str">
        <f>"3719180"</f>
        <v>3719180</v>
      </c>
      <c r="B32155" t="s">
        <v>21103</v>
      </c>
      <c r="C32155" t="s">
        <v>55</v>
      </c>
      <c r="D32155" s="21" t="s">
        <v>34</v>
      </c>
      <c r="E32155" s="21" t="s">
        <v>71</v>
      </c>
      <c r="F32155">
        <v>4370498</v>
      </c>
      <c r="G32155" t="s">
        <v>10872</v>
      </c>
      <c r="H32155" s="21">
        <v>517.16999999999996</v>
      </c>
    </row>
    <row r="32156" spans="1:8" customFormat="1" x14ac:dyDescent="0.25">
      <c r="A32156" t="str">
        <f>"5958528"</f>
        <v>5958528</v>
      </c>
      <c r="B32156" t="s">
        <v>20282</v>
      </c>
      <c r="C32156" t="s">
        <v>2479</v>
      </c>
      <c r="D32156" s="21" t="s">
        <v>34</v>
      </c>
      <c r="E32156" s="21" t="s">
        <v>254</v>
      </c>
      <c r="F32156">
        <v>7590331</v>
      </c>
      <c r="G32156" t="s">
        <v>4882</v>
      </c>
      <c r="H32156" s="21">
        <v>517.16999999999996</v>
      </c>
    </row>
    <row r="32157" spans="1:8" customFormat="1" x14ac:dyDescent="0.25">
      <c r="A32157" t="str">
        <f>"6948301"</f>
        <v>6948301</v>
      </c>
      <c r="B32157" t="s">
        <v>8637</v>
      </c>
      <c r="C32157" t="s">
        <v>33</v>
      </c>
      <c r="D32157" s="21" t="s">
        <v>34</v>
      </c>
      <c r="E32157" s="21" t="s">
        <v>35</v>
      </c>
      <c r="F32157">
        <v>1690212</v>
      </c>
      <c r="G32157" t="s">
        <v>7834</v>
      </c>
      <c r="H32157" s="21">
        <v>517.16999999999996</v>
      </c>
    </row>
    <row r="32158" spans="1:8" customFormat="1" x14ac:dyDescent="0.25">
      <c r="A32158" t="str">
        <f>"2721333"</f>
        <v>2721333</v>
      </c>
      <c r="B32158" t="s">
        <v>8685</v>
      </c>
      <c r="C32158" t="s">
        <v>288</v>
      </c>
      <c r="D32158" s="21" t="s">
        <v>34</v>
      </c>
      <c r="E32158" s="21" t="s">
        <v>35</v>
      </c>
      <c r="F32158">
        <v>9270164</v>
      </c>
      <c r="G32158" t="s">
        <v>8686</v>
      </c>
      <c r="H32158" s="21">
        <v>517.12</v>
      </c>
    </row>
    <row r="32159" spans="1:8" customFormat="1" x14ac:dyDescent="0.25">
      <c r="A32159" t="str">
        <f>"9252799"</f>
        <v>9252799</v>
      </c>
      <c r="B32159" t="s">
        <v>28460</v>
      </c>
      <c r="C32159" t="s">
        <v>43</v>
      </c>
      <c r="D32159" s="21" t="s">
        <v>34</v>
      </c>
      <c r="E32159" s="21" t="s">
        <v>35</v>
      </c>
      <c r="F32159">
        <v>8920309</v>
      </c>
      <c r="G32159" t="s">
        <v>1894</v>
      </c>
      <c r="H32159" s="21">
        <v>517</v>
      </c>
    </row>
    <row r="32160" spans="1:8" customFormat="1" x14ac:dyDescent="0.25">
      <c r="A32160" t="str">
        <f>"486438"</f>
        <v>486438</v>
      </c>
      <c r="B32160" t="s">
        <v>23661</v>
      </c>
      <c r="C32160" t="s">
        <v>486</v>
      </c>
      <c r="D32160" s="21" t="s">
        <v>34</v>
      </c>
      <c r="E32160" s="21" t="s">
        <v>35</v>
      </c>
      <c r="F32160">
        <v>11480020</v>
      </c>
      <c r="G32160" t="s">
        <v>5221</v>
      </c>
      <c r="H32160" s="21">
        <v>517</v>
      </c>
    </row>
    <row r="32161" spans="1:8" customFormat="1" x14ac:dyDescent="0.25">
      <c r="A32161" t="str">
        <f>"2617998"</f>
        <v>2617998</v>
      </c>
      <c r="B32161" t="s">
        <v>23676</v>
      </c>
      <c r="C32161" t="s">
        <v>23677</v>
      </c>
      <c r="D32161" s="21" t="s">
        <v>34</v>
      </c>
      <c r="E32161" s="21" t="s">
        <v>71</v>
      </c>
      <c r="F32161">
        <v>1260054</v>
      </c>
      <c r="G32161" t="s">
        <v>358</v>
      </c>
      <c r="H32161" s="21">
        <v>517</v>
      </c>
    </row>
    <row r="32162" spans="1:8" customFormat="1" x14ac:dyDescent="0.25">
      <c r="A32162" t="str">
        <f>"5967148"</f>
        <v>5967148</v>
      </c>
      <c r="B32162" t="s">
        <v>22988</v>
      </c>
      <c r="C32162" t="s">
        <v>119</v>
      </c>
      <c r="D32162" s="21" t="s">
        <v>34</v>
      </c>
      <c r="E32162" s="21" t="s">
        <v>35</v>
      </c>
      <c r="F32162">
        <v>7590003</v>
      </c>
      <c r="G32162" t="s">
        <v>1166</v>
      </c>
      <c r="H32162" s="21">
        <v>517</v>
      </c>
    </row>
    <row r="32163" spans="1:8" customFormat="1" x14ac:dyDescent="0.25">
      <c r="A32163" t="str">
        <f>"2915846"</f>
        <v>2915846</v>
      </c>
      <c r="B32163" t="s">
        <v>4124</v>
      </c>
      <c r="C32163" t="s">
        <v>2479</v>
      </c>
      <c r="D32163" s="21" t="s">
        <v>34</v>
      </c>
      <c r="E32163" s="21" t="s">
        <v>254</v>
      </c>
      <c r="F32163">
        <v>3290263</v>
      </c>
      <c r="G32163" t="s">
        <v>4108</v>
      </c>
      <c r="H32163" s="21">
        <v>517</v>
      </c>
    </row>
    <row r="32164" spans="1:8" customFormat="1" x14ac:dyDescent="0.25">
      <c r="A32164" t="str">
        <f>"104354"</f>
        <v>104354</v>
      </c>
      <c r="B32164" t="s">
        <v>646</v>
      </c>
      <c r="C32164" t="s">
        <v>2546</v>
      </c>
      <c r="D32164" s="21" t="s">
        <v>34</v>
      </c>
      <c r="E32164" s="21" t="s">
        <v>1089</v>
      </c>
      <c r="F32164">
        <v>6100002</v>
      </c>
      <c r="G32164" t="s">
        <v>1602</v>
      </c>
      <c r="H32164" s="21">
        <v>517</v>
      </c>
    </row>
    <row r="32165" spans="1:8" customFormat="1" x14ac:dyDescent="0.25">
      <c r="A32165" t="str">
        <f>"1426003"</f>
        <v>1426003</v>
      </c>
      <c r="B32165" t="s">
        <v>9431</v>
      </c>
      <c r="C32165" t="s">
        <v>62</v>
      </c>
      <c r="D32165" s="21" t="s">
        <v>34</v>
      </c>
      <c r="E32165" s="21" t="s">
        <v>35</v>
      </c>
      <c r="F32165">
        <v>9140216</v>
      </c>
      <c r="G32165" t="s">
        <v>11740</v>
      </c>
      <c r="H32165" s="21">
        <v>517</v>
      </c>
    </row>
    <row r="32166" spans="1:8" customFormat="1" x14ac:dyDescent="0.25">
      <c r="A32166" t="str">
        <f>"8018770"</f>
        <v>8018770</v>
      </c>
      <c r="B32166" t="s">
        <v>1456</v>
      </c>
      <c r="C32166" t="s">
        <v>55</v>
      </c>
      <c r="D32166" s="21" t="s">
        <v>34</v>
      </c>
      <c r="E32166" s="21" t="s">
        <v>71</v>
      </c>
      <c r="F32166">
        <v>7800147</v>
      </c>
      <c r="G32166" t="s">
        <v>10438</v>
      </c>
      <c r="H32166" s="21">
        <v>517</v>
      </c>
    </row>
    <row r="32167" spans="1:8" customFormat="1" x14ac:dyDescent="0.25">
      <c r="A32167" t="str">
        <f>"898847"</f>
        <v>898847</v>
      </c>
      <c r="B32167" t="s">
        <v>6487</v>
      </c>
      <c r="C32167" t="s">
        <v>209</v>
      </c>
      <c r="D32167" s="21" t="s">
        <v>34</v>
      </c>
      <c r="E32167" s="21" t="s">
        <v>254</v>
      </c>
      <c r="F32167">
        <v>2890010</v>
      </c>
      <c r="G32167" t="s">
        <v>3790</v>
      </c>
      <c r="H32167" s="21">
        <v>517</v>
      </c>
    </row>
    <row r="32168" spans="1:8" customFormat="1" x14ac:dyDescent="0.25">
      <c r="A32168" t="str">
        <f>"2511308"</f>
        <v>2511308</v>
      </c>
      <c r="B32168" t="s">
        <v>10258</v>
      </c>
      <c r="C32168" t="s">
        <v>87</v>
      </c>
      <c r="D32168" s="21" t="s">
        <v>34</v>
      </c>
      <c r="E32168" s="21" t="s">
        <v>71</v>
      </c>
      <c r="F32168">
        <v>2250017</v>
      </c>
      <c r="G32168" t="s">
        <v>521</v>
      </c>
      <c r="H32168" s="21">
        <v>517</v>
      </c>
    </row>
    <row r="32169" spans="1:8" customFormat="1" x14ac:dyDescent="0.25">
      <c r="A32169" t="str">
        <f>"824239"</f>
        <v>824239</v>
      </c>
      <c r="B32169" t="s">
        <v>28461</v>
      </c>
      <c r="C32169" t="s">
        <v>204</v>
      </c>
      <c r="D32169" s="21" t="s">
        <v>34</v>
      </c>
      <c r="E32169" s="21" t="s">
        <v>35</v>
      </c>
      <c r="F32169">
        <v>11820007</v>
      </c>
      <c r="G32169" t="s">
        <v>532</v>
      </c>
      <c r="H32169" s="21">
        <v>517</v>
      </c>
    </row>
    <row r="32170" spans="1:8" customFormat="1" x14ac:dyDescent="0.25">
      <c r="A32170" t="str">
        <f>"7823911"</f>
        <v>7823911</v>
      </c>
      <c r="B32170" t="s">
        <v>8817</v>
      </c>
      <c r="C32170" t="s">
        <v>379</v>
      </c>
      <c r="D32170" s="21" t="s">
        <v>34</v>
      </c>
      <c r="E32170" s="21" t="s">
        <v>254</v>
      </c>
      <c r="F32170">
        <v>8781196</v>
      </c>
      <c r="G32170" t="s">
        <v>8007</v>
      </c>
      <c r="H32170" s="21">
        <v>517</v>
      </c>
    </row>
    <row r="32171" spans="1:8" customFormat="1" x14ac:dyDescent="0.25">
      <c r="A32171" t="str">
        <f>"3117761"</f>
        <v>3117761</v>
      </c>
      <c r="B32171" t="s">
        <v>727</v>
      </c>
      <c r="C32171" t="s">
        <v>462</v>
      </c>
      <c r="D32171" s="21" t="s">
        <v>34</v>
      </c>
      <c r="E32171" s="21" t="s">
        <v>71</v>
      </c>
      <c r="F32171">
        <v>11310075</v>
      </c>
      <c r="G32171" t="s">
        <v>2531</v>
      </c>
      <c r="H32171" s="21">
        <v>517</v>
      </c>
    </row>
    <row r="32172" spans="1:8" customFormat="1" x14ac:dyDescent="0.25">
      <c r="A32172" t="str">
        <f>"7642267"</f>
        <v>7642267</v>
      </c>
      <c r="B32172" t="s">
        <v>17255</v>
      </c>
      <c r="C32172" t="s">
        <v>204</v>
      </c>
      <c r="D32172" s="21" t="s">
        <v>34</v>
      </c>
      <c r="E32172" s="21" t="s">
        <v>35</v>
      </c>
      <c r="F32172">
        <v>9760028</v>
      </c>
      <c r="G32172" t="s">
        <v>4086</v>
      </c>
      <c r="H32172" s="21">
        <v>517</v>
      </c>
    </row>
    <row r="32173" spans="1:8" customFormat="1" x14ac:dyDescent="0.25">
      <c r="A32173" t="str">
        <f>"0812684"</f>
        <v>0812684</v>
      </c>
      <c r="B32173" t="s">
        <v>9251</v>
      </c>
      <c r="C32173" t="s">
        <v>1559</v>
      </c>
      <c r="D32173" s="21" t="s">
        <v>34</v>
      </c>
      <c r="E32173" s="21" t="s">
        <v>71</v>
      </c>
      <c r="F32173">
        <v>6080035</v>
      </c>
      <c r="G32173" t="s">
        <v>583</v>
      </c>
      <c r="H32173" s="21">
        <v>517</v>
      </c>
    </row>
    <row r="32174" spans="1:8" customFormat="1" x14ac:dyDescent="0.25">
      <c r="A32174" t="str">
        <f>"991889"</f>
        <v>991889</v>
      </c>
      <c r="B32174" t="s">
        <v>28462</v>
      </c>
      <c r="C32174" t="s">
        <v>169</v>
      </c>
      <c r="D32174" s="21" t="s">
        <v>34</v>
      </c>
      <c r="E32174" s="21" t="s">
        <v>35</v>
      </c>
      <c r="F32174">
        <v>5990014</v>
      </c>
      <c r="G32174" t="s">
        <v>11225</v>
      </c>
      <c r="H32174" s="21">
        <v>517</v>
      </c>
    </row>
    <row r="32175" spans="1:8" customFormat="1" x14ac:dyDescent="0.25">
      <c r="A32175" t="str">
        <f>"889029"</f>
        <v>889029</v>
      </c>
      <c r="B32175" t="s">
        <v>28463</v>
      </c>
      <c r="C32175" t="s">
        <v>547</v>
      </c>
      <c r="D32175" s="21" t="s">
        <v>34</v>
      </c>
      <c r="E32175" s="21" t="s">
        <v>1089</v>
      </c>
      <c r="F32175">
        <v>6680111</v>
      </c>
      <c r="G32175" t="s">
        <v>3422</v>
      </c>
      <c r="H32175" s="21">
        <v>517</v>
      </c>
    </row>
    <row r="32176" spans="1:8" customFormat="1" x14ac:dyDescent="0.25">
      <c r="A32176" t="str">
        <f>"6314887"</f>
        <v>6314887</v>
      </c>
      <c r="B32176" t="s">
        <v>23847</v>
      </c>
      <c r="C32176" t="s">
        <v>462</v>
      </c>
      <c r="D32176" s="21" t="s">
        <v>34</v>
      </c>
      <c r="E32176" s="21" t="s">
        <v>254</v>
      </c>
      <c r="F32176">
        <v>1630005</v>
      </c>
      <c r="G32176" t="s">
        <v>8825</v>
      </c>
      <c r="H32176" s="21">
        <v>517</v>
      </c>
    </row>
    <row r="32177" spans="1:8" customFormat="1" x14ac:dyDescent="0.25">
      <c r="A32177" t="str">
        <f>"3321992"</f>
        <v>3321992</v>
      </c>
      <c r="B32177" t="s">
        <v>6935</v>
      </c>
      <c r="C32177" t="s">
        <v>1705</v>
      </c>
      <c r="D32177" s="21" t="s">
        <v>34</v>
      </c>
      <c r="E32177" s="21" t="s">
        <v>254</v>
      </c>
      <c r="F32177">
        <v>10330125</v>
      </c>
      <c r="G32177" t="s">
        <v>3753</v>
      </c>
      <c r="H32177" s="21">
        <v>516.91999999999996</v>
      </c>
    </row>
    <row r="32178" spans="1:8" customFormat="1" x14ac:dyDescent="0.25">
      <c r="A32178" t="str">
        <f>"3724798"</f>
        <v>3724798</v>
      </c>
      <c r="B32178" t="s">
        <v>4352</v>
      </c>
      <c r="C32178" t="s">
        <v>462</v>
      </c>
      <c r="D32178" s="21" t="s">
        <v>34</v>
      </c>
      <c r="E32178" s="21" t="s">
        <v>71</v>
      </c>
      <c r="F32178">
        <v>4370708</v>
      </c>
      <c r="G32178" t="s">
        <v>21080</v>
      </c>
      <c r="H32178" s="21">
        <v>516.91999999999996</v>
      </c>
    </row>
    <row r="32179" spans="1:8" customFormat="1" x14ac:dyDescent="0.25">
      <c r="A32179" t="str">
        <f>"2719198"</f>
        <v>2719198</v>
      </c>
      <c r="B32179" t="s">
        <v>582</v>
      </c>
      <c r="C32179" t="s">
        <v>119</v>
      </c>
      <c r="D32179" s="21" t="s">
        <v>34</v>
      </c>
      <c r="E32179" s="21" t="s">
        <v>35</v>
      </c>
      <c r="F32179">
        <v>9270185</v>
      </c>
      <c r="G32179" t="s">
        <v>9160</v>
      </c>
      <c r="H32179" s="21">
        <v>516.79</v>
      </c>
    </row>
    <row r="32180" spans="1:8" customFormat="1" x14ac:dyDescent="0.25">
      <c r="A32180" t="str">
        <f>"124667"</f>
        <v>124667</v>
      </c>
      <c r="B32180" t="s">
        <v>21530</v>
      </c>
      <c r="C32180" t="s">
        <v>285</v>
      </c>
      <c r="D32180" s="21" t="s">
        <v>34</v>
      </c>
      <c r="E32180" s="21" t="s">
        <v>71</v>
      </c>
      <c r="F32180">
        <v>11120017</v>
      </c>
      <c r="G32180" t="s">
        <v>6560</v>
      </c>
      <c r="H32180" s="21">
        <v>516.66999999999996</v>
      </c>
    </row>
    <row r="32181" spans="1:8" customFormat="1" x14ac:dyDescent="0.25">
      <c r="A32181" t="str">
        <f>"4218643"</f>
        <v>4218643</v>
      </c>
      <c r="B32181" t="s">
        <v>22581</v>
      </c>
      <c r="C32181" t="s">
        <v>156</v>
      </c>
      <c r="D32181" s="21" t="s">
        <v>34</v>
      </c>
      <c r="E32181" s="21" t="s">
        <v>35</v>
      </c>
      <c r="F32181">
        <v>1420078</v>
      </c>
      <c r="G32181" t="s">
        <v>4287</v>
      </c>
      <c r="H32181" s="21">
        <v>516.66999999999996</v>
      </c>
    </row>
    <row r="32182" spans="1:8" customFormat="1" x14ac:dyDescent="0.25">
      <c r="A32182" t="str">
        <f>"246730"</f>
        <v>246730</v>
      </c>
      <c r="B32182" t="s">
        <v>2481</v>
      </c>
      <c r="C32182" t="s">
        <v>462</v>
      </c>
      <c r="D32182" s="21" t="s">
        <v>34</v>
      </c>
      <c r="E32182" s="21" t="s">
        <v>35</v>
      </c>
      <c r="F32182">
        <v>10240006</v>
      </c>
      <c r="G32182" t="s">
        <v>7296</v>
      </c>
      <c r="H32182" s="21">
        <v>516.66999999999996</v>
      </c>
    </row>
    <row r="32183" spans="1:8" customFormat="1" x14ac:dyDescent="0.25">
      <c r="A32183" t="str">
        <f>"2815280"</f>
        <v>2815280</v>
      </c>
      <c r="B32183" t="s">
        <v>28464</v>
      </c>
      <c r="C32183" t="s">
        <v>263</v>
      </c>
      <c r="D32183" s="21" t="s">
        <v>34</v>
      </c>
      <c r="E32183" s="21" t="s">
        <v>71</v>
      </c>
      <c r="F32183">
        <v>4280529</v>
      </c>
      <c r="G32183" t="s">
        <v>2970</v>
      </c>
      <c r="H32183" s="21">
        <v>516.66999999999996</v>
      </c>
    </row>
    <row r="32184" spans="1:8" customFormat="1" x14ac:dyDescent="0.25">
      <c r="A32184" t="str">
        <f>"09524"</f>
        <v>09524</v>
      </c>
      <c r="B32184" t="s">
        <v>20972</v>
      </c>
      <c r="C32184" t="s">
        <v>4721</v>
      </c>
      <c r="D32184" s="21" t="s">
        <v>34</v>
      </c>
      <c r="E32184" s="21" t="s">
        <v>1089</v>
      </c>
      <c r="F32184">
        <v>11090014</v>
      </c>
      <c r="G32184" t="s">
        <v>9140</v>
      </c>
      <c r="H32184" s="21">
        <v>516.66999999999996</v>
      </c>
    </row>
    <row r="32185" spans="1:8" customFormat="1" x14ac:dyDescent="0.25">
      <c r="A32185" t="str">
        <f>"617399"</f>
        <v>617399</v>
      </c>
      <c r="B32185" t="s">
        <v>1349</v>
      </c>
      <c r="C32185" t="s">
        <v>267</v>
      </c>
      <c r="D32185" s="21" t="s">
        <v>34</v>
      </c>
      <c r="E32185" s="21" t="s">
        <v>1089</v>
      </c>
      <c r="F32185">
        <v>9610073</v>
      </c>
      <c r="G32185" t="s">
        <v>8382</v>
      </c>
      <c r="H32185" s="21">
        <v>516.66999999999996</v>
      </c>
    </row>
    <row r="32186" spans="1:8" customFormat="1" x14ac:dyDescent="0.25">
      <c r="A32186" t="str">
        <f>"7877288"</f>
        <v>7877288</v>
      </c>
      <c r="B32186" t="s">
        <v>3191</v>
      </c>
      <c r="C32186" t="s">
        <v>43</v>
      </c>
      <c r="D32186" s="21" t="s">
        <v>34</v>
      </c>
      <c r="E32186" s="21" t="s">
        <v>35</v>
      </c>
      <c r="F32186">
        <v>8780496</v>
      </c>
      <c r="G32186" t="s">
        <v>2477</v>
      </c>
      <c r="H32186" s="21">
        <v>516.66999999999996</v>
      </c>
    </row>
    <row r="32187" spans="1:8" customFormat="1" x14ac:dyDescent="0.25">
      <c r="A32187" t="str">
        <f>"777351"</f>
        <v>777351</v>
      </c>
      <c r="B32187" t="s">
        <v>28465</v>
      </c>
      <c r="C32187" t="s">
        <v>288</v>
      </c>
      <c r="D32187" s="21" t="s">
        <v>34</v>
      </c>
      <c r="E32187" s="21" t="s">
        <v>35</v>
      </c>
      <c r="F32187">
        <v>8750100</v>
      </c>
      <c r="G32187" t="s">
        <v>10521</v>
      </c>
      <c r="H32187" s="21">
        <v>516.66999999999996</v>
      </c>
    </row>
    <row r="32188" spans="1:8" customFormat="1" x14ac:dyDescent="0.25">
      <c r="A32188" t="str">
        <f>"5977650"</f>
        <v>5977650</v>
      </c>
      <c r="B32188" t="s">
        <v>22693</v>
      </c>
      <c r="C32188" t="s">
        <v>1110</v>
      </c>
      <c r="D32188" s="21" t="s">
        <v>34</v>
      </c>
      <c r="E32188" s="21" t="s">
        <v>254</v>
      </c>
      <c r="F32188">
        <v>7590021</v>
      </c>
      <c r="G32188" t="s">
        <v>4910</v>
      </c>
      <c r="H32188" s="21">
        <v>516.66999999999996</v>
      </c>
    </row>
    <row r="32189" spans="1:8" customFormat="1" x14ac:dyDescent="0.25">
      <c r="A32189" t="str">
        <f>"519026"</f>
        <v>519026</v>
      </c>
      <c r="B32189" t="s">
        <v>10836</v>
      </c>
      <c r="C32189" t="s">
        <v>598</v>
      </c>
      <c r="D32189" s="21" t="s">
        <v>34</v>
      </c>
      <c r="E32189" s="21" t="s">
        <v>254</v>
      </c>
      <c r="F32189">
        <v>11810028</v>
      </c>
      <c r="G32189" t="s">
        <v>5817</v>
      </c>
      <c r="H32189" s="21">
        <v>516.66999999999996</v>
      </c>
    </row>
    <row r="32190" spans="1:8" customFormat="1" x14ac:dyDescent="0.25">
      <c r="A32190" t="str">
        <f>"6022533"</f>
        <v>6022533</v>
      </c>
      <c r="B32190" t="s">
        <v>8279</v>
      </c>
      <c r="C32190" t="s">
        <v>114</v>
      </c>
      <c r="D32190" s="21" t="s">
        <v>34</v>
      </c>
      <c r="E32190" s="21" t="s">
        <v>254</v>
      </c>
      <c r="F32190">
        <v>7600168</v>
      </c>
      <c r="G32190" t="s">
        <v>27372</v>
      </c>
      <c r="H32190" s="21">
        <v>516.66999999999996</v>
      </c>
    </row>
    <row r="32191" spans="1:8" customFormat="1" x14ac:dyDescent="0.25">
      <c r="A32191" t="str">
        <f>"3536993"</f>
        <v>3536993</v>
      </c>
      <c r="B32191" t="s">
        <v>10803</v>
      </c>
      <c r="C32191" t="s">
        <v>169</v>
      </c>
      <c r="D32191" s="21" t="s">
        <v>34</v>
      </c>
      <c r="E32191" s="21" t="s">
        <v>71</v>
      </c>
      <c r="F32191">
        <v>3350150</v>
      </c>
      <c r="G32191" t="s">
        <v>6419</v>
      </c>
      <c r="H32191" s="21">
        <v>516.66999999999996</v>
      </c>
    </row>
    <row r="32192" spans="1:8" customFormat="1" x14ac:dyDescent="0.25">
      <c r="A32192" t="str">
        <f>"4414169"</f>
        <v>4414169</v>
      </c>
      <c r="B32192" t="s">
        <v>1185</v>
      </c>
      <c r="C32192" t="s">
        <v>130</v>
      </c>
      <c r="D32192" s="21" t="s">
        <v>34</v>
      </c>
      <c r="E32192" s="21" t="s">
        <v>71</v>
      </c>
      <c r="F32192">
        <v>12440139</v>
      </c>
      <c r="G32192" t="s">
        <v>2655</v>
      </c>
      <c r="H32192" s="21">
        <v>516.66999999999996</v>
      </c>
    </row>
    <row r="32193" spans="1:8" customFormat="1" x14ac:dyDescent="0.25">
      <c r="A32193" t="str">
        <f>"9318103"</f>
        <v>9318103</v>
      </c>
      <c r="B32193" t="s">
        <v>8648</v>
      </c>
      <c r="C32193" t="s">
        <v>204</v>
      </c>
      <c r="D32193" s="21" t="s">
        <v>34</v>
      </c>
      <c r="E32193" s="21" t="s">
        <v>35</v>
      </c>
      <c r="F32193">
        <v>8930113</v>
      </c>
      <c r="G32193" t="s">
        <v>368</v>
      </c>
      <c r="H32193" s="21">
        <v>516.66999999999996</v>
      </c>
    </row>
    <row r="32194" spans="1:8" customFormat="1" x14ac:dyDescent="0.25">
      <c r="A32194" t="str">
        <f>"9422192"</f>
        <v>9422192</v>
      </c>
      <c r="B32194" t="s">
        <v>21901</v>
      </c>
      <c r="C32194" t="s">
        <v>5855</v>
      </c>
      <c r="D32194" s="21" t="s">
        <v>34</v>
      </c>
      <c r="E32194" s="21" t="s">
        <v>254</v>
      </c>
      <c r="F32194">
        <v>8940524</v>
      </c>
      <c r="G32194" t="s">
        <v>6176</v>
      </c>
      <c r="H32194" s="21">
        <v>516.66999999999996</v>
      </c>
    </row>
    <row r="32195" spans="1:8" customFormat="1" x14ac:dyDescent="0.25">
      <c r="A32195" t="str">
        <f>"631331"</f>
        <v>631331</v>
      </c>
      <c r="B32195" t="s">
        <v>21369</v>
      </c>
      <c r="C32195" t="s">
        <v>5701</v>
      </c>
      <c r="D32195" s="21" t="s">
        <v>34</v>
      </c>
      <c r="E32195" s="21" t="s">
        <v>71</v>
      </c>
      <c r="F32195">
        <v>1630121</v>
      </c>
      <c r="G32195" t="s">
        <v>3663</v>
      </c>
      <c r="H32195" s="21">
        <v>516.66999999999996</v>
      </c>
    </row>
    <row r="32196" spans="1:8" customFormat="1" x14ac:dyDescent="0.25">
      <c r="A32196" t="str">
        <f>"5619465"</f>
        <v>5619465</v>
      </c>
      <c r="B32196" t="s">
        <v>3947</v>
      </c>
      <c r="C32196" t="s">
        <v>462</v>
      </c>
      <c r="D32196" s="21" t="s">
        <v>34</v>
      </c>
      <c r="E32196" s="21" t="s">
        <v>254</v>
      </c>
      <c r="F32196">
        <v>3560049</v>
      </c>
      <c r="G32196" t="s">
        <v>8021</v>
      </c>
      <c r="H32196" s="21">
        <v>516.66999999999996</v>
      </c>
    </row>
    <row r="32197" spans="1:8" customFormat="1" x14ac:dyDescent="0.25">
      <c r="A32197" t="str">
        <f>"9142115"</f>
        <v>9142115</v>
      </c>
      <c r="B32197" t="s">
        <v>21876</v>
      </c>
      <c r="C32197" t="s">
        <v>2734</v>
      </c>
      <c r="D32197" s="21" t="s">
        <v>34</v>
      </c>
      <c r="E32197" s="21" t="s">
        <v>35</v>
      </c>
      <c r="F32197">
        <v>8910402</v>
      </c>
      <c r="G32197" t="s">
        <v>1371</v>
      </c>
      <c r="H32197" s="21">
        <v>516.66999999999996</v>
      </c>
    </row>
    <row r="32198" spans="1:8" customFormat="1" x14ac:dyDescent="0.25">
      <c r="A32198" t="str">
        <f>"6227533"</f>
        <v>6227533</v>
      </c>
      <c r="B32198" t="s">
        <v>7778</v>
      </c>
      <c r="C32198" t="s">
        <v>1100</v>
      </c>
      <c r="D32198" s="21" t="s">
        <v>34</v>
      </c>
      <c r="E32198" s="21" t="s">
        <v>35</v>
      </c>
      <c r="F32198">
        <v>7620090</v>
      </c>
      <c r="G32198" t="s">
        <v>15041</v>
      </c>
      <c r="H32198" s="21">
        <v>516.66999999999996</v>
      </c>
    </row>
    <row r="32199" spans="1:8" customFormat="1" x14ac:dyDescent="0.25">
      <c r="A32199" t="str">
        <f>"8521086"</f>
        <v>8521086</v>
      </c>
      <c r="B32199" t="s">
        <v>22340</v>
      </c>
      <c r="C32199" t="s">
        <v>598</v>
      </c>
      <c r="D32199" s="21" t="s">
        <v>34</v>
      </c>
      <c r="E32199" s="21" t="s">
        <v>35</v>
      </c>
      <c r="F32199">
        <v>12851018</v>
      </c>
      <c r="G32199" t="s">
        <v>8085</v>
      </c>
      <c r="H32199" s="21">
        <v>516.66999999999996</v>
      </c>
    </row>
    <row r="32200" spans="1:8" customFormat="1" x14ac:dyDescent="0.25">
      <c r="A32200" t="str">
        <f>"9315693"</f>
        <v>9315693</v>
      </c>
      <c r="B32200" t="s">
        <v>21450</v>
      </c>
      <c r="C32200" t="s">
        <v>469</v>
      </c>
      <c r="D32200" s="21" t="s">
        <v>34</v>
      </c>
      <c r="E32200" s="21" t="s">
        <v>35</v>
      </c>
      <c r="F32200">
        <v>8930430</v>
      </c>
      <c r="G32200" t="s">
        <v>995</v>
      </c>
      <c r="H32200" s="21">
        <v>516.66999999999996</v>
      </c>
    </row>
    <row r="32201" spans="1:8" customFormat="1" x14ac:dyDescent="0.25">
      <c r="A32201" t="str">
        <f>"416324"</f>
        <v>416324</v>
      </c>
      <c r="B32201" t="s">
        <v>11984</v>
      </c>
      <c r="C32201" t="s">
        <v>418</v>
      </c>
      <c r="D32201" s="21" t="s">
        <v>34</v>
      </c>
      <c r="E32201" s="21" t="s">
        <v>71</v>
      </c>
      <c r="F32201">
        <v>4410728</v>
      </c>
      <c r="G32201" t="s">
        <v>2241</v>
      </c>
      <c r="H32201" s="21">
        <v>516.54</v>
      </c>
    </row>
    <row r="32202" spans="1:8" customFormat="1" x14ac:dyDescent="0.25">
      <c r="A32202" t="str">
        <f>"9243195"</f>
        <v>9243195</v>
      </c>
      <c r="B32202" t="s">
        <v>8862</v>
      </c>
      <c r="C32202" t="s">
        <v>2370</v>
      </c>
      <c r="D32202" s="21" t="s">
        <v>34</v>
      </c>
      <c r="E32202" s="21" t="s">
        <v>35</v>
      </c>
      <c r="F32202">
        <v>8921190</v>
      </c>
      <c r="G32202" t="s">
        <v>810</v>
      </c>
      <c r="H32202" s="21">
        <v>516.5</v>
      </c>
    </row>
    <row r="32203" spans="1:8" customFormat="1" x14ac:dyDescent="0.25">
      <c r="A32203" t="str">
        <f>"6726608"</f>
        <v>6726608</v>
      </c>
      <c r="B32203" t="s">
        <v>28466</v>
      </c>
      <c r="C32203" t="s">
        <v>631</v>
      </c>
      <c r="D32203" s="21" t="s">
        <v>34</v>
      </c>
      <c r="E32203" s="21" t="s">
        <v>35</v>
      </c>
      <c r="F32203">
        <v>6670043</v>
      </c>
      <c r="G32203" t="s">
        <v>5658</v>
      </c>
      <c r="H32203" s="21">
        <v>516.5</v>
      </c>
    </row>
    <row r="32204" spans="1:8" customFormat="1" x14ac:dyDescent="0.25">
      <c r="A32204" t="str">
        <f>"3014308"</f>
        <v>3014308</v>
      </c>
      <c r="B32204" t="s">
        <v>28467</v>
      </c>
      <c r="C32204" t="s">
        <v>262</v>
      </c>
      <c r="D32204" s="21" t="s">
        <v>34</v>
      </c>
      <c r="E32204" s="21" t="s">
        <v>35</v>
      </c>
      <c r="F32204">
        <v>11300015</v>
      </c>
      <c r="G32204" t="s">
        <v>12613</v>
      </c>
      <c r="H32204" s="21">
        <v>516.5</v>
      </c>
    </row>
    <row r="32205" spans="1:8" customFormat="1" x14ac:dyDescent="0.25">
      <c r="A32205" t="str">
        <f>"5311698"</f>
        <v>5311698</v>
      </c>
      <c r="B32205" t="s">
        <v>392</v>
      </c>
      <c r="C32205" t="s">
        <v>621</v>
      </c>
      <c r="D32205" s="21" t="s">
        <v>34</v>
      </c>
      <c r="E32205" s="21" t="s">
        <v>71</v>
      </c>
      <c r="F32205">
        <v>12530124</v>
      </c>
      <c r="G32205" t="s">
        <v>4935</v>
      </c>
      <c r="H32205" s="21">
        <v>516.5</v>
      </c>
    </row>
    <row r="32206" spans="1:8" customFormat="1" x14ac:dyDescent="0.25">
      <c r="A32206" t="str">
        <f>"0812530"</f>
        <v>0812530</v>
      </c>
      <c r="B32206" t="s">
        <v>28468</v>
      </c>
      <c r="C32206" t="s">
        <v>40</v>
      </c>
      <c r="D32206" s="21" t="s">
        <v>34</v>
      </c>
      <c r="E32206" s="21" t="s">
        <v>71</v>
      </c>
      <c r="F32206">
        <v>6080072</v>
      </c>
      <c r="G32206" t="s">
        <v>6765</v>
      </c>
      <c r="H32206" s="21">
        <v>516.5</v>
      </c>
    </row>
    <row r="32207" spans="1:8" customFormat="1" x14ac:dyDescent="0.25">
      <c r="A32207" t="str">
        <f>"637984"</f>
        <v>637984</v>
      </c>
      <c r="B32207" t="s">
        <v>2210</v>
      </c>
      <c r="C32207" t="s">
        <v>62</v>
      </c>
      <c r="D32207" s="21" t="s">
        <v>34</v>
      </c>
      <c r="E32207" s="21" t="s">
        <v>35</v>
      </c>
      <c r="F32207">
        <v>1630185</v>
      </c>
      <c r="G32207" t="s">
        <v>858</v>
      </c>
      <c r="H32207" s="21">
        <v>516.5</v>
      </c>
    </row>
    <row r="32208" spans="1:8" customFormat="1" x14ac:dyDescent="0.25">
      <c r="A32208" t="str">
        <f>"6721787"</f>
        <v>6721787</v>
      </c>
      <c r="B32208" t="s">
        <v>23290</v>
      </c>
      <c r="C32208" t="s">
        <v>547</v>
      </c>
      <c r="D32208" s="21" t="s">
        <v>34</v>
      </c>
      <c r="E32208" s="21" t="s">
        <v>71</v>
      </c>
      <c r="F32208">
        <v>10160029</v>
      </c>
      <c r="G32208" t="s">
        <v>896</v>
      </c>
      <c r="H32208" s="21">
        <v>516.5</v>
      </c>
    </row>
    <row r="32209" spans="1:8" customFormat="1" x14ac:dyDescent="0.25">
      <c r="A32209" t="str">
        <f>"2935232"</f>
        <v>2935232</v>
      </c>
      <c r="B32209" t="s">
        <v>6678</v>
      </c>
      <c r="C32209" t="s">
        <v>169</v>
      </c>
      <c r="D32209" s="21" t="s">
        <v>34</v>
      </c>
      <c r="E32209" s="21" t="s">
        <v>35</v>
      </c>
      <c r="F32209">
        <v>3290081</v>
      </c>
      <c r="G32209" t="s">
        <v>3819</v>
      </c>
      <c r="H32209" s="21">
        <v>516.5</v>
      </c>
    </row>
    <row r="32210" spans="1:8" customFormat="1" x14ac:dyDescent="0.25">
      <c r="A32210" t="str">
        <f>"153609"</f>
        <v>153609</v>
      </c>
      <c r="B32210" t="s">
        <v>7619</v>
      </c>
      <c r="C32210" t="s">
        <v>151</v>
      </c>
      <c r="D32210" s="21" t="s">
        <v>34</v>
      </c>
      <c r="E32210" s="21" t="s">
        <v>71</v>
      </c>
      <c r="F32210">
        <v>1150148</v>
      </c>
      <c r="G32210" t="s">
        <v>7485</v>
      </c>
      <c r="H32210" s="21">
        <v>516.5</v>
      </c>
    </row>
    <row r="32211" spans="1:8" customFormat="1" x14ac:dyDescent="0.25">
      <c r="A32211" t="str">
        <f>"814023"</f>
        <v>814023</v>
      </c>
      <c r="B32211" t="s">
        <v>11131</v>
      </c>
      <c r="C32211" t="s">
        <v>879</v>
      </c>
      <c r="D32211" s="21" t="s">
        <v>34</v>
      </c>
      <c r="E32211" s="21" t="s">
        <v>35</v>
      </c>
      <c r="F32211">
        <v>11810030</v>
      </c>
      <c r="G32211" t="s">
        <v>27055</v>
      </c>
      <c r="H32211" s="21">
        <v>516.41999999999996</v>
      </c>
    </row>
    <row r="32212" spans="1:8" customFormat="1" x14ac:dyDescent="0.25">
      <c r="A32212" t="str">
        <f>"3425566"</f>
        <v>3425566</v>
      </c>
      <c r="B32212" t="s">
        <v>24536</v>
      </c>
      <c r="C32212" t="s">
        <v>65</v>
      </c>
      <c r="D32212" s="21" t="s">
        <v>34</v>
      </c>
      <c r="E32212" s="21" t="s">
        <v>71</v>
      </c>
      <c r="F32212">
        <v>11340047</v>
      </c>
      <c r="G32212" t="s">
        <v>4303</v>
      </c>
      <c r="H32212" s="21">
        <v>516.41999999999996</v>
      </c>
    </row>
    <row r="32213" spans="1:8" customFormat="1" x14ac:dyDescent="0.25">
      <c r="A32213" t="str">
        <f>"721137"</f>
        <v>721137</v>
      </c>
      <c r="B32213" t="s">
        <v>21381</v>
      </c>
      <c r="C32213" t="s">
        <v>2479</v>
      </c>
      <c r="D32213" s="21" t="s">
        <v>34</v>
      </c>
      <c r="E32213" s="21" t="s">
        <v>1089</v>
      </c>
      <c r="F32213">
        <v>12720006</v>
      </c>
      <c r="G32213" t="s">
        <v>4022</v>
      </c>
      <c r="H32213" s="21">
        <v>516.41999999999996</v>
      </c>
    </row>
    <row r="32214" spans="1:8" customFormat="1" x14ac:dyDescent="0.25">
      <c r="A32214" t="str">
        <f>"3417474"</f>
        <v>3417474</v>
      </c>
      <c r="B32214" t="s">
        <v>24773</v>
      </c>
      <c r="C32214" t="s">
        <v>412</v>
      </c>
      <c r="D32214" s="21" t="s">
        <v>34</v>
      </c>
      <c r="E32214" s="21" t="s">
        <v>254</v>
      </c>
      <c r="F32214">
        <v>11340007</v>
      </c>
      <c r="G32214" t="s">
        <v>2278</v>
      </c>
      <c r="H32214" s="21">
        <v>516.41999999999996</v>
      </c>
    </row>
    <row r="32215" spans="1:8" customFormat="1" x14ac:dyDescent="0.25">
      <c r="A32215" t="str">
        <f>"9530456"</f>
        <v>9530456</v>
      </c>
      <c r="B32215" t="s">
        <v>28469</v>
      </c>
      <c r="C32215" t="s">
        <v>87</v>
      </c>
      <c r="D32215" s="21" t="s">
        <v>34</v>
      </c>
      <c r="E32215" s="21" t="s">
        <v>35</v>
      </c>
      <c r="F32215">
        <v>8931011</v>
      </c>
      <c r="G32215" t="s">
        <v>530</v>
      </c>
      <c r="H32215" s="21">
        <v>516.25</v>
      </c>
    </row>
    <row r="32216" spans="1:8" customFormat="1" x14ac:dyDescent="0.25">
      <c r="A32216" t="str">
        <f>"3118921"</f>
        <v>3118921</v>
      </c>
      <c r="B32216" t="s">
        <v>22244</v>
      </c>
      <c r="C32216" t="s">
        <v>10083</v>
      </c>
      <c r="D32216" s="21" t="s">
        <v>34</v>
      </c>
      <c r="E32216" s="21" t="s">
        <v>71</v>
      </c>
      <c r="F32216">
        <v>11310011</v>
      </c>
      <c r="G32216" t="s">
        <v>26586</v>
      </c>
      <c r="H32216" s="21">
        <v>516.25</v>
      </c>
    </row>
    <row r="32217" spans="1:8" customFormat="1" x14ac:dyDescent="0.25">
      <c r="A32217" t="str">
        <f>"324119"</f>
        <v>324119</v>
      </c>
      <c r="B32217" t="s">
        <v>8415</v>
      </c>
      <c r="C32217" t="s">
        <v>1812</v>
      </c>
      <c r="D32217" s="21" t="s">
        <v>34</v>
      </c>
      <c r="E32217" s="21" t="s">
        <v>71</v>
      </c>
      <c r="F32217">
        <v>11320040</v>
      </c>
      <c r="G32217" t="s">
        <v>14128</v>
      </c>
      <c r="H32217" s="21">
        <v>516.25</v>
      </c>
    </row>
    <row r="32218" spans="1:8" customFormat="1" x14ac:dyDescent="0.25">
      <c r="A32218" t="str">
        <f>"3343714"</f>
        <v>3343714</v>
      </c>
      <c r="B32218" t="s">
        <v>2686</v>
      </c>
      <c r="C32218" t="s">
        <v>130</v>
      </c>
      <c r="D32218" s="21" t="s">
        <v>34</v>
      </c>
      <c r="E32218" s="21" t="s">
        <v>35</v>
      </c>
      <c r="F32218">
        <v>10330078</v>
      </c>
      <c r="G32218" t="s">
        <v>7597</v>
      </c>
      <c r="H32218" s="21">
        <v>516.25</v>
      </c>
    </row>
    <row r="32219" spans="1:8" customFormat="1" x14ac:dyDescent="0.25">
      <c r="A32219" t="str">
        <f>"228489"</f>
        <v>228489</v>
      </c>
      <c r="B32219" t="s">
        <v>21106</v>
      </c>
      <c r="C32219" t="s">
        <v>926</v>
      </c>
      <c r="D32219" s="21" t="s">
        <v>34</v>
      </c>
      <c r="E32219" s="21" t="s">
        <v>254</v>
      </c>
      <c r="F32219">
        <v>3220037</v>
      </c>
      <c r="G32219" t="s">
        <v>13306</v>
      </c>
      <c r="H32219" s="21">
        <v>516.16999999999996</v>
      </c>
    </row>
    <row r="32220" spans="1:8" customFormat="1" x14ac:dyDescent="0.25">
      <c r="A32220" t="str">
        <f>"6021116"</f>
        <v>6021116</v>
      </c>
      <c r="B32220" t="s">
        <v>11838</v>
      </c>
      <c r="C32220" t="s">
        <v>21062</v>
      </c>
      <c r="D32220" s="21" t="s">
        <v>34</v>
      </c>
      <c r="E32220" s="21" t="s">
        <v>71</v>
      </c>
      <c r="F32220">
        <v>7600167</v>
      </c>
      <c r="G32220" t="s">
        <v>12431</v>
      </c>
      <c r="H32220" s="21">
        <v>516.16999999999996</v>
      </c>
    </row>
    <row r="32221" spans="1:8" customFormat="1" x14ac:dyDescent="0.25">
      <c r="A32221" t="str">
        <f>"2813153"</f>
        <v>2813153</v>
      </c>
      <c r="B32221" t="s">
        <v>22416</v>
      </c>
      <c r="C32221" t="s">
        <v>90</v>
      </c>
      <c r="D32221" s="21" t="s">
        <v>34</v>
      </c>
      <c r="E32221" s="21" t="s">
        <v>71</v>
      </c>
      <c r="F32221">
        <v>4280004</v>
      </c>
      <c r="G32221" t="s">
        <v>91</v>
      </c>
      <c r="H32221" s="21">
        <v>516.16999999999996</v>
      </c>
    </row>
    <row r="32222" spans="1:8" customFormat="1" x14ac:dyDescent="0.25">
      <c r="A32222" t="str">
        <f>"9137196"</f>
        <v>9137196</v>
      </c>
      <c r="B32222" t="s">
        <v>22748</v>
      </c>
      <c r="C32222" t="s">
        <v>275</v>
      </c>
      <c r="D32222" s="21" t="s">
        <v>34</v>
      </c>
      <c r="E32222" s="21" t="s">
        <v>35</v>
      </c>
      <c r="F32222">
        <v>8911083</v>
      </c>
      <c r="G32222" t="s">
        <v>7357</v>
      </c>
      <c r="H32222" s="21">
        <v>516.16999999999996</v>
      </c>
    </row>
    <row r="32223" spans="1:8" customFormat="1" x14ac:dyDescent="0.25">
      <c r="A32223" t="str">
        <f>"4933925"</f>
        <v>4933925</v>
      </c>
      <c r="B32223" t="s">
        <v>22264</v>
      </c>
      <c r="C32223" t="s">
        <v>263</v>
      </c>
      <c r="D32223" s="21" t="s">
        <v>34</v>
      </c>
      <c r="E32223" s="21" t="s">
        <v>254</v>
      </c>
      <c r="F32223">
        <v>12490008</v>
      </c>
      <c r="G32223" t="s">
        <v>15452</v>
      </c>
      <c r="H32223" s="21">
        <v>516.16999999999996</v>
      </c>
    </row>
    <row r="32224" spans="1:8" customFormat="1" x14ac:dyDescent="0.25">
      <c r="A32224" t="str">
        <f>"9451028"</f>
        <v>9451028</v>
      </c>
      <c r="B32224" t="s">
        <v>22207</v>
      </c>
      <c r="C32224" t="s">
        <v>720</v>
      </c>
      <c r="D32224" s="21" t="s">
        <v>34</v>
      </c>
      <c r="E32224" s="21" t="s">
        <v>254</v>
      </c>
      <c r="F32224">
        <v>8940894</v>
      </c>
      <c r="G32224" t="s">
        <v>481</v>
      </c>
      <c r="H32224" s="21">
        <v>516.16999999999996</v>
      </c>
    </row>
    <row r="32225" spans="1:8" customFormat="1" x14ac:dyDescent="0.25">
      <c r="A32225" t="str">
        <f>"5970390"</f>
        <v>5970390</v>
      </c>
      <c r="B32225" t="s">
        <v>22281</v>
      </c>
      <c r="C32225" t="s">
        <v>33</v>
      </c>
      <c r="D32225" s="21" t="s">
        <v>34</v>
      </c>
      <c r="E32225" s="21" t="s">
        <v>35</v>
      </c>
      <c r="F32225">
        <v>7590050</v>
      </c>
      <c r="G32225" t="s">
        <v>473</v>
      </c>
      <c r="H32225" s="21">
        <v>516.16999999999996</v>
      </c>
    </row>
    <row r="32226" spans="1:8" customFormat="1" x14ac:dyDescent="0.25">
      <c r="A32226" t="str">
        <f>"5015725"</f>
        <v>5015725</v>
      </c>
      <c r="B32226" t="s">
        <v>1076</v>
      </c>
      <c r="C32226" t="s">
        <v>253</v>
      </c>
      <c r="D32226" s="21" t="s">
        <v>34</v>
      </c>
      <c r="E32226" s="21" t="s">
        <v>1089</v>
      </c>
      <c r="F32226">
        <v>9500160</v>
      </c>
      <c r="G32226" t="s">
        <v>11418</v>
      </c>
      <c r="H32226" s="21">
        <v>516.16999999999996</v>
      </c>
    </row>
    <row r="32227" spans="1:8" customFormat="1" x14ac:dyDescent="0.25">
      <c r="A32227" t="str">
        <f>"9253098"</f>
        <v>9253098</v>
      </c>
      <c r="B32227" t="s">
        <v>28470</v>
      </c>
      <c r="C32227" t="s">
        <v>209</v>
      </c>
      <c r="D32227" s="21" t="s">
        <v>34</v>
      </c>
      <c r="E32227" s="21" t="s">
        <v>71</v>
      </c>
      <c r="F32227">
        <v>8920646</v>
      </c>
      <c r="G32227" t="s">
        <v>2864</v>
      </c>
      <c r="H32227" s="21">
        <v>516.16999999999996</v>
      </c>
    </row>
    <row r="32228" spans="1:8" customFormat="1" x14ac:dyDescent="0.25">
      <c r="A32228" t="str">
        <f>"8815325"</f>
        <v>8815325</v>
      </c>
      <c r="B32228" t="s">
        <v>6472</v>
      </c>
      <c r="C32228" t="s">
        <v>486</v>
      </c>
      <c r="D32228" s="21" t="s">
        <v>34</v>
      </c>
      <c r="E32228" s="21" t="s">
        <v>71</v>
      </c>
      <c r="F32228">
        <v>6880002</v>
      </c>
      <c r="G32228" t="s">
        <v>501</v>
      </c>
      <c r="H32228" s="21">
        <v>516.12</v>
      </c>
    </row>
    <row r="32229" spans="1:8" customFormat="1" x14ac:dyDescent="0.25">
      <c r="A32229" t="str">
        <f>"9456059"</f>
        <v>9456059</v>
      </c>
      <c r="B32229" t="s">
        <v>4711</v>
      </c>
      <c r="C32229" t="s">
        <v>656</v>
      </c>
      <c r="D32229" s="21" t="s">
        <v>34</v>
      </c>
      <c r="E32229" s="21" t="s">
        <v>35</v>
      </c>
      <c r="F32229">
        <v>8940577</v>
      </c>
      <c r="G32229" t="s">
        <v>3774</v>
      </c>
      <c r="H32229" s="21">
        <v>516.12</v>
      </c>
    </row>
    <row r="32230" spans="1:8" customFormat="1" x14ac:dyDescent="0.25">
      <c r="A32230" t="str">
        <f>"4937684"</f>
        <v>4937684</v>
      </c>
      <c r="B32230" t="s">
        <v>23988</v>
      </c>
      <c r="C32230" t="s">
        <v>323</v>
      </c>
      <c r="D32230" s="21" t="s">
        <v>34</v>
      </c>
      <c r="E32230" s="21" t="s">
        <v>35</v>
      </c>
      <c r="F32230">
        <v>12490115</v>
      </c>
      <c r="G32230" t="s">
        <v>12598</v>
      </c>
      <c r="H32230" s="21">
        <v>516</v>
      </c>
    </row>
    <row r="32231" spans="1:8" customFormat="1" x14ac:dyDescent="0.25">
      <c r="A32231" t="str">
        <f>"7923772"</f>
        <v>7923772</v>
      </c>
      <c r="B32231" t="s">
        <v>24063</v>
      </c>
      <c r="C32231" t="s">
        <v>1914</v>
      </c>
      <c r="D32231" s="21" t="s">
        <v>34</v>
      </c>
      <c r="E32231" s="21" t="s">
        <v>71</v>
      </c>
      <c r="F32231">
        <v>10790126</v>
      </c>
      <c r="G32231" t="s">
        <v>15019</v>
      </c>
      <c r="H32231" s="21">
        <v>516</v>
      </c>
    </row>
    <row r="32232" spans="1:8" customFormat="1" x14ac:dyDescent="0.25">
      <c r="A32232" t="str">
        <f>"1614660"</f>
        <v>1614660</v>
      </c>
      <c r="B32232" t="s">
        <v>9035</v>
      </c>
      <c r="C32232" t="s">
        <v>239</v>
      </c>
      <c r="D32232" s="21" t="s">
        <v>34</v>
      </c>
      <c r="E32232" s="21" t="s">
        <v>254</v>
      </c>
      <c r="F32232">
        <v>10160059</v>
      </c>
      <c r="G32232" t="s">
        <v>6791</v>
      </c>
      <c r="H32232" s="21">
        <v>516</v>
      </c>
    </row>
    <row r="32233" spans="1:8" customFormat="1" x14ac:dyDescent="0.25">
      <c r="A32233" t="str">
        <f>"8527783"</f>
        <v>8527783</v>
      </c>
      <c r="B32233" t="s">
        <v>1614</v>
      </c>
      <c r="C32233" t="s">
        <v>139</v>
      </c>
      <c r="D32233" s="21" t="s">
        <v>34</v>
      </c>
      <c r="E32233" s="21" t="s">
        <v>35</v>
      </c>
      <c r="F32233">
        <v>12850028</v>
      </c>
      <c r="G32233" t="s">
        <v>1700</v>
      </c>
      <c r="H32233" s="21">
        <v>516</v>
      </c>
    </row>
    <row r="32234" spans="1:8" customFormat="1" x14ac:dyDescent="0.25">
      <c r="A32234" t="str">
        <f>"417833"</f>
        <v>417833</v>
      </c>
      <c r="B32234" t="s">
        <v>5069</v>
      </c>
      <c r="C32234" t="s">
        <v>87</v>
      </c>
      <c r="D32234" s="21" t="s">
        <v>34</v>
      </c>
      <c r="E32234" s="21" t="s">
        <v>71</v>
      </c>
      <c r="F32234">
        <v>4410537</v>
      </c>
      <c r="G32234" t="s">
        <v>6515</v>
      </c>
      <c r="H32234" s="21">
        <v>516</v>
      </c>
    </row>
    <row r="32235" spans="1:8" customFormat="1" x14ac:dyDescent="0.25">
      <c r="A32235" t="str">
        <f>"7730001"</f>
        <v>7730001</v>
      </c>
      <c r="B32235" t="s">
        <v>23381</v>
      </c>
      <c r="C32235" t="s">
        <v>1489</v>
      </c>
      <c r="D32235" s="21" t="s">
        <v>34</v>
      </c>
      <c r="E32235" s="21" t="s">
        <v>35</v>
      </c>
      <c r="F32235">
        <v>8771519</v>
      </c>
      <c r="G32235" t="s">
        <v>10685</v>
      </c>
      <c r="H32235" s="21">
        <v>516</v>
      </c>
    </row>
    <row r="32236" spans="1:8" customFormat="1" x14ac:dyDescent="0.25">
      <c r="A32236" t="str">
        <f>"2618754"</f>
        <v>2618754</v>
      </c>
      <c r="B32236" t="s">
        <v>1215</v>
      </c>
      <c r="C32236" t="s">
        <v>269</v>
      </c>
      <c r="D32236" s="21" t="s">
        <v>34</v>
      </c>
      <c r="E32236" s="21" t="s">
        <v>71</v>
      </c>
      <c r="F32236">
        <v>1260006</v>
      </c>
      <c r="G32236" t="s">
        <v>790</v>
      </c>
      <c r="H32236" s="21">
        <v>516</v>
      </c>
    </row>
    <row r="32237" spans="1:8" customFormat="1" x14ac:dyDescent="0.25">
      <c r="A32237" t="str">
        <f>"4930355"</f>
        <v>4930355</v>
      </c>
      <c r="B32237" t="s">
        <v>2118</v>
      </c>
      <c r="C32237" t="s">
        <v>124</v>
      </c>
      <c r="D32237" s="21" t="s">
        <v>34</v>
      </c>
      <c r="E32237" s="21" t="s">
        <v>35</v>
      </c>
      <c r="F32237">
        <v>12490131</v>
      </c>
      <c r="G32237" t="s">
        <v>12847</v>
      </c>
      <c r="H32237" s="21">
        <v>516</v>
      </c>
    </row>
    <row r="32238" spans="1:8" customFormat="1" x14ac:dyDescent="0.25">
      <c r="A32238" t="str">
        <f>"306154"</f>
        <v>306154</v>
      </c>
      <c r="B32238" t="s">
        <v>21864</v>
      </c>
      <c r="C32238" t="s">
        <v>209</v>
      </c>
      <c r="D32238" s="21" t="s">
        <v>34</v>
      </c>
      <c r="E32238" s="21" t="s">
        <v>254</v>
      </c>
      <c r="F32238">
        <v>11300007</v>
      </c>
      <c r="G32238" t="s">
        <v>361</v>
      </c>
      <c r="H32238" s="21">
        <v>516</v>
      </c>
    </row>
    <row r="32239" spans="1:8" customFormat="1" x14ac:dyDescent="0.25">
      <c r="A32239" t="str">
        <f>"114040"</f>
        <v>114040</v>
      </c>
      <c r="B32239" t="s">
        <v>23871</v>
      </c>
      <c r="C32239" t="s">
        <v>124</v>
      </c>
      <c r="D32239" s="21" t="s">
        <v>34</v>
      </c>
      <c r="E32239" s="21" t="s">
        <v>254</v>
      </c>
      <c r="F32239">
        <v>11110028</v>
      </c>
      <c r="G32239" t="s">
        <v>10634</v>
      </c>
      <c r="H32239" s="21">
        <v>516</v>
      </c>
    </row>
    <row r="32240" spans="1:8" customFormat="1" x14ac:dyDescent="0.25">
      <c r="A32240" t="str">
        <f>"8521460"</f>
        <v>8521460</v>
      </c>
      <c r="B32240" t="s">
        <v>5076</v>
      </c>
      <c r="C32240" t="s">
        <v>1025</v>
      </c>
      <c r="D32240" s="21" t="s">
        <v>34</v>
      </c>
      <c r="E32240" s="21" t="s">
        <v>71</v>
      </c>
      <c r="F32240">
        <v>12851016</v>
      </c>
      <c r="G32240" t="s">
        <v>1862</v>
      </c>
      <c r="H32240" s="21">
        <v>516</v>
      </c>
    </row>
    <row r="32241" spans="1:8" customFormat="1" x14ac:dyDescent="0.25">
      <c r="A32241" t="str">
        <f>"46264"</f>
        <v>46264</v>
      </c>
      <c r="B32241" t="s">
        <v>2557</v>
      </c>
      <c r="C32241" t="s">
        <v>1110</v>
      </c>
      <c r="D32241" s="21" t="s">
        <v>34</v>
      </c>
      <c r="E32241" s="21" t="s">
        <v>6185</v>
      </c>
      <c r="F32241">
        <v>11460012</v>
      </c>
      <c r="G32241" t="s">
        <v>5929</v>
      </c>
      <c r="H32241" s="21">
        <v>516</v>
      </c>
    </row>
    <row r="32242" spans="1:8" customFormat="1" x14ac:dyDescent="0.25">
      <c r="A32242" t="str">
        <f>"9D3111"</f>
        <v>9D3111</v>
      </c>
      <c r="B32242" t="s">
        <v>17623</v>
      </c>
      <c r="C32242" t="s">
        <v>262</v>
      </c>
      <c r="D32242" s="21" t="s">
        <v>34</v>
      </c>
      <c r="E32242" s="21" t="s">
        <v>35</v>
      </c>
      <c r="F32242" t="s">
        <v>13222</v>
      </c>
      <c r="G32242" t="s">
        <v>13223</v>
      </c>
      <c r="H32242" s="21">
        <v>516</v>
      </c>
    </row>
    <row r="32243" spans="1:8" customFormat="1" x14ac:dyDescent="0.25">
      <c r="A32243" t="str">
        <f>"932309"</f>
        <v>932309</v>
      </c>
      <c r="B32243" t="s">
        <v>16734</v>
      </c>
      <c r="C32243" t="s">
        <v>253</v>
      </c>
      <c r="D32243" s="21" t="s">
        <v>34</v>
      </c>
      <c r="E32243" s="21" t="s">
        <v>1089</v>
      </c>
      <c r="F32243">
        <v>13050008</v>
      </c>
      <c r="G32243" t="s">
        <v>12322</v>
      </c>
      <c r="H32243" s="21">
        <v>516</v>
      </c>
    </row>
    <row r="32244" spans="1:8" customFormat="1" x14ac:dyDescent="0.25">
      <c r="A32244" t="str">
        <f>"4914697"</f>
        <v>4914697</v>
      </c>
      <c r="B32244" t="s">
        <v>23178</v>
      </c>
      <c r="C32244" t="s">
        <v>1539</v>
      </c>
      <c r="D32244" s="21" t="s">
        <v>34</v>
      </c>
      <c r="E32244" s="21" t="s">
        <v>71</v>
      </c>
      <c r="F32244">
        <v>12490023</v>
      </c>
      <c r="G32244" t="s">
        <v>4979</v>
      </c>
      <c r="H32244" s="21">
        <v>516</v>
      </c>
    </row>
    <row r="32245" spans="1:8" customFormat="1" x14ac:dyDescent="0.25">
      <c r="A32245" t="str">
        <f>"6924717"</f>
        <v>6924717</v>
      </c>
      <c r="B32245" t="s">
        <v>16710</v>
      </c>
      <c r="C32245" t="s">
        <v>65</v>
      </c>
      <c r="D32245" s="21" t="s">
        <v>34</v>
      </c>
      <c r="E32245" s="21" t="s">
        <v>35</v>
      </c>
      <c r="F32245">
        <v>1420088</v>
      </c>
      <c r="G32245" t="s">
        <v>7613</v>
      </c>
      <c r="H32245" s="21">
        <v>516</v>
      </c>
    </row>
    <row r="32246" spans="1:8" customFormat="1" x14ac:dyDescent="0.25">
      <c r="A32246" t="str">
        <f>"9247143"</f>
        <v>9247143</v>
      </c>
      <c r="B32246" t="s">
        <v>22214</v>
      </c>
      <c r="C32246" t="s">
        <v>169</v>
      </c>
      <c r="D32246" s="21" t="s">
        <v>34</v>
      </c>
      <c r="E32246" s="21" t="s">
        <v>35</v>
      </c>
      <c r="F32246">
        <v>8921316</v>
      </c>
      <c r="G32246" t="s">
        <v>12326</v>
      </c>
      <c r="H32246" s="21">
        <v>516</v>
      </c>
    </row>
    <row r="32247" spans="1:8" customFormat="1" x14ac:dyDescent="0.25">
      <c r="A32247" t="str">
        <f>"4432207"</f>
        <v>4432207</v>
      </c>
      <c r="B32247" t="s">
        <v>2726</v>
      </c>
      <c r="C32247" t="s">
        <v>244</v>
      </c>
      <c r="D32247" s="21" t="s">
        <v>34</v>
      </c>
      <c r="E32247" s="21" t="s">
        <v>35</v>
      </c>
      <c r="F32247">
        <v>12440002</v>
      </c>
      <c r="G32247" t="s">
        <v>47</v>
      </c>
      <c r="H32247" s="21">
        <v>516</v>
      </c>
    </row>
    <row r="32248" spans="1:8" customFormat="1" x14ac:dyDescent="0.25">
      <c r="A32248" t="str">
        <f>"2719929"</f>
        <v>2719929</v>
      </c>
      <c r="B32248" t="s">
        <v>11372</v>
      </c>
      <c r="C32248" t="s">
        <v>28471</v>
      </c>
      <c r="D32248" s="21" t="s">
        <v>34</v>
      </c>
      <c r="E32248" s="21" t="s">
        <v>71</v>
      </c>
      <c r="F32248">
        <v>9270013</v>
      </c>
      <c r="G32248" t="s">
        <v>26924</v>
      </c>
      <c r="H32248" s="21">
        <v>516</v>
      </c>
    </row>
    <row r="32249" spans="1:8" customFormat="1" x14ac:dyDescent="0.25">
      <c r="A32249" t="str">
        <f>"8018216"</f>
        <v>8018216</v>
      </c>
      <c r="B32249" t="s">
        <v>257</v>
      </c>
      <c r="C32249" t="s">
        <v>328</v>
      </c>
      <c r="D32249" s="21" t="s">
        <v>34</v>
      </c>
      <c r="E32249" s="21" t="s">
        <v>71</v>
      </c>
      <c r="F32249">
        <v>7800015</v>
      </c>
      <c r="G32249" t="s">
        <v>8701</v>
      </c>
      <c r="H32249" s="21">
        <v>516</v>
      </c>
    </row>
    <row r="32250" spans="1:8" customFormat="1" x14ac:dyDescent="0.25">
      <c r="A32250" t="str">
        <f>"9D3053"</f>
        <v>9D3053</v>
      </c>
      <c r="B32250" t="s">
        <v>3849</v>
      </c>
      <c r="C32250" t="s">
        <v>2475</v>
      </c>
      <c r="D32250" s="21" t="s">
        <v>34</v>
      </c>
      <c r="E32250" s="21" t="s">
        <v>71</v>
      </c>
      <c r="F32250" t="s">
        <v>3911</v>
      </c>
      <c r="G32250" t="s">
        <v>3912</v>
      </c>
      <c r="H32250" s="21">
        <v>515.91999999999996</v>
      </c>
    </row>
    <row r="32251" spans="1:8" customFormat="1" x14ac:dyDescent="0.25">
      <c r="A32251" t="str">
        <f>"149110"</f>
        <v>149110</v>
      </c>
      <c r="B32251" t="s">
        <v>1103</v>
      </c>
      <c r="C32251" t="s">
        <v>130</v>
      </c>
      <c r="D32251" s="21" t="s">
        <v>34</v>
      </c>
      <c r="E32251" s="21" t="s">
        <v>254</v>
      </c>
      <c r="F32251">
        <v>9140127</v>
      </c>
      <c r="G32251" t="s">
        <v>6641</v>
      </c>
      <c r="H32251" s="21">
        <v>515.66999999999996</v>
      </c>
    </row>
    <row r="32252" spans="1:8" customFormat="1" x14ac:dyDescent="0.25">
      <c r="A32252" t="str">
        <f>"7510272"</f>
        <v>7510272</v>
      </c>
      <c r="B32252" t="s">
        <v>21121</v>
      </c>
      <c r="C32252" t="s">
        <v>598</v>
      </c>
      <c r="D32252" s="21" t="s">
        <v>34</v>
      </c>
      <c r="E32252" s="21" t="s">
        <v>254</v>
      </c>
      <c r="F32252">
        <v>8940073</v>
      </c>
      <c r="G32252" t="s">
        <v>1085</v>
      </c>
      <c r="H32252" s="21">
        <v>515.66999999999996</v>
      </c>
    </row>
    <row r="32253" spans="1:8" customFormat="1" x14ac:dyDescent="0.25">
      <c r="A32253" t="str">
        <f>"501425"</f>
        <v>501425</v>
      </c>
      <c r="B32253" t="s">
        <v>10960</v>
      </c>
      <c r="C32253" t="s">
        <v>2479</v>
      </c>
      <c r="D32253" s="21" t="s">
        <v>34</v>
      </c>
      <c r="E32253" s="21" t="s">
        <v>254</v>
      </c>
      <c r="F32253">
        <v>9500082</v>
      </c>
      <c r="G32253" t="s">
        <v>11183</v>
      </c>
      <c r="H32253" s="21">
        <v>515.66999999999996</v>
      </c>
    </row>
    <row r="32254" spans="1:8" customFormat="1" x14ac:dyDescent="0.25">
      <c r="A32254" t="str">
        <f>"2814607"</f>
        <v>2814607</v>
      </c>
      <c r="B32254" t="s">
        <v>22491</v>
      </c>
      <c r="C32254" t="s">
        <v>22492</v>
      </c>
      <c r="D32254" s="21" t="s">
        <v>34</v>
      </c>
      <c r="E32254" s="21" t="s">
        <v>254</v>
      </c>
      <c r="F32254">
        <v>4280529</v>
      </c>
      <c r="G32254" t="s">
        <v>2970</v>
      </c>
      <c r="H32254" s="21">
        <v>515.66999999999996</v>
      </c>
    </row>
    <row r="32255" spans="1:8" customFormat="1" x14ac:dyDescent="0.25">
      <c r="A32255" t="str">
        <f>"012566"</f>
        <v>012566</v>
      </c>
      <c r="B32255" t="s">
        <v>2557</v>
      </c>
      <c r="C32255" t="s">
        <v>40</v>
      </c>
      <c r="D32255" s="21" t="s">
        <v>34</v>
      </c>
      <c r="E32255" s="21" t="s">
        <v>254</v>
      </c>
      <c r="F32255">
        <v>1010017</v>
      </c>
      <c r="G32255" t="s">
        <v>6502</v>
      </c>
      <c r="H32255" s="21">
        <v>515.66999999999996</v>
      </c>
    </row>
    <row r="32256" spans="1:8" customFormat="1" x14ac:dyDescent="0.25">
      <c r="A32256" t="str">
        <f>"7859097"</f>
        <v>7859097</v>
      </c>
      <c r="B32256" t="s">
        <v>6803</v>
      </c>
      <c r="C32256" t="s">
        <v>55</v>
      </c>
      <c r="D32256" s="21" t="s">
        <v>34</v>
      </c>
      <c r="E32256" s="21" t="s">
        <v>71</v>
      </c>
      <c r="F32256">
        <v>8781196</v>
      </c>
      <c r="G32256" t="s">
        <v>8007</v>
      </c>
      <c r="H32256" s="21">
        <v>515.66999999999996</v>
      </c>
    </row>
    <row r="32257" spans="1:8" customFormat="1" x14ac:dyDescent="0.25">
      <c r="A32257" t="str">
        <f>"6949185"</f>
        <v>6949185</v>
      </c>
      <c r="B32257" t="s">
        <v>387</v>
      </c>
      <c r="C32257" t="s">
        <v>33</v>
      </c>
      <c r="D32257" s="21" t="s">
        <v>34</v>
      </c>
      <c r="E32257" s="21" t="s">
        <v>35</v>
      </c>
      <c r="F32257">
        <v>1690218</v>
      </c>
      <c r="G32257" t="s">
        <v>3637</v>
      </c>
      <c r="H32257" s="21">
        <v>515.66999999999996</v>
      </c>
    </row>
    <row r="32258" spans="1:8" customFormat="1" x14ac:dyDescent="0.25">
      <c r="A32258" t="str">
        <f>"7524422"</f>
        <v>7524422</v>
      </c>
      <c r="B32258" t="s">
        <v>22427</v>
      </c>
      <c r="C32258" t="s">
        <v>874</v>
      </c>
      <c r="D32258" s="21" t="s">
        <v>34</v>
      </c>
      <c r="E32258" s="21" t="s">
        <v>35</v>
      </c>
      <c r="F32258">
        <v>8751459</v>
      </c>
      <c r="G32258" t="s">
        <v>27461</v>
      </c>
      <c r="H32258" s="21">
        <v>515.66999999999996</v>
      </c>
    </row>
    <row r="32259" spans="1:8" customFormat="1" x14ac:dyDescent="0.25">
      <c r="A32259" t="str">
        <f>"8611619"</f>
        <v>8611619</v>
      </c>
      <c r="B32259" t="s">
        <v>20505</v>
      </c>
      <c r="C32259" t="s">
        <v>598</v>
      </c>
      <c r="D32259" s="21" t="s">
        <v>34</v>
      </c>
      <c r="E32259" s="21" t="s">
        <v>1089</v>
      </c>
      <c r="F32259">
        <v>10860016</v>
      </c>
      <c r="G32259" t="s">
        <v>3289</v>
      </c>
      <c r="H32259" s="21">
        <v>515.66999999999996</v>
      </c>
    </row>
    <row r="32260" spans="1:8" customFormat="1" x14ac:dyDescent="0.25">
      <c r="A32260" t="str">
        <f>"707128"</f>
        <v>707128</v>
      </c>
      <c r="B32260" t="s">
        <v>22681</v>
      </c>
      <c r="C32260" t="s">
        <v>33</v>
      </c>
      <c r="D32260" s="21" t="s">
        <v>34</v>
      </c>
      <c r="E32260" s="21" t="s">
        <v>35</v>
      </c>
      <c r="F32260">
        <v>2700014</v>
      </c>
      <c r="G32260" t="s">
        <v>7714</v>
      </c>
      <c r="H32260" s="21">
        <v>515.66999999999996</v>
      </c>
    </row>
    <row r="32261" spans="1:8" customFormat="1" x14ac:dyDescent="0.25">
      <c r="A32261" t="str">
        <f>"8019226"</f>
        <v>8019226</v>
      </c>
      <c r="B32261" t="s">
        <v>22319</v>
      </c>
      <c r="C32261" t="s">
        <v>246</v>
      </c>
      <c r="D32261" s="21" t="s">
        <v>34</v>
      </c>
      <c r="E32261" s="21" t="s">
        <v>71</v>
      </c>
      <c r="F32261">
        <v>7800074</v>
      </c>
      <c r="G32261" t="s">
        <v>7104</v>
      </c>
      <c r="H32261" s="21">
        <v>515.66999999999996</v>
      </c>
    </row>
    <row r="32262" spans="1:8" customFormat="1" x14ac:dyDescent="0.25">
      <c r="A32262" t="str">
        <f>"5011051"</f>
        <v>5011051</v>
      </c>
      <c r="B32262" t="s">
        <v>12152</v>
      </c>
      <c r="C32262" t="s">
        <v>2276</v>
      </c>
      <c r="D32262" s="21" t="s">
        <v>34</v>
      </c>
      <c r="E32262" s="21" t="s">
        <v>254</v>
      </c>
      <c r="F32262">
        <v>9500059</v>
      </c>
      <c r="G32262" t="s">
        <v>26714</v>
      </c>
      <c r="H32262" s="21">
        <v>515.66999999999996</v>
      </c>
    </row>
    <row r="32263" spans="1:8" customFormat="1" x14ac:dyDescent="0.25">
      <c r="A32263" t="str">
        <f>"4433904"</f>
        <v>4433904</v>
      </c>
      <c r="B32263" t="s">
        <v>21708</v>
      </c>
      <c r="C32263" t="s">
        <v>119</v>
      </c>
      <c r="D32263" s="21" t="s">
        <v>34</v>
      </c>
      <c r="E32263" s="21" t="s">
        <v>71</v>
      </c>
      <c r="F32263">
        <v>12440112</v>
      </c>
      <c r="G32263" t="s">
        <v>9188</v>
      </c>
      <c r="H32263" s="21">
        <v>515.66999999999996</v>
      </c>
    </row>
    <row r="32264" spans="1:8" customFormat="1" x14ac:dyDescent="0.25">
      <c r="A32264" t="str">
        <f>"7640878"</f>
        <v>7640878</v>
      </c>
      <c r="B32264" t="s">
        <v>7695</v>
      </c>
      <c r="C32264" t="s">
        <v>124</v>
      </c>
      <c r="D32264" s="21" t="s">
        <v>34</v>
      </c>
      <c r="E32264" s="21" t="s">
        <v>254</v>
      </c>
      <c r="F32264">
        <v>9760457</v>
      </c>
      <c r="G32264" t="s">
        <v>6912</v>
      </c>
      <c r="H32264" s="21">
        <v>515.66999999999996</v>
      </c>
    </row>
    <row r="32265" spans="1:8" customFormat="1" x14ac:dyDescent="0.25">
      <c r="A32265" t="str">
        <f>"461823"</f>
        <v>461823</v>
      </c>
      <c r="B32265" t="s">
        <v>28472</v>
      </c>
      <c r="C32265" t="s">
        <v>28473</v>
      </c>
      <c r="D32265" s="21" t="s">
        <v>34</v>
      </c>
      <c r="E32265" s="21" t="s">
        <v>35</v>
      </c>
      <c r="F32265">
        <v>11460010</v>
      </c>
      <c r="G32265" t="s">
        <v>654</v>
      </c>
      <c r="H32265" s="21">
        <v>515.66999999999996</v>
      </c>
    </row>
    <row r="32266" spans="1:8" customFormat="1" x14ac:dyDescent="0.25">
      <c r="A32266" t="str">
        <f>"6725950"</f>
        <v>6725950</v>
      </c>
      <c r="B32266" t="s">
        <v>14854</v>
      </c>
      <c r="C32266" t="s">
        <v>817</v>
      </c>
      <c r="D32266" s="21" t="s">
        <v>34</v>
      </c>
      <c r="E32266" s="21" t="s">
        <v>71</v>
      </c>
      <c r="F32266">
        <v>6670014</v>
      </c>
      <c r="G32266" t="s">
        <v>4258</v>
      </c>
      <c r="H32266" s="21">
        <v>515.66999999999996</v>
      </c>
    </row>
    <row r="32267" spans="1:8" customFormat="1" x14ac:dyDescent="0.25">
      <c r="A32267" t="str">
        <f>"732587"</f>
        <v>732587</v>
      </c>
      <c r="B32267" t="s">
        <v>8800</v>
      </c>
      <c r="C32267" t="s">
        <v>171</v>
      </c>
      <c r="D32267" s="21" t="s">
        <v>34</v>
      </c>
      <c r="E32267" s="21" t="s">
        <v>71</v>
      </c>
      <c r="F32267">
        <v>1730051</v>
      </c>
      <c r="G32267" t="s">
        <v>5293</v>
      </c>
      <c r="H32267" s="21">
        <v>515.66999999999996</v>
      </c>
    </row>
    <row r="32268" spans="1:8" customFormat="1" x14ac:dyDescent="0.25">
      <c r="A32268" t="str">
        <f>"9451049"</f>
        <v>9451049</v>
      </c>
      <c r="B32268" t="s">
        <v>22207</v>
      </c>
      <c r="C32268" t="s">
        <v>926</v>
      </c>
      <c r="D32268" s="21" t="s">
        <v>34</v>
      </c>
      <c r="E32268" s="21" t="s">
        <v>254</v>
      </c>
      <c r="F32268">
        <v>8940894</v>
      </c>
      <c r="G32268" t="s">
        <v>481</v>
      </c>
      <c r="H32268" s="21">
        <v>515.66999999999996</v>
      </c>
    </row>
    <row r="32269" spans="1:8" customFormat="1" x14ac:dyDescent="0.25">
      <c r="A32269" t="str">
        <f>"3536333"</f>
        <v>3536333</v>
      </c>
      <c r="B32269" t="s">
        <v>21597</v>
      </c>
      <c r="C32269" t="s">
        <v>1665</v>
      </c>
      <c r="D32269" s="21" t="s">
        <v>34</v>
      </c>
      <c r="E32269" s="21" t="s">
        <v>254</v>
      </c>
      <c r="F32269">
        <v>3350161</v>
      </c>
      <c r="G32269" t="s">
        <v>1507</v>
      </c>
      <c r="H32269" s="21">
        <v>515.66999999999996</v>
      </c>
    </row>
    <row r="32270" spans="1:8" customFormat="1" x14ac:dyDescent="0.25">
      <c r="A32270" t="str">
        <f>"5979401"</f>
        <v>5979401</v>
      </c>
      <c r="B32270" t="s">
        <v>21507</v>
      </c>
      <c r="C32270" t="s">
        <v>285</v>
      </c>
      <c r="D32270" s="21" t="s">
        <v>34</v>
      </c>
      <c r="E32270" s="21" t="s">
        <v>35</v>
      </c>
      <c r="F32270">
        <v>7590047</v>
      </c>
      <c r="G32270" t="s">
        <v>5788</v>
      </c>
      <c r="H32270" s="21">
        <v>515.66999999999996</v>
      </c>
    </row>
    <row r="32271" spans="1:8" customFormat="1" x14ac:dyDescent="0.25">
      <c r="A32271" t="str">
        <f>"668483"</f>
        <v>668483</v>
      </c>
      <c r="B32271" t="s">
        <v>650</v>
      </c>
      <c r="C32271" t="s">
        <v>130</v>
      </c>
      <c r="D32271" s="21" t="s">
        <v>34</v>
      </c>
      <c r="E32271" s="21" t="s">
        <v>71</v>
      </c>
      <c r="F32271">
        <v>11660040</v>
      </c>
      <c r="G32271" t="s">
        <v>17413</v>
      </c>
      <c r="H32271" s="21">
        <v>515.66999999999996</v>
      </c>
    </row>
    <row r="32272" spans="1:8" customFormat="1" x14ac:dyDescent="0.25">
      <c r="A32272" t="str">
        <f>"5314006"</f>
        <v>5314006</v>
      </c>
      <c r="B32272" t="s">
        <v>1986</v>
      </c>
      <c r="C32272" t="s">
        <v>209</v>
      </c>
      <c r="D32272" s="21" t="s">
        <v>34</v>
      </c>
      <c r="E32272" s="21" t="s">
        <v>35</v>
      </c>
      <c r="F32272">
        <v>7590127</v>
      </c>
      <c r="G32272" t="s">
        <v>214</v>
      </c>
      <c r="H32272" s="21">
        <v>515.66999999999996</v>
      </c>
    </row>
    <row r="32273" spans="1:8" customFormat="1" x14ac:dyDescent="0.25">
      <c r="A32273" t="str">
        <f>"4457320"</f>
        <v>4457320</v>
      </c>
      <c r="B32273" t="s">
        <v>28474</v>
      </c>
      <c r="C32273" t="s">
        <v>114</v>
      </c>
      <c r="D32273" s="21" t="s">
        <v>34</v>
      </c>
      <c r="E32273" s="21" t="s">
        <v>35</v>
      </c>
      <c r="F32273">
        <v>12440105</v>
      </c>
      <c r="G32273" t="s">
        <v>594</v>
      </c>
      <c r="H32273" s="21">
        <v>515.66999999999996</v>
      </c>
    </row>
    <row r="32274" spans="1:8" customFormat="1" x14ac:dyDescent="0.25">
      <c r="A32274" t="str">
        <f>"051271"</f>
        <v>051271</v>
      </c>
      <c r="B32274" t="s">
        <v>9973</v>
      </c>
      <c r="C32274" t="s">
        <v>2659</v>
      </c>
      <c r="D32274" s="21" t="s">
        <v>34</v>
      </c>
      <c r="E32274" s="21" t="s">
        <v>1089</v>
      </c>
      <c r="F32274">
        <v>13050025</v>
      </c>
      <c r="G32274" t="s">
        <v>21714</v>
      </c>
      <c r="H32274" s="21">
        <v>515.66999999999996</v>
      </c>
    </row>
    <row r="32275" spans="1:8" customFormat="1" x14ac:dyDescent="0.25">
      <c r="A32275" t="str">
        <f>"3525886"</f>
        <v>3525886</v>
      </c>
      <c r="B32275" t="s">
        <v>11105</v>
      </c>
      <c r="C32275" t="s">
        <v>82</v>
      </c>
      <c r="D32275" s="21" t="s">
        <v>34</v>
      </c>
      <c r="E32275" s="21" t="s">
        <v>35</v>
      </c>
      <c r="F32275">
        <v>3350042</v>
      </c>
      <c r="G32275" t="s">
        <v>12707</v>
      </c>
      <c r="H32275" s="21">
        <v>515.66999999999996</v>
      </c>
    </row>
    <row r="32276" spans="1:8" customFormat="1" x14ac:dyDescent="0.25">
      <c r="A32276" t="str">
        <f>"154003"</f>
        <v>154003</v>
      </c>
      <c r="B32276" t="s">
        <v>22305</v>
      </c>
      <c r="C32276" t="s">
        <v>55</v>
      </c>
      <c r="D32276" s="21" t="s">
        <v>34</v>
      </c>
      <c r="E32276" s="21" t="s">
        <v>35</v>
      </c>
      <c r="F32276">
        <v>1150290</v>
      </c>
      <c r="G32276" t="s">
        <v>12544</v>
      </c>
      <c r="H32276" s="21">
        <v>515.62</v>
      </c>
    </row>
    <row r="32277" spans="1:8" customFormat="1" x14ac:dyDescent="0.25">
      <c r="A32277" t="str">
        <f>"9245935"</f>
        <v>9245935</v>
      </c>
      <c r="B32277" t="s">
        <v>10078</v>
      </c>
      <c r="C32277" t="s">
        <v>233</v>
      </c>
      <c r="D32277" s="21" t="s">
        <v>34</v>
      </c>
      <c r="E32277" s="21" t="s">
        <v>71</v>
      </c>
      <c r="F32277">
        <v>8920151</v>
      </c>
      <c r="G32277" t="s">
        <v>1434</v>
      </c>
      <c r="H32277" s="21">
        <v>515.54</v>
      </c>
    </row>
    <row r="32278" spans="1:8" customFormat="1" x14ac:dyDescent="0.25">
      <c r="A32278" t="str">
        <f>"3833580"</f>
        <v>3833580</v>
      </c>
      <c r="B32278" t="s">
        <v>7864</v>
      </c>
      <c r="C32278" t="s">
        <v>87</v>
      </c>
      <c r="D32278" s="21" t="s">
        <v>34</v>
      </c>
      <c r="E32278" s="21" t="s">
        <v>71</v>
      </c>
      <c r="F32278">
        <v>1380130</v>
      </c>
      <c r="G32278" t="s">
        <v>6667</v>
      </c>
      <c r="H32278" s="21">
        <v>515.54</v>
      </c>
    </row>
    <row r="32279" spans="1:8" customFormat="1" x14ac:dyDescent="0.25">
      <c r="A32279" t="str">
        <f>"1613037"</f>
        <v>1613037</v>
      </c>
      <c r="B32279" t="s">
        <v>23822</v>
      </c>
      <c r="C32279" t="s">
        <v>486</v>
      </c>
      <c r="D32279" s="21" t="s">
        <v>34</v>
      </c>
      <c r="E32279" s="21" t="s">
        <v>71</v>
      </c>
      <c r="F32279">
        <v>10160018</v>
      </c>
      <c r="G32279" t="s">
        <v>6900</v>
      </c>
      <c r="H32279" s="21">
        <v>515.5</v>
      </c>
    </row>
    <row r="32280" spans="1:8" customFormat="1" x14ac:dyDescent="0.25">
      <c r="A32280" t="str">
        <f>"7923996"</f>
        <v>7923996</v>
      </c>
      <c r="B32280" t="s">
        <v>20621</v>
      </c>
      <c r="C32280" t="s">
        <v>926</v>
      </c>
      <c r="D32280" s="21" t="s">
        <v>34</v>
      </c>
      <c r="E32280" s="21" t="s">
        <v>35</v>
      </c>
      <c r="F32280">
        <v>10790036</v>
      </c>
      <c r="G32280" t="s">
        <v>4946</v>
      </c>
      <c r="H32280" s="21">
        <v>515.5</v>
      </c>
    </row>
    <row r="32281" spans="1:8" customFormat="1" x14ac:dyDescent="0.25">
      <c r="A32281" t="str">
        <f>"9421616"</f>
        <v>9421616</v>
      </c>
      <c r="B32281" t="s">
        <v>21595</v>
      </c>
      <c r="C32281" t="s">
        <v>547</v>
      </c>
      <c r="D32281" s="21" t="s">
        <v>34</v>
      </c>
      <c r="E32281" s="21" t="s">
        <v>71</v>
      </c>
      <c r="F32281">
        <v>8940459</v>
      </c>
      <c r="G32281" t="s">
        <v>743</v>
      </c>
      <c r="H32281" s="21">
        <v>515.5</v>
      </c>
    </row>
    <row r="32282" spans="1:8" customFormat="1" x14ac:dyDescent="0.25">
      <c r="A32282" t="str">
        <f>"4452137"</f>
        <v>4452137</v>
      </c>
      <c r="B32282" t="s">
        <v>5932</v>
      </c>
      <c r="C32282" t="s">
        <v>288</v>
      </c>
      <c r="D32282" s="21" t="s">
        <v>34</v>
      </c>
      <c r="E32282" s="21" t="s">
        <v>35</v>
      </c>
      <c r="F32282">
        <v>12440066</v>
      </c>
      <c r="G32282" t="s">
        <v>7602</v>
      </c>
      <c r="H32282" s="21">
        <v>515.5</v>
      </c>
    </row>
    <row r="32283" spans="1:8" customFormat="1" x14ac:dyDescent="0.25">
      <c r="A32283" t="str">
        <f>"1425755"</f>
        <v>1425755</v>
      </c>
      <c r="B32283" t="s">
        <v>24130</v>
      </c>
      <c r="C32283" t="s">
        <v>209</v>
      </c>
      <c r="D32283" s="21" t="s">
        <v>34</v>
      </c>
      <c r="E32283" s="21" t="s">
        <v>254</v>
      </c>
      <c r="F32283">
        <v>9140156</v>
      </c>
      <c r="G32283" t="s">
        <v>645</v>
      </c>
      <c r="H32283" s="21">
        <v>515.5</v>
      </c>
    </row>
    <row r="32284" spans="1:8" customFormat="1" x14ac:dyDescent="0.25">
      <c r="A32284" t="str">
        <f>"5983421"</f>
        <v>5983421</v>
      </c>
      <c r="B32284" t="s">
        <v>28475</v>
      </c>
      <c r="C32284" t="s">
        <v>204</v>
      </c>
      <c r="D32284" s="21" t="s">
        <v>34</v>
      </c>
      <c r="E32284" s="21" t="s">
        <v>71</v>
      </c>
      <c r="F32284">
        <v>7590018</v>
      </c>
      <c r="G32284" t="s">
        <v>2807</v>
      </c>
      <c r="H32284" s="21">
        <v>515.5</v>
      </c>
    </row>
    <row r="32285" spans="1:8" customFormat="1" x14ac:dyDescent="0.25">
      <c r="A32285" t="str">
        <f>"8017521"</f>
        <v>8017521</v>
      </c>
      <c r="B32285" t="s">
        <v>5951</v>
      </c>
      <c r="C32285" t="s">
        <v>1468</v>
      </c>
      <c r="D32285" s="21" t="s">
        <v>34</v>
      </c>
      <c r="E32285" s="21" t="s">
        <v>71</v>
      </c>
      <c r="F32285">
        <v>7800035</v>
      </c>
      <c r="G32285" t="s">
        <v>12990</v>
      </c>
      <c r="H32285" s="21">
        <v>515.5</v>
      </c>
    </row>
    <row r="32286" spans="1:8" customFormat="1" x14ac:dyDescent="0.25">
      <c r="A32286" t="str">
        <f>"7921615"</f>
        <v>7921615</v>
      </c>
      <c r="B32286" t="s">
        <v>20452</v>
      </c>
      <c r="C32286" t="s">
        <v>879</v>
      </c>
      <c r="D32286" s="21" t="s">
        <v>34</v>
      </c>
      <c r="E32286" s="21" t="s">
        <v>71</v>
      </c>
      <c r="F32286">
        <v>10790069</v>
      </c>
      <c r="G32286" t="s">
        <v>689</v>
      </c>
      <c r="H32286" s="21">
        <v>515.5</v>
      </c>
    </row>
    <row r="32287" spans="1:8" customFormat="1" x14ac:dyDescent="0.25">
      <c r="A32287" t="str">
        <f>"2721375"</f>
        <v>2721375</v>
      </c>
      <c r="B32287" t="s">
        <v>6375</v>
      </c>
      <c r="C32287" t="s">
        <v>124</v>
      </c>
      <c r="D32287" s="21" t="s">
        <v>34</v>
      </c>
      <c r="E32287" s="21" t="s">
        <v>254</v>
      </c>
      <c r="F32287">
        <v>9270153</v>
      </c>
      <c r="G32287" t="s">
        <v>15651</v>
      </c>
      <c r="H32287" s="21">
        <v>515.5</v>
      </c>
    </row>
    <row r="32288" spans="1:8" customFormat="1" x14ac:dyDescent="0.25">
      <c r="A32288" t="str">
        <f>"5963598"</f>
        <v>5963598</v>
      </c>
      <c r="B32288" t="s">
        <v>21780</v>
      </c>
      <c r="C32288" t="s">
        <v>415</v>
      </c>
      <c r="D32288" s="21" t="s">
        <v>34</v>
      </c>
      <c r="E32288" s="21" t="s">
        <v>71</v>
      </c>
      <c r="F32288">
        <v>7590027</v>
      </c>
      <c r="G32288" t="s">
        <v>629</v>
      </c>
      <c r="H32288" s="21">
        <v>515.5</v>
      </c>
    </row>
    <row r="32289" spans="1:8" customFormat="1" x14ac:dyDescent="0.25">
      <c r="A32289" t="str">
        <f>"5922938"</f>
        <v>5922938</v>
      </c>
      <c r="B32289" t="s">
        <v>22439</v>
      </c>
      <c r="C32289" t="s">
        <v>169</v>
      </c>
      <c r="D32289" s="21" t="s">
        <v>34</v>
      </c>
      <c r="E32289" s="21" t="s">
        <v>35</v>
      </c>
      <c r="F32289">
        <v>7590069</v>
      </c>
      <c r="G32289" t="s">
        <v>7225</v>
      </c>
      <c r="H32289" s="21">
        <v>515.41999999999996</v>
      </c>
    </row>
    <row r="32290" spans="1:8" customFormat="1" x14ac:dyDescent="0.25">
      <c r="A32290" t="str">
        <f>"759618"</f>
        <v>759618</v>
      </c>
      <c r="B32290" t="s">
        <v>23780</v>
      </c>
      <c r="C32290" t="s">
        <v>1110</v>
      </c>
      <c r="D32290" s="21" t="s">
        <v>34</v>
      </c>
      <c r="E32290" s="21" t="s">
        <v>254</v>
      </c>
      <c r="F32290">
        <v>8751061</v>
      </c>
      <c r="G32290" t="s">
        <v>26628</v>
      </c>
      <c r="H32290" s="21">
        <v>515.41999999999996</v>
      </c>
    </row>
    <row r="32291" spans="1:8" customFormat="1" x14ac:dyDescent="0.25">
      <c r="A32291" t="str">
        <f>"9129955"</f>
        <v>9129955</v>
      </c>
      <c r="B32291" t="s">
        <v>24298</v>
      </c>
      <c r="C32291" t="s">
        <v>156</v>
      </c>
      <c r="D32291" s="21" t="s">
        <v>34</v>
      </c>
      <c r="E32291" s="21" t="s">
        <v>35</v>
      </c>
      <c r="F32291">
        <v>8911395</v>
      </c>
      <c r="G32291" t="s">
        <v>8758</v>
      </c>
      <c r="H32291" s="21">
        <v>515.41999999999996</v>
      </c>
    </row>
    <row r="32292" spans="1:8" customFormat="1" x14ac:dyDescent="0.25">
      <c r="A32292" t="str">
        <f>"7523682"</f>
        <v>7523682</v>
      </c>
      <c r="B32292" t="s">
        <v>24105</v>
      </c>
      <c r="C32292" t="s">
        <v>323</v>
      </c>
      <c r="D32292" s="21" t="s">
        <v>34</v>
      </c>
      <c r="E32292" s="21" t="s">
        <v>35</v>
      </c>
      <c r="F32292">
        <v>8751163</v>
      </c>
      <c r="G32292" t="s">
        <v>80</v>
      </c>
      <c r="H32292" s="21">
        <v>515.41999999999996</v>
      </c>
    </row>
    <row r="32293" spans="1:8" customFormat="1" x14ac:dyDescent="0.25">
      <c r="A32293" t="str">
        <f>"3337455"</f>
        <v>3337455</v>
      </c>
      <c r="B32293" t="s">
        <v>22427</v>
      </c>
      <c r="C32293" t="s">
        <v>2365</v>
      </c>
      <c r="D32293" s="21" t="s">
        <v>34</v>
      </c>
      <c r="E32293" s="21" t="s">
        <v>254</v>
      </c>
      <c r="F32293">
        <v>10330125</v>
      </c>
      <c r="G32293" t="s">
        <v>3753</v>
      </c>
      <c r="H32293" s="21">
        <v>515.41999999999996</v>
      </c>
    </row>
    <row r="32294" spans="1:8" customFormat="1" x14ac:dyDescent="0.25">
      <c r="A32294" t="str">
        <f>"9458794"</f>
        <v>9458794</v>
      </c>
      <c r="B32294" t="s">
        <v>7847</v>
      </c>
      <c r="C32294" t="s">
        <v>87</v>
      </c>
      <c r="D32294" s="21" t="s">
        <v>34</v>
      </c>
      <c r="E32294" s="21" t="s">
        <v>35</v>
      </c>
      <c r="F32294">
        <v>8940524</v>
      </c>
      <c r="G32294" t="s">
        <v>6176</v>
      </c>
      <c r="H32294" s="21">
        <v>515.38</v>
      </c>
    </row>
    <row r="32295" spans="1:8" customFormat="1" x14ac:dyDescent="0.25">
      <c r="A32295" t="str">
        <f>"9136352"</f>
        <v>9136352</v>
      </c>
      <c r="B32295" t="s">
        <v>21867</v>
      </c>
      <c r="C32295" t="s">
        <v>239</v>
      </c>
      <c r="D32295" s="21" t="s">
        <v>34</v>
      </c>
      <c r="E32295" s="21" t="s">
        <v>71</v>
      </c>
      <c r="F32295">
        <v>8910303</v>
      </c>
      <c r="G32295" t="s">
        <v>1244</v>
      </c>
      <c r="H32295" s="21">
        <v>515.29</v>
      </c>
    </row>
    <row r="32296" spans="1:8" customFormat="1" x14ac:dyDescent="0.25">
      <c r="A32296" t="str">
        <f>"7413771"</f>
        <v>7413771</v>
      </c>
      <c r="B32296" t="s">
        <v>22409</v>
      </c>
      <c r="C32296" t="s">
        <v>33</v>
      </c>
      <c r="D32296" s="21" t="s">
        <v>34</v>
      </c>
      <c r="E32296" s="21" t="s">
        <v>35</v>
      </c>
      <c r="F32296">
        <v>1740045</v>
      </c>
      <c r="G32296" t="s">
        <v>9857</v>
      </c>
      <c r="H32296" s="21">
        <v>515.29</v>
      </c>
    </row>
    <row r="32297" spans="1:8" customFormat="1" x14ac:dyDescent="0.25">
      <c r="A32297" t="str">
        <f>"5918781"</f>
        <v>5918781</v>
      </c>
      <c r="B32297" t="s">
        <v>19418</v>
      </c>
      <c r="C32297" t="s">
        <v>130</v>
      </c>
      <c r="D32297" s="21" t="s">
        <v>34</v>
      </c>
      <c r="E32297" s="21" t="s">
        <v>71</v>
      </c>
      <c r="F32297">
        <v>7590047</v>
      </c>
      <c r="G32297" t="s">
        <v>5788</v>
      </c>
      <c r="H32297" s="21">
        <v>515.29</v>
      </c>
    </row>
    <row r="32298" spans="1:8" customFormat="1" x14ac:dyDescent="0.25">
      <c r="A32298" t="str">
        <f>"495862"</f>
        <v>495862</v>
      </c>
      <c r="B32298" t="s">
        <v>23892</v>
      </c>
      <c r="C32298" t="s">
        <v>1665</v>
      </c>
      <c r="D32298" s="21" t="s">
        <v>34</v>
      </c>
      <c r="E32298" s="21" t="s">
        <v>254</v>
      </c>
      <c r="F32298">
        <v>12490048</v>
      </c>
      <c r="G32298" t="s">
        <v>4228</v>
      </c>
      <c r="H32298" s="21">
        <v>515.25</v>
      </c>
    </row>
    <row r="32299" spans="1:8" customFormat="1" x14ac:dyDescent="0.25">
      <c r="A32299" t="str">
        <f>"2936035"</f>
        <v>2936035</v>
      </c>
      <c r="B32299" t="s">
        <v>21513</v>
      </c>
      <c r="C32299" t="s">
        <v>812</v>
      </c>
      <c r="D32299" s="21" t="s">
        <v>34</v>
      </c>
      <c r="E32299" s="21" t="s">
        <v>35</v>
      </c>
      <c r="F32299">
        <v>3290280</v>
      </c>
      <c r="G32299" t="s">
        <v>4913</v>
      </c>
      <c r="H32299" s="21">
        <v>515.16999999999996</v>
      </c>
    </row>
    <row r="32300" spans="1:8" customFormat="1" x14ac:dyDescent="0.25">
      <c r="A32300" t="str">
        <f>"5110000"</f>
        <v>5110000</v>
      </c>
      <c r="B32300" t="s">
        <v>21309</v>
      </c>
      <c r="C32300" t="s">
        <v>90</v>
      </c>
      <c r="D32300" s="21" t="s">
        <v>34</v>
      </c>
      <c r="E32300" s="21" t="s">
        <v>71</v>
      </c>
      <c r="F32300">
        <v>6510042</v>
      </c>
      <c r="G32300" t="s">
        <v>15015</v>
      </c>
      <c r="H32300" s="21">
        <v>515.16999999999996</v>
      </c>
    </row>
    <row r="32301" spans="1:8" customFormat="1" x14ac:dyDescent="0.25">
      <c r="A32301" t="str">
        <f>"4219048"</f>
        <v>4219048</v>
      </c>
      <c r="B32301" t="s">
        <v>22376</v>
      </c>
      <c r="C32301" t="s">
        <v>209</v>
      </c>
      <c r="D32301" s="21" t="s">
        <v>34</v>
      </c>
      <c r="E32301" s="21" t="s">
        <v>71</v>
      </c>
      <c r="F32301">
        <v>1420163</v>
      </c>
      <c r="G32301" t="s">
        <v>2424</v>
      </c>
      <c r="H32301" s="21">
        <v>515.16999999999996</v>
      </c>
    </row>
    <row r="32302" spans="1:8" customFormat="1" x14ac:dyDescent="0.25">
      <c r="A32302" t="str">
        <f>"616427"</f>
        <v>616427</v>
      </c>
      <c r="B32302" t="s">
        <v>21109</v>
      </c>
      <c r="C32302" t="s">
        <v>631</v>
      </c>
      <c r="D32302" s="21" t="s">
        <v>34</v>
      </c>
      <c r="E32302" s="21" t="s">
        <v>35</v>
      </c>
      <c r="F32302">
        <v>3350095</v>
      </c>
      <c r="G32302" t="s">
        <v>5813</v>
      </c>
      <c r="H32302" s="21">
        <v>515.16999999999996</v>
      </c>
    </row>
    <row r="32303" spans="1:8" customFormat="1" x14ac:dyDescent="0.25">
      <c r="A32303" t="str">
        <f>"257171"</f>
        <v>257171</v>
      </c>
      <c r="B32303" t="s">
        <v>20906</v>
      </c>
      <c r="C32303" t="s">
        <v>4842</v>
      </c>
      <c r="D32303" s="21" t="s">
        <v>34</v>
      </c>
      <c r="E32303" s="21" t="s">
        <v>1089</v>
      </c>
      <c r="F32303">
        <v>2250196</v>
      </c>
      <c r="G32303" t="s">
        <v>27452</v>
      </c>
      <c r="H32303" s="21">
        <v>515.16999999999996</v>
      </c>
    </row>
    <row r="32304" spans="1:8" customFormat="1" x14ac:dyDescent="0.25">
      <c r="A32304" t="str">
        <f>"7211875"</f>
        <v>7211875</v>
      </c>
      <c r="B32304" t="s">
        <v>400</v>
      </c>
      <c r="C32304" t="s">
        <v>209</v>
      </c>
      <c r="D32304" s="21" t="s">
        <v>34</v>
      </c>
      <c r="E32304" s="21" t="s">
        <v>35</v>
      </c>
      <c r="F32304">
        <v>12720049</v>
      </c>
      <c r="G32304" t="s">
        <v>1627</v>
      </c>
      <c r="H32304" s="21">
        <v>515.16999999999996</v>
      </c>
    </row>
    <row r="32305" spans="1:8" customFormat="1" x14ac:dyDescent="0.25">
      <c r="A32305" t="str">
        <f>"6210784"</f>
        <v>6210784</v>
      </c>
      <c r="B32305" t="s">
        <v>482</v>
      </c>
      <c r="C32305" t="s">
        <v>453</v>
      </c>
      <c r="D32305" s="21" t="s">
        <v>34</v>
      </c>
      <c r="E32305" s="21" t="s">
        <v>254</v>
      </c>
      <c r="F32305">
        <v>7590007</v>
      </c>
      <c r="G32305" t="s">
        <v>13674</v>
      </c>
      <c r="H32305" s="21">
        <v>515.16999999999996</v>
      </c>
    </row>
    <row r="32306" spans="1:8" customFormat="1" x14ac:dyDescent="0.25">
      <c r="A32306" t="str">
        <f>"3720908"</f>
        <v>3720908</v>
      </c>
      <c r="B32306" t="s">
        <v>21795</v>
      </c>
      <c r="C32306" t="s">
        <v>139</v>
      </c>
      <c r="D32306" s="21" t="s">
        <v>34</v>
      </c>
      <c r="E32306" s="21" t="s">
        <v>35</v>
      </c>
      <c r="F32306">
        <v>4370167</v>
      </c>
      <c r="G32306" t="s">
        <v>8834</v>
      </c>
      <c r="H32306" s="21">
        <v>515.16999999999996</v>
      </c>
    </row>
    <row r="32307" spans="1:8" customFormat="1" x14ac:dyDescent="0.25">
      <c r="A32307" t="str">
        <f>"2218909"</f>
        <v>2218909</v>
      </c>
      <c r="B32307" t="s">
        <v>28476</v>
      </c>
      <c r="C32307" t="s">
        <v>412</v>
      </c>
      <c r="D32307" s="21" t="s">
        <v>34</v>
      </c>
      <c r="E32307" s="21" t="s">
        <v>254</v>
      </c>
      <c r="F32307">
        <v>3220064</v>
      </c>
      <c r="G32307" t="s">
        <v>26559</v>
      </c>
      <c r="H32307" s="21">
        <v>515.16999999999996</v>
      </c>
    </row>
    <row r="32308" spans="1:8" customFormat="1" x14ac:dyDescent="0.25">
      <c r="A32308" t="str">
        <f>"4524056"</f>
        <v>4524056</v>
      </c>
      <c r="B32308" t="s">
        <v>21375</v>
      </c>
      <c r="C32308" t="s">
        <v>1841</v>
      </c>
      <c r="D32308" s="21" t="s">
        <v>34</v>
      </c>
      <c r="E32308" s="21" t="s">
        <v>71</v>
      </c>
      <c r="F32308">
        <v>4450751</v>
      </c>
      <c r="G32308" t="s">
        <v>442</v>
      </c>
      <c r="H32308" s="21">
        <v>515.16999999999996</v>
      </c>
    </row>
    <row r="32309" spans="1:8" customFormat="1" x14ac:dyDescent="0.25">
      <c r="A32309" t="str">
        <f>"306873"</f>
        <v>306873</v>
      </c>
      <c r="B32309" t="s">
        <v>20683</v>
      </c>
      <c r="C32309" t="s">
        <v>1142</v>
      </c>
      <c r="D32309" s="21" t="s">
        <v>34</v>
      </c>
      <c r="E32309" s="21" t="s">
        <v>1089</v>
      </c>
      <c r="F32309">
        <v>11300014</v>
      </c>
      <c r="G32309" t="s">
        <v>2345</v>
      </c>
      <c r="H32309" s="21">
        <v>515.16999999999996</v>
      </c>
    </row>
    <row r="32310" spans="1:8" customFormat="1" x14ac:dyDescent="0.25">
      <c r="A32310" t="str">
        <f>"1910114"</f>
        <v>1910114</v>
      </c>
      <c r="B32310" t="s">
        <v>22444</v>
      </c>
      <c r="C32310" t="s">
        <v>428</v>
      </c>
      <c r="D32310" s="21" t="s">
        <v>34</v>
      </c>
      <c r="E32310" s="21" t="s">
        <v>35</v>
      </c>
      <c r="F32310">
        <v>10190129</v>
      </c>
      <c r="G32310" t="s">
        <v>16206</v>
      </c>
      <c r="H32310" s="21">
        <v>515.16999999999996</v>
      </c>
    </row>
    <row r="32311" spans="1:8" customFormat="1" x14ac:dyDescent="0.25">
      <c r="A32311" t="str">
        <f>"7522038"</f>
        <v>7522038</v>
      </c>
      <c r="B32311" t="s">
        <v>22631</v>
      </c>
      <c r="C32311" t="s">
        <v>399</v>
      </c>
      <c r="D32311" s="21" t="s">
        <v>34</v>
      </c>
      <c r="E32311" s="21" t="s">
        <v>35</v>
      </c>
      <c r="F32311">
        <v>8751459</v>
      </c>
      <c r="G32311" t="s">
        <v>27461</v>
      </c>
      <c r="H32311" s="21">
        <v>515.16999999999996</v>
      </c>
    </row>
    <row r="32312" spans="1:8" customFormat="1" x14ac:dyDescent="0.25">
      <c r="A32312" t="str">
        <f>"5322260"</f>
        <v>5322260</v>
      </c>
      <c r="B32312" t="s">
        <v>21418</v>
      </c>
      <c r="C32312" t="s">
        <v>926</v>
      </c>
      <c r="D32312" s="21" t="s">
        <v>34</v>
      </c>
      <c r="E32312" s="21" t="s">
        <v>35</v>
      </c>
      <c r="F32312">
        <v>12538909</v>
      </c>
      <c r="G32312" t="s">
        <v>13536</v>
      </c>
      <c r="H32312" s="21">
        <v>515.16999999999996</v>
      </c>
    </row>
    <row r="32313" spans="1:8" customFormat="1" x14ac:dyDescent="0.25">
      <c r="A32313" t="str">
        <f>"589770"</f>
        <v>589770</v>
      </c>
      <c r="B32313" t="s">
        <v>2605</v>
      </c>
      <c r="C32313" t="s">
        <v>428</v>
      </c>
      <c r="D32313" s="21" t="s">
        <v>34</v>
      </c>
      <c r="E32313" s="21" t="s">
        <v>35</v>
      </c>
      <c r="F32313">
        <v>2580091</v>
      </c>
      <c r="G32313" t="s">
        <v>13057</v>
      </c>
      <c r="H32313" s="21">
        <v>515.04</v>
      </c>
    </row>
    <row r="32314" spans="1:8" customFormat="1" x14ac:dyDescent="0.25">
      <c r="A32314" t="str">
        <f>"396768"</f>
        <v>396768</v>
      </c>
      <c r="B32314" t="s">
        <v>14616</v>
      </c>
      <c r="C32314" t="s">
        <v>7515</v>
      </c>
      <c r="D32314" s="21" t="s">
        <v>34</v>
      </c>
      <c r="E32314" s="21" t="s">
        <v>35</v>
      </c>
      <c r="F32314">
        <v>2390022</v>
      </c>
      <c r="G32314" t="s">
        <v>17032</v>
      </c>
      <c r="H32314" s="21">
        <v>515.04</v>
      </c>
    </row>
    <row r="32315" spans="1:8" customFormat="1" x14ac:dyDescent="0.25">
      <c r="A32315" t="str">
        <f>"9453350"</f>
        <v>9453350</v>
      </c>
      <c r="B32315" t="s">
        <v>24008</v>
      </c>
      <c r="C32315" t="s">
        <v>169</v>
      </c>
      <c r="D32315" s="21" t="s">
        <v>34</v>
      </c>
      <c r="E32315" s="21" t="s">
        <v>71</v>
      </c>
      <c r="F32315">
        <v>8940524</v>
      </c>
      <c r="G32315" t="s">
        <v>6176</v>
      </c>
      <c r="H32315" s="21">
        <v>515</v>
      </c>
    </row>
    <row r="32316" spans="1:8" customFormat="1" x14ac:dyDescent="0.25">
      <c r="A32316" t="str">
        <f>"0611515"</f>
        <v>0611515</v>
      </c>
      <c r="B32316" t="s">
        <v>21754</v>
      </c>
      <c r="C32316" t="s">
        <v>288</v>
      </c>
      <c r="D32316" s="21" t="s">
        <v>34</v>
      </c>
      <c r="E32316" s="21" t="s">
        <v>35</v>
      </c>
      <c r="F32316">
        <v>13060101</v>
      </c>
      <c r="G32316" t="s">
        <v>5947</v>
      </c>
      <c r="H32316" s="21">
        <v>515</v>
      </c>
    </row>
    <row r="32317" spans="1:8" customFormat="1" x14ac:dyDescent="0.25">
      <c r="A32317" t="str">
        <f>"9520811"</f>
        <v>9520811</v>
      </c>
      <c r="B32317" t="s">
        <v>28477</v>
      </c>
      <c r="C32317" t="s">
        <v>462</v>
      </c>
      <c r="D32317" s="21" t="s">
        <v>34</v>
      </c>
      <c r="E32317" s="21" t="s">
        <v>71</v>
      </c>
      <c r="F32317">
        <v>7600054</v>
      </c>
      <c r="G32317" t="s">
        <v>1352</v>
      </c>
      <c r="H32317" s="21">
        <v>515</v>
      </c>
    </row>
    <row r="32318" spans="1:8" customFormat="1" x14ac:dyDescent="0.25">
      <c r="A32318" t="str">
        <f>"668063"</f>
        <v>668063</v>
      </c>
      <c r="B32318" t="s">
        <v>22637</v>
      </c>
      <c r="C32318" t="s">
        <v>151</v>
      </c>
      <c r="D32318" s="21" t="s">
        <v>34</v>
      </c>
      <c r="E32318" s="21" t="s">
        <v>71</v>
      </c>
      <c r="F32318">
        <v>11660038</v>
      </c>
      <c r="G32318" t="s">
        <v>8493</v>
      </c>
      <c r="H32318" s="21">
        <v>515</v>
      </c>
    </row>
    <row r="32319" spans="1:8" customFormat="1" x14ac:dyDescent="0.25">
      <c r="A32319" t="str">
        <f>"7520339"</f>
        <v>7520339</v>
      </c>
      <c r="B32319" t="s">
        <v>23655</v>
      </c>
      <c r="C32319" t="s">
        <v>169</v>
      </c>
      <c r="D32319" s="21" t="s">
        <v>34</v>
      </c>
      <c r="E32319" s="21" t="s">
        <v>35</v>
      </c>
      <c r="F32319">
        <v>8750536</v>
      </c>
      <c r="G32319" t="s">
        <v>11689</v>
      </c>
      <c r="H32319" s="21">
        <v>515</v>
      </c>
    </row>
    <row r="32320" spans="1:8" customFormat="1" x14ac:dyDescent="0.25">
      <c r="A32320" t="str">
        <f>"4932854"</f>
        <v>4932854</v>
      </c>
      <c r="B32320" t="s">
        <v>28478</v>
      </c>
      <c r="C32320" t="s">
        <v>62</v>
      </c>
      <c r="D32320" s="21" t="s">
        <v>34</v>
      </c>
      <c r="E32320" s="21" t="s">
        <v>35</v>
      </c>
      <c r="F32320">
        <v>12490061</v>
      </c>
      <c r="G32320" t="s">
        <v>969</v>
      </c>
      <c r="H32320" s="21">
        <v>515</v>
      </c>
    </row>
    <row r="32321" spans="1:8" customFormat="1" x14ac:dyDescent="0.25">
      <c r="A32321" t="str">
        <f>"5326466"</f>
        <v>5326466</v>
      </c>
      <c r="B32321" t="s">
        <v>5222</v>
      </c>
      <c r="C32321" t="s">
        <v>209</v>
      </c>
      <c r="D32321" s="21" t="s">
        <v>34</v>
      </c>
      <c r="E32321" s="21" t="s">
        <v>35</v>
      </c>
      <c r="F32321">
        <v>12530033</v>
      </c>
      <c r="G32321" t="s">
        <v>10046</v>
      </c>
      <c r="H32321" s="21">
        <v>515</v>
      </c>
    </row>
    <row r="32322" spans="1:8" customFormat="1" x14ac:dyDescent="0.25">
      <c r="A32322" t="str">
        <f>"3711063"</f>
        <v>3711063</v>
      </c>
      <c r="B32322" t="s">
        <v>1525</v>
      </c>
      <c r="C32322" t="s">
        <v>209</v>
      </c>
      <c r="D32322" s="21" t="s">
        <v>34</v>
      </c>
      <c r="E32322" s="21" t="s">
        <v>35</v>
      </c>
      <c r="F32322">
        <v>4370167</v>
      </c>
      <c r="G32322" t="s">
        <v>8834</v>
      </c>
      <c r="H32322" s="21">
        <v>515</v>
      </c>
    </row>
    <row r="32323" spans="1:8" customFormat="1" x14ac:dyDescent="0.25">
      <c r="A32323" t="str">
        <f>"2938715"</f>
        <v>2938715</v>
      </c>
      <c r="B32323" t="s">
        <v>7826</v>
      </c>
      <c r="C32323" t="s">
        <v>486</v>
      </c>
      <c r="D32323" s="21" t="s">
        <v>34</v>
      </c>
      <c r="E32323" s="21" t="s">
        <v>35</v>
      </c>
      <c r="F32323">
        <v>3290026</v>
      </c>
      <c r="G32323" t="s">
        <v>7421</v>
      </c>
      <c r="H32323" s="21">
        <v>515</v>
      </c>
    </row>
    <row r="32324" spans="1:8" customFormat="1" x14ac:dyDescent="0.25">
      <c r="A32324" t="str">
        <f>"3818777"</f>
        <v>3818777</v>
      </c>
      <c r="B32324" t="s">
        <v>28479</v>
      </c>
      <c r="C32324" t="s">
        <v>58</v>
      </c>
      <c r="D32324" s="21" t="s">
        <v>34</v>
      </c>
      <c r="E32324" s="21" t="s">
        <v>35</v>
      </c>
      <c r="F32324">
        <v>1380267</v>
      </c>
      <c r="G32324" t="s">
        <v>1002</v>
      </c>
      <c r="H32324" s="21">
        <v>515</v>
      </c>
    </row>
    <row r="32325" spans="1:8" customFormat="1" x14ac:dyDescent="0.25">
      <c r="A32325" t="str">
        <f>"6934710"</f>
        <v>6934710</v>
      </c>
      <c r="B32325" t="s">
        <v>28480</v>
      </c>
      <c r="C32325" t="s">
        <v>169</v>
      </c>
      <c r="D32325" s="21" t="s">
        <v>34</v>
      </c>
      <c r="E32325" s="21" t="s">
        <v>35</v>
      </c>
      <c r="F32325">
        <v>1690109</v>
      </c>
      <c r="G32325" t="s">
        <v>3028</v>
      </c>
      <c r="H32325" s="21">
        <v>515</v>
      </c>
    </row>
    <row r="32326" spans="1:8" customFormat="1" x14ac:dyDescent="0.25">
      <c r="A32326" t="str">
        <f>"2511747"</f>
        <v>2511747</v>
      </c>
      <c r="B32326" t="s">
        <v>6350</v>
      </c>
      <c r="C32326" t="s">
        <v>1782</v>
      </c>
      <c r="D32326" s="21" t="s">
        <v>34</v>
      </c>
      <c r="E32326" s="21" t="s">
        <v>35</v>
      </c>
      <c r="F32326">
        <v>1690192</v>
      </c>
      <c r="G32326" t="s">
        <v>3578</v>
      </c>
      <c r="H32326" s="21">
        <v>515</v>
      </c>
    </row>
    <row r="32327" spans="1:8" customFormat="1" x14ac:dyDescent="0.25">
      <c r="A32327" t="str">
        <f>"367129"</f>
        <v>367129</v>
      </c>
      <c r="B32327" t="s">
        <v>8455</v>
      </c>
      <c r="C32327" t="s">
        <v>211</v>
      </c>
      <c r="D32327" s="21" t="s">
        <v>34</v>
      </c>
      <c r="E32327" s="21" t="s">
        <v>254</v>
      </c>
      <c r="F32327">
        <v>4360315</v>
      </c>
      <c r="G32327" t="s">
        <v>6888</v>
      </c>
      <c r="H32327" s="21">
        <v>515</v>
      </c>
    </row>
    <row r="32328" spans="1:8" customFormat="1" x14ac:dyDescent="0.25">
      <c r="A32328" t="str">
        <f>"7221301"</f>
        <v>7221301</v>
      </c>
      <c r="B32328" t="s">
        <v>1885</v>
      </c>
      <c r="C32328" t="s">
        <v>275</v>
      </c>
      <c r="D32328" s="21" t="s">
        <v>34</v>
      </c>
      <c r="E32328" s="21" t="s">
        <v>35</v>
      </c>
      <c r="F32328">
        <v>12720021</v>
      </c>
      <c r="G32328" t="s">
        <v>3329</v>
      </c>
      <c r="H32328" s="21">
        <v>515</v>
      </c>
    </row>
    <row r="32329" spans="1:8" customFormat="1" x14ac:dyDescent="0.25">
      <c r="A32329" t="str">
        <f>"5432129"</f>
        <v>5432129</v>
      </c>
      <c r="B32329" t="s">
        <v>22296</v>
      </c>
      <c r="C32329" t="s">
        <v>249</v>
      </c>
      <c r="D32329" s="21" t="s">
        <v>34</v>
      </c>
      <c r="E32329" s="21" t="s">
        <v>71</v>
      </c>
      <c r="F32329">
        <v>6540199</v>
      </c>
      <c r="G32329" t="s">
        <v>8888</v>
      </c>
      <c r="H32329" s="21">
        <v>515</v>
      </c>
    </row>
    <row r="32330" spans="1:8" customFormat="1" x14ac:dyDescent="0.25">
      <c r="A32330" t="str">
        <f>"1613071"</f>
        <v>1613071</v>
      </c>
      <c r="B32330" t="s">
        <v>431</v>
      </c>
      <c r="C32330" t="s">
        <v>269</v>
      </c>
      <c r="D32330" s="21" t="s">
        <v>34</v>
      </c>
      <c r="E32330" s="21" t="s">
        <v>35</v>
      </c>
      <c r="F32330">
        <v>10160013</v>
      </c>
      <c r="G32330" t="s">
        <v>12672</v>
      </c>
      <c r="H32330" s="21">
        <v>515</v>
      </c>
    </row>
    <row r="32331" spans="1:8" customFormat="1" x14ac:dyDescent="0.25">
      <c r="A32331" t="str">
        <f>"863527"</f>
        <v>863527</v>
      </c>
      <c r="B32331" t="s">
        <v>67</v>
      </c>
      <c r="C32331" t="s">
        <v>288</v>
      </c>
      <c r="D32331" s="21" t="s">
        <v>34</v>
      </c>
      <c r="E32331" s="21" t="s">
        <v>35</v>
      </c>
      <c r="F32331">
        <v>4370690</v>
      </c>
      <c r="G32331" t="s">
        <v>8128</v>
      </c>
      <c r="H32331" s="21">
        <v>515</v>
      </c>
    </row>
    <row r="32332" spans="1:8" customFormat="1" x14ac:dyDescent="0.25">
      <c r="A32332" t="str">
        <f>"5620880"</f>
        <v>5620880</v>
      </c>
      <c r="B32332" t="s">
        <v>18612</v>
      </c>
      <c r="C32332" t="s">
        <v>22457</v>
      </c>
      <c r="D32332" s="21" t="s">
        <v>34</v>
      </c>
      <c r="E32332" s="21" t="s">
        <v>254</v>
      </c>
      <c r="F32332">
        <v>3560055</v>
      </c>
      <c r="G32332" t="s">
        <v>8371</v>
      </c>
      <c r="H32332" s="21">
        <v>515</v>
      </c>
    </row>
    <row r="32333" spans="1:8" customFormat="1" x14ac:dyDescent="0.25">
      <c r="A32333" t="str">
        <f>"9134541"</f>
        <v>9134541</v>
      </c>
      <c r="B32333" t="s">
        <v>12292</v>
      </c>
      <c r="C32333" t="s">
        <v>16824</v>
      </c>
      <c r="D32333" s="21" t="s">
        <v>34</v>
      </c>
      <c r="E32333" s="21" t="s">
        <v>71</v>
      </c>
      <c r="F32333">
        <v>8910165</v>
      </c>
      <c r="G32333" t="s">
        <v>3184</v>
      </c>
      <c r="H32333" s="21">
        <v>515</v>
      </c>
    </row>
    <row r="32334" spans="1:8" customFormat="1" x14ac:dyDescent="0.25">
      <c r="A32334" t="str">
        <f>"278477"</f>
        <v>278477</v>
      </c>
      <c r="B32334" t="s">
        <v>24382</v>
      </c>
      <c r="C32334" t="s">
        <v>1220</v>
      </c>
      <c r="D32334" s="21" t="s">
        <v>34</v>
      </c>
      <c r="E32334" s="21" t="s">
        <v>254</v>
      </c>
      <c r="F32334">
        <v>9270102</v>
      </c>
      <c r="G32334" t="s">
        <v>24383</v>
      </c>
      <c r="H32334" s="21">
        <v>515</v>
      </c>
    </row>
    <row r="32335" spans="1:8" customFormat="1" x14ac:dyDescent="0.25">
      <c r="A32335" t="str">
        <f>"5318740"</f>
        <v>5318740</v>
      </c>
      <c r="B32335" t="s">
        <v>6507</v>
      </c>
      <c r="C32335" t="s">
        <v>55</v>
      </c>
      <c r="D32335" s="21" t="s">
        <v>34</v>
      </c>
      <c r="E32335" s="21" t="s">
        <v>71</v>
      </c>
      <c r="F32335">
        <v>12530049</v>
      </c>
      <c r="G32335" t="s">
        <v>9306</v>
      </c>
      <c r="H32335" s="21">
        <v>515</v>
      </c>
    </row>
    <row r="32336" spans="1:8" customFormat="1" x14ac:dyDescent="0.25">
      <c r="A32336" t="str">
        <f>"5983458"</f>
        <v>5983458</v>
      </c>
      <c r="B32336" t="s">
        <v>28481</v>
      </c>
      <c r="C32336" t="s">
        <v>27168</v>
      </c>
      <c r="D32336" s="21" t="s">
        <v>34</v>
      </c>
      <c r="E32336" s="21" t="s">
        <v>35</v>
      </c>
      <c r="F32336">
        <v>7590076</v>
      </c>
      <c r="G32336" t="s">
        <v>6662</v>
      </c>
      <c r="H32336" s="21">
        <v>515</v>
      </c>
    </row>
    <row r="32337" spans="1:8" customFormat="1" x14ac:dyDescent="0.25">
      <c r="A32337" t="str">
        <f>"9535825"</f>
        <v>9535825</v>
      </c>
      <c r="B32337" t="s">
        <v>28482</v>
      </c>
      <c r="C32337" t="s">
        <v>174</v>
      </c>
      <c r="D32337" s="21" t="s">
        <v>34</v>
      </c>
      <c r="E32337" s="21" t="s">
        <v>35</v>
      </c>
      <c r="F32337">
        <v>8950083</v>
      </c>
      <c r="G32337" t="s">
        <v>405</v>
      </c>
      <c r="H32337" s="21">
        <v>514.91999999999996</v>
      </c>
    </row>
    <row r="32338" spans="1:8" customFormat="1" x14ac:dyDescent="0.25">
      <c r="A32338" t="str">
        <f>"3339660"</f>
        <v>3339660</v>
      </c>
      <c r="B32338" t="s">
        <v>18355</v>
      </c>
      <c r="C32338" t="s">
        <v>275</v>
      </c>
      <c r="D32338" s="21" t="s">
        <v>34</v>
      </c>
      <c r="E32338" s="21" t="s">
        <v>35</v>
      </c>
      <c r="F32338">
        <v>10330073</v>
      </c>
      <c r="G32338" t="s">
        <v>18352</v>
      </c>
      <c r="H32338" s="21">
        <v>514.91999999999996</v>
      </c>
    </row>
    <row r="32339" spans="1:8" customFormat="1" x14ac:dyDescent="0.25">
      <c r="A32339" t="str">
        <f>"4453222"</f>
        <v>4453222</v>
      </c>
      <c r="B32339" t="s">
        <v>8984</v>
      </c>
      <c r="C32339" t="s">
        <v>60</v>
      </c>
      <c r="D32339" s="21" t="s">
        <v>34</v>
      </c>
      <c r="E32339" s="21" t="s">
        <v>35</v>
      </c>
      <c r="F32339">
        <v>12440092</v>
      </c>
      <c r="G32339" t="s">
        <v>8475</v>
      </c>
      <c r="H32339" s="21">
        <v>514.91999999999996</v>
      </c>
    </row>
    <row r="32340" spans="1:8" customFormat="1" x14ac:dyDescent="0.25">
      <c r="A32340" t="str">
        <f>"7640894"</f>
        <v>7640894</v>
      </c>
      <c r="B32340" t="s">
        <v>28483</v>
      </c>
      <c r="C32340" t="s">
        <v>198</v>
      </c>
      <c r="D32340" s="21" t="s">
        <v>34</v>
      </c>
      <c r="E32340" s="21" t="s">
        <v>254</v>
      </c>
      <c r="F32340">
        <v>9760447</v>
      </c>
      <c r="G32340" t="s">
        <v>5942</v>
      </c>
      <c r="H32340" s="21">
        <v>514.66999999999996</v>
      </c>
    </row>
    <row r="32341" spans="1:8" customFormat="1" x14ac:dyDescent="0.25">
      <c r="A32341" t="str">
        <f>"394421"</f>
        <v>394421</v>
      </c>
      <c r="B32341" t="s">
        <v>22639</v>
      </c>
      <c r="C32341" t="s">
        <v>1110</v>
      </c>
      <c r="D32341" s="21" t="s">
        <v>34</v>
      </c>
      <c r="E32341" s="21" t="s">
        <v>254</v>
      </c>
      <c r="F32341">
        <v>2390082</v>
      </c>
      <c r="G32341" t="s">
        <v>3343</v>
      </c>
      <c r="H32341" s="21">
        <v>514.66999999999996</v>
      </c>
    </row>
    <row r="32342" spans="1:8" customFormat="1" x14ac:dyDescent="0.25">
      <c r="A32342" t="str">
        <f>"3818583"</f>
        <v>3818583</v>
      </c>
      <c r="B32342" t="s">
        <v>28484</v>
      </c>
      <c r="C32342" t="s">
        <v>267</v>
      </c>
      <c r="D32342" s="21" t="s">
        <v>34</v>
      </c>
      <c r="E32342" s="21" t="s">
        <v>254</v>
      </c>
      <c r="F32342">
        <v>11660038</v>
      </c>
      <c r="G32342" t="s">
        <v>8493</v>
      </c>
      <c r="H32342" s="21">
        <v>514.66999999999996</v>
      </c>
    </row>
    <row r="32343" spans="1:8" customFormat="1" x14ac:dyDescent="0.25">
      <c r="A32343" t="str">
        <f>"9215363"</f>
        <v>9215363</v>
      </c>
      <c r="B32343" t="s">
        <v>21756</v>
      </c>
      <c r="C32343" t="s">
        <v>598</v>
      </c>
      <c r="D32343" s="21" t="s">
        <v>34</v>
      </c>
      <c r="E32343" s="21" t="s">
        <v>254</v>
      </c>
      <c r="F32343">
        <v>8920111</v>
      </c>
      <c r="G32343" t="s">
        <v>1064</v>
      </c>
      <c r="H32343" s="21">
        <v>514.66999999999996</v>
      </c>
    </row>
    <row r="32344" spans="1:8" customFormat="1" x14ac:dyDescent="0.25">
      <c r="A32344" t="str">
        <f>"2219687"</f>
        <v>2219687</v>
      </c>
      <c r="B32344" t="s">
        <v>16057</v>
      </c>
      <c r="C32344" t="s">
        <v>55</v>
      </c>
      <c r="D32344" s="21" t="s">
        <v>34</v>
      </c>
      <c r="E32344" s="21" t="s">
        <v>35</v>
      </c>
      <c r="F32344">
        <v>3220007</v>
      </c>
      <c r="G32344" t="s">
        <v>26946</v>
      </c>
      <c r="H32344" s="21">
        <v>514.66999999999996</v>
      </c>
    </row>
    <row r="32345" spans="1:8" customFormat="1" x14ac:dyDescent="0.25">
      <c r="A32345" t="str">
        <f>"4217738"</f>
        <v>4217738</v>
      </c>
      <c r="B32345" t="s">
        <v>697</v>
      </c>
      <c r="C32345" t="s">
        <v>2730</v>
      </c>
      <c r="D32345" s="21" t="s">
        <v>34</v>
      </c>
      <c r="E32345" s="21" t="s">
        <v>254</v>
      </c>
      <c r="F32345">
        <v>1420144</v>
      </c>
      <c r="G32345" t="s">
        <v>9603</v>
      </c>
      <c r="H32345" s="21">
        <v>514.66999999999996</v>
      </c>
    </row>
    <row r="32346" spans="1:8" customFormat="1" x14ac:dyDescent="0.25">
      <c r="A32346" t="str">
        <f>"478869"</f>
        <v>478869</v>
      </c>
      <c r="B32346" t="s">
        <v>9524</v>
      </c>
      <c r="C32346" t="s">
        <v>156</v>
      </c>
      <c r="D32346" s="21" t="s">
        <v>34</v>
      </c>
      <c r="E32346" s="21" t="s">
        <v>35</v>
      </c>
      <c r="F32346">
        <v>10470026</v>
      </c>
      <c r="G32346" t="s">
        <v>27223</v>
      </c>
      <c r="H32346" s="21">
        <v>514.66999999999996</v>
      </c>
    </row>
    <row r="32347" spans="1:8" customFormat="1" x14ac:dyDescent="0.25">
      <c r="A32347" t="str">
        <f>"4215671"</f>
        <v>4215671</v>
      </c>
      <c r="B32347" t="s">
        <v>15014</v>
      </c>
      <c r="C32347" t="s">
        <v>2520</v>
      </c>
      <c r="D32347" s="21" t="s">
        <v>34</v>
      </c>
      <c r="E32347" s="21" t="s">
        <v>71</v>
      </c>
      <c r="F32347">
        <v>1420148</v>
      </c>
      <c r="G32347" t="s">
        <v>10763</v>
      </c>
      <c r="H32347" s="21">
        <v>514.66999999999996</v>
      </c>
    </row>
    <row r="32348" spans="1:8" customFormat="1" x14ac:dyDescent="0.25">
      <c r="A32348" t="str">
        <f>"1321107"</f>
        <v>1321107</v>
      </c>
      <c r="B32348" t="s">
        <v>24522</v>
      </c>
      <c r="C32348" t="s">
        <v>305</v>
      </c>
      <c r="D32348" s="21" t="s">
        <v>34</v>
      </c>
      <c r="E32348" s="21" t="s">
        <v>35</v>
      </c>
      <c r="F32348">
        <v>13130012</v>
      </c>
      <c r="G32348" t="s">
        <v>68</v>
      </c>
      <c r="H32348" s="21">
        <v>514.66999999999996</v>
      </c>
    </row>
    <row r="32349" spans="1:8" customFormat="1" x14ac:dyDescent="0.25">
      <c r="A32349" t="str">
        <f>"5979853"</f>
        <v>5979853</v>
      </c>
      <c r="B32349" t="s">
        <v>6024</v>
      </c>
      <c r="C32349" t="s">
        <v>1110</v>
      </c>
      <c r="D32349" s="21" t="s">
        <v>34</v>
      </c>
      <c r="E32349" s="21" t="s">
        <v>254</v>
      </c>
      <c r="F32349">
        <v>7590049</v>
      </c>
      <c r="G32349" t="s">
        <v>11040</v>
      </c>
      <c r="H32349" s="21">
        <v>514.66999999999996</v>
      </c>
    </row>
    <row r="32350" spans="1:8" customFormat="1" x14ac:dyDescent="0.25">
      <c r="A32350" t="str">
        <f>"154019"</f>
        <v>154019</v>
      </c>
      <c r="B32350" t="s">
        <v>24212</v>
      </c>
      <c r="C32350" t="s">
        <v>328</v>
      </c>
      <c r="D32350" s="21" t="s">
        <v>34</v>
      </c>
      <c r="E32350" s="21" t="s">
        <v>35</v>
      </c>
      <c r="F32350">
        <v>1150304</v>
      </c>
      <c r="G32350" t="s">
        <v>5647</v>
      </c>
      <c r="H32350" s="21">
        <v>514.66999999999996</v>
      </c>
    </row>
    <row r="32351" spans="1:8" customFormat="1" x14ac:dyDescent="0.25">
      <c r="A32351" t="str">
        <f>"3529414"</f>
        <v>3529414</v>
      </c>
      <c r="B32351" t="s">
        <v>3972</v>
      </c>
      <c r="C32351" t="s">
        <v>40</v>
      </c>
      <c r="D32351" s="21" t="s">
        <v>34</v>
      </c>
      <c r="E32351" s="21" t="s">
        <v>71</v>
      </c>
      <c r="F32351">
        <v>3350209</v>
      </c>
      <c r="G32351" t="s">
        <v>3023</v>
      </c>
      <c r="H32351" s="21">
        <v>514.66999999999996</v>
      </c>
    </row>
    <row r="32352" spans="1:8" customFormat="1" x14ac:dyDescent="0.25">
      <c r="A32352" t="str">
        <f>"2938788"</f>
        <v>2938788</v>
      </c>
      <c r="B32352" t="s">
        <v>8561</v>
      </c>
      <c r="C32352" t="s">
        <v>7181</v>
      </c>
      <c r="D32352" s="21" t="s">
        <v>34</v>
      </c>
      <c r="E32352" s="21" t="s">
        <v>71</v>
      </c>
      <c r="F32352">
        <v>3290224</v>
      </c>
      <c r="G32352" t="s">
        <v>7829</v>
      </c>
      <c r="H32352" s="21">
        <v>514.66999999999996</v>
      </c>
    </row>
    <row r="32353" spans="1:8" customFormat="1" x14ac:dyDescent="0.25">
      <c r="A32353" t="str">
        <f>"1413431"</f>
        <v>1413431</v>
      </c>
      <c r="B32353" t="s">
        <v>3725</v>
      </c>
      <c r="C32353" t="s">
        <v>33</v>
      </c>
      <c r="D32353" s="21" t="s">
        <v>34</v>
      </c>
      <c r="E32353" s="21" t="s">
        <v>35</v>
      </c>
      <c r="F32353">
        <v>9140019</v>
      </c>
      <c r="G32353" t="s">
        <v>3901</v>
      </c>
      <c r="H32353" s="21">
        <v>514.66999999999996</v>
      </c>
    </row>
    <row r="32354" spans="1:8" customFormat="1" x14ac:dyDescent="0.25">
      <c r="A32354" t="str">
        <f>"6228843"</f>
        <v>6228843</v>
      </c>
      <c r="B32354" t="s">
        <v>19270</v>
      </c>
      <c r="C32354" t="s">
        <v>288</v>
      </c>
      <c r="D32354" s="21" t="s">
        <v>34</v>
      </c>
      <c r="E32354" s="21" t="s">
        <v>35</v>
      </c>
      <c r="F32354">
        <v>7620005</v>
      </c>
      <c r="G32354" t="s">
        <v>200</v>
      </c>
      <c r="H32354" s="21">
        <v>514.66999999999996</v>
      </c>
    </row>
    <row r="32355" spans="1:8" customFormat="1" x14ac:dyDescent="0.25">
      <c r="A32355" t="str">
        <f>"4449265"</f>
        <v>4449265</v>
      </c>
      <c r="B32355" t="s">
        <v>14460</v>
      </c>
      <c r="C32355" t="s">
        <v>598</v>
      </c>
      <c r="D32355" s="21" t="s">
        <v>34</v>
      </c>
      <c r="E32355" s="21" t="s">
        <v>71</v>
      </c>
      <c r="F32355">
        <v>12440206</v>
      </c>
      <c r="G32355" t="s">
        <v>10374</v>
      </c>
      <c r="H32355" s="21">
        <v>514.66999999999996</v>
      </c>
    </row>
    <row r="32356" spans="1:8" customFormat="1" x14ac:dyDescent="0.25">
      <c r="A32356" t="str">
        <f>"443946"</f>
        <v>443946</v>
      </c>
      <c r="B32356" t="s">
        <v>21656</v>
      </c>
      <c r="C32356" t="s">
        <v>2305</v>
      </c>
      <c r="D32356" s="21" t="s">
        <v>34</v>
      </c>
      <c r="E32356" s="21" t="s">
        <v>1089</v>
      </c>
      <c r="F32356">
        <v>12440049</v>
      </c>
      <c r="G32356" t="s">
        <v>3339</v>
      </c>
      <c r="H32356" s="21">
        <v>514.66999999999996</v>
      </c>
    </row>
    <row r="32357" spans="1:8" customFormat="1" x14ac:dyDescent="0.25">
      <c r="A32357" t="str">
        <f>"3535287"</f>
        <v>3535287</v>
      </c>
      <c r="B32357" t="s">
        <v>22569</v>
      </c>
      <c r="C32357" t="s">
        <v>55</v>
      </c>
      <c r="D32357" s="21" t="s">
        <v>34</v>
      </c>
      <c r="E32357" s="21" t="s">
        <v>71</v>
      </c>
      <c r="F32357">
        <v>3350212</v>
      </c>
      <c r="G32357" t="s">
        <v>5154</v>
      </c>
      <c r="H32357" s="21">
        <v>514.66999999999996</v>
      </c>
    </row>
    <row r="32358" spans="1:8" customFormat="1" x14ac:dyDescent="0.25">
      <c r="A32358" t="str">
        <f>"505320"</f>
        <v>505320</v>
      </c>
      <c r="B32358" t="s">
        <v>14749</v>
      </c>
      <c r="C32358" t="s">
        <v>4842</v>
      </c>
      <c r="D32358" s="21" t="s">
        <v>34</v>
      </c>
      <c r="E32358" s="21" t="s">
        <v>254</v>
      </c>
      <c r="F32358">
        <v>9500025</v>
      </c>
      <c r="G32358" t="s">
        <v>665</v>
      </c>
      <c r="H32358" s="21">
        <v>514.5</v>
      </c>
    </row>
    <row r="32359" spans="1:8" customFormat="1" x14ac:dyDescent="0.25">
      <c r="A32359" t="str">
        <f>"5931404"</f>
        <v>5931404</v>
      </c>
      <c r="B32359" t="s">
        <v>22657</v>
      </c>
      <c r="C32359" t="s">
        <v>926</v>
      </c>
      <c r="D32359" s="21" t="s">
        <v>34</v>
      </c>
      <c r="E32359" s="21" t="s">
        <v>254</v>
      </c>
      <c r="F32359">
        <v>7590162</v>
      </c>
      <c r="G32359" t="s">
        <v>7211</v>
      </c>
      <c r="H32359" s="21">
        <v>514.5</v>
      </c>
    </row>
    <row r="32360" spans="1:8" customFormat="1" x14ac:dyDescent="0.25">
      <c r="A32360" t="str">
        <f>"3538139"</f>
        <v>3538139</v>
      </c>
      <c r="B32360" t="s">
        <v>14656</v>
      </c>
      <c r="C32360" t="s">
        <v>263</v>
      </c>
      <c r="D32360" s="21" t="s">
        <v>34</v>
      </c>
      <c r="E32360" s="21" t="s">
        <v>254</v>
      </c>
      <c r="F32360">
        <v>3350074</v>
      </c>
      <c r="G32360" t="s">
        <v>5432</v>
      </c>
      <c r="H32360" s="21">
        <v>514.5</v>
      </c>
    </row>
    <row r="32361" spans="1:8" customFormat="1" x14ac:dyDescent="0.25">
      <c r="A32361" t="str">
        <f>"3728596"</f>
        <v>3728596</v>
      </c>
      <c r="B32361" t="s">
        <v>22354</v>
      </c>
      <c r="C32361" t="s">
        <v>98</v>
      </c>
      <c r="D32361" s="21" t="s">
        <v>34</v>
      </c>
      <c r="E32361" s="21" t="s">
        <v>71</v>
      </c>
      <c r="F32361">
        <v>4370015</v>
      </c>
      <c r="G32361" t="s">
        <v>17941</v>
      </c>
      <c r="H32361" s="21">
        <v>514.5</v>
      </c>
    </row>
    <row r="32362" spans="1:8" customFormat="1" x14ac:dyDescent="0.25">
      <c r="A32362" t="str">
        <f>"2924173"</f>
        <v>2924173</v>
      </c>
      <c r="B32362" t="s">
        <v>8281</v>
      </c>
      <c r="C32362" t="s">
        <v>1142</v>
      </c>
      <c r="D32362" s="21" t="s">
        <v>34</v>
      </c>
      <c r="E32362" s="21" t="s">
        <v>1089</v>
      </c>
      <c r="F32362">
        <v>3290227</v>
      </c>
      <c r="G32362" t="s">
        <v>16400</v>
      </c>
      <c r="H32362" s="21">
        <v>514.5</v>
      </c>
    </row>
    <row r="32363" spans="1:8" customFormat="1" x14ac:dyDescent="0.25">
      <c r="A32363" t="str">
        <f>"7882309"</f>
        <v>7882309</v>
      </c>
      <c r="B32363" t="s">
        <v>24416</v>
      </c>
      <c r="C32363" t="s">
        <v>611</v>
      </c>
      <c r="D32363" s="21" t="s">
        <v>34</v>
      </c>
      <c r="E32363" s="21" t="s">
        <v>35</v>
      </c>
      <c r="F32363">
        <v>8780078</v>
      </c>
      <c r="G32363" t="s">
        <v>229</v>
      </c>
      <c r="H32363" s="21">
        <v>514.5</v>
      </c>
    </row>
    <row r="32364" spans="1:8" customFormat="1" x14ac:dyDescent="0.25">
      <c r="A32364" t="str">
        <f>"2217455"</f>
        <v>2217455</v>
      </c>
      <c r="B32364" t="s">
        <v>22515</v>
      </c>
      <c r="C32364" t="s">
        <v>598</v>
      </c>
      <c r="D32364" s="21" t="s">
        <v>34</v>
      </c>
      <c r="E32364" s="21" t="s">
        <v>254</v>
      </c>
      <c r="F32364">
        <v>3220124</v>
      </c>
      <c r="G32364" t="s">
        <v>27347</v>
      </c>
      <c r="H32364" s="21">
        <v>514.5</v>
      </c>
    </row>
    <row r="32365" spans="1:8" customFormat="1" x14ac:dyDescent="0.25">
      <c r="A32365" t="str">
        <f>"9519817"</f>
        <v>9519817</v>
      </c>
      <c r="B32365" t="s">
        <v>23892</v>
      </c>
      <c r="C32365" t="s">
        <v>124</v>
      </c>
      <c r="D32365" s="21" t="s">
        <v>34</v>
      </c>
      <c r="E32365" s="21" t="s">
        <v>71</v>
      </c>
      <c r="F32365">
        <v>8950088</v>
      </c>
      <c r="G32365" t="s">
        <v>11015</v>
      </c>
      <c r="H32365" s="21">
        <v>514.5</v>
      </c>
    </row>
    <row r="32366" spans="1:8" customFormat="1" x14ac:dyDescent="0.25">
      <c r="A32366" t="str">
        <f>"9D2790"</f>
        <v>9D2790</v>
      </c>
      <c r="B32366" t="s">
        <v>28485</v>
      </c>
      <c r="C32366" t="s">
        <v>267</v>
      </c>
      <c r="D32366" s="21" t="s">
        <v>34</v>
      </c>
      <c r="E32366" s="21" t="s">
        <v>71</v>
      </c>
      <c r="F32366" t="s">
        <v>1923</v>
      </c>
      <c r="G32366" t="s">
        <v>1924</v>
      </c>
      <c r="H32366" s="21">
        <v>514.5</v>
      </c>
    </row>
    <row r="32367" spans="1:8" customFormat="1" x14ac:dyDescent="0.25">
      <c r="A32367" t="str">
        <f>"0619944"</f>
        <v>0619944</v>
      </c>
      <c r="B32367" t="s">
        <v>28486</v>
      </c>
      <c r="C32367" t="s">
        <v>55</v>
      </c>
      <c r="D32367" s="21" t="s">
        <v>34</v>
      </c>
      <c r="E32367" s="21" t="s">
        <v>35</v>
      </c>
      <c r="F32367">
        <v>13060043</v>
      </c>
      <c r="G32367" t="s">
        <v>4761</v>
      </c>
      <c r="H32367" s="21">
        <v>514.5</v>
      </c>
    </row>
    <row r="32368" spans="1:8" customFormat="1" x14ac:dyDescent="0.25">
      <c r="A32368" t="str">
        <f>"4217744"</f>
        <v>4217744</v>
      </c>
      <c r="B32368" t="s">
        <v>28487</v>
      </c>
      <c r="C32368" t="s">
        <v>239</v>
      </c>
      <c r="D32368" s="21" t="s">
        <v>34</v>
      </c>
      <c r="E32368" s="21" t="s">
        <v>71</v>
      </c>
      <c r="F32368">
        <v>1420154</v>
      </c>
      <c r="G32368" t="s">
        <v>11034</v>
      </c>
      <c r="H32368" s="21">
        <v>514.5</v>
      </c>
    </row>
    <row r="32369" spans="1:8" customFormat="1" x14ac:dyDescent="0.25">
      <c r="A32369" t="str">
        <f>"7223166"</f>
        <v>7223166</v>
      </c>
      <c r="B32369" t="s">
        <v>28488</v>
      </c>
      <c r="C32369" t="s">
        <v>156</v>
      </c>
      <c r="D32369" s="21" t="s">
        <v>34</v>
      </c>
      <c r="E32369" s="21" t="s">
        <v>71</v>
      </c>
      <c r="F32369">
        <v>12720104</v>
      </c>
      <c r="G32369" t="s">
        <v>224</v>
      </c>
      <c r="H32369" s="21">
        <v>514.5</v>
      </c>
    </row>
    <row r="32370" spans="1:8" customFormat="1" x14ac:dyDescent="0.25">
      <c r="A32370" t="str">
        <f>"5950849"</f>
        <v>5950849</v>
      </c>
      <c r="B32370" t="s">
        <v>24446</v>
      </c>
      <c r="C32370" t="s">
        <v>249</v>
      </c>
      <c r="D32370" s="21" t="s">
        <v>34</v>
      </c>
      <c r="E32370" s="21" t="s">
        <v>254</v>
      </c>
      <c r="F32370">
        <v>7590071</v>
      </c>
      <c r="G32370" t="s">
        <v>2602</v>
      </c>
      <c r="H32370" s="21">
        <v>514.5</v>
      </c>
    </row>
    <row r="32371" spans="1:8" customFormat="1" x14ac:dyDescent="0.25">
      <c r="A32371" t="str">
        <f>"5982272"</f>
        <v>5982272</v>
      </c>
      <c r="B32371" t="s">
        <v>197</v>
      </c>
      <c r="C32371" t="s">
        <v>302</v>
      </c>
      <c r="D32371" s="21" t="s">
        <v>34</v>
      </c>
      <c r="E32371" s="21" t="s">
        <v>35</v>
      </c>
      <c r="F32371">
        <v>7590100</v>
      </c>
      <c r="G32371" t="s">
        <v>1660</v>
      </c>
      <c r="H32371" s="21">
        <v>514.5</v>
      </c>
    </row>
    <row r="32372" spans="1:8" customFormat="1" x14ac:dyDescent="0.25">
      <c r="A32372" t="str">
        <f>"9456630"</f>
        <v>9456630</v>
      </c>
      <c r="B32372" t="s">
        <v>28489</v>
      </c>
      <c r="C32372" t="s">
        <v>156</v>
      </c>
      <c r="D32372" s="21" t="s">
        <v>34</v>
      </c>
      <c r="E32372" s="21" t="s">
        <v>254</v>
      </c>
      <c r="F32372">
        <v>8940524</v>
      </c>
      <c r="G32372" t="s">
        <v>6176</v>
      </c>
      <c r="H32372" s="21">
        <v>514.41999999999996</v>
      </c>
    </row>
    <row r="32373" spans="1:8" customFormat="1" x14ac:dyDescent="0.25">
      <c r="A32373" t="str">
        <f>"6023808"</f>
        <v>6023808</v>
      </c>
      <c r="B32373" t="s">
        <v>21812</v>
      </c>
      <c r="C32373" t="s">
        <v>486</v>
      </c>
      <c r="D32373" s="21" t="s">
        <v>34</v>
      </c>
      <c r="E32373" s="21" t="s">
        <v>71</v>
      </c>
      <c r="F32373">
        <v>7600157</v>
      </c>
      <c r="G32373" t="s">
        <v>12263</v>
      </c>
      <c r="H32373" s="21">
        <v>514.41999999999996</v>
      </c>
    </row>
    <row r="32374" spans="1:8" customFormat="1" x14ac:dyDescent="0.25">
      <c r="A32374" t="str">
        <f>"1424470"</f>
        <v>1424470</v>
      </c>
      <c r="B32374" t="s">
        <v>21812</v>
      </c>
      <c r="C32374" t="s">
        <v>2276</v>
      </c>
      <c r="D32374" s="21" t="s">
        <v>34</v>
      </c>
      <c r="E32374" s="21" t="s">
        <v>71</v>
      </c>
      <c r="F32374">
        <v>9140200</v>
      </c>
      <c r="G32374" t="s">
        <v>17963</v>
      </c>
      <c r="H32374" s="21">
        <v>514.16999999999996</v>
      </c>
    </row>
    <row r="32375" spans="1:8" customFormat="1" x14ac:dyDescent="0.25">
      <c r="A32375" t="str">
        <f>"2928981"</f>
        <v>2928981</v>
      </c>
      <c r="B32375" t="s">
        <v>14575</v>
      </c>
      <c r="C32375" t="s">
        <v>249</v>
      </c>
      <c r="D32375" s="21" t="s">
        <v>34</v>
      </c>
      <c r="E32375" s="21" t="s">
        <v>35</v>
      </c>
      <c r="F32375">
        <v>3290023</v>
      </c>
      <c r="G32375" t="s">
        <v>3883</v>
      </c>
      <c r="H32375" s="21">
        <v>514.16999999999996</v>
      </c>
    </row>
    <row r="32376" spans="1:8" customFormat="1" x14ac:dyDescent="0.25">
      <c r="A32376" t="str">
        <f>"2220246"</f>
        <v>2220246</v>
      </c>
      <c r="B32376" t="s">
        <v>28490</v>
      </c>
      <c r="C32376" t="s">
        <v>453</v>
      </c>
      <c r="D32376" s="21" t="s">
        <v>34</v>
      </c>
      <c r="E32376" s="21" t="s">
        <v>254</v>
      </c>
      <c r="F32376">
        <v>3220022</v>
      </c>
      <c r="G32376" t="s">
        <v>27551</v>
      </c>
      <c r="H32376" s="21">
        <v>514.16999999999996</v>
      </c>
    </row>
    <row r="32377" spans="1:8" customFormat="1" x14ac:dyDescent="0.25">
      <c r="A32377" t="str">
        <f>"3729907"</f>
        <v>3729907</v>
      </c>
      <c r="B32377" t="s">
        <v>623</v>
      </c>
      <c r="C32377" t="s">
        <v>156</v>
      </c>
      <c r="D32377" s="21" t="s">
        <v>34</v>
      </c>
      <c r="E32377" s="21" t="s">
        <v>35</v>
      </c>
      <c r="F32377">
        <v>4370608</v>
      </c>
      <c r="G32377" t="s">
        <v>11068</v>
      </c>
      <c r="H32377" s="21">
        <v>514.16999999999996</v>
      </c>
    </row>
    <row r="32378" spans="1:8" customFormat="1" x14ac:dyDescent="0.25">
      <c r="A32378" t="str">
        <f>"4513222"</f>
        <v>4513222</v>
      </c>
      <c r="B32378" t="s">
        <v>12643</v>
      </c>
      <c r="C32378" t="s">
        <v>3397</v>
      </c>
      <c r="D32378" s="21" t="s">
        <v>34</v>
      </c>
      <c r="E32378" s="21" t="s">
        <v>35</v>
      </c>
      <c r="F32378">
        <v>4410016</v>
      </c>
      <c r="G32378" t="s">
        <v>4365</v>
      </c>
      <c r="H32378" s="21">
        <v>514.16999999999996</v>
      </c>
    </row>
    <row r="32379" spans="1:8" customFormat="1" x14ac:dyDescent="0.25">
      <c r="A32379" t="str">
        <f>"8016859"</f>
        <v>8016859</v>
      </c>
      <c r="B32379" t="s">
        <v>23804</v>
      </c>
      <c r="C32379" t="s">
        <v>1588</v>
      </c>
      <c r="D32379" s="21" t="s">
        <v>34</v>
      </c>
      <c r="E32379" s="21" t="s">
        <v>1089</v>
      </c>
      <c r="F32379">
        <v>7800008</v>
      </c>
      <c r="G32379" t="s">
        <v>842</v>
      </c>
      <c r="H32379" s="21">
        <v>514.16999999999996</v>
      </c>
    </row>
    <row r="32380" spans="1:8" customFormat="1" x14ac:dyDescent="0.25">
      <c r="A32380" t="str">
        <f>"7638686"</f>
        <v>7638686</v>
      </c>
      <c r="B32380" t="s">
        <v>21649</v>
      </c>
      <c r="C32380" t="s">
        <v>43</v>
      </c>
      <c r="D32380" s="21" t="s">
        <v>34</v>
      </c>
      <c r="E32380" s="21" t="s">
        <v>35</v>
      </c>
      <c r="F32380">
        <v>9760420</v>
      </c>
      <c r="G32380" t="s">
        <v>11290</v>
      </c>
      <c r="H32380" s="21">
        <v>514.16999999999996</v>
      </c>
    </row>
    <row r="32381" spans="1:8" customFormat="1" x14ac:dyDescent="0.25">
      <c r="A32381" t="str">
        <f>"7627760"</f>
        <v>7627760</v>
      </c>
      <c r="B32381" t="s">
        <v>11982</v>
      </c>
      <c r="C32381" t="s">
        <v>147</v>
      </c>
      <c r="D32381" s="21" t="s">
        <v>34</v>
      </c>
      <c r="E32381" s="21" t="s">
        <v>35</v>
      </c>
      <c r="F32381">
        <v>9760041</v>
      </c>
      <c r="G32381" t="s">
        <v>452</v>
      </c>
      <c r="H32381" s="21">
        <v>514.16999999999996</v>
      </c>
    </row>
    <row r="32382" spans="1:8" customFormat="1" x14ac:dyDescent="0.25">
      <c r="A32382" t="str">
        <f>"2812529"</f>
        <v>2812529</v>
      </c>
      <c r="B32382" t="s">
        <v>21975</v>
      </c>
      <c r="C32382" t="s">
        <v>171</v>
      </c>
      <c r="D32382" s="21" t="s">
        <v>34</v>
      </c>
      <c r="E32382" s="21" t="s">
        <v>71</v>
      </c>
      <c r="F32382">
        <v>4280719</v>
      </c>
      <c r="G32382" t="s">
        <v>21976</v>
      </c>
      <c r="H32382" s="21">
        <v>514.16999999999996</v>
      </c>
    </row>
    <row r="32383" spans="1:8" customFormat="1" x14ac:dyDescent="0.25">
      <c r="A32383" t="str">
        <f>"2220061"</f>
        <v>2220061</v>
      </c>
      <c r="B32383" t="s">
        <v>5146</v>
      </c>
      <c r="C32383" t="s">
        <v>239</v>
      </c>
      <c r="D32383" s="21" t="s">
        <v>34</v>
      </c>
      <c r="E32383" s="21" t="s">
        <v>254</v>
      </c>
      <c r="F32383">
        <v>3220041</v>
      </c>
      <c r="G32383" t="s">
        <v>27133</v>
      </c>
      <c r="H32383" s="21">
        <v>514.16999999999996</v>
      </c>
    </row>
    <row r="32384" spans="1:8" customFormat="1" x14ac:dyDescent="0.25">
      <c r="A32384" t="str">
        <f>"3831273"</f>
        <v>3831273</v>
      </c>
      <c r="B32384" t="s">
        <v>22293</v>
      </c>
      <c r="C32384" t="s">
        <v>249</v>
      </c>
      <c r="D32384" s="21" t="s">
        <v>34</v>
      </c>
      <c r="E32384" s="21" t="s">
        <v>71</v>
      </c>
      <c r="F32384">
        <v>1380256</v>
      </c>
      <c r="G32384" t="s">
        <v>6946</v>
      </c>
      <c r="H32384" s="21">
        <v>514.16999999999996</v>
      </c>
    </row>
    <row r="32385" spans="1:8" customFormat="1" x14ac:dyDescent="0.25">
      <c r="A32385" t="str">
        <f>"6936150"</f>
        <v>6936150</v>
      </c>
      <c r="B32385" t="s">
        <v>21768</v>
      </c>
      <c r="C32385" t="s">
        <v>817</v>
      </c>
      <c r="D32385" s="21" t="s">
        <v>34</v>
      </c>
      <c r="E32385" s="21" t="s">
        <v>71</v>
      </c>
      <c r="F32385">
        <v>1690224</v>
      </c>
      <c r="G32385" t="s">
        <v>27093</v>
      </c>
      <c r="H32385" s="21">
        <v>514.16999999999996</v>
      </c>
    </row>
    <row r="32386" spans="1:8" customFormat="1" x14ac:dyDescent="0.25">
      <c r="A32386" t="str">
        <f>"196494"</f>
        <v>196494</v>
      </c>
      <c r="B32386" t="s">
        <v>12035</v>
      </c>
      <c r="C32386" t="s">
        <v>263</v>
      </c>
      <c r="D32386" s="21" t="s">
        <v>34</v>
      </c>
      <c r="E32386" s="21" t="s">
        <v>71</v>
      </c>
      <c r="F32386">
        <v>10190111</v>
      </c>
      <c r="G32386" t="s">
        <v>13161</v>
      </c>
      <c r="H32386" s="21">
        <v>514.16999999999996</v>
      </c>
    </row>
    <row r="32387" spans="1:8" customFormat="1" x14ac:dyDescent="0.25">
      <c r="A32387" t="str">
        <f>"862287"</f>
        <v>862287</v>
      </c>
      <c r="B32387" t="s">
        <v>21222</v>
      </c>
      <c r="C32387" t="s">
        <v>1665</v>
      </c>
      <c r="D32387" s="21" t="s">
        <v>34</v>
      </c>
      <c r="E32387" s="21" t="s">
        <v>1089</v>
      </c>
      <c r="F32387">
        <v>10330030</v>
      </c>
      <c r="G32387" t="s">
        <v>2990</v>
      </c>
      <c r="H32387" s="21">
        <v>514.16999999999996</v>
      </c>
    </row>
    <row r="32388" spans="1:8" customFormat="1" x14ac:dyDescent="0.25">
      <c r="A32388" t="str">
        <f>"5431632"</f>
        <v>5431632</v>
      </c>
      <c r="B32388" t="s">
        <v>13719</v>
      </c>
      <c r="C32388" t="s">
        <v>33</v>
      </c>
      <c r="D32388" s="21" t="s">
        <v>34</v>
      </c>
      <c r="E32388" s="21" t="s">
        <v>35</v>
      </c>
      <c r="F32388">
        <v>6540082</v>
      </c>
      <c r="G32388" t="s">
        <v>9816</v>
      </c>
      <c r="H32388" s="21">
        <v>514.16999999999996</v>
      </c>
    </row>
    <row r="32389" spans="1:8" customFormat="1" x14ac:dyDescent="0.25">
      <c r="A32389" t="str">
        <f>"107408"</f>
        <v>107408</v>
      </c>
      <c r="B32389" t="s">
        <v>13465</v>
      </c>
      <c r="C32389" t="s">
        <v>87</v>
      </c>
      <c r="D32389" s="21" t="s">
        <v>34</v>
      </c>
      <c r="E32389" s="21" t="s">
        <v>35</v>
      </c>
      <c r="F32389">
        <v>6100033</v>
      </c>
      <c r="G32389" t="s">
        <v>9697</v>
      </c>
      <c r="H32389" s="21">
        <v>514.16999999999996</v>
      </c>
    </row>
    <row r="32390" spans="1:8" customFormat="1" x14ac:dyDescent="0.25">
      <c r="A32390" t="str">
        <f>"9A1183"</f>
        <v>9A1183</v>
      </c>
      <c r="B32390" t="s">
        <v>22272</v>
      </c>
      <c r="C32390" t="s">
        <v>415</v>
      </c>
      <c r="D32390" s="21" t="s">
        <v>34</v>
      </c>
      <c r="E32390" s="21" t="s">
        <v>254</v>
      </c>
      <c r="F32390" t="s">
        <v>2849</v>
      </c>
      <c r="G32390" t="s">
        <v>2850</v>
      </c>
      <c r="H32390" s="21">
        <v>514.12</v>
      </c>
    </row>
    <row r="32391" spans="1:8" customFormat="1" x14ac:dyDescent="0.25">
      <c r="A32391" t="str">
        <f>"4529913"</f>
        <v>4529913</v>
      </c>
      <c r="B32391" t="s">
        <v>28491</v>
      </c>
      <c r="C32391" t="s">
        <v>1132</v>
      </c>
      <c r="D32391" s="21" t="s">
        <v>34</v>
      </c>
      <c r="E32391" s="21" t="s">
        <v>71</v>
      </c>
      <c r="F32391">
        <v>4450754</v>
      </c>
      <c r="G32391" t="s">
        <v>2695</v>
      </c>
      <c r="H32391" s="21">
        <v>514</v>
      </c>
    </row>
    <row r="32392" spans="1:8" customFormat="1" x14ac:dyDescent="0.25">
      <c r="A32392" t="str">
        <f>"6229511"</f>
        <v>6229511</v>
      </c>
      <c r="B32392" t="s">
        <v>13714</v>
      </c>
      <c r="C32392" t="s">
        <v>1110</v>
      </c>
      <c r="D32392" s="21" t="s">
        <v>34</v>
      </c>
      <c r="E32392" s="21" t="s">
        <v>254</v>
      </c>
      <c r="F32392">
        <v>7620096</v>
      </c>
      <c r="G32392" t="s">
        <v>5829</v>
      </c>
      <c r="H32392" s="21">
        <v>514</v>
      </c>
    </row>
    <row r="32393" spans="1:8" customFormat="1" x14ac:dyDescent="0.25">
      <c r="A32393" t="str">
        <f>"3536239"</f>
        <v>3536239</v>
      </c>
      <c r="B32393" t="s">
        <v>956</v>
      </c>
      <c r="C32393" t="s">
        <v>14635</v>
      </c>
      <c r="D32393" s="21" t="s">
        <v>34</v>
      </c>
      <c r="E32393" s="21" t="s">
        <v>35</v>
      </c>
      <c r="F32393">
        <v>3350130</v>
      </c>
      <c r="G32393" t="s">
        <v>7335</v>
      </c>
      <c r="H32393" s="21">
        <v>514</v>
      </c>
    </row>
    <row r="32394" spans="1:8" customFormat="1" x14ac:dyDescent="0.25">
      <c r="A32394" t="str">
        <f>"915547"</f>
        <v>915547</v>
      </c>
      <c r="B32394" t="s">
        <v>28492</v>
      </c>
      <c r="C32394" t="s">
        <v>544</v>
      </c>
      <c r="D32394" s="21" t="s">
        <v>34</v>
      </c>
      <c r="E32394" s="21" t="s">
        <v>71</v>
      </c>
      <c r="F32394">
        <v>8911456</v>
      </c>
      <c r="G32394" t="s">
        <v>6481</v>
      </c>
      <c r="H32394" s="21">
        <v>514</v>
      </c>
    </row>
    <row r="32395" spans="1:8" customFormat="1" x14ac:dyDescent="0.25">
      <c r="A32395" t="str">
        <f>"247091"</f>
        <v>247091</v>
      </c>
      <c r="B32395" t="s">
        <v>28493</v>
      </c>
      <c r="C32395" t="s">
        <v>305</v>
      </c>
      <c r="D32395" s="21" t="s">
        <v>34</v>
      </c>
      <c r="E32395" s="21" t="s">
        <v>35</v>
      </c>
      <c r="F32395">
        <v>10240001</v>
      </c>
      <c r="G32395" t="s">
        <v>10102</v>
      </c>
      <c r="H32395" s="21">
        <v>514</v>
      </c>
    </row>
    <row r="32396" spans="1:8" customFormat="1" x14ac:dyDescent="0.25">
      <c r="A32396" t="str">
        <f>"845567"</f>
        <v>845567</v>
      </c>
      <c r="B32396" t="s">
        <v>2656</v>
      </c>
      <c r="C32396" t="s">
        <v>415</v>
      </c>
      <c r="D32396" s="21" t="s">
        <v>34</v>
      </c>
      <c r="E32396" s="21" t="s">
        <v>254</v>
      </c>
      <c r="F32396">
        <v>13840005</v>
      </c>
      <c r="G32396" t="s">
        <v>2145</v>
      </c>
      <c r="H32396" s="21">
        <v>514</v>
      </c>
    </row>
    <row r="32397" spans="1:8" customFormat="1" x14ac:dyDescent="0.25">
      <c r="A32397" t="str">
        <f>"2516935"</f>
        <v>2516935</v>
      </c>
      <c r="B32397" t="s">
        <v>28494</v>
      </c>
      <c r="C32397" t="s">
        <v>249</v>
      </c>
      <c r="D32397" s="21" t="s">
        <v>34</v>
      </c>
      <c r="E32397" s="21" t="s">
        <v>71</v>
      </c>
      <c r="F32397">
        <v>2250070</v>
      </c>
      <c r="G32397" t="s">
        <v>3923</v>
      </c>
      <c r="H32397" s="21">
        <v>514</v>
      </c>
    </row>
    <row r="32398" spans="1:8" customFormat="1" x14ac:dyDescent="0.25">
      <c r="A32398" t="str">
        <f>"668271"</f>
        <v>668271</v>
      </c>
      <c r="B32398" t="s">
        <v>28495</v>
      </c>
      <c r="C32398" t="s">
        <v>15867</v>
      </c>
      <c r="D32398" s="21" t="s">
        <v>34</v>
      </c>
      <c r="E32398" s="21" t="s">
        <v>1089</v>
      </c>
      <c r="F32398">
        <v>11660041</v>
      </c>
      <c r="G32398" t="s">
        <v>18594</v>
      </c>
      <c r="H32398" s="21">
        <v>514</v>
      </c>
    </row>
    <row r="32399" spans="1:8" customFormat="1" x14ac:dyDescent="0.25">
      <c r="A32399" t="str">
        <f>"8529326"</f>
        <v>8529326</v>
      </c>
      <c r="B32399" t="s">
        <v>15481</v>
      </c>
      <c r="C32399" t="s">
        <v>55</v>
      </c>
      <c r="D32399" s="21" t="s">
        <v>34</v>
      </c>
      <c r="E32399" s="21" t="s">
        <v>254</v>
      </c>
      <c r="F32399">
        <v>12850078</v>
      </c>
      <c r="G32399" t="s">
        <v>5639</v>
      </c>
      <c r="H32399" s="21">
        <v>514</v>
      </c>
    </row>
    <row r="32400" spans="1:8" customFormat="1" x14ac:dyDescent="0.25">
      <c r="A32400" t="str">
        <f>"586238"</f>
        <v>586238</v>
      </c>
      <c r="B32400" t="s">
        <v>28496</v>
      </c>
      <c r="C32400" t="s">
        <v>328</v>
      </c>
      <c r="D32400" s="21" t="s">
        <v>34</v>
      </c>
      <c r="E32400" s="21" t="s">
        <v>35</v>
      </c>
      <c r="F32400">
        <v>4450759</v>
      </c>
      <c r="G32400" t="s">
        <v>6587</v>
      </c>
      <c r="H32400" s="21">
        <v>514</v>
      </c>
    </row>
    <row r="32401" spans="1:8" customFormat="1" x14ac:dyDescent="0.25">
      <c r="A32401" t="str">
        <f>"4935734"</f>
        <v>4935734</v>
      </c>
      <c r="B32401" t="s">
        <v>22714</v>
      </c>
      <c r="C32401" t="s">
        <v>428</v>
      </c>
      <c r="D32401" s="21" t="s">
        <v>34</v>
      </c>
      <c r="E32401" s="21" t="s">
        <v>71</v>
      </c>
      <c r="F32401">
        <v>12490036</v>
      </c>
      <c r="G32401" t="s">
        <v>6557</v>
      </c>
      <c r="H32401" s="21">
        <v>514</v>
      </c>
    </row>
    <row r="32402" spans="1:8" customFormat="1" x14ac:dyDescent="0.25">
      <c r="A32402" t="str">
        <f>"113172"</f>
        <v>113172</v>
      </c>
      <c r="B32402" t="s">
        <v>24602</v>
      </c>
      <c r="C32402" t="s">
        <v>121</v>
      </c>
      <c r="D32402" s="21" t="s">
        <v>34</v>
      </c>
      <c r="E32402" s="21" t="s">
        <v>71</v>
      </c>
      <c r="F32402">
        <v>11110026</v>
      </c>
      <c r="G32402" t="s">
        <v>17718</v>
      </c>
      <c r="H32402" s="21">
        <v>514</v>
      </c>
    </row>
    <row r="32403" spans="1:8" customFormat="1" x14ac:dyDescent="0.25">
      <c r="A32403" t="str">
        <f>"1612370"</f>
        <v>1612370</v>
      </c>
      <c r="B32403" t="s">
        <v>6610</v>
      </c>
      <c r="C32403" t="s">
        <v>236</v>
      </c>
      <c r="D32403" s="21" t="s">
        <v>34</v>
      </c>
      <c r="E32403" s="21" t="s">
        <v>71</v>
      </c>
      <c r="F32403">
        <v>10160236</v>
      </c>
      <c r="G32403" t="s">
        <v>7202</v>
      </c>
      <c r="H32403" s="21">
        <v>514</v>
      </c>
    </row>
    <row r="32404" spans="1:8" customFormat="1" x14ac:dyDescent="0.25">
      <c r="A32404" t="str">
        <f>"733931"</f>
        <v>733931</v>
      </c>
      <c r="B32404" t="s">
        <v>21363</v>
      </c>
      <c r="C32404" t="s">
        <v>639</v>
      </c>
      <c r="D32404" s="21" t="s">
        <v>34</v>
      </c>
      <c r="E32404" s="21" t="s">
        <v>254</v>
      </c>
      <c r="F32404">
        <v>1730068</v>
      </c>
      <c r="G32404" t="s">
        <v>3375</v>
      </c>
      <c r="H32404" s="21">
        <v>514</v>
      </c>
    </row>
    <row r="32405" spans="1:8" customFormat="1" x14ac:dyDescent="0.25">
      <c r="A32405" t="str">
        <f>"9D3139"</f>
        <v>9D3139</v>
      </c>
      <c r="B32405" t="s">
        <v>2189</v>
      </c>
      <c r="C32405" t="s">
        <v>239</v>
      </c>
      <c r="D32405" s="21" t="s">
        <v>34</v>
      </c>
      <c r="E32405" s="21" t="s">
        <v>71</v>
      </c>
      <c r="F32405" t="s">
        <v>1923</v>
      </c>
      <c r="G32405" t="s">
        <v>1924</v>
      </c>
      <c r="H32405" s="21">
        <v>514</v>
      </c>
    </row>
    <row r="32406" spans="1:8" customFormat="1" x14ac:dyDescent="0.25">
      <c r="A32406" t="str">
        <f>"5326156"</f>
        <v>5326156</v>
      </c>
      <c r="B32406" t="s">
        <v>2203</v>
      </c>
      <c r="C32406" t="s">
        <v>1914</v>
      </c>
      <c r="D32406" s="21" t="s">
        <v>34</v>
      </c>
      <c r="E32406" s="21" t="s">
        <v>254</v>
      </c>
      <c r="F32406">
        <v>12530048</v>
      </c>
      <c r="G32406" t="s">
        <v>7103</v>
      </c>
      <c r="H32406" s="21">
        <v>513.91999999999996</v>
      </c>
    </row>
    <row r="32407" spans="1:8" customFormat="1" x14ac:dyDescent="0.25">
      <c r="A32407" t="str">
        <f>"6722080"</f>
        <v>6722080</v>
      </c>
      <c r="B32407" t="s">
        <v>690</v>
      </c>
      <c r="C32407" t="s">
        <v>139</v>
      </c>
      <c r="D32407" s="21" t="s">
        <v>34</v>
      </c>
      <c r="E32407" s="21" t="s">
        <v>35</v>
      </c>
      <c r="F32407">
        <v>6670246</v>
      </c>
      <c r="G32407" t="s">
        <v>7707</v>
      </c>
      <c r="H32407" s="21">
        <v>513.91999999999996</v>
      </c>
    </row>
    <row r="32408" spans="1:8" customFormat="1" x14ac:dyDescent="0.25">
      <c r="A32408" t="str">
        <f>"9233837"</f>
        <v>9233837</v>
      </c>
      <c r="B32408" t="s">
        <v>21039</v>
      </c>
      <c r="C32408" t="s">
        <v>233</v>
      </c>
      <c r="D32408" s="21" t="s">
        <v>34</v>
      </c>
      <c r="E32408" s="21" t="s">
        <v>254</v>
      </c>
      <c r="F32408">
        <v>8920151</v>
      </c>
      <c r="G32408" t="s">
        <v>1434</v>
      </c>
      <c r="H32408" s="21">
        <v>513.79</v>
      </c>
    </row>
    <row r="32409" spans="1:8" customFormat="1" x14ac:dyDescent="0.25">
      <c r="A32409" t="str">
        <f>"2218829"</f>
        <v>2218829</v>
      </c>
      <c r="B32409" t="s">
        <v>24096</v>
      </c>
      <c r="C32409" t="s">
        <v>124</v>
      </c>
      <c r="D32409" s="21" t="s">
        <v>34</v>
      </c>
      <c r="E32409" s="21" t="s">
        <v>254</v>
      </c>
      <c r="F32409">
        <v>3220041</v>
      </c>
      <c r="G32409" t="s">
        <v>27133</v>
      </c>
      <c r="H32409" s="21">
        <v>513.66999999999996</v>
      </c>
    </row>
    <row r="32410" spans="1:8" customFormat="1" x14ac:dyDescent="0.25">
      <c r="A32410" t="str">
        <f>"7717850"</f>
        <v>7717850</v>
      </c>
      <c r="B32410" t="s">
        <v>22567</v>
      </c>
      <c r="C32410" t="s">
        <v>879</v>
      </c>
      <c r="D32410" s="21" t="s">
        <v>34</v>
      </c>
      <c r="E32410" s="21" t="s">
        <v>71</v>
      </c>
      <c r="F32410">
        <v>8770895</v>
      </c>
      <c r="G32410" t="s">
        <v>4795</v>
      </c>
      <c r="H32410" s="21">
        <v>513.66999999999996</v>
      </c>
    </row>
    <row r="32411" spans="1:8" customFormat="1" x14ac:dyDescent="0.25">
      <c r="A32411" t="str">
        <f>"12293"</f>
        <v>12293</v>
      </c>
      <c r="B32411" t="s">
        <v>67</v>
      </c>
      <c r="C32411" t="s">
        <v>453</v>
      </c>
      <c r="D32411" s="21" t="s">
        <v>34</v>
      </c>
      <c r="E32411" s="21" t="s">
        <v>1089</v>
      </c>
      <c r="F32411">
        <v>11120021</v>
      </c>
      <c r="G32411" t="s">
        <v>8398</v>
      </c>
      <c r="H32411" s="21">
        <v>513.66999999999996</v>
      </c>
    </row>
    <row r="32412" spans="1:8" customFormat="1" x14ac:dyDescent="0.25">
      <c r="A32412" t="str">
        <f>"61879"</f>
        <v>61879</v>
      </c>
      <c r="B32412" t="s">
        <v>2155</v>
      </c>
      <c r="C32412" t="s">
        <v>156</v>
      </c>
      <c r="D32412" s="21" t="s">
        <v>34</v>
      </c>
      <c r="E32412" s="21" t="s">
        <v>1089</v>
      </c>
      <c r="F32412">
        <v>9610093</v>
      </c>
      <c r="G32412" t="s">
        <v>8231</v>
      </c>
      <c r="H32412" s="21">
        <v>513.66999999999996</v>
      </c>
    </row>
    <row r="32413" spans="1:8" customFormat="1" x14ac:dyDescent="0.25">
      <c r="A32413" t="str">
        <f>"6312591"</f>
        <v>6312591</v>
      </c>
      <c r="B32413" t="s">
        <v>14948</v>
      </c>
      <c r="C32413" t="s">
        <v>236</v>
      </c>
      <c r="D32413" s="21" t="s">
        <v>34</v>
      </c>
      <c r="E32413" s="21" t="s">
        <v>71</v>
      </c>
      <c r="F32413">
        <v>1630012</v>
      </c>
      <c r="G32413" t="s">
        <v>8636</v>
      </c>
      <c r="H32413" s="21">
        <v>513.66999999999996</v>
      </c>
    </row>
    <row r="32414" spans="1:8" customFormat="1" x14ac:dyDescent="0.25">
      <c r="A32414" t="str">
        <f>"1320810"</f>
        <v>1320810</v>
      </c>
      <c r="B32414" t="s">
        <v>22905</v>
      </c>
      <c r="C32414" t="s">
        <v>267</v>
      </c>
      <c r="D32414" s="21" t="s">
        <v>34</v>
      </c>
      <c r="E32414" s="21" t="s">
        <v>254</v>
      </c>
      <c r="F32414">
        <v>13130139</v>
      </c>
      <c r="G32414" t="s">
        <v>11785</v>
      </c>
      <c r="H32414" s="21">
        <v>513.66999999999996</v>
      </c>
    </row>
    <row r="32415" spans="1:8" customFormat="1" x14ac:dyDescent="0.25">
      <c r="A32415" t="str">
        <f>"7730698"</f>
        <v>7730698</v>
      </c>
      <c r="B32415" t="s">
        <v>24168</v>
      </c>
      <c r="C32415" t="s">
        <v>302</v>
      </c>
      <c r="D32415" s="21" t="s">
        <v>34</v>
      </c>
      <c r="E32415" s="21" t="s">
        <v>35</v>
      </c>
      <c r="F32415">
        <v>8771236</v>
      </c>
      <c r="G32415" t="s">
        <v>386</v>
      </c>
      <c r="H32415" s="21">
        <v>513.66999999999996</v>
      </c>
    </row>
    <row r="32416" spans="1:8" customFormat="1" x14ac:dyDescent="0.25">
      <c r="A32416" t="str">
        <f>"6112605"</f>
        <v>6112605</v>
      </c>
      <c r="B32416" t="s">
        <v>9178</v>
      </c>
      <c r="C32416" t="s">
        <v>119</v>
      </c>
      <c r="D32416" s="21" t="s">
        <v>34</v>
      </c>
      <c r="E32416" s="21" t="s">
        <v>35</v>
      </c>
      <c r="F32416">
        <v>9610108</v>
      </c>
      <c r="G32416" t="s">
        <v>14594</v>
      </c>
      <c r="H32416" s="21">
        <v>513.66999999999996</v>
      </c>
    </row>
    <row r="32417" spans="1:8" customFormat="1" x14ac:dyDescent="0.25">
      <c r="A32417" t="str">
        <f>"8613530"</f>
        <v>8613530</v>
      </c>
      <c r="B32417" t="s">
        <v>4711</v>
      </c>
      <c r="C32417" t="s">
        <v>926</v>
      </c>
      <c r="D32417" s="21" t="s">
        <v>34</v>
      </c>
      <c r="E32417" s="21" t="s">
        <v>35</v>
      </c>
      <c r="F32417">
        <v>10860122</v>
      </c>
      <c r="G32417" t="s">
        <v>3800</v>
      </c>
      <c r="H32417" s="21">
        <v>513.66999999999996</v>
      </c>
    </row>
    <row r="32418" spans="1:8" customFormat="1" x14ac:dyDescent="0.25">
      <c r="A32418" t="str">
        <f>"2110186"</f>
        <v>2110186</v>
      </c>
      <c r="B32418" t="s">
        <v>28497</v>
      </c>
      <c r="C32418" t="s">
        <v>926</v>
      </c>
      <c r="D32418" s="21" t="s">
        <v>34</v>
      </c>
      <c r="E32418" s="21" t="s">
        <v>71</v>
      </c>
      <c r="F32418">
        <v>2210005</v>
      </c>
      <c r="G32418" t="s">
        <v>5020</v>
      </c>
      <c r="H32418" s="21">
        <v>513.66999999999996</v>
      </c>
    </row>
    <row r="32419" spans="1:8" customFormat="1" x14ac:dyDescent="0.25">
      <c r="A32419" t="str">
        <f>"7840800"</f>
        <v>7840800</v>
      </c>
      <c r="B32419" t="s">
        <v>28498</v>
      </c>
      <c r="C32419" t="s">
        <v>82</v>
      </c>
      <c r="D32419" s="21" t="s">
        <v>34</v>
      </c>
      <c r="E32419" s="21" t="s">
        <v>35</v>
      </c>
      <c r="F32419">
        <v>8781333</v>
      </c>
      <c r="G32419" t="s">
        <v>14833</v>
      </c>
      <c r="H32419" s="21">
        <v>513.66999999999996</v>
      </c>
    </row>
    <row r="32420" spans="1:8" customFormat="1" x14ac:dyDescent="0.25">
      <c r="A32420" t="str">
        <f>"429528"</f>
        <v>429528</v>
      </c>
      <c r="B32420" t="s">
        <v>7661</v>
      </c>
      <c r="C32420" t="s">
        <v>2520</v>
      </c>
      <c r="D32420" s="21" t="s">
        <v>34</v>
      </c>
      <c r="E32420" s="21" t="s">
        <v>254</v>
      </c>
      <c r="F32420">
        <v>1420155</v>
      </c>
      <c r="G32420" t="s">
        <v>12788</v>
      </c>
      <c r="H32420" s="21">
        <v>513.66999999999996</v>
      </c>
    </row>
    <row r="32421" spans="1:8" customFormat="1" x14ac:dyDescent="0.25">
      <c r="A32421" t="str">
        <f>"647652"</f>
        <v>647652</v>
      </c>
      <c r="B32421" t="s">
        <v>6309</v>
      </c>
      <c r="C32421" t="s">
        <v>1887</v>
      </c>
      <c r="D32421" s="21" t="s">
        <v>34</v>
      </c>
      <c r="E32421" s="21" t="s">
        <v>254</v>
      </c>
      <c r="F32421">
        <v>10640004</v>
      </c>
      <c r="G32421" t="s">
        <v>26618</v>
      </c>
      <c r="H32421" s="21">
        <v>513.66999999999996</v>
      </c>
    </row>
    <row r="32422" spans="1:8" customFormat="1" x14ac:dyDescent="0.25">
      <c r="A32422" t="str">
        <f>"321056"</f>
        <v>321056</v>
      </c>
      <c r="B32422" t="s">
        <v>20878</v>
      </c>
      <c r="C32422" t="s">
        <v>598</v>
      </c>
      <c r="D32422" s="21" t="s">
        <v>34</v>
      </c>
      <c r="E32422" s="21" t="s">
        <v>1089</v>
      </c>
      <c r="F32422">
        <v>11320027</v>
      </c>
      <c r="G32422" t="s">
        <v>8305</v>
      </c>
      <c r="H32422" s="21">
        <v>513.66999999999996</v>
      </c>
    </row>
    <row r="32423" spans="1:8" customFormat="1" x14ac:dyDescent="0.25">
      <c r="A32423" t="str">
        <f>"5944417"</f>
        <v>5944417</v>
      </c>
      <c r="B32423" t="s">
        <v>21554</v>
      </c>
      <c r="C32423" t="s">
        <v>2479</v>
      </c>
      <c r="D32423" s="21" t="s">
        <v>34</v>
      </c>
      <c r="E32423" s="21" t="s">
        <v>254</v>
      </c>
      <c r="F32423">
        <v>7590087</v>
      </c>
      <c r="G32423" t="s">
        <v>2112</v>
      </c>
      <c r="H32423" s="21">
        <v>513.66999999999996</v>
      </c>
    </row>
    <row r="32424" spans="1:8" customFormat="1" x14ac:dyDescent="0.25">
      <c r="A32424" t="str">
        <f>"544595"</f>
        <v>544595</v>
      </c>
      <c r="B32424" t="s">
        <v>6055</v>
      </c>
      <c r="C32424" t="s">
        <v>1110</v>
      </c>
      <c r="D32424" s="21" t="s">
        <v>34</v>
      </c>
      <c r="E32424" s="21" t="s">
        <v>1089</v>
      </c>
      <c r="F32424">
        <v>12440049</v>
      </c>
      <c r="G32424" t="s">
        <v>3339</v>
      </c>
      <c r="H32424" s="21">
        <v>513.66999999999996</v>
      </c>
    </row>
    <row r="32425" spans="1:8" customFormat="1" x14ac:dyDescent="0.25">
      <c r="A32425" t="str">
        <f>"2938397"</f>
        <v>2938397</v>
      </c>
      <c r="B32425" t="s">
        <v>6119</v>
      </c>
      <c r="C32425" t="s">
        <v>515</v>
      </c>
      <c r="D32425" s="21" t="s">
        <v>34</v>
      </c>
      <c r="E32425" s="21" t="s">
        <v>35</v>
      </c>
      <c r="F32425">
        <v>3290275</v>
      </c>
      <c r="G32425" t="s">
        <v>4762</v>
      </c>
      <c r="H32425" s="21">
        <v>513.66999999999996</v>
      </c>
    </row>
    <row r="32426" spans="1:8" customFormat="1" x14ac:dyDescent="0.25">
      <c r="A32426" t="str">
        <f>"4215907"</f>
        <v>4215907</v>
      </c>
      <c r="B32426" t="s">
        <v>22721</v>
      </c>
      <c r="C32426" t="s">
        <v>40</v>
      </c>
      <c r="D32426" s="21" t="s">
        <v>34</v>
      </c>
      <c r="E32426" s="21" t="s">
        <v>71</v>
      </c>
      <c r="F32426">
        <v>1420055</v>
      </c>
      <c r="G32426" t="s">
        <v>5421</v>
      </c>
      <c r="H32426" s="21">
        <v>513.66999999999996</v>
      </c>
    </row>
    <row r="32427" spans="1:8" customFormat="1" x14ac:dyDescent="0.25">
      <c r="A32427" t="str">
        <f>"98628"</f>
        <v>98628</v>
      </c>
      <c r="B32427" t="s">
        <v>28499</v>
      </c>
      <c r="C32427" t="s">
        <v>249</v>
      </c>
      <c r="D32427" s="21" t="s">
        <v>34</v>
      </c>
      <c r="E32427" s="21" t="s">
        <v>71</v>
      </c>
      <c r="F32427">
        <v>5980003</v>
      </c>
      <c r="G32427" t="s">
        <v>1746</v>
      </c>
      <c r="H32427" s="21">
        <v>513.54</v>
      </c>
    </row>
    <row r="32428" spans="1:8" customFormat="1" x14ac:dyDescent="0.25">
      <c r="A32428" t="str">
        <f>"6230624"</f>
        <v>6230624</v>
      </c>
      <c r="B32428" t="s">
        <v>24051</v>
      </c>
      <c r="C32428" t="s">
        <v>43</v>
      </c>
      <c r="D32428" s="21" t="s">
        <v>34</v>
      </c>
      <c r="E32428" s="21" t="s">
        <v>35</v>
      </c>
      <c r="F32428">
        <v>7620110</v>
      </c>
      <c r="G32428" t="s">
        <v>2681</v>
      </c>
      <c r="H32428" s="21">
        <v>513.5</v>
      </c>
    </row>
    <row r="32429" spans="1:8" customFormat="1" x14ac:dyDescent="0.25">
      <c r="A32429" t="str">
        <f>"2215805"</f>
        <v>2215805</v>
      </c>
      <c r="B32429" t="s">
        <v>3759</v>
      </c>
      <c r="C32429" t="s">
        <v>139</v>
      </c>
      <c r="D32429" s="21" t="s">
        <v>34</v>
      </c>
      <c r="E32429" s="21" t="s">
        <v>71</v>
      </c>
      <c r="F32429">
        <v>3220128</v>
      </c>
      <c r="G32429" t="s">
        <v>26938</v>
      </c>
      <c r="H32429" s="21">
        <v>513.5</v>
      </c>
    </row>
    <row r="32430" spans="1:8" customFormat="1" x14ac:dyDescent="0.25">
      <c r="A32430" t="str">
        <f>"7213636"</f>
        <v>7213636</v>
      </c>
      <c r="B32430" t="s">
        <v>15042</v>
      </c>
      <c r="C32430" t="s">
        <v>1812</v>
      </c>
      <c r="D32430" s="21" t="s">
        <v>34</v>
      </c>
      <c r="E32430" s="21" t="s">
        <v>71</v>
      </c>
      <c r="F32430">
        <v>12720056</v>
      </c>
      <c r="G32430" t="s">
        <v>9231</v>
      </c>
      <c r="H32430" s="21">
        <v>513.5</v>
      </c>
    </row>
    <row r="32431" spans="1:8" customFormat="1" x14ac:dyDescent="0.25">
      <c r="A32431" t="str">
        <f>"3537703"</f>
        <v>3537703</v>
      </c>
      <c r="B32431" t="s">
        <v>17627</v>
      </c>
      <c r="C32431" t="s">
        <v>233</v>
      </c>
      <c r="D32431" s="21" t="s">
        <v>34</v>
      </c>
      <c r="E32431" s="21" t="s">
        <v>254</v>
      </c>
      <c r="F32431">
        <v>3350042</v>
      </c>
      <c r="G32431" t="s">
        <v>12707</v>
      </c>
      <c r="H32431" s="21">
        <v>513.5</v>
      </c>
    </row>
    <row r="32432" spans="1:8" customFormat="1" x14ac:dyDescent="0.25">
      <c r="A32432" t="str">
        <f>"4530228"</f>
        <v>4530228</v>
      </c>
      <c r="B32432" t="s">
        <v>28500</v>
      </c>
      <c r="C32432" t="s">
        <v>288</v>
      </c>
      <c r="D32432" s="21" t="s">
        <v>34</v>
      </c>
      <c r="E32432" s="21" t="s">
        <v>35</v>
      </c>
      <c r="F32432">
        <v>4450763</v>
      </c>
      <c r="G32432" t="s">
        <v>19058</v>
      </c>
      <c r="H32432" s="21">
        <v>513.5</v>
      </c>
    </row>
    <row r="32433" spans="1:8" customFormat="1" x14ac:dyDescent="0.25">
      <c r="A32433" t="str">
        <f>"5731183"</f>
        <v>5731183</v>
      </c>
      <c r="B32433" t="s">
        <v>23856</v>
      </c>
      <c r="C32433" t="s">
        <v>40</v>
      </c>
      <c r="D32433" s="21" t="s">
        <v>34</v>
      </c>
      <c r="E32433" s="21" t="s">
        <v>35</v>
      </c>
      <c r="F32433">
        <v>6570107</v>
      </c>
      <c r="G32433" t="s">
        <v>5598</v>
      </c>
      <c r="H32433" s="21">
        <v>513.5</v>
      </c>
    </row>
    <row r="32434" spans="1:8" customFormat="1" x14ac:dyDescent="0.25">
      <c r="A32434" t="str">
        <f>"6940865"</f>
        <v>6940865</v>
      </c>
      <c r="B32434" t="s">
        <v>9216</v>
      </c>
      <c r="C32434" t="s">
        <v>156</v>
      </c>
      <c r="D32434" s="21" t="s">
        <v>34</v>
      </c>
      <c r="E32434" s="21" t="s">
        <v>71</v>
      </c>
      <c r="F32434">
        <v>1690167</v>
      </c>
      <c r="G32434" t="s">
        <v>11267</v>
      </c>
      <c r="H32434" s="21">
        <v>513.5</v>
      </c>
    </row>
    <row r="32435" spans="1:8" customFormat="1" x14ac:dyDescent="0.25">
      <c r="A32435" t="str">
        <f>"4112137"</f>
        <v>4112137</v>
      </c>
      <c r="B32435" t="s">
        <v>8655</v>
      </c>
      <c r="C32435" t="s">
        <v>249</v>
      </c>
      <c r="D32435" s="21" t="s">
        <v>34</v>
      </c>
      <c r="E32435" s="21" t="s">
        <v>35</v>
      </c>
      <c r="F32435">
        <v>4410730</v>
      </c>
      <c r="G32435" t="s">
        <v>7260</v>
      </c>
      <c r="H32435" s="21">
        <v>513.5</v>
      </c>
    </row>
    <row r="32436" spans="1:8" customFormat="1" x14ac:dyDescent="0.25">
      <c r="A32436" t="str">
        <f>"7726236"</f>
        <v>7726236</v>
      </c>
      <c r="B32436" t="s">
        <v>24248</v>
      </c>
      <c r="C32436" t="s">
        <v>3401</v>
      </c>
      <c r="D32436" s="21" t="s">
        <v>34</v>
      </c>
      <c r="E32436" s="21" t="s">
        <v>35</v>
      </c>
      <c r="F32436">
        <v>8770408</v>
      </c>
      <c r="G32436" t="s">
        <v>212</v>
      </c>
      <c r="H32436" s="21">
        <v>513.5</v>
      </c>
    </row>
    <row r="32437" spans="1:8" customFormat="1" x14ac:dyDescent="0.25">
      <c r="A32437" t="str">
        <f>"7510195"</f>
        <v>7510195</v>
      </c>
      <c r="B32437" t="s">
        <v>6843</v>
      </c>
      <c r="C32437" t="s">
        <v>547</v>
      </c>
      <c r="D32437" s="21" t="s">
        <v>34</v>
      </c>
      <c r="E32437" s="21" t="s">
        <v>1089</v>
      </c>
      <c r="F32437">
        <v>8750074</v>
      </c>
      <c r="G32437" t="s">
        <v>698</v>
      </c>
      <c r="H32437" s="21">
        <v>513.5</v>
      </c>
    </row>
    <row r="32438" spans="1:8" customFormat="1" x14ac:dyDescent="0.25">
      <c r="A32438" t="str">
        <f>"1715179"</f>
        <v>1715179</v>
      </c>
      <c r="B32438" t="s">
        <v>22601</v>
      </c>
      <c r="C32438" t="s">
        <v>412</v>
      </c>
      <c r="D32438" s="21" t="s">
        <v>34</v>
      </c>
      <c r="E32438" s="21" t="s">
        <v>71</v>
      </c>
      <c r="F32438">
        <v>10170050</v>
      </c>
      <c r="G32438" t="s">
        <v>2514</v>
      </c>
      <c r="H32438" s="21">
        <v>513.5</v>
      </c>
    </row>
    <row r="32439" spans="1:8" customFormat="1" x14ac:dyDescent="0.25">
      <c r="A32439" t="str">
        <f>"6024412"</f>
        <v>6024412</v>
      </c>
      <c r="B32439" t="s">
        <v>10132</v>
      </c>
      <c r="C32439" t="s">
        <v>60</v>
      </c>
      <c r="D32439" s="21" t="s">
        <v>34</v>
      </c>
      <c r="E32439" s="21" t="s">
        <v>35</v>
      </c>
      <c r="F32439">
        <v>7600009</v>
      </c>
      <c r="G32439" t="s">
        <v>11824</v>
      </c>
      <c r="H32439" s="21">
        <v>513.5</v>
      </c>
    </row>
    <row r="32440" spans="1:8" customFormat="1" x14ac:dyDescent="0.25">
      <c r="A32440" t="str">
        <f>"6949891"</f>
        <v>6949891</v>
      </c>
      <c r="B32440" t="s">
        <v>208</v>
      </c>
      <c r="C32440" t="s">
        <v>49</v>
      </c>
      <c r="D32440" s="21" t="s">
        <v>34</v>
      </c>
      <c r="E32440" s="21" t="s">
        <v>35</v>
      </c>
      <c r="F32440">
        <v>1690167</v>
      </c>
      <c r="G32440" t="s">
        <v>11267</v>
      </c>
      <c r="H32440" s="21">
        <v>513.5</v>
      </c>
    </row>
    <row r="32441" spans="1:8" customFormat="1" x14ac:dyDescent="0.25">
      <c r="A32441" t="str">
        <f>"4212962"</f>
        <v>4212962</v>
      </c>
      <c r="B32441" t="s">
        <v>3183</v>
      </c>
      <c r="C32441" t="s">
        <v>65</v>
      </c>
      <c r="D32441" s="21" t="s">
        <v>34</v>
      </c>
      <c r="E32441" s="21" t="s">
        <v>35</v>
      </c>
      <c r="F32441">
        <v>1420155</v>
      </c>
      <c r="G32441" t="s">
        <v>12788</v>
      </c>
      <c r="H32441" s="21">
        <v>513.5</v>
      </c>
    </row>
    <row r="32442" spans="1:8" customFormat="1" x14ac:dyDescent="0.25">
      <c r="A32442" t="str">
        <f>"7862951"</f>
        <v>7862951</v>
      </c>
      <c r="B32442" t="s">
        <v>21032</v>
      </c>
      <c r="C32442" t="s">
        <v>169</v>
      </c>
      <c r="D32442" s="21" t="s">
        <v>34</v>
      </c>
      <c r="E32442" s="21" t="s">
        <v>71</v>
      </c>
      <c r="F32442">
        <v>8781290</v>
      </c>
      <c r="G32442" t="s">
        <v>2927</v>
      </c>
      <c r="H32442" s="21">
        <v>513.5</v>
      </c>
    </row>
    <row r="32443" spans="1:8" customFormat="1" x14ac:dyDescent="0.25">
      <c r="A32443" t="str">
        <f>"5982275"</f>
        <v>5982275</v>
      </c>
      <c r="B32443" t="s">
        <v>6214</v>
      </c>
      <c r="C32443" t="s">
        <v>239</v>
      </c>
      <c r="D32443" s="21" t="s">
        <v>34</v>
      </c>
      <c r="E32443" s="21" t="s">
        <v>35</v>
      </c>
      <c r="F32443">
        <v>7590116</v>
      </c>
      <c r="G32443" t="s">
        <v>11019</v>
      </c>
      <c r="H32443" s="21">
        <v>513.5</v>
      </c>
    </row>
    <row r="32444" spans="1:8" customFormat="1" x14ac:dyDescent="0.25">
      <c r="A32444" t="str">
        <f>"6923746"</f>
        <v>6923746</v>
      </c>
      <c r="B32444" t="s">
        <v>8376</v>
      </c>
      <c r="C32444" t="s">
        <v>239</v>
      </c>
      <c r="D32444" s="21" t="s">
        <v>34</v>
      </c>
      <c r="E32444" s="21" t="s">
        <v>254</v>
      </c>
      <c r="F32444">
        <v>1690031</v>
      </c>
      <c r="G32444" t="s">
        <v>2716</v>
      </c>
      <c r="H32444" s="21">
        <v>513.41999999999996</v>
      </c>
    </row>
    <row r="32445" spans="1:8" customFormat="1" x14ac:dyDescent="0.25">
      <c r="A32445" t="str">
        <f>"361768"</f>
        <v>361768</v>
      </c>
      <c r="B32445" t="s">
        <v>21629</v>
      </c>
      <c r="C32445" t="s">
        <v>598</v>
      </c>
      <c r="D32445" s="21" t="s">
        <v>34</v>
      </c>
      <c r="E32445" s="21" t="s">
        <v>254</v>
      </c>
      <c r="F32445">
        <v>4360009</v>
      </c>
      <c r="G32445" t="s">
        <v>6259</v>
      </c>
      <c r="H32445" s="21">
        <v>513.29</v>
      </c>
    </row>
    <row r="32446" spans="1:8" customFormat="1" x14ac:dyDescent="0.25">
      <c r="A32446" t="str">
        <f>"7912921"</f>
        <v>7912921</v>
      </c>
      <c r="B32446" t="s">
        <v>23287</v>
      </c>
      <c r="C32446" t="s">
        <v>547</v>
      </c>
      <c r="D32446" s="21" t="s">
        <v>34</v>
      </c>
      <c r="E32446" s="21" t="s">
        <v>71</v>
      </c>
      <c r="F32446">
        <v>10790229</v>
      </c>
      <c r="G32446" t="s">
        <v>27165</v>
      </c>
      <c r="H32446" s="21">
        <v>513.16999999999996</v>
      </c>
    </row>
    <row r="32447" spans="1:8" customFormat="1" x14ac:dyDescent="0.25">
      <c r="A32447" t="str">
        <f>"5948498"</f>
        <v>5948498</v>
      </c>
      <c r="B32447" t="s">
        <v>21918</v>
      </c>
      <c r="C32447" t="s">
        <v>621</v>
      </c>
      <c r="D32447" s="21" t="s">
        <v>34</v>
      </c>
      <c r="E32447" s="21" t="s">
        <v>254</v>
      </c>
      <c r="F32447">
        <v>7590137</v>
      </c>
      <c r="G32447" t="s">
        <v>4246</v>
      </c>
      <c r="H32447" s="21">
        <v>513.16999999999996</v>
      </c>
    </row>
    <row r="32448" spans="1:8" customFormat="1" x14ac:dyDescent="0.25">
      <c r="A32448" t="str">
        <f>"2921403"</f>
        <v>2921403</v>
      </c>
      <c r="B32448" t="s">
        <v>21376</v>
      </c>
      <c r="C32448" t="s">
        <v>664</v>
      </c>
      <c r="D32448" s="21" t="s">
        <v>34</v>
      </c>
      <c r="E32448" s="21" t="s">
        <v>6185</v>
      </c>
      <c r="F32448">
        <v>3290090</v>
      </c>
      <c r="G32448" t="s">
        <v>1390</v>
      </c>
      <c r="H32448" s="21">
        <v>513.16999999999996</v>
      </c>
    </row>
    <row r="32449" spans="1:8" customFormat="1" x14ac:dyDescent="0.25">
      <c r="A32449" t="str">
        <f>"2939710"</f>
        <v>2939710</v>
      </c>
      <c r="B32449" t="s">
        <v>12230</v>
      </c>
      <c r="C32449" t="s">
        <v>2322</v>
      </c>
      <c r="D32449" s="21" t="s">
        <v>34</v>
      </c>
      <c r="E32449" s="21" t="s">
        <v>35</v>
      </c>
      <c r="F32449">
        <v>3290223</v>
      </c>
      <c r="G32449" t="s">
        <v>2636</v>
      </c>
      <c r="H32449" s="21">
        <v>513.16999999999996</v>
      </c>
    </row>
    <row r="32450" spans="1:8" customFormat="1" x14ac:dyDescent="0.25">
      <c r="A32450" t="str">
        <f>"872252"</f>
        <v>872252</v>
      </c>
      <c r="B32450" t="s">
        <v>970</v>
      </c>
      <c r="C32450" t="s">
        <v>40</v>
      </c>
      <c r="D32450" s="21" t="s">
        <v>34</v>
      </c>
      <c r="E32450" s="21" t="s">
        <v>1089</v>
      </c>
      <c r="F32450">
        <v>10870117</v>
      </c>
      <c r="G32450" t="s">
        <v>3139</v>
      </c>
      <c r="H32450" s="21">
        <v>513.16999999999996</v>
      </c>
    </row>
    <row r="32451" spans="1:8" customFormat="1" x14ac:dyDescent="0.25">
      <c r="A32451" t="str">
        <f>"3536483"</f>
        <v>3536483</v>
      </c>
      <c r="B32451" t="s">
        <v>24757</v>
      </c>
      <c r="C32451" t="s">
        <v>484</v>
      </c>
      <c r="D32451" s="21" t="s">
        <v>34</v>
      </c>
      <c r="E32451" s="21" t="s">
        <v>35</v>
      </c>
      <c r="F32451">
        <v>3350047</v>
      </c>
      <c r="G32451" t="s">
        <v>9797</v>
      </c>
      <c r="H32451" s="21">
        <v>513.16999999999996</v>
      </c>
    </row>
    <row r="32452" spans="1:8" customFormat="1" x14ac:dyDescent="0.25">
      <c r="A32452" t="str">
        <f>"364784"</f>
        <v>364784</v>
      </c>
      <c r="B32452" t="s">
        <v>21402</v>
      </c>
      <c r="C32452" t="s">
        <v>114</v>
      </c>
      <c r="D32452" s="21" t="s">
        <v>34</v>
      </c>
      <c r="E32452" s="21" t="s">
        <v>35</v>
      </c>
      <c r="F32452">
        <v>4360727</v>
      </c>
      <c r="G32452" t="s">
        <v>10026</v>
      </c>
      <c r="H32452" s="21">
        <v>513.16999999999996</v>
      </c>
    </row>
    <row r="32453" spans="1:8" customFormat="1" x14ac:dyDescent="0.25">
      <c r="A32453" t="str">
        <f>"6948215"</f>
        <v>6948215</v>
      </c>
      <c r="B32453" t="s">
        <v>14415</v>
      </c>
      <c r="C32453" t="s">
        <v>462</v>
      </c>
      <c r="D32453" s="21" t="s">
        <v>34</v>
      </c>
      <c r="E32453" s="21" t="s">
        <v>71</v>
      </c>
      <c r="F32453">
        <v>1690224</v>
      </c>
      <c r="G32453" t="s">
        <v>27093</v>
      </c>
      <c r="H32453" s="21">
        <v>513.16999999999996</v>
      </c>
    </row>
    <row r="32454" spans="1:8" customFormat="1" x14ac:dyDescent="0.25">
      <c r="A32454" t="str">
        <f>"8019313"</f>
        <v>8019313</v>
      </c>
      <c r="B32454" t="s">
        <v>11298</v>
      </c>
      <c r="C32454" t="s">
        <v>169</v>
      </c>
      <c r="D32454" s="21" t="s">
        <v>34</v>
      </c>
      <c r="E32454" s="21" t="s">
        <v>71</v>
      </c>
      <c r="F32454">
        <v>7800005</v>
      </c>
      <c r="G32454" t="s">
        <v>6547</v>
      </c>
      <c r="H32454" s="21">
        <v>513.16999999999996</v>
      </c>
    </row>
    <row r="32455" spans="1:8" customFormat="1" x14ac:dyDescent="0.25">
      <c r="A32455" t="str">
        <f>"2515397"</f>
        <v>2515397</v>
      </c>
      <c r="B32455" t="s">
        <v>1661</v>
      </c>
      <c r="C32455" t="s">
        <v>4721</v>
      </c>
      <c r="D32455" s="21" t="s">
        <v>34</v>
      </c>
      <c r="E32455" s="21" t="s">
        <v>1089</v>
      </c>
      <c r="F32455">
        <v>2250066</v>
      </c>
      <c r="G32455" t="s">
        <v>5321</v>
      </c>
      <c r="H32455" s="21">
        <v>513.16999999999996</v>
      </c>
    </row>
    <row r="32456" spans="1:8" customFormat="1" x14ac:dyDescent="0.25">
      <c r="A32456" t="str">
        <f>"7862179"</f>
        <v>7862179</v>
      </c>
      <c r="B32456" t="s">
        <v>20528</v>
      </c>
      <c r="C32456" t="s">
        <v>55</v>
      </c>
      <c r="D32456" s="21" t="s">
        <v>34</v>
      </c>
      <c r="E32456" s="21" t="s">
        <v>71</v>
      </c>
      <c r="F32456">
        <v>8780401</v>
      </c>
      <c r="G32456" t="s">
        <v>9116</v>
      </c>
      <c r="H32456" s="21">
        <v>513.16999999999996</v>
      </c>
    </row>
    <row r="32457" spans="1:8" customFormat="1" x14ac:dyDescent="0.25">
      <c r="A32457" t="str">
        <f>"4446844"</f>
        <v>4446844</v>
      </c>
      <c r="B32457" t="s">
        <v>3978</v>
      </c>
      <c r="C32457" t="s">
        <v>33</v>
      </c>
      <c r="D32457" s="21" t="s">
        <v>34</v>
      </c>
      <c r="E32457" s="21" t="s">
        <v>35</v>
      </c>
      <c r="F32457">
        <v>12850097</v>
      </c>
      <c r="G32457" t="s">
        <v>4111</v>
      </c>
      <c r="H32457" s="21">
        <v>513.16999999999996</v>
      </c>
    </row>
    <row r="32458" spans="1:8" customFormat="1" x14ac:dyDescent="0.25">
      <c r="A32458" t="str">
        <f>"2219474"</f>
        <v>2219474</v>
      </c>
      <c r="B32458" t="s">
        <v>24644</v>
      </c>
      <c r="C32458" t="s">
        <v>598</v>
      </c>
      <c r="D32458" s="21" t="s">
        <v>34</v>
      </c>
      <c r="E32458" s="21" t="s">
        <v>71</v>
      </c>
      <c r="F32458">
        <v>3220011</v>
      </c>
      <c r="G32458" t="s">
        <v>27394</v>
      </c>
      <c r="H32458" s="21">
        <v>513.16999999999996</v>
      </c>
    </row>
    <row r="32459" spans="1:8" customFormat="1" x14ac:dyDescent="0.25">
      <c r="A32459" t="str">
        <f>"9519692"</f>
        <v>9519692</v>
      </c>
      <c r="B32459" t="s">
        <v>22045</v>
      </c>
      <c r="C32459" t="s">
        <v>156</v>
      </c>
      <c r="D32459" s="21" t="s">
        <v>34</v>
      </c>
      <c r="E32459" s="21" t="s">
        <v>1089</v>
      </c>
      <c r="F32459">
        <v>1260055</v>
      </c>
      <c r="G32459" t="s">
        <v>8460</v>
      </c>
      <c r="H32459" s="21">
        <v>513.16999999999996</v>
      </c>
    </row>
    <row r="32460" spans="1:8" customFormat="1" x14ac:dyDescent="0.25">
      <c r="A32460" t="str">
        <f>"3724113"</f>
        <v>3724113</v>
      </c>
      <c r="B32460" t="s">
        <v>28501</v>
      </c>
      <c r="C32460" t="s">
        <v>204</v>
      </c>
      <c r="D32460" s="21" t="s">
        <v>34</v>
      </c>
      <c r="E32460" s="21" t="s">
        <v>35</v>
      </c>
      <c r="F32460">
        <v>4370346</v>
      </c>
      <c r="G32460" t="s">
        <v>8269</v>
      </c>
      <c r="H32460" s="21">
        <v>513.16999999999996</v>
      </c>
    </row>
    <row r="32461" spans="1:8" customFormat="1" x14ac:dyDescent="0.25">
      <c r="A32461" t="str">
        <f>"5982261"</f>
        <v>5982261</v>
      </c>
      <c r="B32461" t="s">
        <v>28502</v>
      </c>
      <c r="C32461" t="s">
        <v>139</v>
      </c>
      <c r="D32461" s="21" t="s">
        <v>34</v>
      </c>
      <c r="E32461" s="21" t="s">
        <v>35</v>
      </c>
      <c r="F32461">
        <v>7590426</v>
      </c>
      <c r="G32461" t="s">
        <v>23114</v>
      </c>
      <c r="H32461" s="21">
        <v>513.16999999999996</v>
      </c>
    </row>
    <row r="32462" spans="1:8" customFormat="1" x14ac:dyDescent="0.25">
      <c r="A32462" t="str">
        <f>"628638"</f>
        <v>628638</v>
      </c>
      <c r="B32462" t="s">
        <v>17451</v>
      </c>
      <c r="C32462" t="s">
        <v>267</v>
      </c>
      <c r="D32462" s="21" t="s">
        <v>34</v>
      </c>
      <c r="E32462" s="21" t="s">
        <v>254</v>
      </c>
      <c r="F32462">
        <v>7620048</v>
      </c>
      <c r="G32462" t="s">
        <v>7467</v>
      </c>
      <c r="H32462" s="21">
        <v>513.16999999999996</v>
      </c>
    </row>
    <row r="32463" spans="1:8" customFormat="1" x14ac:dyDescent="0.25">
      <c r="A32463" t="str">
        <f>"5975024"</f>
        <v>5975024</v>
      </c>
      <c r="B32463" t="s">
        <v>1320</v>
      </c>
      <c r="C32463" t="s">
        <v>21014</v>
      </c>
      <c r="D32463" s="21" t="s">
        <v>34</v>
      </c>
      <c r="E32463" s="21" t="s">
        <v>35</v>
      </c>
      <c r="F32463">
        <v>7590102</v>
      </c>
      <c r="G32463" t="s">
        <v>1091</v>
      </c>
      <c r="H32463" s="21">
        <v>513.16999999999996</v>
      </c>
    </row>
    <row r="32464" spans="1:8" customFormat="1" x14ac:dyDescent="0.25">
      <c r="A32464" t="str">
        <f>"6813897"</f>
        <v>6813897</v>
      </c>
      <c r="B32464" t="s">
        <v>12794</v>
      </c>
      <c r="C32464" t="s">
        <v>2907</v>
      </c>
      <c r="D32464" s="21" t="s">
        <v>34</v>
      </c>
      <c r="E32464" s="21" t="s">
        <v>35</v>
      </c>
      <c r="F32464">
        <v>6680105</v>
      </c>
      <c r="G32464" t="s">
        <v>403</v>
      </c>
      <c r="H32464" s="21">
        <v>513.16999999999996</v>
      </c>
    </row>
    <row r="32465" spans="1:8" customFormat="1" x14ac:dyDescent="0.25">
      <c r="A32465" t="str">
        <f>"4217699"</f>
        <v>4217699</v>
      </c>
      <c r="B32465" t="s">
        <v>20756</v>
      </c>
      <c r="C32465" t="s">
        <v>33</v>
      </c>
      <c r="D32465" s="21" t="s">
        <v>34</v>
      </c>
      <c r="E32465" s="21" t="s">
        <v>71</v>
      </c>
      <c r="F32465">
        <v>1420163</v>
      </c>
      <c r="G32465" t="s">
        <v>2424</v>
      </c>
      <c r="H32465" s="21">
        <v>513.16999999999996</v>
      </c>
    </row>
    <row r="32466" spans="1:8" customFormat="1" x14ac:dyDescent="0.25">
      <c r="A32466" t="str">
        <f>"1716845"</f>
        <v>1716845</v>
      </c>
      <c r="B32466" t="s">
        <v>5056</v>
      </c>
      <c r="C32466" t="s">
        <v>750</v>
      </c>
      <c r="D32466" s="21" t="s">
        <v>34</v>
      </c>
      <c r="E32466" s="21" t="s">
        <v>71</v>
      </c>
      <c r="F32466">
        <v>10170024</v>
      </c>
      <c r="G32466" t="s">
        <v>16864</v>
      </c>
      <c r="H32466" s="21">
        <v>513.16999999999996</v>
      </c>
    </row>
    <row r="32467" spans="1:8" customFormat="1" x14ac:dyDescent="0.25">
      <c r="A32467" t="str">
        <f>"1614152"</f>
        <v>1614152</v>
      </c>
      <c r="B32467" t="s">
        <v>23448</v>
      </c>
      <c r="C32467" t="s">
        <v>87</v>
      </c>
      <c r="D32467" s="21" t="s">
        <v>34</v>
      </c>
      <c r="E32467" s="21" t="s">
        <v>35</v>
      </c>
      <c r="F32467">
        <v>10160069</v>
      </c>
      <c r="G32467" t="s">
        <v>5379</v>
      </c>
      <c r="H32467" s="21">
        <v>513.16999999999996</v>
      </c>
    </row>
    <row r="32468" spans="1:8" customFormat="1" x14ac:dyDescent="0.25">
      <c r="A32468" t="str">
        <f>"8312104"</f>
        <v>8312104</v>
      </c>
      <c r="B32468" t="s">
        <v>20222</v>
      </c>
      <c r="C32468" t="s">
        <v>40</v>
      </c>
      <c r="D32468" s="21" t="s">
        <v>34</v>
      </c>
      <c r="E32468" s="21" t="s">
        <v>254</v>
      </c>
      <c r="F32468">
        <v>13830044</v>
      </c>
      <c r="G32468" t="s">
        <v>945</v>
      </c>
      <c r="H32468" s="21">
        <v>513.16999999999996</v>
      </c>
    </row>
    <row r="32469" spans="1:8" customFormat="1" x14ac:dyDescent="0.25">
      <c r="A32469" t="str">
        <f>"4451480"</f>
        <v>4451480</v>
      </c>
      <c r="B32469" t="s">
        <v>21404</v>
      </c>
      <c r="C32469" t="s">
        <v>60</v>
      </c>
      <c r="D32469" s="21" t="s">
        <v>34</v>
      </c>
      <c r="E32469" s="21" t="s">
        <v>35</v>
      </c>
      <c r="F32469">
        <v>12440039</v>
      </c>
      <c r="G32469" t="s">
        <v>9650</v>
      </c>
      <c r="H32469" s="21">
        <v>513.16999999999996</v>
      </c>
    </row>
    <row r="32470" spans="1:8" customFormat="1" x14ac:dyDescent="0.25">
      <c r="A32470" t="str">
        <f>"6111137"</f>
        <v>6111137</v>
      </c>
      <c r="B32470" t="s">
        <v>3001</v>
      </c>
      <c r="C32470" t="s">
        <v>498</v>
      </c>
      <c r="D32470" s="21" t="s">
        <v>34</v>
      </c>
      <c r="E32470" s="21" t="s">
        <v>254</v>
      </c>
      <c r="F32470">
        <v>9610119</v>
      </c>
      <c r="G32470" t="s">
        <v>6655</v>
      </c>
      <c r="H32470" s="21">
        <v>513.16999999999996</v>
      </c>
    </row>
    <row r="32471" spans="1:8" customFormat="1" x14ac:dyDescent="0.25">
      <c r="A32471" t="str">
        <f>"519521"</f>
        <v>519521</v>
      </c>
      <c r="B32471" t="s">
        <v>28503</v>
      </c>
      <c r="C32471" t="s">
        <v>96</v>
      </c>
      <c r="D32471" s="21" t="s">
        <v>34</v>
      </c>
      <c r="E32471" s="21" t="s">
        <v>35</v>
      </c>
      <c r="F32471">
        <v>10330030</v>
      </c>
      <c r="G32471" t="s">
        <v>2990</v>
      </c>
      <c r="H32471" s="21">
        <v>513</v>
      </c>
    </row>
    <row r="32472" spans="1:8" customFormat="1" x14ac:dyDescent="0.25">
      <c r="A32472" t="str">
        <f>"6230622"</f>
        <v>6230622</v>
      </c>
      <c r="B32472" t="s">
        <v>21899</v>
      </c>
      <c r="C32472" t="s">
        <v>60</v>
      </c>
      <c r="D32472" s="21" t="s">
        <v>34</v>
      </c>
      <c r="E32472" s="21" t="s">
        <v>71</v>
      </c>
      <c r="F32472">
        <v>7620150</v>
      </c>
      <c r="G32472" t="s">
        <v>7141</v>
      </c>
      <c r="H32472" s="21">
        <v>513</v>
      </c>
    </row>
    <row r="32473" spans="1:8" customFormat="1" x14ac:dyDescent="0.25">
      <c r="A32473" t="str">
        <f>"8313830"</f>
        <v>8313830</v>
      </c>
      <c r="B32473" t="s">
        <v>15986</v>
      </c>
      <c r="C32473" t="s">
        <v>109</v>
      </c>
      <c r="D32473" s="21" t="s">
        <v>34</v>
      </c>
      <c r="E32473" s="21" t="s">
        <v>35</v>
      </c>
      <c r="F32473">
        <v>13830015</v>
      </c>
      <c r="G32473" t="s">
        <v>4011</v>
      </c>
      <c r="H32473" s="21">
        <v>513</v>
      </c>
    </row>
    <row r="32474" spans="1:8" customFormat="1" x14ac:dyDescent="0.25">
      <c r="A32474" t="str">
        <f>"758516"</f>
        <v>758516</v>
      </c>
      <c r="B32474" t="s">
        <v>9356</v>
      </c>
      <c r="C32474" t="s">
        <v>65</v>
      </c>
      <c r="D32474" s="21" t="s">
        <v>34</v>
      </c>
      <c r="E32474" s="21" t="s">
        <v>71</v>
      </c>
      <c r="F32474">
        <v>10330037</v>
      </c>
      <c r="G32474" t="s">
        <v>5960</v>
      </c>
      <c r="H32474" s="21">
        <v>513</v>
      </c>
    </row>
    <row r="32475" spans="1:8" customFormat="1" x14ac:dyDescent="0.25">
      <c r="A32475" t="str">
        <f>"9533084"</f>
        <v>9533084</v>
      </c>
      <c r="B32475" t="s">
        <v>3367</v>
      </c>
      <c r="C32475" t="s">
        <v>33</v>
      </c>
      <c r="D32475" s="21" t="s">
        <v>34</v>
      </c>
      <c r="E32475" s="21" t="s">
        <v>35</v>
      </c>
      <c r="F32475">
        <v>8951092</v>
      </c>
      <c r="G32475" t="s">
        <v>5801</v>
      </c>
      <c r="H32475" s="21">
        <v>513</v>
      </c>
    </row>
    <row r="32476" spans="1:8" customFormat="1" x14ac:dyDescent="0.25">
      <c r="A32476" t="str">
        <f>"2814131"</f>
        <v>2814131</v>
      </c>
      <c r="B32476" t="s">
        <v>2240</v>
      </c>
      <c r="C32476" t="s">
        <v>109</v>
      </c>
      <c r="D32476" s="21" t="s">
        <v>34</v>
      </c>
      <c r="E32476" s="21" t="s">
        <v>35</v>
      </c>
      <c r="F32476">
        <v>4280610</v>
      </c>
      <c r="G32476" t="s">
        <v>8180</v>
      </c>
      <c r="H32476" s="21">
        <v>513</v>
      </c>
    </row>
    <row r="32477" spans="1:8" customFormat="1" x14ac:dyDescent="0.25">
      <c r="A32477" t="str">
        <f>"9146827"</f>
        <v>9146827</v>
      </c>
      <c r="B32477" t="s">
        <v>28504</v>
      </c>
      <c r="C32477" t="s">
        <v>65</v>
      </c>
      <c r="D32477" s="21" t="s">
        <v>34</v>
      </c>
      <c r="E32477" s="21" t="s">
        <v>35</v>
      </c>
      <c r="F32477">
        <v>8911323</v>
      </c>
      <c r="G32477" t="s">
        <v>555</v>
      </c>
      <c r="H32477" s="21">
        <v>513</v>
      </c>
    </row>
    <row r="32478" spans="1:8" customFormat="1" x14ac:dyDescent="0.25">
      <c r="A32478" t="str">
        <f>"5613430"</f>
        <v>5613430</v>
      </c>
      <c r="B32478" t="s">
        <v>22707</v>
      </c>
      <c r="C32478" t="s">
        <v>302</v>
      </c>
      <c r="D32478" s="21" t="s">
        <v>34</v>
      </c>
      <c r="E32478" s="21" t="s">
        <v>71</v>
      </c>
      <c r="F32478">
        <v>3560091</v>
      </c>
      <c r="G32478" t="s">
        <v>27212</v>
      </c>
      <c r="H32478" s="21">
        <v>513</v>
      </c>
    </row>
    <row r="32479" spans="1:8" customFormat="1" x14ac:dyDescent="0.25">
      <c r="A32479" t="str">
        <f>"309261"</f>
        <v>309261</v>
      </c>
      <c r="B32479" t="s">
        <v>20038</v>
      </c>
      <c r="C32479" t="s">
        <v>263</v>
      </c>
      <c r="D32479" s="21" t="s">
        <v>34</v>
      </c>
      <c r="E32479" s="21" t="s">
        <v>71</v>
      </c>
      <c r="F32479">
        <v>11300007</v>
      </c>
      <c r="G32479" t="s">
        <v>361</v>
      </c>
      <c r="H32479" s="21">
        <v>513</v>
      </c>
    </row>
    <row r="32480" spans="1:8" customFormat="1" x14ac:dyDescent="0.25">
      <c r="A32480" t="str">
        <f>"7642852"</f>
        <v>7642852</v>
      </c>
      <c r="B32480" t="s">
        <v>3873</v>
      </c>
      <c r="C32480" t="s">
        <v>267</v>
      </c>
      <c r="D32480" s="21" t="s">
        <v>34</v>
      </c>
      <c r="E32480" s="21" t="s">
        <v>1089</v>
      </c>
      <c r="F32480">
        <v>9760070</v>
      </c>
      <c r="G32480" t="s">
        <v>6226</v>
      </c>
      <c r="H32480" s="21">
        <v>513</v>
      </c>
    </row>
    <row r="32481" spans="1:8" customFormat="1" x14ac:dyDescent="0.25">
      <c r="A32481" t="str">
        <f>"6220235"</f>
        <v>6220235</v>
      </c>
      <c r="B32481" t="s">
        <v>28505</v>
      </c>
      <c r="C32481" t="s">
        <v>33</v>
      </c>
      <c r="D32481" s="21" t="s">
        <v>34</v>
      </c>
      <c r="E32481" s="21" t="s">
        <v>35</v>
      </c>
      <c r="F32481">
        <v>7620182</v>
      </c>
      <c r="G32481" t="s">
        <v>11480</v>
      </c>
      <c r="H32481" s="21">
        <v>513</v>
      </c>
    </row>
    <row r="32482" spans="1:8" customFormat="1" x14ac:dyDescent="0.25">
      <c r="A32482" t="str">
        <f>"5976509"</f>
        <v>5976509</v>
      </c>
      <c r="B32482" t="s">
        <v>18950</v>
      </c>
      <c r="C32482" t="s">
        <v>598</v>
      </c>
      <c r="D32482" s="21" t="s">
        <v>34</v>
      </c>
      <c r="E32482" s="21" t="s">
        <v>254</v>
      </c>
      <c r="F32482">
        <v>7590016</v>
      </c>
      <c r="G32482" t="s">
        <v>5653</v>
      </c>
      <c r="H32482" s="21">
        <v>513</v>
      </c>
    </row>
    <row r="32483" spans="1:8" customFormat="1" x14ac:dyDescent="0.25">
      <c r="A32483" t="str">
        <f>"1321630"</f>
        <v>1321630</v>
      </c>
      <c r="B32483" t="s">
        <v>6729</v>
      </c>
      <c r="C32483" t="s">
        <v>198</v>
      </c>
      <c r="D32483" s="21" t="s">
        <v>34</v>
      </c>
      <c r="E32483" s="21" t="s">
        <v>71</v>
      </c>
      <c r="F32483">
        <v>13130124</v>
      </c>
      <c r="G32483" t="s">
        <v>5311</v>
      </c>
      <c r="H32483" s="21">
        <v>513</v>
      </c>
    </row>
    <row r="32484" spans="1:8" customFormat="1" x14ac:dyDescent="0.25">
      <c r="A32484" t="str">
        <f>"5976588"</f>
        <v>5976588</v>
      </c>
      <c r="B32484" t="s">
        <v>1773</v>
      </c>
      <c r="C32484" t="s">
        <v>33</v>
      </c>
      <c r="D32484" s="21" t="s">
        <v>34</v>
      </c>
      <c r="E32484" s="21" t="s">
        <v>71</v>
      </c>
      <c r="F32484">
        <v>7590069</v>
      </c>
      <c r="G32484" t="s">
        <v>7225</v>
      </c>
      <c r="H32484" s="21">
        <v>513</v>
      </c>
    </row>
    <row r="32485" spans="1:8" customFormat="1" x14ac:dyDescent="0.25">
      <c r="A32485" t="str">
        <f>"7642133"</f>
        <v>7642133</v>
      </c>
      <c r="B32485" t="s">
        <v>2824</v>
      </c>
      <c r="C32485" t="s">
        <v>33</v>
      </c>
      <c r="D32485" s="21" t="s">
        <v>34</v>
      </c>
      <c r="E32485" s="21" t="s">
        <v>71</v>
      </c>
      <c r="F32485">
        <v>9760352</v>
      </c>
      <c r="G32485" t="s">
        <v>7885</v>
      </c>
      <c r="H32485" s="21">
        <v>513</v>
      </c>
    </row>
    <row r="32486" spans="1:8" customFormat="1" x14ac:dyDescent="0.25">
      <c r="A32486" t="str">
        <f>"8019337"</f>
        <v>8019337</v>
      </c>
      <c r="B32486" t="s">
        <v>23893</v>
      </c>
      <c r="C32486" t="s">
        <v>3887</v>
      </c>
      <c r="D32486" s="21" t="s">
        <v>34</v>
      </c>
      <c r="E32486" s="21" t="s">
        <v>71</v>
      </c>
      <c r="F32486">
        <v>7800126</v>
      </c>
      <c r="G32486" t="s">
        <v>1105</v>
      </c>
      <c r="H32486" s="21">
        <v>513</v>
      </c>
    </row>
    <row r="32487" spans="1:8" customFormat="1" x14ac:dyDescent="0.25">
      <c r="A32487" t="str">
        <f>"3730380"</f>
        <v>3730380</v>
      </c>
      <c r="B32487" t="s">
        <v>28506</v>
      </c>
      <c r="C32487" t="s">
        <v>87</v>
      </c>
      <c r="D32487" s="21" t="s">
        <v>34</v>
      </c>
      <c r="E32487" s="21" t="s">
        <v>35</v>
      </c>
      <c r="F32487">
        <v>4370724</v>
      </c>
      <c r="G32487" t="s">
        <v>11672</v>
      </c>
      <c r="H32487" s="21">
        <v>513</v>
      </c>
    </row>
    <row r="32488" spans="1:8" customFormat="1" x14ac:dyDescent="0.25">
      <c r="A32488" t="str">
        <f>"1714439"</f>
        <v>1714439</v>
      </c>
      <c r="B32488" t="s">
        <v>10754</v>
      </c>
      <c r="C32488" t="s">
        <v>2520</v>
      </c>
      <c r="D32488" s="21" t="s">
        <v>34</v>
      </c>
      <c r="E32488" s="21" t="s">
        <v>6185</v>
      </c>
      <c r="F32488">
        <v>10170178</v>
      </c>
      <c r="G32488" t="s">
        <v>17278</v>
      </c>
      <c r="H32488" s="21">
        <v>513</v>
      </c>
    </row>
    <row r="32489" spans="1:8" customFormat="1" x14ac:dyDescent="0.25">
      <c r="A32489" t="str">
        <f>"8315889"</f>
        <v>8315889</v>
      </c>
      <c r="B32489" t="s">
        <v>1564</v>
      </c>
      <c r="C32489" t="s">
        <v>211</v>
      </c>
      <c r="D32489" s="21" t="s">
        <v>34</v>
      </c>
      <c r="E32489" s="21" t="s">
        <v>71</v>
      </c>
      <c r="F32489">
        <v>13830091</v>
      </c>
      <c r="G32489" t="s">
        <v>7389</v>
      </c>
      <c r="H32489" s="21">
        <v>513</v>
      </c>
    </row>
    <row r="32490" spans="1:8" customFormat="1" x14ac:dyDescent="0.25">
      <c r="A32490" t="str">
        <f>"4937655"</f>
        <v>4937655</v>
      </c>
      <c r="B32490" t="s">
        <v>10518</v>
      </c>
      <c r="C32490" t="s">
        <v>4842</v>
      </c>
      <c r="D32490" s="21" t="s">
        <v>34</v>
      </c>
      <c r="E32490" s="21" t="s">
        <v>1089</v>
      </c>
      <c r="F32490">
        <v>12490132</v>
      </c>
      <c r="G32490" t="s">
        <v>1125</v>
      </c>
      <c r="H32490" s="21">
        <v>513</v>
      </c>
    </row>
    <row r="32491" spans="1:8" customFormat="1" x14ac:dyDescent="0.25">
      <c r="A32491" t="str">
        <f>"812380"</f>
        <v>812380</v>
      </c>
      <c r="B32491" t="s">
        <v>61</v>
      </c>
      <c r="C32491" t="s">
        <v>1142</v>
      </c>
      <c r="D32491" s="21" t="s">
        <v>34</v>
      </c>
      <c r="E32491" s="21" t="s">
        <v>1089</v>
      </c>
      <c r="F32491">
        <v>11810001</v>
      </c>
      <c r="G32491" t="s">
        <v>26998</v>
      </c>
      <c r="H32491" s="21">
        <v>513</v>
      </c>
    </row>
    <row r="32492" spans="1:8" customFormat="1" x14ac:dyDescent="0.25">
      <c r="A32492" t="str">
        <f>"895316"</f>
        <v>895316</v>
      </c>
      <c r="B32492" t="s">
        <v>22497</v>
      </c>
      <c r="C32492" t="s">
        <v>3073</v>
      </c>
      <c r="D32492" s="21" t="s">
        <v>34</v>
      </c>
      <c r="E32492" s="21" t="s">
        <v>254</v>
      </c>
      <c r="F32492">
        <v>2890010</v>
      </c>
      <c r="G32492" t="s">
        <v>3790</v>
      </c>
      <c r="H32492" s="21">
        <v>513</v>
      </c>
    </row>
    <row r="32493" spans="1:8" customFormat="1" x14ac:dyDescent="0.25">
      <c r="A32493" t="str">
        <f>"317142"</f>
        <v>317142</v>
      </c>
      <c r="B32493" t="s">
        <v>28507</v>
      </c>
      <c r="C32493" t="s">
        <v>156</v>
      </c>
      <c r="D32493" s="21" t="s">
        <v>34</v>
      </c>
      <c r="E32493" s="21" t="s">
        <v>254</v>
      </c>
      <c r="F32493">
        <v>11310008</v>
      </c>
      <c r="G32493" t="s">
        <v>4269</v>
      </c>
      <c r="H32493" s="21">
        <v>513</v>
      </c>
    </row>
    <row r="32494" spans="1:8" customFormat="1" x14ac:dyDescent="0.25">
      <c r="A32494" t="str">
        <f>"2721478"</f>
        <v>2721478</v>
      </c>
      <c r="B32494" t="s">
        <v>24185</v>
      </c>
      <c r="C32494" t="s">
        <v>576</v>
      </c>
      <c r="D32494" s="21" t="s">
        <v>34</v>
      </c>
      <c r="E32494" s="21" t="s">
        <v>35</v>
      </c>
      <c r="F32494">
        <v>9270150</v>
      </c>
      <c r="G32494" t="s">
        <v>11661</v>
      </c>
      <c r="H32494" s="21">
        <v>513</v>
      </c>
    </row>
    <row r="32495" spans="1:8" customFormat="1" x14ac:dyDescent="0.25">
      <c r="A32495" t="str">
        <f>"919442"</f>
        <v>919442</v>
      </c>
      <c r="B32495" t="s">
        <v>6558</v>
      </c>
      <c r="C32495" t="s">
        <v>879</v>
      </c>
      <c r="D32495" s="21" t="s">
        <v>34</v>
      </c>
      <c r="E32495" s="21" t="s">
        <v>254</v>
      </c>
      <c r="F32495">
        <v>8910102</v>
      </c>
      <c r="G32495" t="s">
        <v>3079</v>
      </c>
      <c r="H32495" s="21">
        <v>513</v>
      </c>
    </row>
    <row r="32496" spans="1:8" customFormat="1" x14ac:dyDescent="0.25">
      <c r="A32496" t="str">
        <f>"3554"</f>
        <v>3554</v>
      </c>
      <c r="B32496" t="s">
        <v>13877</v>
      </c>
      <c r="C32496" t="s">
        <v>379</v>
      </c>
      <c r="D32496" s="21" t="s">
        <v>34</v>
      </c>
      <c r="E32496" s="21" t="s">
        <v>1089</v>
      </c>
      <c r="F32496">
        <v>3560090</v>
      </c>
      <c r="G32496" t="s">
        <v>7777</v>
      </c>
      <c r="H32496" s="21">
        <v>513</v>
      </c>
    </row>
    <row r="32497" spans="1:8" customFormat="1" x14ac:dyDescent="0.25">
      <c r="A32497" t="str">
        <f>"5980853"</f>
        <v>5980853</v>
      </c>
      <c r="B32497" t="s">
        <v>9072</v>
      </c>
      <c r="C32497" t="s">
        <v>87</v>
      </c>
      <c r="D32497" s="21" t="s">
        <v>34</v>
      </c>
      <c r="E32497" s="21" t="s">
        <v>71</v>
      </c>
      <c r="F32497">
        <v>7590008</v>
      </c>
      <c r="G32497" t="s">
        <v>110</v>
      </c>
      <c r="H32497" s="21">
        <v>512.91999999999996</v>
      </c>
    </row>
    <row r="32498" spans="1:8" customFormat="1" x14ac:dyDescent="0.25">
      <c r="A32498" t="str">
        <f>"2720426"</f>
        <v>2720426</v>
      </c>
      <c r="B32498" t="s">
        <v>15135</v>
      </c>
      <c r="C32498" t="s">
        <v>37</v>
      </c>
      <c r="D32498" s="21" t="s">
        <v>34</v>
      </c>
      <c r="E32498" s="21" t="s">
        <v>35</v>
      </c>
      <c r="F32498">
        <v>9270060</v>
      </c>
      <c r="G32498" t="s">
        <v>1982</v>
      </c>
      <c r="H32498" s="21">
        <v>512.75</v>
      </c>
    </row>
    <row r="32499" spans="1:8" customFormat="1" x14ac:dyDescent="0.25">
      <c r="A32499" t="str">
        <f>"7731515"</f>
        <v>7731515</v>
      </c>
      <c r="B32499" t="s">
        <v>22151</v>
      </c>
      <c r="C32499" t="s">
        <v>12593</v>
      </c>
      <c r="D32499" s="21" t="s">
        <v>34</v>
      </c>
      <c r="E32499" s="21" t="s">
        <v>35</v>
      </c>
      <c r="F32499">
        <v>8770562</v>
      </c>
      <c r="G32499" t="s">
        <v>4847</v>
      </c>
      <c r="H32499" s="21">
        <v>512.75</v>
      </c>
    </row>
    <row r="32500" spans="1:8" customFormat="1" x14ac:dyDescent="0.25">
      <c r="A32500" t="str">
        <f>"0812068"</f>
        <v>0812068</v>
      </c>
      <c r="B32500" t="s">
        <v>16366</v>
      </c>
      <c r="C32500" t="s">
        <v>2072</v>
      </c>
      <c r="D32500" s="21" t="s">
        <v>34</v>
      </c>
      <c r="E32500" s="21" t="s">
        <v>35</v>
      </c>
      <c r="F32500">
        <v>6080072</v>
      </c>
      <c r="G32500" t="s">
        <v>6765</v>
      </c>
      <c r="H32500" s="21">
        <v>512.66999999999996</v>
      </c>
    </row>
    <row r="32501" spans="1:8" customFormat="1" x14ac:dyDescent="0.25">
      <c r="A32501" t="str">
        <f>"61323"</f>
        <v>61323</v>
      </c>
      <c r="B32501" t="s">
        <v>16432</v>
      </c>
      <c r="C32501" t="s">
        <v>4721</v>
      </c>
      <c r="D32501" s="21" t="s">
        <v>34</v>
      </c>
      <c r="E32501" s="21" t="s">
        <v>254</v>
      </c>
      <c r="F32501">
        <v>9610115</v>
      </c>
      <c r="G32501" t="s">
        <v>17938</v>
      </c>
      <c r="H32501" s="21">
        <v>512.66999999999996</v>
      </c>
    </row>
    <row r="32502" spans="1:8" customFormat="1" x14ac:dyDescent="0.25">
      <c r="A32502" t="str">
        <f>"812214"</f>
        <v>812214</v>
      </c>
      <c r="B32502" t="s">
        <v>8882</v>
      </c>
      <c r="C32502" t="s">
        <v>249</v>
      </c>
      <c r="D32502" s="21" t="s">
        <v>34</v>
      </c>
      <c r="E32502" s="21" t="s">
        <v>71</v>
      </c>
      <c r="F32502">
        <v>11810001</v>
      </c>
      <c r="G32502" t="s">
        <v>26998</v>
      </c>
      <c r="H32502" s="21">
        <v>512.66999999999996</v>
      </c>
    </row>
    <row r="32503" spans="1:8" customFormat="1" x14ac:dyDescent="0.25">
      <c r="A32503" t="str">
        <f>"453369"</f>
        <v>453369</v>
      </c>
      <c r="B32503" t="s">
        <v>4846</v>
      </c>
      <c r="C32503" t="s">
        <v>33</v>
      </c>
      <c r="D32503" s="21" t="s">
        <v>34</v>
      </c>
      <c r="E32503" s="21" t="s">
        <v>35</v>
      </c>
      <c r="F32503">
        <v>4450036</v>
      </c>
      <c r="G32503" t="s">
        <v>4179</v>
      </c>
      <c r="H32503" s="21">
        <v>512.66999999999996</v>
      </c>
    </row>
    <row r="32504" spans="1:8" customFormat="1" x14ac:dyDescent="0.25">
      <c r="A32504" t="str">
        <f>"6725974"</f>
        <v>6725974</v>
      </c>
      <c r="B32504" t="s">
        <v>23809</v>
      </c>
      <c r="C32504" t="s">
        <v>8417</v>
      </c>
      <c r="D32504" s="21" t="s">
        <v>34</v>
      </c>
      <c r="E32504" s="21" t="s">
        <v>35</v>
      </c>
      <c r="F32504">
        <v>6670141</v>
      </c>
      <c r="G32504" t="s">
        <v>5030</v>
      </c>
      <c r="H32504" s="21">
        <v>512.66999999999996</v>
      </c>
    </row>
    <row r="32505" spans="1:8" customFormat="1" x14ac:dyDescent="0.25">
      <c r="A32505" t="str">
        <f>"6212173"</f>
        <v>6212173</v>
      </c>
      <c r="B32505" t="s">
        <v>4063</v>
      </c>
      <c r="C32505" t="s">
        <v>3784</v>
      </c>
      <c r="D32505" s="21" t="s">
        <v>34</v>
      </c>
      <c r="E32505" s="21" t="s">
        <v>1089</v>
      </c>
      <c r="F32505">
        <v>7620027</v>
      </c>
      <c r="G32505" t="s">
        <v>980</v>
      </c>
      <c r="H32505" s="21">
        <v>512.66999999999996</v>
      </c>
    </row>
    <row r="32506" spans="1:8" customFormat="1" x14ac:dyDescent="0.25">
      <c r="A32506" t="str">
        <f>"4711353"</f>
        <v>4711353</v>
      </c>
      <c r="B32506" t="s">
        <v>28508</v>
      </c>
      <c r="C32506" t="s">
        <v>498</v>
      </c>
      <c r="D32506" s="21" t="s">
        <v>34</v>
      </c>
      <c r="E32506" s="21" t="s">
        <v>254</v>
      </c>
      <c r="F32506">
        <v>10470007</v>
      </c>
      <c r="G32506" t="s">
        <v>3049</v>
      </c>
      <c r="H32506" s="21">
        <v>512.66999999999996</v>
      </c>
    </row>
    <row r="32507" spans="1:8" customFormat="1" x14ac:dyDescent="0.25">
      <c r="A32507" t="str">
        <f>"6939033"</f>
        <v>6939033</v>
      </c>
      <c r="B32507" t="s">
        <v>1645</v>
      </c>
      <c r="C32507" t="s">
        <v>33</v>
      </c>
      <c r="D32507" s="21" t="s">
        <v>34</v>
      </c>
      <c r="E32507" s="21" t="s">
        <v>35</v>
      </c>
      <c r="F32507">
        <v>1690175</v>
      </c>
      <c r="G32507" t="s">
        <v>410</v>
      </c>
      <c r="H32507" s="21">
        <v>512.66999999999996</v>
      </c>
    </row>
    <row r="32508" spans="1:8" customFormat="1" x14ac:dyDescent="0.25">
      <c r="A32508" t="str">
        <f>"5941390"</f>
        <v>5941390</v>
      </c>
      <c r="B32508" t="s">
        <v>15395</v>
      </c>
      <c r="C32508" t="s">
        <v>2520</v>
      </c>
      <c r="D32508" s="21" t="s">
        <v>34</v>
      </c>
      <c r="E32508" s="21" t="s">
        <v>1089</v>
      </c>
      <c r="F32508">
        <v>7590237</v>
      </c>
      <c r="G32508" t="s">
        <v>3600</v>
      </c>
      <c r="H32508" s="21">
        <v>512.66999999999996</v>
      </c>
    </row>
    <row r="32509" spans="1:8" customFormat="1" x14ac:dyDescent="0.25">
      <c r="A32509" t="str">
        <f>"635302"</f>
        <v>635302</v>
      </c>
      <c r="B32509" t="s">
        <v>6279</v>
      </c>
      <c r="C32509" t="s">
        <v>209</v>
      </c>
      <c r="D32509" s="21" t="s">
        <v>34</v>
      </c>
      <c r="E32509" s="21" t="s">
        <v>71</v>
      </c>
      <c r="F32509">
        <v>1630123</v>
      </c>
      <c r="G32509" t="s">
        <v>1036</v>
      </c>
      <c r="H32509" s="21">
        <v>512.66999999999996</v>
      </c>
    </row>
    <row r="32510" spans="1:8" customFormat="1" x14ac:dyDescent="0.25">
      <c r="A32510" t="str">
        <f>"766322"</f>
        <v>766322</v>
      </c>
      <c r="B32510" t="s">
        <v>24015</v>
      </c>
      <c r="C32510" t="s">
        <v>598</v>
      </c>
      <c r="D32510" s="21" t="s">
        <v>34</v>
      </c>
      <c r="E32510" s="21" t="s">
        <v>1089</v>
      </c>
      <c r="F32510">
        <v>9760342</v>
      </c>
      <c r="G32510" t="s">
        <v>3619</v>
      </c>
      <c r="H32510" s="21">
        <v>512.66999999999996</v>
      </c>
    </row>
    <row r="32511" spans="1:8" customFormat="1" x14ac:dyDescent="0.25">
      <c r="A32511" t="str">
        <f>"619808"</f>
        <v>619808</v>
      </c>
      <c r="B32511" t="s">
        <v>22262</v>
      </c>
      <c r="C32511" t="s">
        <v>206</v>
      </c>
      <c r="D32511" s="21" t="s">
        <v>34</v>
      </c>
      <c r="E32511" s="21" t="s">
        <v>35</v>
      </c>
      <c r="F32511">
        <v>9610119</v>
      </c>
      <c r="G32511" t="s">
        <v>6655</v>
      </c>
      <c r="H32511" s="21">
        <v>512.66999999999996</v>
      </c>
    </row>
    <row r="32512" spans="1:8" customFormat="1" x14ac:dyDescent="0.25">
      <c r="A32512" t="str">
        <f>"8017717"</f>
        <v>8017717</v>
      </c>
      <c r="B32512" t="s">
        <v>108</v>
      </c>
      <c r="C32512" t="s">
        <v>22475</v>
      </c>
      <c r="D32512" s="21" t="s">
        <v>34</v>
      </c>
      <c r="E32512" s="21" t="s">
        <v>254</v>
      </c>
      <c r="F32512">
        <v>7800153</v>
      </c>
      <c r="G32512" t="s">
        <v>13728</v>
      </c>
      <c r="H32512" s="21">
        <v>512.66999999999996</v>
      </c>
    </row>
    <row r="32513" spans="1:8" customFormat="1" x14ac:dyDescent="0.25">
      <c r="A32513" t="str">
        <f>"4211897"</f>
        <v>4211897</v>
      </c>
      <c r="B32513" t="s">
        <v>22003</v>
      </c>
      <c r="C32513" t="s">
        <v>1231</v>
      </c>
      <c r="D32513" s="21" t="s">
        <v>34</v>
      </c>
      <c r="E32513" s="21" t="s">
        <v>71</v>
      </c>
      <c r="F32513">
        <v>1420160</v>
      </c>
      <c r="G32513" t="s">
        <v>5488</v>
      </c>
      <c r="H32513" s="21">
        <v>512.66999999999996</v>
      </c>
    </row>
    <row r="32514" spans="1:8" customFormat="1" x14ac:dyDescent="0.25">
      <c r="A32514" t="str">
        <f>"405822"</f>
        <v>405822</v>
      </c>
      <c r="B32514" t="s">
        <v>21895</v>
      </c>
      <c r="C32514" t="s">
        <v>239</v>
      </c>
      <c r="D32514" s="21" t="s">
        <v>34</v>
      </c>
      <c r="E32514" s="21" t="s">
        <v>71</v>
      </c>
      <c r="F32514">
        <v>10400016</v>
      </c>
      <c r="G32514" t="s">
        <v>9271</v>
      </c>
      <c r="H32514" s="21">
        <v>512.66999999999996</v>
      </c>
    </row>
    <row r="32515" spans="1:8" customFormat="1" x14ac:dyDescent="0.25">
      <c r="A32515" t="str">
        <f>"2220047"</f>
        <v>2220047</v>
      </c>
      <c r="B32515" t="s">
        <v>23013</v>
      </c>
      <c r="C32515" t="s">
        <v>1100</v>
      </c>
      <c r="D32515" s="21" t="s">
        <v>34</v>
      </c>
      <c r="E32515" s="21" t="s">
        <v>71</v>
      </c>
      <c r="F32515">
        <v>3220004</v>
      </c>
      <c r="G32515" t="s">
        <v>26986</v>
      </c>
      <c r="H32515" s="21">
        <v>512.66999999999996</v>
      </c>
    </row>
    <row r="32516" spans="1:8" customFormat="1" x14ac:dyDescent="0.25">
      <c r="A32516" t="str">
        <f>"648923"</f>
        <v>648923</v>
      </c>
      <c r="B32516" t="s">
        <v>19881</v>
      </c>
      <c r="C32516" t="s">
        <v>462</v>
      </c>
      <c r="D32516" s="21" t="s">
        <v>34</v>
      </c>
      <c r="E32516" s="21" t="s">
        <v>35</v>
      </c>
      <c r="F32516">
        <v>10640011</v>
      </c>
      <c r="G32516" t="s">
        <v>13300</v>
      </c>
      <c r="H32516" s="21">
        <v>512.66999999999996</v>
      </c>
    </row>
    <row r="32517" spans="1:8" customFormat="1" x14ac:dyDescent="0.25">
      <c r="A32517" t="str">
        <f>"5943582"</f>
        <v>5943582</v>
      </c>
      <c r="B32517" t="s">
        <v>28509</v>
      </c>
      <c r="C32517" t="s">
        <v>285</v>
      </c>
      <c r="D32517" s="21" t="s">
        <v>34</v>
      </c>
      <c r="E32517" s="21" t="s">
        <v>35</v>
      </c>
      <c r="F32517">
        <v>3560086</v>
      </c>
      <c r="G32517" t="s">
        <v>15139</v>
      </c>
      <c r="H32517" s="21">
        <v>512.66999999999996</v>
      </c>
    </row>
    <row r="32518" spans="1:8" customFormat="1" x14ac:dyDescent="0.25">
      <c r="A32518" t="str">
        <f>"7899"</f>
        <v>7899</v>
      </c>
      <c r="B32518" t="s">
        <v>6610</v>
      </c>
      <c r="C32518" t="s">
        <v>750</v>
      </c>
      <c r="D32518" s="21" t="s">
        <v>34</v>
      </c>
      <c r="E32518" s="21" t="s">
        <v>254</v>
      </c>
      <c r="F32518">
        <v>8780023</v>
      </c>
      <c r="G32518" t="s">
        <v>1496</v>
      </c>
      <c r="H32518" s="21">
        <v>512.54</v>
      </c>
    </row>
    <row r="32519" spans="1:8" customFormat="1" x14ac:dyDescent="0.25">
      <c r="A32519" t="str">
        <f>"7643215"</f>
        <v>7643215</v>
      </c>
      <c r="B32519" t="s">
        <v>17920</v>
      </c>
      <c r="C32519" t="s">
        <v>486</v>
      </c>
      <c r="D32519" s="21" t="s">
        <v>34</v>
      </c>
      <c r="E32519" s="21" t="s">
        <v>35</v>
      </c>
      <c r="F32519">
        <v>9760007</v>
      </c>
      <c r="G32519" t="s">
        <v>7255</v>
      </c>
      <c r="H32519" s="21">
        <v>512.5</v>
      </c>
    </row>
    <row r="32520" spans="1:8" customFormat="1" x14ac:dyDescent="0.25">
      <c r="A32520" t="str">
        <f>"9459767"</f>
        <v>9459767</v>
      </c>
      <c r="B32520" t="s">
        <v>28510</v>
      </c>
      <c r="C32520" t="s">
        <v>28511</v>
      </c>
      <c r="D32520" s="21" t="s">
        <v>34</v>
      </c>
      <c r="E32520" s="21" t="s">
        <v>35</v>
      </c>
      <c r="F32520">
        <v>8941352</v>
      </c>
      <c r="G32520" t="s">
        <v>3778</v>
      </c>
      <c r="H32520" s="21">
        <v>512.5</v>
      </c>
    </row>
    <row r="32521" spans="1:8" customFormat="1" x14ac:dyDescent="0.25">
      <c r="A32521" t="str">
        <f>"8819028"</f>
        <v>8819028</v>
      </c>
      <c r="B32521" t="s">
        <v>28512</v>
      </c>
      <c r="C32521" t="s">
        <v>822</v>
      </c>
      <c r="D32521" s="21" t="s">
        <v>34</v>
      </c>
      <c r="E32521" s="21" t="s">
        <v>254</v>
      </c>
      <c r="F32521">
        <v>6880083</v>
      </c>
      <c r="G32521" t="s">
        <v>7718</v>
      </c>
      <c r="H32521" s="21">
        <v>512.5</v>
      </c>
    </row>
    <row r="32522" spans="1:8" customFormat="1" x14ac:dyDescent="0.25">
      <c r="A32522" t="str">
        <f>"5418112"</f>
        <v>5418112</v>
      </c>
      <c r="B32522" t="s">
        <v>28513</v>
      </c>
      <c r="C32522" t="s">
        <v>1110</v>
      </c>
      <c r="D32522" s="21" t="s">
        <v>34</v>
      </c>
      <c r="E32522" s="21" t="s">
        <v>254</v>
      </c>
      <c r="F32522">
        <v>11320039</v>
      </c>
      <c r="G32522" t="s">
        <v>14674</v>
      </c>
      <c r="H32522" s="21">
        <v>512.5</v>
      </c>
    </row>
    <row r="32523" spans="1:8" customFormat="1" x14ac:dyDescent="0.25">
      <c r="A32523" t="str">
        <f>"1612748"</f>
        <v>1612748</v>
      </c>
      <c r="B32523" t="s">
        <v>2349</v>
      </c>
      <c r="C32523" t="s">
        <v>328</v>
      </c>
      <c r="D32523" s="21" t="s">
        <v>34</v>
      </c>
      <c r="E32523" s="21" t="s">
        <v>35</v>
      </c>
      <c r="F32523">
        <v>10160186</v>
      </c>
      <c r="G32523" t="s">
        <v>4819</v>
      </c>
      <c r="H32523" s="21">
        <v>512.5</v>
      </c>
    </row>
    <row r="32524" spans="1:8" customFormat="1" x14ac:dyDescent="0.25">
      <c r="A32524" t="str">
        <f>"1713987"</f>
        <v>1713987</v>
      </c>
      <c r="B32524" t="s">
        <v>11104</v>
      </c>
      <c r="C32524" t="s">
        <v>825</v>
      </c>
      <c r="D32524" s="21" t="s">
        <v>34</v>
      </c>
      <c r="E32524" s="21" t="s">
        <v>71</v>
      </c>
      <c r="F32524">
        <v>10170024</v>
      </c>
      <c r="G32524" t="s">
        <v>16864</v>
      </c>
      <c r="H32524" s="21">
        <v>512.5</v>
      </c>
    </row>
    <row r="32525" spans="1:8" customFormat="1" x14ac:dyDescent="0.25">
      <c r="A32525" t="str">
        <f>"113667"</f>
        <v>113667</v>
      </c>
      <c r="B32525" t="s">
        <v>2210</v>
      </c>
      <c r="C32525" t="s">
        <v>453</v>
      </c>
      <c r="D32525" s="21" t="s">
        <v>34</v>
      </c>
      <c r="E32525" s="21" t="s">
        <v>254</v>
      </c>
      <c r="F32525">
        <v>11110001</v>
      </c>
      <c r="G32525" t="s">
        <v>11560</v>
      </c>
      <c r="H32525" s="21">
        <v>512.5</v>
      </c>
    </row>
    <row r="32526" spans="1:8" customFormat="1" x14ac:dyDescent="0.25">
      <c r="A32526" t="str">
        <f>"368386"</f>
        <v>368386</v>
      </c>
      <c r="B32526" t="s">
        <v>22659</v>
      </c>
      <c r="C32526" t="s">
        <v>547</v>
      </c>
      <c r="D32526" s="21" t="s">
        <v>34</v>
      </c>
      <c r="E32526" s="21" t="s">
        <v>35</v>
      </c>
      <c r="F32526">
        <v>4360725</v>
      </c>
      <c r="G32526" t="s">
        <v>11151</v>
      </c>
      <c r="H32526" s="21">
        <v>512.5</v>
      </c>
    </row>
    <row r="32527" spans="1:8" customFormat="1" x14ac:dyDescent="0.25">
      <c r="A32527" t="str">
        <f>"6112195"</f>
        <v>6112195</v>
      </c>
      <c r="B32527" t="s">
        <v>14156</v>
      </c>
      <c r="C32527" t="s">
        <v>98</v>
      </c>
      <c r="D32527" s="21" t="s">
        <v>34</v>
      </c>
      <c r="E32527" s="21" t="s">
        <v>35</v>
      </c>
      <c r="F32527">
        <v>9610004</v>
      </c>
      <c r="G32527" t="s">
        <v>1042</v>
      </c>
      <c r="H32527" s="21">
        <v>512.5</v>
      </c>
    </row>
    <row r="32528" spans="1:8" customFormat="1" x14ac:dyDescent="0.25">
      <c r="A32528" t="str">
        <f>"98601"</f>
        <v>98601</v>
      </c>
      <c r="B32528" t="s">
        <v>22562</v>
      </c>
      <c r="C32528" t="s">
        <v>40</v>
      </c>
      <c r="D32528" s="21" t="s">
        <v>34</v>
      </c>
      <c r="E32528" s="21" t="s">
        <v>71</v>
      </c>
      <c r="F32528">
        <v>5980003</v>
      </c>
      <c r="G32528" t="s">
        <v>1746</v>
      </c>
      <c r="H32528" s="21">
        <v>512.5</v>
      </c>
    </row>
    <row r="32529" spans="1:8" customFormat="1" x14ac:dyDescent="0.25">
      <c r="A32529" t="str">
        <f>"7844620"</f>
        <v>7844620</v>
      </c>
      <c r="B32529" t="s">
        <v>22712</v>
      </c>
      <c r="C32529" t="s">
        <v>2479</v>
      </c>
      <c r="D32529" s="21" t="s">
        <v>34</v>
      </c>
      <c r="E32529" s="21" t="s">
        <v>35</v>
      </c>
      <c r="F32529">
        <v>8780078</v>
      </c>
      <c r="G32529" t="s">
        <v>229</v>
      </c>
      <c r="H32529" s="21">
        <v>512.5</v>
      </c>
    </row>
    <row r="32530" spans="1:8" customFormat="1" x14ac:dyDescent="0.25">
      <c r="A32530" t="str">
        <f>"5957484"</f>
        <v>5957484</v>
      </c>
      <c r="B32530" t="s">
        <v>22450</v>
      </c>
      <c r="C32530" t="s">
        <v>209</v>
      </c>
      <c r="D32530" s="21" t="s">
        <v>34</v>
      </c>
      <c r="E32530" s="21" t="s">
        <v>71</v>
      </c>
      <c r="F32530">
        <v>7590008</v>
      </c>
      <c r="G32530" t="s">
        <v>110</v>
      </c>
      <c r="H32530" s="21">
        <v>512.41999999999996</v>
      </c>
    </row>
    <row r="32531" spans="1:8" customFormat="1" x14ac:dyDescent="0.25">
      <c r="A32531" t="str">
        <f>"9F5683"</f>
        <v>9F5683</v>
      </c>
      <c r="B32531" t="s">
        <v>28514</v>
      </c>
      <c r="C32531" t="s">
        <v>28515</v>
      </c>
      <c r="D32531" s="21" t="s">
        <v>34</v>
      </c>
      <c r="E32531" s="21" t="s">
        <v>254</v>
      </c>
      <c r="F32531" t="s">
        <v>22850</v>
      </c>
      <c r="G32531" t="s">
        <v>22851</v>
      </c>
      <c r="H32531" s="21">
        <v>512.41999999999996</v>
      </c>
    </row>
    <row r="32532" spans="1:8" customFormat="1" x14ac:dyDescent="0.25">
      <c r="A32532" t="str">
        <f>"3722594"</f>
        <v>3722594</v>
      </c>
      <c r="B32532" t="s">
        <v>5565</v>
      </c>
      <c r="C32532" t="s">
        <v>246</v>
      </c>
      <c r="D32532" s="21" t="s">
        <v>34</v>
      </c>
      <c r="E32532" s="21" t="s">
        <v>254</v>
      </c>
      <c r="F32532">
        <v>4370548</v>
      </c>
      <c r="G32532" t="s">
        <v>7106</v>
      </c>
      <c r="H32532" s="21">
        <v>512.41999999999996</v>
      </c>
    </row>
    <row r="32533" spans="1:8" customFormat="1" x14ac:dyDescent="0.25">
      <c r="A32533" t="str">
        <f>"9420217"</f>
        <v>9420217</v>
      </c>
      <c r="B32533" t="s">
        <v>2206</v>
      </c>
      <c r="C32533" t="s">
        <v>62</v>
      </c>
      <c r="D32533" s="21" t="s">
        <v>34</v>
      </c>
      <c r="E32533" s="21" t="s">
        <v>71</v>
      </c>
      <c r="F32533">
        <v>8771304</v>
      </c>
      <c r="G32533" t="s">
        <v>5314</v>
      </c>
      <c r="H32533" s="21">
        <v>512.41999999999996</v>
      </c>
    </row>
    <row r="32534" spans="1:8" customFormat="1" x14ac:dyDescent="0.25">
      <c r="A32534" t="str">
        <f>"6022438"</f>
        <v>6022438</v>
      </c>
      <c r="B32534" t="s">
        <v>3404</v>
      </c>
      <c r="C32534" t="s">
        <v>209</v>
      </c>
      <c r="D32534" s="21" t="s">
        <v>34</v>
      </c>
      <c r="E32534" s="21" t="s">
        <v>71</v>
      </c>
      <c r="F32534">
        <v>7600037</v>
      </c>
      <c r="G32534" t="s">
        <v>7185</v>
      </c>
      <c r="H32534" s="21">
        <v>512.16999999999996</v>
      </c>
    </row>
    <row r="32535" spans="1:8" customFormat="1" x14ac:dyDescent="0.25">
      <c r="A32535" t="str">
        <f>"3119166"</f>
        <v>3119166</v>
      </c>
      <c r="B32535" t="s">
        <v>22348</v>
      </c>
      <c r="C32535" t="s">
        <v>22349</v>
      </c>
      <c r="D32535" s="21" t="s">
        <v>34</v>
      </c>
      <c r="E32535" s="21" t="s">
        <v>71</v>
      </c>
      <c r="F32535">
        <v>11310033</v>
      </c>
      <c r="G32535" t="s">
        <v>18036</v>
      </c>
      <c r="H32535" s="21">
        <v>512.16999999999996</v>
      </c>
    </row>
    <row r="32536" spans="1:8" customFormat="1" x14ac:dyDescent="0.25">
      <c r="A32536" t="str">
        <f>"591964"</f>
        <v>591964</v>
      </c>
      <c r="B32536" t="s">
        <v>21414</v>
      </c>
      <c r="C32536" t="s">
        <v>3905</v>
      </c>
      <c r="D32536" s="21" t="s">
        <v>34</v>
      </c>
      <c r="E32536" s="21" t="s">
        <v>1089</v>
      </c>
      <c r="F32536">
        <v>7590087</v>
      </c>
      <c r="G32536" t="s">
        <v>2112</v>
      </c>
      <c r="H32536" s="21">
        <v>512.16999999999996</v>
      </c>
    </row>
    <row r="32537" spans="1:8" customFormat="1" x14ac:dyDescent="0.25">
      <c r="A32537" t="str">
        <f>"3333504"</f>
        <v>3333504</v>
      </c>
      <c r="B32537" t="s">
        <v>20627</v>
      </c>
      <c r="C32537" t="s">
        <v>934</v>
      </c>
      <c r="D32537" s="21" t="s">
        <v>34</v>
      </c>
      <c r="E32537" s="21" t="s">
        <v>71</v>
      </c>
      <c r="F32537">
        <v>10330046</v>
      </c>
      <c r="G32537" t="s">
        <v>1787</v>
      </c>
      <c r="H32537" s="21">
        <v>512.16999999999996</v>
      </c>
    </row>
    <row r="32538" spans="1:8" customFormat="1" x14ac:dyDescent="0.25">
      <c r="A32538" t="str">
        <f>"1716502"</f>
        <v>1716502</v>
      </c>
      <c r="B32538" t="s">
        <v>1395</v>
      </c>
      <c r="C32538" t="s">
        <v>547</v>
      </c>
      <c r="D32538" s="21" t="s">
        <v>34</v>
      </c>
      <c r="E32538" s="21" t="s">
        <v>254</v>
      </c>
      <c r="F32538">
        <v>10170016</v>
      </c>
      <c r="G32538" t="s">
        <v>88</v>
      </c>
      <c r="H32538" s="21">
        <v>512.16999999999996</v>
      </c>
    </row>
    <row r="32539" spans="1:8" customFormat="1" x14ac:dyDescent="0.25">
      <c r="A32539" t="str">
        <f>"4439867"</f>
        <v>4439867</v>
      </c>
      <c r="B32539" t="s">
        <v>20887</v>
      </c>
      <c r="C32539" t="s">
        <v>462</v>
      </c>
      <c r="D32539" s="21" t="s">
        <v>34</v>
      </c>
      <c r="E32539" s="21" t="s">
        <v>254</v>
      </c>
      <c r="F32539">
        <v>12440094</v>
      </c>
      <c r="G32539" t="s">
        <v>892</v>
      </c>
      <c r="H32539" s="21">
        <v>512.16999999999996</v>
      </c>
    </row>
    <row r="32540" spans="1:8" customFormat="1" x14ac:dyDescent="0.25">
      <c r="A32540" t="str">
        <f>"2510903"</f>
        <v>2510903</v>
      </c>
      <c r="B32540" t="s">
        <v>5814</v>
      </c>
      <c r="C32540" t="s">
        <v>114</v>
      </c>
      <c r="D32540" s="21" t="s">
        <v>34</v>
      </c>
      <c r="E32540" s="21" t="s">
        <v>71</v>
      </c>
      <c r="F32540">
        <v>2250154</v>
      </c>
      <c r="G32540" t="s">
        <v>1973</v>
      </c>
      <c r="H32540" s="21">
        <v>512.16999999999996</v>
      </c>
    </row>
    <row r="32541" spans="1:8" customFormat="1" x14ac:dyDescent="0.25">
      <c r="A32541" t="str">
        <f>"7414263"</f>
        <v>7414263</v>
      </c>
      <c r="B32541" t="s">
        <v>28516</v>
      </c>
      <c r="C32541" t="s">
        <v>40</v>
      </c>
      <c r="D32541" s="21" t="s">
        <v>34</v>
      </c>
      <c r="E32541" s="21" t="s">
        <v>71</v>
      </c>
      <c r="F32541">
        <v>1740011</v>
      </c>
      <c r="G32541" t="s">
        <v>2638</v>
      </c>
      <c r="H32541" s="21">
        <v>512.16999999999996</v>
      </c>
    </row>
    <row r="32542" spans="1:8" customFormat="1" x14ac:dyDescent="0.25">
      <c r="A32542" t="str">
        <f>"3341279"</f>
        <v>3341279</v>
      </c>
      <c r="B32542" t="s">
        <v>22602</v>
      </c>
      <c r="C32542" t="s">
        <v>275</v>
      </c>
      <c r="D32542" s="21" t="s">
        <v>34</v>
      </c>
      <c r="E32542" s="21" t="s">
        <v>35</v>
      </c>
      <c r="F32542">
        <v>10330128</v>
      </c>
      <c r="G32542" t="s">
        <v>13670</v>
      </c>
      <c r="H32542" s="21">
        <v>512.16999999999996</v>
      </c>
    </row>
    <row r="32543" spans="1:8" customFormat="1" x14ac:dyDescent="0.25">
      <c r="A32543" t="str">
        <f>"478968"</f>
        <v>478968</v>
      </c>
      <c r="B32543" t="s">
        <v>24273</v>
      </c>
      <c r="C32543" t="s">
        <v>55</v>
      </c>
      <c r="D32543" s="21" t="s">
        <v>34</v>
      </c>
      <c r="E32543" s="21" t="s">
        <v>71</v>
      </c>
      <c r="F32543">
        <v>10470002</v>
      </c>
      <c r="G32543" t="s">
        <v>13066</v>
      </c>
      <c r="H32543" s="21">
        <v>512.16999999999996</v>
      </c>
    </row>
    <row r="32544" spans="1:8" customFormat="1" x14ac:dyDescent="0.25">
      <c r="A32544" t="str">
        <f>"6725936"</f>
        <v>6725936</v>
      </c>
      <c r="B32544" t="s">
        <v>22942</v>
      </c>
      <c r="C32544" t="s">
        <v>249</v>
      </c>
      <c r="D32544" s="21" t="s">
        <v>34</v>
      </c>
      <c r="E32544" s="21" t="s">
        <v>35</v>
      </c>
      <c r="F32544">
        <v>6670271</v>
      </c>
      <c r="G32544" t="s">
        <v>5193</v>
      </c>
      <c r="H32544" s="21">
        <v>512.16999999999996</v>
      </c>
    </row>
    <row r="32545" spans="1:8" customFormat="1" x14ac:dyDescent="0.25">
      <c r="A32545" t="str">
        <f>"3426639"</f>
        <v>3426639</v>
      </c>
      <c r="B32545" t="s">
        <v>22399</v>
      </c>
      <c r="C32545" t="s">
        <v>4578</v>
      </c>
      <c r="D32545" s="21" t="s">
        <v>34</v>
      </c>
      <c r="E32545" s="21" t="s">
        <v>71</v>
      </c>
      <c r="F32545">
        <v>11340033</v>
      </c>
      <c r="G32545" t="s">
        <v>433</v>
      </c>
      <c r="H32545" s="21">
        <v>512.16999999999996</v>
      </c>
    </row>
    <row r="32546" spans="1:8" customFormat="1" x14ac:dyDescent="0.25">
      <c r="A32546" t="str">
        <f>"4450277"</f>
        <v>4450277</v>
      </c>
      <c r="B32546" t="s">
        <v>11399</v>
      </c>
      <c r="C32546" t="s">
        <v>428</v>
      </c>
      <c r="D32546" s="21" t="s">
        <v>34</v>
      </c>
      <c r="E32546" s="21" t="s">
        <v>71</v>
      </c>
      <c r="F32546">
        <v>12440125</v>
      </c>
      <c r="G32546" t="s">
        <v>8347</v>
      </c>
      <c r="H32546" s="21">
        <v>512.16999999999996</v>
      </c>
    </row>
    <row r="32547" spans="1:8" customFormat="1" x14ac:dyDescent="0.25">
      <c r="A32547" t="str">
        <f>"69487"</f>
        <v>69487</v>
      </c>
      <c r="B32547" t="s">
        <v>42</v>
      </c>
      <c r="C32547" t="s">
        <v>233</v>
      </c>
      <c r="D32547" s="21" t="s">
        <v>34</v>
      </c>
      <c r="E32547" s="21" t="s">
        <v>6185</v>
      </c>
      <c r="F32547">
        <v>1690014</v>
      </c>
      <c r="G32547" t="s">
        <v>8728</v>
      </c>
      <c r="H32547" s="21">
        <v>512.16999999999996</v>
      </c>
    </row>
    <row r="32548" spans="1:8" customFormat="1" x14ac:dyDescent="0.25">
      <c r="A32548" t="str">
        <f>"1610899"</f>
        <v>1610899</v>
      </c>
      <c r="B32548" t="s">
        <v>22563</v>
      </c>
      <c r="C32548" t="s">
        <v>1588</v>
      </c>
      <c r="D32548" s="21" t="s">
        <v>34</v>
      </c>
      <c r="E32548" s="21" t="s">
        <v>254</v>
      </c>
      <c r="F32548">
        <v>10160085</v>
      </c>
      <c r="G32548" t="s">
        <v>10818</v>
      </c>
      <c r="H32548" s="21">
        <v>512.16999999999996</v>
      </c>
    </row>
    <row r="32549" spans="1:8" customFormat="1" x14ac:dyDescent="0.25">
      <c r="A32549" t="str">
        <f>"5969796"</f>
        <v>5969796</v>
      </c>
      <c r="B32549" t="s">
        <v>24399</v>
      </c>
      <c r="C32549" t="s">
        <v>239</v>
      </c>
      <c r="D32549" s="21" t="s">
        <v>34</v>
      </c>
      <c r="E32549" s="21" t="s">
        <v>1089</v>
      </c>
      <c r="F32549">
        <v>7590402</v>
      </c>
      <c r="G32549" t="s">
        <v>1623</v>
      </c>
      <c r="H32549" s="21">
        <v>512.16999999999996</v>
      </c>
    </row>
    <row r="32550" spans="1:8" customFormat="1" x14ac:dyDescent="0.25">
      <c r="A32550" t="str">
        <f>"6022244"</f>
        <v>6022244</v>
      </c>
      <c r="B32550" t="s">
        <v>23666</v>
      </c>
      <c r="C32550" t="s">
        <v>631</v>
      </c>
      <c r="D32550" s="21" t="s">
        <v>34</v>
      </c>
      <c r="E32550" s="21" t="s">
        <v>35</v>
      </c>
      <c r="F32550">
        <v>7600169</v>
      </c>
      <c r="G32550" t="s">
        <v>9768</v>
      </c>
      <c r="H32550" s="21">
        <v>512</v>
      </c>
    </row>
    <row r="32551" spans="1:8" customFormat="1" x14ac:dyDescent="0.25">
      <c r="A32551" t="str">
        <f>"5327265"</f>
        <v>5327265</v>
      </c>
      <c r="B32551" t="s">
        <v>5083</v>
      </c>
      <c r="C32551" t="s">
        <v>817</v>
      </c>
      <c r="D32551" s="21" t="s">
        <v>34</v>
      </c>
      <c r="E32551" s="21" t="s">
        <v>35</v>
      </c>
      <c r="F32551">
        <v>12538907</v>
      </c>
      <c r="G32551" t="s">
        <v>9299</v>
      </c>
      <c r="H32551" s="21">
        <v>512</v>
      </c>
    </row>
    <row r="32552" spans="1:8" customFormat="1" x14ac:dyDescent="0.25">
      <c r="A32552" t="str">
        <f>"1320791"</f>
        <v>1320791</v>
      </c>
      <c r="B32552" t="s">
        <v>22442</v>
      </c>
      <c r="C32552" t="s">
        <v>124</v>
      </c>
      <c r="D32552" s="21" t="s">
        <v>34</v>
      </c>
      <c r="E32552" s="21" t="s">
        <v>71</v>
      </c>
      <c r="F32552">
        <v>13130100</v>
      </c>
      <c r="G32552" t="s">
        <v>2893</v>
      </c>
      <c r="H32552" s="21">
        <v>512</v>
      </c>
    </row>
    <row r="32553" spans="1:8" customFormat="1" x14ac:dyDescent="0.25">
      <c r="A32553" t="str">
        <f>"9D1579"</f>
        <v>9D1579</v>
      </c>
      <c r="B32553" t="s">
        <v>7174</v>
      </c>
      <c r="C32553" t="s">
        <v>249</v>
      </c>
      <c r="D32553" s="21" t="s">
        <v>34</v>
      </c>
      <c r="E32553" s="21" t="s">
        <v>71</v>
      </c>
      <c r="F32553" t="s">
        <v>2462</v>
      </c>
      <c r="G32553" t="s">
        <v>2463</v>
      </c>
      <c r="H32553" s="21">
        <v>512</v>
      </c>
    </row>
    <row r="32554" spans="1:8" customFormat="1" x14ac:dyDescent="0.25">
      <c r="A32554" t="str">
        <f>"6225754"</f>
        <v>6225754</v>
      </c>
      <c r="B32554" t="s">
        <v>7732</v>
      </c>
      <c r="C32554" t="s">
        <v>24659</v>
      </c>
      <c r="D32554" s="21" t="s">
        <v>34</v>
      </c>
      <c r="E32554" s="21" t="s">
        <v>71</v>
      </c>
      <c r="F32554">
        <v>7620057</v>
      </c>
      <c r="G32554" t="s">
        <v>184</v>
      </c>
      <c r="H32554" s="21">
        <v>512</v>
      </c>
    </row>
    <row r="32555" spans="1:8" customFormat="1" x14ac:dyDescent="0.25">
      <c r="A32555" t="str">
        <f>"6230133"</f>
        <v>6230133</v>
      </c>
      <c r="B32555" t="s">
        <v>24140</v>
      </c>
      <c r="C32555" t="s">
        <v>415</v>
      </c>
      <c r="D32555" s="21" t="s">
        <v>34</v>
      </c>
      <c r="E32555" s="21" t="s">
        <v>71</v>
      </c>
      <c r="F32555">
        <v>7620058</v>
      </c>
      <c r="G32555" t="s">
        <v>602</v>
      </c>
      <c r="H32555" s="21">
        <v>512</v>
      </c>
    </row>
    <row r="32556" spans="1:8" customFormat="1" x14ac:dyDescent="0.25">
      <c r="A32556" t="str">
        <f>"4934103"</f>
        <v>4934103</v>
      </c>
      <c r="B32556" t="s">
        <v>356</v>
      </c>
      <c r="C32556" t="s">
        <v>712</v>
      </c>
      <c r="D32556" s="21" t="s">
        <v>34</v>
      </c>
      <c r="E32556" s="21" t="s">
        <v>71</v>
      </c>
      <c r="F32556">
        <v>12490033</v>
      </c>
      <c r="G32556" t="s">
        <v>3469</v>
      </c>
      <c r="H32556" s="21">
        <v>512</v>
      </c>
    </row>
    <row r="32557" spans="1:8" customFormat="1" x14ac:dyDescent="0.25">
      <c r="A32557" t="str">
        <f>"6939238"</f>
        <v>6939238</v>
      </c>
      <c r="B32557" t="s">
        <v>10192</v>
      </c>
      <c r="C32557" t="s">
        <v>381</v>
      </c>
      <c r="D32557" s="21" t="s">
        <v>34</v>
      </c>
      <c r="E32557" s="21" t="s">
        <v>71</v>
      </c>
      <c r="F32557">
        <v>1690156</v>
      </c>
      <c r="G32557" t="s">
        <v>7062</v>
      </c>
      <c r="H32557" s="21">
        <v>512</v>
      </c>
    </row>
    <row r="32558" spans="1:8" customFormat="1" x14ac:dyDescent="0.25">
      <c r="A32558" t="str">
        <f>"845960"</f>
        <v>845960</v>
      </c>
      <c r="B32558" t="s">
        <v>28517</v>
      </c>
      <c r="C32558" t="s">
        <v>1914</v>
      </c>
      <c r="D32558" s="21" t="s">
        <v>34</v>
      </c>
      <c r="E32558" s="21" t="s">
        <v>1089</v>
      </c>
      <c r="F32558">
        <v>13840012</v>
      </c>
      <c r="G32558" t="s">
        <v>5143</v>
      </c>
      <c r="H32558" s="21">
        <v>512</v>
      </c>
    </row>
    <row r="32559" spans="1:8" customFormat="1" x14ac:dyDescent="0.25">
      <c r="A32559" t="str">
        <f>"6314620"</f>
        <v>6314620</v>
      </c>
      <c r="B32559" t="s">
        <v>28518</v>
      </c>
      <c r="C32559" t="s">
        <v>263</v>
      </c>
      <c r="D32559" s="21" t="s">
        <v>34</v>
      </c>
      <c r="E32559" s="21" t="s">
        <v>254</v>
      </c>
      <c r="F32559">
        <v>1630015</v>
      </c>
      <c r="G32559" t="s">
        <v>2097</v>
      </c>
      <c r="H32559" s="21">
        <v>512</v>
      </c>
    </row>
    <row r="32560" spans="1:8" customFormat="1" x14ac:dyDescent="0.25">
      <c r="A32560" t="str">
        <f>"229059"</f>
        <v>229059</v>
      </c>
      <c r="B32560" t="s">
        <v>1547</v>
      </c>
      <c r="C32560" t="s">
        <v>156</v>
      </c>
      <c r="D32560" s="21" t="s">
        <v>34</v>
      </c>
      <c r="E32560" s="21" t="s">
        <v>254</v>
      </c>
      <c r="F32560">
        <v>3220052</v>
      </c>
      <c r="G32560" t="s">
        <v>27058</v>
      </c>
      <c r="H32560" s="21">
        <v>512</v>
      </c>
    </row>
    <row r="32561" spans="1:8" customFormat="1" x14ac:dyDescent="0.25">
      <c r="A32561" t="str">
        <f>"3342298"</f>
        <v>3342298</v>
      </c>
      <c r="B32561" t="s">
        <v>19914</v>
      </c>
      <c r="C32561" t="s">
        <v>269</v>
      </c>
      <c r="D32561" s="21" t="s">
        <v>34</v>
      </c>
      <c r="E32561" s="21" t="s">
        <v>71</v>
      </c>
      <c r="F32561">
        <v>10330043</v>
      </c>
      <c r="G32561" t="s">
        <v>1703</v>
      </c>
      <c r="H32561" s="21">
        <v>512</v>
      </c>
    </row>
    <row r="32562" spans="1:8" customFormat="1" x14ac:dyDescent="0.25">
      <c r="A32562" t="str">
        <f>"3340471"</f>
        <v>3340471</v>
      </c>
      <c r="B32562" t="s">
        <v>24305</v>
      </c>
      <c r="C32562" t="s">
        <v>462</v>
      </c>
      <c r="D32562" s="21" t="s">
        <v>34</v>
      </c>
      <c r="E32562" s="21" t="s">
        <v>71</v>
      </c>
      <c r="F32562">
        <v>10330024</v>
      </c>
      <c r="G32562" t="s">
        <v>16744</v>
      </c>
      <c r="H32562" s="21">
        <v>512</v>
      </c>
    </row>
    <row r="32563" spans="1:8" customFormat="1" x14ac:dyDescent="0.25">
      <c r="A32563" t="str">
        <f>"038993"</f>
        <v>038993</v>
      </c>
      <c r="B32563" t="s">
        <v>4572</v>
      </c>
      <c r="C32563" t="s">
        <v>3073</v>
      </c>
      <c r="D32563" s="21" t="s">
        <v>34</v>
      </c>
      <c r="E32563" s="21" t="s">
        <v>254</v>
      </c>
      <c r="F32563">
        <v>1030299</v>
      </c>
      <c r="G32563" t="s">
        <v>2631</v>
      </c>
      <c r="H32563" s="21">
        <v>512</v>
      </c>
    </row>
    <row r="32564" spans="1:8" customFormat="1" x14ac:dyDescent="0.25">
      <c r="A32564" t="str">
        <f>"5970827"</f>
        <v>5970827</v>
      </c>
      <c r="B32564" t="s">
        <v>21789</v>
      </c>
      <c r="C32564" t="s">
        <v>37</v>
      </c>
      <c r="D32564" s="21" t="s">
        <v>34</v>
      </c>
      <c r="E32564" s="21" t="s">
        <v>35</v>
      </c>
      <c r="F32564">
        <v>7590063</v>
      </c>
      <c r="G32564" t="s">
        <v>3426</v>
      </c>
      <c r="H32564" s="21">
        <v>512</v>
      </c>
    </row>
    <row r="32565" spans="1:8" customFormat="1" x14ac:dyDescent="0.25">
      <c r="A32565" t="str">
        <f>"6217280"</f>
        <v>6217280</v>
      </c>
      <c r="B32565" t="s">
        <v>24237</v>
      </c>
      <c r="C32565" t="s">
        <v>40</v>
      </c>
      <c r="D32565" s="21" t="s">
        <v>34</v>
      </c>
      <c r="E32565" s="21" t="s">
        <v>71</v>
      </c>
      <c r="F32565">
        <v>7620062</v>
      </c>
      <c r="G32565" t="s">
        <v>12602</v>
      </c>
      <c r="H32565" s="21">
        <v>512</v>
      </c>
    </row>
    <row r="32566" spans="1:8" customFormat="1" x14ac:dyDescent="0.25">
      <c r="A32566" t="str">
        <f>"6943888"</f>
        <v>6943888</v>
      </c>
      <c r="B32566" t="s">
        <v>28519</v>
      </c>
      <c r="C32566" t="s">
        <v>867</v>
      </c>
      <c r="D32566" s="21" t="s">
        <v>34</v>
      </c>
      <c r="E32566" s="21" t="s">
        <v>35</v>
      </c>
      <c r="F32566">
        <v>1690160</v>
      </c>
      <c r="G32566" t="s">
        <v>4599</v>
      </c>
      <c r="H32566" s="21">
        <v>512</v>
      </c>
    </row>
    <row r="32567" spans="1:8" customFormat="1" x14ac:dyDescent="0.25">
      <c r="A32567" t="str">
        <f>"5019600"</f>
        <v>5019600</v>
      </c>
      <c r="B32567" t="s">
        <v>2218</v>
      </c>
      <c r="C32567" t="s">
        <v>171</v>
      </c>
      <c r="D32567" s="21" t="s">
        <v>34</v>
      </c>
      <c r="E32567" s="21" t="s">
        <v>71</v>
      </c>
      <c r="F32567">
        <v>9500111</v>
      </c>
      <c r="G32567" t="s">
        <v>6591</v>
      </c>
      <c r="H32567" s="21">
        <v>512</v>
      </c>
    </row>
    <row r="32568" spans="1:8" customFormat="1" x14ac:dyDescent="0.25">
      <c r="A32568" t="str">
        <f>"6943173"</f>
        <v>6943173</v>
      </c>
      <c r="B32568" t="s">
        <v>22711</v>
      </c>
      <c r="C32568" t="s">
        <v>3073</v>
      </c>
      <c r="D32568" s="21" t="s">
        <v>34</v>
      </c>
      <c r="E32568" s="21" t="s">
        <v>71</v>
      </c>
      <c r="F32568">
        <v>1690090</v>
      </c>
      <c r="G32568" t="s">
        <v>6286</v>
      </c>
      <c r="H32568" s="21">
        <v>512</v>
      </c>
    </row>
    <row r="32569" spans="1:8" customFormat="1" x14ac:dyDescent="0.25">
      <c r="A32569" t="str">
        <f>"5724931"</f>
        <v>5724931</v>
      </c>
      <c r="B32569" t="s">
        <v>15530</v>
      </c>
      <c r="C32569" t="s">
        <v>3073</v>
      </c>
      <c r="D32569" s="21" t="s">
        <v>34</v>
      </c>
      <c r="E32569" s="21" t="s">
        <v>254</v>
      </c>
      <c r="F32569">
        <v>6570005</v>
      </c>
      <c r="G32569" t="s">
        <v>351</v>
      </c>
      <c r="H32569" s="21">
        <v>512</v>
      </c>
    </row>
    <row r="32570" spans="1:8" customFormat="1" x14ac:dyDescent="0.25">
      <c r="A32570" t="str">
        <f>"4457074"</f>
        <v>4457074</v>
      </c>
      <c r="B32570" t="s">
        <v>22801</v>
      </c>
      <c r="C32570" t="s">
        <v>576</v>
      </c>
      <c r="D32570" s="21" t="s">
        <v>34</v>
      </c>
      <c r="E32570" s="21" t="s">
        <v>35</v>
      </c>
      <c r="F32570">
        <v>12440259</v>
      </c>
      <c r="G32570" t="s">
        <v>833</v>
      </c>
      <c r="H32570" s="21">
        <v>512</v>
      </c>
    </row>
    <row r="32571" spans="1:8" customFormat="1" x14ac:dyDescent="0.25">
      <c r="A32571" t="str">
        <f>"2517587"</f>
        <v>2517587</v>
      </c>
      <c r="B32571" t="s">
        <v>27486</v>
      </c>
      <c r="C32571" t="s">
        <v>249</v>
      </c>
      <c r="D32571" s="21" t="s">
        <v>34</v>
      </c>
      <c r="E32571" s="21" t="s">
        <v>35</v>
      </c>
      <c r="F32571">
        <v>2250002</v>
      </c>
      <c r="G32571" t="s">
        <v>2745</v>
      </c>
      <c r="H32571" s="21">
        <v>512</v>
      </c>
    </row>
    <row r="32572" spans="1:8" customFormat="1" x14ac:dyDescent="0.25">
      <c r="A32572" t="str">
        <f>"8019492"</f>
        <v>8019492</v>
      </c>
      <c r="B32572" t="s">
        <v>3812</v>
      </c>
      <c r="C32572" t="s">
        <v>2276</v>
      </c>
      <c r="D32572" s="21" t="s">
        <v>34</v>
      </c>
      <c r="E32572" s="21" t="s">
        <v>35</v>
      </c>
      <c r="F32572">
        <v>7800008</v>
      </c>
      <c r="G32572" t="s">
        <v>842</v>
      </c>
      <c r="H32572" s="21">
        <v>512</v>
      </c>
    </row>
    <row r="32573" spans="1:8" customFormat="1" x14ac:dyDescent="0.25">
      <c r="A32573" t="str">
        <f>"6023273"</f>
        <v>6023273</v>
      </c>
      <c r="B32573" t="s">
        <v>6309</v>
      </c>
      <c r="C32573" t="s">
        <v>209</v>
      </c>
      <c r="D32573" s="21" t="s">
        <v>34</v>
      </c>
      <c r="E32573" s="21" t="s">
        <v>254</v>
      </c>
      <c r="F32573">
        <v>7600054</v>
      </c>
      <c r="G32573" t="s">
        <v>1352</v>
      </c>
      <c r="H32573" s="21">
        <v>511.92</v>
      </c>
    </row>
    <row r="32574" spans="1:8" customFormat="1" x14ac:dyDescent="0.25">
      <c r="A32574" t="str">
        <f>"3342352"</f>
        <v>3342352</v>
      </c>
      <c r="B32574" t="s">
        <v>23750</v>
      </c>
      <c r="C32574" t="s">
        <v>114</v>
      </c>
      <c r="D32574" s="21" t="s">
        <v>34</v>
      </c>
      <c r="E32574" s="21" t="s">
        <v>254</v>
      </c>
      <c r="F32574">
        <v>10330089</v>
      </c>
      <c r="G32574" t="s">
        <v>3705</v>
      </c>
      <c r="H32574" s="21">
        <v>511.79</v>
      </c>
    </row>
    <row r="32575" spans="1:8" customFormat="1" x14ac:dyDescent="0.25">
      <c r="A32575" t="str">
        <f>"6316448"</f>
        <v>6316448</v>
      </c>
      <c r="B32575" t="s">
        <v>24134</v>
      </c>
      <c r="C32575" t="s">
        <v>65</v>
      </c>
      <c r="D32575" s="21" t="s">
        <v>34</v>
      </c>
      <c r="E32575" s="21" t="s">
        <v>35</v>
      </c>
      <c r="F32575">
        <v>1630145</v>
      </c>
      <c r="G32575" t="s">
        <v>13804</v>
      </c>
      <c r="H32575" s="21">
        <v>511.75</v>
      </c>
    </row>
    <row r="32576" spans="1:8" customFormat="1" x14ac:dyDescent="0.25">
      <c r="A32576" t="str">
        <f>"142744"</f>
        <v>142744</v>
      </c>
      <c r="B32576" t="s">
        <v>8923</v>
      </c>
      <c r="C32576" t="s">
        <v>664</v>
      </c>
      <c r="D32576" s="21" t="s">
        <v>34</v>
      </c>
      <c r="E32576" s="21" t="s">
        <v>254</v>
      </c>
      <c r="F32576">
        <v>9140127</v>
      </c>
      <c r="G32576" t="s">
        <v>6641</v>
      </c>
      <c r="H32576" s="21">
        <v>511.75</v>
      </c>
    </row>
    <row r="32577" spans="1:8" customFormat="1" x14ac:dyDescent="0.25">
      <c r="A32577" t="str">
        <f>"1610656"</f>
        <v>1610656</v>
      </c>
      <c r="B32577" t="s">
        <v>2766</v>
      </c>
      <c r="C32577" t="s">
        <v>40</v>
      </c>
      <c r="D32577" s="21" t="s">
        <v>34</v>
      </c>
      <c r="E32577" s="21" t="s">
        <v>254</v>
      </c>
      <c r="F32577">
        <v>10160197</v>
      </c>
      <c r="G32577" t="s">
        <v>4472</v>
      </c>
      <c r="H32577" s="21">
        <v>511.75</v>
      </c>
    </row>
    <row r="32578" spans="1:8" customFormat="1" x14ac:dyDescent="0.25">
      <c r="A32578" t="str">
        <f>"3319707"</f>
        <v>3319707</v>
      </c>
      <c r="B32578" t="s">
        <v>6120</v>
      </c>
      <c r="C32578" t="s">
        <v>2520</v>
      </c>
      <c r="D32578" s="21" t="s">
        <v>34</v>
      </c>
      <c r="E32578" s="21" t="s">
        <v>254</v>
      </c>
      <c r="F32578">
        <v>10330025</v>
      </c>
      <c r="G32578" t="s">
        <v>4450</v>
      </c>
      <c r="H32578" s="21">
        <v>511.67</v>
      </c>
    </row>
    <row r="32579" spans="1:8" customFormat="1" x14ac:dyDescent="0.25">
      <c r="A32579" t="str">
        <f>"396455"</f>
        <v>396455</v>
      </c>
      <c r="B32579" t="s">
        <v>23583</v>
      </c>
      <c r="C32579" t="s">
        <v>87</v>
      </c>
      <c r="D32579" s="21" t="s">
        <v>34</v>
      </c>
      <c r="E32579" s="21" t="s">
        <v>71</v>
      </c>
      <c r="F32579">
        <v>2250070</v>
      </c>
      <c r="G32579" t="s">
        <v>3923</v>
      </c>
      <c r="H32579" s="21">
        <v>511.67</v>
      </c>
    </row>
    <row r="32580" spans="1:8" customFormat="1" x14ac:dyDescent="0.25">
      <c r="A32580" t="str">
        <f>"6940020"</f>
        <v>6940020</v>
      </c>
      <c r="B32580" t="s">
        <v>21419</v>
      </c>
      <c r="C32580" t="s">
        <v>109</v>
      </c>
      <c r="D32580" s="21" t="s">
        <v>34</v>
      </c>
      <c r="E32580" s="21" t="s">
        <v>35</v>
      </c>
      <c r="F32580">
        <v>1690030</v>
      </c>
      <c r="G32580" t="s">
        <v>432</v>
      </c>
      <c r="H32580" s="21">
        <v>511.67</v>
      </c>
    </row>
    <row r="32581" spans="1:8" customFormat="1" x14ac:dyDescent="0.25">
      <c r="A32581" t="str">
        <f>"7521614"</f>
        <v>7521614</v>
      </c>
      <c r="B32581" t="s">
        <v>2124</v>
      </c>
      <c r="C32581" t="s">
        <v>13738</v>
      </c>
      <c r="D32581" s="21" t="s">
        <v>34</v>
      </c>
      <c r="E32581" s="21" t="s">
        <v>35</v>
      </c>
      <c r="F32581">
        <v>8940121</v>
      </c>
      <c r="G32581" t="s">
        <v>8351</v>
      </c>
      <c r="H32581" s="21">
        <v>511.67</v>
      </c>
    </row>
    <row r="32582" spans="1:8" customFormat="1" x14ac:dyDescent="0.25">
      <c r="A32582" t="str">
        <f>"8312222"</f>
        <v>8312222</v>
      </c>
      <c r="B32582" t="s">
        <v>641</v>
      </c>
      <c r="C32582" t="s">
        <v>415</v>
      </c>
      <c r="D32582" s="21" t="s">
        <v>34</v>
      </c>
      <c r="E32582" s="21" t="s">
        <v>254</v>
      </c>
      <c r="F32582">
        <v>13830083</v>
      </c>
      <c r="G32582" t="s">
        <v>2159</v>
      </c>
      <c r="H32582" s="21">
        <v>511.67</v>
      </c>
    </row>
    <row r="32583" spans="1:8" customFormat="1" x14ac:dyDescent="0.25">
      <c r="A32583" t="str">
        <f>"6315364"</f>
        <v>6315364</v>
      </c>
      <c r="B32583" t="s">
        <v>6088</v>
      </c>
      <c r="C32583" t="s">
        <v>151</v>
      </c>
      <c r="D32583" s="21" t="s">
        <v>34</v>
      </c>
      <c r="E32583" s="21" t="s">
        <v>71</v>
      </c>
      <c r="F32583">
        <v>1630015</v>
      </c>
      <c r="G32583" t="s">
        <v>2097</v>
      </c>
      <c r="H32583" s="21">
        <v>511.67</v>
      </c>
    </row>
    <row r="32584" spans="1:8" customFormat="1" x14ac:dyDescent="0.25">
      <c r="A32584" t="str">
        <f>"6936798"</f>
        <v>6936798</v>
      </c>
      <c r="B32584" t="s">
        <v>20499</v>
      </c>
      <c r="C32584" t="s">
        <v>33</v>
      </c>
      <c r="D32584" s="21" t="s">
        <v>34</v>
      </c>
      <c r="E32584" s="21" t="s">
        <v>35</v>
      </c>
      <c r="F32584">
        <v>1690030</v>
      </c>
      <c r="G32584" t="s">
        <v>432</v>
      </c>
      <c r="H32584" s="21">
        <v>511.67</v>
      </c>
    </row>
    <row r="32585" spans="1:8" customFormat="1" x14ac:dyDescent="0.25">
      <c r="A32585" t="str">
        <f>"4931948"</f>
        <v>4931948</v>
      </c>
      <c r="B32585" t="s">
        <v>4352</v>
      </c>
      <c r="C32585" t="s">
        <v>90</v>
      </c>
      <c r="D32585" s="21" t="s">
        <v>34</v>
      </c>
      <c r="E32585" s="21" t="s">
        <v>35</v>
      </c>
      <c r="F32585">
        <v>12490131</v>
      </c>
      <c r="G32585" t="s">
        <v>12847</v>
      </c>
      <c r="H32585" s="21">
        <v>511.67</v>
      </c>
    </row>
    <row r="32586" spans="1:8" customFormat="1" x14ac:dyDescent="0.25">
      <c r="A32586" t="str">
        <f>"8019455"</f>
        <v>8019455</v>
      </c>
      <c r="B32586" t="s">
        <v>820</v>
      </c>
      <c r="C32586" t="s">
        <v>656</v>
      </c>
      <c r="D32586" s="21" t="s">
        <v>34</v>
      </c>
      <c r="E32586" s="21" t="s">
        <v>35</v>
      </c>
      <c r="F32586">
        <v>7800106</v>
      </c>
      <c r="G32586" t="s">
        <v>2466</v>
      </c>
      <c r="H32586" s="21">
        <v>511.67</v>
      </c>
    </row>
    <row r="32587" spans="1:8" customFormat="1" x14ac:dyDescent="0.25">
      <c r="A32587" t="str">
        <f>"091287"</f>
        <v>091287</v>
      </c>
      <c r="B32587" t="s">
        <v>23599</v>
      </c>
      <c r="C32587" t="s">
        <v>209</v>
      </c>
      <c r="D32587" s="21" t="s">
        <v>34</v>
      </c>
      <c r="E32587" s="21" t="s">
        <v>35</v>
      </c>
      <c r="F32587">
        <v>11090002</v>
      </c>
      <c r="G32587" t="s">
        <v>901</v>
      </c>
      <c r="H32587" s="21">
        <v>511.67</v>
      </c>
    </row>
    <row r="32588" spans="1:8" customFormat="1" x14ac:dyDescent="0.25">
      <c r="A32588" t="str">
        <f>"307145"</f>
        <v>307145</v>
      </c>
      <c r="B32588" t="s">
        <v>22066</v>
      </c>
      <c r="C32588" t="s">
        <v>22067</v>
      </c>
      <c r="D32588" s="21" t="s">
        <v>34</v>
      </c>
      <c r="E32588" s="21" t="s">
        <v>254</v>
      </c>
      <c r="F32588">
        <v>11300024</v>
      </c>
      <c r="G32588" t="s">
        <v>11622</v>
      </c>
      <c r="H32588" s="21">
        <v>511.67</v>
      </c>
    </row>
    <row r="32589" spans="1:8" customFormat="1" x14ac:dyDescent="0.25">
      <c r="A32589" t="str">
        <f>"4457054"</f>
        <v>4457054</v>
      </c>
      <c r="B32589" t="s">
        <v>28520</v>
      </c>
      <c r="C32589" t="s">
        <v>6553</v>
      </c>
      <c r="D32589" s="21" t="s">
        <v>34</v>
      </c>
      <c r="E32589" s="21" t="s">
        <v>35</v>
      </c>
      <c r="F32589">
        <v>12440009</v>
      </c>
      <c r="G32589" t="s">
        <v>1983</v>
      </c>
      <c r="H32589" s="21">
        <v>511.67</v>
      </c>
    </row>
    <row r="32590" spans="1:8" customFormat="1" x14ac:dyDescent="0.25">
      <c r="A32590" t="str">
        <f>"9133722"</f>
        <v>9133722</v>
      </c>
      <c r="B32590" t="s">
        <v>19891</v>
      </c>
      <c r="C32590" t="s">
        <v>3073</v>
      </c>
      <c r="D32590" s="21" t="s">
        <v>34</v>
      </c>
      <c r="E32590" s="21" t="s">
        <v>35</v>
      </c>
      <c r="F32590">
        <v>8910028</v>
      </c>
      <c r="G32590" t="s">
        <v>2634</v>
      </c>
      <c r="H32590" s="21">
        <v>511.67</v>
      </c>
    </row>
    <row r="32591" spans="1:8" customFormat="1" x14ac:dyDescent="0.25">
      <c r="A32591" t="str">
        <f>"6215796"</f>
        <v>6215796</v>
      </c>
      <c r="B32591" t="s">
        <v>2403</v>
      </c>
      <c r="C32591" t="s">
        <v>1605</v>
      </c>
      <c r="D32591" s="21" t="s">
        <v>34</v>
      </c>
      <c r="E32591" s="21" t="s">
        <v>254</v>
      </c>
      <c r="F32591">
        <v>7590271</v>
      </c>
      <c r="G32591" t="s">
        <v>3163</v>
      </c>
      <c r="H32591" s="21">
        <v>511.67</v>
      </c>
    </row>
    <row r="32592" spans="1:8" customFormat="1" x14ac:dyDescent="0.25">
      <c r="A32592" t="str">
        <f>"3325608"</f>
        <v>3325608</v>
      </c>
      <c r="B32592" t="s">
        <v>28521</v>
      </c>
      <c r="C32592" t="s">
        <v>204</v>
      </c>
      <c r="D32592" s="21" t="s">
        <v>34</v>
      </c>
      <c r="E32592" s="21" t="s">
        <v>35</v>
      </c>
      <c r="F32592">
        <v>10330082</v>
      </c>
      <c r="G32592" t="s">
        <v>5564</v>
      </c>
      <c r="H32592" s="21">
        <v>511.67</v>
      </c>
    </row>
    <row r="32593" spans="1:8" customFormat="1" x14ac:dyDescent="0.25">
      <c r="A32593" t="str">
        <f>"5728604"</f>
        <v>5728604</v>
      </c>
      <c r="B32593" t="s">
        <v>18732</v>
      </c>
      <c r="C32593" t="s">
        <v>336</v>
      </c>
      <c r="D32593" s="21" t="s">
        <v>34</v>
      </c>
      <c r="E32593" s="21" t="s">
        <v>1089</v>
      </c>
      <c r="F32593">
        <v>6570132</v>
      </c>
      <c r="G32593" t="s">
        <v>26746</v>
      </c>
      <c r="H32593" s="21">
        <v>511.67</v>
      </c>
    </row>
    <row r="32594" spans="1:8" customFormat="1" x14ac:dyDescent="0.25">
      <c r="A32594" t="str">
        <f>"5325636"</f>
        <v>5325636</v>
      </c>
      <c r="B32594" t="s">
        <v>10193</v>
      </c>
      <c r="C32594" t="s">
        <v>1914</v>
      </c>
      <c r="D32594" s="21" t="s">
        <v>34</v>
      </c>
      <c r="E32594" s="21" t="s">
        <v>254</v>
      </c>
      <c r="F32594">
        <v>12530048</v>
      </c>
      <c r="G32594" t="s">
        <v>7103</v>
      </c>
      <c r="H32594" s="21">
        <v>511.67</v>
      </c>
    </row>
    <row r="32595" spans="1:8" customFormat="1" x14ac:dyDescent="0.25">
      <c r="A32595" t="str">
        <f>"7727253"</f>
        <v>7727253</v>
      </c>
      <c r="B32595" t="s">
        <v>2851</v>
      </c>
      <c r="C32595" t="s">
        <v>40</v>
      </c>
      <c r="D32595" s="21" t="s">
        <v>34</v>
      </c>
      <c r="E32595" s="21" t="s">
        <v>254</v>
      </c>
      <c r="F32595">
        <v>8770911</v>
      </c>
      <c r="G32595" t="s">
        <v>4824</v>
      </c>
      <c r="H32595" s="21">
        <v>511.54</v>
      </c>
    </row>
    <row r="32596" spans="1:8" customFormat="1" x14ac:dyDescent="0.25">
      <c r="A32596" t="str">
        <f>"6947661"</f>
        <v>6947661</v>
      </c>
      <c r="B32596" t="s">
        <v>7886</v>
      </c>
      <c r="C32596" t="s">
        <v>169</v>
      </c>
      <c r="D32596" s="21" t="s">
        <v>34</v>
      </c>
      <c r="E32596" s="21" t="s">
        <v>35</v>
      </c>
      <c r="F32596">
        <v>1690201</v>
      </c>
      <c r="G32596" t="s">
        <v>11274</v>
      </c>
      <c r="H32596" s="21">
        <v>511.5</v>
      </c>
    </row>
    <row r="32597" spans="1:8" customFormat="1" x14ac:dyDescent="0.25">
      <c r="A32597" t="str">
        <f>"5734066"</f>
        <v>5734066</v>
      </c>
      <c r="B32597" t="s">
        <v>6055</v>
      </c>
      <c r="C32597" t="s">
        <v>285</v>
      </c>
      <c r="D32597" s="21" t="s">
        <v>34</v>
      </c>
      <c r="E32597" s="21" t="s">
        <v>254</v>
      </c>
      <c r="F32597">
        <v>6570188</v>
      </c>
      <c r="G32597" t="s">
        <v>12145</v>
      </c>
      <c r="H32597" s="21">
        <v>511.5</v>
      </c>
    </row>
    <row r="32598" spans="1:8" customFormat="1" x14ac:dyDescent="0.25">
      <c r="A32598" t="str">
        <f>"4711004"</f>
        <v>4711004</v>
      </c>
      <c r="B32598" t="s">
        <v>17550</v>
      </c>
      <c r="C32598" t="s">
        <v>156</v>
      </c>
      <c r="D32598" s="21" t="s">
        <v>34</v>
      </c>
      <c r="E32598" s="21" t="s">
        <v>35</v>
      </c>
      <c r="F32598">
        <v>10470004</v>
      </c>
      <c r="G32598" t="s">
        <v>15474</v>
      </c>
      <c r="H32598" s="21">
        <v>511.5</v>
      </c>
    </row>
    <row r="32599" spans="1:8" customFormat="1" x14ac:dyDescent="0.25">
      <c r="A32599" t="str">
        <f>"7642163"</f>
        <v>7642163</v>
      </c>
      <c r="B32599" t="s">
        <v>4834</v>
      </c>
      <c r="C32599" t="s">
        <v>98</v>
      </c>
      <c r="D32599" s="21" t="s">
        <v>34</v>
      </c>
      <c r="E32599" s="21" t="s">
        <v>35</v>
      </c>
      <c r="F32599">
        <v>9760104</v>
      </c>
      <c r="G32599" t="s">
        <v>26795</v>
      </c>
      <c r="H32599" s="21">
        <v>511.5</v>
      </c>
    </row>
    <row r="32600" spans="1:8" customFormat="1" x14ac:dyDescent="0.25">
      <c r="A32600" t="str">
        <f>"6814470"</f>
        <v>6814470</v>
      </c>
      <c r="B32600" t="s">
        <v>23756</v>
      </c>
      <c r="C32600" t="s">
        <v>3905</v>
      </c>
      <c r="D32600" s="21" t="s">
        <v>34</v>
      </c>
      <c r="E32600" s="21" t="s">
        <v>254</v>
      </c>
      <c r="F32600">
        <v>6680102</v>
      </c>
      <c r="G32600" t="s">
        <v>1232</v>
      </c>
      <c r="H32600" s="21">
        <v>511.5</v>
      </c>
    </row>
    <row r="32601" spans="1:8" customFormat="1" x14ac:dyDescent="0.25">
      <c r="A32601" t="str">
        <f>"5982716"</f>
        <v>5982716</v>
      </c>
      <c r="B32601" t="s">
        <v>5875</v>
      </c>
      <c r="C32601" t="s">
        <v>812</v>
      </c>
      <c r="D32601" s="21" t="s">
        <v>34</v>
      </c>
      <c r="E32601" s="21" t="s">
        <v>35</v>
      </c>
      <c r="F32601">
        <v>7590141</v>
      </c>
      <c r="G32601" t="s">
        <v>21305</v>
      </c>
      <c r="H32601" s="21">
        <v>511.5</v>
      </c>
    </row>
    <row r="32602" spans="1:8" customFormat="1" x14ac:dyDescent="0.25">
      <c r="A32602" t="str">
        <f>"7881891"</f>
        <v>7881891</v>
      </c>
      <c r="B32602" t="s">
        <v>19986</v>
      </c>
      <c r="C32602" t="s">
        <v>249</v>
      </c>
      <c r="D32602" s="21" t="s">
        <v>34</v>
      </c>
      <c r="E32602" s="21" t="s">
        <v>71</v>
      </c>
      <c r="F32602">
        <v>8780632</v>
      </c>
      <c r="G32602" t="s">
        <v>1571</v>
      </c>
      <c r="H32602" s="21">
        <v>511.5</v>
      </c>
    </row>
    <row r="32603" spans="1:8" customFormat="1" x14ac:dyDescent="0.25">
      <c r="A32603" t="str">
        <f>"7924563"</f>
        <v>7924563</v>
      </c>
      <c r="B32603" t="s">
        <v>146</v>
      </c>
      <c r="C32603" t="s">
        <v>40</v>
      </c>
      <c r="D32603" s="21" t="s">
        <v>34</v>
      </c>
      <c r="E32603" s="21" t="s">
        <v>71</v>
      </c>
      <c r="F32603">
        <v>10790235</v>
      </c>
      <c r="G32603" t="s">
        <v>413</v>
      </c>
      <c r="H32603" s="21">
        <v>511.5</v>
      </c>
    </row>
    <row r="32604" spans="1:8" customFormat="1" x14ac:dyDescent="0.25">
      <c r="A32604" t="str">
        <f>"4515711"</f>
        <v>4515711</v>
      </c>
      <c r="B32604" t="s">
        <v>9356</v>
      </c>
      <c r="C32604" t="s">
        <v>926</v>
      </c>
      <c r="D32604" s="21" t="s">
        <v>34</v>
      </c>
      <c r="E32604" s="21" t="s">
        <v>71</v>
      </c>
      <c r="F32604">
        <v>4450210</v>
      </c>
      <c r="G32604" t="s">
        <v>5249</v>
      </c>
      <c r="H32604" s="21">
        <v>511.5</v>
      </c>
    </row>
    <row r="32605" spans="1:8" customFormat="1" x14ac:dyDescent="0.25">
      <c r="A32605" t="str">
        <f>"5973159"</f>
        <v>5973159</v>
      </c>
      <c r="B32605" t="s">
        <v>12330</v>
      </c>
      <c r="C32605" t="s">
        <v>121</v>
      </c>
      <c r="D32605" s="21" t="s">
        <v>34</v>
      </c>
      <c r="E32605" s="21" t="s">
        <v>71</v>
      </c>
      <c r="F32605">
        <v>7590061</v>
      </c>
      <c r="G32605" t="s">
        <v>1207</v>
      </c>
      <c r="H32605" s="21">
        <v>511.5</v>
      </c>
    </row>
    <row r="32606" spans="1:8" customFormat="1" x14ac:dyDescent="0.25">
      <c r="A32606" t="str">
        <f>"7523930"</f>
        <v>7523930</v>
      </c>
      <c r="B32606" t="s">
        <v>17772</v>
      </c>
      <c r="C32606" t="s">
        <v>65</v>
      </c>
      <c r="D32606" s="21" t="s">
        <v>34</v>
      </c>
      <c r="E32606" s="21" t="s">
        <v>35</v>
      </c>
      <c r="F32606">
        <v>8751455</v>
      </c>
      <c r="G32606" t="s">
        <v>14280</v>
      </c>
      <c r="H32606" s="21">
        <v>511.5</v>
      </c>
    </row>
    <row r="32607" spans="1:8" customFormat="1" x14ac:dyDescent="0.25">
      <c r="A32607" t="str">
        <f>"5616350"</f>
        <v>5616350</v>
      </c>
      <c r="B32607" t="s">
        <v>24438</v>
      </c>
      <c r="C32607" t="s">
        <v>9526</v>
      </c>
      <c r="D32607" s="21" t="s">
        <v>34</v>
      </c>
      <c r="E32607" s="21" t="s">
        <v>254</v>
      </c>
      <c r="F32607">
        <v>3560046</v>
      </c>
      <c r="G32607" t="s">
        <v>9309</v>
      </c>
      <c r="H32607" s="21">
        <v>511.5</v>
      </c>
    </row>
    <row r="32608" spans="1:8" customFormat="1" x14ac:dyDescent="0.25">
      <c r="A32608" t="str">
        <f>"4217724"</f>
        <v>4217724</v>
      </c>
      <c r="B32608" t="s">
        <v>22090</v>
      </c>
      <c r="C32608" t="s">
        <v>3010</v>
      </c>
      <c r="D32608" s="21" t="s">
        <v>34</v>
      </c>
      <c r="E32608" s="21" t="s">
        <v>71</v>
      </c>
      <c r="F32608">
        <v>1420036</v>
      </c>
      <c r="G32608" t="s">
        <v>17218</v>
      </c>
      <c r="H32608" s="21">
        <v>511.5</v>
      </c>
    </row>
    <row r="32609" spans="1:8" customFormat="1" x14ac:dyDescent="0.25">
      <c r="A32609" t="str">
        <f>"6947261"</f>
        <v>6947261</v>
      </c>
      <c r="B32609" t="s">
        <v>16189</v>
      </c>
      <c r="C32609" t="s">
        <v>486</v>
      </c>
      <c r="D32609" s="21" t="s">
        <v>34</v>
      </c>
      <c r="E32609" s="21" t="s">
        <v>71</v>
      </c>
      <c r="F32609">
        <v>1690167</v>
      </c>
      <c r="G32609" t="s">
        <v>11267</v>
      </c>
      <c r="H32609" s="21">
        <v>511.5</v>
      </c>
    </row>
    <row r="32610" spans="1:8" customFormat="1" x14ac:dyDescent="0.25">
      <c r="A32610" t="str">
        <f>"9244315"</f>
        <v>9244315</v>
      </c>
      <c r="B32610" t="s">
        <v>28522</v>
      </c>
      <c r="C32610" t="s">
        <v>28523</v>
      </c>
      <c r="D32610" s="21" t="s">
        <v>34</v>
      </c>
      <c r="E32610" s="21" t="s">
        <v>35</v>
      </c>
      <c r="F32610">
        <v>8920076</v>
      </c>
      <c r="G32610" t="s">
        <v>2281</v>
      </c>
      <c r="H32610" s="21">
        <v>511.42</v>
      </c>
    </row>
    <row r="32611" spans="1:8" customFormat="1" x14ac:dyDescent="0.25">
      <c r="A32611" t="str">
        <f>"5943325"</f>
        <v>5943325</v>
      </c>
      <c r="B32611" t="s">
        <v>22160</v>
      </c>
      <c r="C32611" t="s">
        <v>119</v>
      </c>
      <c r="D32611" s="21" t="s">
        <v>34</v>
      </c>
      <c r="E32611" s="21" t="s">
        <v>71</v>
      </c>
      <c r="F32611">
        <v>7590354</v>
      </c>
      <c r="G32611" t="s">
        <v>5786</v>
      </c>
      <c r="H32611" s="21">
        <v>511.42</v>
      </c>
    </row>
    <row r="32612" spans="1:8" customFormat="1" x14ac:dyDescent="0.25">
      <c r="A32612" t="str">
        <f>"7722347"</f>
        <v>7722347</v>
      </c>
      <c r="B32612" t="s">
        <v>10737</v>
      </c>
      <c r="C32612" t="s">
        <v>1110</v>
      </c>
      <c r="D32612" s="21" t="s">
        <v>34</v>
      </c>
      <c r="E32612" s="21" t="s">
        <v>71</v>
      </c>
      <c r="F32612">
        <v>8770895</v>
      </c>
      <c r="G32612" t="s">
        <v>4795</v>
      </c>
      <c r="H32612" s="21">
        <v>511.29</v>
      </c>
    </row>
    <row r="32613" spans="1:8" customFormat="1" x14ac:dyDescent="0.25">
      <c r="A32613" t="str">
        <f>"457693"</f>
        <v>457693</v>
      </c>
      <c r="B32613" t="s">
        <v>6315</v>
      </c>
      <c r="C32613" t="s">
        <v>415</v>
      </c>
      <c r="D32613" s="21" t="s">
        <v>34</v>
      </c>
      <c r="E32613" s="21" t="s">
        <v>254</v>
      </c>
      <c r="F32613">
        <v>4450031</v>
      </c>
      <c r="G32613" t="s">
        <v>18263</v>
      </c>
      <c r="H32613" s="21">
        <v>511.25</v>
      </c>
    </row>
    <row r="32614" spans="1:8" customFormat="1" x14ac:dyDescent="0.25">
      <c r="A32614" t="str">
        <f>"4457969"</f>
        <v>4457969</v>
      </c>
      <c r="B32614" t="s">
        <v>21665</v>
      </c>
      <c r="C32614" t="s">
        <v>65</v>
      </c>
      <c r="D32614" s="21" t="s">
        <v>34</v>
      </c>
      <c r="E32614" s="21" t="s">
        <v>71</v>
      </c>
      <c r="F32614">
        <v>12440038</v>
      </c>
      <c r="G32614" t="s">
        <v>2057</v>
      </c>
      <c r="H32614" s="21">
        <v>511.25</v>
      </c>
    </row>
    <row r="32615" spans="1:8" customFormat="1" x14ac:dyDescent="0.25">
      <c r="A32615" t="str">
        <f>"8018183"</f>
        <v>8018183</v>
      </c>
      <c r="B32615" t="s">
        <v>22520</v>
      </c>
      <c r="C32615" t="s">
        <v>1110</v>
      </c>
      <c r="D32615" s="21" t="s">
        <v>34</v>
      </c>
      <c r="E32615" s="21" t="s">
        <v>71</v>
      </c>
      <c r="F32615">
        <v>7800153</v>
      </c>
      <c r="G32615" t="s">
        <v>13728</v>
      </c>
      <c r="H32615" s="21">
        <v>511.17</v>
      </c>
    </row>
    <row r="32616" spans="1:8" customFormat="1" x14ac:dyDescent="0.25">
      <c r="A32616" t="str">
        <f>"0211033"</f>
        <v>0211033</v>
      </c>
      <c r="B32616" t="s">
        <v>7374</v>
      </c>
      <c r="C32616" t="s">
        <v>249</v>
      </c>
      <c r="D32616" s="21" t="s">
        <v>34</v>
      </c>
      <c r="E32616" s="21" t="s">
        <v>71</v>
      </c>
      <c r="F32616">
        <v>7020031</v>
      </c>
      <c r="G32616" t="s">
        <v>828</v>
      </c>
      <c r="H32616" s="21">
        <v>511.17</v>
      </c>
    </row>
    <row r="32617" spans="1:8" customFormat="1" x14ac:dyDescent="0.25">
      <c r="A32617" t="str">
        <f>"7210905"</f>
        <v>7210905</v>
      </c>
      <c r="B32617" t="s">
        <v>108</v>
      </c>
      <c r="C32617" t="s">
        <v>87</v>
      </c>
      <c r="D32617" s="21" t="s">
        <v>34</v>
      </c>
      <c r="E32617" s="21" t="s">
        <v>35</v>
      </c>
      <c r="F32617">
        <v>12720127</v>
      </c>
      <c r="G32617" t="s">
        <v>6528</v>
      </c>
      <c r="H32617" s="21">
        <v>511.17</v>
      </c>
    </row>
    <row r="32618" spans="1:8" customFormat="1" x14ac:dyDescent="0.25">
      <c r="A32618" t="str">
        <f>"2111261"</f>
        <v>2111261</v>
      </c>
      <c r="B32618" t="s">
        <v>3559</v>
      </c>
      <c r="C32618" t="s">
        <v>1708</v>
      </c>
      <c r="D32618" s="21" t="s">
        <v>34</v>
      </c>
      <c r="E32618" s="21" t="s">
        <v>35</v>
      </c>
      <c r="F32618">
        <v>2210007</v>
      </c>
      <c r="G32618" t="s">
        <v>26848</v>
      </c>
      <c r="H32618" s="21">
        <v>511.17</v>
      </c>
    </row>
    <row r="32619" spans="1:8" customFormat="1" x14ac:dyDescent="0.25">
      <c r="A32619" t="str">
        <f>"324317"</f>
        <v>324317</v>
      </c>
      <c r="B32619" t="s">
        <v>12030</v>
      </c>
      <c r="C32619" t="s">
        <v>202</v>
      </c>
      <c r="D32619" s="21" t="s">
        <v>34</v>
      </c>
      <c r="E32619" s="21" t="s">
        <v>71</v>
      </c>
      <c r="F32619">
        <v>11320041</v>
      </c>
      <c r="G32619" t="s">
        <v>4802</v>
      </c>
      <c r="H32619" s="21">
        <v>511.17</v>
      </c>
    </row>
    <row r="32620" spans="1:8" customFormat="1" x14ac:dyDescent="0.25">
      <c r="A32620" t="str">
        <f>"4935043"</f>
        <v>4935043</v>
      </c>
      <c r="B32620" t="s">
        <v>18820</v>
      </c>
      <c r="C32620" t="s">
        <v>462</v>
      </c>
      <c r="D32620" s="21" t="s">
        <v>34</v>
      </c>
      <c r="E32620" s="21" t="s">
        <v>71</v>
      </c>
      <c r="F32620">
        <v>12490030</v>
      </c>
      <c r="G32620" t="s">
        <v>8366</v>
      </c>
      <c r="H32620" s="21">
        <v>511.17</v>
      </c>
    </row>
    <row r="32621" spans="1:8" customFormat="1" x14ac:dyDescent="0.25">
      <c r="A32621" t="str">
        <f>"4510818"</f>
        <v>4510818</v>
      </c>
      <c r="B32621" t="s">
        <v>9256</v>
      </c>
      <c r="C32621" t="s">
        <v>428</v>
      </c>
      <c r="D32621" s="21" t="s">
        <v>34</v>
      </c>
      <c r="E32621" s="21" t="s">
        <v>254</v>
      </c>
      <c r="F32621">
        <v>4450450</v>
      </c>
      <c r="G32621" t="s">
        <v>15140</v>
      </c>
      <c r="H32621" s="21">
        <v>511.17</v>
      </c>
    </row>
    <row r="32622" spans="1:8" customFormat="1" x14ac:dyDescent="0.25">
      <c r="A32622" t="str">
        <f>"7728432"</f>
        <v>7728432</v>
      </c>
      <c r="B32622" t="s">
        <v>1349</v>
      </c>
      <c r="C32622" t="s">
        <v>462</v>
      </c>
      <c r="D32622" s="21" t="s">
        <v>34</v>
      </c>
      <c r="E32622" s="21" t="s">
        <v>71</v>
      </c>
      <c r="F32622">
        <v>8770237</v>
      </c>
      <c r="G32622" t="s">
        <v>128</v>
      </c>
      <c r="H32622" s="21">
        <v>511.17</v>
      </c>
    </row>
    <row r="32623" spans="1:8" customFormat="1" x14ac:dyDescent="0.25">
      <c r="A32623" t="str">
        <f>"707181"</f>
        <v>707181</v>
      </c>
      <c r="B32623" t="s">
        <v>24266</v>
      </c>
      <c r="C32623" t="s">
        <v>412</v>
      </c>
      <c r="D32623" s="21" t="s">
        <v>34</v>
      </c>
      <c r="E32623" s="21" t="s">
        <v>254</v>
      </c>
      <c r="F32623">
        <v>2700094</v>
      </c>
      <c r="G32623" t="s">
        <v>18448</v>
      </c>
      <c r="H32623" s="21">
        <v>511.17</v>
      </c>
    </row>
    <row r="32624" spans="1:8" customFormat="1" x14ac:dyDescent="0.25">
      <c r="A32624" t="str">
        <f>"5012118"</f>
        <v>5012118</v>
      </c>
      <c r="B32624" t="s">
        <v>2010</v>
      </c>
      <c r="C32624" t="s">
        <v>415</v>
      </c>
      <c r="D32624" s="21" t="s">
        <v>34</v>
      </c>
      <c r="E32624" s="21" t="s">
        <v>254</v>
      </c>
      <c r="F32624">
        <v>9500153</v>
      </c>
      <c r="G32624" t="s">
        <v>5779</v>
      </c>
      <c r="H32624" s="21">
        <v>511.17</v>
      </c>
    </row>
    <row r="32625" spans="1:8" customFormat="1" x14ac:dyDescent="0.25">
      <c r="A32625" t="str">
        <f>"4455156"</f>
        <v>4455156</v>
      </c>
      <c r="B32625" t="s">
        <v>2645</v>
      </c>
      <c r="C32625" t="s">
        <v>664</v>
      </c>
      <c r="D32625" s="21" t="s">
        <v>34</v>
      </c>
      <c r="E32625" s="21" t="s">
        <v>35</v>
      </c>
      <c r="F32625">
        <v>12440116</v>
      </c>
      <c r="G32625" t="s">
        <v>26673</v>
      </c>
      <c r="H32625" s="21">
        <v>511.17</v>
      </c>
    </row>
    <row r="32626" spans="1:8" customFormat="1" x14ac:dyDescent="0.25">
      <c r="A32626" t="str">
        <f>"7220169"</f>
        <v>7220169</v>
      </c>
      <c r="B32626" t="s">
        <v>20897</v>
      </c>
      <c r="C32626" t="s">
        <v>206</v>
      </c>
      <c r="D32626" s="21" t="s">
        <v>34</v>
      </c>
      <c r="E32626" s="21" t="s">
        <v>35</v>
      </c>
      <c r="F32626">
        <v>12720108</v>
      </c>
      <c r="G32626" t="s">
        <v>27287</v>
      </c>
      <c r="H32626" s="21">
        <v>511.17</v>
      </c>
    </row>
    <row r="32627" spans="1:8" customFormat="1" x14ac:dyDescent="0.25">
      <c r="A32627" t="str">
        <f>"7878832"</f>
        <v>7878832</v>
      </c>
      <c r="B32627" t="s">
        <v>2686</v>
      </c>
      <c r="C32627" t="s">
        <v>87</v>
      </c>
      <c r="D32627" s="21" t="s">
        <v>34</v>
      </c>
      <c r="E32627" s="21" t="s">
        <v>35</v>
      </c>
      <c r="F32627">
        <v>8780678</v>
      </c>
      <c r="G32627" t="s">
        <v>8556</v>
      </c>
      <c r="H32627" s="21">
        <v>511.17</v>
      </c>
    </row>
    <row r="32628" spans="1:8" customFormat="1" x14ac:dyDescent="0.25">
      <c r="A32628" t="str">
        <f>"4425179"</f>
        <v>4425179</v>
      </c>
      <c r="B32628" t="s">
        <v>1048</v>
      </c>
      <c r="C32628" t="s">
        <v>151</v>
      </c>
      <c r="D32628" s="21" t="s">
        <v>34</v>
      </c>
      <c r="E32628" s="21" t="s">
        <v>254</v>
      </c>
      <c r="F32628">
        <v>12440029</v>
      </c>
      <c r="G32628" t="s">
        <v>567</v>
      </c>
      <c r="H32628" s="21">
        <v>511.17</v>
      </c>
    </row>
    <row r="32629" spans="1:8" customFormat="1" x14ac:dyDescent="0.25">
      <c r="A32629" t="str">
        <f>"0615162"</f>
        <v>0615162</v>
      </c>
      <c r="B32629" t="s">
        <v>9870</v>
      </c>
      <c r="C32629" t="s">
        <v>1631</v>
      </c>
      <c r="D32629" s="21" t="s">
        <v>34</v>
      </c>
      <c r="E32629" s="21" t="s">
        <v>35</v>
      </c>
      <c r="F32629">
        <v>13060063</v>
      </c>
      <c r="G32629" t="s">
        <v>2001</v>
      </c>
      <c r="H32629" s="21">
        <v>511.17</v>
      </c>
    </row>
    <row r="32630" spans="1:8" customFormat="1" x14ac:dyDescent="0.25">
      <c r="A32630" t="str">
        <f>"3831025"</f>
        <v>3831025</v>
      </c>
      <c r="B32630" t="s">
        <v>24097</v>
      </c>
      <c r="C32630" t="s">
        <v>187</v>
      </c>
      <c r="D32630" s="21" t="s">
        <v>34</v>
      </c>
      <c r="E32630" s="21" t="s">
        <v>35</v>
      </c>
      <c r="F32630">
        <v>1380173</v>
      </c>
      <c r="G32630" t="s">
        <v>9553</v>
      </c>
      <c r="H32630" s="21">
        <v>511.17</v>
      </c>
    </row>
    <row r="32631" spans="1:8" customFormat="1" x14ac:dyDescent="0.25">
      <c r="A32631" t="str">
        <f>"9250566"</f>
        <v>9250566</v>
      </c>
      <c r="B32631" t="s">
        <v>14669</v>
      </c>
      <c r="C32631" t="s">
        <v>750</v>
      </c>
      <c r="D32631" s="21" t="s">
        <v>34</v>
      </c>
      <c r="E32631" s="21" t="s">
        <v>35</v>
      </c>
      <c r="F32631">
        <v>3350021</v>
      </c>
      <c r="G32631" t="s">
        <v>1758</v>
      </c>
      <c r="H32631" s="21">
        <v>511.17</v>
      </c>
    </row>
    <row r="32632" spans="1:8" customFormat="1" x14ac:dyDescent="0.25">
      <c r="A32632" t="str">
        <f>"4454453"</f>
        <v>4454453</v>
      </c>
      <c r="B32632" t="s">
        <v>4516</v>
      </c>
      <c r="C32632" t="s">
        <v>82</v>
      </c>
      <c r="D32632" s="21" t="s">
        <v>34</v>
      </c>
      <c r="E32632" s="21" t="s">
        <v>35</v>
      </c>
      <c r="F32632">
        <v>12440176</v>
      </c>
      <c r="G32632" t="s">
        <v>1020</v>
      </c>
      <c r="H32632" s="21">
        <v>511</v>
      </c>
    </row>
    <row r="32633" spans="1:8" customFormat="1" x14ac:dyDescent="0.25">
      <c r="A32633" t="str">
        <f>"6110954"</f>
        <v>6110954</v>
      </c>
      <c r="B32633" t="s">
        <v>5708</v>
      </c>
      <c r="C32633" t="s">
        <v>202</v>
      </c>
      <c r="D32633" s="21" t="s">
        <v>34</v>
      </c>
      <c r="E32633" s="21" t="s">
        <v>71</v>
      </c>
      <c r="F32633">
        <v>9610097</v>
      </c>
      <c r="G32633" t="s">
        <v>9432</v>
      </c>
      <c r="H32633" s="21">
        <v>511</v>
      </c>
    </row>
    <row r="32634" spans="1:8" customFormat="1" x14ac:dyDescent="0.25">
      <c r="A32634" t="str">
        <f>"5114173"</f>
        <v>5114173</v>
      </c>
      <c r="B32634" t="s">
        <v>28524</v>
      </c>
      <c r="C32634" t="s">
        <v>3217</v>
      </c>
      <c r="D32634" s="21" t="s">
        <v>34</v>
      </c>
      <c r="E32634" s="21" t="s">
        <v>35</v>
      </c>
      <c r="F32634">
        <v>6510009</v>
      </c>
      <c r="G32634" t="s">
        <v>26950</v>
      </c>
      <c r="H32634" s="21">
        <v>511</v>
      </c>
    </row>
    <row r="32635" spans="1:8" customFormat="1" x14ac:dyDescent="0.25">
      <c r="A32635" t="str">
        <f>"043260"</f>
        <v>043260</v>
      </c>
      <c r="B32635" t="s">
        <v>1264</v>
      </c>
      <c r="C32635" t="s">
        <v>33</v>
      </c>
      <c r="D32635" s="21" t="s">
        <v>34</v>
      </c>
      <c r="E32635" s="21" t="s">
        <v>35</v>
      </c>
      <c r="F32635">
        <v>13040030</v>
      </c>
      <c r="G32635" t="s">
        <v>1903</v>
      </c>
      <c r="H32635" s="21">
        <v>511</v>
      </c>
    </row>
    <row r="32636" spans="1:8" customFormat="1" x14ac:dyDescent="0.25">
      <c r="A32636" t="str">
        <f>"867012"</f>
        <v>867012</v>
      </c>
      <c r="B32636" t="s">
        <v>5651</v>
      </c>
      <c r="C32636" t="s">
        <v>412</v>
      </c>
      <c r="D32636" s="21" t="s">
        <v>34</v>
      </c>
      <c r="E32636" s="21" t="s">
        <v>254</v>
      </c>
      <c r="F32636">
        <v>10790058</v>
      </c>
      <c r="G32636" t="s">
        <v>6512</v>
      </c>
      <c r="H32636" s="21">
        <v>511</v>
      </c>
    </row>
    <row r="32637" spans="1:8" customFormat="1" x14ac:dyDescent="0.25">
      <c r="A32637" t="str">
        <f>"7913155"</f>
        <v>7913155</v>
      </c>
      <c r="B32637" t="s">
        <v>146</v>
      </c>
      <c r="C32637" t="s">
        <v>269</v>
      </c>
      <c r="D32637" s="21" t="s">
        <v>34</v>
      </c>
      <c r="E32637" s="21" t="s">
        <v>71</v>
      </c>
      <c r="F32637">
        <v>10790009</v>
      </c>
      <c r="G32637" t="s">
        <v>1155</v>
      </c>
      <c r="H32637" s="21">
        <v>511</v>
      </c>
    </row>
    <row r="32638" spans="1:8" customFormat="1" x14ac:dyDescent="0.25">
      <c r="A32638" t="str">
        <f>"2720795"</f>
        <v>2720795</v>
      </c>
      <c r="B32638" t="s">
        <v>14734</v>
      </c>
      <c r="C32638" t="s">
        <v>82</v>
      </c>
      <c r="D32638" s="21" t="s">
        <v>34</v>
      </c>
      <c r="E32638" s="21" t="s">
        <v>35</v>
      </c>
      <c r="F32638">
        <v>9270148</v>
      </c>
      <c r="G32638" t="s">
        <v>8058</v>
      </c>
      <c r="H32638" s="21">
        <v>511</v>
      </c>
    </row>
    <row r="32639" spans="1:8" customFormat="1" x14ac:dyDescent="0.25">
      <c r="A32639" t="str">
        <f>"3729444"</f>
        <v>3729444</v>
      </c>
      <c r="B32639" t="s">
        <v>28525</v>
      </c>
      <c r="C32639" t="s">
        <v>2479</v>
      </c>
      <c r="D32639" s="21" t="s">
        <v>34</v>
      </c>
      <c r="E32639" s="21" t="s">
        <v>254</v>
      </c>
      <c r="F32639">
        <v>4370465</v>
      </c>
      <c r="G32639" t="s">
        <v>26922</v>
      </c>
      <c r="H32639" s="21">
        <v>511</v>
      </c>
    </row>
    <row r="32640" spans="1:8" customFormat="1" x14ac:dyDescent="0.25">
      <c r="A32640" t="str">
        <f>"535883"</f>
        <v>535883</v>
      </c>
      <c r="B32640" t="s">
        <v>24480</v>
      </c>
      <c r="C32640" t="s">
        <v>2479</v>
      </c>
      <c r="D32640" s="21" t="s">
        <v>34</v>
      </c>
      <c r="E32640" s="21" t="s">
        <v>1089</v>
      </c>
      <c r="F32640">
        <v>12530116</v>
      </c>
      <c r="G32640" t="s">
        <v>7881</v>
      </c>
      <c r="H32640" s="21">
        <v>511</v>
      </c>
    </row>
    <row r="32641" spans="1:8" customFormat="1" x14ac:dyDescent="0.25">
      <c r="A32641" t="str">
        <f>"0812640"</f>
        <v>0812640</v>
      </c>
      <c r="B32641" t="s">
        <v>28526</v>
      </c>
      <c r="C32641" t="s">
        <v>65</v>
      </c>
      <c r="D32641" s="21" t="s">
        <v>34</v>
      </c>
      <c r="E32641" s="21" t="s">
        <v>35</v>
      </c>
      <c r="F32641">
        <v>6080059</v>
      </c>
      <c r="G32641" t="s">
        <v>4242</v>
      </c>
      <c r="H32641" s="21">
        <v>511</v>
      </c>
    </row>
    <row r="32642" spans="1:8" customFormat="1" x14ac:dyDescent="0.25">
      <c r="A32642" t="str">
        <f>"3014021"</f>
        <v>3014021</v>
      </c>
      <c r="B32642" t="s">
        <v>21570</v>
      </c>
      <c r="C32642" t="s">
        <v>17267</v>
      </c>
      <c r="D32642" s="21" t="s">
        <v>34</v>
      </c>
      <c r="E32642" s="21" t="s">
        <v>71</v>
      </c>
      <c r="F32642">
        <v>11300032</v>
      </c>
      <c r="G32642" t="s">
        <v>17309</v>
      </c>
      <c r="H32642" s="21">
        <v>511</v>
      </c>
    </row>
    <row r="32643" spans="1:8" customFormat="1" x14ac:dyDescent="0.25">
      <c r="A32643" t="str">
        <f>"9142764"</f>
        <v>9142764</v>
      </c>
      <c r="B32643" t="s">
        <v>22715</v>
      </c>
      <c r="C32643" t="s">
        <v>119</v>
      </c>
      <c r="D32643" s="21" t="s">
        <v>34</v>
      </c>
      <c r="E32643" s="21" t="s">
        <v>71</v>
      </c>
      <c r="F32643">
        <v>8910578</v>
      </c>
      <c r="G32643" t="s">
        <v>5776</v>
      </c>
      <c r="H32643" s="21">
        <v>511</v>
      </c>
    </row>
    <row r="32644" spans="1:8" customFormat="1" x14ac:dyDescent="0.25">
      <c r="A32644" t="str">
        <f>"639837"</f>
        <v>639837</v>
      </c>
      <c r="B32644" t="s">
        <v>15477</v>
      </c>
      <c r="C32644" t="s">
        <v>156</v>
      </c>
      <c r="D32644" s="21" t="s">
        <v>34</v>
      </c>
      <c r="E32644" s="21" t="s">
        <v>254</v>
      </c>
      <c r="F32644">
        <v>1630317</v>
      </c>
      <c r="G32644" t="s">
        <v>7523</v>
      </c>
      <c r="H32644" s="21">
        <v>511</v>
      </c>
    </row>
    <row r="32645" spans="1:8" customFormat="1" x14ac:dyDescent="0.25">
      <c r="A32645" t="str">
        <f>"1321564"</f>
        <v>1321564</v>
      </c>
      <c r="B32645" t="s">
        <v>28527</v>
      </c>
      <c r="C32645" t="s">
        <v>62</v>
      </c>
      <c r="D32645" s="21" t="s">
        <v>34</v>
      </c>
      <c r="E32645" s="21" t="s">
        <v>35</v>
      </c>
      <c r="F32645">
        <v>13130166</v>
      </c>
      <c r="G32645" t="s">
        <v>2539</v>
      </c>
      <c r="H32645" s="21">
        <v>511</v>
      </c>
    </row>
    <row r="32646" spans="1:8" customFormat="1" x14ac:dyDescent="0.25">
      <c r="A32646" t="str">
        <f>"0115218"</f>
        <v>0115218</v>
      </c>
      <c r="B32646" t="s">
        <v>3294</v>
      </c>
      <c r="C32646" t="s">
        <v>822</v>
      </c>
      <c r="D32646" s="21" t="s">
        <v>34</v>
      </c>
      <c r="E32646" s="21" t="s">
        <v>71</v>
      </c>
      <c r="F32646">
        <v>1010071</v>
      </c>
      <c r="G32646" t="s">
        <v>8104</v>
      </c>
      <c r="H32646" s="21">
        <v>511</v>
      </c>
    </row>
    <row r="32647" spans="1:8" customFormat="1" x14ac:dyDescent="0.25">
      <c r="A32647" t="str">
        <f>"242441"</f>
        <v>242441</v>
      </c>
      <c r="B32647" t="s">
        <v>4840</v>
      </c>
      <c r="C32647" t="s">
        <v>720</v>
      </c>
      <c r="D32647" s="21" t="s">
        <v>34</v>
      </c>
      <c r="E32647" s="21" t="s">
        <v>6185</v>
      </c>
      <c r="F32647">
        <v>10240026</v>
      </c>
      <c r="G32647" t="s">
        <v>11667</v>
      </c>
      <c r="H32647" s="21">
        <v>511</v>
      </c>
    </row>
    <row r="32648" spans="1:8" customFormat="1" x14ac:dyDescent="0.25">
      <c r="A32648" t="str">
        <f>"7729592"</f>
        <v>7729592</v>
      </c>
      <c r="B32648" t="s">
        <v>11838</v>
      </c>
      <c r="C32648" t="s">
        <v>209</v>
      </c>
      <c r="D32648" s="21" t="s">
        <v>34</v>
      </c>
      <c r="E32648" s="21" t="s">
        <v>35</v>
      </c>
      <c r="F32648">
        <v>8771236</v>
      </c>
      <c r="G32648" t="s">
        <v>386</v>
      </c>
      <c r="H32648" s="21">
        <v>511</v>
      </c>
    </row>
    <row r="32649" spans="1:8" customFormat="1" x14ac:dyDescent="0.25">
      <c r="A32649" t="str">
        <f>"6948031"</f>
        <v>6948031</v>
      </c>
      <c r="B32649" t="s">
        <v>23395</v>
      </c>
      <c r="C32649" t="s">
        <v>275</v>
      </c>
      <c r="D32649" s="21" t="s">
        <v>34</v>
      </c>
      <c r="E32649" s="21" t="s">
        <v>35</v>
      </c>
      <c r="F32649">
        <v>1690167</v>
      </c>
      <c r="G32649" t="s">
        <v>11267</v>
      </c>
      <c r="H32649" s="21">
        <v>511</v>
      </c>
    </row>
    <row r="32650" spans="1:8" customFormat="1" x14ac:dyDescent="0.25">
      <c r="A32650" t="str">
        <f>"3834207"</f>
        <v>3834207</v>
      </c>
      <c r="B32650" t="s">
        <v>2964</v>
      </c>
      <c r="C32650" t="s">
        <v>28528</v>
      </c>
      <c r="D32650" s="21" t="s">
        <v>34</v>
      </c>
      <c r="E32650" s="21" t="s">
        <v>35</v>
      </c>
      <c r="F32650">
        <v>1380181</v>
      </c>
      <c r="G32650" t="s">
        <v>11117</v>
      </c>
      <c r="H32650" s="21">
        <v>511</v>
      </c>
    </row>
    <row r="32651" spans="1:8" customFormat="1" x14ac:dyDescent="0.25">
      <c r="A32651" t="str">
        <f>"9249056"</f>
        <v>9249056</v>
      </c>
      <c r="B32651" t="s">
        <v>15271</v>
      </c>
      <c r="C32651" t="s">
        <v>239</v>
      </c>
      <c r="D32651" s="21" t="s">
        <v>34</v>
      </c>
      <c r="E32651" s="21" t="s">
        <v>71</v>
      </c>
      <c r="F32651">
        <v>8921182</v>
      </c>
      <c r="G32651" t="s">
        <v>26954</v>
      </c>
      <c r="H32651" s="21">
        <v>511</v>
      </c>
    </row>
    <row r="32652" spans="1:8" customFormat="1" x14ac:dyDescent="0.25">
      <c r="A32652" t="str">
        <f>"4923472"</f>
        <v>4923472</v>
      </c>
      <c r="B32652" t="s">
        <v>28529</v>
      </c>
      <c r="C32652" t="s">
        <v>209</v>
      </c>
      <c r="D32652" s="21" t="s">
        <v>34</v>
      </c>
      <c r="E32652" s="21" t="s">
        <v>71</v>
      </c>
      <c r="F32652">
        <v>12490021</v>
      </c>
      <c r="G32652" t="s">
        <v>4592</v>
      </c>
      <c r="H32652" s="21">
        <v>511</v>
      </c>
    </row>
    <row r="32653" spans="1:8" customFormat="1" x14ac:dyDescent="0.25">
      <c r="A32653" t="str">
        <f>"5611903"</f>
        <v>5611903</v>
      </c>
      <c r="B32653" t="s">
        <v>11041</v>
      </c>
      <c r="C32653" t="s">
        <v>611</v>
      </c>
      <c r="D32653" s="21" t="s">
        <v>34</v>
      </c>
      <c r="E32653" s="21" t="s">
        <v>35</v>
      </c>
      <c r="F32653">
        <v>3560052</v>
      </c>
      <c r="G32653" t="s">
        <v>18504</v>
      </c>
      <c r="H32653" s="21">
        <v>511</v>
      </c>
    </row>
    <row r="32654" spans="1:8" customFormat="1" x14ac:dyDescent="0.25">
      <c r="A32654" t="str">
        <f>"4456225"</f>
        <v>4456225</v>
      </c>
      <c r="B32654" t="s">
        <v>28530</v>
      </c>
      <c r="C32654" t="s">
        <v>288</v>
      </c>
      <c r="D32654" s="21" t="s">
        <v>34</v>
      </c>
      <c r="E32654" s="21" t="s">
        <v>35</v>
      </c>
      <c r="F32654">
        <v>12440134</v>
      </c>
      <c r="G32654" t="s">
        <v>10580</v>
      </c>
      <c r="H32654" s="21">
        <v>511</v>
      </c>
    </row>
    <row r="32655" spans="1:8" customFormat="1" x14ac:dyDescent="0.25">
      <c r="A32655" t="str">
        <f>"1710354"</f>
        <v>1710354</v>
      </c>
      <c r="B32655" t="s">
        <v>28531</v>
      </c>
      <c r="C32655" t="s">
        <v>598</v>
      </c>
      <c r="D32655" s="21" t="s">
        <v>34</v>
      </c>
      <c r="E32655" s="21" t="s">
        <v>254</v>
      </c>
      <c r="F32655">
        <v>10160085</v>
      </c>
      <c r="G32655" t="s">
        <v>10818</v>
      </c>
      <c r="H32655" s="21">
        <v>511</v>
      </c>
    </row>
    <row r="32656" spans="1:8" customFormat="1" x14ac:dyDescent="0.25">
      <c r="A32656" t="str">
        <f>"7923592"</f>
        <v>7923592</v>
      </c>
      <c r="B32656" t="s">
        <v>22175</v>
      </c>
      <c r="C32656" t="s">
        <v>486</v>
      </c>
      <c r="D32656" s="21" t="s">
        <v>34</v>
      </c>
      <c r="E32656" s="21" t="s">
        <v>35</v>
      </c>
      <c r="F32656">
        <v>10790042</v>
      </c>
      <c r="G32656" t="s">
        <v>2092</v>
      </c>
      <c r="H32656" s="21">
        <v>511</v>
      </c>
    </row>
    <row r="32657" spans="1:8" customFormat="1" x14ac:dyDescent="0.25">
      <c r="A32657" t="str">
        <f>"101151"</f>
        <v>101151</v>
      </c>
      <c r="B32657" t="s">
        <v>1103</v>
      </c>
      <c r="C32657" t="s">
        <v>119</v>
      </c>
      <c r="D32657" s="21" t="s">
        <v>34</v>
      </c>
      <c r="E32657" s="21" t="s">
        <v>71</v>
      </c>
      <c r="F32657">
        <v>6100046</v>
      </c>
      <c r="G32657" t="s">
        <v>12853</v>
      </c>
      <c r="H32657" s="21">
        <v>511</v>
      </c>
    </row>
    <row r="32658" spans="1:8" customFormat="1" x14ac:dyDescent="0.25">
      <c r="A32658" t="str">
        <f>"477008"</f>
        <v>477008</v>
      </c>
      <c r="B32658" t="s">
        <v>946</v>
      </c>
      <c r="C32658" t="s">
        <v>60</v>
      </c>
      <c r="D32658" s="21" t="s">
        <v>34</v>
      </c>
      <c r="E32658" s="21" t="s">
        <v>35</v>
      </c>
      <c r="F32658">
        <v>7590332</v>
      </c>
      <c r="G32658" t="s">
        <v>6094</v>
      </c>
      <c r="H32658" s="21">
        <v>510.92</v>
      </c>
    </row>
    <row r="32659" spans="1:8" customFormat="1" x14ac:dyDescent="0.25">
      <c r="A32659" t="str">
        <f>"459721"</f>
        <v>459721</v>
      </c>
      <c r="B32659" t="s">
        <v>15276</v>
      </c>
      <c r="C32659" t="s">
        <v>2907</v>
      </c>
      <c r="D32659" s="21" t="s">
        <v>34</v>
      </c>
      <c r="E32659" s="21" t="s">
        <v>254</v>
      </c>
      <c r="F32659">
        <v>4450285</v>
      </c>
      <c r="G32659" t="s">
        <v>7118</v>
      </c>
      <c r="H32659" s="21">
        <v>510.92</v>
      </c>
    </row>
    <row r="32660" spans="1:8" customFormat="1" x14ac:dyDescent="0.25">
      <c r="A32660" t="str">
        <f>"2814998"</f>
        <v>2814998</v>
      </c>
      <c r="B32660" t="s">
        <v>6885</v>
      </c>
      <c r="C32660" t="s">
        <v>87</v>
      </c>
      <c r="D32660" s="21" t="s">
        <v>34</v>
      </c>
      <c r="E32660" s="21" t="s">
        <v>35</v>
      </c>
      <c r="F32660">
        <v>4280529</v>
      </c>
      <c r="G32660" t="s">
        <v>2970</v>
      </c>
      <c r="H32660" s="21">
        <v>510.79</v>
      </c>
    </row>
    <row r="32661" spans="1:8" customFormat="1" x14ac:dyDescent="0.25">
      <c r="A32661" t="str">
        <f>"5432815"</f>
        <v>5432815</v>
      </c>
      <c r="B32661" t="s">
        <v>28532</v>
      </c>
      <c r="C32661" t="s">
        <v>11745</v>
      </c>
      <c r="D32661" s="21" t="s">
        <v>34</v>
      </c>
      <c r="E32661" s="21" t="s">
        <v>35</v>
      </c>
      <c r="F32661">
        <v>6540198</v>
      </c>
      <c r="G32661" t="s">
        <v>9045</v>
      </c>
      <c r="H32661" s="21">
        <v>510.75</v>
      </c>
    </row>
    <row r="32662" spans="1:8" customFormat="1" x14ac:dyDescent="0.25">
      <c r="A32662" t="str">
        <f>"4527146"</f>
        <v>4527146</v>
      </c>
      <c r="B32662" t="s">
        <v>22245</v>
      </c>
      <c r="C32662" t="s">
        <v>114</v>
      </c>
      <c r="D32662" s="21" t="s">
        <v>34</v>
      </c>
      <c r="E32662" s="21" t="s">
        <v>71</v>
      </c>
      <c r="F32662">
        <v>4450589</v>
      </c>
      <c r="G32662" t="s">
        <v>19465</v>
      </c>
      <c r="H32662" s="21">
        <v>510.75</v>
      </c>
    </row>
    <row r="32663" spans="1:8" customFormat="1" x14ac:dyDescent="0.25">
      <c r="A32663" t="str">
        <f>"9224828"</f>
        <v>9224828</v>
      </c>
      <c r="B32663" t="s">
        <v>13338</v>
      </c>
      <c r="C32663" t="s">
        <v>249</v>
      </c>
      <c r="D32663" s="21" t="s">
        <v>34</v>
      </c>
      <c r="E32663" s="21" t="s">
        <v>71</v>
      </c>
      <c r="F32663">
        <v>8920503</v>
      </c>
      <c r="G32663" t="s">
        <v>9047</v>
      </c>
      <c r="H32663" s="21">
        <v>510.67</v>
      </c>
    </row>
    <row r="32664" spans="1:8" customFormat="1" x14ac:dyDescent="0.25">
      <c r="A32664" t="str">
        <f>"3713155"</f>
        <v>3713155</v>
      </c>
      <c r="B32664" t="s">
        <v>28533</v>
      </c>
      <c r="C32664" t="s">
        <v>664</v>
      </c>
      <c r="D32664" s="21" t="s">
        <v>34</v>
      </c>
      <c r="E32664" s="21" t="s">
        <v>35</v>
      </c>
      <c r="F32664">
        <v>4370698</v>
      </c>
      <c r="G32664" t="s">
        <v>12547</v>
      </c>
      <c r="H32664" s="21">
        <v>510.67</v>
      </c>
    </row>
    <row r="32665" spans="1:8" customFormat="1" x14ac:dyDescent="0.25">
      <c r="A32665" t="str">
        <f>"5974876"</f>
        <v>5974876</v>
      </c>
      <c r="B32665" t="s">
        <v>10503</v>
      </c>
      <c r="C32665" t="s">
        <v>144</v>
      </c>
      <c r="D32665" s="21" t="s">
        <v>34</v>
      </c>
      <c r="E32665" s="21" t="s">
        <v>35</v>
      </c>
      <c r="F32665">
        <v>7590065</v>
      </c>
      <c r="G32665" t="s">
        <v>1598</v>
      </c>
      <c r="H32665" s="21">
        <v>510.67</v>
      </c>
    </row>
    <row r="32666" spans="1:8" customFormat="1" x14ac:dyDescent="0.25">
      <c r="A32666" t="str">
        <f>"5944668"</f>
        <v>5944668</v>
      </c>
      <c r="B32666" t="s">
        <v>5894</v>
      </c>
      <c r="C32666" t="s">
        <v>547</v>
      </c>
      <c r="D32666" s="21" t="s">
        <v>34</v>
      </c>
      <c r="E32666" s="21" t="s">
        <v>1089</v>
      </c>
      <c r="F32666">
        <v>7590331</v>
      </c>
      <c r="G32666" t="s">
        <v>4882</v>
      </c>
      <c r="H32666" s="21">
        <v>510.67</v>
      </c>
    </row>
    <row r="32667" spans="1:8" customFormat="1" x14ac:dyDescent="0.25">
      <c r="A32667" t="str">
        <f>"3729365"</f>
        <v>3729365</v>
      </c>
      <c r="B32667" t="s">
        <v>13294</v>
      </c>
      <c r="C32667" t="s">
        <v>139</v>
      </c>
      <c r="D32667" s="21" t="s">
        <v>34</v>
      </c>
      <c r="E32667" s="21" t="s">
        <v>71</v>
      </c>
      <c r="F32667">
        <v>4370681</v>
      </c>
      <c r="G32667" t="s">
        <v>4508</v>
      </c>
      <c r="H32667" s="21">
        <v>510.67</v>
      </c>
    </row>
    <row r="32668" spans="1:8" customFormat="1" x14ac:dyDescent="0.25">
      <c r="A32668" t="str">
        <f>"8818391"</f>
        <v>8818391</v>
      </c>
      <c r="B32668" t="s">
        <v>23955</v>
      </c>
      <c r="C32668" t="s">
        <v>249</v>
      </c>
      <c r="D32668" s="21" t="s">
        <v>34</v>
      </c>
      <c r="E32668" s="21" t="s">
        <v>35</v>
      </c>
      <c r="F32668">
        <v>6880002</v>
      </c>
      <c r="G32668" t="s">
        <v>501</v>
      </c>
      <c r="H32668" s="21">
        <v>510.67</v>
      </c>
    </row>
    <row r="32669" spans="1:8" customFormat="1" x14ac:dyDescent="0.25">
      <c r="A32669" t="str">
        <f>"3529554"</f>
        <v>3529554</v>
      </c>
      <c r="B32669" t="s">
        <v>16611</v>
      </c>
      <c r="C32669" t="s">
        <v>139</v>
      </c>
      <c r="D32669" s="21" t="s">
        <v>34</v>
      </c>
      <c r="E32669" s="21" t="s">
        <v>35</v>
      </c>
      <c r="F32669">
        <v>3350060</v>
      </c>
      <c r="G32669" t="s">
        <v>38</v>
      </c>
      <c r="H32669" s="21">
        <v>510.67</v>
      </c>
    </row>
    <row r="32670" spans="1:8" customFormat="1" x14ac:dyDescent="0.25">
      <c r="A32670" t="str">
        <f>"7641339"</f>
        <v>7641339</v>
      </c>
      <c r="B32670" t="s">
        <v>14703</v>
      </c>
      <c r="C32670" t="s">
        <v>62</v>
      </c>
      <c r="D32670" s="21" t="s">
        <v>34</v>
      </c>
      <c r="E32670" s="21" t="s">
        <v>35</v>
      </c>
      <c r="F32670">
        <v>9760366</v>
      </c>
      <c r="G32670" t="s">
        <v>7640</v>
      </c>
      <c r="H32670" s="21">
        <v>510.67</v>
      </c>
    </row>
    <row r="32671" spans="1:8" customFormat="1" x14ac:dyDescent="0.25">
      <c r="A32671" t="str">
        <f>"2938088"</f>
        <v>2938088</v>
      </c>
      <c r="B32671" t="s">
        <v>22436</v>
      </c>
      <c r="C32671" t="s">
        <v>130</v>
      </c>
      <c r="D32671" s="21" t="s">
        <v>34</v>
      </c>
      <c r="E32671" s="21" t="s">
        <v>35</v>
      </c>
      <c r="F32671">
        <v>3290223</v>
      </c>
      <c r="G32671" t="s">
        <v>2636</v>
      </c>
      <c r="H32671" s="21">
        <v>510.67</v>
      </c>
    </row>
    <row r="32672" spans="1:8" customFormat="1" x14ac:dyDescent="0.25">
      <c r="A32672" t="str">
        <f>"5942953"</f>
        <v>5942953</v>
      </c>
      <c r="B32672" t="s">
        <v>22092</v>
      </c>
      <c r="C32672" t="s">
        <v>209</v>
      </c>
      <c r="D32672" s="21" t="s">
        <v>34</v>
      </c>
      <c r="E32672" s="21" t="s">
        <v>71</v>
      </c>
      <c r="F32672">
        <v>7590244</v>
      </c>
      <c r="G32672" t="s">
        <v>5768</v>
      </c>
      <c r="H32672" s="21">
        <v>510.67</v>
      </c>
    </row>
    <row r="32673" spans="1:8" customFormat="1" x14ac:dyDescent="0.25">
      <c r="A32673" t="str">
        <f>"4452088"</f>
        <v>4452088</v>
      </c>
      <c r="B32673" t="s">
        <v>15402</v>
      </c>
      <c r="C32673" t="s">
        <v>119</v>
      </c>
      <c r="D32673" s="21" t="s">
        <v>34</v>
      </c>
      <c r="E32673" s="21" t="s">
        <v>35</v>
      </c>
      <c r="F32673">
        <v>12440139</v>
      </c>
      <c r="G32673" t="s">
        <v>2655</v>
      </c>
      <c r="H32673" s="21">
        <v>510.67</v>
      </c>
    </row>
    <row r="32674" spans="1:8" customFormat="1" x14ac:dyDescent="0.25">
      <c r="A32674" t="str">
        <f>"8818881"</f>
        <v>8818881</v>
      </c>
      <c r="B32674" t="s">
        <v>22624</v>
      </c>
      <c r="C32674" t="s">
        <v>323</v>
      </c>
      <c r="D32674" s="21" t="s">
        <v>34</v>
      </c>
      <c r="E32674" s="21" t="s">
        <v>35</v>
      </c>
      <c r="F32674">
        <v>6880021</v>
      </c>
      <c r="G32674" t="s">
        <v>15780</v>
      </c>
      <c r="H32674" s="21">
        <v>510.67</v>
      </c>
    </row>
    <row r="32675" spans="1:8" customFormat="1" x14ac:dyDescent="0.25">
      <c r="A32675" t="str">
        <f>"621122"</f>
        <v>621122</v>
      </c>
      <c r="B32675" t="s">
        <v>3034</v>
      </c>
      <c r="C32675" t="s">
        <v>453</v>
      </c>
      <c r="D32675" s="21" t="s">
        <v>34</v>
      </c>
      <c r="E32675" s="21" t="s">
        <v>6185</v>
      </c>
      <c r="F32675">
        <v>7620108</v>
      </c>
      <c r="G32675" t="s">
        <v>3035</v>
      </c>
      <c r="H32675" s="21">
        <v>510.67</v>
      </c>
    </row>
    <row r="32676" spans="1:8" customFormat="1" x14ac:dyDescent="0.25">
      <c r="A32676" t="str">
        <f>"035483"</f>
        <v>035483</v>
      </c>
      <c r="B32676" t="s">
        <v>20643</v>
      </c>
      <c r="C32676" t="s">
        <v>33</v>
      </c>
      <c r="D32676" s="21" t="s">
        <v>34</v>
      </c>
      <c r="E32676" s="21" t="s">
        <v>71</v>
      </c>
      <c r="F32676">
        <v>1030212</v>
      </c>
      <c r="G32676" t="s">
        <v>3479</v>
      </c>
      <c r="H32676" s="21">
        <v>510.67</v>
      </c>
    </row>
    <row r="32677" spans="1:8" customFormat="1" x14ac:dyDescent="0.25">
      <c r="A32677" t="str">
        <f>"9129385"</f>
        <v>9129385</v>
      </c>
      <c r="B32677" t="s">
        <v>15868</v>
      </c>
      <c r="C32677" t="s">
        <v>62</v>
      </c>
      <c r="D32677" s="21" t="s">
        <v>34</v>
      </c>
      <c r="E32677" s="21" t="s">
        <v>35</v>
      </c>
      <c r="F32677">
        <v>11300041</v>
      </c>
      <c r="G32677" t="s">
        <v>8074</v>
      </c>
      <c r="H32677" s="21">
        <v>510.67</v>
      </c>
    </row>
    <row r="32678" spans="1:8" customFormat="1" x14ac:dyDescent="0.25">
      <c r="A32678" t="str">
        <f>"4711510"</f>
        <v>4711510</v>
      </c>
      <c r="B32678" t="s">
        <v>1263</v>
      </c>
      <c r="C32678" t="s">
        <v>269</v>
      </c>
      <c r="D32678" s="21" t="s">
        <v>34</v>
      </c>
      <c r="E32678" s="21" t="s">
        <v>71</v>
      </c>
      <c r="F32678">
        <v>10470009</v>
      </c>
      <c r="G32678" t="s">
        <v>4915</v>
      </c>
      <c r="H32678" s="21">
        <v>510.67</v>
      </c>
    </row>
    <row r="32679" spans="1:8" customFormat="1" x14ac:dyDescent="0.25">
      <c r="A32679" t="str">
        <f>"5020547"</f>
        <v>5020547</v>
      </c>
      <c r="B32679" t="s">
        <v>21473</v>
      </c>
      <c r="C32679" t="s">
        <v>1705</v>
      </c>
      <c r="D32679" s="21" t="s">
        <v>34</v>
      </c>
      <c r="E32679" s="21" t="s">
        <v>71</v>
      </c>
      <c r="F32679">
        <v>9500025</v>
      </c>
      <c r="G32679" t="s">
        <v>665</v>
      </c>
      <c r="H32679" s="21">
        <v>510.67</v>
      </c>
    </row>
    <row r="32680" spans="1:8" customFormat="1" x14ac:dyDescent="0.25">
      <c r="A32680" t="str">
        <f>"6232126"</f>
        <v>6232126</v>
      </c>
      <c r="B32680" t="s">
        <v>22401</v>
      </c>
      <c r="C32680" t="s">
        <v>144</v>
      </c>
      <c r="D32680" s="21" t="s">
        <v>34</v>
      </c>
      <c r="E32680" s="21" t="s">
        <v>71</v>
      </c>
      <c r="F32680">
        <v>7620183</v>
      </c>
      <c r="G32680" t="s">
        <v>8030</v>
      </c>
      <c r="H32680" s="21">
        <v>510.67</v>
      </c>
    </row>
    <row r="32681" spans="1:8" customFormat="1" x14ac:dyDescent="0.25">
      <c r="A32681" t="str">
        <f>"2716249"</f>
        <v>2716249</v>
      </c>
      <c r="B32681" t="s">
        <v>16855</v>
      </c>
      <c r="C32681" t="s">
        <v>1110</v>
      </c>
      <c r="D32681" s="21" t="s">
        <v>34</v>
      </c>
      <c r="E32681" s="21" t="s">
        <v>254</v>
      </c>
      <c r="F32681">
        <v>9270166</v>
      </c>
      <c r="G32681" t="s">
        <v>16629</v>
      </c>
      <c r="H32681" s="21">
        <v>510.67</v>
      </c>
    </row>
    <row r="32682" spans="1:8" customFormat="1" x14ac:dyDescent="0.25">
      <c r="A32682" t="str">
        <f>"6019245"</f>
        <v>6019245</v>
      </c>
      <c r="B32682" t="s">
        <v>4384</v>
      </c>
      <c r="C32682" t="s">
        <v>233</v>
      </c>
      <c r="D32682" s="21" t="s">
        <v>34</v>
      </c>
      <c r="E32682" s="21" t="s">
        <v>35</v>
      </c>
      <c r="F32682">
        <v>7600161</v>
      </c>
      <c r="G32682" t="s">
        <v>6023</v>
      </c>
      <c r="H32682" s="21">
        <v>510.67</v>
      </c>
    </row>
    <row r="32683" spans="1:8" customFormat="1" x14ac:dyDescent="0.25">
      <c r="A32683" t="str">
        <f>"9320593"</f>
        <v>9320593</v>
      </c>
      <c r="B32683" t="s">
        <v>760</v>
      </c>
      <c r="C32683" t="s">
        <v>187</v>
      </c>
      <c r="D32683" s="21" t="s">
        <v>34</v>
      </c>
      <c r="E32683" s="21" t="s">
        <v>35</v>
      </c>
      <c r="F32683">
        <v>8930185</v>
      </c>
      <c r="G32683" t="s">
        <v>3846</v>
      </c>
      <c r="H32683" s="21">
        <v>510.67</v>
      </c>
    </row>
    <row r="32684" spans="1:8" customFormat="1" x14ac:dyDescent="0.25">
      <c r="A32684" t="str">
        <f>"508856"</f>
        <v>508856</v>
      </c>
      <c r="B32684" t="s">
        <v>431</v>
      </c>
      <c r="C32684" t="s">
        <v>2479</v>
      </c>
      <c r="D32684" s="21" t="s">
        <v>34</v>
      </c>
      <c r="E32684" s="21" t="s">
        <v>35</v>
      </c>
      <c r="F32684">
        <v>9500131</v>
      </c>
      <c r="G32684" t="s">
        <v>1073</v>
      </c>
      <c r="H32684" s="21">
        <v>510.67</v>
      </c>
    </row>
    <row r="32685" spans="1:8" customFormat="1" x14ac:dyDescent="0.25">
      <c r="A32685" t="str">
        <f>"8313917"</f>
        <v>8313917</v>
      </c>
      <c r="B32685" t="s">
        <v>4335</v>
      </c>
      <c r="C32685" t="s">
        <v>484</v>
      </c>
      <c r="D32685" s="21" t="s">
        <v>34</v>
      </c>
      <c r="E32685" s="21" t="s">
        <v>35</v>
      </c>
      <c r="F32685">
        <v>13830031</v>
      </c>
      <c r="G32685" t="s">
        <v>8301</v>
      </c>
      <c r="H32685" s="21">
        <v>510.54</v>
      </c>
    </row>
    <row r="32686" spans="1:8" customFormat="1" x14ac:dyDescent="0.25">
      <c r="A32686" t="str">
        <f>"367618"</f>
        <v>367618</v>
      </c>
      <c r="B32686" t="s">
        <v>20793</v>
      </c>
      <c r="C32686" t="s">
        <v>267</v>
      </c>
      <c r="D32686" s="21" t="s">
        <v>34</v>
      </c>
      <c r="E32686" s="21" t="s">
        <v>254</v>
      </c>
      <c r="F32686">
        <v>4360340</v>
      </c>
      <c r="G32686" t="s">
        <v>14132</v>
      </c>
      <c r="H32686" s="21">
        <v>510.5</v>
      </c>
    </row>
    <row r="32687" spans="1:8" customFormat="1" x14ac:dyDescent="0.25">
      <c r="A32687" t="str">
        <f>"6814593"</f>
        <v>6814593</v>
      </c>
      <c r="B32687" t="s">
        <v>8239</v>
      </c>
      <c r="C32687" t="s">
        <v>87</v>
      </c>
      <c r="D32687" s="21" t="s">
        <v>34</v>
      </c>
      <c r="E32687" s="21" t="s">
        <v>35</v>
      </c>
      <c r="F32687">
        <v>6680011</v>
      </c>
      <c r="G32687" t="s">
        <v>1524</v>
      </c>
      <c r="H32687" s="21">
        <v>510.5</v>
      </c>
    </row>
    <row r="32688" spans="1:8" customFormat="1" x14ac:dyDescent="0.25">
      <c r="A32688" t="str">
        <f>"7641176"</f>
        <v>7641176</v>
      </c>
      <c r="B32688" t="s">
        <v>24590</v>
      </c>
      <c r="C32688" t="s">
        <v>60</v>
      </c>
      <c r="D32688" s="21" t="s">
        <v>34</v>
      </c>
      <c r="E32688" s="21" t="s">
        <v>35</v>
      </c>
      <c r="F32688">
        <v>9760419</v>
      </c>
      <c r="G32688" t="s">
        <v>8549</v>
      </c>
      <c r="H32688" s="21">
        <v>510.5</v>
      </c>
    </row>
    <row r="32689" spans="1:8" customFormat="1" x14ac:dyDescent="0.25">
      <c r="A32689" t="str">
        <f>"6023281"</f>
        <v>6023281</v>
      </c>
      <c r="B32689" t="s">
        <v>24088</v>
      </c>
      <c r="C32689" t="s">
        <v>249</v>
      </c>
      <c r="D32689" s="21" t="s">
        <v>34</v>
      </c>
      <c r="E32689" s="21" t="s">
        <v>71</v>
      </c>
      <c r="F32689">
        <v>7600074</v>
      </c>
      <c r="G32689" t="s">
        <v>1912</v>
      </c>
      <c r="H32689" s="21">
        <v>510.5</v>
      </c>
    </row>
    <row r="32690" spans="1:8" customFormat="1" x14ac:dyDescent="0.25">
      <c r="A32690" t="str">
        <f>"6316401"</f>
        <v>6316401</v>
      </c>
      <c r="B32690" t="s">
        <v>4058</v>
      </c>
      <c r="C32690" t="s">
        <v>2566</v>
      </c>
      <c r="D32690" s="21" t="s">
        <v>34</v>
      </c>
      <c r="E32690" s="21" t="s">
        <v>35</v>
      </c>
      <c r="F32690">
        <v>1630249</v>
      </c>
      <c r="G32690" t="s">
        <v>1237</v>
      </c>
      <c r="H32690" s="21">
        <v>510.5</v>
      </c>
    </row>
    <row r="32691" spans="1:8" customFormat="1" x14ac:dyDescent="0.25">
      <c r="A32691" t="str">
        <f>"7618115"</f>
        <v>7618115</v>
      </c>
      <c r="B32691" t="s">
        <v>13271</v>
      </c>
      <c r="C32691" t="s">
        <v>415</v>
      </c>
      <c r="D32691" s="21" t="s">
        <v>34</v>
      </c>
      <c r="E32691" s="21" t="s">
        <v>254</v>
      </c>
      <c r="F32691">
        <v>9760379</v>
      </c>
      <c r="G32691" t="s">
        <v>18639</v>
      </c>
      <c r="H32691" s="21">
        <v>510.5</v>
      </c>
    </row>
    <row r="32692" spans="1:8" customFormat="1" x14ac:dyDescent="0.25">
      <c r="A32692" t="str">
        <f>"4452895"</f>
        <v>4452895</v>
      </c>
      <c r="B32692" t="s">
        <v>4024</v>
      </c>
      <c r="C32692" t="s">
        <v>209</v>
      </c>
      <c r="D32692" s="21" t="s">
        <v>34</v>
      </c>
      <c r="E32692" s="21" t="s">
        <v>254</v>
      </c>
      <c r="F32692">
        <v>12440142</v>
      </c>
      <c r="G32692" t="s">
        <v>3285</v>
      </c>
      <c r="H32692" s="21">
        <v>510.5</v>
      </c>
    </row>
    <row r="32693" spans="1:8" customFormat="1" x14ac:dyDescent="0.25">
      <c r="A32693" t="str">
        <f>"4455292"</f>
        <v>4455292</v>
      </c>
      <c r="B32693" t="s">
        <v>24570</v>
      </c>
      <c r="C32693" t="s">
        <v>124</v>
      </c>
      <c r="D32693" s="21" t="s">
        <v>34</v>
      </c>
      <c r="E32693" s="21" t="s">
        <v>35</v>
      </c>
      <c r="F32693">
        <v>12440140</v>
      </c>
      <c r="G32693" t="s">
        <v>11783</v>
      </c>
      <c r="H32693" s="21">
        <v>510.5</v>
      </c>
    </row>
    <row r="32694" spans="1:8" customFormat="1" x14ac:dyDescent="0.25">
      <c r="A32694" t="str">
        <f>"1411909"</f>
        <v>1411909</v>
      </c>
      <c r="B32694" t="s">
        <v>24554</v>
      </c>
      <c r="C32694" t="s">
        <v>1665</v>
      </c>
      <c r="D32694" s="21" t="s">
        <v>34</v>
      </c>
      <c r="E32694" s="21" t="s">
        <v>254</v>
      </c>
      <c r="F32694">
        <v>1030035</v>
      </c>
      <c r="G32694" t="s">
        <v>2343</v>
      </c>
      <c r="H32694" s="21">
        <v>510.5</v>
      </c>
    </row>
    <row r="32695" spans="1:8" customFormat="1" x14ac:dyDescent="0.25">
      <c r="A32695" t="str">
        <f>"5983874"</f>
        <v>5983874</v>
      </c>
      <c r="B32695" t="s">
        <v>28534</v>
      </c>
      <c r="C32695" t="s">
        <v>98</v>
      </c>
      <c r="D32695" s="21" t="s">
        <v>34</v>
      </c>
      <c r="E32695" s="21" t="s">
        <v>35</v>
      </c>
      <c r="F32695">
        <v>7590332</v>
      </c>
      <c r="G32695" t="s">
        <v>6094</v>
      </c>
      <c r="H32695" s="21">
        <v>510.5</v>
      </c>
    </row>
    <row r="32696" spans="1:8" customFormat="1" x14ac:dyDescent="0.25">
      <c r="A32696" t="str">
        <f>"3725327"</f>
        <v>3725327</v>
      </c>
      <c r="B32696" t="s">
        <v>23441</v>
      </c>
      <c r="C32696" t="s">
        <v>1887</v>
      </c>
      <c r="D32696" s="21" t="s">
        <v>34</v>
      </c>
      <c r="E32696" s="21" t="s">
        <v>254</v>
      </c>
      <c r="F32696">
        <v>4370167</v>
      </c>
      <c r="G32696" t="s">
        <v>8834</v>
      </c>
      <c r="H32696" s="21">
        <v>510.5</v>
      </c>
    </row>
    <row r="32697" spans="1:8" customFormat="1" x14ac:dyDescent="0.25">
      <c r="A32697" t="str">
        <f>"7615620"</f>
        <v>7615620</v>
      </c>
      <c r="B32697" t="s">
        <v>2319</v>
      </c>
      <c r="C32697" t="s">
        <v>412</v>
      </c>
      <c r="D32697" s="21" t="s">
        <v>34</v>
      </c>
      <c r="E32697" s="21" t="s">
        <v>1089</v>
      </c>
      <c r="F32697">
        <v>9760379</v>
      </c>
      <c r="G32697" t="s">
        <v>18639</v>
      </c>
      <c r="H32697" s="21">
        <v>510.5</v>
      </c>
    </row>
    <row r="32698" spans="1:8" customFormat="1" x14ac:dyDescent="0.25">
      <c r="A32698" t="str">
        <f>"3534860"</f>
        <v>3534860</v>
      </c>
      <c r="B32698" t="s">
        <v>22229</v>
      </c>
      <c r="C32698" t="s">
        <v>187</v>
      </c>
      <c r="D32698" s="21" t="s">
        <v>34</v>
      </c>
      <c r="E32698" s="21" t="s">
        <v>71</v>
      </c>
      <c r="F32698">
        <v>3350011</v>
      </c>
      <c r="G32698" t="s">
        <v>2404</v>
      </c>
      <c r="H32698" s="21">
        <v>510.5</v>
      </c>
    </row>
    <row r="32699" spans="1:8" customFormat="1" x14ac:dyDescent="0.25">
      <c r="A32699" t="str">
        <f>"846601"</f>
        <v>846601</v>
      </c>
      <c r="B32699" t="s">
        <v>3587</v>
      </c>
      <c r="C32699" t="s">
        <v>33</v>
      </c>
      <c r="D32699" s="21" t="s">
        <v>34</v>
      </c>
      <c r="E32699" s="21" t="s">
        <v>35</v>
      </c>
      <c r="F32699">
        <v>13840045</v>
      </c>
      <c r="G32699" t="s">
        <v>11703</v>
      </c>
      <c r="H32699" s="21">
        <v>510.5</v>
      </c>
    </row>
    <row r="32700" spans="1:8" customFormat="1" x14ac:dyDescent="0.25">
      <c r="A32700" t="str">
        <f>"1321078"</f>
        <v>1321078</v>
      </c>
      <c r="B32700" t="s">
        <v>22467</v>
      </c>
      <c r="C32700" t="s">
        <v>275</v>
      </c>
      <c r="D32700" s="21" t="s">
        <v>34</v>
      </c>
      <c r="E32700" s="21" t="s">
        <v>35</v>
      </c>
      <c r="F32700">
        <v>13130170</v>
      </c>
      <c r="G32700" t="s">
        <v>10164</v>
      </c>
      <c r="H32700" s="21">
        <v>510.5</v>
      </c>
    </row>
    <row r="32701" spans="1:8" customFormat="1" x14ac:dyDescent="0.25">
      <c r="A32701" t="str">
        <f>"9135703"</f>
        <v>9135703</v>
      </c>
      <c r="B32701" t="s">
        <v>20201</v>
      </c>
      <c r="C32701" t="s">
        <v>209</v>
      </c>
      <c r="D32701" s="21" t="s">
        <v>34</v>
      </c>
      <c r="E32701" s="21" t="s">
        <v>35</v>
      </c>
      <c r="F32701">
        <v>8911439</v>
      </c>
      <c r="G32701" t="s">
        <v>3953</v>
      </c>
      <c r="H32701" s="21">
        <v>510.42</v>
      </c>
    </row>
    <row r="32702" spans="1:8" customFormat="1" x14ac:dyDescent="0.25">
      <c r="A32702" t="str">
        <f>"4427224"</f>
        <v>4427224</v>
      </c>
      <c r="B32702" t="s">
        <v>10802</v>
      </c>
      <c r="C32702" t="s">
        <v>209</v>
      </c>
      <c r="D32702" s="21" t="s">
        <v>34</v>
      </c>
      <c r="E32702" s="21" t="s">
        <v>71</v>
      </c>
      <c r="F32702" t="s">
        <v>590</v>
      </c>
      <c r="G32702" t="s">
        <v>591</v>
      </c>
      <c r="H32702" s="21">
        <v>510.42</v>
      </c>
    </row>
    <row r="32703" spans="1:8" customFormat="1" x14ac:dyDescent="0.25">
      <c r="A32703" t="str">
        <f>"454586"</f>
        <v>454586</v>
      </c>
      <c r="B32703" t="s">
        <v>28535</v>
      </c>
      <c r="C32703" t="s">
        <v>65</v>
      </c>
      <c r="D32703" s="21" t="s">
        <v>34</v>
      </c>
      <c r="E32703" s="21" t="s">
        <v>71</v>
      </c>
      <c r="F32703">
        <v>4450362</v>
      </c>
      <c r="G32703" t="s">
        <v>20963</v>
      </c>
      <c r="H32703" s="21">
        <v>510.42</v>
      </c>
    </row>
    <row r="32704" spans="1:8" customFormat="1" x14ac:dyDescent="0.25">
      <c r="A32704" t="str">
        <f>"8316169"</f>
        <v>8316169</v>
      </c>
      <c r="B32704" t="s">
        <v>1533</v>
      </c>
      <c r="C32704" t="s">
        <v>98</v>
      </c>
      <c r="D32704" s="21" t="s">
        <v>34</v>
      </c>
      <c r="E32704" s="21" t="s">
        <v>35</v>
      </c>
      <c r="F32704">
        <v>13830044</v>
      </c>
      <c r="G32704" t="s">
        <v>945</v>
      </c>
      <c r="H32704" s="21">
        <v>510.42</v>
      </c>
    </row>
    <row r="32705" spans="1:8" customFormat="1" x14ac:dyDescent="0.25">
      <c r="A32705" t="str">
        <f>"153424"</f>
        <v>153424</v>
      </c>
      <c r="B32705" t="s">
        <v>650</v>
      </c>
      <c r="C32705" t="s">
        <v>3456</v>
      </c>
      <c r="D32705" s="21" t="s">
        <v>34</v>
      </c>
      <c r="E32705" s="21" t="s">
        <v>35</v>
      </c>
      <c r="F32705">
        <v>1150307</v>
      </c>
      <c r="G32705" t="s">
        <v>26826</v>
      </c>
      <c r="H32705" s="21">
        <v>510.42</v>
      </c>
    </row>
    <row r="32706" spans="1:8" customFormat="1" x14ac:dyDescent="0.25">
      <c r="A32706" t="str">
        <f>"3324204"</f>
        <v>3324204</v>
      </c>
      <c r="B32706" t="s">
        <v>21394</v>
      </c>
      <c r="C32706" t="s">
        <v>547</v>
      </c>
      <c r="D32706" s="21" t="s">
        <v>34</v>
      </c>
      <c r="E32706" s="21" t="s">
        <v>71</v>
      </c>
      <c r="F32706">
        <v>10330046</v>
      </c>
      <c r="G32706" t="s">
        <v>1787</v>
      </c>
      <c r="H32706" s="21">
        <v>510.42</v>
      </c>
    </row>
    <row r="32707" spans="1:8" customFormat="1" x14ac:dyDescent="0.25">
      <c r="A32707" t="str">
        <f>"7879524"</f>
        <v>7879524</v>
      </c>
      <c r="B32707" t="s">
        <v>28536</v>
      </c>
      <c r="C32707" t="s">
        <v>209</v>
      </c>
      <c r="D32707" s="21" t="s">
        <v>34</v>
      </c>
      <c r="E32707" s="21" t="s">
        <v>71</v>
      </c>
      <c r="F32707">
        <v>8780529</v>
      </c>
      <c r="G32707" t="s">
        <v>8624</v>
      </c>
      <c r="H32707" s="21">
        <v>510.38</v>
      </c>
    </row>
    <row r="32708" spans="1:8" customFormat="1" x14ac:dyDescent="0.25">
      <c r="A32708" t="str">
        <f>"7877109"</f>
        <v>7877109</v>
      </c>
      <c r="B32708" t="s">
        <v>24452</v>
      </c>
      <c r="C32708" t="s">
        <v>24453</v>
      </c>
      <c r="D32708" s="21" t="s">
        <v>34</v>
      </c>
      <c r="E32708" s="21" t="s">
        <v>35</v>
      </c>
      <c r="F32708">
        <v>8780890</v>
      </c>
      <c r="G32708" t="s">
        <v>6456</v>
      </c>
      <c r="H32708" s="21">
        <v>510.25</v>
      </c>
    </row>
    <row r="32709" spans="1:8" customFormat="1" x14ac:dyDescent="0.25">
      <c r="A32709" t="str">
        <f>"6725938"</f>
        <v>6725938</v>
      </c>
      <c r="B32709" t="s">
        <v>208</v>
      </c>
      <c r="C32709" t="s">
        <v>867</v>
      </c>
      <c r="D32709" s="21" t="s">
        <v>34</v>
      </c>
      <c r="E32709" s="21" t="s">
        <v>35</v>
      </c>
      <c r="F32709">
        <v>6670271</v>
      </c>
      <c r="G32709" t="s">
        <v>5193</v>
      </c>
      <c r="H32709" s="21">
        <v>510.17</v>
      </c>
    </row>
    <row r="32710" spans="1:8" customFormat="1" x14ac:dyDescent="0.25">
      <c r="A32710" t="str">
        <f>"0616353"</f>
        <v>0616353</v>
      </c>
      <c r="B32710" t="s">
        <v>24345</v>
      </c>
      <c r="C32710" t="s">
        <v>598</v>
      </c>
      <c r="D32710" s="21" t="s">
        <v>34</v>
      </c>
      <c r="E32710" s="21" t="s">
        <v>71</v>
      </c>
      <c r="F32710">
        <v>13060074</v>
      </c>
      <c r="G32710" t="s">
        <v>13510</v>
      </c>
      <c r="H32710" s="21">
        <v>510.17</v>
      </c>
    </row>
    <row r="32711" spans="1:8" customFormat="1" x14ac:dyDescent="0.25">
      <c r="A32711" t="str">
        <f>"0617368"</f>
        <v>0617368</v>
      </c>
      <c r="B32711" t="s">
        <v>22728</v>
      </c>
      <c r="C32711" t="s">
        <v>169</v>
      </c>
      <c r="D32711" s="21" t="s">
        <v>34</v>
      </c>
      <c r="E32711" s="21" t="s">
        <v>71</v>
      </c>
      <c r="F32711">
        <v>13060063</v>
      </c>
      <c r="G32711" t="s">
        <v>2001</v>
      </c>
      <c r="H32711" s="21">
        <v>510.17</v>
      </c>
    </row>
    <row r="32712" spans="1:8" customFormat="1" x14ac:dyDescent="0.25">
      <c r="A32712" t="str">
        <f>"9249130"</f>
        <v>9249130</v>
      </c>
      <c r="B32712" t="s">
        <v>20642</v>
      </c>
      <c r="C32712" t="s">
        <v>169</v>
      </c>
      <c r="D32712" s="21" t="s">
        <v>34</v>
      </c>
      <c r="E32712" s="21" t="s">
        <v>71</v>
      </c>
      <c r="F32712">
        <v>8920049</v>
      </c>
      <c r="G32712" t="s">
        <v>237</v>
      </c>
      <c r="H32712" s="21">
        <v>510.17</v>
      </c>
    </row>
    <row r="32713" spans="1:8" customFormat="1" x14ac:dyDescent="0.25">
      <c r="A32713" t="str">
        <f>"8316536"</f>
        <v>8316536</v>
      </c>
      <c r="B32713" t="s">
        <v>18379</v>
      </c>
      <c r="C32713" t="s">
        <v>1705</v>
      </c>
      <c r="D32713" s="21" t="s">
        <v>34</v>
      </c>
      <c r="E32713" s="21" t="s">
        <v>254</v>
      </c>
      <c r="F32713">
        <v>13830068</v>
      </c>
      <c r="G32713" t="s">
        <v>6181</v>
      </c>
      <c r="H32713" s="21">
        <v>510.17</v>
      </c>
    </row>
    <row r="32714" spans="1:8" customFormat="1" x14ac:dyDescent="0.25">
      <c r="A32714" t="str">
        <f>"153738"</f>
        <v>153738</v>
      </c>
      <c r="B32714" t="s">
        <v>24069</v>
      </c>
      <c r="C32714" t="s">
        <v>2730</v>
      </c>
      <c r="D32714" s="21" t="s">
        <v>34</v>
      </c>
      <c r="E32714" s="21" t="s">
        <v>254</v>
      </c>
      <c r="F32714">
        <v>1150290</v>
      </c>
      <c r="G32714" t="s">
        <v>12544</v>
      </c>
      <c r="H32714" s="21">
        <v>510.17</v>
      </c>
    </row>
    <row r="32715" spans="1:8" customFormat="1" x14ac:dyDescent="0.25">
      <c r="A32715" t="str">
        <f>"725723"</f>
        <v>725723</v>
      </c>
      <c r="B32715" t="s">
        <v>28537</v>
      </c>
      <c r="C32715" t="s">
        <v>202</v>
      </c>
      <c r="D32715" s="21" t="s">
        <v>34</v>
      </c>
      <c r="E32715" s="21" t="s">
        <v>254</v>
      </c>
      <c r="F32715">
        <v>12720104</v>
      </c>
      <c r="G32715" t="s">
        <v>224</v>
      </c>
      <c r="H32715" s="21">
        <v>510.17</v>
      </c>
    </row>
    <row r="32716" spans="1:8" customFormat="1" x14ac:dyDescent="0.25">
      <c r="A32716" t="str">
        <f>"441039"</f>
        <v>441039</v>
      </c>
      <c r="B32716" t="s">
        <v>12605</v>
      </c>
      <c r="C32716" t="s">
        <v>3010</v>
      </c>
      <c r="D32716" s="21" t="s">
        <v>34</v>
      </c>
      <c r="E32716" s="21" t="s">
        <v>254</v>
      </c>
      <c r="F32716">
        <v>12440029</v>
      </c>
      <c r="G32716" t="s">
        <v>567</v>
      </c>
      <c r="H32716" s="21">
        <v>510.17</v>
      </c>
    </row>
    <row r="32717" spans="1:8" customFormat="1" x14ac:dyDescent="0.25">
      <c r="A32717" t="str">
        <f>"3333338"</f>
        <v>3333338</v>
      </c>
      <c r="B32717" t="s">
        <v>20213</v>
      </c>
      <c r="C32717" t="s">
        <v>55</v>
      </c>
      <c r="D32717" s="21" t="s">
        <v>34</v>
      </c>
      <c r="E32717" s="21" t="s">
        <v>71</v>
      </c>
      <c r="F32717">
        <v>10330043</v>
      </c>
      <c r="G32717" t="s">
        <v>1703</v>
      </c>
      <c r="H32717" s="21">
        <v>510.17</v>
      </c>
    </row>
    <row r="32718" spans="1:8" customFormat="1" x14ac:dyDescent="0.25">
      <c r="A32718" t="str">
        <f>"5018859"</f>
        <v>5018859</v>
      </c>
      <c r="B32718" t="s">
        <v>16018</v>
      </c>
      <c r="C32718" t="s">
        <v>4267</v>
      </c>
      <c r="D32718" s="21" t="s">
        <v>34</v>
      </c>
      <c r="E32718" s="21" t="s">
        <v>254</v>
      </c>
      <c r="F32718">
        <v>9500073</v>
      </c>
      <c r="G32718" t="s">
        <v>5393</v>
      </c>
      <c r="H32718" s="21">
        <v>510.17</v>
      </c>
    </row>
    <row r="32719" spans="1:8" customFormat="1" x14ac:dyDescent="0.25">
      <c r="A32719" t="str">
        <f>"6231382"</f>
        <v>6231382</v>
      </c>
      <c r="B32719" t="s">
        <v>24101</v>
      </c>
      <c r="C32719" t="s">
        <v>1196</v>
      </c>
      <c r="D32719" s="21" t="s">
        <v>34</v>
      </c>
      <c r="E32719" s="21" t="s">
        <v>35</v>
      </c>
      <c r="F32719">
        <v>7620119</v>
      </c>
      <c r="G32719" t="s">
        <v>5233</v>
      </c>
      <c r="H32719" s="21">
        <v>510.17</v>
      </c>
    </row>
    <row r="32720" spans="1:8" customFormat="1" x14ac:dyDescent="0.25">
      <c r="A32720" t="str">
        <f>"814722"</f>
        <v>814722</v>
      </c>
      <c r="B32720" t="s">
        <v>22526</v>
      </c>
      <c r="C32720" t="s">
        <v>87</v>
      </c>
      <c r="D32720" s="21" t="s">
        <v>34</v>
      </c>
      <c r="E32720" s="21" t="s">
        <v>35</v>
      </c>
      <c r="F32720">
        <v>11810033</v>
      </c>
      <c r="G32720" t="s">
        <v>3852</v>
      </c>
      <c r="H32720" s="21">
        <v>510.17</v>
      </c>
    </row>
    <row r="32721" spans="1:8" customFormat="1" x14ac:dyDescent="0.25">
      <c r="A32721" t="str">
        <f>"653163"</f>
        <v>653163</v>
      </c>
      <c r="B32721" t="s">
        <v>28538</v>
      </c>
      <c r="C32721" t="s">
        <v>462</v>
      </c>
      <c r="D32721" s="21" t="s">
        <v>34</v>
      </c>
      <c r="E32721" s="21" t="s">
        <v>71</v>
      </c>
      <c r="F32721">
        <v>11310005</v>
      </c>
      <c r="G32721" t="s">
        <v>6980</v>
      </c>
      <c r="H32721" s="21">
        <v>510.17</v>
      </c>
    </row>
    <row r="32722" spans="1:8" customFormat="1" x14ac:dyDescent="0.25">
      <c r="A32722" t="str">
        <f>"4517593"</f>
        <v>4517593</v>
      </c>
      <c r="B32722" t="s">
        <v>1833</v>
      </c>
      <c r="C32722" t="s">
        <v>198</v>
      </c>
      <c r="D32722" s="21" t="s">
        <v>34</v>
      </c>
      <c r="E32722" s="21" t="s">
        <v>71</v>
      </c>
      <c r="F32722">
        <v>4450706</v>
      </c>
      <c r="G32722" t="s">
        <v>4482</v>
      </c>
      <c r="H32722" s="21">
        <v>510.17</v>
      </c>
    </row>
    <row r="32723" spans="1:8" customFormat="1" x14ac:dyDescent="0.25">
      <c r="A32723" t="str">
        <f>"107486"</f>
        <v>107486</v>
      </c>
      <c r="B32723" t="s">
        <v>13294</v>
      </c>
      <c r="C32723" t="s">
        <v>269</v>
      </c>
      <c r="D32723" s="21" t="s">
        <v>34</v>
      </c>
      <c r="E32723" s="21" t="s">
        <v>35</v>
      </c>
      <c r="F32723">
        <v>6100015</v>
      </c>
      <c r="G32723" t="s">
        <v>6173</v>
      </c>
      <c r="H32723" s="21">
        <v>510.04</v>
      </c>
    </row>
    <row r="32724" spans="1:8" customFormat="1" x14ac:dyDescent="0.25">
      <c r="A32724" t="str">
        <f>"5430200"</f>
        <v>5430200</v>
      </c>
      <c r="B32724" t="s">
        <v>105</v>
      </c>
      <c r="C32724" t="s">
        <v>9894</v>
      </c>
      <c r="D32724" s="21" t="s">
        <v>34</v>
      </c>
      <c r="E32724" s="21" t="s">
        <v>35</v>
      </c>
      <c r="F32724">
        <v>6540198</v>
      </c>
      <c r="G32724" t="s">
        <v>9045</v>
      </c>
      <c r="H32724" s="21">
        <v>510</v>
      </c>
    </row>
    <row r="32725" spans="1:8" customFormat="1" x14ac:dyDescent="0.25">
      <c r="A32725" t="str">
        <f>"3831544"</f>
        <v>3831544</v>
      </c>
      <c r="B32725" t="s">
        <v>3347</v>
      </c>
      <c r="C32725" t="s">
        <v>169</v>
      </c>
      <c r="D32725" s="21" t="s">
        <v>34</v>
      </c>
      <c r="E32725" s="21" t="s">
        <v>35</v>
      </c>
      <c r="F32725">
        <v>1380293</v>
      </c>
      <c r="G32725" t="s">
        <v>2103</v>
      </c>
      <c r="H32725" s="21">
        <v>510</v>
      </c>
    </row>
    <row r="32726" spans="1:8" customFormat="1" x14ac:dyDescent="0.25">
      <c r="A32726" t="str">
        <f>"9234716"</f>
        <v>9234716</v>
      </c>
      <c r="B32726" t="s">
        <v>23785</v>
      </c>
      <c r="C32726" t="s">
        <v>156</v>
      </c>
      <c r="D32726" s="21" t="s">
        <v>34</v>
      </c>
      <c r="E32726" s="21" t="s">
        <v>254</v>
      </c>
      <c r="F32726">
        <v>8920075</v>
      </c>
      <c r="G32726" t="s">
        <v>317</v>
      </c>
      <c r="H32726" s="21">
        <v>510</v>
      </c>
    </row>
    <row r="32727" spans="1:8" customFormat="1" x14ac:dyDescent="0.25">
      <c r="A32727" t="str">
        <f>"2218831"</f>
        <v>2218831</v>
      </c>
      <c r="B32727" t="s">
        <v>9760</v>
      </c>
      <c r="C32727" t="s">
        <v>144</v>
      </c>
      <c r="D32727" s="21" t="s">
        <v>34</v>
      </c>
      <c r="E32727" s="21" t="s">
        <v>35</v>
      </c>
      <c r="F32727">
        <v>3220037</v>
      </c>
      <c r="G32727" t="s">
        <v>13306</v>
      </c>
      <c r="H32727" s="21">
        <v>510</v>
      </c>
    </row>
    <row r="32728" spans="1:8" customFormat="1" x14ac:dyDescent="0.25">
      <c r="A32728" t="str">
        <f>"6024104"</f>
        <v>6024104</v>
      </c>
      <c r="B32728" t="s">
        <v>28539</v>
      </c>
      <c r="C32728" t="s">
        <v>90</v>
      </c>
      <c r="D32728" s="21" t="s">
        <v>34</v>
      </c>
      <c r="E32728" s="21" t="s">
        <v>35</v>
      </c>
      <c r="F32728">
        <v>7600070</v>
      </c>
      <c r="G32728" t="s">
        <v>542</v>
      </c>
      <c r="H32728" s="21">
        <v>510</v>
      </c>
    </row>
    <row r="32729" spans="1:8" customFormat="1" x14ac:dyDescent="0.25">
      <c r="A32729" t="str">
        <f>"3345666"</f>
        <v>3345666</v>
      </c>
      <c r="B32729" t="s">
        <v>6967</v>
      </c>
      <c r="C32729" t="s">
        <v>1714</v>
      </c>
      <c r="D32729" s="21" t="s">
        <v>34</v>
      </c>
      <c r="E32729" s="21" t="s">
        <v>35</v>
      </c>
      <c r="F32729">
        <v>10330093</v>
      </c>
      <c r="G32729" t="s">
        <v>8324</v>
      </c>
      <c r="H32729" s="21">
        <v>510</v>
      </c>
    </row>
    <row r="32730" spans="1:8" customFormat="1" x14ac:dyDescent="0.25">
      <c r="A32730" t="str">
        <f>"068478"</f>
        <v>068478</v>
      </c>
      <c r="B32730" t="s">
        <v>1411</v>
      </c>
      <c r="C32730" t="s">
        <v>156</v>
      </c>
      <c r="D32730" s="21" t="s">
        <v>34</v>
      </c>
      <c r="E32730" s="21" t="s">
        <v>254</v>
      </c>
      <c r="F32730">
        <v>13060111</v>
      </c>
      <c r="G32730" t="s">
        <v>26647</v>
      </c>
      <c r="H32730" s="21">
        <v>510</v>
      </c>
    </row>
    <row r="32731" spans="1:8" customFormat="1" x14ac:dyDescent="0.25">
      <c r="A32731" t="str">
        <f>"2939757"</f>
        <v>2939757</v>
      </c>
      <c r="B32731" t="s">
        <v>28540</v>
      </c>
      <c r="C32731" t="s">
        <v>2529</v>
      </c>
      <c r="D32731" s="21" t="s">
        <v>34</v>
      </c>
      <c r="E32731" s="21" t="s">
        <v>71</v>
      </c>
      <c r="F32731">
        <v>3290232</v>
      </c>
      <c r="G32731" t="s">
        <v>9588</v>
      </c>
      <c r="H32731" s="21">
        <v>510</v>
      </c>
    </row>
    <row r="32732" spans="1:8" customFormat="1" x14ac:dyDescent="0.25">
      <c r="A32732" t="str">
        <f>"3529462"</f>
        <v>3529462</v>
      </c>
      <c r="B32732" t="s">
        <v>24529</v>
      </c>
      <c r="C32732" t="s">
        <v>40</v>
      </c>
      <c r="D32732" s="21" t="s">
        <v>34</v>
      </c>
      <c r="E32732" s="21" t="s">
        <v>71</v>
      </c>
      <c r="F32732">
        <v>3350209</v>
      </c>
      <c r="G32732" t="s">
        <v>3023</v>
      </c>
      <c r="H32732" s="21">
        <v>510</v>
      </c>
    </row>
    <row r="32733" spans="1:8" customFormat="1" x14ac:dyDescent="0.25">
      <c r="A32733" t="str">
        <f>"9535964"</f>
        <v>9535964</v>
      </c>
      <c r="B32733" t="s">
        <v>4162</v>
      </c>
      <c r="C32733" t="s">
        <v>109</v>
      </c>
      <c r="D32733" s="21" t="s">
        <v>34</v>
      </c>
      <c r="E32733" s="21" t="s">
        <v>35</v>
      </c>
      <c r="F32733">
        <v>8950129</v>
      </c>
      <c r="G32733" t="s">
        <v>10701</v>
      </c>
      <c r="H32733" s="21">
        <v>510</v>
      </c>
    </row>
    <row r="32734" spans="1:8" customFormat="1" x14ac:dyDescent="0.25">
      <c r="A32734" t="str">
        <f>"6234296"</f>
        <v>6234296</v>
      </c>
      <c r="B32734" t="s">
        <v>28541</v>
      </c>
      <c r="C32734" t="s">
        <v>87</v>
      </c>
      <c r="D32734" s="21" t="s">
        <v>34</v>
      </c>
      <c r="E32734" s="21" t="s">
        <v>35</v>
      </c>
      <c r="F32734">
        <v>7620002</v>
      </c>
      <c r="G32734" t="s">
        <v>11925</v>
      </c>
      <c r="H32734" s="21">
        <v>510</v>
      </c>
    </row>
    <row r="32735" spans="1:8" customFormat="1" x14ac:dyDescent="0.25">
      <c r="A32735" t="str">
        <f>"5980287"</f>
        <v>5980287</v>
      </c>
      <c r="B32735" t="s">
        <v>15385</v>
      </c>
      <c r="C32735" t="s">
        <v>249</v>
      </c>
      <c r="D32735" s="21" t="s">
        <v>34</v>
      </c>
      <c r="E32735" s="21" t="s">
        <v>35</v>
      </c>
      <c r="F32735">
        <v>7590021</v>
      </c>
      <c r="G32735" t="s">
        <v>4910</v>
      </c>
      <c r="H32735" s="21">
        <v>510</v>
      </c>
    </row>
    <row r="32736" spans="1:8" customFormat="1" x14ac:dyDescent="0.25">
      <c r="A32736" t="str">
        <f>"9528454"</f>
        <v>9528454</v>
      </c>
      <c r="B32736" t="s">
        <v>23520</v>
      </c>
      <c r="C32736" t="s">
        <v>379</v>
      </c>
      <c r="D32736" s="21" t="s">
        <v>34</v>
      </c>
      <c r="E32736" s="21" t="s">
        <v>71</v>
      </c>
      <c r="F32736">
        <v>8950479</v>
      </c>
      <c r="G32736" t="s">
        <v>728</v>
      </c>
      <c r="H32736" s="21">
        <v>510</v>
      </c>
    </row>
    <row r="32737" spans="1:8" customFormat="1" x14ac:dyDescent="0.25">
      <c r="A32737" t="str">
        <f>"8019657"</f>
        <v>8019657</v>
      </c>
      <c r="B32737" t="s">
        <v>21011</v>
      </c>
      <c r="C32737" t="s">
        <v>9999</v>
      </c>
      <c r="D32737" s="21" t="s">
        <v>34</v>
      </c>
      <c r="E32737" s="21" t="s">
        <v>35</v>
      </c>
      <c r="F32737">
        <v>7800035</v>
      </c>
      <c r="G32737" t="s">
        <v>12990</v>
      </c>
      <c r="H32737" s="21">
        <v>510</v>
      </c>
    </row>
    <row r="32738" spans="1:8" customFormat="1" x14ac:dyDescent="0.25">
      <c r="A32738" t="str">
        <f>"824302"</f>
        <v>824302</v>
      </c>
      <c r="B32738" t="s">
        <v>4669</v>
      </c>
      <c r="C32738" t="s">
        <v>43</v>
      </c>
      <c r="D32738" s="21" t="s">
        <v>34</v>
      </c>
      <c r="E32738" s="21" t="s">
        <v>35</v>
      </c>
      <c r="F32738">
        <v>11820018</v>
      </c>
      <c r="G32738" t="s">
        <v>2503</v>
      </c>
      <c r="H32738" s="21">
        <v>510</v>
      </c>
    </row>
    <row r="32739" spans="1:8" customFormat="1" x14ac:dyDescent="0.25">
      <c r="A32739" t="str">
        <f>"668477"</f>
        <v>668477</v>
      </c>
      <c r="B32739" t="s">
        <v>28542</v>
      </c>
      <c r="C32739" t="s">
        <v>8106</v>
      </c>
      <c r="D32739" s="21" t="s">
        <v>34</v>
      </c>
      <c r="E32739" s="21" t="s">
        <v>35</v>
      </c>
      <c r="F32739">
        <v>11660041</v>
      </c>
      <c r="G32739" t="s">
        <v>18594</v>
      </c>
      <c r="H32739" s="21">
        <v>510</v>
      </c>
    </row>
    <row r="32740" spans="1:8" customFormat="1" x14ac:dyDescent="0.25">
      <c r="A32740" t="str">
        <f>"3538816"</f>
        <v>3538816</v>
      </c>
      <c r="B32740" t="s">
        <v>28543</v>
      </c>
      <c r="C32740" t="s">
        <v>415</v>
      </c>
      <c r="D32740" s="21" t="s">
        <v>34</v>
      </c>
      <c r="E32740" s="21" t="s">
        <v>254</v>
      </c>
      <c r="F32740">
        <v>3350063</v>
      </c>
      <c r="G32740" t="s">
        <v>14782</v>
      </c>
      <c r="H32740" s="21">
        <v>510</v>
      </c>
    </row>
    <row r="32741" spans="1:8" customFormat="1" x14ac:dyDescent="0.25">
      <c r="A32741" t="str">
        <f>"3426408"</f>
        <v>3426408</v>
      </c>
      <c r="B32741" t="s">
        <v>3368</v>
      </c>
      <c r="C32741" t="s">
        <v>601</v>
      </c>
      <c r="D32741" s="21" t="s">
        <v>34</v>
      </c>
      <c r="E32741" s="21" t="s">
        <v>35</v>
      </c>
      <c r="F32741">
        <v>11340075</v>
      </c>
      <c r="G32741" t="s">
        <v>18069</v>
      </c>
      <c r="H32741" s="21">
        <v>510</v>
      </c>
    </row>
    <row r="32742" spans="1:8" customFormat="1" x14ac:dyDescent="0.25">
      <c r="A32742" t="str">
        <f>"5112678"</f>
        <v>5112678</v>
      </c>
      <c r="B32742" t="s">
        <v>21771</v>
      </c>
      <c r="C32742" t="s">
        <v>171</v>
      </c>
      <c r="D32742" s="21" t="s">
        <v>34</v>
      </c>
      <c r="E32742" s="21" t="s">
        <v>254</v>
      </c>
      <c r="F32742">
        <v>6510015</v>
      </c>
      <c r="G32742" t="s">
        <v>5462</v>
      </c>
      <c r="H32742" s="21">
        <v>510</v>
      </c>
    </row>
    <row r="32743" spans="1:8" customFormat="1" x14ac:dyDescent="0.25">
      <c r="A32743" t="str">
        <f>"4938015"</f>
        <v>4938015</v>
      </c>
      <c r="B32743" t="s">
        <v>27481</v>
      </c>
      <c r="C32743" t="s">
        <v>62</v>
      </c>
      <c r="D32743" s="21" t="s">
        <v>34</v>
      </c>
      <c r="E32743" s="21" t="s">
        <v>35</v>
      </c>
      <c r="F32743">
        <v>12490008</v>
      </c>
      <c r="G32743" t="s">
        <v>15452</v>
      </c>
      <c r="H32743" s="21">
        <v>510</v>
      </c>
    </row>
    <row r="32744" spans="1:8" customFormat="1" x14ac:dyDescent="0.25">
      <c r="A32744" t="str">
        <f>"289439"</f>
        <v>289439</v>
      </c>
      <c r="B32744" t="s">
        <v>5983</v>
      </c>
      <c r="C32744" t="s">
        <v>33</v>
      </c>
      <c r="D32744" s="21" t="s">
        <v>34</v>
      </c>
      <c r="E32744" s="21" t="s">
        <v>71</v>
      </c>
      <c r="F32744">
        <v>4280322</v>
      </c>
      <c r="G32744" t="s">
        <v>265</v>
      </c>
      <c r="H32744" s="21">
        <v>510</v>
      </c>
    </row>
    <row r="32745" spans="1:8" customFormat="1" x14ac:dyDescent="0.25">
      <c r="A32745" t="str">
        <f>"3830924"</f>
        <v>3830924</v>
      </c>
      <c r="B32745" t="s">
        <v>12907</v>
      </c>
      <c r="C32745" t="s">
        <v>263</v>
      </c>
      <c r="D32745" s="21" t="s">
        <v>34</v>
      </c>
      <c r="E32745" s="21" t="s">
        <v>254</v>
      </c>
      <c r="F32745">
        <v>1380275</v>
      </c>
      <c r="G32745" t="s">
        <v>8042</v>
      </c>
      <c r="H32745" s="21">
        <v>510</v>
      </c>
    </row>
    <row r="32746" spans="1:8" customFormat="1" x14ac:dyDescent="0.25">
      <c r="A32746" t="str">
        <f>"9318942"</f>
        <v>9318942</v>
      </c>
      <c r="B32746" t="s">
        <v>1295</v>
      </c>
      <c r="C32746" t="s">
        <v>486</v>
      </c>
      <c r="D32746" s="21" t="s">
        <v>34</v>
      </c>
      <c r="E32746" s="21" t="s">
        <v>35</v>
      </c>
      <c r="F32746">
        <v>8930003</v>
      </c>
      <c r="G32746" t="s">
        <v>13083</v>
      </c>
      <c r="H32746" s="21">
        <v>510</v>
      </c>
    </row>
    <row r="32747" spans="1:8" customFormat="1" x14ac:dyDescent="0.25">
      <c r="A32747" t="str">
        <f>"7730058"</f>
        <v>7730058</v>
      </c>
      <c r="B32747" t="s">
        <v>24192</v>
      </c>
      <c r="C32747" t="s">
        <v>1786</v>
      </c>
      <c r="D32747" s="21" t="s">
        <v>34</v>
      </c>
      <c r="E32747" s="21" t="s">
        <v>35</v>
      </c>
      <c r="F32747">
        <v>8770988</v>
      </c>
      <c r="G32747" t="s">
        <v>6334</v>
      </c>
      <c r="H32747" s="21">
        <v>510</v>
      </c>
    </row>
    <row r="32748" spans="1:8" customFormat="1" x14ac:dyDescent="0.25">
      <c r="A32748" t="str">
        <f>"9138815"</f>
        <v>9138815</v>
      </c>
      <c r="B32748" t="s">
        <v>24012</v>
      </c>
      <c r="C32748" t="s">
        <v>65</v>
      </c>
      <c r="D32748" s="21" t="s">
        <v>34</v>
      </c>
      <c r="E32748" s="21" t="s">
        <v>71</v>
      </c>
      <c r="F32748">
        <v>8910004</v>
      </c>
      <c r="G32748" t="s">
        <v>9637</v>
      </c>
      <c r="H32748" s="21">
        <v>510</v>
      </c>
    </row>
    <row r="32749" spans="1:8" customFormat="1" x14ac:dyDescent="0.25">
      <c r="A32749" t="str">
        <f>"9417384"</f>
        <v>9417384</v>
      </c>
      <c r="B32749" t="s">
        <v>21933</v>
      </c>
      <c r="C32749" t="s">
        <v>267</v>
      </c>
      <c r="D32749" s="21" t="s">
        <v>34</v>
      </c>
      <c r="E32749" s="21" t="s">
        <v>71</v>
      </c>
      <c r="F32749">
        <v>8771448</v>
      </c>
      <c r="G32749" t="s">
        <v>11540</v>
      </c>
      <c r="H32749" s="21">
        <v>509.92</v>
      </c>
    </row>
    <row r="32750" spans="1:8" customFormat="1" x14ac:dyDescent="0.25">
      <c r="A32750" t="str">
        <f>"257399"</f>
        <v>257399</v>
      </c>
      <c r="B32750" t="s">
        <v>20995</v>
      </c>
      <c r="C32750" t="s">
        <v>1110</v>
      </c>
      <c r="D32750" s="21" t="s">
        <v>34</v>
      </c>
      <c r="E32750" s="21" t="s">
        <v>71</v>
      </c>
      <c r="F32750">
        <v>2250197</v>
      </c>
      <c r="G32750" t="s">
        <v>12054</v>
      </c>
      <c r="H32750" s="21">
        <v>509.92</v>
      </c>
    </row>
    <row r="32751" spans="1:8" customFormat="1" x14ac:dyDescent="0.25">
      <c r="A32751" t="str">
        <f>"0614678"</f>
        <v>0614678</v>
      </c>
      <c r="B32751" t="s">
        <v>19495</v>
      </c>
      <c r="C32751" t="s">
        <v>23605</v>
      </c>
      <c r="D32751" s="21" t="s">
        <v>34</v>
      </c>
      <c r="E32751" s="21" t="s">
        <v>71</v>
      </c>
      <c r="F32751">
        <v>13060043</v>
      </c>
      <c r="G32751" t="s">
        <v>4761</v>
      </c>
      <c r="H32751" s="21">
        <v>509.88</v>
      </c>
    </row>
    <row r="32752" spans="1:8" customFormat="1" x14ac:dyDescent="0.25">
      <c r="A32752" t="str">
        <f>"9251610"</f>
        <v>9251610</v>
      </c>
      <c r="B32752" t="s">
        <v>22763</v>
      </c>
      <c r="C32752" t="s">
        <v>1705</v>
      </c>
      <c r="D32752" s="21" t="s">
        <v>34</v>
      </c>
      <c r="E32752" s="21" t="s">
        <v>71</v>
      </c>
      <c r="F32752">
        <v>8921522</v>
      </c>
      <c r="G32752" t="s">
        <v>22764</v>
      </c>
      <c r="H32752" s="21">
        <v>509.75</v>
      </c>
    </row>
    <row r="32753" spans="1:8" customFormat="1" x14ac:dyDescent="0.25">
      <c r="A32753" t="str">
        <f>"7515909"</f>
        <v>7515909</v>
      </c>
      <c r="B32753" t="s">
        <v>23681</v>
      </c>
      <c r="C32753" t="s">
        <v>598</v>
      </c>
      <c r="D32753" s="21" t="s">
        <v>34</v>
      </c>
      <c r="E32753" s="21" t="s">
        <v>254</v>
      </c>
      <c r="F32753">
        <v>8751271</v>
      </c>
      <c r="G32753" t="s">
        <v>1067</v>
      </c>
      <c r="H32753" s="21">
        <v>509.75</v>
      </c>
    </row>
    <row r="32754" spans="1:8" customFormat="1" x14ac:dyDescent="0.25">
      <c r="A32754" t="str">
        <f>"7641138"</f>
        <v>7641138</v>
      </c>
      <c r="B32754" t="s">
        <v>1031</v>
      </c>
      <c r="C32754" t="s">
        <v>28544</v>
      </c>
      <c r="D32754" s="21" t="s">
        <v>34</v>
      </c>
      <c r="E32754" s="21" t="s">
        <v>35</v>
      </c>
      <c r="F32754">
        <v>9760425</v>
      </c>
      <c r="G32754" t="s">
        <v>5012</v>
      </c>
      <c r="H32754" s="21">
        <v>509.67</v>
      </c>
    </row>
    <row r="32755" spans="1:8" customFormat="1" x14ac:dyDescent="0.25">
      <c r="A32755" t="str">
        <f>"6948195"</f>
        <v>6948195</v>
      </c>
      <c r="B32755" t="s">
        <v>24499</v>
      </c>
      <c r="C32755" t="s">
        <v>415</v>
      </c>
      <c r="D32755" s="21" t="s">
        <v>34</v>
      </c>
      <c r="E32755" s="21" t="s">
        <v>71</v>
      </c>
      <c r="F32755">
        <v>1690160</v>
      </c>
      <c r="G32755" t="s">
        <v>4599</v>
      </c>
      <c r="H32755" s="21">
        <v>509.67</v>
      </c>
    </row>
    <row r="32756" spans="1:8" customFormat="1" x14ac:dyDescent="0.25">
      <c r="A32756" t="str">
        <f>"114204"</f>
        <v>114204</v>
      </c>
      <c r="B32756" t="s">
        <v>28545</v>
      </c>
      <c r="C32756" t="s">
        <v>263</v>
      </c>
      <c r="D32756" s="21" t="s">
        <v>34</v>
      </c>
      <c r="E32756" s="21" t="s">
        <v>35</v>
      </c>
      <c r="F32756">
        <v>11110027</v>
      </c>
      <c r="G32756" t="s">
        <v>713</v>
      </c>
      <c r="H32756" s="21">
        <v>509.67</v>
      </c>
    </row>
    <row r="32757" spans="1:8" customFormat="1" x14ac:dyDescent="0.25">
      <c r="A32757" t="str">
        <f>"7730382"</f>
        <v>7730382</v>
      </c>
      <c r="B32757" t="s">
        <v>24205</v>
      </c>
      <c r="C32757" t="s">
        <v>498</v>
      </c>
      <c r="D32757" s="21" t="s">
        <v>34</v>
      </c>
      <c r="E32757" s="21" t="s">
        <v>35</v>
      </c>
      <c r="F32757">
        <v>8770237</v>
      </c>
      <c r="G32757" t="s">
        <v>128</v>
      </c>
      <c r="H32757" s="21">
        <v>509.67</v>
      </c>
    </row>
    <row r="32758" spans="1:8" customFormat="1" x14ac:dyDescent="0.25">
      <c r="A32758" t="str">
        <f>"1717468"</f>
        <v>1717468</v>
      </c>
      <c r="B32758" t="s">
        <v>28546</v>
      </c>
      <c r="C32758" t="s">
        <v>412</v>
      </c>
      <c r="D32758" s="21" t="s">
        <v>34</v>
      </c>
      <c r="E32758" s="21" t="s">
        <v>254</v>
      </c>
      <c r="F32758">
        <v>10170012</v>
      </c>
      <c r="G32758" t="s">
        <v>14768</v>
      </c>
      <c r="H32758" s="21">
        <v>509.67</v>
      </c>
    </row>
    <row r="32759" spans="1:8" customFormat="1" x14ac:dyDescent="0.25">
      <c r="A32759" t="str">
        <f>"888963"</f>
        <v>888963</v>
      </c>
      <c r="B32759" t="s">
        <v>23876</v>
      </c>
      <c r="C32759" t="s">
        <v>598</v>
      </c>
      <c r="D32759" s="21" t="s">
        <v>34</v>
      </c>
      <c r="E32759" s="21" t="s">
        <v>254</v>
      </c>
      <c r="F32759">
        <v>6880138</v>
      </c>
      <c r="G32759" t="s">
        <v>10053</v>
      </c>
      <c r="H32759" s="21">
        <v>509.67</v>
      </c>
    </row>
    <row r="32760" spans="1:8" customFormat="1" x14ac:dyDescent="0.25">
      <c r="A32760" t="str">
        <f>"2939137"</f>
        <v>2939137</v>
      </c>
      <c r="B32760" t="s">
        <v>2469</v>
      </c>
      <c r="C32760" t="s">
        <v>1853</v>
      </c>
      <c r="D32760" s="21" t="s">
        <v>34</v>
      </c>
      <c r="E32760" s="21" t="s">
        <v>35</v>
      </c>
      <c r="F32760">
        <v>3290268</v>
      </c>
      <c r="G32760" t="s">
        <v>9878</v>
      </c>
      <c r="H32760" s="21">
        <v>509.67</v>
      </c>
    </row>
    <row r="32761" spans="1:8" customFormat="1" x14ac:dyDescent="0.25">
      <c r="A32761" t="str">
        <f>"5732460"</f>
        <v>5732460</v>
      </c>
      <c r="B32761" t="s">
        <v>23177</v>
      </c>
      <c r="C32761" t="s">
        <v>7391</v>
      </c>
      <c r="D32761" s="21" t="s">
        <v>34</v>
      </c>
      <c r="E32761" s="21" t="s">
        <v>71</v>
      </c>
      <c r="F32761">
        <v>6570199</v>
      </c>
      <c r="G32761" t="s">
        <v>5711</v>
      </c>
      <c r="H32761" s="21">
        <v>509.67</v>
      </c>
    </row>
    <row r="32762" spans="1:8" customFormat="1" x14ac:dyDescent="0.25">
      <c r="A32762" t="str">
        <f>"38618"</f>
        <v>38618</v>
      </c>
      <c r="B32762" t="s">
        <v>18716</v>
      </c>
      <c r="C32762" t="s">
        <v>598</v>
      </c>
      <c r="D32762" s="21" t="s">
        <v>34</v>
      </c>
      <c r="E32762" s="21" t="s">
        <v>254</v>
      </c>
      <c r="F32762">
        <v>1380290</v>
      </c>
      <c r="G32762" t="s">
        <v>619</v>
      </c>
      <c r="H32762" s="21">
        <v>509.67</v>
      </c>
    </row>
    <row r="32763" spans="1:8" customFormat="1" x14ac:dyDescent="0.25">
      <c r="A32763" t="str">
        <f>"9D2791"</f>
        <v>9D2791</v>
      </c>
      <c r="B32763" t="s">
        <v>28547</v>
      </c>
      <c r="C32763" t="s">
        <v>60</v>
      </c>
      <c r="D32763" s="21" t="s">
        <v>34</v>
      </c>
      <c r="E32763" s="21" t="s">
        <v>35</v>
      </c>
      <c r="F32763" t="s">
        <v>1923</v>
      </c>
      <c r="G32763" t="s">
        <v>1924</v>
      </c>
      <c r="H32763" s="21">
        <v>509.67</v>
      </c>
    </row>
    <row r="32764" spans="1:8" customFormat="1" x14ac:dyDescent="0.25">
      <c r="A32764" t="str">
        <f>"5936734"</f>
        <v>5936734</v>
      </c>
      <c r="B32764" t="s">
        <v>14832</v>
      </c>
      <c r="C32764" t="s">
        <v>2984</v>
      </c>
      <c r="D32764" s="21" t="s">
        <v>34</v>
      </c>
      <c r="E32764" s="21" t="s">
        <v>71</v>
      </c>
      <c r="F32764">
        <v>7590403</v>
      </c>
      <c r="G32764" t="s">
        <v>2545</v>
      </c>
      <c r="H32764" s="21">
        <v>509.67</v>
      </c>
    </row>
    <row r="32765" spans="1:8" customFormat="1" x14ac:dyDescent="0.25">
      <c r="A32765" t="str">
        <f>"9443625"</f>
        <v>9443625</v>
      </c>
      <c r="B32765" t="s">
        <v>14687</v>
      </c>
      <c r="C32765" t="s">
        <v>3497</v>
      </c>
      <c r="D32765" s="21" t="s">
        <v>34</v>
      </c>
      <c r="E32765" s="21" t="s">
        <v>71</v>
      </c>
      <c r="F32765">
        <v>8940096</v>
      </c>
      <c r="G32765" t="s">
        <v>5453</v>
      </c>
      <c r="H32765" s="21">
        <v>509.67</v>
      </c>
    </row>
    <row r="32766" spans="1:8" customFormat="1" x14ac:dyDescent="0.25">
      <c r="A32766" t="str">
        <f>"745731"</f>
        <v>745731</v>
      </c>
      <c r="B32766" t="s">
        <v>97</v>
      </c>
      <c r="C32766" t="s">
        <v>156</v>
      </c>
      <c r="D32766" s="21" t="s">
        <v>34</v>
      </c>
      <c r="E32766" s="21" t="s">
        <v>1089</v>
      </c>
      <c r="F32766">
        <v>1740038</v>
      </c>
      <c r="G32766" t="s">
        <v>26517</v>
      </c>
      <c r="H32766" s="21">
        <v>509.67</v>
      </c>
    </row>
    <row r="32767" spans="1:8" customFormat="1" x14ac:dyDescent="0.25">
      <c r="A32767" t="str">
        <f>"4927479"</f>
        <v>4927479</v>
      </c>
      <c r="B32767" t="s">
        <v>24265</v>
      </c>
      <c r="C32767" t="s">
        <v>263</v>
      </c>
      <c r="D32767" s="21" t="s">
        <v>34</v>
      </c>
      <c r="E32767" s="21" t="s">
        <v>71</v>
      </c>
      <c r="F32767">
        <v>12490055</v>
      </c>
      <c r="G32767" t="s">
        <v>12099</v>
      </c>
      <c r="H32767" s="21">
        <v>509.67</v>
      </c>
    </row>
    <row r="32768" spans="1:8" customFormat="1" x14ac:dyDescent="0.25">
      <c r="A32768" t="str">
        <f>"0614552"</f>
        <v>0614552</v>
      </c>
      <c r="B32768" t="s">
        <v>21373</v>
      </c>
      <c r="C32768" t="s">
        <v>21374</v>
      </c>
      <c r="D32768" s="21" t="s">
        <v>34</v>
      </c>
      <c r="E32768" s="21" t="s">
        <v>35</v>
      </c>
      <c r="F32768">
        <v>13060029</v>
      </c>
      <c r="G32768" t="s">
        <v>1345</v>
      </c>
      <c r="H32768" s="21">
        <v>509.67</v>
      </c>
    </row>
    <row r="32769" spans="1:8" customFormat="1" x14ac:dyDescent="0.25">
      <c r="A32769" t="str">
        <f>"9452774"</f>
        <v>9452774</v>
      </c>
      <c r="B32769" t="s">
        <v>1490</v>
      </c>
      <c r="C32769" t="s">
        <v>62</v>
      </c>
      <c r="D32769" s="21" t="s">
        <v>34</v>
      </c>
      <c r="E32769" s="21" t="s">
        <v>35</v>
      </c>
      <c r="F32769">
        <v>8941461</v>
      </c>
      <c r="G32769" t="s">
        <v>10447</v>
      </c>
      <c r="H32769" s="21">
        <v>509.67</v>
      </c>
    </row>
    <row r="32770" spans="1:8" customFormat="1" x14ac:dyDescent="0.25">
      <c r="A32770" t="str">
        <f>"1717234"</f>
        <v>1717234</v>
      </c>
      <c r="B32770" t="s">
        <v>22014</v>
      </c>
      <c r="C32770" t="s">
        <v>249</v>
      </c>
      <c r="D32770" s="21" t="s">
        <v>34</v>
      </c>
      <c r="E32770" s="21" t="s">
        <v>71</v>
      </c>
      <c r="F32770">
        <v>10170230</v>
      </c>
      <c r="G32770" t="s">
        <v>22015</v>
      </c>
      <c r="H32770" s="21">
        <v>509.67</v>
      </c>
    </row>
    <row r="32771" spans="1:8" customFormat="1" x14ac:dyDescent="0.25">
      <c r="A32771" t="str">
        <f>"5011705"</f>
        <v>5011705</v>
      </c>
      <c r="B32771" t="s">
        <v>17908</v>
      </c>
      <c r="C32771" t="s">
        <v>1812</v>
      </c>
      <c r="D32771" s="21" t="s">
        <v>34</v>
      </c>
      <c r="E32771" s="21" t="s">
        <v>254</v>
      </c>
      <c r="F32771">
        <v>9500143</v>
      </c>
      <c r="G32771" t="s">
        <v>2884</v>
      </c>
      <c r="H32771" s="21">
        <v>509.67</v>
      </c>
    </row>
    <row r="32772" spans="1:8" customFormat="1" x14ac:dyDescent="0.25">
      <c r="A32772" t="str">
        <f>"7878863"</f>
        <v>7878863</v>
      </c>
      <c r="B32772" t="s">
        <v>24331</v>
      </c>
      <c r="C32772" t="s">
        <v>40</v>
      </c>
      <c r="D32772" s="21" t="s">
        <v>34</v>
      </c>
      <c r="E32772" s="21" t="s">
        <v>254</v>
      </c>
      <c r="F32772">
        <v>8780440</v>
      </c>
      <c r="G32772" t="s">
        <v>6629</v>
      </c>
      <c r="H32772" s="21">
        <v>509.67</v>
      </c>
    </row>
    <row r="32773" spans="1:8" customFormat="1" x14ac:dyDescent="0.25">
      <c r="A32773" t="str">
        <f>"7517178"</f>
        <v>7517178</v>
      </c>
      <c r="B32773" t="s">
        <v>11984</v>
      </c>
      <c r="C32773" t="s">
        <v>415</v>
      </c>
      <c r="D32773" s="21" t="s">
        <v>34</v>
      </c>
      <c r="E32773" s="21" t="s">
        <v>1089</v>
      </c>
      <c r="F32773">
        <v>8750141</v>
      </c>
      <c r="G32773" t="s">
        <v>1514</v>
      </c>
      <c r="H32773" s="21">
        <v>509.67</v>
      </c>
    </row>
    <row r="32774" spans="1:8" customFormat="1" x14ac:dyDescent="0.25">
      <c r="A32774" t="str">
        <f>"067260"</f>
        <v>067260</v>
      </c>
      <c r="B32774" t="s">
        <v>28548</v>
      </c>
      <c r="C32774" t="s">
        <v>204</v>
      </c>
      <c r="D32774" s="21" t="s">
        <v>34</v>
      </c>
      <c r="E32774" s="21" t="s">
        <v>71</v>
      </c>
      <c r="F32774">
        <v>13060080</v>
      </c>
      <c r="G32774" t="s">
        <v>14998</v>
      </c>
      <c r="H32774" s="21">
        <v>509.67</v>
      </c>
    </row>
    <row r="32775" spans="1:8" customFormat="1" x14ac:dyDescent="0.25">
      <c r="A32775" t="str">
        <f>"5613190"</f>
        <v>5613190</v>
      </c>
      <c r="B32775" t="s">
        <v>28549</v>
      </c>
      <c r="C32775" t="s">
        <v>169</v>
      </c>
      <c r="D32775" s="21" t="s">
        <v>34</v>
      </c>
      <c r="E32775" s="21" t="s">
        <v>35</v>
      </c>
      <c r="F32775">
        <v>3560043</v>
      </c>
      <c r="G32775" t="s">
        <v>11635</v>
      </c>
      <c r="H32775" s="21">
        <v>509.67</v>
      </c>
    </row>
    <row r="32776" spans="1:8" customFormat="1" x14ac:dyDescent="0.25">
      <c r="A32776" t="str">
        <f>"665402"</f>
        <v>665402</v>
      </c>
      <c r="B32776" t="s">
        <v>22561</v>
      </c>
      <c r="C32776" t="s">
        <v>239</v>
      </c>
      <c r="D32776" s="21" t="s">
        <v>34</v>
      </c>
      <c r="E32776" s="21" t="s">
        <v>254</v>
      </c>
      <c r="F32776">
        <v>11660011</v>
      </c>
      <c r="G32776" t="s">
        <v>4641</v>
      </c>
      <c r="H32776" s="21">
        <v>509.67</v>
      </c>
    </row>
    <row r="32777" spans="1:8" customFormat="1" x14ac:dyDescent="0.25">
      <c r="A32777" t="str">
        <f>"9421622"</f>
        <v>9421622</v>
      </c>
      <c r="B32777" t="s">
        <v>21619</v>
      </c>
      <c r="C32777" t="s">
        <v>926</v>
      </c>
      <c r="D32777" s="21" t="s">
        <v>34</v>
      </c>
      <c r="E32777" s="21" t="s">
        <v>1089</v>
      </c>
      <c r="F32777">
        <v>13060031</v>
      </c>
      <c r="G32777" t="s">
        <v>9379</v>
      </c>
      <c r="H32777" s="21">
        <v>509.67</v>
      </c>
    </row>
    <row r="32778" spans="1:8" customFormat="1" x14ac:dyDescent="0.25">
      <c r="A32778" t="str">
        <f>"6233389"</f>
        <v>6233389</v>
      </c>
      <c r="B32778" t="s">
        <v>21729</v>
      </c>
      <c r="C32778" t="s">
        <v>11347</v>
      </c>
      <c r="D32778" s="21" t="s">
        <v>34</v>
      </c>
      <c r="E32778" s="21" t="s">
        <v>71</v>
      </c>
      <c r="F32778">
        <v>7620091</v>
      </c>
      <c r="G32778" t="s">
        <v>11533</v>
      </c>
      <c r="H32778" s="21">
        <v>509.67</v>
      </c>
    </row>
    <row r="32779" spans="1:8" customFormat="1" x14ac:dyDescent="0.25">
      <c r="A32779" t="str">
        <f>"8510188"</f>
        <v>8510188</v>
      </c>
      <c r="B32779" t="s">
        <v>21695</v>
      </c>
      <c r="C32779" t="s">
        <v>236</v>
      </c>
      <c r="D32779" s="21" t="s">
        <v>34</v>
      </c>
      <c r="E32779" s="21" t="s">
        <v>254</v>
      </c>
      <c r="F32779">
        <v>12850046</v>
      </c>
      <c r="G32779" t="s">
        <v>3136</v>
      </c>
      <c r="H32779" s="21">
        <v>509.54</v>
      </c>
    </row>
    <row r="32780" spans="1:8" customFormat="1" x14ac:dyDescent="0.25">
      <c r="A32780" t="str">
        <f>"4416380"</f>
        <v>4416380</v>
      </c>
      <c r="B32780" t="s">
        <v>24104</v>
      </c>
      <c r="C32780" t="s">
        <v>55</v>
      </c>
      <c r="D32780" s="21" t="s">
        <v>34</v>
      </c>
      <c r="E32780" s="21" t="s">
        <v>254</v>
      </c>
      <c r="F32780">
        <v>12440017</v>
      </c>
      <c r="G32780" t="s">
        <v>7683</v>
      </c>
      <c r="H32780" s="21">
        <v>509.5</v>
      </c>
    </row>
    <row r="32781" spans="1:8" customFormat="1" x14ac:dyDescent="0.25">
      <c r="A32781" t="str">
        <f>"5733924"</f>
        <v>5733924</v>
      </c>
      <c r="B32781" t="s">
        <v>3140</v>
      </c>
      <c r="C32781" t="s">
        <v>109</v>
      </c>
      <c r="D32781" s="21" t="s">
        <v>34</v>
      </c>
      <c r="E32781" s="21" t="s">
        <v>35</v>
      </c>
      <c r="F32781">
        <v>6570075</v>
      </c>
      <c r="G32781" t="s">
        <v>3008</v>
      </c>
      <c r="H32781" s="21">
        <v>509.5</v>
      </c>
    </row>
    <row r="32782" spans="1:8" customFormat="1" x14ac:dyDescent="0.25">
      <c r="A32782" t="str">
        <f>"3716173"</f>
        <v>3716173</v>
      </c>
      <c r="B32782" t="s">
        <v>28550</v>
      </c>
      <c r="C32782" t="s">
        <v>209</v>
      </c>
      <c r="D32782" s="21" t="s">
        <v>34</v>
      </c>
      <c r="E32782" s="21" t="s">
        <v>71</v>
      </c>
      <c r="F32782">
        <v>4370498</v>
      </c>
      <c r="G32782" t="s">
        <v>10872</v>
      </c>
      <c r="H32782" s="21">
        <v>509.5</v>
      </c>
    </row>
    <row r="32783" spans="1:8" customFormat="1" x14ac:dyDescent="0.25">
      <c r="A32783" t="str">
        <f>"651202"</f>
        <v>651202</v>
      </c>
      <c r="B32783" t="s">
        <v>834</v>
      </c>
      <c r="C32783" t="s">
        <v>1597</v>
      </c>
      <c r="D32783" s="21" t="s">
        <v>34</v>
      </c>
      <c r="E32783" s="21" t="s">
        <v>71</v>
      </c>
      <c r="F32783">
        <v>11650016</v>
      </c>
      <c r="G32783" t="s">
        <v>9559</v>
      </c>
      <c r="H32783" s="21">
        <v>509.5</v>
      </c>
    </row>
    <row r="32784" spans="1:8" customFormat="1" x14ac:dyDescent="0.25">
      <c r="A32784" t="str">
        <f>"5969111"</f>
        <v>5969111</v>
      </c>
      <c r="B32784" t="s">
        <v>22130</v>
      </c>
      <c r="C32784" t="s">
        <v>3010</v>
      </c>
      <c r="D32784" s="21" t="s">
        <v>34</v>
      </c>
      <c r="E32784" s="21" t="s">
        <v>71</v>
      </c>
      <c r="F32784">
        <v>7590237</v>
      </c>
      <c r="G32784" t="s">
        <v>3600</v>
      </c>
      <c r="H32784" s="21">
        <v>509.5</v>
      </c>
    </row>
    <row r="32785" spans="1:8" customFormat="1" x14ac:dyDescent="0.25">
      <c r="A32785" t="str">
        <f>"6011019"</f>
        <v>6011019</v>
      </c>
      <c r="B32785" t="s">
        <v>8922</v>
      </c>
      <c r="C32785" t="s">
        <v>3905</v>
      </c>
      <c r="D32785" s="21" t="s">
        <v>34</v>
      </c>
      <c r="E32785" s="21" t="s">
        <v>6185</v>
      </c>
      <c r="F32785">
        <v>7600141</v>
      </c>
      <c r="G32785" t="s">
        <v>3592</v>
      </c>
      <c r="H32785" s="21">
        <v>509.5</v>
      </c>
    </row>
    <row r="32786" spans="1:8" customFormat="1" x14ac:dyDescent="0.25">
      <c r="A32786" t="str">
        <f>"3335755"</f>
        <v>3335755</v>
      </c>
      <c r="B32786" t="s">
        <v>10399</v>
      </c>
      <c r="C32786" t="s">
        <v>55</v>
      </c>
      <c r="D32786" s="21" t="s">
        <v>34</v>
      </c>
      <c r="E32786" s="21" t="s">
        <v>254</v>
      </c>
      <c r="F32786">
        <v>10330013</v>
      </c>
      <c r="G32786" t="s">
        <v>613</v>
      </c>
      <c r="H32786" s="21">
        <v>509.5</v>
      </c>
    </row>
    <row r="32787" spans="1:8" customFormat="1" x14ac:dyDescent="0.25">
      <c r="A32787" t="str">
        <f>"4924198"</f>
        <v>4924198</v>
      </c>
      <c r="B32787" t="s">
        <v>427</v>
      </c>
      <c r="C32787" t="s">
        <v>33</v>
      </c>
      <c r="D32787" s="21" t="s">
        <v>34</v>
      </c>
      <c r="E32787" s="21" t="s">
        <v>71</v>
      </c>
      <c r="F32787">
        <v>12490014</v>
      </c>
      <c r="G32787" t="s">
        <v>8547</v>
      </c>
      <c r="H32787" s="21">
        <v>509.5</v>
      </c>
    </row>
    <row r="32788" spans="1:8" customFormat="1" x14ac:dyDescent="0.25">
      <c r="A32788" t="str">
        <f>"5935719"</f>
        <v>5935719</v>
      </c>
      <c r="B32788" t="s">
        <v>24029</v>
      </c>
      <c r="C32788" t="s">
        <v>55</v>
      </c>
      <c r="D32788" s="21" t="s">
        <v>34</v>
      </c>
      <c r="E32788" s="21" t="s">
        <v>71</v>
      </c>
      <c r="F32788">
        <v>7590361</v>
      </c>
      <c r="G32788" t="s">
        <v>3071</v>
      </c>
      <c r="H32788" s="21">
        <v>509.5</v>
      </c>
    </row>
    <row r="32789" spans="1:8" customFormat="1" x14ac:dyDescent="0.25">
      <c r="A32789" t="str">
        <f>"6718934"</f>
        <v>6718934</v>
      </c>
      <c r="B32789" t="s">
        <v>28551</v>
      </c>
      <c r="C32789" t="s">
        <v>1025</v>
      </c>
      <c r="D32789" s="21" t="s">
        <v>34</v>
      </c>
      <c r="E32789" s="21" t="s">
        <v>35</v>
      </c>
      <c r="F32789">
        <v>6670107</v>
      </c>
      <c r="G32789" t="s">
        <v>5610</v>
      </c>
      <c r="H32789" s="21">
        <v>509.5</v>
      </c>
    </row>
    <row r="32790" spans="1:8" customFormat="1" x14ac:dyDescent="0.25">
      <c r="A32790" t="str">
        <f>"4218177"</f>
        <v>4218177</v>
      </c>
      <c r="B32790" t="s">
        <v>28552</v>
      </c>
      <c r="C32790" t="s">
        <v>209</v>
      </c>
      <c r="D32790" s="21" t="s">
        <v>34</v>
      </c>
      <c r="E32790" s="21" t="s">
        <v>35</v>
      </c>
      <c r="F32790">
        <v>1420117</v>
      </c>
      <c r="G32790" t="s">
        <v>2649</v>
      </c>
      <c r="H32790" s="21">
        <v>509.5</v>
      </c>
    </row>
    <row r="32791" spans="1:8" customFormat="1" x14ac:dyDescent="0.25">
      <c r="A32791" t="str">
        <f>"4522260"</f>
        <v>4522260</v>
      </c>
      <c r="B32791" t="s">
        <v>21674</v>
      </c>
      <c r="C32791" t="s">
        <v>147</v>
      </c>
      <c r="D32791" s="21" t="s">
        <v>34</v>
      </c>
      <c r="E32791" s="21" t="s">
        <v>35</v>
      </c>
      <c r="F32791">
        <v>4450661</v>
      </c>
      <c r="G32791" t="s">
        <v>12253</v>
      </c>
      <c r="H32791" s="21">
        <v>509.5</v>
      </c>
    </row>
    <row r="32792" spans="1:8" customFormat="1" x14ac:dyDescent="0.25">
      <c r="A32792" t="str">
        <f>"5963788"</f>
        <v>5963788</v>
      </c>
      <c r="B32792" t="s">
        <v>22670</v>
      </c>
      <c r="C32792" t="s">
        <v>211</v>
      </c>
      <c r="D32792" s="21" t="s">
        <v>34</v>
      </c>
      <c r="E32792" s="21" t="s">
        <v>71</v>
      </c>
      <c r="F32792">
        <v>7590313</v>
      </c>
      <c r="G32792" t="s">
        <v>5529</v>
      </c>
      <c r="H32792" s="21">
        <v>509.5</v>
      </c>
    </row>
    <row r="32793" spans="1:8" customFormat="1" x14ac:dyDescent="0.25">
      <c r="A32793" t="str">
        <f>"5973409"</f>
        <v>5973409</v>
      </c>
      <c r="B32793" t="s">
        <v>22690</v>
      </c>
      <c r="C32793" t="s">
        <v>263</v>
      </c>
      <c r="D32793" s="21" t="s">
        <v>34</v>
      </c>
      <c r="E32793" s="21" t="s">
        <v>71</v>
      </c>
      <c r="F32793">
        <v>7590259</v>
      </c>
      <c r="G32793" t="s">
        <v>6385</v>
      </c>
      <c r="H32793" s="21">
        <v>509.42</v>
      </c>
    </row>
    <row r="32794" spans="1:8" customFormat="1" x14ac:dyDescent="0.25">
      <c r="A32794" t="str">
        <f>"461358"</f>
        <v>461358</v>
      </c>
      <c r="B32794" t="s">
        <v>17071</v>
      </c>
      <c r="C32794" t="s">
        <v>209</v>
      </c>
      <c r="D32794" s="21" t="s">
        <v>34</v>
      </c>
      <c r="E32794" s="21" t="s">
        <v>35</v>
      </c>
      <c r="F32794">
        <v>11460024</v>
      </c>
      <c r="G32794" t="s">
        <v>14804</v>
      </c>
      <c r="H32794" s="21">
        <v>509.29</v>
      </c>
    </row>
    <row r="32795" spans="1:8" customFormat="1" x14ac:dyDescent="0.25">
      <c r="A32795" t="str">
        <f>"7714145"</f>
        <v>7714145</v>
      </c>
      <c r="B32795" t="s">
        <v>24235</v>
      </c>
      <c r="C32795" t="s">
        <v>156</v>
      </c>
      <c r="D32795" s="21" t="s">
        <v>34</v>
      </c>
      <c r="E32795" s="21" t="s">
        <v>1089</v>
      </c>
      <c r="F32795">
        <v>8771025</v>
      </c>
      <c r="G32795" t="s">
        <v>5469</v>
      </c>
      <c r="H32795" s="21">
        <v>509.25</v>
      </c>
    </row>
    <row r="32796" spans="1:8" customFormat="1" x14ac:dyDescent="0.25">
      <c r="A32796" t="str">
        <f>"324963"</f>
        <v>324963</v>
      </c>
      <c r="B32796" t="s">
        <v>2089</v>
      </c>
      <c r="C32796" t="s">
        <v>28553</v>
      </c>
      <c r="D32796" s="21" t="s">
        <v>34</v>
      </c>
      <c r="E32796" s="21" t="s">
        <v>35</v>
      </c>
      <c r="F32796">
        <v>11320027</v>
      </c>
      <c r="G32796" t="s">
        <v>8305</v>
      </c>
      <c r="H32796" s="21">
        <v>509.25</v>
      </c>
    </row>
    <row r="32797" spans="1:8" customFormat="1" x14ac:dyDescent="0.25">
      <c r="A32797" t="str">
        <f>"7641872"</f>
        <v>7641872</v>
      </c>
      <c r="B32797" t="s">
        <v>28554</v>
      </c>
      <c r="C32797" t="s">
        <v>412</v>
      </c>
      <c r="D32797" s="21" t="s">
        <v>34</v>
      </c>
      <c r="E32797" s="21" t="s">
        <v>35</v>
      </c>
      <c r="F32797">
        <v>9760320</v>
      </c>
      <c r="G32797" t="s">
        <v>4917</v>
      </c>
      <c r="H32797" s="21">
        <v>509.25</v>
      </c>
    </row>
    <row r="32798" spans="1:8" customFormat="1" x14ac:dyDescent="0.25">
      <c r="A32798" t="str">
        <f>"9247233"</f>
        <v>9247233</v>
      </c>
      <c r="B32798" t="s">
        <v>22591</v>
      </c>
      <c r="C32798" t="s">
        <v>22592</v>
      </c>
      <c r="D32798" s="21" t="s">
        <v>34</v>
      </c>
      <c r="E32798" s="21" t="s">
        <v>35</v>
      </c>
      <c r="F32798">
        <v>8920111</v>
      </c>
      <c r="G32798" t="s">
        <v>1064</v>
      </c>
      <c r="H32798" s="21">
        <v>509.17</v>
      </c>
    </row>
    <row r="32799" spans="1:8" customFormat="1" x14ac:dyDescent="0.25">
      <c r="A32799" t="str">
        <f>"429067"</f>
        <v>429067</v>
      </c>
      <c r="B32799" t="s">
        <v>23642</v>
      </c>
      <c r="C32799" t="s">
        <v>267</v>
      </c>
      <c r="D32799" s="21" t="s">
        <v>34</v>
      </c>
      <c r="E32799" s="21" t="s">
        <v>71</v>
      </c>
      <c r="F32799">
        <v>1420036</v>
      </c>
      <c r="G32799" t="s">
        <v>17218</v>
      </c>
      <c r="H32799" s="21">
        <v>509.17</v>
      </c>
    </row>
    <row r="32800" spans="1:8" customFormat="1" x14ac:dyDescent="0.25">
      <c r="A32800" t="str">
        <f>"5954060"</f>
        <v>5954060</v>
      </c>
      <c r="B32800" t="s">
        <v>28555</v>
      </c>
      <c r="C32800" t="s">
        <v>500</v>
      </c>
      <c r="D32800" s="21" t="s">
        <v>34</v>
      </c>
      <c r="E32800" s="21" t="s">
        <v>35</v>
      </c>
      <c r="F32800">
        <v>7590051</v>
      </c>
      <c r="G32800" t="s">
        <v>3831</v>
      </c>
      <c r="H32800" s="21">
        <v>509.17</v>
      </c>
    </row>
    <row r="32801" spans="1:8" customFormat="1" x14ac:dyDescent="0.25">
      <c r="A32801" t="str">
        <f>"2511082"</f>
        <v>2511082</v>
      </c>
      <c r="B32801" t="s">
        <v>22579</v>
      </c>
      <c r="C32801" t="s">
        <v>55</v>
      </c>
      <c r="D32801" s="21" t="s">
        <v>34</v>
      </c>
      <c r="E32801" s="21" t="s">
        <v>71</v>
      </c>
      <c r="F32801">
        <v>2250196</v>
      </c>
      <c r="G32801" t="s">
        <v>27452</v>
      </c>
      <c r="H32801" s="21">
        <v>509.17</v>
      </c>
    </row>
    <row r="32802" spans="1:8" customFormat="1" x14ac:dyDescent="0.25">
      <c r="A32802" t="str">
        <f>"72640"</f>
        <v>72640</v>
      </c>
      <c r="B32802" t="s">
        <v>6106</v>
      </c>
      <c r="C32802" t="s">
        <v>1119</v>
      </c>
      <c r="D32802" s="21" t="s">
        <v>34</v>
      </c>
      <c r="E32802" s="21" t="s">
        <v>6185</v>
      </c>
      <c r="F32802">
        <v>12720004</v>
      </c>
      <c r="G32802" t="s">
        <v>2328</v>
      </c>
      <c r="H32802" s="21">
        <v>509.17</v>
      </c>
    </row>
    <row r="32803" spans="1:8" customFormat="1" x14ac:dyDescent="0.25">
      <c r="A32803" t="str">
        <f>"7726633"</f>
        <v>7726633</v>
      </c>
      <c r="B32803" t="s">
        <v>22372</v>
      </c>
      <c r="C32803" t="s">
        <v>65</v>
      </c>
      <c r="D32803" s="21" t="s">
        <v>34</v>
      </c>
      <c r="E32803" s="21" t="s">
        <v>35</v>
      </c>
      <c r="F32803">
        <v>8771508</v>
      </c>
      <c r="G32803" t="s">
        <v>4072</v>
      </c>
      <c r="H32803" s="21">
        <v>509.17</v>
      </c>
    </row>
    <row r="32804" spans="1:8" customFormat="1" x14ac:dyDescent="0.25">
      <c r="A32804" t="str">
        <f>"2714844"</f>
        <v>2714844</v>
      </c>
      <c r="B32804" t="s">
        <v>7428</v>
      </c>
      <c r="C32804" t="s">
        <v>3073</v>
      </c>
      <c r="D32804" s="21" t="s">
        <v>34</v>
      </c>
      <c r="E32804" s="21" t="s">
        <v>1089</v>
      </c>
      <c r="F32804">
        <v>9270136</v>
      </c>
      <c r="G32804" t="s">
        <v>5896</v>
      </c>
      <c r="H32804" s="21">
        <v>509.17</v>
      </c>
    </row>
    <row r="32805" spans="1:8" customFormat="1" x14ac:dyDescent="0.25">
      <c r="A32805" t="str">
        <f>"5733691"</f>
        <v>5733691</v>
      </c>
      <c r="B32805" t="s">
        <v>24607</v>
      </c>
      <c r="C32805" t="s">
        <v>204</v>
      </c>
      <c r="D32805" s="21" t="s">
        <v>34</v>
      </c>
      <c r="E32805" s="21" t="s">
        <v>71</v>
      </c>
      <c r="F32805">
        <v>6570180</v>
      </c>
      <c r="G32805" t="s">
        <v>456</v>
      </c>
      <c r="H32805" s="21">
        <v>509.17</v>
      </c>
    </row>
    <row r="32806" spans="1:8" customFormat="1" x14ac:dyDescent="0.25">
      <c r="A32806" t="str">
        <f>"8018092"</f>
        <v>8018092</v>
      </c>
      <c r="B32806" t="s">
        <v>15227</v>
      </c>
      <c r="C32806" t="s">
        <v>415</v>
      </c>
      <c r="D32806" s="21" t="s">
        <v>34</v>
      </c>
      <c r="E32806" s="21" t="s">
        <v>254</v>
      </c>
      <c r="F32806">
        <v>7800030</v>
      </c>
      <c r="G32806" t="s">
        <v>13589</v>
      </c>
      <c r="H32806" s="21">
        <v>509</v>
      </c>
    </row>
    <row r="32807" spans="1:8" customFormat="1" x14ac:dyDescent="0.25">
      <c r="A32807" t="str">
        <f>"7882407"</f>
        <v>7882407</v>
      </c>
      <c r="B32807" t="s">
        <v>3367</v>
      </c>
      <c r="C32807" t="s">
        <v>87</v>
      </c>
      <c r="D32807" s="21" t="s">
        <v>34</v>
      </c>
      <c r="E32807" s="21" t="s">
        <v>71</v>
      </c>
      <c r="F32807">
        <v>8781380</v>
      </c>
      <c r="G32807" t="s">
        <v>10815</v>
      </c>
      <c r="H32807" s="21">
        <v>509</v>
      </c>
    </row>
    <row r="32808" spans="1:8" customFormat="1" x14ac:dyDescent="0.25">
      <c r="A32808" t="str">
        <f>"6940914"</f>
        <v>6940914</v>
      </c>
      <c r="B32808" t="s">
        <v>28556</v>
      </c>
      <c r="C32808" t="s">
        <v>204</v>
      </c>
      <c r="D32808" s="21" t="s">
        <v>34</v>
      </c>
      <c r="E32808" s="21" t="s">
        <v>35</v>
      </c>
      <c r="F32808">
        <v>1690181</v>
      </c>
      <c r="G32808" t="s">
        <v>20881</v>
      </c>
      <c r="H32808" s="21">
        <v>509</v>
      </c>
    </row>
    <row r="32809" spans="1:8" customFormat="1" x14ac:dyDescent="0.25">
      <c r="A32809" t="str">
        <f>"2619432"</f>
        <v>2619432</v>
      </c>
      <c r="B32809" t="s">
        <v>21557</v>
      </c>
      <c r="C32809" t="s">
        <v>249</v>
      </c>
      <c r="D32809" s="21" t="s">
        <v>34</v>
      </c>
      <c r="E32809" s="21" t="s">
        <v>35</v>
      </c>
      <c r="F32809">
        <v>1260068</v>
      </c>
      <c r="G32809" t="s">
        <v>6531</v>
      </c>
      <c r="H32809" s="21">
        <v>509</v>
      </c>
    </row>
    <row r="32810" spans="1:8" customFormat="1" x14ac:dyDescent="0.25">
      <c r="A32810" t="str">
        <f>"815257"</f>
        <v>815257</v>
      </c>
      <c r="B32810" t="s">
        <v>23742</v>
      </c>
      <c r="C32810" t="s">
        <v>253</v>
      </c>
      <c r="D32810" s="21" t="s">
        <v>34</v>
      </c>
      <c r="E32810" s="21" t="s">
        <v>71</v>
      </c>
      <c r="F32810">
        <v>11810028</v>
      </c>
      <c r="G32810" t="s">
        <v>5817</v>
      </c>
      <c r="H32810" s="21">
        <v>509</v>
      </c>
    </row>
    <row r="32811" spans="1:8" customFormat="1" x14ac:dyDescent="0.25">
      <c r="A32811" t="str">
        <f>"686327"</f>
        <v>686327</v>
      </c>
      <c r="B32811" t="s">
        <v>5161</v>
      </c>
      <c r="C32811" t="s">
        <v>598</v>
      </c>
      <c r="D32811" s="21" t="s">
        <v>34</v>
      </c>
      <c r="E32811" s="21" t="s">
        <v>71</v>
      </c>
      <c r="F32811">
        <v>6680020</v>
      </c>
      <c r="G32811" t="s">
        <v>12995</v>
      </c>
      <c r="H32811" s="21">
        <v>509</v>
      </c>
    </row>
    <row r="32812" spans="1:8" customFormat="1" x14ac:dyDescent="0.25">
      <c r="A32812" t="str">
        <f>"4529375"</f>
        <v>4529375</v>
      </c>
      <c r="B32812" t="s">
        <v>27839</v>
      </c>
      <c r="C32812" t="s">
        <v>65</v>
      </c>
      <c r="D32812" s="21" t="s">
        <v>34</v>
      </c>
      <c r="E32812" s="21" t="s">
        <v>35</v>
      </c>
      <c r="F32812">
        <v>4450759</v>
      </c>
      <c r="G32812" t="s">
        <v>6587</v>
      </c>
      <c r="H32812" s="21">
        <v>509</v>
      </c>
    </row>
    <row r="32813" spans="1:8" customFormat="1" x14ac:dyDescent="0.25">
      <c r="A32813" t="str">
        <f>"812212"</f>
        <v>812212</v>
      </c>
      <c r="B32813" t="s">
        <v>3546</v>
      </c>
      <c r="C32813" t="s">
        <v>60</v>
      </c>
      <c r="D32813" s="21" t="s">
        <v>34</v>
      </c>
      <c r="E32813" s="21" t="s">
        <v>71</v>
      </c>
      <c r="F32813">
        <v>11300032</v>
      </c>
      <c r="G32813" t="s">
        <v>17309</v>
      </c>
      <c r="H32813" s="21">
        <v>509</v>
      </c>
    </row>
    <row r="32814" spans="1:8" customFormat="1" x14ac:dyDescent="0.25">
      <c r="A32814" t="str">
        <f>"6018914"</f>
        <v>6018914</v>
      </c>
      <c r="B32814" t="s">
        <v>28557</v>
      </c>
      <c r="C32814" t="s">
        <v>415</v>
      </c>
      <c r="D32814" s="21" t="s">
        <v>34</v>
      </c>
      <c r="E32814" s="21" t="s">
        <v>254</v>
      </c>
      <c r="F32814">
        <v>7600054</v>
      </c>
      <c r="G32814" t="s">
        <v>1352</v>
      </c>
      <c r="H32814" s="21">
        <v>509</v>
      </c>
    </row>
    <row r="32815" spans="1:8" customFormat="1" x14ac:dyDescent="0.25">
      <c r="A32815" t="str">
        <f>"1423781"</f>
        <v>1423781</v>
      </c>
      <c r="B32815" t="s">
        <v>1113</v>
      </c>
      <c r="C32815" t="s">
        <v>576</v>
      </c>
      <c r="D32815" s="21" t="s">
        <v>34</v>
      </c>
      <c r="E32815" s="21" t="s">
        <v>35</v>
      </c>
      <c r="F32815">
        <v>9140229</v>
      </c>
      <c r="G32815" t="s">
        <v>22327</v>
      </c>
      <c r="H32815" s="21">
        <v>509</v>
      </c>
    </row>
    <row r="32816" spans="1:8" customFormat="1" x14ac:dyDescent="0.25">
      <c r="A32816" t="str">
        <f>"6233661"</f>
        <v>6233661</v>
      </c>
      <c r="B32816" t="s">
        <v>392</v>
      </c>
      <c r="C32816" t="s">
        <v>2520</v>
      </c>
      <c r="D32816" s="21" t="s">
        <v>34</v>
      </c>
      <c r="E32816" s="21" t="s">
        <v>71</v>
      </c>
      <c r="F32816">
        <v>7620180</v>
      </c>
      <c r="G32816" t="s">
        <v>7188</v>
      </c>
      <c r="H32816" s="21">
        <v>509</v>
      </c>
    </row>
    <row r="32817" spans="1:8" customFormat="1" x14ac:dyDescent="0.25">
      <c r="A32817" t="str">
        <f>"5982637"</f>
        <v>5982637</v>
      </c>
      <c r="B32817" t="s">
        <v>28558</v>
      </c>
      <c r="C32817" t="s">
        <v>23085</v>
      </c>
      <c r="D32817" s="21" t="s">
        <v>34</v>
      </c>
      <c r="E32817" s="21" t="s">
        <v>35</v>
      </c>
      <c r="F32817">
        <v>7590428</v>
      </c>
      <c r="G32817" t="s">
        <v>27183</v>
      </c>
      <c r="H32817" s="21">
        <v>509</v>
      </c>
    </row>
    <row r="32818" spans="1:8" customFormat="1" x14ac:dyDescent="0.25">
      <c r="A32818" t="str">
        <f>"486299"</f>
        <v>486299</v>
      </c>
      <c r="B32818" t="s">
        <v>28559</v>
      </c>
      <c r="C32818" t="s">
        <v>33</v>
      </c>
      <c r="D32818" s="21" t="s">
        <v>34</v>
      </c>
      <c r="E32818" s="21" t="s">
        <v>35</v>
      </c>
      <c r="F32818">
        <v>11480027</v>
      </c>
      <c r="G32818" t="s">
        <v>2950</v>
      </c>
      <c r="H32818" s="21">
        <v>509</v>
      </c>
    </row>
    <row r="32819" spans="1:8" customFormat="1" x14ac:dyDescent="0.25">
      <c r="A32819" t="str">
        <f>"4457044"</f>
        <v>4457044</v>
      </c>
      <c r="B32819" t="s">
        <v>28560</v>
      </c>
      <c r="C32819" t="s">
        <v>28561</v>
      </c>
      <c r="D32819" s="21" t="s">
        <v>34</v>
      </c>
      <c r="E32819" s="21" t="s">
        <v>35</v>
      </c>
      <c r="F32819">
        <v>12440238</v>
      </c>
      <c r="G32819" t="s">
        <v>5258</v>
      </c>
      <c r="H32819" s="21">
        <v>509</v>
      </c>
    </row>
    <row r="32820" spans="1:8" customFormat="1" x14ac:dyDescent="0.25">
      <c r="A32820" t="str">
        <f>"665616"</f>
        <v>665616</v>
      </c>
      <c r="B32820" t="s">
        <v>9072</v>
      </c>
      <c r="C32820" t="s">
        <v>1597</v>
      </c>
      <c r="D32820" s="21" t="s">
        <v>34</v>
      </c>
      <c r="E32820" s="21" t="s">
        <v>1089</v>
      </c>
      <c r="F32820">
        <v>11660020</v>
      </c>
      <c r="G32820" t="s">
        <v>10247</v>
      </c>
      <c r="H32820" s="21">
        <v>509</v>
      </c>
    </row>
    <row r="32821" spans="1:8" customFormat="1" x14ac:dyDescent="0.25">
      <c r="A32821" t="str">
        <f>"407685"</f>
        <v>407685</v>
      </c>
      <c r="B32821" t="s">
        <v>28562</v>
      </c>
      <c r="C32821" t="s">
        <v>96</v>
      </c>
      <c r="D32821" s="21" t="s">
        <v>34</v>
      </c>
      <c r="E32821" s="21" t="s">
        <v>35</v>
      </c>
      <c r="F32821">
        <v>10400008</v>
      </c>
      <c r="G32821" t="s">
        <v>2294</v>
      </c>
      <c r="H32821" s="21">
        <v>509</v>
      </c>
    </row>
    <row r="32822" spans="1:8" customFormat="1" x14ac:dyDescent="0.25">
      <c r="A32822" t="str">
        <f>"6919696"</f>
        <v>6919696</v>
      </c>
      <c r="B32822" t="s">
        <v>23930</v>
      </c>
      <c r="C32822" t="s">
        <v>1597</v>
      </c>
      <c r="D32822" s="21" t="s">
        <v>34</v>
      </c>
      <c r="E32822" s="21" t="s">
        <v>71</v>
      </c>
      <c r="F32822">
        <v>1690031</v>
      </c>
      <c r="G32822" t="s">
        <v>2716</v>
      </c>
      <c r="H32822" s="21">
        <v>509</v>
      </c>
    </row>
    <row r="32823" spans="1:8" customFormat="1" x14ac:dyDescent="0.25">
      <c r="A32823" t="str">
        <f>"7855970"</f>
        <v>7855970</v>
      </c>
      <c r="B32823" t="s">
        <v>1094</v>
      </c>
      <c r="C32823" t="s">
        <v>269</v>
      </c>
      <c r="D32823" s="21" t="s">
        <v>34</v>
      </c>
      <c r="E32823" s="21" t="s">
        <v>71</v>
      </c>
      <c r="F32823">
        <v>8781467</v>
      </c>
      <c r="G32823" t="s">
        <v>3838</v>
      </c>
      <c r="H32823" s="21">
        <v>509</v>
      </c>
    </row>
    <row r="32824" spans="1:8" customFormat="1" x14ac:dyDescent="0.25">
      <c r="A32824" t="str">
        <f>"5620704"</f>
        <v>5620704</v>
      </c>
      <c r="B32824" t="s">
        <v>5656</v>
      </c>
      <c r="C32824" t="s">
        <v>263</v>
      </c>
      <c r="D32824" s="21" t="s">
        <v>34</v>
      </c>
      <c r="E32824" s="21" t="s">
        <v>71</v>
      </c>
      <c r="F32824">
        <v>3560046</v>
      </c>
      <c r="G32824" t="s">
        <v>9309</v>
      </c>
      <c r="H32824" s="21">
        <v>509</v>
      </c>
    </row>
    <row r="32825" spans="1:8" customFormat="1" x14ac:dyDescent="0.25">
      <c r="A32825" t="str">
        <f>"3729695"</f>
        <v>3729695</v>
      </c>
      <c r="B32825" t="s">
        <v>4611</v>
      </c>
      <c r="C32825" t="s">
        <v>60</v>
      </c>
      <c r="D32825" s="21" t="s">
        <v>34</v>
      </c>
      <c r="E32825" s="21" t="s">
        <v>254</v>
      </c>
      <c r="F32825">
        <v>4370691</v>
      </c>
      <c r="G32825" t="s">
        <v>12036</v>
      </c>
      <c r="H32825" s="21">
        <v>509</v>
      </c>
    </row>
    <row r="32826" spans="1:8" customFormat="1" x14ac:dyDescent="0.25">
      <c r="A32826" t="str">
        <f>"6313469"</f>
        <v>6313469</v>
      </c>
      <c r="B32826" t="s">
        <v>400</v>
      </c>
      <c r="C32826" t="s">
        <v>285</v>
      </c>
      <c r="D32826" s="21" t="s">
        <v>34</v>
      </c>
      <c r="E32826" s="21" t="s">
        <v>35</v>
      </c>
      <c r="F32826">
        <v>1630184</v>
      </c>
      <c r="G32826" t="s">
        <v>26702</v>
      </c>
      <c r="H32826" s="21">
        <v>509</v>
      </c>
    </row>
    <row r="32827" spans="1:8" customFormat="1" x14ac:dyDescent="0.25">
      <c r="A32827" t="str">
        <f>"1613183"</f>
        <v>1613183</v>
      </c>
      <c r="B32827" t="s">
        <v>28563</v>
      </c>
      <c r="C32827" t="s">
        <v>28564</v>
      </c>
      <c r="D32827" s="21" t="s">
        <v>34</v>
      </c>
      <c r="E32827" s="21" t="s">
        <v>35</v>
      </c>
      <c r="F32827">
        <v>10160044</v>
      </c>
      <c r="G32827" t="s">
        <v>4941</v>
      </c>
      <c r="H32827" s="21">
        <v>509</v>
      </c>
    </row>
    <row r="32828" spans="1:8" customFormat="1" x14ac:dyDescent="0.25">
      <c r="A32828" t="str">
        <f>"848737"</f>
        <v>848737</v>
      </c>
      <c r="B32828" t="s">
        <v>20681</v>
      </c>
      <c r="C32828" t="s">
        <v>206</v>
      </c>
      <c r="D32828" s="21" t="s">
        <v>34</v>
      </c>
      <c r="E32828" s="21" t="s">
        <v>35</v>
      </c>
      <c r="F32828">
        <v>13840012</v>
      </c>
      <c r="G32828" t="s">
        <v>5143</v>
      </c>
      <c r="H32828" s="21">
        <v>509</v>
      </c>
    </row>
    <row r="32829" spans="1:8" customFormat="1" x14ac:dyDescent="0.25">
      <c r="A32829" t="str">
        <f>"4453579"</f>
        <v>4453579</v>
      </c>
      <c r="B32829" t="s">
        <v>21224</v>
      </c>
      <c r="C32829" t="s">
        <v>198</v>
      </c>
      <c r="D32829" s="21" t="s">
        <v>34</v>
      </c>
      <c r="E32829" s="21" t="s">
        <v>35</v>
      </c>
      <c r="F32829">
        <v>12440116</v>
      </c>
      <c r="G32829" t="s">
        <v>26673</v>
      </c>
      <c r="H32829" s="21">
        <v>509</v>
      </c>
    </row>
    <row r="32830" spans="1:8" customFormat="1" x14ac:dyDescent="0.25">
      <c r="A32830" t="str">
        <f>"5919850"</f>
        <v>5919850</v>
      </c>
      <c r="B32830" t="s">
        <v>28565</v>
      </c>
      <c r="C32830" t="s">
        <v>7453</v>
      </c>
      <c r="D32830" s="21" t="s">
        <v>34</v>
      </c>
      <c r="E32830" s="21" t="s">
        <v>35</v>
      </c>
      <c r="F32830">
        <v>7590218</v>
      </c>
      <c r="G32830" t="s">
        <v>26769</v>
      </c>
      <c r="H32830" s="21">
        <v>509</v>
      </c>
    </row>
    <row r="32831" spans="1:8" customFormat="1" x14ac:dyDescent="0.25">
      <c r="A32831" t="str">
        <f>"548863"</f>
        <v>548863</v>
      </c>
      <c r="B32831" t="s">
        <v>2405</v>
      </c>
      <c r="C32831" t="s">
        <v>40</v>
      </c>
      <c r="D32831" s="21" t="s">
        <v>34</v>
      </c>
      <c r="E32831" s="21" t="s">
        <v>254</v>
      </c>
      <c r="F32831">
        <v>6540040</v>
      </c>
      <c r="G32831" t="s">
        <v>256</v>
      </c>
      <c r="H32831" s="21">
        <v>509</v>
      </c>
    </row>
    <row r="32832" spans="1:8" customFormat="1" x14ac:dyDescent="0.25">
      <c r="A32832" t="str">
        <f>"477267"</f>
        <v>477267</v>
      </c>
      <c r="B32832" t="s">
        <v>21905</v>
      </c>
      <c r="C32832" t="s">
        <v>656</v>
      </c>
      <c r="D32832" s="21" t="s">
        <v>34</v>
      </c>
      <c r="E32832" s="21" t="s">
        <v>35</v>
      </c>
      <c r="F32832">
        <v>10470021</v>
      </c>
      <c r="G32832" t="s">
        <v>1034</v>
      </c>
      <c r="H32832" s="21">
        <v>509</v>
      </c>
    </row>
    <row r="32833" spans="1:8" customFormat="1" x14ac:dyDescent="0.25">
      <c r="A32833" t="str">
        <f>"2919004"</f>
        <v>2919004</v>
      </c>
      <c r="B32833" t="s">
        <v>21484</v>
      </c>
      <c r="C32833" t="s">
        <v>3648</v>
      </c>
      <c r="D32833" s="21" t="s">
        <v>34</v>
      </c>
      <c r="E32833" s="21" t="s">
        <v>254</v>
      </c>
      <c r="F32833">
        <v>3290217</v>
      </c>
      <c r="G32833" t="s">
        <v>6770</v>
      </c>
      <c r="H32833" s="21">
        <v>508.92</v>
      </c>
    </row>
    <row r="32834" spans="1:8" customFormat="1" x14ac:dyDescent="0.25">
      <c r="A32834" t="str">
        <f>"7219388"</f>
        <v>7219388</v>
      </c>
      <c r="B32834" t="s">
        <v>22342</v>
      </c>
      <c r="C32834" t="s">
        <v>55</v>
      </c>
      <c r="D32834" s="21" t="s">
        <v>34</v>
      </c>
      <c r="E32834" s="21" t="s">
        <v>71</v>
      </c>
      <c r="F32834">
        <v>12720078</v>
      </c>
      <c r="G32834" t="s">
        <v>5085</v>
      </c>
      <c r="H32834" s="21">
        <v>508.92</v>
      </c>
    </row>
    <row r="32835" spans="1:8" customFormat="1" x14ac:dyDescent="0.25">
      <c r="A32835" t="str">
        <f>"7824434"</f>
        <v>7824434</v>
      </c>
      <c r="B32835" t="s">
        <v>21540</v>
      </c>
      <c r="C32835" t="s">
        <v>130</v>
      </c>
      <c r="D32835" s="21" t="s">
        <v>34</v>
      </c>
      <c r="E32835" s="21" t="s">
        <v>71</v>
      </c>
      <c r="F32835">
        <v>8781266</v>
      </c>
      <c r="G32835" t="s">
        <v>26704</v>
      </c>
      <c r="H32835" s="21">
        <v>508.79</v>
      </c>
    </row>
    <row r="32836" spans="1:8" customFormat="1" x14ac:dyDescent="0.25">
      <c r="A32836" t="str">
        <f>"1423842"</f>
        <v>1423842</v>
      </c>
      <c r="B32836" t="s">
        <v>24267</v>
      </c>
      <c r="C32836" t="s">
        <v>453</v>
      </c>
      <c r="D32836" s="21" t="s">
        <v>34</v>
      </c>
      <c r="E32836" s="21" t="s">
        <v>71</v>
      </c>
      <c r="F32836">
        <v>9140013</v>
      </c>
      <c r="G32836" t="s">
        <v>1837</v>
      </c>
      <c r="H32836" s="21">
        <v>508.75</v>
      </c>
    </row>
    <row r="32837" spans="1:8" customFormat="1" x14ac:dyDescent="0.25">
      <c r="A32837" t="str">
        <f>"2935397"</f>
        <v>2935397</v>
      </c>
      <c r="B32837" t="s">
        <v>13655</v>
      </c>
      <c r="C32837" t="s">
        <v>6553</v>
      </c>
      <c r="D32837" s="21" t="s">
        <v>34</v>
      </c>
      <c r="E32837" s="21" t="s">
        <v>35</v>
      </c>
      <c r="F32837">
        <v>3290232</v>
      </c>
      <c r="G32837" t="s">
        <v>9588</v>
      </c>
      <c r="H32837" s="21">
        <v>508.67</v>
      </c>
    </row>
    <row r="32838" spans="1:8" customFormat="1" x14ac:dyDescent="0.25">
      <c r="A32838" t="str">
        <f>"5316552"</f>
        <v>5316552</v>
      </c>
      <c r="B32838" t="s">
        <v>146</v>
      </c>
      <c r="C32838" t="s">
        <v>33</v>
      </c>
      <c r="D32838" s="21" t="s">
        <v>34</v>
      </c>
      <c r="E32838" s="21" t="s">
        <v>35</v>
      </c>
      <c r="F32838">
        <v>12530121</v>
      </c>
      <c r="G32838" t="s">
        <v>16301</v>
      </c>
      <c r="H32838" s="21">
        <v>508.67</v>
      </c>
    </row>
    <row r="32839" spans="1:8" customFormat="1" x14ac:dyDescent="0.25">
      <c r="A32839" t="str">
        <f>"7641167"</f>
        <v>7641167</v>
      </c>
      <c r="B32839" t="s">
        <v>2313</v>
      </c>
      <c r="C32839" t="s">
        <v>267</v>
      </c>
      <c r="D32839" s="21" t="s">
        <v>34</v>
      </c>
      <c r="E32839" s="21" t="s">
        <v>254</v>
      </c>
      <c r="F32839">
        <v>9760107</v>
      </c>
      <c r="G32839" t="s">
        <v>122</v>
      </c>
      <c r="H32839" s="21">
        <v>508.67</v>
      </c>
    </row>
    <row r="32840" spans="1:8" customFormat="1" x14ac:dyDescent="0.25">
      <c r="A32840" t="str">
        <f>"7847400"</f>
        <v>7847400</v>
      </c>
      <c r="B32840" t="s">
        <v>13141</v>
      </c>
      <c r="C32840" t="s">
        <v>253</v>
      </c>
      <c r="D32840" s="21" t="s">
        <v>34</v>
      </c>
      <c r="E32840" s="21" t="s">
        <v>254</v>
      </c>
      <c r="F32840">
        <v>10640019</v>
      </c>
      <c r="G32840" t="s">
        <v>3123</v>
      </c>
      <c r="H32840" s="21">
        <v>508.67</v>
      </c>
    </row>
    <row r="32841" spans="1:8" customFormat="1" x14ac:dyDescent="0.25">
      <c r="A32841" t="str">
        <f>"8019690"</f>
        <v>8019690</v>
      </c>
      <c r="B32841" t="s">
        <v>3292</v>
      </c>
      <c r="C32841" t="s">
        <v>486</v>
      </c>
      <c r="D32841" s="21" t="s">
        <v>34</v>
      </c>
      <c r="E32841" s="21" t="s">
        <v>35</v>
      </c>
      <c r="F32841">
        <v>7800156</v>
      </c>
      <c r="G32841" t="s">
        <v>12924</v>
      </c>
      <c r="H32841" s="21">
        <v>508.67</v>
      </c>
    </row>
    <row r="32842" spans="1:8" customFormat="1" x14ac:dyDescent="0.25">
      <c r="A32842" t="str">
        <f>"796048"</f>
        <v>796048</v>
      </c>
      <c r="B32842" t="s">
        <v>16532</v>
      </c>
      <c r="C32842" t="s">
        <v>415</v>
      </c>
      <c r="D32842" s="21" t="s">
        <v>34</v>
      </c>
      <c r="E32842" s="21" t="s">
        <v>1089</v>
      </c>
      <c r="F32842">
        <v>10790158</v>
      </c>
      <c r="G32842" t="s">
        <v>9319</v>
      </c>
      <c r="H32842" s="21">
        <v>508.67</v>
      </c>
    </row>
    <row r="32843" spans="1:8" customFormat="1" x14ac:dyDescent="0.25">
      <c r="A32843" t="str">
        <f>"8518228"</f>
        <v>8518228</v>
      </c>
      <c r="B32843" t="s">
        <v>21196</v>
      </c>
      <c r="C32843" t="s">
        <v>275</v>
      </c>
      <c r="D32843" s="21" t="s">
        <v>34</v>
      </c>
      <c r="E32843" s="21" t="s">
        <v>35</v>
      </c>
      <c r="F32843">
        <v>12850091</v>
      </c>
      <c r="G32843" t="s">
        <v>4233</v>
      </c>
      <c r="H32843" s="21">
        <v>508.67</v>
      </c>
    </row>
    <row r="32844" spans="1:8" customFormat="1" x14ac:dyDescent="0.25">
      <c r="A32844" t="str">
        <f>"9225195"</f>
        <v>9225195</v>
      </c>
      <c r="B32844" t="s">
        <v>21560</v>
      </c>
      <c r="C32844" t="s">
        <v>1468</v>
      </c>
      <c r="D32844" s="21" t="s">
        <v>34</v>
      </c>
      <c r="E32844" s="21" t="s">
        <v>71</v>
      </c>
      <c r="F32844">
        <v>8920031</v>
      </c>
      <c r="G32844" t="s">
        <v>552</v>
      </c>
      <c r="H32844" s="21">
        <v>508.67</v>
      </c>
    </row>
    <row r="32845" spans="1:8" customFormat="1" x14ac:dyDescent="0.25">
      <c r="A32845" t="str">
        <f>"5965907"</f>
        <v>5965907</v>
      </c>
      <c r="B32845" t="s">
        <v>3737</v>
      </c>
      <c r="C32845" t="s">
        <v>1665</v>
      </c>
      <c r="D32845" s="21" t="s">
        <v>34</v>
      </c>
      <c r="E32845" s="21" t="s">
        <v>1089</v>
      </c>
      <c r="F32845">
        <v>7590413</v>
      </c>
      <c r="G32845" t="s">
        <v>6848</v>
      </c>
      <c r="H32845" s="21">
        <v>508.67</v>
      </c>
    </row>
    <row r="32846" spans="1:8" customFormat="1" x14ac:dyDescent="0.25">
      <c r="A32846" t="str">
        <f>"6316945"</f>
        <v>6316945</v>
      </c>
      <c r="B32846" t="s">
        <v>8285</v>
      </c>
      <c r="C32846" t="s">
        <v>2117</v>
      </c>
      <c r="D32846" s="21" t="s">
        <v>34</v>
      </c>
      <c r="E32846" s="21" t="s">
        <v>35</v>
      </c>
      <c r="F32846">
        <v>1630322</v>
      </c>
      <c r="G32846" t="s">
        <v>13419</v>
      </c>
      <c r="H32846" s="21">
        <v>508.67</v>
      </c>
    </row>
    <row r="32847" spans="1:8" customFormat="1" x14ac:dyDescent="0.25">
      <c r="A32847" t="str">
        <f>"519826"</f>
        <v>519826</v>
      </c>
      <c r="B32847" t="s">
        <v>1490</v>
      </c>
      <c r="C32847" t="s">
        <v>1146</v>
      </c>
      <c r="D32847" s="21" t="s">
        <v>34</v>
      </c>
      <c r="E32847" s="21" t="s">
        <v>254</v>
      </c>
      <c r="F32847">
        <v>6510040</v>
      </c>
      <c r="G32847" t="s">
        <v>9113</v>
      </c>
      <c r="H32847" s="21">
        <v>508.67</v>
      </c>
    </row>
    <row r="32848" spans="1:8" customFormat="1" x14ac:dyDescent="0.25">
      <c r="A32848" t="str">
        <f>"8517458"</f>
        <v>8517458</v>
      </c>
      <c r="B32848" t="s">
        <v>2645</v>
      </c>
      <c r="C32848" t="s">
        <v>1705</v>
      </c>
      <c r="D32848" s="21" t="s">
        <v>34</v>
      </c>
      <c r="E32848" s="21" t="s">
        <v>1089</v>
      </c>
      <c r="F32848">
        <v>12850108</v>
      </c>
      <c r="G32848" t="s">
        <v>11093</v>
      </c>
      <c r="H32848" s="21">
        <v>508.67</v>
      </c>
    </row>
    <row r="32849" spans="1:8" customFormat="1" x14ac:dyDescent="0.25">
      <c r="A32849" t="str">
        <f>"0211779"</f>
        <v>0211779</v>
      </c>
      <c r="B32849" t="s">
        <v>24286</v>
      </c>
      <c r="C32849" t="s">
        <v>285</v>
      </c>
      <c r="D32849" s="21" t="s">
        <v>34</v>
      </c>
      <c r="E32849" s="21" t="s">
        <v>35</v>
      </c>
      <c r="F32849">
        <v>7020031</v>
      </c>
      <c r="G32849" t="s">
        <v>828</v>
      </c>
      <c r="H32849" s="21">
        <v>508.67</v>
      </c>
    </row>
    <row r="32850" spans="1:8" customFormat="1" x14ac:dyDescent="0.25">
      <c r="A32850" t="str">
        <f>"324573"</f>
        <v>324573</v>
      </c>
      <c r="B32850" t="s">
        <v>9684</v>
      </c>
      <c r="C32850" t="s">
        <v>1110</v>
      </c>
      <c r="D32850" s="21" t="s">
        <v>34</v>
      </c>
      <c r="E32850" s="21" t="s">
        <v>254</v>
      </c>
      <c r="F32850">
        <v>11320042</v>
      </c>
      <c r="G32850" t="s">
        <v>234</v>
      </c>
      <c r="H32850" s="21">
        <v>508.67</v>
      </c>
    </row>
    <row r="32851" spans="1:8" customFormat="1" x14ac:dyDescent="0.25">
      <c r="A32851" t="str">
        <f>"76179"</f>
        <v>76179</v>
      </c>
      <c r="B32851" t="s">
        <v>610</v>
      </c>
      <c r="C32851" t="s">
        <v>1146</v>
      </c>
      <c r="D32851" s="21" t="s">
        <v>34</v>
      </c>
      <c r="E32851" s="21" t="s">
        <v>1089</v>
      </c>
      <c r="F32851">
        <v>9760004</v>
      </c>
      <c r="G32851" t="s">
        <v>56</v>
      </c>
      <c r="H32851" s="21">
        <v>508.67</v>
      </c>
    </row>
    <row r="32852" spans="1:8" customFormat="1" x14ac:dyDescent="0.25">
      <c r="A32852" t="str">
        <f>"7822154"</f>
        <v>7822154</v>
      </c>
      <c r="B32852" t="s">
        <v>1500</v>
      </c>
      <c r="C32852" t="s">
        <v>269</v>
      </c>
      <c r="D32852" s="21" t="s">
        <v>34</v>
      </c>
      <c r="E32852" s="21" t="s">
        <v>254</v>
      </c>
      <c r="F32852">
        <v>8780356</v>
      </c>
      <c r="G32852" t="s">
        <v>5449</v>
      </c>
      <c r="H32852" s="21">
        <v>508.67</v>
      </c>
    </row>
    <row r="32853" spans="1:8" customFormat="1" x14ac:dyDescent="0.25">
      <c r="A32853" t="str">
        <f>"2220189"</f>
        <v>2220189</v>
      </c>
      <c r="B32853" t="s">
        <v>4524</v>
      </c>
      <c r="C32853" t="s">
        <v>144</v>
      </c>
      <c r="D32853" s="21" t="s">
        <v>34</v>
      </c>
      <c r="E32853" s="21" t="s">
        <v>71</v>
      </c>
      <c r="F32853">
        <v>3220011</v>
      </c>
      <c r="G32853" t="s">
        <v>27394</v>
      </c>
      <c r="H32853" s="21">
        <v>508.54</v>
      </c>
    </row>
    <row r="32854" spans="1:8" customFormat="1" x14ac:dyDescent="0.25">
      <c r="A32854" t="str">
        <f>"428185"</f>
        <v>428185</v>
      </c>
      <c r="B32854" t="s">
        <v>7262</v>
      </c>
      <c r="C32854" t="s">
        <v>3010</v>
      </c>
      <c r="D32854" s="21" t="s">
        <v>34</v>
      </c>
      <c r="E32854" s="21" t="s">
        <v>6185</v>
      </c>
      <c r="F32854">
        <v>1420156</v>
      </c>
      <c r="G32854" t="s">
        <v>5635</v>
      </c>
      <c r="H32854" s="21">
        <v>508.5</v>
      </c>
    </row>
    <row r="32855" spans="1:8" customFormat="1" x14ac:dyDescent="0.25">
      <c r="A32855" t="str">
        <f>"397054"</f>
        <v>397054</v>
      </c>
      <c r="B32855" t="s">
        <v>739</v>
      </c>
      <c r="C32855" t="s">
        <v>55</v>
      </c>
      <c r="D32855" s="21" t="s">
        <v>34</v>
      </c>
      <c r="E32855" s="21" t="s">
        <v>35</v>
      </c>
      <c r="F32855">
        <v>2390007</v>
      </c>
      <c r="G32855" t="s">
        <v>3365</v>
      </c>
      <c r="H32855" s="21">
        <v>508.5</v>
      </c>
    </row>
    <row r="32856" spans="1:8" customFormat="1" x14ac:dyDescent="0.25">
      <c r="A32856" t="str">
        <f>"6233797"</f>
        <v>6233797</v>
      </c>
      <c r="B32856" t="s">
        <v>10605</v>
      </c>
      <c r="C32856" t="s">
        <v>149</v>
      </c>
      <c r="D32856" s="21" t="s">
        <v>34</v>
      </c>
      <c r="E32856" s="21" t="s">
        <v>35</v>
      </c>
      <c r="F32856">
        <v>7620062</v>
      </c>
      <c r="G32856" t="s">
        <v>12602</v>
      </c>
      <c r="H32856" s="21">
        <v>508.5</v>
      </c>
    </row>
    <row r="32857" spans="1:8" customFormat="1" x14ac:dyDescent="0.25">
      <c r="A32857" t="str">
        <f>"4412022"</f>
        <v>4412022</v>
      </c>
      <c r="B32857" t="s">
        <v>22528</v>
      </c>
      <c r="C32857" t="s">
        <v>817</v>
      </c>
      <c r="D32857" s="21" t="s">
        <v>34</v>
      </c>
      <c r="E32857" s="21" t="s">
        <v>254</v>
      </c>
      <c r="F32857">
        <v>12440176</v>
      </c>
      <c r="G32857" t="s">
        <v>1020</v>
      </c>
      <c r="H32857" s="21">
        <v>508.5</v>
      </c>
    </row>
    <row r="32858" spans="1:8" customFormat="1" x14ac:dyDescent="0.25">
      <c r="A32858" t="str">
        <f>"7632677"</f>
        <v>7632677</v>
      </c>
      <c r="B32858" t="s">
        <v>21712</v>
      </c>
      <c r="C32858" t="s">
        <v>249</v>
      </c>
      <c r="D32858" s="21" t="s">
        <v>34</v>
      </c>
      <c r="E32858" s="21" t="s">
        <v>71</v>
      </c>
      <c r="F32858">
        <v>9760306</v>
      </c>
      <c r="G32858" t="s">
        <v>7890</v>
      </c>
      <c r="H32858" s="21">
        <v>508.5</v>
      </c>
    </row>
    <row r="32859" spans="1:8" customFormat="1" x14ac:dyDescent="0.25">
      <c r="A32859" t="str">
        <f>"3412363"</f>
        <v>3412363</v>
      </c>
      <c r="B32859" t="s">
        <v>24030</v>
      </c>
      <c r="C32859" t="s">
        <v>415</v>
      </c>
      <c r="D32859" s="21" t="s">
        <v>34</v>
      </c>
      <c r="E32859" s="21" t="s">
        <v>254</v>
      </c>
      <c r="F32859">
        <v>11340003</v>
      </c>
      <c r="G32859" t="s">
        <v>3326</v>
      </c>
      <c r="H32859" s="21">
        <v>508.5</v>
      </c>
    </row>
    <row r="32860" spans="1:8" customFormat="1" x14ac:dyDescent="0.25">
      <c r="A32860" t="str">
        <f>"2517554"</f>
        <v>2517554</v>
      </c>
      <c r="B32860" t="s">
        <v>20731</v>
      </c>
      <c r="C32860" t="s">
        <v>1605</v>
      </c>
      <c r="D32860" s="21" t="s">
        <v>34</v>
      </c>
      <c r="E32860" s="21" t="s">
        <v>71</v>
      </c>
      <c r="F32860">
        <v>2250125</v>
      </c>
      <c r="G32860" t="s">
        <v>26911</v>
      </c>
      <c r="H32860" s="21">
        <v>508.5</v>
      </c>
    </row>
    <row r="32861" spans="1:8" customFormat="1" x14ac:dyDescent="0.25">
      <c r="A32861" t="str">
        <f>"6316854"</f>
        <v>6316854</v>
      </c>
      <c r="B32861" t="s">
        <v>10590</v>
      </c>
      <c r="C32861" t="s">
        <v>4963</v>
      </c>
      <c r="D32861" s="21" t="s">
        <v>34</v>
      </c>
      <c r="E32861" s="21" t="s">
        <v>35</v>
      </c>
      <c r="F32861">
        <v>1630320</v>
      </c>
      <c r="G32861" t="s">
        <v>4046</v>
      </c>
      <c r="H32861" s="21">
        <v>508.5</v>
      </c>
    </row>
    <row r="32862" spans="1:8" customFormat="1" x14ac:dyDescent="0.25">
      <c r="A32862" t="str">
        <f>"9144997"</f>
        <v>9144997</v>
      </c>
      <c r="B32862" t="s">
        <v>23440</v>
      </c>
      <c r="C32862" t="s">
        <v>139</v>
      </c>
      <c r="D32862" s="21" t="s">
        <v>34</v>
      </c>
      <c r="E32862" s="21" t="s">
        <v>35</v>
      </c>
      <c r="F32862">
        <v>8910165</v>
      </c>
      <c r="G32862" t="s">
        <v>3184</v>
      </c>
      <c r="H32862" s="21">
        <v>508.5</v>
      </c>
    </row>
    <row r="32863" spans="1:8" customFormat="1" x14ac:dyDescent="0.25">
      <c r="A32863" t="str">
        <f>"7414578"</f>
        <v>7414578</v>
      </c>
      <c r="B32863" t="s">
        <v>16014</v>
      </c>
      <c r="C32863" t="s">
        <v>33</v>
      </c>
      <c r="D32863" s="21" t="s">
        <v>34</v>
      </c>
      <c r="E32863" s="21" t="s">
        <v>35</v>
      </c>
      <c r="F32863">
        <v>1740011</v>
      </c>
      <c r="G32863" t="s">
        <v>2638</v>
      </c>
      <c r="H32863" s="21">
        <v>508.5</v>
      </c>
    </row>
    <row r="32864" spans="1:8" customFormat="1" x14ac:dyDescent="0.25">
      <c r="A32864" t="str">
        <f>"7524605"</f>
        <v>7524605</v>
      </c>
      <c r="B32864" t="s">
        <v>16182</v>
      </c>
      <c r="C32864" t="s">
        <v>24312</v>
      </c>
      <c r="D32864" s="21" t="s">
        <v>34</v>
      </c>
      <c r="E32864" s="21" t="s">
        <v>35</v>
      </c>
      <c r="F32864">
        <v>8751459</v>
      </c>
      <c r="G32864" t="s">
        <v>27461</v>
      </c>
      <c r="H32864" s="21">
        <v>508.5</v>
      </c>
    </row>
    <row r="32865" spans="1:8" customFormat="1" x14ac:dyDescent="0.25">
      <c r="A32865" t="str">
        <f>"9141656"</f>
        <v>9141656</v>
      </c>
      <c r="B32865" t="s">
        <v>24769</v>
      </c>
      <c r="C32865" t="s">
        <v>24770</v>
      </c>
      <c r="D32865" s="21" t="s">
        <v>34</v>
      </c>
      <c r="E32865" s="21" t="s">
        <v>71</v>
      </c>
      <c r="F32865">
        <v>8911050</v>
      </c>
      <c r="G32865" t="s">
        <v>1606</v>
      </c>
      <c r="H32865" s="21">
        <v>508.5</v>
      </c>
    </row>
    <row r="32866" spans="1:8" customFormat="1" x14ac:dyDescent="0.25">
      <c r="A32866" t="str">
        <f>"061321"</f>
        <v>061321</v>
      </c>
      <c r="B32866" t="s">
        <v>24073</v>
      </c>
      <c r="C32866" t="s">
        <v>130</v>
      </c>
      <c r="D32866" s="21" t="s">
        <v>34</v>
      </c>
      <c r="E32866" s="21" t="s">
        <v>1089</v>
      </c>
      <c r="F32866">
        <v>13060080</v>
      </c>
      <c r="G32866" t="s">
        <v>14998</v>
      </c>
      <c r="H32866" s="21">
        <v>508.5</v>
      </c>
    </row>
    <row r="32867" spans="1:8" customFormat="1" x14ac:dyDescent="0.25">
      <c r="A32867" t="str">
        <f>"8018927"</f>
        <v>8018927</v>
      </c>
      <c r="B32867" t="s">
        <v>28566</v>
      </c>
      <c r="C32867" t="s">
        <v>269</v>
      </c>
      <c r="D32867" s="21" t="s">
        <v>34</v>
      </c>
      <c r="E32867" s="21" t="s">
        <v>71</v>
      </c>
      <c r="F32867">
        <v>7800020</v>
      </c>
      <c r="G32867" t="s">
        <v>11608</v>
      </c>
      <c r="H32867" s="21">
        <v>508.5</v>
      </c>
    </row>
    <row r="32868" spans="1:8" customFormat="1" x14ac:dyDescent="0.25">
      <c r="A32868" t="str">
        <f>"2218073"</f>
        <v>2218073</v>
      </c>
      <c r="B32868" t="s">
        <v>9014</v>
      </c>
      <c r="C32868" t="s">
        <v>130</v>
      </c>
      <c r="D32868" s="21" t="s">
        <v>34</v>
      </c>
      <c r="E32868" s="21" t="s">
        <v>254</v>
      </c>
      <c r="F32868">
        <v>3220041</v>
      </c>
      <c r="G32868" t="s">
        <v>27133</v>
      </c>
      <c r="H32868" s="21">
        <v>508.5</v>
      </c>
    </row>
    <row r="32869" spans="1:8" customFormat="1" x14ac:dyDescent="0.25">
      <c r="A32869" t="str">
        <f>"6228284"</f>
        <v>6228284</v>
      </c>
      <c r="B32869" t="s">
        <v>8233</v>
      </c>
      <c r="C32869" t="s">
        <v>60</v>
      </c>
      <c r="D32869" s="21" t="s">
        <v>34</v>
      </c>
      <c r="E32869" s="21" t="s">
        <v>35</v>
      </c>
      <c r="F32869">
        <v>7620007</v>
      </c>
      <c r="G32869" t="s">
        <v>2133</v>
      </c>
      <c r="H32869" s="21">
        <v>508.5</v>
      </c>
    </row>
    <row r="32870" spans="1:8" customFormat="1" x14ac:dyDescent="0.25">
      <c r="A32870" t="str">
        <f>"3537283"</f>
        <v>3537283</v>
      </c>
      <c r="B32870" t="s">
        <v>10970</v>
      </c>
      <c r="C32870" t="s">
        <v>124</v>
      </c>
      <c r="D32870" s="21" t="s">
        <v>34</v>
      </c>
      <c r="E32870" s="21" t="s">
        <v>254</v>
      </c>
      <c r="F32870">
        <v>3350203</v>
      </c>
      <c r="G32870" t="s">
        <v>11973</v>
      </c>
      <c r="H32870" s="21">
        <v>508.5</v>
      </c>
    </row>
    <row r="32871" spans="1:8" customFormat="1" x14ac:dyDescent="0.25">
      <c r="A32871" t="str">
        <f>"7923499"</f>
        <v>7923499</v>
      </c>
      <c r="B32871" t="s">
        <v>22940</v>
      </c>
      <c r="C32871" t="s">
        <v>65</v>
      </c>
      <c r="D32871" s="21" t="s">
        <v>34</v>
      </c>
      <c r="E32871" s="21" t="s">
        <v>35</v>
      </c>
      <c r="F32871">
        <v>10790020</v>
      </c>
      <c r="G32871" t="s">
        <v>10221</v>
      </c>
      <c r="H32871" s="21">
        <v>508.5</v>
      </c>
    </row>
    <row r="32872" spans="1:8" customFormat="1" x14ac:dyDescent="0.25">
      <c r="A32872" t="str">
        <f>"5320043"</f>
        <v>5320043</v>
      </c>
      <c r="B32872" t="s">
        <v>28567</v>
      </c>
      <c r="C32872" t="s">
        <v>62</v>
      </c>
      <c r="D32872" s="21" t="s">
        <v>34</v>
      </c>
      <c r="E32872" s="21" t="s">
        <v>35</v>
      </c>
      <c r="F32872">
        <v>12530064</v>
      </c>
      <c r="G32872" t="s">
        <v>3699</v>
      </c>
      <c r="H32872" s="21">
        <v>508.5</v>
      </c>
    </row>
    <row r="32873" spans="1:8" customFormat="1" x14ac:dyDescent="0.25">
      <c r="A32873" t="str">
        <f>"4442347"</f>
        <v>4442347</v>
      </c>
      <c r="B32873" t="s">
        <v>28568</v>
      </c>
      <c r="C32873" t="s">
        <v>119</v>
      </c>
      <c r="D32873" s="21" t="s">
        <v>34</v>
      </c>
      <c r="E32873" s="21" t="s">
        <v>35</v>
      </c>
      <c r="F32873">
        <v>12440101</v>
      </c>
      <c r="G32873" t="s">
        <v>3482</v>
      </c>
      <c r="H32873" s="21">
        <v>508.5</v>
      </c>
    </row>
    <row r="32874" spans="1:8" customFormat="1" x14ac:dyDescent="0.25">
      <c r="A32874" t="str">
        <f>"5113663"</f>
        <v>5113663</v>
      </c>
      <c r="B32874" t="s">
        <v>9940</v>
      </c>
      <c r="C32874" t="s">
        <v>486</v>
      </c>
      <c r="D32874" s="21" t="s">
        <v>34</v>
      </c>
      <c r="E32874" s="21" t="s">
        <v>35</v>
      </c>
      <c r="F32874">
        <v>6510020</v>
      </c>
      <c r="G32874" t="s">
        <v>3013</v>
      </c>
      <c r="H32874" s="21">
        <v>508.5</v>
      </c>
    </row>
    <row r="32875" spans="1:8" customFormat="1" x14ac:dyDescent="0.25">
      <c r="A32875" t="str">
        <f>"3345619"</f>
        <v>3345619</v>
      </c>
      <c r="B32875" t="s">
        <v>1094</v>
      </c>
      <c r="C32875" t="s">
        <v>49</v>
      </c>
      <c r="D32875" s="21" t="s">
        <v>34</v>
      </c>
      <c r="E32875" s="21" t="s">
        <v>35</v>
      </c>
      <c r="F32875">
        <v>10330024</v>
      </c>
      <c r="G32875" t="s">
        <v>16744</v>
      </c>
      <c r="H32875" s="21">
        <v>508.5</v>
      </c>
    </row>
    <row r="32876" spans="1:8" customFormat="1" x14ac:dyDescent="0.25">
      <c r="A32876" t="str">
        <f>"3519133"</f>
        <v>3519133</v>
      </c>
      <c r="B32876" t="s">
        <v>21751</v>
      </c>
      <c r="C32876" t="s">
        <v>598</v>
      </c>
      <c r="D32876" s="21" t="s">
        <v>34</v>
      </c>
      <c r="E32876" s="21" t="s">
        <v>254</v>
      </c>
      <c r="F32876">
        <v>3350183</v>
      </c>
      <c r="G32876" t="s">
        <v>2572</v>
      </c>
      <c r="H32876" s="21">
        <v>508.5</v>
      </c>
    </row>
    <row r="32877" spans="1:8" customFormat="1" x14ac:dyDescent="0.25">
      <c r="A32877" t="str">
        <f>"0617567"</f>
        <v>0617567</v>
      </c>
      <c r="B32877" t="s">
        <v>22625</v>
      </c>
      <c r="C32877" t="s">
        <v>1146</v>
      </c>
      <c r="D32877" s="21" t="s">
        <v>34</v>
      </c>
      <c r="E32877" s="21" t="s">
        <v>254</v>
      </c>
      <c r="F32877">
        <v>13060031</v>
      </c>
      <c r="G32877" t="s">
        <v>9379</v>
      </c>
      <c r="H32877" s="21">
        <v>508.5</v>
      </c>
    </row>
    <row r="32878" spans="1:8" customFormat="1" x14ac:dyDescent="0.25">
      <c r="A32878" t="str">
        <f>"6314722"</f>
        <v>6314722</v>
      </c>
      <c r="B32878" t="s">
        <v>12385</v>
      </c>
      <c r="C32878" t="s">
        <v>1421</v>
      </c>
      <c r="D32878" s="21" t="s">
        <v>34</v>
      </c>
      <c r="E32878" s="21" t="s">
        <v>71</v>
      </c>
      <c r="F32878">
        <v>1630332</v>
      </c>
      <c r="G32878" t="s">
        <v>27136</v>
      </c>
      <c r="H32878" s="21">
        <v>508.42</v>
      </c>
    </row>
    <row r="32879" spans="1:8" customFormat="1" x14ac:dyDescent="0.25">
      <c r="A32879" t="str">
        <f>"6110820"</f>
        <v>6110820</v>
      </c>
      <c r="B32879" t="s">
        <v>21504</v>
      </c>
      <c r="C32879" t="s">
        <v>206</v>
      </c>
      <c r="D32879" s="21" t="s">
        <v>34</v>
      </c>
      <c r="E32879" s="21" t="s">
        <v>35</v>
      </c>
      <c r="F32879">
        <v>9610093</v>
      </c>
      <c r="G32879" t="s">
        <v>8231</v>
      </c>
      <c r="H32879" s="21">
        <v>508.38</v>
      </c>
    </row>
    <row r="32880" spans="1:8" customFormat="1" x14ac:dyDescent="0.25">
      <c r="A32880" t="str">
        <f>"1716829"</f>
        <v>1716829</v>
      </c>
      <c r="B32880" t="s">
        <v>1451</v>
      </c>
      <c r="C32880" t="s">
        <v>109</v>
      </c>
      <c r="D32880" s="21" t="s">
        <v>34</v>
      </c>
      <c r="E32880" s="21" t="s">
        <v>71</v>
      </c>
      <c r="F32880">
        <v>10170178</v>
      </c>
      <c r="G32880" t="s">
        <v>17278</v>
      </c>
      <c r="H32880" s="21">
        <v>508.25</v>
      </c>
    </row>
    <row r="32881" spans="1:8" customFormat="1" x14ac:dyDescent="0.25">
      <c r="A32881" t="str">
        <f>"324796"</f>
        <v>324796</v>
      </c>
      <c r="B32881" t="s">
        <v>28569</v>
      </c>
      <c r="C32881" t="s">
        <v>2250</v>
      </c>
      <c r="D32881" s="21" t="s">
        <v>34</v>
      </c>
      <c r="E32881" s="21" t="s">
        <v>35</v>
      </c>
      <c r="F32881">
        <v>11320005</v>
      </c>
      <c r="G32881" t="s">
        <v>120</v>
      </c>
      <c r="H32881" s="21">
        <v>508.25</v>
      </c>
    </row>
    <row r="32882" spans="1:8" customFormat="1" x14ac:dyDescent="0.25">
      <c r="A32882" t="str">
        <f>"5972166"</f>
        <v>5972166</v>
      </c>
      <c r="B32882" t="s">
        <v>23880</v>
      </c>
      <c r="C32882" t="s">
        <v>65</v>
      </c>
      <c r="D32882" s="21" t="s">
        <v>34</v>
      </c>
      <c r="E32882" s="21" t="s">
        <v>35</v>
      </c>
      <c r="F32882">
        <v>7590137</v>
      </c>
      <c r="G32882" t="s">
        <v>4246</v>
      </c>
      <c r="H32882" s="21">
        <v>508.17</v>
      </c>
    </row>
    <row r="32883" spans="1:8" customFormat="1" x14ac:dyDescent="0.25">
      <c r="A32883" t="str">
        <f>"9144253"</f>
        <v>9144253</v>
      </c>
      <c r="B32883" t="s">
        <v>23258</v>
      </c>
      <c r="C32883" t="s">
        <v>669</v>
      </c>
      <c r="D32883" s="21" t="s">
        <v>34</v>
      </c>
      <c r="E32883" s="21" t="s">
        <v>35</v>
      </c>
      <c r="F32883">
        <v>8910652</v>
      </c>
      <c r="G32883" t="s">
        <v>6533</v>
      </c>
      <c r="H32883" s="21">
        <v>508.17</v>
      </c>
    </row>
    <row r="32884" spans="1:8" customFormat="1" x14ac:dyDescent="0.25">
      <c r="A32884" t="str">
        <f>"5410760"</f>
        <v>5410760</v>
      </c>
      <c r="B32884" t="s">
        <v>22275</v>
      </c>
      <c r="C32884" t="s">
        <v>269</v>
      </c>
      <c r="D32884" s="21" t="s">
        <v>34</v>
      </c>
      <c r="E32884" s="21" t="s">
        <v>254</v>
      </c>
      <c r="F32884">
        <v>6540043</v>
      </c>
      <c r="G32884" t="s">
        <v>947</v>
      </c>
      <c r="H32884" s="21">
        <v>508.17</v>
      </c>
    </row>
    <row r="32885" spans="1:8" customFormat="1" x14ac:dyDescent="0.25">
      <c r="A32885" t="str">
        <f>"1611702"</f>
        <v>1611702</v>
      </c>
      <c r="B32885" t="s">
        <v>20759</v>
      </c>
      <c r="C32885" t="s">
        <v>1142</v>
      </c>
      <c r="D32885" s="21" t="s">
        <v>34</v>
      </c>
      <c r="E32885" s="21" t="s">
        <v>254</v>
      </c>
      <c r="F32885">
        <v>10160237</v>
      </c>
      <c r="G32885" t="s">
        <v>8818</v>
      </c>
      <c r="H32885" s="21">
        <v>508.17</v>
      </c>
    </row>
    <row r="32886" spans="1:8" customFormat="1" x14ac:dyDescent="0.25">
      <c r="A32886" t="str">
        <f>"1711726"</f>
        <v>1711726</v>
      </c>
      <c r="B32886" t="s">
        <v>11079</v>
      </c>
      <c r="C32886" t="s">
        <v>43</v>
      </c>
      <c r="D32886" s="21" t="s">
        <v>34</v>
      </c>
      <c r="E32886" s="21" t="s">
        <v>35</v>
      </c>
      <c r="F32886">
        <v>10170029</v>
      </c>
      <c r="G32886" t="s">
        <v>9383</v>
      </c>
      <c r="H32886" s="21">
        <v>508.17</v>
      </c>
    </row>
    <row r="32887" spans="1:8" customFormat="1" x14ac:dyDescent="0.25">
      <c r="A32887" t="str">
        <f>"1612924"</f>
        <v>1612924</v>
      </c>
      <c r="B32887" t="s">
        <v>21690</v>
      </c>
      <c r="C32887" t="s">
        <v>2232</v>
      </c>
      <c r="D32887" s="21" t="s">
        <v>34</v>
      </c>
      <c r="E32887" s="21" t="s">
        <v>71</v>
      </c>
      <c r="F32887">
        <v>10160232</v>
      </c>
      <c r="G32887" t="s">
        <v>2882</v>
      </c>
      <c r="H32887" s="21">
        <v>508.17</v>
      </c>
    </row>
    <row r="32888" spans="1:8" customFormat="1" x14ac:dyDescent="0.25">
      <c r="A32888" t="str">
        <f>"1422339"</f>
        <v>1422339</v>
      </c>
      <c r="B32888" t="s">
        <v>579</v>
      </c>
      <c r="C32888" t="s">
        <v>109</v>
      </c>
      <c r="D32888" s="21" t="s">
        <v>34</v>
      </c>
      <c r="E32888" s="21" t="s">
        <v>71</v>
      </c>
      <c r="F32888">
        <v>7590288</v>
      </c>
      <c r="G32888" t="s">
        <v>6972</v>
      </c>
      <c r="H32888" s="21">
        <v>508.17</v>
      </c>
    </row>
    <row r="32889" spans="1:8" customFormat="1" x14ac:dyDescent="0.25">
      <c r="A32889" t="str">
        <f>"4220219"</f>
        <v>4220219</v>
      </c>
      <c r="B32889" t="s">
        <v>28570</v>
      </c>
      <c r="C32889" t="s">
        <v>288</v>
      </c>
      <c r="D32889" s="21" t="s">
        <v>34</v>
      </c>
      <c r="E32889" s="21" t="s">
        <v>35</v>
      </c>
      <c r="F32889">
        <v>1420291</v>
      </c>
      <c r="G32889" t="s">
        <v>13231</v>
      </c>
      <c r="H32889" s="21">
        <v>508.17</v>
      </c>
    </row>
    <row r="32890" spans="1:8" customFormat="1" x14ac:dyDescent="0.25">
      <c r="A32890" t="str">
        <f>"4529715"</f>
        <v>4529715</v>
      </c>
      <c r="B32890" t="s">
        <v>5333</v>
      </c>
      <c r="C32890" t="s">
        <v>119</v>
      </c>
      <c r="D32890" s="21" t="s">
        <v>34</v>
      </c>
      <c r="E32890" s="21" t="s">
        <v>71</v>
      </c>
      <c r="F32890">
        <v>4450760</v>
      </c>
      <c r="G32890" t="s">
        <v>5775</v>
      </c>
      <c r="H32890" s="21">
        <v>508.17</v>
      </c>
    </row>
    <row r="32891" spans="1:8" customFormat="1" x14ac:dyDescent="0.25">
      <c r="A32891" t="str">
        <f>"8312715"</f>
        <v>8312715</v>
      </c>
      <c r="B32891" t="s">
        <v>23202</v>
      </c>
      <c r="C32891" t="s">
        <v>1489</v>
      </c>
      <c r="D32891" s="21" t="s">
        <v>34</v>
      </c>
      <c r="E32891" s="21" t="s">
        <v>71</v>
      </c>
      <c r="F32891">
        <v>13830083</v>
      </c>
      <c r="G32891" t="s">
        <v>2159</v>
      </c>
      <c r="H32891" s="21">
        <v>508.17</v>
      </c>
    </row>
    <row r="32892" spans="1:8" customFormat="1" x14ac:dyDescent="0.25">
      <c r="A32892" t="str">
        <f>"6227861"</f>
        <v>6227861</v>
      </c>
      <c r="B32892" t="s">
        <v>21911</v>
      </c>
      <c r="C32892" t="s">
        <v>169</v>
      </c>
      <c r="D32892" s="21" t="s">
        <v>34</v>
      </c>
      <c r="E32892" s="21" t="s">
        <v>71</v>
      </c>
      <c r="F32892">
        <v>7620072</v>
      </c>
      <c r="G32892" t="s">
        <v>2185</v>
      </c>
      <c r="H32892" s="21">
        <v>508.17</v>
      </c>
    </row>
    <row r="32893" spans="1:8" customFormat="1" x14ac:dyDescent="0.25">
      <c r="A32893" t="str">
        <f>"707421"</f>
        <v>707421</v>
      </c>
      <c r="B32893" t="s">
        <v>16291</v>
      </c>
      <c r="C32893" t="s">
        <v>611</v>
      </c>
      <c r="D32893" s="21" t="s">
        <v>34</v>
      </c>
      <c r="E32893" s="21" t="s">
        <v>35</v>
      </c>
      <c r="F32893">
        <v>2700094</v>
      </c>
      <c r="G32893" t="s">
        <v>18448</v>
      </c>
      <c r="H32893" s="21">
        <v>508.17</v>
      </c>
    </row>
    <row r="32894" spans="1:8" customFormat="1" x14ac:dyDescent="0.25">
      <c r="A32894" t="str">
        <f>"4442114"</f>
        <v>4442114</v>
      </c>
      <c r="B32894" t="s">
        <v>7725</v>
      </c>
      <c r="C32894" t="s">
        <v>1665</v>
      </c>
      <c r="D32894" s="21" t="s">
        <v>34</v>
      </c>
      <c r="E32894" s="21" t="s">
        <v>71</v>
      </c>
      <c r="F32894">
        <v>12440030</v>
      </c>
      <c r="G32894" t="s">
        <v>5524</v>
      </c>
      <c r="H32894" s="21">
        <v>508.17</v>
      </c>
    </row>
    <row r="32895" spans="1:8" customFormat="1" x14ac:dyDescent="0.25">
      <c r="A32895" t="str">
        <f>"307958"</f>
        <v>307958</v>
      </c>
      <c r="B32895" t="s">
        <v>22477</v>
      </c>
      <c r="C32895" t="s">
        <v>2356</v>
      </c>
      <c r="D32895" s="21" t="s">
        <v>34</v>
      </c>
      <c r="E32895" s="21" t="s">
        <v>71</v>
      </c>
      <c r="F32895">
        <v>13840012</v>
      </c>
      <c r="G32895" t="s">
        <v>5143</v>
      </c>
      <c r="H32895" s="21">
        <v>508.17</v>
      </c>
    </row>
    <row r="32896" spans="1:8" customFormat="1" x14ac:dyDescent="0.25">
      <c r="A32896" t="str">
        <f>"4936659"</f>
        <v>4936659</v>
      </c>
      <c r="B32896" t="s">
        <v>1908</v>
      </c>
      <c r="C32896" t="s">
        <v>2072</v>
      </c>
      <c r="D32896" s="21" t="s">
        <v>34</v>
      </c>
      <c r="E32896" s="21" t="s">
        <v>254</v>
      </c>
      <c r="F32896">
        <v>12490002</v>
      </c>
      <c r="G32896" t="s">
        <v>1875</v>
      </c>
      <c r="H32896" s="21">
        <v>508.17</v>
      </c>
    </row>
    <row r="32897" spans="1:8" customFormat="1" x14ac:dyDescent="0.25">
      <c r="A32897" t="str">
        <f>"5616424"</f>
        <v>5616424</v>
      </c>
      <c r="B32897" t="s">
        <v>22161</v>
      </c>
      <c r="C32897" t="s">
        <v>55</v>
      </c>
      <c r="D32897" s="21" t="s">
        <v>34</v>
      </c>
      <c r="E32897" s="21" t="s">
        <v>35</v>
      </c>
      <c r="F32897">
        <v>3560071</v>
      </c>
      <c r="G32897" t="s">
        <v>8573</v>
      </c>
      <c r="H32897" s="21">
        <v>508.17</v>
      </c>
    </row>
    <row r="32898" spans="1:8" customFormat="1" x14ac:dyDescent="0.25">
      <c r="A32898" t="str">
        <f>"5323025"</f>
        <v>5323025</v>
      </c>
      <c r="B32898" t="s">
        <v>22356</v>
      </c>
      <c r="C32898" t="s">
        <v>169</v>
      </c>
      <c r="D32898" s="21" t="s">
        <v>34</v>
      </c>
      <c r="E32898" s="21" t="s">
        <v>71</v>
      </c>
      <c r="F32898">
        <v>12530114</v>
      </c>
      <c r="G32898" t="s">
        <v>1342</v>
      </c>
      <c r="H32898" s="21">
        <v>508.17</v>
      </c>
    </row>
    <row r="32899" spans="1:8" customFormat="1" x14ac:dyDescent="0.25">
      <c r="A32899" t="str">
        <f>"4456418"</f>
        <v>4456418</v>
      </c>
      <c r="B32899" t="s">
        <v>890</v>
      </c>
      <c r="C32899" t="s">
        <v>87</v>
      </c>
      <c r="D32899" s="21" t="s">
        <v>34</v>
      </c>
      <c r="E32899" s="21" t="s">
        <v>35</v>
      </c>
      <c r="F32899">
        <v>12440016</v>
      </c>
      <c r="G32899" t="s">
        <v>7288</v>
      </c>
      <c r="H32899" s="21">
        <v>508.17</v>
      </c>
    </row>
    <row r="32900" spans="1:8" customFormat="1" x14ac:dyDescent="0.25">
      <c r="A32900" t="str">
        <f>"5728217"</f>
        <v>5728217</v>
      </c>
      <c r="B32900" t="s">
        <v>11460</v>
      </c>
      <c r="C32900" t="s">
        <v>1271</v>
      </c>
      <c r="D32900" s="21" t="s">
        <v>34</v>
      </c>
      <c r="E32900" s="21" t="s">
        <v>254</v>
      </c>
      <c r="F32900">
        <v>6570019</v>
      </c>
      <c r="G32900" t="s">
        <v>1510</v>
      </c>
      <c r="H32900" s="21">
        <v>508.17</v>
      </c>
    </row>
    <row r="32901" spans="1:8" customFormat="1" x14ac:dyDescent="0.25">
      <c r="A32901" t="str">
        <f>"4453245"</f>
        <v>4453245</v>
      </c>
      <c r="B32901" t="s">
        <v>28571</v>
      </c>
      <c r="C32901" t="s">
        <v>43</v>
      </c>
      <c r="D32901" s="21" t="s">
        <v>34</v>
      </c>
      <c r="E32901" s="21" t="s">
        <v>35</v>
      </c>
      <c r="F32901">
        <v>12440033</v>
      </c>
      <c r="G32901" t="s">
        <v>1638</v>
      </c>
      <c r="H32901" s="21">
        <v>508.17</v>
      </c>
    </row>
    <row r="32902" spans="1:8" customFormat="1" x14ac:dyDescent="0.25">
      <c r="A32902" t="str">
        <f>"9318463"</f>
        <v>9318463</v>
      </c>
      <c r="B32902" t="s">
        <v>28572</v>
      </c>
      <c r="C32902" t="s">
        <v>130</v>
      </c>
      <c r="D32902" s="21" t="s">
        <v>34</v>
      </c>
      <c r="E32902" s="21" t="s">
        <v>71</v>
      </c>
      <c r="F32902">
        <v>8931358</v>
      </c>
      <c r="G32902" t="s">
        <v>560</v>
      </c>
      <c r="H32902" s="21">
        <v>508.12</v>
      </c>
    </row>
    <row r="32903" spans="1:8" customFormat="1" x14ac:dyDescent="0.25">
      <c r="A32903" t="str">
        <f>"7729789"</f>
        <v>7729789</v>
      </c>
      <c r="B32903" t="s">
        <v>2054</v>
      </c>
      <c r="C32903" t="s">
        <v>58</v>
      </c>
      <c r="D32903" s="21" t="s">
        <v>34</v>
      </c>
      <c r="E32903" s="21" t="s">
        <v>35</v>
      </c>
      <c r="F32903">
        <v>8771304</v>
      </c>
      <c r="G32903" t="s">
        <v>5314</v>
      </c>
      <c r="H32903" s="21">
        <v>508.12</v>
      </c>
    </row>
    <row r="32904" spans="1:8" customFormat="1" x14ac:dyDescent="0.25">
      <c r="A32904" t="str">
        <f>"0619121"</f>
        <v>0619121</v>
      </c>
      <c r="B32904" t="s">
        <v>5468</v>
      </c>
      <c r="C32904" t="s">
        <v>124</v>
      </c>
      <c r="D32904" s="21" t="s">
        <v>34</v>
      </c>
      <c r="E32904" s="21" t="s">
        <v>71</v>
      </c>
      <c r="F32904">
        <v>13060005</v>
      </c>
      <c r="G32904" t="s">
        <v>3609</v>
      </c>
      <c r="H32904" s="21">
        <v>508</v>
      </c>
    </row>
    <row r="32905" spans="1:8" customFormat="1" x14ac:dyDescent="0.25">
      <c r="A32905" t="str">
        <f>"6024161"</f>
        <v>6024161</v>
      </c>
      <c r="B32905" t="s">
        <v>13694</v>
      </c>
      <c r="C32905" t="s">
        <v>1559</v>
      </c>
      <c r="D32905" s="21" t="s">
        <v>34</v>
      </c>
      <c r="E32905" s="21" t="s">
        <v>35</v>
      </c>
      <c r="F32905">
        <v>7600015</v>
      </c>
      <c r="G32905" t="s">
        <v>8343</v>
      </c>
      <c r="H32905" s="21">
        <v>508</v>
      </c>
    </row>
    <row r="32906" spans="1:8" customFormat="1" x14ac:dyDescent="0.25">
      <c r="A32906" t="str">
        <f>"7524344"</f>
        <v>7524344</v>
      </c>
      <c r="B32906" t="s">
        <v>9194</v>
      </c>
      <c r="C32906" t="s">
        <v>1025</v>
      </c>
      <c r="D32906" s="21" t="s">
        <v>34</v>
      </c>
      <c r="E32906" s="21" t="s">
        <v>35</v>
      </c>
      <c r="F32906">
        <v>8751058</v>
      </c>
      <c r="G32906" t="s">
        <v>4202</v>
      </c>
      <c r="H32906" s="21">
        <v>508</v>
      </c>
    </row>
    <row r="32907" spans="1:8" customFormat="1" x14ac:dyDescent="0.25">
      <c r="A32907" t="str">
        <f>"668147"</f>
        <v>668147</v>
      </c>
      <c r="B32907" t="s">
        <v>23890</v>
      </c>
      <c r="C32907" t="s">
        <v>285</v>
      </c>
      <c r="D32907" s="21" t="s">
        <v>34</v>
      </c>
      <c r="E32907" s="21" t="s">
        <v>35</v>
      </c>
      <c r="F32907">
        <v>11660032</v>
      </c>
      <c r="G32907" t="s">
        <v>3232</v>
      </c>
      <c r="H32907" s="21">
        <v>508</v>
      </c>
    </row>
    <row r="32908" spans="1:8" customFormat="1" x14ac:dyDescent="0.25">
      <c r="A32908" t="str">
        <f>"3014210"</f>
        <v>3014210</v>
      </c>
      <c r="B32908" t="s">
        <v>28573</v>
      </c>
      <c r="C32908" t="s">
        <v>1142</v>
      </c>
      <c r="D32908" s="21" t="s">
        <v>34</v>
      </c>
      <c r="E32908" s="21" t="s">
        <v>1089</v>
      </c>
      <c r="F32908">
        <v>11300025</v>
      </c>
      <c r="G32908" t="s">
        <v>1211</v>
      </c>
      <c r="H32908" s="21">
        <v>508</v>
      </c>
    </row>
    <row r="32909" spans="1:8" customFormat="1" x14ac:dyDescent="0.25">
      <c r="A32909" t="str">
        <f>"9244951"</f>
        <v>9244951</v>
      </c>
      <c r="B32909" t="s">
        <v>24128</v>
      </c>
      <c r="C32909" t="s">
        <v>169</v>
      </c>
      <c r="D32909" s="21" t="s">
        <v>34</v>
      </c>
      <c r="E32909" s="21" t="s">
        <v>254</v>
      </c>
      <c r="F32909">
        <v>8920151</v>
      </c>
      <c r="G32909" t="s">
        <v>1434</v>
      </c>
      <c r="H32909" s="21">
        <v>508</v>
      </c>
    </row>
    <row r="32910" spans="1:8" customFormat="1" x14ac:dyDescent="0.25">
      <c r="A32910" t="str">
        <f>"6937795"</f>
        <v>6937795</v>
      </c>
      <c r="B32910" t="s">
        <v>23959</v>
      </c>
      <c r="C32910" t="s">
        <v>109</v>
      </c>
      <c r="D32910" s="21" t="s">
        <v>34</v>
      </c>
      <c r="E32910" s="21" t="s">
        <v>35</v>
      </c>
      <c r="F32910">
        <v>1690199</v>
      </c>
      <c r="G32910" t="s">
        <v>12608</v>
      </c>
      <c r="H32910" s="21">
        <v>508</v>
      </c>
    </row>
    <row r="32911" spans="1:8" customFormat="1" x14ac:dyDescent="0.25">
      <c r="A32911" t="str">
        <f>"668188"</f>
        <v>668188</v>
      </c>
      <c r="B32911" t="s">
        <v>208</v>
      </c>
      <c r="C32911" t="s">
        <v>428</v>
      </c>
      <c r="D32911" s="21" t="s">
        <v>34</v>
      </c>
      <c r="E32911" s="21" t="s">
        <v>35</v>
      </c>
      <c r="F32911">
        <v>11300040</v>
      </c>
      <c r="G32911" t="s">
        <v>13373</v>
      </c>
      <c r="H32911" s="21">
        <v>508</v>
      </c>
    </row>
    <row r="32912" spans="1:8" customFormat="1" x14ac:dyDescent="0.25">
      <c r="A32912" t="str">
        <f>"7869838"</f>
        <v>7869838</v>
      </c>
      <c r="B32912" t="s">
        <v>23858</v>
      </c>
      <c r="C32912" t="s">
        <v>486</v>
      </c>
      <c r="D32912" s="21" t="s">
        <v>34</v>
      </c>
      <c r="E32912" s="21" t="s">
        <v>35</v>
      </c>
      <c r="F32912">
        <v>8780023</v>
      </c>
      <c r="G32912" t="s">
        <v>1496</v>
      </c>
      <c r="H32912" s="21">
        <v>508</v>
      </c>
    </row>
    <row r="32913" spans="1:8" customFormat="1" x14ac:dyDescent="0.25">
      <c r="A32913" t="str">
        <f>"3831662"</f>
        <v>3831662</v>
      </c>
      <c r="B32913" t="s">
        <v>1951</v>
      </c>
      <c r="C32913" t="s">
        <v>169</v>
      </c>
      <c r="D32913" s="21" t="s">
        <v>34</v>
      </c>
      <c r="E32913" s="21" t="s">
        <v>35</v>
      </c>
      <c r="F32913">
        <v>1380225</v>
      </c>
      <c r="G32913" t="s">
        <v>4441</v>
      </c>
      <c r="H32913" s="21">
        <v>508</v>
      </c>
    </row>
    <row r="32914" spans="1:8" customFormat="1" x14ac:dyDescent="0.25">
      <c r="A32914" t="str">
        <f>"067158"</f>
        <v>067158</v>
      </c>
      <c r="B32914" t="s">
        <v>22371</v>
      </c>
      <c r="C32914" t="s">
        <v>130</v>
      </c>
      <c r="D32914" s="21" t="s">
        <v>34</v>
      </c>
      <c r="E32914" s="21" t="s">
        <v>71</v>
      </c>
      <c r="F32914">
        <v>13060102</v>
      </c>
      <c r="G32914" t="s">
        <v>2918</v>
      </c>
      <c r="H32914" s="21">
        <v>508</v>
      </c>
    </row>
    <row r="32915" spans="1:8" customFormat="1" x14ac:dyDescent="0.25">
      <c r="A32915" t="str">
        <f>"6945736"</f>
        <v>6945736</v>
      </c>
      <c r="B32915" t="s">
        <v>22309</v>
      </c>
      <c r="C32915" t="s">
        <v>1853</v>
      </c>
      <c r="D32915" s="21" t="s">
        <v>34</v>
      </c>
      <c r="E32915" s="21" t="s">
        <v>71</v>
      </c>
      <c r="F32915">
        <v>1690218</v>
      </c>
      <c r="G32915" t="s">
        <v>3637</v>
      </c>
      <c r="H32915" s="21">
        <v>508</v>
      </c>
    </row>
    <row r="32916" spans="1:8" customFormat="1" x14ac:dyDescent="0.25">
      <c r="A32916" t="str">
        <f>"7636580"</f>
        <v>7636580</v>
      </c>
      <c r="B32916" t="s">
        <v>22510</v>
      </c>
      <c r="C32916" t="s">
        <v>576</v>
      </c>
      <c r="D32916" s="21" t="s">
        <v>34</v>
      </c>
      <c r="E32916" s="21" t="s">
        <v>35</v>
      </c>
      <c r="F32916">
        <v>9760214</v>
      </c>
      <c r="G32916" t="s">
        <v>12889</v>
      </c>
      <c r="H32916" s="21">
        <v>508</v>
      </c>
    </row>
    <row r="32917" spans="1:8" customFormat="1" x14ac:dyDescent="0.25">
      <c r="A32917" t="str">
        <f>"896483"</f>
        <v>896483</v>
      </c>
      <c r="B32917" t="s">
        <v>17211</v>
      </c>
      <c r="C32917" t="s">
        <v>204</v>
      </c>
      <c r="D32917" s="21" t="s">
        <v>34</v>
      </c>
      <c r="E32917" s="21" t="s">
        <v>35</v>
      </c>
      <c r="F32917">
        <v>9610011</v>
      </c>
      <c r="G32917" t="s">
        <v>6031</v>
      </c>
      <c r="H32917" s="21">
        <v>508</v>
      </c>
    </row>
    <row r="32918" spans="1:8" customFormat="1" x14ac:dyDescent="0.25">
      <c r="A32918" t="str">
        <f>"3411411"</f>
        <v>3411411</v>
      </c>
      <c r="B32918" t="s">
        <v>6405</v>
      </c>
      <c r="C32918" t="s">
        <v>1489</v>
      </c>
      <c r="D32918" s="21" t="s">
        <v>34</v>
      </c>
      <c r="E32918" s="21" t="s">
        <v>1089</v>
      </c>
      <c r="F32918">
        <v>11300007</v>
      </c>
      <c r="G32918" t="s">
        <v>361</v>
      </c>
      <c r="H32918" s="21">
        <v>508</v>
      </c>
    </row>
    <row r="32919" spans="1:8" customFormat="1" x14ac:dyDescent="0.25">
      <c r="A32919" t="str">
        <f>"8526543"</f>
        <v>8526543</v>
      </c>
      <c r="B32919" t="s">
        <v>2690</v>
      </c>
      <c r="C32919" t="s">
        <v>486</v>
      </c>
      <c r="D32919" s="21" t="s">
        <v>34</v>
      </c>
      <c r="E32919" s="21" t="s">
        <v>71</v>
      </c>
      <c r="F32919">
        <v>10640013</v>
      </c>
      <c r="G32919" t="s">
        <v>4626</v>
      </c>
      <c r="H32919" s="21">
        <v>508</v>
      </c>
    </row>
    <row r="32920" spans="1:8" customFormat="1" x14ac:dyDescent="0.25">
      <c r="A32920" t="str">
        <f>"7869923"</f>
        <v>7869923</v>
      </c>
      <c r="B32920" t="s">
        <v>10754</v>
      </c>
      <c r="C32920" t="s">
        <v>1025</v>
      </c>
      <c r="D32920" s="21" t="s">
        <v>34</v>
      </c>
      <c r="E32920" s="21" t="s">
        <v>71</v>
      </c>
      <c r="F32920">
        <v>8781471</v>
      </c>
      <c r="G32920" t="s">
        <v>9616</v>
      </c>
      <c r="H32920" s="21">
        <v>508</v>
      </c>
    </row>
    <row r="32921" spans="1:8" customFormat="1" x14ac:dyDescent="0.25">
      <c r="A32921" t="str">
        <f>"071262"</f>
        <v>071262</v>
      </c>
      <c r="B32921" t="s">
        <v>2405</v>
      </c>
      <c r="C32921" t="s">
        <v>55</v>
      </c>
      <c r="D32921" s="21" t="s">
        <v>34</v>
      </c>
      <c r="E32921" s="21" t="s">
        <v>71</v>
      </c>
      <c r="F32921">
        <v>1260060</v>
      </c>
      <c r="G32921" t="s">
        <v>3403</v>
      </c>
      <c r="H32921" s="21">
        <v>508</v>
      </c>
    </row>
    <row r="32922" spans="1:8" customFormat="1" x14ac:dyDescent="0.25">
      <c r="A32922" t="str">
        <f>"7633636"</f>
        <v>7633636</v>
      </c>
      <c r="B32922" t="s">
        <v>3072</v>
      </c>
      <c r="C32922" t="s">
        <v>239</v>
      </c>
      <c r="D32922" s="21" t="s">
        <v>34</v>
      </c>
      <c r="E32922" s="21" t="s">
        <v>254</v>
      </c>
      <c r="F32922">
        <v>9760004</v>
      </c>
      <c r="G32922" t="s">
        <v>56</v>
      </c>
      <c r="H32922" s="21">
        <v>508</v>
      </c>
    </row>
    <row r="32923" spans="1:8" customFormat="1" x14ac:dyDescent="0.25">
      <c r="A32923" t="str">
        <f>"6712143"</f>
        <v>6712143</v>
      </c>
      <c r="B32923" t="s">
        <v>28574</v>
      </c>
      <c r="C32923" t="s">
        <v>598</v>
      </c>
      <c r="D32923" s="21" t="s">
        <v>34</v>
      </c>
      <c r="E32923" s="21" t="s">
        <v>71</v>
      </c>
      <c r="F32923">
        <v>6670078</v>
      </c>
      <c r="G32923" t="s">
        <v>11329</v>
      </c>
      <c r="H32923" s="21">
        <v>508</v>
      </c>
    </row>
    <row r="32924" spans="1:8" customFormat="1" x14ac:dyDescent="0.25">
      <c r="A32924" t="str">
        <f>"2934977"</f>
        <v>2934977</v>
      </c>
      <c r="B32924" t="s">
        <v>16992</v>
      </c>
      <c r="C32924" t="s">
        <v>174</v>
      </c>
      <c r="D32924" s="21" t="s">
        <v>34</v>
      </c>
      <c r="E32924" s="21" t="s">
        <v>35</v>
      </c>
      <c r="F32924">
        <v>3290205</v>
      </c>
      <c r="G32924" t="s">
        <v>26882</v>
      </c>
      <c r="H32924" s="21">
        <v>508</v>
      </c>
    </row>
    <row r="32925" spans="1:8" customFormat="1" x14ac:dyDescent="0.25">
      <c r="A32925" t="str">
        <f>"9130200"</f>
        <v>9130200</v>
      </c>
      <c r="B32925" t="s">
        <v>8905</v>
      </c>
      <c r="C32925" t="s">
        <v>415</v>
      </c>
      <c r="D32925" s="21" t="s">
        <v>34</v>
      </c>
      <c r="E32925" s="21" t="s">
        <v>35</v>
      </c>
      <c r="F32925">
        <v>4280045</v>
      </c>
      <c r="G32925" t="s">
        <v>787</v>
      </c>
      <c r="H32925" s="21">
        <v>508</v>
      </c>
    </row>
    <row r="32926" spans="1:8" customFormat="1" x14ac:dyDescent="0.25">
      <c r="A32926" t="str">
        <f>"038834"</f>
        <v>038834</v>
      </c>
      <c r="B32926" t="s">
        <v>3610</v>
      </c>
      <c r="C32926" t="s">
        <v>812</v>
      </c>
      <c r="D32926" s="21" t="s">
        <v>34</v>
      </c>
      <c r="E32926" s="21" t="s">
        <v>35</v>
      </c>
      <c r="F32926">
        <v>1030035</v>
      </c>
      <c r="G32926" t="s">
        <v>2343</v>
      </c>
      <c r="H32926" s="21">
        <v>508</v>
      </c>
    </row>
    <row r="32927" spans="1:8" customFormat="1" x14ac:dyDescent="0.25">
      <c r="A32927" t="str">
        <f>"6226587"</f>
        <v>6226587</v>
      </c>
      <c r="B32927" t="s">
        <v>23546</v>
      </c>
      <c r="C32927" t="s">
        <v>55</v>
      </c>
      <c r="D32927" s="21" t="s">
        <v>34</v>
      </c>
      <c r="E32927" s="21" t="s">
        <v>71</v>
      </c>
      <c r="F32927">
        <v>7620067</v>
      </c>
      <c r="G32927" t="s">
        <v>860</v>
      </c>
      <c r="H32927" s="21">
        <v>508</v>
      </c>
    </row>
    <row r="32928" spans="1:8" customFormat="1" x14ac:dyDescent="0.25">
      <c r="A32928" t="str">
        <f>"3728072"</f>
        <v>3728072</v>
      </c>
      <c r="B32928" t="s">
        <v>10227</v>
      </c>
      <c r="C32928" t="s">
        <v>144</v>
      </c>
      <c r="D32928" s="21" t="s">
        <v>34</v>
      </c>
      <c r="E32928" s="21" t="s">
        <v>35</v>
      </c>
      <c r="F32928">
        <v>4370691</v>
      </c>
      <c r="G32928" t="s">
        <v>12036</v>
      </c>
      <c r="H32928" s="21">
        <v>508</v>
      </c>
    </row>
    <row r="32929" spans="1:8" customFormat="1" x14ac:dyDescent="0.25">
      <c r="A32929" t="str">
        <f>"3014294"</f>
        <v>3014294</v>
      </c>
      <c r="B32929" t="s">
        <v>28575</v>
      </c>
      <c r="C32929" t="s">
        <v>156</v>
      </c>
      <c r="D32929" s="21" t="s">
        <v>34</v>
      </c>
      <c r="E32929" s="21" t="s">
        <v>35</v>
      </c>
      <c r="F32929">
        <v>11300007</v>
      </c>
      <c r="G32929" t="s">
        <v>361</v>
      </c>
      <c r="H32929" s="21">
        <v>508</v>
      </c>
    </row>
    <row r="32930" spans="1:8" customFormat="1" x14ac:dyDescent="0.25">
      <c r="A32930" t="str">
        <f>"4113701"</f>
        <v>4113701</v>
      </c>
      <c r="B32930" t="s">
        <v>2023</v>
      </c>
      <c r="C32930" t="s">
        <v>139</v>
      </c>
      <c r="D32930" s="21" t="s">
        <v>34</v>
      </c>
      <c r="E32930" s="21" t="s">
        <v>35</v>
      </c>
      <c r="F32930">
        <v>4410016</v>
      </c>
      <c r="G32930" t="s">
        <v>4365</v>
      </c>
      <c r="H32930" s="21">
        <v>507.92</v>
      </c>
    </row>
    <row r="32931" spans="1:8" customFormat="1" x14ac:dyDescent="0.25">
      <c r="A32931" t="str">
        <f>"1716879"</f>
        <v>1716879</v>
      </c>
      <c r="B32931" t="s">
        <v>24177</v>
      </c>
      <c r="C32931" t="s">
        <v>121</v>
      </c>
      <c r="D32931" s="21" t="s">
        <v>34</v>
      </c>
      <c r="E32931" s="21" t="s">
        <v>35</v>
      </c>
      <c r="F32931">
        <v>10170051</v>
      </c>
      <c r="G32931" t="s">
        <v>826</v>
      </c>
      <c r="H32931" s="21">
        <v>507.92</v>
      </c>
    </row>
    <row r="32932" spans="1:8" customFormat="1" x14ac:dyDescent="0.25">
      <c r="A32932" t="str">
        <f>"9144147"</f>
        <v>9144147</v>
      </c>
      <c r="B32932" t="s">
        <v>3848</v>
      </c>
      <c r="C32932" t="s">
        <v>109</v>
      </c>
      <c r="D32932" s="21" t="s">
        <v>34</v>
      </c>
      <c r="E32932" s="21" t="s">
        <v>35</v>
      </c>
      <c r="F32932">
        <v>2900039</v>
      </c>
      <c r="G32932" t="s">
        <v>26615</v>
      </c>
      <c r="H32932" s="21">
        <v>507.88</v>
      </c>
    </row>
    <row r="32933" spans="1:8" customFormat="1" x14ac:dyDescent="0.25">
      <c r="A32933" t="str">
        <f>"5934841"</f>
        <v>5934841</v>
      </c>
      <c r="B32933" t="s">
        <v>22777</v>
      </c>
      <c r="C32933" t="s">
        <v>33</v>
      </c>
      <c r="D32933" s="21" t="s">
        <v>34</v>
      </c>
      <c r="E32933" s="21" t="s">
        <v>71</v>
      </c>
      <c r="F32933">
        <v>7590361</v>
      </c>
      <c r="G32933" t="s">
        <v>3071</v>
      </c>
      <c r="H32933" s="21">
        <v>507.79</v>
      </c>
    </row>
    <row r="32934" spans="1:8" customFormat="1" x14ac:dyDescent="0.25">
      <c r="A32934" t="str">
        <f>"2814315"</f>
        <v>2814315</v>
      </c>
      <c r="B32934" t="s">
        <v>7037</v>
      </c>
      <c r="C32934" t="s">
        <v>169</v>
      </c>
      <c r="D32934" s="21" t="s">
        <v>34</v>
      </c>
      <c r="E32934" s="21" t="s">
        <v>35</v>
      </c>
      <c r="F32934">
        <v>4280719</v>
      </c>
      <c r="G32934" t="s">
        <v>21976</v>
      </c>
      <c r="H32934" s="21">
        <v>507.79</v>
      </c>
    </row>
    <row r="32935" spans="1:8" customFormat="1" x14ac:dyDescent="0.25">
      <c r="A32935" t="str">
        <f>"5977970"</f>
        <v>5977970</v>
      </c>
      <c r="B32935" t="s">
        <v>23240</v>
      </c>
      <c r="C32935" t="s">
        <v>7515</v>
      </c>
      <c r="D32935" s="21" t="s">
        <v>34</v>
      </c>
      <c r="E32935" s="21" t="s">
        <v>71</v>
      </c>
      <c r="F32935">
        <v>7590131</v>
      </c>
      <c r="G32935" t="s">
        <v>6300</v>
      </c>
      <c r="H32935" s="21">
        <v>507.67</v>
      </c>
    </row>
    <row r="32936" spans="1:8" customFormat="1" x14ac:dyDescent="0.25">
      <c r="A32936" t="str">
        <f>"3343655"</f>
        <v>3343655</v>
      </c>
      <c r="B32936" t="s">
        <v>24272</v>
      </c>
      <c r="C32936" t="s">
        <v>209</v>
      </c>
      <c r="D32936" s="21" t="s">
        <v>34</v>
      </c>
      <c r="E32936" s="21" t="s">
        <v>71</v>
      </c>
      <c r="F32936">
        <v>10330130</v>
      </c>
      <c r="G32936" t="s">
        <v>13867</v>
      </c>
      <c r="H32936" s="21">
        <v>507.67</v>
      </c>
    </row>
    <row r="32937" spans="1:8" customFormat="1" x14ac:dyDescent="0.25">
      <c r="A32937" t="str">
        <f>"668356"</f>
        <v>668356</v>
      </c>
      <c r="B32937" t="s">
        <v>28576</v>
      </c>
      <c r="C32937" t="s">
        <v>21590</v>
      </c>
      <c r="D32937" s="21" t="s">
        <v>34</v>
      </c>
      <c r="E32937" s="21" t="s">
        <v>35</v>
      </c>
      <c r="F32937">
        <v>11660011</v>
      </c>
      <c r="G32937" t="s">
        <v>4641</v>
      </c>
      <c r="H32937" s="21">
        <v>507.67</v>
      </c>
    </row>
    <row r="32938" spans="1:8" customFormat="1" x14ac:dyDescent="0.25">
      <c r="A32938" t="str">
        <f>"5940861"</f>
        <v>5940861</v>
      </c>
      <c r="B32938" t="s">
        <v>517</v>
      </c>
      <c r="C32938" t="s">
        <v>598</v>
      </c>
      <c r="D32938" s="21" t="s">
        <v>34</v>
      </c>
      <c r="E32938" s="21" t="s">
        <v>35</v>
      </c>
      <c r="F32938">
        <v>7590231</v>
      </c>
      <c r="G32938" t="s">
        <v>207</v>
      </c>
      <c r="H32938" s="21">
        <v>507.67</v>
      </c>
    </row>
    <row r="32939" spans="1:8" customFormat="1" x14ac:dyDescent="0.25">
      <c r="A32939" t="str">
        <f>"2216135"</f>
        <v>2216135</v>
      </c>
      <c r="B32939" t="s">
        <v>22216</v>
      </c>
      <c r="C32939" t="s">
        <v>415</v>
      </c>
      <c r="D32939" s="21" t="s">
        <v>34</v>
      </c>
      <c r="E32939" s="21" t="s">
        <v>71</v>
      </c>
      <c r="F32939">
        <v>3220038</v>
      </c>
      <c r="G32939" t="s">
        <v>27039</v>
      </c>
      <c r="H32939" s="21">
        <v>507.67</v>
      </c>
    </row>
    <row r="32940" spans="1:8" customFormat="1" x14ac:dyDescent="0.25">
      <c r="A32940" t="str">
        <f>"6920614"</f>
        <v>6920614</v>
      </c>
      <c r="B32940" t="s">
        <v>22079</v>
      </c>
      <c r="C32940" t="s">
        <v>1705</v>
      </c>
      <c r="D32940" s="21" t="s">
        <v>34</v>
      </c>
      <c r="E32940" s="21" t="s">
        <v>1089</v>
      </c>
      <c r="F32940">
        <v>1690167</v>
      </c>
      <c r="G32940" t="s">
        <v>11267</v>
      </c>
      <c r="H32940" s="21">
        <v>507.67</v>
      </c>
    </row>
    <row r="32941" spans="1:8" customFormat="1" x14ac:dyDescent="0.25">
      <c r="A32941" t="str">
        <f>"5966008"</f>
        <v>5966008</v>
      </c>
      <c r="B32941" t="s">
        <v>21956</v>
      </c>
      <c r="C32941" t="s">
        <v>249</v>
      </c>
      <c r="D32941" s="21" t="s">
        <v>34</v>
      </c>
      <c r="E32941" s="21" t="s">
        <v>71</v>
      </c>
      <c r="F32941">
        <v>7590402</v>
      </c>
      <c r="G32941" t="s">
        <v>1623</v>
      </c>
      <c r="H32941" s="21">
        <v>507.67</v>
      </c>
    </row>
    <row r="32942" spans="1:8" customFormat="1" x14ac:dyDescent="0.25">
      <c r="A32942" t="str">
        <f>"335100"</f>
        <v>335100</v>
      </c>
      <c r="B32942" t="s">
        <v>21379</v>
      </c>
      <c r="C32942" t="s">
        <v>1597</v>
      </c>
      <c r="D32942" s="21" t="s">
        <v>34</v>
      </c>
      <c r="E32942" s="21" t="s">
        <v>1089</v>
      </c>
      <c r="F32942">
        <v>10640008</v>
      </c>
      <c r="G32942" t="s">
        <v>1694</v>
      </c>
      <c r="H32942" s="21">
        <v>507.67</v>
      </c>
    </row>
    <row r="32943" spans="1:8" customFormat="1" x14ac:dyDescent="0.25">
      <c r="A32943" t="str">
        <f>"3820905"</f>
        <v>3820905</v>
      </c>
      <c r="B32943" t="s">
        <v>3661</v>
      </c>
      <c r="C32943" t="s">
        <v>124</v>
      </c>
      <c r="D32943" s="21" t="s">
        <v>34</v>
      </c>
      <c r="E32943" s="21" t="s">
        <v>35</v>
      </c>
      <c r="F32943">
        <v>1380136</v>
      </c>
      <c r="G32943" t="s">
        <v>1047</v>
      </c>
      <c r="H32943" s="21">
        <v>507.67</v>
      </c>
    </row>
    <row r="32944" spans="1:8" customFormat="1" x14ac:dyDescent="0.25">
      <c r="A32944" t="str">
        <f>"7217964"</f>
        <v>7217964</v>
      </c>
      <c r="B32944" t="s">
        <v>22931</v>
      </c>
      <c r="C32944" t="s">
        <v>269</v>
      </c>
      <c r="D32944" s="21" t="s">
        <v>34</v>
      </c>
      <c r="E32944" s="21" t="s">
        <v>71</v>
      </c>
      <c r="F32944">
        <v>12720005</v>
      </c>
      <c r="G32944" t="s">
        <v>999</v>
      </c>
      <c r="H32944" s="21">
        <v>507.67</v>
      </c>
    </row>
    <row r="32945" spans="1:8" customFormat="1" x14ac:dyDescent="0.25">
      <c r="A32945" t="str">
        <f>"7732364"</f>
        <v>7732364</v>
      </c>
      <c r="B32945" t="s">
        <v>28577</v>
      </c>
      <c r="C32945" t="s">
        <v>119</v>
      </c>
      <c r="D32945" s="21" t="s">
        <v>34</v>
      </c>
      <c r="E32945" s="21" t="s">
        <v>35</v>
      </c>
      <c r="F32945">
        <v>8770474</v>
      </c>
      <c r="G32945" t="s">
        <v>1600</v>
      </c>
      <c r="H32945" s="21">
        <v>507.67</v>
      </c>
    </row>
    <row r="32946" spans="1:8" customFormat="1" x14ac:dyDescent="0.25">
      <c r="A32946" t="str">
        <f>"7622047"</f>
        <v>7622047</v>
      </c>
      <c r="B32946" t="s">
        <v>8817</v>
      </c>
      <c r="C32946" t="s">
        <v>1220</v>
      </c>
      <c r="D32946" s="21" t="s">
        <v>34</v>
      </c>
      <c r="E32946" s="21" t="s">
        <v>254</v>
      </c>
      <c r="F32946">
        <v>9760419</v>
      </c>
      <c r="G32946" t="s">
        <v>8549</v>
      </c>
      <c r="H32946" s="21">
        <v>507.67</v>
      </c>
    </row>
    <row r="32947" spans="1:8" customFormat="1" x14ac:dyDescent="0.25">
      <c r="A32947" t="str">
        <f>"9238501"</f>
        <v>9238501</v>
      </c>
      <c r="B32947" t="s">
        <v>146</v>
      </c>
      <c r="C32947" t="s">
        <v>249</v>
      </c>
      <c r="D32947" s="21" t="s">
        <v>34</v>
      </c>
      <c r="E32947" s="21" t="s">
        <v>71</v>
      </c>
      <c r="F32947">
        <v>8920031</v>
      </c>
      <c r="G32947" t="s">
        <v>552</v>
      </c>
      <c r="H32947" s="21">
        <v>507.67</v>
      </c>
    </row>
    <row r="32948" spans="1:8" customFormat="1" x14ac:dyDescent="0.25">
      <c r="A32948" t="str">
        <f>"7623305"</f>
        <v>7623305</v>
      </c>
      <c r="B32948" t="s">
        <v>12749</v>
      </c>
      <c r="C32948" t="s">
        <v>817</v>
      </c>
      <c r="D32948" s="21" t="s">
        <v>34</v>
      </c>
      <c r="E32948" s="21" t="s">
        <v>254</v>
      </c>
      <c r="F32948">
        <v>9760390</v>
      </c>
      <c r="G32948" t="s">
        <v>17285</v>
      </c>
      <c r="H32948" s="21">
        <v>507.67</v>
      </c>
    </row>
    <row r="32949" spans="1:8" customFormat="1" x14ac:dyDescent="0.25">
      <c r="A32949" t="str">
        <f>"788783"</f>
        <v>788783</v>
      </c>
      <c r="B32949" t="s">
        <v>1533</v>
      </c>
      <c r="C32949" t="s">
        <v>249</v>
      </c>
      <c r="D32949" s="21" t="s">
        <v>34</v>
      </c>
      <c r="E32949" s="21" t="s">
        <v>71</v>
      </c>
      <c r="F32949">
        <v>8780568</v>
      </c>
      <c r="G32949" t="s">
        <v>5279</v>
      </c>
      <c r="H32949" s="21">
        <v>507.67</v>
      </c>
    </row>
    <row r="32950" spans="1:8" customFormat="1" x14ac:dyDescent="0.25">
      <c r="A32950" t="str">
        <f>"4938861"</f>
        <v>4938861</v>
      </c>
      <c r="B32950" t="s">
        <v>7427</v>
      </c>
      <c r="C32950" t="s">
        <v>926</v>
      </c>
      <c r="D32950" s="21" t="s">
        <v>34</v>
      </c>
      <c r="E32950" s="21" t="s">
        <v>35</v>
      </c>
      <c r="F32950">
        <v>12490132</v>
      </c>
      <c r="G32950" t="s">
        <v>1125</v>
      </c>
      <c r="H32950" s="21">
        <v>507.67</v>
      </c>
    </row>
    <row r="32951" spans="1:8" customFormat="1" x14ac:dyDescent="0.25">
      <c r="A32951" t="str">
        <f>"5430140"</f>
        <v>5430140</v>
      </c>
      <c r="B32951" t="s">
        <v>21759</v>
      </c>
      <c r="C32951" t="s">
        <v>249</v>
      </c>
      <c r="D32951" s="21" t="s">
        <v>34</v>
      </c>
      <c r="E32951" s="21" t="s">
        <v>71</v>
      </c>
      <c r="F32951">
        <v>6540040</v>
      </c>
      <c r="G32951" t="s">
        <v>256</v>
      </c>
      <c r="H32951" s="21">
        <v>507.67</v>
      </c>
    </row>
    <row r="32952" spans="1:8" customFormat="1" x14ac:dyDescent="0.25">
      <c r="A32952" t="str">
        <f>"114156"</f>
        <v>114156</v>
      </c>
      <c r="B32952" t="s">
        <v>22378</v>
      </c>
      <c r="C32952" t="s">
        <v>82</v>
      </c>
      <c r="D32952" s="21" t="s">
        <v>34</v>
      </c>
      <c r="E32952" s="21" t="s">
        <v>35</v>
      </c>
      <c r="F32952">
        <v>11110026</v>
      </c>
      <c r="G32952" t="s">
        <v>17718</v>
      </c>
      <c r="H32952" s="21">
        <v>507.67</v>
      </c>
    </row>
    <row r="32953" spans="1:8" customFormat="1" x14ac:dyDescent="0.25">
      <c r="A32953" t="str">
        <f>"679568"</f>
        <v>679568</v>
      </c>
      <c r="B32953" t="s">
        <v>3576</v>
      </c>
      <c r="C32953" t="s">
        <v>7740</v>
      </c>
      <c r="D32953" s="21" t="s">
        <v>34</v>
      </c>
      <c r="E32953" s="21" t="s">
        <v>254</v>
      </c>
      <c r="F32953">
        <v>6670129</v>
      </c>
      <c r="G32953" t="s">
        <v>12249</v>
      </c>
      <c r="H32953" s="21">
        <v>507.67</v>
      </c>
    </row>
    <row r="32954" spans="1:8" customFormat="1" x14ac:dyDescent="0.25">
      <c r="A32954" t="str">
        <f>"5945446"</f>
        <v>5945446</v>
      </c>
      <c r="B32954" t="s">
        <v>18124</v>
      </c>
      <c r="C32954" t="s">
        <v>121</v>
      </c>
      <c r="D32954" s="21" t="s">
        <v>34</v>
      </c>
      <c r="E32954" s="21" t="s">
        <v>35</v>
      </c>
      <c r="F32954">
        <v>7590050</v>
      </c>
      <c r="G32954" t="s">
        <v>473</v>
      </c>
      <c r="H32954" s="21">
        <v>507.67</v>
      </c>
    </row>
    <row r="32955" spans="1:8" customFormat="1" x14ac:dyDescent="0.25">
      <c r="A32955" t="str">
        <f>"611169"</f>
        <v>611169</v>
      </c>
      <c r="B32955" t="s">
        <v>185</v>
      </c>
      <c r="C32955" t="s">
        <v>621</v>
      </c>
      <c r="D32955" s="21" t="s">
        <v>34</v>
      </c>
      <c r="E32955" s="21" t="s">
        <v>1089</v>
      </c>
      <c r="F32955">
        <v>9610108</v>
      </c>
      <c r="G32955" t="s">
        <v>14594</v>
      </c>
      <c r="H32955" s="21">
        <v>507.67</v>
      </c>
    </row>
    <row r="32956" spans="1:8" customFormat="1" x14ac:dyDescent="0.25">
      <c r="A32956" t="str">
        <f>"2721066"</f>
        <v>2721066</v>
      </c>
      <c r="B32956" t="s">
        <v>2023</v>
      </c>
      <c r="C32956" t="s">
        <v>33</v>
      </c>
      <c r="D32956" s="21" t="s">
        <v>34</v>
      </c>
      <c r="E32956" s="21" t="s">
        <v>35</v>
      </c>
      <c r="F32956">
        <v>9270185</v>
      </c>
      <c r="G32956" t="s">
        <v>9160</v>
      </c>
      <c r="H32956" s="21">
        <v>507.54</v>
      </c>
    </row>
    <row r="32957" spans="1:8" customFormat="1" x14ac:dyDescent="0.25">
      <c r="A32957" t="str">
        <f>"2815245"</f>
        <v>2815245</v>
      </c>
      <c r="B32957" t="s">
        <v>3351</v>
      </c>
      <c r="C32957" t="s">
        <v>455</v>
      </c>
      <c r="D32957" s="21" t="s">
        <v>34</v>
      </c>
      <c r="E32957" s="21" t="s">
        <v>71</v>
      </c>
      <c r="F32957">
        <v>4280716</v>
      </c>
      <c r="G32957" t="s">
        <v>5281</v>
      </c>
      <c r="H32957" s="21">
        <v>507.5</v>
      </c>
    </row>
    <row r="32958" spans="1:8" customFormat="1" x14ac:dyDescent="0.25">
      <c r="A32958" t="str">
        <f>"9519154"</f>
        <v>9519154</v>
      </c>
      <c r="B32958" t="s">
        <v>23502</v>
      </c>
      <c r="C32958" t="s">
        <v>209</v>
      </c>
      <c r="D32958" s="21" t="s">
        <v>34</v>
      </c>
      <c r="E32958" s="21" t="s">
        <v>254</v>
      </c>
      <c r="F32958">
        <v>8950348</v>
      </c>
      <c r="G32958" t="s">
        <v>491</v>
      </c>
      <c r="H32958" s="21">
        <v>507.5</v>
      </c>
    </row>
    <row r="32959" spans="1:8" customFormat="1" x14ac:dyDescent="0.25">
      <c r="A32959" t="str">
        <f>"4429641"</f>
        <v>4429641</v>
      </c>
      <c r="B32959" t="s">
        <v>10431</v>
      </c>
      <c r="C32959" t="s">
        <v>87</v>
      </c>
      <c r="D32959" s="21" t="s">
        <v>34</v>
      </c>
      <c r="E32959" s="21" t="s">
        <v>71</v>
      </c>
      <c r="F32959">
        <v>12440039</v>
      </c>
      <c r="G32959" t="s">
        <v>9650</v>
      </c>
      <c r="H32959" s="21">
        <v>507.5</v>
      </c>
    </row>
    <row r="32960" spans="1:8" customFormat="1" x14ac:dyDescent="0.25">
      <c r="A32960" t="str">
        <f>"3339150"</f>
        <v>3339150</v>
      </c>
      <c r="B32960" t="s">
        <v>24760</v>
      </c>
      <c r="C32960" t="s">
        <v>5142</v>
      </c>
      <c r="D32960" s="21" t="s">
        <v>34</v>
      </c>
      <c r="E32960" s="21" t="s">
        <v>71</v>
      </c>
      <c r="F32960">
        <v>10330030</v>
      </c>
      <c r="G32960" t="s">
        <v>2990</v>
      </c>
      <c r="H32960" s="21">
        <v>507.5</v>
      </c>
    </row>
    <row r="32961" spans="1:8" customFormat="1" x14ac:dyDescent="0.25">
      <c r="A32961" t="str">
        <f>"7882828"</f>
        <v>7882828</v>
      </c>
      <c r="B32961" t="s">
        <v>4877</v>
      </c>
      <c r="C32961" t="s">
        <v>1914</v>
      </c>
      <c r="D32961" s="21" t="s">
        <v>34</v>
      </c>
      <c r="E32961" s="21" t="s">
        <v>71</v>
      </c>
      <c r="F32961">
        <v>8781466</v>
      </c>
      <c r="G32961" t="s">
        <v>21047</v>
      </c>
      <c r="H32961" s="21">
        <v>507.5</v>
      </c>
    </row>
    <row r="32962" spans="1:8" customFormat="1" x14ac:dyDescent="0.25">
      <c r="A32962" t="str">
        <f>"8529430"</f>
        <v>8529430</v>
      </c>
      <c r="B32962" t="s">
        <v>20931</v>
      </c>
      <c r="C32962" t="s">
        <v>867</v>
      </c>
      <c r="D32962" s="21" t="s">
        <v>34</v>
      </c>
      <c r="E32962" s="21" t="s">
        <v>35</v>
      </c>
      <c r="F32962">
        <v>12850046</v>
      </c>
      <c r="G32962" t="s">
        <v>3136</v>
      </c>
      <c r="H32962" s="21">
        <v>507.5</v>
      </c>
    </row>
    <row r="32963" spans="1:8" customFormat="1" x14ac:dyDescent="0.25">
      <c r="A32963" t="str">
        <f>"6022941"</f>
        <v>6022941</v>
      </c>
      <c r="B32963" t="s">
        <v>22211</v>
      </c>
      <c r="C32963" t="s">
        <v>13807</v>
      </c>
      <c r="D32963" s="21" t="s">
        <v>34</v>
      </c>
      <c r="E32963" s="21" t="s">
        <v>71</v>
      </c>
      <c r="F32963">
        <v>7600054</v>
      </c>
      <c r="G32963" t="s">
        <v>1352</v>
      </c>
      <c r="H32963" s="21">
        <v>507.5</v>
      </c>
    </row>
    <row r="32964" spans="1:8" customFormat="1" x14ac:dyDescent="0.25">
      <c r="A32964" t="str">
        <f>"1425298"</f>
        <v>1425298</v>
      </c>
      <c r="B32964" t="s">
        <v>6240</v>
      </c>
      <c r="C32964" t="s">
        <v>109</v>
      </c>
      <c r="D32964" s="21" t="s">
        <v>34</v>
      </c>
      <c r="E32964" s="21" t="s">
        <v>35</v>
      </c>
      <c r="F32964">
        <v>9140162</v>
      </c>
      <c r="G32964" t="s">
        <v>7663</v>
      </c>
      <c r="H32964" s="21">
        <v>507.5</v>
      </c>
    </row>
    <row r="32965" spans="1:8" customFormat="1" x14ac:dyDescent="0.25">
      <c r="A32965" t="str">
        <f>"769760"</f>
        <v>769760</v>
      </c>
      <c r="B32965" t="s">
        <v>22956</v>
      </c>
      <c r="C32965" t="s">
        <v>825</v>
      </c>
      <c r="D32965" s="21" t="s">
        <v>34</v>
      </c>
      <c r="E32965" s="21" t="s">
        <v>254</v>
      </c>
      <c r="F32965">
        <v>9760448</v>
      </c>
      <c r="G32965" t="s">
        <v>11345</v>
      </c>
      <c r="H32965" s="21">
        <v>507.5</v>
      </c>
    </row>
    <row r="32966" spans="1:8" customFormat="1" x14ac:dyDescent="0.25">
      <c r="A32966" t="str">
        <f>"6231090"</f>
        <v>6231090</v>
      </c>
      <c r="B32966" t="s">
        <v>28578</v>
      </c>
      <c r="C32966" t="s">
        <v>65</v>
      </c>
      <c r="D32966" s="21" t="s">
        <v>34</v>
      </c>
      <c r="E32966" s="21" t="s">
        <v>35</v>
      </c>
      <c r="F32966">
        <v>7620139</v>
      </c>
      <c r="G32966" t="s">
        <v>2061</v>
      </c>
      <c r="H32966" s="21">
        <v>507.5</v>
      </c>
    </row>
    <row r="32967" spans="1:8" customFormat="1" x14ac:dyDescent="0.25">
      <c r="A32967" t="str">
        <f>"9457209"</f>
        <v>9457209</v>
      </c>
      <c r="B32967" t="s">
        <v>28579</v>
      </c>
      <c r="C32967" t="s">
        <v>169</v>
      </c>
      <c r="D32967" s="21" t="s">
        <v>34</v>
      </c>
      <c r="E32967" s="21" t="s">
        <v>35</v>
      </c>
      <c r="F32967">
        <v>8941100</v>
      </c>
      <c r="G32967" t="s">
        <v>4974</v>
      </c>
      <c r="H32967" s="21">
        <v>507.5</v>
      </c>
    </row>
    <row r="32968" spans="1:8" customFormat="1" x14ac:dyDescent="0.25">
      <c r="A32968" t="str">
        <f>"7857110"</f>
        <v>7857110</v>
      </c>
      <c r="B32968" t="s">
        <v>24517</v>
      </c>
      <c r="C32968" t="s">
        <v>33</v>
      </c>
      <c r="D32968" s="21" t="s">
        <v>34</v>
      </c>
      <c r="E32968" s="21" t="s">
        <v>35</v>
      </c>
      <c r="F32968">
        <v>8781466</v>
      </c>
      <c r="G32968" t="s">
        <v>21047</v>
      </c>
      <c r="H32968" s="21">
        <v>507.5</v>
      </c>
    </row>
    <row r="32969" spans="1:8" customFormat="1" x14ac:dyDescent="0.25">
      <c r="A32969" t="str">
        <f>"368318"</f>
        <v>368318</v>
      </c>
      <c r="B32969" t="s">
        <v>12119</v>
      </c>
      <c r="C32969" t="s">
        <v>484</v>
      </c>
      <c r="D32969" s="21" t="s">
        <v>34</v>
      </c>
      <c r="E32969" s="21" t="s">
        <v>35</v>
      </c>
      <c r="F32969">
        <v>4360729</v>
      </c>
      <c r="G32969" t="s">
        <v>15028</v>
      </c>
      <c r="H32969" s="21">
        <v>507.5</v>
      </c>
    </row>
    <row r="32970" spans="1:8" customFormat="1" x14ac:dyDescent="0.25">
      <c r="A32970" t="str">
        <f>"8819068"</f>
        <v>8819068</v>
      </c>
      <c r="B32970" t="s">
        <v>2544</v>
      </c>
      <c r="C32970" t="s">
        <v>33</v>
      </c>
      <c r="D32970" s="21" t="s">
        <v>34</v>
      </c>
      <c r="E32970" s="21" t="s">
        <v>35</v>
      </c>
      <c r="F32970">
        <v>6880002</v>
      </c>
      <c r="G32970" t="s">
        <v>501</v>
      </c>
      <c r="H32970" s="21">
        <v>507.5</v>
      </c>
    </row>
    <row r="32971" spans="1:8" customFormat="1" x14ac:dyDescent="0.25">
      <c r="A32971" t="str">
        <f>"4454893"</f>
        <v>4454893</v>
      </c>
      <c r="B32971" t="s">
        <v>14410</v>
      </c>
      <c r="C32971" t="s">
        <v>114</v>
      </c>
      <c r="D32971" s="21" t="s">
        <v>34</v>
      </c>
      <c r="E32971" s="21" t="s">
        <v>254</v>
      </c>
      <c r="F32971">
        <v>12440116</v>
      </c>
      <c r="G32971" t="s">
        <v>26673</v>
      </c>
      <c r="H32971" s="21">
        <v>507.5</v>
      </c>
    </row>
    <row r="32972" spans="1:8" customFormat="1" x14ac:dyDescent="0.25">
      <c r="A32972" t="str">
        <f>"4530423"</f>
        <v>4530423</v>
      </c>
      <c r="B32972" t="s">
        <v>13634</v>
      </c>
      <c r="C32972" t="s">
        <v>211</v>
      </c>
      <c r="D32972" s="21" t="s">
        <v>34</v>
      </c>
      <c r="E32972" s="21" t="s">
        <v>71</v>
      </c>
      <c r="F32972">
        <v>4450617</v>
      </c>
      <c r="G32972" t="s">
        <v>4708</v>
      </c>
      <c r="H32972" s="21">
        <v>507.5</v>
      </c>
    </row>
    <row r="32973" spans="1:8" customFormat="1" x14ac:dyDescent="0.25">
      <c r="A32973" t="str">
        <f>"1319096"</f>
        <v>1319096</v>
      </c>
      <c r="B32973" t="s">
        <v>26069</v>
      </c>
      <c r="C32973" t="s">
        <v>2806</v>
      </c>
      <c r="D32973" s="21" t="s">
        <v>34</v>
      </c>
      <c r="E32973" s="21" t="s">
        <v>35</v>
      </c>
      <c r="F32973">
        <v>13840045</v>
      </c>
      <c r="G32973" t="s">
        <v>11703</v>
      </c>
      <c r="H32973" s="21">
        <v>507.5</v>
      </c>
    </row>
    <row r="32974" spans="1:8" customFormat="1" x14ac:dyDescent="0.25">
      <c r="A32974" t="str">
        <f>"2215701"</f>
        <v>2215701</v>
      </c>
      <c r="B32974" t="s">
        <v>22149</v>
      </c>
      <c r="C32974" t="s">
        <v>119</v>
      </c>
      <c r="D32974" s="21" t="s">
        <v>34</v>
      </c>
      <c r="E32974" s="21" t="s">
        <v>71</v>
      </c>
      <c r="F32974">
        <v>3220127</v>
      </c>
      <c r="G32974" t="s">
        <v>26652</v>
      </c>
      <c r="H32974" s="21">
        <v>507.5</v>
      </c>
    </row>
    <row r="32975" spans="1:8" customFormat="1" x14ac:dyDescent="0.25">
      <c r="A32975" t="str">
        <f>"5953985"</f>
        <v>5953985</v>
      </c>
      <c r="B32975" t="s">
        <v>28580</v>
      </c>
      <c r="C32975" t="s">
        <v>65</v>
      </c>
      <c r="D32975" s="21" t="s">
        <v>34</v>
      </c>
      <c r="E32975" s="21" t="s">
        <v>71</v>
      </c>
      <c r="F32975">
        <v>7590072</v>
      </c>
      <c r="G32975" t="s">
        <v>4059</v>
      </c>
      <c r="H32975" s="21">
        <v>507.5</v>
      </c>
    </row>
    <row r="32976" spans="1:8" customFormat="1" x14ac:dyDescent="0.25">
      <c r="A32976" t="str">
        <f>"5733546"</f>
        <v>5733546</v>
      </c>
      <c r="B32976" t="s">
        <v>4318</v>
      </c>
      <c r="C32976" t="s">
        <v>49</v>
      </c>
      <c r="D32976" s="21" t="s">
        <v>34</v>
      </c>
      <c r="E32976" s="21" t="s">
        <v>35</v>
      </c>
      <c r="F32976">
        <v>6570140</v>
      </c>
      <c r="G32976" t="s">
        <v>813</v>
      </c>
      <c r="H32976" s="21">
        <v>507.5</v>
      </c>
    </row>
    <row r="32977" spans="1:8" customFormat="1" x14ac:dyDescent="0.25">
      <c r="A32977" t="str">
        <f>"6112897"</f>
        <v>6112897</v>
      </c>
      <c r="B32977" t="s">
        <v>5833</v>
      </c>
      <c r="C32977" t="s">
        <v>174</v>
      </c>
      <c r="D32977" s="21" t="s">
        <v>34</v>
      </c>
      <c r="E32977" s="21" t="s">
        <v>35</v>
      </c>
      <c r="F32977">
        <v>9610039</v>
      </c>
      <c r="G32977" t="s">
        <v>3965</v>
      </c>
      <c r="H32977" s="21">
        <v>507.5</v>
      </c>
    </row>
    <row r="32978" spans="1:8" customFormat="1" x14ac:dyDescent="0.25">
      <c r="A32978" t="str">
        <f>"4457104"</f>
        <v>4457104</v>
      </c>
      <c r="B32978" t="s">
        <v>28581</v>
      </c>
      <c r="C32978" t="s">
        <v>611</v>
      </c>
      <c r="D32978" s="21" t="s">
        <v>34</v>
      </c>
      <c r="E32978" s="21" t="s">
        <v>35</v>
      </c>
      <c r="F32978">
        <v>12440099</v>
      </c>
      <c r="G32978" t="s">
        <v>11536</v>
      </c>
      <c r="H32978" s="21">
        <v>507.5</v>
      </c>
    </row>
    <row r="32979" spans="1:8" customFormat="1" x14ac:dyDescent="0.25">
      <c r="A32979" t="str">
        <f>"124353"</f>
        <v>124353</v>
      </c>
      <c r="B32979" t="s">
        <v>22461</v>
      </c>
      <c r="C32979" t="s">
        <v>156</v>
      </c>
      <c r="D32979" s="21" t="s">
        <v>34</v>
      </c>
      <c r="E32979" s="21" t="s">
        <v>254</v>
      </c>
      <c r="F32979">
        <v>11120042</v>
      </c>
      <c r="G32979" t="s">
        <v>16752</v>
      </c>
      <c r="H32979" s="21">
        <v>507.5</v>
      </c>
    </row>
    <row r="32980" spans="1:8" customFormat="1" x14ac:dyDescent="0.25">
      <c r="A32980" t="str">
        <f>"1319566"</f>
        <v>1319566</v>
      </c>
      <c r="B32980" t="s">
        <v>24794</v>
      </c>
      <c r="C32980" t="s">
        <v>812</v>
      </c>
      <c r="D32980" s="21" t="s">
        <v>34</v>
      </c>
      <c r="E32980" s="21" t="s">
        <v>35</v>
      </c>
      <c r="F32980">
        <v>13130138</v>
      </c>
      <c r="G32980" t="s">
        <v>5409</v>
      </c>
      <c r="H32980" s="21">
        <v>507.5</v>
      </c>
    </row>
    <row r="32981" spans="1:8" customFormat="1" x14ac:dyDescent="0.25">
      <c r="A32981" t="str">
        <f>"368104"</f>
        <v>368104</v>
      </c>
      <c r="B32981" t="s">
        <v>15012</v>
      </c>
      <c r="C32981" t="s">
        <v>169</v>
      </c>
      <c r="D32981" s="21" t="s">
        <v>34</v>
      </c>
      <c r="E32981" s="21" t="s">
        <v>71</v>
      </c>
      <c r="F32981">
        <v>4360724</v>
      </c>
      <c r="G32981" t="s">
        <v>23008</v>
      </c>
      <c r="H32981" s="21">
        <v>507.5</v>
      </c>
    </row>
    <row r="32982" spans="1:8" customFormat="1" x14ac:dyDescent="0.25">
      <c r="A32982" t="str">
        <f>"4441145"</f>
        <v>4441145</v>
      </c>
      <c r="B32982" t="s">
        <v>2762</v>
      </c>
      <c r="C32982" t="s">
        <v>209</v>
      </c>
      <c r="D32982" s="21" t="s">
        <v>34</v>
      </c>
      <c r="E32982" s="21" t="s">
        <v>71</v>
      </c>
      <c r="F32982">
        <v>12440101</v>
      </c>
      <c r="G32982" t="s">
        <v>3482</v>
      </c>
      <c r="H32982" s="21">
        <v>507.5</v>
      </c>
    </row>
    <row r="32983" spans="1:8" customFormat="1" x14ac:dyDescent="0.25">
      <c r="A32983" t="str">
        <f>"9322262"</f>
        <v>9322262</v>
      </c>
      <c r="B32983" t="s">
        <v>28582</v>
      </c>
      <c r="C32983" t="s">
        <v>28583</v>
      </c>
      <c r="D32983" s="21" t="s">
        <v>34</v>
      </c>
      <c r="E32983" s="21" t="s">
        <v>35</v>
      </c>
      <c r="F32983">
        <v>8930928</v>
      </c>
      <c r="G32983" t="s">
        <v>606</v>
      </c>
      <c r="H32983" s="21">
        <v>507.5</v>
      </c>
    </row>
    <row r="32984" spans="1:8" customFormat="1" x14ac:dyDescent="0.25">
      <c r="A32984" t="str">
        <f>"051026"</f>
        <v>051026</v>
      </c>
      <c r="B32984" t="s">
        <v>20450</v>
      </c>
      <c r="C32984" t="s">
        <v>198</v>
      </c>
      <c r="D32984" s="21" t="s">
        <v>34</v>
      </c>
      <c r="E32984" s="21" t="s">
        <v>71</v>
      </c>
      <c r="F32984">
        <v>13050005</v>
      </c>
      <c r="G32984" t="s">
        <v>5248</v>
      </c>
      <c r="H32984" s="21">
        <v>507.5</v>
      </c>
    </row>
    <row r="32985" spans="1:8" customFormat="1" x14ac:dyDescent="0.25">
      <c r="A32985" t="str">
        <f>"3339321"</f>
        <v>3339321</v>
      </c>
      <c r="B32985" t="s">
        <v>21175</v>
      </c>
      <c r="C32985" t="s">
        <v>1199</v>
      </c>
      <c r="D32985" s="21" t="s">
        <v>34</v>
      </c>
      <c r="E32985" s="21" t="s">
        <v>254</v>
      </c>
      <c r="F32985">
        <v>10330032</v>
      </c>
      <c r="G32985" t="s">
        <v>4408</v>
      </c>
      <c r="H32985" s="21">
        <v>507.5</v>
      </c>
    </row>
    <row r="32986" spans="1:8" customFormat="1" x14ac:dyDescent="0.25">
      <c r="A32986" t="str">
        <f>"9533825"</f>
        <v>9533825</v>
      </c>
      <c r="B32986" t="s">
        <v>23898</v>
      </c>
      <c r="C32986" t="s">
        <v>249</v>
      </c>
      <c r="D32986" s="21" t="s">
        <v>34</v>
      </c>
      <c r="E32986" s="21" t="s">
        <v>71</v>
      </c>
      <c r="F32986">
        <v>8951273</v>
      </c>
      <c r="G32986" t="s">
        <v>2382</v>
      </c>
      <c r="H32986" s="21">
        <v>507.5</v>
      </c>
    </row>
    <row r="32987" spans="1:8" customFormat="1" x14ac:dyDescent="0.25">
      <c r="A32987" t="str">
        <f>"2710777"</f>
        <v>2710777</v>
      </c>
      <c r="B32987" t="s">
        <v>16797</v>
      </c>
      <c r="C32987" t="s">
        <v>2529</v>
      </c>
      <c r="D32987" s="21" t="s">
        <v>34</v>
      </c>
      <c r="E32987" s="21" t="s">
        <v>71</v>
      </c>
      <c r="F32987">
        <v>9760218</v>
      </c>
      <c r="G32987" t="s">
        <v>26836</v>
      </c>
      <c r="H32987" s="21">
        <v>507.5</v>
      </c>
    </row>
    <row r="32988" spans="1:8" customFormat="1" x14ac:dyDescent="0.25">
      <c r="A32988" t="str">
        <f>"419521"</f>
        <v>419521</v>
      </c>
      <c r="B32988" t="s">
        <v>22770</v>
      </c>
      <c r="C32988" t="s">
        <v>124</v>
      </c>
      <c r="D32988" s="21" t="s">
        <v>34</v>
      </c>
      <c r="E32988" s="21" t="s">
        <v>71</v>
      </c>
      <c r="F32988">
        <v>4410083</v>
      </c>
      <c r="G32988" t="s">
        <v>2333</v>
      </c>
      <c r="H32988" s="21">
        <v>507.5</v>
      </c>
    </row>
    <row r="32989" spans="1:8" customFormat="1" x14ac:dyDescent="0.25">
      <c r="A32989" t="str">
        <f>"1612511"</f>
        <v>1612511</v>
      </c>
      <c r="B32989" t="s">
        <v>22334</v>
      </c>
      <c r="C32989" t="s">
        <v>462</v>
      </c>
      <c r="D32989" s="21" t="s">
        <v>34</v>
      </c>
      <c r="E32989" s="21" t="s">
        <v>71</v>
      </c>
      <c r="F32989">
        <v>10160030</v>
      </c>
      <c r="G32989" t="s">
        <v>13173</v>
      </c>
      <c r="H32989" s="21">
        <v>507.5</v>
      </c>
    </row>
    <row r="32990" spans="1:8" customFormat="1" x14ac:dyDescent="0.25">
      <c r="A32990" t="str">
        <f>"2938667"</f>
        <v>2938667</v>
      </c>
      <c r="B32990" t="s">
        <v>22852</v>
      </c>
      <c r="C32990" t="s">
        <v>598</v>
      </c>
      <c r="D32990" s="21" t="s">
        <v>34</v>
      </c>
      <c r="E32990" s="21" t="s">
        <v>71</v>
      </c>
      <c r="F32990">
        <v>3290278</v>
      </c>
      <c r="G32990" t="s">
        <v>3649</v>
      </c>
      <c r="H32990" s="21">
        <v>507.5</v>
      </c>
    </row>
    <row r="32991" spans="1:8" customFormat="1" x14ac:dyDescent="0.25">
      <c r="A32991" t="str">
        <f>"486490"</f>
        <v>486490</v>
      </c>
      <c r="B32991" t="s">
        <v>20052</v>
      </c>
      <c r="C32991" t="s">
        <v>1665</v>
      </c>
      <c r="D32991" s="21" t="s">
        <v>34</v>
      </c>
      <c r="E32991" s="21" t="s">
        <v>71</v>
      </c>
      <c r="F32991">
        <v>11480020</v>
      </c>
      <c r="G32991" t="s">
        <v>5221</v>
      </c>
      <c r="H32991" s="21">
        <v>507.25</v>
      </c>
    </row>
    <row r="32992" spans="1:8" customFormat="1" x14ac:dyDescent="0.25">
      <c r="A32992" t="str">
        <f>"5326900"</f>
        <v>5326900</v>
      </c>
      <c r="B32992" t="s">
        <v>28584</v>
      </c>
      <c r="C32992" t="s">
        <v>288</v>
      </c>
      <c r="D32992" s="21" t="s">
        <v>34</v>
      </c>
      <c r="E32992" s="21" t="s">
        <v>35</v>
      </c>
      <c r="F32992">
        <v>12530041</v>
      </c>
      <c r="G32992" t="s">
        <v>27057</v>
      </c>
      <c r="H32992" s="21">
        <v>507.25</v>
      </c>
    </row>
    <row r="32993" spans="1:8" customFormat="1" x14ac:dyDescent="0.25">
      <c r="A32993" t="str">
        <f>"5619624"</f>
        <v>5619624</v>
      </c>
      <c r="B32993" t="s">
        <v>8377</v>
      </c>
      <c r="C32993" t="s">
        <v>209</v>
      </c>
      <c r="D32993" s="21" t="s">
        <v>34</v>
      </c>
      <c r="E32993" s="21" t="s">
        <v>254</v>
      </c>
      <c r="F32993">
        <v>3560091</v>
      </c>
      <c r="G32993" t="s">
        <v>27212</v>
      </c>
      <c r="H32993" s="21">
        <v>507.25</v>
      </c>
    </row>
    <row r="32994" spans="1:8" customFormat="1" x14ac:dyDescent="0.25">
      <c r="A32994" t="str">
        <f>"952335"</f>
        <v>952335</v>
      </c>
      <c r="B32994" t="s">
        <v>22282</v>
      </c>
      <c r="C32994" t="s">
        <v>2305</v>
      </c>
      <c r="D32994" s="21" t="s">
        <v>34</v>
      </c>
      <c r="E32994" s="21" t="s">
        <v>1089</v>
      </c>
      <c r="F32994">
        <v>8950978</v>
      </c>
      <c r="G32994" t="s">
        <v>1164</v>
      </c>
      <c r="H32994" s="21">
        <v>507.17</v>
      </c>
    </row>
    <row r="32995" spans="1:8" customFormat="1" x14ac:dyDescent="0.25">
      <c r="A32995" t="str">
        <f>"6726040"</f>
        <v>6726040</v>
      </c>
      <c r="B32995" t="s">
        <v>28585</v>
      </c>
      <c r="C32995" t="s">
        <v>867</v>
      </c>
      <c r="D32995" s="21" t="s">
        <v>34</v>
      </c>
      <c r="E32995" s="21" t="s">
        <v>35</v>
      </c>
      <c r="F32995">
        <v>6670115</v>
      </c>
      <c r="G32995" t="s">
        <v>3798</v>
      </c>
      <c r="H32995" s="21">
        <v>507.17</v>
      </c>
    </row>
    <row r="32996" spans="1:8" customFormat="1" x14ac:dyDescent="0.25">
      <c r="A32996" t="str">
        <f>"2720314"</f>
        <v>2720314</v>
      </c>
      <c r="B32996" t="s">
        <v>21840</v>
      </c>
      <c r="C32996" t="s">
        <v>249</v>
      </c>
      <c r="D32996" s="21" t="s">
        <v>34</v>
      </c>
      <c r="E32996" s="21" t="s">
        <v>35</v>
      </c>
      <c r="F32996">
        <v>9270087</v>
      </c>
      <c r="G32996" t="s">
        <v>7014</v>
      </c>
      <c r="H32996" s="21">
        <v>507.17</v>
      </c>
    </row>
    <row r="32997" spans="1:8" customFormat="1" x14ac:dyDescent="0.25">
      <c r="A32997" t="str">
        <f>"5114083"</f>
        <v>5114083</v>
      </c>
      <c r="B32997" t="s">
        <v>9742</v>
      </c>
      <c r="C32997" t="s">
        <v>124</v>
      </c>
      <c r="D32997" s="21" t="s">
        <v>34</v>
      </c>
      <c r="E32997" s="21" t="s">
        <v>35</v>
      </c>
      <c r="F32997">
        <v>6510115</v>
      </c>
      <c r="G32997" t="s">
        <v>27329</v>
      </c>
      <c r="H32997" s="21">
        <v>507.17</v>
      </c>
    </row>
    <row r="32998" spans="1:8" customFormat="1" x14ac:dyDescent="0.25">
      <c r="A32998" t="str">
        <f>"4921943"</f>
        <v>4921943</v>
      </c>
      <c r="B32998" t="s">
        <v>20530</v>
      </c>
      <c r="C32998" t="s">
        <v>8978</v>
      </c>
      <c r="D32998" s="21" t="s">
        <v>34</v>
      </c>
      <c r="E32998" s="21" t="s">
        <v>71</v>
      </c>
      <c r="F32998">
        <v>12490003</v>
      </c>
      <c r="G32998" t="s">
        <v>7348</v>
      </c>
      <c r="H32998" s="21">
        <v>507.17</v>
      </c>
    </row>
    <row r="32999" spans="1:8" customFormat="1" x14ac:dyDescent="0.25">
      <c r="A32999" t="str">
        <f>"9116089"</f>
        <v>9116089</v>
      </c>
      <c r="B32999" t="s">
        <v>1264</v>
      </c>
      <c r="C32999" t="s">
        <v>267</v>
      </c>
      <c r="D32999" s="21" t="s">
        <v>34</v>
      </c>
      <c r="E32999" s="21" t="s">
        <v>6185</v>
      </c>
      <c r="F32999">
        <v>8910918</v>
      </c>
      <c r="G32999" t="s">
        <v>332</v>
      </c>
      <c r="H32999" s="21">
        <v>507.17</v>
      </c>
    </row>
    <row r="33000" spans="1:8" customFormat="1" x14ac:dyDescent="0.25">
      <c r="A33000" t="str">
        <f>"5611943"</f>
        <v>5611943</v>
      </c>
      <c r="B33000" t="s">
        <v>5490</v>
      </c>
      <c r="C33000" t="s">
        <v>285</v>
      </c>
      <c r="D33000" s="21" t="s">
        <v>34</v>
      </c>
      <c r="E33000" s="21" t="s">
        <v>35</v>
      </c>
      <c r="F33000">
        <v>3350027</v>
      </c>
      <c r="G33000" t="s">
        <v>2760</v>
      </c>
      <c r="H33000" s="21">
        <v>507.17</v>
      </c>
    </row>
    <row r="33001" spans="1:8" customFormat="1" x14ac:dyDescent="0.25">
      <c r="A33001" t="str">
        <f>"6233913"</f>
        <v>6233913</v>
      </c>
      <c r="B33001" t="s">
        <v>2298</v>
      </c>
      <c r="C33001" t="s">
        <v>576</v>
      </c>
      <c r="D33001" s="21" t="s">
        <v>34</v>
      </c>
      <c r="E33001" s="21" t="s">
        <v>35</v>
      </c>
      <c r="F33001">
        <v>7620011</v>
      </c>
      <c r="G33001" t="s">
        <v>10839</v>
      </c>
      <c r="H33001" s="21">
        <v>507.17</v>
      </c>
    </row>
    <row r="33002" spans="1:8" customFormat="1" x14ac:dyDescent="0.25">
      <c r="A33002" t="str">
        <f>"0811729"</f>
        <v>0811729</v>
      </c>
      <c r="B33002" t="s">
        <v>19567</v>
      </c>
      <c r="C33002" t="s">
        <v>269</v>
      </c>
      <c r="D33002" s="21" t="s">
        <v>34</v>
      </c>
      <c r="E33002" s="21" t="s">
        <v>71</v>
      </c>
      <c r="F33002">
        <v>6080096</v>
      </c>
      <c r="G33002" t="s">
        <v>20259</v>
      </c>
      <c r="H33002" s="21">
        <v>507.17</v>
      </c>
    </row>
    <row r="33003" spans="1:8" customFormat="1" x14ac:dyDescent="0.25">
      <c r="A33003" t="str">
        <f>"5947494"</f>
        <v>5947494</v>
      </c>
      <c r="B33003" t="s">
        <v>21323</v>
      </c>
      <c r="C33003" t="s">
        <v>87</v>
      </c>
      <c r="D33003" s="21" t="s">
        <v>34</v>
      </c>
      <c r="E33003" s="21" t="s">
        <v>35</v>
      </c>
      <c r="F33003">
        <v>7590228</v>
      </c>
      <c r="G33003" t="s">
        <v>1798</v>
      </c>
      <c r="H33003" s="21">
        <v>507.17</v>
      </c>
    </row>
    <row r="33004" spans="1:8" customFormat="1" x14ac:dyDescent="0.25">
      <c r="A33004" t="str">
        <f>"2721269"</f>
        <v>2721269</v>
      </c>
      <c r="B33004" t="s">
        <v>5712</v>
      </c>
      <c r="C33004" t="s">
        <v>2393</v>
      </c>
      <c r="D33004" s="21" t="s">
        <v>34</v>
      </c>
      <c r="E33004" s="21" t="s">
        <v>35</v>
      </c>
      <c r="F33004">
        <v>9270150</v>
      </c>
      <c r="G33004" t="s">
        <v>11661</v>
      </c>
      <c r="H33004" s="21">
        <v>507.17</v>
      </c>
    </row>
    <row r="33005" spans="1:8" customFormat="1" x14ac:dyDescent="0.25">
      <c r="A33005" t="str">
        <f>"443175"</f>
        <v>443175</v>
      </c>
      <c r="B33005" t="s">
        <v>2405</v>
      </c>
      <c r="C33005" t="s">
        <v>4842</v>
      </c>
      <c r="D33005" s="21" t="s">
        <v>34</v>
      </c>
      <c r="E33005" s="21" t="s">
        <v>1089</v>
      </c>
      <c r="F33005">
        <v>12440012</v>
      </c>
      <c r="G33005" t="s">
        <v>807</v>
      </c>
      <c r="H33005" s="21">
        <v>507.17</v>
      </c>
    </row>
    <row r="33006" spans="1:8" customFormat="1" x14ac:dyDescent="0.25">
      <c r="A33006" t="str">
        <f>"7412808"</f>
        <v>7412808</v>
      </c>
      <c r="B33006" t="s">
        <v>2565</v>
      </c>
      <c r="C33006" t="s">
        <v>174</v>
      </c>
      <c r="D33006" s="21" t="s">
        <v>34</v>
      </c>
      <c r="E33006" s="21" t="s">
        <v>35</v>
      </c>
      <c r="F33006">
        <v>1740090</v>
      </c>
      <c r="G33006" t="s">
        <v>1369</v>
      </c>
      <c r="H33006" s="21">
        <v>507.04</v>
      </c>
    </row>
    <row r="33007" spans="1:8" customFormat="1" x14ac:dyDescent="0.25">
      <c r="A33007" t="str">
        <f>"368359"</f>
        <v>368359</v>
      </c>
      <c r="B33007" t="s">
        <v>28586</v>
      </c>
      <c r="C33007" t="s">
        <v>275</v>
      </c>
      <c r="D33007" s="21" t="s">
        <v>34</v>
      </c>
      <c r="E33007" s="21" t="s">
        <v>35</v>
      </c>
      <c r="F33007">
        <v>4360009</v>
      </c>
      <c r="G33007" t="s">
        <v>6259</v>
      </c>
      <c r="H33007" s="21">
        <v>507.04</v>
      </c>
    </row>
    <row r="33008" spans="1:8" customFormat="1" x14ac:dyDescent="0.25">
      <c r="A33008" t="str">
        <f>"1314300"</f>
        <v>1314300</v>
      </c>
      <c r="B33008" t="s">
        <v>1098</v>
      </c>
      <c r="C33008" t="s">
        <v>246</v>
      </c>
      <c r="D33008" s="21" t="s">
        <v>34</v>
      </c>
      <c r="E33008" s="21" t="s">
        <v>71</v>
      </c>
      <c r="F33008">
        <v>13130154</v>
      </c>
      <c r="G33008" t="s">
        <v>5503</v>
      </c>
      <c r="H33008" s="21">
        <v>507.04</v>
      </c>
    </row>
    <row r="33009" spans="1:8" customFormat="1" x14ac:dyDescent="0.25">
      <c r="A33009" t="str">
        <f>"9D2789"</f>
        <v>9D2789</v>
      </c>
      <c r="B33009" t="s">
        <v>3089</v>
      </c>
      <c r="C33009" t="s">
        <v>147</v>
      </c>
      <c r="D33009" s="21" t="s">
        <v>34</v>
      </c>
      <c r="E33009" s="21" t="s">
        <v>35</v>
      </c>
      <c r="F33009" t="s">
        <v>3911</v>
      </c>
      <c r="G33009" t="s">
        <v>3912</v>
      </c>
      <c r="H33009" s="21">
        <v>507.04</v>
      </c>
    </row>
    <row r="33010" spans="1:8" customFormat="1" x14ac:dyDescent="0.25">
      <c r="A33010" t="str">
        <f>"2719565"</f>
        <v>2719565</v>
      </c>
      <c r="B33010" t="s">
        <v>185</v>
      </c>
      <c r="C33010" t="s">
        <v>2072</v>
      </c>
      <c r="D33010" s="21" t="s">
        <v>34</v>
      </c>
      <c r="E33010" s="21" t="s">
        <v>254</v>
      </c>
      <c r="F33010">
        <v>9270139</v>
      </c>
      <c r="G33010" t="s">
        <v>6955</v>
      </c>
      <c r="H33010" s="21">
        <v>507.04</v>
      </c>
    </row>
    <row r="33011" spans="1:8" customFormat="1" x14ac:dyDescent="0.25">
      <c r="A33011" t="str">
        <f>"5973880"</f>
        <v>5973880</v>
      </c>
      <c r="B33011" t="s">
        <v>28587</v>
      </c>
      <c r="C33011" t="s">
        <v>169</v>
      </c>
      <c r="D33011" s="21" t="s">
        <v>34</v>
      </c>
      <c r="E33011" s="21" t="s">
        <v>35</v>
      </c>
      <c r="F33011">
        <v>7590075</v>
      </c>
      <c r="G33011" t="s">
        <v>6459</v>
      </c>
      <c r="H33011" s="21">
        <v>507</v>
      </c>
    </row>
    <row r="33012" spans="1:8" customFormat="1" x14ac:dyDescent="0.25">
      <c r="A33012" t="str">
        <f>"619723"</f>
        <v>619723</v>
      </c>
      <c r="B33012" t="s">
        <v>28588</v>
      </c>
      <c r="C33012" t="s">
        <v>288</v>
      </c>
      <c r="D33012" s="21" t="s">
        <v>34</v>
      </c>
      <c r="E33012" s="21" t="s">
        <v>35</v>
      </c>
      <c r="F33012">
        <v>3290276</v>
      </c>
      <c r="G33012" t="s">
        <v>26710</v>
      </c>
      <c r="H33012" s="21">
        <v>507</v>
      </c>
    </row>
    <row r="33013" spans="1:8" customFormat="1" x14ac:dyDescent="0.25">
      <c r="A33013" t="str">
        <f>"7731418"</f>
        <v>7731418</v>
      </c>
      <c r="B33013" t="s">
        <v>17621</v>
      </c>
      <c r="C33013" t="s">
        <v>62</v>
      </c>
      <c r="D33013" s="21" t="s">
        <v>34</v>
      </c>
      <c r="E33013" s="21" t="s">
        <v>35</v>
      </c>
      <c r="F33013">
        <v>8771184</v>
      </c>
      <c r="G33013" t="s">
        <v>137</v>
      </c>
      <c r="H33013" s="21">
        <v>507</v>
      </c>
    </row>
    <row r="33014" spans="1:8" customFormat="1" x14ac:dyDescent="0.25">
      <c r="A33014" t="str">
        <f>"5981706"</f>
        <v>5981706</v>
      </c>
      <c r="B33014" t="s">
        <v>64</v>
      </c>
      <c r="C33014" t="s">
        <v>4961</v>
      </c>
      <c r="D33014" s="21" t="s">
        <v>34</v>
      </c>
      <c r="E33014" s="21" t="s">
        <v>35</v>
      </c>
      <c r="F33014">
        <v>7590132</v>
      </c>
      <c r="G33014" t="s">
        <v>3204</v>
      </c>
      <c r="H33014" s="21">
        <v>507</v>
      </c>
    </row>
    <row r="33015" spans="1:8" customFormat="1" x14ac:dyDescent="0.25">
      <c r="A33015" t="str">
        <f>"5983216"</f>
        <v>5983216</v>
      </c>
      <c r="B33015" t="s">
        <v>28589</v>
      </c>
      <c r="C33015" t="s">
        <v>28590</v>
      </c>
      <c r="D33015" s="21" t="s">
        <v>34</v>
      </c>
      <c r="E33015" s="21" t="s">
        <v>254</v>
      </c>
      <c r="F33015">
        <v>7590156</v>
      </c>
      <c r="G33015" t="s">
        <v>6224</v>
      </c>
      <c r="H33015" s="21">
        <v>507</v>
      </c>
    </row>
    <row r="33016" spans="1:8" customFormat="1" x14ac:dyDescent="0.25">
      <c r="A33016" t="str">
        <f>"5982626"</f>
        <v>5982626</v>
      </c>
      <c r="B33016" t="s">
        <v>27915</v>
      </c>
      <c r="C33016" t="s">
        <v>328</v>
      </c>
      <c r="D33016" s="21" t="s">
        <v>34</v>
      </c>
      <c r="E33016" s="21" t="s">
        <v>35</v>
      </c>
      <c r="F33016">
        <v>7590428</v>
      </c>
      <c r="G33016" t="s">
        <v>27183</v>
      </c>
      <c r="H33016" s="21">
        <v>507</v>
      </c>
    </row>
    <row r="33017" spans="1:8" customFormat="1" x14ac:dyDescent="0.25">
      <c r="A33017" t="str">
        <f>"125108"</f>
        <v>125108</v>
      </c>
      <c r="B33017" t="s">
        <v>21571</v>
      </c>
      <c r="C33017" t="s">
        <v>209</v>
      </c>
      <c r="D33017" s="21" t="s">
        <v>34</v>
      </c>
      <c r="E33017" s="21" t="s">
        <v>254</v>
      </c>
      <c r="F33017">
        <v>11120047</v>
      </c>
      <c r="G33017" t="s">
        <v>14107</v>
      </c>
      <c r="H33017" s="21">
        <v>507</v>
      </c>
    </row>
    <row r="33018" spans="1:8" customFormat="1" x14ac:dyDescent="0.25">
      <c r="A33018" t="str">
        <f>"4529137"</f>
        <v>4529137</v>
      </c>
      <c r="B33018" t="s">
        <v>24621</v>
      </c>
      <c r="C33018" t="s">
        <v>147</v>
      </c>
      <c r="D33018" s="21" t="s">
        <v>34</v>
      </c>
      <c r="E33018" s="21" t="s">
        <v>35</v>
      </c>
      <c r="F33018">
        <v>4450661</v>
      </c>
      <c r="G33018" t="s">
        <v>12253</v>
      </c>
      <c r="H33018" s="21">
        <v>507</v>
      </c>
    </row>
    <row r="33019" spans="1:8" customFormat="1" x14ac:dyDescent="0.25">
      <c r="A33019" t="str">
        <f>"6023333"</f>
        <v>6023333</v>
      </c>
      <c r="B33019" t="s">
        <v>22445</v>
      </c>
      <c r="C33019" t="s">
        <v>1812</v>
      </c>
      <c r="D33019" s="21" t="s">
        <v>34</v>
      </c>
      <c r="E33019" s="21" t="s">
        <v>35</v>
      </c>
      <c r="F33019">
        <v>7600119</v>
      </c>
      <c r="G33019" t="s">
        <v>11415</v>
      </c>
      <c r="H33019" s="21">
        <v>507</v>
      </c>
    </row>
    <row r="33020" spans="1:8" customFormat="1" x14ac:dyDescent="0.25">
      <c r="A33020" t="str">
        <f>"3518573"</f>
        <v>3518573</v>
      </c>
      <c r="B33020" t="s">
        <v>15530</v>
      </c>
      <c r="C33020" t="s">
        <v>40</v>
      </c>
      <c r="D33020" s="21" t="s">
        <v>34</v>
      </c>
      <c r="E33020" s="21" t="s">
        <v>254</v>
      </c>
      <c r="F33020">
        <v>3350136</v>
      </c>
      <c r="G33020" t="s">
        <v>2773</v>
      </c>
      <c r="H33020" s="21">
        <v>507</v>
      </c>
    </row>
    <row r="33021" spans="1:8" customFormat="1" x14ac:dyDescent="0.25">
      <c r="A33021" t="str">
        <f>"92356"</f>
        <v>92356</v>
      </c>
      <c r="B33021" t="s">
        <v>21451</v>
      </c>
      <c r="C33021" t="s">
        <v>130</v>
      </c>
      <c r="D33021" s="21" t="s">
        <v>34</v>
      </c>
      <c r="E33021" s="21" t="s">
        <v>1089</v>
      </c>
      <c r="F33021">
        <v>8920063</v>
      </c>
      <c r="G33021" t="s">
        <v>219</v>
      </c>
      <c r="H33021" s="21">
        <v>507</v>
      </c>
    </row>
    <row r="33022" spans="1:8" customFormat="1" x14ac:dyDescent="0.25">
      <c r="A33022" t="str">
        <f>"6311022"</f>
        <v>6311022</v>
      </c>
      <c r="B33022" t="s">
        <v>22684</v>
      </c>
      <c r="C33022" t="s">
        <v>415</v>
      </c>
      <c r="D33022" s="21" t="s">
        <v>34</v>
      </c>
      <c r="E33022" s="21" t="s">
        <v>71</v>
      </c>
      <c r="F33022">
        <v>1630332</v>
      </c>
      <c r="G33022" t="s">
        <v>27136</v>
      </c>
      <c r="H33022" s="21">
        <v>507</v>
      </c>
    </row>
    <row r="33023" spans="1:8" customFormat="1" x14ac:dyDescent="0.25">
      <c r="A33023" t="str">
        <f>"3833579"</f>
        <v>3833579</v>
      </c>
      <c r="B33023" t="s">
        <v>28591</v>
      </c>
      <c r="C33023" t="s">
        <v>246</v>
      </c>
      <c r="D33023" s="21" t="s">
        <v>34</v>
      </c>
      <c r="E33023" s="21" t="s">
        <v>35</v>
      </c>
      <c r="F33023">
        <v>1380225</v>
      </c>
      <c r="G33023" t="s">
        <v>4441</v>
      </c>
      <c r="H33023" s="21">
        <v>507</v>
      </c>
    </row>
    <row r="33024" spans="1:8" customFormat="1" x14ac:dyDescent="0.25">
      <c r="A33024" t="str">
        <f>"0211686"</f>
        <v>0211686</v>
      </c>
      <c r="B33024" t="s">
        <v>19551</v>
      </c>
      <c r="C33024" t="s">
        <v>62</v>
      </c>
      <c r="D33024" s="21" t="s">
        <v>34</v>
      </c>
      <c r="E33024" s="21" t="s">
        <v>35</v>
      </c>
      <c r="F33024">
        <v>7020080</v>
      </c>
      <c r="G33024" t="s">
        <v>5600</v>
      </c>
      <c r="H33024" s="21">
        <v>507</v>
      </c>
    </row>
    <row r="33025" spans="1:8" customFormat="1" x14ac:dyDescent="0.25">
      <c r="A33025" t="str">
        <f>"5955787"</f>
        <v>5955787</v>
      </c>
      <c r="B33025" t="s">
        <v>6422</v>
      </c>
      <c r="C33025" t="s">
        <v>263</v>
      </c>
      <c r="D33025" s="21" t="s">
        <v>34</v>
      </c>
      <c r="E33025" s="21" t="s">
        <v>254</v>
      </c>
      <c r="F33025">
        <v>7590336</v>
      </c>
      <c r="G33025" t="s">
        <v>2341</v>
      </c>
      <c r="H33025" s="21">
        <v>507</v>
      </c>
    </row>
    <row r="33026" spans="1:8" customFormat="1" x14ac:dyDescent="0.25">
      <c r="A33026" t="str">
        <f>"2929477"</f>
        <v>2929477</v>
      </c>
      <c r="B33026" t="s">
        <v>2842</v>
      </c>
      <c r="C33026" t="s">
        <v>249</v>
      </c>
      <c r="D33026" s="21" t="s">
        <v>34</v>
      </c>
      <c r="E33026" s="21" t="s">
        <v>71</v>
      </c>
      <c r="F33026">
        <v>3290226</v>
      </c>
      <c r="G33026" t="s">
        <v>4637</v>
      </c>
      <c r="H33026" s="21">
        <v>507</v>
      </c>
    </row>
    <row r="33027" spans="1:8" customFormat="1" x14ac:dyDescent="0.25">
      <c r="A33027" t="str">
        <f>"7511117"</f>
        <v>7511117</v>
      </c>
      <c r="B33027" t="s">
        <v>24241</v>
      </c>
      <c r="C33027" t="s">
        <v>236</v>
      </c>
      <c r="D33027" s="21" t="s">
        <v>34</v>
      </c>
      <c r="E33027" s="21" t="s">
        <v>1089</v>
      </c>
      <c r="F33027">
        <v>8751456</v>
      </c>
      <c r="G33027" t="s">
        <v>2683</v>
      </c>
      <c r="H33027" s="21">
        <v>507</v>
      </c>
    </row>
    <row r="33028" spans="1:8" customFormat="1" x14ac:dyDescent="0.25">
      <c r="A33028" t="str">
        <f>"0812572"</f>
        <v>0812572</v>
      </c>
      <c r="B33028" t="s">
        <v>25570</v>
      </c>
      <c r="C33028" t="s">
        <v>114</v>
      </c>
      <c r="D33028" s="21" t="s">
        <v>34</v>
      </c>
      <c r="E33028" s="21" t="s">
        <v>254</v>
      </c>
      <c r="F33028">
        <v>6080004</v>
      </c>
      <c r="G33028" t="s">
        <v>2059</v>
      </c>
      <c r="H33028" s="21">
        <v>507</v>
      </c>
    </row>
    <row r="33029" spans="1:8" customFormat="1" x14ac:dyDescent="0.25">
      <c r="A33029" t="str">
        <f>"5975514"</f>
        <v>5975514</v>
      </c>
      <c r="B33029" t="s">
        <v>22230</v>
      </c>
      <c r="C33029" t="s">
        <v>139</v>
      </c>
      <c r="D33029" s="21" t="s">
        <v>34</v>
      </c>
      <c r="E33029" s="21" t="s">
        <v>35</v>
      </c>
      <c r="F33029">
        <v>7590100</v>
      </c>
      <c r="G33029" t="s">
        <v>1660</v>
      </c>
      <c r="H33029" s="21">
        <v>507</v>
      </c>
    </row>
    <row r="33030" spans="1:8" customFormat="1" x14ac:dyDescent="0.25">
      <c r="A33030" t="str">
        <f>"0618735"</f>
        <v>0618735</v>
      </c>
      <c r="B33030" t="s">
        <v>22790</v>
      </c>
      <c r="C33030" t="s">
        <v>22791</v>
      </c>
      <c r="D33030" s="21" t="s">
        <v>34</v>
      </c>
      <c r="E33030" s="21" t="s">
        <v>254</v>
      </c>
      <c r="F33030">
        <v>13060063</v>
      </c>
      <c r="G33030" t="s">
        <v>2001</v>
      </c>
      <c r="H33030" s="21">
        <v>507</v>
      </c>
    </row>
    <row r="33031" spans="1:8" customFormat="1" x14ac:dyDescent="0.25">
      <c r="A33031" t="str">
        <f>"666808"</f>
        <v>666808</v>
      </c>
      <c r="B33031" t="s">
        <v>28592</v>
      </c>
      <c r="C33031" t="s">
        <v>2806</v>
      </c>
      <c r="D33031" s="21" t="s">
        <v>34</v>
      </c>
      <c r="E33031" s="21" t="s">
        <v>35</v>
      </c>
      <c r="F33031">
        <v>11660024</v>
      </c>
      <c r="G33031" t="s">
        <v>22992</v>
      </c>
      <c r="H33031" s="21">
        <v>507</v>
      </c>
    </row>
    <row r="33032" spans="1:8" customFormat="1" x14ac:dyDescent="0.25">
      <c r="A33032" t="str">
        <f>"9434090"</f>
        <v>9434090</v>
      </c>
      <c r="B33032" t="s">
        <v>3848</v>
      </c>
      <c r="C33032" t="s">
        <v>1119</v>
      </c>
      <c r="D33032" s="21" t="s">
        <v>34</v>
      </c>
      <c r="E33032" s="21" t="s">
        <v>1089</v>
      </c>
      <c r="F33032">
        <v>8940975</v>
      </c>
      <c r="G33032" t="s">
        <v>7959</v>
      </c>
      <c r="H33032" s="21">
        <v>507</v>
      </c>
    </row>
    <row r="33033" spans="1:8" customFormat="1" x14ac:dyDescent="0.25">
      <c r="A33033" t="str">
        <f>"79483"</f>
        <v>79483</v>
      </c>
      <c r="B33033" t="s">
        <v>23513</v>
      </c>
      <c r="C33033" t="s">
        <v>1914</v>
      </c>
      <c r="D33033" s="21" t="s">
        <v>34</v>
      </c>
      <c r="E33033" s="21" t="s">
        <v>254</v>
      </c>
      <c r="F33033">
        <v>10790025</v>
      </c>
      <c r="G33033" t="s">
        <v>1218</v>
      </c>
      <c r="H33033" s="21">
        <v>507</v>
      </c>
    </row>
    <row r="33034" spans="1:8" customFormat="1" x14ac:dyDescent="0.25">
      <c r="A33034" t="str">
        <f>"7727599"</f>
        <v>7727599</v>
      </c>
      <c r="B33034" t="s">
        <v>3848</v>
      </c>
      <c r="C33034" t="s">
        <v>187</v>
      </c>
      <c r="D33034" s="21" t="s">
        <v>34</v>
      </c>
      <c r="E33034" s="21" t="s">
        <v>71</v>
      </c>
      <c r="F33034">
        <v>8771501</v>
      </c>
      <c r="G33034" t="s">
        <v>10128</v>
      </c>
      <c r="H33034" s="21">
        <v>507</v>
      </c>
    </row>
    <row r="33035" spans="1:8" customFormat="1" x14ac:dyDescent="0.25">
      <c r="A33035" t="str">
        <f>"6214795"</f>
        <v>6214795</v>
      </c>
      <c r="B33035" t="s">
        <v>22720</v>
      </c>
      <c r="C33035" t="s">
        <v>1410</v>
      </c>
      <c r="D33035" s="21" t="s">
        <v>34</v>
      </c>
      <c r="E33035" s="21" t="s">
        <v>35</v>
      </c>
      <c r="F33035">
        <v>7620078</v>
      </c>
      <c r="G33035" t="s">
        <v>7192</v>
      </c>
      <c r="H33035" s="21">
        <v>507</v>
      </c>
    </row>
    <row r="33036" spans="1:8" customFormat="1" x14ac:dyDescent="0.25">
      <c r="A33036" t="str">
        <f>"7521816"</f>
        <v>7521816</v>
      </c>
      <c r="B33036" t="s">
        <v>22496</v>
      </c>
      <c r="C33036" t="s">
        <v>3393</v>
      </c>
      <c r="D33036" s="21" t="s">
        <v>34</v>
      </c>
      <c r="E33036" s="21" t="s">
        <v>71</v>
      </c>
      <c r="F33036">
        <v>8750120</v>
      </c>
      <c r="G33036" t="s">
        <v>838</v>
      </c>
      <c r="H33036" s="21">
        <v>507</v>
      </c>
    </row>
    <row r="33037" spans="1:8" customFormat="1" x14ac:dyDescent="0.25">
      <c r="A33037" t="str">
        <f>"3724211"</f>
        <v>3724211</v>
      </c>
      <c r="B33037" t="s">
        <v>22698</v>
      </c>
      <c r="C33037" t="s">
        <v>462</v>
      </c>
      <c r="D33037" s="21" t="s">
        <v>34</v>
      </c>
      <c r="E33037" s="21" t="s">
        <v>71</v>
      </c>
      <c r="F33037">
        <v>4370669</v>
      </c>
      <c r="G33037" t="s">
        <v>8189</v>
      </c>
      <c r="H33037" s="21">
        <v>507</v>
      </c>
    </row>
    <row r="33038" spans="1:8" customFormat="1" x14ac:dyDescent="0.25">
      <c r="A33038" t="str">
        <f>"553672"</f>
        <v>553672</v>
      </c>
      <c r="B33038" t="s">
        <v>1349</v>
      </c>
      <c r="C33038" t="s">
        <v>288</v>
      </c>
      <c r="D33038" s="21" t="s">
        <v>34</v>
      </c>
      <c r="E33038" s="21" t="s">
        <v>254</v>
      </c>
      <c r="F33038">
        <v>6550026</v>
      </c>
      <c r="G33038" t="s">
        <v>14543</v>
      </c>
      <c r="H33038" s="21">
        <v>507</v>
      </c>
    </row>
    <row r="33039" spans="1:8" customFormat="1" x14ac:dyDescent="0.25">
      <c r="A33039" t="str">
        <f>"247041"</f>
        <v>247041</v>
      </c>
      <c r="B33039" t="s">
        <v>23017</v>
      </c>
      <c r="C33039" t="s">
        <v>1782</v>
      </c>
      <c r="D33039" s="21" t="s">
        <v>34</v>
      </c>
      <c r="E33039" s="21" t="s">
        <v>35</v>
      </c>
      <c r="F33039">
        <v>10240024</v>
      </c>
      <c r="G33039" t="s">
        <v>6539</v>
      </c>
      <c r="H33039" s="21">
        <v>507</v>
      </c>
    </row>
    <row r="33040" spans="1:8" customFormat="1" x14ac:dyDescent="0.25">
      <c r="A33040" t="str">
        <f>"687036"</f>
        <v>687036</v>
      </c>
      <c r="B33040" t="s">
        <v>15001</v>
      </c>
      <c r="C33040" t="s">
        <v>2730</v>
      </c>
      <c r="D33040" s="21" t="s">
        <v>34</v>
      </c>
      <c r="E33040" s="21" t="s">
        <v>1089</v>
      </c>
      <c r="F33040">
        <v>6680120</v>
      </c>
      <c r="G33040" t="s">
        <v>11122</v>
      </c>
      <c r="H33040" s="21">
        <v>507</v>
      </c>
    </row>
    <row r="33041" spans="1:8" customFormat="1" x14ac:dyDescent="0.25">
      <c r="A33041" t="str">
        <f>"458056"</f>
        <v>458056</v>
      </c>
      <c r="B33041" t="s">
        <v>17690</v>
      </c>
      <c r="C33041" t="s">
        <v>171</v>
      </c>
      <c r="D33041" s="21" t="s">
        <v>34</v>
      </c>
      <c r="E33041" s="21" t="s">
        <v>254</v>
      </c>
      <c r="F33041">
        <v>4450614</v>
      </c>
      <c r="G33041" t="s">
        <v>13344</v>
      </c>
      <c r="H33041" s="21">
        <v>507</v>
      </c>
    </row>
    <row r="33042" spans="1:8" customFormat="1" x14ac:dyDescent="0.25">
      <c r="A33042" t="str">
        <f>"5417956"</f>
        <v>5417956</v>
      </c>
      <c r="B33042" t="s">
        <v>12794</v>
      </c>
      <c r="C33042" t="s">
        <v>2904</v>
      </c>
      <c r="D33042" s="21" t="s">
        <v>34</v>
      </c>
      <c r="E33042" s="21" t="s">
        <v>254</v>
      </c>
      <c r="F33042">
        <v>6540198</v>
      </c>
      <c r="G33042" t="s">
        <v>9045</v>
      </c>
      <c r="H33042" s="21">
        <v>507</v>
      </c>
    </row>
    <row r="33043" spans="1:8" customFormat="1" x14ac:dyDescent="0.25">
      <c r="A33043" t="str">
        <f>"9244471"</f>
        <v>9244471</v>
      </c>
      <c r="B33043" t="s">
        <v>23881</v>
      </c>
      <c r="C33043" t="s">
        <v>23882</v>
      </c>
      <c r="D33043" s="21" t="s">
        <v>34</v>
      </c>
      <c r="E33043" s="21" t="s">
        <v>71</v>
      </c>
      <c r="F33043">
        <v>8920503</v>
      </c>
      <c r="G33043" t="s">
        <v>9047</v>
      </c>
      <c r="H33043" s="21">
        <v>507</v>
      </c>
    </row>
    <row r="33044" spans="1:8" customFormat="1" x14ac:dyDescent="0.25">
      <c r="A33044" t="str">
        <f>"636443"</f>
        <v>636443</v>
      </c>
      <c r="B33044" t="s">
        <v>16149</v>
      </c>
      <c r="C33044" t="s">
        <v>253</v>
      </c>
      <c r="D33044" s="21" t="s">
        <v>34</v>
      </c>
      <c r="E33044" s="21" t="s">
        <v>254</v>
      </c>
      <c r="F33044">
        <v>1630303</v>
      </c>
      <c r="G33044" t="s">
        <v>8915</v>
      </c>
      <c r="H33044" s="21">
        <v>507</v>
      </c>
    </row>
    <row r="33045" spans="1:8" customFormat="1" x14ac:dyDescent="0.25">
      <c r="A33045" t="str">
        <f>"5432735"</f>
        <v>5432735</v>
      </c>
      <c r="B33045" t="s">
        <v>28593</v>
      </c>
      <c r="C33045" t="s">
        <v>934</v>
      </c>
      <c r="D33045" s="21" t="s">
        <v>34</v>
      </c>
      <c r="E33045" s="21" t="s">
        <v>35</v>
      </c>
      <c r="F33045">
        <v>6540040</v>
      </c>
      <c r="G33045" t="s">
        <v>256</v>
      </c>
      <c r="H33045" s="21">
        <v>507</v>
      </c>
    </row>
    <row r="33046" spans="1:8" customFormat="1" x14ac:dyDescent="0.25">
      <c r="A33046" t="str">
        <f>"4930997"</f>
        <v>4930997</v>
      </c>
      <c r="B33046" t="s">
        <v>2656</v>
      </c>
      <c r="C33046" t="s">
        <v>269</v>
      </c>
      <c r="D33046" s="21" t="s">
        <v>34</v>
      </c>
      <c r="E33046" s="21" t="s">
        <v>71</v>
      </c>
      <c r="F33046">
        <v>12490066</v>
      </c>
      <c r="G33046" t="s">
        <v>1051</v>
      </c>
      <c r="H33046" s="21">
        <v>507</v>
      </c>
    </row>
    <row r="33047" spans="1:8" customFormat="1" x14ac:dyDescent="0.25">
      <c r="A33047" t="str">
        <f>"7642426"</f>
        <v>7642426</v>
      </c>
      <c r="B33047" t="s">
        <v>27257</v>
      </c>
      <c r="C33047" t="s">
        <v>209</v>
      </c>
      <c r="D33047" s="21" t="s">
        <v>34</v>
      </c>
      <c r="E33047" s="21" t="s">
        <v>71</v>
      </c>
      <c r="F33047">
        <v>9760414</v>
      </c>
      <c r="G33047" t="s">
        <v>142</v>
      </c>
      <c r="H33047" s="21">
        <v>507</v>
      </c>
    </row>
    <row r="33048" spans="1:8" customFormat="1" x14ac:dyDescent="0.25">
      <c r="A33048" t="str">
        <f>"663841"</f>
        <v>663841</v>
      </c>
      <c r="B33048" t="s">
        <v>12657</v>
      </c>
      <c r="C33048" t="s">
        <v>598</v>
      </c>
      <c r="D33048" s="21" t="s">
        <v>34</v>
      </c>
      <c r="E33048" s="21" t="s">
        <v>1089</v>
      </c>
      <c r="F33048">
        <v>11660011</v>
      </c>
      <c r="G33048" t="s">
        <v>4641</v>
      </c>
      <c r="H33048" s="21">
        <v>507</v>
      </c>
    </row>
    <row r="33049" spans="1:8" customFormat="1" x14ac:dyDescent="0.25">
      <c r="A33049" t="str">
        <f>"2933911"</f>
        <v>2933911</v>
      </c>
      <c r="B33049" t="s">
        <v>28594</v>
      </c>
      <c r="C33049" t="s">
        <v>3073</v>
      </c>
      <c r="D33049" s="21" t="s">
        <v>34</v>
      </c>
      <c r="E33049" s="21" t="s">
        <v>71</v>
      </c>
      <c r="F33049">
        <v>3290290</v>
      </c>
      <c r="G33049" t="s">
        <v>27072</v>
      </c>
      <c r="H33049" s="21">
        <v>507</v>
      </c>
    </row>
    <row r="33050" spans="1:8" customFormat="1" x14ac:dyDescent="0.25">
      <c r="A33050" t="str">
        <f>"754928"</f>
        <v>754928</v>
      </c>
      <c r="B33050" t="s">
        <v>28595</v>
      </c>
      <c r="C33050" t="s">
        <v>87</v>
      </c>
      <c r="D33050" s="21" t="s">
        <v>34</v>
      </c>
      <c r="E33050" s="21" t="s">
        <v>35</v>
      </c>
      <c r="F33050">
        <v>8751249</v>
      </c>
      <c r="G33050" t="s">
        <v>2803</v>
      </c>
      <c r="H33050" s="21">
        <v>507</v>
      </c>
    </row>
    <row r="33051" spans="1:8" customFormat="1" x14ac:dyDescent="0.25">
      <c r="A33051" t="str">
        <f>"4217372"</f>
        <v>4217372</v>
      </c>
      <c r="B33051" t="s">
        <v>24280</v>
      </c>
      <c r="C33051" t="s">
        <v>209</v>
      </c>
      <c r="D33051" s="21" t="s">
        <v>34</v>
      </c>
      <c r="E33051" s="21" t="s">
        <v>254</v>
      </c>
      <c r="F33051">
        <v>1420155</v>
      </c>
      <c r="G33051" t="s">
        <v>12788</v>
      </c>
      <c r="H33051" s="21">
        <v>507</v>
      </c>
    </row>
    <row r="33052" spans="1:8" customFormat="1" x14ac:dyDescent="0.25">
      <c r="A33052" t="str">
        <f>"7415049"</f>
        <v>7415049</v>
      </c>
      <c r="B33052" t="s">
        <v>1802</v>
      </c>
      <c r="C33052" t="s">
        <v>275</v>
      </c>
      <c r="D33052" s="21" t="s">
        <v>34</v>
      </c>
      <c r="E33052" s="21" t="s">
        <v>35</v>
      </c>
      <c r="F33052">
        <v>1740045</v>
      </c>
      <c r="G33052" t="s">
        <v>9857</v>
      </c>
      <c r="H33052" s="21">
        <v>507</v>
      </c>
    </row>
    <row r="33053" spans="1:8" customFormat="1" x14ac:dyDescent="0.25">
      <c r="A33053" t="str">
        <f>"215991"</f>
        <v>215991</v>
      </c>
      <c r="B33053" t="s">
        <v>185</v>
      </c>
      <c r="C33053" t="s">
        <v>209</v>
      </c>
      <c r="D33053" s="21" t="s">
        <v>34</v>
      </c>
      <c r="E33053" s="21" t="s">
        <v>71</v>
      </c>
      <c r="F33053">
        <v>2210127</v>
      </c>
      <c r="G33053" t="s">
        <v>3447</v>
      </c>
      <c r="H33053" s="21">
        <v>507</v>
      </c>
    </row>
    <row r="33054" spans="1:8" customFormat="1" x14ac:dyDescent="0.25">
      <c r="A33054" t="str">
        <f>"7633575"</f>
        <v>7633575</v>
      </c>
      <c r="B33054" t="s">
        <v>1098</v>
      </c>
      <c r="C33054" t="s">
        <v>1588</v>
      </c>
      <c r="D33054" s="21" t="s">
        <v>34</v>
      </c>
      <c r="E33054" s="21" t="s">
        <v>254</v>
      </c>
      <c r="F33054">
        <v>6080035</v>
      </c>
      <c r="G33054" t="s">
        <v>583</v>
      </c>
      <c r="H33054" s="21">
        <v>507</v>
      </c>
    </row>
    <row r="33055" spans="1:8" customFormat="1" x14ac:dyDescent="0.25">
      <c r="A33055" t="str">
        <f>"1320658"</f>
        <v>1320658</v>
      </c>
      <c r="B33055" t="s">
        <v>11496</v>
      </c>
      <c r="C33055" t="s">
        <v>209</v>
      </c>
      <c r="D33055" s="21" t="s">
        <v>34</v>
      </c>
      <c r="E33055" s="21" t="s">
        <v>35</v>
      </c>
      <c r="F33055">
        <v>13130148</v>
      </c>
      <c r="G33055" t="s">
        <v>12894</v>
      </c>
      <c r="H33055" s="21">
        <v>507</v>
      </c>
    </row>
    <row r="33056" spans="1:8" customFormat="1" x14ac:dyDescent="0.25">
      <c r="A33056" t="str">
        <f>"7724234"</f>
        <v>7724234</v>
      </c>
      <c r="B33056" t="s">
        <v>3428</v>
      </c>
      <c r="C33056" t="s">
        <v>55</v>
      </c>
      <c r="D33056" s="21" t="s">
        <v>34</v>
      </c>
      <c r="E33056" s="21" t="s">
        <v>71</v>
      </c>
      <c r="F33056">
        <v>8770408</v>
      </c>
      <c r="G33056" t="s">
        <v>212</v>
      </c>
      <c r="H33056" s="21">
        <v>507</v>
      </c>
    </row>
    <row r="33057" spans="1:8" customFormat="1" x14ac:dyDescent="0.25">
      <c r="A33057" t="str">
        <f>"368566"</f>
        <v>368566</v>
      </c>
      <c r="B33057" t="s">
        <v>8176</v>
      </c>
      <c r="C33057" t="s">
        <v>305</v>
      </c>
      <c r="D33057" s="21" t="s">
        <v>34</v>
      </c>
      <c r="E33057" s="21" t="s">
        <v>35</v>
      </c>
      <c r="F33057">
        <v>4360729</v>
      </c>
      <c r="G33057" t="s">
        <v>15028</v>
      </c>
      <c r="H33057" s="21">
        <v>507</v>
      </c>
    </row>
    <row r="33058" spans="1:8" customFormat="1" x14ac:dyDescent="0.25">
      <c r="A33058" t="str">
        <f>"396575"</f>
        <v>396575</v>
      </c>
      <c r="B33058" t="s">
        <v>21018</v>
      </c>
      <c r="C33058" t="s">
        <v>124</v>
      </c>
      <c r="D33058" s="21" t="s">
        <v>34</v>
      </c>
      <c r="E33058" s="21" t="s">
        <v>71</v>
      </c>
      <c r="F33058">
        <v>2390094</v>
      </c>
      <c r="G33058" t="s">
        <v>14784</v>
      </c>
      <c r="H33058" s="21">
        <v>507</v>
      </c>
    </row>
    <row r="33059" spans="1:8" customFormat="1" x14ac:dyDescent="0.25">
      <c r="A33059" t="str">
        <f>"5432495"</f>
        <v>5432495</v>
      </c>
      <c r="B33059" t="s">
        <v>24056</v>
      </c>
      <c r="C33059" t="s">
        <v>453</v>
      </c>
      <c r="D33059" s="21" t="s">
        <v>34</v>
      </c>
      <c r="E33059" s="21" t="s">
        <v>254</v>
      </c>
      <c r="F33059">
        <v>6540036</v>
      </c>
      <c r="G33059" t="s">
        <v>3612</v>
      </c>
      <c r="H33059" s="21">
        <v>507</v>
      </c>
    </row>
    <row r="33060" spans="1:8" customFormat="1" x14ac:dyDescent="0.25">
      <c r="A33060" t="str">
        <f>"5980412"</f>
        <v>5980412</v>
      </c>
      <c r="B33060" t="s">
        <v>23033</v>
      </c>
      <c r="C33060" t="s">
        <v>9894</v>
      </c>
      <c r="D33060" s="21" t="s">
        <v>34</v>
      </c>
      <c r="E33060" s="21" t="s">
        <v>35</v>
      </c>
      <c r="F33060">
        <v>7590089</v>
      </c>
      <c r="G33060" t="s">
        <v>1418</v>
      </c>
      <c r="H33060" s="21">
        <v>507</v>
      </c>
    </row>
    <row r="33061" spans="1:8" customFormat="1" x14ac:dyDescent="0.25">
      <c r="A33061" t="str">
        <f>"5111076"</f>
        <v>5111076</v>
      </c>
      <c r="B33061" t="s">
        <v>4686</v>
      </c>
      <c r="C33061" t="s">
        <v>631</v>
      </c>
      <c r="D33061" s="21" t="s">
        <v>34</v>
      </c>
      <c r="E33061" s="21" t="s">
        <v>35</v>
      </c>
      <c r="F33061">
        <v>6510074</v>
      </c>
      <c r="G33061" t="s">
        <v>20151</v>
      </c>
      <c r="H33061" s="21">
        <v>507</v>
      </c>
    </row>
    <row r="33062" spans="1:8" customFormat="1" x14ac:dyDescent="0.25">
      <c r="A33062" t="str">
        <f>"8818239"</f>
        <v>8818239</v>
      </c>
      <c r="B33062" t="s">
        <v>11387</v>
      </c>
      <c r="C33062" t="s">
        <v>114</v>
      </c>
      <c r="D33062" s="21" t="s">
        <v>34</v>
      </c>
      <c r="E33062" s="21" t="s">
        <v>71</v>
      </c>
      <c r="F33062">
        <v>6880119</v>
      </c>
      <c r="G33062" t="s">
        <v>3443</v>
      </c>
      <c r="H33062" s="21">
        <v>507</v>
      </c>
    </row>
    <row r="33063" spans="1:8" customFormat="1" x14ac:dyDescent="0.25">
      <c r="A33063" t="str">
        <f>"3538415"</f>
        <v>3538415</v>
      </c>
      <c r="B33063" t="s">
        <v>3183</v>
      </c>
      <c r="C33063" t="s">
        <v>428</v>
      </c>
      <c r="D33063" s="21" t="s">
        <v>34</v>
      </c>
      <c r="E33063" s="21" t="s">
        <v>35</v>
      </c>
      <c r="F33063">
        <v>3350066</v>
      </c>
      <c r="G33063" t="s">
        <v>10650</v>
      </c>
      <c r="H33063" s="21">
        <v>507</v>
      </c>
    </row>
    <row r="33064" spans="1:8" customFormat="1" x14ac:dyDescent="0.25">
      <c r="A33064" t="str">
        <f>"9445124"</f>
        <v>9445124</v>
      </c>
      <c r="B33064" t="s">
        <v>1661</v>
      </c>
      <c r="C33064" t="s">
        <v>817</v>
      </c>
      <c r="D33064" s="21" t="s">
        <v>34</v>
      </c>
      <c r="E33064" s="21" t="s">
        <v>35</v>
      </c>
      <c r="F33064">
        <v>8940012</v>
      </c>
      <c r="G33064" t="s">
        <v>1648</v>
      </c>
      <c r="H33064" s="21">
        <v>507</v>
      </c>
    </row>
    <row r="33065" spans="1:8" customFormat="1" x14ac:dyDescent="0.25">
      <c r="A33065" t="str">
        <f>"136633"</f>
        <v>136633</v>
      </c>
      <c r="B33065" t="s">
        <v>23913</v>
      </c>
      <c r="C33065" t="s">
        <v>87</v>
      </c>
      <c r="D33065" s="21" t="s">
        <v>34</v>
      </c>
      <c r="E33065" s="21" t="s">
        <v>71</v>
      </c>
      <c r="F33065">
        <v>13130165</v>
      </c>
      <c r="G33065" t="s">
        <v>2827</v>
      </c>
      <c r="H33065" s="21">
        <v>507</v>
      </c>
    </row>
    <row r="33066" spans="1:8" customFormat="1" x14ac:dyDescent="0.25">
      <c r="A33066" t="str">
        <f>"3830627"</f>
        <v>3830627</v>
      </c>
      <c r="B33066" t="s">
        <v>3001</v>
      </c>
      <c r="C33066" t="s">
        <v>198</v>
      </c>
      <c r="D33066" s="21" t="s">
        <v>34</v>
      </c>
      <c r="E33066" s="21" t="s">
        <v>71</v>
      </c>
      <c r="F33066">
        <v>1380297</v>
      </c>
      <c r="G33066" t="s">
        <v>12031</v>
      </c>
      <c r="H33066" s="21">
        <v>507</v>
      </c>
    </row>
    <row r="33067" spans="1:8" customFormat="1" x14ac:dyDescent="0.25">
      <c r="A33067" t="str">
        <f>"5984536"</f>
        <v>5984536</v>
      </c>
      <c r="B33067" t="s">
        <v>28596</v>
      </c>
      <c r="C33067" t="s">
        <v>98</v>
      </c>
      <c r="D33067" s="21" t="s">
        <v>34</v>
      </c>
      <c r="E33067" s="21" t="s">
        <v>35</v>
      </c>
      <c r="F33067">
        <v>7590076</v>
      </c>
      <c r="G33067" t="s">
        <v>6662</v>
      </c>
      <c r="H33067" s="21">
        <v>507</v>
      </c>
    </row>
    <row r="33068" spans="1:8" customFormat="1" x14ac:dyDescent="0.25">
      <c r="A33068" t="str">
        <f>"069564"</f>
        <v>069564</v>
      </c>
      <c r="B33068" t="s">
        <v>22521</v>
      </c>
      <c r="C33068" t="s">
        <v>198</v>
      </c>
      <c r="D33068" s="21" t="s">
        <v>34</v>
      </c>
      <c r="E33068" s="21" t="s">
        <v>71</v>
      </c>
      <c r="F33068">
        <v>13060005</v>
      </c>
      <c r="G33068" t="s">
        <v>3609</v>
      </c>
      <c r="H33068" s="21">
        <v>507</v>
      </c>
    </row>
    <row r="33069" spans="1:8" customFormat="1" x14ac:dyDescent="0.25">
      <c r="A33069" t="str">
        <f>"5731356"</f>
        <v>5731356</v>
      </c>
      <c r="B33069" t="s">
        <v>28597</v>
      </c>
      <c r="C33069" t="s">
        <v>484</v>
      </c>
      <c r="D33069" s="21" t="s">
        <v>34</v>
      </c>
      <c r="E33069" s="21" t="s">
        <v>35</v>
      </c>
      <c r="F33069">
        <v>6570193</v>
      </c>
      <c r="G33069" t="s">
        <v>13003</v>
      </c>
      <c r="H33069" s="21">
        <v>507</v>
      </c>
    </row>
    <row r="33070" spans="1:8" customFormat="1" x14ac:dyDescent="0.25">
      <c r="A33070" t="str">
        <f>"4530048"</f>
        <v>4530048</v>
      </c>
      <c r="B33070" t="s">
        <v>6328</v>
      </c>
      <c r="C33070" t="s">
        <v>712</v>
      </c>
      <c r="D33070" s="21" t="s">
        <v>34</v>
      </c>
      <c r="E33070" s="21" t="s">
        <v>71</v>
      </c>
      <c r="F33070">
        <v>4450285</v>
      </c>
      <c r="G33070" t="s">
        <v>7118</v>
      </c>
      <c r="H33070" s="21">
        <v>507</v>
      </c>
    </row>
    <row r="33071" spans="1:8" customFormat="1" x14ac:dyDescent="0.25">
      <c r="A33071" t="str">
        <f>"9143066"</f>
        <v>9143066</v>
      </c>
      <c r="B33071" t="s">
        <v>23317</v>
      </c>
      <c r="C33071" t="s">
        <v>621</v>
      </c>
      <c r="D33071" s="21" t="s">
        <v>34</v>
      </c>
      <c r="E33071" s="21" t="s">
        <v>71</v>
      </c>
      <c r="F33071">
        <v>8910642</v>
      </c>
      <c r="G33071" t="s">
        <v>27027</v>
      </c>
      <c r="H33071" s="21">
        <v>507</v>
      </c>
    </row>
    <row r="33072" spans="1:8" customFormat="1" x14ac:dyDescent="0.25">
      <c r="A33072" t="str">
        <f>"125324"</f>
        <v>125324</v>
      </c>
      <c r="B33072" t="s">
        <v>4412</v>
      </c>
      <c r="C33072" t="s">
        <v>2520</v>
      </c>
      <c r="D33072" s="21" t="s">
        <v>34</v>
      </c>
      <c r="E33072" s="21" t="s">
        <v>71</v>
      </c>
      <c r="F33072">
        <v>11120047</v>
      </c>
      <c r="G33072" t="s">
        <v>14107</v>
      </c>
      <c r="H33072" s="21">
        <v>507</v>
      </c>
    </row>
    <row r="33073" spans="1:8" customFormat="1" x14ac:dyDescent="0.25">
      <c r="A33073" t="str">
        <f>"3345320"</f>
        <v>3345320</v>
      </c>
      <c r="B33073" t="s">
        <v>1347</v>
      </c>
      <c r="C33073" t="s">
        <v>1063</v>
      </c>
      <c r="D33073" s="21" t="s">
        <v>34</v>
      </c>
      <c r="E33073" s="21" t="s">
        <v>35</v>
      </c>
      <c r="F33073">
        <v>10330121</v>
      </c>
      <c r="G33073" t="s">
        <v>5145</v>
      </c>
      <c r="H33073" s="21">
        <v>506.88</v>
      </c>
    </row>
    <row r="33074" spans="1:8" customFormat="1" x14ac:dyDescent="0.25">
      <c r="A33074" t="str">
        <f>"7722498"</f>
        <v>7722498</v>
      </c>
      <c r="B33074" t="s">
        <v>22680</v>
      </c>
      <c r="C33074" t="s">
        <v>730</v>
      </c>
      <c r="D33074" s="21" t="s">
        <v>34</v>
      </c>
      <c r="E33074" s="21" t="s">
        <v>71</v>
      </c>
      <c r="F33074">
        <v>8771303</v>
      </c>
      <c r="G33074" t="s">
        <v>13447</v>
      </c>
      <c r="H33074" s="21">
        <v>506.75</v>
      </c>
    </row>
    <row r="33075" spans="1:8" customFormat="1" x14ac:dyDescent="0.25">
      <c r="A33075" t="str">
        <f>"0616415"</f>
        <v>0616415</v>
      </c>
      <c r="B33075" t="s">
        <v>16852</v>
      </c>
      <c r="C33075" t="s">
        <v>8345</v>
      </c>
      <c r="D33075" s="21" t="s">
        <v>34</v>
      </c>
      <c r="E33075" s="21" t="s">
        <v>254</v>
      </c>
      <c r="F33075">
        <v>13060063</v>
      </c>
      <c r="G33075" t="s">
        <v>2001</v>
      </c>
      <c r="H33075" s="21">
        <v>506.75</v>
      </c>
    </row>
    <row r="33076" spans="1:8" customFormat="1" x14ac:dyDescent="0.25">
      <c r="A33076" t="str">
        <f>"474917"</f>
        <v>474917</v>
      </c>
      <c r="B33076" t="s">
        <v>21847</v>
      </c>
      <c r="C33076" t="s">
        <v>3073</v>
      </c>
      <c r="D33076" s="21" t="s">
        <v>34</v>
      </c>
      <c r="E33076" s="21" t="s">
        <v>254</v>
      </c>
      <c r="F33076">
        <v>10470021</v>
      </c>
      <c r="G33076" t="s">
        <v>1034</v>
      </c>
      <c r="H33076" s="21">
        <v>506.67</v>
      </c>
    </row>
    <row r="33077" spans="1:8" customFormat="1" x14ac:dyDescent="0.25">
      <c r="A33077" t="str">
        <f>"324914"</f>
        <v>324914</v>
      </c>
      <c r="B33077" t="s">
        <v>28598</v>
      </c>
      <c r="C33077" t="s">
        <v>169</v>
      </c>
      <c r="D33077" s="21" t="s">
        <v>34</v>
      </c>
      <c r="E33077" s="21" t="s">
        <v>35</v>
      </c>
      <c r="F33077">
        <v>11320041</v>
      </c>
      <c r="G33077" t="s">
        <v>4802</v>
      </c>
      <c r="H33077" s="21">
        <v>506.67</v>
      </c>
    </row>
    <row r="33078" spans="1:8" customFormat="1" x14ac:dyDescent="0.25">
      <c r="A33078" t="str">
        <f>"1716673"</f>
        <v>1716673</v>
      </c>
      <c r="B33078" t="s">
        <v>22260</v>
      </c>
      <c r="C33078" t="s">
        <v>124</v>
      </c>
      <c r="D33078" s="21" t="s">
        <v>34</v>
      </c>
      <c r="E33078" s="21" t="s">
        <v>71</v>
      </c>
      <c r="F33078">
        <v>10170016</v>
      </c>
      <c r="G33078" t="s">
        <v>88</v>
      </c>
      <c r="H33078" s="21">
        <v>506.67</v>
      </c>
    </row>
    <row r="33079" spans="1:8" customFormat="1" x14ac:dyDescent="0.25">
      <c r="A33079" t="str">
        <f>"7723488"</f>
        <v>7723488</v>
      </c>
      <c r="B33079" t="s">
        <v>22412</v>
      </c>
      <c r="C33079" t="s">
        <v>3010</v>
      </c>
      <c r="D33079" s="21" t="s">
        <v>34</v>
      </c>
      <c r="E33079" s="21" t="s">
        <v>254</v>
      </c>
      <c r="F33079">
        <v>8771314</v>
      </c>
      <c r="G33079" t="s">
        <v>14172</v>
      </c>
      <c r="H33079" s="21">
        <v>506.67</v>
      </c>
    </row>
    <row r="33080" spans="1:8" customFormat="1" x14ac:dyDescent="0.25">
      <c r="A33080" t="str">
        <f>"3327632"</f>
        <v>3327632</v>
      </c>
      <c r="B33080" t="s">
        <v>21576</v>
      </c>
      <c r="C33080" t="s">
        <v>1665</v>
      </c>
      <c r="D33080" s="21" t="s">
        <v>34</v>
      </c>
      <c r="E33080" s="21" t="s">
        <v>71</v>
      </c>
      <c r="F33080">
        <v>10330069</v>
      </c>
      <c r="G33080" t="s">
        <v>15951</v>
      </c>
      <c r="H33080" s="21">
        <v>506.67</v>
      </c>
    </row>
    <row r="33081" spans="1:8" customFormat="1" x14ac:dyDescent="0.25">
      <c r="A33081" t="str">
        <f>"4218755"</f>
        <v>4218755</v>
      </c>
      <c r="B33081" t="s">
        <v>22863</v>
      </c>
      <c r="C33081" t="s">
        <v>415</v>
      </c>
      <c r="D33081" s="21" t="s">
        <v>34</v>
      </c>
      <c r="E33081" s="21" t="s">
        <v>254</v>
      </c>
      <c r="F33081">
        <v>1420014</v>
      </c>
      <c r="G33081" t="s">
        <v>3864</v>
      </c>
      <c r="H33081" s="21">
        <v>506.67</v>
      </c>
    </row>
    <row r="33082" spans="1:8" customFormat="1" x14ac:dyDescent="0.25">
      <c r="A33082" t="str">
        <f>"7631091"</f>
        <v>7631091</v>
      </c>
      <c r="B33082" t="s">
        <v>22482</v>
      </c>
      <c r="C33082" t="s">
        <v>124</v>
      </c>
      <c r="D33082" s="21" t="s">
        <v>34</v>
      </c>
      <c r="E33082" s="21" t="s">
        <v>254</v>
      </c>
      <c r="F33082">
        <v>9760286</v>
      </c>
      <c r="G33082" t="s">
        <v>11559</v>
      </c>
      <c r="H33082" s="21">
        <v>506.67</v>
      </c>
    </row>
    <row r="33083" spans="1:8" customFormat="1" x14ac:dyDescent="0.25">
      <c r="A33083" t="str">
        <f>"2615259"</f>
        <v>2615259</v>
      </c>
      <c r="B33083" t="s">
        <v>21538</v>
      </c>
      <c r="C33083" t="s">
        <v>1142</v>
      </c>
      <c r="D33083" s="21" t="s">
        <v>34</v>
      </c>
      <c r="E33083" s="21" t="s">
        <v>35</v>
      </c>
      <c r="F33083">
        <v>1260054</v>
      </c>
      <c r="G33083" t="s">
        <v>358</v>
      </c>
      <c r="H33083" s="21">
        <v>506.67</v>
      </c>
    </row>
    <row r="33084" spans="1:8" customFormat="1" x14ac:dyDescent="0.25">
      <c r="A33084" t="str">
        <f>"5945047"</f>
        <v>5945047</v>
      </c>
      <c r="B33084" t="s">
        <v>20302</v>
      </c>
      <c r="C33084" t="s">
        <v>40</v>
      </c>
      <c r="D33084" s="21" t="s">
        <v>34</v>
      </c>
      <c r="E33084" s="21" t="s">
        <v>71</v>
      </c>
      <c r="F33084">
        <v>7590381</v>
      </c>
      <c r="G33084" t="s">
        <v>11048</v>
      </c>
      <c r="H33084" s="21">
        <v>506.67</v>
      </c>
    </row>
    <row r="33085" spans="1:8" customFormat="1" x14ac:dyDescent="0.25">
      <c r="A33085" t="str">
        <f>"229105"</f>
        <v>229105</v>
      </c>
      <c r="B33085" t="s">
        <v>21785</v>
      </c>
      <c r="C33085" t="s">
        <v>2250</v>
      </c>
      <c r="D33085" s="21" t="s">
        <v>34</v>
      </c>
      <c r="E33085" s="21" t="s">
        <v>35</v>
      </c>
      <c r="F33085">
        <v>3220052</v>
      </c>
      <c r="G33085" t="s">
        <v>27058</v>
      </c>
      <c r="H33085" s="21">
        <v>506.67</v>
      </c>
    </row>
    <row r="33086" spans="1:8" customFormat="1" x14ac:dyDescent="0.25">
      <c r="A33086" t="str">
        <f>"3424981"</f>
        <v>3424981</v>
      </c>
      <c r="B33086" t="s">
        <v>28599</v>
      </c>
      <c r="C33086" t="s">
        <v>7596</v>
      </c>
      <c r="D33086" s="21" t="s">
        <v>34</v>
      </c>
      <c r="E33086" s="21" t="s">
        <v>35</v>
      </c>
      <c r="F33086">
        <v>11340040</v>
      </c>
      <c r="G33086" t="s">
        <v>5695</v>
      </c>
      <c r="H33086" s="21">
        <v>506.67</v>
      </c>
    </row>
    <row r="33087" spans="1:8" customFormat="1" x14ac:dyDescent="0.25">
      <c r="A33087" t="str">
        <f>"518337"</f>
        <v>518337</v>
      </c>
      <c r="B33087" t="s">
        <v>20429</v>
      </c>
      <c r="C33087" t="s">
        <v>198</v>
      </c>
      <c r="D33087" s="21" t="s">
        <v>34</v>
      </c>
      <c r="E33087" s="21" t="s">
        <v>254</v>
      </c>
      <c r="F33087">
        <v>6510112</v>
      </c>
      <c r="G33087" t="s">
        <v>588</v>
      </c>
      <c r="H33087" s="21">
        <v>506.67</v>
      </c>
    </row>
    <row r="33088" spans="1:8" customFormat="1" x14ac:dyDescent="0.25">
      <c r="A33088" t="str">
        <f>"3115514"</f>
        <v>3115514</v>
      </c>
      <c r="B33088" t="s">
        <v>16346</v>
      </c>
      <c r="C33088" t="s">
        <v>87</v>
      </c>
      <c r="D33088" s="21" t="s">
        <v>34</v>
      </c>
      <c r="E33088" s="21" t="s">
        <v>71</v>
      </c>
      <c r="F33088">
        <v>11310124</v>
      </c>
      <c r="G33088" t="s">
        <v>7977</v>
      </c>
      <c r="H33088" s="21">
        <v>506.67</v>
      </c>
    </row>
    <row r="33089" spans="1:8" customFormat="1" x14ac:dyDescent="0.25">
      <c r="A33089" t="str">
        <f>"3537172"</f>
        <v>3537172</v>
      </c>
      <c r="B33089" t="s">
        <v>2824</v>
      </c>
      <c r="C33089" t="s">
        <v>249</v>
      </c>
      <c r="D33089" s="21" t="s">
        <v>34</v>
      </c>
      <c r="E33089" s="21" t="s">
        <v>35</v>
      </c>
      <c r="F33089">
        <v>3350035</v>
      </c>
      <c r="G33089" t="s">
        <v>9970</v>
      </c>
      <c r="H33089" s="21">
        <v>506.67</v>
      </c>
    </row>
    <row r="33090" spans="1:8" customFormat="1" x14ac:dyDescent="0.25">
      <c r="A33090" t="str">
        <f>"498926"</f>
        <v>498926</v>
      </c>
      <c r="B33090" t="s">
        <v>21345</v>
      </c>
      <c r="C33090" t="s">
        <v>114</v>
      </c>
      <c r="D33090" s="21" t="s">
        <v>34</v>
      </c>
      <c r="E33090" s="21" t="s">
        <v>71</v>
      </c>
      <c r="F33090">
        <v>12490040</v>
      </c>
      <c r="G33090" t="s">
        <v>94</v>
      </c>
      <c r="H33090" s="21">
        <v>506.67</v>
      </c>
    </row>
    <row r="33091" spans="1:8" customFormat="1" x14ac:dyDescent="0.25">
      <c r="A33091" t="str">
        <f>"6315608"</f>
        <v>6315608</v>
      </c>
      <c r="B33091" t="s">
        <v>24093</v>
      </c>
      <c r="C33091" t="s">
        <v>239</v>
      </c>
      <c r="D33091" s="21" t="s">
        <v>34</v>
      </c>
      <c r="E33091" s="21" t="s">
        <v>71</v>
      </c>
      <c r="F33091">
        <v>1630121</v>
      </c>
      <c r="G33091" t="s">
        <v>3663</v>
      </c>
      <c r="H33091" s="21">
        <v>506.67</v>
      </c>
    </row>
    <row r="33092" spans="1:8" customFormat="1" x14ac:dyDescent="0.25">
      <c r="A33092" t="str">
        <f>"555030"</f>
        <v>555030</v>
      </c>
      <c r="B33092" t="s">
        <v>146</v>
      </c>
      <c r="C33092" t="s">
        <v>130</v>
      </c>
      <c r="D33092" s="21" t="s">
        <v>34</v>
      </c>
      <c r="E33092" s="21" t="s">
        <v>71</v>
      </c>
      <c r="F33092">
        <v>2710008</v>
      </c>
      <c r="G33092" t="s">
        <v>10040</v>
      </c>
      <c r="H33092" s="21">
        <v>506.67</v>
      </c>
    </row>
    <row r="33093" spans="1:8" customFormat="1" x14ac:dyDescent="0.25">
      <c r="A33093" t="str">
        <f>"122166"</f>
        <v>122166</v>
      </c>
      <c r="B33093" t="s">
        <v>3227</v>
      </c>
      <c r="C33093" t="s">
        <v>3712</v>
      </c>
      <c r="D33093" s="21" t="s">
        <v>34</v>
      </c>
      <c r="E33093" s="21" t="s">
        <v>35</v>
      </c>
      <c r="F33093">
        <v>11120009</v>
      </c>
      <c r="G33093" t="s">
        <v>3369</v>
      </c>
      <c r="H33093" s="21">
        <v>506.67</v>
      </c>
    </row>
    <row r="33094" spans="1:8" customFormat="1" x14ac:dyDescent="0.25">
      <c r="A33094" t="str">
        <f>"9145261"</f>
        <v>9145261</v>
      </c>
      <c r="B33094" t="s">
        <v>18348</v>
      </c>
      <c r="C33094" t="s">
        <v>462</v>
      </c>
      <c r="D33094" s="21" t="s">
        <v>34</v>
      </c>
      <c r="E33094" s="21" t="s">
        <v>71</v>
      </c>
      <c r="F33094">
        <v>8911206</v>
      </c>
      <c r="G33094" t="s">
        <v>17661</v>
      </c>
      <c r="H33094" s="21">
        <v>506.67</v>
      </c>
    </row>
    <row r="33095" spans="1:8" customFormat="1" x14ac:dyDescent="0.25">
      <c r="A33095" t="str">
        <f>"153917"</f>
        <v>153917</v>
      </c>
      <c r="B33095" t="s">
        <v>4711</v>
      </c>
      <c r="C33095" t="s">
        <v>169</v>
      </c>
      <c r="D33095" s="21" t="s">
        <v>34</v>
      </c>
      <c r="E33095" s="21" t="s">
        <v>71</v>
      </c>
      <c r="F33095">
        <v>1150306</v>
      </c>
      <c r="G33095" t="s">
        <v>14324</v>
      </c>
      <c r="H33095" s="21">
        <v>506.67</v>
      </c>
    </row>
    <row r="33096" spans="1:8" customFormat="1" x14ac:dyDescent="0.25">
      <c r="A33096" t="str">
        <f>"1426132"</f>
        <v>1426132</v>
      </c>
      <c r="B33096" t="s">
        <v>11869</v>
      </c>
      <c r="C33096" t="s">
        <v>3987</v>
      </c>
      <c r="D33096" s="21" t="s">
        <v>34</v>
      </c>
      <c r="E33096" s="21" t="s">
        <v>71</v>
      </c>
      <c r="F33096">
        <v>9140083</v>
      </c>
      <c r="G33096" t="s">
        <v>8440</v>
      </c>
      <c r="H33096" s="21">
        <v>506.67</v>
      </c>
    </row>
    <row r="33097" spans="1:8" customFormat="1" x14ac:dyDescent="0.25">
      <c r="A33097" t="str">
        <f>"764935"</f>
        <v>764935</v>
      </c>
      <c r="B33097" t="s">
        <v>3613</v>
      </c>
      <c r="C33097" t="s">
        <v>453</v>
      </c>
      <c r="D33097" s="21" t="s">
        <v>34</v>
      </c>
      <c r="E33097" s="21" t="s">
        <v>1089</v>
      </c>
      <c r="F33097">
        <v>9760352</v>
      </c>
      <c r="G33097" t="s">
        <v>7885</v>
      </c>
      <c r="H33097" s="21">
        <v>506.67</v>
      </c>
    </row>
    <row r="33098" spans="1:8" customFormat="1" x14ac:dyDescent="0.25">
      <c r="A33098" t="str">
        <f>"2618952"</f>
        <v>2618952</v>
      </c>
      <c r="B33098" t="s">
        <v>22443</v>
      </c>
      <c r="C33098" t="s">
        <v>412</v>
      </c>
      <c r="D33098" s="21" t="s">
        <v>34</v>
      </c>
      <c r="E33098" s="21" t="s">
        <v>254</v>
      </c>
      <c r="F33098">
        <v>1260065</v>
      </c>
      <c r="G33098" t="s">
        <v>1958</v>
      </c>
      <c r="H33098" s="21">
        <v>506.67</v>
      </c>
    </row>
    <row r="33099" spans="1:8" customFormat="1" x14ac:dyDescent="0.25">
      <c r="A33099" t="str">
        <f>"879522"</f>
        <v>879522</v>
      </c>
      <c r="B33099" t="s">
        <v>22490</v>
      </c>
      <c r="C33099" t="s">
        <v>239</v>
      </c>
      <c r="D33099" s="21" t="s">
        <v>34</v>
      </c>
      <c r="E33099" s="21" t="s">
        <v>254</v>
      </c>
      <c r="F33099">
        <v>10870081</v>
      </c>
      <c r="G33099" t="s">
        <v>6698</v>
      </c>
      <c r="H33099" s="21">
        <v>506.67</v>
      </c>
    </row>
    <row r="33100" spans="1:8" customFormat="1" x14ac:dyDescent="0.25">
      <c r="A33100" t="str">
        <f>"061623"</f>
        <v>061623</v>
      </c>
      <c r="B33100" t="s">
        <v>21673</v>
      </c>
      <c r="C33100" t="s">
        <v>2479</v>
      </c>
      <c r="D33100" s="21" t="s">
        <v>34</v>
      </c>
      <c r="E33100" s="21" t="s">
        <v>1089</v>
      </c>
      <c r="F33100">
        <v>13830071</v>
      </c>
      <c r="G33100" t="s">
        <v>3221</v>
      </c>
      <c r="H33100" s="21">
        <v>506.67</v>
      </c>
    </row>
    <row r="33101" spans="1:8" customFormat="1" x14ac:dyDescent="0.25">
      <c r="A33101" t="str">
        <f>"9318668"</f>
        <v>9318668</v>
      </c>
      <c r="B33101" t="s">
        <v>24782</v>
      </c>
      <c r="C33101" t="s">
        <v>33</v>
      </c>
      <c r="D33101" s="21" t="s">
        <v>34</v>
      </c>
      <c r="E33101" s="21" t="s">
        <v>35</v>
      </c>
      <c r="F33101">
        <v>8930003</v>
      </c>
      <c r="G33101" t="s">
        <v>13083</v>
      </c>
      <c r="H33101" s="21">
        <v>506.62</v>
      </c>
    </row>
    <row r="33102" spans="1:8" customFormat="1" x14ac:dyDescent="0.25">
      <c r="A33102" t="str">
        <f>"761937"</f>
        <v>761937</v>
      </c>
      <c r="B33102" t="s">
        <v>17156</v>
      </c>
      <c r="C33102" t="s">
        <v>4721</v>
      </c>
      <c r="D33102" s="21" t="s">
        <v>34</v>
      </c>
      <c r="E33102" s="21" t="s">
        <v>1089</v>
      </c>
      <c r="F33102">
        <v>9760100</v>
      </c>
      <c r="G33102" t="s">
        <v>9182</v>
      </c>
      <c r="H33102" s="21">
        <v>506.5</v>
      </c>
    </row>
    <row r="33103" spans="1:8" customFormat="1" x14ac:dyDescent="0.25">
      <c r="A33103" t="str">
        <f>"9448440"</f>
        <v>9448440</v>
      </c>
      <c r="B33103" t="s">
        <v>9251</v>
      </c>
      <c r="C33103" t="s">
        <v>65</v>
      </c>
      <c r="D33103" s="21" t="s">
        <v>34</v>
      </c>
      <c r="E33103" s="21" t="s">
        <v>35</v>
      </c>
      <c r="F33103">
        <v>8940524</v>
      </c>
      <c r="G33103" t="s">
        <v>6176</v>
      </c>
      <c r="H33103" s="21">
        <v>506.5</v>
      </c>
    </row>
    <row r="33104" spans="1:8" customFormat="1" x14ac:dyDescent="0.25">
      <c r="A33104" t="str">
        <f>"9442805"</f>
        <v>9442805</v>
      </c>
      <c r="B33104" t="s">
        <v>28600</v>
      </c>
      <c r="C33104" t="s">
        <v>305</v>
      </c>
      <c r="D33104" s="21" t="s">
        <v>34</v>
      </c>
      <c r="E33104" s="21" t="s">
        <v>35</v>
      </c>
      <c r="F33104">
        <v>8940096</v>
      </c>
      <c r="G33104" t="s">
        <v>5453</v>
      </c>
      <c r="H33104" s="21">
        <v>506.5</v>
      </c>
    </row>
    <row r="33105" spans="1:8" customFormat="1" x14ac:dyDescent="0.25">
      <c r="A33105" t="str">
        <f>"588775"</f>
        <v>588775</v>
      </c>
      <c r="B33105" t="s">
        <v>24002</v>
      </c>
      <c r="C33105" t="s">
        <v>87</v>
      </c>
      <c r="D33105" s="21" t="s">
        <v>34</v>
      </c>
      <c r="E33105" s="21" t="s">
        <v>71</v>
      </c>
      <c r="F33105">
        <v>2580035</v>
      </c>
      <c r="G33105" t="s">
        <v>5991</v>
      </c>
      <c r="H33105" s="21">
        <v>506.5</v>
      </c>
    </row>
    <row r="33106" spans="1:8" customFormat="1" x14ac:dyDescent="0.25">
      <c r="A33106" t="str">
        <f>"166678"</f>
        <v>166678</v>
      </c>
      <c r="B33106" t="s">
        <v>28601</v>
      </c>
      <c r="C33106" t="s">
        <v>65</v>
      </c>
      <c r="D33106" s="21" t="s">
        <v>34</v>
      </c>
      <c r="E33106" s="21" t="s">
        <v>71</v>
      </c>
      <c r="F33106">
        <v>10160240</v>
      </c>
      <c r="G33106" t="s">
        <v>7095</v>
      </c>
      <c r="H33106" s="21">
        <v>506.5</v>
      </c>
    </row>
    <row r="33107" spans="1:8" customFormat="1" x14ac:dyDescent="0.25">
      <c r="A33107" t="str">
        <f>"9143372"</f>
        <v>9143372</v>
      </c>
      <c r="B33107" t="s">
        <v>1954</v>
      </c>
      <c r="C33107" t="s">
        <v>656</v>
      </c>
      <c r="D33107" s="21" t="s">
        <v>34</v>
      </c>
      <c r="E33107" s="21" t="s">
        <v>35</v>
      </c>
      <c r="F33107">
        <v>8911461</v>
      </c>
      <c r="G33107" t="s">
        <v>6705</v>
      </c>
      <c r="H33107" s="21">
        <v>506.5</v>
      </c>
    </row>
    <row r="33108" spans="1:8" customFormat="1" x14ac:dyDescent="0.25">
      <c r="A33108" t="str">
        <f>"9236325"</f>
        <v>9236325</v>
      </c>
      <c r="B33108" t="s">
        <v>23975</v>
      </c>
      <c r="C33108" t="s">
        <v>121</v>
      </c>
      <c r="D33108" s="21" t="s">
        <v>34</v>
      </c>
      <c r="E33108" s="21" t="s">
        <v>35</v>
      </c>
      <c r="F33108">
        <v>8911323</v>
      </c>
      <c r="G33108" t="s">
        <v>555</v>
      </c>
      <c r="H33108" s="21">
        <v>506.5</v>
      </c>
    </row>
    <row r="33109" spans="1:8" customFormat="1" x14ac:dyDescent="0.25">
      <c r="A33109" t="str">
        <f>"668588"</f>
        <v>668588</v>
      </c>
      <c r="B33109" t="s">
        <v>5011</v>
      </c>
      <c r="C33109" t="s">
        <v>156</v>
      </c>
      <c r="D33109" s="21" t="s">
        <v>34</v>
      </c>
      <c r="E33109" s="21" t="s">
        <v>35</v>
      </c>
      <c r="F33109">
        <v>11660011</v>
      </c>
      <c r="G33109" t="s">
        <v>4641</v>
      </c>
      <c r="H33109" s="21">
        <v>506.5</v>
      </c>
    </row>
    <row r="33110" spans="1:8" customFormat="1" x14ac:dyDescent="0.25">
      <c r="A33110" t="str">
        <f>"4219008"</f>
        <v>4219008</v>
      </c>
      <c r="B33110" t="s">
        <v>22424</v>
      </c>
      <c r="C33110" t="s">
        <v>22425</v>
      </c>
      <c r="D33110" s="21" t="s">
        <v>34</v>
      </c>
      <c r="E33110" s="21" t="s">
        <v>35</v>
      </c>
      <c r="F33110">
        <v>1420017</v>
      </c>
      <c r="G33110" t="s">
        <v>1296</v>
      </c>
      <c r="H33110" s="21">
        <v>506.5</v>
      </c>
    </row>
    <row r="33111" spans="1:8" customFormat="1" x14ac:dyDescent="0.25">
      <c r="A33111" t="str">
        <f>"3723552"</f>
        <v>3723552</v>
      </c>
      <c r="B33111" t="s">
        <v>23686</v>
      </c>
      <c r="C33111" t="s">
        <v>3456</v>
      </c>
      <c r="D33111" s="21" t="s">
        <v>34</v>
      </c>
      <c r="E33111" s="21" t="s">
        <v>35</v>
      </c>
      <c r="F33111">
        <v>4370608</v>
      </c>
      <c r="G33111" t="s">
        <v>11068</v>
      </c>
      <c r="H33111" s="21">
        <v>506.5</v>
      </c>
    </row>
    <row r="33112" spans="1:8" customFormat="1" x14ac:dyDescent="0.25">
      <c r="A33112" t="str">
        <f>"8528489"</f>
        <v>8528489</v>
      </c>
      <c r="B33112" t="s">
        <v>1611</v>
      </c>
      <c r="C33112" t="s">
        <v>267</v>
      </c>
      <c r="D33112" s="21" t="s">
        <v>34</v>
      </c>
      <c r="E33112" s="21" t="s">
        <v>254</v>
      </c>
      <c r="F33112">
        <v>12850001</v>
      </c>
      <c r="G33112" t="s">
        <v>1197</v>
      </c>
      <c r="H33112" s="21">
        <v>506.5</v>
      </c>
    </row>
    <row r="33113" spans="1:8" customFormat="1" x14ac:dyDescent="0.25">
      <c r="A33113" t="str">
        <f>"9317788"</f>
        <v>9317788</v>
      </c>
      <c r="B33113" t="s">
        <v>15197</v>
      </c>
      <c r="C33113" t="s">
        <v>209</v>
      </c>
      <c r="D33113" s="21" t="s">
        <v>34</v>
      </c>
      <c r="E33113" s="21" t="s">
        <v>254</v>
      </c>
      <c r="F33113">
        <v>8930452</v>
      </c>
      <c r="G33113" t="s">
        <v>83</v>
      </c>
      <c r="H33113" s="21">
        <v>506.5</v>
      </c>
    </row>
    <row r="33114" spans="1:8" customFormat="1" x14ac:dyDescent="0.25">
      <c r="A33114" t="str">
        <f>"8019535"</f>
        <v>8019535</v>
      </c>
      <c r="B33114" t="s">
        <v>28602</v>
      </c>
      <c r="C33114" t="s">
        <v>486</v>
      </c>
      <c r="D33114" s="21" t="s">
        <v>34</v>
      </c>
      <c r="E33114" s="21" t="s">
        <v>35</v>
      </c>
      <c r="F33114">
        <v>7800074</v>
      </c>
      <c r="G33114" t="s">
        <v>7104</v>
      </c>
      <c r="H33114" s="21">
        <v>506.5</v>
      </c>
    </row>
    <row r="33115" spans="1:8" customFormat="1" x14ac:dyDescent="0.25">
      <c r="A33115" t="str">
        <f>"4450577"</f>
        <v>4450577</v>
      </c>
      <c r="B33115" t="s">
        <v>7042</v>
      </c>
      <c r="C33115" t="s">
        <v>139</v>
      </c>
      <c r="D33115" s="21" t="s">
        <v>34</v>
      </c>
      <c r="E33115" s="21" t="s">
        <v>35</v>
      </c>
      <c r="F33115">
        <v>12440260</v>
      </c>
      <c r="G33115" t="s">
        <v>26759</v>
      </c>
      <c r="H33115" s="21">
        <v>506.5</v>
      </c>
    </row>
    <row r="33116" spans="1:8" customFormat="1" x14ac:dyDescent="0.25">
      <c r="A33116" t="str">
        <f>"3339874"</f>
        <v>3339874</v>
      </c>
      <c r="B33116" t="s">
        <v>4649</v>
      </c>
      <c r="C33116" t="s">
        <v>144</v>
      </c>
      <c r="D33116" s="21" t="s">
        <v>34</v>
      </c>
      <c r="E33116" s="21" t="s">
        <v>35</v>
      </c>
      <c r="F33116">
        <v>10330022</v>
      </c>
      <c r="G33116" t="s">
        <v>1830</v>
      </c>
      <c r="H33116" s="21">
        <v>506.42</v>
      </c>
    </row>
    <row r="33117" spans="1:8" customFormat="1" x14ac:dyDescent="0.25">
      <c r="A33117" t="str">
        <f>"7881792"</f>
        <v>7881792</v>
      </c>
      <c r="B33117" t="s">
        <v>12665</v>
      </c>
      <c r="C33117" t="s">
        <v>87</v>
      </c>
      <c r="D33117" s="21" t="s">
        <v>34</v>
      </c>
      <c r="E33117" s="21" t="s">
        <v>35</v>
      </c>
      <c r="F33117">
        <v>8781290</v>
      </c>
      <c r="G33117" t="s">
        <v>2927</v>
      </c>
      <c r="H33117" s="21">
        <v>506.38</v>
      </c>
    </row>
    <row r="33118" spans="1:8" customFormat="1" x14ac:dyDescent="0.25">
      <c r="A33118" t="str">
        <f>"4517717"</f>
        <v>4517717</v>
      </c>
      <c r="B33118" t="s">
        <v>23023</v>
      </c>
      <c r="C33118" t="s">
        <v>2907</v>
      </c>
      <c r="D33118" s="21" t="s">
        <v>34</v>
      </c>
      <c r="E33118" s="21" t="s">
        <v>254</v>
      </c>
      <c r="F33118">
        <v>4450410</v>
      </c>
      <c r="G33118" t="s">
        <v>26525</v>
      </c>
      <c r="H33118" s="21">
        <v>506.25</v>
      </c>
    </row>
    <row r="33119" spans="1:8" customFormat="1" x14ac:dyDescent="0.25">
      <c r="A33119" t="str">
        <f>"6216315"</f>
        <v>6216315</v>
      </c>
      <c r="B33119" t="s">
        <v>146</v>
      </c>
      <c r="C33119" t="s">
        <v>576</v>
      </c>
      <c r="D33119" s="21" t="s">
        <v>34</v>
      </c>
      <c r="E33119" s="21" t="s">
        <v>71</v>
      </c>
      <c r="F33119">
        <v>7620168</v>
      </c>
      <c r="G33119" t="s">
        <v>15521</v>
      </c>
      <c r="H33119" s="21">
        <v>506.17</v>
      </c>
    </row>
    <row r="33120" spans="1:8" customFormat="1" x14ac:dyDescent="0.25">
      <c r="A33120" t="str">
        <f>"2935782"</f>
        <v>2935782</v>
      </c>
      <c r="B33120" t="s">
        <v>21528</v>
      </c>
      <c r="C33120" t="s">
        <v>3010</v>
      </c>
      <c r="D33120" s="21" t="s">
        <v>34</v>
      </c>
      <c r="E33120" s="21" t="s">
        <v>71</v>
      </c>
      <c r="F33120">
        <v>3290286</v>
      </c>
      <c r="G33120" t="s">
        <v>18777</v>
      </c>
      <c r="H33120" s="21">
        <v>506.17</v>
      </c>
    </row>
    <row r="33121" spans="1:8" customFormat="1" x14ac:dyDescent="0.25">
      <c r="A33121" t="str">
        <f>"2219302"</f>
        <v>2219302</v>
      </c>
      <c r="B33121" t="s">
        <v>22512</v>
      </c>
      <c r="C33121" t="s">
        <v>130</v>
      </c>
      <c r="D33121" s="21" t="s">
        <v>34</v>
      </c>
      <c r="E33121" s="21" t="s">
        <v>71</v>
      </c>
      <c r="F33121">
        <v>3220123</v>
      </c>
      <c r="G33121" t="s">
        <v>26953</v>
      </c>
      <c r="H33121" s="21">
        <v>506.17</v>
      </c>
    </row>
    <row r="33122" spans="1:8" customFormat="1" x14ac:dyDescent="0.25">
      <c r="A33122" t="str">
        <f>"2514717"</f>
        <v>2514717</v>
      </c>
      <c r="B33122" t="s">
        <v>6758</v>
      </c>
      <c r="C33122" t="s">
        <v>19805</v>
      </c>
      <c r="D33122" s="21" t="s">
        <v>34</v>
      </c>
      <c r="E33122" s="21" t="s">
        <v>71</v>
      </c>
      <c r="F33122">
        <v>2250049</v>
      </c>
      <c r="G33122" t="s">
        <v>9590</v>
      </c>
      <c r="H33122" s="21">
        <v>506.17</v>
      </c>
    </row>
    <row r="33123" spans="1:8" customFormat="1" x14ac:dyDescent="0.25">
      <c r="A33123" t="str">
        <f>"6233525"</f>
        <v>6233525</v>
      </c>
      <c r="B33123" t="s">
        <v>28603</v>
      </c>
      <c r="C33123" t="s">
        <v>33</v>
      </c>
      <c r="D33123" s="21" t="s">
        <v>34</v>
      </c>
      <c r="E33123" s="21" t="s">
        <v>35</v>
      </c>
      <c r="F33123">
        <v>7620061</v>
      </c>
      <c r="G33123" t="s">
        <v>4448</v>
      </c>
      <c r="H33123" s="21">
        <v>506.17</v>
      </c>
    </row>
    <row r="33124" spans="1:8" customFormat="1" x14ac:dyDescent="0.25">
      <c r="A33124" t="str">
        <f>"1613029"</f>
        <v>1613029</v>
      </c>
      <c r="B33124" t="s">
        <v>14204</v>
      </c>
      <c r="C33124" t="s">
        <v>719</v>
      </c>
      <c r="D33124" s="21" t="s">
        <v>34</v>
      </c>
      <c r="E33124" s="21" t="s">
        <v>35</v>
      </c>
      <c r="F33124">
        <v>10160197</v>
      </c>
      <c r="G33124" t="s">
        <v>4472</v>
      </c>
      <c r="H33124" s="21">
        <v>506.17</v>
      </c>
    </row>
    <row r="33125" spans="1:8" customFormat="1" x14ac:dyDescent="0.25">
      <c r="A33125" t="str">
        <f>"7634196"</f>
        <v>7634196</v>
      </c>
      <c r="B33125" t="s">
        <v>22323</v>
      </c>
      <c r="C33125" t="s">
        <v>62</v>
      </c>
      <c r="D33125" s="21" t="s">
        <v>34</v>
      </c>
      <c r="E33125" s="21" t="s">
        <v>35</v>
      </c>
      <c r="F33125">
        <v>9760230</v>
      </c>
      <c r="G33125" t="s">
        <v>12511</v>
      </c>
      <c r="H33125" s="21">
        <v>506.17</v>
      </c>
    </row>
    <row r="33126" spans="1:8" customFormat="1" x14ac:dyDescent="0.25">
      <c r="A33126" t="str">
        <f>"6017844"</f>
        <v>6017844</v>
      </c>
      <c r="B33126" t="s">
        <v>8926</v>
      </c>
      <c r="C33126" t="s">
        <v>263</v>
      </c>
      <c r="D33126" s="21" t="s">
        <v>34</v>
      </c>
      <c r="E33126" s="21" t="s">
        <v>254</v>
      </c>
      <c r="F33126">
        <v>7600008</v>
      </c>
      <c r="G33126" t="s">
        <v>4646</v>
      </c>
      <c r="H33126" s="21">
        <v>506.17</v>
      </c>
    </row>
    <row r="33127" spans="1:8" customFormat="1" x14ac:dyDescent="0.25">
      <c r="A33127" t="str">
        <f>"3534852"</f>
        <v>3534852</v>
      </c>
      <c r="B33127" t="s">
        <v>21188</v>
      </c>
      <c r="C33127" t="s">
        <v>1025</v>
      </c>
      <c r="D33127" s="21" t="s">
        <v>34</v>
      </c>
      <c r="E33127" s="21" t="s">
        <v>254</v>
      </c>
      <c r="F33127">
        <v>3350183</v>
      </c>
      <c r="G33127" t="s">
        <v>2572</v>
      </c>
      <c r="H33127" s="21">
        <v>506.17</v>
      </c>
    </row>
    <row r="33128" spans="1:8" customFormat="1" x14ac:dyDescent="0.25">
      <c r="A33128" t="str">
        <f>"6725934"</f>
        <v>6725934</v>
      </c>
      <c r="B33128" t="s">
        <v>4766</v>
      </c>
      <c r="C33128" t="s">
        <v>879</v>
      </c>
      <c r="D33128" s="21" t="s">
        <v>34</v>
      </c>
      <c r="E33128" s="21" t="s">
        <v>71</v>
      </c>
      <c r="F33128">
        <v>6670271</v>
      </c>
      <c r="G33128" t="s">
        <v>5193</v>
      </c>
      <c r="H33128" s="21">
        <v>506.17</v>
      </c>
    </row>
    <row r="33129" spans="1:8" customFormat="1" x14ac:dyDescent="0.25">
      <c r="A33129" t="str">
        <f>"3345356"</f>
        <v>3345356</v>
      </c>
      <c r="B33129" t="s">
        <v>28604</v>
      </c>
      <c r="C33129" t="s">
        <v>124</v>
      </c>
      <c r="D33129" s="21" t="s">
        <v>34</v>
      </c>
      <c r="E33129" s="21" t="s">
        <v>35</v>
      </c>
      <c r="F33129">
        <v>10330025</v>
      </c>
      <c r="G33129" t="s">
        <v>4450</v>
      </c>
      <c r="H33129" s="21">
        <v>506.04</v>
      </c>
    </row>
    <row r="33130" spans="1:8" customFormat="1" x14ac:dyDescent="0.25">
      <c r="A33130" t="str">
        <f>"3341495"</f>
        <v>3341495</v>
      </c>
      <c r="B33130" t="s">
        <v>24006</v>
      </c>
      <c r="C33130" t="s">
        <v>381</v>
      </c>
      <c r="D33130" s="21" t="s">
        <v>34</v>
      </c>
      <c r="E33130" s="21" t="s">
        <v>35</v>
      </c>
      <c r="F33130">
        <v>10330086</v>
      </c>
      <c r="G33130" t="s">
        <v>785</v>
      </c>
      <c r="H33130" s="21">
        <v>506.04</v>
      </c>
    </row>
    <row r="33131" spans="1:8" customFormat="1" x14ac:dyDescent="0.25">
      <c r="A33131" t="str">
        <f>"3339513"</f>
        <v>3339513</v>
      </c>
      <c r="B33131" t="s">
        <v>21874</v>
      </c>
      <c r="C33131" t="s">
        <v>202</v>
      </c>
      <c r="D33131" s="21" t="s">
        <v>34</v>
      </c>
      <c r="E33131" s="21" t="s">
        <v>254</v>
      </c>
      <c r="F33131">
        <v>10330032</v>
      </c>
      <c r="G33131" t="s">
        <v>4408</v>
      </c>
      <c r="H33131" s="21">
        <v>506</v>
      </c>
    </row>
    <row r="33132" spans="1:8" customFormat="1" x14ac:dyDescent="0.25">
      <c r="A33132" t="str">
        <f>"3528818"</f>
        <v>3528818</v>
      </c>
      <c r="B33132" t="s">
        <v>1867</v>
      </c>
      <c r="C33132" t="s">
        <v>926</v>
      </c>
      <c r="D33132" s="21" t="s">
        <v>34</v>
      </c>
      <c r="E33132" s="21" t="s">
        <v>71</v>
      </c>
      <c r="F33132">
        <v>3350148</v>
      </c>
      <c r="G33132" t="s">
        <v>7497</v>
      </c>
      <c r="H33132" s="21">
        <v>506</v>
      </c>
    </row>
    <row r="33133" spans="1:8" customFormat="1" x14ac:dyDescent="0.25">
      <c r="A33133" t="str">
        <f>"848265"</f>
        <v>848265</v>
      </c>
      <c r="B33133" t="s">
        <v>3640</v>
      </c>
      <c r="C33133" t="s">
        <v>1110</v>
      </c>
      <c r="D33133" s="21" t="s">
        <v>34</v>
      </c>
      <c r="E33133" s="21" t="s">
        <v>254</v>
      </c>
      <c r="F33133">
        <v>13840013</v>
      </c>
      <c r="G33133" t="s">
        <v>7323</v>
      </c>
      <c r="H33133" s="21">
        <v>506</v>
      </c>
    </row>
    <row r="33134" spans="1:8" customFormat="1" x14ac:dyDescent="0.25">
      <c r="A33134" t="str">
        <f>"2931027"</f>
        <v>2931027</v>
      </c>
      <c r="B33134" t="s">
        <v>572</v>
      </c>
      <c r="C33134" t="s">
        <v>639</v>
      </c>
      <c r="D33134" s="21" t="s">
        <v>34</v>
      </c>
      <c r="E33134" s="21" t="s">
        <v>254</v>
      </c>
      <c r="F33134">
        <v>3290244</v>
      </c>
      <c r="G33134" t="s">
        <v>573</v>
      </c>
      <c r="H33134" s="21">
        <v>506</v>
      </c>
    </row>
    <row r="33135" spans="1:8" customFormat="1" x14ac:dyDescent="0.25">
      <c r="A33135" t="str">
        <f>"815050"</f>
        <v>815050</v>
      </c>
      <c r="B33135" t="s">
        <v>8279</v>
      </c>
      <c r="C33135" t="s">
        <v>239</v>
      </c>
      <c r="D33135" s="21" t="s">
        <v>34</v>
      </c>
      <c r="E33135" s="21" t="s">
        <v>254</v>
      </c>
      <c r="F33135">
        <v>11810028</v>
      </c>
      <c r="G33135" t="s">
        <v>5817</v>
      </c>
      <c r="H33135" s="21">
        <v>506</v>
      </c>
    </row>
    <row r="33136" spans="1:8" customFormat="1" x14ac:dyDescent="0.25">
      <c r="A33136" t="str">
        <f>"509442"</f>
        <v>509442</v>
      </c>
      <c r="B33136" t="s">
        <v>22194</v>
      </c>
      <c r="C33136" t="s">
        <v>652</v>
      </c>
      <c r="D33136" s="21" t="s">
        <v>34</v>
      </c>
      <c r="E33136" s="21" t="s">
        <v>71</v>
      </c>
      <c r="F33136">
        <v>9500164</v>
      </c>
      <c r="G33136" t="s">
        <v>9818</v>
      </c>
      <c r="H33136" s="21">
        <v>506</v>
      </c>
    </row>
    <row r="33137" spans="1:8" customFormat="1" x14ac:dyDescent="0.25">
      <c r="A33137" t="str">
        <f>"3426565"</f>
        <v>3426565</v>
      </c>
      <c r="B33137" t="s">
        <v>21051</v>
      </c>
      <c r="C33137" t="s">
        <v>664</v>
      </c>
      <c r="D33137" s="21" t="s">
        <v>34</v>
      </c>
      <c r="E33137" s="21" t="s">
        <v>35</v>
      </c>
      <c r="F33137">
        <v>11340059</v>
      </c>
      <c r="G33137" t="s">
        <v>10368</v>
      </c>
      <c r="H33137" s="21">
        <v>506</v>
      </c>
    </row>
    <row r="33138" spans="1:8" customFormat="1" x14ac:dyDescent="0.25">
      <c r="A33138" t="str">
        <f>"491391"</f>
        <v>491391</v>
      </c>
      <c r="B33138" t="s">
        <v>17255</v>
      </c>
      <c r="C33138" t="s">
        <v>114</v>
      </c>
      <c r="D33138" s="21" t="s">
        <v>34</v>
      </c>
      <c r="E33138" s="21" t="s">
        <v>254</v>
      </c>
      <c r="F33138">
        <v>12490032</v>
      </c>
      <c r="G33138" t="s">
        <v>6233</v>
      </c>
      <c r="H33138" s="21">
        <v>506</v>
      </c>
    </row>
    <row r="33139" spans="1:8" customFormat="1" x14ac:dyDescent="0.25">
      <c r="A33139" t="str">
        <f>"147280"</f>
        <v>147280</v>
      </c>
      <c r="B33139" t="s">
        <v>1435</v>
      </c>
      <c r="C33139" t="s">
        <v>209</v>
      </c>
      <c r="D33139" s="21" t="s">
        <v>34</v>
      </c>
      <c r="E33139" s="21" t="s">
        <v>254</v>
      </c>
      <c r="F33139">
        <v>9140211</v>
      </c>
      <c r="G33139" t="s">
        <v>5784</v>
      </c>
      <c r="H33139" s="21">
        <v>506</v>
      </c>
    </row>
    <row r="33140" spans="1:8" customFormat="1" x14ac:dyDescent="0.25">
      <c r="A33140" t="str">
        <f>"4514782"</f>
        <v>4514782</v>
      </c>
      <c r="B33140" t="s">
        <v>28605</v>
      </c>
      <c r="C33140" t="s">
        <v>206</v>
      </c>
      <c r="D33140" s="21" t="s">
        <v>34</v>
      </c>
      <c r="E33140" s="21" t="s">
        <v>35</v>
      </c>
      <c r="F33140">
        <v>4450108</v>
      </c>
      <c r="G33140" t="s">
        <v>2354</v>
      </c>
      <c r="H33140" s="21">
        <v>506</v>
      </c>
    </row>
    <row r="33141" spans="1:8" customFormat="1" x14ac:dyDescent="0.25">
      <c r="A33141" t="str">
        <f>"2928914"</f>
        <v>2928914</v>
      </c>
      <c r="B33141" t="s">
        <v>28606</v>
      </c>
      <c r="C33141" t="s">
        <v>209</v>
      </c>
      <c r="D33141" s="21" t="s">
        <v>34</v>
      </c>
      <c r="E33141" s="21" t="s">
        <v>35</v>
      </c>
      <c r="F33141">
        <v>3290036</v>
      </c>
      <c r="G33141" t="s">
        <v>3903</v>
      </c>
      <c r="H33141" s="21">
        <v>506</v>
      </c>
    </row>
    <row r="33142" spans="1:8" customFormat="1" x14ac:dyDescent="0.25">
      <c r="A33142" t="str">
        <f>"9251559"</f>
        <v>9251559</v>
      </c>
      <c r="B33142" t="s">
        <v>7521</v>
      </c>
      <c r="C33142" t="s">
        <v>1782</v>
      </c>
      <c r="D33142" s="21" t="s">
        <v>34</v>
      </c>
      <c r="E33142" s="21" t="s">
        <v>35</v>
      </c>
      <c r="F33142">
        <v>8920063</v>
      </c>
      <c r="G33142" t="s">
        <v>219</v>
      </c>
      <c r="H33142" s="21">
        <v>506</v>
      </c>
    </row>
    <row r="33143" spans="1:8" customFormat="1" x14ac:dyDescent="0.25">
      <c r="A33143" t="str">
        <f>"9134481"</f>
        <v>9134481</v>
      </c>
      <c r="B33143" t="s">
        <v>28607</v>
      </c>
      <c r="C33143" t="s">
        <v>415</v>
      </c>
      <c r="D33143" s="21" t="s">
        <v>34</v>
      </c>
      <c r="E33143" s="21" t="s">
        <v>254</v>
      </c>
      <c r="F33143">
        <v>13830051</v>
      </c>
      <c r="G33143" t="s">
        <v>2031</v>
      </c>
      <c r="H33143" s="21">
        <v>506</v>
      </c>
    </row>
    <row r="33144" spans="1:8" customFormat="1" x14ac:dyDescent="0.25">
      <c r="A33144" t="str">
        <f>"5954981"</f>
        <v>5954981</v>
      </c>
      <c r="B33144" t="s">
        <v>11984</v>
      </c>
      <c r="C33144" t="s">
        <v>239</v>
      </c>
      <c r="D33144" s="21" t="s">
        <v>34</v>
      </c>
      <c r="E33144" s="21" t="s">
        <v>71</v>
      </c>
      <c r="F33144">
        <v>7590223</v>
      </c>
      <c r="G33144" t="s">
        <v>5218</v>
      </c>
      <c r="H33144" s="21">
        <v>506</v>
      </c>
    </row>
    <row r="33145" spans="1:8" customFormat="1" x14ac:dyDescent="0.25">
      <c r="A33145" t="str">
        <f>"106778"</f>
        <v>106778</v>
      </c>
      <c r="B33145" t="s">
        <v>28608</v>
      </c>
      <c r="C33145" t="s">
        <v>415</v>
      </c>
      <c r="D33145" s="21" t="s">
        <v>34</v>
      </c>
      <c r="E33145" s="21" t="s">
        <v>71</v>
      </c>
      <c r="F33145">
        <v>6100015</v>
      </c>
      <c r="G33145" t="s">
        <v>6173</v>
      </c>
      <c r="H33145" s="21">
        <v>506</v>
      </c>
    </row>
    <row r="33146" spans="1:8" customFormat="1" x14ac:dyDescent="0.25">
      <c r="A33146" t="str">
        <f>"7414125"</f>
        <v>7414125</v>
      </c>
      <c r="B33146" t="s">
        <v>28609</v>
      </c>
      <c r="C33146" t="s">
        <v>33</v>
      </c>
      <c r="D33146" s="21" t="s">
        <v>34</v>
      </c>
      <c r="E33146" s="21" t="s">
        <v>35</v>
      </c>
      <c r="F33146">
        <v>1740011</v>
      </c>
      <c r="G33146" t="s">
        <v>2638</v>
      </c>
      <c r="H33146" s="21">
        <v>506</v>
      </c>
    </row>
    <row r="33147" spans="1:8" customFormat="1" x14ac:dyDescent="0.25">
      <c r="A33147" t="str">
        <f>"425926"</f>
        <v>425926</v>
      </c>
      <c r="B33147" t="s">
        <v>7409</v>
      </c>
      <c r="C33147" t="s">
        <v>822</v>
      </c>
      <c r="D33147" s="21" t="s">
        <v>34</v>
      </c>
      <c r="E33147" s="21" t="s">
        <v>254</v>
      </c>
      <c r="F33147">
        <v>1420036</v>
      </c>
      <c r="G33147" t="s">
        <v>17218</v>
      </c>
      <c r="H33147" s="21">
        <v>506</v>
      </c>
    </row>
    <row r="33148" spans="1:8" customFormat="1" x14ac:dyDescent="0.25">
      <c r="A33148" t="str">
        <f>"6110670"</f>
        <v>6110670</v>
      </c>
      <c r="B33148" t="s">
        <v>21216</v>
      </c>
      <c r="C33148" t="s">
        <v>130</v>
      </c>
      <c r="D33148" s="21" t="s">
        <v>34</v>
      </c>
      <c r="E33148" s="21" t="s">
        <v>71</v>
      </c>
      <c r="F33148">
        <v>9610138</v>
      </c>
      <c r="G33148" t="s">
        <v>20717</v>
      </c>
      <c r="H33148" s="21">
        <v>506</v>
      </c>
    </row>
    <row r="33149" spans="1:8" customFormat="1" x14ac:dyDescent="0.25">
      <c r="A33149" t="str">
        <f>"7222914"</f>
        <v>7222914</v>
      </c>
      <c r="B33149" t="s">
        <v>8424</v>
      </c>
      <c r="C33149" t="s">
        <v>462</v>
      </c>
      <c r="D33149" s="21" t="s">
        <v>34</v>
      </c>
      <c r="E33149" s="21" t="s">
        <v>254</v>
      </c>
      <c r="F33149">
        <v>12720078</v>
      </c>
      <c r="G33149" t="s">
        <v>5085</v>
      </c>
      <c r="H33149" s="21">
        <v>506</v>
      </c>
    </row>
    <row r="33150" spans="1:8" customFormat="1" x14ac:dyDescent="0.25">
      <c r="A33150" t="str">
        <f>"541038"</f>
        <v>541038</v>
      </c>
      <c r="B33150" t="s">
        <v>22555</v>
      </c>
      <c r="C33150" t="s">
        <v>239</v>
      </c>
      <c r="D33150" s="21" t="s">
        <v>34</v>
      </c>
      <c r="E33150" s="21" t="s">
        <v>254</v>
      </c>
      <c r="F33150">
        <v>6540055</v>
      </c>
      <c r="G33150" t="s">
        <v>9080</v>
      </c>
      <c r="H33150" s="21">
        <v>506</v>
      </c>
    </row>
    <row r="33151" spans="1:8" customFormat="1" x14ac:dyDescent="0.25">
      <c r="A33151" t="str">
        <f>"3831349"</f>
        <v>3831349</v>
      </c>
      <c r="B33151" t="s">
        <v>11152</v>
      </c>
      <c r="C33151" t="s">
        <v>119</v>
      </c>
      <c r="D33151" s="21" t="s">
        <v>34</v>
      </c>
      <c r="E33151" s="21" t="s">
        <v>35</v>
      </c>
      <c r="F33151">
        <v>1380199</v>
      </c>
      <c r="G33151" t="s">
        <v>321</v>
      </c>
      <c r="H33151" s="21">
        <v>506</v>
      </c>
    </row>
    <row r="33152" spans="1:8" customFormat="1" x14ac:dyDescent="0.25">
      <c r="A33152" t="str">
        <f>"182878"</f>
        <v>182878</v>
      </c>
      <c r="B33152" t="s">
        <v>1551</v>
      </c>
      <c r="C33152" t="s">
        <v>233</v>
      </c>
      <c r="D33152" s="21" t="s">
        <v>34</v>
      </c>
      <c r="E33152" s="21" t="s">
        <v>1089</v>
      </c>
      <c r="F33152">
        <v>4180057</v>
      </c>
      <c r="G33152" t="s">
        <v>9021</v>
      </c>
      <c r="H33152" s="21">
        <v>506</v>
      </c>
    </row>
    <row r="33153" spans="1:8" customFormat="1" x14ac:dyDescent="0.25">
      <c r="A33153" t="str">
        <f>"9435405"</f>
        <v>9435405</v>
      </c>
      <c r="B33153" t="s">
        <v>23925</v>
      </c>
      <c r="C33153" t="s">
        <v>124</v>
      </c>
      <c r="D33153" s="21" t="s">
        <v>34</v>
      </c>
      <c r="E33153" s="21" t="s">
        <v>254</v>
      </c>
      <c r="F33153">
        <v>8930610</v>
      </c>
      <c r="G33153" t="s">
        <v>3002</v>
      </c>
      <c r="H33153" s="21">
        <v>505.92</v>
      </c>
    </row>
    <row r="33154" spans="1:8" customFormat="1" x14ac:dyDescent="0.25">
      <c r="A33154" t="str">
        <f>"1422328"</f>
        <v>1422328</v>
      </c>
      <c r="B33154" t="s">
        <v>67</v>
      </c>
      <c r="C33154" t="s">
        <v>288</v>
      </c>
      <c r="D33154" s="21" t="s">
        <v>34</v>
      </c>
      <c r="E33154" s="21" t="s">
        <v>35</v>
      </c>
      <c r="F33154">
        <v>9140013</v>
      </c>
      <c r="G33154" t="s">
        <v>1837</v>
      </c>
      <c r="H33154" s="21">
        <v>505.75</v>
      </c>
    </row>
    <row r="33155" spans="1:8" customFormat="1" x14ac:dyDescent="0.25">
      <c r="A33155" t="str">
        <f>"5325030"</f>
        <v>5325030</v>
      </c>
      <c r="B33155" t="s">
        <v>551</v>
      </c>
      <c r="C33155" t="s">
        <v>40</v>
      </c>
      <c r="D33155" s="21" t="s">
        <v>34</v>
      </c>
      <c r="E33155" s="21" t="s">
        <v>35</v>
      </c>
      <c r="F33155">
        <v>12538909</v>
      </c>
      <c r="G33155" t="s">
        <v>13536</v>
      </c>
      <c r="H33155" s="21">
        <v>505.67</v>
      </c>
    </row>
    <row r="33156" spans="1:8" customFormat="1" x14ac:dyDescent="0.25">
      <c r="A33156" t="str">
        <f>"5424238"</f>
        <v>5424238</v>
      </c>
      <c r="B33156" t="s">
        <v>2835</v>
      </c>
      <c r="C33156" t="s">
        <v>151</v>
      </c>
      <c r="D33156" s="21" t="s">
        <v>34</v>
      </c>
      <c r="E33156" s="21" t="s">
        <v>71</v>
      </c>
      <c r="F33156">
        <v>6540193</v>
      </c>
      <c r="G33156" t="s">
        <v>5884</v>
      </c>
      <c r="H33156" s="21">
        <v>505.67</v>
      </c>
    </row>
    <row r="33157" spans="1:8" customFormat="1" x14ac:dyDescent="0.25">
      <c r="A33157" t="str">
        <f>"7865010"</f>
        <v>7865010</v>
      </c>
      <c r="B33157" t="s">
        <v>22438</v>
      </c>
      <c r="C33157" t="s">
        <v>87</v>
      </c>
      <c r="D33157" s="21" t="s">
        <v>34</v>
      </c>
      <c r="E33157" s="21" t="s">
        <v>35</v>
      </c>
      <c r="F33157">
        <v>8780496</v>
      </c>
      <c r="G33157" t="s">
        <v>2477</v>
      </c>
      <c r="H33157" s="21">
        <v>505.67</v>
      </c>
    </row>
    <row r="33158" spans="1:8" customFormat="1" x14ac:dyDescent="0.25">
      <c r="A33158" t="str">
        <f>"6725184"</f>
        <v>6725184</v>
      </c>
      <c r="B33158" t="s">
        <v>24361</v>
      </c>
      <c r="C33158" t="s">
        <v>239</v>
      </c>
      <c r="D33158" s="21" t="s">
        <v>34</v>
      </c>
      <c r="E33158" s="21" t="s">
        <v>71</v>
      </c>
      <c r="F33158">
        <v>6670187</v>
      </c>
      <c r="G33158" t="s">
        <v>240</v>
      </c>
      <c r="H33158" s="21">
        <v>505.67</v>
      </c>
    </row>
    <row r="33159" spans="1:8" customFormat="1" x14ac:dyDescent="0.25">
      <c r="A33159" t="str">
        <f>"7638323"</f>
        <v>7638323</v>
      </c>
      <c r="B33159" t="s">
        <v>392</v>
      </c>
      <c r="C33159" t="s">
        <v>328</v>
      </c>
      <c r="D33159" s="21" t="s">
        <v>34</v>
      </c>
      <c r="E33159" s="21" t="s">
        <v>35</v>
      </c>
      <c r="F33159">
        <v>9760039</v>
      </c>
      <c r="G33159" t="s">
        <v>9501</v>
      </c>
      <c r="H33159" s="21">
        <v>505.67</v>
      </c>
    </row>
    <row r="33160" spans="1:8" customFormat="1" x14ac:dyDescent="0.25">
      <c r="A33160" t="str">
        <f>"6224049"</f>
        <v>6224049</v>
      </c>
      <c r="B33160" t="s">
        <v>21898</v>
      </c>
      <c r="C33160" t="s">
        <v>147</v>
      </c>
      <c r="D33160" s="21" t="s">
        <v>34</v>
      </c>
      <c r="E33160" s="21" t="s">
        <v>35</v>
      </c>
      <c r="F33160">
        <v>7620140</v>
      </c>
      <c r="G33160" t="s">
        <v>7454</v>
      </c>
      <c r="H33160" s="21">
        <v>505.67</v>
      </c>
    </row>
    <row r="33161" spans="1:8" customFormat="1" x14ac:dyDescent="0.25">
      <c r="A33161" t="str">
        <f>"5431855"</f>
        <v>5431855</v>
      </c>
      <c r="B33161" t="s">
        <v>22135</v>
      </c>
      <c r="C33161" t="s">
        <v>288</v>
      </c>
      <c r="D33161" s="21" t="s">
        <v>34</v>
      </c>
      <c r="E33161" s="21" t="s">
        <v>35</v>
      </c>
      <c r="F33161">
        <v>6540019</v>
      </c>
      <c r="G33161" t="s">
        <v>6413</v>
      </c>
      <c r="H33161" s="21">
        <v>505.67</v>
      </c>
    </row>
    <row r="33162" spans="1:8" customFormat="1" x14ac:dyDescent="0.25">
      <c r="A33162" t="str">
        <f>"197824"</f>
        <v>197824</v>
      </c>
      <c r="B33162" t="s">
        <v>22208</v>
      </c>
      <c r="C33162" t="s">
        <v>528</v>
      </c>
      <c r="D33162" s="21" t="s">
        <v>34</v>
      </c>
      <c r="E33162" s="21" t="s">
        <v>71</v>
      </c>
      <c r="F33162">
        <v>10190075</v>
      </c>
      <c r="G33162" t="s">
        <v>14431</v>
      </c>
      <c r="H33162" s="21">
        <v>505.67</v>
      </c>
    </row>
    <row r="33163" spans="1:8" customFormat="1" x14ac:dyDescent="0.25">
      <c r="A33163" t="str">
        <f>"5431422"</f>
        <v>5431422</v>
      </c>
      <c r="B33163" t="s">
        <v>853</v>
      </c>
      <c r="C33163" t="s">
        <v>2520</v>
      </c>
      <c r="D33163" s="21" t="s">
        <v>34</v>
      </c>
      <c r="E33163" s="21" t="s">
        <v>254</v>
      </c>
      <c r="F33163">
        <v>6540111</v>
      </c>
      <c r="G33163" t="s">
        <v>9886</v>
      </c>
      <c r="H33163" s="21">
        <v>505.67</v>
      </c>
    </row>
    <row r="33164" spans="1:8" customFormat="1" x14ac:dyDescent="0.25">
      <c r="A33164" t="str">
        <f>"4930871"</f>
        <v>4930871</v>
      </c>
      <c r="B33164" t="s">
        <v>21024</v>
      </c>
      <c r="C33164" t="s">
        <v>269</v>
      </c>
      <c r="D33164" s="21" t="s">
        <v>34</v>
      </c>
      <c r="E33164" s="21" t="s">
        <v>35</v>
      </c>
      <c r="F33164">
        <v>12490132</v>
      </c>
      <c r="G33164" t="s">
        <v>1125</v>
      </c>
      <c r="H33164" s="21">
        <v>505.67</v>
      </c>
    </row>
    <row r="33165" spans="1:8" customFormat="1" x14ac:dyDescent="0.25">
      <c r="A33165" t="str">
        <f>"6225862"</f>
        <v>6225862</v>
      </c>
      <c r="B33165" t="s">
        <v>22709</v>
      </c>
      <c r="C33165" t="s">
        <v>288</v>
      </c>
      <c r="D33165" s="21" t="s">
        <v>34</v>
      </c>
      <c r="E33165" s="21" t="s">
        <v>35</v>
      </c>
      <c r="F33165">
        <v>7620015</v>
      </c>
      <c r="G33165" t="s">
        <v>377</v>
      </c>
      <c r="H33165" s="21">
        <v>505.67</v>
      </c>
    </row>
    <row r="33166" spans="1:8" customFormat="1" x14ac:dyDescent="0.25">
      <c r="A33166" t="str">
        <f>"646086"</f>
        <v>646086</v>
      </c>
      <c r="B33166" t="s">
        <v>21634</v>
      </c>
      <c r="C33166" t="s">
        <v>712</v>
      </c>
      <c r="D33166" s="21" t="s">
        <v>34</v>
      </c>
      <c r="E33166" s="21" t="s">
        <v>1089</v>
      </c>
      <c r="F33166">
        <v>10400002</v>
      </c>
      <c r="G33166" t="s">
        <v>1975</v>
      </c>
      <c r="H33166" s="21">
        <v>505.67</v>
      </c>
    </row>
    <row r="33167" spans="1:8" customFormat="1" x14ac:dyDescent="0.25">
      <c r="A33167" t="str">
        <f>"6312336"</f>
        <v>6312336</v>
      </c>
      <c r="B33167" t="s">
        <v>1347</v>
      </c>
      <c r="C33167" t="s">
        <v>233</v>
      </c>
      <c r="D33167" s="21" t="s">
        <v>34</v>
      </c>
      <c r="E33167" s="21" t="s">
        <v>71</v>
      </c>
      <c r="F33167">
        <v>1630012</v>
      </c>
      <c r="G33167" t="s">
        <v>8636</v>
      </c>
      <c r="H33167" s="21">
        <v>505.67</v>
      </c>
    </row>
    <row r="33168" spans="1:8" customFormat="1" x14ac:dyDescent="0.25">
      <c r="A33168" t="str">
        <f>"4529221"</f>
        <v>4529221</v>
      </c>
      <c r="B33168" t="s">
        <v>2240</v>
      </c>
      <c r="C33168" t="s">
        <v>204</v>
      </c>
      <c r="D33168" s="21" t="s">
        <v>34</v>
      </c>
      <c r="E33168" s="21" t="s">
        <v>35</v>
      </c>
      <c r="F33168">
        <v>4450760</v>
      </c>
      <c r="G33168" t="s">
        <v>5775</v>
      </c>
      <c r="H33168" s="21">
        <v>505.67</v>
      </c>
    </row>
    <row r="33169" spans="1:8" customFormat="1" x14ac:dyDescent="0.25">
      <c r="A33169" t="str">
        <f>"9445990"</f>
        <v>9445990</v>
      </c>
      <c r="B33169" t="s">
        <v>21823</v>
      </c>
      <c r="C33169" t="s">
        <v>388</v>
      </c>
      <c r="D33169" s="21" t="s">
        <v>34</v>
      </c>
      <c r="E33169" s="21" t="s">
        <v>71</v>
      </c>
      <c r="F33169">
        <v>8941282</v>
      </c>
      <c r="G33169" t="s">
        <v>5040</v>
      </c>
      <c r="H33169" s="21">
        <v>505.67</v>
      </c>
    </row>
    <row r="33170" spans="1:8" customFormat="1" x14ac:dyDescent="0.25">
      <c r="A33170" t="str">
        <f>"3313698"</f>
        <v>3313698</v>
      </c>
      <c r="B33170" t="s">
        <v>24109</v>
      </c>
      <c r="C33170" t="s">
        <v>209</v>
      </c>
      <c r="D33170" s="21" t="s">
        <v>34</v>
      </c>
      <c r="E33170" s="21" t="s">
        <v>254</v>
      </c>
      <c r="F33170">
        <v>10330030</v>
      </c>
      <c r="G33170" t="s">
        <v>2990</v>
      </c>
      <c r="H33170" s="21">
        <v>505.67</v>
      </c>
    </row>
    <row r="33171" spans="1:8" customFormat="1" x14ac:dyDescent="0.25">
      <c r="A33171" t="str">
        <f>"3426499"</f>
        <v>3426499</v>
      </c>
      <c r="B33171" t="s">
        <v>146</v>
      </c>
      <c r="C33171" t="s">
        <v>149</v>
      </c>
      <c r="D33171" s="21" t="s">
        <v>34</v>
      </c>
      <c r="E33171" s="21" t="s">
        <v>35</v>
      </c>
      <c r="F33171">
        <v>11340074</v>
      </c>
      <c r="G33171" t="s">
        <v>21845</v>
      </c>
      <c r="H33171" s="21">
        <v>505.67</v>
      </c>
    </row>
    <row r="33172" spans="1:8" customFormat="1" x14ac:dyDescent="0.25">
      <c r="A33172" t="str">
        <f>"3831501"</f>
        <v>3831501</v>
      </c>
      <c r="B33172" t="s">
        <v>3175</v>
      </c>
      <c r="C33172" t="s">
        <v>204</v>
      </c>
      <c r="D33172" s="21" t="s">
        <v>34</v>
      </c>
      <c r="E33172" s="21" t="s">
        <v>35</v>
      </c>
      <c r="F33172">
        <v>1380293</v>
      </c>
      <c r="G33172" t="s">
        <v>2103</v>
      </c>
      <c r="H33172" s="21">
        <v>505.67</v>
      </c>
    </row>
    <row r="33173" spans="1:8" customFormat="1" x14ac:dyDescent="0.25">
      <c r="A33173" t="str">
        <f>"8313613"</f>
        <v>8313613</v>
      </c>
      <c r="B33173" t="s">
        <v>1006</v>
      </c>
      <c r="C33173" t="s">
        <v>209</v>
      </c>
      <c r="D33173" s="21" t="s">
        <v>34</v>
      </c>
      <c r="E33173" s="21" t="s">
        <v>1089</v>
      </c>
      <c r="F33173">
        <v>13830007</v>
      </c>
      <c r="G33173" t="s">
        <v>11316</v>
      </c>
      <c r="H33173" s="21">
        <v>505.67</v>
      </c>
    </row>
    <row r="33174" spans="1:8" customFormat="1" x14ac:dyDescent="0.25">
      <c r="A33174" t="str">
        <f>"701959"</f>
        <v>701959</v>
      </c>
      <c r="B33174" t="s">
        <v>21569</v>
      </c>
      <c r="C33174" t="s">
        <v>156</v>
      </c>
      <c r="D33174" s="21" t="s">
        <v>34</v>
      </c>
      <c r="E33174" s="21" t="s">
        <v>254</v>
      </c>
      <c r="F33174">
        <v>2700077</v>
      </c>
      <c r="G33174" t="s">
        <v>9311</v>
      </c>
      <c r="H33174" s="21">
        <v>505.67</v>
      </c>
    </row>
    <row r="33175" spans="1:8" customFormat="1" x14ac:dyDescent="0.25">
      <c r="A33175" t="str">
        <f>"7613439"</f>
        <v>7613439</v>
      </c>
      <c r="B33175" t="s">
        <v>13012</v>
      </c>
      <c r="C33175" t="s">
        <v>65</v>
      </c>
      <c r="D33175" s="21" t="s">
        <v>34</v>
      </c>
      <c r="E33175" s="21" t="s">
        <v>35</v>
      </c>
      <c r="F33175">
        <v>9760414</v>
      </c>
      <c r="G33175" t="s">
        <v>142</v>
      </c>
      <c r="H33175" s="21">
        <v>505.67</v>
      </c>
    </row>
    <row r="33176" spans="1:8" customFormat="1" x14ac:dyDescent="0.25">
      <c r="A33176" t="str">
        <f>"6021098"</f>
        <v>6021098</v>
      </c>
      <c r="B33176" t="s">
        <v>24455</v>
      </c>
      <c r="C33176" t="s">
        <v>139</v>
      </c>
      <c r="D33176" s="21" t="s">
        <v>34</v>
      </c>
      <c r="E33176" s="21" t="s">
        <v>35</v>
      </c>
      <c r="F33176">
        <v>7600126</v>
      </c>
      <c r="G33176" t="s">
        <v>2516</v>
      </c>
      <c r="H33176" s="21">
        <v>505.67</v>
      </c>
    </row>
    <row r="33177" spans="1:8" customFormat="1" x14ac:dyDescent="0.25">
      <c r="A33177" t="str">
        <f>"4524368"</f>
        <v>4524368</v>
      </c>
      <c r="B33177" t="s">
        <v>20837</v>
      </c>
      <c r="C33177" t="s">
        <v>1119</v>
      </c>
      <c r="D33177" s="21" t="s">
        <v>34</v>
      </c>
      <c r="E33177" s="21" t="s">
        <v>35</v>
      </c>
      <c r="F33177">
        <v>4450413</v>
      </c>
      <c r="G33177" t="s">
        <v>11734</v>
      </c>
      <c r="H33177" s="21">
        <v>505.67</v>
      </c>
    </row>
    <row r="33178" spans="1:8" customFormat="1" x14ac:dyDescent="0.25">
      <c r="A33178" t="str">
        <f>"7731516"</f>
        <v>7731516</v>
      </c>
      <c r="B33178" t="s">
        <v>22453</v>
      </c>
      <c r="C33178" t="s">
        <v>43</v>
      </c>
      <c r="D33178" s="21" t="s">
        <v>34</v>
      </c>
      <c r="E33178" s="21" t="s">
        <v>35</v>
      </c>
      <c r="F33178">
        <v>8770562</v>
      </c>
      <c r="G33178" t="s">
        <v>4847</v>
      </c>
      <c r="H33178" s="21">
        <v>505.67</v>
      </c>
    </row>
    <row r="33179" spans="1:8" customFormat="1" x14ac:dyDescent="0.25">
      <c r="A33179" t="str">
        <f>"9510803"</f>
        <v>9510803</v>
      </c>
      <c r="B33179" t="s">
        <v>15370</v>
      </c>
      <c r="C33179" t="s">
        <v>236</v>
      </c>
      <c r="D33179" s="21" t="s">
        <v>34</v>
      </c>
      <c r="E33179" s="21" t="s">
        <v>71</v>
      </c>
      <c r="F33179">
        <v>8950083</v>
      </c>
      <c r="G33179" t="s">
        <v>405</v>
      </c>
      <c r="H33179" s="21">
        <v>505.67</v>
      </c>
    </row>
    <row r="33180" spans="1:8" customFormat="1" x14ac:dyDescent="0.25">
      <c r="A33180" t="str">
        <f>"189776"</f>
        <v>189776</v>
      </c>
      <c r="B33180" t="s">
        <v>28610</v>
      </c>
      <c r="C33180" t="s">
        <v>1359</v>
      </c>
      <c r="D33180" s="21" t="s">
        <v>34</v>
      </c>
      <c r="E33180" s="21" t="s">
        <v>35</v>
      </c>
      <c r="F33180">
        <v>4180485</v>
      </c>
      <c r="G33180" t="s">
        <v>345</v>
      </c>
      <c r="H33180" s="21">
        <v>505.62</v>
      </c>
    </row>
    <row r="33181" spans="1:8" customFormat="1" x14ac:dyDescent="0.25">
      <c r="A33181" t="str">
        <f>"1322054"</f>
        <v>1322054</v>
      </c>
      <c r="B33181" t="s">
        <v>28611</v>
      </c>
      <c r="C33181" t="s">
        <v>151</v>
      </c>
      <c r="D33181" s="21" t="s">
        <v>34</v>
      </c>
      <c r="E33181" s="21" t="s">
        <v>35</v>
      </c>
      <c r="F33181">
        <v>13130154</v>
      </c>
      <c r="G33181" t="s">
        <v>5503</v>
      </c>
      <c r="H33181" s="21">
        <v>505.62</v>
      </c>
    </row>
    <row r="33182" spans="1:8" customFormat="1" x14ac:dyDescent="0.25">
      <c r="A33182" t="str">
        <f>"3344518"</f>
        <v>3344518</v>
      </c>
      <c r="B33182" t="s">
        <v>23545</v>
      </c>
      <c r="C33182" t="s">
        <v>263</v>
      </c>
      <c r="D33182" s="21" t="s">
        <v>34</v>
      </c>
      <c r="E33182" s="21" t="s">
        <v>71</v>
      </c>
      <c r="F33182">
        <v>10330080</v>
      </c>
      <c r="G33182" t="s">
        <v>5634</v>
      </c>
      <c r="H33182" s="21">
        <v>505.54</v>
      </c>
    </row>
    <row r="33183" spans="1:8" customFormat="1" x14ac:dyDescent="0.25">
      <c r="A33183" t="str">
        <f>"6950686"</f>
        <v>6950686</v>
      </c>
      <c r="B33183" t="s">
        <v>1766</v>
      </c>
      <c r="C33183" t="s">
        <v>388</v>
      </c>
      <c r="D33183" s="21" t="s">
        <v>34</v>
      </c>
      <c r="E33183" s="21" t="s">
        <v>71</v>
      </c>
      <c r="F33183">
        <v>1690102</v>
      </c>
      <c r="G33183" t="s">
        <v>2081</v>
      </c>
      <c r="H33183" s="21">
        <v>505.5</v>
      </c>
    </row>
    <row r="33184" spans="1:8" customFormat="1" x14ac:dyDescent="0.25">
      <c r="A33184" t="str">
        <f>"5977949"</f>
        <v>5977949</v>
      </c>
      <c r="B33184" t="s">
        <v>12340</v>
      </c>
      <c r="C33184" t="s">
        <v>462</v>
      </c>
      <c r="D33184" s="21" t="s">
        <v>34</v>
      </c>
      <c r="E33184" s="21" t="s">
        <v>71</v>
      </c>
      <c r="F33184">
        <v>7590228</v>
      </c>
      <c r="G33184" t="s">
        <v>1798</v>
      </c>
      <c r="H33184" s="21">
        <v>505.5</v>
      </c>
    </row>
    <row r="33185" spans="1:8" customFormat="1" x14ac:dyDescent="0.25">
      <c r="A33185" t="str">
        <f>"9235519"</f>
        <v>9235519</v>
      </c>
      <c r="B33185" t="s">
        <v>24597</v>
      </c>
      <c r="C33185" t="s">
        <v>87</v>
      </c>
      <c r="D33185" s="21" t="s">
        <v>34</v>
      </c>
      <c r="E33185" s="21" t="s">
        <v>71</v>
      </c>
      <c r="F33185">
        <v>8911206</v>
      </c>
      <c r="G33185" t="s">
        <v>17661</v>
      </c>
      <c r="H33185" s="21">
        <v>505.5</v>
      </c>
    </row>
    <row r="33186" spans="1:8" customFormat="1" x14ac:dyDescent="0.25">
      <c r="A33186" t="str">
        <f>"3012637"</f>
        <v>3012637</v>
      </c>
      <c r="B33186" t="s">
        <v>22480</v>
      </c>
      <c r="C33186" t="s">
        <v>147</v>
      </c>
      <c r="D33186" s="21" t="s">
        <v>34</v>
      </c>
      <c r="E33186" s="21" t="s">
        <v>35</v>
      </c>
      <c r="F33186">
        <v>11300007</v>
      </c>
      <c r="G33186" t="s">
        <v>361</v>
      </c>
      <c r="H33186" s="21">
        <v>505.5</v>
      </c>
    </row>
    <row r="33187" spans="1:8" customFormat="1" x14ac:dyDescent="0.25">
      <c r="A33187" t="str">
        <f>"2937654"</f>
        <v>2937654</v>
      </c>
      <c r="B33187" t="s">
        <v>24221</v>
      </c>
      <c r="C33187" t="s">
        <v>40</v>
      </c>
      <c r="D33187" s="21" t="s">
        <v>34</v>
      </c>
      <c r="E33187" s="21" t="s">
        <v>254</v>
      </c>
      <c r="F33187">
        <v>3290277</v>
      </c>
      <c r="G33187" t="s">
        <v>1671</v>
      </c>
      <c r="H33187" s="21">
        <v>505.5</v>
      </c>
    </row>
    <row r="33188" spans="1:8" customFormat="1" x14ac:dyDescent="0.25">
      <c r="A33188" t="str">
        <f>"428636"</f>
        <v>428636</v>
      </c>
      <c r="B33188" t="s">
        <v>22799</v>
      </c>
      <c r="C33188" t="s">
        <v>156</v>
      </c>
      <c r="D33188" s="21" t="s">
        <v>34</v>
      </c>
      <c r="E33188" s="21" t="s">
        <v>71</v>
      </c>
      <c r="F33188">
        <v>1420048</v>
      </c>
      <c r="G33188" t="s">
        <v>745</v>
      </c>
      <c r="H33188" s="21">
        <v>505.5</v>
      </c>
    </row>
    <row r="33189" spans="1:8" customFormat="1" x14ac:dyDescent="0.25">
      <c r="A33189" t="str">
        <f>"2516743"</f>
        <v>2516743</v>
      </c>
      <c r="B33189" t="s">
        <v>28612</v>
      </c>
      <c r="C33189" t="s">
        <v>233</v>
      </c>
      <c r="D33189" s="21" t="s">
        <v>34</v>
      </c>
      <c r="E33189" s="21" t="s">
        <v>71</v>
      </c>
      <c r="F33189">
        <v>2250001</v>
      </c>
      <c r="G33189" t="s">
        <v>424</v>
      </c>
      <c r="H33189" s="21">
        <v>505.5</v>
      </c>
    </row>
    <row r="33190" spans="1:8" customFormat="1" x14ac:dyDescent="0.25">
      <c r="A33190" t="str">
        <f>"2721161"</f>
        <v>2721161</v>
      </c>
      <c r="B33190" t="s">
        <v>3387</v>
      </c>
      <c r="C33190" t="s">
        <v>415</v>
      </c>
      <c r="D33190" s="21" t="s">
        <v>34</v>
      </c>
      <c r="E33190" s="21" t="s">
        <v>71</v>
      </c>
      <c r="F33190">
        <v>9270013</v>
      </c>
      <c r="G33190" t="s">
        <v>26924</v>
      </c>
      <c r="H33190" s="21">
        <v>505.5</v>
      </c>
    </row>
    <row r="33191" spans="1:8" customFormat="1" x14ac:dyDescent="0.25">
      <c r="A33191" t="str">
        <f>"5981336"</f>
        <v>5981336</v>
      </c>
      <c r="B33191" t="s">
        <v>28613</v>
      </c>
      <c r="C33191" t="s">
        <v>60</v>
      </c>
      <c r="D33191" s="21" t="s">
        <v>34</v>
      </c>
      <c r="E33191" s="21" t="s">
        <v>35</v>
      </c>
      <c r="F33191">
        <v>7590075</v>
      </c>
      <c r="G33191" t="s">
        <v>6459</v>
      </c>
      <c r="H33191" s="21">
        <v>505.5</v>
      </c>
    </row>
    <row r="33192" spans="1:8" customFormat="1" x14ac:dyDescent="0.25">
      <c r="A33192" t="str">
        <f>"4112563"</f>
        <v>4112563</v>
      </c>
      <c r="B33192" t="s">
        <v>23872</v>
      </c>
      <c r="C33192" t="s">
        <v>206</v>
      </c>
      <c r="D33192" s="21" t="s">
        <v>34</v>
      </c>
      <c r="E33192" s="21" t="s">
        <v>35</v>
      </c>
      <c r="F33192">
        <v>4410279</v>
      </c>
      <c r="G33192" t="s">
        <v>3499</v>
      </c>
      <c r="H33192" s="21">
        <v>505.5</v>
      </c>
    </row>
    <row r="33193" spans="1:8" customFormat="1" x14ac:dyDescent="0.25">
      <c r="A33193" t="str">
        <f>"845323"</f>
        <v>845323</v>
      </c>
      <c r="B33193" t="s">
        <v>21824</v>
      </c>
      <c r="C33193" t="s">
        <v>1620</v>
      </c>
      <c r="D33193" s="21" t="s">
        <v>34</v>
      </c>
      <c r="E33193" s="21" t="s">
        <v>71</v>
      </c>
      <c r="F33193">
        <v>13840006</v>
      </c>
      <c r="G33193" t="s">
        <v>10139</v>
      </c>
      <c r="H33193" s="21">
        <v>505.5</v>
      </c>
    </row>
    <row r="33194" spans="1:8" customFormat="1" x14ac:dyDescent="0.25">
      <c r="A33194" t="str">
        <f>"2614727"</f>
        <v>2614727</v>
      </c>
      <c r="B33194" t="s">
        <v>23552</v>
      </c>
      <c r="C33194" t="s">
        <v>598</v>
      </c>
      <c r="D33194" s="21" t="s">
        <v>34</v>
      </c>
      <c r="E33194" s="21" t="s">
        <v>254</v>
      </c>
      <c r="F33194">
        <v>1260068</v>
      </c>
      <c r="G33194" t="s">
        <v>6531</v>
      </c>
      <c r="H33194" s="21">
        <v>505.5</v>
      </c>
    </row>
    <row r="33195" spans="1:8" customFormat="1" x14ac:dyDescent="0.25">
      <c r="A33195" t="str">
        <f>"2220387"</f>
        <v>2220387</v>
      </c>
      <c r="B33195" t="s">
        <v>20998</v>
      </c>
      <c r="C33195" t="s">
        <v>209</v>
      </c>
      <c r="D33195" s="21" t="s">
        <v>34</v>
      </c>
      <c r="E33195" s="21" t="s">
        <v>35</v>
      </c>
      <c r="F33195">
        <v>3220005</v>
      </c>
      <c r="G33195" t="s">
        <v>26718</v>
      </c>
      <c r="H33195" s="21">
        <v>505.5</v>
      </c>
    </row>
    <row r="33196" spans="1:8" customFormat="1" x14ac:dyDescent="0.25">
      <c r="A33196" t="str">
        <f>"7924855"</f>
        <v>7924855</v>
      </c>
      <c r="B33196" t="s">
        <v>16547</v>
      </c>
      <c r="C33196" t="s">
        <v>37</v>
      </c>
      <c r="D33196" s="21" t="s">
        <v>34</v>
      </c>
      <c r="E33196" s="21" t="s">
        <v>35</v>
      </c>
      <c r="F33196">
        <v>10790150</v>
      </c>
      <c r="G33196" t="s">
        <v>6205</v>
      </c>
      <c r="H33196" s="21">
        <v>505.5</v>
      </c>
    </row>
    <row r="33197" spans="1:8" customFormat="1" x14ac:dyDescent="0.25">
      <c r="A33197" t="str">
        <f>"6945591"</f>
        <v>6945591</v>
      </c>
      <c r="B33197" t="s">
        <v>577</v>
      </c>
      <c r="C33197" t="s">
        <v>462</v>
      </c>
      <c r="D33197" s="21" t="s">
        <v>34</v>
      </c>
      <c r="E33197" s="21" t="s">
        <v>71</v>
      </c>
      <c r="F33197">
        <v>1690206</v>
      </c>
      <c r="G33197" t="s">
        <v>17667</v>
      </c>
      <c r="H33197" s="21">
        <v>505.5</v>
      </c>
    </row>
    <row r="33198" spans="1:8" customFormat="1" x14ac:dyDescent="0.25">
      <c r="A33198" t="str">
        <f>"617739"</f>
        <v>617739</v>
      </c>
      <c r="B33198" t="s">
        <v>1533</v>
      </c>
      <c r="C33198" t="s">
        <v>1705</v>
      </c>
      <c r="D33198" s="21" t="s">
        <v>34</v>
      </c>
      <c r="E33198" s="21" t="s">
        <v>1089</v>
      </c>
      <c r="F33198">
        <v>9610017</v>
      </c>
      <c r="G33198" t="s">
        <v>12194</v>
      </c>
      <c r="H33198" s="21">
        <v>505.5</v>
      </c>
    </row>
    <row r="33199" spans="1:8" customFormat="1" x14ac:dyDescent="0.25">
      <c r="A33199" t="str">
        <f>"9D1008"</f>
        <v>9D1008</v>
      </c>
      <c r="B33199" t="s">
        <v>28614</v>
      </c>
      <c r="C33199" t="s">
        <v>3905</v>
      </c>
      <c r="D33199" s="21" t="s">
        <v>34</v>
      </c>
      <c r="E33199" s="21" t="s">
        <v>1089</v>
      </c>
      <c r="F33199" t="s">
        <v>3911</v>
      </c>
      <c r="G33199" t="s">
        <v>3912</v>
      </c>
      <c r="H33199" s="21">
        <v>505.5</v>
      </c>
    </row>
    <row r="33200" spans="1:8" customFormat="1" x14ac:dyDescent="0.25">
      <c r="A33200" t="str">
        <f>"2939485"</f>
        <v>2939485</v>
      </c>
      <c r="B33200" t="s">
        <v>1827</v>
      </c>
      <c r="C33200" t="s">
        <v>1457</v>
      </c>
      <c r="D33200" s="21" t="s">
        <v>34</v>
      </c>
      <c r="E33200" s="21" t="s">
        <v>35</v>
      </c>
      <c r="F33200">
        <v>3290232</v>
      </c>
      <c r="G33200" t="s">
        <v>9588</v>
      </c>
      <c r="H33200" s="21">
        <v>505.5</v>
      </c>
    </row>
    <row r="33201" spans="1:8" customFormat="1" x14ac:dyDescent="0.25">
      <c r="A33201" t="str">
        <f>"3717275"</f>
        <v>3717275</v>
      </c>
      <c r="B33201" t="s">
        <v>23703</v>
      </c>
      <c r="C33201" t="s">
        <v>121</v>
      </c>
      <c r="D33201" s="21" t="s">
        <v>34</v>
      </c>
      <c r="E33201" s="21" t="s">
        <v>35</v>
      </c>
      <c r="F33201">
        <v>10330125</v>
      </c>
      <c r="G33201" t="s">
        <v>3753</v>
      </c>
      <c r="H33201" s="21">
        <v>505.42</v>
      </c>
    </row>
    <row r="33202" spans="1:8" customFormat="1" x14ac:dyDescent="0.25">
      <c r="A33202" t="str">
        <f>"2514733"</f>
        <v>2514733</v>
      </c>
      <c r="B33202" t="s">
        <v>24509</v>
      </c>
      <c r="C33202" t="s">
        <v>263</v>
      </c>
      <c r="D33202" s="21" t="s">
        <v>34</v>
      </c>
      <c r="E33202" s="21" t="s">
        <v>71</v>
      </c>
      <c r="F33202">
        <v>2250224</v>
      </c>
      <c r="G33202" t="s">
        <v>9217</v>
      </c>
      <c r="H33202" s="21">
        <v>505.38</v>
      </c>
    </row>
    <row r="33203" spans="1:8" customFormat="1" x14ac:dyDescent="0.25">
      <c r="A33203" t="str">
        <f>"6724866"</f>
        <v>6724866</v>
      </c>
      <c r="B33203" t="s">
        <v>23670</v>
      </c>
      <c r="C33203" t="s">
        <v>249</v>
      </c>
      <c r="D33203" s="21" t="s">
        <v>34</v>
      </c>
      <c r="E33203" s="21" t="s">
        <v>71</v>
      </c>
      <c r="F33203">
        <v>6670107</v>
      </c>
      <c r="G33203" t="s">
        <v>5610</v>
      </c>
      <c r="H33203" s="21">
        <v>505.25</v>
      </c>
    </row>
    <row r="33204" spans="1:8" customFormat="1" x14ac:dyDescent="0.25">
      <c r="A33204" t="str">
        <f>"355047"</f>
        <v>355047</v>
      </c>
      <c r="B33204" t="s">
        <v>21531</v>
      </c>
      <c r="C33204" t="s">
        <v>598</v>
      </c>
      <c r="D33204" s="21" t="s">
        <v>34</v>
      </c>
      <c r="E33204" s="21" t="s">
        <v>254</v>
      </c>
      <c r="F33204">
        <v>3350156</v>
      </c>
      <c r="G33204" t="s">
        <v>18238</v>
      </c>
      <c r="H33204" s="21">
        <v>505.17</v>
      </c>
    </row>
    <row r="33205" spans="1:8" customFormat="1" x14ac:dyDescent="0.25">
      <c r="A33205" t="str">
        <f>"2219823"</f>
        <v>2219823</v>
      </c>
      <c r="B33205" t="s">
        <v>21399</v>
      </c>
      <c r="C33205" t="s">
        <v>211</v>
      </c>
      <c r="D33205" s="21" t="s">
        <v>34</v>
      </c>
      <c r="E33205" s="21" t="s">
        <v>35</v>
      </c>
      <c r="F33205">
        <v>3220113</v>
      </c>
      <c r="G33205" t="s">
        <v>26775</v>
      </c>
      <c r="H33205" s="21">
        <v>505.17</v>
      </c>
    </row>
    <row r="33206" spans="1:8" customFormat="1" x14ac:dyDescent="0.25">
      <c r="A33206" t="str">
        <f>"8529045"</f>
        <v>8529045</v>
      </c>
      <c r="B33206" t="s">
        <v>18202</v>
      </c>
      <c r="C33206" t="s">
        <v>817</v>
      </c>
      <c r="D33206" s="21" t="s">
        <v>34</v>
      </c>
      <c r="E33206" s="21" t="s">
        <v>254</v>
      </c>
      <c r="F33206">
        <v>12850126</v>
      </c>
      <c r="G33206" t="s">
        <v>15355</v>
      </c>
      <c r="H33206" s="21">
        <v>505.17</v>
      </c>
    </row>
    <row r="33207" spans="1:8" customFormat="1" x14ac:dyDescent="0.25">
      <c r="A33207" t="str">
        <f>"6232888"</f>
        <v>6232888</v>
      </c>
      <c r="B33207" t="s">
        <v>23289</v>
      </c>
      <c r="C33207" t="s">
        <v>1119</v>
      </c>
      <c r="D33207" s="21" t="s">
        <v>34</v>
      </c>
      <c r="E33207" s="21" t="s">
        <v>71</v>
      </c>
      <c r="F33207">
        <v>7620019</v>
      </c>
      <c r="G33207" t="s">
        <v>723</v>
      </c>
      <c r="H33207" s="21">
        <v>505.17</v>
      </c>
    </row>
    <row r="33208" spans="1:8" customFormat="1" x14ac:dyDescent="0.25">
      <c r="A33208" t="str">
        <f>"324514"</f>
        <v>324514</v>
      </c>
      <c r="B33208" t="s">
        <v>28615</v>
      </c>
      <c r="C33208" t="s">
        <v>60</v>
      </c>
      <c r="D33208" s="21" t="s">
        <v>34</v>
      </c>
      <c r="E33208" s="21" t="s">
        <v>35</v>
      </c>
      <c r="F33208">
        <v>11320005</v>
      </c>
      <c r="G33208" t="s">
        <v>120</v>
      </c>
      <c r="H33208" s="21">
        <v>505.17</v>
      </c>
    </row>
    <row r="33209" spans="1:8" customFormat="1" x14ac:dyDescent="0.25">
      <c r="A33209" t="str">
        <f>"9426763"</f>
        <v>9426763</v>
      </c>
      <c r="B33209" t="s">
        <v>21436</v>
      </c>
      <c r="C33209" t="s">
        <v>21437</v>
      </c>
      <c r="D33209" s="21" t="s">
        <v>34</v>
      </c>
      <c r="E33209" s="21" t="s">
        <v>71</v>
      </c>
      <c r="F33209">
        <v>1690090</v>
      </c>
      <c r="G33209" t="s">
        <v>6286</v>
      </c>
      <c r="H33209" s="21">
        <v>505.17</v>
      </c>
    </row>
    <row r="33210" spans="1:8" customFormat="1" x14ac:dyDescent="0.25">
      <c r="A33210" t="str">
        <f>"4513898"</f>
        <v>4513898</v>
      </c>
      <c r="B33210" t="s">
        <v>8455</v>
      </c>
      <c r="C33210" t="s">
        <v>267</v>
      </c>
      <c r="D33210" s="21" t="s">
        <v>34</v>
      </c>
      <c r="E33210" s="21" t="s">
        <v>254</v>
      </c>
      <c r="F33210">
        <v>4450706</v>
      </c>
      <c r="G33210" t="s">
        <v>4482</v>
      </c>
      <c r="H33210" s="21">
        <v>505.17</v>
      </c>
    </row>
    <row r="33211" spans="1:8" customFormat="1" x14ac:dyDescent="0.25">
      <c r="A33211" t="str">
        <f>"3728654"</f>
        <v>3728654</v>
      </c>
      <c r="B33211" t="s">
        <v>18508</v>
      </c>
      <c r="C33211" t="s">
        <v>33</v>
      </c>
      <c r="D33211" s="21" t="s">
        <v>34</v>
      </c>
      <c r="E33211" s="21" t="s">
        <v>35</v>
      </c>
      <c r="F33211">
        <v>4370289</v>
      </c>
      <c r="G33211" t="s">
        <v>7887</v>
      </c>
      <c r="H33211" s="21">
        <v>505.17</v>
      </c>
    </row>
    <row r="33212" spans="1:8" customFormat="1" x14ac:dyDescent="0.25">
      <c r="A33212" t="str">
        <f>"5967530"</f>
        <v>5967530</v>
      </c>
      <c r="B33212" t="s">
        <v>22488</v>
      </c>
      <c r="C33212" t="s">
        <v>60</v>
      </c>
      <c r="D33212" s="21" t="s">
        <v>34</v>
      </c>
      <c r="E33212" s="21" t="s">
        <v>35</v>
      </c>
      <c r="F33212">
        <v>7590409</v>
      </c>
      <c r="G33212" t="s">
        <v>2228</v>
      </c>
      <c r="H33212" s="21">
        <v>505.17</v>
      </c>
    </row>
    <row r="33213" spans="1:8" customFormat="1" x14ac:dyDescent="0.25">
      <c r="A33213" t="str">
        <f>"3512429"</f>
        <v>3512429</v>
      </c>
      <c r="B33213" t="s">
        <v>1919</v>
      </c>
      <c r="C33213" t="s">
        <v>156</v>
      </c>
      <c r="D33213" s="21" t="s">
        <v>34</v>
      </c>
      <c r="E33213" s="21" t="s">
        <v>6185</v>
      </c>
      <c r="F33213">
        <v>3350095</v>
      </c>
      <c r="G33213" t="s">
        <v>5813</v>
      </c>
      <c r="H33213" s="21">
        <v>505.17</v>
      </c>
    </row>
    <row r="33214" spans="1:8" customFormat="1" x14ac:dyDescent="0.25">
      <c r="A33214" t="str">
        <f>"5018278"</f>
        <v>5018278</v>
      </c>
      <c r="B33214" t="s">
        <v>2405</v>
      </c>
      <c r="C33214" t="s">
        <v>90</v>
      </c>
      <c r="D33214" s="21" t="s">
        <v>34</v>
      </c>
      <c r="E33214" s="21" t="s">
        <v>35</v>
      </c>
      <c r="F33214">
        <v>9500031</v>
      </c>
      <c r="G33214" t="s">
        <v>11126</v>
      </c>
      <c r="H33214" s="21">
        <v>505.17</v>
      </c>
    </row>
    <row r="33215" spans="1:8" customFormat="1" x14ac:dyDescent="0.25">
      <c r="A33215" t="str">
        <f>"9535669"</f>
        <v>9535669</v>
      </c>
      <c r="B33215" t="s">
        <v>22462</v>
      </c>
      <c r="C33215" t="s">
        <v>169</v>
      </c>
      <c r="D33215" s="21" t="s">
        <v>34</v>
      </c>
      <c r="E33215" s="21" t="s">
        <v>71</v>
      </c>
      <c r="F33215">
        <v>8950435</v>
      </c>
      <c r="G33215" t="s">
        <v>6404</v>
      </c>
      <c r="H33215" s="21">
        <v>505.17</v>
      </c>
    </row>
    <row r="33216" spans="1:8" customFormat="1" x14ac:dyDescent="0.25">
      <c r="A33216" t="str">
        <f>"2939090"</f>
        <v>2939090</v>
      </c>
      <c r="B33216" t="s">
        <v>28616</v>
      </c>
      <c r="C33216" t="s">
        <v>87</v>
      </c>
      <c r="D33216" s="21" t="s">
        <v>34</v>
      </c>
      <c r="E33216" s="21" t="s">
        <v>71</v>
      </c>
      <c r="F33216">
        <v>3290215</v>
      </c>
      <c r="G33216" t="s">
        <v>5058</v>
      </c>
      <c r="H33216" s="21">
        <v>505.17</v>
      </c>
    </row>
    <row r="33217" spans="1:8" customFormat="1" x14ac:dyDescent="0.25">
      <c r="A33217" t="str">
        <f>"4212476"</f>
        <v>4212476</v>
      </c>
      <c r="B33217" t="s">
        <v>22008</v>
      </c>
      <c r="C33217" t="s">
        <v>415</v>
      </c>
      <c r="D33217" s="21" t="s">
        <v>34</v>
      </c>
      <c r="E33217" s="21" t="s">
        <v>254</v>
      </c>
      <c r="F33217">
        <v>1420141</v>
      </c>
      <c r="G33217" t="s">
        <v>5190</v>
      </c>
      <c r="H33217" s="21">
        <v>505.17</v>
      </c>
    </row>
    <row r="33218" spans="1:8" customFormat="1" x14ac:dyDescent="0.25">
      <c r="A33218" t="str">
        <f>"4110641"</f>
        <v>4110641</v>
      </c>
      <c r="B33218" t="s">
        <v>2360</v>
      </c>
      <c r="C33218" t="s">
        <v>2365</v>
      </c>
      <c r="D33218" s="21" t="s">
        <v>34</v>
      </c>
      <c r="E33218" s="21" t="s">
        <v>71</v>
      </c>
      <c r="F33218">
        <v>4410724</v>
      </c>
      <c r="G33218" t="s">
        <v>15872</v>
      </c>
      <c r="H33218" s="21">
        <v>505.17</v>
      </c>
    </row>
    <row r="33219" spans="1:8" customFormat="1" x14ac:dyDescent="0.25">
      <c r="A33219" t="str">
        <f>"091685"</f>
        <v>091685</v>
      </c>
      <c r="B33219" t="s">
        <v>24447</v>
      </c>
      <c r="C33219" t="s">
        <v>249</v>
      </c>
      <c r="D33219" s="21" t="s">
        <v>34</v>
      </c>
      <c r="E33219" s="21" t="s">
        <v>35</v>
      </c>
      <c r="F33219">
        <v>11090018</v>
      </c>
      <c r="G33219" t="s">
        <v>24448</v>
      </c>
      <c r="H33219" s="21">
        <v>505.12</v>
      </c>
    </row>
    <row r="33220" spans="1:8" customFormat="1" x14ac:dyDescent="0.25">
      <c r="A33220" t="str">
        <f>"1321806"</f>
        <v>1321806</v>
      </c>
      <c r="B33220" t="s">
        <v>28617</v>
      </c>
      <c r="C33220" t="s">
        <v>926</v>
      </c>
      <c r="D33220" s="21" t="s">
        <v>34</v>
      </c>
      <c r="E33220" s="21" t="s">
        <v>35</v>
      </c>
      <c r="F33220">
        <v>13130067</v>
      </c>
      <c r="G33220" t="s">
        <v>1420</v>
      </c>
      <c r="H33220" s="21">
        <v>505</v>
      </c>
    </row>
    <row r="33221" spans="1:8" customFormat="1" x14ac:dyDescent="0.25">
      <c r="A33221" t="str">
        <f>"7881888"</f>
        <v>7881888</v>
      </c>
      <c r="B33221" t="s">
        <v>11712</v>
      </c>
      <c r="C33221" t="s">
        <v>65</v>
      </c>
      <c r="D33221" s="21" t="s">
        <v>34</v>
      </c>
      <c r="E33221" s="21" t="s">
        <v>35</v>
      </c>
      <c r="F33221">
        <v>8781468</v>
      </c>
      <c r="G33221" t="s">
        <v>27832</v>
      </c>
      <c r="H33221" s="21">
        <v>505</v>
      </c>
    </row>
    <row r="33222" spans="1:8" customFormat="1" x14ac:dyDescent="0.25">
      <c r="A33222" t="str">
        <f>"7729787"</f>
        <v>7729787</v>
      </c>
      <c r="B33222" t="s">
        <v>6792</v>
      </c>
      <c r="C33222" t="s">
        <v>130</v>
      </c>
      <c r="D33222" s="21" t="s">
        <v>34</v>
      </c>
      <c r="E33222" s="21" t="s">
        <v>35</v>
      </c>
      <c r="F33222">
        <v>8771511</v>
      </c>
      <c r="G33222" t="s">
        <v>15221</v>
      </c>
      <c r="H33222" s="21">
        <v>505</v>
      </c>
    </row>
    <row r="33223" spans="1:8" customFormat="1" x14ac:dyDescent="0.25">
      <c r="A33223" t="str">
        <f>"9234872"</f>
        <v>9234872</v>
      </c>
      <c r="B33223" t="s">
        <v>21752</v>
      </c>
      <c r="C33223" t="s">
        <v>269</v>
      </c>
      <c r="D33223" s="21" t="s">
        <v>34</v>
      </c>
      <c r="E33223" s="21" t="s">
        <v>71</v>
      </c>
      <c r="F33223">
        <v>8920067</v>
      </c>
      <c r="G33223" t="s">
        <v>258</v>
      </c>
      <c r="H33223" s="21">
        <v>505</v>
      </c>
    </row>
    <row r="33224" spans="1:8" customFormat="1" x14ac:dyDescent="0.25">
      <c r="A33224" t="str">
        <f>"4522459"</f>
        <v>4522459</v>
      </c>
      <c r="B33224" t="s">
        <v>21382</v>
      </c>
      <c r="C33224" t="s">
        <v>328</v>
      </c>
      <c r="D33224" s="21" t="s">
        <v>34</v>
      </c>
      <c r="E33224" s="21" t="s">
        <v>71</v>
      </c>
      <c r="F33224">
        <v>4450712</v>
      </c>
      <c r="G33224" t="s">
        <v>9449</v>
      </c>
      <c r="H33224" s="21">
        <v>505</v>
      </c>
    </row>
    <row r="33225" spans="1:8" customFormat="1" x14ac:dyDescent="0.25">
      <c r="A33225" t="str">
        <f>"9131333"</f>
        <v>9131333</v>
      </c>
      <c r="B33225" t="s">
        <v>28618</v>
      </c>
      <c r="C33225" t="s">
        <v>169</v>
      </c>
      <c r="D33225" s="21" t="s">
        <v>34</v>
      </c>
      <c r="E33225" s="21" t="s">
        <v>71</v>
      </c>
      <c r="F33225">
        <v>8911206</v>
      </c>
      <c r="G33225" t="s">
        <v>17661</v>
      </c>
      <c r="H33225" s="21">
        <v>505</v>
      </c>
    </row>
    <row r="33226" spans="1:8" customFormat="1" x14ac:dyDescent="0.25">
      <c r="A33226" t="str">
        <f>"9132034"</f>
        <v>9132034</v>
      </c>
      <c r="B33226" t="s">
        <v>1295</v>
      </c>
      <c r="C33226" t="s">
        <v>55</v>
      </c>
      <c r="D33226" s="21" t="s">
        <v>34</v>
      </c>
      <c r="E33226" s="21" t="s">
        <v>254</v>
      </c>
      <c r="F33226">
        <v>8911458</v>
      </c>
      <c r="G33226" t="s">
        <v>16448</v>
      </c>
      <c r="H33226" s="21">
        <v>505</v>
      </c>
    </row>
    <row r="33227" spans="1:8" customFormat="1" x14ac:dyDescent="0.25">
      <c r="A33227" t="str">
        <f>"0110269"</f>
        <v>0110269</v>
      </c>
      <c r="B33227" t="s">
        <v>20845</v>
      </c>
      <c r="C33227" t="s">
        <v>1631</v>
      </c>
      <c r="D33227" s="21" t="s">
        <v>34</v>
      </c>
      <c r="E33227" s="21" t="s">
        <v>254</v>
      </c>
      <c r="F33227">
        <v>1380189</v>
      </c>
      <c r="G33227" t="s">
        <v>8143</v>
      </c>
      <c r="H33227" s="21">
        <v>505</v>
      </c>
    </row>
    <row r="33228" spans="1:8" customFormat="1" x14ac:dyDescent="0.25">
      <c r="A33228" t="str">
        <f>"5015768"</f>
        <v>5015768</v>
      </c>
      <c r="B33228" t="s">
        <v>2291</v>
      </c>
      <c r="C33228" t="s">
        <v>415</v>
      </c>
      <c r="D33228" s="21" t="s">
        <v>34</v>
      </c>
      <c r="E33228" s="21" t="s">
        <v>254</v>
      </c>
      <c r="F33228">
        <v>9500157</v>
      </c>
      <c r="G33228" t="s">
        <v>5074</v>
      </c>
      <c r="H33228" s="21">
        <v>505</v>
      </c>
    </row>
    <row r="33229" spans="1:8" customFormat="1" x14ac:dyDescent="0.25">
      <c r="A33229" t="str">
        <f>"3730247"</f>
        <v>3730247</v>
      </c>
      <c r="B33229" t="s">
        <v>2824</v>
      </c>
      <c r="C33229" t="s">
        <v>285</v>
      </c>
      <c r="D33229" s="21" t="s">
        <v>34</v>
      </c>
      <c r="E33229" s="21" t="s">
        <v>35</v>
      </c>
      <c r="F33229">
        <v>4370349</v>
      </c>
      <c r="G33229" t="s">
        <v>2287</v>
      </c>
      <c r="H33229" s="21">
        <v>505</v>
      </c>
    </row>
    <row r="33230" spans="1:8" customFormat="1" x14ac:dyDescent="0.25">
      <c r="A33230" t="str">
        <f>"2938760"</f>
        <v>2938760</v>
      </c>
      <c r="B33230" t="s">
        <v>12448</v>
      </c>
      <c r="C33230" t="s">
        <v>267</v>
      </c>
      <c r="D33230" s="21" t="s">
        <v>34</v>
      </c>
      <c r="E33230" s="21" t="s">
        <v>254</v>
      </c>
      <c r="F33230">
        <v>3290268</v>
      </c>
      <c r="G33230" t="s">
        <v>9878</v>
      </c>
      <c r="H33230" s="21">
        <v>505</v>
      </c>
    </row>
    <row r="33231" spans="1:8" customFormat="1" x14ac:dyDescent="0.25">
      <c r="A33231" t="str">
        <f>"3426392"</f>
        <v>3426392</v>
      </c>
      <c r="B33231" t="s">
        <v>24145</v>
      </c>
      <c r="C33231" t="s">
        <v>598</v>
      </c>
      <c r="D33231" s="21" t="s">
        <v>34</v>
      </c>
      <c r="E33231" s="21" t="s">
        <v>254</v>
      </c>
      <c r="F33231">
        <v>11340073</v>
      </c>
      <c r="G33231" t="s">
        <v>15005</v>
      </c>
      <c r="H33231" s="21">
        <v>505</v>
      </c>
    </row>
    <row r="33232" spans="1:8" customFormat="1" x14ac:dyDescent="0.25">
      <c r="A33232" t="str">
        <f>"4924199"</f>
        <v>4924199</v>
      </c>
      <c r="B33232" t="s">
        <v>17110</v>
      </c>
      <c r="C33232" t="s">
        <v>253</v>
      </c>
      <c r="D33232" s="21" t="s">
        <v>34</v>
      </c>
      <c r="E33232" s="21" t="s">
        <v>71</v>
      </c>
      <c r="F33232">
        <v>12490014</v>
      </c>
      <c r="G33232" t="s">
        <v>8547</v>
      </c>
      <c r="H33232" s="21">
        <v>505</v>
      </c>
    </row>
    <row r="33233" spans="1:8" customFormat="1" x14ac:dyDescent="0.25">
      <c r="A33233" t="str">
        <f>"5983551"</f>
        <v>5983551</v>
      </c>
      <c r="B33233" t="s">
        <v>2405</v>
      </c>
      <c r="C33233" t="s">
        <v>3522</v>
      </c>
      <c r="D33233" s="21" t="s">
        <v>34</v>
      </c>
      <c r="E33233" s="21" t="s">
        <v>35</v>
      </c>
      <c r="F33233">
        <v>7590044</v>
      </c>
      <c r="G33233" t="s">
        <v>2029</v>
      </c>
      <c r="H33233" s="21">
        <v>505</v>
      </c>
    </row>
    <row r="33234" spans="1:8" customFormat="1" x14ac:dyDescent="0.25">
      <c r="A33234" t="str">
        <f>"3719575"</f>
        <v>3719575</v>
      </c>
      <c r="B33234" t="s">
        <v>12620</v>
      </c>
      <c r="C33234" t="s">
        <v>55</v>
      </c>
      <c r="D33234" s="21" t="s">
        <v>34</v>
      </c>
      <c r="E33234" s="21" t="s">
        <v>71</v>
      </c>
      <c r="F33234">
        <v>4370439</v>
      </c>
      <c r="G33234" t="s">
        <v>2956</v>
      </c>
      <c r="H33234" s="21">
        <v>505</v>
      </c>
    </row>
    <row r="33235" spans="1:8" customFormat="1" x14ac:dyDescent="0.25">
      <c r="A33235" t="str">
        <f>"9147305"</f>
        <v>9147305</v>
      </c>
      <c r="B33235" t="s">
        <v>12929</v>
      </c>
      <c r="C33235" t="s">
        <v>3701</v>
      </c>
      <c r="D33235" s="21" t="s">
        <v>34</v>
      </c>
      <c r="E33235" s="21" t="s">
        <v>35</v>
      </c>
      <c r="F33235">
        <v>8910578</v>
      </c>
      <c r="G33235" t="s">
        <v>5776</v>
      </c>
      <c r="H33235" s="21">
        <v>505</v>
      </c>
    </row>
    <row r="33236" spans="1:8" customFormat="1" x14ac:dyDescent="0.25">
      <c r="A33236" t="str">
        <f>"7217343"</f>
        <v>7217343</v>
      </c>
      <c r="B33236" t="s">
        <v>21963</v>
      </c>
      <c r="C33236" t="s">
        <v>547</v>
      </c>
      <c r="D33236" s="21" t="s">
        <v>34</v>
      </c>
      <c r="E33236" s="21" t="s">
        <v>1089</v>
      </c>
      <c r="F33236">
        <v>12720052</v>
      </c>
      <c r="G33236" t="s">
        <v>9628</v>
      </c>
      <c r="H33236" s="21">
        <v>505</v>
      </c>
    </row>
    <row r="33237" spans="1:8" customFormat="1" x14ac:dyDescent="0.25">
      <c r="A33237" t="str">
        <f>"5326892"</f>
        <v>5326892</v>
      </c>
      <c r="B33237" t="s">
        <v>4352</v>
      </c>
      <c r="C33237" t="s">
        <v>20974</v>
      </c>
      <c r="D33237" s="21" t="s">
        <v>34</v>
      </c>
      <c r="E33237" s="21" t="s">
        <v>254</v>
      </c>
      <c r="F33237">
        <v>12530063</v>
      </c>
      <c r="G33237" t="s">
        <v>4313</v>
      </c>
      <c r="H33237" s="21">
        <v>505</v>
      </c>
    </row>
    <row r="33238" spans="1:8" customFormat="1" x14ac:dyDescent="0.25">
      <c r="A33238" t="str">
        <f>"7522270"</f>
        <v>7522270</v>
      </c>
      <c r="B33238" t="s">
        <v>4649</v>
      </c>
      <c r="C33238" t="s">
        <v>253</v>
      </c>
      <c r="D33238" s="21" t="s">
        <v>34</v>
      </c>
      <c r="E33238" s="21" t="s">
        <v>254</v>
      </c>
      <c r="F33238">
        <v>8751455</v>
      </c>
      <c r="G33238" t="s">
        <v>14280</v>
      </c>
      <c r="H33238" s="21">
        <v>505</v>
      </c>
    </row>
    <row r="33239" spans="1:8" customFormat="1" x14ac:dyDescent="0.25">
      <c r="A33239" t="str">
        <f>"4214762"</f>
        <v>4214762</v>
      </c>
      <c r="B33239" t="s">
        <v>7586</v>
      </c>
      <c r="C33239" t="s">
        <v>415</v>
      </c>
      <c r="D33239" s="21" t="s">
        <v>34</v>
      </c>
      <c r="E33239" s="21" t="s">
        <v>71</v>
      </c>
      <c r="F33239">
        <v>1420152</v>
      </c>
      <c r="G33239" t="s">
        <v>2948</v>
      </c>
      <c r="H33239" s="21">
        <v>505</v>
      </c>
    </row>
    <row r="33240" spans="1:8" customFormat="1" x14ac:dyDescent="0.25">
      <c r="A33240" t="str">
        <f>"2517127"</f>
        <v>2517127</v>
      </c>
      <c r="B33240" t="s">
        <v>25815</v>
      </c>
      <c r="C33240" t="s">
        <v>204</v>
      </c>
      <c r="D33240" s="21" t="s">
        <v>34</v>
      </c>
      <c r="E33240" s="21" t="s">
        <v>35</v>
      </c>
      <c r="F33240">
        <v>2250192</v>
      </c>
      <c r="G33240" t="s">
        <v>14058</v>
      </c>
      <c r="H33240" s="21">
        <v>505</v>
      </c>
    </row>
    <row r="33241" spans="1:8" customFormat="1" x14ac:dyDescent="0.25">
      <c r="A33241" t="str">
        <f>"6219605"</f>
        <v>6219605</v>
      </c>
      <c r="B33241" t="s">
        <v>25470</v>
      </c>
      <c r="C33241" t="s">
        <v>124</v>
      </c>
      <c r="D33241" s="21" t="s">
        <v>34</v>
      </c>
      <c r="E33241" s="21" t="s">
        <v>71</v>
      </c>
      <c r="F33241">
        <v>7620067</v>
      </c>
      <c r="G33241" t="s">
        <v>860</v>
      </c>
      <c r="H33241" s="21">
        <v>505</v>
      </c>
    </row>
    <row r="33242" spans="1:8" customFormat="1" x14ac:dyDescent="0.25">
      <c r="A33242" t="str">
        <f>"4514106"</f>
        <v>4514106</v>
      </c>
      <c r="B33242" t="s">
        <v>23909</v>
      </c>
      <c r="C33242" t="s">
        <v>119</v>
      </c>
      <c r="D33242" s="21" t="s">
        <v>34</v>
      </c>
      <c r="E33242" s="21" t="s">
        <v>71</v>
      </c>
      <c r="F33242">
        <v>2890061</v>
      </c>
      <c r="G33242" t="s">
        <v>13076</v>
      </c>
      <c r="H33242" s="21">
        <v>505</v>
      </c>
    </row>
    <row r="33243" spans="1:8" customFormat="1" x14ac:dyDescent="0.25">
      <c r="A33243" t="str">
        <f>"4936754"</f>
        <v>4936754</v>
      </c>
      <c r="B33243" t="s">
        <v>22731</v>
      </c>
      <c r="C33243" t="s">
        <v>598</v>
      </c>
      <c r="D33243" s="21" t="s">
        <v>34</v>
      </c>
      <c r="E33243" s="21" t="s">
        <v>71</v>
      </c>
      <c r="F33243">
        <v>12490039</v>
      </c>
      <c r="G33243" t="s">
        <v>3453</v>
      </c>
      <c r="H33243" s="21">
        <v>505</v>
      </c>
    </row>
    <row r="33244" spans="1:8" customFormat="1" x14ac:dyDescent="0.25">
      <c r="A33244" t="str">
        <f>"9320757"</f>
        <v>9320757</v>
      </c>
      <c r="B33244" t="s">
        <v>14669</v>
      </c>
      <c r="C33244" t="s">
        <v>206</v>
      </c>
      <c r="D33244" s="21" t="s">
        <v>34</v>
      </c>
      <c r="E33244" s="21" t="s">
        <v>35</v>
      </c>
      <c r="F33244">
        <v>8930024</v>
      </c>
      <c r="G33244" t="s">
        <v>44</v>
      </c>
      <c r="H33244" s="21">
        <v>505</v>
      </c>
    </row>
    <row r="33245" spans="1:8" customFormat="1" x14ac:dyDescent="0.25">
      <c r="A33245" t="str">
        <f>"6022275"</f>
        <v>6022275</v>
      </c>
      <c r="B33245" t="s">
        <v>146</v>
      </c>
      <c r="C33245" t="s">
        <v>130</v>
      </c>
      <c r="D33245" s="21" t="s">
        <v>34</v>
      </c>
      <c r="E33245" s="21" t="s">
        <v>71</v>
      </c>
      <c r="F33245">
        <v>7600169</v>
      </c>
      <c r="G33245" t="s">
        <v>9768</v>
      </c>
      <c r="H33245" s="21">
        <v>505</v>
      </c>
    </row>
    <row r="33246" spans="1:8" customFormat="1" x14ac:dyDescent="0.25">
      <c r="A33246" t="str">
        <f>"726240"</f>
        <v>726240</v>
      </c>
      <c r="B33246" t="s">
        <v>2549</v>
      </c>
      <c r="C33246" t="s">
        <v>40</v>
      </c>
      <c r="D33246" s="21" t="s">
        <v>34</v>
      </c>
      <c r="E33246" s="21" t="s">
        <v>71</v>
      </c>
      <c r="F33246">
        <v>12720006</v>
      </c>
      <c r="G33246" t="s">
        <v>4022</v>
      </c>
      <c r="H33246" s="21">
        <v>504.92</v>
      </c>
    </row>
    <row r="33247" spans="1:8" customFormat="1" x14ac:dyDescent="0.25">
      <c r="A33247" t="str">
        <f>"5315082"</f>
        <v>5315082</v>
      </c>
      <c r="B33247" t="s">
        <v>23791</v>
      </c>
      <c r="C33247" t="s">
        <v>2546</v>
      </c>
      <c r="D33247" s="21" t="s">
        <v>34</v>
      </c>
      <c r="E33247" s="21" t="s">
        <v>71</v>
      </c>
      <c r="F33247">
        <v>12530081</v>
      </c>
      <c r="G33247" t="s">
        <v>13952</v>
      </c>
      <c r="H33247" s="21">
        <v>504.92</v>
      </c>
    </row>
    <row r="33248" spans="1:8" customFormat="1" x14ac:dyDescent="0.25">
      <c r="A33248" t="str">
        <f>"3321812"</f>
        <v>3321812</v>
      </c>
      <c r="B33248" t="s">
        <v>22036</v>
      </c>
      <c r="C33248" t="s">
        <v>114</v>
      </c>
      <c r="D33248" s="21" t="s">
        <v>34</v>
      </c>
      <c r="E33248" s="21" t="s">
        <v>71</v>
      </c>
      <c r="F33248">
        <v>10330125</v>
      </c>
      <c r="G33248" t="s">
        <v>3753</v>
      </c>
      <c r="H33248" s="21">
        <v>504.88</v>
      </c>
    </row>
    <row r="33249" spans="1:8" customFormat="1" x14ac:dyDescent="0.25">
      <c r="A33249" t="str">
        <f>"845051"</f>
        <v>845051</v>
      </c>
      <c r="B33249" t="s">
        <v>5553</v>
      </c>
      <c r="C33249" t="s">
        <v>6374</v>
      </c>
      <c r="D33249" s="21" t="s">
        <v>34</v>
      </c>
      <c r="E33249" s="21" t="s">
        <v>1089</v>
      </c>
      <c r="F33249">
        <v>1260062</v>
      </c>
      <c r="G33249" t="s">
        <v>6156</v>
      </c>
      <c r="H33249" s="21">
        <v>504.75</v>
      </c>
    </row>
    <row r="33250" spans="1:8" customFormat="1" x14ac:dyDescent="0.25">
      <c r="A33250" t="str">
        <f>"2616036"</f>
        <v>2616036</v>
      </c>
      <c r="B33250" t="s">
        <v>24790</v>
      </c>
      <c r="C33250" t="s">
        <v>24791</v>
      </c>
      <c r="D33250" s="21" t="s">
        <v>34</v>
      </c>
      <c r="E33250" s="21" t="s">
        <v>254</v>
      </c>
      <c r="F33250">
        <v>1260065</v>
      </c>
      <c r="G33250" t="s">
        <v>1958</v>
      </c>
      <c r="H33250" s="21">
        <v>504.75</v>
      </c>
    </row>
    <row r="33251" spans="1:8" customFormat="1" x14ac:dyDescent="0.25">
      <c r="A33251" t="str">
        <f>"3327971"</f>
        <v>3327971</v>
      </c>
      <c r="B33251" t="s">
        <v>7468</v>
      </c>
      <c r="C33251" t="s">
        <v>3859</v>
      </c>
      <c r="D33251" s="21" t="s">
        <v>34</v>
      </c>
      <c r="E33251" s="21" t="s">
        <v>35</v>
      </c>
      <c r="F33251">
        <v>10330031</v>
      </c>
      <c r="G33251" t="s">
        <v>2452</v>
      </c>
      <c r="H33251" s="21">
        <v>504.67</v>
      </c>
    </row>
    <row r="33252" spans="1:8" customFormat="1" x14ac:dyDescent="0.25">
      <c r="A33252" t="str">
        <f>"5922633"</f>
        <v>5922633</v>
      </c>
      <c r="B33252" t="s">
        <v>22966</v>
      </c>
      <c r="C33252" t="s">
        <v>209</v>
      </c>
      <c r="D33252" s="21" t="s">
        <v>34</v>
      </c>
      <c r="E33252" s="21" t="s">
        <v>254</v>
      </c>
      <c r="F33252">
        <v>7590173</v>
      </c>
      <c r="G33252" t="s">
        <v>5675</v>
      </c>
      <c r="H33252" s="21">
        <v>504.67</v>
      </c>
    </row>
    <row r="33253" spans="1:8" customFormat="1" x14ac:dyDescent="0.25">
      <c r="A33253" t="str">
        <f>"2216645"</f>
        <v>2216645</v>
      </c>
      <c r="B33253" t="s">
        <v>21757</v>
      </c>
      <c r="C33253" t="s">
        <v>486</v>
      </c>
      <c r="D33253" s="21" t="s">
        <v>34</v>
      </c>
      <c r="E33253" s="21" t="s">
        <v>35</v>
      </c>
      <c r="F33253">
        <v>3220124</v>
      </c>
      <c r="G33253" t="s">
        <v>27347</v>
      </c>
      <c r="H33253" s="21">
        <v>504.67</v>
      </c>
    </row>
    <row r="33254" spans="1:8" customFormat="1" x14ac:dyDescent="0.25">
      <c r="A33254" t="str">
        <f>"6720094"</f>
        <v>6720094</v>
      </c>
      <c r="B33254" t="s">
        <v>970</v>
      </c>
      <c r="C33254" t="s">
        <v>267</v>
      </c>
      <c r="D33254" s="21" t="s">
        <v>34</v>
      </c>
      <c r="E33254" s="21" t="s">
        <v>254</v>
      </c>
      <c r="F33254">
        <v>6670114</v>
      </c>
      <c r="G33254" t="s">
        <v>3084</v>
      </c>
      <c r="H33254" s="21">
        <v>504.67</v>
      </c>
    </row>
    <row r="33255" spans="1:8" customFormat="1" x14ac:dyDescent="0.25">
      <c r="A33255" t="str">
        <f>"8316835"</f>
        <v>8316835</v>
      </c>
      <c r="B33255" t="s">
        <v>1766</v>
      </c>
      <c r="C33255" t="s">
        <v>822</v>
      </c>
      <c r="D33255" s="21" t="s">
        <v>34</v>
      </c>
      <c r="E33255" s="21" t="s">
        <v>254</v>
      </c>
      <c r="F33255">
        <v>13830090</v>
      </c>
      <c r="G33255" t="s">
        <v>1535</v>
      </c>
      <c r="H33255" s="21">
        <v>504.67</v>
      </c>
    </row>
    <row r="33256" spans="1:8" customFormat="1" x14ac:dyDescent="0.25">
      <c r="A33256" t="str">
        <f>"269124"</f>
        <v>269124</v>
      </c>
      <c r="B33256" t="s">
        <v>21640</v>
      </c>
      <c r="C33256" t="s">
        <v>608</v>
      </c>
      <c r="D33256" s="21" t="s">
        <v>34</v>
      </c>
      <c r="E33256" s="21" t="s">
        <v>71</v>
      </c>
      <c r="F33256">
        <v>1260040</v>
      </c>
      <c r="G33256" t="s">
        <v>10768</v>
      </c>
      <c r="H33256" s="21">
        <v>504.67</v>
      </c>
    </row>
    <row r="33257" spans="1:8" customFormat="1" x14ac:dyDescent="0.25">
      <c r="A33257" t="str">
        <f>"632980"</f>
        <v>632980</v>
      </c>
      <c r="B33257" t="s">
        <v>21261</v>
      </c>
      <c r="C33257" t="s">
        <v>2479</v>
      </c>
      <c r="D33257" s="21" t="s">
        <v>34</v>
      </c>
      <c r="E33257" s="21" t="s">
        <v>1089</v>
      </c>
      <c r="F33257">
        <v>1630332</v>
      </c>
      <c r="G33257" t="s">
        <v>27136</v>
      </c>
      <c r="H33257" s="21">
        <v>504.67</v>
      </c>
    </row>
    <row r="33258" spans="1:8" customFormat="1" x14ac:dyDescent="0.25">
      <c r="A33258" t="str">
        <f>"9233911"</f>
        <v>9233911</v>
      </c>
      <c r="B33258" t="s">
        <v>21520</v>
      </c>
      <c r="C33258" t="s">
        <v>130</v>
      </c>
      <c r="D33258" s="21" t="s">
        <v>34</v>
      </c>
      <c r="E33258" s="21" t="s">
        <v>71</v>
      </c>
      <c r="F33258">
        <v>8920066</v>
      </c>
      <c r="G33258" t="s">
        <v>4899</v>
      </c>
      <c r="H33258" s="21">
        <v>504.67</v>
      </c>
    </row>
    <row r="33259" spans="1:8" customFormat="1" x14ac:dyDescent="0.25">
      <c r="A33259" t="str">
        <f>"2933969"</f>
        <v>2933969</v>
      </c>
      <c r="B33259" t="s">
        <v>5562</v>
      </c>
      <c r="C33259" t="s">
        <v>87</v>
      </c>
      <c r="D33259" s="21" t="s">
        <v>34</v>
      </c>
      <c r="E33259" s="21" t="s">
        <v>35</v>
      </c>
      <c r="F33259">
        <v>3290031</v>
      </c>
      <c r="G33259" t="s">
        <v>8207</v>
      </c>
      <c r="H33259" s="21">
        <v>504.67</v>
      </c>
    </row>
    <row r="33260" spans="1:8" customFormat="1" x14ac:dyDescent="0.25">
      <c r="A33260" t="str">
        <f>"0811662"</f>
        <v>0811662</v>
      </c>
      <c r="B33260" t="s">
        <v>6847</v>
      </c>
      <c r="C33260" t="s">
        <v>379</v>
      </c>
      <c r="D33260" s="21" t="s">
        <v>34</v>
      </c>
      <c r="E33260" s="21" t="s">
        <v>254</v>
      </c>
      <c r="F33260">
        <v>6080072</v>
      </c>
      <c r="G33260" t="s">
        <v>6765</v>
      </c>
      <c r="H33260" s="21">
        <v>504.67</v>
      </c>
    </row>
    <row r="33261" spans="1:8" customFormat="1" x14ac:dyDescent="0.25">
      <c r="A33261" t="str">
        <f>"0211960"</f>
        <v>0211960</v>
      </c>
      <c r="B33261" t="s">
        <v>2143</v>
      </c>
      <c r="C33261" t="s">
        <v>198</v>
      </c>
      <c r="D33261" s="21" t="s">
        <v>34</v>
      </c>
      <c r="E33261" s="21" t="s">
        <v>71</v>
      </c>
      <c r="F33261">
        <v>7020040</v>
      </c>
      <c r="G33261" t="s">
        <v>1698</v>
      </c>
      <c r="H33261" s="21">
        <v>504.67</v>
      </c>
    </row>
    <row r="33262" spans="1:8" customFormat="1" x14ac:dyDescent="0.25">
      <c r="A33262" t="str">
        <f>"3719623"</f>
        <v>3719623</v>
      </c>
      <c r="B33262" t="s">
        <v>1462</v>
      </c>
      <c r="C33262" t="s">
        <v>598</v>
      </c>
      <c r="D33262" s="21" t="s">
        <v>34</v>
      </c>
      <c r="E33262" s="21" t="s">
        <v>1089</v>
      </c>
      <c r="F33262">
        <v>4370102</v>
      </c>
      <c r="G33262" t="s">
        <v>10707</v>
      </c>
      <c r="H33262" s="21">
        <v>504.67</v>
      </c>
    </row>
    <row r="33263" spans="1:8" customFormat="1" x14ac:dyDescent="0.25">
      <c r="A33263" t="str">
        <f>"7720958"</f>
        <v>7720958</v>
      </c>
      <c r="B33263" t="s">
        <v>21939</v>
      </c>
      <c r="C33263" t="s">
        <v>1468</v>
      </c>
      <c r="D33263" s="21" t="s">
        <v>34</v>
      </c>
      <c r="E33263" s="21" t="s">
        <v>35</v>
      </c>
      <c r="F33263">
        <v>8771511</v>
      </c>
      <c r="G33263" t="s">
        <v>15221</v>
      </c>
      <c r="H33263" s="21">
        <v>504.67</v>
      </c>
    </row>
    <row r="33264" spans="1:8" customFormat="1" x14ac:dyDescent="0.25">
      <c r="A33264" t="str">
        <f>"257066"</f>
        <v>257066</v>
      </c>
      <c r="B33264" t="s">
        <v>20969</v>
      </c>
      <c r="C33264" t="s">
        <v>547</v>
      </c>
      <c r="D33264" s="21" t="s">
        <v>34</v>
      </c>
      <c r="E33264" s="21" t="s">
        <v>1089</v>
      </c>
      <c r="F33264">
        <v>2250229</v>
      </c>
      <c r="G33264" t="s">
        <v>5004</v>
      </c>
      <c r="H33264" s="21">
        <v>504.67</v>
      </c>
    </row>
    <row r="33265" spans="1:8" customFormat="1" x14ac:dyDescent="0.25">
      <c r="A33265" t="str">
        <f>"5962872"</f>
        <v>5962872</v>
      </c>
      <c r="B33265" t="s">
        <v>22256</v>
      </c>
      <c r="C33265" t="s">
        <v>22257</v>
      </c>
      <c r="D33265" s="21" t="s">
        <v>34</v>
      </c>
      <c r="E33265" s="21" t="s">
        <v>254</v>
      </c>
      <c r="F33265">
        <v>7620049</v>
      </c>
      <c r="G33265" t="s">
        <v>1176</v>
      </c>
      <c r="H33265" s="21">
        <v>504.67</v>
      </c>
    </row>
    <row r="33266" spans="1:8" customFormat="1" x14ac:dyDescent="0.25">
      <c r="A33266" t="str">
        <f>"7728114"</f>
        <v>7728114</v>
      </c>
      <c r="B33266" t="s">
        <v>21720</v>
      </c>
      <c r="C33266" t="s">
        <v>87</v>
      </c>
      <c r="D33266" s="21" t="s">
        <v>34</v>
      </c>
      <c r="E33266" s="21" t="s">
        <v>35</v>
      </c>
      <c r="F33266">
        <v>8770237</v>
      </c>
      <c r="G33266" t="s">
        <v>128</v>
      </c>
      <c r="H33266" s="21">
        <v>504.67</v>
      </c>
    </row>
    <row r="33267" spans="1:8" customFormat="1" x14ac:dyDescent="0.25">
      <c r="A33267" t="str">
        <f>"3828688"</f>
        <v>3828688</v>
      </c>
      <c r="B33267" t="s">
        <v>21693</v>
      </c>
      <c r="C33267" t="s">
        <v>144</v>
      </c>
      <c r="D33267" s="21" t="s">
        <v>34</v>
      </c>
      <c r="E33267" s="21" t="s">
        <v>35</v>
      </c>
      <c r="F33267">
        <v>1380297</v>
      </c>
      <c r="G33267" t="s">
        <v>12031</v>
      </c>
      <c r="H33267" s="21">
        <v>504.67</v>
      </c>
    </row>
    <row r="33268" spans="1:8" customFormat="1" x14ac:dyDescent="0.25">
      <c r="A33268" t="str">
        <f>"1320797"</f>
        <v>1320797</v>
      </c>
      <c r="B33268" t="s">
        <v>24303</v>
      </c>
      <c r="C33268" t="s">
        <v>87</v>
      </c>
      <c r="D33268" s="21" t="s">
        <v>34</v>
      </c>
      <c r="E33268" s="21" t="s">
        <v>35</v>
      </c>
      <c r="F33268">
        <v>13130148</v>
      </c>
      <c r="G33268" t="s">
        <v>12894</v>
      </c>
      <c r="H33268" s="21">
        <v>504.62</v>
      </c>
    </row>
    <row r="33269" spans="1:8" customFormat="1" x14ac:dyDescent="0.25">
      <c r="A33269" t="str">
        <f>"428187"</f>
        <v>428187</v>
      </c>
      <c r="B33269" t="s">
        <v>21049</v>
      </c>
      <c r="C33269" t="s">
        <v>1110</v>
      </c>
      <c r="D33269" s="21" t="s">
        <v>34</v>
      </c>
      <c r="E33269" s="21" t="s">
        <v>254</v>
      </c>
      <c r="F33269">
        <v>1420070</v>
      </c>
      <c r="G33269" t="s">
        <v>27046</v>
      </c>
      <c r="H33269" s="21">
        <v>504.54</v>
      </c>
    </row>
    <row r="33270" spans="1:8" customFormat="1" x14ac:dyDescent="0.25">
      <c r="A33270" t="str">
        <f>"558572"</f>
        <v>558572</v>
      </c>
      <c r="B33270" t="s">
        <v>185</v>
      </c>
      <c r="C33270" t="s">
        <v>621</v>
      </c>
      <c r="D33270" s="21" t="s">
        <v>34</v>
      </c>
      <c r="E33270" s="21" t="s">
        <v>71</v>
      </c>
      <c r="F33270">
        <v>6550003</v>
      </c>
      <c r="G33270" t="s">
        <v>7721</v>
      </c>
      <c r="H33270" s="21">
        <v>504.5</v>
      </c>
    </row>
    <row r="33271" spans="1:8" customFormat="1" x14ac:dyDescent="0.25">
      <c r="A33271" t="str">
        <f>"2517584"</f>
        <v>2517584</v>
      </c>
      <c r="B33271" t="s">
        <v>14361</v>
      </c>
      <c r="C33271" t="s">
        <v>328</v>
      </c>
      <c r="D33271" s="21" t="s">
        <v>34</v>
      </c>
      <c r="E33271" s="21" t="s">
        <v>71</v>
      </c>
      <c r="F33271">
        <v>2250138</v>
      </c>
      <c r="G33271" t="s">
        <v>4094</v>
      </c>
      <c r="H33271" s="21">
        <v>504.5</v>
      </c>
    </row>
    <row r="33272" spans="1:8" customFormat="1" x14ac:dyDescent="0.25">
      <c r="A33272" t="str">
        <f>"2112739"</f>
        <v>2112739</v>
      </c>
      <c r="B33272" t="s">
        <v>12030</v>
      </c>
      <c r="C33272" t="s">
        <v>127</v>
      </c>
      <c r="D33272" s="21" t="s">
        <v>34</v>
      </c>
      <c r="E33272" s="21" t="s">
        <v>35</v>
      </c>
      <c r="F33272">
        <v>2210106</v>
      </c>
      <c r="G33272" t="s">
        <v>8845</v>
      </c>
      <c r="H33272" s="21">
        <v>504.5</v>
      </c>
    </row>
    <row r="33273" spans="1:8" customFormat="1" x14ac:dyDescent="0.25">
      <c r="A33273" t="str">
        <f>"4220309"</f>
        <v>4220309</v>
      </c>
      <c r="B33273" t="s">
        <v>18493</v>
      </c>
      <c r="C33273" t="s">
        <v>169</v>
      </c>
      <c r="D33273" s="21" t="s">
        <v>34</v>
      </c>
      <c r="E33273" s="21" t="s">
        <v>71</v>
      </c>
      <c r="F33273">
        <v>1420070</v>
      </c>
      <c r="G33273" t="s">
        <v>27046</v>
      </c>
      <c r="H33273" s="21">
        <v>504.5</v>
      </c>
    </row>
    <row r="33274" spans="1:8" customFormat="1" x14ac:dyDescent="0.25">
      <c r="A33274" t="str">
        <f>"3537892"</f>
        <v>3537892</v>
      </c>
      <c r="B33274" t="s">
        <v>4740</v>
      </c>
      <c r="C33274" t="s">
        <v>462</v>
      </c>
      <c r="D33274" s="21" t="s">
        <v>34</v>
      </c>
      <c r="E33274" s="21" t="s">
        <v>71</v>
      </c>
      <c r="F33274">
        <v>3350090</v>
      </c>
      <c r="G33274" t="s">
        <v>9659</v>
      </c>
      <c r="H33274" s="21">
        <v>504.5</v>
      </c>
    </row>
    <row r="33275" spans="1:8" customFormat="1" x14ac:dyDescent="0.25">
      <c r="A33275" t="str">
        <f>"3345648"</f>
        <v>3345648</v>
      </c>
      <c r="B33275" t="s">
        <v>3187</v>
      </c>
      <c r="C33275" t="s">
        <v>302</v>
      </c>
      <c r="D33275" s="21" t="s">
        <v>34</v>
      </c>
      <c r="E33275" s="21" t="s">
        <v>254</v>
      </c>
      <c r="F33275">
        <v>10330017</v>
      </c>
      <c r="G33275" t="s">
        <v>2754</v>
      </c>
      <c r="H33275" s="21">
        <v>504.5</v>
      </c>
    </row>
    <row r="33276" spans="1:8" customFormat="1" x14ac:dyDescent="0.25">
      <c r="A33276" t="str">
        <f>"9146354"</f>
        <v>9146354</v>
      </c>
      <c r="B33276" t="s">
        <v>28619</v>
      </c>
      <c r="C33276" t="s">
        <v>65</v>
      </c>
      <c r="D33276" s="21" t="s">
        <v>34</v>
      </c>
      <c r="E33276" s="21" t="s">
        <v>35</v>
      </c>
      <c r="F33276">
        <v>8911464</v>
      </c>
      <c r="G33276" t="s">
        <v>17832</v>
      </c>
      <c r="H33276" s="21">
        <v>504.5</v>
      </c>
    </row>
    <row r="33277" spans="1:8" customFormat="1" x14ac:dyDescent="0.25">
      <c r="A33277" t="str">
        <f>"5620464"</f>
        <v>5620464</v>
      </c>
      <c r="B33277" t="s">
        <v>8086</v>
      </c>
      <c r="C33277" t="s">
        <v>269</v>
      </c>
      <c r="D33277" s="21" t="s">
        <v>34</v>
      </c>
      <c r="E33277" s="21" t="s">
        <v>35</v>
      </c>
      <c r="F33277">
        <v>3560066</v>
      </c>
      <c r="G33277" t="s">
        <v>1156</v>
      </c>
      <c r="H33277" s="21">
        <v>504.5</v>
      </c>
    </row>
    <row r="33278" spans="1:8" customFormat="1" x14ac:dyDescent="0.25">
      <c r="A33278" t="str">
        <f>"3427201"</f>
        <v>3427201</v>
      </c>
      <c r="B33278" t="s">
        <v>28620</v>
      </c>
      <c r="C33278" t="s">
        <v>576</v>
      </c>
      <c r="D33278" s="21" t="s">
        <v>34</v>
      </c>
      <c r="E33278" s="21" t="s">
        <v>35</v>
      </c>
      <c r="F33278">
        <v>11340060</v>
      </c>
      <c r="G33278" t="s">
        <v>1275</v>
      </c>
      <c r="H33278" s="21">
        <v>504.5</v>
      </c>
    </row>
    <row r="33279" spans="1:8" customFormat="1" x14ac:dyDescent="0.25">
      <c r="A33279" t="str">
        <f>"309886"</f>
        <v>309886</v>
      </c>
      <c r="B33279" t="s">
        <v>4684</v>
      </c>
      <c r="C33279" t="s">
        <v>60</v>
      </c>
      <c r="D33279" s="21" t="s">
        <v>34</v>
      </c>
      <c r="E33279" s="21" t="s">
        <v>71</v>
      </c>
      <c r="F33279">
        <v>11300019</v>
      </c>
      <c r="G33279" t="s">
        <v>27201</v>
      </c>
      <c r="H33279" s="21">
        <v>504.5</v>
      </c>
    </row>
    <row r="33280" spans="1:8" customFormat="1" x14ac:dyDescent="0.25">
      <c r="A33280" t="str">
        <f>"4456293"</f>
        <v>4456293</v>
      </c>
      <c r="B33280" t="s">
        <v>3930</v>
      </c>
      <c r="C33280" t="s">
        <v>750</v>
      </c>
      <c r="D33280" s="21" t="s">
        <v>34</v>
      </c>
      <c r="E33280" s="21" t="s">
        <v>35</v>
      </c>
      <c r="F33280">
        <v>12440066</v>
      </c>
      <c r="G33280" t="s">
        <v>7602</v>
      </c>
      <c r="H33280" s="21">
        <v>504.5</v>
      </c>
    </row>
    <row r="33281" spans="1:8" customFormat="1" x14ac:dyDescent="0.25">
      <c r="A33281" t="str">
        <f>"036565"</f>
        <v>036565</v>
      </c>
      <c r="B33281" t="s">
        <v>23034</v>
      </c>
      <c r="C33281" t="s">
        <v>267</v>
      </c>
      <c r="D33281" s="21" t="s">
        <v>34</v>
      </c>
      <c r="E33281" s="21" t="s">
        <v>254</v>
      </c>
      <c r="F33281">
        <v>1030310</v>
      </c>
      <c r="G33281" t="s">
        <v>13666</v>
      </c>
      <c r="H33281" s="21">
        <v>504.5</v>
      </c>
    </row>
    <row r="33282" spans="1:8" customFormat="1" x14ac:dyDescent="0.25">
      <c r="A33282" t="str">
        <f>"8526161"</f>
        <v>8526161</v>
      </c>
      <c r="B33282" t="s">
        <v>24513</v>
      </c>
      <c r="C33282" t="s">
        <v>151</v>
      </c>
      <c r="D33282" s="21" t="s">
        <v>34</v>
      </c>
      <c r="E33282" s="21" t="s">
        <v>71</v>
      </c>
      <c r="F33282">
        <v>12850046</v>
      </c>
      <c r="G33282" t="s">
        <v>3136</v>
      </c>
      <c r="H33282" s="21">
        <v>504.5</v>
      </c>
    </row>
    <row r="33283" spans="1:8" customFormat="1" x14ac:dyDescent="0.25">
      <c r="A33283" t="str">
        <f>"7216572"</f>
        <v>7216572</v>
      </c>
      <c r="B33283" t="s">
        <v>392</v>
      </c>
      <c r="C33283" t="s">
        <v>608</v>
      </c>
      <c r="D33283" s="21" t="s">
        <v>34</v>
      </c>
      <c r="E33283" s="21" t="s">
        <v>71</v>
      </c>
      <c r="F33283">
        <v>12720092</v>
      </c>
      <c r="G33283" t="s">
        <v>13214</v>
      </c>
      <c r="H33283" s="21">
        <v>504.5</v>
      </c>
    </row>
    <row r="33284" spans="1:8" customFormat="1" x14ac:dyDescent="0.25">
      <c r="A33284" t="str">
        <f>"1717457"</f>
        <v>1717457</v>
      </c>
      <c r="B33284" t="s">
        <v>13529</v>
      </c>
      <c r="C33284" t="s">
        <v>151</v>
      </c>
      <c r="D33284" s="21" t="s">
        <v>34</v>
      </c>
      <c r="E33284" s="21" t="s">
        <v>71</v>
      </c>
      <c r="F33284">
        <v>10170064</v>
      </c>
      <c r="G33284" t="s">
        <v>1900</v>
      </c>
      <c r="H33284" s="21">
        <v>504.5</v>
      </c>
    </row>
    <row r="33285" spans="1:8" customFormat="1" x14ac:dyDescent="0.25">
      <c r="A33285" t="str">
        <f>"3537736"</f>
        <v>3537736</v>
      </c>
      <c r="B33285" t="s">
        <v>650</v>
      </c>
      <c r="C33285" t="s">
        <v>49</v>
      </c>
      <c r="D33285" s="21" t="s">
        <v>34</v>
      </c>
      <c r="E33285" s="21" t="s">
        <v>35</v>
      </c>
      <c r="F33285">
        <v>3350125</v>
      </c>
      <c r="G33285" t="s">
        <v>16195</v>
      </c>
      <c r="H33285" s="21">
        <v>504.5</v>
      </c>
    </row>
    <row r="33286" spans="1:8" customFormat="1" x14ac:dyDescent="0.25">
      <c r="A33286" t="str">
        <f>"367390"</f>
        <v>367390</v>
      </c>
      <c r="B33286" t="s">
        <v>10286</v>
      </c>
      <c r="C33286" t="s">
        <v>156</v>
      </c>
      <c r="D33286" s="21" t="s">
        <v>34</v>
      </c>
      <c r="E33286" s="21" t="s">
        <v>254</v>
      </c>
      <c r="F33286">
        <v>4360340</v>
      </c>
      <c r="G33286" t="s">
        <v>14132</v>
      </c>
      <c r="H33286" s="21">
        <v>504.5</v>
      </c>
    </row>
    <row r="33287" spans="1:8" customFormat="1" x14ac:dyDescent="0.25">
      <c r="A33287" t="str">
        <f>"4422597"</f>
        <v>4422597</v>
      </c>
      <c r="B33287" t="s">
        <v>8146</v>
      </c>
      <c r="C33287" t="s">
        <v>4751</v>
      </c>
      <c r="D33287" s="21" t="s">
        <v>34</v>
      </c>
      <c r="E33287" s="21" t="s">
        <v>71</v>
      </c>
      <c r="F33287">
        <v>12440049</v>
      </c>
      <c r="G33287" t="s">
        <v>3339</v>
      </c>
      <c r="H33287" s="21">
        <v>504.5</v>
      </c>
    </row>
    <row r="33288" spans="1:8" customFormat="1" x14ac:dyDescent="0.25">
      <c r="A33288" t="str">
        <f>"5970583"</f>
        <v>5970583</v>
      </c>
      <c r="B33288" t="s">
        <v>3307</v>
      </c>
      <c r="C33288" t="s">
        <v>486</v>
      </c>
      <c r="D33288" s="21" t="s">
        <v>34</v>
      </c>
      <c r="E33288" s="21" t="s">
        <v>71</v>
      </c>
      <c r="F33288">
        <v>7590023</v>
      </c>
      <c r="G33288" t="s">
        <v>7058</v>
      </c>
      <c r="H33288" s="21">
        <v>504.5</v>
      </c>
    </row>
    <row r="33289" spans="1:8" customFormat="1" x14ac:dyDescent="0.25">
      <c r="A33289" t="str">
        <f>"1321103"</f>
        <v>1321103</v>
      </c>
      <c r="B33289" t="s">
        <v>6440</v>
      </c>
      <c r="C33289" t="s">
        <v>33</v>
      </c>
      <c r="D33289" s="21" t="s">
        <v>34</v>
      </c>
      <c r="E33289" s="21" t="s">
        <v>35</v>
      </c>
      <c r="F33289">
        <v>13130022</v>
      </c>
      <c r="G33289" t="s">
        <v>2666</v>
      </c>
      <c r="H33289" s="21">
        <v>504.5</v>
      </c>
    </row>
    <row r="33290" spans="1:8" customFormat="1" x14ac:dyDescent="0.25">
      <c r="A33290" t="str">
        <f>"6724729"</f>
        <v>6724729</v>
      </c>
      <c r="B33290" t="s">
        <v>28621</v>
      </c>
      <c r="C33290" t="s">
        <v>28622</v>
      </c>
      <c r="D33290" s="21" t="s">
        <v>34</v>
      </c>
      <c r="E33290" s="21" t="s">
        <v>254</v>
      </c>
      <c r="F33290">
        <v>6670178</v>
      </c>
      <c r="G33290" t="s">
        <v>10001</v>
      </c>
      <c r="H33290" s="21">
        <v>504.5</v>
      </c>
    </row>
    <row r="33291" spans="1:8" customFormat="1" x14ac:dyDescent="0.25">
      <c r="A33291" t="str">
        <f>"2938617"</f>
        <v>2938617</v>
      </c>
      <c r="B33291" t="s">
        <v>24726</v>
      </c>
      <c r="C33291" t="s">
        <v>415</v>
      </c>
      <c r="D33291" s="21" t="s">
        <v>34</v>
      </c>
      <c r="E33291" s="21" t="s">
        <v>254</v>
      </c>
      <c r="F33291">
        <v>3290268</v>
      </c>
      <c r="G33291" t="s">
        <v>9878</v>
      </c>
      <c r="H33291" s="21">
        <v>504.5</v>
      </c>
    </row>
    <row r="33292" spans="1:8" customFormat="1" x14ac:dyDescent="0.25">
      <c r="A33292" t="str">
        <f>"5325331"</f>
        <v>5325331</v>
      </c>
      <c r="B33292" t="s">
        <v>5961</v>
      </c>
      <c r="C33292" t="s">
        <v>43</v>
      </c>
      <c r="D33292" s="21" t="s">
        <v>34</v>
      </c>
      <c r="E33292" s="21" t="s">
        <v>35</v>
      </c>
      <c r="F33292">
        <v>12530121</v>
      </c>
      <c r="G33292" t="s">
        <v>16301</v>
      </c>
      <c r="H33292" s="21">
        <v>504.5</v>
      </c>
    </row>
    <row r="33293" spans="1:8" customFormat="1" x14ac:dyDescent="0.25">
      <c r="A33293" t="str">
        <f>"7513521"</f>
        <v>7513521</v>
      </c>
      <c r="B33293" t="s">
        <v>21652</v>
      </c>
      <c r="C33293" t="s">
        <v>415</v>
      </c>
      <c r="D33293" s="21" t="s">
        <v>34</v>
      </c>
      <c r="E33293" s="21" t="s">
        <v>71</v>
      </c>
      <c r="F33293">
        <v>8750292</v>
      </c>
      <c r="G33293" t="s">
        <v>9069</v>
      </c>
      <c r="H33293" s="21">
        <v>504.42</v>
      </c>
    </row>
    <row r="33294" spans="1:8" customFormat="1" x14ac:dyDescent="0.25">
      <c r="A33294" t="str">
        <f>"189331"</f>
        <v>189331</v>
      </c>
      <c r="B33294" t="s">
        <v>6844</v>
      </c>
      <c r="C33294" t="s">
        <v>1146</v>
      </c>
      <c r="D33294" s="21" t="s">
        <v>34</v>
      </c>
      <c r="E33294" s="21" t="s">
        <v>71</v>
      </c>
      <c r="F33294">
        <v>4180682</v>
      </c>
      <c r="G33294" t="s">
        <v>5261</v>
      </c>
      <c r="H33294" s="21">
        <v>504.38</v>
      </c>
    </row>
    <row r="33295" spans="1:8" customFormat="1" x14ac:dyDescent="0.25">
      <c r="A33295" t="str">
        <f>"6021703"</f>
        <v>6021703</v>
      </c>
      <c r="B33295" t="s">
        <v>23760</v>
      </c>
      <c r="C33295" t="s">
        <v>812</v>
      </c>
      <c r="D33295" s="21" t="s">
        <v>34</v>
      </c>
      <c r="E33295" s="21" t="s">
        <v>35</v>
      </c>
      <c r="F33295">
        <v>7600004</v>
      </c>
      <c r="G33295" t="s">
        <v>848</v>
      </c>
      <c r="H33295" s="21">
        <v>504.17</v>
      </c>
    </row>
    <row r="33296" spans="1:8" customFormat="1" x14ac:dyDescent="0.25">
      <c r="A33296" t="str">
        <f>"847687"</f>
        <v>847687</v>
      </c>
      <c r="B33296" t="s">
        <v>20611</v>
      </c>
      <c r="C33296" t="s">
        <v>2276</v>
      </c>
      <c r="D33296" s="21" t="s">
        <v>34</v>
      </c>
      <c r="E33296" s="21" t="s">
        <v>254</v>
      </c>
      <c r="F33296">
        <v>13840038</v>
      </c>
      <c r="G33296" t="s">
        <v>8931</v>
      </c>
      <c r="H33296" s="21">
        <v>504.17</v>
      </c>
    </row>
    <row r="33297" spans="1:8" customFormat="1" x14ac:dyDescent="0.25">
      <c r="A33297" t="str">
        <f>"5621644"</f>
        <v>5621644</v>
      </c>
      <c r="B33297" t="s">
        <v>24190</v>
      </c>
      <c r="C33297" t="s">
        <v>33</v>
      </c>
      <c r="D33297" s="21" t="s">
        <v>34</v>
      </c>
      <c r="E33297" s="21" t="s">
        <v>35</v>
      </c>
      <c r="F33297">
        <v>3560025</v>
      </c>
      <c r="G33297" t="s">
        <v>14020</v>
      </c>
      <c r="H33297" s="21">
        <v>504.17</v>
      </c>
    </row>
    <row r="33298" spans="1:8" customFormat="1" x14ac:dyDescent="0.25">
      <c r="A33298" t="str">
        <f>"5020564"</f>
        <v>5020564</v>
      </c>
      <c r="B33298" t="s">
        <v>5463</v>
      </c>
      <c r="C33298" t="s">
        <v>33</v>
      </c>
      <c r="D33298" s="21" t="s">
        <v>34</v>
      </c>
      <c r="E33298" s="21" t="s">
        <v>35</v>
      </c>
      <c r="F33298">
        <v>9500112</v>
      </c>
      <c r="G33298" t="s">
        <v>1668</v>
      </c>
      <c r="H33298" s="21">
        <v>504.17</v>
      </c>
    </row>
    <row r="33299" spans="1:8" customFormat="1" x14ac:dyDescent="0.25">
      <c r="A33299" t="str">
        <f>"2934838"</f>
        <v>2934838</v>
      </c>
      <c r="B33299" t="s">
        <v>9353</v>
      </c>
      <c r="C33299" t="s">
        <v>98</v>
      </c>
      <c r="D33299" s="21" t="s">
        <v>34</v>
      </c>
      <c r="E33299" s="21" t="s">
        <v>35</v>
      </c>
      <c r="F33299">
        <v>3290274</v>
      </c>
      <c r="G33299" t="s">
        <v>11751</v>
      </c>
      <c r="H33299" s="21">
        <v>504.17</v>
      </c>
    </row>
    <row r="33300" spans="1:8" customFormat="1" x14ac:dyDescent="0.25">
      <c r="A33300" t="str">
        <f>"7627781"</f>
        <v>7627781</v>
      </c>
      <c r="B33300" t="s">
        <v>21859</v>
      </c>
      <c r="C33300" t="s">
        <v>3905</v>
      </c>
      <c r="D33300" s="21" t="s">
        <v>34</v>
      </c>
      <c r="E33300" s="21" t="s">
        <v>6185</v>
      </c>
      <c r="F33300">
        <v>9760011</v>
      </c>
      <c r="G33300" t="s">
        <v>2562</v>
      </c>
      <c r="H33300" s="21">
        <v>504.17</v>
      </c>
    </row>
    <row r="33301" spans="1:8" customFormat="1" x14ac:dyDescent="0.25">
      <c r="A33301" t="str">
        <f>"636821"</f>
        <v>636821</v>
      </c>
      <c r="B33301" t="s">
        <v>17639</v>
      </c>
      <c r="C33301" t="s">
        <v>598</v>
      </c>
      <c r="D33301" s="21" t="s">
        <v>34</v>
      </c>
      <c r="E33301" s="21" t="s">
        <v>1089</v>
      </c>
      <c r="F33301">
        <v>1630009</v>
      </c>
      <c r="G33301" t="s">
        <v>6021</v>
      </c>
      <c r="H33301" s="21">
        <v>504.17</v>
      </c>
    </row>
    <row r="33302" spans="1:8" customFormat="1" x14ac:dyDescent="0.25">
      <c r="A33302" t="str">
        <f>"2516295"</f>
        <v>2516295</v>
      </c>
      <c r="B33302" t="s">
        <v>1347</v>
      </c>
      <c r="C33302" t="s">
        <v>1142</v>
      </c>
      <c r="D33302" s="21" t="s">
        <v>34</v>
      </c>
      <c r="E33302" s="21" t="s">
        <v>254</v>
      </c>
      <c r="F33302">
        <v>2250016</v>
      </c>
      <c r="G33302" t="s">
        <v>1709</v>
      </c>
      <c r="H33302" s="21">
        <v>504.17</v>
      </c>
    </row>
    <row r="33303" spans="1:8" customFormat="1" x14ac:dyDescent="0.25">
      <c r="A33303" t="str">
        <f>"2938642"</f>
        <v>2938642</v>
      </c>
      <c r="B33303" t="s">
        <v>9639</v>
      </c>
      <c r="C33303" t="s">
        <v>262</v>
      </c>
      <c r="D33303" s="21" t="s">
        <v>34</v>
      </c>
      <c r="E33303" s="21" t="s">
        <v>35</v>
      </c>
      <c r="F33303">
        <v>3290087</v>
      </c>
      <c r="G33303" t="s">
        <v>364</v>
      </c>
      <c r="H33303" s="21">
        <v>504.17</v>
      </c>
    </row>
    <row r="33304" spans="1:8" customFormat="1" x14ac:dyDescent="0.25">
      <c r="A33304" t="str">
        <f>"941003"</f>
        <v>941003</v>
      </c>
      <c r="B33304" t="s">
        <v>2198</v>
      </c>
      <c r="C33304" t="s">
        <v>547</v>
      </c>
      <c r="D33304" s="21" t="s">
        <v>34</v>
      </c>
      <c r="E33304" s="21" t="s">
        <v>1089</v>
      </c>
      <c r="F33304">
        <v>8940894</v>
      </c>
      <c r="G33304" t="s">
        <v>481</v>
      </c>
      <c r="H33304" s="21">
        <v>504.12</v>
      </c>
    </row>
    <row r="33305" spans="1:8" customFormat="1" x14ac:dyDescent="0.25">
      <c r="A33305" t="str">
        <f>"4112093"</f>
        <v>4112093</v>
      </c>
      <c r="B33305" t="s">
        <v>2690</v>
      </c>
      <c r="C33305" t="s">
        <v>239</v>
      </c>
      <c r="D33305" s="21" t="s">
        <v>34</v>
      </c>
      <c r="E33305" s="21" t="s">
        <v>254</v>
      </c>
      <c r="F33305">
        <v>4410466</v>
      </c>
      <c r="G33305" t="s">
        <v>678</v>
      </c>
      <c r="H33305" s="21">
        <v>504.12</v>
      </c>
    </row>
    <row r="33306" spans="1:8" customFormat="1" x14ac:dyDescent="0.25">
      <c r="A33306" t="str">
        <f>"3013385"</f>
        <v>3013385</v>
      </c>
      <c r="B33306" t="s">
        <v>20595</v>
      </c>
      <c r="C33306" t="s">
        <v>412</v>
      </c>
      <c r="D33306" s="21" t="s">
        <v>34</v>
      </c>
      <c r="E33306" s="21" t="s">
        <v>254</v>
      </c>
      <c r="F33306">
        <v>11300023</v>
      </c>
      <c r="G33306" t="s">
        <v>2679</v>
      </c>
      <c r="H33306" s="21">
        <v>504</v>
      </c>
    </row>
    <row r="33307" spans="1:8" customFormat="1" x14ac:dyDescent="0.25">
      <c r="A33307" t="str">
        <f>"451358"</f>
        <v>451358</v>
      </c>
      <c r="B33307" t="s">
        <v>9048</v>
      </c>
      <c r="C33307" t="s">
        <v>1110</v>
      </c>
      <c r="D33307" s="21" t="s">
        <v>34</v>
      </c>
      <c r="E33307" s="21" t="s">
        <v>1089</v>
      </c>
      <c r="F33307">
        <v>4450410</v>
      </c>
      <c r="G33307" t="s">
        <v>26525</v>
      </c>
      <c r="H33307" s="21">
        <v>504</v>
      </c>
    </row>
    <row r="33308" spans="1:8" customFormat="1" x14ac:dyDescent="0.25">
      <c r="A33308" t="str">
        <f>"858694"</f>
        <v>858694</v>
      </c>
      <c r="B33308" t="s">
        <v>907</v>
      </c>
      <c r="C33308" t="s">
        <v>1142</v>
      </c>
      <c r="D33308" s="21" t="s">
        <v>34</v>
      </c>
      <c r="E33308" s="21" t="s">
        <v>71</v>
      </c>
      <c r="F33308">
        <v>12850162</v>
      </c>
      <c r="G33308" t="s">
        <v>15095</v>
      </c>
      <c r="H33308" s="21">
        <v>504</v>
      </c>
    </row>
    <row r="33309" spans="1:8" customFormat="1" x14ac:dyDescent="0.25">
      <c r="A33309" t="str">
        <f>"905026"</f>
        <v>905026</v>
      </c>
      <c r="B33309" t="s">
        <v>23799</v>
      </c>
      <c r="C33309" t="s">
        <v>171</v>
      </c>
      <c r="D33309" s="21" t="s">
        <v>34</v>
      </c>
      <c r="E33309" s="21" t="s">
        <v>71</v>
      </c>
      <c r="F33309">
        <v>2900003</v>
      </c>
      <c r="G33309" t="s">
        <v>1742</v>
      </c>
      <c r="H33309" s="21">
        <v>504</v>
      </c>
    </row>
    <row r="33310" spans="1:8" customFormat="1" x14ac:dyDescent="0.25">
      <c r="A33310" t="str">
        <f>"7718283"</f>
        <v>7718283</v>
      </c>
      <c r="B33310" t="s">
        <v>4244</v>
      </c>
      <c r="C33310" t="s">
        <v>453</v>
      </c>
      <c r="D33310" s="21" t="s">
        <v>34</v>
      </c>
      <c r="E33310" s="21" t="s">
        <v>254</v>
      </c>
      <c r="F33310">
        <v>8770489</v>
      </c>
      <c r="G33310" t="s">
        <v>1763</v>
      </c>
      <c r="H33310" s="21">
        <v>504</v>
      </c>
    </row>
    <row r="33311" spans="1:8" customFormat="1" x14ac:dyDescent="0.25">
      <c r="A33311" t="str">
        <f>"9423159"</f>
        <v>9423159</v>
      </c>
      <c r="B33311" t="s">
        <v>22022</v>
      </c>
      <c r="C33311" t="s">
        <v>119</v>
      </c>
      <c r="D33311" s="21" t="s">
        <v>34</v>
      </c>
      <c r="E33311" s="21" t="s">
        <v>35</v>
      </c>
      <c r="F33311">
        <v>8940052</v>
      </c>
      <c r="G33311" t="s">
        <v>190</v>
      </c>
      <c r="H33311" s="21">
        <v>504</v>
      </c>
    </row>
    <row r="33312" spans="1:8" customFormat="1" x14ac:dyDescent="0.25">
      <c r="A33312" t="str">
        <f>"6230540"</f>
        <v>6230540</v>
      </c>
      <c r="B33312" t="s">
        <v>22679</v>
      </c>
      <c r="C33312" t="s">
        <v>486</v>
      </c>
      <c r="D33312" s="21" t="s">
        <v>34</v>
      </c>
      <c r="E33312" s="21" t="s">
        <v>35</v>
      </c>
      <c r="F33312">
        <v>7620112</v>
      </c>
      <c r="G33312" t="s">
        <v>5663</v>
      </c>
      <c r="H33312" s="21">
        <v>504</v>
      </c>
    </row>
    <row r="33313" spans="1:8" customFormat="1" x14ac:dyDescent="0.25">
      <c r="A33313" t="str">
        <f>"5979533"</f>
        <v>5979533</v>
      </c>
      <c r="B33313" t="s">
        <v>5501</v>
      </c>
      <c r="C33313" t="s">
        <v>28623</v>
      </c>
      <c r="D33313" s="21" t="s">
        <v>34</v>
      </c>
      <c r="E33313" s="21" t="s">
        <v>35</v>
      </c>
      <c r="F33313">
        <v>7590131</v>
      </c>
      <c r="G33313" t="s">
        <v>6300</v>
      </c>
      <c r="H33313" s="21">
        <v>504</v>
      </c>
    </row>
    <row r="33314" spans="1:8" customFormat="1" x14ac:dyDescent="0.25">
      <c r="A33314" t="str">
        <f>"5327139"</f>
        <v>5327139</v>
      </c>
      <c r="B33314" t="s">
        <v>28624</v>
      </c>
      <c r="C33314" t="s">
        <v>87</v>
      </c>
      <c r="D33314" s="21" t="s">
        <v>34</v>
      </c>
      <c r="E33314" s="21" t="s">
        <v>35</v>
      </c>
      <c r="F33314">
        <v>12530059</v>
      </c>
      <c r="G33314" t="s">
        <v>4062</v>
      </c>
      <c r="H33314" s="21">
        <v>504</v>
      </c>
    </row>
    <row r="33315" spans="1:8" customFormat="1" x14ac:dyDescent="0.25">
      <c r="A33315" t="str">
        <f>"879570"</f>
        <v>879570</v>
      </c>
      <c r="B33315" t="s">
        <v>765</v>
      </c>
      <c r="C33315" t="s">
        <v>87</v>
      </c>
      <c r="D33315" s="21" t="s">
        <v>34</v>
      </c>
      <c r="E33315" s="21" t="s">
        <v>35</v>
      </c>
      <c r="F33315">
        <v>10870028</v>
      </c>
      <c r="G33315" t="s">
        <v>2689</v>
      </c>
      <c r="H33315" s="21">
        <v>504</v>
      </c>
    </row>
    <row r="33316" spans="1:8" customFormat="1" x14ac:dyDescent="0.25">
      <c r="A33316" t="str">
        <f>"6113010"</f>
        <v>6113010</v>
      </c>
      <c r="B33316" t="s">
        <v>28625</v>
      </c>
      <c r="C33316" t="s">
        <v>1782</v>
      </c>
      <c r="D33316" s="21" t="s">
        <v>34</v>
      </c>
      <c r="E33316" s="21" t="s">
        <v>35</v>
      </c>
      <c r="F33316">
        <v>9610011</v>
      </c>
      <c r="G33316" t="s">
        <v>6031</v>
      </c>
      <c r="H33316" s="21">
        <v>504</v>
      </c>
    </row>
    <row r="33317" spans="1:8" customFormat="1" x14ac:dyDescent="0.25">
      <c r="A33317" t="str">
        <f>"9447787"</f>
        <v>9447787</v>
      </c>
      <c r="B33317" t="s">
        <v>10015</v>
      </c>
      <c r="C33317" t="s">
        <v>415</v>
      </c>
      <c r="D33317" s="21" t="s">
        <v>34</v>
      </c>
      <c r="E33317" s="21" t="s">
        <v>35</v>
      </c>
      <c r="F33317">
        <v>8940524</v>
      </c>
      <c r="G33317" t="s">
        <v>6176</v>
      </c>
      <c r="H33317" s="21">
        <v>504</v>
      </c>
    </row>
    <row r="33318" spans="1:8" customFormat="1" x14ac:dyDescent="0.25">
      <c r="A33318" t="str">
        <f>"1318472"</f>
        <v>1318472</v>
      </c>
      <c r="B33318" t="s">
        <v>24557</v>
      </c>
      <c r="C33318" t="s">
        <v>40</v>
      </c>
      <c r="D33318" s="21" t="s">
        <v>34</v>
      </c>
      <c r="E33318" s="21" t="s">
        <v>71</v>
      </c>
      <c r="F33318">
        <v>13130164</v>
      </c>
      <c r="G33318" t="s">
        <v>15351</v>
      </c>
      <c r="H33318" s="21">
        <v>504</v>
      </c>
    </row>
    <row r="33319" spans="1:8" customFormat="1" x14ac:dyDescent="0.25">
      <c r="A33319" t="str">
        <f>"6023991"</f>
        <v>6023991</v>
      </c>
      <c r="B33319" t="s">
        <v>28626</v>
      </c>
      <c r="C33319" t="s">
        <v>3905</v>
      </c>
      <c r="D33319" s="21" t="s">
        <v>34</v>
      </c>
      <c r="E33319" s="21" t="s">
        <v>254</v>
      </c>
      <c r="F33319">
        <v>7600167</v>
      </c>
      <c r="G33319" t="s">
        <v>12431</v>
      </c>
      <c r="H33319" s="21">
        <v>504</v>
      </c>
    </row>
    <row r="33320" spans="1:8" customFormat="1" x14ac:dyDescent="0.25">
      <c r="A33320" t="str">
        <f>"9147910"</f>
        <v>9147910</v>
      </c>
      <c r="B33320" t="s">
        <v>28627</v>
      </c>
      <c r="C33320" t="s">
        <v>1782</v>
      </c>
      <c r="D33320" s="21" t="s">
        <v>34</v>
      </c>
      <c r="E33320" s="21" t="s">
        <v>35</v>
      </c>
      <c r="F33320">
        <v>8910303</v>
      </c>
      <c r="G33320" t="s">
        <v>1244</v>
      </c>
      <c r="H33320" s="21">
        <v>504</v>
      </c>
    </row>
    <row r="33321" spans="1:8" customFormat="1" x14ac:dyDescent="0.25">
      <c r="A33321" t="str">
        <f>"8529071"</f>
        <v>8529071</v>
      </c>
      <c r="B33321" t="s">
        <v>13732</v>
      </c>
      <c r="C33321" t="s">
        <v>40</v>
      </c>
      <c r="D33321" s="21" t="s">
        <v>34</v>
      </c>
      <c r="E33321" s="21" t="s">
        <v>254</v>
      </c>
      <c r="F33321">
        <v>12850170</v>
      </c>
      <c r="G33321" t="s">
        <v>3349</v>
      </c>
      <c r="H33321" s="21">
        <v>504</v>
      </c>
    </row>
    <row r="33322" spans="1:8" customFormat="1" x14ac:dyDescent="0.25">
      <c r="A33322" t="str">
        <f>"9451068"</f>
        <v>9451068</v>
      </c>
      <c r="B33322" t="s">
        <v>2983</v>
      </c>
      <c r="C33322" t="s">
        <v>23948</v>
      </c>
      <c r="D33322" s="21" t="s">
        <v>34</v>
      </c>
      <c r="E33322" s="21" t="s">
        <v>35</v>
      </c>
      <c r="F33322">
        <v>8940012</v>
      </c>
      <c r="G33322" t="s">
        <v>1648</v>
      </c>
      <c r="H33322" s="21">
        <v>504</v>
      </c>
    </row>
    <row r="33323" spans="1:8" customFormat="1" x14ac:dyDescent="0.25">
      <c r="A33323" t="str">
        <f>"3727297"</f>
        <v>3727297</v>
      </c>
      <c r="B33323" t="s">
        <v>24706</v>
      </c>
      <c r="C33323" t="s">
        <v>55</v>
      </c>
      <c r="D33323" s="21" t="s">
        <v>34</v>
      </c>
      <c r="E33323" s="21" t="s">
        <v>71</v>
      </c>
      <c r="F33323">
        <v>4370442</v>
      </c>
      <c r="G33323" t="s">
        <v>7869</v>
      </c>
      <c r="H33323" s="21">
        <v>504</v>
      </c>
    </row>
    <row r="33324" spans="1:8" customFormat="1" x14ac:dyDescent="0.25">
      <c r="A33324" t="str">
        <f>"707016"</f>
        <v>707016</v>
      </c>
      <c r="B33324" t="s">
        <v>6320</v>
      </c>
      <c r="C33324" t="s">
        <v>204</v>
      </c>
      <c r="D33324" s="21" t="s">
        <v>34</v>
      </c>
      <c r="E33324" s="21" t="s">
        <v>71</v>
      </c>
      <c r="F33324">
        <v>2700075</v>
      </c>
      <c r="G33324" t="s">
        <v>10511</v>
      </c>
      <c r="H33324" s="21">
        <v>504</v>
      </c>
    </row>
    <row r="33325" spans="1:8" customFormat="1" x14ac:dyDescent="0.25">
      <c r="A33325" t="str">
        <f>"8615661"</f>
        <v>8615661</v>
      </c>
      <c r="B33325" t="s">
        <v>28628</v>
      </c>
      <c r="C33325" t="s">
        <v>40</v>
      </c>
      <c r="D33325" s="21" t="s">
        <v>34</v>
      </c>
      <c r="E33325" s="21" t="s">
        <v>71</v>
      </c>
      <c r="F33325">
        <v>10860234</v>
      </c>
      <c r="G33325" t="s">
        <v>1966</v>
      </c>
      <c r="H33325" s="21">
        <v>504</v>
      </c>
    </row>
    <row r="33326" spans="1:8" customFormat="1" x14ac:dyDescent="0.25">
      <c r="A33326" t="str">
        <f>"9147866"</f>
        <v>9147866</v>
      </c>
      <c r="B33326" t="s">
        <v>23257</v>
      </c>
      <c r="C33326" t="s">
        <v>60</v>
      </c>
      <c r="D33326" s="21" t="s">
        <v>34</v>
      </c>
      <c r="E33326" s="21" t="s">
        <v>35</v>
      </c>
      <c r="F33326">
        <v>8911323</v>
      </c>
      <c r="G33326" t="s">
        <v>555</v>
      </c>
      <c r="H33326" s="21">
        <v>504</v>
      </c>
    </row>
    <row r="33327" spans="1:8" customFormat="1" x14ac:dyDescent="0.25">
      <c r="A33327" t="str">
        <f>"1614154"</f>
        <v>1614154</v>
      </c>
      <c r="B33327" t="s">
        <v>7201</v>
      </c>
      <c r="C33327" t="s">
        <v>462</v>
      </c>
      <c r="D33327" s="21" t="s">
        <v>34</v>
      </c>
      <c r="E33327" s="21" t="s">
        <v>35</v>
      </c>
      <c r="F33327">
        <v>10160002</v>
      </c>
      <c r="G33327" t="s">
        <v>15000</v>
      </c>
      <c r="H33327" s="21">
        <v>504</v>
      </c>
    </row>
    <row r="33328" spans="1:8" customFormat="1" x14ac:dyDescent="0.25">
      <c r="A33328" t="str">
        <f>"218783"</f>
        <v>218783</v>
      </c>
      <c r="B33328" t="s">
        <v>1048</v>
      </c>
      <c r="C33328" t="s">
        <v>246</v>
      </c>
      <c r="D33328" s="21" t="s">
        <v>34</v>
      </c>
      <c r="E33328" s="21" t="s">
        <v>254</v>
      </c>
      <c r="F33328">
        <v>2210029</v>
      </c>
      <c r="G33328" t="s">
        <v>6983</v>
      </c>
      <c r="H33328" s="21">
        <v>504</v>
      </c>
    </row>
    <row r="33329" spans="1:8" customFormat="1" x14ac:dyDescent="0.25">
      <c r="A33329" t="str">
        <f>"6316878"</f>
        <v>6316878</v>
      </c>
      <c r="B33329" t="s">
        <v>28629</v>
      </c>
      <c r="C33329" t="s">
        <v>37</v>
      </c>
      <c r="D33329" s="21" t="s">
        <v>34</v>
      </c>
      <c r="E33329" s="21" t="s">
        <v>35</v>
      </c>
      <c r="F33329">
        <v>1630327</v>
      </c>
      <c r="G33329" t="s">
        <v>13353</v>
      </c>
      <c r="H33329" s="21">
        <v>504</v>
      </c>
    </row>
    <row r="33330" spans="1:8" customFormat="1" x14ac:dyDescent="0.25">
      <c r="A33330" t="str">
        <f>"5429772"</f>
        <v>5429772</v>
      </c>
      <c r="B33330" t="s">
        <v>20909</v>
      </c>
      <c r="C33330" t="s">
        <v>2907</v>
      </c>
      <c r="D33330" s="21" t="s">
        <v>34</v>
      </c>
      <c r="E33330" s="21" t="s">
        <v>254</v>
      </c>
      <c r="F33330">
        <v>13840045</v>
      </c>
      <c r="G33330" t="s">
        <v>11703</v>
      </c>
      <c r="H33330" s="21">
        <v>504</v>
      </c>
    </row>
    <row r="33331" spans="1:8" customFormat="1" x14ac:dyDescent="0.25">
      <c r="A33331" t="str">
        <f>"7628288"</f>
        <v>7628288</v>
      </c>
      <c r="B33331" t="s">
        <v>24372</v>
      </c>
      <c r="C33331" t="s">
        <v>267</v>
      </c>
      <c r="D33331" s="21" t="s">
        <v>34</v>
      </c>
      <c r="E33331" s="21" t="s">
        <v>254</v>
      </c>
      <c r="F33331">
        <v>9760025</v>
      </c>
      <c r="G33331" t="s">
        <v>2620</v>
      </c>
      <c r="H33331" s="21">
        <v>504</v>
      </c>
    </row>
    <row r="33332" spans="1:8" customFormat="1" x14ac:dyDescent="0.25">
      <c r="A33332" t="str">
        <f>"7623157"</f>
        <v>7623157</v>
      </c>
      <c r="B33332" t="s">
        <v>23832</v>
      </c>
      <c r="C33332" t="s">
        <v>2384</v>
      </c>
      <c r="D33332" s="21" t="s">
        <v>34</v>
      </c>
      <c r="E33332" s="21" t="s">
        <v>35</v>
      </c>
      <c r="F33332">
        <v>9760457</v>
      </c>
      <c r="G33332" t="s">
        <v>6912</v>
      </c>
      <c r="H33332" s="21">
        <v>504</v>
      </c>
    </row>
    <row r="33333" spans="1:8" customFormat="1" x14ac:dyDescent="0.25">
      <c r="A33333" t="str">
        <f>"1423248"</f>
        <v>1423248</v>
      </c>
      <c r="B33333" t="s">
        <v>6678</v>
      </c>
      <c r="C33333" t="s">
        <v>9895</v>
      </c>
      <c r="D33333" s="21" t="s">
        <v>34</v>
      </c>
      <c r="E33333" s="21" t="s">
        <v>35</v>
      </c>
      <c r="F33333">
        <v>9140235</v>
      </c>
      <c r="G33333" t="s">
        <v>165</v>
      </c>
      <c r="H33333" s="21">
        <v>504</v>
      </c>
    </row>
    <row r="33334" spans="1:8" customFormat="1" x14ac:dyDescent="0.25">
      <c r="A33334" t="str">
        <f>"7721274"</f>
        <v>7721274</v>
      </c>
      <c r="B33334" t="s">
        <v>21270</v>
      </c>
      <c r="C33334" t="s">
        <v>209</v>
      </c>
      <c r="D33334" s="21" t="s">
        <v>34</v>
      </c>
      <c r="E33334" s="21" t="s">
        <v>71</v>
      </c>
      <c r="F33334">
        <v>8770895</v>
      </c>
      <c r="G33334" t="s">
        <v>4795</v>
      </c>
      <c r="H33334" s="21">
        <v>504</v>
      </c>
    </row>
    <row r="33335" spans="1:8" customFormat="1" x14ac:dyDescent="0.25">
      <c r="A33335" t="str">
        <f>"758887"</f>
        <v>758887</v>
      </c>
      <c r="B33335" t="s">
        <v>5026</v>
      </c>
      <c r="C33335" t="s">
        <v>4842</v>
      </c>
      <c r="D33335" s="21" t="s">
        <v>34</v>
      </c>
      <c r="E33335" s="21" t="s">
        <v>254</v>
      </c>
      <c r="F33335">
        <v>8750100</v>
      </c>
      <c r="G33335" t="s">
        <v>10521</v>
      </c>
      <c r="H33335" s="21">
        <v>503.92</v>
      </c>
    </row>
    <row r="33336" spans="1:8" customFormat="1" x14ac:dyDescent="0.25">
      <c r="A33336" t="str">
        <f>"9537566"</f>
        <v>9537566</v>
      </c>
      <c r="B33336" t="s">
        <v>9238</v>
      </c>
      <c r="C33336" t="s">
        <v>28630</v>
      </c>
      <c r="D33336" s="21" t="s">
        <v>34</v>
      </c>
      <c r="E33336" s="21" t="s">
        <v>35</v>
      </c>
      <c r="F33336">
        <v>8951386</v>
      </c>
      <c r="G33336" t="s">
        <v>7765</v>
      </c>
      <c r="H33336" s="21">
        <v>503.88</v>
      </c>
    </row>
    <row r="33337" spans="1:8" customFormat="1" x14ac:dyDescent="0.25">
      <c r="A33337" t="str">
        <f>"504922"</f>
        <v>504922</v>
      </c>
      <c r="B33337" t="s">
        <v>20872</v>
      </c>
      <c r="C33337" t="s">
        <v>3648</v>
      </c>
      <c r="D33337" s="21" t="s">
        <v>34</v>
      </c>
      <c r="E33337" s="21" t="s">
        <v>1089</v>
      </c>
      <c r="F33337">
        <v>9500131</v>
      </c>
      <c r="G33337" t="s">
        <v>1073</v>
      </c>
      <c r="H33337" s="21">
        <v>503.79</v>
      </c>
    </row>
    <row r="33338" spans="1:8" customFormat="1" x14ac:dyDescent="0.25">
      <c r="A33338" t="str">
        <f>"4528185"</f>
        <v>4528185</v>
      </c>
      <c r="B33338" t="s">
        <v>28631</v>
      </c>
      <c r="C33338" t="s">
        <v>236</v>
      </c>
      <c r="D33338" s="21" t="s">
        <v>34</v>
      </c>
      <c r="E33338" s="21" t="s">
        <v>35</v>
      </c>
      <c r="F33338">
        <v>4450059</v>
      </c>
      <c r="G33338" t="s">
        <v>16170</v>
      </c>
      <c r="H33338" s="21">
        <v>503.75</v>
      </c>
    </row>
    <row r="33339" spans="1:8" customFormat="1" x14ac:dyDescent="0.25">
      <c r="A33339" t="str">
        <f>"9212534"</f>
        <v>9212534</v>
      </c>
      <c r="B33339" t="s">
        <v>9442</v>
      </c>
      <c r="C33339" t="s">
        <v>114</v>
      </c>
      <c r="D33339" s="21" t="s">
        <v>34</v>
      </c>
      <c r="E33339" s="21" t="s">
        <v>71</v>
      </c>
      <c r="F33339">
        <v>8940459</v>
      </c>
      <c r="G33339" t="s">
        <v>743</v>
      </c>
      <c r="H33339" s="21">
        <v>503.75</v>
      </c>
    </row>
    <row r="33340" spans="1:8" customFormat="1" x14ac:dyDescent="0.25">
      <c r="A33340" t="str">
        <f>"4931950"</f>
        <v>4931950</v>
      </c>
      <c r="B33340" t="s">
        <v>8280</v>
      </c>
      <c r="C33340" t="s">
        <v>119</v>
      </c>
      <c r="D33340" s="21" t="s">
        <v>34</v>
      </c>
      <c r="E33340" s="21" t="s">
        <v>71</v>
      </c>
      <c r="F33340">
        <v>12490080</v>
      </c>
      <c r="G33340" t="s">
        <v>5692</v>
      </c>
      <c r="H33340" s="21">
        <v>503.67</v>
      </c>
    </row>
    <row r="33341" spans="1:8" customFormat="1" x14ac:dyDescent="0.25">
      <c r="A33341" t="str">
        <f>"5429708"</f>
        <v>5429708</v>
      </c>
      <c r="B33341" t="s">
        <v>13147</v>
      </c>
      <c r="C33341" t="s">
        <v>109</v>
      </c>
      <c r="D33341" s="21" t="s">
        <v>34</v>
      </c>
      <c r="E33341" s="21" t="s">
        <v>35</v>
      </c>
      <c r="F33341">
        <v>6540194</v>
      </c>
      <c r="G33341" t="s">
        <v>7171</v>
      </c>
      <c r="H33341" s="21">
        <v>503.67</v>
      </c>
    </row>
    <row r="33342" spans="1:8" customFormat="1" x14ac:dyDescent="0.25">
      <c r="A33342" t="str">
        <f>"9213311"</f>
        <v>9213311</v>
      </c>
      <c r="B33342" t="s">
        <v>28632</v>
      </c>
      <c r="C33342" t="s">
        <v>8442</v>
      </c>
      <c r="D33342" s="21" t="s">
        <v>34</v>
      </c>
      <c r="E33342" s="21" t="s">
        <v>71</v>
      </c>
      <c r="F33342">
        <v>8921256</v>
      </c>
      <c r="G33342" t="s">
        <v>1038</v>
      </c>
      <c r="H33342" s="21">
        <v>503.67</v>
      </c>
    </row>
    <row r="33343" spans="1:8" customFormat="1" x14ac:dyDescent="0.25">
      <c r="A33343" t="str">
        <f>"5977874"</f>
        <v>5977874</v>
      </c>
      <c r="B33343" t="s">
        <v>2761</v>
      </c>
      <c r="C33343" t="s">
        <v>1410</v>
      </c>
      <c r="D33343" s="21" t="s">
        <v>34</v>
      </c>
      <c r="E33343" s="21" t="s">
        <v>35</v>
      </c>
      <c r="F33343">
        <v>7590336</v>
      </c>
      <c r="G33343" t="s">
        <v>2341</v>
      </c>
      <c r="H33343" s="21">
        <v>503.67</v>
      </c>
    </row>
    <row r="33344" spans="1:8" customFormat="1" x14ac:dyDescent="0.25">
      <c r="A33344" t="str">
        <f>"5313696"</f>
        <v>5313696</v>
      </c>
      <c r="B33344" t="s">
        <v>20665</v>
      </c>
      <c r="C33344" t="s">
        <v>55</v>
      </c>
      <c r="D33344" s="21" t="s">
        <v>34</v>
      </c>
      <c r="E33344" s="21" t="s">
        <v>71</v>
      </c>
      <c r="F33344">
        <v>12530096</v>
      </c>
      <c r="G33344" t="s">
        <v>8595</v>
      </c>
      <c r="H33344" s="21">
        <v>503.67</v>
      </c>
    </row>
    <row r="33345" spans="1:8" customFormat="1" x14ac:dyDescent="0.25">
      <c r="A33345" t="str">
        <f>"4937091"</f>
        <v>4937091</v>
      </c>
      <c r="B33345" t="s">
        <v>22741</v>
      </c>
      <c r="C33345" t="s">
        <v>415</v>
      </c>
      <c r="D33345" s="21" t="s">
        <v>34</v>
      </c>
      <c r="E33345" s="21" t="s">
        <v>35</v>
      </c>
      <c r="F33345">
        <v>12490017</v>
      </c>
      <c r="G33345" t="s">
        <v>9393</v>
      </c>
      <c r="H33345" s="21">
        <v>503.67</v>
      </c>
    </row>
    <row r="33346" spans="1:8" customFormat="1" x14ac:dyDescent="0.25">
      <c r="A33346" t="str">
        <f>"6313245"</f>
        <v>6313245</v>
      </c>
      <c r="B33346" t="s">
        <v>1886</v>
      </c>
      <c r="C33346" t="s">
        <v>285</v>
      </c>
      <c r="D33346" s="21" t="s">
        <v>34</v>
      </c>
      <c r="E33346" s="21" t="s">
        <v>35</v>
      </c>
      <c r="F33346">
        <v>1630298</v>
      </c>
      <c r="G33346" t="s">
        <v>7247</v>
      </c>
      <c r="H33346" s="21">
        <v>503.67</v>
      </c>
    </row>
    <row r="33347" spans="1:8" customFormat="1" x14ac:dyDescent="0.25">
      <c r="A33347" t="str">
        <f>"7710294"</f>
        <v>7710294</v>
      </c>
      <c r="B33347" t="s">
        <v>21490</v>
      </c>
      <c r="C33347" t="s">
        <v>239</v>
      </c>
      <c r="D33347" s="21" t="s">
        <v>34</v>
      </c>
      <c r="E33347" s="21" t="s">
        <v>71</v>
      </c>
      <c r="F33347">
        <v>8770895</v>
      </c>
      <c r="G33347" t="s">
        <v>4795</v>
      </c>
      <c r="H33347" s="21">
        <v>503.67</v>
      </c>
    </row>
    <row r="33348" spans="1:8" customFormat="1" x14ac:dyDescent="0.25">
      <c r="A33348" t="str">
        <f>"5983727"</f>
        <v>5983727</v>
      </c>
      <c r="B33348" t="s">
        <v>9386</v>
      </c>
      <c r="C33348" t="s">
        <v>33</v>
      </c>
      <c r="D33348" s="21" t="s">
        <v>34</v>
      </c>
      <c r="E33348" s="21" t="s">
        <v>35</v>
      </c>
      <c r="F33348">
        <v>7590080</v>
      </c>
      <c r="G33348" t="s">
        <v>1715</v>
      </c>
      <c r="H33348" s="21">
        <v>503.67</v>
      </c>
    </row>
    <row r="33349" spans="1:8" customFormat="1" x14ac:dyDescent="0.25">
      <c r="A33349" t="str">
        <f>"941371"</f>
        <v>941371</v>
      </c>
      <c r="B33349" t="s">
        <v>765</v>
      </c>
      <c r="C33349" t="s">
        <v>453</v>
      </c>
      <c r="D33349" s="21" t="s">
        <v>34</v>
      </c>
      <c r="E33349" s="21" t="s">
        <v>1089</v>
      </c>
      <c r="F33349">
        <v>8940894</v>
      </c>
      <c r="G33349" t="s">
        <v>481</v>
      </c>
      <c r="H33349" s="21">
        <v>503.67</v>
      </c>
    </row>
    <row r="33350" spans="1:8" customFormat="1" x14ac:dyDescent="0.25">
      <c r="A33350" t="str">
        <f>"5324348"</f>
        <v>5324348</v>
      </c>
      <c r="B33350" t="s">
        <v>21727</v>
      </c>
      <c r="C33350" t="s">
        <v>253</v>
      </c>
      <c r="D33350" s="21" t="s">
        <v>34</v>
      </c>
      <c r="E33350" s="21" t="s">
        <v>71</v>
      </c>
      <c r="F33350">
        <v>12530038</v>
      </c>
      <c r="G33350" t="s">
        <v>4955</v>
      </c>
      <c r="H33350" s="21">
        <v>503.67</v>
      </c>
    </row>
    <row r="33351" spans="1:8" customFormat="1" x14ac:dyDescent="0.25">
      <c r="A33351" t="str">
        <f>"7730648"</f>
        <v>7730648</v>
      </c>
      <c r="B33351" t="s">
        <v>582</v>
      </c>
      <c r="C33351" t="s">
        <v>293</v>
      </c>
      <c r="D33351" s="21" t="s">
        <v>34</v>
      </c>
      <c r="E33351" s="21" t="s">
        <v>71</v>
      </c>
      <c r="F33351">
        <v>8771516</v>
      </c>
      <c r="G33351" t="s">
        <v>7155</v>
      </c>
      <c r="H33351" s="21">
        <v>503.67</v>
      </c>
    </row>
    <row r="33352" spans="1:8" customFormat="1" x14ac:dyDescent="0.25">
      <c r="A33352" t="str">
        <f>"3427103"</f>
        <v>3427103</v>
      </c>
      <c r="B33352" t="s">
        <v>770</v>
      </c>
      <c r="C33352" t="s">
        <v>43</v>
      </c>
      <c r="D33352" s="21" t="s">
        <v>34</v>
      </c>
      <c r="E33352" s="21" t="s">
        <v>35</v>
      </c>
      <c r="F33352">
        <v>11340065</v>
      </c>
      <c r="G33352" t="s">
        <v>2022</v>
      </c>
      <c r="H33352" s="21">
        <v>503.67</v>
      </c>
    </row>
    <row r="33353" spans="1:8" customFormat="1" x14ac:dyDescent="0.25">
      <c r="A33353" t="str">
        <f>"2939414"</f>
        <v>2939414</v>
      </c>
      <c r="B33353" t="s">
        <v>8971</v>
      </c>
      <c r="C33353" t="s">
        <v>598</v>
      </c>
      <c r="D33353" s="21" t="s">
        <v>34</v>
      </c>
      <c r="E33353" s="21" t="s">
        <v>254</v>
      </c>
      <c r="F33353">
        <v>3290232</v>
      </c>
      <c r="G33353" t="s">
        <v>9588</v>
      </c>
      <c r="H33353" s="21">
        <v>503.67</v>
      </c>
    </row>
    <row r="33354" spans="1:8" customFormat="1" x14ac:dyDescent="0.25">
      <c r="A33354" t="str">
        <f>"5319274"</f>
        <v>5319274</v>
      </c>
      <c r="B33354" t="s">
        <v>13271</v>
      </c>
      <c r="C33354" t="s">
        <v>82</v>
      </c>
      <c r="D33354" s="21" t="s">
        <v>34</v>
      </c>
      <c r="E33354" s="21" t="s">
        <v>35</v>
      </c>
      <c r="F33354">
        <v>12530147</v>
      </c>
      <c r="G33354" t="s">
        <v>1851</v>
      </c>
      <c r="H33354" s="21">
        <v>503.67</v>
      </c>
    </row>
    <row r="33355" spans="1:8" customFormat="1" x14ac:dyDescent="0.25">
      <c r="A33355" t="str">
        <f>"9445735"</f>
        <v>9445735</v>
      </c>
      <c r="B33355" t="s">
        <v>24535</v>
      </c>
      <c r="C33355" t="s">
        <v>3905</v>
      </c>
      <c r="D33355" s="21" t="s">
        <v>34</v>
      </c>
      <c r="E33355" s="21" t="s">
        <v>254</v>
      </c>
      <c r="F33355">
        <v>8940326</v>
      </c>
      <c r="G33355" t="s">
        <v>659</v>
      </c>
      <c r="H33355" s="21">
        <v>503.67</v>
      </c>
    </row>
    <row r="33356" spans="1:8" customFormat="1" x14ac:dyDescent="0.25">
      <c r="A33356" t="str">
        <f>"665984"</f>
        <v>665984</v>
      </c>
      <c r="B33356" t="s">
        <v>503</v>
      </c>
      <c r="C33356" t="s">
        <v>1468</v>
      </c>
      <c r="D33356" s="21" t="s">
        <v>34</v>
      </c>
      <c r="E33356" s="21" t="s">
        <v>35</v>
      </c>
      <c r="F33356">
        <v>11660011</v>
      </c>
      <c r="G33356" t="s">
        <v>4641</v>
      </c>
      <c r="H33356" s="21">
        <v>503.62</v>
      </c>
    </row>
    <row r="33357" spans="1:8" customFormat="1" x14ac:dyDescent="0.25">
      <c r="A33357" t="str">
        <f>"2217619"</f>
        <v>2217619</v>
      </c>
      <c r="B33357" t="s">
        <v>21885</v>
      </c>
      <c r="C33357" t="s">
        <v>21886</v>
      </c>
      <c r="D33357" s="21" t="s">
        <v>34</v>
      </c>
      <c r="E33357" s="21" t="s">
        <v>71</v>
      </c>
      <c r="F33357">
        <v>3220123</v>
      </c>
      <c r="G33357" t="s">
        <v>26953</v>
      </c>
      <c r="H33357" s="21">
        <v>503.5</v>
      </c>
    </row>
    <row r="33358" spans="1:8" customFormat="1" x14ac:dyDescent="0.25">
      <c r="A33358" t="str">
        <f>"6113037"</f>
        <v>6113037</v>
      </c>
      <c r="B33358" t="s">
        <v>18898</v>
      </c>
      <c r="C33358" t="s">
        <v>285</v>
      </c>
      <c r="D33358" s="21" t="s">
        <v>34</v>
      </c>
      <c r="E33358" s="21" t="s">
        <v>35</v>
      </c>
      <c r="F33358">
        <v>9610104</v>
      </c>
      <c r="G33358" t="s">
        <v>7197</v>
      </c>
      <c r="H33358" s="21">
        <v>503.5</v>
      </c>
    </row>
    <row r="33359" spans="1:8" customFormat="1" x14ac:dyDescent="0.25">
      <c r="A33359" t="str">
        <f>"7730739"</f>
        <v>7730739</v>
      </c>
      <c r="B33359" t="s">
        <v>23198</v>
      </c>
      <c r="C33359" t="s">
        <v>576</v>
      </c>
      <c r="D33359" s="21" t="s">
        <v>34</v>
      </c>
      <c r="E33359" s="21" t="s">
        <v>35</v>
      </c>
      <c r="F33359">
        <v>8771314</v>
      </c>
      <c r="G33359" t="s">
        <v>14172</v>
      </c>
      <c r="H33359" s="21">
        <v>503.5</v>
      </c>
    </row>
    <row r="33360" spans="1:8" customFormat="1" x14ac:dyDescent="0.25">
      <c r="A33360" t="str">
        <f>"6921494"</f>
        <v>6921494</v>
      </c>
      <c r="B33360" t="s">
        <v>5431</v>
      </c>
      <c r="C33360" t="s">
        <v>453</v>
      </c>
      <c r="D33360" s="21" t="s">
        <v>34</v>
      </c>
      <c r="E33360" s="21" t="s">
        <v>254</v>
      </c>
      <c r="F33360">
        <v>1690030</v>
      </c>
      <c r="G33360" t="s">
        <v>432</v>
      </c>
      <c r="H33360" s="21">
        <v>503.5</v>
      </c>
    </row>
    <row r="33361" spans="1:8" customFormat="1" x14ac:dyDescent="0.25">
      <c r="A33361" t="str">
        <f>"2617107"</f>
        <v>2617107</v>
      </c>
      <c r="B33361" t="s">
        <v>22368</v>
      </c>
      <c r="C33361" t="s">
        <v>3648</v>
      </c>
      <c r="D33361" s="21" t="s">
        <v>34</v>
      </c>
      <c r="E33361" s="21" t="s">
        <v>254</v>
      </c>
      <c r="F33361">
        <v>1260071</v>
      </c>
      <c r="G33361" t="s">
        <v>798</v>
      </c>
      <c r="H33361" s="21">
        <v>503.5</v>
      </c>
    </row>
    <row r="33362" spans="1:8" customFormat="1" x14ac:dyDescent="0.25">
      <c r="A33362" t="str">
        <f>"2217694"</f>
        <v>2217694</v>
      </c>
      <c r="B33362" t="s">
        <v>5682</v>
      </c>
      <c r="C33362" t="s">
        <v>4842</v>
      </c>
      <c r="D33362" s="21" t="s">
        <v>34</v>
      </c>
      <c r="E33362" s="21" t="s">
        <v>71</v>
      </c>
      <c r="F33362">
        <v>3220127</v>
      </c>
      <c r="G33362" t="s">
        <v>26652</v>
      </c>
      <c r="H33362" s="21">
        <v>503.5</v>
      </c>
    </row>
    <row r="33363" spans="1:8" customFormat="1" x14ac:dyDescent="0.25">
      <c r="A33363" t="str">
        <f>"9535092"</f>
        <v>9535092</v>
      </c>
      <c r="B33363" t="s">
        <v>12740</v>
      </c>
      <c r="C33363" t="s">
        <v>2730</v>
      </c>
      <c r="D33363" s="21" t="s">
        <v>34</v>
      </c>
      <c r="E33363" s="21" t="s">
        <v>6185</v>
      </c>
      <c r="F33363">
        <v>8950330</v>
      </c>
      <c r="G33363" t="s">
        <v>794</v>
      </c>
      <c r="H33363" s="21">
        <v>503.5</v>
      </c>
    </row>
    <row r="33364" spans="1:8" customFormat="1" x14ac:dyDescent="0.25">
      <c r="A33364" t="str">
        <f>"3728653"</f>
        <v>3728653</v>
      </c>
      <c r="B33364" t="s">
        <v>22406</v>
      </c>
      <c r="C33364" t="s">
        <v>65</v>
      </c>
      <c r="D33364" s="21" t="s">
        <v>34</v>
      </c>
      <c r="E33364" s="21" t="s">
        <v>35</v>
      </c>
      <c r="F33364">
        <v>4370289</v>
      </c>
      <c r="G33364" t="s">
        <v>7887</v>
      </c>
      <c r="H33364" s="21">
        <v>503.5</v>
      </c>
    </row>
    <row r="33365" spans="1:8" customFormat="1" x14ac:dyDescent="0.25">
      <c r="A33365" t="str">
        <f>"9D2440"</f>
        <v>9D2440</v>
      </c>
      <c r="B33365" t="s">
        <v>22888</v>
      </c>
      <c r="C33365" t="s">
        <v>1665</v>
      </c>
      <c r="D33365" s="21" t="s">
        <v>34</v>
      </c>
      <c r="E33365" s="21" t="s">
        <v>71</v>
      </c>
      <c r="F33365" t="s">
        <v>8815</v>
      </c>
      <c r="G33365" t="s">
        <v>8816</v>
      </c>
      <c r="H33365" s="21">
        <v>503.5</v>
      </c>
    </row>
    <row r="33366" spans="1:8" customFormat="1" x14ac:dyDescent="0.25">
      <c r="A33366" t="str">
        <f>"6315887"</f>
        <v>6315887</v>
      </c>
      <c r="B33366" t="s">
        <v>24385</v>
      </c>
      <c r="C33366" t="s">
        <v>246</v>
      </c>
      <c r="D33366" s="21" t="s">
        <v>34</v>
      </c>
      <c r="E33366" s="21" t="s">
        <v>71</v>
      </c>
      <c r="F33366">
        <v>1630330</v>
      </c>
      <c r="G33366" t="s">
        <v>7263</v>
      </c>
      <c r="H33366" s="21">
        <v>503.5</v>
      </c>
    </row>
    <row r="33367" spans="1:8" customFormat="1" x14ac:dyDescent="0.25">
      <c r="A33367" t="str">
        <f>"5324322"</f>
        <v>5324322</v>
      </c>
      <c r="B33367" t="s">
        <v>9670</v>
      </c>
      <c r="C33367" t="s">
        <v>1853</v>
      </c>
      <c r="D33367" s="21" t="s">
        <v>34</v>
      </c>
      <c r="E33367" s="21" t="s">
        <v>35</v>
      </c>
      <c r="F33367">
        <v>12530011</v>
      </c>
      <c r="G33367" t="s">
        <v>7610</v>
      </c>
      <c r="H33367" s="21">
        <v>503.5</v>
      </c>
    </row>
    <row r="33368" spans="1:8" customFormat="1" x14ac:dyDescent="0.25">
      <c r="A33368" t="str">
        <f>"5113256"</f>
        <v>5113256</v>
      </c>
      <c r="B33368" t="s">
        <v>23886</v>
      </c>
      <c r="C33368" t="s">
        <v>239</v>
      </c>
      <c r="D33368" s="21" t="s">
        <v>34</v>
      </c>
      <c r="E33368" s="21" t="s">
        <v>254</v>
      </c>
      <c r="F33368">
        <v>6510004</v>
      </c>
      <c r="G33368" t="s">
        <v>9465</v>
      </c>
      <c r="H33368" s="21">
        <v>503.5</v>
      </c>
    </row>
    <row r="33369" spans="1:8" customFormat="1" x14ac:dyDescent="0.25">
      <c r="A33369" t="str">
        <f>"7113683"</f>
        <v>7113683</v>
      </c>
      <c r="B33369" t="s">
        <v>28633</v>
      </c>
      <c r="C33369" t="s">
        <v>812</v>
      </c>
      <c r="D33369" s="21" t="s">
        <v>34</v>
      </c>
      <c r="E33369" s="21" t="s">
        <v>71</v>
      </c>
      <c r="F33369">
        <v>2710083</v>
      </c>
      <c r="G33369" t="s">
        <v>17590</v>
      </c>
      <c r="H33369" s="21">
        <v>503.5</v>
      </c>
    </row>
    <row r="33370" spans="1:8" customFormat="1" x14ac:dyDescent="0.25">
      <c r="A33370" t="str">
        <f>"6945328"</f>
        <v>6945328</v>
      </c>
      <c r="B33370" t="s">
        <v>23958</v>
      </c>
      <c r="C33370" t="s">
        <v>462</v>
      </c>
      <c r="D33370" s="21" t="s">
        <v>34</v>
      </c>
      <c r="E33370" s="21" t="s">
        <v>71</v>
      </c>
      <c r="F33370">
        <v>1690211</v>
      </c>
      <c r="G33370" t="s">
        <v>9152</v>
      </c>
      <c r="H33370" s="21">
        <v>503.5</v>
      </c>
    </row>
    <row r="33371" spans="1:8" customFormat="1" x14ac:dyDescent="0.25">
      <c r="A33371" t="str">
        <f>"5734778"</f>
        <v>5734778</v>
      </c>
      <c r="B33371" t="s">
        <v>7352</v>
      </c>
      <c r="C33371" t="s">
        <v>1665</v>
      </c>
      <c r="D33371" s="21" t="s">
        <v>34</v>
      </c>
      <c r="E33371" s="21" t="s">
        <v>254</v>
      </c>
      <c r="F33371">
        <v>6570137</v>
      </c>
      <c r="G33371" t="s">
        <v>13134</v>
      </c>
      <c r="H33371" s="21">
        <v>503.5</v>
      </c>
    </row>
    <row r="33372" spans="1:8" customFormat="1" x14ac:dyDescent="0.25">
      <c r="A33372" t="str">
        <f>"2815277"</f>
        <v>2815277</v>
      </c>
      <c r="B33372" t="s">
        <v>28634</v>
      </c>
      <c r="C33372" t="s">
        <v>1810</v>
      </c>
      <c r="D33372" s="21" t="s">
        <v>34</v>
      </c>
      <c r="E33372" s="21" t="s">
        <v>35</v>
      </c>
      <c r="F33372">
        <v>4280593</v>
      </c>
      <c r="G33372" t="s">
        <v>4536</v>
      </c>
      <c r="H33372" s="21">
        <v>503.5</v>
      </c>
    </row>
    <row r="33373" spans="1:8" customFormat="1" x14ac:dyDescent="0.25">
      <c r="A33373" t="str">
        <f>"5326359"</f>
        <v>5326359</v>
      </c>
      <c r="B33373" t="s">
        <v>12022</v>
      </c>
      <c r="C33373" t="s">
        <v>114</v>
      </c>
      <c r="D33373" s="21" t="s">
        <v>34</v>
      </c>
      <c r="E33373" s="21" t="s">
        <v>35</v>
      </c>
      <c r="F33373">
        <v>12530061</v>
      </c>
      <c r="G33373" t="s">
        <v>9463</v>
      </c>
      <c r="H33373" s="21">
        <v>503.5</v>
      </c>
    </row>
    <row r="33374" spans="1:8" customFormat="1" x14ac:dyDescent="0.25">
      <c r="A33374" t="str">
        <f>"8018491"</f>
        <v>8018491</v>
      </c>
      <c r="B33374" t="s">
        <v>13702</v>
      </c>
      <c r="C33374" t="s">
        <v>211</v>
      </c>
      <c r="D33374" s="21" t="s">
        <v>34</v>
      </c>
      <c r="E33374" s="21" t="s">
        <v>71</v>
      </c>
      <c r="F33374">
        <v>7800011</v>
      </c>
      <c r="G33374" t="s">
        <v>2253</v>
      </c>
      <c r="H33374" s="21">
        <v>503.5</v>
      </c>
    </row>
    <row r="33375" spans="1:8" customFormat="1" x14ac:dyDescent="0.25">
      <c r="A33375" t="str">
        <f>"5984311"</f>
        <v>5984311</v>
      </c>
      <c r="B33375" t="s">
        <v>28635</v>
      </c>
      <c r="C33375" t="s">
        <v>98</v>
      </c>
      <c r="D33375" s="21" t="s">
        <v>34</v>
      </c>
      <c r="E33375" s="21" t="s">
        <v>35</v>
      </c>
      <c r="F33375">
        <v>7590016</v>
      </c>
      <c r="G33375" t="s">
        <v>5653</v>
      </c>
      <c r="H33375" s="21">
        <v>503.5</v>
      </c>
    </row>
    <row r="33376" spans="1:8" customFormat="1" x14ac:dyDescent="0.25">
      <c r="A33376" t="str">
        <f>"9537173"</f>
        <v>9537173</v>
      </c>
      <c r="B33376" t="s">
        <v>28636</v>
      </c>
      <c r="C33376" t="s">
        <v>719</v>
      </c>
      <c r="D33376" s="21" t="s">
        <v>34</v>
      </c>
      <c r="E33376" s="21" t="s">
        <v>35</v>
      </c>
      <c r="F33376">
        <v>8951273</v>
      </c>
      <c r="G33376" t="s">
        <v>2382</v>
      </c>
      <c r="H33376" s="21">
        <v>503.5</v>
      </c>
    </row>
    <row r="33377" spans="1:8" customFormat="1" x14ac:dyDescent="0.25">
      <c r="A33377" t="str">
        <f>"9F1332"</f>
        <v>9F1332</v>
      </c>
      <c r="B33377" t="s">
        <v>1590</v>
      </c>
      <c r="C33377" t="s">
        <v>1832</v>
      </c>
      <c r="D33377" s="21" t="s">
        <v>34</v>
      </c>
      <c r="E33377" s="21" t="s">
        <v>254</v>
      </c>
      <c r="F33377" t="s">
        <v>2591</v>
      </c>
      <c r="G33377" t="s">
        <v>2592</v>
      </c>
      <c r="H33377" s="21">
        <v>503.42</v>
      </c>
    </row>
    <row r="33378" spans="1:8" customFormat="1" x14ac:dyDescent="0.25">
      <c r="A33378" t="str">
        <f>"3330919"</f>
        <v>3330919</v>
      </c>
      <c r="B33378" t="s">
        <v>19229</v>
      </c>
      <c r="C33378" t="s">
        <v>1199</v>
      </c>
      <c r="D33378" s="21" t="s">
        <v>34</v>
      </c>
      <c r="E33378" s="21" t="s">
        <v>1089</v>
      </c>
      <c r="F33378">
        <v>10330125</v>
      </c>
      <c r="G33378" t="s">
        <v>3753</v>
      </c>
      <c r="H33378" s="21">
        <v>503.38</v>
      </c>
    </row>
    <row r="33379" spans="1:8" customFormat="1" x14ac:dyDescent="0.25">
      <c r="A33379" t="str">
        <f>"4513750"</f>
        <v>4513750</v>
      </c>
      <c r="B33379" t="s">
        <v>21362</v>
      </c>
      <c r="C33379" t="s">
        <v>1705</v>
      </c>
      <c r="D33379" s="21" t="s">
        <v>34</v>
      </c>
      <c r="E33379" s="21" t="s">
        <v>254</v>
      </c>
      <c r="F33379">
        <v>4450706</v>
      </c>
      <c r="G33379" t="s">
        <v>4482</v>
      </c>
      <c r="H33379" s="21">
        <v>503.25</v>
      </c>
    </row>
    <row r="33380" spans="1:8" customFormat="1" x14ac:dyDescent="0.25">
      <c r="A33380" t="str">
        <f>"3340815"</f>
        <v>3340815</v>
      </c>
      <c r="B33380" t="s">
        <v>22729</v>
      </c>
      <c r="C33380" t="s">
        <v>22730</v>
      </c>
      <c r="D33380" s="21" t="s">
        <v>34</v>
      </c>
      <c r="E33380" s="21" t="s">
        <v>71</v>
      </c>
      <c r="F33380">
        <v>10330074</v>
      </c>
      <c r="G33380" t="s">
        <v>12024</v>
      </c>
      <c r="H33380" s="21">
        <v>503.25</v>
      </c>
    </row>
    <row r="33381" spans="1:8" customFormat="1" x14ac:dyDescent="0.25">
      <c r="A33381" t="str">
        <f>"396806"</f>
        <v>396806</v>
      </c>
      <c r="B33381" t="s">
        <v>23649</v>
      </c>
      <c r="C33381" t="s">
        <v>263</v>
      </c>
      <c r="D33381" s="21" t="s">
        <v>34</v>
      </c>
      <c r="E33381" s="21" t="s">
        <v>254</v>
      </c>
      <c r="F33381">
        <v>2390007</v>
      </c>
      <c r="G33381" t="s">
        <v>3365</v>
      </c>
      <c r="H33381" s="21">
        <v>503.17</v>
      </c>
    </row>
    <row r="33382" spans="1:8" customFormat="1" x14ac:dyDescent="0.25">
      <c r="A33382" t="str">
        <f>"6022047"</f>
        <v>6022047</v>
      </c>
      <c r="B33382" t="s">
        <v>22243</v>
      </c>
      <c r="C33382" t="s">
        <v>249</v>
      </c>
      <c r="D33382" s="21" t="s">
        <v>34</v>
      </c>
      <c r="E33382" s="21" t="s">
        <v>254</v>
      </c>
      <c r="F33382">
        <v>7600003</v>
      </c>
      <c r="G33382" t="s">
        <v>3515</v>
      </c>
      <c r="H33382" s="21">
        <v>503.17</v>
      </c>
    </row>
    <row r="33383" spans="1:8" customFormat="1" x14ac:dyDescent="0.25">
      <c r="A33383" t="str">
        <f>"8017268"</f>
        <v>8017268</v>
      </c>
      <c r="B33383" t="s">
        <v>22904</v>
      </c>
      <c r="C33383" t="s">
        <v>121</v>
      </c>
      <c r="D33383" s="21" t="s">
        <v>34</v>
      </c>
      <c r="E33383" s="21" t="s">
        <v>35</v>
      </c>
      <c r="F33383">
        <v>7800005</v>
      </c>
      <c r="G33383" t="s">
        <v>6547</v>
      </c>
      <c r="H33383" s="21">
        <v>503.17</v>
      </c>
    </row>
    <row r="33384" spans="1:8" customFormat="1" x14ac:dyDescent="0.25">
      <c r="A33384" t="str">
        <f>"9212183"</f>
        <v>9212183</v>
      </c>
      <c r="B33384" t="s">
        <v>21534</v>
      </c>
      <c r="C33384" t="s">
        <v>453</v>
      </c>
      <c r="D33384" s="21" t="s">
        <v>34</v>
      </c>
      <c r="E33384" s="21" t="s">
        <v>1089</v>
      </c>
      <c r="F33384">
        <v>10860005</v>
      </c>
      <c r="G33384" t="s">
        <v>7474</v>
      </c>
      <c r="H33384" s="21">
        <v>503.17</v>
      </c>
    </row>
    <row r="33385" spans="1:8" customFormat="1" x14ac:dyDescent="0.25">
      <c r="A33385" t="str">
        <f>"322301"</f>
        <v>322301</v>
      </c>
      <c r="B33385" t="s">
        <v>22062</v>
      </c>
      <c r="C33385" t="s">
        <v>3010</v>
      </c>
      <c r="D33385" s="21" t="s">
        <v>34</v>
      </c>
      <c r="E33385" s="21" t="s">
        <v>254</v>
      </c>
      <c r="F33385">
        <v>11320042</v>
      </c>
      <c r="G33385" t="s">
        <v>234</v>
      </c>
      <c r="H33385" s="21">
        <v>503.17</v>
      </c>
    </row>
    <row r="33386" spans="1:8" customFormat="1" x14ac:dyDescent="0.25">
      <c r="A33386" t="str">
        <f>"0211599"</f>
        <v>0211599</v>
      </c>
      <c r="B33386" t="s">
        <v>28637</v>
      </c>
      <c r="C33386" t="s">
        <v>2907</v>
      </c>
      <c r="D33386" s="21" t="s">
        <v>34</v>
      </c>
      <c r="E33386" s="21" t="s">
        <v>71</v>
      </c>
      <c r="F33386">
        <v>7020015</v>
      </c>
      <c r="G33386" t="s">
        <v>1289</v>
      </c>
      <c r="H33386" s="21">
        <v>503.17</v>
      </c>
    </row>
    <row r="33387" spans="1:8" customFormat="1" x14ac:dyDescent="0.25">
      <c r="A33387" t="str">
        <f>"4457095"</f>
        <v>4457095</v>
      </c>
      <c r="B33387" t="s">
        <v>28638</v>
      </c>
      <c r="C33387" t="s">
        <v>28639</v>
      </c>
      <c r="D33387" s="21" t="s">
        <v>34</v>
      </c>
      <c r="E33387" s="21" t="s">
        <v>35</v>
      </c>
      <c r="F33387">
        <v>12440002</v>
      </c>
      <c r="G33387" t="s">
        <v>47</v>
      </c>
      <c r="H33387" s="21">
        <v>503.17</v>
      </c>
    </row>
    <row r="33388" spans="1:8" customFormat="1" x14ac:dyDescent="0.25">
      <c r="A33388" t="str">
        <f>"679626"</f>
        <v>679626</v>
      </c>
      <c r="B33388" t="s">
        <v>2243</v>
      </c>
      <c r="C33388" t="s">
        <v>631</v>
      </c>
      <c r="D33388" s="21" t="s">
        <v>34</v>
      </c>
      <c r="E33388" s="21" t="s">
        <v>35</v>
      </c>
      <c r="F33388">
        <v>6670160</v>
      </c>
      <c r="G33388" t="s">
        <v>908</v>
      </c>
      <c r="H33388" s="21">
        <v>503.17</v>
      </c>
    </row>
    <row r="33389" spans="1:8" customFormat="1" x14ac:dyDescent="0.25">
      <c r="A33389" t="str">
        <f>"3532456"</f>
        <v>3532456</v>
      </c>
      <c r="B33389" t="s">
        <v>4137</v>
      </c>
      <c r="C33389" t="s">
        <v>415</v>
      </c>
      <c r="D33389" s="21" t="s">
        <v>34</v>
      </c>
      <c r="E33389" s="21" t="s">
        <v>71</v>
      </c>
      <c r="F33389">
        <v>3350095</v>
      </c>
      <c r="G33389" t="s">
        <v>5813</v>
      </c>
      <c r="H33389" s="21">
        <v>503.17</v>
      </c>
    </row>
    <row r="33390" spans="1:8" customFormat="1" x14ac:dyDescent="0.25">
      <c r="A33390" t="str">
        <f>"4110070"</f>
        <v>4110070</v>
      </c>
      <c r="B33390" t="s">
        <v>5735</v>
      </c>
      <c r="C33390" t="s">
        <v>263</v>
      </c>
      <c r="D33390" s="21" t="s">
        <v>34</v>
      </c>
      <c r="E33390" s="21" t="s">
        <v>71</v>
      </c>
      <c r="F33390">
        <v>4410015</v>
      </c>
      <c r="G33390" t="s">
        <v>2223</v>
      </c>
      <c r="H33390" s="21">
        <v>503.17</v>
      </c>
    </row>
    <row r="33391" spans="1:8" customFormat="1" x14ac:dyDescent="0.25">
      <c r="A33391" t="str">
        <f>"6221379"</f>
        <v>6221379</v>
      </c>
      <c r="B33391" t="s">
        <v>21400</v>
      </c>
      <c r="C33391" t="s">
        <v>2232</v>
      </c>
      <c r="D33391" s="21" t="s">
        <v>34</v>
      </c>
      <c r="E33391" s="21" t="s">
        <v>71</v>
      </c>
      <c r="F33391">
        <v>7590107</v>
      </c>
      <c r="G33391" t="s">
        <v>17475</v>
      </c>
      <c r="H33391" s="21">
        <v>503.17</v>
      </c>
    </row>
    <row r="33392" spans="1:8" customFormat="1" x14ac:dyDescent="0.25">
      <c r="A33392" t="str">
        <f>"7223345"</f>
        <v>7223345</v>
      </c>
      <c r="B33392" t="s">
        <v>28640</v>
      </c>
      <c r="C33392" t="s">
        <v>415</v>
      </c>
      <c r="D33392" s="21" t="s">
        <v>34</v>
      </c>
      <c r="E33392" s="21" t="s">
        <v>254</v>
      </c>
      <c r="F33392">
        <v>12720108</v>
      </c>
      <c r="G33392" t="s">
        <v>27287</v>
      </c>
      <c r="H33392" s="21">
        <v>503.17</v>
      </c>
    </row>
    <row r="33393" spans="1:8" customFormat="1" x14ac:dyDescent="0.25">
      <c r="A33393" t="str">
        <f>"8525312"</f>
        <v>8525312</v>
      </c>
      <c r="B33393" t="s">
        <v>5092</v>
      </c>
      <c r="C33393" t="s">
        <v>239</v>
      </c>
      <c r="D33393" s="21" t="s">
        <v>34</v>
      </c>
      <c r="E33393" s="21" t="s">
        <v>35</v>
      </c>
      <c r="F33393">
        <v>12850012</v>
      </c>
      <c r="G33393" t="s">
        <v>1229</v>
      </c>
      <c r="H33393" s="21">
        <v>503.17</v>
      </c>
    </row>
    <row r="33394" spans="1:8" customFormat="1" x14ac:dyDescent="0.25">
      <c r="A33394" t="str">
        <f>"3534440"</f>
        <v>3534440</v>
      </c>
      <c r="B33394" t="s">
        <v>2501</v>
      </c>
      <c r="C33394" t="s">
        <v>576</v>
      </c>
      <c r="D33394" s="21" t="s">
        <v>34</v>
      </c>
      <c r="E33394" s="21" t="s">
        <v>35</v>
      </c>
      <c r="F33394">
        <v>3350045</v>
      </c>
      <c r="G33394" t="s">
        <v>13569</v>
      </c>
      <c r="H33394" s="21">
        <v>503.17</v>
      </c>
    </row>
    <row r="33395" spans="1:8" customFormat="1" x14ac:dyDescent="0.25">
      <c r="A33395" t="str">
        <f>"877839"</f>
        <v>877839</v>
      </c>
      <c r="B33395" t="s">
        <v>18457</v>
      </c>
      <c r="C33395" t="s">
        <v>87</v>
      </c>
      <c r="D33395" s="21" t="s">
        <v>34</v>
      </c>
      <c r="E33395" s="21" t="s">
        <v>35</v>
      </c>
      <c r="F33395">
        <v>10870131</v>
      </c>
      <c r="G33395" t="s">
        <v>22866</v>
      </c>
      <c r="H33395" s="21">
        <v>503.17</v>
      </c>
    </row>
    <row r="33396" spans="1:8" customFormat="1" x14ac:dyDescent="0.25">
      <c r="A33396" t="str">
        <f>"7874153"</f>
        <v>7874153</v>
      </c>
      <c r="B33396" t="s">
        <v>28641</v>
      </c>
      <c r="C33396" t="s">
        <v>576</v>
      </c>
      <c r="D33396" s="21" t="s">
        <v>34</v>
      </c>
      <c r="E33396" s="21" t="s">
        <v>35</v>
      </c>
      <c r="F33396">
        <v>8780128</v>
      </c>
      <c r="G33396" t="s">
        <v>4201</v>
      </c>
      <c r="H33396" s="21">
        <v>503.17</v>
      </c>
    </row>
    <row r="33397" spans="1:8" customFormat="1" x14ac:dyDescent="0.25">
      <c r="A33397" t="str">
        <f>"3510931"</f>
        <v>3510931</v>
      </c>
      <c r="B33397" t="s">
        <v>2362</v>
      </c>
      <c r="C33397" t="s">
        <v>249</v>
      </c>
      <c r="D33397" s="21" t="s">
        <v>34</v>
      </c>
      <c r="E33397" s="21" t="s">
        <v>35</v>
      </c>
      <c r="F33397">
        <v>3350011</v>
      </c>
      <c r="G33397" t="s">
        <v>2404</v>
      </c>
      <c r="H33397" s="21">
        <v>503.17</v>
      </c>
    </row>
    <row r="33398" spans="1:8" customFormat="1" x14ac:dyDescent="0.25">
      <c r="A33398" t="str">
        <f>"9248523"</f>
        <v>9248523</v>
      </c>
      <c r="B33398" t="s">
        <v>24741</v>
      </c>
      <c r="C33398" t="s">
        <v>2730</v>
      </c>
      <c r="D33398" s="21" t="s">
        <v>34</v>
      </c>
      <c r="E33398" s="21" t="s">
        <v>71</v>
      </c>
      <c r="F33398">
        <v>8920151</v>
      </c>
      <c r="G33398" t="s">
        <v>1434</v>
      </c>
      <c r="H33398" s="21">
        <v>503.12</v>
      </c>
    </row>
    <row r="33399" spans="1:8" customFormat="1" x14ac:dyDescent="0.25">
      <c r="A33399" t="str">
        <f>"34844"</f>
        <v>34844</v>
      </c>
      <c r="B33399" t="s">
        <v>22617</v>
      </c>
      <c r="C33399" t="s">
        <v>822</v>
      </c>
      <c r="D33399" s="21" t="s">
        <v>34</v>
      </c>
      <c r="E33399" s="21" t="s">
        <v>1089</v>
      </c>
      <c r="F33399">
        <v>11340073</v>
      </c>
      <c r="G33399" t="s">
        <v>15005</v>
      </c>
      <c r="H33399" s="21">
        <v>503</v>
      </c>
    </row>
    <row r="33400" spans="1:8" customFormat="1" x14ac:dyDescent="0.25">
      <c r="A33400" t="str">
        <f>"5622487"</f>
        <v>5622487</v>
      </c>
      <c r="B33400" t="s">
        <v>28642</v>
      </c>
      <c r="C33400" t="s">
        <v>269</v>
      </c>
      <c r="D33400" s="21" t="s">
        <v>34</v>
      </c>
      <c r="E33400" s="21" t="s">
        <v>35</v>
      </c>
      <c r="F33400">
        <v>3560087</v>
      </c>
      <c r="G33400" t="s">
        <v>7767</v>
      </c>
      <c r="H33400" s="21">
        <v>503</v>
      </c>
    </row>
    <row r="33401" spans="1:8" customFormat="1" x14ac:dyDescent="0.25">
      <c r="A33401" t="str">
        <f>"6946187"</f>
        <v>6946187</v>
      </c>
      <c r="B33401" t="s">
        <v>24376</v>
      </c>
      <c r="C33401" t="s">
        <v>1754</v>
      </c>
      <c r="D33401" s="21" t="s">
        <v>34</v>
      </c>
      <c r="E33401" s="21" t="s">
        <v>35</v>
      </c>
      <c r="F33401">
        <v>1690064</v>
      </c>
      <c r="G33401" t="s">
        <v>9490</v>
      </c>
      <c r="H33401" s="21">
        <v>503</v>
      </c>
    </row>
    <row r="33402" spans="1:8" customFormat="1" x14ac:dyDescent="0.25">
      <c r="A33402" t="str">
        <f>"3013853"</f>
        <v>3013853</v>
      </c>
      <c r="B33402" t="s">
        <v>2974</v>
      </c>
      <c r="C33402" t="s">
        <v>147</v>
      </c>
      <c r="D33402" s="21" t="s">
        <v>34</v>
      </c>
      <c r="E33402" s="21" t="s">
        <v>35</v>
      </c>
      <c r="F33402">
        <v>11300025</v>
      </c>
      <c r="G33402" t="s">
        <v>1211</v>
      </c>
      <c r="H33402" s="21">
        <v>503</v>
      </c>
    </row>
    <row r="33403" spans="1:8" customFormat="1" x14ac:dyDescent="0.25">
      <c r="A33403" t="str">
        <f>"6231823"</f>
        <v>6231823</v>
      </c>
      <c r="B33403" t="s">
        <v>6119</v>
      </c>
      <c r="C33403" t="s">
        <v>87</v>
      </c>
      <c r="D33403" s="21" t="s">
        <v>34</v>
      </c>
      <c r="E33403" s="21" t="s">
        <v>71</v>
      </c>
      <c r="F33403">
        <v>7620182</v>
      </c>
      <c r="G33403" t="s">
        <v>11480</v>
      </c>
      <c r="H33403" s="21">
        <v>503</v>
      </c>
    </row>
    <row r="33404" spans="1:8" customFormat="1" x14ac:dyDescent="0.25">
      <c r="A33404" t="str">
        <f>"3724122"</f>
        <v>3724122</v>
      </c>
      <c r="B33404" t="s">
        <v>28643</v>
      </c>
      <c r="C33404" t="s">
        <v>285</v>
      </c>
      <c r="D33404" s="21" t="s">
        <v>34</v>
      </c>
      <c r="E33404" s="21" t="s">
        <v>35</v>
      </c>
      <c r="F33404">
        <v>4370011</v>
      </c>
      <c r="G33404" t="s">
        <v>3672</v>
      </c>
      <c r="H33404" s="21">
        <v>503</v>
      </c>
    </row>
    <row r="33405" spans="1:8" customFormat="1" x14ac:dyDescent="0.25">
      <c r="A33405" t="str">
        <f>"088298"</f>
        <v>088298</v>
      </c>
      <c r="B33405" t="s">
        <v>19842</v>
      </c>
      <c r="C33405" t="s">
        <v>119</v>
      </c>
      <c r="D33405" s="21" t="s">
        <v>34</v>
      </c>
      <c r="E33405" s="21" t="s">
        <v>71</v>
      </c>
      <c r="F33405">
        <v>6080057</v>
      </c>
      <c r="G33405" t="s">
        <v>10034</v>
      </c>
      <c r="H33405" s="21">
        <v>503</v>
      </c>
    </row>
    <row r="33406" spans="1:8" customFormat="1" x14ac:dyDescent="0.25">
      <c r="A33406" t="str">
        <f>"9318478"</f>
        <v>9318478</v>
      </c>
      <c r="B33406" t="s">
        <v>24289</v>
      </c>
      <c r="C33406" t="s">
        <v>24290</v>
      </c>
      <c r="D33406" s="21" t="s">
        <v>34</v>
      </c>
      <c r="E33406" s="21" t="s">
        <v>35</v>
      </c>
      <c r="F33406">
        <v>8930001</v>
      </c>
      <c r="G33406" t="s">
        <v>2264</v>
      </c>
      <c r="H33406" s="21">
        <v>503</v>
      </c>
    </row>
    <row r="33407" spans="1:8" customFormat="1" x14ac:dyDescent="0.25">
      <c r="A33407" t="str">
        <f>"397068"</f>
        <v>397068</v>
      </c>
      <c r="B33407" t="s">
        <v>697</v>
      </c>
      <c r="C33407" t="s">
        <v>209</v>
      </c>
      <c r="D33407" s="21" t="s">
        <v>34</v>
      </c>
      <c r="E33407" s="21" t="s">
        <v>35</v>
      </c>
      <c r="F33407">
        <v>2390095</v>
      </c>
      <c r="G33407" t="s">
        <v>2676</v>
      </c>
      <c r="H33407" s="21">
        <v>503</v>
      </c>
    </row>
    <row r="33408" spans="1:8" customFormat="1" x14ac:dyDescent="0.25">
      <c r="A33408" t="str">
        <f>"124837"</f>
        <v>124837</v>
      </c>
      <c r="B33408" t="s">
        <v>24319</v>
      </c>
      <c r="C33408" t="s">
        <v>486</v>
      </c>
      <c r="D33408" s="21" t="s">
        <v>34</v>
      </c>
      <c r="E33408" s="21" t="s">
        <v>35</v>
      </c>
      <c r="F33408">
        <v>11120024</v>
      </c>
      <c r="G33408" t="s">
        <v>12259</v>
      </c>
      <c r="H33408" s="21">
        <v>503</v>
      </c>
    </row>
    <row r="33409" spans="1:8" customFormat="1" x14ac:dyDescent="0.25">
      <c r="A33409" t="str">
        <f>"3325718"</f>
        <v>3325718</v>
      </c>
      <c r="B33409" t="s">
        <v>24299</v>
      </c>
      <c r="C33409" t="s">
        <v>269</v>
      </c>
      <c r="D33409" s="21" t="s">
        <v>34</v>
      </c>
      <c r="E33409" s="21" t="s">
        <v>71</v>
      </c>
      <c r="F33409">
        <v>10330125</v>
      </c>
      <c r="G33409" t="s">
        <v>3753</v>
      </c>
      <c r="H33409" s="21">
        <v>503</v>
      </c>
    </row>
    <row r="33410" spans="1:8" customFormat="1" x14ac:dyDescent="0.25">
      <c r="A33410" t="str">
        <f>"6946481"</f>
        <v>6946481</v>
      </c>
      <c r="B33410" t="s">
        <v>3351</v>
      </c>
      <c r="C33410" t="s">
        <v>428</v>
      </c>
      <c r="D33410" s="21" t="s">
        <v>34</v>
      </c>
      <c r="E33410" s="21" t="s">
        <v>35</v>
      </c>
      <c r="F33410">
        <v>1690166</v>
      </c>
      <c r="G33410" t="s">
        <v>3886</v>
      </c>
      <c r="H33410" s="21">
        <v>503</v>
      </c>
    </row>
    <row r="33411" spans="1:8" customFormat="1" x14ac:dyDescent="0.25">
      <c r="A33411" t="str">
        <f>"6726637"</f>
        <v>6726637</v>
      </c>
      <c r="B33411" t="s">
        <v>28644</v>
      </c>
      <c r="C33411" t="s">
        <v>263</v>
      </c>
      <c r="D33411" s="21" t="s">
        <v>34</v>
      </c>
      <c r="E33411" s="21" t="s">
        <v>35</v>
      </c>
      <c r="F33411">
        <v>6670212</v>
      </c>
      <c r="G33411" t="s">
        <v>2769</v>
      </c>
      <c r="H33411" s="21">
        <v>503</v>
      </c>
    </row>
    <row r="33412" spans="1:8" customFormat="1" x14ac:dyDescent="0.25">
      <c r="A33412" t="str">
        <f>"3538339"</f>
        <v>3538339</v>
      </c>
      <c r="B33412" t="s">
        <v>28645</v>
      </c>
      <c r="C33412" t="s">
        <v>239</v>
      </c>
      <c r="D33412" s="21" t="s">
        <v>34</v>
      </c>
      <c r="E33412" s="21" t="s">
        <v>71</v>
      </c>
      <c r="F33412">
        <v>3350209</v>
      </c>
      <c r="G33412" t="s">
        <v>3023</v>
      </c>
      <c r="H33412" s="21">
        <v>503</v>
      </c>
    </row>
    <row r="33413" spans="1:8" customFormat="1" x14ac:dyDescent="0.25">
      <c r="A33413" t="str">
        <f>"8526226"</f>
        <v>8526226</v>
      </c>
      <c r="B33413" t="s">
        <v>12508</v>
      </c>
      <c r="C33413" t="s">
        <v>139</v>
      </c>
      <c r="D33413" s="21" t="s">
        <v>34</v>
      </c>
      <c r="E33413" s="21" t="s">
        <v>35</v>
      </c>
      <c r="F33413">
        <v>12850134</v>
      </c>
      <c r="G33413" t="s">
        <v>2359</v>
      </c>
      <c r="H33413" s="21">
        <v>503</v>
      </c>
    </row>
    <row r="33414" spans="1:8" customFormat="1" x14ac:dyDescent="0.25">
      <c r="A33414" t="str">
        <f>"5928950"</f>
        <v>5928950</v>
      </c>
      <c r="B33414" t="s">
        <v>7035</v>
      </c>
      <c r="C33414" t="s">
        <v>211</v>
      </c>
      <c r="D33414" s="21" t="s">
        <v>34</v>
      </c>
      <c r="E33414" s="21" t="s">
        <v>254</v>
      </c>
      <c r="F33414">
        <v>7590175</v>
      </c>
      <c r="G33414" t="s">
        <v>3063</v>
      </c>
      <c r="H33414" s="21">
        <v>503</v>
      </c>
    </row>
    <row r="33415" spans="1:8" customFormat="1" x14ac:dyDescent="0.25">
      <c r="A33415" t="str">
        <f>"838591"</f>
        <v>838591</v>
      </c>
      <c r="B33415" t="s">
        <v>13882</v>
      </c>
      <c r="C33415" t="s">
        <v>206</v>
      </c>
      <c r="D33415" s="21" t="s">
        <v>34</v>
      </c>
      <c r="E33415" s="21" t="s">
        <v>35</v>
      </c>
      <c r="F33415">
        <v>13830059</v>
      </c>
      <c r="G33415" t="s">
        <v>5440</v>
      </c>
      <c r="H33415" s="21">
        <v>503</v>
      </c>
    </row>
    <row r="33416" spans="1:8" customFormat="1" x14ac:dyDescent="0.25">
      <c r="A33416" t="str">
        <f>"3344136"</f>
        <v>3344136</v>
      </c>
      <c r="B33416" t="s">
        <v>8164</v>
      </c>
      <c r="C33416" t="s">
        <v>209</v>
      </c>
      <c r="D33416" s="21" t="s">
        <v>34</v>
      </c>
      <c r="E33416" s="21" t="s">
        <v>71</v>
      </c>
      <c r="F33416">
        <v>10330086</v>
      </c>
      <c r="G33416" t="s">
        <v>785</v>
      </c>
      <c r="H33416" s="21">
        <v>503</v>
      </c>
    </row>
    <row r="33417" spans="1:8" customFormat="1" x14ac:dyDescent="0.25">
      <c r="A33417" t="str">
        <f>"1426550"</f>
        <v>1426550</v>
      </c>
      <c r="B33417" t="s">
        <v>15253</v>
      </c>
      <c r="C33417" t="s">
        <v>28646</v>
      </c>
      <c r="D33417" s="21" t="s">
        <v>34</v>
      </c>
      <c r="E33417" s="21" t="s">
        <v>35</v>
      </c>
      <c r="F33417">
        <v>9140179</v>
      </c>
      <c r="G33417" t="s">
        <v>10146</v>
      </c>
      <c r="H33417" s="21">
        <v>503</v>
      </c>
    </row>
    <row r="33418" spans="1:8" customFormat="1" x14ac:dyDescent="0.25">
      <c r="A33418" t="str">
        <f>"8019817"</f>
        <v>8019817</v>
      </c>
      <c r="B33418" t="s">
        <v>9353</v>
      </c>
      <c r="C33418" t="s">
        <v>2904</v>
      </c>
      <c r="D33418" s="21" t="s">
        <v>34</v>
      </c>
      <c r="E33418" s="21" t="s">
        <v>71</v>
      </c>
      <c r="F33418">
        <v>7800062</v>
      </c>
      <c r="G33418" t="s">
        <v>5176</v>
      </c>
      <c r="H33418" s="21">
        <v>503</v>
      </c>
    </row>
    <row r="33419" spans="1:8" customFormat="1" x14ac:dyDescent="0.25">
      <c r="A33419" t="str">
        <f>"8813031"</f>
        <v>8813031</v>
      </c>
      <c r="B33419" t="s">
        <v>5131</v>
      </c>
      <c r="C33419" t="s">
        <v>379</v>
      </c>
      <c r="D33419" s="21" t="s">
        <v>34</v>
      </c>
      <c r="E33419" s="21" t="s">
        <v>254</v>
      </c>
      <c r="F33419">
        <v>6880143</v>
      </c>
      <c r="G33419" t="s">
        <v>8078</v>
      </c>
      <c r="H33419" s="21">
        <v>503</v>
      </c>
    </row>
    <row r="33420" spans="1:8" customFormat="1" x14ac:dyDescent="0.25">
      <c r="A33420" t="str">
        <f>"5621579"</f>
        <v>5621579</v>
      </c>
      <c r="B33420" t="s">
        <v>21963</v>
      </c>
      <c r="C33420" t="s">
        <v>43</v>
      </c>
      <c r="D33420" s="21" t="s">
        <v>34</v>
      </c>
      <c r="E33420" s="21" t="s">
        <v>35</v>
      </c>
      <c r="F33420">
        <v>3560031</v>
      </c>
      <c r="G33420" t="s">
        <v>738</v>
      </c>
      <c r="H33420" s="21">
        <v>503</v>
      </c>
    </row>
    <row r="33421" spans="1:8" customFormat="1" x14ac:dyDescent="0.25">
      <c r="A33421" t="str">
        <f>"61630"</f>
        <v>61630</v>
      </c>
      <c r="B33421" t="s">
        <v>22301</v>
      </c>
      <c r="C33421" t="s">
        <v>822</v>
      </c>
      <c r="D33421" s="21" t="s">
        <v>34</v>
      </c>
      <c r="E33421" s="21" t="s">
        <v>6185</v>
      </c>
      <c r="F33421">
        <v>9610055</v>
      </c>
      <c r="G33421" t="s">
        <v>13803</v>
      </c>
      <c r="H33421" s="21">
        <v>503</v>
      </c>
    </row>
    <row r="33422" spans="1:8" customFormat="1" x14ac:dyDescent="0.25">
      <c r="A33422" t="str">
        <f>"8613753"</f>
        <v>8613753</v>
      </c>
      <c r="B33422" t="s">
        <v>10326</v>
      </c>
      <c r="C33422" t="s">
        <v>1665</v>
      </c>
      <c r="D33422" s="21" t="s">
        <v>34</v>
      </c>
      <c r="E33422" s="21" t="s">
        <v>254</v>
      </c>
      <c r="F33422">
        <v>10860006</v>
      </c>
      <c r="G33422" t="s">
        <v>3004</v>
      </c>
      <c r="H33422" s="21">
        <v>503</v>
      </c>
    </row>
    <row r="33423" spans="1:8" customFormat="1" x14ac:dyDescent="0.25">
      <c r="A33423" t="str">
        <f>"5972039"</f>
        <v>5972039</v>
      </c>
      <c r="B33423" t="s">
        <v>12383</v>
      </c>
      <c r="C33423" t="s">
        <v>1110</v>
      </c>
      <c r="D33423" s="21" t="s">
        <v>34</v>
      </c>
      <c r="E33423" s="21" t="s">
        <v>71</v>
      </c>
      <c r="F33423">
        <v>7590416</v>
      </c>
      <c r="G33423" t="s">
        <v>16746</v>
      </c>
      <c r="H33423" s="21">
        <v>503</v>
      </c>
    </row>
    <row r="33424" spans="1:8" customFormat="1" x14ac:dyDescent="0.25">
      <c r="A33424" t="str">
        <f>"3336547"</f>
        <v>3336547</v>
      </c>
      <c r="B33424" t="s">
        <v>21796</v>
      </c>
      <c r="C33424" t="s">
        <v>124</v>
      </c>
      <c r="D33424" s="21" t="s">
        <v>34</v>
      </c>
      <c r="E33424" s="21" t="s">
        <v>71</v>
      </c>
      <c r="F33424">
        <v>10330018</v>
      </c>
      <c r="G33424" t="s">
        <v>15112</v>
      </c>
      <c r="H33424" s="21">
        <v>502.92</v>
      </c>
    </row>
    <row r="33425" spans="1:8" customFormat="1" x14ac:dyDescent="0.25">
      <c r="A33425" t="str">
        <f>"7825926"</f>
        <v>7825926</v>
      </c>
      <c r="B33425" t="s">
        <v>20781</v>
      </c>
      <c r="C33425" t="s">
        <v>55</v>
      </c>
      <c r="D33425" s="21" t="s">
        <v>34</v>
      </c>
      <c r="E33425" s="21" t="s">
        <v>35</v>
      </c>
      <c r="F33425">
        <v>10330073</v>
      </c>
      <c r="G33425" t="s">
        <v>18352</v>
      </c>
      <c r="H33425" s="21">
        <v>502.88</v>
      </c>
    </row>
    <row r="33426" spans="1:8" customFormat="1" x14ac:dyDescent="0.25">
      <c r="A33426" t="str">
        <f>"1910138"</f>
        <v>1910138</v>
      </c>
      <c r="B33426" t="s">
        <v>12900</v>
      </c>
      <c r="C33426" t="s">
        <v>2659</v>
      </c>
      <c r="D33426" s="21" t="s">
        <v>34</v>
      </c>
      <c r="E33426" s="21" t="s">
        <v>71</v>
      </c>
      <c r="F33426">
        <v>10190066</v>
      </c>
      <c r="G33426" t="s">
        <v>15933</v>
      </c>
      <c r="H33426" s="21">
        <v>502.88</v>
      </c>
    </row>
    <row r="33427" spans="1:8" customFormat="1" x14ac:dyDescent="0.25">
      <c r="A33427" t="str">
        <f>"9144680"</f>
        <v>9144680</v>
      </c>
      <c r="B33427" t="s">
        <v>22162</v>
      </c>
      <c r="C33427" t="s">
        <v>269</v>
      </c>
      <c r="D33427" s="21" t="s">
        <v>34</v>
      </c>
      <c r="E33427" s="21" t="s">
        <v>71</v>
      </c>
      <c r="F33427">
        <v>8910442</v>
      </c>
      <c r="G33427" t="s">
        <v>1336</v>
      </c>
      <c r="H33427" s="21">
        <v>502.67</v>
      </c>
    </row>
    <row r="33428" spans="1:8" customFormat="1" x14ac:dyDescent="0.25">
      <c r="A33428" t="str">
        <f>"2617714"</f>
        <v>2617714</v>
      </c>
      <c r="B33428" t="s">
        <v>24174</v>
      </c>
      <c r="C33428" t="s">
        <v>1597</v>
      </c>
      <c r="D33428" s="21" t="s">
        <v>34</v>
      </c>
      <c r="E33428" s="21" t="s">
        <v>71</v>
      </c>
      <c r="F33428">
        <v>1260065</v>
      </c>
      <c r="G33428" t="s">
        <v>1958</v>
      </c>
      <c r="H33428" s="21">
        <v>502.67</v>
      </c>
    </row>
    <row r="33429" spans="1:8" customFormat="1" x14ac:dyDescent="0.25">
      <c r="A33429" t="str">
        <f>"6927157"</f>
        <v>6927157</v>
      </c>
      <c r="B33429" t="s">
        <v>21229</v>
      </c>
      <c r="C33429" t="s">
        <v>151</v>
      </c>
      <c r="D33429" s="21" t="s">
        <v>34</v>
      </c>
      <c r="E33429" s="21" t="s">
        <v>71</v>
      </c>
      <c r="F33429">
        <v>1690030</v>
      </c>
      <c r="G33429" t="s">
        <v>432</v>
      </c>
      <c r="H33429" s="21">
        <v>502.67</v>
      </c>
    </row>
    <row r="33430" spans="1:8" customFormat="1" x14ac:dyDescent="0.25">
      <c r="A33430" t="str">
        <f>"717631"</f>
        <v>717631</v>
      </c>
      <c r="B33430" t="s">
        <v>2690</v>
      </c>
      <c r="C33430" t="s">
        <v>486</v>
      </c>
      <c r="D33430" s="21" t="s">
        <v>34</v>
      </c>
      <c r="E33430" s="21" t="s">
        <v>71</v>
      </c>
      <c r="F33430">
        <v>2710083</v>
      </c>
      <c r="G33430" t="s">
        <v>17590</v>
      </c>
      <c r="H33430" s="21">
        <v>502.67</v>
      </c>
    </row>
    <row r="33431" spans="1:8" customFormat="1" x14ac:dyDescent="0.25">
      <c r="A33431" t="str">
        <f>"9420577"</f>
        <v>9420577</v>
      </c>
      <c r="B33431" t="s">
        <v>987</v>
      </c>
      <c r="C33431" t="s">
        <v>253</v>
      </c>
      <c r="D33431" s="21" t="s">
        <v>34</v>
      </c>
      <c r="E33431" s="21" t="s">
        <v>1089</v>
      </c>
      <c r="F33431">
        <v>10170064</v>
      </c>
      <c r="G33431" t="s">
        <v>1900</v>
      </c>
      <c r="H33431" s="21">
        <v>502.67</v>
      </c>
    </row>
    <row r="33432" spans="1:8" customFormat="1" x14ac:dyDescent="0.25">
      <c r="A33432" t="str">
        <f>"1321670"</f>
        <v>1321670</v>
      </c>
      <c r="B33432" t="s">
        <v>28647</v>
      </c>
      <c r="C33432" t="s">
        <v>156</v>
      </c>
      <c r="D33432" s="21" t="s">
        <v>34</v>
      </c>
      <c r="E33432" s="21" t="s">
        <v>35</v>
      </c>
      <c r="F33432">
        <v>13130162</v>
      </c>
      <c r="G33432" t="s">
        <v>13411</v>
      </c>
      <c r="H33432" s="21">
        <v>502.67</v>
      </c>
    </row>
    <row r="33433" spans="1:8" customFormat="1" x14ac:dyDescent="0.25">
      <c r="A33433" t="str">
        <f>"3336524"</f>
        <v>3336524</v>
      </c>
      <c r="B33433" t="s">
        <v>21302</v>
      </c>
      <c r="C33433" t="s">
        <v>269</v>
      </c>
      <c r="D33433" s="21" t="s">
        <v>34</v>
      </c>
      <c r="E33433" s="21" t="s">
        <v>35</v>
      </c>
      <c r="F33433">
        <v>10330129</v>
      </c>
      <c r="G33433" t="s">
        <v>5977</v>
      </c>
      <c r="H33433" s="21">
        <v>502.67</v>
      </c>
    </row>
    <row r="33434" spans="1:8" customFormat="1" x14ac:dyDescent="0.25">
      <c r="A33434" t="str">
        <f>"9530189"</f>
        <v>9530189</v>
      </c>
      <c r="B33434" t="s">
        <v>14811</v>
      </c>
      <c r="C33434" t="s">
        <v>65</v>
      </c>
      <c r="D33434" s="21" t="s">
        <v>34</v>
      </c>
      <c r="E33434" s="21" t="s">
        <v>35</v>
      </c>
      <c r="F33434">
        <v>8950088</v>
      </c>
      <c r="G33434" t="s">
        <v>11015</v>
      </c>
      <c r="H33434" s="21">
        <v>502.67</v>
      </c>
    </row>
    <row r="33435" spans="1:8" customFormat="1" x14ac:dyDescent="0.25">
      <c r="A33435" t="str">
        <f>"8011830"</f>
        <v>8011830</v>
      </c>
      <c r="B33435" t="s">
        <v>28648</v>
      </c>
      <c r="C33435" t="s">
        <v>130</v>
      </c>
      <c r="D33435" s="21" t="s">
        <v>34</v>
      </c>
      <c r="E33435" s="21" t="s">
        <v>1089</v>
      </c>
      <c r="F33435">
        <v>7800006</v>
      </c>
      <c r="G33435" t="s">
        <v>6365</v>
      </c>
      <c r="H33435" s="21">
        <v>502.67</v>
      </c>
    </row>
    <row r="33436" spans="1:8" customFormat="1" x14ac:dyDescent="0.25">
      <c r="A33436" t="str">
        <f>"6233654"</f>
        <v>6233654</v>
      </c>
      <c r="B33436" t="s">
        <v>27959</v>
      </c>
      <c r="C33436" t="s">
        <v>320</v>
      </c>
      <c r="D33436" s="21" t="s">
        <v>34</v>
      </c>
      <c r="E33436" s="21" t="s">
        <v>35</v>
      </c>
      <c r="F33436">
        <v>7620186</v>
      </c>
      <c r="G33436" t="s">
        <v>28649</v>
      </c>
      <c r="H33436" s="21">
        <v>502.67</v>
      </c>
    </row>
    <row r="33437" spans="1:8" customFormat="1" x14ac:dyDescent="0.25">
      <c r="A33437" t="str">
        <f>"7731018"</f>
        <v>7731018</v>
      </c>
      <c r="B33437" t="s">
        <v>23765</v>
      </c>
      <c r="C33437" t="s">
        <v>55</v>
      </c>
      <c r="D33437" s="21" t="s">
        <v>34</v>
      </c>
      <c r="E33437" s="21" t="s">
        <v>71</v>
      </c>
      <c r="F33437">
        <v>8771518</v>
      </c>
      <c r="G33437" t="s">
        <v>12274</v>
      </c>
      <c r="H33437" s="21">
        <v>502.67</v>
      </c>
    </row>
    <row r="33438" spans="1:8" customFormat="1" x14ac:dyDescent="0.25">
      <c r="A33438" t="str">
        <f>"5015583"</f>
        <v>5015583</v>
      </c>
      <c r="B33438" t="s">
        <v>24611</v>
      </c>
      <c r="C33438" t="s">
        <v>2730</v>
      </c>
      <c r="D33438" s="21" t="s">
        <v>34</v>
      </c>
      <c r="E33438" s="21" t="s">
        <v>6185</v>
      </c>
      <c r="F33438">
        <v>9500157</v>
      </c>
      <c r="G33438" t="s">
        <v>5074</v>
      </c>
      <c r="H33438" s="21">
        <v>502.67</v>
      </c>
    </row>
    <row r="33439" spans="1:8" customFormat="1" x14ac:dyDescent="0.25">
      <c r="A33439" t="str">
        <f>"7211826"</f>
        <v>7211826</v>
      </c>
      <c r="B33439" t="s">
        <v>23903</v>
      </c>
      <c r="C33439" t="s">
        <v>415</v>
      </c>
      <c r="D33439" s="21" t="s">
        <v>34</v>
      </c>
      <c r="E33439" s="21" t="s">
        <v>254</v>
      </c>
      <c r="F33439">
        <v>12720052</v>
      </c>
      <c r="G33439" t="s">
        <v>9628</v>
      </c>
      <c r="H33439" s="21">
        <v>502.67</v>
      </c>
    </row>
    <row r="33440" spans="1:8" customFormat="1" x14ac:dyDescent="0.25">
      <c r="A33440" t="str">
        <f>"7223294"</f>
        <v>7223294</v>
      </c>
      <c r="B33440" t="s">
        <v>20239</v>
      </c>
      <c r="C33440" t="s">
        <v>130</v>
      </c>
      <c r="D33440" s="21" t="s">
        <v>34</v>
      </c>
      <c r="E33440" s="21" t="s">
        <v>35</v>
      </c>
      <c r="F33440">
        <v>12720051</v>
      </c>
      <c r="G33440" t="s">
        <v>9476</v>
      </c>
      <c r="H33440" s="21">
        <v>502.67</v>
      </c>
    </row>
    <row r="33441" spans="1:8" customFormat="1" x14ac:dyDescent="0.25">
      <c r="A33441" t="str">
        <f>"8315209"</f>
        <v>8315209</v>
      </c>
      <c r="B33441" t="s">
        <v>24579</v>
      </c>
      <c r="C33441" t="s">
        <v>239</v>
      </c>
      <c r="D33441" s="21" t="s">
        <v>34</v>
      </c>
      <c r="E33441" s="21" t="s">
        <v>71</v>
      </c>
      <c r="F33441">
        <v>13830089</v>
      </c>
      <c r="G33441" t="s">
        <v>14112</v>
      </c>
      <c r="H33441" s="21">
        <v>502.67</v>
      </c>
    </row>
    <row r="33442" spans="1:8" customFormat="1" x14ac:dyDescent="0.25">
      <c r="A33442" t="str">
        <f>"57114"</f>
        <v>57114</v>
      </c>
      <c r="B33442" t="s">
        <v>3893</v>
      </c>
      <c r="C33442" t="s">
        <v>87</v>
      </c>
      <c r="D33442" s="21" t="s">
        <v>34</v>
      </c>
      <c r="E33442" s="21" t="s">
        <v>71</v>
      </c>
      <c r="F33442">
        <v>6570075</v>
      </c>
      <c r="G33442" t="s">
        <v>3008</v>
      </c>
      <c r="H33442" s="21">
        <v>502.67</v>
      </c>
    </row>
    <row r="33443" spans="1:8" customFormat="1" x14ac:dyDescent="0.25">
      <c r="A33443" t="str">
        <f>"2619374"</f>
        <v>2619374</v>
      </c>
      <c r="B33443" t="s">
        <v>2873</v>
      </c>
      <c r="C33443" t="s">
        <v>147</v>
      </c>
      <c r="D33443" s="21" t="s">
        <v>34</v>
      </c>
      <c r="E33443" s="21" t="s">
        <v>35</v>
      </c>
      <c r="F33443">
        <v>1260072</v>
      </c>
      <c r="G33443" t="s">
        <v>12420</v>
      </c>
      <c r="H33443" s="21">
        <v>502.67</v>
      </c>
    </row>
    <row r="33444" spans="1:8" customFormat="1" x14ac:dyDescent="0.25">
      <c r="A33444" t="str">
        <f>"3341108"</f>
        <v>3341108</v>
      </c>
      <c r="B33444" t="s">
        <v>24048</v>
      </c>
      <c r="C33444" t="s">
        <v>33</v>
      </c>
      <c r="D33444" s="21" t="s">
        <v>34</v>
      </c>
      <c r="E33444" s="21" t="s">
        <v>71</v>
      </c>
      <c r="F33444">
        <v>10330125</v>
      </c>
      <c r="G33444" t="s">
        <v>3753</v>
      </c>
      <c r="H33444" s="21">
        <v>502.67</v>
      </c>
    </row>
    <row r="33445" spans="1:8" customFormat="1" x14ac:dyDescent="0.25">
      <c r="A33445" t="str">
        <f>"29567"</f>
        <v>29567</v>
      </c>
      <c r="B33445" t="s">
        <v>1827</v>
      </c>
      <c r="C33445" t="s">
        <v>415</v>
      </c>
      <c r="D33445" s="21" t="s">
        <v>34</v>
      </c>
      <c r="E33445" s="21" t="s">
        <v>254</v>
      </c>
      <c r="F33445">
        <v>3290221</v>
      </c>
      <c r="G33445" t="s">
        <v>3544</v>
      </c>
      <c r="H33445" s="21">
        <v>502.67</v>
      </c>
    </row>
    <row r="33446" spans="1:8" customFormat="1" x14ac:dyDescent="0.25">
      <c r="A33446" t="str">
        <f>"1424648"</f>
        <v>1424648</v>
      </c>
      <c r="B33446" t="s">
        <v>22033</v>
      </c>
      <c r="C33446" t="s">
        <v>249</v>
      </c>
      <c r="D33446" s="21" t="s">
        <v>34</v>
      </c>
      <c r="E33446" s="21" t="s">
        <v>71</v>
      </c>
      <c r="F33446">
        <v>9140174</v>
      </c>
      <c r="G33446" t="s">
        <v>26738</v>
      </c>
      <c r="H33446" s="21">
        <v>502.5</v>
      </c>
    </row>
    <row r="33447" spans="1:8" customFormat="1" x14ac:dyDescent="0.25">
      <c r="A33447" t="str">
        <f>"184883"</f>
        <v>184883</v>
      </c>
      <c r="B33447" t="s">
        <v>4849</v>
      </c>
      <c r="C33447" t="s">
        <v>239</v>
      </c>
      <c r="D33447" s="21" t="s">
        <v>34</v>
      </c>
      <c r="E33447" s="21" t="s">
        <v>35</v>
      </c>
      <c r="F33447">
        <v>4180721</v>
      </c>
      <c r="G33447" t="s">
        <v>6330</v>
      </c>
      <c r="H33447" s="21">
        <v>502.5</v>
      </c>
    </row>
    <row r="33448" spans="1:8" customFormat="1" x14ac:dyDescent="0.25">
      <c r="A33448" t="str">
        <f>"7848492"</f>
        <v>7848492</v>
      </c>
      <c r="B33448" t="s">
        <v>28650</v>
      </c>
      <c r="C33448" t="s">
        <v>87</v>
      </c>
      <c r="D33448" s="21" t="s">
        <v>34</v>
      </c>
      <c r="E33448" s="21" t="s">
        <v>35</v>
      </c>
      <c r="F33448">
        <v>8781248</v>
      </c>
      <c r="G33448" t="s">
        <v>2005</v>
      </c>
      <c r="H33448" s="21">
        <v>502.5</v>
      </c>
    </row>
    <row r="33449" spans="1:8" customFormat="1" x14ac:dyDescent="0.25">
      <c r="A33449" t="str">
        <f>"5325181"</f>
        <v>5325181</v>
      </c>
      <c r="B33449" t="s">
        <v>2711</v>
      </c>
      <c r="C33449" t="s">
        <v>124</v>
      </c>
      <c r="D33449" s="21" t="s">
        <v>34</v>
      </c>
      <c r="E33449" s="21" t="s">
        <v>35</v>
      </c>
      <c r="F33449">
        <v>12538910</v>
      </c>
      <c r="G33449" t="s">
        <v>8855</v>
      </c>
      <c r="H33449" s="21">
        <v>502.5</v>
      </c>
    </row>
    <row r="33450" spans="1:8" customFormat="1" x14ac:dyDescent="0.25">
      <c r="A33450" t="str">
        <f>"5983596"</f>
        <v>5983596</v>
      </c>
      <c r="B33450" t="s">
        <v>28651</v>
      </c>
      <c r="C33450" t="s">
        <v>139</v>
      </c>
      <c r="D33450" s="21" t="s">
        <v>34</v>
      </c>
      <c r="E33450" s="21" t="s">
        <v>35</v>
      </c>
      <c r="F33450">
        <v>7590244</v>
      </c>
      <c r="G33450" t="s">
        <v>5768</v>
      </c>
      <c r="H33450" s="21">
        <v>502.5</v>
      </c>
    </row>
    <row r="33451" spans="1:8" customFormat="1" x14ac:dyDescent="0.25">
      <c r="A33451" t="str">
        <f>"1418009"</f>
        <v>1418009</v>
      </c>
      <c r="B33451" t="s">
        <v>24060</v>
      </c>
      <c r="C33451" t="s">
        <v>608</v>
      </c>
      <c r="D33451" s="21" t="s">
        <v>34</v>
      </c>
      <c r="E33451" s="21" t="s">
        <v>35</v>
      </c>
      <c r="F33451">
        <v>9140007</v>
      </c>
      <c r="G33451" t="s">
        <v>434</v>
      </c>
      <c r="H33451" s="21">
        <v>502.5</v>
      </c>
    </row>
    <row r="33452" spans="1:8" customFormat="1" x14ac:dyDescent="0.25">
      <c r="A33452" t="str">
        <f>"2516724"</f>
        <v>2516724</v>
      </c>
      <c r="B33452" t="s">
        <v>1370</v>
      </c>
      <c r="C33452" t="s">
        <v>33</v>
      </c>
      <c r="D33452" s="21" t="s">
        <v>34</v>
      </c>
      <c r="E33452" s="21" t="s">
        <v>35</v>
      </c>
      <c r="F33452">
        <v>2250216</v>
      </c>
      <c r="G33452" t="s">
        <v>11454</v>
      </c>
      <c r="H33452" s="21">
        <v>502.5</v>
      </c>
    </row>
    <row r="33453" spans="1:8" customFormat="1" x14ac:dyDescent="0.25">
      <c r="A33453" t="str">
        <f>"6112955"</f>
        <v>6112955</v>
      </c>
      <c r="B33453" t="s">
        <v>14570</v>
      </c>
      <c r="C33453" t="s">
        <v>204</v>
      </c>
      <c r="D33453" s="21" t="s">
        <v>34</v>
      </c>
      <c r="E33453" s="21" t="s">
        <v>35</v>
      </c>
      <c r="F33453">
        <v>9610135</v>
      </c>
      <c r="G33453" t="s">
        <v>8227</v>
      </c>
      <c r="H33453" s="21">
        <v>502.5</v>
      </c>
    </row>
    <row r="33454" spans="1:8" customFormat="1" x14ac:dyDescent="0.25">
      <c r="A33454" t="str">
        <f>"5732461"</f>
        <v>5732461</v>
      </c>
      <c r="B33454" t="s">
        <v>23888</v>
      </c>
      <c r="C33454" t="s">
        <v>1142</v>
      </c>
      <c r="D33454" s="21" t="s">
        <v>34</v>
      </c>
      <c r="E33454" s="21" t="s">
        <v>254</v>
      </c>
      <c r="F33454">
        <v>6570199</v>
      </c>
      <c r="G33454" t="s">
        <v>5711</v>
      </c>
      <c r="H33454" s="21">
        <v>502.5</v>
      </c>
    </row>
    <row r="33455" spans="1:8" customFormat="1" x14ac:dyDescent="0.25">
      <c r="A33455" t="str">
        <f>"848769"</f>
        <v>848769</v>
      </c>
      <c r="B33455" t="s">
        <v>28652</v>
      </c>
      <c r="C33455" t="s">
        <v>82</v>
      </c>
      <c r="D33455" s="21" t="s">
        <v>34</v>
      </c>
      <c r="E33455" s="21" t="s">
        <v>35</v>
      </c>
      <c r="F33455">
        <v>13840012</v>
      </c>
      <c r="G33455" t="s">
        <v>5143</v>
      </c>
      <c r="H33455" s="21">
        <v>502.5</v>
      </c>
    </row>
    <row r="33456" spans="1:8" customFormat="1" x14ac:dyDescent="0.25">
      <c r="A33456" t="str">
        <f>"898838"</f>
        <v>898838</v>
      </c>
      <c r="B33456" t="s">
        <v>2308</v>
      </c>
      <c r="C33456" t="s">
        <v>967</v>
      </c>
      <c r="D33456" s="21" t="s">
        <v>34</v>
      </c>
      <c r="E33456" s="21" t="s">
        <v>254</v>
      </c>
      <c r="F33456">
        <v>2890006</v>
      </c>
      <c r="G33456" t="s">
        <v>2044</v>
      </c>
      <c r="H33456" s="21">
        <v>502.5</v>
      </c>
    </row>
    <row r="33457" spans="1:8" customFormat="1" x14ac:dyDescent="0.25">
      <c r="A33457" t="str">
        <f>"4934998"</f>
        <v>4934998</v>
      </c>
      <c r="B33457" t="s">
        <v>4865</v>
      </c>
      <c r="C33457" t="s">
        <v>1025</v>
      </c>
      <c r="D33457" s="21" t="s">
        <v>34</v>
      </c>
      <c r="E33457" s="21" t="s">
        <v>71</v>
      </c>
      <c r="F33457">
        <v>12490098</v>
      </c>
      <c r="G33457" t="s">
        <v>2670</v>
      </c>
      <c r="H33457" s="21">
        <v>502.5</v>
      </c>
    </row>
    <row r="33458" spans="1:8" customFormat="1" x14ac:dyDescent="0.25">
      <c r="A33458" t="str">
        <f>"5730245"</f>
        <v>5730245</v>
      </c>
      <c r="B33458" t="s">
        <v>24704</v>
      </c>
      <c r="C33458" t="s">
        <v>1119</v>
      </c>
      <c r="D33458" s="21" t="s">
        <v>34</v>
      </c>
      <c r="E33458" s="21" t="s">
        <v>71</v>
      </c>
      <c r="F33458">
        <v>6570125</v>
      </c>
      <c r="G33458" t="s">
        <v>14599</v>
      </c>
      <c r="H33458" s="21">
        <v>502.5</v>
      </c>
    </row>
    <row r="33459" spans="1:8" customFormat="1" x14ac:dyDescent="0.25">
      <c r="A33459" t="str">
        <f>"7635532"</f>
        <v>7635532</v>
      </c>
      <c r="B33459" t="s">
        <v>26164</v>
      </c>
      <c r="C33459" t="s">
        <v>415</v>
      </c>
      <c r="D33459" s="21" t="s">
        <v>34</v>
      </c>
      <c r="E33459" s="21" t="s">
        <v>35</v>
      </c>
      <c r="F33459">
        <v>9760104</v>
      </c>
      <c r="G33459" t="s">
        <v>26795</v>
      </c>
      <c r="H33459" s="21">
        <v>502.5</v>
      </c>
    </row>
    <row r="33460" spans="1:8" customFormat="1" x14ac:dyDescent="0.25">
      <c r="A33460" t="str">
        <f>"7730697"</f>
        <v>7730697</v>
      </c>
      <c r="B33460" t="s">
        <v>10310</v>
      </c>
      <c r="C33460" t="s">
        <v>275</v>
      </c>
      <c r="D33460" s="21" t="s">
        <v>34</v>
      </c>
      <c r="E33460" s="21" t="s">
        <v>35</v>
      </c>
      <c r="F33460">
        <v>8771236</v>
      </c>
      <c r="G33460" t="s">
        <v>386</v>
      </c>
      <c r="H33460" s="21">
        <v>502.5</v>
      </c>
    </row>
    <row r="33461" spans="1:8" customFormat="1" x14ac:dyDescent="0.25">
      <c r="A33461" t="str">
        <f>"9144213"</f>
        <v>9144213</v>
      </c>
      <c r="B33461" t="s">
        <v>8268</v>
      </c>
      <c r="C33461" t="s">
        <v>87</v>
      </c>
      <c r="D33461" s="21" t="s">
        <v>34</v>
      </c>
      <c r="E33461" s="21" t="s">
        <v>35</v>
      </c>
      <c r="F33461">
        <v>8911464</v>
      </c>
      <c r="G33461" t="s">
        <v>17832</v>
      </c>
      <c r="H33461" s="21">
        <v>502.5</v>
      </c>
    </row>
    <row r="33462" spans="1:8" customFormat="1" x14ac:dyDescent="0.25">
      <c r="A33462" t="str">
        <f>"6949282"</f>
        <v>6949282</v>
      </c>
      <c r="B33462" t="s">
        <v>10311</v>
      </c>
      <c r="C33462" t="s">
        <v>3098</v>
      </c>
      <c r="D33462" s="21" t="s">
        <v>34</v>
      </c>
      <c r="E33462" s="21" t="s">
        <v>35</v>
      </c>
      <c r="F33462">
        <v>1690167</v>
      </c>
      <c r="G33462" t="s">
        <v>11267</v>
      </c>
      <c r="H33462" s="21">
        <v>502.5</v>
      </c>
    </row>
    <row r="33463" spans="1:8" customFormat="1" x14ac:dyDescent="0.25">
      <c r="A33463" t="str">
        <f>"83735"</f>
        <v>83735</v>
      </c>
      <c r="B33463" t="s">
        <v>23720</v>
      </c>
      <c r="C33463" t="s">
        <v>209</v>
      </c>
      <c r="D33463" s="21" t="s">
        <v>34</v>
      </c>
      <c r="E33463" s="21" t="s">
        <v>71</v>
      </c>
      <c r="F33463">
        <v>13830022</v>
      </c>
      <c r="G33463" t="s">
        <v>633</v>
      </c>
      <c r="H33463" s="21">
        <v>502.5</v>
      </c>
    </row>
    <row r="33464" spans="1:8" customFormat="1" x14ac:dyDescent="0.25">
      <c r="A33464" t="str">
        <f>"153935"</f>
        <v>153935</v>
      </c>
      <c r="B33464" t="s">
        <v>21914</v>
      </c>
      <c r="C33464" t="s">
        <v>379</v>
      </c>
      <c r="D33464" s="21" t="s">
        <v>34</v>
      </c>
      <c r="E33464" s="21" t="s">
        <v>254</v>
      </c>
      <c r="F33464">
        <v>1150290</v>
      </c>
      <c r="G33464" t="s">
        <v>12544</v>
      </c>
      <c r="H33464" s="21">
        <v>502.5</v>
      </c>
    </row>
    <row r="33465" spans="1:8" customFormat="1" x14ac:dyDescent="0.25">
      <c r="A33465" t="str">
        <f>"3535497"</f>
        <v>3535497</v>
      </c>
      <c r="B33465" t="s">
        <v>22447</v>
      </c>
      <c r="C33465" t="s">
        <v>169</v>
      </c>
      <c r="D33465" s="21" t="s">
        <v>34</v>
      </c>
      <c r="E33465" s="21" t="s">
        <v>71</v>
      </c>
      <c r="F33465">
        <v>3350209</v>
      </c>
      <c r="G33465" t="s">
        <v>3023</v>
      </c>
      <c r="H33465" s="21">
        <v>502.5</v>
      </c>
    </row>
    <row r="33466" spans="1:8" customFormat="1" x14ac:dyDescent="0.25">
      <c r="A33466" t="str">
        <f>"838819"</f>
        <v>838819</v>
      </c>
      <c r="B33466" t="s">
        <v>23138</v>
      </c>
      <c r="C33466" t="s">
        <v>253</v>
      </c>
      <c r="D33466" s="21" t="s">
        <v>34</v>
      </c>
      <c r="E33466" s="21" t="s">
        <v>1089</v>
      </c>
      <c r="F33466">
        <v>13830085</v>
      </c>
      <c r="G33466" t="s">
        <v>478</v>
      </c>
      <c r="H33466" s="21">
        <v>502.5</v>
      </c>
    </row>
    <row r="33467" spans="1:8" customFormat="1" x14ac:dyDescent="0.25">
      <c r="A33467" t="str">
        <f>"626513"</f>
        <v>626513</v>
      </c>
      <c r="B33467" t="s">
        <v>4834</v>
      </c>
      <c r="C33467" t="s">
        <v>267</v>
      </c>
      <c r="D33467" s="21" t="s">
        <v>34</v>
      </c>
      <c r="E33467" s="21" t="s">
        <v>254</v>
      </c>
      <c r="F33467">
        <v>7620119</v>
      </c>
      <c r="G33467" t="s">
        <v>5233</v>
      </c>
      <c r="H33467" s="21">
        <v>502.5</v>
      </c>
    </row>
    <row r="33468" spans="1:8" customFormat="1" x14ac:dyDescent="0.25">
      <c r="A33468" t="str">
        <f>"5617810"</f>
        <v>5617810</v>
      </c>
      <c r="B33468" t="s">
        <v>11276</v>
      </c>
      <c r="C33468" t="s">
        <v>209</v>
      </c>
      <c r="D33468" s="21" t="s">
        <v>34</v>
      </c>
      <c r="E33468" s="21" t="s">
        <v>71</v>
      </c>
      <c r="F33468">
        <v>3560071</v>
      </c>
      <c r="G33468" t="s">
        <v>8573</v>
      </c>
      <c r="H33468" s="21">
        <v>502.5</v>
      </c>
    </row>
    <row r="33469" spans="1:8" customFormat="1" x14ac:dyDescent="0.25">
      <c r="A33469" t="str">
        <f>"7923087"</f>
        <v>7923087</v>
      </c>
      <c r="B33469" t="s">
        <v>24264</v>
      </c>
      <c r="C33469" t="s">
        <v>1299</v>
      </c>
      <c r="D33469" s="21" t="s">
        <v>34</v>
      </c>
      <c r="E33469" s="21" t="s">
        <v>35</v>
      </c>
      <c r="F33469">
        <v>10790005</v>
      </c>
      <c r="G33469" t="s">
        <v>1948</v>
      </c>
      <c r="H33469" s="21">
        <v>502.5</v>
      </c>
    </row>
    <row r="33470" spans="1:8" customFormat="1" x14ac:dyDescent="0.25">
      <c r="A33470" t="str">
        <f>"1318128"</f>
        <v>1318128</v>
      </c>
      <c r="B33470" t="s">
        <v>22431</v>
      </c>
      <c r="C33470" t="s">
        <v>87</v>
      </c>
      <c r="D33470" s="21" t="s">
        <v>34</v>
      </c>
      <c r="E33470" s="21" t="s">
        <v>254</v>
      </c>
      <c r="F33470">
        <v>13130152</v>
      </c>
      <c r="G33470" t="s">
        <v>906</v>
      </c>
      <c r="H33470" s="21">
        <v>502.29</v>
      </c>
    </row>
    <row r="33471" spans="1:8" customFormat="1" x14ac:dyDescent="0.25">
      <c r="A33471" t="str">
        <f>"4113395"</f>
        <v>4113395</v>
      </c>
      <c r="B33471" t="s">
        <v>22703</v>
      </c>
      <c r="C33471" t="s">
        <v>3217</v>
      </c>
      <c r="D33471" s="21" t="s">
        <v>34</v>
      </c>
      <c r="E33471" s="21" t="s">
        <v>35</v>
      </c>
      <c r="F33471">
        <v>4410390</v>
      </c>
      <c r="G33471" t="s">
        <v>12210</v>
      </c>
      <c r="H33471" s="21">
        <v>502.25</v>
      </c>
    </row>
    <row r="33472" spans="1:8" customFormat="1" x14ac:dyDescent="0.25">
      <c r="A33472" t="str">
        <f>"4518721"</f>
        <v>4518721</v>
      </c>
      <c r="B33472" t="s">
        <v>24167</v>
      </c>
      <c r="C33472" t="s">
        <v>822</v>
      </c>
      <c r="D33472" s="21" t="s">
        <v>34</v>
      </c>
      <c r="E33472" s="21" t="s">
        <v>71</v>
      </c>
      <c r="F33472">
        <v>4450362</v>
      </c>
      <c r="G33472" t="s">
        <v>20963</v>
      </c>
      <c r="H33472" s="21">
        <v>502.25</v>
      </c>
    </row>
    <row r="33473" spans="1:8" customFormat="1" x14ac:dyDescent="0.25">
      <c r="A33473" t="str">
        <f>"9537067"</f>
        <v>9537067</v>
      </c>
      <c r="B33473" t="s">
        <v>24555</v>
      </c>
      <c r="C33473" t="s">
        <v>269</v>
      </c>
      <c r="D33473" s="21" t="s">
        <v>34</v>
      </c>
      <c r="E33473" s="21" t="s">
        <v>35</v>
      </c>
      <c r="F33473">
        <v>8951222</v>
      </c>
      <c r="G33473" t="s">
        <v>3746</v>
      </c>
      <c r="H33473" s="21">
        <v>502.25</v>
      </c>
    </row>
    <row r="33474" spans="1:8" customFormat="1" x14ac:dyDescent="0.25">
      <c r="A33474" t="str">
        <f>"5954139"</f>
        <v>5954139</v>
      </c>
      <c r="B33474" t="s">
        <v>22091</v>
      </c>
      <c r="C33474" t="s">
        <v>1146</v>
      </c>
      <c r="D33474" s="21" t="s">
        <v>34</v>
      </c>
      <c r="E33474" s="21" t="s">
        <v>254</v>
      </c>
      <c r="F33474">
        <v>7590100</v>
      </c>
      <c r="G33474" t="s">
        <v>1660</v>
      </c>
      <c r="H33474" s="21">
        <v>502.25</v>
      </c>
    </row>
    <row r="33475" spans="1:8" customFormat="1" x14ac:dyDescent="0.25">
      <c r="A33475" t="str">
        <f>"5955861"</f>
        <v>5955861</v>
      </c>
      <c r="B33475" t="s">
        <v>22666</v>
      </c>
      <c r="C33475" t="s">
        <v>1271</v>
      </c>
      <c r="D33475" s="21" t="s">
        <v>34</v>
      </c>
      <c r="E33475" s="21" t="s">
        <v>254</v>
      </c>
      <c r="F33475">
        <v>7590336</v>
      </c>
      <c r="G33475" t="s">
        <v>2341</v>
      </c>
      <c r="H33475" s="21">
        <v>502.25</v>
      </c>
    </row>
    <row r="33476" spans="1:8" customFormat="1" x14ac:dyDescent="0.25">
      <c r="A33476" t="str">
        <f>"442162"</f>
        <v>442162</v>
      </c>
      <c r="B33476" t="s">
        <v>2088</v>
      </c>
      <c r="C33476" t="s">
        <v>144</v>
      </c>
      <c r="D33476" s="21" t="s">
        <v>34</v>
      </c>
      <c r="E33476" s="21" t="s">
        <v>254</v>
      </c>
      <c r="F33476">
        <v>12440070</v>
      </c>
      <c r="G33476" t="s">
        <v>5224</v>
      </c>
      <c r="H33476" s="21">
        <v>502.17</v>
      </c>
    </row>
    <row r="33477" spans="1:8" customFormat="1" x14ac:dyDescent="0.25">
      <c r="A33477" t="str">
        <f>"7638281"</f>
        <v>7638281</v>
      </c>
      <c r="B33477" t="s">
        <v>20805</v>
      </c>
      <c r="C33477" t="s">
        <v>1063</v>
      </c>
      <c r="D33477" s="21" t="s">
        <v>34</v>
      </c>
      <c r="E33477" s="21" t="s">
        <v>35</v>
      </c>
      <c r="F33477">
        <v>9760352</v>
      </c>
      <c r="G33477" t="s">
        <v>7885</v>
      </c>
      <c r="H33477" s="21">
        <v>502.17</v>
      </c>
    </row>
    <row r="33478" spans="1:8" customFormat="1" x14ac:dyDescent="0.25">
      <c r="A33478" t="str">
        <f>"652451"</f>
        <v>652451</v>
      </c>
      <c r="B33478" t="s">
        <v>22093</v>
      </c>
      <c r="C33478" t="s">
        <v>267</v>
      </c>
      <c r="D33478" s="21" t="s">
        <v>34</v>
      </c>
      <c r="E33478" s="21" t="s">
        <v>71</v>
      </c>
      <c r="F33478">
        <v>11650017</v>
      </c>
      <c r="G33478" t="s">
        <v>13273</v>
      </c>
      <c r="H33478" s="21">
        <v>502.17</v>
      </c>
    </row>
    <row r="33479" spans="1:8" customFormat="1" x14ac:dyDescent="0.25">
      <c r="A33479" t="str">
        <f>"4711385"</f>
        <v>4711385</v>
      </c>
      <c r="B33479" t="s">
        <v>28653</v>
      </c>
      <c r="C33479" t="s">
        <v>608</v>
      </c>
      <c r="D33479" s="21" t="s">
        <v>34</v>
      </c>
      <c r="E33479" s="21" t="s">
        <v>35</v>
      </c>
      <c r="F33479">
        <v>10470021</v>
      </c>
      <c r="G33479" t="s">
        <v>1034</v>
      </c>
      <c r="H33479" s="21">
        <v>502.17</v>
      </c>
    </row>
    <row r="33480" spans="1:8" customFormat="1" x14ac:dyDescent="0.25">
      <c r="A33480" t="str">
        <f>"5976716"</f>
        <v>5976716</v>
      </c>
      <c r="B33480" t="s">
        <v>22370</v>
      </c>
      <c r="C33480" t="s">
        <v>156</v>
      </c>
      <c r="D33480" s="21" t="s">
        <v>34</v>
      </c>
      <c r="E33480" s="21" t="s">
        <v>1089</v>
      </c>
      <c r="F33480">
        <v>7590112</v>
      </c>
      <c r="G33480" t="s">
        <v>3534</v>
      </c>
      <c r="H33480" s="21">
        <v>502.17</v>
      </c>
    </row>
    <row r="33481" spans="1:8" customFormat="1" x14ac:dyDescent="0.25">
      <c r="A33481" t="str">
        <f>"847226"</f>
        <v>847226</v>
      </c>
      <c r="B33481" t="s">
        <v>23600</v>
      </c>
      <c r="C33481" t="s">
        <v>33</v>
      </c>
      <c r="D33481" s="21" t="s">
        <v>34</v>
      </c>
      <c r="E33481" s="21" t="s">
        <v>35</v>
      </c>
      <c r="F33481">
        <v>13840001</v>
      </c>
      <c r="G33481" t="s">
        <v>972</v>
      </c>
      <c r="H33481" s="21">
        <v>502.17</v>
      </c>
    </row>
    <row r="33482" spans="1:8" customFormat="1" x14ac:dyDescent="0.25">
      <c r="A33482" t="str">
        <f>"4433005"</f>
        <v>4433005</v>
      </c>
      <c r="B33482" t="s">
        <v>15179</v>
      </c>
      <c r="C33482" t="s">
        <v>462</v>
      </c>
      <c r="D33482" s="21" t="s">
        <v>34</v>
      </c>
      <c r="E33482" s="21" t="s">
        <v>254</v>
      </c>
      <c r="F33482">
        <v>12440039</v>
      </c>
      <c r="G33482" t="s">
        <v>9650</v>
      </c>
      <c r="H33482" s="21">
        <v>502.17</v>
      </c>
    </row>
    <row r="33483" spans="1:8" customFormat="1" x14ac:dyDescent="0.25">
      <c r="A33483" t="str">
        <f>"4452314"</f>
        <v>4452314</v>
      </c>
      <c r="B33483" t="s">
        <v>551</v>
      </c>
      <c r="C33483" t="s">
        <v>119</v>
      </c>
      <c r="D33483" s="21" t="s">
        <v>34</v>
      </c>
      <c r="E33483" s="21" t="s">
        <v>35</v>
      </c>
      <c r="F33483">
        <v>12440039</v>
      </c>
      <c r="G33483" t="s">
        <v>9650</v>
      </c>
      <c r="H33483" s="21">
        <v>502.17</v>
      </c>
    </row>
    <row r="33484" spans="1:8" customFormat="1" x14ac:dyDescent="0.25">
      <c r="A33484" t="str">
        <f>"2721477"</f>
        <v>2721477</v>
      </c>
      <c r="B33484" t="s">
        <v>28654</v>
      </c>
      <c r="C33484" t="s">
        <v>87</v>
      </c>
      <c r="D33484" s="21" t="s">
        <v>34</v>
      </c>
      <c r="E33484" s="21" t="s">
        <v>35</v>
      </c>
      <c r="F33484">
        <v>9270041</v>
      </c>
      <c r="G33484" t="s">
        <v>4698</v>
      </c>
      <c r="H33484" s="21">
        <v>502.17</v>
      </c>
    </row>
    <row r="33485" spans="1:8" customFormat="1" x14ac:dyDescent="0.25">
      <c r="A33485" t="str">
        <f>"687087"</f>
        <v>687087</v>
      </c>
      <c r="B33485" t="s">
        <v>105</v>
      </c>
      <c r="C33485" t="s">
        <v>239</v>
      </c>
      <c r="D33485" s="21" t="s">
        <v>34</v>
      </c>
      <c r="E33485" s="21" t="s">
        <v>254</v>
      </c>
      <c r="F33485">
        <v>6680128</v>
      </c>
      <c r="G33485" t="s">
        <v>341</v>
      </c>
      <c r="H33485" s="21">
        <v>502.17</v>
      </c>
    </row>
    <row r="33486" spans="1:8" customFormat="1" x14ac:dyDescent="0.25">
      <c r="A33486" t="str">
        <f>"7729428"</f>
        <v>7729428</v>
      </c>
      <c r="B33486" t="s">
        <v>22415</v>
      </c>
      <c r="C33486" t="s">
        <v>55</v>
      </c>
      <c r="D33486" s="21" t="s">
        <v>34</v>
      </c>
      <c r="E33486" s="21" t="s">
        <v>35</v>
      </c>
      <c r="F33486">
        <v>8771401</v>
      </c>
      <c r="G33486" t="s">
        <v>6636</v>
      </c>
      <c r="H33486" s="21">
        <v>502.17</v>
      </c>
    </row>
    <row r="33487" spans="1:8" customFormat="1" x14ac:dyDescent="0.25">
      <c r="A33487" t="str">
        <f>"7217194"</f>
        <v>7217194</v>
      </c>
      <c r="B33487" t="s">
        <v>21657</v>
      </c>
      <c r="C33487" t="s">
        <v>33</v>
      </c>
      <c r="D33487" s="21" t="s">
        <v>34</v>
      </c>
      <c r="E33487" s="21" t="s">
        <v>71</v>
      </c>
      <c r="F33487">
        <v>12720062</v>
      </c>
      <c r="G33487" t="s">
        <v>4026</v>
      </c>
      <c r="H33487" s="21">
        <v>502.17</v>
      </c>
    </row>
    <row r="33488" spans="1:8" customFormat="1" x14ac:dyDescent="0.25">
      <c r="A33488" t="str">
        <f>"7638570"</f>
        <v>7638570</v>
      </c>
      <c r="B33488" t="s">
        <v>23928</v>
      </c>
      <c r="C33488" t="s">
        <v>65</v>
      </c>
      <c r="D33488" s="21" t="s">
        <v>34</v>
      </c>
      <c r="E33488" s="21" t="s">
        <v>71</v>
      </c>
      <c r="F33488">
        <v>9760294</v>
      </c>
      <c r="G33488" t="s">
        <v>8313</v>
      </c>
      <c r="H33488" s="21">
        <v>502.17</v>
      </c>
    </row>
    <row r="33489" spans="1:8" customFormat="1" x14ac:dyDescent="0.25">
      <c r="A33489" t="str">
        <f>"114160"</f>
        <v>114160</v>
      </c>
      <c r="B33489" t="s">
        <v>24360</v>
      </c>
      <c r="C33489" t="s">
        <v>879</v>
      </c>
      <c r="D33489" s="21" t="s">
        <v>34</v>
      </c>
      <c r="E33489" s="21" t="s">
        <v>35</v>
      </c>
      <c r="F33489">
        <v>11110032</v>
      </c>
      <c r="G33489" t="s">
        <v>2698</v>
      </c>
      <c r="H33489" s="21">
        <v>502</v>
      </c>
    </row>
    <row r="33490" spans="1:8" customFormat="1" x14ac:dyDescent="0.25">
      <c r="A33490" t="str">
        <f>"6233720"</f>
        <v>6233720</v>
      </c>
      <c r="B33490" t="s">
        <v>28655</v>
      </c>
      <c r="C33490" t="s">
        <v>65</v>
      </c>
      <c r="D33490" s="21" t="s">
        <v>34</v>
      </c>
      <c r="E33490" s="21" t="s">
        <v>1089</v>
      </c>
      <c r="F33490">
        <v>7620063</v>
      </c>
      <c r="G33490" t="s">
        <v>1889</v>
      </c>
      <c r="H33490" s="21">
        <v>502</v>
      </c>
    </row>
    <row r="33491" spans="1:8" customFormat="1" x14ac:dyDescent="0.25">
      <c r="A33491" t="str">
        <f>"8013825"</f>
        <v>8013825</v>
      </c>
      <c r="B33491" t="s">
        <v>22321</v>
      </c>
      <c r="C33491" t="s">
        <v>209</v>
      </c>
      <c r="D33491" s="21" t="s">
        <v>34</v>
      </c>
      <c r="E33491" s="21" t="s">
        <v>254</v>
      </c>
      <c r="F33491">
        <v>7800008</v>
      </c>
      <c r="G33491" t="s">
        <v>842</v>
      </c>
      <c r="H33491" s="21">
        <v>502</v>
      </c>
    </row>
    <row r="33492" spans="1:8" customFormat="1" x14ac:dyDescent="0.25">
      <c r="A33492" t="str">
        <f>"8612873"</f>
        <v>8612873</v>
      </c>
      <c r="B33492" t="s">
        <v>22408</v>
      </c>
      <c r="C33492" t="s">
        <v>169</v>
      </c>
      <c r="D33492" s="21" t="s">
        <v>34</v>
      </c>
      <c r="E33492" s="21" t="s">
        <v>71</v>
      </c>
      <c r="F33492">
        <v>10860031</v>
      </c>
      <c r="G33492" t="s">
        <v>5834</v>
      </c>
      <c r="H33492" s="21">
        <v>502</v>
      </c>
    </row>
    <row r="33493" spans="1:8" customFormat="1" x14ac:dyDescent="0.25">
      <c r="A33493" t="str">
        <f>"9538124"</f>
        <v>9538124</v>
      </c>
      <c r="B33493" t="s">
        <v>9658</v>
      </c>
      <c r="C33493" t="s">
        <v>209</v>
      </c>
      <c r="D33493" s="21" t="s">
        <v>34</v>
      </c>
      <c r="E33493" s="21" t="s">
        <v>71</v>
      </c>
      <c r="F33493">
        <v>8950083</v>
      </c>
      <c r="G33493" t="s">
        <v>405</v>
      </c>
      <c r="H33493" s="21">
        <v>502</v>
      </c>
    </row>
    <row r="33494" spans="1:8" customFormat="1" x14ac:dyDescent="0.25">
      <c r="A33494" t="str">
        <f>"7817687"</f>
        <v>7817687</v>
      </c>
      <c r="B33494" t="s">
        <v>4352</v>
      </c>
      <c r="C33494" t="s">
        <v>598</v>
      </c>
      <c r="D33494" s="21" t="s">
        <v>34</v>
      </c>
      <c r="E33494" s="21" t="s">
        <v>254</v>
      </c>
      <c r="F33494">
        <v>8781474</v>
      </c>
      <c r="G33494" t="s">
        <v>17197</v>
      </c>
      <c r="H33494" s="21">
        <v>502</v>
      </c>
    </row>
    <row r="33495" spans="1:8" customFormat="1" x14ac:dyDescent="0.25">
      <c r="A33495" t="str">
        <f>"768632"</f>
        <v>768632</v>
      </c>
      <c r="B33495" t="s">
        <v>24398</v>
      </c>
      <c r="C33495" t="s">
        <v>269</v>
      </c>
      <c r="D33495" s="21" t="s">
        <v>34</v>
      </c>
      <c r="E33495" s="21" t="s">
        <v>71</v>
      </c>
      <c r="F33495">
        <v>9760256</v>
      </c>
      <c r="G33495" t="s">
        <v>4655</v>
      </c>
      <c r="H33495" s="21">
        <v>502</v>
      </c>
    </row>
    <row r="33496" spans="1:8" customFormat="1" x14ac:dyDescent="0.25">
      <c r="A33496" t="str">
        <f>"3831764"</f>
        <v>3831764</v>
      </c>
      <c r="B33496" t="s">
        <v>28656</v>
      </c>
      <c r="C33496" t="s">
        <v>28657</v>
      </c>
      <c r="D33496" s="21" t="s">
        <v>34</v>
      </c>
      <c r="E33496" s="21" t="s">
        <v>35</v>
      </c>
      <c r="F33496">
        <v>1380056</v>
      </c>
      <c r="G33496" t="s">
        <v>846</v>
      </c>
      <c r="H33496" s="21">
        <v>502</v>
      </c>
    </row>
    <row r="33497" spans="1:8" customFormat="1" x14ac:dyDescent="0.25">
      <c r="A33497" t="str">
        <f>"5982690"</f>
        <v>5982690</v>
      </c>
      <c r="B33497" t="s">
        <v>28658</v>
      </c>
      <c r="C33497" t="s">
        <v>187</v>
      </c>
      <c r="D33497" s="21" t="s">
        <v>34</v>
      </c>
      <c r="E33497" s="21" t="s">
        <v>71</v>
      </c>
      <c r="F33497">
        <v>7590336</v>
      </c>
      <c r="G33497" t="s">
        <v>2341</v>
      </c>
      <c r="H33497" s="21">
        <v>502</v>
      </c>
    </row>
    <row r="33498" spans="1:8" customFormat="1" x14ac:dyDescent="0.25">
      <c r="A33498" t="str">
        <f>"3538015"</f>
        <v>3538015</v>
      </c>
      <c r="B33498" t="s">
        <v>6693</v>
      </c>
      <c r="C33498" t="s">
        <v>4092</v>
      </c>
      <c r="D33498" s="21" t="s">
        <v>34</v>
      </c>
      <c r="E33498" s="21" t="s">
        <v>71</v>
      </c>
      <c r="F33498">
        <v>3350221</v>
      </c>
      <c r="G33498" t="s">
        <v>14681</v>
      </c>
      <c r="H33498" s="21">
        <v>502</v>
      </c>
    </row>
    <row r="33499" spans="1:8" customFormat="1" x14ac:dyDescent="0.25">
      <c r="A33499" t="str">
        <f>"649392"</f>
        <v>649392</v>
      </c>
      <c r="B33499" t="s">
        <v>28659</v>
      </c>
      <c r="C33499" t="s">
        <v>381</v>
      </c>
      <c r="D33499" s="21" t="s">
        <v>34</v>
      </c>
      <c r="E33499" s="21" t="s">
        <v>35</v>
      </c>
      <c r="F33499">
        <v>10640011</v>
      </c>
      <c r="G33499" t="s">
        <v>13300</v>
      </c>
      <c r="H33499" s="21">
        <v>502</v>
      </c>
    </row>
    <row r="33500" spans="1:8" customFormat="1" x14ac:dyDescent="0.25">
      <c r="A33500" t="str">
        <f>"4114061"</f>
        <v>4114061</v>
      </c>
      <c r="B33500" t="s">
        <v>28660</v>
      </c>
      <c r="C33500" t="s">
        <v>598</v>
      </c>
      <c r="D33500" s="21" t="s">
        <v>34</v>
      </c>
      <c r="E33500" s="21" t="s">
        <v>71</v>
      </c>
      <c r="F33500">
        <v>4410696</v>
      </c>
      <c r="G33500" t="s">
        <v>5909</v>
      </c>
      <c r="H33500" s="21">
        <v>502</v>
      </c>
    </row>
    <row r="33501" spans="1:8" customFormat="1" x14ac:dyDescent="0.25">
      <c r="A33501" t="str">
        <f>"3336413"</f>
        <v>3336413</v>
      </c>
      <c r="B33501" t="s">
        <v>24550</v>
      </c>
      <c r="C33501" t="s">
        <v>453</v>
      </c>
      <c r="D33501" s="21" t="s">
        <v>34</v>
      </c>
      <c r="E33501" s="21" t="s">
        <v>254</v>
      </c>
      <c r="F33501">
        <v>10330013</v>
      </c>
      <c r="G33501" t="s">
        <v>613</v>
      </c>
      <c r="H33501" s="21">
        <v>502</v>
      </c>
    </row>
    <row r="33502" spans="1:8" customFormat="1" x14ac:dyDescent="0.25">
      <c r="A33502" t="str">
        <f>"367756"</f>
        <v>367756</v>
      </c>
      <c r="B33502" t="s">
        <v>2118</v>
      </c>
      <c r="C33502" t="s">
        <v>1474</v>
      </c>
      <c r="D33502" s="21" t="s">
        <v>34</v>
      </c>
      <c r="E33502" s="21" t="s">
        <v>35</v>
      </c>
      <c r="F33502">
        <v>4360723</v>
      </c>
      <c r="G33502" t="s">
        <v>27127</v>
      </c>
      <c r="H33502" s="21">
        <v>502</v>
      </c>
    </row>
    <row r="33503" spans="1:8" customFormat="1" x14ac:dyDescent="0.25">
      <c r="A33503" t="str">
        <f>"9531829"</f>
        <v>9531829</v>
      </c>
      <c r="B33503" t="s">
        <v>24113</v>
      </c>
      <c r="C33503" t="s">
        <v>249</v>
      </c>
      <c r="D33503" s="21" t="s">
        <v>34</v>
      </c>
      <c r="E33503" s="21" t="s">
        <v>71</v>
      </c>
      <c r="F33503">
        <v>8951386</v>
      </c>
      <c r="G33503" t="s">
        <v>7765</v>
      </c>
      <c r="H33503" s="21">
        <v>502</v>
      </c>
    </row>
    <row r="33504" spans="1:8" customFormat="1" x14ac:dyDescent="0.25">
      <c r="A33504" t="str">
        <f>"7640356"</f>
        <v>7640356</v>
      </c>
      <c r="B33504" t="s">
        <v>2355</v>
      </c>
      <c r="C33504" t="s">
        <v>90</v>
      </c>
      <c r="D33504" s="21" t="s">
        <v>34</v>
      </c>
      <c r="E33504" s="21" t="s">
        <v>71</v>
      </c>
      <c r="F33504">
        <v>9760374</v>
      </c>
      <c r="G33504" t="s">
        <v>6867</v>
      </c>
      <c r="H33504" s="21">
        <v>502</v>
      </c>
    </row>
    <row r="33505" spans="1:8" customFormat="1" x14ac:dyDescent="0.25">
      <c r="A33505" t="str">
        <f>"6311980"</f>
        <v>6311980</v>
      </c>
      <c r="B33505" t="s">
        <v>435</v>
      </c>
      <c r="C33505" t="s">
        <v>209</v>
      </c>
      <c r="D33505" s="21" t="s">
        <v>34</v>
      </c>
      <c r="E33505" s="21" t="s">
        <v>254</v>
      </c>
      <c r="F33505">
        <v>1630114</v>
      </c>
      <c r="G33505" t="s">
        <v>10269</v>
      </c>
      <c r="H33505" s="21">
        <v>502</v>
      </c>
    </row>
    <row r="33506" spans="1:8" customFormat="1" x14ac:dyDescent="0.25">
      <c r="A33506" t="str">
        <f>"5932324"</f>
        <v>5932324</v>
      </c>
      <c r="B33506" t="s">
        <v>23865</v>
      </c>
      <c r="C33506" t="s">
        <v>1539</v>
      </c>
      <c r="D33506" s="21" t="s">
        <v>34</v>
      </c>
      <c r="E33506" s="21" t="s">
        <v>254</v>
      </c>
      <c r="F33506">
        <v>7590177</v>
      </c>
      <c r="G33506" t="s">
        <v>10380</v>
      </c>
      <c r="H33506" s="21">
        <v>502</v>
      </c>
    </row>
    <row r="33507" spans="1:8" customFormat="1" x14ac:dyDescent="0.25">
      <c r="A33507" t="str">
        <f>"449851"</f>
        <v>449851</v>
      </c>
      <c r="B33507" t="s">
        <v>23820</v>
      </c>
      <c r="C33507" t="s">
        <v>239</v>
      </c>
      <c r="D33507" s="21" t="s">
        <v>34</v>
      </c>
      <c r="E33507" s="21" t="s">
        <v>1089</v>
      </c>
      <c r="F33507">
        <v>12440021</v>
      </c>
      <c r="G33507" t="s">
        <v>429</v>
      </c>
      <c r="H33507" s="21">
        <v>502</v>
      </c>
    </row>
    <row r="33508" spans="1:8" customFormat="1" x14ac:dyDescent="0.25">
      <c r="A33508" t="str">
        <f>"6316842"</f>
        <v>6316842</v>
      </c>
      <c r="B33508" t="s">
        <v>2445</v>
      </c>
      <c r="C33508" t="s">
        <v>60</v>
      </c>
      <c r="D33508" s="21" t="s">
        <v>34</v>
      </c>
      <c r="E33508" s="21" t="s">
        <v>35</v>
      </c>
      <c r="F33508">
        <v>1630301</v>
      </c>
      <c r="G33508" t="s">
        <v>7897</v>
      </c>
      <c r="H33508" s="21">
        <v>502</v>
      </c>
    </row>
    <row r="33509" spans="1:8" customFormat="1" x14ac:dyDescent="0.25">
      <c r="A33509" t="str">
        <f>"518487"</f>
        <v>518487</v>
      </c>
      <c r="B33509" t="s">
        <v>14224</v>
      </c>
      <c r="C33509" t="s">
        <v>62</v>
      </c>
      <c r="D33509" s="21" t="s">
        <v>34</v>
      </c>
      <c r="E33509" s="21" t="s">
        <v>35</v>
      </c>
      <c r="F33509">
        <v>6510062</v>
      </c>
      <c r="G33509" t="s">
        <v>9059</v>
      </c>
      <c r="H33509" s="21">
        <v>502</v>
      </c>
    </row>
    <row r="33510" spans="1:8" customFormat="1" x14ac:dyDescent="0.25">
      <c r="A33510" t="str">
        <f>"9136046"</f>
        <v>9136046</v>
      </c>
      <c r="B33510" t="s">
        <v>5558</v>
      </c>
      <c r="C33510" t="s">
        <v>209</v>
      </c>
      <c r="D33510" s="21" t="s">
        <v>34</v>
      </c>
      <c r="E33510" s="21" t="s">
        <v>254</v>
      </c>
      <c r="F33510">
        <v>8910916</v>
      </c>
      <c r="G33510" t="s">
        <v>2251</v>
      </c>
      <c r="H33510" s="21">
        <v>502</v>
      </c>
    </row>
    <row r="33511" spans="1:8" customFormat="1" x14ac:dyDescent="0.25">
      <c r="A33511" t="str">
        <f>"3535254"</f>
        <v>3535254</v>
      </c>
      <c r="B33511" t="s">
        <v>11027</v>
      </c>
      <c r="C33511" t="s">
        <v>267</v>
      </c>
      <c r="D33511" s="21" t="s">
        <v>34</v>
      </c>
      <c r="E33511" s="21" t="s">
        <v>71</v>
      </c>
      <c r="F33511">
        <v>3350226</v>
      </c>
      <c r="G33511" t="s">
        <v>18219</v>
      </c>
      <c r="H33511" s="21">
        <v>502</v>
      </c>
    </row>
    <row r="33512" spans="1:8" customFormat="1" x14ac:dyDescent="0.25">
      <c r="A33512" t="str">
        <f>"324861"</f>
        <v>324861</v>
      </c>
      <c r="B33512" t="s">
        <v>12467</v>
      </c>
      <c r="C33512" t="s">
        <v>822</v>
      </c>
      <c r="D33512" s="21" t="s">
        <v>34</v>
      </c>
      <c r="E33512" s="21" t="s">
        <v>71</v>
      </c>
      <c r="F33512">
        <v>11320031</v>
      </c>
      <c r="G33512" t="s">
        <v>5237</v>
      </c>
      <c r="H33512" s="21">
        <v>502</v>
      </c>
    </row>
    <row r="33513" spans="1:8" customFormat="1" x14ac:dyDescent="0.25">
      <c r="A33513" t="str">
        <f>"6228583"</f>
        <v>6228583</v>
      </c>
      <c r="B33513" t="s">
        <v>22357</v>
      </c>
      <c r="C33513" t="s">
        <v>211</v>
      </c>
      <c r="D33513" s="21" t="s">
        <v>34</v>
      </c>
      <c r="E33513" s="21" t="s">
        <v>35</v>
      </c>
      <c r="F33513">
        <v>7620031</v>
      </c>
      <c r="G33513" t="s">
        <v>2182</v>
      </c>
      <c r="H33513" s="21">
        <v>502</v>
      </c>
    </row>
    <row r="33514" spans="1:8" customFormat="1" x14ac:dyDescent="0.25">
      <c r="A33514" t="str">
        <f>"848661"</f>
        <v>848661</v>
      </c>
      <c r="B33514" t="s">
        <v>28661</v>
      </c>
      <c r="C33514" t="s">
        <v>65</v>
      </c>
      <c r="D33514" s="21" t="s">
        <v>34</v>
      </c>
      <c r="E33514" s="21" t="s">
        <v>35</v>
      </c>
      <c r="F33514">
        <v>13840028</v>
      </c>
      <c r="G33514" t="s">
        <v>4139</v>
      </c>
      <c r="H33514" s="21">
        <v>502</v>
      </c>
    </row>
    <row r="33515" spans="1:8" customFormat="1" x14ac:dyDescent="0.25">
      <c r="A33515" t="str">
        <f>"6221229"</f>
        <v>6221229</v>
      </c>
      <c r="B33515" t="s">
        <v>3664</v>
      </c>
      <c r="C33515" t="s">
        <v>1271</v>
      </c>
      <c r="D33515" s="21" t="s">
        <v>34</v>
      </c>
      <c r="E33515" s="21" t="s">
        <v>1089</v>
      </c>
      <c r="F33515">
        <v>7620046</v>
      </c>
      <c r="G33515" t="s">
        <v>242</v>
      </c>
      <c r="H33515" s="21">
        <v>502</v>
      </c>
    </row>
    <row r="33516" spans="1:8" customFormat="1" x14ac:dyDescent="0.25">
      <c r="A33516" t="str">
        <f>"324828"</f>
        <v>324828</v>
      </c>
      <c r="B33516" t="s">
        <v>16607</v>
      </c>
      <c r="C33516" t="s">
        <v>1914</v>
      </c>
      <c r="D33516" s="21" t="s">
        <v>34</v>
      </c>
      <c r="E33516" s="21" t="s">
        <v>35</v>
      </c>
      <c r="F33516">
        <v>11320045</v>
      </c>
      <c r="G33516" t="s">
        <v>27117</v>
      </c>
      <c r="H33516" s="21">
        <v>502</v>
      </c>
    </row>
    <row r="33517" spans="1:8" customFormat="1" x14ac:dyDescent="0.25">
      <c r="A33517" t="str">
        <f>"3325959"</f>
        <v>3325959</v>
      </c>
      <c r="B33517" t="s">
        <v>28662</v>
      </c>
      <c r="C33517" t="s">
        <v>209</v>
      </c>
      <c r="D33517" s="21" t="s">
        <v>34</v>
      </c>
      <c r="E33517" s="21" t="s">
        <v>35</v>
      </c>
      <c r="F33517">
        <v>10400003</v>
      </c>
      <c r="G33517" t="s">
        <v>5110</v>
      </c>
      <c r="H33517" s="21">
        <v>502</v>
      </c>
    </row>
    <row r="33518" spans="1:8" customFormat="1" x14ac:dyDescent="0.25">
      <c r="A33518" t="str">
        <f>"61278"</f>
        <v>61278</v>
      </c>
      <c r="B33518" t="s">
        <v>755</v>
      </c>
      <c r="C33518" t="s">
        <v>1110</v>
      </c>
      <c r="D33518" s="21" t="s">
        <v>34</v>
      </c>
      <c r="E33518" s="21" t="s">
        <v>254</v>
      </c>
      <c r="F33518">
        <v>9610106</v>
      </c>
      <c r="G33518" t="s">
        <v>12520</v>
      </c>
      <c r="H33518" s="21">
        <v>502</v>
      </c>
    </row>
    <row r="33519" spans="1:8" customFormat="1" x14ac:dyDescent="0.25">
      <c r="A33519" t="str">
        <f>"3338206"</f>
        <v>3338206</v>
      </c>
      <c r="B33519" t="s">
        <v>9520</v>
      </c>
      <c r="C33519" t="s">
        <v>1110</v>
      </c>
      <c r="D33519" s="21" t="s">
        <v>34</v>
      </c>
      <c r="E33519" s="21" t="s">
        <v>254</v>
      </c>
      <c r="F33519">
        <v>10330032</v>
      </c>
      <c r="G33519" t="s">
        <v>4408</v>
      </c>
      <c r="H33519" s="21">
        <v>502</v>
      </c>
    </row>
    <row r="33520" spans="1:8" customFormat="1" x14ac:dyDescent="0.25">
      <c r="A33520" t="str">
        <f>"136799"</f>
        <v>136799</v>
      </c>
      <c r="B33520" t="s">
        <v>20990</v>
      </c>
      <c r="C33520" t="s">
        <v>33</v>
      </c>
      <c r="D33520" s="21" t="s">
        <v>34</v>
      </c>
      <c r="E33520" s="21" t="s">
        <v>35</v>
      </c>
      <c r="F33520">
        <v>13130146</v>
      </c>
      <c r="G33520" t="s">
        <v>2471</v>
      </c>
      <c r="H33520" s="21">
        <v>501.92</v>
      </c>
    </row>
    <row r="33521" spans="1:8" customFormat="1" x14ac:dyDescent="0.25">
      <c r="A33521" t="str">
        <f>"3342662"</f>
        <v>3342662</v>
      </c>
      <c r="B33521" t="s">
        <v>12119</v>
      </c>
      <c r="C33521" t="s">
        <v>2479</v>
      </c>
      <c r="D33521" s="21" t="s">
        <v>34</v>
      </c>
      <c r="E33521" s="21" t="s">
        <v>71</v>
      </c>
      <c r="F33521">
        <v>10330002</v>
      </c>
      <c r="G33521" t="s">
        <v>53</v>
      </c>
      <c r="H33521" s="21">
        <v>501.88</v>
      </c>
    </row>
    <row r="33522" spans="1:8" customFormat="1" x14ac:dyDescent="0.25">
      <c r="A33522" t="str">
        <f>"9A1370"</f>
        <v>9A1370</v>
      </c>
      <c r="B33522" t="s">
        <v>23462</v>
      </c>
      <c r="C33522" t="s">
        <v>926</v>
      </c>
      <c r="D33522" s="21" t="s">
        <v>34</v>
      </c>
      <c r="E33522" s="21" t="s">
        <v>35</v>
      </c>
      <c r="F33522" t="s">
        <v>2839</v>
      </c>
      <c r="G33522" t="s">
        <v>2840</v>
      </c>
      <c r="H33522" s="21">
        <v>501.75</v>
      </c>
    </row>
    <row r="33523" spans="1:8" customFormat="1" x14ac:dyDescent="0.25">
      <c r="A33523" t="str">
        <f>"2112776"</f>
        <v>2112776</v>
      </c>
      <c r="B33523" t="s">
        <v>14422</v>
      </c>
      <c r="C33523" t="s">
        <v>87</v>
      </c>
      <c r="D33523" s="21" t="s">
        <v>34</v>
      </c>
      <c r="E33523" s="21" t="s">
        <v>35</v>
      </c>
      <c r="F33523">
        <v>2210126</v>
      </c>
      <c r="G33523" t="s">
        <v>10773</v>
      </c>
      <c r="H33523" s="21">
        <v>501.75</v>
      </c>
    </row>
    <row r="33524" spans="1:8" customFormat="1" x14ac:dyDescent="0.25">
      <c r="A33524" t="str">
        <f>"086913"</f>
        <v>086913</v>
      </c>
      <c r="B33524" t="s">
        <v>15099</v>
      </c>
      <c r="C33524" t="s">
        <v>3010</v>
      </c>
      <c r="D33524" s="21" t="s">
        <v>34</v>
      </c>
      <c r="E33524" s="21" t="s">
        <v>254</v>
      </c>
      <c r="F33524">
        <v>6080035</v>
      </c>
      <c r="G33524" t="s">
        <v>583</v>
      </c>
      <c r="H33524" s="21">
        <v>501.67</v>
      </c>
    </row>
    <row r="33525" spans="1:8" customFormat="1" x14ac:dyDescent="0.25">
      <c r="A33525" t="str">
        <f>"6232498"</f>
        <v>6232498</v>
      </c>
      <c r="B33525" t="s">
        <v>8922</v>
      </c>
      <c r="C33525" t="s">
        <v>209</v>
      </c>
      <c r="D33525" s="21" t="s">
        <v>34</v>
      </c>
      <c r="E33525" s="21" t="s">
        <v>35</v>
      </c>
      <c r="F33525">
        <v>7620147</v>
      </c>
      <c r="G33525" t="s">
        <v>4455</v>
      </c>
      <c r="H33525" s="21">
        <v>501.67</v>
      </c>
    </row>
    <row r="33526" spans="1:8" customFormat="1" x14ac:dyDescent="0.25">
      <c r="A33526" t="str">
        <f>"6316488"</f>
        <v>6316488</v>
      </c>
      <c r="B33526" t="s">
        <v>22691</v>
      </c>
      <c r="C33526" t="s">
        <v>55</v>
      </c>
      <c r="D33526" s="21" t="s">
        <v>34</v>
      </c>
      <c r="E33526" s="21" t="s">
        <v>35</v>
      </c>
      <c r="F33526">
        <v>1630005</v>
      </c>
      <c r="G33526" t="s">
        <v>8825</v>
      </c>
      <c r="H33526" s="21">
        <v>501.67</v>
      </c>
    </row>
    <row r="33527" spans="1:8" customFormat="1" x14ac:dyDescent="0.25">
      <c r="A33527" t="str">
        <f>"728014"</f>
        <v>728014</v>
      </c>
      <c r="B33527" t="s">
        <v>22029</v>
      </c>
      <c r="C33527" t="s">
        <v>621</v>
      </c>
      <c r="D33527" s="21" t="s">
        <v>34</v>
      </c>
      <c r="E33527" s="21" t="s">
        <v>6185</v>
      </c>
      <c r="F33527">
        <v>12720028</v>
      </c>
      <c r="G33527" t="s">
        <v>4381</v>
      </c>
      <c r="H33527" s="21">
        <v>501.67</v>
      </c>
    </row>
    <row r="33528" spans="1:8" customFormat="1" x14ac:dyDescent="0.25">
      <c r="A33528" t="str">
        <f>"7624193"</f>
        <v>7624193</v>
      </c>
      <c r="B33528" t="s">
        <v>20857</v>
      </c>
      <c r="C33528" t="s">
        <v>124</v>
      </c>
      <c r="D33528" s="21" t="s">
        <v>34</v>
      </c>
      <c r="E33528" s="21" t="s">
        <v>254</v>
      </c>
      <c r="F33528">
        <v>9760414</v>
      </c>
      <c r="G33528" t="s">
        <v>142</v>
      </c>
      <c r="H33528" s="21">
        <v>501.67</v>
      </c>
    </row>
    <row r="33529" spans="1:8" customFormat="1" x14ac:dyDescent="0.25">
      <c r="A33529" t="str">
        <f>"7638064"</f>
        <v>7638064</v>
      </c>
      <c r="B33529" t="s">
        <v>28663</v>
      </c>
      <c r="C33529" t="s">
        <v>60</v>
      </c>
      <c r="D33529" s="21" t="s">
        <v>34</v>
      </c>
      <c r="E33529" s="21" t="s">
        <v>1089</v>
      </c>
      <c r="F33529">
        <v>9760214</v>
      </c>
      <c r="G33529" t="s">
        <v>12889</v>
      </c>
      <c r="H33529" s="21">
        <v>501.67</v>
      </c>
    </row>
    <row r="33530" spans="1:8" customFormat="1" x14ac:dyDescent="0.25">
      <c r="A33530" t="str">
        <f>"3512467"</f>
        <v>3512467</v>
      </c>
      <c r="B33530" t="s">
        <v>24090</v>
      </c>
      <c r="C33530" t="s">
        <v>2520</v>
      </c>
      <c r="D33530" s="21" t="s">
        <v>34</v>
      </c>
      <c r="E33530" s="21" t="s">
        <v>254</v>
      </c>
      <c r="F33530">
        <v>3350029</v>
      </c>
      <c r="G33530" t="s">
        <v>16914</v>
      </c>
      <c r="H33530" s="21">
        <v>501.67</v>
      </c>
    </row>
    <row r="33531" spans="1:8" customFormat="1" x14ac:dyDescent="0.25">
      <c r="A33531" t="str">
        <f>"3331360"</f>
        <v>3331360</v>
      </c>
      <c r="B33531" t="s">
        <v>21409</v>
      </c>
      <c r="C33531" t="s">
        <v>21410</v>
      </c>
      <c r="D33531" s="21" t="s">
        <v>34</v>
      </c>
      <c r="E33531" s="21" t="s">
        <v>71</v>
      </c>
      <c r="F33531">
        <v>10330099</v>
      </c>
      <c r="G33531" t="s">
        <v>10670</v>
      </c>
      <c r="H33531" s="21">
        <v>501.67</v>
      </c>
    </row>
    <row r="33532" spans="1:8" customFormat="1" x14ac:dyDescent="0.25">
      <c r="A33532" t="str">
        <f>"124537"</f>
        <v>124537</v>
      </c>
      <c r="B33532" t="s">
        <v>17297</v>
      </c>
      <c r="C33532" t="s">
        <v>412</v>
      </c>
      <c r="D33532" s="21" t="s">
        <v>34</v>
      </c>
      <c r="E33532" s="21" t="s">
        <v>1089</v>
      </c>
      <c r="F33532">
        <v>11460029</v>
      </c>
      <c r="G33532" t="s">
        <v>10606</v>
      </c>
      <c r="H33532" s="21">
        <v>501.67</v>
      </c>
    </row>
    <row r="33533" spans="1:8" customFormat="1" x14ac:dyDescent="0.25">
      <c r="A33533" t="str">
        <f>"687926"</f>
        <v>687926</v>
      </c>
      <c r="B33533" t="s">
        <v>2576</v>
      </c>
      <c r="C33533" t="s">
        <v>209</v>
      </c>
      <c r="D33533" s="21" t="s">
        <v>34</v>
      </c>
      <c r="E33533" s="21" t="s">
        <v>254</v>
      </c>
      <c r="F33533">
        <v>6680102</v>
      </c>
      <c r="G33533" t="s">
        <v>1232</v>
      </c>
      <c r="H33533" s="21">
        <v>501.67</v>
      </c>
    </row>
    <row r="33534" spans="1:8" customFormat="1" x14ac:dyDescent="0.25">
      <c r="A33534" t="str">
        <f>"5729413"</f>
        <v>5729413</v>
      </c>
      <c r="B33534" t="s">
        <v>22423</v>
      </c>
      <c r="C33534" t="s">
        <v>90</v>
      </c>
      <c r="D33534" s="21" t="s">
        <v>34</v>
      </c>
      <c r="E33534" s="21" t="s">
        <v>71</v>
      </c>
      <c r="F33534">
        <v>6570132</v>
      </c>
      <c r="G33534" t="s">
        <v>26746</v>
      </c>
      <c r="H33534" s="21">
        <v>501.67</v>
      </c>
    </row>
    <row r="33535" spans="1:8" customFormat="1" x14ac:dyDescent="0.25">
      <c r="A33535" t="str">
        <f>"674595"</f>
        <v>674595</v>
      </c>
      <c r="B33535" t="s">
        <v>8989</v>
      </c>
      <c r="C33535" t="s">
        <v>1271</v>
      </c>
      <c r="D33535" s="21" t="s">
        <v>34</v>
      </c>
      <c r="E33535" s="21" t="s">
        <v>1089</v>
      </c>
      <c r="F33535">
        <v>6670066</v>
      </c>
      <c r="G33535" t="s">
        <v>12245</v>
      </c>
      <c r="H33535" s="21">
        <v>501.67</v>
      </c>
    </row>
    <row r="33536" spans="1:8" customFormat="1" x14ac:dyDescent="0.25">
      <c r="A33536" t="str">
        <f>"7640769"</f>
        <v>7640769</v>
      </c>
      <c r="B33536" t="s">
        <v>3848</v>
      </c>
      <c r="C33536" t="s">
        <v>1474</v>
      </c>
      <c r="D33536" s="21" t="s">
        <v>34</v>
      </c>
      <c r="E33536" s="21" t="s">
        <v>35</v>
      </c>
      <c r="F33536">
        <v>9760011</v>
      </c>
      <c r="G33536" t="s">
        <v>2562</v>
      </c>
      <c r="H33536" s="21">
        <v>501.67</v>
      </c>
    </row>
    <row r="33537" spans="1:8" customFormat="1" x14ac:dyDescent="0.25">
      <c r="A33537" t="str">
        <f>"4438819"</f>
        <v>4438819</v>
      </c>
      <c r="B33537" t="s">
        <v>9102</v>
      </c>
      <c r="C33537" t="s">
        <v>87</v>
      </c>
      <c r="D33537" s="21" t="s">
        <v>34</v>
      </c>
      <c r="E33537" s="21" t="s">
        <v>35</v>
      </c>
      <c r="F33537">
        <v>12440024</v>
      </c>
      <c r="G33537" t="s">
        <v>2205</v>
      </c>
      <c r="H33537" s="21">
        <v>501.67</v>
      </c>
    </row>
    <row r="33538" spans="1:8" customFormat="1" x14ac:dyDescent="0.25">
      <c r="A33538" t="str">
        <f>"4934123"</f>
        <v>4934123</v>
      </c>
      <c r="B33538" t="s">
        <v>21252</v>
      </c>
      <c r="C33538" t="s">
        <v>1196</v>
      </c>
      <c r="D33538" s="21" t="s">
        <v>34</v>
      </c>
      <c r="E33538" s="21" t="s">
        <v>35</v>
      </c>
      <c r="F33538">
        <v>12490039</v>
      </c>
      <c r="G33538" t="s">
        <v>3453</v>
      </c>
      <c r="H33538" s="21">
        <v>501.67</v>
      </c>
    </row>
    <row r="33539" spans="1:8" customFormat="1" x14ac:dyDescent="0.25">
      <c r="A33539" t="str">
        <f>"1318661"</f>
        <v>1318661</v>
      </c>
      <c r="B33539" t="s">
        <v>1882</v>
      </c>
      <c r="C33539" t="s">
        <v>40</v>
      </c>
      <c r="D33539" s="21" t="s">
        <v>34</v>
      </c>
      <c r="E33539" s="21" t="s">
        <v>254</v>
      </c>
      <c r="F33539">
        <v>13130158</v>
      </c>
      <c r="G33539" t="s">
        <v>3215</v>
      </c>
      <c r="H33539" s="21">
        <v>501.67</v>
      </c>
    </row>
    <row r="33540" spans="1:8" customFormat="1" x14ac:dyDescent="0.25">
      <c r="A33540" t="str">
        <f>"874073"</f>
        <v>874073</v>
      </c>
      <c r="B33540" t="s">
        <v>213</v>
      </c>
      <c r="C33540" t="s">
        <v>484</v>
      </c>
      <c r="D33540" s="21" t="s">
        <v>34</v>
      </c>
      <c r="E33540" s="21" t="s">
        <v>35</v>
      </c>
      <c r="F33540">
        <v>10870003</v>
      </c>
      <c r="G33540" t="s">
        <v>1187</v>
      </c>
      <c r="H33540" s="21">
        <v>501.67</v>
      </c>
    </row>
    <row r="33541" spans="1:8" customFormat="1" x14ac:dyDescent="0.25">
      <c r="A33541" t="str">
        <f>"899122"</f>
        <v>899122</v>
      </c>
      <c r="B33541" t="s">
        <v>11027</v>
      </c>
      <c r="C33541" t="s">
        <v>55</v>
      </c>
      <c r="D33541" s="21" t="s">
        <v>34</v>
      </c>
      <c r="E33541" s="21" t="s">
        <v>71</v>
      </c>
      <c r="F33541">
        <v>2890062</v>
      </c>
      <c r="G33541" t="s">
        <v>9283</v>
      </c>
      <c r="H33541" s="21">
        <v>501.67</v>
      </c>
    </row>
    <row r="33542" spans="1:8" customFormat="1" x14ac:dyDescent="0.25">
      <c r="A33542" t="str">
        <f>"9510216"</f>
        <v>9510216</v>
      </c>
      <c r="B33542" t="s">
        <v>946</v>
      </c>
      <c r="C33542" t="s">
        <v>1914</v>
      </c>
      <c r="D33542" s="21" t="s">
        <v>34</v>
      </c>
      <c r="E33542" s="21" t="s">
        <v>1089</v>
      </c>
      <c r="F33542">
        <v>8950330</v>
      </c>
      <c r="G33542" t="s">
        <v>794</v>
      </c>
      <c r="H33542" s="21">
        <v>501.67</v>
      </c>
    </row>
    <row r="33543" spans="1:8" customFormat="1" x14ac:dyDescent="0.25">
      <c r="A33543" t="str">
        <f>"9754407"</f>
        <v>9754407</v>
      </c>
      <c r="B33543" t="s">
        <v>21882</v>
      </c>
      <c r="C33543" t="s">
        <v>239</v>
      </c>
      <c r="D33543" s="21" t="s">
        <v>34</v>
      </c>
      <c r="E33543" s="21" t="s">
        <v>35</v>
      </c>
      <c r="F33543" t="s">
        <v>17172</v>
      </c>
      <c r="G33543" t="s">
        <v>17173</v>
      </c>
      <c r="H33543" s="21">
        <v>501.67</v>
      </c>
    </row>
    <row r="33544" spans="1:8" customFormat="1" x14ac:dyDescent="0.25">
      <c r="A33544" t="str">
        <f>"3424225"</f>
        <v>3424225</v>
      </c>
      <c r="B33544" t="s">
        <v>8129</v>
      </c>
      <c r="C33544" t="s">
        <v>87</v>
      </c>
      <c r="D33544" s="21" t="s">
        <v>34</v>
      </c>
      <c r="E33544" s="21" t="s">
        <v>35</v>
      </c>
      <c r="F33544">
        <v>11340049</v>
      </c>
      <c r="G33544" t="s">
        <v>13479</v>
      </c>
      <c r="H33544" s="21">
        <v>501.62</v>
      </c>
    </row>
    <row r="33545" spans="1:8" customFormat="1" x14ac:dyDescent="0.25">
      <c r="A33545" t="str">
        <f>"9321639"</f>
        <v>9321639</v>
      </c>
      <c r="B33545" t="s">
        <v>1954</v>
      </c>
      <c r="C33545" t="s">
        <v>209</v>
      </c>
      <c r="D33545" s="21" t="s">
        <v>34</v>
      </c>
      <c r="E33545" s="21" t="s">
        <v>254</v>
      </c>
      <c r="F33545">
        <v>8930452</v>
      </c>
      <c r="G33545" t="s">
        <v>83</v>
      </c>
      <c r="H33545" s="21">
        <v>501.62</v>
      </c>
    </row>
    <row r="33546" spans="1:8" customFormat="1" x14ac:dyDescent="0.25">
      <c r="A33546" t="str">
        <f>"2717969"</f>
        <v>2717969</v>
      </c>
      <c r="B33546" t="s">
        <v>7060</v>
      </c>
      <c r="C33546" t="s">
        <v>415</v>
      </c>
      <c r="D33546" s="21" t="s">
        <v>34</v>
      </c>
      <c r="E33546" s="21" t="s">
        <v>254</v>
      </c>
      <c r="F33546">
        <v>9270159</v>
      </c>
      <c r="G33546" t="s">
        <v>5425</v>
      </c>
      <c r="H33546" s="21">
        <v>501.54</v>
      </c>
    </row>
    <row r="33547" spans="1:8" customFormat="1" x14ac:dyDescent="0.25">
      <c r="A33547" t="str">
        <f>"5622157"</f>
        <v>5622157</v>
      </c>
      <c r="B33547" t="s">
        <v>1165</v>
      </c>
      <c r="C33547" t="s">
        <v>263</v>
      </c>
      <c r="D33547" s="21" t="s">
        <v>34</v>
      </c>
      <c r="E33547" s="21" t="s">
        <v>254</v>
      </c>
      <c r="F33547">
        <v>3560022</v>
      </c>
      <c r="G33547" t="s">
        <v>2547</v>
      </c>
      <c r="H33547" s="21">
        <v>501.5</v>
      </c>
    </row>
    <row r="33548" spans="1:8" customFormat="1" x14ac:dyDescent="0.25">
      <c r="A33548" t="str">
        <f>"9253596"</f>
        <v>9253596</v>
      </c>
      <c r="B33548" t="s">
        <v>392</v>
      </c>
      <c r="C33548" t="s">
        <v>124</v>
      </c>
      <c r="D33548" s="21" t="s">
        <v>34</v>
      </c>
      <c r="E33548" s="21" t="s">
        <v>35</v>
      </c>
      <c r="F33548">
        <v>8920066</v>
      </c>
      <c r="G33548" t="s">
        <v>4899</v>
      </c>
      <c r="H33548" s="21">
        <v>501.5</v>
      </c>
    </row>
    <row r="33549" spans="1:8" customFormat="1" x14ac:dyDescent="0.25">
      <c r="A33549" t="str">
        <f>"742740"</f>
        <v>742740</v>
      </c>
      <c r="B33549" t="s">
        <v>28664</v>
      </c>
      <c r="C33549" t="s">
        <v>263</v>
      </c>
      <c r="D33549" s="21" t="s">
        <v>34</v>
      </c>
      <c r="E33549" s="21" t="s">
        <v>71</v>
      </c>
      <c r="F33549">
        <v>1740045</v>
      </c>
      <c r="G33549" t="s">
        <v>9857</v>
      </c>
      <c r="H33549" s="21">
        <v>501.5</v>
      </c>
    </row>
    <row r="33550" spans="1:8" customFormat="1" x14ac:dyDescent="0.25">
      <c r="A33550" t="str">
        <f>"4457935"</f>
        <v>4457935</v>
      </c>
      <c r="B33550" t="s">
        <v>28665</v>
      </c>
      <c r="C33550" t="s">
        <v>864</v>
      </c>
      <c r="D33550" s="21" t="s">
        <v>34</v>
      </c>
      <c r="E33550" s="21" t="s">
        <v>71</v>
      </c>
      <c r="F33550">
        <v>12440260</v>
      </c>
      <c r="G33550" t="s">
        <v>26759</v>
      </c>
      <c r="H33550" s="21">
        <v>501.5</v>
      </c>
    </row>
    <row r="33551" spans="1:8" customFormat="1" x14ac:dyDescent="0.25">
      <c r="A33551" t="str">
        <f>"4423804"</f>
        <v>4423804</v>
      </c>
      <c r="B33551" t="s">
        <v>13809</v>
      </c>
      <c r="C33551" t="s">
        <v>412</v>
      </c>
      <c r="D33551" s="21" t="s">
        <v>34</v>
      </c>
      <c r="E33551" s="21" t="s">
        <v>6185</v>
      </c>
      <c r="F33551">
        <v>12440049</v>
      </c>
      <c r="G33551" t="s">
        <v>3339</v>
      </c>
      <c r="H33551" s="21">
        <v>501.5</v>
      </c>
    </row>
    <row r="33552" spans="1:8" customFormat="1" x14ac:dyDescent="0.25">
      <c r="A33552" t="str">
        <f>"434686"</f>
        <v>434686</v>
      </c>
      <c r="B33552" t="s">
        <v>21136</v>
      </c>
      <c r="C33552" t="s">
        <v>741</v>
      </c>
      <c r="D33552" s="21" t="s">
        <v>34</v>
      </c>
      <c r="E33552" s="21" t="s">
        <v>35</v>
      </c>
      <c r="F33552">
        <v>1420210</v>
      </c>
      <c r="G33552" t="s">
        <v>7943</v>
      </c>
      <c r="H33552" s="21">
        <v>501.5</v>
      </c>
    </row>
    <row r="33553" spans="1:8" customFormat="1" x14ac:dyDescent="0.25">
      <c r="A33553" t="str">
        <f>"7214555"</f>
        <v>7214555</v>
      </c>
      <c r="B33553" t="s">
        <v>21924</v>
      </c>
      <c r="C33553" t="s">
        <v>87</v>
      </c>
      <c r="D33553" s="21" t="s">
        <v>34</v>
      </c>
      <c r="E33553" s="21" t="s">
        <v>35</v>
      </c>
      <c r="F33553">
        <v>12720127</v>
      </c>
      <c r="G33553" t="s">
        <v>6528</v>
      </c>
      <c r="H33553" s="21">
        <v>501.5</v>
      </c>
    </row>
    <row r="33554" spans="1:8" customFormat="1" x14ac:dyDescent="0.25">
      <c r="A33554" t="str">
        <f>"5950590"</f>
        <v>5950590</v>
      </c>
      <c r="B33554" t="s">
        <v>13271</v>
      </c>
      <c r="C33554" t="s">
        <v>3073</v>
      </c>
      <c r="D33554" s="21" t="s">
        <v>34</v>
      </c>
      <c r="E33554" s="21" t="s">
        <v>1089</v>
      </c>
      <c r="F33554">
        <v>7800126</v>
      </c>
      <c r="G33554" t="s">
        <v>1105</v>
      </c>
      <c r="H33554" s="21">
        <v>501.5</v>
      </c>
    </row>
    <row r="33555" spans="1:8" customFormat="1" x14ac:dyDescent="0.25">
      <c r="A33555" t="str">
        <f>"431361"</f>
        <v>431361</v>
      </c>
      <c r="B33555" t="s">
        <v>21725</v>
      </c>
      <c r="C33555" t="s">
        <v>263</v>
      </c>
      <c r="D33555" s="21" t="s">
        <v>34</v>
      </c>
      <c r="E33555" s="21" t="s">
        <v>254</v>
      </c>
      <c r="F33555">
        <v>1630261</v>
      </c>
      <c r="G33555" t="s">
        <v>1382</v>
      </c>
      <c r="H33555" s="21">
        <v>501.5</v>
      </c>
    </row>
    <row r="33556" spans="1:8" customFormat="1" x14ac:dyDescent="0.25">
      <c r="A33556" t="str">
        <f>"3423238"</f>
        <v>3423238</v>
      </c>
      <c r="B33556" t="s">
        <v>9566</v>
      </c>
      <c r="C33556" t="s">
        <v>204</v>
      </c>
      <c r="D33556" s="21" t="s">
        <v>34</v>
      </c>
      <c r="E33556" s="21" t="s">
        <v>35</v>
      </c>
      <c r="F33556">
        <v>11340053</v>
      </c>
      <c r="G33556" t="s">
        <v>9935</v>
      </c>
      <c r="H33556" s="21">
        <v>501.5</v>
      </c>
    </row>
    <row r="33557" spans="1:8" customFormat="1" x14ac:dyDescent="0.25">
      <c r="A33557" t="str">
        <f>"3331495"</f>
        <v>3331495</v>
      </c>
      <c r="B33557" t="s">
        <v>22628</v>
      </c>
      <c r="C33557" t="s">
        <v>209</v>
      </c>
      <c r="D33557" s="21" t="s">
        <v>34</v>
      </c>
      <c r="E33557" s="21" t="s">
        <v>71</v>
      </c>
      <c r="F33557">
        <v>10330125</v>
      </c>
      <c r="G33557" t="s">
        <v>3753</v>
      </c>
      <c r="H33557" s="21">
        <v>501.5</v>
      </c>
    </row>
    <row r="33558" spans="1:8" customFormat="1" x14ac:dyDescent="0.25">
      <c r="A33558" t="str">
        <f>"051320"</f>
        <v>051320</v>
      </c>
      <c r="B33558" t="s">
        <v>1268</v>
      </c>
      <c r="C33558" t="s">
        <v>139</v>
      </c>
      <c r="D33558" s="21" t="s">
        <v>34</v>
      </c>
      <c r="E33558" s="21" t="s">
        <v>35</v>
      </c>
      <c r="F33558">
        <v>13050025</v>
      </c>
      <c r="G33558" t="s">
        <v>21714</v>
      </c>
      <c r="H33558" s="21">
        <v>501.5</v>
      </c>
    </row>
    <row r="33559" spans="1:8" customFormat="1" x14ac:dyDescent="0.25">
      <c r="A33559" t="str">
        <f>"5983954"</f>
        <v>5983954</v>
      </c>
      <c r="B33559" t="s">
        <v>28666</v>
      </c>
      <c r="C33559" t="s">
        <v>174</v>
      </c>
      <c r="D33559" s="21" t="s">
        <v>34</v>
      </c>
      <c r="E33559" s="21" t="s">
        <v>35</v>
      </c>
      <c r="F33559">
        <v>7590223</v>
      </c>
      <c r="G33559" t="s">
        <v>5218</v>
      </c>
      <c r="H33559" s="21">
        <v>501.5</v>
      </c>
    </row>
    <row r="33560" spans="1:8" customFormat="1" x14ac:dyDescent="0.25">
      <c r="A33560" t="str">
        <f>"5939026"</f>
        <v>5939026</v>
      </c>
      <c r="B33560" t="s">
        <v>3062</v>
      </c>
      <c r="C33560" t="s">
        <v>1914</v>
      </c>
      <c r="D33560" s="21" t="s">
        <v>34</v>
      </c>
      <c r="E33560" s="21" t="s">
        <v>71</v>
      </c>
      <c r="F33560">
        <v>7590260</v>
      </c>
      <c r="G33560" t="s">
        <v>3043</v>
      </c>
      <c r="H33560" s="21">
        <v>501.5</v>
      </c>
    </row>
    <row r="33561" spans="1:8" customFormat="1" x14ac:dyDescent="0.25">
      <c r="A33561" t="str">
        <f>"4932702"</f>
        <v>4932702</v>
      </c>
      <c r="B33561" t="s">
        <v>7114</v>
      </c>
      <c r="C33561" t="s">
        <v>269</v>
      </c>
      <c r="D33561" s="21" t="s">
        <v>34</v>
      </c>
      <c r="E33561" s="21" t="s">
        <v>71</v>
      </c>
      <c r="F33561">
        <v>12490033</v>
      </c>
      <c r="G33561" t="s">
        <v>3469</v>
      </c>
      <c r="H33561" s="21">
        <v>501.5</v>
      </c>
    </row>
    <row r="33562" spans="1:8" customFormat="1" x14ac:dyDescent="0.25">
      <c r="A33562" t="str">
        <f>"3326212"</f>
        <v>3326212</v>
      </c>
      <c r="B33562" t="s">
        <v>1731</v>
      </c>
      <c r="C33562" t="s">
        <v>1812</v>
      </c>
      <c r="D33562" s="21" t="s">
        <v>34</v>
      </c>
      <c r="E33562" s="21" t="s">
        <v>254</v>
      </c>
      <c r="F33562">
        <v>10330034</v>
      </c>
      <c r="G33562" t="s">
        <v>6011</v>
      </c>
      <c r="H33562" s="21">
        <v>501.5</v>
      </c>
    </row>
    <row r="33563" spans="1:8" customFormat="1" x14ac:dyDescent="0.25">
      <c r="A33563" t="str">
        <f>"9146579"</f>
        <v>9146579</v>
      </c>
      <c r="B33563" t="s">
        <v>24242</v>
      </c>
      <c r="C33563" t="s">
        <v>33</v>
      </c>
      <c r="D33563" s="21" t="s">
        <v>34</v>
      </c>
      <c r="E33563" s="21" t="s">
        <v>71</v>
      </c>
      <c r="F33563">
        <v>8910303</v>
      </c>
      <c r="G33563" t="s">
        <v>1244</v>
      </c>
      <c r="H33563" s="21">
        <v>501.5</v>
      </c>
    </row>
    <row r="33564" spans="1:8" customFormat="1" x14ac:dyDescent="0.25">
      <c r="A33564" t="str">
        <f>"7631259"</f>
        <v>7631259</v>
      </c>
      <c r="B33564" t="s">
        <v>5951</v>
      </c>
      <c r="C33564" t="s">
        <v>1142</v>
      </c>
      <c r="D33564" s="21" t="s">
        <v>34</v>
      </c>
      <c r="E33564" s="21" t="s">
        <v>35</v>
      </c>
      <c r="F33564">
        <v>9760041</v>
      </c>
      <c r="G33564" t="s">
        <v>452</v>
      </c>
      <c r="H33564" s="21">
        <v>501.5</v>
      </c>
    </row>
    <row r="33565" spans="1:8" customFormat="1" x14ac:dyDescent="0.25">
      <c r="A33565" t="str">
        <f>"6726376"</f>
        <v>6726376</v>
      </c>
      <c r="B33565" t="s">
        <v>27368</v>
      </c>
      <c r="C33565" t="s">
        <v>40</v>
      </c>
      <c r="D33565" s="21" t="s">
        <v>34</v>
      </c>
      <c r="E33565" s="21" t="s">
        <v>71</v>
      </c>
      <c r="F33565">
        <v>6670261</v>
      </c>
      <c r="G33565" t="s">
        <v>4621</v>
      </c>
      <c r="H33565" s="21">
        <v>501.5</v>
      </c>
    </row>
    <row r="33566" spans="1:8" customFormat="1" x14ac:dyDescent="0.25">
      <c r="A33566" t="str">
        <f>"7876557"</f>
        <v>7876557</v>
      </c>
      <c r="B33566" t="s">
        <v>23819</v>
      </c>
      <c r="C33566" t="s">
        <v>55</v>
      </c>
      <c r="D33566" s="21" t="s">
        <v>34</v>
      </c>
      <c r="E33566" s="21" t="s">
        <v>71</v>
      </c>
      <c r="F33566">
        <v>8780496</v>
      </c>
      <c r="G33566" t="s">
        <v>2477</v>
      </c>
      <c r="H33566" s="21">
        <v>501.5</v>
      </c>
    </row>
    <row r="33567" spans="1:8" customFormat="1" x14ac:dyDescent="0.25">
      <c r="A33567" t="str">
        <f>"686602"</f>
        <v>686602</v>
      </c>
      <c r="B33567" t="s">
        <v>23729</v>
      </c>
      <c r="C33567" t="s">
        <v>169</v>
      </c>
      <c r="D33567" s="21" t="s">
        <v>34</v>
      </c>
      <c r="E33567" s="21" t="s">
        <v>35</v>
      </c>
      <c r="F33567">
        <v>6680006</v>
      </c>
      <c r="G33567" t="s">
        <v>5266</v>
      </c>
      <c r="H33567" s="21">
        <v>501.5</v>
      </c>
    </row>
    <row r="33568" spans="1:8" customFormat="1" x14ac:dyDescent="0.25">
      <c r="A33568" t="str">
        <f>"5728764"</f>
        <v>5728764</v>
      </c>
      <c r="B33568" t="s">
        <v>22318</v>
      </c>
      <c r="C33568" t="s">
        <v>1705</v>
      </c>
      <c r="D33568" s="21" t="s">
        <v>34</v>
      </c>
      <c r="E33568" s="21" t="s">
        <v>71</v>
      </c>
      <c r="F33568">
        <v>6570024</v>
      </c>
      <c r="G33568" t="s">
        <v>464</v>
      </c>
      <c r="H33568" s="21">
        <v>501.42</v>
      </c>
    </row>
    <row r="33569" spans="1:8" customFormat="1" x14ac:dyDescent="0.25">
      <c r="A33569" t="str">
        <f>"396965"</f>
        <v>396965</v>
      </c>
      <c r="B33569" t="s">
        <v>28667</v>
      </c>
      <c r="C33569" t="s">
        <v>484</v>
      </c>
      <c r="D33569" s="21" t="s">
        <v>34</v>
      </c>
      <c r="E33569" s="21" t="s">
        <v>35</v>
      </c>
      <c r="F33569">
        <v>2390010</v>
      </c>
      <c r="G33569" t="s">
        <v>27283</v>
      </c>
      <c r="H33569" s="21">
        <v>501.42</v>
      </c>
    </row>
    <row r="33570" spans="1:8" customFormat="1" x14ac:dyDescent="0.25">
      <c r="A33570" t="str">
        <f>"3320297"</f>
        <v>3320297</v>
      </c>
      <c r="B33570" t="s">
        <v>5933</v>
      </c>
      <c r="C33570" t="s">
        <v>156</v>
      </c>
      <c r="D33570" s="21" t="s">
        <v>34</v>
      </c>
      <c r="E33570" s="21" t="s">
        <v>254</v>
      </c>
      <c r="F33570">
        <v>10330125</v>
      </c>
      <c r="G33570" t="s">
        <v>3753</v>
      </c>
      <c r="H33570" s="21">
        <v>501.42</v>
      </c>
    </row>
    <row r="33571" spans="1:8" customFormat="1" x14ac:dyDescent="0.25">
      <c r="A33571" t="str">
        <f>"9448675"</f>
        <v>9448675</v>
      </c>
      <c r="B33571" t="s">
        <v>11497</v>
      </c>
      <c r="C33571" t="s">
        <v>1914</v>
      </c>
      <c r="D33571" s="21" t="s">
        <v>34</v>
      </c>
      <c r="E33571" s="21" t="s">
        <v>71</v>
      </c>
      <c r="F33571">
        <v>8940942</v>
      </c>
      <c r="G33571" t="s">
        <v>8505</v>
      </c>
      <c r="H33571" s="21">
        <v>501.38</v>
      </c>
    </row>
    <row r="33572" spans="1:8" customFormat="1" x14ac:dyDescent="0.25">
      <c r="A33572" t="str">
        <f>"4451555"</f>
        <v>4451555</v>
      </c>
      <c r="B33572" t="s">
        <v>765</v>
      </c>
      <c r="C33572" t="s">
        <v>236</v>
      </c>
      <c r="D33572" s="21" t="s">
        <v>34</v>
      </c>
      <c r="E33572" s="21" t="s">
        <v>254</v>
      </c>
      <c r="F33572">
        <v>12440092</v>
      </c>
      <c r="G33572" t="s">
        <v>8475</v>
      </c>
      <c r="H33572" s="21">
        <v>501.25</v>
      </c>
    </row>
    <row r="33573" spans="1:8" customFormat="1" x14ac:dyDescent="0.25">
      <c r="A33573" t="str">
        <f>"3422155"</f>
        <v>3422155</v>
      </c>
      <c r="B33573" t="s">
        <v>21844</v>
      </c>
      <c r="C33573" t="s">
        <v>1132</v>
      </c>
      <c r="D33573" s="21" t="s">
        <v>34</v>
      </c>
      <c r="E33573" s="21" t="s">
        <v>71</v>
      </c>
      <c r="F33573">
        <v>11340074</v>
      </c>
      <c r="G33573" t="s">
        <v>21845</v>
      </c>
      <c r="H33573" s="21">
        <v>501.25</v>
      </c>
    </row>
    <row r="33574" spans="1:8" customFormat="1" x14ac:dyDescent="0.25">
      <c r="A33574" t="str">
        <f>"2721461"</f>
        <v>2721461</v>
      </c>
      <c r="B33574" t="s">
        <v>25716</v>
      </c>
      <c r="C33574" t="s">
        <v>9507</v>
      </c>
      <c r="D33574" s="21" t="s">
        <v>34</v>
      </c>
      <c r="E33574" s="21" t="s">
        <v>35</v>
      </c>
      <c r="F33574">
        <v>9270185</v>
      </c>
      <c r="G33574" t="s">
        <v>9160</v>
      </c>
      <c r="H33574" s="21">
        <v>501.25</v>
      </c>
    </row>
    <row r="33575" spans="1:8" customFormat="1" x14ac:dyDescent="0.25">
      <c r="A33575" t="str">
        <f>"7211852"</f>
        <v>7211852</v>
      </c>
      <c r="B33575" t="s">
        <v>10483</v>
      </c>
      <c r="C33575" t="s">
        <v>601</v>
      </c>
      <c r="D33575" s="21" t="s">
        <v>34</v>
      </c>
      <c r="E33575" s="21" t="s">
        <v>35</v>
      </c>
      <c r="F33575">
        <v>12720050</v>
      </c>
      <c r="G33575" t="s">
        <v>5522</v>
      </c>
      <c r="H33575" s="21">
        <v>501.17</v>
      </c>
    </row>
    <row r="33576" spans="1:8" customFormat="1" x14ac:dyDescent="0.25">
      <c r="A33576" t="str">
        <f>"051333"</f>
        <v>051333</v>
      </c>
      <c r="B33576" t="s">
        <v>6139</v>
      </c>
      <c r="C33576" t="s">
        <v>576</v>
      </c>
      <c r="D33576" s="21" t="s">
        <v>34</v>
      </c>
      <c r="E33576" s="21" t="s">
        <v>35</v>
      </c>
      <c r="F33576">
        <v>13050013</v>
      </c>
      <c r="G33576" t="s">
        <v>6666</v>
      </c>
      <c r="H33576" s="21">
        <v>501.17</v>
      </c>
    </row>
    <row r="33577" spans="1:8" customFormat="1" x14ac:dyDescent="0.25">
      <c r="A33577" t="str">
        <f>"2937689"</f>
        <v>2937689</v>
      </c>
      <c r="B33577" t="s">
        <v>11399</v>
      </c>
      <c r="C33577" t="s">
        <v>462</v>
      </c>
      <c r="D33577" s="21" t="s">
        <v>34</v>
      </c>
      <c r="E33577" s="21" t="s">
        <v>71</v>
      </c>
      <c r="F33577">
        <v>3290228</v>
      </c>
      <c r="G33577" t="s">
        <v>8738</v>
      </c>
      <c r="H33577" s="21">
        <v>501.17</v>
      </c>
    </row>
    <row r="33578" spans="1:8" customFormat="1" x14ac:dyDescent="0.25">
      <c r="A33578" t="str">
        <f>"7634236"</f>
        <v>7634236</v>
      </c>
      <c r="B33578" t="s">
        <v>21639</v>
      </c>
      <c r="C33578" t="s">
        <v>510</v>
      </c>
      <c r="D33578" s="21" t="s">
        <v>34</v>
      </c>
      <c r="E33578" s="21" t="s">
        <v>71</v>
      </c>
      <c r="F33578">
        <v>9760239</v>
      </c>
      <c r="G33578" t="s">
        <v>9147</v>
      </c>
      <c r="H33578" s="21">
        <v>501.17</v>
      </c>
    </row>
    <row r="33579" spans="1:8" customFormat="1" x14ac:dyDescent="0.25">
      <c r="A33579" t="str">
        <f>"106799"</f>
        <v>106799</v>
      </c>
      <c r="B33579" t="s">
        <v>24469</v>
      </c>
      <c r="C33579" t="s">
        <v>130</v>
      </c>
      <c r="D33579" s="21" t="s">
        <v>34</v>
      </c>
      <c r="E33579" s="21" t="s">
        <v>71</v>
      </c>
      <c r="F33579">
        <v>6100007</v>
      </c>
      <c r="G33579" t="s">
        <v>9706</v>
      </c>
      <c r="H33579" s="21">
        <v>501.17</v>
      </c>
    </row>
    <row r="33580" spans="1:8" customFormat="1" x14ac:dyDescent="0.25">
      <c r="A33580" t="str">
        <f>"5617736"</f>
        <v>5617736</v>
      </c>
      <c r="B33580" t="s">
        <v>2954</v>
      </c>
      <c r="C33580" t="s">
        <v>124</v>
      </c>
      <c r="D33580" s="21" t="s">
        <v>34</v>
      </c>
      <c r="E33580" s="21" t="s">
        <v>71</v>
      </c>
      <c r="F33580">
        <v>3560094</v>
      </c>
      <c r="G33580" t="s">
        <v>10313</v>
      </c>
      <c r="H33580" s="21">
        <v>501.17</v>
      </c>
    </row>
    <row r="33581" spans="1:8" customFormat="1" x14ac:dyDescent="0.25">
      <c r="A33581" t="str">
        <f>"6936846"</f>
        <v>6936846</v>
      </c>
      <c r="B33581" t="s">
        <v>7443</v>
      </c>
      <c r="C33581" t="s">
        <v>269</v>
      </c>
      <c r="D33581" s="21" t="s">
        <v>34</v>
      </c>
      <c r="E33581" s="21" t="s">
        <v>35</v>
      </c>
      <c r="F33581">
        <v>1690004</v>
      </c>
      <c r="G33581" t="s">
        <v>12294</v>
      </c>
      <c r="H33581" s="21">
        <v>501.17</v>
      </c>
    </row>
    <row r="33582" spans="1:8" customFormat="1" x14ac:dyDescent="0.25">
      <c r="A33582" t="str">
        <f>"2921426"</f>
        <v>2921426</v>
      </c>
      <c r="B33582" t="s">
        <v>17204</v>
      </c>
      <c r="C33582" t="s">
        <v>55</v>
      </c>
      <c r="D33582" s="21" t="s">
        <v>34</v>
      </c>
      <c r="E33582" s="21" t="s">
        <v>71</v>
      </c>
      <c r="F33582">
        <v>3290262</v>
      </c>
      <c r="G33582" t="s">
        <v>1139</v>
      </c>
      <c r="H33582" s="21">
        <v>501.17</v>
      </c>
    </row>
    <row r="33583" spans="1:8" customFormat="1" x14ac:dyDescent="0.25">
      <c r="A33583" t="str">
        <f>"267387"</f>
        <v>267387</v>
      </c>
      <c r="B33583" t="s">
        <v>9172</v>
      </c>
      <c r="C33583" t="s">
        <v>750</v>
      </c>
      <c r="D33583" s="21" t="s">
        <v>34</v>
      </c>
      <c r="E33583" s="21" t="s">
        <v>71</v>
      </c>
      <c r="F33583">
        <v>1260001</v>
      </c>
      <c r="G33583" t="s">
        <v>16056</v>
      </c>
      <c r="H33583" s="21">
        <v>501.17</v>
      </c>
    </row>
    <row r="33584" spans="1:8" customFormat="1" x14ac:dyDescent="0.25">
      <c r="A33584" t="str">
        <f>"559070"</f>
        <v>559070</v>
      </c>
      <c r="B33584" t="s">
        <v>23803</v>
      </c>
      <c r="C33584" t="s">
        <v>65</v>
      </c>
      <c r="D33584" s="21" t="s">
        <v>34</v>
      </c>
      <c r="E33584" s="21" t="s">
        <v>35</v>
      </c>
      <c r="F33584">
        <v>6550003</v>
      </c>
      <c r="G33584" t="s">
        <v>7721</v>
      </c>
      <c r="H33584" s="21">
        <v>501.17</v>
      </c>
    </row>
    <row r="33585" spans="1:8" customFormat="1" x14ac:dyDescent="0.25">
      <c r="A33585" t="str">
        <f>"8314972"</f>
        <v>8314972</v>
      </c>
      <c r="B33585" t="s">
        <v>21953</v>
      </c>
      <c r="C33585" t="s">
        <v>4842</v>
      </c>
      <c r="D33585" s="21" t="s">
        <v>34</v>
      </c>
      <c r="E33585" s="21" t="s">
        <v>71</v>
      </c>
      <c r="F33585">
        <v>13830090</v>
      </c>
      <c r="G33585" t="s">
        <v>1535</v>
      </c>
      <c r="H33585" s="21">
        <v>501.17</v>
      </c>
    </row>
    <row r="33586" spans="1:8" customFormat="1" x14ac:dyDescent="0.25">
      <c r="A33586" t="str">
        <f>"5432832"</f>
        <v>5432832</v>
      </c>
      <c r="B33586" t="s">
        <v>15090</v>
      </c>
      <c r="C33586" t="s">
        <v>1196</v>
      </c>
      <c r="D33586" s="21" t="s">
        <v>34</v>
      </c>
      <c r="E33586" s="21" t="s">
        <v>35</v>
      </c>
      <c r="F33586">
        <v>6540020</v>
      </c>
      <c r="G33586" t="s">
        <v>1269</v>
      </c>
      <c r="H33586" s="21">
        <v>501.17</v>
      </c>
    </row>
    <row r="33587" spans="1:8" customFormat="1" x14ac:dyDescent="0.25">
      <c r="A33587" t="str">
        <f>"5013356"</f>
        <v>5013356</v>
      </c>
      <c r="B33587" t="s">
        <v>1645</v>
      </c>
      <c r="C33587" t="s">
        <v>121</v>
      </c>
      <c r="D33587" s="21" t="s">
        <v>34</v>
      </c>
      <c r="E33587" s="21" t="s">
        <v>71</v>
      </c>
      <c r="F33587">
        <v>9500111</v>
      </c>
      <c r="G33587" t="s">
        <v>6591</v>
      </c>
      <c r="H33587" s="21">
        <v>501.17</v>
      </c>
    </row>
    <row r="33588" spans="1:8" customFormat="1" x14ac:dyDescent="0.25">
      <c r="A33588" t="str">
        <f>"089989"</f>
        <v>089989</v>
      </c>
      <c r="B33588" t="s">
        <v>24018</v>
      </c>
      <c r="C33588" t="s">
        <v>62</v>
      </c>
      <c r="D33588" s="21" t="s">
        <v>34</v>
      </c>
      <c r="E33588" s="21" t="s">
        <v>71</v>
      </c>
      <c r="F33588">
        <v>6080053</v>
      </c>
      <c r="G33588" t="s">
        <v>12951</v>
      </c>
      <c r="H33588" s="21">
        <v>501.17</v>
      </c>
    </row>
    <row r="33589" spans="1:8" customFormat="1" x14ac:dyDescent="0.25">
      <c r="A33589" t="str">
        <f>"9422531"</f>
        <v>9422531</v>
      </c>
      <c r="B33589" t="s">
        <v>21606</v>
      </c>
      <c r="C33589" t="s">
        <v>60</v>
      </c>
      <c r="D33589" s="21" t="s">
        <v>34</v>
      </c>
      <c r="E33589" s="21" t="s">
        <v>35</v>
      </c>
      <c r="F33589">
        <v>8781006</v>
      </c>
      <c r="G33589" t="s">
        <v>5376</v>
      </c>
      <c r="H33589" s="21">
        <v>501.17</v>
      </c>
    </row>
    <row r="33590" spans="1:8" customFormat="1" x14ac:dyDescent="0.25">
      <c r="A33590" t="str">
        <f>"6111956"</f>
        <v>6111956</v>
      </c>
      <c r="B33590" t="s">
        <v>1576</v>
      </c>
      <c r="C33590" t="s">
        <v>388</v>
      </c>
      <c r="D33590" s="21" t="s">
        <v>34</v>
      </c>
      <c r="E33590" s="21" t="s">
        <v>35</v>
      </c>
      <c r="F33590">
        <v>9610135</v>
      </c>
      <c r="G33590" t="s">
        <v>8227</v>
      </c>
      <c r="H33590" s="21">
        <v>501</v>
      </c>
    </row>
    <row r="33591" spans="1:8" customFormat="1" x14ac:dyDescent="0.25">
      <c r="A33591" t="str">
        <f>"3423378"</f>
        <v>3423378</v>
      </c>
      <c r="B33591" t="s">
        <v>28668</v>
      </c>
      <c r="C33591" t="s">
        <v>598</v>
      </c>
      <c r="D33591" s="21" t="s">
        <v>34</v>
      </c>
      <c r="E33591" s="21" t="s">
        <v>254</v>
      </c>
      <c r="F33591">
        <v>11340071</v>
      </c>
      <c r="G33591" t="s">
        <v>17733</v>
      </c>
      <c r="H33591" s="21">
        <v>501</v>
      </c>
    </row>
    <row r="33592" spans="1:8" customFormat="1" x14ac:dyDescent="0.25">
      <c r="A33592" t="str">
        <f>"1614333"</f>
        <v>1614333</v>
      </c>
      <c r="B33592" t="s">
        <v>28669</v>
      </c>
      <c r="C33592" t="s">
        <v>415</v>
      </c>
      <c r="D33592" s="21" t="s">
        <v>34</v>
      </c>
      <c r="E33592" s="21" t="s">
        <v>71</v>
      </c>
      <c r="F33592">
        <v>10160028</v>
      </c>
      <c r="G33592" t="s">
        <v>12565</v>
      </c>
      <c r="H33592" s="21">
        <v>501</v>
      </c>
    </row>
    <row r="33593" spans="1:8" customFormat="1" x14ac:dyDescent="0.25">
      <c r="A33593" t="str">
        <f>"689554"</f>
        <v>689554</v>
      </c>
      <c r="B33593" t="s">
        <v>21805</v>
      </c>
      <c r="C33593" t="s">
        <v>1665</v>
      </c>
      <c r="D33593" s="21" t="s">
        <v>34</v>
      </c>
      <c r="E33593" s="21" t="s">
        <v>1089</v>
      </c>
      <c r="F33593">
        <v>6680006</v>
      </c>
      <c r="G33593" t="s">
        <v>5266</v>
      </c>
      <c r="H33593" s="21">
        <v>501</v>
      </c>
    </row>
    <row r="33594" spans="1:8" customFormat="1" x14ac:dyDescent="0.25">
      <c r="A33594" t="str">
        <f>"5622046"</f>
        <v>5622046</v>
      </c>
      <c r="B33594" t="s">
        <v>26333</v>
      </c>
      <c r="C33594" t="s">
        <v>209</v>
      </c>
      <c r="D33594" s="21" t="s">
        <v>34</v>
      </c>
      <c r="E33594" s="21" t="s">
        <v>35</v>
      </c>
      <c r="F33594">
        <v>3560051</v>
      </c>
      <c r="G33594" t="s">
        <v>14709</v>
      </c>
      <c r="H33594" s="21">
        <v>501</v>
      </c>
    </row>
    <row r="33595" spans="1:8" customFormat="1" x14ac:dyDescent="0.25">
      <c r="A33595" t="str">
        <f>"2937842"</f>
        <v>2937842</v>
      </c>
      <c r="B33595" t="s">
        <v>28670</v>
      </c>
      <c r="C33595" t="s">
        <v>598</v>
      </c>
      <c r="D33595" s="21" t="s">
        <v>34</v>
      </c>
      <c r="E33595" s="21" t="s">
        <v>71</v>
      </c>
      <c r="F33595">
        <v>3290278</v>
      </c>
      <c r="G33595" t="s">
        <v>3649</v>
      </c>
      <c r="H33595" s="21">
        <v>501</v>
      </c>
    </row>
    <row r="33596" spans="1:8" customFormat="1" x14ac:dyDescent="0.25">
      <c r="A33596" t="str">
        <f>"9533002"</f>
        <v>9533002</v>
      </c>
      <c r="B33596" t="s">
        <v>2032</v>
      </c>
      <c r="C33596" t="s">
        <v>598</v>
      </c>
      <c r="D33596" s="21" t="s">
        <v>34</v>
      </c>
      <c r="E33596" s="21" t="s">
        <v>254</v>
      </c>
      <c r="F33596">
        <v>7600168</v>
      </c>
      <c r="G33596" t="s">
        <v>27372</v>
      </c>
      <c r="H33596" s="21">
        <v>501</v>
      </c>
    </row>
    <row r="33597" spans="1:8" customFormat="1" x14ac:dyDescent="0.25">
      <c r="A33597" t="str">
        <f>"667416"</f>
        <v>667416</v>
      </c>
      <c r="B33597" t="s">
        <v>21721</v>
      </c>
      <c r="C33597" t="s">
        <v>4842</v>
      </c>
      <c r="D33597" s="21" t="s">
        <v>34</v>
      </c>
      <c r="E33597" s="21" t="s">
        <v>1089</v>
      </c>
      <c r="F33597">
        <v>11660038</v>
      </c>
      <c r="G33597" t="s">
        <v>8493</v>
      </c>
      <c r="H33597" s="21">
        <v>501</v>
      </c>
    </row>
    <row r="33598" spans="1:8" customFormat="1" x14ac:dyDescent="0.25">
      <c r="A33598" t="str">
        <f>"396946"</f>
        <v>396946</v>
      </c>
      <c r="B33598" t="s">
        <v>23649</v>
      </c>
      <c r="C33598" t="s">
        <v>608</v>
      </c>
      <c r="D33598" s="21" t="s">
        <v>34</v>
      </c>
      <c r="E33598" s="21" t="s">
        <v>35</v>
      </c>
      <c r="F33598">
        <v>2390080</v>
      </c>
      <c r="G33598" t="s">
        <v>15549</v>
      </c>
      <c r="H33598" s="21">
        <v>501</v>
      </c>
    </row>
    <row r="33599" spans="1:8" customFormat="1" x14ac:dyDescent="0.25">
      <c r="A33599" t="str">
        <f>"7877277"</f>
        <v>7877277</v>
      </c>
      <c r="B33599" t="s">
        <v>15715</v>
      </c>
      <c r="C33599" t="s">
        <v>269</v>
      </c>
      <c r="D33599" s="21" t="s">
        <v>34</v>
      </c>
      <c r="E33599" s="21" t="s">
        <v>254</v>
      </c>
      <c r="F33599">
        <v>8781176</v>
      </c>
      <c r="G33599" t="s">
        <v>3659</v>
      </c>
      <c r="H33599" s="21">
        <v>501</v>
      </c>
    </row>
    <row r="33600" spans="1:8" customFormat="1" x14ac:dyDescent="0.25">
      <c r="A33600" t="str">
        <f>"5327153"</f>
        <v>5327153</v>
      </c>
      <c r="B33600" t="s">
        <v>1722</v>
      </c>
      <c r="C33600" t="s">
        <v>55</v>
      </c>
      <c r="D33600" s="21" t="s">
        <v>34</v>
      </c>
      <c r="E33600" s="21" t="s">
        <v>71</v>
      </c>
      <c r="F33600">
        <v>12530127</v>
      </c>
      <c r="G33600" t="s">
        <v>7067</v>
      </c>
      <c r="H33600" s="21">
        <v>501</v>
      </c>
    </row>
    <row r="33601" spans="1:8" customFormat="1" x14ac:dyDescent="0.25">
      <c r="A33601" t="str">
        <f>"7633379"</f>
        <v>7633379</v>
      </c>
      <c r="B33601" t="s">
        <v>9880</v>
      </c>
      <c r="C33601" t="s">
        <v>2135</v>
      </c>
      <c r="D33601" s="21" t="s">
        <v>34</v>
      </c>
      <c r="E33601" s="21" t="s">
        <v>254</v>
      </c>
      <c r="F33601">
        <v>9760014</v>
      </c>
      <c r="G33601" t="s">
        <v>1017</v>
      </c>
      <c r="H33601" s="21">
        <v>501</v>
      </c>
    </row>
    <row r="33602" spans="1:8" customFormat="1" x14ac:dyDescent="0.25">
      <c r="A33602" t="str">
        <f>"4457787"</f>
        <v>4457787</v>
      </c>
      <c r="B33602" t="s">
        <v>3179</v>
      </c>
      <c r="C33602" t="s">
        <v>147</v>
      </c>
      <c r="D33602" s="21" t="s">
        <v>34</v>
      </c>
      <c r="E33602" s="21" t="s">
        <v>35</v>
      </c>
      <c r="F33602">
        <v>12440144</v>
      </c>
      <c r="G33602" t="s">
        <v>3702</v>
      </c>
      <c r="H33602" s="21">
        <v>501</v>
      </c>
    </row>
    <row r="33603" spans="1:8" customFormat="1" x14ac:dyDescent="0.25">
      <c r="A33603" t="str">
        <f>"1614010"</f>
        <v>1614010</v>
      </c>
      <c r="B33603" t="s">
        <v>482</v>
      </c>
      <c r="C33603" t="s">
        <v>462</v>
      </c>
      <c r="D33603" s="21" t="s">
        <v>34</v>
      </c>
      <c r="E33603" s="21" t="s">
        <v>71</v>
      </c>
      <c r="F33603">
        <v>10160225</v>
      </c>
      <c r="G33603" t="s">
        <v>2865</v>
      </c>
      <c r="H33603" s="21">
        <v>501</v>
      </c>
    </row>
    <row r="33604" spans="1:8" customFormat="1" x14ac:dyDescent="0.25">
      <c r="A33604" t="str">
        <f>"6725615"</f>
        <v>6725615</v>
      </c>
      <c r="B33604" t="s">
        <v>23904</v>
      </c>
      <c r="C33604" t="s">
        <v>10394</v>
      </c>
      <c r="D33604" s="21" t="s">
        <v>34</v>
      </c>
      <c r="E33604" s="21" t="s">
        <v>35</v>
      </c>
      <c r="F33604">
        <v>6670187</v>
      </c>
      <c r="G33604" t="s">
        <v>240</v>
      </c>
      <c r="H33604" s="21">
        <v>501</v>
      </c>
    </row>
    <row r="33605" spans="1:8" customFormat="1" x14ac:dyDescent="0.25">
      <c r="A33605" t="str">
        <f>"5315248"</f>
        <v>5315248</v>
      </c>
      <c r="B33605" t="s">
        <v>9875</v>
      </c>
      <c r="C33605" t="s">
        <v>198</v>
      </c>
      <c r="D33605" s="21" t="s">
        <v>34</v>
      </c>
      <c r="E33605" s="21" t="s">
        <v>35</v>
      </c>
      <c r="F33605">
        <v>12530124</v>
      </c>
      <c r="G33605" t="s">
        <v>4935</v>
      </c>
      <c r="H33605" s="21">
        <v>501</v>
      </c>
    </row>
    <row r="33606" spans="1:8" customFormat="1" x14ac:dyDescent="0.25">
      <c r="A33606" t="str">
        <f>"6725573"</f>
        <v>6725573</v>
      </c>
      <c r="B33606" t="s">
        <v>13318</v>
      </c>
      <c r="C33606" t="s">
        <v>1605</v>
      </c>
      <c r="D33606" s="21" t="s">
        <v>34</v>
      </c>
      <c r="E33606" s="21" t="s">
        <v>71</v>
      </c>
      <c r="F33606">
        <v>6670160</v>
      </c>
      <c r="G33606" t="s">
        <v>908</v>
      </c>
      <c r="H33606" s="21">
        <v>501</v>
      </c>
    </row>
    <row r="33607" spans="1:8" customFormat="1" x14ac:dyDescent="0.25">
      <c r="A33607" t="str">
        <f>"9443151"</f>
        <v>9443151</v>
      </c>
      <c r="B33607" t="s">
        <v>16346</v>
      </c>
      <c r="C33607" t="s">
        <v>3843</v>
      </c>
      <c r="D33607" s="21" t="s">
        <v>34</v>
      </c>
      <c r="E33607" s="21" t="s">
        <v>35</v>
      </c>
      <c r="F33607">
        <v>1380256</v>
      </c>
      <c r="G33607" t="s">
        <v>6946</v>
      </c>
      <c r="H33607" s="21">
        <v>501</v>
      </c>
    </row>
    <row r="33608" spans="1:8" customFormat="1" x14ac:dyDescent="0.25">
      <c r="A33608" t="str">
        <f>"6228333"</f>
        <v>6228333</v>
      </c>
      <c r="B33608" t="s">
        <v>1991</v>
      </c>
      <c r="C33608" t="s">
        <v>60</v>
      </c>
      <c r="D33608" s="21" t="s">
        <v>34</v>
      </c>
      <c r="E33608" s="21" t="s">
        <v>35</v>
      </c>
      <c r="F33608">
        <v>7620048</v>
      </c>
      <c r="G33608" t="s">
        <v>7467</v>
      </c>
      <c r="H33608" s="21">
        <v>501</v>
      </c>
    </row>
    <row r="33609" spans="1:8" customFormat="1" x14ac:dyDescent="0.25">
      <c r="A33609" t="str">
        <f>"1422055"</f>
        <v>1422055</v>
      </c>
      <c r="B33609" t="s">
        <v>23215</v>
      </c>
      <c r="C33609" t="s">
        <v>209</v>
      </c>
      <c r="D33609" s="21" t="s">
        <v>34</v>
      </c>
      <c r="E33609" s="21" t="s">
        <v>71</v>
      </c>
      <c r="F33609">
        <v>9140003</v>
      </c>
      <c r="G33609" t="s">
        <v>6152</v>
      </c>
      <c r="H33609" s="21">
        <v>501</v>
      </c>
    </row>
    <row r="33610" spans="1:8" customFormat="1" x14ac:dyDescent="0.25">
      <c r="A33610" t="str">
        <f>"4529567"</f>
        <v>4529567</v>
      </c>
      <c r="B33610" t="s">
        <v>23657</v>
      </c>
      <c r="C33610" t="s">
        <v>1132</v>
      </c>
      <c r="D33610" s="21" t="s">
        <v>34</v>
      </c>
      <c r="E33610" s="21" t="s">
        <v>254</v>
      </c>
      <c r="F33610">
        <v>4450108</v>
      </c>
      <c r="G33610" t="s">
        <v>2354</v>
      </c>
      <c r="H33610" s="21">
        <v>501</v>
      </c>
    </row>
    <row r="33611" spans="1:8" customFormat="1" x14ac:dyDescent="0.25">
      <c r="A33611" t="str">
        <f>"1425696"</f>
        <v>1425696</v>
      </c>
      <c r="B33611" t="s">
        <v>1198</v>
      </c>
      <c r="C33611" t="s">
        <v>40</v>
      </c>
      <c r="D33611" s="21" t="s">
        <v>34</v>
      </c>
      <c r="E33611" s="21" t="s">
        <v>71</v>
      </c>
      <c r="F33611">
        <v>9140238</v>
      </c>
      <c r="G33611" t="s">
        <v>22869</v>
      </c>
      <c r="H33611" s="21">
        <v>501</v>
      </c>
    </row>
    <row r="33612" spans="1:8" customFormat="1" x14ac:dyDescent="0.25">
      <c r="A33612" t="str">
        <f>"836478"</f>
        <v>836478</v>
      </c>
      <c r="B33612" t="s">
        <v>7493</v>
      </c>
      <c r="C33612" t="s">
        <v>156</v>
      </c>
      <c r="D33612" s="21" t="s">
        <v>34</v>
      </c>
      <c r="E33612" s="21" t="s">
        <v>254</v>
      </c>
      <c r="F33612">
        <v>13830059</v>
      </c>
      <c r="G33612" t="s">
        <v>5440</v>
      </c>
      <c r="H33612" s="21">
        <v>501</v>
      </c>
    </row>
    <row r="33613" spans="1:8" customFormat="1" x14ac:dyDescent="0.25">
      <c r="A33613" t="str">
        <f>"5946993"</f>
        <v>5946993</v>
      </c>
      <c r="B33613" t="s">
        <v>22325</v>
      </c>
      <c r="C33613" t="s">
        <v>40</v>
      </c>
      <c r="D33613" s="21" t="s">
        <v>34</v>
      </c>
      <c r="E33613" s="21" t="s">
        <v>71</v>
      </c>
      <c r="F33613">
        <v>7590027</v>
      </c>
      <c r="G33613" t="s">
        <v>629</v>
      </c>
      <c r="H33613" s="21">
        <v>501</v>
      </c>
    </row>
    <row r="33614" spans="1:8" customFormat="1" x14ac:dyDescent="0.25">
      <c r="A33614" t="str">
        <f>"9533430"</f>
        <v>9533430</v>
      </c>
      <c r="B33614" t="s">
        <v>1133</v>
      </c>
      <c r="C33614" t="s">
        <v>772</v>
      </c>
      <c r="D33614" s="21" t="s">
        <v>34</v>
      </c>
      <c r="E33614" s="21" t="s">
        <v>71</v>
      </c>
      <c r="F33614">
        <v>8950424</v>
      </c>
      <c r="G33614" t="s">
        <v>12098</v>
      </c>
      <c r="H33614" s="21">
        <v>501</v>
      </c>
    </row>
    <row r="33615" spans="1:8" customFormat="1" x14ac:dyDescent="0.25">
      <c r="A33615" t="str">
        <f>"6944493"</f>
        <v>6944493</v>
      </c>
      <c r="B33615" t="s">
        <v>28671</v>
      </c>
      <c r="C33615" t="s">
        <v>3648</v>
      </c>
      <c r="D33615" s="21" t="s">
        <v>34</v>
      </c>
      <c r="E33615" s="21" t="s">
        <v>254</v>
      </c>
      <c r="F33615">
        <v>1690107</v>
      </c>
      <c r="G33615" t="s">
        <v>4163</v>
      </c>
      <c r="H33615" s="21">
        <v>501</v>
      </c>
    </row>
    <row r="33616" spans="1:8" customFormat="1" x14ac:dyDescent="0.25">
      <c r="A33616" t="str">
        <f>"392125"</f>
        <v>392125</v>
      </c>
      <c r="B33616" t="s">
        <v>1533</v>
      </c>
      <c r="C33616" t="s">
        <v>1841</v>
      </c>
      <c r="D33616" s="21" t="s">
        <v>34</v>
      </c>
      <c r="E33616" s="21" t="s">
        <v>1089</v>
      </c>
      <c r="F33616">
        <v>2390082</v>
      </c>
      <c r="G33616" t="s">
        <v>3343</v>
      </c>
      <c r="H33616" s="21">
        <v>501</v>
      </c>
    </row>
    <row r="33617" spans="1:8" customFormat="1" x14ac:dyDescent="0.25">
      <c r="A33617" t="str">
        <f>"6924153"</f>
        <v>6924153</v>
      </c>
      <c r="B33617" t="s">
        <v>24495</v>
      </c>
      <c r="C33617" t="s">
        <v>209</v>
      </c>
      <c r="D33617" s="21" t="s">
        <v>34</v>
      </c>
      <c r="E33617" s="21" t="s">
        <v>71</v>
      </c>
      <c r="F33617">
        <v>1690107</v>
      </c>
      <c r="G33617" t="s">
        <v>4163</v>
      </c>
      <c r="H33617" s="21">
        <v>501</v>
      </c>
    </row>
    <row r="33618" spans="1:8" customFormat="1" x14ac:dyDescent="0.25">
      <c r="A33618" t="str">
        <f>"7863418"</f>
        <v>7863418</v>
      </c>
      <c r="B33618" t="s">
        <v>423</v>
      </c>
      <c r="C33618" t="s">
        <v>130</v>
      </c>
      <c r="D33618" s="21" t="s">
        <v>34</v>
      </c>
      <c r="E33618" s="21" t="s">
        <v>254</v>
      </c>
      <c r="F33618">
        <v>8780130</v>
      </c>
      <c r="G33618" t="s">
        <v>5752</v>
      </c>
      <c r="H33618" s="21">
        <v>500.92</v>
      </c>
    </row>
    <row r="33619" spans="1:8" customFormat="1" x14ac:dyDescent="0.25">
      <c r="A33619" t="str">
        <f>"6715234"</f>
        <v>6715234</v>
      </c>
      <c r="B33619" t="s">
        <v>23511</v>
      </c>
      <c r="C33619" t="s">
        <v>40</v>
      </c>
      <c r="D33619" s="21" t="s">
        <v>34</v>
      </c>
      <c r="E33619" s="21" t="s">
        <v>35</v>
      </c>
      <c r="F33619">
        <v>6670256</v>
      </c>
      <c r="G33619" t="s">
        <v>14348</v>
      </c>
      <c r="H33619" s="21">
        <v>500.92</v>
      </c>
    </row>
    <row r="33620" spans="1:8" customFormat="1" x14ac:dyDescent="0.25">
      <c r="A33620" t="str">
        <f>"7877695"</f>
        <v>7877695</v>
      </c>
      <c r="B33620" t="s">
        <v>23807</v>
      </c>
      <c r="C33620" t="s">
        <v>2276</v>
      </c>
      <c r="D33620" s="21" t="s">
        <v>34</v>
      </c>
      <c r="E33620" s="21" t="s">
        <v>254</v>
      </c>
      <c r="F33620">
        <v>8780529</v>
      </c>
      <c r="G33620" t="s">
        <v>8624</v>
      </c>
      <c r="H33620" s="21">
        <v>500.88</v>
      </c>
    </row>
    <row r="33621" spans="1:8" customFormat="1" x14ac:dyDescent="0.25">
      <c r="A33621" t="str">
        <f>"7868859"</f>
        <v>7868859</v>
      </c>
      <c r="B33621" t="s">
        <v>10398</v>
      </c>
      <c r="C33621" t="s">
        <v>33</v>
      </c>
      <c r="D33621" s="21" t="s">
        <v>34</v>
      </c>
      <c r="E33621" s="21" t="s">
        <v>35</v>
      </c>
      <c r="F33621">
        <v>8911368</v>
      </c>
      <c r="G33621" t="s">
        <v>12227</v>
      </c>
      <c r="H33621" s="21">
        <v>500.75</v>
      </c>
    </row>
    <row r="33622" spans="1:8" customFormat="1" x14ac:dyDescent="0.25">
      <c r="A33622" t="str">
        <f>"8521225"</f>
        <v>8521225</v>
      </c>
      <c r="B33622" t="s">
        <v>2138</v>
      </c>
      <c r="C33622" t="s">
        <v>598</v>
      </c>
      <c r="D33622" s="21" t="s">
        <v>34</v>
      </c>
      <c r="E33622" s="21" t="s">
        <v>254</v>
      </c>
      <c r="F33622">
        <v>12850136</v>
      </c>
      <c r="G33622" t="s">
        <v>2536</v>
      </c>
      <c r="H33622" s="21">
        <v>500.75</v>
      </c>
    </row>
    <row r="33623" spans="1:8" customFormat="1" x14ac:dyDescent="0.25">
      <c r="A33623" t="str">
        <f>"3345389"</f>
        <v>3345389</v>
      </c>
      <c r="B33623" t="s">
        <v>28672</v>
      </c>
      <c r="C33623" t="s">
        <v>62</v>
      </c>
      <c r="D33623" s="21" t="s">
        <v>34</v>
      </c>
      <c r="E33623" s="21" t="s">
        <v>35</v>
      </c>
      <c r="F33623">
        <v>10330086</v>
      </c>
      <c r="G33623" t="s">
        <v>785</v>
      </c>
      <c r="H33623" s="21">
        <v>500.75</v>
      </c>
    </row>
    <row r="33624" spans="1:8" customFormat="1" x14ac:dyDescent="0.25">
      <c r="A33624" t="str">
        <f>"3427528"</f>
        <v>3427528</v>
      </c>
      <c r="B33624" t="s">
        <v>4754</v>
      </c>
      <c r="C33624" t="s">
        <v>22474</v>
      </c>
      <c r="D33624" s="21" t="s">
        <v>34</v>
      </c>
      <c r="E33624" s="21" t="s">
        <v>71</v>
      </c>
      <c r="F33624">
        <v>11340008</v>
      </c>
      <c r="G33624" t="s">
        <v>312</v>
      </c>
      <c r="H33624" s="21">
        <v>500.75</v>
      </c>
    </row>
    <row r="33625" spans="1:8" customFormat="1" x14ac:dyDescent="0.25">
      <c r="A33625" t="str">
        <f>"3716640"</f>
        <v>3716640</v>
      </c>
      <c r="B33625" t="s">
        <v>24254</v>
      </c>
      <c r="C33625" t="s">
        <v>3648</v>
      </c>
      <c r="D33625" s="21" t="s">
        <v>34</v>
      </c>
      <c r="E33625" s="21" t="s">
        <v>1089</v>
      </c>
      <c r="F33625">
        <v>4370708</v>
      </c>
      <c r="G33625" t="s">
        <v>21080</v>
      </c>
      <c r="H33625" s="21">
        <v>500.75</v>
      </c>
    </row>
    <row r="33626" spans="1:8" customFormat="1" x14ac:dyDescent="0.25">
      <c r="A33626" t="str">
        <f>"7640786"</f>
        <v>7640786</v>
      </c>
      <c r="B33626" t="s">
        <v>24692</v>
      </c>
      <c r="C33626" t="s">
        <v>43</v>
      </c>
      <c r="D33626" s="21" t="s">
        <v>34</v>
      </c>
      <c r="E33626" s="21" t="s">
        <v>35</v>
      </c>
      <c r="F33626">
        <v>9760416</v>
      </c>
      <c r="G33626" t="s">
        <v>4614</v>
      </c>
      <c r="H33626" s="21">
        <v>500.67</v>
      </c>
    </row>
    <row r="33627" spans="1:8" customFormat="1" x14ac:dyDescent="0.25">
      <c r="A33627" t="str">
        <f>"9529020"</f>
        <v>9529020</v>
      </c>
      <c r="B33627" t="s">
        <v>17841</v>
      </c>
      <c r="C33627" t="s">
        <v>1812</v>
      </c>
      <c r="D33627" s="21" t="s">
        <v>34</v>
      </c>
      <c r="E33627" s="21" t="s">
        <v>71</v>
      </c>
      <c r="F33627">
        <v>8951411</v>
      </c>
      <c r="G33627" t="s">
        <v>416</v>
      </c>
      <c r="H33627" s="21">
        <v>500.67</v>
      </c>
    </row>
    <row r="33628" spans="1:8" customFormat="1" x14ac:dyDescent="0.25">
      <c r="A33628" t="str">
        <f>"6920849"</f>
        <v>6920849</v>
      </c>
      <c r="B33628" t="s">
        <v>5531</v>
      </c>
      <c r="C33628" t="s">
        <v>1588</v>
      </c>
      <c r="D33628" s="21" t="s">
        <v>34</v>
      </c>
      <c r="E33628" s="21" t="s">
        <v>71</v>
      </c>
      <c r="F33628">
        <v>1690155</v>
      </c>
      <c r="G33628" t="s">
        <v>11464</v>
      </c>
      <c r="H33628" s="21">
        <v>500.67</v>
      </c>
    </row>
    <row r="33629" spans="1:8" customFormat="1" x14ac:dyDescent="0.25">
      <c r="A33629" t="str">
        <f>"9422912"</f>
        <v>9422912</v>
      </c>
      <c r="B33629" t="s">
        <v>22200</v>
      </c>
      <c r="C33629" t="s">
        <v>151</v>
      </c>
      <c r="D33629" s="21" t="s">
        <v>34</v>
      </c>
      <c r="E33629" s="21" t="s">
        <v>71</v>
      </c>
      <c r="F33629">
        <v>8940070</v>
      </c>
      <c r="G33629" t="s">
        <v>2320</v>
      </c>
      <c r="H33629" s="21">
        <v>500.67</v>
      </c>
    </row>
    <row r="33630" spans="1:8" customFormat="1" x14ac:dyDescent="0.25">
      <c r="A33630" t="str">
        <f>"6112237"</f>
        <v>6112237</v>
      </c>
      <c r="B33630" t="s">
        <v>1729</v>
      </c>
      <c r="C33630" t="s">
        <v>269</v>
      </c>
      <c r="D33630" s="21" t="s">
        <v>34</v>
      </c>
      <c r="E33630" s="21" t="s">
        <v>35</v>
      </c>
      <c r="F33630">
        <v>9610002</v>
      </c>
      <c r="G33630" t="s">
        <v>75</v>
      </c>
      <c r="H33630" s="21">
        <v>500.67</v>
      </c>
    </row>
    <row r="33631" spans="1:8" customFormat="1" x14ac:dyDescent="0.25">
      <c r="A33631" t="str">
        <f>"2712143"</f>
        <v>2712143</v>
      </c>
      <c r="B33631" t="s">
        <v>3624</v>
      </c>
      <c r="C33631" t="s">
        <v>60</v>
      </c>
      <c r="D33631" s="21" t="s">
        <v>34</v>
      </c>
      <c r="E33631" s="21" t="s">
        <v>35</v>
      </c>
      <c r="F33631">
        <v>9270095</v>
      </c>
      <c r="G33631" t="s">
        <v>1681</v>
      </c>
      <c r="H33631" s="21">
        <v>500.67</v>
      </c>
    </row>
    <row r="33632" spans="1:8" customFormat="1" x14ac:dyDescent="0.25">
      <c r="A33632" t="str">
        <f>"6316435"</f>
        <v>6316435</v>
      </c>
      <c r="B33632" t="s">
        <v>13500</v>
      </c>
      <c r="C33632" t="s">
        <v>263</v>
      </c>
      <c r="D33632" s="21" t="s">
        <v>34</v>
      </c>
      <c r="E33632" s="21" t="s">
        <v>35</v>
      </c>
      <c r="F33632">
        <v>1630012</v>
      </c>
      <c r="G33632" t="s">
        <v>8636</v>
      </c>
      <c r="H33632" s="21">
        <v>500.67</v>
      </c>
    </row>
    <row r="33633" spans="1:8" customFormat="1" x14ac:dyDescent="0.25">
      <c r="A33633" t="str">
        <f>"668399"</f>
        <v>668399</v>
      </c>
      <c r="B33633" t="s">
        <v>18053</v>
      </c>
      <c r="C33633" t="s">
        <v>817</v>
      </c>
      <c r="D33633" s="21" t="s">
        <v>34</v>
      </c>
      <c r="E33633" s="21" t="s">
        <v>71</v>
      </c>
      <c r="F33633">
        <v>11660011</v>
      </c>
      <c r="G33633" t="s">
        <v>4641</v>
      </c>
      <c r="H33633" s="21">
        <v>500.67</v>
      </c>
    </row>
    <row r="33634" spans="1:8" customFormat="1" x14ac:dyDescent="0.25">
      <c r="A33634" t="str">
        <f>"9417658"</f>
        <v>9417658</v>
      </c>
      <c r="B33634" t="s">
        <v>22150</v>
      </c>
      <c r="C33634" t="s">
        <v>926</v>
      </c>
      <c r="D33634" s="21" t="s">
        <v>34</v>
      </c>
      <c r="E33634" s="21" t="s">
        <v>71</v>
      </c>
      <c r="F33634">
        <v>11340013</v>
      </c>
      <c r="G33634" t="s">
        <v>11430</v>
      </c>
      <c r="H33634" s="21">
        <v>500.67</v>
      </c>
    </row>
    <row r="33635" spans="1:8" customFormat="1" x14ac:dyDescent="0.25">
      <c r="A33635" t="str">
        <f>"583388"</f>
        <v>583388</v>
      </c>
      <c r="B33635" t="s">
        <v>16268</v>
      </c>
      <c r="C33635" t="s">
        <v>209</v>
      </c>
      <c r="D33635" s="21" t="s">
        <v>34</v>
      </c>
      <c r="E33635" s="21" t="s">
        <v>254</v>
      </c>
      <c r="F33635">
        <v>2580052</v>
      </c>
      <c r="G33635" t="s">
        <v>1813</v>
      </c>
      <c r="H33635" s="21">
        <v>500.67</v>
      </c>
    </row>
    <row r="33636" spans="1:8" customFormat="1" x14ac:dyDescent="0.25">
      <c r="A33636" t="str">
        <f>"1610150"</f>
        <v>1610150</v>
      </c>
      <c r="B33636" t="s">
        <v>21716</v>
      </c>
      <c r="C33636" t="s">
        <v>320</v>
      </c>
      <c r="D33636" s="21" t="s">
        <v>34</v>
      </c>
      <c r="E33636" s="21" t="s">
        <v>71</v>
      </c>
      <c r="F33636">
        <v>10160185</v>
      </c>
      <c r="G33636" t="s">
        <v>2035</v>
      </c>
      <c r="H33636" s="21">
        <v>500.67</v>
      </c>
    </row>
    <row r="33637" spans="1:8" customFormat="1" x14ac:dyDescent="0.25">
      <c r="A33637" t="str">
        <f>"5937887"</f>
        <v>5937887</v>
      </c>
      <c r="B33637" t="s">
        <v>21770</v>
      </c>
      <c r="C33637" t="s">
        <v>87</v>
      </c>
      <c r="D33637" s="21" t="s">
        <v>34</v>
      </c>
      <c r="E33637" s="21" t="s">
        <v>35</v>
      </c>
      <c r="F33637">
        <v>7590231</v>
      </c>
      <c r="G33637" t="s">
        <v>207</v>
      </c>
      <c r="H33637" s="21">
        <v>500.67</v>
      </c>
    </row>
    <row r="33638" spans="1:8" customFormat="1" x14ac:dyDescent="0.25">
      <c r="A33638" t="str">
        <f>"6724815"</f>
        <v>6724815</v>
      </c>
      <c r="B33638" t="s">
        <v>24293</v>
      </c>
      <c r="C33638" t="s">
        <v>453</v>
      </c>
      <c r="D33638" s="21" t="s">
        <v>34</v>
      </c>
      <c r="E33638" s="21" t="s">
        <v>35</v>
      </c>
      <c r="F33638">
        <v>6670256</v>
      </c>
      <c r="G33638" t="s">
        <v>14348</v>
      </c>
      <c r="H33638" s="21">
        <v>500.67</v>
      </c>
    </row>
    <row r="33639" spans="1:8" customFormat="1" x14ac:dyDescent="0.25">
      <c r="A33639" t="str">
        <f>"7222208"</f>
        <v>7222208</v>
      </c>
      <c r="B33639" t="s">
        <v>3372</v>
      </c>
      <c r="C33639" t="s">
        <v>151</v>
      </c>
      <c r="D33639" s="21" t="s">
        <v>34</v>
      </c>
      <c r="E33639" s="21" t="s">
        <v>71</v>
      </c>
      <c r="F33639">
        <v>12720067</v>
      </c>
      <c r="G33639" t="s">
        <v>10622</v>
      </c>
      <c r="H33639" s="21">
        <v>500.67</v>
      </c>
    </row>
    <row r="33640" spans="1:8" customFormat="1" x14ac:dyDescent="0.25">
      <c r="A33640" t="str">
        <f>"3526706"</f>
        <v>3526706</v>
      </c>
      <c r="B33640" t="s">
        <v>14460</v>
      </c>
      <c r="C33640" t="s">
        <v>21775</v>
      </c>
      <c r="D33640" s="21" t="s">
        <v>34</v>
      </c>
      <c r="E33640" s="21" t="s">
        <v>35</v>
      </c>
      <c r="F33640">
        <v>3350142</v>
      </c>
      <c r="G33640" t="s">
        <v>19817</v>
      </c>
      <c r="H33640" s="21">
        <v>500.67</v>
      </c>
    </row>
    <row r="33641" spans="1:8" customFormat="1" x14ac:dyDescent="0.25">
      <c r="A33641" t="str">
        <f>"639746"</f>
        <v>639746</v>
      </c>
      <c r="B33641" t="s">
        <v>20740</v>
      </c>
      <c r="C33641" t="s">
        <v>379</v>
      </c>
      <c r="D33641" s="21" t="s">
        <v>34</v>
      </c>
      <c r="E33641" s="21" t="s">
        <v>254</v>
      </c>
      <c r="F33641">
        <v>1630015</v>
      </c>
      <c r="G33641" t="s">
        <v>2097</v>
      </c>
      <c r="H33641" s="21">
        <v>500.67</v>
      </c>
    </row>
    <row r="33642" spans="1:8" customFormat="1" x14ac:dyDescent="0.25">
      <c r="A33642" t="str">
        <f>"6230998"</f>
        <v>6230998</v>
      </c>
      <c r="B33642" t="s">
        <v>24127</v>
      </c>
      <c r="C33642" t="s">
        <v>822</v>
      </c>
      <c r="D33642" s="21" t="s">
        <v>34</v>
      </c>
      <c r="E33642" s="21" t="s">
        <v>254</v>
      </c>
      <c r="F33642">
        <v>7620139</v>
      </c>
      <c r="G33642" t="s">
        <v>2061</v>
      </c>
      <c r="H33642" s="21">
        <v>500.67</v>
      </c>
    </row>
    <row r="33643" spans="1:8" customFormat="1" x14ac:dyDescent="0.25">
      <c r="A33643" t="str">
        <f>"457000"</f>
        <v>457000</v>
      </c>
      <c r="B33643" t="s">
        <v>3249</v>
      </c>
      <c r="C33643" t="s">
        <v>187</v>
      </c>
      <c r="D33643" s="21" t="s">
        <v>34</v>
      </c>
      <c r="E33643" s="21" t="s">
        <v>71</v>
      </c>
      <c r="F33643">
        <v>4450661</v>
      </c>
      <c r="G33643" t="s">
        <v>12253</v>
      </c>
      <c r="H33643" s="21">
        <v>500.5</v>
      </c>
    </row>
    <row r="33644" spans="1:8" customFormat="1" x14ac:dyDescent="0.25">
      <c r="A33644" t="str">
        <f>"6112354"</f>
        <v>6112354</v>
      </c>
      <c r="B33644" t="s">
        <v>582</v>
      </c>
      <c r="C33644" t="s">
        <v>2479</v>
      </c>
      <c r="D33644" s="21" t="s">
        <v>34</v>
      </c>
      <c r="E33644" s="21" t="s">
        <v>1089</v>
      </c>
      <c r="F33644">
        <v>9610122</v>
      </c>
      <c r="G33644" t="s">
        <v>4349</v>
      </c>
      <c r="H33644" s="21">
        <v>500.5</v>
      </c>
    </row>
    <row r="33645" spans="1:8" customFormat="1" x14ac:dyDescent="0.25">
      <c r="A33645" t="str">
        <f>"9137795"</f>
        <v>9137795</v>
      </c>
      <c r="B33645" t="s">
        <v>24033</v>
      </c>
      <c r="C33645" t="s">
        <v>171</v>
      </c>
      <c r="D33645" s="21" t="s">
        <v>34</v>
      </c>
      <c r="E33645" s="21" t="s">
        <v>71</v>
      </c>
      <c r="F33645">
        <v>8910434</v>
      </c>
      <c r="G33645" t="s">
        <v>681</v>
      </c>
      <c r="H33645" s="21">
        <v>500.5</v>
      </c>
    </row>
    <row r="33646" spans="1:8" customFormat="1" x14ac:dyDescent="0.25">
      <c r="A33646" t="str">
        <f>"2721685"</f>
        <v>2721685</v>
      </c>
      <c r="B33646" t="s">
        <v>28673</v>
      </c>
      <c r="C33646" t="s">
        <v>1359</v>
      </c>
      <c r="D33646" s="21" t="s">
        <v>34</v>
      </c>
      <c r="E33646" s="21" t="s">
        <v>35</v>
      </c>
      <c r="F33646">
        <v>9270097</v>
      </c>
      <c r="G33646" t="s">
        <v>9759</v>
      </c>
      <c r="H33646" s="21">
        <v>500.5</v>
      </c>
    </row>
    <row r="33647" spans="1:8" customFormat="1" x14ac:dyDescent="0.25">
      <c r="A33647" t="str">
        <f>"7213595"</f>
        <v>7213595</v>
      </c>
      <c r="B33647" t="s">
        <v>23790</v>
      </c>
      <c r="C33647" t="s">
        <v>249</v>
      </c>
      <c r="D33647" s="21" t="s">
        <v>34</v>
      </c>
      <c r="E33647" s="21" t="s">
        <v>71</v>
      </c>
      <c r="F33647">
        <v>12720144</v>
      </c>
      <c r="G33647" t="s">
        <v>15102</v>
      </c>
      <c r="H33647" s="21">
        <v>500.5</v>
      </c>
    </row>
    <row r="33648" spans="1:8" customFormat="1" x14ac:dyDescent="0.25">
      <c r="A33648" t="str">
        <f>"6814247"</f>
        <v>6814247</v>
      </c>
      <c r="B33648" t="s">
        <v>24718</v>
      </c>
      <c r="C33648" t="s">
        <v>652</v>
      </c>
      <c r="D33648" s="21" t="s">
        <v>34</v>
      </c>
      <c r="E33648" s="21" t="s">
        <v>71</v>
      </c>
      <c r="F33648">
        <v>6680071</v>
      </c>
      <c r="G33648" t="s">
        <v>2899</v>
      </c>
      <c r="H33648" s="21">
        <v>500.5</v>
      </c>
    </row>
    <row r="33649" spans="1:8" customFormat="1" x14ac:dyDescent="0.25">
      <c r="A33649" t="str">
        <f>"5729982"</f>
        <v>5729982</v>
      </c>
      <c r="B33649" t="s">
        <v>23777</v>
      </c>
      <c r="C33649" t="s">
        <v>1539</v>
      </c>
      <c r="D33649" s="21" t="s">
        <v>34</v>
      </c>
      <c r="E33649" s="21" t="s">
        <v>254</v>
      </c>
      <c r="F33649">
        <v>6570073</v>
      </c>
      <c r="G33649" t="s">
        <v>952</v>
      </c>
      <c r="H33649" s="21">
        <v>500.5</v>
      </c>
    </row>
    <row r="33650" spans="1:8" customFormat="1" x14ac:dyDescent="0.25">
      <c r="A33650" t="str">
        <f>"5982870"</f>
        <v>5982870</v>
      </c>
      <c r="B33650" t="s">
        <v>26286</v>
      </c>
      <c r="C33650" t="s">
        <v>33</v>
      </c>
      <c r="D33650" s="21" t="s">
        <v>34</v>
      </c>
      <c r="E33650" s="21" t="s">
        <v>35</v>
      </c>
      <c r="F33650">
        <v>7590414</v>
      </c>
      <c r="G33650" t="s">
        <v>10056</v>
      </c>
      <c r="H33650" s="21">
        <v>500.5</v>
      </c>
    </row>
    <row r="33651" spans="1:8" customFormat="1" x14ac:dyDescent="0.25">
      <c r="A33651" t="str">
        <f>"1318152"</f>
        <v>1318152</v>
      </c>
      <c r="B33651" t="s">
        <v>23411</v>
      </c>
      <c r="C33651" t="s">
        <v>415</v>
      </c>
      <c r="D33651" s="21" t="s">
        <v>34</v>
      </c>
      <c r="E33651" s="21" t="s">
        <v>254</v>
      </c>
      <c r="F33651">
        <v>13130012</v>
      </c>
      <c r="G33651" t="s">
        <v>68</v>
      </c>
      <c r="H33651" s="21">
        <v>500.5</v>
      </c>
    </row>
    <row r="33652" spans="1:8" customFormat="1" x14ac:dyDescent="0.25">
      <c r="A33652" t="str">
        <f>"6024323"</f>
        <v>6024323</v>
      </c>
      <c r="B33652" t="s">
        <v>10801</v>
      </c>
      <c r="C33652" t="s">
        <v>608</v>
      </c>
      <c r="D33652" s="21" t="s">
        <v>34</v>
      </c>
      <c r="E33652" s="21" t="s">
        <v>35</v>
      </c>
      <c r="F33652">
        <v>7600168</v>
      </c>
      <c r="G33652" t="s">
        <v>27372</v>
      </c>
      <c r="H33652" s="21">
        <v>500.5</v>
      </c>
    </row>
    <row r="33653" spans="1:8" customFormat="1" x14ac:dyDescent="0.25">
      <c r="A33653" t="str">
        <f>"3727509"</f>
        <v>3727509</v>
      </c>
      <c r="B33653" t="s">
        <v>24079</v>
      </c>
      <c r="C33653" t="s">
        <v>209</v>
      </c>
      <c r="D33653" s="21" t="s">
        <v>34</v>
      </c>
      <c r="E33653" s="21" t="s">
        <v>71</v>
      </c>
      <c r="F33653">
        <v>4370024</v>
      </c>
      <c r="G33653" t="s">
        <v>1718</v>
      </c>
      <c r="H33653" s="21">
        <v>500.5</v>
      </c>
    </row>
    <row r="33654" spans="1:8" customFormat="1" x14ac:dyDescent="0.25">
      <c r="A33654" t="str">
        <f>"6811021"</f>
        <v>6811021</v>
      </c>
      <c r="B33654" t="s">
        <v>22168</v>
      </c>
      <c r="C33654" t="s">
        <v>1271</v>
      </c>
      <c r="D33654" s="21" t="s">
        <v>34</v>
      </c>
      <c r="E33654" s="21" t="s">
        <v>254</v>
      </c>
      <c r="F33654">
        <v>6680006</v>
      </c>
      <c r="G33654" t="s">
        <v>5266</v>
      </c>
      <c r="H33654" s="21">
        <v>500.5</v>
      </c>
    </row>
    <row r="33655" spans="1:8" customFormat="1" x14ac:dyDescent="0.25">
      <c r="A33655" t="str">
        <f>"7642697"</f>
        <v>7642697</v>
      </c>
      <c r="B33655" t="s">
        <v>11784</v>
      </c>
      <c r="C33655" t="s">
        <v>109</v>
      </c>
      <c r="D33655" s="21" t="s">
        <v>34</v>
      </c>
      <c r="E33655" s="21" t="s">
        <v>35</v>
      </c>
      <c r="F33655">
        <v>9760136</v>
      </c>
      <c r="G33655" t="s">
        <v>5035</v>
      </c>
      <c r="H33655" s="21">
        <v>500.5</v>
      </c>
    </row>
    <row r="33656" spans="1:8" customFormat="1" x14ac:dyDescent="0.25">
      <c r="A33656" t="str">
        <f>"395942"</f>
        <v>395942</v>
      </c>
      <c r="B33656" t="s">
        <v>23450</v>
      </c>
      <c r="C33656" t="s">
        <v>1110</v>
      </c>
      <c r="D33656" s="21" t="s">
        <v>34</v>
      </c>
      <c r="E33656" s="21" t="s">
        <v>254</v>
      </c>
      <c r="F33656">
        <v>2390082</v>
      </c>
      <c r="G33656" t="s">
        <v>3343</v>
      </c>
      <c r="H33656" s="21">
        <v>500.5</v>
      </c>
    </row>
    <row r="33657" spans="1:8" customFormat="1" x14ac:dyDescent="0.25">
      <c r="A33657" t="str">
        <f>"615147"</f>
        <v>615147</v>
      </c>
      <c r="B33657" t="s">
        <v>14353</v>
      </c>
      <c r="C33657" t="s">
        <v>23808</v>
      </c>
      <c r="D33657" s="21" t="s">
        <v>34</v>
      </c>
      <c r="E33657" s="21" t="s">
        <v>71</v>
      </c>
      <c r="F33657">
        <v>9610077</v>
      </c>
      <c r="G33657" t="s">
        <v>26691</v>
      </c>
      <c r="H33657" s="21">
        <v>500.5</v>
      </c>
    </row>
    <row r="33658" spans="1:8" customFormat="1" x14ac:dyDescent="0.25">
      <c r="A33658" t="str">
        <f>"358839"</f>
        <v>358839</v>
      </c>
      <c r="B33658" t="s">
        <v>13754</v>
      </c>
      <c r="C33658" t="s">
        <v>1110</v>
      </c>
      <c r="D33658" s="21" t="s">
        <v>34</v>
      </c>
      <c r="E33658" s="21" t="s">
        <v>6185</v>
      </c>
      <c r="F33658">
        <v>3350011</v>
      </c>
      <c r="G33658" t="s">
        <v>2404</v>
      </c>
      <c r="H33658" s="21">
        <v>500.5</v>
      </c>
    </row>
    <row r="33659" spans="1:8" customFormat="1" x14ac:dyDescent="0.25">
      <c r="A33659" t="str">
        <f>"6914366"</f>
        <v>6914366</v>
      </c>
      <c r="B33659" t="s">
        <v>24131</v>
      </c>
      <c r="C33659" t="s">
        <v>55</v>
      </c>
      <c r="D33659" s="21" t="s">
        <v>34</v>
      </c>
      <c r="E33659" s="21" t="s">
        <v>71</v>
      </c>
      <c r="F33659">
        <v>1690155</v>
      </c>
      <c r="G33659" t="s">
        <v>11464</v>
      </c>
      <c r="H33659" s="21">
        <v>500.5</v>
      </c>
    </row>
    <row r="33660" spans="1:8" customFormat="1" x14ac:dyDescent="0.25">
      <c r="A33660" t="str">
        <f>"9515338"</f>
        <v>9515338</v>
      </c>
      <c r="B33660" t="s">
        <v>9789</v>
      </c>
      <c r="C33660" t="s">
        <v>547</v>
      </c>
      <c r="D33660" s="21" t="s">
        <v>34</v>
      </c>
      <c r="E33660" s="21" t="s">
        <v>1089</v>
      </c>
      <c r="F33660">
        <v>8950330</v>
      </c>
      <c r="G33660" t="s">
        <v>794</v>
      </c>
      <c r="H33660" s="21">
        <v>500.5</v>
      </c>
    </row>
    <row r="33661" spans="1:8" customFormat="1" x14ac:dyDescent="0.25">
      <c r="A33661" t="str">
        <f>"3728203"</f>
        <v>3728203</v>
      </c>
      <c r="B33661" t="s">
        <v>5283</v>
      </c>
      <c r="C33661" t="s">
        <v>204</v>
      </c>
      <c r="D33661" s="21" t="s">
        <v>34</v>
      </c>
      <c r="E33661" s="21" t="s">
        <v>35</v>
      </c>
      <c r="F33661">
        <v>4370691</v>
      </c>
      <c r="G33661" t="s">
        <v>12036</v>
      </c>
      <c r="H33661" s="21">
        <v>500.5</v>
      </c>
    </row>
    <row r="33662" spans="1:8" customFormat="1" x14ac:dyDescent="0.25">
      <c r="A33662" t="str">
        <f>"5614577"</f>
        <v>5614577</v>
      </c>
      <c r="B33662" t="s">
        <v>6729</v>
      </c>
      <c r="C33662" t="s">
        <v>40</v>
      </c>
      <c r="D33662" s="21" t="s">
        <v>34</v>
      </c>
      <c r="E33662" s="21" t="s">
        <v>71</v>
      </c>
      <c r="F33662">
        <v>3560033</v>
      </c>
      <c r="G33662" t="s">
        <v>4927</v>
      </c>
      <c r="H33662" s="21">
        <v>500.5</v>
      </c>
    </row>
    <row r="33663" spans="1:8" customFormat="1" x14ac:dyDescent="0.25">
      <c r="A33663" t="str">
        <f>"5973073"</f>
        <v>5973073</v>
      </c>
      <c r="B33663" t="s">
        <v>24409</v>
      </c>
      <c r="C33663" t="s">
        <v>249</v>
      </c>
      <c r="D33663" s="21" t="s">
        <v>34</v>
      </c>
      <c r="E33663" s="21" t="s">
        <v>71</v>
      </c>
      <c r="F33663">
        <v>7590068</v>
      </c>
      <c r="G33663" t="s">
        <v>1005</v>
      </c>
      <c r="H33663" s="21">
        <v>500.42</v>
      </c>
    </row>
    <row r="33664" spans="1:8" customFormat="1" x14ac:dyDescent="0.25">
      <c r="A33664" t="str">
        <f>"5621675"</f>
        <v>5621675</v>
      </c>
      <c r="B33664" t="s">
        <v>7174</v>
      </c>
      <c r="C33664" t="s">
        <v>608</v>
      </c>
      <c r="D33664" s="21" t="s">
        <v>34</v>
      </c>
      <c r="E33664" s="21" t="s">
        <v>35</v>
      </c>
      <c r="F33664">
        <v>3560038</v>
      </c>
      <c r="G33664" t="s">
        <v>3598</v>
      </c>
      <c r="H33664" s="21">
        <v>500.42</v>
      </c>
    </row>
    <row r="33665" spans="1:8" customFormat="1" x14ac:dyDescent="0.25">
      <c r="A33665" t="str">
        <f>"4938083"</f>
        <v>4938083</v>
      </c>
      <c r="B33665" t="s">
        <v>11297</v>
      </c>
      <c r="C33665" t="s">
        <v>459</v>
      </c>
      <c r="D33665" s="21" t="s">
        <v>34</v>
      </c>
      <c r="E33665" s="21" t="s">
        <v>35</v>
      </c>
      <c r="F33665">
        <v>12490057</v>
      </c>
      <c r="G33665" t="s">
        <v>5946</v>
      </c>
      <c r="H33665" s="21">
        <v>500.25</v>
      </c>
    </row>
    <row r="33666" spans="1:8" customFormat="1" x14ac:dyDescent="0.25">
      <c r="A33666" t="str">
        <f>"2619373"</f>
        <v>2619373</v>
      </c>
      <c r="B33666" t="s">
        <v>1951</v>
      </c>
      <c r="C33666" t="s">
        <v>60</v>
      </c>
      <c r="D33666" s="21" t="s">
        <v>34</v>
      </c>
      <c r="E33666" s="21" t="s">
        <v>35</v>
      </c>
      <c r="F33666">
        <v>1260060</v>
      </c>
      <c r="G33666" t="s">
        <v>3403</v>
      </c>
      <c r="H33666" s="21">
        <v>500.17</v>
      </c>
    </row>
    <row r="33667" spans="1:8" customFormat="1" x14ac:dyDescent="0.25">
      <c r="A33667" t="str">
        <f>"3330732"</f>
        <v>3330732</v>
      </c>
      <c r="B33667" t="s">
        <v>21739</v>
      </c>
      <c r="C33667" t="s">
        <v>249</v>
      </c>
      <c r="D33667" s="21" t="s">
        <v>34</v>
      </c>
      <c r="E33667" s="21" t="s">
        <v>254</v>
      </c>
      <c r="F33667">
        <v>10330050</v>
      </c>
      <c r="G33667" t="s">
        <v>2488</v>
      </c>
      <c r="H33667" s="21">
        <v>500.17</v>
      </c>
    </row>
    <row r="33668" spans="1:8" customFormat="1" x14ac:dyDescent="0.25">
      <c r="A33668" t="str">
        <f>"7413495"</f>
        <v>7413495</v>
      </c>
      <c r="B33668" t="s">
        <v>24208</v>
      </c>
      <c r="C33668" t="s">
        <v>462</v>
      </c>
      <c r="D33668" s="21" t="s">
        <v>34</v>
      </c>
      <c r="E33668" s="21" t="s">
        <v>71</v>
      </c>
      <c r="F33668">
        <v>1740020</v>
      </c>
      <c r="G33668" t="s">
        <v>881</v>
      </c>
      <c r="H33668" s="21">
        <v>500.17</v>
      </c>
    </row>
    <row r="33669" spans="1:8" customFormat="1" x14ac:dyDescent="0.25">
      <c r="A33669" t="str">
        <f>"7818812"</f>
        <v>7818812</v>
      </c>
      <c r="B33669" t="s">
        <v>22210</v>
      </c>
      <c r="C33669" t="s">
        <v>7596</v>
      </c>
      <c r="D33669" s="21" t="s">
        <v>34</v>
      </c>
      <c r="E33669" s="21" t="s">
        <v>254</v>
      </c>
      <c r="F33669">
        <v>8781469</v>
      </c>
      <c r="G33669" t="s">
        <v>4779</v>
      </c>
      <c r="H33669" s="21">
        <v>500.17</v>
      </c>
    </row>
    <row r="33670" spans="1:8" customFormat="1" x14ac:dyDescent="0.25">
      <c r="A33670" t="str">
        <f>"2720812"</f>
        <v>2720812</v>
      </c>
      <c r="B33670" t="s">
        <v>5422</v>
      </c>
      <c r="C33670" t="s">
        <v>139</v>
      </c>
      <c r="D33670" s="21" t="s">
        <v>34</v>
      </c>
      <c r="E33670" s="21" t="s">
        <v>35</v>
      </c>
      <c r="F33670">
        <v>9270030</v>
      </c>
      <c r="G33670" t="s">
        <v>5853</v>
      </c>
      <c r="H33670" s="21">
        <v>500.17</v>
      </c>
    </row>
    <row r="33671" spans="1:8" customFormat="1" x14ac:dyDescent="0.25">
      <c r="A33671" t="str">
        <f>"705619"</f>
        <v>705619</v>
      </c>
      <c r="B33671" t="s">
        <v>28674</v>
      </c>
      <c r="C33671" t="s">
        <v>82</v>
      </c>
      <c r="D33671" s="21" t="s">
        <v>34</v>
      </c>
      <c r="E33671" s="21" t="s">
        <v>35</v>
      </c>
      <c r="F33671">
        <v>2700093</v>
      </c>
      <c r="G33671" t="s">
        <v>5302</v>
      </c>
      <c r="H33671" s="21">
        <v>500.17</v>
      </c>
    </row>
    <row r="33672" spans="1:8" customFormat="1" x14ac:dyDescent="0.25">
      <c r="A33672" t="str">
        <f>"5967366"</f>
        <v>5967366</v>
      </c>
      <c r="B33672" t="s">
        <v>23058</v>
      </c>
      <c r="C33672" t="s">
        <v>65</v>
      </c>
      <c r="D33672" s="21" t="s">
        <v>34</v>
      </c>
      <c r="E33672" s="21" t="s">
        <v>35</v>
      </c>
      <c r="F33672">
        <v>7590075</v>
      </c>
      <c r="G33672" t="s">
        <v>6459</v>
      </c>
      <c r="H33672" s="21">
        <v>500.17</v>
      </c>
    </row>
    <row r="33673" spans="1:8" customFormat="1" x14ac:dyDescent="0.25">
      <c r="A33673" t="str">
        <f>"539120"</f>
        <v>539120</v>
      </c>
      <c r="B33673" t="s">
        <v>1626</v>
      </c>
      <c r="C33673" t="s">
        <v>267</v>
      </c>
      <c r="D33673" s="21" t="s">
        <v>34</v>
      </c>
      <c r="E33673" s="21" t="s">
        <v>1089</v>
      </c>
      <c r="F33673">
        <v>12538907</v>
      </c>
      <c r="G33673" t="s">
        <v>9299</v>
      </c>
      <c r="H33673" s="21">
        <v>500.17</v>
      </c>
    </row>
    <row r="33674" spans="1:8" customFormat="1" x14ac:dyDescent="0.25">
      <c r="A33674" t="str">
        <f>"4937653"</f>
        <v>4937653</v>
      </c>
      <c r="B33674" t="s">
        <v>13163</v>
      </c>
      <c r="C33674" t="s">
        <v>288</v>
      </c>
      <c r="D33674" s="21" t="s">
        <v>34</v>
      </c>
      <c r="E33674" s="21" t="s">
        <v>35</v>
      </c>
      <c r="F33674">
        <v>12490117</v>
      </c>
      <c r="G33674" t="s">
        <v>10141</v>
      </c>
      <c r="H33674" s="21">
        <v>500</v>
      </c>
    </row>
    <row r="33675" spans="1:8" customFormat="1" x14ac:dyDescent="0.25">
      <c r="A33675" t="str">
        <f>"9456752"</f>
        <v>9456752</v>
      </c>
      <c r="B33675" t="s">
        <v>23627</v>
      </c>
      <c r="C33675" t="s">
        <v>23628</v>
      </c>
      <c r="D33675" s="21" t="s">
        <v>34</v>
      </c>
      <c r="E33675" s="21" t="s">
        <v>254</v>
      </c>
      <c r="F33675">
        <v>8941282</v>
      </c>
      <c r="G33675" t="s">
        <v>5040</v>
      </c>
      <c r="H33675" s="21">
        <v>500</v>
      </c>
    </row>
    <row r="33676" spans="1:8" customFormat="1" x14ac:dyDescent="0.25">
      <c r="A33676" t="str">
        <f>"5570"</f>
        <v>5570</v>
      </c>
      <c r="B33676" t="s">
        <v>13868</v>
      </c>
      <c r="C33676" t="s">
        <v>2520</v>
      </c>
      <c r="D33676" s="21" t="s">
        <v>34</v>
      </c>
      <c r="E33676" s="21" t="s">
        <v>6185</v>
      </c>
      <c r="F33676">
        <v>6550007</v>
      </c>
      <c r="G33676" t="s">
        <v>1688</v>
      </c>
      <c r="H33676" s="21">
        <v>500</v>
      </c>
    </row>
    <row r="33677" spans="1:8" customFormat="1" x14ac:dyDescent="0.25">
      <c r="A33677" t="str">
        <f>"593534"</f>
        <v>593534</v>
      </c>
      <c r="B33677" t="s">
        <v>2082</v>
      </c>
      <c r="C33677" t="s">
        <v>236</v>
      </c>
      <c r="D33677" s="21" t="s">
        <v>34</v>
      </c>
      <c r="E33677" s="21" t="s">
        <v>1089</v>
      </c>
      <c r="F33677">
        <v>7590006</v>
      </c>
      <c r="G33677" t="s">
        <v>4165</v>
      </c>
      <c r="H33677" s="21">
        <v>500</v>
      </c>
    </row>
    <row r="33678" spans="1:8" customFormat="1" x14ac:dyDescent="0.25">
      <c r="A33678" t="str">
        <f>"7638205"</f>
        <v>7638205</v>
      </c>
      <c r="B33678" t="s">
        <v>8829</v>
      </c>
      <c r="C33678" t="s">
        <v>263</v>
      </c>
      <c r="D33678" s="21" t="s">
        <v>34</v>
      </c>
      <c r="E33678" s="21" t="s">
        <v>71</v>
      </c>
      <c r="F33678">
        <v>9760462</v>
      </c>
      <c r="G33678" t="s">
        <v>23730</v>
      </c>
      <c r="H33678" s="21">
        <v>500</v>
      </c>
    </row>
    <row r="33679" spans="1:8" customFormat="1" x14ac:dyDescent="0.25">
      <c r="A33679" t="str">
        <f>"9517336"</f>
        <v>9517336</v>
      </c>
      <c r="B33679" t="s">
        <v>24658</v>
      </c>
      <c r="C33679" t="s">
        <v>719</v>
      </c>
      <c r="D33679" s="21" t="s">
        <v>34</v>
      </c>
      <c r="E33679" s="21" t="s">
        <v>35</v>
      </c>
      <c r="F33679">
        <v>8950092</v>
      </c>
      <c r="G33679" t="s">
        <v>2039</v>
      </c>
      <c r="H33679" s="21">
        <v>500</v>
      </c>
    </row>
    <row r="33680" spans="1:8" customFormat="1" x14ac:dyDescent="0.25">
      <c r="A33680" t="str">
        <f>"2719677"</f>
        <v>2719677</v>
      </c>
      <c r="B33680" t="s">
        <v>23076</v>
      </c>
      <c r="C33680" t="s">
        <v>239</v>
      </c>
      <c r="D33680" s="21" t="s">
        <v>34</v>
      </c>
      <c r="E33680" s="21" t="s">
        <v>254</v>
      </c>
      <c r="F33680">
        <v>9270104</v>
      </c>
      <c r="G33680" t="s">
        <v>2456</v>
      </c>
      <c r="H33680" s="21">
        <v>500</v>
      </c>
    </row>
    <row r="33681" spans="1:8" customFormat="1" x14ac:dyDescent="0.25">
      <c r="A33681" t="str">
        <f>"7513895"</f>
        <v>7513895</v>
      </c>
      <c r="B33681" t="s">
        <v>9587</v>
      </c>
      <c r="C33681" t="s">
        <v>114</v>
      </c>
      <c r="D33681" s="21" t="s">
        <v>34</v>
      </c>
      <c r="E33681" s="21" t="s">
        <v>71</v>
      </c>
      <c r="F33681">
        <v>8751124</v>
      </c>
      <c r="G33681" t="s">
        <v>1481</v>
      </c>
      <c r="H33681" s="21">
        <v>500</v>
      </c>
    </row>
    <row r="33682" spans="1:8" customFormat="1" x14ac:dyDescent="0.25">
      <c r="A33682" t="str">
        <f>"9E1105"</f>
        <v>9E1105</v>
      </c>
      <c r="B33682" t="s">
        <v>28675</v>
      </c>
      <c r="C33682" t="s">
        <v>249</v>
      </c>
      <c r="D33682" s="21" t="s">
        <v>34</v>
      </c>
      <c r="E33682" s="21" t="s">
        <v>35</v>
      </c>
      <c r="F33682" s="24" t="s">
        <v>28676</v>
      </c>
      <c r="G33682" t="s">
        <v>28677</v>
      </c>
      <c r="H33682" s="21">
        <v>500</v>
      </c>
    </row>
    <row r="33683" spans="1:8" customFormat="1" x14ac:dyDescent="0.25">
      <c r="A33683" t="str">
        <f>"2720206"</f>
        <v>2720206</v>
      </c>
      <c r="B33683" t="s">
        <v>1576</v>
      </c>
      <c r="C33683" t="s">
        <v>428</v>
      </c>
      <c r="D33683" s="21" t="s">
        <v>34</v>
      </c>
      <c r="E33683" s="21" t="s">
        <v>35</v>
      </c>
      <c r="F33683">
        <v>9270187</v>
      </c>
      <c r="G33683" t="s">
        <v>6733</v>
      </c>
      <c r="H33683" s="21">
        <v>500</v>
      </c>
    </row>
    <row r="33684" spans="1:8" customFormat="1" x14ac:dyDescent="0.25">
      <c r="A33684" t="str">
        <f>"6234330"</f>
        <v>6234330</v>
      </c>
      <c r="B33684" t="s">
        <v>13060</v>
      </c>
      <c r="C33684" t="s">
        <v>65</v>
      </c>
      <c r="D33684" s="21" t="s">
        <v>34</v>
      </c>
      <c r="E33684" s="21" t="s">
        <v>254</v>
      </c>
      <c r="F33684">
        <v>7620060</v>
      </c>
      <c r="G33684" t="s">
        <v>2179</v>
      </c>
      <c r="H33684" s="21">
        <v>500</v>
      </c>
    </row>
    <row r="33685" spans="1:8" customFormat="1" x14ac:dyDescent="0.25">
      <c r="A33685" t="str">
        <f>"5020378"</f>
        <v>5020378</v>
      </c>
      <c r="B33685" t="s">
        <v>14235</v>
      </c>
      <c r="C33685" t="s">
        <v>262</v>
      </c>
      <c r="D33685" s="21" t="s">
        <v>34</v>
      </c>
      <c r="E33685" s="21" t="s">
        <v>35</v>
      </c>
      <c r="F33685">
        <v>9500088</v>
      </c>
      <c r="G33685" t="s">
        <v>15949</v>
      </c>
      <c r="H33685" s="21">
        <v>500</v>
      </c>
    </row>
    <row r="33686" spans="1:8" customFormat="1" x14ac:dyDescent="0.25">
      <c r="A33686" t="str">
        <f>"9F5644"</f>
        <v>9F5644</v>
      </c>
      <c r="B33686" t="s">
        <v>5146</v>
      </c>
      <c r="C33686" t="s">
        <v>253</v>
      </c>
      <c r="D33686" s="21" t="s">
        <v>34</v>
      </c>
      <c r="E33686" s="21" t="s">
        <v>254</v>
      </c>
      <c r="F33686" t="s">
        <v>22850</v>
      </c>
      <c r="G33686" t="s">
        <v>22851</v>
      </c>
      <c r="H33686" s="21">
        <v>500</v>
      </c>
    </row>
    <row r="33687" spans="1:8" customFormat="1" x14ac:dyDescent="0.25">
      <c r="A33687" t="str">
        <f>"834343"</f>
        <v>834343</v>
      </c>
      <c r="B33687" t="s">
        <v>3220</v>
      </c>
      <c r="C33687" t="s">
        <v>415</v>
      </c>
      <c r="D33687" s="21" t="s">
        <v>34</v>
      </c>
      <c r="E33687" s="21" t="s">
        <v>1089</v>
      </c>
      <c r="F33687">
        <v>13830071</v>
      </c>
      <c r="G33687" t="s">
        <v>3221</v>
      </c>
      <c r="H33687" s="21">
        <v>500</v>
      </c>
    </row>
    <row r="33688" spans="1:8" customFormat="1" x14ac:dyDescent="0.25">
      <c r="A33688" t="str">
        <f>"7833946"</f>
        <v>7833946</v>
      </c>
      <c r="B33688" t="s">
        <v>16139</v>
      </c>
      <c r="C33688" t="s">
        <v>1708</v>
      </c>
      <c r="D33688" s="21" t="s">
        <v>34</v>
      </c>
      <c r="E33688" s="21" t="s">
        <v>35</v>
      </c>
      <c r="F33688">
        <v>1690107</v>
      </c>
      <c r="G33688" t="s">
        <v>4163</v>
      </c>
      <c r="H33688" s="21">
        <v>500</v>
      </c>
    </row>
    <row r="33689" spans="1:8" customFormat="1" x14ac:dyDescent="0.25">
      <c r="A33689" t="str">
        <f>"86956"</f>
        <v>86956</v>
      </c>
      <c r="B33689" t="s">
        <v>16109</v>
      </c>
      <c r="C33689" t="s">
        <v>453</v>
      </c>
      <c r="D33689" s="21" t="s">
        <v>34</v>
      </c>
      <c r="E33689" s="21" t="s">
        <v>254</v>
      </c>
      <c r="F33689">
        <v>10860230</v>
      </c>
      <c r="G33689" t="s">
        <v>27938</v>
      </c>
      <c r="H33689" s="21">
        <v>500</v>
      </c>
    </row>
    <row r="33690" spans="1:8" customFormat="1" x14ac:dyDescent="0.25">
      <c r="A33690" t="str">
        <f>"9534034"</f>
        <v>9534034</v>
      </c>
      <c r="B33690" t="s">
        <v>28678</v>
      </c>
      <c r="C33690" t="s">
        <v>114</v>
      </c>
      <c r="D33690" s="21" t="s">
        <v>34</v>
      </c>
      <c r="E33690" s="21" t="s">
        <v>35</v>
      </c>
      <c r="F33690">
        <v>8950424</v>
      </c>
      <c r="G33690" t="s">
        <v>12098</v>
      </c>
      <c r="H33690" s="21">
        <v>500</v>
      </c>
    </row>
    <row r="33691" spans="1:8" customFormat="1" x14ac:dyDescent="0.25">
      <c r="A33691" t="str">
        <f>"9B729"</f>
        <v>9B729</v>
      </c>
      <c r="B33691" t="s">
        <v>23403</v>
      </c>
      <c r="C33691" t="s">
        <v>55</v>
      </c>
      <c r="D33691" s="21" t="s">
        <v>34</v>
      </c>
      <c r="E33691" s="21" t="s">
        <v>71</v>
      </c>
      <c r="F33691" t="s">
        <v>590</v>
      </c>
      <c r="G33691" t="s">
        <v>591</v>
      </c>
      <c r="H33691" s="21">
        <v>500</v>
      </c>
    </row>
    <row r="33692" spans="1:8" customFormat="1" x14ac:dyDescent="0.25">
      <c r="A33692" t="str">
        <f>"5620209"</f>
        <v>5620209</v>
      </c>
      <c r="B33692" t="s">
        <v>23725</v>
      </c>
      <c r="C33692" t="s">
        <v>462</v>
      </c>
      <c r="D33692" s="21" t="s">
        <v>34</v>
      </c>
      <c r="E33692" s="21" t="s">
        <v>35</v>
      </c>
      <c r="F33692">
        <v>3560013</v>
      </c>
      <c r="G33692" t="s">
        <v>7924</v>
      </c>
      <c r="H33692" s="21">
        <v>500</v>
      </c>
    </row>
    <row r="33693" spans="1:8" customFormat="1" x14ac:dyDescent="0.25">
      <c r="A33693" t="str">
        <f>"623597"</f>
        <v>623597</v>
      </c>
      <c r="B33693" t="s">
        <v>932</v>
      </c>
      <c r="C33693" t="s">
        <v>156</v>
      </c>
      <c r="D33693" s="21" t="s">
        <v>34</v>
      </c>
      <c r="E33693" s="21" t="s">
        <v>1089</v>
      </c>
      <c r="F33693">
        <v>7620090</v>
      </c>
      <c r="G33693" t="s">
        <v>15041</v>
      </c>
      <c r="H33693" s="21">
        <v>500</v>
      </c>
    </row>
    <row r="33694" spans="1:8" customFormat="1" x14ac:dyDescent="0.25">
      <c r="A33694" t="str">
        <f>"142098"</f>
        <v>142098</v>
      </c>
      <c r="B33694" t="s">
        <v>21833</v>
      </c>
      <c r="C33694" t="s">
        <v>156</v>
      </c>
      <c r="D33694" s="21" t="s">
        <v>34</v>
      </c>
      <c r="E33694" s="21" t="s">
        <v>1089</v>
      </c>
      <c r="F33694">
        <v>9140235</v>
      </c>
      <c r="G33694" t="s">
        <v>165</v>
      </c>
      <c r="H33694" s="21">
        <v>500</v>
      </c>
    </row>
    <row r="33695" spans="1:8" customFormat="1" x14ac:dyDescent="0.25">
      <c r="A33695" t="str">
        <f>"7730286"</f>
        <v>7730286</v>
      </c>
      <c r="B33695" t="s">
        <v>28679</v>
      </c>
      <c r="C33695" t="s">
        <v>40</v>
      </c>
      <c r="D33695" s="21" t="s">
        <v>34</v>
      </c>
      <c r="E33695" s="21" t="s">
        <v>71</v>
      </c>
      <c r="F33695">
        <v>8771365</v>
      </c>
      <c r="G33695" t="s">
        <v>23275</v>
      </c>
      <c r="H33695" s="21">
        <v>500</v>
      </c>
    </row>
    <row r="33696" spans="1:8" customFormat="1" x14ac:dyDescent="0.25">
      <c r="A33696" t="str">
        <f>"0618892"</f>
        <v>0618892</v>
      </c>
      <c r="B33696" t="s">
        <v>24667</v>
      </c>
      <c r="C33696" t="s">
        <v>3219</v>
      </c>
      <c r="D33696" s="21" t="s">
        <v>34</v>
      </c>
      <c r="E33696" s="21" t="s">
        <v>71</v>
      </c>
      <c r="F33696">
        <v>13060101</v>
      </c>
      <c r="G33696" t="s">
        <v>5947</v>
      </c>
      <c r="H33696" s="21">
        <v>500</v>
      </c>
    </row>
    <row r="33697" spans="1:8" customFormat="1" x14ac:dyDescent="0.25">
      <c r="A33697" t="str">
        <f>"2517465"</f>
        <v>2517465</v>
      </c>
      <c r="B33697" t="s">
        <v>6693</v>
      </c>
      <c r="C33697" t="s">
        <v>3109</v>
      </c>
      <c r="D33697" s="21" t="s">
        <v>34</v>
      </c>
      <c r="E33697" s="21" t="s">
        <v>35</v>
      </c>
      <c r="F33697">
        <v>2250001</v>
      </c>
      <c r="G33697" t="s">
        <v>424</v>
      </c>
      <c r="H33697" s="21">
        <v>500</v>
      </c>
    </row>
    <row r="33698" spans="1:8" customFormat="1" x14ac:dyDescent="0.25">
      <c r="A33698" t="str">
        <f>"753197"</f>
        <v>753197</v>
      </c>
      <c r="B33698" t="s">
        <v>2711</v>
      </c>
      <c r="C33698" t="s">
        <v>1597</v>
      </c>
      <c r="D33698" s="21" t="s">
        <v>34</v>
      </c>
      <c r="E33698" s="21" t="s">
        <v>6185</v>
      </c>
      <c r="F33698">
        <v>8750141</v>
      </c>
      <c r="G33698" t="s">
        <v>1514</v>
      </c>
      <c r="H33698" s="21">
        <v>500</v>
      </c>
    </row>
    <row r="33699" spans="1:8" customFormat="1" x14ac:dyDescent="0.25">
      <c r="A33699" t="str">
        <f>"801558"</f>
        <v>801558</v>
      </c>
      <c r="B33699" t="s">
        <v>22556</v>
      </c>
      <c r="C33699" t="s">
        <v>412</v>
      </c>
      <c r="D33699" s="21" t="s">
        <v>34</v>
      </c>
      <c r="E33699" s="21" t="s">
        <v>1089</v>
      </c>
      <c r="F33699">
        <v>7800018</v>
      </c>
      <c r="G33699" t="s">
        <v>10207</v>
      </c>
      <c r="H33699" s="21">
        <v>500</v>
      </c>
    </row>
    <row r="33700" spans="1:8" customFormat="1" x14ac:dyDescent="0.25">
      <c r="A33700" t="str">
        <f>"9D2981"</f>
        <v>9D2981</v>
      </c>
      <c r="B33700" t="s">
        <v>14639</v>
      </c>
      <c r="C33700" t="s">
        <v>28680</v>
      </c>
      <c r="D33700" s="21" t="s">
        <v>34</v>
      </c>
      <c r="E33700" s="21" t="s">
        <v>71</v>
      </c>
      <c r="F33700" t="s">
        <v>3911</v>
      </c>
      <c r="G33700" t="s">
        <v>3912</v>
      </c>
      <c r="H33700" s="21">
        <v>500</v>
      </c>
    </row>
    <row r="33701" spans="1:8" customFormat="1" x14ac:dyDescent="0.25">
      <c r="A33701" t="str">
        <f>"9232303"</f>
        <v>9232303</v>
      </c>
      <c r="B33701" t="s">
        <v>23942</v>
      </c>
      <c r="C33701" t="s">
        <v>2546</v>
      </c>
      <c r="D33701" s="21" t="s">
        <v>34</v>
      </c>
      <c r="E33701" s="21" t="s">
        <v>254</v>
      </c>
      <c r="F33701">
        <v>3560046</v>
      </c>
      <c r="G33701" t="s">
        <v>9309</v>
      </c>
      <c r="H33701" s="21">
        <v>500</v>
      </c>
    </row>
    <row r="33702" spans="1:8" customFormat="1" x14ac:dyDescent="0.25">
      <c r="A33702" t="str">
        <f>"9A1599"</f>
        <v>9A1599</v>
      </c>
      <c r="B33702" t="s">
        <v>28681</v>
      </c>
      <c r="C33702" t="s">
        <v>2730</v>
      </c>
      <c r="D33702" s="21" t="s">
        <v>34</v>
      </c>
      <c r="E33702" s="21" t="s">
        <v>35</v>
      </c>
      <c r="F33702" t="s">
        <v>2839</v>
      </c>
      <c r="G33702" t="s">
        <v>2840</v>
      </c>
      <c r="H33702" s="21">
        <v>500</v>
      </c>
    </row>
    <row r="33703" spans="1:8" customFormat="1" x14ac:dyDescent="0.25">
      <c r="A33703" t="str">
        <f>"8613286"</f>
        <v>8613286</v>
      </c>
      <c r="B33703" t="s">
        <v>697</v>
      </c>
      <c r="C33703" t="s">
        <v>33</v>
      </c>
      <c r="D33703" s="21" t="s">
        <v>34</v>
      </c>
      <c r="E33703" s="21" t="s">
        <v>71</v>
      </c>
      <c r="F33703">
        <v>10860230</v>
      </c>
      <c r="G33703" t="s">
        <v>27938</v>
      </c>
      <c r="H33703" s="21">
        <v>500</v>
      </c>
    </row>
    <row r="33704" spans="1:8" customFormat="1" x14ac:dyDescent="0.25">
      <c r="A33704" t="str">
        <f>"8615207"</f>
        <v>8615207</v>
      </c>
      <c r="B33704" t="s">
        <v>3873</v>
      </c>
      <c r="C33704" t="s">
        <v>169</v>
      </c>
      <c r="D33704" s="21" t="s">
        <v>34</v>
      </c>
      <c r="E33704" s="21" t="s">
        <v>35</v>
      </c>
      <c r="F33704">
        <v>10860122</v>
      </c>
      <c r="G33704" t="s">
        <v>3800</v>
      </c>
      <c r="H33704" s="21">
        <v>500</v>
      </c>
    </row>
    <row r="33705" spans="1:8" customFormat="1" x14ac:dyDescent="0.25">
      <c r="A33705" t="str">
        <f>"2214386"</f>
        <v>2214386</v>
      </c>
      <c r="B33705" t="s">
        <v>2489</v>
      </c>
      <c r="C33705" t="s">
        <v>198</v>
      </c>
      <c r="D33705" s="21" t="s">
        <v>34</v>
      </c>
      <c r="E33705" s="21" t="s">
        <v>71</v>
      </c>
      <c r="F33705">
        <v>3220087</v>
      </c>
      <c r="G33705" t="s">
        <v>3540</v>
      </c>
      <c r="H33705" s="21">
        <v>500</v>
      </c>
    </row>
    <row r="33706" spans="1:8" customFormat="1" x14ac:dyDescent="0.25">
      <c r="A33706" t="str">
        <f>"6935973"</f>
        <v>6935973</v>
      </c>
      <c r="B33706" t="s">
        <v>23698</v>
      </c>
      <c r="C33706" t="s">
        <v>62</v>
      </c>
      <c r="D33706" s="21" t="s">
        <v>34</v>
      </c>
      <c r="E33706" s="21" t="s">
        <v>35</v>
      </c>
      <c r="F33706">
        <v>1690138</v>
      </c>
      <c r="G33706" t="s">
        <v>18533</v>
      </c>
      <c r="H33706" s="21">
        <v>500</v>
      </c>
    </row>
    <row r="33707" spans="1:8" customFormat="1" x14ac:dyDescent="0.25">
      <c r="A33707" t="str">
        <f>"5712821"</f>
        <v>5712821</v>
      </c>
      <c r="B33707" t="s">
        <v>28682</v>
      </c>
      <c r="C33707" t="s">
        <v>412</v>
      </c>
      <c r="D33707" s="21" t="s">
        <v>34</v>
      </c>
      <c r="E33707" s="21" t="s">
        <v>1089</v>
      </c>
      <c r="F33707">
        <v>6570125</v>
      </c>
      <c r="G33707" t="s">
        <v>14599</v>
      </c>
      <c r="H33707" s="21">
        <v>500</v>
      </c>
    </row>
    <row r="33708" spans="1:8" customFormat="1" x14ac:dyDescent="0.25">
      <c r="A33708" t="str">
        <f>"5321223"</f>
        <v>5321223</v>
      </c>
      <c r="B33708" t="s">
        <v>23575</v>
      </c>
      <c r="C33708" t="s">
        <v>139</v>
      </c>
      <c r="D33708" s="21" t="s">
        <v>34</v>
      </c>
      <c r="E33708" s="21" t="s">
        <v>35</v>
      </c>
      <c r="F33708">
        <v>12530036</v>
      </c>
      <c r="G33708" t="s">
        <v>2200</v>
      </c>
      <c r="H33708" s="21">
        <v>500</v>
      </c>
    </row>
    <row r="33709" spans="1:8" customFormat="1" x14ac:dyDescent="0.25">
      <c r="A33709" t="str">
        <f>"7222311"</f>
        <v>7222311</v>
      </c>
      <c r="B33709" t="s">
        <v>15836</v>
      </c>
      <c r="C33709" t="s">
        <v>267</v>
      </c>
      <c r="D33709" s="21" t="s">
        <v>34</v>
      </c>
      <c r="E33709" s="21" t="s">
        <v>254</v>
      </c>
      <c r="F33709">
        <v>12720078</v>
      </c>
      <c r="G33709" t="s">
        <v>5085</v>
      </c>
      <c r="H33709" s="21">
        <v>500</v>
      </c>
    </row>
    <row r="33710" spans="1:8" customFormat="1" x14ac:dyDescent="0.25">
      <c r="A33710" t="str">
        <f>"3344040"</f>
        <v>3344040</v>
      </c>
      <c r="B33710" t="s">
        <v>18250</v>
      </c>
      <c r="C33710" t="s">
        <v>109</v>
      </c>
      <c r="D33710" s="21" t="s">
        <v>34</v>
      </c>
      <c r="E33710" s="21" t="s">
        <v>35</v>
      </c>
      <c r="F33710">
        <v>10330002</v>
      </c>
      <c r="G33710" t="s">
        <v>53</v>
      </c>
      <c r="H33710" s="21">
        <v>500</v>
      </c>
    </row>
    <row r="33711" spans="1:8" customFormat="1" x14ac:dyDescent="0.25">
      <c r="A33711" t="str">
        <f>"5114148"</f>
        <v>5114148</v>
      </c>
      <c r="B33711" t="s">
        <v>28683</v>
      </c>
      <c r="C33711" t="s">
        <v>772</v>
      </c>
      <c r="D33711" s="21" t="s">
        <v>34</v>
      </c>
      <c r="E33711" s="21" t="s">
        <v>35</v>
      </c>
      <c r="F33711">
        <v>6510019</v>
      </c>
      <c r="G33711" t="s">
        <v>11388</v>
      </c>
      <c r="H33711" s="21">
        <v>500</v>
      </c>
    </row>
    <row r="33712" spans="1:8" customFormat="1" x14ac:dyDescent="0.25">
      <c r="A33712" t="str">
        <f>"834344"</f>
        <v>834344</v>
      </c>
      <c r="B33712" t="s">
        <v>23109</v>
      </c>
      <c r="C33712" t="s">
        <v>2520</v>
      </c>
      <c r="D33712" s="21" t="s">
        <v>34</v>
      </c>
      <c r="E33712" s="21" t="s">
        <v>254</v>
      </c>
      <c r="F33712">
        <v>13830071</v>
      </c>
      <c r="G33712" t="s">
        <v>3221</v>
      </c>
      <c r="H33712" s="21">
        <v>500</v>
      </c>
    </row>
    <row r="33713" spans="1:8" customFormat="1" x14ac:dyDescent="0.25">
      <c r="A33713" t="str">
        <f>"223807"</f>
        <v>223807</v>
      </c>
      <c r="B33713" t="s">
        <v>1252</v>
      </c>
      <c r="C33713" t="s">
        <v>156</v>
      </c>
      <c r="D33713" s="21" t="s">
        <v>34</v>
      </c>
      <c r="E33713" s="21" t="s">
        <v>1089</v>
      </c>
      <c r="F33713">
        <v>3220127</v>
      </c>
      <c r="G33713" t="s">
        <v>26652</v>
      </c>
      <c r="H33713" s="21">
        <v>500</v>
      </c>
    </row>
    <row r="33714" spans="1:8" customFormat="1" x14ac:dyDescent="0.25">
      <c r="A33714" t="str">
        <f>"9529081"</f>
        <v>9529081</v>
      </c>
      <c r="B33714" t="s">
        <v>28303</v>
      </c>
      <c r="C33714" t="s">
        <v>576</v>
      </c>
      <c r="D33714" s="21" t="s">
        <v>34</v>
      </c>
      <c r="E33714" s="21" t="s">
        <v>35</v>
      </c>
      <c r="F33714">
        <v>8951411</v>
      </c>
      <c r="G33714" t="s">
        <v>416</v>
      </c>
      <c r="H33714" s="21">
        <v>500</v>
      </c>
    </row>
    <row r="33715" spans="1:8" customFormat="1" x14ac:dyDescent="0.25">
      <c r="A33715" t="str">
        <f>"668555"</f>
        <v>668555</v>
      </c>
      <c r="B33715" t="s">
        <v>28684</v>
      </c>
      <c r="C33715" t="s">
        <v>652</v>
      </c>
      <c r="D33715" s="21" t="s">
        <v>34</v>
      </c>
      <c r="E33715" s="21" t="s">
        <v>254</v>
      </c>
      <c r="F33715">
        <v>11660008</v>
      </c>
      <c r="G33715" t="s">
        <v>16161</v>
      </c>
      <c r="H33715" s="21">
        <v>500</v>
      </c>
    </row>
    <row r="33716" spans="1:8" customFormat="1" x14ac:dyDescent="0.25">
      <c r="A33716" t="str">
        <f>"188085"</f>
        <v>188085</v>
      </c>
      <c r="B33716" t="s">
        <v>21738</v>
      </c>
      <c r="C33716" t="s">
        <v>8442</v>
      </c>
      <c r="D33716" s="21" t="s">
        <v>34</v>
      </c>
      <c r="E33716" s="21" t="s">
        <v>71</v>
      </c>
      <c r="F33716">
        <v>4180157</v>
      </c>
      <c r="G33716" t="s">
        <v>11170</v>
      </c>
      <c r="H33716" s="21">
        <v>500</v>
      </c>
    </row>
    <row r="33717" spans="1:8" customFormat="1" x14ac:dyDescent="0.25">
      <c r="A33717" t="str">
        <f>"033446"</f>
        <v>033446</v>
      </c>
      <c r="B33717" t="s">
        <v>22965</v>
      </c>
      <c r="C33717" t="s">
        <v>1605</v>
      </c>
      <c r="D33717" s="21" t="s">
        <v>34</v>
      </c>
      <c r="E33717" s="21" t="s">
        <v>1089</v>
      </c>
      <c r="F33717">
        <v>1030227</v>
      </c>
      <c r="G33717" t="s">
        <v>5679</v>
      </c>
      <c r="H33717" s="21">
        <v>500</v>
      </c>
    </row>
    <row r="33718" spans="1:8" customFormat="1" x14ac:dyDescent="0.25">
      <c r="A33718" t="str">
        <f>"149711"</f>
        <v>149711</v>
      </c>
      <c r="B33718" t="s">
        <v>22841</v>
      </c>
      <c r="C33718" t="s">
        <v>415</v>
      </c>
      <c r="D33718" s="21" t="s">
        <v>34</v>
      </c>
      <c r="E33718" s="21" t="s">
        <v>71</v>
      </c>
      <c r="F33718">
        <v>9140014</v>
      </c>
      <c r="G33718" t="s">
        <v>9546</v>
      </c>
      <c r="H33718" s="21">
        <v>500</v>
      </c>
    </row>
    <row r="33719" spans="1:8" customFormat="1" x14ac:dyDescent="0.25">
      <c r="A33719" t="str">
        <f>"725403"</f>
        <v>725403</v>
      </c>
      <c r="B33719" t="s">
        <v>1833</v>
      </c>
      <c r="C33719" t="s">
        <v>598</v>
      </c>
      <c r="D33719" s="21" t="s">
        <v>34</v>
      </c>
      <c r="E33719" s="21" t="s">
        <v>254</v>
      </c>
      <c r="F33719">
        <v>12720068</v>
      </c>
      <c r="G33719" t="s">
        <v>15917</v>
      </c>
      <c r="H33719" s="21">
        <v>500</v>
      </c>
    </row>
    <row r="33720" spans="1:8" customFormat="1" x14ac:dyDescent="0.25">
      <c r="A33720" t="str">
        <f>"5980541"</f>
        <v>5980541</v>
      </c>
      <c r="B33720" t="s">
        <v>28685</v>
      </c>
      <c r="C33720" t="s">
        <v>130</v>
      </c>
      <c r="D33720" s="21" t="s">
        <v>34</v>
      </c>
      <c r="E33720" s="21" t="s">
        <v>254</v>
      </c>
      <c r="F33720">
        <v>7590327</v>
      </c>
      <c r="G33720" t="s">
        <v>2330</v>
      </c>
      <c r="H33720" s="21">
        <v>500</v>
      </c>
    </row>
    <row r="33721" spans="1:8" customFormat="1" x14ac:dyDescent="0.25">
      <c r="A33721" t="str">
        <f>"9250954"</f>
        <v>9250954</v>
      </c>
      <c r="B33721" t="s">
        <v>28686</v>
      </c>
      <c r="C33721" t="s">
        <v>500</v>
      </c>
      <c r="D33721" s="21" t="s">
        <v>34</v>
      </c>
      <c r="E33721" s="21" t="s">
        <v>35</v>
      </c>
      <c r="F33721">
        <v>8920505</v>
      </c>
      <c r="G33721" t="s">
        <v>12288</v>
      </c>
      <c r="H33721" s="21">
        <v>500</v>
      </c>
    </row>
    <row r="33722" spans="1:8" customFormat="1" x14ac:dyDescent="0.25">
      <c r="A33722" t="str">
        <f>"4457409"</f>
        <v>4457409</v>
      </c>
      <c r="B33722" t="s">
        <v>28687</v>
      </c>
      <c r="C33722" t="s">
        <v>119</v>
      </c>
      <c r="D33722" s="21" t="s">
        <v>34</v>
      </c>
      <c r="E33722" s="21" t="s">
        <v>35</v>
      </c>
      <c r="F33722">
        <v>12440259</v>
      </c>
      <c r="G33722" t="s">
        <v>833</v>
      </c>
      <c r="H33722" s="21">
        <v>500</v>
      </c>
    </row>
    <row r="33723" spans="1:8" customFormat="1" x14ac:dyDescent="0.25">
      <c r="A33723" t="str">
        <f>"3344731"</f>
        <v>3344731</v>
      </c>
      <c r="B33723" t="s">
        <v>22612</v>
      </c>
      <c r="C33723" t="s">
        <v>130</v>
      </c>
      <c r="D33723" s="21" t="s">
        <v>34</v>
      </c>
      <c r="E33723" s="21" t="s">
        <v>35</v>
      </c>
      <c r="F33723">
        <v>10330025</v>
      </c>
      <c r="G33723" t="s">
        <v>4450</v>
      </c>
      <c r="H33723" s="21">
        <v>500</v>
      </c>
    </row>
    <row r="33724" spans="1:8" customFormat="1" x14ac:dyDescent="0.25">
      <c r="A33724" t="str">
        <f>"169544"</f>
        <v>169544</v>
      </c>
      <c r="B33724" t="s">
        <v>2747</v>
      </c>
      <c r="C33724" t="s">
        <v>204</v>
      </c>
      <c r="D33724" s="21" t="s">
        <v>34</v>
      </c>
      <c r="E33724" s="21" t="s">
        <v>71</v>
      </c>
      <c r="F33724">
        <v>10160042</v>
      </c>
      <c r="G33724" t="s">
        <v>7461</v>
      </c>
      <c r="H33724" s="21">
        <v>500</v>
      </c>
    </row>
    <row r="33725" spans="1:8" customFormat="1" x14ac:dyDescent="0.25">
      <c r="A33725" t="str">
        <f>"5615342"</f>
        <v>5615342</v>
      </c>
      <c r="B33725" t="s">
        <v>28688</v>
      </c>
      <c r="C33725" t="s">
        <v>412</v>
      </c>
      <c r="D33725" s="21" t="s">
        <v>34</v>
      </c>
      <c r="E33725" s="21" t="s">
        <v>1089</v>
      </c>
      <c r="F33725">
        <v>3560039</v>
      </c>
      <c r="G33725" t="s">
        <v>167</v>
      </c>
      <c r="H33725" s="21">
        <v>500</v>
      </c>
    </row>
    <row r="33726" spans="1:8" customFormat="1" x14ac:dyDescent="0.25">
      <c r="A33726" t="str">
        <f>"814992"</f>
        <v>814992</v>
      </c>
      <c r="B33726" t="s">
        <v>1945</v>
      </c>
      <c r="C33726" t="s">
        <v>55</v>
      </c>
      <c r="D33726" s="21" t="s">
        <v>34</v>
      </c>
      <c r="E33726" s="21" t="s">
        <v>71</v>
      </c>
      <c r="F33726">
        <v>11810030</v>
      </c>
      <c r="G33726" t="s">
        <v>27055</v>
      </c>
      <c r="H33726" s="21">
        <v>500</v>
      </c>
    </row>
    <row r="33727" spans="1:8" customFormat="1" x14ac:dyDescent="0.25">
      <c r="A33727" t="str">
        <f>"5721065"</f>
        <v>5721065</v>
      </c>
      <c r="B33727" t="s">
        <v>28689</v>
      </c>
      <c r="C33727" t="s">
        <v>1705</v>
      </c>
      <c r="D33727" s="21" t="s">
        <v>34</v>
      </c>
      <c r="E33727" s="21" t="s">
        <v>254</v>
      </c>
      <c r="F33727">
        <v>6570190</v>
      </c>
      <c r="G33727" t="s">
        <v>622</v>
      </c>
      <c r="H33727" s="21">
        <v>500</v>
      </c>
    </row>
    <row r="33728" spans="1:8" customFormat="1" x14ac:dyDescent="0.25">
      <c r="A33728" t="str">
        <f>"6233668"</f>
        <v>6233668</v>
      </c>
      <c r="B33728" t="s">
        <v>19611</v>
      </c>
      <c r="C33728" t="s">
        <v>28690</v>
      </c>
      <c r="D33728" s="21" t="s">
        <v>34</v>
      </c>
      <c r="E33728" s="21" t="s">
        <v>71</v>
      </c>
      <c r="F33728">
        <v>7620082</v>
      </c>
      <c r="G33728" t="s">
        <v>4939</v>
      </c>
      <c r="H33728" s="21">
        <v>500</v>
      </c>
    </row>
    <row r="33729" spans="1:8" customFormat="1" x14ac:dyDescent="0.25">
      <c r="A33729" t="str">
        <f>"9530222"</f>
        <v>9530222</v>
      </c>
      <c r="B33729" t="s">
        <v>23659</v>
      </c>
      <c r="C33729" t="s">
        <v>3905</v>
      </c>
      <c r="D33729" s="21" t="s">
        <v>34</v>
      </c>
      <c r="E33729" s="21" t="s">
        <v>254</v>
      </c>
      <c r="F33729">
        <v>8951268</v>
      </c>
      <c r="G33729" t="s">
        <v>8981</v>
      </c>
      <c r="H33729" s="21">
        <v>500</v>
      </c>
    </row>
    <row r="33730" spans="1:8" customFormat="1" x14ac:dyDescent="0.25">
      <c r="A33730" t="str">
        <f>"5916339"</f>
        <v>5916339</v>
      </c>
      <c r="B33730" t="s">
        <v>727</v>
      </c>
      <c r="C33730" t="s">
        <v>209</v>
      </c>
      <c r="D33730" s="21" t="s">
        <v>34</v>
      </c>
      <c r="E33730" s="21" t="s">
        <v>254</v>
      </c>
      <c r="F33730">
        <v>7590137</v>
      </c>
      <c r="G33730" t="s">
        <v>4246</v>
      </c>
      <c r="H33730" s="21">
        <v>500</v>
      </c>
    </row>
    <row r="33731" spans="1:8" customFormat="1" x14ac:dyDescent="0.25">
      <c r="A33731" t="str">
        <f>"857523"</f>
        <v>857523</v>
      </c>
      <c r="B33731" t="s">
        <v>1833</v>
      </c>
      <c r="C33731" t="s">
        <v>5861</v>
      </c>
      <c r="D33731" s="21" t="s">
        <v>34</v>
      </c>
      <c r="E33731" s="21" t="s">
        <v>254</v>
      </c>
      <c r="F33731">
        <v>12850108</v>
      </c>
      <c r="G33731" t="s">
        <v>11093</v>
      </c>
      <c r="H33731" s="21">
        <v>500</v>
      </c>
    </row>
    <row r="33732" spans="1:8" customFormat="1" x14ac:dyDescent="0.25">
      <c r="A33732" t="str">
        <f>"039130"</f>
        <v>039130</v>
      </c>
      <c r="B33732" t="s">
        <v>28691</v>
      </c>
      <c r="C33732" t="s">
        <v>139</v>
      </c>
      <c r="D33732" s="21" t="s">
        <v>34</v>
      </c>
      <c r="E33732" s="21" t="s">
        <v>35</v>
      </c>
      <c r="F33732">
        <v>1030094</v>
      </c>
      <c r="G33732" t="s">
        <v>8523</v>
      </c>
      <c r="H33732" s="21">
        <v>500</v>
      </c>
    </row>
    <row r="33733" spans="1:8" customFormat="1" x14ac:dyDescent="0.25">
      <c r="A33733" t="str">
        <f>"3516909"</f>
        <v>3516909</v>
      </c>
      <c r="B33733" t="s">
        <v>23338</v>
      </c>
      <c r="C33733" t="s">
        <v>2475</v>
      </c>
      <c r="D33733" s="21" t="s">
        <v>34</v>
      </c>
      <c r="E33733" s="21" t="s">
        <v>254</v>
      </c>
      <c r="F33733">
        <v>3350011</v>
      </c>
      <c r="G33733" t="s">
        <v>2404</v>
      </c>
      <c r="H33733" s="21">
        <v>500</v>
      </c>
    </row>
    <row r="33734" spans="1:8" customFormat="1" x14ac:dyDescent="0.25">
      <c r="A33734" t="str">
        <f>"822298"</f>
        <v>822298</v>
      </c>
      <c r="B33734" t="s">
        <v>9983</v>
      </c>
      <c r="C33734" t="s">
        <v>302</v>
      </c>
      <c r="D33734" s="21" t="s">
        <v>34</v>
      </c>
      <c r="E33734" s="21" t="s">
        <v>71</v>
      </c>
      <c r="F33734">
        <v>11310130</v>
      </c>
      <c r="G33734" t="s">
        <v>18858</v>
      </c>
      <c r="H33734" s="21">
        <v>500</v>
      </c>
    </row>
    <row r="33735" spans="1:8" customFormat="1" x14ac:dyDescent="0.25">
      <c r="A33735" t="str">
        <f>"7514336"</f>
        <v>7514336</v>
      </c>
      <c r="B33735" t="s">
        <v>24322</v>
      </c>
      <c r="C33735" t="s">
        <v>1705</v>
      </c>
      <c r="D33735" s="21" t="s">
        <v>34</v>
      </c>
      <c r="E33735" s="21" t="s">
        <v>71</v>
      </c>
      <c r="F33735">
        <v>8750141</v>
      </c>
      <c r="G33735" t="s">
        <v>1514</v>
      </c>
      <c r="H33735" s="21">
        <v>500</v>
      </c>
    </row>
    <row r="33736" spans="1:8" customFormat="1" x14ac:dyDescent="0.25">
      <c r="A33736" t="str">
        <f>"2214032"</f>
        <v>2214032</v>
      </c>
      <c r="B33736" t="s">
        <v>6240</v>
      </c>
      <c r="C33736" t="s">
        <v>267</v>
      </c>
      <c r="D33736" s="21" t="s">
        <v>34</v>
      </c>
      <c r="E33736" s="21" t="s">
        <v>254</v>
      </c>
      <c r="F33736">
        <v>3220031</v>
      </c>
      <c r="G33736" t="s">
        <v>26743</v>
      </c>
      <c r="H33736" s="21">
        <v>500</v>
      </c>
    </row>
    <row r="33737" spans="1:8" customFormat="1" x14ac:dyDescent="0.25">
      <c r="A33737" t="str">
        <f>"4520717"</f>
        <v>4520717</v>
      </c>
      <c r="B33737" t="s">
        <v>4959</v>
      </c>
      <c r="C33737" t="s">
        <v>3843</v>
      </c>
      <c r="D33737" s="21" t="s">
        <v>34</v>
      </c>
      <c r="E33737" s="21" t="s">
        <v>254</v>
      </c>
      <c r="F33737">
        <v>2890061</v>
      </c>
      <c r="G33737" t="s">
        <v>13076</v>
      </c>
      <c r="H33737" s="21">
        <v>500</v>
      </c>
    </row>
    <row r="33738" spans="1:8" customFormat="1" x14ac:dyDescent="0.25">
      <c r="A33738" t="str">
        <f>"6942534"</f>
        <v>6942534</v>
      </c>
      <c r="B33738" t="s">
        <v>28692</v>
      </c>
      <c r="C33738" t="s">
        <v>124</v>
      </c>
      <c r="D33738" s="21" t="s">
        <v>34</v>
      </c>
      <c r="E33738" s="21" t="s">
        <v>71</v>
      </c>
      <c r="F33738">
        <v>1690181</v>
      </c>
      <c r="G33738" t="s">
        <v>20881</v>
      </c>
      <c r="H33738" s="21">
        <v>500</v>
      </c>
    </row>
    <row r="33739" spans="1:8" customFormat="1" x14ac:dyDescent="0.25">
      <c r="A33739" t="str">
        <f>"7923367"</f>
        <v>7923367</v>
      </c>
      <c r="B33739" t="s">
        <v>13219</v>
      </c>
      <c r="C33739" t="s">
        <v>204</v>
      </c>
      <c r="D33739" s="21" t="s">
        <v>34</v>
      </c>
      <c r="E33739" s="21" t="s">
        <v>35</v>
      </c>
      <c r="F33739">
        <v>10790023</v>
      </c>
      <c r="G33739" t="s">
        <v>18120</v>
      </c>
      <c r="H33739" s="21">
        <v>500</v>
      </c>
    </row>
    <row r="33740" spans="1:8" customFormat="1" x14ac:dyDescent="0.25">
      <c r="A33740" t="str">
        <f>"3811274"</f>
        <v>3811274</v>
      </c>
      <c r="B33740" t="s">
        <v>28693</v>
      </c>
      <c r="C33740" t="s">
        <v>147</v>
      </c>
      <c r="D33740" s="21" t="s">
        <v>34</v>
      </c>
      <c r="E33740" s="21" t="s">
        <v>35</v>
      </c>
      <c r="F33740">
        <v>1380233</v>
      </c>
      <c r="G33740" t="s">
        <v>2694</v>
      </c>
      <c r="H33740" s="21">
        <v>500</v>
      </c>
    </row>
    <row r="33741" spans="1:8" customFormat="1" x14ac:dyDescent="0.25">
      <c r="A33741" t="str">
        <f>"5113762"</f>
        <v>5113762</v>
      </c>
      <c r="B33741" t="s">
        <v>4834</v>
      </c>
      <c r="C33741" t="s">
        <v>55</v>
      </c>
      <c r="D33741" s="21" t="s">
        <v>34</v>
      </c>
      <c r="E33741" s="21" t="s">
        <v>71</v>
      </c>
      <c r="F33741">
        <v>6510020</v>
      </c>
      <c r="G33741" t="s">
        <v>3013</v>
      </c>
      <c r="H33741" s="21">
        <v>500</v>
      </c>
    </row>
    <row r="33742" spans="1:8" customFormat="1" x14ac:dyDescent="0.25">
      <c r="A33742" t="str">
        <f>"7732073"</f>
        <v>7732073</v>
      </c>
      <c r="B33742" t="s">
        <v>28694</v>
      </c>
      <c r="C33742" t="s">
        <v>566</v>
      </c>
      <c r="D33742" s="21" t="s">
        <v>34</v>
      </c>
      <c r="E33742" s="21" t="s">
        <v>35</v>
      </c>
      <c r="F33742">
        <v>8771426</v>
      </c>
      <c r="G33742" t="s">
        <v>844</v>
      </c>
      <c r="H33742" s="21">
        <v>500</v>
      </c>
    </row>
    <row r="33743" spans="1:8" customFormat="1" x14ac:dyDescent="0.25">
      <c r="A33743" t="str">
        <f>"2219300"</f>
        <v>2219300</v>
      </c>
      <c r="B33743" t="s">
        <v>2489</v>
      </c>
      <c r="C33743" t="s">
        <v>598</v>
      </c>
      <c r="D33743" s="21" t="s">
        <v>34</v>
      </c>
      <c r="E33743" s="21" t="s">
        <v>254</v>
      </c>
      <c r="F33743">
        <v>3220048</v>
      </c>
      <c r="G33743" t="s">
        <v>26532</v>
      </c>
      <c r="H33743" s="21">
        <v>500</v>
      </c>
    </row>
    <row r="33744" spans="1:8" customFormat="1" x14ac:dyDescent="0.25">
      <c r="A33744" t="str">
        <f>"9427242"</f>
        <v>9427242</v>
      </c>
      <c r="B33744" t="s">
        <v>24148</v>
      </c>
      <c r="C33744" t="s">
        <v>263</v>
      </c>
      <c r="D33744" s="21" t="s">
        <v>34</v>
      </c>
      <c r="E33744" s="21" t="s">
        <v>254</v>
      </c>
      <c r="F33744">
        <v>9140071</v>
      </c>
      <c r="G33744" t="s">
        <v>1775</v>
      </c>
      <c r="H33744" s="21">
        <v>500</v>
      </c>
    </row>
    <row r="33745" spans="1:8" customFormat="1" x14ac:dyDescent="0.25">
      <c r="A33745" t="str">
        <f>"685758"</f>
        <v>685758</v>
      </c>
      <c r="B33745" t="s">
        <v>23252</v>
      </c>
      <c r="C33745" t="s">
        <v>23253</v>
      </c>
      <c r="D33745" s="21" t="s">
        <v>34</v>
      </c>
      <c r="E33745" s="21" t="s">
        <v>254</v>
      </c>
      <c r="F33745">
        <v>6680080</v>
      </c>
      <c r="G33745" t="s">
        <v>7771</v>
      </c>
      <c r="H33745" s="21">
        <v>500</v>
      </c>
    </row>
    <row r="33746" spans="1:8" customFormat="1" x14ac:dyDescent="0.25">
      <c r="A33746" t="str">
        <f>"4933901"</f>
        <v>4933901</v>
      </c>
      <c r="B33746" t="s">
        <v>4143</v>
      </c>
      <c r="C33746" t="s">
        <v>263</v>
      </c>
      <c r="D33746" s="21" t="s">
        <v>34</v>
      </c>
      <c r="E33746" s="21" t="s">
        <v>35</v>
      </c>
      <c r="F33746">
        <v>12490006</v>
      </c>
      <c r="G33746" t="s">
        <v>1480</v>
      </c>
      <c r="H33746" s="21">
        <v>500</v>
      </c>
    </row>
    <row r="33747" spans="1:8" customFormat="1" x14ac:dyDescent="0.25">
      <c r="A33747" t="str">
        <f>"6234221"</f>
        <v>6234221</v>
      </c>
      <c r="B33747" t="s">
        <v>108</v>
      </c>
      <c r="C33747" t="s">
        <v>60</v>
      </c>
      <c r="D33747" s="21" t="s">
        <v>34</v>
      </c>
      <c r="E33747" s="21" t="s">
        <v>35</v>
      </c>
      <c r="F33747">
        <v>7620110</v>
      </c>
      <c r="G33747" t="s">
        <v>2681</v>
      </c>
      <c r="H33747" s="21">
        <v>500</v>
      </c>
    </row>
    <row r="33748" spans="1:8" customFormat="1" x14ac:dyDescent="0.25">
      <c r="A33748" t="str">
        <f>"7912733"</f>
        <v>7912733</v>
      </c>
      <c r="B33748" t="s">
        <v>28695</v>
      </c>
      <c r="C33748" t="s">
        <v>198</v>
      </c>
      <c r="D33748" s="21" t="s">
        <v>34</v>
      </c>
      <c r="E33748" s="21" t="s">
        <v>71</v>
      </c>
      <c r="F33748">
        <v>10790011</v>
      </c>
      <c r="G33748" t="s">
        <v>1654</v>
      </c>
      <c r="H33748" s="21">
        <v>500</v>
      </c>
    </row>
    <row r="33749" spans="1:8" customFormat="1" x14ac:dyDescent="0.25">
      <c r="A33749" t="str">
        <f>"309260"</f>
        <v>309260</v>
      </c>
      <c r="B33749" t="s">
        <v>13437</v>
      </c>
      <c r="C33749" t="s">
        <v>2276</v>
      </c>
      <c r="D33749" s="21" t="s">
        <v>34</v>
      </c>
      <c r="E33749" s="21" t="s">
        <v>254</v>
      </c>
      <c r="F33749">
        <v>11300007</v>
      </c>
      <c r="G33749" t="s">
        <v>361</v>
      </c>
      <c r="H33749" s="21">
        <v>500</v>
      </c>
    </row>
    <row r="33750" spans="1:8" customFormat="1" x14ac:dyDescent="0.25">
      <c r="A33750" t="str">
        <f>"9144669"</f>
        <v>9144669</v>
      </c>
      <c r="B33750" t="s">
        <v>3848</v>
      </c>
      <c r="C33750" t="s">
        <v>169</v>
      </c>
      <c r="D33750" s="21" t="s">
        <v>34</v>
      </c>
      <c r="E33750" s="21" t="s">
        <v>71</v>
      </c>
      <c r="F33750">
        <v>8911225</v>
      </c>
      <c r="G33750" t="s">
        <v>4297</v>
      </c>
      <c r="H33750" s="21">
        <v>500</v>
      </c>
    </row>
    <row r="33751" spans="1:8" customFormat="1" x14ac:dyDescent="0.25">
      <c r="A33751" t="str">
        <f>"7870330"</f>
        <v>7870330</v>
      </c>
      <c r="B33751" t="s">
        <v>23416</v>
      </c>
      <c r="C33751" t="s">
        <v>87</v>
      </c>
      <c r="D33751" s="21" t="s">
        <v>34</v>
      </c>
      <c r="E33751" s="21" t="s">
        <v>35</v>
      </c>
      <c r="F33751">
        <v>8780080</v>
      </c>
      <c r="G33751" t="s">
        <v>865</v>
      </c>
      <c r="H33751" s="21">
        <v>500</v>
      </c>
    </row>
    <row r="33752" spans="1:8" customFormat="1" x14ac:dyDescent="0.25">
      <c r="A33752" t="str">
        <f>"866928"</f>
        <v>866928</v>
      </c>
      <c r="B33752" t="s">
        <v>3209</v>
      </c>
      <c r="C33752" t="s">
        <v>415</v>
      </c>
      <c r="D33752" s="21" t="s">
        <v>34</v>
      </c>
      <c r="E33752" s="21" t="s">
        <v>71</v>
      </c>
      <c r="F33752">
        <v>4370583</v>
      </c>
      <c r="G33752" t="s">
        <v>13975</v>
      </c>
      <c r="H33752" s="21">
        <v>500</v>
      </c>
    </row>
    <row r="33753" spans="1:8" customFormat="1" x14ac:dyDescent="0.25">
      <c r="A33753" t="str">
        <f>"2814369"</f>
        <v>2814369</v>
      </c>
      <c r="B33753" t="s">
        <v>2859</v>
      </c>
      <c r="C33753" t="s">
        <v>1665</v>
      </c>
      <c r="D33753" s="21" t="s">
        <v>34</v>
      </c>
      <c r="E33753" s="21" t="s">
        <v>71</v>
      </c>
      <c r="F33753">
        <v>4280610</v>
      </c>
      <c r="G33753" t="s">
        <v>8180</v>
      </c>
      <c r="H33753" s="21">
        <v>500</v>
      </c>
    </row>
    <row r="33754" spans="1:8" customFormat="1" x14ac:dyDescent="0.25">
      <c r="A33754" t="str">
        <f>"315804"</f>
        <v>315804</v>
      </c>
      <c r="B33754" t="s">
        <v>25316</v>
      </c>
      <c r="C33754" t="s">
        <v>720</v>
      </c>
      <c r="D33754" s="21" t="s">
        <v>34</v>
      </c>
      <c r="E33754" s="21" t="s">
        <v>254</v>
      </c>
      <c r="F33754">
        <v>11310098</v>
      </c>
      <c r="G33754" t="s">
        <v>371</v>
      </c>
      <c r="H33754" s="21">
        <v>500</v>
      </c>
    </row>
    <row r="33755" spans="1:8" customFormat="1" x14ac:dyDescent="0.25">
      <c r="A33755" t="str">
        <f>"5978512"</f>
        <v>5978512</v>
      </c>
      <c r="B33755" t="s">
        <v>6738</v>
      </c>
      <c r="C33755" t="s">
        <v>817</v>
      </c>
      <c r="D33755" s="21" t="s">
        <v>34</v>
      </c>
      <c r="E33755" s="21" t="s">
        <v>71</v>
      </c>
      <c r="F33755">
        <v>7590141</v>
      </c>
      <c r="G33755" t="s">
        <v>21305</v>
      </c>
      <c r="H33755" s="21">
        <v>500</v>
      </c>
    </row>
    <row r="33756" spans="1:8" customFormat="1" x14ac:dyDescent="0.25">
      <c r="A33756" t="str">
        <f>"762395"</f>
        <v>762395</v>
      </c>
      <c r="B33756" t="s">
        <v>727</v>
      </c>
      <c r="C33756" t="s">
        <v>211</v>
      </c>
      <c r="D33756" s="21" t="s">
        <v>34</v>
      </c>
      <c r="E33756" s="21" t="s">
        <v>1089</v>
      </c>
      <c r="F33756">
        <v>9760201</v>
      </c>
      <c r="G33756" t="s">
        <v>11358</v>
      </c>
      <c r="H33756" s="21">
        <v>500</v>
      </c>
    </row>
    <row r="33757" spans="1:8" customFormat="1" x14ac:dyDescent="0.25">
      <c r="A33757" t="str">
        <f>"9146727"</f>
        <v>9146727</v>
      </c>
      <c r="B33757" t="s">
        <v>21991</v>
      </c>
      <c r="C33757" t="s">
        <v>1299</v>
      </c>
      <c r="D33757" s="21" t="s">
        <v>34</v>
      </c>
      <c r="E33757" s="21" t="s">
        <v>35</v>
      </c>
      <c r="F33757">
        <v>8910285</v>
      </c>
      <c r="G33757" t="s">
        <v>26604</v>
      </c>
      <c r="H33757" s="21">
        <v>500</v>
      </c>
    </row>
    <row r="33758" spans="1:8" customFormat="1" x14ac:dyDescent="0.25">
      <c r="A33758" t="str">
        <f>"6724435"</f>
        <v>6724435</v>
      </c>
      <c r="B33758" t="s">
        <v>12292</v>
      </c>
      <c r="C33758" t="s">
        <v>288</v>
      </c>
      <c r="D33758" s="21" t="s">
        <v>34</v>
      </c>
      <c r="E33758" s="21" t="s">
        <v>35</v>
      </c>
      <c r="F33758">
        <v>6670122</v>
      </c>
      <c r="G33758" t="s">
        <v>3126</v>
      </c>
      <c r="H33758" s="21">
        <v>500</v>
      </c>
    </row>
    <row r="33759" spans="1:8" customFormat="1" x14ac:dyDescent="0.25">
      <c r="A33759" t="str">
        <f>"6946034"</f>
        <v>6946034</v>
      </c>
      <c r="B33759" t="s">
        <v>15014</v>
      </c>
      <c r="C33759" t="s">
        <v>60</v>
      </c>
      <c r="D33759" s="21" t="s">
        <v>34</v>
      </c>
      <c r="E33759" s="21" t="s">
        <v>35</v>
      </c>
      <c r="F33759">
        <v>1690181</v>
      </c>
      <c r="G33759" t="s">
        <v>20881</v>
      </c>
      <c r="H33759" s="21">
        <v>500</v>
      </c>
    </row>
    <row r="33760" spans="1:8" customFormat="1" x14ac:dyDescent="0.25">
      <c r="A33760" t="str">
        <f>"396683"</f>
        <v>396683</v>
      </c>
      <c r="B33760" t="s">
        <v>25497</v>
      </c>
      <c r="C33760" t="s">
        <v>236</v>
      </c>
      <c r="D33760" s="21" t="s">
        <v>34</v>
      </c>
      <c r="E33760" s="21" t="s">
        <v>254</v>
      </c>
      <c r="F33760">
        <v>2390089</v>
      </c>
      <c r="G33760" t="s">
        <v>5194</v>
      </c>
      <c r="H33760" s="21">
        <v>500</v>
      </c>
    </row>
    <row r="33761" spans="1:8" customFormat="1" x14ac:dyDescent="0.25">
      <c r="A33761" t="str">
        <f>"4113971"</f>
        <v>4113971</v>
      </c>
      <c r="B33761" t="s">
        <v>28696</v>
      </c>
      <c r="C33761" t="s">
        <v>151</v>
      </c>
      <c r="D33761" s="21" t="s">
        <v>34</v>
      </c>
      <c r="E33761" s="21" t="s">
        <v>71</v>
      </c>
      <c r="F33761">
        <v>4410543</v>
      </c>
      <c r="G33761" t="s">
        <v>14950</v>
      </c>
      <c r="H33761" s="21">
        <v>500</v>
      </c>
    </row>
    <row r="33762" spans="1:8" customFormat="1" x14ac:dyDescent="0.25">
      <c r="A33762" t="str">
        <f>"7852853"</f>
        <v>7852853</v>
      </c>
      <c r="B33762" t="s">
        <v>8281</v>
      </c>
      <c r="C33762" t="s">
        <v>500</v>
      </c>
      <c r="D33762" s="21" t="s">
        <v>34</v>
      </c>
      <c r="E33762" s="21" t="s">
        <v>71</v>
      </c>
      <c r="F33762">
        <v>8780627</v>
      </c>
      <c r="G33762" t="s">
        <v>6097</v>
      </c>
      <c r="H33762" s="21">
        <v>500</v>
      </c>
    </row>
    <row r="33763" spans="1:8" customFormat="1" x14ac:dyDescent="0.25">
      <c r="A33763" t="str">
        <f>"3327453"</f>
        <v>3327453</v>
      </c>
      <c r="B33763" t="s">
        <v>23603</v>
      </c>
      <c r="C33763" t="s">
        <v>253</v>
      </c>
      <c r="D33763" s="21" t="s">
        <v>34</v>
      </c>
      <c r="E33763" s="21" t="s">
        <v>71</v>
      </c>
      <c r="F33763">
        <v>10330080</v>
      </c>
      <c r="G33763" t="s">
        <v>5634</v>
      </c>
      <c r="H33763" s="21">
        <v>500</v>
      </c>
    </row>
    <row r="33764" spans="1:8" customFormat="1" x14ac:dyDescent="0.25">
      <c r="A33764" t="str">
        <f>"9H835"</f>
        <v>9H835</v>
      </c>
      <c r="B33764" t="s">
        <v>23146</v>
      </c>
      <c r="C33764" t="s">
        <v>23147</v>
      </c>
      <c r="D33764" s="21" t="s">
        <v>34</v>
      </c>
      <c r="E33764" s="21" t="s">
        <v>71</v>
      </c>
      <c r="F33764" t="s">
        <v>23148</v>
      </c>
      <c r="G33764" t="s">
        <v>23149</v>
      </c>
      <c r="H33764" s="21">
        <v>500</v>
      </c>
    </row>
    <row r="33765" spans="1:8" customFormat="1" x14ac:dyDescent="0.25">
      <c r="A33765" t="str">
        <f>"4216178"</f>
        <v>4216178</v>
      </c>
      <c r="B33765" t="s">
        <v>22383</v>
      </c>
      <c r="C33765" t="s">
        <v>169</v>
      </c>
      <c r="D33765" s="21" t="s">
        <v>34</v>
      </c>
      <c r="E33765" s="21" t="s">
        <v>254</v>
      </c>
      <c r="F33765">
        <v>1420141</v>
      </c>
      <c r="G33765" t="s">
        <v>5190</v>
      </c>
      <c r="H33765" s="21">
        <v>500</v>
      </c>
    </row>
    <row r="33766" spans="1:8" customFormat="1" x14ac:dyDescent="0.25">
      <c r="A33766" t="str">
        <f>"6941343"</f>
        <v>6941343</v>
      </c>
      <c r="B33766" t="s">
        <v>24405</v>
      </c>
      <c r="C33766" t="s">
        <v>11083</v>
      </c>
      <c r="D33766" s="21" t="s">
        <v>34</v>
      </c>
      <c r="E33766" s="21" t="s">
        <v>71</v>
      </c>
      <c r="F33766">
        <v>1690004</v>
      </c>
      <c r="G33766" t="s">
        <v>12294</v>
      </c>
      <c r="H33766" s="21">
        <v>500</v>
      </c>
    </row>
    <row r="33767" spans="1:8" customFormat="1" x14ac:dyDescent="0.25">
      <c r="A33767" t="str">
        <f>"189117"</f>
        <v>189117</v>
      </c>
      <c r="B33767" t="s">
        <v>3963</v>
      </c>
      <c r="C33767" t="s">
        <v>462</v>
      </c>
      <c r="D33767" s="21" t="s">
        <v>34</v>
      </c>
      <c r="E33767" s="21" t="s">
        <v>35</v>
      </c>
      <c r="F33767">
        <v>4180530</v>
      </c>
      <c r="G33767" t="s">
        <v>3622</v>
      </c>
      <c r="H33767" s="21">
        <v>500</v>
      </c>
    </row>
    <row r="33768" spans="1:8" customFormat="1" x14ac:dyDescent="0.25">
      <c r="A33768" t="str">
        <f>"2218301"</f>
        <v>2218301</v>
      </c>
      <c r="B33768" t="s">
        <v>28697</v>
      </c>
      <c r="C33768" t="s">
        <v>124</v>
      </c>
      <c r="D33768" s="21" t="s">
        <v>34</v>
      </c>
      <c r="E33768" s="21" t="s">
        <v>35</v>
      </c>
      <c r="F33768">
        <v>3220047</v>
      </c>
      <c r="G33768" t="s">
        <v>131</v>
      </c>
      <c r="H33768" s="21">
        <v>500</v>
      </c>
    </row>
    <row r="33769" spans="1:8" customFormat="1" x14ac:dyDescent="0.25">
      <c r="A33769" t="str">
        <f>"189435"</f>
        <v>189435</v>
      </c>
      <c r="B33769" t="s">
        <v>1495</v>
      </c>
      <c r="C33769" t="s">
        <v>98</v>
      </c>
      <c r="D33769" s="21" t="s">
        <v>34</v>
      </c>
      <c r="E33769" s="21" t="s">
        <v>35</v>
      </c>
      <c r="F33769">
        <v>4180041</v>
      </c>
      <c r="G33769" t="s">
        <v>1740</v>
      </c>
      <c r="H33769" s="21">
        <v>500</v>
      </c>
    </row>
    <row r="33770" spans="1:8" customFormat="1" x14ac:dyDescent="0.25">
      <c r="A33770" t="str">
        <f>"874665"</f>
        <v>874665</v>
      </c>
      <c r="B33770" t="s">
        <v>22964</v>
      </c>
      <c r="C33770" t="s">
        <v>412</v>
      </c>
      <c r="D33770" s="21" t="s">
        <v>34</v>
      </c>
      <c r="E33770" s="21" t="s">
        <v>6185</v>
      </c>
      <c r="F33770">
        <v>10870116</v>
      </c>
      <c r="G33770" t="s">
        <v>1806</v>
      </c>
      <c r="H33770" s="21">
        <v>500</v>
      </c>
    </row>
    <row r="33771" spans="1:8" customFormat="1" x14ac:dyDescent="0.25">
      <c r="A33771" t="str">
        <f>"6312506"</f>
        <v>6312506</v>
      </c>
      <c r="B33771" t="s">
        <v>17115</v>
      </c>
      <c r="C33771" t="s">
        <v>33</v>
      </c>
      <c r="D33771" s="21" t="s">
        <v>34</v>
      </c>
      <c r="E33771" s="21" t="s">
        <v>71</v>
      </c>
      <c r="F33771">
        <v>1630261</v>
      </c>
      <c r="G33771" t="s">
        <v>1382</v>
      </c>
      <c r="H33771" s="21">
        <v>500</v>
      </c>
    </row>
    <row r="33772" spans="1:8" customFormat="1" x14ac:dyDescent="0.25">
      <c r="A33772" t="str">
        <f>"6714974"</f>
        <v>6714974</v>
      </c>
      <c r="B33772" t="s">
        <v>18595</v>
      </c>
      <c r="C33772" t="s">
        <v>263</v>
      </c>
      <c r="D33772" s="21" t="s">
        <v>34</v>
      </c>
      <c r="E33772" s="21" t="s">
        <v>71</v>
      </c>
      <c r="F33772">
        <v>6670011</v>
      </c>
      <c r="G33772" t="s">
        <v>5493</v>
      </c>
      <c r="H33772" s="21">
        <v>500</v>
      </c>
    </row>
    <row r="33773" spans="1:8" customFormat="1" x14ac:dyDescent="0.25">
      <c r="A33773" t="str">
        <f>"9147648"</f>
        <v>9147648</v>
      </c>
      <c r="B33773" t="s">
        <v>28698</v>
      </c>
      <c r="C33773" t="s">
        <v>269</v>
      </c>
      <c r="D33773" s="21" t="s">
        <v>34</v>
      </c>
      <c r="E33773" s="21" t="s">
        <v>71</v>
      </c>
      <c r="F33773">
        <v>8911465</v>
      </c>
      <c r="G33773" t="s">
        <v>28699</v>
      </c>
      <c r="H33773" s="21">
        <v>500</v>
      </c>
    </row>
    <row r="33774" spans="1:8" customFormat="1" x14ac:dyDescent="0.25">
      <c r="A33774" t="str">
        <f>"3537881"</f>
        <v>3537881</v>
      </c>
      <c r="B33774" t="s">
        <v>28700</v>
      </c>
      <c r="C33774" t="s">
        <v>1025</v>
      </c>
      <c r="D33774" s="21" t="s">
        <v>34</v>
      </c>
      <c r="E33774" s="21" t="s">
        <v>71</v>
      </c>
      <c r="F33774">
        <v>3350209</v>
      </c>
      <c r="G33774" t="s">
        <v>3023</v>
      </c>
      <c r="H33774" s="21">
        <v>500</v>
      </c>
    </row>
    <row r="33775" spans="1:8" customFormat="1" x14ac:dyDescent="0.25">
      <c r="A33775" t="str">
        <f>"3828692"</f>
        <v>3828692</v>
      </c>
      <c r="B33775" t="s">
        <v>16688</v>
      </c>
      <c r="C33775" t="s">
        <v>267</v>
      </c>
      <c r="D33775" s="21" t="s">
        <v>34</v>
      </c>
      <c r="E33775" s="21" t="s">
        <v>71</v>
      </c>
      <c r="F33775">
        <v>1380286</v>
      </c>
      <c r="G33775" t="s">
        <v>16669</v>
      </c>
      <c r="H33775" s="21">
        <v>500</v>
      </c>
    </row>
    <row r="33776" spans="1:8" customFormat="1" x14ac:dyDescent="0.25">
      <c r="A33776" t="str">
        <f>"1613152"</f>
        <v>1613152</v>
      </c>
      <c r="B33776" t="s">
        <v>23139</v>
      </c>
      <c r="C33776" t="s">
        <v>249</v>
      </c>
      <c r="D33776" s="21" t="s">
        <v>34</v>
      </c>
      <c r="E33776" s="21" t="s">
        <v>71</v>
      </c>
      <c r="F33776">
        <v>10160223</v>
      </c>
      <c r="G33776" t="s">
        <v>5750</v>
      </c>
      <c r="H33776" s="21">
        <v>500</v>
      </c>
    </row>
    <row r="33777" spans="1:8" customFormat="1" x14ac:dyDescent="0.25">
      <c r="A33777" t="str">
        <f>"6022021"</f>
        <v>6022021</v>
      </c>
      <c r="B33777" t="s">
        <v>21011</v>
      </c>
      <c r="C33777" t="s">
        <v>1665</v>
      </c>
      <c r="D33777" s="21" t="s">
        <v>34</v>
      </c>
      <c r="E33777" s="21" t="s">
        <v>71</v>
      </c>
      <c r="F33777">
        <v>7600170</v>
      </c>
      <c r="G33777" t="s">
        <v>16044</v>
      </c>
      <c r="H33777" s="21">
        <v>500</v>
      </c>
    </row>
    <row r="33778" spans="1:8" customFormat="1" x14ac:dyDescent="0.25">
      <c r="A33778" t="str">
        <f>"37331"</f>
        <v>37331</v>
      </c>
      <c r="B33778" t="s">
        <v>14900</v>
      </c>
      <c r="C33778" t="s">
        <v>1887</v>
      </c>
      <c r="D33778" s="21" t="s">
        <v>34</v>
      </c>
      <c r="E33778" s="21" t="s">
        <v>6185</v>
      </c>
      <c r="F33778">
        <v>4370566</v>
      </c>
      <c r="G33778" t="s">
        <v>4710</v>
      </c>
      <c r="H33778" s="21">
        <v>500</v>
      </c>
    </row>
    <row r="33779" spans="1:8" customFormat="1" x14ac:dyDescent="0.25">
      <c r="A33779" t="str">
        <f>"1717170"</f>
        <v>1717170</v>
      </c>
      <c r="B33779" t="s">
        <v>23810</v>
      </c>
      <c r="C33779" t="s">
        <v>18481</v>
      </c>
      <c r="D33779" s="21" t="s">
        <v>34</v>
      </c>
      <c r="E33779" s="21" t="s">
        <v>71</v>
      </c>
      <c r="F33779">
        <v>10170016</v>
      </c>
      <c r="G33779" t="s">
        <v>88</v>
      </c>
      <c r="H33779" s="21">
        <v>500</v>
      </c>
    </row>
    <row r="33780" spans="1:8" customFormat="1" x14ac:dyDescent="0.25">
      <c r="A33780" t="str">
        <f>"9147269"</f>
        <v>9147269</v>
      </c>
      <c r="B33780" t="s">
        <v>28701</v>
      </c>
      <c r="C33780" t="s">
        <v>28702</v>
      </c>
      <c r="D33780" s="21" t="s">
        <v>34</v>
      </c>
      <c r="E33780" s="21" t="s">
        <v>35</v>
      </c>
      <c r="F33780">
        <v>8910652</v>
      </c>
      <c r="G33780" t="s">
        <v>6533</v>
      </c>
      <c r="H33780" s="21">
        <v>500</v>
      </c>
    </row>
    <row r="33781" spans="1:8" customFormat="1" x14ac:dyDescent="0.25">
      <c r="A33781" t="str">
        <f>"7524508"</f>
        <v>7524508</v>
      </c>
      <c r="B33781" t="s">
        <v>28703</v>
      </c>
      <c r="C33781" t="s">
        <v>288</v>
      </c>
      <c r="D33781" s="21" t="s">
        <v>34</v>
      </c>
      <c r="E33781" s="21" t="s">
        <v>35</v>
      </c>
      <c r="F33781">
        <v>8750007</v>
      </c>
      <c r="G33781" t="s">
        <v>775</v>
      </c>
      <c r="H33781" s="21">
        <v>500</v>
      </c>
    </row>
    <row r="33782" spans="1:8" customFormat="1" x14ac:dyDescent="0.25">
      <c r="A33782" t="str">
        <f>"0114601"</f>
        <v>0114601</v>
      </c>
      <c r="B33782" t="s">
        <v>146</v>
      </c>
      <c r="C33782" t="s">
        <v>1146</v>
      </c>
      <c r="D33782" s="21" t="s">
        <v>34</v>
      </c>
      <c r="E33782" s="21" t="s">
        <v>254</v>
      </c>
      <c r="F33782">
        <v>1010054</v>
      </c>
      <c r="G33782" t="s">
        <v>8991</v>
      </c>
      <c r="H33782" s="21">
        <v>500</v>
      </c>
    </row>
    <row r="33783" spans="1:8" customFormat="1" x14ac:dyDescent="0.25">
      <c r="A33783" t="str">
        <f>"5977562"</f>
        <v>5977562</v>
      </c>
      <c r="B33783" t="s">
        <v>24173</v>
      </c>
      <c r="C33783" t="s">
        <v>3987</v>
      </c>
      <c r="D33783" s="21" t="s">
        <v>34</v>
      </c>
      <c r="E33783" s="21" t="s">
        <v>254</v>
      </c>
      <c r="F33783">
        <v>7590419</v>
      </c>
      <c r="G33783" t="s">
        <v>8051</v>
      </c>
      <c r="H33783" s="21">
        <v>500</v>
      </c>
    </row>
    <row r="33784" spans="1:8" customFormat="1" x14ac:dyDescent="0.25">
      <c r="A33784" t="str">
        <f>"5019606"</f>
        <v>5019606</v>
      </c>
      <c r="B33784" t="s">
        <v>23390</v>
      </c>
      <c r="C33784" t="s">
        <v>2305</v>
      </c>
      <c r="D33784" s="21" t="s">
        <v>34</v>
      </c>
      <c r="E33784" s="21" t="s">
        <v>254</v>
      </c>
      <c r="F33784">
        <v>9500112</v>
      </c>
      <c r="G33784" t="s">
        <v>1668</v>
      </c>
      <c r="H33784" s="21">
        <v>500</v>
      </c>
    </row>
    <row r="33785" spans="1:8" customFormat="1" x14ac:dyDescent="0.25">
      <c r="A33785" t="str">
        <f>"4711284"</f>
        <v>4711284</v>
      </c>
      <c r="B33785" t="s">
        <v>4063</v>
      </c>
      <c r="C33785" t="s">
        <v>967</v>
      </c>
      <c r="D33785" s="21" t="s">
        <v>34</v>
      </c>
      <c r="E33785" s="21" t="s">
        <v>35</v>
      </c>
      <c r="F33785">
        <v>10470014</v>
      </c>
      <c r="G33785" t="s">
        <v>22811</v>
      </c>
      <c r="H33785" s="21">
        <v>500</v>
      </c>
    </row>
    <row r="33786" spans="1:8" customFormat="1" x14ac:dyDescent="0.25">
      <c r="A33786" t="str">
        <f>"428700"</f>
        <v>428700</v>
      </c>
      <c r="B33786" t="s">
        <v>7190</v>
      </c>
      <c r="C33786" t="s">
        <v>202</v>
      </c>
      <c r="D33786" s="21" t="s">
        <v>34</v>
      </c>
      <c r="E33786" s="21" t="s">
        <v>254</v>
      </c>
      <c r="F33786">
        <v>1420141</v>
      </c>
      <c r="G33786" t="s">
        <v>5190</v>
      </c>
      <c r="H33786" s="21">
        <v>500</v>
      </c>
    </row>
    <row r="33787" spans="1:8" customFormat="1" x14ac:dyDescent="0.25">
      <c r="A33787" t="str">
        <f>"051178"</f>
        <v>051178</v>
      </c>
      <c r="B33787" t="s">
        <v>12321</v>
      </c>
      <c r="C33787" t="s">
        <v>720</v>
      </c>
      <c r="D33787" s="21" t="s">
        <v>34</v>
      </c>
      <c r="E33787" s="21" t="s">
        <v>1089</v>
      </c>
      <c r="F33787">
        <v>13050008</v>
      </c>
      <c r="G33787" t="s">
        <v>12322</v>
      </c>
      <c r="H33787" s="21">
        <v>500</v>
      </c>
    </row>
    <row r="33788" spans="1:8" customFormat="1" x14ac:dyDescent="0.25">
      <c r="A33788" t="str">
        <f>"351176"</f>
        <v>351176</v>
      </c>
      <c r="B33788" t="s">
        <v>23270</v>
      </c>
      <c r="C33788" t="s">
        <v>253</v>
      </c>
      <c r="D33788" s="21" t="s">
        <v>34</v>
      </c>
      <c r="E33788" s="21" t="s">
        <v>254</v>
      </c>
      <c r="F33788">
        <v>3350016</v>
      </c>
      <c r="G33788" t="s">
        <v>133</v>
      </c>
      <c r="H33788" s="21">
        <v>500</v>
      </c>
    </row>
    <row r="33789" spans="1:8" customFormat="1" x14ac:dyDescent="0.25">
      <c r="A33789" t="str">
        <f>"1312551"</f>
        <v>1312551</v>
      </c>
      <c r="B33789" t="s">
        <v>23292</v>
      </c>
      <c r="C33789" t="s">
        <v>926</v>
      </c>
      <c r="D33789" s="21" t="s">
        <v>34</v>
      </c>
      <c r="E33789" s="21" t="s">
        <v>71</v>
      </c>
      <c r="F33789">
        <v>13130138</v>
      </c>
      <c r="G33789" t="s">
        <v>5409</v>
      </c>
      <c r="H33789" s="21">
        <v>500</v>
      </c>
    </row>
    <row r="33790" spans="1:8" customFormat="1" x14ac:dyDescent="0.25">
      <c r="A33790" t="str">
        <f>"4516796"</f>
        <v>4516796</v>
      </c>
      <c r="B33790" t="s">
        <v>20407</v>
      </c>
      <c r="C33790" t="s">
        <v>209</v>
      </c>
      <c r="D33790" s="21" t="s">
        <v>34</v>
      </c>
      <c r="E33790" s="21" t="s">
        <v>254</v>
      </c>
      <c r="F33790">
        <v>4450155</v>
      </c>
      <c r="G33790" t="s">
        <v>23484</v>
      </c>
      <c r="H33790" s="21">
        <v>500</v>
      </c>
    </row>
    <row r="33791" spans="1:8" customFormat="1" x14ac:dyDescent="0.25">
      <c r="A33791" t="str">
        <f>"4216475"</f>
        <v>4216475</v>
      </c>
      <c r="B33791" t="s">
        <v>23001</v>
      </c>
      <c r="C33791" t="s">
        <v>23002</v>
      </c>
      <c r="D33791" s="21" t="s">
        <v>34</v>
      </c>
      <c r="E33791" s="21" t="s">
        <v>71</v>
      </c>
      <c r="F33791">
        <v>1420006</v>
      </c>
      <c r="G33791" t="s">
        <v>6019</v>
      </c>
      <c r="H33791" s="21">
        <v>500</v>
      </c>
    </row>
    <row r="33792" spans="1:8" customFormat="1" x14ac:dyDescent="0.25">
      <c r="A33792" t="str">
        <f>"3537075"</f>
        <v>3537075</v>
      </c>
      <c r="B33792" t="s">
        <v>28704</v>
      </c>
      <c r="C33792" t="s">
        <v>1104</v>
      </c>
      <c r="D33792" s="21" t="s">
        <v>34</v>
      </c>
      <c r="E33792" s="21" t="s">
        <v>35</v>
      </c>
      <c r="F33792">
        <v>3350021</v>
      </c>
      <c r="G33792" t="s">
        <v>1758</v>
      </c>
      <c r="H33792" s="21">
        <v>500</v>
      </c>
    </row>
    <row r="33793" spans="1:8" customFormat="1" x14ac:dyDescent="0.25">
      <c r="A33793" t="str">
        <f>"702"</f>
        <v>702</v>
      </c>
      <c r="B33793" t="s">
        <v>22827</v>
      </c>
      <c r="C33793" t="s">
        <v>246</v>
      </c>
      <c r="D33793" s="21" t="s">
        <v>34</v>
      </c>
      <c r="E33793" s="21" t="s">
        <v>1089</v>
      </c>
      <c r="F33793">
        <v>2700002</v>
      </c>
      <c r="G33793" t="s">
        <v>953</v>
      </c>
      <c r="H33793" s="21">
        <v>500</v>
      </c>
    </row>
    <row r="33794" spans="1:8" customFormat="1" x14ac:dyDescent="0.25">
      <c r="A33794" t="str">
        <f>"212534"</f>
        <v>212534</v>
      </c>
      <c r="B33794" t="s">
        <v>3066</v>
      </c>
      <c r="C33794" t="s">
        <v>253</v>
      </c>
      <c r="D33794" s="21" t="s">
        <v>34</v>
      </c>
      <c r="E33794" s="21" t="s">
        <v>1089</v>
      </c>
      <c r="F33794">
        <v>2210029</v>
      </c>
      <c r="G33794" t="s">
        <v>6983</v>
      </c>
      <c r="H33794" s="21">
        <v>500</v>
      </c>
    </row>
    <row r="33795" spans="1:8" customFormat="1" x14ac:dyDescent="0.25">
      <c r="A33795" t="str">
        <f>"1717046"</f>
        <v>1717046</v>
      </c>
      <c r="B33795" t="s">
        <v>16666</v>
      </c>
      <c r="C33795" t="s">
        <v>1146</v>
      </c>
      <c r="D33795" s="21" t="s">
        <v>34</v>
      </c>
      <c r="E33795" s="21" t="s">
        <v>254</v>
      </c>
      <c r="F33795">
        <v>10170214</v>
      </c>
      <c r="G33795" t="s">
        <v>5533</v>
      </c>
      <c r="H33795" s="21">
        <v>500</v>
      </c>
    </row>
    <row r="33796" spans="1:8" customFormat="1" x14ac:dyDescent="0.25">
      <c r="A33796" t="str">
        <f>"90115"</f>
        <v>90115</v>
      </c>
      <c r="B33796" t="s">
        <v>23205</v>
      </c>
      <c r="C33796" t="s">
        <v>621</v>
      </c>
      <c r="D33796" s="21" t="s">
        <v>34</v>
      </c>
      <c r="E33796" s="21" t="s">
        <v>35</v>
      </c>
      <c r="F33796">
        <v>2900004</v>
      </c>
      <c r="G33796" t="s">
        <v>5922</v>
      </c>
      <c r="H33796" s="21">
        <v>500</v>
      </c>
    </row>
    <row r="33797" spans="1:8" customFormat="1" x14ac:dyDescent="0.25">
      <c r="A33797" t="str">
        <f>"5924631"</f>
        <v>5924631</v>
      </c>
      <c r="B33797" t="s">
        <v>20594</v>
      </c>
      <c r="C33797" t="s">
        <v>2479</v>
      </c>
      <c r="D33797" s="21" t="s">
        <v>34</v>
      </c>
      <c r="E33797" s="21" t="s">
        <v>254</v>
      </c>
      <c r="F33797">
        <v>7590028</v>
      </c>
      <c r="G33797" t="s">
        <v>251</v>
      </c>
      <c r="H33797" s="21">
        <v>500</v>
      </c>
    </row>
    <row r="33798" spans="1:8" customFormat="1" x14ac:dyDescent="0.25">
      <c r="A33798" t="str">
        <f>"7519102"</f>
        <v>7519102</v>
      </c>
      <c r="B33798" t="s">
        <v>28705</v>
      </c>
      <c r="C33798" t="s">
        <v>428</v>
      </c>
      <c r="D33798" s="21" t="s">
        <v>34</v>
      </c>
      <c r="E33798" s="21" t="s">
        <v>71</v>
      </c>
      <c r="F33798">
        <v>8751163</v>
      </c>
      <c r="G33798" t="s">
        <v>80</v>
      </c>
      <c r="H33798" s="21">
        <v>500</v>
      </c>
    </row>
    <row r="33799" spans="1:8" customFormat="1" x14ac:dyDescent="0.25">
      <c r="A33799" t="str">
        <f>"5622385"</f>
        <v>5622385</v>
      </c>
      <c r="B33799" t="s">
        <v>28706</v>
      </c>
      <c r="C33799" t="s">
        <v>87</v>
      </c>
      <c r="D33799" s="21" t="s">
        <v>34</v>
      </c>
      <c r="E33799" s="21" t="s">
        <v>71</v>
      </c>
      <c r="F33799">
        <v>3560005</v>
      </c>
      <c r="G33799" t="s">
        <v>2101</v>
      </c>
      <c r="H33799" s="21">
        <v>500</v>
      </c>
    </row>
    <row r="33800" spans="1:8" customFormat="1" x14ac:dyDescent="0.25">
      <c r="A33800" t="str">
        <f>"7874450"</f>
        <v>7874450</v>
      </c>
      <c r="B33800" t="s">
        <v>24479</v>
      </c>
      <c r="C33800" t="s">
        <v>65</v>
      </c>
      <c r="D33800" s="21" t="s">
        <v>34</v>
      </c>
      <c r="E33800" s="21" t="s">
        <v>35</v>
      </c>
      <c r="F33800">
        <v>8781473</v>
      </c>
      <c r="G33800" t="s">
        <v>1097</v>
      </c>
      <c r="H33800" s="21">
        <v>500</v>
      </c>
    </row>
    <row r="33801" spans="1:8" customFormat="1" x14ac:dyDescent="0.25">
      <c r="A33801" t="str">
        <f>"9H844"</f>
        <v>9H844</v>
      </c>
      <c r="B33801" t="s">
        <v>28707</v>
      </c>
      <c r="C33801" t="s">
        <v>2520</v>
      </c>
      <c r="D33801" s="21" t="s">
        <v>34</v>
      </c>
      <c r="E33801" s="21" t="s">
        <v>35</v>
      </c>
      <c r="F33801" t="s">
        <v>23148</v>
      </c>
      <c r="G33801" t="s">
        <v>23149</v>
      </c>
      <c r="H33801" s="21">
        <v>500</v>
      </c>
    </row>
    <row r="33802" spans="1:8" customFormat="1" x14ac:dyDescent="0.25">
      <c r="A33802" t="str">
        <f>"5915283"</f>
        <v>5915283</v>
      </c>
      <c r="B33802" t="s">
        <v>22830</v>
      </c>
      <c r="C33802" t="s">
        <v>40</v>
      </c>
      <c r="D33802" s="21" t="s">
        <v>34</v>
      </c>
      <c r="E33802" s="21" t="s">
        <v>254</v>
      </c>
      <c r="F33802">
        <v>7590127</v>
      </c>
      <c r="G33802" t="s">
        <v>214</v>
      </c>
      <c r="H33802" s="21">
        <v>500</v>
      </c>
    </row>
    <row r="33803" spans="1:8" customFormat="1" x14ac:dyDescent="0.25">
      <c r="A33803" t="str">
        <f>"6232831"</f>
        <v>6232831</v>
      </c>
      <c r="B33803" t="s">
        <v>6487</v>
      </c>
      <c r="C33803" t="s">
        <v>598</v>
      </c>
      <c r="D33803" s="21" t="s">
        <v>34</v>
      </c>
      <c r="E33803" s="21" t="s">
        <v>71</v>
      </c>
      <c r="F33803">
        <v>7620151</v>
      </c>
      <c r="G33803" t="s">
        <v>14891</v>
      </c>
      <c r="H33803" s="21">
        <v>500</v>
      </c>
    </row>
    <row r="33804" spans="1:8" customFormat="1" x14ac:dyDescent="0.25">
      <c r="A33804" t="str">
        <f>"912604"</f>
        <v>912604</v>
      </c>
      <c r="B33804" t="s">
        <v>15399</v>
      </c>
      <c r="C33804" t="s">
        <v>2730</v>
      </c>
      <c r="D33804" s="21" t="s">
        <v>34</v>
      </c>
      <c r="E33804" s="21" t="s">
        <v>1089</v>
      </c>
      <c r="F33804">
        <v>8910214</v>
      </c>
      <c r="G33804" t="s">
        <v>986</v>
      </c>
      <c r="H33804" s="21">
        <v>500</v>
      </c>
    </row>
    <row r="33805" spans="1:8" customFormat="1" x14ac:dyDescent="0.25">
      <c r="A33805" t="str">
        <f>"6725756"</f>
        <v>6725756</v>
      </c>
      <c r="B33805" t="s">
        <v>2763</v>
      </c>
      <c r="C33805" t="s">
        <v>2365</v>
      </c>
      <c r="D33805" s="21" t="s">
        <v>34</v>
      </c>
      <c r="E33805" s="21" t="s">
        <v>71</v>
      </c>
      <c r="F33805">
        <v>6670269</v>
      </c>
      <c r="G33805" t="s">
        <v>11587</v>
      </c>
      <c r="H33805" s="21">
        <v>500</v>
      </c>
    </row>
    <row r="33806" spans="1:8" customFormat="1" x14ac:dyDescent="0.25">
      <c r="A33806" t="str">
        <f>"131075"</f>
        <v>131075</v>
      </c>
      <c r="B33806" t="s">
        <v>23385</v>
      </c>
      <c r="C33806" t="s">
        <v>236</v>
      </c>
      <c r="D33806" s="21" t="s">
        <v>34</v>
      </c>
      <c r="E33806" s="21" t="s">
        <v>1089</v>
      </c>
      <c r="F33806">
        <v>13130100</v>
      </c>
      <c r="G33806" t="s">
        <v>2893</v>
      </c>
      <c r="H33806" s="21">
        <v>500</v>
      </c>
    </row>
    <row r="33807" spans="1:8" customFormat="1" x14ac:dyDescent="0.25">
      <c r="A33807" t="str">
        <f>"7714922"</f>
        <v>7714922</v>
      </c>
      <c r="B33807" t="s">
        <v>9524</v>
      </c>
      <c r="C33807" t="s">
        <v>3109</v>
      </c>
      <c r="D33807" s="21" t="s">
        <v>34</v>
      </c>
      <c r="E33807" s="21" t="s">
        <v>35</v>
      </c>
      <c r="F33807">
        <v>8771402</v>
      </c>
      <c r="G33807" t="s">
        <v>15493</v>
      </c>
      <c r="H33807" s="21">
        <v>500</v>
      </c>
    </row>
    <row r="33808" spans="1:8" customFormat="1" x14ac:dyDescent="0.25">
      <c r="A33808" t="str">
        <f>"7512809"</f>
        <v>7512809</v>
      </c>
      <c r="B33808" t="s">
        <v>20012</v>
      </c>
      <c r="C33808" t="s">
        <v>169</v>
      </c>
      <c r="D33808" s="21" t="s">
        <v>34</v>
      </c>
      <c r="E33808" s="21" t="s">
        <v>254</v>
      </c>
      <c r="F33808">
        <v>8750292</v>
      </c>
      <c r="G33808" t="s">
        <v>9069</v>
      </c>
      <c r="H33808" s="21">
        <v>500</v>
      </c>
    </row>
    <row r="33809" spans="1:8" customFormat="1" x14ac:dyDescent="0.25">
      <c r="A33809" t="str">
        <f>"1416540"</f>
        <v>1416540</v>
      </c>
      <c r="B33809" t="s">
        <v>22415</v>
      </c>
      <c r="C33809" t="s">
        <v>415</v>
      </c>
      <c r="D33809" s="21" t="s">
        <v>34</v>
      </c>
      <c r="E33809" s="21" t="s">
        <v>71</v>
      </c>
      <c r="F33809">
        <v>9140229</v>
      </c>
      <c r="G33809" t="s">
        <v>22327</v>
      </c>
      <c r="H33809" s="21">
        <v>500</v>
      </c>
    </row>
    <row r="33810" spans="1:8" customFormat="1" x14ac:dyDescent="0.25">
      <c r="A33810" t="str">
        <f>"308220"</f>
        <v>308220</v>
      </c>
      <c r="B33810" t="s">
        <v>22986</v>
      </c>
      <c r="C33810" t="s">
        <v>249</v>
      </c>
      <c r="D33810" s="21" t="s">
        <v>34</v>
      </c>
      <c r="E33810" s="21" t="s">
        <v>71</v>
      </c>
      <c r="F33810">
        <v>11300041</v>
      </c>
      <c r="G33810" t="s">
        <v>8074</v>
      </c>
      <c r="H33810" s="21">
        <v>500</v>
      </c>
    </row>
    <row r="33811" spans="1:8" customFormat="1" x14ac:dyDescent="0.25">
      <c r="A33811" t="str">
        <f>"58156"</f>
        <v>58156</v>
      </c>
      <c r="B33811" t="s">
        <v>2432</v>
      </c>
      <c r="C33811" t="s">
        <v>2520</v>
      </c>
      <c r="D33811" s="21" t="s">
        <v>34</v>
      </c>
      <c r="E33811" s="21" t="s">
        <v>6185</v>
      </c>
      <c r="F33811">
        <v>2580012</v>
      </c>
      <c r="G33811" t="s">
        <v>1144</v>
      </c>
      <c r="H33811" s="21">
        <v>500</v>
      </c>
    </row>
    <row r="33812" spans="1:8" customFormat="1" x14ac:dyDescent="0.25">
      <c r="A33812" t="str">
        <f>"8018756"</f>
        <v>8018756</v>
      </c>
      <c r="B33812" t="s">
        <v>582</v>
      </c>
      <c r="C33812" t="s">
        <v>879</v>
      </c>
      <c r="D33812" s="21" t="s">
        <v>34</v>
      </c>
      <c r="E33812" s="21" t="s">
        <v>254</v>
      </c>
      <c r="F33812">
        <v>7800008</v>
      </c>
      <c r="G33812" t="s">
        <v>842</v>
      </c>
      <c r="H33812" s="21">
        <v>500</v>
      </c>
    </row>
    <row r="33813" spans="1:8" customFormat="1" x14ac:dyDescent="0.25">
      <c r="A33813" t="str">
        <f>"558799"</f>
        <v>558799</v>
      </c>
      <c r="B33813" t="s">
        <v>3645</v>
      </c>
      <c r="C33813" t="s">
        <v>285</v>
      </c>
      <c r="D33813" s="21" t="s">
        <v>34</v>
      </c>
      <c r="E33813" s="21" t="s">
        <v>35</v>
      </c>
      <c r="F33813">
        <v>6550052</v>
      </c>
      <c r="G33813" t="s">
        <v>6028</v>
      </c>
      <c r="H33813" s="21">
        <v>500</v>
      </c>
    </row>
    <row r="33814" spans="1:8" customFormat="1" x14ac:dyDescent="0.25">
      <c r="A33814" t="str">
        <f>"777898"</f>
        <v>777898</v>
      </c>
      <c r="B33814" t="s">
        <v>20654</v>
      </c>
      <c r="C33814" t="s">
        <v>239</v>
      </c>
      <c r="D33814" s="21" t="s">
        <v>34</v>
      </c>
      <c r="E33814" s="21" t="s">
        <v>254</v>
      </c>
      <c r="F33814">
        <v>8771446</v>
      </c>
      <c r="G33814" t="s">
        <v>830</v>
      </c>
      <c r="H33814" s="21">
        <v>500</v>
      </c>
    </row>
    <row r="33815" spans="1:8" customFormat="1" x14ac:dyDescent="0.25">
      <c r="A33815" t="str">
        <f>"0552"</f>
        <v>0552</v>
      </c>
      <c r="B33815" t="s">
        <v>3576</v>
      </c>
      <c r="C33815" t="s">
        <v>236</v>
      </c>
      <c r="D33815" s="21" t="s">
        <v>34</v>
      </c>
      <c r="E33815" s="21" t="s">
        <v>1089</v>
      </c>
      <c r="F33815">
        <v>13050005</v>
      </c>
      <c r="G33815" t="s">
        <v>5248</v>
      </c>
      <c r="H33815" s="21">
        <v>500</v>
      </c>
    </row>
    <row r="33816" spans="1:8" customFormat="1" x14ac:dyDescent="0.25">
      <c r="A33816" t="str">
        <f>"7637463"</f>
        <v>7637463</v>
      </c>
      <c r="B33816" t="s">
        <v>28708</v>
      </c>
      <c r="C33816" t="s">
        <v>156</v>
      </c>
      <c r="D33816" s="21" t="s">
        <v>34</v>
      </c>
      <c r="E33816" s="21" t="s">
        <v>1089</v>
      </c>
      <c r="F33816">
        <v>9760107</v>
      </c>
      <c r="G33816" t="s">
        <v>122</v>
      </c>
      <c r="H33816" s="21">
        <v>500</v>
      </c>
    </row>
    <row r="33817" spans="1:8" customFormat="1" x14ac:dyDescent="0.25">
      <c r="A33817" t="str">
        <f>"7112702"</f>
        <v>7112702</v>
      </c>
      <c r="B33817" t="s">
        <v>4105</v>
      </c>
      <c r="C33817" t="s">
        <v>3073</v>
      </c>
      <c r="D33817" s="21" t="s">
        <v>34</v>
      </c>
      <c r="E33817" s="21" t="s">
        <v>71</v>
      </c>
      <c r="F33817">
        <v>2710067</v>
      </c>
      <c r="G33817" t="s">
        <v>284</v>
      </c>
      <c r="H33817" s="21">
        <v>500</v>
      </c>
    </row>
    <row r="33818" spans="1:8" customFormat="1" x14ac:dyDescent="0.25">
      <c r="A33818" t="str">
        <f>"3513095"</f>
        <v>3513095</v>
      </c>
      <c r="B33818" t="s">
        <v>24035</v>
      </c>
      <c r="C33818" t="s">
        <v>263</v>
      </c>
      <c r="D33818" s="21" t="s">
        <v>34</v>
      </c>
      <c r="E33818" s="21" t="s">
        <v>254</v>
      </c>
      <c r="F33818">
        <v>3350207</v>
      </c>
      <c r="G33818" t="s">
        <v>3668</v>
      </c>
      <c r="H33818" s="21">
        <v>500</v>
      </c>
    </row>
    <row r="33819" spans="1:8" customFormat="1" x14ac:dyDescent="0.25">
      <c r="A33819" t="str">
        <f>"18365"</f>
        <v>18365</v>
      </c>
      <c r="B33819" t="s">
        <v>22282</v>
      </c>
      <c r="C33819" t="s">
        <v>3905</v>
      </c>
      <c r="D33819" s="21" t="s">
        <v>34</v>
      </c>
      <c r="E33819" s="21" t="s">
        <v>6185</v>
      </c>
      <c r="F33819">
        <v>4180613</v>
      </c>
      <c r="G33819" t="s">
        <v>422</v>
      </c>
      <c r="H33819" s="21">
        <v>500</v>
      </c>
    </row>
    <row r="33820" spans="1:8" customFormat="1" x14ac:dyDescent="0.25">
      <c r="A33820" t="str">
        <f>"6715229"</f>
        <v>6715229</v>
      </c>
      <c r="B33820" t="s">
        <v>8582</v>
      </c>
      <c r="C33820" t="s">
        <v>1588</v>
      </c>
      <c r="D33820" s="21" t="s">
        <v>34</v>
      </c>
      <c r="E33820" s="21" t="s">
        <v>71</v>
      </c>
      <c r="F33820">
        <v>6670233</v>
      </c>
      <c r="G33820" t="s">
        <v>13421</v>
      </c>
      <c r="H33820" s="21">
        <v>500</v>
      </c>
    </row>
    <row r="33821" spans="1:8" customFormat="1" x14ac:dyDescent="0.25">
      <c r="A33821" t="str">
        <f>"7626047"</f>
        <v>7626047</v>
      </c>
      <c r="B33821" t="s">
        <v>1932</v>
      </c>
      <c r="C33821" t="s">
        <v>5861</v>
      </c>
      <c r="D33821" s="21" t="s">
        <v>34</v>
      </c>
      <c r="E33821" s="21" t="s">
        <v>71</v>
      </c>
      <c r="F33821">
        <v>9760447</v>
      </c>
      <c r="G33821" t="s">
        <v>5942</v>
      </c>
      <c r="H33821" s="21">
        <v>500</v>
      </c>
    </row>
    <row r="33822" spans="1:8" customFormat="1" x14ac:dyDescent="0.25">
      <c r="A33822" t="str">
        <f>"5734821"</f>
        <v>5734821</v>
      </c>
      <c r="B33822" t="s">
        <v>28709</v>
      </c>
      <c r="C33822" t="s">
        <v>253</v>
      </c>
      <c r="D33822" s="21" t="s">
        <v>34</v>
      </c>
      <c r="E33822" s="21" t="s">
        <v>254</v>
      </c>
      <c r="F33822">
        <v>6570190</v>
      </c>
      <c r="G33822" t="s">
        <v>622</v>
      </c>
      <c r="H33822" s="21">
        <v>500</v>
      </c>
    </row>
    <row r="33823" spans="1:8" customFormat="1" x14ac:dyDescent="0.25">
      <c r="A33823" t="str">
        <f>"1423940"</f>
        <v>1423940</v>
      </c>
      <c r="B33823" t="s">
        <v>23577</v>
      </c>
      <c r="C33823" t="s">
        <v>209</v>
      </c>
      <c r="D33823" s="21" t="s">
        <v>34</v>
      </c>
      <c r="E33823" s="21" t="s">
        <v>71</v>
      </c>
      <c r="F33823">
        <v>9140237</v>
      </c>
      <c r="G33823" t="s">
        <v>4722</v>
      </c>
      <c r="H33823" s="21">
        <v>500</v>
      </c>
    </row>
    <row r="33824" spans="1:8" customFormat="1" x14ac:dyDescent="0.25">
      <c r="A33824" t="str">
        <f>"4935508"</f>
        <v>4935508</v>
      </c>
      <c r="B33824" t="s">
        <v>23840</v>
      </c>
      <c r="C33824" t="s">
        <v>109</v>
      </c>
      <c r="D33824" s="21" t="s">
        <v>34</v>
      </c>
      <c r="E33824" s="21" t="s">
        <v>35</v>
      </c>
      <c r="F33824">
        <v>12490027</v>
      </c>
      <c r="G33824" t="s">
        <v>766</v>
      </c>
      <c r="H33824" s="21">
        <v>500</v>
      </c>
    </row>
    <row r="33825" spans="1:8" customFormat="1" x14ac:dyDescent="0.25">
      <c r="A33825" t="str">
        <f>"37330"</f>
        <v>37330</v>
      </c>
      <c r="B33825" t="s">
        <v>14900</v>
      </c>
      <c r="C33825" t="s">
        <v>415</v>
      </c>
      <c r="D33825" s="21" t="s">
        <v>34</v>
      </c>
      <c r="E33825" s="21" t="s">
        <v>1089</v>
      </c>
      <c r="F33825">
        <v>4370566</v>
      </c>
      <c r="G33825" t="s">
        <v>4710</v>
      </c>
      <c r="H33825" s="21">
        <v>500</v>
      </c>
    </row>
    <row r="33826" spans="1:8" customFormat="1" x14ac:dyDescent="0.25">
      <c r="A33826" t="str">
        <f>"051265"</f>
        <v>051265</v>
      </c>
      <c r="B33826" t="s">
        <v>7578</v>
      </c>
      <c r="C33826" t="s">
        <v>114</v>
      </c>
      <c r="D33826" s="21" t="s">
        <v>34</v>
      </c>
      <c r="E33826" s="21" t="s">
        <v>71</v>
      </c>
      <c r="F33826">
        <v>13050008</v>
      </c>
      <c r="G33826" t="s">
        <v>12322</v>
      </c>
      <c r="H33826" s="21">
        <v>500</v>
      </c>
    </row>
    <row r="33827" spans="1:8" customFormat="1" x14ac:dyDescent="0.25">
      <c r="A33827" t="str">
        <f>"8316677"</f>
        <v>8316677</v>
      </c>
      <c r="B33827" t="s">
        <v>27243</v>
      </c>
      <c r="C33827" t="s">
        <v>211</v>
      </c>
      <c r="D33827" s="21" t="s">
        <v>34</v>
      </c>
      <c r="E33827" s="21" t="s">
        <v>71</v>
      </c>
      <c r="F33827">
        <v>13830013</v>
      </c>
      <c r="G33827" t="s">
        <v>3374</v>
      </c>
      <c r="H33827" s="21">
        <v>500</v>
      </c>
    </row>
    <row r="33828" spans="1:8" customFormat="1" x14ac:dyDescent="0.25">
      <c r="A33828" t="str">
        <f>"8818910"</f>
        <v>8818910</v>
      </c>
      <c r="B33828" t="s">
        <v>10028</v>
      </c>
      <c r="C33828" t="s">
        <v>119</v>
      </c>
      <c r="D33828" s="21" t="s">
        <v>34</v>
      </c>
      <c r="E33828" s="21" t="s">
        <v>35</v>
      </c>
      <c r="F33828">
        <v>6880066</v>
      </c>
      <c r="G33828" t="s">
        <v>4833</v>
      </c>
      <c r="H33828" s="21">
        <v>500</v>
      </c>
    </row>
    <row r="33829" spans="1:8" customFormat="1" x14ac:dyDescent="0.25">
      <c r="A33829" t="str">
        <f>"069856"</f>
        <v>069856</v>
      </c>
      <c r="B33829" t="s">
        <v>1094</v>
      </c>
      <c r="C33829" t="s">
        <v>40</v>
      </c>
      <c r="D33829" s="21" t="s">
        <v>34</v>
      </c>
      <c r="E33829" s="21" t="s">
        <v>71</v>
      </c>
      <c r="F33829">
        <v>13060005</v>
      </c>
      <c r="G33829" t="s">
        <v>3609</v>
      </c>
      <c r="H33829" s="21">
        <v>500</v>
      </c>
    </row>
    <row r="33830" spans="1:8" customFormat="1" x14ac:dyDescent="0.25">
      <c r="A33830" t="str">
        <f>"559314"</f>
        <v>559314</v>
      </c>
      <c r="B33830" t="s">
        <v>9194</v>
      </c>
      <c r="C33830" t="s">
        <v>98</v>
      </c>
      <c r="D33830" s="21" t="s">
        <v>34</v>
      </c>
      <c r="E33830" s="21" t="s">
        <v>35</v>
      </c>
      <c r="F33830">
        <v>6550032</v>
      </c>
      <c r="G33830" t="s">
        <v>8081</v>
      </c>
      <c r="H33830" s="21">
        <v>500</v>
      </c>
    </row>
    <row r="33831" spans="1:8" customFormat="1" x14ac:dyDescent="0.25">
      <c r="A33831" t="str">
        <f>"7863318"</f>
        <v>7863318</v>
      </c>
      <c r="B33831" t="s">
        <v>23121</v>
      </c>
      <c r="C33831" t="s">
        <v>60</v>
      </c>
      <c r="D33831" s="21" t="s">
        <v>34</v>
      </c>
      <c r="E33831" s="21" t="s">
        <v>35</v>
      </c>
      <c r="F33831">
        <v>8780078</v>
      </c>
      <c r="G33831" t="s">
        <v>229</v>
      </c>
      <c r="H33831" s="21">
        <v>500</v>
      </c>
    </row>
    <row r="33832" spans="1:8" customFormat="1" x14ac:dyDescent="0.25">
      <c r="A33832" t="str">
        <f>"5958422"</f>
        <v>5958422</v>
      </c>
      <c r="B33832" t="s">
        <v>12601</v>
      </c>
      <c r="C33832" t="s">
        <v>285</v>
      </c>
      <c r="D33832" s="21" t="s">
        <v>34</v>
      </c>
      <c r="E33832" s="21" t="s">
        <v>35</v>
      </c>
      <c r="F33832">
        <v>7590352</v>
      </c>
      <c r="G33832" t="s">
        <v>9634</v>
      </c>
      <c r="H33832" s="21">
        <v>500</v>
      </c>
    </row>
    <row r="33833" spans="1:8" customFormat="1" x14ac:dyDescent="0.25">
      <c r="A33833" t="str">
        <f>"1612755"</f>
        <v>1612755</v>
      </c>
      <c r="B33833" t="s">
        <v>6280</v>
      </c>
      <c r="C33833" t="s">
        <v>171</v>
      </c>
      <c r="D33833" s="21" t="s">
        <v>34</v>
      </c>
      <c r="E33833" s="21" t="s">
        <v>35</v>
      </c>
      <c r="F33833">
        <v>10160030</v>
      </c>
      <c r="G33833" t="s">
        <v>13173</v>
      </c>
      <c r="H33833" s="21">
        <v>500</v>
      </c>
    </row>
    <row r="33834" spans="1:8" customFormat="1" x14ac:dyDescent="0.25">
      <c r="A33834" t="str">
        <f>"5926888"</f>
        <v>5926888</v>
      </c>
      <c r="B33834" t="s">
        <v>22959</v>
      </c>
      <c r="C33834" t="s">
        <v>171</v>
      </c>
      <c r="D33834" s="21" t="s">
        <v>34</v>
      </c>
      <c r="E33834" s="21" t="s">
        <v>35</v>
      </c>
      <c r="F33834">
        <v>7590017</v>
      </c>
      <c r="G33834" t="s">
        <v>1316</v>
      </c>
      <c r="H33834" s="21">
        <v>500</v>
      </c>
    </row>
    <row r="33835" spans="1:8" customFormat="1" x14ac:dyDescent="0.25">
      <c r="A33835" t="str">
        <f>"434748"</f>
        <v>434748</v>
      </c>
      <c r="B33835" t="s">
        <v>7149</v>
      </c>
      <c r="C33835" t="s">
        <v>412</v>
      </c>
      <c r="D33835" s="21" t="s">
        <v>34</v>
      </c>
      <c r="E33835" s="21" t="s">
        <v>35</v>
      </c>
      <c r="F33835">
        <v>1420237</v>
      </c>
      <c r="G33835" t="s">
        <v>8284</v>
      </c>
      <c r="H33835" s="21">
        <v>500</v>
      </c>
    </row>
    <row r="33836" spans="1:8" customFormat="1" x14ac:dyDescent="0.25">
      <c r="A33836" t="str">
        <f>"583203"</f>
        <v>583203</v>
      </c>
      <c r="B33836" t="s">
        <v>12413</v>
      </c>
      <c r="C33836" t="s">
        <v>598</v>
      </c>
      <c r="D33836" s="21" t="s">
        <v>34</v>
      </c>
      <c r="E33836" s="21" t="s">
        <v>254</v>
      </c>
      <c r="F33836">
        <v>2580019</v>
      </c>
      <c r="G33836" t="s">
        <v>8527</v>
      </c>
      <c r="H33836" s="21">
        <v>500</v>
      </c>
    </row>
    <row r="33837" spans="1:8" customFormat="1" x14ac:dyDescent="0.25">
      <c r="A33837" t="str">
        <f>"8615151"</f>
        <v>8615151</v>
      </c>
      <c r="B33837" t="s">
        <v>6611</v>
      </c>
      <c r="C33837" t="s">
        <v>62</v>
      </c>
      <c r="D33837" s="21" t="s">
        <v>34</v>
      </c>
      <c r="E33837" s="21" t="s">
        <v>35</v>
      </c>
      <c r="F33837">
        <v>10860229</v>
      </c>
      <c r="G33837" t="s">
        <v>9680</v>
      </c>
      <c r="H33837" s="21">
        <v>500</v>
      </c>
    </row>
    <row r="33838" spans="1:8" customFormat="1" x14ac:dyDescent="0.25">
      <c r="A33838" t="str">
        <f>"3712463"</f>
        <v>3712463</v>
      </c>
      <c r="B33838" t="s">
        <v>28501</v>
      </c>
      <c r="C33838" t="s">
        <v>156</v>
      </c>
      <c r="D33838" s="21" t="s">
        <v>34</v>
      </c>
      <c r="E33838" s="21" t="s">
        <v>254</v>
      </c>
      <c r="F33838">
        <v>4370396</v>
      </c>
      <c r="G33838" t="s">
        <v>14579</v>
      </c>
      <c r="H33838" s="21">
        <v>500</v>
      </c>
    </row>
    <row r="33839" spans="1:8" customFormat="1" x14ac:dyDescent="0.25">
      <c r="A33839" t="str">
        <f>"707399"</f>
        <v>707399</v>
      </c>
      <c r="B33839" t="s">
        <v>14263</v>
      </c>
      <c r="C33839" t="s">
        <v>498</v>
      </c>
      <c r="D33839" s="21" t="s">
        <v>34</v>
      </c>
      <c r="E33839" s="21" t="s">
        <v>35</v>
      </c>
      <c r="F33839">
        <v>2700002</v>
      </c>
      <c r="G33839" t="s">
        <v>953</v>
      </c>
      <c r="H33839" s="21">
        <v>500</v>
      </c>
    </row>
    <row r="33840" spans="1:8" customFormat="1" x14ac:dyDescent="0.25">
      <c r="A33840" t="str">
        <f>"844346"</f>
        <v>844346</v>
      </c>
      <c r="B33840" t="s">
        <v>23092</v>
      </c>
      <c r="C33840" t="s">
        <v>1146</v>
      </c>
      <c r="D33840" s="21" t="s">
        <v>34</v>
      </c>
      <c r="E33840" s="21" t="s">
        <v>1089</v>
      </c>
      <c r="F33840">
        <v>13840050</v>
      </c>
      <c r="G33840" t="s">
        <v>21228</v>
      </c>
      <c r="H33840" s="21">
        <v>500</v>
      </c>
    </row>
    <row r="33841" spans="1:8" customFormat="1" x14ac:dyDescent="0.25">
      <c r="A33841" t="str">
        <f>"318397"</f>
        <v>318397</v>
      </c>
      <c r="B33841" t="s">
        <v>4138</v>
      </c>
      <c r="C33841" t="s">
        <v>262</v>
      </c>
      <c r="D33841" s="21" t="s">
        <v>34</v>
      </c>
      <c r="E33841" s="21" t="s">
        <v>35</v>
      </c>
      <c r="F33841">
        <v>11310121</v>
      </c>
      <c r="G33841" t="s">
        <v>578</v>
      </c>
      <c r="H33841" s="21">
        <v>500</v>
      </c>
    </row>
    <row r="33842" spans="1:8" customFormat="1" x14ac:dyDescent="0.25">
      <c r="A33842" t="str">
        <f>"0114366"</f>
        <v>0114366</v>
      </c>
      <c r="B33842" t="s">
        <v>10929</v>
      </c>
      <c r="C33842" t="s">
        <v>130</v>
      </c>
      <c r="D33842" s="21" t="s">
        <v>34</v>
      </c>
      <c r="E33842" s="21" t="s">
        <v>35</v>
      </c>
      <c r="F33842">
        <v>1010004</v>
      </c>
      <c r="G33842" t="s">
        <v>9066</v>
      </c>
      <c r="H33842" s="21">
        <v>500</v>
      </c>
    </row>
    <row r="33843" spans="1:8" customFormat="1" x14ac:dyDescent="0.25">
      <c r="A33843" t="str">
        <f>"4218593"</f>
        <v>4218593</v>
      </c>
      <c r="B33843" t="s">
        <v>28710</v>
      </c>
      <c r="C33843" t="s">
        <v>119</v>
      </c>
      <c r="D33843" s="21" t="s">
        <v>34</v>
      </c>
      <c r="E33843" s="21" t="s">
        <v>35</v>
      </c>
      <c r="F33843">
        <v>1420018</v>
      </c>
      <c r="G33843" t="s">
        <v>9778</v>
      </c>
      <c r="H33843" s="21">
        <v>500</v>
      </c>
    </row>
    <row r="33844" spans="1:8" customFormat="1" x14ac:dyDescent="0.25">
      <c r="A33844" t="str">
        <f>"4710359"</f>
        <v>4710359</v>
      </c>
      <c r="B33844" t="s">
        <v>22614</v>
      </c>
      <c r="C33844" t="s">
        <v>87</v>
      </c>
      <c r="D33844" s="21" t="s">
        <v>34</v>
      </c>
      <c r="E33844" s="21" t="s">
        <v>35</v>
      </c>
      <c r="F33844">
        <v>10470001</v>
      </c>
      <c r="G33844" t="s">
        <v>391</v>
      </c>
      <c r="H33844" s="21">
        <v>500</v>
      </c>
    </row>
    <row r="33845" spans="1:8" customFormat="1" x14ac:dyDescent="0.25">
      <c r="A33845" t="str">
        <f>"134913"</f>
        <v>134913</v>
      </c>
      <c r="B33845" t="s">
        <v>24091</v>
      </c>
      <c r="C33845" t="s">
        <v>412</v>
      </c>
      <c r="D33845" s="21" t="s">
        <v>34</v>
      </c>
      <c r="E33845" s="21" t="s">
        <v>254</v>
      </c>
      <c r="F33845">
        <v>13130138</v>
      </c>
      <c r="G33845" t="s">
        <v>5409</v>
      </c>
      <c r="H33845" s="21">
        <v>500</v>
      </c>
    </row>
    <row r="33846" spans="1:8" customFormat="1" x14ac:dyDescent="0.25">
      <c r="A33846" t="str">
        <f>"7522798"</f>
        <v>7522798</v>
      </c>
      <c r="B33846" t="s">
        <v>23740</v>
      </c>
      <c r="C33846" t="s">
        <v>147</v>
      </c>
      <c r="D33846" s="21" t="s">
        <v>34</v>
      </c>
      <c r="E33846" s="21" t="s">
        <v>35</v>
      </c>
      <c r="F33846">
        <v>8751371</v>
      </c>
      <c r="G33846" t="s">
        <v>6605</v>
      </c>
      <c r="H33846" s="21">
        <v>500</v>
      </c>
    </row>
    <row r="33847" spans="1:8" customFormat="1" x14ac:dyDescent="0.25">
      <c r="A33847" t="str">
        <f>"7413884"</f>
        <v>7413884</v>
      </c>
      <c r="B33847" t="s">
        <v>22181</v>
      </c>
      <c r="C33847" t="s">
        <v>65</v>
      </c>
      <c r="D33847" s="21" t="s">
        <v>34</v>
      </c>
      <c r="E33847" s="21" t="s">
        <v>35</v>
      </c>
      <c r="F33847">
        <v>1740001</v>
      </c>
      <c r="G33847" t="s">
        <v>347</v>
      </c>
      <c r="H33847" s="21">
        <v>500</v>
      </c>
    </row>
    <row r="33848" spans="1:8" customFormat="1" x14ac:dyDescent="0.25">
      <c r="A33848" t="str">
        <f>"9458950"</f>
        <v>9458950</v>
      </c>
      <c r="B33848" t="s">
        <v>6312</v>
      </c>
      <c r="C33848" t="s">
        <v>87</v>
      </c>
      <c r="D33848" s="21" t="s">
        <v>34</v>
      </c>
      <c r="E33848" s="21" t="s">
        <v>71</v>
      </c>
      <c r="F33848">
        <v>8940070</v>
      </c>
      <c r="G33848" t="s">
        <v>2320</v>
      </c>
      <c r="H33848" s="21">
        <v>500</v>
      </c>
    </row>
    <row r="33849" spans="1:8" customFormat="1" x14ac:dyDescent="0.25">
      <c r="A33849" t="str">
        <f>"044121"</f>
        <v>044121</v>
      </c>
      <c r="B33849" t="s">
        <v>16137</v>
      </c>
      <c r="C33849" t="s">
        <v>33</v>
      </c>
      <c r="D33849" s="21" t="s">
        <v>34</v>
      </c>
      <c r="E33849" s="21" t="s">
        <v>35</v>
      </c>
      <c r="F33849">
        <v>13040030</v>
      </c>
      <c r="G33849" t="s">
        <v>1903</v>
      </c>
      <c r="H33849" s="21">
        <v>500</v>
      </c>
    </row>
    <row r="33850" spans="1:8" customFormat="1" x14ac:dyDescent="0.25">
      <c r="A33850" t="str">
        <f>"151592"</f>
        <v>151592</v>
      </c>
      <c r="B33850" t="s">
        <v>23295</v>
      </c>
      <c r="C33850" t="s">
        <v>114</v>
      </c>
      <c r="D33850" s="21" t="s">
        <v>34</v>
      </c>
      <c r="E33850" s="21" t="s">
        <v>71</v>
      </c>
      <c r="F33850">
        <v>1150291</v>
      </c>
      <c r="G33850" t="s">
        <v>17865</v>
      </c>
      <c r="H33850" s="21">
        <v>500</v>
      </c>
    </row>
    <row r="33851" spans="1:8" customFormat="1" x14ac:dyDescent="0.25">
      <c r="A33851" t="str">
        <f>"3723358"</f>
        <v>3723358</v>
      </c>
      <c r="B33851" t="s">
        <v>22530</v>
      </c>
      <c r="C33851" t="s">
        <v>209</v>
      </c>
      <c r="D33851" s="21" t="s">
        <v>34</v>
      </c>
      <c r="E33851" s="21" t="s">
        <v>35</v>
      </c>
      <c r="F33851">
        <v>4370727</v>
      </c>
      <c r="G33851" t="s">
        <v>22531</v>
      </c>
      <c r="H33851" s="21">
        <v>500</v>
      </c>
    </row>
    <row r="33852" spans="1:8" customFormat="1" x14ac:dyDescent="0.25">
      <c r="A33852" t="str">
        <f>"6213484"</f>
        <v>6213484</v>
      </c>
      <c r="B33852" t="s">
        <v>22920</v>
      </c>
      <c r="C33852" t="s">
        <v>87</v>
      </c>
      <c r="D33852" s="21" t="s">
        <v>34</v>
      </c>
      <c r="E33852" s="21" t="s">
        <v>35</v>
      </c>
      <c r="F33852">
        <v>12440101</v>
      </c>
      <c r="G33852" t="s">
        <v>3482</v>
      </c>
      <c r="H33852" s="21">
        <v>500</v>
      </c>
    </row>
    <row r="33853" spans="1:8" customFormat="1" x14ac:dyDescent="0.25">
      <c r="A33853" t="str">
        <f>"3820300"</f>
        <v>3820300</v>
      </c>
      <c r="B33853" t="s">
        <v>28711</v>
      </c>
      <c r="C33853" t="s">
        <v>1812</v>
      </c>
      <c r="D33853" s="21" t="s">
        <v>34</v>
      </c>
      <c r="E33853" s="21" t="s">
        <v>35</v>
      </c>
      <c r="F33853">
        <v>1380098</v>
      </c>
      <c r="G33853" t="s">
        <v>7501</v>
      </c>
      <c r="H33853" s="21">
        <v>500</v>
      </c>
    </row>
    <row r="33854" spans="1:8" customFormat="1" x14ac:dyDescent="0.25">
      <c r="A33854" t="str">
        <f>"3264"</f>
        <v>3264</v>
      </c>
      <c r="B33854" t="s">
        <v>16735</v>
      </c>
      <c r="C33854" t="s">
        <v>233</v>
      </c>
      <c r="D33854" s="21" t="s">
        <v>34</v>
      </c>
      <c r="E33854" s="21" t="s">
        <v>6185</v>
      </c>
      <c r="F33854">
        <v>11320005</v>
      </c>
      <c r="G33854" t="s">
        <v>120</v>
      </c>
      <c r="H33854" s="21">
        <v>500</v>
      </c>
    </row>
    <row r="33855" spans="1:8" customFormat="1" x14ac:dyDescent="0.25">
      <c r="A33855" t="str">
        <f>"9135234"</f>
        <v>9135234</v>
      </c>
      <c r="B33855" t="s">
        <v>23501</v>
      </c>
      <c r="C33855" t="s">
        <v>2520</v>
      </c>
      <c r="D33855" s="21" t="s">
        <v>34</v>
      </c>
      <c r="E33855" s="21" t="s">
        <v>254</v>
      </c>
      <c r="F33855">
        <v>8911368</v>
      </c>
      <c r="G33855" t="s">
        <v>12227</v>
      </c>
      <c r="H33855" s="21">
        <v>500</v>
      </c>
    </row>
    <row r="33856" spans="1:8" customFormat="1" x14ac:dyDescent="0.25">
      <c r="A33856" t="str">
        <f>"3830754"</f>
        <v>3830754</v>
      </c>
      <c r="B33856" t="s">
        <v>5098</v>
      </c>
      <c r="C33856" t="s">
        <v>249</v>
      </c>
      <c r="D33856" s="21" t="s">
        <v>34</v>
      </c>
      <c r="E33856" s="21" t="s">
        <v>35</v>
      </c>
      <c r="F33856">
        <v>1380084</v>
      </c>
      <c r="G33856" t="s">
        <v>8218</v>
      </c>
      <c r="H33856" s="21">
        <v>500</v>
      </c>
    </row>
    <row r="33857" spans="1:8" customFormat="1" x14ac:dyDescent="0.25">
      <c r="A33857" t="str">
        <f>"4430702"</f>
        <v>4430702</v>
      </c>
      <c r="B33857" t="s">
        <v>1497</v>
      </c>
      <c r="C33857" t="s">
        <v>16091</v>
      </c>
      <c r="D33857" s="21" t="s">
        <v>34</v>
      </c>
      <c r="E33857" s="21" t="s">
        <v>71</v>
      </c>
      <c r="F33857">
        <v>12440054</v>
      </c>
      <c r="G33857" t="s">
        <v>5474</v>
      </c>
      <c r="H33857" s="21">
        <v>500</v>
      </c>
    </row>
    <row r="33858" spans="1:8" customFormat="1" x14ac:dyDescent="0.25">
      <c r="A33858" t="str">
        <f>"5979203"</f>
        <v>5979203</v>
      </c>
      <c r="B33858" t="s">
        <v>24500</v>
      </c>
      <c r="C33858" t="s">
        <v>33</v>
      </c>
      <c r="D33858" s="21" t="s">
        <v>34</v>
      </c>
      <c r="E33858" s="21" t="s">
        <v>35</v>
      </c>
      <c r="F33858">
        <v>7590067</v>
      </c>
      <c r="G33858" t="s">
        <v>21235</v>
      </c>
      <c r="H33858" s="21">
        <v>500</v>
      </c>
    </row>
    <row r="33859" spans="1:8" customFormat="1" x14ac:dyDescent="0.25">
      <c r="A33859" t="str">
        <f>"5622006"</f>
        <v>5622006</v>
      </c>
      <c r="B33859" t="s">
        <v>5553</v>
      </c>
      <c r="C33859" t="s">
        <v>249</v>
      </c>
      <c r="D33859" s="21" t="s">
        <v>34</v>
      </c>
      <c r="E33859" s="21" t="s">
        <v>35</v>
      </c>
      <c r="F33859">
        <v>3560053</v>
      </c>
      <c r="G33859" t="s">
        <v>298</v>
      </c>
      <c r="H33859" s="21">
        <v>500</v>
      </c>
    </row>
    <row r="33860" spans="1:8" customFormat="1" x14ac:dyDescent="0.25">
      <c r="A33860" t="str">
        <f>"364876"</f>
        <v>364876</v>
      </c>
      <c r="B33860" t="s">
        <v>9095</v>
      </c>
      <c r="C33860" t="s">
        <v>239</v>
      </c>
      <c r="D33860" s="21" t="s">
        <v>34</v>
      </c>
      <c r="E33860" s="21" t="s">
        <v>254</v>
      </c>
      <c r="F33860">
        <v>4360721</v>
      </c>
      <c r="G33860" t="s">
        <v>11172</v>
      </c>
      <c r="H33860" s="21">
        <v>500</v>
      </c>
    </row>
    <row r="33861" spans="1:8" customFormat="1" x14ac:dyDescent="0.25">
      <c r="A33861" t="str">
        <f>"7830096"</f>
        <v>7830096</v>
      </c>
      <c r="B33861" t="s">
        <v>1349</v>
      </c>
      <c r="C33861" t="s">
        <v>239</v>
      </c>
      <c r="D33861" s="21" t="s">
        <v>34</v>
      </c>
      <c r="E33861" s="21" t="s">
        <v>254</v>
      </c>
      <c r="F33861">
        <v>8950623</v>
      </c>
      <c r="G33861" t="s">
        <v>684</v>
      </c>
      <c r="H33861" s="21">
        <v>500</v>
      </c>
    </row>
    <row r="33862" spans="1:8" customFormat="1" x14ac:dyDescent="0.25">
      <c r="A33862" t="str">
        <f>"5718183"</f>
        <v>5718183</v>
      </c>
      <c r="B33862" t="s">
        <v>5291</v>
      </c>
      <c r="C33862" t="s">
        <v>209</v>
      </c>
      <c r="D33862" s="21" t="s">
        <v>34</v>
      </c>
      <c r="E33862" s="21" t="s">
        <v>254</v>
      </c>
      <c r="F33862">
        <v>6570190</v>
      </c>
      <c r="G33862" t="s">
        <v>622</v>
      </c>
      <c r="H33862" s="21">
        <v>500</v>
      </c>
    </row>
    <row r="33863" spans="1:8" customFormat="1" x14ac:dyDescent="0.25">
      <c r="A33863" t="str">
        <f>"0617697"</f>
        <v>0617697</v>
      </c>
      <c r="B33863" t="s">
        <v>2964</v>
      </c>
      <c r="C33863" t="s">
        <v>1513</v>
      </c>
      <c r="D33863" s="21" t="s">
        <v>34</v>
      </c>
      <c r="E33863" s="21" t="s">
        <v>35</v>
      </c>
      <c r="F33863">
        <v>13060029</v>
      </c>
      <c r="G33863" t="s">
        <v>1345</v>
      </c>
      <c r="H33863" s="21">
        <v>500</v>
      </c>
    </row>
    <row r="33864" spans="1:8" customFormat="1" x14ac:dyDescent="0.25">
      <c r="A33864" t="str">
        <f>"9147063"</f>
        <v>9147063</v>
      </c>
      <c r="B33864" t="s">
        <v>2231</v>
      </c>
      <c r="C33864" t="s">
        <v>288</v>
      </c>
      <c r="D33864" s="21" t="s">
        <v>34</v>
      </c>
      <c r="E33864" s="21" t="s">
        <v>35</v>
      </c>
      <c r="F33864">
        <v>8910438</v>
      </c>
      <c r="G33864" t="s">
        <v>761</v>
      </c>
      <c r="H33864" s="21">
        <v>500</v>
      </c>
    </row>
    <row r="33865" spans="1:8" customFormat="1" x14ac:dyDescent="0.25">
      <c r="A33865" t="str">
        <f>"1426074"</f>
        <v>1426074</v>
      </c>
      <c r="B33865" t="s">
        <v>23417</v>
      </c>
      <c r="C33865" t="s">
        <v>1597</v>
      </c>
      <c r="D33865" s="21" t="s">
        <v>34</v>
      </c>
      <c r="E33865" s="21" t="s">
        <v>1089</v>
      </c>
      <c r="F33865">
        <v>9140007</v>
      </c>
      <c r="G33865" t="s">
        <v>434</v>
      </c>
      <c r="H33865" s="21">
        <v>500</v>
      </c>
    </row>
    <row r="33866" spans="1:8" customFormat="1" x14ac:dyDescent="0.25">
      <c r="A33866" t="str">
        <f>"6934885"</f>
        <v>6934885</v>
      </c>
      <c r="B33866" t="s">
        <v>28712</v>
      </c>
      <c r="C33866" t="s">
        <v>1605</v>
      </c>
      <c r="D33866" s="21" t="s">
        <v>34</v>
      </c>
      <c r="E33866" s="21" t="s">
        <v>1089</v>
      </c>
      <c r="F33866">
        <v>1690175</v>
      </c>
      <c r="G33866" t="s">
        <v>410</v>
      </c>
      <c r="H33866" s="21">
        <v>500</v>
      </c>
    </row>
    <row r="33867" spans="1:8" customFormat="1" x14ac:dyDescent="0.25">
      <c r="A33867" t="str">
        <f>"6113023"</f>
        <v>6113023</v>
      </c>
      <c r="B33867" t="s">
        <v>2240</v>
      </c>
      <c r="C33867" t="s">
        <v>576</v>
      </c>
      <c r="D33867" s="21" t="s">
        <v>34</v>
      </c>
      <c r="E33867" s="21" t="s">
        <v>35</v>
      </c>
      <c r="F33867">
        <v>9610055</v>
      </c>
      <c r="G33867" t="s">
        <v>13803</v>
      </c>
      <c r="H33867" s="21">
        <v>500</v>
      </c>
    </row>
    <row r="33868" spans="1:8" customFormat="1" x14ac:dyDescent="0.25">
      <c r="A33868" t="str">
        <f>"4519334"</f>
        <v>4519334</v>
      </c>
      <c r="B33868" t="s">
        <v>23665</v>
      </c>
      <c r="C33868" t="s">
        <v>879</v>
      </c>
      <c r="D33868" s="21" t="s">
        <v>34</v>
      </c>
      <c r="E33868" s="21" t="s">
        <v>254</v>
      </c>
      <c r="F33868">
        <v>4450751</v>
      </c>
      <c r="G33868" t="s">
        <v>442</v>
      </c>
      <c r="H33868" s="21">
        <v>500</v>
      </c>
    </row>
    <row r="33869" spans="1:8" customFormat="1" x14ac:dyDescent="0.25">
      <c r="A33869" t="str">
        <f>"7521149"</f>
        <v>7521149</v>
      </c>
      <c r="B33869" t="s">
        <v>23558</v>
      </c>
      <c r="C33869" t="s">
        <v>239</v>
      </c>
      <c r="D33869" s="21" t="s">
        <v>34</v>
      </c>
      <c r="E33869" s="21" t="s">
        <v>71</v>
      </c>
      <c r="F33869">
        <v>8750249</v>
      </c>
      <c r="G33869" t="s">
        <v>15700</v>
      </c>
      <c r="H33869" s="21">
        <v>500</v>
      </c>
    </row>
    <row r="33870" spans="1:8" customFormat="1" x14ac:dyDescent="0.25">
      <c r="A33870" t="str">
        <f>"9W16"</f>
        <v>9W16</v>
      </c>
      <c r="B33870" t="s">
        <v>23343</v>
      </c>
      <c r="C33870" t="s">
        <v>23344</v>
      </c>
      <c r="D33870" s="21" t="s">
        <v>34</v>
      </c>
      <c r="E33870" s="21" t="s">
        <v>35</v>
      </c>
      <c r="F33870" t="s">
        <v>23027</v>
      </c>
      <c r="G33870" t="s">
        <v>28713</v>
      </c>
      <c r="H33870" s="21">
        <v>500</v>
      </c>
    </row>
    <row r="33871" spans="1:8" customFormat="1" x14ac:dyDescent="0.25">
      <c r="A33871" t="str">
        <f>"9D3018"</f>
        <v>9D3018</v>
      </c>
      <c r="B33871" t="s">
        <v>28714</v>
      </c>
      <c r="C33871" t="s">
        <v>1539</v>
      </c>
      <c r="D33871" s="21" t="s">
        <v>34</v>
      </c>
      <c r="E33871" s="21" t="s">
        <v>35</v>
      </c>
      <c r="F33871" t="s">
        <v>26767</v>
      </c>
      <c r="G33871" t="s">
        <v>26768</v>
      </c>
      <c r="H33871" s="21">
        <v>500</v>
      </c>
    </row>
    <row r="33872" spans="1:8" customFormat="1" x14ac:dyDescent="0.25">
      <c r="A33872" t="str">
        <f>"9315012"</f>
        <v>9315012</v>
      </c>
      <c r="B33872" t="s">
        <v>23468</v>
      </c>
      <c r="C33872" t="s">
        <v>87</v>
      </c>
      <c r="D33872" s="21" t="s">
        <v>34</v>
      </c>
      <c r="E33872" s="21" t="s">
        <v>71</v>
      </c>
      <c r="F33872">
        <v>8930928</v>
      </c>
      <c r="G33872" t="s">
        <v>606</v>
      </c>
      <c r="H33872" s="21">
        <v>500</v>
      </c>
    </row>
    <row r="33873" spans="1:8" customFormat="1" x14ac:dyDescent="0.25">
      <c r="A33873" t="str">
        <f>"3531013"</f>
        <v>3531013</v>
      </c>
      <c r="B33873" t="s">
        <v>17485</v>
      </c>
      <c r="C33873" t="s">
        <v>1914</v>
      </c>
      <c r="D33873" s="21" t="s">
        <v>34</v>
      </c>
      <c r="E33873" s="21" t="s">
        <v>254</v>
      </c>
      <c r="F33873">
        <v>3350016</v>
      </c>
      <c r="G33873" t="s">
        <v>133</v>
      </c>
      <c r="H33873" s="21">
        <v>500</v>
      </c>
    </row>
    <row r="33874" spans="1:8" customFormat="1" x14ac:dyDescent="0.25">
      <c r="A33874" t="str">
        <f>"4216232"</f>
        <v>4216232</v>
      </c>
      <c r="B33874" t="s">
        <v>28715</v>
      </c>
      <c r="C33874" t="s">
        <v>87</v>
      </c>
      <c r="D33874" s="21" t="s">
        <v>34</v>
      </c>
      <c r="E33874" s="21" t="s">
        <v>71</v>
      </c>
      <c r="F33874">
        <v>1420010</v>
      </c>
      <c r="G33874" t="s">
        <v>1937</v>
      </c>
      <c r="H33874" s="21">
        <v>500</v>
      </c>
    </row>
    <row r="33875" spans="1:8" customFormat="1" x14ac:dyDescent="0.25">
      <c r="A33875" t="str">
        <f>"2516358"</f>
        <v>2516358</v>
      </c>
      <c r="B33875" t="s">
        <v>22794</v>
      </c>
      <c r="C33875" t="s">
        <v>40</v>
      </c>
      <c r="D33875" s="21" t="s">
        <v>34</v>
      </c>
      <c r="E33875" s="21" t="s">
        <v>254</v>
      </c>
      <c r="F33875">
        <v>2250031</v>
      </c>
      <c r="G33875" t="s">
        <v>3011</v>
      </c>
      <c r="H33875" s="21">
        <v>500</v>
      </c>
    </row>
    <row r="33876" spans="1:8" customFormat="1" x14ac:dyDescent="0.25">
      <c r="A33876" t="str">
        <f>"7622569"</f>
        <v>7622569</v>
      </c>
      <c r="B33876" t="s">
        <v>17688</v>
      </c>
      <c r="C33876" t="s">
        <v>498</v>
      </c>
      <c r="D33876" s="21" t="s">
        <v>34</v>
      </c>
      <c r="E33876" s="21" t="s">
        <v>254</v>
      </c>
      <c r="F33876">
        <v>13830071</v>
      </c>
      <c r="G33876" t="s">
        <v>3221</v>
      </c>
      <c r="H33876" s="21">
        <v>500</v>
      </c>
    </row>
    <row r="33877" spans="1:8" customFormat="1" x14ac:dyDescent="0.25">
      <c r="A33877" t="str">
        <f>"794580"</f>
        <v>794580</v>
      </c>
      <c r="B33877" t="s">
        <v>9119</v>
      </c>
      <c r="C33877" t="s">
        <v>253</v>
      </c>
      <c r="D33877" s="21" t="s">
        <v>34</v>
      </c>
      <c r="E33877" s="21" t="s">
        <v>6185</v>
      </c>
      <c r="F33877">
        <v>10790042</v>
      </c>
      <c r="G33877" t="s">
        <v>2092</v>
      </c>
      <c r="H33877" s="21">
        <v>500</v>
      </c>
    </row>
    <row r="33878" spans="1:8" customFormat="1" x14ac:dyDescent="0.25">
      <c r="A33878" t="str">
        <f>"7877474"</f>
        <v>7877474</v>
      </c>
      <c r="B33878" t="s">
        <v>23120</v>
      </c>
      <c r="C33878" t="s">
        <v>4350</v>
      </c>
      <c r="D33878" s="21" t="s">
        <v>34</v>
      </c>
      <c r="E33878" s="21" t="s">
        <v>35</v>
      </c>
      <c r="F33878">
        <v>8780356</v>
      </c>
      <c r="G33878" t="s">
        <v>5449</v>
      </c>
      <c r="H33878" s="21">
        <v>500</v>
      </c>
    </row>
    <row r="33879" spans="1:8" customFormat="1" x14ac:dyDescent="0.25">
      <c r="A33879" t="str">
        <f>"767531"</f>
        <v>767531</v>
      </c>
      <c r="B33879" t="s">
        <v>8661</v>
      </c>
      <c r="C33879" t="s">
        <v>1146</v>
      </c>
      <c r="D33879" s="21" t="s">
        <v>34</v>
      </c>
      <c r="E33879" s="21" t="s">
        <v>254</v>
      </c>
      <c r="F33879">
        <v>9760004</v>
      </c>
      <c r="G33879" t="s">
        <v>56</v>
      </c>
      <c r="H33879" s="21">
        <v>500</v>
      </c>
    </row>
    <row r="33880" spans="1:8" customFormat="1" x14ac:dyDescent="0.25">
      <c r="A33880" t="str">
        <f>"5432500"</f>
        <v>5432500</v>
      </c>
      <c r="B33880" t="s">
        <v>28716</v>
      </c>
      <c r="C33880" t="s">
        <v>60</v>
      </c>
      <c r="D33880" s="21" t="s">
        <v>34</v>
      </c>
      <c r="E33880" s="21" t="s">
        <v>35</v>
      </c>
      <c r="F33880">
        <v>6540194</v>
      </c>
      <c r="G33880" t="s">
        <v>7171</v>
      </c>
      <c r="H33880" s="21">
        <v>500</v>
      </c>
    </row>
    <row r="33881" spans="1:8" customFormat="1" x14ac:dyDescent="0.25">
      <c r="A33881" t="str">
        <f>"189587"</f>
        <v>189587</v>
      </c>
      <c r="B33881" t="s">
        <v>28717</v>
      </c>
      <c r="C33881" t="s">
        <v>2100</v>
      </c>
      <c r="D33881" s="21" t="s">
        <v>34</v>
      </c>
      <c r="E33881" s="21" t="s">
        <v>254</v>
      </c>
      <c r="F33881">
        <v>4180057</v>
      </c>
      <c r="G33881" t="s">
        <v>9021</v>
      </c>
      <c r="H33881" s="21">
        <v>500</v>
      </c>
    </row>
    <row r="33882" spans="1:8" customFormat="1" x14ac:dyDescent="0.25">
      <c r="A33882" t="str">
        <f>"7710073"</f>
        <v>7710073</v>
      </c>
      <c r="B33882" t="s">
        <v>22961</v>
      </c>
      <c r="C33882" t="s">
        <v>879</v>
      </c>
      <c r="D33882" s="21" t="s">
        <v>34</v>
      </c>
      <c r="E33882" s="21" t="s">
        <v>254</v>
      </c>
      <c r="F33882">
        <v>8771515</v>
      </c>
      <c r="G33882" t="s">
        <v>19102</v>
      </c>
      <c r="H33882" s="21">
        <v>500</v>
      </c>
    </row>
    <row r="33883" spans="1:8" customFormat="1" x14ac:dyDescent="0.25">
      <c r="A33883" t="str">
        <f>"0211556"</f>
        <v>0211556</v>
      </c>
      <c r="B33883" t="s">
        <v>28718</v>
      </c>
      <c r="C33883" t="s">
        <v>2479</v>
      </c>
      <c r="D33883" s="21" t="s">
        <v>34</v>
      </c>
      <c r="E33883" s="21" t="s">
        <v>71</v>
      </c>
      <c r="F33883">
        <v>7021012</v>
      </c>
      <c r="G33883" t="s">
        <v>14342</v>
      </c>
      <c r="H33883" s="21">
        <v>500</v>
      </c>
    </row>
    <row r="33884" spans="1:8" customFormat="1" x14ac:dyDescent="0.25">
      <c r="A33884" t="str">
        <f>"3528671"</f>
        <v>3528671</v>
      </c>
      <c r="B33884" t="s">
        <v>23078</v>
      </c>
      <c r="C33884" t="s">
        <v>2100</v>
      </c>
      <c r="D33884" s="21" t="s">
        <v>34</v>
      </c>
      <c r="E33884" s="21" t="s">
        <v>71</v>
      </c>
      <c r="F33884">
        <v>3350212</v>
      </c>
      <c r="G33884" t="s">
        <v>5154</v>
      </c>
      <c r="H33884" s="21">
        <v>500</v>
      </c>
    </row>
    <row r="33885" spans="1:8" customFormat="1" x14ac:dyDescent="0.25">
      <c r="A33885" t="str">
        <f>"879305"</f>
        <v>879305</v>
      </c>
      <c r="B33885" t="s">
        <v>21726</v>
      </c>
      <c r="C33885" t="s">
        <v>1142</v>
      </c>
      <c r="D33885" s="21" t="s">
        <v>34</v>
      </c>
      <c r="E33885" s="21" t="s">
        <v>254</v>
      </c>
      <c r="F33885">
        <v>10870117</v>
      </c>
      <c r="G33885" t="s">
        <v>3139</v>
      </c>
      <c r="H33885" s="21">
        <v>500</v>
      </c>
    </row>
    <row r="33886" spans="1:8" customFormat="1" x14ac:dyDescent="0.25">
      <c r="A33886" t="str">
        <f>"5936612"</f>
        <v>5936612</v>
      </c>
      <c r="B33886" t="s">
        <v>6842</v>
      </c>
      <c r="C33886" t="s">
        <v>598</v>
      </c>
      <c r="D33886" s="21" t="s">
        <v>34</v>
      </c>
      <c r="E33886" s="21" t="s">
        <v>1089</v>
      </c>
      <c r="F33886">
        <v>7590310</v>
      </c>
      <c r="G33886" t="s">
        <v>10278</v>
      </c>
      <c r="H33886" s="21">
        <v>500</v>
      </c>
    </row>
    <row r="33887" spans="1:8" customFormat="1" x14ac:dyDescent="0.25">
      <c r="A33887" t="str">
        <f>"4219486"</f>
        <v>4219486</v>
      </c>
      <c r="B33887" t="s">
        <v>28719</v>
      </c>
      <c r="C33887" t="s">
        <v>2907</v>
      </c>
      <c r="D33887" s="21" t="s">
        <v>34</v>
      </c>
      <c r="E33887" s="21" t="s">
        <v>71</v>
      </c>
      <c r="F33887">
        <v>8770166</v>
      </c>
      <c r="G33887" t="s">
        <v>653</v>
      </c>
      <c r="H33887" s="21">
        <v>500</v>
      </c>
    </row>
    <row r="33888" spans="1:8" customFormat="1" x14ac:dyDescent="0.25">
      <c r="A33888" t="str">
        <f>"1321652"</f>
        <v>1321652</v>
      </c>
      <c r="B33888" t="s">
        <v>28720</v>
      </c>
      <c r="C33888" t="s">
        <v>156</v>
      </c>
      <c r="D33888" s="21" t="s">
        <v>34</v>
      </c>
      <c r="E33888" s="21" t="s">
        <v>71</v>
      </c>
      <c r="F33888">
        <v>13130100</v>
      </c>
      <c r="G33888" t="s">
        <v>2893</v>
      </c>
      <c r="H33888" s="21">
        <v>500</v>
      </c>
    </row>
    <row r="33889" spans="1:8" customFormat="1" x14ac:dyDescent="0.25">
      <c r="A33889" t="str">
        <f>"5925329"</f>
        <v>5925329</v>
      </c>
      <c r="B33889" t="s">
        <v>22862</v>
      </c>
      <c r="C33889" t="s">
        <v>236</v>
      </c>
      <c r="D33889" s="21" t="s">
        <v>34</v>
      </c>
      <c r="E33889" s="21" t="s">
        <v>1089</v>
      </c>
      <c r="F33889">
        <v>7590028</v>
      </c>
      <c r="G33889" t="s">
        <v>251</v>
      </c>
      <c r="H33889" s="21">
        <v>500</v>
      </c>
    </row>
    <row r="33890" spans="1:8" customFormat="1" x14ac:dyDescent="0.25">
      <c r="A33890" t="str">
        <f>"5967129"</f>
        <v>5967129</v>
      </c>
      <c r="B33890" t="s">
        <v>6693</v>
      </c>
      <c r="C33890" t="s">
        <v>147</v>
      </c>
      <c r="D33890" s="21" t="s">
        <v>34</v>
      </c>
      <c r="E33890" s="21" t="s">
        <v>35</v>
      </c>
      <c r="F33890">
        <v>7590063</v>
      </c>
      <c r="G33890" t="s">
        <v>3426</v>
      </c>
      <c r="H33890" s="21">
        <v>500</v>
      </c>
    </row>
    <row r="33891" spans="1:8" customFormat="1" x14ac:dyDescent="0.25">
      <c r="A33891" t="str">
        <f>"6023884"</f>
        <v>6023884</v>
      </c>
      <c r="B33891" t="s">
        <v>3474</v>
      </c>
      <c r="C33891" t="s">
        <v>5232</v>
      </c>
      <c r="D33891" s="21" t="s">
        <v>34</v>
      </c>
      <c r="E33891" s="21" t="s">
        <v>254</v>
      </c>
      <c r="F33891">
        <v>7600168</v>
      </c>
      <c r="G33891" t="s">
        <v>27372</v>
      </c>
      <c r="H33891" s="21">
        <v>500</v>
      </c>
    </row>
    <row r="33892" spans="1:8" customFormat="1" x14ac:dyDescent="0.25">
      <c r="A33892" t="str">
        <f>"6024341"</f>
        <v>6024341</v>
      </c>
      <c r="B33892" t="s">
        <v>28721</v>
      </c>
      <c r="C33892" t="s">
        <v>462</v>
      </c>
      <c r="D33892" s="21" t="s">
        <v>34</v>
      </c>
      <c r="E33892" s="21" t="s">
        <v>71</v>
      </c>
      <c r="F33892">
        <v>7600130</v>
      </c>
      <c r="G33892" t="s">
        <v>11080</v>
      </c>
      <c r="H33892" s="21">
        <v>500</v>
      </c>
    </row>
    <row r="33893" spans="1:8" customFormat="1" x14ac:dyDescent="0.25">
      <c r="A33893" t="str">
        <f>"5983975"</f>
        <v>5983975</v>
      </c>
      <c r="B33893" t="s">
        <v>28722</v>
      </c>
      <c r="C33893" t="s">
        <v>28723</v>
      </c>
      <c r="D33893" s="21" t="s">
        <v>34</v>
      </c>
      <c r="E33893" s="21" t="s">
        <v>254</v>
      </c>
      <c r="F33893">
        <v>7590050</v>
      </c>
      <c r="G33893" t="s">
        <v>473</v>
      </c>
      <c r="H33893" s="21">
        <v>500</v>
      </c>
    </row>
    <row r="33894" spans="1:8" customFormat="1" x14ac:dyDescent="0.25">
      <c r="A33894" t="str">
        <f>"8015685"</f>
        <v>8015685</v>
      </c>
      <c r="B33894" t="s">
        <v>15306</v>
      </c>
      <c r="C33894" t="s">
        <v>40</v>
      </c>
      <c r="D33894" s="21" t="s">
        <v>34</v>
      </c>
      <c r="E33894" s="21" t="s">
        <v>254</v>
      </c>
      <c r="F33894">
        <v>7800153</v>
      </c>
      <c r="G33894" t="s">
        <v>13728</v>
      </c>
      <c r="H33894" s="21">
        <v>500</v>
      </c>
    </row>
    <row r="33895" spans="1:8" customFormat="1" x14ac:dyDescent="0.25">
      <c r="A33895" t="str">
        <f>"244842"</f>
        <v>244842</v>
      </c>
      <c r="B33895" t="s">
        <v>22527</v>
      </c>
      <c r="C33895" t="s">
        <v>40</v>
      </c>
      <c r="D33895" s="21" t="s">
        <v>34</v>
      </c>
      <c r="E33895" s="21" t="s">
        <v>71</v>
      </c>
      <c r="F33895">
        <v>10240018</v>
      </c>
      <c r="G33895" t="s">
        <v>3007</v>
      </c>
      <c r="H33895" s="21">
        <v>500</v>
      </c>
    </row>
    <row r="33896" spans="1:8" customFormat="1" x14ac:dyDescent="0.25">
      <c r="A33896" t="str">
        <f>"9F5595"</f>
        <v>9F5595</v>
      </c>
      <c r="B33896" t="s">
        <v>23246</v>
      </c>
      <c r="C33896" t="s">
        <v>3456</v>
      </c>
      <c r="D33896" s="21" t="s">
        <v>34</v>
      </c>
      <c r="E33896" s="21" t="s">
        <v>1089</v>
      </c>
      <c r="F33896" t="s">
        <v>2126</v>
      </c>
      <c r="G33896" t="s">
        <v>2127</v>
      </c>
      <c r="H33896" s="21">
        <v>500</v>
      </c>
    </row>
    <row r="33897" spans="1:8" customFormat="1" x14ac:dyDescent="0.25">
      <c r="A33897" t="str">
        <f>"4442256"</f>
        <v>4442256</v>
      </c>
      <c r="B33897" t="s">
        <v>2483</v>
      </c>
      <c r="C33897" t="s">
        <v>253</v>
      </c>
      <c r="D33897" s="21" t="s">
        <v>34</v>
      </c>
      <c r="E33897" s="21" t="s">
        <v>254</v>
      </c>
      <c r="F33897">
        <v>12440263</v>
      </c>
      <c r="G33897" t="s">
        <v>9503</v>
      </c>
      <c r="H33897" s="21">
        <v>500</v>
      </c>
    </row>
    <row r="33898" spans="1:8" customFormat="1" x14ac:dyDescent="0.25">
      <c r="A33898" t="str">
        <f>"2216921"</f>
        <v>2216921</v>
      </c>
      <c r="B33898" t="s">
        <v>9281</v>
      </c>
      <c r="C33898" t="s">
        <v>664</v>
      </c>
      <c r="D33898" s="21" t="s">
        <v>34</v>
      </c>
      <c r="E33898" s="21" t="s">
        <v>254</v>
      </c>
      <c r="F33898">
        <v>3220087</v>
      </c>
      <c r="G33898" t="s">
        <v>3540</v>
      </c>
      <c r="H33898" s="21">
        <v>500</v>
      </c>
    </row>
    <row r="33899" spans="1:8" customFormat="1" x14ac:dyDescent="0.25">
      <c r="A33899" t="str">
        <f>"7519371"</f>
        <v>7519371</v>
      </c>
      <c r="B33899" t="s">
        <v>2557</v>
      </c>
      <c r="C33899" t="s">
        <v>263</v>
      </c>
      <c r="D33899" s="21" t="s">
        <v>34</v>
      </c>
      <c r="E33899" s="21" t="s">
        <v>254</v>
      </c>
      <c r="F33899">
        <v>8750074</v>
      </c>
      <c r="G33899" t="s">
        <v>698</v>
      </c>
      <c r="H33899" s="21">
        <v>500</v>
      </c>
    </row>
    <row r="33900" spans="1:8" customFormat="1" x14ac:dyDescent="0.25">
      <c r="A33900" t="str">
        <f>"5731216"</f>
        <v>5731216</v>
      </c>
      <c r="B33900" t="s">
        <v>430</v>
      </c>
      <c r="C33900" t="s">
        <v>87</v>
      </c>
      <c r="D33900" s="21" t="s">
        <v>34</v>
      </c>
      <c r="E33900" s="21" t="s">
        <v>35</v>
      </c>
      <c r="F33900">
        <v>6570188</v>
      </c>
      <c r="G33900" t="s">
        <v>12145</v>
      </c>
      <c r="H33900" s="21">
        <v>500</v>
      </c>
    </row>
    <row r="33901" spans="1:8" customFormat="1" x14ac:dyDescent="0.25">
      <c r="A33901" t="str">
        <f>"5975463"</f>
        <v>5975463</v>
      </c>
      <c r="B33901" t="s">
        <v>23745</v>
      </c>
      <c r="C33901" t="s">
        <v>33</v>
      </c>
      <c r="D33901" s="21" t="s">
        <v>34</v>
      </c>
      <c r="E33901" s="21" t="s">
        <v>71</v>
      </c>
      <c r="F33901">
        <v>7590106</v>
      </c>
      <c r="G33901" t="s">
        <v>4790</v>
      </c>
      <c r="H33901" s="21">
        <v>500</v>
      </c>
    </row>
    <row r="33902" spans="1:8" customFormat="1" x14ac:dyDescent="0.25">
      <c r="A33902" t="str">
        <f>"9516296"</f>
        <v>9516296</v>
      </c>
      <c r="B33902" t="s">
        <v>21682</v>
      </c>
      <c r="C33902" t="s">
        <v>40</v>
      </c>
      <c r="D33902" s="21" t="s">
        <v>34</v>
      </c>
      <c r="E33902" s="21" t="s">
        <v>254</v>
      </c>
      <c r="F33902">
        <v>8950129</v>
      </c>
      <c r="G33902" t="s">
        <v>10701</v>
      </c>
      <c r="H33902" s="21">
        <v>500</v>
      </c>
    </row>
    <row r="33903" spans="1:8" customFormat="1" x14ac:dyDescent="0.25">
      <c r="A33903" t="str">
        <f>"8514958"</f>
        <v>8514958</v>
      </c>
      <c r="B33903" t="s">
        <v>4253</v>
      </c>
      <c r="C33903" t="s">
        <v>598</v>
      </c>
      <c r="D33903" s="21" t="s">
        <v>34</v>
      </c>
      <c r="E33903" s="21" t="s">
        <v>71</v>
      </c>
      <c r="F33903">
        <v>12850037</v>
      </c>
      <c r="G33903" t="s">
        <v>2787</v>
      </c>
      <c r="H33903" s="21">
        <v>500</v>
      </c>
    </row>
    <row r="33904" spans="1:8" customFormat="1" x14ac:dyDescent="0.25">
      <c r="A33904" t="str">
        <f>"9225202"</f>
        <v>9225202</v>
      </c>
      <c r="B33904" t="s">
        <v>24694</v>
      </c>
      <c r="C33904" t="s">
        <v>114</v>
      </c>
      <c r="D33904" s="21" t="s">
        <v>34</v>
      </c>
      <c r="E33904" s="21" t="s">
        <v>254</v>
      </c>
      <c r="F33904">
        <v>8920031</v>
      </c>
      <c r="G33904" t="s">
        <v>552</v>
      </c>
      <c r="H33904" s="21">
        <v>500</v>
      </c>
    </row>
    <row r="33905" spans="1:8" customFormat="1" x14ac:dyDescent="0.25">
      <c r="A33905" t="str">
        <f>"1320137"</f>
        <v>1320137</v>
      </c>
      <c r="B33905" t="s">
        <v>1630</v>
      </c>
      <c r="C33905" t="s">
        <v>144</v>
      </c>
      <c r="D33905" s="21" t="s">
        <v>34</v>
      </c>
      <c r="E33905" s="21" t="s">
        <v>35</v>
      </c>
      <c r="F33905">
        <v>13130122</v>
      </c>
      <c r="G33905" t="s">
        <v>6354</v>
      </c>
      <c r="H33905" s="21">
        <v>500</v>
      </c>
    </row>
    <row r="33906" spans="1:8" customFormat="1" x14ac:dyDescent="0.25">
      <c r="A33906" t="str">
        <f>"0930"</f>
        <v>0930</v>
      </c>
      <c r="B33906" t="s">
        <v>23278</v>
      </c>
      <c r="C33906" t="s">
        <v>253</v>
      </c>
      <c r="D33906" s="21" t="s">
        <v>34</v>
      </c>
      <c r="E33906" s="21" t="s">
        <v>1089</v>
      </c>
      <c r="F33906">
        <v>11090002</v>
      </c>
      <c r="G33906" t="s">
        <v>901</v>
      </c>
      <c r="H33906" s="21">
        <v>500</v>
      </c>
    </row>
    <row r="33907" spans="1:8" customFormat="1" x14ac:dyDescent="0.25">
      <c r="A33907" t="str">
        <f>"711279"</f>
        <v>711279</v>
      </c>
      <c r="B33907" t="s">
        <v>23284</v>
      </c>
      <c r="C33907" t="s">
        <v>3073</v>
      </c>
      <c r="D33907" s="21" t="s">
        <v>34</v>
      </c>
      <c r="E33907" s="21" t="s">
        <v>1089</v>
      </c>
      <c r="F33907">
        <v>2710008</v>
      </c>
      <c r="G33907" t="s">
        <v>10040</v>
      </c>
      <c r="H33907" s="21">
        <v>500</v>
      </c>
    </row>
    <row r="33908" spans="1:8" customFormat="1" x14ac:dyDescent="0.25">
      <c r="A33908" t="str">
        <f>"3418989"</f>
        <v>3418989</v>
      </c>
      <c r="B33908" t="s">
        <v>4723</v>
      </c>
      <c r="C33908" t="s">
        <v>285</v>
      </c>
      <c r="D33908" s="21" t="s">
        <v>34</v>
      </c>
      <c r="E33908" s="21" t="s">
        <v>35</v>
      </c>
      <c r="F33908">
        <v>11340035</v>
      </c>
      <c r="G33908" t="s">
        <v>10724</v>
      </c>
      <c r="H33908" s="21">
        <v>500</v>
      </c>
    </row>
    <row r="33909" spans="1:8" customFormat="1" x14ac:dyDescent="0.25">
      <c r="A33909" t="str">
        <f>"3820124"</f>
        <v>3820124</v>
      </c>
      <c r="B33909" t="s">
        <v>21143</v>
      </c>
      <c r="C33909" t="s">
        <v>1110</v>
      </c>
      <c r="D33909" s="21" t="s">
        <v>34</v>
      </c>
      <c r="E33909" s="21" t="s">
        <v>254</v>
      </c>
      <c r="F33909">
        <v>1260068</v>
      </c>
      <c r="G33909" t="s">
        <v>6531</v>
      </c>
      <c r="H33909" s="21">
        <v>500</v>
      </c>
    </row>
    <row r="33910" spans="1:8" customFormat="1" x14ac:dyDescent="0.25">
      <c r="A33910" t="str">
        <f>"668349"</f>
        <v>668349</v>
      </c>
      <c r="B33910" t="s">
        <v>16283</v>
      </c>
      <c r="C33910" t="s">
        <v>22991</v>
      </c>
      <c r="D33910" s="21" t="s">
        <v>34</v>
      </c>
      <c r="E33910" s="21" t="s">
        <v>35</v>
      </c>
      <c r="F33910">
        <v>11660024</v>
      </c>
      <c r="G33910" t="s">
        <v>22992</v>
      </c>
      <c r="H33910" s="21">
        <v>500</v>
      </c>
    </row>
    <row r="33911" spans="1:8" customFormat="1" x14ac:dyDescent="0.25">
      <c r="A33911" t="str">
        <f>"6717680"</f>
        <v>6717680</v>
      </c>
      <c r="B33911" t="s">
        <v>23368</v>
      </c>
      <c r="C33911" t="s">
        <v>253</v>
      </c>
      <c r="D33911" s="21" t="s">
        <v>34</v>
      </c>
      <c r="E33911" s="21" t="s">
        <v>35</v>
      </c>
      <c r="F33911">
        <v>6670041</v>
      </c>
      <c r="G33911" t="s">
        <v>1971</v>
      </c>
      <c r="H33911" s="21">
        <v>500</v>
      </c>
    </row>
    <row r="33912" spans="1:8" customFormat="1" x14ac:dyDescent="0.25">
      <c r="A33912" t="str">
        <f>"866615"</f>
        <v>866615</v>
      </c>
      <c r="B33912" t="s">
        <v>7331</v>
      </c>
      <c r="C33912" t="s">
        <v>60</v>
      </c>
      <c r="D33912" s="21" t="s">
        <v>34</v>
      </c>
      <c r="E33912" s="21" t="s">
        <v>35</v>
      </c>
      <c r="F33912">
        <v>10860024</v>
      </c>
      <c r="G33912" t="s">
        <v>1770</v>
      </c>
      <c r="H33912" s="21">
        <v>500</v>
      </c>
    </row>
    <row r="33913" spans="1:8" customFormat="1" x14ac:dyDescent="0.25">
      <c r="A33913" t="str">
        <f>"288304"</f>
        <v>288304</v>
      </c>
      <c r="B33913" t="s">
        <v>697</v>
      </c>
      <c r="C33913" t="s">
        <v>267</v>
      </c>
      <c r="D33913" s="21" t="s">
        <v>34</v>
      </c>
      <c r="E33913" s="21" t="s">
        <v>254</v>
      </c>
      <c r="F33913">
        <v>4280322</v>
      </c>
      <c r="G33913" t="s">
        <v>265</v>
      </c>
      <c r="H33913" s="21">
        <v>500</v>
      </c>
    </row>
    <row r="33914" spans="1:8" customFormat="1" x14ac:dyDescent="0.25">
      <c r="A33914" t="str">
        <f>"517368"</f>
        <v>517368</v>
      </c>
      <c r="B33914" t="s">
        <v>22766</v>
      </c>
      <c r="C33914" t="s">
        <v>462</v>
      </c>
      <c r="D33914" s="21" t="s">
        <v>34</v>
      </c>
      <c r="E33914" s="21" t="s">
        <v>71</v>
      </c>
      <c r="F33914">
        <v>6510069</v>
      </c>
      <c r="G33914" t="s">
        <v>13766</v>
      </c>
      <c r="H33914" s="21">
        <v>500</v>
      </c>
    </row>
    <row r="33915" spans="1:8" customFormat="1" x14ac:dyDescent="0.25">
      <c r="A33915" t="str">
        <f>"393049"</f>
        <v>393049</v>
      </c>
      <c r="B33915" t="s">
        <v>23214</v>
      </c>
      <c r="C33915" t="s">
        <v>1199</v>
      </c>
      <c r="D33915" s="21" t="s">
        <v>34</v>
      </c>
      <c r="E33915" s="21" t="s">
        <v>1089</v>
      </c>
      <c r="F33915">
        <v>2390027</v>
      </c>
      <c r="G33915" t="s">
        <v>3605</v>
      </c>
      <c r="H33915" s="21">
        <v>500</v>
      </c>
    </row>
    <row r="33916" spans="1:8" customFormat="1" x14ac:dyDescent="0.25">
      <c r="A33916" t="str">
        <f>"4937400"</f>
        <v>4937400</v>
      </c>
      <c r="B33916" t="s">
        <v>28724</v>
      </c>
      <c r="C33916" t="s">
        <v>320</v>
      </c>
      <c r="D33916" s="21" t="s">
        <v>34</v>
      </c>
      <c r="E33916" s="21" t="s">
        <v>254</v>
      </c>
      <c r="F33916">
        <v>12490001</v>
      </c>
      <c r="G33916" t="s">
        <v>19038</v>
      </c>
      <c r="H33916" s="21">
        <v>500</v>
      </c>
    </row>
    <row r="33917" spans="1:8" customFormat="1" x14ac:dyDescent="0.25">
      <c r="A33917" t="str">
        <f>"576269"</f>
        <v>576269</v>
      </c>
      <c r="B33917" t="s">
        <v>16182</v>
      </c>
      <c r="C33917" t="s">
        <v>130</v>
      </c>
      <c r="D33917" s="21" t="s">
        <v>34</v>
      </c>
      <c r="E33917" s="21" t="s">
        <v>1089</v>
      </c>
      <c r="F33917">
        <v>6570140</v>
      </c>
      <c r="G33917" t="s">
        <v>813</v>
      </c>
      <c r="H33917" s="21">
        <v>500</v>
      </c>
    </row>
    <row r="33918" spans="1:8" customFormat="1" x14ac:dyDescent="0.25">
      <c r="A33918" t="str">
        <f>"4454108"</f>
        <v>4454108</v>
      </c>
      <c r="B33918" t="s">
        <v>23651</v>
      </c>
      <c r="C33918" t="s">
        <v>462</v>
      </c>
      <c r="D33918" s="21" t="s">
        <v>34</v>
      </c>
      <c r="E33918" s="21" t="s">
        <v>71</v>
      </c>
      <c r="F33918">
        <v>12440051</v>
      </c>
      <c r="G33918" t="s">
        <v>2191</v>
      </c>
      <c r="H33918" s="21">
        <v>500</v>
      </c>
    </row>
    <row r="33919" spans="1:8" customFormat="1" x14ac:dyDescent="0.25">
      <c r="A33919" t="str">
        <f>"3828516"</f>
        <v>3828516</v>
      </c>
      <c r="B33919" t="s">
        <v>23011</v>
      </c>
      <c r="C33919" t="s">
        <v>652</v>
      </c>
      <c r="D33919" s="21" t="s">
        <v>34</v>
      </c>
      <c r="E33919" s="21" t="s">
        <v>254</v>
      </c>
      <c r="F33919">
        <v>1380199</v>
      </c>
      <c r="G33919" t="s">
        <v>321</v>
      </c>
      <c r="H33919" s="21">
        <v>500</v>
      </c>
    </row>
    <row r="33920" spans="1:8" customFormat="1" x14ac:dyDescent="0.25">
      <c r="A33920" t="str">
        <f>"9145775"</f>
        <v>9145775</v>
      </c>
      <c r="B33920" t="s">
        <v>24675</v>
      </c>
      <c r="C33920" t="s">
        <v>93</v>
      </c>
      <c r="D33920" s="21" t="s">
        <v>34</v>
      </c>
      <c r="E33920" s="21" t="s">
        <v>35</v>
      </c>
      <c r="F33920">
        <v>8910165</v>
      </c>
      <c r="G33920" t="s">
        <v>3184</v>
      </c>
      <c r="H33920" s="21">
        <v>500</v>
      </c>
    </row>
    <row r="33921" spans="1:8" customFormat="1" x14ac:dyDescent="0.25">
      <c r="A33921" t="str">
        <f>"7640313"</f>
        <v>7640313</v>
      </c>
      <c r="B33921" t="s">
        <v>21128</v>
      </c>
      <c r="C33921" t="s">
        <v>2356</v>
      </c>
      <c r="D33921" s="21" t="s">
        <v>34</v>
      </c>
      <c r="E33921" s="21" t="s">
        <v>35</v>
      </c>
      <c r="F33921">
        <v>9760342</v>
      </c>
      <c r="G33921" t="s">
        <v>3619</v>
      </c>
      <c r="H33921" s="21">
        <v>500</v>
      </c>
    </row>
    <row r="33922" spans="1:8" customFormat="1" x14ac:dyDescent="0.25">
      <c r="A33922" t="str">
        <f>"92699"</f>
        <v>92699</v>
      </c>
      <c r="B33922" t="s">
        <v>10142</v>
      </c>
      <c r="C33922" t="s">
        <v>2958</v>
      </c>
      <c r="D33922" s="21" t="s">
        <v>34</v>
      </c>
      <c r="E33922" s="21" t="s">
        <v>254</v>
      </c>
      <c r="F33922">
        <v>8920646</v>
      </c>
      <c r="G33922" t="s">
        <v>2864</v>
      </c>
      <c r="H33922" s="21">
        <v>500</v>
      </c>
    </row>
    <row r="33923" spans="1:8" customFormat="1" x14ac:dyDescent="0.25">
      <c r="A33923" t="str">
        <f>"1320167"</f>
        <v>1320167</v>
      </c>
      <c r="B33923" t="s">
        <v>28725</v>
      </c>
      <c r="C33923" t="s">
        <v>484</v>
      </c>
      <c r="D33923" s="21" t="s">
        <v>34</v>
      </c>
      <c r="E33923" s="21" t="s">
        <v>35</v>
      </c>
      <c r="F33923">
        <v>13130152</v>
      </c>
      <c r="G33923" t="s">
        <v>906</v>
      </c>
      <c r="H33923" s="21">
        <v>500</v>
      </c>
    </row>
    <row r="33924" spans="1:8" customFormat="1" x14ac:dyDescent="0.25">
      <c r="A33924" t="str">
        <f>"496745"</f>
        <v>496745</v>
      </c>
      <c r="B33924" t="s">
        <v>108</v>
      </c>
      <c r="C33924" t="s">
        <v>151</v>
      </c>
      <c r="D33924" s="21" t="s">
        <v>34</v>
      </c>
      <c r="E33924" s="21" t="s">
        <v>254</v>
      </c>
      <c r="F33924">
        <v>12490080</v>
      </c>
      <c r="G33924" t="s">
        <v>5692</v>
      </c>
      <c r="H33924" s="21">
        <v>500</v>
      </c>
    </row>
    <row r="33925" spans="1:8" customFormat="1" x14ac:dyDescent="0.25">
      <c r="A33925" t="str">
        <f>"4111167"</f>
        <v>4111167</v>
      </c>
      <c r="B33925" t="s">
        <v>22548</v>
      </c>
      <c r="C33925" t="s">
        <v>1025</v>
      </c>
      <c r="D33925" s="21" t="s">
        <v>34</v>
      </c>
      <c r="E33925" s="21" t="s">
        <v>71</v>
      </c>
      <c r="F33925">
        <v>4410730</v>
      </c>
      <c r="G33925" t="s">
        <v>7260</v>
      </c>
      <c r="H33925" s="21">
        <v>500</v>
      </c>
    </row>
    <row r="33926" spans="1:8" customFormat="1" x14ac:dyDescent="0.25">
      <c r="A33926" t="str">
        <f>"7627338"</f>
        <v>7627338</v>
      </c>
      <c r="B33926" t="s">
        <v>28726</v>
      </c>
      <c r="C33926" t="s">
        <v>2529</v>
      </c>
      <c r="D33926" s="21" t="s">
        <v>34</v>
      </c>
      <c r="E33926" s="21" t="s">
        <v>254</v>
      </c>
      <c r="F33926">
        <v>9760442</v>
      </c>
      <c r="G33926" t="s">
        <v>5753</v>
      </c>
      <c r="H33926" s="21">
        <v>500</v>
      </c>
    </row>
    <row r="33927" spans="1:8" customFormat="1" x14ac:dyDescent="0.25">
      <c r="A33927" t="str">
        <f>"9147740"</f>
        <v>9147740</v>
      </c>
      <c r="B33927" t="s">
        <v>8071</v>
      </c>
      <c r="C33927" t="s">
        <v>28727</v>
      </c>
      <c r="D33927" s="21" t="s">
        <v>34</v>
      </c>
      <c r="E33927" s="21" t="s">
        <v>71</v>
      </c>
      <c r="F33927">
        <v>8910438</v>
      </c>
      <c r="G33927" t="s">
        <v>761</v>
      </c>
      <c r="H33927" s="21">
        <v>500</v>
      </c>
    </row>
    <row r="33928" spans="1:8" customFormat="1" x14ac:dyDescent="0.25">
      <c r="A33928" t="str">
        <f>"028261"</f>
        <v>028261</v>
      </c>
      <c r="B33928" t="s">
        <v>23509</v>
      </c>
      <c r="C33928" t="s">
        <v>204</v>
      </c>
      <c r="D33928" s="21" t="s">
        <v>34</v>
      </c>
      <c r="E33928" s="21" t="s">
        <v>71</v>
      </c>
      <c r="F33928">
        <v>7021014</v>
      </c>
      <c r="G33928" t="s">
        <v>15834</v>
      </c>
      <c r="H33928" s="21">
        <v>500</v>
      </c>
    </row>
    <row r="33929" spans="1:8" customFormat="1" x14ac:dyDescent="0.25">
      <c r="A33929" t="str">
        <f>"4519395"</f>
        <v>4519395</v>
      </c>
      <c r="B33929" t="s">
        <v>28728</v>
      </c>
      <c r="C33929" t="s">
        <v>2984</v>
      </c>
      <c r="D33929" s="21" t="s">
        <v>34</v>
      </c>
      <c r="E33929" s="21" t="s">
        <v>71</v>
      </c>
      <c r="F33929">
        <v>4450580</v>
      </c>
      <c r="G33929" t="s">
        <v>11998</v>
      </c>
      <c r="H33929" s="21">
        <v>500</v>
      </c>
    </row>
    <row r="33930" spans="1:8" customFormat="1" x14ac:dyDescent="0.25">
      <c r="A33930" t="str">
        <f>"9138268"</f>
        <v>9138268</v>
      </c>
      <c r="B33930" t="s">
        <v>10609</v>
      </c>
      <c r="C33930" t="s">
        <v>1110</v>
      </c>
      <c r="D33930" s="21" t="s">
        <v>34</v>
      </c>
      <c r="E33930" s="21" t="s">
        <v>1089</v>
      </c>
      <c r="F33930">
        <v>8910500</v>
      </c>
      <c r="G33930" t="s">
        <v>23437</v>
      </c>
      <c r="H33930" s="21">
        <v>500</v>
      </c>
    </row>
    <row r="33931" spans="1:8" customFormat="1" x14ac:dyDescent="0.25">
      <c r="A33931" t="str">
        <f>"7520947"</f>
        <v>7520947</v>
      </c>
      <c r="B33931" t="s">
        <v>13294</v>
      </c>
      <c r="C33931" t="s">
        <v>144</v>
      </c>
      <c r="D33931" s="21" t="s">
        <v>34</v>
      </c>
      <c r="E33931" s="21" t="s">
        <v>71</v>
      </c>
      <c r="F33931">
        <v>8750074</v>
      </c>
      <c r="G33931" t="s">
        <v>698</v>
      </c>
      <c r="H33931" s="21">
        <v>500</v>
      </c>
    </row>
    <row r="33932" spans="1:8" customFormat="1" x14ac:dyDescent="0.25">
      <c r="A33932" t="str">
        <f>"648999"</f>
        <v>648999</v>
      </c>
      <c r="B33932" t="s">
        <v>28729</v>
      </c>
      <c r="C33932" t="s">
        <v>1819</v>
      </c>
      <c r="D33932" s="21" t="s">
        <v>34</v>
      </c>
      <c r="E33932" s="21" t="s">
        <v>71</v>
      </c>
      <c r="F33932">
        <v>10640024</v>
      </c>
      <c r="G33932" t="s">
        <v>23191</v>
      </c>
      <c r="H33932" s="21">
        <v>500</v>
      </c>
    </row>
    <row r="33933" spans="1:8" customFormat="1" x14ac:dyDescent="0.25">
      <c r="A33933" t="str">
        <f>"815081"</f>
        <v>815081</v>
      </c>
      <c r="B33933" t="s">
        <v>28730</v>
      </c>
      <c r="C33933" t="s">
        <v>412</v>
      </c>
      <c r="D33933" s="21" t="s">
        <v>34</v>
      </c>
      <c r="E33933" s="21" t="s">
        <v>71</v>
      </c>
      <c r="F33933">
        <v>11810032</v>
      </c>
      <c r="G33933" t="s">
        <v>7859</v>
      </c>
      <c r="H33933" s="21">
        <v>500</v>
      </c>
    </row>
    <row r="33934" spans="1:8" customFormat="1" x14ac:dyDescent="0.25">
      <c r="A33934" t="str">
        <f>"1321509"</f>
        <v>1321509</v>
      </c>
      <c r="B33934" t="s">
        <v>28731</v>
      </c>
      <c r="C33934" t="s">
        <v>130</v>
      </c>
      <c r="D33934" s="21" t="s">
        <v>34</v>
      </c>
      <c r="E33934" s="21" t="s">
        <v>71</v>
      </c>
      <c r="F33934">
        <v>13130169</v>
      </c>
      <c r="G33934" t="s">
        <v>21686</v>
      </c>
      <c r="H33934" s="21">
        <v>500</v>
      </c>
    </row>
    <row r="33935" spans="1:8" customFormat="1" x14ac:dyDescent="0.25">
      <c r="A33935" t="str">
        <f>"868665"</f>
        <v>868665</v>
      </c>
      <c r="B33935" t="s">
        <v>739</v>
      </c>
      <c r="C33935" t="s">
        <v>109</v>
      </c>
      <c r="D33935" s="21" t="s">
        <v>34</v>
      </c>
      <c r="E33935" s="21" t="s">
        <v>71</v>
      </c>
      <c r="F33935">
        <v>10860035</v>
      </c>
      <c r="G33935" t="s">
        <v>4019</v>
      </c>
      <c r="H33935" s="21">
        <v>500</v>
      </c>
    </row>
    <row r="33936" spans="1:8" customFormat="1" x14ac:dyDescent="0.25">
      <c r="A33936" t="str">
        <f>"0810668"</f>
        <v>0810668</v>
      </c>
      <c r="B33936" t="s">
        <v>502</v>
      </c>
      <c r="C33936" t="s">
        <v>253</v>
      </c>
      <c r="D33936" s="21" t="s">
        <v>34</v>
      </c>
      <c r="E33936" s="21" t="s">
        <v>254</v>
      </c>
      <c r="F33936">
        <v>6080096</v>
      </c>
      <c r="G33936" t="s">
        <v>20259</v>
      </c>
      <c r="H33936" s="21">
        <v>500</v>
      </c>
    </row>
    <row r="33937" spans="1:8" customFormat="1" x14ac:dyDescent="0.25">
      <c r="A33937" t="str">
        <f>"7875122"</f>
        <v>7875122</v>
      </c>
      <c r="B33937" t="s">
        <v>18687</v>
      </c>
      <c r="C33937" t="s">
        <v>498</v>
      </c>
      <c r="D33937" s="21" t="s">
        <v>34</v>
      </c>
      <c r="E33937" s="21" t="s">
        <v>35</v>
      </c>
      <c r="F33937">
        <v>8781008</v>
      </c>
      <c r="G33937" t="s">
        <v>23009</v>
      </c>
      <c r="H33937" s="21">
        <v>500</v>
      </c>
    </row>
    <row r="33938" spans="1:8" customFormat="1" x14ac:dyDescent="0.25">
      <c r="A33938" t="str">
        <f>"4526823"</f>
        <v>4526823</v>
      </c>
      <c r="B33938" t="s">
        <v>28732</v>
      </c>
      <c r="C33938" t="s">
        <v>28733</v>
      </c>
      <c r="D33938" s="21" t="s">
        <v>34</v>
      </c>
      <c r="E33938" s="21" t="s">
        <v>71</v>
      </c>
      <c r="F33938">
        <v>4450617</v>
      </c>
      <c r="G33938" t="s">
        <v>4708</v>
      </c>
      <c r="H33938" s="21">
        <v>500</v>
      </c>
    </row>
    <row r="33939" spans="1:8" customFormat="1" x14ac:dyDescent="0.25">
      <c r="A33939" t="str">
        <f>"9A1620"</f>
        <v>9A1620</v>
      </c>
      <c r="B33939" t="s">
        <v>28734</v>
      </c>
      <c r="C33939" t="s">
        <v>40</v>
      </c>
      <c r="D33939" s="21" t="s">
        <v>34</v>
      </c>
      <c r="E33939" s="21" t="s">
        <v>254</v>
      </c>
      <c r="F33939" t="s">
        <v>28735</v>
      </c>
      <c r="G33939" t="s">
        <v>28736</v>
      </c>
      <c r="H33939" s="21">
        <v>500</v>
      </c>
    </row>
    <row r="33940" spans="1:8" customFormat="1" x14ac:dyDescent="0.25">
      <c r="A33940" t="str">
        <f>"0112309"</f>
        <v>0112309</v>
      </c>
      <c r="B33940" t="s">
        <v>19175</v>
      </c>
      <c r="C33940" t="s">
        <v>156</v>
      </c>
      <c r="D33940" s="21" t="s">
        <v>34</v>
      </c>
      <c r="E33940" s="21" t="s">
        <v>71</v>
      </c>
      <c r="F33940">
        <v>1010034</v>
      </c>
      <c r="G33940" t="s">
        <v>10420</v>
      </c>
      <c r="H33940" s="21">
        <v>500</v>
      </c>
    </row>
    <row r="33941" spans="1:8" customFormat="1" x14ac:dyDescent="0.25">
      <c r="A33941" t="str">
        <f>"2219301"</f>
        <v>2219301</v>
      </c>
      <c r="B33941" t="s">
        <v>10123</v>
      </c>
      <c r="C33941" t="s">
        <v>1887</v>
      </c>
      <c r="D33941" s="21" t="s">
        <v>34</v>
      </c>
      <c r="E33941" s="21" t="s">
        <v>254</v>
      </c>
      <c r="F33941">
        <v>3220007</v>
      </c>
      <c r="G33941" t="s">
        <v>26946</v>
      </c>
      <c r="H33941" s="21">
        <v>500</v>
      </c>
    </row>
    <row r="33942" spans="1:8" customFormat="1" x14ac:dyDescent="0.25">
      <c r="A33942" t="str">
        <f>"163373"</f>
        <v>163373</v>
      </c>
      <c r="B33942" t="s">
        <v>28737</v>
      </c>
      <c r="C33942" t="s">
        <v>246</v>
      </c>
      <c r="D33942" s="21" t="s">
        <v>34</v>
      </c>
      <c r="E33942" s="21" t="s">
        <v>254</v>
      </c>
      <c r="F33942">
        <v>10160023</v>
      </c>
      <c r="G33942" t="s">
        <v>2246</v>
      </c>
      <c r="H33942" s="21">
        <v>500</v>
      </c>
    </row>
    <row r="33943" spans="1:8" customFormat="1" x14ac:dyDescent="0.25">
      <c r="A33943" t="str">
        <f>"6947366"</f>
        <v>6947366</v>
      </c>
      <c r="B33943" t="s">
        <v>5292</v>
      </c>
      <c r="C33943" t="s">
        <v>21997</v>
      </c>
      <c r="D33943" s="21" t="s">
        <v>34</v>
      </c>
      <c r="E33943" s="21" t="s">
        <v>35</v>
      </c>
      <c r="F33943">
        <v>1690013</v>
      </c>
      <c r="G33943" t="s">
        <v>26900</v>
      </c>
      <c r="H33943" s="21">
        <v>500</v>
      </c>
    </row>
    <row r="33944" spans="1:8" customFormat="1" x14ac:dyDescent="0.25">
      <c r="A33944" t="str">
        <f>"9W56"</f>
        <v>9W56</v>
      </c>
      <c r="B33944" t="s">
        <v>23374</v>
      </c>
      <c r="C33944" t="s">
        <v>10476</v>
      </c>
      <c r="D33944" s="21" t="s">
        <v>34</v>
      </c>
      <c r="E33944" s="21" t="s">
        <v>35</v>
      </c>
      <c r="F33944" t="s">
        <v>23154</v>
      </c>
      <c r="G33944" t="s">
        <v>28738</v>
      </c>
      <c r="H33944" s="21">
        <v>500</v>
      </c>
    </row>
    <row r="33945" spans="1:8" customFormat="1" x14ac:dyDescent="0.25">
      <c r="A33945" t="str">
        <f>"229252"</f>
        <v>229252</v>
      </c>
      <c r="B33945" t="s">
        <v>2403</v>
      </c>
      <c r="C33945" t="s">
        <v>3905</v>
      </c>
      <c r="D33945" s="21" t="s">
        <v>34</v>
      </c>
      <c r="E33945" s="21" t="s">
        <v>1089</v>
      </c>
      <c r="F33945">
        <v>3220138</v>
      </c>
      <c r="G33945" t="s">
        <v>27804</v>
      </c>
      <c r="H33945" s="21">
        <v>500</v>
      </c>
    </row>
    <row r="33946" spans="1:8" customFormat="1" x14ac:dyDescent="0.25">
      <c r="A33946" t="str">
        <f>"2939596"</f>
        <v>2939596</v>
      </c>
      <c r="B33946" t="s">
        <v>28739</v>
      </c>
      <c r="C33946" t="s">
        <v>1231</v>
      </c>
      <c r="D33946" s="21" t="s">
        <v>34</v>
      </c>
      <c r="E33946" s="21" t="s">
        <v>71</v>
      </c>
      <c r="F33946">
        <v>3290244</v>
      </c>
      <c r="G33946" t="s">
        <v>573</v>
      </c>
      <c r="H33946" s="21">
        <v>500</v>
      </c>
    </row>
    <row r="33947" spans="1:8" customFormat="1" x14ac:dyDescent="0.25">
      <c r="A33947" t="str">
        <f>"692529"</f>
        <v>692529</v>
      </c>
      <c r="B33947" t="s">
        <v>9781</v>
      </c>
      <c r="C33947" t="s">
        <v>253</v>
      </c>
      <c r="D33947" s="21" t="s">
        <v>34</v>
      </c>
      <c r="E33947" s="21" t="s">
        <v>1089</v>
      </c>
      <c r="F33947">
        <v>1690155</v>
      </c>
      <c r="G33947" t="s">
        <v>11464</v>
      </c>
      <c r="H33947" s="21">
        <v>500</v>
      </c>
    </row>
    <row r="33948" spans="1:8" customFormat="1" x14ac:dyDescent="0.25">
      <c r="A33948" t="str">
        <f>"6313673"</f>
        <v>6313673</v>
      </c>
      <c r="B33948" t="s">
        <v>11212</v>
      </c>
      <c r="C33948" t="s">
        <v>239</v>
      </c>
      <c r="D33948" s="21" t="s">
        <v>34</v>
      </c>
      <c r="E33948" s="21" t="s">
        <v>254</v>
      </c>
      <c r="F33948">
        <v>1630012</v>
      </c>
      <c r="G33948" t="s">
        <v>8636</v>
      </c>
      <c r="H33948" s="21">
        <v>500</v>
      </c>
    </row>
    <row r="33949" spans="1:8" customFormat="1" x14ac:dyDescent="0.25">
      <c r="A33949" t="str">
        <f>"5319377"</f>
        <v>5319377</v>
      </c>
      <c r="B33949" t="s">
        <v>9404</v>
      </c>
      <c r="C33949" t="s">
        <v>87</v>
      </c>
      <c r="D33949" s="21" t="s">
        <v>34</v>
      </c>
      <c r="E33949" s="21" t="s">
        <v>71</v>
      </c>
      <c r="F33949">
        <v>12530036</v>
      </c>
      <c r="G33949" t="s">
        <v>2200</v>
      </c>
      <c r="H33949" s="21">
        <v>500</v>
      </c>
    </row>
    <row r="33950" spans="1:8" customFormat="1" x14ac:dyDescent="0.25">
      <c r="A33950" t="str">
        <f>"859613"</f>
        <v>859613</v>
      </c>
      <c r="B33950" t="s">
        <v>3978</v>
      </c>
      <c r="C33950" t="s">
        <v>528</v>
      </c>
      <c r="D33950" s="21" t="s">
        <v>34</v>
      </c>
      <c r="E33950" s="21" t="s">
        <v>254</v>
      </c>
      <c r="F33950">
        <v>12850031</v>
      </c>
      <c r="G33950" t="s">
        <v>3180</v>
      </c>
      <c r="H33950" s="21">
        <v>500</v>
      </c>
    </row>
    <row r="33951" spans="1:8" customFormat="1" x14ac:dyDescent="0.25">
      <c r="A33951" t="str">
        <f>"9146791"</f>
        <v>9146791</v>
      </c>
      <c r="B33951" t="s">
        <v>4285</v>
      </c>
      <c r="C33951" t="s">
        <v>114</v>
      </c>
      <c r="D33951" s="21" t="s">
        <v>34</v>
      </c>
      <c r="E33951" s="21" t="s">
        <v>71</v>
      </c>
      <c r="F33951">
        <v>8910165</v>
      </c>
      <c r="G33951" t="s">
        <v>3184</v>
      </c>
      <c r="H33951" s="21">
        <v>500</v>
      </c>
    </row>
    <row r="33952" spans="1:8" customFormat="1" x14ac:dyDescent="0.25">
      <c r="A33952" t="str">
        <f>"459470"</f>
        <v>459470</v>
      </c>
      <c r="B33952" t="s">
        <v>13646</v>
      </c>
      <c r="C33952" t="s">
        <v>2907</v>
      </c>
      <c r="D33952" s="21" t="s">
        <v>34</v>
      </c>
      <c r="E33952" s="21" t="s">
        <v>71</v>
      </c>
      <c r="F33952">
        <v>4450702</v>
      </c>
      <c r="G33952" t="s">
        <v>1772</v>
      </c>
      <c r="H33952" s="21">
        <v>500</v>
      </c>
    </row>
    <row r="33953" spans="1:8" customFormat="1" x14ac:dyDescent="0.25">
      <c r="A33953" t="str">
        <f>"723049"</f>
        <v>723049</v>
      </c>
      <c r="B33953" t="s">
        <v>2469</v>
      </c>
      <c r="C33953" t="s">
        <v>1142</v>
      </c>
      <c r="D33953" s="21" t="s">
        <v>34</v>
      </c>
      <c r="E33953" s="21" t="s">
        <v>1089</v>
      </c>
      <c r="F33953">
        <v>12720091</v>
      </c>
      <c r="G33953" t="s">
        <v>10895</v>
      </c>
      <c r="H33953" s="21">
        <v>500</v>
      </c>
    </row>
    <row r="33954" spans="1:8" customFormat="1" x14ac:dyDescent="0.25">
      <c r="A33954" t="str">
        <f>"302658"</f>
        <v>302658</v>
      </c>
      <c r="B33954" t="s">
        <v>18964</v>
      </c>
      <c r="C33954" t="s">
        <v>253</v>
      </c>
      <c r="D33954" s="21" t="s">
        <v>34</v>
      </c>
      <c r="E33954" s="21" t="s">
        <v>6185</v>
      </c>
      <c r="F33954">
        <v>11300003</v>
      </c>
      <c r="G33954" t="s">
        <v>7949</v>
      </c>
      <c r="H33954" s="21">
        <v>500</v>
      </c>
    </row>
    <row r="33955" spans="1:8" customFormat="1" x14ac:dyDescent="0.25">
      <c r="A33955" t="str">
        <f>"5980799"</f>
        <v>5980799</v>
      </c>
      <c r="B33955" t="s">
        <v>108</v>
      </c>
      <c r="C33955" t="s">
        <v>198</v>
      </c>
      <c r="D33955" s="21" t="s">
        <v>34</v>
      </c>
      <c r="E33955" s="21" t="s">
        <v>71</v>
      </c>
      <c r="F33955">
        <v>7590412</v>
      </c>
      <c r="G33955" t="s">
        <v>489</v>
      </c>
      <c r="H33955" s="21">
        <v>500</v>
      </c>
    </row>
    <row r="33956" spans="1:8" customFormat="1" x14ac:dyDescent="0.25">
      <c r="A33956" t="str">
        <f>"6233971"</f>
        <v>6233971</v>
      </c>
      <c r="B33956" t="s">
        <v>20594</v>
      </c>
      <c r="C33956" t="s">
        <v>62</v>
      </c>
      <c r="D33956" s="21" t="s">
        <v>34</v>
      </c>
      <c r="E33956" s="21" t="s">
        <v>35</v>
      </c>
      <c r="F33956">
        <v>7620067</v>
      </c>
      <c r="G33956" t="s">
        <v>860</v>
      </c>
      <c r="H33956" s="21">
        <v>500</v>
      </c>
    </row>
    <row r="33957" spans="1:8" customFormat="1" x14ac:dyDescent="0.25">
      <c r="A33957" t="str">
        <f>"9F232"</f>
        <v>9F232</v>
      </c>
      <c r="B33957" t="s">
        <v>28740</v>
      </c>
      <c r="C33957" t="s">
        <v>1605</v>
      </c>
      <c r="D33957" s="21" t="s">
        <v>34</v>
      </c>
      <c r="E33957" s="21" t="s">
        <v>6185</v>
      </c>
      <c r="F33957" t="s">
        <v>2591</v>
      </c>
      <c r="G33957" t="s">
        <v>2592</v>
      </c>
      <c r="H33957" s="21">
        <v>500</v>
      </c>
    </row>
    <row r="33958" spans="1:8" customFormat="1" x14ac:dyDescent="0.25">
      <c r="A33958" t="str">
        <f>"6016387"</f>
        <v>6016387</v>
      </c>
      <c r="B33958" t="s">
        <v>7879</v>
      </c>
      <c r="C33958" t="s">
        <v>1812</v>
      </c>
      <c r="D33958" s="21" t="s">
        <v>34</v>
      </c>
      <c r="E33958" s="21" t="s">
        <v>254</v>
      </c>
      <c r="F33958">
        <v>7600026</v>
      </c>
      <c r="G33958" t="s">
        <v>10079</v>
      </c>
      <c r="H33958" s="21">
        <v>500</v>
      </c>
    </row>
    <row r="33959" spans="1:8" customFormat="1" x14ac:dyDescent="0.25">
      <c r="A33959" t="str">
        <f>"1717449"</f>
        <v>1717449</v>
      </c>
      <c r="B33959" t="s">
        <v>22341</v>
      </c>
      <c r="C33959" t="s">
        <v>2479</v>
      </c>
      <c r="D33959" s="21" t="s">
        <v>34</v>
      </c>
      <c r="E33959" s="21" t="s">
        <v>254</v>
      </c>
      <c r="F33959">
        <v>10170012</v>
      </c>
      <c r="G33959" t="s">
        <v>14768</v>
      </c>
      <c r="H33959" s="21">
        <v>500</v>
      </c>
    </row>
    <row r="33960" spans="1:8" customFormat="1" x14ac:dyDescent="0.25">
      <c r="A33960" t="str">
        <f>"9526139"</f>
        <v>9526139</v>
      </c>
      <c r="B33960" t="s">
        <v>23069</v>
      </c>
      <c r="C33960" t="s">
        <v>130</v>
      </c>
      <c r="D33960" s="21" t="s">
        <v>34</v>
      </c>
      <c r="E33960" s="21" t="s">
        <v>71</v>
      </c>
      <c r="F33960">
        <v>8950088</v>
      </c>
      <c r="G33960" t="s">
        <v>11015</v>
      </c>
      <c r="H33960" s="21">
        <v>500</v>
      </c>
    </row>
    <row r="33961" spans="1:8" customFormat="1" x14ac:dyDescent="0.25">
      <c r="A33961" t="str">
        <f>"719119"</f>
        <v>719119</v>
      </c>
      <c r="B33961" t="s">
        <v>13408</v>
      </c>
      <c r="C33961" t="s">
        <v>267</v>
      </c>
      <c r="D33961" s="21" t="s">
        <v>34</v>
      </c>
      <c r="E33961" s="21" t="s">
        <v>254</v>
      </c>
      <c r="F33961">
        <v>2710072</v>
      </c>
      <c r="G33961" t="s">
        <v>1461</v>
      </c>
      <c r="H33961" s="21">
        <v>500</v>
      </c>
    </row>
    <row r="33962" spans="1:8" customFormat="1" x14ac:dyDescent="0.25">
      <c r="A33962" t="str">
        <f>"647481"</f>
        <v>647481</v>
      </c>
      <c r="B33962" t="s">
        <v>28741</v>
      </c>
      <c r="C33962" t="s">
        <v>1539</v>
      </c>
      <c r="D33962" s="21" t="s">
        <v>34</v>
      </c>
      <c r="E33962" s="21" t="s">
        <v>71</v>
      </c>
      <c r="F33962">
        <v>11320027</v>
      </c>
      <c r="G33962" t="s">
        <v>8305</v>
      </c>
      <c r="H33962" s="21">
        <v>500</v>
      </c>
    </row>
    <row r="33963" spans="1:8" customFormat="1" x14ac:dyDescent="0.25">
      <c r="A33963" t="str">
        <f>"5965696"</f>
        <v>5965696</v>
      </c>
      <c r="B33963" t="s">
        <v>5785</v>
      </c>
      <c r="C33963" t="s">
        <v>1914</v>
      </c>
      <c r="D33963" s="21" t="s">
        <v>34</v>
      </c>
      <c r="E33963" s="21" t="s">
        <v>1089</v>
      </c>
      <c r="F33963">
        <v>7590414</v>
      </c>
      <c r="G33963" t="s">
        <v>10056</v>
      </c>
      <c r="H33963" s="21">
        <v>500</v>
      </c>
    </row>
    <row r="33964" spans="1:8" customFormat="1" x14ac:dyDescent="0.25">
      <c r="A33964" t="str">
        <f>"6021122"</f>
        <v>6021122</v>
      </c>
      <c r="B33964" t="s">
        <v>2155</v>
      </c>
      <c r="C33964" t="s">
        <v>2305</v>
      </c>
      <c r="D33964" s="21" t="s">
        <v>34</v>
      </c>
      <c r="E33964" s="21" t="s">
        <v>71</v>
      </c>
      <c r="F33964">
        <v>7600081</v>
      </c>
      <c r="G33964" t="s">
        <v>5845</v>
      </c>
      <c r="H33964" s="21">
        <v>500</v>
      </c>
    </row>
    <row r="33965" spans="1:8" customFormat="1" x14ac:dyDescent="0.25">
      <c r="A33965" t="str">
        <f>"4113127"</f>
        <v>4113127</v>
      </c>
      <c r="B33965" t="s">
        <v>22896</v>
      </c>
      <c r="C33965" t="s">
        <v>130</v>
      </c>
      <c r="D33965" s="21" t="s">
        <v>34</v>
      </c>
      <c r="E33965" s="21" t="s">
        <v>254</v>
      </c>
      <c r="F33965">
        <v>4410567</v>
      </c>
      <c r="G33965" t="s">
        <v>13742</v>
      </c>
      <c r="H33965" s="21">
        <v>500</v>
      </c>
    </row>
    <row r="33966" spans="1:8" customFormat="1" x14ac:dyDescent="0.25">
      <c r="A33966" t="str">
        <f>"2517387"</f>
        <v>2517387</v>
      </c>
      <c r="B33966" t="s">
        <v>28742</v>
      </c>
      <c r="C33966" t="s">
        <v>926</v>
      </c>
      <c r="D33966" s="21" t="s">
        <v>34</v>
      </c>
      <c r="E33966" s="21" t="s">
        <v>254</v>
      </c>
      <c r="F33966">
        <v>2250066</v>
      </c>
      <c r="G33966" t="s">
        <v>5321</v>
      </c>
      <c r="H33966" s="21">
        <v>500</v>
      </c>
    </row>
    <row r="33967" spans="1:8" customFormat="1" x14ac:dyDescent="0.25">
      <c r="A33967" t="str">
        <f>"101534"</f>
        <v>101534</v>
      </c>
      <c r="B33967" t="s">
        <v>582</v>
      </c>
      <c r="C33967" t="s">
        <v>547</v>
      </c>
      <c r="D33967" s="21" t="s">
        <v>34</v>
      </c>
      <c r="E33967" s="21" t="s">
        <v>1089</v>
      </c>
      <c r="F33967">
        <v>6100002</v>
      </c>
      <c r="G33967" t="s">
        <v>1602</v>
      </c>
      <c r="H33967" s="21">
        <v>500</v>
      </c>
    </row>
    <row r="33968" spans="1:8" customFormat="1" x14ac:dyDescent="0.25">
      <c r="A33968" t="str">
        <f>"4926421"</f>
        <v>4926421</v>
      </c>
      <c r="B33968" t="s">
        <v>28743</v>
      </c>
      <c r="C33968" t="s">
        <v>664</v>
      </c>
      <c r="D33968" s="21" t="s">
        <v>34</v>
      </c>
      <c r="E33968" s="21" t="s">
        <v>1089</v>
      </c>
      <c r="F33968">
        <v>12490026</v>
      </c>
      <c r="G33968" t="s">
        <v>6274</v>
      </c>
      <c r="H33968" s="21">
        <v>500</v>
      </c>
    </row>
    <row r="33969" spans="1:8" customFormat="1" x14ac:dyDescent="0.25">
      <c r="A33969" t="str">
        <f>"312400"</f>
        <v>312400</v>
      </c>
      <c r="B33969" t="s">
        <v>22974</v>
      </c>
      <c r="C33969" t="s">
        <v>239</v>
      </c>
      <c r="D33969" s="21" t="s">
        <v>34</v>
      </c>
      <c r="E33969" s="21" t="s">
        <v>254</v>
      </c>
      <c r="F33969">
        <v>11310070</v>
      </c>
      <c r="G33969" t="s">
        <v>11563</v>
      </c>
      <c r="H33969" s="21">
        <v>500</v>
      </c>
    </row>
    <row r="33970" spans="1:8" customFormat="1" x14ac:dyDescent="0.25">
      <c r="A33970" t="str">
        <f>"2617757"</f>
        <v>2617757</v>
      </c>
      <c r="B33970" t="s">
        <v>18731</v>
      </c>
      <c r="C33970" t="s">
        <v>187</v>
      </c>
      <c r="D33970" s="21" t="s">
        <v>34</v>
      </c>
      <c r="E33970" s="21" t="s">
        <v>35</v>
      </c>
      <c r="F33970">
        <v>1260004</v>
      </c>
      <c r="G33970" t="s">
        <v>1429</v>
      </c>
      <c r="H33970" s="21">
        <v>500</v>
      </c>
    </row>
    <row r="33971" spans="1:8" customFormat="1" x14ac:dyDescent="0.25">
      <c r="A33971" t="str">
        <f>"901861"</f>
        <v>901861</v>
      </c>
      <c r="B33971" t="s">
        <v>22455</v>
      </c>
      <c r="C33971" t="s">
        <v>2520</v>
      </c>
      <c r="D33971" s="21" t="s">
        <v>34</v>
      </c>
      <c r="E33971" s="21" t="s">
        <v>1089</v>
      </c>
      <c r="F33971">
        <v>2900046</v>
      </c>
      <c r="G33971" t="s">
        <v>4101</v>
      </c>
      <c r="H33971" s="21">
        <v>500</v>
      </c>
    </row>
    <row r="33972" spans="1:8" customFormat="1" x14ac:dyDescent="0.25">
      <c r="A33972" t="str">
        <f>"6949858"</f>
        <v>6949858</v>
      </c>
      <c r="B33972" t="s">
        <v>28744</v>
      </c>
      <c r="C33972" t="s">
        <v>1468</v>
      </c>
      <c r="D33972" s="21" t="s">
        <v>34</v>
      </c>
      <c r="E33972" s="21" t="s">
        <v>35</v>
      </c>
      <c r="F33972">
        <v>1690147</v>
      </c>
      <c r="G33972" t="s">
        <v>7245</v>
      </c>
      <c r="H33972" s="21">
        <v>500</v>
      </c>
    </row>
    <row r="33973" spans="1:8" customFormat="1" x14ac:dyDescent="0.25">
      <c r="A33973" t="str">
        <f>"1426281"</f>
        <v>1426281</v>
      </c>
      <c r="B33973" t="s">
        <v>28745</v>
      </c>
      <c r="C33973" t="s">
        <v>302</v>
      </c>
      <c r="D33973" s="21" t="s">
        <v>34</v>
      </c>
      <c r="E33973" s="21" t="s">
        <v>71</v>
      </c>
      <c r="F33973">
        <v>9140083</v>
      </c>
      <c r="G33973" t="s">
        <v>8440</v>
      </c>
      <c r="H33973" s="21">
        <v>500</v>
      </c>
    </row>
    <row r="33974" spans="1:8" customFormat="1" x14ac:dyDescent="0.25">
      <c r="A33974" t="str">
        <f>"7415003"</f>
        <v>7415003</v>
      </c>
      <c r="B33974" t="s">
        <v>28746</v>
      </c>
      <c r="C33974" t="s">
        <v>156</v>
      </c>
      <c r="D33974" s="21" t="s">
        <v>34</v>
      </c>
      <c r="E33974" s="21" t="s">
        <v>35</v>
      </c>
      <c r="F33974">
        <v>1740060</v>
      </c>
      <c r="G33974" t="s">
        <v>4907</v>
      </c>
      <c r="H33974" s="21">
        <v>500</v>
      </c>
    </row>
    <row r="33975" spans="1:8" customFormat="1" x14ac:dyDescent="0.25">
      <c r="A33975" t="str">
        <f>"6724051"</f>
        <v>6724051</v>
      </c>
      <c r="B33975" t="s">
        <v>23203</v>
      </c>
      <c r="C33975" t="s">
        <v>1705</v>
      </c>
      <c r="D33975" s="21" t="s">
        <v>34</v>
      </c>
      <c r="E33975" s="21" t="s">
        <v>254</v>
      </c>
      <c r="F33975">
        <v>6670202</v>
      </c>
      <c r="G33975" t="s">
        <v>605</v>
      </c>
      <c r="H33975" s="21">
        <v>500</v>
      </c>
    </row>
    <row r="33976" spans="1:8" customFormat="1" x14ac:dyDescent="0.25">
      <c r="A33976" t="str">
        <f>"6232235"</f>
        <v>6232235</v>
      </c>
      <c r="B33976" t="s">
        <v>2335</v>
      </c>
      <c r="C33976" t="s">
        <v>65</v>
      </c>
      <c r="D33976" s="21" t="s">
        <v>34</v>
      </c>
      <c r="E33976" s="21" t="s">
        <v>35</v>
      </c>
      <c r="F33976">
        <v>7620181</v>
      </c>
      <c r="G33976" t="s">
        <v>2268</v>
      </c>
      <c r="H33976" s="21">
        <v>500</v>
      </c>
    </row>
    <row r="33977" spans="1:8" customFormat="1" x14ac:dyDescent="0.25">
      <c r="A33977" t="str">
        <f>"6725918"</f>
        <v>6725918</v>
      </c>
      <c r="B33977" t="s">
        <v>16886</v>
      </c>
      <c r="C33977" t="s">
        <v>33</v>
      </c>
      <c r="D33977" s="21" t="s">
        <v>34</v>
      </c>
      <c r="E33977" s="21" t="s">
        <v>35</v>
      </c>
      <c r="F33977">
        <v>6670271</v>
      </c>
      <c r="G33977" t="s">
        <v>5193</v>
      </c>
      <c r="H33977" s="21">
        <v>500</v>
      </c>
    </row>
    <row r="33978" spans="1:8" customFormat="1" x14ac:dyDescent="0.25">
      <c r="A33978" t="str">
        <f>"69479"</f>
        <v>69479</v>
      </c>
      <c r="B33978" t="s">
        <v>24016</v>
      </c>
      <c r="C33978" t="s">
        <v>822</v>
      </c>
      <c r="D33978" s="21" t="s">
        <v>34</v>
      </c>
      <c r="E33978" s="21" t="s">
        <v>6185</v>
      </c>
      <c r="F33978">
        <v>1690014</v>
      </c>
      <c r="G33978" t="s">
        <v>8728</v>
      </c>
      <c r="H33978" s="21">
        <v>500</v>
      </c>
    </row>
    <row r="33979" spans="1:8" customFormat="1" x14ac:dyDescent="0.25">
      <c r="A33979" t="str">
        <f>"2938534"</f>
        <v>2938534</v>
      </c>
      <c r="B33979" t="s">
        <v>5613</v>
      </c>
      <c r="C33979" t="s">
        <v>1199</v>
      </c>
      <c r="D33979" s="21" t="s">
        <v>34</v>
      </c>
      <c r="E33979" s="21" t="s">
        <v>1089</v>
      </c>
      <c r="F33979">
        <v>3290081</v>
      </c>
      <c r="G33979" t="s">
        <v>3819</v>
      </c>
      <c r="H33979" s="21">
        <v>500</v>
      </c>
    </row>
    <row r="33980" spans="1:8" customFormat="1" x14ac:dyDescent="0.25">
      <c r="A33980" t="str">
        <f>"9317094"</f>
        <v>9317094</v>
      </c>
      <c r="B33980" t="s">
        <v>28747</v>
      </c>
      <c r="C33980" t="s">
        <v>977</v>
      </c>
      <c r="D33980" s="21" t="s">
        <v>34</v>
      </c>
      <c r="E33980" s="21" t="s">
        <v>35</v>
      </c>
      <c r="F33980">
        <v>8930598</v>
      </c>
      <c r="G33980" t="s">
        <v>445</v>
      </c>
      <c r="H33980" s="21">
        <v>500</v>
      </c>
    </row>
    <row r="33981" spans="1:8" customFormat="1" x14ac:dyDescent="0.25">
      <c r="A33981" t="str">
        <f>"9780117"</f>
        <v>9780117</v>
      </c>
      <c r="B33981" t="s">
        <v>2999</v>
      </c>
      <c r="C33981" t="s">
        <v>3905</v>
      </c>
      <c r="D33981" s="21" t="s">
        <v>34</v>
      </c>
      <c r="E33981" s="21" t="s">
        <v>35</v>
      </c>
      <c r="F33981" t="s">
        <v>2839</v>
      </c>
      <c r="G33981" t="s">
        <v>2840</v>
      </c>
      <c r="H33981" s="21">
        <v>500</v>
      </c>
    </row>
    <row r="33982" spans="1:8" customFormat="1" x14ac:dyDescent="0.25">
      <c r="A33982" t="str">
        <f>"5734558"</f>
        <v>5734558</v>
      </c>
      <c r="B33982" t="s">
        <v>28748</v>
      </c>
      <c r="C33982" t="s">
        <v>2984</v>
      </c>
      <c r="D33982" s="21" t="s">
        <v>34</v>
      </c>
      <c r="E33982" s="21" t="s">
        <v>71</v>
      </c>
      <c r="F33982">
        <v>6570008</v>
      </c>
      <c r="G33982" t="s">
        <v>899</v>
      </c>
      <c r="H33982" s="21">
        <v>500</v>
      </c>
    </row>
    <row r="33983" spans="1:8" customFormat="1" x14ac:dyDescent="0.25">
      <c r="A33983" t="str">
        <f>"8014359"</f>
        <v>8014359</v>
      </c>
      <c r="B33983" t="s">
        <v>7125</v>
      </c>
      <c r="C33983" t="s">
        <v>2546</v>
      </c>
      <c r="D33983" s="21" t="s">
        <v>34</v>
      </c>
      <c r="E33983" s="21" t="s">
        <v>254</v>
      </c>
      <c r="F33983">
        <v>7800117</v>
      </c>
      <c r="G33983" t="s">
        <v>20999</v>
      </c>
      <c r="H33983" s="21">
        <v>500</v>
      </c>
    </row>
    <row r="33984" spans="1:8" customFormat="1" x14ac:dyDescent="0.25">
      <c r="A33984" t="str">
        <f>"1425661"</f>
        <v>1425661</v>
      </c>
      <c r="B33984" t="s">
        <v>2726</v>
      </c>
      <c r="C33984" t="s">
        <v>33</v>
      </c>
      <c r="D33984" s="21" t="s">
        <v>34</v>
      </c>
      <c r="E33984" s="21" t="s">
        <v>35</v>
      </c>
      <c r="F33984">
        <v>9140054</v>
      </c>
      <c r="G33984" t="s">
        <v>3300</v>
      </c>
      <c r="H33984" s="21">
        <v>500</v>
      </c>
    </row>
    <row r="33985" spans="1:8" customFormat="1" x14ac:dyDescent="0.25">
      <c r="A33985" t="str">
        <f>"5984425"</f>
        <v>5984425</v>
      </c>
      <c r="B33985" t="s">
        <v>28749</v>
      </c>
      <c r="C33985" t="s">
        <v>124</v>
      </c>
      <c r="D33985" s="21" t="s">
        <v>34</v>
      </c>
      <c r="E33985" s="21" t="s">
        <v>254</v>
      </c>
      <c r="F33985">
        <v>7590170</v>
      </c>
      <c r="G33985" t="s">
        <v>868</v>
      </c>
      <c r="H33985" s="21">
        <v>500</v>
      </c>
    </row>
    <row r="33986" spans="1:8" customFormat="1" x14ac:dyDescent="0.25">
      <c r="A33986" t="str">
        <f>"1321125"</f>
        <v>1321125</v>
      </c>
      <c r="B33986" t="s">
        <v>3519</v>
      </c>
      <c r="C33986" t="s">
        <v>96</v>
      </c>
      <c r="D33986" s="21" t="s">
        <v>34</v>
      </c>
      <c r="E33986" s="21" t="s">
        <v>35</v>
      </c>
      <c r="F33986">
        <v>13130026</v>
      </c>
      <c r="G33986" t="s">
        <v>3792</v>
      </c>
      <c r="H33986" s="21">
        <v>500</v>
      </c>
    </row>
    <row r="33987" spans="1:8" customFormat="1" x14ac:dyDescent="0.25">
      <c r="A33987" t="str">
        <f>"5965698"</f>
        <v>5965698</v>
      </c>
      <c r="B33987" t="s">
        <v>22818</v>
      </c>
      <c r="C33987" t="s">
        <v>114</v>
      </c>
      <c r="D33987" s="21" t="s">
        <v>34</v>
      </c>
      <c r="E33987" s="21" t="s">
        <v>71</v>
      </c>
      <c r="F33987">
        <v>7590414</v>
      </c>
      <c r="G33987" t="s">
        <v>10056</v>
      </c>
      <c r="H33987" s="21">
        <v>500</v>
      </c>
    </row>
    <row r="33988" spans="1:8" customFormat="1" x14ac:dyDescent="0.25">
      <c r="A33988" t="str">
        <f>"367919"</f>
        <v>367919</v>
      </c>
      <c r="B33988" t="s">
        <v>16897</v>
      </c>
      <c r="C33988" t="s">
        <v>275</v>
      </c>
      <c r="D33988" s="21" t="s">
        <v>34</v>
      </c>
      <c r="E33988" s="21" t="s">
        <v>35</v>
      </c>
      <c r="F33988">
        <v>4360728</v>
      </c>
      <c r="G33988" t="s">
        <v>12735</v>
      </c>
      <c r="H33988" s="21">
        <v>500</v>
      </c>
    </row>
    <row r="33989" spans="1:8" customFormat="1" x14ac:dyDescent="0.25">
      <c r="A33989" t="str">
        <f>"7882046"</f>
        <v>7882046</v>
      </c>
      <c r="B33989" t="s">
        <v>12119</v>
      </c>
      <c r="C33989" t="s">
        <v>121</v>
      </c>
      <c r="D33989" s="21" t="s">
        <v>34</v>
      </c>
      <c r="E33989" s="21" t="s">
        <v>71</v>
      </c>
      <c r="F33989">
        <v>8780224</v>
      </c>
      <c r="G33989" t="s">
        <v>8599</v>
      </c>
      <c r="H33989" s="21">
        <v>500</v>
      </c>
    </row>
    <row r="33990" spans="1:8" customFormat="1" x14ac:dyDescent="0.25">
      <c r="A33990" t="str">
        <f>"0115223"</f>
        <v>0115223</v>
      </c>
      <c r="B33990" t="s">
        <v>21132</v>
      </c>
      <c r="C33990" t="s">
        <v>2730</v>
      </c>
      <c r="D33990" s="21" t="s">
        <v>34</v>
      </c>
      <c r="E33990" s="21" t="s">
        <v>1089</v>
      </c>
      <c r="F33990">
        <v>1010001</v>
      </c>
      <c r="G33990" t="s">
        <v>2161</v>
      </c>
      <c r="H33990" s="21">
        <v>500</v>
      </c>
    </row>
    <row r="33991" spans="1:8" customFormat="1" x14ac:dyDescent="0.25">
      <c r="A33991" t="str">
        <f>"6930171"</f>
        <v>6930171</v>
      </c>
      <c r="B33991" t="s">
        <v>22345</v>
      </c>
      <c r="C33991" t="s">
        <v>1665</v>
      </c>
      <c r="D33991" s="21" t="s">
        <v>34</v>
      </c>
      <c r="E33991" s="21" t="s">
        <v>254</v>
      </c>
      <c r="F33991">
        <v>1690090</v>
      </c>
      <c r="G33991" t="s">
        <v>6286</v>
      </c>
      <c r="H33991" s="21">
        <v>500</v>
      </c>
    </row>
    <row r="33992" spans="1:8" customFormat="1" x14ac:dyDescent="0.25">
      <c r="A33992" t="str">
        <f>"9321035"</f>
        <v>9321035</v>
      </c>
      <c r="B33992" t="s">
        <v>28750</v>
      </c>
      <c r="C33992" t="s">
        <v>121</v>
      </c>
      <c r="D33992" s="21" t="s">
        <v>34</v>
      </c>
      <c r="E33992" s="21" t="s">
        <v>71</v>
      </c>
      <c r="F33992">
        <v>8940070</v>
      </c>
      <c r="G33992" t="s">
        <v>2320</v>
      </c>
      <c r="H33992" s="21">
        <v>500</v>
      </c>
    </row>
    <row r="33993" spans="1:8" customFormat="1" x14ac:dyDescent="0.25">
      <c r="A33993" t="str">
        <f>"4936842"</f>
        <v>4936842</v>
      </c>
      <c r="B33993" t="s">
        <v>5624</v>
      </c>
      <c r="C33993" t="s">
        <v>87</v>
      </c>
      <c r="D33993" s="21" t="s">
        <v>34</v>
      </c>
      <c r="E33993" s="21" t="s">
        <v>71</v>
      </c>
      <c r="F33993">
        <v>12490124</v>
      </c>
      <c r="G33993" t="s">
        <v>677</v>
      </c>
      <c r="H33993" s="21">
        <v>500</v>
      </c>
    </row>
    <row r="33994" spans="1:8" customFormat="1" x14ac:dyDescent="0.25">
      <c r="A33994" t="str">
        <f>"935214"</f>
        <v>935214</v>
      </c>
      <c r="B33994" t="s">
        <v>22938</v>
      </c>
      <c r="C33994" t="s">
        <v>253</v>
      </c>
      <c r="D33994" s="21" t="s">
        <v>34</v>
      </c>
      <c r="E33994" s="21" t="s">
        <v>1089</v>
      </c>
      <c r="F33994">
        <v>8931313</v>
      </c>
      <c r="G33994" t="s">
        <v>3305</v>
      </c>
      <c r="H33994" s="21">
        <v>500</v>
      </c>
    </row>
    <row r="33995" spans="1:8" customFormat="1" x14ac:dyDescent="0.25">
      <c r="A33995" t="str">
        <f>"6023335"</f>
        <v>6023335</v>
      </c>
      <c r="B33995" t="s">
        <v>28751</v>
      </c>
      <c r="C33995" t="s">
        <v>288</v>
      </c>
      <c r="D33995" s="21" t="s">
        <v>34</v>
      </c>
      <c r="E33995" s="21" t="s">
        <v>35</v>
      </c>
      <c r="F33995">
        <v>7600171</v>
      </c>
      <c r="G33995" t="s">
        <v>4705</v>
      </c>
      <c r="H33995" s="21">
        <v>500</v>
      </c>
    </row>
    <row r="33996" spans="1:8" customFormat="1" x14ac:dyDescent="0.25">
      <c r="A33996" t="str">
        <f>"3345009"</f>
        <v>3345009</v>
      </c>
      <c r="B33996" t="s">
        <v>28752</v>
      </c>
      <c r="C33996" t="s">
        <v>5877</v>
      </c>
      <c r="D33996" s="21" t="s">
        <v>34</v>
      </c>
      <c r="E33996" s="21" t="s">
        <v>35</v>
      </c>
      <c r="F33996">
        <v>10330002</v>
      </c>
      <c r="G33996" t="s">
        <v>53</v>
      </c>
      <c r="H33996" s="21">
        <v>500</v>
      </c>
    </row>
    <row r="33997" spans="1:8" customFormat="1" x14ac:dyDescent="0.25">
      <c r="A33997" t="str">
        <f>"619075"</f>
        <v>619075</v>
      </c>
      <c r="B33997" t="s">
        <v>21692</v>
      </c>
      <c r="C33997" t="s">
        <v>124</v>
      </c>
      <c r="D33997" s="21" t="s">
        <v>34</v>
      </c>
      <c r="E33997" s="21" t="s">
        <v>71</v>
      </c>
      <c r="F33997">
        <v>9610107</v>
      </c>
      <c r="G33997" t="s">
        <v>6302</v>
      </c>
      <c r="H33997" s="21">
        <v>500</v>
      </c>
    </row>
    <row r="33998" spans="1:8" customFormat="1" x14ac:dyDescent="0.25">
      <c r="A33998" t="str">
        <f>"3537030"</f>
        <v>3537030</v>
      </c>
      <c r="B33998" t="s">
        <v>28753</v>
      </c>
      <c r="C33998" t="s">
        <v>263</v>
      </c>
      <c r="D33998" s="21" t="s">
        <v>34</v>
      </c>
      <c r="E33998" s="21" t="s">
        <v>254</v>
      </c>
      <c r="F33998">
        <v>3350041</v>
      </c>
      <c r="G33998" t="s">
        <v>1589</v>
      </c>
      <c r="H33998" s="21">
        <v>500</v>
      </c>
    </row>
    <row r="33999" spans="1:8" customFormat="1" x14ac:dyDescent="0.25">
      <c r="A33999" t="str">
        <f>"4936511"</f>
        <v>4936511</v>
      </c>
      <c r="B33999" t="s">
        <v>5296</v>
      </c>
      <c r="C33999" t="s">
        <v>87</v>
      </c>
      <c r="D33999" s="21" t="s">
        <v>34</v>
      </c>
      <c r="E33999" s="21" t="s">
        <v>35</v>
      </c>
      <c r="F33999">
        <v>12490080</v>
      </c>
      <c r="G33999" t="s">
        <v>5692</v>
      </c>
      <c r="H33999" s="21">
        <v>500</v>
      </c>
    </row>
    <row r="34000" spans="1:8" customFormat="1" x14ac:dyDescent="0.25">
      <c r="A34000" t="str">
        <f>"9725792"</f>
        <v>9725792</v>
      </c>
      <c r="B34000" t="s">
        <v>23077</v>
      </c>
      <c r="C34000" t="s">
        <v>2752</v>
      </c>
      <c r="D34000" s="21" t="s">
        <v>34</v>
      </c>
      <c r="E34000" s="21" t="s">
        <v>254</v>
      </c>
      <c r="F34000" t="s">
        <v>6169</v>
      </c>
      <c r="G34000" t="s">
        <v>6170</v>
      </c>
      <c r="H34000" s="21">
        <v>500</v>
      </c>
    </row>
    <row r="34001" spans="1:8" customFormat="1" x14ac:dyDescent="0.25">
      <c r="A34001" t="str">
        <f>"7874608"</f>
        <v>7874608</v>
      </c>
      <c r="B34001" t="s">
        <v>22481</v>
      </c>
      <c r="C34001" t="s">
        <v>109</v>
      </c>
      <c r="D34001" s="21" t="s">
        <v>34</v>
      </c>
      <c r="E34001" s="21" t="s">
        <v>35</v>
      </c>
      <c r="F34001">
        <v>8781466</v>
      </c>
      <c r="G34001" t="s">
        <v>21047</v>
      </c>
      <c r="H34001" s="21">
        <v>500</v>
      </c>
    </row>
    <row r="34002" spans="1:8" customFormat="1" x14ac:dyDescent="0.25">
      <c r="A34002" t="str">
        <f>"9417192"</f>
        <v>9417192</v>
      </c>
      <c r="B34002" t="s">
        <v>28754</v>
      </c>
      <c r="C34002" t="s">
        <v>28755</v>
      </c>
      <c r="D34002" s="21" t="s">
        <v>34</v>
      </c>
      <c r="E34002" s="21" t="s">
        <v>35</v>
      </c>
      <c r="F34002">
        <v>8940012</v>
      </c>
      <c r="G34002" t="s">
        <v>1648</v>
      </c>
      <c r="H34002" s="21">
        <v>500</v>
      </c>
    </row>
    <row r="34003" spans="1:8" customFormat="1" x14ac:dyDescent="0.25">
      <c r="A34003" t="str">
        <f>"1321717"</f>
        <v>1321717</v>
      </c>
      <c r="B34003" t="s">
        <v>28756</v>
      </c>
      <c r="C34003" t="s">
        <v>156</v>
      </c>
      <c r="D34003" s="21" t="s">
        <v>34</v>
      </c>
      <c r="E34003" s="21" t="s">
        <v>35</v>
      </c>
      <c r="F34003">
        <v>13130124</v>
      </c>
      <c r="G34003" t="s">
        <v>5311</v>
      </c>
      <c r="H34003" s="21">
        <v>500</v>
      </c>
    </row>
    <row r="34004" spans="1:8" customFormat="1" x14ac:dyDescent="0.25">
      <c r="A34004" t="str">
        <f>"55817"</f>
        <v>55817</v>
      </c>
      <c r="B34004" t="s">
        <v>13868</v>
      </c>
      <c r="C34004" t="s">
        <v>879</v>
      </c>
      <c r="D34004" s="21" t="s">
        <v>34</v>
      </c>
      <c r="E34004" s="21" t="s">
        <v>71</v>
      </c>
      <c r="F34004">
        <v>6550007</v>
      </c>
      <c r="G34004" t="s">
        <v>1688</v>
      </c>
      <c r="H34004" s="21">
        <v>500</v>
      </c>
    </row>
    <row r="34005" spans="1:8" customFormat="1" x14ac:dyDescent="0.25">
      <c r="A34005" t="str">
        <f>"3719162"</f>
        <v>3719162</v>
      </c>
      <c r="B34005" t="s">
        <v>24616</v>
      </c>
      <c r="C34005" t="s">
        <v>169</v>
      </c>
      <c r="D34005" s="21" t="s">
        <v>34</v>
      </c>
      <c r="E34005" s="21" t="s">
        <v>71</v>
      </c>
      <c r="F34005">
        <v>4370583</v>
      </c>
      <c r="G34005" t="s">
        <v>13975</v>
      </c>
      <c r="H34005" s="21">
        <v>500</v>
      </c>
    </row>
    <row r="34006" spans="1:8" customFormat="1" x14ac:dyDescent="0.25">
      <c r="A34006" t="str">
        <f>"7619"</f>
        <v>7619</v>
      </c>
      <c r="B34006" t="s">
        <v>22952</v>
      </c>
      <c r="C34006" t="s">
        <v>598</v>
      </c>
      <c r="D34006" s="21" t="s">
        <v>34</v>
      </c>
      <c r="E34006" s="21" t="s">
        <v>1089</v>
      </c>
      <c r="F34006">
        <v>9760453</v>
      </c>
      <c r="G34006" t="s">
        <v>192</v>
      </c>
      <c r="H34006" s="21">
        <v>500</v>
      </c>
    </row>
    <row r="34007" spans="1:8" customFormat="1" x14ac:dyDescent="0.25">
      <c r="A34007" t="str">
        <f>"3013287"</f>
        <v>3013287</v>
      </c>
      <c r="B34007" t="s">
        <v>16130</v>
      </c>
      <c r="C34007" t="s">
        <v>528</v>
      </c>
      <c r="D34007" s="21" t="s">
        <v>34</v>
      </c>
      <c r="E34007" s="21" t="s">
        <v>71</v>
      </c>
      <c r="F34007">
        <v>11300032</v>
      </c>
      <c r="G34007" t="s">
        <v>17309</v>
      </c>
      <c r="H34007" s="21">
        <v>500</v>
      </c>
    </row>
    <row r="34008" spans="1:8" customFormat="1" x14ac:dyDescent="0.25">
      <c r="A34008" t="str">
        <f>"138988"</f>
        <v>138988</v>
      </c>
      <c r="B34008" t="s">
        <v>911</v>
      </c>
      <c r="C34008" t="s">
        <v>598</v>
      </c>
      <c r="D34008" s="21" t="s">
        <v>34</v>
      </c>
      <c r="E34008" s="21" t="s">
        <v>254</v>
      </c>
      <c r="F34008">
        <v>13130067</v>
      </c>
      <c r="G34008" t="s">
        <v>1420</v>
      </c>
      <c r="H34008" s="21">
        <v>500</v>
      </c>
    </row>
    <row r="34009" spans="1:8" customFormat="1" x14ac:dyDescent="0.25">
      <c r="A34009" t="str">
        <f>"362950"</f>
        <v>362950</v>
      </c>
      <c r="B34009" t="s">
        <v>1737</v>
      </c>
      <c r="C34009" t="s">
        <v>822</v>
      </c>
      <c r="D34009" s="21" t="s">
        <v>34</v>
      </c>
      <c r="E34009" s="21" t="s">
        <v>6185</v>
      </c>
      <c r="F34009">
        <v>4360005</v>
      </c>
      <c r="G34009" t="s">
        <v>11227</v>
      </c>
      <c r="H34009" s="21">
        <v>500</v>
      </c>
    </row>
    <row r="34010" spans="1:8" customFormat="1" x14ac:dyDescent="0.25">
      <c r="A34010" t="str">
        <f>"925343"</f>
        <v>925343</v>
      </c>
      <c r="B34010" t="s">
        <v>9149</v>
      </c>
      <c r="C34010" t="s">
        <v>267</v>
      </c>
      <c r="D34010" s="21" t="s">
        <v>34</v>
      </c>
      <c r="E34010" s="21" t="s">
        <v>1089</v>
      </c>
      <c r="F34010">
        <v>8920049</v>
      </c>
      <c r="G34010" t="s">
        <v>237</v>
      </c>
      <c r="H34010" s="21">
        <v>500</v>
      </c>
    </row>
    <row r="34011" spans="1:8" customFormat="1" x14ac:dyDescent="0.25">
      <c r="A34011" t="str">
        <f>"02555"</f>
        <v>02555</v>
      </c>
      <c r="B34011" t="s">
        <v>5292</v>
      </c>
      <c r="C34011" t="s">
        <v>547</v>
      </c>
      <c r="D34011" s="21" t="s">
        <v>34</v>
      </c>
      <c r="E34011" s="21" t="s">
        <v>254</v>
      </c>
      <c r="F34011">
        <v>7020030</v>
      </c>
      <c r="G34011" t="s">
        <v>1796</v>
      </c>
      <c r="H34011" s="21">
        <v>500</v>
      </c>
    </row>
    <row r="34012" spans="1:8" customFormat="1" x14ac:dyDescent="0.25">
      <c r="A34012" t="str">
        <f>"5977574"</f>
        <v>5977574</v>
      </c>
      <c r="B34012" t="s">
        <v>28757</v>
      </c>
      <c r="C34012" t="s">
        <v>269</v>
      </c>
      <c r="D34012" s="21" t="s">
        <v>34</v>
      </c>
      <c r="E34012" s="21" t="s">
        <v>71</v>
      </c>
      <c r="F34012">
        <v>7590194</v>
      </c>
      <c r="G34012" t="s">
        <v>460</v>
      </c>
      <c r="H34012" s="21">
        <v>500</v>
      </c>
    </row>
    <row r="34013" spans="1:8" customFormat="1" x14ac:dyDescent="0.25">
      <c r="A34013" t="str">
        <f>"6215807"</f>
        <v>6215807</v>
      </c>
      <c r="B34013" t="s">
        <v>5785</v>
      </c>
      <c r="C34013" t="s">
        <v>2479</v>
      </c>
      <c r="D34013" s="21" t="s">
        <v>34</v>
      </c>
      <c r="E34013" s="21" t="s">
        <v>1089</v>
      </c>
      <c r="F34013">
        <v>7620111</v>
      </c>
      <c r="G34013" t="s">
        <v>1372</v>
      </c>
      <c r="H34013" s="21">
        <v>500</v>
      </c>
    </row>
    <row r="34014" spans="1:8" customFormat="1" x14ac:dyDescent="0.25">
      <c r="A34014" t="str">
        <f>"7732373"</f>
        <v>7732373</v>
      </c>
      <c r="B34014" t="s">
        <v>15499</v>
      </c>
      <c r="C34014" t="s">
        <v>1146</v>
      </c>
      <c r="D34014" s="21" t="s">
        <v>34</v>
      </c>
      <c r="E34014" s="21" t="s">
        <v>35</v>
      </c>
      <c r="F34014">
        <v>8770665</v>
      </c>
      <c r="G34014" t="s">
        <v>903</v>
      </c>
      <c r="H34014" s="21">
        <v>500</v>
      </c>
    </row>
    <row r="34015" spans="1:8" customFormat="1" x14ac:dyDescent="0.25">
      <c r="A34015" t="str">
        <f>"9234490"</f>
        <v>9234490</v>
      </c>
      <c r="B34015" t="s">
        <v>23537</v>
      </c>
      <c r="C34015" t="s">
        <v>23538</v>
      </c>
      <c r="D34015" s="21" t="s">
        <v>34</v>
      </c>
      <c r="E34015" s="21" t="s">
        <v>35</v>
      </c>
      <c r="F34015">
        <v>8931462</v>
      </c>
      <c r="G34015" t="s">
        <v>14683</v>
      </c>
      <c r="H34015" s="21">
        <v>500</v>
      </c>
    </row>
    <row r="34016" spans="1:8" customFormat="1" x14ac:dyDescent="0.25">
      <c r="A34016" t="str">
        <f>"5951273"</f>
        <v>5951273</v>
      </c>
      <c r="B34016" t="s">
        <v>24086</v>
      </c>
      <c r="C34016" t="s">
        <v>3010</v>
      </c>
      <c r="D34016" s="21" t="s">
        <v>34</v>
      </c>
      <c r="E34016" s="21" t="s">
        <v>71</v>
      </c>
      <c r="F34016">
        <v>7590281</v>
      </c>
      <c r="G34016" t="s">
        <v>7165</v>
      </c>
      <c r="H34016" s="21">
        <v>500</v>
      </c>
    </row>
    <row r="34017" spans="1:8" customFormat="1" x14ac:dyDescent="0.25">
      <c r="A34017" t="str">
        <f>"9452849"</f>
        <v>9452849</v>
      </c>
      <c r="B34017" t="s">
        <v>2261</v>
      </c>
      <c r="C34017" t="s">
        <v>96</v>
      </c>
      <c r="D34017" s="21" t="s">
        <v>34</v>
      </c>
      <c r="E34017" s="21" t="s">
        <v>35</v>
      </c>
      <c r="F34017">
        <v>8940866</v>
      </c>
      <c r="G34017" t="s">
        <v>519</v>
      </c>
      <c r="H34017" s="21">
        <v>500</v>
      </c>
    </row>
    <row r="34018" spans="1:8" customFormat="1" x14ac:dyDescent="0.25">
      <c r="A34018" t="str">
        <f>"5732458"</f>
        <v>5732458</v>
      </c>
      <c r="B34018" t="s">
        <v>2082</v>
      </c>
      <c r="C34018" t="s">
        <v>2479</v>
      </c>
      <c r="D34018" s="21" t="s">
        <v>34</v>
      </c>
      <c r="E34018" s="21" t="s">
        <v>1089</v>
      </c>
      <c r="F34018">
        <v>6570199</v>
      </c>
      <c r="G34018" t="s">
        <v>5711</v>
      </c>
      <c r="H34018" s="21">
        <v>500</v>
      </c>
    </row>
    <row r="34019" spans="1:8" customFormat="1" x14ac:dyDescent="0.25">
      <c r="A34019" t="str">
        <f>"82441"</f>
        <v>82441</v>
      </c>
      <c r="B34019" t="s">
        <v>11238</v>
      </c>
      <c r="C34019" t="s">
        <v>1142</v>
      </c>
      <c r="D34019" s="21" t="s">
        <v>34</v>
      </c>
      <c r="E34019" s="21" t="s">
        <v>1089</v>
      </c>
      <c r="F34019">
        <v>11820008</v>
      </c>
      <c r="G34019" t="s">
        <v>294</v>
      </c>
      <c r="H34019" s="21">
        <v>500</v>
      </c>
    </row>
    <row r="34020" spans="1:8" customFormat="1" x14ac:dyDescent="0.25">
      <c r="A34020" t="str">
        <f>"892216"</f>
        <v>892216</v>
      </c>
      <c r="B34020" t="s">
        <v>1867</v>
      </c>
      <c r="C34020" t="s">
        <v>2520</v>
      </c>
      <c r="D34020" s="21" t="s">
        <v>34</v>
      </c>
      <c r="E34020" s="21" t="s">
        <v>254</v>
      </c>
      <c r="F34020">
        <v>2890050</v>
      </c>
      <c r="G34020" t="s">
        <v>14236</v>
      </c>
      <c r="H34020" s="21">
        <v>500</v>
      </c>
    </row>
    <row r="34021" spans="1:8" customFormat="1" x14ac:dyDescent="0.25">
      <c r="A34021" t="str">
        <f>"4456549"</f>
        <v>4456549</v>
      </c>
      <c r="B34021" t="s">
        <v>2994</v>
      </c>
      <c r="C34021" t="s">
        <v>58</v>
      </c>
      <c r="D34021" s="21" t="s">
        <v>34</v>
      </c>
      <c r="E34021" s="21" t="s">
        <v>35</v>
      </c>
      <c r="F34021">
        <v>12440259</v>
      </c>
      <c r="G34021" t="s">
        <v>833</v>
      </c>
      <c r="H34021" s="21">
        <v>500</v>
      </c>
    </row>
    <row r="34022" spans="1:8" customFormat="1" x14ac:dyDescent="0.25">
      <c r="A34022" t="str">
        <f>"3729742"</f>
        <v>3729742</v>
      </c>
      <c r="B34022" t="s">
        <v>28758</v>
      </c>
      <c r="C34022" t="s">
        <v>249</v>
      </c>
      <c r="D34022" s="21" t="s">
        <v>34</v>
      </c>
      <c r="E34022" s="21" t="s">
        <v>71</v>
      </c>
      <c r="F34022">
        <v>4370002</v>
      </c>
      <c r="G34022" t="s">
        <v>112</v>
      </c>
      <c r="H34022" s="21">
        <v>500</v>
      </c>
    </row>
    <row r="34023" spans="1:8" customFormat="1" x14ac:dyDescent="0.25">
      <c r="A34023" t="str">
        <f>"3343899"</f>
        <v>3343899</v>
      </c>
      <c r="B34023" t="s">
        <v>24256</v>
      </c>
      <c r="C34023" t="s">
        <v>428</v>
      </c>
      <c r="D34023" s="21" t="s">
        <v>34</v>
      </c>
      <c r="E34023" s="21" t="s">
        <v>71</v>
      </c>
      <c r="F34023">
        <v>11310075</v>
      </c>
      <c r="G34023" t="s">
        <v>2531</v>
      </c>
      <c r="H34023" s="21">
        <v>500</v>
      </c>
    </row>
    <row r="34024" spans="1:8" customFormat="1" x14ac:dyDescent="0.25">
      <c r="A34024" t="str">
        <f>"617015"</f>
        <v>617015</v>
      </c>
      <c r="B34024" t="s">
        <v>22881</v>
      </c>
      <c r="C34024" t="s">
        <v>547</v>
      </c>
      <c r="D34024" s="21" t="s">
        <v>34</v>
      </c>
      <c r="E34024" s="21" t="s">
        <v>71</v>
      </c>
      <c r="F34024">
        <v>9610009</v>
      </c>
      <c r="G34024" t="s">
        <v>282</v>
      </c>
      <c r="H34024" s="21">
        <v>500</v>
      </c>
    </row>
    <row r="34025" spans="1:8" customFormat="1" x14ac:dyDescent="0.25">
      <c r="A34025" t="str">
        <f>"2215339"</f>
        <v>2215339</v>
      </c>
      <c r="B34025" t="s">
        <v>5665</v>
      </c>
      <c r="C34025" t="s">
        <v>130</v>
      </c>
      <c r="D34025" s="21" t="s">
        <v>34</v>
      </c>
      <c r="E34025" s="21" t="s">
        <v>1089</v>
      </c>
      <c r="F34025">
        <v>3220041</v>
      </c>
      <c r="G34025" t="s">
        <v>27133</v>
      </c>
      <c r="H34025" s="21">
        <v>500</v>
      </c>
    </row>
    <row r="34026" spans="1:8" customFormat="1" x14ac:dyDescent="0.25">
      <c r="A34026" t="str">
        <f>"112744"</f>
        <v>112744</v>
      </c>
      <c r="B34026" t="s">
        <v>28759</v>
      </c>
      <c r="C34026" t="s">
        <v>879</v>
      </c>
      <c r="D34026" s="21" t="s">
        <v>34</v>
      </c>
      <c r="E34026" s="21" t="s">
        <v>1089</v>
      </c>
      <c r="F34026">
        <v>11110023</v>
      </c>
      <c r="G34026" t="s">
        <v>1849</v>
      </c>
      <c r="H34026" s="21">
        <v>500</v>
      </c>
    </row>
    <row r="34027" spans="1:8" customFormat="1" x14ac:dyDescent="0.25">
      <c r="A34027" t="str">
        <f>"6234273"</f>
        <v>6234273</v>
      </c>
      <c r="B34027" t="s">
        <v>623</v>
      </c>
      <c r="C34027" t="s">
        <v>169</v>
      </c>
      <c r="D34027" s="21" t="s">
        <v>34</v>
      </c>
      <c r="E34027" s="21" t="s">
        <v>35</v>
      </c>
      <c r="F34027">
        <v>7620057</v>
      </c>
      <c r="G34027" t="s">
        <v>184</v>
      </c>
      <c r="H34027" s="21">
        <v>500</v>
      </c>
    </row>
    <row r="34028" spans="1:8" customFormat="1" x14ac:dyDescent="0.25">
      <c r="A34028" t="str">
        <f>"3111452"</f>
        <v>3111452</v>
      </c>
      <c r="B34028" t="s">
        <v>23161</v>
      </c>
      <c r="C34028" t="s">
        <v>879</v>
      </c>
      <c r="D34028" s="21" t="s">
        <v>34</v>
      </c>
      <c r="E34028" s="21" t="s">
        <v>1089</v>
      </c>
      <c r="F34028">
        <v>11310029</v>
      </c>
      <c r="G34028" t="s">
        <v>3717</v>
      </c>
      <c r="H34028" s="21">
        <v>500</v>
      </c>
    </row>
    <row r="34029" spans="1:8" customFormat="1" x14ac:dyDescent="0.25">
      <c r="A34029" t="str">
        <f>"3824112"</f>
        <v>3824112</v>
      </c>
      <c r="B34029" t="s">
        <v>23746</v>
      </c>
      <c r="C34029" t="s">
        <v>269</v>
      </c>
      <c r="D34029" s="21" t="s">
        <v>34</v>
      </c>
      <c r="E34029" s="21" t="s">
        <v>71</v>
      </c>
      <c r="F34029">
        <v>1380130</v>
      </c>
      <c r="G34029" t="s">
        <v>6667</v>
      </c>
      <c r="H34029" s="21">
        <v>500</v>
      </c>
    </row>
    <row r="34030" spans="1:8" customFormat="1" x14ac:dyDescent="0.25">
      <c r="A34030" t="str">
        <f>"879383"</f>
        <v>879383</v>
      </c>
      <c r="B34030" t="s">
        <v>14116</v>
      </c>
      <c r="C34030" t="s">
        <v>462</v>
      </c>
      <c r="D34030" s="21" t="s">
        <v>34</v>
      </c>
      <c r="E34030" s="21" t="s">
        <v>35</v>
      </c>
      <c r="F34030">
        <v>10870102</v>
      </c>
      <c r="G34030" t="s">
        <v>15067</v>
      </c>
      <c r="H34030" s="21">
        <v>500</v>
      </c>
    </row>
    <row r="34031" spans="1:8" customFormat="1" x14ac:dyDescent="0.25">
      <c r="A34031" t="str">
        <f>"2923205"</f>
        <v>2923205</v>
      </c>
      <c r="B34031" t="s">
        <v>2954</v>
      </c>
      <c r="C34031" t="s">
        <v>40</v>
      </c>
      <c r="D34031" s="21" t="s">
        <v>34</v>
      </c>
      <c r="E34031" s="21" t="s">
        <v>254</v>
      </c>
      <c r="F34031">
        <v>3290227</v>
      </c>
      <c r="G34031" t="s">
        <v>16400</v>
      </c>
      <c r="H34031" s="21">
        <v>500</v>
      </c>
    </row>
    <row r="34032" spans="1:8" customFormat="1" x14ac:dyDescent="0.25">
      <c r="A34032" t="str">
        <f>"4428045"</f>
        <v>4428045</v>
      </c>
      <c r="B34032" t="s">
        <v>8449</v>
      </c>
      <c r="C34032" t="s">
        <v>598</v>
      </c>
      <c r="D34032" s="21" t="s">
        <v>34</v>
      </c>
      <c r="E34032" s="21" t="s">
        <v>254</v>
      </c>
      <c r="F34032">
        <v>12440138</v>
      </c>
      <c r="G34032" t="s">
        <v>562</v>
      </c>
      <c r="H34032" s="21">
        <v>500</v>
      </c>
    </row>
    <row r="34033" spans="1:8" customFormat="1" x14ac:dyDescent="0.25">
      <c r="A34033" t="str">
        <f>"6234274"</f>
        <v>6234274</v>
      </c>
      <c r="B34033" t="s">
        <v>28760</v>
      </c>
      <c r="C34033" t="s">
        <v>269</v>
      </c>
      <c r="D34033" s="21" t="s">
        <v>34</v>
      </c>
      <c r="E34033" s="21" t="s">
        <v>35</v>
      </c>
      <c r="F34033">
        <v>7620057</v>
      </c>
      <c r="G34033" t="s">
        <v>184</v>
      </c>
      <c r="H34033" s="21">
        <v>500</v>
      </c>
    </row>
    <row r="34034" spans="1:8" customFormat="1" x14ac:dyDescent="0.25">
      <c r="A34034" t="str">
        <f>"7612051"</f>
        <v>7612051</v>
      </c>
      <c r="B34034" t="s">
        <v>10694</v>
      </c>
      <c r="C34034" t="s">
        <v>1597</v>
      </c>
      <c r="D34034" s="21" t="s">
        <v>34</v>
      </c>
      <c r="E34034" s="21" t="s">
        <v>1089</v>
      </c>
      <c r="F34034">
        <v>9760168</v>
      </c>
      <c r="G34034" t="s">
        <v>179</v>
      </c>
      <c r="H34034" s="21">
        <v>500</v>
      </c>
    </row>
    <row r="34035" spans="1:8" customFormat="1" x14ac:dyDescent="0.25">
      <c r="A34035" t="str">
        <f>"4111912"</f>
        <v>4111912</v>
      </c>
      <c r="B34035" t="s">
        <v>23199</v>
      </c>
      <c r="C34035" t="s">
        <v>598</v>
      </c>
      <c r="D34035" s="21" t="s">
        <v>34</v>
      </c>
      <c r="E34035" s="21" t="s">
        <v>71</v>
      </c>
      <c r="F34035">
        <v>4410080</v>
      </c>
      <c r="G34035" t="s">
        <v>135</v>
      </c>
      <c r="H34035" s="21">
        <v>500</v>
      </c>
    </row>
    <row r="34036" spans="1:8" customFormat="1" x14ac:dyDescent="0.25">
      <c r="A34036" t="str">
        <f>"7413236"</f>
        <v>7413236</v>
      </c>
      <c r="B34036" t="s">
        <v>22741</v>
      </c>
      <c r="C34036" t="s">
        <v>415</v>
      </c>
      <c r="D34036" s="21" t="s">
        <v>34</v>
      </c>
      <c r="E34036" s="21" t="s">
        <v>71</v>
      </c>
      <c r="F34036">
        <v>1740011</v>
      </c>
      <c r="G34036" t="s">
        <v>2638</v>
      </c>
      <c r="H34036" s="21">
        <v>500</v>
      </c>
    </row>
    <row r="34037" spans="1:8" customFormat="1" x14ac:dyDescent="0.25">
      <c r="A34037" t="str">
        <f>"8528401"</f>
        <v>8528401</v>
      </c>
      <c r="B34037" t="s">
        <v>3249</v>
      </c>
      <c r="C34037" t="s">
        <v>12109</v>
      </c>
      <c r="D34037" s="21" t="s">
        <v>34</v>
      </c>
      <c r="E34037" s="21" t="s">
        <v>35</v>
      </c>
      <c r="F34037">
        <v>12850138</v>
      </c>
      <c r="G34037" t="s">
        <v>6879</v>
      </c>
      <c r="H34037" s="21">
        <v>500</v>
      </c>
    </row>
    <row r="34038" spans="1:8" customFormat="1" x14ac:dyDescent="0.25">
      <c r="A34038" t="str">
        <f>"5981154"</f>
        <v>5981154</v>
      </c>
      <c r="B34038" t="s">
        <v>17296</v>
      </c>
      <c r="C34038" t="s">
        <v>486</v>
      </c>
      <c r="D34038" s="21" t="s">
        <v>34</v>
      </c>
      <c r="E34038" s="21" t="s">
        <v>71</v>
      </c>
      <c r="F34038">
        <v>7590044</v>
      </c>
      <c r="G34038" t="s">
        <v>2029</v>
      </c>
      <c r="H34038" s="21">
        <v>500</v>
      </c>
    </row>
    <row r="34039" spans="1:8" customFormat="1" x14ac:dyDescent="0.25">
      <c r="A34039" t="str">
        <f>"3833938"</f>
        <v>3833938</v>
      </c>
      <c r="B34039" t="s">
        <v>28761</v>
      </c>
      <c r="C34039" t="s">
        <v>65</v>
      </c>
      <c r="D34039" s="21" t="s">
        <v>34</v>
      </c>
      <c r="E34039" s="21" t="s">
        <v>35</v>
      </c>
      <c r="F34039">
        <v>1380267</v>
      </c>
      <c r="G34039" t="s">
        <v>1002</v>
      </c>
      <c r="H34039" s="21">
        <v>500</v>
      </c>
    </row>
    <row r="34040" spans="1:8" customFormat="1" x14ac:dyDescent="0.25">
      <c r="A34040" t="str">
        <f>"8527892"</f>
        <v>8527892</v>
      </c>
      <c r="B34040" t="s">
        <v>28762</v>
      </c>
      <c r="C34040" t="s">
        <v>40</v>
      </c>
      <c r="D34040" s="21" t="s">
        <v>34</v>
      </c>
      <c r="E34040" s="21" t="s">
        <v>35</v>
      </c>
      <c r="F34040">
        <v>12850109</v>
      </c>
      <c r="G34040" t="s">
        <v>2714</v>
      </c>
      <c r="H34040" s="21">
        <v>500</v>
      </c>
    </row>
    <row r="34041" spans="1:8" customFormat="1" x14ac:dyDescent="0.25">
      <c r="A34041" t="str">
        <f>"67335"</f>
        <v>67335</v>
      </c>
      <c r="B34041" t="s">
        <v>14164</v>
      </c>
      <c r="C34041" t="s">
        <v>598</v>
      </c>
      <c r="D34041" s="21" t="s">
        <v>34</v>
      </c>
      <c r="E34041" s="21" t="s">
        <v>254</v>
      </c>
      <c r="F34041">
        <v>6670014</v>
      </c>
      <c r="G34041" t="s">
        <v>4258</v>
      </c>
      <c r="H34041" s="21">
        <v>500</v>
      </c>
    </row>
    <row r="34042" spans="1:8" customFormat="1" x14ac:dyDescent="0.25">
      <c r="A34042" t="str">
        <f>"9412213"</f>
        <v>9412213</v>
      </c>
      <c r="B34042" t="s">
        <v>5431</v>
      </c>
      <c r="C34042" t="s">
        <v>198</v>
      </c>
      <c r="D34042" s="21" t="s">
        <v>34</v>
      </c>
      <c r="E34042" s="21" t="s">
        <v>254</v>
      </c>
      <c r="F34042">
        <v>8941180</v>
      </c>
      <c r="G34042" t="s">
        <v>5544</v>
      </c>
      <c r="H34042" s="21">
        <v>500</v>
      </c>
    </row>
    <row r="34043" spans="1:8" customFormat="1" x14ac:dyDescent="0.25">
      <c r="A34043" t="str">
        <f>"85554"</f>
        <v>85554</v>
      </c>
      <c r="B34043" t="s">
        <v>795</v>
      </c>
      <c r="C34043" t="s">
        <v>7939</v>
      </c>
      <c r="D34043" s="21" t="s">
        <v>34</v>
      </c>
      <c r="E34043" s="21" t="s">
        <v>6185</v>
      </c>
      <c r="F34043">
        <v>12850016</v>
      </c>
      <c r="G34043" t="s">
        <v>26554</v>
      </c>
      <c r="H34043" s="21">
        <v>500</v>
      </c>
    </row>
    <row r="34044" spans="1:8" customFormat="1" x14ac:dyDescent="0.25">
      <c r="A34044" t="str">
        <f>"5621891"</f>
        <v>5621891</v>
      </c>
      <c r="B34044" t="s">
        <v>9102</v>
      </c>
      <c r="C34044" t="s">
        <v>3397</v>
      </c>
      <c r="D34044" s="21" t="s">
        <v>34</v>
      </c>
      <c r="E34044" s="21" t="s">
        <v>35</v>
      </c>
      <c r="F34044">
        <v>3560088</v>
      </c>
      <c r="G34044" t="s">
        <v>15034</v>
      </c>
      <c r="H34044" s="21">
        <v>500</v>
      </c>
    </row>
    <row r="34045" spans="1:8" customFormat="1" x14ac:dyDescent="0.25">
      <c r="A34045" t="str">
        <f>"8019648"</f>
        <v>8019648</v>
      </c>
      <c r="B34045" t="s">
        <v>8097</v>
      </c>
      <c r="C34045" t="s">
        <v>169</v>
      </c>
      <c r="D34045" s="21" t="s">
        <v>34</v>
      </c>
      <c r="E34045" s="21" t="s">
        <v>71</v>
      </c>
      <c r="F34045">
        <v>7800102</v>
      </c>
      <c r="G34045" t="s">
        <v>1148</v>
      </c>
      <c r="H34045" s="21">
        <v>500</v>
      </c>
    </row>
    <row r="34046" spans="1:8" customFormat="1" x14ac:dyDescent="0.25">
      <c r="A34046" t="str">
        <f>"9458305"</f>
        <v>9458305</v>
      </c>
      <c r="B34046" t="s">
        <v>28763</v>
      </c>
      <c r="C34046" t="s">
        <v>2752</v>
      </c>
      <c r="D34046" s="21" t="s">
        <v>34</v>
      </c>
      <c r="E34046" s="21" t="s">
        <v>71</v>
      </c>
      <c r="F34046">
        <v>8940448</v>
      </c>
      <c r="G34046" t="s">
        <v>1691</v>
      </c>
      <c r="H34046" s="21">
        <v>500</v>
      </c>
    </row>
    <row r="34047" spans="1:8" customFormat="1" x14ac:dyDescent="0.25">
      <c r="A34047" t="str">
        <f>"319562"</f>
        <v>319562</v>
      </c>
      <c r="B34047" t="s">
        <v>13621</v>
      </c>
      <c r="C34047" t="s">
        <v>2907</v>
      </c>
      <c r="D34047" s="21" t="s">
        <v>34</v>
      </c>
      <c r="E34047" s="21" t="s">
        <v>71</v>
      </c>
      <c r="F34047">
        <v>10160040</v>
      </c>
      <c r="G34047" t="s">
        <v>1131</v>
      </c>
      <c r="H34047" s="21">
        <v>500</v>
      </c>
    </row>
    <row r="34048" spans="1:8" customFormat="1" x14ac:dyDescent="0.25">
      <c r="A34048" t="str">
        <f>"661595"</f>
        <v>661595</v>
      </c>
      <c r="B34048" t="s">
        <v>23457</v>
      </c>
      <c r="C34048" t="s">
        <v>1220</v>
      </c>
      <c r="D34048" s="21" t="s">
        <v>34</v>
      </c>
      <c r="E34048" s="21" t="s">
        <v>35</v>
      </c>
      <c r="F34048">
        <v>11660007</v>
      </c>
      <c r="G34048" t="s">
        <v>5840</v>
      </c>
      <c r="H34048" s="21">
        <v>500</v>
      </c>
    </row>
    <row r="34049" spans="1:8" customFormat="1" x14ac:dyDescent="0.25">
      <c r="A34049" t="str">
        <f>"1417076"</f>
        <v>1417076</v>
      </c>
      <c r="B34049" t="s">
        <v>23658</v>
      </c>
      <c r="C34049" t="s">
        <v>124</v>
      </c>
      <c r="D34049" s="21" t="s">
        <v>34</v>
      </c>
      <c r="E34049" s="21" t="s">
        <v>254</v>
      </c>
      <c r="F34049">
        <v>9140019</v>
      </c>
      <c r="G34049" t="s">
        <v>3901</v>
      </c>
      <c r="H34049" s="21">
        <v>500</v>
      </c>
    </row>
    <row r="34050" spans="1:8" customFormat="1" x14ac:dyDescent="0.25">
      <c r="A34050" t="str">
        <f>"3723978"</f>
        <v>3723978</v>
      </c>
      <c r="B34050" t="s">
        <v>765</v>
      </c>
      <c r="C34050" t="s">
        <v>288</v>
      </c>
      <c r="D34050" s="21" t="s">
        <v>34</v>
      </c>
      <c r="E34050" s="21" t="s">
        <v>71</v>
      </c>
      <c r="F34050">
        <v>4370151</v>
      </c>
      <c r="G34050" t="s">
        <v>5304</v>
      </c>
      <c r="H34050" s="21">
        <v>500</v>
      </c>
    </row>
    <row r="34051" spans="1:8" customFormat="1" x14ac:dyDescent="0.25">
      <c r="A34051" t="str">
        <f>"123871"</f>
        <v>123871</v>
      </c>
      <c r="B34051" t="s">
        <v>28764</v>
      </c>
      <c r="C34051" t="s">
        <v>879</v>
      </c>
      <c r="D34051" s="21" t="s">
        <v>34</v>
      </c>
      <c r="E34051" s="21" t="s">
        <v>71</v>
      </c>
      <c r="F34051">
        <v>11120021</v>
      </c>
      <c r="G34051" t="s">
        <v>8398</v>
      </c>
      <c r="H34051" s="21">
        <v>500</v>
      </c>
    </row>
    <row r="34052" spans="1:8" customFormat="1" x14ac:dyDescent="0.25">
      <c r="A34052" t="str">
        <f>"6719139"</f>
        <v>6719139</v>
      </c>
      <c r="B34052" t="s">
        <v>889</v>
      </c>
      <c r="C34052" t="s">
        <v>621</v>
      </c>
      <c r="D34052" s="21" t="s">
        <v>34</v>
      </c>
      <c r="E34052" s="21" t="s">
        <v>71</v>
      </c>
      <c r="F34052">
        <v>6670246</v>
      </c>
      <c r="G34052" t="s">
        <v>7707</v>
      </c>
      <c r="H34052" s="21">
        <v>500</v>
      </c>
    </row>
    <row r="34053" spans="1:8" customFormat="1" x14ac:dyDescent="0.25">
      <c r="A34053" t="str">
        <f>"2618081"</f>
        <v>2618081</v>
      </c>
      <c r="B34053" t="s">
        <v>6336</v>
      </c>
      <c r="C34053" t="s">
        <v>22437</v>
      </c>
      <c r="D34053" s="21" t="s">
        <v>34</v>
      </c>
      <c r="E34053" s="21" t="s">
        <v>35</v>
      </c>
      <c r="F34053">
        <v>1260062</v>
      </c>
      <c r="G34053" t="s">
        <v>6156</v>
      </c>
      <c r="H34053" s="21">
        <v>500</v>
      </c>
    </row>
    <row r="34054" spans="1:8" customFormat="1" x14ac:dyDescent="0.25">
      <c r="A34054" t="str">
        <f>"4052"</f>
        <v>4052</v>
      </c>
      <c r="B34054" t="s">
        <v>23388</v>
      </c>
      <c r="C34054" t="s">
        <v>239</v>
      </c>
      <c r="D34054" s="21" t="s">
        <v>34</v>
      </c>
      <c r="E34054" s="21" t="s">
        <v>1089</v>
      </c>
      <c r="F34054">
        <v>10400002</v>
      </c>
      <c r="G34054" t="s">
        <v>1975</v>
      </c>
      <c r="H34054" s="21">
        <v>500</v>
      </c>
    </row>
    <row r="34055" spans="1:8" customFormat="1" x14ac:dyDescent="0.25">
      <c r="A34055" t="str">
        <f>"61625"</f>
        <v>61625</v>
      </c>
      <c r="B34055" t="s">
        <v>7363</v>
      </c>
      <c r="C34055" t="s">
        <v>156</v>
      </c>
      <c r="D34055" s="21" t="s">
        <v>34</v>
      </c>
      <c r="E34055" s="21" t="s">
        <v>6185</v>
      </c>
      <c r="F34055">
        <v>9610055</v>
      </c>
      <c r="G34055" t="s">
        <v>13803</v>
      </c>
      <c r="H34055" s="21">
        <v>500</v>
      </c>
    </row>
    <row r="34056" spans="1:8" customFormat="1" x14ac:dyDescent="0.25">
      <c r="A34056" t="str">
        <f>"781231"</f>
        <v>781231</v>
      </c>
      <c r="B34056" t="s">
        <v>21903</v>
      </c>
      <c r="C34056" t="s">
        <v>3010</v>
      </c>
      <c r="D34056" s="21" t="s">
        <v>34</v>
      </c>
      <c r="E34056" s="21" t="s">
        <v>6185</v>
      </c>
      <c r="F34056">
        <v>8780568</v>
      </c>
      <c r="G34056" t="s">
        <v>5279</v>
      </c>
      <c r="H34056" s="21">
        <v>500</v>
      </c>
    </row>
    <row r="34057" spans="1:8" customFormat="1" x14ac:dyDescent="0.25">
      <c r="A34057" t="str">
        <f>"593091"</f>
        <v>593091</v>
      </c>
      <c r="B34057" t="s">
        <v>17761</v>
      </c>
      <c r="C34057" t="s">
        <v>381</v>
      </c>
      <c r="D34057" s="21" t="s">
        <v>34</v>
      </c>
      <c r="E34057" s="21" t="s">
        <v>6185</v>
      </c>
      <c r="F34057">
        <v>7590047</v>
      </c>
      <c r="G34057" t="s">
        <v>5788</v>
      </c>
      <c r="H34057" s="21">
        <v>500</v>
      </c>
    </row>
    <row r="34058" spans="1:8" customFormat="1" x14ac:dyDescent="0.25">
      <c r="A34058" t="str">
        <f>"93575"</f>
        <v>93575</v>
      </c>
      <c r="B34058" t="s">
        <v>22892</v>
      </c>
      <c r="C34058" t="s">
        <v>3073</v>
      </c>
      <c r="D34058" s="21" t="s">
        <v>34</v>
      </c>
      <c r="E34058" s="21" t="s">
        <v>254</v>
      </c>
      <c r="F34058">
        <v>8930185</v>
      </c>
      <c r="G34058" t="s">
        <v>3846</v>
      </c>
      <c r="H34058" s="21">
        <v>500</v>
      </c>
    </row>
    <row r="34059" spans="1:8" customFormat="1" x14ac:dyDescent="0.25">
      <c r="A34059" t="str">
        <f>"151613"</f>
        <v>151613</v>
      </c>
      <c r="B34059" t="s">
        <v>21838</v>
      </c>
      <c r="C34059" t="s">
        <v>822</v>
      </c>
      <c r="D34059" s="21" t="s">
        <v>34</v>
      </c>
      <c r="E34059" s="21" t="s">
        <v>71</v>
      </c>
      <c r="F34059">
        <v>1150278</v>
      </c>
      <c r="G34059" t="s">
        <v>16041</v>
      </c>
      <c r="H34059" s="21">
        <v>500</v>
      </c>
    </row>
    <row r="34060" spans="1:8" customFormat="1" x14ac:dyDescent="0.25">
      <c r="A34060" t="str">
        <f>"8316653"</f>
        <v>8316653</v>
      </c>
      <c r="B34060" t="s">
        <v>28765</v>
      </c>
      <c r="C34060" t="s">
        <v>169</v>
      </c>
      <c r="D34060" s="21" t="s">
        <v>34</v>
      </c>
      <c r="E34060" s="21" t="s">
        <v>35</v>
      </c>
      <c r="F34060">
        <v>13830007</v>
      </c>
      <c r="G34060" t="s">
        <v>11316</v>
      </c>
      <c r="H34060" s="21">
        <v>500</v>
      </c>
    </row>
    <row r="34061" spans="1:8" customFormat="1" x14ac:dyDescent="0.25">
      <c r="A34061" t="str">
        <f>"7640932"</f>
        <v>7640932</v>
      </c>
      <c r="B34061" t="s">
        <v>1658</v>
      </c>
      <c r="C34061" t="s">
        <v>40</v>
      </c>
      <c r="D34061" s="21" t="s">
        <v>34</v>
      </c>
      <c r="E34061" s="21" t="s">
        <v>254</v>
      </c>
      <c r="F34061">
        <v>9760127</v>
      </c>
      <c r="G34061" t="s">
        <v>7132</v>
      </c>
      <c r="H34061" s="21">
        <v>500</v>
      </c>
    </row>
    <row r="34062" spans="1:8" customFormat="1" x14ac:dyDescent="0.25">
      <c r="A34062" t="str">
        <f>"9459677"</f>
        <v>9459677</v>
      </c>
      <c r="B34062" t="s">
        <v>28766</v>
      </c>
      <c r="C34062" t="s">
        <v>236</v>
      </c>
      <c r="D34062" s="21" t="s">
        <v>34</v>
      </c>
      <c r="E34062" s="21" t="s">
        <v>71</v>
      </c>
      <c r="F34062">
        <v>8940070</v>
      </c>
      <c r="G34062" t="s">
        <v>2320</v>
      </c>
      <c r="H34062" s="21">
        <v>500</v>
      </c>
    </row>
    <row r="34063" spans="1:8" customFormat="1" x14ac:dyDescent="0.25">
      <c r="A34063" t="str">
        <f>"7727753"</f>
        <v>7727753</v>
      </c>
      <c r="B34063" t="s">
        <v>21971</v>
      </c>
      <c r="C34063" t="s">
        <v>275</v>
      </c>
      <c r="D34063" s="21" t="s">
        <v>34</v>
      </c>
      <c r="E34063" s="21" t="s">
        <v>35</v>
      </c>
      <c r="F34063">
        <v>8771303</v>
      </c>
      <c r="G34063" t="s">
        <v>13447</v>
      </c>
      <c r="H34063" s="21">
        <v>500</v>
      </c>
    </row>
    <row r="34064" spans="1:8" customFormat="1" x14ac:dyDescent="0.25">
      <c r="A34064" t="str">
        <f>"7857240"</f>
        <v>7857240</v>
      </c>
      <c r="B34064" t="s">
        <v>23041</v>
      </c>
      <c r="C34064" t="s">
        <v>879</v>
      </c>
      <c r="D34064" s="21" t="s">
        <v>34</v>
      </c>
      <c r="E34064" s="21" t="s">
        <v>1089</v>
      </c>
      <c r="F34064">
        <v>8780886</v>
      </c>
      <c r="G34064" t="s">
        <v>3161</v>
      </c>
      <c r="H34064" s="21">
        <v>500</v>
      </c>
    </row>
    <row r="34065" spans="1:8" customFormat="1" x14ac:dyDescent="0.25">
      <c r="A34065" t="str">
        <f>"5618655"</f>
        <v>5618655</v>
      </c>
      <c r="B34065" t="s">
        <v>23447</v>
      </c>
      <c r="C34065" t="s">
        <v>967</v>
      </c>
      <c r="D34065" s="21" t="s">
        <v>34</v>
      </c>
      <c r="E34065" s="21" t="s">
        <v>35</v>
      </c>
      <c r="F34065">
        <v>3560025</v>
      </c>
      <c r="G34065" t="s">
        <v>14020</v>
      </c>
      <c r="H34065" s="21">
        <v>500</v>
      </c>
    </row>
    <row r="34066" spans="1:8" customFormat="1" x14ac:dyDescent="0.25">
      <c r="A34066" t="str">
        <f>"1425296"</f>
        <v>1425296</v>
      </c>
      <c r="B34066" t="s">
        <v>136</v>
      </c>
      <c r="C34066" t="s">
        <v>1841</v>
      </c>
      <c r="D34066" s="21" t="s">
        <v>34</v>
      </c>
      <c r="E34066" s="21" t="s">
        <v>254</v>
      </c>
      <c r="F34066">
        <v>9140162</v>
      </c>
      <c r="G34066" t="s">
        <v>7663</v>
      </c>
      <c r="H34066" s="21">
        <v>500</v>
      </c>
    </row>
    <row r="34067" spans="1:8" customFormat="1" x14ac:dyDescent="0.25">
      <c r="A34067" t="str">
        <f>"73867"</f>
        <v>73867</v>
      </c>
      <c r="B34067" t="s">
        <v>23036</v>
      </c>
      <c r="C34067" t="s">
        <v>236</v>
      </c>
      <c r="D34067" s="21" t="s">
        <v>34</v>
      </c>
      <c r="E34067" s="21" t="s">
        <v>254</v>
      </c>
      <c r="F34067">
        <v>1730051</v>
      </c>
      <c r="G34067" t="s">
        <v>5293</v>
      </c>
      <c r="H34067" s="21">
        <v>500</v>
      </c>
    </row>
    <row r="34068" spans="1:8" customFormat="1" x14ac:dyDescent="0.25">
      <c r="A34068" t="str">
        <f>"6316582"</f>
        <v>6316582</v>
      </c>
      <c r="B34068" t="s">
        <v>13062</v>
      </c>
      <c r="C34068" t="s">
        <v>269</v>
      </c>
      <c r="D34068" s="21" t="s">
        <v>34</v>
      </c>
      <c r="E34068" s="21" t="s">
        <v>71</v>
      </c>
      <c r="F34068">
        <v>1630005</v>
      </c>
      <c r="G34068" t="s">
        <v>8825</v>
      </c>
      <c r="H34068" s="21">
        <v>500</v>
      </c>
    </row>
    <row r="34069" spans="1:8" customFormat="1" x14ac:dyDescent="0.25">
      <c r="A34069" t="str">
        <f>"892778"</f>
        <v>892778</v>
      </c>
      <c r="B34069" t="s">
        <v>1867</v>
      </c>
      <c r="C34069" t="s">
        <v>144</v>
      </c>
      <c r="D34069" s="21" t="s">
        <v>34</v>
      </c>
      <c r="E34069" s="21" t="s">
        <v>35</v>
      </c>
      <c r="F34069">
        <v>2890050</v>
      </c>
      <c r="G34069" t="s">
        <v>14236</v>
      </c>
      <c r="H34069" s="21">
        <v>500</v>
      </c>
    </row>
    <row r="34070" spans="1:8" customFormat="1" x14ac:dyDescent="0.25">
      <c r="A34070" t="str">
        <f>"305917"</f>
        <v>305917</v>
      </c>
      <c r="B34070" t="s">
        <v>23353</v>
      </c>
      <c r="C34070" t="s">
        <v>379</v>
      </c>
      <c r="D34070" s="21" t="s">
        <v>34</v>
      </c>
      <c r="E34070" s="21" t="s">
        <v>254</v>
      </c>
      <c r="F34070">
        <v>11300039</v>
      </c>
      <c r="G34070" t="s">
        <v>10680</v>
      </c>
      <c r="H34070" s="21">
        <v>500</v>
      </c>
    </row>
    <row r="34071" spans="1:8" customFormat="1" x14ac:dyDescent="0.25">
      <c r="A34071" t="str">
        <f>"6023155"</f>
        <v>6023155</v>
      </c>
      <c r="B34071" t="s">
        <v>22801</v>
      </c>
      <c r="C34071" t="s">
        <v>817</v>
      </c>
      <c r="D34071" s="21" t="s">
        <v>34</v>
      </c>
      <c r="E34071" s="21" t="s">
        <v>254</v>
      </c>
      <c r="F34071">
        <v>7600031</v>
      </c>
      <c r="G34071" t="s">
        <v>3283</v>
      </c>
      <c r="H34071" s="21">
        <v>500</v>
      </c>
    </row>
    <row r="34072" spans="1:8" customFormat="1" x14ac:dyDescent="0.25">
      <c r="A34072" t="str">
        <f>"4441355"</f>
        <v>4441355</v>
      </c>
      <c r="B34072" t="s">
        <v>20017</v>
      </c>
      <c r="C34072" t="s">
        <v>1359</v>
      </c>
      <c r="D34072" s="21" t="s">
        <v>34</v>
      </c>
      <c r="E34072" s="21" t="s">
        <v>35</v>
      </c>
      <c r="F34072">
        <v>12440017</v>
      </c>
      <c r="G34072" t="s">
        <v>7683</v>
      </c>
      <c r="H34072" s="21">
        <v>500</v>
      </c>
    </row>
    <row r="34073" spans="1:8" customFormat="1" x14ac:dyDescent="0.25">
      <c r="A34073" t="str">
        <f>"0613879"</f>
        <v>0613879</v>
      </c>
      <c r="B34073" t="s">
        <v>9940</v>
      </c>
      <c r="C34073" t="s">
        <v>415</v>
      </c>
      <c r="D34073" s="21" t="s">
        <v>34</v>
      </c>
      <c r="E34073" s="21" t="s">
        <v>1089</v>
      </c>
      <c r="F34073">
        <v>13060037</v>
      </c>
      <c r="G34073" t="s">
        <v>9521</v>
      </c>
      <c r="H34073" s="21">
        <v>500</v>
      </c>
    </row>
    <row r="34074" spans="1:8" customFormat="1" x14ac:dyDescent="0.25">
      <c r="A34074" t="str">
        <f>"6720328"</f>
        <v>6720328</v>
      </c>
      <c r="B34074" t="s">
        <v>28767</v>
      </c>
      <c r="C34074" t="s">
        <v>608</v>
      </c>
      <c r="D34074" s="21" t="s">
        <v>34</v>
      </c>
      <c r="E34074" s="21" t="s">
        <v>35</v>
      </c>
      <c r="F34074">
        <v>6670160</v>
      </c>
      <c r="G34074" t="s">
        <v>908</v>
      </c>
      <c r="H34074" s="21">
        <v>500</v>
      </c>
    </row>
    <row r="34075" spans="1:8" customFormat="1" x14ac:dyDescent="0.25">
      <c r="A34075" t="str">
        <f>"9139311"</f>
        <v>9139311</v>
      </c>
      <c r="B34075" t="s">
        <v>24540</v>
      </c>
      <c r="C34075" t="s">
        <v>169</v>
      </c>
      <c r="D34075" s="21" t="s">
        <v>34</v>
      </c>
      <c r="E34075" s="21" t="s">
        <v>71</v>
      </c>
      <c r="F34075">
        <v>8911050</v>
      </c>
      <c r="G34075" t="s">
        <v>1606</v>
      </c>
      <c r="H34075" s="21">
        <v>500</v>
      </c>
    </row>
    <row r="34076" spans="1:8" customFormat="1" x14ac:dyDescent="0.25">
      <c r="A34076" t="str">
        <f>"5621964"</f>
        <v>5621964</v>
      </c>
      <c r="B34076" t="s">
        <v>19487</v>
      </c>
      <c r="C34076" t="s">
        <v>598</v>
      </c>
      <c r="D34076" s="21" t="s">
        <v>34</v>
      </c>
      <c r="E34076" s="21" t="s">
        <v>35</v>
      </c>
      <c r="F34076">
        <v>3560039</v>
      </c>
      <c r="G34076" t="s">
        <v>167</v>
      </c>
      <c r="H34076" s="21">
        <v>500</v>
      </c>
    </row>
    <row r="34077" spans="1:8" customFormat="1" x14ac:dyDescent="0.25">
      <c r="A34077" t="str">
        <f>"77861"</f>
        <v>77861</v>
      </c>
      <c r="B34077" t="s">
        <v>14669</v>
      </c>
      <c r="C34077" t="s">
        <v>1665</v>
      </c>
      <c r="D34077" s="21" t="s">
        <v>34</v>
      </c>
      <c r="E34077" s="21" t="s">
        <v>1089</v>
      </c>
      <c r="F34077">
        <v>8770865</v>
      </c>
      <c r="G34077" t="s">
        <v>1426</v>
      </c>
      <c r="H34077" s="21">
        <v>500</v>
      </c>
    </row>
    <row r="34078" spans="1:8" customFormat="1" x14ac:dyDescent="0.25">
      <c r="A34078" t="str">
        <f>"3811453"</f>
        <v>3811453</v>
      </c>
      <c r="B34078" t="s">
        <v>8695</v>
      </c>
      <c r="C34078" t="s">
        <v>453</v>
      </c>
      <c r="D34078" s="21" t="s">
        <v>34</v>
      </c>
      <c r="E34078" s="21" t="s">
        <v>1089</v>
      </c>
      <c r="F34078">
        <v>1380246</v>
      </c>
      <c r="G34078" t="s">
        <v>27941</v>
      </c>
      <c r="H34078" s="21">
        <v>500</v>
      </c>
    </row>
    <row r="34079" spans="1:8" customFormat="1" x14ac:dyDescent="0.25">
      <c r="A34079" t="str">
        <f>"229104"</f>
        <v>229104</v>
      </c>
      <c r="B34079" t="s">
        <v>136</v>
      </c>
      <c r="C34079" t="s">
        <v>119</v>
      </c>
      <c r="D34079" s="21" t="s">
        <v>34</v>
      </c>
      <c r="E34079" s="21" t="s">
        <v>71</v>
      </c>
      <c r="F34079">
        <v>3220052</v>
      </c>
      <c r="G34079" t="s">
        <v>27058</v>
      </c>
      <c r="H34079" s="21">
        <v>500</v>
      </c>
    </row>
    <row r="34080" spans="1:8" customFormat="1" x14ac:dyDescent="0.25">
      <c r="A34080" t="str">
        <f>"7210072"</f>
        <v>7210072</v>
      </c>
      <c r="B34080" t="s">
        <v>22545</v>
      </c>
      <c r="C34080" t="s">
        <v>209</v>
      </c>
      <c r="D34080" s="21" t="s">
        <v>34</v>
      </c>
      <c r="E34080" s="21" t="s">
        <v>71</v>
      </c>
      <c r="F34080">
        <v>12720104</v>
      </c>
      <c r="G34080" t="s">
        <v>224</v>
      </c>
      <c r="H34080" s="21">
        <v>500</v>
      </c>
    </row>
    <row r="34081" spans="1:8" customFormat="1" x14ac:dyDescent="0.25">
      <c r="A34081" t="str">
        <f>"2810038"</f>
        <v>2810038</v>
      </c>
      <c r="B34081" t="s">
        <v>7173</v>
      </c>
      <c r="C34081" t="s">
        <v>598</v>
      </c>
      <c r="D34081" s="21" t="s">
        <v>34</v>
      </c>
      <c r="E34081" s="21" t="s">
        <v>1089</v>
      </c>
      <c r="F34081">
        <v>10330046</v>
      </c>
      <c r="G34081" t="s">
        <v>1787</v>
      </c>
      <c r="H34081" s="21">
        <v>500</v>
      </c>
    </row>
    <row r="34082" spans="1:8" customFormat="1" x14ac:dyDescent="0.25">
      <c r="A34082" t="str">
        <f>"3343352"</f>
        <v>3343352</v>
      </c>
      <c r="B34082" t="s">
        <v>28768</v>
      </c>
      <c r="C34082" t="s">
        <v>119</v>
      </c>
      <c r="D34082" s="21" t="s">
        <v>34</v>
      </c>
      <c r="E34082" s="21" t="s">
        <v>71</v>
      </c>
      <c r="F34082">
        <v>10330005</v>
      </c>
      <c r="G34082" t="s">
        <v>3526</v>
      </c>
      <c r="H34082" s="21">
        <v>500</v>
      </c>
    </row>
    <row r="34083" spans="1:8" customFormat="1" x14ac:dyDescent="0.25">
      <c r="A34083" t="str">
        <f>"3337955"</f>
        <v>3337955</v>
      </c>
      <c r="B34083" t="s">
        <v>23086</v>
      </c>
      <c r="C34083" t="s">
        <v>1110</v>
      </c>
      <c r="D34083" s="21" t="s">
        <v>34</v>
      </c>
      <c r="E34083" s="21" t="s">
        <v>1089</v>
      </c>
      <c r="F34083">
        <v>10330082</v>
      </c>
      <c r="G34083" t="s">
        <v>5564</v>
      </c>
      <c r="H34083" s="21">
        <v>500</v>
      </c>
    </row>
    <row r="34084" spans="1:8" customFormat="1" x14ac:dyDescent="0.25">
      <c r="A34084" t="str">
        <f>"3830649"</f>
        <v>3830649</v>
      </c>
      <c r="B34084" t="s">
        <v>14269</v>
      </c>
      <c r="C34084" t="s">
        <v>253</v>
      </c>
      <c r="D34084" s="21" t="s">
        <v>34</v>
      </c>
      <c r="E34084" s="21" t="s">
        <v>35</v>
      </c>
      <c r="F34084">
        <v>1380300</v>
      </c>
      <c r="G34084" t="s">
        <v>20475</v>
      </c>
      <c r="H34084" s="21">
        <v>500</v>
      </c>
    </row>
    <row r="34085" spans="1:8" customFormat="1" x14ac:dyDescent="0.25">
      <c r="A34085" t="str">
        <f>"593258"</f>
        <v>593258</v>
      </c>
      <c r="B34085" t="s">
        <v>23554</v>
      </c>
      <c r="C34085" t="s">
        <v>3987</v>
      </c>
      <c r="D34085" s="21" t="s">
        <v>34</v>
      </c>
      <c r="E34085" s="21" t="s">
        <v>6185</v>
      </c>
      <c r="F34085">
        <v>7590040</v>
      </c>
      <c r="G34085" t="s">
        <v>104</v>
      </c>
      <c r="H34085" s="21">
        <v>500</v>
      </c>
    </row>
    <row r="34086" spans="1:8" customFormat="1" x14ac:dyDescent="0.25">
      <c r="A34086" t="str">
        <f>"785126"</f>
        <v>785126</v>
      </c>
      <c r="B34086" t="s">
        <v>7009</v>
      </c>
      <c r="C34086" t="s">
        <v>2305</v>
      </c>
      <c r="D34086" s="21" t="s">
        <v>34</v>
      </c>
      <c r="E34086" s="21" t="s">
        <v>1089</v>
      </c>
      <c r="F34086">
        <v>8780496</v>
      </c>
      <c r="G34086" t="s">
        <v>2477</v>
      </c>
      <c r="H34086" s="21">
        <v>500</v>
      </c>
    </row>
    <row r="34087" spans="1:8" customFormat="1" x14ac:dyDescent="0.25">
      <c r="A34087" t="str">
        <f>"7523334"</f>
        <v>7523334</v>
      </c>
      <c r="B34087" t="s">
        <v>24660</v>
      </c>
      <c r="C34087" t="s">
        <v>288</v>
      </c>
      <c r="D34087" s="21" t="s">
        <v>34</v>
      </c>
      <c r="E34087" s="21" t="s">
        <v>35</v>
      </c>
      <c r="F34087">
        <v>8751456</v>
      </c>
      <c r="G34087" t="s">
        <v>2683</v>
      </c>
      <c r="H34087" s="21">
        <v>500</v>
      </c>
    </row>
    <row r="34088" spans="1:8" customFormat="1" x14ac:dyDescent="0.25">
      <c r="A34088" t="str">
        <f>"3538115"</f>
        <v>3538115</v>
      </c>
      <c r="B34088" t="s">
        <v>28769</v>
      </c>
      <c r="C34088" t="s">
        <v>43</v>
      </c>
      <c r="D34088" s="21" t="s">
        <v>34</v>
      </c>
      <c r="E34088" s="21" t="s">
        <v>35</v>
      </c>
      <c r="F34088">
        <v>3350054</v>
      </c>
      <c r="G34088" t="s">
        <v>13881</v>
      </c>
      <c r="H34088" s="21">
        <v>500</v>
      </c>
    </row>
    <row r="34089" spans="1:8" customFormat="1" x14ac:dyDescent="0.25">
      <c r="A34089" t="str">
        <f>"6023728"</f>
        <v>6023728</v>
      </c>
      <c r="B34089" t="s">
        <v>24581</v>
      </c>
      <c r="C34089" t="s">
        <v>24582</v>
      </c>
      <c r="D34089" s="21" t="s">
        <v>34</v>
      </c>
      <c r="E34089" s="21" t="s">
        <v>71</v>
      </c>
      <c r="F34089">
        <v>7600170</v>
      </c>
      <c r="G34089" t="s">
        <v>16044</v>
      </c>
      <c r="H34089" s="21">
        <v>500</v>
      </c>
    </row>
    <row r="34090" spans="1:8" customFormat="1" x14ac:dyDescent="0.25">
      <c r="A34090" t="str">
        <f>"7622644"</f>
        <v>7622644</v>
      </c>
      <c r="B34090" t="s">
        <v>10452</v>
      </c>
      <c r="C34090" t="s">
        <v>90</v>
      </c>
      <c r="D34090" s="21" t="s">
        <v>34</v>
      </c>
      <c r="E34090" s="21" t="s">
        <v>71</v>
      </c>
      <c r="F34090">
        <v>9760319</v>
      </c>
      <c r="G34090" t="s">
        <v>3051</v>
      </c>
      <c r="H34090" s="21">
        <v>500</v>
      </c>
    </row>
    <row r="34091" spans="1:8" customFormat="1" x14ac:dyDescent="0.25">
      <c r="A34091" t="str">
        <f>"6224417"</f>
        <v>6224417</v>
      </c>
      <c r="B34091" t="s">
        <v>22890</v>
      </c>
      <c r="C34091" t="s">
        <v>156</v>
      </c>
      <c r="D34091" s="21" t="s">
        <v>34</v>
      </c>
      <c r="E34091" s="21" t="s">
        <v>1089</v>
      </c>
      <c r="F34091">
        <v>7620090</v>
      </c>
      <c r="G34091" t="s">
        <v>15041</v>
      </c>
      <c r="H34091" s="21">
        <v>500</v>
      </c>
    </row>
    <row r="34092" spans="1:8" customFormat="1" x14ac:dyDescent="0.25">
      <c r="A34092" t="str">
        <f>"0616305"</f>
        <v>0616305</v>
      </c>
      <c r="B34092" t="s">
        <v>9149</v>
      </c>
      <c r="C34092" t="s">
        <v>253</v>
      </c>
      <c r="D34092" s="21" t="s">
        <v>34</v>
      </c>
      <c r="E34092" s="21" t="s">
        <v>254</v>
      </c>
      <c r="F34092">
        <v>13060005</v>
      </c>
      <c r="G34092" t="s">
        <v>3609</v>
      </c>
      <c r="H34092" s="21">
        <v>500</v>
      </c>
    </row>
    <row r="34093" spans="1:8" customFormat="1" x14ac:dyDescent="0.25">
      <c r="A34093" t="str">
        <f>"668599"</f>
        <v>668599</v>
      </c>
      <c r="B34093" t="s">
        <v>28770</v>
      </c>
      <c r="C34093" t="s">
        <v>598</v>
      </c>
      <c r="D34093" s="21" t="s">
        <v>34</v>
      </c>
      <c r="E34093" s="21" t="s">
        <v>1089</v>
      </c>
      <c r="F34093">
        <v>11660024</v>
      </c>
      <c r="G34093" t="s">
        <v>22992</v>
      </c>
      <c r="H34093" s="21">
        <v>500</v>
      </c>
    </row>
    <row r="34094" spans="1:8" customFormat="1" x14ac:dyDescent="0.25">
      <c r="A34094" t="str">
        <f>"5322727"</f>
        <v>5322727</v>
      </c>
      <c r="B34094" t="s">
        <v>10652</v>
      </c>
      <c r="C34094" t="s">
        <v>236</v>
      </c>
      <c r="D34094" s="21" t="s">
        <v>34</v>
      </c>
      <c r="E34094" s="21" t="s">
        <v>254</v>
      </c>
      <c r="F34094">
        <v>12530054</v>
      </c>
      <c r="G34094" t="s">
        <v>354</v>
      </c>
      <c r="H34094" s="21">
        <v>500</v>
      </c>
    </row>
    <row r="34095" spans="1:8" customFormat="1" x14ac:dyDescent="0.25">
      <c r="A34095" t="str">
        <f>"3830650"</f>
        <v>3830650</v>
      </c>
      <c r="B34095" t="s">
        <v>4013</v>
      </c>
      <c r="C34095" t="s">
        <v>55</v>
      </c>
      <c r="D34095" s="21" t="s">
        <v>34</v>
      </c>
      <c r="E34095" s="21" t="s">
        <v>71</v>
      </c>
      <c r="F34095">
        <v>1380300</v>
      </c>
      <c r="G34095" t="s">
        <v>20475</v>
      </c>
      <c r="H34095" s="21">
        <v>500</v>
      </c>
    </row>
    <row r="34096" spans="1:8" customFormat="1" x14ac:dyDescent="0.25">
      <c r="A34096" t="str">
        <f>"7878764"</f>
        <v>7878764</v>
      </c>
      <c r="B34096" t="s">
        <v>3089</v>
      </c>
      <c r="C34096" t="s">
        <v>1665</v>
      </c>
      <c r="D34096" s="21" t="s">
        <v>34</v>
      </c>
      <c r="E34096" s="21" t="s">
        <v>6185</v>
      </c>
      <c r="F34096">
        <v>8780130</v>
      </c>
      <c r="G34096" t="s">
        <v>5752</v>
      </c>
      <c r="H34096" s="21">
        <v>500</v>
      </c>
    </row>
    <row r="34097" spans="1:8" customFormat="1" x14ac:dyDescent="0.25">
      <c r="A34097" t="str">
        <f>"667968"</f>
        <v>667968</v>
      </c>
      <c r="B34097" t="s">
        <v>23944</v>
      </c>
      <c r="C34097" t="s">
        <v>598</v>
      </c>
      <c r="D34097" s="21" t="s">
        <v>34</v>
      </c>
      <c r="E34097" s="21" t="s">
        <v>254</v>
      </c>
      <c r="F34097">
        <v>11660041</v>
      </c>
      <c r="G34097" t="s">
        <v>18594</v>
      </c>
      <c r="H34097" s="21">
        <v>500</v>
      </c>
    </row>
    <row r="34098" spans="1:8" customFormat="1" x14ac:dyDescent="0.25">
      <c r="A34098" t="str">
        <f>"7642188"</f>
        <v>7642188</v>
      </c>
      <c r="B34098" t="s">
        <v>8784</v>
      </c>
      <c r="C34098" t="s">
        <v>147</v>
      </c>
      <c r="D34098" s="21" t="s">
        <v>34</v>
      </c>
      <c r="E34098" s="21" t="s">
        <v>35</v>
      </c>
      <c r="F34098">
        <v>9760041</v>
      </c>
      <c r="G34098" t="s">
        <v>452</v>
      </c>
      <c r="H34098" s="21">
        <v>500</v>
      </c>
    </row>
    <row r="34099" spans="1:8" customFormat="1" x14ac:dyDescent="0.25">
      <c r="A34099" t="str">
        <f>"6949820"</f>
        <v>6949820</v>
      </c>
      <c r="B34099" t="s">
        <v>28771</v>
      </c>
      <c r="C34099" t="s">
        <v>285</v>
      </c>
      <c r="D34099" s="21" t="s">
        <v>34</v>
      </c>
      <c r="E34099" s="21" t="s">
        <v>35</v>
      </c>
      <c r="F34099">
        <v>1690181</v>
      </c>
      <c r="G34099" t="s">
        <v>20881</v>
      </c>
      <c r="H34099" s="21">
        <v>500</v>
      </c>
    </row>
    <row r="34100" spans="1:8" customFormat="1" x14ac:dyDescent="0.25">
      <c r="A34100" t="str">
        <f>"7729946"</f>
        <v>7729946</v>
      </c>
      <c r="B34100" t="s">
        <v>213</v>
      </c>
      <c r="C34100" t="s">
        <v>33</v>
      </c>
      <c r="D34100" s="21" t="s">
        <v>34</v>
      </c>
      <c r="E34100" s="21" t="s">
        <v>35</v>
      </c>
      <c r="F34100">
        <v>8770665</v>
      </c>
      <c r="G34100" t="s">
        <v>903</v>
      </c>
      <c r="H34100" s="21">
        <v>500</v>
      </c>
    </row>
    <row r="34101" spans="1:8" customFormat="1" x14ac:dyDescent="0.25">
      <c r="A34101" t="str">
        <f>"7719013"</f>
        <v>7719013</v>
      </c>
      <c r="B34101" t="s">
        <v>15409</v>
      </c>
      <c r="C34101" t="s">
        <v>249</v>
      </c>
      <c r="D34101" s="21" t="s">
        <v>34</v>
      </c>
      <c r="E34101" s="21" t="s">
        <v>71</v>
      </c>
      <c r="F34101">
        <v>8771508</v>
      </c>
      <c r="G34101" t="s">
        <v>4072</v>
      </c>
      <c r="H34101" s="21">
        <v>500</v>
      </c>
    </row>
    <row r="34102" spans="1:8" customFormat="1" x14ac:dyDescent="0.25">
      <c r="A34102" t="str">
        <f>"8317009"</f>
        <v>8317009</v>
      </c>
      <c r="B34102" t="s">
        <v>28772</v>
      </c>
      <c r="C34102" t="s">
        <v>576</v>
      </c>
      <c r="D34102" s="21" t="s">
        <v>34</v>
      </c>
      <c r="E34102" s="21" t="s">
        <v>35</v>
      </c>
      <c r="F34102">
        <v>13830064</v>
      </c>
      <c r="G34102" t="s">
        <v>8410</v>
      </c>
      <c r="H34102" s="21">
        <v>500</v>
      </c>
    </row>
    <row r="34103" spans="1:8" customFormat="1" x14ac:dyDescent="0.25">
      <c r="A34103" t="str">
        <f>"5112721"</f>
        <v>5112721</v>
      </c>
      <c r="B34103" t="s">
        <v>3105</v>
      </c>
      <c r="C34103" t="s">
        <v>462</v>
      </c>
      <c r="D34103" s="21" t="s">
        <v>34</v>
      </c>
      <c r="E34103" s="21" t="s">
        <v>71</v>
      </c>
      <c r="F34103">
        <v>6510019</v>
      </c>
      <c r="G34103" t="s">
        <v>11388</v>
      </c>
      <c r="H34103" s="21">
        <v>500</v>
      </c>
    </row>
    <row r="34104" spans="1:8" customFormat="1" x14ac:dyDescent="0.25">
      <c r="A34104" t="str">
        <f>"6228532"</f>
        <v>6228532</v>
      </c>
      <c r="B34104" t="s">
        <v>10517</v>
      </c>
      <c r="C34104" t="s">
        <v>2520</v>
      </c>
      <c r="D34104" s="21" t="s">
        <v>34</v>
      </c>
      <c r="E34104" s="21" t="s">
        <v>254</v>
      </c>
      <c r="F34104">
        <v>7620104</v>
      </c>
      <c r="G34104" t="s">
        <v>635</v>
      </c>
      <c r="H34104" s="21">
        <v>500</v>
      </c>
    </row>
    <row r="34105" spans="1:8" customFormat="1" x14ac:dyDescent="0.25">
      <c r="A34105" t="str">
        <f>"3533900"</f>
        <v>3533900</v>
      </c>
      <c r="B34105" t="s">
        <v>10441</v>
      </c>
      <c r="C34105" t="s">
        <v>24020</v>
      </c>
      <c r="D34105" s="21" t="s">
        <v>34</v>
      </c>
      <c r="E34105" s="21" t="s">
        <v>35</v>
      </c>
      <c r="F34105">
        <v>3350014</v>
      </c>
      <c r="G34105" t="s">
        <v>1078</v>
      </c>
      <c r="H34105" s="21">
        <v>500</v>
      </c>
    </row>
    <row r="34106" spans="1:8" customFormat="1" x14ac:dyDescent="0.25">
      <c r="A34106" t="str">
        <f>"3341132"</f>
        <v>3341132</v>
      </c>
      <c r="B34106" t="s">
        <v>4709</v>
      </c>
      <c r="C34106" t="s">
        <v>263</v>
      </c>
      <c r="D34106" s="21" t="s">
        <v>34</v>
      </c>
      <c r="E34106" s="21" t="s">
        <v>1089</v>
      </c>
      <c r="F34106">
        <v>10330030</v>
      </c>
      <c r="G34106" t="s">
        <v>2990</v>
      </c>
      <c r="H34106" s="21">
        <v>500</v>
      </c>
    </row>
    <row r="34107" spans="1:8" customFormat="1" x14ac:dyDescent="0.25">
      <c r="A34107" t="str">
        <f>"7640315"</f>
        <v>7640315</v>
      </c>
      <c r="B34107" t="s">
        <v>22940</v>
      </c>
      <c r="C34107" t="s">
        <v>121</v>
      </c>
      <c r="D34107" s="21" t="s">
        <v>34</v>
      </c>
      <c r="E34107" s="21" t="s">
        <v>254</v>
      </c>
      <c r="F34107">
        <v>9760311</v>
      </c>
      <c r="G34107" t="s">
        <v>3015</v>
      </c>
      <c r="H34107" s="21">
        <v>500</v>
      </c>
    </row>
    <row r="34108" spans="1:8" customFormat="1" x14ac:dyDescent="0.25">
      <c r="A34108" t="str">
        <f>"3118032"</f>
        <v>3118032</v>
      </c>
      <c r="B34108" t="s">
        <v>7645</v>
      </c>
      <c r="C34108" t="s">
        <v>198</v>
      </c>
      <c r="D34108" s="21" t="s">
        <v>34</v>
      </c>
      <c r="E34108" s="21" t="s">
        <v>71</v>
      </c>
      <c r="F34108">
        <v>11310060</v>
      </c>
      <c r="G34108" t="s">
        <v>2448</v>
      </c>
      <c r="H34108" s="21">
        <v>500</v>
      </c>
    </row>
    <row r="34109" spans="1:8" customFormat="1" x14ac:dyDescent="0.25">
      <c r="A34109" t="str">
        <f>"521081"</f>
        <v>521081</v>
      </c>
      <c r="B34109" t="s">
        <v>5431</v>
      </c>
      <c r="C34109" t="s">
        <v>547</v>
      </c>
      <c r="D34109" s="21" t="s">
        <v>34</v>
      </c>
      <c r="E34109" s="21" t="s">
        <v>254</v>
      </c>
      <c r="F34109">
        <v>6520002</v>
      </c>
      <c r="G34109" t="s">
        <v>15105</v>
      </c>
      <c r="H34109" s="21">
        <v>500</v>
      </c>
    </row>
    <row r="34110" spans="1:8" customFormat="1" x14ac:dyDescent="0.25">
      <c r="A34110" t="str">
        <f>"3833565"</f>
        <v>3833565</v>
      </c>
      <c r="B34110" t="s">
        <v>28773</v>
      </c>
      <c r="C34110" t="s">
        <v>576</v>
      </c>
      <c r="D34110" s="21" t="s">
        <v>34</v>
      </c>
      <c r="E34110" s="21" t="s">
        <v>35</v>
      </c>
      <c r="F34110">
        <v>1380290</v>
      </c>
      <c r="G34110" t="s">
        <v>619</v>
      </c>
      <c r="H34110" s="21">
        <v>500</v>
      </c>
    </row>
    <row r="34111" spans="1:8" customFormat="1" x14ac:dyDescent="0.25">
      <c r="A34111" t="str">
        <f>"051313"</f>
        <v>051313</v>
      </c>
      <c r="B34111" t="s">
        <v>28774</v>
      </c>
      <c r="C34111" t="s">
        <v>3010</v>
      </c>
      <c r="D34111" s="21" t="s">
        <v>34</v>
      </c>
      <c r="E34111" s="21" t="s">
        <v>254</v>
      </c>
      <c r="F34111">
        <v>13050008</v>
      </c>
      <c r="G34111" t="s">
        <v>12322</v>
      </c>
      <c r="H34111" s="21">
        <v>500</v>
      </c>
    </row>
    <row r="34112" spans="1:8" customFormat="1" x14ac:dyDescent="0.25">
      <c r="A34112" t="str">
        <f>"8529475"</f>
        <v>8529475</v>
      </c>
      <c r="B34112" t="s">
        <v>11838</v>
      </c>
      <c r="C34112" t="s">
        <v>156</v>
      </c>
      <c r="D34112" s="21" t="s">
        <v>34</v>
      </c>
      <c r="E34112" s="21" t="s">
        <v>6185</v>
      </c>
      <c r="F34112">
        <v>12850001</v>
      </c>
      <c r="G34112" t="s">
        <v>1197</v>
      </c>
      <c r="H34112" s="21">
        <v>500</v>
      </c>
    </row>
    <row r="34113" spans="1:8" customFormat="1" x14ac:dyDescent="0.25">
      <c r="A34113" t="str">
        <f>"6225727"</f>
        <v>6225727</v>
      </c>
      <c r="B34113" t="s">
        <v>2398</v>
      </c>
      <c r="C34113" t="s">
        <v>169</v>
      </c>
      <c r="D34113" s="21" t="s">
        <v>34</v>
      </c>
      <c r="E34113" s="21" t="s">
        <v>35</v>
      </c>
      <c r="F34113">
        <v>7620016</v>
      </c>
      <c r="G34113" t="s">
        <v>6850</v>
      </c>
      <c r="H34113" s="21">
        <v>500</v>
      </c>
    </row>
    <row r="34114" spans="1:8" customFormat="1" x14ac:dyDescent="0.25">
      <c r="A34114" t="str">
        <f>"0212302"</f>
        <v>0212302</v>
      </c>
      <c r="B34114" t="s">
        <v>213</v>
      </c>
      <c r="C34114" t="s">
        <v>87</v>
      </c>
      <c r="D34114" s="21" t="s">
        <v>34</v>
      </c>
      <c r="E34114" s="21" t="s">
        <v>35</v>
      </c>
      <c r="F34114">
        <v>7020062</v>
      </c>
      <c r="G34114" t="s">
        <v>1505</v>
      </c>
      <c r="H34114" s="21">
        <v>500</v>
      </c>
    </row>
    <row r="34115" spans="1:8" customFormat="1" x14ac:dyDescent="0.25">
      <c r="A34115" t="str">
        <f>"08106"</f>
        <v>08106</v>
      </c>
      <c r="B34115" t="s">
        <v>22921</v>
      </c>
      <c r="C34115" t="s">
        <v>233</v>
      </c>
      <c r="D34115" s="21" t="s">
        <v>34</v>
      </c>
      <c r="E34115" s="21" t="s">
        <v>254</v>
      </c>
      <c r="F34115">
        <v>6080006</v>
      </c>
      <c r="G34115" t="s">
        <v>4295</v>
      </c>
      <c r="H34115" s="21">
        <v>500</v>
      </c>
    </row>
    <row r="34116" spans="1:8" customFormat="1" x14ac:dyDescent="0.25">
      <c r="A34116" t="str">
        <f>"848582"</f>
        <v>848582</v>
      </c>
      <c r="B34116" t="s">
        <v>28775</v>
      </c>
      <c r="C34116" t="s">
        <v>267</v>
      </c>
      <c r="D34116" s="21" t="s">
        <v>34</v>
      </c>
      <c r="E34116" s="21" t="s">
        <v>35</v>
      </c>
      <c r="F34116">
        <v>13840005</v>
      </c>
      <c r="G34116" t="s">
        <v>2145</v>
      </c>
      <c r="H34116" s="21">
        <v>500</v>
      </c>
    </row>
    <row r="34117" spans="1:8" customFormat="1" x14ac:dyDescent="0.25">
      <c r="A34117" t="str">
        <f>"044137"</f>
        <v>044137</v>
      </c>
      <c r="B34117" t="s">
        <v>2023</v>
      </c>
      <c r="C34117" t="s">
        <v>576</v>
      </c>
      <c r="D34117" s="21" t="s">
        <v>34</v>
      </c>
      <c r="E34117" s="21" t="s">
        <v>35</v>
      </c>
      <c r="F34117">
        <v>13040005</v>
      </c>
      <c r="G34117" t="s">
        <v>7115</v>
      </c>
      <c r="H34117" s="21">
        <v>500</v>
      </c>
    </row>
    <row r="34118" spans="1:8" customFormat="1" x14ac:dyDescent="0.25">
      <c r="A34118" t="str">
        <f>"0812570"</f>
        <v>0812570</v>
      </c>
      <c r="B34118" t="s">
        <v>28776</v>
      </c>
      <c r="C34118" t="s">
        <v>60</v>
      </c>
      <c r="D34118" s="21" t="s">
        <v>34</v>
      </c>
      <c r="E34118" s="21" t="s">
        <v>71</v>
      </c>
      <c r="F34118">
        <v>6080045</v>
      </c>
      <c r="G34118" t="s">
        <v>5632</v>
      </c>
      <c r="H34118" s="21">
        <v>500</v>
      </c>
    </row>
    <row r="34119" spans="1:8" customFormat="1" x14ac:dyDescent="0.25">
      <c r="A34119" t="str">
        <f>"306171"</f>
        <v>306171</v>
      </c>
      <c r="B34119" t="s">
        <v>21924</v>
      </c>
      <c r="C34119" t="s">
        <v>139</v>
      </c>
      <c r="D34119" s="21" t="s">
        <v>34</v>
      </c>
      <c r="E34119" s="21" t="s">
        <v>35</v>
      </c>
      <c r="F34119">
        <v>11300005</v>
      </c>
      <c r="G34119" t="s">
        <v>22836</v>
      </c>
      <c r="H34119" s="21">
        <v>500</v>
      </c>
    </row>
    <row r="34120" spans="1:8" customFormat="1" x14ac:dyDescent="0.25">
      <c r="A34120" t="str">
        <f>"3118097"</f>
        <v>3118097</v>
      </c>
      <c r="B34120" t="s">
        <v>26596</v>
      </c>
      <c r="C34120" t="s">
        <v>719</v>
      </c>
      <c r="D34120" s="21" t="s">
        <v>34</v>
      </c>
      <c r="E34120" s="21" t="s">
        <v>35</v>
      </c>
      <c r="F34120">
        <v>11310047</v>
      </c>
      <c r="G34120" t="s">
        <v>2188</v>
      </c>
      <c r="H34120" s="21">
        <v>500</v>
      </c>
    </row>
    <row r="34121" spans="1:8" customFormat="1" x14ac:dyDescent="0.25">
      <c r="A34121" t="str">
        <f>"4429487"</f>
        <v>4429487</v>
      </c>
      <c r="B34121" t="s">
        <v>23553</v>
      </c>
      <c r="C34121" t="s">
        <v>130</v>
      </c>
      <c r="D34121" s="21" t="s">
        <v>34</v>
      </c>
      <c r="E34121" s="21" t="s">
        <v>254</v>
      </c>
      <c r="F34121">
        <v>12440112</v>
      </c>
      <c r="G34121" t="s">
        <v>9188</v>
      </c>
      <c r="H34121" s="21">
        <v>500</v>
      </c>
    </row>
    <row r="34122" spans="1:8" customFormat="1" x14ac:dyDescent="0.25">
      <c r="A34122" t="str">
        <f>"848648"</f>
        <v>848648</v>
      </c>
      <c r="B34122" t="s">
        <v>14287</v>
      </c>
      <c r="C34122" t="s">
        <v>822</v>
      </c>
      <c r="D34122" s="21" t="s">
        <v>34</v>
      </c>
      <c r="E34122" s="21" t="s">
        <v>254</v>
      </c>
      <c r="F34122">
        <v>13840037</v>
      </c>
      <c r="G34122" t="s">
        <v>2019</v>
      </c>
      <c r="H34122" s="21">
        <v>500</v>
      </c>
    </row>
    <row r="34123" spans="1:8" customFormat="1" x14ac:dyDescent="0.25">
      <c r="A34123" t="str">
        <f>"1711228"</f>
        <v>1711228</v>
      </c>
      <c r="B34123" t="s">
        <v>2973</v>
      </c>
      <c r="C34123" t="s">
        <v>598</v>
      </c>
      <c r="D34123" s="21" t="s">
        <v>34</v>
      </c>
      <c r="E34123" s="21" t="s">
        <v>1089</v>
      </c>
      <c r="F34123">
        <v>10170029</v>
      </c>
      <c r="G34123" t="s">
        <v>9383</v>
      </c>
      <c r="H34123" s="21">
        <v>500</v>
      </c>
    </row>
    <row r="34124" spans="1:8" customFormat="1" x14ac:dyDescent="0.25">
      <c r="A34124" t="str">
        <f>"037879"</f>
        <v>037879</v>
      </c>
      <c r="B34124" t="s">
        <v>28777</v>
      </c>
      <c r="C34124" t="s">
        <v>15362</v>
      </c>
      <c r="D34124" s="21" t="s">
        <v>34</v>
      </c>
      <c r="E34124" s="21" t="s">
        <v>71</v>
      </c>
      <c r="F34124">
        <v>1030319</v>
      </c>
      <c r="G34124" t="s">
        <v>27956</v>
      </c>
      <c r="H34124" s="21">
        <v>500</v>
      </c>
    </row>
    <row r="34125" spans="1:8" customFormat="1" x14ac:dyDescent="0.25">
      <c r="A34125" t="str">
        <f>"5015060"</f>
        <v>5015060</v>
      </c>
      <c r="B34125" t="s">
        <v>24367</v>
      </c>
      <c r="C34125" t="s">
        <v>269</v>
      </c>
      <c r="D34125" s="21" t="s">
        <v>34</v>
      </c>
      <c r="E34125" s="21" t="s">
        <v>71</v>
      </c>
      <c r="F34125">
        <v>9500027</v>
      </c>
      <c r="G34125" t="s">
        <v>6343</v>
      </c>
      <c r="H34125" s="21">
        <v>500</v>
      </c>
    </row>
    <row r="34126" spans="1:8" customFormat="1" x14ac:dyDescent="0.25">
      <c r="A34126" t="str">
        <f>"958882"</f>
        <v>958882</v>
      </c>
      <c r="B34126" t="s">
        <v>24392</v>
      </c>
      <c r="C34126" t="s">
        <v>598</v>
      </c>
      <c r="D34126" s="21" t="s">
        <v>34</v>
      </c>
      <c r="E34126" s="21" t="s">
        <v>254</v>
      </c>
      <c r="F34126">
        <v>8950882</v>
      </c>
      <c r="G34126" t="s">
        <v>9516</v>
      </c>
      <c r="H34126" s="21">
        <v>500</v>
      </c>
    </row>
    <row r="34127" spans="1:8" customFormat="1" x14ac:dyDescent="0.25">
      <c r="A34127" t="str">
        <f>"189339"</f>
        <v>189339</v>
      </c>
      <c r="B34127" t="s">
        <v>15836</v>
      </c>
      <c r="C34127" t="s">
        <v>23273</v>
      </c>
      <c r="D34127" s="21" t="s">
        <v>34</v>
      </c>
      <c r="E34127" s="21" t="s">
        <v>35</v>
      </c>
      <c r="F34127">
        <v>4180728</v>
      </c>
      <c r="G34127" t="s">
        <v>17088</v>
      </c>
      <c r="H34127" s="21">
        <v>500</v>
      </c>
    </row>
    <row r="34128" spans="1:8" customFormat="1" x14ac:dyDescent="0.25">
      <c r="A34128" t="str">
        <f>"9147210"</f>
        <v>9147210</v>
      </c>
      <c r="B34128" t="s">
        <v>4754</v>
      </c>
      <c r="C34128" t="s">
        <v>28778</v>
      </c>
      <c r="D34128" s="21" t="s">
        <v>34</v>
      </c>
      <c r="E34128" s="21" t="s">
        <v>35</v>
      </c>
      <c r="F34128">
        <v>8910310</v>
      </c>
      <c r="G34128" t="s">
        <v>6645</v>
      </c>
      <c r="H34128" s="21">
        <v>500</v>
      </c>
    </row>
    <row r="34129" spans="1:8" customFormat="1" x14ac:dyDescent="0.25">
      <c r="A34129" t="str">
        <f>"33207"</f>
        <v>33207</v>
      </c>
      <c r="B34129" t="s">
        <v>1624</v>
      </c>
      <c r="C34129" t="s">
        <v>720</v>
      </c>
      <c r="D34129" s="21" t="s">
        <v>34</v>
      </c>
      <c r="E34129" s="21" t="s">
        <v>6185</v>
      </c>
      <c r="F34129">
        <v>10330003</v>
      </c>
      <c r="G34129" t="s">
        <v>309</v>
      </c>
      <c r="H34129" s="21">
        <v>500</v>
      </c>
    </row>
    <row r="34130" spans="1:8" customFormat="1" x14ac:dyDescent="0.25">
      <c r="A34130" t="str">
        <f>"6315311"</f>
        <v>6315311</v>
      </c>
      <c r="B34130" t="s">
        <v>24171</v>
      </c>
      <c r="C34130" t="s">
        <v>209</v>
      </c>
      <c r="D34130" s="21" t="s">
        <v>34</v>
      </c>
      <c r="E34130" s="21" t="s">
        <v>254</v>
      </c>
      <c r="F34130">
        <v>1630015</v>
      </c>
      <c r="G34130" t="s">
        <v>2097</v>
      </c>
      <c r="H34130" s="21">
        <v>500</v>
      </c>
    </row>
    <row r="34131" spans="1:8" customFormat="1" x14ac:dyDescent="0.25">
      <c r="A34131" t="str">
        <f>"9147270"</f>
        <v>9147270</v>
      </c>
      <c r="B34131" t="s">
        <v>28779</v>
      </c>
      <c r="C34131" t="s">
        <v>598</v>
      </c>
      <c r="D34131" s="21" t="s">
        <v>34</v>
      </c>
      <c r="E34131" s="21" t="s">
        <v>1089</v>
      </c>
      <c r="F34131">
        <v>8910165</v>
      </c>
      <c r="G34131" t="s">
        <v>3184</v>
      </c>
      <c r="H34131" s="21">
        <v>500</v>
      </c>
    </row>
    <row r="34132" spans="1:8" customFormat="1" x14ac:dyDescent="0.25">
      <c r="A34132" t="str">
        <f>"652923"</f>
        <v>652923</v>
      </c>
      <c r="B34132" t="s">
        <v>843</v>
      </c>
      <c r="C34132" t="s">
        <v>598</v>
      </c>
      <c r="D34132" s="21" t="s">
        <v>34</v>
      </c>
      <c r="E34132" s="21" t="s">
        <v>71</v>
      </c>
      <c r="F34132">
        <v>11650034</v>
      </c>
      <c r="G34132" t="s">
        <v>1989</v>
      </c>
      <c r="H34132" s="21">
        <v>500</v>
      </c>
    </row>
    <row r="34133" spans="1:8" customFormat="1" x14ac:dyDescent="0.25">
      <c r="A34133" t="str">
        <f>"9242594"</f>
        <v>9242594</v>
      </c>
      <c r="B34133" t="s">
        <v>22996</v>
      </c>
      <c r="C34133" t="s">
        <v>1539</v>
      </c>
      <c r="D34133" s="21" t="s">
        <v>34</v>
      </c>
      <c r="E34133" s="21" t="s">
        <v>35</v>
      </c>
      <c r="F34133">
        <v>8920137</v>
      </c>
      <c r="G34133" t="s">
        <v>6082</v>
      </c>
      <c r="H34133" s="21">
        <v>500</v>
      </c>
    </row>
    <row r="34134" spans="1:8" customFormat="1" x14ac:dyDescent="0.25">
      <c r="A34134" t="str">
        <f>"9453142"</f>
        <v>9453142</v>
      </c>
      <c r="B34134" t="s">
        <v>23866</v>
      </c>
      <c r="C34134" t="s">
        <v>249</v>
      </c>
      <c r="D34134" s="21" t="s">
        <v>34</v>
      </c>
      <c r="E34134" s="21" t="s">
        <v>71</v>
      </c>
      <c r="F34134">
        <v>8940459</v>
      </c>
      <c r="G34134" t="s">
        <v>743</v>
      </c>
      <c r="H34134" s="21">
        <v>500</v>
      </c>
    </row>
    <row r="34135" spans="1:8" customFormat="1" x14ac:dyDescent="0.25">
      <c r="A34135" t="str">
        <f>"5928714"</f>
        <v>5928714</v>
      </c>
      <c r="B34135" t="s">
        <v>4726</v>
      </c>
      <c r="C34135" t="s">
        <v>547</v>
      </c>
      <c r="D34135" s="21" t="s">
        <v>34</v>
      </c>
      <c r="E34135" s="21" t="s">
        <v>71</v>
      </c>
      <c r="F34135">
        <v>7590028</v>
      </c>
      <c r="G34135" t="s">
        <v>251</v>
      </c>
      <c r="H34135" s="21">
        <v>500</v>
      </c>
    </row>
    <row r="34136" spans="1:8" customFormat="1" x14ac:dyDescent="0.25">
      <c r="A34136" t="str">
        <f>"9144959"</f>
        <v>9144959</v>
      </c>
      <c r="B34136" t="s">
        <v>23046</v>
      </c>
      <c r="C34136" t="s">
        <v>13785</v>
      </c>
      <c r="D34136" s="21" t="s">
        <v>34</v>
      </c>
      <c r="E34136" s="21" t="s">
        <v>35</v>
      </c>
      <c r="F34136">
        <v>8910442</v>
      </c>
      <c r="G34136" t="s">
        <v>1336</v>
      </c>
      <c r="H34136" s="21">
        <v>500</v>
      </c>
    </row>
    <row r="34137" spans="1:8" customFormat="1" x14ac:dyDescent="0.25">
      <c r="A34137" t="str">
        <f>"101335"</f>
        <v>101335</v>
      </c>
      <c r="B34137" t="s">
        <v>24136</v>
      </c>
      <c r="C34137" t="s">
        <v>1705</v>
      </c>
      <c r="D34137" s="21" t="s">
        <v>34</v>
      </c>
      <c r="E34137" s="21" t="s">
        <v>1089</v>
      </c>
      <c r="F34137">
        <v>6100035</v>
      </c>
      <c r="G34137" t="s">
        <v>26807</v>
      </c>
      <c r="H34137" s="21">
        <v>500</v>
      </c>
    </row>
    <row r="34138" spans="1:8" customFormat="1" x14ac:dyDescent="0.25">
      <c r="A34138" t="str">
        <f>"9147271"</f>
        <v>9147271</v>
      </c>
      <c r="B34138" t="s">
        <v>28780</v>
      </c>
      <c r="C34138" t="s">
        <v>49</v>
      </c>
      <c r="D34138" s="21" t="s">
        <v>34</v>
      </c>
      <c r="E34138" s="21" t="s">
        <v>35</v>
      </c>
      <c r="F34138">
        <v>8910165</v>
      </c>
      <c r="G34138" t="s">
        <v>3184</v>
      </c>
      <c r="H34138" s="21">
        <v>500</v>
      </c>
    </row>
    <row r="34139" spans="1:8" customFormat="1" x14ac:dyDescent="0.25">
      <c r="A34139" t="str">
        <f>"2924204"</f>
        <v>2924204</v>
      </c>
      <c r="B34139" t="s">
        <v>13371</v>
      </c>
      <c r="C34139" t="s">
        <v>2520</v>
      </c>
      <c r="D34139" s="21" t="s">
        <v>34</v>
      </c>
      <c r="E34139" s="21" t="s">
        <v>254</v>
      </c>
      <c r="F34139">
        <v>3290001</v>
      </c>
      <c r="G34139" t="s">
        <v>18700</v>
      </c>
      <c r="H34139" s="21">
        <v>500</v>
      </c>
    </row>
    <row r="34140" spans="1:8" customFormat="1" x14ac:dyDescent="0.25">
      <c r="A34140" t="str">
        <f>"3116578"</f>
        <v>3116578</v>
      </c>
      <c r="B34140" t="s">
        <v>23190</v>
      </c>
      <c r="C34140" t="s">
        <v>269</v>
      </c>
      <c r="D34140" s="21" t="s">
        <v>34</v>
      </c>
      <c r="E34140" s="21" t="s">
        <v>71</v>
      </c>
      <c r="F34140">
        <v>11310121</v>
      </c>
      <c r="G34140" t="s">
        <v>578</v>
      </c>
      <c r="H34140" s="21">
        <v>500</v>
      </c>
    </row>
    <row r="34141" spans="1:8" customFormat="1" x14ac:dyDescent="0.25">
      <c r="A34141" t="str">
        <f>"123339"</f>
        <v>123339</v>
      </c>
      <c r="B34141" t="s">
        <v>7827</v>
      </c>
      <c r="C34141" t="s">
        <v>1841</v>
      </c>
      <c r="D34141" s="21" t="s">
        <v>34</v>
      </c>
      <c r="E34141" s="21" t="s">
        <v>254</v>
      </c>
      <c r="F34141">
        <v>11120045</v>
      </c>
      <c r="G34141" t="s">
        <v>13082</v>
      </c>
      <c r="H34141" s="21">
        <v>500</v>
      </c>
    </row>
    <row r="34142" spans="1:8" customFormat="1" x14ac:dyDescent="0.25">
      <c r="A34142" t="str">
        <f>"105442"</f>
        <v>105442</v>
      </c>
      <c r="B34142" t="s">
        <v>23155</v>
      </c>
      <c r="C34142" t="s">
        <v>822</v>
      </c>
      <c r="D34142" s="21" t="s">
        <v>34</v>
      </c>
      <c r="E34142" s="21" t="s">
        <v>1089</v>
      </c>
      <c r="F34142">
        <v>6100002</v>
      </c>
      <c r="G34142" t="s">
        <v>1602</v>
      </c>
      <c r="H34142" s="21">
        <v>500</v>
      </c>
    </row>
    <row r="34143" spans="1:8" customFormat="1" x14ac:dyDescent="0.25">
      <c r="A34143" t="str">
        <f>"3113772"</f>
        <v>3113772</v>
      </c>
      <c r="B34143" t="s">
        <v>5558</v>
      </c>
      <c r="C34143" t="s">
        <v>147</v>
      </c>
      <c r="D34143" s="21" t="s">
        <v>34</v>
      </c>
      <c r="E34143" s="21" t="s">
        <v>35</v>
      </c>
      <c r="F34143">
        <v>11310060</v>
      </c>
      <c r="G34143" t="s">
        <v>2448</v>
      </c>
      <c r="H34143" s="21">
        <v>500</v>
      </c>
    </row>
    <row r="34144" spans="1:8" customFormat="1" x14ac:dyDescent="0.25">
      <c r="A34144" t="str">
        <f>"5965487"</f>
        <v>5965487</v>
      </c>
      <c r="B34144" t="s">
        <v>23656</v>
      </c>
      <c r="C34144" t="s">
        <v>109</v>
      </c>
      <c r="D34144" s="21" t="s">
        <v>34</v>
      </c>
      <c r="E34144" s="21" t="s">
        <v>35</v>
      </c>
      <c r="F34144">
        <v>7620067</v>
      </c>
      <c r="G34144" t="s">
        <v>860</v>
      </c>
      <c r="H34144" s="21">
        <v>500</v>
      </c>
    </row>
    <row r="34145" spans="1:8" customFormat="1" x14ac:dyDescent="0.25">
      <c r="A34145" t="str">
        <f>"5973727"</f>
        <v>5973727</v>
      </c>
      <c r="B34145" t="s">
        <v>24445</v>
      </c>
      <c r="C34145" t="s">
        <v>1142</v>
      </c>
      <c r="D34145" s="21" t="s">
        <v>34</v>
      </c>
      <c r="E34145" s="21" t="s">
        <v>71</v>
      </c>
      <c r="F34145">
        <v>7590107</v>
      </c>
      <c r="G34145" t="s">
        <v>17475</v>
      </c>
      <c r="H34145" s="21">
        <v>500</v>
      </c>
    </row>
    <row r="34146" spans="1:8" customFormat="1" x14ac:dyDescent="0.25">
      <c r="A34146" t="str">
        <f>"5431395"</f>
        <v>5431395</v>
      </c>
      <c r="B34146" t="s">
        <v>4224</v>
      </c>
      <c r="C34146" t="s">
        <v>33</v>
      </c>
      <c r="D34146" s="21" t="s">
        <v>34</v>
      </c>
      <c r="E34146" s="21" t="s">
        <v>35</v>
      </c>
      <c r="F34146">
        <v>6540007</v>
      </c>
      <c r="G34146" t="s">
        <v>10264</v>
      </c>
      <c r="H34146" s="21">
        <v>500</v>
      </c>
    </row>
    <row r="34147" spans="1:8" customFormat="1" x14ac:dyDescent="0.25">
      <c r="A34147" t="str">
        <f>"3344197"</f>
        <v>3344197</v>
      </c>
      <c r="B34147" t="s">
        <v>12870</v>
      </c>
      <c r="C34147" t="s">
        <v>3987</v>
      </c>
      <c r="D34147" s="21" t="s">
        <v>34</v>
      </c>
      <c r="E34147" s="21" t="s">
        <v>35</v>
      </c>
      <c r="F34147">
        <v>10330089</v>
      </c>
      <c r="G34147" t="s">
        <v>3705</v>
      </c>
      <c r="H34147" s="21">
        <v>500</v>
      </c>
    </row>
    <row r="34148" spans="1:8" customFormat="1" x14ac:dyDescent="0.25">
      <c r="A34148" t="str">
        <f>"60259"</f>
        <v>60259</v>
      </c>
      <c r="B34148" t="s">
        <v>23173</v>
      </c>
      <c r="C34148" t="s">
        <v>2072</v>
      </c>
      <c r="D34148" s="21" t="s">
        <v>34</v>
      </c>
      <c r="E34148" s="21" t="s">
        <v>71</v>
      </c>
      <c r="F34148">
        <v>7600008</v>
      </c>
      <c r="G34148" t="s">
        <v>4646</v>
      </c>
      <c r="H34148" s="21">
        <v>500</v>
      </c>
    </row>
    <row r="34149" spans="1:8" customFormat="1" x14ac:dyDescent="0.25">
      <c r="A34149" t="str">
        <f>"393048"</f>
        <v>393048</v>
      </c>
      <c r="B34149" t="s">
        <v>23632</v>
      </c>
      <c r="C34149" t="s">
        <v>211</v>
      </c>
      <c r="D34149" s="21" t="s">
        <v>34</v>
      </c>
      <c r="E34149" s="21" t="s">
        <v>254</v>
      </c>
      <c r="F34149">
        <v>2390027</v>
      </c>
      <c r="G34149" t="s">
        <v>3605</v>
      </c>
      <c r="H34149" s="21">
        <v>500</v>
      </c>
    </row>
    <row r="34150" spans="1:8" customFormat="1" x14ac:dyDescent="0.25">
      <c r="A34150" t="str">
        <f>"901229"</f>
        <v>901229</v>
      </c>
      <c r="B34150" t="s">
        <v>2155</v>
      </c>
      <c r="C34150" t="s">
        <v>598</v>
      </c>
      <c r="D34150" s="21" t="s">
        <v>34</v>
      </c>
      <c r="E34150" s="21" t="s">
        <v>254</v>
      </c>
      <c r="F34150">
        <v>2900039</v>
      </c>
      <c r="G34150" t="s">
        <v>26615</v>
      </c>
      <c r="H34150" s="21">
        <v>500</v>
      </c>
    </row>
    <row r="34151" spans="1:8" customFormat="1" x14ac:dyDescent="0.25">
      <c r="A34151" t="str">
        <f>"5017985"</f>
        <v>5017985</v>
      </c>
      <c r="B34151" t="s">
        <v>19841</v>
      </c>
      <c r="C34151" t="s">
        <v>415</v>
      </c>
      <c r="D34151" s="21" t="s">
        <v>34</v>
      </c>
      <c r="E34151" s="21" t="s">
        <v>254</v>
      </c>
      <c r="F34151">
        <v>9500059</v>
      </c>
      <c r="G34151" t="s">
        <v>26714</v>
      </c>
      <c r="H34151" s="21">
        <v>500</v>
      </c>
    </row>
    <row r="34152" spans="1:8" customFormat="1" x14ac:dyDescent="0.25">
      <c r="A34152" t="str">
        <f>"37387"</f>
        <v>37387</v>
      </c>
      <c r="B34152" t="s">
        <v>23137</v>
      </c>
      <c r="C34152" t="s">
        <v>1489</v>
      </c>
      <c r="D34152" s="21" t="s">
        <v>34</v>
      </c>
      <c r="E34152" s="21" t="s">
        <v>6185</v>
      </c>
      <c r="F34152">
        <v>4370566</v>
      </c>
      <c r="G34152" t="s">
        <v>4710</v>
      </c>
      <c r="H34152" s="21">
        <v>500</v>
      </c>
    </row>
    <row r="34153" spans="1:8" customFormat="1" x14ac:dyDescent="0.25">
      <c r="A34153" t="str">
        <f>"0115739"</f>
        <v>0115739</v>
      </c>
      <c r="B34153" t="s">
        <v>28781</v>
      </c>
      <c r="C34153" t="s">
        <v>12639</v>
      </c>
      <c r="D34153" s="21" t="s">
        <v>34</v>
      </c>
      <c r="E34153" s="21" t="s">
        <v>35</v>
      </c>
      <c r="F34153">
        <v>1010063</v>
      </c>
      <c r="G34153" t="s">
        <v>5215</v>
      </c>
      <c r="H34153" s="21">
        <v>500</v>
      </c>
    </row>
    <row r="34154" spans="1:8" customFormat="1" x14ac:dyDescent="0.25">
      <c r="A34154" t="str">
        <f>"891445"</f>
        <v>891445</v>
      </c>
      <c r="B34154" t="s">
        <v>23347</v>
      </c>
      <c r="C34154" t="s">
        <v>598</v>
      </c>
      <c r="D34154" s="21" t="s">
        <v>34</v>
      </c>
      <c r="E34154" s="21" t="s">
        <v>1089</v>
      </c>
      <c r="F34154">
        <v>2890006</v>
      </c>
      <c r="G34154" t="s">
        <v>2044</v>
      </c>
      <c r="H34154" s="21">
        <v>500</v>
      </c>
    </row>
    <row r="34155" spans="1:8" customFormat="1" x14ac:dyDescent="0.25">
      <c r="A34155" t="str">
        <f>"0812635"</f>
        <v>0812635</v>
      </c>
      <c r="B34155" t="s">
        <v>28782</v>
      </c>
      <c r="C34155" t="s">
        <v>263</v>
      </c>
      <c r="D34155" s="21" t="s">
        <v>34</v>
      </c>
      <c r="E34155" s="21" t="s">
        <v>71</v>
      </c>
      <c r="F34155">
        <v>6080072</v>
      </c>
      <c r="G34155" t="s">
        <v>6765</v>
      </c>
      <c r="H34155" s="21">
        <v>500</v>
      </c>
    </row>
    <row r="34156" spans="1:8" customFormat="1" x14ac:dyDescent="0.25">
      <c r="A34156" t="str">
        <f>"2721650"</f>
        <v>2721650</v>
      </c>
      <c r="B34156" t="s">
        <v>711</v>
      </c>
      <c r="C34156" t="s">
        <v>415</v>
      </c>
      <c r="D34156" s="21" t="s">
        <v>34</v>
      </c>
      <c r="E34156" s="21" t="s">
        <v>71</v>
      </c>
      <c r="F34156">
        <v>9270097</v>
      </c>
      <c r="G34156" t="s">
        <v>9759</v>
      </c>
      <c r="H34156" s="21">
        <v>500</v>
      </c>
    </row>
    <row r="34157" spans="1:8" customFormat="1" x14ac:dyDescent="0.25">
      <c r="A34157" t="str">
        <f>"4921339"</f>
        <v>4921339</v>
      </c>
      <c r="B34157" t="s">
        <v>22789</v>
      </c>
      <c r="C34157" t="s">
        <v>263</v>
      </c>
      <c r="D34157" s="21" t="s">
        <v>34</v>
      </c>
      <c r="E34157" s="21" t="s">
        <v>254</v>
      </c>
      <c r="F34157">
        <v>12490040</v>
      </c>
      <c r="G34157" t="s">
        <v>94</v>
      </c>
      <c r="H34157" s="21">
        <v>500</v>
      </c>
    </row>
    <row r="34158" spans="1:8" customFormat="1" x14ac:dyDescent="0.25">
      <c r="A34158" t="str">
        <f>"8019085"</f>
        <v>8019085</v>
      </c>
      <c r="B34158" t="s">
        <v>946</v>
      </c>
      <c r="C34158" t="s">
        <v>328</v>
      </c>
      <c r="D34158" s="21" t="s">
        <v>34</v>
      </c>
      <c r="E34158" s="21" t="s">
        <v>35</v>
      </c>
      <c r="F34158">
        <v>7800001</v>
      </c>
      <c r="G34158" t="s">
        <v>176</v>
      </c>
      <c r="H34158" s="21">
        <v>500</v>
      </c>
    </row>
    <row r="34159" spans="1:8" customFormat="1" x14ac:dyDescent="0.25">
      <c r="A34159" t="str">
        <f>"3345247"</f>
        <v>3345247</v>
      </c>
      <c r="B34159" t="s">
        <v>28783</v>
      </c>
      <c r="C34159" t="s">
        <v>1812</v>
      </c>
      <c r="D34159" s="21" t="s">
        <v>34</v>
      </c>
      <c r="E34159" s="21" t="s">
        <v>71</v>
      </c>
      <c r="F34159">
        <v>10330043</v>
      </c>
      <c r="G34159" t="s">
        <v>1703</v>
      </c>
      <c r="H34159" s="21">
        <v>500</v>
      </c>
    </row>
    <row r="34160" spans="1:8" customFormat="1" x14ac:dyDescent="0.25">
      <c r="A34160" t="str">
        <f>"5326945"</f>
        <v>5326945</v>
      </c>
      <c r="B34160" t="s">
        <v>1198</v>
      </c>
      <c r="C34160" t="s">
        <v>82</v>
      </c>
      <c r="D34160" s="21" t="s">
        <v>34</v>
      </c>
      <c r="E34160" s="21" t="s">
        <v>35</v>
      </c>
      <c r="F34160">
        <v>12530018</v>
      </c>
      <c r="G34160" t="s">
        <v>8768</v>
      </c>
      <c r="H34160" s="21">
        <v>500</v>
      </c>
    </row>
    <row r="34161" spans="1:8" customFormat="1" x14ac:dyDescent="0.25">
      <c r="A34161" t="str">
        <f>"9457260"</f>
        <v>9457260</v>
      </c>
      <c r="B34161" t="s">
        <v>1533</v>
      </c>
      <c r="C34161" t="s">
        <v>33</v>
      </c>
      <c r="D34161" s="21" t="s">
        <v>34</v>
      </c>
      <c r="E34161" s="21" t="s">
        <v>35</v>
      </c>
      <c r="F34161">
        <v>8940096</v>
      </c>
      <c r="G34161" t="s">
        <v>5453</v>
      </c>
      <c r="H34161" s="21">
        <v>500</v>
      </c>
    </row>
    <row r="34162" spans="1:8" customFormat="1" x14ac:dyDescent="0.25">
      <c r="A34162" t="str">
        <f>"3315847"</f>
        <v>3315847</v>
      </c>
      <c r="B34162" t="s">
        <v>18773</v>
      </c>
      <c r="C34162" t="s">
        <v>854</v>
      </c>
      <c r="D34162" s="21" t="s">
        <v>34</v>
      </c>
      <c r="E34162" s="21" t="s">
        <v>35</v>
      </c>
      <c r="F34162">
        <v>10330038</v>
      </c>
      <c r="G34162" t="s">
        <v>4280</v>
      </c>
      <c r="H34162" s="21">
        <v>500</v>
      </c>
    </row>
    <row r="34163" spans="1:8" customFormat="1" x14ac:dyDescent="0.25">
      <c r="A34163" t="str">
        <f>"559303"</f>
        <v>559303</v>
      </c>
      <c r="B34163" t="s">
        <v>28784</v>
      </c>
      <c r="C34163" t="s">
        <v>28785</v>
      </c>
      <c r="D34163" s="21" t="s">
        <v>34</v>
      </c>
      <c r="E34163" s="21" t="s">
        <v>35</v>
      </c>
      <c r="F34163">
        <v>6550013</v>
      </c>
      <c r="G34163" t="s">
        <v>8047</v>
      </c>
      <c r="H34163" s="21">
        <v>500</v>
      </c>
    </row>
    <row r="34164" spans="1:8" customFormat="1" x14ac:dyDescent="0.25">
      <c r="A34164" t="str">
        <f>"848558"</f>
        <v>848558</v>
      </c>
      <c r="B34164" t="s">
        <v>28786</v>
      </c>
      <c r="C34164" t="s">
        <v>812</v>
      </c>
      <c r="D34164" s="21" t="s">
        <v>34</v>
      </c>
      <c r="E34164" s="21" t="s">
        <v>254</v>
      </c>
      <c r="F34164">
        <v>13840005</v>
      </c>
      <c r="G34164" t="s">
        <v>2145</v>
      </c>
      <c r="H34164" s="21">
        <v>500</v>
      </c>
    </row>
    <row r="34165" spans="1:8" customFormat="1" x14ac:dyDescent="0.25">
      <c r="A34165" t="str">
        <f>"5972250"</f>
        <v>5972250</v>
      </c>
      <c r="B34165" t="s">
        <v>23653</v>
      </c>
      <c r="C34165" t="s">
        <v>4989</v>
      </c>
      <c r="D34165" s="21" t="s">
        <v>34</v>
      </c>
      <c r="E34165" s="21" t="s">
        <v>71</v>
      </c>
      <c r="F34165">
        <v>7590126</v>
      </c>
      <c r="G34165" t="s">
        <v>4749</v>
      </c>
      <c r="H34165" s="21">
        <v>500</v>
      </c>
    </row>
    <row r="34166" spans="1:8" customFormat="1" x14ac:dyDescent="0.25">
      <c r="A34166" t="str">
        <f>"9A529"</f>
        <v>9A529</v>
      </c>
      <c r="B34166" t="s">
        <v>17114</v>
      </c>
      <c r="C34166" t="s">
        <v>1294</v>
      </c>
      <c r="D34166" s="21" t="s">
        <v>34</v>
      </c>
      <c r="E34166" s="21" t="s">
        <v>35</v>
      </c>
      <c r="F34166" t="s">
        <v>28735</v>
      </c>
      <c r="G34166" t="s">
        <v>28736</v>
      </c>
      <c r="H34166" s="21">
        <v>500</v>
      </c>
    </row>
    <row r="34167" spans="1:8" customFormat="1" x14ac:dyDescent="0.25">
      <c r="A34167" t="str">
        <f>"3526260"</f>
        <v>3526260</v>
      </c>
      <c r="B34167" t="s">
        <v>7700</v>
      </c>
      <c r="C34167" t="s">
        <v>267</v>
      </c>
      <c r="D34167" s="21" t="s">
        <v>34</v>
      </c>
      <c r="E34167" s="21" t="s">
        <v>254</v>
      </c>
      <c r="F34167">
        <v>3350209</v>
      </c>
      <c r="G34167" t="s">
        <v>3023</v>
      </c>
      <c r="H34167" s="21">
        <v>500</v>
      </c>
    </row>
    <row r="34168" spans="1:8" customFormat="1" x14ac:dyDescent="0.25">
      <c r="A34168" t="str">
        <f>"9H862"</f>
        <v>9H862</v>
      </c>
      <c r="B34168" t="s">
        <v>21698</v>
      </c>
      <c r="C34168" t="s">
        <v>23018</v>
      </c>
      <c r="D34168" s="21" t="s">
        <v>34</v>
      </c>
      <c r="E34168" s="21" t="s">
        <v>35</v>
      </c>
      <c r="F34168" t="s">
        <v>23019</v>
      </c>
      <c r="G34168" t="s">
        <v>23020</v>
      </c>
      <c r="H34168" s="21">
        <v>500</v>
      </c>
    </row>
    <row r="34169" spans="1:8" customFormat="1" x14ac:dyDescent="0.25">
      <c r="A34169" t="str">
        <f>"9E782"</f>
        <v>9E782</v>
      </c>
      <c r="B34169" t="s">
        <v>28787</v>
      </c>
      <c r="C34169" t="s">
        <v>817</v>
      </c>
      <c r="D34169" s="21" t="s">
        <v>34</v>
      </c>
      <c r="E34169" s="21" t="s">
        <v>254</v>
      </c>
      <c r="F34169" s="24" t="s">
        <v>28788</v>
      </c>
      <c r="G34169" t="s">
        <v>28789</v>
      </c>
      <c r="H34169" s="21">
        <v>500</v>
      </c>
    </row>
    <row r="34170" spans="1:8" customFormat="1" x14ac:dyDescent="0.25">
      <c r="A34170" t="str">
        <f>"95117"</f>
        <v>95117</v>
      </c>
      <c r="B34170" t="s">
        <v>6328</v>
      </c>
      <c r="C34170" t="s">
        <v>156</v>
      </c>
      <c r="D34170" s="21" t="s">
        <v>34</v>
      </c>
      <c r="E34170" s="21" t="s">
        <v>6185</v>
      </c>
      <c r="F34170">
        <v>8950088</v>
      </c>
      <c r="G34170" t="s">
        <v>11015</v>
      </c>
      <c r="H34170" s="21">
        <v>500</v>
      </c>
    </row>
    <row r="34171" spans="1:8" customFormat="1" x14ac:dyDescent="0.25">
      <c r="A34171" t="str">
        <f>"5733186"</f>
        <v>5733186</v>
      </c>
      <c r="B34171" t="s">
        <v>8438</v>
      </c>
      <c r="C34171" t="s">
        <v>1110</v>
      </c>
      <c r="D34171" s="21" t="s">
        <v>34</v>
      </c>
      <c r="E34171" s="21" t="s">
        <v>254</v>
      </c>
      <c r="F34171">
        <v>6570132</v>
      </c>
      <c r="G34171" t="s">
        <v>26746</v>
      </c>
      <c r="H34171" s="21">
        <v>500</v>
      </c>
    </row>
    <row r="34172" spans="1:8" customFormat="1" x14ac:dyDescent="0.25">
      <c r="A34172" t="str">
        <f>"2815028"</f>
        <v>2815028</v>
      </c>
      <c r="B34172" t="s">
        <v>23852</v>
      </c>
      <c r="C34172" t="s">
        <v>3010</v>
      </c>
      <c r="D34172" s="21" t="s">
        <v>34</v>
      </c>
      <c r="E34172" s="21" t="s">
        <v>71</v>
      </c>
      <c r="F34172">
        <v>4280005</v>
      </c>
      <c r="G34172" t="s">
        <v>5760</v>
      </c>
      <c r="H34172" s="21">
        <v>500</v>
      </c>
    </row>
    <row r="34173" spans="1:8" customFormat="1" x14ac:dyDescent="0.25">
      <c r="A34173" t="str">
        <f>"5926130"</f>
        <v>5926130</v>
      </c>
      <c r="B34173" t="s">
        <v>4063</v>
      </c>
      <c r="C34173" t="s">
        <v>2520</v>
      </c>
      <c r="D34173" s="21" t="s">
        <v>34</v>
      </c>
      <c r="E34173" s="21" t="s">
        <v>1089</v>
      </c>
      <c r="F34173">
        <v>7590050</v>
      </c>
      <c r="G34173" t="s">
        <v>473</v>
      </c>
      <c r="H34173" s="21">
        <v>500</v>
      </c>
    </row>
    <row r="34174" spans="1:8" customFormat="1" x14ac:dyDescent="0.25">
      <c r="A34174" t="str">
        <f>"0115736"</f>
        <v>0115736</v>
      </c>
      <c r="B34174" t="s">
        <v>1653</v>
      </c>
      <c r="C34174" t="s">
        <v>239</v>
      </c>
      <c r="D34174" s="21" t="s">
        <v>34</v>
      </c>
      <c r="E34174" s="21" t="s">
        <v>35</v>
      </c>
      <c r="F34174">
        <v>1010060</v>
      </c>
      <c r="G34174" t="s">
        <v>5128</v>
      </c>
      <c r="H34174" s="21">
        <v>500</v>
      </c>
    </row>
    <row r="34175" spans="1:8" customFormat="1" x14ac:dyDescent="0.25">
      <c r="A34175" t="str">
        <f>"7882542"</f>
        <v>7882542</v>
      </c>
      <c r="B34175" t="s">
        <v>8685</v>
      </c>
      <c r="C34175" t="s">
        <v>49</v>
      </c>
      <c r="D34175" s="21" t="s">
        <v>34</v>
      </c>
      <c r="E34175" s="21" t="s">
        <v>35</v>
      </c>
      <c r="F34175">
        <v>8780571</v>
      </c>
      <c r="G34175" t="s">
        <v>2336</v>
      </c>
      <c r="H34175" s="21">
        <v>500</v>
      </c>
    </row>
    <row r="34176" spans="1:8" customFormat="1" x14ac:dyDescent="0.25">
      <c r="A34176" t="str">
        <f>"9146730"</f>
        <v>9146730</v>
      </c>
      <c r="B34176" t="s">
        <v>26684</v>
      </c>
      <c r="C34176" t="s">
        <v>275</v>
      </c>
      <c r="D34176" s="21" t="s">
        <v>34</v>
      </c>
      <c r="E34176" s="21" t="s">
        <v>35</v>
      </c>
      <c r="F34176">
        <v>8910438</v>
      </c>
      <c r="G34176" t="s">
        <v>761</v>
      </c>
      <c r="H34176" s="21">
        <v>500</v>
      </c>
    </row>
    <row r="34177" spans="1:8" customFormat="1" x14ac:dyDescent="0.25">
      <c r="A34177" t="str">
        <f>"5966070"</f>
        <v>5966070</v>
      </c>
      <c r="B34177" t="s">
        <v>28790</v>
      </c>
      <c r="C34177" t="s">
        <v>130</v>
      </c>
      <c r="D34177" s="21" t="s">
        <v>34</v>
      </c>
      <c r="E34177" s="21" t="s">
        <v>254</v>
      </c>
      <c r="F34177">
        <v>7590127</v>
      </c>
      <c r="G34177" t="s">
        <v>214</v>
      </c>
      <c r="H34177" s="21">
        <v>500</v>
      </c>
    </row>
    <row r="34178" spans="1:8" customFormat="1" x14ac:dyDescent="0.25">
      <c r="A34178" t="str">
        <f>"479428"</f>
        <v>479428</v>
      </c>
      <c r="B34178" t="s">
        <v>5273</v>
      </c>
      <c r="C34178" t="s">
        <v>1675</v>
      </c>
      <c r="D34178" s="21" t="s">
        <v>34</v>
      </c>
      <c r="E34178" s="21" t="s">
        <v>71</v>
      </c>
      <c r="F34178">
        <v>1740038</v>
      </c>
      <c r="G34178" t="s">
        <v>26517</v>
      </c>
      <c r="H34178" s="21">
        <v>500</v>
      </c>
    </row>
    <row r="34179" spans="1:8" customFormat="1" x14ac:dyDescent="0.25">
      <c r="A34179" t="str">
        <f>"043501"</f>
        <v>043501</v>
      </c>
      <c r="B34179" t="s">
        <v>28791</v>
      </c>
      <c r="C34179" t="s">
        <v>1665</v>
      </c>
      <c r="D34179" s="21" t="s">
        <v>34</v>
      </c>
      <c r="E34179" s="21" t="s">
        <v>254</v>
      </c>
      <c r="F34179">
        <v>13040005</v>
      </c>
      <c r="G34179" t="s">
        <v>7115</v>
      </c>
      <c r="H34179" s="21">
        <v>500</v>
      </c>
    </row>
    <row r="34180" spans="1:8" customFormat="1" x14ac:dyDescent="0.25">
      <c r="A34180" t="str">
        <f>"2218859"</f>
        <v>2218859</v>
      </c>
      <c r="B34180" t="s">
        <v>4335</v>
      </c>
      <c r="C34180" t="s">
        <v>169</v>
      </c>
      <c r="D34180" s="21" t="s">
        <v>34</v>
      </c>
      <c r="E34180" s="21" t="s">
        <v>35</v>
      </c>
      <c r="F34180">
        <v>3220124</v>
      </c>
      <c r="G34180" t="s">
        <v>27347</v>
      </c>
      <c r="H34180" s="21">
        <v>500</v>
      </c>
    </row>
    <row r="34181" spans="1:8" customFormat="1" x14ac:dyDescent="0.25">
      <c r="A34181" t="str">
        <f>"9145724"</f>
        <v>9145724</v>
      </c>
      <c r="B34181" t="s">
        <v>23811</v>
      </c>
      <c r="C34181" t="s">
        <v>275</v>
      </c>
      <c r="D34181" s="21" t="s">
        <v>34</v>
      </c>
      <c r="E34181" s="21" t="s">
        <v>35</v>
      </c>
      <c r="F34181">
        <v>8911323</v>
      </c>
      <c r="G34181" t="s">
        <v>555</v>
      </c>
      <c r="H34181" s="21">
        <v>500</v>
      </c>
    </row>
    <row r="34182" spans="1:8" customFormat="1" x14ac:dyDescent="0.25">
      <c r="A34182" t="str">
        <f>"153871"</f>
        <v>153871</v>
      </c>
      <c r="B34182" t="s">
        <v>5638</v>
      </c>
      <c r="C34182" t="s">
        <v>40</v>
      </c>
      <c r="D34182" s="21" t="s">
        <v>34</v>
      </c>
      <c r="E34182" s="21" t="s">
        <v>254</v>
      </c>
      <c r="F34182">
        <v>1150148</v>
      </c>
      <c r="G34182" t="s">
        <v>7485</v>
      </c>
      <c r="H34182" s="21">
        <v>500</v>
      </c>
    </row>
    <row r="34183" spans="1:8" customFormat="1" x14ac:dyDescent="0.25">
      <c r="A34183" t="str">
        <f>"1320928"</f>
        <v>1320928</v>
      </c>
      <c r="B34183" t="s">
        <v>28792</v>
      </c>
      <c r="C34183" t="s">
        <v>40</v>
      </c>
      <c r="D34183" s="21" t="s">
        <v>34</v>
      </c>
      <c r="E34183" s="21" t="s">
        <v>254</v>
      </c>
      <c r="F34183">
        <v>13130162</v>
      </c>
      <c r="G34183" t="s">
        <v>13411</v>
      </c>
      <c r="H34183" s="21">
        <v>500</v>
      </c>
    </row>
    <row r="34184" spans="1:8" customFormat="1" x14ac:dyDescent="0.25">
      <c r="A34184" t="str">
        <f>"3730337"</f>
        <v>3730337</v>
      </c>
      <c r="B34184" t="s">
        <v>697</v>
      </c>
      <c r="C34184" t="s">
        <v>114</v>
      </c>
      <c r="D34184" s="21" t="s">
        <v>34</v>
      </c>
      <c r="E34184" s="21" t="s">
        <v>35</v>
      </c>
      <c r="F34184">
        <v>4370615</v>
      </c>
      <c r="G34184" t="s">
        <v>7437</v>
      </c>
      <c r="H34184" s="21">
        <v>500</v>
      </c>
    </row>
    <row r="34185" spans="1:8" customFormat="1" x14ac:dyDescent="0.25">
      <c r="A34185" t="str">
        <f>"3324162"</f>
        <v>3324162</v>
      </c>
      <c r="B34185" t="s">
        <v>21250</v>
      </c>
      <c r="C34185" t="s">
        <v>239</v>
      </c>
      <c r="D34185" s="21" t="s">
        <v>34</v>
      </c>
      <c r="E34185" s="21" t="s">
        <v>6185</v>
      </c>
      <c r="F34185">
        <v>10330017</v>
      </c>
      <c r="G34185" t="s">
        <v>2754</v>
      </c>
      <c r="H34185" s="21">
        <v>500</v>
      </c>
    </row>
    <row r="34186" spans="1:8" customFormat="1" x14ac:dyDescent="0.25">
      <c r="A34186" t="str">
        <f>"4935610"</f>
        <v>4935610</v>
      </c>
      <c r="B34186" t="s">
        <v>20770</v>
      </c>
      <c r="C34186" t="s">
        <v>124</v>
      </c>
      <c r="D34186" s="21" t="s">
        <v>34</v>
      </c>
      <c r="E34186" s="21" t="s">
        <v>254</v>
      </c>
      <c r="F34186">
        <v>12490117</v>
      </c>
      <c r="G34186" t="s">
        <v>10141</v>
      </c>
      <c r="H34186" s="21">
        <v>500</v>
      </c>
    </row>
    <row r="34187" spans="1:8" customFormat="1" x14ac:dyDescent="0.25">
      <c r="A34187" t="str">
        <f>"738932"</f>
        <v>738932</v>
      </c>
      <c r="B34187" t="s">
        <v>3242</v>
      </c>
      <c r="C34187" t="s">
        <v>169</v>
      </c>
      <c r="D34187" s="21" t="s">
        <v>34</v>
      </c>
      <c r="E34187" s="21" t="s">
        <v>35</v>
      </c>
      <c r="F34187">
        <v>1730033</v>
      </c>
      <c r="G34187" t="s">
        <v>2407</v>
      </c>
      <c r="H34187" s="21">
        <v>500</v>
      </c>
    </row>
    <row r="34188" spans="1:8" customFormat="1" x14ac:dyDescent="0.25">
      <c r="A34188" t="str">
        <f>"3523692"</f>
        <v>3523692</v>
      </c>
      <c r="B34188" t="s">
        <v>22541</v>
      </c>
      <c r="C34188" t="s">
        <v>119</v>
      </c>
      <c r="D34188" s="21" t="s">
        <v>34</v>
      </c>
      <c r="E34188" s="21" t="s">
        <v>71</v>
      </c>
      <c r="F34188">
        <v>3350102</v>
      </c>
      <c r="G34188" t="s">
        <v>4942</v>
      </c>
      <c r="H34188" s="21">
        <v>500</v>
      </c>
    </row>
    <row r="34189" spans="1:8" customFormat="1" x14ac:dyDescent="0.25">
      <c r="A34189" t="str">
        <f>"7525053"</f>
        <v>7525053</v>
      </c>
      <c r="B34189" t="s">
        <v>28793</v>
      </c>
      <c r="C34189" t="s">
        <v>16656</v>
      </c>
      <c r="D34189" s="21" t="s">
        <v>34</v>
      </c>
      <c r="E34189" s="21" t="s">
        <v>35</v>
      </c>
      <c r="F34189">
        <v>8751231</v>
      </c>
      <c r="G34189" t="s">
        <v>12843</v>
      </c>
      <c r="H34189" s="21">
        <v>500</v>
      </c>
    </row>
    <row r="34190" spans="1:8" customFormat="1" x14ac:dyDescent="0.25">
      <c r="A34190" t="str">
        <f>"9B1120"</f>
        <v>9B1120</v>
      </c>
      <c r="B34190" t="s">
        <v>28794</v>
      </c>
      <c r="C34190" t="s">
        <v>275</v>
      </c>
      <c r="D34190" s="21" t="s">
        <v>34</v>
      </c>
      <c r="E34190" s="21" t="s">
        <v>35</v>
      </c>
      <c r="F34190" t="s">
        <v>2653</v>
      </c>
      <c r="G34190" t="s">
        <v>2654</v>
      </c>
      <c r="H34190" s="21">
        <v>500</v>
      </c>
    </row>
    <row r="34191" spans="1:8" customFormat="1" x14ac:dyDescent="0.25">
      <c r="A34191" t="str">
        <f>"667438"</f>
        <v>667438</v>
      </c>
      <c r="B34191" t="s">
        <v>11572</v>
      </c>
      <c r="C34191" t="s">
        <v>412</v>
      </c>
      <c r="D34191" s="21" t="s">
        <v>34</v>
      </c>
      <c r="E34191" s="21" t="s">
        <v>254</v>
      </c>
      <c r="F34191">
        <v>11660008</v>
      </c>
      <c r="G34191" t="s">
        <v>16161</v>
      </c>
      <c r="H34191" s="21">
        <v>500</v>
      </c>
    </row>
    <row r="34192" spans="1:8" customFormat="1" x14ac:dyDescent="0.25">
      <c r="A34192" t="str">
        <f>"5974842"</f>
        <v>5974842</v>
      </c>
      <c r="B34192" t="s">
        <v>392</v>
      </c>
      <c r="C34192" t="s">
        <v>87</v>
      </c>
      <c r="D34192" s="21" t="s">
        <v>34</v>
      </c>
      <c r="E34192" s="21" t="s">
        <v>71</v>
      </c>
      <c r="F34192">
        <v>7590006</v>
      </c>
      <c r="G34192" t="s">
        <v>4165</v>
      </c>
      <c r="H34192" s="21">
        <v>500</v>
      </c>
    </row>
    <row r="34193" spans="1:8" customFormat="1" x14ac:dyDescent="0.25">
      <c r="A34193" t="str">
        <f>"7522338"</f>
        <v>7522338</v>
      </c>
      <c r="B34193" t="s">
        <v>28795</v>
      </c>
      <c r="C34193" t="s">
        <v>17458</v>
      </c>
      <c r="D34193" s="21" t="s">
        <v>34</v>
      </c>
      <c r="E34193" s="21" t="s">
        <v>71</v>
      </c>
      <c r="F34193">
        <v>8750120</v>
      </c>
      <c r="G34193" t="s">
        <v>838</v>
      </c>
      <c r="H34193" s="21">
        <v>500</v>
      </c>
    </row>
    <row r="34194" spans="1:8" customFormat="1" x14ac:dyDescent="0.25">
      <c r="A34194" t="str">
        <f>"022644"</f>
        <v>022644</v>
      </c>
      <c r="B34194" t="s">
        <v>22640</v>
      </c>
      <c r="C34194" t="s">
        <v>249</v>
      </c>
      <c r="D34194" s="21" t="s">
        <v>34</v>
      </c>
      <c r="E34194" s="21" t="s">
        <v>71</v>
      </c>
      <c r="F34194">
        <v>7020064</v>
      </c>
      <c r="G34194" t="s">
        <v>8396</v>
      </c>
      <c r="H34194" s="21">
        <v>500</v>
      </c>
    </row>
    <row r="34195" spans="1:8" customFormat="1" x14ac:dyDescent="0.25">
      <c r="A34195" t="str">
        <f>"1391"</f>
        <v>1391</v>
      </c>
      <c r="B34195" t="s">
        <v>23188</v>
      </c>
      <c r="C34195" t="s">
        <v>2305</v>
      </c>
      <c r="D34195" s="21" t="s">
        <v>34</v>
      </c>
      <c r="E34195" s="21" t="s">
        <v>71</v>
      </c>
      <c r="F34195">
        <v>13130004</v>
      </c>
      <c r="G34195" t="s">
        <v>942</v>
      </c>
      <c r="H34195" s="21">
        <v>500</v>
      </c>
    </row>
    <row r="34196" spans="1:8" customFormat="1" x14ac:dyDescent="0.25">
      <c r="A34196" t="str">
        <f>"9456897"</f>
        <v>9456897</v>
      </c>
      <c r="B34196" t="s">
        <v>356</v>
      </c>
      <c r="C34196" t="s">
        <v>601</v>
      </c>
      <c r="D34196" s="21" t="s">
        <v>34</v>
      </c>
      <c r="E34196" s="21" t="s">
        <v>35</v>
      </c>
      <c r="F34196">
        <v>8940976</v>
      </c>
      <c r="G34196" t="s">
        <v>615</v>
      </c>
      <c r="H34196" s="21">
        <v>500</v>
      </c>
    </row>
    <row r="34197" spans="1:8" customFormat="1" x14ac:dyDescent="0.25">
      <c r="A34197" t="str">
        <f>"1426232"</f>
        <v>1426232</v>
      </c>
      <c r="B34197" t="s">
        <v>22536</v>
      </c>
      <c r="C34197" t="s">
        <v>114</v>
      </c>
      <c r="D34197" s="21" t="s">
        <v>34</v>
      </c>
      <c r="E34197" s="21" t="s">
        <v>254</v>
      </c>
      <c r="F34197">
        <v>9140003</v>
      </c>
      <c r="G34197" t="s">
        <v>6152</v>
      </c>
      <c r="H34197" s="21">
        <v>500</v>
      </c>
    </row>
    <row r="34198" spans="1:8" customFormat="1" x14ac:dyDescent="0.25">
      <c r="A34198" t="str">
        <f>"5112262"</f>
        <v>5112262</v>
      </c>
      <c r="B34198" t="s">
        <v>23097</v>
      </c>
      <c r="C34198" t="s">
        <v>211</v>
      </c>
      <c r="D34198" s="21" t="s">
        <v>34</v>
      </c>
      <c r="E34198" s="21" t="s">
        <v>254</v>
      </c>
      <c r="F34198">
        <v>6510077</v>
      </c>
      <c r="G34198" t="s">
        <v>756</v>
      </c>
      <c r="H34198" s="21">
        <v>500</v>
      </c>
    </row>
    <row r="34199" spans="1:8" customFormat="1" x14ac:dyDescent="0.25">
      <c r="A34199" t="str">
        <f>"9445466"</f>
        <v>9445466</v>
      </c>
      <c r="B34199" t="s">
        <v>28796</v>
      </c>
      <c r="C34199" t="s">
        <v>28797</v>
      </c>
      <c r="D34199" s="21" t="s">
        <v>34</v>
      </c>
      <c r="E34199" s="21" t="s">
        <v>35</v>
      </c>
      <c r="F34199">
        <v>8911050</v>
      </c>
      <c r="G34199" t="s">
        <v>1606</v>
      </c>
      <c r="H34199" s="21">
        <v>500</v>
      </c>
    </row>
    <row r="34200" spans="1:8" customFormat="1" x14ac:dyDescent="0.25">
      <c r="A34200" t="str">
        <f>"5320314"</f>
        <v>5320314</v>
      </c>
      <c r="B34200" t="s">
        <v>89</v>
      </c>
      <c r="C34200" t="s">
        <v>275</v>
      </c>
      <c r="D34200" s="21" t="s">
        <v>34</v>
      </c>
      <c r="E34200" s="21" t="s">
        <v>35</v>
      </c>
      <c r="F34200">
        <v>12530070</v>
      </c>
      <c r="G34200" t="s">
        <v>4905</v>
      </c>
      <c r="H34200" s="21">
        <v>500</v>
      </c>
    </row>
    <row r="34201" spans="1:8" customFormat="1" x14ac:dyDescent="0.25">
      <c r="A34201" t="str">
        <f>"2613581"</f>
        <v>2613581</v>
      </c>
      <c r="B34201" t="s">
        <v>24695</v>
      </c>
      <c r="C34201" t="s">
        <v>209</v>
      </c>
      <c r="D34201" s="21" t="s">
        <v>34</v>
      </c>
      <c r="E34201" s="21" t="s">
        <v>254</v>
      </c>
      <c r="F34201">
        <v>1260024</v>
      </c>
      <c r="G34201" t="s">
        <v>2685</v>
      </c>
      <c r="H34201" s="21">
        <v>500</v>
      </c>
    </row>
    <row r="34202" spans="1:8" customFormat="1" x14ac:dyDescent="0.25">
      <c r="A34202" t="str">
        <f>"6725562"</f>
        <v>6725562</v>
      </c>
      <c r="B34202" t="s">
        <v>23187</v>
      </c>
      <c r="C34202" t="s">
        <v>249</v>
      </c>
      <c r="D34202" s="21" t="s">
        <v>34</v>
      </c>
      <c r="E34202" s="21" t="s">
        <v>35</v>
      </c>
      <c r="F34202">
        <v>6670187</v>
      </c>
      <c r="G34202" t="s">
        <v>240</v>
      </c>
      <c r="H34202" s="21">
        <v>500</v>
      </c>
    </row>
    <row r="34203" spans="1:8" customFormat="1" x14ac:dyDescent="0.25">
      <c r="A34203" t="str">
        <f>"2720307"</f>
        <v>2720307</v>
      </c>
      <c r="B34203" t="s">
        <v>28798</v>
      </c>
      <c r="C34203" t="s">
        <v>415</v>
      </c>
      <c r="D34203" s="21" t="s">
        <v>34</v>
      </c>
      <c r="E34203" s="21" t="s">
        <v>35</v>
      </c>
      <c r="F34203">
        <v>9270006</v>
      </c>
      <c r="G34203" t="s">
        <v>780</v>
      </c>
      <c r="H34203" s="21">
        <v>500</v>
      </c>
    </row>
    <row r="34204" spans="1:8" customFormat="1" x14ac:dyDescent="0.25">
      <c r="A34204" t="str">
        <f>"456076"</f>
        <v>456076</v>
      </c>
      <c r="B34204" t="s">
        <v>1103</v>
      </c>
      <c r="C34204" t="s">
        <v>415</v>
      </c>
      <c r="D34204" s="21" t="s">
        <v>34</v>
      </c>
      <c r="E34204" s="21" t="s">
        <v>254</v>
      </c>
      <c r="F34204">
        <v>4450024</v>
      </c>
      <c r="G34204" t="s">
        <v>9786</v>
      </c>
      <c r="H34204" s="21">
        <v>500</v>
      </c>
    </row>
    <row r="34205" spans="1:8" customFormat="1" x14ac:dyDescent="0.25">
      <c r="A34205" t="str">
        <f>"4218713"</f>
        <v>4218713</v>
      </c>
      <c r="B34205" t="s">
        <v>23467</v>
      </c>
      <c r="C34205" t="s">
        <v>1812</v>
      </c>
      <c r="D34205" s="21" t="s">
        <v>34</v>
      </c>
      <c r="E34205" s="21" t="s">
        <v>254</v>
      </c>
      <c r="F34205">
        <v>1420055</v>
      </c>
      <c r="G34205" t="s">
        <v>5421</v>
      </c>
      <c r="H34205" s="21">
        <v>500</v>
      </c>
    </row>
    <row r="34206" spans="1:8" customFormat="1" x14ac:dyDescent="0.25">
      <c r="A34206" t="str">
        <f>"61558"</f>
        <v>61558</v>
      </c>
      <c r="B34206" t="s">
        <v>6396</v>
      </c>
      <c r="C34206" t="s">
        <v>2520</v>
      </c>
      <c r="D34206" s="21" t="s">
        <v>34</v>
      </c>
      <c r="E34206" s="21" t="s">
        <v>1089</v>
      </c>
      <c r="F34206">
        <v>9610043</v>
      </c>
      <c r="G34206" t="s">
        <v>9220</v>
      </c>
      <c r="H34206" s="21">
        <v>500</v>
      </c>
    </row>
    <row r="34207" spans="1:8" customFormat="1" x14ac:dyDescent="0.25">
      <c r="A34207" t="str">
        <f>"5321905"</f>
        <v>5321905</v>
      </c>
      <c r="B34207" t="s">
        <v>7427</v>
      </c>
      <c r="C34207" t="s">
        <v>1705</v>
      </c>
      <c r="D34207" s="21" t="s">
        <v>34</v>
      </c>
      <c r="E34207" s="21" t="s">
        <v>254</v>
      </c>
      <c r="F34207">
        <v>12530036</v>
      </c>
      <c r="G34207" t="s">
        <v>2200</v>
      </c>
      <c r="H34207" s="21">
        <v>500</v>
      </c>
    </row>
    <row r="34208" spans="1:8" customFormat="1" x14ac:dyDescent="0.25">
      <c r="A34208" t="str">
        <f>"9538186"</f>
        <v>9538186</v>
      </c>
      <c r="B34208" t="s">
        <v>28799</v>
      </c>
      <c r="C34208" t="s">
        <v>5574</v>
      </c>
      <c r="D34208" s="21" t="s">
        <v>34</v>
      </c>
      <c r="E34208" s="21" t="s">
        <v>71</v>
      </c>
      <c r="F34208">
        <v>8950083</v>
      </c>
      <c r="G34208" t="s">
        <v>405</v>
      </c>
      <c r="H34208" s="21">
        <v>500</v>
      </c>
    </row>
    <row r="34209" spans="1:8" customFormat="1" x14ac:dyDescent="0.25">
      <c r="A34209" t="str">
        <f>"2515841"</f>
        <v>2515841</v>
      </c>
      <c r="B34209" t="s">
        <v>22979</v>
      </c>
      <c r="C34209" t="s">
        <v>598</v>
      </c>
      <c r="D34209" s="21" t="s">
        <v>34</v>
      </c>
      <c r="E34209" s="21" t="s">
        <v>1089</v>
      </c>
      <c r="F34209">
        <v>2250181</v>
      </c>
      <c r="G34209" t="s">
        <v>494</v>
      </c>
      <c r="H34209" s="21">
        <v>500</v>
      </c>
    </row>
    <row r="34210" spans="1:8" customFormat="1" x14ac:dyDescent="0.25">
      <c r="A34210" t="str">
        <f>"37471"</f>
        <v>37471</v>
      </c>
      <c r="B34210" t="s">
        <v>6420</v>
      </c>
      <c r="C34210" t="s">
        <v>3905</v>
      </c>
      <c r="D34210" s="21" t="s">
        <v>34</v>
      </c>
      <c r="E34210" s="21" t="s">
        <v>6185</v>
      </c>
      <c r="F34210">
        <v>4370002</v>
      </c>
      <c r="G34210" t="s">
        <v>112</v>
      </c>
      <c r="H34210" s="21">
        <v>500</v>
      </c>
    </row>
    <row r="34211" spans="1:8" customFormat="1" x14ac:dyDescent="0.25">
      <c r="A34211" t="str">
        <f>"3831511"</f>
        <v>3831511</v>
      </c>
      <c r="B34211" t="s">
        <v>2203</v>
      </c>
      <c r="C34211" t="s">
        <v>263</v>
      </c>
      <c r="D34211" s="21" t="s">
        <v>34</v>
      </c>
      <c r="E34211" s="21" t="s">
        <v>71</v>
      </c>
      <c r="F34211">
        <v>1380287</v>
      </c>
      <c r="G34211" t="s">
        <v>14614</v>
      </c>
      <c r="H34211" s="21">
        <v>500</v>
      </c>
    </row>
    <row r="34212" spans="1:8" customFormat="1" x14ac:dyDescent="0.25">
      <c r="A34212" t="str">
        <f>"9459039"</f>
        <v>9459039</v>
      </c>
      <c r="B34212" t="s">
        <v>28800</v>
      </c>
      <c r="C34212" t="s">
        <v>28801</v>
      </c>
      <c r="D34212" s="21" t="s">
        <v>34</v>
      </c>
      <c r="E34212" s="21" t="s">
        <v>35</v>
      </c>
      <c r="F34212">
        <v>8940872</v>
      </c>
      <c r="G34212" t="s">
        <v>4687</v>
      </c>
      <c r="H34212" s="21">
        <v>500</v>
      </c>
    </row>
    <row r="34213" spans="1:8" customFormat="1" x14ac:dyDescent="0.25">
      <c r="A34213" t="str">
        <f>"898482"</f>
        <v>898482</v>
      </c>
      <c r="B34213" t="s">
        <v>23731</v>
      </c>
      <c r="C34213" t="s">
        <v>486</v>
      </c>
      <c r="D34213" s="21" t="s">
        <v>34</v>
      </c>
      <c r="E34213" s="21" t="s">
        <v>35</v>
      </c>
      <c r="F34213">
        <v>2890050</v>
      </c>
      <c r="G34213" t="s">
        <v>14236</v>
      </c>
      <c r="H34213" s="21">
        <v>500</v>
      </c>
    </row>
    <row r="34214" spans="1:8" customFormat="1" x14ac:dyDescent="0.25">
      <c r="A34214" t="str">
        <f>"3481"</f>
        <v>3481</v>
      </c>
      <c r="B34214" t="s">
        <v>22913</v>
      </c>
      <c r="C34214" t="s">
        <v>1142</v>
      </c>
      <c r="D34214" s="21" t="s">
        <v>34</v>
      </c>
      <c r="E34214" s="21" t="s">
        <v>6185</v>
      </c>
      <c r="F34214">
        <v>11340008</v>
      </c>
      <c r="G34214" t="s">
        <v>312</v>
      </c>
      <c r="H34214" s="21">
        <v>500</v>
      </c>
    </row>
    <row r="34215" spans="1:8" customFormat="1" x14ac:dyDescent="0.25">
      <c r="A34215" t="str">
        <f>"9715145"</f>
        <v>9715145</v>
      </c>
      <c r="B34215" t="s">
        <v>22506</v>
      </c>
      <c r="C34215" t="s">
        <v>40</v>
      </c>
      <c r="D34215" s="21" t="s">
        <v>34</v>
      </c>
      <c r="E34215" s="21" t="s">
        <v>35</v>
      </c>
      <c r="F34215" t="s">
        <v>22507</v>
      </c>
      <c r="G34215" t="s">
        <v>22508</v>
      </c>
      <c r="H34215" s="21">
        <v>500</v>
      </c>
    </row>
    <row r="34216" spans="1:8" customFormat="1" x14ac:dyDescent="0.25">
      <c r="A34216" t="str">
        <f>"9435672"</f>
        <v>9435672</v>
      </c>
      <c r="B34216" t="s">
        <v>4542</v>
      </c>
      <c r="C34216" t="s">
        <v>198</v>
      </c>
      <c r="D34216" s="21" t="s">
        <v>34</v>
      </c>
      <c r="E34216" s="21" t="s">
        <v>71</v>
      </c>
      <c r="F34216">
        <v>8940482</v>
      </c>
      <c r="G34216" t="s">
        <v>2560</v>
      </c>
      <c r="H34216" s="21">
        <v>500</v>
      </c>
    </row>
    <row r="34217" spans="1:8" customFormat="1" x14ac:dyDescent="0.25">
      <c r="A34217" t="str">
        <f>"308899"</f>
        <v>308899</v>
      </c>
      <c r="B34217" t="s">
        <v>22056</v>
      </c>
      <c r="C34217" t="s">
        <v>82</v>
      </c>
      <c r="D34217" s="21" t="s">
        <v>34</v>
      </c>
      <c r="E34217" s="21" t="s">
        <v>35</v>
      </c>
      <c r="F34217">
        <v>11300047</v>
      </c>
      <c r="G34217" t="s">
        <v>9549</v>
      </c>
      <c r="H34217" s="21">
        <v>500</v>
      </c>
    </row>
    <row r="34218" spans="1:8" customFormat="1" x14ac:dyDescent="0.25">
      <c r="A34218" t="str">
        <f>"2111931"</f>
        <v>2111931</v>
      </c>
      <c r="B34218" t="s">
        <v>28802</v>
      </c>
      <c r="C34218" t="s">
        <v>55</v>
      </c>
      <c r="D34218" s="21" t="s">
        <v>34</v>
      </c>
      <c r="E34218" s="21" t="s">
        <v>35</v>
      </c>
      <c r="F34218">
        <v>2210101</v>
      </c>
      <c r="G34218" t="s">
        <v>1374</v>
      </c>
      <c r="H34218" s="21">
        <v>500</v>
      </c>
    </row>
    <row r="34219" spans="1:8" customFormat="1" x14ac:dyDescent="0.25">
      <c r="A34219" t="str">
        <f>"9322410"</f>
        <v>9322410</v>
      </c>
      <c r="B34219" t="s">
        <v>28803</v>
      </c>
      <c r="C34219" t="s">
        <v>1705</v>
      </c>
      <c r="D34219" s="21" t="s">
        <v>34</v>
      </c>
      <c r="E34219" s="21" t="s">
        <v>1089</v>
      </c>
      <c r="F34219">
        <v>8931011</v>
      </c>
      <c r="G34219" t="s">
        <v>530</v>
      </c>
      <c r="H34219" s="21">
        <v>500</v>
      </c>
    </row>
    <row r="34220" spans="1:8" customFormat="1" x14ac:dyDescent="0.25">
      <c r="A34220" t="str">
        <f>"3528745"</f>
        <v>3528745</v>
      </c>
      <c r="B34220" t="s">
        <v>23229</v>
      </c>
      <c r="C34220" t="s">
        <v>415</v>
      </c>
      <c r="D34220" s="21" t="s">
        <v>34</v>
      </c>
      <c r="E34220" s="21" t="s">
        <v>1089</v>
      </c>
      <c r="F34220">
        <v>3350183</v>
      </c>
      <c r="G34220" t="s">
        <v>2572</v>
      </c>
      <c r="H34220" s="21">
        <v>500</v>
      </c>
    </row>
    <row r="34221" spans="1:8" customFormat="1" x14ac:dyDescent="0.25">
      <c r="A34221" t="str">
        <f>"1317511"</f>
        <v>1317511</v>
      </c>
      <c r="B34221" t="s">
        <v>7322</v>
      </c>
      <c r="C34221" t="s">
        <v>87</v>
      </c>
      <c r="D34221" s="21" t="s">
        <v>34</v>
      </c>
      <c r="E34221" s="21" t="s">
        <v>35</v>
      </c>
      <c r="F34221">
        <v>13130161</v>
      </c>
      <c r="G34221" t="s">
        <v>1171</v>
      </c>
      <c r="H34221" s="21">
        <v>500</v>
      </c>
    </row>
    <row r="34222" spans="1:8" customFormat="1" x14ac:dyDescent="0.25">
      <c r="A34222" t="str">
        <f>"2616968"</f>
        <v>2616968</v>
      </c>
      <c r="B34222" t="s">
        <v>23351</v>
      </c>
      <c r="C34222" t="s">
        <v>3564</v>
      </c>
      <c r="D34222" s="21" t="s">
        <v>34</v>
      </c>
      <c r="E34222" s="21" t="s">
        <v>254</v>
      </c>
      <c r="F34222">
        <v>1260015</v>
      </c>
      <c r="G34222" t="s">
        <v>4712</v>
      </c>
      <c r="H34222" s="21">
        <v>500</v>
      </c>
    </row>
    <row r="34223" spans="1:8" customFormat="1" x14ac:dyDescent="0.25">
      <c r="A34223" t="str">
        <f>"6022874"</f>
        <v>6022874</v>
      </c>
      <c r="B34223" t="s">
        <v>17177</v>
      </c>
      <c r="C34223" t="s">
        <v>249</v>
      </c>
      <c r="D34223" s="21" t="s">
        <v>34</v>
      </c>
      <c r="E34223" s="21" t="s">
        <v>35</v>
      </c>
      <c r="F34223">
        <v>7600119</v>
      </c>
      <c r="G34223" t="s">
        <v>11415</v>
      </c>
      <c r="H34223" s="21">
        <v>500</v>
      </c>
    </row>
    <row r="34224" spans="1:8" customFormat="1" x14ac:dyDescent="0.25">
      <c r="A34224" t="str">
        <f>"348029"</f>
        <v>348029</v>
      </c>
      <c r="B34224" t="s">
        <v>2738</v>
      </c>
      <c r="C34224" t="s">
        <v>139</v>
      </c>
      <c r="D34224" s="21" t="s">
        <v>34</v>
      </c>
      <c r="E34224" s="21" t="s">
        <v>71</v>
      </c>
      <c r="F34224">
        <v>11340060</v>
      </c>
      <c r="G34224" t="s">
        <v>1275</v>
      </c>
      <c r="H34224" s="21">
        <v>500</v>
      </c>
    </row>
    <row r="34225" spans="1:8" customFormat="1" x14ac:dyDescent="0.25">
      <c r="A34225" t="str">
        <f>"1410291"</f>
        <v>1410291</v>
      </c>
      <c r="B34225" t="s">
        <v>8854</v>
      </c>
      <c r="C34225" t="s">
        <v>90</v>
      </c>
      <c r="D34225" s="21" t="s">
        <v>34</v>
      </c>
      <c r="E34225" s="21" t="s">
        <v>254</v>
      </c>
      <c r="F34225">
        <v>9140111</v>
      </c>
      <c r="G34225" t="s">
        <v>3601</v>
      </c>
      <c r="H34225" s="21">
        <v>500</v>
      </c>
    </row>
    <row r="34226" spans="1:8" customFormat="1" x14ac:dyDescent="0.25">
      <c r="A34226" t="str">
        <f>"9W130"</f>
        <v>9W130</v>
      </c>
      <c r="B34226" t="s">
        <v>28804</v>
      </c>
      <c r="C34226" t="s">
        <v>28805</v>
      </c>
      <c r="D34226" s="21" t="s">
        <v>34</v>
      </c>
      <c r="E34226" s="21" t="s">
        <v>35</v>
      </c>
      <c r="F34226" t="s">
        <v>28806</v>
      </c>
      <c r="G34226" t="s">
        <v>28807</v>
      </c>
      <c r="H34226" s="21">
        <v>500</v>
      </c>
    </row>
    <row r="34227" spans="1:8" customFormat="1" x14ac:dyDescent="0.25">
      <c r="A34227" t="str">
        <f>"5982081"</f>
        <v>5982081</v>
      </c>
      <c r="B34227" t="s">
        <v>12849</v>
      </c>
      <c r="C34227" t="s">
        <v>253</v>
      </c>
      <c r="D34227" s="21" t="s">
        <v>34</v>
      </c>
      <c r="E34227" s="21" t="s">
        <v>71</v>
      </c>
      <c r="F34227">
        <v>7590392</v>
      </c>
      <c r="G34227" t="s">
        <v>154</v>
      </c>
      <c r="H34227" s="21">
        <v>500</v>
      </c>
    </row>
    <row r="34228" spans="1:8" customFormat="1" x14ac:dyDescent="0.25">
      <c r="A34228" t="str">
        <f>"9F5659"</f>
        <v>9F5659</v>
      </c>
      <c r="B34228" t="s">
        <v>28808</v>
      </c>
      <c r="C34228" t="s">
        <v>90</v>
      </c>
      <c r="D34228" s="21" t="s">
        <v>34</v>
      </c>
      <c r="E34228" s="21" t="s">
        <v>35</v>
      </c>
      <c r="F34228" t="s">
        <v>22850</v>
      </c>
      <c r="G34228" t="s">
        <v>22851</v>
      </c>
      <c r="H34228" s="21">
        <v>500</v>
      </c>
    </row>
    <row r="34229" spans="1:8" customFormat="1" x14ac:dyDescent="0.25">
      <c r="A34229" t="str">
        <f>"713926"</f>
        <v>713926</v>
      </c>
      <c r="B34229" t="s">
        <v>23282</v>
      </c>
      <c r="C34229" t="s">
        <v>1146</v>
      </c>
      <c r="D34229" s="21" t="s">
        <v>34</v>
      </c>
      <c r="E34229" s="21" t="s">
        <v>254</v>
      </c>
      <c r="F34229">
        <v>2710067</v>
      </c>
      <c r="G34229" t="s">
        <v>284</v>
      </c>
      <c r="H34229" s="21">
        <v>500</v>
      </c>
    </row>
    <row r="34230" spans="1:8" customFormat="1" x14ac:dyDescent="0.25">
      <c r="A34230" t="str">
        <f>"261784"</f>
        <v>261784</v>
      </c>
      <c r="B34230" t="s">
        <v>23630</v>
      </c>
      <c r="C34230" t="s">
        <v>2305</v>
      </c>
      <c r="D34230" s="21" t="s">
        <v>34</v>
      </c>
      <c r="E34230" s="21" t="s">
        <v>1089</v>
      </c>
      <c r="F34230">
        <v>1260054</v>
      </c>
      <c r="G34230" t="s">
        <v>358</v>
      </c>
      <c r="H34230" s="21">
        <v>500</v>
      </c>
    </row>
    <row r="34231" spans="1:8" customFormat="1" x14ac:dyDescent="0.25">
      <c r="A34231" t="str">
        <f>"3337585"</f>
        <v>3337585</v>
      </c>
      <c r="B34231" t="s">
        <v>3057</v>
      </c>
      <c r="C34231" t="s">
        <v>121</v>
      </c>
      <c r="D34231" s="21" t="s">
        <v>34</v>
      </c>
      <c r="E34231" s="21" t="s">
        <v>35</v>
      </c>
      <c r="F34231">
        <v>10330076</v>
      </c>
      <c r="G34231" t="s">
        <v>3769</v>
      </c>
      <c r="H34231" s="21">
        <v>500</v>
      </c>
    </row>
    <row r="34232" spans="1:8" customFormat="1" x14ac:dyDescent="0.25">
      <c r="A34232" t="str">
        <f>"7219873"</f>
        <v>7219873</v>
      </c>
      <c r="B34232" t="s">
        <v>709</v>
      </c>
      <c r="C34232" t="s">
        <v>288</v>
      </c>
      <c r="D34232" s="21" t="s">
        <v>34</v>
      </c>
      <c r="E34232" s="21" t="s">
        <v>35</v>
      </c>
      <c r="F34232">
        <v>12720113</v>
      </c>
      <c r="G34232" t="s">
        <v>21211</v>
      </c>
      <c r="H34232" s="21">
        <v>500</v>
      </c>
    </row>
    <row r="34233" spans="1:8" customFormat="1" x14ac:dyDescent="0.25">
      <c r="A34233" t="str">
        <f>"3833433"</f>
        <v>3833433</v>
      </c>
      <c r="B34233" t="s">
        <v>28809</v>
      </c>
      <c r="C34233" t="s">
        <v>169</v>
      </c>
      <c r="D34233" s="21" t="s">
        <v>34</v>
      </c>
      <c r="E34233" s="21" t="s">
        <v>35</v>
      </c>
      <c r="F34233">
        <v>1380098</v>
      </c>
      <c r="G34233" t="s">
        <v>7501</v>
      </c>
      <c r="H34233" s="21">
        <v>500</v>
      </c>
    </row>
    <row r="34234" spans="1:8" customFormat="1" x14ac:dyDescent="0.25">
      <c r="A34234" t="str">
        <f>"6947539"</f>
        <v>6947539</v>
      </c>
      <c r="B34234" t="s">
        <v>1263</v>
      </c>
      <c r="C34234" t="s">
        <v>275</v>
      </c>
      <c r="D34234" s="21" t="s">
        <v>34</v>
      </c>
      <c r="E34234" s="21" t="s">
        <v>35</v>
      </c>
      <c r="F34234">
        <v>1690197</v>
      </c>
      <c r="G34234" t="s">
        <v>26849</v>
      </c>
      <c r="H34234" s="21">
        <v>500</v>
      </c>
    </row>
    <row r="34235" spans="1:8" customFormat="1" x14ac:dyDescent="0.25">
      <c r="A34235" t="str">
        <f>"587264"</f>
        <v>587264</v>
      </c>
      <c r="B34235" t="s">
        <v>19949</v>
      </c>
      <c r="C34235" t="s">
        <v>124</v>
      </c>
      <c r="D34235" s="21" t="s">
        <v>34</v>
      </c>
      <c r="E34235" s="21" t="s">
        <v>254</v>
      </c>
      <c r="F34235">
        <v>2580017</v>
      </c>
      <c r="G34235" t="s">
        <v>7044</v>
      </c>
      <c r="H34235" s="21">
        <v>500</v>
      </c>
    </row>
    <row r="34236" spans="1:8" customFormat="1" x14ac:dyDescent="0.25">
      <c r="A34236" t="str">
        <f>"3117788"</f>
        <v>3117788</v>
      </c>
      <c r="B34236" t="s">
        <v>23609</v>
      </c>
      <c r="C34236" t="s">
        <v>169</v>
      </c>
      <c r="D34236" s="21" t="s">
        <v>34</v>
      </c>
      <c r="E34236" s="21" t="s">
        <v>35</v>
      </c>
      <c r="F34236">
        <v>11310076</v>
      </c>
      <c r="G34236" t="s">
        <v>5782</v>
      </c>
      <c r="H34236" s="21">
        <v>500</v>
      </c>
    </row>
    <row r="34237" spans="1:8" customFormat="1" x14ac:dyDescent="0.25">
      <c r="A34237" t="str">
        <f>"7732418"</f>
        <v>7732418</v>
      </c>
      <c r="B34237" t="s">
        <v>28810</v>
      </c>
      <c r="C34237" t="s">
        <v>198</v>
      </c>
      <c r="D34237" s="21" t="s">
        <v>34</v>
      </c>
      <c r="E34237" s="21" t="s">
        <v>254</v>
      </c>
      <c r="F34237">
        <v>8770895</v>
      </c>
      <c r="G34237" t="s">
        <v>4795</v>
      </c>
      <c r="H34237" s="21">
        <v>500</v>
      </c>
    </row>
    <row r="34238" spans="1:8" customFormat="1" x14ac:dyDescent="0.25">
      <c r="A34238" t="str">
        <f>"2515495"</f>
        <v>2515495</v>
      </c>
      <c r="B34238" t="s">
        <v>23195</v>
      </c>
      <c r="C34238" t="s">
        <v>267</v>
      </c>
      <c r="D34238" s="21" t="s">
        <v>34</v>
      </c>
      <c r="E34238" s="21" t="s">
        <v>1089</v>
      </c>
      <c r="F34238">
        <v>2250231</v>
      </c>
      <c r="G34238" t="s">
        <v>8994</v>
      </c>
      <c r="H34238" s="21">
        <v>500</v>
      </c>
    </row>
    <row r="34239" spans="1:8" customFormat="1" x14ac:dyDescent="0.25">
      <c r="A34239" t="str">
        <f>"9F4576"</f>
        <v>9F4576</v>
      </c>
      <c r="B34239" t="s">
        <v>22844</v>
      </c>
      <c r="C34239" t="s">
        <v>598</v>
      </c>
      <c r="D34239" s="21" t="s">
        <v>34</v>
      </c>
      <c r="E34239" s="21" t="s">
        <v>254</v>
      </c>
      <c r="F34239" t="s">
        <v>7659</v>
      </c>
      <c r="G34239" t="s">
        <v>7660</v>
      </c>
      <c r="H34239" s="21">
        <v>500</v>
      </c>
    </row>
    <row r="34240" spans="1:8" customFormat="1" x14ac:dyDescent="0.25">
      <c r="A34240" t="str">
        <f>"737777"</f>
        <v>737777</v>
      </c>
      <c r="B34240" t="s">
        <v>23369</v>
      </c>
      <c r="C34240" t="s">
        <v>130</v>
      </c>
      <c r="D34240" s="21" t="s">
        <v>34</v>
      </c>
      <c r="E34240" s="21" t="s">
        <v>254</v>
      </c>
      <c r="F34240">
        <v>1730091</v>
      </c>
      <c r="G34240" t="s">
        <v>23022</v>
      </c>
      <c r="H34240" s="21">
        <v>500</v>
      </c>
    </row>
    <row r="34241" spans="1:8" customFormat="1" x14ac:dyDescent="0.25">
      <c r="A34241" t="str">
        <f>"9458801"</f>
        <v>9458801</v>
      </c>
      <c r="B34241" t="s">
        <v>28811</v>
      </c>
      <c r="C34241" t="s">
        <v>249</v>
      </c>
      <c r="D34241" s="21" t="s">
        <v>34</v>
      </c>
      <c r="E34241" s="21" t="s">
        <v>71</v>
      </c>
      <c r="F34241">
        <v>8940459</v>
      </c>
      <c r="G34241" t="s">
        <v>743</v>
      </c>
      <c r="H34241" s="21">
        <v>500</v>
      </c>
    </row>
    <row r="34242" spans="1:8" customFormat="1" x14ac:dyDescent="0.25">
      <c r="A34242" t="str">
        <f>"043937"</f>
        <v>043937</v>
      </c>
      <c r="B34242" t="s">
        <v>23519</v>
      </c>
      <c r="C34242" t="s">
        <v>3456</v>
      </c>
      <c r="D34242" s="21" t="s">
        <v>34</v>
      </c>
      <c r="E34242" s="21" t="s">
        <v>35</v>
      </c>
      <c r="F34242">
        <v>13040005</v>
      </c>
      <c r="G34242" t="s">
        <v>7115</v>
      </c>
      <c r="H34242" s="21">
        <v>500</v>
      </c>
    </row>
    <row r="34243" spans="1:8" customFormat="1" x14ac:dyDescent="0.25">
      <c r="A34243" t="str">
        <f>"699647"</f>
        <v>699647</v>
      </c>
      <c r="B34243" t="s">
        <v>28812</v>
      </c>
      <c r="C34243" t="s">
        <v>1271</v>
      </c>
      <c r="D34243" s="21" t="s">
        <v>34</v>
      </c>
      <c r="E34243" s="21" t="s">
        <v>1089</v>
      </c>
      <c r="F34243">
        <v>1690160</v>
      </c>
      <c r="G34243" t="s">
        <v>4599</v>
      </c>
      <c r="H34243" s="21">
        <v>500</v>
      </c>
    </row>
    <row r="34244" spans="1:8" customFormat="1" x14ac:dyDescent="0.25">
      <c r="A34244" t="str">
        <f>"7862970"</f>
        <v>7862970</v>
      </c>
      <c r="B34244" t="s">
        <v>28288</v>
      </c>
      <c r="C34244" t="s">
        <v>598</v>
      </c>
      <c r="D34244" s="21" t="s">
        <v>34</v>
      </c>
      <c r="E34244" s="21" t="s">
        <v>35</v>
      </c>
      <c r="F34244">
        <v>8780571</v>
      </c>
      <c r="G34244" t="s">
        <v>2336</v>
      </c>
      <c r="H34244" s="21">
        <v>500</v>
      </c>
    </row>
    <row r="34245" spans="1:8" customFormat="1" x14ac:dyDescent="0.25">
      <c r="A34245" t="str">
        <f>"198981"</f>
        <v>198981</v>
      </c>
      <c r="B34245" t="s">
        <v>3664</v>
      </c>
      <c r="C34245" t="s">
        <v>1782</v>
      </c>
      <c r="D34245" s="21" t="s">
        <v>34</v>
      </c>
      <c r="E34245" s="21" t="s">
        <v>35</v>
      </c>
      <c r="F34245">
        <v>10190075</v>
      </c>
      <c r="G34245" t="s">
        <v>14431</v>
      </c>
      <c r="H34245" s="21">
        <v>500</v>
      </c>
    </row>
    <row r="34246" spans="1:8" customFormat="1" x14ac:dyDescent="0.25">
      <c r="A34246" t="str">
        <f>"878747"</f>
        <v>878747</v>
      </c>
      <c r="B34246" t="s">
        <v>24429</v>
      </c>
      <c r="C34246" t="s">
        <v>87</v>
      </c>
      <c r="D34246" s="21" t="s">
        <v>34</v>
      </c>
      <c r="E34246" s="21" t="s">
        <v>35</v>
      </c>
      <c r="F34246">
        <v>10870102</v>
      </c>
      <c r="G34246" t="s">
        <v>15067</v>
      </c>
      <c r="H34246" s="21">
        <v>500</v>
      </c>
    </row>
    <row r="34247" spans="1:8" customFormat="1" x14ac:dyDescent="0.25">
      <c r="A34247" t="str">
        <f>"5730593"</f>
        <v>5730593</v>
      </c>
      <c r="B34247" t="s">
        <v>850</v>
      </c>
      <c r="C34247" t="s">
        <v>269</v>
      </c>
      <c r="D34247" s="21" t="s">
        <v>34</v>
      </c>
      <c r="E34247" s="21" t="s">
        <v>71</v>
      </c>
      <c r="F34247">
        <v>6570022</v>
      </c>
      <c r="G34247" t="s">
        <v>3870</v>
      </c>
      <c r="H34247" s="21">
        <v>500</v>
      </c>
    </row>
    <row r="34248" spans="1:8" customFormat="1" x14ac:dyDescent="0.25">
      <c r="A34248" t="str">
        <f>"5976585"</f>
        <v>5976585</v>
      </c>
      <c r="B34248" t="s">
        <v>1525</v>
      </c>
      <c r="C34248" t="s">
        <v>144</v>
      </c>
      <c r="D34248" s="21" t="s">
        <v>34</v>
      </c>
      <c r="E34248" s="21" t="s">
        <v>35</v>
      </c>
      <c r="F34248">
        <v>7590184</v>
      </c>
      <c r="G34248" t="s">
        <v>6722</v>
      </c>
      <c r="H34248" s="21">
        <v>500</v>
      </c>
    </row>
    <row r="34249" spans="1:8" customFormat="1" x14ac:dyDescent="0.25">
      <c r="A34249" t="str">
        <f>"7880266"</f>
        <v>7880266</v>
      </c>
      <c r="B34249" t="s">
        <v>28813</v>
      </c>
      <c r="C34249" t="s">
        <v>12593</v>
      </c>
      <c r="D34249" s="21" t="s">
        <v>34</v>
      </c>
      <c r="E34249" s="21" t="s">
        <v>35</v>
      </c>
      <c r="F34249">
        <v>8781094</v>
      </c>
      <c r="G34249" t="s">
        <v>7875</v>
      </c>
      <c r="H34249" s="21">
        <v>500</v>
      </c>
    </row>
    <row r="34250" spans="1:8" customFormat="1" x14ac:dyDescent="0.25">
      <c r="A34250" t="str">
        <f>"2213131"</f>
        <v>2213131</v>
      </c>
      <c r="B34250" t="s">
        <v>9986</v>
      </c>
      <c r="C34250" t="s">
        <v>267</v>
      </c>
      <c r="D34250" s="21" t="s">
        <v>34</v>
      </c>
      <c r="E34250" s="21" t="s">
        <v>1089</v>
      </c>
      <c r="F34250">
        <v>13040015</v>
      </c>
      <c r="G34250" t="s">
        <v>7151</v>
      </c>
      <c r="H34250" s="21">
        <v>500</v>
      </c>
    </row>
    <row r="34251" spans="1:8" customFormat="1" x14ac:dyDescent="0.25">
      <c r="A34251" t="str">
        <f>"446654"</f>
        <v>446654</v>
      </c>
      <c r="B34251" t="s">
        <v>22947</v>
      </c>
      <c r="C34251" t="s">
        <v>462</v>
      </c>
      <c r="D34251" s="21" t="s">
        <v>34</v>
      </c>
      <c r="E34251" s="21" t="s">
        <v>71</v>
      </c>
      <c r="F34251">
        <v>12440039</v>
      </c>
      <c r="G34251" t="s">
        <v>9650</v>
      </c>
      <c r="H34251" s="21">
        <v>500</v>
      </c>
    </row>
    <row r="34252" spans="1:8" customFormat="1" x14ac:dyDescent="0.25">
      <c r="A34252" t="str">
        <f>"9457269"</f>
        <v>9457269</v>
      </c>
      <c r="B34252" t="s">
        <v>28814</v>
      </c>
      <c r="C34252" t="s">
        <v>139</v>
      </c>
      <c r="D34252" s="21" t="s">
        <v>34</v>
      </c>
      <c r="E34252" s="21" t="s">
        <v>71</v>
      </c>
      <c r="F34252">
        <v>8941282</v>
      </c>
      <c r="G34252" t="s">
        <v>5040</v>
      </c>
      <c r="H34252" s="21">
        <v>500</v>
      </c>
    </row>
    <row r="34253" spans="1:8" customFormat="1" x14ac:dyDescent="0.25">
      <c r="A34253" t="str">
        <f>"7521335"</f>
        <v>7521335</v>
      </c>
      <c r="B34253" t="s">
        <v>22929</v>
      </c>
      <c r="C34253" t="s">
        <v>22930</v>
      </c>
      <c r="D34253" s="21" t="s">
        <v>34</v>
      </c>
      <c r="E34253" s="21" t="s">
        <v>254</v>
      </c>
      <c r="F34253">
        <v>8750400</v>
      </c>
      <c r="G34253" t="s">
        <v>2804</v>
      </c>
      <c r="H34253" s="21">
        <v>500</v>
      </c>
    </row>
    <row r="34254" spans="1:8" customFormat="1" x14ac:dyDescent="0.25">
      <c r="A34254" t="str">
        <f>"5955130"</f>
        <v>5955130</v>
      </c>
      <c r="B34254" t="s">
        <v>27762</v>
      </c>
      <c r="C34254" t="s">
        <v>33</v>
      </c>
      <c r="D34254" s="21" t="s">
        <v>34</v>
      </c>
      <c r="E34254" s="21" t="s">
        <v>35</v>
      </c>
      <c r="F34254">
        <v>7590050</v>
      </c>
      <c r="G34254" t="s">
        <v>473</v>
      </c>
      <c r="H34254" s="21">
        <v>500</v>
      </c>
    </row>
    <row r="34255" spans="1:8" customFormat="1" x14ac:dyDescent="0.25">
      <c r="A34255" t="str">
        <f>"5980429"</f>
        <v>5980429</v>
      </c>
      <c r="B34255" t="s">
        <v>23968</v>
      </c>
      <c r="C34255" t="s">
        <v>1132</v>
      </c>
      <c r="D34255" s="21" t="s">
        <v>34</v>
      </c>
      <c r="E34255" s="21" t="s">
        <v>35</v>
      </c>
      <c r="F34255">
        <v>7590260</v>
      </c>
      <c r="G34255" t="s">
        <v>3043</v>
      </c>
      <c r="H34255" s="21">
        <v>500</v>
      </c>
    </row>
    <row r="34256" spans="1:8" customFormat="1" x14ac:dyDescent="0.25">
      <c r="A34256" t="str">
        <f>"276494"</f>
        <v>276494</v>
      </c>
      <c r="B34256" t="s">
        <v>23435</v>
      </c>
      <c r="C34256" t="s">
        <v>547</v>
      </c>
      <c r="D34256" s="21" t="s">
        <v>34</v>
      </c>
      <c r="E34256" s="21" t="s">
        <v>1089</v>
      </c>
      <c r="F34256">
        <v>9270148</v>
      </c>
      <c r="G34256" t="s">
        <v>8058</v>
      </c>
      <c r="H34256" s="21">
        <v>500</v>
      </c>
    </row>
    <row r="34257" spans="1:8" customFormat="1" x14ac:dyDescent="0.25">
      <c r="A34257" t="str">
        <f>"9130295"</f>
        <v>9130295</v>
      </c>
      <c r="B34257" t="s">
        <v>18030</v>
      </c>
      <c r="C34257" t="s">
        <v>275</v>
      </c>
      <c r="D34257" s="21" t="s">
        <v>34</v>
      </c>
      <c r="E34257" s="21" t="s">
        <v>35</v>
      </c>
      <c r="F34257">
        <v>12490063</v>
      </c>
      <c r="G34257" t="s">
        <v>329</v>
      </c>
      <c r="H34257" s="21">
        <v>500</v>
      </c>
    </row>
    <row r="34258" spans="1:8" customFormat="1" x14ac:dyDescent="0.25">
      <c r="A34258" t="str">
        <f>"7732477"</f>
        <v>7732477</v>
      </c>
      <c r="B34258" t="s">
        <v>28815</v>
      </c>
      <c r="C34258" t="s">
        <v>60</v>
      </c>
      <c r="D34258" s="21" t="s">
        <v>34</v>
      </c>
      <c r="E34258" s="21" t="s">
        <v>71</v>
      </c>
      <c r="F34258">
        <v>8771172</v>
      </c>
      <c r="G34258" t="s">
        <v>12662</v>
      </c>
      <c r="H34258" s="21">
        <v>500</v>
      </c>
    </row>
    <row r="34259" spans="1:8" customFormat="1" x14ac:dyDescent="0.25">
      <c r="A34259" t="str">
        <f>"3528764"</f>
        <v>3528764</v>
      </c>
      <c r="B34259" t="s">
        <v>4944</v>
      </c>
      <c r="C34259" t="s">
        <v>236</v>
      </c>
      <c r="D34259" s="21" t="s">
        <v>34</v>
      </c>
      <c r="E34259" s="21" t="s">
        <v>254</v>
      </c>
      <c r="F34259">
        <v>3350049</v>
      </c>
      <c r="G34259" t="s">
        <v>1475</v>
      </c>
      <c r="H34259" s="21">
        <v>500</v>
      </c>
    </row>
    <row r="34260" spans="1:8" customFormat="1" x14ac:dyDescent="0.25">
      <c r="A34260" t="str">
        <f>"5113820"</f>
        <v>5113820</v>
      </c>
      <c r="B34260" t="s">
        <v>23293</v>
      </c>
      <c r="C34260" t="s">
        <v>2276</v>
      </c>
      <c r="D34260" s="21" t="s">
        <v>34</v>
      </c>
      <c r="E34260" s="21" t="s">
        <v>254</v>
      </c>
      <c r="F34260">
        <v>6510058</v>
      </c>
      <c r="G34260" t="s">
        <v>6780</v>
      </c>
      <c r="H34260" s="21">
        <v>500</v>
      </c>
    </row>
    <row r="34261" spans="1:8" customFormat="1" x14ac:dyDescent="0.25">
      <c r="A34261" t="str">
        <f>"673078"</f>
        <v>673078</v>
      </c>
      <c r="B34261" t="s">
        <v>11072</v>
      </c>
      <c r="C34261" t="s">
        <v>3905</v>
      </c>
      <c r="D34261" s="21" t="s">
        <v>34</v>
      </c>
      <c r="E34261" s="21" t="s">
        <v>254</v>
      </c>
      <c r="F34261">
        <v>6670183</v>
      </c>
      <c r="G34261" t="s">
        <v>670</v>
      </c>
      <c r="H34261" s="21">
        <v>500</v>
      </c>
    </row>
    <row r="34262" spans="1:8" customFormat="1" x14ac:dyDescent="0.25">
      <c r="A34262" t="str">
        <f>"2112383"</f>
        <v>2112383</v>
      </c>
      <c r="B34262" t="s">
        <v>1674</v>
      </c>
      <c r="C34262" t="s">
        <v>263</v>
      </c>
      <c r="D34262" s="21" t="s">
        <v>34</v>
      </c>
      <c r="E34262" s="21" t="s">
        <v>254</v>
      </c>
      <c r="F34262">
        <v>2210048</v>
      </c>
      <c r="G34262" t="s">
        <v>7499</v>
      </c>
      <c r="H34262" s="21">
        <v>500</v>
      </c>
    </row>
    <row r="34263" spans="1:8" customFormat="1" x14ac:dyDescent="0.25">
      <c r="A34263" t="str">
        <f>"50320"</f>
        <v>50320</v>
      </c>
      <c r="B34263" t="s">
        <v>1037</v>
      </c>
      <c r="C34263" t="s">
        <v>1539</v>
      </c>
      <c r="D34263" s="21" t="s">
        <v>34</v>
      </c>
      <c r="E34263" s="21" t="s">
        <v>1089</v>
      </c>
      <c r="F34263">
        <v>9500013</v>
      </c>
      <c r="G34263" t="s">
        <v>992</v>
      </c>
      <c r="H34263" s="21">
        <v>500</v>
      </c>
    </row>
    <row r="34264" spans="1:8" customFormat="1" x14ac:dyDescent="0.25">
      <c r="A34264" t="str">
        <f>"4425285"</f>
        <v>4425285</v>
      </c>
      <c r="B34264" t="s">
        <v>8572</v>
      </c>
      <c r="C34264" t="s">
        <v>40</v>
      </c>
      <c r="D34264" s="21" t="s">
        <v>34</v>
      </c>
      <c r="E34264" s="21" t="s">
        <v>254</v>
      </c>
      <c r="F34264">
        <v>3560087</v>
      </c>
      <c r="G34264" t="s">
        <v>7767</v>
      </c>
      <c r="H34264" s="21">
        <v>500</v>
      </c>
    </row>
    <row r="34265" spans="1:8" customFormat="1" x14ac:dyDescent="0.25">
      <c r="A34265" t="str">
        <f>"558733"</f>
        <v>558733</v>
      </c>
      <c r="B34265" t="s">
        <v>23102</v>
      </c>
      <c r="C34265" t="s">
        <v>119</v>
      </c>
      <c r="D34265" s="21" t="s">
        <v>34</v>
      </c>
      <c r="E34265" s="21" t="s">
        <v>35</v>
      </c>
      <c r="F34265">
        <v>6550032</v>
      </c>
      <c r="G34265" t="s">
        <v>8081</v>
      </c>
      <c r="H34265" s="21">
        <v>500</v>
      </c>
    </row>
    <row r="34266" spans="1:8" customFormat="1" x14ac:dyDescent="0.25">
      <c r="A34266" t="str">
        <f>"9146585"</f>
        <v>9146585</v>
      </c>
      <c r="B34266" t="s">
        <v>23680</v>
      </c>
      <c r="C34266" t="s">
        <v>139</v>
      </c>
      <c r="D34266" s="21" t="s">
        <v>34</v>
      </c>
      <c r="E34266" s="21" t="s">
        <v>35</v>
      </c>
      <c r="F34266">
        <v>8911161</v>
      </c>
      <c r="G34266" t="s">
        <v>599</v>
      </c>
      <c r="H34266" s="21">
        <v>500</v>
      </c>
    </row>
    <row r="34267" spans="1:8" customFormat="1" x14ac:dyDescent="0.25">
      <c r="A34267" t="str">
        <f>"3427300"</f>
        <v>3427300</v>
      </c>
      <c r="B34267" t="s">
        <v>28816</v>
      </c>
      <c r="C34267" t="s">
        <v>1110</v>
      </c>
      <c r="D34267" s="21" t="s">
        <v>34</v>
      </c>
      <c r="E34267" s="21" t="s">
        <v>254</v>
      </c>
      <c r="F34267">
        <v>11340013</v>
      </c>
      <c r="G34267" t="s">
        <v>11430</v>
      </c>
      <c r="H34267" s="21">
        <v>500</v>
      </c>
    </row>
    <row r="34268" spans="1:8" customFormat="1" x14ac:dyDescent="0.25">
      <c r="A34268" t="str">
        <f>"5984211"</f>
        <v>5984211</v>
      </c>
      <c r="B34268" t="s">
        <v>14387</v>
      </c>
      <c r="C34268" t="s">
        <v>1299</v>
      </c>
      <c r="D34268" s="21" t="s">
        <v>34</v>
      </c>
      <c r="E34268" s="21" t="s">
        <v>35</v>
      </c>
      <c r="F34268">
        <v>7590281</v>
      </c>
      <c r="G34268" t="s">
        <v>7165</v>
      </c>
      <c r="H34268" s="21">
        <v>500</v>
      </c>
    </row>
    <row r="34269" spans="1:8" customFormat="1" x14ac:dyDescent="0.25">
      <c r="A34269" t="str">
        <f>"7862973"</f>
        <v>7862973</v>
      </c>
      <c r="B34269" t="s">
        <v>28817</v>
      </c>
      <c r="C34269" t="s">
        <v>926</v>
      </c>
      <c r="D34269" s="21" t="s">
        <v>34</v>
      </c>
      <c r="E34269" s="21" t="s">
        <v>35</v>
      </c>
      <c r="F34269">
        <v>8780632</v>
      </c>
      <c r="G34269" t="s">
        <v>1571</v>
      </c>
      <c r="H34269" s="21">
        <v>500</v>
      </c>
    </row>
    <row r="34270" spans="1:8" customFormat="1" x14ac:dyDescent="0.25">
      <c r="A34270" t="str">
        <f>"6020795"</f>
        <v>6020795</v>
      </c>
      <c r="B34270" t="s">
        <v>6088</v>
      </c>
      <c r="C34270" t="s">
        <v>267</v>
      </c>
      <c r="D34270" s="21" t="s">
        <v>34</v>
      </c>
      <c r="E34270" s="21" t="s">
        <v>254</v>
      </c>
      <c r="F34270">
        <v>7600112</v>
      </c>
      <c r="G34270" t="s">
        <v>9272</v>
      </c>
      <c r="H34270" s="21">
        <v>500</v>
      </c>
    </row>
    <row r="34271" spans="1:8" customFormat="1" x14ac:dyDescent="0.25">
      <c r="A34271" t="str">
        <f>"3830945"</f>
        <v>3830945</v>
      </c>
      <c r="B34271" t="s">
        <v>9256</v>
      </c>
      <c r="C34271" t="s">
        <v>147</v>
      </c>
      <c r="D34271" s="21" t="s">
        <v>34</v>
      </c>
      <c r="E34271" s="21" t="s">
        <v>35</v>
      </c>
      <c r="F34271">
        <v>1380056</v>
      </c>
      <c r="G34271" t="s">
        <v>846</v>
      </c>
      <c r="H34271" s="21">
        <v>500</v>
      </c>
    </row>
    <row r="34272" spans="1:8" customFormat="1" x14ac:dyDescent="0.25">
      <c r="A34272" t="str">
        <f>"8520290"</f>
        <v>8520290</v>
      </c>
      <c r="B34272" t="s">
        <v>6558</v>
      </c>
      <c r="C34272" t="s">
        <v>598</v>
      </c>
      <c r="D34272" s="21" t="s">
        <v>34</v>
      </c>
      <c r="E34272" s="21" t="s">
        <v>1089</v>
      </c>
      <c r="F34272">
        <v>12850143</v>
      </c>
      <c r="G34272" t="s">
        <v>1625</v>
      </c>
      <c r="H34272" s="21">
        <v>500</v>
      </c>
    </row>
    <row r="34273" spans="1:8" customFormat="1" x14ac:dyDescent="0.25">
      <c r="A34273" t="str">
        <f>"139584"</f>
        <v>139584</v>
      </c>
      <c r="B34273" t="s">
        <v>23530</v>
      </c>
      <c r="C34273" t="s">
        <v>55</v>
      </c>
      <c r="D34273" s="21" t="s">
        <v>34</v>
      </c>
      <c r="E34273" s="21" t="s">
        <v>71</v>
      </c>
      <c r="F34273">
        <v>13130166</v>
      </c>
      <c r="G34273" t="s">
        <v>2539</v>
      </c>
      <c r="H34273" s="21">
        <v>500</v>
      </c>
    </row>
    <row r="34274" spans="1:8" customFormat="1" x14ac:dyDescent="0.25">
      <c r="A34274" t="str">
        <f>"7882130"</f>
        <v>7882130</v>
      </c>
      <c r="B34274" t="s">
        <v>28818</v>
      </c>
      <c r="C34274" t="s">
        <v>28819</v>
      </c>
      <c r="D34274" s="21" t="s">
        <v>34</v>
      </c>
      <c r="E34274" s="21" t="s">
        <v>35</v>
      </c>
      <c r="F34274">
        <v>8781196</v>
      </c>
      <c r="G34274" t="s">
        <v>8007</v>
      </c>
      <c r="H34274" s="21">
        <v>500</v>
      </c>
    </row>
    <row r="34275" spans="1:8" customFormat="1" x14ac:dyDescent="0.25">
      <c r="A34275" t="str">
        <f>"2711816"</f>
        <v>2711816</v>
      </c>
      <c r="B34275" t="s">
        <v>2842</v>
      </c>
      <c r="C34275" t="s">
        <v>2520</v>
      </c>
      <c r="D34275" s="21" t="s">
        <v>34</v>
      </c>
      <c r="E34275" s="21" t="s">
        <v>6185</v>
      </c>
      <c r="F34275">
        <v>9270136</v>
      </c>
      <c r="G34275" t="s">
        <v>5896</v>
      </c>
      <c r="H34275" s="21">
        <v>500</v>
      </c>
    </row>
    <row r="34276" spans="1:8" customFormat="1" x14ac:dyDescent="0.25">
      <c r="A34276" t="str">
        <f>"5719516"</f>
        <v>5719516</v>
      </c>
      <c r="B34276" t="s">
        <v>9742</v>
      </c>
      <c r="C34276" t="s">
        <v>1110</v>
      </c>
      <c r="D34276" s="21" t="s">
        <v>34</v>
      </c>
      <c r="E34276" s="21" t="s">
        <v>71</v>
      </c>
      <c r="F34276">
        <v>6570073</v>
      </c>
      <c r="G34276" t="s">
        <v>952</v>
      </c>
      <c r="H34276" s="21">
        <v>500</v>
      </c>
    </row>
    <row r="34277" spans="1:8" customFormat="1" x14ac:dyDescent="0.25">
      <c r="A34277" t="str">
        <f>"3119814"</f>
        <v>3119814</v>
      </c>
      <c r="B34277" t="s">
        <v>28820</v>
      </c>
      <c r="C34277" t="s">
        <v>139</v>
      </c>
      <c r="D34277" s="21" t="s">
        <v>34</v>
      </c>
      <c r="E34277" s="21" t="s">
        <v>35</v>
      </c>
      <c r="F34277">
        <v>11310011</v>
      </c>
      <c r="G34277" t="s">
        <v>26586</v>
      </c>
      <c r="H34277" s="21">
        <v>500</v>
      </c>
    </row>
    <row r="34278" spans="1:8" customFormat="1" x14ac:dyDescent="0.25">
      <c r="A34278" t="str">
        <f>"9243067"</f>
        <v>9243067</v>
      </c>
      <c r="B34278" t="s">
        <v>23051</v>
      </c>
      <c r="C34278" t="s">
        <v>55</v>
      </c>
      <c r="D34278" s="21" t="s">
        <v>34</v>
      </c>
      <c r="E34278" s="21" t="s">
        <v>71</v>
      </c>
      <c r="F34278">
        <v>8920025</v>
      </c>
      <c r="G34278" t="s">
        <v>159</v>
      </c>
      <c r="H34278" s="21">
        <v>500</v>
      </c>
    </row>
    <row r="34279" spans="1:8" customFormat="1" x14ac:dyDescent="0.25">
      <c r="A34279" t="str">
        <f>"9143309"</f>
        <v>9143309</v>
      </c>
      <c r="B34279" t="s">
        <v>23380</v>
      </c>
      <c r="C34279" t="s">
        <v>3010</v>
      </c>
      <c r="D34279" s="21" t="s">
        <v>34</v>
      </c>
      <c r="E34279" s="21" t="s">
        <v>254</v>
      </c>
      <c r="F34279">
        <v>8911206</v>
      </c>
      <c r="G34279" t="s">
        <v>17661</v>
      </c>
      <c r="H34279" s="21">
        <v>500</v>
      </c>
    </row>
    <row r="34280" spans="1:8" customFormat="1" x14ac:dyDescent="0.25">
      <c r="A34280" t="str">
        <f>"5326995"</f>
        <v>5326995</v>
      </c>
      <c r="B34280" t="s">
        <v>28821</v>
      </c>
      <c r="C34280" t="s">
        <v>28822</v>
      </c>
      <c r="D34280" s="21" t="s">
        <v>34</v>
      </c>
      <c r="E34280" s="21" t="s">
        <v>35</v>
      </c>
      <c r="F34280">
        <v>12530087</v>
      </c>
      <c r="G34280" t="s">
        <v>3860</v>
      </c>
      <c r="H34280" s="21">
        <v>500</v>
      </c>
    </row>
    <row r="34281" spans="1:8" customFormat="1" x14ac:dyDescent="0.25">
      <c r="A34281" t="str">
        <f>"9145465"</f>
        <v>9145465</v>
      </c>
      <c r="B34281" t="s">
        <v>23685</v>
      </c>
      <c r="C34281" t="s">
        <v>239</v>
      </c>
      <c r="D34281" s="21" t="s">
        <v>34</v>
      </c>
      <c r="E34281" s="21" t="s">
        <v>254</v>
      </c>
      <c r="F34281">
        <v>8910442</v>
      </c>
      <c r="G34281" t="s">
        <v>1336</v>
      </c>
      <c r="H34281" s="21">
        <v>500</v>
      </c>
    </row>
    <row r="34282" spans="1:8" customFormat="1" x14ac:dyDescent="0.25">
      <c r="A34282" t="str">
        <f>"634840"</f>
        <v>634840</v>
      </c>
      <c r="B34282" t="s">
        <v>23704</v>
      </c>
      <c r="C34282" t="s">
        <v>239</v>
      </c>
      <c r="D34282" s="21" t="s">
        <v>34</v>
      </c>
      <c r="E34282" s="21" t="s">
        <v>254</v>
      </c>
      <c r="F34282">
        <v>1630249</v>
      </c>
      <c r="G34282" t="s">
        <v>1237</v>
      </c>
      <c r="H34282" s="21">
        <v>500</v>
      </c>
    </row>
    <row r="34283" spans="1:8" customFormat="1" x14ac:dyDescent="0.25">
      <c r="A34283" t="str">
        <f>"954364"</f>
        <v>954364</v>
      </c>
      <c r="B34283" t="s">
        <v>22800</v>
      </c>
      <c r="C34283" t="s">
        <v>428</v>
      </c>
      <c r="D34283" s="21" t="s">
        <v>34</v>
      </c>
      <c r="E34283" s="21" t="s">
        <v>254</v>
      </c>
      <c r="F34283">
        <v>8951411</v>
      </c>
      <c r="G34283" t="s">
        <v>416</v>
      </c>
      <c r="H34283" s="21">
        <v>500</v>
      </c>
    </row>
    <row r="34284" spans="1:8" customFormat="1" x14ac:dyDescent="0.25">
      <c r="A34284" t="str">
        <f>"7717843"</f>
        <v>7717843</v>
      </c>
      <c r="B34284" t="s">
        <v>23633</v>
      </c>
      <c r="C34284" t="s">
        <v>269</v>
      </c>
      <c r="D34284" s="21" t="s">
        <v>34</v>
      </c>
      <c r="E34284" s="21" t="s">
        <v>71</v>
      </c>
      <c r="F34284">
        <v>8771508</v>
      </c>
      <c r="G34284" t="s">
        <v>4072</v>
      </c>
      <c r="H34284" s="21">
        <v>500</v>
      </c>
    </row>
    <row r="34285" spans="1:8" customFormat="1" x14ac:dyDescent="0.25">
      <c r="A34285" t="str">
        <f>"2214424"</f>
        <v>2214424</v>
      </c>
      <c r="B34285" t="s">
        <v>461</v>
      </c>
      <c r="C34285" t="s">
        <v>239</v>
      </c>
      <c r="D34285" s="21" t="s">
        <v>34</v>
      </c>
      <c r="E34285" s="21" t="s">
        <v>254</v>
      </c>
      <c r="F34285">
        <v>3220127</v>
      </c>
      <c r="G34285" t="s">
        <v>26652</v>
      </c>
      <c r="H34285" s="21">
        <v>500</v>
      </c>
    </row>
    <row r="34286" spans="1:8" customFormat="1" x14ac:dyDescent="0.25">
      <c r="A34286" t="str">
        <f>"039385"</f>
        <v>039385</v>
      </c>
      <c r="B34286" t="s">
        <v>28823</v>
      </c>
      <c r="C34286" t="s">
        <v>415</v>
      </c>
      <c r="D34286" s="21" t="s">
        <v>34</v>
      </c>
      <c r="E34286" s="21" t="s">
        <v>71</v>
      </c>
      <c r="F34286">
        <v>1030319</v>
      </c>
      <c r="G34286" t="s">
        <v>27956</v>
      </c>
      <c r="H34286" s="21">
        <v>500</v>
      </c>
    </row>
    <row r="34287" spans="1:8" customFormat="1" x14ac:dyDescent="0.25">
      <c r="A34287" t="str">
        <f>"9246277"</f>
        <v>9246277</v>
      </c>
      <c r="B34287" t="s">
        <v>1087</v>
      </c>
      <c r="C34287" t="s">
        <v>9894</v>
      </c>
      <c r="D34287" s="21" t="s">
        <v>34</v>
      </c>
      <c r="E34287" s="21" t="s">
        <v>35</v>
      </c>
      <c r="F34287">
        <v>8931462</v>
      </c>
      <c r="G34287" t="s">
        <v>14683</v>
      </c>
      <c r="H34287" s="21">
        <v>500</v>
      </c>
    </row>
    <row r="34288" spans="1:8" customFormat="1" x14ac:dyDescent="0.25">
      <c r="A34288" t="str">
        <f>"495933"</f>
        <v>495933</v>
      </c>
      <c r="B34288" t="s">
        <v>6277</v>
      </c>
      <c r="C34288" t="s">
        <v>4721</v>
      </c>
      <c r="D34288" s="21" t="s">
        <v>34</v>
      </c>
      <c r="E34288" s="21" t="s">
        <v>254</v>
      </c>
      <c r="F34288">
        <v>12490040</v>
      </c>
      <c r="G34288" t="s">
        <v>94</v>
      </c>
      <c r="H34288" s="21">
        <v>500</v>
      </c>
    </row>
    <row r="34289" spans="1:8" customFormat="1" x14ac:dyDescent="0.25">
      <c r="A34289" t="str">
        <f>"7730497"</f>
        <v>7730497</v>
      </c>
      <c r="B34289" t="s">
        <v>21389</v>
      </c>
      <c r="C34289" t="s">
        <v>124</v>
      </c>
      <c r="D34289" s="21" t="s">
        <v>34</v>
      </c>
      <c r="E34289" s="21" t="s">
        <v>71</v>
      </c>
      <c r="F34289">
        <v>8771518</v>
      </c>
      <c r="G34289" t="s">
        <v>12274</v>
      </c>
      <c r="H34289" s="21">
        <v>500</v>
      </c>
    </row>
    <row r="34290" spans="1:8" customFormat="1" x14ac:dyDescent="0.25">
      <c r="A34290" t="str">
        <f>"9128175"</f>
        <v>9128175</v>
      </c>
      <c r="B34290" t="s">
        <v>23449</v>
      </c>
      <c r="C34290" t="s">
        <v>204</v>
      </c>
      <c r="D34290" s="21" t="s">
        <v>34</v>
      </c>
      <c r="E34290" s="21" t="s">
        <v>71</v>
      </c>
      <c r="F34290">
        <v>8940459</v>
      </c>
      <c r="G34290" t="s">
        <v>743</v>
      </c>
      <c r="H34290" s="21">
        <v>500</v>
      </c>
    </row>
    <row r="34291" spans="1:8" customFormat="1" x14ac:dyDescent="0.25">
      <c r="A34291" t="str">
        <f>"1317860"</f>
        <v>1317860</v>
      </c>
      <c r="B34291" t="s">
        <v>3947</v>
      </c>
      <c r="C34291" t="s">
        <v>2479</v>
      </c>
      <c r="D34291" s="21" t="s">
        <v>34</v>
      </c>
      <c r="E34291" s="21" t="s">
        <v>71</v>
      </c>
      <c r="F34291">
        <v>13130022</v>
      </c>
      <c r="G34291" t="s">
        <v>2666</v>
      </c>
      <c r="H34291" s="21">
        <v>500</v>
      </c>
    </row>
    <row r="34292" spans="1:8" customFormat="1" x14ac:dyDescent="0.25">
      <c r="A34292" t="str">
        <f>"4525599"</f>
        <v>4525599</v>
      </c>
      <c r="B34292" t="s">
        <v>28824</v>
      </c>
      <c r="C34292" t="s">
        <v>412</v>
      </c>
      <c r="D34292" s="21" t="s">
        <v>34</v>
      </c>
      <c r="E34292" s="21" t="s">
        <v>71</v>
      </c>
      <c r="F34292">
        <v>13830071</v>
      </c>
      <c r="G34292" t="s">
        <v>3221</v>
      </c>
      <c r="H34292" s="21">
        <v>500</v>
      </c>
    </row>
    <row r="34293" spans="1:8" customFormat="1" x14ac:dyDescent="0.25">
      <c r="A34293" t="str">
        <f>"4457192"</f>
        <v>4457192</v>
      </c>
      <c r="B34293" t="s">
        <v>3978</v>
      </c>
      <c r="C34293" t="s">
        <v>598</v>
      </c>
      <c r="D34293" s="21" t="s">
        <v>34</v>
      </c>
      <c r="E34293" s="21" t="s">
        <v>254</v>
      </c>
      <c r="F34293">
        <v>12440259</v>
      </c>
      <c r="G34293" t="s">
        <v>833</v>
      </c>
      <c r="H34293" s="21">
        <v>500</v>
      </c>
    </row>
    <row r="34294" spans="1:8" customFormat="1" x14ac:dyDescent="0.25">
      <c r="A34294" t="str">
        <f>"9321139"</f>
        <v>9321139</v>
      </c>
      <c r="B34294" t="s">
        <v>890</v>
      </c>
      <c r="C34294" t="s">
        <v>209</v>
      </c>
      <c r="D34294" s="21" t="s">
        <v>34</v>
      </c>
      <c r="E34294" s="21" t="s">
        <v>35</v>
      </c>
      <c r="F34294">
        <v>8930928</v>
      </c>
      <c r="G34294" t="s">
        <v>606</v>
      </c>
      <c r="H34294" s="21">
        <v>500</v>
      </c>
    </row>
    <row r="34295" spans="1:8" customFormat="1" x14ac:dyDescent="0.25">
      <c r="A34295" t="str">
        <f>"625661"</f>
        <v>625661</v>
      </c>
      <c r="B34295" t="s">
        <v>1320</v>
      </c>
      <c r="C34295" t="s">
        <v>415</v>
      </c>
      <c r="D34295" s="21" t="s">
        <v>34</v>
      </c>
      <c r="E34295" s="21" t="s">
        <v>254</v>
      </c>
      <c r="F34295">
        <v>7620067</v>
      </c>
      <c r="G34295" t="s">
        <v>860</v>
      </c>
      <c r="H34295" s="21">
        <v>500</v>
      </c>
    </row>
    <row r="34296" spans="1:8" customFormat="1" x14ac:dyDescent="0.25">
      <c r="A34296" t="str">
        <f>"3345319"</f>
        <v>3345319</v>
      </c>
      <c r="B34296" t="s">
        <v>28825</v>
      </c>
      <c r="C34296" t="s">
        <v>156</v>
      </c>
      <c r="D34296" s="21" t="s">
        <v>34</v>
      </c>
      <c r="E34296" s="21" t="s">
        <v>71</v>
      </c>
      <c r="F34296">
        <v>10330004</v>
      </c>
      <c r="G34296" t="s">
        <v>525</v>
      </c>
      <c r="H34296" s="21">
        <v>500</v>
      </c>
    </row>
    <row r="34297" spans="1:8" customFormat="1" x14ac:dyDescent="0.25">
      <c r="A34297" t="str">
        <f>"7113884"</f>
        <v>7113884</v>
      </c>
      <c r="B34297" t="s">
        <v>23331</v>
      </c>
      <c r="C34297" t="s">
        <v>198</v>
      </c>
      <c r="D34297" s="21" t="s">
        <v>34</v>
      </c>
      <c r="E34297" s="21" t="s">
        <v>35</v>
      </c>
      <c r="F34297">
        <v>2710002</v>
      </c>
      <c r="G34297" t="s">
        <v>6838</v>
      </c>
      <c r="H34297" s="21">
        <v>500</v>
      </c>
    </row>
    <row r="34298" spans="1:8" customFormat="1" x14ac:dyDescent="0.25">
      <c r="A34298" t="str">
        <f>"193927"</f>
        <v>193927</v>
      </c>
      <c r="B34298" t="s">
        <v>23220</v>
      </c>
      <c r="C34298" t="s">
        <v>55</v>
      </c>
      <c r="D34298" s="21" t="s">
        <v>34</v>
      </c>
      <c r="E34298" s="21" t="s">
        <v>71</v>
      </c>
      <c r="F34298">
        <v>11820007</v>
      </c>
      <c r="G34298" t="s">
        <v>532</v>
      </c>
      <c r="H34298" s="21">
        <v>500</v>
      </c>
    </row>
    <row r="34299" spans="1:8" customFormat="1" x14ac:dyDescent="0.25">
      <c r="A34299" t="str">
        <f>"461706"</f>
        <v>461706</v>
      </c>
      <c r="B34299" t="s">
        <v>8099</v>
      </c>
      <c r="C34299" t="s">
        <v>598</v>
      </c>
      <c r="D34299" s="21" t="s">
        <v>34</v>
      </c>
      <c r="E34299" s="21" t="s">
        <v>71</v>
      </c>
      <c r="F34299">
        <v>11460017</v>
      </c>
      <c r="G34299" t="s">
        <v>7665</v>
      </c>
      <c r="H34299" s="21">
        <v>500</v>
      </c>
    </row>
    <row r="34300" spans="1:8" customFormat="1" x14ac:dyDescent="0.25">
      <c r="A34300" t="str">
        <f>"3346101"</f>
        <v>3346101</v>
      </c>
      <c r="B34300" t="s">
        <v>28826</v>
      </c>
      <c r="C34300" t="s">
        <v>198</v>
      </c>
      <c r="D34300" s="21" t="s">
        <v>34</v>
      </c>
      <c r="E34300" s="21" t="s">
        <v>71</v>
      </c>
      <c r="F34300">
        <v>10330050</v>
      </c>
      <c r="G34300" t="s">
        <v>2488</v>
      </c>
      <c r="H34300" s="21">
        <v>500</v>
      </c>
    </row>
    <row r="34301" spans="1:8" customFormat="1" x14ac:dyDescent="0.25">
      <c r="A34301" t="str">
        <f>"7869208"</f>
        <v>7869208</v>
      </c>
      <c r="B34301" t="s">
        <v>3041</v>
      </c>
      <c r="C34301" t="s">
        <v>147</v>
      </c>
      <c r="D34301" s="21" t="s">
        <v>34</v>
      </c>
      <c r="E34301" s="21" t="s">
        <v>35</v>
      </c>
      <c r="F34301">
        <v>8780674</v>
      </c>
      <c r="G34301" t="s">
        <v>26585</v>
      </c>
      <c r="H34301" s="21">
        <v>500</v>
      </c>
    </row>
    <row r="34302" spans="1:8" customFormat="1" x14ac:dyDescent="0.25">
      <c r="A34302" t="str">
        <f>"5619781"</f>
        <v>5619781</v>
      </c>
      <c r="B34302" t="s">
        <v>11717</v>
      </c>
      <c r="C34302" t="s">
        <v>320</v>
      </c>
      <c r="D34302" s="21" t="s">
        <v>34</v>
      </c>
      <c r="E34302" s="21" t="s">
        <v>71</v>
      </c>
      <c r="F34302">
        <v>3560019</v>
      </c>
      <c r="G34302" t="s">
        <v>13051</v>
      </c>
      <c r="H34302" s="21">
        <v>500</v>
      </c>
    </row>
    <row r="34303" spans="1:8" customFormat="1" x14ac:dyDescent="0.25">
      <c r="A34303" t="str">
        <f>"2936304"</f>
        <v>2936304</v>
      </c>
      <c r="B34303" t="s">
        <v>22537</v>
      </c>
      <c r="C34303" t="s">
        <v>169</v>
      </c>
      <c r="D34303" s="21" t="s">
        <v>34</v>
      </c>
      <c r="E34303" s="21" t="s">
        <v>35</v>
      </c>
      <c r="F34303">
        <v>3290223</v>
      </c>
      <c r="G34303" t="s">
        <v>2636</v>
      </c>
      <c r="H34303" s="21">
        <v>500</v>
      </c>
    </row>
    <row r="34304" spans="1:8" customFormat="1" x14ac:dyDescent="0.25">
      <c r="A34304" t="str">
        <f>"4511974"</f>
        <v>4511974</v>
      </c>
      <c r="B34304" t="s">
        <v>5487</v>
      </c>
      <c r="C34304" t="s">
        <v>1705</v>
      </c>
      <c r="D34304" s="21" t="s">
        <v>34</v>
      </c>
      <c r="E34304" s="21" t="s">
        <v>1089</v>
      </c>
      <c r="F34304">
        <v>4450144</v>
      </c>
      <c r="G34304" t="s">
        <v>6941</v>
      </c>
      <c r="H34304" s="21">
        <v>500</v>
      </c>
    </row>
    <row r="34305" spans="1:8" customFormat="1" x14ac:dyDescent="0.25">
      <c r="A34305" t="str">
        <f>"917277"</f>
        <v>917277</v>
      </c>
      <c r="B34305" t="s">
        <v>23433</v>
      </c>
      <c r="C34305" t="s">
        <v>2730</v>
      </c>
      <c r="D34305" s="21" t="s">
        <v>34</v>
      </c>
      <c r="E34305" s="21" t="s">
        <v>1089</v>
      </c>
      <c r="F34305">
        <v>8911225</v>
      </c>
      <c r="G34305" t="s">
        <v>4297</v>
      </c>
      <c r="H34305" s="21">
        <v>500</v>
      </c>
    </row>
    <row r="34306" spans="1:8" customFormat="1" x14ac:dyDescent="0.25">
      <c r="A34306" t="str">
        <f>"6947259"</f>
        <v>6947259</v>
      </c>
      <c r="B34306" t="s">
        <v>28827</v>
      </c>
      <c r="C34306" t="s">
        <v>147</v>
      </c>
      <c r="D34306" s="21" t="s">
        <v>34</v>
      </c>
      <c r="E34306" s="21" t="s">
        <v>35</v>
      </c>
      <c r="F34306">
        <v>1690185</v>
      </c>
      <c r="G34306" t="s">
        <v>10841</v>
      </c>
      <c r="H34306" s="21">
        <v>500</v>
      </c>
    </row>
    <row r="34307" spans="1:8" customFormat="1" x14ac:dyDescent="0.25">
      <c r="A34307" t="str">
        <f>"6949406"</f>
        <v>6949406</v>
      </c>
      <c r="B34307" t="s">
        <v>7947</v>
      </c>
      <c r="C34307" t="s">
        <v>302</v>
      </c>
      <c r="D34307" s="21" t="s">
        <v>34</v>
      </c>
      <c r="E34307" s="21" t="s">
        <v>35</v>
      </c>
      <c r="F34307">
        <v>1690034</v>
      </c>
      <c r="G34307" t="s">
        <v>8838</v>
      </c>
      <c r="H34307" s="21">
        <v>500</v>
      </c>
    </row>
    <row r="34308" spans="1:8" customFormat="1" x14ac:dyDescent="0.25">
      <c r="A34308" t="str">
        <f>"70913"</f>
        <v>70913</v>
      </c>
      <c r="B34308" t="s">
        <v>22549</v>
      </c>
      <c r="C34308" t="s">
        <v>412</v>
      </c>
      <c r="D34308" s="21" t="s">
        <v>34</v>
      </c>
      <c r="E34308" s="21" t="s">
        <v>1089</v>
      </c>
      <c r="F34308">
        <v>2700002</v>
      </c>
      <c r="G34308" t="s">
        <v>953</v>
      </c>
      <c r="H34308" s="21">
        <v>500</v>
      </c>
    </row>
    <row r="34309" spans="1:8" customFormat="1" x14ac:dyDescent="0.25">
      <c r="A34309" t="str">
        <f>"2212844"</f>
        <v>2212844</v>
      </c>
      <c r="B34309" t="s">
        <v>2171</v>
      </c>
      <c r="C34309" t="s">
        <v>462</v>
      </c>
      <c r="D34309" s="21" t="s">
        <v>34</v>
      </c>
      <c r="E34309" s="21" t="s">
        <v>35</v>
      </c>
      <c r="F34309">
        <v>3220129</v>
      </c>
      <c r="G34309" t="s">
        <v>16580</v>
      </c>
      <c r="H34309" s="21">
        <v>500</v>
      </c>
    </row>
    <row r="34310" spans="1:8" customFormat="1" x14ac:dyDescent="0.25">
      <c r="A34310" t="str">
        <f>"4939390"</f>
        <v>4939390</v>
      </c>
      <c r="B34310" t="s">
        <v>5554</v>
      </c>
      <c r="C34310" t="s">
        <v>82</v>
      </c>
      <c r="D34310" s="21" t="s">
        <v>34</v>
      </c>
      <c r="E34310" s="21" t="s">
        <v>35</v>
      </c>
      <c r="F34310">
        <v>12490135</v>
      </c>
      <c r="G34310" t="s">
        <v>18857</v>
      </c>
      <c r="H34310" s="21">
        <v>500</v>
      </c>
    </row>
    <row r="34311" spans="1:8" customFormat="1" x14ac:dyDescent="0.25">
      <c r="A34311" t="str">
        <f>"2716287"</f>
        <v>2716287</v>
      </c>
      <c r="B34311" t="s">
        <v>9436</v>
      </c>
      <c r="C34311" t="s">
        <v>209</v>
      </c>
      <c r="D34311" s="21" t="s">
        <v>34</v>
      </c>
      <c r="E34311" s="21" t="s">
        <v>254</v>
      </c>
      <c r="F34311">
        <v>9270166</v>
      </c>
      <c r="G34311" t="s">
        <v>16629</v>
      </c>
      <c r="H34311" s="21">
        <v>500</v>
      </c>
    </row>
    <row r="34312" spans="1:8" customFormat="1" x14ac:dyDescent="0.25">
      <c r="A34312" t="str">
        <f>"2215965"</f>
        <v>2215965</v>
      </c>
      <c r="B34312" t="s">
        <v>4849</v>
      </c>
      <c r="C34312" t="s">
        <v>253</v>
      </c>
      <c r="D34312" s="21" t="s">
        <v>34</v>
      </c>
      <c r="E34312" s="21" t="s">
        <v>1089</v>
      </c>
      <c r="F34312">
        <v>3220113</v>
      </c>
      <c r="G34312" t="s">
        <v>26775</v>
      </c>
      <c r="H34312" s="21">
        <v>500</v>
      </c>
    </row>
    <row r="34313" spans="1:8" customFormat="1" x14ac:dyDescent="0.25">
      <c r="A34313" t="str">
        <f>"5429559"</f>
        <v>5429559</v>
      </c>
      <c r="B34313" t="s">
        <v>23031</v>
      </c>
      <c r="C34313" t="s">
        <v>412</v>
      </c>
      <c r="D34313" s="21" t="s">
        <v>34</v>
      </c>
      <c r="E34313" s="21" t="s">
        <v>6185</v>
      </c>
      <c r="F34313">
        <v>6540014</v>
      </c>
      <c r="G34313" t="s">
        <v>1483</v>
      </c>
      <c r="H34313" s="21">
        <v>500</v>
      </c>
    </row>
    <row r="34314" spans="1:8" customFormat="1" x14ac:dyDescent="0.25">
      <c r="A34314" t="str">
        <f>"5112947"</f>
        <v>5112947</v>
      </c>
      <c r="B34314" t="s">
        <v>2218</v>
      </c>
      <c r="C34314" t="s">
        <v>288</v>
      </c>
      <c r="D34314" s="21" t="s">
        <v>34</v>
      </c>
      <c r="E34314" s="21" t="s">
        <v>35</v>
      </c>
      <c r="F34314">
        <v>6510001</v>
      </c>
      <c r="G34314" t="s">
        <v>286</v>
      </c>
      <c r="H34314" s="21">
        <v>500</v>
      </c>
    </row>
    <row r="34315" spans="1:8" customFormat="1" x14ac:dyDescent="0.25">
      <c r="A34315" t="str">
        <f>"9319324"</f>
        <v>9319324</v>
      </c>
      <c r="B34315" t="s">
        <v>23158</v>
      </c>
      <c r="C34315" t="s">
        <v>60</v>
      </c>
      <c r="D34315" s="21" t="s">
        <v>34</v>
      </c>
      <c r="E34315" s="21" t="s">
        <v>35</v>
      </c>
      <c r="F34315">
        <v>8930024</v>
      </c>
      <c r="G34315" t="s">
        <v>44</v>
      </c>
      <c r="H34315" s="21">
        <v>500</v>
      </c>
    </row>
    <row r="34316" spans="1:8" customFormat="1" x14ac:dyDescent="0.25">
      <c r="A34316" t="str">
        <f>"641098"</f>
        <v>641098</v>
      </c>
      <c r="B34316" t="s">
        <v>19211</v>
      </c>
      <c r="C34316" t="s">
        <v>40</v>
      </c>
      <c r="D34316" s="21" t="s">
        <v>34</v>
      </c>
      <c r="E34316" s="21" t="s">
        <v>254</v>
      </c>
      <c r="F34316">
        <v>10640008</v>
      </c>
      <c r="G34316" t="s">
        <v>1694</v>
      </c>
      <c r="H34316" s="21">
        <v>500</v>
      </c>
    </row>
    <row r="34317" spans="1:8" customFormat="1" x14ac:dyDescent="0.25">
      <c r="A34317" t="str">
        <f>"7524206"</f>
        <v>7524206</v>
      </c>
      <c r="B34317" t="s">
        <v>24729</v>
      </c>
      <c r="C34317" t="s">
        <v>24730</v>
      </c>
      <c r="D34317" s="21" t="s">
        <v>34</v>
      </c>
      <c r="E34317" s="21" t="s">
        <v>71</v>
      </c>
      <c r="F34317">
        <v>8751163</v>
      </c>
      <c r="G34317" t="s">
        <v>80</v>
      </c>
      <c r="H34317" s="21">
        <v>500</v>
      </c>
    </row>
    <row r="34318" spans="1:8" customFormat="1" x14ac:dyDescent="0.25">
      <c r="A34318" t="str">
        <f>"7872425"</f>
        <v>7872425</v>
      </c>
      <c r="B34318" t="s">
        <v>15601</v>
      </c>
      <c r="C34318" t="s">
        <v>1620</v>
      </c>
      <c r="D34318" s="21" t="s">
        <v>34</v>
      </c>
      <c r="E34318" s="21" t="s">
        <v>254</v>
      </c>
      <c r="F34318">
        <v>8781465</v>
      </c>
      <c r="G34318" t="s">
        <v>23083</v>
      </c>
      <c r="H34318" s="21">
        <v>500</v>
      </c>
    </row>
    <row r="34319" spans="1:8" customFormat="1" x14ac:dyDescent="0.25">
      <c r="A34319" t="str">
        <f>"4528756"</f>
        <v>4528756</v>
      </c>
      <c r="B34319" t="s">
        <v>28828</v>
      </c>
      <c r="C34319" t="s">
        <v>28829</v>
      </c>
      <c r="D34319" s="21" t="s">
        <v>34</v>
      </c>
      <c r="E34319" s="21" t="s">
        <v>254</v>
      </c>
      <c r="F34319">
        <v>4450417</v>
      </c>
      <c r="G34319" t="s">
        <v>2284</v>
      </c>
      <c r="H34319" s="21">
        <v>500</v>
      </c>
    </row>
    <row r="34320" spans="1:8" customFormat="1" x14ac:dyDescent="0.25">
      <c r="A34320" t="str">
        <f>"1322083"</f>
        <v>1322083</v>
      </c>
      <c r="B34320" t="s">
        <v>3208</v>
      </c>
      <c r="C34320" t="s">
        <v>1887</v>
      </c>
      <c r="D34320" s="21" t="s">
        <v>34</v>
      </c>
      <c r="E34320" s="21" t="s">
        <v>254</v>
      </c>
      <c r="F34320">
        <v>13130118</v>
      </c>
      <c r="G34320" t="s">
        <v>27466</v>
      </c>
      <c r="H34320" s="21">
        <v>500</v>
      </c>
    </row>
    <row r="34321" spans="1:8" customFormat="1" x14ac:dyDescent="0.25">
      <c r="A34321" t="str">
        <f>"3343595"</f>
        <v>3343595</v>
      </c>
      <c r="B34321" t="s">
        <v>23349</v>
      </c>
      <c r="C34321" t="s">
        <v>1559</v>
      </c>
      <c r="D34321" s="21" t="s">
        <v>34</v>
      </c>
      <c r="E34321" s="21" t="s">
        <v>35</v>
      </c>
      <c r="F34321">
        <v>10330019</v>
      </c>
      <c r="G34321" t="s">
        <v>1761</v>
      </c>
      <c r="H34321" s="21">
        <v>500</v>
      </c>
    </row>
    <row r="34322" spans="1:8" customFormat="1" x14ac:dyDescent="0.25">
      <c r="A34322" t="str">
        <f>"4456839"</f>
        <v>4456839</v>
      </c>
      <c r="B34322" t="s">
        <v>23283</v>
      </c>
      <c r="C34322" t="s">
        <v>926</v>
      </c>
      <c r="D34322" s="21" t="s">
        <v>34</v>
      </c>
      <c r="E34322" s="21" t="s">
        <v>35</v>
      </c>
      <c r="F34322">
        <v>12440199</v>
      </c>
      <c r="G34322" t="s">
        <v>4653</v>
      </c>
      <c r="H34322" s="21">
        <v>500</v>
      </c>
    </row>
    <row r="34323" spans="1:8" customFormat="1" x14ac:dyDescent="0.25">
      <c r="A34323" t="str">
        <f>"5734424"</f>
        <v>5734424</v>
      </c>
      <c r="B34323" t="s">
        <v>28830</v>
      </c>
      <c r="C34323" t="s">
        <v>267</v>
      </c>
      <c r="D34323" s="21" t="s">
        <v>34</v>
      </c>
      <c r="E34323" s="21" t="s">
        <v>71</v>
      </c>
      <c r="F34323">
        <v>6570140</v>
      </c>
      <c r="G34323" t="s">
        <v>813</v>
      </c>
      <c r="H34323" s="21">
        <v>500</v>
      </c>
    </row>
    <row r="34324" spans="1:8" customFormat="1" x14ac:dyDescent="0.25">
      <c r="A34324" t="str">
        <f>"4937424"</f>
        <v>4937424</v>
      </c>
      <c r="B34324" t="s">
        <v>8281</v>
      </c>
      <c r="C34324" t="s">
        <v>269</v>
      </c>
      <c r="D34324" s="21" t="s">
        <v>34</v>
      </c>
      <c r="E34324" s="21" t="s">
        <v>71</v>
      </c>
      <c r="F34324">
        <v>12490063</v>
      </c>
      <c r="G34324" t="s">
        <v>329</v>
      </c>
      <c r="H34324" s="21">
        <v>500</v>
      </c>
    </row>
    <row r="34325" spans="1:8" customFormat="1" x14ac:dyDescent="0.25">
      <c r="A34325" t="str">
        <f>"6014761"</f>
        <v>6014761</v>
      </c>
      <c r="B34325" t="s">
        <v>1165</v>
      </c>
      <c r="C34325" t="s">
        <v>412</v>
      </c>
      <c r="D34325" s="21" t="s">
        <v>34</v>
      </c>
      <c r="E34325" s="21" t="s">
        <v>71</v>
      </c>
      <c r="F34325">
        <v>7600163</v>
      </c>
      <c r="G34325" t="s">
        <v>12203</v>
      </c>
      <c r="H34325" s="21">
        <v>500</v>
      </c>
    </row>
    <row r="34326" spans="1:8" customFormat="1" x14ac:dyDescent="0.25">
      <c r="A34326" t="str">
        <f>"6726587"</f>
        <v>6726587</v>
      </c>
      <c r="B34326" t="s">
        <v>28831</v>
      </c>
      <c r="C34326" t="s">
        <v>2479</v>
      </c>
      <c r="D34326" s="21" t="s">
        <v>34</v>
      </c>
      <c r="E34326" s="21" t="s">
        <v>254</v>
      </c>
      <c r="F34326">
        <v>6670187</v>
      </c>
      <c r="G34326" t="s">
        <v>240</v>
      </c>
      <c r="H34326" s="21">
        <v>500</v>
      </c>
    </row>
    <row r="34327" spans="1:8" customFormat="1" x14ac:dyDescent="0.25">
      <c r="A34327" t="str">
        <f>"661928"</f>
        <v>661928</v>
      </c>
      <c r="B34327" t="s">
        <v>5707</v>
      </c>
      <c r="C34327" t="s">
        <v>528</v>
      </c>
      <c r="D34327" s="21" t="s">
        <v>34</v>
      </c>
      <c r="E34327" s="21" t="s">
        <v>1089</v>
      </c>
      <c r="F34327">
        <v>11660008</v>
      </c>
      <c r="G34327" t="s">
        <v>16161</v>
      </c>
      <c r="H34327" s="21">
        <v>500</v>
      </c>
    </row>
    <row r="34328" spans="1:8" customFormat="1" x14ac:dyDescent="0.25">
      <c r="A34328" t="str">
        <f>"9249175"</f>
        <v>9249175</v>
      </c>
      <c r="B34328" t="s">
        <v>15220</v>
      </c>
      <c r="C34328" t="s">
        <v>493</v>
      </c>
      <c r="D34328" s="21" t="s">
        <v>34</v>
      </c>
      <c r="E34328" s="21" t="s">
        <v>71</v>
      </c>
      <c r="F34328">
        <v>8920312</v>
      </c>
      <c r="G34328" t="s">
        <v>1026</v>
      </c>
      <c r="H34328" s="21">
        <v>500</v>
      </c>
    </row>
    <row r="34329" spans="1:8" customFormat="1" x14ac:dyDescent="0.25">
      <c r="A34329" t="str">
        <f>"792381"</f>
        <v>792381</v>
      </c>
      <c r="B34329" t="s">
        <v>2851</v>
      </c>
      <c r="C34329" t="s">
        <v>209</v>
      </c>
      <c r="D34329" s="21" t="s">
        <v>34</v>
      </c>
      <c r="E34329" s="21" t="s">
        <v>254</v>
      </c>
      <c r="F34329">
        <v>10790235</v>
      </c>
      <c r="G34329" t="s">
        <v>413</v>
      </c>
      <c r="H34329" s="21">
        <v>500</v>
      </c>
    </row>
    <row r="34330" spans="1:8" customFormat="1" x14ac:dyDescent="0.25">
      <c r="A34330" t="str">
        <f>"4518958"</f>
        <v>4518958</v>
      </c>
      <c r="B34330" t="s">
        <v>23415</v>
      </c>
      <c r="C34330" t="s">
        <v>90</v>
      </c>
      <c r="D34330" s="21" t="s">
        <v>34</v>
      </c>
      <c r="E34330" s="21" t="s">
        <v>35</v>
      </c>
      <c r="F34330">
        <v>4450571</v>
      </c>
      <c r="G34330" t="s">
        <v>188</v>
      </c>
      <c r="H34330" s="21">
        <v>500</v>
      </c>
    </row>
    <row r="34331" spans="1:8" customFormat="1" x14ac:dyDescent="0.25">
      <c r="A34331" t="str">
        <f>"7414445"</f>
        <v>7414445</v>
      </c>
      <c r="B34331" t="s">
        <v>28832</v>
      </c>
      <c r="C34331" t="s">
        <v>124</v>
      </c>
      <c r="D34331" s="21" t="s">
        <v>34</v>
      </c>
      <c r="E34331" s="21" t="s">
        <v>254</v>
      </c>
      <c r="F34331">
        <v>1740060</v>
      </c>
      <c r="G34331" t="s">
        <v>4907</v>
      </c>
      <c r="H34331" s="21">
        <v>500</v>
      </c>
    </row>
    <row r="34332" spans="1:8" customFormat="1" x14ac:dyDescent="0.25">
      <c r="A34332" t="str">
        <f>"7882458"</f>
        <v>7882458</v>
      </c>
      <c r="B34332" t="s">
        <v>18681</v>
      </c>
      <c r="C34332" t="s">
        <v>415</v>
      </c>
      <c r="D34332" s="21" t="s">
        <v>34</v>
      </c>
      <c r="E34332" s="21" t="s">
        <v>71</v>
      </c>
      <c r="F34332">
        <v>8781094</v>
      </c>
      <c r="G34332" t="s">
        <v>7875</v>
      </c>
      <c r="H34332" s="21">
        <v>500</v>
      </c>
    </row>
    <row r="34333" spans="1:8" customFormat="1" x14ac:dyDescent="0.25">
      <c r="A34333" t="str">
        <f>"5732489"</f>
        <v>5732489</v>
      </c>
      <c r="B34333" t="s">
        <v>2065</v>
      </c>
      <c r="C34333" t="s">
        <v>288</v>
      </c>
      <c r="D34333" s="21" t="s">
        <v>34</v>
      </c>
      <c r="E34333" s="21" t="s">
        <v>35</v>
      </c>
      <c r="F34333">
        <v>6570027</v>
      </c>
      <c r="G34333" t="s">
        <v>395</v>
      </c>
      <c r="H34333" s="21">
        <v>500</v>
      </c>
    </row>
    <row r="34334" spans="1:8" customFormat="1" x14ac:dyDescent="0.25">
      <c r="A34334" t="str">
        <f>"7862029"</f>
        <v>7862029</v>
      </c>
      <c r="B34334" t="s">
        <v>22305</v>
      </c>
      <c r="C34334" t="s">
        <v>114</v>
      </c>
      <c r="D34334" s="21" t="s">
        <v>34</v>
      </c>
      <c r="E34334" s="21" t="s">
        <v>71</v>
      </c>
      <c r="F34334">
        <v>8780353</v>
      </c>
      <c r="G34334" t="s">
        <v>6524</v>
      </c>
      <c r="H34334" s="21">
        <v>500</v>
      </c>
    </row>
    <row r="34335" spans="1:8" customFormat="1" x14ac:dyDescent="0.25">
      <c r="A34335" t="str">
        <f>"9W74"</f>
        <v>9W74</v>
      </c>
      <c r="B34335" t="s">
        <v>23422</v>
      </c>
      <c r="C34335" t="s">
        <v>23423</v>
      </c>
      <c r="D34335" s="21" t="s">
        <v>34</v>
      </c>
      <c r="E34335" s="21" t="s">
        <v>35</v>
      </c>
      <c r="F34335" t="s">
        <v>23027</v>
      </c>
      <c r="G34335" t="s">
        <v>28713</v>
      </c>
      <c r="H34335" s="21">
        <v>500</v>
      </c>
    </row>
    <row r="34336" spans="1:8" customFormat="1" x14ac:dyDescent="0.25">
      <c r="A34336" t="str">
        <f>"4457671"</f>
        <v>4457671</v>
      </c>
      <c r="B34336" t="s">
        <v>577</v>
      </c>
      <c r="C34336" t="s">
        <v>58</v>
      </c>
      <c r="D34336" s="21" t="s">
        <v>34</v>
      </c>
      <c r="E34336" s="21" t="s">
        <v>35</v>
      </c>
      <c r="F34336">
        <v>12440160</v>
      </c>
      <c r="G34336" t="s">
        <v>6939</v>
      </c>
      <c r="H34336" s="21">
        <v>500</v>
      </c>
    </row>
    <row r="34337" spans="1:8" customFormat="1" x14ac:dyDescent="0.25">
      <c r="A34337" t="str">
        <f>"065954"</f>
        <v>065954</v>
      </c>
      <c r="B34337" t="s">
        <v>23848</v>
      </c>
      <c r="C34337" t="s">
        <v>822</v>
      </c>
      <c r="D34337" s="21" t="s">
        <v>34</v>
      </c>
      <c r="E34337" s="21" t="s">
        <v>1089</v>
      </c>
      <c r="F34337">
        <v>13060066</v>
      </c>
      <c r="G34337" t="s">
        <v>2556</v>
      </c>
      <c r="H34337" s="21">
        <v>500</v>
      </c>
    </row>
    <row r="34338" spans="1:8" customFormat="1" x14ac:dyDescent="0.25">
      <c r="A34338" t="str">
        <f>"7720934"</f>
        <v>7720934</v>
      </c>
      <c r="B34338" t="s">
        <v>17927</v>
      </c>
      <c r="C34338" t="s">
        <v>239</v>
      </c>
      <c r="D34338" s="21" t="s">
        <v>34</v>
      </c>
      <c r="E34338" s="21" t="s">
        <v>71</v>
      </c>
      <c r="F34338">
        <v>8770250</v>
      </c>
      <c r="G34338" t="s">
        <v>2595</v>
      </c>
      <c r="H34338" s="21">
        <v>500</v>
      </c>
    </row>
    <row r="34339" spans="1:8" customFormat="1" x14ac:dyDescent="0.25">
      <c r="A34339" t="str">
        <f>"4441298"</f>
        <v>4441298</v>
      </c>
      <c r="B34339" t="s">
        <v>23473</v>
      </c>
      <c r="C34339" t="s">
        <v>211</v>
      </c>
      <c r="D34339" s="21" t="s">
        <v>34</v>
      </c>
      <c r="E34339" s="21" t="s">
        <v>71</v>
      </c>
      <c r="F34339">
        <v>12440081</v>
      </c>
      <c r="G34339" t="s">
        <v>617</v>
      </c>
      <c r="H34339" s="21">
        <v>500</v>
      </c>
    </row>
    <row r="34340" spans="1:8" customFormat="1" x14ac:dyDescent="0.25">
      <c r="A34340" t="str">
        <f>"5726057"</f>
        <v>5726057</v>
      </c>
      <c r="B34340" t="s">
        <v>25515</v>
      </c>
      <c r="C34340" t="s">
        <v>763</v>
      </c>
      <c r="D34340" s="21" t="s">
        <v>34</v>
      </c>
      <c r="E34340" s="21" t="s">
        <v>254</v>
      </c>
      <c r="F34340">
        <v>6570168</v>
      </c>
      <c r="G34340" t="s">
        <v>152</v>
      </c>
      <c r="H34340" s="21">
        <v>500</v>
      </c>
    </row>
    <row r="34341" spans="1:8" customFormat="1" x14ac:dyDescent="0.25">
      <c r="A34341" t="str">
        <f>"3427081"</f>
        <v>3427081</v>
      </c>
      <c r="B34341" t="s">
        <v>7751</v>
      </c>
      <c r="C34341" t="s">
        <v>428</v>
      </c>
      <c r="D34341" s="21" t="s">
        <v>34</v>
      </c>
      <c r="E34341" s="21" t="s">
        <v>35</v>
      </c>
      <c r="F34341">
        <v>11340076</v>
      </c>
      <c r="G34341" t="s">
        <v>26665</v>
      </c>
      <c r="H34341" s="21">
        <v>500</v>
      </c>
    </row>
    <row r="34342" spans="1:8" customFormat="1" x14ac:dyDescent="0.25">
      <c r="A34342" t="str">
        <f>"5978679"</f>
        <v>5978679</v>
      </c>
      <c r="B34342" t="s">
        <v>22906</v>
      </c>
      <c r="C34342" t="s">
        <v>285</v>
      </c>
      <c r="D34342" s="21" t="s">
        <v>34</v>
      </c>
      <c r="E34342" s="21" t="s">
        <v>35</v>
      </c>
      <c r="F34342">
        <v>7590106</v>
      </c>
      <c r="G34342" t="s">
        <v>4790</v>
      </c>
      <c r="H34342" s="21">
        <v>500</v>
      </c>
    </row>
    <row r="34343" spans="1:8" customFormat="1" x14ac:dyDescent="0.25">
      <c r="A34343" t="str">
        <f>"9145486"</f>
        <v>9145486</v>
      </c>
      <c r="B34343" t="s">
        <v>20109</v>
      </c>
      <c r="C34343" t="s">
        <v>249</v>
      </c>
      <c r="D34343" s="21" t="s">
        <v>34</v>
      </c>
      <c r="E34343" s="21" t="s">
        <v>35</v>
      </c>
      <c r="F34343">
        <v>8910102</v>
      </c>
      <c r="G34343" t="s">
        <v>3079</v>
      </c>
      <c r="H34343" s="21">
        <v>500</v>
      </c>
    </row>
    <row r="34344" spans="1:8" customFormat="1" x14ac:dyDescent="0.25">
      <c r="A34344" t="str">
        <f>"9W75"</f>
        <v>9W75</v>
      </c>
      <c r="B34344" t="s">
        <v>23427</v>
      </c>
      <c r="C34344" t="s">
        <v>23428</v>
      </c>
      <c r="D34344" s="21" t="s">
        <v>34</v>
      </c>
      <c r="E34344" s="21" t="s">
        <v>35</v>
      </c>
      <c r="F34344" t="s">
        <v>23027</v>
      </c>
      <c r="G34344" t="s">
        <v>28713</v>
      </c>
      <c r="H34344" s="21">
        <v>500</v>
      </c>
    </row>
    <row r="34345" spans="1:8" customFormat="1" x14ac:dyDescent="0.25">
      <c r="A34345" t="str">
        <f>"9251671"</f>
        <v>9251671</v>
      </c>
      <c r="B34345" t="s">
        <v>24609</v>
      </c>
      <c r="C34345" t="s">
        <v>1605</v>
      </c>
      <c r="D34345" s="21" t="s">
        <v>34</v>
      </c>
      <c r="E34345" s="21" t="s">
        <v>35</v>
      </c>
      <c r="F34345">
        <v>8920151</v>
      </c>
      <c r="G34345" t="s">
        <v>1434</v>
      </c>
      <c r="H34345" s="21">
        <v>500</v>
      </c>
    </row>
    <row r="34346" spans="1:8" customFormat="1" x14ac:dyDescent="0.25">
      <c r="A34346" t="str">
        <f>"777526"</f>
        <v>777526</v>
      </c>
      <c r="B34346" t="s">
        <v>24365</v>
      </c>
      <c r="C34346" t="s">
        <v>209</v>
      </c>
      <c r="D34346" s="21" t="s">
        <v>34</v>
      </c>
      <c r="E34346" s="21" t="s">
        <v>6185</v>
      </c>
      <c r="F34346">
        <v>8771154</v>
      </c>
      <c r="G34346" t="s">
        <v>3625</v>
      </c>
      <c r="H34346" s="21">
        <v>500</v>
      </c>
    </row>
    <row r="34347" spans="1:8" customFormat="1" x14ac:dyDescent="0.25">
      <c r="A34347" t="str">
        <f>"4931797"</f>
        <v>4931797</v>
      </c>
      <c r="B34347" t="s">
        <v>23016</v>
      </c>
      <c r="C34347" t="s">
        <v>428</v>
      </c>
      <c r="D34347" s="21" t="s">
        <v>34</v>
      </c>
      <c r="E34347" s="21" t="s">
        <v>254</v>
      </c>
      <c r="F34347">
        <v>12490123</v>
      </c>
      <c r="G34347" t="s">
        <v>20118</v>
      </c>
      <c r="H34347" s="21">
        <v>500</v>
      </c>
    </row>
    <row r="34348" spans="1:8" customFormat="1" x14ac:dyDescent="0.25">
      <c r="A34348" t="str">
        <f>"5984259"</f>
        <v>5984259</v>
      </c>
      <c r="B34348" t="s">
        <v>10686</v>
      </c>
      <c r="C34348" t="s">
        <v>43</v>
      </c>
      <c r="D34348" s="21" t="s">
        <v>34</v>
      </c>
      <c r="E34348" s="21" t="s">
        <v>35</v>
      </c>
      <c r="F34348">
        <v>7590120</v>
      </c>
      <c r="G34348" t="s">
        <v>5351</v>
      </c>
      <c r="H34348" s="21">
        <v>500</v>
      </c>
    </row>
    <row r="34349" spans="1:8" customFormat="1" x14ac:dyDescent="0.25">
      <c r="A34349" t="str">
        <f>"9253756"</f>
        <v>9253756</v>
      </c>
      <c r="B34349" t="s">
        <v>12534</v>
      </c>
      <c r="C34349" t="s">
        <v>233</v>
      </c>
      <c r="D34349" s="21" t="s">
        <v>34</v>
      </c>
      <c r="E34349" s="21" t="s">
        <v>35</v>
      </c>
      <c r="F34349">
        <v>8920234</v>
      </c>
      <c r="G34349" t="s">
        <v>1184</v>
      </c>
      <c r="H34349" s="21">
        <v>500</v>
      </c>
    </row>
    <row r="34350" spans="1:8" customFormat="1" x14ac:dyDescent="0.25">
      <c r="A34350" t="str">
        <f>"9528656"</f>
        <v>9528656</v>
      </c>
      <c r="B34350" t="s">
        <v>22326</v>
      </c>
      <c r="C34350" t="s">
        <v>202</v>
      </c>
      <c r="D34350" s="21" t="s">
        <v>34</v>
      </c>
      <c r="E34350" s="21" t="s">
        <v>71</v>
      </c>
      <c r="F34350">
        <v>8950083</v>
      </c>
      <c r="G34350" t="s">
        <v>405</v>
      </c>
      <c r="H34350" s="21">
        <v>500</v>
      </c>
    </row>
    <row r="34351" spans="1:8" customFormat="1" x14ac:dyDescent="0.25">
      <c r="A34351" t="str">
        <f>"7866481"</f>
        <v>7866481</v>
      </c>
      <c r="B34351" t="s">
        <v>16975</v>
      </c>
      <c r="C34351" t="s">
        <v>462</v>
      </c>
      <c r="D34351" s="21" t="s">
        <v>34</v>
      </c>
      <c r="E34351" s="21" t="s">
        <v>71</v>
      </c>
      <c r="F34351">
        <v>8780584</v>
      </c>
      <c r="G34351" t="s">
        <v>18410</v>
      </c>
      <c r="H34351" s="21">
        <v>500</v>
      </c>
    </row>
    <row r="34352" spans="1:8" customFormat="1" x14ac:dyDescent="0.25">
      <c r="A34352" t="str">
        <f>"7726475"</f>
        <v>7726475</v>
      </c>
      <c r="B34352" t="s">
        <v>23088</v>
      </c>
      <c r="C34352" t="s">
        <v>462</v>
      </c>
      <c r="D34352" s="21" t="s">
        <v>34</v>
      </c>
      <c r="E34352" s="21" t="s">
        <v>35</v>
      </c>
      <c r="F34352">
        <v>8771516</v>
      </c>
      <c r="G34352" t="s">
        <v>7155</v>
      </c>
      <c r="H34352" s="21">
        <v>500</v>
      </c>
    </row>
    <row r="34353" spans="1:8" customFormat="1" x14ac:dyDescent="0.25">
      <c r="A34353" t="str">
        <f>"4936158"</f>
        <v>4936158</v>
      </c>
      <c r="B34353" t="s">
        <v>21957</v>
      </c>
      <c r="C34353" t="s">
        <v>23226</v>
      </c>
      <c r="D34353" s="21" t="s">
        <v>34</v>
      </c>
      <c r="E34353" s="21" t="s">
        <v>35</v>
      </c>
      <c r="F34353">
        <v>12490067</v>
      </c>
      <c r="G34353" t="s">
        <v>7654</v>
      </c>
      <c r="H34353" s="21">
        <v>500</v>
      </c>
    </row>
    <row r="34354" spans="1:8" customFormat="1" x14ac:dyDescent="0.25">
      <c r="A34354" t="str">
        <f>"354823"</f>
        <v>354823</v>
      </c>
      <c r="B34354" t="s">
        <v>3661</v>
      </c>
      <c r="C34354" t="s">
        <v>547</v>
      </c>
      <c r="D34354" s="21" t="s">
        <v>34</v>
      </c>
      <c r="E34354" s="21" t="s">
        <v>1089</v>
      </c>
      <c r="F34354">
        <v>3350161</v>
      </c>
      <c r="G34354" t="s">
        <v>1507</v>
      </c>
      <c r="H34354" s="21">
        <v>500</v>
      </c>
    </row>
    <row r="34355" spans="1:8" customFormat="1" x14ac:dyDescent="0.25">
      <c r="A34355" t="str">
        <f>"442521"</f>
        <v>442521</v>
      </c>
      <c r="B34355" t="s">
        <v>697</v>
      </c>
      <c r="C34355" t="s">
        <v>239</v>
      </c>
      <c r="D34355" s="21" t="s">
        <v>34</v>
      </c>
      <c r="E34355" s="21" t="s">
        <v>254</v>
      </c>
      <c r="F34355">
        <v>12440058</v>
      </c>
      <c r="G34355" t="s">
        <v>394</v>
      </c>
      <c r="H34355" s="21">
        <v>500</v>
      </c>
    </row>
    <row r="34356" spans="1:8" customFormat="1" x14ac:dyDescent="0.25">
      <c r="A34356" t="str">
        <f>"5432510"</f>
        <v>5432510</v>
      </c>
      <c r="B34356" t="s">
        <v>28833</v>
      </c>
      <c r="C34356" t="s">
        <v>198</v>
      </c>
      <c r="D34356" s="21" t="s">
        <v>34</v>
      </c>
      <c r="E34356" s="21" t="s">
        <v>71</v>
      </c>
      <c r="F34356">
        <v>6540108</v>
      </c>
      <c r="G34356" t="s">
        <v>4340</v>
      </c>
      <c r="H34356" s="21">
        <v>500</v>
      </c>
    </row>
    <row r="34357" spans="1:8" customFormat="1" x14ac:dyDescent="0.25">
      <c r="A34357" t="str">
        <f>"273452"</f>
        <v>273452</v>
      </c>
      <c r="B34357" t="s">
        <v>3873</v>
      </c>
      <c r="C34357" t="s">
        <v>822</v>
      </c>
      <c r="D34357" s="21" t="s">
        <v>34</v>
      </c>
      <c r="E34357" s="21" t="s">
        <v>1089</v>
      </c>
      <c r="F34357">
        <v>9270005</v>
      </c>
      <c r="G34357" t="s">
        <v>1255</v>
      </c>
      <c r="H34357" s="21">
        <v>500</v>
      </c>
    </row>
    <row r="34358" spans="1:8" customFormat="1" x14ac:dyDescent="0.25">
      <c r="A34358" t="str">
        <f>"5327196"</f>
        <v>5327196</v>
      </c>
      <c r="B34358" t="s">
        <v>17570</v>
      </c>
      <c r="C34358" t="s">
        <v>82</v>
      </c>
      <c r="D34358" s="21" t="s">
        <v>34</v>
      </c>
      <c r="E34358" s="21" t="s">
        <v>71</v>
      </c>
      <c r="F34358">
        <v>12530050</v>
      </c>
      <c r="G34358" t="s">
        <v>5196</v>
      </c>
      <c r="H34358" s="21">
        <v>500</v>
      </c>
    </row>
    <row r="34359" spans="1:8" customFormat="1" x14ac:dyDescent="0.25">
      <c r="A34359" t="str">
        <f>"1426961"</f>
        <v>1426961</v>
      </c>
      <c r="B34359" t="s">
        <v>28834</v>
      </c>
      <c r="C34359" t="s">
        <v>28835</v>
      </c>
      <c r="D34359" s="21" t="s">
        <v>34</v>
      </c>
      <c r="E34359" s="21" t="s">
        <v>35</v>
      </c>
      <c r="F34359">
        <v>9140055</v>
      </c>
      <c r="G34359" t="s">
        <v>344</v>
      </c>
      <c r="H34359" s="21">
        <v>500</v>
      </c>
    </row>
    <row r="34360" spans="1:8" customFormat="1" x14ac:dyDescent="0.25">
      <c r="A34360" t="str">
        <f>"6934446"</f>
        <v>6934446</v>
      </c>
      <c r="B34360" t="s">
        <v>23064</v>
      </c>
      <c r="C34360" t="s">
        <v>598</v>
      </c>
      <c r="D34360" s="21" t="s">
        <v>34</v>
      </c>
      <c r="E34360" s="21" t="s">
        <v>1089</v>
      </c>
      <c r="F34360">
        <v>1690005</v>
      </c>
      <c r="G34360" t="s">
        <v>16595</v>
      </c>
      <c r="H34360" s="21">
        <v>500</v>
      </c>
    </row>
    <row r="34361" spans="1:8" customFormat="1" x14ac:dyDescent="0.25">
      <c r="A34361" t="str">
        <f>"187579"</f>
        <v>187579</v>
      </c>
      <c r="B34361" t="s">
        <v>1892</v>
      </c>
      <c r="C34361" t="s">
        <v>40</v>
      </c>
      <c r="D34361" s="21" t="s">
        <v>34</v>
      </c>
      <c r="E34361" s="21" t="s">
        <v>71</v>
      </c>
      <c r="F34361">
        <v>4180313</v>
      </c>
      <c r="G34361" t="s">
        <v>10486</v>
      </c>
      <c r="H34361" s="21">
        <v>500</v>
      </c>
    </row>
    <row r="34362" spans="1:8" customFormat="1" x14ac:dyDescent="0.25">
      <c r="A34362" t="str">
        <f>"589651"</f>
        <v>589651</v>
      </c>
      <c r="B34362" t="s">
        <v>23230</v>
      </c>
      <c r="C34362" t="s">
        <v>204</v>
      </c>
      <c r="D34362" s="21" t="s">
        <v>34</v>
      </c>
      <c r="E34362" s="21" t="s">
        <v>35</v>
      </c>
      <c r="F34362">
        <v>2580006</v>
      </c>
      <c r="G34362" t="s">
        <v>4813</v>
      </c>
      <c r="H34362" s="21">
        <v>500</v>
      </c>
    </row>
    <row r="34363" spans="1:8" customFormat="1" x14ac:dyDescent="0.25">
      <c r="A34363" t="str">
        <f>"3012739"</f>
        <v>3012739</v>
      </c>
      <c r="B34363" t="s">
        <v>24591</v>
      </c>
      <c r="C34363" t="s">
        <v>253</v>
      </c>
      <c r="D34363" s="21" t="s">
        <v>34</v>
      </c>
      <c r="E34363" s="21" t="s">
        <v>254</v>
      </c>
      <c r="F34363">
        <v>11300007</v>
      </c>
      <c r="G34363" t="s">
        <v>361</v>
      </c>
      <c r="H34363" s="21">
        <v>500</v>
      </c>
    </row>
    <row r="34364" spans="1:8" customFormat="1" x14ac:dyDescent="0.25">
      <c r="A34364" t="str">
        <f>"426346"</f>
        <v>426346</v>
      </c>
      <c r="B34364" t="s">
        <v>18627</v>
      </c>
      <c r="C34364" t="s">
        <v>415</v>
      </c>
      <c r="D34364" s="21" t="s">
        <v>34</v>
      </c>
      <c r="E34364" s="21" t="s">
        <v>254</v>
      </c>
      <c r="F34364">
        <v>1420148</v>
      </c>
      <c r="G34364" t="s">
        <v>10763</v>
      </c>
      <c r="H34364" s="21">
        <v>500</v>
      </c>
    </row>
    <row r="34365" spans="1:8" customFormat="1" x14ac:dyDescent="0.25">
      <c r="A34365" t="str">
        <f>"2710565"</f>
        <v>2710565</v>
      </c>
      <c r="B34365" t="s">
        <v>15868</v>
      </c>
      <c r="C34365" t="s">
        <v>239</v>
      </c>
      <c r="D34365" s="21" t="s">
        <v>34</v>
      </c>
      <c r="E34365" s="21" t="s">
        <v>254</v>
      </c>
      <c r="F34365">
        <v>9270006</v>
      </c>
      <c r="G34365" t="s">
        <v>780</v>
      </c>
      <c r="H34365" s="21">
        <v>500</v>
      </c>
    </row>
    <row r="34366" spans="1:8" customFormat="1" x14ac:dyDescent="0.25">
      <c r="A34366" t="str">
        <f>"9120156"</f>
        <v>9120156</v>
      </c>
      <c r="B34366" t="s">
        <v>23540</v>
      </c>
      <c r="C34366" t="s">
        <v>1705</v>
      </c>
      <c r="D34366" s="21" t="s">
        <v>34</v>
      </c>
      <c r="E34366" s="21" t="s">
        <v>1089</v>
      </c>
      <c r="F34366">
        <v>8910916</v>
      </c>
      <c r="G34366" t="s">
        <v>2251</v>
      </c>
      <c r="H34366" s="21">
        <v>500</v>
      </c>
    </row>
    <row r="34367" spans="1:8" customFormat="1" x14ac:dyDescent="0.25">
      <c r="A34367" t="str">
        <f>"9147265"</f>
        <v>9147265</v>
      </c>
      <c r="B34367" t="s">
        <v>28836</v>
      </c>
      <c r="C34367" t="s">
        <v>1119</v>
      </c>
      <c r="D34367" s="21" t="s">
        <v>34</v>
      </c>
      <c r="E34367" s="21" t="s">
        <v>71</v>
      </c>
      <c r="F34367">
        <v>8911064</v>
      </c>
      <c r="G34367" t="s">
        <v>2209</v>
      </c>
      <c r="H34367" s="21">
        <v>500</v>
      </c>
    </row>
    <row r="34368" spans="1:8" customFormat="1" x14ac:dyDescent="0.25">
      <c r="A34368" t="str">
        <f>"0112690"</f>
        <v>0112690</v>
      </c>
      <c r="B34368" t="s">
        <v>28837</v>
      </c>
      <c r="C34368" t="s">
        <v>453</v>
      </c>
      <c r="D34368" s="21" t="s">
        <v>34</v>
      </c>
      <c r="E34368" s="21" t="s">
        <v>1089</v>
      </c>
      <c r="F34368">
        <v>1730089</v>
      </c>
      <c r="G34368" t="s">
        <v>5395</v>
      </c>
      <c r="H34368" s="21">
        <v>500</v>
      </c>
    </row>
    <row r="34369" spans="1:8" customFormat="1" x14ac:dyDescent="0.25">
      <c r="A34369" t="str">
        <f>"7732448"</f>
        <v>7732448</v>
      </c>
      <c r="B34369" t="s">
        <v>28838</v>
      </c>
      <c r="C34369" t="s">
        <v>28839</v>
      </c>
      <c r="D34369" s="21" t="s">
        <v>34</v>
      </c>
      <c r="E34369" s="21" t="s">
        <v>35</v>
      </c>
      <c r="F34369">
        <v>8771506</v>
      </c>
      <c r="G34369" t="s">
        <v>7314</v>
      </c>
      <c r="H34369" s="21">
        <v>500</v>
      </c>
    </row>
    <row r="34370" spans="1:8" customFormat="1" x14ac:dyDescent="0.25">
      <c r="A34370" t="str">
        <f>"6231676"</f>
        <v>6231676</v>
      </c>
      <c r="B34370" t="s">
        <v>24574</v>
      </c>
      <c r="C34370" t="s">
        <v>239</v>
      </c>
      <c r="D34370" s="21" t="s">
        <v>34</v>
      </c>
      <c r="E34370" s="21" t="s">
        <v>71</v>
      </c>
      <c r="F34370">
        <v>7620088</v>
      </c>
      <c r="G34370" t="s">
        <v>3342</v>
      </c>
      <c r="H34370" s="21">
        <v>500</v>
      </c>
    </row>
    <row r="34371" spans="1:8" customFormat="1" x14ac:dyDescent="0.25">
      <c r="A34371" t="str">
        <f>"0211295"</f>
        <v>0211295</v>
      </c>
      <c r="B34371" t="s">
        <v>23158</v>
      </c>
      <c r="C34371" t="s">
        <v>1705</v>
      </c>
      <c r="D34371" s="21" t="s">
        <v>34</v>
      </c>
      <c r="E34371" s="21" t="s">
        <v>254</v>
      </c>
      <c r="F34371">
        <v>7020015</v>
      </c>
      <c r="G34371" t="s">
        <v>1289</v>
      </c>
      <c r="H34371" s="21">
        <v>500</v>
      </c>
    </row>
    <row r="34372" spans="1:8" customFormat="1" x14ac:dyDescent="0.25">
      <c r="A34372" t="str">
        <f>"2720732"</f>
        <v>2720732</v>
      </c>
      <c r="B34372" t="s">
        <v>28840</v>
      </c>
      <c r="C34372" t="s">
        <v>28841</v>
      </c>
      <c r="D34372" s="21" t="s">
        <v>34</v>
      </c>
      <c r="E34372" s="21" t="s">
        <v>35</v>
      </c>
      <c r="F34372">
        <v>9270187</v>
      </c>
      <c r="G34372" t="s">
        <v>6733</v>
      </c>
      <c r="H34372" s="21">
        <v>500</v>
      </c>
    </row>
    <row r="34373" spans="1:8" customFormat="1" x14ac:dyDescent="0.25">
      <c r="A34373" t="str">
        <f>"594251"</f>
        <v>594251</v>
      </c>
      <c r="B34373" t="s">
        <v>3133</v>
      </c>
      <c r="C34373" t="s">
        <v>1714</v>
      </c>
      <c r="D34373" s="21" t="s">
        <v>34</v>
      </c>
      <c r="E34373" s="21" t="s">
        <v>254</v>
      </c>
      <c r="F34373">
        <v>7590260</v>
      </c>
      <c r="G34373" t="s">
        <v>3043</v>
      </c>
      <c r="H34373" s="21">
        <v>500</v>
      </c>
    </row>
    <row r="34374" spans="1:8" customFormat="1" x14ac:dyDescent="0.25">
      <c r="A34374" t="str">
        <f>"9246233"</f>
        <v>9246233</v>
      </c>
      <c r="B34374" t="s">
        <v>28842</v>
      </c>
      <c r="C34374" t="s">
        <v>28843</v>
      </c>
      <c r="D34374" s="21" t="s">
        <v>34</v>
      </c>
      <c r="E34374" s="21" t="s">
        <v>35</v>
      </c>
      <c r="F34374">
        <v>8921458</v>
      </c>
      <c r="G34374" t="s">
        <v>162</v>
      </c>
      <c r="H34374" s="21">
        <v>500</v>
      </c>
    </row>
    <row r="34375" spans="1:8" customFormat="1" x14ac:dyDescent="0.25">
      <c r="A34375" t="str">
        <f>"7222276"</f>
        <v>7222276</v>
      </c>
      <c r="B34375" t="s">
        <v>15402</v>
      </c>
      <c r="C34375" t="s">
        <v>156</v>
      </c>
      <c r="D34375" s="21" t="s">
        <v>34</v>
      </c>
      <c r="E34375" s="21" t="s">
        <v>71</v>
      </c>
      <c r="F34375">
        <v>12720009</v>
      </c>
      <c r="G34375" t="s">
        <v>6928</v>
      </c>
      <c r="H34375" s="21">
        <v>500</v>
      </c>
    </row>
    <row r="34376" spans="1:8" customFormat="1" x14ac:dyDescent="0.25">
      <c r="A34376" t="str">
        <f>"8614653"</f>
        <v>8614653</v>
      </c>
      <c r="B34376" t="s">
        <v>28844</v>
      </c>
      <c r="C34376" t="s">
        <v>269</v>
      </c>
      <c r="D34376" s="21" t="s">
        <v>34</v>
      </c>
      <c r="E34376" s="21" t="s">
        <v>35</v>
      </c>
      <c r="F34376">
        <v>10860230</v>
      </c>
      <c r="G34376" t="s">
        <v>27938</v>
      </c>
      <c r="H34376" s="21">
        <v>500</v>
      </c>
    </row>
    <row r="34377" spans="1:8" customFormat="1" x14ac:dyDescent="0.25">
      <c r="A34377" t="str">
        <f>"0113173"</f>
        <v>0113173</v>
      </c>
      <c r="B34377" t="s">
        <v>11984</v>
      </c>
      <c r="C34377" t="s">
        <v>1665</v>
      </c>
      <c r="D34377" s="21" t="s">
        <v>34</v>
      </c>
      <c r="E34377" s="21" t="s">
        <v>71</v>
      </c>
      <c r="F34377">
        <v>1010062</v>
      </c>
      <c r="G34377" t="s">
        <v>9638</v>
      </c>
      <c r="H34377" s="21">
        <v>500</v>
      </c>
    </row>
    <row r="34378" spans="1:8" customFormat="1" x14ac:dyDescent="0.25">
      <c r="A34378" t="str">
        <f>"7411777"</f>
        <v>7411777</v>
      </c>
      <c r="B34378" t="s">
        <v>16189</v>
      </c>
      <c r="C34378" t="s">
        <v>288</v>
      </c>
      <c r="D34378" s="21" t="s">
        <v>34</v>
      </c>
      <c r="E34378" s="21" t="s">
        <v>35</v>
      </c>
      <c r="F34378">
        <v>1740044</v>
      </c>
      <c r="G34378" t="s">
        <v>22951</v>
      </c>
      <c r="H34378" s="21">
        <v>500</v>
      </c>
    </row>
    <row r="34379" spans="1:8" customFormat="1" x14ac:dyDescent="0.25">
      <c r="A34379" t="str">
        <f>"5326174"</f>
        <v>5326174</v>
      </c>
      <c r="B34379" t="s">
        <v>24637</v>
      </c>
      <c r="C34379" t="s">
        <v>547</v>
      </c>
      <c r="D34379" s="21" t="s">
        <v>34</v>
      </c>
      <c r="E34379" s="21" t="s">
        <v>71</v>
      </c>
      <c r="F34379">
        <v>12530114</v>
      </c>
      <c r="G34379" t="s">
        <v>1342</v>
      </c>
      <c r="H34379" s="21">
        <v>500</v>
      </c>
    </row>
    <row r="34380" spans="1:8" customFormat="1" x14ac:dyDescent="0.25">
      <c r="A34380" t="str">
        <f>"691444"</f>
        <v>691444</v>
      </c>
      <c r="B34380" t="s">
        <v>22255</v>
      </c>
      <c r="C34380" t="s">
        <v>4842</v>
      </c>
      <c r="D34380" s="21" t="s">
        <v>34</v>
      </c>
      <c r="E34380" s="21" t="s">
        <v>6185</v>
      </c>
      <c r="F34380">
        <v>1690062</v>
      </c>
      <c r="G34380" t="s">
        <v>5907</v>
      </c>
      <c r="H34380" s="21">
        <v>500</v>
      </c>
    </row>
    <row r="34381" spans="1:8" customFormat="1" x14ac:dyDescent="0.25">
      <c r="A34381" t="str">
        <f>"9311123"</f>
        <v>9311123</v>
      </c>
      <c r="B34381" t="s">
        <v>1094</v>
      </c>
      <c r="C34381" t="s">
        <v>253</v>
      </c>
      <c r="D34381" s="21" t="s">
        <v>34</v>
      </c>
      <c r="E34381" s="21" t="s">
        <v>1089</v>
      </c>
      <c r="F34381">
        <v>8930003</v>
      </c>
      <c r="G34381" t="s">
        <v>13083</v>
      </c>
      <c r="H34381" s="21">
        <v>500</v>
      </c>
    </row>
    <row r="34382" spans="1:8" customFormat="1" x14ac:dyDescent="0.25">
      <c r="A34382" t="str">
        <f>"80248"</f>
        <v>80248</v>
      </c>
      <c r="B34382" t="s">
        <v>23601</v>
      </c>
      <c r="C34382" t="s">
        <v>1665</v>
      </c>
      <c r="D34382" s="21" t="s">
        <v>34</v>
      </c>
      <c r="E34382" s="21" t="s">
        <v>6185</v>
      </c>
      <c r="F34382">
        <v>7800003</v>
      </c>
      <c r="G34382" t="s">
        <v>276</v>
      </c>
      <c r="H34382" s="21">
        <v>500</v>
      </c>
    </row>
    <row r="34383" spans="1:8" customFormat="1" x14ac:dyDescent="0.25">
      <c r="A34383" t="str">
        <f>"681112"</f>
        <v>681112</v>
      </c>
      <c r="B34383" t="s">
        <v>13497</v>
      </c>
      <c r="C34383" t="s">
        <v>2520</v>
      </c>
      <c r="D34383" s="21" t="s">
        <v>34</v>
      </c>
      <c r="E34383" s="21" t="s">
        <v>6185</v>
      </c>
      <c r="F34383">
        <v>6680091</v>
      </c>
      <c r="G34383" t="s">
        <v>693</v>
      </c>
      <c r="H34383" s="21">
        <v>500</v>
      </c>
    </row>
    <row r="34384" spans="1:8" customFormat="1" x14ac:dyDescent="0.25">
      <c r="A34384" t="str">
        <f>"7719712"</f>
        <v>7719712</v>
      </c>
      <c r="B34384" t="s">
        <v>9636</v>
      </c>
      <c r="C34384" t="s">
        <v>2356</v>
      </c>
      <c r="D34384" s="21" t="s">
        <v>34</v>
      </c>
      <c r="E34384" s="21" t="s">
        <v>1089</v>
      </c>
      <c r="F34384">
        <v>8770665</v>
      </c>
      <c r="G34384" t="s">
        <v>903</v>
      </c>
      <c r="H34384" s="21">
        <v>500</v>
      </c>
    </row>
    <row r="34385" spans="1:8" customFormat="1" x14ac:dyDescent="0.25">
      <c r="A34385" t="str">
        <f>"928110"</f>
        <v>928110</v>
      </c>
      <c r="B34385" t="s">
        <v>28845</v>
      </c>
      <c r="C34385" t="s">
        <v>453</v>
      </c>
      <c r="D34385" s="21" t="s">
        <v>34</v>
      </c>
      <c r="E34385" s="21" t="s">
        <v>1089</v>
      </c>
      <c r="F34385">
        <v>8921190</v>
      </c>
      <c r="G34385" t="s">
        <v>810</v>
      </c>
      <c r="H34385" s="21">
        <v>500</v>
      </c>
    </row>
    <row r="34386" spans="1:8" customFormat="1" x14ac:dyDescent="0.25">
      <c r="A34386" t="str">
        <f>"6940552"</f>
        <v>6940552</v>
      </c>
      <c r="B34386" t="s">
        <v>726</v>
      </c>
      <c r="C34386" t="s">
        <v>55</v>
      </c>
      <c r="D34386" s="21" t="s">
        <v>34</v>
      </c>
      <c r="E34386" s="21" t="s">
        <v>71</v>
      </c>
      <c r="F34386">
        <v>1690034</v>
      </c>
      <c r="G34386" t="s">
        <v>8838</v>
      </c>
      <c r="H34386" s="21">
        <v>500</v>
      </c>
    </row>
    <row r="34387" spans="1:8" customFormat="1" x14ac:dyDescent="0.25">
      <c r="A34387" t="str">
        <f>"2936836"</f>
        <v>2936836</v>
      </c>
      <c r="B34387" t="s">
        <v>4499</v>
      </c>
      <c r="C34387" t="s">
        <v>2365</v>
      </c>
      <c r="D34387" s="21" t="s">
        <v>34</v>
      </c>
      <c r="E34387" s="21" t="s">
        <v>254</v>
      </c>
      <c r="F34387">
        <v>3290006</v>
      </c>
      <c r="G34387" t="s">
        <v>13009</v>
      </c>
      <c r="H34387" s="21">
        <v>500</v>
      </c>
    </row>
    <row r="34388" spans="1:8" customFormat="1" x14ac:dyDescent="0.25">
      <c r="A34388" t="str">
        <f>"3528673"</f>
        <v>3528673</v>
      </c>
      <c r="B34388" t="s">
        <v>23689</v>
      </c>
      <c r="C34388" t="s">
        <v>236</v>
      </c>
      <c r="D34388" s="21" t="s">
        <v>34</v>
      </c>
      <c r="E34388" s="21" t="s">
        <v>254</v>
      </c>
      <c r="F34388">
        <v>3350212</v>
      </c>
      <c r="G34388" t="s">
        <v>5154</v>
      </c>
      <c r="H34388" s="21">
        <v>500</v>
      </c>
    </row>
    <row r="34389" spans="1:8" customFormat="1" x14ac:dyDescent="0.25">
      <c r="A34389" t="str">
        <f>"6316347"</f>
        <v>6316347</v>
      </c>
      <c r="B34389" t="s">
        <v>23969</v>
      </c>
      <c r="C34389" t="s">
        <v>469</v>
      </c>
      <c r="D34389" s="21" t="s">
        <v>34</v>
      </c>
      <c r="E34389" s="21" t="s">
        <v>35</v>
      </c>
      <c r="F34389">
        <v>1630298</v>
      </c>
      <c r="G34389" t="s">
        <v>7247</v>
      </c>
      <c r="H34389" s="21">
        <v>500</v>
      </c>
    </row>
    <row r="34390" spans="1:8" customFormat="1" x14ac:dyDescent="0.25">
      <c r="A34390" t="str">
        <f>"6726180"</f>
        <v>6726180</v>
      </c>
      <c r="B34390" t="s">
        <v>17063</v>
      </c>
      <c r="C34390" t="s">
        <v>62</v>
      </c>
      <c r="D34390" s="21" t="s">
        <v>34</v>
      </c>
      <c r="E34390" s="21" t="s">
        <v>35</v>
      </c>
      <c r="F34390">
        <v>6670107</v>
      </c>
      <c r="G34390" t="s">
        <v>5610</v>
      </c>
      <c r="H34390" s="21">
        <v>500</v>
      </c>
    </row>
    <row r="34391" spans="1:8" customFormat="1" x14ac:dyDescent="0.25">
      <c r="A34391" t="str">
        <f>"246047"</f>
        <v>246047</v>
      </c>
      <c r="B34391" t="s">
        <v>694</v>
      </c>
      <c r="C34391" t="s">
        <v>114</v>
      </c>
      <c r="D34391" s="21" t="s">
        <v>34</v>
      </c>
      <c r="E34391" s="21" t="s">
        <v>71</v>
      </c>
      <c r="F34391">
        <v>10240015</v>
      </c>
      <c r="G34391" t="s">
        <v>8589</v>
      </c>
      <c r="H34391" s="21">
        <v>500</v>
      </c>
    </row>
    <row r="34392" spans="1:8" customFormat="1" x14ac:dyDescent="0.25">
      <c r="A34392" t="str">
        <f>"941326"</f>
        <v>941326</v>
      </c>
      <c r="B34392" t="s">
        <v>13522</v>
      </c>
      <c r="C34392" t="s">
        <v>1110</v>
      </c>
      <c r="D34392" s="21" t="s">
        <v>34</v>
      </c>
      <c r="E34392" s="21" t="s">
        <v>1089</v>
      </c>
      <c r="F34392">
        <v>8940866</v>
      </c>
      <c r="G34392" t="s">
        <v>519</v>
      </c>
      <c r="H34392" s="21">
        <v>500</v>
      </c>
    </row>
    <row r="34393" spans="1:8" customFormat="1" x14ac:dyDescent="0.25">
      <c r="A34393" t="str">
        <f>"7512679"</f>
        <v>7512679</v>
      </c>
      <c r="B34393" t="s">
        <v>28846</v>
      </c>
      <c r="C34393" t="s">
        <v>9063</v>
      </c>
      <c r="D34393" s="21" t="s">
        <v>34</v>
      </c>
      <c r="E34393" s="21" t="s">
        <v>35</v>
      </c>
      <c r="F34393">
        <v>8750100</v>
      </c>
      <c r="G34393" t="s">
        <v>10521</v>
      </c>
      <c r="H34393" s="21">
        <v>500</v>
      </c>
    </row>
    <row r="34394" spans="1:8" customFormat="1" x14ac:dyDescent="0.25">
      <c r="A34394" t="str">
        <f>"1322115"</f>
        <v>1322115</v>
      </c>
      <c r="B34394" t="s">
        <v>1098</v>
      </c>
      <c r="C34394" t="s">
        <v>1110</v>
      </c>
      <c r="D34394" s="21" t="s">
        <v>34</v>
      </c>
      <c r="E34394" s="21" t="s">
        <v>1089</v>
      </c>
      <c r="F34394">
        <v>13130157</v>
      </c>
      <c r="G34394" t="s">
        <v>28847</v>
      </c>
      <c r="H34394" s="21">
        <v>500</v>
      </c>
    </row>
    <row r="34395" spans="1:8" customFormat="1" x14ac:dyDescent="0.25">
      <c r="A34395" t="str">
        <f>"5430435"</f>
        <v>5430435</v>
      </c>
      <c r="B34395" t="s">
        <v>1028</v>
      </c>
      <c r="C34395" t="s">
        <v>209</v>
      </c>
      <c r="D34395" s="21" t="s">
        <v>34</v>
      </c>
      <c r="E34395" s="21" t="s">
        <v>35</v>
      </c>
      <c r="F34395">
        <v>6540184</v>
      </c>
      <c r="G34395" t="s">
        <v>4395</v>
      </c>
      <c r="H34395" s="21">
        <v>500</v>
      </c>
    </row>
    <row r="34396" spans="1:8" customFormat="1" x14ac:dyDescent="0.25">
      <c r="A34396" t="str">
        <f>"4220115"</f>
        <v>4220115</v>
      </c>
      <c r="B34396" t="s">
        <v>28848</v>
      </c>
      <c r="C34396" t="s">
        <v>156</v>
      </c>
      <c r="D34396" s="21" t="s">
        <v>34</v>
      </c>
      <c r="E34396" s="21" t="s">
        <v>35</v>
      </c>
      <c r="F34396">
        <v>1420117</v>
      </c>
      <c r="G34396" t="s">
        <v>2649</v>
      </c>
      <c r="H34396" s="21">
        <v>500</v>
      </c>
    </row>
    <row r="34397" spans="1:8" customFormat="1" x14ac:dyDescent="0.25">
      <c r="A34397" t="str">
        <f>"8316659"</f>
        <v>8316659</v>
      </c>
      <c r="B34397" t="s">
        <v>146</v>
      </c>
      <c r="C34397" t="s">
        <v>1597</v>
      </c>
      <c r="D34397" s="21" t="s">
        <v>34</v>
      </c>
      <c r="E34397" s="21" t="s">
        <v>254</v>
      </c>
      <c r="F34397">
        <v>13830090</v>
      </c>
      <c r="G34397" t="s">
        <v>1535</v>
      </c>
      <c r="H34397" s="21">
        <v>500</v>
      </c>
    </row>
    <row r="34398" spans="1:8" customFormat="1" x14ac:dyDescent="0.25">
      <c r="A34398" t="str">
        <f>"1425600"</f>
        <v>1425600</v>
      </c>
      <c r="B34398" t="s">
        <v>8239</v>
      </c>
      <c r="C34398" t="s">
        <v>249</v>
      </c>
      <c r="D34398" s="21" t="s">
        <v>34</v>
      </c>
      <c r="E34398" s="21" t="s">
        <v>35</v>
      </c>
      <c r="F34398">
        <v>9140237</v>
      </c>
      <c r="G34398" t="s">
        <v>4722</v>
      </c>
      <c r="H34398" s="21">
        <v>500</v>
      </c>
    </row>
    <row r="34399" spans="1:8" customFormat="1" x14ac:dyDescent="0.25">
      <c r="A34399" t="str">
        <f>"8085"</f>
        <v>8085</v>
      </c>
      <c r="B34399" t="s">
        <v>18011</v>
      </c>
      <c r="C34399" t="s">
        <v>267</v>
      </c>
      <c r="D34399" s="21" t="s">
        <v>34</v>
      </c>
      <c r="E34399" s="21" t="s">
        <v>6185</v>
      </c>
      <c r="F34399">
        <v>7800003</v>
      </c>
      <c r="G34399" t="s">
        <v>276</v>
      </c>
      <c r="H34399" s="21">
        <v>500</v>
      </c>
    </row>
    <row r="34400" spans="1:8" customFormat="1" x14ac:dyDescent="0.25">
      <c r="A34400" t="str">
        <f>"7414689"</f>
        <v>7414689</v>
      </c>
      <c r="B34400" t="s">
        <v>26949</v>
      </c>
      <c r="C34400" t="s">
        <v>37</v>
      </c>
      <c r="D34400" s="21" t="s">
        <v>34</v>
      </c>
      <c r="E34400" s="21" t="s">
        <v>35</v>
      </c>
      <c r="F34400">
        <v>1740075</v>
      </c>
      <c r="G34400" t="s">
        <v>10362</v>
      </c>
      <c r="H34400" s="21">
        <v>500</v>
      </c>
    </row>
    <row r="34401" spans="1:8" customFormat="1" x14ac:dyDescent="0.25">
      <c r="A34401" t="str">
        <f>"5936413"</f>
        <v>5936413</v>
      </c>
      <c r="B34401" t="s">
        <v>7035</v>
      </c>
      <c r="C34401" t="s">
        <v>288</v>
      </c>
      <c r="D34401" s="21" t="s">
        <v>34</v>
      </c>
      <c r="E34401" s="21" t="s">
        <v>35</v>
      </c>
      <c r="F34401">
        <v>7590028</v>
      </c>
      <c r="G34401" t="s">
        <v>251</v>
      </c>
      <c r="H34401" s="21">
        <v>500</v>
      </c>
    </row>
    <row r="34402" spans="1:8" customFormat="1" x14ac:dyDescent="0.25">
      <c r="A34402" t="str">
        <f>"9530019"</f>
        <v>9530019</v>
      </c>
      <c r="B34402" t="s">
        <v>28849</v>
      </c>
      <c r="C34402" t="s">
        <v>171</v>
      </c>
      <c r="D34402" s="21" t="s">
        <v>34</v>
      </c>
      <c r="E34402" s="21" t="s">
        <v>35</v>
      </c>
      <c r="F34402">
        <v>1380005</v>
      </c>
      <c r="G34402" t="s">
        <v>3119</v>
      </c>
      <c r="H34402" s="21">
        <v>500</v>
      </c>
    </row>
    <row r="34403" spans="1:8" customFormat="1" x14ac:dyDescent="0.25">
      <c r="A34403" t="str">
        <f>"361435"</f>
        <v>361435</v>
      </c>
      <c r="B34403" t="s">
        <v>6584</v>
      </c>
      <c r="C34403" t="s">
        <v>453</v>
      </c>
      <c r="D34403" s="21" t="s">
        <v>34</v>
      </c>
      <c r="E34403" s="21" t="s">
        <v>1089</v>
      </c>
      <c r="F34403">
        <v>4360341</v>
      </c>
      <c r="G34403" t="s">
        <v>4912</v>
      </c>
      <c r="H34403" s="21">
        <v>500</v>
      </c>
    </row>
    <row r="34404" spans="1:8" customFormat="1" x14ac:dyDescent="0.25">
      <c r="A34404" t="str">
        <f>"593819"</f>
        <v>593819</v>
      </c>
      <c r="B34404" t="s">
        <v>4321</v>
      </c>
      <c r="C34404" t="s">
        <v>2520</v>
      </c>
      <c r="D34404" s="21" t="s">
        <v>34</v>
      </c>
      <c r="E34404" s="21" t="s">
        <v>1089</v>
      </c>
      <c r="F34404">
        <v>7590231</v>
      </c>
      <c r="G34404" t="s">
        <v>207</v>
      </c>
      <c r="H34404" s="21">
        <v>500</v>
      </c>
    </row>
    <row r="34405" spans="1:8" customFormat="1" x14ac:dyDescent="0.25">
      <c r="A34405" t="str">
        <f>"289576"</f>
        <v>289576</v>
      </c>
      <c r="B34405" t="s">
        <v>23545</v>
      </c>
      <c r="C34405" t="s">
        <v>55</v>
      </c>
      <c r="D34405" s="21" t="s">
        <v>34</v>
      </c>
      <c r="E34405" s="21" t="s">
        <v>71</v>
      </c>
      <c r="F34405">
        <v>4280004</v>
      </c>
      <c r="G34405" t="s">
        <v>91</v>
      </c>
      <c r="H34405" s="21">
        <v>500</v>
      </c>
    </row>
    <row r="34406" spans="1:8" customFormat="1" x14ac:dyDescent="0.25">
      <c r="A34406" t="str">
        <f>"5946437"</f>
        <v>5946437</v>
      </c>
      <c r="B34406" t="s">
        <v>19946</v>
      </c>
      <c r="C34406" t="s">
        <v>55</v>
      </c>
      <c r="D34406" s="21" t="s">
        <v>34</v>
      </c>
      <c r="E34406" s="21" t="s">
        <v>71</v>
      </c>
      <c r="F34406">
        <v>7590041</v>
      </c>
      <c r="G34406" t="s">
        <v>16047</v>
      </c>
      <c r="H34406" s="21">
        <v>500</v>
      </c>
    </row>
    <row r="34407" spans="1:8" customFormat="1" x14ac:dyDescent="0.25">
      <c r="A34407" t="str">
        <f>"3419291"</f>
        <v>3419291</v>
      </c>
      <c r="B34407" t="s">
        <v>22937</v>
      </c>
      <c r="C34407" t="s">
        <v>967</v>
      </c>
      <c r="D34407" s="21" t="s">
        <v>34</v>
      </c>
      <c r="E34407" s="21" t="s">
        <v>1089</v>
      </c>
      <c r="F34407">
        <v>11110029</v>
      </c>
      <c r="G34407" t="s">
        <v>9387</v>
      </c>
      <c r="H34407" s="21">
        <v>500</v>
      </c>
    </row>
    <row r="34408" spans="1:8" customFormat="1" x14ac:dyDescent="0.25">
      <c r="A34408" t="str">
        <f>"5616603"</f>
        <v>5616603</v>
      </c>
      <c r="B34408" t="s">
        <v>23459</v>
      </c>
      <c r="C34408" t="s">
        <v>1539</v>
      </c>
      <c r="D34408" s="21" t="s">
        <v>34</v>
      </c>
      <c r="E34408" s="21" t="s">
        <v>71</v>
      </c>
      <c r="F34408">
        <v>3560017</v>
      </c>
      <c r="G34408" t="s">
        <v>5745</v>
      </c>
      <c r="H34408" s="21">
        <v>500</v>
      </c>
    </row>
    <row r="34409" spans="1:8" customFormat="1" x14ac:dyDescent="0.25">
      <c r="A34409" t="str">
        <f>"9D3035"</f>
        <v>9D3035</v>
      </c>
      <c r="B34409" t="s">
        <v>28850</v>
      </c>
      <c r="C34409" t="s">
        <v>260</v>
      </c>
      <c r="D34409" s="21" t="s">
        <v>34</v>
      </c>
      <c r="E34409" s="21" t="s">
        <v>35</v>
      </c>
      <c r="F34409" t="s">
        <v>13222</v>
      </c>
      <c r="G34409" t="s">
        <v>13223</v>
      </c>
      <c r="H34409" s="21">
        <v>500</v>
      </c>
    </row>
    <row r="34410" spans="1:8" customFormat="1" x14ac:dyDescent="0.25">
      <c r="A34410" t="str">
        <f>"4449362"</f>
        <v>4449362</v>
      </c>
      <c r="B34410" t="s">
        <v>22174</v>
      </c>
      <c r="C34410" t="s">
        <v>498</v>
      </c>
      <c r="D34410" s="21" t="s">
        <v>34</v>
      </c>
      <c r="E34410" s="21" t="s">
        <v>71</v>
      </c>
      <c r="F34410">
        <v>12440004</v>
      </c>
      <c r="G34410" t="s">
        <v>26530</v>
      </c>
      <c r="H34410" s="21">
        <v>500</v>
      </c>
    </row>
    <row r="34411" spans="1:8" customFormat="1" x14ac:dyDescent="0.25">
      <c r="A34411" t="str">
        <f>"8529199"</f>
        <v>8529199</v>
      </c>
      <c r="B34411" t="s">
        <v>108</v>
      </c>
      <c r="C34411" t="s">
        <v>3648</v>
      </c>
      <c r="D34411" s="21" t="s">
        <v>34</v>
      </c>
      <c r="E34411" s="21" t="s">
        <v>35</v>
      </c>
      <c r="F34411">
        <v>12850014</v>
      </c>
      <c r="G34411" t="s">
        <v>10467</v>
      </c>
      <c r="H34411" s="21">
        <v>500</v>
      </c>
    </row>
    <row r="34412" spans="1:8" customFormat="1" x14ac:dyDescent="0.25">
      <c r="A34412" t="str">
        <f>"7519534"</f>
        <v>7519534</v>
      </c>
      <c r="B34412" t="s">
        <v>28851</v>
      </c>
      <c r="C34412" t="s">
        <v>209</v>
      </c>
      <c r="D34412" s="21" t="s">
        <v>34</v>
      </c>
      <c r="E34412" s="21" t="s">
        <v>254</v>
      </c>
      <c r="F34412">
        <v>8751124</v>
      </c>
      <c r="G34412" t="s">
        <v>1481</v>
      </c>
      <c r="H34412" s="21">
        <v>500</v>
      </c>
    </row>
    <row r="34413" spans="1:8" customFormat="1" x14ac:dyDescent="0.25">
      <c r="A34413" t="str">
        <f>"289577"</f>
        <v>289577</v>
      </c>
      <c r="B34413" t="s">
        <v>23551</v>
      </c>
      <c r="C34413" t="s">
        <v>253</v>
      </c>
      <c r="D34413" s="21" t="s">
        <v>34</v>
      </c>
      <c r="E34413" s="21" t="s">
        <v>254</v>
      </c>
      <c r="F34413">
        <v>4280322</v>
      </c>
      <c r="G34413" t="s">
        <v>265</v>
      </c>
      <c r="H34413" s="21">
        <v>500</v>
      </c>
    </row>
    <row r="34414" spans="1:8" customFormat="1" x14ac:dyDescent="0.25">
      <c r="A34414" t="str">
        <f>"3119790"</f>
        <v>3119790</v>
      </c>
      <c r="B34414" t="s">
        <v>27405</v>
      </c>
      <c r="C34414" t="s">
        <v>43</v>
      </c>
      <c r="D34414" s="21" t="s">
        <v>34</v>
      </c>
      <c r="E34414" s="21" t="s">
        <v>35</v>
      </c>
      <c r="F34414">
        <v>11310098</v>
      </c>
      <c r="G34414" t="s">
        <v>371</v>
      </c>
      <c r="H34414" s="21">
        <v>500</v>
      </c>
    </row>
    <row r="34415" spans="1:8" customFormat="1" x14ac:dyDescent="0.25">
      <c r="A34415" t="str">
        <f>"5017381"</f>
        <v>5017381</v>
      </c>
      <c r="B34415" t="s">
        <v>12993</v>
      </c>
      <c r="C34415" t="s">
        <v>415</v>
      </c>
      <c r="D34415" s="21" t="s">
        <v>34</v>
      </c>
      <c r="E34415" s="21" t="s">
        <v>254</v>
      </c>
      <c r="F34415">
        <v>9500124</v>
      </c>
      <c r="G34415" t="s">
        <v>3726</v>
      </c>
      <c r="H34415" s="21">
        <v>500</v>
      </c>
    </row>
    <row r="34416" spans="1:8" customFormat="1" x14ac:dyDescent="0.25">
      <c r="A34416" t="str">
        <f>"4111496"</f>
        <v>4111496</v>
      </c>
      <c r="B34416" t="s">
        <v>23694</v>
      </c>
      <c r="C34416" t="s">
        <v>484</v>
      </c>
      <c r="D34416" s="21" t="s">
        <v>34</v>
      </c>
      <c r="E34416" s="21" t="s">
        <v>35</v>
      </c>
      <c r="F34416">
        <v>4410697</v>
      </c>
      <c r="G34416" t="s">
        <v>2490</v>
      </c>
      <c r="H34416" s="21">
        <v>500</v>
      </c>
    </row>
    <row r="34417" spans="1:8" customFormat="1" x14ac:dyDescent="0.25">
      <c r="A34417" t="str">
        <f>"3532088"</f>
        <v>3532088</v>
      </c>
      <c r="B34417" t="s">
        <v>3794</v>
      </c>
      <c r="C34417" t="s">
        <v>60</v>
      </c>
      <c r="D34417" s="21" t="s">
        <v>34</v>
      </c>
      <c r="E34417" s="21" t="s">
        <v>71</v>
      </c>
      <c r="F34417">
        <v>3350060</v>
      </c>
      <c r="G34417" t="s">
        <v>38</v>
      </c>
      <c r="H34417" s="21">
        <v>500</v>
      </c>
    </row>
    <row r="34418" spans="1:8" customFormat="1" x14ac:dyDescent="0.25">
      <c r="A34418" t="str">
        <f>"5729344"</f>
        <v>5729344</v>
      </c>
      <c r="B34418" t="s">
        <v>24150</v>
      </c>
      <c r="C34418" t="s">
        <v>267</v>
      </c>
      <c r="D34418" s="21" t="s">
        <v>34</v>
      </c>
      <c r="E34418" s="21" t="s">
        <v>71</v>
      </c>
      <c r="F34418">
        <v>6570107</v>
      </c>
      <c r="G34418" t="s">
        <v>5598</v>
      </c>
      <c r="H34418" s="21">
        <v>500</v>
      </c>
    </row>
    <row r="34419" spans="1:8" customFormat="1" x14ac:dyDescent="0.25">
      <c r="A34419" t="str">
        <f>"246480"</f>
        <v>246480</v>
      </c>
      <c r="B34419" t="s">
        <v>10540</v>
      </c>
      <c r="C34419" t="s">
        <v>236</v>
      </c>
      <c r="D34419" s="21" t="s">
        <v>34</v>
      </c>
      <c r="E34419" s="21" t="s">
        <v>1089</v>
      </c>
      <c r="F34419">
        <v>10330004</v>
      </c>
      <c r="G34419" t="s">
        <v>525</v>
      </c>
      <c r="H34419" s="21">
        <v>500</v>
      </c>
    </row>
    <row r="34420" spans="1:8" customFormat="1" x14ac:dyDescent="0.25">
      <c r="A34420" t="str">
        <f>"286031"</f>
        <v>286031</v>
      </c>
      <c r="B34420" t="s">
        <v>1661</v>
      </c>
      <c r="C34420" t="s">
        <v>2276</v>
      </c>
      <c r="D34420" s="21" t="s">
        <v>34</v>
      </c>
      <c r="E34420" s="21" t="s">
        <v>254</v>
      </c>
      <c r="F34420">
        <v>4280705</v>
      </c>
      <c r="G34420" t="s">
        <v>4088</v>
      </c>
      <c r="H34420" s="21">
        <v>500</v>
      </c>
    </row>
    <row r="34421" spans="1:8" customFormat="1" x14ac:dyDescent="0.25">
      <c r="A34421" t="str">
        <f>"5975648"</f>
        <v>5975648</v>
      </c>
      <c r="B34421" t="s">
        <v>12849</v>
      </c>
      <c r="C34421" t="s">
        <v>598</v>
      </c>
      <c r="D34421" s="21" t="s">
        <v>34</v>
      </c>
      <c r="E34421" s="21" t="s">
        <v>1089</v>
      </c>
      <c r="F34421">
        <v>7590068</v>
      </c>
      <c r="G34421" t="s">
        <v>1005</v>
      </c>
      <c r="H34421" s="21">
        <v>500</v>
      </c>
    </row>
    <row r="34422" spans="1:8" customFormat="1" x14ac:dyDescent="0.25">
      <c r="A34422" t="str">
        <f>"9F5481"</f>
        <v>9F5481</v>
      </c>
      <c r="B34422" t="s">
        <v>7716</v>
      </c>
      <c r="C34422" t="s">
        <v>2904</v>
      </c>
      <c r="D34422" s="21" t="s">
        <v>34</v>
      </c>
      <c r="E34422" s="21" t="s">
        <v>71</v>
      </c>
      <c r="F34422" t="s">
        <v>2591</v>
      </c>
      <c r="G34422" t="s">
        <v>2592</v>
      </c>
      <c r="H34422" s="21">
        <v>500</v>
      </c>
    </row>
    <row r="34423" spans="1:8" customFormat="1" x14ac:dyDescent="0.25">
      <c r="A34423" t="str">
        <f>"363201"</f>
        <v>363201</v>
      </c>
      <c r="B34423" t="s">
        <v>671</v>
      </c>
      <c r="C34423" t="s">
        <v>1146</v>
      </c>
      <c r="D34423" s="21" t="s">
        <v>34</v>
      </c>
      <c r="E34423" s="21" t="s">
        <v>254</v>
      </c>
      <c r="F34423">
        <v>4360454</v>
      </c>
      <c r="G34423" t="s">
        <v>637</v>
      </c>
      <c r="H34423" s="21">
        <v>500</v>
      </c>
    </row>
    <row r="34424" spans="1:8" customFormat="1" x14ac:dyDescent="0.25">
      <c r="A34424" t="str">
        <f>"6214235"</f>
        <v>6214235</v>
      </c>
      <c r="B34424" t="s">
        <v>17188</v>
      </c>
      <c r="C34424" t="s">
        <v>33</v>
      </c>
      <c r="D34424" s="21" t="s">
        <v>34</v>
      </c>
      <c r="E34424" s="21" t="s">
        <v>71</v>
      </c>
      <c r="F34424">
        <v>7620051</v>
      </c>
      <c r="G34424" t="s">
        <v>2741</v>
      </c>
      <c r="H34424" s="21">
        <v>500</v>
      </c>
    </row>
    <row r="34425" spans="1:8" customFormat="1" x14ac:dyDescent="0.25">
      <c r="A34425" t="str">
        <f>"8312063"</f>
        <v>8312063</v>
      </c>
      <c r="B34425" t="s">
        <v>22634</v>
      </c>
      <c r="C34425" t="s">
        <v>33</v>
      </c>
      <c r="D34425" s="21" t="s">
        <v>34</v>
      </c>
      <c r="E34425" s="21" t="s">
        <v>35</v>
      </c>
      <c r="F34425">
        <v>13830092</v>
      </c>
      <c r="G34425" t="s">
        <v>3632</v>
      </c>
      <c r="H34425" s="21">
        <v>500</v>
      </c>
    </row>
    <row r="34426" spans="1:8" customFormat="1" x14ac:dyDescent="0.25">
      <c r="A34426" t="str">
        <f>"364100"</f>
        <v>364100</v>
      </c>
      <c r="B34426" t="s">
        <v>8853</v>
      </c>
      <c r="C34426" t="s">
        <v>4842</v>
      </c>
      <c r="D34426" s="21" t="s">
        <v>34</v>
      </c>
      <c r="E34426" s="21" t="s">
        <v>1089</v>
      </c>
      <c r="F34426">
        <v>4360605</v>
      </c>
      <c r="G34426" t="s">
        <v>6003</v>
      </c>
      <c r="H34426" s="21">
        <v>500</v>
      </c>
    </row>
    <row r="34427" spans="1:8" customFormat="1" x14ac:dyDescent="0.25">
      <c r="A34427" t="str">
        <f>"4220253"</f>
        <v>4220253</v>
      </c>
      <c r="B34427" t="s">
        <v>18403</v>
      </c>
      <c r="C34427" t="s">
        <v>305</v>
      </c>
      <c r="D34427" s="21" t="s">
        <v>34</v>
      </c>
      <c r="E34427" s="21" t="s">
        <v>35</v>
      </c>
      <c r="F34427">
        <v>1420237</v>
      </c>
      <c r="G34427" t="s">
        <v>8284</v>
      </c>
      <c r="H34427" s="21">
        <v>500</v>
      </c>
    </row>
    <row r="34428" spans="1:8" customFormat="1" x14ac:dyDescent="0.25">
      <c r="A34428" t="str">
        <f>"4511421"</f>
        <v>4511421</v>
      </c>
      <c r="B34428" t="s">
        <v>23352</v>
      </c>
      <c r="C34428" t="s">
        <v>415</v>
      </c>
      <c r="D34428" s="21" t="s">
        <v>34</v>
      </c>
      <c r="E34428" s="21" t="s">
        <v>254</v>
      </c>
      <c r="F34428">
        <v>4450712</v>
      </c>
      <c r="G34428" t="s">
        <v>9449</v>
      </c>
      <c r="H34428" s="21">
        <v>500</v>
      </c>
    </row>
    <row r="34429" spans="1:8" customFormat="1" x14ac:dyDescent="0.25">
      <c r="A34429" t="str">
        <f>"5733504"</f>
        <v>5733504</v>
      </c>
      <c r="B34429" t="s">
        <v>765</v>
      </c>
      <c r="C34429" t="s">
        <v>198</v>
      </c>
      <c r="D34429" s="21" t="s">
        <v>34</v>
      </c>
      <c r="E34429" s="21" t="s">
        <v>254</v>
      </c>
      <c r="F34429">
        <v>6570190</v>
      </c>
      <c r="G34429" t="s">
        <v>622</v>
      </c>
      <c r="H34429" s="21">
        <v>500</v>
      </c>
    </row>
    <row r="34430" spans="1:8" customFormat="1" x14ac:dyDescent="0.25">
      <c r="A34430" t="str">
        <f>"359294"</f>
        <v>359294</v>
      </c>
      <c r="B34430" t="s">
        <v>23294</v>
      </c>
      <c r="C34430" t="s">
        <v>233</v>
      </c>
      <c r="D34430" s="21" t="s">
        <v>34</v>
      </c>
      <c r="E34430" s="21" t="s">
        <v>35</v>
      </c>
      <c r="F34430">
        <v>3350136</v>
      </c>
      <c r="G34430" t="s">
        <v>2773</v>
      </c>
      <c r="H34430" s="21">
        <v>500</v>
      </c>
    </row>
    <row r="34431" spans="1:8" customFormat="1" x14ac:dyDescent="0.25">
      <c r="A34431" t="str">
        <f>"3536933"</f>
        <v>3536933</v>
      </c>
      <c r="B34431" t="s">
        <v>10781</v>
      </c>
      <c r="C34431" t="s">
        <v>209</v>
      </c>
      <c r="D34431" s="21" t="s">
        <v>34</v>
      </c>
      <c r="E34431" s="21" t="s">
        <v>254</v>
      </c>
      <c r="F34431">
        <v>3350227</v>
      </c>
      <c r="G34431" t="s">
        <v>9187</v>
      </c>
      <c r="H34431" s="21">
        <v>500</v>
      </c>
    </row>
    <row r="34432" spans="1:8" customFormat="1" x14ac:dyDescent="0.25">
      <c r="A34432" t="str">
        <f>"7731995"</f>
        <v>7731995</v>
      </c>
      <c r="B34432" t="s">
        <v>14703</v>
      </c>
      <c r="C34432" t="s">
        <v>33</v>
      </c>
      <c r="D34432" s="21" t="s">
        <v>34</v>
      </c>
      <c r="E34432" s="21" t="s">
        <v>35</v>
      </c>
      <c r="F34432">
        <v>8770895</v>
      </c>
      <c r="G34432" t="s">
        <v>4795</v>
      </c>
      <c r="H34432" s="21">
        <v>500</v>
      </c>
    </row>
    <row r="34433" spans="1:8" customFormat="1" x14ac:dyDescent="0.25">
      <c r="A34433" t="str">
        <f>"5981357"</f>
        <v>5981357</v>
      </c>
      <c r="B34433" t="s">
        <v>28852</v>
      </c>
      <c r="C34433" t="s">
        <v>202</v>
      </c>
      <c r="D34433" s="21" t="s">
        <v>34</v>
      </c>
      <c r="E34433" s="21" t="s">
        <v>1089</v>
      </c>
      <c r="F34433">
        <v>7590392</v>
      </c>
      <c r="G34433" t="s">
        <v>154</v>
      </c>
      <c r="H34433" s="21">
        <v>500</v>
      </c>
    </row>
    <row r="34434" spans="1:8" customFormat="1" x14ac:dyDescent="0.25">
      <c r="A34434" t="str">
        <f>"5021034"</f>
        <v>5021034</v>
      </c>
      <c r="B34434" t="s">
        <v>28853</v>
      </c>
      <c r="C34434" t="s">
        <v>62</v>
      </c>
      <c r="D34434" s="21" t="s">
        <v>34</v>
      </c>
      <c r="E34434" s="21" t="s">
        <v>71</v>
      </c>
      <c r="F34434">
        <v>9500143</v>
      </c>
      <c r="G34434" t="s">
        <v>2884</v>
      </c>
      <c r="H34434" s="21">
        <v>500</v>
      </c>
    </row>
    <row r="34435" spans="1:8" customFormat="1" x14ac:dyDescent="0.25">
      <c r="A34435" t="str">
        <f>"0615197"</f>
        <v>0615197</v>
      </c>
      <c r="B34435" t="s">
        <v>12087</v>
      </c>
      <c r="C34435" t="s">
        <v>1539</v>
      </c>
      <c r="D34435" s="21" t="s">
        <v>34</v>
      </c>
      <c r="E34435" s="21" t="s">
        <v>254</v>
      </c>
      <c r="F34435">
        <v>13060085</v>
      </c>
      <c r="G34435" t="s">
        <v>2703</v>
      </c>
      <c r="H34435" s="21">
        <v>500</v>
      </c>
    </row>
    <row r="34436" spans="1:8" customFormat="1" x14ac:dyDescent="0.25">
      <c r="A34436" t="str">
        <f>"024417"</f>
        <v>024417</v>
      </c>
      <c r="B34436" t="s">
        <v>23526</v>
      </c>
      <c r="C34436" t="s">
        <v>239</v>
      </c>
      <c r="D34436" s="21" t="s">
        <v>34</v>
      </c>
      <c r="E34436" s="21" t="s">
        <v>1089</v>
      </c>
      <c r="F34436">
        <v>7020015</v>
      </c>
      <c r="G34436" t="s">
        <v>1289</v>
      </c>
      <c r="H34436" s="21">
        <v>500</v>
      </c>
    </row>
    <row r="34437" spans="1:8" customFormat="1" x14ac:dyDescent="0.25">
      <c r="A34437" t="str">
        <f>"812180"</f>
        <v>812180</v>
      </c>
      <c r="B34437" t="s">
        <v>28854</v>
      </c>
      <c r="C34437" t="s">
        <v>1819</v>
      </c>
      <c r="D34437" s="21" t="s">
        <v>34</v>
      </c>
      <c r="E34437" s="21" t="s">
        <v>35</v>
      </c>
      <c r="F34437">
        <v>11310123</v>
      </c>
      <c r="G34437" t="s">
        <v>3915</v>
      </c>
      <c r="H34437" s="21">
        <v>500</v>
      </c>
    </row>
    <row r="34438" spans="1:8" customFormat="1" x14ac:dyDescent="0.25">
      <c r="A34438" t="str">
        <f>"1317915"</f>
        <v>1317915</v>
      </c>
      <c r="B34438" t="s">
        <v>23529</v>
      </c>
      <c r="C34438" t="s">
        <v>114</v>
      </c>
      <c r="D34438" s="21" t="s">
        <v>34</v>
      </c>
      <c r="E34438" s="21" t="s">
        <v>71</v>
      </c>
      <c r="F34438">
        <v>13130138</v>
      </c>
      <c r="G34438" t="s">
        <v>5409</v>
      </c>
      <c r="H34438" s="21">
        <v>500</v>
      </c>
    </row>
    <row r="34439" spans="1:8" customFormat="1" x14ac:dyDescent="0.25">
      <c r="A34439" t="str">
        <f>"6942248"</f>
        <v>6942248</v>
      </c>
      <c r="B34439" t="s">
        <v>14596</v>
      </c>
      <c r="C34439" t="s">
        <v>267</v>
      </c>
      <c r="D34439" s="21" t="s">
        <v>34</v>
      </c>
      <c r="E34439" s="21" t="s">
        <v>254</v>
      </c>
      <c r="F34439">
        <v>1690220</v>
      </c>
      <c r="G34439" t="s">
        <v>16783</v>
      </c>
      <c r="H34439" s="21">
        <v>500</v>
      </c>
    </row>
    <row r="34440" spans="1:8" customFormat="1" x14ac:dyDescent="0.25">
      <c r="A34440" t="str">
        <f>"3340414"</f>
        <v>3340414</v>
      </c>
      <c r="B34440" t="s">
        <v>23985</v>
      </c>
      <c r="C34440" t="s">
        <v>462</v>
      </c>
      <c r="D34440" s="21" t="s">
        <v>34</v>
      </c>
      <c r="E34440" s="21" t="s">
        <v>71</v>
      </c>
      <c r="F34440">
        <v>10330067</v>
      </c>
      <c r="G34440" t="s">
        <v>125</v>
      </c>
      <c r="H34440" s="21">
        <v>500</v>
      </c>
    </row>
    <row r="34441" spans="1:8" customFormat="1" x14ac:dyDescent="0.25">
      <c r="A34441" t="str">
        <f>"4913675"</f>
        <v>4913675</v>
      </c>
      <c r="B34441" t="s">
        <v>1391</v>
      </c>
      <c r="C34441" t="s">
        <v>3073</v>
      </c>
      <c r="D34441" s="21" t="s">
        <v>34</v>
      </c>
      <c r="E34441" s="21" t="s">
        <v>1089</v>
      </c>
      <c r="F34441">
        <v>12490093</v>
      </c>
      <c r="G34441" t="s">
        <v>16868</v>
      </c>
      <c r="H34441" s="21">
        <v>500</v>
      </c>
    </row>
    <row r="34442" spans="1:8" customFormat="1" x14ac:dyDescent="0.25">
      <c r="A34442" t="str">
        <f>"9126512"</f>
        <v>9126512</v>
      </c>
      <c r="B34442" t="s">
        <v>556</v>
      </c>
      <c r="C34442" t="s">
        <v>249</v>
      </c>
      <c r="D34442" s="21" t="s">
        <v>34</v>
      </c>
      <c r="E34442" s="21" t="s">
        <v>254</v>
      </c>
      <c r="F34442">
        <v>8910918</v>
      </c>
      <c r="G34442" t="s">
        <v>332</v>
      </c>
      <c r="H34442" s="21">
        <v>500</v>
      </c>
    </row>
    <row r="34443" spans="1:8" customFormat="1" x14ac:dyDescent="0.25">
      <c r="A34443" t="str">
        <f>"7624506"</f>
        <v>7624506</v>
      </c>
      <c r="B34443" t="s">
        <v>23506</v>
      </c>
      <c r="C34443" t="s">
        <v>124</v>
      </c>
      <c r="D34443" s="21" t="s">
        <v>34</v>
      </c>
      <c r="E34443" s="21" t="s">
        <v>71</v>
      </c>
      <c r="F34443">
        <v>9760286</v>
      </c>
      <c r="G34443" t="s">
        <v>11559</v>
      </c>
      <c r="H34443" s="21">
        <v>500</v>
      </c>
    </row>
    <row r="34444" spans="1:8" customFormat="1" x14ac:dyDescent="0.25">
      <c r="A34444" t="str">
        <f>"1611723"</f>
        <v>1611723</v>
      </c>
      <c r="B34444" t="s">
        <v>18666</v>
      </c>
      <c r="C34444" t="s">
        <v>202</v>
      </c>
      <c r="D34444" s="21" t="s">
        <v>34</v>
      </c>
      <c r="E34444" s="21" t="s">
        <v>71</v>
      </c>
      <c r="F34444">
        <v>10160237</v>
      </c>
      <c r="G34444" t="s">
        <v>8818</v>
      </c>
      <c r="H34444" s="21">
        <v>500</v>
      </c>
    </row>
    <row r="34445" spans="1:8" customFormat="1" x14ac:dyDescent="0.25">
      <c r="A34445" t="str">
        <f>"3423370"</f>
        <v>3423370</v>
      </c>
      <c r="B34445" t="s">
        <v>24700</v>
      </c>
      <c r="C34445" t="s">
        <v>656</v>
      </c>
      <c r="D34445" s="21" t="s">
        <v>34</v>
      </c>
      <c r="E34445" s="21" t="s">
        <v>35</v>
      </c>
      <c r="F34445">
        <v>11340042</v>
      </c>
      <c r="G34445" t="s">
        <v>13840</v>
      </c>
      <c r="H34445" s="21">
        <v>500</v>
      </c>
    </row>
    <row r="34446" spans="1:8" customFormat="1" x14ac:dyDescent="0.25">
      <c r="A34446" t="str">
        <f>"6211966"</f>
        <v>6211966</v>
      </c>
      <c r="B34446" t="s">
        <v>23171</v>
      </c>
      <c r="C34446" t="s">
        <v>2520</v>
      </c>
      <c r="D34446" s="21" t="s">
        <v>34</v>
      </c>
      <c r="E34446" s="21" t="s">
        <v>254</v>
      </c>
      <c r="F34446">
        <v>7620139</v>
      </c>
      <c r="G34446" t="s">
        <v>2061</v>
      </c>
      <c r="H34446" s="21">
        <v>500</v>
      </c>
    </row>
    <row r="34447" spans="1:8" customFormat="1" x14ac:dyDescent="0.25">
      <c r="A34447" t="str">
        <f>"61246"</f>
        <v>61246</v>
      </c>
      <c r="B34447" t="s">
        <v>20204</v>
      </c>
      <c r="C34447" t="s">
        <v>3784</v>
      </c>
      <c r="D34447" s="21" t="s">
        <v>34</v>
      </c>
      <c r="E34447" s="21" t="s">
        <v>6185</v>
      </c>
      <c r="F34447">
        <v>9610011</v>
      </c>
      <c r="G34447" t="s">
        <v>6031</v>
      </c>
      <c r="H34447" s="21">
        <v>500</v>
      </c>
    </row>
    <row r="34448" spans="1:8" customFormat="1" x14ac:dyDescent="0.25">
      <c r="A34448" t="str">
        <f>"9316305"</f>
        <v>9316305</v>
      </c>
      <c r="B34448" t="s">
        <v>12178</v>
      </c>
      <c r="C34448" t="s">
        <v>249</v>
      </c>
      <c r="D34448" s="21" t="s">
        <v>34</v>
      </c>
      <c r="E34448" s="21" t="s">
        <v>35</v>
      </c>
      <c r="F34448">
        <v>8931358</v>
      </c>
      <c r="G34448" t="s">
        <v>560</v>
      </c>
      <c r="H34448" s="21">
        <v>500</v>
      </c>
    </row>
    <row r="34449" spans="1:8" customFormat="1" x14ac:dyDescent="0.25">
      <c r="A34449" t="str">
        <f>"716045"</f>
        <v>716045</v>
      </c>
      <c r="B34449" t="s">
        <v>23140</v>
      </c>
      <c r="C34449" t="s">
        <v>209</v>
      </c>
      <c r="D34449" s="21" t="s">
        <v>34</v>
      </c>
      <c r="E34449" s="21" t="s">
        <v>35</v>
      </c>
      <c r="F34449">
        <v>2710051</v>
      </c>
      <c r="G34449" t="s">
        <v>4811</v>
      </c>
      <c r="H34449" s="21">
        <v>500</v>
      </c>
    </row>
    <row r="34450" spans="1:8" customFormat="1" x14ac:dyDescent="0.25">
      <c r="A34450" t="str">
        <f>"777287"</f>
        <v>777287</v>
      </c>
      <c r="B34450" t="s">
        <v>23322</v>
      </c>
      <c r="C34450" t="s">
        <v>3010</v>
      </c>
      <c r="D34450" s="21" t="s">
        <v>34</v>
      </c>
      <c r="E34450" s="21" t="s">
        <v>254</v>
      </c>
      <c r="F34450">
        <v>8940326</v>
      </c>
      <c r="G34450" t="s">
        <v>659</v>
      </c>
      <c r="H34450" s="21">
        <v>500</v>
      </c>
    </row>
    <row r="34451" spans="1:8" customFormat="1" x14ac:dyDescent="0.25">
      <c r="A34451" t="str">
        <f>"9517899"</f>
        <v>9517899</v>
      </c>
      <c r="B34451" t="s">
        <v>9530</v>
      </c>
      <c r="C34451" t="s">
        <v>28855</v>
      </c>
      <c r="D34451" s="21" t="s">
        <v>34</v>
      </c>
      <c r="E34451" s="21" t="s">
        <v>254</v>
      </c>
      <c r="F34451">
        <v>8950917</v>
      </c>
      <c r="G34451" t="s">
        <v>3823</v>
      </c>
      <c r="H34451" s="21">
        <v>500</v>
      </c>
    </row>
    <row r="34452" spans="1:8" customFormat="1" x14ac:dyDescent="0.25">
      <c r="A34452" t="str">
        <f>"704325"</f>
        <v>704325</v>
      </c>
      <c r="B34452" t="s">
        <v>22895</v>
      </c>
      <c r="C34452" t="s">
        <v>130</v>
      </c>
      <c r="D34452" s="21" t="s">
        <v>34</v>
      </c>
      <c r="E34452" s="21" t="s">
        <v>35</v>
      </c>
      <c r="F34452">
        <v>2700046</v>
      </c>
      <c r="G34452" t="s">
        <v>12717</v>
      </c>
      <c r="H34452" s="21">
        <v>500</v>
      </c>
    </row>
    <row r="34453" spans="1:8" customFormat="1" x14ac:dyDescent="0.25">
      <c r="A34453" t="str">
        <f>"4220363"</f>
        <v>4220363</v>
      </c>
      <c r="B34453" t="s">
        <v>28856</v>
      </c>
      <c r="C34453" t="s">
        <v>462</v>
      </c>
      <c r="D34453" s="21" t="s">
        <v>34</v>
      </c>
      <c r="E34453" s="21" t="s">
        <v>71</v>
      </c>
      <c r="F34453">
        <v>1420017</v>
      </c>
      <c r="G34453" t="s">
        <v>1296</v>
      </c>
      <c r="H34453" s="21">
        <v>500</v>
      </c>
    </row>
    <row r="34454" spans="1:8" customFormat="1" x14ac:dyDescent="0.25">
      <c r="A34454" t="str">
        <f>"7114399"</f>
        <v>7114399</v>
      </c>
      <c r="B34454" t="s">
        <v>28857</v>
      </c>
      <c r="C34454" t="s">
        <v>1803</v>
      </c>
      <c r="D34454" s="21" t="s">
        <v>34</v>
      </c>
      <c r="E34454" s="21" t="s">
        <v>35</v>
      </c>
      <c r="F34454">
        <v>2710083</v>
      </c>
      <c r="G34454" t="s">
        <v>17590</v>
      </c>
      <c r="H34454" s="21">
        <v>500</v>
      </c>
    </row>
    <row r="34455" spans="1:8" customFormat="1" x14ac:dyDescent="0.25">
      <c r="A34455" t="str">
        <f>"6220413"</f>
        <v>6220413</v>
      </c>
      <c r="B34455" t="s">
        <v>23711</v>
      </c>
      <c r="C34455" t="s">
        <v>209</v>
      </c>
      <c r="D34455" s="21" t="s">
        <v>34</v>
      </c>
      <c r="E34455" s="21" t="s">
        <v>71</v>
      </c>
      <c r="F34455">
        <v>7620058</v>
      </c>
      <c r="G34455" t="s">
        <v>602</v>
      </c>
      <c r="H34455" s="21">
        <v>500</v>
      </c>
    </row>
    <row r="34456" spans="1:8" customFormat="1" x14ac:dyDescent="0.25">
      <c r="A34456" t="str">
        <f>"3114209"</f>
        <v>3114209</v>
      </c>
      <c r="B34456" t="s">
        <v>23383</v>
      </c>
      <c r="C34456" t="s">
        <v>399</v>
      </c>
      <c r="D34456" s="21" t="s">
        <v>34</v>
      </c>
      <c r="E34456" s="21" t="s">
        <v>254</v>
      </c>
      <c r="F34456">
        <v>11310076</v>
      </c>
      <c r="G34456" t="s">
        <v>5782</v>
      </c>
      <c r="H34456" s="21">
        <v>500</v>
      </c>
    </row>
    <row r="34457" spans="1:8" customFormat="1" x14ac:dyDescent="0.25">
      <c r="A34457" t="str">
        <f>"5619758"</f>
        <v>5619758</v>
      </c>
      <c r="B34457" t="s">
        <v>12641</v>
      </c>
      <c r="C34457" t="s">
        <v>121</v>
      </c>
      <c r="D34457" s="21" t="s">
        <v>34</v>
      </c>
      <c r="E34457" s="21" t="s">
        <v>71</v>
      </c>
      <c r="F34457">
        <v>3560034</v>
      </c>
      <c r="G34457" t="s">
        <v>2220</v>
      </c>
      <c r="H34457" s="21">
        <v>500</v>
      </c>
    </row>
    <row r="34458" spans="1:8" customFormat="1" x14ac:dyDescent="0.25">
      <c r="A34458" t="str">
        <f>"461467"</f>
        <v>461467</v>
      </c>
      <c r="B34458" t="s">
        <v>6609</v>
      </c>
      <c r="C34458" t="s">
        <v>1146</v>
      </c>
      <c r="D34458" s="21" t="s">
        <v>34</v>
      </c>
      <c r="E34458" s="21" t="s">
        <v>254</v>
      </c>
      <c r="F34458">
        <v>11460023</v>
      </c>
      <c r="G34458" t="s">
        <v>5430</v>
      </c>
      <c r="H34458" s="21">
        <v>500</v>
      </c>
    </row>
    <row r="34459" spans="1:8" customFormat="1" x14ac:dyDescent="0.25">
      <c r="A34459" t="str">
        <f>"246766"</f>
        <v>246766</v>
      </c>
      <c r="B34459" t="s">
        <v>13630</v>
      </c>
      <c r="C34459" t="s">
        <v>1841</v>
      </c>
      <c r="D34459" s="21" t="s">
        <v>34</v>
      </c>
      <c r="E34459" s="21" t="s">
        <v>71</v>
      </c>
      <c r="F34459">
        <v>10240005</v>
      </c>
      <c r="G34459" t="s">
        <v>2496</v>
      </c>
      <c r="H34459" s="21">
        <v>500</v>
      </c>
    </row>
    <row r="34460" spans="1:8" customFormat="1" x14ac:dyDescent="0.25">
      <c r="A34460" t="str">
        <f>"9F5552"</f>
        <v>9F5552</v>
      </c>
      <c r="B34460" t="s">
        <v>23379</v>
      </c>
      <c r="C34460" t="s">
        <v>60</v>
      </c>
      <c r="D34460" s="21" t="s">
        <v>34</v>
      </c>
      <c r="E34460" s="21" t="s">
        <v>35</v>
      </c>
      <c r="F34460" t="s">
        <v>22850</v>
      </c>
      <c r="G34460" t="s">
        <v>22851</v>
      </c>
      <c r="H34460" s="21">
        <v>500</v>
      </c>
    </row>
    <row r="34461" spans="1:8" customFormat="1" x14ac:dyDescent="0.25">
      <c r="A34461" t="str">
        <f>"7523681"</f>
        <v>7523681</v>
      </c>
      <c r="B34461" t="s">
        <v>23953</v>
      </c>
      <c r="C34461" t="s">
        <v>139</v>
      </c>
      <c r="D34461" s="21" t="s">
        <v>34</v>
      </c>
      <c r="E34461" s="21" t="s">
        <v>35</v>
      </c>
      <c r="F34461">
        <v>8751163</v>
      </c>
      <c r="G34461" t="s">
        <v>80</v>
      </c>
      <c r="H34461" s="21">
        <v>500</v>
      </c>
    </row>
    <row r="34462" spans="1:8" customFormat="1" x14ac:dyDescent="0.25">
      <c r="A34462" t="str">
        <f>"014970"</f>
        <v>014970</v>
      </c>
      <c r="B34462" t="s">
        <v>5955</v>
      </c>
      <c r="C34462" t="s">
        <v>209</v>
      </c>
      <c r="D34462" s="21" t="s">
        <v>34</v>
      </c>
      <c r="E34462" s="21" t="s">
        <v>71</v>
      </c>
      <c r="F34462">
        <v>1010061</v>
      </c>
      <c r="G34462" t="s">
        <v>9290</v>
      </c>
      <c r="H34462" s="21">
        <v>500</v>
      </c>
    </row>
    <row r="34463" spans="1:8" customFormat="1" x14ac:dyDescent="0.25">
      <c r="A34463" t="str">
        <f>"407878"</f>
        <v>407878</v>
      </c>
      <c r="B34463" t="s">
        <v>28858</v>
      </c>
      <c r="C34463" t="s">
        <v>381</v>
      </c>
      <c r="D34463" s="21" t="s">
        <v>34</v>
      </c>
      <c r="E34463" s="21" t="s">
        <v>1089</v>
      </c>
      <c r="F34463">
        <v>10400004</v>
      </c>
      <c r="G34463" t="s">
        <v>2929</v>
      </c>
      <c r="H34463" s="21">
        <v>500</v>
      </c>
    </row>
    <row r="34464" spans="1:8" customFormat="1" x14ac:dyDescent="0.25">
      <c r="A34464" t="str">
        <f>"1321767"</f>
        <v>1321767</v>
      </c>
      <c r="B34464" t="s">
        <v>28859</v>
      </c>
      <c r="C34464" t="s">
        <v>151</v>
      </c>
      <c r="D34464" s="21" t="s">
        <v>34</v>
      </c>
      <c r="E34464" s="21" t="s">
        <v>35</v>
      </c>
      <c r="F34464">
        <v>13130148</v>
      </c>
      <c r="G34464" t="s">
        <v>12894</v>
      </c>
      <c r="H34464" s="21">
        <v>500</v>
      </c>
    </row>
    <row r="34465" spans="1:8" customFormat="1" x14ac:dyDescent="0.25">
      <c r="A34465" t="str">
        <f>"7732291"</f>
        <v>7732291</v>
      </c>
      <c r="B34465" t="s">
        <v>13091</v>
      </c>
      <c r="C34465" t="s">
        <v>3078</v>
      </c>
      <c r="D34465" s="21" t="s">
        <v>34</v>
      </c>
      <c r="E34465" s="21" t="s">
        <v>35</v>
      </c>
      <c r="F34465">
        <v>8771446</v>
      </c>
      <c r="G34465" t="s">
        <v>830</v>
      </c>
      <c r="H34465" s="21">
        <v>500</v>
      </c>
    </row>
    <row r="34466" spans="1:8" customFormat="1" x14ac:dyDescent="0.25">
      <c r="A34466" t="str">
        <f>"7641549"</f>
        <v>7641549</v>
      </c>
      <c r="B34466" t="s">
        <v>28860</v>
      </c>
      <c r="C34466" t="s">
        <v>269</v>
      </c>
      <c r="D34466" s="21" t="s">
        <v>34</v>
      </c>
      <c r="E34466" s="21" t="s">
        <v>71</v>
      </c>
      <c r="F34466">
        <v>9760319</v>
      </c>
      <c r="G34466" t="s">
        <v>3051</v>
      </c>
      <c r="H34466" s="21">
        <v>500</v>
      </c>
    </row>
    <row r="34467" spans="1:8" customFormat="1" x14ac:dyDescent="0.25">
      <c r="A34467" t="str">
        <f>"9450490"</f>
        <v>9450490</v>
      </c>
      <c r="B34467" t="s">
        <v>19413</v>
      </c>
      <c r="C34467" t="s">
        <v>415</v>
      </c>
      <c r="D34467" s="21" t="s">
        <v>34</v>
      </c>
      <c r="E34467" s="21" t="s">
        <v>254</v>
      </c>
      <c r="F34467">
        <v>8940096</v>
      </c>
      <c r="G34467" t="s">
        <v>5453</v>
      </c>
      <c r="H34467" s="21">
        <v>500</v>
      </c>
    </row>
    <row r="34468" spans="1:8" customFormat="1" x14ac:dyDescent="0.25">
      <c r="A34468" t="str">
        <f>"36658"</f>
        <v>36658</v>
      </c>
      <c r="B34468" t="s">
        <v>23306</v>
      </c>
      <c r="C34468" t="s">
        <v>263</v>
      </c>
      <c r="D34468" s="21" t="s">
        <v>34</v>
      </c>
      <c r="E34468" s="21" t="s">
        <v>1089</v>
      </c>
      <c r="F34468">
        <v>4360481</v>
      </c>
      <c r="G34468" t="s">
        <v>12957</v>
      </c>
      <c r="H34468" s="21">
        <v>500</v>
      </c>
    </row>
    <row r="34469" spans="1:8" customFormat="1" x14ac:dyDescent="0.25">
      <c r="A34469" t="str">
        <f>"593504"</f>
        <v>593504</v>
      </c>
      <c r="B34469" t="s">
        <v>6868</v>
      </c>
      <c r="C34469" t="s">
        <v>4721</v>
      </c>
      <c r="D34469" s="21" t="s">
        <v>34</v>
      </c>
      <c r="E34469" s="21" t="s">
        <v>254</v>
      </c>
      <c r="F34469">
        <v>7590204</v>
      </c>
      <c r="G34469" t="s">
        <v>696</v>
      </c>
      <c r="H34469" s="21">
        <v>500</v>
      </c>
    </row>
    <row r="34470" spans="1:8" customFormat="1" x14ac:dyDescent="0.25">
      <c r="A34470" t="str">
        <f>"3521113"</f>
        <v>3521113</v>
      </c>
      <c r="B34470" t="s">
        <v>1892</v>
      </c>
      <c r="C34470" t="s">
        <v>236</v>
      </c>
      <c r="D34470" s="21" t="s">
        <v>34</v>
      </c>
      <c r="E34470" s="21" t="s">
        <v>1089</v>
      </c>
      <c r="F34470">
        <v>3350049</v>
      </c>
      <c r="G34470" t="s">
        <v>1475</v>
      </c>
      <c r="H34470" s="21">
        <v>500</v>
      </c>
    </row>
    <row r="34471" spans="1:8" customFormat="1" x14ac:dyDescent="0.25">
      <c r="A34471" t="str">
        <f>"5734429"</f>
        <v>5734429</v>
      </c>
      <c r="B34471" t="s">
        <v>4494</v>
      </c>
      <c r="C34471" t="s">
        <v>87</v>
      </c>
      <c r="D34471" s="21" t="s">
        <v>34</v>
      </c>
      <c r="E34471" s="21" t="s">
        <v>35</v>
      </c>
      <c r="F34471">
        <v>6570111</v>
      </c>
      <c r="G34471" t="s">
        <v>99</v>
      </c>
      <c r="H34471" s="21">
        <v>500</v>
      </c>
    </row>
    <row r="34472" spans="1:8" customFormat="1" x14ac:dyDescent="0.25">
      <c r="A34472" t="str">
        <f>"181161"</f>
        <v>181161</v>
      </c>
      <c r="B34472" t="s">
        <v>466</v>
      </c>
      <c r="C34472" t="s">
        <v>415</v>
      </c>
      <c r="D34472" s="21" t="s">
        <v>34</v>
      </c>
      <c r="E34472" s="21" t="s">
        <v>254</v>
      </c>
      <c r="F34472">
        <v>4180057</v>
      </c>
      <c r="G34472" t="s">
        <v>9021</v>
      </c>
      <c r="H34472" s="21">
        <v>500</v>
      </c>
    </row>
    <row r="34473" spans="1:8" customFormat="1" x14ac:dyDescent="0.25">
      <c r="A34473" t="str">
        <f>"781827"</f>
        <v>781827</v>
      </c>
      <c r="B34473" t="s">
        <v>8105</v>
      </c>
      <c r="C34473" t="s">
        <v>415</v>
      </c>
      <c r="D34473" s="21" t="s">
        <v>34</v>
      </c>
      <c r="E34473" s="21" t="s">
        <v>254</v>
      </c>
      <c r="F34473">
        <v>8780890</v>
      </c>
      <c r="G34473" t="s">
        <v>6456</v>
      </c>
      <c r="H34473" s="21">
        <v>500</v>
      </c>
    </row>
    <row r="34474" spans="1:8" customFormat="1" x14ac:dyDescent="0.25">
      <c r="A34474" t="str">
        <f>"0812543"</f>
        <v>0812543</v>
      </c>
      <c r="B34474" t="s">
        <v>4443</v>
      </c>
      <c r="C34474" t="s">
        <v>2100</v>
      </c>
      <c r="D34474" s="21" t="s">
        <v>34</v>
      </c>
      <c r="E34474" s="21" t="s">
        <v>1089</v>
      </c>
      <c r="F34474">
        <v>6080092</v>
      </c>
      <c r="G34474" t="s">
        <v>7668</v>
      </c>
      <c r="H34474" s="21">
        <v>500</v>
      </c>
    </row>
    <row r="34475" spans="1:8" customFormat="1" x14ac:dyDescent="0.25">
      <c r="A34475" t="str">
        <f>"7513154"</f>
        <v>7513154</v>
      </c>
      <c r="B34475" t="s">
        <v>2243</v>
      </c>
      <c r="C34475" t="s">
        <v>2479</v>
      </c>
      <c r="D34475" s="21" t="s">
        <v>34</v>
      </c>
      <c r="E34475" s="21" t="s">
        <v>254</v>
      </c>
      <c r="F34475">
        <v>8920309</v>
      </c>
      <c r="G34475" t="s">
        <v>1894</v>
      </c>
      <c r="H34475" s="21">
        <v>500</v>
      </c>
    </row>
    <row r="34476" spans="1:8" customFormat="1" x14ac:dyDescent="0.25">
      <c r="A34476" t="str">
        <f>"039369"</f>
        <v>039369</v>
      </c>
      <c r="B34476" t="s">
        <v>16133</v>
      </c>
      <c r="C34476" t="s">
        <v>3073</v>
      </c>
      <c r="D34476" s="21" t="s">
        <v>34</v>
      </c>
      <c r="E34476" s="21" t="s">
        <v>254</v>
      </c>
      <c r="F34476">
        <v>1030094</v>
      </c>
      <c r="G34476" t="s">
        <v>8523</v>
      </c>
      <c r="H34476" s="21">
        <v>500</v>
      </c>
    </row>
    <row r="34477" spans="1:8" customFormat="1" x14ac:dyDescent="0.25">
      <c r="A34477" t="str">
        <f>"9429100"</f>
        <v>9429100</v>
      </c>
      <c r="B34477" t="s">
        <v>22683</v>
      </c>
      <c r="C34477" t="s">
        <v>98</v>
      </c>
      <c r="D34477" s="21" t="s">
        <v>34</v>
      </c>
      <c r="E34477" s="21" t="s">
        <v>71</v>
      </c>
      <c r="F34477">
        <v>8940455</v>
      </c>
      <c r="G34477" t="s">
        <v>7944</v>
      </c>
      <c r="H34477" s="21">
        <v>500</v>
      </c>
    </row>
    <row r="34478" spans="1:8" customFormat="1" x14ac:dyDescent="0.25">
      <c r="A34478" t="str">
        <f>"476704"</f>
        <v>476704</v>
      </c>
      <c r="B34478" t="s">
        <v>23539</v>
      </c>
      <c r="C34478" t="s">
        <v>1142</v>
      </c>
      <c r="D34478" s="21" t="s">
        <v>34</v>
      </c>
      <c r="E34478" s="21" t="s">
        <v>71</v>
      </c>
      <c r="F34478">
        <v>10470005</v>
      </c>
      <c r="G34478" t="s">
        <v>4216</v>
      </c>
      <c r="H34478" s="21">
        <v>500</v>
      </c>
    </row>
    <row r="34479" spans="1:8" customFormat="1" x14ac:dyDescent="0.25">
      <c r="A34479" t="str">
        <f>"7731691"</f>
        <v>7731691</v>
      </c>
      <c r="B34479" t="s">
        <v>28861</v>
      </c>
      <c r="C34479" t="s">
        <v>328</v>
      </c>
      <c r="D34479" s="21" t="s">
        <v>34</v>
      </c>
      <c r="E34479" s="21" t="s">
        <v>35</v>
      </c>
      <c r="F34479">
        <v>8771154</v>
      </c>
      <c r="G34479" t="s">
        <v>3625</v>
      </c>
      <c r="H34479" s="21">
        <v>500</v>
      </c>
    </row>
    <row r="34480" spans="1:8" customFormat="1" x14ac:dyDescent="0.25">
      <c r="A34480" t="str">
        <f>"8018"</f>
        <v>8018</v>
      </c>
      <c r="B34480" t="s">
        <v>9651</v>
      </c>
      <c r="C34480" t="s">
        <v>4623</v>
      </c>
      <c r="D34480" s="21" t="s">
        <v>34</v>
      </c>
      <c r="E34480" s="21" t="s">
        <v>254</v>
      </c>
      <c r="F34480">
        <v>7800001</v>
      </c>
      <c r="G34480" t="s">
        <v>176</v>
      </c>
      <c r="H34480" s="21">
        <v>500</v>
      </c>
    </row>
    <row r="34481" spans="1:8" customFormat="1" x14ac:dyDescent="0.25">
      <c r="A34481" t="str">
        <f>"138813"</f>
        <v>138813</v>
      </c>
      <c r="B34481" t="s">
        <v>6280</v>
      </c>
      <c r="C34481" t="s">
        <v>639</v>
      </c>
      <c r="D34481" s="21" t="s">
        <v>34</v>
      </c>
      <c r="E34481" s="21" t="s">
        <v>1089</v>
      </c>
      <c r="F34481">
        <v>13130145</v>
      </c>
      <c r="G34481" t="s">
        <v>21547</v>
      </c>
      <c r="H34481" s="21">
        <v>500</v>
      </c>
    </row>
    <row r="34482" spans="1:8" customFormat="1" x14ac:dyDescent="0.25">
      <c r="A34482" t="str">
        <f>"8511210"</f>
        <v>8511210</v>
      </c>
      <c r="B34482" t="s">
        <v>15449</v>
      </c>
      <c r="C34482" t="s">
        <v>3073</v>
      </c>
      <c r="D34482" s="21" t="s">
        <v>34</v>
      </c>
      <c r="E34482" s="21" t="s">
        <v>6185</v>
      </c>
      <c r="F34482">
        <v>12850063</v>
      </c>
      <c r="G34482" t="s">
        <v>10302</v>
      </c>
      <c r="H34482" s="21">
        <v>500</v>
      </c>
    </row>
    <row r="34483" spans="1:8" customFormat="1" x14ac:dyDescent="0.25">
      <c r="A34483" t="str">
        <f>"5976512"</f>
        <v>5976512</v>
      </c>
      <c r="B34483" t="s">
        <v>23626</v>
      </c>
      <c r="C34483" t="s">
        <v>130</v>
      </c>
      <c r="D34483" s="21" t="s">
        <v>34</v>
      </c>
      <c r="E34483" s="21" t="s">
        <v>71</v>
      </c>
      <c r="F34483">
        <v>7590141</v>
      </c>
      <c r="G34483" t="s">
        <v>21305</v>
      </c>
      <c r="H34483" s="21">
        <v>500</v>
      </c>
    </row>
    <row r="34484" spans="1:8" customFormat="1" x14ac:dyDescent="0.25">
      <c r="A34484" t="str">
        <f>"928420"</f>
        <v>928420</v>
      </c>
      <c r="B34484" t="s">
        <v>23298</v>
      </c>
      <c r="C34484" t="s">
        <v>288</v>
      </c>
      <c r="D34484" s="21" t="s">
        <v>34</v>
      </c>
      <c r="E34484" s="21" t="s">
        <v>35</v>
      </c>
      <c r="F34484">
        <v>8940975</v>
      </c>
      <c r="G34484" t="s">
        <v>7959</v>
      </c>
      <c r="H34484" s="21">
        <v>500</v>
      </c>
    </row>
    <row r="34485" spans="1:8" customFormat="1" x14ac:dyDescent="0.25">
      <c r="A34485" t="str">
        <f>"5983156"</f>
        <v>5983156</v>
      </c>
      <c r="B34485" t="s">
        <v>28862</v>
      </c>
      <c r="C34485" t="s">
        <v>462</v>
      </c>
      <c r="D34485" s="21" t="s">
        <v>34</v>
      </c>
      <c r="E34485" s="21" t="s">
        <v>254</v>
      </c>
      <c r="F34485">
        <v>7590122</v>
      </c>
      <c r="G34485" t="s">
        <v>5608</v>
      </c>
      <c r="H34485" s="21">
        <v>500</v>
      </c>
    </row>
    <row r="34486" spans="1:8" customFormat="1" x14ac:dyDescent="0.25">
      <c r="A34486" t="str">
        <f>"9D2241"</f>
        <v>9D2241</v>
      </c>
      <c r="B34486" t="s">
        <v>28863</v>
      </c>
      <c r="C34486" t="s">
        <v>412</v>
      </c>
      <c r="D34486" s="21" t="s">
        <v>34</v>
      </c>
      <c r="E34486" s="21" t="s">
        <v>1089</v>
      </c>
      <c r="F34486" t="s">
        <v>3911</v>
      </c>
      <c r="G34486" t="s">
        <v>3912</v>
      </c>
      <c r="H34486" s="21">
        <v>500</v>
      </c>
    </row>
    <row r="34487" spans="1:8" customFormat="1" x14ac:dyDescent="0.25">
      <c r="A34487" t="str">
        <f>"2619523"</f>
        <v>2619523</v>
      </c>
      <c r="B34487" t="s">
        <v>25965</v>
      </c>
      <c r="C34487" t="s">
        <v>1588</v>
      </c>
      <c r="D34487" s="21" t="s">
        <v>34</v>
      </c>
      <c r="E34487" s="21" t="s">
        <v>254</v>
      </c>
      <c r="F34487">
        <v>1260072</v>
      </c>
      <c r="G34487" t="s">
        <v>12420</v>
      </c>
      <c r="H34487" s="21">
        <v>500</v>
      </c>
    </row>
    <row r="34488" spans="1:8" customFormat="1" x14ac:dyDescent="0.25">
      <c r="A34488" t="str">
        <f>"4711641"</f>
        <v>4711641</v>
      </c>
      <c r="B34488" t="s">
        <v>1590</v>
      </c>
      <c r="C34488" t="s">
        <v>40</v>
      </c>
      <c r="D34488" s="21" t="s">
        <v>34</v>
      </c>
      <c r="E34488" s="21" t="s">
        <v>71</v>
      </c>
      <c r="F34488">
        <v>10470014</v>
      </c>
      <c r="G34488" t="s">
        <v>22811</v>
      </c>
      <c r="H34488" s="21">
        <v>500</v>
      </c>
    </row>
    <row r="34489" spans="1:8" customFormat="1" x14ac:dyDescent="0.25">
      <c r="A34489" t="str">
        <f>"7516539"</f>
        <v>7516539</v>
      </c>
      <c r="B34489" t="s">
        <v>22535</v>
      </c>
      <c r="C34489" t="s">
        <v>608</v>
      </c>
      <c r="D34489" s="21" t="s">
        <v>34</v>
      </c>
      <c r="E34489" s="21" t="s">
        <v>35</v>
      </c>
      <c r="F34489">
        <v>8751124</v>
      </c>
      <c r="G34489" t="s">
        <v>1481</v>
      </c>
      <c r="H34489" s="21">
        <v>500</v>
      </c>
    </row>
    <row r="34490" spans="1:8" customFormat="1" x14ac:dyDescent="0.25">
      <c r="A34490" t="str">
        <f>"3529921"</f>
        <v>3529921</v>
      </c>
      <c r="B34490" t="s">
        <v>5814</v>
      </c>
      <c r="C34490" t="s">
        <v>1119</v>
      </c>
      <c r="D34490" s="21" t="s">
        <v>34</v>
      </c>
      <c r="E34490" s="21" t="s">
        <v>254</v>
      </c>
      <c r="F34490">
        <v>3350215</v>
      </c>
      <c r="G34490" t="s">
        <v>20009</v>
      </c>
      <c r="H34490" s="21">
        <v>500</v>
      </c>
    </row>
    <row r="34491" spans="1:8" customFormat="1" x14ac:dyDescent="0.25">
      <c r="A34491" t="str">
        <f>"4217039"</f>
        <v>4217039</v>
      </c>
      <c r="B34491" t="s">
        <v>23153</v>
      </c>
      <c r="C34491" t="s">
        <v>288</v>
      </c>
      <c r="D34491" s="21" t="s">
        <v>34</v>
      </c>
      <c r="E34491" s="21" t="s">
        <v>35</v>
      </c>
      <c r="F34491">
        <v>1420010</v>
      </c>
      <c r="G34491" t="s">
        <v>1937</v>
      </c>
      <c r="H34491" s="21">
        <v>500</v>
      </c>
    </row>
    <row r="34492" spans="1:8" customFormat="1" x14ac:dyDescent="0.25">
      <c r="A34492" t="str">
        <f>"0812138"</f>
        <v>0812138</v>
      </c>
      <c r="B34492" t="s">
        <v>213</v>
      </c>
      <c r="C34492" t="s">
        <v>1146</v>
      </c>
      <c r="D34492" s="21" t="s">
        <v>34</v>
      </c>
      <c r="E34492" s="21" t="s">
        <v>254</v>
      </c>
      <c r="F34492">
        <v>6080017</v>
      </c>
      <c r="G34492" t="s">
        <v>5023</v>
      </c>
      <c r="H34492" s="21">
        <v>500</v>
      </c>
    </row>
    <row r="34493" spans="1:8" customFormat="1" x14ac:dyDescent="0.25">
      <c r="A34493" t="str">
        <f>"848569"</f>
        <v>848569</v>
      </c>
      <c r="B34493" t="s">
        <v>28864</v>
      </c>
      <c r="C34493" t="s">
        <v>750</v>
      </c>
      <c r="D34493" s="21" t="s">
        <v>34</v>
      </c>
      <c r="E34493" s="21" t="s">
        <v>71</v>
      </c>
      <c r="F34493">
        <v>13840038</v>
      </c>
      <c r="G34493" t="s">
        <v>8931</v>
      </c>
      <c r="H34493" s="21">
        <v>500</v>
      </c>
    </row>
    <row r="34494" spans="1:8" customFormat="1" x14ac:dyDescent="0.25">
      <c r="A34494" t="str">
        <f>"836613"</f>
        <v>836613</v>
      </c>
      <c r="B34494" t="s">
        <v>5847</v>
      </c>
      <c r="C34494" t="s">
        <v>10066</v>
      </c>
      <c r="D34494" s="21" t="s">
        <v>34</v>
      </c>
      <c r="E34494" s="21" t="s">
        <v>71</v>
      </c>
      <c r="F34494">
        <v>13830068</v>
      </c>
      <c r="G34494" t="s">
        <v>6181</v>
      </c>
      <c r="H34494" s="21">
        <v>500</v>
      </c>
    </row>
    <row r="34495" spans="1:8" customFormat="1" x14ac:dyDescent="0.25">
      <c r="A34495" t="str">
        <f>"2720367"</f>
        <v>2720367</v>
      </c>
      <c r="B34495" t="s">
        <v>1393</v>
      </c>
      <c r="C34495" t="s">
        <v>415</v>
      </c>
      <c r="D34495" s="21" t="s">
        <v>34</v>
      </c>
      <c r="E34495" s="21" t="s">
        <v>254</v>
      </c>
      <c r="F34495">
        <v>9270060</v>
      </c>
      <c r="G34495" t="s">
        <v>1982</v>
      </c>
      <c r="H34495" s="21">
        <v>500</v>
      </c>
    </row>
    <row r="34496" spans="1:8" customFormat="1" x14ac:dyDescent="0.25">
      <c r="A34496" t="str">
        <f>"2510933"</f>
        <v>2510933</v>
      </c>
      <c r="B34496" t="s">
        <v>28865</v>
      </c>
      <c r="C34496" t="s">
        <v>33</v>
      </c>
      <c r="D34496" s="21" t="s">
        <v>34</v>
      </c>
      <c r="E34496" s="21" t="s">
        <v>35</v>
      </c>
      <c r="F34496">
        <v>2250193</v>
      </c>
      <c r="G34496" t="s">
        <v>2584</v>
      </c>
      <c r="H34496" s="21">
        <v>500</v>
      </c>
    </row>
    <row r="34497" spans="1:8" customFormat="1" x14ac:dyDescent="0.25">
      <c r="A34497" t="str">
        <f>"212637"</f>
        <v>212637</v>
      </c>
      <c r="B34497" t="s">
        <v>23438</v>
      </c>
      <c r="C34497" t="s">
        <v>3648</v>
      </c>
      <c r="D34497" s="21" t="s">
        <v>34</v>
      </c>
      <c r="E34497" s="21" t="s">
        <v>6185</v>
      </c>
      <c r="F34497">
        <v>2210039</v>
      </c>
      <c r="G34497" t="s">
        <v>9930</v>
      </c>
      <c r="H34497" s="21">
        <v>500</v>
      </c>
    </row>
    <row r="34498" spans="1:8" customFormat="1" x14ac:dyDescent="0.25">
      <c r="A34498" t="str">
        <f>"6726154"</f>
        <v>6726154</v>
      </c>
      <c r="B34498" t="s">
        <v>24222</v>
      </c>
      <c r="C34498" t="s">
        <v>119</v>
      </c>
      <c r="D34498" s="21" t="s">
        <v>34</v>
      </c>
      <c r="E34498" s="21" t="s">
        <v>35</v>
      </c>
      <c r="F34498">
        <v>6670260</v>
      </c>
      <c r="G34498" t="s">
        <v>1202</v>
      </c>
      <c r="H34498" s="21">
        <v>500</v>
      </c>
    </row>
    <row r="34499" spans="1:8" customFormat="1" x14ac:dyDescent="0.25">
      <c r="A34499" t="str">
        <f>"41224"</f>
        <v>41224</v>
      </c>
      <c r="B34499" t="s">
        <v>8836</v>
      </c>
      <c r="C34499" t="s">
        <v>1675</v>
      </c>
      <c r="D34499" s="21" t="s">
        <v>34</v>
      </c>
      <c r="E34499" s="21" t="s">
        <v>254</v>
      </c>
      <c r="F34499">
        <v>4410612</v>
      </c>
      <c r="G34499" t="s">
        <v>815</v>
      </c>
      <c r="H34499" s="21">
        <v>500</v>
      </c>
    </row>
    <row r="34500" spans="1:8" customFormat="1" x14ac:dyDescent="0.25">
      <c r="A34500" t="str">
        <f>"7846877"</f>
        <v>7846877</v>
      </c>
      <c r="B34500" t="s">
        <v>17546</v>
      </c>
      <c r="C34500" t="s">
        <v>926</v>
      </c>
      <c r="D34500" s="21" t="s">
        <v>34</v>
      </c>
      <c r="E34500" s="21" t="s">
        <v>71</v>
      </c>
      <c r="F34500">
        <v>8781466</v>
      </c>
      <c r="G34500" t="s">
        <v>21047</v>
      </c>
      <c r="H34500" s="21">
        <v>500</v>
      </c>
    </row>
    <row r="34501" spans="1:8" customFormat="1" x14ac:dyDescent="0.25">
      <c r="A34501" t="str">
        <f>"3116917"</f>
        <v>3116917</v>
      </c>
      <c r="B34501" t="s">
        <v>24049</v>
      </c>
      <c r="C34501" t="s">
        <v>204</v>
      </c>
      <c r="D34501" s="21" t="s">
        <v>34</v>
      </c>
      <c r="E34501" s="21" t="s">
        <v>71</v>
      </c>
      <c r="F34501">
        <v>11310047</v>
      </c>
      <c r="G34501" t="s">
        <v>2188</v>
      </c>
      <c r="H34501" s="21">
        <v>500</v>
      </c>
    </row>
    <row r="34502" spans="1:8" customFormat="1" x14ac:dyDescent="0.25">
      <c r="A34502" t="str">
        <f>"9128654"</f>
        <v>9128654</v>
      </c>
      <c r="B34502" t="s">
        <v>23453</v>
      </c>
      <c r="C34502" t="s">
        <v>269</v>
      </c>
      <c r="D34502" s="21" t="s">
        <v>34</v>
      </c>
      <c r="E34502" s="21" t="s">
        <v>71</v>
      </c>
      <c r="F34502">
        <v>8911083</v>
      </c>
      <c r="G34502" t="s">
        <v>7357</v>
      </c>
      <c r="H34502" s="21">
        <v>500</v>
      </c>
    </row>
    <row r="34503" spans="1:8" customFormat="1" x14ac:dyDescent="0.25">
      <c r="A34503" t="str">
        <f>"707467"</f>
        <v>707467</v>
      </c>
      <c r="B34503" t="s">
        <v>16997</v>
      </c>
      <c r="C34503" t="s">
        <v>43</v>
      </c>
      <c r="D34503" s="21" t="s">
        <v>34</v>
      </c>
      <c r="E34503" s="21" t="s">
        <v>35</v>
      </c>
      <c r="F34503">
        <v>2700002</v>
      </c>
      <c r="G34503" t="s">
        <v>953</v>
      </c>
      <c r="H34503" s="21">
        <v>500</v>
      </c>
    </row>
    <row r="34504" spans="1:8" customFormat="1" x14ac:dyDescent="0.25">
      <c r="A34504" t="str">
        <f>"23888"</f>
        <v>23888</v>
      </c>
      <c r="B34504" t="s">
        <v>22053</v>
      </c>
      <c r="C34504" t="s">
        <v>103</v>
      </c>
      <c r="D34504" s="21" t="s">
        <v>34</v>
      </c>
      <c r="E34504" s="21" t="s">
        <v>1089</v>
      </c>
      <c r="F34504">
        <v>10230067</v>
      </c>
      <c r="G34504" t="s">
        <v>912</v>
      </c>
      <c r="H34504" s="21">
        <v>500</v>
      </c>
    </row>
    <row r="34505" spans="1:8" customFormat="1" x14ac:dyDescent="0.25">
      <c r="A34505" t="str">
        <f>"7881402"</f>
        <v>7881402</v>
      </c>
      <c r="B34505" t="s">
        <v>28866</v>
      </c>
      <c r="C34505" t="s">
        <v>1050</v>
      </c>
      <c r="D34505" s="21" t="s">
        <v>34</v>
      </c>
      <c r="E34505" s="21" t="s">
        <v>35</v>
      </c>
      <c r="F34505">
        <v>8780128</v>
      </c>
      <c r="G34505" t="s">
        <v>4201</v>
      </c>
      <c r="H34505" s="21">
        <v>500</v>
      </c>
    </row>
    <row r="34506" spans="1:8" customFormat="1" x14ac:dyDescent="0.25">
      <c r="A34506" t="str">
        <f>"1613170"</f>
        <v>1613170</v>
      </c>
      <c r="B34506" t="s">
        <v>9404</v>
      </c>
      <c r="C34506" t="s">
        <v>2546</v>
      </c>
      <c r="D34506" s="21" t="s">
        <v>34</v>
      </c>
      <c r="E34506" s="21" t="s">
        <v>1089</v>
      </c>
      <c r="F34506">
        <v>10160223</v>
      </c>
      <c r="G34506" t="s">
        <v>5750</v>
      </c>
      <c r="H34506" s="21">
        <v>500</v>
      </c>
    </row>
    <row r="34507" spans="1:8" customFormat="1" x14ac:dyDescent="0.25">
      <c r="A34507" t="str">
        <f>"5973793"</f>
        <v>5973793</v>
      </c>
      <c r="B34507" t="s">
        <v>24764</v>
      </c>
      <c r="C34507" t="s">
        <v>263</v>
      </c>
      <c r="D34507" s="21" t="s">
        <v>34</v>
      </c>
      <c r="E34507" s="21" t="s">
        <v>254</v>
      </c>
      <c r="F34507">
        <v>7590087</v>
      </c>
      <c r="G34507" t="s">
        <v>2112</v>
      </c>
      <c r="H34507" s="21">
        <v>500</v>
      </c>
    </row>
    <row r="34508" spans="1:8" customFormat="1" x14ac:dyDescent="0.25">
      <c r="A34508" t="str">
        <f>"6231396"</f>
        <v>6231396</v>
      </c>
      <c r="B34508" t="s">
        <v>6842</v>
      </c>
      <c r="C34508" t="s">
        <v>263</v>
      </c>
      <c r="D34508" s="21" t="s">
        <v>34</v>
      </c>
      <c r="E34508" s="21" t="s">
        <v>1089</v>
      </c>
      <c r="F34508">
        <v>7620017</v>
      </c>
      <c r="G34508" t="s">
        <v>6559</v>
      </c>
      <c r="H34508" s="21">
        <v>500</v>
      </c>
    </row>
    <row r="34509" spans="1:8" customFormat="1" x14ac:dyDescent="0.25">
      <c r="A34509" t="str">
        <f>"9456702"</f>
        <v>9456702</v>
      </c>
      <c r="B34509" t="s">
        <v>23949</v>
      </c>
      <c r="C34509" t="s">
        <v>23950</v>
      </c>
      <c r="D34509" s="21" t="s">
        <v>34</v>
      </c>
      <c r="E34509" s="21" t="s">
        <v>71</v>
      </c>
      <c r="F34509">
        <v>8940448</v>
      </c>
      <c r="G34509" t="s">
        <v>1691</v>
      </c>
      <c r="H34509" s="21">
        <v>500</v>
      </c>
    </row>
    <row r="34510" spans="1:8" customFormat="1" x14ac:dyDescent="0.25">
      <c r="A34510" t="str">
        <f>"9W47"</f>
        <v>9W47</v>
      </c>
      <c r="B34510" t="s">
        <v>23716</v>
      </c>
      <c r="C34510" t="s">
        <v>23717</v>
      </c>
      <c r="D34510" s="21" t="s">
        <v>34</v>
      </c>
      <c r="E34510" s="21" t="s">
        <v>254</v>
      </c>
      <c r="F34510" t="s">
        <v>23027</v>
      </c>
      <c r="G34510" t="s">
        <v>28713</v>
      </c>
      <c r="H34510" s="21">
        <v>500</v>
      </c>
    </row>
    <row r="34511" spans="1:8" customFormat="1" x14ac:dyDescent="0.25">
      <c r="A34511" t="str">
        <f>"9F5629"</f>
        <v>9F5629</v>
      </c>
      <c r="B34511" t="s">
        <v>22934</v>
      </c>
      <c r="C34511" t="s">
        <v>43</v>
      </c>
      <c r="D34511" s="21" t="s">
        <v>34</v>
      </c>
      <c r="E34511" s="21" t="s">
        <v>35</v>
      </c>
      <c r="F34511" t="s">
        <v>22850</v>
      </c>
      <c r="G34511" t="s">
        <v>22851</v>
      </c>
      <c r="H34511" s="21">
        <v>500</v>
      </c>
    </row>
    <row r="34512" spans="1:8" customFormat="1" x14ac:dyDescent="0.25">
      <c r="A34512" t="str">
        <f>"1426529"</f>
        <v>1426529</v>
      </c>
      <c r="B34512" t="s">
        <v>3472</v>
      </c>
      <c r="C34512" t="s">
        <v>328</v>
      </c>
      <c r="D34512" s="21" t="s">
        <v>34</v>
      </c>
      <c r="E34512" s="21" t="s">
        <v>35</v>
      </c>
      <c r="F34512">
        <v>9140233</v>
      </c>
      <c r="G34512" t="s">
        <v>13269</v>
      </c>
      <c r="H34512" s="21">
        <v>500</v>
      </c>
    </row>
    <row r="34513" spans="1:8" customFormat="1" x14ac:dyDescent="0.25">
      <c r="A34513" t="str">
        <f>"6233872"</f>
        <v>6233872</v>
      </c>
      <c r="B34513" t="s">
        <v>28867</v>
      </c>
      <c r="C34513" t="s">
        <v>60</v>
      </c>
      <c r="D34513" s="21" t="s">
        <v>34</v>
      </c>
      <c r="E34513" s="21" t="s">
        <v>35</v>
      </c>
      <c r="F34513">
        <v>7620112</v>
      </c>
      <c r="G34513" t="s">
        <v>5663</v>
      </c>
      <c r="H34513" s="21">
        <v>500</v>
      </c>
    </row>
    <row r="34514" spans="1:8" customFormat="1" x14ac:dyDescent="0.25">
      <c r="A34514" t="str">
        <f>"229108"</f>
        <v>229108</v>
      </c>
      <c r="B34514" t="s">
        <v>15242</v>
      </c>
      <c r="C34514" t="s">
        <v>598</v>
      </c>
      <c r="D34514" s="21" t="s">
        <v>34</v>
      </c>
      <c r="E34514" s="21" t="s">
        <v>254</v>
      </c>
      <c r="F34514">
        <v>3220033</v>
      </c>
      <c r="G34514" t="s">
        <v>657</v>
      </c>
      <c r="H34514" s="21">
        <v>500</v>
      </c>
    </row>
    <row r="34515" spans="1:8" customFormat="1" x14ac:dyDescent="0.25">
      <c r="A34515" t="str">
        <f>"0620178"</f>
        <v>0620178</v>
      </c>
      <c r="B34515" t="s">
        <v>28868</v>
      </c>
      <c r="C34515" t="s">
        <v>269</v>
      </c>
      <c r="D34515" s="21" t="s">
        <v>34</v>
      </c>
      <c r="E34515" s="21" t="s">
        <v>71</v>
      </c>
      <c r="F34515">
        <v>13060082</v>
      </c>
      <c r="G34515" t="s">
        <v>11729</v>
      </c>
      <c r="H34515" s="21">
        <v>500</v>
      </c>
    </row>
    <row r="34516" spans="1:8" customFormat="1" x14ac:dyDescent="0.25">
      <c r="A34516" t="str">
        <f>"8614532"</f>
        <v>8614532</v>
      </c>
      <c r="B34516" t="s">
        <v>19459</v>
      </c>
      <c r="C34516" t="s">
        <v>288</v>
      </c>
      <c r="D34516" s="21" t="s">
        <v>34</v>
      </c>
      <c r="E34516" s="21" t="s">
        <v>35</v>
      </c>
      <c r="F34516">
        <v>10860017</v>
      </c>
      <c r="G34516" t="s">
        <v>2439</v>
      </c>
      <c r="H34516" s="21">
        <v>500</v>
      </c>
    </row>
    <row r="34517" spans="1:8" customFormat="1" x14ac:dyDescent="0.25">
      <c r="A34517" t="str">
        <f>"4520469"</f>
        <v>4520469</v>
      </c>
      <c r="B34517" t="s">
        <v>23512</v>
      </c>
      <c r="C34517" t="s">
        <v>40</v>
      </c>
      <c r="D34517" s="21" t="s">
        <v>34</v>
      </c>
      <c r="E34517" s="21" t="s">
        <v>254</v>
      </c>
      <c r="F34517">
        <v>4450737</v>
      </c>
      <c r="G34517" t="s">
        <v>11798</v>
      </c>
      <c r="H34517" s="21">
        <v>500</v>
      </c>
    </row>
    <row r="34518" spans="1:8" customFormat="1" x14ac:dyDescent="0.25">
      <c r="A34518" t="str">
        <f>"9536770"</f>
        <v>9536770</v>
      </c>
      <c r="B34518" t="s">
        <v>3816</v>
      </c>
      <c r="C34518" t="s">
        <v>656</v>
      </c>
      <c r="D34518" s="21" t="s">
        <v>34</v>
      </c>
      <c r="E34518" s="21" t="s">
        <v>35</v>
      </c>
      <c r="F34518">
        <v>8950481</v>
      </c>
      <c r="G34518" t="s">
        <v>1472</v>
      </c>
      <c r="H34518" s="21">
        <v>500</v>
      </c>
    </row>
    <row r="34519" spans="1:8" customFormat="1" x14ac:dyDescent="0.25">
      <c r="A34519" t="str">
        <f>"5710003"</f>
        <v>5710003</v>
      </c>
      <c r="B34519" t="s">
        <v>23314</v>
      </c>
      <c r="C34519" t="s">
        <v>2904</v>
      </c>
      <c r="D34519" s="21" t="s">
        <v>34</v>
      </c>
      <c r="E34519" s="21" t="s">
        <v>254</v>
      </c>
      <c r="F34519">
        <v>6570169</v>
      </c>
      <c r="G34519" t="s">
        <v>15590</v>
      </c>
      <c r="H34519" s="21">
        <v>500</v>
      </c>
    </row>
    <row r="34520" spans="1:8" customFormat="1" x14ac:dyDescent="0.25">
      <c r="A34520" t="str">
        <f>"624673"</f>
        <v>624673</v>
      </c>
      <c r="B34520" t="s">
        <v>24567</v>
      </c>
      <c r="C34520" t="s">
        <v>547</v>
      </c>
      <c r="D34520" s="21" t="s">
        <v>34</v>
      </c>
      <c r="E34520" s="21" t="s">
        <v>254</v>
      </c>
      <c r="F34520">
        <v>7620121</v>
      </c>
      <c r="G34520" t="s">
        <v>7146</v>
      </c>
      <c r="H34520" s="21">
        <v>500</v>
      </c>
    </row>
    <row r="34521" spans="1:8" customFormat="1" x14ac:dyDescent="0.25">
      <c r="A34521" t="str">
        <f>"2616812"</f>
        <v>2616812</v>
      </c>
      <c r="B34521" t="s">
        <v>21338</v>
      </c>
      <c r="C34521" t="s">
        <v>812</v>
      </c>
      <c r="D34521" s="21" t="s">
        <v>34</v>
      </c>
      <c r="E34521" s="21" t="s">
        <v>35</v>
      </c>
      <c r="F34521">
        <v>1260045</v>
      </c>
      <c r="G34521" t="s">
        <v>401</v>
      </c>
      <c r="H34521" s="21">
        <v>500</v>
      </c>
    </row>
    <row r="34522" spans="1:8" customFormat="1" x14ac:dyDescent="0.25">
      <c r="A34522" t="str">
        <f>"5021325"</f>
        <v>5021325</v>
      </c>
      <c r="B34522" t="s">
        <v>28869</v>
      </c>
      <c r="C34522" t="s">
        <v>156</v>
      </c>
      <c r="D34522" s="21" t="s">
        <v>34</v>
      </c>
      <c r="E34522" s="21" t="s">
        <v>71</v>
      </c>
      <c r="F34522">
        <v>9500011</v>
      </c>
      <c r="G34522" t="s">
        <v>4903</v>
      </c>
      <c r="H34522" s="21">
        <v>500</v>
      </c>
    </row>
    <row r="34523" spans="1:8" customFormat="1" x14ac:dyDescent="0.25">
      <c r="A34523" t="str">
        <f>"0210434"</f>
        <v>0210434</v>
      </c>
      <c r="B34523" t="s">
        <v>28870</v>
      </c>
      <c r="C34523" t="s">
        <v>28871</v>
      </c>
      <c r="D34523" s="21" t="s">
        <v>34</v>
      </c>
      <c r="E34523" s="21" t="s">
        <v>35</v>
      </c>
      <c r="F34523">
        <v>7020019</v>
      </c>
      <c r="G34523" t="s">
        <v>7912</v>
      </c>
      <c r="H34523" s="21">
        <v>500</v>
      </c>
    </row>
    <row r="34524" spans="1:8" customFormat="1" x14ac:dyDescent="0.25">
      <c r="A34524" t="str">
        <f>"6722468"</f>
        <v>6722468</v>
      </c>
      <c r="B34524" t="s">
        <v>11868</v>
      </c>
      <c r="C34524" t="s">
        <v>4831</v>
      </c>
      <c r="D34524" s="21" t="s">
        <v>34</v>
      </c>
      <c r="E34524" s="21" t="s">
        <v>1089</v>
      </c>
      <c r="F34524">
        <v>6670201</v>
      </c>
      <c r="G34524" t="s">
        <v>8483</v>
      </c>
      <c r="H34524" s="21">
        <v>500</v>
      </c>
    </row>
    <row r="34525" spans="1:8" customFormat="1" x14ac:dyDescent="0.25">
      <c r="A34525" t="str">
        <f>"56771"</f>
        <v>56771</v>
      </c>
      <c r="B34525" t="s">
        <v>17529</v>
      </c>
      <c r="C34525" t="s">
        <v>1110</v>
      </c>
      <c r="D34525" s="21" t="s">
        <v>34</v>
      </c>
      <c r="E34525" s="21" t="s">
        <v>254</v>
      </c>
      <c r="F34525">
        <v>3560045</v>
      </c>
      <c r="G34525" t="s">
        <v>4969</v>
      </c>
      <c r="H34525" s="21">
        <v>500</v>
      </c>
    </row>
    <row r="34526" spans="1:8" customFormat="1" x14ac:dyDescent="0.25">
      <c r="A34526" t="str">
        <f>"3721769"</f>
        <v>3721769</v>
      </c>
      <c r="B34526" t="s">
        <v>23172</v>
      </c>
      <c r="C34526" t="s">
        <v>598</v>
      </c>
      <c r="D34526" s="21" t="s">
        <v>34</v>
      </c>
      <c r="E34526" s="21" t="s">
        <v>254</v>
      </c>
      <c r="F34526">
        <v>4370566</v>
      </c>
      <c r="G34526" t="s">
        <v>4710</v>
      </c>
      <c r="H34526" s="21">
        <v>500</v>
      </c>
    </row>
    <row r="34527" spans="1:8" customFormat="1" x14ac:dyDescent="0.25">
      <c r="A34527" t="str">
        <f>"2616813"</f>
        <v>2616813</v>
      </c>
      <c r="B34527" t="s">
        <v>201</v>
      </c>
      <c r="C34527" t="s">
        <v>598</v>
      </c>
      <c r="D34527" s="21" t="s">
        <v>34</v>
      </c>
      <c r="E34527" s="21" t="s">
        <v>254</v>
      </c>
      <c r="F34527">
        <v>1260045</v>
      </c>
      <c r="G34527" t="s">
        <v>401</v>
      </c>
      <c r="H34527" s="21">
        <v>500</v>
      </c>
    </row>
    <row r="34528" spans="1:8" customFormat="1" x14ac:dyDescent="0.25">
      <c r="A34528" t="str">
        <f>"9459824"</f>
        <v>9459824</v>
      </c>
      <c r="B34528" t="s">
        <v>9994</v>
      </c>
      <c r="C34528" t="s">
        <v>1853</v>
      </c>
      <c r="D34528" s="21" t="s">
        <v>34</v>
      </c>
      <c r="E34528" s="21" t="s">
        <v>35</v>
      </c>
      <c r="F34528">
        <v>8940073</v>
      </c>
      <c r="G34528" t="s">
        <v>1085</v>
      </c>
      <c r="H34528" s="21">
        <v>500</v>
      </c>
    </row>
    <row r="34529" spans="1:8" customFormat="1" x14ac:dyDescent="0.25">
      <c r="A34529" t="str">
        <f>"1713228"</f>
        <v>1713228</v>
      </c>
      <c r="B34529" t="s">
        <v>14936</v>
      </c>
      <c r="C34529" t="s">
        <v>23629</v>
      </c>
      <c r="D34529" s="21" t="s">
        <v>34</v>
      </c>
      <c r="E34529" s="21" t="s">
        <v>1089</v>
      </c>
      <c r="F34529">
        <v>10170007</v>
      </c>
      <c r="G34529" t="s">
        <v>12581</v>
      </c>
      <c r="H34529" s="21">
        <v>500</v>
      </c>
    </row>
    <row r="34530" spans="1:8" customFormat="1" x14ac:dyDescent="0.25">
      <c r="A34530" t="str">
        <f>"7881380"</f>
        <v>7881380</v>
      </c>
      <c r="B34530" t="s">
        <v>28872</v>
      </c>
      <c r="C34530" t="s">
        <v>415</v>
      </c>
      <c r="D34530" s="21" t="s">
        <v>34</v>
      </c>
      <c r="E34530" s="21" t="s">
        <v>254</v>
      </c>
      <c r="F34530">
        <v>8780496</v>
      </c>
      <c r="G34530" t="s">
        <v>2477</v>
      </c>
      <c r="H34530" s="21">
        <v>500</v>
      </c>
    </row>
    <row r="34531" spans="1:8" customFormat="1" x14ac:dyDescent="0.25">
      <c r="A34531" t="str">
        <f>"728061"</f>
        <v>728061</v>
      </c>
      <c r="B34531" t="s">
        <v>23164</v>
      </c>
      <c r="C34531" t="s">
        <v>5861</v>
      </c>
      <c r="D34531" s="21" t="s">
        <v>34</v>
      </c>
      <c r="E34531" s="21" t="s">
        <v>1089</v>
      </c>
      <c r="F34531">
        <v>11650004</v>
      </c>
      <c r="G34531" t="s">
        <v>382</v>
      </c>
      <c r="H34531" s="21">
        <v>500</v>
      </c>
    </row>
    <row r="34532" spans="1:8" customFormat="1" x14ac:dyDescent="0.25">
      <c r="A34532" t="str">
        <f>"7874836"</f>
        <v>7874836</v>
      </c>
      <c r="B34532" t="s">
        <v>28873</v>
      </c>
      <c r="C34532" t="s">
        <v>2520</v>
      </c>
      <c r="D34532" s="21" t="s">
        <v>34</v>
      </c>
      <c r="E34532" s="21" t="s">
        <v>254</v>
      </c>
      <c r="F34532">
        <v>8781162</v>
      </c>
      <c r="G34532" t="s">
        <v>7991</v>
      </c>
      <c r="H34532" s="21">
        <v>500</v>
      </c>
    </row>
    <row r="34533" spans="1:8" customFormat="1" x14ac:dyDescent="0.25">
      <c r="A34533" t="str">
        <f>"344776"</f>
        <v>344776</v>
      </c>
      <c r="B34533" t="s">
        <v>16666</v>
      </c>
      <c r="C34533" t="s">
        <v>1841</v>
      </c>
      <c r="D34533" s="21" t="s">
        <v>34</v>
      </c>
      <c r="E34533" s="21" t="s">
        <v>254</v>
      </c>
      <c r="F34533">
        <v>11340010</v>
      </c>
      <c r="G34533" t="s">
        <v>66</v>
      </c>
      <c r="H34533" s="21">
        <v>500</v>
      </c>
    </row>
    <row r="34534" spans="1:8" customFormat="1" x14ac:dyDescent="0.25">
      <c r="A34534" t="str">
        <f>"5980234"</f>
        <v>5980234</v>
      </c>
      <c r="B34534" t="s">
        <v>24346</v>
      </c>
      <c r="C34534" t="s">
        <v>33</v>
      </c>
      <c r="D34534" s="21" t="s">
        <v>34</v>
      </c>
      <c r="E34534" s="21" t="s">
        <v>35</v>
      </c>
      <c r="F34534">
        <v>7590004</v>
      </c>
      <c r="G34534" t="s">
        <v>4816</v>
      </c>
      <c r="H34534" s="21">
        <v>500</v>
      </c>
    </row>
    <row r="34535" spans="1:8" customFormat="1" x14ac:dyDescent="0.25">
      <c r="A34535" t="str">
        <f>"2721271"</f>
        <v>2721271</v>
      </c>
      <c r="B34535" t="s">
        <v>8458</v>
      </c>
      <c r="C34535" t="s">
        <v>19267</v>
      </c>
      <c r="D34535" s="21" t="s">
        <v>34</v>
      </c>
      <c r="E34535" s="21" t="s">
        <v>35</v>
      </c>
      <c r="F34535">
        <v>9270006</v>
      </c>
      <c r="G34535" t="s">
        <v>780</v>
      </c>
      <c r="H34535" s="21">
        <v>500</v>
      </c>
    </row>
    <row r="34536" spans="1:8" customFormat="1" x14ac:dyDescent="0.25">
      <c r="A34536" t="str">
        <f>"5979849"</f>
        <v>5979849</v>
      </c>
      <c r="B34536" t="s">
        <v>28874</v>
      </c>
      <c r="C34536" t="s">
        <v>40</v>
      </c>
      <c r="D34536" s="21" t="s">
        <v>34</v>
      </c>
      <c r="E34536" s="21" t="s">
        <v>254</v>
      </c>
      <c r="F34536">
        <v>7590051</v>
      </c>
      <c r="G34536" t="s">
        <v>3831</v>
      </c>
      <c r="H34536" s="21">
        <v>500</v>
      </c>
    </row>
    <row r="34537" spans="1:8" customFormat="1" x14ac:dyDescent="0.25">
      <c r="A34537" t="str">
        <f>"7512750"</f>
        <v>7512750</v>
      </c>
      <c r="B34537" t="s">
        <v>24334</v>
      </c>
      <c r="C34537" t="s">
        <v>415</v>
      </c>
      <c r="D34537" s="21" t="s">
        <v>34</v>
      </c>
      <c r="E34537" s="21" t="s">
        <v>254</v>
      </c>
      <c r="F34537">
        <v>8751061</v>
      </c>
      <c r="G34537" t="s">
        <v>26628</v>
      </c>
      <c r="H34537" s="21">
        <v>500</v>
      </c>
    </row>
    <row r="34538" spans="1:8" customFormat="1" x14ac:dyDescent="0.25">
      <c r="A34538" t="str">
        <f>"6942365"</f>
        <v>6942365</v>
      </c>
      <c r="B34538" t="s">
        <v>8884</v>
      </c>
      <c r="C34538" t="s">
        <v>209</v>
      </c>
      <c r="D34538" s="21" t="s">
        <v>34</v>
      </c>
      <c r="E34538" s="21" t="s">
        <v>1089</v>
      </c>
      <c r="F34538">
        <v>1690175</v>
      </c>
      <c r="G34538" t="s">
        <v>410</v>
      </c>
      <c r="H34538" s="21">
        <v>500</v>
      </c>
    </row>
    <row r="34539" spans="1:8" customFormat="1" x14ac:dyDescent="0.25">
      <c r="A34539" t="str">
        <f>"124035"</f>
        <v>124035</v>
      </c>
      <c r="B34539" t="s">
        <v>23356</v>
      </c>
      <c r="C34539" t="s">
        <v>2520</v>
      </c>
      <c r="D34539" s="21" t="s">
        <v>34</v>
      </c>
      <c r="E34539" s="21" t="s">
        <v>254</v>
      </c>
      <c r="F34539">
        <v>11120042</v>
      </c>
      <c r="G34539" t="s">
        <v>16752</v>
      </c>
      <c r="H34539" s="21">
        <v>500</v>
      </c>
    </row>
    <row r="34540" spans="1:8" customFormat="1" x14ac:dyDescent="0.25">
      <c r="A34540" t="str">
        <f>"4937398"</f>
        <v>4937398</v>
      </c>
      <c r="B34540" t="s">
        <v>24217</v>
      </c>
      <c r="C34540" t="s">
        <v>2529</v>
      </c>
      <c r="D34540" s="21" t="s">
        <v>34</v>
      </c>
      <c r="E34540" s="21" t="s">
        <v>254</v>
      </c>
      <c r="F34540">
        <v>12490017</v>
      </c>
      <c r="G34540" t="s">
        <v>9393</v>
      </c>
      <c r="H34540" s="21">
        <v>500</v>
      </c>
    </row>
    <row r="34541" spans="1:8" customFormat="1" x14ac:dyDescent="0.25">
      <c r="A34541" t="str">
        <f>"9455196"</f>
        <v>9455196</v>
      </c>
      <c r="B34541" t="s">
        <v>24037</v>
      </c>
      <c r="C34541" t="s">
        <v>24038</v>
      </c>
      <c r="D34541" s="21" t="s">
        <v>34</v>
      </c>
      <c r="E34541" s="21" t="s">
        <v>35</v>
      </c>
      <c r="F34541">
        <v>8940926</v>
      </c>
      <c r="G34541" t="s">
        <v>4065</v>
      </c>
      <c r="H34541" s="21">
        <v>500</v>
      </c>
    </row>
    <row r="34542" spans="1:8" customFormat="1" x14ac:dyDescent="0.25">
      <c r="A34542" t="str">
        <f>"7642071"</f>
        <v>7642071</v>
      </c>
      <c r="B34542" t="s">
        <v>28875</v>
      </c>
      <c r="C34542" t="s">
        <v>151</v>
      </c>
      <c r="D34542" s="21" t="s">
        <v>34</v>
      </c>
      <c r="E34542" s="21" t="s">
        <v>35</v>
      </c>
      <c r="F34542">
        <v>9760320</v>
      </c>
      <c r="G34542" t="s">
        <v>4917</v>
      </c>
      <c r="H34542" s="21">
        <v>500</v>
      </c>
    </row>
    <row r="34543" spans="1:8" customFormat="1" x14ac:dyDescent="0.25">
      <c r="A34543" t="str">
        <f>"9146919"</f>
        <v>9146919</v>
      </c>
      <c r="B34543" t="s">
        <v>2955</v>
      </c>
      <c r="C34543" t="s">
        <v>144</v>
      </c>
      <c r="D34543" s="21" t="s">
        <v>34</v>
      </c>
      <c r="E34543" s="21" t="s">
        <v>254</v>
      </c>
      <c r="F34543">
        <v>8910165</v>
      </c>
      <c r="G34543" t="s">
        <v>3184</v>
      </c>
      <c r="H34543" s="21">
        <v>500</v>
      </c>
    </row>
    <row r="34544" spans="1:8" customFormat="1" x14ac:dyDescent="0.25">
      <c r="A34544" t="str">
        <f>"586229"</f>
        <v>586229</v>
      </c>
      <c r="B34544" t="s">
        <v>6024</v>
      </c>
      <c r="C34544" t="s">
        <v>2232</v>
      </c>
      <c r="D34544" s="21" t="s">
        <v>34</v>
      </c>
      <c r="E34544" s="21" t="s">
        <v>254</v>
      </c>
      <c r="F34544">
        <v>2580010</v>
      </c>
      <c r="G34544" t="s">
        <v>1965</v>
      </c>
      <c r="H34544" s="21">
        <v>500</v>
      </c>
    </row>
    <row r="34545" spans="1:8" customFormat="1" x14ac:dyDescent="0.25">
      <c r="A34545" t="str">
        <f>"7215247"</f>
        <v>7215247</v>
      </c>
      <c r="B34545" t="s">
        <v>7241</v>
      </c>
      <c r="C34545" t="s">
        <v>169</v>
      </c>
      <c r="D34545" s="21" t="s">
        <v>34</v>
      </c>
      <c r="E34545" s="21" t="s">
        <v>35</v>
      </c>
      <c r="F34545">
        <v>12720066</v>
      </c>
      <c r="G34545" t="s">
        <v>3571</v>
      </c>
      <c r="H34545" s="21">
        <v>500</v>
      </c>
    </row>
    <row r="34546" spans="1:8" customFormat="1" x14ac:dyDescent="0.25">
      <c r="A34546" t="str">
        <f>"675738"</f>
        <v>675738</v>
      </c>
      <c r="B34546" t="s">
        <v>1883</v>
      </c>
      <c r="C34546" t="s">
        <v>269</v>
      </c>
      <c r="D34546" s="21" t="s">
        <v>34</v>
      </c>
      <c r="E34546" s="21" t="s">
        <v>71</v>
      </c>
      <c r="F34546">
        <v>6670014</v>
      </c>
      <c r="G34546" t="s">
        <v>4258</v>
      </c>
      <c r="H34546" s="21">
        <v>500</v>
      </c>
    </row>
    <row r="34547" spans="1:8" customFormat="1" x14ac:dyDescent="0.25">
      <c r="A34547" t="str">
        <f>"8518911"</f>
        <v>8518911</v>
      </c>
      <c r="B34547" t="s">
        <v>7257</v>
      </c>
      <c r="C34547" t="s">
        <v>204</v>
      </c>
      <c r="D34547" s="21" t="s">
        <v>34</v>
      </c>
      <c r="E34547" s="21" t="s">
        <v>35</v>
      </c>
      <c r="F34547">
        <v>12850042</v>
      </c>
      <c r="G34547" t="s">
        <v>5342</v>
      </c>
      <c r="H34547" s="21">
        <v>500</v>
      </c>
    </row>
    <row r="34548" spans="1:8" customFormat="1" x14ac:dyDescent="0.25">
      <c r="A34548" t="str">
        <f>"5984450"</f>
        <v>5984450</v>
      </c>
      <c r="B34548" t="s">
        <v>22787</v>
      </c>
      <c r="C34548" t="s">
        <v>119</v>
      </c>
      <c r="D34548" s="21" t="s">
        <v>34</v>
      </c>
      <c r="E34548" s="21" t="s">
        <v>71</v>
      </c>
      <c r="F34548">
        <v>7590006</v>
      </c>
      <c r="G34548" t="s">
        <v>4165</v>
      </c>
      <c r="H34548" s="21">
        <v>500</v>
      </c>
    </row>
    <row r="34549" spans="1:8" customFormat="1" x14ac:dyDescent="0.25">
      <c r="A34549" t="str">
        <f>"9C1228"</f>
        <v>9C1228</v>
      </c>
      <c r="B34549" t="s">
        <v>970</v>
      </c>
      <c r="C34549" t="s">
        <v>249</v>
      </c>
      <c r="D34549" s="21" t="s">
        <v>34</v>
      </c>
      <c r="E34549" s="21" t="s">
        <v>71</v>
      </c>
      <c r="F34549" t="s">
        <v>2871</v>
      </c>
      <c r="G34549" t="s">
        <v>2872</v>
      </c>
      <c r="H34549" s="21">
        <v>500</v>
      </c>
    </row>
    <row r="34550" spans="1:8" customFormat="1" x14ac:dyDescent="0.25">
      <c r="A34550" t="str">
        <f>"6935142"</f>
        <v>6935142</v>
      </c>
      <c r="B34550" t="s">
        <v>24324</v>
      </c>
      <c r="C34550" t="s">
        <v>1714</v>
      </c>
      <c r="D34550" s="21" t="s">
        <v>34</v>
      </c>
      <c r="E34550" s="21" t="s">
        <v>35</v>
      </c>
      <c r="F34550">
        <v>1690181</v>
      </c>
      <c r="G34550" t="s">
        <v>20881</v>
      </c>
      <c r="H34550" s="21">
        <v>500</v>
      </c>
    </row>
    <row r="34551" spans="1:8" customFormat="1" x14ac:dyDescent="0.25">
      <c r="A34551" t="str">
        <f>"9F5686"</f>
        <v>9F5686</v>
      </c>
      <c r="B34551" t="s">
        <v>28876</v>
      </c>
      <c r="C34551" t="s">
        <v>60</v>
      </c>
      <c r="D34551" s="21" t="s">
        <v>34</v>
      </c>
      <c r="E34551" s="21" t="s">
        <v>35</v>
      </c>
      <c r="F34551" t="s">
        <v>22850</v>
      </c>
      <c r="G34551" t="s">
        <v>22851</v>
      </c>
      <c r="H34551" s="21">
        <v>500</v>
      </c>
    </row>
    <row r="34552" spans="1:8" customFormat="1" x14ac:dyDescent="0.25">
      <c r="A34552" t="str">
        <f>"4457152"</f>
        <v>4457152</v>
      </c>
      <c r="B34552" t="s">
        <v>28877</v>
      </c>
      <c r="C34552" t="s">
        <v>926</v>
      </c>
      <c r="D34552" s="21" t="s">
        <v>34</v>
      </c>
      <c r="E34552" s="21" t="s">
        <v>35</v>
      </c>
      <c r="F34552">
        <v>12440055</v>
      </c>
      <c r="G34552" t="s">
        <v>2979</v>
      </c>
      <c r="H34552" s="21">
        <v>500</v>
      </c>
    </row>
    <row r="34553" spans="1:8" customFormat="1" x14ac:dyDescent="0.25">
      <c r="A34553" t="str">
        <f>"2219780"</f>
        <v>2219780</v>
      </c>
      <c r="B34553" t="s">
        <v>4487</v>
      </c>
      <c r="C34553" t="s">
        <v>169</v>
      </c>
      <c r="D34553" s="21" t="s">
        <v>34</v>
      </c>
      <c r="E34553" s="21" t="s">
        <v>35</v>
      </c>
      <c r="F34553">
        <v>3220127</v>
      </c>
      <c r="G34553" t="s">
        <v>26652</v>
      </c>
      <c r="H34553" s="21">
        <v>500</v>
      </c>
    </row>
    <row r="34554" spans="1:8" customFormat="1" x14ac:dyDescent="0.25">
      <c r="A34554" t="str">
        <f>"7731155"</f>
        <v>7731155</v>
      </c>
      <c r="B34554" t="s">
        <v>4424</v>
      </c>
      <c r="C34554" t="s">
        <v>33</v>
      </c>
      <c r="D34554" s="21" t="s">
        <v>34</v>
      </c>
      <c r="E34554" s="21" t="s">
        <v>35</v>
      </c>
      <c r="F34554">
        <v>8771201</v>
      </c>
      <c r="G34554" t="s">
        <v>9153</v>
      </c>
      <c r="H34554" s="21">
        <v>500</v>
      </c>
    </row>
    <row r="34555" spans="1:8" customFormat="1" x14ac:dyDescent="0.25">
      <c r="A34555" t="str">
        <f>"2619314"</f>
        <v>2619314</v>
      </c>
      <c r="B34555" t="s">
        <v>17550</v>
      </c>
      <c r="C34555" t="s">
        <v>60</v>
      </c>
      <c r="D34555" s="21" t="s">
        <v>34</v>
      </c>
      <c r="E34555" s="21" t="s">
        <v>35</v>
      </c>
      <c r="F34555">
        <v>1260006</v>
      </c>
      <c r="G34555" t="s">
        <v>790</v>
      </c>
      <c r="H34555" s="21">
        <v>500</v>
      </c>
    </row>
    <row r="34556" spans="1:8" customFormat="1" x14ac:dyDescent="0.25">
      <c r="A34556" t="str">
        <f>"2939254"</f>
        <v>2939254</v>
      </c>
      <c r="B34556" t="s">
        <v>28878</v>
      </c>
      <c r="C34556" t="s">
        <v>275</v>
      </c>
      <c r="D34556" s="21" t="s">
        <v>34</v>
      </c>
      <c r="E34556" s="21" t="s">
        <v>35</v>
      </c>
      <c r="F34556">
        <v>3290045</v>
      </c>
      <c r="G34556" t="s">
        <v>17635</v>
      </c>
      <c r="H34556" s="21">
        <v>500</v>
      </c>
    </row>
    <row r="34557" spans="1:8" customFormat="1" x14ac:dyDescent="0.25">
      <c r="A34557" t="str">
        <f>"3423995"</f>
        <v>3423995</v>
      </c>
      <c r="B34557" t="s">
        <v>23401</v>
      </c>
      <c r="C34557" t="s">
        <v>3073</v>
      </c>
      <c r="D34557" s="21" t="s">
        <v>34</v>
      </c>
      <c r="E34557" s="21" t="s">
        <v>254</v>
      </c>
      <c r="F34557">
        <v>11340049</v>
      </c>
      <c r="G34557" t="s">
        <v>13479</v>
      </c>
      <c r="H34557" s="21">
        <v>500</v>
      </c>
    </row>
    <row r="34558" spans="1:8" customFormat="1" x14ac:dyDescent="0.25">
      <c r="A34558" t="str">
        <f>"609984"</f>
        <v>609984</v>
      </c>
      <c r="B34558" t="s">
        <v>23354</v>
      </c>
      <c r="C34558" t="s">
        <v>415</v>
      </c>
      <c r="D34558" s="21" t="s">
        <v>34</v>
      </c>
      <c r="E34558" s="21" t="s">
        <v>1089</v>
      </c>
      <c r="F34558">
        <v>3350009</v>
      </c>
      <c r="G34558" t="s">
        <v>1823</v>
      </c>
      <c r="H34558" s="21">
        <v>500</v>
      </c>
    </row>
    <row r="34559" spans="1:8" customFormat="1" x14ac:dyDescent="0.25">
      <c r="A34559" t="str">
        <f>"7641064"</f>
        <v>7641064</v>
      </c>
      <c r="B34559" t="s">
        <v>1386</v>
      </c>
      <c r="C34559" t="s">
        <v>60</v>
      </c>
      <c r="D34559" s="21" t="s">
        <v>34</v>
      </c>
      <c r="E34559" s="21" t="s">
        <v>35</v>
      </c>
      <c r="F34559">
        <v>9760442</v>
      </c>
      <c r="G34559" t="s">
        <v>5753</v>
      </c>
      <c r="H34559" s="21">
        <v>500</v>
      </c>
    </row>
    <row r="34560" spans="1:8" customFormat="1" x14ac:dyDescent="0.25">
      <c r="A34560" t="str">
        <f>"824272"</f>
        <v>824272</v>
      </c>
      <c r="B34560" t="s">
        <v>28879</v>
      </c>
      <c r="C34560" t="s">
        <v>28880</v>
      </c>
      <c r="D34560" s="21" t="s">
        <v>34</v>
      </c>
      <c r="E34560" s="21" t="s">
        <v>35</v>
      </c>
      <c r="F34560">
        <v>11820008</v>
      </c>
      <c r="G34560" t="s">
        <v>294</v>
      </c>
      <c r="H34560" s="21">
        <v>500</v>
      </c>
    </row>
    <row r="34561" spans="1:8" customFormat="1" x14ac:dyDescent="0.25">
      <c r="A34561" t="str">
        <f>"687781"</f>
        <v>687781</v>
      </c>
      <c r="B34561" t="s">
        <v>23165</v>
      </c>
      <c r="C34561" t="s">
        <v>114</v>
      </c>
      <c r="D34561" s="21" t="s">
        <v>34</v>
      </c>
      <c r="E34561" s="21" t="s">
        <v>71</v>
      </c>
      <c r="F34561">
        <v>6680082</v>
      </c>
      <c r="G34561" t="s">
        <v>289</v>
      </c>
      <c r="H34561" s="21">
        <v>500</v>
      </c>
    </row>
    <row r="34562" spans="1:8" customFormat="1" x14ac:dyDescent="0.25">
      <c r="A34562" t="str">
        <f>"3341899"</f>
        <v>3341899</v>
      </c>
      <c r="B34562" t="s">
        <v>23531</v>
      </c>
      <c r="C34562" t="s">
        <v>40</v>
      </c>
      <c r="D34562" s="21" t="s">
        <v>34</v>
      </c>
      <c r="E34562" s="21" t="s">
        <v>71</v>
      </c>
      <c r="F34562">
        <v>10330098</v>
      </c>
      <c r="G34562" t="s">
        <v>8299</v>
      </c>
      <c r="H34562" s="21">
        <v>500</v>
      </c>
    </row>
    <row r="34563" spans="1:8" customFormat="1" x14ac:dyDescent="0.25">
      <c r="A34563" t="str">
        <f>"3014528"</f>
        <v>3014528</v>
      </c>
      <c r="B34563" t="s">
        <v>1295</v>
      </c>
      <c r="C34563" t="s">
        <v>60</v>
      </c>
      <c r="D34563" s="21" t="s">
        <v>34</v>
      </c>
      <c r="E34563" s="21" t="s">
        <v>35</v>
      </c>
      <c r="F34563">
        <v>11300041</v>
      </c>
      <c r="G34563" t="s">
        <v>8074</v>
      </c>
      <c r="H34563" s="21">
        <v>500</v>
      </c>
    </row>
    <row r="34564" spans="1:8" customFormat="1" x14ac:dyDescent="0.25">
      <c r="A34564" t="str">
        <f>"991867"</f>
        <v>991867</v>
      </c>
      <c r="B34564" t="s">
        <v>18413</v>
      </c>
      <c r="C34564" t="s">
        <v>2752</v>
      </c>
      <c r="D34564" s="21" t="s">
        <v>34</v>
      </c>
      <c r="E34564" s="21" t="s">
        <v>254</v>
      </c>
      <c r="F34564">
        <v>5990007</v>
      </c>
      <c r="G34564" t="s">
        <v>15719</v>
      </c>
      <c r="H34564" s="21">
        <v>500</v>
      </c>
    </row>
    <row r="34565" spans="1:8" customFormat="1" x14ac:dyDescent="0.25">
      <c r="A34565" t="str">
        <f>"9445420"</f>
        <v>9445420</v>
      </c>
      <c r="B34565" t="s">
        <v>24107</v>
      </c>
      <c r="C34565" t="s">
        <v>198</v>
      </c>
      <c r="D34565" s="21" t="s">
        <v>34</v>
      </c>
      <c r="E34565" s="21" t="s">
        <v>71</v>
      </c>
      <c r="F34565">
        <v>8940459</v>
      </c>
      <c r="G34565" t="s">
        <v>743</v>
      </c>
      <c r="H34565" s="21">
        <v>500</v>
      </c>
    </row>
    <row r="34566" spans="1:8" customFormat="1" x14ac:dyDescent="0.25">
      <c r="A34566" t="str">
        <f>"8526659"</f>
        <v>8526659</v>
      </c>
      <c r="B34566" t="s">
        <v>24713</v>
      </c>
      <c r="C34566" t="s">
        <v>40</v>
      </c>
      <c r="D34566" s="21" t="s">
        <v>34</v>
      </c>
      <c r="E34566" s="21" t="s">
        <v>1089</v>
      </c>
      <c r="F34566">
        <v>12850136</v>
      </c>
      <c r="G34566" t="s">
        <v>2536</v>
      </c>
      <c r="H34566" s="21">
        <v>500</v>
      </c>
    </row>
    <row r="34567" spans="1:8" customFormat="1" x14ac:dyDescent="0.25">
      <c r="A34567" t="str">
        <f>"9146916"</f>
        <v>9146916</v>
      </c>
      <c r="B34567" t="s">
        <v>22527</v>
      </c>
      <c r="C34567" t="s">
        <v>139</v>
      </c>
      <c r="D34567" s="21" t="s">
        <v>34</v>
      </c>
      <c r="E34567" s="21" t="s">
        <v>35</v>
      </c>
      <c r="F34567">
        <v>8910881</v>
      </c>
      <c r="G34567" t="s">
        <v>1300</v>
      </c>
      <c r="H34567" s="21">
        <v>500</v>
      </c>
    </row>
    <row r="34568" spans="1:8" customFormat="1" x14ac:dyDescent="0.25">
      <c r="A34568" t="str">
        <f>"2516999"</f>
        <v>2516999</v>
      </c>
      <c r="B34568" t="s">
        <v>11281</v>
      </c>
      <c r="C34568" t="s">
        <v>253</v>
      </c>
      <c r="D34568" s="21" t="s">
        <v>34</v>
      </c>
      <c r="E34568" s="21" t="s">
        <v>254</v>
      </c>
      <c r="F34568">
        <v>2250016</v>
      </c>
      <c r="G34568" t="s">
        <v>1709</v>
      </c>
      <c r="H34568" s="21">
        <v>500</v>
      </c>
    </row>
    <row r="34569" spans="1:8" customFormat="1" x14ac:dyDescent="0.25">
      <c r="A34569" t="str">
        <f>"3827554"</f>
        <v>3827554</v>
      </c>
      <c r="B34569" t="s">
        <v>22875</v>
      </c>
      <c r="C34569" t="s">
        <v>19087</v>
      </c>
      <c r="D34569" s="21" t="s">
        <v>34</v>
      </c>
      <c r="E34569" s="21" t="s">
        <v>35</v>
      </c>
      <c r="F34569">
        <v>1380136</v>
      </c>
      <c r="G34569" t="s">
        <v>1047</v>
      </c>
      <c r="H34569" s="21">
        <v>500</v>
      </c>
    </row>
    <row r="34570" spans="1:8" customFormat="1" x14ac:dyDescent="0.25">
      <c r="A34570" t="str">
        <f>"2511382"</f>
        <v>2511382</v>
      </c>
      <c r="B34570" t="s">
        <v>23696</v>
      </c>
      <c r="C34570" t="s">
        <v>1146</v>
      </c>
      <c r="D34570" s="21" t="s">
        <v>34</v>
      </c>
      <c r="E34570" s="21" t="s">
        <v>1089</v>
      </c>
      <c r="F34570">
        <v>2250221</v>
      </c>
      <c r="G34570" t="s">
        <v>18307</v>
      </c>
      <c r="H34570" s="21">
        <v>500</v>
      </c>
    </row>
    <row r="34571" spans="1:8" customFormat="1" x14ac:dyDescent="0.25">
      <c r="A34571" t="str">
        <f>"7882400"</f>
        <v>7882400</v>
      </c>
      <c r="B34571" t="s">
        <v>28881</v>
      </c>
      <c r="C34571" t="s">
        <v>65</v>
      </c>
      <c r="D34571" s="21" t="s">
        <v>34</v>
      </c>
      <c r="E34571" s="21" t="s">
        <v>35</v>
      </c>
      <c r="F34571">
        <v>8781413</v>
      </c>
      <c r="G34571" t="s">
        <v>13028</v>
      </c>
      <c r="H34571" s="21">
        <v>500</v>
      </c>
    </row>
    <row r="34572" spans="1:8" customFormat="1" x14ac:dyDescent="0.25">
      <c r="A34572" t="str">
        <f>"268471"</f>
        <v>268471</v>
      </c>
      <c r="B34572" t="s">
        <v>23482</v>
      </c>
      <c r="C34572" t="s">
        <v>156</v>
      </c>
      <c r="D34572" s="21" t="s">
        <v>34</v>
      </c>
      <c r="E34572" s="21" t="s">
        <v>6185</v>
      </c>
      <c r="F34572">
        <v>1260006</v>
      </c>
      <c r="G34572" t="s">
        <v>790</v>
      </c>
      <c r="H34572" s="21">
        <v>500</v>
      </c>
    </row>
    <row r="34573" spans="1:8" customFormat="1" x14ac:dyDescent="0.25">
      <c r="A34573" t="str">
        <f>"447281"</f>
        <v>447281</v>
      </c>
      <c r="B34573" t="s">
        <v>23918</v>
      </c>
      <c r="C34573" t="s">
        <v>1110</v>
      </c>
      <c r="D34573" s="21" t="s">
        <v>34</v>
      </c>
      <c r="E34573" s="21" t="s">
        <v>1089</v>
      </c>
      <c r="F34573">
        <v>12440149</v>
      </c>
      <c r="G34573" t="s">
        <v>15804</v>
      </c>
      <c r="H34573" s="21">
        <v>500</v>
      </c>
    </row>
    <row r="34574" spans="1:8" customFormat="1" x14ac:dyDescent="0.25">
      <c r="A34574" t="str">
        <f>"125114"</f>
        <v>125114</v>
      </c>
      <c r="B34574" t="s">
        <v>3582</v>
      </c>
      <c r="C34574" t="s">
        <v>130</v>
      </c>
      <c r="D34574" s="21" t="s">
        <v>34</v>
      </c>
      <c r="E34574" s="21" t="s">
        <v>71</v>
      </c>
      <c r="F34574">
        <v>11120047</v>
      </c>
      <c r="G34574" t="s">
        <v>14107</v>
      </c>
      <c r="H34574" s="21">
        <v>500</v>
      </c>
    </row>
    <row r="34575" spans="1:8" customFormat="1" x14ac:dyDescent="0.25">
      <c r="A34575" t="str">
        <f>"1614269"</f>
        <v>1614269</v>
      </c>
      <c r="B34575" t="s">
        <v>28882</v>
      </c>
      <c r="C34575" t="s">
        <v>239</v>
      </c>
      <c r="D34575" s="21" t="s">
        <v>34</v>
      </c>
      <c r="E34575" s="21" t="s">
        <v>1089</v>
      </c>
      <c r="F34575">
        <v>10160029</v>
      </c>
      <c r="G34575" t="s">
        <v>896</v>
      </c>
      <c r="H34575" s="21">
        <v>500</v>
      </c>
    </row>
    <row r="34576" spans="1:8" customFormat="1" x14ac:dyDescent="0.25">
      <c r="A34576" t="str">
        <f>"692464"</f>
        <v>692464</v>
      </c>
      <c r="B34576" t="s">
        <v>8695</v>
      </c>
      <c r="C34576" t="s">
        <v>1146</v>
      </c>
      <c r="D34576" s="21" t="s">
        <v>34</v>
      </c>
      <c r="E34576" s="21" t="s">
        <v>1089</v>
      </c>
      <c r="F34576">
        <v>1690175</v>
      </c>
      <c r="G34576" t="s">
        <v>410</v>
      </c>
      <c r="H34576" s="21">
        <v>500</v>
      </c>
    </row>
    <row r="34577" spans="1:8" customFormat="1" x14ac:dyDescent="0.25">
      <c r="A34577" t="str">
        <f>"3833618"</f>
        <v>3833618</v>
      </c>
      <c r="B34577" t="s">
        <v>1951</v>
      </c>
      <c r="C34577" t="s">
        <v>328</v>
      </c>
      <c r="D34577" s="21" t="s">
        <v>34</v>
      </c>
      <c r="E34577" s="21" t="s">
        <v>35</v>
      </c>
      <c r="F34577">
        <v>1380173</v>
      </c>
      <c r="G34577" t="s">
        <v>9553</v>
      </c>
      <c r="H34577" s="21">
        <v>500</v>
      </c>
    </row>
    <row r="34578" spans="1:8" customFormat="1" x14ac:dyDescent="0.25">
      <c r="A34578" t="str">
        <f>"6112886"</f>
        <v>6112886</v>
      </c>
      <c r="B34578" t="s">
        <v>17688</v>
      </c>
      <c r="C34578" t="s">
        <v>305</v>
      </c>
      <c r="D34578" s="21" t="s">
        <v>34</v>
      </c>
      <c r="E34578" s="21" t="s">
        <v>35</v>
      </c>
      <c r="F34578">
        <v>9610135</v>
      </c>
      <c r="G34578" t="s">
        <v>8227</v>
      </c>
      <c r="H34578" s="21">
        <v>500</v>
      </c>
    </row>
    <row r="34579" spans="1:8" customFormat="1" x14ac:dyDescent="0.25">
      <c r="A34579" t="str">
        <f>"7642723"</f>
        <v>7642723</v>
      </c>
      <c r="B34579" t="s">
        <v>14851</v>
      </c>
      <c r="C34579" t="s">
        <v>82</v>
      </c>
      <c r="D34579" s="21" t="s">
        <v>34</v>
      </c>
      <c r="E34579" s="21" t="s">
        <v>35</v>
      </c>
      <c r="F34579">
        <v>9760039</v>
      </c>
      <c r="G34579" t="s">
        <v>9501</v>
      </c>
      <c r="H34579" s="21">
        <v>500</v>
      </c>
    </row>
    <row r="34580" spans="1:8" customFormat="1" x14ac:dyDescent="0.25">
      <c r="A34580" t="str">
        <f>"9525684"</f>
        <v>9525684</v>
      </c>
      <c r="B34580" t="s">
        <v>623</v>
      </c>
      <c r="C34580" t="s">
        <v>124</v>
      </c>
      <c r="D34580" s="21" t="s">
        <v>34</v>
      </c>
      <c r="E34580" s="21" t="s">
        <v>71</v>
      </c>
      <c r="F34580">
        <v>8950129</v>
      </c>
      <c r="G34580" t="s">
        <v>10701</v>
      </c>
      <c r="H34580" s="21">
        <v>500</v>
      </c>
    </row>
    <row r="34581" spans="1:8" customFormat="1" x14ac:dyDescent="0.25">
      <c r="A34581" t="str">
        <f>"769526"</f>
        <v>769526</v>
      </c>
      <c r="B34581" t="s">
        <v>2218</v>
      </c>
      <c r="C34581" t="s">
        <v>40</v>
      </c>
      <c r="D34581" s="21" t="s">
        <v>34</v>
      </c>
      <c r="E34581" s="21" t="s">
        <v>254</v>
      </c>
      <c r="F34581">
        <v>9760344</v>
      </c>
      <c r="G34581" t="s">
        <v>2523</v>
      </c>
      <c r="H34581" s="21">
        <v>500</v>
      </c>
    </row>
    <row r="34582" spans="1:8" customFormat="1" x14ac:dyDescent="0.25">
      <c r="A34582" t="str">
        <f>"407635"</f>
        <v>407635</v>
      </c>
      <c r="B34582" t="s">
        <v>19800</v>
      </c>
      <c r="C34582" t="s">
        <v>2693</v>
      </c>
      <c r="D34582" s="21" t="s">
        <v>34</v>
      </c>
      <c r="E34582" s="21" t="s">
        <v>35</v>
      </c>
      <c r="F34582">
        <v>10400009</v>
      </c>
      <c r="G34582" t="s">
        <v>5378</v>
      </c>
      <c r="H34582" s="21">
        <v>500</v>
      </c>
    </row>
    <row r="34583" spans="1:8" customFormat="1" x14ac:dyDescent="0.25">
      <c r="A34583" t="str">
        <f>"851229"</f>
        <v>851229</v>
      </c>
      <c r="B34583" t="s">
        <v>14226</v>
      </c>
      <c r="C34583" t="s">
        <v>1110</v>
      </c>
      <c r="D34583" s="21" t="s">
        <v>34</v>
      </c>
      <c r="E34583" s="21" t="s">
        <v>254</v>
      </c>
      <c r="F34583">
        <v>12850034</v>
      </c>
      <c r="G34583" t="s">
        <v>7112</v>
      </c>
      <c r="H34583" s="21">
        <v>500</v>
      </c>
    </row>
    <row r="34584" spans="1:8" customFormat="1" x14ac:dyDescent="0.25">
      <c r="A34584" t="str">
        <f>"4447330"</f>
        <v>4447330</v>
      </c>
      <c r="B34584" t="s">
        <v>2914</v>
      </c>
      <c r="C34584" t="s">
        <v>55</v>
      </c>
      <c r="D34584" s="21" t="s">
        <v>34</v>
      </c>
      <c r="E34584" s="21" t="s">
        <v>71</v>
      </c>
      <c r="F34584">
        <v>12440012</v>
      </c>
      <c r="G34584" t="s">
        <v>807</v>
      </c>
      <c r="H34584" s="21">
        <v>500</v>
      </c>
    </row>
    <row r="34585" spans="1:8" customFormat="1" x14ac:dyDescent="0.25">
      <c r="A34585" t="str">
        <f>"6231895"</f>
        <v>6231895</v>
      </c>
      <c r="B34585" t="s">
        <v>13393</v>
      </c>
      <c r="C34585" t="s">
        <v>275</v>
      </c>
      <c r="D34585" s="21" t="s">
        <v>34</v>
      </c>
      <c r="E34585" s="21" t="s">
        <v>35</v>
      </c>
      <c r="F34585">
        <v>7620054</v>
      </c>
      <c r="G34585" t="s">
        <v>1677</v>
      </c>
      <c r="H34585" s="21">
        <v>500</v>
      </c>
    </row>
    <row r="34586" spans="1:8" customFormat="1" x14ac:dyDescent="0.25">
      <c r="A34586" t="str">
        <f>"3413730"</f>
        <v>3413730</v>
      </c>
      <c r="B34586" t="s">
        <v>22485</v>
      </c>
      <c r="C34586" t="s">
        <v>3010</v>
      </c>
      <c r="D34586" s="21" t="s">
        <v>34</v>
      </c>
      <c r="E34586" s="21" t="s">
        <v>1089</v>
      </c>
      <c r="F34586">
        <v>11340035</v>
      </c>
      <c r="G34586" t="s">
        <v>10724</v>
      </c>
      <c r="H34586" s="21">
        <v>500</v>
      </c>
    </row>
    <row r="34587" spans="1:8" customFormat="1" x14ac:dyDescent="0.25">
      <c r="A34587" t="str">
        <f>"2512207"</f>
        <v>2512207</v>
      </c>
      <c r="B34587" t="s">
        <v>19515</v>
      </c>
      <c r="C34587" t="s">
        <v>1588</v>
      </c>
      <c r="D34587" s="21" t="s">
        <v>34</v>
      </c>
      <c r="E34587" s="21" t="s">
        <v>1089</v>
      </c>
      <c r="F34587">
        <v>2250221</v>
      </c>
      <c r="G34587" t="s">
        <v>18307</v>
      </c>
      <c r="H34587" s="21">
        <v>500</v>
      </c>
    </row>
    <row r="34588" spans="1:8" customFormat="1" x14ac:dyDescent="0.25">
      <c r="A34588" t="str">
        <f>"7719197"</f>
        <v>7719197</v>
      </c>
      <c r="B34588" t="s">
        <v>28883</v>
      </c>
      <c r="C34588" t="s">
        <v>40</v>
      </c>
      <c r="D34588" s="21" t="s">
        <v>34</v>
      </c>
      <c r="E34588" s="21" t="s">
        <v>71</v>
      </c>
      <c r="F34588">
        <v>8771519</v>
      </c>
      <c r="G34588" t="s">
        <v>10685</v>
      </c>
      <c r="H34588" s="21">
        <v>500</v>
      </c>
    </row>
    <row r="34589" spans="1:8" customFormat="1" x14ac:dyDescent="0.25">
      <c r="A34589" t="str">
        <f>"4932366"</f>
        <v>4932366</v>
      </c>
      <c r="B34589" t="s">
        <v>9968</v>
      </c>
      <c r="C34589" t="s">
        <v>60</v>
      </c>
      <c r="D34589" s="21" t="s">
        <v>34</v>
      </c>
      <c r="E34589" s="21" t="s">
        <v>35</v>
      </c>
      <c r="F34589">
        <v>12490080</v>
      </c>
      <c r="G34589" t="s">
        <v>5692</v>
      </c>
      <c r="H34589" s="21">
        <v>500</v>
      </c>
    </row>
    <row r="34590" spans="1:8" customFormat="1" x14ac:dyDescent="0.25">
      <c r="A34590" t="str">
        <f>"905323"</f>
        <v>905323</v>
      </c>
      <c r="B34590" t="s">
        <v>1386</v>
      </c>
      <c r="C34590" t="s">
        <v>598</v>
      </c>
      <c r="D34590" s="21" t="s">
        <v>34</v>
      </c>
      <c r="E34590" s="21" t="s">
        <v>254</v>
      </c>
      <c r="F34590">
        <v>2900028</v>
      </c>
      <c r="G34590" t="s">
        <v>1541</v>
      </c>
      <c r="H34590" s="21">
        <v>500</v>
      </c>
    </row>
    <row r="34591" spans="1:8" customFormat="1" x14ac:dyDescent="0.25">
      <c r="A34591" t="str">
        <f>"568874"</f>
        <v>568874</v>
      </c>
      <c r="B34591" t="s">
        <v>8212</v>
      </c>
      <c r="C34591" t="s">
        <v>462</v>
      </c>
      <c r="D34591" s="21" t="s">
        <v>34</v>
      </c>
      <c r="E34591" s="21" t="s">
        <v>254</v>
      </c>
      <c r="F34591">
        <v>3560039</v>
      </c>
      <c r="G34591" t="s">
        <v>167</v>
      </c>
      <c r="H34591" s="21">
        <v>500</v>
      </c>
    </row>
    <row r="34592" spans="1:8" customFormat="1" x14ac:dyDescent="0.25">
      <c r="A34592" t="str">
        <f>"4417308"</f>
        <v>4417308</v>
      </c>
      <c r="B34592" t="s">
        <v>23151</v>
      </c>
      <c r="C34592" t="s">
        <v>547</v>
      </c>
      <c r="D34592" s="21" t="s">
        <v>34</v>
      </c>
      <c r="E34592" s="21" t="s">
        <v>254</v>
      </c>
      <c r="F34592">
        <v>12440002</v>
      </c>
      <c r="G34592" t="s">
        <v>47</v>
      </c>
      <c r="H34592" s="21">
        <v>500</v>
      </c>
    </row>
    <row r="34593" spans="1:8" customFormat="1" x14ac:dyDescent="0.25">
      <c r="A34593" t="str">
        <f>"7921445"</f>
        <v>7921445</v>
      </c>
      <c r="B34593" t="s">
        <v>23684</v>
      </c>
      <c r="C34593" t="s">
        <v>12772</v>
      </c>
      <c r="D34593" s="21" t="s">
        <v>34</v>
      </c>
      <c r="E34593" s="21" t="s">
        <v>71</v>
      </c>
      <c r="F34593">
        <v>10790005</v>
      </c>
      <c r="G34593" t="s">
        <v>1948</v>
      </c>
      <c r="H34593" s="21">
        <v>500</v>
      </c>
    </row>
    <row r="34594" spans="1:8" customFormat="1" x14ac:dyDescent="0.25">
      <c r="A34594" t="str">
        <f>"1321525"</f>
        <v>1321525</v>
      </c>
      <c r="B34594" t="s">
        <v>28884</v>
      </c>
      <c r="C34594" t="s">
        <v>130</v>
      </c>
      <c r="D34594" s="21" t="s">
        <v>34</v>
      </c>
      <c r="E34594" s="21" t="s">
        <v>35</v>
      </c>
      <c r="F34594">
        <v>13130067</v>
      </c>
      <c r="G34594" t="s">
        <v>1420</v>
      </c>
      <c r="H34594" s="21">
        <v>500</v>
      </c>
    </row>
    <row r="34595" spans="1:8" customFormat="1" x14ac:dyDescent="0.25">
      <c r="A34595" t="str">
        <f>"10567"</f>
        <v>10567</v>
      </c>
      <c r="B34595" t="s">
        <v>14292</v>
      </c>
      <c r="C34595" t="s">
        <v>1539</v>
      </c>
      <c r="D34595" s="21" t="s">
        <v>34</v>
      </c>
      <c r="E34595" s="21" t="s">
        <v>6185</v>
      </c>
      <c r="F34595">
        <v>6100032</v>
      </c>
      <c r="G34595" t="s">
        <v>1641</v>
      </c>
      <c r="H34595" s="21">
        <v>500</v>
      </c>
    </row>
    <row r="34596" spans="1:8" customFormat="1" x14ac:dyDescent="0.25">
      <c r="A34596" t="str">
        <f>"649366"</f>
        <v>649366</v>
      </c>
      <c r="B34596" t="s">
        <v>26065</v>
      </c>
      <c r="C34596" t="s">
        <v>121</v>
      </c>
      <c r="D34596" s="21" t="s">
        <v>34</v>
      </c>
      <c r="E34596" s="21" t="s">
        <v>35</v>
      </c>
      <c r="F34596">
        <v>10640004</v>
      </c>
      <c r="G34596" t="s">
        <v>26618</v>
      </c>
      <c r="H34596" s="21">
        <v>500</v>
      </c>
    </row>
    <row r="34597" spans="1:8" customFormat="1" x14ac:dyDescent="0.25">
      <c r="A34597" t="str">
        <f>"5925000"</f>
        <v>5925000</v>
      </c>
      <c r="B34597" t="s">
        <v>2625</v>
      </c>
      <c r="C34597" t="s">
        <v>6285</v>
      </c>
      <c r="D34597" s="21" t="s">
        <v>34</v>
      </c>
      <c r="E34597" s="21" t="s">
        <v>6185</v>
      </c>
      <c r="F34597">
        <v>7590218</v>
      </c>
      <c r="G34597" t="s">
        <v>26769</v>
      </c>
      <c r="H34597" s="21">
        <v>500</v>
      </c>
    </row>
    <row r="34598" spans="1:8" customFormat="1" x14ac:dyDescent="0.25">
      <c r="A34598" t="str">
        <f>"7615070"</f>
        <v>7615070</v>
      </c>
      <c r="B34598" t="s">
        <v>23096</v>
      </c>
      <c r="C34598" t="s">
        <v>1110</v>
      </c>
      <c r="D34598" s="21" t="s">
        <v>34</v>
      </c>
      <c r="E34598" s="21" t="s">
        <v>1089</v>
      </c>
      <c r="F34598">
        <v>9270095</v>
      </c>
      <c r="G34598" t="s">
        <v>1681</v>
      </c>
      <c r="H34598" s="21">
        <v>500</v>
      </c>
    </row>
    <row r="34599" spans="1:8" customFormat="1" x14ac:dyDescent="0.25">
      <c r="A34599" t="str">
        <f>"247120"</f>
        <v>247120</v>
      </c>
      <c r="B34599" t="s">
        <v>623</v>
      </c>
      <c r="C34599" t="s">
        <v>198</v>
      </c>
      <c r="D34599" s="21" t="s">
        <v>34</v>
      </c>
      <c r="E34599" s="21" t="s">
        <v>71</v>
      </c>
      <c r="F34599">
        <v>10240014</v>
      </c>
      <c r="G34599" t="s">
        <v>5445</v>
      </c>
      <c r="H34599" s="21">
        <v>500</v>
      </c>
    </row>
    <row r="34600" spans="1:8" customFormat="1" x14ac:dyDescent="0.25">
      <c r="A34600" t="str">
        <f>"332522"</f>
        <v>332522</v>
      </c>
      <c r="B34600" t="s">
        <v>108</v>
      </c>
      <c r="C34600" t="s">
        <v>156</v>
      </c>
      <c r="D34600" s="21" t="s">
        <v>34</v>
      </c>
      <c r="E34600" s="21" t="s">
        <v>1089</v>
      </c>
      <c r="F34600">
        <v>10330030</v>
      </c>
      <c r="G34600" t="s">
        <v>2990</v>
      </c>
      <c r="H34600" s="21">
        <v>500</v>
      </c>
    </row>
    <row r="34601" spans="1:8" customFormat="1" x14ac:dyDescent="0.25">
      <c r="A34601" t="str">
        <f>"9231026"</f>
        <v>9231026</v>
      </c>
      <c r="B34601" t="s">
        <v>23126</v>
      </c>
      <c r="C34601" t="s">
        <v>249</v>
      </c>
      <c r="D34601" s="21" t="s">
        <v>34</v>
      </c>
      <c r="E34601" s="21" t="s">
        <v>35</v>
      </c>
      <c r="F34601">
        <v>10330045</v>
      </c>
      <c r="G34601" t="s">
        <v>4506</v>
      </c>
      <c r="H34601" s="21">
        <v>500</v>
      </c>
    </row>
    <row r="34602" spans="1:8" customFormat="1" x14ac:dyDescent="0.25">
      <c r="A34602" t="str">
        <f>"5112612"</f>
        <v>5112612</v>
      </c>
      <c r="B34602" t="s">
        <v>23547</v>
      </c>
      <c r="C34602" t="s">
        <v>269</v>
      </c>
      <c r="D34602" s="21" t="s">
        <v>34</v>
      </c>
      <c r="E34602" s="21" t="s">
        <v>71</v>
      </c>
      <c r="F34602">
        <v>6510067</v>
      </c>
      <c r="G34602" t="s">
        <v>19343</v>
      </c>
      <c r="H34602" s="21">
        <v>500</v>
      </c>
    </row>
    <row r="34603" spans="1:8" customFormat="1" x14ac:dyDescent="0.25">
      <c r="A34603" t="str">
        <f>"41883"</f>
        <v>41883</v>
      </c>
      <c r="B34603" t="s">
        <v>1749</v>
      </c>
      <c r="C34603" t="s">
        <v>462</v>
      </c>
      <c r="D34603" s="21" t="s">
        <v>34</v>
      </c>
      <c r="E34603" s="21" t="s">
        <v>254</v>
      </c>
      <c r="F34603">
        <v>4410612</v>
      </c>
      <c r="G34603" t="s">
        <v>815</v>
      </c>
      <c r="H34603" s="21">
        <v>500</v>
      </c>
    </row>
    <row r="34604" spans="1:8" customFormat="1" x14ac:dyDescent="0.25">
      <c r="A34604" t="str">
        <f>"691607"</f>
        <v>691607</v>
      </c>
      <c r="B34604" t="s">
        <v>1895</v>
      </c>
      <c r="C34604" t="s">
        <v>598</v>
      </c>
      <c r="D34604" s="21" t="s">
        <v>34</v>
      </c>
      <c r="E34604" s="21" t="s">
        <v>254</v>
      </c>
      <c r="F34604">
        <v>1690052</v>
      </c>
      <c r="G34604" t="s">
        <v>273</v>
      </c>
      <c r="H34604" s="21">
        <v>500</v>
      </c>
    </row>
    <row r="34605" spans="1:8" customFormat="1" x14ac:dyDescent="0.25">
      <c r="A34605" t="str">
        <f>"6950070"</f>
        <v>6950070</v>
      </c>
      <c r="B34605" t="s">
        <v>28885</v>
      </c>
      <c r="C34605" t="s">
        <v>169</v>
      </c>
      <c r="D34605" s="21" t="s">
        <v>34</v>
      </c>
      <c r="E34605" s="21" t="s">
        <v>71</v>
      </c>
      <c r="F34605">
        <v>1690005</v>
      </c>
      <c r="G34605" t="s">
        <v>16595</v>
      </c>
      <c r="H34605" s="21">
        <v>500</v>
      </c>
    </row>
    <row r="34606" spans="1:8" customFormat="1" x14ac:dyDescent="0.25">
      <c r="A34606" t="str">
        <f>"4934817"</f>
        <v>4934817</v>
      </c>
      <c r="B34606" t="s">
        <v>5972</v>
      </c>
      <c r="C34606" t="s">
        <v>598</v>
      </c>
      <c r="D34606" s="21" t="s">
        <v>34</v>
      </c>
      <c r="E34606" s="21" t="s">
        <v>254</v>
      </c>
      <c r="F34606">
        <v>12490073</v>
      </c>
      <c r="G34606" t="s">
        <v>296</v>
      </c>
      <c r="H34606" s="21">
        <v>500</v>
      </c>
    </row>
    <row r="34607" spans="1:8" customFormat="1" x14ac:dyDescent="0.25">
      <c r="A34607" t="str">
        <f>"2619522"</f>
        <v>2619522</v>
      </c>
      <c r="B34607" t="s">
        <v>1347</v>
      </c>
      <c r="C34607" t="s">
        <v>124</v>
      </c>
      <c r="D34607" s="21" t="s">
        <v>34</v>
      </c>
      <c r="E34607" s="21" t="s">
        <v>254</v>
      </c>
      <c r="F34607">
        <v>1260055</v>
      </c>
      <c r="G34607" t="s">
        <v>8460</v>
      </c>
      <c r="H34607" s="21">
        <v>500</v>
      </c>
    </row>
    <row r="34608" spans="1:8" customFormat="1" x14ac:dyDescent="0.25">
      <c r="A34608" t="str">
        <f>"9133675"</f>
        <v>9133675</v>
      </c>
      <c r="B34608" t="s">
        <v>23472</v>
      </c>
      <c r="C34608" t="s">
        <v>328</v>
      </c>
      <c r="D34608" s="21" t="s">
        <v>34</v>
      </c>
      <c r="E34608" s="21" t="s">
        <v>71</v>
      </c>
      <c r="F34608">
        <v>8910861</v>
      </c>
      <c r="G34608" t="s">
        <v>1120</v>
      </c>
      <c r="H34608" s="21">
        <v>500</v>
      </c>
    </row>
    <row r="34609" spans="1:8" customFormat="1" x14ac:dyDescent="0.25">
      <c r="A34609" t="str">
        <f>"2715610"</f>
        <v>2715610</v>
      </c>
      <c r="B34609" t="s">
        <v>22185</v>
      </c>
      <c r="C34609" t="s">
        <v>812</v>
      </c>
      <c r="D34609" s="21" t="s">
        <v>34</v>
      </c>
      <c r="E34609" s="21" t="s">
        <v>71</v>
      </c>
      <c r="F34609">
        <v>9270138</v>
      </c>
      <c r="G34609" t="s">
        <v>6112</v>
      </c>
      <c r="H34609" s="21">
        <v>500</v>
      </c>
    </row>
    <row r="34610" spans="1:8" customFormat="1" x14ac:dyDescent="0.25">
      <c r="A34610" t="str">
        <f>"5729934"</f>
        <v>5729934</v>
      </c>
      <c r="B34610" t="s">
        <v>23157</v>
      </c>
      <c r="C34610" t="s">
        <v>3073</v>
      </c>
      <c r="D34610" s="21" t="s">
        <v>34</v>
      </c>
      <c r="E34610" s="21" t="s">
        <v>254</v>
      </c>
      <c r="F34610">
        <v>6570057</v>
      </c>
      <c r="G34610" t="s">
        <v>8333</v>
      </c>
      <c r="H34610" s="21">
        <v>500</v>
      </c>
    </row>
    <row r="34611" spans="1:8" customFormat="1" x14ac:dyDescent="0.25">
      <c r="A34611" t="str">
        <f>"2938041"</f>
        <v>2938041</v>
      </c>
      <c r="B34611" t="s">
        <v>6157</v>
      </c>
      <c r="C34611" t="s">
        <v>1199</v>
      </c>
      <c r="D34611" s="21" t="s">
        <v>34</v>
      </c>
      <c r="E34611" s="21" t="s">
        <v>254</v>
      </c>
      <c r="F34611">
        <v>3290027</v>
      </c>
      <c r="G34611" t="s">
        <v>6108</v>
      </c>
      <c r="H34611" s="21">
        <v>500</v>
      </c>
    </row>
    <row r="34612" spans="1:8" customFormat="1" x14ac:dyDescent="0.25">
      <c r="A34612" t="str">
        <f>"3537711"</f>
        <v>3537711</v>
      </c>
      <c r="B34612" t="s">
        <v>963</v>
      </c>
      <c r="C34612" t="s">
        <v>114</v>
      </c>
      <c r="D34612" s="21" t="s">
        <v>34</v>
      </c>
      <c r="E34612" s="21" t="s">
        <v>71</v>
      </c>
      <c r="F34612">
        <v>3350207</v>
      </c>
      <c r="G34612" t="s">
        <v>3668</v>
      </c>
      <c r="H34612" s="21">
        <v>500</v>
      </c>
    </row>
    <row r="34613" spans="1:8" customFormat="1" x14ac:dyDescent="0.25">
      <c r="A34613" t="str">
        <f>"6949100"</f>
        <v>6949100</v>
      </c>
      <c r="B34613" t="s">
        <v>650</v>
      </c>
      <c r="C34613" t="s">
        <v>305</v>
      </c>
      <c r="D34613" s="21" t="s">
        <v>34</v>
      </c>
      <c r="E34613" s="21" t="s">
        <v>35</v>
      </c>
      <c r="F34613">
        <v>1420165</v>
      </c>
      <c r="G34613" t="s">
        <v>27111</v>
      </c>
      <c r="H34613" s="21">
        <v>500</v>
      </c>
    </row>
    <row r="34614" spans="1:8" customFormat="1" x14ac:dyDescent="0.25">
      <c r="A34614" t="str">
        <f>"301055"</f>
        <v>301055</v>
      </c>
      <c r="B34614" t="s">
        <v>7016</v>
      </c>
      <c r="C34614" t="s">
        <v>239</v>
      </c>
      <c r="D34614" s="21" t="s">
        <v>34</v>
      </c>
      <c r="E34614" s="21" t="s">
        <v>1089</v>
      </c>
      <c r="F34614">
        <v>11300006</v>
      </c>
      <c r="G34614" t="s">
        <v>23386</v>
      </c>
      <c r="H34614" s="21">
        <v>500</v>
      </c>
    </row>
    <row r="34615" spans="1:8" customFormat="1" x14ac:dyDescent="0.25">
      <c r="A34615" t="str">
        <f>"7718330"</f>
        <v>7718330</v>
      </c>
      <c r="B34615" t="s">
        <v>990</v>
      </c>
      <c r="C34615" t="s">
        <v>267</v>
      </c>
      <c r="D34615" s="21" t="s">
        <v>34</v>
      </c>
      <c r="E34615" s="21" t="s">
        <v>1089</v>
      </c>
      <c r="F34615">
        <v>8771315</v>
      </c>
      <c r="G34615" t="s">
        <v>7070</v>
      </c>
      <c r="H34615" s="21">
        <v>500</v>
      </c>
    </row>
    <row r="34616" spans="1:8" customFormat="1" x14ac:dyDescent="0.25">
      <c r="A34616" t="str">
        <f>"4216766"</f>
        <v>4216766</v>
      </c>
      <c r="B34616" t="s">
        <v>23490</v>
      </c>
      <c r="C34616" t="s">
        <v>3010</v>
      </c>
      <c r="D34616" s="21" t="s">
        <v>34</v>
      </c>
      <c r="E34616" s="21" t="s">
        <v>71</v>
      </c>
      <c r="F34616">
        <v>1420148</v>
      </c>
      <c r="G34616" t="s">
        <v>10763</v>
      </c>
      <c r="H34616" s="21">
        <v>500</v>
      </c>
    </row>
    <row r="34617" spans="1:8" customFormat="1" x14ac:dyDescent="0.25">
      <c r="A34617" t="str">
        <f>"7610132"</f>
        <v>7610132</v>
      </c>
      <c r="B34617" t="s">
        <v>67</v>
      </c>
      <c r="C34617" t="s">
        <v>2529</v>
      </c>
      <c r="D34617" s="21" t="s">
        <v>34</v>
      </c>
      <c r="E34617" s="21" t="s">
        <v>71</v>
      </c>
      <c r="F34617">
        <v>9760167</v>
      </c>
      <c r="G34617" t="s">
        <v>13836</v>
      </c>
      <c r="H34617" s="21">
        <v>500</v>
      </c>
    </row>
    <row r="34618" spans="1:8" customFormat="1" x14ac:dyDescent="0.25">
      <c r="A34618" t="str">
        <f>"7641061"</f>
        <v>7641061</v>
      </c>
      <c r="B34618" t="s">
        <v>4589</v>
      </c>
      <c r="C34618" t="s">
        <v>239</v>
      </c>
      <c r="D34618" s="21" t="s">
        <v>34</v>
      </c>
      <c r="E34618" s="21" t="s">
        <v>1089</v>
      </c>
      <c r="F34618">
        <v>9760259</v>
      </c>
      <c r="G34618" t="s">
        <v>6926</v>
      </c>
      <c r="H34618" s="21">
        <v>500</v>
      </c>
    </row>
    <row r="34619" spans="1:8" customFormat="1" x14ac:dyDescent="0.25">
      <c r="A34619" t="str">
        <f>"3832391"</f>
        <v>3832391</v>
      </c>
      <c r="B34619" t="s">
        <v>28886</v>
      </c>
      <c r="C34619" t="s">
        <v>493</v>
      </c>
      <c r="D34619" s="21" t="s">
        <v>34</v>
      </c>
      <c r="E34619" s="21" t="s">
        <v>71</v>
      </c>
      <c r="F34619">
        <v>1380117</v>
      </c>
      <c r="G34619" t="s">
        <v>6062</v>
      </c>
      <c r="H34619" s="21">
        <v>500</v>
      </c>
    </row>
    <row r="34620" spans="1:8" customFormat="1" x14ac:dyDescent="0.25">
      <c r="A34620" t="str">
        <f>"9146535"</f>
        <v>9146535</v>
      </c>
      <c r="B34620" t="s">
        <v>4662</v>
      </c>
      <c r="C34620" t="s">
        <v>1294</v>
      </c>
      <c r="D34620" s="21" t="s">
        <v>34</v>
      </c>
      <c r="E34620" s="21" t="s">
        <v>35</v>
      </c>
      <c r="F34620">
        <v>8911161</v>
      </c>
      <c r="G34620" t="s">
        <v>599</v>
      </c>
      <c r="H34620" s="21">
        <v>500</v>
      </c>
    </row>
    <row r="34621" spans="1:8" customFormat="1" x14ac:dyDescent="0.25">
      <c r="A34621" t="str">
        <f>"411097"</f>
        <v>411097</v>
      </c>
      <c r="B34621" t="s">
        <v>2738</v>
      </c>
      <c r="C34621" t="s">
        <v>750</v>
      </c>
      <c r="D34621" s="21" t="s">
        <v>34</v>
      </c>
      <c r="E34621" s="21" t="s">
        <v>1089</v>
      </c>
      <c r="F34621">
        <v>4410466</v>
      </c>
      <c r="G34621" t="s">
        <v>678</v>
      </c>
      <c r="H34621" s="21">
        <v>500</v>
      </c>
    </row>
    <row r="34622" spans="1:8" customFormat="1" x14ac:dyDescent="0.25">
      <c r="A34622" t="str">
        <f>"125283"</f>
        <v>125283</v>
      </c>
      <c r="B34622" t="s">
        <v>5556</v>
      </c>
      <c r="C34622" t="s">
        <v>812</v>
      </c>
      <c r="D34622" s="21" t="s">
        <v>34</v>
      </c>
      <c r="E34622" s="21" t="s">
        <v>254</v>
      </c>
      <c r="F34622">
        <v>11120046</v>
      </c>
      <c r="G34622" t="s">
        <v>15491</v>
      </c>
      <c r="H34622" s="21">
        <v>500</v>
      </c>
    </row>
    <row r="34623" spans="1:8" customFormat="1" x14ac:dyDescent="0.25">
      <c r="A34623" t="str">
        <f>"6019840"</f>
        <v>6019840</v>
      </c>
      <c r="B34623" t="s">
        <v>22692</v>
      </c>
      <c r="C34623" t="s">
        <v>124</v>
      </c>
      <c r="D34623" s="21" t="s">
        <v>34</v>
      </c>
      <c r="E34623" s="21" t="s">
        <v>71</v>
      </c>
      <c r="F34623">
        <v>7600008</v>
      </c>
      <c r="G34623" t="s">
        <v>4646</v>
      </c>
      <c r="H34623" s="21">
        <v>500</v>
      </c>
    </row>
    <row r="34624" spans="1:8" customFormat="1" x14ac:dyDescent="0.25">
      <c r="A34624" t="str">
        <f>"8313918"</f>
        <v>8313918</v>
      </c>
      <c r="B34624" t="s">
        <v>21733</v>
      </c>
      <c r="C34624" t="s">
        <v>415</v>
      </c>
      <c r="D34624" s="21" t="s">
        <v>34</v>
      </c>
      <c r="E34624" s="21" t="s">
        <v>1089</v>
      </c>
      <c r="F34624">
        <v>13830068</v>
      </c>
      <c r="G34624" t="s">
        <v>6181</v>
      </c>
      <c r="H34624" s="21">
        <v>500</v>
      </c>
    </row>
    <row r="34625" spans="1:8" customFormat="1" x14ac:dyDescent="0.25">
      <c r="A34625" t="str">
        <f>"3829066"</f>
        <v>3829066</v>
      </c>
      <c r="B34625" t="s">
        <v>2405</v>
      </c>
      <c r="C34625" t="s">
        <v>867</v>
      </c>
      <c r="D34625" s="21" t="s">
        <v>34</v>
      </c>
      <c r="E34625" s="21" t="s">
        <v>35</v>
      </c>
      <c r="F34625">
        <v>1380056</v>
      </c>
      <c r="G34625" t="s">
        <v>846</v>
      </c>
      <c r="H34625" s="21">
        <v>500</v>
      </c>
    </row>
    <row r="34626" spans="1:8" customFormat="1" x14ac:dyDescent="0.25">
      <c r="A34626" t="str">
        <f>"8314106"</f>
        <v>8314106</v>
      </c>
      <c r="B34626" t="s">
        <v>3942</v>
      </c>
      <c r="C34626" t="s">
        <v>841</v>
      </c>
      <c r="D34626" s="21" t="s">
        <v>34</v>
      </c>
      <c r="E34626" s="21" t="s">
        <v>254</v>
      </c>
      <c r="F34626">
        <v>13830086</v>
      </c>
      <c r="G34626" t="s">
        <v>19900</v>
      </c>
      <c r="H34626" s="21">
        <v>500</v>
      </c>
    </row>
    <row r="34627" spans="1:8" customFormat="1" x14ac:dyDescent="0.25">
      <c r="A34627" t="str">
        <f>"5432322"</f>
        <v>5432322</v>
      </c>
      <c r="B34627" t="s">
        <v>1611</v>
      </c>
      <c r="C34627" t="s">
        <v>98</v>
      </c>
      <c r="D34627" s="21" t="s">
        <v>34</v>
      </c>
      <c r="E34627" s="21" t="s">
        <v>35</v>
      </c>
      <c r="F34627">
        <v>6540197</v>
      </c>
      <c r="G34627" t="s">
        <v>16519</v>
      </c>
      <c r="H34627" s="21">
        <v>500</v>
      </c>
    </row>
    <row r="34628" spans="1:8" customFormat="1" x14ac:dyDescent="0.25">
      <c r="A34628" t="str">
        <f>"9522091"</f>
        <v>9522091</v>
      </c>
      <c r="B34628" t="s">
        <v>1278</v>
      </c>
      <c r="C34628" t="s">
        <v>58</v>
      </c>
      <c r="D34628" s="21" t="s">
        <v>34</v>
      </c>
      <c r="E34628" s="21" t="s">
        <v>35</v>
      </c>
      <c r="F34628">
        <v>10170162</v>
      </c>
      <c r="G34628" t="s">
        <v>2817</v>
      </c>
      <c r="H34628" s="21">
        <v>500</v>
      </c>
    </row>
    <row r="34629" spans="1:8" customFormat="1" x14ac:dyDescent="0.25">
      <c r="A34629" t="str">
        <f>"9D3110"</f>
        <v>9D3110</v>
      </c>
      <c r="B34629" t="s">
        <v>28887</v>
      </c>
      <c r="C34629" t="s">
        <v>28888</v>
      </c>
      <c r="D34629" s="21" t="s">
        <v>34</v>
      </c>
      <c r="E34629" s="21" t="s">
        <v>71</v>
      </c>
      <c r="F34629" t="s">
        <v>2462</v>
      </c>
      <c r="G34629" t="s">
        <v>2463</v>
      </c>
      <c r="H34629" s="21">
        <v>500</v>
      </c>
    </row>
    <row r="34630" spans="1:8" customFormat="1" x14ac:dyDescent="0.25">
      <c r="A34630" t="str">
        <f>"4213640"</f>
        <v>4213640</v>
      </c>
      <c r="B34630" t="s">
        <v>20972</v>
      </c>
      <c r="C34630" t="s">
        <v>1705</v>
      </c>
      <c r="D34630" s="21" t="s">
        <v>34</v>
      </c>
      <c r="E34630" s="21" t="s">
        <v>254</v>
      </c>
      <c r="F34630">
        <v>1420117</v>
      </c>
      <c r="G34630" t="s">
        <v>2649</v>
      </c>
      <c r="H34630" s="21">
        <v>500</v>
      </c>
    </row>
    <row r="34631" spans="1:8" customFormat="1" x14ac:dyDescent="0.25">
      <c r="A34631" t="str">
        <f>"0613198"</f>
        <v>0613198</v>
      </c>
      <c r="B34631" t="s">
        <v>23397</v>
      </c>
      <c r="C34631" t="s">
        <v>3905</v>
      </c>
      <c r="D34631" s="21" t="s">
        <v>34</v>
      </c>
      <c r="E34631" s="21" t="s">
        <v>6185</v>
      </c>
      <c r="F34631">
        <v>13060005</v>
      </c>
      <c r="G34631" t="s">
        <v>3609</v>
      </c>
      <c r="H34631" s="21">
        <v>500</v>
      </c>
    </row>
    <row r="34632" spans="1:8" customFormat="1" x14ac:dyDescent="0.25">
      <c r="A34632" t="str">
        <f>"897990"</f>
        <v>897990</v>
      </c>
      <c r="B34632" t="s">
        <v>22993</v>
      </c>
      <c r="C34632" t="s">
        <v>3109</v>
      </c>
      <c r="D34632" s="21" t="s">
        <v>34</v>
      </c>
      <c r="E34632" s="21" t="s">
        <v>254</v>
      </c>
      <c r="F34632">
        <v>2890006</v>
      </c>
      <c r="G34632" t="s">
        <v>2044</v>
      </c>
      <c r="H34632" s="21">
        <v>500</v>
      </c>
    </row>
    <row r="34633" spans="1:8" customFormat="1" x14ac:dyDescent="0.25">
      <c r="A34633" t="str">
        <f>"479974"</f>
        <v>479974</v>
      </c>
      <c r="B34633" t="s">
        <v>771</v>
      </c>
      <c r="C34633" t="s">
        <v>1714</v>
      </c>
      <c r="D34633" s="21" t="s">
        <v>34</v>
      </c>
      <c r="E34633" s="21" t="s">
        <v>254</v>
      </c>
      <c r="F34633">
        <v>10470021</v>
      </c>
      <c r="G34633" t="s">
        <v>1034</v>
      </c>
      <c r="H34633" s="21">
        <v>500</v>
      </c>
    </row>
    <row r="34634" spans="1:8" customFormat="1" x14ac:dyDescent="0.25">
      <c r="A34634" t="str">
        <f>"0211517"</f>
        <v>0211517</v>
      </c>
      <c r="B34634" t="s">
        <v>24122</v>
      </c>
      <c r="C34634" t="s">
        <v>323</v>
      </c>
      <c r="D34634" s="21" t="s">
        <v>34</v>
      </c>
      <c r="E34634" s="21" t="s">
        <v>71</v>
      </c>
      <c r="F34634">
        <v>7020040</v>
      </c>
      <c r="G34634" t="s">
        <v>1698</v>
      </c>
      <c r="H34634" s="21">
        <v>500</v>
      </c>
    </row>
    <row r="34635" spans="1:8" customFormat="1" x14ac:dyDescent="0.25">
      <c r="A34635" t="str">
        <f>"37114"</f>
        <v>37114</v>
      </c>
      <c r="B34635" t="s">
        <v>11654</v>
      </c>
      <c r="C34635" t="s">
        <v>253</v>
      </c>
      <c r="D34635" s="21" t="s">
        <v>34</v>
      </c>
      <c r="E34635" s="21" t="s">
        <v>6185</v>
      </c>
      <c r="F34635">
        <v>4370002</v>
      </c>
      <c r="G34635" t="s">
        <v>112</v>
      </c>
      <c r="H34635" s="21">
        <v>500</v>
      </c>
    </row>
    <row r="34636" spans="1:8" customFormat="1" x14ac:dyDescent="0.25">
      <c r="A34636" t="str">
        <f>"7881856"</f>
        <v>7881856</v>
      </c>
      <c r="B34636" t="s">
        <v>10249</v>
      </c>
      <c r="C34636" t="s">
        <v>156</v>
      </c>
      <c r="D34636" s="21" t="s">
        <v>34</v>
      </c>
      <c r="E34636" s="21" t="s">
        <v>1089</v>
      </c>
      <c r="F34636">
        <v>8780674</v>
      </c>
      <c r="G34636" t="s">
        <v>26585</v>
      </c>
      <c r="H34636" s="21">
        <v>500</v>
      </c>
    </row>
    <row r="34637" spans="1:8" customFormat="1" x14ac:dyDescent="0.25">
      <c r="A34637" t="str">
        <f>"9147226"</f>
        <v>9147226</v>
      </c>
      <c r="B34637" t="s">
        <v>28889</v>
      </c>
      <c r="C34637" t="s">
        <v>498</v>
      </c>
      <c r="D34637" s="21" t="s">
        <v>34</v>
      </c>
      <c r="E34637" s="21" t="s">
        <v>35</v>
      </c>
      <c r="F34637">
        <v>8910652</v>
      </c>
      <c r="G34637" t="s">
        <v>6533</v>
      </c>
      <c r="H34637" s="21">
        <v>500</v>
      </c>
    </row>
    <row r="34638" spans="1:8" customFormat="1" x14ac:dyDescent="0.25">
      <c r="A34638" t="str">
        <f>"5934032"</f>
        <v>5934032</v>
      </c>
      <c r="B34638" t="s">
        <v>28890</v>
      </c>
      <c r="C34638" t="s">
        <v>269</v>
      </c>
      <c r="D34638" s="21" t="s">
        <v>34</v>
      </c>
      <c r="E34638" s="21" t="s">
        <v>254</v>
      </c>
      <c r="F34638">
        <v>7590281</v>
      </c>
      <c r="G34638" t="s">
        <v>7165</v>
      </c>
      <c r="H34638" s="21">
        <v>500</v>
      </c>
    </row>
    <row r="34639" spans="1:8" customFormat="1" x14ac:dyDescent="0.25">
      <c r="A34639" t="str">
        <f>"824008"</f>
        <v>824008</v>
      </c>
      <c r="B34639" t="s">
        <v>13703</v>
      </c>
      <c r="C34639" t="s">
        <v>98</v>
      </c>
      <c r="D34639" s="21" t="s">
        <v>34</v>
      </c>
      <c r="E34639" s="21" t="s">
        <v>35</v>
      </c>
      <c r="F34639">
        <v>11820032</v>
      </c>
      <c r="G34639" t="s">
        <v>14258</v>
      </c>
      <c r="H34639" s="21">
        <v>500</v>
      </c>
    </row>
    <row r="34640" spans="1:8" customFormat="1" x14ac:dyDescent="0.25">
      <c r="A34640" t="str">
        <f>"6947649"</f>
        <v>6947649</v>
      </c>
      <c r="B34640" t="s">
        <v>14703</v>
      </c>
      <c r="C34640" t="s">
        <v>28891</v>
      </c>
      <c r="D34640" s="21" t="s">
        <v>34</v>
      </c>
      <c r="E34640" s="21" t="s">
        <v>254</v>
      </c>
      <c r="F34640">
        <v>1690002</v>
      </c>
      <c r="G34640" t="s">
        <v>5604</v>
      </c>
      <c r="H34640" s="21">
        <v>500</v>
      </c>
    </row>
    <row r="34641" spans="1:8" customFormat="1" x14ac:dyDescent="0.25">
      <c r="A34641" t="str">
        <f>"9D930"</f>
        <v>9D930</v>
      </c>
      <c r="B34641" t="s">
        <v>23254</v>
      </c>
      <c r="C34641" t="s">
        <v>812</v>
      </c>
      <c r="D34641" s="21" t="s">
        <v>34</v>
      </c>
      <c r="E34641" s="21" t="s">
        <v>254</v>
      </c>
      <c r="F34641" t="s">
        <v>8815</v>
      </c>
      <c r="G34641" t="s">
        <v>8816</v>
      </c>
      <c r="H34641" s="21">
        <v>500</v>
      </c>
    </row>
    <row r="34642" spans="1:8" customFormat="1" x14ac:dyDescent="0.25">
      <c r="A34642" t="str">
        <f>"647389"</f>
        <v>647389</v>
      </c>
      <c r="B34642" t="s">
        <v>4261</v>
      </c>
      <c r="C34642" t="s">
        <v>114</v>
      </c>
      <c r="D34642" s="21" t="s">
        <v>34</v>
      </c>
      <c r="E34642" s="21" t="s">
        <v>71</v>
      </c>
      <c r="F34642">
        <v>10640023</v>
      </c>
      <c r="G34642" t="s">
        <v>8567</v>
      </c>
      <c r="H34642" s="21">
        <v>500</v>
      </c>
    </row>
    <row r="34643" spans="1:8" customFormat="1" x14ac:dyDescent="0.25">
      <c r="A34643" t="str">
        <f>"4218295"</f>
        <v>4218295</v>
      </c>
      <c r="B34643" t="s">
        <v>24363</v>
      </c>
      <c r="C34643" t="s">
        <v>1110</v>
      </c>
      <c r="D34643" s="21" t="s">
        <v>34</v>
      </c>
      <c r="E34643" s="21" t="s">
        <v>1089</v>
      </c>
      <c r="F34643">
        <v>1420078</v>
      </c>
      <c r="G34643" t="s">
        <v>4287</v>
      </c>
      <c r="H34643" s="21">
        <v>500</v>
      </c>
    </row>
    <row r="34644" spans="1:8" customFormat="1" x14ac:dyDescent="0.25">
      <c r="A34644" t="str">
        <f>"5976747"</f>
        <v>5976747</v>
      </c>
      <c r="B34644" t="s">
        <v>23241</v>
      </c>
      <c r="C34644" t="s">
        <v>204</v>
      </c>
      <c r="D34644" s="21" t="s">
        <v>34</v>
      </c>
      <c r="E34644" s="21" t="s">
        <v>35</v>
      </c>
      <c r="F34644">
        <v>7590137</v>
      </c>
      <c r="G34644" t="s">
        <v>4246</v>
      </c>
      <c r="H34644" s="21">
        <v>500</v>
      </c>
    </row>
    <row r="34645" spans="1:8" customFormat="1" x14ac:dyDescent="0.25">
      <c r="A34645" t="str">
        <f>"5021070"</f>
        <v>5021070</v>
      </c>
      <c r="B34645" t="s">
        <v>28892</v>
      </c>
      <c r="C34645" t="s">
        <v>139</v>
      </c>
      <c r="D34645" s="21" t="s">
        <v>34</v>
      </c>
      <c r="E34645" s="21" t="s">
        <v>35</v>
      </c>
      <c r="F34645">
        <v>9500059</v>
      </c>
      <c r="G34645" t="s">
        <v>26714</v>
      </c>
      <c r="H34645" s="21">
        <v>500</v>
      </c>
    </row>
    <row r="34646" spans="1:8" customFormat="1" x14ac:dyDescent="0.25">
      <c r="A34646" t="str">
        <f>"2914659"</f>
        <v>2914659</v>
      </c>
      <c r="B34646" t="s">
        <v>23113</v>
      </c>
      <c r="C34646" t="s">
        <v>40</v>
      </c>
      <c r="D34646" s="21" t="s">
        <v>34</v>
      </c>
      <c r="E34646" s="21" t="s">
        <v>71</v>
      </c>
      <c r="F34646">
        <v>3290006</v>
      </c>
      <c r="G34646" t="s">
        <v>13009</v>
      </c>
      <c r="H34646" s="21">
        <v>500</v>
      </c>
    </row>
    <row r="34647" spans="1:8" customFormat="1" x14ac:dyDescent="0.25">
      <c r="A34647" t="str">
        <f>"7880121"</f>
        <v>7880121</v>
      </c>
      <c r="B34647" t="s">
        <v>23192</v>
      </c>
      <c r="C34647" t="s">
        <v>187</v>
      </c>
      <c r="D34647" s="21" t="s">
        <v>34</v>
      </c>
      <c r="E34647" s="21" t="s">
        <v>71</v>
      </c>
      <c r="F34647">
        <v>8781476</v>
      </c>
      <c r="G34647" t="s">
        <v>23193</v>
      </c>
      <c r="H34647" s="21">
        <v>500</v>
      </c>
    </row>
    <row r="34648" spans="1:8" customFormat="1" x14ac:dyDescent="0.25">
      <c r="A34648" t="str">
        <f>"684889"</f>
        <v>684889</v>
      </c>
      <c r="B34648" t="s">
        <v>23568</v>
      </c>
      <c r="C34648" t="s">
        <v>1132</v>
      </c>
      <c r="D34648" s="21" t="s">
        <v>34</v>
      </c>
      <c r="E34648" s="21" t="s">
        <v>254</v>
      </c>
      <c r="F34648">
        <v>6680091</v>
      </c>
      <c r="G34648" t="s">
        <v>693</v>
      </c>
      <c r="H34648" s="21">
        <v>500</v>
      </c>
    </row>
    <row r="34649" spans="1:8" customFormat="1" x14ac:dyDescent="0.25">
      <c r="A34649" t="str">
        <f>"8816"</f>
        <v>8816</v>
      </c>
      <c r="B34649" t="s">
        <v>7041</v>
      </c>
      <c r="C34649" t="s">
        <v>3905</v>
      </c>
      <c r="D34649" s="21" t="s">
        <v>34</v>
      </c>
      <c r="E34649" s="21" t="s">
        <v>6185</v>
      </c>
      <c r="F34649">
        <v>6880145</v>
      </c>
      <c r="G34649" t="s">
        <v>1303</v>
      </c>
      <c r="H34649" s="21">
        <v>500</v>
      </c>
    </row>
    <row r="34650" spans="1:8" customFormat="1" x14ac:dyDescent="0.25">
      <c r="A34650" t="str">
        <f>"366081"</f>
        <v>366081</v>
      </c>
      <c r="B34650" t="s">
        <v>15883</v>
      </c>
      <c r="C34650" t="s">
        <v>547</v>
      </c>
      <c r="D34650" s="21" t="s">
        <v>34</v>
      </c>
      <c r="E34650" s="21" t="s">
        <v>254</v>
      </c>
      <c r="F34650">
        <v>4360001</v>
      </c>
      <c r="G34650" t="s">
        <v>23098</v>
      </c>
      <c r="H34650" s="21">
        <v>500</v>
      </c>
    </row>
    <row r="34651" spans="1:8" customFormat="1" x14ac:dyDescent="0.25">
      <c r="A34651" t="str">
        <f>"5978177"</f>
        <v>5978177</v>
      </c>
      <c r="B34651" t="s">
        <v>28893</v>
      </c>
      <c r="C34651" t="s">
        <v>6412</v>
      </c>
      <c r="D34651" s="21" t="s">
        <v>34</v>
      </c>
      <c r="E34651" s="21" t="s">
        <v>254</v>
      </c>
      <c r="F34651">
        <v>7590007</v>
      </c>
      <c r="G34651" t="s">
        <v>13674</v>
      </c>
      <c r="H34651" s="21">
        <v>500</v>
      </c>
    </row>
    <row r="34652" spans="1:8" customFormat="1" x14ac:dyDescent="0.25">
      <c r="A34652" t="str">
        <f>"668581"</f>
        <v>668581</v>
      </c>
      <c r="B34652" t="s">
        <v>28894</v>
      </c>
      <c r="C34652" t="s">
        <v>209</v>
      </c>
      <c r="D34652" s="21" t="s">
        <v>34</v>
      </c>
      <c r="E34652" s="21" t="s">
        <v>71</v>
      </c>
      <c r="F34652">
        <v>11660008</v>
      </c>
      <c r="G34652" t="s">
        <v>16161</v>
      </c>
      <c r="H34652" s="21">
        <v>500</v>
      </c>
    </row>
    <row r="34653" spans="1:8" customFormat="1" x14ac:dyDescent="0.25">
      <c r="A34653" t="str">
        <f>"4939385"</f>
        <v>4939385</v>
      </c>
      <c r="B34653" t="s">
        <v>8655</v>
      </c>
      <c r="C34653" t="s">
        <v>263</v>
      </c>
      <c r="D34653" s="21" t="s">
        <v>34</v>
      </c>
      <c r="E34653" s="21" t="s">
        <v>254</v>
      </c>
      <c r="F34653">
        <v>12490017</v>
      </c>
      <c r="G34653" t="s">
        <v>9393</v>
      </c>
      <c r="H34653" s="21">
        <v>500</v>
      </c>
    </row>
    <row r="34654" spans="1:8" customFormat="1" x14ac:dyDescent="0.25">
      <c r="A34654" t="str">
        <f>"2940160"</f>
        <v>2940160</v>
      </c>
      <c r="B34654" t="s">
        <v>23081</v>
      </c>
      <c r="C34654" t="s">
        <v>249</v>
      </c>
      <c r="D34654" s="21" t="s">
        <v>34</v>
      </c>
      <c r="E34654" s="21" t="s">
        <v>71</v>
      </c>
      <c r="F34654">
        <v>3290081</v>
      </c>
      <c r="G34654" t="s">
        <v>3819</v>
      </c>
      <c r="H34654" s="21">
        <v>500</v>
      </c>
    </row>
    <row r="34655" spans="1:8" customFormat="1" x14ac:dyDescent="0.25">
      <c r="A34655" t="str">
        <f>"6234385"</f>
        <v>6234385</v>
      </c>
      <c r="B34655" t="s">
        <v>22055</v>
      </c>
      <c r="C34655" t="s">
        <v>209</v>
      </c>
      <c r="D34655" s="21" t="s">
        <v>34</v>
      </c>
      <c r="E34655" s="21" t="s">
        <v>71</v>
      </c>
      <c r="F34655">
        <v>7620048</v>
      </c>
      <c r="G34655" t="s">
        <v>7467</v>
      </c>
      <c r="H34655" s="21">
        <v>500</v>
      </c>
    </row>
    <row r="34656" spans="1:8" customFormat="1" x14ac:dyDescent="0.25">
      <c r="A34656" t="str">
        <f>"7216374"</f>
        <v>7216374</v>
      </c>
      <c r="B34656" t="s">
        <v>8817</v>
      </c>
      <c r="C34656" t="s">
        <v>55</v>
      </c>
      <c r="D34656" s="21" t="s">
        <v>34</v>
      </c>
      <c r="E34656" s="21" t="s">
        <v>35</v>
      </c>
      <c r="F34656">
        <v>12720066</v>
      </c>
      <c r="G34656" t="s">
        <v>3571</v>
      </c>
      <c r="H34656" s="21">
        <v>500</v>
      </c>
    </row>
    <row r="34657" spans="1:8" customFormat="1" x14ac:dyDescent="0.25">
      <c r="A34657" t="str">
        <f>"736623"</f>
        <v>736623</v>
      </c>
      <c r="B34657" t="s">
        <v>2329</v>
      </c>
      <c r="C34657" t="s">
        <v>139</v>
      </c>
      <c r="D34657" s="21" t="s">
        <v>34</v>
      </c>
      <c r="E34657" s="21" t="s">
        <v>35</v>
      </c>
      <c r="F34657">
        <v>1730090</v>
      </c>
      <c r="G34657" t="s">
        <v>19889</v>
      </c>
      <c r="H34657" s="21">
        <v>500</v>
      </c>
    </row>
    <row r="34658" spans="1:8" customFormat="1" x14ac:dyDescent="0.25">
      <c r="A34658" t="str">
        <f>"879102"</f>
        <v>879102</v>
      </c>
      <c r="B34658" t="s">
        <v>22933</v>
      </c>
      <c r="C34658" t="s">
        <v>621</v>
      </c>
      <c r="D34658" s="21" t="s">
        <v>34</v>
      </c>
      <c r="E34658" s="21" t="s">
        <v>71</v>
      </c>
      <c r="F34658">
        <v>10870109</v>
      </c>
      <c r="G34658" t="s">
        <v>5199</v>
      </c>
      <c r="H34658" s="21">
        <v>500</v>
      </c>
    </row>
    <row r="34659" spans="1:8" customFormat="1" x14ac:dyDescent="0.25">
      <c r="A34659" t="str">
        <f>"6231337"</f>
        <v>6231337</v>
      </c>
      <c r="B34659" t="s">
        <v>10776</v>
      </c>
      <c r="C34659" t="s">
        <v>462</v>
      </c>
      <c r="D34659" s="21" t="s">
        <v>34</v>
      </c>
      <c r="E34659" s="21" t="s">
        <v>35</v>
      </c>
      <c r="F34659">
        <v>7620061</v>
      </c>
      <c r="G34659" t="s">
        <v>4448</v>
      </c>
      <c r="H34659" s="21">
        <v>500</v>
      </c>
    </row>
    <row r="34660" spans="1:8" customFormat="1" x14ac:dyDescent="0.25">
      <c r="A34660" t="str">
        <f>"4218982"</f>
        <v>4218982</v>
      </c>
      <c r="B34660" t="s">
        <v>23662</v>
      </c>
      <c r="C34660" t="s">
        <v>5848</v>
      </c>
      <c r="D34660" s="21" t="s">
        <v>34</v>
      </c>
      <c r="E34660" s="21" t="s">
        <v>254</v>
      </c>
      <c r="F34660">
        <v>1420164</v>
      </c>
      <c r="G34660" t="s">
        <v>11644</v>
      </c>
      <c r="H34660" s="21">
        <v>500</v>
      </c>
    </row>
    <row r="34661" spans="1:8" customFormat="1" x14ac:dyDescent="0.25">
      <c r="A34661" t="str">
        <f>"3119122"</f>
        <v>3119122</v>
      </c>
      <c r="B34661" t="s">
        <v>11944</v>
      </c>
      <c r="C34661" t="s">
        <v>139</v>
      </c>
      <c r="D34661" s="21" t="s">
        <v>34</v>
      </c>
      <c r="E34661" s="21" t="s">
        <v>35</v>
      </c>
      <c r="F34661">
        <v>11310129</v>
      </c>
      <c r="G34661" t="s">
        <v>4672</v>
      </c>
      <c r="H34661" s="21">
        <v>500</v>
      </c>
    </row>
    <row r="34662" spans="1:8" customFormat="1" x14ac:dyDescent="0.25">
      <c r="A34662" t="str">
        <f>"5734165"</f>
        <v>5734165</v>
      </c>
      <c r="B34662" t="s">
        <v>4704</v>
      </c>
      <c r="C34662" t="s">
        <v>124</v>
      </c>
      <c r="D34662" s="21" t="s">
        <v>34</v>
      </c>
      <c r="E34662" s="21" t="s">
        <v>71</v>
      </c>
      <c r="F34662">
        <v>6570193</v>
      </c>
      <c r="G34662" t="s">
        <v>13003</v>
      </c>
      <c r="H34662" s="21">
        <v>500</v>
      </c>
    </row>
    <row r="34663" spans="1:8" customFormat="1" x14ac:dyDescent="0.25">
      <c r="A34663" t="str">
        <f>"491067"</f>
        <v>491067</v>
      </c>
      <c r="B34663" t="s">
        <v>4535</v>
      </c>
      <c r="C34663" t="s">
        <v>253</v>
      </c>
      <c r="D34663" s="21" t="s">
        <v>34</v>
      </c>
      <c r="E34663" s="21" t="s">
        <v>6185</v>
      </c>
      <c r="F34663">
        <v>12490044</v>
      </c>
      <c r="G34663" t="s">
        <v>16825</v>
      </c>
      <c r="H34663" s="21">
        <v>500</v>
      </c>
    </row>
    <row r="34664" spans="1:8" customFormat="1" x14ac:dyDescent="0.25">
      <c r="A34664" t="str">
        <f>"9D1977"</f>
        <v>9D1977</v>
      </c>
      <c r="B34664" t="s">
        <v>2835</v>
      </c>
      <c r="C34664" t="s">
        <v>198</v>
      </c>
      <c r="D34664" s="21" t="s">
        <v>34</v>
      </c>
      <c r="E34664" s="21" t="s">
        <v>71</v>
      </c>
      <c r="F34664" t="s">
        <v>15609</v>
      </c>
      <c r="G34664" t="s">
        <v>15610</v>
      </c>
      <c r="H34664" s="21">
        <v>500</v>
      </c>
    </row>
    <row r="34665" spans="1:8" customFormat="1" x14ac:dyDescent="0.25">
      <c r="A34665" t="str">
        <f>"9F27"</f>
        <v>9F27</v>
      </c>
      <c r="B34665" t="s">
        <v>18675</v>
      </c>
      <c r="C34665" t="s">
        <v>547</v>
      </c>
      <c r="D34665" s="21" t="s">
        <v>34</v>
      </c>
      <c r="E34665" s="21" t="s">
        <v>1089</v>
      </c>
      <c r="F34665" t="s">
        <v>2126</v>
      </c>
      <c r="G34665" t="s">
        <v>2127</v>
      </c>
      <c r="H34665" s="21">
        <v>500</v>
      </c>
    </row>
    <row r="34666" spans="1:8" customFormat="1" x14ac:dyDescent="0.25">
      <c r="A34666" t="str">
        <f>"8518898"</f>
        <v>8518898</v>
      </c>
      <c r="B34666" t="s">
        <v>4516</v>
      </c>
      <c r="C34666" t="s">
        <v>2475</v>
      </c>
      <c r="D34666" s="21" t="s">
        <v>34</v>
      </c>
      <c r="E34666" s="21" t="s">
        <v>35</v>
      </c>
      <c r="F34666">
        <v>12850108</v>
      </c>
      <c r="G34666" t="s">
        <v>11093</v>
      </c>
      <c r="H34666" s="21">
        <v>500</v>
      </c>
    </row>
    <row r="34667" spans="1:8" customFormat="1" x14ac:dyDescent="0.25">
      <c r="A34667" t="str">
        <f>"8019802"</f>
        <v>8019802</v>
      </c>
      <c r="B34667" t="s">
        <v>28895</v>
      </c>
      <c r="C34667" t="s">
        <v>598</v>
      </c>
      <c r="D34667" s="21" t="s">
        <v>34</v>
      </c>
      <c r="E34667" s="21" t="s">
        <v>35</v>
      </c>
      <c r="F34667">
        <v>7800006</v>
      </c>
      <c r="G34667" t="s">
        <v>6365</v>
      </c>
      <c r="H34667" s="21">
        <v>500</v>
      </c>
    </row>
    <row r="34668" spans="1:8" customFormat="1" x14ac:dyDescent="0.25">
      <c r="A34668" t="str">
        <f>"7861788"</f>
        <v>7861788</v>
      </c>
      <c r="B34668" t="s">
        <v>8522</v>
      </c>
      <c r="C34668" t="s">
        <v>33</v>
      </c>
      <c r="D34668" s="21" t="s">
        <v>34</v>
      </c>
      <c r="E34668" s="21" t="s">
        <v>35</v>
      </c>
      <c r="F34668">
        <v>8781469</v>
      </c>
      <c r="G34668" t="s">
        <v>4779</v>
      </c>
      <c r="H34668" s="21">
        <v>500</v>
      </c>
    </row>
    <row r="34669" spans="1:8" customFormat="1" x14ac:dyDescent="0.25">
      <c r="A34669" t="str">
        <f>"3828371"</f>
        <v>3828371</v>
      </c>
      <c r="B34669" t="s">
        <v>22834</v>
      </c>
      <c r="C34669" t="s">
        <v>1132</v>
      </c>
      <c r="D34669" s="21" t="s">
        <v>34</v>
      </c>
      <c r="E34669" s="21" t="s">
        <v>254</v>
      </c>
      <c r="F34669">
        <v>1380287</v>
      </c>
      <c r="G34669" t="s">
        <v>14614</v>
      </c>
      <c r="H34669" s="21">
        <v>500</v>
      </c>
    </row>
    <row r="34670" spans="1:8" customFormat="1" x14ac:dyDescent="0.25">
      <c r="A34670" t="str">
        <f>"042298"</f>
        <v>042298</v>
      </c>
      <c r="B34670" t="s">
        <v>6085</v>
      </c>
      <c r="C34670" t="s">
        <v>639</v>
      </c>
      <c r="D34670" s="21" t="s">
        <v>34</v>
      </c>
      <c r="E34670" s="21" t="s">
        <v>1089</v>
      </c>
      <c r="F34670">
        <v>13040015</v>
      </c>
      <c r="G34670" t="s">
        <v>7151</v>
      </c>
      <c r="H34670" s="21">
        <v>500</v>
      </c>
    </row>
    <row r="34671" spans="1:8" customFormat="1" x14ac:dyDescent="0.25">
      <c r="A34671" t="str">
        <f>"729769"</f>
        <v>729769</v>
      </c>
      <c r="B34671" t="s">
        <v>6904</v>
      </c>
      <c r="C34671" t="s">
        <v>269</v>
      </c>
      <c r="D34671" s="21" t="s">
        <v>34</v>
      </c>
      <c r="E34671" s="21" t="s">
        <v>71</v>
      </c>
      <c r="F34671">
        <v>12720070</v>
      </c>
      <c r="G34671" t="s">
        <v>2348</v>
      </c>
      <c r="H34671" s="21">
        <v>500</v>
      </c>
    </row>
    <row r="34672" spans="1:8" customFormat="1" x14ac:dyDescent="0.25">
      <c r="A34672" t="str">
        <f>"3427408"</f>
        <v>3427408</v>
      </c>
      <c r="B34672" t="s">
        <v>28896</v>
      </c>
      <c r="C34672" t="s">
        <v>33</v>
      </c>
      <c r="D34672" s="21" t="s">
        <v>34</v>
      </c>
      <c r="E34672" s="21" t="s">
        <v>35</v>
      </c>
      <c r="F34672">
        <v>11340033</v>
      </c>
      <c r="G34672" t="s">
        <v>433</v>
      </c>
      <c r="H34672" s="21">
        <v>500</v>
      </c>
    </row>
    <row r="34673" spans="1:8" customFormat="1" x14ac:dyDescent="0.25">
      <c r="A34673" t="str">
        <f>"6234223"</f>
        <v>6234223</v>
      </c>
      <c r="B34673" t="s">
        <v>28897</v>
      </c>
      <c r="C34673" t="s">
        <v>55</v>
      </c>
      <c r="D34673" s="21" t="s">
        <v>34</v>
      </c>
      <c r="E34673" s="21" t="s">
        <v>254</v>
      </c>
      <c r="F34673">
        <v>7620048</v>
      </c>
      <c r="G34673" t="s">
        <v>7467</v>
      </c>
      <c r="H34673" s="21">
        <v>500</v>
      </c>
    </row>
    <row r="34674" spans="1:8" customFormat="1" x14ac:dyDescent="0.25">
      <c r="A34674" t="str">
        <f>"3119870"</f>
        <v>3119870</v>
      </c>
      <c r="B34674" t="s">
        <v>28898</v>
      </c>
      <c r="C34674" t="s">
        <v>926</v>
      </c>
      <c r="D34674" s="21" t="s">
        <v>34</v>
      </c>
      <c r="E34674" s="21" t="s">
        <v>1089</v>
      </c>
      <c r="F34674">
        <v>11310076</v>
      </c>
      <c r="G34674" t="s">
        <v>5782</v>
      </c>
      <c r="H34674" s="21">
        <v>500</v>
      </c>
    </row>
    <row r="34675" spans="1:8" customFormat="1" x14ac:dyDescent="0.25">
      <c r="A34675" t="str">
        <f>"668040"</f>
        <v>668040</v>
      </c>
      <c r="B34675" t="s">
        <v>14487</v>
      </c>
      <c r="C34675" t="s">
        <v>3010</v>
      </c>
      <c r="D34675" s="21" t="s">
        <v>34</v>
      </c>
      <c r="E34675" s="21" t="s">
        <v>35</v>
      </c>
      <c r="F34675">
        <v>11660007</v>
      </c>
      <c r="G34675" t="s">
        <v>5840</v>
      </c>
      <c r="H34675" s="21">
        <v>500</v>
      </c>
    </row>
    <row r="34676" spans="1:8" customFormat="1" x14ac:dyDescent="0.25">
      <c r="A34676" t="str">
        <f>"044079"</f>
        <v>044079</v>
      </c>
      <c r="B34676" t="s">
        <v>28899</v>
      </c>
      <c r="C34676" t="s">
        <v>750</v>
      </c>
      <c r="D34676" s="21" t="s">
        <v>34</v>
      </c>
      <c r="E34676" s="21" t="s">
        <v>254</v>
      </c>
      <c r="F34676">
        <v>13040023</v>
      </c>
      <c r="G34676" t="s">
        <v>2542</v>
      </c>
      <c r="H34676" s="21">
        <v>500</v>
      </c>
    </row>
    <row r="34677" spans="1:8" customFormat="1" x14ac:dyDescent="0.25">
      <c r="A34677" t="str">
        <f>"2930706"</f>
        <v>2930706</v>
      </c>
      <c r="B34677" t="s">
        <v>356</v>
      </c>
      <c r="C34677" t="s">
        <v>1110</v>
      </c>
      <c r="D34677" s="21" t="s">
        <v>34</v>
      </c>
      <c r="E34677" s="21" t="s">
        <v>1089</v>
      </c>
      <c r="F34677">
        <v>3290276</v>
      </c>
      <c r="G34677" t="s">
        <v>26710</v>
      </c>
      <c r="H34677" s="21">
        <v>500</v>
      </c>
    </row>
    <row r="34678" spans="1:8" customFormat="1" x14ac:dyDescent="0.25">
      <c r="A34678" t="str">
        <f>"9530376"</f>
        <v>9530376</v>
      </c>
      <c r="B34678" t="s">
        <v>23250</v>
      </c>
      <c r="C34678" t="s">
        <v>8749</v>
      </c>
      <c r="D34678" s="21" t="s">
        <v>34</v>
      </c>
      <c r="E34678" s="21" t="s">
        <v>71</v>
      </c>
      <c r="F34678">
        <v>8950330</v>
      </c>
      <c r="G34678" t="s">
        <v>794</v>
      </c>
      <c r="H34678" s="21">
        <v>500</v>
      </c>
    </row>
    <row r="34679" spans="1:8" customFormat="1" x14ac:dyDescent="0.25">
      <c r="A34679" t="str">
        <f>"3830395"</f>
        <v>3830395</v>
      </c>
      <c r="B34679" t="s">
        <v>23346</v>
      </c>
      <c r="C34679" t="s">
        <v>58</v>
      </c>
      <c r="D34679" s="21" t="s">
        <v>34</v>
      </c>
      <c r="E34679" s="21" t="s">
        <v>35</v>
      </c>
      <c r="F34679">
        <v>1380028</v>
      </c>
      <c r="G34679" t="s">
        <v>374</v>
      </c>
      <c r="H34679" s="21">
        <v>500</v>
      </c>
    </row>
    <row r="34680" spans="1:8" customFormat="1" x14ac:dyDescent="0.25">
      <c r="A34680" t="str">
        <f>"1310356"</f>
        <v>1310356</v>
      </c>
      <c r="B34680" t="s">
        <v>23919</v>
      </c>
      <c r="C34680" t="s">
        <v>547</v>
      </c>
      <c r="D34680" s="21" t="s">
        <v>34</v>
      </c>
      <c r="E34680" s="21" t="s">
        <v>71</v>
      </c>
      <c r="F34680">
        <v>13130162</v>
      </c>
      <c r="G34680" t="s">
        <v>13411</v>
      </c>
      <c r="H34680" s="21">
        <v>500</v>
      </c>
    </row>
    <row r="34681" spans="1:8" customFormat="1" x14ac:dyDescent="0.25">
      <c r="A34681" t="str">
        <f>"4410181"</f>
        <v>4410181</v>
      </c>
      <c r="B34681" t="s">
        <v>26029</v>
      </c>
      <c r="C34681" t="s">
        <v>40</v>
      </c>
      <c r="D34681" s="21" t="s">
        <v>34</v>
      </c>
      <c r="E34681" s="21" t="s">
        <v>254</v>
      </c>
      <c r="F34681">
        <v>12440149</v>
      </c>
      <c r="G34681" t="s">
        <v>15804</v>
      </c>
      <c r="H34681" s="21">
        <v>500</v>
      </c>
    </row>
    <row r="34682" spans="1:8" customFormat="1" x14ac:dyDescent="0.25">
      <c r="A34682" t="str">
        <f>"1425697"</f>
        <v>1425697</v>
      </c>
      <c r="B34682" t="s">
        <v>22868</v>
      </c>
      <c r="C34682" t="s">
        <v>712</v>
      </c>
      <c r="D34682" s="21" t="s">
        <v>34</v>
      </c>
      <c r="E34682" s="21" t="s">
        <v>71</v>
      </c>
      <c r="F34682">
        <v>9140238</v>
      </c>
      <c r="G34682" t="s">
        <v>22869</v>
      </c>
      <c r="H34682" s="21">
        <v>500</v>
      </c>
    </row>
    <row r="34683" spans="1:8" customFormat="1" x14ac:dyDescent="0.25">
      <c r="A34683" t="str">
        <f>"4456571"</f>
        <v>4456571</v>
      </c>
      <c r="B34683" t="s">
        <v>5486</v>
      </c>
      <c r="C34683" t="s">
        <v>33</v>
      </c>
      <c r="D34683" s="21" t="s">
        <v>34</v>
      </c>
      <c r="E34683" s="21" t="s">
        <v>35</v>
      </c>
      <c r="F34683">
        <v>12440199</v>
      </c>
      <c r="G34683" t="s">
        <v>4653</v>
      </c>
      <c r="H34683" s="21">
        <v>500</v>
      </c>
    </row>
    <row r="34684" spans="1:8" customFormat="1" x14ac:dyDescent="0.25">
      <c r="A34684" t="str">
        <f>"7613777"</f>
        <v>7613777</v>
      </c>
      <c r="B34684" t="s">
        <v>24386</v>
      </c>
      <c r="C34684" t="s">
        <v>1110</v>
      </c>
      <c r="D34684" s="21" t="s">
        <v>34</v>
      </c>
      <c r="E34684" s="21" t="s">
        <v>1089</v>
      </c>
      <c r="F34684">
        <v>9760414</v>
      </c>
      <c r="G34684" t="s">
        <v>142</v>
      </c>
      <c r="H34684" s="21">
        <v>500</v>
      </c>
    </row>
    <row r="34685" spans="1:8" customFormat="1" x14ac:dyDescent="0.25">
      <c r="A34685" t="str">
        <f>"5983461"</f>
        <v>5983461</v>
      </c>
      <c r="B34685" t="s">
        <v>28900</v>
      </c>
      <c r="C34685" t="s">
        <v>28901</v>
      </c>
      <c r="D34685" s="21" t="s">
        <v>34</v>
      </c>
      <c r="E34685" s="21" t="s">
        <v>35</v>
      </c>
      <c r="F34685">
        <v>7590076</v>
      </c>
      <c r="G34685" t="s">
        <v>6662</v>
      </c>
      <c r="H34685" s="21">
        <v>500</v>
      </c>
    </row>
    <row r="34686" spans="1:8" customFormat="1" x14ac:dyDescent="0.25">
      <c r="A34686" t="str">
        <f>"6014998"</f>
        <v>6014998</v>
      </c>
      <c r="B34686" t="s">
        <v>22279</v>
      </c>
      <c r="C34686" t="s">
        <v>267</v>
      </c>
      <c r="D34686" s="21" t="s">
        <v>34</v>
      </c>
      <c r="E34686" s="21" t="s">
        <v>71</v>
      </c>
      <c r="F34686">
        <v>7600037</v>
      </c>
      <c r="G34686" t="s">
        <v>7185</v>
      </c>
      <c r="H34686" s="21">
        <v>500</v>
      </c>
    </row>
    <row r="34687" spans="1:8" customFormat="1" x14ac:dyDescent="0.25">
      <c r="A34687" t="str">
        <f>"9E1095"</f>
        <v>9E1095</v>
      </c>
      <c r="B34687" t="s">
        <v>22967</v>
      </c>
      <c r="C34687" t="s">
        <v>124</v>
      </c>
      <c r="D34687" s="21" t="s">
        <v>34</v>
      </c>
      <c r="E34687" s="21" t="s">
        <v>71</v>
      </c>
      <c r="F34687" s="24" t="s">
        <v>13124</v>
      </c>
      <c r="G34687" t="s">
        <v>13125</v>
      </c>
      <c r="H34687" s="21">
        <v>500</v>
      </c>
    </row>
    <row r="34688" spans="1:8" customFormat="1" x14ac:dyDescent="0.25">
      <c r="A34688" t="str">
        <f>"9131629"</f>
        <v>9131629</v>
      </c>
      <c r="B34688" t="s">
        <v>23062</v>
      </c>
      <c r="C34688" t="s">
        <v>1146</v>
      </c>
      <c r="D34688" s="21" t="s">
        <v>34</v>
      </c>
      <c r="E34688" s="21" t="s">
        <v>71</v>
      </c>
      <c r="F34688">
        <v>8910861</v>
      </c>
      <c r="G34688" t="s">
        <v>1120</v>
      </c>
      <c r="H34688" s="21">
        <v>500</v>
      </c>
    </row>
    <row r="34689" spans="1:8" customFormat="1" x14ac:dyDescent="0.25">
      <c r="A34689" t="str">
        <f>"5919811"</f>
        <v>5919811</v>
      </c>
      <c r="B34689" t="s">
        <v>28902</v>
      </c>
      <c r="C34689" t="s">
        <v>867</v>
      </c>
      <c r="D34689" s="21" t="s">
        <v>34</v>
      </c>
      <c r="E34689" s="21" t="s">
        <v>35</v>
      </c>
      <c r="F34689">
        <v>7590164</v>
      </c>
      <c r="G34689" t="s">
        <v>2451</v>
      </c>
      <c r="H34689" s="21">
        <v>500</v>
      </c>
    </row>
    <row r="34690" spans="1:8" customFormat="1" x14ac:dyDescent="0.25">
      <c r="A34690" t="str">
        <f>"6016821"</f>
        <v>6016821</v>
      </c>
      <c r="B34690" t="s">
        <v>23340</v>
      </c>
      <c r="C34690" t="s">
        <v>169</v>
      </c>
      <c r="D34690" s="21" t="s">
        <v>34</v>
      </c>
      <c r="E34690" s="21" t="s">
        <v>71</v>
      </c>
      <c r="F34690">
        <v>7600086</v>
      </c>
      <c r="G34690" t="s">
        <v>2399</v>
      </c>
      <c r="H34690" s="21">
        <v>500</v>
      </c>
    </row>
    <row r="34691" spans="1:8" customFormat="1" x14ac:dyDescent="0.25">
      <c r="A34691" t="str">
        <f>"3824047"</f>
        <v>3824047</v>
      </c>
      <c r="B34691" t="s">
        <v>28903</v>
      </c>
      <c r="C34691" t="s">
        <v>462</v>
      </c>
      <c r="D34691" s="21" t="s">
        <v>34</v>
      </c>
      <c r="E34691" s="21" t="s">
        <v>35</v>
      </c>
      <c r="F34691">
        <v>1380005</v>
      </c>
      <c r="G34691" t="s">
        <v>3119</v>
      </c>
      <c r="H34691" s="21">
        <v>500</v>
      </c>
    </row>
    <row r="34692" spans="1:8" customFormat="1" x14ac:dyDescent="0.25">
      <c r="A34692" t="str">
        <f>"113110"</f>
        <v>113110</v>
      </c>
      <c r="B34692" t="s">
        <v>15016</v>
      </c>
      <c r="C34692" t="s">
        <v>60</v>
      </c>
      <c r="D34692" s="21" t="s">
        <v>34</v>
      </c>
      <c r="E34692" s="21" t="s">
        <v>35</v>
      </c>
      <c r="F34692">
        <v>11110013</v>
      </c>
      <c r="G34692" t="s">
        <v>640</v>
      </c>
      <c r="H34692" s="21">
        <v>500</v>
      </c>
    </row>
    <row r="34693" spans="1:8" customFormat="1" x14ac:dyDescent="0.25">
      <c r="A34693" t="str">
        <f>"4453608"</f>
        <v>4453608</v>
      </c>
      <c r="B34693" t="s">
        <v>28904</v>
      </c>
      <c r="C34693" t="s">
        <v>33</v>
      </c>
      <c r="D34693" s="21" t="s">
        <v>34</v>
      </c>
      <c r="E34693" s="21" t="s">
        <v>71</v>
      </c>
      <c r="F34693">
        <v>12440001</v>
      </c>
      <c r="G34693" t="s">
        <v>6999</v>
      </c>
      <c r="H34693" s="21">
        <v>500</v>
      </c>
    </row>
    <row r="34694" spans="1:8" customFormat="1" x14ac:dyDescent="0.25">
      <c r="A34694" t="str">
        <f>"9246987"</f>
        <v>9246987</v>
      </c>
      <c r="B34694" t="s">
        <v>23744</v>
      </c>
      <c r="C34694" t="s">
        <v>198</v>
      </c>
      <c r="D34694" s="21" t="s">
        <v>34</v>
      </c>
      <c r="E34694" s="21" t="s">
        <v>71</v>
      </c>
      <c r="F34694">
        <v>8921322</v>
      </c>
      <c r="G34694" t="s">
        <v>27025</v>
      </c>
      <c r="H34694" s="21">
        <v>500</v>
      </c>
    </row>
    <row r="34695" spans="1:8" customFormat="1" x14ac:dyDescent="0.25">
      <c r="A34695" t="str">
        <f>"7414101"</f>
        <v>7414101</v>
      </c>
      <c r="B34695" t="s">
        <v>23687</v>
      </c>
      <c r="C34695" t="s">
        <v>169</v>
      </c>
      <c r="D34695" s="21" t="s">
        <v>34</v>
      </c>
      <c r="E34695" s="21" t="s">
        <v>35</v>
      </c>
      <c r="F34695">
        <v>1740011</v>
      </c>
      <c r="G34695" t="s">
        <v>2638</v>
      </c>
      <c r="H34695" s="21">
        <v>500</v>
      </c>
    </row>
    <row r="34696" spans="1:8" customFormat="1" x14ac:dyDescent="0.25">
      <c r="A34696" t="str">
        <f>"3713068"</f>
        <v>3713068</v>
      </c>
      <c r="B34696" t="s">
        <v>17071</v>
      </c>
      <c r="C34696" t="s">
        <v>209</v>
      </c>
      <c r="D34696" s="21" t="s">
        <v>34</v>
      </c>
      <c r="E34696" s="21" t="s">
        <v>71</v>
      </c>
      <c r="F34696">
        <v>4370167</v>
      </c>
      <c r="G34696" t="s">
        <v>8834</v>
      </c>
      <c r="H34696" s="21">
        <v>500</v>
      </c>
    </row>
    <row r="34697" spans="1:8" customFormat="1" x14ac:dyDescent="0.25">
      <c r="A34697" t="str">
        <f>"461707"</f>
        <v>461707</v>
      </c>
      <c r="B34697" t="s">
        <v>11643</v>
      </c>
      <c r="C34697" t="s">
        <v>169</v>
      </c>
      <c r="D34697" s="21" t="s">
        <v>34</v>
      </c>
      <c r="E34697" s="21" t="s">
        <v>71</v>
      </c>
      <c r="F34697">
        <v>11460017</v>
      </c>
      <c r="G34697" t="s">
        <v>7665</v>
      </c>
      <c r="H34697" s="21">
        <v>500</v>
      </c>
    </row>
    <row r="34698" spans="1:8" customFormat="1" x14ac:dyDescent="0.25">
      <c r="A34698" t="str">
        <f>"88380"</f>
        <v>88380</v>
      </c>
      <c r="B34698" t="s">
        <v>16556</v>
      </c>
      <c r="C34698" t="s">
        <v>13442</v>
      </c>
      <c r="D34698" s="21" t="s">
        <v>34</v>
      </c>
      <c r="E34698" s="21" t="s">
        <v>254</v>
      </c>
      <c r="F34698">
        <v>6880021</v>
      </c>
      <c r="G34698" t="s">
        <v>15780</v>
      </c>
      <c r="H34698" s="21">
        <v>500</v>
      </c>
    </row>
    <row r="34699" spans="1:8" customFormat="1" x14ac:dyDescent="0.25">
      <c r="A34699" t="str">
        <f>"7732419"</f>
        <v>7732419</v>
      </c>
      <c r="B34699" t="s">
        <v>28905</v>
      </c>
      <c r="C34699" t="s">
        <v>43</v>
      </c>
      <c r="D34699" s="21" t="s">
        <v>34</v>
      </c>
      <c r="E34699" s="21" t="s">
        <v>35</v>
      </c>
      <c r="F34699">
        <v>8770937</v>
      </c>
      <c r="G34699" t="s">
        <v>2119</v>
      </c>
      <c r="H34699" s="21">
        <v>500</v>
      </c>
    </row>
    <row r="34700" spans="1:8" customFormat="1" x14ac:dyDescent="0.25">
      <c r="A34700" t="str">
        <f>"8610914"</f>
        <v>8610914</v>
      </c>
      <c r="B34700" t="s">
        <v>28906</v>
      </c>
      <c r="C34700" t="s">
        <v>926</v>
      </c>
      <c r="D34700" s="21" t="s">
        <v>34</v>
      </c>
      <c r="E34700" s="21" t="s">
        <v>71</v>
      </c>
      <c r="F34700">
        <v>10860230</v>
      </c>
      <c r="G34700" t="s">
        <v>27938</v>
      </c>
      <c r="H34700" s="21">
        <v>500</v>
      </c>
    </row>
    <row r="34701" spans="1:8" customFormat="1" x14ac:dyDescent="0.25">
      <c r="A34701" t="str">
        <f>"9W11"</f>
        <v>9W11</v>
      </c>
      <c r="B34701" t="s">
        <v>22909</v>
      </c>
      <c r="C34701" t="s">
        <v>22910</v>
      </c>
      <c r="D34701" s="21" t="s">
        <v>34</v>
      </c>
      <c r="E34701" s="21" t="s">
        <v>35</v>
      </c>
      <c r="F34701" t="s">
        <v>22882</v>
      </c>
      <c r="G34701" t="s">
        <v>22883</v>
      </c>
      <c r="H34701" s="21">
        <v>500</v>
      </c>
    </row>
    <row r="34702" spans="1:8" customFormat="1" x14ac:dyDescent="0.25">
      <c r="A34702" t="str">
        <f>"9443649"</f>
        <v>9443649</v>
      </c>
      <c r="B34702" t="s">
        <v>24103</v>
      </c>
      <c r="C34702" t="s">
        <v>484</v>
      </c>
      <c r="D34702" s="21" t="s">
        <v>34</v>
      </c>
      <c r="E34702" s="21" t="s">
        <v>71</v>
      </c>
      <c r="F34702">
        <v>8940455</v>
      </c>
      <c r="G34702" t="s">
        <v>7944</v>
      </c>
      <c r="H34702" s="21">
        <v>500</v>
      </c>
    </row>
    <row r="34703" spans="1:8" customFormat="1" x14ac:dyDescent="0.25">
      <c r="A34703" t="str">
        <f>"6231790"</f>
        <v>6231790</v>
      </c>
      <c r="B34703" t="s">
        <v>24084</v>
      </c>
      <c r="C34703" t="s">
        <v>379</v>
      </c>
      <c r="D34703" s="21" t="s">
        <v>34</v>
      </c>
      <c r="E34703" s="21" t="s">
        <v>71</v>
      </c>
      <c r="F34703">
        <v>7620072</v>
      </c>
      <c r="G34703" t="s">
        <v>2185</v>
      </c>
      <c r="H34703" s="21">
        <v>500</v>
      </c>
    </row>
    <row r="34704" spans="1:8" customFormat="1" x14ac:dyDescent="0.25">
      <c r="A34704" t="str">
        <f>"6948029"</f>
        <v>6948029</v>
      </c>
      <c r="B34704" t="s">
        <v>13271</v>
      </c>
      <c r="C34704" t="s">
        <v>33</v>
      </c>
      <c r="D34704" s="21" t="s">
        <v>34</v>
      </c>
      <c r="E34704" s="21" t="s">
        <v>35</v>
      </c>
      <c r="F34704">
        <v>1690138</v>
      </c>
      <c r="G34704" t="s">
        <v>18533</v>
      </c>
      <c r="H34704" s="21">
        <v>500</v>
      </c>
    </row>
    <row r="34705" spans="1:8" customFormat="1" x14ac:dyDescent="0.25">
      <c r="A34705" t="str">
        <f>"626979"</f>
        <v>626979</v>
      </c>
      <c r="B34705" t="s">
        <v>22816</v>
      </c>
      <c r="C34705" t="s">
        <v>209</v>
      </c>
      <c r="D34705" s="21" t="s">
        <v>34</v>
      </c>
      <c r="E34705" s="21" t="s">
        <v>1089</v>
      </c>
      <c r="F34705">
        <v>7620061</v>
      </c>
      <c r="G34705" t="s">
        <v>4448</v>
      </c>
      <c r="H34705" s="21">
        <v>500</v>
      </c>
    </row>
    <row r="34706" spans="1:8" customFormat="1" x14ac:dyDescent="0.25">
      <c r="A34706" t="str">
        <f>"294384"</f>
        <v>294384</v>
      </c>
      <c r="B34706" t="s">
        <v>3480</v>
      </c>
      <c r="C34706" t="s">
        <v>2730</v>
      </c>
      <c r="D34706" s="21" t="s">
        <v>34</v>
      </c>
      <c r="E34706" s="21" t="s">
        <v>254</v>
      </c>
      <c r="F34706">
        <v>3290052</v>
      </c>
      <c r="G34706" t="s">
        <v>270</v>
      </c>
      <c r="H34706" s="21">
        <v>500</v>
      </c>
    </row>
    <row r="34707" spans="1:8" customFormat="1" x14ac:dyDescent="0.25">
      <c r="A34707" t="str">
        <f>"6939055"</f>
        <v>6939055</v>
      </c>
      <c r="B34707" t="s">
        <v>2023</v>
      </c>
      <c r="C34707" t="s">
        <v>87</v>
      </c>
      <c r="D34707" s="21" t="s">
        <v>34</v>
      </c>
      <c r="E34707" s="21" t="s">
        <v>35</v>
      </c>
      <c r="F34707">
        <v>1690175</v>
      </c>
      <c r="G34707" t="s">
        <v>410</v>
      </c>
      <c r="H34707" s="21">
        <v>500</v>
      </c>
    </row>
    <row r="34708" spans="1:8" customFormat="1" x14ac:dyDescent="0.25">
      <c r="A34708" t="str">
        <f>"6814658"</f>
        <v>6814658</v>
      </c>
      <c r="B34708" t="s">
        <v>28907</v>
      </c>
      <c r="C34708" t="s">
        <v>28908</v>
      </c>
      <c r="D34708" s="21" t="s">
        <v>34</v>
      </c>
      <c r="E34708" s="21" t="s">
        <v>71</v>
      </c>
      <c r="F34708">
        <v>6680123</v>
      </c>
      <c r="G34708" t="s">
        <v>8996</v>
      </c>
      <c r="H34708" s="21">
        <v>500</v>
      </c>
    </row>
    <row r="34709" spans="1:8" customFormat="1" x14ac:dyDescent="0.25">
      <c r="A34709" t="str">
        <f>"1311080"</f>
        <v>1311080</v>
      </c>
      <c r="B34709" t="s">
        <v>2824</v>
      </c>
      <c r="C34709" t="s">
        <v>156</v>
      </c>
      <c r="D34709" s="21" t="s">
        <v>34</v>
      </c>
      <c r="E34709" s="21" t="s">
        <v>254</v>
      </c>
      <c r="F34709">
        <v>13130156</v>
      </c>
      <c r="G34709" t="s">
        <v>16738</v>
      </c>
      <c r="H34709" s="21">
        <v>500</v>
      </c>
    </row>
    <row r="34710" spans="1:8" customFormat="1" x14ac:dyDescent="0.25">
      <c r="A34710" t="str">
        <f>"1321536"</f>
        <v>1321536</v>
      </c>
      <c r="B34710" t="s">
        <v>3006</v>
      </c>
      <c r="C34710" t="s">
        <v>119</v>
      </c>
      <c r="D34710" s="21" t="s">
        <v>34</v>
      </c>
      <c r="E34710" s="21" t="s">
        <v>35</v>
      </c>
      <c r="F34710">
        <v>13130164</v>
      </c>
      <c r="G34710" t="s">
        <v>15351</v>
      </c>
      <c r="H34710" s="21">
        <v>500</v>
      </c>
    </row>
    <row r="34711" spans="1:8" customFormat="1" x14ac:dyDescent="0.25">
      <c r="A34711" t="str">
        <f>"523684"</f>
        <v>523684</v>
      </c>
      <c r="B34711" t="s">
        <v>1098</v>
      </c>
      <c r="C34711" t="s">
        <v>1812</v>
      </c>
      <c r="D34711" s="21" t="s">
        <v>34</v>
      </c>
      <c r="E34711" s="21" t="s">
        <v>71</v>
      </c>
      <c r="F34711">
        <v>6520022</v>
      </c>
      <c r="G34711" t="s">
        <v>2041</v>
      </c>
      <c r="H34711" s="21">
        <v>500</v>
      </c>
    </row>
    <row r="34712" spans="1:8" customFormat="1" x14ac:dyDescent="0.25">
      <c r="A34712" t="str">
        <f>"3416869"</f>
        <v>3416869</v>
      </c>
      <c r="B34712" t="s">
        <v>23201</v>
      </c>
      <c r="C34712" t="s">
        <v>453</v>
      </c>
      <c r="D34712" s="21" t="s">
        <v>34</v>
      </c>
      <c r="E34712" s="21" t="s">
        <v>254</v>
      </c>
      <c r="F34712">
        <v>11340014</v>
      </c>
      <c r="G34712" t="s">
        <v>1455</v>
      </c>
      <c r="H34712" s="21">
        <v>500</v>
      </c>
    </row>
    <row r="34713" spans="1:8" customFormat="1" x14ac:dyDescent="0.25">
      <c r="A34713" t="str">
        <f>"5014865"</f>
        <v>5014865</v>
      </c>
      <c r="B34713" t="s">
        <v>14070</v>
      </c>
      <c r="C34713" t="s">
        <v>236</v>
      </c>
      <c r="D34713" s="21" t="s">
        <v>34</v>
      </c>
      <c r="E34713" s="21" t="s">
        <v>1089</v>
      </c>
      <c r="F34713">
        <v>9500031</v>
      </c>
      <c r="G34713" t="s">
        <v>11126</v>
      </c>
      <c r="H34713" s="21">
        <v>500</v>
      </c>
    </row>
    <row r="34714" spans="1:8" customFormat="1" x14ac:dyDescent="0.25">
      <c r="A34714" t="str">
        <f>"781690"</f>
        <v>781690</v>
      </c>
      <c r="B34714" t="s">
        <v>23204</v>
      </c>
      <c r="C34714" t="s">
        <v>169</v>
      </c>
      <c r="D34714" s="21" t="s">
        <v>34</v>
      </c>
      <c r="E34714" s="21" t="s">
        <v>71</v>
      </c>
      <c r="F34714">
        <v>8780674</v>
      </c>
      <c r="G34714" t="s">
        <v>26585</v>
      </c>
      <c r="H34714" s="21">
        <v>500</v>
      </c>
    </row>
    <row r="34715" spans="1:8" customFormat="1" x14ac:dyDescent="0.25">
      <c r="A34715" t="str">
        <f>"6947133"</f>
        <v>6947133</v>
      </c>
      <c r="B34715" t="s">
        <v>28909</v>
      </c>
      <c r="C34715" t="s">
        <v>4961</v>
      </c>
      <c r="D34715" s="21" t="s">
        <v>34</v>
      </c>
      <c r="E34715" s="21" t="s">
        <v>35</v>
      </c>
      <c r="F34715">
        <v>1690006</v>
      </c>
      <c r="G34715" t="s">
        <v>2543</v>
      </c>
      <c r="H34715" s="21">
        <v>500</v>
      </c>
    </row>
    <row r="34716" spans="1:8" customFormat="1" x14ac:dyDescent="0.25">
      <c r="A34716" t="str">
        <f>"79380"</f>
        <v>79380</v>
      </c>
      <c r="B34716" t="s">
        <v>20349</v>
      </c>
      <c r="C34716" t="s">
        <v>198</v>
      </c>
      <c r="D34716" s="21" t="s">
        <v>34</v>
      </c>
      <c r="E34716" s="21" t="s">
        <v>254</v>
      </c>
      <c r="F34716">
        <v>10790045</v>
      </c>
      <c r="G34716" t="s">
        <v>1498</v>
      </c>
      <c r="H34716" s="21">
        <v>500</v>
      </c>
    </row>
    <row r="34717" spans="1:8" customFormat="1" x14ac:dyDescent="0.25">
      <c r="A34717" t="str">
        <f>"85653"</f>
        <v>85653</v>
      </c>
      <c r="B34717" t="s">
        <v>9197</v>
      </c>
      <c r="C34717" t="s">
        <v>1110</v>
      </c>
      <c r="D34717" s="21" t="s">
        <v>34</v>
      </c>
      <c r="E34717" s="21" t="s">
        <v>1089</v>
      </c>
      <c r="F34717">
        <v>12850020</v>
      </c>
      <c r="G34717" t="s">
        <v>725</v>
      </c>
      <c r="H34717" s="21">
        <v>500</v>
      </c>
    </row>
    <row r="34718" spans="1:8" customFormat="1" x14ac:dyDescent="0.25">
      <c r="A34718" t="str">
        <f>"7732008"</f>
        <v>7732008</v>
      </c>
      <c r="B34718" t="s">
        <v>28910</v>
      </c>
      <c r="C34718" t="s">
        <v>169</v>
      </c>
      <c r="D34718" s="21" t="s">
        <v>34</v>
      </c>
      <c r="E34718" s="21" t="s">
        <v>71</v>
      </c>
      <c r="F34718">
        <v>8770937</v>
      </c>
      <c r="G34718" t="s">
        <v>2119</v>
      </c>
      <c r="H34718" s="21">
        <v>500</v>
      </c>
    </row>
    <row r="34719" spans="1:8" customFormat="1" x14ac:dyDescent="0.25">
      <c r="A34719" t="str">
        <f>"3727304"</f>
        <v>3727304</v>
      </c>
      <c r="B34719" t="s">
        <v>22805</v>
      </c>
      <c r="C34719" t="s">
        <v>462</v>
      </c>
      <c r="D34719" s="21" t="s">
        <v>34</v>
      </c>
      <c r="E34719" s="21" t="s">
        <v>71</v>
      </c>
      <c r="F34719">
        <v>4370669</v>
      </c>
      <c r="G34719" t="s">
        <v>8189</v>
      </c>
      <c r="H34719" s="21">
        <v>500</v>
      </c>
    </row>
    <row r="34720" spans="1:8" customFormat="1" x14ac:dyDescent="0.25">
      <c r="A34720" t="str">
        <f>"486529"</f>
        <v>486529</v>
      </c>
      <c r="B34720" t="s">
        <v>28911</v>
      </c>
      <c r="C34720" t="s">
        <v>121</v>
      </c>
      <c r="D34720" s="21" t="s">
        <v>34</v>
      </c>
      <c r="E34720" s="21" t="s">
        <v>35</v>
      </c>
      <c r="F34720">
        <v>11480020</v>
      </c>
      <c r="G34720" t="s">
        <v>5221</v>
      </c>
      <c r="H34720" s="21">
        <v>500</v>
      </c>
    </row>
    <row r="34721" spans="1:8" customFormat="1" x14ac:dyDescent="0.25">
      <c r="A34721" t="str">
        <f>"9714838"</f>
        <v>9714838</v>
      </c>
      <c r="B34721" t="s">
        <v>23522</v>
      </c>
      <c r="C34721" t="s">
        <v>87</v>
      </c>
      <c r="D34721" s="21" t="s">
        <v>34</v>
      </c>
      <c r="E34721" s="21" t="s">
        <v>71</v>
      </c>
      <c r="F34721" t="s">
        <v>731</v>
      </c>
      <c r="G34721" t="s">
        <v>732</v>
      </c>
      <c r="H34721" s="21">
        <v>500</v>
      </c>
    </row>
    <row r="34722" spans="1:8" customFormat="1" x14ac:dyDescent="0.25">
      <c r="A34722" t="str">
        <f>"6234071"</f>
        <v>6234071</v>
      </c>
      <c r="B34722" t="s">
        <v>28912</v>
      </c>
      <c r="C34722" t="s">
        <v>18720</v>
      </c>
      <c r="D34722" s="21" t="s">
        <v>34</v>
      </c>
      <c r="E34722" s="21" t="s">
        <v>35</v>
      </c>
      <c r="F34722">
        <v>7620042</v>
      </c>
      <c r="G34722" t="s">
        <v>8102</v>
      </c>
      <c r="H34722" s="21">
        <v>500</v>
      </c>
    </row>
    <row r="34723" spans="1:8" customFormat="1" x14ac:dyDescent="0.25">
      <c r="A34723" t="str">
        <f>"78985"</f>
        <v>78985</v>
      </c>
      <c r="B34723" t="s">
        <v>13500</v>
      </c>
      <c r="C34723" t="s">
        <v>598</v>
      </c>
      <c r="D34723" s="21" t="s">
        <v>34</v>
      </c>
      <c r="E34723" s="21" t="s">
        <v>6185</v>
      </c>
      <c r="F34723">
        <v>8780447</v>
      </c>
      <c r="G34723" t="s">
        <v>9215</v>
      </c>
      <c r="H34723" s="21">
        <v>500</v>
      </c>
    </row>
    <row r="34724" spans="1:8" customFormat="1" x14ac:dyDescent="0.25">
      <c r="A34724" t="str">
        <f>"9234485"</f>
        <v>9234485</v>
      </c>
      <c r="B34724" t="s">
        <v>20373</v>
      </c>
      <c r="C34724" t="s">
        <v>305</v>
      </c>
      <c r="D34724" s="21" t="s">
        <v>34</v>
      </c>
      <c r="E34724" s="21" t="s">
        <v>35</v>
      </c>
      <c r="F34724">
        <v>8920503</v>
      </c>
      <c r="G34724" t="s">
        <v>9047</v>
      </c>
      <c r="H34724" s="21">
        <v>500</v>
      </c>
    </row>
    <row r="34725" spans="1:8" customFormat="1" x14ac:dyDescent="0.25">
      <c r="A34725" t="str">
        <f>"7522660"</f>
        <v>7522660</v>
      </c>
      <c r="B34725" t="s">
        <v>21281</v>
      </c>
      <c r="C34725" t="s">
        <v>712</v>
      </c>
      <c r="D34725" s="21" t="s">
        <v>34</v>
      </c>
      <c r="E34725" s="21" t="s">
        <v>71</v>
      </c>
      <c r="F34725">
        <v>8751124</v>
      </c>
      <c r="G34725" t="s">
        <v>1481</v>
      </c>
      <c r="H34725" s="21">
        <v>500</v>
      </c>
    </row>
    <row r="34726" spans="1:8" customFormat="1" x14ac:dyDescent="0.25">
      <c r="A34726" t="str">
        <f>"6932459"</f>
        <v>6932459</v>
      </c>
      <c r="B34726" t="s">
        <v>23667</v>
      </c>
      <c r="C34726" t="s">
        <v>453</v>
      </c>
      <c r="D34726" s="21" t="s">
        <v>34</v>
      </c>
      <c r="E34726" s="21" t="s">
        <v>71</v>
      </c>
      <c r="F34726">
        <v>1690166</v>
      </c>
      <c r="G34726" t="s">
        <v>3886</v>
      </c>
      <c r="H34726" s="21">
        <v>500</v>
      </c>
    </row>
    <row r="34727" spans="1:8" customFormat="1" x14ac:dyDescent="0.25">
      <c r="A34727" t="str">
        <f>"0613035"</f>
        <v>0613035</v>
      </c>
      <c r="B34727" t="s">
        <v>23675</v>
      </c>
      <c r="C34727" t="s">
        <v>40</v>
      </c>
      <c r="D34727" s="21" t="s">
        <v>34</v>
      </c>
      <c r="E34727" s="21" t="s">
        <v>71</v>
      </c>
      <c r="F34727">
        <v>13060029</v>
      </c>
      <c r="G34727" t="s">
        <v>1345</v>
      </c>
      <c r="H34727" s="21">
        <v>500</v>
      </c>
    </row>
    <row r="34728" spans="1:8" customFormat="1" x14ac:dyDescent="0.25">
      <c r="A34728" t="str">
        <f>"3529269"</f>
        <v>3529269</v>
      </c>
      <c r="B34728" t="s">
        <v>22322</v>
      </c>
      <c r="C34728" t="s">
        <v>87</v>
      </c>
      <c r="D34728" s="21" t="s">
        <v>34</v>
      </c>
      <c r="E34728" s="21" t="s">
        <v>71</v>
      </c>
      <c r="F34728">
        <v>3350090</v>
      </c>
      <c r="G34728" t="s">
        <v>9659</v>
      </c>
      <c r="H34728" s="21">
        <v>500</v>
      </c>
    </row>
    <row r="34729" spans="1:8" customFormat="1" x14ac:dyDescent="0.25">
      <c r="A34729" t="str">
        <f>"3339103"</f>
        <v>3339103</v>
      </c>
      <c r="B34729" t="s">
        <v>2883</v>
      </c>
      <c r="C34729" t="s">
        <v>82</v>
      </c>
      <c r="D34729" s="21" t="s">
        <v>34</v>
      </c>
      <c r="E34729" s="21" t="s">
        <v>35</v>
      </c>
      <c r="F34729">
        <v>10330067</v>
      </c>
      <c r="G34729" t="s">
        <v>125</v>
      </c>
      <c r="H34729" s="21">
        <v>500</v>
      </c>
    </row>
    <row r="34730" spans="1:8" customFormat="1" x14ac:dyDescent="0.25">
      <c r="A34730" t="str">
        <f>"1424428"</f>
        <v>1424428</v>
      </c>
      <c r="B34730" t="s">
        <v>6472</v>
      </c>
      <c r="C34730" t="s">
        <v>486</v>
      </c>
      <c r="D34730" s="21" t="s">
        <v>34</v>
      </c>
      <c r="E34730" s="21" t="s">
        <v>35</v>
      </c>
      <c r="F34730">
        <v>9140179</v>
      </c>
      <c r="G34730" t="s">
        <v>10146</v>
      </c>
      <c r="H34730" s="21">
        <v>500</v>
      </c>
    </row>
    <row r="34731" spans="1:8" customFormat="1" x14ac:dyDescent="0.25">
      <c r="A34731" t="str">
        <f>"778747"</f>
        <v>778747</v>
      </c>
      <c r="B34731" t="s">
        <v>577</v>
      </c>
      <c r="C34731" t="s">
        <v>253</v>
      </c>
      <c r="D34731" s="21" t="s">
        <v>34</v>
      </c>
      <c r="E34731" s="21" t="s">
        <v>1089</v>
      </c>
      <c r="F34731">
        <v>8770426</v>
      </c>
      <c r="G34731" t="s">
        <v>1847</v>
      </c>
      <c r="H34731" s="21">
        <v>500</v>
      </c>
    </row>
    <row r="34732" spans="1:8" customFormat="1" x14ac:dyDescent="0.25">
      <c r="A34732" t="str">
        <f>"10105"</f>
        <v>10105</v>
      </c>
      <c r="B34732" t="s">
        <v>23141</v>
      </c>
      <c r="C34732" t="s">
        <v>1142</v>
      </c>
      <c r="D34732" s="21" t="s">
        <v>34</v>
      </c>
      <c r="E34732" s="21" t="s">
        <v>1089</v>
      </c>
      <c r="F34732">
        <v>6100016</v>
      </c>
      <c r="G34732" t="s">
        <v>7558</v>
      </c>
      <c r="H34732" s="21">
        <v>500</v>
      </c>
    </row>
    <row r="34733" spans="1:8" customFormat="1" x14ac:dyDescent="0.25">
      <c r="A34733" t="str">
        <f>"676886"</f>
        <v>676886</v>
      </c>
      <c r="B34733" t="s">
        <v>2032</v>
      </c>
      <c r="C34733" t="s">
        <v>236</v>
      </c>
      <c r="D34733" s="21" t="s">
        <v>34</v>
      </c>
      <c r="E34733" s="21" t="s">
        <v>254</v>
      </c>
      <c r="F34733">
        <v>6670078</v>
      </c>
      <c r="G34733" t="s">
        <v>11329</v>
      </c>
      <c r="H34733" s="21">
        <v>500</v>
      </c>
    </row>
    <row r="34734" spans="1:8" customFormat="1" x14ac:dyDescent="0.25">
      <c r="A34734" t="str">
        <f>"6948089"</f>
        <v>6948089</v>
      </c>
      <c r="B34734" t="s">
        <v>28913</v>
      </c>
      <c r="C34734" t="s">
        <v>867</v>
      </c>
      <c r="D34734" s="21" t="s">
        <v>34</v>
      </c>
      <c r="E34734" s="21" t="s">
        <v>35</v>
      </c>
      <c r="F34734">
        <v>1690194</v>
      </c>
      <c r="G34734" t="s">
        <v>5285</v>
      </c>
      <c r="H34734" s="21">
        <v>500</v>
      </c>
    </row>
    <row r="34735" spans="1:8" customFormat="1" x14ac:dyDescent="0.25">
      <c r="A34735" t="str">
        <f>"9321321"</f>
        <v>9321321</v>
      </c>
      <c r="B34735" t="s">
        <v>28914</v>
      </c>
      <c r="C34735" t="s">
        <v>3401</v>
      </c>
      <c r="D34735" s="21" t="s">
        <v>34</v>
      </c>
      <c r="E34735" s="21" t="s">
        <v>35</v>
      </c>
      <c r="F34735">
        <v>8931313</v>
      </c>
      <c r="G34735" t="s">
        <v>3305</v>
      </c>
      <c r="H34735" s="21">
        <v>500</v>
      </c>
    </row>
    <row r="34736" spans="1:8" customFormat="1" x14ac:dyDescent="0.25">
      <c r="A34736" t="str">
        <f>"587130"</f>
        <v>587130</v>
      </c>
      <c r="B34736" t="s">
        <v>22814</v>
      </c>
      <c r="C34736" t="s">
        <v>253</v>
      </c>
      <c r="D34736" s="21" t="s">
        <v>34</v>
      </c>
      <c r="E34736" s="21" t="s">
        <v>1089</v>
      </c>
      <c r="F34736">
        <v>2580017</v>
      </c>
      <c r="G34736" t="s">
        <v>7044</v>
      </c>
      <c r="H34736" s="21">
        <v>500</v>
      </c>
    </row>
    <row r="34737" spans="1:8" customFormat="1" x14ac:dyDescent="0.25">
      <c r="A34737" t="str">
        <f>"7732196"</f>
        <v>7732196</v>
      </c>
      <c r="B34737" t="s">
        <v>890</v>
      </c>
      <c r="C34737" t="s">
        <v>249</v>
      </c>
      <c r="D34737" s="21" t="s">
        <v>34</v>
      </c>
      <c r="E34737" s="21" t="s">
        <v>71</v>
      </c>
      <c r="F34737">
        <v>8771398</v>
      </c>
      <c r="G34737" t="s">
        <v>2759</v>
      </c>
      <c r="H34737" s="21">
        <v>500</v>
      </c>
    </row>
    <row r="34738" spans="1:8" customFormat="1" x14ac:dyDescent="0.25">
      <c r="A34738" t="str">
        <f>"6725932"</f>
        <v>6725932</v>
      </c>
      <c r="B34738" t="s">
        <v>20884</v>
      </c>
      <c r="C34738" t="s">
        <v>1468</v>
      </c>
      <c r="D34738" s="21" t="s">
        <v>34</v>
      </c>
      <c r="E34738" s="21" t="s">
        <v>71</v>
      </c>
      <c r="F34738">
        <v>6670271</v>
      </c>
      <c r="G34738" t="s">
        <v>5193</v>
      </c>
      <c r="H34738" s="21">
        <v>500</v>
      </c>
    </row>
    <row r="34739" spans="1:8" customFormat="1" x14ac:dyDescent="0.25">
      <c r="A34739" t="str">
        <f>"0812544"</f>
        <v>0812544</v>
      </c>
      <c r="B34739" t="s">
        <v>28915</v>
      </c>
      <c r="C34739" t="s">
        <v>412</v>
      </c>
      <c r="D34739" s="21" t="s">
        <v>34</v>
      </c>
      <c r="E34739" s="21" t="s">
        <v>254</v>
      </c>
      <c r="F34739">
        <v>6080092</v>
      </c>
      <c r="G34739" t="s">
        <v>7668</v>
      </c>
      <c r="H34739" s="21">
        <v>500</v>
      </c>
    </row>
    <row r="34740" spans="1:8" customFormat="1" x14ac:dyDescent="0.25">
      <c r="A34740" t="str">
        <f>"3010100"</f>
        <v>3010100</v>
      </c>
      <c r="B34740" t="s">
        <v>23744</v>
      </c>
      <c r="C34740" t="s">
        <v>119</v>
      </c>
      <c r="D34740" s="21" t="s">
        <v>34</v>
      </c>
      <c r="E34740" s="21" t="s">
        <v>35</v>
      </c>
      <c r="F34740">
        <v>11300028</v>
      </c>
      <c r="G34740" t="s">
        <v>18879</v>
      </c>
      <c r="H34740" s="21">
        <v>500</v>
      </c>
    </row>
    <row r="34741" spans="1:8" customFormat="1" x14ac:dyDescent="0.25">
      <c r="A34741" t="str">
        <f>"3346263"</f>
        <v>3346263</v>
      </c>
      <c r="B34741" t="s">
        <v>28916</v>
      </c>
      <c r="C34741" t="s">
        <v>198</v>
      </c>
      <c r="D34741" s="21" t="s">
        <v>34</v>
      </c>
      <c r="E34741" s="21" t="s">
        <v>254</v>
      </c>
      <c r="F34741">
        <v>10330098</v>
      </c>
      <c r="G34741" t="s">
        <v>8299</v>
      </c>
      <c r="H34741" s="21">
        <v>500</v>
      </c>
    </row>
    <row r="34742" spans="1:8" customFormat="1" x14ac:dyDescent="0.25">
      <c r="A34742" t="str">
        <f>"9459816"</f>
        <v>9459816</v>
      </c>
      <c r="B34742" t="s">
        <v>17708</v>
      </c>
      <c r="C34742" t="s">
        <v>171</v>
      </c>
      <c r="D34742" s="21" t="s">
        <v>34</v>
      </c>
      <c r="E34742" s="21" t="s">
        <v>71</v>
      </c>
      <c r="F34742">
        <v>8940070</v>
      </c>
      <c r="G34742" t="s">
        <v>2320</v>
      </c>
      <c r="H34742" s="21">
        <v>500</v>
      </c>
    </row>
    <row r="34743" spans="1:8" customFormat="1" x14ac:dyDescent="0.25">
      <c r="A34743" t="str">
        <f>"1422581"</f>
        <v>1422581</v>
      </c>
      <c r="B34743" t="s">
        <v>1619</v>
      </c>
      <c r="C34743" t="s">
        <v>2479</v>
      </c>
      <c r="D34743" s="21" t="s">
        <v>34</v>
      </c>
      <c r="E34743" s="21" t="s">
        <v>1089</v>
      </c>
      <c r="F34743">
        <v>9140012</v>
      </c>
      <c r="G34743" t="s">
        <v>26518</v>
      </c>
      <c r="H34743" s="21">
        <v>500</v>
      </c>
    </row>
    <row r="34744" spans="1:8" customFormat="1" x14ac:dyDescent="0.25">
      <c r="A34744" t="str">
        <f>"663336"</f>
        <v>663336</v>
      </c>
      <c r="B34744" t="s">
        <v>28917</v>
      </c>
      <c r="C34744" t="s">
        <v>2520</v>
      </c>
      <c r="D34744" s="21" t="s">
        <v>34</v>
      </c>
      <c r="E34744" s="21" t="s">
        <v>71</v>
      </c>
      <c r="F34744">
        <v>11660040</v>
      </c>
      <c r="G34744" t="s">
        <v>17413</v>
      </c>
      <c r="H34744" s="21">
        <v>500</v>
      </c>
    </row>
    <row r="34745" spans="1:8" customFormat="1" x14ac:dyDescent="0.25">
      <c r="A34745" t="str">
        <f>"511579"</f>
        <v>511579</v>
      </c>
      <c r="B34745" t="s">
        <v>5388</v>
      </c>
      <c r="C34745" t="s">
        <v>639</v>
      </c>
      <c r="D34745" s="21" t="s">
        <v>34</v>
      </c>
      <c r="E34745" s="21" t="s">
        <v>1089</v>
      </c>
      <c r="F34745">
        <v>6510001</v>
      </c>
      <c r="G34745" t="s">
        <v>286</v>
      </c>
      <c r="H34745" s="21">
        <v>500</v>
      </c>
    </row>
    <row r="34746" spans="1:8" customFormat="1" x14ac:dyDescent="0.25">
      <c r="A34746" t="str">
        <f>"9B983"</f>
        <v>9B983</v>
      </c>
      <c r="B34746" t="s">
        <v>23582</v>
      </c>
      <c r="C34746" t="s">
        <v>3905</v>
      </c>
      <c r="D34746" s="21" t="s">
        <v>34</v>
      </c>
      <c r="E34746" s="21" t="s">
        <v>254</v>
      </c>
      <c r="F34746" t="s">
        <v>1403</v>
      </c>
      <c r="G34746" t="s">
        <v>1404</v>
      </c>
      <c r="H34746" s="21">
        <v>500</v>
      </c>
    </row>
    <row r="34747" spans="1:8" customFormat="1" x14ac:dyDescent="0.25">
      <c r="A34747" t="str">
        <f>"2933618"</f>
        <v>2933618</v>
      </c>
      <c r="B34747" t="s">
        <v>3958</v>
      </c>
      <c r="C34747" t="s">
        <v>412</v>
      </c>
      <c r="D34747" s="21" t="s">
        <v>34</v>
      </c>
      <c r="E34747" s="21" t="s">
        <v>1089</v>
      </c>
      <c r="F34747">
        <v>3290224</v>
      </c>
      <c r="G34747" t="s">
        <v>7829</v>
      </c>
      <c r="H34747" s="21">
        <v>500</v>
      </c>
    </row>
    <row r="34748" spans="1:8" customFormat="1" x14ac:dyDescent="0.25">
      <c r="A34748" t="str">
        <f>"883901"</f>
        <v>883901</v>
      </c>
      <c r="B34748" t="s">
        <v>24493</v>
      </c>
      <c r="C34748" t="s">
        <v>144</v>
      </c>
      <c r="D34748" s="21" t="s">
        <v>34</v>
      </c>
      <c r="E34748" s="21" t="s">
        <v>35</v>
      </c>
      <c r="F34748">
        <v>6880113</v>
      </c>
      <c r="G34748" t="s">
        <v>11089</v>
      </c>
      <c r="H34748" s="21">
        <v>500</v>
      </c>
    </row>
    <row r="34749" spans="1:8" customFormat="1" x14ac:dyDescent="0.25">
      <c r="A34749" t="str">
        <f>"9459513"</f>
        <v>9459513</v>
      </c>
      <c r="B34749" t="s">
        <v>1645</v>
      </c>
      <c r="C34749" t="s">
        <v>40</v>
      </c>
      <c r="D34749" s="21" t="s">
        <v>34</v>
      </c>
      <c r="E34749" s="21" t="s">
        <v>71</v>
      </c>
      <c r="F34749">
        <v>8940073</v>
      </c>
      <c r="G34749" t="s">
        <v>1085</v>
      </c>
      <c r="H34749" s="21">
        <v>500</v>
      </c>
    </row>
    <row r="34750" spans="1:8" customFormat="1" x14ac:dyDescent="0.25">
      <c r="A34750" t="str">
        <f>"9459731"</f>
        <v>9459731</v>
      </c>
      <c r="B34750" t="s">
        <v>23721</v>
      </c>
      <c r="C34750" t="s">
        <v>144</v>
      </c>
      <c r="D34750" s="21" t="s">
        <v>34</v>
      </c>
      <c r="E34750" s="21" t="s">
        <v>35</v>
      </c>
      <c r="F34750">
        <v>8940326</v>
      </c>
      <c r="G34750" t="s">
        <v>659</v>
      </c>
      <c r="H34750" s="21">
        <v>500</v>
      </c>
    </row>
    <row r="34751" spans="1:8" customFormat="1" x14ac:dyDescent="0.25">
      <c r="A34751" t="str">
        <f>"9526926"</f>
        <v>9526926</v>
      </c>
      <c r="B34751" t="s">
        <v>4879</v>
      </c>
      <c r="C34751" t="s">
        <v>209</v>
      </c>
      <c r="D34751" s="21" t="s">
        <v>34</v>
      </c>
      <c r="E34751" s="21" t="s">
        <v>1089</v>
      </c>
      <c r="F34751">
        <v>8950553</v>
      </c>
      <c r="G34751" t="s">
        <v>1058</v>
      </c>
      <c r="H34751" s="21">
        <v>500</v>
      </c>
    </row>
    <row r="34752" spans="1:8" customFormat="1" x14ac:dyDescent="0.25">
      <c r="A34752" t="str">
        <f>"7412605"</f>
        <v>7412605</v>
      </c>
      <c r="B34752" t="s">
        <v>1607</v>
      </c>
      <c r="C34752" t="s">
        <v>114</v>
      </c>
      <c r="D34752" s="21" t="s">
        <v>34</v>
      </c>
      <c r="E34752" s="21" t="s">
        <v>71</v>
      </c>
      <c r="F34752">
        <v>1740044</v>
      </c>
      <c r="G34752" t="s">
        <v>22951</v>
      </c>
      <c r="H34752" s="21">
        <v>500</v>
      </c>
    </row>
    <row r="34753" spans="1:8" customFormat="1" x14ac:dyDescent="0.25">
      <c r="A34753" t="str">
        <f>"5912368"</f>
        <v>5912368</v>
      </c>
      <c r="B34753" t="s">
        <v>3471</v>
      </c>
      <c r="C34753" t="s">
        <v>3648</v>
      </c>
      <c r="D34753" s="21" t="s">
        <v>34</v>
      </c>
      <c r="E34753" s="21" t="s">
        <v>254</v>
      </c>
      <c r="F34753">
        <v>7590048</v>
      </c>
      <c r="G34753" t="s">
        <v>4608</v>
      </c>
      <c r="H34753" s="21">
        <v>500</v>
      </c>
    </row>
    <row r="34754" spans="1:8" customFormat="1" x14ac:dyDescent="0.25">
      <c r="A34754" t="str">
        <f>"153998"</f>
        <v>153998</v>
      </c>
      <c r="B34754" t="s">
        <v>3294</v>
      </c>
      <c r="C34754" t="s">
        <v>285</v>
      </c>
      <c r="D34754" s="21" t="s">
        <v>34</v>
      </c>
      <c r="E34754" s="21" t="s">
        <v>71</v>
      </c>
      <c r="F34754">
        <v>1150304</v>
      </c>
      <c r="G34754" t="s">
        <v>5647</v>
      </c>
      <c r="H34754" s="21">
        <v>500</v>
      </c>
    </row>
    <row r="34755" spans="1:8" customFormat="1" x14ac:dyDescent="0.25">
      <c r="A34755" t="str">
        <f>"7642519"</f>
        <v>7642519</v>
      </c>
      <c r="B34755" t="s">
        <v>28918</v>
      </c>
      <c r="C34755" t="s">
        <v>40</v>
      </c>
      <c r="D34755" s="21" t="s">
        <v>34</v>
      </c>
      <c r="E34755" s="21" t="s">
        <v>254</v>
      </c>
      <c r="F34755">
        <v>9760297</v>
      </c>
      <c r="G34755" t="s">
        <v>27086</v>
      </c>
      <c r="H34755" s="21">
        <v>500</v>
      </c>
    </row>
    <row r="34756" spans="1:8" customFormat="1" x14ac:dyDescent="0.25">
      <c r="A34756" t="str">
        <f>"601691"</f>
        <v>601691</v>
      </c>
      <c r="B34756" t="s">
        <v>7041</v>
      </c>
      <c r="C34756" t="s">
        <v>1110</v>
      </c>
      <c r="D34756" s="21" t="s">
        <v>34</v>
      </c>
      <c r="E34756" s="21" t="s">
        <v>254</v>
      </c>
      <c r="F34756">
        <v>7600167</v>
      </c>
      <c r="G34756" t="s">
        <v>12431</v>
      </c>
      <c r="H34756" s="21">
        <v>500</v>
      </c>
    </row>
    <row r="34757" spans="1:8" customFormat="1" x14ac:dyDescent="0.25">
      <c r="A34757" t="str">
        <f>"2721451"</f>
        <v>2721451</v>
      </c>
      <c r="B34757" t="s">
        <v>2505</v>
      </c>
      <c r="C34757" t="s">
        <v>28919</v>
      </c>
      <c r="D34757" s="21" t="s">
        <v>34</v>
      </c>
      <c r="E34757" s="21" t="s">
        <v>35</v>
      </c>
      <c r="F34757">
        <v>9270060</v>
      </c>
      <c r="G34757" t="s">
        <v>1982</v>
      </c>
      <c r="H34757" s="21">
        <v>500</v>
      </c>
    </row>
    <row r="34758" spans="1:8" customFormat="1" x14ac:dyDescent="0.25">
      <c r="A34758" t="str">
        <f>"5949481"</f>
        <v>5949481</v>
      </c>
      <c r="B34758" t="s">
        <v>23510</v>
      </c>
      <c r="C34758" t="s">
        <v>269</v>
      </c>
      <c r="D34758" s="21" t="s">
        <v>34</v>
      </c>
      <c r="E34758" s="21" t="s">
        <v>71</v>
      </c>
      <c r="F34758">
        <v>7590028</v>
      </c>
      <c r="G34758" t="s">
        <v>251</v>
      </c>
      <c r="H34758" s="21">
        <v>500</v>
      </c>
    </row>
    <row r="34759" spans="1:8" customFormat="1" x14ac:dyDescent="0.25">
      <c r="A34759" t="str">
        <f>"1910209"</f>
        <v>1910209</v>
      </c>
      <c r="B34759" t="s">
        <v>22766</v>
      </c>
      <c r="C34759" t="s">
        <v>204</v>
      </c>
      <c r="D34759" s="21" t="s">
        <v>34</v>
      </c>
      <c r="E34759" s="21" t="s">
        <v>71</v>
      </c>
      <c r="F34759">
        <v>10190080</v>
      </c>
      <c r="G34759" t="s">
        <v>1726</v>
      </c>
      <c r="H34759" s="21">
        <v>500</v>
      </c>
    </row>
    <row r="34760" spans="1:8" customFormat="1" x14ac:dyDescent="0.25">
      <c r="A34760" t="str">
        <f>"952879"</f>
        <v>952879</v>
      </c>
      <c r="B34760" t="s">
        <v>21758</v>
      </c>
      <c r="C34760" t="s">
        <v>269</v>
      </c>
      <c r="D34760" s="21" t="s">
        <v>34</v>
      </c>
      <c r="E34760" s="21" t="s">
        <v>71</v>
      </c>
      <c r="F34760">
        <v>8951268</v>
      </c>
      <c r="G34760" t="s">
        <v>8981</v>
      </c>
      <c r="H34760" s="21">
        <v>500</v>
      </c>
    </row>
    <row r="34761" spans="1:8" customFormat="1" x14ac:dyDescent="0.25">
      <c r="A34761" t="str">
        <f>"1313755"</f>
        <v>1313755</v>
      </c>
      <c r="B34761" t="s">
        <v>5473</v>
      </c>
      <c r="C34761" t="s">
        <v>639</v>
      </c>
      <c r="D34761" s="21" t="s">
        <v>34</v>
      </c>
      <c r="E34761" s="21" t="s">
        <v>71</v>
      </c>
      <c r="F34761">
        <v>13130067</v>
      </c>
      <c r="G34761" t="s">
        <v>1420</v>
      </c>
      <c r="H34761" s="21">
        <v>500</v>
      </c>
    </row>
    <row r="34762" spans="1:8" customFormat="1" x14ac:dyDescent="0.25">
      <c r="A34762" t="str">
        <f>"7516811"</f>
        <v>7516811</v>
      </c>
      <c r="B34762" t="s">
        <v>22927</v>
      </c>
      <c r="C34762" t="s">
        <v>598</v>
      </c>
      <c r="D34762" s="21" t="s">
        <v>34</v>
      </c>
      <c r="E34762" s="21" t="s">
        <v>1089</v>
      </c>
      <c r="F34762">
        <v>8751453</v>
      </c>
      <c r="G34762" t="s">
        <v>7029</v>
      </c>
      <c r="H34762" s="21">
        <v>500</v>
      </c>
    </row>
    <row r="34763" spans="1:8" customFormat="1" x14ac:dyDescent="0.25">
      <c r="A34763" t="str">
        <f>"5966798"</f>
        <v>5966798</v>
      </c>
      <c r="B34763" t="s">
        <v>23065</v>
      </c>
      <c r="C34763" t="s">
        <v>462</v>
      </c>
      <c r="D34763" s="21" t="s">
        <v>34</v>
      </c>
      <c r="E34763" s="21" t="s">
        <v>254</v>
      </c>
      <c r="F34763">
        <v>7590411</v>
      </c>
      <c r="G34763" t="s">
        <v>4036</v>
      </c>
      <c r="H34763" s="21">
        <v>500</v>
      </c>
    </row>
    <row r="34764" spans="1:8" customFormat="1" x14ac:dyDescent="0.25">
      <c r="A34764" t="str">
        <f>"015335"</f>
        <v>015335</v>
      </c>
      <c r="B34764" t="s">
        <v>23304</v>
      </c>
      <c r="C34764" t="s">
        <v>23305</v>
      </c>
      <c r="D34764" s="21" t="s">
        <v>34</v>
      </c>
      <c r="E34764" s="21" t="s">
        <v>254</v>
      </c>
      <c r="F34764">
        <v>1010069</v>
      </c>
      <c r="G34764" t="s">
        <v>1707</v>
      </c>
      <c r="H34764" s="21">
        <v>500</v>
      </c>
    </row>
    <row r="34765" spans="1:8" customFormat="1" x14ac:dyDescent="0.25">
      <c r="A34765" t="str">
        <f>"113731"</f>
        <v>113731</v>
      </c>
      <c r="B34765" t="s">
        <v>19242</v>
      </c>
      <c r="C34765" t="s">
        <v>263</v>
      </c>
      <c r="D34765" s="21" t="s">
        <v>34</v>
      </c>
      <c r="E34765" s="21" t="s">
        <v>71</v>
      </c>
      <c r="F34765">
        <v>11340069</v>
      </c>
      <c r="G34765" t="s">
        <v>23488</v>
      </c>
      <c r="H34765" s="21">
        <v>500</v>
      </c>
    </row>
    <row r="34766" spans="1:8" customFormat="1" x14ac:dyDescent="0.25">
      <c r="A34766" t="str">
        <f>"502203"</f>
        <v>502203</v>
      </c>
      <c r="B34766" t="s">
        <v>13694</v>
      </c>
      <c r="C34766" t="s">
        <v>712</v>
      </c>
      <c r="D34766" s="21" t="s">
        <v>34</v>
      </c>
      <c r="E34766" s="21" t="s">
        <v>254</v>
      </c>
      <c r="F34766">
        <v>9500111</v>
      </c>
      <c r="G34766" t="s">
        <v>6591</v>
      </c>
      <c r="H34766" s="21">
        <v>500</v>
      </c>
    </row>
    <row r="34767" spans="1:8" customFormat="1" x14ac:dyDescent="0.25">
      <c r="A34767" t="str">
        <f>"925738"</f>
        <v>925738</v>
      </c>
      <c r="B34767" t="s">
        <v>24326</v>
      </c>
      <c r="C34767" t="s">
        <v>267</v>
      </c>
      <c r="D34767" s="21" t="s">
        <v>34</v>
      </c>
      <c r="E34767" s="21" t="s">
        <v>1089</v>
      </c>
      <c r="F34767">
        <v>8920389</v>
      </c>
      <c r="G34767" t="s">
        <v>1739</v>
      </c>
      <c r="H34767" s="21">
        <v>500</v>
      </c>
    </row>
    <row r="34768" spans="1:8" customFormat="1" x14ac:dyDescent="0.25">
      <c r="A34768" t="str">
        <f>"668514"</f>
        <v>668514</v>
      </c>
      <c r="B34768" t="s">
        <v>28920</v>
      </c>
      <c r="C34768" t="s">
        <v>239</v>
      </c>
      <c r="D34768" s="21" t="s">
        <v>34</v>
      </c>
      <c r="E34768" s="21" t="s">
        <v>254</v>
      </c>
      <c r="F34768">
        <v>11660008</v>
      </c>
      <c r="G34768" t="s">
        <v>16161</v>
      </c>
      <c r="H34768" s="21">
        <v>500</v>
      </c>
    </row>
    <row r="34769" spans="1:8" customFormat="1" x14ac:dyDescent="0.25">
      <c r="A34769" t="str">
        <f>"3730789"</f>
        <v>3730789</v>
      </c>
      <c r="B34769" t="s">
        <v>28921</v>
      </c>
      <c r="C34769" t="s">
        <v>2546</v>
      </c>
      <c r="D34769" s="21" t="s">
        <v>34</v>
      </c>
      <c r="E34769" s="21" t="s">
        <v>71</v>
      </c>
      <c r="F34769">
        <v>4370698</v>
      </c>
      <c r="G34769" t="s">
        <v>12547</v>
      </c>
      <c r="H34769" s="21">
        <v>500</v>
      </c>
    </row>
    <row r="34770" spans="1:8" customFormat="1" x14ac:dyDescent="0.25">
      <c r="A34770" t="str">
        <f>"5955517"</f>
        <v>5955517</v>
      </c>
      <c r="B34770" t="s">
        <v>23500</v>
      </c>
      <c r="C34770" t="s">
        <v>415</v>
      </c>
      <c r="D34770" s="21" t="s">
        <v>34</v>
      </c>
      <c r="E34770" s="21" t="s">
        <v>254</v>
      </c>
      <c r="F34770">
        <v>7590087</v>
      </c>
      <c r="G34770" t="s">
        <v>2112</v>
      </c>
      <c r="H34770" s="21">
        <v>500</v>
      </c>
    </row>
    <row r="34771" spans="1:8" customFormat="1" x14ac:dyDescent="0.25">
      <c r="A34771" t="str">
        <f>"9245681"</f>
        <v>9245681</v>
      </c>
      <c r="B34771" t="s">
        <v>28922</v>
      </c>
      <c r="C34771" t="s">
        <v>608</v>
      </c>
      <c r="D34771" s="21" t="s">
        <v>34</v>
      </c>
      <c r="E34771" s="21" t="s">
        <v>35</v>
      </c>
      <c r="F34771">
        <v>8921190</v>
      </c>
      <c r="G34771" t="s">
        <v>810</v>
      </c>
      <c r="H34771" s="21">
        <v>500</v>
      </c>
    </row>
    <row r="34772" spans="1:8" customFormat="1" x14ac:dyDescent="0.25">
      <c r="A34772" t="str">
        <f>"5113247"</f>
        <v>5113247</v>
      </c>
      <c r="B34772" t="s">
        <v>213</v>
      </c>
      <c r="C34772" t="s">
        <v>1025</v>
      </c>
      <c r="D34772" s="21" t="s">
        <v>34</v>
      </c>
      <c r="E34772" s="21" t="s">
        <v>35</v>
      </c>
      <c r="F34772">
        <v>6510077</v>
      </c>
      <c r="G34772" t="s">
        <v>756</v>
      </c>
      <c r="H34772" s="21">
        <v>500</v>
      </c>
    </row>
    <row r="34773" spans="1:8" customFormat="1" x14ac:dyDescent="0.25">
      <c r="A34773" t="str">
        <f>"814715"</f>
        <v>814715</v>
      </c>
      <c r="B34773" t="s">
        <v>2557</v>
      </c>
      <c r="C34773" t="s">
        <v>171</v>
      </c>
      <c r="D34773" s="21" t="s">
        <v>34</v>
      </c>
      <c r="E34773" s="21" t="s">
        <v>35</v>
      </c>
      <c r="F34773">
        <v>11810030</v>
      </c>
      <c r="G34773" t="s">
        <v>27055</v>
      </c>
      <c r="H34773" s="21">
        <v>500</v>
      </c>
    </row>
    <row r="34774" spans="1:8" customFormat="1" x14ac:dyDescent="0.25">
      <c r="A34774" t="str">
        <f>"848592"</f>
        <v>848592</v>
      </c>
      <c r="B34774" t="s">
        <v>19968</v>
      </c>
      <c r="C34774" t="s">
        <v>65</v>
      </c>
      <c r="D34774" s="21" t="s">
        <v>34</v>
      </c>
      <c r="E34774" s="21" t="s">
        <v>35</v>
      </c>
      <c r="F34774">
        <v>13840025</v>
      </c>
      <c r="G34774" t="s">
        <v>7580</v>
      </c>
      <c r="H34774" s="21">
        <v>500</v>
      </c>
    </row>
    <row r="34775" spans="1:8" customFormat="1" x14ac:dyDescent="0.25">
      <c r="A34775" t="str">
        <f>"5982076"</f>
        <v>5982076</v>
      </c>
      <c r="B34775" t="s">
        <v>23710</v>
      </c>
      <c r="C34775" t="s">
        <v>60</v>
      </c>
      <c r="D34775" s="21" t="s">
        <v>34</v>
      </c>
      <c r="E34775" s="21" t="s">
        <v>35</v>
      </c>
      <c r="F34775">
        <v>7590182</v>
      </c>
      <c r="G34775" t="s">
        <v>172</v>
      </c>
      <c r="H34775" s="21">
        <v>500</v>
      </c>
    </row>
    <row r="34776" spans="1:8" customFormat="1" x14ac:dyDescent="0.25">
      <c r="A34776" t="str">
        <f>"3411202"</f>
        <v>3411202</v>
      </c>
      <c r="B34776" t="s">
        <v>23208</v>
      </c>
      <c r="C34776" t="s">
        <v>40</v>
      </c>
      <c r="D34776" s="21" t="s">
        <v>34</v>
      </c>
      <c r="E34776" s="21" t="s">
        <v>1089</v>
      </c>
      <c r="F34776">
        <v>11340014</v>
      </c>
      <c r="G34776" t="s">
        <v>1455</v>
      </c>
      <c r="H34776" s="21">
        <v>500</v>
      </c>
    </row>
    <row r="34777" spans="1:8" customFormat="1" x14ac:dyDescent="0.25">
      <c r="A34777" t="str">
        <f>"6932265"</f>
        <v>6932265</v>
      </c>
      <c r="B34777" t="s">
        <v>1737</v>
      </c>
      <c r="C34777" t="s">
        <v>275</v>
      </c>
      <c r="D34777" s="21" t="s">
        <v>34</v>
      </c>
      <c r="E34777" s="21" t="s">
        <v>35</v>
      </c>
      <c r="F34777">
        <v>1010059</v>
      </c>
      <c r="G34777" t="s">
        <v>15570</v>
      </c>
      <c r="H34777" s="21">
        <v>500</v>
      </c>
    </row>
    <row r="34778" spans="1:8" customFormat="1" x14ac:dyDescent="0.25">
      <c r="A34778" t="str">
        <f>"2811091"</f>
        <v>2811091</v>
      </c>
      <c r="B34778" t="s">
        <v>21281</v>
      </c>
      <c r="C34778" t="s">
        <v>2730</v>
      </c>
      <c r="D34778" s="21" t="s">
        <v>34</v>
      </c>
      <c r="E34778" s="21" t="s">
        <v>254</v>
      </c>
      <c r="F34778">
        <v>4280722</v>
      </c>
      <c r="G34778" t="s">
        <v>8251</v>
      </c>
      <c r="H34778" s="21">
        <v>500</v>
      </c>
    </row>
    <row r="34779" spans="1:8" customFormat="1" x14ac:dyDescent="0.25">
      <c r="A34779" t="str">
        <f>"3713853"</f>
        <v>3713853</v>
      </c>
      <c r="B34779" t="s">
        <v>461</v>
      </c>
      <c r="C34779" t="s">
        <v>40</v>
      </c>
      <c r="D34779" s="21" t="s">
        <v>34</v>
      </c>
      <c r="E34779" s="21" t="s">
        <v>71</v>
      </c>
      <c r="F34779">
        <v>4370132</v>
      </c>
      <c r="G34779" t="s">
        <v>2262</v>
      </c>
      <c r="H34779" s="21">
        <v>500</v>
      </c>
    </row>
    <row r="34780" spans="1:8" customFormat="1" x14ac:dyDescent="0.25">
      <c r="A34780" t="str">
        <f>"7515945"</f>
        <v>7515945</v>
      </c>
      <c r="B34780" t="s">
        <v>24349</v>
      </c>
      <c r="C34780" t="s">
        <v>453</v>
      </c>
      <c r="D34780" s="21" t="s">
        <v>34</v>
      </c>
      <c r="E34780" s="21" t="s">
        <v>254</v>
      </c>
      <c r="F34780">
        <v>8751124</v>
      </c>
      <c r="G34780" t="s">
        <v>1481</v>
      </c>
      <c r="H34780" s="21">
        <v>500</v>
      </c>
    </row>
    <row r="34781" spans="1:8" customFormat="1" x14ac:dyDescent="0.25">
      <c r="A34781" t="str">
        <f>"9H875"</f>
        <v>9H875</v>
      </c>
      <c r="B34781" t="s">
        <v>9446</v>
      </c>
      <c r="C34781" t="s">
        <v>1914</v>
      </c>
      <c r="D34781" s="21" t="s">
        <v>34</v>
      </c>
      <c r="E34781" s="21" t="s">
        <v>254</v>
      </c>
      <c r="F34781" t="s">
        <v>5851</v>
      </c>
      <c r="G34781" t="s">
        <v>5852</v>
      </c>
      <c r="H34781" s="21">
        <v>500</v>
      </c>
    </row>
    <row r="34782" spans="1:8" customFormat="1" x14ac:dyDescent="0.25">
      <c r="A34782" t="str">
        <f>"9A1393"</f>
        <v>9A1393</v>
      </c>
      <c r="B34782" t="s">
        <v>3582</v>
      </c>
      <c r="C34782" t="s">
        <v>244</v>
      </c>
      <c r="D34782" s="21" t="s">
        <v>34</v>
      </c>
      <c r="E34782" s="21" t="s">
        <v>35</v>
      </c>
      <c r="F34782" t="s">
        <v>2839</v>
      </c>
      <c r="G34782" t="s">
        <v>2840</v>
      </c>
      <c r="H34782" s="21">
        <v>500</v>
      </c>
    </row>
    <row r="34783" spans="1:8" customFormat="1" x14ac:dyDescent="0.25">
      <c r="A34783" t="str">
        <f>"6315225"</f>
        <v>6315225</v>
      </c>
      <c r="B34783" t="s">
        <v>1533</v>
      </c>
      <c r="C34783" t="s">
        <v>598</v>
      </c>
      <c r="D34783" s="21" t="s">
        <v>34</v>
      </c>
      <c r="E34783" s="21" t="s">
        <v>254</v>
      </c>
      <c r="F34783">
        <v>1630329</v>
      </c>
      <c r="G34783" t="s">
        <v>13763</v>
      </c>
      <c r="H34783" s="21">
        <v>500</v>
      </c>
    </row>
    <row r="34784" spans="1:8" customFormat="1" x14ac:dyDescent="0.25">
      <c r="A34784" t="str">
        <f>"3345269"</f>
        <v>3345269</v>
      </c>
      <c r="B34784" t="s">
        <v>28923</v>
      </c>
      <c r="C34784" t="s">
        <v>87</v>
      </c>
      <c r="D34784" s="21" t="s">
        <v>34</v>
      </c>
      <c r="E34784" s="21" t="s">
        <v>71</v>
      </c>
      <c r="F34784">
        <v>10330003</v>
      </c>
      <c r="G34784" t="s">
        <v>309</v>
      </c>
      <c r="H34784" s="21">
        <v>500</v>
      </c>
    </row>
    <row r="34785" spans="1:8" customFormat="1" x14ac:dyDescent="0.25">
      <c r="A34785" t="str">
        <f>"2618168"</f>
        <v>2618168</v>
      </c>
      <c r="B34785" t="s">
        <v>28924</v>
      </c>
      <c r="C34785" t="s">
        <v>656</v>
      </c>
      <c r="D34785" s="21" t="s">
        <v>34</v>
      </c>
      <c r="E34785" s="21" t="s">
        <v>35</v>
      </c>
      <c r="F34785">
        <v>1260045</v>
      </c>
      <c r="G34785" t="s">
        <v>401</v>
      </c>
      <c r="H34785" s="21">
        <v>500</v>
      </c>
    </row>
    <row r="34786" spans="1:8" customFormat="1" x14ac:dyDescent="0.25">
      <c r="A34786" t="str">
        <f>"4936625"</f>
        <v>4936625</v>
      </c>
      <c r="B34786" t="s">
        <v>18076</v>
      </c>
      <c r="C34786" t="s">
        <v>119</v>
      </c>
      <c r="D34786" s="21" t="s">
        <v>34</v>
      </c>
      <c r="E34786" s="21" t="s">
        <v>71</v>
      </c>
      <c r="F34786">
        <v>12490027</v>
      </c>
      <c r="G34786" t="s">
        <v>766</v>
      </c>
      <c r="H34786" s="21">
        <v>500</v>
      </c>
    </row>
    <row r="34787" spans="1:8" customFormat="1" x14ac:dyDescent="0.25">
      <c r="A34787" t="str">
        <f>"5020427"</f>
        <v>5020427</v>
      </c>
      <c r="B34787" t="s">
        <v>28925</v>
      </c>
      <c r="C34787" t="s">
        <v>2365</v>
      </c>
      <c r="D34787" s="21" t="s">
        <v>34</v>
      </c>
      <c r="E34787" s="21" t="s">
        <v>1089</v>
      </c>
      <c r="F34787">
        <v>9500131</v>
      </c>
      <c r="G34787" t="s">
        <v>1073</v>
      </c>
      <c r="H34787" s="21">
        <v>500</v>
      </c>
    </row>
    <row r="34788" spans="1:8" customFormat="1" x14ac:dyDescent="0.25">
      <c r="A34788" t="str">
        <f>"6720738"</f>
        <v>6720738</v>
      </c>
      <c r="B34788" t="s">
        <v>23179</v>
      </c>
      <c r="C34788" t="s">
        <v>720</v>
      </c>
      <c r="D34788" s="21" t="s">
        <v>34</v>
      </c>
      <c r="E34788" s="21" t="s">
        <v>254</v>
      </c>
      <c r="F34788">
        <v>6670265</v>
      </c>
      <c r="G34788" t="s">
        <v>12966</v>
      </c>
      <c r="H34788" s="21">
        <v>500</v>
      </c>
    </row>
    <row r="34789" spans="1:8" customFormat="1" x14ac:dyDescent="0.25">
      <c r="A34789" t="str">
        <f>"8523915"</f>
        <v>8523915</v>
      </c>
      <c r="B34789" t="s">
        <v>1886</v>
      </c>
      <c r="C34789" t="s">
        <v>275</v>
      </c>
      <c r="D34789" s="21" t="s">
        <v>34</v>
      </c>
      <c r="E34789" s="21" t="s">
        <v>35</v>
      </c>
      <c r="F34789">
        <v>12850069</v>
      </c>
      <c r="G34789" t="s">
        <v>2154</v>
      </c>
      <c r="H34789" s="21">
        <v>500</v>
      </c>
    </row>
    <row r="34790" spans="1:8" customFormat="1" x14ac:dyDescent="0.25">
      <c r="A34790" t="str">
        <f>"4443571"</f>
        <v>4443571</v>
      </c>
      <c r="B34790" t="s">
        <v>4024</v>
      </c>
      <c r="C34790" t="s">
        <v>598</v>
      </c>
      <c r="D34790" s="21" t="s">
        <v>34</v>
      </c>
      <c r="E34790" s="21" t="s">
        <v>71</v>
      </c>
      <c r="F34790">
        <v>12440019</v>
      </c>
      <c r="G34790" t="s">
        <v>7258</v>
      </c>
      <c r="H34790" s="21">
        <v>500</v>
      </c>
    </row>
    <row r="34791" spans="1:8" customFormat="1" x14ac:dyDescent="0.25">
      <c r="A34791" t="str">
        <f>"0115383"</f>
        <v>0115383</v>
      </c>
      <c r="B34791" t="s">
        <v>28926</v>
      </c>
      <c r="C34791" t="s">
        <v>6537</v>
      </c>
      <c r="D34791" s="21" t="s">
        <v>34</v>
      </c>
      <c r="E34791" s="21" t="s">
        <v>254</v>
      </c>
      <c r="F34791">
        <v>1010033</v>
      </c>
      <c r="G34791" t="s">
        <v>14583</v>
      </c>
      <c r="H34791" s="21">
        <v>500</v>
      </c>
    </row>
    <row r="34792" spans="1:8" customFormat="1" x14ac:dyDescent="0.25">
      <c r="A34792" t="str">
        <f>"9530882"</f>
        <v>9530882</v>
      </c>
      <c r="B34792" t="s">
        <v>22997</v>
      </c>
      <c r="C34792" t="s">
        <v>2520</v>
      </c>
      <c r="D34792" s="21" t="s">
        <v>34</v>
      </c>
      <c r="E34792" s="21" t="s">
        <v>71</v>
      </c>
      <c r="F34792">
        <v>8950978</v>
      </c>
      <c r="G34792" t="s">
        <v>1164</v>
      </c>
      <c r="H34792" s="21">
        <v>500</v>
      </c>
    </row>
    <row r="34793" spans="1:8" customFormat="1" x14ac:dyDescent="0.25">
      <c r="A34793" t="str">
        <f>"926984"</f>
        <v>926984</v>
      </c>
      <c r="B34793" t="s">
        <v>22018</v>
      </c>
      <c r="C34793" t="s">
        <v>507</v>
      </c>
      <c r="D34793" s="21" t="s">
        <v>34</v>
      </c>
      <c r="E34793" s="21" t="s">
        <v>254</v>
      </c>
      <c r="F34793">
        <v>8921458</v>
      </c>
      <c r="G34793" t="s">
        <v>162</v>
      </c>
      <c r="H34793" s="21">
        <v>500</v>
      </c>
    </row>
    <row r="34794" spans="1:8" customFormat="1" x14ac:dyDescent="0.25">
      <c r="A34794" t="str">
        <f>"821577"</f>
        <v>821577</v>
      </c>
      <c r="B34794" t="s">
        <v>21274</v>
      </c>
      <c r="C34794" t="s">
        <v>598</v>
      </c>
      <c r="D34794" s="21" t="s">
        <v>34</v>
      </c>
      <c r="E34794" s="21" t="s">
        <v>254</v>
      </c>
      <c r="F34794">
        <v>11820027</v>
      </c>
      <c r="G34794" t="s">
        <v>15324</v>
      </c>
      <c r="H34794" s="21">
        <v>500</v>
      </c>
    </row>
    <row r="34795" spans="1:8" customFormat="1" x14ac:dyDescent="0.25">
      <c r="A34795" t="str">
        <f>"362799"</f>
        <v>362799</v>
      </c>
      <c r="B34795" t="s">
        <v>12477</v>
      </c>
      <c r="C34795" t="s">
        <v>415</v>
      </c>
      <c r="D34795" s="21" t="s">
        <v>34</v>
      </c>
      <c r="E34795" s="21" t="s">
        <v>71</v>
      </c>
      <c r="F34795">
        <v>4360341</v>
      </c>
      <c r="G34795" t="s">
        <v>4912</v>
      </c>
      <c r="H34795" s="21">
        <v>500</v>
      </c>
    </row>
    <row r="34796" spans="1:8" customFormat="1" x14ac:dyDescent="0.25">
      <c r="A34796" t="str">
        <f>"7514939"</f>
        <v>7514939</v>
      </c>
      <c r="B34796" t="s">
        <v>28927</v>
      </c>
      <c r="C34796" t="s">
        <v>87</v>
      </c>
      <c r="D34796" s="21" t="s">
        <v>34</v>
      </c>
      <c r="E34796" s="21" t="s">
        <v>35</v>
      </c>
      <c r="F34796">
        <v>13130049</v>
      </c>
      <c r="G34796" t="s">
        <v>13169</v>
      </c>
      <c r="H34796" s="21">
        <v>500</v>
      </c>
    </row>
    <row r="34797" spans="1:8" customFormat="1" x14ac:dyDescent="0.25">
      <c r="A34797" t="str">
        <f>"0114851"</f>
        <v>0114851</v>
      </c>
      <c r="B34797" t="s">
        <v>13654</v>
      </c>
      <c r="C34797" t="s">
        <v>124</v>
      </c>
      <c r="D34797" s="21" t="s">
        <v>34</v>
      </c>
      <c r="E34797" s="21" t="s">
        <v>71</v>
      </c>
      <c r="F34797">
        <v>1010071</v>
      </c>
      <c r="G34797" t="s">
        <v>8104</v>
      </c>
      <c r="H34797" s="21">
        <v>500</v>
      </c>
    </row>
    <row r="34798" spans="1:8" customFormat="1" x14ac:dyDescent="0.25">
      <c r="A34798" t="str">
        <f>"724592"</f>
        <v>724592</v>
      </c>
      <c r="B34798" t="s">
        <v>23257</v>
      </c>
      <c r="C34798" t="s">
        <v>209</v>
      </c>
      <c r="D34798" s="21" t="s">
        <v>34</v>
      </c>
      <c r="E34798" s="21" t="s">
        <v>1089</v>
      </c>
      <c r="F34798">
        <v>12720005</v>
      </c>
      <c r="G34798" t="s">
        <v>999</v>
      </c>
      <c r="H34798" s="21">
        <v>500</v>
      </c>
    </row>
    <row r="34799" spans="1:8" customFormat="1" x14ac:dyDescent="0.25">
      <c r="A34799" t="str">
        <f>"5316440"</f>
        <v>5316440</v>
      </c>
      <c r="B34799" t="s">
        <v>1610</v>
      </c>
      <c r="C34799" t="s">
        <v>415</v>
      </c>
      <c r="D34799" s="21" t="s">
        <v>34</v>
      </c>
      <c r="E34799" s="21" t="s">
        <v>254</v>
      </c>
      <c r="F34799">
        <v>12530007</v>
      </c>
      <c r="G34799" t="s">
        <v>2966</v>
      </c>
      <c r="H34799" s="21">
        <v>500</v>
      </c>
    </row>
    <row r="34800" spans="1:8" customFormat="1" x14ac:dyDescent="0.25">
      <c r="A34800" t="str">
        <f>"228862"</f>
        <v>228862</v>
      </c>
      <c r="B34800" t="s">
        <v>4636</v>
      </c>
      <c r="C34800" t="s">
        <v>7923</v>
      </c>
      <c r="D34800" s="21" t="s">
        <v>34</v>
      </c>
      <c r="E34800" s="21" t="s">
        <v>254</v>
      </c>
      <c r="F34800">
        <v>3220127</v>
      </c>
      <c r="G34800" t="s">
        <v>26652</v>
      </c>
      <c r="H34800" s="21">
        <v>500</v>
      </c>
    </row>
    <row r="34801" spans="1:8" customFormat="1" x14ac:dyDescent="0.25">
      <c r="A34801" t="str">
        <f>"801942"</f>
        <v>801942</v>
      </c>
      <c r="B34801" t="s">
        <v>12643</v>
      </c>
      <c r="C34801" t="s">
        <v>2520</v>
      </c>
      <c r="D34801" s="21" t="s">
        <v>34</v>
      </c>
      <c r="E34801" s="21" t="s">
        <v>1089</v>
      </c>
      <c r="F34801">
        <v>7800079</v>
      </c>
      <c r="G34801" t="s">
        <v>14753</v>
      </c>
      <c r="H34801" s="21">
        <v>500</v>
      </c>
    </row>
    <row r="34802" spans="1:8" customFormat="1" x14ac:dyDescent="0.25">
      <c r="A34802" t="str">
        <f>"277063"</f>
        <v>277063</v>
      </c>
      <c r="B34802" t="s">
        <v>12487</v>
      </c>
      <c r="C34802" t="s">
        <v>169</v>
      </c>
      <c r="D34802" s="21" t="s">
        <v>34</v>
      </c>
      <c r="E34802" s="21" t="s">
        <v>35</v>
      </c>
      <c r="F34802">
        <v>9270153</v>
      </c>
      <c r="G34802" t="s">
        <v>15651</v>
      </c>
      <c r="H34802" s="21">
        <v>500</v>
      </c>
    </row>
    <row r="34803" spans="1:8" customFormat="1" x14ac:dyDescent="0.25">
      <c r="A34803" t="str">
        <f>"0212329"</f>
        <v>0212329</v>
      </c>
      <c r="B34803" t="s">
        <v>28928</v>
      </c>
      <c r="C34803" t="s">
        <v>114</v>
      </c>
      <c r="D34803" s="21" t="s">
        <v>34</v>
      </c>
      <c r="E34803" s="21" t="s">
        <v>35</v>
      </c>
      <c r="F34803">
        <v>7020014</v>
      </c>
      <c r="G34803" t="s">
        <v>10400</v>
      </c>
      <c r="H34803" s="21">
        <v>500</v>
      </c>
    </row>
    <row r="34804" spans="1:8" customFormat="1" x14ac:dyDescent="0.25">
      <c r="A34804" t="str">
        <f>"3427364"</f>
        <v>3427364</v>
      </c>
      <c r="B34804" t="s">
        <v>2052</v>
      </c>
      <c r="C34804" t="s">
        <v>2786</v>
      </c>
      <c r="D34804" s="21" t="s">
        <v>34</v>
      </c>
      <c r="E34804" s="21" t="s">
        <v>35</v>
      </c>
      <c r="F34804">
        <v>11340014</v>
      </c>
      <c r="G34804" t="s">
        <v>1455</v>
      </c>
      <c r="H34804" s="21">
        <v>500</v>
      </c>
    </row>
    <row r="34805" spans="1:8" customFormat="1" x14ac:dyDescent="0.25">
      <c r="A34805" t="str">
        <f>"0115354"</f>
        <v>0115354</v>
      </c>
      <c r="B34805" t="s">
        <v>28929</v>
      </c>
      <c r="C34805" t="s">
        <v>2752</v>
      </c>
      <c r="D34805" s="21" t="s">
        <v>34</v>
      </c>
      <c r="E34805" s="21" t="s">
        <v>35</v>
      </c>
      <c r="F34805">
        <v>1010001</v>
      </c>
      <c r="G34805" t="s">
        <v>2161</v>
      </c>
      <c r="H34805" s="21">
        <v>500</v>
      </c>
    </row>
    <row r="34806" spans="1:8" customFormat="1" x14ac:dyDescent="0.25">
      <c r="A34806" t="str">
        <f>"5615424"</f>
        <v>5615424</v>
      </c>
      <c r="B34806" t="s">
        <v>14766</v>
      </c>
      <c r="C34806" t="s">
        <v>3073</v>
      </c>
      <c r="D34806" s="21" t="s">
        <v>34</v>
      </c>
      <c r="E34806" s="21" t="s">
        <v>1089</v>
      </c>
      <c r="F34806">
        <v>3560013</v>
      </c>
      <c r="G34806" t="s">
        <v>7924</v>
      </c>
      <c r="H34806" s="21">
        <v>500</v>
      </c>
    </row>
    <row r="34807" spans="1:8" customFormat="1" x14ac:dyDescent="0.25">
      <c r="A34807" t="str">
        <f>"7876483"</f>
        <v>7876483</v>
      </c>
      <c r="B34807" t="s">
        <v>28930</v>
      </c>
      <c r="C34807" t="s">
        <v>6537</v>
      </c>
      <c r="D34807" s="21" t="s">
        <v>34</v>
      </c>
      <c r="E34807" s="21" t="s">
        <v>254</v>
      </c>
      <c r="F34807">
        <v>8781226</v>
      </c>
      <c r="G34807" t="s">
        <v>12752</v>
      </c>
      <c r="H34807" s="21">
        <v>500</v>
      </c>
    </row>
    <row r="34808" spans="1:8" customFormat="1" x14ac:dyDescent="0.25">
      <c r="A34808" t="str">
        <f>"342077"</f>
        <v>342077</v>
      </c>
      <c r="B34808" t="s">
        <v>67</v>
      </c>
      <c r="C34808" t="s">
        <v>817</v>
      </c>
      <c r="D34808" s="21" t="s">
        <v>34</v>
      </c>
      <c r="E34808" s="21" t="s">
        <v>71</v>
      </c>
      <c r="F34808">
        <v>11340040</v>
      </c>
      <c r="G34808" t="s">
        <v>5695</v>
      </c>
      <c r="H34808" s="21">
        <v>500</v>
      </c>
    </row>
    <row r="34809" spans="1:8" customFormat="1" x14ac:dyDescent="0.25">
      <c r="A34809" t="str">
        <f>"2220044"</f>
        <v>2220044</v>
      </c>
      <c r="B34809" t="s">
        <v>474</v>
      </c>
      <c r="C34809" t="s">
        <v>3481</v>
      </c>
      <c r="D34809" s="21" t="s">
        <v>34</v>
      </c>
      <c r="E34809" s="21" t="s">
        <v>35</v>
      </c>
      <c r="F34809">
        <v>3220128</v>
      </c>
      <c r="G34809" t="s">
        <v>26938</v>
      </c>
      <c r="H34809" s="21">
        <v>500</v>
      </c>
    </row>
    <row r="34810" spans="1:8" customFormat="1" x14ac:dyDescent="0.25">
      <c r="A34810" t="str">
        <f>"368410"</f>
        <v>368410</v>
      </c>
      <c r="B34810" t="s">
        <v>28931</v>
      </c>
      <c r="C34810" t="s">
        <v>119</v>
      </c>
      <c r="D34810" s="21" t="s">
        <v>34</v>
      </c>
      <c r="E34810" s="21" t="s">
        <v>71</v>
      </c>
      <c r="F34810">
        <v>4360454</v>
      </c>
      <c r="G34810" t="s">
        <v>637</v>
      </c>
      <c r="H34810" s="21">
        <v>500</v>
      </c>
    </row>
    <row r="34811" spans="1:8" customFormat="1" x14ac:dyDescent="0.25">
      <c r="A34811" t="str">
        <f>"4457704"</f>
        <v>4457704</v>
      </c>
      <c r="B34811" t="s">
        <v>28932</v>
      </c>
      <c r="C34811" t="s">
        <v>239</v>
      </c>
      <c r="D34811" s="21" t="s">
        <v>34</v>
      </c>
      <c r="E34811" s="21" t="s">
        <v>254</v>
      </c>
      <c r="F34811">
        <v>12440266</v>
      </c>
      <c r="G34811" t="s">
        <v>924</v>
      </c>
      <c r="H34811" s="21">
        <v>500</v>
      </c>
    </row>
    <row r="34812" spans="1:8" customFormat="1" x14ac:dyDescent="0.25">
      <c r="A34812" t="str">
        <f>"59168"</f>
        <v>59168</v>
      </c>
      <c r="B34812" t="s">
        <v>23174</v>
      </c>
      <c r="C34812" t="s">
        <v>498</v>
      </c>
      <c r="D34812" s="21" t="s">
        <v>34</v>
      </c>
      <c r="E34812" s="21" t="s">
        <v>6185</v>
      </c>
      <c r="F34812">
        <v>7590008</v>
      </c>
      <c r="G34812" t="s">
        <v>110</v>
      </c>
      <c r="H34812" s="21">
        <v>500</v>
      </c>
    </row>
    <row r="34813" spans="1:8" customFormat="1" x14ac:dyDescent="0.25">
      <c r="A34813" t="str">
        <f>"3328772"</f>
        <v>3328772</v>
      </c>
      <c r="B34813" t="s">
        <v>23589</v>
      </c>
      <c r="C34813" t="s">
        <v>236</v>
      </c>
      <c r="D34813" s="21" t="s">
        <v>34</v>
      </c>
      <c r="E34813" s="21" t="s">
        <v>71</v>
      </c>
      <c r="F34813">
        <v>10330002</v>
      </c>
      <c r="G34813" t="s">
        <v>53</v>
      </c>
      <c r="H34813" s="21">
        <v>500</v>
      </c>
    </row>
    <row r="34814" spans="1:8" customFormat="1" x14ac:dyDescent="0.25">
      <c r="A34814" t="str">
        <f>"8529402"</f>
        <v>8529402</v>
      </c>
      <c r="B34814" t="s">
        <v>28933</v>
      </c>
      <c r="C34814" t="s">
        <v>58</v>
      </c>
      <c r="D34814" s="21" t="s">
        <v>34</v>
      </c>
      <c r="E34814" s="21" t="s">
        <v>35</v>
      </c>
      <c r="F34814">
        <v>12850142</v>
      </c>
      <c r="G34814" t="s">
        <v>2663</v>
      </c>
      <c r="H34814" s="21">
        <v>500</v>
      </c>
    </row>
    <row r="34815" spans="1:8" customFormat="1" x14ac:dyDescent="0.25">
      <c r="A34815" t="str">
        <f>"3419788"</f>
        <v>3419788</v>
      </c>
      <c r="B34815" t="s">
        <v>28934</v>
      </c>
      <c r="C34815" t="s">
        <v>21622</v>
      </c>
      <c r="D34815" s="21" t="s">
        <v>34</v>
      </c>
      <c r="E34815" s="21" t="s">
        <v>254</v>
      </c>
      <c r="F34815">
        <v>11340076</v>
      </c>
      <c r="G34815" t="s">
        <v>26665</v>
      </c>
      <c r="H34815" s="21">
        <v>500</v>
      </c>
    </row>
    <row r="34816" spans="1:8" customFormat="1" x14ac:dyDescent="0.25">
      <c r="A34816" t="str">
        <f>"6811007"</f>
        <v>6811007</v>
      </c>
      <c r="B34816" t="s">
        <v>3885</v>
      </c>
      <c r="C34816" t="s">
        <v>3905</v>
      </c>
      <c r="D34816" s="21" t="s">
        <v>34</v>
      </c>
      <c r="E34816" s="21" t="s">
        <v>1089</v>
      </c>
      <c r="F34816">
        <v>6680006</v>
      </c>
      <c r="G34816" t="s">
        <v>5266</v>
      </c>
      <c r="H34816" s="21">
        <v>500</v>
      </c>
    </row>
    <row r="34817" spans="1:8" customFormat="1" x14ac:dyDescent="0.25">
      <c r="A34817" t="str">
        <f>"647509"</f>
        <v>647509</v>
      </c>
      <c r="B34817" t="s">
        <v>23413</v>
      </c>
      <c r="C34817" t="s">
        <v>3010</v>
      </c>
      <c r="D34817" s="21" t="s">
        <v>34</v>
      </c>
      <c r="E34817" s="21" t="s">
        <v>254</v>
      </c>
      <c r="F34817">
        <v>10640001</v>
      </c>
      <c r="G34817" t="s">
        <v>2419</v>
      </c>
      <c r="H34817" s="21">
        <v>500</v>
      </c>
    </row>
    <row r="34818" spans="1:8" customFormat="1" x14ac:dyDescent="0.25">
      <c r="A34818" t="str">
        <f>"6226488"</f>
        <v>6226488</v>
      </c>
      <c r="B34818" t="s">
        <v>23110</v>
      </c>
      <c r="C34818" t="s">
        <v>33</v>
      </c>
      <c r="D34818" s="21" t="s">
        <v>34</v>
      </c>
      <c r="E34818" s="21" t="s">
        <v>35</v>
      </c>
      <c r="F34818">
        <v>7620015</v>
      </c>
      <c r="G34818" t="s">
        <v>377</v>
      </c>
      <c r="H34818" s="21">
        <v>500</v>
      </c>
    </row>
    <row r="34819" spans="1:8" customFormat="1" x14ac:dyDescent="0.25">
      <c r="A34819" t="str">
        <f>"9F5546"</f>
        <v>9F5546</v>
      </c>
      <c r="B34819" t="s">
        <v>23494</v>
      </c>
      <c r="C34819" t="s">
        <v>23495</v>
      </c>
      <c r="D34819" s="21" t="s">
        <v>34</v>
      </c>
      <c r="E34819" s="21" t="s">
        <v>71</v>
      </c>
      <c r="F34819" t="s">
        <v>23496</v>
      </c>
      <c r="G34819" t="s">
        <v>23497</v>
      </c>
      <c r="H34819" s="21">
        <v>500</v>
      </c>
    </row>
    <row r="34820" spans="1:8" customFormat="1" x14ac:dyDescent="0.25">
      <c r="A34820" t="str">
        <f>"4457109"</f>
        <v>4457109</v>
      </c>
      <c r="B34820" t="s">
        <v>10304</v>
      </c>
      <c r="C34820" t="s">
        <v>144</v>
      </c>
      <c r="D34820" s="21" t="s">
        <v>34</v>
      </c>
      <c r="E34820" s="21" t="s">
        <v>71</v>
      </c>
      <c r="F34820">
        <v>12440120</v>
      </c>
      <c r="G34820" t="s">
        <v>23452</v>
      </c>
      <c r="H34820" s="21">
        <v>500</v>
      </c>
    </row>
    <row r="34821" spans="1:8" customFormat="1" x14ac:dyDescent="0.25">
      <c r="A34821" t="str">
        <f>"7880123"</f>
        <v>7880123</v>
      </c>
      <c r="B34821" t="s">
        <v>28935</v>
      </c>
      <c r="C34821" t="s">
        <v>267</v>
      </c>
      <c r="D34821" s="21" t="s">
        <v>34</v>
      </c>
      <c r="E34821" s="21" t="s">
        <v>35</v>
      </c>
      <c r="F34821">
        <v>8781476</v>
      </c>
      <c r="G34821" t="s">
        <v>23193</v>
      </c>
      <c r="H34821" s="21">
        <v>500</v>
      </c>
    </row>
    <row r="34822" spans="1:8" customFormat="1" x14ac:dyDescent="0.25">
      <c r="A34822" t="str">
        <f>"0616501"</f>
        <v>0616501</v>
      </c>
      <c r="B34822" t="s">
        <v>5718</v>
      </c>
      <c r="C34822" t="s">
        <v>40</v>
      </c>
      <c r="D34822" s="21" t="s">
        <v>34</v>
      </c>
      <c r="E34822" s="21" t="s">
        <v>254</v>
      </c>
      <c r="F34822">
        <v>13060085</v>
      </c>
      <c r="G34822" t="s">
        <v>2703</v>
      </c>
      <c r="H34822" s="21">
        <v>500</v>
      </c>
    </row>
    <row r="34823" spans="1:8" customFormat="1" x14ac:dyDescent="0.25">
      <c r="A34823" t="str">
        <f>"3834048"</f>
        <v>3834048</v>
      </c>
      <c r="B34823" t="s">
        <v>13731</v>
      </c>
      <c r="C34823" t="s">
        <v>2907</v>
      </c>
      <c r="D34823" s="21" t="s">
        <v>34</v>
      </c>
      <c r="E34823" s="21" t="s">
        <v>71</v>
      </c>
      <c r="F34823">
        <v>1380292</v>
      </c>
      <c r="G34823" t="s">
        <v>10256</v>
      </c>
      <c r="H34823" s="21">
        <v>500</v>
      </c>
    </row>
    <row r="34824" spans="1:8" customFormat="1" x14ac:dyDescent="0.25">
      <c r="A34824" t="str">
        <f>"6022233"</f>
        <v>6022233</v>
      </c>
      <c r="B34824" t="s">
        <v>4654</v>
      </c>
      <c r="C34824" t="s">
        <v>62</v>
      </c>
      <c r="D34824" s="21" t="s">
        <v>34</v>
      </c>
      <c r="E34824" s="21" t="s">
        <v>35</v>
      </c>
      <c r="F34824">
        <v>7600170</v>
      </c>
      <c r="G34824" t="s">
        <v>16044</v>
      </c>
      <c r="H34824" s="21">
        <v>500</v>
      </c>
    </row>
    <row r="34825" spans="1:8" customFormat="1" x14ac:dyDescent="0.25">
      <c r="A34825" t="str">
        <f>"624640"</f>
        <v>624640</v>
      </c>
      <c r="B34825" t="s">
        <v>17511</v>
      </c>
      <c r="C34825" t="s">
        <v>547</v>
      </c>
      <c r="D34825" s="21" t="s">
        <v>34</v>
      </c>
      <c r="E34825" s="21" t="s">
        <v>6185</v>
      </c>
      <c r="F34825">
        <v>7620061</v>
      </c>
      <c r="G34825" t="s">
        <v>4448</v>
      </c>
      <c r="H34825" s="21">
        <v>500</v>
      </c>
    </row>
    <row r="34826" spans="1:8" customFormat="1" x14ac:dyDescent="0.25">
      <c r="A34826" t="str">
        <f>"304359"</f>
        <v>304359</v>
      </c>
      <c r="B34826" t="s">
        <v>970</v>
      </c>
      <c r="C34826" t="s">
        <v>750</v>
      </c>
      <c r="D34826" s="21" t="s">
        <v>34</v>
      </c>
      <c r="E34826" s="21" t="s">
        <v>254</v>
      </c>
      <c r="F34826">
        <v>11090019</v>
      </c>
      <c r="G34826" t="s">
        <v>5591</v>
      </c>
      <c r="H34826" s="21">
        <v>500</v>
      </c>
    </row>
    <row r="34827" spans="1:8" customFormat="1" x14ac:dyDescent="0.25">
      <c r="A34827" t="str">
        <f>"408085"</f>
        <v>408085</v>
      </c>
      <c r="B34827" t="s">
        <v>1601</v>
      </c>
      <c r="C34827" t="s">
        <v>98</v>
      </c>
      <c r="D34827" s="21" t="s">
        <v>34</v>
      </c>
      <c r="E34827" s="21" t="s">
        <v>35</v>
      </c>
      <c r="F34827">
        <v>10400004</v>
      </c>
      <c r="G34827" t="s">
        <v>2929</v>
      </c>
      <c r="H34827" s="21">
        <v>500</v>
      </c>
    </row>
    <row r="34828" spans="1:8" customFormat="1" x14ac:dyDescent="0.25">
      <c r="A34828" t="str">
        <f>"692448"</f>
        <v>692448</v>
      </c>
      <c r="B34828" t="s">
        <v>22807</v>
      </c>
      <c r="C34828" t="s">
        <v>1841</v>
      </c>
      <c r="D34828" s="21" t="s">
        <v>34</v>
      </c>
      <c r="E34828" s="21" t="s">
        <v>254</v>
      </c>
      <c r="F34828">
        <v>1690175</v>
      </c>
      <c r="G34828" t="s">
        <v>410</v>
      </c>
      <c r="H34828" s="21">
        <v>500</v>
      </c>
    </row>
    <row r="34829" spans="1:8" customFormat="1" x14ac:dyDescent="0.25">
      <c r="A34829" t="str">
        <f>"9518182"</f>
        <v>9518182</v>
      </c>
      <c r="B34829" t="s">
        <v>24160</v>
      </c>
      <c r="C34829" t="s">
        <v>24161</v>
      </c>
      <c r="D34829" s="21" t="s">
        <v>34</v>
      </c>
      <c r="E34829" s="21" t="s">
        <v>254</v>
      </c>
      <c r="F34829">
        <v>8950330</v>
      </c>
      <c r="G34829" t="s">
        <v>794</v>
      </c>
      <c r="H34829" s="21">
        <v>500</v>
      </c>
    </row>
    <row r="34830" spans="1:8" customFormat="1" x14ac:dyDescent="0.25">
      <c r="A34830" t="str">
        <f>"4458225"</f>
        <v>4458225</v>
      </c>
      <c r="B34830" t="s">
        <v>9522</v>
      </c>
      <c r="C34830" t="s">
        <v>462</v>
      </c>
      <c r="D34830" s="21" t="s">
        <v>34</v>
      </c>
      <c r="E34830" s="21" t="s">
        <v>35</v>
      </c>
      <c r="F34830">
        <v>12440039</v>
      </c>
      <c r="G34830" t="s">
        <v>9650</v>
      </c>
      <c r="H34830" s="21">
        <v>500</v>
      </c>
    </row>
    <row r="34831" spans="1:8" customFormat="1" x14ac:dyDescent="0.25">
      <c r="A34831" t="str">
        <f>"407123"</f>
        <v>407123</v>
      </c>
      <c r="B34831" t="s">
        <v>23372</v>
      </c>
      <c r="C34831" t="s">
        <v>9698</v>
      </c>
      <c r="D34831" s="21" t="s">
        <v>34</v>
      </c>
      <c r="E34831" s="21" t="s">
        <v>6185</v>
      </c>
      <c r="F34831">
        <v>10400004</v>
      </c>
      <c r="G34831" t="s">
        <v>2929</v>
      </c>
      <c r="H34831" s="21">
        <v>500</v>
      </c>
    </row>
    <row r="34832" spans="1:8" customFormat="1" x14ac:dyDescent="0.25">
      <c r="A34832" t="str">
        <f>"5958402"</f>
        <v>5958402</v>
      </c>
      <c r="B34832" t="s">
        <v>23845</v>
      </c>
      <c r="C34832" t="s">
        <v>62</v>
      </c>
      <c r="D34832" s="21" t="s">
        <v>34</v>
      </c>
      <c r="E34832" s="21" t="s">
        <v>35</v>
      </c>
      <c r="F34832">
        <v>7590223</v>
      </c>
      <c r="G34832" t="s">
        <v>5218</v>
      </c>
      <c r="H34832" s="21">
        <v>500</v>
      </c>
    </row>
    <row r="34833" spans="1:8" customFormat="1" x14ac:dyDescent="0.25">
      <c r="A34833" t="str">
        <f>"3729645"</f>
        <v>3729645</v>
      </c>
      <c r="B34833" t="s">
        <v>4493</v>
      </c>
      <c r="C34833" t="s">
        <v>305</v>
      </c>
      <c r="D34833" s="21" t="s">
        <v>34</v>
      </c>
      <c r="E34833" s="21" t="s">
        <v>35</v>
      </c>
      <c r="F34833">
        <v>4370727</v>
      </c>
      <c r="G34833" t="s">
        <v>22531</v>
      </c>
      <c r="H34833" s="21">
        <v>500</v>
      </c>
    </row>
    <row r="34834" spans="1:8" customFormat="1" x14ac:dyDescent="0.25">
      <c r="A34834" t="str">
        <f>"9D465"</f>
        <v>9D465</v>
      </c>
      <c r="B34834" t="s">
        <v>28936</v>
      </c>
      <c r="C34834" t="s">
        <v>3497</v>
      </c>
      <c r="D34834" s="21" t="s">
        <v>34</v>
      </c>
      <c r="E34834" s="21" t="s">
        <v>71</v>
      </c>
      <c r="F34834" t="s">
        <v>3911</v>
      </c>
      <c r="G34834" t="s">
        <v>3912</v>
      </c>
      <c r="H34834" s="21">
        <v>500</v>
      </c>
    </row>
    <row r="34835" spans="1:8" customFormat="1" x14ac:dyDescent="0.25">
      <c r="A34835" t="str">
        <f>"2211351"</f>
        <v>2211351</v>
      </c>
      <c r="B34835" t="s">
        <v>6712</v>
      </c>
      <c r="C34835" t="s">
        <v>209</v>
      </c>
      <c r="D34835" s="21" t="s">
        <v>34</v>
      </c>
      <c r="E34835" s="21" t="s">
        <v>71</v>
      </c>
      <c r="F34835">
        <v>3220008</v>
      </c>
      <c r="G34835" t="s">
        <v>6845</v>
      </c>
      <c r="H34835" s="21">
        <v>500</v>
      </c>
    </row>
    <row r="34836" spans="1:8" customFormat="1" x14ac:dyDescent="0.25">
      <c r="A34836" t="str">
        <f>"6219591"</f>
        <v>6219591</v>
      </c>
      <c r="B34836" t="s">
        <v>18426</v>
      </c>
      <c r="C34836" t="s">
        <v>33</v>
      </c>
      <c r="D34836" s="21" t="s">
        <v>34</v>
      </c>
      <c r="E34836" s="21" t="s">
        <v>35</v>
      </c>
      <c r="F34836">
        <v>7620057</v>
      </c>
      <c r="G34836" t="s">
        <v>184</v>
      </c>
      <c r="H34836" s="21">
        <v>500</v>
      </c>
    </row>
    <row r="34837" spans="1:8" customFormat="1" x14ac:dyDescent="0.25">
      <c r="A34837" t="str">
        <f>"7516243"</f>
        <v>7516243</v>
      </c>
      <c r="B34837" t="s">
        <v>23129</v>
      </c>
      <c r="C34837" t="s">
        <v>3497</v>
      </c>
      <c r="D34837" s="21" t="s">
        <v>34</v>
      </c>
      <c r="E34837" s="21" t="s">
        <v>254</v>
      </c>
      <c r="F34837">
        <v>8750074</v>
      </c>
      <c r="G34837" t="s">
        <v>698</v>
      </c>
      <c r="H34837" s="21">
        <v>500</v>
      </c>
    </row>
    <row r="34838" spans="1:8" customFormat="1" x14ac:dyDescent="0.25">
      <c r="A34838" t="str">
        <f>"1715791"</f>
        <v>1715791</v>
      </c>
      <c r="B34838" t="s">
        <v>13604</v>
      </c>
      <c r="C34838" t="s">
        <v>169</v>
      </c>
      <c r="D34838" s="21" t="s">
        <v>34</v>
      </c>
      <c r="E34838" s="21" t="s">
        <v>35</v>
      </c>
      <c r="F34838">
        <v>10170050</v>
      </c>
      <c r="G34838" t="s">
        <v>2514</v>
      </c>
      <c r="H34838" s="21">
        <v>500</v>
      </c>
    </row>
    <row r="34839" spans="1:8" customFormat="1" x14ac:dyDescent="0.25">
      <c r="A34839" t="str">
        <f>"4451595"</f>
        <v>4451595</v>
      </c>
      <c r="B34839" t="s">
        <v>2656</v>
      </c>
      <c r="C34839" t="s">
        <v>114</v>
      </c>
      <c r="D34839" s="21" t="s">
        <v>34</v>
      </c>
      <c r="E34839" s="21" t="s">
        <v>35</v>
      </c>
      <c r="F34839">
        <v>12440058</v>
      </c>
      <c r="G34839" t="s">
        <v>394</v>
      </c>
      <c r="H34839" s="21">
        <v>500</v>
      </c>
    </row>
    <row r="34840" spans="1:8" customFormat="1" x14ac:dyDescent="0.25">
      <c r="A34840" t="str">
        <f>"23968"</f>
        <v>23968</v>
      </c>
      <c r="B34840" t="s">
        <v>650</v>
      </c>
      <c r="C34840" t="s">
        <v>40</v>
      </c>
      <c r="D34840" s="21" t="s">
        <v>34</v>
      </c>
      <c r="E34840" s="21" t="s">
        <v>71</v>
      </c>
      <c r="F34840">
        <v>10230067</v>
      </c>
      <c r="G34840" t="s">
        <v>912</v>
      </c>
      <c r="H34840" s="21">
        <v>500</v>
      </c>
    </row>
    <row r="34841" spans="1:8" customFormat="1" x14ac:dyDescent="0.25">
      <c r="A34841" t="str">
        <f>"396744"</f>
        <v>396744</v>
      </c>
      <c r="B34841" t="s">
        <v>23407</v>
      </c>
      <c r="C34841" t="s">
        <v>1675</v>
      </c>
      <c r="D34841" s="21" t="s">
        <v>34</v>
      </c>
      <c r="E34841" s="21" t="s">
        <v>71</v>
      </c>
      <c r="F34841">
        <v>2390003</v>
      </c>
      <c r="G34841" t="s">
        <v>1150</v>
      </c>
      <c r="H34841" s="21">
        <v>500</v>
      </c>
    </row>
    <row r="34842" spans="1:8" customFormat="1" x14ac:dyDescent="0.25">
      <c r="A34842" t="str">
        <f>"2721409"</f>
        <v>2721409</v>
      </c>
      <c r="B34842" t="s">
        <v>2851</v>
      </c>
      <c r="C34842" t="s">
        <v>267</v>
      </c>
      <c r="D34842" s="21" t="s">
        <v>34</v>
      </c>
      <c r="E34842" s="21" t="s">
        <v>35</v>
      </c>
      <c r="F34842">
        <v>9270041</v>
      </c>
      <c r="G34842" t="s">
        <v>4698</v>
      </c>
      <c r="H34842" s="21">
        <v>500</v>
      </c>
    </row>
    <row r="34843" spans="1:8" customFormat="1" x14ac:dyDescent="0.25">
      <c r="A34843" t="str">
        <f>"5983537"</f>
        <v>5983537</v>
      </c>
      <c r="B34843" t="s">
        <v>28937</v>
      </c>
      <c r="C34843" t="s">
        <v>96</v>
      </c>
      <c r="D34843" s="21" t="s">
        <v>34</v>
      </c>
      <c r="E34843" s="21" t="s">
        <v>35</v>
      </c>
      <c r="F34843">
        <v>7590049</v>
      </c>
      <c r="G34843" t="s">
        <v>11040</v>
      </c>
      <c r="H34843" s="21">
        <v>500</v>
      </c>
    </row>
    <row r="34844" spans="1:8" customFormat="1" x14ac:dyDescent="0.25">
      <c r="A34844" t="str">
        <f>"9147419"</f>
        <v>9147419</v>
      </c>
      <c r="B34844" t="s">
        <v>248</v>
      </c>
      <c r="C34844" t="s">
        <v>139</v>
      </c>
      <c r="D34844" s="21" t="s">
        <v>34</v>
      </c>
      <c r="E34844" s="21" t="s">
        <v>35</v>
      </c>
      <c r="F34844">
        <v>8910310</v>
      </c>
      <c r="G34844" t="s">
        <v>6645</v>
      </c>
      <c r="H34844" s="21">
        <v>500</v>
      </c>
    </row>
    <row r="34845" spans="1:8" customFormat="1" x14ac:dyDescent="0.25">
      <c r="A34845" t="str">
        <f>"639912"</f>
        <v>639912</v>
      </c>
      <c r="B34845" t="s">
        <v>1200</v>
      </c>
      <c r="C34845" t="s">
        <v>209</v>
      </c>
      <c r="D34845" s="21" t="s">
        <v>34</v>
      </c>
      <c r="E34845" s="21" t="s">
        <v>254</v>
      </c>
      <c r="F34845">
        <v>1630332</v>
      </c>
      <c r="G34845" t="s">
        <v>27136</v>
      </c>
      <c r="H34845" s="21">
        <v>500</v>
      </c>
    </row>
    <row r="34846" spans="1:8" customFormat="1" x14ac:dyDescent="0.25">
      <c r="A34846" t="str">
        <f>"2928120"</f>
        <v>2928120</v>
      </c>
      <c r="B34846" t="s">
        <v>3986</v>
      </c>
      <c r="C34846" t="s">
        <v>2365</v>
      </c>
      <c r="D34846" s="21" t="s">
        <v>34</v>
      </c>
      <c r="E34846" s="21" t="s">
        <v>71</v>
      </c>
      <c r="F34846">
        <v>3290029</v>
      </c>
      <c r="G34846" t="s">
        <v>11486</v>
      </c>
      <c r="H34846" s="21">
        <v>500</v>
      </c>
    </row>
    <row r="34847" spans="1:8" customFormat="1" x14ac:dyDescent="0.25">
      <c r="A34847" t="str">
        <f>"8516202"</f>
        <v>8516202</v>
      </c>
      <c r="B34847" t="s">
        <v>7347</v>
      </c>
      <c r="C34847" t="s">
        <v>2479</v>
      </c>
      <c r="D34847" s="21" t="s">
        <v>34</v>
      </c>
      <c r="E34847" s="21" t="s">
        <v>71</v>
      </c>
      <c r="F34847">
        <v>12850172</v>
      </c>
      <c r="G34847" t="s">
        <v>4919</v>
      </c>
      <c r="H34847" s="21">
        <v>500</v>
      </c>
    </row>
    <row r="34848" spans="1:8" customFormat="1" x14ac:dyDescent="0.25">
      <c r="A34848" t="str">
        <f>"6942943"</f>
        <v>6942943</v>
      </c>
      <c r="B34848" t="s">
        <v>6225</v>
      </c>
      <c r="C34848" t="s">
        <v>60</v>
      </c>
      <c r="D34848" s="21" t="s">
        <v>34</v>
      </c>
      <c r="E34848" s="21" t="s">
        <v>35</v>
      </c>
      <c r="F34848">
        <v>1690206</v>
      </c>
      <c r="G34848" t="s">
        <v>17667</v>
      </c>
      <c r="H34848" s="21">
        <v>500</v>
      </c>
    </row>
    <row r="34849" spans="1:8" customFormat="1" x14ac:dyDescent="0.25">
      <c r="A34849" t="str">
        <f>"5973867"</f>
        <v>5973867</v>
      </c>
      <c r="B34849" t="s">
        <v>23418</v>
      </c>
      <c r="C34849" t="s">
        <v>236</v>
      </c>
      <c r="D34849" s="21" t="s">
        <v>34</v>
      </c>
      <c r="E34849" s="21" t="s">
        <v>254</v>
      </c>
      <c r="F34849">
        <v>7590237</v>
      </c>
      <c r="G34849" t="s">
        <v>3600</v>
      </c>
      <c r="H34849" s="21">
        <v>500</v>
      </c>
    </row>
    <row r="34850" spans="1:8" customFormat="1" x14ac:dyDescent="0.25">
      <c r="A34850" t="str">
        <f>"3119360"</f>
        <v>3119360</v>
      </c>
      <c r="B34850" t="s">
        <v>28938</v>
      </c>
      <c r="C34850" t="s">
        <v>269</v>
      </c>
      <c r="D34850" s="21" t="s">
        <v>34</v>
      </c>
      <c r="E34850" s="21" t="s">
        <v>71</v>
      </c>
      <c r="F34850">
        <v>11310070</v>
      </c>
      <c r="G34850" t="s">
        <v>11563</v>
      </c>
      <c r="H34850" s="21">
        <v>500</v>
      </c>
    </row>
    <row r="34851" spans="1:8" customFormat="1" x14ac:dyDescent="0.25">
      <c r="A34851" t="str">
        <f>"3712881"</f>
        <v>3712881</v>
      </c>
      <c r="B34851" t="s">
        <v>650</v>
      </c>
      <c r="C34851" t="s">
        <v>62</v>
      </c>
      <c r="D34851" s="21" t="s">
        <v>34</v>
      </c>
      <c r="E34851" s="21" t="s">
        <v>35</v>
      </c>
      <c r="F34851">
        <v>13060088</v>
      </c>
      <c r="G34851" t="s">
        <v>15538</v>
      </c>
      <c r="H34851" s="21">
        <v>500</v>
      </c>
    </row>
    <row r="34852" spans="1:8" customFormat="1" x14ac:dyDescent="0.25">
      <c r="A34852" t="str">
        <f>"2721704"</f>
        <v>2721704</v>
      </c>
      <c r="B34852" t="s">
        <v>28939</v>
      </c>
      <c r="C34852" t="s">
        <v>33</v>
      </c>
      <c r="D34852" s="21" t="s">
        <v>34</v>
      </c>
      <c r="E34852" s="21" t="s">
        <v>35</v>
      </c>
      <c r="F34852">
        <v>9270006</v>
      </c>
      <c r="G34852" t="s">
        <v>780</v>
      </c>
      <c r="H34852" s="21">
        <v>500</v>
      </c>
    </row>
    <row r="34853" spans="1:8" customFormat="1" x14ac:dyDescent="0.25">
      <c r="A34853" t="str">
        <f>"6944709"</f>
        <v>6944709</v>
      </c>
      <c r="B34853" t="s">
        <v>13256</v>
      </c>
      <c r="C34853" t="s">
        <v>171</v>
      </c>
      <c r="D34853" s="21" t="s">
        <v>34</v>
      </c>
      <c r="E34853" s="21" t="s">
        <v>35</v>
      </c>
      <c r="F34853">
        <v>1690090</v>
      </c>
      <c r="G34853" t="s">
        <v>6286</v>
      </c>
      <c r="H34853" s="21">
        <v>500</v>
      </c>
    </row>
    <row r="34854" spans="1:8" customFormat="1" x14ac:dyDescent="0.25">
      <c r="A34854" t="str">
        <f>"9744941"</f>
        <v>9744941</v>
      </c>
      <c r="B34854" t="s">
        <v>23345</v>
      </c>
      <c r="C34854" t="s">
        <v>3073</v>
      </c>
      <c r="D34854" s="21" t="s">
        <v>34</v>
      </c>
      <c r="E34854" s="21" t="s">
        <v>6185</v>
      </c>
      <c r="F34854">
        <v>10470005</v>
      </c>
      <c r="G34854" t="s">
        <v>4216</v>
      </c>
      <c r="H34854" s="21">
        <v>500</v>
      </c>
    </row>
    <row r="34855" spans="1:8" customFormat="1" x14ac:dyDescent="0.25">
      <c r="A34855" t="str">
        <f>"2939236"</f>
        <v>2939236</v>
      </c>
      <c r="B34855" t="s">
        <v>771</v>
      </c>
      <c r="C34855" t="s">
        <v>484</v>
      </c>
      <c r="D34855" s="21" t="s">
        <v>34</v>
      </c>
      <c r="E34855" s="21" t="s">
        <v>71</v>
      </c>
      <c r="F34855">
        <v>3290285</v>
      </c>
      <c r="G34855" t="s">
        <v>2234</v>
      </c>
      <c r="H34855" s="21">
        <v>500</v>
      </c>
    </row>
    <row r="34856" spans="1:8" customFormat="1" x14ac:dyDescent="0.25">
      <c r="A34856" t="str">
        <f>"4519346"</f>
        <v>4519346</v>
      </c>
      <c r="B34856" t="s">
        <v>24040</v>
      </c>
      <c r="C34856" t="s">
        <v>33</v>
      </c>
      <c r="D34856" s="21" t="s">
        <v>34</v>
      </c>
      <c r="E34856" s="21" t="s">
        <v>71</v>
      </c>
      <c r="F34856">
        <v>4450571</v>
      </c>
      <c r="G34856" t="s">
        <v>188</v>
      </c>
      <c r="H34856" s="21">
        <v>500</v>
      </c>
    </row>
    <row r="34857" spans="1:8" customFormat="1" x14ac:dyDescent="0.25">
      <c r="A34857" t="str">
        <f>"8515499"</f>
        <v>8515499</v>
      </c>
      <c r="B34857" t="s">
        <v>28940</v>
      </c>
      <c r="C34857" t="s">
        <v>3073</v>
      </c>
      <c r="D34857" s="21" t="s">
        <v>34</v>
      </c>
      <c r="E34857" s="21" t="s">
        <v>1089</v>
      </c>
      <c r="F34857">
        <v>12850078</v>
      </c>
      <c r="G34857" t="s">
        <v>5639</v>
      </c>
      <c r="H34857" s="21">
        <v>500</v>
      </c>
    </row>
    <row r="34858" spans="1:8" customFormat="1" x14ac:dyDescent="0.25">
      <c r="A34858" t="str">
        <f>"9233349"</f>
        <v>9233349</v>
      </c>
      <c r="B34858" t="s">
        <v>9012</v>
      </c>
      <c r="C34858" t="s">
        <v>171</v>
      </c>
      <c r="D34858" s="21" t="s">
        <v>34</v>
      </c>
      <c r="E34858" s="21" t="s">
        <v>1089</v>
      </c>
      <c r="F34858">
        <v>8921164</v>
      </c>
      <c r="G34858" t="s">
        <v>5203</v>
      </c>
      <c r="H34858" s="21">
        <v>500</v>
      </c>
    </row>
    <row r="34859" spans="1:8" customFormat="1" x14ac:dyDescent="0.25">
      <c r="A34859" t="str">
        <f>"7720891"</f>
        <v>7720891</v>
      </c>
      <c r="B34859" t="s">
        <v>21373</v>
      </c>
      <c r="C34859" t="s">
        <v>3905</v>
      </c>
      <c r="D34859" s="21" t="s">
        <v>34</v>
      </c>
      <c r="E34859" s="21" t="s">
        <v>1089</v>
      </c>
      <c r="F34859">
        <v>8771337</v>
      </c>
      <c r="G34859" t="s">
        <v>4661</v>
      </c>
      <c r="H34859" s="21">
        <v>500</v>
      </c>
    </row>
    <row r="34860" spans="1:8" customFormat="1" x14ac:dyDescent="0.25">
      <c r="A34860" t="str">
        <f>"4216260"</f>
        <v>4216260</v>
      </c>
      <c r="B34860" t="s">
        <v>21200</v>
      </c>
      <c r="C34860" t="s">
        <v>209</v>
      </c>
      <c r="D34860" s="21" t="s">
        <v>34</v>
      </c>
      <c r="E34860" s="21" t="s">
        <v>71</v>
      </c>
      <c r="F34860">
        <v>1420152</v>
      </c>
      <c r="G34860" t="s">
        <v>2948</v>
      </c>
      <c r="H34860" s="21">
        <v>500</v>
      </c>
    </row>
    <row r="34861" spans="1:8" customFormat="1" x14ac:dyDescent="0.25">
      <c r="A34861" t="str">
        <f>"043870"</f>
        <v>043870</v>
      </c>
      <c r="B34861" t="s">
        <v>582</v>
      </c>
      <c r="C34861" t="s">
        <v>109</v>
      </c>
      <c r="D34861" s="21" t="s">
        <v>34</v>
      </c>
      <c r="E34861" s="21" t="s">
        <v>71</v>
      </c>
      <c r="F34861">
        <v>13040031</v>
      </c>
      <c r="G34861" t="s">
        <v>15895</v>
      </c>
      <c r="H34861" s="21">
        <v>500</v>
      </c>
    </row>
    <row r="34862" spans="1:8" customFormat="1" x14ac:dyDescent="0.25">
      <c r="A34862" t="str">
        <f>"5979681"</f>
        <v>5979681</v>
      </c>
      <c r="B34862" t="s">
        <v>5933</v>
      </c>
      <c r="C34862" t="s">
        <v>40</v>
      </c>
      <c r="D34862" s="21" t="s">
        <v>34</v>
      </c>
      <c r="E34862" s="21" t="s">
        <v>254</v>
      </c>
      <c r="F34862">
        <v>7590028</v>
      </c>
      <c r="G34862" t="s">
        <v>251</v>
      </c>
      <c r="H34862" s="21">
        <v>500</v>
      </c>
    </row>
    <row r="34863" spans="1:8" customFormat="1" x14ac:dyDescent="0.25">
      <c r="A34863" t="str">
        <f>"3730487"</f>
        <v>3730487</v>
      </c>
      <c r="B34863" t="s">
        <v>28941</v>
      </c>
      <c r="C34863" t="s">
        <v>328</v>
      </c>
      <c r="D34863" s="21" t="s">
        <v>34</v>
      </c>
      <c r="E34863" s="21" t="s">
        <v>35</v>
      </c>
      <c r="F34863">
        <v>4370002</v>
      </c>
      <c r="G34863" t="s">
        <v>112</v>
      </c>
      <c r="H34863" s="21">
        <v>500</v>
      </c>
    </row>
    <row r="34864" spans="1:8" customFormat="1" x14ac:dyDescent="0.25">
      <c r="A34864" t="str">
        <f>"324910"</f>
        <v>324910</v>
      </c>
      <c r="B34864" t="s">
        <v>1286</v>
      </c>
      <c r="C34864" t="s">
        <v>1914</v>
      </c>
      <c r="D34864" s="21" t="s">
        <v>34</v>
      </c>
      <c r="E34864" s="21" t="s">
        <v>71</v>
      </c>
      <c r="F34864">
        <v>11320041</v>
      </c>
      <c r="G34864" t="s">
        <v>4802</v>
      </c>
      <c r="H34864" s="21">
        <v>500</v>
      </c>
    </row>
    <row r="34865" spans="1:8" customFormat="1" x14ac:dyDescent="0.25">
      <c r="A34865" t="str">
        <f>"6217132"</f>
        <v>6217132</v>
      </c>
      <c r="B34865" t="s">
        <v>11436</v>
      </c>
      <c r="C34865" t="s">
        <v>269</v>
      </c>
      <c r="D34865" s="21" t="s">
        <v>34</v>
      </c>
      <c r="E34865" s="21" t="s">
        <v>71</v>
      </c>
      <c r="F34865">
        <v>7620165</v>
      </c>
      <c r="G34865" t="s">
        <v>6254</v>
      </c>
      <c r="H34865" s="21">
        <v>500</v>
      </c>
    </row>
    <row r="34866" spans="1:8" customFormat="1" x14ac:dyDescent="0.25">
      <c r="A34866" t="str">
        <f>"7642409"</f>
        <v>7642409</v>
      </c>
      <c r="B34866" t="s">
        <v>28942</v>
      </c>
      <c r="C34866" t="s">
        <v>926</v>
      </c>
      <c r="D34866" s="21" t="s">
        <v>34</v>
      </c>
      <c r="E34866" s="21" t="s">
        <v>254</v>
      </c>
      <c r="F34866">
        <v>9760127</v>
      </c>
      <c r="G34866" t="s">
        <v>7132</v>
      </c>
      <c r="H34866" s="21">
        <v>500</v>
      </c>
    </row>
    <row r="34867" spans="1:8" customFormat="1" x14ac:dyDescent="0.25">
      <c r="A34867" t="str">
        <f>"5017693"</f>
        <v>5017693</v>
      </c>
      <c r="B34867" t="s">
        <v>3313</v>
      </c>
      <c r="C34867" t="s">
        <v>236</v>
      </c>
      <c r="D34867" s="21" t="s">
        <v>34</v>
      </c>
      <c r="E34867" s="21" t="s">
        <v>71</v>
      </c>
      <c r="F34867">
        <v>13130154</v>
      </c>
      <c r="G34867" t="s">
        <v>5503</v>
      </c>
      <c r="H34867" s="21">
        <v>500</v>
      </c>
    </row>
    <row r="34868" spans="1:8" customFormat="1" x14ac:dyDescent="0.25">
      <c r="A34868" t="str">
        <f>"668004"</f>
        <v>668004</v>
      </c>
      <c r="B34868" t="s">
        <v>22199</v>
      </c>
      <c r="C34868" t="s">
        <v>1588</v>
      </c>
      <c r="D34868" s="21" t="s">
        <v>34</v>
      </c>
      <c r="E34868" s="21" t="s">
        <v>1089</v>
      </c>
      <c r="F34868">
        <v>11660038</v>
      </c>
      <c r="G34868" t="s">
        <v>8493</v>
      </c>
      <c r="H34868" s="21">
        <v>500</v>
      </c>
    </row>
    <row r="34869" spans="1:8" customFormat="1" x14ac:dyDescent="0.25">
      <c r="A34869" t="str">
        <f>"7414494"</f>
        <v>7414494</v>
      </c>
      <c r="B34869" t="s">
        <v>8940</v>
      </c>
      <c r="C34869" t="s">
        <v>33</v>
      </c>
      <c r="D34869" s="21" t="s">
        <v>34</v>
      </c>
      <c r="E34869" s="21" t="s">
        <v>71</v>
      </c>
      <c r="F34869">
        <v>1740011</v>
      </c>
      <c r="G34869" t="s">
        <v>2638</v>
      </c>
      <c r="H34869" s="21">
        <v>500</v>
      </c>
    </row>
    <row r="34870" spans="1:8" customFormat="1" x14ac:dyDescent="0.25">
      <c r="A34870" t="str">
        <f>"7642255"</f>
        <v>7642255</v>
      </c>
      <c r="B34870" t="s">
        <v>17255</v>
      </c>
      <c r="C34870" t="s">
        <v>49</v>
      </c>
      <c r="D34870" s="21" t="s">
        <v>34</v>
      </c>
      <c r="E34870" s="21" t="s">
        <v>35</v>
      </c>
      <c r="F34870">
        <v>9760351</v>
      </c>
      <c r="G34870" t="s">
        <v>5898</v>
      </c>
      <c r="H34870" s="21">
        <v>500</v>
      </c>
    </row>
    <row r="34871" spans="1:8" customFormat="1" x14ac:dyDescent="0.25">
      <c r="A34871" t="str">
        <f>"4456973"</f>
        <v>4456973</v>
      </c>
      <c r="B34871" t="s">
        <v>6507</v>
      </c>
      <c r="C34871" t="s">
        <v>3073</v>
      </c>
      <c r="D34871" s="21" t="s">
        <v>34</v>
      </c>
      <c r="E34871" s="21" t="s">
        <v>254</v>
      </c>
      <c r="F34871">
        <v>12440084</v>
      </c>
      <c r="G34871" t="s">
        <v>1014</v>
      </c>
      <c r="H34871" s="21">
        <v>500</v>
      </c>
    </row>
    <row r="34872" spans="1:8" customFormat="1" x14ac:dyDescent="0.25">
      <c r="A34872" t="str">
        <f>"3523396"</f>
        <v>3523396</v>
      </c>
      <c r="B34872" t="s">
        <v>23291</v>
      </c>
      <c r="C34872" t="s">
        <v>263</v>
      </c>
      <c r="D34872" s="21" t="s">
        <v>34</v>
      </c>
      <c r="E34872" s="21" t="s">
        <v>71</v>
      </c>
      <c r="F34872">
        <v>3350022</v>
      </c>
      <c r="G34872" t="s">
        <v>1287</v>
      </c>
      <c r="H34872" s="21">
        <v>500</v>
      </c>
    </row>
    <row r="34873" spans="1:8" customFormat="1" x14ac:dyDescent="0.25">
      <c r="A34873" t="str">
        <f>"6229441"</f>
        <v>6229441</v>
      </c>
      <c r="B34873" t="s">
        <v>22899</v>
      </c>
      <c r="C34873" t="s">
        <v>812</v>
      </c>
      <c r="D34873" s="21" t="s">
        <v>34</v>
      </c>
      <c r="E34873" s="21" t="s">
        <v>254</v>
      </c>
      <c r="F34873">
        <v>7620091</v>
      </c>
      <c r="G34873" t="s">
        <v>11533</v>
      </c>
      <c r="H34873" s="21">
        <v>500</v>
      </c>
    </row>
    <row r="34874" spans="1:8" customFormat="1" x14ac:dyDescent="0.25">
      <c r="A34874" t="str">
        <f>"7727672"</f>
        <v>7727672</v>
      </c>
      <c r="B34874" t="s">
        <v>4278</v>
      </c>
      <c r="C34874" t="s">
        <v>2072</v>
      </c>
      <c r="D34874" s="21" t="s">
        <v>34</v>
      </c>
      <c r="E34874" s="21" t="s">
        <v>1089</v>
      </c>
      <c r="F34874">
        <v>8771365</v>
      </c>
      <c r="G34874" t="s">
        <v>23275</v>
      </c>
      <c r="H34874" s="21">
        <v>500</v>
      </c>
    </row>
    <row r="34875" spans="1:8" customFormat="1" x14ac:dyDescent="0.25">
      <c r="A34875" t="str">
        <f>"5982722"</f>
        <v>5982722</v>
      </c>
      <c r="B34875" t="s">
        <v>28943</v>
      </c>
      <c r="C34875" t="s">
        <v>119</v>
      </c>
      <c r="D34875" s="21" t="s">
        <v>34</v>
      </c>
      <c r="E34875" s="21" t="s">
        <v>71</v>
      </c>
      <c r="F34875">
        <v>7590100</v>
      </c>
      <c r="G34875" t="s">
        <v>1660</v>
      </c>
      <c r="H34875" s="21">
        <v>500</v>
      </c>
    </row>
    <row r="34876" spans="1:8" customFormat="1" x14ac:dyDescent="0.25">
      <c r="A34876" t="str">
        <f>"9W127"</f>
        <v>9W127</v>
      </c>
      <c r="B34876" t="s">
        <v>23311</v>
      </c>
      <c r="C34876" t="s">
        <v>23312</v>
      </c>
      <c r="D34876" s="21" t="s">
        <v>34</v>
      </c>
      <c r="E34876" s="21" t="s">
        <v>71</v>
      </c>
      <c r="F34876" t="s">
        <v>23027</v>
      </c>
      <c r="G34876" t="s">
        <v>28713</v>
      </c>
      <c r="H34876" s="21">
        <v>500</v>
      </c>
    </row>
    <row r="34877" spans="1:8" customFormat="1" x14ac:dyDescent="0.25">
      <c r="A34877" t="str">
        <f>"3653"</f>
        <v>3653</v>
      </c>
      <c r="B34877" t="s">
        <v>23456</v>
      </c>
      <c r="C34877" t="s">
        <v>253</v>
      </c>
      <c r="D34877" s="21" t="s">
        <v>34</v>
      </c>
      <c r="E34877" s="21" t="s">
        <v>6185</v>
      </c>
      <c r="F34877">
        <v>4360001</v>
      </c>
      <c r="G34877" t="s">
        <v>23098</v>
      </c>
      <c r="H34877" s="21">
        <v>500</v>
      </c>
    </row>
    <row r="34878" spans="1:8" customFormat="1" x14ac:dyDescent="0.25">
      <c r="A34878" t="str">
        <f>"2220480"</f>
        <v>2220480</v>
      </c>
      <c r="B34878" t="s">
        <v>8926</v>
      </c>
      <c r="C34878" t="s">
        <v>156</v>
      </c>
      <c r="D34878" s="21" t="s">
        <v>34</v>
      </c>
      <c r="E34878" s="21" t="s">
        <v>35</v>
      </c>
      <c r="F34878">
        <v>3220048</v>
      </c>
      <c r="G34878" t="s">
        <v>26532</v>
      </c>
      <c r="H34878" s="21">
        <v>500</v>
      </c>
    </row>
    <row r="34879" spans="1:8" customFormat="1" x14ac:dyDescent="0.25">
      <c r="A34879" t="str">
        <f>"7114421"</f>
        <v>7114421</v>
      </c>
      <c r="B34879" t="s">
        <v>20109</v>
      </c>
      <c r="C34879" t="s">
        <v>87</v>
      </c>
      <c r="D34879" s="21" t="s">
        <v>34</v>
      </c>
      <c r="E34879" s="21" t="s">
        <v>254</v>
      </c>
      <c r="F34879">
        <v>2710002</v>
      </c>
      <c r="G34879" t="s">
        <v>6838</v>
      </c>
      <c r="H34879" s="21">
        <v>500</v>
      </c>
    </row>
    <row r="34880" spans="1:8" customFormat="1" x14ac:dyDescent="0.25">
      <c r="A34880" t="str">
        <f>"4440729"</f>
        <v>4440729</v>
      </c>
      <c r="B34880" t="s">
        <v>23485</v>
      </c>
      <c r="C34880" t="s">
        <v>1605</v>
      </c>
      <c r="D34880" s="21" t="s">
        <v>34</v>
      </c>
      <c r="E34880" s="21" t="s">
        <v>1089</v>
      </c>
      <c r="F34880">
        <v>12440262</v>
      </c>
      <c r="G34880" t="s">
        <v>4590</v>
      </c>
      <c r="H34880" s="21">
        <v>500</v>
      </c>
    </row>
    <row r="34881" spans="1:8" customFormat="1" x14ac:dyDescent="0.25">
      <c r="A34881" t="str">
        <f>"9F4166"</f>
        <v>9F4166</v>
      </c>
      <c r="B34881" t="s">
        <v>23122</v>
      </c>
      <c r="C34881" t="s">
        <v>656</v>
      </c>
      <c r="D34881" s="21" t="s">
        <v>34</v>
      </c>
      <c r="E34881" s="21" t="s">
        <v>35</v>
      </c>
      <c r="F34881" t="s">
        <v>2126</v>
      </c>
      <c r="G34881" t="s">
        <v>2127</v>
      </c>
      <c r="H34881" s="21">
        <v>500</v>
      </c>
    </row>
    <row r="34882" spans="1:8" customFormat="1" x14ac:dyDescent="0.25">
      <c r="A34882" t="str">
        <f>"06327"</f>
        <v>06327</v>
      </c>
      <c r="B34882" t="s">
        <v>20380</v>
      </c>
      <c r="C34882" t="s">
        <v>10066</v>
      </c>
      <c r="D34882" s="21" t="s">
        <v>34</v>
      </c>
      <c r="E34882" s="21" t="s">
        <v>6185</v>
      </c>
      <c r="F34882">
        <v>13060088</v>
      </c>
      <c r="G34882" t="s">
        <v>15538</v>
      </c>
      <c r="H34882" s="21">
        <v>500</v>
      </c>
    </row>
    <row r="34883" spans="1:8" customFormat="1" x14ac:dyDescent="0.25">
      <c r="A34883" t="str">
        <f>"1425368"</f>
        <v>1425368</v>
      </c>
      <c r="B34883" t="s">
        <v>2656</v>
      </c>
      <c r="C34883" t="s">
        <v>87</v>
      </c>
      <c r="D34883" s="21" t="s">
        <v>34</v>
      </c>
      <c r="E34883" s="21" t="s">
        <v>35</v>
      </c>
      <c r="F34883">
        <v>9140115</v>
      </c>
      <c r="G34883" t="s">
        <v>26590</v>
      </c>
      <c r="H34883" s="21">
        <v>500</v>
      </c>
    </row>
    <row r="34884" spans="1:8" customFormat="1" x14ac:dyDescent="0.25">
      <c r="A34884" t="str">
        <f>"50576"</f>
        <v>50576</v>
      </c>
      <c r="B34884" t="s">
        <v>6288</v>
      </c>
      <c r="C34884" t="s">
        <v>1597</v>
      </c>
      <c r="D34884" s="21" t="s">
        <v>34</v>
      </c>
      <c r="E34884" s="21" t="s">
        <v>71</v>
      </c>
      <c r="F34884">
        <v>9500027</v>
      </c>
      <c r="G34884" t="s">
        <v>6343</v>
      </c>
      <c r="H34884" s="21">
        <v>500</v>
      </c>
    </row>
    <row r="34885" spans="1:8" customFormat="1" x14ac:dyDescent="0.25">
      <c r="A34885" t="str">
        <f>"501205"</f>
        <v>501205</v>
      </c>
      <c r="B34885" t="s">
        <v>7149</v>
      </c>
      <c r="C34885" t="s">
        <v>253</v>
      </c>
      <c r="D34885" s="21" t="s">
        <v>34</v>
      </c>
      <c r="E34885" s="21" t="s">
        <v>254</v>
      </c>
      <c r="F34885">
        <v>9500131</v>
      </c>
      <c r="G34885" t="s">
        <v>1073</v>
      </c>
      <c r="H34885" s="21">
        <v>500</v>
      </c>
    </row>
    <row r="34886" spans="1:8" customFormat="1" x14ac:dyDescent="0.25">
      <c r="A34886" t="str">
        <f>"1321844"</f>
        <v>1321844</v>
      </c>
      <c r="B34886" t="s">
        <v>28944</v>
      </c>
      <c r="C34886" t="s">
        <v>28945</v>
      </c>
      <c r="D34886" s="21" t="s">
        <v>34</v>
      </c>
      <c r="E34886" s="21" t="s">
        <v>35</v>
      </c>
      <c r="F34886">
        <v>13130166</v>
      </c>
      <c r="G34886" t="s">
        <v>2539</v>
      </c>
      <c r="H34886" s="21">
        <v>500</v>
      </c>
    </row>
    <row r="34887" spans="1:8" customFormat="1" x14ac:dyDescent="0.25">
      <c r="A34887" t="str">
        <f>"1414467"</f>
        <v>1414467</v>
      </c>
      <c r="B34887" t="s">
        <v>23394</v>
      </c>
      <c r="C34887" t="s">
        <v>2479</v>
      </c>
      <c r="D34887" s="21" t="s">
        <v>34</v>
      </c>
      <c r="E34887" s="21" t="s">
        <v>254</v>
      </c>
      <c r="F34887">
        <v>9140195</v>
      </c>
      <c r="G34887" t="s">
        <v>20121</v>
      </c>
      <c r="H34887" s="21">
        <v>500</v>
      </c>
    </row>
    <row r="34888" spans="1:8" customFormat="1" x14ac:dyDescent="0.25">
      <c r="A34888" t="str">
        <f>"9459389"</f>
        <v>9459389</v>
      </c>
      <c r="B34888" t="s">
        <v>19922</v>
      </c>
      <c r="C34888" t="s">
        <v>719</v>
      </c>
      <c r="D34888" s="21" t="s">
        <v>34</v>
      </c>
      <c r="E34888" s="21" t="s">
        <v>35</v>
      </c>
      <c r="F34888">
        <v>8940070</v>
      </c>
      <c r="G34888" t="s">
        <v>2320</v>
      </c>
      <c r="H34888" s="21">
        <v>500</v>
      </c>
    </row>
    <row r="34889" spans="1:8" customFormat="1" x14ac:dyDescent="0.25">
      <c r="A34889" t="str">
        <f>"717963"</f>
        <v>717963</v>
      </c>
      <c r="B34889" t="s">
        <v>12817</v>
      </c>
      <c r="C34889" t="s">
        <v>198</v>
      </c>
      <c r="D34889" s="21" t="s">
        <v>34</v>
      </c>
      <c r="E34889" s="21" t="s">
        <v>71</v>
      </c>
      <c r="F34889">
        <v>2710025</v>
      </c>
      <c r="G34889" t="s">
        <v>2719</v>
      </c>
      <c r="H34889" s="21">
        <v>500</v>
      </c>
    </row>
    <row r="34890" spans="1:8" customFormat="1" x14ac:dyDescent="0.25">
      <c r="A34890" t="str">
        <f>"9242329"</f>
        <v>9242329</v>
      </c>
      <c r="B34890" t="s">
        <v>15669</v>
      </c>
      <c r="C34890" t="s">
        <v>253</v>
      </c>
      <c r="D34890" s="21" t="s">
        <v>34</v>
      </c>
      <c r="E34890" s="21" t="s">
        <v>254</v>
      </c>
      <c r="F34890">
        <v>8921458</v>
      </c>
      <c r="G34890" t="s">
        <v>162</v>
      </c>
      <c r="H34890" s="21">
        <v>500</v>
      </c>
    </row>
    <row r="34891" spans="1:8" customFormat="1" x14ac:dyDescent="0.25">
      <c r="A34891" t="str">
        <f>"5112959"</f>
        <v>5112959</v>
      </c>
      <c r="B34891" t="s">
        <v>2930</v>
      </c>
      <c r="C34891" t="s">
        <v>462</v>
      </c>
      <c r="D34891" s="21" t="s">
        <v>34</v>
      </c>
      <c r="E34891" s="21" t="s">
        <v>71</v>
      </c>
      <c r="F34891">
        <v>6510042</v>
      </c>
      <c r="G34891" t="s">
        <v>15015</v>
      </c>
      <c r="H34891" s="21">
        <v>500</v>
      </c>
    </row>
    <row r="34892" spans="1:8" customFormat="1" x14ac:dyDescent="0.25">
      <c r="A34892" t="str">
        <f>"75416"</f>
        <v>75416</v>
      </c>
      <c r="B34892" t="s">
        <v>509</v>
      </c>
      <c r="C34892" t="s">
        <v>841</v>
      </c>
      <c r="D34892" s="21" t="s">
        <v>34</v>
      </c>
      <c r="E34892" s="21" t="s">
        <v>254</v>
      </c>
      <c r="F34892">
        <v>12440012</v>
      </c>
      <c r="G34892" t="s">
        <v>807</v>
      </c>
      <c r="H34892" s="21">
        <v>500</v>
      </c>
    </row>
    <row r="34893" spans="1:8" customFormat="1" x14ac:dyDescent="0.25">
      <c r="A34893" t="str">
        <f>"2921461"</f>
        <v>2921461</v>
      </c>
      <c r="B34893" t="s">
        <v>8785</v>
      </c>
      <c r="C34893" t="s">
        <v>119</v>
      </c>
      <c r="D34893" s="21" t="s">
        <v>34</v>
      </c>
      <c r="E34893" s="21" t="s">
        <v>71</v>
      </c>
      <c r="F34893">
        <v>3290221</v>
      </c>
      <c r="G34893" t="s">
        <v>3544</v>
      </c>
      <c r="H34893" s="21">
        <v>500</v>
      </c>
    </row>
    <row r="34894" spans="1:8" customFormat="1" x14ac:dyDescent="0.25">
      <c r="A34894" t="str">
        <f>"894093"</f>
        <v>894093</v>
      </c>
      <c r="B34894" t="s">
        <v>28946</v>
      </c>
      <c r="C34894" t="s">
        <v>712</v>
      </c>
      <c r="D34894" s="21" t="s">
        <v>34</v>
      </c>
      <c r="E34894" s="21" t="s">
        <v>35</v>
      </c>
      <c r="F34894">
        <v>2890023</v>
      </c>
      <c r="G34894" t="s">
        <v>1995</v>
      </c>
      <c r="H34894" s="21">
        <v>500</v>
      </c>
    </row>
    <row r="34895" spans="1:8" customFormat="1" x14ac:dyDescent="0.25">
      <c r="A34895" t="str">
        <f>"2924422"</f>
        <v>2924422</v>
      </c>
      <c r="B34895" t="s">
        <v>2308</v>
      </c>
      <c r="C34895" t="s">
        <v>1841</v>
      </c>
      <c r="D34895" s="21" t="s">
        <v>34</v>
      </c>
      <c r="E34895" s="21" t="s">
        <v>71</v>
      </c>
      <c r="F34895">
        <v>3290037</v>
      </c>
      <c r="G34895" t="s">
        <v>11628</v>
      </c>
      <c r="H34895" s="21">
        <v>500</v>
      </c>
    </row>
    <row r="34896" spans="1:8" customFormat="1" x14ac:dyDescent="0.25">
      <c r="A34896" t="str">
        <f>"5933511"</f>
        <v>5933511</v>
      </c>
      <c r="B34896" t="s">
        <v>12316</v>
      </c>
      <c r="C34896" t="s">
        <v>209</v>
      </c>
      <c r="D34896" s="21" t="s">
        <v>34</v>
      </c>
      <c r="E34896" s="21" t="s">
        <v>1089</v>
      </c>
      <c r="F34896">
        <v>7590049</v>
      </c>
      <c r="G34896" t="s">
        <v>11040</v>
      </c>
      <c r="H34896" s="21">
        <v>500</v>
      </c>
    </row>
    <row r="34897" spans="1:8" customFormat="1" x14ac:dyDescent="0.25">
      <c r="A34897" t="str">
        <f>"2939941"</f>
        <v>2939941</v>
      </c>
      <c r="B34897" t="s">
        <v>20777</v>
      </c>
      <c r="C34897" t="s">
        <v>2520</v>
      </c>
      <c r="D34897" s="21" t="s">
        <v>34</v>
      </c>
      <c r="E34897" s="21" t="s">
        <v>35</v>
      </c>
      <c r="F34897">
        <v>3290203</v>
      </c>
      <c r="G34897" t="s">
        <v>9395</v>
      </c>
      <c r="H34897" s="21">
        <v>500</v>
      </c>
    </row>
    <row r="34898" spans="1:8" customFormat="1" x14ac:dyDescent="0.25">
      <c r="A34898" t="str">
        <f>"6215683"</f>
        <v>6215683</v>
      </c>
      <c r="B34898" t="s">
        <v>18104</v>
      </c>
      <c r="C34898" t="s">
        <v>169</v>
      </c>
      <c r="D34898" s="21" t="s">
        <v>34</v>
      </c>
      <c r="E34898" s="21" t="s">
        <v>71</v>
      </c>
      <c r="F34898">
        <v>7620087</v>
      </c>
      <c r="G34898" t="s">
        <v>7637</v>
      </c>
      <c r="H34898" s="21">
        <v>500</v>
      </c>
    </row>
    <row r="34899" spans="1:8" customFormat="1" x14ac:dyDescent="0.25">
      <c r="A34899" t="str">
        <f>"3427258"</f>
        <v>3427258</v>
      </c>
      <c r="B34899" t="s">
        <v>28947</v>
      </c>
      <c r="C34899" t="s">
        <v>169</v>
      </c>
      <c r="D34899" s="21" t="s">
        <v>34</v>
      </c>
      <c r="E34899" s="21" t="s">
        <v>35</v>
      </c>
      <c r="F34899">
        <v>11340007</v>
      </c>
      <c r="G34899" t="s">
        <v>2278</v>
      </c>
      <c r="H34899" s="21">
        <v>500</v>
      </c>
    </row>
    <row r="34900" spans="1:8" customFormat="1" x14ac:dyDescent="0.25">
      <c r="A34900" t="str">
        <f>"6220128"</f>
        <v>6220128</v>
      </c>
      <c r="B34900" t="s">
        <v>21861</v>
      </c>
      <c r="C34900" t="s">
        <v>1675</v>
      </c>
      <c r="D34900" s="21" t="s">
        <v>34</v>
      </c>
      <c r="E34900" s="21" t="s">
        <v>35</v>
      </c>
      <c r="F34900">
        <v>7620088</v>
      </c>
      <c r="G34900" t="s">
        <v>3342</v>
      </c>
      <c r="H34900" s="21">
        <v>500</v>
      </c>
    </row>
    <row r="34901" spans="1:8" customFormat="1" x14ac:dyDescent="0.25">
      <c r="A34901" t="str">
        <f>"3427257"</f>
        <v>3427257</v>
      </c>
      <c r="B34901" t="s">
        <v>843</v>
      </c>
      <c r="C34901" t="s">
        <v>28948</v>
      </c>
      <c r="D34901" s="21" t="s">
        <v>34</v>
      </c>
      <c r="E34901" s="21" t="s">
        <v>254</v>
      </c>
      <c r="F34901">
        <v>11340017</v>
      </c>
      <c r="G34901" t="s">
        <v>10668</v>
      </c>
      <c r="H34901" s="21">
        <v>500</v>
      </c>
    </row>
    <row r="34902" spans="1:8" customFormat="1" x14ac:dyDescent="0.25">
      <c r="A34902" t="str">
        <f>"6230547"</f>
        <v>6230547</v>
      </c>
      <c r="B34902" t="s">
        <v>23426</v>
      </c>
      <c r="C34902" t="s">
        <v>2529</v>
      </c>
      <c r="D34902" s="21" t="s">
        <v>34</v>
      </c>
      <c r="E34902" s="21" t="s">
        <v>71</v>
      </c>
      <c r="F34902">
        <v>7620108</v>
      </c>
      <c r="G34902" t="s">
        <v>3035</v>
      </c>
      <c r="H34902" s="21">
        <v>500</v>
      </c>
    </row>
    <row r="34903" spans="1:8" customFormat="1" x14ac:dyDescent="0.25">
      <c r="A34903" t="str">
        <f>"337829"</f>
        <v>337829</v>
      </c>
      <c r="B34903" t="s">
        <v>4147</v>
      </c>
      <c r="C34903" t="s">
        <v>10500</v>
      </c>
      <c r="D34903" s="21" t="s">
        <v>34</v>
      </c>
      <c r="E34903" s="21" t="s">
        <v>254</v>
      </c>
      <c r="F34903">
        <v>10330067</v>
      </c>
      <c r="G34903" t="s">
        <v>125</v>
      </c>
      <c r="H34903" s="21">
        <v>500</v>
      </c>
    </row>
    <row r="34904" spans="1:8" customFormat="1" x14ac:dyDescent="0.25">
      <c r="A34904" t="str">
        <f>"2112697"</f>
        <v>2112697</v>
      </c>
      <c r="B34904" t="s">
        <v>28949</v>
      </c>
      <c r="C34904" t="s">
        <v>151</v>
      </c>
      <c r="D34904" s="21" t="s">
        <v>34</v>
      </c>
      <c r="E34904" s="21" t="s">
        <v>71</v>
      </c>
      <c r="F34904">
        <v>2210126</v>
      </c>
      <c r="G34904" t="s">
        <v>10773</v>
      </c>
      <c r="H34904" s="21">
        <v>500</v>
      </c>
    </row>
    <row r="34905" spans="1:8" customFormat="1" x14ac:dyDescent="0.25">
      <c r="A34905" t="str">
        <f>"3327051"</f>
        <v>3327051</v>
      </c>
      <c r="B34905" t="s">
        <v>1347</v>
      </c>
      <c r="C34905" t="s">
        <v>62</v>
      </c>
      <c r="D34905" s="21" t="s">
        <v>34</v>
      </c>
      <c r="E34905" s="21" t="s">
        <v>35</v>
      </c>
      <c r="F34905">
        <v>10330125</v>
      </c>
      <c r="G34905" t="s">
        <v>3753</v>
      </c>
      <c r="H34905" s="21">
        <v>500</v>
      </c>
    </row>
    <row r="34906" spans="1:8" customFormat="1" x14ac:dyDescent="0.25">
      <c r="A34906" t="str">
        <f>"0614403"</f>
        <v>0614403</v>
      </c>
      <c r="B34906" t="s">
        <v>22511</v>
      </c>
      <c r="C34906" t="s">
        <v>43</v>
      </c>
      <c r="D34906" s="21" t="s">
        <v>34</v>
      </c>
      <c r="E34906" s="21" t="s">
        <v>35</v>
      </c>
      <c r="F34906">
        <v>13060043</v>
      </c>
      <c r="G34906" t="s">
        <v>4761</v>
      </c>
      <c r="H34906" s="21">
        <v>500</v>
      </c>
    </row>
    <row r="34907" spans="1:8" customFormat="1" x14ac:dyDescent="0.25">
      <c r="A34907" t="str">
        <f>"1422448"</f>
        <v>1422448</v>
      </c>
      <c r="B34907" t="s">
        <v>22202</v>
      </c>
      <c r="C34907" t="s">
        <v>43</v>
      </c>
      <c r="D34907" s="21" t="s">
        <v>34</v>
      </c>
      <c r="E34907" s="21" t="s">
        <v>35</v>
      </c>
      <c r="F34907">
        <v>9140060</v>
      </c>
      <c r="G34907" t="s">
        <v>5773</v>
      </c>
      <c r="H34907" s="21">
        <v>500</v>
      </c>
    </row>
    <row r="34908" spans="1:8" customFormat="1" x14ac:dyDescent="0.25">
      <c r="A34908" t="str">
        <f>"5973445"</f>
        <v>5973445</v>
      </c>
      <c r="B34908" t="s">
        <v>12563</v>
      </c>
      <c r="C34908" t="s">
        <v>486</v>
      </c>
      <c r="D34908" s="21" t="s">
        <v>34</v>
      </c>
      <c r="E34908" s="21" t="s">
        <v>71</v>
      </c>
      <c r="F34908">
        <v>7590123</v>
      </c>
      <c r="G34908" t="s">
        <v>85</v>
      </c>
      <c r="H34908" s="21">
        <v>500</v>
      </c>
    </row>
    <row r="34909" spans="1:8" customFormat="1" x14ac:dyDescent="0.25">
      <c r="A34909" t="str">
        <f>"3345415"</f>
        <v>3345415</v>
      </c>
      <c r="B34909" t="s">
        <v>19909</v>
      </c>
      <c r="C34909" t="s">
        <v>611</v>
      </c>
      <c r="D34909" s="21" t="s">
        <v>34</v>
      </c>
      <c r="E34909" s="21" t="s">
        <v>35</v>
      </c>
      <c r="F34909">
        <v>10330121</v>
      </c>
      <c r="G34909" t="s">
        <v>5145</v>
      </c>
      <c r="H34909" s="21">
        <v>500</v>
      </c>
    </row>
    <row r="34910" spans="1:8" customFormat="1" x14ac:dyDescent="0.25">
      <c r="A34910" t="str">
        <f>"2112508"</f>
        <v>2112508</v>
      </c>
      <c r="B34910" t="s">
        <v>19800</v>
      </c>
      <c r="C34910" t="s">
        <v>139</v>
      </c>
      <c r="D34910" s="21" t="s">
        <v>34</v>
      </c>
      <c r="E34910" s="21" t="s">
        <v>35</v>
      </c>
      <c r="F34910">
        <v>2210100</v>
      </c>
      <c r="G34910" t="s">
        <v>1608</v>
      </c>
      <c r="H34910" s="21">
        <v>500</v>
      </c>
    </row>
    <row r="34911" spans="1:8" customFormat="1" x14ac:dyDescent="0.25">
      <c r="A34911" t="str">
        <f>"3512141"</f>
        <v>3512141</v>
      </c>
      <c r="B34911" t="s">
        <v>1081</v>
      </c>
      <c r="C34911" t="s">
        <v>236</v>
      </c>
      <c r="D34911" s="21" t="s">
        <v>34</v>
      </c>
      <c r="E34911" s="21" t="s">
        <v>254</v>
      </c>
      <c r="F34911">
        <v>3350011</v>
      </c>
      <c r="G34911" t="s">
        <v>2404</v>
      </c>
      <c r="H34911" s="21">
        <v>500</v>
      </c>
    </row>
    <row r="34912" spans="1:8" customFormat="1" x14ac:dyDescent="0.25">
      <c r="A34912" t="str">
        <f>"6949756"</f>
        <v>6949756</v>
      </c>
      <c r="B34912" t="s">
        <v>8129</v>
      </c>
      <c r="C34912" t="s">
        <v>3010</v>
      </c>
      <c r="D34912" s="21" t="s">
        <v>34</v>
      </c>
      <c r="E34912" s="21" t="s">
        <v>35</v>
      </c>
      <c r="F34912">
        <v>1690211</v>
      </c>
      <c r="G34912" t="s">
        <v>9152</v>
      </c>
      <c r="H34912" s="21">
        <v>500</v>
      </c>
    </row>
    <row r="34913" spans="1:8" customFormat="1" x14ac:dyDescent="0.25">
      <c r="A34913" t="str">
        <f>"153682"</f>
        <v>153682</v>
      </c>
      <c r="B34913" t="s">
        <v>6455</v>
      </c>
      <c r="C34913" t="s">
        <v>151</v>
      </c>
      <c r="D34913" s="21" t="s">
        <v>34</v>
      </c>
      <c r="E34913" s="21" t="s">
        <v>35</v>
      </c>
      <c r="F34913">
        <v>1150176</v>
      </c>
      <c r="G34913" t="s">
        <v>9843</v>
      </c>
      <c r="H34913" s="21">
        <v>500</v>
      </c>
    </row>
    <row r="34914" spans="1:8" customFormat="1" x14ac:dyDescent="0.25">
      <c r="A34914" t="str">
        <f>"072882"</f>
        <v>072882</v>
      </c>
      <c r="B34914" t="s">
        <v>28950</v>
      </c>
      <c r="C34914" t="s">
        <v>156</v>
      </c>
      <c r="D34914" s="21" t="s">
        <v>34</v>
      </c>
      <c r="E34914" s="21" t="s">
        <v>1089</v>
      </c>
      <c r="F34914">
        <v>1260062</v>
      </c>
      <c r="G34914" t="s">
        <v>6156</v>
      </c>
      <c r="H34914" s="21">
        <v>500</v>
      </c>
    </row>
    <row r="34915" spans="1:8" customFormat="1" x14ac:dyDescent="0.25">
      <c r="A34915" t="str">
        <f>"0615779"</f>
        <v>0615779</v>
      </c>
      <c r="B34915" t="s">
        <v>11023</v>
      </c>
      <c r="C34915" t="s">
        <v>415</v>
      </c>
      <c r="D34915" s="21" t="s">
        <v>34</v>
      </c>
      <c r="E34915" s="21" t="s">
        <v>1089</v>
      </c>
      <c r="F34915">
        <v>13060090</v>
      </c>
      <c r="G34915" t="s">
        <v>1363</v>
      </c>
      <c r="H34915" s="21">
        <v>500</v>
      </c>
    </row>
    <row r="34916" spans="1:8" customFormat="1" x14ac:dyDescent="0.25">
      <c r="A34916" t="str">
        <f>"9250046"</f>
        <v>9250046</v>
      </c>
      <c r="B34916" t="s">
        <v>22980</v>
      </c>
      <c r="C34916" t="s">
        <v>2227</v>
      </c>
      <c r="D34916" s="21" t="s">
        <v>34</v>
      </c>
      <c r="E34916" s="21" t="s">
        <v>35</v>
      </c>
      <c r="F34916">
        <v>8920075</v>
      </c>
      <c r="G34916" t="s">
        <v>317</v>
      </c>
      <c r="H34916" s="21">
        <v>500</v>
      </c>
    </row>
    <row r="34917" spans="1:8" customFormat="1" x14ac:dyDescent="0.25">
      <c r="A34917" t="str">
        <f>"7922844"</f>
        <v>7922844</v>
      </c>
      <c r="B34917" t="s">
        <v>146</v>
      </c>
      <c r="C34917" t="s">
        <v>1705</v>
      </c>
      <c r="D34917" s="21" t="s">
        <v>34</v>
      </c>
      <c r="E34917" s="21" t="s">
        <v>254</v>
      </c>
      <c r="F34917">
        <v>10790003</v>
      </c>
      <c r="G34917" t="s">
        <v>10465</v>
      </c>
      <c r="H34917" s="21">
        <v>500</v>
      </c>
    </row>
    <row r="34918" spans="1:8" customFormat="1" x14ac:dyDescent="0.25">
      <c r="A34918" t="str">
        <f>"7731931"</f>
        <v>7731931</v>
      </c>
      <c r="B34918" t="s">
        <v>28951</v>
      </c>
      <c r="C34918" t="s">
        <v>462</v>
      </c>
      <c r="D34918" s="21" t="s">
        <v>34</v>
      </c>
      <c r="E34918" s="21" t="s">
        <v>254</v>
      </c>
      <c r="F34918">
        <v>8771172</v>
      </c>
      <c r="G34918" t="s">
        <v>12662</v>
      </c>
      <c r="H34918" s="21">
        <v>500</v>
      </c>
    </row>
    <row r="34919" spans="1:8" customFormat="1" x14ac:dyDescent="0.25">
      <c r="A34919" t="str">
        <f>"732986"</f>
        <v>732986</v>
      </c>
      <c r="B34919" t="s">
        <v>23493</v>
      </c>
      <c r="C34919" t="s">
        <v>267</v>
      </c>
      <c r="D34919" s="21" t="s">
        <v>34</v>
      </c>
      <c r="E34919" s="21" t="s">
        <v>254</v>
      </c>
      <c r="F34919">
        <v>1730048</v>
      </c>
      <c r="G34919" t="s">
        <v>3173</v>
      </c>
      <c r="H34919" s="21">
        <v>500</v>
      </c>
    </row>
    <row r="34920" spans="1:8" customFormat="1" x14ac:dyDescent="0.25">
      <c r="A34920" t="str">
        <f>"6710264"</f>
        <v>6710264</v>
      </c>
      <c r="B34920" t="s">
        <v>23690</v>
      </c>
      <c r="C34920" t="s">
        <v>209</v>
      </c>
      <c r="D34920" s="21" t="s">
        <v>34</v>
      </c>
      <c r="E34920" s="21" t="s">
        <v>71</v>
      </c>
      <c r="F34920">
        <v>6670041</v>
      </c>
      <c r="G34920" t="s">
        <v>1971</v>
      </c>
      <c r="H34920" s="21">
        <v>500</v>
      </c>
    </row>
    <row r="34921" spans="1:8" customFormat="1" x14ac:dyDescent="0.25">
      <c r="A34921" t="str">
        <f>"3812743"</f>
        <v>3812743</v>
      </c>
      <c r="B34921" t="s">
        <v>24124</v>
      </c>
      <c r="C34921" t="s">
        <v>156</v>
      </c>
      <c r="D34921" s="21" t="s">
        <v>34</v>
      </c>
      <c r="E34921" s="21" t="s">
        <v>1089</v>
      </c>
      <c r="F34921">
        <v>1380189</v>
      </c>
      <c r="G34921" t="s">
        <v>8143</v>
      </c>
      <c r="H34921" s="21">
        <v>500</v>
      </c>
    </row>
    <row r="34922" spans="1:8" customFormat="1" x14ac:dyDescent="0.25">
      <c r="A34922" t="str">
        <f>"9318087"</f>
        <v>9318087</v>
      </c>
      <c r="B34922" t="s">
        <v>2313</v>
      </c>
      <c r="C34922" t="s">
        <v>23555</v>
      </c>
      <c r="D34922" s="21" t="s">
        <v>34</v>
      </c>
      <c r="E34922" s="21" t="s">
        <v>35</v>
      </c>
      <c r="F34922">
        <v>8931011</v>
      </c>
      <c r="G34922" t="s">
        <v>530</v>
      </c>
      <c r="H34922" s="21">
        <v>500</v>
      </c>
    </row>
    <row r="34923" spans="1:8" customFormat="1" x14ac:dyDescent="0.25">
      <c r="A34923" t="str">
        <f>"3727703"</f>
        <v>3727703</v>
      </c>
      <c r="B34923" t="s">
        <v>23920</v>
      </c>
      <c r="C34923" t="s">
        <v>23921</v>
      </c>
      <c r="D34923" s="21" t="s">
        <v>34</v>
      </c>
      <c r="E34923" s="21" t="s">
        <v>71</v>
      </c>
      <c r="F34923">
        <v>4370167</v>
      </c>
      <c r="G34923" t="s">
        <v>8834</v>
      </c>
      <c r="H34923" s="21">
        <v>500</v>
      </c>
    </row>
    <row r="34924" spans="1:8" customFormat="1" x14ac:dyDescent="0.25">
      <c r="A34924" t="str">
        <f>"5981916"</f>
        <v>5981916</v>
      </c>
      <c r="B34924" t="s">
        <v>22704</v>
      </c>
      <c r="C34924" t="s">
        <v>206</v>
      </c>
      <c r="D34924" s="21" t="s">
        <v>34</v>
      </c>
      <c r="E34924" s="21" t="s">
        <v>35</v>
      </c>
      <c r="F34924">
        <v>7590427</v>
      </c>
      <c r="G34924" t="s">
        <v>4746</v>
      </c>
      <c r="H34924" s="21">
        <v>500</v>
      </c>
    </row>
    <row r="34925" spans="1:8" customFormat="1" x14ac:dyDescent="0.25">
      <c r="A34925" t="str">
        <f>"5983516"</f>
        <v>5983516</v>
      </c>
      <c r="B34925" t="s">
        <v>28952</v>
      </c>
      <c r="C34925" t="s">
        <v>87</v>
      </c>
      <c r="D34925" s="21" t="s">
        <v>34</v>
      </c>
      <c r="E34925" s="21" t="s">
        <v>35</v>
      </c>
      <c r="F34925">
        <v>7590402</v>
      </c>
      <c r="G34925" t="s">
        <v>1623</v>
      </c>
      <c r="H34925" s="21">
        <v>500</v>
      </c>
    </row>
    <row r="34926" spans="1:8" customFormat="1" x14ac:dyDescent="0.25">
      <c r="A34926" t="str">
        <f>"4516583"</f>
        <v>4516583</v>
      </c>
      <c r="B34926" t="s">
        <v>22901</v>
      </c>
      <c r="C34926" t="s">
        <v>65</v>
      </c>
      <c r="D34926" s="21" t="s">
        <v>34</v>
      </c>
      <c r="E34926" s="21" t="s">
        <v>35</v>
      </c>
      <c r="F34926">
        <v>4450748</v>
      </c>
      <c r="G34926" t="s">
        <v>22902</v>
      </c>
      <c r="H34926" s="21">
        <v>500</v>
      </c>
    </row>
    <row r="34927" spans="1:8" customFormat="1" x14ac:dyDescent="0.25">
      <c r="A34927" t="str">
        <f>"876351"</f>
        <v>876351</v>
      </c>
      <c r="B34927" t="s">
        <v>13408</v>
      </c>
      <c r="C34927" t="s">
        <v>40</v>
      </c>
      <c r="D34927" s="21" t="s">
        <v>34</v>
      </c>
      <c r="E34927" s="21" t="s">
        <v>71</v>
      </c>
      <c r="F34927">
        <v>10870007</v>
      </c>
      <c r="G34927" t="s">
        <v>8903</v>
      </c>
      <c r="H34927" s="21">
        <v>500</v>
      </c>
    </row>
    <row r="34928" spans="1:8" customFormat="1" x14ac:dyDescent="0.25">
      <c r="A34928" t="str">
        <f>"3831086"</f>
        <v>3831086</v>
      </c>
      <c r="B34928" t="s">
        <v>22605</v>
      </c>
      <c r="C34928" t="s">
        <v>130</v>
      </c>
      <c r="D34928" s="21" t="s">
        <v>34</v>
      </c>
      <c r="E34928" s="21" t="s">
        <v>35</v>
      </c>
      <c r="F34928">
        <v>1380300</v>
      </c>
      <c r="G34928" t="s">
        <v>20475</v>
      </c>
      <c r="H34928" s="21">
        <v>500</v>
      </c>
    </row>
    <row r="34929" spans="1:8" customFormat="1" x14ac:dyDescent="0.25">
      <c r="A34929" t="str">
        <f>"88200"</f>
        <v>88200</v>
      </c>
      <c r="B34929" t="s">
        <v>2652</v>
      </c>
      <c r="C34929" t="s">
        <v>2520</v>
      </c>
      <c r="D34929" s="21" t="s">
        <v>34</v>
      </c>
      <c r="E34929" s="21" t="s">
        <v>254</v>
      </c>
      <c r="F34929">
        <v>6880010</v>
      </c>
      <c r="G34929" t="s">
        <v>1029</v>
      </c>
      <c r="H34929" s="21">
        <v>500</v>
      </c>
    </row>
    <row r="34930" spans="1:8" customFormat="1" x14ac:dyDescent="0.25">
      <c r="A34930" t="str">
        <f>"265781"</f>
        <v>265781</v>
      </c>
      <c r="B34930" t="s">
        <v>67</v>
      </c>
      <c r="C34930" t="s">
        <v>1063</v>
      </c>
      <c r="D34930" s="21" t="s">
        <v>34</v>
      </c>
      <c r="E34930" s="21" t="s">
        <v>35</v>
      </c>
      <c r="F34930">
        <v>1260005</v>
      </c>
      <c r="G34930" t="s">
        <v>10654</v>
      </c>
      <c r="H34930" s="21">
        <v>500</v>
      </c>
    </row>
    <row r="34931" spans="1:8" customFormat="1" x14ac:dyDescent="0.25">
      <c r="A34931" t="str">
        <f>"9455445"</f>
        <v>9455445</v>
      </c>
      <c r="B34931" t="s">
        <v>23897</v>
      </c>
      <c r="C34931" t="s">
        <v>263</v>
      </c>
      <c r="D34931" s="21" t="s">
        <v>34</v>
      </c>
      <c r="E34931" s="21" t="s">
        <v>71</v>
      </c>
      <c r="F34931">
        <v>8941100</v>
      </c>
      <c r="G34931" t="s">
        <v>4974</v>
      </c>
      <c r="H34931" s="21">
        <v>500</v>
      </c>
    </row>
    <row r="34932" spans="1:8" customFormat="1" x14ac:dyDescent="0.25">
      <c r="A34932" t="str">
        <f>"6813501"</f>
        <v>6813501</v>
      </c>
      <c r="B34932" t="s">
        <v>24471</v>
      </c>
      <c r="C34932" t="s">
        <v>412</v>
      </c>
      <c r="D34932" s="21" t="s">
        <v>34</v>
      </c>
      <c r="E34932" s="21" t="s">
        <v>254</v>
      </c>
      <c r="F34932">
        <v>6680105</v>
      </c>
      <c r="G34932" t="s">
        <v>403</v>
      </c>
      <c r="H34932" s="21">
        <v>500</v>
      </c>
    </row>
    <row r="34933" spans="1:8" customFormat="1" x14ac:dyDescent="0.25">
      <c r="A34933" t="str">
        <f>"2517236"</f>
        <v>2517236</v>
      </c>
      <c r="B34933" t="s">
        <v>1867</v>
      </c>
      <c r="C34933" t="s">
        <v>124</v>
      </c>
      <c r="D34933" s="21" t="s">
        <v>34</v>
      </c>
      <c r="E34933" s="21" t="s">
        <v>35</v>
      </c>
      <c r="F34933">
        <v>2250024</v>
      </c>
      <c r="G34933" t="s">
        <v>751</v>
      </c>
      <c r="H34933" s="21">
        <v>500</v>
      </c>
    </row>
    <row r="34934" spans="1:8" customFormat="1" x14ac:dyDescent="0.25">
      <c r="A34934" t="str">
        <f>"5923926"</f>
        <v>5923926</v>
      </c>
      <c r="B34934" t="s">
        <v>22944</v>
      </c>
      <c r="C34934" t="s">
        <v>236</v>
      </c>
      <c r="D34934" s="21" t="s">
        <v>34</v>
      </c>
      <c r="E34934" s="21" t="s">
        <v>254</v>
      </c>
      <c r="F34934">
        <v>7590231</v>
      </c>
      <c r="G34934" t="s">
        <v>207</v>
      </c>
      <c r="H34934" s="21">
        <v>500</v>
      </c>
    </row>
    <row r="34935" spans="1:8" customFormat="1" x14ac:dyDescent="0.25">
      <c r="A34935" t="str">
        <f>"4454894"</f>
        <v>4454894</v>
      </c>
      <c r="B34935" t="s">
        <v>1048</v>
      </c>
      <c r="C34935" t="s">
        <v>1446</v>
      </c>
      <c r="D34935" s="21" t="s">
        <v>34</v>
      </c>
      <c r="E34935" s="21" t="s">
        <v>35</v>
      </c>
      <c r="F34935">
        <v>12440116</v>
      </c>
      <c r="G34935" t="s">
        <v>26673</v>
      </c>
      <c r="H34935" s="21">
        <v>500</v>
      </c>
    </row>
    <row r="34936" spans="1:8" customFormat="1" x14ac:dyDescent="0.25">
      <c r="A34936" t="str">
        <f>"133788"</f>
        <v>133788</v>
      </c>
      <c r="B34936" t="s">
        <v>22822</v>
      </c>
      <c r="C34936" t="s">
        <v>239</v>
      </c>
      <c r="D34936" s="21" t="s">
        <v>34</v>
      </c>
      <c r="E34936" s="21" t="s">
        <v>254</v>
      </c>
      <c r="F34936">
        <v>13130049</v>
      </c>
      <c r="G34936" t="s">
        <v>13169</v>
      </c>
      <c r="H34936" s="21">
        <v>500</v>
      </c>
    </row>
    <row r="34937" spans="1:8" customFormat="1" x14ac:dyDescent="0.25">
      <c r="A34937" t="str">
        <f>"3345349"</f>
        <v>3345349</v>
      </c>
      <c r="B34937" t="s">
        <v>28953</v>
      </c>
      <c r="C34937" t="s">
        <v>87</v>
      </c>
      <c r="D34937" s="21" t="s">
        <v>34</v>
      </c>
      <c r="E34937" s="21" t="s">
        <v>35</v>
      </c>
      <c r="F34937">
        <v>10330046</v>
      </c>
      <c r="G34937" t="s">
        <v>1787</v>
      </c>
      <c r="H34937" s="21">
        <v>500</v>
      </c>
    </row>
    <row r="34938" spans="1:8" customFormat="1" x14ac:dyDescent="0.25">
      <c r="A34938" t="str">
        <f>"454908"</f>
        <v>454908</v>
      </c>
      <c r="B34938" t="s">
        <v>890</v>
      </c>
      <c r="C34938" t="s">
        <v>267</v>
      </c>
      <c r="D34938" s="21" t="s">
        <v>34</v>
      </c>
      <c r="E34938" s="21" t="s">
        <v>1089</v>
      </c>
      <c r="F34938">
        <v>10640008</v>
      </c>
      <c r="G34938" t="s">
        <v>1694</v>
      </c>
      <c r="H34938" s="21">
        <v>500</v>
      </c>
    </row>
    <row r="34939" spans="1:8" customFormat="1" x14ac:dyDescent="0.25">
      <c r="A34939" t="str">
        <f>"377113"</f>
        <v>377113</v>
      </c>
      <c r="B34939" t="s">
        <v>16399</v>
      </c>
      <c r="C34939" t="s">
        <v>879</v>
      </c>
      <c r="D34939" s="21" t="s">
        <v>34</v>
      </c>
      <c r="E34939" s="21" t="s">
        <v>254</v>
      </c>
      <c r="F34939">
        <v>4370625</v>
      </c>
      <c r="G34939" t="s">
        <v>16671</v>
      </c>
      <c r="H34939" s="21">
        <v>500</v>
      </c>
    </row>
    <row r="34940" spans="1:8" customFormat="1" x14ac:dyDescent="0.25">
      <c r="A34940" t="str">
        <f>"64164"</f>
        <v>64164</v>
      </c>
      <c r="B34940" t="s">
        <v>23099</v>
      </c>
      <c r="C34940" t="s">
        <v>598</v>
      </c>
      <c r="D34940" s="21" t="s">
        <v>34</v>
      </c>
      <c r="E34940" s="21" t="s">
        <v>254</v>
      </c>
      <c r="F34940">
        <v>10640004</v>
      </c>
      <c r="G34940" t="s">
        <v>26618</v>
      </c>
      <c r="H34940" s="21">
        <v>500</v>
      </c>
    </row>
    <row r="34941" spans="1:8" customFormat="1" x14ac:dyDescent="0.25">
      <c r="A34941" t="str">
        <f>"418181"</f>
        <v>418181</v>
      </c>
      <c r="B34941" t="s">
        <v>23993</v>
      </c>
      <c r="C34941" t="s">
        <v>40</v>
      </c>
      <c r="D34941" s="21" t="s">
        <v>34</v>
      </c>
      <c r="E34941" s="21" t="s">
        <v>254</v>
      </c>
      <c r="F34941">
        <v>4410390</v>
      </c>
      <c r="G34941" t="s">
        <v>12210</v>
      </c>
      <c r="H34941" s="21">
        <v>500</v>
      </c>
    </row>
    <row r="34942" spans="1:8" customFormat="1" x14ac:dyDescent="0.25">
      <c r="A34942" t="str">
        <f>"874708"</f>
        <v>874708</v>
      </c>
      <c r="B34942" t="s">
        <v>22897</v>
      </c>
      <c r="C34942" t="s">
        <v>1539</v>
      </c>
      <c r="D34942" s="21" t="s">
        <v>34</v>
      </c>
      <c r="E34942" s="21" t="s">
        <v>1089</v>
      </c>
      <c r="F34942">
        <v>10870127</v>
      </c>
      <c r="G34942" t="s">
        <v>22898</v>
      </c>
      <c r="H34942" s="21">
        <v>500</v>
      </c>
    </row>
    <row r="34943" spans="1:8" customFormat="1" x14ac:dyDescent="0.25">
      <c r="A34943" t="str">
        <f>"2112871"</f>
        <v>2112871</v>
      </c>
      <c r="B34943" t="s">
        <v>28954</v>
      </c>
      <c r="C34943" t="s">
        <v>124</v>
      </c>
      <c r="D34943" s="21" t="s">
        <v>34</v>
      </c>
      <c r="E34943" s="21" t="s">
        <v>35</v>
      </c>
      <c r="F34943">
        <v>2210039</v>
      </c>
      <c r="G34943" t="s">
        <v>9930</v>
      </c>
      <c r="H34943" s="21">
        <v>500</v>
      </c>
    </row>
    <row r="34944" spans="1:8" customFormat="1" x14ac:dyDescent="0.25">
      <c r="A34944" t="str">
        <f>"9135443"</f>
        <v>9135443</v>
      </c>
      <c r="B34944" t="s">
        <v>23040</v>
      </c>
      <c r="C34944" t="s">
        <v>198</v>
      </c>
      <c r="D34944" s="21" t="s">
        <v>34</v>
      </c>
      <c r="E34944" s="21" t="s">
        <v>254</v>
      </c>
      <c r="F34944">
        <v>8910165</v>
      </c>
      <c r="G34944" t="s">
        <v>3184</v>
      </c>
      <c r="H34944" s="21">
        <v>500</v>
      </c>
    </row>
    <row r="34945" spans="1:8" customFormat="1" x14ac:dyDescent="0.25">
      <c r="A34945" t="str">
        <f>"4216772"</f>
        <v>4216772</v>
      </c>
      <c r="B34945" t="s">
        <v>23341</v>
      </c>
      <c r="C34945" t="s">
        <v>453</v>
      </c>
      <c r="D34945" s="21" t="s">
        <v>34</v>
      </c>
      <c r="E34945" s="21" t="s">
        <v>6185</v>
      </c>
      <c r="F34945">
        <v>1420006</v>
      </c>
      <c r="G34945" t="s">
        <v>6019</v>
      </c>
      <c r="H34945" s="21">
        <v>500</v>
      </c>
    </row>
    <row r="34946" spans="1:8" customFormat="1" x14ac:dyDescent="0.25">
      <c r="A34946" t="str">
        <f>"653688"</f>
        <v>653688</v>
      </c>
      <c r="B34946" t="s">
        <v>24761</v>
      </c>
      <c r="C34946" t="s">
        <v>3789</v>
      </c>
      <c r="D34946" s="21" t="s">
        <v>34</v>
      </c>
      <c r="E34946" s="21" t="s">
        <v>71</v>
      </c>
      <c r="F34946">
        <v>11650018</v>
      </c>
      <c r="G34946" t="s">
        <v>6247</v>
      </c>
      <c r="H34946" s="21">
        <v>500</v>
      </c>
    </row>
    <row r="34947" spans="1:8" customFormat="1" x14ac:dyDescent="0.25">
      <c r="A34947" t="str">
        <f>"442306"</f>
        <v>442306</v>
      </c>
      <c r="B34947" t="s">
        <v>15477</v>
      </c>
      <c r="C34947" t="s">
        <v>253</v>
      </c>
      <c r="D34947" s="21" t="s">
        <v>34</v>
      </c>
      <c r="E34947" s="21" t="s">
        <v>1089</v>
      </c>
      <c r="F34947">
        <v>12440076</v>
      </c>
      <c r="G34947" t="s">
        <v>1750</v>
      </c>
      <c r="H34947" s="21">
        <v>500</v>
      </c>
    </row>
    <row r="34948" spans="1:8" customFormat="1" x14ac:dyDescent="0.25">
      <c r="A34948" t="str">
        <f>"5020614"</f>
        <v>5020614</v>
      </c>
      <c r="B34948" t="s">
        <v>24772</v>
      </c>
      <c r="C34948" t="s">
        <v>288</v>
      </c>
      <c r="D34948" s="21" t="s">
        <v>34</v>
      </c>
      <c r="E34948" s="21" t="s">
        <v>35</v>
      </c>
      <c r="F34948">
        <v>9500053</v>
      </c>
      <c r="G34948" t="s">
        <v>11847</v>
      </c>
      <c r="H34948" s="21">
        <v>500</v>
      </c>
    </row>
    <row r="34949" spans="1:8" customFormat="1" x14ac:dyDescent="0.25">
      <c r="A34949" t="str">
        <f>"76354"</f>
        <v>76354</v>
      </c>
      <c r="B34949" t="s">
        <v>2557</v>
      </c>
      <c r="C34949" t="s">
        <v>2520</v>
      </c>
      <c r="D34949" s="21" t="s">
        <v>34</v>
      </c>
      <c r="E34949" s="21" t="s">
        <v>254</v>
      </c>
      <c r="F34949">
        <v>9760011</v>
      </c>
      <c r="G34949" t="s">
        <v>2562</v>
      </c>
      <c r="H34949" s="21">
        <v>500</v>
      </c>
    </row>
    <row r="34950" spans="1:8" customFormat="1" x14ac:dyDescent="0.25">
      <c r="A34950" t="str">
        <f>"2517401"</f>
        <v>2517401</v>
      </c>
      <c r="B34950" t="s">
        <v>28955</v>
      </c>
      <c r="C34950" t="s">
        <v>719</v>
      </c>
      <c r="D34950" s="21" t="s">
        <v>34</v>
      </c>
      <c r="E34950" s="21" t="s">
        <v>35</v>
      </c>
      <c r="F34950">
        <v>2250186</v>
      </c>
      <c r="G34950" t="s">
        <v>7290</v>
      </c>
      <c r="H34950" s="21">
        <v>500</v>
      </c>
    </row>
    <row r="34951" spans="1:8" customFormat="1" x14ac:dyDescent="0.25">
      <c r="A34951" t="str">
        <f>"5715957"</f>
        <v>5715957</v>
      </c>
      <c r="B34951" t="s">
        <v>23753</v>
      </c>
      <c r="C34951" t="s">
        <v>1588</v>
      </c>
      <c r="D34951" s="21" t="s">
        <v>34</v>
      </c>
      <c r="E34951" s="21" t="s">
        <v>254</v>
      </c>
      <c r="F34951">
        <v>6570167</v>
      </c>
      <c r="G34951" t="s">
        <v>1174</v>
      </c>
      <c r="H34951" s="21">
        <v>500</v>
      </c>
    </row>
    <row r="34952" spans="1:8" customFormat="1" x14ac:dyDescent="0.25">
      <c r="A34952" t="str">
        <f>"3718733"</f>
        <v>3718733</v>
      </c>
      <c r="B34952" t="s">
        <v>6401</v>
      </c>
      <c r="C34952" t="s">
        <v>285</v>
      </c>
      <c r="D34952" s="21" t="s">
        <v>34</v>
      </c>
      <c r="E34952" s="21" t="s">
        <v>71</v>
      </c>
      <c r="F34952">
        <v>4370709</v>
      </c>
      <c r="G34952" t="s">
        <v>5714</v>
      </c>
      <c r="H34952" s="21">
        <v>500</v>
      </c>
    </row>
    <row r="34953" spans="1:8" customFormat="1" x14ac:dyDescent="0.25">
      <c r="A34953" t="str">
        <f>"8019714"</f>
        <v>8019714</v>
      </c>
      <c r="B34953" t="s">
        <v>6119</v>
      </c>
      <c r="C34953" t="s">
        <v>55</v>
      </c>
      <c r="D34953" s="21" t="s">
        <v>34</v>
      </c>
      <c r="E34953" s="21" t="s">
        <v>35</v>
      </c>
      <c r="F34953">
        <v>7800153</v>
      </c>
      <c r="G34953" t="s">
        <v>13728</v>
      </c>
      <c r="H34953" s="21">
        <v>500</v>
      </c>
    </row>
    <row r="34954" spans="1:8" customFormat="1" x14ac:dyDescent="0.25">
      <c r="A34954" t="str">
        <f>"2721233"</f>
        <v>2721233</v>
      </c>
      <c r="B34954" t="s">
        <v>4382</v>
      </c>
      <c r="C34954" t="s">
        <v>598</v>
      </c>
      <c r="D34954" s="21" t="s">
        <v>34</v>
      </c>
      <c r="E34954" s="21" t="s">
        <v>254</v>
      </c>
      <c r="F34954">
        <v>9270077</v>
      </c>
      <c r="G34954" t="s">
        <v>3228</v>
      </c>
      <c r="H34954" s="21">
        <v>500</v>
      </c>
    </row>
    <row r="34955" spans="1:8" customFormat="1" x14ac:dyDescent="0.25">
      <c r="A34955" t="str">
        <f>"5962699"</f>
        <v>5962699</v>
      </c>
      <c r="B34955" t="s">
        <v>22861</v>
      </c>
      <c r="C34955" t="s">
        <v>4842</v>
      </c>
      <c r="D34955" s="21" t="s">
        <v>34</v>
      </c>
      <c r="E34955" s="21" t="s">
        <v>6185</v>
      </c>
      <c r="F34955">
        <v>7590412</v>
      </c>
      <c r="G34955" t="s">
        <v>489</v>
      </c>
      <c r="H34955" s="21">
        <v>500</v>
      </c>
    </row>
    <row r="34956" spans="1:8" customFormat="1" x14ac:dyDescent="0.25">
      <c r="A34956" t="str">
        <f>"1411522"</f>
        <v>1411522</v>
      </c>
      <c r="B34956" t="s">
        <v>23614</v>
      </c>
      <c r="C34956" t="s">
        <v>198</v>
      </c>
      <c r="D34956" s="21" t="s">
        <v>34</v>
      </c>
      <c r="E34956" s="21" t="s">
        <v>71</v>
      </c>
      <c r="F34956">
        <v>9140231</v>
      </c>
      <c r="G34956" t="s">
        <v>5392</v>
      </c>
      <c r="H34956" s="21">
        <v>500</v>
      </c>
    </row>
    <row r="34957" spans="1:8" customFormat="1" x14ac:dyDescent="0.25">
      <c r="A34957" t="str">
        <f>"5621266"</f>
        <v>5621266</v>
      </c>
      <c r="B34957" t="s">
        <v>23712</v>
      </c>
      <c r="C34957" t="s">
        <v>3859</v>
      </c>
      <c r="D34957" s="21" t="s">
        <v>34</v>
      </c>
      <c r="E34957" s="21" t="s">
        <v>71</v>
      </c>
      <c r="F34957">
        <v>3560071</v>
      </c>
      <c r="G34957" t="s">
        <v>8573</v>
      </c>
      <c r="H34957" s="21">
        <v>500</v>
      </c>
    </row>
    <row r="34958" spans="1:8" customFormat="1" x14ac:dyDescent="0.25">
      <c r="A34958" t="str">
        <f>"4218575"</f>
        <v>4218575</v>
      </c>
      <c r="B34958" t="s">
        <v>13657</v>
      </c>
      <c r="C34958" t="s">
        <v>151</v>
      </c>
      <c r="D34958" s="21" t="s">
        <v>34</v>
      </c>
      <c r="E34958" s="21" t="s">
        <v>35</v>
      </c>
      <c r="F34958">
        <v>1420154</v>
      </c>
      <c r="G34958" t="s">
        <v>11034</v>
      </c>
      <c r="H34958" s="21">
        <v>500</v>
      </c>
    </row>
    <row r="34959" spans="1:8" customFormat="1" x14ac:dyDescent="0.25">
      <c r="A34959" t="str">
        <f>"8194"</f>
        <v>8194</v>
      </c>
      <c r="B34959" t="s">
        <v>23503</v>
      </c>
      <c r="C34959" t="s">
        <v>1597</v>
      </c>
      <c r="D34959" s="21" t="s">
        <v>34</v>
      </c>
      <c r="E34959" s="21" t="s">
        <v>1089</v>
      </c>
      <c r="F34959">
        <v>11810008</v>
      </c>
      <c r="G34959" t="s">
        <v>8796</v>
      </c>
      <c r="H34959" s="21">
        <v>500</v>
      </c>
    </row>
    <row r="34960" spans="1:8" customFormat="1" x14ac:dyDescent="0.25">
      <c r="A34960" t="str">
        <f>"0475"</f>
        <v>0475</v>
      </c>
      <c r="B34960" t="s">
        <v>7016</v>
      </c>
      <c r="C34960" t="s">
        <v>1665</v>
      </c>
      <c r="D34960" s="21" t="s">
        <v>34</v>
      </c>
      <c r="E34960" s="21" t="s">
        <v>6185</v>
      </c>
      <c r="F34960">
        <v>13040005</v>
      </c>
      <c r="G34960" t="s">
        <v>7115</v>
      </c>
      <c r="H34960" s="21">
        <v>500</v>
      </c>
    </row>
    <row r="34961" spans="1:8" customFormat="1" x14ac:dyDescent="0.25">
      <c r="A34961" t="str">
        <f>"5933030"</f>
        <v>5933030</v>
      </c>
      <c r="B34961" t="s">
        <v>6731</v>
      </c>
      <c r="C34961" t="s">
        <v>822</v>
      </c>
      <c r="D34961" s="21" t="s">
        <v>34</v>
      </c>
      <c r="E34961" s="21" t="s">
        <v>1089</v>
      </c>
      <c r="F34961">
        <v>7590028</v>
      </c>
      <c r="G34961" t="s">
        <v>251</v>
      </c>
      <c r="H34961" s="21">
        <v>500</v>
      </c>
    </row>
    <row r="34962" spans="1:8" customFormat="1" x14ac:dyDescent="0.25">
      <c r="A34962" t="str">
        <f>"6316191"</f>
        <v>6316191</v>
      </c>
      <c r="B34962" t="s">
        <v>23189</v>
      </c>
      <c r="C34962" t="s">
        <v>249</v>
      </c>
      <c r="D34962" s="21" t="s">
        <v>34</v>
      </c>
      <c r="E34962" s="21" t="s">
        <v>71</v>
      </c>
      <c r="F34962">
        <v>1630191</v>
      </c>
      <c r="G34962" t="s">
        <v>11303</v>
      </c>
      <c r="H34962" s="21">
        <v>500</v>
      </c>
    </row>
    <row r="34963" spans="1:8" customFormat="1" x14ac:dyDescent="0.25">
      <c r="A34963" t="str">
        <f>"7111982"</f>
        <v>7111982</v>
      </c>
      <c r="B34963" t="s">
        <v>4352</v>
      </c>
      <c r="C34963" t="s">
        <v>253</v>
      </c>
      <c r="D34963" s="21" t="s">
        <v>34</v>
      </c>
      <c r="E34963" s="21" t="s">
        <v>254</v>
      </c>
      <c r="F34963">
        <v>2710049</v>
      </c>
      <c r="G34963" t="s">
        <v>11357</v>
      </c>
      <c r="H34963" s="21">
        <v>500</v>
      </c>
    </row>
    <row r="34964" spans="1:8" customFormat="1" x14ac:dyDescent="0.25">
      <c r="A34964" t="str">
        <f>"6024276"</f>
        <v>6024276</v>
      </c>
      <c r="B34964" t="s">
        <v>28956</v>
      </c>
      <c r="C34964" t="s">
        <v>15934</v>
      </c>
      <c r="D34964" s="21" t="s">
        <v>34</v>
      </c>
      <c r="E34964" s="21" t="s">
        <v>35</v>
      </c>
      <c r="F34964">
        <v>7600018</v>
      </c>
      <c r="G34964" t="s">
        <v>5838</v>
      </c>
      <c r="H34964" s="21">
        <v>500</v>
      </c>
    </row>
    <row r="34965" spans="1:8" customFormat="1" x14ac:dyDescent="0.25">
      <c r="A34965" t="str">
        <f>"2219914"</f>
        <v>2219914</v>
      </c>
      <c r="B34965" t="s">
        <v>28484</v>
      </c>
      <c r="C34965" t="s">
        <v>169</v>
      </c>
      <c r="D34965" s="21" t="s">
        <v>34</v>
      </c>
      <c r="E34965" s="21" t="s">
        <v>35</v>
      </c>
      <c r="F34965">
        <v>3220138</v>
      </c>
      <c r="G34965" t="s">
        <v>27804</v>
      </c>
      <c r="H34965" s="21">
        <v>500</v>
      </c>
    </row>
    <row r="34966" spans="1:8" customFormat="1" x14ac:dyDescent="0.25">
      <c r="A34966" t="str">
        <f>"7848673"</f>
        <v>7848673</v>
      </c>
      <c r="B34966" t="s">
        <v>22978</v>
      </c>
      <c r="C34966" t="s">
        <v>664</v>
      </c>
      <c r="D34966" s="21" t="s">
        <v>34</v>
      </c>
      <c r="E34966" s="21" t="s">
        <v>35</v>
      </c>
      <c r="F34966">
        <v>8780627</v>
      </c>
      <c r="G34966" t="s">
        <v>6097</v>
      </c>
      <c r="H34966" s="21">
        <v>500</v>
      </c>
    </row>
    <row r="34967" spans="1:8" customFormat="1" x14ac:dyDescent="0.25">
      <c r="A34967" t="str">
        <f>"1322116"</f>
        <v>1322116</v>
      </c>
      <c r="B34967" t="s">
        <v>1395</v>
      </c>
      <c r="C34967" t="s">
        <v>156</v>
      </c>
      <c r="D34967" s="21" t="s">
        <v>34</v>
      </c>
      <c r="E34967" s="21" t="s">
        <v>1089</v>
      </c>
      <c r="F34967">
        <v>13130157</v>
      </c>
      <c r="G34967" t="s">
        <v>28847</v>
      </c>
      <c r="H34967" s="21">
        <v>500</v>
      </c>
    </row>
    <row r="34968" spans="1:8" customFormat="1" x14ac:dyDescent="0.25">
      <c r="A34968" t="str">
        <f>"443390"</f>
        <v>443390</v>
      </c>
      <c r="B34968" t="s">
        <v>24036</v>
      </c>
      <c r="C34968" t="s">
        <v>1489</v>
      </c>
      <c r="D34968" s="21" t="s">
        <v>34</v>
      </c>
      <c r="E34968" s="21" t="s">
        <v>6185</v>
      </c>
      <c r="F34968">
        <v>12440193</v>
      </c>
      <c r="G34968" t="s">
        <v>3786</v>
      </c>
      <c r="H34968" s="21">
        <v>500</v>
      </c>
    </row>
    <row r="34969" spans="1:8" customFormat="1" x14ac:dyDescent="0.25">
      <c r="A34969" t="str">
        <f>"0211822"</f>
        <v>0211822</v>
      </c>
      <c r="B34969" t="s">
        <v>4888</v>
      </c>
      <c r="C34969" t="s">
        <v>130</v>
      </c>
      <c r="D34969" s="21" t="s">
        <v>34</v>
      </c>
      <c r="E34969" s="21" t="s">
        <v>254</v>
      </c>
      <c r="F34969">
        <v>7020040</v>
      </c>
      <c r="G34969" t="s">
        <v>1698</v>
      </c>
      <c r="H34969" s="21">
        <v>500</v>
      </c>
    </row>
    <row r="34970" spans="1:8" customFormat="1" x14ac:dyDescent="0.25">
      <c r="A34970" t="str">
        <f>"9416918"</f>
        <v>9416918</v>
      </c>
      <c r="B34970" t="s">
        <v>23130</v>
      </c>
      <c r="C34970" t="s">
        <v>598</v>
      </c>
      <c r="D34970" s="21" t="s">
        <v>34</v>
      </c>
      <c r="E34970" s="21" t="s">
        <v>1089</v>
      </c>
      <c r="F34970">
        <v>8780496</v>
      </c>
      <c r="G34970" t="s">
        <v>2477</v>
      </c>
      <c r="H34970" s="21">
        <v>500</v>
      </c>
    </row>
    <row r="34971" spans="1:8" customFormat="1" x14ac:dyDescent="0.25">
      <c r="A34971" t="str">
        <f>"9457341"</f>
        <v>9457341</v>
      </c>
      <c r="B34971" t="s">
        <v>28957</v>
      </c>
      <c r="C34971" t="s">
        <v>198</v>
      </c>
      <c r="D34971" s="21" t="s">
        <v>34</v>
      </c>
      <c r="E34971" s="21" t="s">
        <v>35</v>
      </c>
      <c r="F34971">
        <v>8940073</v>
      </c>
      <c r="G34971" t="s">
        <v>1085</v>
      </c>
      <c r="H34971" s="21">
        <v>500</v>
      </c>
    </row>
    <row r="34972" spans="1:8" customFormat="1" x14ac:dyDescent="0.25">
      <c r="A34972" t="str">
        <f>"1426528"</f>
        <v>1426528</v>
      </c>
      <c r="B34972" t="s">
        <v>5339</v>
      </c>
      <c r="C34972" t="s">
        <v>1782</v>
      </c>
      <c r="D34972" s="21" t="s">
        <v>34</v>
      </c>
      <c r="E34972" s="21" t="s">
        <v>35</v>
      </c>
      <c r="F34972">
        <v>9140167</v>
      </c>
      <c r="G34972" t="s">
        <v>5116</v>
      </c>
      <c r="H34972" s="21">
        <v>500</v>
      </c>
    </row>
    <row r="34973" spans="1:8" customFormat="1" x14ac:dyDescent="0.25">
      <c r="A34973" t="str">
        <f>"3316101"</f>
        <v>3316101</v>
      </c>
      <c r="B34973" t="s">
        <v>3675</v>
      </c>
      <c r="C34973" t="s">
        <v>1110</v>
      </c>
      <c r="D34973" s="21" t="s">
        <v>34</v>
      </c>
      <c r="E34973" s="21" t="s">
        <v>1089</v>
      </c>
      <c r="F34973">
        <v>10330010</v>
      </c>
      <c r="G34973" t="s">
        <v>2831</v>
      </c>
      <c r="H34973" s="21">
        <v>500</v>
      </c>
    </row>
    <row r="34974" spans="1:8" customFormat="1" x14ac:dyDescent="0.25">
      <c r="A34974" t="str">
        <f>"879179"</f>
        <v>879179</v>
      </c>
      <c r="B34974" t="s">
        <v>13848</v>
      </c>
      <c r="C34974" t="s">
        <v>253</v>
      </c>
      <c r="D34974" s="21" t="s">
        <v>34</v>
      </c>
      <c r="E34974" s="21" t="s">
        <v>254</v>
      </c>
      <c r="F34974">
        <v>10190043</v>
      </c>
      <c r="G34974" t="s">
        <v>10703</v>
      </c>
      <c r="H34974" s="21">
        <v>500</v>
      </c>
    </row>
    <row r="34975" spans="1:8" customFormat="1" x14ac:dyDescent="0.25">
      <c r="A34975" t="str">
        <f>"086654"</f>
        <v>086654</v>
      </c>
      <c r="B34975" t="s">
        <v>23072</v>
      </c>
      <c r="C34975" t="s">
        <v>3648</v>
      </c>
      <c r="D34975" s="21" t="s">
        <v>34</v>
      </c>
      <c r="E34975" s="21" t="s">
        <v>6185</v>
      </c>
      <c r="F34975">
        <v>6080076</v>
      </c>
      <c r="G34975" t="s">
        <v>1767</v>
      </c>
      <c r="H34975" s="21">
        <v>500</v>
      </c>
    </row>
    <row r="34976" spans="1:8" customFormat="1" x14ac:dyDescent="0.25">
      <c r="A34976" t="str">
        <f>"3324741"</f>
        <v>3324741</v>
      </c>
      <c r="B34976" t="s">
        <v>23061</v>
      </c>
      <c r="C34976" t="s">
        <v>156</v>
      </c>
      <c r="D34976" s="21" t="s">
        <v>34</v>
      </c>
      <c r="E34976" s="21" t="s">
        <v>254</v>
      </c>
      <c r="F34976">
        <v>10330017</v>
      </c>
      <c r="G34976" t="s">
        <v>2754</v>
      </c>
      <c r="H34976" s="21">
        <v>500</v>
      </c>
    </row>
    <row r="34977" spans="1:8" customFormat="1" x14ac:dyDescent="0.25">
      <c r="A34977" t="str">
        <f>"66168"</f>
        <v>66168</v>
      </c>
      <c r="B34977" t="s">
        <v>23091</v>
      </c>
      <c r="C34977" t="s">
        <v>1146</v>
      </c>
      <c r="D34977" s="21" t="s">
        <v>34</v>
      </c>
      <c r="E34977" s="21" t="s">
        <v>1089</v>
      </c>
      <c r="F34977">
        <v>11660009</v>
      </c>
      <c r="G34977" t="s">
        <v>26624</v>
      </c>
      <c r="H34977" s="21">
        <v>500</v>
      </c>
    </row>
    <row r="34978" spans="1:8" customFormat="1" x14ac:dyDescent="0.25">
      <c r="A34978" t="str">
        <f>"4530227"</f>
        <v>4530227</v>
      </c>
      <c r="B34978" t="s">
        <v>3978</v>
      </c>
      <c r="C34978" t="s">
        <v>65</v>
      </c>
      <c r="D34978" s="21" t="s">
        <v>34</v>
      </c>
      <c r="E34978" s="21" t="s">
        <v>35</v>
      </c>
      <c r="F34978">
        <v>4450763</v>
      </c>
      <c r="G34978" t="s">
        <v>19058</v>
      </c>
      <c r="H34978" s="21">
        <v>500</v>
      </c>
    </row>
    <row r="34979" spans="1:8" customFormat="1" x14ac:dyDescent="0.25">
      <c r="A34979" t="str">
        <f>"9D3132"</f>
        <v>9D3132</v>
      </c>
      <c r="B34979" t="s">
        <v>23920</v>
      </c>
      <c r="C34979" t="s">
        <v>139</v>
      </c>
      <c r="D34979" s="21" t="s">
        <v>34</v>
      </c>
      <c r="E34979" s="21" t="s">
        <v>71</v>
      </c>
      <c r="F34979" t="s">
        <v>3911</v>
      </c>
      <c r="G34979" t="s">
        <v>3912</v>
      </c>
      <c r="H34979" s="21">
        <v>500</v>
      </c>
    </row>
    <row r="34980" spans="1:8" customFormat="1" x14ac:dyDescent="0.25">
      <c r="A34980" t="str">
        <f>"877907"</f>
        <v>877907</v>
      </c>
      <c r="B34980" t="s">
        <v>2032</v>
      </c>
      <c r="C34980" t="s">
        <v>249</v>
      </c>
      <c r="D34980" s="21" t="s">
        <v>34</v>
      </c>
      <c r="E34980" s="21" t="s">
        <v>71</v>
      </c>
      <c r="F34980">
        <v>10870131</v>
      </c>
      <c r="G34980" t="s">
        <v>22866</v>
      </c>
      <c r="H34980" s="21">
        <v>500</v>
      </c>
    </row>
    <row r="34981" spans="1:8" customFormat="1" x14ac:dyDescent="0.25">
      <c r="A34981" t="str">
        <f>"6949607"</f>
        <v>6949607</v>
      </c>
      <c r="B34981" t="s">
        <v>28958</v>
      </c>
      <c r="C34981" t="s">
        <v>1146</v>
      </c>
      <c r="D34981" s="21" t="s">
        <v>34</v>
      </c>
      <c r="E34981" s="21" t="s">
        <v>35</v>
      </c>
      <c r="F34981">
        <v>1690181</v>
      </c>
      <c r="G34981" t="s">
        <v>20881</v>
      </c>
      <c r="H34981" s="21">
        <v>500</v>
      </c>
    </row>
    <row r="34982" spans="1:8" customFormat="1" x14ac:dyDescent="0.25">
      <c r="A34982" t="str">
        <f>"6212145"</f>
        <v>6212145</v>
      </c>
      <c r="B34982" t="s">
        <v>3319</v>
      </c>
      <c r="C34982" t="s">
        <v>1705</v>
      </c>
      <c r="D34982" s="21" t="s">
        <v>34</v>
      </c>
      <c r="E34982" s="21" t="s">
        <v>71</v>
      </c>
      <c r="F34982">
        <v>7620011</v>
      </c>
      <c r="G34982" t="s">
        <v>10839</v>
      </c>
      <c r="H34982" s="21">
        <v>500</v>
      </c>
    </row>
    <row r="34983" spans="1:8" customFormat="1" x14ac:dyDescent="0.25">
      <c r="A34983" t="str">
        <f>"5432807"</f>
        <v>5432807</v>
      </c>
      <c r="B34983" t="s">
        <v>28959</v>
      </c>
      <c r="C34983" t="s">
        <v>209</v>
      </c>
      <c r="D34983" s="21" t="s">
        <v>34</v>
      </c>
      <c r="E34983" s="21" t="s">
        <v>35</v>
      </c>
      <c r="F34983">
        <v>6540190</v>
      </c>
      <c r="G34983" t="s">
        <v>9727</v>
      </c>
      <c r="H34983" s="21">
        <v>500</v>
      </c>
    </row>
    <row r="34984" spans="1:8" customFormat="1" x14ac:dyDescent="0.25">
      <c r="A34984" t="str">
        <f>"8016654"</f>
        <v>8016654</v>
      </c>
      <c r="B34984" t="s">
        <v>2405</v>
      </c>
      <c r="C34984" t="s">
        <v>269</v>
      </c>
      <c r="D34984" s="21" t="s">
        <v>34</v>
      </c>
      <c r="E34984" s="21" t="s">
        <v>35</v>
      </c>
      <c r="F34984">
        <v>7800062</v>
      </c>
      <c r="G34984" t="s">
        <v>5176</v>
      </c>
      <c r="H34984" s="21">
        <v>500</v>
      </c>
    </row>
    <row r="34985" spans="1:8" customFormat="1" x14ac:dyDescent="0.25">
      <c r="A34985" t="str">
        <f>"5983815"</f>
        <v>5983815</v>
      </c>
      <c r="B34985" t="s">
        <v>28960</v>
      </c>
      <c r="C34985" t="s">
        <v>60</v>
      </c>
      <c r="D34985" s="21" t="s">
        <v>34</v>
      </c>
      <c r="E34985" s="21" t="s">
        <v>35</v>
      </c>
      <c r="F34985">
        <v>7590411</v>
      </c>
      <c r="G34985" t="s">
        <v>4036</v>
      </c>
      <c r="H34985" s="21">
        <v>500</v>
      </c>
    </row>
    <row r="34986" spans="1:8" customFormat="1" x14ac:dyDescent="0.25">
      <c r="A34986" t="str">
        <f>"3531888"</f>
        <v>3531888</v>
      </c>
      <c r="B34986" t="s">
        <v>9314</v>
      </c>
      <c r="C34986" t="s">
        <v>608</v>
      </c>
      <c r="D34986" s="21" t="s">
        <v>34</v>
      </c>
      <c r="E34986" s="21" t="s">
        <v>71</v>
      </c>
      <c r="F34986">
        <v>3350060</v>
      </c>
      <c r="G34986" t="s">
        <v>38</v>
      </c>
      <c r="H34986" s="21">
        <v>500</v>
      </c>
    </row>
    <row r="34987" spans="1:8" customFormat="1" x14ac:dyDescent="0.25">
      <c r="A34987" t="str">
        <f>"9242862"</f>
        <v>9242862</v>
      </c>
      <c r="B34987" t="s">
        <v>11607</v>
      </c>
      <c r="C34987" t="s">
        <v>121</v>
      </c>
      <c r="D34987" s="21" t="s">
        <v>34</v>
      </c>
      <c r="E34987" s="21" t="s">
        <v>35</v>
      </c>
      <c r="F34987">
        <v>8920063</v>
      </c>
      <c r="G34987" t="s">
        <v>219</v>
      </c>
      <c r="H34987" s="21">
        <v>500</v>
      </c>
    </row>
    <row r="34988" spans="1:8" customFormat="1" x14ac:dyDescent="0.25">
      <c r="A34988" t="str">
        <f>"471534"</f>
        <v>471534</v>
      </c>
      <c r="B34988" t="s">
        <v>17094</v>
      </c>
      <c r="C34988" t="s">
        <v>926</v>
      </c>
      <c r="D34988" s="21" t="s">
        <v>34</v>
      </c>
      <c r="E34988" s="21" t="s">
        <v>1089</v>
      </c>
      <c r="F34988">
        <v>10470009</v>
      </c>
      <c r="G34988" t="s">
        <v>4915</v>
      </c>
      <c r="H34988" s="21">
        <v>500</v>
      </c>
    </row>
    <row r="34989" spans="1:8" customFormat="1" x14ac:dyDescent="0.25">
      <c r="A34989" t="str">
        <f>"2618637"</f>
        <v>2618637</v>
      </c>
      <c r="B34989" t="s">
        <v>17905</v>
      </c>
      <c r="C34989" t="s">
        <v>484</v>
      </c>
      <c r="D34989" s="21" t="s">
        <v>34</v>
      </c>
      <c r="E34989" s="21" t="s">
        <v>35</v>
      </c>
      <c r="F34989">
        <v>1260062</v>
      </c>
      <c r="G34989" t="s">
        <v>6156</v>
      </c>
      <c r="H34989" s="21">
        <v>500</v>
      </c>
    </row>
    <row r="34990" spans="1:8" customFormat="1" x14ac:dyDescent="0.25">
      <c r="A34990" t="str">
        <f>"124909"</f>
        <v>124909</v>
      </c>
      <c r="B34990" t="s">
        <v>23900</v>
      </c>
      <c r="C34990" t="s">
        <v>2305</v>
      </c>
      <c r="D34990" s="21" t="s">
        <v>34</v>
      </c>
      <c r="E34990" s="21" t="s">
        <v>1089</v>
      </c>
      <c r="F34990">
        <v>11120017</v>
      </c>
      <c r="G34990" t="s">
        <v>6560</v>
      </c>
      <c r="H34990" s="21">
        <v>500</v>
      </c>
    </row>
    <row r="34991" spans="1:8" customFormat="1" x14ac:dyDescent="0.25">
      <c r="A34991" t="str">
        <f>"9445543"</f>
        <v>9445543</v>
      </c>
      <c r="B34991" t="s">
        <v>24576</v>
      </c>
      <c r="C34991" t="s">
        <v>267</v>
      </c>
      <c r="D34991" s="21" t="s">
        <v>34</v>
      </c>
      <c r="E34991" s="21" t="s">
        <v>1089</v>
      </c>
      <c r="F34991">
        <v>8940326</v>
      </c>
      <c r="G34991" t="s">
        <v>659</v>
      </c>
      <c r="H34991" s="21">
        <v>500</v>
      </c>
    </row>
    <row r="34992" spans="1:8" customFormat="1" x14ac:dyDescent="0.25">
      <c r="A34992" t="str">
        <f>"4710754"</f>
        <v>4710754</v>
      </c>
      <c r="B34992" t="s">
        <v>24306</v>
      </c>
      <c r="C34992" t="s">
        <v>263</v>
      </c>
      <c r="D34992" s="21" t="s">
        <v>34</v>
      </c>
      <c r="E34992" s="21" t="s">
        <v>71</v>
      </c>
      <c r="F34992">
        <v>10470006</v>
      </c>
      <c r="G34992" t="s">
        <v>1225</v>
      </c>
      <c r="H34992" s="21">
        <v>500</v>
      </c>
    </row>
    <row r="34993" spans="1:8" customFormat="1" x14ac:dyDescent="0.25">
      <c r="A34993" t="str">
        <f>"7730862"</f>
        <v>7730862</v>
      </c>
      <c r="B34993" t="s">
        <v>9355</v>
      </c>
      <c r="C34993" t="s">
        <v>65</v>
      </c>
      <c r="D34993" s="21" t="s">
        <v>34</v>
      </c>
      <c r="E34993" s="21" t="s">
        <v>35</v>
      </c>
      <c r="F34993">
        <v>8771398</v>
      </c>
      <c r="G34993" t="s">
        <v>2759</v>
      </c>
      <c r="H34993" s="21">
        <v>500</v>
      </c>
    </row>
    <row r="34994" spans="1:8" customFormat="1" x14ac:dyDescent="0.25">
      <c r="A34994" t="str">
        <f>"9426701"</f>
        <v>9426701</v>
      </c>
      <c r="B34994" t="s">
        <v>23105</v>
      </c>
      <c r="C34994" t="s">
        <v>547</v>
      </c>
      <c r="D34994" s="21" t="s">
        <v>34</v>
      </c>
      <c r="E34994" s="21" t="s">
        <v>71</v>
      </c>
      <c r="F34994">
        <v>8940577</v>
      </c>
      <c r="G34994" t="s">
        <v>3774</v>
      </c>
      <c r="H34994" s="21">
        <v>500</v>
      </c>
    </row>
    <row r="34995" spans="1:8" customFormat="1" x14ac:dyDescent="0.25">
      <c r="A34995" t="str">
        <f>"5954793"</f>
        <v>5954793</v>
      </c>
      <c r="B34995" t="s">
        <v>10590</v>
      </c>
      <c r="C34995" t="s">
        <v>1110</v>
      </c>
      <c r="D34995" s="21" t="s">
        <v>34</v>
      </c>
      <c r="E34995" s="21" t="s">
        <v>1089</v>
      </c>
      <c r="F34995">
        <v>7590194</v>
      </c>
      <c r="G34995" t="s">
        <v>460</v>
      </c>
      <c r="H34995" s="21">
        <v>500</v>
      </c>
    </row>
    <row r="34996" spans="1:8" customFormat="1" x14ac:dyDescent="0.25">
      <c r="A34996" t="str">
        <f>"0612885"</f>
        <v>0612885</v>
      </c>
      <c r="B34996" t="s">
        <v>22972</v>
      </c>
      <c r="C34996" t="s">
        <v>3784</v>
      </c>
      <c r="D34996" s="21" t="s">
        <v>34</v>
      </c>
      <c r="E34996" s="21" t="s">
        <v>6185</v>
      </c>
      <c r="F34996">
        <v>13060102</v>
      </c>
      <c r="G34996" t="s">
        <v>2918</v>
      </c>
      <c r="H34996" s="21">
        <v>500</v>
      </c>
    </row>
    <row r="34997" spans="1:8" customFormat="1" x14ac:dyDescent="0.25">
      <c r="A34997" t="str">
        <f>"6022456"</f>
        <v>6022456</v>
      </c>
      <c r="B34997" t="s">
        <v>17177</v>
      </c>
      <c r="C34997" t="s">
        <v>2365</v>
      </c>
      <c r="D34997" s="21" t="s">
        <v>34</v>
      </c>
      <c r="E34997" s="21" t="s">
        <v>35</v>
      </c>
      <c r="F34997">
        <v>7600037</v>
      </c>
      <c r="G34997" t="s">
        <v>7185</v>
      </c>
      <c r="H34997" s="21">
        <v>500</v>
      </c>
    </row>
    <row r="34998" spans="1:8" customFormat="1" x14ac:dyDescent="0.25">
      <c r="A34998" t="str">
        <f>"5980199"</f>
        <v>5980199</v>
      </c>
      <c r="B34998" t="s">
        <v>24481</v>
      </c>
      <c r="C34998" t="s">
        <v>4623</v>
      </c>
      <c r="D34998" s="21" t="s">
        <v>34</v>
      </c>
      <c r="E34998" s="21" t="s">
        <v>35</v>
      </c>
      <c r="F34998">
        <v>7590107</v>
      </c>
      <c r="G34998" t="s">
        <v>17475</v>
      </c>
      <c r="H34998" s="21">
        <v>500</v>
      </c>
    </row>
    <row r="34999" spans="1:8" customFormat="1" x14ac:dyDescent="0.25">
      <c r="A34999" t="str">
        <f>"5977900"</f>
        <v>5977900</v>
      </c>
      <c r="B34999" t="s">
        <v>17296</v>
      </c>
      <c r="C34999" t="s">
        <v>9430</v>
      </c>
      <c r="D34999" s="21" t="s">
        <v>34</v>
      </c>
      <c r="E34999" s="21" t="s">
        <v>35</v>
      </c>
      <c r="F34999">
        <v>7590106</v>
      </c>
      <c r="G34999" t="s">
        <v>4790</v>
      </c>
      <c r="H34999" s="21">
        <v>500</v>
      </c>
    </row>
    <row r="35000" spans="1:8" customFormat="1" x14ac:dyDescent="0.25">
      <c r="A35000" t="str">
        <f>"495212"</f>
        <v>495212</v>
      </c>
      <c r="B35000" t="s">
        <v>509</v>
      </c>
      <c r="C35000" t="s">
        <v>267</v>
      </c>
      <c r="D35000" s="21" t="s">
        <v>34</v>
      </c>
      <c r="E35000" s="21" t="s">
        <v>254</v>
      </c>
      <c r="F35000">
        <v>12490092</v>
      </c>
      <c r="G35000" t="s">
        <v>1854</v>
      </c>
      <c r="H35000" s="21">
        <v>500</v>
      </c>
    </row>
    <row r="35001" spans="1:8" customFormat="1" x14ac:dyDescent="0.25">
      <c r="A35001" t="str">
        <f>"403812"</f>
        <v>403812</v>
      </c>
      <c r="B35001" t="s">
        <v>22529</v>
      </c>
      <c r="C35001" t="s">
        <v>236</v>
      </c>
      <c r="D35001" s="21" t="s">
        <v>34</v>
      </c>
      <c r="E35001" s="21" t="s">
        <v>71</v>
      </c>
      <c r="F35001">
        <v>10400001</v>
      </c>
      <c r="G35001" t="s">
        <v>609</v>
      </c>
      <c r="H35001" s="21">
        <v>500</v>
      </c>
    </row>
    <row r="35002" spans="1:8" customFormat="1" x14ac:dyDescent="0.25">
      <c r="A35002" t="str">
        <f>"9455441"</f>
        <v>9455441</v>
      </c>
      <c r="B35002" t="s">
        <v>6444</v>
      </c>
      <c r="C35002" t="s">
        <v>926</v>
      </c>
      <c r="D35002" s="21" t="s">
        <v>34</v>
      </c>
      <c r="E35002" s="21" t="s">
        <v>254</v>
      </c>
      <c r="F35002">
        <v>8940894</v>
      </c>
      <c r="G35002" t="s">
        <v>481</v>
      </c>
      <c r="H35002" s="21">
        <v>500</v>
      </c>
    </row>
    <row r="35003" spans="1:8" customFormat="1" x14ac:dyDescent="0.25">
      <c r="A35003" t="str">
        <f>"4938394"</f>
        <v>4938394</v>
      </c>
      <c r="B35003" t="s">
        <v>3253</v>
      </c>
      <c r="C35003" t="s">
        <v>209</v>
      </c>
      <c r="D35003" s="21" t="s">
        <v>34</v>
      </c>
      <c r="E35003" s="21" t="s">
        <v>71</v>
      </c>
      <c r="F35003">
        <v>12490098</v>
      </c>
      <c r="G35003" t="s">
        <v>2670</v>
      </c>
      <c r="H35003" s="21">
        <v>500</v>
      </c>
    </row>
    <row r="35004" spans="1:8" customFormat="1" x14ac:dyDescent="0.25">
      <c r="A35004" t="str">
        <f>"1411136"</f>
        <v>1411136</v>
      </c>
      <c r="B35004" t="s">
        <v>5119</v>
      </c>
      <c r="C35004" t="s">
        <v>209</v>
      </c>
      <c r="D35004" s="21" t="s">
        <v>34</v>
      </c>
      <c r="E35004" s="21" t="s">
        <v>71</v>
      </c>
      <c r="F35004">
        <v>9140009</v>
      </c>
      <c r="G35004" t="s">
        <v>3530</v>
      </c>
      <c r="H35004" s="21">
        <v>500</v>
      </c>
    </row>
    <row r="35005" spans="1:8" customFormat="1" x14ac:dyDescent="0.25">
      <c r="A35005" t="str">
        <f>"189615"</f>
        <v>189615</v>
      </c>
      <c r="B35005" t="s">
        <v>21624</v>
      </c>
      <c r="C35005" t="s">
        <v>249</v>
      </c>
      <c r="D35005" s="21" t="s">
        <v>34</v>
      </c>
      <c r="E35005" s="21" t="s">
        <v>35</v>
      </c>
      <c r="F35005">
        <v>4180734</v>
      </c>
      <c r="G35005" t="s">
        <v>8434</v>
      </c>
      <c r="H35005" s="21">
        <v>500</v>
      </c>
    </row>
    <row r="35006" spans="1:8" customFormat="1" x14ac:dyDescent="0.25">
      <c r="A35006" t="str">
        <f>"461827"</f>
        <v>461827</v>
      </c>
      <c r="B35006" t="s">
        <v>18000</v>
      </c>
      <c r="C35006" t="s">
        <v>33</v>
      </c>
      <c r="D35006" s="21" t="s">
        <v>34</v>
      </c>
      <c r="E35006" s="21" t="s">
        <v>35</v>
      </c>
      <c r="F35006">
        <v>11460017</v>
      </c>
      <c r="G35006" t="s">
        <v>7665</v>
      </c>
      <c r="H35006" s="21">
        <v>500</v>
      </c>
    </row>
    <row r="35007" spans="1:8" customFormat="1" x14ac:dyDescent="0.25">
      <c r="A35007" t="str">
        <f>"9242312"</f>
        <v>9242312</v>
      </c>
      <c r="B35007" t="s">
        <v>5674</v>
      </c>
      <c r="C35007" t="s">
        <v>187</v>
      </c>
      <c r="D35007" s="21" t="s">
        <v>34</v>
      </c>
      <c r="E35007" s="21" t="s">
        <v>71</v>
      </c>
      <c r="F35007">
        <v>8920075</v>
      </c>
      <c r="G35007" t="s">
        <v>317</v>
      </c>
      <c r="H35007" s="21">
        <v>500</v>
      </c>
    </row>
    <row r="35008" spans="1:8" customFormat="1" x14ac:dyDescent="0.25">
      <c r="A35008" t="str">
        <f>"395949"</f>
        <v>395949</v>
      </c>
      <c r="B35008" t="s">
        <v>6628</v>
      </c>
      <c r="C35008" t="s">
        <v>198</v>
      </c>
      <c r="D35008" s="21" t="s">
        <v>34</v>
      </c>
      <c r="E35008" s="21" t="s">
        <v>71</v>
      </c>
      <c r="F35008">
        <v>2390010</v>
      </c>
      <c r="G35008" t="s">
        <v>27283</v>
      </c>
      <c r="H35008" s="21">
        <v>500</v>
      </c>
    </row>
    <row r="35009" spans="1:8" customFormat="1" x14ac:dyDescent="0.25">
      <c r="A35009" t="str">
        <f>"9320563"</f>
        <v>9320563</v>
      </c>
      <c r="B35009" t="s">
        <v>22853</v>
      </c>
      <c r="C35009" t="s">
        <v>2479</v>
      </c>
      <c r="D35009" s="21" t="s">
        <v>34</v>
      </c>
      <c r="E35009" s="21" t="s">
        <v>35</v>
      </c>
      <c r="F35009">
        <v>8931057</v>
      </c>
      <c r="G35009" t="s">
        <v>1011</v>
      </c>
      <c r="H35009" s="21">
        <v>500</v>
      </c>
    </row>
    <row r="35010" spans="1:8" customFormat="1" x14ac:dyDescent="0.25">
      <c r="A35010" t="str">
        <f>"4923396"</f>
        <v>4923396</v>
      </c>
      <c r="B35010" t="s">
        <v>18125</v>
      </c>
      <c r="C35010" t="s">
        <v>547</v>
      </c>
      <c r="D35010" s="21" t="s">
        <v>34</v>
      </c>
      <c r="E35010" s="21" t="s">
        <v>71</v>
      </c>
      <c r="F35010">
        <v>12490076</v>
      </c>
      <c r="G35010" t="s">
        <v>2086</v>
      </c>
      <c r="H35010" s="21">
        <v>500</v>
      </c>
    </row>
    <row r="35011" spans="1:8" customFormat="1" x14ac:dyDescent="0.25">
      <c r="A35011" t="str">
        <f>"1415026"</f>
        <v>1415026</v>
      </c>
      <c r="B35011" t="s">
        <v>2082</v>
      </c>
      <c r="C35011" t="s">
        <v>249</v>
      </c>
      <c r="D35011" s="21" t="s">
        <v>34</v>
      </c>
      <c r="E35011" s="21" t="s">
        <v>71</v>
      </c>
      <c r="F35011">
        <v>9140156</v>
      </c>
      <c r="G35011" t="s">
        <v>645</v>
      </c>
      <c r="H35011" s="21">
        <v>500</v>
      </c>
    </row>
    <row r="35012" spans="1:8" customFormat="1" x14ac:dyDescent="0.25">
      <c r="A35012" t="str">
        <f>"035159"</f>
        <v>035159</v>
      </c>
      <c r="B35012" t="s">
        <v>23279</v>
      </c>
      <c r="C35012" t="s">
        <v>2305</v>
      </c>
      <c r="D35012" s="21" t="s">
        <v>34</v>
      </c>
      <c r="E35012" s="21" t="s">
        <v>254</v>
      </c>
      <c r="F35012">
        <v>1030305</v>
      </c>
      <c r="G35012" t="s">
        <v>15545</v>
      </c>
      <c r="H35012" s="21">
        <v>500</v>
      </c>
    </row>
    <row r="35013" spans="1:8" customFormat="1" x14ac:dyDescent="0.25">
      <c r="A35013" t="str">
        <f>"616991"</f>
        <v>616991</v>
      </c>
      <c r="B35013" t="s">
        <v>23595</v>
      </c>
      <c r="C35013" t="s">
        <v>260</v>
      </c>
      <c r="D35013" s="21" t="s">
        <v>34</v>
      </c>
      <c r="E35013" s="21" t="s">
        <v>35</v>
      </c>
      <c r="F35013">
        <v>10330011</v>
      </c>
      <c r="G35013" t="s">
        <v>1789</v>
      </c>
      <c r="H35013" s="21">
        <v>500</v>
      </c>
    </row>
    <row r="35014" spans="1:8" customFormat="1" x14ac:dyDescent="0.25">
      <c r="A35014" t="str">
        <f>"9A1556"</f>
        <v>9A1556</v>
      </c>
      <c r="B35014" t="s">
        <v>28961</v>
      </c>
      <c r="C35014" t="s">
        <v>13865</v>
      </c>
      <c r="D35014" s="21" t="s">
        <v>34</v>
      </c>
      <c r="E35014" s="21" t="s">
        <v>71</v>
      </c>
      <c r="F35014" t="s">
        <v>2849</v>
      </c>
      <c r="G35014" t="s">
        <v>2850</v>
      </c>
      <c r="H35014" s="21">
        <v>500</v>
      </c>
    </row>
    <row r="35015" spans="1:8" customFormat="1" x14ac:dyDescent="0.25">
      <c r="A35015" t="str">
        <f>"4435563"</f>
        <v>4435563</v>
      </c>
      <c r="B35015" t="s">
        <v>23697</v>
      </c>
      <c r="C35015" t="s">
        <v>6774</v>
      </c>
      <c r="D35015" s="21" t="s">
        <v>34</v>
      </c>
      <c r="E35015" s="21" t="s">
        <v>35</v>
      </c>
      <c r="F35015">
        <v>12440059</v>
      </c>
      <c r="G35015" t="s">
        <v>6697</v>
      </c>
      <c r="H35015" s="21">
        <v>500</v>
      </c>
    </row>
    <row r="35016" spans="1:8" customFormat="1" x14ac:dyDescent="0.25">
      <c r="A35016" t="str">
        <f>"9321781"</f>
        <v>9321781</v>
      </c>
      <c r="B35016" t="s">
        <v>4352</v>
      </c>
      <c r="C35016" t="s">
        <v>119</v>
      </c>
      <c r="D35016" s="21" t="s">
        <v>34</v>
      </c>
      <c r="E35016" s="21" t="s">
        <v>71</v>
      </c>
      <c r="F35016">
        <v>8931462</v>
      </c>
      <c r="G35016" t="s">
        <v>14683</v>
      </c>
      <c r="H35016" s="21">
        <v>500</v>
      </c>
    </row>
    <row r="35017" spans="1:8" customFormat="1" x14ac:dyDescent="0.25">
      <c r="A35017" t="str">
        <f>"7859268"</f>
        <v>7859268</v>
      </c>
      <c r="B35017" t="s">
        <v>13071</v>
      </c>
      <c r="C35017" t="s">
        <v>124</v>
      </c>
      <c r="D35017" s="21" t="s">
        <v>34</v>
      </c>
      <c r="E35017" s="21" t="s">
        <v>35</v>
      </c>
      <c r="F35017">
        <v>8780108</v>
      </c>
      <c r="G35017" t="s">
        <v>4329</v>
      </c>
      <c r="H35017" s="21">
        <v>500</v>
      </c>
    </row>
    <row r="35018" spans="1:8" customFormat="1" x14ac:dyDescent="0.25">
      <c r="A35018" t="str">
        <f>"1422305"</f>
        <v>1422305</v>
      </c>
      <c r="B35018" t="s">
        <v>402</v>
      </c>
      <c r="C35018" t="s">
        <v>1914</v>
      </c>
      <c r="D35018" s="21" t="s">
        <v>34</v>
      </c>
      <c r="E35018" s="21" t="s">
        <v>254</v>
      </c>
      <c r="F35018">
        <v>9140200</v>
      </c>
      <c r="G35018" t="s">
        <v>17963</v>
      </c>
      <c r="H35018" s="21">
        <v>500</v>
      </c>
    </row>
    <row r="35019" spans="1:8" customFormat="1" x14ac:dyDescent="0.25">
      <c r="A35019" t="str">
        <f>"9143333"</f>
        <v>9143333</v>
      </c>
      <c r="B35019" t="s">
        <v>23556</v>
      </c>
      <c r="C35019" t="s">
        <v>171</v>
      </c>
      <c r="D35019" s="21" t="s">
        <v>34</v>
      </c>
      <c r="E35019" s="21" t="s">
        <v>71</v>
      </c>
      <c r="F35019">
        <v>8910077</v>
      </c>
      <c r="G35019" t="s">
        <v>1380</v>
      </c>
      <c r="H35019" s="21">
        <v>500</v>
      </c>
    </row>
    <row r="35020" spans="1:8" customFormat="1" x14ac:dyDescent="0.25">
      <c r="A35020" t="str">
        <f>"043616"</f>
        <v>043616</v>
      </c>
      <c r="B35020" t="s">
        <v>22513</v>
      </c>
      <c r="C35020" t="s">
        <v>253</v>
      </c>
      <c r="D35020" s="21" t="s">
        <v>34</v>
      </c>
      <c r="E35020" s="21" t="s">
        <v>254</v>
      </c>
      <c r="F35020">
        <v>13040031</v>
      </c>
      <c r="G35020" t="s">
        <v>15895</v>
      </c>
      <c r="H35020" s="21">
        <v>500</v>
      </c>
    </row>
    <row r="35021" spans="1:8" customFormat="1" x14ac:dyDescent="0.25">
      <c r="A35021" t="str">
        <f>"5973708"</f>
        <v>5973708</v>
      </c>
      <c r="B35021" t="s">
        <v>23929</v>
      </c>
      <c r="C35021" t="s">
        <v>43</v>
      </c>
      <c r="D35021" s="21" t="s">
        <v>34</v>
      </c>
      <c r="E35021" s="21" t="s">
        <v>35</v>
      </c>
      <c r="F35021">
        <v>7590005</v>
      </c>
      <c r="G35021" t="s">
        <v>540</v>
      </c>
      <c r="H35021" s="21">
        <v>500</v>
      </c>
    </row>
    <row r="35022" spans="1:8" customFormat="1" x14ac:dyDescent="0.25">
      <c r="A35022" t="str">
        <f>"4113095"</f>
        <v>4113095</v>
      </c>
      <c r="B35022" t="s">
        <v>24494</v>
      </c>
      <c r="C35022" t="s">
        <v>239</v>
      </c>
      <c r="D35022" s="21" t="s">
        <v>34</v>
      </c>
      <c r="E35022" s="21" t="s">
        <v>35</v>
      </c>
      <c r="F35022">
        <v>4410697</v>
      </c>
      <c r="G35022" t="s">
        <v>2490</v>
      </c>
      <c r="H35022" s="21">
        <v>500</v>
      </c>
    </row>
    <row r="35023" spans="1:8" customFormat="1" x14ac:dyDescent="0.25">
      <c r="A35023" t="str">
        <f>"512787"</f>
        <v>512787</v>
      </c>
      <c r="B35023" t="s">
        <v>23234</v>
      </c>
      <c r="C35023" t="s">
        <v>1887</v>
      </c>
      <c r="D35023" s="21" t="s">
        <v>34</v>
      </c>
      <c r="E35023" s="21" t="s">
        <v>254</v>
      </c>
      <c r="F35023">
        <v>6510064</v>
      </c>
      <c r="G35023" t="s">
        <v>6183</v>
      </c>
      <c r="H35023" s="21">
        <v>500</v>
      </c>
    </row>
    <row r="35024" spans="1:8" customFormat="1" x14ac:dyDescent="0.25">
      <c r="A35024" t="str">
        <f>"407748"</f>
        <v>407748</v>
      </c>
      <c r="B35024" t="s">
        <v>22919</v>
      </c>
      <c r="C35024" t="s">
        <v>2996</v>
      </c>
      <c r="D35024" s="21" t="s">
        <v>34</v>
      </c>
      <c r="E35024" s="21" t="s">
        <v>35</v>
      </c>
      <c r="F35024">
        <v>10400013</v>
      </c>
      <c r="G35024" t="s">
        <v>6238</v>
      </c>
      <c r="H35024" s="21">
        <v>500</v>
      </c>
    </row>
    <row r="35025" spans="1:8" customFormat="1" x14ac:dyDescent="0.25">
      <c r="A35025" t="str">
        <f>"368400"</f>
        <v>368400</v>
      </c>
      <c r="B35025" t="s">
        <v>28962</v>
      </c>
      <c r="C35025" t="s">
        <v>236</v>
      </c>
      <c r="D35025" s="21" t="s">
        <v>34</v>
      </c>
      <c r="E35025" s="21" t="s">
        <v>254</v>
      </c>
      <c r="F35025">
        <v>4360123</v>
      </c>
      <c r="G35025" t="s">
        <v>4121</v>
      </c>
      <c r="H35025" s="21">
        <v>500</v>
      </c>
    </row>
    <row r="35026" spans="1:8" customFormat="1" x14ac:dyDescent="0.25">
      <c r="A35026" t="str">
        <f>"5013893"</f>
        <v>5013893</v>
      </c>
      <c r="B35026" t="s">
        <v>11739</v>
      </c>
      <c r="C35026" t="s">
        <v>547</v>
      </c>
      <c r="D35026" s="21" t="s">
        <v>34</v>
      </c>
      <c r="E35026" s="21" t="s">
        <v>1089</v>
      </c>
      <c r="F35026">
        <v>9500073</v>
      </c>
      <c r="G35026" t="s">
        <v>5393</v>
      </c>
      <c r="H35026" s="21">
        <v>500</v>
      </c>
    </row>
    <row r="35027" spans="1:8" customFormat="1" x14ac:dyDescent="0.25">
      <c r="A35027" t="str">
        <f>"5429548"</f>
        <v>5429548</v>
      </c>
      <c r="B35027" t="s">
        <v>28963</v>
      </c>
      <c r="C35027" t="s">
        <v>28964</v>
      </c>
      <c r="D35027" s="21" t="s">
        <v>34</v>
      </c>
      <c r="E35027" s="21" t="s">
        <v>35</v>
      </c>
      <c r="F35027">
        <v>6540097</v>
      </c>
      <c r="G35027" t="s">
        <v>12434</v>
      </c>
      <c r="H35027" s="21">
        <v>500</v>
      </c>
    </row>
    <row r="35028" spans="1:8" customFormat="1" x14ac:dyDescent="0.25">
      <c r="A35028" t="str">
        <f>"275912"</f>
        <v>275912</v>
      </c>
      <c r="B35028" t="s">
        <v>4261</v>
      </c>
      <c r="C35028" t="s">
        <v>1199</v>
      </c>
      <c r="D35028" s="21" t="s">
        <v>34</v>
      </c>
      <c r="E35028" s="21" t="s">
        <v>1089</v>
      </c>
      <c r="F35028">
        <v>9270148</v>
      </c>
      <c r="G35028" t="s">
        <v>8058</v>
      </c>
      <c r="H35028" s="21">
        <v>500</v>
      </c>
    </row>
    <row r="35029" spans="1:8" customFormat="1" x14ac:dyDescent="0.25">
      <c r="A35029" t="str">
        <f>"3718569"</f>
        <v>3718569</v>
      </c>
      <c r="B35029" t="s">
        <v>28965</v>
      </c>
      <c r="C35029" t="s">
        <v>60</v>
      </c>
      <c r="D35029" s="21" t="s">
        <v>34</v>
      </c>
      <c r="E35029" s="21" t="s">
        <v>35</v>
      </c>
      <c r="F35029">
        <v>4370349</v>
      </c>
      <c r="G35029" t="s">
        <v>2287</v>
      </c>
      <c r="H35029" s="21">
        <v>500</v>
      </c>
    </row>
    <row r="35030" spans="1:8" customFormat="1" x14ac:dyDescent="0.25">
      <c r="A35030" t="str">
        <f>"683870"</f>
        <v>683870</v>
      </c>
      <c r="B35030" t="s">
        <v>28966</v>
      </c>
      <c r="C35030" t="s">
        <v>267</v>
      </c>
      <c r="D35030" s="21" t="s">
        <v>34</v>
      </c>
      <c r="E35030" s="21" t="s">
        <v>71</v>
      </c>
      <c r="F35030">
        <v>6680004</v>
      </c>
      <c r="G35030" t="s">
        <v>644</v>
      </c>
      <c r="H35030" s="21">
        <v>500</v>
      </c>
    </row>
    <row r="35031" spans="1:8" customFormat="1" x14ac:dyDescent="0.25">
      <c r="A35031" t="str">
        <f>"0211119"</f>
        <v>0211119</v>
      </c>
      <c r="B35031" t="s">
        <v>23059</v>
      </c>
      <c r="C35031" t="s">
        <v>58</v>
      </c>
      <c r="D35031" s="21" t="s">
        <v>34</v>
      </c>
      <c r="E35031" s="21" t="s">
        <v>71</v>
      </c>
      <c r="F35031">
        <v>7020009</v>
      </c>
      <c r="G35031" t="s">
        <v>3362</v>
      </c>
      <c r="H35031" s="21">
        <v>500</v>
      </c>
    </row>
    <row r="35032" spans="1:8" customFormat="1" x14ac:dyDescent="0.25">
      <c r="A35032" t="str">
        <f>"33683"</f>
        <v>33683</v>
      </c>
      <c r="B35032" t="s">
        <v>22846</v>
      </c>
      <c r="C35032" t="s">
        <v>198</v>
      </c>
      <c r="D35032" s="21" t="s">
        <v>34</v>
      </c>
      <c r="E35032" s="21" t="s">
        <v>1089</v>
      </c>
      <c r="F35032">
        <v>10330028</v>
      </c>
      <c r="G35032" t="s">
        <v>4553</v>
      </c>
      <c r="H35032" s="21">
        <v>500</v>
      </c>
    </row>
    <row r="35033" spans="1:8" customFormat="1" x14ac:dyDescent="0.25">
      <c r="A35033" t="str">
        <f>"1320097"</f>
        <v>1320097</v>
      </c>
      <c r="B35033" t="s">
        <v>28967</v>
      </c>
      <c r="C35033" t="s">
        <v>156</v>
      </c>
      <c r="D35033" s="21" t="s">
        <v>34</v>
      </c>
      <c r="E35033" s="21" t="s">
        <v>35</v>
      </c>
      <c r="F35033">
        <v>13130004</v>
      </c>
      <c r="G35033" t="s">
        <v>942</v>
      </c>
      <c r="H35033" s="21">
        <v>500</v>
      </c>
    </row>
    <row r="35034" spans="1:8" customFormat="1" x14ac:dyDescent="0.25">
      <c r="A35034" t="str">
        <f>"9F5544"</f>
        <v>9F5544</v>
      </c>
      <c r="B35034" t="s">
        <v>23652</v>
      </c>
      <c r="C35034" t="s">
        <v>926</v>
      </c>
      <c r="D35034" s="21" t="s">
        <v>34</v>
      </c>
      <c r="E35034" s="21" t="s">
        <v>71</v>
      </c>
      <c r="F35034" t="s">
        <v>23496</v>
      </c>
      <c r="G35034" t="s">
        <v>23497</v>
      </c>
      <c r="H35034" s="21">
        <v>500</v>
      </c>
    </row>
    <row r="35035" spans="1:8" customFormat="1" x14ac:dyDescent="0.25">
      <c r="A35035" t="str">
        <f>"7619140"</f>
        <v>7619140</v>
      </c>
      <c r="B35035" t="s">
        <v>13013</v>
      </c>
      <c r="C35035" t="s">
        <v>40</v>
      </c>
      <c r="D35035" s="21" t="s">
        <v>34</v>
      </c>
      <c r="E35035" s="21" t="s">
        <v>254</v>
      </c>
      <c r="F35035">
        <v>9760428</v>
      </c>
      <c r="G35035" t="s">
        <v>5081</v>
      </c>
      <c r="H35035" s="21">
        <v>500</v>
      </c>
    </row>
    <row r="35036" spans="1:8" customFormat="1" x14ac:dyDescent="0.25">
      <c r="A35036" t="str">
        <f>"3344898"</f>
        <v>3344898</v>
      </c>
      <c r="B35036" t="s">
        <v>28968</v>
      </c>
      <c r="C35036" t="s">
        <v>119</v>
      </c>
      <c r="D35036" s="21" t="s">
        <v>34</v>
      </c>
      <c r="E35036" s="21" t="s">
        <v>35</v>
      </c>
      <c r="F35036">
        <v>10170009</v>
      </c>
      <c r="G35036" t="s">
        <v>3810</v>
      </c>
      <c r="H35036" s="21">
        <v>500</v>
      </c>
    </row>
    <row r="35037" spans="1:8" customFormat="1" x14ac:dyDescent="0.25">
      <c r="A35037" t="str">
        <f>"188132"</f>
        <v>188132</v>
      </c>
      <c r="B35037" t="s">
        <v>12119</v>
      </c>
      <c r="C35037" t="s">
        <v>239</v>
      </c>
      <c r="D35037" s="21" t="s">
        <v>34</v>
      </c>
      <c r="E35037" s="21" t="s">
        <v>254</v>
      </c>
      <c r="F35037">
        <v>4180613</v>
      </c>
      <c r="G35037" t="s">
        <v>422</v>
      </c>
      <c r="H35037" s="21">
        <v>500</v>
      </c>
    </row>
    <row r="35038" spans="1:8" customFormat="1" x14ac:dyDescent="0.25">
      <c r="A35038" t="str">
        <f>"4433623"</f>
        <v>4433623</v>
      </c>
      <c r="B35038" t="s">
        <v>23073</v>
      </c>
      <c r="C35038" t="s">
        <v>33</v>
      </c>
      <c r="D35038" s="21" t="s">
        <v>34</v>
      </c>
      <c r="E35038" s="21" t="s">
        <v>71</v>
      </c>
      <c r="F35038">
        <v>12440158</v>
      </c>
      <c r="G35038" t="s">
        <v>9695</v>
      </c>
      <c r="H35038" s="21">
        <v>500</v>
      </c>
    </row>
    <row r="35039" spans="1:8" customFormat="1" x14ac:dyDescent="0.25">
      <c r="A35039" t="str">
        <f>"9315550"</f>
        <v>9315550</v>
      </c>
      <c r="B35039" t="s">
        <v>28969</v>
      </c>
      <c r="C35039" t="s">
        <v>639</v>
      </c>
      <c r="D35039" s="21" t="s">
        <v>34</v>
      </c>
      <c r="E35039" s="21" t="s">
        <v>254</v>
      </c>
      <c r="F35039">
        <v>9140009</v>
      </c>
      <c r="G35039" t="s">
        <v>3530</v>
      </c>
      <c r="H35039" s="21">
        <v>500</v>
      </c>
    </row>
    <row r="35040" spans="1:8" customFormat="1" x14ac:dyDescent="0.25">
      <c r="A35040" t="str">
        <f>"5733528"</f>
        <v>5733528</v>
      </c>
      <c r="B35040" t="s">
        <v>21016</v>
      </c>
      <c r="C35040" t="s">
        <v>415</v>
      </c>
      <c r="D35040" s="21" t="s">
        <v>34</v>
      </c>
      <c r="E35040" s="21" t="s">
        <v>254</v>
      </c>
      <c r="F35040">
        <v>6570070</v>
      </c>
      <c r="G35040" t="s">
        <v>1765</v>
      </c>
      <c r="H35040" s="21">
        <v>500</v>
      </c>
    </row>
    <row r="35041" spans="1:8" customFormat="1" x14ac:dyDescent="0.25">
      <c r="A35041" t="str">
        <f>"282996"</f>
        <v>282996</v>
      </c>
      <c r="B35041" t="s">
        <v>7374</v>
      </c>
      <c r="C35041" t="s">
        <v>40</v>
      </c>
      <c r="D35041" s="21" t="s">
        <v>34</v>
      </c>
      <c r="E35041" s="21" t="s">
        <v>254</v>
      </c>
      <c r="F35041">
        <v>4280610</v>
      </c>
      <c r="G35041" t="s">
        <v>8180</v>
      </c>
      <c r="H35041" s="21">
        <v>500</v>
      </c>
    </row>
    <row r="35042" spans="1:8" customFormat="1" x14ac:dyDescent="0.25">
      <c r="A35042" t="str">
        <f>"2721173"</f>
        <v>2721173</v>
      </c>
      <c r="B35042" t="s">
        <v>13944</v>
      </c>
      <c r="C35042" t="s">
        <v>40</v>
      </c>
      <c r="D35042" s="21" t="s">
        <v>34</v>
      </c>
      <c r="E35042" s="21" t="s">
        <v>254</v>
      </c>
      <c r="F35042">
        <v>9270006</v>
      </c>
      <c r="G35042" t="s">
        <v>780</v>
      </c>
      <c r="H35042" s="21">
        <v>500</v>
      </c>
    </row>
    <row r="35043" spans="1:8" customFormat="1" x14ac:dyDescent="0.25">
      <c r="A35043" t="str">
        <f>"9537325"</f>
        <v>9537325</v>
      </c>
      <c r="B35043" t="s">
        <v>23424</v>
      </c>
      <c r="C35043" t="s">
        <v>23425</v>
      </c>
      <c r="D35043" s="21" t="s">
        <v>34</v>
      </c>
      <c r="E35043" s="21" t="s">
        <v>1089</v>
      </c>
      <c r="F35043">
        <v>8950348</v>
      </c>
      <c r="G35043" t="s">
        <v>491</v>
      </c>
      <c r="H35043" s="21">
        <v>500</v>
      </c>
    </row>
    <row r="35044" spans="1:8" customFormat="1" x14ac:dyDescent="0.25">
      <c r="A35044" t="str">
        <f>"3426903"</f>
        <v>3426903</v>
      </c>
      <c r="B35044" t="s">
        <v>28970</v>
      </c>
      <c r="C35044" t="s">
        <v>1446</v>
      </c>
      <c r="D35044" s="21" t="s">
        <v>34</v>
      </c>
      <c r="E35044" s="21" t="s">
        <v>254</v>
      </c>
      <c r="F35044">
        <v>11340012</v>
      </c>
      <c r="G35044" t="s">
        <v>10413</v>
      </c>
      <c r="H35044" s="21">
        <v>500</v>
      </c>
    </row>
    <row r="35045" spans="1:8" customFormat="1" x14ac:dyDescent="0.25">
      <c r="A35045" t="str">
        <f>"877833"</f>
        <v>877833</v>
      </c>
      <c r="B35045" t="s">
        <v>22889</v>
      </c>
      <c r="C35045" t="s">
        <v>415</v>
      </c>
      <c r="D35045" s="21" t="s">
        <v>34</v>
      </c>
      <c r="E35045" s="21" t="s">
        <v>71</v>
      </c>
      <c r="F35045">
        <v>10870131</v>
      </c>
      <c r="G35045" t="s">
        <v>22866</v>
      </c>
      <c r="H35045" s="21">
        <v>500</v>
      </c>
    </row>
    <row r="35046" spans="1:8" customFormat="1" x14ac:dyDescent="0.25">
      <c r="A35046" t="str">
        <f>"3727636"</f>
        <v>3727636</v>
      </c>
      <c r="B35046" t="s">
        <v>4162</v>
      </c>
      <c r="C35046" t="s">
        <v>239</v>
      </c>
      <c r="D35046" s="21" t="s">
        <v>34</v>
      </c>
      <c r="E35046" s="21" t="s">
        <v>254</v>
      </c>
      <c r="F35046">
        <v>4370615</v>
      </c>
      <c r="G35046" t="s">
        <v>7437</v>
      </c>
      <c r="H35046" s="21">
        <v>500</v>
      </c>
    </row>
    <row r="35047" spans="1:8" customFormat="1" x14ac:dyDescent="0.25">
      <c r="A35047" t="str">
        <f>"4514396"</f>
        <v>4514396</v>
      </c>
      <c r="B35047" t="s">
        <v>4029</v>
      </c>
      <c r="C35047" t="s">
        <v>621</v>
      </c>
      <c r="D35047" s="21" t="s">
        <v>34</v>
      </c>
      <c r="E35047" s="21" t="s">
        <v>71</v>
      </c>
      <c r="F35047">
        <v>4450118</v>
      </c>
      <c r="G35047" t="s">
        <v>20341</v>
      </c>
      <c r="H35047" s="21">
        <v>500</v>
      </c>
    </row>
    <row r="35048" spans="1:8" customFormat="1" x14ac:dyDescent="0.25">
      <c r="A35048" t="str">
        <f>"4529618"</f>
        <v>4529618</v>
      </c>
      <c r="B35048" t="s">
        <v>24283</v>
      </c>
      <c r="C35048" t="s">
        <v>267</v>
      </c>
      <c r="D35048" s="21" t="s">
        <v>34</v>
      </c>
      <c r="E35048" s="21" t="s">
        <v>71</v>
      </c>
      <c r="F35048">
        <v>4450763</v>
      </c>
      <c r="G35048" t="s">
        <v>19058</v>
      </c>
      <c r="H35048" s="21">
        <v>500</v>
      </c>
    </row>
    <row r="35049" spans="1:8" customFormat="1" x14ac:dyDescent="0.25">
      <c r="A35049" t="str">
        <f>"6024340"</f>
        <v>6024340</v>
      </c>
      <c r="B35049" t="s">
        <v>28971</v>
      </c>
      <c r="C35049" t="s">
        <v>288</v>
      </c>
      <c r="D35049" s="21" t="s">
        <v>34</v>
      </c>
      <c r="E35049" s="21" t="s">
        <v>71</v>
      </c>
      <c r="F35049">
        <v>7600130</v>
      </c>
      <c r="G35049" t="s">
        <v>11080</v>
      </c>
      <c r="H35049" s="21">
        <v>500</v>
      </c>
    </row>
    <row r="35050" spans="1:8" customFormat="1" x14ac:dyDescent="0.25">
      <c r="A35050" t="str">
        <f>"5958326"</f>
        <v>5958326</v>
      </c>
      <c r="B35050" t="s">
        <v>23739</v>
      </c>
      <c r="C35050" t="s">
        <v>2232</v>
      </c>
      <c r="D35050" s="21" t="s">
        <v>34</v>
      </c>
      <c r="E35050" s="21" t="s">
        <v>71</v>
      </c>
      <c r="F35050">
        <v>7590063</v>
      </c>
      <c r="G35050" t="s">
        <v>3426</v>
      </c>
      <c r="H35050" s="21">
        <v>500</v>
      </c>
    </row>
    <row r="35051" spans="1:8" customFormat="1" x14ac:dyDescent="0.25">
      <c r="A35051" t="str">
        <f>"621442"</f>
        <v>621442</v>
      </c>
      <c r="B35051" t="s">
        <v>20526</v>
      </c>
      <c r="C35051" t="s">
        <v>817</v>
      </c>
      <c r="D35051" s="21" t="s">
        <v>34</v>
      </c>
      <c r="E35051" s="21" t="s">
        <v>71</v>
      </c>
      <c r="F35051">
        <v>7620140</v>
      </c>
      <c r="G35051" t="s">
        <v>7454</v>
      </c>
      <c r="H35051" s="21">
        <v>500</v>
      </c>
    </row>
    <row r="35052" spans="1:8" customFormat="1" x14ac:dyDescent="0.25">
      <c r="A35052" t="str">
        <f>"3535892"</f>
        <v>3535892</v>
      </c>
      <c r="B35052" t="s">
        <v>24715</v>
      </c>
      <c r="C35052" t="s">
        <v>486</v>
      </c>
      <c r="D35052" s="21" t="s">
        <v>34</v>
      </c>
      <c r="E35052" s="21" t="s">
        <v>35</v>
      </c>
      <c r="F35052">
        <v>3350025</v>
      </c>
      <c r="G35052" t="s">
        <v>11920</v>
      </c>
      <c r="H35052" s="21">
        <v>500</v>
      </c>
    </row>
    <row r="35053" spans="1:8" customFormat="1" x14ac:dyDescent="0.25">
      <c r="A35053" t="str">
        <f>"692045"</f>
        <v>692045</v>
      </c>
      <c r="B35053" t="s">
        <v>23366</v>
      </c>
      <c r="C35053" t="s">
        <v>3648</v>
      </c>
      <c r="D35053" s="21" t="s">
        <v>34</v>
      </c>
      <c r="E35053" s="21" t="s">
        <v>6185</v>
      </c>
      <c r="F35053">
        <v>1690211</v>
      </c>
      <c r="G35053" t="s">
        <v>9152</v>
      </c>
      <c r="H35053" s="21">
        <v>500</v>
      </c>
    </row>
    <row r="35054" spans="1:8" customFormat="1" x14ac:dyDescent="0.25">
      <c r="A35054" t="str">
        <f>"595569"</f>
        <v>595569</v>
      </c>
      <c r="B35054" t="s">
        <v>23564</v>
      </c>
      <c r="C35054" t="s">
        <v>822</v>
      </c>
      <c r="D35054" s="21" t="s">
        <v>34</v>
      </c>
      <c r="E35054" s="21" t="s">
        <v>1089</v>
      </c>
      <c r="F35054">
        <v>7590231</v>
      </c>
      <c r="G35054" t="s">
        <v>207</v>
      </c>
      <c r="H35054" s="21">
        <v>500</v>
      </c>
    </row>
    <row r="35055" spans="1:8" customFormat="1" x14ac:dyDescent="0.25">
      <c r="A35055" t="str">
        <f>"5326910"</f>
        <v>5326910</v>
      </c>
      <c r="B35055" t="s">
        <v>21441</v>
      </c>
      <c r="C35055" t="s">
        <v>98</v>
      </c>
      <c r="D35055" s="21" t="s">
        <v>34</v>
      </c>
      <c r="E35055" s="21" t="s">
        <v>35</v>
      </c>
      <c r="F35055">
        <v>12530008</v>
      </c>
      <c r="G35055" t="s">
        <v>7920</v>
      </c>
      <c r="H35055" s="21">
        <v>500</v>
      </c>
    </row>
    <row r="35056" spans="1:8" customFormat="1" x14ac:dyDescent="0.25">
      <c r="A35056" t="str">
        <f>"7627984"</f>
        <v>7627984</v>
      </c>
      <c r="B35056" t="s">
        <v>22178</v>
      </c>
      <c r="C35056" t="s">
        <v>55</v>
      </c>
      <c r="D35056" s="21" t="s">
        <v>34</v>
      </c>
      <c r="E35056" s="21" t="s">
        <v>71</v>
      </c>
      <c r="F35056">
        <v>9760136</v>
      </c>
      <c r="G35056" t="s">
        <v>5035</v>
      </c>
      <c r="H35056" s="21">
        <v>500</v>
      </c>
    </row>
    <row r="35057" spans="1:8" customFormat="1" x14ac:dyDescent="0.25">
      <c r="A35057" t="str">
        <f>"762188"</f>
        <v>762188</v>
      </c>
      <c r="B35057" t="s">
        <v>461</v>
      </c>
      <c r="C35057" t="s">
        <v>381</v>
      </c>
      <c r="D35057" s="21" t="s">
        <v>34</v>
      </c>
      <c r="E35057" s="21" t="s">
        <v>1089</v>
      </c>
      <c r="F35057">
        <v>9760168</v>
      </c>
      <c r="G35057" t="s">
        <v>179</v>
      </c>
      <c r="H35057" s="21">
        <v>500</v>
      </c>
    </row>
    <row r="35058" spans="1:8" customFormat="1" x14ac:dyDescent="0.25">
      <c r="A35058" t="str">
        <f>"2517548"</f>
        <v>2517548</v>
      </c>
      <c r="B35058" t="s">
        <v>28972</v>
      </c>
      <c r="C35058" t="s">
        <v>62</v>
      </c>
      <c r="D35058" s="21" t="s">
        <v>34</v>
      </c>
      <c r="E35058" s="21" t="s">
        <v>35</v>
      </c>
      <c r="F35058">
        <v>2250224</v>
      </c>
      <c r="G35058" t="s">
        <v>9217</v>
      </c>
      <c r="H35058" s="21">
        <v>500</v>
      </c>
    </row>
    <row r="35059" spans="1:8" customFormat="1" x14ac:dyDescent="0.25">
      <c r="A35059" t="str">
        <f>"6013738"</f>
        <v>6013738</v>
      </c>
      <c r="B35059" t="s">
        <v>2082</v>
      </c>
      <c r="C35059" t="s">
        <v>239</v>
      </c>
      <c r="D35059" s="21" t="s">
        <v>34</v>
      </c>
      <c r="E35059" s="21" t="s">
        <v>35</v>
      </c>
      <c r="F35059">
        <v>11340007</v>
      </c>
      <c r="G35059" t="s">
        <v>2278</v>
      </c>
      <c r="H35059" s="21">
        <v>500</v>
      </c>
    </row>
    <row r="35060" spans="1:8" customFormat="1" x14ac:dyDescent="0.25">
      <c r="A35060" t="str">
        <f>"2512973"</f>
        <v>2512973</v>
      </c>
      <c r="B35060" t="s">
        <v>23823</v>
      </c>
      <c r="C35060" t="s">
        <v>1199</v>
      </c>
      <c r="D35060" s="21" t="s">
        <v>34</v>
      </c>
      <c r="E35060" s="21" t="s">
        <v>71</v>
      </c>
      <c r="F35060">
        <v>2250192</v>
      </c>
      <c r="G35060" t="s">
        <v>14058</v>
      </c>
      <c r="H35060" s="21">
        <v>500</v>
      </c>
    </row>
    <row r="35061" spans="1:8" customFormat="1" x14ac:dyDescent="0.25">
      <c r="A35061" t="str">
        <f>"6950286"</f>
        <v>6950286</v>
      </c>
      <c r="B35061" t="s">
        <v>5025</v>
      </c>
      <c r="C35061" t="s">
        <v>267</v>
      </c>
      <c r="D35061" s="21" t="s">
        <v>34</v>
      </c>
      <c r="E35061" s="21" t="s">
        <v>254</v>
      </c>
      <c r="F35061">
        <v>1690090</v>
      </c>
      <c r="G35061" t="s">
        <v>6286</v>
      </c>
      <c r="H35061" s="21">
        <v>500</v>
      </c>
    </row>
    <row r="35062" spans="1:8" customFormat="1" x14ac:dyDescent="0.25">
      <c r="A35062" t="str">
        <f>"2214876"</f>
        <v>2214876</v>
      </c>
      <c r="B35062" t="s">
        <v>24738</v>
      </c>
      <c r="C35062" t="s">
        <v>415</v>
      </c>
      <c r="D35062" s="21" t="s">
        <v>34</v>
      </c>
      <c r="E35062" s="21" t="s">
        <v>71</v>
      </c>
      <c r="F35062">
        <v>3220030</v>
      </c>
      <c r="G35062" t="s">
        <v>26821</v>
      </c>
      <c r="H35062" s="21">
        <v>500</v>
      </c>
    </row>
    <row r="35063" spans="1:8" customFormat="1" x14ac:dyDescent="0.25">
      <c r="A35063" t="str">
        <f>"3825094"</f>
        <v>3825094</v>
      </c>
      <c r="B35063" t="s">
        <v>22810</v>
      </c>
      <c r="C35063" t="s">
        <v>156</v>
      </c>
      <c r="D35063" s="21" t="s">
        <v>34</v>
      </c>
      <c r="E35063" s="21" t="s">
        <v>71</v>
      </c>
      <c r="F35063">
        <v>1380199</v>
      </c>
      <c r="G35063" t="s">
        <v>321</v>
      </c>
      <c r="H35063" s="21">
        <v>500</v>
      </c>
    </row>
    <row r="35064" spans="1:8" customFormat="1" x14ac:dyDescent="0.25">
      <c r="A35064" t="str">
        <f>"4933227"</f>
        <v>4933227</v>
      </c>
      <c r="B35064" t="s">
        <v>28973</v>
      </c>
      <c r="C35064" t="s">
        <v>267</v>
      </c>
      <c r="D35064" s="21" t="s">
        <v>34</v>
      </c>
      <c r="E35064" s="21" t="s">
        <v>71</v>
      </c>
      <c r="F35064">
        <v>12490067</v>
      </c>
      <c r="G35064" t="s">
        <v>7654</v>
      </c>
      <c r="H35064" s="21">
        <v>500</v>
      </c>
    </row>
    <row r="35065" spans="1:8" customFormat="1" x14ac:dyDescent="0.25">
      <c r="A35065" t="str">
        <f>"2813554"</f>
        <v>2813554</v>
      </c>
      <c r="B35065" t="s">
        <v>28974</v>
      </c>
      <c r="C35065" t="s">
        <v>1025</v>
      </c>
      <c r="D35065" s="21" t="s">
        <v>34</v>
      </c>
      <c r="E35065" s="21" t="s">
        <v>35</v>
      </c>
      <c r="F35065">
        <v>4280048</v>
      </c>
      <c r="G35065" t="s">
        <v>3053</v>
      </c>
      <c r="H35065" s="21">
        <v>500</v>
      </c>
    </row>
    <row r="35066" spans="1:8" customFormat="1" x14ac:dyDescent="0.25">
      <c r="A35066" t="str">
        <f>"1423788"</f>
        <v>1423788</v>
      </c>
      <c r="B35066" t="s">
        <v>12292</v>
      </c>
      <c r="C35066" t="s">
        <v>469</v>
      </c>
      <c r="D35066" s="21" t="s">
        <v>34</v>
      </c>
      <c r="E35066" s="21" t="s">
        <v>35</v>
      </c>
      <c r="F35066">
        <v>9140054</v>
      </c>
      <c r="G35066" t="s">
        <v>3300</v>
      </c>
      <c r="H35066" s="21">
        <v>500</v>
      </c>
    </row>
    <row r="35067" spans="1:8" customFormat="1" x14ac:dyDescent="0.25">
      <c r="A35067" t="str">
        <f>"3536102"</f>
        <v>3536102</v>
      </c>
      <c r="B35067" t="s">
        <v>8458</v>
      </c>
      <c r="C35067" t="s">
        <v>239</v>
      </c>
      <c r="D35067" s="21" t="s">
        <v>34</v>
      </c>
      <c r="E35067" s="21" t="s">
        <v>71</v>
      </c>
      <c r="F35067">
        <v>3350044</v>
      </c>
      <c r="G35067" t="s">
        <v>12041</v>
      </c>
      <c r="H35067" s="21">
        <v>500</v>
      </c>
    </row>
    <row r="35068" spans="1:8" customFormat="1" x14ac:dyDescent="0.25">
      <c r="A35068" t="str">
        <f>"804884"</f>
        <v>804884</v>
      </c>
      <c r="B35068" t="s">
        <v>11142</v>
      </c>
      <c r="C35068" t="s">
        <v>236</v>
      </c>
      <c r="D35068" s="21" t="s">
        <v>34</v>
      </c>
      <c r="E35068" s="21" t="s">
        <v>254</v>
      </c>
      <c r="F35068">
        <v>7800062</v>
      </c>
      <c r="G35068" t="s">
        <v>5176</v>
      </c>
      <c r="H35068" s="21">
        <v>500</v>
      </c>
    </row>
    <row r="35069" spans="1:8" customFormat="1" x14ac:dyDescent="0.25">
      <c r="A35069" t="str">
        <f>"9147101"</f>
        <v>9147101</v>
      </c>
      <c r="B35069" t="s">
        <v>3947</v>
      </c>
      <c r="C35069" t="s">
        <v>28975</v>
      </c>
      <c r="D35069" s="21" t="s">
        <v>34</v>
      </c>
      <c r="E35069" s="21" t="s">
        <v>71</v>
      </c>
      <c r="F35069">
        <v>8910165</v>
      </c>
      <c r="G35069" t="s">
        <v>3184</v>
      </c>
      <c r="H35069" s="21">
        <v>500</v>
      </c>
    </row>
    <row r="35070" spans="1:8" customFormat="1" x14ac:dyDescent="0.25">
      <c r="A35070" t="str">
        <f>"4431316"</f>
        <v>4431316</v>
      </c>
      <c r="B35070" t="s">
        <v>3406</v>
      </c>
      <c r="C35070" t="s">
        <v>2232</v>
      </c>
      <c r="D35070" s="21" t="s">
        <v>34</v>
      </c>
      <c r="E35070" s="21" t="s">
        <v>254</v>
      </c>
      <c r="F35070">
        <v>12440151</v>
      </c>
      <c r="G35070" t="s">
        <v>1327</v>
      </c>
      <c r="H35070" s="21">
        <v>500</v>
      </c>
    </row>
    <row r="35071" spans="1:8" customFormat="1" x14ac:dyDescent="0.25">
      <c r="A35071" t="str">
        <f>"9146813"</f>
        <v>9146813</v>
      </c>
      <c r="B35071" t="s">
        <v>6104</v>
      </c>
      <c r="C35071" t="s">
        <v>28976</v>
      </c>
      <c r="D35071" s="21" t="s">
        <v>34</v>
      </c>
      <c r="E35071" s="21" t="s">
        <v>35</v>
      </c>
      <c r="F35071">
        <v>8910442</v>
      </c>
      <c r="G35071" t="s">
        <v>1336</v>
      </c>
      <c r="H35071" s="21">
        <v>500</v>
      </c>
    </row>
    <row r="35072" spans="1:8" customFormat="1" x14ac:dyDescent="0.25">
      <c r="A35072" t="str">
        <f>"0614277"</f>
        <v>0614277</v>
      </c>
      <c r="B35072" t="s">
        <v>28977</v>
      </c>
      <c r="C35072" t="s">
        <v>253</v>
      </c>
      <c r="D35072" s="21" t="s">
        <v>34</v>
      </c>
      <c r="E35072" s="21" t="s">
        <v>1089</v>
      </c>
      <c r="F35072">
        <v>13060072</v>
      </c>
      <c r="G35072" t="s">
        <v>6685</v>
      </c>
      <c r="H35072" s="21">
        <v>500</v>
      </c>
    </row>
    <row r="35073" spans="1:8" customFormat="1" x14ac:dyDescent="0.25">
      <c r="A35073" t="str">
        <f>"668580"</f>
        <v>668580</v>
      </c>
      <c r="B35073" t="s">
        <v>7781</v>
      </c>
      <c r="C35073" t="s">
        <v>462</v>
      </c>
      <c r="D35073" s="21" t="s">
        <v>34</v>
      </c>
      <c r="E35073" s="21" t="s">
        <v>71</v>
      </c>
      <c r="F35073">
        <v>11660008</v>
      </c>
      <c r="G35073" t="s">
        <v>16161</v>
      </c>
      <c r="H35073" s="21">
        <v>500</v>
      </c>
    </row>
    <row r="35074" spans="1:8" customFormat="1" x14ac:dyDescent="0.25">
      <c r="A35074" t="str">
        <f>"6950787"</f>
        <v>6950787</v>
      </c>
      <c r="B35074" t="s">
        <v>28978</v>
      </c>
      <c r="C35074" t="s">
        <v>40</v>
      </c>
      <c r="D35074" s="21" t="s">
        <v>34</v>
      </c>
      <c r="E35074" s="21" t="s">
        <v>71</v>
      </c>
      <c r="F35074">
        <v>1690040</v>
      </c>
      <c r="G35074" t="s">
        <v>15960</v>
      </c>
      <c r="H35074" s="21">
        <v>500</v>
      </c>
    </row>
    <row r="35075" spans="1:8" customFormat="1" x14ac:dyDescent="0.25">
      <c r="A35075" t="str">
        <f>"2928425"</f>
        <v>2928425</v>
      </c>
      <c r="B35075" t="s">
        <v>1661</v>
      </c>
      <c r="C35075" t="s">
        <v>288</v>
      </c>
      <c r="D35075" s="21" t="s">
        <v>34</v>
      </c>
      <c r="E35075" s="21" t="s">
        <v>35</v>
      </c>
      <c r="F35075">
        <v>3290235</v>
      </c>
      <c r="G35075" t="s">
        <v>12128</v>
      </c>
      <c r="H35075" s="21">
        <v>500</v>
      </c>
    </row>
    <row r="35076" spans="1:8" customFormat="1" x14ac:dyDescent="0.25">
      <c r="A35076" t="str">
        <f>"4516592"</f>
        <v>4516592</v>
      </c>
      <c r="B35076" t="s">
        <v>577</v>
      </c>
      <c r="C35076" t="s">
        <v>4842</v>
      </c>
      <c r="D35076" s="21" t="s">
        <v>34</v>
      </c>
      <c r="E35076" s="21" t="s">
        <v>1089</v>
      </c>
      <c r="F35076">
        <v>4450748</v>
      </c>
      <c r="G35076" t="s">
        <v>22902</v>
      </c>
      <c r="H35076" s="21">
        <v>500</v>
      </c>
    </row>
    <row r="35077" spans="1:8" customFormat="1" x14ac:dyDescent="0.25">
      <c r="A35077" t="str">
        <f>"6725947"</f>
        <v>6725947</v>
      </c>
      <c r="B35077" t="s">
        <v>890</v>
      </c>
      <c r="C35077" t="s">
        <v>204</v>
      </c>
      <c r="D35077" s="21" t="s">
        <v>34</v>
      </c>
      <c r="E35077" s="21" t="s">
        <v>35</v>
      </c>
      <c r="F35077">
        <v>6670183</v>
      </c>
      <c r="G35077" t="s">
        <v>670</v>
      </c>
      <c r="H35077" s="21">
        <v>500</v>
      </c>
    </row>
    <row r="35078" spans="1:8" customFormat="1" x14ac:dyDescent="0.25">
      <c r="A35078" t="str">
        <f>"5961136"</f>
        <v>5961136</v>
      </c>
      <c r="B35078" t="s">
        <v>1527</v>
      </c>
      <c r="C35078" t="s">
        <v>415</v>
      </c>
      <c r="D35078" s="21" t="s">
        <v>34</v>
      </c>
      <c r="E35078" s="21" t="s">
        <v>254</v>
      </c>
      <c r="F35078">
        <v>7590114</v>
      </c>
      <c r="G35078" t="s">
        <v>6332</v>
      </c>
      <c r="H35078" s="21">
        <v>500</v>
      </c>
    </row>
    <row r="35079" spans="1:8" customFormat="1" x14ac:dyDescent="0.25">
      <c r="A35079" t="str">
        <f>"5974582"</f>
        <v>5974582</v>
      </c>
      <c r="B35079" t="s">
        <v>23342</v>
      </c>
      <c r="C35079" t="s">
        <v>812</v>
      </c>
      <c r="D35079" s="21" t="s">
        <v>34</v>
      </c>
      <c r="E35079" s="21" t="s">
        <v>71</v>
      </c>
      <c r="F35079">
        <v>7590392</v>
      </c>
      <c r="G35079" t="s">
        <v>154</v>
      </c>
      <c r="H35079" s="21">
        <v>500</v>
      </c>
    </row>
    <row r="35080" spans="1:8" customFormat="1" x14ac:dyDescent="0.25">
      <c r="A35080" t="str">
        <f>"442546"</f>
        <v>442546</v>
      </c>
      <c r="B35080" t="s">
        <v>1722</v>
      </c>
      <c r="C35080" t="s">
        <v>267</v>
      </c>
      <c r="D35080" s="21" t="s">
        <v>34</v>
      </c>
      <c r="E35080" s="21" t="s">
        <v>1089</v>
      </c>
      <c r="F35080">
        <v>12440084</v>
      </c>
      <c r="G35080" t="s">
        <v>1014</v>
      </c>
      <c r="H35080" s="21">
        <v>500</v>
      </c>
    </row>
    <row r="35081" spans="1:8" customFormat="1" x14ac:dyDescent="0.25">
      <c r="A35081" t="str">
        <f>"5981533"</f>
        <v>5981533</v>
      </c>
      <c r="B35081" t="s">
        <v>3930</v>
      </c>
      <c r="C35081" t="s">
        <v>156</v>
      </c>
      <c r="D35081" s="21" t="s">
        <v>34</v>
      </c>
      <c r="E35081" s="21" t="s">
        <v>254</v>
      </c>
      <c r="F35081">
        <v>7590122</v>
      </c>
      <c r="G35081" t="s">
        <v>5608</v>
      </c>
      <c r="H35081" s="21">
        <v>500</v>
      </c>
    </row>
    <row r="35082" spans="1:8" customFormat="1" x14ac:dyDescent="0.25">
      <c r="A35082" t="str">
        <f>"9147189"</f>
        <v>9147189</v>
      </c>
      <c r="B35082" t="s">
        <v>28979</v>
      </c>
      <c r="C35082" t="s">
        <v>156</v>
      </c>
      <c r="D35082" s="21" t="s">
        <v>34</v>
      </c>
      <c r="E35082" s="21" t="s">
        <v>254</v>
      </c>
      <c r="F35082">
        <v>8911206</v>
      </c>
      <c r="G35082" t="s">
        <v>17661</v>
      </c>
      <c r="H35082" s="21">
        <v>500</v>
      </c>
    </row>
    <row r="35083" spans="1:8" customFormat="1" x14ac:dyDescent="0.25">
      <c r="A35083" t="str">
        <f>"9145610"</f>
        <v>9145610</v>
      </c>
      <c r="B35083" t="s">
        <v>23365</v>
      </c>
      <c r="C35083" t="s">
        <v>1025</v>
      </c>
      <c r="D35083" s="21" t="s">
        <v>34</v>
      </c>
      <c r="E35083" s="21" t="s">
        <v>71</v>
      </c>
      <c r="F35083">
        <v>8910438</v>
      </c>
      <c r="G35083" t="s">
        <v>761</v>
      </c>
      <c r="H35083" s="21">
        <v>500</v>
      </c>
    </row>
    <row r="35084" spans="1:8" customFormat="1" x14ac:dyDescent="0.25">
      <c r="A35084" t="str">
        <f>"2517655"</f>
        <v>2517655</v>
      </c>
      <c r="B35084" t="s">
        <v>28980</v>
      </c>
      <c r="C35084" t="s">
        <v>209</v>
      </c>
      <c r="D35084" s="21" t="s">
        <v>34</v>
      </c>
      <c r="E35084" s="21" t="s">
        <v>71</v>
      </c>
      <c r="F35084">
        <v>2250001</v>
      </c>
      <c r="G35084" t="s">
        <v>424</v>
      </c>
      <c r="H35084" s="21">
        <v>500</v>
      </c>
    </row>
    <row r="35085" spans="1:8" customFormat="1" x14ac:dyDescent="0.25">
      <c r="A35085" t="str">
        <f>"5950168"</f>
        <v>5950168</v>
      </c>
      <c r="B35085" t="s">
        <v>22773</v>
      </c>
      <c r="C35085" t="s">
        <v>267</v>
      </c>
      <c r="D35085" s="21" t="s">
        <v>34</v>
      </c>
      <c r="E35085" s="21" t="s">
        <v>254</v>
      </c>
      <c r="F35085">
        <v>7590218</v>
      </c>
      <c r="G35085" t="s">
        <v>26769</v>
      </c>
      <c r="H35085" s="21">
        <v>500</v>
      </c>
    </row>
    <row r="35086" spans="1:8" customFormat="1" x14ac:dyDescent="0.25">
      <c r="A35086" t="str">
        <f>"7643244"</f>
        <v>7643244</v>
      </c>
      <c r="B35086" t="s">
        <v>28981</v>
      </c>
      <c r="C35086" t="s">
        <v>156</v>
      </c>
      <c r="D35086" s="21" t="s">
        <v>34</v>
      </c>
      <c r="E35086" s="21" t="s">
        <v>35</v>
      </c>
      <c r="F35086">
        <v>9760315</v>
      </c>
      <c r="G35086" t="s">
        <v>12345</v>
      </c>
      <c r="H35086" s="21">
        <v>500</v>
      </c>
    </row>
    <row r="35087" spans="1:8" customFormat="1" x14ac:dyDescent="0.25">
      <c r="A35087" t="str">
        <f>"7852240"</f>
        <v>7852240</v>
      </c>
      <c r="B35087" t="s">
        <v>16310</v>
      </c>
      <c r="C35087" t="s">
        <v>236</v>
      </c>
      <c r="D35087" s="21" t="s">
        <v>34</v>
      </c>
      <c r="E35087" s="21" t="s">
        <v>71</v>
      </c>
      <c r="F35087">
        <v>8780002</v>
      </c>
      <c r="G35087" t="s">
        <v>2196</v>
      </c>
      <c r="H35087" s="21">
        <v>500</v>
      </c>
    </row>
    <row r="35088" spans="1:8" customFormat="1" x14ac:dyDescent="0.25">
      <c r="A35088" t="str">
        <f>"242406"</f>
        <v>242406</v>
      </c>
      <c r="B35088" t="s">
        <v>23508</v>
      </c>
      <c r="C35088" t="s">
        <v>33</v>
      </c>
      <c r="D35088" s="21" t="s">
        <v>34</v>
      </c>
      <c r="E35088" s="21" t="s">
        <v>71</v>
      </c>
      <c r="F35088">
        <v>10240003</v>
      </c>
      <c r="G35088" t="s">
        <v>2940</v>
      </c>
      <c r="H35088" s="21">
        <v>500</v>
      </c>
    </row>
    <row r="35089" spans="1:8" customFormat="1" x14ac:dyDescent="0.25">
      <c r="A35089" t="str">
        <f>"7523970"</f>
        <v>7523970</v>
      </c>
      <c r="B35089" t="s">
        <v>3563</v>
      </c>
      <c r="C35089" t="s">
        <v>139</v>
      </c>
      <c r="D35089" s="21" t="s">
        <v>34</v>
      </c>
      <c r="E35089" s="21" t="s">
        <v>71</v>
      </c>
      <c r="F35089">
        <v>8751061</v>
      </c>
      <c r="G35089" t="s">
        <v>26628</v>
      </c>
      <c r="H35089" s="21">
        <v>500</v>
      </c>
    </row>
    <row r="35090" spans="1:8" customFormat="1" x14ac:dyDescent="0.25">
      <c r="A35090" t="str">
        <f>"6012399"</f>
        <v>6012399</v>
      </c>
      <c r="B35090" t="s">
        <v>650</v>
      </c>
      <c r="C35090" t="s">
        <v>263</v>
      </c>
      <c r="D35090" s="21" t="s">
        <v>34</v>
      </c>
      <c r="E35090" s="21" t="s">
        <v>1089</v>
      </c>
      <c r="F35090">
        <v>7600015</v>
      </c>
      <c r="G35090" t="s">
        <v>8343</v>
      </c>
      <c r="H35090" s="21">
        <v>500</v>
      </c>
    </row>
    <row r="35091" spans="1:8" customFormat="1" x14ac:dyDescent="0.25">
      <c r="A35091" t="str">
        <f>"5317328"</f>
        <v>5317328</v>
      </c>
      <c r="B35091" t="s">
        <v>14469</v>
      </c>
      <c r="C35091" t="s">
        <v>23242</v>
      </c>
      <c r="D35091" s="21" t="s">
        <v>34</v>
      </c>
      <c r="E35091" s="21" t="s">
        <v>6185</v>
      </c>
      <c r="F35091">
        <v>12530098</v>
      </c>
      <c r="G35091" t="s">
        <v>8852</v>
      </c>
      <c r="H35091" s="21">
        <v>500</v>
      </c>
    </row>
    <row r="35092" spans="1:8" customFormat="1" x14ac:dyDescent="0.25">
      <c r="A35092" t="str">
        <f>"6310062"</f>
        <v>6310062</v>
      </c>
      <c r="B35092" t="s">
        <v>24750</v>
      </c>
      <c r="C35092" t="s">
        <v>171</v>
      </c>
      <c r="D35092" s="21" t="s">
        <v>34</v>
      </c>
      <c r="E35092" s="21" t="s">
        <v>254</v>
      </c>
      <c r="F35092">
        <v>1630289</v>
      </c>
      <c r="G35092" t="s">
        <v>8900</v>
      </c>
      <c r="H35092" s="21">
        <v>500</v>
      </c>
    </row>
    <row r="35093" spans="1:8" customFormat="1" x14ac:dyDescent="0.25">
      <c r="A35093" t="str">
        <f>"1611332"</f>
        <v>1611332</v>
      </c>
      <c r="B35093" t="s">
        <v>2023</v>
      </c>
      <c r="C35093" t="s">
        <v>2520</v>
      </c>
      <c r="D35093" s="21" t="s">
        <v>34</v>
      </c>
      <c r="E35093" s="21" t="s">
        <v>254</v>
      </c>
      <c r="F35093">
        <v>10160237</v>
      </c>
      <c r="G35093" t="s">
        <v>8818</v>
      </c>
      <c r="H35093" s="21">
        <v>500</v>
      </c>
    </row>
    <row r="35094" spans="1:8" customFormat="1" x14ac:dyDescent="0.25">
      <c r="A35094" t="str">
        <f>"0615185"</f>
        <v>0615185</v>
      </c>
      <c r="B35094" t="s">
        <v>22885</v>
      </c>
      <c r="C35094" t="s">
        <v>11347</v>
      </c>
      <c r="D35094" s="21" t="s">
        <v>34</v>
      </c>
      <c r="E35094" s="21" t="s">
        <v>71</v>
      </c>
      <c r="F35094">
        <v>13060029</v>
      </c>
      <c r="G35094" t="s">
        <v>1345</v>
      </c>
      <c r="H35094" s="21">
        <v>500</v>
      </c>
    </row>
    <row r="35095" spans="1:8" customFormat="1" x14ac:dyDescent="0.25">
      <c r="A35095" t="str">
        <f>"3423345"</f>
        <v>3423345</v>
      </c>
      <c r="B35095" t="s">
        <v>1422</v>
      </c>
      <c r="C35095" t="s">
        <v>22736</v>
      </c>
      <c r="D35095" s="21" t="s">
        <v>34</v>
      </c>
      <c r="E35095" s="21" t="s">
        <v>35</v>
      </c>
      <c r="F35095">
        <v>11340069</v>
      </c>
      <c r="G35095" t="s">
        <v>23488</v>
      </c>
      <c r="H35095" s="21">
        <v>500</v>
      </c>
    </row>
    <row r="35096" spans="1:8" customFormat="1" x14ac:dyDescent="0.25">
      <c r="A35096" t="str">
        <f>"1317665"</f>
        <v>1317665</v>
      </c>
      <c r="B35096" t="s">
        <v>28982</v>
      </c>
      <c r="C35096" t="s">
        <v>209</v>
      </c>
      <c r="D35096" s="21" t="s">
        <v>34</v>
      </c>
      <c r="E35096" s="21" t="s">
        <v>1089</v>
      </c>
      <c r="F35096">
        <v>13130162</v>
      </c>
      <c r="G35096" t="s">
        <v>13411</v>
      </c>
      <c r="H35096" s="21">
        <v>500</v>
      </c>
    </row>
    <row r="35097" spans="1:8" customFormat="1" x14ac:dyDescent="0.25">
      <c r="A35097" t="str">
        <f>"702365"</f>
        <v>702365</v>
      </c>
      <c r="B35097" t="s">
        <v>5751</v>
      </c>
      <c r="C35097" t="s">
        <v>124</v>
      </c>
      <c r="D35097" s="21" t="s">
        <v>34</v>
      </c>
      <c r="E35097" s="21" t="s">
        <v>35</v>
      </c>
      <c r="F35097">
        <v>2700015</v>
      </c>
      <c r="G35097" t="s">
        <v>9856</v>
      </c>
      <c r="H35097" s="21">
        <v>500</v>
      </c>
    </row>
    <row r="35098" spans="1:8" customFormat="1" x14ac:dyDescent="0.25">
      <c r="A35098" t="str">
        <f>"4113244"</f>
        <v>4113244</v>
      </c>
      <c r="B35098" t="s">
        <v>3587</v>
      </c>
      <c r="C35098" t="s">
        <v>55</v>
      </c>
      <c r="D35098" s="21" t="s">
        <v>34</v>
      </c>
      <c r="E35098" s="21" t="s">
        <v>71</v>
      </c>
      <c r="F35098">
        <v>4410083</v>
      </c>
      <c r="G35098" t="s">
        <v>2333</v>
      </c>
      <c r="H35098" s="21">
        <v>500</v>
      </c>
    </row>
    <row r="35099" spans="1:8" customFormat="1" x14ac:dyDescent="0.25">
      <c r="A35099" t="str">
        <f>"5983180"</f>
        <v>5983180</v>
      </c>
      <c r="B35099" t="s">
        <v>28983</v>
      </c>
      <c r="C35099" t="s">
        <v>174</v>
      </c>
      <c r="D35099" s="21" t="s">
        <v>34</v>
      </c>
      <c r="E35099" s="21" t="s">
        <v>35</v>
      </c>
      <c r="F35099">
        <v>7590416</v>
      </c>
      <c r="G35099" t="s">
        <v>16746</v>
      </c>
      <c r="H35099" s="21">
        <v>500</v>
      </c>
    </row>
    <row r="35100" spans="1:8" customFormat="1" x14ac:dyDescent="0.25">
      <c r="A35100" t="str">
        <f>"9525413"</f>
        <v>9525413</v>
      </c>
      <c r="B35100" t="s">
        <v>23175</v>
      </c>
      <c r="C35100" t="s">
        <v>40</v>
      </c>
      <c r="D35100" s="21" t="s">
        <v>34</v>
      </c>
      <c r="E35100" s="21" t="s">
        <v>71</v>
      </c>
      <c r="F35100">
        <v>8950435</v>
      </c>
      <c r="G35100" t="s">
        <v>6404</v>
      </c>
      <c r="H35100" s="21">
        <v>500</v>
      </c>
    </row>
    <row r="35101" spans="1:8" customFormat="1" x14ac:dyDescent="0.25">
      <c r="A35101" t="str">
        <f>"9242051"</f>
        <v>9242051</v>
      </c>
      <c r="B35101" t="s">
        <v>21806</v>
      </c>
      <c r="C35101" t="s">
        <v>269</v>
      </c>
      <c r="D35101" s="21" t="s">
        <v>34</v>
      </c>
      <c r="E35101" s="21" t="s">
        <v>35</v>
      </c>
      <c r="F35101">
        <v>8921164</v>
      </c>
      <c r="G35101" t="s">
        <v>5203</v>
      </c>
      <c r="H35101" s="21">
        <v>500</v>
      </c>
    </row>
    <row r="35102" spans="1:8" customFormat="1" x14ac:dyDescent="0.25">
      <c r="A35102" t="str">
        <f>"8816439"</f>
        <v>8816439</v>
      </c>
      <c r="B35102" t="s">
        <v>28984</v>
      </c>
      <c r="C35102" t="s">
        <v>263</v>
      </c>
      <c r="D35102" s="21" t="s">
        <v>34</v>
      </c>
      <c r="E35102" s="21" t="s">
        <v>254</v>
      </c>
      <c r="F35102">
        <v>6880119</v>
      </c>
      <c r="G35102" t="s">
        <v>3443</v>
      </c>
      <c r="H35102" s="21">
        <v>500</v>
      </c>
    </row>
    <row r="35103" spans="1:8" customFormat="1" x14ac:dyDescent="0.25">
      <c r="A35103" t="str">
        <f>"509949"</f>
        <v>509949</v>
      </c>
      <c r="B35103" t="s">
        <v>2317</v>
      </c>
      <c r="C35103" t="s">
        <v>144</v>
      </c>
      <c r="D35103" s="21" t="s">
        <v>34</v>
      </c>
      <c r="E35103" s="21" t="s">
        <v>71</v>
      </c>
      <c r="F35103">
        <v>9500122</v>
      </c>
      <c r="G35103" t="s">
        <v>6164</v>
      </c>
      <c r="H35103" s="21">
        <v>500</v>
      </c>
    </row>
    <row r="35104" spans="1:8" customFormat="1" x14ac:dyDescent="0.25">
      <c r="A35104" t="str">
        <f>"7730957"</f>
        <v>7730957</v>
      </c>
      <c r="B35104" t="s">
        <v>24047</v>
      </c>
      <c r="C35104" t="s">
        <v>121</v>
      </c>
      <c r="D35104" s="21" t="s">
        <v>34</v>
      </c>
      <c r="E35104" s="21" t="s">
        <v>71</v>
      </c>
      <c r="F35104">
        <v>8771515</v>
      </c>
      <c r="G35104" t="s">
        <v>19102</v>
      </c>
      <c r="H35104" s="21">
        <v>500</v>
      </c>
    </row>
    <row r="35105" spans="1:8" customFormat="1" x14ac:dyDescent="0.25">
      <c r="A35105" t="str">
        <f>"6712764"</f>
        <v>6712764</v>
      </c>
      <c r="B35105" t="s">
        <v>2789</v>
      </c>
      <c r="C35105" t="s">
        <v>1605</v>
      </c>
      <c r="D35105" s="21" t="s">
        <v>34</v>
      </c>
      <c r="E35105" s="21" t="s">
        <v>71</v>
      </c>
      <c r="F35105">
        <v>6670122</v>
      </c>
      <c r="G35105" t="s">
        <v>3126</v>
      </c>
      <c r="H35105" s="21">
        <v>500</v>
      </c>
    </row>
    <row r="35106" spans="1:8" customFormat="1" x14ac:dyDescent="0.25">
      <c r="A35106" t="str">
        <f>"443461"</f>
        <v>443461</v>
      </c>
      <c r="B35106" t="s">
        <v>6357</v>
      </c>
      <c r="C35106" t="s">
        <v>1914</v>
      </c>
      <c r="D35106" s="21" t="s">
        <v>34</v>
      </c>
      <c r="E35106" s="21" t="s">
        <v>254</v>
      </c>
      <c r="F35106">
        <v>12440197</v>
      </c>
      <c r="G35106" t="s">
        <v>1101</v>
      </c>
      <c r="H35106" s="21">
        <v>500</v>
      </c>
    </row>
    <row r="35107" spans="1:8" customFormat="1" x14ac:dyDescent="0.25">
      <c r="A35107" t="str">
        <f>"8528426"</f>
        <v>8528426</v>
      </c>
      <c r="B35107" t="s">
        <v>21852</v>
      </c>
      <c r="C35107" t="s">
        <v>781</v>
      </c>
      <c r="D35107" s="21" t="s">
        <v>34</v>
      </c>
      <c r="E35107" s="21" t="s">
        <v>35</v>
      </c>
      <c r="F35107">
        <v>12850143</v>
      </c>
      <c r="G35107" t="s">
        <v>1625</v>
      </c>
      <c r="H35107" s="21">
        <v>500</v>
      </c>
    </row>
    <row r="35108" spans="1:8" customFormat="1" x14ac:dyDescent="0.25">
      <c r="A35108" t="str">
        <f>"7222406"</f>
        <v>7222406</v>
      </c>
      <c r="B35108" t="s">
        <v>28985</v>
      </c>
      <c r="C35108" t="s">
        <v>598</v>
      </c>
      <c r="D35108" s="21" t="s">
        <v>34</v>
      </c>
      <c r="E35108" s="21" t="s">
        <v>254</v>
      </c>
      <c r="F35108">
        <v>12720050</v>
      </c>
      <c r="G35108" t="s">
        <v>5522</v>
      </c>
      <c r="H35108" s="21">
        <v>500</v>
      </c>
    </row>
    <row r="35109" spans="1:8" customFormat="1" x14ac:dyDescent="0.25">
      <c r="A35109" t="str">
        <f>"4457383"</f>
        <v>4457383</v>
      </c>
      <c r="B35109" t="s">
        <v>12200</v>
      </c>
      <c r="C35109" t="s">
        <v>174</v>
      </c>
      <c r="D35109" s="21" t="s">
        <v>34</v>
      </c>
      <c r="E35109" s="21" t="s">
        <v>35</v>
      </c>
      <c r="F35109">
        <v>12440260</v>
      </c>
      <c r="G35109" t="s">
        <v>26759</v>
      </c>
      <c r="H35109" s="21">
        <v>500</v>
      </c>
    </row>
    <row r="35110" spans="1:8" customFormat="1" x14ac:dyDescent="0.25">
      <c r="A35110" t="str">
        <f>"7724438"</f>
        <v>7724438</v>
      </c>
      <c r="B35110" t="s">
        <v>3890</v>
      </c>
      <c r="C35110" t="s">
        <v>209</v>
      </c>
      <c r="D35110" s="21" t="s">
        <v>34</v>
      </c>
      <c r="E35110" s="21" t="s">
        <v>71</v>
      </c>
      <c r="F35110">
        <v>8770377</v>
      </c>
      <c r="G35110" t="s">
        <v>4862</v>
      </c>
      <c r="H35110" s="21">
        <v>500</v>
      </c>
    </row>
    <row r="35111" spans="1:8" customFormat="1" x14ac:dyDescent="0.25">
      <c r="A35111" t="str">
        <f>"9247702"</f>
        <v>9247702</v>
      </c>
      <c r="B35111" t="s">
        <v>1574</v>
      </c>
      <c r="C35111" t="s">
        <v>121</v>
      </c>
      <c r="D35111" s="21" t="s">
        <v>34</v>
      </c>
      <c r="E35111" s="21" t="s">
        <v>71</v>
      </c>
      <c r="F35111">
        <v>8921458</v>
      </c>
      <c r="G35111" t="s">
        <v>162</v>
      </c>
      <c r="H35111" s="21">
        <v>500</v>
      </c>
    </row>
    <row r="35112" spans="1:8" customFormat="1" x14ac:dyDescent="0.25">
      <c r="A35112" t="str">
        <f>"7642803"</f>
        <v>7642803</v>
      </c>
      <c r="B35112" t="s">
        <v>6018</v>
      </c>
      <c r="C35112" t="s">
        <v>2520</v>
      </c>
      <c r="D35112" s="21" t="s">
        <v>34</v>
      </c>
      <c r="E35112" s="21" t="s">
        <v>35</v>
      </c>
      <c r="F35112">
        <v>9760463</v>
      </c>
      <c r="G35112" t="s">
        <v>1188</v>
      </c>
      <c r="H35112" s="21">
        <v>500</v>
      </c>
    </row>
    <row r="35113" spans="1:8" customFormat="1" x14ac:dyDescent="0.25">
      <c r="A35113" t="str">
        <f>"7637945"</f>
        <v>7637945</v>
      </c>
      <c r="B35113" t="s">
        <v>24180</v>
      </c>
      <c r="C35113" t="s">
        <v>750</v>
      </c>
      <c r="D35113" s="21" t="s">
        <v>34</v>
      </c>
      <c r="E35113" s="21" t="s">
        <v>254</v>
      </c>
      <c r="F35113">
        <v>9760291</v>
      </c>
      <c r="G35113" t="s">
        <v>26611</v>
      </c>
      <c r="H35113" s="21">
        <v>500</v>
      </c>
    </row>
    <row r="35114" spans="1:8" customFormat="1" x14ac:dyDescent="0.25">
      <c r="A35114" t="str">
        <f>"7924752"</f>
        <v>7924752</v>
      </c>
      <c r="B35114" t="s">
        <v>3835</v>
      </c>
      <c r="C35114" t="s">
        <v>40</v>
      </c>
      <c r="D35114" s="21" t="s">
        <v>34</v>
      </c>
      <c r="E35114" s="21" t="s">
        <v>254</v>
      </c>
      <c r="F35114">
        <v>10790022</v>
      </c>
      <c r="G35114" t="s">
        <v>7916</v>
      </c>
      <c r="H35114" s="21">
        <v>500</v>
      </c>
    </row>
    <row r="35115" spans="1:8" customFormat="1" x14ac:dyDescent="0.25">
      <c r="A35115" t="str">
        <f>"8310016"</f>
        <v>8310016</v>
      </c>
      <c r="B35115" t="s">
        <v>392</v>
      </c>
      <c r="C35115" t="s">
        <v>40</v>
      </c>
      <c r="D35115" s="21" t="s">
        <v>34</v>
      </c>
      <c r="E35115" s="21" t="s">
        <v>71</v>
      </c>
      <c r="F35115">
        <v>13830086</v>
      </c>
      <c r="G35115" t="s">
        <v>19900</v>
      </c>
      <c r="H35115" s="21">
        <v>500</v>
      </c>
    </row>
    <row r="35116" spans="1:8" customFormat="1" x14ac:dyDescent="0.25">
      <c r="A35116" t="str">
        <f>"4711132"</f>
        <v>4711132</v>
      </c>
      <c r="B35116" t="s">
        <v>22654</v>
      </c>
      <c r="C35116" t="s">
        <v>6920</v>
      </c>
      <c r="D35116" s="21" t="s">
        <v>34</v>
      </c>
      <c r="E35116" s="21" t="s">
        <v>35</v>
      </c>
      <c r="F35116">
        <v>10470003</v>
      </c>
      <c r="G35116" t="s">
        <v>2148</v>
      </c>
      <c r="H35116" s="21">
        <v>500</v>
      </c>
    </row>
    <row r="35117" spans="1:8" customFormat="1" x14ac:dyDescent="0.25">
      <c r="A35117" t="str">
        <f>"1426549"</f>
        <v>1426549</v>
      </c>
      <c r="B35117" t="s">
        <v>28986</v>
      </c>
      <c r="C35117" t="s">
        <v>10958</v>
      </c>
      <c r="D35117" s="21" t="s">
        <v>34</v>
      </c>
      <c r="E35117" s="21" t="s">
        <v>35</v>
      </c>
      <c r="F35117">
        <v>9140013</v>
      </c>
      <c r="G35117" t="s">
        <v>1837</v>
      </c>
      <c r="H35117" s="21">
        <v>500</v>
      </c>
    </row>
    <row r="35118" spans="1:8" customFormat="1" x14ac:dyDescent="0.25">
      <c r="A35118" t="str">
        <f>"7915542"</f>
        <v>7915542</v>
      </c>
      <c r="B35118" t="s">
        <v>2058</v>
      </c>
      <c r="C35118" t="s">
        <v>598</v>
      </c>
      <c r="D35118" s="21" t="s">
        <v>34</v>
      </c>
      <c r="E35118" s="21" t="s">
        <v>71</v>
      </c>
      <c r="F35118">
        <v>10790069</v>
      </c>
      <c r="G35118" t="s">
        <v>689</v>
      </c>
      <c r="H35118" s="21">
        <v>500</v>
      </c>
    </row>
    <row r="35119" spans="1:8" customFormat="1" x14ac:dyDescent="0.25">
      <c r="A35119" t="str">
        <f>"3410288"</f>
        <v>3410288</v>
      </c>
      <c r="B35119" t="s">
        <v>1959</v>
      </c>
      <c r="C35119" t="s">
        <v>236</v>
      </c>
      <c r="D35119" s="21" t="s">
        <v>34</v>
      </c>
      <c r="E35119" s="21" t="s">
        <v>254</v>
      </c>
      <c r="F35119">
        <v>11340060</v>
      </c>
      <c r="G35119" t="s">
        <v>1275</v>
      </c>
      <c r="H35119" s="21">
        <v>500</v>
      </c>
    </row>
    <row r="35120" spans="1:8" customFormat="1" x14ac:dyDescent="0.25">
      <c r="A35120" t="str">
        <f>"1910338"</f>
        <v>1910338</v>
      </c>
      <c r="B35120" t="s">
        <v>19125</v>
      </c>
      <c r="C35120" t="s">
        <v>1812</v>
      </c>
      <c r="D35120" s="21" t="s">
        <v>34</v>
      </c>
      <c r="E35120" s="21" t="s">
        <v>71</v>
      </c>
      <c r="F35120">
        <v>10190073</v>
      </c>
      <c r="G35120" t="s">
        <v>2366</v>
      </c>
      <c r="H35120" s="21">
        <v>500</v>
      </c>
    </row>
    <row r="35121" spans="1:8" customFormat="1" x14ac:dyDescent="0.25">
      <c r="A35121" t="str">
        <f>"4455656"</f>
        <v>4455656</v>
      </c>
      <c r="B35121" t="s">
        <v>23688</v>
      </c>
      <c r="C35121" t="s">
        <v>4721</v>
      </c>
      <c r="D35121" s="21" t="s">
        <v>34</v>
      </c>
      <c r="E35121" s="21" t="s">
        <v>35</v>
      </c>
      <c r="F35121">
        <v>12440149</v>
      </c>
      <c r="G35121" t="s">
        <v>15804</v>
      </c>
      <c r="H35121" s="21">
        <v>500</v>
      </c>
    </row>
    <row r="35122" spans="1:8" customFormat="1" x14ac:dyDescent="0.25">
      <c r="A35122" t="str">
        <f>"3310733"</f>
        <v>3310733</v>
      </c>
      <c r="B35122" t="s">
        <v>12391</v>
      </c>
      <c r="C35122" t="s">
        <v>239</v>
      </c>
      <c r="D35122" s="21" t="s">
        <v>34</v>
      </c>
      <c r="E35122" s="21" t="s">
        <v>1089</v>
      </c>
      <c r="F35122">
        <v>10330038</v>
      </c>
      <c r="G35122" t="s">
        <v>4280</v>
      </c>
      <c r="H35122" s="21">
        <v>500</v>
      </c>
    </row>
    <row r="35123" spans="1:8" customFormat="1" x14ac:dyDescent="0.25">
      <c r="A35123" t="str">
        <f>"02675"</f>
        <v>02675</v>
      </c>
      <c r="B35123" t="s">
        <v>23015</v>
      </c>
      <c r="C35123" t="s">
        <v>2730</v>
      </c>
      <c r="D35123" s="21" t="s">
        <v>34</v>
      </c>
      <c r="E35123" s="21" t="s">
        <v>1089</v>
      </c>
      <c r="F35123">
        <v>7020037</v>
      </c>
      <c r="G35123" t="s">
        <v>4701</v>
      </c>
      <c r="H35123" s="21">
        <v>500</v>
      </c>
    </row>
    <row r="35124" spans="1:8" customFormat="1" x14ac:dyDescent="0.25">
      <c r="A35124" t="str">
        <f>"319179"</f>
        <v>319179</v>
      </c>
      <c r="B35124" t="s">
        <v>24157</v>
      </c>
      <c r="C35124" t="s">
        <v>415</v>
      </c>
      <c r="D35124" s="21" t="s">
        <v>34</v>
      </c>
      <c r="E35124" s="21" t="s">
        <v>71</v>
      </c>
      <c r="F35124">
        <v>11310115</v>
      </c>
      <c r="G35124" t="s">
        <v>10519</v>
      </c>
      <c r="H35124" s="21">
        <v>500</v>
      </c>
    </row>
    <row r="35125" spans="1:8" customFormat="1" x14ac:dyDescent="0.25">
      <c r="A35125" t="str">
        <f>"146926"</f>
        <v>146926</v>
      </c>
      <c r="B35125" t="s">
        <v>15152</v>
      </c>
      <c r="C35125" t="s">
        <v>156</v>
      </c>
      <c r="D35125" s="21" t="s">
        <v>34</v>
      </c>
      <c r="E35125" s="21" t="s">
        <v>6185</v>
      </c>
      <c r="F35125">
        <v>9140009</v>
      </c>
      <c r="G35125" t="s">
        <v>3530</v>
      </c>
      <c r="H35125" s="21">
        <v>500</v>
      </c>
    </row>
    <row r="35126" spans="1:8" customFormat="1" x14ac:dyDescent="0.25">
      <c r="A35126" t="str">
        <f>"7513150"</f>
        <v>7513150</v>
      </c>
      <c r="B35126" t="s">
        <v>19012</v>
      </c>
      <c r="C35126" t="s">
        <v>1665</v>
      </c>
      <c r="D35126" s="21" t="s">
        <v>34</v>
      </c>
      <c r="E35126" s="21" t="s">
        <v>1089</v>
      </c>
      <c r="F35126">
        <v>8751260</v>
      </c>
      <c r="G35126" t="s">
        <v>10641</v>
      </c>
      <c r="H35126" s="21">
        <v>500</v>
      </c>
    </row>
    <row r="35127" spans="1:8" customFormat="1" x14ac:dyDescent="0.25">
      <c r="A35127" t="str">
        <f>"648019"</f>
        <v>648019</v>
      </c>
      <c r="B35127" t="s">
        <v>2458</v>
      </c>
      <c r="C35127" t="s">
        <v>239</v>
      </c>
      <c r="D35127" s="21" t="s">
        <v>34</v>
      </c>
      <c r="E35127" s="21" t="s">
        <v>1089</v>
      </c>
      <c r="F35127">
        <v>10640001</v>
      </c>
      <c r="G35127" t="s">
        <v>2419</v>
      </c>
      <c r="H35127" s="21">
        <v>500</v>
      </c>
    </row>
    <row r="35128" spans="1:8" customFormat="1" x14ac:dyDescent="0.25">
      <c r="A35128" t="str">
        <f>"7639203"</f>
        <v>7639203</v>
      </c>
      <c r="B35128" t="s">
        <v>23159</v>
      </c>
      <c r="C35128" t="s">
        <v>412</v>
      </c>
      <c r="D35128" s="21" t="s">
        <v>34</v>
      </c>
      <c r="E35128" s="21" t="s">
        <v>1089</v>
      </c>
      <c r="F35128">
        <v>9760291</v>
      </c>
      <c r="G35128" t="s">
        <v>26611</v>
      </c>
      <c r="H35128" s="21">
        <v>500</v>
      </c>
    </row>
    <row r="35129" spans="1:8" customFormat="1" x14ac:dyDescent="0.25">
      <c r="A35129" t="str">
        <f>"014842"</f>
        <v>014842</v>
      </c>
      <c r="B35129" t="s">
        <v>6309</v>
      </c>
      <c r="C35129" t="s">
        <v>1146</v>
      </c>
      <c r="D35129" s="21" t="s">
        <v>34</v>
      </c>
      <c r="E35129" s="21" t="s">
        <v>254</v>
      </c>
      <c r="F35129">
        <v>1010062</v>
      </c>
      <c r="G35129" t="s">
        <v>9638</v>
      </c>
      <c r="H35129" s="21">
        <v>500</v>
      </c>
    </row>
    <row r="35130" spans="1:8" customFormat="1" x14ac:dyDescent="0.25">
      <c r="A35130" t="str">
        <f>"9B818"</f>
        <v>9B818</v>
      </c>
      <c r="B35130" t="s">
        <v>21882</v>
      </c>
      <c r="C35130" t="s">
        <v>1110</v>
      </c>
      <c r="D35130" s="21" t="s">
        <v>34</v>
      </c>
      <c r="E35130" s="21" t="s">
        <v>1089</v>
      </c>
      <c r="F35130" t="s">
        <v>17172</v>
      </c>
      <c r="G35130" t="s">
        <v>17173</v>
      </c>
      <c r="H35130" s="21">
        <v>500</v>
      </c>
    </row>
    <row r="35131" spans="1:8" customFormat="1" x14ac:dyDescent="0.25">
      <c r="A35131" t="str">
        <f>"763541"</f>
        <v>763541</v>
      </c>
      <c r="B35131" t="s">
        <v>4311</v>
      </c>
      <c r="C35131" t="s">
        <v>269</v>
      </c>
      <c r="D35131" s="21" t="s">
        <v>34</v>
      </c>
      <c r="E35131" s="21" t="s">
        <v>254</v>
      </c>
      <c r="F35131">
        <v>9760012</v>
      </c>
      <c r="G35131" t="s">
        <v>17233</v>
      </c>
      <c r="H35131" s="21">
        <v>500</v>
      </c>
    </row>
    <row r="35132" spans="1:8" customFormat="1" x14ac:dyDescent="0.25">
      <c r="A35132" t="str">
        <f>"8019560"</f>
        <v>8019560</v>
      </c>
      <c r="B35132" t="s">
        <v>17501</v>
      </c>
      <c r="C35132" t="s">
        <v>174</v>
      </c>
      <c r="D35132" s="21" t="s">
        <v>34</v>
      </c>
      <c r="E35132" s="21" t="s">
        <v>35</v>
      </c>
      <c r="F35132">
        <v>7800107</v>
      </c>
      <c r="G35132" t="s">
        <v>10161</v>
      </c>
      <c r="H35132" s="21">
        <v>500</v>
      </c>
    </row>
    <row r="35133" spans="1:8" customFormat="1" x14ac:dyDescent="0.25">
      <c r="A35133" t="str">
        <f>"1421545"</f>
        <v>1421545</v>
      </c>
      <c r="B35133" t="s">
        <v>12888</v>
      </c>
      <c r="C35133" t="s">
        <v>62</v>
      </c>
      <c r="D35133" s="21" t="s">
        <v>34</v>
      </c>
      <c r="E35133" s="21" t="s">
        <v>35</v>
      </c>
      <c r="F35133">
        <v>9140162</v>
      </c>
      <c r="G35133" t="s">
        <v>7663</v>
      </c>
      <c r="H35133" s="21">
        <v>500</v>
      </c>
    </row>
    <row r="35134" spans="1:8" customFormat="1" x14ac:dyDescent="0.25">
      <c r="A35134" t="str">
        <f>"9537243"</f>
        <v>9537243</v>
      </c>
      <c r="B35134" t="s">
        <v>28987</v>
      </c>
      <c r="C35134" t="s">
        <v>1271</v>
      </c>
      <c r="D35134" s="21" t="s">
        <v>34</v>
      </c>
      <c r="E35134" s="21" t="s">
        <v>71</v>
      </c>
      <c r="F35134">
        <v>8950917</v>
      </c>
      <c r="G35134" t="s">
        <v>3823</v>
      </c>
      <c r="H35134" s="21">
        <v>500</v>
      </c>
    </row>
    <row r="35135" spans="1:8" customFormat="1" x14ac:dyDescent="0.25">
      <c r="A35135" t="str">
        <f>"06689"</f>
        <v>06689</v>
      </c>
      <c r="B35135" t="s">
        <v>13075</v>
      </c>
      <c r="C35135" t="s">
        <v>598</v>
      </c>
      <c r="D35135" s="21" t="s">
        <v>34</v>
      </c>
      <c r="E35135" s="21" t="s">
        <v>1089</v>
      </c>
      <c r="F35135">
        <v>13060063</v>
      </c>
      <c r="G35135" t="s">
        <v>2001</v>
      </c>
      <c r="H35135" s="21">
        <v>500</v>
      </c>
    </row>
    <row r="35136" spans="1:8" customFormat="1" x14ac:dyDescent="0.25">
      <c r="A35136" t="str">
        <f>"434220"</f>
        <v>434220</v>
      </c>
      <c r="B35136" t="s">
        <v>10311</v>
      </c>
      <c r="C35136" t="s">
        <v>822</v>
      </c>
      <c r="D35136" s="21" t="s">
        <v>34</v>
      </c>
      <c r="E35136" s="21" t="s">
        <v>254</v>
      </c>
      <c r="F35136">
        <v>1420291</v>
      </c>
      <c r="G35136" t="s">
        <v>13231</v>
      </c>
      <c r="H35136" s="21">
        <v>500</v>
      </c>
    </row>
    <row r="35137" spans="1:8" customFormat="1" x14ac:dyDescent="0.25">
      <c r="A35137" t="str">
        <f>"685060"</f>
        <v>685060</v>
      </c>
      <c r="B35137" t="s">
        <v>23461</v>
      </c>
      <c r="C35137" t="s">
        <v>33</v>
      </c>
      <c r="D35137" s="21" t="s">
        <v>34</v>
      </c>
      <c r="E35137" s="21" t="s">
        <v>71</v>
      </c>
      <c r="F35137">
        <v>6680115</v>
      </c>
      <c r="G35137" t="s">
        <v>23307</v>
      </c>
      <c r="H35137" s="21">
        <v>500</v>
      </c>
    </row>
    <row r="35138" spans="1:8" customFormat="1" x14ac:dyDescent="0.25">
      <c r="A35138" t="str">
        <f>"5975037"</f>
        <v>5975037</v>
      </c>
      <c r="B35138" t="s">
        <v>22925</v>
      </c>
      <c r="C35138" t="s">
        <v>33</v>
      </c>
      <c r="D35138" s="21" t="s">
        <v>34</v>
      </c>
      <c r="E35138" s="21" t="s">
        <v>71</v>
      </c>
      <c r="F35138">
        <v>7590028</v>
      </c>
      <c r="G35138" t="s">
        <v>251</v>
      </c>
      <c r="H35138" s="21">
        <v>500</v>
      </c>
    </row>
    <row r="35139" spans="1:8" customFormat="1" x14ac:dyDescent="0.25">
      <c r="A35139" t="str">
        <f>"177562"</f>
        <v>177562</v>
      </c>
      <c r="B35139" t="s">
        <v>23798</v>
      </c>
      <c r="C35139" t="s">
        <v>169</v>
      </c>
      <c r="D35139" s="21" t="s">
        <v>34</v>
      </c>
      <c r="E35139" s="21" t="s">
        <v>71</v>
      </c>
      <c r="F35139">
        <v>10170004</v>
      </c>
      <c r="G35139" t="s">
        <v>12405</v>
      </c>
      <c r="H35139" s="21">
        <v>500</v>
      </c>
    </row>
    <row r="35140" spans="1:8" customFormat="1" x14ac:dyDescent="0.25">
      <c r="A35140" t="str">
        <f>"4111712"</f>
        <v>4111712</v>
      </c>
      <c r="B35140" t="s">
        <v>21982</v>
      </c>
      <c r="C35140" t="s">
        <v>8442</v>
      </c>
      <c r="D35140" s="21" t="s">
        <v>34</v>
      </c>
      <c r="E35140" s="21" t="s">
        <v>35</v>
      </c>
      <c r="F35140">
        <v>4410390</v>
      </c>
      <c r="G35140" t="s">
        <v>12210</v>
      </c>
      <c r="H35140" s="21">
        <v>500</v>
      </c>
    </row>
    <row r="35141" spans="1:8" customFormat="1" x14ac:dyDescent="0.25">
      <c r="A35141" t="str">
        <f>"5021435"</f>
        <v>5021435</v>
      </c>
      <c r="B35141" t="s">
        <v>4449</v>
      </c>
      <c r="C35141" t="s">
        <v>3393</v>
      </c>
      <c r="D35141" s="21" t="s">
        <v>34</v>
      </c>
      <c r="E35141" s="21" t="s">
        <v>35</v>
      </c>
      <c r="F35141">
        <v>9500048</v>
      </c>
      <c r="G35141" t="s">
        <v>1804</v>
      </c>
      <c r="H35141" s="21">
        <v>500</v>
      </c>
    </row>
    <row r="35142" spans="1:8" customFormat="1" x14ac:dyDescent="0.25">
      <c r="A35142" t="str">
        <f>"9141549"</f>
        <v>9141549</v>
      </c>
      <c r="B35142" t="s">
        <v>24636</v>
      </c>
      <c r="C35142" t="s">
        <v>285</v>
      </c>
      <c r="D35142" s="21" t="s">
        <v>34</v>
      </c>
      <c r="E35142" s="21" t="s">
        <v>35</v>
      </c>
      <c r="F35142">
        <v>8910402</v>
      </c>
      <c r="G35142" t="s">
        <v>1371</v>
      </c>
      <c r="H35142" s="21">
        <v>500</v>
      </c>
    </row>
    <row r="35143" spans="1:8" customFormat="1" x14ac:dyDescent="0.25">
      <c r="A35143" t="str">
        <f>"814317"</f>
        <v>814317</v>
      </c>
      <c r="B35143" t="s">
        <v>23044</v>
      </c>
      <c r="C35143" t="s">
        <v>879</v>
      </c>
      <c r="D35143" s="21" t="s">
        <v>34</v>
      </c>
      <c r="E35143" s="21" t="s">
        <v>1089</v>
      </c>
      <c r="F35143">
        <v>11810024</v>
      </c>
      <c r="G35143" t="s">
        <v>2095</v>
      </c>
      <c r="H35143" s="21">
        <v>500</v>
      </c>
    </row>
    <row r="35144" spans="1:8" customFormat="1" x14ac:dyDescent="0.25">
      <c r="A35144" t="str">
        <f>"1319938"</f>
        <v>1319938</v>
      </c>
      <c r="B35144" t="s">
        <v>23636</v>
      </c>
      <c r="C35144" t="s">
        <v>1812</v>
      </c>
      <c r="D35144" s="21" t="s">
        <v>34</v>
      </c>
      <c r="E35144" s="21" t="s">
        <v>71</v>
      </c>
      <c r="F35144">
        <v>13130122</v>
      </c>
      <c r="G35144" t="s">
        <v>6354</v>
      </c>
      <c r="H35144" s="21">
        <v>500</v>
      </c>
    </row>
    <row r="35145" spans="1:8" customFormat="1" x14ac:dyDescent="0.25">
      <c r="A35145" t="str">
        <f>"9W90"</f>
        <v>9W90</v>
      </c>
      <c r="B35145" t="s">
        <v>23391</v>
      </c>
      <c r="C35145" t="s">
        <v>1914</v>
      </c>
      <c r="D35145" s="21" t="s">
        <v>34</v>
      </c>
      <c r="E35145" s="21" t="s">
        <v>71</v>
      </c>
      <c r="F35145" t="s">
        <v>23027</v>
      </c>
      <c r="G35145" t="s">
        <v>28713</v>
      </c>
      <c r="H35145" s="21">
        <v>500</v>
      </c>
    </row>
    <row r="35146" spans="1:8" customFormat="1" x14ac:dyDescent="0.25">
      <c r="A35146" t="str">
        <f>"9W129"</f>
        <v>9W129</v>
      </c>
      <c r="B35146" t="s">
        <v>28988</v>
      </c>
      <c r="C35146" t="s">
        <v>28989</v>
      </c>
      <c r="D35146" s="21" t="s">
        <v>34</v>
      </c>
      <c r="E35146" s="21" t="s">
        <v>35</v>
      </c>
      <c r="F35146" t="s">
        <v>28806</v>
      </c>
      <c r="G35146" t="s">
        <v>28807</v>
      </c>
      <c r="H35146" s="21">
        <v>500</v>
      </c>
    </row>
    <row r="35147" spans="1:8" customFormat="1" x14ac:dyDescent="0.25">
      <c r="A35147" t="str">
        <f>"707450"</f>
        <v>707450</v>
      </c>
      <c r="B35147" t="s">
        <v>28990</v>
      </c>
      <c r="C35147" t="s">
        <v>60</v>
      </c>
      <c r="D35147" s="21" t="s">
        <v>34</v>
      </c>
      <c r="E35147" s="21" t="s">
        <v>35</v>
      </c>
      <c r="F35147">
        <v>2700002</v>
      </c>
      <c r="G35147" t="s">
        <v>953</v>
      </c>
      <c r="H35147" s="21">
        <v>500</v>
      </c>
    </row>
    <row r="35148" spans="1:8" customFormat="1" x14ac:dyDescent="0.25">
      <c r="A35148" t="str">
        <f>"662126"</f>
        <v>662126</v>
      </c>
      <c r="B35148" t="s">
        <v>23644</v>
      </c>
      <c r="C35148" t="s">
        <v>3784</v>
      </c>
      <c r="D35148" s="21" t="s">
        <v>34</v>
      </c>
      <c r="E35148" s="21" t="s">
        <v>1089</v>
      </c>
      <c r="F35148">
        <v>11660024</v>
      </c>
      <c r="G35148" t="s">
        <v>22992</v>
      </c>
      <c r="H35148" s="21">
        <v>500</v>
      </c>
    </row>
    <row r="35149" spans="1:8" customFormat="1" x14ac:dyDescent="0.25">
      <c r="A35149" t="str">
        <f>"0613154"</f>
        <v>0613154</v>
      </c>
      <c r="B35149" t="s">
        <v>28991</v>
      </c>
      <c r="C35149" t="s">
        <v>239</v>
      </c>
      <c r="D35149" s="21" t="s">
        <v>34</v>
      </c>
      <c r="E35149" s="21" t="s">
        <v>1089</v>
      </c>
      <c r="F35149">
        <v>12440266</v>
      </c>
      <c r="G35149" t="s">
        <v>924</v>
      </c>
      <c r="H35149" s="21">
        <v>500</v>
      </c>
    </row>
    <row r="35150" spans="1:8" customFormat="1" x14ac:dyDescent="0.25">
      <c r="A35150" t="str">
        <f>"9H802"</f>
        <v>9H802</v>
      </c>
      <c r="B35150" t="s">
        <v>23679</v>
      </c>
      <c r="C35150" t="s">
        <v>1539</v>
      </c>
      <c r="D35150" s="21" t="s">
        <v>34</v>
      </c>
      <c r="E35150" s="21" t="s">
        <v>71</v>
      </c>
      <c r="F35150" t="s">
        <v>6447</v>
      </c>
      <c r="G35150" t="s">
        <v>6448</v>
      </c>
      <c r="H35150" s="21">
        <v>500</v>
      </c>
    </row>
    <row r="35151" spans="1:8" customFormat="1" x14ac:dyDescent="0.25">
      <c r="A35151" t="str">
        <f>"0810319"</f>
        <v>0810319</v>
      </c>
      <c r="B35151" t="s">
        <v>23359</v>
      </c>
      <c r="C35151" t="s">
        <v>486</v>
      </c>
      <c r="D35151" s="21" t="s">
        <v>34</v>
      </c>
      <c r="E35151" s="21" t="s">
        <v>71</v>
      </c>
      <c r="F35151">
        <v>6080047</v>
      </c>
      <c r="G35151" t="s">
        <v>4632</v>
      </c>
      <c r="H35151" s="21">
        <v>500</v>
      </c>
    </row>
    <row r="35152" spans="1:8" customFormat="1" x14ac:dyDescent="0.25">
      <c r="A35152" t="str">
        <f>"737247"</f>
        <v>737247</v>
      </c>
      <c r="B35152" t="s">
        <v>23021</v>
      </c>
      <c r="C35152" t="s">
        <v>114</v>
      </c>
      <c r="D35152" s="21" t="s">
        <v>34</v>
      </c>
      <c r="E35152" s="21" t="s">
        <v>71</v>
      </c>
      <c r="F35152">
        <v>1730091</v>
      </c>
      <c r="G35152" t="s">
        <v>23022</v>
      </c>
      <c r="H35152" s="21">
        <v>500</v>
      </c>
    </row>
    <row r="35153" spans="1:8" customFormat="1" x14ac:dyDescent="0.25">
      <c r="A35153" t="str">
        <f>"063153"</f>
        <v>063153</v>
      </c>
      <c r="B35153" t="s">
        <v>23640</v>
      </c>
      <c r="C35153" t="s">
        <v>23641</v>
      </c>
      <c r="D35153" s="21" t="s">
        <v>34</v>
      </c>
      <c r="E35153" s="21" t="s">
        <v>1089</v>
      </c>
      <c r="F35153">
        <v>13060085</v>
      </c>
      <c r="G35153" t="s">
        <v>2703</v>
      </c>
      <c r="H35153" s="21">
        <v>500</v>
      </c>
    </row>
    <row r="35154" spans="1:8" customFormat="1" x14ac:dyDescent="0.25">
      <c r="A35154" t="str">
        <f>"72524"</f>
        <v>72524</v>
      </c>
      <c r="B35154" t="s">
        <v>23168</v>
      </c>
      <c r="C35154" t="s">
        <v>2100</v>
      </c>
      <c r="D35154" s="21" t="s">
        <v>34</v>
      </c>
      <c r="E35154" s="21" t="s">
        <v>254</v>
      </c>
      <c r="F35154">
        <v>12720009</v>
      </c>
      <c r="G35154" t="s">
        <v>6928</v>
      </c>
      <c r="H35154" s="21">
        <v>500</v>
      </c>
    </row>
    <row r="35155" spans="1:8" customFormat="1" x14ac:dyDescent="0.25">
      <c r="A35155" t="str">
        <f>"5981919"</f>
        <v>5981919</v>
      </c>
      <c r="B35155" t="s">
        <v>18941</v>
      </c>
      <c r="C35155" t="s">
        <v>712</v>
      </c>
      <c r="D35155" s="21" t="s">
        <v>34</v>
      </c>
      <c r="E35155" s="21" t="s">
        <v>35</v>
      </c>
      <c r="F35155">
        <v>7590413</v>
      </c>
      <c r="G35155" t="s">
        <v>6848</v>
      </c>
      <c r="H35155" s="21">
        <v>500</v>
      </c>
    </row>
    <row r="35156" spans="1:8" customFormat="1" x14ac:dyDescent="0.25">
      <c r="A35156" t="str">
        <f>"5620605"</f>
        <v>5620605</v>
      </c>
      <c r="B35156" t="s">
        <v>24543</v>
      </c>
      <c r="C35156" t="s">
        <v>1199</v>
      </c>
      <c r="D35156" s="21" t="s">
        <v>34</v>
      </c>
      <c r="E35156" s="21" t="s">
        <v>254</v>
      </c>
      <c r="F35156">
        <v>3560044</v>
      </c>
      <c r="G35156" t="s">
        <v>4890</v>
      </c>
      <c r="H35156" s="21">
        <v>500</v>
      </c>
    </row>
    <row r="35157" spans="1:8" customFormat="1" x14ac:dyDescent="0.25">
      <c r="A35157" t="str">
        <f>"7642672"</f>
        <v>7642672</v>
      </c>
      <c r="B35157" t="s">
        <v>28992</v>
      </c>
      <c r="C35157" t="s">
        <v>55</v>
      </c>
      <c r="D35157" s="21" t="s">
        <v>34</v>
      </c>
      <c r="E35157" s="21" t="s">
        <v>71</v>
      </c>
      <c r="F35157">
        <v>9760007</v>
      </c>
      <c r="G35157" t="s">
        <v>7255</v>
      </c>
      <c r="H35157" s="21">
        <v>500</v>
      </c>
    </row>
    <row r="35158" spans="1:8" customFormat="1" x14ac:dyDescent="0.25">
      <c r="A35158" t="str">
        <f>"6112771"</f>
        <v>6112771</v>
      </c>
      <c r="B35158" t="s">
        <v>2091</v>
      </c>
      <c r="C35158" t="s">
        <v>428</v>
      </c>
      <c r="D35158" s="21" t="s">
        <v>34</v>
      </c>
      <c r="E35158" s="21" t="s">
        <v>35</v>
      </c>
      <c r="F35158">
        <v>9610136</v>
      </c>
      <c r="G35158" t="s">
        <v>6052</v>
      </c>
      <c r="H35158" s="21">
        <v>500</v>
      </c>
    </row>
    <row r="35159" spans="1:8" customFormat="1" x14ac:dyDescent="0.25">
      <c r="A35159" t="str">
        <f>"5734714"</f>
        <v>5734714</v>
      </c>
      <c r="B35159" t="s">
        <v>28993</v>
      </c>
      <c r="C35159" t="s">
        <v>2232</v>
      </c>
      <c r="D35159" s="21" t="s">
        <v>34</v>
      </c>
      <c r="E35159" s="21" t="s">
        <v>254</v>
      </c>
      <c r="F35159">
        <v>6570088</v>
      </c>
      <c r="G35159" t="s">
        <v>3461</v>
      </c>
      <c r="H35159" s="21">
        <v>500</v>
      </c>
    </row>
    <row r="35160" spans="1:8" customFormat="1" x14ac:dyDescent="0.25">
      <c r="A35160" t="str">
        <f>"3719875"</f>
        <v>3719875</v>
      </c>
      <c r="B35160" t="s">
        <v>23095</v>
      </c>
      <c r="C35160" t="s">
        <v>65</v>
      </c>
      <c r="D35160" s="21" t="s">
        <v>34</v>
      </c>
      <c r="E35160" s="21" t="s">
        <v>254</v>
      </c>
      <c r="F35160">
        <v>4370002</v>
      </c>
      <c r="G35160" t="s">
        <v>112</v>
      </c>
      <c r="H35160" s="21">
        <v>500</v>
      </c>
    </row>
    <row r="35161" spans="1:8" customFormat="1" x14ac:dyDescent="0.25">
      <c r="A35161" t="str">
        <f>"7643261"</f>
        <v>7643261</v>
      </c>
      <c r="B35161" t="s">
        <v>28994</v>
      </c>
      <c r="C35161" t="s">
        <v>119</v>
      </c>
      <c r="D35161" s="21" t="s">
        <v>34</v>
      </c>
      <c r="E35161" s="21" t="s">
        <v>71</v>
      </c>
      <c r="F35161">
        <v>9760129</v>
      </c>
      <c r="G35161" t="s">
        <v>6147</v>
      </c>
      <c r="H35161" s="21">
        <v>500</v>
      </c>
    </row>
    <row r="35162" spans="1:8" customFormat="1" x14ac:dyDescent="0.25">
      <c r="A35162" t="str">
        <f>"4520689"</f>
        <v>4520689</v>
      </c>
      <c r="B35162" t="s">
        <v>8282</v>
      </c>
      <c r="C35162" t="s">
        <v>139</v>
      </c>
      <c r="D35162" s="21" t="s">
        <v>34</v>
      </c>
      <c r="E35162" s="21" t="s">
        <v>35</v>
      </c>
      <c r="F35162">
        <v>12490123</v>
      </c>
      <c r="G35162" t="s">
        <v>20118</v>
      </c>
      <c r="H35162" s="21">
        <v>500</v>
      </c>
    </row>
    <row r="35163" spans="1:8" customFormat="1" x14ac:dyDescent="0.25">
      <c r="A35163" t="str">
        <f>"8011149"</f>
        <v>8011149</v>
      </c>
      <c r="B35163" t="s">
        <v>22674</v>
      </c>
      <c r="C35163" t="s">
        <v>198</v>
      </c>
      <c r="D35163" s="21" t="s">
        <v>34</v>
      </c>
      <c r="E35163" s="21" t="s">
        <v>254</v>
      </c>
      <c r="F35163">
        <v>7800003</v>
      </c>
      <c r="G35163" t="s">
        <v>276</v>
      </c>
      <c r="H35163" s="21">
        <v>500</v>
      </c>
    </row>
    <row r="35164" spans="1:8" customFormat="1" x14ac:dyDescent="0.25">
      <c r="A35164" t="str">
        <f>"134963"</f>
        <v>134963</v>
      </c>
      <c r="B35164" t="s">
        <v>22828</v>
      </c>
      <c r="C35164" t="s">
        <v>415</v>
      </c>
      <c r="D35164" s="21" t="s">
        <v>34</v>
      </c>
      <c r="E35164" s="21" t="s">
        <v>254</v>
      </c>
      <c r="F35164">
        <v>13130004</v>
      </c>
      <c r="G35164" t="s">
        <v>942</v>
      </c>
      <c r="H35164" s="21">
        <v>500</v>
      </c>
    </row>
    <row r="35165" spans="1:8" customFormat="1" x14ac:dyDescent="0.25">
      <c r="A35165" t="str">
        <f>"5112991"</f>
        <v>5112991</v>
      </c>
      <c r="B35165" t="s">
        <v>582</v>
      </c>
      <c r="C35165" t="s">
        <v>249</v>
      </c>
      <c r="D35165" s="21" t="s">
        <v>34</v>
      </c>
      <c r="E35165" s="21" t="s">
        <v>71</v>
      </c>
      <c r="F35165">
        <v>6510001</v>
      </c>
      <c r="G35165" t="s">
        <v>286</v>
      </c>
      <c r="H35165" s="21">
        <v>500</v>
      </c>
    </row>
    <row r="35166" spans="1:8" customFormat="1" x14ac:dyDescent="0.25">
      <c r="A35166" t="str">
        <f>"4524788"</f>
        <v>4524788</v>
      </c>
      <c r="B35166" t="s">
        <v>22900</v>
      </c>
      <c r="C35166" t="s">
        <v>507</v>
      </c>
      <c r="D35166" s="21" t="s">
        <v>34</v>
      </c>
      <c r="E35166" s="21" t="s">
        <v>35</v>
      </c>
      <c r="F35166">
        <v>4450571</v>
      </c>
      <c r="G35166" t="s">
        <v>188</v>
      </c>
      <c r="H35166" s="21">
        <v>500</v>
      </c>
    </row>
    <row r="35167" spans="1:8" customFormat="1" x14ac:dyDescent="0.25">
      <c r="A35167" t="str">
        <f>"313318"</f>
        <v>313318</v>
      </c>
      <c r="B35167" t="s">
        <v>23569</v>
      </c>
      <c r="C35167" t="s">
        <v>412</v>
      </c>
      <c r="D35167" s="21" t="s">
        <v>34</v>
      </c>
      <c r="E35167" s="21" t="s">
        <v>254</v>
      </c>
      <c r="F35167">
        <v>11310019</v>
      </c>
      <c r="G35167" t="s">
        <v>3099</v>
      </c>
      <c r="H35167" s="21">
        <v>500</v>
      </c>
    </row>
    <row r="35168" spans="1:8" customFormat="1" x14ac:dyDescent="0.25">
      <c r="A35168" t="str">
        <f>"67361"</f>
        <v>67361</v>
      </c>
      <c r="B35168" t="s">
        <v>241</v>
      </c>
      <c r="C35168" t="s">
        <v>812</v>
      </c>
      <c r="D35168" s="21" t="s">
        <v>34</v>
      </c>
      <c r="E35168" s="21" t="s">
        <v>254</v>
      </c>
      <c r="F35168">
        <v>6670014</v>
      </c>
      <c r="G35168" t="s">
        <v>4258</v>
      </c>
      <c r="H35168" s="21">
        <v>500</v>
      </c>
    </row>
    <row r="35169" spans="1:8" customFormat="1" x14ac:dyDescent="0.25">
      <c r="A35169" t="str">
        <f>"2939817"</f>
        <v>2939817</v>
      </c>
      <c r="B35169" t="s">
        <v>28995</v>
      </c>
      <c r="C35169" t="s">
        <v>33</v>
      </c>
      <c r="D35169" s="21" t="s">
        <v>34</v>
      </c>
      <c r="E35169" s="21" t="s">
        <v>71</v>
      </c>
      <c r="F35169">
        <v>3290268</v>
      </c>
      <c r="G35169" t="s">
        <v>9878</v>
      </c>
      <c r="H35169" s="21">
        <v>500</v>
      </c>
    </row>
    <row r="35170" spans="1:8" customFormat="1" x14ac:dyDescent="0.25">
      <c r="A35170" t="str">
        <f>"8316923"</f>
        <v>8316923</v>
      </c>
      <c r="B35170" t="s">
        <v>28996</v>
      </c>
      <c r="C35170" t="s">
        <v>28997</v>
      </c>
      <c r="D35170" s="21" t="s">
        <v>34</v>
      </c>
      <c r="E35170" s="21" t="s">
        <v>254</v>
      </c>
      <c r="F35170">
        <v>13830013</v>
      </c>
      <c r="G35170" t="s">
        <v>3374</v>
      </c>
      <c r="H35170" s="21">
        <v>500</v>
      </c>
    </row>
    <row r="35171" spans="1:8" customFormat="1" x14ac:dyDescent="0.25">
      <c r="A35171" t="str">
        <f>"8013557"</f>
        <v>8013557</v>
      </c>
      <c r="B35171" t="s">
        <v>5460</v>
      </c>
      <c r="C35171" t="s">
        <v>124</v>
      </c>
      <c r="D35171" s="21" t="s">
        <v>34</v>
      </c>
      <c r="E35171" s="21" t="s">
        <v>254</v>
      </c>
      <c r="F35171">
        <v>7800128</v>
      </c>
      <c r="G35171" t="s">
        <v>3147</v>
      </c>
      <c r="H35171" s="21">
        <v>500</v>
      </c>
    </row>
    <row r="35172" spans="1:8" customFormat="1" x14ac:dyDescent="0.25">
      <c r="A35172" t="str">
        <f>"9459488"</f>
        <v>9459488</v>
      </c>
      <c r="B35172" t="s">
        <v>28998</v>
      </c>
      <c r="C35172" t="s">
        <v>55</v>
      </c>
      <c r="D35172" s="21" t="s">
        <v>34</v>
      </c>
      <c r="E35172" s="21" t="s">
        <v>35</v>
      </c>
      <c r="F35172">
        <v>8940073</v>
      </c>
      <c r="G35172" t="s">
        <v>1085</v>
      </c>
      <c r="H35172" s="21">
        <v>500</v>
      </c>
    </row>
    <row r="35173" spans="1:8" customFormat="1" x14ac:dyDescent="0.25">
      <c r="A35173" t="str">
        <f>"3834100"</f>
        <v>3834100</v>
      </c>
      <c r="B35173" t="s">
        <v>7614</v>
      </c>
      <c r="C35173" t="s">
        <v>486</v>
      </c>
      <c r="D35173" s="21" t="s">
        <v>34</v>
      </c>
      <c r="E35173" s="21" t="s">
        <v>35</v>
      </c>
      <c r="F35173">
        <v>1380005</v>
      </c>
      <c r="G35173" t="s">
        <v>3119</v>
      </c>
      <c r="H35173" s="21">
        <v>500</v>
      </c>
    </row>
    <row r="35174" spans="1:8" customFormat="1" x14ac:dyDescent="0.25">
      <c r="A35174" t="str">
        <f>"9D1671"</f>
        <v>9D1671</v>
      </c>
      <c r="B35174" t="s">
        <v>28999</v>
      </c>
      <c r="C35174" t="s">
        <v>817</v>
      </c>
      <c r="D35174" s="21" t="s">
        <v>34</v>
      </c>
      <c r="E35174" s="21" t="s">
        <v>71</v>
      </c>
      <c r="F35174" t="s">
        <v>1923</v>
      </c>
      <c r="G35174" t="s">
        <v>1924</v>
      </c>
      <c r="H35174" s="21">
        <v>500</v>
      </c>
    </row>
    <row r="35175" spans="1:8" customFormat="1" x14ac:dyDescent="0.25">
      <c r="A35175" t="str">
        <f>"4443952"</f>
        <v>4443952</v>
      </c>
      <c r="B35175" t="s">
        <v>646</v>
      </c>
      <c r="C35175" t="s">
        <v>16814</v>
      </c>
      <c r="D35175" s="21" t="s">
        <v>34</v>
      </c>
      <c r="E35175" s="21" t="s">
        <v>254</v>
      </c>
      <c r="F35175">
        <v>12440087</v>
      </c>
      <c r="G35175" t="s">
        <v>1860</v>
      </c>
      <c r="H35175" s="21">
        <v>500</v>
      </c>
    </row>
    <row r="35176" spans="1:8" customFormat="1" x14ac:dyDescent="0.25">
      <c r="A35176" t="str">
        <f>"3830290"</f>
        <v>3830290</v>
      </c>
      <c r="B35176" t="s">
        <v>7809</v>
      </c>
      <c r="C35176" t="s">
        <v>249</v>
      </c>
      <c r="D35176" s="21" t="s">
        <v>34</v>
      </c>
      <c r="E35176" s="21" t="s">
        <v>35</v>
      </c>
      <c r="F35176">
        <v>1380260</v>
      </c>
      <c r="G35176" t="s">
        <v>13471</v>
      </c>
      <c r="H35176" s="21">
        <v>500</v>
      </c>
    </row>
    <row r="35177" spans="1:8" customFormat="1" x14ac:dyDescent="0.25">
      <c r="A35177" t="str">
        <f>"9248848"</f>
        <v>9248848</v>
      </c>
      <c r="B35177" t="s">
        <v>29000</v>
      </c>
      <c r="C35177" t="s">
        <v>29001</v>
      </c>
      <c r="D35177" s="21" t="s">
        <v>34</v>
      </c>
      <c r="E35177" s="21" t="s">
        <v>35</v>
      </c>
      <c r="F35177">
        <v>8921458</v>
      </c>
      <c r="G35177" t="s">
        <v>162</v>
      </c>
      <c r="H35177" s="21">
        <v>500</v>
      </c>
    </row>
    <row r="35178" spans="1:8" customFormat="1" x14ac:dyDescent="0.25">
      <c r="A35178" t="str">
        <f>"0212135"</f>
        <v>0212135</v>
      </c>
      <c r="B35178" t="s">
        <v>24714</v>
      </c>
      <c r="C35178" t="s">
        <v>62</v>
      </c>
      <c r="D35178" s="21" t="s">
        <v>34</v>
      </c>
      <c r="E35178" s="21" t="s">
        <v>35</v>
      </c>
      <c r="F35178">
        <v>7021009</v>
      </c>
      <c r="G35178" t="s">
        <v>2739</v>
      </c>
      <c r="H35178" s="21">
        <v>500</v>
      </c>
    </row>
    <row r="35179" spans="1:8" customFormat="1" x14ac:dyDescent="0.25">
      <c r="A35179" t="str">
        <f>"671029"</f>
        <v>671029</v>
      </c>
      <c r="B35179" t="s">
        <v>12727</v>
      </c>
      <c r="C35179" t="s">
        <v>124</v>
      </c>
      <c r="D35179" s="21" t="s">
        <v>34</v>
      </c>
      <c r="E35179" s="21" t="s">
        <v>71</v>
      </c>
      <c r="F35179">
        <v>6670107</v>
      </c>
      <c r="G35179" t="s">
        <v>5610</v>
      </c>
      <c r="H35179" s="21">
        <v>500</v>
      </c>
    </row>
    <row r="35180" spans="1:8" customFormat="1" x14ac:dyDescent="0.25">
      <c r="A35180" t="str">
        <f>"5326743"</f>
        <v>5326743</v>
      </c>
      <c r="B35180" t="s">
        <v>17713</v>
      </c>
      <c r="C35180" t="s">
        <v>652</v>
      </c>
      <c r="D35180" s="21" t="s">
        <v>34</v>
      </c>
      <c r="E35180" s="21" t="s">
        <v>254</v>
      </c>
      <c r="F35180">
        <v>12530046</v>
      </c>
      <c r="G35180" t="s">
        <v>10191</v>
      </c>
      <c r="H35180" s="21">
        <v>500</v>
      </c>
    </row>
    <row r="35181" spans="1:8" customFormat="1" x14ac:dyDescent="0.25">
      <c r="A35181" t="str">
        <f>"5611895"</f>
        <v>5611895</v>
      </c>
      <c r="B35181" t="s">
        <v>29002</v>
      </c>
      <c r="C35181" t="s">
        <v>65</v>
      </c>
      <c r="D35181" s="21" t="s">
        <v>34</v>
      </c>
      <c r="E35181" s="21" t="s">
        <v>71</v>
      </c>
      <c r="F35181">
        <v>3220142</v>
      </c>
      <c r="G35181" t="s">
        <v>14759</v>
      </c>
      <c r="H35181" s="21">
        <v>500</v>
      </c>
    </row>
    <row r="35182" spans="1:8" customFormat="1" x14ac:dyDescent="0.25">
      <c r="A35182" t="str">
        <f>"9E1040"</f>
        <v>9E1040</v>
      </c>
      <c r="B35182" t="s">
        <v>22735</v>
      </c>
      <c r="C35182" t="s">
        <v>22736</v>
      </c>
      <c r="D35182" s="21" t="s">
        <v>34</v>
      </c>
      <c r="E35182" s="21" t="s">
        <v>71</v>
      </c>
      <c r="F35182" s="24" t="s">
        <v>18984</v>
      </c>
      <c r="G35182" t="s">
        <v>18985</v>
      </c>
      <c r="H35182" s="21">
        <v>500</v>
      </c>
    </row>
    <row r="35183" spans="1:8" customFormat="1" x14ac:dyDescent="0.25">
      <c r="A35183" t="str">
        <f>"6232455"</f>
        <v>6232455</v>
      </c>
      <c r="B35183" t="s">
        <v>29003</v>
      </c>
      <c r="C35183" t="s">
        <v>7951</v>
      </c>
      <c r="D35183" s="21" t="s">
        <v>34</v>
      </c>
      <c r="E35183" s="21" t="s">
        <v>35</v>
      </c>
      <c r="F35183">
        <v>7620027</v>
      </c>
      <c r="G35183" t="s">
        <v>980</v>
      </c>
      <c r="H35183" s="21">
        <v>500</v>
      </c>
    </row>
    <row r="35184" spans="1:8" customFormat="1" x14ac:dyDescent="0.25">
      <c r="A35184" t="str">
        <f>"9D3044"</f>
        <v>9D3044</v>
      </c>
      <c r="B35184" t="s">
        <v>29004</v>
      </c>
      <c r="C35184" t="s">
        <v>462</v>
      </c>
      <c r="D35184" s="21" t="s">
        <v>34</v>
      </c>
      <c r="E35184" s="21" t="s">
        <v>35</v>
      </c>
      <c r="F35184" t="s">
        <v>4116</v>
      </c>
      <c r="G35184" t="s">
        <v>4117</v>
      </c>
      <c r="H35184" s="21">
        <v>500</v>
      </c>
    </row>
    <row r="35185" spans="1:8" customFormat="1" x14ac:dyDescent="0.25">
      <c r="A35185" t="str">
        <f>"4430217"</f>
        <v>4430217</v>
      </c>
      <c r="B35185" t="s">
        <v>7451</v>
      </c>
      <c r="C35185" t="s">
        <v>65</v>
      </c>
      <c r="D35185" s="21" t="s">
        <v>34</v>
      </c>
      <c r="E35185" s="21" t="s">
        <v>35</v>
      </c>
      <c r="F35185">
        <v>12440021</v>
      </c>
      <c r="G35185" t="s">
        <v>429</v>
      </c>
      <c r="H35185" s="21">
        <v>500</v>
      </c>
    </row>
    <row r="35186" spans="1:8" customFormat="1" x14ac:dyDescent="0.25">
      <c r="A35186" t="str">
        <f>"805438"</f>
        <v>805438</v>
      </c>
      <c r="B35186" t="s">
        <v>15825</v>
      </c>
      <c r="C35186" t="s">
        <v>1665</v>
      </c>
      <c r="D35186" s="21" t="s">
        <v>34</v>
      </c>
      <c r="E35186" s="21" t="s">
        <v>254</v>
      </c>
      <c r="F35186">
        <v>7800104</v>
      </c>
      <c r="G35186" t="s">
        <v>22839</v>
      </c>
      <c r="H35186" s="21">
        <v>500</v>
      </c>
    </row>
    <row r="35187" spans="1:8" customFormat="1" x14ac:dyDescent="0.25">
      <c r="A35187" t="str">
        <f>"7222302"</f>
        <v>7222302</v>
      </c>
      <c r="B35187" t="s">
        <v>24817</v>
      </c>
      <c r="C35187" t="s">
        <v>305</v>
      </c>
      <c r="D35187" s="21" t="s">
        <v>34</v>
      </c>
      <c r="E35187" s="21" t="s">
        <v>35</v>
      </c>
      <c r="F35187">
        <v>12720048</v>
      </c>
      <c r="G35187" t="s">
        <v>3264</v>
      </c>
      <c r="H35187" s="21">
        <v>500</v>
      </c>
    </row>
    <row r="35188" spans="1:8" customFormat="1" x14ac:dyDescent="0.25">
      <c r="A35188" t="str">
        <f>"3339198"</f>
        <v>3339198</v>
      </c>
      <c r="B35188" t="s">
        <v>23376</v>
      </c>
      <c r="C35188" t="s">
        <v>1110</v>
      </c>
      <c r="D35188" s="21" t="s">
        <v>34</v>
      </c>
      <c r="E35188" s="21" t="s">
        <v>254</v>
      </c>
      <c r="F35188">
        <v>10330071</v>
      </c>
      <c r="G35188" t="s">
        <v>22915</v>
      </c>
      <c r="H35188" s="21">
        <v>500</v>
      </c>
    </row>
    <row r="35189" spans="1:8" customFormat="1" x14ac:dyDescent="0.25">
      <c r="A35189" t="str">
        <f>"4450313"</f>
        <v>4450313</v>
      </c>
      <c r="B35189" t="s">
        <v>1859</v>
      </c>
      <c r="C35189" t="s">
        <v>33</v>
      </c>
      <c r="D35189" s="21" t="s">
        <v>34</v>
      </c>
      <c r="E35189" s="21" t="s">
        <v>35</v>
      </c>
      <c r="F35189">
        <v>12440056</v>
      </c>
      <c r="G35189" t="s">
        <v>2037</v>
      </c>
      <c r="H35189" s="21">
        <v>500</v>
      </c>
    </row>
    <row r="35190" spans="1:8" customFormat="1" x14ac:dyDescent="0.25">
      <c r="A35190" t="str">
        <f>"5020980"</f>
        <v>5020980</v>
      </c>
      <c r="B35190" t="s">
        <v>14747</v>
      </c>
      <c r="C35190" t="s">
        <v>24458</v>
      </c>
      <c r="D35190" s="21" t="s">
        <v>34</v>
      </c>
      <c r="E35190" s="21" t="s">
        <v>71</v>
      </c>
      <c r="F35190">
        <v>9500014</v>
      </c>
      <c r="G35190" t="s">
        <v>12474</v>
      </c>
      <c r="H35190" s="21">
        <v>500</v>
      </c>
    </row>
    <row r="35191" spans="1:8" customFormat="1" x14ac:dyDescent="0.25">
      <c r="A35191" t="str">
        <f>"7524770"</f>
        <v>7524770</v>
      </c>
      <c r="B35191" t="s">
        <v>7201</v>
      </c>
      <c r="C35191" t="s">
        <v>269</v>
      </c>
      <c r="D35191" s="21" t="s">
        <v>34</v>
      </c>
      <c r="E35191" s="21" t="s">
        <v>71</v>
      </c>
      <c r="F35191">
        <v>8751279</v>
      </c>
      <c r="G35191" t="s">
        <v>13340</v>
      </c>
      <c r="H35191" s="21">
        <v>500</v>
      </c>
    </row>
    <row r="35192" spans="1:8" customFormat="1" x14ac:dyDescent="0.25">
      <c r="A35192" t="str">
        <f>"7641202"</f>
        <v>7641202</v>
      </c>
      <c r="B35192" t="s">
        <v>2405</v>
      </c>
      <c r="C35192" t="s">
        <v>204</v>
      </c>
      <c r="D35192" s="21" t="s">
        <v>34</v>
      </c>
      <c r="E35192" s="21" t="s">
        <v>35</v>
      </c>
      <c r="F35192">
        <v>9760107</v>
      </c>
      <c r="G35192" t="s">
        <v>122</v>
      </c>
      <c r="H35192" s="21">
        <v>500</v>
      </c>
    </row>
    <row r="35193" spans="1:8" customFormat="1" x14ac:dyDescent="0.25">
      <c r="A35193" t="str">
        <f>"668515"</f>
        <v>668515</v>
      </c>
      <c r="B35193" t="s">
        <v>29005</v>
      </c>
      <c r="C35193" t="s">
        <v>209</v>
      </c>
      <c r="D35193" s="21" t="s">
        <v>34</v>
      </c>
      <c r="E35193" s="21" t="s">
        <v>254</v>
      </c>
      <c r="F35193">
        <v>11660008</v>
      </c>
      <c r="G35193" t="s">
        <v>16161</v>
      </c>
      <c r="H35193" s="21">
        <v>500</v>
      </c>
    </row>
    <row r="35194" spans="1:8" customFormat="1" x14ac:dyDescent="0.25">
      <c r="A35194" t="str">
        <f>"8528743"</f>
        <v>8528743</v>
      </c>
      <c r="B35194" t="s">
        <v>29006</v>
      </c>
      <c r="C35194" t="s">
        <v>1665</v>
      </c>
      <c r="D35194" s="21" t="s">
        <v>34</v>
      </c>
      <c r="E35194" s="21" t="s">
        <v>35</v>
      </c>
      <c r="F35194">
        <v>12850026</v>
      </c>
      <c r="G35194" t="s">
        <v>1400</v>
      </c>
      <c r="H35194" s="21">
        <v>500</v>
      </c>
    </row>
    <row r="35195" spans="1:8" customFormat="1" x14ac:dyDescent="0.25">
      <c r="A35195" t="str">
        <f>"838384"</f>
        <v>838384</v>
      </c>
      <c r="B35195" t="s">
        <v>21995</v>
      </c>
      <c r="C35195" t="s">
        <v>576</v>
      </c>
      <c r="D35195" s="21" t="s">
        <v>34</v>
      </c>
      <c r="E35195" s="21" t="s">
        <v>35</v>
      </c>
      <c r="F35195">
        <v>13830044</v>
      </c>
      <c r="G35195" t="s">
        <v>945</v>
      </c>
      <c r="H35195" s="21">
        <v>500</v>
      </c>
    </row>
    <row r="35196" spans="1:8" customFormat="1" x14ac:dyDescent="0.25">
      <c r="A35196" t="str">
        <f>"9B529"</f>
        <v>9B529</v>
      </c>
      <c r="B35196" t="s">
        <v>8487</v>
      </c>
      <c r="C35196" t="s">
        <v>712</v>
      </c>
      <c r="D35196" s="21" t="s">
        <v>34</v>
      </c>
      <c r="E35196" s="21" t="s">
        <v>1089</v>
      </c>
      <c r="F35196" t="s">
        <v>5520</v>
      </c>
      <c r="G35196" t="s">
        <v>5521</v>
      </c>
      <c r="H35196" s="21">
        <v>500</v>
      </c>
    </row>
    <row r="35197" spans="1:8" customFormat="1" x14ac:dyDescent="0.25">
      <c r="A35197" t="str">
        <f>"5972450"</f>
        <v>5972450</v>
      </c>
      <c r="B35197" t="s">
        <v>24486</v>
      </c>
      <c r="C35197" t="s">
        <v>528</v>
      </c>
      <c r="D35197" s="21" t="s">
        <v>34</v>
      </c>
      <c r="E35197" s="21" t="s">
        <v>35</v>
      </c>
      <c r="F35197">
        <v>7590034</v>
      </c>
      <c r="G35197" t="s">
        <v>17085</v>
      </c>
      <c r="H35197" s="21">
        <v>500</v>
      </c>
    </row>
    <row r="35198" spans="1:8" customFormat="1" x14ac:dyDescent="0.25">
      <c r="A35198" t="str">
        <f>"648068"</f>
        <v>648068</v>
      </c>
      <c r="B35198" t="s">
        <v>5292</v>
      </c>
      <c r="C35198" t="s">
        <v>1489</v>
      </c>
      <c r="D35198" s="21" t="s">
        <v>34</v>
      </c>
      <c r="E35198" s="21" t="s">
        <v>254</v>
      </c>
      <c r="F35198">
        <v>10640001</v>
      </c>
      <c r="G35198" t="s">
        <v>2419</v>
      </c>
      <c r="H35198" s="21">
        <v>500</v>
      </c>
    </row>
    <row r="35199" spans="1:8" customFormat="1" x14ac:dyDescent="0.25">
      <c r="A35199" t="str">
        <f>"4451806"</f>
        <v>4451806</v>
      </c>
      <c r="B35199" t="s">
        <v>7388</v>
      </c>
      <c r="C35199" t="s">
        <v>598</v>
      </c>
      <c r="D35199" s="21" t="s">
        <v>34</v>
      </c>
      <c r="E35199" s="21" t="s">
        <v>1089</v>
      </c>
      <c r="F35199">
        <v>12440032</v>
      </c>
      <c r="G35199" t="s">
        <v>9296</v>
      </c>
      <c r="H35199" s="21">
        <v>500</v>
      </c>
    </row>
    <row r="35200" spans="1:8" customFormat="1" x14ac:dyDescent="0.25">
      <c r="A35200" t="str">
        <f>"9458707"</f>
        <v>9458707</v>
      </c>
      <c r="B35200" t="s">
        <v>29007</v>
      </c>
      <c r="C35200" t="s">
        <v>2838</v>
      </c>
      <c r="D35200" s="21" t="s">
        <v>34</v>
      </c>
      <c r="E35200" s="21" t="s">
        <v>35</v>
      </c>
      <c r="F35200">
        <v>8940448</v>
      </c>
      <c r="G35200" t="s">
        <v>1691</v>
      </c>
      <c r="H35200" s="21">
        <v>500</v>
      </c>
    </row>
    <row r="35201" spans="1:8" customFormat="1" x14ac:dyDescent="0.25">
      <c r="A35201" t="str">
        <f>"0812193"</f>
        <v>0812193</v>
      </c>
      <c r="B35201" t="s">
        <v>1349</v>
      </c>
      <c r="C35201" t="s">
        <v>169</v>
      </c>
      <c r="D35201" s="21" t="s">
        <v>34</v>
      </c>
      <c r="E35201" s="21" t="s">
        <v>35</v>
      </c>
      <c r="F35201">
        <v>6080064</v>
      </c>
      <c r="G35201" t="s">
        <v>5825</v>
      </c>
      <c r="H35201" s="21">
        <v>500</v>
      </c>
    </row>
    <row r="35202" spans="1:8" customFormat="1" x14ac:dyDescent="0.25">
      <c r="A35202" t="str">
        <f>"1411451"</f>
        <v>1411451</v>
      </c>
      <c r="B35202" t="s">
        <v>18138</v>
      </c>
      <c r="C35202" t="s">
        <v>1665</v>
      </c>
      <c r="D35202" s="21" t="s">
        <v>34</v>
      </c>
      <c r="E35202" s="21" t="s">
        <v>35</v>
      </c>
      <c r="F35202">
        <v>9140014</v>
      </c>
      <c r="G35202" t="s">
        <v>9546</v>
      </c>
      <c r="H35202" s="21">
        <v>500</v>
      </c>
    </row>
    <row r="35203" spans="1:8" customFormat="1" x14ac:dyDescent="0.25">
      <c r="A35203" t="str">
        <f>"0114378"</f>
        <v>0114378</v>
      </c>
      <c r="B35203" t="s">
        <v>23987</v>
      </c>
      <c r="C35203" t="s">
        <v>119</v>
      </c>
      <c r="D35203" s="21" t="s">
        <v>34</v>
      </c>
      <c r="E35203" s="21" t="s">
        <v>35</v>
      </c>
      <c r="F35203">
        <v>1010054</v>
      </c>
      <c r="G35203" t="s">
        <v>8991</v>
      </c>
      <c r="H35203" s="21">
        <v>500</v>
      </c>
    </row>
    <row r="35204" spans="1:8" customFormat="1" x14ac:dyDescent="0.25">
      <c r="A35204" t="str">
        <f>"7523263"</f>
        <v>7523263</v>
      </c>
      <c r="B35204" t="s">
        <v>24653</v>
      </c>
      <c r="C35204" t="s">
        <v>139</v>
      </c>
      <c r="D35204" s="21" t="s">
        <v>34</v>
      </c>
      <c r="E35204" s="21" t="s">
        <v>71</v>
      </c>
      <c r="F35204">
        <v>8751124</v>
      </c>
      <c r="G35204" t="s">
        <v>1481</v>
      </c>
      <c r="H35204" s="21">
        <v>500</v>
      </c>
    </row>
    <row r="35205" spans="1:8" customFormat="1" x14ac:dyDescent="0.25">
      <c r="A35205" t="str">
        <f>"941631"</f>
        <v>941631</v>
      </c>
      <c r="B35205" t="s">
        <v>29008</v>
      </c>
      <c r="C35205" t="s">
        <v>547</v>
      </c>
      <c r="D35205" s="21" t="s">
        <v>34</v>
      </c>
      <c r="E35205" s="21" t="s">
        <v>1089</v>
      </c>
      <c r="F35205">
        <v>8940975</v>
      </c>
      <c r="G35205" t="s">
        <v>7959</v>
      </c>
      <c r="H35205" s="21">
        <v>500</v>
      </c>
    </row>
    <row r="35206" spans="1:8" customFormat="1" x14ac:dyDescent="0.25">
      <c r="A35206" t="str">
        <f>"5972965"</f>
        <v>5972965</v>
      </c>
      <c r="B35206" t="s">
        <v>16710</v>
      </c>
      <c r="C35206" t="s">
        <v>263</v>
      </c>
      <c r="D35206" s="21" t="s">
        <v>34</v>
      </c>
      <c r="E35206" s="21" t="s">
        <v>254</v>
      </c>
      <c r="F35206">
        <v>7590170</v>
      </c>
      <c r="G35206" t="s">
        <v>868</v>
      </c>
      <c r="H35206" s="21">
        <v>500</v>
      </c>
    </row>
    <row r="35207" spans="1:8" customFormat="1" x14ac:dyDescent="0.25">
      <c r="A35207" t="str">
        <f>"4917027"</f>
        <v>4917027</v>
      </c>
      <c r="B35207" t="s">
        <v>19242</v>
      </c>
      <c r="C35207" t="s">
        <v>3784</v>
      </c>
      <c r="D35207" s="21" t="s">
        <v>34</v>
      </c>
      <c r="E35207" s="21" t="s">
        <v>254</v>
      </c>
      <c r="F35207">
        <v>12490031</v>
      </c>
      <c r="G35207" t="s">
        <v>23316</v>
      </c>
      <c r="H35207" s="21">
        <v>500</v>
      </c>
    </row>
    <row r="35208" spans="1:8" customFormat="1" x14ac:dyDescent="0.25">
      <c r="A35208" t="str">
        <f>"7413053"</f>
        <v>7413053</v>
      </c>
      <c r="B35208" t="s">
        <v>29009</v>
      </c>
      <c r="C35208" t="s">
        <v>124</v>
      </c>
      <c r="D35208" s="21" t="s">
        <v>34</v>
      </c>
      <c r="E35208" s="21" t="s">
        <v>71</v>
      </c>
      <c r="F35208">
        <v>1740065</v>
      </c>
      <c r="G35208" t="s">
        <v>5226</v>
      </c>
      <c r="H35208" s="21">
        <v>500</v>
      </c>
    </row>
    <row r="35209" spans="1:8" customFormat="1" x14ac:dyDescent="0.25">
      <c r="A35209" t="str">
        <f>"3528674"</f>
        <v>3528674</v>
      </c>
      <c r="B35209" t="s">
        <v>23053</v>
      </c>
      <c r="C35209" t="s">
        <v>528</v>
      </c>
      <c r="D35209" s="21" t="s">
        <v>34</v>
      </c>
      <c r="E35209" s="21" t="s">
        <v>71</v>
      </c>
      <c r="F35209">
        <v>3350212</v>
      </c>
      <c r="G35209" t="s">
        <v>5154</v>
      </c>
      <c r="H35209" s="21">
        <v>500</v>
      </c>
    </row>
    <row r="35210" spans="1:8" customFormat="1" x14ac:dyDescent="0.25">
      <c r="A35210" t="str">
        <f>"3118478"</f>
        <v>3118478</v>
      </c>
      <c r="B35210" t="s">
        <v>22176</v>
      </c>
      <c r="C35210" t="s">
        <v>124</v>
      </c>
      <c r="D35210" s="21" t="s">
        <v>34</v>
      </c>
      <c r="E35210" s="21" t="s">
        <v>71</v>
      </c>
      <c r="F35210">
        <v>11310076</v>
      </c>
      <c r="G35210" t="s">
        <v>5782</v>
      </c>
      <c r="H35210" s="21">
        <v>500</v>
      </c>
    </row>
    <row r="35211" spans="1:8" customFormat="1" x14ac:dyDescent="0.25">
      <c r="A35211" t="str">
        <f>"6948686"</f>
        <v>6948686</v>
      </c>
      <c r="B35211" t="s">
        <v>29010</v>
      </c>
      <c r="C35211" t="s">
        <v>302</v>
      </c>
      <c r="D35211" s="21" t="s">
        <v>34</v>
      </c>
      <c r="E35211" s="21" t="s">
        <v>35</v>
      </c>
      <c r="F35211">
        <v>1690221</v>
      </c>
      <c r="G35211" t="s">
        <v>303</v>
      </c>
      <c r="H35211" s="21">
        <v>500</v>
      </c>
    </row>
    <row r="35212" spans="1:8" customFormat="1" x14ac:dyDescent="0.25">
      <c r="A35212" t="str">
        <f>"427139"</f>
        <v>427139</v>
      </c>
      <c r="B35212" t="s">
        <v>24519</v>
      </c>
      <c r="C35212" t="s">
        <v>209</v>
      </c>
      <c r="D35212" s="21" t="s">
        <v>34</v>
      </c>
      <c r="E35212" s="21" t="s">
        <v>35</v>
      </c>
      <c r="F35212">
        <v>1420128</v>
      </c>
      <c r="G35212" t="s">
        <v>449</v>
      </c>
      <c r="H35212" s="21">
        <v>500</v>
      </c>
    </row>
    <row r="35213" spans="1:8" customFormat="1" x14ac:dyDescent="0.25">
      <c r="A35213" t="str">
        <f>"3427369"</f>
        <v>3427369</v>
      </c>
      <c r="B35213" t="s">
        <v>503</v>
      </c>
      <c r="C35213" t="s">
        <v>87</v>
      </c>
      <c r="D35213" s="21" t="s">
        <v>34</v>
      </c>
      <c r="E35213" s="21" t="s">
        <v>71</v>
      </c>
      <c r="F35213">
        <v>11340014</v>
      </c>
      <c r="G35213" t="s">
        <v>1455</v>
      </c>
      <c r="H35213" s="21">
        <v>500</v>
      </c>
    </row>
    <row r="35214" spans="1:8" customFormat="1" x14ac:dyDescent="0.25">
      <c r="A35214" t="str">
        <f>"3427405"</f>
        <v>3427405</v>
      </c>
      <c r="B35214" t="s">
        <v>29011</v>
      </c>
      <c r="C35214" t="s">
        <v>29012</v>
      </c>
      <c r="D35214" s="21" t="s">
        <v>34</v>
      </c>
      <c r="E35214" s="21" t="s">
        <v>71</v>
      </c>
      <c r="F35214">
        <v>11340001</v>
      </c>
      <c r="G35214" t="s">
        <v>9248</v>
      </c>
      <c r="H35214" s="21">
        <v>500</v>
      </c>
    </row>
    <row r="35215" spans="1:8" customFormat="1" x14ac:dyDescent="0.25">
      <c r="A35215" t="str">
        <f>"6725122"</f>
        <v>6725122</v>
      </c>
      <c r="B35215" t="s">
        <v>21666</v>
      </c>
      <c r="C35215" t="s">
        <v>2479</v>
      </c>
      <c r="D35215" s="21" t="s">
        <v>34</v>
      </c>
      <c r="E35215" s="21" t="s">
        <v>1089</v>
      </c>
      <c r="F35215">
        <v>6670011</v>
      </c>
      <c r="G35215" t="s">
        <v>5493</v>
      </c>
      <c r="H35215" s="21">
        <v>500</v>
      </c>
    </row>
    <row r="35216" spans="1:8" customFormat="1" x14ac:dyDescent="0.25">
      <c r="A35216" t="str">
        <f>"9535133"</f>
        <v>9535133</v>
      </c>
      <c r="B35216" t="s">
        <v>14263</v>
      </c>
      <c r="C35216" t="s">
        <v>65</v>
      </c>
      <c r="D35216" s="21" t="s">
        <v>34</v>
      </c>
      <c r="E35216" s="21" t="s">
        <v>71</v>
      </c>
      <c r="F35216">
        <v>8951273</v>
      </c>
      <c r="G35216" t="s">
        <v>2382</v>
      </c>
      <c r="H35216" s="21">
        <v>500</v>
      </c>
    </row>
    <row r="35217" spans="1:8" customFormat="1" x14ac:dyDescent="0.25">
      <c r="A35217" t="str">
        <f>"2517138"</f>
        <v>2517138</v>
      </c>
      <c r="B35217" t="s">
        <v>29013</v>
      </c>
      <c r="C35217" t="s">
        <v>867</v>
      </c>
      <c r="D35217" s="21" t="s">
        <v>34</v>
      </c>
      <c r="E35217" s="21" t="s">
        <v>35</v>
      </c>
      <c r="F35217">
        <v>2250181</v>
      </c>
      <c r="G35217" t="s">
        <v>494</v>
      </c>
      <c r="H35217" s="21">
        <v>500</v>
      </c>
    </row>
    <row r="35218" spans="1:8" customFormat="1" x14ac:dyDescent="0.25">
      <c r="A35218" t="str">
        <f>"6253"</f>
        <v>6253</v>
      </c>
      <c r="B35218" t="s">
        <v>23567</v>
      </c>
      <c r="C35218" t="s">
        <v>412</v>
      </c>
      <c r="D35218" s="21" t="s">
        <v>34</v>
      </c>
      <c r="E35218" s="21" t="s">
        <v>1089</v>
      </c>
      <c r="F35218">
        <v>7620092</v>
      </c>
      <c r="G35218" t="s">
        <v>9874</v>
      </c>
      <c r="H35218" s="21">
        <v>500</v>
      </c>
    </row>
    <row r="35219" spans="1:8" customFormat="1" x14ac:dyDescent="0.25">
      <c r="A35219" t="str">
        <f>"7731850"</f>
        <v>7731850</v>
      </c>
      <c r="B35219" t="s">
        <v>6018</v>
      </c>
      <c r="C35219" t="s">
        <v>119</v>
      </c>
      <c r="D35219" s="21" t="s">
        <v>34</v>
      </c>
      <c r="E35219" s="21" t="s">
        <v>35</v>
      </c>
      <c r="F35219">
        <v>8771518</v>
      </c>
      <c r="G35219" t="s">
        <v>12274</v>
      </c>
      <c r="H35219" s="21">
        <v>500</v>
      </c>
    </row>
    <row r="35220" spans="1:8" customFormat="1" x14ac:dyDescent="0.25">
      <c r="A35220" t="str">
        <f>"9147055"</f>
        <v>9147055</v>
      </c>
      <c r="B35220" t="s">
        <v>29014</v>
      </c>
      <c r="C35220" t="s">
        <v>33</v>
      </c>
      <c r="D35220" s="21" t="s">
        <v>34</v>
      </c>
      <c r="E35220" s="21" t="s">
        <v>35</v>
      </c>
      <c r="F35220">
        <v>8911161</v>
      </c>
      <c r="G35220" t="s">
        <v>599</v>
      </c>
      <c r="H35220" s="21">
        <v>500</v>
      </c>
    </row>
    <row r="35221" spans="1:8" customFormat="1" x14ac:dyDescent="0.25">
      <c r="A35221" t="str">
        <f>"5946693"</f>
        <v>5946693</v>
      </c>
      <c r="B35221" t="s">
        <v>12172</v>
      </c>
      <c r="C35221" t="s">
        <v>1142</v>
      </c>
      <c r="D35221" s="21" t="s">
        <v>34</v>
      </c>
      <c r="E35221" s="21" t="s">
        <v>254</v>
      </c>
      <c r="F35221">
        <v>7590231</v>
      </c>
      <c r="G35221" t="s">
        <v>207</v>
      </c>
      <c r="H35221" s="21">
        <v>500</v>
      </c>
    </row>
    <row r="35222" spans="1:8" customFormat="1" x14ac:dyDescent="0.25">
      <c r="A35222" t="str">
        <f>"148448"</f>
        <v>148448</v>
      </c>
      <c r="B35222" t="s">
        <v>23643</v>
      </c>
      <c r="C35222" t="s">
        <v>462</v>
      </c>
      <c r="D35222" s="21" t="s">
        <v>34</v>
      </c>
      <c r="E35222" s="21" t="s">
        <v>254</v>
      </c>
      <c r="F35222">
        <v>9140115</v>
      </c>
      <c r="G35222" t="s">
        <v>26590</v>
      </c>
      <c r="H35222" s="21">
        <v>500</v>
      </c>
    </row>
    <row r="35223" spans="1:8" customFormat="1" x14ac:dyDescent="0.25">
      <c r="A35223" t="str">
        <f>"9517134"</f>
        <v>9517134</v>
      </c>
      <c r="B35223" t="s">
        <v>29015</v>
      </c>
      <c r="C35223" t="s">
        <v>822</v>
      </c>
      <c r="D35223" s="21" t="s">
        <v>34</v>
      </c>
      <c r="E35223" s="21" t="s">
        <v>71</v>
      </c>
      <c r="F35223">
        <v>8951399</v>
      </c>
      <c r="G35223" t="s">
        <v>6745</v>
      </c>
      <c r="H35223" s="21">
        <v>500</v>
      </c>
    </row>
    <row r="35224" spans="1:8" customFormat="1" x14ac:dyDescent="0.25">
      <c r="A35224" t="str">
        <f>"8615710"</f>
        <v>8615710</v>
      </c>
      <c r="B35224" t="s">
        <v>2360</v>
      </c>
      <c r="C35224" t="s">
        <v>119</v>
      </c>
      <c r="D35224" s="21" t="s">
        <v>34</v>
      </c>
      <c r="E35224" s="21" t="s">
        <v>35</v>
      </c>
      <c r="F35224">
        <v>10860122</v>
      </c>
      <c r="G35224" t="s">
        <v>3800</v>
      </c>
      <c r="H35224" s="21">
        <v>500</v>
      </c>
    </row>
    <row r="35225" spans="1:8" customFormat="1" x14ac:dyDescent="0.25">
      <c r="A35225" t="str">
        <f>"7515233"</f>
        <v>7515233</v>
      </c>
      <c r="B35225" t="s">
        <v>1840</v>
      </c>
      <c r="C35225" t="s">
        <v>23634</v>
      </c>
      <c r="D35225" s="21" t="s">
        <v>34</v>
      </c>
      <c r="E35225" s="21" t="s">
        <v>1089</v>
      </c>
      <c r="F35225">
        <v>8751423</v>
      </c>
      <c r="G35225" t="s">
        <v>4556</v>
      </c>
      <c r="H35225" s="21">
        <v>500</v>
      </c>
    </row>
    <row r="35226" spans="1:8" customFormat="1" x14ac:dyDescent="0.25">
      <c r="A35226" t="str">
        <f>"051254"</f>
        <v>051254</v>
      </c>
      <c r="B35226" t="s">
        <v>24092</v>
      </c>
      <c r="C35226" t="s">
        <v>379</v>
      </c>
      <c r="D35226" s="21" t="s">
        <v>34</v>
      </c>
      <c r="E35226" s="21" t="s">
        <v>1089</v>
      </c>
      <c r="F35226">
        <v>13050025</v>
      </c>
      <c r="G35226" t="s">
        <v>21714</v>
      </c>
      <c r="H35226" s="21">
        <v>500</v>
      </c>
    </row>
    <row r="35227" spans="1:8" customFormat="1" x14ac:dyDescent="0.25">
      <c r="A35227" t="str">
        <f>"9248769"</f>
        <v>9248769</v>
      </c>
      <c r="B35227" t="s">
        <v>12363</v>
      </c>
      <c r="C35227" t="s">
        <v>8618</v>
      </c>
      <c r="D35227" s="21" t="s">
        <v>34</v>
      </c>
      <c r="E35227" s="21" t="s">
        <v>35</v>
      </c>
      <c r="F35227">
        <v>8921458</v>
      </c>
      <c r="G35227" t="s">
        <v>162</v>
      </c>
      <c r="H35227" s="21">
        <v>500</v>
      </c>
    </row>
    <row r="35228" spans="1:8" customFormat="1" x14ac:dyDescent="0.25">
      <c r="A35228" t="str">
        <f>"942309"</f>
        <v>942309</v>
      </c>
      <c r="B35228" t="s">
        <v>23329</v>
      </c>
      <c r="C35228" t="s">
        <v>267</v>
      </c>
      <c r="D35228" s="21" t="s">
        <v>34</v>
      </c>
      <c r="E35228" s="21" t="s">
        <v>254</v>
      </c>
      <c r="F35228">
        <v>8751450</v>
      </c>
      <c r="G35228" t="s">
        <v>41</v>
      </c>
      <c r="H35228" s="21">
        <v>500</v>
      </c>
    </row>
    <row r="35229" spans="1:8" customFormat="1" x14ac:dyDescent="0.25">
      <c r="A35229" t="str">
        <f>"4937213"</f>
        <v>4937213</v>
      </c>
      <c r="B35229" t="s">
        <v>29016</v>
      </c>
      <c r="C35229" t="s">
        <v>263</v>
      </c>
      <c r="D35229" s="21" t="s">
        <v>34</v>
      </c>
      <c r="E35229" s="21" t="s">
        <v>71</v>
      </c>
      <c r="F35229">
        <v>12490124</v>
      </c>
      <c r="G35229" t="s">
        <v>677</v>
      </c>
      <c r="H35229" s="21">
        <v>500</v>
      </c>
    </row>
    <row r="35230" spans="1:8" customFormat="1" x14ac:dyDescent="0.25">
      <c r="A35230" t="str">
        <f>"9455207"</f>
        <v>9455207</v>
      </c>
      <c r="B35230" t="s">
        <v>23957</v>
      </c>
      <c r="C35230" t="s">
        <v>2305</v>
      </c>
      <c r="D35230" s="21" t="s">
        <v>34</v>
      </c>
      <c r="E35230" s="21" t="s">
        <v>71</v>
      </c>
      <c r="F35230">
        <v>8941352</v>
      </c>
      <c r="G35230" t="s">
        <v>3778</v>
      </c>
      <c r="H35230" s="21">
        <v>500</v>
      </c>
    </row>
    <row r="35231" spans="1:8" customFormat="1" x14ac:dyDescent="0.25">
      <c r="A35231" t="str">
        <f>"33760"</f>
        <v>33760</v>
      </c>
      <c r="B35231" t="s">
        <v>1833</v>
      </c>
      <c r="C35231" t="s">
        <v>415</v>
      </c>
      <c r="D35231" s="21" t="s">
        <v>34</v>
      </c>
      <c r="E35231" s="21" t="s">
        <v>254</v>
      </c>
      <c r="F35231">
        <v>10330002</v>
      </c>
      <c r="G35231" t="s">
        <v>53</v>
      </c>
      <c r="H35231" s="21">
        <v>500</v>
      </c>
    </row>
    <row r="35232" spans="1:8" customFormat="1" x14ac:dyDescent="0.25">
      <c r="A35232" t="str">
        <f>"3833738"</f>
        <v>3833738</v>
      </c>
      <c r="B35232" t="s">
        <v>6280</v>
      </c>
      <c r="C35232" t="s">
        <v>415</v>
      </c>
      <c r="D35232" s="21" t="s">
        <v>34</v>
      </c>
      <c r="E35232" s="21" t="s">
        <v>254</v>
      </c>
      <c r="F35232">
        <v>1380233</v>
      </c>
      <c r="G35232" t="s">
        <v>2694</v>
      </c>
      <c r="H35232" s="21">
        <v>500</v>
      </c>
    </row>
    <row r="35233" spans="1:8" customFormat="1" x14ac:dyDescent="0.25">
      <c r="A35233" t="str">
        <f>"8019874"</f>
        <v>8019874</v>
      </c>
      <c r="B35233" t="s">
        <v>29017</v>
      </c>
      <c r="C35233" t="s">
        <v>60</v>
      </c>
      <c r="D35233" s="21" t="s">
        <v>34</v>
      </c>
      <c r="E35233" s="21" t="s">
        <v>71</v>
      </c>
      <c r="F35233">
        <v>7800013</v>
      </c>
      <c r="G35233" t="s">
        <v>10778</v>
      </c>
      <c r="H35233" s="21">
        <v>500</v>
      </c>
    </row>
    <row r="35234" spans="1:8" customFormat="1" x14ac:dyDescent="0.25">
      <c r="A35234" t="str">
        <f>"3335526"</f>
        <v>3335526</v>
      </c>
      <c r="B35234" t="s">
        <v>482</v>
      </c>
      <c r="C35234" t="s">
        <v>55</v>
      </c>
      <c r="D35234" s="21" t="s">
        <v>34</v>
      </c>
      <c r="E35234" s="21" t="s">
        <v>35</v>
      </c>
      <c r="F35234">
        <v>10330076</v>
      </c>
      <c r="G35234" t="s">
        <v>3769</v>
      </c>
      <c r="H35234" s="21">
        <v>500</v>
      </c>
    </row>
    <row r="35235" spans="1:8" customFormat="1" x14ac:dyDescent="0.25">
      <c r="A35235" t="str">
        <f>"5949566"</f>
        <v>5949566</v>
      </c>
      <c r="B35235" t="s">
        <v>12967</v>
      </c>
      <c r="C35235" t="s">
        <v>149</v>
      </c>
      <c r="D35235" s="21" t="s">
        <v>34</v>
      </c>
      <c r="E35235" s="21" t="s">
        <v>35</v>
      </c>
      <c r="F35235">
        <v>7590390</v>
      </c>
      <c r="G35235" t="s">
        <v>18075</v>
      </c>
      <c r="H35235" s="21">
        <v>500</v>
      </c>
    </row>
    <row r="35236" spans="1:8" customFormat="1" x14ac:dyDescent="0.25">
      <c r="A35236" t="str">
        <f>"9431711"</f>
        <v>9431711</v>
      </c>
      <c r="B35236" t="s">
        <v>7700</v>
      </c>
      <c r="C35236" t="s">
        <v>486</v>
      </c>
      <c r="D35236" s="21" t="s">
        <v>34</v>
      </c>
      <c r="E35236" s="21" t="s">
        <v>71</v>
      </c>
      <c r="F35236">
        <v>7600027</v>
      </c>
      <c r="G35236" t="s">
        <v>2137</v>
      </c>
      <c r="H35236" s="21">
        <v>500</v>
      </c>
    </row>
    <row r="35237" spans="1:8" customFormat="1" x14ac:dyDescent="0.25">
      <c r="A35237" t="str">
        <f>"5966550"</f>
        <v>5966550</v>
      </c>
      <c r="B35237" t="s">
        <v>23668</v>
      </c>
      <c r="C35237" t="s">
        <v>822</v>
      </c>
      <c r="D35237" s="21" t="s">
        <v>34</v>
      </c>
      <c r="E35237" s="21" t="s">
        <v>254</v>
      </c>
      <c r="F35237">
        <v>7590288</v>
      </c>
      <c r="G35237" t="s">
        <v>6972</v>
      </c>
      <c r="H35237" s="21">
        <v>500</v>
      </c>
    </row>
    <row r="35238" spans="1:8" customFormat="1" x14ac:dyDescent="0.25">
      <c r="A35238" t="str">
        <f>"7872329"</f>
        <v>7872329</v>
      </c>
      <c r="B35238" t="s">
        <v>20008</v>
      </c>
      <c r="C35238" t="s">
        <v>598</v>
      </c>
      <c r="D35238" s="21" t="s">
        <v>34</v>
      </c>
      <c r="E35238" s="21" t="s">
        <v>71</v>
      </c>
      <c r="F35238">
        <v>8780660</v>
      </c>
      <c r="G35238" t="s">
        <v>2801</v>
      </c>
      <c r="H35238" s="21">
        <v>500</v>
      </c>
    </row>
    <row r="35239" spans="1:8" customFormat="1" x14ac:dyDescent="0.25">
      <c r="A35239" t="str">
        <f>"6315396"</f>
        <v>6315396</v>
      </c>
      <c r="B35239" t="s">
        <v>23404</v>
      </c>
      <c r="C35239" t="s">
        <v>275</v>
      </c>
      <c r="D35239" s="21" t="s">
        <v>34</v>
      </c>
      <c r="E35239" s="21" t="s">
        <v>35</v>
      </c>
      <c r="F35239">
        <v>1630303</v>
      </c>
      <c r="G35239" t="s">
        <v>8915</v>
      </c>
      <c r="H35239" s="21">
        <v>500</v>
      </c>
    </row>
    <row r="35240" spans="1:8" customFormat="1" x14ac:dyDescent="0.25">
      <c r="A35240" t="str">
        <f>"6949350"</f>
        <v>6949350</v>
      </c>
      <c r="B35240" t="s">
        <v>29018</v>
      </c>
      <c r="C35240" t="s">
        <v>23286</v>
      </c>
      <c r="D35240" s="21" t="s">
        <v>34</v>
      </c>
      <c r="E35240" s="21" t="s">
        <v>35</v>
      </c>
      <c r="F35240">
        <v>1690013</v>
      </c>
      <c r="G35240" t="s">
        <v>26900</v>
      </c>
      <c r="H35240" s="21">
        <v>500</v>
      </c>
    </row>
    <row r="35241" spans="1:8" customFormat="1" x14ac:dyDescent="0.25">
      <c r="A35241" t="str">
        <f>"6948810"</f>
        <v>6948810</v>
      </c>
      <c r="B35241" t="s">
        <v>23728</v>
      </c>
      <c r="C35241" t="s">
        <v>144</v>
      </c>
      <c r="D35241" s="21" t="s">
        <v>34</v>
      </c>
      <c r="E35241" s="21" t="s">
        <v>35</v>
      </c>
      <c r="F35241">
        <v>1690185</v>
      </c>
      <c r="G35241" t="s">
        <v>10841</v>
      </c>
      <c r="H35241" s="21">
        <v>500</v>
      </c>
    </row>
    <row r="35242" spans="1:8" customFormat="1" x14ac:dyDescent="0.25">
      <c r="A35242" t="str">
        <f>"112922"</f>
        <v>112922</v>
      </c>
      <c r="B35242" t="s">
        <v>17935</v>
      </c>
      <c r="C35242" t="s">
        <v>62</v>
      </c>
      <c r="D35242" s="21" t="s">
        <v>34</v>
      </c>
      <c r="E35242" s="21" t="s">
        <v>35</v>
      </c>
      <c r="F35242">
        <v>11110001</v>
      </c>
      <c r="G35242" t="s">
        <v>11560</v>
      </c>
      <c r="H35242" s="21">
        <v>500</v>
      </c>
    </row>
    <row r="35243" spans="1:8" customFormat="1" x14ac:dyDescent="0.25">
      <c r="A35243" t="str">
        <f>"67215"</f>
        <v>67215</v>
      </c>
      <c r="B35243" t="s">
        <v>11412</v>
      </c>
      <c r="C35243" t="s">
        <v>720</v>
      </c>
      <c r="D35243" s="21" t="s">
        <v>34</v>
      </c>
      <c r="E35243" s="21" t="s">
        <v>6185</v>
      </c>
      <c r="F35243">
        <v>6670272</v>
      </c>
      <c r="G35243" t="s">
        <v>26568</v>
      </c>
      <c r="H35243" s="21">
        <v>500</v>
      </c>
    </row>
    <row r="35244" spans="1:8" customFormat="1" x14ac:dyDescent="0.25">
      <c r="A35244" t="str">
        <f>"7514760"</f>
        <v>7514760</v>
      </c>
      <c r="B35244" t="s">
        <v>24475</v>
      </c>
      <c r="C35244" t="s">
        <v>43</v>
      </c>
      <c r="D35244" s="21" t="s">
        <v>34</v>
      </c>
      <c r="E35244" s="21" t="s">
        <v>35</v>
      </c>
      <c r="F35244">
        <v>1630005</v>
      </c>
      <c r="G35244" t="s">
        <v>8825</v>
      </c>
      <c r="H35244" s="21">
        <v>500</v>
      </c>
    </row>
    <row r="35245" spans="1:8" customFormat="1" x14ac:dyDescent="0.25">
      <c r="A35245" t="str">
        <f>"3531742"</f>
        <v>3531742</v>
      </c>
      <c r="B35245" t="s">
        <v>22884</v>
      </c>
      <c r="C35245" t="s">
        <v>1853</v>
      </c>
      <c r="D35245" s="21" t="s">
        <v>34</v>
      </c>
      <c r="E35245" s="21" t="s">
        <v>254</v>
      </c>
      <c r="F35245">
        <v>3350161</v>
      </c>
      <c r="G35245" t="s">
        <v>1507</v>
      </c>
      <c r="H35245" s="21">
        <v>500</v>
      </c>
    </row>
    <row r="35246" spans="1:8" customFormat="1" x14ac:dyDescent="0.25">
      <c r="A35246" t="str">
        <f>"6111888"</f>
        <v>6111888</v>
      </c>
      <c r="B35246" t="s">
        <v>6012</v>
      </c>
      <c r="C35246" t="s">
        <v>130</v>
      </c>
      <c r="D35246" s="21" t="s">
        <v>34</v>
      </c>
      <c r="E35246" s="21" t="s">
        <v>35</v>
      </c>
      <c r="F35246">
        <v>9610002</v>
      </c>
      <c r="G35246" t="s">
        <v>75</v>
      </c>
      <c r="H35246" s="21">
        <v>500</v>
      </c>
    </row>
    <row r="35247" spans="1:8" customFormat="1" x14ac:dyDescent="0.25">
      <c r="A35247" t="str">
        <f>"5911219"</f>
        <v>5911219</v>
      </c>
      <c r="B35247" t="s">
        <v>22247</v>
      </c>
      <c r="C35247" t="s">
        <v>263</v>
      </c>
      <c r="D35247" s="21" t="s">
        <v>34</v>
      </c>
      <c r="E35247" s="21" t="s">
        <v>1089</v>
      </c>
      <c r="F35247">
        <v>7590127</v>
      </c>
      <c r="G35247" t="s">
        <v>214</v>
      </c>
      <c r="H35247" s="21">
        <v>500</v>
      </c>
    </row>
    <row r="35248" spans="1:8" customFormat="1" x14ac:dyDescent="0.25">
      <c r="A35248" t="str">
        <f>"459588"</f>
        <v>459588</v>
      </c>
      <c r="B35248" t="s">
        <v>23566</v>
      </c>
      <c r="C35248" t="s">
        <v>3258</v>
      </c>
      <c r="D35248" s="21" t="s">
        <v>34</v>
      </c>
      <c r="E35248" s="21" t="s">
        <v>35</v>
      </c>
      <c r="F35248">
        <v>4450410</v>
      </c>
      <c r="G35248" t="s">
        <v>26525</v>
      </c>
      <c r="H35248" s="21">
        <v>500</v>
      </c>
    </row>
    <row r="35249" spans="1:8" customFormat="1" x14ac:dyDescent="0.25">
      <c r="A35249" t="str">
        <f>"2517356"</f>
        <v>2517356</v>
      </c>
      <c r="B35249" t="s">
        <v>3009</v>
      </c>
      <c r="C35249" t="s">
        <v>60</v>
      </c>
      <c r="D35249" s="21" t="s">
        <v>34</v>
      </c>
      <c r="E35249" s="21" t="s">
        <v>71</v>
      </c>
      <c r="F35249">
        <v>2250192</v>
      </c>
      <c r="G35249" t="s">
        <v>14058</v>
      </c>
      <c r="H35249" s="21">
        <v>500</v>
      </c>
    </row>
    <row r="35250" spans="1:8" customFormat="1" x14ac:dyDescent="0.25">
      <c r="A35250" t="str">
        <f>"3323925"</f>
        <v>3323925</v>
      </c>
      <c r="B35250" t="s">
        <v>12465</v>
      </c>
      <c r="C35250" t="s">
        <v>1812</v>
      </c>
      <c r="D35250" s="21" t="s">
        <v>34</v>
      </c>
      <c r="E35250" s="21" t="s">
        <v>254</v>
      </c>
      <c r="F35250">
        <v>10330098</v>
      </c>
      <c r="G35250" t="s">
        <v>8299</v>
      </c>
      <c r="H35250" s="21">
        <v>500</v>
      </c>
    </row>
    <row r="35251" spans="1:8" customFormat="1" x14ac:dyDescent="0.25">
      <c r="A35251" t="str">
        <f>"6210759"</f>
        <v>6210759</v>
      </c>
      <c r="B35251" t="s">
        <v>23166</v>
      </c>
      <c r="C35251" t="s">
        <v>453</v>
      </c>
      <c r="D35251" s="21" t="s">
        <v>34</v>
      </c>
      <c r="E35251" s="21" t="s">
        <v>1089</v>
      </c>
      <c r="F35251">
        <v>7620057</v>
      </c>
      <c r="G35251" t="s">
        <v>184</v>
      </c>
      <c r="H35251" s="21">
        <v>500</v>
      </c>
    </row>
    <row r="35252" spans="1:8" customFormat="1" x14ac:dyDescent="0.25">
      <c r="A35252" t="str">
        <f>"627070"</f>
        <v>627070</v>
      </c>
      <c r="B35252" t="s">
        <v>23300</v>
      </c>
      <c r="C35252" t="s">
        <v>236</v>
      </c>
      <c r="D35252" s="21" t="s">
        <v>34</v>
      </c>
      <c r="E35252" s="21" t="s">
        <v>254</v>
      </c>
      <c r="F35252">
        <v>7620038</v>
      </c>
      <c r="G35252" t="s">
        <v>5049</v>
      </c>
      <c r="H35252" s="21">
        <v>500</v>
      </c>
    </row>
    <row r="35253" spans="1:8" customFormat="1" x14ac:dyDescent="0.25">
      <c r="A35253" t="str">
        <f>"0212354"</f>
        <v>0212354</v>
      </c>
      <c r="B35253" t="s">
        <v>7041</v>
      </c>
      <c r="C35253" t="s">
        <v>33</v>
      </c>
      <c r="D35253" s="21" t="s">
        <v>34</v>
      </c>
      <c r="E35253" s="21" t="s">
        <v>35</v>
      </c>
      <c r="F35253">
        <v>7020001</v>
      </c>
      <c r="G35253" t="s">
        <v>3854</v>
      </c>
      <c r="H35253" s="21">
        <v>500</v>
      </c>
    </row>
    <row r="35254" spans="1:8" customFormat="1" x14ac:dyDescent="0.25">
      <c r="A35254" t="str">
        <f>"2721541"</f>
        <v>2721541</v>
      </c>
      <c r="B35254" t="s">
        <v>10301</v>
      </c>
      <c r="C35254" t="s">
        <v>124</v>
      </c>
      <c r="D35254" s="21" t="s">
        <v>34</v>
      </c>
      <c r="E35254" s="21" t="s">
        <v>71</v>
      </c>
      <c r="F35254">
        <v>9270006</v>
      </c>
      <c r="G35254" t="s">
        <v>780</v>
      </c>
      <c r="H35254" s="21">
        <v>500</v>
      </c>
    </row>
    <row r="35255" spans="1:8" customFormat="1" x14ac:dyDescent="0.25">
      <c r="A35255" t="str">
        <f>"247206"</f>
        <v>247206</v>
      </c>
      <c r="B35255" t="s">
        <v>4649</v>
      </c>
      <c r="C35255" t="s">
        <v>2276</v>
      </c>
      <c r="D35255" s="21" t="s">
        <v>34</v>
      </c>
      <c r="E35255" s="21" t="s">
        <v>71</v>
      </c>
      <c r="F35255">
        <v>10240014</v>
      </c>
      <c r="G35255" t="s">
        <v>5445</v>
      </c>
      <c r="H35255" s="21">
        <v>500</v>
      </c>
    </row>
    <row r="35256" spans="1:8" customFormat="1" x14ac:dyDescent="0.25">
      <c r="A35256" t="str">
        <f>"7918716"</f>
        <v>7918716</v>
      </c>
      <c r="B35256" t="s">
        <v>21926</v>
      </c>
      <c r="C35256" t="s">
        <v>750</v>
      </c>
      <c r="D35256" s="21" t="s">
        <v>34</v>
      </c>
      <c r="E35256" s="21" t="s">
        <v>254</v>
      </c>
      <c r="F35256">
        <v>10790058</v>
      </c>
      <c r="G35256" t="s">
        <v>6512</v>
      </c>
      <c r="H35256" s="21">
        <v>500</v>
      </c>
    </row>
    <row r="35257" spans="1:8" customFormat="1" x14ac:dyDescent="0.25">
      <c r="A35257" t="str">
        <f>"9252496"</f>
        <v>9252496</v>
      </c>
      <c r="B35257" t="s">
        <v>29019</v>
      </c>
      <c r="C35257" t="s">
        <v>156</v>
      </c>
      <c r="D35257" s="21" t="s">
        <v>34</v>
      </c>
      <c r="E35257" s="21" t="s">
        <v>35</v>
      </c>
      <c r="F35257">
        <v>8921182</v>
      </c>
      <c r="G35257" t="s">
        <v>26954</v>
      </c>
      <c r="H35257" s="21">
        <v>500</v>
      </c>
    </row>
    <row r="35258" spans="1:8" customFormat="1" x14ac:dyDescent="0.25">
      <c r="A35258" t="str">
        <f>"101496"</f>
        <v>101496</v>
      </c>
      <c r="B35258" t="s">
        <v>22060</v>
      </c>
      <c r="C35258" t="s">
        <v>249</v>
      </c>
      <c r="D35258" s="21" t="s">
        <v>34</v>
      </c>
      <c r="E35258" s="21" t="s">
        <v>71</v>
      </c>
      <c r="F35258">
        <v>6100015</v>
      </c>
      <c r="G35258" t="s">
        <v>6173</v>
      </c>
      <c r="H35258" s="21">
        <v>500</v>
      </c>
    </row>
    <row r="35259" spans="1:8" customFormat="1" x14ac:dyDescent="0.25">
      <c r="A35259" t="str">
        <f>"5920564"</f>
        <v>5920564</v>
      </c>
      <c r="B35259" t="s">
        <v>23708</v>
      </c>
      <c r="C35259" t="s">
        <v>2132</v>
      </c>
      <c r="D35259" s="21" t="s">
        <v>34</v>
      </c>
      <c r="E35259" s="21" t="s">
        <v>254</v>
      </c>
      <c r="F35259">
        <v>7590347</v>
      </c>
      <c r="G35259" t="s">
        <v>6041</v>
      </c>
      <c r="H35259" s="21">
        <v>500</v>
      </c>
    </row>
    <row r="35260" spans="1:8" customFormat="1" x14ac:dyDescent="0.25">
      <c r="A35260" t="str">
        <f>"75451"</f>
        <v>75451</v>
      </c>
      <c r="B35260" t="s">
        <v>23674</v>
      </c>
      <c r="C35260" t="s">
        <v>412</v>
      </c>
      <c r="D35260" s="21" t="s">
        <v>34</v>
      </c>
      <c r="E35260" s="21" t="s">
        <v>6185</v>
      </c>
      <c r="F35260">
        <v>8750074</v>
      </c>
      <c r="G35260" t="s">
        <v>698</v>
      </c>
      <c r="H35260" s="21">
        <v>500</v>
      </c>
    </row>
    <row r="35261" spans="1:8" customFormat="1" x14ac:dyDescent="0.25">
      <c r="A35261" t="str">
        <f>"915688"</f>
        <v>915688</v>
      </c>
      <c r="B35261" t="s">
        <v>24339</v>
      </c>
      <c r="C35261" t="s">
        <v>24340</v>
      </c>
      <c r="D35261" s="21" t="s">
        <v>34</v>
      </c>
      <c r="E35261" s="21" t="s">
        <v>1089</v>
      </c>
      <c r="F35261">
        <v>8910077</v>
      </c>
      <c r="G35261" t="s">
        <v>1380</v>
      </c>
      <c r="H35261" s="21">
        <v>500</v>
      </c>
    </row>
    <row r="35262" spans="1:8" customFormat="1" x14ac:dyDescent="0.25">
      <c r="A35262" t="str">
        <f>"4213207"</f>
        <v>4213207</v>
      </c>
      <c r="B35262" t="s">
        <v>5435</v>
      </c>
      <c r="C35262" t="s">
        <v>209</v>
      </c>
      <c r="D35262" s="21" t="s">
        <v>34</v>
      </c>
      <c r="E35262" s="21" t="s">
        <v>71</v>
      </c>
      <c r="F35262">
        <v>1420010</v>
      </c>
      <c r="G35262" t="s">
        <v>1937</v>
      </c>
      <c r="H35262" s="21">
        <v>500</v>
      </c>
    </row>
    <row r="35263" spans="1:8" customFormat="1" x14ac:dyDescent="0.25">
      <c r="A35263" t="str">
        <f>"6023770"</f>
        <v>6023770</v>
      </c>
      <c r="B35263" t="s">
        <v>14150</v>
      </c>
      <c r="C35263" t="s">
        <v>547</v>
      </c>
      <c r="D35263" s="21" t="s">
        <v>34</v>
      </c>
      <c r="E35263" s="21" t="s">
        <v>254</v>
      </c>
      <c r="F35263">
        <v>7600161</v>
      </c>
      <c r="G35263" t="s">
        <v>6023</v>
      </c>
      <c r="H35263" s="21">
        <v>500</v>
      </c>
    </row>
    <row r="35264" spans="1:8" customFormat="1" x14ac:dyDescent="0.25">
      <c r="A35264" t="str">
        <f>"9C663"</f>
        <v>9C663</v>
      </c>
      <c r="B35264" t="s">
        <v>29020</v>
      </c>
      <c r="C35264" t="s">
        <v>1119</v>
      </c>
      <c r="D35264" s="21" t="s">
        <v>34</v>
      </c>
      <c r="E35264" s="21" t="s">
        <v>71</v>
      </c>
      <c r="F35264" t="s">
        <v>23336</v>
      </c>
      <c r="G35264" t="s">
        <v>23337</v>
      </c>
      <c r="H35264" s="21">
        <v>500</v>
      </c>
    </row>
    <row r="35265" spans="1:8" customFormat="1" x14ac:dyDescent="0.25">
      <c r="A35265" t="str">
        <f>"614218"</f>
        <v>614218</v>
      </c>
      <c r="B35265" t="s">
        <v>8654</v>
      </c>
      <c r="C35265" t="s">
        <v>3010</v>
      </c>
      <c r="D35265" s="21" t="s">
        <v>34</v>
      </c>
      <c r="E35265" s="21" t="s">
        <v>1089</v>
      </c>
      <c r="F35265">
        <v>9610002</v>
      </c>
      <c r="G35265" t="s">
        <v>75</v>
      </c>
      <c r="H35265" s="21">
        <v>500</v>
      </c>
    </row>
    <row r="35266" spans="1:8" customFormat="1" x14ac:dyDescent="0.25">
      <c r="A35266" t="str">
        <f>"6023602"</f>
        <v>6023602</v>
      </c>
      <c r="B35266" t="s">
        <v>8149</v>
      </c>
      <c r="C35266" t="s">
        <v>40</v>
      </c>
      <c r="D35266" s="21" t="s">
        <v>34</v>
      </c>
      <c r="E35266" s="21" t="s">
        <v>71</v>
      </c>
      <c r="F35266">
        <v>7600157</v>
      </c>
      <c r="G35266" t="s">
        <v>12263</v>
      </c>
      <c r="H35266" s="21">
        <v>500</v>
      </c>
    </row>
    <row r="35267" spans="1:8" customFormat="1" x14ac:dyDescent="0.25">
      <c r="A35267" t="str">
        <f>"3314413"</f>
        <v>3314413</v>
      </c>
      <c r="B35267" t="s">
        <v>3416</v>
      </c>
      <c r="C35267" t="s">
        <v>453</v>
      </c>
      <c r="D35267" s="21" t="s">
        <v>34</v>
      </c>
      <c r="E35267" s="21" t="s">
        <v>1089</v>
      </c>
      <c r="F35267">
        <v>10330069</v>
      </c>
      <c r="G35267" t="s">
        <v>15951</v>
      </c>
      <c r="H35267" s="21">
        <v>500</v>
      </c>
    </row>
    <row r="35268" spans="1:8" customFormat="1" x14ac:dyDescent="0.25">
      <c r="A35268" t="str">
        <f>"039156"</f>
        <v>039156</v>
      </c>
      <c r="B35268" t="s">
        <v>1737</v>
      </c>
      <c r="C35268" t="s">
        <v>275</v>
      </c>
      <c r="D35268" s="21" t="s">
        <v>34</v>
      </c>
      <c r="E35268" s="21" t="s">
        <v>35</v>
      </c>
      <c r="F35268">
        <v>1030082</v>
      </c>
      <c r="G35268" t="s">
        <v>26828</v>
      </c>
      <c r="H35268" s="21">
        <v>500</v>
      </c>
    </row>
    <row r="35269" spans="1:8" customFormat="1" x14ac:dyDescent="0.25">
      <c r="A35269" t="str">
        <f>"2712305"</f>
        <v>2712305</v>
      </c>
      <c r="B35269" t="s">
        <v>7114</v>
      </c>
      <c r="C35269" t="s">
        <v>239</v>
      </c>
      <c r="D35269" s="21" t="s">
        <v>34</v>
      </c>
      <c r="E35269" s="21" t="s">
        <v>1089</v>
      </c>
      <c r="F35269">
        <v>9270110</v>
      </c>
      <c r="G35269" t="s">
        <v>7417</v>
      </c>
      <c r="H35269" s="21">
        <v>500</v>
      </c>
    </row>
    <row r="35270" spans="1:8" customFormat="1" x14ac:dyDescent="0.25">
      <c r="A35270" t="str">
        <f>"188979"</f>
        <v>188979</v>
      </c>
      <c r="B35270" t="s">
        <v>23301</v>
      </c>
      <c r="C35270" t="s">
        <v>246</v>
      </c>
      <c r="D35270" s="21" t="s">
        <v>34</v>
      </c>
      <c r="E35270" s="21" t="s">
        <v>71</v>
      </c>
      <c r="F35270">
        <v>4180644</v>
      </c>
      <c r="G35270" t="s">
        <v>17253</v>
      </c>
      <c r="H35270" s="21">
        <v>500</v>
      </c>
    </row>
    <row r="35271" spans="1:8" customFormat="1" x14ac:dyDescent="0.25">
      <c r="A35271" t="str">
        <f>"3538650"</f>
        <v>3538650</v>
      </c>
      <c r="B35271" t="s">
        <v>29021</v>
      </c>
      <c r="C35271" t="s">
        <v>328</v>
      </c>
      <c r="D35271" s="21" t="s">
        <v>34</v>
      </c>
      <c r="E35271" s="21" t="s">
        <v>35</v>
      </c>
      <c r="F35271">
        <v>3350226</v>
      </c>
      <c r="G35271" t="s">
        <v>18219</v>
      </c>
      <c r="H35271" s="21">
        <v>500</v>
      </c>
    </row>
    <row r="35272" spans="1:8" customFormat="1" x14ac:dyDescent="0.25">
      <c r="A35272" t="str">
        <f>"7857256"</f>
        <v>7857256</v>
      </c>
      <c r="B35272" t="s">
        <v>10738</v>
      </c>
      <c r="C35272" t="s">
        <v>269</v>
      </c>
      <c r="D35272" s="21" t="s">
        <v>34</v>
      </c>
      <c r="E35272" s="21" t="s">
        <v>71</v>
      </c>
      <c r="F35272">
        <v>8780627</v>
      </c>
      <c r="G35272" t="s">
        <v>6097</v>
      </c>
      <c r="H35272" s="21">
        <v>500</v>
      </c>
    </row>
    <row r="35273" spans="1:8" customFormat="1" x14ac:dyDescent="0.25">
      <c r="A35273" t="str">
        <f>"0210239"</f>
        <v>0210239</v>
      </c>
      <c r="B35273" t="s">
        <v>21928</v>
      </c>
      <c r="C35273" t="s">
        <v>381</v>
      </c>
      <c r="D35273" s="21" t="s">
        <v>34</v>
      </c>
      <c r="E35273" s="21" t="s">
        <v>71</v>
      </c>
      <c r="F35273">
        <v>7020036</v>
      </c>
      <c r="G35273" t="s">
        <v>8431</v>
      </c>
      <c r="H35273" s="21">
        <v>500</v>
      </c>
    </row>
    <row r="35274" spans="1:8" customFormat="1" x14ac:dyDescent="0.25">
      <c r="A35274" t="str">
        <f>"7520440"</f>
        <v>7520440</v>
      </c>
      <c r="B35274" t="s">
        <v>10754</v>
      </c>
      <c r="C35274" t="s">
        <v>7740</v>
      </c>
      <c r="D35274" s="21" t="s">
        <v>34</v>
      </c>
      <c r="E35274" s="21" t="s">
        <v>35</v>
      </c>
      <c r="F35274">
        <v>8751124</v>
      </c>
      <c r="G35274" t="s">
        <v>1481</v>
      </c>
      <c r="H35274" s="21">
        <v>500</v>
      </c>
    </row>
    <row r="35275" spans="1:8" customFormat="1" x14ac:dyDescent="0.25">
      <c r="A35275" t="str">
        <f>"879258"</f>
        <v>879258</v>
      </c>
      <c r="B35275" t="s">
        <v>5842</v>
      </c>
      <c r="C35275" t="s">
        <v>664</v>
      </c>
      <c r="D35275" s="21" t="s">
        <v>34</v>
      </c>
      <c r="E35275" s="21" t="s">
        <v>254</v>
      </c>
      <c r="F35275">
        <v>10870102</v>
      </c>
      <c r="G35275" t="s">
        <v>15067</v>
      </c>
      <c r="H35275" s="21">
        <v>500</v>
      </c>
    </row>
    <row r="35276" spans="1:8" customFormat="1" x14ac:dyDescent="0.25">
      <c r="A35276" t="str">
        <f>"3317259"</f>
        <v>3317259</v>
      </c>
      <c r="B35276" t="s">
        <v>24532</v>
      </c>
      <c r="C35276" t="s">
        <v>87</v>
      </c>
      <c r="D35276" s="21" t="s">
        <v>34</v>
      </c>
      <c r="E35276" s="21" t="s">
        <v>71</v>
      </c>
      <c r="F35276">
        <v>10330128</v>
      </c>
      <c r="G35276" t="s">
        <v>13670</v>
      </c>
      <c r="H35276" s="21">
        <v>500</v>
      </c>
    </row>
    <row r="35277" spans="1:8" customFormat="1" x14ac:dyDescent="0.25">
      <c r="A35277" t="str">
        <f>"9147074"</f>
        <v>9147074</v>
      </c>
      <c r="B35277" t="s">
        <v>136</v>
      </c>
      <c r="C35277" t="s">
        <v>29022</v>
      </c>
      <c r="D35277" s="21" t="s">
        <v>34</v>
      </c>
      <c r="E35277" s="21" t="s">
        <v>35</v>
      </c>
      <c r="F35277">
        <v>8910442</v>
      </c>
      <c r="G35277" t="s">
        <v>1336</v>
      </c>
      <c r="H35277" s="21">
        <v>500</v>
      </c>
    </row>
    <row r="35278" spans="1:8" customFormat="1" x14ac:dyDescent="0.25">
      <c r="A35278" t="str">
        <f>"3427261"</f>
        <v>3427261</v>
      </c>
      <c r="B35278" t="s">
        <v>5497</v>
      </c>
      <c r="C35278" t="s">
        <v>174</v>
      </c>
      <c r="D35278" s="21" t="s">
        <v>34</v>
      </c>
      <c r="E35278" s="21" t="s">
        <v>35</v>
      </c>
      <c r="F35278">
        <v>11340001</v>
      </c>
      <c r="G35278" t="s">
        <v>9248</v>
      </c>
      <c r="H35278" s="21">
        <v>500</v>
      </c>
    </row>
    <row r="35279" spans="1:8" customFormat="1" x14ac:dyDescent="0.25">
      <c r="A35279" t="str">
        <f>"5417984"</f>
        <v>5417984</v>
      </c>
      <c r="B35279" t="s">
        <v>22079</v>
      </c>
      <c r="C35279" t="s">
        <v>65</v>
      </c>
      <c r="D35279" s="21" t="s">
        <v>34</v>
      </c>
      <c r="E35279" s="21" t="s">
        <v>35</v>
      </c>
      <c r="F35279">
        <v>6540160</v>
      </c>
      <c r="G35279" t="s">
        <v>22970</v>
      </c>
      <c r="H35279" s="21">
        <v>500</v>
      </c>
    </row>
    <row r="35280" spans="1:8" customFormat="1" x14ac:dyDescent="0.25">
      <c r="A35280" t="str">
        <f>"1422823"</f>
        <v>1422823</v>
      </c>
      <c r="B35280" t="s">
        <v>23927</v>
      </c>
      <c r="C35280" t="s">
        <v>17027</v>
      </c>
      <c r="D35280" s="21" t="s">
        <v>34</v>
      </c>
      <c r="E35280" s="21" t="s">
        <v>1089</v>
      </c>
      <c r="F35280">
        <v>9140055</v>
      </c>
      <c r="G35280" t="s">
        <v>344</v>
      </c>
      <c r="H35280" s="21">
        <v>500</v>
      </c>
    </row>
    <row r="35281" spans="1:8" customFormat="1" x14ac:dyDescent="0.25">
      <c r="A35281" t="str">
        <f>"3834010"</f>
        <v>3834010</v>
      </c>
      <c r="B35281" t="s">
        <v>29023</v>
      </c>
      <c r="C35281" t="s">
        <v>198</v>
      </c>
      <c r="D35281" s="21" t="s">
        <v>34</v>
      </c>
      <c r="E35281" s="21" t="s">
        <v>35</v>
      </c>
      <c r="F35281">
        <v>1380098</v>
      </c>
      <c r="G35281" t="s">
        <v>7501</v>
      </c>
      <c r="H35281" s="21">
        <v>500</v>
      </c>
    </row>
    <row r="35282" spans="1:8" customFormat="1" x14ac:dyDescent="0.25">
      <c r="A35282" t="str">
        <f>"9139361"</f>
        <v>9139361</v>
      </c>
      <c r="B35282" t="s">
        <v>1908</v>
      </c>
      <c r="C35282" t="s">
        <v>209</v>
      </c>
      <c r="D35282" s="21" t="s">
        <v>34</v>
      </c>
      <c r="E35282" s="21" t="s">
        <v>35</v>
      </c>
      <c r="F35282">
        <v>8910876</v>
      </c>
      <c r="G35282" t="s">
        <v>1721</v>
      </c>
      <c r="H35282" s="21">
        <v>500</v>
      </c>
    </row>
    <row r="35283" spans="1:8" customFormat="1" x14ac:dyDescent="0.25">
      <c r="A35283" t="str">
        <f>"8525633"</f>
        <v>8525633</v>
      </c>
      <c r="B35283" t="s">
        <v>6472</v>
      </c>
      <c r="C35283" t="s">
        <v>23442</v>
      </c>
      <c r="D35283" s="21" t="s">
        <v>34</v>
      </c>
      <c r="E35283" s="21" t="s">
        <v>71</v>
      </c>
      <c r="F35283">
        <v>12851018</v>
      </c>
      <c r="G35283" t="s">
        <v>8085</v>
      </c>
      <c r="H35283" s="21">
        <v>500</v>
      </c>
    </row>
    <row r="35284" spans="1:8" customFormat="1" x14ac:dyDescent="0.25">
      <c r="A35284" t="str">
        <f>"7731753"</f>
        <v>7731753</v>
      </c>
      <c r="B35284" t="s">
        <v>29024</v>
      </c>
      <c r="C35284" t="s">
        <v>328</v>
      </c>
      <c r="D35284" s="21" t="s">
        <v>34</v>
      </c>
      <c r="E35284" s="21" t="s">
        <v>35</v>
      </c>
      <c r="F35284">
        <v>8771170</v>
      </c>
      <c r="G35284" t="s">
        <v>50</v>
      </c>
      <c r="H35284" s="21">
        <v>500</v>
      </c>
    </row>
    <row r="35285" spans="1:8" customFormat="1" x14ac:dyDescent="0.25">
      <c r="A35285" t="str">
        <f>"6943802"</f>
        <v>6943802</v>
      </c>
      <c r="B35285" t="s">
        <v>26018</v>
      </c>
      <c r="C35285" t="s">
        <v>29025</v>
      </c>
      <c r="D35285" s="21" t="s">
        <v>34</v>
      </c>
      <c r="E35285" s="21" t="s">
        <v>71</v>
      </c>
      <c r="F35285">
        <v>1690138</v>
      </c>
      <c r="G35285" t="s">
        <v>18533</v>
      </c>
      <c r="H35285" s="21">
        <v>500</v>
      </c>
    </row>
    <row r="35286" spans="1:8" customFormat="1" x14ac:dyDescent="0.25">
      <c r="A35286" t="str">
        <f>"08253"</f>
        <v>08253</v>
      </c>
      <c r="B35286" t="s">
        <v>22949</v>
      </c>
      <c r="C35286" t="s">
        <v>40</v>
      </c>
      <c r="D35286" s="21" t="s">
        <v>34</v>
      </c>
      <c r="E35286" s="21" t="s">
        <v>254</v>
      </c>
      <c r="F35286">
        <v>6080035</v>
      </c>
      <c r="G35286" t="s">
        <v>583</v>
      </c>
      <c r="H35286" s="21">
        <v>500</v>
      </c>
    </row>
    <row r="35287" spans="1:8" customFormat="1" x14ac:dyDescent="0.25">
      <c r="A35287" t="str">
        <f>"6726527"</f>
        <v>6726527</v>
      </c>
      <c r="B35287" t="s">
        <v>29026</v>
      </c>
      <c r="C35287" t="s">
        <v>415</v>
      </c>
      <c r="D35287" s="21" t="s">
        <v>34</v>
      </c>
      <c r="E35287" s="21" t="s">
        <v>71</v>
      </c>
      <c r="F35287">
        <v>6670178</v>
      </c>
      <c r="G35287" t="s">
        <v>10001</v>
      </c>
      <c r="H35287" s="21">
        <v>500</v>
      </c>
    </row>
    <row r="35288" spans="1:8" customFormat="1" x14ac:dyDescent="0.25">
      <c r="A35288" t="str">
        <f>"7732298"</f>
        <v>7732298</v>
      </c>
      <c r="B35288" t="s">
        <v>21221</v>
      </c>
      <c r="C35288" t="s">
        <v>144</v>
      </c>
      <c r="D35288" s="21" t="s">
        <v>34</v>
      </c>
      <c r="E35288" s="21" t="s">
        <v>71</v>
      </c>
      <c r="F35288">
        <v>8771172</v>
      </c>
      <c r="G35288" t="s">
        <v>12662</v>
      </c>
      <c r="H35288" s="21">
        <v>500</v>
      </c>
    </row>
    <row r="35289" spans="1:8" customFormat="1" x14ac:dyDescent="0.25">
      <c r="A35289" t="str">
        <f>"3534500"</f>
        <v>3534500</v>
      </c>
      <c r="B35289" t="s">
        <v>23360</v>
      </c>
      <c r="C35289" t="s">
        <v>55</v>
      </c>
      <c r="D35289" s="21" t="s">
        <v>34</v>
      </c>
      <c r="E35289" s="21" t="s">
        <v>71</v>
      </c>
      <c r="F35289">
        <v>3350225</v>
      </c>
      <c r="G35289" t="s">
        <v>22594</v>
      </c>
      <c r="H35289" s="21">
        <v>500</v>
      </c>
    </row>
    <row r="35290" spans="1:8" customFormat="1" x14ac:dyDescent="0.25">
      <c r="A35290" t="str">
        <f>"4213761"</f>
        <v>4213761</v>
      </c>
      <c r="B35290" t="s">
        <v>23074</v>
      </c>
      <c r="C35290" t="s">
        <v>598</v>
      </c>
      <c r="D35290" s="21" t="s">
        <v>34</v>
      </c>
      <c r="E35290" s="21" t="s">
        <v>1089</v>
      </c>
      <c r="F35290">
        <v>1420010</v>
      </c>
      <c r="G35290" t="s">
        <v>1937</v>
      </c>
      <c r="H35290" s="21">
        <v>500</v>
      </c>
    </row>
    <row r="35291" spans="1:8" customFormat="1" x14ac:dyDescent="0.25">
      <c r="A35291" t="str">
        <f>"9W164"</f>
        <v>9W164</v>
      </c>
      <c r="B35291" t="s">
        <v>29027</v>
      </c>
      <c r="C35291" t="s">
        <v>29028</v>
      </c>
      <c r="D35291" s="21" t="s">
        <v>34</v>
      </c>
      <c r="E35291" s="21" t="s">
        <v>35</v>
      </c>
      <c r="F35291" t="s">
        <v>23027</v>
      </c>
      <c r="G35291" t="s">
        <v>28713</v>
      </c>
      <c r="H35291" s="21">
        <v>500</v>
      </c>
    </row>
    <row r="35292" spans="1:8" customFormat="1" x14ac:dyDescent="0.25">
      <c r="A35292" t="str">
        <f>"5983487"</f>
        <v>5983487</v>
      </c>
      <c r="B35292" t="s">
        <v>29029</v>
      </c>
      <c r="C35292" t="s">
        <v>1474</v>
      </c>
      <c r="D35292" s="21" t="s">
        <v>34</v>
      </c>
      <c r="E35292" s="21" t="s">
        <v>35</v>
      </c>
      <c r="F35292">
        <v>7590089</v>
      </c>
      <c r="G35292" t="s">
        <v>1418</v>
      </c>
      <c r="H35292" s="21">
        <v>500</v>
      </c>
    </row>
    <row r="35293" spans="1:8" customFormat="1" x14ac:dyDescent="0.25">
      <c r="A35293" t="str">
        <f>"5617586"</f>
        <v>5617586</v>
      </c>
      <c r="B35293" t="s">
        <v>9178</v>
      </c>
      <c r="C35293" t="s">
        <v>233</v>
      </c>
      <c r="D35293" s="21" t="s">
        <v>34</v>
      </c>
      <c r="E35293" s="21" t="s">
        <v>254</v>
      </c>
      <c r="F35293">
        <v>3560013</v>
      </c>
      <c r="G35293" t="s">
        <v>7924</v>
      </c>
      <c r="H35293" s="21">
        <v>500</v>
      </c>
    </row>
    <row r="35294" spans="1:8" customFormat="1" x14ac:dyDescent="0.25">
      <c r="A35294" t="str">
        <f>"858906"</f>
        <v>858906</v>
      </c>
      <c r="B35294" t="s">
        <v>551</v>
      </c>
      <c r="C35294" t="s">
        <v>841</v>
      </c>
      <c r="D35294" s="21" t="s">
        <v>34</v>
      </c>
      <c r="E35294" s="21" t="s">
        <v>1089</v>
      </c>
      <c r="F35294">
        <v>12850125</v>
      </c>
      <c r="G35294" t="s">
        <v>9898</v>
      </c>
      <c r="H35294" s="21">
        <v>500</v>
      </c>
    </row>
    <row r="35295" spans="1:8" customFormat="1" x14ac:dyDescent="0.25">
      <c r="A35295" t="str">
        <f>"181799"</f>
        <v>181799</v>
      </c>
      <c r="B35295" t="s">
        <v>22240</v>
      </c>
      <c r="C35295" t="s">
        <v>2907</v>
      </c>
      <c r="D35295" s="21" t="s">
        <v>34</v>
      </c>
      <c r="E35295" s="21" t="s">
        <v>254</v>
      </c>
      <c r="F35295">
        <v>4180174</v>
      </c>
      <c r="G35295" t="s">
        <v>3046</v>
      </c>
      <c r="H35295" s="21">
        <v>500</v>
      </c>
    </row>
    <row r="35296" spans="1:8" customFormat="1" x14ac:dyDescent="0.25">
      <c r="A35296" t="str">
        <f>"4529470"</f>
        <v>4529470</v>
      </c>
      <c r="B35296" t="s">
        <v>24443</v>
      </c>
      <c r="C35296" t="s">
        <v>37</v>
      </c>
      <c r="D35296" s="21" t="s">
        <v>34</v>
      </c>
      <c r="E35296" s="21" t="s">
        <v>35</v>
      </c>
      <c r="F35296">
        <v>4450753</v>
      </c>
      <c r="G35296" t="s">
        <v>8786</v>
      </c>
      <c r="H35296" s="21">
        <v>500</v>
      </c>
    </row>
    <row r="35297" spans="1:8" customFormat="1" x14ac:dyDescent="0.25">
      <c r="A35297" t="str">
        <f>"2721414"</f>
        <v>2721414</v>
      </c>
      <c r="B35297" t="s">
        <v>27826</v>
      </c>
      <c r="C35297" t="s">
        <v>119</v>
      </c>
      <c r="D35297" s="21" t="s">
        <v>34</v>
      </c>
      <c r="E35297" s="21" t="s">
        <v>35</v>
      </c>
      <c r="F35297">
        <v>9270169</v>
      </c>
      <c r="G35297" t="s">
        <v>6217</v>
      </c>
      <c r="H35297" s="21">
        <v>500</v>
      </c>
    </row>
    <row r="35298" spans="1:8" customFormat="1" x14ac:dyDescent="0.25">
      <c r="A35298" t="str">
        <f>"35971"</f>
        <v>35971</v>
      </c>
      <c r="B35298" t="s">
        <v>21518</v>
      </c>
      <c r="C35298" t="s">
        <v>2529</v>
      </c>
      <c r="D35298" s="21" t="s">
        <v>34</v>
      </c>
      <c r="E35298" s="21" t="s">
        <v>71</v>
      </c>
      <c r="F35298">
        <v>3350014</v>
      </c>
      <c r="G35298" t="s">
        <v>1078</v>
      </c>
      <c r="H35298" s="21">
        <v>500</v>
      </c>
    </row>
    <row r="35299" spans="1:8" customFormat="1" x14ac:dyDescent="0.25">
      <c r="A35299" t="str">
        <f>"899010"</f>
        <v>899010</v>
      </c>
      <c r="B35299" t="s">
        <v>24330</v>
      </c>
      <c r="C35299" t="s">
        <v>267</v>
      </c>
      <c r="D35299" s="21" t="s">
        <v>34</v>
      </c>
      <c r="E35299" s="21" t="s">
        <v>1089</v>
      </c>
      <c r="F35299">
        <v>2890059</v>
      </c>
      <c r="G35299" t="s">
        <v>26651</v>
      </c>
      <c r="H35299" s="21">
        <v>500</v>
      </c>
    </row>
    <row r="35300" spans="1:8" customFormat="1" x14ac:dyDescent="0.25">
      <c r="A35300" t="str">
        <f>"1717130"</f>
        <v>1717130</v>
      </c>
      <c r="B35300" t="s">
        <v>8895</v>
      </c>
      <c r="C35300" t="s">
        <v>249</v>
      </c>
      <c r="D35300" s="21" t="s">
        <v>34</v>
      </c>
      <c r="E35300" s="21" t="s">
        <v>71</v>
      </c>
      <c r="F35300">
        <v>10170005</v>
      </c>
      <c r="G35300" t="s">
        <v>4290</v>
      </c>
      <c r="H35300" s="21">
        <v>500</v>
      </c>
    </row>
    <row r="35301" spans="1:8" customFormat="1" x14ac:dyDescent="0.25">
      <c r="A35301" t="str">
        <f>"814062"</f>
        <v>814062</v>
      </c>
      <c r="B35301" t="s">
        <v>22994</v>
      </c>
      <c r="C35301" t="s">
        <v>40</v>
      </c>
      <c r="D35301" s="21" t="s">
        <v>34</v>
      </c>
      <c r="E35301" s="21" t="s">
        <v>71</v>
      </c>
      <c r="F35301">
        <v>11810024</v>
      </c>
      <c r="G35301" t="s">
        <v>2095</v>
      </c>
      <c r="H35301" s="21">
        <v>500</v>
      </c>
    </row>
    <row r="35302" spans="1:8" customFormat="1" x14ac:dyDescent="0.25">
      <c r="A35302" t="str">
        <f>"92757"</f>
        <v>92757</v>
      </c>
      <c r="B35302" t="s">
        <v>23052</v>
      </c>
      <c r="C35302" t="s">
        <v>239</v>
      </c>
      <c r="D35302" s="21" t="s">
        <v>34</v>
      </c>
      <c r="E35302" s="21" t="s">
        <v>6185</v>
      </c>
      <c r="F35302">
        <v>8920076</v>
      </c>
      <c r="G35302" t="s">
        <v>2281</v>
      </c>
      <c r="H35302" s="21">
        <v>500</v>
      </c>
    </row>
    <row r="35303" spans="1:8" customFormat="1" x14ac:dyDescent="0.25">
      <c r="A35303" t="str">
        <f>"77651"</f>
        <v>77651</v>
      </c>
      <c r="B35303" t="s">
        <v>22867</v>
      </c>
      <c r="C35303" t="s">
        <v>2520</v>
      </c>
      <c r="D35303" s="21" t="s">
        <v>34</v>
      </c>
      <c r="E35303" s="21" t="s">
        <v>1089</v>
      </c>
      <c r="F35303">
        <v>8770489</v>
      </c>
      <c r="G35303" t="s">
        <v>1763</v>
      </c>
      <c r="H35303" s="21">
        <v>500</v>
      </c>
    </row>
    <row r="35304" spans="1:8" customFormat="1" x14ac:dyDescent="0.25">
      <c r="A35304" t="str">
        <f>"757905"</f>
        <v>757905</v>
      </c>
      <c r="B35304" t="s">
        <v>22824</v>
      </c>
      <c r="C35304" t="s">
        <v>209</v>
      </c>
      <c r="D35304" s="21" t="s">
        <v>34</v>
      </c>
      <c r="E35304" s="21" t="s">
        <v>71</v>
      </c>
      <c r="F35304">
        <v>8751371</v>
      </c>
      <c r="G35304" t="s">
        <v>6605</v>
      </c>
      <c r="H35304" s="21">
        <v>500</v>
      </c>
    </row>
    <row r="35305" spans="1:8" customFormat="1" x14ac:dyDescent="0.25">
      <c r="A35305" t="str">
        <f>"4529473"</f>
        <v>4529473</v>
      </c>
      <c r="B35305" t="s">
        <v>7809</v>
      </c>
      <c r="C35305" t="s">
        <v>5232</v>
      </c>
      <c r="D35305" s="21" t="s">
        <v>34</v>
      </c>
      <c r="E35305" s="21" t="s">
        <v>1089</v>
      </c>
      <c r="F35305">
        <v>4450753</v>
      </c>
      <c r="G35305" t="s">
        <v>8786</v>
      </c>
      <c r="H35305" s="21">
        <v>500</v>
      </c>
    </row>
    <row r="35306" spans="1:8" customFormat="1" x14ac:dyDescent="0.25">
      <c r="A35306" t="str">
        <f>"3833646"</f>
        <v>3833646</v>
      </c>
      <c r="B35306" t="s">
        <v>29030</v>
      </c>
      <c r="C35306" t="s">
        <v>3010</v>
      </c>
      <c r="D35306" s="21" t="s">
        <v>34</v>
      </c>
      <c r="E35306" s="21" t="s">
        <v>71</v>
      </c>
      <c r="F35306">
        <v>1380136</v>
      </c>
      <c r="G35306" t="s">
        <v>1047</v>
      </c>
      <c r="H35306" s="21">
        <v>500</v>
      </c>
    </row>
    <row r="35307" spans="1:8" customFormat="1" x14ac:dyDescent="0.25">
      <c r="A35307" t="str">
        <f>"311470"</f>
        <v>311470</v>
      </c>
      <c r="B35307" t="s">
        <v>10779</v>
      </c>
      <c r="C35307" t="s">
        <v>233</v>
      </c>
      <c r="D35307" s="21" t="s">
        <v>34</v>
      </c>
      <c r="E35307" s="21" t="s">
        <v>254</v>
      </c>
      <c r="F35307">
        <v>11310006</v>
      </c>
      <c r="G35307" t="s">
        <v>419</v>
      </c>
      <c r="H35307" s="21">
        <v>500</v>
      </c>
    </row>
    <row r="35308" spans="1:8" customFormat="1" x14ac:dyDescent="0.25">
      <c r="A35308" t="str">
        <f>"9242893"</f>
        <v>9242893</v>
      </c>
      <c r="B35308" t="s">
        <v>9735</v>
      </c>
      <c r="C35308" t="s">
        <v>55</v>
      </c>
      <c r="D35308" s="21" t="s">
        <v>34</v>
      </c>
      <c r="E35308" s="21" t="s">
        <v>35</v>
      </c>
      <c r="F35308">
        <v>8921190</v>
      </c>
      <c r="G35308" t="s">
        <v>810</v>
      </c>
      <c r="H35308" s="21">
        <v>500</v>
      </c>
    </row>
    <row r="35309" spans="1:8" customFormat="1" x14ac:dyDescent="0.25">
      <c r="A35309" t="str">
        <f>"9233134"</f>
        <v>9233134</v>
      </c>
      <c r="B35309" t="s">
        <v>890</v>
      </c>
      <c r="C35309" t="s">
        <v>412</v>
      </c>
      <c r="D35309" s="21" t="s">
        <v>34</v>
      </c>
      <c r="E35309" s="21" t="s">
        <v>1089</v>
      </c>
      <c r="F35309">
        <v>8921458</v>
      </c>
      <c r="G35309" t="s">
        <v>162</v>
      </c>
      <c r="H35309" s="21">
        <v>500</v>
      </c>
    </row>
    <row r="35310" spans="1:8" customFormat="1" x14ac:dyDescent="0.25">
      <c r="A35310" t="str">
        <f>"404880"</f>
        <v>404880</v>
      </c>
      <c r="B35310" t="s">
        <v>21934</v>
      </c>
      <c r="C35310" t="s">
        <v>2479</v>
      </c>
      <c r="D35310" s="21" t="s">
        <v>34</v>
      </c>
      <c r="E35310" s="21" t="s">
        <v>1089</v>
      </c>
      <c r="F35310">
        <v>10400008</v>
      </c>
      <c r="G35310" t="s">
        <v>2294</v>
      </c>
      <c r="H35310" s="21">
        <v>500</v>
      </c>
    </row>
    <row r="35311" spans="1:8" customFormat="1" x14ac:dyDescent="0.25">
      <c r="A35311" t="str">
        <f>"1312134"</f>
        <v>1312134</v>
      </c>
      <c r="B35311" t="s">
        <v>29031</v>
      </c>
      <c r="C35311" t="s">
        <v>598</v>
      </c>
      <c r="D35311" s="21" t="s">
        <v>34</v>
      </c>
      <c r="E35311" s="21" t="s">
        <v>1089</v>
      </c>
      <c r="F35311">
        <v>13130157</v>
      </c>
      <c r="G35311" t="s">
        <v>28847</v>
      </c>
      <c r="H35311" s="21">
        <v>500</v>
      </c>
    </row>
    <row r="35312" spans="1:8" customFormat="1" x14ac:dyDescent="0.25">
      <c r="A35312" t="str">
        <f>"3341357"</f>
        <v>3341357</v>
      </c>
      <c r="B35312" t="s">
        <v>9814</v>
      </c>
      <c r="C35312" t="s">
        <v>209</v>
      </c>
      <c r="D35312" s="21" t="s">
        <v>34</v>
      </c>
      <c r="E35312" s="21" t="s">
        <v>254</v>
      </c>
      <c r="F35312">
        <v>10160223</v>
      </c>
      <c r="G35312" t="s">
        <v>5750</v>
      </c>
      <c r="H35312" s="21">
        <v>500</v>
      </c>
    </row>
    <row r="35313" spans="1:8" customFormat="1" x14ac:dyDescent="0.25">
      <c r="A35313" t="str">
        <f>"1419296"</f>
        <v>1419296</v>
      </c>
      <c r="B35313" t="s">
        <v>2023</v>
      </c>
      <c r="C35313" t="s">
        <v>33</v>
      </c>
      <c r="D35313" s="21" t="s">
        <v>34</v>
      </c>
      <c r="E35313" s="21" t="s">
        <v>71</v>
      </c>
      <c r="F35313">
        <v>9140063</v>
      </c>
      <c r="G35313" t="s">
        <v>4764</v>
      </c>
      <c r="H35313" s="21">
        <v>500</v>
      </c>
    </row>
    <row r="35314" spans="1:8" customFormat="1" x14ac:dyDescent="0.25">
      <c r="A35314" t="str">
        <f>"4933369"</f>
        <v>4933369</v>
      </c>
      <c r="B35314" t="s">
        <v>7521</v>
      </c>
      <c r="C35314" t="s">
        <v>90</v>
      </c>
      <c r="D35314" s="21" t="s">
        <v>34</v>
      </c>
      <c r="E35314" s="21" t="s">
        <v>71</v>
      </c>
      <c r="F35314">
        <v>12490132</v>
      </c>
      <c r="G35314" t="s">
        <v>1125</v>
      </c>
      <c r="H35314" s="21">
        <v>500</v>
      </c>
    </row>
    <row r="35315" spans="1:8" customFormat="1" x14ac:dyDescent="0.25">
      <c r="A35315" t="str">
        <f>"5967808"</f>
        <v>5967808</v>
      </c>
      <c r="B35315" t="s">
        <v>22829</v>
      </c>
      <c r="C35315" t="s">
        <v>750</v>
      </c>
      <c r="D35315" s="21" t="s">
        <v>34</v>
      </c>
      <c r="E35315" s="21" t="s">
        <v>71</v>
      </c>
      <c r="F35315">
        <v>7590336</v>
      </c>
      <c r="G35315" t="s">
        <v>2341</v>
      </c>
      <c r="H35315" s="21">
        <v>500</v>
      </c>
    </row>
    <row r="35316" spans="1:8" customFormat="1" x14ac:dyDescent="0.25">
      <c r="A35316" t="str">
        <f>"857405"</f>
        <v>857405</v>
      </c>
      <c r="B35316" t="s">
        <v>1205</v>
      </c>
      <c r="C35316" t="s">
        <v>249</v>
      </c>
      <c r="D35316" s="21" t="s">
        <v>34</v>
      </c>
      <c r="E35316" s="21" t="s">
        <v>71</v>
      </c>
      <c r="F35316">
        <v>10240009</v>
      </c>
      <c r="G35316" t="s">
        <v>15136</v>
      </c>
      <c r="H35316" s="21">
        <v>500</v>
      </c>
    </row>
    <row r="35317" spans="1:8" customFormat="1" x14ac:dyDescent="0.25">
      <c r="A35317" t="str">
        <f>"9458799"</f>
        <v>9458799</v>
      </c>
      <c r="B35317" t="s">
        <v>10203</v>
      </c>
      <c r="C35317" t="s">
        <v>3905</v>
      </c>
      <c r="D35317" s="21" t="s">
        <v>34</v>
      </c>
      <c r="E35317" s="21" t="s">
        <v>35</v>
      </c>
      <c r="F35317">
        <v>8940459</v>
      </c>
      <c r="G35317" t="s">
        <v>743</v>
      </c>
      <c r="H35317" s="21">
        <v>500</v>
      </c>
    </row>
    <row r="35318" spans="1:8" customFormat="1" x14ac:dyDescent="0.25">
      <c r="A35318" t="str">
        <f>"594291"</f>
        <v>594291</v>
      </c>
      <c r="B35318" t="s">
        <v>13019</v>
      </c>
      <c r="C35318" t="s">
        <v>1142</v>
      </c>
      <c r="D35318" s="21" t="s">
        <v>34</v>
      </c>
      <c r="E35318" s="21" t="s">
        <v>1089</v>
      </c>
      <c r="F35318">
        <v>7590263</v>
      </c>
      <c r="G35318" t="s">
        <v>895</v>
      </c>
      <c r="H35318" s="21">
        <v>500</v>
      </c>
    </row>
    <row r="35319" spans="1:8" customFormat="1" x14ac:dyDescent="0.25">
      <c r="A35319" t="str">
        <f>"91169"</f>
        <v>91169</v>
      </c>
      <c r="B35319" t="s">
        <v>23713</v>
      </c>
      <c r="C35319" t="s">
        <v>23714</v>
      </c>
      <c r="D35319" s="21" t="s">
        <v>34</v>
      </c>
      <c r="E35319" s="21" t="s">
        <v>254</v>
      </c>
      <c r="F35319">
        <v>8910077</v>
      </c>
      <c r="G35319" t="s">
        <v>1380</v>
      </c>
      <c r="H35319" s="21">
        <v>500</v>
      </c>
    </row>
    <row r="35320" spans="1:8" customFormat="1" x14ac:dyDescent="0.25">
      <c r="A35320" t="str">
        <f>"5963251"</f>
        <v>5963251</v>
      </c>
      <c r="B35320" t="s">
        <v>22924</v>
      </c>
      <c r="C35320" t="s">
        <v>121</v>
      </c>
      <c r="D35320" s="21" t="s">
        <v>34</v>
      </c>
      <c r="E35320" s="21" t="s">
        <v>35</v>
      </c>
      <c r="F35320">
        <v>7590374</v>
      </c>
      <c r="G35320" t="s">
        <v>7818</v>
      </c>
      <c r="H35320" s="21">
        <v>500</v>
      </c>
    </row>
    <row r="35321" spans="1:8" customFormat="1" x14ac:dyDescent="0.25">
      <c r="A35321" t="str">
        <f>"942698"</f>
        <v>942698</v>
      </c>
      <c r="B35321" t="s">
        <v>3777</v>
      </c>
      <c r="C35321" t="s">
        <v>1597</v>
      </c>
      <c r="D35321" s="21" t="s">
        <v>34</v>
      </c>
      <c r="E35321" s="21" t="s">
        <v>6185</v>
      </c>
      <c r="F35321">
        <v>8941352</v>
      </c>
      <c r="G35321" t="s">
        <v>3778</v>
      </c>
      <c r="H35321" s="21">
        <v>500</v>
      </c>
    </row>
    <row r="35322" spans="1:8" customFormat="1" x14ac:dyDescent="0.25">
      <c r="A35322" t="str">
        <f>"5419211"</f>
        <v>5419211</v>
      </c>
      <c r="B35322" t="s">
        <v>23631</v>
      </c>
      <c r="C35322" t="s">
        <v>598</v>
      </c>
      <c r="D35322" s="21" t="s">
        <v>34</v>
      </c>
      <c r="E35322" s="21" t="s">
        <v>1089</v>
      </c>
      <c r="F35322">
        <v>6540097</v>
      </c>
      <c r="G35322" t="s">
        <v>12434</v>
      </c>
      <c r="H35322" s="21">
        <v>500</v>
      </c>
    </row>
    <row r="35323" spans="1:8" customFormat="1" x14ac:dyDescent="0.25">
      <c r="A35323" t="str">
        <f>"9538236"</f>
        <v>9538236</v>
      </c>
      <c r="B35323" t="s">
        <v>2711</v>
      </c>
      <c r="C35323" t="s">
        <v>263</v>
      </c>
      <c r="D35323" s="21" t="s">
        <v>34</v>
      </c>
      <c r="E35323" s="21" t="s">
        <v>71</v>
      </c>
      <c r="F35323">
        <v>8950348</v>
      </c>
      <c r="G35323" t="s">
        <v>491</v>
      </c>
      <c r="H35323" s="21">
        <v>500</v>
      </c>
    </row>
    <row r="35324" spans="1:8" customFormat="1" x14ac:dyDescent="0.25">
      <c r="A35324" t="str">
        <f>"9538271"</f>
        <v>9538271</v>
      </c>
      <c r="B35324" t="s">
        <v>2261</v>
      </c>
      <c r="C35324" t="s">
        <v>60</v>
      </c>
      <c r="D35324" s="21" t="s">
        <v>34</v>
      </c>
      <c r="E35324" s="21" t="s">
        <v>35</v>
      </c>
      <c r="F35324">
        <v>8951312</v>
      </c>
      <c r="G35324" t="s">
        <v>1007</v>
      </c>
      <c r="H35324" s="21">
        <v>500</v>
      </c>
    </row>
    <row r="35325" spans="1:8" customFormat="1" x14ac:dyDescent="0.25">
      <c r="A35325" t="str">
        <f>"7631177"</f>
        <v>7631177</v>
      </c>
      <c r="B35325" t="s">
        <v>11142</v>
      </c>
      <c r="C35325" t="s">
        <v>87</v>
      </c>
      <c r="D35325" s="21" t="s">
        <v>34</v>
      </c>
      <c r="E35325" s="21" t="s">
        <v>71</v>
      </c>
      <c r="F35325">
        <v>9760448</v>
      </c>
      <c r="G35325" t="s">
        <v>11345</v>
      </c>
      <c r="H35325" s="21">
        <v>500</v>
      </c>
    </row>
    <row r="35326" spans="1:8" customFormat="1" x14ac:dyDescent="0.25">
      <c r="A35326" t="str">
        <f>"037845"</f>
        <v>037845</v>
      </c>
      <c r="B35326" t="s">
        <v>205</v>
      </c>
      <c r="C35326" t="s">
        <v>817</v>
      </c>
      <c r="D35326" s="21" t="s">
        <v>34</v>
      </c>
      <c r="E35326" s="21" t="s">
        <v>1089</v>
      </c>
      <c r="F35326">
        <v>1030308</v>
      </c>
      <c r="G35326" t="s">
        <v>1485</v>
      </c>
      <c r="H35326" s="21">
        <v>500</v>
      </c>
    </row>
    <row r="35327" spans="1:8" customFormat="1" x14ac:dyDescent="0.25">
      <c r="A35327" t="str">
        <f>"9225253"</f>
        <v>9225253</v>
      </c>
      <c r="B35327" t="s">
        <v>10061</v>
      </c>
      <c r="C35327" t="s">
        <v>40</v>
      </c>
      <c r="D35327" s="21" t="s">
        <v>34</v>
      </c>
      <c r="E35327" s="21" t="s">
        <v>35</v>
      </c>
      <c r="F35327">
        <v>9760082</v>
      </c>
      <c r="G35327" t="s">
        <v>2387</v>
      </c>
      <c r="H35327" s="21">
        <v>500</v>
      </c>
    </row>
    <row r="35328" spans="1:8" customFormat="1" x14ac:dyDescent="0.25">
      <c r="A35328" t="str">
        <f>"649005"</f>
        <v>649005</v>
      </c>
      <c r="B35328" t="s">
        <v>24664</v>
      </c>
      <c r="C35328" t="s">
        <v>124</v>
      </c>
      <c r="D35328" s="21" t="s">
        <v>34</v>
      </c>
      <c r="E35328" s="21" t="s">
        <v>71</v>
      </c>
      <c r="F35328">
        <v>10640024</v>
      </c>
      <c r="G35328" t="s">
        <v>23191</v>
      </c>
      <c r="H35328" s="21">
        <v>500</v>
      </c>
    </row>
    <row r="35329" spans="1:8" customFormat="1" x14ac:dyDescent="0.25">
      <c r="A35329" t="str">
        <f>"50878"</f>
        <v>50878</v>
      </c>
      <c r="B35329" t="s">
        <v>23598</v>
      </c>
      <c r="C35329" t="s">
        <v>822</v>
      </c>
      <c r="D35329" s="21" t="s">
        <v>34</v>
      </c>
      <c r="E35329" s="21" t="s">
        <v>6185</v>
      </c>
      <c r="F35329">
        <v>9500043</v>
      </c>
      <c r="G35329" t="s">
        <v>22813</v>
      </c>
      <c r="H35329" s="21">
        <v>500</v>
      </c>
    </row>
    <row r="35330" spans="1:8" customFormat="1" x14ac:dyDescent="0.25">
      <c r="A35330" t="str">
        <f>"9F5639"</f>
        <v>9F5639</v>
      </c>
      <c r="B35330" t="s">
        <v>18359</v>
      </c>
      <c r="C35330" t="s">
        <v>249</v>
      </c>
      <c r="D35330" s="21" t="s">
        <v>34</v>
      </c>
      <c r="E35330" s="21" t="s">
        <v>71</v>
      </c>
      <c r="F35330" t="s">
        <v>22850</v>
      </c>
      <c r="G35330" t="s">
        <v>22851</v>
      </c>
      <c r="H35330" s="21">
        <v>500</v>
      </c>
    </row>
    <row r="35331" spans="1:8" customFormat="1" x14ac:dyDescent="0.25">
      <c r="A35331" t="str">
        <f>"1410773"</f>
        <v>1410773</v>
      </c>
      <c r="B35331" t="s">
        <v>22504</v>
      </c>
      <c r="C35331" t="s">
        <v>267</v>
      </c>
      <c r="D35331" s="21" t="s">
        <v>34</v>
      </c>
      <c r="E35331" s="21" t="s">
        <v>6185</v>
      </c>
      <c r="F35331">
        <v>9140156</v>
      </c>
      <c r="G35331" t="s">
        <v>645</v>
      </c>
      <c r="H35331" s="21">
        <v>500</v>
      </c>
    </row>
    <row r="35332" spans="1:8" customFormat="1" x14ac:dyDescent="0.25">
      <c r="A35332" t="str">
        <f>"725786"</f>
        <v>725786</v>
      </c>
      <c r="B35332" t="s">
        <v>5697</v>
      </c>
      <c r="C35332" t="s">
        <v>1812</v>
      </c>
      <c r="D35332" s="21" t="s">
        <v>34</v>
      </c>
      <c r="E35332" s="21" t="s">
        <v>71</v>
      </c>
      <c r="F35332">
        <v>12720005</v>
      </c>
      <c r="G35332" t="s">
        <v>999</v>
      </c>
      <c r="H35332" s="21">
        <v>500</v>
      </c>
    </row>
    <row r="35333" spans="1:8" customFormat="1" x14ac:dyDescent="0.25">
      <c r="A35333" t="str">
        <f>"7630332"</f>
        <v>7630332</v>
      </c>
      <c r="B35333" t="s">
        <v>23606</v>
      </c>
      <c r="C35333" t="s">
        <v>87</v>
      </c>
      <c r="D35333" s="21" t="s">
        <v>34</v>
      </c>
      <c r="E35333" s="21" t="s">
        <v>71</v>
      </c>
      <c r="F35333">
        <v>9760331</v>
      </c>
      <c r="G35333" t="s">
        <v>5134</v>
      </c>
      <c r="H35333" s="21">
        <v>500</v>
      </c>
    </row>
    <row r="35334" spans="1:8" customFormat="1" x14ac:dyDescent="0.25">
      <c r="A35334" t="str">
        <f>"2721476"</f>
        <v>2721476</v>
      </c>
      <c r="B35334" t="s">
        <v>1165</v>
      </c>
      <c r="C35334" t="s">
        <v>1665</v>
      </c>
      <c r="D35334" s="21" t="s">
        <v>34</v>
      </c>
      <c r="E35334" s="21" t="s">
        <v>254</v>
      </c>
      <c r="F35334">
        <v>9270087</v>
      </c>
      <c r="G35334" t="s">
        <v>7014</v>
      </c>
      <c r="H35334" s="21">
        <v>500</v>
      </c>
    </row>
    <row r="35335" spans="1:8" customFormat="1" x14ac:dyDescent="0.25">
      <c r="A35335" t="str">
        <f>"9431508"</f>
        <v>9431508</v>
      </c>
      <c r="B35335" t="s">
        <v>13137</v>
      </c>
      <c r="C35335" t="s">
        <v>415</v>
      </c>
      <c r="D35335" s="21" t="s">
        <v>34</v>
      </c>
      <c r="E35335" s="21" t="s">
        <v>254</v>
      </c>
      <c r="F35335">
        <v>8941180</v>
      </c>
      <c r="G35335" t="s">
        <v>5544</v>
      </c>
      <c r="H35335" s="21">
        <v>500</v>
      </c>
    </row>
    <row r="35336" spans="1:8" customFormat="1" x14ac:dyDescent="0.25">
      <c r="A35336" t="str">
        <f>"747985"</f>
        <v>747985</v>
      </c>
      <c r="B35336" t="s">
        <v>22532</v>
      </c>
      <c r="C35336" t="s">
        <v>239</v>
      </c>
      <c r="D35336" s="21" t="s">
        <v>34</v>
      </c>
      <c r="E35336" s="21" t="s">
        <v>254</v>
      </c>
      <c r="F35336">
        <v>1740001</v>
      </c>
      <c r="G35336" t="s">
        <v>347</v>
      </c>
      <c r="H35336" s="21">
        <v>500</v>
      </c>
    </row>
    <row r="35337" spans="1:8" customFormat="1" x14ac:dyDescent="0.25">
      <c r="A35337" t="str">
        <f>"6217185"</f>
        <v>6217185</v>
      </c>
      <c r="B35337" t="s">
        <v>23093</v>
      </c>
      <c r="C35337" t="s">
        <v>2546</v>
      </c>
      <c r="D35337" s="21" t="s">
        <v>34</v>
      </c>
      <c r="E35337" s="21" t="s">
        <v>254</v>
      </c>
      <c r="F35337">
        <v>7620015</v>
      </c>
      <c r="G35337" t="s">
        <v>377</v>
      </c>
      <c r="H35337" s="21">
        <v>500</v>
      </c>
    </row>
    <row r="35338" spans="1:8" customFormat="1" x14ac:dyDescent="0.25">
      <c r="A35338" t="str">
        <f>"0212381"</f>
        <v>0212381</v>
      </c>
      <c r="B35338" t="s">
        <v>29032</v>
      </c>
      <c r="C35338" t="s">
        <v>37</v>
      </c>
      <c r="D35338" s="21" t="s">
        <v>34</v>
      </c>
      <c r="E35338" s="21" t="s">
        <v>35</v>
      </c>
      <c r="F35338">
        <v>7021006</v>
      </c>
      <c r="G35338" t="s">
        <v>26948</v>
      </c>
      <c r="H35338" s="21">
        <v>500</v>
      </c>
    </row>
    <row r="35339" spans="1:8" customFormat="1" x14ac:dyDescent="0.25">
      <c r="A35339" t="str">
        <f>"4442865"</f>
        <v>4442865</v>
      </c>
      <c r="B35339" t="s">
        <v>23245</v>
      </c>
      <c r="C35339" t="s">
        <v>147</v>
      </c>
      <c r="D35339" s="21" t="s">
        <v>34</v>
      </c>
      <c r="E35339" s="21" t="s">
        <v>35</v>
      </c>
      <c r="F35339">
        <v>12440136</v>
      </c>
      <c r="G35339" t="s">
        <v>3271</v>
      </c>
      <c r="H35339" s="21">
        <v>500</v>
      </c>
    </row>
    <row r="35340" spans="1:8" customFormat="1" x14ac:dyDescent="0.25">
      <c r="A35340" t="str">
        <f>"0113160"</f>
        <v>0113160</v>
      </c>
      <c r="B35340" t="s">
        <v>1349</v>
      </c>
      <c r="C35340" t="s">
        <v>2907</v>
      </c>
      <c r="D35340" s="21" t="s">
        <v>34</v>
      </c>
      <c r="E35340" s="21" t="s">
        <v>71</v>
      </c>
      <c r="F35340">
        <v>1010071</v>
      </c>
      <c r="G35340" t="s">
        <v>8104</v>
      </c>
      <c r="H35340" s="21">
        <v>500</v>
      </c>
    </row>
    <row r="35341" spans="1:8" customFormat="1" x14ac:dyDescent="0.25">
      <c r="A35341" t="str">
        <f>"4935951"</f>
        <v>4935951</v>
      </c>
      <c r="B35341" t="s">
        <v>23432</v>
      </c>
      <c r="C35341" t="s">
        <v>328</v>
      </c>
      <c r="D35341" s="21" t="s">
        <v>34</v>
      </c>
      <c r="E35341" s="21" t="s">
        <v>35</v>
      </c>
      <c r="F35341">
        <v>12490040</v>
      </c>
      <c r="G35341" t="s">
        <v>94</v>
      </c>
      <c r="H35341" s="21">
        <v>500</v>
      </c>
    </row>
    <row r="35342" spans="1:8" customFormat="1" x14ac:dyDescent="0.25">
      <c r="A35342" t="str">
        <f>"7731981"</f>
        <v>7731981</v>
      </c>
      <c r="B35342" t="s">
        <v>29033</v>
      </c>
      <c r="C35342" t="s">
        <v>3522</v>
      </c>
      <c r="D35342" s="21" t="s">
        <v>34</v>
      </c>
      <c r="E35342" s="21" t="s">
        <v>35</v>
      </c>
      <c r="F35342">
        <v>8770237</v>
      </c>
      <c r="G35342" t="s">
        <v>128</v>
      </c>
      <c r="H35342" s="21">
        <v>500</v>
      </c>
    </row>
    <row r="35343" spans="1:8" customFormat="1" x14ac:dyDescent="0.25">
      <c r="A35343" t="str">
        <f>"9251733"</f>
        <v>9251733</v>
      </c>
      <c r="B35343" t="s">
        <v>3394</v>
      </c>
      <c r="C35343" t="s">
        <v>60</v>
      </c>
      <c r="D35343" s="21" t="s">
        <v>34</v>
      </c>
      <c r="E35343" s="21" t="s">
        <v>35</v>
      </c>
      <c r="F35343">
        <v>8920049</v>
      </c>
      <c r="G35343" t="s">
        <v>237</v>
      </c>
      <c r="H35343" s="21">
        <v>500</v>
      </c>
    </row>
    <row r="35344" spans="1:8" customFormat="1" x14ac:dyDescent="0.25">
      <c r="A35344" t="str">
        <f>"7731859"</f>
        <v>7731859</v>
      </c>
      <c r="B35344" t="s">
        <v>2644</v>
      </c>
      <c r="C35344" t="s">
        <v>98</v>
      </c>
      <c r="D35344" s="21" t="s">
        <v>34</v>
      </c>
      <c r="E35344" s="21" t="s">
        <v>35</v>
      </c>
      <c r="F35344">
        <v>8771172</v>
      </c>
      <c r="G35344" t="s">
        <v>12662</v>
      </c>
      <c r="H35344" s="21">
        <v>500</v>
      </c>
    </row>
    <row r="35345" spans="1:8" customFormat="1" x14ac:dyDescent="0.25">
      <c r="A35345" t="str">
        <f>"9W142"</f>
        <v>9W142</v>
      </c>
      <c r="B35345" t="s">
        <v>25870</v>
      </c>
      <c r="C35345" t="s">
        <v>29034</v>
      </c>
      <c r="D35345" s="21" t="s">
        <v>34</v>
      </c>
      <c r="E35345" s="21" t="s">
        <v>71</v>
      </c>
      <c r="F35345" t="s">
        <v>23027</v>
      </c>
      <c r="G35345" t="s">
        <v>28713</v>
      </c>
      <c r="H35345" s="21">
        <v>500</v>
      </c>
    </row>
    <row r="35346" spans="1:8" customFormat="1" x14ac:dyDescent="0.25">
      <c r="A35346" t="str">
        <f>"7521459"</f>
        <v>7521459</v>
      </c>
      <c r="B35346" t="s">
        <v>22548</v>
      </c>
      <c r="C35346" t="s">
        <v>1025</v>
      </c>
      <c r="D35346" s="21" t="s">
        <v>34</v>
      </c>
      <c r="E35346" s="21" t="s">
        <v>71</v>
      </c>
      <c r="F35346">
        <v>8751279</v>
      </c>
      <c r="G35346" t="s">
        <v>13340</v>
      </c>
      <c r="H35346" s="21">
        <v>500</v>
      </c>
    </row>
    <row r="35347" spans="1:8" customFormat="1" x14ac:dyDescent="0.25">
      <c r="A35347" t="str">
        <f>"496002"</f>
        <v>496002</v>
      </c>
      <c r="B35347" t="s">
        <v>3114</v>
      </c>
      <c r="C35347" t="s">
        <v>1146</v>
      </c>
      <c r="D35347" s="21" t="s">
        <v>34</v>
      </c>
      <c r="E35347" s="21" t="s">
        <v>254</v>
      </c>
      <c r="F35347">
        <v>12490001</v>
      </c>
      <c r="G35347" t="s">
        <v>19038</v>
      </c>
      <c r="H35347" s="21">
        <v>500</v>
      </c>
    </row>
    <row r="35348" spans="1:8" customFormat="1" x14ac:dyDescent="0.25">
      <c r="A35348" t="str">
        <f>"4219628"</f>
        <v>4219628</v>
      </c>
      <c r="B35348" t="s">
        <v>4697</v>
      </c>
      <c r="C35348" t="s">
        <v>1100</v>
      </c>
      <c r="D35348" s="21" t="s">
        <v>34</v>
      </c>
      <c r="E35348" s="21" t="s">
        <v>35</v>
      </c>
      <c r="F35348">
        <v>1420110</v>
      </c>
      <c r="G35348" t="s">
        <v>3928</v>
      </c>
      <c r="H35348" s="21">
        <v>500</v>
      </c>
    </row>
    <row r="35349" spans="1:8" customFormat="1" x14ac:dyDescent="0.25">
      <c r="A35349" t="str">
        <f>"6814623"</f>
        <v>6814623</v>
      </c>
      <c r="B35349" t="s">
        <v>9742</v>
      </c>
      <c r="C35349" t="s">
        <v>169</v>
      </c>
      <c r="D35349" s="21" t="s">
        <v>34</v>
      </c>
      <c r="E35349" s="21" t="s">
        <v>35</v>
      </c>
      <c r="F35349">
        <v>6680116</v>
      </c>
      <c r="G35349" t="s">
        <v>5205</v>
      </c>
      <c r="H35349" s="21">
        <v>500</v>
      </c>
    </row>
    <row r="35350" spans="1:8" customFormat="1" x14ac:dyDescent="0.25">
      <c r="A35350" t="str">
        <f>"5942408"</f>
        <v>5942408</v>
      </c>
      <c r="B35350" t="s">
        <v>29035</v>
      </c>
      <c r="C35350" t="s">
        <v>121</v>
      </c>
      <c r="D35350" s="21" t="s">
        <v>34</v>
      </c>
      <c r="E35350" s="21" t="s">
        <v>35</v>
      </c>
      <c r="F35350">
        <v>7620153</v>
      </c>
      <c r="G35350" t="s">
        <v>5104</v>
      </c>
      <c r="H35350" s="21">
        <v>500</v>
      </c>
    </row>
    <row r="35351" spans="1:8" customFormat="1" x14ac:dyDescent="0.25">
      <c r="A35351" t="str">
        <f>"46618"</f>
        <v>46618</v>
      </c>
      <c r="B35351" t="s">
        <v>20260</v>
      </c>
      <c r="C35351" t="s">
        <v>239</v>
      </c>
      <c r="D35351" s="21" t="s">
        <v>34</v>
      </c>
      <c r="E35351" s="21" t="s">
        <v>1089</v>
      </c>
      <c r="F35351">
        <v>11460010</v>
      </c>
      <c r="G35351" t="s">
        <v>654</v>
      </c>
      <c r="H35351" s="21">
        <v>500</v>
      </c>
    </row>
    <row r="35352" spans="1:8" customFormat="1" x14ac:dyDescent="0.25">
      <c r="A35352" t="str">
        <f>"5011721"</f>
        <v>5011721</v>
      </c>
      <c r="B35352" t="s">
        <v>22747</v>
      </c>
      <c r="C35352" t="s">
        <v>40</v>
      </c>
      <c r="D35352" s="21" t="s">
        <v>34</v>
      </c>
      <c r="E35352" s="21" t="s">
        <v>254</v>
      </c>
      <c r="F35352">
        <v>9500112</v>
      </c>
      <c r="G35352" t="s">
        <v>1668</v>
      </c>
      <c r="H35352" s="21">
        <v>500</v>
      </c>
    </row>
    <row r="35353" spans="1:8" customFormat="1" x14ac:dyDescent="0.25">
      <c r="A35353" t="str">
        <f>"4514041"</f>
        <v>4514041</v>
      </c>
      <c r="B35353" t="s">
        <v>7041</v>
      </c>
      <c r="C35353" t="s">
        <v>209</v>
      </c>
      <c r="D35353" s="21" t="s">
        <v>34</v>
      </c>
      <c r="E35353" s="21" t="s">
        <v>254</v>
      </c>
      <c r="F35353">
        <v>4450661</v>
      </c>
      <c r="G35353" t="s">
        <v>12253</v>
      </c>
      <c r="H35353" s="21">
        <v>500</v>
      </c>
    </row>
    <row r="35354" spans="1:8" customFormat="1" x14ac:dyDescent="0.25">
      <c r="A35354" t="str">
        <f>"848751"</f>
        <v>848751</v>
      </c>
      <c r="B35354" t="s">
        <v>29036</v>
      </c>
      <c r="C35354" t="s">
        <v>2907</v>
      </c>
      <c r="D35354" s="21" t="s">
        <v>34</v>
      </c>
      <c r="E35354" s="21" t="s">
        <v>71</v>
      </c>
      <c r="F35354">
        <v>13840037</v>
      </c>
      <c r="G35354" t="s">
        <v>2019</v>
      </c>
      <c r="H35354" s="21">
        <v>500</v>
      </c>
    </row>
    <row r="35355" spans="1:8" customFormat="1" x14ac:dyDescent="0.25">
      <c r="A35355" t="str">
        <f>"1423848"</f>
        <v>1423848</v>
      </c>
      <c r="B35355" t="s">
        <v>29037</v>
      </c>
      <c r="C35355" t="s">
        <v>209</v>
      </c>
      <c r="D35355" s="21" t="s">
        <v>34</v>
      </c>
      <c r="E35355" s="21" t="s">
        <v>254</v>
      </c>
      <c r="F35355">
        <v>9140055</v>
      </c>
      <c r="G35355" t="s">
        <v>344</v>
      </c>
      <c r="H35355" s="21">
        <v>500</v>
      </c>
    </row>
    <row r="35356" spans="1:8" customFormat="1" x14ac:dyDescent="0.25">
      <c r="A35356" t="str">
        <f>"4449140"</f>
        <v>4449140</v>
      </c>
      <c r="B35356" t="s">
        <v>29038</v>
      </c>
      <c r="C35356" t="s">
        <v>204</v>
      </c>
      <c r="D35356" s="21" t="s">
        <v>34</v>
      </c>
      <c r="E35356" s="21" t="s">
        <v>35</v>
      </c>
      <c r="F35356">
        <v>12440104</v>
      </c>
      <c r="G35356" t="s">
        <v>5862</v>
      </c>
      <c r="H35356" s="21">
        <v>500</v>
      </c>
    </row>
    <row r="35357" spans="1:8" customFormat="1" x14ac:dyDescent="0.25">
      <c r="A35357" t="str">
        <f>"3827565"</f>
        <v>3827565</v>
      </c>
      <c r="B35357" t="s">
        <v>22788</v>
      </c>
      <c r="C35357" t="s">
        <v>608</v>
      </c>
      <c r="D35357" s="21" t="s">
        <v>34</v>
      </c>
      <c r="E35357" s="21" t="s">
        <v>71</v>
      </c>
      <c r="F35357">
        <v>1380293</v>
      </c>
      <c r="G35357" t="s">
        <v>2103</v>
      </c>
      <c r="H35357" s="21">
        <v>500</v>
      </c>
    </row>
    <row r="35358" spans="1:8" customFormat="1" x14ac:dyDescent="0.25">
      <c r="A35358" t="str">
        <f>"847781"</f>
        <v>847781</v>
      </c>
      <c r="B35358" t="s">
        <v>2993</v>
      </c>
      <c r="C35358" t="s">
        <v>462</v>
      </c>
      <c r="D35358" s="21" t="s">
        <v>34</v>
      </c>
      <c r="E35358" s="21" t="s">
        <v>35</v>
      </c>
      <c r="F35358">
        <v>13840013</v>
      </c>
      <c r="G35358" t="s">
        <v>7323</v>
      </c>
      <c r="H35358" s="21">
        <v>500</v>
      </c>
    </row>
    <row r="35359" spans="1:8" customFormat="1" x14ac:dyDescent="0.25">
      <c r="A35359" t="str">
        <f>"3343194"</f>
        <v>3343194</v>
      </c>
      <c r="B35359" t="s">
        <v>23816</v>
      </c>
      <c r="C35359" t="s">
        <v>547</v>
      </c>
      <c r="D35359" s="21" t="s">
        <v>34</v>
      </c>
      <c r="E35359" s="21" t="s">
        <v>6185</v>
      </c>
      <c r="F35359">
        <v>10330078</v>
      </c>
      <c r="G35359" t="s">
        <v>7597</v>
      </c>
      <c r="H35359" s="21">
        <v>500</v>
      </c>
    </row>
    <row r="35360" spans="1:8" customFormat="1" x14ac:dyDescent="0.25">
      <c r="A35360" t="str">
        <f>"9458955"</f>
        <v>9458955</v>
      </c>
      <c r="B35360" t="s">
        <v>29039</v>
      </c>
      <c r="C35360" t="s">
        <v>328</v>
      </c>
      <c r="D35360" s="21" t="s">
        <v>34</v>
      </c>
      <c r="E35360" s="21" t="s">
        <v>71</v>
      </c>
      <c r="F35360">
        <v>8941359</v>
      </c>
      <c r="G35360" t="s">
        <v>14474</v>
      </c>
      <c r="H35360" s="21">
        <v>500</v>
      </c>
    </row>
    <row r="35361" spans="1:8" customFormat="1" x14ac:dyDescent="0.25">
      <c r="A35361" t="str">
        <f>"171900"</f>
        <v>171900</v>
      </c>
      <c r="B35361" t="s">
        <v>23101</v>
      </c>
      <c r="C35361" t="s">
        <v>598</v>
      </c>
      <c r="D35361" s="21" t="s">
        <v>34</v>
      </c>
      <c r="E35361" s="21" t="s">
        <v>254</v>
      </c>
      <c r="F35361">
        <v>10170051</v>
      </c>
      <c r="G35361" t="s">
        <v>826</v>
      </c>
      <c r="H35361" s="21">
        <v>500</v>
      </c>
    </row>
    <row r="35362" spans="1:8" customFormat="1" x14ac:dyDescent="0.25">
      <c r="A35362" t="str">
        <f>"899170"</f>
        <v>899170</v>
      </c>
      <c r="B35362" t="s">
        <v>22278</v>
      </c>
      <c r="C35362" t="s">
        <v>211</v>
      </c>
      <c r="D35362" s="21" t="s">
        <v>34</v>
      </c>
      <c r="E35362" s="21" t="s">
        <v>71</v>
      </c>
      <c r="F35362">
        <v>2890006</v>
      </c>
      <c r="G35362" t="s">
        <v>2044</v>
      </c>
      <c r="H35362" s="21">
        <v>500</v>
      </c>
    </row>
    <row r="35363" spans="1:8" customFormat="1" x14ac:dyDescent="0.25">
      <c r="A35363" t="str">
        <f>"6949913"</f>
        <v>6949913</v>
      </c>
      <c r="B35363" t="s">
        <v>29040</v>
      </c>
      <c r="C35363" t="s">
        <v>25317</v>
      </c>
      <c r="D35363" s="21" t="s">
        <v>34</v>
      </c>
      <c r="E35363" s="21" t="s">
        <v>35</v>
      </c>
      <c r="F35363">
        <v>1690062</v>
      </c>
      <c r="G35363" t="s">
        <v>5907</v>
      </c>
      <c r="H35363" s="21">
        <v>500</v>
      </c>
    </row>
    <row r="35364" spans="1:8" customFormat="1" x14ac:dyDescent="0.25">
      <c r="A35364" t="str">
        <f>"9127745"</f>
        <v>9127745</v>
      </c>
      <c r="B35364" t="s">
        <v>22574</v>
      </c>
      <c r="C35364" t="s">
        <v>156</v>
      </c>
      <c r="D35364" s="21" t="s">
        <v>34</v>
      </c>
      <c r="E35364" s="21" t="s">
        <v>254</v>
      </c>
      <c r="F35364">
        <v>8911083</v>
      </c>
      <c r="G35364" t="s">
        <v>7357</v>
      </c>
      <c r="H35364" s="21">
        <v>500</v>
      </c>
    </row>
    <row r="35365" spans="1:8" customFormat="1" x14ac:dyDescent="0.25">
      <c r="A35365" t="str">
        <f>"848381"</f>
        <v>848381</v>
      </c>
      <c r="B35365" t="s">
        <v>29041</v>
      </c>
      <c r="C35365" t="s">
        <v>233</v>
      </c>
      <c r="D35365" s="21" t="s">
        <v>34</v>
      </c>
      <c r="E35365" s="21" t="s">
        <v>6185</v>
      </c>
      <c r="F35365">
        <v>13840006</v>
      </c>
      <c r="G35365" t="s">
        <v>10139</v>
      </c>
      <c r="H35365" s="21">
        <v>500</v>
      </c>
    </row>
    <row r="35366" spans="1:8" customFormat="1" x14ac:dyDescent="0.25">
      <c r="A35366" t="str">
        <f>"4212883"</f>
        <v>4212883</v>
      </c>
      <c r="B35366" t="s">
        <v>8204</v>
      </c>
      <c r="C35366" t="s">
        <v>4842</v>
      </c>
      <c r="D35366" s="21" t="s">
        <v>34</v>
      </c>
      <c r="E35366" s="21" t="s">
        <v>1089</v>
      </c>
      <c r="F35366">
        <v>1420006</v>
      </c>
      <c r="G35366" t="s">
        <v>6019</v>
      </c>
      <c r="H35366" s="21">
        <v>500</v>
      </c>
    </row>
    <row r="35367" spans="1:8" customFormat="1" x14ac:dyDescent="0.25">
      <c r="A35367" t="str">
        <f>"8819271"</f>
        <v>8819271</v>
      </c>
      <c r="B35367" t="s">
        <v>16688</v>
      </c>
      <c r="C35367" t="s">
        <v>459</v>
      </c>
      <c r="D35367" s="21" t="s">
        <v>34</v>
      </c>
      <c r="E35367" s="21" t="s">
        <v>254</v>
      </c>
      <c r="F35367">
        <v>6880049</v>
      </c>
      <c r="G35367" t="s">
        <v>4514</v>
      </c>
      <c r="H35367" s="21">
        <v>500</v>
      </c>
    </row>
    <row r="35368" spans="1:8" customFormat="1" x14ac:dyDescent="0.25">
      <c r="A35368" t="str">
        <f>"0812706"</f>
        <v>0812706</v>
      </c>
      <c r="B35368" t="s">
        <v>2143</v>
      </c>
      <c r="C35368" t="s">
        <v>249</v>
      </c>
      <c r="D35368" s="21" t="s">
        <v>34</v>
      </c>
      <c r="E35368" s="21" t="s">
        <v>71</v>
      </c>
      <c r="F35368">
        <v>6080074</v>
      </c>
      <c r="G35368" t="s">
        <v>13069</v>
      </c>
      <c r="H35368" s="21">
        <v>500</v>
      </c>
    </row>
    <row r="35369" spans="1:8" customFormat="1" x14ac:dyDescent="0.25">
      <c r="A35369" t="str">
        <f>"9447868"</f>
        <v>9447868</v>
      </c>
      <c r="B35369" t="s">
        <v>23006</v>
      </c>
      <c r="C35369" t="s">
        <v>249</v>
      </c>
      <c r="D35369" s="21" t="s">
        <v>34</v>
      </c>
      <c r="E35369" s="21" t="s">
        <v>71</v>
      </c>
      <c r="F35369">
        <v>8940070</v>
      </c>
      <c r="G35369" t="s">
        <v>2320</v>
      </c>
      <c r="H35369" s="21">
        <v>500</v>
      </c>
    </row>
    <row r="35370" spans="1:8" customFormat="1" x14ac:dyDescent="0.25">
      <c r="A35370" t="str">
        <f>"5971027"</f>
        <v>5971027</v>
      </c>
      <c r="B35370" t="s">
        <v>16787</v>
      </c>
      <c r="C35370" t="s">
        <v>576</v>
      </c>
      <c r="D35370" s="21" t="s">
        <v>34</v>
      </c>
      <c r="E35370" s="21" t="s">
        <v>35</v>
      </c>
      <c r="F35370">
        <v>7590002</v>
      </c>
      <c r="G35370" t="s">
        <v>7135</v>
      </c>
      <c r="H35370" s="21">
        <v>500</v>
      </c>
    </row>
    <row r="35371" spans="1:8" customFormat="1" x14ac:dyDescent="0.25">
      <c r="A35371" t="str">
        <f>"9143175"</f>
        <v>9143175</v>
      </c>
      <c r="B35371" t="s">
        <v>727</v>
      </c>
      <c r="C35371" t="s">
        <v>275</v>
      </c>
      <c r="D35371" s="21" t="s">
        <v>34</v>
      </c>
      <c r="E35371" s="21" t="s">
        <v>35</v>
      </c>
      <c r="F35371">
        <v>8910310</v>
      </c>
      <c r="G35371" t="s">
        <v>6645</v>
      </c>
      <c r="H35371" s="21">
        <v>500</v>
      </c>
    </row>
    <row r="35372" spans="1:8" customFormat="1" x14ac:dyDescent="0.25">
      <c r="A35372" t="str">
        <f>"7871379"</f>
        <v>7871379</v>
      </c>
      <c r="B35372" t="s">
        <v>4128</v>
      </c>
      <c r="C35372" t="s">
        <v>139</v>
      </c>
      <c r="D35372" s="21" t="s">
        <v>34</v>
      </c>
      <c r="E35372" s="21" t="s">
        <v>71</v>
      </c>
      <c r="F35372">
        <v>8780401</v>
      </c>
      <c r="G35372" t="s">
        <v>9116</v>
      </c>
      <c r="H35372" s="21">
        <v>500</v>
      </c>
    </row>
    <row r="35373" spans="1:8" customFormat="1" x14ac:dyDescent="0.25">
      <c r="A35373" t="str">
        <f>"3424836"</f>
        <v>3424836</v>
      </c>
      <c r="B35373" t="s">
        <v>23924</v>
      </c>
      <c r="C35373" t="s">
        <v>263</v>
      </c>
      <c r="D35373" s="21" t="s">
        <v>34</v>
      </c>
      <c r="E35373" s="21" t="s">
        <v>254</v>
      </c>
      <c r="F35373">
        <v>11340053</v>
      </c>
      <c r="G35373" t="s">
        <v>9935</v>
      </c>
      <c r="H35373" s="21">
        <v>500</v>
      </c>
    </row>
    <row r="35374" spans="1:8" customFormat="1" x14ac:dyDescent="0.25">
      <c r="A35374" t="str">
        <f>"6112209"</f>
        <v>6112209</v>
      </c>
      <c r="B35374" t="s">
        <v>356</v>
      </c>
      <c r="C35374" t="s">
        <v>24100</v>
      </c>
      <c r="D35374" s="21" t="s">
        <v>34</v>
      </c>
      <c r="E35374" s="21" t="s">
        <v>71</v>
      </c>
      <c r="F35374">
        <v>9610097</v>
      </c>
      <c r="G35374" t="s">
        <v>9432</v>
      </c>
      <c r="H35374" s="21">
        <v>500</v>
      </c>
    </row>
    <row r="35375" spans="1:8" customFormat="1" x14ac:dyDescent="0.25">
      <c r="A35375" t="str">
        <f>"50528"</f>
        <v>50528</v>
      </c>
      <c r="B35375" t="s">
        <v>10495</v>
      </c>
      <c r="C35375" t="s">
        <v>1914</v>
      </c>
      <c r="D35375" s="21" t="s">
        <v>34</v>
      </c>
      <c r="E35375" s="21" t="s">
        <v>71</v>
      </c>
      <c r="F35375">
        <v>9500025</v>
      </c>
      <c r="G35375" t="s">
        <v>665</v>
      </c>
      <c r="H35375" s="21">
        <v>500</v>
      </c>
    </row>
    <row r="35376" spans="1:8" customFormat="1" x14ac:dyDescent="0.25">
      <c r="A35376" t="str">
        <f>"3325488"</f>
        <v>3325488</v>
      </c>
      <c r="B35376" t="s">
        <v>23090</v>
      </c>
      <c r="C35376" t="s">
        <v>60</v>
      </c>
      <c r="D35376" s="21" t="s">
        <v>34</v>
      </c>
      <c r="E35376" s="21" t="s">
        <v>35</v>
      </c>
      <c r="F35376">
        <v>10330025</v>
      </c>
      <c r="G35376" t="s">
        <v>4450</v>
      </c>
      <c r="H35376" s="21">
        <v>500</v>
      </c>
    </row>
    <row r="35377" spans="1:8" customFormat="1" x14ac:dyDescent="0.25">
      <c r="A35377" t="str">
        <f>"3344643"</f>
        <v>3344643</v>
      </c>
      <c r="B35377" t="s">
        <v>29042</v>
      </c>
      <c r="C35377" t="s">
        <v>598</v>
      </c>
      <c r="D35377" s="21" t="s">
        <v>34</v>
      </c>
      <c r="E35377" s="21" t="s">
        <v>254</v>
      </c>
      <c r="F35377">
        <v>10330082</v>
      </c>
      <c r="G35377" t="s">
        <v>5564</v>
      </c>
      <c r="H35377" s="21">
        <v>500</v>
      </c>
    </row>
    <row r="35378" spans="1:8" customFormat="1" x14ac:dyDescent="0.25">
      <c r="A35378" t="str">
        <f>"848542"</f>
        <v>848542</v>
      </c>
      <c r="B35378" t="s">
        <v>8905</v>
      </c>
      <c r="C35378" t="s">
        <v>1665</v>
      </c>
      <c r="D35378" s="21" t="s">
        <v>34</v>
      </c>
      <c r="E35378" s="21" t="s">
        <v>254</v>
      </c>
      <c r="F35378">
        <v>13840059</v>
      </c>
      <c r="G35378" t="s">
        <v>21670</v>
      </c>
      <c r="H35378" s="21">
        <v>500</v>
      </c>
    </row>
    <row r="35379" spans="1:8" customFormat="1" x14ac:dyDescent="0.25">
      <c r="A35379" t="str">
        <f>"63332"</f>
        <v>63332</v>
      </c>
      <c r="B35379" t="s">
        <v>22870</v>
      </c>
      <c r="C35379" t="s">
        <v>253</v>
      </c>
      <c r="D35379" s="21" t="s">
        <v>34</v>
      </c>
      <c r="E35379" s="21" t="s">
        <v>254</v>
      </c>
      <c r="F35379">
        <v>1630249</v>
      </c>
      <c r="G35379" t="s">
        <v>1237</v>
      </c>
      <c r="H35379" s="21">
        <v>500</v>
      </c>
    </row>
    <row r="35380" spans="1:8" customFormat="1" x14ac:dyDescent="0.25">
      <c r="A35380" t="str">
        <f>"68124"</f>
        <v>68124</v>
      </c>
      <c r="B35380" t="s">
        <v>22932</v>
      </c>
      <c r="C35380" t="s">
        <v>547</v>
      </c>
      <c r="D35380" s="21" t="s">
        <v>34</v>
      </c>
      <c r="E35380" s="21" t="s">
        <v>1089</v>
      </c>
      <c r="F35380">
        <v>6680004</v>
      </c>
      <c r="G35380" t="s">
        <v>644</v>
      </c>
      <c r="H35380" s="21">
        <v>500</v>
      </c>
    </row>
    <row r="35381" spans="1:8" customFormat="1" x14ac:dyDescent="0.25">
      <c r="A35381" t="str">
        <f>"761702"</f>
        <v>761702</v>
      </c>
      <c r="B35381" t="s">
        <v>9244</v>
      </c>
      <c r="C35381" t="s">
        <v>239</v>
      </c>
      <c r="D35381" s="21" t="s">
        <v>34</v>
      </c>
      <c r="E35381" s="21" t="s">
        <v>1089</v>
      </c>
      <c r="F35381">
        <v>9760127</v>
      </c>
      <c r="G35381" t="s">
        <v>7132</v>
      </c>
      <c r="H35381" s="21">
        <v>500</v>
      </c>
    </row>
    <row r="35382" spans="1:8" customFormat="1" x14ac:dyDescent="0.25">
      <c r="A35382" t="str">
        <f>"2517059"</f>
        <v>2517059</v>
      </c>
      <c r="B35382" t="s">
        <v>29043</v>
      </c>
      <c r="C35382" t="s">
        <v>96</v>
      </c>
      <c r="D35382" s="21" t="s">
        <v>34</v>
      </c>
      <c r="E35382" s="21" t="s">
        <v>35</v>
      </c>
      <c r="F35382">
        <v>2250070</v>
      </c>
      <c r="G35382" t="s">
        <v>3923</v>
      </c>
      <c r="H35382" s="21">
        <v>500</v>
      </c>
    </row>
    <row r="35383" spans="1:8" customFormat="1" x14ac:dyDescent="0.25">
      <c r="A35383" t="str">
        <f>"5950605"</f>
        <v>5950605</v>
      </c>
      <c r="B35383" t="s">
        <v>17721</v>
      </c>
      <c r="C35383" t="s">
        <v>428</v>
      </c>
      <c r="D35383" s="21" t="s">
        <v>34</v>
      </c>
      <c r="E35383" s="21" t="s">
        <v>35</v>
      </c>
      <c r="F35383">
        <v>7590065</v>
      </c>
      <c r="G35383" t="s">
        <v>1598</v>
      </c>
      <c r="H35383" s="21">
        <v>500</v>
      </c>
    </row>
    <row r="35384" spans="1:8" customFormat="1" x14ac:dyDescent="0.25">
      <c r="A35384" t="str">
        <f>"4526253"</f>
        <v>4526253</v>
      </c>
      <c r="B35384" t="s">
        <v>24795</v>
      </c>
      <c r="C35384" t="s">
        <v>1110</v>
      </c>
      <c r="D35384" s="21" t="s">
        <v>34</v>
      </c>
      <c r="E35384" s="21" t="s">
        <v>254</v>
      </c>
      <c r="F35384">
        <v>3220048</v>
      </c>
      <c r="G35384" t="s">
        <v>26532</v>
      </c>
      <c r="H35384" s="21">
        <v>500</v>
      </c>
    </row>
    <row r="35385" spans="1:8" customFormat="1" x14ac:dyDescent="0.25">
      <c r="A35385" t="str">
        <f>"847703"</f>
        <v>847703</v>
      </c>
      <c r="B35385" t="s">
        <v>22299</v>
      </c>
      <c r="C35385" t="s">
        <v>500</v>
      </c>
      <c r="D35385" s="21" t="s">
        <v>34</v>
      </c>
      <c r="E35385" s="21" t="s">
        <v>254</v>
      </c>
      <c r="F35385">
        <v>13840059</v>
      </c>
      <c r="G35385" t="s">
        <v>21670</v>
      </c>
      <c r="H35385" s="21">
        <v>500</v>
      </c>
    </row>
    <row r="35386" spans="1:8" customFormat="1" x14ac:dyDescent="0.25">
      <c r="A35386" t="str">
        <f>"9252778"</f>
        <v>9252778</v>
      </c>
      <c r="B35386" t="s">
        <v>1737</v>
      </c>
      <c r="C35386" t="s">
        <v>2430</v>
      </c>
      <c r="D35386" s="21" t="s">
        <v>34</v>
      </c>
      <c r="E35386" s="21" t="s">
        <v>71</v>
      </c>
      <c r="F35386">
        <v>8921522</v>
      </c>
      <c r="G35386" t="s">
        <v>22764</v>
      </c>
      <c r="H35386" s="21">
        <v>500</v>
      </c>
    </row>
    <row r="35387" spans="1:8" customFormat="1" x14ac:dyDescent="0.25">
      <c r="A35387" t="str">
        <f>"594155"</f>
        <v>594155</v>
      </c>
      <c r="B35387" t="s">
        <v>23695</v>
      </c>
      <c r="C35387" t="s">
        <v>2479</v>
      </c>
      <c r="D35387" s="21" t="s">
        <v>34</v>
      </c>
      <c r="E35387" s="21" t="s">
        <v>6185</v>
      </c>
      <c r="F35387">
        <v>7590122</v>
      </c>
      <c r="G35387" t="s">
        <v>5608</v>
      </c>
      <c r="H35387" s="21">
        <v>500</v>
      </c>
    </row>
    <row r="35388" spans="1:8" customFormat="1" x14ac:dyDescent="0.25">
      <c r="A35388" t="str">
        <f>"7731667"</f>
        <v>7731667</v>
      </c>
      <c r="B35388" t="s">
        <v>29044</v>
      </c>
      <c r="C35388" t="s">
        <v>28361</v>
      </c>
      <c r="D35388" s="21" t="s">
        <v>34</v>
      </c>
      <c r="E35388" s="21" t="s">
        <v>71</v>
      </c>
      <c r="F35388">
        <v>8771337</v>
      </c>
      <c r="G35388" t="s">
        <v>4661</v>
      </c>
      <c r="H35388" s="21">
        <v>500</v>
      </c>
    </row>
    <row r="35389" spans="1:8" customFormat="1" x14ac:dyDescent="0.25">
      <c r="A35389" t="str">
        <f>"5734358"</f>
        <v>5734358</v>
      </c>
      <c r="B35389" t="s">
        <v>29045</v>
      </c>
      <c r="C35389" t="s">
        <v>1271</v>
      </c>
      <c r="D35389" s="21" t="s">
        <v>34</v>
      </c>
      <c r="E35389" s="21" t="s">
        <v>1089</v>
      </c>
      <c r="F35389">
        <v>6570057</v>
      </c>
      <c r="G35389" t="s">
        <v>8333</v>
      </c>
      <c r="H35389" s="21">
        <v>500</v>
      </c>
    </row>
    <row r="35390" spans="1:8" customFormat="1" x14ac:dyDescent="0.25">
      <c r="A35390" t="str">
        <f>"3118827"</f>
        <v>3118827</v>
      </c>
      <c r="B35390" t="s">
        <v>18405</v>
      </c>
      <c r="C35390" t="s">
        <v>985</v>
      </c>
      <c r="D35390" s="21" t="s">
        <v>34</v>
      </c>
      <c r="E35390" s="21" t="s">
        <v>254</v>
      </c>
      <c r="F35390">
        <v>11310121</v>
      </c>
      <c r="G35390" t="s">
        <v>578</v>
      </c>
      <c r="H35390" s="21">
        <v>500</v>
      </c>
    </row>
    <row r="35391" spans="1:8" customFormat="1" x14ac:dyDescent="0.25">
      <c r="A35391" t="str">
        <f>"2937307"</f>
        <v>2937307</v>
      </c>
      <c r="B35391" t="s">
        <v>641</v>
      </c>
      <c r="C35391" t="s">
        <v>169</v>
      </c>
      <c r="D35391" s="21" t="s">
        <v>34</v>
      </c>
      <c r="E35391" s="21" t="s">
        <v>35</v>
      </c>
      <c r="F35391">
        <v>3290282</v>
      </c>
      <c r="G35391" t="s">
        <v>4855</v>
      </c>
      <c r="H35391" s="21">
        <v>500</v>
      </c>
    </row>
    <row r="35392" spans="1:8" customFormat="1" x14ac:dyDescent="0.25">
      <c r="A35392" t="str">
        <f>"5326844"</f>
        <v>5326844</v>
      </c>
      <c r="B35392" t="s">
        <v>650</v>
      </c>
      <c r="C35392" t="s">
        <v>124</v>
      </c>
      <c r="D35392" s="21" t="s">
        <v>34</v>
      </c>
      <c r="E35392" s="21" t="s">
        <v>71</v>
      </c>
      <c r="F35392">
        <v>12530015</v>
      </c>
      <c r="G35392" t="s">
        <v>18217</v>
      </c>
      <c r="H35392" s="21">
        <v>500</v>
      </c>
    </row>
    <row r="35393" spans="1:8" customFormat="1" x14ac:dyDescent="0.25">
      <c r="A35393" t="str">
        <f>"4113796"</f>
        <v>4113796</v>
      </c>
      <c r="B35393" t="s">
        <v>29046</v>
      </c>
      <c r="C35393" t="s">
        <v>29047</v>
      </c>
      <c r="D35393" s="21" t="s">
        <v>34</v>
      </c>
      <c r="E35393" s="21" t="s">
        <v>35</v>
      </c>
      <c r="F35393">
        <v>4410466</v>
      </c>
      <c r="G35393" t="s">
        <v>678</v>
      </c>
      <c r="H35393" s="21">
        <v>500</v>
      </c>
    </row>
    <row r="35394" spans="1:8" customFormat="1" x14ac:dyDescent="0.25">
      <c r="A35394" t="str">
        <f>"5810482"</f>
        <v>5810482</v>
      </c>
      <c r="B35394" t="s">
        <v>29048</v>
      </c>
      <c r="C35394" t="s">
        <v>576</v>
      </c>
      <c r="D35394" s="21" t="s">
        <v>34</v>
      </c>
      <c r="E35394" s="21" t="s">
        <v>35</v>
      </c>
      <c r="F35394">
        <v>2580010</v>
      </c>
      <c r="G35394" t="s">
        <v>1965</v>
      </c>
      <c r="H35394" s="21">
        <v>500</v>
      </c>
    </row>
    <row r="35395" spans="1:8" customFormat="1" x14ac:dyDescent="0.25">
      <c r="A35395" t="str">
        <f>"3425085"</f>
        <v>3425085</v>
      </c>
      <c r="B35395" t="s">
        <v>22311</v>
      </c>
      <c r="C35395" t="s">
        <v>204</v>
      </c>
      <c r="D35395" s="21" t="s">
        <v>34</v>
      </c>
      <c r="E35395" s="21" t="s">
        <v>71</v>
      </c>
      <c r="F35395">
        <v>11340013</v>
      </c>
      <c r="G35395" t="s">
        <v>11430</v>
      </c>
      <c r="H35395" s="21">
        <v>500</v>
      </c>
    </row>
    <row r="35396" spans="1:8" customFormat="1" x14ac:dyDescent="0.25">
      <c r="A35396" t="str">
        <f>"6215020"</f>
        <v>6215020</v>
      </c>
      <c r="B35396" t="s">
        <v>23028</v>
      </c>
      <c r="C35396" t="s">
        <v>249</v>
      </c>
      <c r="D35396" s="21" t="s">
        <v>34</v>
      </c>
      <c r="E35396" s="21" t="s">
        <v>35</v>
      </c>
      <c r="F35396">
        <v>7620010</v>
      </c>
      <c r="G35396" t="s">
        <v>504</v>
      </c>
      <c r="H35396" s="21">
        <v>500</v>
      </c>
    </row>
    <row r="35397" spans="1:8" customFormat="1" x14ac:dyDescent="0.25">
      <c r="A35397" t="str">
        <f>"898959"</f>
        <v>898959</v>
      </c>
      <c r="B35397" t="s">
        <v>25175</v>
      </c>
      <c r="C35397" t="s">
        <v>29049</v>
      </c>
      <c r="D35397" s="21" t="s">
        <v>34</v>
      </c>
      <c r="E35397" s="21" t="s">
        <v>71</v>
      </c>
      <c r="F35397">
        <v>2890005</v>
      </c>
      <c r="G35397" t="s">
        <v>2889</v>
      </c>
      <c r="H35397" s="21">
        <v>500</v>
      </c>
    </row>
    <row r="35398" spans="1:8" customFormat="1" x14ac:dyDescent="0.25">
      <c r="A35398" t="str">
        <f>"3530744"</f>
        <v>3530744</v>
      </c>
      <c r="B35398" t="s">
        <v>23392</v>
      </c>
      <c r="C35398" t="s">
        <v>209</v>
      </c>
      <c r="D35398" s="21" t="s">
        <v>34</v>
      </c>
      <c r="E35398" s="21" t="s">
        <v>71</v>
      </c>
      <c r="F35398">
        <v>3350136</v>
      </c>
      <c r="G35398" t="s">
        <v>2773</v>
      </c>
      <c r="H35398" s="21">
        <v>500</v>
      </c>
    </row>
    <row r="35399" spans="1:8" customFormat="1" x14ac:dyDescent="0.25">
      <c r="A35399" t="str">
        <f>"9B601"</f>
        <v>9B601</v>
      </c>
      <c r="B35399" t="s">
        <v>23543</v>
      </c>
      <c r="C35399" t="s">
        <v>23544</v>
      </c>
      <c r="D35399" s="21" t="s">
        <v>34</v>
      </c>
      <c r="E35399" s="21" t="s">
        <v>254</v>
      </c>
      <c r="F35399" t="s">
        <v>1403</v>
      </c>
      <c r="G35399" t="s">
        <v>1404</v>
      </c>
      <c r="H35399" s="21">
        <v>500</v>
      </c>
    </row>
    <row r="35400" spans="1:8" customFormat="1" x14ac:dyDescent="0.25">
      <c r="A35400" t="str">
        <f>"9D2165"</f>
        <v>9D2165</v>
      </c>
      <c r="B35400" t="s">
        <v>15497</v>
      </c>
      <c r="C35400" t="s">
        <v>8861</v>
      </c>
      <c r="D35400" s="21" t="s">
        <v>34</v>
      </c>
      <c r="E35400" s="21" t="s">
        <v>71</v>
      </c>
      <c r="F35400" t="s">
        <v>13222</v>
      </c>
      <c r="G35400" t="s">
        <v>13223</v>
      </c>
      <c r="H35400" s="21">
        <v>500</v>
      </c>
    </row>
    <row r="35401" spans="1:8" customFormat="1" x14ac:dyDescent="0.25">
      <c r="A35401" t="str">
        <f>"0114103"</f>
        <v>0114103</v>
      </c>
      <c r="B35401" t="s">
        <v>577</v>
      </c>
      <c r="C35401" t="s">
        <v>652</v>
      </c>
      <c r="D35401" s="21" t="s">
        <v>34</v>
      </c>
      <c r="E35401" s="21" t="s">
        <v>71</v>
      </c>
      <c r="F35401">
        <v>1010033</v>
      </c>
      <c r="G35401" t="s">
        <v>14583</v>
      </c>
      <c r="H35401" s="21">
        <v>500</v>
      </c>
    </row>
    <row r="35402" spans="1:8" customFormat="1" x14ac:dyDescent="0.25">
      <c r="A35402" t="str">
        <f>"5715031"</f>
        <v>5715031</v>
      </c>
      <c r="B35402" t="s">
        <v>19160</v>
      </c>
      <c r="C35402" t="s">
        <v>9063</v>
      </c>
      <c r="D35402" s="21" t="s">
        <v>34</v>
      </c>
      <c r="E35402" s="21" t="s">
        <v>254</v>
      </c>
      <c r="F35402">
        <v>6570167</v>
      </c>
      <c r="G35402" t="s">
        <v>1174</v>
      </c>
      <c r="H35402" s="21">
        <v>500</v>
      </c>
    </row>
    <row r="35403" spans="1:8" customFormat="1" x14ac:dyDescent="0.25">
      <c r="A35403" t="str">
        <f>"626069"</f>
        <v>626069</v>
      </c>
      <c r="B35403" t="s">
        <v>22849</v>
      </c>
      <c r="C35403" t="s">
        <v>2520</v>
      </c>
      <c r="D35403" s="21" t="s">
        <v>34</v>
      </c>
      <c r="E35403" s="21" t="s">
        <v>254</v>
      </c>
      <c r="F35403">
        <v>7620049</v>
      </c>
      <c r="G35403" t="s">
        <v>1176</v>
      </c>
      <c r="H35403" s="21">
        <v>500</v>
      </c>
    </row>
    <row r="35404" spans="1:8" customFormat="1" x14ac:dyDescent="0.25">
      <c r="A35404" t="str">
        <f>"3529672"</f>
        <v>3529672</v>
      </c>
      <c r="B35404" t="s">
        <v>10406</v>
      </c>
      <c r="C35404" t="s">
        <v>486</v>
      </c>
      <c r="D35404" s="21" t="s">
        <v>34</v>
      </c>
      <c r="E35404" s="21" t="s">
        <v>35</v>
      </c>
      <c r="F35404">
        <v>3350060</v>
      </c>
      <c r="G35404" t="s">
        <v>38</v>
      </c>
      <c r="H35404" s="21">
        <v>500</v>
      </c>
    </row>
    <row r="35405" spans="1:8" customFormat="1" x14ac:dyDescent="0.25">
      <c r="A35405" t="str">
        <f>"2939894"</f>
        <v>2939894</v>
      </c>
      <c r="B35405" t="s">
        <v>29050</v>
      </c>
      <c r="C35405" t="s">
        <v>40</v>
      </c>
      <c r="D35405" s="21" t="s">
        <v>34</v>
      </c>
      <c r="E35405" s="21" t="s">
        <v>35</v>
      </c>
      <c r="F35405">
        <v>3290274</v>
      </c>
      <c r="G35405" t="s">
        <v>11751</v>
      </c>
      <c r="H35405" s="21">
        <v>500</v>
      </c>
    </row>
    <row r="35406" spans="1:8" customFormat="1" x14ac:dyDescent="0.25">
      <c r="A35406" t="str">
        <f>"8615101"</f>
        <v>8615101</v>
      </c>
      <c r="B35406" t="s">
        <v>19158</v>
      </c>
      <c r="C35406" t="s">
        <v>462</v>
      </c>
      <c r="D35406" s="21" t="s">
        <v>34</v>
      </c>
      <c r="E35406" s="21" t="s">
        <v>71</v>
      </c>
      <c r="F35406">
        <v>10860122</v>
      </c>
      <c r="G35406" t="s">
        <v>3800</v>
      </c>
      <c r="H35406" s="21">
        <v>500</v>
      </c>
    </row>
    <row r="35407" spans="1:8" customFormat="1" x14ac:dyDescent="0.25">
      <c r="A35407" t="str">
        <f>"7514770"</f>
        <v>7514770</v>
      </c>
      <c r="B35407" t="s">
        <v>23757</v>
      </c>
      <c r="C35407" t="s">
        <v>23758</v>
      </c>
      <c r="D35407" s="21" t="s">
        <v>34</v>
      </c>
      <c r="E35407" s="21" t="s">
        <v>35</v>
      </c>
      <c r="F35407">
        <v>8750064</v>
      </c>
      <c r="G35407" t="s">
        <v>10471</v>
      </c>
      <c r="H35407" s="21">
        <v>500</v>
      </c>
    </row>
    <row r="35408" spans="1:8" customFormat="1" x14ac:dyDescent="0.25">
      <c r="A35408" t="str">
        <f>"5983050"</f>
        <v>5983050</v>
      </c>
      <c r="B35408" t="s">
        <v>29051</v>
      </c>
      <c r="C35408" t="s">
        <v>817</v>
      </c>
      <c r="D35408" s="21" t="s">
        <v>34</v>
      </c>
      <c r="E35408" s="21" t="s">
        <v>35</v>
      </c>
      <c r="F35408">
        <v>7590347</v>
      </c>
      <c r="G35408" t="s">
        <v>6041</v>
      </c>
      <c r="H35408" s="21">
        <v>500</v>
      </c>
    </row>
    <row r="35409" spans="1:8" customFormat="1" x14ac:dyDescent="0.25">
      <c r="A35409" t="str">
        <f>"45282"</f>
        <v>45282</v>
      </c>
      <c r="B35409" t="s">
        <v>21983</v>
      </c>
      <c r="C35409" t="s">
        <v>598</v>
      </c>
      <c r="D35409" s="21" t="s">
        <v>34</v>
      </c>
      <c r="E35409" s="21" t="s">
        <v>1089</v>
      </c>
      <c r="F35409">
        <v>4450429</v>
      </c>
      <c r="G35409" t="s">
        <v>15149</v>
      </c>
      <c r="H35409" s="21">
        <v>500</v>
      </c>
    </row>
    <row r="35410" spans="1:8" customFormat="1" x14ac:dyDescent="0.25">
      <c r="A35410" t="str">
        <f>"4936416"</f>
        <v>4936416</v>
      </c>
      <c r="B35410" t="s">
        <v>2138</v>
      </c>
      <c r="C35410" t="s">
        <v>24371</v>
      </c>
      <c r="D35410" s="21" t="s">
        <v>34</v>
      </c>
      <c r="E35410" s="21" t="s">
        <v>35</v>
      </c>
      <c r="F35410">
        <v>12490030</v>
      </c>
      <c r="G35410" t="s">
        <v>8366</v>
      </c>
      <c r="H35410" s="21">
        <v>500</v>
      </c>
    </row>
    <row r="35411" spans="1:8" customFormat="1" x14ac:dyDescent="0.25">
      <c r="A35411" t="str">
        <f>"4218323"</f>
        <v>4218323</v>
      </c>
      <c r="B35411" t="s">
        <v>23673</v>
      </c>
      <c r="C35411" t="s">
        <v>114</v>
      </c>
      <c r="D35411" s="21" t="s">
        <v>34</v>
      </c>
      <c r="E35411" s="21" t="s">
        <v>71</v>
      </c>
      <c r="F35411">
        <v>1420153</v>
      </c>
      <c r="G35411" t="s">
        <v>8897</v>
      </c>
      <c r="H35411" s="21">
        <v>500</v>
      </c>
    </row>
    <row r="35412" spans="1:8" customFormat="1" x14ac:dyDescent="0.25">
      <c r="A35412" t="str">
        <f>"7524674"</f>
        <v>7524674</v>
      </c>
      <c r="B35412" t="s">
        <v>29052</v>
      </c>
      <c r="C35412" t="s">
        <v>60</v>
      </c>
      <c r="D35412" s="21" t="s">
        <v>34</v>
      </c>
      <c r="E35412" s="21" t="s">
        <v>254</v>
      </c>
      <c r="F35412">
        <v>8751423</v>
      </c>
      <c r="G35412" t="s">
        <v>4556</v>
      </c>
      <c r="H35412" s="21">
        <v>500</v>
      </c>
    </row>
    <row r="35413" spans="1:8" customFormat="1" x14ac:dyDescent="0.25">
      <c r="A35413" t="str">
        <f>"3832694"</f>
        <v>3832694</v>
      </c>
      <c r="B35413" t="s">
        <v>21136</v>
      </c>
      <c r="C35413" t="s">
        <v>323</v>
      </c>
      <c r="D35413" s="21" t="s">
        <v>34</v>
      </c>
      <c r="E35413" s="21" t="s">
        <v>35</v>
      </c>
      <c r="F35413">
        <v>1380298</v>
      </c>
      <c r="G35413" t="s">
        <v>5868</v>
      </c>
      <c r="H35413" s="21">
        <v>500</v>
      </c>
    </row>
    <row r="35414" spans="1:8" customFormat="1" x14ac:dyDescent="0.25">
      <c r="A35414" t="str">
        <f>"9125706"</f>
        <v>9125706</v>
      </c>
      <c r="B35414" t="s">
        <v>29053</v>
      </c>
      <c r="C35414" t="s">
        <v>151</v>
      </c>
      <c r="D35414" s="21" t="s">
        <v>34</v>
      </c>
      <c r="E35414" s="21" t="s">
        <v>254</v>
      </c>
      <c r="F35414">
        <v>8921190</v>
      </c>
      <c r="G35414" t="s">
        <v>810</v>
      </c>
      <c r="H35414" s="21">
        <v>500</v>
      </c>
    </row>
    <row r="35415" spans="1:8" customFormat="1" x14ac:dyDescent="0.25">
      <c r="A35415" t="str">
        <f>"7642662"</f>
        <v>7642662</v>
      </c>
      <c r="B35415" t="s">
        <v>8099</v>
      </c>
      <c r="C35415" t="s">
        <v>206</v>
      </c>
      <c r="D35415" s="21" t="s">
        <v>34</v>
      </c>
      <c r="E35415" s="21" t="s">
        <v>35</v>
      </c>
      <c r="F35415">
        <v>9760041</v>
      </c>
      <c r="G35415" t="s">
        <v>452</v>
      </c>
      <c r="H35415" s="21">
        <v>500</v>
      </c>
    </row>
    <row r="35416" spans="1:8" customFormat="1" x14ac:dyDescent="0.25">
      <c r="A35416" t="str">
        <f>"091708"</f>
        <v>091708</v>
      </c>
      <c r="B35416" t="s">
        <v>21970</v>
      </c>
      <c r="C35416" t="s">
        <v>9631</v>
      </c>
      <c r="D35416" s="21" t="s">
        <v>34</v>
      </c>
      <c r="E35416" s="21" t="s">
        <v>35</v>
      </c>
      <c r="F35416">
        <v>11090019</v>
      </c>
      <c r="G35416" t="s">
        <v>5591</v>
      </c>
      <c r="H35416" s="21">
        <v>500</v>
      </c>
    </row>
    <row r="35417" spans="1:8" customFormat="1" x14ac:dyDescent="0.25">
      <c r="A35417" t="str">
        <f>"5960719"</f>
        <v>5960719</v>
      </c>
      <c r="B35417" t="s">
        <v>8285</v>
      </c>
      <c r="C35417" t="s">
        <v>24175</v>
      </c>
      <c r="D35417" s="21" t="s">
        <v>34</v>
      </c>
      <c r="E35417" s="21" t="s">
        <v>71</v>
      </c>
      <c r="F35417">
        <v>7590173</v>
      </c>
      <c r="G35417" t="s">
        <v>5675</v>
      </c>
      <c r="H35417" s="21">
        <v>500</v>
      </c>
    </row>
    <row r="35418" spans="1:8" customFormat="1" x14ac:dyDescent="0.25">
      <c r="A35418" t="str">
        <f>"9419145"</f>
        <v>9419145</v>
      </c>
      <c r="B35418" t="s">
        <v>4709</v>
      </c>
      <c r="C35418" t="s">
        <v>547</v>
      </c>
      <c r="D35418" s="21" t="s">
        <v>34</v>
      </c>
      <c r="E35418" s="21" t="s">
        <v>6185</v>
      </c>
      <c r="F35418">
        <v>8940975</v>
      </c>
      <c r="G35418" t="s">
        <v>7959</v>
      </c>
      <c r="H35418" s="21">
        <v>500</v>
      </c>
    </row>
    <row r="35419" spans="1:8" customFormat="1" x14ac:dyDescent="0.25">
      <c r="A35419" t="str">
        <f>"37646"</f>
        <v>37646</v>
      </c>
      <c r="B35419" t="s">
        <v>22703</v>
      </c>
      <c r="C35419" t="s">
        <v>7488</v>
      </c>
      <c r="D35419" s="21" t="s">
        <v>34</v>
      </c>
      <c r="E35419" s="21" t="s">
        <v>6185</v>
      </c>
      <c r="F35419">
        <v>4370102</v>
      </c>
      <c r="G35419" t="s">
        <v>10707</v>
      </c>
      <c r="H35419" s="21">
        <v>500</v>
      </c>
    </row>
    <row r="35420" spans="1:8" customFormat="1" x14ac:dyDescent="0.25">
      <c r="A35420" t="str">
        <f>"4423577"</f>
        <v>4423577</v>
      </c>
      <c r="B35420" t="s">
        <v>17857</v>
      </c>
      <c r="C35420" t="s">
        <v>22823</v>
      </c>
      <c r="D35420" s="21" t="s">
        <v>34</v>
      </c>
      <c r="E35420" s="21" t="s">
        <v>6185</v>
      </c>
      <c r="F35420">
        <v>12440149</v>
      </c>
      <c r="G35420" t="s">
        <v>15804</v>
      </c>
      <c r="H35420" s="21">
        <v>500</v>
      </c>
    </row>
    <row r="35421" spans="1:8" customFormat="1" x14ac:dyDescent="0.25">
      <c r="A35421" t="str">
        <f>"45514"</f>
        <v>45514</v>
      </c>
      <c r="B35421" t="s">
        <v>22049</v>
      </c>
      <c r="C35421" t="s">
        <v>547</v>
      </c>
      <c r="D35421" s="21" t="s">
        <v>34</v>
      </c>
      <c r="E35421" s="21" t="s">
        <v>6185</v>
      </c>
      <c r="F35421">
        <v>4450754</v>
      </c>
      <c r="G35421" t="s">
        <v>2695</v>
      </c>
      <c r="H35421" s="21">
        <v>500</v>
      </c>
    </row>
    <row r="35422" spans="1:8" customFormat="1" x14ac:dyDescent="0.25">
      <c r="A35422" t="str">
        <f>"47705"</f>
        <v>47705</v>
      </c>
      <c r="B35422" t="s">
        <v>23043</v>
      </c>
      <c r="C35422" t="s">
        <v>2276</v>
      </c>
      <c r="D35422" s="21" t="s">
        <v>34</v>
      </c>
      <c r="E35422" s="21" t="s">
        <v>6185</v>
      </c>
      <c r="F35422">
        <v>10470005</v>
      </c>
      <c r="G35422" t="s">
        <v>4216</v>
      </c>
      <c r="H35422" s="21">
        <v>500</v>
      </c>
    </row>
    <row r="35423" spans="1:8" customFormat="1" x14ac:dyDescent="0.25">
      <c r="A35423" t="str">
        <f>"7732257"</f>
        <v>7732257</v>
      </c>
      <c r="B35423" t="s">
        <v>29054</v>
      </c>
      <c r="C35423" t="s">
        <v>29055</v>
      </c>
      <c r="D35423" s="21" t="s">
        <v>34</v>
      </c>
      <c r="E35423" s="21" t="s">
        <v>71</v>
      </c>
      <c r="F35423">
        <v>8771515</v>
      </c>
      <c r="G35423" t="s">
        <v>19102</v>
      </c>
      <c r="H35423" s="21">
        <v>500</v>
      </c>
    </row>
    <row r="35424" spans="1:8" customFormat="1" x14ac:dyDescent="0.25">
      <c r="A35424" t="str">
        <f>"8019842"</f>
        <v>8019842</v>
      </c>
      <c r="B35424" t="s">
        <v>4081</v>
      </c>
      <c r="C35424" t="s">
        <v>24100</v>
      </c>
      <c r="D35424" s="21" t="s">
        <v>34</v>
      </c>
      <c r="E35424" s="21" t="s">
        <v>35</v>
      </c>
      <c r="F35424">
        <v>7800006</v>
      </c>
      <c r="G35424" t="s">
        <v>6365</v>
      </c>
      <c r="H35424" s="21">
        <v>500</v>
      </c>
    </row>
    <row r="35425" spans="1:8" customFormat="1" x14ac:dyDescent="0.25">
      <c r="A35425" t="str">
        <f>"4213499"</f>
        <v>4213499</v>
      </c>
      <c r="B35425" t="s">
        <v>29056</v>
      </c>
      <c r="C35425" t="s">
        <v>415</v>
      </c>
      <c r="D35425" s="21" t="s">
        <v>34</v>
      </c>
      <c r="E35425" s="21" t="s">
        <v>1089</v>
      </c>
      <c r="F35425">
        <v>1420154</v>
      </c>
      <c r="G35425" t="s">
        <v>11034</v>
      </c>
      <c r="H35425" s="21">
        <v>500</v>
      </c>
    </row>
    <row r="35426" spans="1:8" customFormat="1" x14ac:dyDescent="0.25">
      <c r="A35426" t="str">
        <f>"3345490"</f>
        <v>3345490</v>
      </c>
      <c r="B35426" t="s">
        <v>12023</v>
      </c>
      <c r="C35426" t="s">
        <v>60</v>
      </c>
      <c r="D35426" s="21" t="s">
        <v>34</v>
      </c>
      <c r="E35426" s="21" t="s">
        <v>71</v>
      </c>
      <c r="F35426">
        <v>10330017</v>
      </c>
      <c r="G35426" t="s">
        <v>2754</v>
      </c>
      <c r="H35426" s="21">
        <v>500</v>
      </c>
    </row>
    <row r="35427" spans="1:8" customFormat="1" x14ac:dyDescent="0.25">
      <c r="A35427" t="str">
        <f>"9F3899"</f>
        <v>9F3899</v>
      </c>
      <c r="B35427" t="s">
        <v>29057</v>
      </c>
      <c r="C35427" t="s">
        <v>121</v>
      </c>
      <c r="D35427" s="21" t="s">
        <v>34</v>
      </c>
      <c r="E35427" s="21" t="s">
        <v>35</v>
      </c>
      <c r="F35427" t="s">
        <v>2126</v>
      </c>
      <c r="G35427" t="s">
        <v>2127</v>
      </c>
      <c r="H35427" s="21">
        <v>500</v>
      </c>
    </row>
    <row r="35428" spans="1:8" customFormat="1" x14ac:dyDescent="0.25">
      <c r="A35428" t="str">
        <f>"5924632"</f>
        <v>5924632</v>
      </c>
      <c r="B35428" t="s">
        <v>23610</v>
      </c>
      <c r="C35428" t="s">
        <v>822</v>
      </c>
      <c r="D35428" s="21" t="s">
        <v>34</v>
      </c>
      <c r="E35428" s="21" t="s">
        <v>6185</v>
      </c>
      <c r="F35428">
        <v>7590028</v>
      </c>
      <c r="G35428" t="s">
        <v>251</v>
      </c>
      <c r="H35428" s="21">
        <v>500</v>
      </c>
    </row>
    <row r="35429" spans="1:8" customFormat="1" x14ac:dyDescent="0.25">
      <c r="A35429" t="str">
        <f>"2713785"</f>
        <v>2713785</v>
      </c>
      <c r="B35429" t="s">
        <v>5077</v>
      </c>
      <c r="C35429" t="s">
        <v>598</v>
      </c>
      <c r="D35429" s="21" t="s">
        <v>34</v>
      </c>
      <c r="E35429" s="21" t="s">
        <v>1089</v>
      </c>
      <c r="F35429">
        <v>9270028</v>
      </c>
      <c r="G35429" t="s">
        <v>6091</v>
      </c>
      <c r="H35429" s="21">
        <v>500</v>
      </c>
    </row>
    <row r="35430" spans="1:8" customFormat="1" x14ac:dyDescent="0.25">
      <c r="A35430" t="str">
        <f>"4442229"</f>
        <v>4442229</v>
      </c>
      <c r="B35430" t="s">
        <v>16821</v>
      </c>
      <c r="C35430" t="s">
        <v>664</v>
      </c>
      <c r="D35430" s="21" t="s">
        <v>34</v>
      </c>
      <c r="E35430" s="21" t="s">
        <v>71</v>
      </c>
      <c r="F35430">
        <v>12440116</v>
      </c>
      <c r="G35430" t="s">
        <v>26673</v>
      </c>
      <c r="H35430" s="21">
        <v>500</v>
      </c>
    </row>
    <row r="35431" spans="1:8" customFormat="1" x14ac:dyDescent="0.25">
      <c r="A35431" t="str">
        <f>"6230794"</f>
        <v>6230794</v>
      </c>
      <c r="B35431" t="s">
        <v>932</v>
      </c>
      <c r="C35431" t="s">
        <v>598</v>
      </c>
      <c r="D35431" s="21" t="s">
        <v>34</v>
      </c>
      <c r="E35431" s="21" t="s">
        <v>254</v>
      </c>
      <c r="F35431">
        <v>7620051</v>
      </c>
      <c r="G35431" t="s">
        <v>2741</v>
      </c>
      <c r="H35431" s="21">
        <v>500</v>
      </c>
    </row>
    <row r="35432" spans="1:8" customFormat="1" x14ac:dyDescent="0.25">
      <c r="A35432" t="str">
        <f>"764972"</f>
        <v>764972</v>
      </c>
      <c r="B35432" t="s">
        <v>22395</v>
      </c>
      <c r="C35432" t="s">
        <v>412</v>
      </c>
      <c r="D35432" s="21" t="s">
        <v>34</v>
      </c>
      <c r="E35432" s="21" t="s">
        <v>6185</v>
      </c>
      <c r="F35432">
        <v>9760442</v>
      </c>
      <c r="G35432" t="s">
        <v>5753</v>
      </c>
      <c r="H35432" s="21">
        <v>500</v>
      </c>
    </row>
    <row r="35433" spans="1:8" customFormat="1" x14ac:dyDescent="0.25">
      <c r="A35433" t="str">
        <f>"5733629"</f>
        <v>5733629</v>
      </c>
      <c r="B35433" t="s">
        <v>2065</v>
      </c>
      <c r="C35433" t="s">
        <v>566</v>
      </c>
      <c r="D35433" s="21" t="s">
        <v>34</v>
      </c>
      <c r="E35433" s="21" t="s">
        <v>35</v>
      </c>
      <c r="F35433">
        <v>6570030</v>
      </c>
      <c r="G35433" t="s">
        <v>851</v>
      </c>
      <c r="H35433" s="21">
        <v>500</v>
      </c>
    </row>
    <row r="35434" spans="1:8" customFormat="1" x14ac:dyDescent="0.25">
      <c r="A35434" t="str">
        <f>"4511769"</f>
        <v>4511769</v>
      </c>
      <c r="B35434" t="s">
        <v>23196</v>
      </c>
      <c r="C35434" t="s">
        <v>209</v>
      </c>
      <c r="D35434" s="21" t="s">
        <v>34</v>
      </c>
      <c r="E35434" s="21" t="s">
        <v>254</v>
      </c>
      <c r="F35434">
        <v>4450192</v>
      </c>
      <c r="G35434" t="s">
        <v>2411</v>
      </c>
      <c r="H35434" s="21">
        <v>500</v>
      </c>
    </row>
    <row r="35435" spans="1:8" customFormat="1" x14ac:dyDescent="0.25">
      <c r="A35435" t="str">
        <f>"288661"</f>
        <v>288661</v>
      </c>
      <c r="B35435" t="s">
        <v>23378</v>
      </c>
      <c r="C35435" t="s">
        <v>249</v>
      </c>
      <c r="D35435" s="21" t="s">
        <v>34</v>
      </c>
      <c r="E35435" s="21" t="s">
        <v>254</v>
      </c>
      <c r="F35435">
        <v>4280664</v>
      </c>
      <c r="G35435" t="s">
        <v>12012</v>
      </c>
      <c r="H35435" s="21">
        <v>500</v>
      </c>
    </row>
    <row r="35436" spans="1:8" customFormat="1" x14ac:dyDescent="0.25">
      <c r="A35436" t="str">
        <f>"0115394"</f>
        <v>0115394</v>
      </c>
      <c r="B35436" t="s">
        <v>18314</v>
      </c>
      <c r="C35436" t="s">
        <v>462</v>
      </c>
      <c r="D35436" s="21" t="s">
        <v>34</v>
      </c>
      <c r="E35436" s="21" t="s">
        <v>35</v>
      </c>
      <c r="F35436">
        <v>1010059</v>
      </c>
      <c r="G35436" t="s">
        <v>15570</v>
      </c>
      <c r="H35436" s="21">
        <v>500</v>
      </c>
    </row>
    <row r="35437" spans="1:8" customFormat="1" x14ac:dyDescent="0.25">
      <c r="A35437" t="str">
        <f>"5618891"</f>
        <v>5618891</v>
      </c>
      <c r="B35437" t="s">
        <v>24126</v>
      </c>
      <c r="C35437" t="s">
        <v>812</v>
      </c>
      <c r="D35437" s="21" t="s">
        <v>34</v>
      </c>
      <c r="E35437" s="21" t="s">
        <v>71</v>
      </c>
      <c r="F35437">
        <v>3560044</v>
      </c>
      <c r="G35437" t="s">
        <v>4890</v>
      </c>
      <c r="H35437" s="21">
        <v>500</v>
      </c>
    </row>
    <row r="35438" spans="1:8" customFormat="1" x14ac:dyDescent="0.25">
      <c r="A35438" t="str">
        <f>"6023999"</f>
        <v>6023999</v>
      </c>
      <c r="B35438" t="s">
        <v>29058</v>
      </c>
      <c r="C35438" t="s">
        <v>246</v>
      </c>
      <c r="D35438" s="21" t="s">
        <v>34</v>
      </c>
      <c r="E35438" s="21" t="s">
        <v>71</v>
      </c>
      <c r="F35438">
        <v>7600008</v>
      </c>
      <c r="G35438" t="s">
        <v>4646</v>
      </c>
      <c r="H35438" s="21">
        <v>500</v>
      </c>
    </row>
    <row r="35439" spans="1:8" customFormat="1" x14ac:dyDescent="0.25">
      <c r="A35439" t="str">
        <f>"668393"</f>
        <v>668393</v>
      </c>
      <c r="B35439" t="s">
        <v>4335</v>
      </c>
      <c r="C35439" t="s">
        <v>879</v>
      </c>
      <c r="D35439" s="21" t="s">
        <v>34</v>
      </c>
      <c r="E35439" s="21" t="s">
        <v>254</v>
      </c>
      <c r="F35439">
        <v>11660008</v>
      </c>
      <c r="G35439" t="s">
        <v>16161</v>
      </c>
      <c r="H35439" s="21">
        <v>500</v>
      </c>
    </row>
    <row r="35440" spans="1:8" customFormat="1" x14ac:dyDescent="0.25">
      <c r="A35440" t="str">
        <f>"568019"</f>
        <v>568019</v>
      </c>
      <c r="B35440" t="s">
        <v>7700</v>
      </c>
      <c r="C35440" t="s">
        <v>320</v>
      </c>
      <c r="D35440" s="21" t="s">
        <v>34</v>
      </c>
      <c r="E35440" s="21" t="s">
        <v>254</v>
      </c>
      <c r="F35440">
        <v>3560023</v>
      </c>
      <c r="G35440" t="s">
        <v>8213</v>
      </c>
      <c r="H35440" s="21">
        <v>500</v>
      </c>
    </row>
    <row r="35441" spans="1:8" customFormat="1" x14ac:dyDescent="0.25">
      <c r="A35441" t="str">
        <f>"1415742"</f>
        <v>1415742</v>
      </c>
      <c r="B35441" t="s">
        <v>11933</v>
      </c>
      <c r="C35441" t="s">
        <v>209</v>
      </c>
      <c r="D35441" s="21" t="s">
        <v>34</v>
      </c>
      <c r="E35441" s="21" t="s">
        <v>254</v>
      </c>
      <c r="F35441">
        <v>9140060</v>
      </c>
      <c r="G35441" t="s">
        <v>5773</v>
      </c>
      <c r="H35441" s="21">
        <v>500</v>
      </c>
    </row>
    <row r="35442" spans="1:8" customFormat="1" x14ac:dyDescent="0.25">
      <c r="A35442" t="str">
        <f>"9136445"</f>
        <v>9136445</v>
      </c>
      <c r="B35442" t="s">
        <v>29059</v>
      </c>
      <c r="C35442" t="s">
        <v>1119</v>
      </c>
      <c r="D35442" s="21" t="s">
        <v>34</v>
      </c>
      <c r="E35442" s="21" t="s">
        <v>6185</v>
      </c>
      <c r="F35442">
        <v>8910102</v>
      </c>
      <c r="G35442" t="s">
        <v>3079</v>
      </c>
      <c r="H35442" s="21">
        <v>500</v>
      </c>
    </row>
    <row r="35443" spans="1:8" customFormat="1" x14ac:dyDescent="0.25">
      <c r="A35443" t="str">
        <f>"5621953"</f>
        <v>5621953</v>
      </c>
      <c r="B35443" t="s">
        <v>8525</v>
      </c>
      <c r="C35443" t="s">
        <v>269</v>
      </c>
      <c r="D35443" s="21" t="s">
        <v>34</v>
      </c>
      <c r="E35443" s="21" t="s">
        <v>71</v>
      </c>
      <c r="F35443">
        <v>3560028</v>
      </c>
      <c r="G35443" t="s">
        <v>5916</v>
      </c>
      <c r="H35443" s="21">
        <v>500</v>
      </c>
    </row>
    <row r="35444" spans="1:8" customFormat="1" x14ac:dyDescent="0.25">
      <c r="A35444" t="str">
        <f>"7726336"</f>
        <v>7726336</v>
      </c>
      <c r="B35444" t="s">
        <v>4516</v>
      </c>
      <c r="C35444" t="s">
        <v>812</v>
      </c>
      <c r="D35444" s="21" t="s">
        <v>34</v>
      </c>
      <c r="E35444" s="21" t="s">
        <v>254</v>
      </c>
      <c r="F35444">
        <v>8771184</v>
      </c>
      <c r="G35444" t="s">
        <v>137</v>
      </c>
      <c r="H35444" s="21">
        <v>500</v>
      </c>
    </row>
    <row r="35445" spans="1:8" customFormat="1" x14ac:dyDescent="0.25">
      <c r="A35445" t="str">
        <f>"5113970"</f>
        <v>5113970</v>
      </c>
      <c r="B35445" t="s">
        <v>582</v>
      </c>
      <c r="C35445" t="s">
        <v>269</v>
      </c>
      <c r="D35445" s="21" t="s">
        <v>34</v>
      </c>
      <c r="E35445" s="21" t="s">
        <v>71</v>
      </c>
      <c r="F35445">
        <v>6510062</v>
      </c>
      <c r="G35445" t="s">
        <v>9059</v>
      </c>
      <c r="H35445" s="21">
        <v>500</v>
      </c>
    </row>
    <row r="35446" spans="1:8" customFormat="1" x14ac:dyDescent="0.25">
      <c r="A35446" t="str">
        <f>"5622310"</f>
        <v>5622310</v>
      </c>
      <c r="B35446" t="s">
        <v>22502</v>
      </c>
      <c r="C35446" t="s">
        <v>40</v>
      </c>
      <c r="D35446" s="21" t="s">
        <v>34</v>
      </c>
      <c r="E35446" s="21" t="s">
        <v>71</v>
      </c>
      <c r="F35446">
        <v>3560012</v>
      </c>
      <c r="G35446" t="s">
        <v>3857</v>
      </c>
      <c r="H35446" s="21">
        <v>500</v>
      </c>
    </row>
    <row r="35447" spans="1:8" customFormat="1" x14ac:dyDescent="0.25">
      <c r="A35447" t="str">
        <f>"6716533"</f>
        <v>6716533</v>
      </c>
      <c r="B35447" t="s">
        <v>23638</v>
      </c>
      <c r="C35447" t="s">
        <v>55</v>
      </c>
      <c r="D35447" s="21" t="s">
        <v>34</v>
      </c>
      <c r="E35447" s="21" t="s">
        <v>71</v>
      </c>
      <c r="F35447">
        <v>6670115</v>
      </c>
      <c r="G35447" t="s">
        <v>3798</v>
      </c>
      <c r="H35447" s="21">
        <v>500</v>
      </c>
    </row>
    <row r="35448" spans="1:8" customFormat="1" x14ac:dyDescent="0.25">
      <c r="A35448" t="str">
        <f>"9431526"</f>
        <v>9431526</v>
      </c>
      <c r="B35448" t="s">
        <v>23363</v>
      </c>
      <c r="C35448" t="s">
        <v>415</v>
      </c>
      <c r="D35448" s="21" t="s">
        <v>34</v>
      </c>
      <c r="E35448" s="21" t="s">
        <v>254</v>
      </c>
      <c r="F35448">
        <v>8940524</v>
      </c>
      <c r="G35448" t="s">
        <v>6176</v>
      </c>
      <c r="H35448" s="21">
        <v>500</v>
      </c>
    </row>
    <row r="35449" spans="1:8" customFormat="1" x14ac:dyDescent="0.25">
      <c r="A35449" t="str">
        <f>"292778"</f>
        <v>292778</v>
      </c>
      <c r="B35449" t="s">
        <v>22343</v>
      </c>
      <c r="C35449" t="s">
        <v>712</v>
      </c>
      <c r="D35449" s="21" t="s">
        <v>34</v>
      </c>
      <c r="E35449" s="21" t="s">
        <v>71</v>
      </c>
      <c r="F35449">
        <v>3290005</v>
      </c>
      <c r="G35449" t="s">
        <v>1253</v>
      </c>
      <c r="H35449" s="21">
        <v>500</v>
      </c>
    </row>
    <row r="35450" spans="1:8" customFormat="1" x14ac:dyDescent="0.25">
      <c r="A35450" t="str">
        <f>"941383"</f>
        <v>941383</v>
      </c>
      <c r="B35450" t="s">
        <v>11698</v>
      </c>
      <c r="C35450" t="s">
        <v>156</v>
      </c>
      <c r="D35450" s="21" t="s">
        <v>34</v>
      </c>
      <c r="E35450" s="21" t="s">
        <v>6185</v>
      </c>
      <c r="F35450">
        <v>8940894</v>
      </c>
      <c r="G35450" t="s">
        <v>481</v>
      </c>
      <c r="H35450" s="21">
        <v>500</v>
      </c>
    </row>
    <row r="35451" spans="1:8" customFormat="1" x14ac:dyDescent="0.25">
      <c r="A35451" t="str">
        <f>"76142"</f>
        <v>76142</v>
      </c>
      <c r="B35451" t="s">
        <v>3982</v>
      </c>
      <c r="C35451" t="s">
        <v>269</v>
      </c>
      <c r="D35451" s="21" t="s">
        <v>34</v>
      </c>
      <c r="E35451" s="21" t="s">
        <v>254</v>
      </c>
      <c r="F35451">
        <v>9760004</v>
      </c>
      <c r="G35451" t="s">
        <v>56</v>
      </c>
      <c r="H35451" s="21">
        <v>500</v>
      </c>
    </row>
    <row r="35452" spans="1:8" customFormat="1" x14ac:dyDescent="0.25">
      <c r="A35452" t="str">
        <f>"756534"</f>
        <v>756534</v>
      </c>
      <c r="B35452" t="s">
        <v>39</v>
      </c>
      <c r="C35452" t="s">
        <v>1841</v>
      </c>
      <c r="D35452" s="21" t="s">
        <v>34</v>
      </c>
      <c r="E35452" s="21" t="s">
        <v>6185</v>
      </c>
      <c r="F35452">
        <v>8750074</v>
      </c>
      <c r="G35452" t="s">
        <v>698</v>
      </c>
      <c r="H35452" s="21">
        <v>500</v>
      </c>
    </row>
    <row r="35453" spans="1:8" customFormat="1" x14ac:dyDescent="0.25">
      <c r="A35453" t="str">
        <f>"342682"</f>
        <v>342682</v>
      </c>
      <c r="B35453" t="s">
        <v>23580</v>
      </c>
      <c r="C35453" t="s">
        <v>2365</v>
      </c>
      <c r="D35453" s="21" t="s">
        <v>34</v>
      </c>
      <c r="E35453" s="21" t="s">
        <v>1089</v>
      </c>
      <c r="F35453">
        <v>11340065</v>
      </c>
      <c r="G35453" t="s">
        <v>2022</v>
      </c>
      <c r="H35453" s="21">
        <v>500</v>
      </c>
    </row>
    <row r="35454" spans="1:8" customFormat="1" x14ac:dyDescent="0.25">
      <c r="A35454" t="str">
        <f>"2939440"</f>
        <v>2939440</v>
      </c>
      <c r="B35454" t="s">
        <v>29060</v>
      </c>
      <c r="C35454" t="s">
        <v>98</v>
      </c>
      <c r="D35454" s="21" t="s">
        <v>34</v>
      </c>
      <c r="E35454" s="21" t="s">
        <v>35</v>
      </c>
      <c r="F35454">
        <v>3290212</v>
      </c>
      <c r="G35454" t="s">
        <v>6046</v>
      </c>
      <c r="H35454" s="21">
        <v>500</v>
      </c>
    </row>
    <row r="35455" spans="1:8" customFormat="1" x14ac:dyDescent="0.25">
      <c r="A35455" t="str">
        <f>"4445459"</f>
        <v>4445459</v>
      </c>
      <c r="B35455" t="s">
        <v>22544</v>
      </c>
      <c r="C35455" t="s">
        <v>598</v>
      </c>
      <c r="D35455" s="21" t="s">
        <v>34</v>
      </c>
      <c r="E35455" s="21" t="s">
        <v>1089</v>
      </c>
      <c r="F35455" t="s">
        <v>8473</v>
      </c>
      <c r="G35455" t="s">
        <v>8474</v>
      </c>
      <c r="H35455" s="21">
        <v>500</v>
      </c>
    </row>
    <row r="35456" spans="1:8" customFormat="1" x14ac:dyDescent="0.25">
      <c r="A35456" t="str">
        <f>"3344399"</f>
        <v>3344399</v>
      </c>
      <c r="B35456" t="s">
        <v>29061</v>
      </c>
      <c r="C35456" t="s">
        <v>29062</v>
      </c>
      <c r="D35456" s="21" t="s">
        <v>34</v>
      </c>
      <c r="E35456" s="21" t="s">
        <v>35</v>
      </c>
      <c r="F35456">
        <v>10330002</v>
      </c>
      <c r="G35456" t="s">
        <v>53</v>
      </c>
      <c r="H35456" s="21">
        <v>500</v>
      </c>
    </row>
    <row r="35457" spans="1:8" customFormat="1" x14ac:dyDescent="0.25">
      <c r="A35457" t="str">
        <f>"3715000"</f>
        <v>3715000</v>
      </c>
      <c r="B35457" t="s">
        <v>1885</v>
      </c>
      <c r="C35457" t="s">
        <v>269</v>
      </c>
      <c r="D35457" s="21" t="s">
        <v>34</v>
      </c>
      <c r="E35457" s="21" t="s">
        <v>254</v>
      </c>
      <c r="F35457">
        <v>4370478</v>
      </c>
      <c r="G35457" t="s">
        <v>4735</v>
      </c>
      <c r="H35457" s="21">
        <v>500</v>
      </c>
    </row>
    <row r="35458" spans="1:8" customFormat="1" x14ac:dyDescent="0.25">
      <c r="A35458" t="str">
        <f>"9459510"</f>
        <v>9459510</v>
      </c>
      <c r="B35458" t="s">
        <v>4335</v>
      </c>
      <c r="C35458" t="s">
        <v>43</v>
      </c>
      <c r="D35458" s="21" t="s">
        <v>34</v>
      </c>
      <c r="E35458" s="21" t="s">
        <v>35</v>
      </c>
      <c r="F35458">
        <v>8940894</v>
      </c>
      <c r="G35458" t="s">
        <v>481</v>
      </c>
      <c r="H35458" s="21">
        <v>500</v>
      </c>
    </row>
    <row r="35459" spans="1:8" customFormat="1" x14ac:dyDescent="0.25">
      <c r="A35459" t="str">
        <f>"5981437"</f>
        <v>5981437</v>
      </c>
      <c r="B35459" t="s">
        <v>1833</v>
      </c>
      <c r="C35459" t="s">
        <v>664</v>
      </c>
      <c r="D35459" s="21" t="s">
        <v>34</v>
      </c>
      <c r="E35459" s="21" t="s">
        <v>254</v>
      </c>
      <c r="F35459">
        <v>7590424</v>
      </c>
      <c r="G35459" t="s">
        <v>23256</v>
      </c>
      <c r="H35459" s="21">
        <v>500</v>
      </c>
    </row>
    <row r="35460" spans="1:8" customFormat="1" x14ac:dyDescent="0.25">
      <c r="A35460" t="str">
        <f>"3822042"</f>
        <v>3822042</v>
      </c>
      <c r="B35460" t="s">
        <v>23094</v>
      </c>
      <c r="C35460" t="s">
        <v>267</v>
      </c>
      <c r="D35460" s="21" t="s">
        <v>34</v>
      </c>
      <c r="E35460" s="21" t="s">
        <v>35</v>
      </c>
      <c r="F35460">
        <v>1380028</v>
      </c>
      <c r="G35460" t="s">
        <v>374</v>
      </c>
      <c r="H35460" s="21">
        <v>500</v>
      </c>
    </row>
    <row r="35461" spans="1:8" customFormat="1" x14ac:dyDescent="0.25">
      <c r="A35461" t="str">
        <f>"9C1226"</f>
        <v>9C1226</v>
      </c>
      <c r="B35461" t="s">
        <v>2023</v>
      </c>
      <c r="C35461" t="s">
        <v>29063</v>
      </c>
      <c r="D35461" s="21" t="s">
        <v>34</v>
      </c>
      <c r="E35461" s="21" t="s">
        <v>71</v>
      </c>
      <c r="F35461" t="s">
        <v>23336</v>
      </c>
      <c r="G35461" t="s">
        <v>23337</v>
      </c>
      <c r="H35461" s="21">
        <v>500</v>
      </c>
    </row>
    <row r="35462" spans="1:8" customFormat="1" x14ac:dyDescent="0.25">
      <c r="A35462" t="str">
        <f>"1420155"</f>
        <v>1420155</v>
      </c>
      <c r="B35462" t="s">
        <v>2317</v>
      </c>
      <c r="C35462" t="s">
        <v>2305</v>
      </c>
      <c r="D35462" s="21" t="s">
        <v>34</v>
      </c>
      <c r="E35462" s="21" t="s">
        <v>71</v>
      </c>
      <c r="F35462">
        <v>9140229</v>
      </c>
      <c r="G35462" t="s">
        <v>22327</v>
      </c>
      <c r="H35462" s="21">
        <v>500</v>
      </c>
    </row>
    <row r="35463" spans="1:8" customFormat="1" x14ac:dyDescent="0.25">
      <c r="A35463" t="str">
        <f>"6020327"</f>
        <v>6020327</v>
      </c>
      <c r="B35463" t="s">
        <v>5064</v>
      </c>
      <c r="C35463" t="s">
        <v>121</v>
      </c>
      <c r="D35463" s="21" t="s">
        <v>34</v>
      </c>
      <c r="E35463" s="21" t="s">
        <v>35</v>
      </c>
      <c r="F35463">
        <v>7600027</v>
      </c>
      <c r="G35463" t="s">
        <v>2137</v>
      </c>
      <c r="H35463" s="21">
        <v>500</v>
      </c>
    </row>
    <row r="35464" spans="1:8" customFormat="1" x14ac:dyDescent="0.25">
      <c r="A35464" t="str">
        <f>"2937781"</f>
        <v>2937781</v>
      </c>
      <c r="B35464" t="s">
        <v>10094</v>
      </c>
      <c r="C35464" t="s">
        <v>6553</v>
      </c>
      <c r="D35464" s="21" t="s">
        <v>34</v>
      </c>
      <c r="E35464" s="21" t="s">
        <v>35</v>
      </c>
      <c r="F35464">
        <v>3290217</v>
      </c>
      <c r="G35464" t="s">
        <v>6770</v>
      </c>
      <c r="H35464" s="21">
        <v>500</v>
      </c>
    </row>
    <row r="35465" spans="1:8" customFormat="1" x14ac:dyDescent="0.25">
      <c r="A35465" t="str">
        <f>"722208"</f>
        <v>722208</v>
      </c>
      <c r="B35465" t="s">
        <v>5734</v>
      </c>
      <c r="C35465" t="s">
        <v>415</v>
      </c>
      <c r="D35465" s="21" t="s">
        <v>34</v>
      </c>
      <c r="E35465" s="21" t="s">
        <v>71</v>
      </c>
      <c r="F35465">
        <v>12720020</v>
      </c>
      <c r="G35465" t="s">
        <v>8402</v>
      </c>
      <c r="H35465" s="21">
        <v>500</v>
      </c>
    </row>
    <row r="35466" spans="1:8" customFormat="1" x14ac:dyDescent="0.25">
      <c r="A35466" t="str">
        <f>"1313710"</f>
        <v>1313710</v>
      </c>
      <c r="B35466" t="s">
        <v>29064</v>
      </c>
      <c r="C35466" t="s">
        <v>65</v>
      </c>
      <c r="D35466" s="21" t="s">
        <v>34</v>
      </c>
      <c r="E35466" s="21" t="s">
        <v>35</v>
      </c>
      <c r="F35466">
        <v>13130067</v>
      </c>
      <c r="G35466" t="s">
        <v>1420</v>
      </c>
      <c r="H35466" s="21">
        <v>500</v>
      </c>
    </row>
    <row r="35467" spans="1:8" customFormat="1" x14ac:dyDescent="0.25">
      <c r="A35467" t="str">
        <f>"5020661"</f>
        <v>5020661</v>
      </c>
      <c r="B35467" t="s">
        <v>8687</v>
      </c>
      <c r="C35467" t="s">
        <v>951</v>
      </c>
      <c r="D35467" s="21" t="s">
        <v>34</v>
      </c>
      <c r="E35467" s="21" t="s">
        <v>35</v>
      </c>
      <c r="F35467">
        <v>9500048</v>
      </c>
      <c r="G35467" t="s">
        <v>1804</v>
      </c>
      <c r="H35467" s="21">
        <v>500</v>
      </c>
    </row>
    <row r="35468" spans="1:8" customFormat="1" x14ac:dyDescent="0.25">
      <c r="A35468" t="str">
        <f>"3527323"</f>
        <v>3527323</v>
      </c>
      <c r="B35468" t="s">
        <v>2489</v>
      </c>
      <c r="C35468" t="s">
        <v>198</v>
      </c>
      <c r="D35468" s="21" t="s">
        <v>34</v>
      </c>
      <c r="E35468" s="21" t="s">
        <v>71</v>
      </c>
      <c r="F35468">
        <v>3350011</v>
      </c>
      <c r="G35468" t="s">
        <v>2404</v>
      </c>
      <c r="H35468" s="21">
        <v>500</v>
      </c>
    </row>
    <row r="35469" spans="1:8" customFormat="1" x14ac:dyDescent="0.25">
      <c r="A35469" t="str">
        <f>"4446934"</f>
        <v>4446934</v>
      </c>
      <c r="B35469" t="s">
        <v>23194</v>
      </c>
      <c r="C35469" t="s">
        <v>262</v>
      </c>
      <c r="D35469" s="21" t="s">
        <v>34</v>
      </c>
      <c r="E35469" s="21" t="s">
        <v>35</v>
      </c>
      <c r="F35469">
        <v>12440138</v>
      </c>
      <c r="G35469" t="s">
        <v>562</v>
      </c>
      <c r="H35469" s="21">
        <v>500</v>
      </c>
    </row>
    <row r="35470" spans="1:8" customFormat="1" x14ac:dyDescent="0.25">
      <c r="A35470" t="str">
        <f>"2719313"</f>
        <v>2719313</v>
      </c>
      <c r="B35470" t="s">
        <v>23224</v>
      </c>
      <c r="C35470" t="s">
        <v>275</v>
      </c>
      <c r="D35470" s="21" t="s">
        <v>34</v>
      </c>
      <c r="E35470" s="21" t="s">
        <v>35</v>
      </c>
      <c r="F35470">
        <v>9270095</v>
      </c>
      <c r="G35470" t="s">
        <v>1681</v>
      </c>
      <c r="H35470" s="21">
        <v>500</v>
      </c>
    </row>
    <row r="35471" spans="1:8" customFormat="1" x14ac:dyDescent="0.25">
      <c r="A35471" t="str">
        <f>"5431475"</f>
        <v>5431475</v>
      </c>
      <c r="B35471" t="s">
        <v>23733</v>
      </c>
      <c r="C35471" t="s">
        <v>269</v>
      </c>
      <c r="D35471" s="21" t="s">
        <v>34</v>
      </c>
      <c r="E35471" s="21" t="s">
        <v>254</v>
      </c>
      <c r="F35471">
        <v>6540076</v>
      </c>
      <c r="G35471" t="s">
        <v>2947</v>
      </c>
      <c r="H35471" s="21">
        <v>500</v>
      </c>
    </row>
    <row r="35472" spans="1:8" customFormat="1" x14ac:dyDescent="0.25">
      <c r="A35472" t="str">
        <f>"1319907"</f>
        <v>1319907</v>
      </c>
      <c r="B35472" t="s">
        <v>23891</v>
      </c>
      <c r="C35472" t="s">
        <v>82</v>
      </c>
      <c r="D35472" s="21" t="s">
        <v>34</v>
      </c>
      <c r="E35472" s="21" t="s">
        <v>254</v>
      </c>
      <c r="F35472">
        <v>13130166</v>
      </c>
      <c r="G35472" t="s">
        <v>2539</v>
      </c>
      <c r="H35472" s="21">
        <v>500</v>
      </c>
    </row>
    <row r="35473" spans="1:8" customFormat="1" x14ac:dyDescent="0.25">
      <c r="A35473" t="str">
        <f>"4937390"</f>
        <v>4937390</v>
      </c>
      <c r="B35473" t="s">
        <v>2772</v>
      </c>
      <c r="C35473" t="s">
        <v>55</v>
      </c>
      <c r="D35473" s="21" t="s">
        <v>34</v>
      </c>
      <c r="E35473" s="21" t="s">
        <v>35</v>
      </c>
      <c r="F35473">
        <v>12490074</v>
      </c>
      <c r="G35473" t="s">
        <v>6711</v>
      </c>
      <c r="H35473" s="21">
        <v>500</v>
      </c>
    </row>
    <row r="35474" spans="1:8" customFormat="1" x14ac:dyDescent="0.25">
      <c r="A35474" t="str">
        <f>"768121"</f>
        <v>768121</v>
      </c>
      <c r="B35474" t="s">
        <v>3848</v>
      </c>
      <c r="C35474" t="s">
        <v>528</v>
      </c>
      <c r="D35474" s="21" t="s">
        <v>34</v>
      </c>
      <c r="E35474" s="21" t="s">
        <v>254</v>
      </c>
      <c r="F35474">
        <v>9760456</v>
      </c>
      <c r="G35474" t="s">
        <v>21573</v>
      </c>
      <c r="H35474" s="21">
        <v>500</v>
      </c>
    </row>
    <row r="35475" spans="1:8" customFormat="1" x14ac:dyDescent="0.25">
      <c r="A35475" t="str">
        <f>"4937612"</f>
        <v>4937612</v>
      </c>
      <c r="B35475" t="s">
        <v>29065</v>
      </c>
      <c r="C35475" t="s">
        <v>114</v>
      </c>
      <c r="D35475" s="21" t="s">
        <v>34</v>
      </c>
      <c r="E35475" s="21" t="s">
        <v>254</v>
      </c>
      <c r="F35475">
        <v>12490092</v>
      </c>
      <c r="G35475" t="s">
        <v>1854</v>
      </c>
      <c r="H35475" s="21">
        <v>500</v>
      </c>
    </row>
    <row r="35476" spans="1:8" customFormat="1" x14ac:dyDescent="0.25">
      <c r="A35476" t="str">
        <f>"3119198"</f>
        <v>3119198</v>
      </c>
      <c r="B35476" t="s">
        <v>24442</v>
      </c>
      <c r="C35476" t="s">
        <v>469</v>
      </c>
      <c r="D35476" s="21" t="s">
        <v>34</v>
      </c>
      <c r="E35476" s="21" t="s">
        <v>71</v>
      </c>
      <c r="F35476">
        <v>11310117</v>
      </c>
      <c r="G35476" t="s">
        <v>10279</v>
      </c>
      <c r="H35476" s="21">
        <v>500</v>
      </c>
    </row>
    <row r="35477" spans="1:8" customFormat="1" x14ac:dyDescent="0.25">
      <c r="A35477" t="str">
        <f>"1416562"</f>
        <v>1416562</v>
      </c>
      <c r="B35477" t="s">
        <v>23797</v>
      </c>
      <c r="C35477" t="s">
        <v>253</v>
      </c>
      <c r="D35477" s="21" t="s">
        <v>34</v>
      </c>
      <c r="E35477" s="21" t="s">
        <v>254</v>
      </c>
      <c r="F35477">
        <v>9140007</v>
      </c>
      <c r="G35477" t="s">
        <v>434</v>
      </c>
      <c r="H35477" s="21">
        <v>500</v>
      </c>
    </row>
    <row r="35478" spans="1:8" customFormat="1" x14ac:dyDescent="0.25">
      <c r="A35478" t="str">
        <f>"5954013"</f>
        <v>5954013</v>
      </c>
      <c r="B35478" t="s">
        <v>18936</v>
      </c>
      <c r="C35478" t="s">
        <v>10481</v>
      </c>
      <c r="D35478" s="21" t="s">
        <v>34</v>
      </c>
      <c r="E35478" s="21" t="s">
        <v>254</v>
      </c>
      <c r="F35478">
        <v>7590008</v>
      </c>
      <c r="G35478" t="s">
        <v>110</v>
      </c>
      <c r="H35478" s="21">
        <v>500</v>
      </c>
    </row>
    <row r="35479" spans="1:8" customFormat="1" x14ac:dyDescent="0.25">
      <c r="A35479" t="str">
        <f>"1315280"</f>
        <v>1315280</v>
      </c>
      <c r="B35479" t="s">
        <v>23238</v>
      </c>
      <c r="C35479" t="s">
        <v>415</v>
      </c>
      <c r="D35479" s="21" t="s">
        <v>34</v>
      </c>
      <c r="E35479" s="21" t="s">
        <v>254</v>
      </c>
      <c r="F35479">
        <v>13130067</v>
      </c>
      <c r="G35479" t="s">
        <v>1420</v>
      </c>
      <c r="H35479" s="21">
        <v>500</v>
      </c>
    </row>
    <row r="35480" spans="1:8" customFormat="1" x14ac:dyDescent="0.25">
      <c r="A35480" t="str">
        <f>"5322979"</f>
        <v>5322979</v>
      </c>
      <c r="B35480" t="s">
        <v>5222</v>
      </c>
      <c r="C35480" t="s">
        <v>87</v>
      </c>
      <c r="D35480" s="21" t="s">
        <v>34</v>
      </c>
      <c r="E35480" s="21" t="s">
        <v>35</v>
      </c>
      <c r="F35480">
        <v>12530060</v>
      </c>
      <c r="G35480" t="s">
        <v>1356</v>
      </c>
      <c r="H35480" s="21">
        <v>500</v>
      </c>
    </row>
    <row r="35481" spans="1:8" customFormat="1" x14ac:dyDescent="0.25">
      <c r="A35481" t="str">
        <f>"7727418"</f>
        <v>7727418</v>
      </c>
      <c r="B35481" t="s">
        <v>24736</v>
      </c>
      <c r="C35481" t="s">
        <v>2907</v>
      </c>
      <c r="D35481" s="21" t="s">
        <v>34</v>
      </c>
      <c r="E35481" s="21" t="s">
        <v>71</v>
      </c>
      <c r="F35481">
        <v>8771315</v>
      </c>
      <c r="G35481" t="s">
        <v>7070</v>
      </c>
      <c r="H35481" s="21">
        <v>500</v>
      </c>
    </row>
    <row r="35482" spans="1:8" customFormat="1" x14ac:dyDescent="0.25">
      <c r="A35482" t="str">
        <f>"038856"</f>
        <v>038856</v>
      </c>
      <c r="B35482" t="s">
        <v>5027</v>
      </c>
      <c r="C35482" t="s">
        <v>1025</v>
      </c>
      <c r="D35482" s="21" t="s">
        <v>34</v>
      </c>
      <c r="E35482" s="21" t="s">
        <v>35</v>
      </c>
      <c r="F35482">
        <v>1030094</v>
      </c>
      <c r="G35482" t="s">
        <v>8523</v>
      </c>
      <c r="H35482" s="21">
        <v>500</v>
      </c>
    </row>
    <row r="35483" spans="1:8" customFormat="1" x14ac:dyDescent="0.25">
      <c r="A35483" t="str">
        <f>"9414201"</f>
        <v>9414201</v>
      </c>
      <c r="B35483" t="s">
        <v>4107</v>
      </c>
      <c r="C35483" t="s">
        <v>124</v>
      </c>
      <c r="D35483" s="21" t="s">
        <v>34</v>
      </c>
      <c r="E35483" s="21" t="s">
        <v>254</v>
      </c>
      <c r="F35483">
        <v>8940448</v>
      </c>
      <c r="G35483" t="s">
        <v>1691</v>
      </c>
      <c r="H35483" s="21">
        <v>500</v>
      </c>
    </row>
    <row r="35484" spans="1:8" customFormat="1" x14ac:dyDescent="0.25">
      <c r="A35484" t="str">
        <f>"3815768"</f>
        <v>3815768</v>
      </c>
      <c r="B35484" t="s">
        <v>29066</v>
      </c>
      <c r="C35484" t="s">
        <v>40</v>
      </c>
      <c r="D35484" s="21" t="s">
        <v>34</v>
      </c>
      <c r="E35484" s="21" t="s">
        <v>254</v>
      </c>
      <c r="F35484">
        <v>10470009</v>
      </c>
      <c r="G35484" t="s">
        <v>4915</v>
      </c>
      <c r="H35484" s="21">
        <v>500</v>
      </c>
    </row>
    <row r="35485" spans="1:8" customFormat="1" x14ac:dyDescent="0.25">
      <c r="A35485" t="str">
        <f>"474610"</f>
        <v>474610</v>
      </c>
      <c r="B35485" t="s">
        <v>23738</v>
      </c>
      <c r="C35485" t="s">
        <v>547</v>
      </c>
      <c r="D35485" s="21" t="s">
        <v>34</v>
      </c>
      <c r="E35485" s="21" t="s">
        <v>1089</v>
      </c>
      <c r="F35485">
        <v>10470005</v>
      </c>
      <c r="G35485" t="s">
        <v>4216</v>
      </c>
      <c r="H35485" s="21">
        <v>500</v>
      </c>
    </row>
    <row r="35486" spans="1:8" customFormat="1" x14ac:dyDescent="0.25">
      <c r="A35486" t="str">
        <f>"2930023"</f>
        <v>2930023</v>
      </c>
      <c r="B35486" t="s">
        <v>22852</v>
      </c>
      <c r="C35486" t="s">
        <v>3648</v>
      </c>
      <c r="D35486" s="21" t="s">
        <v>34</v>
      </c>
      <c r="E35486" s="21" t="s">
        <v>71</v>
      </c>
      <c r="F35486">
        <v>3290087</v>
      </c>
      <c r="G35486" t="s">
        <v>364</v>
      </c>
      <c r="H35486" s="21">
        <v>500</v>
      </c>
    </row>
    <row r="35487" spans="1:8" customFormat="1" x14ac:dyDescent="0.25">
      <c r="A35487" t="str">
        <f>"072727"</f>
        <v>072727</v>
      </c>
      <c r="B35487" t="s">
        <v>6609</v>
      </c>
      <c r="C35487" t="s">
        <v>305</v>
      </c>
      <c r="D35487" s="21" t="s">
        <v>34</v>
      </c>
      <c r="E35487" s="21" t="s">
        <v>35</v>
      </c>
      <c r="F35487">
        <v>1260056</v>
      </c>
      <c r="G35487" t="s">
        <v>6519</v>
      </c>
      <c r="H35487" s="21">
        <v>500</v>
      </c>
    </row>
    <row r="35488" spans="1:8" customFormat="1" x14ac:dyDescent="0.25">
      <c r="A35488" t="str">
        <f>"9445813"</f>
        <v>9445813</v>
      </c>
      <c r="B35488" t="s">
        <v>22957</v>
      </c>
      <c r="C35488" t="s">
        <v>415</v>
      </c>
      <c r="D35488" s="21" t="s">
        <v>34</v>
      </c>
      <c r="E35488" s="21" t="s">
        <v>71</v>
      </c>
      <c r="F35488">
        <v>8940096</v>
      </c>
      <c r="G35488" t="s">
        <v>5453</v>
      </c>
      <c r="H35488" s="21">
        <v>500</v>
      </c>
    </row>
    <row r="35489" spans="1:8" customFormat="1" x14ac:dyDescent="0.25">
      <c r="A35489" t="str">
        <f>"5621974"</f>
        <v>5621974</v>
      </c>
      <c r="B35489" t="s">
        <v>29067</v>
      </c>
      <c r="C35489" t="s">
        <v>2907</v>
      </c>
      <c r="D35489" s="21" t="s">
        <v>34</v>
      </c>
      <c r="E35489" s="21" t="s">
        <v>254</v>
      </c>
      <c r="F35489">
        <v>3560044</v>
      </c>
      <c r="G35489" t="s">
        <v>4890</v>
      </c>
      <c r="H35489" s="21">
        <v>500</v>
      </c>
    </row>
    <row r="35490" spans="1:8" customFormat="1" x14ac:dyDescent="0.25">
      <c r="A35490" t="str">
        <f>"2721288"</f>
        <v>2721288</v>
      </c>
      <c r="B35490" t="s">
        <v>29068</v>
      </c>
      <c r="C35490" t="s">
        <v>156</v>
      </c>
      <c r="D35490" s="21" t="s">
        <v>34</v>
      </c>
      <c r="E35490" s="21" t="s">
        <v>35</v>
      </c>
      <c r="F35490">
        <v>9270151</v>
      </c>
      <c r="G35490" t="s">
        <v>626</v>
      </c>
      <c r="H35490" s="21">
        <v>500</v>
      </c>
    </row>
    <row r="35491" spans="1:8" customFormat="1" x14ac:dyDescent="0.25">
      <c r="A35491" t="str">
        <f>"4921704"</f>
        <v>4921704</v>
      </c>
      <c r="B35491" t="s">
        <v>13367</v>
      </c>
      <c r="C35491" t="s">
        <v>462</v>
      </c>
      <c r="D35491" s="21" t="s">
        <v>34</v>
      </c>
      <c r="E35491" s="21" t="s">
        <v>71</v>
      </c>
      <c r="F35491">
        <v>12490038</v>
      </c>
      <c r="G35491" t="s">
        <v>467</v>
      </c>
      <c r="H35491" s="21">
        <v>500</v>
      </c>
    </row>
    <row r="35492" spans="1:8" customFormat="1" x14ac:dyDescent="0.25">
      <c r="A35492" t="str">
        <f>"135700"</f>
        <v>135700</v>
      </c>
      <c r="B35492" t="s">
        <v>10914</v>
      </c>
      <c r="C35492" t="s">
        <v>498</v>
      </c>
      <c r="D35492" s="21" t="s">
        <v>34</v>
      </c>
      <c r="E35492" s="21" t="s">
        <v>71</v>
      </c>
      <c r="F35492">
        <v>13130138</v>
      </c>
      <c r="G35492" t="s">
        <v>5409</v>
      </c>
      <c r="H35492" s="21">
        <v>500</v>
      </c>
    </row>
    <row r="35493" spans="1:8" customFormat="1" x14ac:dyDescent="0.25">
      <c r="A35493" t="str">
        <f>"365083"</f>
        <v>365083</v>
      </c>
      <c r="B35493" t="s">
        <v>1081</v>
      </c>
      <c r="C35493" t="s">
        <v>139</v>
      </c>
      <c r="D35493" s="21" t="s">
        <v>34</v>
      </c>
      <c r="E35493" s="21" t="s">
        <v>35</v>
      </c>
      <c r="F35493">
        <v>4360481</v>
      </c>
      <c r="G35493" t="s">
        <v>12957</v>
      </c>
      <c r="H35493" s="21">
        <v>500</v>
      </c>
    </row>
    <row r="35494" spans="1:8" customFormat="1" x14ac:dyDescent="0.25">
      <c r="A35494" t="str">
        <f>"8316795"</f>
        <v>8316795</v>
      </c>
      <c r="B35494" t="s">
        <v>8288</v>
      </c>
      <c r="C35494" t="s">
        <v>109</v>
      </c>
      <c r="D35494" s="21" t="s">
        <v>34</v>
      </c>
      <c r="E35494" s="21" t="s">
        <v>71</v>
      </c>
      <c r="F35494">
        <v>13830007</v>
      </c>
      <c r="G35494" t="s">
        <v>11316</v>
      </c>
      <c r="H35494" s="21">
        <v>500</v>
      </c>
    </row>
    <row r="35495" spans="1:8" customFormat="1" x14ac:dyDescent="0.25">
      <c r="A35495" t="str">
        <f>"9143315"</f>
        <v>9143315</v>
      </c>
      <c r="B35495" t="s">
        <v>13006</v>
      </c>
      <c r="C35495" t="s">
        <v>23796</v>
      </c>
      <c r="D35495" s="21" t="s">
        <v>34</v>
      </c>
      <c r="E35495" s="21" t="s">
        <v>71</v>
      </c>
      <c r="F35495">
        <v>8910881</v>
      </c>
      <c r="G35495" t="s">
        <v>1300</v>
      </c>
      <c r="H35495" s="21">
        <v>500</v>
      </c>
    </row>
    <row r="35496" spans="1:8" customFormat="1" x14ac:dyDescent="0.25">
      <c r="A35496" t="str">
        <f>"6725574"</f>
        <v>6725574</v>
      </c>
      <c r="B35496" t="s">
        <v>22786</v>
      </c>
      <c r="C35496" t="s">
        <v>1271</v>
      </c>
      <c r="D35496" s="21" t="s">
        <v>34</v>
      </c>
      <c r="E35496" s="21" t="s">
        <v>71</v>
      </c>
      <c r="F35496">
        <v>6670129</v>
      </c>
      <c r="G35496" t="s">
        <v>12249</v>
      </c>
      <c r="H35496" s="21">
        <v>500</v>
      </c>
    </row>
    <row r="35497" spans="1:8" customFormat="1" x14ac:dyDescent="0.25">
      <c r="A35497" t="str">
        <f>"5918732"</f>
        <v>5918732</v>
      </c>
      <c r="B35497" t="s">
        <v>4493</v>
      </c>
      <c r="C35497" t="s">
        <v>2904</v>
      </c>
      <c r="D35497" s="21" t="s">
        <v>34</v>
      </c>
      <c r="E35497" s="21" t="s">
        <v>254</v>
      </c>
      <c r="F35497">
        <v>7590067</v>
      </c>
      <c r="G35497" t="s">
        <v>21235</v>
      </c>
      <c r="H35497" s="21">
        <v>500</v>
      </c>
    </row>
    <row r="35498" spans="1:8" customFormat="1" x14ac:dyDescent="0.25">
      <c r="A35498" t="str">
        <f>"59660"</f>
        <v>59660</v>
      </c>
      <c r="B35498" t="s">
        <v>250</v>
      </c>
      <c r="C35498" t="s">
        <v>822</v>
      </c>
      <c r="D35498" s="21" t="s">
        <v>34</v>
      </c>
      <c r="E35498" s="21" t="s">
        <v>6185</v>
      </c>
      <c r="F35498">
        <v>7590028</v>
      </c>
      <c r="G35498" t="s">
        <v>251</v>
      </c>
      <c r="H35498" s="21">
        <v>500</v>
      </c>
    </row>
    <row r="35499" spans="1:8" customFormat="1" x14ac:dyDescent="0.25">
      <c r="A35499" t="str">
        <f>"572575"</f>
        <v>572575</v>
      </c>
      <c r="B35499" t="s">
        <v>2129</v>
      </c>
      <c r="C35499" t="s">
        <v>55</v>
      </c>
      <c r="D35499" s="21" t="s">
        <v>34</v>
      </c>
      <c r="E35499" s="21" t="s">
        <v>71</v>
      </c>
      <c r="F35499">
        <v>6570075</v>
      </c>
      <c r="G35499" t="s">
        <v>3008</v>
      </c>
      <c r="H35499" s="21">
        <v>500</v>
      </c>
    </row>
    <row r="35500" spans="1:8" customFormat="1" x14ac:dyDescent="0.25">
      <c r="A35500" t="str">
        <f>"442433"</f>
        <v>442433</v>
      </c>
      <c r="B35500" t="s">
        <v>6472</v>
      </c>
      <c r="C35500" t="s">
        <v>253</v>
      </c>
      <c r="D35500" s="21" t="s">
        <v>34</v>
      </c>
      <c r="E35500" s="21" t="s">
        <v>254</v>
      </c>
      <c r="F35500">
        <v>12440021</v>
      </c>
      <c r="G35500" t="s">
        <v>429</v>
      </c>
      <c r="H35500" s="21">
        <v>500</v>
      </c>
    </row>
    <row r="35501" spans="1:8" customFormat="1" x14ac:dyDescent="0.25">
      <c r="A35501" t="str">
        <f>"164025"</f>
        <v>164025</v>
      </c>
      <c r="B35501" t="s">
        <v>12115</v>
      </c>
      <c r="C35501" t="s">
        <v>1146</v>
      </c>
      <c r="D35501" s="21" t="s">
        <v>34</v>
      </c>
      <c r="E35501" s="21" t="s">
        <v>71</v>
      </c>
      <c r="F35501">
        <v>10160030</v>
      </c>
      <c r="G35501" t="s">
        <v>13173</v>
      </c>
      <c r="H35501" s="21">
        <v>500</v>
      </c>
    </row>
    <row r="35502" spans="1:8" customFormat="1" x14ac:dyDescent="0.25">
      <c r="A35502" t="str">
        <f>"8010777"</f>
        <v>8010777</v>
      </c>
      <c r="B35502" t="s">
        <v>3966</v>
      </c>
      <c r="C35502" t="s">
        <v>139</v>
      </c>
      <c r="D35502" s="21" t="s">
        <v>34</v>
      </c>
      <c r="E35502" s="21" t="s">
        <v>35</v>
      </c>
      <c r="F35502">
        <v>7800008</v>
      </c>
      <c r="G35502" t="s">
        <v>842</v>
      </c>
      <c r="H35502" s="21">
        <v>500</v>
      </c>
    </row>
    <row r="35503" spans="1:8" customFormat="1" x14ac:dyDescent="0.25">
      <c r="A35503" t="str">
        <f>"1422163"</f>
        <v>1422163</v>
      </c>
      <c r="B35503" t="s">
        <v>19173</v>
      </c>
      <c r="C35503" t="s">
        <v>415</v>
      </c>
      <c r="D35503" s="21" t="s">
        <v>34</v>
      </c>
      <c r="E35503" s="21" t="s">
        <v>1089</v>
      </c>
      <c r="F35503">
        <v>9140200</v>
      </c>
      <c r="G35503" t="s">
        <v>17963</v>
      </c>
      <c r="H35503" s="21">
        <v>500</v>
      </c>
    </row>
    <row r="35504" spans="1:8" customFormat="1" x14ac:dyDescent="0.25">
      <c r="A35504" t="str">
        <f>"8529024"</f>
        <v>8529024</v>
      </c>
      <c r="B35504" t="s">
        <v>29069</v>
      </c>
      <c r="C35504" t="s">
        <v>712</v>
      </c>
      <c r="D35504" s="21" t="s">
        <v>34</v>
      </c>
      <c r="E35504" s="21" t="s">
        <v>71</v>
      </c>
      <c r="F35504">
        <v>12850131</v>
      </c>
      <c r="G35504" t="s">
        <v>4392</v>
      </c>
      <c r="H35504" s="21">
        <v>500</v>
      </c>
    </row>
    <row r="35505" spans="1:8" customFormat="1" x14ac:dyDescent="0.25">
      <c r="A35505" t="str">
        <f>"11582"</f>
        <v>11582</v>
      </c>
      <c r="B35505" t="s">
        <v>9520</v>
      </c>
      <c r="C35505" t="s">
        <v>253</v>
      </c>
      <c r="D35505" s="21" t="s">
        <v>34</v>
      </c>
      <c r="E35505" s="21" t="s">
        <v>254</v>
      </c>
      <c r="F35505">
        <v>11110013</v>
      </c>
      <c r="G35505" t="s">
        <v>640</v>
      </c>
      <c r="H35505" s="21">
        <v>500</v>
      </c>
    </row>
    <row r="35506" spans="1:8" customFormat="1" x14ac:dyDescent="0.25">
      <c r="A35506" t="str">
        <f>"9418384"</f>
        <v>9418384</v>
      </c>
      <c r="B35506" t="s">
        <v>23524</v>
      </c>
      <c r="C35506" t="s">
        <v>2520</v>
      </c>
      <c r="D35506" s="21" t="s">
        <v>34</v>
      </c>
      <c r="E35506" s="21" t="s">
        <v>254</v>
      </c>
      <c r="F35506">
        <v>8940448</v>
      </c>
      <c r="G35506" t="s">
        <v>1691</v>
      </c>
      <c r="H35506" s="21">
        <v>500</v>
      </c>
    </row>
    <row r="35507" spans="1:8" customFormat="1" x14ac:dyDescent="0.25">
      <c r="A35507" t="str">
        <f>"4219718"</f>
        <v>4219718</v>
      </c>
      <c r="B35507" t="s">
        <v>29070</v>
      </c>
      <c r="C35507" t="s">
        <v>156</v>
      </c>
      <c r="D35507" s="21" t="s">
        <v>34</v>
      </c>
      <c r="E35507" s="21" t="s">
        <v>254</v>
      </c>
      <c r="F35507">
        <v>1420160</v>
      </c>
      <c r="G35507" t="s">
        <v>5488</v>
      </c>
      <c r="H35507" s="21">
        <v>500</v>
      </c>
    </row>
    <row r="35508" spans="1:8" customFormat="1" x14ac:dyDescent="0.25">
      <c r="A35508" t="str">
        <f>"3115931"</f>
        <v>3115931</v>
      </c>
      <c r="B35508" t="s">
        <v>29071</v>
      </c>
      <c r="C35508" t="s">
        <v>209</v>
      </c>
      <c r="D35508" s="21" t="s">
        <v>34</v>
      </c>
      <c r="E35508" s="21" t="s">
        <v>35</v>
      </c>
      <c r="F35508">
        <v>11310077</v>
      </c>
      <c r="G35508" t="s">
        <v>5364</v>
      </c>
      <c r="H35508" s="21">
        <v>500</v>
      </c>
    </row>
    <row r="35509" spans="1:8" customFormat="1" x14ac:dyDescent="0.25">
      <c r="A35509" t="str">
        <f>"3119272"</f>
        <v>3119272</v>
      </c>
      <c r="B35509" t="s">
        <v>29072</v>
      </c>
      <c r="C35509" t="s">
        <v>156</v>
      </c>
      <c r="D35509" s="21" t="s">
        <v>34</v>
      </c>
      <c r="E35509" s="21" t="s">
        <v>71</v>
      </c>
      <c r="F35509">
        <v>11310070</v>
      </c>
      <c r="G35509" t="s">
        <v>11563</v>
      </c>
      <c r="H35509" s="21">
        <v>500</v>
      </c>
    </row>
    <row r="35510" spans="1:8" customFormat="1" x14ac:dyDescent="0.25">
      <c r="A35510" t="str">
        <f>"545739"</f>
        <v>545739</v>
      </c>
      <c r="B35510" t="s">
        <v>17927</v>
      </c>
      <c r="C35510" t="s">
        <v>547</v>
      </c>
      <c r="D35510" s="21" t="s">
        <v>34</v>
      </c>
      <c r="E35510" s="21" t="s">
        <v>71</v>
      </c>
      <c r="F35510">
        <v>6540088</v>
      </c>
      <c r="G35510" t="s">
        <v>2108</v>
      </c>
      <c r="H35510" s="21">
        <v>500</v>
      </c>
    </row>
    <row r="35511" spans="1:8" customFormat="1" x14ac:dyDescent="0.25">
      <c r="A35511" t="str">
        <f>"5936648"</f>
        <v>5936648</v>
      </c>
      <c r="B35511" t="s">
        <v>2058</v>
      </c>
      <c r="C35511" t="s">
        <v>40</v>
      </c>
      <c r="D35511" s="21" t="s">
        <v>34</v>
      </c>
      <c r="E35511" s="21" t="s">
        <v>71</v>
      </c>
      <c r="F35511">
        <v>7590118</v>
      </c>
      <c r="G35511" t="s">
        <v>18474</v>
      </c>
      <c r="H35511" s="21">
        <v>500</v>
      </c>
    </row>
    <row r="35512" spans="1:8" customFormat="1" x14ac:dyDescent="0.25">
      <c r="A35512" t="str">
        <f>"9536381"</f>
        <v>9536381</v>
      </c>
      <c r="B35512" t="s">
        <v>24117</v>
      </c>
      <c r="C35512" t="s">
        <v>2100</v>
      </c>
      <c r="D35512" s="21" t="s">
        <v>34</v>
      </c>
      <c r="E35512" s="21" t="s">
        <v>71</v>
      </c>
      <c r="F35512">
        <v>8951386</v>
      </c>
      <c r="G35512" t="s">
        <v>7765</v>
      </c>
      <c r="H35512" s="21">
        <v>500</v>
      </c>
    </row>
    <row r="35513" spans="1:8" customFormat="1" x14ac:dyDescent="0.25">
      <c r="A35513" t="str">
        <f>"864705"</f>
        <v>864705</v>
      </c>
      <c r="B35513" t="s">
        <v>23339</v>
      </c>
      <c r="C35513" t="s">
        <v>415</v>
      </c>
      <c r="D35513" s="21" t="s">
        <v>34</v>
      </c>
      <c r="E35513" s="21" t="s">
        <v>254</v>
      </c>
      <c r="F35513">
        <v>10860021</v>
      </c>
      <c r="G35513" t="s">
        <v>26820</v>
      </c>
      <c r="H35513" s="21">
        <v>500</v>
      </c>
    </row>
    <row r="35514" spans="1:8" customFormat="1" x14ac:dyDescent="0.25">
      <c r="A35514" t="str">
        <f>"3639"</f>
        <v>3639</v>
      </c>
      <c r="B35514" t="s">
        <v>13042</v>
      </c>
      <c r="C35514" t="s">
        <v>1072</v>
      </c>
      <c r="D35514" s="21" t="s">
        <v>34</v>
      </c>
      <c r="E35514" s="21" t="s">
        <v>6185</v>
      </c>
      <c r="F35514">
        <v>4360001</v>
      </c>
      <c r="G35514" t="s">
        <v>23098</v>
      </c>
      <c r="H35514" s="21">
        <v>500</v>
      </c>
    </row>
    <row r="35515" spans="1:8" customFormat="1" x14ac:dyDescent="0.25">
      <c r="A35515" t="str">
        <f>"805450"</f>
        <v>805450</v>
      </c>
      <c r="B35515" t="s">
        <v>1522</v>
      </c>
      <c r="C35515" t="s">
        <v>3348</v>
      </c>
      <c r="D35515" s="21" t="s">
        <v>34</v>
      </c>
      <c r="E35515" s="21" t="s">
        <v>254</v>
      </c>
      <c r="F35515">
        <v>7800001</v>
      </c>
      <c r="G35515" t="s">
        <v>176</v>
      </c>
      <c r="H35515" s="21">
        <v>500</v>
      </c>
    </row>
    <row r="35516" spans="1:8" customFormat="1" x14ac:dyDescent="0.25">
      <c r="A35516" t="str">
        <f>"9459278"</f>
        <v>9459278</v>
      </c>
      <c r="B35516" t="s">
        <v>29073</v>
      </c>
      <c r="C35516" t="s">
        <v>209</v>
      </c>
      <c r="D35516" s="21" t="s">
        <v>34</v>
      </c>
      <c r="E35516" s="21" t="s">
        <v>35</v>
      </c>
      <c r="F35516">
        <v>8940894</v>
      </c>
      <c r="G35516" t="s">
        <v>481</v>
      </c>
      <c r="H35516" s="21">
        <v>500</v>
      </c>
    </row>
    <row r="35517" spans="1:8" customFormat="1" x14ac:dyDescent="0.25">
      <c r="A35517" t="str">
        <f>"673755"</f>
        <v>673755</v>
      </c>
      <c r="B35517" t="s">
        <v>23766</v>
      </c>
      <c r="C35517" t="s">
        <v>239</v>
      </c>
      <c r="D35517" s="21" t="s">
        <v>34</v>
      </c>
      <c r="E35517" s="21" t="s">
        <v>254</v>
      </c>
      <c r="F35517">
        <v>6670041</v>
      </c>
      <c r="G35517" t="s">
        <v>1971</v>
      </c>
      <c r="H35517" s="21">
        <v>500</v>
      </c>
    </row>
    <row r="35518" spans="1:8" customFormat="1" x14ac:dyDescent="0.25">
      <c r="A35518" t="str">
        <f>"9147563"</f>
        <v>9147563</v>
      </c>
      <c r="B35518" t="s">
        <v>3972</v>
      </c>
      <c r="C35518" t="s">
        <v>87</v>
      </c>
      <c r="D35518" s="21" t="s">
        <v>34</v>
      </c>
      <c r="E35518" s="21" t="s">
        <v>35</v>
      </c>
      <c r="F35518">
        <v>8910004</v>
      </c>
      <c r="G35518" t="s">
        <v>9637</v>
      </c>
      <c r="H35518" s="21">
        <v>500</v>
      </c>
    </row>
    <row r="35519" spans="1:8" customFormat="1" x14ac:dyDescent="0.25">
      <c r="A35519" t="str">
        <f>"134512"</f>
        <v>134512</v>
      </c>
      <c r="B35519" t="s">
        <v>11660</v>
      </c>
      <c r="C35519" t="s">
        <v>1597</v>
      </c>
      <c r="D35519" s="21" t="s">
        <v>34</v>
      </c>
      <c r="E35519" s="21" t="s">
        <v>1089</v>
      </c>
      <c r="F35519">
        <v>13060114</v>
      </c>
      <c r="G35519" t="s">
        <v>4501</v>
      </c>
      <c r="H35519" s="21">
        <v>500</v>
      </c>
    </row>
    <row r="35520" spans="1:8" customFormat="1" x14ac:dyDescent="0.25">
      <c r="A35520" t="str">
        <f>"867718"</f>
        <v>867718</v>
      </c>
      <c r="B35520" t="s">
        <v>29074</v>
      </c>
      <c r="C35520" t="s">
        <v>156</v>
      </c>
      <c r="D35520" s="21" t="s">
        <v>34</v>
      </c>
      <c r="E35520" s="21" t="s">
        <v>254</v>
      </c>
      <c r="F35520">
        <v>10860230</v>
      </c>
      <c r="G35520" t="s">
        <v>27938</v>
      </c>
      <c r="H35520" s="21">
        <v>500</v>
      </c>
    </row>
    <row r="35521" spans="1:8" customFormat="1" x14ac:dyDescent="0.25">
      <c r="A35521" t="str">
        <f>"6024434"</f>
        <v>6024434</v>
      </c>
      <c r="B35521" t="s">
        <v>29075</v>
      </c>
      <c r="C35521" t="s">
        <v>305</v>
      </c>
      <c r="D35521" s="21" t="s">
        <v>34</v>
      </c>
      <c r="E35521" s="21" t="s">
        <v>35</v>
      </c>
      <c r="F35521">
        <v>7600170</v>
      </c>
      <c r="G35521" t="s">
        <v>16044</v>
      </c>
      <c r="H35521" s="21">
        <v>500</v>
      </c>
    </row>
    <row r="35522" spans="1:8" customFormat="1" x14ac:dyDescent="0.25">
      <c r="A35522" t="str">
        <f>"5958200"</f>
        <v>5958200</v>
      </c>
      <c r="B35522" t="s">
        <v>29076</v>
      </c>
      <c r="C35522" t="s">
        <v>2546</v>
      </c>
      <c r="D35522" s="21" t="s">
        <v>34</v>
      </c>
      <c r="E35522" s="21" t="s">
        <v>35</v>
      </c>
      <c r="F35522">
        <v>7590336</v>
      </c>
      <c r="G35522" t="s">
        <v>2341</v>
      </c>
      <c r="H35522" s="21">
        <v>500</v>
      </c>
    </row>
    <row r="35523" spans="1:8" customFormat="1" x14ac:dyDescent="0.25">
      <c r="A35523" t="str">
        <f>"3339133"</f>
        <v>3339133</v>
      </c>
      <c r="B35523" t="s">
        <v>6460</v>
      </c>
      <c r="C35523" t="s">
        <v>712</v>
      </c>
      <c r="D35523" s="21" t="s">
        <v>34</v>
      </c>
      <c r="E35523" s="21" t="s">
        <v>71</v>
      </c>
      <c r="F35523">
        <v>10330071</v>
      </c>
      <c r="G35523" t="s">
        <v>22915</v>
      </c>
      <c r="H35523" s="21">
        <v>500</v>
      </c>
    </row>
    <row r="35524" spans="1:8" customFormat="1" x14ac:dyDescent="0.25">
      <c r="A35524" t="str">
        <f>"7642471"</f>
        <v>7642471</v>
      </c>
      <c r="B35524" t="s">
        <v>11064</v>
      </c>
      <c r="C35524" t="s">
        <v>6553</v>
      </c>
      <c r="D35524" s="21" t="s">
        <v>34</v>
      </c>
      <c r="E35524" s="21" t="s">
        <v>35</v>
      </c>
      <c r="F35524">
        <v>9760333</v>
      </c>
      <c r="G35524" t="s">
        <v>27096</v>
      </c>
      <c r="H35524" s="21">
        <v>500</v>
      </c>
    </row>
    <row r="35525" spans="1:8" customFormat="1" x14ac:dyDescent="0.25">
      <c r="A35525" t="str">
        <f>"693866"</f>
        <v>693866</v>
      </c>
      <c r="B35525" t="s">
        <v>9094</v>
      </c>
      <c r="C35525" t="s">
        <v>2479</v>
      </c>
      <c r="D35525" s="21" t="s">
        <v>34</v>
      </c>
      <c r="E35525" s="21" t="s">
        <v>1089</v>
      </c>
      <c r="F35525">
        <v>1690104</v>
      </c>
      <c r="G35525" t="s">
        <v>3501</v>
      </c>
      <c r="H35525" s="21">
        <v>500</v>
      </c>
    </row>
    <row r="35526" spans="1:8" customFormat="1" x14ac:dyDescent="0.25">
      <c r="A35526" t="str">
        <f>"1422389"</f>
        <v>1422389</v>
      </c>
      <c r="B35526" t="s">
        <v>23460</v>
      </c>
      <c r="C35526" t="s">
        <v>40</v>
      </c>
      <c r="D35526" s="21" t="s">
        <v>34</v>
      </c>
      <c r="E35526" s="21" t="s">
        <v>71</v>
      </c>
      <c r="F35526">
        <v>9140127</v>
      </c>
      <c r="G35526" t="s">
        <v>6641</v>
      </c>
      <c r="H35526" s="21">
        <v>500</v>
      </c>
    </row>
    <row r="35527" spans="1:8" customFormat="1" x14ac:dyDescent="0.25">
      <c r="A35527" t="str">
        <f>"7726821"</f>
        <v>7726821</v>
      </c>
      <c r="B35527" t="s">
        <v>29077</v>
      </c>
      <c r="C35527" t="s">
        <v>169</v>
      </c>
      <c r="D35527" s="21" t="s">
        <v>34</v>
      </c>
      <c r="E35527" s="21" t="s">
        <v>71</v>
      </c>
      <c r="F35527">
        <v>8771025</v>
      </c>
      <c r="G35527" t="s">
        <v>5469</v>
      </c>
      <c r="H35527" s="21">
        <v>500</v>
      </c>
    </row>
    <row r="35528" spans="1:8" customFormat="1" x14ac:dyDescent="0.25">
      <c r="A35528" t="str">
        <f>"5956574"</f>
        <v>5956574</v>
      </c>
      <c r="B35528" t="s">
        <v>22880</v>
      </c>
      <c r="C35528" t="s">
        <v>263</v>
      </c>
      <c r="D35528" s="21" t="s">
        <v>34</v>
      </c>
      <c r="E35528" s="21" t="s">
        <v>71</v>
      </c>
      <c r="F35528">
        <v>7590425</v>
      </c>
      <c r="G35528" t="s">
        <v>12493</v>
      </c>
      <c r="H35528" s="21">
        <v>500</v>
      </c>
    </row>
    <row r="35529" spans="1:8" customFormat="1" x14ac:dyDescent="0.25">
      <c r="A35529" t="str">
        <f>"3724027"</f>
        <v>3724027</v>
      </c>
      <c r="B35529" t="s">
        <v>22683</v>
      </c>
      <c r="C35529" t="s">
        <v>263</v>
      </c>
      <c r="D35529" s="21" t="s">
        <v>34</v>
      </c>
      <c r="E35529" s="21" t="s">
        <v>35</v>
      </c>
      <c r="F35529">
        <v>4370615</v>
      </c>
      <c r="G35529" t="s">
        <v>7437</v>
      </c>
      <c r="H35529" s="21">
        <v>500</v>
      </c>
    </row>
    <row r="35530" spans="1:8" customFormat="1" x14ac:dyDescent="0.25">
      <c r="A35530" t="str">
        <f>"7728442"</f>
        <v>7728442</v>
      </c>
      <c r="B35530" t="s">
        <v>23181</v>
      </c>
      <c r="C35530" t="s">
        <v>3784</v>
      </c>
      <c r="D35530" s="21" t="s">
        <v>34</v>
      </c>
      <c r="E35530" s="21" t="s">
        <v>254</v>
      </c>
      <c r="F35530">
        <v>8771154</v>
      </c>
      <c r="G35530" t="s">
        <v>3625</v>
      </c>
      <c r="H35530" s="21">
        <v>500</v>
      </c>
    </row>
    <row r="35531" spans="1:8" customFormat="1" x14ac:dyDescent="0.25">
      <c r="A35531" t="str">
        <f>"9246870"</f>
        <v>9246870</v>
      </c>
      <c r="B35531" t="s">
        <v>23521</v>
      </c>
      <c r="C35531" t="s">
        <v>147</v>
      </c>
      <c r="D35531" s="21" t="s">
        <v>34</v>
      </c>
      <c r="E35531" s="21" t="s">
        <v>35</v>
      </c>
      <c r="F35531">
        <v>8920137</v>
      </c>
      <c r="G35531" t="s">
        <v>6082</v>
      </c>
      <c r="H35531" s="21">
        <v>500</v>
      </c>
    </row>
    <row r="35532" spans="1:8" customFormat="1" x14ac:dyDescent="0.25">
      <c r="A35532" t="str">
        <f>"3831176"</f>
        <v>3831176</v>
      </c>
      <c r="B35532" t="s">
        <v>22917</v>
      </c>
      <c r="C35532" t="s">
        <v>415</v>
      </c>
      <c r="D35532" s="21" t="s">
        <v>34</v>
      </c>
      <c r="E35532" s="21" t="s">
        <v>1089</v>
      </c>
      <c r="F35532">
        <v>1380275</v>
      </c>
      <c r="G35532" t="s">
        <v>8042</v>
      </c>
      <c r="H35532" s="21">
        <v>500</v>
      </c>
    </row>
    <row r="35533" spans="1:8" customFormat="1" x14ac:dyDescent="0.25">
      <c r="A35533" t="str">
        <f>"6316273"</f>
        <v>6316273</v>
      </c>
      <c r="B35533" t="s">
        <v>9095</v>
      </c>
      <c r="C35533" t="s">
        <v>2479</v>
      </c>
      <c r="D35533" s="21" t="s">
        <v>34</v>
      </c>
      <c r="E35533" s="21" t="s">
        <v>71</v>
      </c>
      <c r="F35533">
        <v>1630310</v>
      </c>
      <c r="G35533" t="s">
        <v>6314</v>
      </c>
      <c r="H35533" s="21">
        <v>500</v>
      </c>
    </row>
    <row r="35534" spans="1:8" customFormat="1" x14ac:dyDescent="0.25">
      <c r="A35534" t="str">
        <f>"84432"</f>
        <v>84432</v>
      </c>
      <c r="B35534" t="s">
        <v>6623</v>
      </c>
      <c r="C35534" t="s">
        <v>3648</v>
      </c>
      <c r="D35534" s="21" t="s">
        <v>34</v>
      </c>
      <c r="E35534" s="21" t="s">
        <v>1089</v>
      </c>
      <c r="F35534">
        <v>13840037</v>
      </c>
      <c r="G35534" t="s">
        <v>2019</v>
      </c>
      <c r="H35534" s="21">
        <v>500</v>
      </c>
    </row>
    <row r="35535" spans="1:8" customFormat="1" x14ac:dyDescent="0.25">
      <c r="A35535" t="str">
        <f>"396641"</f>
        <v>396641</v>
      </c>
      <c r="B35535" t="s">
        <v>29078</v>
      </c>
      <c r="C35535" t="s">
        <v>249</v>
      </c>
      <c r="D35535" s="21" t="s">
        <v>34</v>
      </c>
      <c r="E35535" s="21" t="s">
        <v>71</v>
      </c>
      <c r="F35535">
        <v>2390003</v>
      </c>
      <c r="G35535" t="s">
        <v>1150</v>
      </c>
      <c r="H35535" s="21">
        <v>500</v>
      </c>
    </row>
    <row r="35536" spans="1:8" customFormat="1" x14ac:dyDescent="0.25">
      <c r="A35536" t="str">
        <f>"9455062"</f>
        <v>9455062</v>
      </c>
      <c r="B35536" t="s">
        <v>1094</v>
      </c>
      <c r="C35536" t="s">
        <v>2734</v>
      </c>
      <c r="D35536" s="21" t="s">
        <v>34</v>
      </c>
      <c r="E35536" s="21" t="s">
        <v>35</v>
      </c>
      <c r="F35536">
        <v>8940459</v>
      </c>
      <c r="G35536" t="s">
        <v>743</v>
      </c>
      <c r="H35536" s="21">
        <v>500</v>
      </c>
    </row>
    <row r="35537" spans="1:8" customFormat="1" x14ac:dyDescent="0.25">
      <c r="A35537" t="str">
        <f>"781691"</f>
        <v>781691</v>
      </c>
      <c r="B35537" t="s">
        <v>23204</v>
      </c>
      <c r="C35537" t="s">
        <v>156</v>
      </c>
      <c r="D35537" s="21" t="s">
        <v>34</v>
      </c>
      <c r="E35537" s="21" t="s">
        <v>6185</v>
      </c>
      <c r="F35537">
        <v>8780674</v>
      </c>
      <c r="G35537" t="s">
        <v>26585</v>
      </c>
      <c r="H35537" s="21">
        <v>500</v>
      </c>
    </row>
    <row r="35538" spans="1:8" customFormat="1" x14ac:dyDescent="0.25">
      <c r="A35538" t="str">
        <f>"7114462"</f>
        <v>7114462</v>
      </c>
      <c r="B35538" t="s">
        <v>29079</v>
      </c>
      <c r="C35538" t="s">
        <v>11745</v>
      </c>
      <c r="D35538" s="21" t="s">
        <v>34</v>
      </c>
      <c r="E35538" s="21" t="s">
        <v>35</v>
      </c>
      <c r="F35538">
        <v>2710002</v>
      </c>
      <c r="G35538" t="s">
        <v>6838</v>
      </c>
      <c r="H35538" s="21">
        <v>500</v>
      </c>
    </row>
    <row r="35539" spans="1:8" customFormat="1" x14ac:dyDescent="0.25">
      <c r="A35539" t="str">
        <f>"8812977"</f>
        <v>8812977</v>
      </c>
      <c r="B35539" t="s">
        <v>23111</v>
      </c>
      <c r="C35539" t="s">
        <v>455</v>
      </c>
      <c r="D35539" s="21" t="s">
        <v>34</v>
      </c>
      <c r="E35539" s="21" t="s">
        <v>71</v>
      </c>
      <c r="F35539">
        <v>6880123</v>
      </c>
      <c r="G35539" t="s">
        <v>527</v>
      </c>
      <c r="H35539" s="21">
        <v>500</v>
      </c>
    </row>
    <row r="35540" spans="1:8" customFormat="1" x14ac:dyDescent="0.25">
      <c r="A35540" t="str">
        <f>"7630931"</f>
        <v>7630931</v>
      </c>
      <c r="B35540" t="s">
        <v>8710</v>
      </c>
      <c r="C35540" t="s">
        <v>263</v>
      </c>
      <c r="D35540" s="21" t="s">
        <v>34</v>
      </c>
      <c r="E35540" s="21" t="s">
        <v>1089</v>
      </c>
      <c r="F35540">
        <v>9760028</v>
      </c>
      <c r="G35540" t="s">
        <v>4086</v>
      </c>
      <c r="H35540" s="21">
        <v>500</v>
      </c>
    </row>
    <row r="35541" spans="1:8" customFormat="1" x14ac:dyDescent="0.25">
      <c r="A35541" t="str">
        <f>"3730580"</f>
        <v>3730580</v>
      </c>
      <c r="B35541" t="s">
        <v>136</v>
      </c>
      <c r="C35541" t="s">
        <v>249</v>
      </c>
      <c r="D35541" s="21" t="s">
        <v>34</v>
      </c>
      <c r="E35541" s="21" t="s">
        <v>71</v>
      </c>
      <c r="F35541">
        <v>4370669</v>
      </c>
      <c r="G35541" t="s">
        <v>8189</v>
      </c>
      <c r="H35541" s="21">
        <v>500</v>
      </c>
    </row>
    <row r="35542" spans="1:8" customFormat="1" x14ac:dyDescent="0.25">
      <c r="A35542" t="str">
        <f>"3419795"</f>
        <v>3419795</v>
      </c>
      <c r="B35542" t="s">
        <v>2726</v>
      </c>
      <c r="C35542" t="s">
        <v>114</v>
      </c>
      <c r="D35542" s="21" t="s">
        <v>34</v>
      </c>
      <c r="E35542" s="21" t="s">
        <v>71</v>
      </c>
      <c r="F35542">
        <v>11340042</v>
      </c>
      <c r="G35542" t="s">
        <v>13840</v>
      </c>
      <c r="H35542" s="21">
        <v>500</v>
      </c>
    </row>
    <row r="35543" spans="1:8" customFormat="1" x14ac:dyDescent="0.25">
      <c r="A35543" t="str">
        <f>"2216128"</f>
        <v>2216128</v>
      </c>
      <c r="B35543" t="s">
        <v>22859</v>
      </c>
      <c r="C35543" t="s">
        <v>415</v>
      </c>
      <c r="D35543" s="21" t="s">
        <v>34</v>
      </c>
      <c r="E35543" s="21" t="s">
        <v>254</v>
      </c>
      <c r="F35543">
        <v>3220127</v>
      </c>
      <c r="G35543" t="s">
        <v>26652</v>
      </c>
      <c r="H35543" s="21">
        <v>500</v>
      </c>
    </row>
    <row r="35544" spans="1:8" customFormat="1" x14ac:dyDescent="0.25">
      <c r="A35544" t="str">
        <f>"7863319"</f>
        <v>7863319</v>
      </c>
      <c r="B35544" t="s">
        <v>18477</v>
      </c>
      <c r="C35544" t="s">
        <v>269</v>
      </c>
      <c r="D35544" s="21" t="s">
        <v>34</v>
      </c>
      <c r="E35544" s="21" t="s">
        <v>71</v>
      </c>
      <c r="F35544">
        <v>8780078</v>
      </c>
      <c r="G35544" t="s">
        <v>229</v>
      </c>
      <c r="H35544" s="21">
        <v>500</v>
      </c>
    </row>
    <row r="35545" spans="1:8" customFormat="1" x14ac:dyDescent="0.25">
      <c r="A35545" t="str">
        <f>"5966652"</f>
        <v>5966652</v>
      </c>
      <c r="B35545" t="s">
        <v>24013</v>
      </c>
      <c r="C35545" t="s">
        <v>2276</v>
      </c>
      <c r="D35545" s="21" t="s">
        <v>34</v>
      </c>
      <c r="E35545" s="21" t="s">
        <v>71</v>
      </c>
      <c r="F35545">
        <v>7590390</v>
      </c>
      <c r="G35545" t="s">
        <v>18075</v>
      </c>
      <c r="H35545" s="21">
        <v>500</v>
      </c>
    </row>
    <row r="35546" spans="1:8" customFormat="1" x14ac:dyDescent="0.25">
      <c r="A35546" t="str">
        <f>"9144191"</f>
        <v>9144191</v>
      </c>
      <c r="B35546" t="s">
        <v>22808</v>
      </c>
      <c r="C35546" t="s">
        <v>22809</v>
      </c>
      <c r="D35546" s="21" t="s">
        <v>34</v>
      </c>
      <c r="E35546" s="21" t="s">
        <v>1089</v>
      </c>
      <c r="F35546">
        <v>8911464</v>
      </c>
      <c r="G35546" t="s">
        <v>17832</v>
      </c>
      <c r="H35546" s="21">
        <v>500</v>
      </c>
    </row>
    <row r="35547" spans="1:8" customFormat="1" x14ac:dyDescent="0.25">
      <c r="A35547" t="str">
        <f>"083801"</f>
        <v>083801</v>
      </c>
      <c r="B35547" t="s">
        <v>15931</v>
      </c>
      <c r="C35547" t="s">
        <v>2520</v>
      </c>
      <c r="D35547" s="21" t="s">
        <v>34</v>
      </c>
      <c r="E35547" s="21" t="s">
        <v>1089</v>
      </c>
      <c r="F35547">
        <v>6080035</v>
      </c>
      <c r="G35547" t="s">
        <v>583</v>
      </c>
      <c r="H35547" s="21">
        <v>500</v>
      </c>
    </row>
    <row r="35548" spans="1:8" customFormat="1" x14ac:dyDescent="0.25">
      <c r="A35548" t="str">
        <f>"135243"</f>
        <v>135243</v>
      </c>
      <c r="B35548" t="s">
        <v>22939</v>
      </c>
      <c r="C35548" t="s">
        <v>209</v>
      </c>
      <c r="D35548" s="21" t="s">
        <v>34</v>
      </c>
      <c r="E35548" s="21" t="s">
        <v>71</v>
      </c>
      <c r="F35548">
        <v>13130138</v>
      </c>
      <c r="G35548" t="s">
        <v>5409</v>
      </c>
      <c r="H35548" s="21">
        <v>500</v>
      </c>
    </row>
    <row r="35549" spans="1:8" customFormat="1" x14ac:dyDescent="0.25">
      <c r="A35549" t="str">
        <f>"41374"</f>
        <v>41374</v>
      </c>
      <c r="B35549" t="s">
        <v>22843</v>
      </c>
      <c r="C35549" t="s">
        <v>156</v>
      </c>
      <c r="D35549" s="21" t="s">
        <v>34</v>
      </c>
      <c r="E35549" s="21" t="s">
        <v>1089</v>
      </c>
      <c r="F35549">
        <v>4410080</v>
      </c>
      <c r="G35549" t="s">
        <v>135</v>
      </c>
      <c r="H35549" s="21">
        <v>500</v>
      </c>
    </row>
    <row r="35550" spans="1:8" customFormat="1" x14ac:dyDescent="0.25">
      <c r="A35550" t="str">
        <f>"026686"</f>
        <v>026686</v>
      </c>
      <c r="B35550" t="s">
        <v>7634</v>
      </c>
      <c r="C35550" t="s">
        <v>462</v>
      </c>
      <c r="D35550" s="21" t="s">
        <v>34</v>
      </c>
      <c r="E35550" s="21" t="s">
        <v>71</v>
      </c>
      <c r="F35550">
        <v>7020040</v>
      </c>
      <c r="G35550" t="s">
        <v>1698</v>
      </c>
      <c r="H35550" s="21">
        <v>500</v>
      </c>
    </row>
    <row r="35551" spans="1:8" customFormat="1" x14ac:dyDescent="0.25">
      <c r="A35551" t="str">
        <f>"368539"</f>
        <v>368539</v>
      </c>
      <c r="B35551" t="s">
        <v>17237</v>
      </c>
      <c r="C35551" t="s">
        <v>2379</v>
      </c>
      <c r="D35551" s="21" t="s">
        <v>34</v>
      </c>
      <c r="E35551" s="21" t="s">
        <v>35</v>
      </c>
      <c r="F35551">
        <v>4360481</v>
      </c>
      <c r="G35551" t="s">
        <v>12957</v>
      </c>
      <c r="H35551" s="21">
        <v>500</v>
      </c>
    </row>
    <row r="35552" spans="1:8" customFormat="1" x14ac:dyDescent="0.25">
      <c r="A35552" t="str">
        <f>"2714918"</f>
        <v>2714918</v>
      </c>
      <c r="B35552" t="s">
        <v>700</v>
      </c>
      <c r="C35552" t="s">
        <v>65</v>
      </c>
      <c r="D35552" s="21" t="s">
        <v>34</v>
      </c>
      <c r="E35552" s="21" t="s">
        <v>35</v>
      </c>
      <c r="F35552">
        <v>9270089</v>
      </c>
      <c r="G35552" t="s">
        <v>1009</v>
      </c>
      <c r="H35552" s="21">
        <v>500</v>
      </c>
    </row>
    <row r="35553" spans="1:8" customFormat="1" x14ac:dyDescent="0.25">
      <c r="A35553" t="str">
        <f>"9E1002"</f>
        <v>9E1002</v>
      </c>
      <c r="B35553" t="s">
        <v>23443</v>
      </c>
      <c r="C35553" t="s">
        <v>328</v>
      </c>
      <c r="D35553" s="21" t="s">
        <v>34</v>
      </c>
      <c r="E35553" s="21" t="s">
        <v>35</v>
      </c>
      <c r="F35553" s="24" t="s">
        <v>18984</v>
      </c>
      <c r="G35553" t="s">
        <v>18985</v>
      </c>
      <c r="H35553" s="21">
        <v>500</v>
      </c>
    </row>
    <row r="35554" spans="1:8" customFormat="1" x14ac:dyDescent="0.25">
      <c r="A35554" t="str">
        <f>"7629735"</f>
        <v>7629735</v>
      </c>
      <c r="B35554" t="s">
        <v>1103</v>
      </c>
      <c r="C35554" t="s">
        <v>1887</v>
      </c>
      <c r="D35554" s="21" t="s">
        <v>34</v>
      </c>
      <c r="E35554" s="21" t="s">
        <v>254</v>
      </c>
      <c r="F35554">
        <v>9760379</v>
      </c>
      <c r="G35554" t="s">
        <v>18639</v>
      </c>
      <c r="H35554" s="21">
        <v>500</v>
      </c>
    </row>
    <row r="35555" spans="1:8" customFormat="1" x14ac:dyDescent="0.25">
      <c r="A35555" t="str">
        <f>"5721549"</f>
        <v>5721549</v>
      </c>
      <c r="B35555" t="s">
        <v>24762</v>
      </c>
      <c r="C35555" t="s">
        <v>1665</v>
      </c>
      <c r="D35555" s="21" t="s">
        <v>34</v>
      </c>
      <c r="E35555" s="21" t="s">
        <v>71</v>
      </c>
      <c r="F35555">
        <v>6570008</v>
      </c>
      <c r="G35555" t="s">
        <v>899</v>
      </c>
      <c r="H35555" s="21">
        <v>500</v>
      </c>
    </row>
    <row r="35556" spans="1:8" customFormat="1" x14ac:dyDescent="0.25">
      <c r="A35556" t="str">
        <f>"6024435"</f>
        <v>6024435</v>
      </c>
      <c r="B35556" t="s">
        <v>6982</v>
      </c>
      <c r="C35556" t="s">
        <v>486</v>
      </c>
      <c r="D35556" s="21" t="s">
        <v>34</v>
      </c>
      <c r="E35556" s="21" t="s">
        <v>35</v>
      </c>
      <c r="F35556">
        <v>7600167</v>
      </c>
      <c r="G35556" t="s">
        <v>12431</v>
      </c>
      <c r="H35556" s="21">
        <v>500</v>
      </c>
    </row>
    <row r="35557" spans="1:8" customFormat="1" x14ac:dyDescent="0.25">
      <c r="A35557" t="str">
        <f>"2516320"</f>
        <v>2516320</v>
      </c>
      <c r="B35557" t="s">
        <v>23793</v>
      </c>
      <c r="C35557" t="s">
        <v>130</v>
      </c>
      <c r="D35557" s="21" t="s">
        <v>34</v>
      </c>
      <c r="E35557" s="21" t="s">
        <v>254</v>
      </c>
      <c r="F35557">
        <v>2250205</v>
      </c>
      <c r="G35557" t="s">
        <v>7311</v>
      </c>
      <c r="H35557" s="21">
        <v>500</v>
      </c>
    </row>
    <row r="35558" spans="1:8" customFormat="1" x14ac:dyDescent="0.25">
      <c r="A35558" t="str">
        <f>"7730576"</f>
        <v>7730576</v>
      </c>
      <c r="B35558" t="s">
        <v>1590</v>
      </c>
      <c r="C35558" t="s">
        <v>3497</v>
      </c>
      <c r="D35558" s="21" t="s">
        <v>34</v>
      </c>
      <c r="E35558" s="21" t="s">
        <v>254</v>
      </c>
      <c r="F35558">
        <v>8771520</v>
      </c>
      <c r="G35558" t="s">
        <v>22857</v>
      </c>
      <c r="H35558" s="21">
        <v>500</v>
      </c>
    </row>
    <row r="35559" spans="1:8" customFormat="1" x14ac:dyDescent="0.25">
      <c r="A35559" t="str">
        <f>"287546"</f>
        <v>287546</v>
      </c>
      <c r="B35559" t="s">
        <v>23833</v>
      </c>
      <c r="C35559" t="s">
        <v>453</v>
      </c>
      <c r="D35559" s="21" t="s">
        <v>34</v>
      </c>
      <c r="E35559" s="21" t="s">
        <v>254</v>
      </c>
      <c r="F35559">
        <v>4280617</v>
      </c>
      <c r="G35559" t="s">
        <v>8540</v>
      </c>
      <c r="H35559" s="21">
        <v>500</v>
      </c>
    </row>
    <row r="35560" spans="1:8" customFormat="1" x14ac:dyDescent="0.25">
      <c r="A35560" t="str">
        <f>"7837275"</f>
        <v>7837275</v>
      </c>
      <c r="B35560" t="s">
        <v>22908</v>
      </c>
      <c r="C35560" t="s">
        <v>415</v>
      </c>
      <c r="D35560" s="21" t="s">
        <v>34</v>
      </c>
      <c r="E35560" s="21" t="s">
        <v>254</v>
      </c>
      <c r="F35560">
        <v>8780356</v>
      </c>
      <c r="G35560" t="s">
        <v>5449</v>
      </c>
      <c r="H35560" s="21">
        <v>500</v>
      </c>
    </row>
    <row r="35561" spans="1:8" customFormat="1" x14ac:dyDescent="0.25">
      <c r="A35561" t="str">
        <f>"044158"</f>
        <v>044158</v>
      </c>
      <c r="B35561" t="s">
        <v>29080</v>
      </c>
      <c r="C35561" t="s">
        <v>656</v>
      </c>
      <c r="D35561" s="21" t="s">
        <v>34</v>
      </c>
      <c r="E35561" s="21" t="s">
        <v>35</v>
      </c>
      <c r="F35561">
        <v>13040015</v>
      </c>
      <c r="G35561" t="s">
        <v>7151</v>
      </c>
      <c r="H35561" s="21">
        <v>500</v>
      </c>
    </row>
    <row r="35562" spans="1:8" customFormat="1" x14ac:dyDescent="0.25">
      <c r="A35562" t="str">
        <f>"3716735"</f>
        <v>3716735</v>
      </c>
      <c r="B35562" t="s">
        <v>24505</v>
      </c>
      <c r="C35562" t="s">
        <v>11347</v>
      </c>
      <c r="D35562" s="21" t="s">
        <v>34</v>
      </c>
      <c r="E35562" s="21" t="s">
        <v>35</v>
      </c>
      <c r="F35562">
        <v>4370183</v>
      </c>
      <c r="G35562" t="s">
        <v>231</v>
      </c>
      <c r="H35562" s="21">
        <v>500</v>
      </c>
    </row>
    <row r="35563" spans="1:8" customFormat="1" x14ac:dyDescent="0.25">
      <c r="A35563" t="str">
        <f>"4455897"</f>
        <v>4455897</v>
      </c>
      <c r="B35563" t="s">
        <v>23260</v>
      </c>
      <c r="C35563" t="s">
        <v>151</v>
      </c>
      <c r="D35563" s="21" t="s">
        <v>34</v>
      </c>
      <c r="E35563" s="21" t="s">
        <v>35</v>
      </c>
      <c r="F35563">
        <v>12440176</v>
      </c>
      <c r="G35563" t="s">
        <v>1020</v>
      </c>
      <c r="H35563" s="21">
        <v>500</v>
      </c>
    </row>
    <row r="35564" spans="1:8" customFormat="1" x14ac:dyDescent="0.25">
      <c r="A35564" t="str">
        <f>"114157"</f>
        <v>114157</v>
      </c>
      <c r="B35564" t="s">
        <v>23280</v>
      </c>
      <c r="C35564" t="s">
        <v>23281</v>
      </c>
      <c r="D35564" s="21" t="s">
        <v>34</v>
      </c>
      <c r="E35564" s="21" t="s">
        <v>35</v>
      </c>
      <c r="F35564">
        <v>11110028</v>
      </c>
      <c r="G35564" t="s">
        <v>10634</v>
      </c>
      <c r="H35564" s="21">
        <v>500</v>
      </c>
    </row>
    <row r="35565" spans="1:8" customFormat="1" x14ac:dyDescent="0.25">
      <c r="A35565" t="str">
        <f>"563868"</f>
        <v>563868</v>
      </c>
      <c r="B35565" t="s">
        <v>23492</v>
      </c>
      <c r="C35565" t="s">
        <v>598</v>
      </c>
      <c r="D35565" s="21" t="s">
        <v>34</v>
      </c>
      <c r="E35565" s="21" t="s">
        <v>1089</v>
      </c>
      <c r="F35565">
        <v>3350060</v>
      </c>
      <c r="G35565" t="s">
        <v>38</v>
      </c>
      <c r="H35565" s="21">
        <v>500</v>
      </c>
    </row>
    <row r="35566" spans="1:8" customFormat="1" x14ac:dyDescent="0.25">
      <c r="A35566" t="str">
        <f>"675688"</f>
        <v>675688</v>
      </c>
      <c r="B35566" t="s">
        <v>29081</v>
      </c>
      <c r="C35566" t="s">
        <v>486</v>
      </c>
      <c r="D35566" s="21" t="s">
        <v>34</v>
      </c>
      <c r="E35566" s="21" t="s">
        <v>71</v>
      </c>
      <c r="F35566">
        <v>6670272</v>
      </c>
      <c r="G35566" t="s">
        <v>26568</v>
      </c>
      <c r="H35566" s="21">
        <v>500</v>
      </c>
    </row>
    <row r="35567" spans="1:8" customFormat="1" x14ac:dyDescent="0.25">
      <c r="A35567" t="str">
        <f>"9538062"</f>
        <v>9538062</v>
      </c>
      <c r="B35567" t="s">
        <v>2571</v>
      </c>
      <c r="C35567" t="s">
        <v>121</v>
      </c>
      <c r="D35567" s="21" t="s">
        <v>34</v>
      </c>
      <c r="E35567" s="21" t="s">
        <v>35</v>
      </c>
      <c r="F35567">
        <v>8951399</v>
      </c>
      <c r="G35567" t="s">
        <v>6745</v>
      </c>
      <c r="H35567" s="21">
        <v>500</v>
      </c>
    </row>
    <row r="35568" spans="1:8" customFormat="1" x14ac:dyDescent="0.25">
      <c r="A35568" t="str">
        <f>"6112941"</f>
        <v>6112941</v>
      </c>
      <c r="B35568" t="s">
        <v>8614</v>
      </c>
      <c r="C35568" t="s">
        <v>114</v>
      </c>
      <c r="D35568" s="21" t="s">
        <v>34</v>
      </c>
      <c r="E35568" s="21" t="s">
        <v>35</v>
      </c>
      <c r="F35568">
        <v>9610122</v>
      </c>
      <c r="G35568" t="s">
        <v>4349</v>
      </c>
      <c r="H35568" s="21">
        <v>500</v>
      </c>
    </row>
    <row r="35569" spans="1:8" customFormat="1" x14ac:dyDescent="0.25">
      <c r="A35569" t="str">
        <f>"844460"</f>
        <v>844460</v>
      </c>
      <c r="B35569" t="s">
        <v>23367</v>
      </c>
      <c r="C35569" t="s">
        <v>1119</v>
      </c>
      <c r="D35569" s="21" t="s">
        <v>34</v>
      </c>
      <c r="E35569" s="21" t="s">
        <v>1089</v>
      </c>
      <c r="F35569">
        <v>13840005</v>
      </c>
      <c r="G35569" t="s">
        <v>2145</v>
      </c>
      <c r="H35569" s="21">
        <v>500</v>
      </c>
    </row>
    <row r="35570" spans="1:8" customFormat="1" x14ac:dyDescent="0.25">
      <c r="A35570" t="str">
        <f>"7524665"</f>
        <v>7524665</v>
      </c>
      <c r="B35570" t="s">
        <v>29082</v>
      </c>
      <c r="C35570" t="s">
        <v>631</v>
      </c>
      <c r="D35570" s="21" t="s">
        <v>34</v>
      </c>
      <c r="E35570" s="21" t="s">
        <v>71</v>
      </c>
      <c r="F35570">
        <v>8751453</v>
      </c>
      <c r="G35570" t="s">
        <v>7029</v>
      </c>
      <c r="H35570" s="21">
        <v>500</v>
      </c>
    </row>
    <row r="35571" spans="1:8" customFormat="1" x14ac:dyDescent="0.25">
      <c r="A35571" t="str">
        <f>"952326"</f>
        <v>952326</v>
      </c>
      <c r="B35571" t="s">
        <v>23419</v>
      </c>
      <c r="C35571" t="s">
        <v>1271</v>
      </c>
      <c r="D35571" s="21" t="s">
        <v>34</v>
      </c>
      <c r="E35571" s="21" t="s">
        <v>254</v>
      </c>
      <c r="F35571">
        <v>10470009</v>
      </c>
      <c r="G35571" t="s">
        <v>4915</v>
      </c>
      <c r="H35571" s="21">
        <v>500</v>
      </c>
    </row>
    <row r="35572" spans="1:8" customFormat="1" x14ac:dyDescent="0.25">
      <c r="A35572" t="str">
        <f>"5980561"</f>
        <v>5980561</v>
      </c>
      <c r="B35572" t="s">
        <v>22388</v>
      </c>
      <c r="C35572" t="s">
        <v>305</v>
      </c>
      <c r="D35572" s="21" t="s">
        <v>34</v>
      </c>
      <c r="E35572" s="21" t="s">
        <v>35</v>
      </c>
      <c r="F35572">
        <v>7590151</v>
      </c>
      <c r="G35572" t="s">
        <v>12236</v>
      </c>
      <c r="H35572" s="21">
        <v>500</v>
      </c>
    </row>
    <row r="35573" spans="1:8" customFormat="1" x14ac:dyDescent="0.25">
      <c r="A35573" t="str">
        <f>"6948846"</f>
        <v>6948846</v>
      </c>
      <c r="B35573" t="s">
        <v>4293</v>
      </c>
      <c r="C35573" t="s">
        <v>55</v>
      </c>
      <c r="D35573" s="21" t="s">
        <v>34</v>
      </c>
      <c r="E35573" s="21" t="s">
        <v>35</v>
      </c>
      <c r="F35573">
        <v>1690175</v>
      </c>
      <c r="G35573" t="s">
        <v>410</v>
      </c>
      <c r="H35573" s="21">
        <v>500</v>
      </c>
    </row>
    <row r="35574" spans="1:8" customFormat="1" x14ac:dyDescent="0.25">
      <c r="A35574" t="str">
        <f>"9537961"</f>
        <v>9537961</v>
      </c>
      <c r="B35574" t="s">
        <v>22596</v>
      </c>
      <c r="C35574" t="s">
        <v>198</v>
      </c>
      <c r="D35574" s="21" t="s">
        <v>34</v>
      </c>
      <c r="E35574" s="21" t="s">
        <v>254</v>
      </c>
      <c r="F35574">
        <v>8950553</v>
      </c>
      <c r="G35574" t="s">
        <v>1058</v>
      </c>
      <c r="H35574" s="21">
        <v>500</v>
      </c>
    </row>
    <row r="35575" spans="1:8" customFormat="1" x14ac:dyDescent="0.25">
      <c r="A35575" t="str">
        <f>"2216635"</f>
        <v>2216635</v>
      </c>
      <c r="B35575" t="s">
        <v>29083</v>
      </c>
      <c r="C35575" t="s">
        <v>33</v>
      </c>
      <c r="D35575" s="21" t="s">
        <v>34</v>
      </c>
      <c r="E35575" s="21" t="s">
        <v>35</v>
      </c>
      <c r="F35575">
        <v>3220138</v>
      </c>
      <c r="G35575" t="s">
        <v>27804</v>
      </c>
      <c r="H35575" s="21">
        <v>500</v>
      </c>
    </row>
    <row r="35576" spans="1:8" customFormat="1" x14ac:dyDescent="0.25">
      <c r="A35576" t="str">
        <f>"3014453"</f>
        <v>3014453</v>
      </c>
      <c r="B35576" t="s">
        <v>29084</v>
      </c>
      <c r="C35576" t="s">
        <v>249</v>
      </c>
      <c r="D35576" s="21" t="s">
        <v>34</v>
      </c>
      <c r="E35576" s="21" t="s">
        <v>71</v>
      </c>
      <c r="F35576">
        <v>11300019</v>
      </c>
      <c r="G35576" t="s">
        <v>27201</v>
      </c>
      <c r="H35576" s="21">
        <v>500</v>
      </c>
    </row>
    <row r="35577" spans="1:8" customFormat="1" x14ac:dyDescent="0.25">
      <c r="A35577" t="str">
        <f>"432968"</f>
        <v>432968</v>
      </c>
      <c r="B35577" t="s">
        <v>765</v>
      </c>
      <c r="C35577" t="s">
        <v>486</v>
      </c>
      <c r="D35577" s="21" t="s">
        <v>34</v>
      </c>
      <c r="E35577" s="21" t="s">
        <v>71</v>
      </c>
      <c r="F35577">
        <v>1420305</v>
      </c>
      <c r="G35577" t="s">
        <v>13520</v>
      </c>
      <c r="H35577" s="21">
        <v>500</v>
      </c>
    </row>
    <row r="35578" spans="1:8" customFormat="1" x14ac:dyDescent="0.25">
      <c r="A35578" t="str">
        <f>"0611000"</f>
        <v>0611000</v>
      </c>
      <c r="B35578" t="s">
        <v>23319</v>
      </c>
      <c r="C35578" t="s">
        <v>926</v>
      </c>
      <c r="D35578" s="21" t="s">
        <v>34</v>
      </c>
      <c r="E35578" s="21" t="s">
        <v>254</v>
      </c>
      <c r="F35578">
        <v>13060085</v>
      </c>
      <c r="G35578" t="s">
        <v>2703</v>
      </c>
      <c r="H35578" s="21">
        <v>500</v>
      </c>
    </row>
    <row r="35579" spans="1:8" customFormat="1" x14ac:dyDescent="0.25">
      <c r="A35579" t="str">
        <f>"7874018"</f>
        <v>7874018</v>
      </c>
      <c r="B35579" t="s">
        <v>64</v>
      </c>
      <c r="C35579" t="s">
        <v>62</v>
      </c>
      <c r="D35579" s="21" t="s">
        <v>34</v>
      </c>
      <c r="E35579" s="21" t="s">
        <v>35</v>
      </c>
      <c r="F35579">
        <v>8780023</v>
      </c>
      <c r="G35579" t="s">
        <v>1496</v>
      </c>
      <c r="H35579" s="21">
        <v>500</v>
      </c>
    </row>
    <row r="35580" spans="1:8" customFormat="1" x14ac:dyDescent="0.25">
      <c r="A35580" t="str">
        <f>"082560"</f>
        <v>082560</v>
      </c>
      <c r="B35580" t="s">
        <v>13337</v>
      </c>
      <c r="C35580" t="s">
        <v>1588</v>
      </c>
      <c r="D35580" s="21" t="s">
        <v>34</v>
      </c>
      <c r="E35580" s="21" t="s">
        <v>1089</v>
      </c>
      <c r="F35580">
        <v>6080076</v>
      </c>
      <c r="G35580" t="s">
        <v>1767</v>
      </c>
      <c r="H35580" s="21">
        <v>500</v>
      </c>
    </row>
    <row r="35581" spans="1:8" customFormat="1" x14ac:dyDescent="0.25">
      <c r="A35581" t="str">
        <f>"80583"</f>
        <v>80583</v>
      </c>
      <c r="B35581" t="s">
        <v>16113</v>
      </c>
      <c r="C35581" t="s">
        <v>547</v>
      </c>
      <c r="D35581" s="21" t="s">
        <v>34</v>
      </c>
      <c r="E35581" s="21" t="s">
        <v>6185</v>
      </c>
      <c r="F35581">
        <v>7800014</v>
      </c>
      <c r="G35581" t="s">
        <v>9881</v>
      </c>
      <c r="H35581" s="21">
        <v>500</v>
      </c>
    </row>
    <row r="35582" spans="1:8" customFormat="1" x14ac:dyDescent="0.25">
      <c r="A35582" t="str">
        <f>"649395"</f>
        <v>649395</v>
      </c>
      <c r="B35582" t="s">
        <v>205</v>
      </c>
      <c r="C35582" t="s">
        <v>169</v>
      </c>
      <c r="D35582" s="21" t="s">
        <v>34</v>
      </c>
      <c r="E35582" s="21" t="s">
        <v>35</v>
      </c>
      <c r="F35582">
        <v>10640013</v>
      </c>
      <c r="G35582" t="s">
        <v>4626</v>
      </c>
      <c r="H35582" s="21">
        <v>500</v>
      </c>
    </row>
    <row r="35583" spans="1:8" customFormat="1" x14ac:dyDescent="0.25">
      <c r="A35583" t="str">
        <f>"54911"</f>
        <v>54911</v>
      </c>
      <c r="B35583" t="s">
        <v>22982</v>
      </c>
      <c r="C35583" t="s">
        <v>55</v>
      </c>
      <c r="D35583" s="21" t="s">
        <v>34</v>
      </c>
      <c r="E35583" s="21" t="s">
        <v>254</v>
      </c>
      <c r="F35583">
        <v>6540036</v>
      </c>
      <c r="G35583" t="s">
        <v>3612</v>
      </c>
      <c r="H35583" s="21">
        <v>500</v>
      </c>
    </row>
    <row r="35584" spans="1:8" customFormat="1" x14ac:dyDescent="0.25">
      <c r="A35584" t="str">
        <f>"851540"</f>
        <v>851540</v>
      </c>
      <c r="B35584" t="s">
        <v>2315</v>
      </c>
      <c r="C35584" t="s">
        <v>3784</v>
      </c>
      <c r="D35584" s="21" t="s">
        <v>34</v>
      </c>
      <c r="E35584" s="21" t="s">
        <v>1089</v>
      </c>
      <c r="F35584">
        <v>12850148</v>
      </c>
      <c r="G35584" t="s">
        <v>2380</v>
      </c>
      <c r="H35584" s="21">
        <v>500</v>
      </c>
    </row>
    <row r="35585" spans="1:8" customFormat="1" x14ac:dyDescent="0.25">
      <c r="A35585" t="str">
        <f>"7817638"</f>
        <v>7817638</v>
      </c>
      <c r="B35585" t="s">
        <v>3763</v>
      </c>
      <c r="C35585" t="s">
        <v>2520</v>
      </c>
      <c r="D35585" s="21" t="s">
        <v>34</v>
      </c>
      <c r="E35585" s="21" t="s">
        <v>71</v>
      </c>
      <c r="F35585">
        <v>8780632</v>
      </c>
      <c r="G35585" t="s">
        <v>1571</v>
      </c>
      <c r="H35585" s="21">
        <v>500</v>
      </c>
    </row>
    <row r="35586" spans="1:8" customFormat="1" x14ac:dyDescent="0.25">
      <c r="A35586" t="str">
        <f>"407234"</f>
        <v>407234</v>
      </c>
      <c r="B35586" t="s">
        <v>29085</v>
      </c>
      <c r="C35586" t="s">
        <v>249</v>
      </c>
      <c r="D35586" s="21" t="s">
        <v>34</v>
      </c>
      <c r="E35586" s="21" t="s">
        <v>71</v>
      </c>
      <c r="F35586">
        <v>10400013</v>
      </c>
      <c r="G35586" t="s">
        <v>6238</v>
      </c>
      <c r="H35586" s="21">
        <v>500</v>
      </c>
    </row>
    <row r="35587" spans="1:8" customFormat="1" x14ac:dyDescent="0.25">
      <c r="A35587" t="str">
        <f>"8526884"</f>
        <v>8526884</v>
      </c>
      <c r="B35587" t="s">
        <v>13751</v>
      </c>
      <c r="C35587" t="s">
        <v>428</v>
      </c>
      <c r="D35587" s="21" t="s">
        <v>34</v>
      </c>
      <c r="E35587" s="21" t="s">
        <v>71</v>
      </c>
      <c r="F35587">
        <v>12850153</v>
      </c>
      <c r="G35587" t="s">
        <v>5794</v>
      </c>
      <c r="H35587" s="21">
        <v>500</v>
      </c>
    </row>
    <row r="35588" spans="1:8" customFormat="1" x14ac:dyDescent="0.25">
      <c r="A35588" t="str">
        <f>"7879200"</f>
        <v>7879200</v>
      </c>
      <c r="B35588" t="s">
        <v>23607</v>
      </c>
      <c r="C35588" t="s">
        <v>269</v>
      </c>
      <c r="D35588" s="21" t="s">
        <v>34</v>
      </c>
      <c r="E35588" s="21" t="s">
        <v>71</v>
      </c>
      <c r="F35588">
        <v>8781196</v>
      </c>
      <c r="G35588" t="s">
        <v>8007</v>
      </c>
      <c r="H35588" s="21">
        <v>500</v>
      </c>
    </row>
    <row r="35589" spans="1:8" customFormat="1" x14ac:dyDescent="0.25">
      <c r="A35589" t="str">
        <f>"5933300"</f>
        <v>5933300</v>
      </c>
      <c r="B35589" t="s">
        <v>8050</v>
      </c>
      <c r="C35589" t="s">
        <v>267</v>
      </c>
      <c r="D35589" s="21" t="s">
        <v>34</v>
      </c>
      <c r="E35589" s="21" t="s">
        <v>6185</v>
      </c>
      <c r="F35589">
        <v>7590047</v>
      </c>
      <c r="G35589" t="s">
        <v>5788</v>
      </c>
      <c r="H35589" s="21">
        <v>500</v>
      </c>
    </row>
    <row r="35590" spans="1:8" customFormat="1" x14ac:dyDescent="0.25">
      <c r="A35590" t="str">
        <f>"2617879"</f>
        <v>2617879</v>
      </c>
      <c r="B35590" t="s">
        <v>23117</v>
      </c>
      <c r="C35590" t="s">
        <v>18440</v>
      </c>
      <c r="D35590" s="21" t="s">
        <v>34</v>
      </c>
      <c r="E35590" s="21" t="s">
        <v>1089</v>
      </c>
      <c r="F35590">
        <v>1260072</v>
      </c>
      <c r="G35590" t="s">
        <v>12420</v>
      </c>
      <c r="H35590" s="21">
        <v>500</v>
      </c>
    </row>
    <row r="35591" spans="1:8" customFormat="1" x14ac:dyDescent="0.25">
      <c r="A35591" t="str">
        <f>"6232106"</f>
        <v>6232106</v>
      </c>
      <c r="B35591" t="s">
        <v>6253</v>
      </c>
      <c r="C35591" t="s">
        <v>1110</v>
      </c>
      <c r="D35591" s="21" t="s">
        <v>34</v>
      </c>
      <c r="E35591" s="21" t="s">
        <v>71</v>
      </c>
      <c r="F35591">
        <v>7620077</v>
      </c>
      <c r="G35591" t="s">
        <v>4131</v>
      </c>
      <c r="H35591" s="21">
        <v>500</v>
      </c>
    </row>
    <row r="35592" spans="1:8" customFormat="1" x14ac:dyDescent="0.25">
      <c r="A35592" t="str">
        <f>"0618101"</f>
        <v>0618101</v>
      </c>
      <c r="B35592" t="s">
        <v>16757</v>
      </c>
      <c r="C35592" t="s">
        <v>1597</v>
      </c>
      <c r="D35592" s="21" t="s">
        <v>34</v>
      </c>
      <c r="E35592" s="21" t="s">
        <v>1089</v>
      </c>
      <c r="F35592">
        <v>13060005</v>
      </c>
      <c r="G35592" t="s">
        <v>3609</v>
      </c>
      <c r="H35592" s="21">
        <v>500</v>
      </c>
    </row>
    <row r="35593" spans="1:8" customFormat="1" x14ac:dyDescent="0.25">
      <c r="A35593" t="str">
        <f>"4514220"</f>
        <v>4514220</v>
      </c>
      <c r="B35593" t="s">
        <v>23666</v>
      </c>
      <c r="C35593" t="s">
        <v>267</v>
      </c>
      <c r="D35593" s="21" t="s">
        <v>34</v>
      </c>
      <c r="E35593" s="21" t="s">
        <v>254</v>
      </c>
      <c r="F35593">
        <v>4450571</v>
      </c>
      <c r="G35593" t="s">
        <v>188</v>
      </c>
      <c r="H35593" s="21">
        <v>500</v>
      </c>
    </row>
    <row r="35594" spans="1:8" customFormat="1" x14ac:dyDescent="0.25">
      <c r="A35594" t="str">
        <f>"617654"</f>
        <v>617654</v>
      </c>
      <c r="B35594" t="s">
        <v>18426</v>
      </c>
      <c r="C35594" t="s">
        <v>253</v>
      </c>
      <c r="D35594" s="21" t="s">
        <v>34</v>
      </c>
      <c r="E35594" s="21" t="s">
        <v>1089</v>
      </c>
      <c r="F35594">
        <v>9610031</v>
      </c>
      <c r="G35594" t="s">
        <v>1792</v>
      </c>
      <c r="H35594" s="21">
        <v>500</v>
      </c>
    </row>
    <row r="35595" spans="1:8" customFormat="1" x14ac:dyDescent="0.25">
      <c r="A35595" t="str">
        <f>"4529525"</f>
        <v>4529525</v>
      </c>
      <c r="B35595" t="s">
        <v>23663</v>
      </c>
      <c r="C35595" t="s">
        <v>415</v>
      </c>
      <c r="D35595" s="21" t="s">
        <v>34</v>
      </c>
      <c r="E35595" s="21" t="s">
        <v>254</v>
      </c>
      <c r="F35595">
        <v>4450772</v>
      </c>
      <c r="G35595" t="s">
        <v>23664</v>
      </c>
      <c r="H35595" s="21">
        <v>500</v>
      </c>
    </row>
    <row r="35596" spans="1:8" customFormat="1" x14ac:dyDescent="0.25">
      <c r="A35596" t="str">
        <f>"9H792"</f>
        <v>9H792</v>
      </c>
      <c r="B35596" t="s">
        <v>23262</v>
      </c>
      <c r="C35596" t="s">
        <v>23263</v>
      </c>
      <c r="D35596" s="21" t="s">
        <v>34</v>
      </c>
      <c r="E35596" s="21" t="s">
        <v>35</v>
      </c>
      <c r="F35596" t="s">
        <v>23264</v>
      </c>
      <c r="G35596" t="s">
        <v>23265</v>
      </c>
      <c r="H35596" s="21">
        <v>500</v>
      </c>
    </row>
    <row r="35597" spans="1:8" customFormat="1" x14ac:dyDescent="0.25">
      <c r="A35597" t="str">
        <f>"2110593"</f>
        <v>2110593</v>
      </c>
      <c r="B35597" t="s">
        <v>1645</v>
      </c>
      <c r="C35597" t="s">
        <v>239</v>
      </c>
      <c r="D35597" s="21" t="s">
        <v>34</v>
      </c>
      <c r="E35597" s="21" t="s">
        <v>71</v>
      </c>
      <c r="F35597">
        <v>2210088</v>
      </c>
      <c r="G35597" t="s">
        <v>2896</v>
      </c>
      <c r="H35597" s="21">
        <v>500</v>
      </c>
    </row>
    <row r="35598" spans="1:8" customFormat="1" x14ac:dyDescent="0.25">
      <c r="A35598" t="str">
        <f>"3830387"</f>
        <v>3830387</v>
      </c>
      <c r="B35598" t="s">
        <v>22840</v>
      </c>
      <c r="C35598" t="s">
        <v>1665</v>
      </c>
      <c r="D35598" s="21" t="s">
        <v>34</v>
      </c>
      <c r="E35598" s="21" t="s">
        <v>71</v>
      </c>
      <c r="F35598">
        <v>1380005</v>
      </c>
      <c r="G35598" t="s">
        <v>3119</v>
      </c>
      <c r="H35598" s="21">
        <v>500</v>
      </c>
    </row>
    <row r="35599" spans="1:8" customFormat="1" x14ac:dyDescent="0.25">
      <c r="A35599" t="str">
        <f>"929237"</f>
        <v>929237</v>
      </c>
      <c r="B35599" t="s">
        <v>23574</v>
      </c>
      <c r="C35599" t="s">
        <v>1705</v>
      </c>
      <c r="D35599" s="21" t="s">
        <v>34</v>
      </c>
      <c r="E35599" s="21" t="s">
        <v>254</v>
      </c>
      <c r="F35599">
        <v>8920063</v>
      </c>
      <c r="G35599" t="s">
        <v>219</v>
      </c>
      <c r="H35599" s="21">
        <v>500</v>
      </c>
    </row>
    <row r="35600" spans="1:8" customFormat="1" x14ac:dyDescent="0.25">
      <c r="A35600" t="str">
        <f>"472966"</f>
        <v>472966</v>
      </c>
      <c r="B35600" t="s">
        <v>14912</v>
      </c>
      <c r="C35600" t="s">
        <v>453</v>
      </c>
      <c r="D35600" s="21" t="s">
        <v>34</v>
      </c>
      <c r="E35600" s="21" t="s">
        <v>1089</v>
      </c>
      <c r="F35600">
        <v>10470014</v>
      </c>
      <c r="G35600" t="s">
        <v>22811</v>
      </c>
      <c r="H35600" s="21">
        <v>500</v>
      </c>
    </row>
    <row r="35601" spans="1:8" customFormat="1" x14ac:dyDescent="0.25">
      <c r="A35601" t="str">
        <f>"10298"</f>
        <v>10298</v>
      </c>
      <c r="B35601" t="s">
        <v>23505</v>
      </c>
      <c r="C35601" t="s">
        <v>1072</v>
      </c>
      <c r="D35601" s="21" t="s">
        <v>34</v>
      </c>
      <c r="E35601" s="21" t="s">
        <v>6185</v>
      </c>
      <c r="F35601">
        <v>6100015</v>
      </c>
      <c r="G35601" t="s">
        <v>6173</v>
      </c>
      <c r="H35601" s="21">
        <v>500</v>
      </c>
    </row>
    <row r="35602" spans="1:8" customFormat="1" x14ac:dyDescent="0.25">
      <c r="A35602" t="str">
        <f>"7223111"</f>
        <v>7223111</v>
      </c>
      <c r="B35602" t="s">
        <v>7470</v>
      </c>
      <c r="C35602" t="s">
        <v>206</v>
      </c>
      <c r="D35602" s="21" t="s">
        <v>34</v>
      </c>
      <c r="E35602" s="21" t="s">
        <v>35</v>
      </c>
      <c r="F35602">
        <v>12720034</v>
      </c>
      <c r="G35602" t="s">
        <v>4561</v>
      </c>
      <c r="H35602" s="21">
        <v>500</v>
      </c>
    </row>
    <row r="35603" spans="1:8" customFormat="1" x14ac:dyDescent="0.25">
      <c r="A35603" t="str">
        <f>"694045"</f>
        <v>694045</v>
      </c>
      <c r="B35603" t="s">
        <v>3572</v>
      </c>
      <c r="C35603" t="s">
        <v>453</v>
      </c>
      <c r="D35603" s="21" t="s">
        <v>34</v>
      </c>
      <c r="E35603" s="21" t="s">
        <v>1089</v>
      </c>
      <c r="F35603">
        <v>1690027</v>
      </c>
      <c r="G35603" t="s">
        <v>17499</v>
      </c>
      <c r="H35603" s="21">
        <v>500</v>
      </c>
    </row>
    <row r="35604" spans="1:8" customFormat="1" x14ac:dyDescent="0.25">
      <c r="A35604" t="str">
        <f>"7880295"</f>
        <v>7880295</v>
      </c>
      <c r="B35604" t="s">
        <v>1301</v>
      </c>
      <c r="C35604" t="s">
        <v>269</v>
      </c>
      <c r="D35604" s="21" t="s">
        <v>34</v>
      </c>
      <c r="E35604" s="21" t="s">
        <v>71</v>
      </c>
      <c r="F35604">
        <v>8781094</v>
      </c>
      <c r="G35604" t="s">
        <v>7875</v>
      </c>
      <c r="H35604" s="21">
        <v>500</v>
      </c>
    </row>
    <row r="35605" spans="1:8" customFormat="1" x14ac:dyDescent="0.25">
      <c r="A35605" t="str">
        <f>"7732116"</f>
        <v>7732116</v>
      </c>
      <c r="B35605" t="s">
        <v>29086</v>
      </c>
      <c r="C35605" t="s">
        <v>288</v>
      </c>
      <c r="D35605" s="21" t="s">
        <v>34</v>
      </c>
      <c r="E35605" s="21" t="s">
        <v>71</v>
      </c>
      <c r="F35605">
        <v>8771154</v>
      </c>
      <c r="G35605" t="s">
        <v>3625</v>
      </c>
      <c r="H35605" s="21">
        <v>500</v>
      </c>
    </row>
    <row r="35606" spans="1:8" customFormat="1" x14ac:dyDescent="0.25">
      <c r="A35606" t="str">
        <f>"812156"</f>
        <v>812156</v>
      </c>
      <c r="B35606" t="s">
        <v>1737</v>
      </c>
      <c r="C35606" t="s">
        <v>124</v>
      </c>
      <c r="D35606" s="21" t="s">
        <v>34</v>
      </c>
      <c r="E35606" s="21" t="s">
        <v>1089</v>
      </c>
      <c r="F35606">
        <v>11810003</v>
      </c>
      <c r="G35606" t="s">
        <v>1934</v>
      </c>
      <c r="H35606" s="21">
        <v>500</v>
      </c>
    </row>
    <row r="35607" spans="1:8" customFormat="1" x14ac:dyDescent="0.25">
      <c r="A35607" t="str">
        <f>"8529312"</f>
        <v>8529312</v>
      </c>
      <c r="B35607" t="s">
        <v>630</v>
      </c>
      <c r="C35607" t="s">
        <v>62</v>
      </c>
      <c r="D35607" s="21" t="s">
        <v>34</v>
      </c>
      <c r="E35607" s="21" t="s">
        <v>35</v>
      </c>
      <c r="F35607">
        <v>12850030</v>
      </c>
      <c r="G35607" t="s">
        <v>5078</v>
      </c>
      <c r="H35607" s="21">
        <v>500</v>
      </c>
    </row>
    <row r="35608" spans="1:8" customFormat="1" x14ac:dyDescent="0.25">
      <c r="A35608" t="str">
        <f>"9459628"</f>
        <v>9459628</v>
      </c>
      <c r="B35608" t="s">
        <v>29087</v>
      </c>
      <c r="C35608" t="s">
        <v>260</v>
      </c>
      <c r="D35608" s="21" t="s">
        <v>34</v>
      </c>
      <c r="E35608" s="21" t="s">
        <v>35</v>
      </c>
      <c r="F35608">
        <v>8940073</v>
      </c>
      <c r="G35608" t="s">
        <v>1085</v>
      </c>
      <c r="H35608" s="21">
        <v>500</v>
      </c>
    </row>
    <row r="35609" spans="1:8" customFormat="1" x14ac:dyDescent="0.25">
      <c r="A35609" t="str">
        <f>"7717919"</f>
        <v>7717919</v>
      </c>
      <c r="B35609" t="s">
        <v>24271</v>
      </c>
      <c r="C35609" t="s">
        <v>2520</v>
      </c>
      <c r="D35609" s="21" t="s">
        <v>34</v>
      </c>
      <c r="E35609" s="21" t="s">
        <v>254</v>
      </c>
      <c r="F35609">
        <v>8771303</v>
      </c>
      <c r="G35609" t="s">
        <v>13447</v>
      </c>
      <c r="H35609" s="21">
        <v>500</v>
      </c>
    </row>
    <row r="35610" spans="1:8" customFormat="1" x14ac:dyDescent="0.25">
      <c r="A35610" t="str">
        <f>"8525620"</f>
        <v>8525620</v>
      </c>
      <c r="B35610" t="s">
        <v>3179</v>
      </c>
      <c r="C35610" t="s">
        <v>598</v>
      </c>
      <c r="D35610" s="21" t="s">
        <v>34</v>
      </c>
      <c r="E35610" s="21" t="s">
        <v>71</v>
      </c>
      <c r="F35610">
        <v>12850108</v>
      </c>
      <c r="G35610" t="s">
        <v>11093</v>
      </c>
      <c r="H35610" s="21">
        <v>500</v>
      </c>
    </row>
    <row r="35611" spans="1:8" customFormat="1" x14ac:dyDescent="0.25">
      <c r="A35611" t="str">
        <f>"4529526"</f>
        <v>4529526</v>
      </c>
      <c r="B35611" t="s">
        <v>12905</v>
      </c>
      <c r="C35611" t="s">
        <v>453</v>
      </c>
      <c r="D35611" s="21" t="s">
        <v>34</v>
      </c>
      <c r="E35611" s="21" t="s">
        <v>254</v>
      </c>
      <c r="F35611">
        <v>4450772</v>
      </c>
      <c r="G35611" t="s">
        <v>23664</v>
      </c>
      <c r="H35611" s="21">
        <v>500</v>
      </c>
    </row>
    <row r="35612" spans="1:8" customFormat="1" x14ac:dyDescent="0.25">
      <c r="A35612" t="str">
        <f>"9527682"</f>
        <v>9527682</v>
      </c>
      <c r="B35612" t="s">
        <v>23842</v>
      </c>
      <c r="C35612" t="s">
        <v>124</v>
      </c>
      <c r="D35612" s="21" t="s">
        <v>34</v>
      </c>
      <c r="E35612" s="21" t="s">
        <v>254</v>
      </c>
      <c r="F35612">
        <v>8950083</v>
      </c>
      <c r="G35612" t="s">
        <v>405</v>
      </c>
      <c r="H35612" s="21">
        <v>500</v>
      </c>
    </row>
    <row r="35613" spans="1:8" customFormat="1" x14ac:dyDescent="0.25">
      <c r="A35613" t="str">
        <f>"3419768"</f>
        <v>3419768</v>
      </c>
      <c r="B35613" t="s">
        <v>64</v>
      </c>
      <c r="C35613" t="s">
        <v>381</v>
      </c>
      <c r="D35613" s="21" t="s">
        <v>34</v>
      </c>
      <c r="E35613" s="21" t="s">
        <v>1089</v>
      </c>
      <c r="F35613">
        <v>11340061</v>
      </c>
      <c r="G35613" t="s">
        <v>6763</v>
      </c>
      <c r="H35613" s="21">
        <v>500</v>
      </c>
    </row>
    <row r="35614" spans="1:8" customFormat="1" x14ac:dyDescent="0.25">
      <c r="A35614" t="str">
        <f>"4710469"</f>
        <v>4710469</v>
      </c>
      <c r="B35614" t="s">
        <v>23297</v>
      </c>
      <c r="C35614" t="s">
        <v>608</v>
      </c>
      <c r="D35614" s="21" t="s">
        <v>34</v>
      </c>
      <c r="E35614" s="21" t="s">
        <v>254</v>
      </c>
      <c r="F35614">
        <v>10470001</v>
      </c>
      <c r="G35614" t="s">
        <v>391</v>
      </c>
      <c r="H35614" s="21">
        <v>500</v>
      </c>
    </row>
    <row r="35615" spans="1:8" customFormat="1" x14ac:dyDescent="0.25">
      <c r="A35615" t="str">
        <f>"4455662"</f>
        <v>4455662</v>
      </c>
      <c r="B35615" t="s">
        <v>4332</v>
      </c>
      <c r="C35615" t="s">
        <v>263</v>
      </c>
      <c r="D35615" s="21" t="s">
        <v>34</v>
      </c>
      <c r="E35615" s="21" t="s">
        <v>71</v>
      </c>
      <c r="F35615">
        <v>12440021</v>
      </c>
      <c r="G35615" t="s">
        <v>429</v>
      </c>
      <c r="H35615" s="21">
        <v>500</v>
      </c>
    </row>
    <row r="35616" spans="1:8" customFormat="1" x14ac:dyDescent="0.25">
      <c r="A35616" t="str">
        <f>"707195"</f>
        <v>707195</v>
      </c>
      <c r="B35616" t="s">
        <v>791</v>
      </c>
      <c r="C35616" t="s">
        <v>249</v>
      </c>
      <c r="D35616" s="21" t="s">
        <v>34</v>
      </c>
      <c r="E35616" s="21" t="s">
        <v>71</v>
      </c>
      <c r="F35616">
        <v>2700094</v>
      </c>
      <c r="G35616" t="s">
        <v>18448</v>
      </c>
      <c r="H35616" s="21">
        <v>500</v>
      </c>
    </row>
    <row r="35617" spans="1:8" customFormat="1" x14ac:dyDescent="0.25">
      <c r="A35617" t="str">
        <f>"5982862"</f>
        <v>5982862</v>
      </c>
      <c r="B35617" t="s">
        <v>22089</v>
      </c>
      <c r="C35617" t="s">
        <v>263</v>
      </c>
      <c r="D35617" s="21" t="s">
        <v>34</v>
      </c>
      <c r="E35617" s="21" t="s">
        <v>35</v>
      </c>
      <c r="F35617">
        <v>7590411</v>
      </c>
      <c r="G35617" t="s">
        <v>4036</v>
      </c>
      <c r="H35617" s="21">
        <v>500</v>
      </c>
    </row>
    <row r="35618" spans="1:8" customFormat="1" x14ac:dyDescent="0.25">
      <c r="A35618" t="str">
        <f>"7881642"</f>
        <v>7881642</v>
      </c>
      <c r="B35618" t="s">
        <v>29088</v>
      </c>
      <c r="C35618" t="s">
        <v>328</v>
      </c>
      <c r="D35618" s="21" t="s">
        <v>34</v>
      </c>
      <c r="E35618" s="21" t="s">
        <v>35</v>
      </c>
      <c r="F35618">
        <v>8780485</v>
      </c>
      <c r="G35618" t="s">
        <v>1279</v>
      </c>
      <c r="H35618" s="21">
        <v>500</v>
      </c>
    </row>
    <row r="35619" spans="1:8" customFormat="1" x14ac:dyDescent="0.25">
      <c r="A35619" t="str">
        <f>"2937600"</f>
        <v>2937600</v>
      </c>
      <c r="B35619" t="s">
        <v>23454</v>
      </c>
      <c r="C35619" t="s">
        <v>253</v>
      </c>
      <c r="D35619" s="21" t="s">
        <v>34</v>
      </c>
      <c r="E35619" s="21" t="s">
        <v>1089</v>
      </c>
      <c r="F35619">
        <v>3290288</v>
      </c>
      <c r="G35619" t="s">
        <v>23455</v>
      </c>
      <c r="H35619" s="21">
        <v>500</v>
      </c>
    </row>
    <row r="35620" spans="1:8" customFormat="1" x14ac:dyDescent="0.25">
      <c r="A35620" t="str">
        <f>"1613623"</f>
        <v>1613623</v>
      </c>
      <c r="B35620" t="s">
        <v>24369</v>
      </c>
      <c r="C35620" t="s">
        <v>43</v>
      </c>
      <c r="D35620" s="21" t="s">
        <v>34</v>
      </c>
      <c r="E35620" s="21" t="s">
        <v>35</v>
      </c>
      <c r="F35620">
        <v>10160196</v>
      </c>
      <c r="G35620" t="s">
        <v>13348</v>
      </c>
      <c r="H35620" s="21">
        <v>500</v>
      </c>
    </row>
    <row r="35621" spans="1:8" customFormat="1" x14ac:dyDescent="0.25">
      <c r="A35621" t="str">
        <f>"02322"</f>
        <v>02322</v>
      </c>
      <c r="B35621" t="s">
        <v>2459</v>
      </c>
      <c r="C35621" t="s">
        <v>547</v>
      </c>
      <c r="D35621" s="21" t="s">
        <v>34</v>
      </c>
      <c r="E35621" s="21" t="s">
        <v>71</v>
      </c>
      <c r="F35621">
        <v>7020015</v>
      </c>
      <c r="G35621" t="s">
        <v>1289</v>
      </c>
      <c r="H35621" s="21">
        <v>500</v>
      </c>
    </row>
    <row r="35622" spans="1:8" customFormat="1" x14ac:dyDescent="0.25">
      <c r="A35622" t="str">
        <f>"5972223"</f>
        <v>5972223</v>
      </c>
      <c r="B35622" t="s">
        <v>23597</v>
      </c>
      <c r="C35622" t="s">
        <v>1588</v>
      </c>
      <c r="D35622" s="21" t="s">
        <v>34</v>
      </c>
      <c r="E35622" s="21" t="s">
        <v>254</v>
      </c>
      <c r="F35622">
        <v>7590063</v>
      </c>
      <c r="G35622" t="s">
        <v>3426</v>
      </c>
      <c r="H35622" s="21">
        <v>500</v>
      </c>
    </row>
    <row r="35623" spans="1:8" customFormat="1" x14ac:dyDescent="0.25">
      <c r="A35623" t="str">
        <f>"3730095"</f>
        <v>3730095</v>
      </c>
      <c r="B35623" t="s">
        <v>29089</v>
      </c>
      <c r="C35623" t="s">
        <v>40</v>
      </c>
      <c r="D35623" s="21" t="s">
        <v>34</v>
      </c>
      <c r="E35623" s="21" t="s">
        <v>35</v>
      </c>
      <c r="F35623">
        <v>4370269</v>
      </c>
      <c r="G35623" t="s">
        <v>4277</v>
      </c>
      <c r="H35623" s="21">
        <v>500</v>
      </c>
    </row>
    <row r="35624" spans="1:8" customFormat="1" x14ac:dyDescent="0.25">
      <c r="A35624" t="str">
        <f>"2721399"</f>
        <v>2721399</v>
      </c>
      <c r="B35624" t="s">
        <v>15560</v>
      </c>
      <c r="C35624" t="s">
        <v>428</v>
      </c>
      <c r="D35624" s="21" t="s">
        <v>34</v>
      </c>
      <c r="E35624" s="21" t="s">
        <v>71</v>
      </c>
      <c r="F35624">
        <v>9270185</v>
      </c>
      <c r="G35624" t="s">
        <v>9160</v>
      </c>
      <c r="H35624" s="21">
        <v>500</v>
      </c>
    </row>
    <row r="35625" spans="1:8" customFormat="1" x14ac:dyDescent="0.25">
      <c r="A35625" t="str">
        <f>"679356"</f>
        <v>679356</v>
      </c>
      <c r="B35625" t="s">
        <v>22948</v>
      </c>
      <c r="C35625" t="s">
        <v>139</v>
      </c>
      <c r="D35625" s="21" t="s">
        <v>34</v>
      </c>
      <c r="E35625" s="21" t="s">
        <v>35</v>
      </c>
      <c r="F35625">
        <v>6670115</v>
      </c>
      <c r="G35625" t="s">
        <v>3798</v>
      </c>
      <c r="H35625" s="21">
        <v>500</v>
      </c>
    </row>
    <row r="35626" spans="1:8" customFormat="1" x14ac:dyDescent="0.25">
      <c r="A35626" t="str">
        <f>"2911"</f>
        <v>2911</v>
      </c>
      <c r="B35626" t="s">
        <v>14303</v>
      </c>
      <c r="C35626" t="s">
        <v>23348</v>
      </c>
      <c r="D35626" s="21" t="s">
        <v>34</v>
      </c>
      <c r="E35626" s="21" t="s">
        <v>254</v>
      </c>
      <c r="F35626">
        <v>3290202</v>
      </c>
      <c r="G35626" t="s">
        <v>3314</v>
      </c>
      <c r="H35626" s="21">
        <v>500</v>
      </c>
    </row>
    <row r="35627" spans="1:8" customFormat="1" x14ac:dyDescent="0.25">
      <c r="A35627" t="str">
        <f>"2939550"</f>
        <v>2939550</v>
      </c>
      <c r="B35627" t="s">
        <v>26796</v>
      </c>
      <c r="C35627" t="s">
        <v>62</v>
      </c>
      <c r="D35627" s="21" t="s">
        <v>34</v>
      </c>
      <c r="E35627" s="21" t="s">
        <v>35</v>
      </c>
      <c r="F35627">
        <v>3290200</v>
      </c>
      <c r="G35627" t="s">
        <v>3488</v>
      </c>
      <c r="H35627" s="21">
        <v>500</v>
      </c>
    </row>
    <row r="35628" spans="1:8" customFormat="1" x14ac:dyDescent="0.25">
      <c r="A35628" t="str">
        <f>"4455282"</f>
        <v>4455282</v>
      </c>
      <c r="B35628" t="s">
        <v>29090</v>
      </c>
      <c r="C35628" t="s">
        <v>12772</v>
      </c>
      <c r="D35628" s="21" t="s">
        <v>34</v>
      </c>
      <c r="E35628" s="21" t="s">
        <v>35</v>
      </c>
      <c r="F35628">
        <v>12440030</v>
      </c>
      <c r="G35628" t="s">
        <v>5524</v>
      </c>
      <c r="H35628" s="21">
        <v>500</v>
      </c>
    </row>
    <row r="35629" spans="1:8" customFormat="1" x14ac:dyDescent="0.25">
      <c r="A35629" t="str">
        <f>"4937614"</f>
        <v>4937614</v>
      </c>
      <c r="B35629" t="s">
        <v>24074</v>
      </c>
      <c r="C35629" t="s">
        <v>187</v>
      </c>
      <c r="D35629" s="21" t="s">
        <v>34</v>
      </c>
      <c r="E35629" s="21" t="s">
        <v>71</v>
      </c>
      <c r="F35629">
        <v>12490036</v>
      </c>
      <c r="G35629" t="s">
        <v>6557</v>
      </c>
      <c r="H35629" s="21">
        <v>500</v>
      </c>
    </row>
    <row r="35630" spans="1:8" customFormat="1" x14ac:dyDescent="0.25">
      <c r="A35630" t="str">
        <f>"1425784"</f>
        <v>1425784</v>
      </c>
      <c r="B35630" t="s">
        <v>29091</v>
      </c>
      <c r="C35630" t="s">
        <v>2529</v>
      </c>
      <c r="D35630" s="21" t="s">
        <v>34</v>
      </c>
      <c r="E35630" s="21" t="s">
        <v>71</v>
      </c>
      <c r="F35630">
        <v>9140235</v>
      </c>
      <c r="G35630" t="s">
        <v>165</v>
      </c>
      <c r="H35630" s="21">
        <v>500</v>
      </c>
    </row>
    <row r="35631" spans="1:8" customFormat="1" x14ac:dyDescent="0.25">
      <c r="A35631" t="str">
        <f>"6233653"</f>
        <v>6233653</v>
      </c>
      <c r="B35631" t="s">
        <v>29092</v>
      </c>
      <c r="C35631" t="s">
        <v>65</v>
      </c>
      <c r="D35631" s="21" t="s">
        <v>34</v>
      </c>
      <c r="E35631" s="21" t="s">
        <v>35</v>
      </c>
      <c r="F35631">
        <v>7620186</v>
      </c>
      <c r="G35631" t="s">
        <v>28649</v>
      </c>
      <c r="H35631" s="21">
        <v>500</v>
      </c>
    </row>
    <row r="35632" spans="1:8" customFormat="1" x14ac:dyDescent="0.25">
      <c r="A35632" t="str">
        <f>"6724865"</f>
        <v>6724865</v>
      </c>
      <c r="B35632" t="s">
        <v>14711</v>
      </c>
      <c r="C35632" t="s">
        <v>1271</v>
      </c>
      <c r="D35632" s="21" t="s">
        <v>34</v>
      </c>
      <c r="E35632" s="21" t="s">
        <v>71</v>
      </c>
      <c r="F35632">
        <v>6670010</v>
      </c>
      <c r="G35632" t="s">
        <v>721</v>
      </c>
      <c r="H35632" s="21">
        <v>500</v>
      </c>
    </row>
    <row r="35633" spans="1:8" customFormat="1" x14ac:dyDescent="0.25">
      <c r="A35633" t="str">
        <f>"588416"</f>
        <v>588416</v>
      </c>
      <c r="B35633" t="s">
        <v>6856</v>
      </c>
      <c r="C35633" t="s">
        <v>209</v>
      </c>
      <c r="D35633" s="21" t="s">
        <v>34</v>
      </c>
      <c r="E35633" s="21" t="s">
        <v>71</v>
      </c>
      <c r="F35633">
        <v>2580089</v>
      </c>
      <c r="G35633" t="s">
        <v>15805</v>
      </c>
      <c r="H35633" s="21">
        <v>500</v>
      </c>
    </row>
    <row r="35634" spans="1:8" customFormat="1" x14ac:dyDescent="0.25">
      <c r="A35634" t="str">
        <f>"6938444"</f>
        <v>6938444</v>
      </c>
      <c r="B35634" t="s">
        <v>10884</v>
      </c>
      <c r="C35634" t="s">
        <v>169</v>
      </c>
      <c r="D35634" s="21" t="s">
        <v>34</v>
      </c>
      <c r="E35634" s="21" t="s">
        <v>35</v>
      </c>
      <c r="F35634">
        <v>1690181</v>
      </c>
      <c r="G35634" t="s">
        <v>20881</v>
      </c>
      <c r="H35634" s="21">
        <v>500</v>
      </c>
    </row>
    <row r="35635" spans="1:8" customFormat="1" x14ac:dyDescent="0.25">
      <c r="A35635" t="str">
        <f>"7863737"</f>
        <v>7863737</v>
      </c>
      <c r="B35635" t="s">
        <v>23261</v>
      </c>
      <c r="C35635" t="s">
        <v>124</v>
      </c>
      <c r="D35635" s="21" t="s">
        <v>34</v>
      </c>
      <c r="E35635" s="21" t="s">
        <v>71</v>
      </c>
      <c r="F35635">
        <v>8780905</v>
      </c>
      <c r="G35635" t="s">
        <v>1267</v>
      </c>
      <c r="H35635" s="21">
        <v>500</v>
      </c>
    </row>
    <row r="35636" spans="1:8" customFormat="1" x14ac:dyDescent="0.25">
      <c r="A35636" t="str">
        <f>"5967289"</f>
        <v>5967289</v>
      </c>
      <c r="B35636" t="s">
        <v>22471</v>
      </c>
      <c r="C35636" t="s">
        <v>2678</v>
      </c>
      <c r="D35636" s="21" t="s">
        <v>34</v>
      </c>
      <c r="E35636" s="21" t="s">
        <v>35</v>
      </c>
      <c r="F35636">
        <v>7590009</v>
      </c>
      <c r="G35636" t="s">
        <v>535</v>
      </c>
      <c r="H35636" s="21">
        <v>500</v>
      </c>
    </row>
    <row r="35637" spans="1:8" customFormat="1" x14ac:dyDescent="0.25">
      <c r="A35637" t="str">
        <f>"4217175"</f>
        <v>4217175</v>
      </c>
      <c r="B35637" t="s">
        <v>23100</v>
      </c>
      <c r="C35637" t="s">
        <v>3784</v>
      </c>
      <c r="D35637" s="21" t="s">
        <v>34</v>
      </c>
      <c r="E35637" s="21" t="s">
        <v>1089</v>
      </c>
      <c r="F35637">
        <v>1420152</v>
      </c>
      <c r="G35637" t="s">
        <v>2948</v>
      </c>
      <c r="H35637" s="21">
        <v>500</v>
      </c>
    </row>
    <row r="35638" spans="1:8" customFormat="1" x14ac:dyDescent="0.25">
      <c r="A35638" t="str">
        <f>"2515681"</f>
        <v>2515681</v>
      </c>
      <c r="B35638" t="s">
        <v>6916</v>
      </c>
      <c r="C35638" t="s">
        <v>598</v>
      </c>
      <c r="D35638" s="21" t="s">
        <v>34</v>
      </c>
      <c r="E35638" s="21" t="s">
        <v>254</v>
      </c>
      <c r="F35638">
        <v>2250231</v>
      </c>
      <c r="G35638" t="s">
        <v>8994</v>
      </c>
      <c r="H35638" s="21">
        <v>500</v>
      </c>
    </row>
    <row r="35639" spans="1:8" customFormat="1" x14ac:dyDescent="0.25">
      <c r="A35639" t="str">
        <f>"9144222"</f>
        <v>9144222</v>
      </c>
      <c r="B35639" t="s">
        <v>22665</v>
      </c>
      <c r="C35639" t="s">
        <v>151</v>
      </c>
      <c r="D35639" s="21" t="s">
        <v>34</v>
      </c>
      <c r="E35639" s="21" t="s">
        <v>71</v>
      </c>
      <c r="F35639">
        <v>8911206</v>
      </c>
      <c r="G35639" t="s">
        <v>17661</v>
      </c>
      <c r="H35639" s="21">
        <v>500</v>
      </c>
    </row>
    <row r="35640" spans="1:8" customFormat="1" x14ac:dyDescent="0.25">
      <c r="A35640" t="str">
        <f>"649231"</f>
        <v>649231</v>
      </c>
      <c r="B35640" t="s">
        <v>29093</v>
      </c>
      <c r="C35640" t="s">
        <v>62</v>
      </c>
      <c r="D35640" s="21" t="s">
        <v>34</v>
      </c>
      <c r="E35640" s="21" t="s">
        <v>35</v>
      </c>
      <c r="F35640">
        <v>10640017</v>
      </c>
      <c r="G35640" t="s">
        <v>2454</v>
      </c>
      <c r="H35640" s="21">
        <v>500</v>
      </c>
    </row>
    <row r="35641" spans="1:8" customFormat="1" x14ac:dyDescent="0.25">
      <c r="A35641" t="str">
        <f>"88356"</f>
        <v>88356</v>
      </c>
      <c r="B35641" t="s">
        <v>2854</v>
      </c>
      <c r="C35641" t="s">
        <v>1025</v>
      </c>
      <c r="D35641" s="21" t="s">
        <v>34</v>
      </c>
      <c r="E35641" s="21" t="s">
        <v>71</v>
      </c>
      <c r="F35641">
        <v>6880018</v>
      </c>
      <c r="G35641" t="s">
        <v>9046</v>
      </c>
      <c r="H35641" s="21">
        <v>500</v>
      </c>
    </row>
    <row r="35642" spans="1:8" customFormat="1" x14ac:dyDescent="0.25">
      <c r="A35642" t="str">
        <f>"189221"</f>
        <v>189221</v>
      </c>
      <c r="B35642" t="s">
        <v>29094</v>
      </c>
      <c r="C35642" t="s">
        <v>239</v>
      </c>
      <c r="D35642" s="21" t="s">
        <v>34</v>
      </c>
      <c r="E35642" s="21" t="s">
        <v>254</v>
      </c>
      <c r="F35642">
        <v>4180057</v>
      </c>
      <c r="G35642" t="s">
        <v>9021</v>
      </c>
      <c r="H35642" s="21">
        <v>500</v>
      </c>
    </row>
    <row r="35643" spans="1:8" customFormat="1" x14ac:dyDescent="0.25">
      <c r="A35643" t="str">
        <f>"188346"</f>
        <v>188346</v>
      </c>
      <c r="B35643" t="s">
        <v>22935</v>
      </c>
      <c r="C35643" t="s">
        <v>40</v>
      </c>
      <c r="D35643" s="21" t="s">
        <v>34</v>
      </c>
      <c r="E35643" s="21" t="s">
        <v>71</v>
      </c>
      <c r="F35643">
        <v>4180726</v>
      </c>
      <c r="G35643" t="s">
        <v>10998</v>
      </c>
      <c r="H35643" s="21">
        <v>500</v>
      </c>
    </row>
    <row r="35644" spans="1:8" customFormat="1" x14ac:dyDescent="0.25">
      <c r="A35644" t="str">
        <f>"4220559"</f>
        <v>4220559</v>
      </c>
      <c r="B35644" t="s">
        <v>29095</v>
      </c>
      <c r="C35644" t="s">
        <v>124</v>
      </c>
      <c r="D35644" s="21" t="s">
        <v>34</v>
      </c>
      <c r="E35644" s="21" t="s">
        <v>71</v>
      </c>
      <c r="F35644">
        <v>1420070</v>
      </c>
      <c r="G35644" t="s">
        <v>27046</v>
      </c>
      <c r="H35644" s="21">
        <v>500</v>
      </c>
    </row>
    <row r="35645" spans="1:8" customFormat="1" x14ac:dyDescent="0.25">
      <c r="A35645" t="str">
        <f>"6316076"</f>
        <v>6316076</v>
      </c>
      <c r="B35645" t="s">
        <v>7661</v>
      </c>
      <c r="C35645" t="s">
        <v>879</v>
      </c>
      <c r="D35645" s="21" t="s">
        <v>34</v>
      </c>
      <c r="E35645" s="21" t="s">
        <v>254</v>
      </c>
      <c r="F35645">
        <v>1630332</v>
      </c>
      <c r="G35645" t="s">
        <v>27136</v>
      </c>
      <c r="H35645" s="21">
        <v>500</v>
      </c>
    </row>
    <row r="35646" spans="1:8" customFormat="1" x14ac:dyDescent="0.25">
      <c r="A35646" t="str">
        <f>"3013903"</f>
        <v>3013903</v>
      </c>
      <c r="B35646" t="s">
        <v>23591</v>
      </c>
      <c r="C35646" t="s">
        <v>1146</v>
      </c>
      <c r="D35646" s="21" t="s">
        <v>34</v>
      </c>
      <c r="E35646" s="21" t="s">
        <v>71</v>
      </c>
      <c r="F35646">
        <v>11300006</v>
      </c>
      <c r="G35646" t="s">
        <v>23386</v>
      </c>
      <c r="H35646" s="21">
        <v>500</v>
      </c>
    </row>
    <row r="35647" spans="1:8" customFormat="1" x14ac:dyDescent="0.25">
      <c r="A35647" t="str">
        <f>"7522796"</f>
        <v>7522796</v>
      </c>
      <c r="B35647" t="s">
        <v>24011</v>
      </c>
      <c r="C35647" t="s">
        <v>486</v>
      </c>
      <c r="D35647" s="21" t="s">
        <v>34</v>
      </c>
      <c r="E35647" s="21" t="s">
        <v>71</v>
      </c>
      <c r="F35647">
        <v>8751061</v>
      </c>
      <c r="G35647" t="s">
        <v>26628</v>
      </c>
      <c r="H35647" s="21">
        <v>500</v>
      </c>
    </row>
    <row r="35648" spans="1:8" customFormat="1" x14ac:dyDescent="0.25">
      <c r="A35648" t="str">
        <f>"9147323"</f>
        <v>9147323</v>
      </c>
      <c r="B35648" t="s">
        <v>29096</v>
      </c>
      <c r="C35648" t="s">
        <v>293</v>
      </c>
      <c r="D35648" s="21" t="s">
        <v>34</v>
      </c>
      <c r="E35648" s="21" t="s">
        <v>71</v>
      </c>
      <c r="F35648">
        <v>8910652</v>
      </c>
      <c r="G35648" t="s">
        <v>6533</v>
      </c>
      <c r="H35648" s="21">
        <v>500</v>
      </c>
    </row>
    <row r="35649" spans="1:8" customFormat="1" x14ac:dyDescent="0.25">
      <c r="A35649" t="str">
        <f>"7924727"</f>
        <v>7924727</v>
      </c>
      <c r="B35649" t="s">
        <v>22004</v>
      </c>
      <c r="C35649" t="s">
        <v>144</v>
      </c>
      <c r="D35649" s="21" t="s">
        <v>34</v>
      </c>
      <c r="E35649" s="21" t="s">
        <v>71</v>
      </c>
      <c r="F35649">
        <v>10790005</v>
      </c>
      <c r="G35649" t="s">
        <v>1948</v>
      </c>
      <c r="H35649" s="21">
        <v>500</v>
      </c>
    </row>
    <row r="35650" spans="1:8" customFormat="1" x14ac:dyDescent="0.25">
      <c r="A35650" t="str">
        <f>"4442862"</f>
        <v>4442862</v>
      </c>
      <c r="B35650" t="s">
        <v>22000</v>
      </c>
      <c r="C35650" t="s">
        <v>22001</v>
      </c>
      <c r="D35650" s="21" t="s">
        <v>34</v>
      </c>
      <c r="E35650" s="21" t="s">
        <v>35</v>
      </c>
      <c r="F35650">
        <v>7590403</v>
      </c>
      <c r="G35650" t="s">
        <v>2545</v>
      </c>
      <c r="H35650" s="21">
        <v>500</v>
      </c>
    </row>
    <row r="35651" spans="1:8" customFormat="1" x14ac:dyDescent="0.25">
      <c r="A35651" t="str">
        <f>"4110635"</f>
        <v>4110635</v>
      </c>
      <c r="B35651" t="s">
        <v>4669</v>
      </c>
      <c r="C35651" t="s">
        <v>462</v>
      </c>
      <c r="D35651" s="21" t="s">
        <v>34</v>
      </c>
      <c r="E35651" s="21" t="s">
        <v>35</v>
      </c>
      <c r="F35651">
        <v>4410724</v>
      </c>
      <c r="G35651" t="s">
        <v>15872</v>
      </c>
      <c r="H35651" s="21">
        <v>500</v>
      </c>
    </row>
    <row r="35652" spans="1:8" customFormat="1" x14ac:dyDescent="0.25">
      <c r="A35652" t="str">
        <f>"6112826"</f>
        <v>6112826</v>
      </c>
      <c r="B35652" t="s">
        <v>1852</v>
      </c>
      <c r="C35652" t="s">
        <v>206</v>
      </c>
      <c r="D35652" s="21" t="s">
        <v>34</v>
      </c>
      <c r="E35652" s="21" t="s">
        <v>35</v>
      </c>
      <c r="F35652">
        <v>9610148</v>
      </c>
      <c r="G35652" t="s">
        <v>8163</v>
      </c>
      <c r="H35652" s="21">
        <v>500</v>
      </c>
    </row>
    <row r="35653" spans="1:8" customFormat="1" x14ac:dyDescent="0.25">
      <c r="A35653" t="str">
        <f>"9143989"</f>
        <v>9143989</v>
      </c>
      <c r="B35653" t="s">
        <v>22288</v>
      </c>
      <c r="C35653" t="s">
        <v>55</v>
      </c>
      <c r="D35653" s="21" t="s">
        <v>34</v>
      </c>
      <c r="E35653" s="21" t="s">
        <v>71</v>
      </c>
      <c r="F35653">
        <v>8910916</v>
      </c>
      <c r="G35653" t="s">
        <v>2251</v>
      </c>
      <c r="H35653" s="21">
        <v>500</v>
      </c>
    </row>
    <row r="35654" spans="1:8" customFormat="1" x14ac:dyDescent="0.25">
      <c r="A35654" t="str">
        <f>"2219286"</f>
        <v>2219286</v>
      </c>
      <c r="B35654" t="s">
        <v>2954</v>
      </c>
      <c r="C35654" t="s">
        <v>415</v>
      </c>
      <c r="D35654" s="21" t="s">
        <v>34</v>
      </c>
      <c r="E35654" s="21" t="s">
        <v>254</v>
      </c>
      <c r="F35654">
        <v>3220140</v>
      </c>
      <c r="G35654" t="s">
        <v>26656</v>
      </c>
      <c r="H35654" s="21">
        <v>500</v>
      </c>
    </row>
    <row r="35655" spans="1:8" customFormat="1" x14ac:dyDescent="0.25">
      <c r="A35655" t="str">
        <f>"7524465"</f>
        <v>7524465</v>
      </c>
      <c r="B35655" t="s">
        <v>29097</v>
      </c>
      <c r="C35655" t="s">
        <v>124</v>
      </c>
      <c r="D35655" s="21" t="s">
        <v>34</v>
      </c>
      <c r="E35655" s="21" t="s">
        <v>254</v>
      </c>
      <c r="F35655">
        <v>8750249</v>
      </c>
      <c r="G35655" t="s">
        <v>15700</v>
      </c>
      <c r="H35655" s="21">
        <v>500</v>
      </c>
    </row>
    <row r="35656" spans="1:8" customFormat="1" x14ac:dyDescent="0.25">
      <c r="A35656" t="str">
        <f>"324850"</f>
        <v>324850</v>
      </c>
      <c r="B35656" t="s">
        <v>29098</v>
      </c>
      <c r="C35656" t="s">
        <v>1914</v>
      </c>
      <c r="D35656" s="21" t="s">
        <v>34</v>
      </c>
      <c r="E35656" s="21" t="s">
        <v>254</v>
      </c>
      <c r="F35656">
        <v>11320045</v>
      </c>
      <c r="G35656" t="s">
        <v>27117</v>
      </c>
      <c r="H35656" s="21">
        <v>500</v>
      </c>
    </row>
    <row r="35657" spans="1:8" customFormat="1" x14ac:dyDescent="0.25">
      <c r="A35657" t="str">
        <f>"6219603"</f>
        <v>6219603</v>
      </c>
      <c r="B35657" t="s">
        <v>23206</v>
      </c>
      <c r="C35657" t="s">
        <v>124</v>
      </c>
      <c r="D35657" s="21" t="s">
        <v>34</v>
      </c>
      <c r="E35657" s="21" t="s">
        <v>254</v>
      </c>
      <c r="F35657">
        <v>7620067</v>
      </c>
      <c r="G35657" t="s">
        <v>860</v>
      </c>
      <c r="H35657" s="21">
        <v>500</v>
      </c>
    </row>
    <row r="35658" spans="1:8" customFormat="1" x14ac:dyDescent="0.25">
      <c r="A35658" t="str">
        <f>"7732105"</f>
        <v>7732105</v>
      </c>
      <c r="B35658" t="s">
        <v>25794</v>
      </c>
      <c r="C35658" t="s">
        <v>87</v>
      </c>
      <c r="D35658" s="21" t="s">
        <v>34</v>
      </c>
      <c r="E35658" s="21" t="s">
        <v>35</v>
      </c>
      <c r="F35658">
        <v>8771025</v>
      </c>
      <c r="G35658" t="s">
        <v>5469</v>
      </c>
      <c r="H35658" s="21">
        <v>500</v>
      </c>
    </row>
    <row r="35659" spans="1:8" customFormat="1" x14ac:dyDescent="0.25">
      <c r="A35659" t="str">
        <f>"7521174"</f>
        <v>7521174</v>
      </c>
      <c r="B35659" t="s">
        <v>23318</v>
      </c>
      <c r="C35659" t="s">
        <v>55</v>
      </c>
      <c r="D35659" s="21" t="s">
        <v>34</v>
      </c>
      <c r="E35659" s="21" t="s">
        <v>71</v>
      </c>
      <c r="F35659">
        <v>8750141</v>
      </c>
      <c r="G35659" t="s">
        <v>1514</v>
      </c>
      <c r="H35659" s="21">
        <v>500</v>
      </c>
    </row>
    <row r="35660" spans="1:8" customFormat="1" x14ac:dyDescent="0.25">
      <c r="A35660" t="str">
        <f>"6811906"</f>
        <v>6811906</v>
      </c>
      <c r="B35660" t="s">
        <v>11888</v>
      </c>
      <c r="C35660" t="s">
        <v>1271</v>
      </c>
      <c r="D35660" s="21" t="s">
        <v>34</v>
      </c>
      <c r="E35660" s="21" t="s">
        <v>1089</v>
      </c>
      <c r="F35660">
        <v>6680128</v>
      </c>
      <c r="G35660" t="s">
        <v>341</v>
      </c>
      <c r="H35660" s="21">
        <v>500</v>
      </c>
    </row>
    <row r="35661" spans="1:8" customFormat="1" x14ac:dyDescent="0.25">
      <c r="A35661" t="str">
        <f>"6226997"</f>
        <v>6226997</v>
      </c>
      <c r="B35661" t="s">
        <v>19566</v>
      </c>
      <c r="C35661" t="s">
        <v>55</v>
      </c>
      <c r="D35661" s="21" t="s">
        <v>34</v>
      </c>
      <c r="E35661" s="21" t="s">
        <v>35</v>
      </c>
      <c r="F35661">
        <v>7620139</v>
      </c>
      <c r="G35661" t="s">
        <v>2061</v>
      </c>
      <c r="H35661" s="21">
        <v>500</v>
      </c>
    </row>
    <row r="35662" spans="1:8" customFormat="1" x14ac:dyDescent="0.25">
      <c r="A35662" t="str">
        <f>"6227808"</f>
        <v>6227808</v>
      </c>
      <c r="B35662" t="s">
        <v>23656</v>
      </c>
      <c r="C35662" t="s">
        <v>267</v>
      </c>
      <c r="D35662" s="21" t="s">
        <v>34</v>
      </c>
      <c r="E35662" s="21" t="s">
        <v>254</v>
      </c>
      <c r="F35662">
        <v>7620032</v>
      </c>
      <c r="G35662" t="s">
        <v>11181</v>
      </c>
      <c r="H35662" s="21">
        <v>500</v>
      </c>
    </row>
    <row r="35663" spans="1:8" customFormat="1" x14ac:dyDescent="0.25">
      <c r="A35663" t="str">
        <f>"7511058"</f>
        <v>7511058</v>
      </c>
      <c r="B35663" t="s">
        <v>726</v>
      </c>
      <c r="C35663" t="s">
        <v>267</v>
      </c>
      <c r="D35663" s="21" t="s">
        <v>34</v>
      </c>
      <c r="E35663" s="21" t="s">
        <v>1089</v>
      </c>
      <c r="F35663">
        <v>8751445</v>
      </c>
      <c r="G35663" t="s">
        <v>23223</v>
      </c>
      <c r="H35663" s="21">
        <v>500</v>
      </c>
    </row>
    <row r="35664" spans="1:8" customFormat="1" x14ac:dyDescent="0.25">
      <c r="A35664" t="str">
        <f>"091629"</f>
        <v>091629</v>
      </c>
      <c r="B35664" t="s">
        <v>27694</v>
      </c>
      <c r="C35664" t="s">
        <v>288</v>
      </c>
      <c r="D35664" s="21" t="s">
        <v>34</v>
      </c>
      <c r="E35664" s="21" t="s">
        <v>35</v>
      </c>
      <c r="F35664">
        <v>11310011</v>
      </c>
      <c r="G35664" t="s">
        <v>26586</v>
      </c>
      <c r="H35664" s="21">
        <v>500</v>
      </c>
    </row>
    <row r="35665" spans="1:8" customFormat="1" x14ac:dyDescent="0.25">
      <c r="A35665" t="str">
        <f>"2112604"</f>
        <v>2112604</v>
      </c>
      <c r="B35665" t="s">
        <v>15902</v>
      </c>
      <c r="C35665" t="s">
        <v>576</v>
      </c>
      <c r="D35665" s="21" t="s">
        <v>34</v>
      </c>
      <c r="E35665" s="21" t="s">
        <v>35</v>
      </c>
      <c r="F35665">
        <v>2210123</v>
      </c>
      <c r="G35665" t="s">
        <v>11231</v>
      </c>
      <c r="H35665" s="21">
        <v>500</v>
      </c>
    </row>
    <row r="35666" spans="1:8" customFormat="1" x14ac:dyDescent="0.25">
      <c r="A35666" t="str">
        <f>"5413857"</f>
        <v>5413857</v>
      </c>
      <c r="B35666" t="s">
        <v>3660</v>
      </c>
      <c r="C35666" t="s">
        <v>1146</v>
      </c>
      <c r="D35666" s="21" t="s">
        <v>34</v>
      </c>
      <c r="E35666" s="21" t="s">
        <v>254</v>
      </c>
      <c r="F35666">
        <v>6540088</v>
      </c>
      <c r="G35666" t="s">
        <v>2108</v>
      </c>
      <c r="H35666" s="21">
        <v>500</v>
      </c>
    </row>
    <row r="35667" spans="1:8" customFormat="1" x14ac:dyDescent="0.25">
      <c r="A35667" t="str">
        <f>"687389"</f>
        <v>687389</v>
      </c>
      <c r="B35667" t="s">
        <v>1737</v>
      </c>
      <c r="C35667" t="s">
        <v>263</v>
      </c>
      <c r="D35667" s="21" t="s">
        <v>34</v>
      </c>
      <c r="E35667" s="21" t="s">
        <v>71</v>
      </c>
      <c r="F35667">
        <v>6680105</v>
      </c>
      <c r="G35667" t="s">
        <v>403</v>
      </c>
      <c r="H35667" s="21">
        <v>500</v>
      </c>
    </row>
    <row r="35668" spans="1:8" customFormat="1" x14ac:dyDescent="0.25">
      <c r="A35668" t="str">
        <f>"5940436"</f>
        <v>5940436</v>
      </c>
      <c r="B35668" t="s">
        <v>23700</v>
      </c>
      <c r="C35668" t="s">
        <v>40</v>
      </c>
      <c r="D35668" s="21" t="s">
        <v>34</v>
      </c>
      <c r="E35668" s="21" t="s">
        <v>254</v>
      </c>
      <c r="F35668">
        <v>7590003</v>
      </c>
      <c r="G35668" t="s">
        <v>1166</v>
      </c>
      <c r="H35668" s="21">
        <v>500</v>
      </c>
    </row>
    <row r="35669" spans="1:8" customFormat="1" x14ac:dyDescent="0.25">
      <c r="A35669" t="str">
        <f>"6726148"</f>
        <v>6726148</v>
      </c>
      <c r="B35669" t="s">
        <v>73</v>
      </c>
      <c r="C35669" t="s">
        <v>29099</v>
      </c>
      <c r="D35669" s="21" t="s">
        <v>34</v>
      </c>
      <c r="E35669" s="21" t="s">
        <v>35</v>
      </c>
      <c r="F35669">
        <v>6670178</v>
      </c>
      <c r="G35669" t="s">
        <v>10001</v>
      </c>
      <c r="H35669" s="21">
        <v>500</v>
      </c>
    </row>
    <row r="35670" spans="1:8" customFormat="1" x14ac:dyDescent="0.25">
      <c r="A35670" t="str">
        <f>"618050"</f>
        <v>618050</v>
      </c>
      <c r="B35670" t="s">
        <v>14564</v>
      </c>
      <c r="C35670" t="s">
        <v>2546</v>
      </c>
      <c r="D35670" s="21" t="s">
        <v>34</v>
      </c>
      <c r="E35670" s="21" t="s">
        <v>254</v>
      </c>
      <c r="F35670">
        <v>9610087</v>
      </c>
      <c r="G35670" t="s">
        <v>2661</v>
      </c>
      <c r="H35670" s="21">
        <v>500</v>
      </c>
    </row>
    <row r="35671" spans="1:8" customFormat="1" x14ac:dyDescent="0.25">
      <c r="A35671" t="str">
        <f>"5982881"</f>
        <v>5982881</v>
      </c>
      <c r="B35671" t="s">
        <v>28546</v>
      </c>
      <c r="C35671" t="s">
        <v>1196</v>
      </c>
      <c r="D35671" s="21" t="s">
        <v>34</v>
      </c>
      <c r="E35671" s="21" t="s">
        <v>35</v>
      </c>
      <c r="F35671">
        <v>7590170</v>
      </c>
      <c r="G35671" t="s">
        <v>868</v>
      </c>
      <c r="H35671" s="21">
        <v>500</v>
      </c>
    </row>
    <row r="35672" spans="1:8" customFormat="1" x14ac:dyDescent="0.25">
      <c r="A35672" t="str">
        <f>"651084"</f>
        <v>651084</v>
      </c>
      <c r="B35672" t="s">
        <v>10084</v>
      </c>
      <c r="C35672" t="s">
        <v>253</v>
      </c>
      <c r="D35672" s="21" t="s">
        <v>34</v>
      </c>
      <c r="E35672" s="21" t="s">
        <v>1089</v>
      </c>
      <c r="F35672">
        <v>11650018</v>
      </c>
      <c r="G35672" t="s">
        <v>6247</v>
      </c>
      <c r="H35672" s="21">
        <v>500</v>
      </c>
    </row>
    <row r="35673" spans="1:8" customFormat="1" x14ac:dyDescent="0.25">
      <c r="A35673" t="str">
        <f>"9973"</f>
        <v>9973</v>
      </c>
      <c r="B35673" t="s">
        <v>23330</v>
      </c>
      <c r="C35673" t="s">
        <v>453</v>
      </c>
      <c r="D35673" s="21" t="s">
        <v>34</v>
      </c>
      <c r="E35673" s="21" t="s">
        <v>254</v>
      </c>
      <c r="F35673">
        <v>5980004</v>
      </c>
      <c r="G35673" t="s">
        <v>3869</v>
      </c>
      <c r="H35673" s="21">
        <v>500</v>
      </c>
    </row>
    <row r="35674" spans="1:8" customFormat="1" x14ac:dyDescent="0.25">
      <c r="A35674" t="str">
        <f>"032342"</f>
        <v>032342</v>
      </c>
      <c r="B35674" t="s">
        <v>2962</v>
      </c>
      <c r="C35674" t="s">
        <v>412</v>
      </c>
      <c r="D35674" s="21" t="s">
        <v>34</v>
      </c>
      <c r="E35674" s="21" t="s">
        <v>254</v>
      </c>
      <c r="F35674">
        <v>1030227</v>
      </c>
      <c r="G35674" t="s">
        <v>5679</v>
      </c>
      <c r="H35674" s="21">
        <v>500</v>
      </c>
    </row>
    <row r="35675" spans="1:8" customFormat="1" x14ac:dyDescent="0.25">
      <c r="A35675" t="str">
        <f>"4452265"</f>
        <v>4452265</v>
      </c>
      <c r="B35675" t="s">
        <v>29100</v>
      </c>
      <c r="C35675" t="s">
        <v>40</v>
      </c>
      <c r="D35675" s="21" t="s">
        <v>34</v>
      </c>
      <c r="E35675" s="21" t="s">
        <v>71</v>
      </c>
      <c r="F35675">
        <v>12440104</v>
      </c>
      <c r="G35675" t="s">
        <v>5862</v>
      </c>
      <c r="H35675" s="21">
        <v>500</v>
      </c>
    </row>
    <row r="35676" spans="1:8" customFormat="1" x14ac:dyDescent="0.25">
      <c r="A35676" t="str">
        <f>"5726006"</f>
        <v>5726006</v>
      </c>
      <c r="B35676" t="s">
        <v>7992</v>
      </c>
      <c r="C35676" t="s">
        <v>124</v>
      </c>
      <c r="D35676" s="21" t="s">
        <v>34</v>
      </c>
      <c r="E35676" s="21" t="s">
        <v>71</v>
      </c>
      <c r="F35676">
        <v>6570154</v>
      </c>
      <c r="G35676" t="s">
        <v>3935</v>
      </c>
      <c r="H35676" s="21">
        <v>500</v>
      </c>
    </row>
    <row r="35677" spans="1:8" customFormat="1" x14ac:dyDescent="0.25">
      <c r="A35677" t="str">
        <f>"5983459"</f>
        <v>5983459</v>
      </c>
      <c r="B35677" t="s">
        <v>29101</v>
      </c>
      <c r="C35677" t="s">
        <v>11441</v>
      </c>
      <c r="D35677" s="21" t="s">
        <v>34</v>
      </c>
      <c r="E35677" s="21" t="s">
        <v>254</v>
      </c>
      <c r="F35677">
        <v>7590076</v>
      </c>
      <c r="G35677" t="s">
        <v>6662</v>
      </c>
      <c r="H35677" s="21">
        <v>500</v>
      </c>
    </row>
    <row r="35678" spans="1:8" customFormat="1" x14ac:dyDescent="0.25">
      <c r="A35678" t="str">
        <f>"4211219"</f>
        <v>4211219</v>
      </c>
      <c r="B35678" t="s">
        <v>2362</v>
      </c>
      <c r="C35678" t="s">
        <v>285</v>
      </c>
      <c r="D35678" s="21" t="s">
        <v>34</v>
      </c>
      <c r="E35678" s="21" t="s">
        <v>35</v>
      </c>
      <c r="F35678">
        <v>1420080</v>
      </c>
      <c r="G35678" t="s">
        <v>10230</v>
      </c>
      <c r="H35678" s="21">
        <v>500</v>
      </c>
    </row>
    <row r="35679" spans="1:8" customFormat="1" x14ac:dyDescent="0.25">
      <c r="A35679" t="str">
        <f>"9C946"</f>
        <v>9C946</v>
      </c>
      <c r="B35679" t="s">
        <v>23335</v>
      </c>
      <c r="C35679" t="s">
        <v>7905</v>
      </c>
      <c r="D35679" s="21" t="s">
        <v>34</v>
      </c>
      <c r="E35679" s="21" t="s">
        <v>35</v>
      </c>
      <c r="F35679" t="s">
        <v>23336</v>
      </c>
      <c r="G35679" t="s">
        <v>23337</v>
      </c>
      <c r="H35679" s="21">
        <v>500</v>
      </c>
    </row>
    <row r="35680" spans="1:8" customFormat="1" x14ac:dyDescent="0.25">
      <c r="A35680" t="str">
        <f>"3119841"</f>
        <v>3119841</v>
      </c>
      <c r="B35680" t="s">
        <v>29102</v>
      </c>
      <c r="C35680" t="s">
        <v>1559</v>
      </c>
      <c r="D35680" s="21" t="s">
        <v>34</v>
      </c>
      <c r="E35680" s="21" t="s">
        <v>35</v>
      </c>
      <c r="F35680">
        <v>11310011</v>
      </c>
      <c r="G35680" t="s">
        <v>26586</v>
      </c>
      <c r="H35680" s="21">
        <v>500</v>
      </c>
    </row>
    <row r="35681" spans="1:8" customFormat="1" x14ac:dyDescent="0.25">
      <c r="A35681" t="str">
        <f>"106863"</f>
        <v>106863</v>
      </c>
      <c r="B35681" t="s">
        <v>22645</v>
      </c>
      <c r="C35681" t="s">
        <v>2276</v>
      </c>
      <c r="D35681" s="21" t="s">
        <v>34</v>
      </c>
      <c r="E35681" s="21" t="s">
        <v>71</v>
      </c>
      <c r="F35681">
        <v>6100017</v>
      </c>
      <c r="G35681" t="s">
        <v>11694</v>
      </c>
      <c r="H35681" s="21">
        <v>500</v>
      </c>
    </row>
    <row r="35682" spans="1:8" customFormat="1" x14ac:dyDescent="0.25">
      <c r="A35682" t="str">
        <f>"5621477"</f>
        <v>5621477</v>
      </c>
      <c r="B35682" t="s">
        <v>8086</v>
      </c>
      <c r="C35682" t="s">
        <v>139</v>
      </c>
      <c r="D35682" s="21" t="s">
        <v>34</v>
      </c>
      <c r="E35682" s="21" t="s">
        <v>35</v>
      </c>
      <c r="F35682">
        <v>3560066</v>
      </c>
      <c r="G35682" t="s">
        <v>1156</v>
      </c>
      <c r="H35682" s="21">
        <v>500</v>
      </c>
    </row>
    <row r="35683" spans="1:8" customFormat="1" x14ac:dyDescent="0.25">
      <c r="A35683" t="str">
        <f>"9146814"</f>
        <v>9146814</v>
      </c>
      <c r="B35683" t="s">
        <v>29103</v>
      </c>
      <c r="C35683" t="s">
        <v>147</v>
      </c>
      <c r="D35683" s="21" t="s">
        <v>34</v>
      </c>
      <c r="E35683" s="21" t="s">
        <v>35</v>
      </c>
      <c r="F35683">
        <v>8910442</v>
      </c>
      <c r="G35683" t="s">
        <v>1336</v>
      </c>
      <c r="H35683" s="21">
        <v>500</v>
      </c>
    </row>
    <row r="35684" spans="1:8" customFormat="1" x14ac:dyDescent="0.25">
      <c r="A35684" t="str">
        <f>"50633"</f>
        <v>50633</v>
      </c>
      <c r="B35684" t="s">
        <v>23475</v>
      </c>
      <c r="C35684" t="s">
        <v>236</v>
      </c>
      <c r="D35684" s="21" t="s">
        <v>34</v>
      </c>
      <c r="E35684" s="21" t="s">
        <v>254</v>
      </c>
      <c r="F35684">
        <v>9500130</v>
      </c>
      <c r="G35684" t="s">
        <v>5326</v>
      </c>
      <c r="H35684" s="21">
        <v>500</v>
      </c>
    </row>
    <row r="35685" spans="1:8" customFormat="1" x14ac:dyDescent="0.25">
      <c r="A35685" t="str">
        <f>"76797"</f>
        <v>76797</v>
      </c>
      <c r="B35685" t="s">
        <v>23523</v>
      </c>
      <c r="C35685" t="s">
        <v>453</v>
      </c>
      <c r="D35685" s="21" t="s">
        <v>34</v>
      </c>
      <c r="E35685" s="21" t="s">
        <v>1089</v>
      </c>
      <c r="F35685">
        <v>9760036</v>
      </c>
      <c r="G35685" t="s">
        <v>279</v>
      </c>
      <c r="H35685" s="21">
        <v>500</v>
      </c>
    </row>
    <row r="35686" spans="1:8" customFormat="1" x14ac:dyDescent="0.25">
      <c r="A35686" t="str">
        <f>"9145135"</f>
        <v>9145135</v>
      </c>
      <c r="B35686" t="s">
        <v>1367</v>
      </c>
      <c r="C35686" t="s">
        <v>198</v>
      </c>
      <c r="D35686" s="21" t="s">
        <v>34</v>
      </c>
      <c r="E35686" s="21" t="s">
        <v>71</v>
      </c>
      <c r="F35686">
        <v>8911379</v>
      </c>
      <c r="G35686" t="s">
        <v>8430</v>
      </c>
      <c r="H35686" s="21">
        <v>500</v>
      </c>
    </row>
    <row r="35687" spans="1:8" customFormat="1" x14ac:dyDescent="0.25">
      <c r="A35687" t="str">
        <f>"7732356"</f>
        <v>7732356</v>
      </c>
      <c r="B35687" t="s">
        <v>29104</v>
      </c>
      <c r="C35687" t="s">
        <v>412</v>
      </c>
      <c r="D35687" s="21" t="s">
        <v>34</v>
      </c>
      <c r="E35687" s="21" t="s">
        <v>254</v>
      </c>
      <c r="F35687">
        <v>8770988</v>
      </c>
      <c r="G35687" t="s">
        <v>6334</v>
      </c>
      <c r="H35687" s="21">
        <v>500</v>
      </c>
    </row>
    <row r="35688" spans="1:8" customFormat="1" x14ac:dyDescent="0.25">
      <c r="A35688" t="str">
        <f>"461129"</f>
        <v>461129</v>
      </c>
      <c r="B35688" t="s">
        <v>2189</v>
      </c>
      <c r="C35688" t="s">
        <v>1697</v>
      </c>
      <c r="D35688" s="21" t="s">
        <v>34</v>
      </c>
      <c r="E35688" s="21" t="s">
        <v>35</v>
      </c>
      <c r="F35688">
        <v>11460012</v>
      </c>
      <c r="G35688" t="s">
        <v>5929</v>
      </c>
      <c r="H35688" s="21">
        <v>500</v>
      </c>
    </row>
    <row r="35689" spans="1:8" customFormat="1" x14ac:dyDescent="0.25">
      <c r="A35689" t="str">
        <f>"7524505"</f>
        <v>7524505</v>
      </c>
      <c r="B35689" t="s">
        <v>208</v>
      </c>
      <c r="C35689" t="s">
        <v>82</v>
      </c>
      <c r="D35689" s="21" t="s">
        <v>34</v>
      </c>
      <c r="E35689" s="21" t="s">
        <v>35</v>
      </c>
      <c r="F35689">
        <v>8751271</v>
      </c>
      <c r="G35689" t="s">
        <v>1067</v>
      </c>
      <c r="H35689" s="21">
        <v>500</v>
      </c>
    </row>
    <row r="35690" spans="1:8" customFormat="1" x14ac:dyDescent="0.25">
      <c r="A35690" t="str">
        <f>"792013"</f>
        <v>792013</v>
      </c>
      <c r="B35690" t="s">
        <v>10937</v>
      </c>
      <c r="C35690" t="s">
        <v>198</v>
      </c>
      <c r="D35690" s="21" t="s">
        <v>34</v>
      </c>
      <c r="E35690" s="21" t="s">
        <v>254</v>
      </c>
      <c r="F35690">
        <v>10160003</v>
      </c>
      <c r="G35690" t="s">
        <v>4692</v>
      </c>
      <c r="H35690" s="21">
        <v>500</v>
      </c>
    </row>
    <row r="35691" spans="1:8" customFormat="1" x14ac:dyDescent="0.25">
      <c r="A35691" t="str">
        <f>"8528973"</f>
        <v>8528973</v>
      </c>
      <c r="B35691" t="s">
        <v>29105</v>
      </c>
      <c r="C35691" t="s">
        <v>20491</v>
      </c>
      <c r="D35691" s="21" t="s">
        <v>34</v>
      </c>
      <c r="E35691" s="21" t="s">
        <v>35</v>
      </c>
      <c r="F35691">
        <v>12850016</v>
      </c>
      <c r="G35691" t="s">
        <v>26554</v>
      </c>
      <c r="H35691" s="21">
        <v>500</v>
      </c>
    </row>
    <row r="35692" spans="1:8" customFormat="1" x14ac:dyDescent="0.25">
      <c r="A35692" t="str">
        <f>"3345131"</f>
        <v>3345131</v>
      </c>
      <c r="B35692" t="s">
        <v>29106</v>
      </c>
      <c r="C35692" t="s">
        <v>60</v>
      </c>
      <c r="D35692" s="21" t="s">
        <v>34</v>
      </c>
      <c r="E35692" s="21" t="s">
        <v>35</v>
      </c>
      <c r="F35692">
        <v>10330086</v>
      </c>
      <c r="G35692" t="s">
        <v>785</v>
      </c>
      <c r="H35692" s="21">
        <v>500</v>
      </c>
    </row>
    <row r="35693" spans="1:8" customFormat="1" x14ac:dyDescent="0.25">
      <c r="A35693" t="str">
        <f>"5971961"</f>
        <v>5971961</v>
      </c>
      <c r="B35693" t="s">
        <v>2920</v>
      </c>
      <c r="C35693" t="s">
        <v>2479</v>
      </c>
      <c r="D35693" s="21" t="s">
        <v>34</v>
      </c>
      <c r="E35693" s="21" t="s">
        <v>1089</v>
      </c>
      <c r="F35693">
        <v>7590416</v>
      </c>
      <c r="G35693" t="s">
        <v>16746</v>
      </c>
      <c r="H35693" s="21">
        <v>500</v>
      </c>
    </row>
    <row r="35694" spans="1:8" customFormat="1" x14ac:dyDescent="0.25">
      <c r="A35694" t="str">
        <f>"5939150"</f>
        <v>5939150</v>
      </c>
      <c r="B35694" t="s">
        <v>23469</v>
      </c>
      <c r="C35694" t="s">
        <v>23470</v>
      </c>
      <c r="D35694" s="21" t="s">
        <v>34</v>
      </c>
      <c r="E35694" s="21" t="s">
        <v>1089</v>
      </c>
      <c r="F35694">
        <v>7590068</v>
      </c>
      <c r="G35694" t="s">
        <v>1005</v>
      </c>
      <c r="H35694" s="21">
        <v>500</v>
      </c>
    </row>
    <row r="35695" spans="1:8" customFormat="1" x14ac:dyDescent="0.25">
      <c r="A35695" t="str">
        <f>"8529178"</f>
        <v>8529178</v>
      </c>
      <c r="B35695" t="s">
        <v>10334</v>
      </c>
      <c r="C35695" t="s">
        <v>55</v>
      </c>
      <c r="D35695" s="21" t="s">
        <v>34</v>
      </c>
      <c r="E35695" s="21" t="s">
        <v>35</v>
      </c>
      <c r="F35695">
        <v>12850001</v>
      </c>
      <c r="G35695" t="s">
        <v>1197</v>
      </c>
      <c r="H35695" s="21">
        <v>500</v>
      </c>
    </row>
    <row r="35696" spans="1:8" customFormat="1" x14ac:dyDescent="0.25">
      <c r="A35696" t="str">
        <f>"3346125"</f>
        <v>3346125</v>
      </c>
      <c r="B35696" t="s">
        <v>29107</v>
      </c>
      <c r="C35696" t="s">
        <v>631</v>
      </c>
      <c r="D35696" s="21" t="s">
        <v>34</v>
      </c>
      <c r="E35696" s="21" t="s">
        <v>35</v>
      </c>
      <c r="F35696">
        <v>10330073</v>
      </c>
      <c r="G35696" t="s">
        <v>18352</v>
      </c>
      <c r="H35696" s="21">
        <v>500</v>
      </c>
    </row>
    <row r="35697" spans="1:8" customFormat="1" x14ac:dyDescent="0.25">
      <c r="A35697" t="str">
        <f>"3530458"</f>
        <v>3530458</v>
      </c>
      <c r="B35697" t="s">
        <v>2772</v>
      </c>
      <c r="C35697" t="s">
        <v>379</v>
      </c>
      <c r="D35697" s="21" t="s">
        <v>34</v>
      </c>
      <c r="E35697" s="21" t="s">
        <v>254</v>
      </c>
      <c r="F35697">
        <v>3350136</v>
      </c>
      <c r="G35697" t="s">
        <v>2773</v>
      </c>
      <c r="H35697" s="21">
        <v>500</v>
      </c>
    </row>
    <row r="35698" spans="1:8" customFormat="1" x14ac:dyDescent="0.25">
      <c r="A35698" t="str">
        <f>"5732459"</f>
        <v>5732459</v>
      </c>
      <c r="B35698" t="s">
        <v>9251</v>
      </c>
      <c r="C35698" t="s">
        <v>209</v>
      </c>
      <c r="D35698" s="21" t="s">
        <v>34</v>
      </c>
      <c r="E35698" s="21" t="s">
        <v>35</v>
      </c>
      <c r="F35698">
        <v>6570199</v>
      </c>
      <c r="G35698" t="s">
        <v>5711</v>
      </c>
      <c r="H35698" s="21">
        <v>500</v>
      </c>
    </row>
    <row r="35699" spans="1:8" customFormat="1" x14ac:dyDescent="0.25">
      <c r="A35699" t="str">
        <f>"6212051"</f>
        <v>6212051</v>
      </c>
      <c r="B35699" t="s">
        <v>22845</v>
      </c>
      <c r="C35699" t="s">
        <v>3905</v>
      </c>
      <c r="D35699" s="21" t="s">
        <v>34</v>
      </c>
      <c r="E35699" s="21" t="s">
        <v>1089</v>
      </c>
      <c r="F35699">
        <v>7620181</v>
      </c>
      <c r="G35699" t="s">
        <v>2268</v>
      </c>
      <c r="H35699" s="21">
        <v>500</v>
      </c>
    </row>
    <row r="35700" spans="1:8" customFormat="1" x14ac:dyDescent="0.25">
      <c r="A35700" t="str">
        <f>"3538007"</f>
        <v>3538007</v>
      </c>
      <c r="B35700" t="s">
        <v>29108</v>
      </c>
      <c r="C35700" t="s">
        <v>239</v>
      </c>
      <c r="D35700" s="21" t="s">
        <v>34</v>
      </c>
      <c r="E35700" s="21" t="s">
        <v>71</v>
      </c>
      <c r="F35700">
        <v>3350102</v>
      </c>
      <c r="G35700" t="s">
        <v>4942</v>
      </c>
      <c r="H35700" s="21">
        <v>500</v>
      </c>
    </row>
    <row r="35701" spans="1:8" customFormat="1" x14ac:dyDescent="0.25">
      <c r="A35701" t="str">
        <f>"772482"</f>
        <v>772482</v>
      </c>
      <c r="B35701" t="s">
        <v>23542</v>
      </c>
      <c r="C35701" t="s">
        <v>211</v>
      </c>
      <c r="D35701" s="21" t="s">
        <v>34</v>
      </c>
      <c r="E35701" s="21" t="s">
        <v>1089</v>
      </c>
      <c r="F35701">
        <v>8771202</v>
      </c>
      <c r="G35701" t="s">
        <v>10223</v>
      </c>
      <c r="H35701" s="21">
        <v>500</v>
      </c>
    </row>
    <row r="35702" spans="1:8" customFormat="1" x14ac:dyDescent="0.25">
      <c r="A35702" t="str">
        <f>"899184"</f>
        <v>899184</v>
      </c>
      <c r="B35702" t="s">
        <v>23251</v>
      </c>
      <c r="C35702" t="s">
        <v>55</v>
      </c>
      <c r="D35702" s="21" t="s">
        <v>34</v>
      </c>
      <c r="E35702" s="21" t="s">
        <v>35</v>
      </c>
      <c r="F35702">
        <v>2890019</v>
      </c>
      <c r="G35702" t="s">
        <v>1857</v>
      </c>
      <c r="H35702" s="21">
        <v>500</v>
      </c>
    </row>
    <row r="35703" spans="1:8" customFormat="1" x14ac:dyDescent="0.25">
      <c r="A35703" t="str">
        <f>"1311547"</f>
        <v>1311547</v>
      </c>
      <c r="B35703" t="s">
        <v>1081</v>
      </c>
      <c r="C35703" t="s">
        <v>209</v>
      </c>
      <c r="D35703" s="21" t="s">
        <v>34</v>
      </c>
      <c r="E35703" s="21" t="s">
        <v>254</v>
      </c>
      <c r="F35703">
        <v>13130145</v>
      </c>
      <c r="G35703" t="s">
        <v>21547</v>
      </c>
      <c r="H35703" s="21">
        <v>500</v>
      </c>
    </row>
    <row r="35704" spans="1:8" customFormat="1" x14ac:dyDescent="0.25">
      <c r="A35704" t="str">
        <f>"123102"</f>
        <v>123102</v>
      </c>
      <c r="B35704" t="s">
        <v>24247</v>
      </c>
      <c r="C35704" t="s">
        <v>267</v>
      </c>
      <c r="D35704" s="21" t="s">
        <v>34</v>
      </c>
      <c r="E35704" s="21" t="s">
        <v>71</v>
      </c>
      <c r="F35704">
        <v>11120040</v>
      </c>
      <c r="G35704" t="s">
        <v>13830</v>
      </c>
      <c r="H35704" s="21">
        <v>500</v>
      </c>
    </row>
    <row r="35705" spans="1:8" customFormat="1" x14ac:dyDescent="0.25">
      <c r="A35705" t="str">
        <f>"1319924"</f>
        <v>1319924</v>
      </c>
      <c r="B35705" t="s">
        <v>679</v>
      </c>
      <c r="C35705" t="s">
        <v>87</v>
      </c>
      <c r="D35705" s="21" t="s">
        <v>34</v>
      </c>
      <c r="E35705" s="21" t="s">
        <v>35</v>
      </c>
      <c r="F35705">
        <v>13130146</v>
      </c>
      <c r="G35705" t="s">
        <v>2471</v>
      </c>
      <c r="H35705" s="21">
        <v>500</v>
      </c>
    </row>
    <row r="35706" spans="1:8" customFormat="1" x14ac:dyDescent="0.25">
      <c r="A35706" t="str">
        <f>"7877698"</f>
        <v>7877698</v>
      </c>
      <c r="B35706" t="s">
        <v>29109</v>
      </c>
      <c r="C35706" t="s">
        <v>169</v>
      </c>
      <c r="D35706" s="21" t="s">
        <v>34</v>
      </c>
      <c r="E35706" s="21" t="s">
        <v>71</v>
      </c>
      <c r="F35706">
        <v>8780892</v>
      </c>
      <c r="G35706" t="s">
        <v>3021</v>
      </c>
      <c r="H35706" s="21">
        <v>500</v>
      </c>
    </row>
    <row r="35707" spans="1:8" customFormat="1" x14ac:dyDescent="0.25">
      <c r="A35707" t="str">
        <f>"339440"</f>
        <v>339440</v>
      </c>
      <c r="B35707" t="s">
        <v>463</v>
      </c>
      <c r="C35707" t="s">
        <v>87</v>
      </c>
      <c r="D35707" s="21" t="s">
        <v>34</v>
      </c>
      <c r="E35707" s="21" t="s">
        <v>71</v>
      </c>
      <c r="F35707">
        <v>4280038</v>
      </c>
      <c r="G35707" t="s">
        <v>2526</v>
      </c>
      <c r="H35707" s="21">
        <v>500</v>
      </c>
    </row>
    <row r="35708" spans="1:8" customFormat="1" x14ac:dyDescent="0.25">
      <c r="A35708" t="str">
        <f>"9137687"</f>
        <v>9137687</v>
      </c>
      <c r="B35708" t="s">
        <v>22673</v>
      </c>
      <c r="C35708" t="s">
        <v>209</v>
      </c>
      <c r="D35708" s="21" t="s">
        <v>34</v>
      </c>
      <c r="E35708" s="21" t="s">
        <v>254</v>
      </c>
      <c r="F35708">
        <v>8910285</v>
      </c>
      <c r="G35708" t="s">
        <v>26604</v>
      </c>
      <c r="H35708" s="21">
        <v>500</v>
      </c>
    </row>
    <row r="35709" spans="1:8" customFormat="1" x14ac:dyDescent="0.25">
      <c r="A35709" t="str">
        <f>"9E943"</f>
        <v>9E943</v>
      </c>
      <c r="B35709" t="s">
        <v>23705</v>
      </c>
      <c r="C35709" t="s">
        <v>23706</v>
      </c>
      <c r="D35709" s="21" t="s">
        <v>34</v>
      </c>
      <c r="E35709" s="21" t="s">
        <v>35</v>
      </c>
      <c r="F35709" s="24" t="s">
        <v>13124</v>
      </c>
      <c r="G35709" t="s">
        <v>13125</v>
      </c>
      <c r="H35709" s="21">
        <v>500</v>
      </c>
    </row>
    <row r="35710" spans="1:8" customFormat="1" x14ac:dyDescent="0.25">
      <c r="A35710" t="str">
        <f>"6111846"</f>
        <v>6111846</v>
      </c>
      <c r="B35710" t="s">
        <v>15450</v>
      </c>
      <c r="C35710" t="s">
        <v>267</v>
      </c>
      <c r="D35710" s="21" t="s">
        <v>34</v>
      </c>
      <c r="E35710" s="21" t="s">
        <v>71</v>
      </c>
      <c r="F35710">
        <v>9610073</v>
      </c>
      <c r="G35710" t="s">
        <v>8382</v>
      </c>
      <c r="H35710" s="21">
        <v>500</v>
      </c>
    </row>
    <row r="35711" spans="1:8" customFormat="1" x14ac:dyDescent="0.25">
      <c r="A35711" t="str">
        <f>"3528672"</f>
        <v>3528672</v>
      </c>
      <c r="B35711" t="s">
        <v>23218</v>
      </c>
      <c r="C35711" t="s">
        <v>598</v>
      </c>
      <c r="D35711" s="21" t="s">
        <v>34</v>
      </c>
      <c r="E35711" s="21" t="s">
        <v>71</v>
      </c>
      <c r="F35711">
        <v>3350066</v>
      </c>
      <c r="G35711" t="s">
        <v>10650</v>
      </c>
      <c r="H35711" s="21">
        <v>500</v>
      </c>
    </row>
    <row r="35712" spans="1:8" customFormat="1" x14ac:dyDescent="0.25">
      <c r="A35712" t="str">
        <f>"578211"</f>
        <v>578211</v>
      </c>
      <c r="B35712" t="s">
        <v>11984</v>
      </c>
      <c r="C35712" t="s">
        <v>598</v>
      </c>
      <c r="D35712" s="21" t="s">
        <v>34</v>
      </c>
      <c r="E35712" s="21" t="s">
        <v>254</v>
      </c>
      <c r="F35712">
        <v>6570015</v>
      </c>
      <c r="G35712" t="s">
        <v>749</v>
      </c>
      <c r="H35712" s="21">
        <v>500</v>
      </c>
    </row>
    <row r="35713" spans="1:8" customFormat="1" x14ac:dyDescent="0.25">
      <c r="A35713" t="str">
        <f>"9227940"</f>
        <v>9227940</v>
      </c>
      <c r="B35713" t="s">
        <v>24559</v>
      </c>
      <c r="C35713" t="s">
        <v>55</v>
      </c>
      <c r="D35713" s="21" t="s">
        <v>34</v>
      </c>
      <c r="E35713" s="21" t="s">
        <v>6185</v>
      </c>
      <c r="F35713">
        <v>8920111</v>
      </c>
      <c r="G35713" t="s">
        <v>1064</v>
      </c>
      <c r="H35713" s="21">
        <v>500</v>
      </c>
    </row>
    <row r="35714" spans="1:8" customFormat="1" x14ac:dyDescent="0.25">
      <c r="A35714" t="str">
        <f>"021685"</f>
        <v>021685</v>
      </c>
      <c r="B35714" t="s">
        <v>4904</v>
      </c>
      <c r="C35714" t="s">
        <v>233</v>
      </c>
      <c r="D35714" s="21" t="s">
        <v>34</v>
      </c>
      <c r="E35714" s="21" t="s">
        <v>254</v>
      </c>
      <c r="F35714">
        <v>7020015</v>
      </c>
      <c r="G35714" t="s">
        <v>1289</v>
      </c>
      <c r="H35714" s="21">
        <v>500</v>
      </c>
    </row>
    <row r="35715" spans="1:8" customFormat="1" x14ac:dyDescent="0.25">
      <c r="A35715" t="str">
        <f>"453136"</f>
        <v>453136</v>
      </c>
      <c r="B35715" t="s">
        <v>1295</v>
      </c>
      <c r="C35715" t="s">
        <v>484</v>
      </c>
      <c r="D35715" s="21" t="s">
        <v>34</v>
      </c>
      <c r="E35715" s="21" t="s">
        <v>71</v>
      </c>
      <c r="F35715">
        <v>4450187</v>
      </c>
      <c r="G35715" t="s">
        <v>29110</v>
      </c>
      <c r="H35715" s="21">
        <v>500</v>
      </c>
    </row>
    <row r="35716" spans="1:8" customFormat="1" x14ac:dyDescent="0.25">
      <c r="A35716" t="str">
        <f>"404650"</f>
        <v>404650</v>
      </c>
      <c r="B35716" t="s">
        <v>2192</v>
      </c>
      <c r="C35716" t="s">
        <v>2546</v>
      </c>
      <c r="D35716" s="21" t="s">
        <v>34</v>
      </c>
      <c r="E35716" s="21" t="s">
        <v>1089</v>
      </c>
      <c r="F35716">
        <v>10400025</v>
      </c>
      <c r="G35716" t="s">
        <v>5655</v>
      </c>
      <c r="H35716" s="21">
        <v>500</v>
      </c>
    </row>
    <row r="35717" spans="1:8" customFormat="1" x14ac:dyDescent="0.25">
      <c r="A35717" t="str">
        <f>"104539"</f>
        <v>104539</v>
      </c>
      <c r="B35717" t="s">
        <v>23727</v>
      </c>
      <c r="C35717" t="s">
        <v>1705</v>
      </c>
      <c r="D35717" s="21" t="s">
        <v>34</v>
      </c>
      <c r="E35717" s="21" t="s">
        <v>254</v>
      </c>
      <c r="F35717">
        <v>6100017</v>
      </c>
      <c r="G35717" t="s">
        <v>11694</v>
      </c>
      <c r="H35717" s="21">
        <v>500</v>
      </c>
    </row>
    <row r="35718" spans="1:8" customFormat="1" x14ac:dyDescent="0.25">
      <c r="A35718" t="str">
        <f>"6931460"</f>
        <v>6931460</v>
      </c>
      <c r="B35718" t="s">
        <v>8201</v>
      </c>
      <c r="C35718" t="s">
        <v>25035</v>
      </c>
      <c r="D35718" s="21" t="s">
        <v>34</v>
      </c>
      <c r="E35718" s="21" t="s">
        <v>254</v>
      </c>
      <c r="F35718">
        <v>1690112</v>
      </c>
      <c r="G35718" t="s">
        <v>4084</v>
      </c>
      <c r="H35718" s="21">
        <v>500</v>
      </c>
    </row>
    <row r="35719" spans="1:8" customFormat="1" x14ac:dyDescent="0.25">
      <c r="A35719" t="str">
        <f>"3826890"</f>
        <v>3826890</v>
      </c>
      <c r="B35719" t="s">
        <v>16589</v>
      </c>
      <c r="C35719" t="s">
        <v>544</v>
      </c>
      <c r="D35719" s="21" t="s">
        <v>34</v>
      </c>
      <c r="E35719" s="21" t="s">
        <v>71</v>
      </c>
      <c r="F35719">
        <v>1380296</v>
      </c>
      <c r="G35719" t="s">
        <v>2810</v>
      </c>
      <c r="H35719" s="21">
        <v>500</v>
      </c>
    </row>
    <row r="35720" spans="1:8" customFormat="1" x14ac:dyDescent="0.25">
      <c r="A35720" t="str">
        <f>"9145176"</f>
        <v>9145176</v>
      </c>
      <c r="B35720" t="s">
        <v>24476</v>
      </c>
      <c r="C35720" t="s">
        <v>169</v>
      </c>
      <c r="D35720" s="21" t="s">
        <v>34</v>
      </c>
      <c r="E35720" s="21" t="s">
        <v>35</v>
      </c>
      <c r="F35720">
        <v>8911368</v>
      </c>
      <c r="G35720" t="s">
        <v>12227</v>
      </c>
      <c r="H35720" s="21">
        <v>500</v>
      </c>
    </row>
    <row r="35721" spans="1:8" customFormat="1" x14ac:dyDescent="0.25">
      <c r="A35721" t="str">
        <f>"7610672"</f>
        <v>7610672</v>
      </c>
      <c r="B35721" t="s">
        <v>9431</v>
      </c>
      <c r="C35721" t="s">
        <v>1588</v>
      </c>
      <c r="D35721" s="21" t="s">
        <v>34</v>
      </c>
      <c r="E35721" s="21" t="s">
        <v>254</v>
      </c>
      <c r="F35721">
        <v>9760391</v>
      </c>
      <c r="G35721" t="s">
        <v>10757</v>
      </c>
      <c r="H35721" s="21">
        <v>500</v>
      </c>
    </row>
    <row r="35722" spans="1:8" customFormat="1" x14ac:dyDescent="0.25">
      <c r="A35722" t="str">
        <f>"3518568"</f>
        <v>3518568</v>
      </c>
      <c r="B35722" t="s">
        <v>461</v>
      </c>
      <c r="C35722" t="s">
        <v>156</v>
      </c>
      <c r="D35722" s="21" t="s">
        <v>34</v>
      </c>
      <c r="E35722" s="21" t="s">
        <v>1089</v>
      </c>
      <c r="F35722">
        <v>3350136</v>
      </c>
      <c r="G35722" t="s">
        <v>2773</v>
      </c>
      <c r="H35722" s="21">
        <v>500</v>
      </c>
    </row>
    <row r="35723" spans="1:8" customFormat="1" x14ac:dyDescent="0.25">
      <c r="A35723" t="str">
        <f>"5939374"</f>
        <v>5939374</v>
      </c>
      <c r="B35723" t="s">
        <v>14487</v>
      </c>
      <c r="C35723" t="s">
        <v>528</v>
      </c>
      <c r="D35723" s="21" t="s">
        <v>34</v>
      </c>
      <c r="E35723" s="21" t="s">
        <v>254</v>
      </c>
      <c r="F35723">
        <v>7590204</v>
      </c>
      <c r="G35723" t="s">
        <v>696</v>
      </c>
      <c r="H35723" s="21">
        <v>500</v>
      </c>
    </row>
    <row r="35724" spans="1:8" customFormat="1" x14ac:dyDescent="0.25">
      <c r="A35724" t="str">
        <f>"5014258"</f>
        <v>5014258</v>
      </c>
      <c r="B35724" t="s">
        <v>23396</v>
      </c>
      <c r="C35724" t="s">
        <v>124</v>
      </c>
      <c r="D35724" s="21" t="s">
        <v>34</v>
      </c>
      <c r="E35724" s="21" t="s">
        <v>71</v>
      </c>
      <c r="F35724">
        <v>9500013</v>
      </c>
      <c r="G35724" t="s">
        <v>992</v>
      </c>
      <c r="H35724" s="21">
        <v>500</v>
      </c>
    </row>
    <row r="35725" spans="1:8" customFormat="1" x14ac:dyDescent="0.25">
      <c r="A35725" t="str">
        <f>"9133040"</f>
        <v>9133040</v>
      </c>
      <c r="B35725" t="s">
        <v>29111</v>
      </c>
      <c r="C35725" t="s">
        <v>55</v>
      </c>
      <c r="D35725" s="21" t="s">
        <v>34</v>
      </c>
      <c r="E35725" s="21" t="s">
        <v>71</v>
      </c>
      <c r="F35725">
        <v>8910642</v>
      </c>
      <c r="G35725" t="s">
        <v>27027</v>
      </c>
      <c r="H35725" s="21">
        <v>500</v>
      </c>
    </row>
    <row r="35726" spans="1:8" customFormat="1" x14ac:dyDescent="0.25">
      <c r="A35726" t="str">
        <f>"171036"</f>
        <v>171036</v>
      </c>
      <c r="B35726" t="s">
        <v>8773</v>
      </c>
      <c r="C35726" t="s">
        <v>415</v>
      </c>
      <c r="D35726" s="21" t="s">
        <v>34</v>
      </c>
      <c r="E35726" s="21" t="s">
        <v>1089</v>
      </c>
      <c r="F35726">
        <v>10170029</v>
      </c>
      <c r="G35726" t="s">
        <v>9383</v>
      </c>
      <c r="H35726" s="21">
        <v>500</v>
      </c>
    </row>
    <row r="35727" spans="1:8" customFormat="1" x14ac:dyDescent="0.25">
      <c r="A35727" t="str">
        <f>"6949200"</f>
        <v>6949200</v>
      </c>
      <c r="B35727" t="s">
        <v>10709</v>
      </c>
      <c r="C35727" t="s">
        <v>87</v>
      </c>
      <c r="D35727" s="21" t="s">
        <v>34</v>
      </c>
      <c r="E35727" s="21" t="s">
        <v>71</v>
      </c>
      <c r="F35727">
        <v>1690223</v>
      </c>
      <c r="G35727" t="s">
        <v>26579</v>
      </c>
      <c r="H35727" s="21">
        <v>500</v>
      </c>
    </row>
    <row r="35728" spans="1:8" customFormat="1" x14ac:dyDescent="0.25">
      <c r="A35728" t="str">
        <f>"8315814"</f>
        <v>8315814</v>
      </c>
      <c r="B35728" t="s">
        <v>29112</v>
      </c>
      <c r="C35728" t="s">
        <v>109</v>
      </c>
      <c r="D35728" s="21" t="s">
        <v>34</v>
      </c>
      <c r="E35728" s="21" t="s">
        <v>35</v>
      </c>
      <c r="F35728">
        <v>13830013</v>
      </c>
      <c r="G35728" t="s">
        <v>3374</v>
      </c>
      <c r="H35728" s="21">
        <v>500</v>
      </c>
    </row>
    <row r="35729" spans="1:8" customFormat="1" x14ac:dyDescent="0.25">
      <c r="A35729" t="str">
        <f>"4113447"</f>
        <v>4113447</v>
      </c>
      <c r="B35729" t="s">
        <v>6949</v>
      </c>
      <c r="C35729" t="s">
        <v>198</v>
      </c>
      <c r="D35729" s="21" t="s">
        <v>34</v>
      </c>
      <c r="E35729" s="21" t="s">
        <v>254</v>
      </c>
      <c r="F35729">
        <v>4410080</v>
      </c>
      <c r="G35729" t="s">
        <v>135</v>
      </c>
      <c r="H35729" s="21">
        <v>500</v>
      </c>
    </row>
    <row r="35730" spans="1:8" customFormat="1" x14ac:dyDescent="0.25">
      <c r="A35730" t="str">
        <f>"3427188"</f>
        <v>3427188</v>
      </c>
      <c r="B35730" t="s">
        <v>29113</v>
      </c>
      <c r="C35730" t="s">
        <v>109</v>
      </c>
      <c r="D35730" s="21" t="s">
        <v>34</v>
      </c>
      <c r="E35730" s="21" t="s">
        <v>35</v>
      </c>
      <c r="F35730">
        <v>11340066</v>
      </c>
      <c r="G35730" t="s">
        <v>8390</v>
      </c>
      <c r="H35730" s="21">
        <v>500</v>
      </c>
    </row>
    <row r="35731" spans="1:8" customFormat="1" x14ac:dyDescent="0.25">
      <c r="A35731" t="str">
        <f>"396831"</f>
        <v>396831</v>
      </c>
      <c r="B35731" t="s">
        <v>23228</v>
      </c>
      <c r="C35731" t="s">
        <v>305</v>
      </c>
      <c r="D35731" s="21" t="s">
        <v>34</v>
      </c>
      <c r="E35731" s="21" t="s">
        <v>35</v>
      </c>
      <c r="F35731">
        <v>2390098</v>
      </c>
      <c r="G35731" t="s">
        <v>22589</v>
      </c>
      <c r="H35731" s="21">
        <v>500</v>
      </c>
    </row>
    <row r="35732" spans="1:8" customFormat="1" x14ac:dyDescent="0.25">
      <c r="A35732" t="str">
        <f>"5940053"</f>
        <v>5940053</v>
      </c>
      <c r="B35732" t="s">
        <v>24433</v>
      </c>
      <c r="C35732" t="s">
        <v>156</v>
      </c>
      <c r="D35732" s="21" t="s">
        <v>34</v>
      </c>
      <c r="E35732" s="21" t="s">
        <v>254</v>
      </c>
      <c r="F35732">
        <v>7590044</v>
      </c>
      <c r="G35732" t="s">
        <v>2029</v>
      </c>
      <c r="H35732" s="21">
        <v>500</v>
      </c>
    </row>
    <row r="35733" spans="1:8" customFormat="1" x14ac:dyDescent="0.25">
      <c r="A35733" t="str">
        <f>"5983763"</f>
        <v>5983763</v>
      </c>
      <c r="B35733" t="s">
        <v>11297</v>
      </c>
      <c r="C35733" t="s">
        <v>719</v>
      </c>
      <c r="D35733" s="21" t="s">
        <v>34</v>
      </c>
      <c r="E35733" s="21" t="s">
        <v>35</v>
      </c>
      <c r="F35733">
        <v>7590114</v>
      </c>
      <c r="G35733" t="s">
        <v>6332</v>
      </c>
      <c r="H35733" s="21">
        <v>500</v>
      </c>
    </row>
    <row r="35734" spans="1:8" customFormat="1" x14ac:dyDescent="0.25">
      <c r="A35734" t="str">
        <f>"3119778"</f>
        <v>3119778</v>
      </c>
      <c r="B35734" t="s">
        <v>29114</v>
      </c>
      <c r="C35734" t="s">
        <v>43</v>
      </c>
      <c r="D35734" s="21" t="s">
        <v>34</v>
      </c>
      <c r="E35734" s="21" t="s">
        <v>35</v>
      </c>
      <c r="F35734">
        <v>11310098</v>
      </c>
      <c r="G35734" t="s">
        <v>371</v>
      </c>
      <c r="H35734" s="21">
        <v>500</v>
      </c>
    </row>
    <row r="35735" spans="1:8" customFormat="1" x14ac:dyDescent="0.25">
      <c r="A35735" t="str">
        <f>"5963370"</f>
        <v>5963370</v>
      </c>
      <c r="B35735" t="s">
        <v>22050</v>
      </c>
      <c r="C35735" t="s">
        <v>87</v>
      </c>
      <c r="D35735" s="21" t="s">
        <v>34</v>
      </c>
      <c r="E35735" s="21" t="s">
        <v>71</v>
      </c>
      <c r="F35735">
        <v>7590009</v>
      </c>
      <c r="G35735" t="s">
        <v>535</v>
      </c>
      <c r="H35735" s="21">
        <v>500</v>
      </c>
    </row>
    <row r="35736" spans="1:8" customFormat="1" x14ac:dyDescent="0.25">
      <c r="A35736" t="str">
        <f>"188706"</f>
        <v>188706</v>
      </c>
      <c r="B35736" t="s">
        <v>22249</v>
      </c>
      <c r="C35736" t="s">
        <v>33</v>
      </c>
      <c r="D35736" s="21" t="s">
        <v>34</v>
      </c>
      <c r="E35736" s="21" t="s">
        <v>35</v>
      </c>
      <c r="F35736">
        <v>4180734</v>
      </c>
      <c r="G35736" t="s">
        <v>8434</v>
      </c>
      <c r="H35736" s="21">
        <v>500</v>
      </c>
    </row>
    <row r="35737" spans="1:8" customFormat="1" x14ac:dyDescent="0.25">
      <c r="A35737" t="str">
        <f>"788474"</f>
        <v>788474</v>
      </c>
      <c r="B35737" t="s">
        <v>22989</v>
      </c>
      <c r="C35737" t="s">
        <v>598</v>
      </c>
      <c r="D35737" s="21" t="s">
        <v>34</v>
      </c>
      <c r="E35737" s="21" t="s">
        <v>1089</v>
      </c>
      <c r="F35737">
        <v>8781462</v>
      </c>
      <c r="G35737" t="s">
        <v>5796</v>
      </c>
      <c r="H35737" s="21">
        <v>500</v>
      </c>
    </row>
    <row r="35738" spans="1:8" customFormat="1" x14ac:dyDescent="0.25">
      <c r="A35738" t="str">
        <f>"0614382"</f>
        <v>0614382</v>
      </c>
      <c r="B35738" t="s">
        <v>22820</v>
      </c>
      <c r="C35738" t="s">
        <v>156</v>
      </c>
      <c r="D35738" s="21" t="s">
        <v>34</v>
      </c>
      <c r="E35738" s="21" t="s">
        <v>254</v>
      </c>
      <c r="F35738">
        <v>13060117</v>
      </c>
      <c r="G35738" t="s">
        <v>22821</v>
      </c>
      <c r="H35738" s="21">
        <v>500</v>
      </c>
    </row>
    <row r="35739" spans="1:8" customFormat="1" x14ac:dyDescent="0.25">
      <c r="A35739" t="str">
        <f>"7414306"</f>
        <v>7414306</v>
      </c>
      <c r="B35739" t="s">
        <v>29115</v>
      </c>
      <c r="C35739" t="s">
        <v>249</v>
      </c>
      <c r="D35739" s="21" t="s">
        <v>34</v>
      </c>
      <c r="E35739" s="21" t="s">
        <v>35</v>
      </c>
      <c r="F35739">
        <v>1740011</v>
      </c>
      <c r="G35739" t="s">
        <v>2638</v>
      </c>
      <c r="H35739" s="21">
        <v>500</v>
      </c>
    </row>
    <row r="35740" spans="1:8" customFormat="1" x14ac:dyDescent="0.25">
      <c r="A35740" t="str">
        <f>"1425783"</f>
        <v>1425783</v>
      </c>
      <c r="B35740" t="s">
        <v>350</v>
      </c>
      <c r="C35740" t="s">
        <v>236</v>
      </c>
      <c r="D35740" s="21" t="s">
        <v>34</v>
      </c>
      <c r="E35740" s="21" t="s">
        <v>254</v>
      </c>
      <c r="F35740">
        <v>9140235</v>
      </c>
      <c r="G35740" t="s">
        <v>165</v>
      </c>
      <c r="H35740" s="21">
        <v>500</v>
      </c>
    </row>
    <row r="35741" spans="1:8" customFormat="1" x14ac:dyDescent="0.25">
      <c r="A35741" t="str">
        <f>"7711018"</f>
        <v>7711018</v>
      </c>
      <c r="B35741" t="s">
        <v>175</v>
      </c>
      <c r="C35741" t="s">
        <v>730</v>
      </c>
      <c r="D35741" s="21" t="s">
        <v>34</v>
      </c>
      <c r="E35741" s="21" t="s">
        <v>71</v>
      </c>
      <c r="F35741">
        <v>8771085</v>
      </c>
      <c r="G35741" t="s">
        <v>11894</v>
      </c>
      <c r="H35741" s="21">
        <v>500</v>
      </c>
    </row>
    <row r="35742" spans="1:8" customFormat="1" x14ac:dyDescent="0.25">
      <c r="A35742" t="str">
        <f>"7414794"</f>
        <v>7414794</v>
      </c>
      <c r="B35742" t="s">
        <v>29116</v>
      </c>
      <c r="C35742" t="s">
        <v>119</v>
      </c>
      <c r="D35742" s="21" t="s">
        <v>34</v>
      </c>
      <c r="E35742" s="21" t="s">
        <v>71</v>
      </c>
      <c r="F35742">
        <v>1740077</v>
      </c>
      <c r="G35742" t="s">
        <v>19636</v>
      </c>
      <c r="H35742" s="21">
        <v>500</v>
      </c>
    </row>
    <row r="35743" spans="1:8" customFormat="1" x14ac:dyDescent="0.25">
      <c r="A35743" t="str">
        <f>"5710290"</f>
        <v>5710290</v>
      </c>
      <c r="B35743" t="s">
        <v>136</v>
      </c>
      <c r="C35743" t="s">
        <v>267</v>
      </c>
      <c r="D35743" s="21" t="s">
        <v>34</v>
      </c>
      <c r="E35743" s="21" t="s">
        <v>254</v>
      </c>
      <c r="F35743">
        <v>9760463</v>
      </c>
      <c r="G35743" t="s">
        <v>1188</v>
      </c>
      <c r="H35743" s="21">
        <v>500</v>
      </c>
    </row>
    <row r="35744" spans="1:8" customFormat="1" x14ac:dyDescent="0.25">
      <c r="A35744" t="str">
        <f>"6713384"</f>
        <v>6713384</v>
      </c>
      <c r="B35744" t="s">
        <v>23726</v>
      </c>
      <c r="C35744" t="s">
        <v>2520</v>
      </c>
      <c r="D35744" s="21" t="s">
        <v>34</v>
      </c>
      <c r="E35744" s="21" t="s">
        <v>254</v>
      </c>
      <c r="F35744">
        <v>6670247</v>
      </c>
      <c r="G35744" t="s">
        <v>7594</v>
      </c>
      <c r="H35744" s="21">
        <v>500</v>
      </c>
    </row>
    <row r="35745" spans="1:8" customFormat="1" x14ac:dyDescent="0.25">
      <c r="A35745" t="str">
        <f>"5429605"</f>
        <v>5429605</v>
      </c>
      <c r="B35745" t="s">
        <v>24295</v>
      </c>
      <c r="C35745" t="s">
        <v>87</v>
      </c>
      <c r="D35745" s="21" t="s">
        <v>34</v>
      </c>
      <c r="E35745" s="21" t="s">
        <v>35</v>
      </c>
      <c r="F35745">
        <v>6540151</v>
      </c>
      <c r="G35745" t="s">
        <v>12078</v>
      </c>
      <c r="H35745" s="21">
        <v>500</v>
      </c>
    </row>
    <row r="35746" spans="1:8" customFormat="1" x14ac:dyDescent="0.25">
      <c r="A35746" t="str">
        <f>"6726361"</f>
        <v>6726361</v>
      </c>
      <c r="B35746" t="s">
        <v>29117</v>
      </c>
      <c r="C35746" t="s">
        <v>114</v>
      </c>
      <c r="D35746" s="21" t="s">
        <v>34</v>
      </c>
      <c r="E35746" s="21" t="s">
        <v>71</v>
      </c>
      <c r="F35746">
        <v>6670027</v>
      </c>
      <c r="G35746" t="s">
        <v>2791</v>
      </c>
      <c r="H35746" s="21">
        <v>500</v>
      </c>
    </row>
    <row r="35747" spans="1:8" customFormat="1" x14ac:dyDescent="0.25">
      <c r="A35747" t="str">
        <f>"9142119"</f>
        <v>9142119</v>
      </c>
      <c r="B35747" t="s">
        <v>29118</v>
      </c>
      <c r="C35747" t="s">
        <v>720</v>
      </c>
      <c r="D35747" s="21" t="s">
        <v>34</v>
      </c>
      <c r="E35747" s="21" t="s">
        <v>1089</v>
      </c>
      <c r="F35747">
        <v>8910438</v>
      </c>
      <c r="G35747" t="s">
        <v>761</v>
      </c>
      <c r="H35747" s="21">
        <v>500</v>
      </c>
    </row>
    <row r="35748" spans="1:8" customFormat="1" x14ac:dyDescent="0.25">
      <c r="A35748" t="str">
        <f>"9C948"</f>
        <v>9C948</v>
      </c>
      <c r="B35748" t="s">
        <v>12725</v>
      </c>
      <c r="C35748" t="s">
        <v>23362</v>
      </c>
      <c r="D35748" s="21" t="s">
        <v>34</v>
      </c>
      <c r="E35748" s="21" t="s">
        <v>35</v>
      </c>
      <c r="F35748" t="s">
        <v>23336</v>
      </c>
      <c r="G35748" t="s">
        <v>23337</v>
      </c>
      <c r="H35748" s="21">
        <v>500</v>
      </c>
    </row>
    <row r="35749" spans="1:8" customFormat="1" x14ac:dyDescent="0.25">
      <c r="A35749" t="str">
        <f>"668574"</f>
        <v>668574</v>
      </c>
      <c r="B35749" t="s">
        <v>29119</v>
      </c>
      <c r="C35749" t="s">
        <v>415</v>
      </c>
      <c r="D35749" s="21" t="s">
        <v>34</v>
      </c>
      <c r="E35749" s="21" t="s">
        <v>71</v>
      </c>
      <c r="F35749">
        <v>11660032</v>
      </c>
      <c r="G35749" t="s">
        <v>3232</v>
      </c>
      <c r="H35749" s="21">
        <v>500</v>
      </c>
    </row>
    <row r="35750" spans="1:8" customFormat="1" x14ac:dyDescent="0.25">
      <c r="A35750" t="str">
        <f>"5948938"</f>
        <v>5948938</v>
      </c>
      <c r="B35750" t="s">
        <v>5785</v>
      </c>
      <c r="C35750" t="s">
        <v>822</v>
      </c>
      <c r="D35750" s="21" t="s">
        <v>34</v>
      </c>
      <c r="E35750" s="21" t="s">
        <v>1089</v>
      </c>
      <c r="F35750">
        <v>7590354</v>
      </c>
      <c r="G35750" t="s">
        <v>5786</v>
      </c>
      <c r="H35750" s="21">
        <v>500</v>
      </c>
    </row>
    <row r="35751" spans="1:8" customFormat="1" x14ac:dyDescent="0.25">
      <c r="A35751" t="str">
        <f>"649547"</f>
        <v>649547</v>
      </c>
      <c r="B35751" t="s">
        <v>29120</v>
      </c>
      <c r="C35751" t="s">
        <v>209</v>
      </c>
      <c r="D35751" s="21" t="s">
        <v>34</v>
      </c>
      <c r="E35751" s="21" t="s">
        <v>71</v>
      </c>
      <c r="F35751">
        <v>10640003</v>
      </c>
      <c r="G35751" t="s">
        <v>1594</v>
      </c>
      <c r="H35751" s="21">
        <v>500</v>
      </c>
    </row>
    <row r="35752" spans="1:8" customFormat="1" x14ac:dyDescent="0.25">
      <c r="A35752" t="str">
        <f>"3828781"</f>
        <v>3828781</v>
      </c>
      <c r="B35752" t="s">
        <v>22973</v>
      </c>
      <c r="C35752" t="s">
        <v>1665</v>
      </c>
      <c r="D35752" s="21" t="s">
        <v>34</v>
      </c>
      <c r="E35752" s="21" t="s">
        <v>71</v>
      </c>
      <c r="F35752">
        <v>1380260</v>
      </c>
      <c r="G35752" t="s">
        <v>13471</v>
      </c>
      <c r="H35752" s="21">
        <v>500</v>
      </c>
    </row>
    <row r="35753" spans="1:8" customFormat="1" x14ac:dyDescent="0.25">
      <c r="A35753" t="str">
        <f>"9143451"</f>
        <v>9143451</v>
      </c>
      <c r="B35753" t="s">
        <v>16600</v>
      </c>
      <c r="C35753" t="s">
        <v>169</v>
      </c>
      <c r="D35753" s="21" t="s">
        <v>34</v>
      </c>
      <c r="E35753" s="21" t="s">
        <v>35</v>
      </c>
      <c r="F35753">
        <v>8911021</v>
      </c>
      <c r="G35753" t="s">
        <v>4198</v>
      </c>
      <c r="H35753" s="21">
        <v>500</v>
      </c>
    </row>
    <row r="35754" spans="1:8" customFormat="1" x14ac:dyDescent="0.25">
      <c r="A35754" t="str">
        <f>"668197"</f>
        <v>668197</v>
      </c>
      <c r="B35754" t="s">
        <v>308</v>
      </c>
      <c r="C35754" t="s">
        <v>1914</v>
      </c>
      <c r="D35754" s="21" t="s">
        <v>34</v>
      </c>
      <c r="E35754" s="21" t="s">
        <v>254</v>
      </c>
      <c r="F35754">
        <v>11660031</v>
      </c>
      <c r="G35754" t="s">
        <v>12617</v>
      </c>
      <c r="H35754" s="21">
        <v>500</v>
      </c>
    </row>
    <row r="35755" spans="1:8" customFormat="1" x14ac:dyDescent="0.25">
      <c r="A35755" t="str">
        <f>"3342829"</f>
        <v>3342829</v>
      </c>
      <c r="B35755" t="s">
        <v>29121</v>
      </c>
      <c r="C35755" t="s">
        <v>62</v>
      </c>
      <c r="D35755" s="21" t="s">
        <v>34</v>
      </c>
      <c r="E35755" s="21" t="s">
        <v>35</v>
      </c>
      <c r="F35755">
        <v>10330128</v>
      </c>
      <c r="G35755" t="s">
        <v>13670</v>
      </c>
      <c r="H35755" s="21">
        <v>500</v>
      </c>
    </row>
    <row r="35756" spans="1:8" customFormat="1" x14ac:dyDescent="0.25">
      <c r="A35756" t="str">
        <f>"9146918"</f>
        <v>9146918</v>
      </c>
      <c r="B35756" t="s">
        <v>9102</v>
      </c>
      <c r="C35756" t="s">
        <v>269</v>
      </c>
      <c r="D35756" s="21" t="s">
        <v>34</v>
      </c>
      <c r="E35756" s="21" t="s">
        <v>71</v>
      </c>
      <c r="F35756">
        <v>8910165</v>
      </c>
      <c r="G35756" t="s">
        <v>3184</v>
      </c>
      <c r="H35756" s="21">
        <v>500</v>
      </c>
    </row>
    <row r="35757" spans="1:8" customFormat="1" x14ac:dyDescent="0.25">
      <c r="A35757" t="str">
        <f>"591836"</f>
        <v>591836</v>
      </c>
      <c r="B35757" t="s">
        <v>22912</v>
      </c>
      <c r="C35757" t="s">
        <v>10481</v>
      </c>
      <c r="D35757" s="21" t="s">
        <v>34</v>
      </c>
      <c r="E35757" s="21" t="s">
        <v>254</v>
      </c>
      <c r="F35757">
        <v>7590080</v>
      </c>
      <c r="G35757" t="s">
        <v>1715</v>
      </c>
      <c r="H35757" s="21">
        <v>500</v>
      </c>
    </row>
    <row r="35758" spans="1:8" customFormat="1" x14ac:dyDescent="0.25">
      <c r="A35758" t="str">
        <f>"4524995"</f>
        <v>4524995</v>
      </c>
      <c r="B35758" t="s">
        <v>15781</v>
      </c>
      <c r="C35758" t="s">
        <v>867</v>
      </c>
      <c r="D35758" s="21" t="s">
        <v>34</v>
      </c>
      <c r="E35758" s="21" t="s">
        <v>35</v>
      </c>
      <c r="F35758">
        <v>4450571</v>
      </c>
      <c r="G35758" t="s">
        <v>188</v>
      </c>
      <c r="H35758" s="21">
        <v>500</v>
      </c>
    </row>
    <row r="35759" spans="1:8" customFormat="1" x14ac:dyDescent="0.25">
      <c r="A35759" t="str">
        <f>"07793"</f>
        <v>07793</v>
      </c>
      <c r="B35759" t="s">
        <v>7395</v>
      </c>
      <c r="C35759" t="s">
        <v>236</v>
      </c>
      <c r="D35759" s="21" t="s">
        <v>34</v>
      </c>
      <c r="E35759" s="21" t="s">
        <v>1089</v>
      </c>
      <c r="F35759">
        <v>1260015</v>
      </c>
      <c r="G35759" t="s">
        <v>4712</v>
      </c>
      <c r="H35759" s="21">
        <v>500</v>
      </c>
    </row>
    <row r="35760" spans="1:8" customFormat="1" x14ac:dyDescent="0.25">
      <c r="A35760" t="str">
        <f>"2939779"</f>
        <v>2939779</v>
      </c>
      <c r="B35760" t="s">
        <v>2851</v>
      </c>
      <c r="C35760" t="s">
        <v>598</v>
      </c>
      <c r="D35760" s="21" t="s">
        <v>34</v>
      </c>
      <c r="E35760" s="21" t="s">
        <v>254</v>
      </c>
      <c r="F35760">
        <v>3290227</v>
      </c>
      <c r="G35760" t="s">
        <v>16400</v>
      </c>
      <c r="H35760" s="21">
        <v>500</v>
      </c>
    </row>
    <row r="35761" spans="1:8" customFormat="1" x14ac:dyDescent="0.25">
      <c r="A35761" t="str">
        <f>"1311654"</f>
        <v>1311654</v>
      </c>
      <c r="B35761" t="s">
        <v>6611</v>
      </c>
      <c r="C35761" t="s">
        <v>2907</v>
      </c>
      <c r="D35761" s="21" t="s">
        <v>34</v>
      </c>
      <c r="E35761" s="21" t="s">
        <v>254</v>
      </c>
      <c r="F35761">
        <v>13130152</v>
      </c>
      <c r="G35761" t="s">
        <v>906</v>
      </c>
      <c r="H35761" s="21">
        <v>500</v>
      </c>
    </row>
    <row r="35762" spans="1:8" customFormat="1" x14ac:dyDescent="0.25">
      <c r="A35762" t="str">
        <f>"3415484"</f>
        <v>3415484</v>
      </c>
      <c r="B35762" t="s">
        <v>22894</v>
      </c>
      <c r="C35762" t="s">
        <v>462</v>
      </c>
      <c r="D35762" s="21" t="s">
        <v>34</v>
      </c>
      <c r="E35762" s="21" t="s">
        <v>254</v>
      </c>
      <c r="F35762">
        <v>11340001</v>
      </c>
      <c r="G35762" t="s">
        <v>9248</v>
      </c>
      <c r="H35762" s="21">
        <v>500</v>
      </c>
    </row>
    <row r="35763" spans="1:8" customFormat="1" x14ac:dyDescent="0.25">
      <c r="A35763" t="str">
        <f>"0615641"</f>
        <v>0615641</v>
      </c>
      <c r="B35763" t="s">
        <v>29122</v>
      </c>
      <c r="C35763" t="s">
        <v>476</v>
      </c>
      <c r="D35763" s="21" t="s">
        <v>34</v>
      </c>
      <c r="E35763" s="21" t="s">
        <v>254</v>
      </c>
      <c r="F35763">
        <v>13060110</v>
      </c>
      <c r="G35763" t="s">
        <v>3268</v>
      </c>
      <c r="H35763" s="21">
        <v>500</v>
      </c>
    </row>
    <row r="35764" spans="1:8" customFormat="1" x14ac:dyDescent="0.25">
      <c r="A35764" t="str">
        <f>"3726470"</f>
        <v>3726470</v>
      </c>
      <c r="B35764" t="s">
        <v>1094</v>
      </c>
      <c r="C35764" t="s">
        <v>750</v>
      </c>
      <c r="D35764" s="21" t="s">
        <v>34</v>
      </c>
      <c r="E35764" s="21" t="s">
        <v>71</v>
      </c>
      <c r="F35764">
        <v>4370566</v>
      </c>
      <c r="G35764" t="s">
        <v>4710</v>
      </c>
      <c r="H35764" s="21">
        <v>500</v>
      </c>
    </row>
    <row r="35765" spans="1:8" customFormat="1" x14ac:dyDescent="0.25">
      <c r="A35765" t="str">
        <f>"251282"</f>
        <v>251282</v>
      </c>
      <c r="B35765" t="s">
        <v>22501</v>
      </c>
      <c r="C35765" t="s">
        <v>1146</v>
      </c>
      <c r="D35765" s="21" t="s">
        <v>34</v>
      </c>
      <c r="E35765" s="21" t="s">
        <v>1089</v>
      </c>
      <c r="F35765">
        <v>1260055</v>
      </c>
      <c r="G35765" t="s">
        <v>8460</v>
      </c>
      <c r="H35765" s="21">
        <v>500</v>
      </c>
    </row>
    <row r="35766" spans="1:8" customFormat="1" x14ac:dyDescent="0.25">
      <c r="A35766" t="str">
        <f>"9452707"</f>
        <v>9452707</v>
      </c>
      <c r="B35766" t="s">
        <v>3840</v>
      </c>
      <c r="C35766" t="s">
        <v>598</v>
      </c>
      <c r="D35766" s="21" t="s">
        <v>34</v>
      </c>
      <c r="E35766" s="21" t="s">
        <v>254</v>
      </c>
      <c r="F35766">
        <v>8941180</v>
      </c>
      <c r="G35766" t="s">
        <v>5544</v>
      </c>
      <c r="H35766" s="21">
        <v>500</v>
      </c>
    </row>
    <row r="35767" spans="1:8" customFormat="1" x14ac:dyDescent="0.25">
      <c r="A35767" t="str">
        <f>"7730151"</f>
        <v>7730151</v>
      </c>
      <c r="B35767" t="s">
        <v>5734</v>
      </c>
      <c r="C35767" t="s">
        <v>169</v>
      </c>
      <c r="D35767" s="21" t="s">
        <v>34</v>
      </c>
      <c r="E35767" s="21" t="s">
        <v>35</v>
      </c>
      <c r="F35767">
        <v>8770665</v>
      </c>
      <c r="G35767" t="s">
        <v>903</v>
      </c>
      <c r="H35767" s="21">
        <v>500</v>
      </c>
    </row>
    <row r="35768" spans="1:8" customFormat="1" x14ac:dyDescent="0.25">
      <c r="A35768" t="str">
        <f>"6316561"</f>
        <v>6316561</v>
      </c>
      <c r="B35768" t="s">
        <v>23219</v>
      </c>
      <c r="C35768" t="s">
        <v>60</v>
      </c>
      <c r="D35768" s="21" t="s">
        <v>34</v>
      </c>
      <c r="E35768" s="21" t="s">
        <v>35</v>
      </c>
      <c r="F35768">
        <v>1630329</v>
      </c>
      <c r="G35768" t="s">
        <v>13763</v>
      </c>
      <c r="H35768" s="21">
        <v>500</v>
      </c>
    </row>
    <row r="35769" spans="1:8" customFormat="1" x14ac:dyDescent="0.25">
      <c r="A35769" t="str">
        <f>"7642064"</f>
        <v>7642064</v>
      </c>
      <c r="B35769" t="s">
        <v>29123</v>
      </c>
      <c r="C35769" t="s">
        <v>124</v>
      </c>
      <c r="D35769" s="21" t="s">
        <v>34</v>
      </c>
      <c r="E35769" s="21" t="s">
        <v>71</v>
      </c>
      <c r="F35769">
        <v>9760028</v>
      </c>
      <c r="G35769" t="s">
        <v>4086</v>
      </c>
      <c r="H35769" s="21">
        <v>500</v>
      </c>
    </row>
    <row r="35770" spans="1:8" customFormat="1" x14ac:dyDescent="0.25">
      <c r="A35770" t="str">
        <f>"9320513"</f>
        <v>9320513</v>
      </c>
      <c r="B35770" t="s">
        <v>17250</v>
      </c>
      <c r="C35770" t="s">
        <v>33</v>
      </c>
      <c r="D35770" s="21" t="s">
        <v>34</v>
      </c>
      <c r="E35770" s="21" t="s">
        <v>35</v>
      </c>
      <c r="F35770">
        <v>8930490</v>
      </c>
      <c r="G35770" t="s">
        <v>1563</v>
      </c>
      <c r="H35770" s="21">
        <v>500</v>
      </c>
    </row>
    <row r="35771" spans="1:8" customFormat="1" x14ac:dyDescent="0.25">
      <c r="A35771" t="str">
        <f>"5983236"</f>
        <v>5983236</v>
      </c>
      <c r="B35771" t="s">
        <v>67</v>
      </c>
      <c r="C35771" t="s">
        <v>1199</v>
      </c>
      <c r="D35771" s="21" t="s">
        <v>34</v>
      </c>
      <c r="E35771" s="21" t="s">
        <v>35</v>
      </c>
      <c r="F35771">
        <v>7590063</v>
      </c>
      <c r="G35771" t="s">
        <v>3426</v>
      </c>
      <c r="H35771" s="21">
        <v>500</v>
      </c>
    </row>
    <row r="35772" spans="1:8" customFormat="1" x14ac:dyDescent="0.25">
      <c r="A35772" t="str">
        <f>"3311136"</f>
        <v>3311136</v>
      </c>
      <c r="B35772" t="s">
        <v>29124</v>
      </c>
      <c r="C35772" t="s">
        <v>130</v>
      </c>
      <c r="D35772" s="21" t="s">
        <v>34</v>
      </c>
      <c r="E35772" s="21" t="s">
        <v>254</v>
      </c>
      <c r="F35772">
        <v>10330078</v>
      </c>
      <c r="G35772" t="s">
        <v>7597</v>
      </c>
      <c r="H35772" s="21">
        <v>500</v>
      </c>
    </row>
    <row r="35773" spans="1:8" customFormat="1" x14ac:dyDescent="0.25">
      <c r="A35773" t="str">
        <f>"1423312"</f>
        <v>1423312</v>
      </c>
      <c r="B35773" t="s">
        <v>29125</v>
      </c>
      <c r="C35773" t="s">
        <v>87</v>
      </c>
      <c r="D35773" s="21" t="s">
        <v>34</v>
      </c>
      <c r="E35773" s="21" t="s">
        <v>35</v>
      </c>
      <c r="F35773">
        <v>9140012</v>
      </c>
      <c r="G35773" t="s">
        <v>26518</v>
      </c>
      <c r="H35773" s="21">
        <v>500</v>
      </c>
    </row>
    <row r="35774" spans="1:8" customFormat="1" x14ac:dyDescent="0.25">
      <c r="A35774" t="str">
        <f>"4925849"</f>
        <v>4925849</v>
      </c>
      <c r="B35774" t="s">
        <v>23144</v>
      </c>
      <c r="C35774" t="s">
        <v>33</v>
      </c>
      <c r="D35774" s="21" t="s">
        <v>34</v>
      </c>
      <c r="E35774" s="21" t="s">
        <v>35</v>
      </c>
      <c r="F35774">
        <v>12490022</v>
      </c>
      <c r="G35774" t="s">
        <v>1450</v>
      </c>
      <c r="H35774" s="21">
        <v>500</v>
      </c>
    </row>
    <row r="35775" spans="1:8" customFormat="1" x14ac:dyDescent="0.25">
      <c r="A35775" t="str">
        <f>"2940165"</f>
        <v>2940165</v>
      </c>
      <c r="B35775" t="s">
        <v>12952</v>
      </c>
      <c r="C35775" t="s">
        <v>825</v>
      </c>
      <c r="D35775" s="21" t="s">
        <v>34</v>
      </c>
      <c r="E35775" s="21" t="s">
        <v>35</v>
      </c>
      <c r="F35775">
        <v>3290264</v>
      </c>
      <c r="G35775" t="s">
        <v>6934</v>
      </c>
      <c r="H35775" s="21">
        <v>500</v>
      </c>
    </row>
    <row r="35776" spans="1:8" customFormat="1" x14ac:dyDescent="0.25">
      <c r="A35776" t="str">
        <f>"4932036"</f>
        <v>4932036</v>
      </c>
      <c r="B35776" t="s">
        <v>1451</v>
      </c>
      <c r="C35776" t="s">
        <v>87</v>
      </c>
      <c r="D35776" s="21" t="s">
        <v>34</v>
      </c>
      <c r="E35776" s="21" t="s">
        <v>71</v>
      </c>
      <c r="F35776">
        <v>12490031</v>
      </c>
      <c r="G35776" t="s">
        <v>23316</v>
      </c>
      <c r="H35776" s="21">
        <v>500</v>
      </c>
    </row>
    <row r="35777" spans="1:8" customFormat="1" x14ac:dyDescent="0.25">
      <c r="A35777" t="str">
        <f>"7874835"</f>
        <v>7874835</v>
      </c>
      <c r="B35777" t="s">
        <v>1081</v>
      </c>
      <c r="C35777" t="s">
        <v>156</v>
      </c>
      <c r="D35777" s="21" t="s">
        <v>34</v>
      </c>
      <c r="E35777" s="21" t="s">
        <v>254</v>
      </c>
      <c r="F35777">
        <v>8781162</v>
      </c>
      <c r="G35777" t="s">
        <v>7991</v>
      </c>
      <c r="H35777" s="21">
        <v>500</v>
      </c>
    </row>
    <row r="35778" spans="1:8" customFormat="1" x14ac:dyDescent="0.25">
      <c r="A35778" t="str">
        <f>"375582"</f>
        <v>375582</v>
      </c>
      <c r="B35778" t="s">
        <v>23892</v>
      </c>
      <c r="C35778" t="s">
        <v>236</v>
      </c>
      <c r="D35778" s="21" t="s">
        <v>34</v>
      </c>
      <c r="E35778" s="21" t="s">
        <v>6185</v>
      </c>
      <c r="F35778">
        <v>4370349</v>
      </c>
      <c r="G35778" t="s">
        <v>2287</v>
      </c>
      <c r="H35778" s="21">
        <v>500</v>
      </c>
    </row>
    <row r="35779" spans="1:8" customFormat="1" x14ac:dyDescent="0.25">
      <c r="A35779" t="str">
        <f>"3427177"</f>
        <v>3427177</v>
      </c>
      <c r="B35779" t="s">
        <v>29126</v>
      </c>
      <c r="C35779" t="s">
        <v>2479</v>
      </c>
      <c r="D35779" s="21" t="s">
        <v>34</v>
      </c>
      <c r="E35779" s="21" t="s">
        <v>254</v>
      </c>
      <c r="F35779">
        <v>11340012</v>
      </c>
      <c r="G35779" t="s">
        <v>10413</v>
      </c>
      <c r="H35779" s="21">
        <v>500</v>
      </c>
    </row>
    <row r="35780" spans="1:8" customFormat="1" x14ac:dyDescent="0.25">
      <c r="A35780" t="str">
        <f>"9146376"</f>
        <v>9146376</v>
      </c>
      <c r="B35780" t="s">
        <v>24650</v>
      </c>
      <c r="C35780" t="s">
        <v>639</v>
      </c>
      <c r="D35780" s="21" t="s">
        <v>34</v>
      </c>
      <c r="E35780" s="21" t="s">
        <v>35</v>
      </c>
      <c r="F35780">
        <v>8910578</v>
      </c>
      <c r="G35780" t="s">
        <v>5776</v>
      </c>
      <c r="H35780" s="21">
        <v>500</v>
      </c>
    </row>
    <row r="35781" spans="1:8" customFormat="1" x14ac:dyDescent="0.25">
      <c r="A35781" t="str">
        <f>"509936"</f>
        <v>509936</v>
      </c>
      <c r="B35781" t="s">
        <v>23709</v>
      </c>
      <c r="C35781" t="s">
        <v>269</v>
      </c>
      <c r="D35781" s="21" t="s">
        <v>34</v>
      </c>
      <c r="E35781" s="21" t="s">
        <v>35</v>
      </c>
      <c r="F35781">
        <v>9500059</v>
      </c>
      <c r="G35781" t="s">
        <v>26714</v>
      </c>
      <c r="H35781" s="21">
        <v>500</v>
      </c>
    </row>
    <row r="35782" spans="1:8" customFormat="1" x14ac:dyDescent="0.25">
      <c r="A35782" t="str">
        <f>"6720852"</f>
        <v>6720852</v>
      </c>
      <c r="B35782" t="s">
        <v>24623</v>
      </c>
      <c r="C35782" t="s">
        <v>462</v>
      </c>
      <c r="D35782" s="21" t="s">
        <v>34</v>
      </c>
      <c r="E35782" s="21" t="s">
        <v>35</v>
      </c>
      <c r="F35782">
        <v>6670014</v>
      </c>
      <c r="G35782" t="s">
        <v>4258</v>
      </c>
      <c r="H35782" s="21">
        <v>500</v>
      </c>
    </row>
    <row r="35783" spans="1:8" customFormat="1" x14ac:dyDescent="0.25">
      <c r="A35783" t="str">
        <f>"9125171"</f>
        <v>9125171</v>
      </c>
      <c r="B35783" t="s">
        <v>21506</v>
      </c>
      <c r="C35783" t="s">
        <v>198</v>
      </c>
      <c r="D35783" s="21" t="s">
        <v>34</v>
      </c>
      <c r="E35783" s="21" t="s">
        <v>71</v>
      </c>
      <c r="F35783">
        <v>8911334</v>
      </c>
      <c r="G35783" t="s">
        <v>4170</v>
      </c>
      <c r="H35783" s="21">
        <v>500</v>
      </c>
    </row>
    <row r="35784" spans="1:8" customFormat="1" x14ac:dyDescent="0.25">
      <c r="A35784" t="str">
        <f>"668535"</f>
        <v>668535</v>
      </c>
      <c r="B35784" t="s">
        <v>29127</v>
      </c>
      <c r="C35784" t="s">
        <v>149</v>
      </c>
      <c r="D35784" s="21" t="s">
        <v>34</v>
      </c>
      <c r="E35784" s="21" t="s">
        <v>35</v>
      </c>
      <c r="F35784">
        <v>11660021</v>
      </c>
      <c r="G35784" t="s">
        <v>16765</v>
      </c>
      <c r="H35784" s="21">
        <v>500</v>
      </c>
    </row>
    <row r="35785" spans="1:8" customFormat="1" x14ac:dyDescent="0.25">
      <c r="A35785" t="str">
        <f>"5934862"</f>
        <v>5934862</v>
      </c>
      <c r="B35785" t="s">
        <v>23517</v>
      </c>
      <c r="C35785" t="s">
        <v>2520</v>
      </c>
      <c r="D35785" s="21" t="s">
        <v>34</v>
      </c>
      <c r="E35785" s="21" t="s">
        <v>1089</v>
      </c>
      <c r="F35785">
        <v>7590071</v>
      </c>
      <c r="G35785" t="s">
        <v>2602</v>
      </c>
      <c r="H35785" s="21">
        <v>500</v>
      </c>
    </row>
    <row r="35786" spans="1:8" customFormat="1" x14ac:dyDescent="0.25">
      <c r="A35786" t="str">
        <f>"815262"</f>
        <v>815262</v>
      </c>
      <c r="B35786" t="s">
        <v>29128</v>
      </c>
      <c r="C35786" t="s">
        <v>3456</v>
      </c>
      <c r="D35786" s="21" t="s">
        <v>34</v>
      </c>
      <c r="E35786" s="21" t="s">
        <v>71</v>
      </c>
      <c r="F35786">
        <v>11810030</v>
      </c>
      <c r="G35786" t="s">
        <v>27055</v>
      </c>
      <c r="H35786" s="21">
        <v>500</v>
      </c>
    </row>
    <row r="35787" spans="1:8" customFormat="1" x14ac:dyDescent="0.25">
      <c r="A35787" t="str">
        <f>"5618936"</f>
        <v>5618936</v>
      </c>
      <c r="B35787" t="s">
        <v>7878</v>
      </c>
      <c r="C35787" t="s">
        <v>62</v>
      </c>
      <c r="D35787" s="21" t="s">
        <v>34</v>
      </c>
      <c r="E35787" s="21" t="s">
        <v>35</v>
      </c>
      <c r="F35787">
        <v>3560028</v>
      </c>
      <c r="G35787" t="s">
        <v>5916</v>
      </c>
      <c r="H35787" s="21">
        <v>500</v>
      </c>
    </row>
    <row r="35788" spans="1:8" customFormat="1" x14ac:dyDescent="0.25">
      <c r="A35788" t="str">
        <f>"9B789"</f>
        <v>9B789</v>
      </c>
      <c r="B35788" t="s">
        <v>23914</v>
      </c>
      <c r="C35788" t="s">
        <v>236</v>
      </c>
      <c r="D35788" s="21" t="s">
        <v>34</v>
      </c>
      <c r="E35788" s="21" t="s">
        <v>71</v>
      </c>
      <c r="F35788" t="s">
        <v>17172</v>
      </c>
      <c r="G35788" t="s">
        <v>17173</v>
      </c>
      <c r="H35788" s="21">
        <v>500</v>
      </c>
    </row>
    <row r="35789" spans="1:8" customFormat="1" x14ac:dyDescent="0.25">
      <c r="A35789" t="str">
        <f>"8315778"</f>
        <v>8315778</v>
      </c>
      <c r="B35789" t="s">
        <v>16434</v>
      </c>
      <c r="C35789" t="s">
        <v>3397</v>
      </c>
      <c r="D35789" s="21" t="s">
        <v>34</v>
      </c>
      <c r="E35789" s="21" t="s">
        <v>35</v>
      </c>
      <c r="F35789">
        <v>13830044</v>
      </c>
      <c r="G35789" t="s">
        <v>945</v>
      </c>
      <c r="H35789" s="21">
        <v>500</v>
      </c>
    </row>
    <row r="35790" spans="1:8" customFormat="1" x14ac:dyDescent="0.25">
      <c r="A35790" t="str">
        <f>"6023424"</f>
        <v>6023424</v>
      </c>
      <c r="B35790" t="s">
        <v>23055</v>
      </c>
      <c r="C35790" t="s">
        <v>109</v>
      </c>
      <c r="D35790" s="21" t="s">
        <v>34</v>
      </c>
      <c r="E35790" s="21" t="s">
        <v>71</v>
      </c>
      <c r="F35790">
        <v>7600088</v>
      </c>
      <c r="G35790" t="s">
        <v>334</v>
      </c>
      <c r="H35790" s="21">
        <v>500</v>
      </c>
    </row>
    <row r="35791" spans="1:8" customFormat="1" x14ac:dyDescent="0.25">
      <c r="A35791" t="str">
        <f>"5983239"</f>
        <v>5983239</v>
      </c>
      <c r="B35791" t="s">
        <v>28952</v>
      </c>
      <c r="C35791" t="s">
        <v>119</v>
      </c>
      <c r="D35791" s="21" t="s">
        <v>34</v>
      </c>
      <c r="E35791" s="21" t="s">
        <v>71</v>
      </c>
      <c r="F35791">
        <v>7590402</v>
      </c>
      <c r="G35791" t="s">
        <v>1623</v>
      </c>
      <c r="H35791" s="21">
        <v>500</v>
      </c>
    </row>
    <row r="35792" spans="1:8" customFormat="1" x14ac:dyDescent="0.25">
      <c r="A35792" t="str">
        <f>"7920851"</f>
        <v>7920851</v>
      </c>
      <c r="B35792" t="s">
        <v>3661</v>
      </c>
      <c r="C35792" t="s">
        <v>60</v>
      </c>
      <c r="D35792" s="21" t="s">
        <v>34</v>
      </c>
      <c r="E35792" s="21" t="s">
        <v>35</v>
      </c>
      <c r="F35792">
        <v>10790020</v>
      </c>
      <c r="G35792" t="s">
        <v>10221</v>
      </c>
      <c r="H35792" s="21">
        <v>500</v>
      </c>
    </row>
    <row r="35793" spans="1:8" customFormat="1" x14ac:dyDescent="0.25">
      <c r="A35793" t="str">
        <f>"7524139"</f>
        <v>7524139</v>
      </c>
      <c r="B35793" t="s">
        <v>890</v>
      </c>
      <c r="C35793" t="s">
        <v>156</v>
      </c>
      <c r="D35793" s="21" t="s">
        <v>34</v>
      </c>
      <c r="E35793" s="21" t="s">
        <v>71</v>
      </c>
      <c r="F35793">
        <v>8751249</v>
      </c>
      <c r="G35793" t="s">
        <v>2803</v>
      </c>
      <c r="H35793" s="21">
        <v>500</v>
      </c>
    </row>
    <row r="35794" spans="1:8" customFormat="1" x14ac:dyDescent="0.25">
      <c r="A35794" t="str">
        <f>"3427285"</f>
        <v>3427285</v>
      </c>
      <c r="B35794" t="s">
        <v>13105</v>
      </c>
      <c r="C35794" t="s">
        <v>2546</v>
      </c>
      <c r="D35794" s="21" t="s">
        <v>34</v>
      </c>
      <c r="E35794" s="21" t="s">
        <v>71</v>
      </c>
      <c r="F35794">
        <v>11340012</v>
      </c>
      <c r="G35794" t="s">
        <v>10413</v>
      </c>
      <c r="H35794" s="21">
        <v>500</v>
      </c>
    </row>
    <row r="35795" spans="1:8" customFormat="1" x14ac:dyDescent="0.25">
      <c r="A35795" t="str">
        <f>"5973804"</f>
        <v>5973804</v>
      </c>
      <c r="B35795" t="s">
        <v>646</v>
      </c>
      <c r="C35795" t="s">
        <v>55</v>
      </c>
      <c r="D35795" s="21" t="s">
        <v>34</v>
      </c>
      <c r="E35795" s="21" t="s">
        <v>71</v>
      </c>
      <c r="F35795">
        <v>7590194</v>
      </c>
      <c r="G35795" t="s">
        <v>460</v>
      </c>
      <c r="H35795" s="21">
        <v>500</v>
      </c>
    </row>
    <row r="35796" spans="1:8" customFormat="1" x14ac:dyDescent="0.25">
      <c r="A35796" t="str">
        <f>"6234261"</f>
        <v>6234261</v>
      </c>
      <c r="B35796" t="s">
        <v>29129</v>
      </c>
      <c r="C35796" t="s">
        <v>169</v>
      </c>
      <c r="D35796" s="21" t="s">
        <v>34</v>
      </c>
      <c r="E35796" s="21" t="s">
        <v>35</v>
      </c>
      <c r="F35796">
        <v>7620092</v>
      </c>
      <c r="G35796" t="s">
        <v>9874</v>
      </c>
      <c r="H35796" s="21">
        <v>500</v>
      </c>
    </row>
    <row r="35797" spans="1:8" customFormat="1" x14ac:dyDescent="0.25">
      <c r="A35797" t="str">
        <f>"9147921"</f>
        <v>9147921</v>
      </c>
      <c r="B35797" t="s">
        <v>29130</v>
      </c>
      <c r="C35797" t="s">
        <v>510</v>
      </c>
      <c r="D35797" s="21" t="s">
        <v>34</v>
      </c>
      <c r="E35797" s="21" t="s">
        <v>71</v>
      </c>
      <c r="F35797">
        <v>8910591</v>
      </c>
      <c r="G35797" t="s">
        <v>9841</v>
      </c>
      <c r="H35797" s="21">
        <v>500</v>
      </c>
    </row>
    <row r="35798" spans="1:8" customFormat="1" x14ac:dyDescent="0.25">
      <c r="A35798" t="str">
        <f>"3721890"</f>
        <v>3721890</v>
      </c>
      <c r="B35798" t="s">
        <v>2738</v>
      </c>
      <c r="C35798" t="s">
        <v>114</v>
      </c>
      <c r="D35798" s="21" t="s">
        <v>34</v>
      </c>
      <c r="E35798" s="21" t="s">
        <v>35</v>
      </c>
      <c r="F35798">
        <v>4370583</v>
      </c>
      <c r="G35798" t="s">
        <v>13975</v>
      </c>
      <c r="H35798" s="21">
        <v>500</v>
      </c>
    </row>
    <row r="35799" spans="1:8" customFormat="1" x14ac:dyDescent="0.25">
      <c r="A35799" t="str">
        <f>"3012019"</f>
        <v>3012019</v>
      </c>
      <c r="B35799" t="s">
        <v>24406</v>
      </c>
      <c r="C35799" t="s">
        <v>119</v>
      </c>
      <c r="D35799" s="21" t="s">
        <v>34</v>
      </c>
      <c r="E35799" s="21" t="s">
        <v>71</v>
      </c>
      <c r="F35799">
        <v>11300010</v>
      </c>
      <c r="G35799" t="s">
        <v>6282</v>
      </c>
      <c r="H35799" s="21">
        <v>500</v>
      </c>
    </row>
    <row r="35800" spans="1:8" customFormat="1" x14ac:dyDescent="0.25">
      <c r="A35800" t="str">
        <f>"2217936"</f>
        <v>2217936</v>
      </c>
      <c r="B35800" t="s">
        <v>5475</v>
      </c>
      <c r="C35800" t="s">
        <v>209</v>
      </c>
      <c r="D35800" s="21" t="s">
        <v>34</v>
      </c>
      <c r="E35800" s="21" t="s">
        <v>254</v>
      </c>
      <c r="F35800">
        <v>3220064</v>
      </c>
      <c r="G35800" t="s">
        <v>26559</v>
      </c>
      <c r="H35800" s="21">
        <v>500</v>
      </c>
    </row>
    <row r="35801" spans="1:8" customFormat="1" x14ac:dyDescent="0.25">
      <c r="A35801" t="str">
        <f>"2719348"</f>
        <v>2719348</v>
      </c>
      <c r="B35801" t="s">
        <v>13862</v>
      </c>
      <c r="C35801" t="s">
        <v>209</v>
      </c>
      <c r="D35801" s="21" t="s">
        <v>34</v>
      </c>
      <c r="E35801" s="21" t="s">
        <v>254</v>
      </c>
      <c r="F35801">
        <v>9270152</v>
      </c>
      <c r="G35801" t="s">
        <v>1985</v>
      </c>
      <c r="H35801" s="21">
        <v>500</v>
      </c>
    </row>
    <row r="35802" spans="1:8" customFormat="1" x14ac:dyDescent="0.25">
      <c r="A35802" t="str">
        <f>"9B790"</f>
        <v>9B790</v>
      </c>
      <c r="B35802" t="s">
        <v>4095</v>
      </c>
      <c r="C35802" t="s">
        <v>40</v>
      </c>
      <c r="D35802" s="21" t="s">
        <v>34</v>
      </c>
      <c r="E35802" s="21" t="s">
        <v>35</v>
      </c>
      <c r="F35802" t="s">
        <v>17651</v>
      </c>
      <c r="G35802" t="s">
        <v>17652</v>
      </c>
      <c r="H35802" s="21">
        <v>500</v>
      </c>
    </row>
    <row r="35803" spans="1:8" customFormat="1" x14ac:dyDescent="0.25">
      <c r="A35803" t="str">
        <f>"6023425"</f>
        <v>6023425</v>
      </c>
      <c r="B35803" t="s">
        <v>5507</v>
      </c>
      <c r="C35803" t="s">
        <v>267</v>
      </c>
      <c r="D35803" s="21" t="s">
        <v>34</v>
      </c>
      <c r="E35803" s="21" t="s">
        <v>1089</v>
      </c>
      <c r="F35803">
        <v>7600170</v>
      </c>
      <c r="G35803" t="s">
        <v>16044</v>
      </c>
      <c r="H35803" s="21">
        <v>500</v>
      </c>
    </row>
    <row r="35804" spans="1:8" customFormat="1" x14ac:dyDescent="0.25">
      <c r="A35804" t="str">
        <f>"154082"</f>
        <v>154082</v>
      </c>
      <c r="B35804" t="s">
        <v>3208</v>
      </c>
      <c r="C35804" t="s">
        <v>985</v>
      </c>
      <c r="D35804" s="21" t="s">
        <v>34</v>
      </c>
      <c r="E35804" s="21" t="s">
        <v>35</v>
      </c>
      <c r="F35804">
        <v>1150290</v>
      </c>
      <c r="G35804" t="s">
        <v>12544</v>
      </c>
      <c r="H35804" s="21">
        <v>500</v>
      </c>
    </row>
    <row r="35805" spans="1:8" customFormat="1" x14ac:dyDescent="0.25">
      <c r="A35805" t="str">
        <f>"9537169"</f>
        <v>9537169</v>
      </c>
      <c r="B35805" t="s">
        <v>4124</v>
      </c>
      <c r="C35805" t="s">
        <v>1110</v>
      </c>
      <c r="D35805" s="21" t="s">
        <v>34</v>
      </c>
      <c r="E35805" s="21" t="s">
        <v>254</v>
      </c>
      <c r="F35805">
        <v>8950545</v>
      </c>
      <c r="G35805" t="s">
        <v>14503</v>
      </c>
      <c r="H35805" s="21">
        <v>500</v>
      </c>
    </row>
    <row r="35806" spans="1:8" customFormat="1" x14ac:dyDescent="0.25">
      <c r="A35806" t="str">
        <f>"4529933"</f>
        <v>4529933</v>
      </c>
      <c r="B35806" t="s">
        <v>29131</v>
      </c>
      <c r="C35806" t="s">
        <v>43</v>
      </c>
      <c r="D35806" s="21" t="s">
        <v>34</v>
      </c>
      <c r="E35806" s="21" t="s">
        <v>35</v>
      </c>
      <c r="F35806">
        <v>4450210</v>
      </c>
      <c r="G35806" t="s">
        <v>5249</v>
      </c>
      <c r="H35806" s="21">
        <v>500</v>
      </c>
    </row>
    <row r="35807" spans="1:8" customFormat="1" x14ac:dyDescent="0.25">
      <c r="A35807" t="str">
        <f>"311781"</f>
        <v>311781</v>
      </c>
      <c r="B35807" t="s">
        <v>24613</v>
      </c>
      <c r="C35807" t="s">
        <v>415</v>
      </c>
      <c r="D35807" s="21" t="s">
        <v>34</v>
      </c>
      <c r="E35807" s="21" t="s">
        <v>254</v>
      </c>
      <c r="F35807">
        <v>11310011</v>
      </c>
      <c r="G35807" t="s">
        <v>26586</v>
      </c>
      <c r="H35807" s="21">
        <v>500</v>
      </c>
    </row>
    <row r="35808" spans="1:8" customFormat="1" x14ac:dyDescent="0.25">
      <c r="A35808" t="str">
        <f>"5981117"</f>
        <v>5981117</v>
      </c>
      <c r="B35808" t="s">
        <v>3089</v>
      </c>
      <c r="C35808" t="s">
        <v>62</v>
      </c>
      <c r="D35808" s="21" t="s">
        <v>34</v>
      </c>
      <c r="E35808" s="21" t="s">
        <v>35</v>
      </c>
      <c r="F35808">
        <v>7590132</v>
      </c>
      <c r="G35808" t="s">
        <v>3204</v>
      </c>
      <c r="H35808" s="21">
        <v>500</v>
      </c>
    </row>
    <row r="35809" spans="1:8" customFormat="1" x14ac:dyDescent="0.25">
      <c r="A35809" t="str">
        <f>"6726544"</f>
        <v>6726544</v>
      </c>
      <c r="B35809" t="s">
        <v>3140</v>
      </c>
      <c r="C35809" t="s">
        <v>130</v>
      </c>
      <c r="D35809" s="21" t="s">
        <v>34</v>
      </c>
      <c r="E35809" s="21" t="s">
        <v>35</v>
      </c>
      <c r="F35809">
        <v>6670041</v>
      </c>
      <c r="G35809" t="s">
        <v>1971</v>
      </c>
      <c r="H35809" s="21">
        <v>500</v>
      </c>
    </row>
    <row r="35810" spans="1:8" customFormat="1" x14ac:dyDescent="0.25">
      <c r="A35810" t="str">
        <f>"0617330"</f>
        <v>0617330</v>
      </c>
      <c r="B35810" t="s">
        <v>23357</v>
      </c>
      <c r="C35810" t="s">
        <v>55</v>
      </c>
      <c r="D35810" s="21" t="s">
        <v>34</v>
      </c>
      <c r="E35810" s="21" t="s">
        <v>35</v>
      </c>
      <c r="F35810">
        <v>13060005</v>
      </c>
      <c r="G35810" t="s">
        <v>3609</v>
      </c>
      <c r="H35810" s="21">
        <v>500</v>
      </c>
    </row>
    <row r="35811" spans="1:8" customFormat="1" x14ac:dyDescent="0.25">
      <c r="A35811" t="str">
        <f>"525025"</f>
        <v>525025</v>
      </c>
      <c r="B35811" t="s">
        <v>509</v>
      </c>
      <c r="C35811" t="s">
        <v>139</v>
      </c>
      <c r="D35811" s="21" t="s">
        <v>34</v>
      </c>
      <c r="E35811" s="21" t="s">
        <v>35</v>
      </c>
      <c r="F35811">
        <v>6520040</v>
      </c>
      <c r="G35811" t="s">
        <v>16367</v>
      </c>
      <c r="H35811" s="21">
        <v>500</v>
      </c>
    </row>
    <row r="35812" spans="1:8" customFormat="1" x14ac:dyDescent="0.25">
      <c r="A35812" t="str">
        <f>"883146"</f>
        <v>883146</v>
      </c>
      <c r="B35812" t="s">
        <v>4355</v>
      </c>
      <c r="C35812" t="s">
        <v>664</v>
      </c>
      <c r="D35812" s="21" t="s">
        <v>34</v>
      </c>
      <c r="E35812" s="21" t="s">
        <v>71</v>
      </c>
      <c r="F35812">
        <v>6880145</v>
      </c>
      <c r="G35812" t="s">
        <v>1303</v>
      </c>
      <c r="H35812" s="21">
        <v>500</v>
      </c>
    </row>
    <row r="35813" spans="1:8" customFormat="1" x14ac:dyDescent="0.25">
      <c r="A35813" t="str">
        <f>"7523636"</f>
        <v>7523636</v>
      </c>
      <c r="B35813" t="s">
        <v>23066</v>
      </c>
      <c r="C35813" t="s">
        <v>598</v>
      </c>
      <c r="D35813" s="21" t="s">
        <v>34</v>
      </c>
      <c r="E35813" s="21" t="s">
        <v>254</v>
      </c>
      <c r="F35813">
        <v>8751458</v>
      </c>
      <c r="G35813" t="s">
        <v>23067</v>
      </c>
      <c r="H35813" s="21">
        <v>500</v>
      </c>
    </row>
    <row r="35814" spans="1:8" customFormat="1" x14ac:dyDescent="0.25">
      <c r="A35814" t="str">
        <f>"612339"</f>
        <v>612339</v>
      </c>
      <c r="B35814" t="s">
        <v>431</v>
      </c>
      <c r="C35814" t="s">
        <v>598</v>
      </c>
      <c r="D35814" s="21" t="s">
        <v>34</v>
      </c>
      <c r="E35814" s="21" t="s">
        <v>1089</v>
      </c>
      <c r="F35814">
        <v>9610043</v>
      </c>
      <c r="G35814" t="s">
        <v>9220</v>
      </c>
      <c r="H35814" s="21">
        <v>500</v>
      </c>
    </row>
    <row r="35815" spans="1:8" customFormat="1" x14ac:dyDescent="0.25">
      <c r="A35815" t="str">
        <f>"1320282"</f>
        <v>1320282</v>
      </c>
      <c r="B35815" t="s">
        <v>877</v>
      </c>
      <c r="C35815" t="s">
        <v>253</v>
      </c>
      <c r="D35815" s="21" t="s">
        <v>34</v>
      </c>
      <c r="E35815" s="21" t="s">
        <v>35</v>
      </c>
      <c r="F35815">
        <v>13130004</v>
      </c>
      <c r="G35815" t="s">
        <v>942</v>
      </c>
      <c r="H35815" s="21">
        <v>500</v>
      </c>
    </row>
    <row r="35816" spans="1:8" customFormat="1" x14ac:dyDescent="0.25">
      <c r="A35816" t="str">
        <f>"5937146"</f>
        <v>5937146</v>
      </c>
      <c r="B35816" t="s">
        <v>24742</v>
      </c>
      <c r="C35816" t="s">
        <v>2907</v>
      </c>
      <c r="D35816" s="21" t="s">
        <v>34</v>
      </c>
      <c r="E35816" s="21" t="s">
        <v>1089</v>
      </c>
      <c r="F35816">
        <v>7590047</v>
      </c>
      <c r="G35816" t="s">
        <v>5788</v>
      </c>
      <c r="H35816" s="21">
        <v>500</v>
      </c>
    </row>
    <row r="35817" spans="1:8" customFormat="1" x14ac:dyDescent="0.25">
      <c r="A35817" t="str">
        <f>"2617993"</f>
        <v>2617993</v>
      </c>
      <c r="B35817" t="s">
        <v>29132</v>
      </c>
      <c r="C35817" t="s">
        <v>336</v>
      </c>
      <c r="D35817" s="21" t="s">
        <v>34</v>
      </c>
      <c r="E35817" s="21" t="s">
        <v>1089</v>
      </c>
      <c r="F35817">
        <v>1260072</v>
      </c>
      <c r="G35817" t="s">
        <v>12420</v>
      </c>
      <c r="H35817" s="21">
        <v>500</v>
      </c>
    </row>
    <row r="35818" spans="1:8" customFormat="1" x14ac:dyDescent="0.25">
      <c r="A35818" t="str">
        <f>"492784"</f>
        <v>492784</v>
      </c>
      <c r="B35818" t="s">
        <v>7428</v>
      </c>
      <c r="C35818" t="s">
        <v>598</v>
      </c>
      <c r="D35818" s="21" t="s">
        <v>34</v>
      </c>
      <c r="E35818" s="21" t="s">
        <v>1089</v>
      </c>
      <c r="F35818">
        <v>12490047</v>
      </c>
      <c r="G35818" t="s">
        <v>23185</v>
      </c>
      <c r="H35818" s="21">
        <v>500</v>
      </c>
    </row>
    <row r="35819" spans="1:8" customFormat="1" x14ac:dyDescent="0.25">
      <c r="A35819" t="str">
        <f>"292041"</f>
        <v>292041</v>
      </c>
      <c r="B35819" t="s">
        <v>6236</v>
      </c>
      <c r="C35819" t="s">
        <v>598</v>
      </c>
      <c r="D35819" s="21" t="s">
        <v>34</v>
      </c>
      <c r="E35819" s="21" t="s">
        <v>254</v>
      </c>
      <c r="F35819">
        <v>3290029</v>
      </c>
      <c r="G35819" t="s">
        <v>11486</v>
      </c>
      <c r="H35819" s="21">
        <v>500</v>
      </c>
    </row>
    <row r="35820" spans="1:8" customFormat="1" x14ac:dyDescent="0.25">
      <c r="A35820" t="str">
        <f>"4528714"</f>
        <v>4528714</v>
      </c>
      <c r="B35820" t="s">
        <v>7346</v>
      </c>
      <c r="C35820" t="s">
        <v>415</v>
      </c>
      <c r="D35820" s="21" t="s">
        <v>34</v>
      </c>
      <c r="E35820" s="21" t="s">
        <v>71</v>
      </c>
      <c r="F35820">
        <v>4450031</v>
      </c>
      <c r="G35820" t="s">
        <v>18263</v>
      </c>
      <c r="H35820" s="21">
        <v>500</v>
      </c>
    </row>
    <row r="35821" spans="1:8" customFormat="1" x14ac:dyDescent="0.25">
      <c r="A35821" t="str">
        <f>"6310514"</f>
        <v>6310514</v>
      </c>
      <c r="B35821" t="s">
        <v>6517</v>
      </c>
      <c r="C35821" t="s">
        <v>23593</v>
      </c>
      <c r="D35821" s="21" t="s">
        <v>34</v>
      </c>
      <c r="E35821" s="21" t="s">
        <v>71</v>
      </c>
      <c r="F35821">
        <v>1630123</v>
      </c>
      <c r="G35821" t="s">
        <v>1036</v>
      </c>
      <c r="H35821" s="21">
        <v>500</v>
      </c>
    </row>
    <row r="35822" spans="1:8" customFormat="1" x14ac:dyDescent="0.25">
      <c r="A35822" t="str">
        <f>"3344636"</f>
        <v>3344636</v>
      </c>
      <c r="B35822" t="s">
        <v>8783</v>
      </c>
      <c r="C35822" t="s">
        <v>239</v>
      </c>
      <c r="D35822" s="21" t="s">
        <v>34</v>
      </c>
      <c r="E35822" s="21" t="s">
        <v>254</v>
      </c>
      <c r="F35822">
        <v>10330019</v>
      </c>
      <c r="G35822" t="s">
        <v>1761</v>
      </c>
      <c r="H35822" s="21">
        <v>500</v>
      </c>
    </row>
    <row r="35823" spans="1:8" customFormat="1" x14ac:dyDescent="0.25">
      <c r="A35823" t="str">
        <f>"6814686"</f>
        <v>6814686</v>
      </c>
      <c r="B35823" t="s">
        <v>9251</v>
      </c>
      <c r="C35823" t="s">
        <v>65</v>
      </c>
      <c r="D35823" s="21" t="s">
        <v>34</v>
      </c>
      <c r="E35823" s="21" t="s">
        <v>35</v>
      </c>
      <c r="F35823">
        <v>6680004</v>
      </c>
      <c r="G35823" t="s">
        <v>644</v>
      </c>
      <c r="H35823" s="21">
        <v>500</v>
      </c>
    </row>
    <row r="35824" spans="1:8" customFormat="1" x14ac:dyDescent="0.25">
      <c r="A35824" t="str">
        <f>"5957289"</f>
        <v>5957289</v>
      </c>
      <c r="B35824" t="s">
        <v>29133</v>
      </c>
      <c r="C35824" t="s">
        <v>328</v>
      </c>
      <c r="D35824" s="21" t="s">
        <v>34</v>
      </c>
      <c r="E35824" s="21" t="s">
        <v>35</v>
      </c>
      <c r="F35824">
        <v>7590288</v>
      </c>
      <c r="G35824" t="s">
        <v>6972</v>
      </c>
      <c r="H35824" s="21">
        <v>500</v>
      </c>
    </row>
    <row r="35825" spans="1:8" customFormat="1" x14ac:dyDescent="0.25">
      <c r="A35825" t="str">
        <f>"8017982"</f>
        <v>8017982</v>
      </c>
      <c r="B35825" t="s">
        <v>23942</v>
      </c>
      <c r="C35825" t="s">
        <v>121</v>
      </c>
      <c r="D35825" s="21" t="s">
        <v>34</v>
      </c>
      <c r="E35825" s="21" t="s">
        <v>71</v>
      </c>
      <c r="F35825">
        <v>7800156</v>
      </c>
      <c r="G35825" t="s">
        <v>12924</v>
      </c>
      <c r="H35825" s="21">
        <v>500</v>
      </c>
    </row>
    <row r="35826" spans="1:8" customFormat="1" x14ac:dyDescent="0.25">
      <c r="A35826" t="str">
        <f>"9225238"</f>
        <v>9225238</v>
      </c>
      <c r="B35826" t="s">
        <v>7066</v>
      </c>
      <c r="C35826" t="s">
        <v>1705</v>
      </c>
      <c r="D35826" s="21" t="s">
        <v>34</v>
      </c>
      <c r="E35826" s="21" t="s">
        <v>1089</v>
      </c>
      <c r="F35826">
        <v>10170064</v>
      </c>
      <c r="G35826" t="s">
        <v>1900</v>
      </c>
      <c r="H35826" s="21">
        <v>500</v>
      </c>
    </row>
    <row r="35827" spans="1:8" customFormat="1" x14ac:dyDescent="0.25">
      <c r="A35827" t="str">
        <f>"6315985"</f>
        <v>6315985</v>
      </c>
      <c r="B35827" t="s">
        <v>22995</v>
      </c>
      <c r="C35827" t="s">
        <v>169</v>
      </c>
      <c r="D35827" s="21" t="s">
        <v>34</v>
      </c>
      <c r="E35827" s="21" t="s">
        <v>35</v>
      </c>
      <c r="F35827">
        <v>1630085</v>
      </c>
      <c r="G35827" t="s">
        <v>2968</v>
      </c>
      <c r="H35827" s="21">
        <v>500</v>
      </c>
    </row>
    <row r="35828" spans="1:8" customFormat="1" x14ac:dyDescent="0.25">
      <c r="A35828" t="str">
        <f>"5983155"</f>
        <v>5983155</v>
      </c>
      <c r="B35828" t="s">
        <v>650</v>
      </c>
      <c r="C35828" t="s">
        <v>55</v>
      </c>
      <c r="D35828" s="21" t="s">
        <v>34</v>
      </c>
      <c r="E35828" s="21" t="s">
        <v>71</v>
      </c>
      <c r="F35828">
        <v>7590021</v>
      </c>
      <c r="G35828" t="s">
        <v>4910</v>
      </c>
      <c r="H35828" s="21">
        <v>500</v>
      </c>
    </row>
    <row r="35829" spans="1:8" customFormat="1" x14ac:dyDescent="0.25">
      <c r="A35829" t="str">
        <f>"575347"</f>
        <v>575347</v>
      </c>
      <c r="B35829" t="s">
        <v>18413</v>
      </c>
      <c r="C35829" t="s">
        <v>1110</v>
      </c>
      <c r="D35829" s="21" t="s">
        <v>34</v>
      </c>
      <c r="E35829" s="21" t="s">
        <v>1089</v>
      </c>
      <c r="F35829">
        <v>6570125</v>
      </c>
      <c r="G35829" t="s">
        <v>14599</v>
      </c>
      <c r="H35829" s="21">
        <v>500</v>
      </c>
    </row>
    <row r="35830" spans="1:8" customFormat="1" x14ac:dyDescent="0.25">
      <c r="A35830" t="str">
        <f>"1426655"</f>
        <v>1426655</v>
      </c>
      <c r="B35830" t="s">
        <v>10977</v>
      </c>
      <c r="C35830" t="s">
        <v>55</v>
      </c>
      <c r="D35830" s="21" t="s">
        <v>34</v>
      </c>
      <c r="E35830" s="21" t="s">
        <v>71</v>
      </c>
      <c r="F35830">
        <v>9140013</v>
      </c>
      <c r="G35830" t="s">
        <v>1837</v>
      </c>
      <c r="H35830" s="21">
        <v>500</v>
      </c>
    </row>
    <row r="35831" spans="1:8" customFormat="1" x14ac:dyDescent="0.25">
      <c r="A35831" t="str">
        <f>"113175"</f>
        <v>113175</v>
      </c>
      <c r="B35831" t="s">
        <v>22775</v>
      </c>
      <c r="C35831" t="s">
        <v>3098</v>
      </c>
      <c r="D35831" s="21" t="s">
        <v>34</v>
      </c>
      <c r="E35831" s="21" t="s">
        <v>35</v>
      </c>
      <c r="F35831">
        <v>11110026</v>
      </c>
      <c r="G35831" t="s">
        <v>17718</v>
      </c>
      <c r="H35831" s="21">
        <v>500</v>
      </c>
    </row>
    <row r="35832" spans="1:8" customFormat="1" x14ac:dyDescent="0.25">
      <c r="A35832" t="str">
        <f>"6944613"</f>
        <v>6944613</v>
      </c>
      <c r="B35832" t="s">
        <v>2645</v>
      </c>
      <c r="C35832" t="s">
        <v>40</v>
      </c>
      <c r="D35832" s="21" t="s">
        <v>34</v>
      </c>
      <c r="E35832" s="21" t="s">
        <v>71</v>
      </c>
      <c r="F35832">
        <v>1690147</v>
      </c>
      <c r="G35832" t="s">
        <v>7245</v>
      </c>
      <c r="H35832" s="21">
        <v>500</v>
      </c>
    </row>
    <row r="35833" spans="1:8" customFormat="1" x14ac:dyDescent="0.25">
      <c r="A35833" t="str">
        <f>"6725038"</f>
        <v>6725038</v>
      </c>
      <c r="B35833" t="s">
        <v>22955</v>
      </c>
      <c r="C35833" t="s">
        <v>598</v>
      </c>
      <c r="D35833" s="21" t="s">
        <v>34</v>
      </c>
      <c r="E35833" s="21" t="s">
        <v>254</v>
      </c>
      <c r="F35833">
        <v>6670201</v>
      </c>
      <c r="G35833" t="s">
        <v>8483</v>
      </c>
      <c r="H35833" s="21">
        <v>500</v>
      </c>
    </row>
    <row r="35834" spans="1:8" customFormat="1" x14ac:dyDescent="0.25">
      <c r="A35834" t="str">
        <f>"668191"</f>
        <v>668191</v>
      </c>
      <c r="B35834" t="s">
        <v>4685</v>
      </c>
      <c r="C35834" t="s">
        <v>2907</v>
      </c>
      <c r="D35834" s="21" t="s">
        <v>34</v>
      </c>
      <c r="E35834" s="21" t="s">
        <v>71</v>
      </c>
      <c r="F35834">
        <v>11660007</v>
      </c>
      <c r="G35834" t="s">
        <v>5840</v>
      </c>
      <c r="H35834" s="21">
        <v>500</v>
      </c>
    </row>
    <row r="35835" spans="1:8" customFormat="1" x14ac:dyDescent="0.25">
      <c r="A35835" t="str">
        <f>"7812869"</f>
        <v>7812869</v>
      </c>
      <c r="B35835" t="s">
        <v>22527</v>
      </c>
      <c r="C35835" t="s">
        <v>598</v>
      </c>
      <c r="D35835" s="21" t="s">
        <v>34</v>
      </c>
      <c r="E35835" s="21" t="s">
        <v>254</v>
      </c>
      <c r="F35835">
        <v>8780080</v>
      </c>
      <c r="G35835" t="s">
        <v>865</v>
      </c>
      <c r="H35835" s="21">
        <v>500</v>
      </c>
    </row>
    <row r="35836" spans="1:8" customFormat="1" x14ac:dyDescent="0.25">
      <c r="A35836" t="str">
        <f>"1318845"</f>
        <v>1318845</v>
      </c>
      <c r="B35836" t="s">
        <v>1192</v>
      </c>
      <c r="C35836" t="s">
        <v>4831</v>
      </c>
      <c r="D35836" s="21" t="s">
        <v>34</v>
      </c>
      <c r="E35836" s="21" t="s">
        <v>254</v>
      </c>
      <c r="F35836">
        <v>13130165</v>
      </c>
      <c r="G35836" t="s">
        <v>2827</v>
      </c>
      <c r="H35836" s="21">
        <v>500</v>
      </c>
    </row>
    <row r="35837" spans="1:8" customFormat="1" x14ac:dyDescent="0.25">
      <c r="A35837" t="str">
        <f>"7812676"</f>
        <v>7812676</v>
      </c>
      <c r="B35837" t="s">
        <v>23268</v>
      </c>
      <c r="C35837" t="s">
        <v>1588</v>
      </c>
      <c r="D35837" s="21" t="s">
        <v>34</v>
      </c>
      <c r="E35837" s="21" t="s">
        <v>1089</v>
      </c>
      <c r="F35837">
        <v>8780496</v>
      </c>
      <c r="G35837" t="s">
        <v>2477</v>
      </c>
      <c r="H35837" s="21">
        <v>500</v>
      </c>
    </row>
    <row r="35838" spans="1:8" customFormat="1" x14ac:dyDescent="0.25">
      <c r="A35838" t="str">
        <f>"8527534"</f>
        <v>8527534</v>
      </c>
      <c r="B35838" t="s">
        <v>22769</v>
      </c>
      <c r="C35838" t="s">
        <v>11750</v>
      </c>
      <c r="D35838" s="21" t="s">
        <v>34</v>
      </c>
      <c r="E35838" s="21" t="s">
        <v>35</v>
      </c>
      <c r="F35838">
        <v>12850057</v>
      </c>
      <c r="G35838" t="s">
        <v>1291</v>
      </c>
      <c r="H35838" s="21">
        <v>500</v>
      </c>
    </row>
    <row r="35839" spans="1:8" customFormat="1" x14ac:dyDescent="0.25">
      <c r="A35839" t="str">
        <f>"1717236"</f>
        <v>1717236</v>
      </c>
      <c r="B35839" t="s">
        <v>11298</v>
      </c>
      <c r="C35839" t="s">
        <v>98</v>
      </c>
      <c r="D35839" s="21" t="s">
        <v>34</v>
      </c>
      <c r="E35839" s="21" t="s">
        <v>35</v>
      </c>
      <c r="F35839">
        <v>10170229</v>
      </c>
      <c r="G35839" t="s">
        <v>11677</v>
      </c>
      <c r="H35839" s="21">
        <v>500</v>
      </c>
    </row>
    <row r="35840" spans="1:8" customFormat="1" x14ac:dyDescent="0.25">
      <c r="A35840" t="str">
        <f>"905932"</f>
        <v>905932</v>
      </c>
      <c r="B35840" t="s">
        <v>29134</v>
      </c>
      <c r="C35840" t="s">
        <v>249</v>
      </c>
      <c r="D35840" s="21" t="s">
        <v>34</v>
      </c>
      <c r="E35840" s="21" t="s">
        <v>71</v>
      </c>
      <c r="F35840">
        <v>2900028</v>
      </c>
      <c r="G35840" t="s">
        <v>1541</v>
      </c>
      <c r="H35840" s="21">
        <v>500</v>
      </c>
    </row>
    <row r="35841" spans="1:8" customFormat="1" x14ac:dyDescent="0.25">
      <c r="A35841" t="str">
        <f>"9146551"</f>
        <v>9146551</v>
      </c>
      <c r="B35841" t="s">
        <v>24465</v>
      </c>
      <c r="C35841" t="s">
        <v>60</v>
      </c>
      <c r="D35841" s="21" t="s">
        <v>34</v>
      </c>
      <c r="E35841" s="21" t="s">
        <v>35</v>
      </c>
      <c r="F35841">
        <v>8911368</v>
      </c>
      <c r="G35841" t="s">
        <v>12227</v>
      </c>
      <c r="H35841" s="21">
        <v>500</v>
      </c>
    </row>
    <row r="35842" spans="1:8" customFormat="1" x14ac:dyDescent="0.25">
      <c r="A35842" t="str">
        <f>"6713382"</f>
        <v>6713382</v>
      </c>
      <c r="B35842" t="s">
        <v>22804</v>
      </c>
      <c r="C35842" t="s">
        <v>2546</v>
      </c>
      <c r="D35842" s="21" t="s">
        <v>34</v>
      </c>
      <c r="E35842" s="21" t="s">
        <v>1089</v>
      </c>
      <c r="F35842">
        <v>6670247</v>
      </c>
      <c r="G35842" t="s">
        <v>7594</v>
      </c>
      <c r="H35842" s="21">
        <v>500</v>
      </c>
    </row>
    <row r="35843" spans="1:8" customFormat="1" x14ac:dyDescent="0.25">
      <c r="A35843" t="str">
        <f>"9450929"</f>
        <v>9450929</v>
      </c>
      <c r="B35843" t="s">
        <v>29135</v>
      </c>
      <c r="C35843" t="s">
        <v>151</v>
      </c>
      <c r="D35843" s="21" t="s">
        <v>34</v>
      </c>
      <c r="E35843" s="21" t="s">
        <v>254</v>
      </c>
      <c r="F35843">
        <v>7020001</v>
      </c>
      <c r="G35843" t="s">
        <v>3854</v>
      </c>
      <c r="H35843" s="21">
        <v>500</v>
      </c>
    </row>
    <row r="35844" spans="1:8" customFormat="1" x14ac:dyDescent="0.25">
      <c r="A35844" t="str">
        <f>"9H791"</f>
        <v>9H791</v>
      </c>
      <c r="B35844" t="s">
        <v>5696</v>
      </c>
      <c r="C35844" t="s">
        <v>598</v>
      </c>
      <c r="D35844" s="21" t="s">
        <v>34</v>
      </c>
      <c r="E35844" s="21" t="s">
        <v>1089</v>
      </c>
      <c r="F35844" t="s">
        <v>23264</v>
      </c>
      <c r="G35844" t="s">
        <v>23265</v>
      </c>
      <c r="H35844" s="21">
        <v>500</v>
      </c>
    </row>
    <row r="35845" spans="1:8" customFormat="1" x14ac:dyDescent="0.25">
      <c r="A35845" t="str">
        <f>"1313992"</f>
        <v>1313992</v>
      </c>
      <c r="B35845" t="s">
        <v>6088</v>
      </c>
      <c r="C35845" t="s">
        <v>121</v>
      </c>
      <c r="D35845" s="21" t="s">
        <v>34</v>
      </c>
      <c r="E35845" s="21" t="s">
        <v>35</v>
      </c>
      <c r="F35845">
        <v>13130148</v>
      </c>
      <c r="G35845" t="s">
        <v>12894</v>
      </c>
      <c r="H35845" s="21">
        <v>500</v>
      </c>
    </row>
    <row r="35846" spans="1:8" customFormat="1" x14ac:dyDescent="0.25">
      <c r="A35846" t="str">
        <f>"45243"</f>
        <v>45243</v>
      </c>
      <c r="B35846" t="s">
        <v>22802</v>
      </c>
      <c r="C35846" t="s">
        <v>453</v>
      </c>
      <c r="D35846" s="21" t="s">
        <v>34</v>
      </c>
      <c r="E35846" s="21" t="s">
        <v>1089</v>
      </c>
      <c r="F35846">
        <v>4450031</v>
      </c>
      <c r="G35846" t="s">
        <v>18263</v>
      </c>
      <c r="H35846" s="21">
        <v>500</v>
      </c>
    </row>
    <row r="35847" spans="1:8" customFormat="1" x14ac:dyDescent="0.25">
      <c r="A35847" t="str">
        <f>"3710560"</f>
        <v>3710560</v>
      </c>
      <c r="B35847" t="s">
        <v>3367</v>
      </c>
      <c r="C35847" t="s">
        <v>211</v>
      </c>
      <c r="D35847" s="21" t="s">
        <v>34</v>
      </c>
      <c r="E35847" s="21" t="s">
        <v>254</v>
      </c>
      <c r="F35847">
        <v>4370033</v>
      </c>
      <c r="G35847" t="s">
        <v>7556</v>
      </c>
      <c r="H35847" s="21">
        <v>500</v>
      </c>
    </row>
    <row r="35848" spans="1:8" customFormat="1" x14ac:dyDescent="0.25">
      <c r="A35848" t="str">
        <f>"9W72"</f>
        <v>9W72</v>
      </c>
      <c r="B35848" t="s">
        <v>23025</v>
      </c>
      <c r="C35848" t="s">
        <v>23026</v>
      </c>
      <c r="D35848" s="21" t="s">
        <v>34</v>
      </c>
      <c r="E35848" s="21" t="s">
        <v>71</v>
      </c>
      <c r="F35848" t="s">
        <v>23027</v>
      </c>
      <c r="G35848" t="s">
        <v>28713</v>
      </c>
      <c r="H35848" s="21">
        <v>500</v>
      </c>
    </row>
    <row r="35849" spans="1:8" customFormat="1" x14ac:dyDescent="0.25">
      <c r="A35849" t="str">
        <f>"7414797"</f>
        <v>7414797</v>
      </c>
      <c r="B35849" t="s">
        <v>29136</v>
      </c>
      <c r="C35849" t="s">
        <v>198</v>
      </c>
      <c r="D35849" s="21" t="s">
        <v>34</v>
      </c>
      <c r="E35849" s="21" t="s">
        <v>71</v>
      </c>
      <c r="F35849">
        <v>1740087</v>
      </c>
      <c r="G35849" t="s">
        <v>10858</v>
      </c>
      <c r="H35849" s="21">
        <v>500</v>
      </c>
    </row>
    <row r="35850" spans="1:8" customFormat="1" x14ac:dyDescent="0.25">
      <c r="A35850" t="str">
        <f>"585720"</f>
        <v>585720</v>
      </c>
      <c r="B35850" t="s">
        <v>6424</v>
      </c>
      <c r="C35850" t="s">
        <v>40</v>
      </c>
      <c r="D35850" s="21" t="s">
        <v>34</v>
      </c>
      <c r="E35850" s="21" t="s">
        <v>254</v>
      </c>
      <c r="F35850">
        <v>2580042</v>
      </c>
      <c r="G35850" t="s">
        <v>1161</v>
      </c>
      <c r="H35850" s="21">
        <v>500</v>
      </c>
    </row>
    <row r="35851" spans="1:8" customFormat="1" x14ac:dyDescent="0.25">
      <c r="A35851" t="str">
        <f>"051251"</f>
        <v>051251</v>
      </c>
      <c r="B35851" t="s">
        <v>23184</v>
      </c>
      <c r="C35851" t="s">
        <v>236</v>
      </c>
      <c r="D35851" s="21" t="s">
        <v>34</v>
      </c>
      <c r="E35851" s="21" t="s">
        <v>254</v>
      </c>
      <c r="F35851">
        <v>13050025</v>
      </c>
      <c r="G35851" t="s">
        <v>21714</v>
      </c>
      <c r="H35851" s="21">
        <v>500</v>
      </c>
    </row>
    <row r="35852" spans="1:8" customFormat="1" x14ac:dyDescent="0.25">
      <c r="A35852" t="str">
        <f>"807397"</f>
        <v>807397</v>
      </c>
      <c r="B35852" t="s">
        <v>582</v>
      </c>
      <c r="C35852" t="s">
        <v>415</v>
      </c>
      <c r="D35852" s="21" t="s">
        <v>34</v>
      </c>
      <c r="E35852" s="21" t="s">
        <v>254</v>
      </c>
      <c r="F35852">
        <v>7800117</v>
      </c>
      <c r="G35852" t="s">
        <v>20999</v>
      </c>
      <c r="H35852" s="21">
        <v>500</v>
      </c>
    </row>
    <row r="35853" spans="1:8" customFormat="1" x14ac:dyDescent="0.25">
      <c r="A35853" t="str">
        <f>"7844784"</f>
        <v>7844784</v>
      </c>
      <c r="B35853" t="s">
        <v>23615</v>
      </c>
      <c r="C35853" t="s">
        <v>547</v>
      </c>
      <c r="D35853" s="21" t="s">
        <v>34</v>
      </c>
      <c r="E35853" s="21" t="s">
        <v>6185</v>
      </c>
      <c r="F35853">
        <v>8781465</v>
      </c>
      <c r="G35853" t="s">
        <v>23083</v>
      </c>
      <c r="H35853" s="21">
        <v>500</v>
      </c>
    </row>
    <row r="35854" spans="1:8" customFormat="1" x14ac:dyDescent="0.25">
      <c r="A35854" t="str">
        <f>"595462"</f>
        <v>595462</v>
      </c>
      <c r="B35854" t="s">
        <v>22324</v>
      </c>
      <c r="C35854" t="s">
        <v>598</v>
      </c>
      <c r="D35854" s="21" t="s">
        <v>34</v>
      </c>
      <c r="E35854" s="21" t="s">
        <v>254</v>
      </c>
      <c r="F35854">
        <v>7590354</v>
      </c>
      <c r="G35854" t="s">
        <v>5786</v>
      </c>
      <c r="H35854" s="21">
        <v>500</v>
      </c>
    </row>
    <row r="35855" spans="1:8" customFormat="1" x14ac:dyDescent="0.25">
      <c r="A35855" t="str">
        <f>"7732274"</f>
        <v>7732274</v>
      </c>
      <c r="B35855" t="s">
        <v>2124</v>
      </c>
      <c r="C35855" t="s">
        <v>598</v>
      </c>
      <c r="D35855" s="21" t="s">
        <v>34</v>
      </c>
      <c r="E35855" s="21" t="s">
        <v>71</v>
      </c>
      <c r="F35855">
        <v>8770937</v>
      </c>
      <c r="G35855" t="s">
        <v>2119</v>
      </c>
      <c r="H35855" s="21">
        <v>500</v>
      </c>
    </row>
    <row r="35856" spans="1:8" customFormat="1" x14ac:dyDescent="0.25">
      <c r="A35856" t="str">
        <f>"5617648"</f>
        <v>5617648</v>
      </c>
      <c r="B35856" t="s">
        <v>29137</v>
      </c>
      <c r="C35856" t="s">
        <v>187</v>
      </c>
      <c r="D35856" s="21" t="s">
        <v>34</v>
      </c>
      <c r="E35856" s="21" t="s">
        <v>254</v>
      </c>
      <c r="F35856">
        <v>3560027</v>
      </c>
      <c r="G35856" t="s">
        <v>27143</v>
      </c>
      <c r="H35856" s="21">
        <v>500</v>
      </c>
    </row>
    <row r="35857" spans="1:8" customFormat="1" x14ac:dyDescent="0.25">
      <c r="A35857" t="str">
        <f>"039373"</f>
        <v>039373</v>
      </c>
      <c r="B35857" t="s">
        <v>29138</v>
      </c>
      <c r="C35857" t="s">
        <v>720</v>
      </c>
      <c r="D35857" s="21" t="s">
        <v>34</v>
      </c>
      <c r="E35857" s="21" t="s">
        <v>1089</v>
      </c>
      <c r="F35857">
        <v>1030319</v>
      </c>
      <c r="G35857" t="s">
        <v>27956</v>
      </c>
      <c r="H35857" s="21">
        <v>500</v>
      </c>
    </row>
    <row r="35858" spans="1:8" customFormat="1" x14ac:dyDescent="0.25">
      <c r="A35858" t="str">
        <f>"9244016"</f>
        <v>9244016</v>
      </c>
      <c r="B35858" t="s">
        <v>7778</v>
      </c>
      <c r="C35858" t="s">
        <v>6486</v>
      </c>
      <c r="D35858" s="21" t="s">
        <v>34</v>
      </c>
      <c r="E35858" s="21" t="s">
        <v>254</v>
      </c>
      <c r="F35858">
        <v>8921190</v>
      </c>
      <c r="G35858" t="s">
        <v>810</v>
      </c>
      <c r="H35858" s="21">
        <v>500</v>
      </c>
    </row>
    <row r="35859" spans="1:8" customFormat="1" x14ac:dyDescent="0.25">
      <c r="A35859" t="str">
        <f>"7217204"</f>
        <v>7217204</v>
      </c>
      <c r="B35859" t="s">
        <v>1626</v>
      </c>
      <c r="C35859" t="s">
        <v>275</v>
      </c>
      <c r="D35859" s="21" t="s">
        <v>34</v>
      </c>
      <c r="E35859" s="21" t="s">
        <v>35</v>
      </c>
      <c r="F35859">
        <v>12720143</v>
      </c>
      <c r="G35859" t="s">
        <v>3881</v>
      </c>
      <c r="H35859" s="21">
        <v>500</v>
      </c>
    </row>
    <row r="35860" spans="1:8" customFormat="1" x14ac:dyDescent="0.25">
      <c r="A35860" t="str">
        <f>"9W14"</f>
        <v>9W14</v>
      </c>
      <c r="B35860" t="s">
        <v>19487</v>
      </c>
      <c r="C35860" t="s">
        <v>1489</v>
      </c>
      <c r="D35860" s="21" t="s">
        <v>34</v>
      </c>
      <c r="E35860" s="21" t="s">
        <v>35</v>
      </c>
      <c r="F35860" t="s">
        <v>23027</v>
      </c>
      <c r="G35860" t="s">
        <v>28713</v>
      </c>
      <c r="H35860" s="21">
        <v>500</v>
      </c>
    </row>
    <row r="35861" spans="1:8" customFormat="1" x14ac:dyDescent="0.25">
      <c r="A35861" t="str">
        <f>"215097"</f>
        <v>215097</v>
      </c>
      <c r="B35861" t="s">
        <v>12082</v>
      </c>
      <c r="C35861" t="s">
        <v>415</v>
      </c>
      <c r="D35861" s="21" t="s">
        <v>34</v>
      </c>
      <c r="E35861" s="21" t="s">
        <v>254</v>
      </c>
      <c r="F35861">
        <v>2210102</v>
      </c>
      <c r="G35861" t="s">
        <v>18723</v>
      </c>
      <c r="H35861" s="21">
        <v>500</v>
      </c>
    </row>
    <row r="35862" spans="1:8" customFormat="1" x14ac:dyDescent="0.25">
      <c r="A35862" t="str">
        <f>"848545"</f>
        <v>848545</v>
      </c>
      <c r="B35862" t="s">
        <v>29139</v>
      </c>
      <c r="C35862" t="s">
        <v>114</v>
      </c>
      <c r="D35862" s="21" t="s">
        <v>34</v>
      </c>
      <c r="E35862" s="21" t="s">
        <v>254</v>
      </c>
      <c r="F35862">
        <v>13840005</v>
      </c>
      <c r="G35862" t="s">
        <v>2145</v>
      </c>
      <c r="H35862" s="21">
        <v>500</v>
      </c>
    </row>
    <row r="35863" spans="1:8" customFormat="1" x14ac:dyDescent="0.25">
      <c r="A35863" t="str">
        <f>"0115723"</f>
        <v>0115723</v>
      </c>
      <c r="B35863" t="s">
        <v>1959</v>
      </c>
      <c r="C35863" t="s">
        <v>576</v>
      </c>
      <c r="D35863" s="21" t="s">
        <v>34</v>
      </c>
      <c r="E35863" s="21" t="s">
        <v>35</v>
      </c>
      <c r="F35863">
        <v>1010027</v>
      </c>
      <c r="G35863" t="s">
        <v>6318</v>
      </c>
      <c r="H35863" s="21">
        <v>500</v>
      </c>
    </row>
    <row r="35864" spans="1:8" customFormat="1" x14ac:dyDescent="0.25">
      <c r="A35864" t="str">
        <f>"898131"</f>
        <v>898131</v>
      </c>
      <c r="B35864" t="s">
        <v>16992</v>
      </c>
      <c r="C35864" t="s">
        <v>239</v>
      </c>
      <c r="D35864" s="21" t="s">
        <v>34</v>
      </c>
      <c r="E35864" s="21" t="s">
        <v>71</v>
      </c>
      <c r="F35864">
        <v>2890019</v>
      </c>
      <c r="G35864" t="s">
        <v>1857</v>
      </c>
      <c r="H35864" s="21">
        <v>500</v>
      </c>
    </row>
    <row r="35865" spans="1:8" customFormat="1" x14ac:dyDescent="0.25">
      <c r="A35865" t="str">
        <f>"1614098"</f>
        <v>1614098</v>
      </c>
      <c r="B35865" t="s">
        <v>29140</v>
      </c>
      <c r="C35865" t="s">
        <v>187</v>
      </c>
      <c r="D35865" s="21" t="s">
        <v>34</v>
      </c>
      <c r="E35865" s="21" t="s">
        <v>71</v>
      </c>
      <c r="F35865">
        <v>10160029</v>
      </c>
      <c r="G35865" t="s">
        <v>896</v>
      </c>
      <c r="H35865" s="21">
        <v>500</v>
      </c>
    </row>
    <row r="35866" spans="1:8" customFormat="1" x14ac:dyDescent="0.25">
      <c r="A35866" t="str">
        <f>"7731688"</f>
        <v>7731688</v>
      </c>
      <c r="B35866" t="s">
        <v>1252</v>
      </c>
      <c r="C35866" t="s">
        <v>236</v>
      </c>
      <c r="D35866" s="21" t="s">
        <v>34</v>
      </c>
      <c r="E35866" s="21" t="s">
        <v>254</v>
      </c>
      <c r="F35866">
        <v>8771402</v>
      </c>
      <c r="G35866" t="s">
        <v>15493</v>
      </c>
      <c r="H35866" s="21">
        <v>500</v>
      </c>
    </row>
    <row r="35867" spans="1:8" customFormat="1" x14ac:dyDescent="0.25">
      <c r="A35867" t="str">
        <f>"9239849"</f>
        <v>9239849</v>
      </c>
      <c r="B35867" t="s">
        <v>23125</v>
      </c>
      <c r="C35867" t="s">
        <v>204</v>
      </c>
      <c r="D35867" s="21" t="s">
        <v>34</v>
      </c>
      <c r="E35867" s="21" t="s">
        <v>35</v>
      </c>
      <c r="F35867">
        <v>8931462</v>
      </c>
      <c r="G35867" t="s">
        <v>14683</v>
      </c>
      <c r="H35867" s="21">
        <v>500</v>
      </c>
    </row>
    <row r="35868" spans="1:8" customFormat="1" x14ac:dyDescent="0.25">
      <c r="A35868" t="str">
        <f>"9535759"</f>
        <v>9535759</v>
      </c>
      <c r="B35868" t="s">
        <v>7512</v>
      </c>
      <c r="C35868" t="s">
        <v>209</v>
      </c>
      <c r="D35868" s="21" t="s">
        <v>34</v>
      </c>
      <c r="E35868" s="21" t="s">
        <v>35</v>
      </c>
      <c r="F35868">
        <v>8951399</v>
      </c>
      <c r="G35868" t="s">
        <v>6745</v>
      </c>
      <c r="H35868" s="21">
        <v>500</v>
      </c>
    </row>
    <row r="35869" spans="1:8" customFormat="1" x14ac:dyDescent="0.25">
      <c r="A35869" t="str">
        <f>"677447"</f>
        <v>677447</v>
      </c>
      <c r="B35869" t="s">
        <v>23108</v>
      </c>
      <c r="C35869" t="s">
        <v>1539</v>
      </c>
      <c r="D35869" s="21" t="s">
        <v>34</v>
      </c>
      <c r="E35869" s="21" t="s">
        <v>254</v>
      </c>
      <c r="F35869">
        <v>6670115</v>
      </c>
      <c r="G35869" t="s">
        <v>3798</v>
      </c>
      <c r="H35869" s="21">
        <v>500</v>
      </c>
    </row>
    <row r="35870" spans="1:8" customFormat="1" x14ac:dyDescent="0.25">
      <c r="A35870" t="str">
        <f>"9538058"</f>
        <v>9538058</v>
      </c>
      <c r="B35870" t="s">
        <v>29141</v>
      </c>
      <c r="C35870" t="s">
        <v>13785</v>
      </c>
      <c r="D35870" s="21" t="s">
        <v>34</v>
      </c>
      <c r="E35870" s="21" t="s">
        <v>71</v>
      </c>
      <c r="F35870">
        <v>8951399</v>
      </c>
      <c r="G35870" t="s">
        <v>6745</v>
      </c>
      <c r="H35870" s="21">
        <v>500</v>
      </c>
    </row>
    <row r="35871" spans="1:8" customFormat="1" x14ac:dyDescent="0.25">
      <c r="A35871" t="str">
        <f>"9423659"</f>
        <v>9423659</v>
      </c>
      <c r="B35871" t="s">
        <v>14933</v>
      </c>
      <c r="C35871" t="s">
        <v>891</v>
      </c>
      <c r="D35871" s="21" t="s">
        <v>34</v>
      </c>
      <c r="E35871" s="21" t="s">
        <v>71</v>
      </c>
      <c r="F35871">
        <v>8940030</v>
      </c>
      <c r="G35871" t="s">
        <v>7068</v>
      </c>
      <c r="H35871" s="21">
        <v>500</v>
      </c>
    </row>
    <row r="35872" spans="1:8" customFormat="1" x14ac:dyDescent="0.25">
      <c r="A35872" t="str">
        <f>"5723477"</f>
        <v>5723477</v>
      </c>
      <c r="B35872" t="s">
        <v>19043</v>
      </c>
      <c r="C35872" t="s">
        <v>267</v>
      </c>
      <c r="D35872" s="21" t="s">
        <v>34</v>
      </c>
      <c r="E35872" s="21" t="s">
        <v>71</v>
      </c>
      <c r="F35872">
        <v>6570200</v>
      </c>
      <c r="G35872" t="s">
        <v>10682</v>
      </c>
      <c r="H35872" s="21">
        <v>500</v>
      </c>
    </row>
    <row r="35873" spans="1:8" customFormat="1" x14ac:dyDescent="0.25">
      <c r="A35873" t="str">
        <f>"673129"</f>
        <v>673129</v>
      </c>
      <c r="B35873" t="s">
        <v>1883</v>
      </c>
      <c r="C35873" t="s">
        <v>2546</v>
      </c>
      <c r="D35873" s="21" t="s">
        <v>34</v>
      </c>
      <c r="E35873" s="21" t="s">
        <v>254</v>
      </c>
      <c r="F35873">
        <v>6670010</v>
      </c>
      <c r="G35873" t="s">
        <v>721</v>
      </c>
      <c r="H35873" s="21">
        <v>500</v>
      </c>
    </row>
    <row r="35874" spans="1:8" customFormat="1" x14ac:dyDescent="0.25">
      <c r="A35874" t="str">
        <f>"1320722"</f>
        <v>1320722</v>
      </c>
      <c r="B35874" t="s">
        <v>23047</v>
      </c>
      <c r="C35874" t="s">
        <v>171</v>
      </c>
      <c r="D35874" s="21" t="s">
        <v>34</v>
      </c>
      <c r="E35874" s="21" t="s">
        <v>35</v>
      </c>
      <c r="F35874">
        <v>13130049</v>
      </c>
      <c r="G35874" t="s">
        <v>13169</v>
      </c>
      <c r="H35874" s="21">
        <v>500</v>
      </c>
    </row>
    <row r="35875" spans="1:8" customFormat="1" x14ac:dyDescent="0.25">
      <c r="A35875" t="str">
        <f>"3313959"</f>
        <v>3313959</v>
      </c>
      <c r="B35875" t="s">
        <v>23233</v>
      </c>
      <c r="C35875" t="s">
        <v>1841</v>
      </c>
      <c r="D35875" s="21" t="s">
        <v>34</v>
      </c>
      <c r="E35875" s="21" t="s">
        <v>254</v>
      </c>
      <c r="F35875">
        <v>10330031</v>
      </c>
      <c r="G35875" t="s">
        <v>2452</v>
      </c>
      <c r="H35875" s="21">
        <v>500</v>
      </c>
    </row>
    <row r="35876" spans="1:8" customFormat="1" x14ac:dyDescent="0.25">
      <c r="A35876" t="str">
        <f>"9252783"</f>
        <v>9252783</v>
      </c>
      <c r="B35876" t="s">
        <v>29142</v>
      </c>
      <c r="C35876" t="s">
        <v>22930</v>
      </c>
      <c r="D35876" s="21" t="s">
        <v>34</v>
      </c>
      <c r="E35876" s="21" t="s">
        <v>35</v>
      </c>
      <c r="F35876">
        <v>8921182</v>
      </c>
      <c r="G35876" t="s">
        <v>26954</v>
      </c>
      <c r="H35876" s="21">
        <v>500</v>
      </c>
    </row>
    <row r="35877" spans="1:8" customFormat="1" x14ac:dyDescent="0.25">
      <c r="A35877" t="str">
        <f>"337761"</f>
        <v>337761</v>
      </c>
      <c r="B35877" t="s">
        <v>23243</v>
      </c>
      <c r="C35877" t="s">
        <v>598</v>
      </c>
      <c r="D35877" s="21" t="s">
        <v>34</v>
      </c>
      <c r="E35877" s="21" t="s">
        <v>1089</v>
      </c>
      <c r="F35877">
        <v>10330002</v>
      </c>
      <c r="G35877" t="s">
        <v>53</v>
      </c>
      <c r="H35877" s="21">
        <v>500</v>
      </c>
    </row>
    <row r="35878" spans="1:8" customFormat="1" x14ac:dyDescent="0.25">
      <c r="A35878" t="str">
        <f>"247093"</f>
        <v>247093</v>
      </c>
      <c r="B35878" t="s">
        <v>1349</v>
      </c>
      <c r="C35878" t="s">
        <v>60</v>
      </c>
      <c r="D35878" s="21" t="s">
        <v>34</v>
      </c>
      <c r="E35878" s="21" t="s">
        <v>35</v>
      </c>
      <c r="F35878">
        <v>10240005</v>
      </c>
      <c r="G35878" t="s">
        <v>2496</v>
      </c>
      <c r="H35878" s="21">
        <v>500</v>
      </c>
    </row>
    <row r="35879" spans="1:8" customFormat="1" x14ac:dyDescent="0.25">
      <c r="A35879" t="str">
        <f>"28101"</f>
        <v>28101</v>
      </c>
      <c r="B35879" t="s">
        <v>8582</v>
      </c>
      <c r="C35879" t="s">
        <v>822</v>
      </c>
      <c r="D35879" s="21" t="s">
        <v>34</v>
      </c>
      <c r="E35879" s="21" t="s">
        <v>6185</v>
      </c>
      <c r="F35879">
        <v>4280005</v>
      </c>
      <c r="G35879" t="s">
        <v>5760</v>
      </c>
      <c r="H35879" s="21">
        <v>500</v>
      </c>
    </row>
    <row r="35880" spans="1:8" customFormat="1" x14ac:dyDescent="0.25">
      <c r="A35880" t="str">
        <f>"5730166"</f>
        <v>5730166</v>
      </c>
      <c r="B35880" t="s">
        <v>28526</v>
      </c>
      <c r="C35880" t="s">
        <v>486</v>
      </c>
      <c r="D35880" s="21" t="s">
        <v>34</v>
      </c>
      <c r="E35880" s="21" t="s">
        <v>35</v>
      </c>
      <c r="F35880">
        <v>6570007</v>
      </c>
      <c r="G35880" t="s">
        <v>2845</v>
      </c>
      <c r="H35880" s="21">
        <v>500</v>
      </c>
    </row>
    <row r="35881" spans="1:8" customFormat="1" x14ac:dyDescent="0.25">
      <c r="A35881" t="str">
        <f>"9H820"</f>
        <v>9H820</v>
      </c>
      <c r="B35881" t="s">
        <v>23570</v>
      </c>
      <c r="C35881" t="s">
        <v>412</v>
      </c>
      <c r="D35881" s="21" t="s">
        <v>34</v>
      </c>
      <c r="E35881" s="21" t="s">
        <v>254</v>
      </c>
      <c r="F35881" t="s">
        <v>5851</v>
      </c>
      <c r="G35881" t="s">
        <v>5852</v>
      </c>
      <c r="H35881" s="21">
        <v>500</v>
      </c>
    </row>
    <row r="35882" spans="1:8" customFormat="1" x14ac:dyDescent="0.25">
      <c r="A35882" t="str">
        <f>"7112519"</f>
        <v>7112519</v>
      </c>
      <c r="B35882" t="s">
        <v>24655</v>
      </c>
      <c r="C35882" t="s">
        <v>1142</v>
      </c>
      <c r="D35882" s="21" t="s">
        <v>34</v>
      </c>
      <c r="E35882" s="21" t="s">
        <v>1089</v>
      </c>
      <c r="F35882">
        <v>2710072</v>
      </c>
      <c r="G35882" t="s">
        <v>1461</v>
      </c>
      <c r="H35882" s="21">
        <v>500</v>
      </c>
    </row>
    <row r="35883" spans="1:8" customFormat="1" x14ac:dyDescent="0.25">
      <c r="A35883" t="str">
        <f>"1317604"</f>
        <v>1317604</v>
      </c>
      <c r="B35883" t="s">
        <v>24712</v>
      </c>
      <c r="C35883" t="s">
        <v>40</v>
      </c>
      <c r="D35883" s="21" t="s">
        <v>34</v>
      </c>
      <c r="E35883" s="21" t="s">
        <v>254</v>
      </c>
      <c r="F35883">
        <v>13130138</v>
      </c>
      <c r="G35883" t="s">
        <v>5409</v>
      </c>
      <c r="H35883" s="21">
        <v>500</v>
      </c>
    </row>
    <row r="35884" spans="1:8" customFormat="1" x14ac:dyDescent="0.25">
      <c r="A35884" t="str">
        <f>"138178"</f>
        <v>138178</v>
      </c>
      <c r="B35884" t="s">
        <v>18686</v>
      </c>
      <c r="C35884" t="s">
        <v>130</v>
      </c>
      <c r="D35884" s="21" t="s">
        <v>34</v>
      </c>
      <c r="E35884" s="21" t="s">
        <v>71</v>
      </c>
      <c r="F35884">
        <v>13130145</v>
      </c>
      <c r="G35884" t="s">
        <v>21547</v>
      </c>
      <c r="H35884" s="21">
        <v>500</v>
      </c>
    </row>
    <row r="35885" spans="1:8" customFormat="1" x14ac:dyDescent="0.25">
      <c r="A35885" t="str">
        <f>"9249631"</f>
        <v>9249631</v>
      </c>
      <c r="B35885" t="s">
        <v>18111</v>
      </c>
      <c r="C35885" t="s">
        <v>621</v>
      </c>
      <c r="D35885" s="21" t="s">
        <v>34</v>
      </c>
      <c r="E35885" s="21" t="s">
        <v>35</v>
      </c>
      <c r="F35885">
        <v>8921182</v>
      </c>
      <c r="G35885" t="s">
        <v>26954</v>
      </c>
      <c r="H35885" s="21">
        <v>500</v>
      </c>
    </row>
    <row r="35886" spans="1:8" customFormat="1" x14ac:dyDescent="0.25">
      <c r="A35886" t="str">
        <f>"6023642"</f>
        <v>6023642</v>
      </c>
      <c r="B35886" t="s">
        <v>23135</v>
      </c>
      <c r="C35886" t="s">
        <v>2907</v>
      </c>
      <c r="D35886" s="21" t="s">
        <v>34</v>
      </c>
      <c r="E35886" s="21" t="s">
        <v>71</v>
      </c>
      <c r="F35886">
        <v>7600088</v>
      </c>
      <c r="G35886" t="s">
        <v>334</v>
      </c>
      <c r="H35886" s="21">
        <v>500</v>
      </c>
    </row>
    <row r="35887" spans="1:8" customFormat="1" x14ac:dyDescent="0.25">
      <c r="A35887" t="str">
        <f>"322368"</f>
        <v>322368</v>
      </c>
      <c r="B35887" t="s">
        <v>22557</v>
      </c>
      <c r="C35887" t="s">
        <v>40</v>
      </c>
      <c r="D35887" s="21" t="s">
        <v>34</v>
      </c>
      <c r="E35887" s="21" t="s">
        <v>254</v>
      </c>
      <c r="F35887">
        <v>11320027</v>
      </c>
      <c r="G35887" t="s">
        <v>8305</v>
      </c>
      <c r="H35887" s="21">
        <v>500</v>
      </c>
    </row>
    <row r="35888" spans="1:8" customFormat="1" x14ac:dyDescent="0.25">
      <c r="A35888" t="str">
        <f>"9144025"</f>
        <v>9144025</v>
      </c>
      <c r="B35888" t="s">
        <v>24459</v>
      </c>
      <c r="C35888" t="s">
        <v>209</v>
      </c>
      <c r="D35888" s="21" t="s">
        <v>34</v>
      </c>
      <c r="E35888" s="21" t="s">
        <v>35</v>
      </c>
      <c r="F35888">
        <v>8911368</v>
      </c>
      <c r="G35888" t="s">
        <v>12227</v>
      </c>
      <c r="H35888" s="21">
        <v>500</v>
      </c>
    </row>
    <row r="35889" spans="1:8" customFormat="1" x14ac:dyDescent="0.25">
      <c r="A35889" t="str">
        <f>"7525220"</f>
        <v>7525220</v>
      </c>
      <c r="B35889" t="s">
        <v>29143</v>
      </c>
      <c r="C35889" t="s">
        <v>29144</v>
      </c>
      <c r="D35889" s="21" t="s">
        <v>34</v>
      </c>
      <c r="E35889" s="21" t="s">
        <v>254</v>
      </c>
      <c r="F35889">
        <v>8751423</v>
      </c>
      <c r="G35889" t="s">
        <v>4556</v>
      </c>
      <c r="H35889" s="21">
        <v>500</v>
      </c>
    </row>
    <row r="35890" spans="1:8" customFormat="1" x14ac:dyDescent="0.25">
      <c r="A35890" t="str">
        <f>"4440694"</f>
        <v>4440694</v>
      </c>
      <c r="B35890" t="s">
        <v>2189</v>
      </c>
      <c r="C35890" t="s">
        <v>169</v>
      </c>
      <c r="D35890" s="21" t="s">
        <v>34</v>
      </c>
      <c r="E35890" s="21" t="s">
        <v>71</v>
      </c>
      <c r="F35890">
        <v>12440026</v>
      </c>
      <c r="G35890" t="s">
        <v>2987</v>
      </c>
      <c r="H35890" s="21">
        <v>500</v>
      </c>
    </row>
    <row r="35891" spans="1:8" customFormat="1" x14ac:dyDescent="0.25">
      <c r="A35891" t="str">
        <f>"1423893"</f>
        <v>1423893</v>
      </c>
      <c r="B35891" t="s">
        <v>185</v>
      </c>
      <c r="C35891" t="s">
        <v>151</v>
      </c>
      <c r="D35891" s="21" t="s">
        <v>34</v>
      </c>
      <c r="E35891" s="21" t="s">
        <v>35</v>
      </c>
      <c r="F35891">
        <v>9140189</v>
      </c>
      <c r="G35891" t="s">
        <v>4200</v>
      </c>
      <c r="H35891" s="21">
        <v>500</v>
      </c>
    </row>
    <row r="35892" spans="1:8" customFormat="1" x14ac:dyDescent="0.25">
      <c r="A35892" t="str">
        <f>"4936117"</f>
        <v>4936117</v>
      </c>
      <c r="B35892" t="s">
        <v>15836</v>
      </c>
      <c r="C35892" t="s">
        <v>8442</v>
      </c>
      <c r="D35892" s="21" t="s">
        <v>34</v>
      </c>
      <c r="E35892" s="21" t="s">
        <v>71</v>
      </c>
      <c r="F35892">
        <v>12490043</v>
      </c>
      <c r="G35892" t="s">
        <v>6008</v>
      </c>
      <c r="H35892" s="21">
        <v>500</v>
      </c>
    </row>
    <row r="35893" spans="1:8" customFormat="1" x14ac:dyDescent="0.25">
      <c r="A35893" t="str">
        <f>"7511619"</f>
        <v>7511619</v>
      </c>
      <c r="B35893" t="s">
        <v>18141</v>
      </c>
      <c r="C35893" t="s">
        <v>124</v>
      </c>
      <c r="D35893" s="21" t="s">
        <v>34</v>
      </c>
      <c r="E35893" s="21" t="s">
        <v>254</v>
      </c>
      <c r="F35893">
        <v>8750074</v>
      </c>
      <c r="G35893" t="s">
        <v>698</v>
      </c>
      <c r="H35893" s="21">
        <v>500</v>
      </c>
    </row>
    <row r="35894" spans="1:8" customFormat="1" x14ac:dyDescent="0.25">
      <c r="A35894" t="str">
        <f>"114331"</f>
        <v>114331</v>
      </c>
      <c r="B35894" t="s">
        <v>29145</v>
      </c>
      <c r="C35894" t="s">
        <v>169</v>
      </c>
      <c r="D35894" s="21" t="s">
        <v>34</v>
      </c>
      <c r="E35894" s="21" t="s">
        <v>35</v>
      </c>
      <c r="F35894">
        <v>11110003</v>
      </c>
      <c r="G35894" t="s">
        <v>21475</v>
      </c>
      <c r="H35894" s="21">
        <v>500</v>
      </c>
    </row>
    <row r="35895" spans="1:8" customFormat="1" x14ac:dyDescent="0.25">
      <c r="A35895" t="str">
        <f>"5724737"</f>
        <v>5724737</v>
      </c>
      <c r="B35895" t="s">
        <v>25992</v>
      </c>
      <c r="C35895" t="s">
        <v>486</v>
      </c>
      <c r="D35895" s="21" t="s">
        <v>34</v>
      </c>
      <c r="E35895" s="21" t="s">
        <v>35</v>
      </c>
      <c r="F35895">
        <v>6570060</v>
      </c>
      <c r="G35895" t="s">
        <v>4397</v>
      </c>
      <c r="H35895" s="21">
        <v>500</v>
      </c>
    </row>
    <row r="35896" spans="1:8" customFormat="1" x14ac:dyDescent="0.25">
      <c r="A35896" t="str">
        <f>"667763"</f>
        <v>667763</v>
      </c>
      <c r="B35896" t="s">
        <v>22209</v>
      </c>
      <c r="C35896" t="s">
        <v>60</v>
      </c>
      <c r="D35896" s="21" t="s">
        <v>34</v>
      </c>
      <c r="E35896" s="21" t="s">
        <v>35</v>
      </c>
      <c r="F35896">
        <v>11660009</v>
      </c>
      <c r="G35896" t="s">
        <v>26624</v>
      </c>
      <c r="H35896" s="21">
        <v>500</v>
      </c>
    </row>
    <row r="35897" spans="1:8" customFormat="1" x14ac:dyDescent="0.25">
      <c r="A35897" t="str">
        <f>"5810580"</f>
        <v>5810580</v>
      </c>
      <c r="B35897" t="s">
        <v>22176</v>
      </c>
      <c r="C35897" t="s">
        <v>29146</v>
      </c>
      <c r="D35897" s="21" t="s">
        <v>34</v>
      </c>
      <c r="E35897" s="21" t="s">
        <v>71</v>
      </c>
      <c r="F35897">
        <v>2580017</v>
      </c>
      <c r="G35897" t="s">
        <v>7044</v>
      </c>
      <c r="H35897" s="21">
        <v>500</v>
      </c>
    </row>
    <row r="35898" spans="1:8" customFormat="1" x14ac:dyDescent="0.25">
      <c r="A35898" t="str">
        <f>"7732152"</f>
        <v>7732152</v>
      </c>
      <c r="B35898" t="s">
        <v>1892</v>
      </c>
      <c r="C35898" t="s">
        <v>719</v>
      </c>
      <c r="D35898" s="21" t="s">
        <v>34</v>
      </c>
      <c r="E35898" s="21" t="s">
        <v>35</v>
      </c>
      <c r="F35898">
        <v>8771314</v>
      </c>
      <c r="G35898" t="s">
        <v>14172</v>
      </c>
      <c r="H35898" s="21">
        <v>500</v>
      </c>
    </row>
    <row r="35899" spans="1:8" customFormat="1" x14ac:dyDescent="0.25">
      <c r="A35899" t="str">
        <f>"4220463"</f>
        <v>4220463</v>
      </c>
      <c r="B35899" t="s">
        <v>5178</v>
      </c>
      <c r="C35899" t="s">
        <v>124</v>
      </c>
      <c r="D35899" s="21" t="s">
        <v>34</v>
      </c>
      <c r="E35899" s="21" t="s">
        <v>71</v>
      </c>
      <c r="F35899">
        <v>1420055</v>
      </c>
      <c r="G35899" t="s">
        <v>5421</v>
      </c>
      <c r="H35899" s="21">
        <v>500</v>
      </c>
    </row>
    <row r="35900" spans="1:8" customFormat="1" x14ac:dyDescent="0.25">
      <c r="A35900" t="str">
        <f>"38486"</f>
        <v>38486</v>
      </c>
      <c r="B35900" t="s">
        <v>2160</v>
      </c>
      <c r="C35900" t="s">
        <v>1597</v>
      </c>
      <c r="D35900" s="21" t="s">
        <v>34</v>
      </c>
      <c r="E35900" s="21" t="s">
        <v>254</v>
      </c>
      <c r="F35900">
        <v>1380028</v>
      </c>
      <c r="G35900" t="s">
        <v>374</v>
      </c>
      <c r="H35900" s="21">
        <v>500</v>
      </c>
    </row>
    <row r="35901" spans="1:8" customFormat="1" x14ac:dyDescent="0.25">
      <c r="A35901" t="str">
        <f>"6023529"</f>
        <v>6023529</v>
      </c>
      <c r="B35901" t="s">
        <v>29147</v>
      </c>
      <c r="C35901" t="s">
        <v>4963</v>
      </c>
      <c r="D35901" s="21" t="s">
        <v>34</v>
      </c>
      <c r="E35901" s="21" t="s">
        <v>35</v>
      </c>
      <c r="F35901">
        <v>7600018</v>
      </c>
      <c r="G35901" t="s">
        <v>5838</v>
      </c>
      <c r="H35901" s="21">
        <v>500</v>
      </c>
    </row>
    <row r="35902" spans="1:8" customFormat="1" x14ac:dyDescent="0.25">
      <c r="A35902" t="str">
        <f>"3719586"</f>
        <v>3719586</v>
      </c>
      <c r="B35902" t="s">
        <v>23106</v>
      </c>
      <c r="C35902" t="s">
        <v>233</v>
      </c>
      <c r="D35902" s="21" t="s">
        <v>34</v>
      </c>
      <c r="E35902" s="21" t="s">
        <v>254</v>
      </c>
      <c r="F35902">
        <v>4370681</v>
      </c>
      <c r="G35902" t="s">
        <v>4508</v>
      </c>
      <c r="H35902" s="21">
        <v>500</v>
      </c>
    </row>
    <row r="35903" spans="1:8" customFormat="1" x14ac:dyDescent="0.25">
      <c r="A35903" t="str">
        <f>"6018125"</f>
        <v>6018125</v>
      </c>
      <c r="B35903" t="s">
        <v>765</v>
      </c>
      <c r="C35903" t="s">
        <v>1271</v>
      </c>
      <c r="D35903" s="21" t="s">
        <v>34</v>
      </c>
      <c r="E35903" s="21" t="s">
        <v>254</v>
      </c>
      <c r="F35903">
        <v>7600018</v>
      </c>
      <c r="G35903" t="s">
        <v>5838</v>
      </c>
      <c r="H35903" s="21">
        <v>500</v>
      </c>
    </row>
    <row r="35904" spans="1:8" customFormat="1" x14ac:dyDescent="0.25">
      <c r="A35904" t="str">
        <f>"7875266"</f>
        <v>7875266</v>
      </c>
      <c r="B35904" t="s">
        <v>23080</v>
      </c>
      <c r="C35904" t="s">
        <v>33</v>
      </c>
      <c r="D35904" s="21" t="s">
        <v>34</v>
      </c>
      <c r="E35904" s="21" t="s">
        <v>71</v>
      </c>
      <c r="F35904">
        <v>8780660</v>
      </c>
      <c r="G35904" t="s">
        <v>2801</v>
      </c>
      <c r="H35904" s="21">
        <v>500</v>
      </c>
    </row>
    <row r="35905" spans="1:8" customFormat="1" x14ac:dyDescent="0.25">
      <c r="A35905" t="str">
        <f>"848567"</f>
        <v>848567</v>
      </c>
      <c r="B35905" t="s">
        <v>29148</v>
      </c>
      <c r="C35905" t="s">
        <v>169</v>
      </c>
      <c r="D35905" s="21" t="s">
        <v>34</v>
      </c>
      <c r="E35905" s="21" t="s">
        <v>71</v>
      </c>
      <c r="F35905">
        <v>13840058</v>
      </c>
      <c r="G35905" t="s">
        <v>7032</v>
      </c>
      <c r="H35905" s="21">
        <v>500</v>
      </c>
    </row>
    <row r="35906" spans="1:8" customFormat="1" x14ac:dyDescent="0.25">
      <c r="A35906" t="str">
        <f>"506104"</f>
        <v>506104</v>
      </c>
      <c r="B35906" t="s">
        <v>15466</v>
      </c>
      <c r="C35906" t="s">
        <v>2520</v>
      </c>
      <c r="D35906" s="21" t="s">
        <v>34</v>
      </c>
      <c r="E35906" s="21" t="s">
        <v>1089</v>
      </c>
      <c r="F35906">
        <v>9500013</v>
      </c>
      <c r="G35906" t="s">
        <v>992</v>
      </c>
      <c r="H35906" s="21">
        <v>500</v>
      </c>
    </row>
    <row r="35907" spans="1:8" customFormat="1" x14ac:dyDescent="0.25">
      <c r="A35907" t="str">
        <f>"3315767"</f>
        <v>3315767</v>
      </c>
      <c r="B35907" t="s">
        <v>22918</v>
      </c>
      <c r="C35907" t="s">
        <v>1142</v>
      </c>
      <c r="D35907" s="21" t="s">
        <v>34</v>
      </c>
      <c r="E35907" s="21" t="s">
        <v>254</v>
      </c>
      <c r="F35907">
        <v>10330002</v>
      </c>
      <c r="G35907" t="s">
        <v>53</v>
      </c>
      <c r="H35907" s="21">
        <v>500</v>
      </c>
    </row>
    <row r="35908" spans="1:8" customFormat="1" x14ac:dyDescent="0.25">
      <c r="A35908" t="str">
        <f>"428191"</f>
        <v>428191</v>
      </c>
      <c r="B35908" t="s">
        <v>23527</v>
      </c>
      <c r="C35908" t="s">
        <v>209</v>
      </c>
      <c r="D35908" s="21" t="s">
        <v>34</v>
      </c>
      <c r="E35908" s="21" t="s">
        <v>71</v>
      </c>
      <c r="F35908">
        <v>1420048</v>
      </c>
      <c r="G35908" t="s">
        <v>745</v>
      </c>
      <c r="H35908" s="21">
        <v>500</v>
      </c>
    </row>
    <row r="35909" spans="1:8" customFormat="1" x14ac:dyDescent="0.25">
      <c r="A35909" t="str">
        <f>"418986"</f>
        <v>418986</v>
      </c>
      <c r="B35909" t="s">
        <v>582</v>
      </c>
      <c r="C35909" t="s">
        <v>244</v>
      </c>
      <c r="D35909" s="21" t="s">
        <v>34</v>
      </c>
      <c r="E35909" s="21" t="s">
        <v>35</v>
      </c>
      <c r="F35909">
        <v>4410615</v>
      </c>
      <c r="G35909" t="s">
        <v>4897</v>
      </c>
      <c r="H35909" s="21">
        <v>500</v>
      </c>
    </row>
    <row r="35910" spans="1:8" customFormat="1" x14ac:dyDescent="0.25">
      <c r="A35910" t="str">
        <f>"7850196"</f>
        <v>7850196</v>
      </c>
      <c r="B35910" t="s">
        <v>29149</v>
      </c>
      <c r="C35910" t="s">
        <v>187</v>
      </c>
      <c r="D35910" s="21" t="s">
        <v>34</v>
      </c>
      <c r="E35910" s="21" t="s">
        <v>254</v>
      </c>
      <c r="F35910">
        <v>8780529</v>
      </c>
      <c r="G35910" t="s">
        <v>8624</v>
      </c>
      <c r="H35910" s="21">
        <v>500</v>
      </c>
    </row>
    <row r="35911" spans="1:8" customFormat="1" x14ac:dyDescent="0.25">
      <c r="A35911" t="str">
        <f>"2220483"</f>
        <v>2220483</v>
      </c>
      <c r="B35911" t="s">
        <v>12836</v>
      </c>
      <c r="C35911" t="s">
        <v>2208</v>
      </c>
      <c r="D35911" s="21" t="s">
        <v>34</v>
      </c>
      <c r="E35911" s="21" t="s">
        <v>35</v>
      </c>
      <c r="F35911">
        <v>3220128</v>
      </c>
      <c r="G35911" t="s">
        <v>26938</v>
      </c>
      <c r="H35911" s="21">
        <v>500</v>
      </c>
    </row>
    <row r="35912" spans="1:8" customFormat="1" x14ac:dyDescent="0.25">
      <c r="A35912" t="str">
        <f>"7713603"</f>
        <v>7713603</v>
      </c>
      <c r="B35912" t="s">
        <v>6055</v>
      </c>
      <c r="C35912" t="s">
        <v>124</v>
      </c>
      <c r="D35912" s="21" t="s">
        <v>34</v>
      </c>
      <c r="E35912" s="21" t="s">
        <v>71</v>
      </c>
      <c r="F35912">
        <v>8771337</v>
      </c>
      <c r="G35912" t="s">
        <v>4661</v>
      </c>
      <c r="H35912" s="21">
        <v>500</v>
      </c>
    </row>
    <row r="35913" spans="1:8" customFormat="1" x14ac:dyDescent="0.25">
      <c r="A35913" t="str">
        <f>"4447110"</f>
        <v>4447110</v>
      </c>
      <c r="B35913" t="s">
        <v>19818</v>
      </c>
      <c r="C35913" t="s">
        <v>462</v>
      </c>
      <c r="D35913" s="21" t="s">
        <v>34</v>
      </c>
      <c r="E35913" s="21" t="s">
        <v>71</v>
      </c>
      <c r="F35913">
        <v>12440020</v>
      </c>
      <c r="G35913" t="s">
        <v>4606</v>
      </c>
      <c r="H35913" s="21">
        <v>500</v>
      </c>
    </row>
    <row r="35914" spans="1:8" customFormat="1" x14ac:dyDescent="0.25">
      <c r="A35914" t="str">
        <f>"6946326"</f>
        <v>6946326</v>
      </c>
      <c r="B35914" t="s">
        <v>22276</v>
      </c>
      <c r="C35914" t="s">
        <v>1054</v>
      </c>
      <c r="D35914" s="21" t="s">
        <v>34</v>
      </c>
      <c r="E35914" s="21" t="s">
        <v>35</v>
      </c>
      <c r="F35914">
        <v>1690184</v>
      </c>
      <c r="G35914" t="s">
        <v>4992</v>
      </c>
      <c r="H35914" s="21">
        <v>500</v>
      </c>
    </row>
    <row r="35915" spans="1:8" customFormat="1" x14ac:dyDescent="0.25">
      <c r="A35915" t="str">
        <f>"4113148"</f>
        <v>4113148</v>
      </c>
      <c r="B35915" t="s">
        <v>23249</v>
      </c>
      <c r="C35915" t="s">
        <v>33</v>
      </c>
      <c r="D35915" s="21" t="s">
        <v>34</v>
      </c>
      <c r="E35915" s="21" t="s">
        <v>71</v>
      </c>
      <c r="F35915">
        <v>4410080</v>
      </c>
      <c r="G35915" t="s">
        <v>135</v>
      </c>
      <c r="H35915" s="21">
        <v>500</v>
      </c>
    </row>
    <row r="35916" spans="1:8" customFormat="1" x14ac:dyDescent="0.25">
      <c r="A35916" t="str">
        <f>"6232883"</f>
        <v>6232883</v>
      </c>
      <c r="B35916" t="s">
        <v>24599</v>
      </c>
      <c r="C35916" t="s">
        <v>253</v>
      </c>
      <c r="D35916" s="21" t="s">
        <v>34</v>
      </c>
      <c r="E35916" s="21" t="s">
        <v>254</v>
      </c>
      <c r="F35916">
        <v>7620182</v>
      </c>
      <c r="G35916" t="s">
        <v>11480</v>
      </c>
      <c r="H35916" s="21">
        <v>500</v>
      </c>
    </row>
    <row r="35917" spans="1:8" customFormat="1" x14ac:dyDescent="0.25">
      <c r="A35917" t="str">
        <f>"8528719"</f>
        <v>8528719</v>
      </c>
      <c r="B35917" t="s">
        <v>1611</v>
      </c>
      <c r="C35917" t="s">
        <v>55</v>
      </c>
      <c r="D35917" s="21" t="s">
        <v>34</v>
      </c>
      <c r="E35917" s="21" t="s">
        <v>35</v>
      </c>
      <c r="F35917">
        <v>12850026</v>
      </c>
      <c r="G35917" t="s">
        <v>1400</v>
      </c>
      <c r="H35917" s="21">
        <v>500</v>
      </c>
    </row>
    <row r="35918" spans="1:8" customFormat="1" x14ac:dyDescent="0.25">
      <c r="A35918" t="str">
        <f>"036872"</f>
        <v>036872</v>
      </c>
      <c r="B35918" t="s">
        <v>5273</v>
      </c>
      <c r="C35918" t="s">
        <v>267</v>
      </c>
      <c r="D35918" s="21" t="s">
        <v>34</v>
      </c>
      <c r="E35918" s="21" t="s">
        <v>1089</v>
      </c>
      <c r="F35918">
        <v>1030082</v>
      </c>
      <c r="G35918" t="s">
        <v>26828</v>
      </c>
      <c r="H35918" s="21">
        <v>500</v>
      </c>
    </row>
    <row r="35919" spans="1:8" customFormat="1" x14ac:dyDescent="0.25">
      <c r="A35919" t="str">
        <f>"1315201"</f>
        <v>1315201</v>
      </c>
      <c r="B35919" t="s">
        <v>7512</v>
      </c>
      <c r="C35919" t="s">
        <v>269</v>
      </c>
      <c r="D35919" s="21" t="s">
        <v>34</v>
      </c>
      <c r="E35919" s="21" t="s">
        <v>71</v>
      </c>
      <c r="F35919">
        <v>13130166</v>
      </c>
      <c r="G35919" t="s">
        <v>2539</v>
      </c>
      <c r="H35919" s="21">
        <v>500</v>
      </c>
    </row>
    <row r="35920" spans="1:8" customFormat="1" x14ac:dyDescent="0.25">
      <c r="A35920" t="str">
        <f>"9E785"</f>
        <v>9E785</v>
      </c>
      <c r="B35920" t="s">
        <v>29150</v>
      </c>
      <c r="C35920" t="s">
        <v>29151</v>
      </c>
      <c r="D35920" s="21" t="s">
        <v>34</v>
      </c>
      <c r="E35920" s="21" t="s">
        <v>35</v>
      </c>
      <c r="F35920" s="24" t="s">
        <v>28788</v>
      </c>
      <c r="G35920" t="s">
        <v>28789</v>
      </c>
      <c r="H35920" s="21">
        <v>500</v>
      </c>
    </row>
    <row r="35921" spans="1:8" customFormat="1" x14ac:dyDescent="0.25">
      <c r="A35921" t="str">
        <f>"3322597"</f>
        <v>3322597</v>
      </c>
      <c r="B35921" t="s">
        <v>22914</v>
      </c>
      <c r="C35921" t="s">
        <v>239</v>
      </c>
      <c r="D35921" s="21" t="s">
        <v>34</v>
      </c>
      <c r="E35921" s="21" t="s">
        <v>1089</v>
      </c>
      <c r="F35921">
        <v>10330071</v>
      </c>
      <c r="G35921" t="s">
        <v>22915</v>
      </c>
      <c r="H35921" s="21">
        <v>500</v>
      </c>
    </row>
    <row r="35922" spans="1:8" customFormat="1" x14ac:dyDescent="0.25">
      <c r="A35922" t="str">
        <f>"6726362"</f>
        <v>6726362</v>
      </c>
      <c r="B35922" t="s">
        <v>29152</v>
      </c>
      <c r="C35922" t="s">
        <v>500</v>
      </c>
      <c r="D35922" s="21" t="s">
        <v>34</v>
      </c>
      <c r="E35922" s="21" t="s">
        <v>254</v>
      </c>
      <c r="F35922">
        <v>6670183</v>
      </c>
      <c r="G35922" t="s">
        <v>670</v>
      </c>
      <c r="H35922" s="21">
        <v>500</v>
      </c>
    </row>
    <row r="35923" spans="1:8" customFormat="1" x14ac:dyDescent="0.25">
      <c r="A35923" t="str">
        <f>"5983457"</f>
        <v>5983457</v>
      </c>
      <c r="B35923" t="s">
        <v>29153</v>
      </c>
      <c r="C35923" t="s">
        <v>217</v>
      </c>
      <c r="D35923" s="21" t="s">
        <v>34</v>
      </c>
      <c r="E35923" s="21" t="s">
        <v>35</v>
      </c>
      <c r="F35923">
        <v>7590076</v>
      </c>
      <c r="G35923" t="s">
        <v>6662</v>
      </c>
      <c r="H35923" s="21">
        <v>500</v>
      </c>
    </row>
    <row r="35924" spans="1:8" customFormat="1" x14ac:dyDescent="0.25">
      <c r="A35924" t="str">
        <f>"4215157"</f>
        <v>4215157</v>
      </c>
      <c r="B35924" t="s">
        <v>23313</v>
      </c>
      <c r="C35924" t="s">
        <v>4721</v>
      </c>
      <c r="D35924" s="21" t="s">
        <v>34</v>
      </c>
      <c r="E35924" s="21" t="s">
        <v>1089</v>
      </c>
      <c r="F35924">
        <v>1420006</v>
      </c>
      <c r="G35924" t="s">
        <v>6019</v>
      </c>
      <c r="H35924" s="21">
        <v>500</v>
      </c>
    </row>
    <row r="35925" spans="1:8" customFormat="1" x14ac:dyDescent="0.25">
      <c r="A35925" t="str">
        <f>"143747"</f>
        <v>143747</v>
      </c>
      <c r="B35925" t="s">
        <v>22876</v>
      </c>
      <c r="C35925" t="s">
        <v>415</v>
      </c>
      <c r="D35925" s="21" t="s">
        <v>34</v>
      </c>
      <c r="E35925" s="21" t="s">
        <v>1089</v>
      </c>
      <c r="F35925">
        <v>3290229</v>
      </c>
      <c r="G35925" t="s">
        <v>408</v>
      </c>
      <c r="H35925" s="21">
        <v>500</v>
      </c>
    </row>
    <row r="35926" spans="1:8" customFormat="1" x14ac:dyDescent="0.25">
      <c r="A35926" t="str">
        <f>"243812"</f>
        <v>243812</v>
      </c>
      <c r="B35926" t="s">
        <v>23389</v>
      </c>
      <c r="C35926" t="s">
        <v>209</v>
      </c>
      <c r="D35926" s="21" t="s">
        <v>34</v>
      </c>
      <c r="E35926" s="21" t="s">
        <v>71</v>
      </c>
      <c r="F35926">
        <v>10240001</v>
      </c>
      <c r="G35926" t="s">
        <v>10102</v>
      </c>
      <c r="H35926" s="21">
        <v>500</v>
      </c>
    </row>
    <row r="35927" spans="1:8" customFormat="1" x14ac:dyDescent="0.25">
      <c r="A35927" t="str">
        <f>"7522604"</f>
        <v>7522604</v>
      </c>
      <c r="B35927" t="s">
        <v>6847</v>
      </c>
      <c r="C35927" t="s">
        <v>1100</v>
      </c>
      <c r="D35927" s="21" t="s">
        <v>34</v>
      </c>
      <c r="E35927" s="21" t="s">
        <v>71</v>
      </c>
      <c r="F35927">
        <v>8750141</v>
      </c>
      <c r="G35927" t="s">
        <v>1514</v>
      </c>
      <c r="H35927" s="21">
        <v>500</v>
      </c>
    </row>
    <row r="35928" spans="1:8" customFormat="1" x14ac:dyDescent="0.25">
      <c r="A35928" t="str">
        <f>"5976400"</f>
        <v>5976400</v>
      </c>
      <c r="B35928" t="s">
        <v>22302</v>
      </c>
      <c r="C35928" t="s">
        <v>267</v>
      </c>
      <c r="D35928" s="21" t="s">
        <v>34</v>
      </c>
      <c r="E35928" s="21" t="s">
        <v>71</v>
      </c>
      <c r="F35928">
        <v>7590288</v>
      </c>
      <c r="G35928" t="s">
        <v>6972</v>
      </c>
      <c r="H35928" s="21">
        <v>500</v>
      </c>
    </row>
    <row r="35929" spans="1:8" customFormat="1" x14ac:dyDescent="0.25">
      <c r="A35929" t="str">
        <f>"38459"</f>
        <v>38459</v>
      </c>
      <c r="B35929" t="s">
        <v>22879</v>
      </c>
      <c r="C35929" t="s">
        <v>3905</v>
      </c>
      <c r="D35929" s="21" t="s">
        <v>34</v>
      </c>
      <c r="E35929" s="21" t="s">
        <v>1089</v>
      </c>
      <c r="F35929">
        <v>1380056</v>
      </c>
      <c r="G35929" t="s">
        <v>846</v>
      </c>
      <c r="H35929" s="21">
        <v>500</v>
      </c>
    </row>
    <row r="35930" spans="1:8" customFormat="1" x14ac:dyDescent="0.25">
      <c r="A35930" t="str">
        <f>"8135"</f>
        <v>8135</v>
      </c>
      <c r="B35930" t="s">
        <v>23227</v>
      </c>
      <c r="C35930" t="s">
        <v>2904</v>
      </c>
      <c r="D35930" s="21" t="s">
        <v>34</v>
      </c>
      <c r="E35930" s="21" t="s">
        <v>1089</v>
      </c>
      <c r="F35930">
        <v>11810003</v>
      </c>
      <c r="G35930" t="s">
        <v>1934</v>
      </c>
      <c r="H35930" s="21">
        <v>500</v>
      </c>
    </row>
    <row r="35931" spans="1:8" customFormat="1" x14ac:dyDescent="0.25">
      <c r="A35931" t="str">
        <f>"7514750"</f>
        <v>7514750</v>
      </c>
      <c r="B35931" t="s">
        <v>22583</v>
      </c>
      <c r="C35931" t="s">
        <v>169</v>
      </c>
      <c r="D35931" s="21" t="s">
        <v>34</v>
      </c>
      <c r="E35931" s="21" t="s">
        <v>35</v>
      </c>
      <c r="F35931">
        <v>8940459</v>
      </c>
      <c r="G35931" t="s">
        <v>743</v>
      </c>
      <c r="H35931" s="21">
        <v>500</v>
      </c>
    </row>
    <row r="35932" spans="1:8" customFormat="1" x14ac:dyDescent="0.25">
      <c r="A35932" t="str">
        <f>"3810851"</f>
        <v>3810851</v>
      </c>
      <c r="B35932" t="s">
        <v>4602</v>
      </c>
      <c r="C35932" t="s">
        <v>169</v>
      </c>
      <c r="D35932" s="21" t="s">
        <v>34</v>
      </c>
      <c r="E35932" s="21" t="s">
        <v>71</v>
      </c>
      <c r="F35932">
        <v>1380028</v>
      </c>
      <c r="G35932" t="s">
        <v>374</v>
      </c>
      <c r="H35932" s="21">
        <v>500</v>
      </c>
    </row>
    <row r="35933" spans="1:8" customFormat="1" x14ac:dyDescent="0.25">
      <c r="A35933" t="str">
        <f>"039207"</f>
        <v>039207</v>
      </c>
      <c r="B35933" t="s">
        <v>14269</v>
      </c>
      <c r="C35933" t="s">
        <v>249</v>
      </c>
      <c r="D35933" s="21" t="s">
        <v>34</v>
      </c>
      <c r="E35933" s="21" t="s">
        <v>35</v>
      </c>
      <c r="F35933">
        <v>1030042</v>
      </c>
      <c r="G35933" t="s">
        <v>7798</v>
      </c>
      <c r="H35933" s="21">
        <v>500</v>
      </c>
    </row>
    <row r="35934" spans="1:8" customFormat="1" x14ac:dyDescent="0.25">
      <c r="A35934" t="str">
        <f>"9459235"</f>
        <v>9459235</v>
      </c>
      <c r="B35934" t="s">
        <v>29154</v>
      </c>
      <c r="C35934" t="s">
        <v>65</v>
      </c>
      <c r="D35934" s="21" t="s">
        <v>34</v>
      </c>
      <c r="E35934" s="21" t="s">
        <v>35</v>
      </c>
      <c r="F35934">
        <v>8940073</v>
      </c>
      <c r="G35934" t="s">
        <v>1085</v>
      </c>
      <c r="H35934" s="21">
        <v>500</v>
      </c>
    </row>
    <row r="35935" spans="1:8" customFormat="1" x14ac:dyDescent="0.25">
      <c r="A35935" t="str">
        <f>"2211933"</f>
        <v>2211933</v>
      </c>
      <c r="B35935" t="s">
        <v>22886</v>
      </c>
      <c r="C35935" t="s">
        <v>2520</v>
      </c>
      <c r="D35935" s="21" t="s">
        <v>34</v>
      </c>
      <c r="E35935" s="21" t="s">
        <v>1089</v>
      </c>
      <c r="F35935">
        <v>3220142</v>
      </c>
      <c r="G35935" t="s">
        <v>14759</v>
      </c>
      <c r="H35935" s="21">
        <v>500</v>
      </c>
    </row>
    <row r="35936" spans="1:8" customFormat="1" x14ac:dyDescent="0.25">
      <c r="A35936" t="str">
        <f>"2517596"</f>
        <v>2517596</v>
      </c>
      <c r="B35936" t="s">
        <v>29155</v>
      </c>
      <c r="C35936" t="s">
        <v>7488</v>
      </c>
      <c r="D35936" s="21" t="s">
        <v>34</v>
      </c>
      <c r="E35936" s="21" t="s">
        <v>254</v>
      </c>
      <c r="F35936">
        <v>2250016</v>
      </c>
      <c r="G35936" t="s">
        <v>1709</v>
      </c>
      <c r="H35936" s="21">
        <v>500</v>
      </c>
    </row>
    <row r="35937" spans="1:8" customFormat="1" x14ac:dyDescent="0.25">
      <c r="A35937" t="str">
        <f>"1321989"</f>
        <v>1321989</v>
      </c>
      <c r="B35937" t="s">
        <v>29156</v>
      </c>
      <c r="C35937" t="s">
        <v>2730</v>
      </c>
      <c r="D35937" s="21" t="s">
        <v>34</v>
      </c>
      <c r="E35937" s="21" t="s">
        <v>254</v>
      </c>
      <c r="F35937">
        <v>13130138</v>
      </c>
      <c r="G35937" t="s">
        <v>5409</v>
      </c>
      <c r="H35937" s="21">
        <v>500</v>
      </c>
    </row>
    <row r="35938" spans="1:8" customFormat="1" x14ac:dyDescent="0.25">
      <c r="A35938" t="str">
        <f>"868678"</f>
        <v>868678</v>
      </c>
      <c r="B35938" t="s">
        <v>5933</v>
      </c>
      <c r="C35938" t="s">
        <v>174</v>
      </c>
      <c r="D35938" s="21" t="s">
        <v>34</v>
      </c>
      <c r="E35938" s="21" t="s">
        <v>35</v>
      </c>
      <c r="F35938">
        <v>10860230</v>
      </c>
      <c r="G35938" t="s">
        <v>27938</v>
      </c>
      <c r="H35938" s="21">
        <v>500</v>
      </c>
    </row>
    <row r="35939" spans="1:8" customFormat="1" x14ac:dyDescent="0.25">
      <c r="A35939" t="str">
        <f>"6715980"</f>
        <v>6715980</v>
      </c>
      <c r="B35939" t="s">
        <v>23465</v>
      </c>
      <c r="C35939" t="s">
        <v>598</v>
      </c>
      <c r="D35939" s="21" t="s">
        <v>34</v>
      </c>
      <c r="E35939" s="21" t="s">
        <v>71</v>
      </c>
      <c r="F35939">
        <v>6670045</v>
      </c>
      <c r="G35939" t="s">
        <v>707</v>
      </c>
      <c r="H35939" s="21">
        <v>500</v>
      </c>
    </row>
    <row r="35940" spans="1:8" customFormat="1" x14ac:dyDescent="0.25">
      <c r="A35940" t="str">
        <f>"6113049"</f>
        <v>6113049</v>
      </c>
      <c r="B35940" t="s">
        <v>20477</v>
      </c>
      <c r="C35940" t="s">
        <v>156</v>
      </c>
      <c r="D35940" s="21" t="s">
        <v>34</v>
      </c>
      <c r="E35940" s="21" t="s">
        <v>35</v>
      </c>
      <c r="F35940">
        <v>9610009</v>
      </c>
      <c r="G35940" t="s">
        <v>282</v>
      </c>
      <c r="H35940" s="21">
        <v>500</v>
      </c>
    </row>
    <row r="35941" spans="1:8" customFormat="1" x14ac:dyDescent="0.25">
      <c r="A35941" t="str">
        <f>"5982677"</f>
        <v>5982677</v>
      </c>
      <c r="B35941" t="s">
        <v>15838</v>
      </c>
      <c r="C35941" t="s">
        <v>621</v>
      </c>
      <c r="D35941" s="21" t="s">
        <v>34</v>
      </c>
      <c r="E35941" s="21" t="s">
        <v>35</v>
      </c>
      <c r="F35941">
        <v>7590016</v>
      </c>
      <c r="G35941" t="s">
        <v>5653</v>
      </c>
      <c r="H35941" s="21">
        <v>500</v>
      </c>
    </row>
    <row r="35942" spans="1:8" customFormat="1" x14ac:dyDescent="0.25">
      <c r="A35942" t="str">
        <f>"4933738"</f>
        <v>4933738</v>
      </c>
      <c r="B35942" t="s">
        <v>22503</v>
      </c>
      <c r="C35942" t="s">
        <v>510</v>
      </c>
      <c r="D35942" s="21" t="s">
        <v>34</v>
      </c>
      <c r="E35942" s="21" t="s">
        <v>1089</v>
      </c>
      <c r="F35942">
        <v>12490037</v>
      </c>
      <c r="G35942" t="s">
        <v>8892</v>
      </c>
      <c r="H35942" s="21">
        <v>500</v>
      </c>
    </row>
    <row r="35943" spans="1:8" customFormat="1" x14ac:dyDescent="0.25">
      <c r="A35943" t="str">
        <f>"685368"</f>
        <v>685368</v>
      </c>
      <c r="B35943" t="s">
        <v>22465</v>
      </c>
      <c r="C35943" t="s">
        <v>33</v>
      </c>
      <c r="D35943" s="21" t="s">
        <v>34</v>
      </c>
      <c r="E35943" s="21" t="s">
        <v>71</v>
      </c>
      <c r="F35943">
        <v>6680115</v>
      </c>
      <c r="G35943" t="s">
        <v>23307</v>
      </c>
      <c r="H35943" s="21">
        <v>500</v>
      </c>
    </row>
    <row r="35944" spans="1:8" customFormat="1" x14ac:dyDescent="0.25">
      <c r="A35944" t="str">
        <f>"7523262"</f>
        <v>7523262</v>
      </c>
      <c r="B35944" t="s">
        <v>23617</v>
      </c>
      <c r="C35944" t="s">
        <v>23618</v>
      </c>
      <c r="D35944" s="21" t="s">
        <v>34</v>
      </c>
      <c r="E35944" s="21" t="s">
        <v>71</v>
      </c>
      <c r="F35944">
        <v>8751124</v>
      </c>
      <c r="G35944" t="s">
        <v>1481</v>
      </c>
      <c r="H35944" s="21">
        <v>500</v>
      </c>
    </row>
    <row r="35945" spans="1:8" customFormat="1" x14ac:dyDescent="0.25">
      <c r="A35945" t="str">
        <f>"164816"</f>
        <v>164816</v>
      </c>
      <c r="B35945" t="s">
        <v>7886</v>
      </c>
      <c r="C35945" t="s">
        <v>40</v>
      </c>
      <c r="D35945" s="21" t="s">
        <v>34</v>
      </c>
      <c r="E35945" s="21" t="s">
        <v>254</v>
      </c>
      <c r="F35945">
        <v>10160197</v>
      </c>
      <c r="G35945" t="s">
        <v>4472</v>
      </c>
      <c r="H35945" s="21">
        <v>500</v>
      </c>
    </row>
    <row r="35946" spans="1:8" customFormat="1" x14ac:dyDescent="0.25">
      <c r="A35946" t="str">
        <f>"022198"</f>
        <v>022198</v>
      </c>
      <c r="B35946" t="s">
        <v>29157</v>
      </c>
      <c r="C35946" t="s">
        <v>82</v>
      </c>
      <c r="D35946" s="21" t="s">
        <v>34</v>
      </c>
      <c r="E35946" s="21" t="s">
        <v>35</v>
      </c>
      <c r="F35946">
        <v>9760453</v>
      </c>
      <c r="G35946" t="s">
        <v>192</v>
      </c>
      <c r="H35946" s="21">
        <v>500</v>
      </c>
    </row>
    <row r="35947" spans="1:8" customFormat="1" x14ac:dyDescent="0.25">
      <c r="A35947" t="str">
        <f>"3730515"</f>
        <v>3730515</v>
      </c>
      <c r="B35947" t="s">
        <v>29158</v>
      </c>
      <c r="C35947" t="s">
        <v>428</v>
      </c>
      <c r="D35947" s="21" t="s">
        <v>34</v>
      </c>
      <c r="E35947" s="21" t="s">
        <v>35</v>
      </c>
      <c r="F35947">
        <v>4370681</v>
      </c>
      <c r="G35947" t="s">
        <v>4508</v>
      </c>
      <c r="H35947" s="21">
        <v>500</v>
      </c>
    </row>
    <row r="35948" spans="1:8" customFormat="1" x14ac:dyDescent="0.25">
      <c r="A35948" t="str">
        <f>"5622397"</f>
        <v>5622397</v>
      </c>
      <c r="B35948" t="s">
        <v>29159</v>
      </c>
      <c r="C35948" t="s">
        <v>926</v>
      </c>
      <c r="D35948" s="21" t="s">
        <v>34</v>
      </c>
      <c r="E35948" s="21" t="s">
        <v>254</v>
      </c>
      <c r="F35948">
        <v>3560027</v>
      </c>
      <c r="G35948" t="s">
        <v>27143</v>
      </c>
      <c r="H35948" s="21">
        <v>500</v>
      </c>
    </row>
    <row r="35949" spans="1:8" customFormat="1" x14ac:dyDescent="0.25">
      <c r="A35949" t="str">
        <f>"5982661"</f>
        <v>5982661</v>
      </c>
      <c r="B35949" t="s">
        <v>29160</v>
      </c>
      <c r="C35949" t="s">
        <v>415</v>
      </c>
      <c r="D35949" s="21" t="s">
        <v>34</v>
      </c>
      <c r="E35949" s="21" t="s">
        <v>254</v>
      </c>
      <c r="F35949">
        <v>7590107</v>
      </c>
      <c r="G35949" t="s">
        <v>17475</v>
      </c>
      <c r="H35949" s="21">
        <v>500</v>
      </c>
    </row>
    <row r="35950" spans="1:8" customFormat="1" x14ac:dyDescent="0.25">
      <c r="A35950" t="str">
        <f>"7862902"</f>
        <v>7862902</v>
      </c>
      <c r="B35950" t="s">
        <v>14787</v>
      </c>
      <c r="C35950" t="s">
        <v>3393</v>
      </c>
      <c r="D35950" s="21" t="s">
        <v>34</v>
      </c>
      <c r="E35950" s="21" t="s">
        <v>35</v>
      </c>
      <c r="F35950">
        <v>8781471</v>
      </c>
      <c r="G35950" t="s">
        <v>9616</v>
      </c>
      <c r="H35950" s="21">
        <v>500</v>
      </c>
    </row>
    <row r="35951" spans="1:8" customFormat="1" x14ac:dyDescent="0.25">
      <c r="A35951" t="str">
        <f>"6020500"</f>
        <v>6020500</v>
      </c>
      <c r="B35951" t="s">
        <v>22028</v>
      </c>
      <c r="C35951" t="s">
        <v>1359</v>
      </c>
      <c r="D35951" s="21" t="s">
        <v>34</v>
      </c>
      <c r="E35951" s="21" t="s">
        <v>35</v>
      </c>
      <c r="F35951">
        <v>7600161</v>
      </c>
      <c r="G35951" t="s">
        <v>6023</v>
      </c>
      <c r="H35951" s="21">
        <v>500</v>
      </c>
    </row>
    <row r="35952" spans="1:8" customFormat="1" x14ac:dyDescent="0.25">
      <c r="A35952" t="str">
        <f>"5972473"</f>
        <v>5972473</v>
      </c>
      <c r="B35952" t="s">
        <v>19728</v>
      </c>
      <c r="C35952" t="s">
        <v>985</v>
      </c>
      <c r="D35952" s="21" t="s">
        <v>34</v>
      </c>
      <c r="E35952" s="21" t="s">
        <v>71</v>
      </c>
      <c r="F35952">
        <v>7590137</v>
      </c>
      <c r="G35952" t="s">
        <v>4246</v>
      </c>
      <c r="H35952" s="21">
        <v>500</v>
      </c>
    </row>
    <row r="35953" spans="1:8" customFormat="1" x14ac:dyDescent="0.25">
      <c r="A35953" t="str">
        <f>"2721024"</f>
        <v>2721024</v>
      </c>
      <c r="B35953" t="s">
        <v>22893</v>
      </c>
      <c r="C35953" t="s">
        <v>1199</v>
      </c>
      <c r="D35953" s="21" t="s">
        <v>34</v>
      </c>
      <c r="E35953" s="21" t="s">
        <v>254</v>
      </c>
      <c r="F35953">
        <v>9270060</v>
      </c>
      <c r="G35953" t="s">
        <v>1982</v>
      </c>
      <c r="H35953" s="21">
        <v>500</v>
      </c>
    </row>
    <row r="35954" spans="1:8" customFormat="1" x14ac:dyDescent="0.25">
      <c r="A35954" t="str">
        <f>"9147849"</f>
        <v>9147849</v>
      </c>
      <c r="B35954" t="s">
        <v>22219</v>
      </c>
      <c r="C35954" t="s">
        <v>260</v>
      </c>
      <c r="D35954" s="21" t="s">
        <v>34</v>
      </c>
      <c r="E35954" s="21" t="s">
        <v>71</v>
      </c>
      <c r="F35954">
        <v>8911465</v>
      </c>
      <c r="G35954" t="s">
        <v>28699</v>
      </c>
      <c r="H35954" s="21">
        <v>500</v>
      </c>
    </row>
    <row r="35955" spans="1:8" customFormat="1" x14ac:dyDescent="0.25">
      <c r="A35955" t="str">
        <f>"223706"</f>
        <v>223706</v>
      </c>
      <c r="B35955" t="s">
        <v>29161</v>
      </c>
      <c r="C35955" t="s">
        <v>3648</v>
      </c>
      <c r="D35955" s="21" t="s">
        <v>34</v>
      </c>
      <c r="E35955" s="21" t="s">
        <v>254</v>
      </c>
      <c r="F35955">
        <v>3220041</v>
      </c>
      <c r="G35955" t="s">
        <v>27133</v>
      </c>
      <c r="H35955" s="21">
        <v>500</v>
      </c>
    </row>
    <row r="35956" spans="1:8" customFormat="1" x14ac:dyDescent="0.25">
      <c r="A35956" t="str">
        <f>"3826092"</f>
        <v>3826092</v>
      </c>
      <c r="B35956" t="s">
        <v>22759</v>
      </c>
      <c r="C35956" t="s">
        <v>236</v>
      </c>
      <c r="D35956" s="21" t="s">
        <v>34</v>
      </c>
      <c r="E35956" s="21" t="s">
        <v>35</v>
      </c>
      <c r="F35956">
        <v>1380267</v>
      </c>
      <c r="G35956" t="s">
        <v>1002</v>
      </c>
      <c r="H35956" s="21">
        <v>500</v>
      </c>
    </row>
    <row r="35957" spans="1:8" customFormat="1" x14ac:dyDescent="0.25">
      <c r="A35957" t="str">
        <f>"9448503"</f>
        <v>9448503</v>
      </c>
      <c r="B35957" t="s">
        <v>5769</v>
      </c>
      <c r="C35957" t="s">
        <v>2752</v>
      </c>
      <c r="D35957" s="21" t="s">
        <v>34</v>
      </c>
      <c r="E35957" s="21" t="s">
        <v>254</v>
      </c>
      <c r="F35957">
        <v>8940073</v>
      </c>
      <c r="G35957" t="s">
        <v>1085</v>
      </c>
      <c r="H35957" s="21">
        <v>500</v>
      </c>
    </row>
    <row r="35958" spans="1:8" customFormat="1" x14ac:dyDescent="0.25">
      <c r="A35958" t="str">
        <f>"7522024"</f>
        <v>7522024</v>
      </c>
      <c r="B35958" t="s">
        <v>5178</v>
      </c>
      <c r="C35958" t="s">
        <v>33</v>
      </c>
      <c r="D35958" s="21" t="s">
        <v>34</v>
      </c>
      <c r="E35958" s="21" t="s">
        <v>35</v>
      </c>
      <c r="F35958">
        <v>8750074</v>
      </c>
      <c r="G35958" t="s">
        <v>698</v>
      </c>
      <c r="H35958" s="21">
        <v>500</v>
      </c>
    </row>
    <row r="35959" spans="1:8" customFormat="1" x14ac:dyDescent="0.25">
      <c r="A35959" t="str">
        <f>"761528"</f>
        <v>761528</v>
      </c>
      <c r="B35959" t="s">
        <v>23743</v>
      </c>
      <c r="C35959" t="s">
        <v>209</v>
      </c>
      <c r="D35959" s="21" t="s">
        <v>34</v>
      </c>
      <c r="E35959" s="21" t="s">
        <v>254</v>
      </c>
      <c r="F35959">
        <v>9760107</v>
      </c>
      <c r="G35959" t="s">
        <v>122</v>
      </c>
      <c r="H35959" s="21">
        <v>500</v>
      </c>
    </row>
    <row r="35960" spans="1:8" customFormat="1" x14ac:dyDescent="0.25">
      <c r="A35960" t="str">
        <f>"7413582"</f>
        <v>7413582</v>
      </c>
      <c r="B35960" t="s">
        <v>22950</v>
      </c>
      <c r="C35960" t="s">
        <v>60</v>
      </c>
      <c r="D35960" s="21" t="s">
        <v>34</v>
      </c>
      <c r="E35960" s="21" t="s">
        <v>35</v>
      </c>
      <c r="F35960">
        <v>1740044</v>
      </c>
      <c r="G35960" t="s">
        <v>22951</v>
      </c>
      <c r="H35960" s="21">
        <v>500</v>
      </c>
    </row>
    <row r="35961" spans="1:8" customFormat="1" x14ac:dyDescent="0.25">
      <c r="A35961" t="str">
        <f>"6947100"</f>
        <v>6947100</v>
      </c>
      <c r="B35961" t="s">
        <v>4461</v>
      </c>
      <c r="C35961" t="s">
        <v>13442</v>
      </c>
      <c r="D35961" s="21" t="s">
        <v>34</v>
      </c>
      <c r="E35961" s="21" t="s">
        <v>254</v>
      </c>
      <c r="F35961">
        <v>1690186</v>
      </c>
      <c r="G35961" t="s">
        <v>438</v>
      </c>
      <c r="H35961" s="21">
        <v>500</v>
      </c>
    </row>
    <row r="35962" spans="1:8" customFormat="1" x14ac:dyDescent="0.25">
      <c r="A35962" t="str">
        <f>"7731976"</f>
        <v>7731976</v>
      </c>
      <c r="B35962" t="s">
        <v>29162</v>
      </c>
      <c r="C35962" t="s">
        <v>124</v>
      </c>
      <c r="D35962" s="21" t="s">
        <v>34</v>
      </c>
      <c r="E35962" s="21" t="s">
        <v>254</v>
      </c>
      <c r="F35962">
        <v>8771025</v>
      </c>
      <c r="G35962" t="s">
        <v>5469</v>
      </c>
      <c r="H35962" s="21">
        <v>500</v>
      </c>
    </row>
    <row r="35963" spans="1:8" customFormat="1" x14ac:dyDescent="0.25">
      <c r="A35963" t="str">
        <f>"734286"</f>
        <v>734286</v>
      </c>
      <c r="B35963" t="s">
        <v>11717</v>
      </c>
      <c r="C35963" t="s">
        <v>209</v>
      </c>
      <c r="D35963" s="21" t="s">
        <v>34</v>
      </c>
      <c r="E35963" s="21" t="s">
        <v>254</v>
      </c>
      <c r="F35963">
        <v>1730077</v>
      </c>
      <c r="G35963" t="s">
        <v>1517</v>
      </c>
      <c r="H35963" s="21">
        <v>500</v>
      </c>
    </row>
    <row r="35964" spans="1:8" customFormat="1" x14ac:dyDescent="0.25">
      <c r="A35964" t="str">
        <f>"1426911"</f>
        <v>1426911</v>
      </c>
      <c r="B35964" t="s">
        <v>213</v>
      </c>
      <c r="C35964" t="s">
        <v>3887</v>
      </c>
      <c r="D35964" s="21" t="s">
        <v>34</v>
      </c>
      <c r="E35964" s="21" t="s">
        <v>254</v>
      </c>
      <c r="F35964">
        <v>9140055</v>
      </c>
      <c r="G35964" t="s">
        <v>344</v>
      </c>
      <c r="H35964" s="21">
        <v>500</v>
      </c>
    </row>
    <row r="35965" spans="1:8" customFormat="1" x14ac:dyDescent="0.25">
      <c r="A35965" t="str">
        <f>"4452555"</f>
        <v>4452555</v>
      </c>
      <c r="B35965" t="s">
        <v>23571</v>
      </c>
      <c r="C35965" t="s">
        <v>2305</v>
      </c>
      <c r="D35965" s="21" t="s">
        <v>34</v>
      </c>
      <c r="E35965" s="21" t="s">
        <v>254</v>
      </c>
      <c r="F35965">
        <v>12440279</v>
      </c>
      <c r="G35965" t="s">
        <v>23572</v>
      </c>
      <c r="H35965" s="21">
        <v>500</v>
      </c>
    </row>
    <row r="35966" spans="1:8" customFormat="1" x14ac:dyDescent="0.25">
      <c r="A35966" t="str">
        <f>"6945823"</f>
        <v>6945823</v>
      </c>
      <c r="B35966" t="s">
        <v>29163</v>
      </c>
      <c r="C35966" t="s">
        <v>29164</v>
      </c>
      <c r="D35966" s="21" t="s">
        <v>34</v>
      </c>
      <c r="E35966" s="21" t="s">
        <v>254</v>
      </c>
      <c r="F35966">
        <v>1690150</v>
      </c>
      <c r="G35966" t="s">
        <v>19630</v>
      </c>
      <c r="H35966" s="21">
        <v>500</v>
      </c>
    </row>
    <row r="35967" spans="1:8" customFormat="1" x14ac:dyDescent="0.25">
      <c r="A35967" t="str">
        <f>"8315728"</f>
        <v>8315728</v>
      </c>
      <c r="B35967" t="s">
        <v>205</v>
      </c>
      <c r="C35967" t="s">
        <v>412</v>
      </c>
      <c r="D35967" s="21" t="s">
        <v>34</v>
      </c>
      <c r="E35967" s="21" t="s">
        <v>254</v>
      </c>
      <c r="F35967">
        <v>13830085</v>
      </c>
      <c r="G35967" t="s">
        <v>478</v>
      </c>
      <c r="H35967" s="21">
        <v>500</v>
      </c>
    </row>
    <row r="35968" spans="1:8" customFormat="1" x14ac:dyDescent="0.25">
      <c r="A35968" t="str">
        <f>"6231983"</f>
        <v>6231983</v>
      </c>
      <c r="B35968" t="s">
        <v>22621</v>
      </c>
      <c r="C35968" t="s">
        <v>87</v>
      </c>
      <c r="D35968" s="21" t="s">
        <v>34</v>
      </c>
      <c r="E35968" s="21" t="s">
        <v>71</v>
      </c>
      <c r="F35968">
        <v>7620007</v>
      </c>
      <c r="G35968" t="s">
        <v>2133</v>
      </c>
      <c r="H35968" s="21">
        <v>500</v>
      </c>
    </row>
    <row r="35969" spans="1:8" customFormat="1" x14ac:dyDescent="0.25">
      <c r="A35969" t="str">
        <f>"5978636"</f>
        <v>5978636</v>
      </c>
      <c r="B35969" t="s">
        <v>4817</v>
      </c>
      <c r="C35969" t="s">
        <v>109</v>
      </c>
      <c r="D35969" s="21" t="s">
        <v>34</v>
      </c>
      <c r="E35969" s="21" t="s">
        <v>35</v>
      </c>
      <c r="F35969">
        <v>7590127</v>
      </c>
      <c r="G35969" t="s">
        <v>214</v>
      </c>
      <c r="H35969" s="21">
        <v>500</v>
      </c>
    </row>
    <row r="35970" spans="1:8" customFormat="1" x14ac:dyDescent="0.25">
      <c r="A35970" t="str">
        <f>"857479"</f>
        <v>857479</v>
      </c>
      <c r="B35970" t="s">
        <v>1322</v>
      </c>
      <c r="C35970" t="s">
        <v>19119</v>
      </c>
      <c r="D35970" s="21" t="s">
        <v>34</v>
      </c>
      <c r="E35970" s="21" t="s">
        <v>1089</v>
      </c>
      <c r="F35970">
        <v>12850007</v>
      </c>
      <c r="G35970" t="s">
        <v>7649</v>
      </c>
      <c r="H35970" s="21">
        <v>500</v>
      </c>
    </row>
    <row r="35971" spans="1:8" customFormat="1" x14ac:dyDescent="0.25">
      <c r="A35971" t="str">
        <f>"6112788"</f>
        <v>6112788</v>
      </c>
      <c r="B35971" t="s">
        <v>22815</v>
      </c>
      <c r="C35971" t="s">
        <v>547</v>
      </c>
      <c r="D35971" s="21" t="s">
        <v>34</v>
      </c>
      <c r="E35971" s="21" t="s">
        <v>1089</v>
      </c>
      <c r="F35971">
        <v>9610055</v>
      </c>
      <c r="G35971" t="s">
        <v>13803</v>
      </c>
      <c r="H35971" s="21">
        <v>500</v>
      </c>
    </row>
    <row r="35972" spans="1:8" customFormat="1" x14ac:dyDescent="0.25">
      <c r="A35972" t="str">
        <f>"2914535"</f>
        <v>2914535</v>
      </c>
      <c r="B35972" t="s">
        <v>15711</v>
      </c>
      <c r="C35972" t="s">
        <v>98</v>
      </c>
      <c r="D35972" s="21" t="s">
        <v>34</v>
      </c>
      <c r="E35972" s="21" t="s">
        <v>35</v>
      </c>
      <c r="F35972">
        <v>3290232</v>
      </c>
      <c r="G35972" t="s">
        <v>9588</v>
      </c>
      <c r="H35972" s="21">
        <v>500</v>
      </c>
    </row>
    <row r="35973" spans="1:8" customFormat="1" x14ac:dyDescent="0.25">
      <c r="A35973" t="str">
        <f>"06397"</f>
        <v>06397</v>
      </c>
      <c r="B35973" t="s">
        <v>14050</v>
      </c>
      <c r="C35973" t="s">
        <v>253</v>
      </c>
      <c r="D35973" s="21" t="s">
        <v>34</v>
      </c>
      <c r="E35973" s="21" t="s">
        <v>6185</v>
      </c>
      <c r="F35973">
        <v>13060031</v>
      </c>
      <c r="G35973" t="s">
        <v>9379</v>
      </c>
      <c r="H35973" s="21">
        <v>500</v>
      </c>
    </row>
    <row r="35974" spans="1:8" customFormat="1" x14ac:dyDescent="0.25">
      <c r="A35974" t="str">
        <f>"6930996"</f>
        <v>6930996</v>
      </c>
      <c r="B35974" t="s">
        <v>6317</v>
      </c>
      <c r="C35974" t="s">
        <v>1146</v>
      </c>
      <c r="D35974" s="21" t="s">
        <v>34</v>
      </c>
      <c r="E35974" s="21" t="s">
        <v>1089</v>
      </c>
      <c r="F35974">
        <v>1690006</v>
      </c>
      <c r="G35974" t="s">
        <v>2543</v>
      </c>
      <c r="H35974" s="21">
        <v>500</v>
      </c>
    </row>
    <row r="35975" spans="1:8" customFormat="1" x14ac:dyDescent="0.25">
      <c r="A35975" t="str">
        <f>"595333"</f>
        <v>595333</v>
      </c>
      <c r="B35975" t="s">
        <v>4018</v>
      </c>
      <c r="C35975" t="s">
        <v>263</v>
      </c>
      <c r="D35975" s="21" t="s">
        <v>34</v>
      </c>
      <c r="E35975" s="21" t="s">
        <v>6185</v>
      </c>
      <c r="F35975">
        <v>7590127</v>
      </c>
      <c r="G35975" t="s">
        <v>214</v>
      </c>
      <c r="H35975" s="21">
        <v>500</v>
      </c>
    </row>
    <row r="35976" spans="1:8" customFormat="1" x14ac:dyDescent="0.25">
      <c r="A35976" t="str">
        <f>"0115195"</f>
        <v>0115195</v>
      </c>
      <c r="B35976" t="s">
        <v>7586</v>
      </c>
      <c r="C35976" t="s">
        <v>187</v>
      </c>
      <c r="D35976" s="21" t="s">
        <v>34</v>
      </c>
      <c r="E35976" s="21" t="s">
        <v>35</v>
      </c>
      <c r="F35976">
        <v>1010054</v>
      </c>
      <c r="G35976" t="s">
        <v>8991</v>
      </c>
      <c r="H35976" s="21">
        <v>500</v>
      </c>
    </row>
    <row r="35977" spans="1:8" customFormat="1" x14ac:dyDescent="0.25">
      <c r="A35977" t="str">
        <f>"417905"</f>
        <v>417905</v>
      </c>
      <c r="B35977" t="s">
        <v>650</v>
      </c>
      <c r="C35977" t="s">
        <v>55</v>
      </c>
      <c r="D35977" s="21" t="s">
        <v>34</v>
      </c>
      <c r="E35977" s="21" t="s">
        <v>71</v>
      </c>
      <c r="F35977">
        <v>4410612</v>
      </c>
      <c r="G35977" t="s">
        <v>815</v>
      </c>
      <c r="H35977" s="21">
        <v>500</v>
      </c>
    </row>
    <row r="35978" spans="1:8" customFormat="1" x14ac:dyDescent="0.25">
      <c r="A35978" t="str">
        <f>"2515792"</f>
        <v>2515792</v>
      </c>
      <c r="B35978" t="s">
        <v>4921</v>
      </c>
      <c r="C35978" t="s">
        <v>498</v>
      </c>
      <c r="D35978" s="21" t="s">
        <v>34</v>
      </c>
      <c r="E35978" s="21" t="s">
        <v>71</v>
      </c>
      <c r="F35978">
        <v>2250208</v>
      </c>
      <c r="G35978" t="s">
        <v>10923</v>
      </c>
      <c r="H35978" s="21">
        <v>500</v>
      </c>
    </row>
    <row r="35979" spans="1:8" customFormat="1" x14ac:dyDescent="0.25">
      <c r="A35979" t="str">
        <f>"7628665"</f>
        <v>7628665</v>
      </c>
      <c r="B35979" t="s">
        <v>61</v>
      </c>
      <c r="C35979" t="s">
        <v>1714</v>
      </c>
      <c r="D35979" s="21" t="s">
        <v>34</v>
      </c>
      <c r="E35979" s="21" t="s">
        <v>1089</v>
      </c>
      <c r="F35979">
        <v>9760028</v>
      </c>
      <c r="G35979" t="s">
        <v>4086</v>
      </c>
      <c r="H35979" s="21">
        <v>500</v>
      </c>
    </row>
    <row r="35980" spans="1:8" customFormat="1" x14ac:dyDescent="0.25">
      <c r="A35980" t="str">
        <f>"7822541"</f>
        <v>7822541</v>
      </c>
      <c r="B35980" t="s">
        <v>29165</v>
      </c>
      <c r="C35980" t="s">
        <v>249</v>
      </c>
      <c r="D35980" s="21" t="s">
        <v>34</v>
      </c>
      <c r="E35980" s="21" t="s">
        <v>71</v>
      </c>
      <c r="F35980">
        <v>8780660</v>
      </c>
      <c r="G35980" t="s">
        <v>2801</v>
      </c>
      <c r="H35980" s="21">
        <v>500</v>
      </c>
    </row>
    <row r="35981" spans="1:8" customFormat="1" x14ac:dyDescent="0.25">
      <c r="A35981" t="str">
        <f>"9W141"</f>
        <v>9W141</v>
      </c>
      <c r="B35981" t="s">
        <v>29166</v>
      </c>
      <c r="C35981" t="s">
        <v>29167</v>
      </c>
      <c r="D35981" s="21" t="s">
        <v>34</v>
      </c>
      <c r="E35981" s="21" t="s">
        <v>35</v>
      </c>
      <c r="F35981" t="s">
        <v>23027</v>
      </c>
      <c r="G35981" t="s">
        <v>28713</v>
      </c>
      <c r="H35981" s="21">
        <v>500</v>
      </c>
    </row>
    <row r="35982" spans="1:8" customFormat="1" x14ac:dyDescent="0.25">
      <c r="A35982" t="str">
        <f>"3827637"</f>
        <v>3827637</v>
      </c>
      <c r="B35982" t="s">
        <v>9844</v>
      </c>
      <c r="C35982" t="s">
        <v>119</v>
      </c>
      <c r="D35982" s="21" t="s">
        <v>34</v>
      </c>
      <c r="E35982" s="21" t="s">
        <v>71</v>
      </c>
      <c r="F35982">
        <v>1380260</v>
      </c>
      <c r="G35982" t="s">
        <v>13471</v>
      </c>
      <c r="H35982" s="21">
        <v>500</v>
      </c>
    </row>
    <row r="35983" spans="1:8" customFormat="1" x14ac:dyDescent="0.25">
      <c r="A35983" t="str">
        <f>"7113335"</f>
        <v>7113335</v>
      </c>
      <c r="B35983" t="s">
        <v>23625</v>
      </c>
      <c r="C35983" t="s">
        <v>415</v>
      </c>
      <c r="D35983" s="21" t="s">
        <v>34</v>
      </c>
      <c r="E35983" s="21" t="s">
        <v>254</v>
      </c>
      <c r="F35983">
        <v>2710023</v>
      </c>
      <c r="G35983" t="s">
        <v>3549</v>
      </c>
      <c r="H35983" s="21">
        <v>500</v>
      </c>
    </row>
    <row r="35984" spans="1:8" customFormat="1" x14ac:dyDescent="0.25">
      <c r="A35984" t="str">
        <f>"9144865"</f>
        <v>9144865</v>
      </c>
      <c r="B35984" t="s">
        <v>22463</v>
      </c>
      <c r="C35984" t="s">
        <v>139</v>
      </c>
      <c r="D35984" s="21" t="s">
        <v>34</v>
      </c>
      <c r="E35984" s="21" t="s">
        <v>71</v>
      </c>
      <c r="F35984">
        <v>8910881</v>
      </c>
      <c r="G35984" t="s">
        <v>1300</v>
      </c>
      <c r="H35984" s="21">
        <v>500</v>
      </c>
    </row>
    <row r="35985" spans="1:8" customFormat="1" x14ac:dyDescent="0.25">
      <c r="A35985" t="str">
        <f>"3343161"</f>
        <v>3343161</v>
      </c>
      <c r="B35985" t="s">
        <v>22922</v>
      </c>
      <c r="C35985" t="s">
        <v>65</v>
      </c>
      <c r="D35985" s="21" t="s">
        <v>34</v>
      </c>
      <c r="E35985" s="21" t="s">
        <v>35</v>
      </c>
      <c r="F35985">
        <v>10330046</v>
      </c>
      <c r="G35985" t="s">
        <v>1787</v>
      </c>
      <c r="H35985" s="21">
        <v>500</v>
      </c>
    </row>
    <row r="35986" spans="1:8" customFormat="1" x14ac:dyDescent="0.25">
      <c r="A35986" t="str">
        <f>"377736"</f>
        <v>377736</v>
      </c>
      <c r="B35986" t="s">
        <v>22177</v>
      </c>
      <c r="C35986" t="s">
        <v>822</v>
      </c>
      <c r="D35986" s="21" t="s">
        <v>34</v>
      </c>
      <c r="E35986" s="21" t="s">
        <v>254</v>
      </c>
      <c r="F35986">
        <v>4370478</v>
      </c>
      <c r="G35986" t="s">
        <v>4735</v>
      </c>
      <c r="H35986" s="21">
        <v>500</v>
      </c>
    </row>
    <row r="35987" spans="1:8" customFormat="1" x14ac:dyDescent="0.25">
      <c r="A35987" t="str">
        <f>"627701"</f>
        <v>627701</v>
      </c>
      <c r="B35987" t="s">
        <v>23877</v>
      </c>
      <c r="C35987" t="s">
        <v>528</v>
      </c>
      <c r="D35987" s="21" t="s">
        <v>34</v>
      </c>
      <c r="E35987" s="21" t="s">
        <v>71</v>
      </c>
      <c r="F35987">
        <v>7620063</v>
      </c>
      <c r="G35987" t="s">
        <v>1889</v>
      </c>
      <c r="H35987" s="21">
        <v>500</v>
      </c>
    </row>
    <row r="35988" spans="1:8" customFormat="1" x14ac:dyDescent="0.25">
      <c r="A35988" t="str">
        <f>"4711424"</f>
        <v>4711424</v>
      </c>
      <c r="B35988" t="s">
        <v>29168</v>
      </c>
      <c r="C35988" t="s">
        <v>285</v>
      </c>
      <c r="D35988" s="21" t="s">
        <v>34</v>
      </c>
      <c r="E35988" s="21" t="s">
        <v>35</v>
      </c>
      <c r="F35988">
        <v>10470026</v>
      </c>
      <c r="G35988" t="s">
        <v>27223</v>
      </c>
      <c r="H35988" s="21">
        <v>500</v>
      </c>
    </row>
    <row r="35989" spans="1:8" customFormat="1" x14ac:dyDescent="0.25">
      <c r="A35989" t="str">
        <f>"8521047"</f>
        <v>8521047</v>
      </c>
      <c r="B35989" t="s">
        <v>5932</v>
      </c>
      <c r="C35989" t="s">
        <v>263</v>
      </c>
      <c r="D35989" s="21" t="s">
        <v>34</v>
      </c>
      <c r="E35989" s="21" t="s">
        <v>254</v>
      </c>
      <c r="F35989">
        <v>12850016</v>
      </c>
      <c r="G35989" t="s">
        <v>26554</v>
      </c>
      <c r="H35989" s="21">
        <v>500</v>
      </c>
    </row>
    <row r="35990" spans="1:8" customFormat="1" x14ac:dyDescent="0.25">
      <c r="A35990" t="str">
        <f>"3313882"</f>
        <v>3313882</v>
      </c>
      <c r="B35990" t="s">
        <v>5200</v>
      </c>
      <c r="C35990" t="s">
        <v>239</v>
      </c>
      <c r="D35990" s="21" t="s">
        <v>34</v>
      </c>
      <c r="E35990" s="21" t="s">
        <v>254</v>
      </c>
      <c r="F35990">
        <v>10330093</v>
      </c>
      <c r="G35990" t="s">
        <v>8324</v>
      </c>
      <c r="H35990" s="21">
        <v>500</v>
      </c>
    </row>
    <row r="35991" spans="1:8" customFormat="1" x14ac:dyDescent="0.25">
      <c r="A35991" t="str">
        <f>"5013178"</f>
        <v>5013178</v>
      </c>
      <c r="B35991" t="s">
        <v>4335</v>
      </c>
      <c r="C35991" t="s">
        <v>1110</v>
      </c>
      <c r="D35991" s="21" t="s">
        <v>34</v>
      </c>
      <c r="E35991" s="21" t="s">
        <v>71</v>
      </c>
      <c r="F35991">
        <v>9500043</v>
      </c>
      <c r="G35991" t="s">
        <v>22813</v>
      </c>
      <c r="H35991" s="21">
        <v>500</v>
      </c>
    </row>
    <row r="35992" spans="1:8" customFormat="1" x14ac:dyDescent="0.25">
      <c r="A35992" t="str">
        <f>"5021326"</f>
        <v>5021326</v>
      </c>
      <c r="B35992" t="s">
        <v>6279</v>
      </c>
      <c r="C35992" t="s">
        <v>139</v>
      </c>
      <c r="D35992" s="21" t="s">
        <v>34</v>
      </c>
      <c r="E35992" s="21" t="s">
        <v>71</v>
      </c>
      <c r="F35992">
        <v>9500011</v>
      </c>
      <c r="G35992" t="s">
        <v>4903</v>
      </c>
      <c r="H35992" s="21">
        <v>500</v>
      </c>
    </row>
    <row r="35993" spans="1:8" customFormat="1" x14ac:dyDescent="0.25">
      <c r="A35993" t="str">
        <f>"5730407"</f>
        <v>5730407</v>
      </c>
      <c r="B35993" t="s">
        <v>23962</v>
      </c>
      <c r="C35993" t="s">
        <v>114</v>
      </c>
      <c r="D35993" s="21" t="s">
        <v>34</v>
      </c>
      <c r="E35993" s="21" t="s">
        <v>71</v>
      </c>
      <c r="F35993">
        <v>6570016</v>
      </c>
      <c r="G35993" t="s">
        <v>11808</v>
      </c>
      <c r="H35993" s="21">
        <v>500</v>
      </c>
    </row>
    <row r="35994" spans="1:8" customFormat="1" x14ac:dyDescent="0.25">
      <c r="A35994" t="str">
        <f>"8514607"</f>
        <v>8514607</v>
      </c>
      <c r="B35994" t="s">
        <v>23483</v>
      </c>
      <c r="C35994" t="s">
        <v>267</v>
      </c>
      <c r="D35994" s="21" t="s">
        <v>34</v>
      </c>
      <c r="E35994" s="21" t="s">
        <v>254</v>
      </c>
      <c r="F35994">
        <v>1690058</v>
      </c>
      <c r="G35994" t="s">
        <v>1644</v>
      </c>
      <c r="H35994" s="21">
        <v>500</v>
      </c>
    </row>
    <row r="35995" spans="1:8" customFormat="1" x14ac:dyDescent="0.25">
      <c r="A35995" t="str">
        <f>"1426487"</f>
        <v>1426487</v>
      </c>
      <c r="B35995" t="s">
        <v>8736</v>
      </c>
      <c r="C35995" t="s">
        <v>130</v>
      </c>
      <c r="D35995" s="21" t="s">
        <v>34</v>
      </c>
      <c r="E35995" s="21" t="s">
        <v>35</v>
      </c>
      <c r="F35995">
        <v>9140202</v>
      </c>
      <c r="G35995" t="s">
        <v>2011</v>
      </c>
      <c r="H35995" s="21">
        <v>500</v>
      </c>
    </row>
    <row r="35996" spans="1:8" customFormat="1" x14ac:dyDescent="0.25">
      <c r="A35996" t="str">
        <f>"407850"</f>
        <v>407850</v>
      </c>
      <c r="B35996" t="s">
        <v>1551</v>
      </c>
      <c r="C35996" t="s">
        <v>1142</v>
      </c>
      <c r="D35996" s="21" t="s">
        <v>34</v>
      </c>
      <c r="E35996" s="21" t="s">
        <v>254</v>
      </c>
      <c r="F35996">
        <v>10400021</v>
      </c>
      <c r="G35996" t="s">
        <v>12111</v>
      </c>
      <c r="H35996" s="21">
        <v>500</v>
      </c>
    </row>
    <row r="35997" spans="1:8" customFormat="1" x14ac:dyDescent="0.25">
      <c r="A35997" t="str">
        <f>"9145159"</f>
        <v>9145159</v>
      </c>
      <c r="B35997" t="s">
        <v>23952</v>
      </c>
      <c r="C35997" t="s">
        <v>40</v>
      </c>
      <c r="D35997" s="21" t="s">
        <v>34</v>
      </c>
      <c r="E35997" s="21" t="s">
        <v>35</v>
      </c>
      <c r="F35997">
        <v>8911368</v>
      </c>
      <c r="G35997" t="s">
        <v>12227</v>
      </c>
      <c r="H35997" s="21">
        <v>500</v>
      </c>
    </row>
    <row r="35998" spans="1:8" customFormat="1" x14ac:dyDescent="0.25">
      <c r="A35998" t="str">
        <f>"856320"</f>
        <v>856320</v>
      </c>
      <c r="B35998" t="s">
        <v>1719</v>
      </c>
      <c r="C35998" t="s">
        <v>415</v>
      </c>
      <c r="D35998" s="21" t="s">
        <v>34</v>
      </c>
      <c r="E35998" s="21" t="s">
        <v>254</v>
      </c>
      <c r="F35998">
        <v>12850033</v>
      </c>
      <c r="G35998" t="s">
        <v>703</v>
      </c>
      <c r="H35998" s="21">
        <v>500</v>
      </c>
    </row>
    <row r="35999" spans="1:8" customFormat="1" x14ac:dyDescent="0.25">
      <c r="A35999" t="str">
        <f>"3345414"</f>
        <v>3345414</v>
      </c>
      <c r="B35999" t="s">
        <v>29169</v>
      </c>
      <c r="C35999" t="s">
        <v>29170</v>
      </c>
      <c r="D35999" s="21" t="s">
        <v>34</v>
      </c>
      <c r="E35999" s="21" t="s">
        <v>35</v>
      </c>
      <c r="F35999">
        <v>10330121</v>
      </c>
      <c r="G35999" t="s">
        <v>5145</v>
      </c>
      <c r="H35999" s="21">
        <v>500</v>
      </c>
    </row>
    <row r="36000" spans="1:8" customFormat="1" x14ac:dyDescent="0.25">
      <c r="A36000" t="str">
        <f>"603508"</f>
        <v>603508</v>
      </c>
      <c r="B36000" t="s">
        <v>23622</v>
      </c>
      <c r="C36000" t="s">
        <v>267</v>
      </c>
      <c r="D36000" s="21" t="s">
        <v>34</v>
      </c>
      <c r="E36000" s="21" t="s">
        <v>254</v>
      </c>
      <c r="F36000">
        <v>7600037</v>
      </c>
      <c r="G36000" t="s">
        <v>7185</v>
      </c>
      <c r="H36000" s="21">
        <v>500</v>
      </c>
    </row>
    <row r="36001" spans="1:8" customFormat="1" x14ac:dyDescent="0.25">
      <c r="A36001" t="str">
        <f>"9419968"</f>
        <v>9419968</v>
      </c>
      <c r="B36001" t="s">
        <v>21309</v>
      </c>
      <c r="C36001" t="s">
        <v>62</v>
      </c>
      <c r="D36001" s="21" t="s">
        <v>34</v>
      </c>
      <c r="E36001" s="21" t="s">
        <v>35</v>
      </c>
      <c r="F36001">
        <v>8940459</v>
      </c>
      <c r="G36001" t="s">
        <v>743</v>
      </c>
      <c r="H36001" s="21">
        <v>500</v>
      </c>
    </row>
    <row r="36002" spans="1:8" customFormat="1" x14ac:dyDescent="0.25">
      <c r="A36002" t="str">
        <f>"824007"</f>
        <v>824007</v>
      </c>
      <c r="B36002" t="s">
        <v>29171</v>
      </c>
      <c r="C36002" t="s">
        <v>109</v>
      </c>
      <c r="D36002" s="21" t="s">
        <v>34</v>
      </c>
      <c r="E36002" s="21" t="s">
        <v>35</v>
      </c>
      <c r="F36002">
        <v>11820032</v>
      </c>
      <c r="G36002" t="s">
        <v>14258</v>
      </c>
      <c r="H36002" s="21">
        <v>500</v>
      </c>
    </row>
    <row r="36003" spans="1:8" customFormat="1" x14ac:dyDescent="0.25">
      <c r="A36003" t="str">
        <f>"6948110"</f>
        <v>6948110</v>
      </c>
      <c r="B36003" t="s">
        <v>23032</v>
      </c>
      <c r="C36003" t="s">
        <v>285</v>
      </c>
      <c r="D36003" s="21" t="s">
        <v>34</v>
      </c>
      <c r="E36003" s="21" t="s">
        <v>35</v>
      </c>
      <c r="F36003">
        <v>1690023</v>
      </c>
      <c r="G36003" t="s">
        <v>647</v>
      </c>
      <c r="H36003" s="21">
        <v>500</v>
      </c>
    </row>
    <row r="36004" spans="1:8" customFormat="1" x14ac:dyDescent="0.25">
      <c r="A36004" t="str">
        <f>"9G1933"</f>
        <v>9G1933</v>
      </c>
      <c r="B36004" t="s">
        <v>29172</v>
      </c>
      <c r="C36004" t="s">
        <v>2776</v>
      </c>
      <c r="D36004" s="21" t="s">
        <v>34</v>
      </c>
      <c r="E36004" s="21" t="s">
        <v>35</v>
      </c>
      <c r="F36004" t="s">
        <v>29173</v>
      </c>
      <c r="G36004" t="s">
        <v>29174</v>
      </c>
      <c r="H36004" s="21">
        <v>500</v>
      </c>
    </row>
    <row r="36005" spans="1:8" customFormat="1" x14ac:dyDescent="0.25">
      <c r="A36005" t="str">
        <f>"7414831"</f>
        <v>7414831</v>
      </c>
      <c r="B36005" t="s">
        <v>2115</v>
      </c>
      <c r="C36005" t="s">
        <v>127</v>
      </c>
      <c r="D36005" s="21" t="s">
        <v>34</v>
      </c>
      <c r="E36005" s="21" t="s">
        <v>35</v>
      </c>
      <c r="F36005">
        <v>1740063</v>
      </c>
      <c r="G36005" t="s">
        <v>9745</v>
      </c>
      <c r="H36005" s="21">
        <v>500</v>
      </c>
    </row>
    <row r="36006" spans="1:8" customFormat="1" x14ac:dyDescent="0.25">
      <c r="A36006" t="str">
        <f>"844614"</f>
        <v>844614</v>
      </c>
      <c r="B36006" t="s">
        <v>3270</v>
      </c>
      <c r="C36006" t="s">
        <v>171</v>
      </c>
      <c r="D36006" s="21" t="s">
        <v>34</v>
      </c>
      <c r="E36006" s="21" t="s">
        <v>254</v>
      </c>
      <c r="F36006">
        <v>13840025</v>
      </c>
      <c r="G36006" t="s">
        <v>7580</v>
      </c>
      <c r="H36006" s="21">
        <v>500</v>
      </c>
    </row>
    <row r="36007" spans="1:8" customFormat="1" x14ac:dyDescent="0.25">
      <c r="A36007" t="str">
        <f>"1318174"</f>
        <v>1318174</v>
      </c>
      <c r="B36007" t="s">
        <v>18940</v>
      </c>
      <c r="C36007" t="s">
        <v>119</v>
      </c>
      <c r="D36007" s="21" t="s">
        <v>34</v>
      </c>
      <c r="E36007" s="21" t="s">
        <v>35</v>
      </c>
      <c r="F36007">
        <v>2250181</v>
      </c>
      <c r="G36007" t="s">
        <v>494</v>
      </c>
      <c r="H36007" s="21">
        <v>500</v>
      </c>
    </row>
    <row r="36008" spans="1:8" customFormat="1" x14ac:dyDescent="0.25">
      <c r="A36008" t="str">
        <f>"3524711"</f>
        <v>3524711</v>
      </c>
      <c r="B36008" t="s">
        <v>6930</v>
      </c>
      <c r="C36008" t="s">
        <v>2305</v>
      </c>
      <c r="D36008" s="21" t="s">
        <v>34</v>
      </c>
      <c r="E36008" s="21" t="s">
        <v>1089</v>
      </c>
      <c r="F36008">
        <v>3350050</v>
      </c>
      <c r="G36008" t="s">
        <v>6931</v>
      </c>
      <c r="H36008" s="21">
        <v>500</v>
      </c>
    </row>
    <row r="36009" spans="1:8" customFormat="1" x14ac:dyDescent="0.25">
      <c r="A36009" t="str">
        <f>"7631374"</f>
        <v>7631374</v>
      </c>
      <c r="B36009" t="s">
        <v>9431</v>
      </c>
      <c r="C36009" t="s">
        <v>275</v>
      </c>
      <c r="D36009" s="21" t="s">
        <v>34</v>
      </c>
      <c r="E36009" s="21" t="s">
        <v>35</v>
      </c>
      <c r="F36009">
        <v>9760342</v>
      </c>
      <c r="G36009" t="s">
        <v>3619</v>
      </c>
      <c r="H36009" s="21">
        <v>500</v>
      </c>
    </row>
    <row r="36010" spans="1:8" customFormat="1" x14ac:dyDescent="0.25">
      <c r="A36010" t="str">
        <f>"924544"</f>
        <v>924544</v>
      </c>
      <c r="B36010" t="s">
        <v>12467</v>
      </c>
      <c r="C36010" t="s">
        <v>253</v>
      </c>
      <c r="D36010" s="21" t="s">
        <v>34</v>
      </c>
      <c r="E36010" s="21" t="s">
        <v>6185</v>
      </c>
      <c r="F36010">
        <v>8911206</v>
      </c>
      <c r="G36010" t="s">
        <v>17661</v>
      </c>
      <c r="H36010" s="21">
        <v>500</v>
      </c>
    </row>
    <row r="36011" spans="1:8" customFormat="1" x14ac:dyDescent="0.25">
      <c r="A36011" t="str">
        <f>"7642033"</f>
        <v>7642033</v>
      </c>
      <c r="B36011" t="s">
        <v>22871</v>
      </c>
      <c r="C36011" t="s">
        <v>1468</v>
      </c>
      <c r="D36011" s="21" t="s">
        <v>34</v>
      </c>
      <c r="E36011" s="21" t="s">
        <v>35</v>
      </c>
      <c r="F36011">
        <v>9760107</v>
      </c>
      <c r="G36011" t="s">
        <v>122</v>
      </c>
      <c r="H36011" s="21">
        <v>500</v>
      </c>
    </row>
    <row r="36012" spans="1:8" customFormat="1" x14ac:dyDescent="0.25">
      <c r="A36012" t="str">
        <f>"681910"</f>
        <v>681910</v>
      </c>
      <c r="B36012" t="s">
        <v>23288</v>
      </c>
      <c r="C36012" t="s">
        <v>1914</v>
      </c>
      <c r="D36012" s="21" t="s">
        <v>34</v>
      </c>
      <c r="E36012" s="21" t="s">
        <v>1089</v>
      </c>
      <c r="F36012">
        <v>6680105</v>
      </c>
      <c r="G36012" t="s">
        <v>403</v>
      </c>
      <c r="H36012" s="21">
        <v>500</v>
      </c>
    </row>
    <row r="36013" spans="1:8" customFormat="1" x14ac:dyDescent="0.25">
      <c r="A36013" t="str">
        <f>"3710815"</f>
        <v>3710815</v>
      </c>
      <c r="B36013" t="s">
        <v>2766</v>
      </c>
      <c r="C36013" t="s">
        <v>379</v>
      </c>
      <c r="D36013" s="21" t="s">
        <v>34</v>
      </c>
      <c r="E36013" s="21" t="s">
        <v>6185</v>
      </c>
      <c r="F36013">
        <v>4370464</v>
      </c>
      <c r="G36013" t="s">
        <v>5348</v>
      </c>
      <c r="H36013" s="21">
        <v>500</v>
      </c>
    </row>
    <row r="36014" spans="1:8" customFormat="1" x14ac:dyDescent="0.25">
      <c r="A36014" t="str">
        <f>"8527305"</f>
        <v>8527305</v>
      </c>
      <c r="B36014" t="s">
        <v>7824</v>
      </c>
      <c r="C36014" t="s">
        <v>249</v>
      </c>
      <c r="D36014" s="21" t="s">
        <v>34</v>
      </c>
      <c r="E36014" s="21" t="s">
        <v>35</v>
      </c>
      <c r="F36014">
        <v>12850138</v>
      </c>
      <c r="G36014" t="s">
        <v>6879</v>
      </c>
      <c r="H36014" s="21">
        <v>500</v>
      </c>
    </row>
    <row r="36015" spans="1:8" customFormat="1" x14ac:dyDescent="0.25">
      <c r="A36015" t="str">
        <f>"9420177"</f>
        <v>9420177</v>
      </c>
      <c r="B36015" t="s">
        <v>29175</v>
      </c>
      <c r="C36015" t="s">
        <v>109</v>
      </c>
      <c r="D36015" s="21" t="s">
        <v>34</v>
      </c>
      <c r="E36015" s="21" t="s">
        <v>71</v>
      </c>
      <c r="F36015">
        <v>8941100</v>
      </c>
      <c r="G36015" t="s">
        <v>4974</v>
      </c>
      <c r="H36015" s="21">
        <v>500</v>
      </c>
    </row>
    <row r="36016" spans="1:8" customFormat="1" x14ac:dyDescent="0.25">
      <c r="A36016" t="str">
        <f>"3725176"</f>
        <v>3725176</v>
      </c>
      <c r="B36016" t="s">
        <v>13368</v>
      </c>
      <c r="C36016" t="s">
        <v>209</v>
      </c>
      <c r="D36016" s="21" t="s">
        <v>34</v>
      </c>
      <c r="E36016" s="21" t="s">
        <v>71</v>
      </c>
      <c r="F36016">
        <v>4370146</v>
      </c>
      <c r="G36016" t="s">
        <v>10990</v>
      </c>
      <c r="H36016" s="21">
        <v>500</v>
      </c>
    </row>
    <row r="36017" spans="1:8" customFormat="1" x14ac:dyDescent="0.25">
      <c r="A36017" t="str">
        <f>"7618249"</f>
        <v>7618249</v>
      </c>
      <c r="B36017" t="s">
        <v>21956</v>
      </c>
      <c r="C36017" t="s">
        <v>171</v>
      </c>
      <c r="D36017" s="21" t="s">
        <v>34</v>
      </c>
      <c r="E36017" s="21" t="s">
        <v>254</v>
      </c>
      <c r="F36017">
        <v>9760004</v>
      </c>
      <c r="G36017" t="s">
        <v>56</v>
      </c>
      <c r="H36017" s="21">
        <v>500</v>
      </c>
    </row>
    <row r="36018" spans="1:8" customFormat="1" x14ac:dyDescent="0.25">
      <c r="A36018" t="str">
        <f>"8529013"</f>
        <v>8529013</v>
      </c>
      <c r="B36018" t="s">
        <v>29176</v>
      </c>
      <c r="C36018" t="s">
        <v>29177</v>
      </c>
      <c r="D36018" s="21" t="s">
        <v>34</v>
      </c>
      <c r="E36018" s="21" t="s">
        <v>35</v>
      </c>
      <c r="F36018">
        <v>12851018</v>
      </c>
      <c r="G36018" t="s">
        <v>8085</v>
      </c>
      <c r="H36018" s="21">
        <v>500</v>
      </c>
    </row>
    <row r="36019" spans="1:8" customFormat="1" x14ac:dyDescent="0.25">
      <c r="A36019" t="str">
        <f>"9214391"</f>
        <v>9214391</v>
      </c>
      <c r="B36019" t="s">
        <v>13042</v>
      </c>
      <c r="C36019" t="s">
        <v>328</v>
      </c>
      <c r="D36019" s="21" t="s">
        <v>34</v>
      </c>
      <c r="E36019" s="21" t="s">
        <v>1089</v>
      </c>
      <c r="F36019">
        <v>8920389</v>
      </c>
      <c r="G36019" t="s">
        <v>1739</v>
      </c>
      <c r="H36019" s="21">
        <v>500</v>
      </c>
    </row>
    <row r="36020" spans="1:8" customFormat="1" x14ac:dyDescent="0.25">
      <c r="A36020" t="str">
        <f>"5981511"</f>
        <v>5981511</v>
      </c>
      <c r="B36020" t="s">
        <v>13285</v>
      </c>
      <c r="C36020" t="s">
        <v>1754</v>
      </c>
      <c r="D36020" s="21" t="s">
        <v>34</v>
      </c>
      <c r="E36020" s="21" t="s">
        <v>35</v>
      </c>
      <c r="F36020">
        <v>7590126</v>
      </c>
      <c r="G36020" t="s">
        <v>4749</v>
      </c>
      <c r="H36020" s="21">
        <v>500</v>
      </c>
    </row>
    <row r="36021" spans="1:8" customFormat="1" x14ac:dyDescent="0.25">
      <c r="A36021" t="str">
        <f>"5326897"</f>
        <v>5326897</v>
      </c>
      <c r="B36021" t="s">
        <v>29178</v>
      </c>
      <c r="C36021" t="s">
        <v>29179</v>
      </c>
      <c r="D36021" s="21" t="s">
        <v>34</v>
      </c>
      <c r="E36021" s="21" t="s">
        <v>35</v>
      </c>
      <c r="F36021">
        <v>12530018</v>
      </c>
      <c r="G36021" t="s">
        <v>8768</v>
      </c>
      <c r="H36021" s="21">
        <v>500</v>
      </c>
    </row>
    <row r="36022" spans="1:8" customFormat="1" x14ac:dyDescent="0.25">
      <c r="A36022" t="str">
        <f>"6814416"</f>
        <v>6814416</v>
      </c>
      <c r="B36022" t="s">
        <v>15511</v>
      </c>
      <c r="C36022" t="s">
        <v>7951</v>
      </c>
      <c r="D36022" s="21" t="s">
        <v>34</v>
      </c>
      <c r="E36022" s="21" t="s">
        <v>71</v>
      </c>
      <c r="F36022">
        <v>6680090</v>
      </c>
      <c r="G36022" t="s">
        <v>3129</v>
      </c>
      <c r="H36022" s="21">
        <v>500</v>
      </c>
    </row>
    <row r="36023" spans="1:8" customFormat="1" x14ac:dyDescent="0.25">
      <c r="A36023" t="str">
        <f>"413879"</f>
        <v>413879</v>
      </c>
      <c r="B36023" t="s">
        <v>23587</v>
      </c>
      <c r="C36023" t="s">
        <v>40</v>
      </c>
      <c r="D36023" s="21" t="s">
        <v>34</v>
      </c>
      <c r="E36023" s="21" t="s">
        <v>254</v>
      </c>
      <c r="F36023">
        <v>4410080</v>
      </c>
      <c r="G36023" t="s">
        <v>135</v>
      </c>
      <c r="H36023" s="21">
        <v>500</v>
      </c>
    </row>
    <row r="36024" spans="1:8" customFormat="1" x14ac:dyDescent="0.25">
      <c r="A36024" t="str">
        <f>"756481"</f>
        <v>756481</v>
      </c>
      <c r="B36024" t="s">
        <v>22584</v>
      </c>
      <c r="C36024" t="s">
        <v>22585</v>
      </c>
      <c r="D36024" s="21" t="s">
        <v>34</v>
      </c>
      <c r="E36024" s="21" t="s">
        <v>1089</v>
      </c>
      <c r="F36024">
        <v>8751265</v>
      </c>
      <c r="G36024" t="s">
        <v>15965</v>
      </c>
      <c r="H36024" s="21">
        <v>500</v>
      </c>
    </row>
    <row r="36025" spans="1:8" customFormat="1" x14ac:dyDescent="0.25">
      <c r="A36025" t="str">
        <f>"7642778"</f>
        <v>7642778</v>
      </c>
      <c r="B36025" t="s">
        <v>1572</v>
      </c>
      <c r="C36025" t="s">
        <v>1025</v>
      </c>
      <c r="D36025" s="21" t="s">
        <v>34</v>
      </c>
      <c r="E36025" s="21" t="s">
        <v>35</v>
      </c>
      <c r="F36025">
        <v>9760442</v>
      </c>
      <c r="G36025" t="s">
        <v>5753</v>
      </c>
      <c r="H36025" s="21">
        <v>500</v>
      </c>
    </row>
    <row r="36026" spans="1:8" customFormat="1" x14ac:dyDescent="0.25">
      <c r="A36026" t="str">
        <f>"0210057"</f>
        <v>0210057</v>
      </c>
      <c r="B36026" t="s">
        <v>12849</v>
      </c>
      <c r="C36026" t="s">
        <v>3073</v>
      </c>
      <c r="D36026" s="21" t="s">
        <v>34</v>
      </c>
      <c r="E36026" s="21" t="s">
        <v>254</v>
      </c>
      <c r="F36026">
        <v>7020009</v>
      </c>
      <c r="G36026" t="s">
        <v>3362</v>
      </c>
      <c r="H36026" s="21">
        <v>500</v>
      </c>
    </row>
    <row r="36027" spans="1:8" customFormat="1" x14ac:dyDescent="0.25">
      <c r="A36027" t="str">
        <f>"2111468"</f>
        <v>2111468</v>
      </c>
      <c r="B36027" t="s">
        <v>12363</v>
      </c>
      <c r="C36027" t="s">
        <v>1146</v>
      </c>
      <c r="D36027" s="21" t="s">
        <v>34</v>
      </c>
      <c r="E36027" s="21" t="s">
        <v>1089</v>
      </c>
      <c r="F36027">
        <v>2210101</v>
      </c>
      <c r="G36027" t="s">
        <v>1374</v>
      </c>
      <c r="H36027" s="21">
        <v>500</v>
      </c>
    </row>
    <row r="36028" spans="1:8" customFormat="1" x14ac:dyDescent="0.25">
      <c r="A36028" t="str">
        <f>"4448991"</f>
        <v>4448991</v>
      </c>
      <c r="B36028" t="s">
        <v>6921</v>
      </c>
      <c r="C36028" t="s">
        <v>285</v>
      </c>
      <c r="D36028" s="21" t="s">
        <v>34</v>
      </c>
      <c r="E36028" s="21" t="s">
        <v>71</v>
      </c>
      <c r="F36028">
        <v>12440259</v>
      </c>
      <c r="G36028" t="s">
        <v>833</v>
      </c>
      <c r="H36028" s="21">
        <v>500</v>
      </c>
    </row>
    <row r="36029" spans="1:8" customFormat="1" x14ac:dyDescent="0.25">
      <c r="A36029" t="str">
        <f>"9144879"</f>
        <v>9144879</v>
      </c>
      <c r="B36029" t="s">
        <v>23602</v>
      </c>
      <c r="C36029" t="s">
        <v>4092</v>
      </c>
      <c r="D36029" s="21" t="s">
        <v>34</v>
      </c>
      <c r="E36029" s="21" t="s">
        <v>254</v>
      </c>
      <c r="F36029">
        <v>8910442</v>
      </c>
      <c r="G36029" t="s">
        <v>1336</v>
      </c>
      <c r="H36029" s="21">
        <v>500</v>
      </c>
    </row>
    <row r="36030" spans="1:8" customFormat="1" x14ac:dyDescent="0.25">
      <c r="A36030" t="str">
        <f>"57776"</f>
        <v>57776</v>
      </c>
      <c r="B36030" t="s">
        <v>24184</v>
      </c>
      <c r="C36030" t="s">
        <v>3098</v>
      </c>
      <c r="D36030" s="21" t="s">
        <v>34</v>
      </c>
      <c r="E36030" s="21" t="s">
        <v>1089</v>
      </c>
      <c r="F36030">
        <v>6570093</v>
      </c>
      <c r="G36030" t="s">
        <v>6118</v>
      </c>
      <c r="H36030" s="21">
        <v>500</v>
      </c>
    </row>
    <row r="36031" spans="1:8" customFormat="1" x14ac:dyDescent="0.25">
      <c r="A36031" t="str">
        <f>"3537803"</f>
        <v>3537803</v>
      </c>
      <c r="B36031" t="s">
        <v>971</v>
      </c>
      <c r="C36031" t="s">
        <v>14778</v>
      </c>
      <c r="D36031" s="21" t="s">
        <v>34</v>
      </c>
      <c r="E36031" s="21" t="s">
        <v>71</v>
      </c>
      <c r="F36031">
        <v>3350074</v>
      </c>
      <c r="G36031" t="s">
        <v>5432</v>
      </c>
      <c r="H36031" s="21">
        <v>500</v>
      </c>
    </row>
    <row r="36032" spans="1:8" customFormat="1" x14ac:dyDescent="0.25">
      <c r="A36032" t="str">
        <f>"4938516"</f>
        <v>4938516</v>
      </c>
      <c r="B36032" t="s">
        <v>29180</v>
      </c>
      <c r="C36032" t="s">
        <v>269</v>
      </c>
      <c r="D36032" s="21" t="s">
        <v>34</v>
      </c>
      <c r="E36032" s="21" t="s">
        <v>71</v>
      </c>
      <c r="F36032">
        <v>12490106</v>
      </c>
      <c r="G36032" t="s">
        <v>4555</v>
      </c>
      <c r="H36032" s="21">
        <v>500</v>
      </c>
    </row>
    <row r="36033" spans="1:8" customFormat="1" x14ac:dyDescent="0.25">
      <c r="A36033" t="str">
        <f>"992366"</f>
        <v>992366</v>
      </c>
      <c r="B36033" t="s">
        <v>29181</v>
      </c>
      <c r="C36033" t="s">
        <v>29182</v>
      </c>
      <c r="D36033" s="21" t="s">
        <v>34</v>
      </c>
      <c r="E36033" s="21" t="s">
        <v>71</v>
      </c>
      <c r="F36033">
        <v>5990007</v>
      </c>
      <c r="G36033" t="s">
        <v>15719</v>
      </c>
      <c r="H36033" s="21">
        <v>500</v>
      </c>
    </row>
    <row r="36034" spans="1:8" customFormat="1" x14ac:dyDescent="0.25">
      <c r="A36034" t="str">
        <f>"7641015"</f>
        <v>7641015</v>
      </c>
      <c r="B36034" t="s">
        <v>6418</v>
      </c>
      <c r="C36034" t="s">
        <v>209</v>
      </c>
      <c r="D36034" s="21" t="s">
        <v>34</v>
      </c>
      <c r="E36034" s="21" t="s">
        <v>71</v>
      </c>
      <c r="F36034">
        <v>9760319</v>
      </c>
      <c r="G36034" t="s">
        <v>3051</v>
      </c>
      <c r="H36034" s="21">
        <v>500</v>
      </c>
    </row>
    <row r="36035" spans="1:8" customFormat="1" x14ac:dyDescent="0.25">
      <c r="A36035" t="str">
        <f>"3538398"</f>
        <v>3538398</v>
      </c>
      <c r="B36035" t="s">
        <v>29183</v>
      </c>
      <c r="C36035" t="s">
        <v>29184</v>
      </c>
      <c r="D36035" s="21" t="s">
        <v>34</v>
      </c>
      <c r="E36035" s="21" t="s">
        <v>35</v>
      </c>
      <c r="F36035">
        <v>3350063</v>
      </c>
      <c r="G36035" t="s">
        <v>14782</v>
      </c>
      <c r="H36035" s="21">
        <v>500</v>
      </c>
    </row>
    <row r="36036" spans="1:8" customFormat="1" x14ac:dyDescent="0.25">
      <c r="A36036" t="str">
        <f>"9534220"</f>
        <v>9534220</v>
      </c>
      <c r="B36036" t="s">
        <v>6440</v>
      </c>
      <c r="C36036" t="s">
        <v>926</v>
      </c>
      <c r="D36036" s="21" t="s">
        <v>34</v>
      </c>
      <c r="E36036" s="21" t="s">
        <v>254</v>
      </c>
      <c r="F36036">
        <v>8951268</v>
      </c>
      <c r="G36036" t="s">
        <v>8981</v>
      </c>
      <c r="H36036" s="21">
        <v>500</v>
      </c>
    </row>
    <row r="36037" spans="1:8" customFormat="1" x14ac:dyDescent="0.25">
      <c r="A36037" t="str">
        <f>"9F4461"</f>
        <v>9F4461</v>
      </c>
      <c r="B36037" t="s">
        <v>22783</v>
      </c>
      <c r="C36037" t="s">
        <v>62</v>
      </c>
      <c r="D36037" s="21" t="s">
        <v>34</v>
      </c>
      <c r="E36037" s="21" t="s">
        <v>35</v>
      </c>
      <c r="F36037" t="s">
        <v>2591</v>
      </c>
      <c r="G36037" t="s">
        <v>2592</v>
      </c>
      <c r="H36037" s="21">
        <v>500</v>
      </c>
    </row>
    <row r="36038" spans="1:8" customFormat="1" x14ac:dyDescent="0.25">
      <c r="A36038" t="str">
        <f>"769639"</f>
        <v>769639</v>
      </c>
      <c r="B36038" t="s">
        <v>4959</v>
      </c>
      <c r="C36038" t="s">
        <v>547</v>
      </c>
      <c r="D36038" s="21" t="s">
        <v>34</v>
      </c>
      <c r="E36038" s="21" t="s">
        <v>1089</v>
      </c>
      <c r="F36038">
        <v>9760456</v>
      </c>
      <c r="G36038" t="s">
        <v>21573</v>
      </c>
      <c r="H36038" s="21">
        <v>500</v>
      </c>
    </row>
    <row r="36039" spans="1:8" customFormat="1" x14ac:dyDescent="0.25">
      <c r="A36039" t="str">
        <f>"3832272"</f>
        <v>3832272</v>
      </c>
      <c r="B36039" t="s">
        <v>5008</v>
      </c>
      <c r="C36039" t="s">
        <v>156</v>
      </c>
      <c r="D36039" s="21" t="s">
        <v>34</v>
      </c>
      <c r="E36039" s="21" t="s">
        <v>254</v>
      </c>
      <c r="F36039">
        <v>1380292</v>
      </c>
      <c r="G36039" t="s">
        <v>10256</v>
      </c>
      <c r="H36039" s="21">
        <v>500</v>
      </c>
    </row>
    <row r="36040" spans="1:8" customFormat="1" x14ac:dyDescent="0.25">
      <c r="A36040" t="str">
        <f>"7523634"</f>
        <v>7523634</v>
      </c>
      <c r="B36040" t="s">
        <v>23133</v>
      </c>
      <c r="C36040" t="s">
        <v>23134</v>
      </c>
      <c r="D36040" s="21" t="s">
        <v>34</v>
      </c>
      <c r="E36040" s="21" t="s">
        <v>35</v>
      </c>
      <c r="F36040">
        <v>8751458</v>
      </c>
      <c r="G36040" t="s">
        <v>23067</v>
      </c>
      <c r="H36040" s="21">
        <v>500</v>
      </c>
    </row>
    <row r="36041" spans="1:8" customFormat="1" x14ac:dyDescent="0.25">
      <c r="A36041" t="str">
        <f>"4410014"</f>
        <v>4410014</v>
      </c>
      <c r="B36041" t="s">
        <v>23042</v>
      </c>
      <c r="C36041" t="s">
        <v>1146</v>
      </c>
      <c r="D36041" s="21" t="s">
        <v>34</v>
      </c>
      <c r="E36041" s="21" t="s">
        <v>1089</v>
      </c>
      <c r="F36041">
        <v>12440141</v>
      </c>
      <c r="G36041" t="s">
        <v>3234</v>
      </c>
      <c r="H36041" s="21">
        <v>500</v>
      </c>
    </row>
    <row r="36042" spans="1:8" customFormat="1" x14ac:dyDescent="0.25">
      <c r="A36042" t="str">
        <f>"6316915"</f>
        <v>6316915</v>
      </c>
      <c r="B36042" t="s">
        <v>29185</v>
      </c>
      <c r="C36042" t="s">
        <v>288</v>
      </c>
      <c r="D36042" s="21" t="s">
        <v>34</v>
      </c>
      <c r="E36042" s="21" t="s">
        <v>35</v>
      </c>
      <c r="F36042">
        <v>1630261</v>
      </c>
      <c r="G36042" t="s">
        <v>1382</v>
      </c>
      <c r="H36042" s="21">
        <v>500</v>
      </c>
    </row>
    <row r="36043" spans="1:8" customFormat="1" x14ac:dyDescent="0.25">
      <c r="A36043" t="str">
        <f>"4416728"</f>
        <v>4416728</v>
      </c>
      <c r="B36043" t="s">
        <v>23699</v>
      </c>
      <c r="C36043" t="s">
        <v>1199</v>
      </c>
      <c r="D36043" s="21" t="s">
        <v>34</v>
      </c>
      <c r="E36043" s="21" t="s">
        <v>254</v>
      </c>
      <c r="F36043">
        <v>12440195</v>
      </c>
      <c r="G36043" t="s">
        <v>3117</v>
      </c>
      <c r="H36043" s="21">
        <v>500</v>
      </c>
    </row>
    <row r="36044" spans="1:8" customFormat="1" x14ac:dyDescent="0.25">
      <c r="A36044" t="str">
        <f>"9D2575"</f>
        <v>9D2575</v>
      </c>
      <c r="B36044" t="s">
        <v>4289</v>
      </c>
      <c r="C36044" t="s">
        <v>275</v>
      </c>
      <c r="D36044" s="21" t="s">
        <v>34</v>
      </c>
      <c r="E36044" s="21" t="s">
        <v>35</v>
      </c>
      <c r="F36044" t="s">
        <v>2462</v>
      </c>
      <c r="G36044" t="s">
        <v>2463</v>
      </c>
      <c r="H36044" s="21">
        <v>500</v>
      </c>
    </row>
    <row r="36045" spans="1:8" customFormat="1" x14ac:dyDescent="0.25">
      <c r="A36045" t="str">
        <f>"9251703"</f>
        <v>9251703</v>
      </c>
      <c r="B36045" t="s">
        <v>29186</v>
      </c>
      <c r="C36045" t="s">
        <v>267</v>
      </c>
      <c r="D36045" s="21" t="s">
        <v>34</v>
      </c>
      <c r="E36045" s="21" t="s">
        <v>254</v>
      </c>
      <c r="F36045">
        <v>12850143</v>
      </c>
      <c r="G36045" t="s">
        <v>1625</v>
      </c>
      <c r="H36045" s="21">
        <v>500</v>
      </c>
    </row>
    <row r="36046" spans="1:8" customFormat="1" x14ac:dyDescent="0.25">
      <c r="A36046" t="str">
        <f>"711899"</f>
        <v>711899</v>
      </c>
      <c r="B36046" t="s">
        <v>23089</v>
      </c>
      <c r="C36046" t="s">
        <v>253</v>
      </c>
      <c r="D36046" s="21" t="s">
        <v>34</v>
      </c>
      <c r="E36046" s="21" t="s">
        <v>6185</v>
      </c>
      <c r="F36046">
        <v>2710048</v>
      </c>
      <c r="G36046" t="s">
        <v>2225</v>
      </c>
      <c r="H36046" s="21">
        <v>500</v>
      </c>
    </row>
    <row r="36047" spans="1:8" customFormat="1" x14ac:dyDescent="0.25">
      <c r="A36047" t="str">
        <f>"5417901"</f>
        <v>5417901</v>
      </c>
      <c r="B36047" t="s">
        <v>23180</v>
      </c>
      <c r="C36047" t="s">
        <v>2907</v>
      </c>
      <c r="D36047" s="21" t="s">
        <v>34</v>
      </c>
      <c r="E36047" s="21" t="s">
        <v>71</v>
      </c>
      <c r="F36047">
        <v>6540108</v>
      </c>
      <c r="G36047" t="s">
        <v>4340</v>
      </c>
      <c r="H36047" s="21">
        <v>500</v>
      </c>
    </row>
    <row r="36048" spans="1:8" customFormat="1" x14ac:dyDescent="0.25">
      <c r="A36048" t="str">
        <f>"9F5635"</f>
        <v>9F5635</v>
      </c>
      <c r="B36048" t="s">
        <v>29187</v>
      </c>
      <c r="C36048" t="s">
        <v>149</v>
      </c>
      <c r="D36048" s="21" t="s">
        <v>34</v>
      </c>
      <c r="E36048" s="21" t="s">
        <v>35</v>
      </c>
      <c r="F36048" t="s">
        <v>26091</v>
      </c>
      <c r="G36048" t="s">
        <v>26092</v>
      </c>
      <c r="H36048" s="21">
        <v>500</v>
      </c>
    </row>
    <row r="36049" spans="1:8" customFormat="1" x14ac:dyDescent="0.25">
      <c r="A36049" t="str">
        <f>"6216063"</f>
        <v>6216063</v>
      </c>
      <c r="B36049" t="s">
        <v>19828</v>
      </c>
      <c r="C36049" t="s">
        <v>114</v>
      </c>
      <c r="D36049" s="21" t="s">
        <v>34</v>
      </c>
      <c r="E36049" s="21" t="s">
        <v>71</v>
      </c>
      <c r="F36049">
        <v>7620051</v>
      </c>
      <c r="G36049" t="s">
        <v>2741</v>
      </c>
      <c r="H36049" s="21">
        <v>500</v>
      </c>
    </row>
    <row r="36050" spans="1:8" customFormat="1" x14ac:dyDescent="0.25">
      <c r="A36050" t="str">
        <f>"7846956"</f>
        <v>7846956</v>
      </c>
      <c r="B36050" t="s">
        <v>22923</v>
      </c>
      <c r="C36050" t="s">
        <v>209</v>
      </c>
      <c r="D36050" s="21" t="s">
        <v>34</v>
      </c>
      <c r="E36050" s="21" t="s">
        <v>71</v>
      </c>
      <c r="F36050">
        <v>8781266</v>
      </c>
      <c r="G36050" t="s">
        <v>26704</v>
      </c>
      <c r="H36050" s="21">
        <v>500</v>
      </c>
    </row>
    <row r="36051" spans="1:8" customFormat="1" x14ac:dyDescent="0.25">
      <c r="A36051" t="str">
        <f>"9H804"</f>
        <v>9H804</v>
      </c>
      <c r="B36051" t="s">
        <v>29188</v>
      </c>
      <c r="C36051" t="s">
        <v>249</v>
      </c>
      <c r="D36051" s="21" t="s">
        <v>34</v>
      </c>
      <c r="E36051" s="21" t="s">
        <v>35</v>
      </c>
      <c r="F36051" t="s">
        <v>6447</v>
      </c>
      <c r="G36051" t="s">
        <v>6448</v>
      </c>
      <c r="H36051" s="21">
        <v>500</v>
      </c>
    </row>
    <row r="36052" spans="1:8" customFormat="1" x14ac:dyDescent="0.25">
      <c r="A36052" t="str">
        <f>"5931201"</f>
        <v>5931201</v>
      </c>
      <c r="B36052" t="s">
        <v>13054</v>
      </c>
      <c r="C36052" t="s">
        <v>469</v>
      </c>
      <c r="D36052" s="21" t="s">
        <v>34</v>
      </c>
      <c r="E36052" s="21" t="s">
        <v>71</v>
      </c>
      <c r="F36052">
        <v>7590426</v>
      </c>
      <c r="G36052" t="s">
        <v>23114</v>
      </c>
      <c r="H36052" s="21">
        <v>500</v>
      </c>
    </row>
    <row r="36053" spans="1:8" customFormat="1" x14ac:dyDescent="0.25">
      <c r="A36053" t="str">
        <f>"0617958"</f>
        <v>0617958</v>
      </c>
      <c r="B36053" t="s">
        <v>14644</v>
      </c>
      <c r="C36053" t="s">
        <v>40</v>
      </c>
      <c r="D36053" s="21" t="s">
        <v>34</v>
      </c>
      <c r="E36053" s="21" t="s">
        <v>71</v>
      </c>
      <c r="F36053">
        <v>13060085</v>
      </c>
      <c r="G36053" t="s">
        <v>2703</v>
      </c>
      <c r="H36053" s="21">
        <v>500</v>
      </c>
    </row>
    <row r="36054" spans="1:8" customFormat="1" x14ac:dyDescent="0.25">
      <c r="A36054" t="str">
        <f>"507297"</f>
        <v>507297</v>
      </c>
      <c r="B36054" t="s">
        <v>4865</v>
      </c>
      <c r="C36054" t="s">
        <v>124</v>
      </c>
      <c r="D36054" s="21" t="s">
        <v>34</v>
      </c>
      <c r="E36054" s="21" t="s">
        <v>71</v>
      </c>
      <c r="F36054">
        <v>9500088</v>
      </c>
      <c r="G36054" t="s">
        <v>15949</v>
      </c>
      <c r="H36054" s="21">
        <v>500</v>
      </c>
    </row>
    <row r="36055" spans="1:8" customFormat="1" x14ac:dyDescent="0.25">
      <c r="A36055" t="str">
        <f>"7414528"</f>
        <v>7414528</v>
      </c>
      <c r="B36055" t="s">
        <v>1895</v>
      </c>
      <c r="C36055" t="s">
        <v>1705</v>
      </c>
      <c r="D36055" s="21" t="s">
        <v>34</v>
      </c>
      <c r="E36055" s="21" t="s">
        <v>254</v>
      </c>
      <c r="F36055">
        <v>1740090</v>
      </c>
      <c r="G36055" t="s">
        <v>1369</v>
      </c>
      <c r="H36055" s="21">
        <v>500</v>
      </c>
    </row>
    <row r="36056" spans="1:8" customFormat="1" x14ac:dyDescent="0.25">
      <c r="A36056" t="str">
        <f>"707382"</f>
        <v>707382</v>
      </c>
      <c r="B36056" t="s">
        <v>29189</v>
      </c>
      <c r="C36056" t="s">
        <v>124</v>
      </c>
      <c r="D36056" s="21" t="s">
        <v>34</v>
      </c>
      <c r="E36056" s="21" t="s">
        <v>35</v>
      </c>
      <c r="F36056">
        <v>2700085</v>
      </c>
      <c r="G36056" t="s">
        <v>7691</v>
      </c>
      <c r="H36056" s="21">
        <v>500</v>
      </c>
    </row>
    <row r="36057" spans="1:8" customFormat="1" x14ac:dyDescent="0.25">
      <c r="A36057" t="str">
        <f>"9B1020"</f>
        <v>9B1020</v>
      </c>
      <c r="B36057" t="s">
        <v>11221</v>
      </c>
      <c r="C36057" t="s">
        <v>730</v>
      </c>
      <c r="D36057" s="21" t="s">
        <v>34</v>
      </c>
      <c r="E36057" s="21" t="s">
        <v>254</v>
      </c>
      <c r="F36057" t="s">
        <v>2861</v>
      </c>
      <c r="G36057" t="s">
        <v>2862</v>
      </c>
      <c r="H36057" s="21">
        <v>500</v>
      </c>
    </row>
    <row r="36058" spans="1:8" customFormat="1" x14ac:dyDescent="0.25">
      <c r="A36058" t="str">
        <f>"3116838"</f>
        <v>3116838</v>
      </c>
      <c r="B36058" t="s">
        <v>22781</v>
      </c>
      <c r="C36058" t="s">
        <v>114</v>
      </c>
      <c r="D36058" s="21" t="s">
        <v>34</v>
      </c>
      <c r="E36058" s="21" t="s">
        <v>71</v>
      </c>
      <c r="F36058">
        <v>11310077</v>
      </c>
      <c r="G36058" t="s">
        <v>5364</v>
      </c>
      <c r="H36058" s="21">
        <v>500</v>
      </c>
    </row>
    <row r="36059" spans="1:8" customFormat="1" x14ac:dyDescent="0.25">
      <c r="A36059" t="str">
        <f>"593780"</f>
        <v>593780</v>
      </c>
      <c r="B36059" t="s">
        <v>17201</v>
      </c>
      <c r="C36059" t="s">
        <v>267</v>
      </c>
      <c r="D36059" s="21" t="s">
        <v>34</v>
      </c>
      <c r="E36059" s="21" t="s">
        <v>71</v>
      </c>
      <c r="F36059">
        <v>7590127</v>
      </c>
      <c r="G36059" t="s">
        <v>214</v>
      </c>
      <c r="H36059" s="21">
        <v>500</v>
      </c>
    </row>
    <row r="36060" spans="1:8" customFormat="1" x14ac:dyDescent="0.25">
      <c r="A36060" t="str">
        <f>"4711401"</f>
        <v>4711401</v>
      </c>
      <c r="B36060" t="s">
        <v>11877</v>
      </c>
      <c r="C36060" t="s">
        <v>3010</v>
      </c>
      <c r="D36060" s="21" t="s">
        <v>34</v>
      </c>
      <c r="E36060" s="21" t="s">
        <v>71</v>
      </c>
      <c r="F36060">
        <v>10470014</v>
      </c>
      <c r="G36060" t="s">
        <v>22811</v>
      </c>
      <c r="H36060" s="21">
        <v>500</v>
      </c>
    </row>
    <row r="36061" spans="1:8" customFormat="1" x14ac:dyDescent="0.25">
      <c r="A36061" t="str">
        <f>"2721590"</f>
        <v>2721590</v>
      </c>
      <c r="B36061" t="s">
        <v>20599</v>
      </c>
      <c r="C36061" t="s">
        <v>621</v>
      </c>
      <c r="D36061" s="21" t="s">
        <v>34</v>
      </c>
      <c r="E36061" s="21" t="s">
        <v>71</v>
      </c>
      <c r="F36061">
        <v>9270030</v>
      </c>
      <c r="G36061" t="s">
        <v>5853</v>
      </c>
      <c r="H36061" s="21">
        <v>500</v>
      </c>
    </row>
    <row r="36062" spans="1:8" customFormat="1" x14ac:dyDescent="0.25">
      <c r="A36062" t="str">
        <f>"7918954"</f>
        <v>7918954</v>
      </c>
      <c r="B36062" t="s">
        <v>2772</v>
      </c>
      <c r="C36062" t="s">
        <v>40</v>
      </c>
      <c r="D36062" s="21" t="s">
        <v>34</v>
      </c>
      <c r="E36062" s="21" t="s">
        <v>71</v>
      </c>
      <c r="F36062">
        <v>10790038</v>
      </c>
      <c r="G36062" t="s">
        <v>5857</v>
      </c>
      <c r="H36062" s="21">
        <v>500</v>
      </c>
    </row>
    <row r="36063" spans="1:8" customFormat="1" x14ac:dyDescent="0.25">
      <c r="A36063" t="str">
        <f>"6232711"</f>
        <v>6232711</v>
      </c>
      <c r="B36063" t="s">
        <v>29190</v>
      </c>
      <c r="C36063" t="s">
        <v>124</v>
      </c>
      <c r="D36063" s="21" t="s">
        <v>34</v>
      </c>
      <c r="E36063" s="21" t="s">
        <v>71</v>
      </c>
      <c r="F36063">
        <v>7620042</v>
      </c>
      <c r="G36063" t="s">
        <v>8102</v>
      </c>
      <c r="H36063" s="21">
        <v>500</v>
      </c>
    </row>
    <row r="36064" spans="1:8" customFormat="1" x14ac:dyDescent="0.25">
      <c r="A36064" t="str">
        <f>"5315499"</f>
        <v>5315499</v>
      </c>
      <c r="B36064" t="s">
        <v>7664</v>
      </c>
      <c r="C36064" t="s">
        <v>1705</v>
      </c>
      <c r="D36064" s="21" t="s">
        <v>34</v>
      </c>
      <c r="E36064" s="21" t="s">
        <v>254</v>
      </c>
      <c r="F36064">
        <v>12530058</v>
      </c>
      <c r="G36064" t="s">
        <v>3128</v>
      </c>
      <c r="H36064" s="21">
        <v>500</v>
      </c>
    </row>
    <row r="36065" spans="1:8" customFormat="1" x14ac:dyDescent="0.25">
      <c r="A36065" t="str">
        <f>"315772"</f>
        <v>315772</v>
      </c>
      <c r="B36065" t="s">
        <v>1593</v>
      </c>
      <c r="C36065" t="s">
        <v>40</v>
      </c>
      <c r="D36065" s="21" t="s">
        <v>34</v>
      </c>
      <c r="E36065" s="21" t="s">
        <v>254</v>
      </c>
      <c r="F36065">
        <v>11310047</v>
      </c>
      <c r="G36065" t="s">
        <v>2188</v>
      </c>
      <c r="H36065" s="21">
        <v>500</v>
      </c>
    </row>
    <row r="36066" spans="1:8" customFormat="1" x14ac:dyDescent="0.25">
      <c r="A36066" t="str">
        <f>"9527313"</f>
        <v>9527313</v>
      </c>
      <c r="B36066" t="s">
        <v>1462</v>
      </c>
      <c r="C36066" t="s">
        <v>209</v>
      </c>
      <c r="D36066" s="21" t="s">
        <v>34</v>
      </c>
      <c r="E36066" s="21" t="s">
        <v>35</v>
      </c>
      <c r="F36066">
        <v>12440066</v>
      </c>
      <c r="G36066" t="s">
        <v>7602</v>
      </c>
      <c r="H36066" s="21">
        <v>500</v>
      </c>
    </row>
    <row r="36067" spans="1:8" customFormat="1" x14ac:dyDescent="0.25">
      <c r="A36067" t="str">
        <f>"9H793"</f>
        <v>9H793</v>
      </c>
      <c r="B36067" t="s">
        <v>23671</v>
      </c>
      <c r="C36067" t="s">
        <v>23672</v>
      </c>
      <c r="D36067" s="21" t="s">
        <v>34</v>
      </c>
      <c r="E36067" s="21" t="s">
        <v>254</v>
      </c>
      <c r="F36067" t="s">
        <v>23264</v>
      </c>
      <c r="G36067" t="s">
        <v>23265</v>
      </c>
      <c r="H36067" s="21">
        <v>500</v>
      </c>
    </row>
    <row r="36068" spans="1:8" customFormat="1" x14ac:dyDescent="0.25">
      <c r="A36068" t="str">
        <f>"54198"</f>
        <v>54198</v>
      </c>
      <c r="B36068" t="s">
        <v>23592</v>
      </c>
      <c r="C36068" t="s">
        <v>202</v>
      </c>
      <c r="D36068" s="21" t="s">
        <v>34</v>
      </c>
      <c r="E36068" s="21" t="s">
        <v>254</v>
      </c>
      <c r="F36068">
        <v>6540010</v>
      </c>
      <c r="G36068" t="s">
        <v>7832</v>
      </c>
      <c r="H36068" s="21">
        <v>500</v>
      </c>
    </row>
    <row r="36069" spans="1:8" customFormat="1" x14ac:dyDescent="0.25">
      <c r="A36069" t="str">
        <f>"5431881"</f>
        <v>5431881</v>
      </c>
      <c r="B36069" t="s">
        <v>10590</v>
      </c>
      <c r="C36069" t="s">
        <v>156</v>
      </c>
      <c r="D36069" s="21" t="s">
        <v>34</v>
      </c>
      <c r="E36069" s="21" t="s">
        <v>254</v>
      </c>
      <c r="F36069">
        <v>6540082</v>
      </c>
      <c r="G36069" t="s">
        <v>9816</v>
      </c>
      <c r="H36069" s="21">
        <v>500</v>
      </c>
    </row>
    <row r="36070" spans="1:8" customFormat="1" x14ac:dyDescent="0.25">
      <c r="A36070" t="str">
        <f>"723724"</f>
        <v>723724</v>
      </c>
      <c r="B36070" t="s">
        <v>4134</v>
      </c>
      <c r="C36070" t="s">
        <v>547</v>
      </c>
      <c r="D36070" s="21" t="s">
        <v>34</v>
      </c>
      <c r="E36070" s="21" t="s">
        <v>1089</v>
      </c>
      <c r="F36070">
        <v>8750120</v>
      </c>
      <c r="G36070" t="s">
        <v>838</v>
      </c>
      <c r="H36070" s="21">
        <v>500</v>
      </c>
    </row>
    <row r="36071" spans="1:8" customFormat="1" x14ac:dyDescent="0.25">
      <c r="A36071" t="str">
        <f>"8316472"</f>
        <v>8316472</v>
      </c>
      <c r="B36071" t="s">
        <v>21721</v>
      </c>
      <c r="C36071" t="s">
        <v>336</v>
      </c>
      <c r="D36071" s="21" t="s">
        <v>34</v>
      </c>
      <c r="E36071" s="21" t="s">
        <v>35</v>
      </c>
      <c r="F36071">
        <v>13830068</v>
      </c>
      <c r="G36071" t="s">
        <v>6181</v>
      </c>
      <c r="H36071" s="21">
        <v>500</v>
      </c>
    </row>
    <row r="36072" spans="1:8" customFormat="1" x14ac:dyDescent="0.25">
      <c r="A36072" t="str">
        <f>"6112870"</f>
        <v>6112870</v>
      </c>
      <c r="B36072" t="s">
        <v>29191</v>
      </c>
      <c r="C36072" t="s">
        <v>2520</v>
      </c>
      <c r="D36072" s="21" t="s">
        <v>34</v>
      </c>
      <c r="E36072" s="21" t="s">
        <v>1089</v>
      </c>
      <c r="F36072">
        <v>9610130</v>
      </c>
      <c r="G36072" t="s">
        <v>18435</v>
      </c>
      <c r="H36072" s="21">
        <v>500</v>
      </c>
    </row>
    <row r="36073" spans="1:8" customFormat="1" x14ac:dyDescent="0.25">
      <c r="A36073" t="str">
        <f>"2112757"</f>
        <v>2112757</v>
      </c>
      <c r="B36073" t="s">
        <v>11833</v>
      </c>
      <c r="C36073" t="s">
        <v>144</v>
      </c>
      <c r="D36073" s="21" t="s">
        <v>34</v>
      </c>
      <c r="E36073" s="21" t="s">
        <v>35</v>
      </c>
      <c r="F36073">
        <v>2210088</v>
      </c>
      <c r="G36073" t="s">
        <v>2896</v>
      </c>
      <c r="H36073" s="21">
        <v>500</v>
      </c>
    </row>
    <row r="36074" spans="1:8" customFormat="1" x14ac:dyDescent="0.25">
      <c r="A36074" t="str">
        <f>"9320764"</f>
        <v>9320764</v>
      </c>
      <c r="B36074" t="s">
        <v>1395</v>
      </c>
      <c r="C36074" t="s">
        <v>730</v>
      </c>
      <c r="D36074" s="21" t="s">
        <v>34</v>
      </c>
      <c r="E36074" s="21" t="s">
        <v>71</v>
      </c>
      <c r="F36074">
        <v>8930113</v>
      </c>
      <c r="G36074" t="s">
        <v>368</v>
      </c>
      <c r="H36074" s="21">
        <v>500</v>
      </c>
    </row>
    <row r="36075" spans="1:8" customFormat="1" x14ac:dyDescent="0.25">
      <c r="A36075" t="str">
        <f>"9H821"</f>
        <v>9H821</v>
      </c>
      <c r="B36075" t="s">
        <v>22858</v>
      </c>
      <c r="C36075" t="s">
        <v>3010</v>
      </c>
      <c r="D36075" s="21" t="s">
        <v>34</v>
      </c>
      <c r="E36075" s="21" t="s">
        <v>71</v>
      </c>
      <c r="F36075" t="s">
        <v>5851</v>
      </c>
      <c r="G36075" t="s">
        <v>5852</v>
      </c>
      <c r="H36075" s="21">
        <v>500</v>
      </c>
    </row>
    <row r="36076" spans="1:8" customFormat="1" x14ac:dyDescent="0.25">
      <c r="A36076" t="str">
        <f>"5015244"</f>
        <v>5015244</v>
      </c>
      <c r="B36076" t="s">
        <v>19926</v>
      </c>
      <c r="C36076" t="s">
        <v>453</v>
      </c>
      <c r="D36076" s="21" t="s">
        <v>34</v>
      </c>
      <c r="E36076" s="21" t="s">
        <v>1089</v>
      </c>
      <c r="F36076">
        <v>9500122</v>
      </c>
      <c r="G36076" t="s">
        <v>6164</v>
      </c>
      <c r="H36076" s="21">
        <v>500</v>
      </c>
    </row>
    <row r="36077" spans="1:8" customFormat="1" x14ac:dyDescent="0.25">
      <c r="A36077" t="str">
        <f>"2811280"</f>
        <v>2811280</v>
      </c>
      <c r="B36077" t="s">
        <v>1087</v>
      </c>
      <c r="C36077" t="s">
        <v>139</v>
      </c>
      <c r="D36077" s="21" t="s">
        <v>34</v>
      </c>
      <c r="E36077" s="21" t="s">
        <v>35</v>
      </c>
      <c r="F36077">
        <v>4280322</v>
      </c>
      <c r="G36077" t="s">
        <v>265</v>
      </c>
      <c r="H36077" s="21">
        <v>500</v>
      </c>
    </row>
    <row r="36078" spans="1:8" customFormat="1" x14ac:dyDescent="0.25">
      <c r="A36078" t="str">
        <f>"6224395"</f>
        <v>6224395</v>
      </c>
      <c r="B36078" t="s">
        <v>23364</v>
      </c>
      <c r="C36078" t="s">
        <v>8417</v>
      </c>
      <c r="D36078" s="21" t="s">
        <v>34</v>
      </c>
      <c r="E36078" s="21" t="s">
        <v>35</v>
      </c>
      <c r="F36078">
        <v>7620061</v>
      </c>
      <c r="G36078" t="s">
        <v>4448</v>
      </c>
      <c r="H36078" s="21">
        <v>500</v>
      </c>
    </row>
    <row r="36079" spans="1:8" customFormat="1" x14ac:dyDescent="0.25">
      <c r="A36079" t="str">
        <f>"8815372"</f>
        <v>8815372</v>
      </c>
      <c r="B36079" t="s">
        <v>13809</v>
      </c>
      <c r="C36079" t="s">
        <v>2072</v>
      </c>
      <c r="D36079" s="21" t="s">
        <v>34</v>
      </c>
      <c r="E36079" s="21" t="s">
        <v>1089</v>
      </c>
      <c r="F36079">
        <v>6880017</v>
      </c>
      <c r="G36079" t="s">
        <v>5061</v>
      </c>
      <c r="H36079" s="21">
        <v>500</v>
      </c>
    </row>
    <row r="36080" spans="1:8" customFormat="1" x14ac:dyDescent="0.25">
      <c r="A36080" t="str">
        <f>"9531427"</f>
        <v>9531427</v>
      </c>
      <c r="B36080" t="s">
        <v>23010</v>
      </c>
      <c r="C36080" t="s">
        <v>302</v>
      </c>
      <c r="D36080" s="21" t="s">
        <v>34</v>
      </c>
      <c r="E36080" s="21" t="s">
        <v>35</v>
      </c>
      <c r="F36080">
        <v>8950092</v>
      </c>
      <c r="G36080" t="s">
        <v>2039</v>
      </c>
      <c r="H36080" s="21">
        <v>500</v>
      </c>
    </row>
    <row r="36081" spans="1:8" customFormat="1" x14ac:dyDescent="0.25">
      <c r="A36081" t="str">
        <f>"2812870"</f>
        <v>2812870</v>
      </c>
      <c r="B36081" t="s">
        <v>12140</v>
      </c>
      <c r="C36081" t="s">
        <v>2276</v>
      </c>
      <c r="D36081" s="21" t="s">
        <v>34</v>
      </c>
      <c r="E36081" s="21" t="s">
        <v>71</v>
      </c>
      <c r="F36081">
        <v>4280038</v>
      </c>
      <c r="G36081" t="s">
        <v>2526</v>
      </c>
      <c r="H36081" s="21">
        <v>500</v>
      </c>
    </row>
    <row r="36082" spans="1:8" customFormat="1" x14ac:dyDescent="0.25">
      <c r="A36082" t="str">
        <f>"2218715"</f>
        <v>2218715</v>
      </c>
      <c r="B36082" t="s">
        <v>14563</v>
      </c>
      <c r="C36082" t="s">
        <v>151</v>
      </c>
      <c r="D36082" s="21" t="s">
        <v>34</v>
      </c>
      <c r="E36082" s="21" t="s">
        <v>1089</v>
      </c>
      <c r="F36082">
        <v>3220078</v>
      </c>
      <c r="G36082" t="s">
        <v>27356</v>
      </c>
      <c r="H36082" s="21">
        <v>500</v>
      </c>
    </row>
    <row r="36083" spans="1:8" customFormat="1" x14ac:dyDescent="0.25">
      <c r="A36083" t="str">
        <f>"6948088"</f>
        <v>6948088</v>
      </c>
      <c r="B36083" t="s">
        <v>23143</v>
      </c>
      <c r="C36083" t="s">
        <v>40</v>
      </c>
      <c r="D36083" s="21" t="s">
        <v>34</v>
      </c>
      <c r="E36083" s="21" t="s">
        <v>71</v>
      </c>
      <c r="F36083">
        <v>1690221</v>
      </c>
      <c r="G36083" t="s">
        <v>303</v>
      </c>
      <c r="H36083" s="21">
        <v>500</v>
      </c>
    </row>
    <row r="36084" spans="1:8" customFormat="1" x14ac:dyDescent="0.25">
      <c r="A36084" t="str">
        <f>"379223"</f>
        <v>379223</v>
      </c>
      <c r="B36084" t="s">
        <v>22987</v>
      </c>
      <c r="C36084" t="s">
        <v>453</v>
      </c>
      <c r="D36084" s="21" t="s">
        <v>34</v>
      </c>
      <c r="E36084" s="21" t="s">
        <v>254</v>
      </c>
      <c r="F36084">
        <v>4370566</v>
      </c>
      <c r="G36084" t="s">
        <v>4710</v>
      </c>
      <c r="H36084" s="21">
        <v>500</v>
      </c>
    </row>
    <row r="36085" spans="1:8" customFormat="1" x14ac:dyDescent="0.25">
      <c r="A36085" t="str">
        <f>"136118"</f>
        <v>136118</v>
      </c>
      <c r="B36085" t="s">
        <v>23131</v>
      </c>
      <c r="C36085" t="s">
        <v>822</v>
      </c>
      <c r="D36085" s="21" t="s">
        <v>34</v>
      </c>
      <c r="E36085" s="21" t="s">
        <v>6185</v>
      </c>
      <c r="F36085">
        <v>13130124</v>
      </c>
      <c r="G36085" t="s">
        <v>5311</v>
      </c>
      <c r="H36085" s="21">
        <v>500</v>
      </c>
    </row>
    <row r="36086" spans="1:8" customFormat="1" x14ac:dyDescent="0.25">
      <c r="A36086" t="str">
        <f>"6212245"</f>
        <v>6212245</v>
      </c>
      <c r="B36086" t="s">
        <v>4262</v>
      </c>
      <c r="C36086" t="s">
        <v>267</v>
      </c>
      <c r="D36086" s="21" t="s">
        <v>34</v>
      </c>
      <c r="E36086" s="21" t="s">
        <v>254</v>
      </c>
      <c r="F36086">
        <v>7620131</v>
      </c>
      <c r="G36086" t="s">
        <v>9562</v>
      </c>
      <c r="H36086" s="21">
        <v>500</v>
      </c>
    </row>
    <row r="36087" spans="1:8" customFormat="1" x14ac:dyDescent="0.25">
      <c r="A36087" t="str">
        <f>"757282"</f>
        <v>757282</v>
      </c>
      <c r="B36087" t="s">
        <v>29192</v>
      </c>
      <c r="C36087" t="s">
        <v>926</v>
      </c>
      <c r="D36087" s="21" t="s">
        <v>34</v>
      </c>
      <c r="E36087" s="21" t="s">
        <v>254</v>
      </c>
      <c r="F36087">
        <v>8750141</v>
      </c>
      <c r="G36087" t="s">
        <v>1514</v>
      </c>
      <c r="H36087" s="21">
        <v>500</v>
      </c>
    </row>
    <row r="36088" spans="1:8" customFormat="1" x14ac:dyDescent="0.25">
      <c r="A36088" t="str">
        <f>"5976589"</f>
        <v>5976589</v>
      </c>
      <c r="B36088" t="s">
        <v>2605</v>
      </c>
      <c r="C36088" t="s">
        <v>719</v>
      </c>
      <c r="D36088" s="21" t="s">
        <v>34</v>
      </c>
      <c r="E36088" s="21" t="s">
        <v>35</v>
      </c>
      <c r="F36088">
        <v>7590069</v>
      </c>
      <c r="G36088" t="s">
        <v>7225</v>
      </c>
      <c r="H36088" s="21">
        <v>500</v>
      </c>
    </row>
    <row r="36089" spans="1:8" customFormat="1" x14ac:dyDescent="0.25">
      <c r="A36089" t="str">
        <f>"1454"</f>
        <v>1454</v>
      </c>
      <c r="B36089" t="s">
        <v>23215</v>
      </c>
      <c r="C36089" t="s">
        <v>598</v>
      </c>
      <c r="D36089" s="21" t="s">
        <v>34</v>
      </c>
      <c r="E36089" s="21" t="s">
        <v>1089</v>
      </c>
      <c r="F36089">
        <v>9140003</v>
      </c>
      <c r="G36089" t="s">
        <v>6152</v>
      </c>
      <c r="H36089" s="21">
        <v>500</v>
      </c>
    </row>
    <row r="36090" spans="1:8" customFormat="1" x14ac:dyDescent="0.25">
      <c r="A36090" t="str">
        <f>"288734"</f>
        <v>288734</v>
      </c>
      <c r="B36090" t="s">
        <v>11403</v>
      </c>
      <c r="C36090" t="s">
        <v>209</v>
      </c>
      <c r="D36090" s="21" t="s">
        <v>34</v>
      </c>
      <c r="E36090" s="21" t="s">
        <v>35</v>
      </c>
      <c r="F36090">
        <v>4280632</v>
      </c>
      <c r="G36090" t="s">
        <v>6825</v>
      </c>
      <c r="H36090" s="21">
        <v>500</v>
      </c>
    </row>
    <row r="36091" spans="1:8" customFormat="1" x14ac:dyDescent="0.25">
      <c r="A36091" t="str">
        <f>"1426664"</f>
        <v>1426664</v>
      </c>
      <c r="B36091" t="s">
        <v>9645</v>
      </c>
      <c r="C36091" t="s">
        <v>381</v>
      </c>
      <c r="D36091" s="21" t="s">
        <v>34</v>
      </c>
      <c r="E36091" s="21" t="s">
        <v>71</v>
      </c>
      <c r="F36091">
        <v>9140007</v>
      </c>
      <c r="G36091" t="s">
        <v>434</v>
      </c>
      <c r="H36091" s="21">
        <v>500</v>
      </c>
    </row>
    <row r="36092" spans="1:8" customFormat="1" x14ac:dyDescent="0.25">
      <c r="A36092" t="str">
        <f>"4220522"</f>
        <v>4220522</v>
      </c>
      <c r="B36092" t="s">
        <v>29193</v>
      </c>
      <c r="C36092" t="s">
        <v>4831</v>
      </c>
      <c r="D36092" s="21" t="s">
        <v>34</v>
      </c>
      <c r="E36092" s="21" t="s">
        <v>254</v>
      </c>
      <c r="F36092">
        <v>1420009</v>
      </c>
      <c r="G36092" t="s">
        <v>3113</v>
      </c>
      <c r="H36092" s="21">
        <v>500</v>
      </c>
    </row>
    <row r="36093" spans="1:8" customFormat="1" x14ac:dyDescent="0.25">
      <c r="A36093" t="str">
        <f>"5967605"</f>
        <v>5967605</v>
      </c>
      <c r="B36093" t="s">
        <v>23049</v>
      </c>
      <c r="C36093" t="s">
        <v>598</v>
      </c>
      <c r="D36093" s="21" t="s">
        <v>34</v>
      </c>
      <c r="E36093" s="21" t="s">
        <v>71</v>
      </c>
      <c r="F36093">
        <v>7590107</v>
      </c>
      <c r="G36093" t="s">
        <v>17475</v>
      </c>
      <c r="H36093" s="21">
        <v>500</v>
      </c>
    </row>
    <row r="36094" spans="1:8" customFormat="1" x14ac:dyDescent="0.25">
      <c r="A36094" t="str">
        <f>"9530944"</f>
        <v>9530944</v>
      </c>
      <c r="B36094" t="s">
        <v>22793</v>
      </c>
      <c r="C36094" t="s">
        <v>328</v>
      </c>
      <c r="D36094" s="21" t="s">
        <v>34</v>
      </c>
      <c r="E36094" s="21" t="s">
        <v>71</v>
      </c>
      <c r="F36094">
        <v>8950553</v>
      </c>
      <c r="G36094" t="s">
        <v>1058</v>
      </c>
      <c r="H36094" s="21">
        <v>500</v>
      </c>
    </row>
    <row r="36095" spans="1:8" customFormat="1" x14ac:dyDescent="0.25">
      <c r="A36095" t="str">
        <f>"3340211"</f>
        <v>3340211</v>
      </c>
      <c r="B36095" t="s">
        <v>22838</v>
      </c>
      <c r="C36095" t="s">
        <v>412</v>
      </c>
      <c r="D36095" s="21" t="s">
        <v>34</v>
      </c>
      <c r="E36095" s="21" t="s">
        <v>1089</v>
      </c>
      <c r="F36095">
        <v>10330028</v>
      </c>
      <c r="G36095" t="s">
        <v>4553</v>
      </c>
      <c r="H36095" s="21">
        <v>500</v>
      </c>
    </row>
    <row r="36096" spans="1:8" customFormat="1" x14ac:dyDescent="0.25">
      <c r="A36096" t="str">
        <f>"125010"</f>
        <v>125010</v>
      </c>
      <c r="B36096" t="s">
        <v>23639</v>
      </c>
      <c r="C36096" t="s">
        <v>249</v>
      </c>
      <c r="D36096" s="21" t="s">
        <v>34</v>
      </c>
      <c r="E36096" s="21" t="s">
        <v>35</v>
      </c>
      <c r="F36096">
        <v>11120026</v>
      </c>
      <c r="G36096" t="s">
        <v>9107</v>
      </c>
      <c r="H36096" s="21">
        <v>500</v>
      </c>
    </row>
    <row r="36097" spans="1:8" customFormat="1" x14ac:dyDescent="0.25">
      <c r="A36097" t="str">
        <f>"4219219"</f>
        <v>4219219</v>
      </c>
      <c r="B36097" t="s">
        <v>5476</v>
      </c>
      <c r="C36097" t="s">
        <v>60</v>
      </c>
      <c r="D36097" s="21" t="s">
        <v>34</v>
      </c>
      <c r="E36097" s="21" t="s">
        <v>71</v>
      </c>
      <c r="F36097">
        <v>1420017</v>
      </c>
      <c r="G36097" t="s">
        <v>1296</v>
      </c>
      <c r="H36097" s="21">
        <v>500</v>
      </c>
    </row>
    <row r="36098" spans="1:8" customFormat="1" x14ac:dyDescent="0.25">
      <c r="A36098" t="str">
        <f>"2110884"</f>
        <v>2110884</v>
      </c>
      <c r="B36098" t="s">
        <v>11238</v>
      </c>
      <c r="C36098" t="s">
        <v>1025</v>
      </c>
      <c r="D36098" s="21" t="s">
        <v>34</v>
      </c>
      <c r="E36098" s="21" t="s">
        <v>71</v>
      </c>
      <c r="F36098">
        <v>2210127</v>
      </c>
      <c r="G36098" t="s">
        <v>3447</v>
      </c>
      <c r="H36098" s="21">
        <v>500</v>
      </c>
    </row>
    <row r="36099" spans="1:8" customFormat="1" x14ac:dyDescent="0.25">
      <c r="A36099" t="str">
        <f>"938495"</f>
        <v>938495</v>
      </c>
      <c r="B36099" t="s">
        <v>23054</v>
      </c>
      <c r="C36099" t="s">
        <v>3010</v>
      </c>
      <c r="D36099" s="21" t="s">
        <v>34</v>
      </c>
      <c r="E36099" s="21" t="s">
        <v>254</v>
      </c>
      <c r="F36099">
        <v>8930430</v>
      </c>
      <c r="G36099" t="s">
        <v>995</v>
      </c>
      <c r="H36099" s="21">
        <v>500</v>
      </c>
    </row>
    <row r="36100" spans="1:8" customFormat="1" x14ac:dyDescent="0.25">
      <c r="A36100" t="str">
        <f>"759477"</f>
        <v>759477</v>
      </c>
      <c r="B36100" t="s">
        <v>23118</v>
      </c>
      <c r="C36100" t="s">
        <v>209</v>
      </c>
      <c r="D36100" s="21" t="s">
        <v>34</v>
      </c>
      <c r="E36100" s="21" t="s">
        <v>6185</v>
      </c>
      <c r="F36100">
        <v>8751371</v>
      </c>
      <c r="G36100" t="s">
        <v>6605</v>
      </c>
      <c r="H36100" s="21">
        <v>500</v>
      </c>
    </row>
    <row r="36101" spans="1:8" customFormat="1" x14ac:dyDescent="0.25">
      <c r="A36101" t="str">
        <f>"014569"</f>
        <v>014569</v>
      </c>
      <c r="B36101" t="s">
        <v>392</v>
      </c>
      <c r="C36101" t="s">
        <v>453</v>
      </c>
      <c r="D36101" s="21" t="s">
        <v>34</v>
      </c>
      <c r="E36101" s="21" t="s">
        <v>1089</v>
      </c>
      <c r="F36101">
        <v>1010009</v>
      </c>
      <c r="G36101" t="s">
        <v>1385</v>
      </c>
      <c r="H36101" s="21">
        <v>500</v>
      </c>
    </row>
    <row r="36102" spans="1:8" customFormat="1" x14ac:dyDescent="0.25">
      <c r="A36102" t="str">
        <f>"6928571"</f>
        <v>6928571</v>
      </c>
      <c r="B36102" t="s">
        <v>29194</v>
      </c>
      <c r="C36102" t="s">
        <v>267</v>
      </c>
      <c r="D36102" s="21" t="s">
        <v>34</v>
      </c>
      <c r="E36102" s="21" t="s">
        <v>254</v>
      </c>
      <c r="F36102">
        <v>1690090</v>
      </c>
      <c r="G36102" t="s">
        <v>6286</v>
      </c>
      <c r="H36102" s="21">
        <v>500</v>
      </c>
    </row>
    <row r="36103" spans="1:8" customFormat="1" x14ac:dyDescent="0.25">
      <c r="A36103" t="str">
        <f>"3336061"</f>
        <v>3336061</v>
      </c>
      <c r="B36103" t="s">
        <v>29195</v>
      </c>
      <c r="C36103" t="s">
        <v>1104</v>
      </c>
      <c r="D36103" s="21" t="s">
        <v>34</v>
      </c>
      <c r="E36103" s="21" t="s">
        <v>35</v>
      </c>
      <c r="F36103">
        <v>10330098</v>
      </c>
      <c r="G36103" t="s">
        <v>8299</v>
      </c>
      <c r="H36103" s="21">
        <v>500</v>
      </c>
    </row>
    <row r="36104" spans="1:8" customFormat="1" x14ac:dyDescent="0.25">
      <c r="A36104" t="str">
        <f>"557558"</f>
        <v>557558</v>
      </c>
      <c r="B36104" t="s">
        <v>22734</v>
      </c>
      <c r="C36104" t="s">
        <v>3522</v>
      </c>
      <c r="D36104" s="21" t="s">
        <v>34</v>
      </c>
      <c r="E36104" s="21" t="s">
        <v>254</v>
      </c>
      <c r="F36104">
        <v>6550026</v>
      </c>
      <c r="G36104" t="s">
        <v>14543</v>
      </c>
      <c r="H36104" s="21">
        <v>500</v>
      </c>
    </row>
    <row r="36105" spans="1:8" customFormat="1" x14ac:dyDescent="0.25">
      <c r="A36105" t="str">
        <f>"347894"</f>
        <v>347894</v>
      </c>
      <c r="B36105" t="s">
        <v>6472</v>
      </c>
      <c r="C36105" t="s">
        <v>239</v>
      </c>
      <c r="D36105" s="21" t="s">
        <v>34</v>
      </c>
      <c r="E36105" s="21" t="s">
        <v>254</v>
      </c>
      <c r="F36105">
        <v>11340012</v>
      </c>
      <c r="G36105" t="s">
        <v>10413</v>
      </c>
      <c r="H36105" s="21">
        <v>500</v>
      </c>
    </row>
    <row r="36106" spans="1:8" customFormat="1" x14ac:dyDescent="0.25">
      <c r="A36106" t="str">
        <f>"76710"</f>
        <v>76710</v>
      </c>
      <c r="B36106" t="s">
        <v>13127</v>
      </c>
      <c r="C36106" t="s">
        <v>4842</v>
      </c>
      <c r="D36106" s="21" t="s">
        <v>34</v>
      </c>
      <c r="E36106" s="21" t="s">
        <v>6185</v>
      </c>
      <c r="F36106">
        <v>9760025</v>
      </c>
      <c r="G36106" t="s">
        <v>2620</v>
      </c>
      <c r="H36106" s="21">
        <v>500</v>
      </c>
    </row>
    <row r="36107" spans="1:8" customFormat="1" x14ac:dyDescent="0.25">
      <c r="A36107" t="str">
        <f>"1611948"</f>
        <v>1611948</v>
      </c>
      <c r="B36107" t="s">
        <v>23030</v>
      </c>
      <c r="C36107" t="s">
        <v>209</v>
      </c>
      <c r="D36107" s="21" t="s">
        <v>34</v>
      </c>
      <c r="E36107" s="21" t="s">
        <v>254</v>
      </c>
      <c r="F36107">
        <v>10160196</v>
      </c>
      <c r="G36107" t="s">
        <v>13348</v>
      </c>
      <c r="H36107" s="21">
        <v>500</v>
      </c>
    </row>
    <row r="36108" spans="1:8" customFormat="1" x14ac:dyDescent="0.25">
      <c r="A36108" t="str">
        <f>"2611242"</f>
        <v>2611242</v>
      </c>
      <c r="B36108" t="s">
        <v>387</v>
      </c>
      <c r="C36108" t="s">
        <v>547</v>
      </c>
      <c r="D36108" s="21" t="s">
        <v>34</v>
      </c>
      <c r="E36108" s="21" t="s">
        <v>254</v>
      </c>
      <c r="F36108">
        <v>1260056</v>
      </c>
      <c r="G36108" t="s">
        <v>6519</v>
      </c>
      <c r="H36108" s="21">
        <v>500</v>
      </c>
    </row>
    <row r="36109" spans="1:8" customFormat="1" x14ac:dyDescent="0.25">
      <c r="A36109" t="str">
        <f>"4450333"</f>
        <v>4450333</v>
      </c>
      <c r="B36109" t="s">
        <v>3367</v>
      </c>
      <c r="C36109" t="s">
        <v>124</v>
      </c>
      <c r="D36109" s="21" t="s">
        <v>34</v>
      </c>
      <c r="E36109" s="21" t="s">
        <v>254</v>
      </c>
      <c r="F36109">
        <v>10330050</v>
      </c>
      <c r="G36109" t="s">
        <v>2488</v>
      </c>
      <c r="H36109" s="21">
        <v>500</v>
      </c>
    </row>
    <row r="36110" spans="1:8" customFormat="1" x14ac:dyDescent="0.25">
      <c r="A36110" t="str">
        <f>"4529083"</f>
        <v>4529083</v>
      </c>
      <c r="B36110" t="s">
        <v>24631</v>
      </c>
      <c r="C36110" t="s">
        <v>712</v>
      </c>
      <c r="D36110" s="21" t="s">
        <v>34</v>
      </c>
      <c r="E36110" s="21" t="s">
        <v>71</v>
      </c>
      <c r="F36110">
        <v>4450026</v>
      </c>
      <c r="G36110" t="s">
        <v>291</v>
      </c>
      <c r="H36110" s="21">
        <v>500</v>
      </c>
    </row>
    <row r="36111" spans="1:8" customFormat="1" x14ac:dyDescent="0.25">
      <c r="A36111" t="str">
        <f>"6725073"</f>
        <v>6725073</v>
      </c>
      <c r="B36111" t="s">
        <v>5969</v>
      </c>
      <c r="C36111" t="s">
        <v>611</v>
      </c>
      <c r="D36111" s="21" t="s">
        <v>34</v>
      </c>
      <c r="E36111" s="21" t="s">
        <v>71</v>
      </c>
      <c r="F36111">
        <v>6670260</v>
      </c>
      <c r="G36111" t="s">
        <v>1202</v>
      </c>
      <c r="H36111" s="21">
        <v>500</v>
      </c>
    </row>
    <row r="36112" spans="1:8" customFormat="1" x14ac:dyDescent="0.25">
      <c r="A36112" t="str">
        <f>"9145864"</f>
        <v>9145864</v>
      </c>
      <c r="B36112" t="s">
        <v>24347</v>
      </c>
      <c r="C36112" t="s">
        <v>1810</v>
      </c>
      <c r="D36112" s="21" t="s">
        <v>34</v>
      </c>
      <c r="E36112" s="21" t="s">
        <v>71</v>
      </c>
      <c r="F36112">
        <v>8910310</v>
      </c>
      <c r="G36112" t="s">
        <v>6645</v>
      </c>
      <c r="H36112" s="21">
        <v>500</v>
      </c>
    </row>
    <row r="36113" spans="1:8" customFormat="1" x14ac:dyDescent="0.25">
      <c r="A36113" t="str">
        <f>"306169"</f>
        <v>306169</v>
      </c>
      <c r="B36113" t="s">
        <v>22835</v>
      </c>
      <c r="C36113" t="s">
        <v>598</v>
      </c>
      <c r="D36113" s="21" t="s">
        <v>34</v>
      </c>
      <c r="E36113" s="21" t="s">
        <v>71</v>
      </c>
      <c r="F36113">
        <v>11300005</v>
      </c>
      <c r="G36113" t="s">
        <v>22836</v>
      </c>
      <c r="H36113" s="21">
        <v>500</v>
      </c>
    </row>
    <row r="36114" spans="1:8" customFormat="1" x14ac:dyDescent="0.25">
      <c r="A36114" t="str">
        <f>"625351"</f>
        <v>625351</v>
      </c>
      <c r="B36114" t="s">
        <v>23361</v>
      </c>
      <c r="C36114" t="s">
        <v>598</v>
      </c>
      <c r="D36114" s="21" t="s">
        <v>34</v>
      </c>
      <c r="E36114" s="21" t="s">
        <v>254</v>
      </c>
      <c r="F36114">
        <v>7620088</v>
      </c>
      <c r="G36114" t="s">
        <v>3342</v>
      </c>
      <c r="H36114" s="21">
        <v>500</v>
      </c>
    </row>
    <row r="36115" spans="1:8" customFormat="1" x14ac:dyDescent="0.25">
      <c r="A36115" t="str">
        <f>"6226850"</f>
        <v>6226850</v>
      </c>
      <c r="B36115" t="s">
        <v>23434</v>
      </c>
      <c r="C36115" t="s">
        <v>40</v>
      </c>
      <c r="D36115" s="21" t="s">
        <v>34</v>
      </c>
      <c r="E36115" s="21" t="s">
        <v>254</v>
      </c>
      <c r="F36115">
        <v>7620017</v>
      </c>
      <c r="G36115" t="s">
        <v>6559</v>
      </c>
      <c r="H36115" s="21">
        <v>500</v>
      </c>
    </row>
    <row r="36116" spans="1:8" customFormat="1" x14ac:dyDescent="0.25">
      <c r="A36116" t="str">
        <f>"848038"</f>
        <v>848038</v>
      </c>
      <c r="B36116" t="s">
        <v>12880</v>
      </c>
      <c r="C36116" t="s">
        <v>263</v>
      </c>
      <c r="D36116" s="21" t="s">
        <v>34</v>
      </c>
      <c r="E36116" s="21" t="s">
        <v>71</v>
      </c>
      <c r="F36116">
        <v>13840058</v>
      </c>
      <c r="G36116" t="s">
        <v>7032</v>
      </c>
      <c r="H36116" s="21">
        <v>500</v>
      </c>
    </row>
    <row r="36117" spans="1:8" customFormat="1" x14ac:dyDescent="0.25">
      <c r="A36117" t="str">
        <f>"932041"</f>
        <v>932041</v>
      </c>
      <c r="B36117" t="s">
        <v>21984</v>
      </c>
      <c r="C36117" t="s">
        <v>269</v>
      </c>
      <c r="D36117" s="21" t="s">
        <v>34</v>
      </c>
      <c r="E36117" s="21" t="s">
        <v>71</v>
      </c>
      <c r="F36117">
        <v>8930452</v>
      </c>
      <c r="G36117" t="s">
        <v>83</v>
      </c>
      <c r="H36117" s="21">
        <v>500</v>
      </c>
    </row>
    <row r="36118" spans="1:8" customFormat="1" x14ac:dyDescent="0.25">
      <c r="A36118" t="str">
        <f>"1426666"</f>
        <v>1426666</v>
      </c>
      <c r="B36118" t="s">
        <v>29196</v>
      </c>
      <c r="C36118" t="s">
        <v>260</v>
      </c>
      <c r="D36118" s="21" t="s">
        <v>34</v>
      </c>
      <c r="E36118" s="21" t="s">
        <v>71</v>
      </c>
      <c r="F36118">
        <v>9140007</v>
      </c>
      <c r="G36118" t="s">
        <v>434</v>
      </c>
      <c r="H36118" s="21">
        <v>500</v>
      </c>
    </row>
    <row r="36119" spans="1:8" customFormat="1" x14ac:dyDescent="0.25">
      <c r="A36119" t="str">
        <f>"9E1034"</f>
        <v>9E1034</v>
      </c>
      <c r="B36119" t="s">
        <v>8455</v>
      </c>
      <c r="C36119" t="s">
        <v>11786</v>
      </c>
      <c r="D36119" s="21" t="s">
        <v>34</v>
      </c>
      <c r="E36119" s="21" t="s">
        <v>35</v>
      </c>
      <c r="F36119" s="24" t="s">
        <v>18984</v>
      </c>
      <c r="G36119" t="s">
        <v>18985</v>
      </c>
      <c r="H36119" s="21">
        <v>500</v>
      </c>
    </row>
    <row r="36120" spans="1:8" customFormat="1" x14ac:dyDescent="0.25">
      <c r="A36120" t="str">
        <f>"486148"</f>
        <v>486148</v>
      </c>
      <c r="B36120" t="s">
        <v>29197</v>
      </c>
      <c r="C36120" t="s">
        <v>82</v>
      </c>
      <c r="D36120" s="21" t="s">
        <v>34</v>
      </c>
      <c r="E36120" s="21" t="s">
        <v>35</v>
      </c>
      <c r="F36120">
        <v>11480036</v>
      </c>
      <c r="G36120" t="s">
        <v>16006</v>
      </c>
      <c r="H36120" s="21">
        <v>500</v>
      </c>
    </row>
    <row r="36121" spans="1:8" customFormat="1" x14ac:dyDescent="0.25">
      <c r="A36121" t="str">
        <f>"8813604"</f>
        <v>8813604</v>
      </c>
      <c r="B36121" t="s">
        <v>461</v>
      </c>
      <c r="C36121" t="s">
        <v>249</v>
      </c>
      <c r="D36121" s="21" t="s">
        <v>34</v>
      </c>
      <c r="E36121" s="21" t="s">
        <v>71</v>
      </c>
      <c r="F36121">
        <v>6880101</v>
      </c>
      <c r="G36121" t="s">
        <v>6841</v>
      </c>
      <c r="H36121" s="21">
        <v>500</v>
      </c>
    </row>
    <row r="36122" spans="1:8" customFormat="1" x14ac:dyDescent="0.25">
      <c r="A36122" t="str">
        <f>"5980265"</f>
        <v>5980265</v>
      </c>
      <c r="B36122" t="s">
        <v>13019</v>
      </c>
      <c r="C36122" t="s">
        <v>151</v>
      </c>
      <c r="D36122" s="21" t="s">
        <v>34</v>
      </c>
      <c r="E36122" s="21" t="s">
        <v>71</v>
      </c>
      <c r="F36122">
        <v>7590050</v>
      </c>
      <c r="G36122" t="s">
        <v>473</v>
      </c>
      <c r="H36122" s="21">
        <v>500</v>
      </c>
    </row>
    <row r="36123" spans="1:8" customFormat="1" x14ac:dyDescent="0.25">
      <c r="A36123" t="str">
        <f>"3427425"</f>
        <v>3427425</v>
      </c>
      <c r="B36123" t="s">
        <v>29198</v>
      </c>
      <c r="C36123" t="s">
        <v>1841</v>
      </c>
      <c r="D36123" s="21" t="s">
        <v>34</v>
      </c>
      <c r="E36123" s="21" t="s">
        <v>1089</v>
      </c>
      <c r="F36123">
        <v>11340014</v>
      </c>
      <c r="G36123" t="s">
        <v>1455</v>
      </c>
      <c r="H36123" s="21">
        <v>500</v>
      </c>
    </row>
    <row r="36124" spans="1:8" customFormat="1" x14ac:dyDescent="0.25">
      <c r="A36124" t="str">
        <f>"2938143"</f>
        <v>2938143</v>
      </c>
      <c r="B36124" t="s">
        <v>29199</v>
      </c>
      <c r="C36124" t="s">
        <v>1665</v>
      </c>
      <c r="D36124" s="21" t="s">
        <v>34</v>
      </c>
      <c r="E36124" s="21" t="s">
        <v>6185</v>
      </c>
      <c r="F36124">
        <v>3290081</v>
      </c>
      <c r="G36124" t="s">
        <v>3819</v>
      </c>
      <c r="H36124" s="21">
        <v>500</v>
      </c>
    </row>
    <row r="36125" spans="1:8" customFormat="1" x14ac:dyDescent="0.25">
      <c r="A36125" t="str">
        <f>"0614933"</f>
        <v>0614933</v>
      </c>
      <c r="B36125" t="s">
        <v>8953</v>
      </c>
      <c r="C36125" t="s">
        <v>598</v>
      </c>
      <c r="D36125" s="21" t="s">
        <v>34</v>
      </c>
      <c r="E36125" s="21" t="s">
        <v>71</v>
      </c>
      <c r="F36125">
        <v>13060005</v>
      </c>
      <c r="G36125" t="s">
        <v>3609</v>
      </c>
      <c r="H36125" s="21">
        <v>500</v>
      </c>
    </row>
    <row r="36126" spans="1:8" customFormat="1" x14ac:dyDescent="0.25">
      <c r="A36126" t="str">
        <f>"9454467"</f>
        <v>9454467</v>
      </c>
      <c r="B36126" t="s">
        <v>431</v>
      </c>
      <c r="C36126" t="s">
        <v>60</v>
      </c>
      <c r="D36126" s="21" t="s">
        <v>34</v>
      </c>
      <c r="E36126" s="21" t="s">
        <v>35</v>
      </c>
      <c r="F36126">
        <v>8940655</v>
      </c>
      <c r="G36126" t="s">
        <v>10168</v>
      </c>
      <c r="H36126" s="21">
        <v>500</v>
      </c>
    </row>
    <row r="36127" spans="1:8" customFormat="1" x14ac:dyDescent="0.25">
      <c r="A36127" t="str">
        <f>"461313"</f>
        <v>461313</v>
      </c>
      <c r="B36127" t="s">
        <v>22620</v>
      </c>
      <c r="C36127" t="s">
        <v>40</v>
      </c>
      <c r="D36127" s="21" t="s">
        <v>34</v>
      </c>
      <c r="E36127" s="21" t="s">
        <v>254</v>
      </c>
      <c r="F36127">
        <v>11460010</v>
      </c>
      <c r="G36127" t="s">
        <v>654</v>
      </c>
      <c r="H36127" s="21">
        <v>500</v>
      </c>
    </row>
    <row r="36128" spans="1:8" customFormat="1" x14ac:dyDescent="0.25">
      <c r="A36128" t="str">
        <f>"4215858"</f>
        <v>4215858</v>
      </c>
      <c r="B36128" t="s">
        <v>1968</v>
      </c>
      <c r="C36128" t="s">
        <v>211</v>
      </c>
      <c r="D36128" s="21" t="s">
        <v>34</v>
      </c>
      <c r="E36128" s="21" t="s">
        <v>1089</v>
      </c>
      <c r="F36128">
        <v>1420070</v>
      </c>
      <c r="G36128" t="s">
        <v>27046</v>
      </c>
      <c r="H36128" s="21">
        <v>500</v>
      </c>
    </row>
    <row r="36129" spans="1:8" customFormat="1" x14ac:dyDescent="0.25">
      <c r="A36129" t="str">
        <f>"845839"</f>
        <v>845839</v>
      </c>
      <c r="B36129" t="s">
        <v>2747</v>
      </c>
      <c r="C36129" t="s">
        <v>598</v>
      </c>
      <c r="D36129" s="21" t="s">
        <v>34</v>
      </c>
      <c r="E36129" s="21" t="s">
        <v>71</v>
      </c>
      <c r="F36129">
        <v>13840025</v>
      </c>
      <c r="G36129" t="s">
        <v>7580</v>
      </c>
      <c r="H36129" s="21">
        <v>500</v>
      </c>
    </row>
    <row r="36130" spans="1:8" customFormat="1" x14ac:dyDescent="0.25">
      <c r="A36130" t="str">
        <f>"1614274"</f>
        <v>1614274</v>
      </c>
      <c r="B36130" t="s">
        <v>19765</v>
      </c>
      <c r="C36130" t="s">
        <v>40</v>
      </c>
      <c r="D36130" s="21" t="s">
        <v>34</v>
      </c>
      <c r="E36130" s="21" t="s">
        <v>254</v>
      </c>
      <c r="F36130">
        <v>10160030</v>
      </c>
      <c r="G36130" t="s">
        <v>13173</v>
      </c>
      <c r="H36130" s="21">
        <v>500</v>
      </c>
    </row>
    <row r="36131" spans="1:8" customFormat="1" x14ac:dyDescent="0.25">
      <c r="A36131" t="str">
        <f>"765194"</f>
        <v>765194</v>
      </c>
      <c r="B36131" t="s">
        <v>23776</v>
      </c>
      <c r="C36131" t="s">
        <v>3648</v>
      </c>
      <c r="D36131" s="21" t="s">
        <v>34</v>
      </c>
      <c r="E36131" s="21" t="s">
        <v>1089</v>
      </c>
      <c r="F36131">
        <v>9760272</v>
      </c>
      <c r="G36131" t="s">
        <v>5526</v>
      </c>
      <c r="H36131" s="21">
        <v>500</v>
      </c>
    </row>
    <row r="36132" spans="1:8" customFormat="1" x14ac:dyDescent="0.25">
      <c r="A36132" t="str">
        <f>"72853"</f>
        <v>72853</v>
      </c>
      <c r="B36132" t="s">
        <v>13032</v>
      </c>
      <c r="C36132" t="s">
        <v>209</v>
      </c>
      <c r="D36132" s="21" t="s">
        <v>34</v>
      </c>
      <c r="E36132" s="21" t="s">
        <v>71</v>
      </c>
      <c r="F36132">
        <v>12720111</v>
      </c>
      <c r="G36132" t="s">
        <v>3418</v>
      </c>
      <c r="H36132" s="21">
        <v>500</v>
      </c>
    </row>
    <row r="36133" spans="1:8" customFormat="1" x14ac:dyDescent="0.25">
      <c r="A36133" t="str">
        <f>"5983813"</f>
        <v>5983813</v>
      </c>
      <c r="B36133" t="s">
        <v>64</v>
      </c>
      <c r="C36133" t="s">
        <v>611</v>
      </c>
      <c r="D36133" s="21" t="s">
        <v>34</v>
      </c>
      <c r="E36133" s="21" t="s">
        <v>35</v>
      </c>
      <c r="F36133">
        <v>7590132</v>
      </c>
      <c r="G36133" t="s">
        <v>3204</v>
      </c>
      <c r="H36133" s="21">
        <v>500</v>
      </c>
    </row>
    <row r="36134" spans="1:8" customFormat="1" x14ac:dyDescent="0.25">
      <c r="A36134" t="str">
        <f>"461381"</f>
        <v>461381</v>
      </c>
      <c r="B36134" t="s">
        <v>29200</v>
      </c>
      <c r="C36134" t="s">
        <v>236</v>
      </c>
      <c r="D36134" s="21" t="s">
        <v>34</v>
      </c>
      <c r="E36134" s="21" t="s">
        <v>254</v>
      </c>
      <c r="F36134">
        <v>11460017</v>
      </c>
      <c r="G36134" t="s">
        <v>7665</v>
      </c>
      <c r="H36134" s="21">
        <v>500</v>
      </c>
    </row>
    <row r="36135" spans="1:8" customFormat="1" x14ac:dyDescent="0.25">
      <c r="A36135" t="str">
        <f>"069805"</f>
        <v>069805</v>
      </c>
      <c r="B36135" t="s">
        <v>29201</v>
      </c>
      <c r="C36135" t="s">
        <v>267</v>
      </c>
      <c r="D36135" s="21" t="s">
        <v>34</v>
      </c>
      <c r="E36135" s="21" t="s">
        <v>71</v>
      </c>
      <c r="F36135">
        <v>13060005</v>
      </c>
      <c r="G36135" t="s">
        <v>3609</v>
      </c>
      <c r="H36135" s="21">
        <v>500</v>
      </c>
    </row>
    <row r="36136" spans="1:8" customFormat="1" x14ac:dyDescent="0.25">
      <c r="A36136" t="str">
        <f>"7629480"</f>
        <v>7629480</v>
      </c>
      <c r="B36136" t="s">
        <v>23222</v>
      </c>
      <c r="C36136" t="s">
        <v>1054</v>
      </c>
      <c r="D36136" s="21" t="s">
        <v>34</v>
      </c>
      <c r="E36136" s="21" t="s">
        <v>254</v>
      </c>
      <c r="F36136">
        <v>9760291</v>
      </c>
      <c r="G36136" t="s">
        <v>26611</v>
      </c>
      <c r="H36136" s="21">
        <v>500</v>
      </c>
    </row>
    <row r="36137" spans="1:8" customFormat="1" x14ac:dyDescent="0.25">
      <c r="A36137" t="str">
        <f>"9E710"</f>
        <v>9E710</v>
      </c>
      <c r="B36137" t="s">
        <v>22975</v>
      </c>
      <c r="C36137" t="s">
        <v>269</v>
      </c>
      <c r="D36137" s="21" t="s">
        <v>34</v>
      </c>
      <c r="E36137" s="21" t="s">
        <v>71</v>
      </c>
      <c r="F36137" s="24" t="s">
        <v>13124</v>
      </c>
      <c r="G36137" t="s">
        <v>13125</v>
      </c>
      <c r="H36137" s="21">
        <v>500</v>
      </c>
    </row>
    <row r="36138" spans="1:8" customFormat="1" x14ac:dyDescent="0.25">
      <c r="A36138" t="str">
        <f>"2218304"</f>
        <v>2218304</v>
      </c>
      <c r="B36138" t="s">
        <v>23594</v>
      </c>
      <c r="C36138" t="s">
        <v>1812</v>
      </c>
      <c r="D36138" s="21" t="s">
        <v>34</v>
      </c>
      <c r="E36138" s="21" t="s">
        <v>254</v>
      </c>
      <c r="F36138">
        <v>3220113</v>
      </c>
      <c r="G36138" t="s">
        <v>26775</v>
      </c>
      <c r="H36138" s="21">
        <v>500</v>
      </c>
    </row>
    <row r="36139" spans="1:8" customFormat="1" x14ac:dyDescent="0.25">
      <c r="A36139" t="str">
        <f>"4422046"</f>
        <v>4422046</v>
      </c>
      <c r="B36139" t="s">
        <v>23910</v>
      </c>
      <c r="C36139" t="s">
        <v>209</v>
      </c>
      <c r="D36139" s="21" t="s">
        <v>34</v>
      </c>
      <c r="E36139" s="21" t="s">
        <v>254</v>
      </c>
      <c r="F36139">
        <v>12440034</v>
      </c>
      <c r="G36139" t="s">
        <v>10586</v>
      </c>
      <c r="H36139" s="21">
        <v>500</v>
      </c>
    </row>
    <row r="36140" spans="1:8" customFormat="1" x14ac:dyDescent="0.25">
      <c r="A36140" t="str">
        <f>"5983718"</f>
        <v>5983718</v>
      </c>
      <c r="B36140" t="s">
        <v>29202</v>
      </c>
      <c r="C36140" t="s">
        <v>239</v>
      </c>
      <c r="D36140" s="21" t="s">
        <v>34</v>
      </c>
      <c r="E36140" s="21" t="s">
        <v>71</v>
      </c>
      <c r="F36140">
        <v>7590120</v>
      </c>
      <c r="G36140" t="s">
        <v>5351</v>
      </c>
      <c r="H36140" s="21">
        <v>500</v>
      </c>
    </row>
    <row r="36141" spans="1:8" customFormat="1" x14ac:dyDescent="0.25">
      <c r="A36141" t="str">
        <f>"5614073"</f>
        <v>5614073</v>
      </c>
      <c r="B36141" t="s">
        <v>23611</v>
      </c>
      <c r="C36141" t="s">
        <v>1142</v>
      </c>
      <c r="D36141" s="21" t="s">
        <v>34</v>
      </c>
      <c r="E36141" s="21" t="s">
        <v>6185</v>
      </c>
      <c r="F36141">
        <v>3560034</v>
      </c>
      <c r="G36141" t="s">
        <v>2220</v>
      </c>
      <c r="H36141" s="21">
        <v>500</v>
      </c>
    </row>
    <row r="36142" spans="1:8" customFormat="1" x14ac:dyDescent="0.25">
      <c r="A36142" t="str">
        <f>"868574"</f>
        <v>868574</v>
      </c>
      <c r="B36142" t="s">
        <v>18116</v>
      </c>
      <c r="C36142" t="s">
        <v>1489</v>
      </c>
      <c r="D36142" s="21" t="s">
        <v>34</v>
      </c>
      <c r="E36142" s="21" t="s">
        <v>254</v>
      </c>
      <c r="F36142">
        <v>10860149</v>
      </c>
      <c r="G36142" t="s">
        <v>17376</v>
      </c>
      <c r="H36142" s="21">
        <v>500</v>
      </c>
    </row>
    <row r="36143" spans="1:8" customFormat="1" x14ac:dyDescent="0.25">
      <c r="A36143" t="str">
        <f>"4437389"</f>
        <v>4437389</v>
      </c>
      <c r="B36143" t="s">
        <v>24121</v>
      </c>
      <c r="C36143" t="s">
        <v>528</v>
      </c>
      <c r="D36143" s="21" t="s">
        <v>34</v>
      </c>
      <c r="E36143" s="21" t="s">
        <v>71</v>
      </c>
      <c r="F36143">
        <v>12440151</v>
      </c>
      <c r="G36143" t="s">
        <v>1327</v>
      </c>
      <c r="H36143" s="21">
        <v>500</v>
      </c>
    </row>
    <row r="36144" spans="1:8" customFormat="1" x14ac:dyDescent="0.25">
      <c r="A36144" t="str">
        <f>"433341"</f>
        <v>433341</v>
      </c>
      <c r="B36144" t="s">
        <v>1198</v>
      </c>
      <c r="C36144" t="s">
        <v>40</v>
      </c>
      <c r="D36144" s="21" t="s">
        <v>34</v>
      </c>
      <c r="E36144" s="21" t="s">
        <v>1089</v>
      </c>
      <c r="F36144">
        <v>1420305</v>
      </c>
      <c r="G36144" t="s">
        <v>13520</v>
      </c>
      <c r="H36144" s="21">
        <v>500</v>
      </c>
    </row>
    <row r="36145" spans="1:8" customFormat="1" x14ac:dyDescent="0.25">
      <c r="A36145" t="str">
        <f>"6232695"</f>
        <v>6232695</v>
      </c>
      <c r="B36145" t="s">
        <v>392</v>
      </c>
      <c r="C36145" t="s">
        <v>263</v>
      </c>
      <c r="D36145" s="21" t="s">
        <v>34</v>
      </c>
      <c r="E36145" s="21" t="s">
        <v>71</v>
      </c>
      <c r="F36145">
        <v>7620180</v>
      </c>
      <c r="G36145" t="s">
        <v>7188</v>
      </c>
      <c r="H36145" s="21">
        <v>500</v>
      </c>
    </row>
    <row r="36146" spans="1:8" customFormat="1" x14ac:dyDescent="0.25">
      <c r="A36146" t="str">
        <f>"579111"</f>
        <v>579111</v>
      </c>
      <c r="B36146" t="s">
        <v>22377</v>
      </c>
      <c r="C36146" t="s">
        <v>412</v>
      </c>
      <c r="D36146" s="21" t="s">
        <v>34</v>
      </c>
      <c r="E36146" s="21" t="s">
        <v>1089</v>
      </c>
      <c r="F36146">
        <v>6570137</v>
      </c>
      <c r="G36146" t="s">
        <v>13134</v>
      </c>
      <c r="H36146" s="21">
        <v>500</v>
      </c>
    </row>
    <row r="36147" spans="1:8" customFormat="1" x14ac:dyDescent="0.25">
      <c r="A36147" t="str">
        <f>"872518"</f>
        <v>872518</v>
      </c>
      <c r="B36147" t="s">
        <v>22487</v>
      </c>
      <c r="C36147" t="s">
        <v>926</v>
      </c>
      <c r="D36147" s="21" t="s">
        <v>34</v>
      </c>
      <c r="E36147" s="21" t="s">
        <v>71</v>
      </c>
      <c r="F36147">
        <v>10870116</v>
      </c>
      <c r="G36147" t="s">
        <v>1806</v>
      </c>
      <c r="H36147" s="21">
        <v>500</v>
      </c>
    </row>
    <row r="36148" spans="1:8" customFormat="1" x14ac:dyDescent="0.25">
      <c r="A36148" t="str">
        <f>"7219552"</f>
        <v>7219552</v>
      </c>
      <c r="B36148" t="s">
        <v>21764</v>
      </c>
      <c r="C36148" t="s">
        <v>121</v>
      </c>
      <c r="D36148" s="21" t="s">
        <v>34</v>
      </c>
      <c r="E36148" s="21" t="s">
        <v>35</v>
      </c>
      <c r="F36148">
        <v>12720067</v>
      </c>
      <c r="G36148" t="s">
        <v>10622</v>
      </c>
      <c r="H36148" s="21">
        <v>500</v>
      </c>
    </row>
    <row r="36149" spans="1:8" customFormat="1" x14ac:dyDescent="0.25">
      <c r="A36149" t="str">
        <f>"6316784"</f>
        <v>6316784</v>
      </c>
      <c r="B36149" t="s">
        <v>29203</v>
      </c>
      <c r="C36149" t="s">
        <v>209</v>
      </c>
      <c r="D36149" s="21" t="s">
        <v>34</v>
      </c>
      <c r="E36149" s="21" t="s">
        <v>71</v>
      </c>
      <c r="F36149">
        <v>1630249</v>
      </c>
      <c r="G36149" t="s">
        <v>1237</v>
      </c>
      <c r="H36149" s="21">
        <v>500</v>
      </c>
    </row>
    <row r="36150" spans="1:8" customFormat="1" x14ac:dyDescent="0.25">
      <c r="A36150" t="str">
        <f>"3345824"</f>
        <v>3345824</v>
      </c>
      <c r="B36150" t="s">
        <v>29204</v>
      </c>
      <c r="C36150" t="s">
        <v>598</v>
      </c>
      <c r="D36150" s="21" t="s">
        <v>34</v>
      </c>
      <c r="E36150" s="21" t="s">
        <v>35</v>
      </c>
      <c r="F36150">
        <v>10330031</v>
      </c>
      <c r="G36150" t="s">
        <v>2452</v>
      </c>
      <c r="H36150" s="21">
        <v>500</v>
      </c>
    </row>
    <row r="36151" spans="1:8" customFormat="1" x14ac:dyDescent="0.25">
      <c r="A36151" t="str">
        <f>"5615338"</f>
        <v>5615338</v>
      </c>
      <c r="B36151" t="s">
        <v>29205</v>
      </c>
      <c r="C36151" t="s">
        <v>1665</v>
      </c>
      <c r="D36151" s="21" t="s">
        <v>34</v>
      </c>
      <c r="E36151" s="21" t="s">
        <v>254</v>
      </c>
      <c r="F36151">
        <v>3560039</v>
      </c>
      <c r="G36151" t="s">
        <v>167</v>
      </c>
      <c r="H36151" s="21">
        <v>500</v>
      </c>
    </row>
    <row r="36152" spans="1:8" customFormat="1" x14ac:dyDescent="0.25">
      <c r="A36152" t="str">
        <f>"9145801"</f>
        <v>9145801</v>
      </c>
      <c r="B36152" t="s">
        <v>29206</v>
      </c>
      <c r="C36152" t="s">
        <v>43</v>
      </c>
      <c r="D36152" s="21" t="s">
        <v>34</v>
      </c>
      <c r="E36152" s="21" t="s">
        <v>35</v>
      </c>
      <c r="F36152">
        <v>8910881</v>
      </c>
      <c r="G36152" t="s">
        <v>1300</v>
      </c>
      <c r="H36152" s="21">
        <v>500</v>
      </c>
    </row>
    <row r="36153" spans="1:8" customFormat="1" x14ac:dyDescent="0.25">
      <c r="A36153" t="str">
        <f>"8615208"</f>
        <v>8615208</v>
      </c>
      <c r="B36153" t="s">
        <v>9584</v>
      </c>
      <c r="C36153" t="s">
        <v>2479</v>
      </c>
      <c r="D36153" s="21" t="s">
        <v>34</v>
      </c>
      <c r="E36153" s="21" t="s">
        <v>71</v>
      </c>
      <c r="F36153">
        <v>10860122</v>
      </c>
      <c r="G36153" t="s">
        <v>3800</v>
      </c>
      <c r="H36153" s="21">
        <v>500</v>
      </c>
    </row>
    <row r="36154" spans="1:8" customFormat="1" x14ac:dyDescent="0.25">
      <c r="A36154" t="str">
        <f>"6234275"</f>
        <v>6234275</v>
      </c>
      <c r="B36154" t="s">
        <v>2218</v>
      </c>
      <c r="C36154" t="s">
        <v>750</v>
      </c>
      <c r="D36154" s="21" t="s">
        <v>34</v>
      </c>
      <c r="E36154" s="21" t="s">
        <v>35</v>
      </c>
      <c r="F36154">
        <v>7620057</v>
      </c>
      <c r="G36154" t="s">
        <v>184</v>
      </c>
      <c r="H36154" s="21">
        <v>500</v>
      </c>
    </row>
    <row r="36155" spans="1:8" customFormat="1" x14ac:dyDescent="0.25">
      <c r="A36155" t="str">
        <f>"7832373"</f>
        <v>7832373</v>
      </c>
      <c r="B36155" t="s">
        <v>17245</v>
      </c>
      <c r="C36155" t="s">
        <v>1110</v>
      </c>
      <c r="D36155" s="21" t="s">
        <v>34</v>
      </c>
      <c r="E36155" s="21" t="s">
        <v>71</v>
      </c>
      <c r="F36155">
        <v>10330069</v>
      </c>
      <c r="G36155" t="s">
        <v>15951</v>
      </c>
      <c r="H36155" s="21">
        <v>500</v>
      </c>
    </row>
    <row r="36156" spans="1:8" customFormat="1" x14ac:dyDescent="0.25">
      <c r="A36156" t="str">
        <f>"6022118"</f>
        <v>6022118</v>
      </c>
      <c r="B36156" t="s">
        <v>4944</v>
      </c>
      <c r="C36156" t="s">
        <v>288</v>
      </c>
      <c r="D36156" s="21" t="s">
        <v>34</v>
      </c>
      <c r="E36156" s="21" t="s">
        <v>35</v>
      </c>
      <c r="F36156">
        <v>7600130</v>
      </c>
      <c r="G36156" t="s">
        <v>11080</v>
      </c>
      <c r="H36156" s="21">
        <v>500</v>
      </c>
    </row>
    <row r="36157" spans="1:8" customFormat="1" x14ac:dyDescent="0.25">
      <c r="A36157" t="str">
        <f>"3534220"</f>
        <v>3534220</v>
      </c>
      <c r="B36157" t="s">
        <v>21464</v>
      </c>
      <c r="C36157" t="s">
        <v>4674</v>
      </c>
      <c r="D36157" s="21" t="s">
        <v>34</v>
      </c>
      <c r="E36157" s="21" t="s">
        <v>254</v>
      </c>
      <c r="F36157">
        <v>3350027</v>
      </c>
      <c r="G36157" t="s">
        <v>2760</v>
      </c>
      <c r="H36157" s="21">
        <v>499.79</v>
      </c>
    </row>
    <row r="36158" spans="1:8" customFormat="1" x14ac:dyDescent="0.25">
      <c r="A36158" t="str">
        <f>"217242"</f>
        <v>217242</v>
      </c>
      <c r="B36158" t="s">
        <v>8280</v>
      </c>
      <c r="C36158" t="s">
        <v>60</v>
      </c>
      <c r="D36158" s="21" t="s">
        <v>34</v>
      </c>
      <c r="E36158" s="21" t="s">
        <v>35</v>
      </c>
      <c r="F36158">
        <v>2710084</v>
      </c>
      <c r="G36158" t="s">
        <v>29207</v>
      </c>
      <c r="H36158" s="21">
        <v>499.75</v>
      </c>
    </row>
    <row r="36159" spans="1:8" customFormat="1" x14ac:dyDescent="0.25">
      <c r="A36159" t="str">
        <f>"8614440"</f>
        <v>8614440</v>
      </c>
      <c r="B36159" t="s">
        <v>8688</v>
      </c>
      <c r="C36159" t="s">
        <v>37</v>
      </c>
      <c r="D36159" s="21" t="s">
        <v>34</v>
      </c>
      <c r="E36159" s="21" t="s">
        <v>35</v>
      </c>
      <c r="F36159">
        <v>10860213</v>
      </c>
      <c r="G36159" t="s">
        <v>17902</v>
      </c>
      <c r="H36159" s="21">
        <v>499.75</v>
      </c>
    </row>
    <row r="36160" spans="1:8" customFormat="1" x14ac:dyDescent="0.25">
      <c r="A36160" t="str">
        <f>"568834"</f>
        <v>568834</v>
      </c>
      <c r="B36160" t="s">
        <v>22393</v>
      </c>
      <c r="C36160" t="s">
        <v>1142</v>
      </c>
      <c r="D36160" s="21" t="s">
        <v>34</v>
      </c>
      <c r="E36160" s="21" t="s">
        <v>1089</v>
      </c>
      <c r="F36160">
        <v>3560044</v>
      </c>
      <c r="G36160" t="s">
        <v>4890</v>
      </c>
      <c r="H36160" s="21">
        <v>499.75</v>
      </c>
    </row>
    <row r="36161" spans="1:8" customFormat="1" x14ac:dyDescent="0.25">
      <c r="A36161" t="str">
        <f>"5982854"</f>
        <v>5982854</v>
      </c>
      <c r="B36161" t="s">
        <v>29208</v>
      </c>
      <c r="C36161" t="s">
        <v>507</v>
      </c>
      <c r="D36161" s="21" t="s">
        <v>34</v>
      </c>
      <c r="E36161" s="21" t="s">
        <v>35</v>
      </c>
      <c r="F36161">
        <v>7590347</v>
      </c>
      <c r="G36161" t="s">
        <v>6041</v>
      </c>
      <c r="H36161" s="21">
        <v>499.75</v>
      </c>
    </row>
    <row r="36162" spans="1:8" customFormat="1" x14ac:dyDescent="0.25">
      <c r="A36162" t="str">
        <f>"169377"</f>
        <v>169377</v>
      </c>
      <c r="B36162" t="s">
        <v>23612</v>
      </c>
      <c r="C36162" t="s">
        <v>209</v>
      </c>
      <c r="D36162" s="21" t="s">
        <v>34</v>
      </c>
      <c r="E36162" s="21" t="s">
        <v>254</v>
      </c>
      <c r="F36162">
        <v>10160049</v>
      </c>
      <c r="G36162" t="s">
        <v>12117</v>
      </c>
      <c r="H36162" s="21">
        <v>499.67</v>
      </c>
    </row>
    <row r="36163" spans="1:8" customFormat="1" x14ac:dyDescent="0.25">
      <c r="A36163" t="str">
        <f>"461711"</f>
        <v>461711</v>
      </c>
      <c r="B36163" t="s">
        <v>23926</v>
      </c>
      <c r="C36163" t="s">
        <v>267</v>
      </c>
      <c r="D36163" s="21" t="s">
        <v>34</v>
      </c>
      <c r="E36163" s="21" t="s">
        <v>254</v>
      </c>
      <c r="F36163">
        <v>11460029</v>
      </c>
      <c r="G36163" t="s">
        <v>10606</v>
      </c>
      <c r="H36163" s="21">
        <v>499.67</v>
      </c>
    </row>
    <row r="36164" spans="1:8" customFormat="1" x14ac:dyDescent="0.25">
      <c r="A36164" t="str">
        <f>"3330953"</f>
        <v>3330953</v>
      </c>
      <c r="B36164" t="s">
        <v>4970</v>
      </c>
      <c r="C36164" t="s">
        <v>305</v>
      </c>
      <c r="D36164" s="21" t="s">
        <v>34</v>
      </c>
      <c r="E36164" s="21" t="s">
        <v>35</v>
      </c>
      <c r="F36164">
        <v>10330052</v>
      </c>
      <c r="G36164" t="s">
        <v>12860</v>
      </c>
      <c r="H36164" s="21">
        <v>499.62</v>
      </c>
    </row>
    <row r="36165" spans="1:8" customFormat="1" x14ac:dyDescent="0.25">
      <c r="A36165" t="str">
        <f>"188625"</f>
        <v>188625</v>
      </c>
      <c r="B36165" t="s">
        <v>5125</v>
      </c>
      <c r="C36165" t="s">
        <v>631</v>
      </c>
      <c r="D36165" s="21" t="s">
        <v>34</v>
      </c>
      <c r="E36165" s="21" t="s">
        <v>35</v>
      </c>
      <c r="F36165">
        <v>4180485</v>
      </c>
      <c r="G36165" t="s">
        <v>345</v>
      </c>
      <c r="H36165" s="21">
        <v>499.62</v>
      </c>
    </row>
    <row r="36166" spans="1:8" customFormat="1" x14ac:dyDescent="0.25">
      <c r="A36166" t="str">
        <f>"3830741"</f>
        <v>3830741</v>
      </c>
      <c r="B36166" t="s">
        <v>22261</v>
      </c>
      <c r="C36166" t="s">
        <v>139</v>
      </c>
      <c r="D36166" s="21" t="s">
        <v>34</v>
      </c>
      <c r="E36166" s="21" t="s">
        <v>35</v>
      </c>
      <c r="F36166">
        <v>1380130</v>
      </c>
      <c r="G36166" t="s">
        <v>6667</v>
      </c>
      <c r="H36166" s="21">
        <v>499.62</v>
      </c>
    </row>
    <row r="36167" spans="1:8" customFormat="1" x14ac:dyDescent="0.25">
      <c r="A36167" t="str">
        <f>"9D2765"</f>
        <v>9D2765</v>
      </c>
      <c r="B36167" t="s">
        <v>23901</v>
      </c>
      <c r="C36167" t="s">
        <v>611</v>
      </c>
      <c r="D36167" s="21" t="s">
        <v>34</v>
      </c>
      <c r="E36167" s="21" t="s">
        <v>35</v>
      </c>
      <c r="F36167" t="s">
        <v>1923</v>
      </c>
      <c r="G36167" t="s">
        <v>1924</v>
      </c>
      <c r="H36167" s="21">
        <v>499.5</v>
      </c>
    </row>
    <row r="36168" spans="1:8" customFormat="1" x14ac:dyDescent="0.25">
      <c r="A36168" t="str">
        <f>"8614228"</f>
        <v>8614228</v>
      </c>
      <c r="B36168" t="s">
        <v>11984</v>
      </c>
      <c r="C36168" t="s">
        <v>328</v>
      </c>
      <c r="D36168" s="21" t="s">
        <v>34</v>
      </c>
      <c r="E36168" s="21" t="s">
        <v>35</v>
      </c>
      <c r="F36168">
        <v>10860038</v>
      </c>
      <c r="G36168" t="s">
        <v>8925</v>
      </c>
      <c r="H36168" s="21">
        <v>499.5</v>
      </c>
    </row>
    <row r="36169" spans="1:8" customFormat="1" x14ac:dyDescent="0.25">
      <c r="A36169" t="str">
        <f>"3537737"</f>
        <v>3537737</v>
      </c>
      <c r="B36169" t="s">
        <v>23801</v>
      </c>
      <c r="C36169" t="s">
        <v>249</v>
      </c>
      <c r="D36169" s="21" t="s">
        <v>34</v>
      </c>
      <c r="E36169" s="21" t="s">
        <v>35</v>
      </c>
      <c r="F36169">
        <v>3350054</v>
      </c>
      <c r="G36169" t="s">
        <v>13881</v>
      </c>
      <c r="H36169" s="21">
        <v>499.5</v>
      </c>
    </row>
    <row r="36170" spans="1:8" customFormat="1" x14ac:dyDescent="0.25">
      <c r="A36170" t="str">
        <f>"9244958"</f>
        <v>9244958</v>
      </c>
      <c r="B36170" t="s">
        <v>29209</v>
      </c>
      <c r="C36170" t="s">
        <v>144</v>
      </c>
      <c r="D36170" s="21" t="s">
        <v>34</v>
      </c>
      <c r="E36170" s="21" t="s">
        <v>71</v>
      </c>
      <c r="F36170">
        <v>8920067</v>
      </c>
      <c r="G36170" t="s">
        <v>258</v>
      </c>
      <c r="H36170" s="21">
        <v>499.5</v>
      </c>
    </row>
    <row r="36171" spans="1:8" customFormat="1" x14ac:dyDescent="0.25">
      <c r="A36171" t="str">
        <f>"822106"</f>
        <v>822106</v>
      </c>
      <c r="B36171" t="s">
        <v>12703</v>
      </c>
      <c r="C36171" t="s">
        <v>55</v>
      </c>
      <c r="D36171" s="21" t="s">
        <v>34</v>
      </c>
      <c r="E36171" s="21" t="s">
        <v>71</v>
      </c>
      <c r="F36171">
        <v>11310117</v>
      </c>
      <c r="G36171" t="s">
        <v>10279</v>
      </c>
      <c r="H36171" s="21">
        <v>499.5</v>
      </c>
    </row>
    <row r="36172" spans="1:8" customFormat="1" x14ac:dyDescent="0.25">
      <c r="A36172" t="str">
        <f>"4936030"</f>
        <v>4936030</v>
      </c>
      <c r="B36172" t="s">
        <v>13529</v>
      </c>
      <c r="C36172" t="s">
        <v>3393</v>
      </c>
      <c r="D36172" s="21" t="s">
        <v>34</v>
      </c>
      <c r="E36172" s="21" t="s">
        <v>35</v>
      </c>
      <c r="F36172">
        <v>12490070</v>
      </c>
      <c r="G36172" t="s">
        <v>5091</v>
      </c>
      <c r="H36172" s="21">
        <v>499.5</v>
      </c>
    </row>
    <row r="36173" spans="1:8" customFormat="1" x14ac:dyDescent="0.25">
      <c r="A36173" t="str">
        <f>"3534343"</f>
        <v>3534343</v>
      </c>
      <c r="B36173" t="s">
        <v>29210</v>
      </c>
      <c r="C36173" t="s">
        <v>60</v>
      </c>
      <c r="D36173" s="21" t="s">
        <v>34</v>
      </c>
      <c r="E36173" s="21" t="s">
        <v>35</v>
      </c>
      <c r="F36173">
        <v>3350132</v>
      </c>
      <c r="G36173" t="s">
        <v>17921</v>
      </c>
      <c r="H36173" s="21">
        <v>499.5</v>
      </c>
    </row>
    <row r="36174" spans="1:8" customFormat="1" x14ac:dyDescent="0.25">
      <c r="A36174" t="str">
        <f>"847551"</f>
        <v>847551</v>
      </c>
      <c r="B36174" t="s">
        <v>24111</v>
      </c>
      <c r="C36174" t="s">
        <v>65</v>
      </c>
      <c r="D36174" s="21" t="s">
        <v>34</v>
      </c>
      <c r="E36174" s="21" t="s">
        <v>71</v>
      </c>
      <c r="F36174">
        <v>13840038</v>
      </c>
      <c r="G36174" t="s">
        <v>8931</v>
      </c>
      <c r="H36174" s="21">
        <v>499.5</v>
      </c>
    </row>
    <row r="36175" spans="1:8" customFormat="1" x14ac:dyDescent="0.25">
      <c r="A36175" t="str">
        <f>"3515"</f>
        <v>3515</v>
      </c>
      <c r="B36175" t="s">
        <v>24158</v>
      </c>
      <c r="C36175" t="s">
        <v>1665</v>
      </c>
      <c r="D36175" s="21" t="s">
        <v>34</v>
      </c>
      <c r="E36175" s="21" t="s">
        <v>1089</v>
      </c>
      <c r="F36175">
        <v>3350001</v>
      </c>
      <c r="G36175" t="s">
        <v>17502</v>
      </c>
      <c r="H36175" s="21">
        <v>499.5</v>
      </c>
    </row>
    <row r="36176" spans="1:8" customFormat="1" x14ac:dyDescent="0.25">
      <c r="A36176" t="str">
        <f>"8816938"</f>
        <v>8816938</v>
      </c>
      <c r="B36176" t="s">
        <v>29211</v>
      </c>
      <c r="C36176" t="s">
        <v>169</v>
      </c>
      <c r="D36176" s="21" t="s">
        <v>34</v>
      </c>
      <c r="E36176" s="21" t="s">
        <v>35</v>
      </c>
      <c r="F36176">
        <v>6880086</v>
      </c>
      <c r="G36176" t="s">
        <v>3245</v>
      </c>
      <c r="H36176" s="21">
        <v>499.5</v>
      </c>
    </row>
    <row r="36177" spans="1:8" customFormat="1" x14ac:dyDescent="0.25">
      <c r="A36177" t="str">
        <f>"6945735"</f>
        <v>6945735</v>
      </c>
      <c r="B36177" t="s">
        <v>29212</v>
      </c>
      <c r="C36177" t="s">
        <v>236</v>
      </c>
      <c r="D36177" s="21" t="s">
        <v>34</v>
      </c>
      <c r="E36177" s="21" t="s">
        <v>71</v>
      </c>
      <c r="F36177">
        <v>1690218</v>
      </c>
      <c r="G36177" t="s">
        <v>3637</v>
      </c>
      <c r="H36177" s="21">
        <v>499.5</v>
      </c>
    </row>
    <row r="36178" spans="1:8" customFormat="1" x14ac:dyDescent="0.25">
      <c r="A36178" t="str">
        <f>"051269"</f>
        <v>051269</v>
      </c>
      <c r="B36178" t="s">
        <v>12542</v>
      </c>
      <c r="C36178" t="s">
        <v>169</v>
      </c>
      <c r="D36178" s="21" t="s">
        <v>34</v>
      </c>
      <c r="E36178" s="21" t="s">
        <v>71</v>
      </c>
      <c r="F36178">
        <v>13050008</v>
      </c>
      <c r="G36178" t="s">
        <v>12322</v>
      </c>
      <c r="H36178" s="21">
        <v>499.5</v>
      </c>
    </row>
    <row r="36179" spans="1:8" customFormat="1" x14ac:dyDescent="0.25">
      <c r="A36179" t="str">
        <f>"037123"</f>
        <v>037123</v>
      </c>
      <c r="B36179" t="s">
        <v>10464</v>
      </c>
      <c r="C36179" t="s">
        <v>11786</v>
      </c>
      <c r="D36179" s="21" t="s">
        <v>34</v>
      </c>
      <c r="E36179" s="21" t="s">
        <v>254</v>
      </c>
      <c r="F36179">
        <v>1630015</v>
      </c>
      <c r="G36179" t="s">
        <v>2097</v>
      </c>
      <c r="H36179" s="21">
        <v>499.5</v>
      </c>
    </row>
    <row r="36180" spans="1:8" customFormat="1" x14ac:dyDescent="0.25">
      <c r="A36180" t="str">
        <f>"6946708"</f>
        <v>6946708</v>
      </c>
      <c r="B36180" t="s">
        <v>23715</v>
      </c>
      <c r="C36180" t="s">
        <v>462</v>
      </c>
      <c r="D36180" s="21" t="s">
        <v>34</v>
      </c>
      <c r="E36180" s="21" t="s">
        <v>254</v>
      </c>
      <c r="F36180">
        <v>1690090</v>
      </c>
      <c r="G36180" t="s">
        <v>6286</v>
      </c>
      <c r="H36180" s="21">
        <v>499.5</v>
      </c>
    </row>
    <row r="36181" spans="1:8" customFormat="1" x14ac:dyDescent="0.25">
      <c r="A36181" t="str">
        <f>"5320798"</f>
        <v>5320798</v>
      </c>
      <c r="B36181" t="s">
        <v>7443</v>
      </c>
      <c r="C36181" t="s">
        <v>598</v>
      </c>
      <c r="D36181" s="21" t="s">
        <v>34</v>
      </c>
      <c r="E36181" s="21" t="s">
        <v>71</v>
      </c>
      <c r="F36181">
        <v>12530017</v>
      </c>
      <c r="G36181" t="s">
        <v>307</v>
      </c>
      <c r="H36181" s="21">
        <v>499.5</v>
      </c>
    </row>
    <row r="36182" spans="1:8" customFormat="1" x14ac:dyDescent="0.25">
      <c r="A36182" t="str">
        <f>"7628706"</f>
        <v>7628706</v>
      </c>
      <c r="B36182" t="s">
        <v>4095</v>
      </c>
      <c r="C36182" t="s">
        <v>547</v>
      </c>
      <c r="D36182" s="21" t="s">
        <v>34</v>
      </c>
      <c r="E36182" s="21" t="s">
        <v>254</v>
      </c>
      <c r="F36182">
        <v>9760419</v>
      </c>
      <c r="G36182" t="s">
        <v>8549</v>
      </c>
      <c r="H36182" s="21">
        <v>499.5</v>
      </c>
    </row>
    <row r="36183" spans="1:8" customFormat="1" x14ac:dyDescent="0.25">
      <c r="A36183" t="str">
        <f>"5326943"</f>
        <v>5326943</v>
      </c>
      <c r="B36183" t="s">
        <v>19410</v>
      </c>
      <c r="C36183" t="s">
        <v>547</v>
      </c>
      <c r="D36183" s="21" t="s">
        <v>34</v>
      </c>
      <c r="E36183" s="21" t="s">
        <v>35</v>
      </c>
      <c r="F36183">
        <v>12530001</v>
      </c>
      <c r="G36183" t="s">
        <v>6349</v>
      </c>
      <c r="H36183" s="21">
        <v>499.5</v>
      </c>
    </row>
    <row r="36184" spans="1:8" customFormat="1" x14ac:dyDescent="0.25">
      <c r="A36184" t="str">
        <f>"5979541"</f>
        <v>5979541</v>
      </c>
      <c r="B36184" t="s">
        <v>25965</v>
      </c>
      <c r="C36184" t="s">
        <v>147</v>
      </c>
      <c r="D36184" s="21" t="s">
        <v>34</v>
      </c>
      <c r="E36184" s="21" t="s">
        <v>35</v>
      </c>
      <c r="F36184">
        <v>7590173</v>
      </c>
      <c r="G36184" t="s">
        <v>5675</v>
      </c>
      <c r="H36184" s="21">
        <v>499.5</v>
      </c>
    </row>
    <row r="36185" spans="1:8" customFormat="1" x14ac:dyDescent="0.25">
      <c r="A36185" t="str">
        <f>"3119662"</f>
        <v>3119662</v>
      </c>
      <c r="B36185" t="s">
        <v>10241</v>
      </c>
      <c r="C36185" t="s">
        <v>2520</v>
      </c>
      <c r="D36185" s="21" t="s">
        <v>34</v>
      </c>
      <c r="E36185" s="21" t="s">
        <v>35</v>
      </c>
      <c r="F36185">
        <v>11310126</v>
      </c>
      <c r="G36185" t="s">
        <v>3383</v>
      </c>
      <c r="H36185" s="21">
        <v>499.5</v>
      </c>
    </row>
    <row r="36186" spans="1:8" customFormat="1" x14ac:dyDescent="0.25">
      <c r="A36186" t="str">
        <f>"6017388"</f>
        <v>6017388</v>
      </c>
      <c r="B36186" t="s">
        <v>9746</v>
      </c>
      <c r="C36186" t="s">
        <v>2730</v>
      </c>
      <c r="D36186" s="21" t="s">
        <v>34</v>
      </c>
      <c r="E36186" s="21" t="s">
        <v>254</v>
      </c>
      <c r="F36186">
        <v>7600081</v>
      </c>
      <c r="G36186" t="s">
        <v>5845</v>
      </c>
      <c r="H36186" s="21">
        <v>499.5</v>
      </c>
    </row>
    <row r="36187" spans="1:8" customFormat="1" x14ac:dyDescent="0.25">
      <c r="A36187" t="str">
        <f>"887697"</f>
        <v>887697</v>
      </c>
      <c r="B36187" t="s">
        <v>29213</v>
      </c>
      <c r="C36187" t="s">
        <v>269</v>
      </c>
      <c r="D36187" s="21" t="s">
        <v>34</v>
      </c>
      <c r="E36187" s="21" t="s">
        <v>254</v>
      </c>
      <c r="F36187">
        <v>6880073</v>
      </c>
      <c r="G36187" t="s">
        <v>6648</v>
      </c>
      <c r="H36187" s="21">
        <v>499.5</v>
      </c>
    </row>
    <row r="36188" spans="1:8" customFormat="1" x14ac:dyDescent="0.25">
      <c r="A36188" t="str">
        <f>"6112883"</f>
        <v>6112883</v>
      </c>
      <c r="B36188" t="s">
        <v>29214</v>
      </c>
      <c r="C36188" t="s">
        <v>3098</v>
      </c>
      <c r="D36188" s="21" t="s">
        <v>34</v>
      </c>
      <c r="E36188" s="21" t="s">
        <v>71</v>
      </c>
      <c r="F36188">
        <v>9610129</v>
      </c>
      <c r="G36188" t="s">
        <v>11506</v>
      </c>
      <c r="H36188" s="21">
        <v>499.5</v>
      </c>
    </row>
    <row r="36189" spans="1:8" customFormat="1" x14ac:dyDescent="0.25">
      <c r="A36189" t="str">
        <f>"4440464"</f>
        <v>4440464</v>
      </c>
      <c r="B36189" t="s">
        <v>22251</v>
      </c>
      <c r="C36189" t="s">
        <v>598</v>
      </c>
      <c r="D36189" s="21" t="s">
        <v>34</v>
      </c>
      <c r="E36189" s="21" t="s">
        <v>254</v>
      </c>
      <c r="F36189">
        <v>12440030</v>
      </c>
      <c r="G36189" t="s">
        <v>5524</v>
      </c>
      <c r="H36189" s="21">
        <v>499.5</v>
      </c>
    </row>
    <row r="36190" spans="1:8" customFormat="1" x14ac:dyDescent="0.25">
      <c r="A36190" t="str">
        <f>"712866"</f>
        <v>712866</v>
      </c>
      <c r="B36190" t="s">
        <v>4602</v>
      </c>
      <c r="C36190" t="s">
        <v>2730</v>
      </c>
      <c r="D36190" s="21" t="s">
        <v>34</v>
      </c>
      <c r="E36190" s="21" t="s">
        <v>1089</v>
      </c>
      <c r="F36190">
        <v>2710035</v>
      </c>
      <c r="G36190" t="s">
        <v>7300</v>
      </c>
      <c r="H36190" s="21">
        <v>499.5</v>
      </c>
    </row>
    <row r="36191" spans="1:8" customFormat="1" x14ac:dyDescent="0.25">
      <c r="A36191" t="str">
        <f>"461708"</f>
        <v>461708</v>
      </c>
      <c r="B36191" t="s">
        <v>23315</v>
      </c>
      <c r="C36191" t="s">
        <v>43</v>
      </c>
      <c r="D36191" s="21" t="s">
        <v>34</v>
      </c>
      <c r="E36191" s="21" t="s">
        <v>35</v>
      </c>
      <c r="F36191">
        <v>11460017</v>
      </c>
      <c r="G36191" t="s">
        <v>7665</v>
      </c>
      <c r="H36191" s="21">
        <v>499.5</v>
      </c>
    </row>
    <row r="36192" spans="1:8" customFormat="1" x14ac:dyDescent="0.25">
      <c r="A36192" t="str">
        <f>"9A1321"</f>
        <v>9A1321</v>
      </c>
      <c r="B36192" t="s">
        <v>23935</v>
      </c>
      <c r="C36192" t="s">
        <v>239</v>
      </c>
      <c r="D36192" s="21" t="s">
        <v>34</v>
      </c>
      <c r="E36192" s="21" t="s">
        <v>254</v>
      </c>
      <c r="F36192" t="s">
        <v>1465</v>
      </c>
      <c r="G36192" t="s">
        <v>1466</v>
      </c>
      <c r="H36192" s="21">
        <v>499.38</v>
      </c>
    </row>
    <row r="36193" spans="1:8" customFormat="1" x14ac:dyDescent="0.25">
      <c r="A36193" t="str">
        <f>"5018314"</f>
        <v>5018314</v>
      </c>
      <c r="B36193" t="s">
        <v>19852</v>
      </c>
      <c r="C36193" t="s">
        <v>209</v>
      </c>
      <c r="D36193" s="21" t="s">
        <v>34</v>
      </c>
      <c r="E36193" s="21" t="s">
        <v>71</v>
      </c>
      <c r="F36193">
        <v>9500159</v>
      </c>
      <c r="G36193" t="s">
        <v>11102</v>
      </c>
      <c r="H36193" s="21">
        <v>499.29</v>
      </c>
    </row>
    <row r="36194" spans="1:8" customFormat="1" x14ac:dyDescent="0.25">
      <c r="A36194" t="str">
        <f>"5620807"</f>
        <v>5620807</v>
      </c>
      <c r="B36194" t="s">
        <v>7732</v>
      </c>
      <c r="C36194" t="s">
        <v>453</v>
      </c>
      <c r="D36194" s="21" t="s">
        <v>34</v>
      </c>
      <c r="E36194" s="21" t="s">
        <v>254</v>
      </c>
      <c r="F36194">
        <v>3560044</v>
      </c>
      <c r="G36194" t="s">
        <v>4890</v>
      </c>
      <c r="H36194" s="21">
        <v>499.25</v>
      </c>
    </row>
    <row r="36195" spans="1:8" customFormat="1" x14ac:dyDescent="0.25">
      <c r="A36195" t="str">
        <f>"1421646"</f>
        <v>1421646</v>
      </c>
      <c r="B36195" t="s">
        <v>7898</v>
      </c>
      <c r="C36195" t="s">
        <v>1782</v>
      </c>
      <c r="D36195" s="21" t="s">
        <v>34</v>
      </c>
      <c r="E36195" s="21" t="s">
        <v>35</v>
      </c>
      <c r="F36195">
        <v>9140227</v>
      </c>
      <c r="G36195" t="s">
        <v>5130</v>
      </c>
      <c r="H36195" s="21">
        <v>499.25</v>
      </c>
    </row>
    <row r="36196" spans="1:8" customFormat="1" x14ac:dyDescent="0.25">
      <c r="A36196" t="str">
        <f>"7872513"</f>
        <v>7872513</v>
      </c>
      <c r="B36196" t="s">
        <v>22713</v>
      </c>
      <c r="C36196" t="s">
        <v>2752</v>
      </c>
      <c r="D36196" s="21" t="s">
        <v>34</v>
      </c>
      <c r="E36196" s="21" t="s">
        <v>254</v>
      </c>
      <c r="F36196">
        <v>8780571</v>
      </c>
      <c r="G36196" t="s">
        <v>2336</v>
      </c>
      <c r="H36196" s="21">
        <v>499.25</v>
      </c>
    </row>
    <row r="36197" spans="1:8" customFormat="1" x14ac:dyDescent="0.25">
      <c r="A36197" t="str">
        <f>"7880041"</f>
        <v>7880041</v>
      </c>
      <c r="B36197" t="s">
        <v>10528</v>
      </c>
      <c r="C36197" t="s">
        <v>1104</v>
      </c>
      <c r="D36197" s="21" t="s">
        <v>34</v>
      </c>
      <c r="E36197" s="21" t="s">
        <v>35</v>
      </c>
      <c r="F36197">
        <v>8780529</v>
      </c>
      <c r="G36197" t="s">
        <v>8624</v>
      </c>
      <c r="H36197" s="21">
        <v>499.25</v>
      </c>
    </row>
    <row r="36198" spans="1:8" customFormat="1" x14ac:dyDescent="0.25">
      <c r="A36198" t="str">
        <f>"9252842"</f>
        <v>9252842</v>
      </c>
      <c r="B36198" t="s">
        <v>29215</v>
      </c>
      <c r="C36198" t="s">
        <v>65</v>
      </c>
      <c r="D36198" s="21" t="s">
        <v>34</v>
      </c>
      <c r="E36198" s="21" t="s">
        <v>35</v>
      </c>
      <c r="F36198">
        <v>8920503</v>
      </c>
      <c r="G36198" t="s">
        <v>9047</v>
      </c>
      <c r="H36198" s="21">
        <v>499.25</v>
      </c>
    </row>
    <row r="36199" spans="1:8" customFormat="1" x14ac:dyDescent="0.25">
      <c r="A36199" t="str">
        <f>"366175"</f>
        <v>366175</v>
      </c>
      <c r="B36199" t="s">
        <v>1885</v>
      </c>
      <c r="C36199" t="s">
        <v>263</v>
      </c>
      <c r="D36199" s="21" t="s">
        <v>34</v>
      </c>
      <c r="E36199" s="21" t="s">
        <v>254</v>
      </c>
      <c r="F36199">
        <v>4360728</v>
      </c>
      <c r="G36199" t="s">
        <v>12735</v>
      </c>
      <c r="H36199" s="21">
        <v>499.25</v>
      </c>
    </row>
    <row r="36200" spans="1:8" customFormat="1" x14ac:dyDescent="0.25">
      <c r="A36200" t="str">
        <f>"7641717"</f>
        <v>7641717</v>
      </c>
      <c r="B36200" t="s">
        <v>20740</v>
      </c>
      <c r="C36200" t="s">
        <v>812</v>
      </c>
      <c r="D36200" s="21" t="s">
        <v>34</v>
      </c>
      <c r="E36200" s="21" t="s">
        <v>71</v>
      </c>
      <c r="F36200">
        <v>9760012</v>
      </c>
      <c r="G36200" t="s">
        <v>17233</v>
      </c>
      <c r="H36200" s="21">
        <v>499.17</v>
      </c>
    </row>
    <row r="36201" spans="1:8" customFormat="1" x14ac:dyDescent="0.25">
      <c r="A36201" t="str">
        <f>"533620"</f>
        <v>533620</v>
      </c>
      <c r="B36201" t="s">
        <v>20539</v>
      </c>
      <c r="C36201" t="s">
        <v>379</v>
      </c>
      <c r="D36201" s="21" t="s">
        <v>34</v>
      </c>
      <c r="E36201" s="21" t="s">
        <v>1089</v>
      </c>
      <c r="F36201">
        <v>12530007</v>
      </c>
      <c r="G36201" t="s">
        <v>2966</v>
      </c>
      <c r="H36201" s="21">
        <v>499.17</v>
      </c>
    </row>
    <row r="36202" spans="1:8" customFormat="1" x14ac:dyDescent="0.25">
      <c r="A36202" t="str">
        <f>"5019340"</f>
        <v>5019340</v>
      </c>
      <c r="B36202" t="s">
        <v>22877</v>
      </c>
      <c r="C36202" t="s">
        <v>2479</v>
      </c>
      <c r="D36202" s="21" t="s">
        <v>34</v>
      </c>
      <c r="E36202" s="21" t="s">
        <v>254</v>
      </c>
      <c r="F36202">
        <v>9500162</v>
      </c>
      <c r="G36202" t="s">
        <v>11252</v>
      </c>
      <c r="H36202" s="21">
        <v>499.17</v>
      </c>
    </row>
    <row r="36203" spans="1:8" customFormat="1" x14ac:dyDescent="0.25">
      <c r="A36203" t="str">
        <f>"682282"</f>
        <v>682282</v>
      </c>
      <c r="B36203" t="s">
        <v>7578</v>
      </c>
      <c r="C36203" t="s">
        <v>11542</v>
      </c>
      <c r="D36203" s="21" t="s">
        <v>34</v>
      </c>
      <c r="E36203" s="21" t="s">
        <v>1089</v>
      </c>
      <c r="F36203">
        <v>6680020</v>
      </c>
      <c r="G36203" t="s">
        <v>12995</v>
      </c>
      <c r="H36203" s="21">
        <v>499.17</v>
      </c>
    </row>
    <row r="36204" spans="1:8" customFormat="1" x14ac:dyDescent="0.25">
      <c r="A36204" t="str">
        <f>"5970020"</f>
        <v>5970020</v>
      </c>
      <c r="B36204" t="s">
        <v>23923</v>
      </c>
      <c r="C36204" t="s">
        <v>5183</v>
      </c>
      <c r="D36204" s="21" t="s">
        <v>34</v>
      </c>
      <c r="E36204" s="21" t="s">
        <v>35</v>
      </c>
      <c r="F36204">
        <v>7590034</v>
      </c>
      <c r="G36204" t="s">
        <v>17085</v>
      </c>
      <c r="H36204" s="21">
        <v>499.17</v>
      </c>
    </row>
    <row r="36205" spans="1:8" customFormat="1" x14ac:dyDescent="0.25">
      <c r="A36205" t="str">
        <f>"3324058"</f>
        <v>3324058</v>
      </c>
      <c r="B36205" t="s">
        <v>21788</v>
      </c>
      <c r="C36205" t="s">
        <v>19024</v>
      </c>
      <c r="D36205" s="21" t="s">
        <v>34</v>
      </c>
      <c r="E36205" s="21" t="s">
        <v>254</v>
      </c>
      <c r="F36205">
        <v>2210101</v>
      </c>
      <c r="G36205" t="s">
        <v>1374</v>
      </c>
      <c r="H36205" s="21">
        <v>499.17</v>
      </c>
    </row>
    <row r="36206" spans="1:8" customFormat="1" x14ac:dyDescent="0.25">
      <c r="A36206" t="str">
        <f>"4425536"</f>
        <v>4425536</v>
      </c>
      <c r="B36206" t="s">
        <v>2589</v>
      </c>
      <c r="C36206" t="s">
        <v>169</v>
      </c>
      <c r="D36206" s="21" t="s">
        <v>34</v>
      </c>
      <c r="E36206" s="21" t="s">
        <v>71</v>
      </c>
      <c r="F36206">
        <v>12440011</v>
      </c>
      <c r="G36206" t="s">
        <v>5650</v>
      </c>
      <c r="H36206" s="21">
        <v>499.17</v>
      </c>
    </row>
    <row r="36207" spans="1:8" customFormat="1" x14ac:dyDescent="0.25">
      <c r="A36207" t="str">
        <f>"0115760"</f>
        <v>0115760</v>
      </c>
      <c r="B36207" t="s">
        <v>29216</v>
      </c>
      <c r="C36207" t="s">
        <v>40</v>
      </c>
      <c r="D36207" s="21" t="s">
        <v>34</v>
      </c>
      <c r="E36207" s="21" t="s">
        <v>254</v>
      </c>
      <c r="F36207">
        <v>1010061</v>
      </c>
      <c r="G36207" t="s">
        <v>9290</v>
      </c>
      <c r="H36207" s="21">
        <v>499.17</v>
      </c>
    </row>
    <row r="36208" spans="1:8" customFormat="1" x14ac:dyDescent="0.25">
      <c r="A36208" t="str">
        <f>"706730"</f>
        <v>706730</v>
      </c>
      <c r="B36208" t="s">
        <v>22671</v>
      </c>
      <c r="C36208" t="s">
        <v>60</v>
      </c>
      <c r="D36208" s="21" t="s">
        <v>34</v>
      </c>
      <c r="E36208" s="21" t="s">
        <v>35</v>
      </c>
      <c r="F36208">
        <v>2700018</v>
      </c>
      <c r="G36208" t="s">
        <v>3723</v>
      </c>
      <c r="H36208" s="21">
        <v>499.17</v>
      </c>
    </row>
    <row r="36209" spans="1:8" customFormat="1" x14ac:dyDescent="0.25">
      <c r="A36209" t="str">
        <f>"3527108"</f>
        <v>3527108</v>
      </c>
      <c r="B36209" t="s">
        <v>23775</v>
      </c>
      <c r="C36209" t="s">
        <v>263</v>
      </c>
      <c r="D36209" s="21" t="s">
        <v>34</v>
      </c>
      <c r="E36209" s="21" t="s">
        <v>35</v>
      </c>
      <c r="F36209">
        <v>3350199</v>
      </c>
      <c r="G36209" t="s">
        <v>5603</v>
      </c>
      <c r="H36209" s="21">
        <v>499.17</v>
      </c>
    </row>
    <row r="36210" spans="1:8" customFormat="1" x14ac:dyDescent="0.25">
      <c r="A36210" t="str">
        <f>"5617132"</f>
        <v>5617132</v>
      </c>
      <c r="B36210" t="s">
        <v>4256</v>
      </c>
      <c r="C36210" t="s">
        <v>253</v>
      </c>
      <c r="D36210" s="21" t="s">
        <v>34</v>
      </c>
      <c r="E36210" s="21" t="s">
        <v>35</v>
      </c>
      <c r="F36210">
        <v>3560064</v>
      </c>
      <c r="G36210" t="s">
        <v>18764</v>
      </c>
      <c r="H36210" s="21">
        <v>499</v>
      </c>
    </row>
    <row r="36211" spans="1:8" customFormat="1" x14ac:dyDescent="0.25">
      <c r="A36211" t="str">
        <f>"5326807"</f>
        <v>5326807</v>
      </c>
      <c r="B36211" t="s">
        <v>3042</v>
      </c>
      <c r="C36211" t="s">
        <v>60</v>
      </c>
      <c r="D36211" s="21" t="s">
        <v>34</v>
      </c>
      <c r="E36211" s="21" t="s">
        <v>35</v>
      </c>
      <c r="F36211">
        <v>12538908</v>
      </c>
      <c r="G36211" t="s">
        <v>28075</v>
      </c>
      <c r="H36211" s="21">
        <v>499</v>
      </c>
    </row>
    <row r="36212" spans="1:8" customFormat="1" x14ac:dyDescent="0.25">
      <c r="A36212" t="str">
        <f>"4451997"</f>
        <v>4451997</v>
      </c>
      <c r="B36212" t="s">
        <v>2240</v>
      </c>
      <c r="C36212" t="s">
        <v>209</v>
      </c>
      <c r="D36212" s="21" t="s">
        <v>34</v>
      </c>
      <c r="E36212" s="21" t="s">
        <v>71</v>
      </c>
      <c r="F36212">
        <v>12440258</v>
      </c>
      <c r="G36212" t="s">
        <v>17845</v>
      </c>
      <c r="H36212" s="21">
        <v>499</v>
      </c>
    </row>
    <row r="36213" spans="1:8" customFormat="1" x14ac:dyDescent="0.25">
      <c r="A36213" t="str">
        <f>"5981902"</f>
        <v>5981902</v>
      </c>
      <c r="B36213" t="s">
        <v>3042</v>
      </c>
      <c r="C36213" t="s">
        <v>87</v>
      </c>
      <c r="D36213" s="21" t="s">
        <v>34</v>
      </c>
      <c r="E36213" s="21" t="s">
        <v>71</v>
      </c>
      <c r="F36213">
        <v>7590151</v>
      </c>
      <c r="G36213" t="s">
        <v>12236</v>
      </c>
      <c r="H36213" s="21">
        <v>499</v>
      </c>
    </row>
    <row r="36214" spans="1:8" customFormat="1" x14ac:dyDescent="0.25">
      <c r="A36214" t="str">
        <f>"3711793"</f>
        <v>3711793</v>
      </c>
      <c r="B36214" t="s">
        <v>29217</v>
      </c>
      <c r="C36214" t="s">
        <v>926</v>
      </c>
      <c r="D36214" s="21" t="s">
        <v>34</v>
      </c>
      <c r="E36214" s="21" t="s">
        <v>71</v>
      </c>
      <c r="F36214">
        <v>4370011</v>
      </c>
      <c r="G36214" t="s">
        <v>3672</v>
      </c>
      <c r="H36214" s="21">
        <v>499</v>
      </c>
    </row>
    <row r="36215" spans="1:8" customFormat="1" x14ac:dyDescent="0.25">
      <c r="A36215" t="str">
        <f>"4936183"</f>
        <v>4936183</v>
      </c>
      <c r="B36215" t="s">
        <v>29218</v>
      </c>
      <c r="C36215" t="s">
        <v>3481</v>
      </c>
      <c r="D36215" s="21" t="s">
        <v>34</v>
      </c>
      <c r="E36215" s="21" t="s">
        <v>35</v>
      </c>
      <c r="F36215">
        <v>12490037</v>
      </c>
      <c r="G36215" t="s">
        <v>8892</v>
      </c>
      <c r="H36215" s="21">
        <v>499</v>
      </c>
    </row>
    <row r="36216" spans="1:8" customFormat="1" x14ac:dyDescent="0.25">
      <c r="A36216" t="str">
        <f>"4454321"</f>
        <v>4454321</v>
      </c>
      <c r="B36216" t="s">
        <v>29219</v>
      </c>
      <c r="C36216" t="s">
        <v>1468</v>
      </c>
      <c r="D36216" s="21" t="s">
        <v>34</v>
      </c>
      <c r="E36216" s="21" t="s">
        <v>35</v>
      </c>
      <c r="F36216">
        <v>12440087</v>
      </c>
      <c r="G36216" t="s">
        <v>1860</v>
      </c>
      <c r="H36216" s="21">
        <v>499</v>
      </c>
    </row>
    <row r="36217" spans="1:8" customFormat="1" x14ac:dyDescent="0.25">
      <c r="A36217" t="str">
        <f>"0613152"</f>
        <v>0613152</v>
      </c>
      <c r="B36217" t="s">
        <v>8763</v>
      </c>
      <c r="C36217" t="s">
        <v>598</v>
      </c>
      <c r="D36217" s="21" t="s">
        <v>34</v>
      </c>
      <c r="E36217" s="21" t="s">
        <v>254</v>
      </c>
      <c r="F36217">
        <v>13060037</v>
      </c>
      <c r="G36217" t="s">
        <v>9521</v>
      </c>
      <c r="H36217" s="21">
        <v>499</v>
      </c>
    </row>
    <row r="36218" spans="1:8" customFormat="1" x14ac:dyDescent="0.25">
      <c r="A36218" t="str">
        <f>"5923049"</f>
        <v>5923049</v>
      </c>
      <c r="B36218" t="s">
        <v>24408</v>
      </c>
      <c r="C36218" t="s">
        <v>209</v>
      </c>
      <c r="D36218" s="21" t="s">
        <v>34</v>
      </c>
      <c r="E36218" s="21" t="s">
        <v>254</v>
      </c>
      <c r="F36218">
        <v>7590058</v>
      </c>
      <c r="G36218" t="s">
        <v>5044</v>
      </c>
      <c r="H36218" s="21">
        <v>499</v>
      </c>
    </row>
    <row r="36219" spans="1:8" customFormat="1" x14ac:dyDescent="0.25">
      <c r="A36219" t="str">
        <f>"3536549"</f>
        <v>3536549</v>
      </c>
      <c r="B36219" t="s">
        <v>24019</v>
      </c>
      <c r="C36219" t="s">
        <v>209</v>
      </c>
      <c r="D36219" s="21" t="s">
        <v>34</v>
      </c>
      <c r="E36219" s="21" t="s">
        <v>71</v>
      </c>
      <c r="F36219">
        <v>3350066</v>
      </c>
      <c r="G36219" t="s">
        <v>10650</v>
      </c>
      <c r="H36219" s="21">
        <v>499</v>
      </c>
    </row>
    <row r="36220" spans="1:8" customFormat="1" x14ac:dyDescent="0.25">
      <c r="A36220" t="str">
        <f>"4529506"</f>
        <v>4529506</v>
      </c>
      <c r="B36220" t="s">
        <v>23478</v>
      </c>
      <c r="C36220" t="s">
        <v>55</v>
      </c>
      <c r="D36220" s="21" t="s">
        <v>34</v>
      </c>
      <c r="E36220" s="21" t="s">
        <v>35</v>
      </c>
      <c r="F36220">
        <v>4450768</v>
      </c>
      <c r="G36220" t="s">
        <v>12739</v>
      </c>
      <c r="H36220" s="21">
        <v>499</v>
      </c>
    </row>
    <row r="36221" spans="1:8" customFormat="1" x14ac:dyDescent="0.25">
      <c r="A36221" t="str">
        <f>"1714116"</f>
        <v>1714116</v>
      </c>
      <c r="B36221" t="s">
        <v>1098</v>
      </c>
      <c r="C36221" t="s">
        <v>236</v>
      </c>
      <c r="D36221" s="21" t="s">
        <v>34</v>
      </c>
      <c r="E36221" s="21" t="s">
        <v>1089</v>
      </c>
      <c r="F36221">
        <v>10170042</v>
      </c>
      <c r="G36221" t="s">
        <v>5014</v>
      </c>
      <c r="H36221" s="21">
        <v>499</v>
      </c>
    </row>
    <row r="36222" spans="1:8" customFormat="1" x14ac:dyDescent="0.25">
      <c r="A36222" t="str">
        <f>"6717022"</f>
        <v>6717022</v>
      </c>
      <c r="B36222" t="s">
        <v>23979</v>
      </c>
      <c r="C36222" t="s">
        <v>2546</v>
      </c>
      <c r="D36222" s="21" t="s">
        <v>34</v>
      </c>
      <c r="E36222" s="21" t="s">
        <v>254</v>
      </c>
      <c r="F36222">
        <v>6670254</v>
      </c>
      <c r="G36222" t="s">
        <v>21423</v>
      </c>
      <c r="H36222" s="21">
        <v>499</v>
      </c>
    </row>
    <row r="36223" spans="1:8" customFormat="1" x14ac:dyDescent="0.25">
      <c r="A36223" t="str">
        <f>"429974"</f>
        <v>429974</v>
      </c>
      <c r="B36223" t="s">
        <v>29220</v>
      </c>
      <c r="C36223" t="s">
        <v>1359</v>
      </c>
      <c r="D36223" s="21" t="s">
        <v>34</v>
      </c>
      <c r="E36223" s="21" t="s">
        <v>35</v>
      </c>
      <c r="F36223">
        <v>1420123</v>
      </c>
      <c r="G36223" t="s">
        <v>13155</v>
      </c>
      <c r="H36223" s="21">
        <v>499</v>
      </c>
    </row>
    <row r="36224" spans="1:8" customFormat="1" x14ac:dyDescent="0.25">
      <c r="A36224" t="str">
        <f>"733585"</f>
        <v>733585</v>
      </c>
      <c r="B36224" t="s">
        <v>5577</v>
      </c>
      <c r="C36224" t="s">
        <v>253</v>
      </c>
      <c r="D36224" s="21" t="s">
        <v>34</v>
      </c>
      <c r="E36224" s="21" t="s">
        <v>71</v>
      </c>
      <c r="F36224">
        <v>10870109</v>
      </c>
      <c r="G36224" t="s">
        <v>5199</v>
      </c>
      <c r="H36224" s="21">
        <v>499</v>
      </c>
    </row>
    <row r="36225" spans="1:8" customFormat="1" x14ac:dyDescent="0.25">
      <c r="A36225" t="str">
        <f>"5980229"</f>
        <v>5980229</v>
      </c>
      <c r="B36225" t="s">
        <v>23732</v>
      </c>
      <c r="C36225" t="s">
        <v>124</v>
      </c>
      <c r="D36225" s="21" t="s">
        <v>34</v>
      </c>
      <c r="E36225" s="21" t="s">
        <v>71</v>
      </c>
      <c r="F36225">
        <v>7590004</v>
      </c>
      <c r="G36225" t="s">
        <v>4816</v>
      </c>
      <c r="H36225" s="21">
        <v>499</v>
      </c>
    </row>
    <row r="36226" spans="1:8" customFormat="1" x14ac:dyDescent="0.25">
      <c r="A36226" t="str">
        <f>"5981705"</f>
        <v>5981705</v>
      </c>
      <c r="B36226" t="s">
        <v>21789</v>
      </c>
      <c r="C36226" t="s">
        <v>513</v>
      </c>
      <c r="D36226" s="21" t="s">
        <v>34</v>
      </c>
      <c r="E36226" s="21" t="s">
        <v>35</v>
      </c>
      <c r="F36226">
        <v>7590132</v>
      </c>
      <c r="G36226" t="s">
        <v>3204</v>
      </c>
      <c r="H36226" s="21">
        <v>499</v>
      </c>
    </row>
    <row r="36227" spans="1:8" customFormat="1" x14ac:dyDescent="0.25">
      <c r="A36227" t="str">
        <f>"5019428"</f>
        <v>5019428</v>
      </c>
      <c r="B36227" t="s">
        <v>1676</v>
      </c>
      <c r="C36227" t="s">
        <v>825</v>
      </c>
      <c r="D36227" s="21" t="s">
        <v>34</v>
      </c>
      <c r="E36227" s="21" t="s">
        <v>71</v>
      </c>
      <c r="F36227">
        <v>8910916</v>
      </c>
      <c r="G36227" t="s">
        <v>2251</v>
      </c>
      <c r="H36227" s="21">
        <v>499</v>
      </c>
    </row>
    <row r="36228" spans="1:8" customFormat="1" x14ac:dyDescent="0.25">
      <c r="A36228" t="str">
        <f>"3524461"</f>
        <v>3524461</v>
      </c>
      <c r="B36228" t="s">
        <v>6957</v>
      </c>
      <c r="C36228" t="s">
        <v>169</v>
      </c>
      <c r="D36228" s="21" t="s">
        <v>34</v>
      </c>
      <c r="E36228" s="21" t="s">
        <v>71</v>
      </c>
      <c r="F36228">
        <v>3350041</v>
      </c>
      <c r="G36228" t="s">
        <v>1589</v>
      </c>
      <c r="H36228" s="21">
        <v>499</v>
      </c>
    </row>
    <row r="36229" spans="1:8" customFormat="1" x14ac:dyDescent="0.25">
      <c r="A36229" t="str">
        <f>"6019199"</f>
        <v>6019199</v>
      </c>
      <c r="B36229" t="s">
        <v>22286</v>
      </c>
      <c r="C36229" t="s">
        <v>65</v>
      </c>
      <c r="D36229" s="21" t="s">
        <v>34</v>
      </c>
      <c r="E36229" s="21" t="s">
        <v>35</v>
      </c>
      <c r="F36229">
        <v>7600074</v>
      </c>
      <c r="G36229" t="s">
        <v>1912</v>
      </c>
      <c r="H36229" s="21">
        <v>499</v>
      </c>
    </row>
    <row r="36230" spans="1:8" customFormat="1" x14ac:dyDescent="0.25">
      <c r="A36230" t="str">
        <f>"445830"</f>
        <v>445830</v>
      </c>
      <c r="B36230" t="s">
        <v>6001</v>
      </c>
      <c r="C36230" t="s">
        <v>1231</v>
      </c>
      <c r="D36230" s="21" t="s">
        <v>34</v>
      </c>
      <c r="E36230" s="21" t="s">
        <v>6185</v>
      </c>
      <c r="F36230">
        <v>12440030</v>
      </c>
      <c r="G36230" t="s">
        <v>5524</v>
      </c>
      <c r="H36230" s="21">
        <v>499</v>
      </c>
    </row>
    <row r="36231" spans="1:8" customFormat="1" x14ac:dyDescent="0.25">
      <c r="A36231" t="str">
        <f>"3014516"</f>
        <v>3014516</v>
      </c>
      <c r="B36231" t="s">
        <v>7415</v>
      </c>
      <c r="C36231" t="s">
        <v>43</v>
      </c>
      <c r="D36231" s="21" t="s">
        <v>34</v>
      </c>
      <c r="E36231" s="21" t="s">
        <v>35</v>
      </c>
      <c r="F36231">
        <v>11300021</v>
      </c>
      <c r="G36231" t="s">
        <v>22941</v>
      </c>
      <c r="H36231" s="21">
        <v>499</v>
      </c>
    </row>
    <row r="36232" spans="1:8" customFormat="1" x14ac:dyDescent="0.25">
      <c r="A36232" t="str">
        <f>"125373"</f>
        <v>125373</v>
      </c>
      <c r="B36232" t="s">
        <v>29221</v>
      </c>
      <c r="C36232" t="s">
        <v>719</v>
      </c>
      <c r="D36232" s="21" t="s">
        <v>34</v>
      </c>
      <c r="E36232" s="21" t="s">
        <v>35</v>
      </c>
      <c r="F36232">
        <v>11120047</v>
      </c>
      <c r="G36232" t="s">
        <v>14107</v>
      </c>
      <c r="H36232" s="21">
        <v>499</v>
      </c>
    </row>
    <row r="36233" spans="1:8" customFormat="1" x14ac:dyDescent="0.25">
      <c r="A36233" t="str">
        <f>"7919112"</f>
        <v>7919112</v>
      </c>
      <c r="B36233" t="s">
        <v>2143</v>
      </c>
      <c r="C36233" t="s">
        <v>695</v>
      </c>
      <c r="D36233" s="21" t="s">
        <v>34</v>
      </c>
      <c r="E36233" s="21" t="s">
        <v>35</v>
      </c>
      <c r="F36233">
        <v>10790039</v>
      </c>
      <c r="G36233" t="s">
        <v>14238</v>
      </c>
      <c r="H36233" s="21">
        <v>499</v>
      </c>
    </row>
    <row r="36234" spans="1:8" customFormat="1" x14ac:dyDescent="0.25">
      <c r="A36234" t="str">
        <f>"6726056"</f>
        <v>6726056</v>
      </c>
      <c r="B36234" t="s">
        <v>19822</v>
      </c>
      <c r="C36234" t="s">
        <v>1675</v>
      </c>
      <c r="D36234" s="21" t="s">
        <v>34</v>
      </c>
      <c r="E36234" s="21" t="s">
        <v>35</v>
      </c>
      <c r="F36234">
        <v>6670219</v>
      </c>
      <c r="G36234" t="s">
        <v>9361</v>
      </c>
      <c r="H36234" s="21">
        <v>499</v>
      </c>
    </row>
    <row r="36235" spans="1:8" customFormat="1" x14ac:dyDescent="0.25">
      <c r="A36235" t="str">
        <f>"7640477"</f>
        <v>7640477</v>
      </c>
      <c r="B36235" t="s">
        <v>24508</v>
      </c>
      <c r="C36235" t="s">
        <v>114</v>
      </c>
      <c r="D36235" s="21" t="s">
        <v>34</v>
      </c>
      <c r="E36235" s="21" t="s">
        <v>35</v>
      </c>
      <c r="F36235">
        <v>9760442</v>
      </c>
      <c r="G36235" t="s">
        <v>5753</v>
      </c>
      <c r="H36235" s="21">
        <v>499</v>
      </c>
    </row>
    <row r="36236" spans="1:8" customFormat="1" x14ac:dyDescent="0.25">
      <c r="A36236" t="str">
        <f>"4218080"</f>
        <v>4218080</v>
      </c>
      <c r="B36236" t="s">
        <v>23827</v>
      </c>
      <c r="C36236" t="s">
        <v>87</v>
      </c>
      <c r="D36236" s="21" t="s">
        <v>34</v>
      </c>
      <c r="E36236" s="21" t="s">
        <v>35</v>
      </c>
      <c r="F36236">
        <v>1420151</v>
      </c>
      <c r="G36236" t="s">
        <v>6802</v>
      </c>
      <c r="H36236" s="21">
        <v>499</v>
      </c>
    </row>
    <row r="36237" spans="1:8" customFormat="1" x14ac:dyDescent="0.25">
      <c r="A36237" t="str">
        <f>"9248998"</f>
        <v>9248998</v>
      </c>
      <c r="B36237" t="s">
        <v>24176</v>
      </c>
      <c r="C36237" t="s">
        <v>486</v>
      </c>
      <c r="D36237" s="21" t="s">
        <v>34</v>
      </c>
      <c r="E36237" s="21" t="s">
        <v>35</v>
      </c>
      <c r="F36237">
        <v>8920025</v>
      </c>
      <c r="G36237" t="s">
        <v>159</v>
      </c>
      <c r="H36237" s="21">
        <v>499</v>
      </c>
    </row>
    <row r="36238" spans="1:8" customFormat="1" x14ac:dyDescent="0.25">
      <c r="A36238" t="str">
        <f>"2112525"</f>
        <v>2112525</v>
      </c>
      <c r="B36238" t="s">
        <v>27518</v>
      </c>
      <c r="C36238" t="s">
        <v>249</v>
      </c>
      <c r="D36238" s="21" t="s">
        <v>34</v>
      </c>
      <c r="E36238" s="21" t="s">
        <v>71</v>
      </c>
      <c r="F36238">
        <v>2210029</v>
      </c>
      <c r="G36238" t="s">
        <v>6983</v>
      </c>
      <c r="H36238" s="21">
        <v>499</v>
      </c>
    </row>
    <row r="36239" spans="1:8" customFormat="1" x14ac:dyDescent="0.25">
      <c r="A36239" t="str">
        <f>"2936758"</f>
        <v>2936758</v>
      </c>
      <c r="B36239" t="s">
        <v>4902</v>
      </c>
      <c r="C36239" t="s">
        <v>151</v>
      </c>
      <c r="D36239" s="21" t="s">
        <v>34</v>
      </c>
      <c r="E36239" s="21" t="s">
        <v>71</v>
      </c>
      <c r="F36239">
        <v>3290026</v>
      </c>
      <c r="G36239" t="s">
        <v>7421</v>
      </c>
      <c r="H36239" s="21">
        <v>499</v>
      </c>
    </row>
    <row r="36240" spans="1:8" customFormat="1" x14ac:dyDescent="0.25">
      <c r="A36240" t="str">
        <f>"5972283"</f>
        <v>5972283</v>
      </c>
      <c r="B36240" t="s">
        <v>22861</v>
      </c>
      <c r="C36240" t="s">
        <v>328</v>
      </c>
      <c r="D36240" s="21" t="s">
        <v>34</v>
      </c>
      <c r="E36240" s="21" t="s">
        <v>35</v>
      </c>
      <c r="F36240">
        <v>7590413</v>
      </c>
      <c r="G36240" t="s">
        <v>6848</v>
      </c>
      <c r="H36240" s="21">
        <v>499</v>
      </c>
    </row>
    <row r="36241" spans="1:8" customFormat="1" x14ac:dyDescent="0.25">
      <c r="A36241" t="str">
        <f>"3013341"</f>
        <v>3013341</v>
      </c>
      <c r="B36241" t="s">
        <v>24534</v>
      </c>
      <c r="C36241" t="s">
        <v>98</v>
      </c>
      <c r="D36241" s="21" t="s">
        <v>34</v>
      </c>
      <c r="E36241" s="21" t="s">
        <v>35</v>
      </c>
      <c r="F36241">
        <v>11300025</v>
      </c>
      <c r="G36241" t="s">
        <v>1211</v>
      </c>
      <c r="H36241" s="21">
        <v>499</v>
      </c>
    </row>
    <row r="36242" spans="1:8" customFormat="1" x14ac:dyDescent="0.25">
      <c r="A36242" t="str">
        <f>"9320632"</f>
        <v>9320632</v>
      </c>
      <c r="B36242" t="s">
        <v>12119</v>
      </c>
      <c r="C36242" t="s">
        <v>388</v>
      </c>
      <c r="D36242" s="21" t="s">
        <v>34</v>
      </c>
      <c r="E36242" s="21" t="s">
        <v>71</v>
      </c>
      <c r="F36242">
        <v>8930610</v>
      </c>
      <c r="G36242" t="s">
        <v>3002</v>
      </c>
      <c r="H36242" s="21">
        <v>499</v>
      </c>
    </row>
    <row r="36243" spans="1:8" customFormat="1" x14ac:dyDescent="0.25">
      <c r="A36243" t="str">
        <f>"4452287"</f>
        <v>4452287</v>
      </c>
      <c r="B36243" t="s">
        <v>26589</v>
      </c>
      <c r="C36243" t="s">
        <v>2479</v>
      </c>
      <c r="D36243" s="21" t="s">
        <v>34</v>
      </c>
      <c r="E36243" s="21" t="s">
        <v>35</v>
      </c>
      <c r="F36243">
        <v>12440138</v>
      </c>
      <c r="G36243" t="s">
        <v>562</v>
      </c>
      <c r="H36243" s="21">
        <v>499</v>
      </c>
    </row>
    <row r="36244" spans="1:8" customFormat="1" x14ac:dyDescent="0.25">
      <c r="A36244" t="str">
        <f>"5981712"</f>
        <v>5981712</v>
      </c>
      <c r="B36244" t="s">
        <v>29222</v>
      </c>
      <c r="C36244" t="s">
        <v>29223</v>
      </c>
      <c r="D36244" s="21" t="s">
        <v>34</v>
      </c>
      <c r="E36244" s="21" t="s">
        <v>35</v>
      </c>
      <c r="F36244">
        <v>7590390</v>
      </c>
      <c r="G36244" t="s">
        <v>18075</v>
      </c>
      <c r="H36244" s="21">
        <v>499</v>
      </c>
    </row>
    <row r="36245" spans="1:8" customFormat="1" x14ac:dyDescent="0.25">
      <c r="A36245" t="str">
        <f>"6726110"</f>
        <v>6726110</v>
      </c>
      <c r="B36245" t="s">
        <v>24206</v>
      </c>
      <c r="C36245" t="s">
        <v>109</v>
      </c>
      <c r="D36245" s="21" t="s">
        <v>34</v>
      </c>
      <c r="E36245" s="21" t="s">
        <v>71</v>
      </c>
      <c r="F36245">
        <v>6670267</v>
      </c>
      <c r="G36245" t="s">
        <v>2244</v>
      </c>
      <c r="H36245" s="21">
        <v>499</v>
      </c>
    </row>
    <row r="36246" spans="1:8" customFormat="1" x14ac:dyDescent="0.25">
      <c r="A36246" t="str">
        <f>"2211650"</f>
        <v>2211650</v>
      </c>
      <c r="B36246" t="s">
        <v>20074</v>
      </c>
      <c r="C36246" t="s">
        <v>428</v>
      </c>
      <c r="D36246" s="21" t="s">
        <v>34</v>
      </c>
      <c r="E36246" s="21" t="s">
        <v>71</v>
      </c>
      <c r="F36246">
        <v>3220037</v>
      </c>
      <c r="G36246" t="s">
        <v>13306</v>
      </c>
      <c r="H36246" s="21">
        <v>499</v>
      </c>
    </row>
    <row r="36247" spans="1:8" customFormat="1" x14ac:dyDescent="0.25">
      <c r="A36247" t="str">
        <f>"1319557"</f>
        <v>1319557</v>
      </c>
      <c r="B36247" t="s">
        <v>5501</v>
      </c>
      <c r="C36247" t="s">
        <v>109</v>
      </c>
      <c r="D36247" s="21" t="s">
        <v>34</v>
      </c>
      <c r="E36247" s="21" t="s">
        <v>35</v>
      </c>
      <c r="F36247">
        <v>13130145</v>
      </c>
      <c r="G36247" t="s">
        <v>21547</v>
      </c>
      <c r="H36247" s="21">
        <v>499</v>
      </c>
    </row>
    <row r="36248" spans="1:8" customFormat="1" x14ac:dyDescent="0.25">
      <c r="A36248" t="str">
        <f>"6927593"</f>
        <v>6927593</v>
      </c>
      <c r="B36248" t="s">
        <v>970</v>
      </c>
      <c r="C36248" t="s">
        <v>249</v>
      </c>
      <c r="D36248" s="21" t="s">
        <v>34</v>
      </c>
      <c r="E36248" s="21" t="s">
        <v>71</v>
      </c>
      <c r="F36248">
        <v>1690162</v>
      </c>
      <c r="G36248" t="s">
        <v>7358</v>
      </c>
      <c r="H36248" s="21">
        <v>499</v>
      </c>
    </row>
    <row r="36249" spans="1:8" customFormat="1" x14ac:dyDescent="0.25">
      <c r="A36249" t="str">
        <f>"3425013"</f>
        <v>3425013</v>
      </c>
      <c r="B36249" t="s">
        <v>2189</v>
      </c>
      <c r="C36249" t="s">
        <v>285</v>
      </c>
      <c r="D36249" s="21" t="s">
        <v>34</v>
      </c>
      <c r="E36249" s="21" t="s">
        <v>35</v>
      </c>
      <c r="F36249">
        <v>11340022</v>
      </c>
      <c r="G36249" t="s">
        <v>4663</v>
      </c>
      <c r="H36249" s="21">
        <v>499</v>
      </c>
    </row>
    <row r="36250" spans="1:8" customFormat="1" x14ac:dyDescent="0.25">
      <c r="A36250" t="str">
        <f>"589634"</f>
        <v>589634</v>
      </c>
      <c r="B36250" t="s">
        <v>197</v>
      </c>
      <c r="C36250" t="s">
        <v>49</v>
      </c>
      <c r="D36250" s="21" t="s">
        <v>34</v>
      </c>
      <c r="E36250" s="21" t="s">
        <v>35</v>
      </c>
      <c r="F36250">
        <v>2580007</v>
      </c>
      <c r="G36250" t="s">
        <v>1503</v>
      </c>
      <c r="H36250" s="21">
        <v>499</v>
      </c>
    </row>
    <row r="36251" spans="1:8" customFormat="1" x14ac:dyDescent="0.25">
      <c r="A36251" t="str">
        <f>"594097"</f>
        <v>594097</v>
      </c>
      <c r="B36251" t="s">
        <v>13942</v>
      </c>
      <c r="C36251" t="s">
        <v>1597</v>
      </c>
      <c r="D36251" s="21" t="s">
        <v>34</v>
      </c>
      <c r="E36251" s="21" t="s">
        <v>1089</v>
      </c>
      <c r="F36251">
        <v>7590251</v>
      </c>
      <c r="G36251" t="s">
        <v>9254</v>
      </c>
      <c r="H36251" s="21">
        <v>499</v>
      </c>
    </row>
    <row r="36252" spans="1:8" customFormat="1" x14ac:dyDescent="0.25">
      <c r="A36252" t="str">
        <f>"508336"</f>
        <v>508336</v>
      </c>
      <c r="B36252" t="s">
        <v>4834</v>
      </c>
      <c r="C36252" t="s">
        <v>4267</v>
      </c>
      <c r="D36252" s="21" t="s">
        <v>34</v>
      </c>
      <c r="E36252" s="21" t="s">
        <v>71</v>
      </c>
      <c r="F36252">
        <v>9500069</v>
      </c>
      <c r="G36252" t="s">
        <v>26997</v>
      </c>
      <c r="H36252" s="21">
        <v>499</v>
      </c>
    </row>
    <row r="36253" spans="1:8" customFormat="1" x14ac:dyDescent="0.25">
      <c r="A36253" t="str">
        <f>"9419638"</f>
        <v>9419638</v>
      </c>
      <c r="B36253" t="s">
        <v>21555</v>
      </c>
      <c r="C36253" t="s">
        <v>130</v>
      </c>
      <c r="D36253" s="21" t="s">
        <v>34</v>
      </c>
      <c r="E36253" s="21" t="s">
        <v>35</v>
      </c>
      <c r="F36253">
        <v>8941343</v>
      </c>
      <c r="G36253" t="s">
        <v>9614</v>
      </c>
      <c r="H36253" s="21">
        <v>499</v>
      </c>
    </row>
    <row r="36254" spans="1:8" customFormat="1" x14ac:dyDescent="0.25">
      <c r="A36254" t="str">
        <f>"1320102"</f>
        <v>1320102</v>
      </c>
      <c r="B36254" t="s">
        <v>23326</v>
      </c>
      <c r="C36254" t="s">
        <v>1786</v>
      </c>
      <c r="D36254" s="21" t="s">
        <v>34</v>
      </c>
      <c r="E36254" s="21" t="s">
        <v>35</v>
      </c>
      <c r="F36254">
        <v>13130133</v>
      </c>
      <c r="G36254" t="s">
        <v>12333</v>
      </c>
      <c r="H36254" s="21">
        <v>499</v>
      </c>
    </row>
    <row r="36255" spans="1:8" customFormat="1" x14ac:dyDescent="0.25">
      <c r="A36255" t="str">
        <f>"4435045"</f>
        <v>4435045</v>
      </c>
      <c r="B36255" t="s">
        <v>21061</v>
      </c>
      <c r="C36255" t="s">
        <v>96</v>
      </c>
      <c r="D36255" s="21" t="s">
        <v>34</v>
      </c>
      <c r="E36255" s="21" t="s">
        <v>35</v>
      </c>
      <c r="F36255">
        <v>12440229</v>
      </c>
      <c r="G36255" t="s">
        <v>21854</v>
      </c>
      <c r="H36255" s="21">
        <v>498.92</v>
      </c>
    </row>
    <row r="36256" spans="1:8" customFormat="1" x14ac:dyDescent="0.25">
      <c r="A36256" t="str">
        <f>"7643250"</f>
        <v>7643250</v>
      </c>
      <c r="B36256" t="s">
        <v>29224</v>
      </c>
      <c r="C36256" t="s">
        <v>58</v>
      </c>
      <c r="D36256" s="21" t="s">
        <v>34</v>
      </c>
      <c r="E36256" s="21" t="s">
        <v>35</v>
      </c>
      <c r="F36256">
        <v>9760025</v>
      </c>
      <c r="G36256" t="s">
        <v>2620</v>
      </c>
      <c r="H36256" s="21">
        <v>498.75</v>
      </c>
    </row>
    <row r="36257" spans="1:8" customFormat="1" x14ac:dyDescent="0.25">
      <c r="A36257" t="str">
        <f>"6948033"</f>
        <v>6948033</v>
      </c>
      <c r="B36257" t="s">
        <v>29225</v>
      </c>
      <c r="C36257" t="s">
        <v>336</v>
      </c>
      <c r="D36257" s="21" t="s">
        <v>34</v>
      </c>
      <c r="E36257" s="21" t="s">
        <v>35</v>
      </c>
      <c r="F36257">
        <v>1690167</v>
      </c>
      <c r="G36257" t="s">
        <v>11267</v>
      </c>
      <c r="H36257" s="21">
        <v>498.75</v>
      </c>
    </row>
    <row r="36258" spans="1:8" customFormat="1" x14ac:dyDescent="0.25">
      <c r="A36258" t="str">
        <f>"6112774"</f>
        <v>6112774</v>
      </c>
      <c r="B36258" t="s">
        <v>10463</v>
      </c>
      <c r="C36258" t="s">
        <v>3522</v>
      </c>
      <c r="D36258" s="21" t="s">
        <v>34</v>
      </c>
      <c r="E36258" s="21" t="s">
        <v>35</v>
      </c>
      <c r="F36258">
        <v>9610056</v>
      </c>
      <c r="G36258" t="s">
        <v>11830</v>
      </c>
      <c r="H36258" s="21">
        <v>498.67</v>
      </c>
    </row>
    <row r="36259" spans="1:8" customFormat="1" x14ac:dyDescent="0.25">
      <c r="A36259" t="str">
        <f>"9320738"</f>
        <v>9320738</v>
      </c>
      <c r="B36259" t="s">
        <v>23884</v>
      </c>
      <c r="C36259" t="s">
        <v>484</v>
      </c>
      <c r="D36259" s="21" t="s">
        <v>34</v>
      </c>
      <c r="E36259" s="21" t="s">
        <v>35</v>
      </c>
      <c r="F36259">
        <v>8930598</v>
      </c>
      <c r="G36259" t="s">
        <v>445</v>
      </c>
      <c r="H36259" s="21">
        <v>498.67</v>
      </c>
    </row>
    <row r="36260" spans="1:8" customFormat="1" x14ac:dyDescent="0.25">
      <c r="A36260" t="str">
        <f>"0812547"</f>
        <v>0812547</v>
      </c>
      <c r="B36260" t="s">
        <v>29226</v>
      </c>
      <c r="C36260" t="s">
        <v>55</v>
      </c>
      <c r="D36260" s="21" t="s">
        <v>34</v>
      </c>
      <c r="E36260" s="21" t="s">
        <v>35</v>
      </c>
      <c r="F36260">
        <v>6080064</v>
      </c>
      <c r="G36260" t="s">
        <v>5825</v>
      </c>
      <c r="H36260" s="21">
        <v>498.67</v>
      </c>
    </row>
    <row r="36261" spans="1:8" customFormat="1" x14ac:dyDescent="0.25">
      <c r="A36261" t="str">
        <f>"378779"</f>
        <v>378779</v>
      </c>
      <c r="B36261" t="s">
        <v>13394</v>
      </c>
      <c r="C36261" t="s">
        <v>3648</v>
      </c>
      <c r="D36261" s="21" t="s">
        <v>34</v>
      </c>
      <c r="E36261" s="21" t="s">
        <v>6185</v>
      </c>
      <c r="F36261">
        <v>4370033</v>
      </c>
      <c r="G36261" t="s">
        <v>7556</v>
      </c>
      <c r="H36261" s="21">
        <v>498.67</v>
      </c>
    </row>
    <row r="36262" spans="1:8" customFormat="1" x14ac:dyDescent="0.25">
      <c r="A36262" t="str">
        <f>"5317393"</f>
        <v>5317393</v>
      </c>
      <c r="B36262" t="s">
        <v>15466</v>
      </c>
      <c r="C36262" t="s">
        <v>812</v>
      </c>
      <c r="D36262" s="21" t="s">
        <v>34</v>
      </c>
      <c r="E36262" s="21" t="s">
        <v>35</v>
      </c>
      <c r="F36262">
        <v>12530038</v>
      </c>
      <c r="G36262" t="s">
        <v>4955</v>
      </c>
      <c r="H36262" s="21">
        <v>498.67</v>
      </c>
    </row>
    <row r="36263" spans="1:8" customFormat="1" x14ac:dyDescent="0.25">
      <c r="A36263" t="str">
        <f>"7841121"</f>
        <v>7841121</v>
      </c>
      <c r="B36263" t="s">
        <v>1755</v>
      </c>
      <c r="C36263" t="s">
        <v>139</v>
      </c>
      <c r="D36263" s="21" t="s">
        <v>34</v>
      </c>
      <c r="E36263" s="21" t="s">
        <v>35</v>
      </c>
      <c r="F36263">
        <v>8920031</v>
      </c>
      <c r="G36263" t="s">
        <v>552</v>
      </c>
      <c r="H36263" s="21">
        <v>498.67</v>
      </c>
    </row>
    <row r="36264" spans="1:8" customFormat="1" x14ac:dyDescent="0.25">
      <c r="A36264" t="str">
        <f>"4220094"</f>
        <v>4220094</v>
      </c>
      <c r="B36264" t="s">
        <v>13407</v>
      </c>
      <c r="C36264" t="s">
        <v>109</v>
      </c>
      <c r="D36264" s="21" t="s">
        <v>34</v>
      </c>
      <c r="E36264" s="21" t="s">
        <v>35</v>
      </c>
      <c r="F36264">
        <v>1420018</v>
      </c>
      <c r="G36264" t="s">
        <v>9778</v>
      </c>
      <c r="H36264" s="21">
        <v>498.67</v>
      </c>
    </row>
    <row r="36265" spans="1:8" customFormat="1" x14ac:dyDescent="0.25">
      <c r="A36265" t="str">
        <f>"4930367"</f>
        <v>4930367</v>
      </c>
      <c r="B36265" t="s">
        <v>697</v>
      </c>
      <c r="C36265" t="s">
        <v>12304</v>
      </c>
      <c r="D36265" s="21" t="s">
        <v>34</v>
      </c>
      <c r="E36265" s="21" t="s">
        <v>71</v>
      </c>
      <c r="F36265">
        <v>12490131</v>
      </c>
      <c r="G36265" t="s">
        <v>12847</v>
      </c>
      <c r="H36265" s="21">
        <v>498.67</v>
      </c>
    </row>
    <row r="36266" spans="1:8" customFormat="1" x14ac:dyDescent="0.25">
      <c r="A36266" t="str">
        <f>"589901"</f>
        <v>589901</v>
      </c>
      <c r="B36266" t="s">
        <v>24380</v>
      </c>
      <c r="C36266" t="s">
        <v>302</v>
      </c>
      <c r="D36266" s="21" t="s">
        <v>34</v>
      </c>
      <c r="E36266" s="21" t="s">
        <v>35</v>
      </c>
      <c r="F36266">
        <v>2580093</v>
      </c>
      <c r="G36266" t="s">
        <v>9104</v>
      </c>
      <c r="H36266" s="21">
        <v>498.67</v>
      </c>
    </row>
    <row r="36267" spans="1:8" customFormat="1" x14ac:dyDescent="0.25">
      <c r="A36267" t="str">
        <f>"2940114"</f>
        <v>2940114</v>
      </c>
      <c r="B36267" t="s">
        <v>2038</v>
      </c>
      <c r="C36267" t="s">
        <v>156</v>
      </c>
      <c r="D36267" s="21" t="s">
        <v>34</v>
      </c>
      <c r="E36267" s="21" t="s">
        <v>71</v>
      </c>
      <c r="F36267">
        <v>3290047</v>
      </c>
      <c r="G36267" t="s">
        <v>2874</v>
      </c>
      <c r="H36267" s="21">
        <v>498.5</v>
      </c>
    </row>
    <row r="36268" spans="1:8" customFormat="1" x14ac:dyDescent="0.25">
      <c r="A36268" t="str">
        <f>"17301"</f>
        <v>17301</v>
      </c>
      <c r="B36268" t="s">
        <v>12992</v>
      </c>
      <c r="C36268" t="s">
        <v>239</v>
      </c>
      <c r="D36268" s="21" t="s">
        <v>34</v>
      </c>
      <c r="E36268" s="21" t="s">
        <v>1089</v>
      </c>
      <c r="F36268">
        <v>10170229</v>
      </c>
      <c r="G36268" t="s">
        <v>11677</v>
      </c>
      <c r="H36268" s="21">
        <v>498.5</v>
      </c>
    </row>
    <row r="36269" spans="1:8" customFormat="1" x14ac:dyDescent="0.25">
      <c r="A36269" t="str">
        <f>"3824819"</f>
        <v>3824819</v>
      </c>
      <c r="B36269" t="s">
        <v>22539</v>
      </c>
      <c r="C36269" t="s">
        <v>65</v>
      </c>
      <c r="D36269" s="21" t="s">
        <v>34</v>
      </c>
      <c r="E36269" s="21" t="s">
        <v>35</v>
      </c>
      <c r="F36269">
        <v>1380164</v>
      </c>
      <c r="G36269" t="s">
        <v>2728</v>
      </c>
      <c r="H36269" s="21">
        <v>498.5</v>
      </c>
    </row>
    <row r="36270" spans="1:8" customFormat="1" x14ac:dyDescent="0.25">
      <c r="A36270" t="str">
        <f>"7641504"</f>
        <v>7641504</v>
      </c>
      <c r="B36270" t="s">
        <v>21737</v>
      </c>
      <c r="C36270" t="s">
        <v>263</v>
      </c>
      <c r="D36270" s="21" t="s">
        <v>34</v>
      </c>
      <c r="E36270" s="21" t="s">
        <v>254</v>
      </c>
      <c r="F36270">
        <v>9760259</v>
      </c>
      <c r="G36270" t="s">
        <v>6926</v>
      </c>
      <c r="H36270" s="21">
        <v>498.5</v>
      </c>
    </row>
    <row r="36271" spans="1:8" customFormat="1" x14ac:dyDescent="0.25">
      <c r="A36271" t="str">
        <f>"9518896"</f>
        <v>9518896</v>
      </c>
      <c r="B36271" t="s">
        <v>29227</v>
      </c>
      <c r="C36271" t="s">
        <v>236</v>
      </c>
      <c r="D36271" s="21" t="s">
        <v>34</v>
      </c>
      <c r="E36271" s="21" t="s">
        <v>71</v>
      </c>
      <c r="F36271">
        <v>8770562</v>
      </c>
      <c r="G36271" t="s">
        <v>4847</v>
      </c>
      <c r="H36271" s="21">
        <v>498.5</v>
      </c>
    </row>
    <row r="36272" spans="1:8" customFormat="1" x14ac:dyDescent="0.25">
      <c r="A36272" t="str">
        <f>"2815410"</f>
        <v>2815410</v>
      </c>
      <c r="B36272" t="s">
        <v>15161</v>
      </c>
      <c r="C36272" t="s">
        <v>60</v>
      </c>
      <c r="D36272" s="21" t="s">
        <v>34</v>
      </c>
      <c r="E36272" s="21" t="s">
        <v>35</v>
      </c>
      <c r="F36272">
        <v>4280005</v>
      </c>
      <c r="G36272" t="s">
        <v>5760</v>
      </c>
      <c r="H36272" s="21">
        <v>498.5</v>
      </c>
    </row>
    <row r="36273" spans="1:8" customFormat="1" x14ac:dyDescent="0.25">
      <c r="A36273" t="str">
        <f>"8614886"</f>
        <v>8614886</v>
      </c>
      <c r="B36273" t="s">
        <v>14410</v>
      </c>
      <c r="C36273" t="s">
        <v>891</v>
      </c>
      <c r="D36273" s="21" t="s">
        <v>34</v>
      </c>
      <c r="E36273" s="21" t="s">
        <v>35</v>
      </c>
      <c r="F36273">
        <v>10860031</v>
      </c>
      <c r="G36273" t="s">
        <v>5834</v>
      </c>
      <c r="H36273" s="21">
        <v>498.5</v>
      </c>
    </row>
    <row r="36274" spans="1:8" customFormat="1" x14ac:dyDescent="0.25">
      <c r="A36274" t="str">
        <f>"185590"</f>
        <v>185590</v>
      </c>
      <c r="B36274" t="s">
        <v>16599</v>
      </c>
      <c r="C36274" t="s">
        <v>209</v>
      </c>
      <c r="D36274" s="21" t="s">
        <v>34</v>
      </c>
      <c r="E36274" s="21" t="s">
        <v>71</v>
      </c>
      <c r="F36274">
        <v>4180057</v>
      </c>
      <c r="G36274" t="s">
        <v>9021</v>
      </c>
      <c r="H36274" s="21">
        <v>498.5</v>
      </c>
    </row>
    <row r="36275" spans="1:8" customFormat="1" x14ac:dyDescent="0.25">
      <c r="A36275" t="str">
        <f>"6948206"</f>
        <v>6948206</v>
      </c>
      <c r="B36275" t="s">
        <v>24159</v>
      </c>
      <c r="C36275" t="s">
        <v>130</v>
      </c>
      <c r="D36275" s="21" t="s">
        <v>34</v>
      </c>
      <c r="E36275" s="21" t="s">
        <v>71</v>
      </c>
      <c r="F36275">
        <v>1690027</v>
      </c>
      <c r="G36275" t="s">
        <v>17499</v>
      </c>
      <c r="H36275" s="21">
        <v>498.5</v>
      </c>
    </row>
    <row r="36276" spans="1:8" customFormat="1" x14ac:dyDescent="0.25">
      <c r="A36276" t="str">
        <f>"6111998"</f>
        <v>6111998</v>
      </c>
      <c r="B36276" t="s">
        <v>24792</v>
      </c>
      <c r="C36276" t="s">
        <v>1605</v>
      </c>
      <c r="D36276" s="21" t="s">
        <v>34</v>
      </c>
      <c r="E36276" s="21" t="s">
        <v>35</v>
      </c>
      <c r="F36276">
        <v>9610039</v>
      </c>
      <c r="G36276" t="s">
        <v>3965</v>
      </c>
      <c r="H36276" s="21">
        <v>498.5</v>
      </c>
    </row>
    <row r="36277" spans="1:8" customFormat="1" x14ac:dyDescent="0.25">
      <c r="A36277" t="str">
        <f>"1716077"</f>
        <v>1716077</v>
      </c>
      <c r="B36277" t="s">
        <v>24110</v>
      </c>
      <c r="C36277" t="s">
        <v>60</v>
      </c>
      <c r="D36277" s="21" t="s">
        <v>34</v>
      </c>
      <c r="E36277" s="21" t="s">
        <v>35</v>
      </c>
      <c r="F36277">
        <v>10170016</v>
      </c>
      <c r="G36277" t="s">
        <v>88</v>
      </c>
      <c r="H36277" s="21">
        <v>498.5</v>
      </c>
    </row>
    <row r="36278" spans="1:8" customFormat="1" x14ac:dyDescent="0.25">
      <c r="A36278" t="str">
        <f>"3536301"</f>
        <v>3536301</v>
      </c>
      <c r="B36278" t="s">
        <v>24558</v>
      </c>
      <c r="C36278" t="s">
        <v>484</v>
      </c>
      <c r="D36278" s="21" t="s">
        <v>34</v>
      </c>
      <c r="E36278" s="21" t="s">
        <v>35</v>
      </c>
      <c r="F36278">
        <v>3350027</v>
      </c>
      <c r="G36278" t="s">
        <v>2760</v>
      </c>
      <c r="H36278" s="21">
        <v>498.5</v>
      </c>
    </row>
    <row r="36279" spans="1:8" customFormat="1" x14ac:dyDescent="0.25">
      <c r="A36279" t="str">
        <f>"4934997"</f>
        <v>4934997</v>
      </c>
      <c r="B36279" t="s">
        <v>4978</v>
      </c>
      <c r="C36279" t="s">
        <v>169</v>
      </c>
      <c r="D36279" s="21" t="s">
        <v>34</v>
      </c>
      <c r="E36279" s="21" t="s">
        <v>35</v>
      </c>
      <c r="F36279">
        <v>12490131</v>
      </c>
      <c r="G36279" t="s">
        <v>12847</v>
      </c>
      <c r="H36279" s="21">
        <v>498.5</v>
      </c>
    </row>
    <row r="36280" spans="1:8" customFormat="1" x14ac:dyDescent="0.25">
      <c r="A36280" t="str">
        <f>"2929224"</f>
        <v>2929224</v>
      </c>
      <c r="B36280" t="s">
        <v>8926</v>
      </c>
      <c r="C36280" t="s">
        <v>967</v>
      </c>
      <c r="D36280" s="21" t="s">
        <v>34</v>
      </c>
      <c r="E36280" s="21" t="s">
        <v>35</v>
      </c>
      <c r="F36280">
        <v>3290263</v>
      </c>
      <c r="G36280" t="s">
        <v>4108</v>
      </c>
      <c r="H36280" s="21">
        <v>498.5</v>
      </c>
    </row>
    <row r="36281" spans="1:8" customFormat="1" x14ac:dyDescent="0.25">
      <c r="A36281" t="str">
        <f>"6112532"</f>
        <v>6112532</v>
      </c>
      <c r="B36281" t="s">
        <v>17879</v>
      </c>
      <c r="C36281" t="s">
        <v>269</v>
      </c>
      <c r="D36281" s="21" t="s">
        <v>34</v>
      </c>
      <c r="E36281" s="21" t="s">
        <v>35</v>
      </c>
      <c r="F36281">
        <v>9610122</v>
      </c>
      <c r="G36281" t="s">
        <v>4349</v>
      </c>
      <c r="H36281" s="21">
        <v>498.5</v>
      </c>
    </row>
    <row r="36282" spans="1:8" customFormat="1" x14ac:dyDescent="0.25">
      <c r="A36282" t="str">
        <f>"6949605"</f>
        <v>6949605</v>
      </c>
      <c r="B36282" t="s">
        <v>3947</v>
      </c>
      <c r="C36282" t="s">
        <v>285</v>
      </c>
      <c r="D36282" s="21" t="s">
        <v>34</v>
      </c>
      <c r="E36282" s="21" t="s">
        <v>35</v>
      </c>
      <c r="F36282">
        <v>1690181</v>
      </c>
      <c r="G36282" t="s">
        <v>20881</v>
      </c>
      <c r="H36282" s="21">
        <v>498.5</v>
      </c>
    </row>
    <row r="36283" spans="1:8" customFormat="1" x14ac:dyDescent="0.25">
      <c r="A36283" t="str">
        <f>"9249018"</f>
        <v>9249018</v>
      </c>
      <c r="B36283" t="s">
        <v>6807</v>
      </c>
      <c r="C36283" t="s">
        <v>631</v>
      </c>
      <c r="D36283" s="21" t="s">
        <v>34</v>
      </c>
      <c r="E36283" s="21" t="s">
        <v>35</v>
      </c>
      <c r="F36283">
        <v>8920309</v>
      </c>
      <c r="G36283" t="s">
        <v>1894</v>
      </c>
      <c r="H36283" s="21">
        <v>498.5</v>
      </c>
    </row>
    <row r="36284" spans="1:8" customFormat="1" x14ac:dyDescent="0.25">
      <c r="A36284" t="str">
        <f>"5326951"</f>
        <v>5326951</v>
      </c>
      <c r="B36284" t="s">
        <v>1737</v>
      </c>
      <c r="C36284" t="s">
        <v>2678</v>
      </c>
      <c r="D36284" s="21" t="s">
        <v>34</v>
      </c>
      <c r="E36284" s="21" t="s">
        <v>35</v>
      </c>
      <c r="F36284">
        <v>12530079</v>
      </c>
      <c r="G36284" t="s">
        <v>3090</v>
      </c>
      <c r="H36284" s="21">
        <v>498.5</v>
      </c>
    </row>
    <row r="36285" spans="1:8" customFormat="1" x14ac:dyDescent="0.25">
      <c r="A36285" t="str">
        <f>"7636723"</f>
        <v>7636723</v>
      </c>
      <c r="B36285" t="s">
        <v>4458</v>
      </c>
      <c r="C36285" t="s">
        <v>484</v>
      </c>
      <c r="D36285" s="21" t="s">
        <v>34</v>
      </c>
      <c r="E36285" s="21" t="s">
        <v>71</v>
      </c>
      <c r="F36285">
        <v>9760028</v>
      </c>
      <c r="G36285" t="s">
        <v>4086</v>
      </c>
      <c r="H36285" s="21">
        <v>498.5</v>
      </c>
    </row>
    <row r="36286" spans="1:8" customFormat="1" x14ac:dyDescent="0.25">
      <c r="A36286" t="str">
        <f>"6948411"</f>
        <v>6948411</v>
      </c>
      <c r="B36286" t="s">
        <v>22797</v>
      </c>
      <c r="C36286" t="s">
        <v>246</v>
      </c>
      <c r="D36286" s="21" t="s">
        <v>34</v>
      </c>
      <c r="E36286" s="21" t="s">
        <v>35</v>
      </c>
      <c r="F36286">
        <v>1690027</v>
      </c>
      <c r="G36286" t="s">
        <v>17499</v>
      </c>
      <c r="H36286" s="21">
        <v>498.5</v>
      </c>
    </row>
    <row r="36287" spans="1:8" customFormat="1" x14ac:dyDescent="0.25">
      <c r="A36287" t="str">
        <f>"7212901"</f>
        <v>7212901</v>
      </c>
      <c r="B36287" t="s">
        <v>2755</v>
      </c>
      <c r="C36287" t="s">
        <v>2520</v>
      </c>
      <c r="D36287" s="21" t="s">
        <v>34</v>
      </c>
      <c r="E36287" s="21" t="s">
        <v>254</v>
      </c>
      <c r="F36287">
        <v>12720008</v>
      </c>
      <c r="G36287" t="s">
        <v>753</v>
      </c>
      <c r="H36287" s="21">
        <v>498.5</v>
      </c>
    </row>
    <row r="36288" spans="1:8" customFormat="1" x14ac:dyDescent="0.25">
      <c r="A36288" t="str">
        <f>"5618579"</f>
        <v>5618579</v>
      </c>
      <c r="B36288" t="s">
        <v>23170</v>
      </c>
      <c r="C36288" t="s">
        <v>2479</v>
      </c>
      <c r="D36288" s="21" t="s">
        <v>34</v>
      </c>
      <c r="E36288" s="21" t="s">
        <v>1089</v>
      </c>
      <c r="F36288">
        <v>3560005</v>
      </c>
      <c r="G36288" t="s">
        <v>2101</v>
      </c>
      <c r="H36288" s="21">
        <v>498.5</v>
      </c>
    </row>
    <row r="36289" spans="1:8" customFormat="1" x14ac:dyDescent="0.25">
      <c r="A36289" t="str">
        <f>"1910262"</f>
        <v>1910262</v>
      </c>
      <c r="B36289" t="s">
        <v>19791</v>
      </c>
      <c r="C36289" t="s">
        <v>302</v>
      </c>
      <c r="D36289" s="21" t="s">
        <v>34</v>
      </c>
      <c r="E36289" s="21" t="s">
        <v>35</v>
      </c>
      <c r="F36289">
        <v>10190108</v>
      </c>
      <c r="G36289" t="s">
        <v>7344</v>
      </c>
      <c r="H36289" s="21">
        <v>498.5</v>
      </c>
    </row>
    <row r="36290" spans="1:8" customFormat="1" x14ac:dyDescent="0.25">
      <c r="A36290" t="str">
        <f>"9249033"</f>
        <v>9249033</v>
      </c>
      <c r="B36290" t="s">
        <v>29228</v>
      </c>
      <c r="C36290" t="s">
        <v>7488</v>
      </c>
      <c r="D36290" s="21" t="s">
        <v>34</v>
      </c>
      <c r="E36290" s="21" t="s">
        <v>35</v>
      </c>
      <c r="F36290">
        <v>8920126</v>
      </c>
      <c r="G36290" t="s">
        <v>1168</v>
      </c>
      <c r="H36290" s="21">
        <v>498.5</v>
      </c>
    </row>
    <row r="36291" spans="1:8" customFormat="1" x14ac:dyDescent="0.25">
      <c r="A36291" t="str">
        <f>"664690"</f>
        <v>664690</v>
      </c>
      <c r="B36291" t="s">
        <v>14686</v>
      </c>
      <c r="C36291" t="s">
        <v>249</v>
      </c>
      <c r="D36291" s="21" t="s">
        <v>34</v>
      </c>
      <c r="E36291" s="21" t="s">
        <v>71</v>
      </c>
      <c r="F36291">
        <v>11660001</v>
      </c>
      <c r="G36291" t="s">
        <v>8203</v>
      </c>
      <c r="H36291" s="21">
        <v>498.5</v>
      </c>
    </row>
    <row r="36292" spans="1:8" customFormat="1" x14ac:dyDescent="0.25">
      <c r="A36292" t="str">
        <f>"724460"</f>
        <v>724460</v>
      </c>
      <c r="B36292" t="s">
        <v>2206</v>
      </c>
      <c r="C36292" t="s">
        <v>415</v>
      </c>
      <c r="D36292" s="21" t="s">
        <v>34</v>
      </c>
      <c r="E36292" s="21" t="s">
        <v>254</v>
      </c>
      <c r="F36292">
        <v>12720052</v>
      </c>
      <c r="G36292" t="s">
        <v>9628</v>
      </c>
      <c r="H36292" s="21">
        <v>498.5</v>
      </c>
    </row>
    <row r="36293" spans="1:8" customFormat="1" x14ac:dyDescent="0.25">
      <c r="A36293" t="str">
        <f>"6012709"</f>
        <v>6012709</v>
      </c>
      <c r="B36293" t="s">
        <v>28512</v>
      </c>
      <c r="C36293" t="s">
        <v>611</v>
      </c>
      <c r="D36293" s="21" t="s">
        <v>34</v>
      </c>
      <c r="E36293" s="21" t="s">
        <v>254</v>
      </c>
      <c r="F36293">
        <v>7600166</v>
      </c>
      <c r="G36293" t="s">
        <v>9171</v>
      </c>
      <c r="H36293" s="21">
        <v>498.5</v>
      </c>
    </row>
    <row r="36294" spans="1:8" customFormat="1" x14ac:dyDescent="0.25">
      <c r="A36294" t="str">
        <f>"6110882"</f>
        <v>6110882</v>
      </c>
      <c r="B36294" t="s">
        <v>22417</v>
      </c>
      <c r="C36294" t="s">
        <v>43</v>
      </c>
      <c r="D36294" s="21" t="s">
        <v>34</v>
      </c>
      <c r="E36294" s="21" t="s">
        <v>35</v>
      </c>
      <c r="F36294">
        <v>9610144</v>
      </c>
      <c r="G36294" t="s">
        <v>6311</v>
      </c>
      <c r="H36294" s="21">
        <v>498.5</v>
      </c>
    </row>
    <row r="36295" spans="1:8" customFormat="1" x14ac:dyDescent="0.25">
      <c r="A36295" t="str">
        <f>"9145368"</f>
        <v>9145368</v>
      </c>
      <c r="B36295" t="s">
        <v>23963</v>
      </c>
      <c r="C36295" t="s">
        <v>58</v>
      </c>
      <c r="D36295" s="21" t="s">
        <v>34</v>
      </c>
      <c r="E36295" s="21" t="s">
        <v>35</v>
      </c>
      <c r="F36295">
        <v>8911206</v>
      </c>
      <c r="G36295" t="s">
        <v>17661</v>
      </c>
      <c r="H36295" s="21">
        <v>498.5</v>
      </c>
    </row>
    <row r="36296" spans="1:8" customFormat="1" x14ac:dyDescent="0.25">
      <c r="A36296" t="str">
        <f>"4114050"</f>
        <v>4114050</v>
      </c>
      <c r="B36296" t="s">
        <v>29229</v>
      </c>
      <c r="C36296" t="s">
        <v>867</v>
      </c>
      <c r="D36296" s="21" t="s">
        <v>34</v>
      </c>
      <c r="E36296" s="21" t="s">
        <v>35</v>
      </c>
      <c r="F36296">
        <v>4410507</v>
      </c>
      <c r="G36296" t="s">
        <v>19763</v>
      </c>
      <c r="H36296" s="21">
        <v>498.5</v>
      </c>
    </row>
    <row r="36297" spans="1:8" customFormat="1" x14ac:dyDescent="0.25">
      <c r="A36297" t="str">
        <f>"7639910"</f>
        <v>7639910</v>
      </c>
      <c r="B36297" t="s">
        <v>15429</v>
      </c>
      <c r="C36297" t="s">
        <v>544</v>
      </c>
      <c r="D36297" s="21" t="s">
        <v>34</v>
      </c>
      <c r="E36297" s="21" t="s">
        <v>35</v>
      </c>
      <c r="F36297">
        <v>9760457</v>
      </c>
      <c r="G36297" t="s">
        <v>6912</v>
      </c>
      <c r="H36297" s="21">
        <v>498.5</v>
      </c>
    </row>
    <row r="36298" spans="1:8" customFormat="1" x14ac:dyDescent="0.25">
      <c r="A36298" t="str">
        <f>"7817875"</f>
        <v>7817875</v>
      </c>
      <c r="B36298" t="s">
        <v>29230</v>
      </c>
      <c r="C36298" t="s">
        <v>269</v>
      </c>
      <c r="D36298" s="21" t="s">
        <v>34</v>
      </c>
      <c r="E36298" s="21" t="s">
        <v>71</v>
      </c>
      <c r="F36298">
        <v>8780401</v>
      </c>
      <c r="G36298" t="s">
        <v>9116</v>
      </c>
      <c r="H36298" s="21">
        <v>498.5</v>
      </c>
    </row>
    <row r="36299" spans="1:8" customFormat="1" x14ac:dyDescent="0.25">
      <c r="A36299" t="str">
        <f>"5966190"</f>
        <v>5966190</v>
      </c>
      <c r="B36299" t="s">
        <v>8513</v>
      </c>
      <c r="C36299" t="s">
        <v>60</v>
      </c>
      <c r="D36299" s="21" t="s">
        <v>34</v>
      </c>
      <c r="E36299" s="21" t="s">
        <v>35</v>
      </c>
      <c r="F36299">
        <v>7590137</v>
      </c>
      <c r="G36299" t="s">
        <v>4246</v>
      </c>
      <c r="H36299" s="21">
        <v>498.5</v>
      </c>
    </row>
    <row r="36300" spans="1:8" customFormat="1" x14ac:dyDescent="0.25">
      <c r="A36300" t="str">
        <f>"5933551"</f>
        <v>5933551</v>
      </c>
      <c r="B36300" t="s">
        <v>29231</v>
      </c>
      <c r="C36300" t="s">
        <v>498</v>
      </c>
      <c r="D36300" s="21" t="s">
        <v>34</v>
      </c>
      <c r="E36300" s="21" t="s">
        <v>35</v>
      </c>
      <c r="F36300">
        <v>7590288</v>
      </c>
      <c r="G36300" t="s">
        <v>6972</v>
      </c>
      <c r="H36300" s="21">
        <v>498.5</v>
      </c>
    </row>
    <row r="36301" spans="1:8" customFormat="1" x14ac:dyDescent="0.25">
      <c r="A36301" t="str">
        <f>"2939618"</f>
        <v>2939618</v>
      </c>
      <c r="B36301" t="s">
        <v>29232</v>
      </c>
      <c r="C36301" t="s">
        <v>415</v>
      </c>
      <c r="D36301" s="21" t="s">
        <v>34</v>
      </c>
      <c r="E36301" s="21" t="s">
        <v>35</v>
      </c>
      <c r="F36301">
        <v>3290031</v>
      </c>
      <c r="G36301" t="s">
        <v>8207</v>
      </c>
      <c r="H36301" s="21">
        <v>498.5</v>
      </c>
    </row>
    <row r="36302" spans="1:8" customFormat="1" x14ac:dyDescent="0.25">
      <c r="A36302" t="str">
        <f>"8818876"</f>
        <v>8818876</v>
      </c>
      <c r="B36302" t="s">
        <v>29233</v>
      </c>
      <c r="C36302" t="s">
        <v>55</v>
      </c>
      <c r="D36302" s="21" t="s">
        <v>34</v>
      </c>
      <c r="E36302" s="21" t="s">
        <v>71</v>
      </c>
      <c r="F36302">
        <v>6880113</v>
      </c>
      <c r="G36302" t="s">
        <v>11089</v>
      </c>
      <c r="H36302" s="21">
        <v>498.42</v>
      </c>
    </row>
    <row r="36303" spans="1:8" customFormat="1" x14ac:dyDescent="0.25">
      <c r="A36303" t="str">
        <f>"189676"</f>
        <v>189676</v>
      </c>
      <c r="B36303" t="s">
        <v>29234</v>
      </c>
      <c r="C36303" t="s">
        <v>288</v>
      </c>
      <c r="D36303" s="21" t="s">
        <v>34</v>
      </c>
      <c r="E36303" s="21" t="s">
        <v>35</v>
      </c>
      <c r="F36303">
        <v>4180157</v>
      </c>
      <c r="G36303" t="s">
        <v>11170</v>
      </c>
      <c r="H36303" s="21">
        <v>498.38</v>
      </c>
    </row>
    <row r="36304" spans="1:8" customFormat="1" x14ac:dyDescent="0.25">
      <c r="A36304" t="str">
        <f>"114532"</f>
        <v>114532</v>
      </c>
      <c r="B36304" t="s">
        <v>29235</v>
      </c>
      <c r="C36304" t="s">
        <v>576</v>
      </c>
      <c r="D36304" s="21" t="s">
        <v>34</v>
      </c>
      <c r="E36304" s="21" t="s">
        <v>71</v>
      </c>
      <c r="F36304">
        <v>11110027</v>
      </c>
      <c r="G36304" t="s">
        <v>713</v>
      </c>
      <c r="H36304" s="21">
        <v>498.25</v>
      </c>
    </row>
    <row r="36305" spans="1:8" customFormat="1" x14ac:dyDescent="0.25">
      <c r="A36305" t="str">
        <f>"2933693"</f>
        <v>2933693</v>
      </c>
      <c r="B36305" t="s">
        <v>7012</v>
      </c>
      <c r="C36305" t="s">
        <v>269</v>
      </c>
      <c r="D36305" s="21" t="s">
        <v>34</v>
      </c>
      <c r="E36305" s="21" t="s">
        <v>35</v>
      </c>
      <c r="F36305">
        <v>3290284</v>
      </c>
      <c r="G36305" t="s">
        <v>8972</v>
      </c>
      <c r="H36305" s="21">
        <v>498.25</v>
      </c>
    </row>
    <row r="36306" spans="1:8" customFormat="1" x14ac:dyDescent="0.25">
      <c r="A36306" t="str">
        <f>"4454591"</f>
        <v>4454591</v>
      </c>
      <c r="B36306" t="s">
        <v>2480</v>
      </c>
      <c r="C36306" t="s">
        <v>87</v>
      </c>
      <c r="D36306" s="21" t="s">
        <v>34</v>
      </c>
      <c r="E36306" s="21" t="s">
        <v>35</v>
      </c>
      <c r="F36306">
        <v>12440259</v>
      </c>
      <c r="G36306" t="s">
        <v>833</v>
      </c>
      <c r="H36306" s="21">
        <v>498.17</v>
      </c>
    </row>
    <row r="36307" spans="1:8" customFormat="1" x14ac:dyDescent="0.25">
      <c r="A36307" t="str">
        <f>"6231442"</f>
        <v>6231442</v>
      </c>
      <c r="B36307" t="s">
        <v>6776</v>
      </c>
      <c r="C36307" t="s">
        <v>246</v>
      </c>
      <c r="D36307" s="21" t="s">
        <v>34</v>
      </c>
      <c r="E36307" s="21" t="s">
        <v>71</v>
      </c>
      <c r="F36307">
        <v>7620063</v>
      </c>
      <c r="G36307" t="s">
        <v>1889</v>
      </c>
      <c r="H36307" s="21">
        <v>498.17</v>
      </c>
    </row>
    <row r="36308" spans="1:8" customFormat="1" x14ac:dyDescent="0.25">
      <c r="A36308" t="str">
        <f>"63373"</f>
        <v>63373</v>
      </c>
      <c r="B36308" t="s">
        <v>2485</v>
      </c>
      <c r="C36308" t="s">
        <v>4842</v>
      </c>
      <c r="D36308" s="21" t="s">
        <v>34</v>
      </c>
      <c r="E36308" s="21" t="s">
        <v>1089</v>
      </c>
      <c r="F36308">
        <v>1630059</v>
      </c>
      <c r="G36308" t="s">
        <v>2486</v>
      </c>
      <c r="H36308" s="21">
        <v>498.17</v>
      </c>
    </row>
    <row r="36309" spans="1:8" customFormat="1" x14ac:dyDescent="0.25">
      <c r="A36309" t="str">
        <f>"7641388"</f>
        <v>7641388</v>
      </c>
      <c r="B36309" t="s">
        <v>21344</v>
      </c>
      <c r="C36309" t="s">
        <v>275</v>
      </c>
      <c r="D36309" s="21" t="s">
        <v>34</v>
      </c>
      <c r="E36309" s="21" t="s">
        <v>35</v>
      </c>
      <c r="F36309">
        <v>9760104</v>
      </c>
      <c r="G36309" t="s">
        <v>26795</v>
      </c>
      <c r="H36309" s="21">
        <v>498.17</v>
      </c>
    </row>
    <row r="36310" spans="1:8" customFormat="1" x14ac:dyDescent="0.25">
      <c r="A36310" t="str">
        <f>"3013430"</f>
        <v>3013430</v>
      </c>
      <c r="B36310" t="s">
        <v>21575</v>
      </c>
      <c r="C36310" t="s">
        <v>55</v>
      </c>
      <c r="D36310" s="21" t="s">
        <v>34</v>
      </c>
      <c r="E36310" s="21" t="s">
        <v>71</v>
      </c>
      <c r="F36310">
        <v>11300024</v>
      </c>
      <c r="G36310" t="s">
        <v>11622</v>
      </c>
      <c r="H36310" s="21">
        <v>498.17</v>
      </c>
    </row>
    <row r="36311" spans="1:8" customFormat="1" x14ac:dyDescent="0.25">
      <c r="A36311" t="str">
        <f>"2721305"</f>
        <v>2721305</v>
      </c>
      <c r="B36311" t="s">
        <v>29236</v>
      </c>
      <c r="C36311" t="s">
        <v>43</v>
      </c>
      <c r="D36311" s="21" t="s">
        <v>34</v>
      </c>
      <c r="E36311" s="21" t="s">
        <v>35</v>
      </c>
      <c r="F36311">
        <v>9270175</v>
      </c>
      <c r="G36311" t="s">
        <v>1909</v>
      </c>
      <c r="H36311" s="21">
        <v>498.17</v>
      </c>
    </row>
    <row r="36312" spans="1:8" customFormat="1" x14ac:dyDescent="0.25">
      <c r="A36312" t="str">
        <f>"8613213"</f>
        <v>8613213</v>
      </c>
      <c r="B36312" t="s">
        <v>20081</v>
      </c>
      <c r="C36312" t="s">
        <v>1588</v>
      </c>
      <c r="D36312" s="21" t="s">
        <v>34</v>
      </c>
      <c r="E36312" s="21" t="s">
        <v>254</v>
      </c>
      <c r="F36312">
        <v>10860234</v>
      </c>
      <c r="G36312" t="s">
        <v>1966</v>
      </c>
      <c r="H36312" s="21">
        <v>498.17</v>
      </c>
    </row>
    <row r="36313" spans="1:8" customFormat="1" x14ac:dyDescent="0.25">
      <c r="A36313" t="str">
        <f>"8313604"</f>
        <v>8313604</v>
      </c>
      <c r="B36313" t="s">
        <v>7382</v>
      </c>
      <c r="C36313" t="s">
        <v>156</v>
      </c>
      <c r="D36313" s="21" t="s">
        <v>34</v>
      </c>
      <c r="E36313" s="21" t="s">
        <v>1089</v>
      </c>
      <c r="F36313">
        <v>13830083</v>
      </c>
      <c r="G36313" t="s">
        <v>2159</v>
      </c>
      <c r="H36313" s="21">
        <v>498.17</v>
      </c>
    </row>
    <row r="36314" spans="1:8" customFormat="1" x14ac:dyDescent="0.25">
      <c r="A36314" t="str">
        <f>"2926323"</f>
        <v>2926323</v>
      </c>
      <c r="B36314" t="s">
        <v>21462</v>
      </c>
      <c r="C36314" t="s">
        <v>2907</v>
      </c>
      <c r="D36314" s="21" t="s">
        <v>34</v>
      </c>
      <c r="E36314" s="21" t="s">
        <v>254</v>
      </c>
      <c r="F36314">
        <v>3290014</v>
      </c>
      <c r="G36314" t="s">
        <v>10174</v>
      </c>
      <c r="H36314" s="21">
        <v>498.17</v>
      </c>
    </row>
    <row r="36315" spans="1:8" customFormat="1" x14ac:dyDescent="0.25">
      <c r="A36315" t="str">
        <f>"2935919"</f>
        <v>2935919</v>
      </c>
      <c r="B36315" t="s">
        <v>21715</v>
      </c>
      <c r="C36315" t="s">
        <v>249</v>
      </c>
      <c r="D36315" s="21" t="s">
        <v>34</v>
      </c>
      <c r="E36315" s="21" t="s">
        <v>71</v>
      </c>
      <c r="F36315">
        <v>3290232</v>
      </c>
      <c r="G36315" t="s">
        <v>9588</v>
      </c>
      <c r="H36315" s="21">
        <v>498.17</v>
      </c>
    </row>
    <row r="36316" spans="1:8" customFormat="1" x14ac:dyDescent="0.25">
      <c r="A36316" t="str">
        <f>"1417005"</f>
        <v>1417005</v>
      </c>
      <c r="B36316" t="s">
        <v>22566</v>
      </c>
      <c r="C36316" t="s">
        <v>40</v>
      </c>
      <c r="D36316" s="21" t="s">
        <v>34</v>
      </c>
      <c r="E36316" s="21" t="s">
        <v>1089</v>
      </c>
      <c r="F36316">
        <v>9140228</v>
      </c>
      <c r="G36316" t="s">
        <v>16772</v>
      </c>
      <c r="H36316" s="21">
        <v>498.17</v>
      </c>
    </row>
    <row r="36317" spans="1:8" customFormat="1" x14ac:dyDescent="0.25">
      <c r="A36317" t="str">
        <f>"5619130"</f>
        <v>5619130</v>
      </c>
      <c r="B36317" t="s">
        <v>1737</v>
      </c>
      <c r="C36317" t="s">
        <v>209</v>
      </c>
      <c r="D36317" s="21" t="s">
        <v>34</v>
      </c>
      <c r="E36317" s="21" t="s">
        <v>254</v>
      </c>
      <c r="F36317">
        <v>3560046</v>
      </c>
      <c r="G36317" t="s">
        <v>9309</v>
      </c>
      <c r="H36317" s="21">
        <v>498.17</v>
      </c>
    </row>
    <row r="36318" spans="1:8" customFormat="1" x14ac:dyDescent="0.25">
      <c r="A36318" t="str">
        <f>"9459293"</f>
        <v>9459293</v>
      </c>
      <c r="B36318" t="s">
        <v>29237</v>
      </c>
      <c r="C36318" t="s">
        <v>29238</v>
      </c>
      <c r="D36318" s="21" t="s">
        <v>34</v>
      </c>
      <c r="E36318" s="21" t="s">
        <v>1089</v>
      </c>
      <c r="F36318">
        <v>8940070</v>
      </c>
      <c r="G36318" t="s">
        <v>2320</v>
      </c>
      <c r="H36318" s="21">
        <v>498.12</v>
      </c>
    </row>
    <row r="36319" spans="1:8" customFormat="1" x14ac:dyDescent="0.25">
      <c r="A36319" t="str">
        <f>"7511373"</f>
        <v>7511373</v>
      </c>
      <c r="B36319" t="s">
        <v>23412</v>
      </c>
      <c r="C36319" t="s">
        <v>4689</v>
      </c>
      <c r="D36319" s="21" t="s">
        <v>34</v>
      </c>
      <c r="E36319" s="21" t="s">
        <v>254</v>
      </c>
      <c r="F36319">
        <v>8781473</v>
      </c>
      <c r="G36319" t="s">
        <v>1097</v>
      </c>
      <c r="H36319" s="21">
        <v>498.12</v>
      </c>
    </row>
    <row r="36320" spans="1:8" customFormat="1" x14ac:dyDescent="0.25">
      <c r="A36320" t="str">
        <f>"3421544"</f>
        <v>3421544</v>
      </c>
      <c r="B36320" t="s">
        <v>6375</v>
      </c>
      <c r="C36320" t="s">
        <v>547</v>
      </c>
      <c r="D36320" s="21" t="s">
        <v>34</v>
      </c>
      <c r="E36320" s="21" t="s">
        <v>254</v>
      </c>
      <c r="F36320">
        <v>11340018</v>
      </c>
      <c r="G36320" t="s">
        <v>2421</v>
      </c>
      <c r="H36320" s="21">
        <v>498</v>
      </c>
    </row>
    <row r="36321" spans="1:8" customFormat="1" x14ac:dyDescent="0.25">
      <c r="A36321" t="str">
        <f>"6230623"</f>
        <v>6230623</v>
      </c>
      <c r="B36321" t="s">
        <v>20664</v>
      </c>
      <c r="C36321" t="s">
        <v>263</v>
      </c>
      <c r="D36321" s="21" t="s">
        <v>34</v>
      </c>
      <c r="E36321" s="21" t="s">
        <v>71</v>
      </c>
      <c r="F36321">
        <v>7620150</v>
      </c>
      <c r="G36321" t="s">
        <v>7141</v>
      </c>
      <c r="H36321" s="21">
        <v>498</v>
      </c>
    </row>
    <row r="36322" spans="1:8" customFormat="1" x14ac:dyDescent="0.25">
      <c r="A36322" t="str">
        <f>"0620249"</f>
        <v>0620249</v>
      </c>
      <c r="B36322" t="s">
        <v>29239</v>
      </c>
      <c r="C36322" t="s">
        <v>1100</v>
      </c>
      <c r="D36322" s="21" t="s">
        <v>34</v>
      </c>
      <c r="E36322" s="21" t="s">
        <v>71</v>
      </c>
      <c r="F36322">
        <v>13060101</v>
      </c>
      <c r="G36322" t="s">
        <v>5947</v>
      </c>
      <c r="H36322" s="21">
        <v>498</v>
      </c>
    </row>
    <row r="36323" spans="1:8" customFormat="1" x14ac:dyDescent="0.25">
      <c r="A36323" t="str">
        <f>"9141334"</f>
        <v>9141334</v>
      </c>
      <c r="B36323" t="s">
        <v>22641</v>
      </c>
      <c r="C36323" t="s">
        <v>415</v>
      </c>
      <c r="D36323" s="21" t="s">
        <v>34</v>
      </c>
      <c r="E36323" s="21" t="s">
        <v>254</v>
      </c>
      <c r="F36323">
        <v>8910028</v>
      </c>
      <c r="G36323" t="s">
        <v>2634</v>
      </c>
      <c r="H36323" s="21">
        <v>498</v>
      </c>
    </row>
    <row r="36324" spans="1:8" customFormat="1" x14ac:dyDescent="0.25">
      <c r="A36324" t="str">
        <f>"9322216"</f>
        <v>9322216</v>
      </c>
      <c r="B36324" t="s">
        <v>29240</v>
      </c>
      <c r="C36324" t="s">
        <v>29241</v>
      </c>
      <c r="D36324" s="21" t="s">
        <v>34</v>
      </c>
      <c r="E36324" s="21" t="s">
        <v>35</v>
      </c>
      <c r="F36324">
        <v>8930490</v>
      </c>
      <c r="G36324" t="s">
        <v>1563</v>
      </c>
      <c r="H36324" s="21">
        <v>498</v>
      </c>
    </row>
    <row r="36325" spans="1:8" customFormat="1" x14ac:dyDescent="0.25">
      <c r="A36325" t="str">
        <f>"3310737"</f>
        <v>3310737</v>
      </c>
      <c r="B36325" t="s">
        <v>23127</v>
      </c>
      <c r="C36325" t="s">
        <v>415</v>
      </c>
      <c r="D36325" s="21" t="s">
        <v>34</v>
      </c>
      <c r="E36325" s="21" t="s">
        <v>254</v>
      </c>
      <c r="F36325">
        <v>10330125</v>
      </c>
      <c r="G36325" t="s">
        <v>3753</v>
      </c>
      <c r="H36325" s="21">
        <v>498</v>
      </c>
    </row>
    <row r="36326" spans="1:8" customFormat="1" x14ac:dyDescent="0.25">
      <c r="A36326" t="str">
        <f>"6724153"</f>
        <v>6724153</v>
      </c>
      <c r="B36326" t="s">
        <v>24203</v>
      </c>
      <c r="C36326" t="s">
        <v>428</v>
      </c>
      <c r="D36326" s="21" t="s">
        <v>34</v>
      </c>
      <c r="E36326" s="21" t="s">
        <v>254</v>
      </c>
      <c r="F36326">
        <v>6670256</v>
      </c>
      <c r="G36326" t="s">
        <v>14348</v>
      </c>
      <c r="H36326" s="21">
        <v>498</v>
      </c>
    </row>
    <row r="36327" spans="1:8" customFormat="1" x14ac:dyDescent="0.25">
      <c r="A36327" t="str">
        <f>"9139352"</f>
        <v>9139352</v>
      </c>
      <c r="B36327" t="s">
        <v>29242</v>
      </c>
      <c r="C36327" t="s">
        <v>239</v>
      </c>
      <c r="D36327" s="21" t="s">
        <v>34</v>
      </c>
      <c r="E36327" s="21" t="s">
        <v>1089</v>
      </c>
      <c r="F36327">
        <v>8910918</v>
      </c>
      <c r="G36327" t="s">
        <v>332</v>
      </c>
      <c r="H36327" s="21">
        <v>498</v>
      </c>
    </row>
    <row r="36328" spans="1:8" customFormat="1" x14ac:dyDescent="0.25">
      <c r="A36328" t="str">
        <f>"175802"</f>
        <v>175802</v>
      </c>
      <c r="B36328" t="s">
        <v>2089</v>
      </c>
      <c r="C36328" t="s">
        <v>239</v>
      </c>
      <c r="D36328" s="21" t="s">
        <v>34</v>
      </c>
      <c r="E36328" s="21" t="s">
        <v>71</v>
      </c>
      <c r="F36328">
        <v>10170024</v>
      </c>
      <c r="G36328" t="s">
        <v>16864</v>
      </c>
      <c r="H36328" s="21">
        <v>498</v>
      </c>
    </row>
    <row r="36329" spans="1:8" customFormat="1" x14ac:dyDescent="0.25">
      <c r="A36329" t="str">
        <f>"842139"</f>
        <v>842139</v>
      </c>
      <c r="B36329" t="s">
        <v>24551</v>
      </c>
      <c r="C36329" t="s">
        <v>267</v>
      </c>
      <c r="D36329" s="21" t="s">
        <v>34</v>
      </c>
      <c r="E36329" s="21" t="s">
        <v>254</v>
      </c>
      <c r="F36329">
        <v>13840045</v>
      </c>
      <c r="G36329" t="s">
        <v>11703</v>
      </c>
      <c r="H36329" s="21">
        <v>498</v>
      </c>
    </row>
    <row r="36330" spans="1:8" customFormat="1" x14ac:dyDescent="0.25">
      <c r="A36330" t="str">
        <f>"5327018"</f>
        <v>5327018</v>
      </c>
      <c r="B36330" t="s">
        <v>23597</v>
      </c>
      <c r="C36330" t="s">
        <v>305</v>
      </c>
      <c r="D36330" s="21" t="s">
        <v>34</v>
      </c>
      <c r="E36330" s="21" t="s">
        <v>35</v>
      </c>
      <c r="F36330">
        <v>12530020</v>
      </c>
      <c r="G36330" t="s">
        <v>12755</v>
      </c>
      <c r="H36330" s="21">
        <v>498</v>
      </c>
    </row>
    <row r="36331" spans="1:8" customFormat="1" x14ac:dyDescent="0.25">
      <c r="A36331" t="str">
        <f>"1614036"</f>
        <v>1614036</v>
      </c>
      <c r="B36331" t="s">
        <v>1497</v>
      </c>
      <c r="C36331" t="s">
        <v>124</v>
      </c>
      <c r="D36331" s="21" t="s">
        <v>34</v>
      </c>
      <c r="E36331" s="21" t="s">
        <v>254</v>
      </c>
      <c r="F36331">
        <v>10160122</v>
      </c>
      <c r="G36331" t="s">
        <v>8169</v>
      </c>
      <c r="H36331" s="21">
        <v>498</v>
      </c>
    </row>
    <row r="36332" spans="1:8" customFormat="1" x14ac:dyDescent="0.25">
      <c r="A36332" t="str">
        <f>"7413552"</f>
        <v>7413552</v>
      </c>
      <c r="B36332" t="s">
        <v>18848</v>
      </c>
      <c r="C36332" t="s">
        <v>209</v>
      </c>
      <c r="D36332" s="21" t="s">
        <v>34</v>
      </c>
      <c r="E36332" s="21" t="s">
        <v>71</v>
      </c>
      <c r="F36332">
        <v>1740075</v>
      </c>
      <c r="G36332" t="s">
        <v>10362</v>
      </c>
      <c r="H36332" s="21">
        <v>498</v>
      </c>
    </row>
    <row r="36333" spans="1:8" customFormat="1" x14ac:dyDescent="0.25">
      <c r="A36333" t="str">
        <f>"6732"</f>
        <v>6732</v>
      </c>
      <c r="B36333" t="s">
        <v>10843</v>
      </c>
      <c r="C36333" t="s">
        <v>547</v>
      </c>
      <c r="D36333" s="21" t="s">
        <v>34</v>
      </c>
      <c r="E36333" s="21" t="s">
        <v>1089</v>
      </c>
      <c r="F36333">
        <v>6670002</v>
      </c>
      <c r="G36333" t="s">
        <v>5740</v>
      </c>
      <c r="H36333" s="21">
        <v>498</v>
      </c>
    </row>
    <row r="36334" spans="1:8" customFormat="1" x14ac:dyDescent="0.25">
      <c r="A36334" t="str">
        <f>"881642"</f>
        <v>881642</v>
      </c>
      <c r="B36334" t="s">
        <v>1886</v>
      </c>
      <c r="C36334" t="s">
        <v>2072</v>
      </c>
      <c r="D36334" s="21" t="s">
        <v>34</v>
      </c>
      <c r="E36334" s="21" t="s">
        <v>254</v>
      </c>
      <c r="F36334">
        <v>6880101</v>
      </c>
      <c r="G36334" t="s">
        <v>6841</v>
      </c>
      <c r="H36334" s="21">
        <v>498</v>
      </c>
    </row>
    <row r="36335" spans="1:8" customFormat="1" x14ac:dyDescent="0.25">
      <c r="A36335" t="str">
        <f>"7730564"</f>
        <v>7730564</v>
      </c>
      <c r="B36335" t="s">
        <v>23976</v>
      </c>
      <c r="C36335" t="s">
        <v>23977</v>
      </c>
      <c r="D36335" s="21" t="s">
        <v>34</v>
      </c>
      <c r="E36335" s="21" t="s">
        <v>254</v>
      </c>
      <c r="F36335">
        <v>8771402</v>
      </c>
      <c r="G36335" t="s">
        <v>15493</v>
      </c>
      <c r="H36335" s="21">
        <v>498</v>
      </c>
    </row>
    <row r="36336" spans="1:8" customFormat="1" x14ac:dyDescent="0.25">
      <c r="A36336" t="str">
        <f>"3520503"</f>
        <v>3520503</v>
      </c>
      <c r="B36336" t="s">
        <v>13441</v>
      </c>
      <c r="C36336" t="s">
        <v>124</v>
      </c>
      <c r="D36336" s="21" t="s">
        <v>34</v>
      </c>
      <c r="E36336" s="21" t="s">
        <v>35</v>
      </c>
      <c r="F36336">
        <v>3350031</v>
      </c>
      <c r="G36336" t="s">
        <v>13199</v>
      </c>
      <c r="H36336" s="21">
        <v>498</v>
      </c>
    </row>
    <row r="36337" spans="1:8" customFormat="1" x14ac:dyDescent="0.25">
      <c r="A36337" t="str">
        <f>"7726962"</f>
        <v>7726962</v>
      </c>
      <c r="B36337" t="s">
        <v>21787</v>
      </c>
      <c r="C36337" t="s">
        <v>55</v>
      </c>
      <c r="D36337" s="21" t="s">
        <v>34</v>
      </c>
      <c r="E36337" s="21" t="s">
        <v>71</v>
      </c>
      <c r="F36337">
        <v>8771518</v>
      </c>
      <c r="G36337" t="s">
        <v>12274</v>
      </c>
      <c r="H36337" s="21">
        <v>498</v>
      </c>
    </row>
    <row r="36338" spans="1:8" customFormat="1" x14ac:dyDescent="0.25">
      <c r="A36338" t="str">
        <f>"9147503"</f>
        <v>9147503</v>
      </c>
      <c r="B36338" t="s">
        <v>29243</v>
      </c>
      <c r="C36338" t="s">
        <v>121</v>
      </c>
      <c r="D36338" s="21" t="s">
        <v>34</v>
      </c>
      <c r="E36338" s="21" t="s">
        <v>35</v>
      </c>
      <c r="F36338">
        <v>8910544</v>
      </c>
      <c r="G36338" t="s">
        <v>3552</v>
      </c>
      <c r="H36338" s="21">
        <v>498</v>
      </c>
    </row>
    <row r="36339" spans="1:8" customFormat="1" x14ac:dyDescent="0.25">
      <c r="A36339" t="str">
        <f>"2928206"</f>
        <v>2928206</v>
      </c>
      <c r="B36339" t="s">
        <v>8329</v>
      </c>
      <c r="C36339" t="s">
        <v>121</v>
      </c>
      <c r="D36339" s="21" t="s">
        <v>34</v>
      </c>
      <c r="E36339" s="21" t="s">
        <v>35</v>
      </c>
      <c r="F36339">
        <v>3290274</v>
      </c>
      <c r="G36339" t="s">
        <v>11751</v>
      </c>
      <c r="H36339" s="21">
        <v>498</v>
      </c>
    </row>
    <row r="36340" spans="1:8" customFormat="1" x14ac:dyDescent="0.25">
      <c r="A36340" t="str">
        <f>"9538201"</f>
        <v>9538201</v>
      </c>
      <c r="B36340" t="s">
        <v>8926</v>
      </c>
      <c r="C36340" t="s">
        <v>484</v>
      </c>
      <c r="D36340" s="21" t="s">
        <v>34</v>
      </c>
      <c r="E36340" s="21" t="s">
        <v>35</v>
      </c>
      <c r="F36340">
        <v>8950974</v>
      </c>
      <c r="G36340" t="s">
        <v>6615</v>
      </c>
      <c r="H36340" s="21">
        <v>498</v>
      </c>
    </row>
    <row r="36341" spans="1:8" customFormat="1" x14ac:dyDescent="0.25">
      <c r="A36341" t="str">
        <f>"1426208"</f>
        <v>1426208</v>
      </c>
      <c r="B36341" t="s">
        <v>29244</v>
      </c>
      <c r="C36341" t="s">
        <v>3522</v>
      </c>
      <c r="D36341" s="21" t="s">
        <v>34</v>
      </c>
      <c r="E36341" s="21" t="s">
        <v>71</v>
      </c>
      <c r="F36341">
        <v>9140023</v>
      </c>
      <c r="G36341" t="s">
        <v>2318</v>
      </c>
      <c r="H36341" s="21">
        <v>498</v>
      </c>
    </row>
    <row r="36342" spans="1:8" customFormat="1" x14ac:dyDescent="0.25">
      <c r="A36342" t="str">
        <f>"3537250"</f>
        <v>3537250</v>
      </c>
      <c r="B36342" t="s">
        <v>15291</v>
      </c>
      <c r="C36342" t="s">
        <v>124</v>
      </c>
      <c r="D36342" s="21" t="s">
        <v>34</v>
      </c>
      <c r="E36342" s="21" t="s">
        <v>35</v>
      </c>
      <c r="F36342">
        <v>3350150</v>
      </c>
      <c r="G36342" t="s">
        <v>6419</v>
      </c>
      <c r="H36342" s="21">
        <v>498</v>
      </c>
    </row>
    <row r="36343" spans="1:8" customFormat="1" x14ac:dyDescent="0.25">
      <c r="A36343" t="str">
        <f>"5424513"</f>
        <v>5424513</v>
      </c>
      <c r="B36343" t="s">
        <v>5777</v>
      </c>
      <c r="C36343" t="s">
        <v>239</v>
      </c>
      <c r="D36343" s="21" t="s">
        <v>34</v>
      </c>
      <c r="E36343" s="21" t="s">
        <v>35</v>
      </c>
      <c r="F36343">
        <v>6540171</v>
      </c>
      <c r="G36343" t="s">
        <v>20414</v>
      </c>
      <c r="H36343" s="21">
        <v>498</v>
      </c>
    </row>
    <row r="36344" spans="1:8" customFormat="1" x14ac:dyDescent="0.25">
      <c r="A36344" t="str">
        <f>"8515285"</f>
        <v>8515285</v>
      </c>
      <c r="B36344" t="s">
        <v>29245</v>
      </c>
      <c r="C36344" t="s">
        <v>249</v>
      </c>
      <c r="D36344" s="21" t="s">
        <v>34</v>
      </c>
      <c r="E36344" s="21" t="s">
        <v>71</v>
      </c>
      <c r="F36344">
        <v>12850107</v>
      </c>
      <c r="G36344" t="s">
        <v>12181</v>
      </c>
      <c r="H36344" s="21">
        <v>498</v>
      </c>
    </row>
    <row r="36345" spans="1:8" customFormat="1" x14ac:dyDescent="0.25">
      <c r="A36345" t="str">
        <f>"911401"</f>
        <v>911401</v>
      </c>
      <c r="B36345" t="s">
        <v>9256</v>
      </c>
      <c r="C36345" t="s">
        <v>156</v>
      </c>
      <c r="D36345" s="21" t="s">
        <v>34</v>
      </c>
      <c r="E36345" s="21" t="s">
        <v>6185</v>
      </c>
      <c r="F36345">
        <v>8911456</v>
      </c>
      <c r="G36345" t="s">
        <v>6481</v>
      </c>
      <c r="H36345" s="21">
        <v>498</v>
      </c>
    </row>
    <row r="36346" spans="1:8" customFormat="1" x14ac:dyDescent="0.25">
      <c r="A36346" t="str">
        <f>"5432075"</f>
        <v>5432075</v>
      </c>
      <c r="B36346" t="s">
        <v>6656</v>
      </c>
      <c r="C36346" t="s">
        <v>65</v>
      </c>
      <c r="D36346" s="21" t="s">
        <v>34</v>
      </c>
      <c r="E36346" s="21" t="s">
        <v>35</v>
      </c>
      <c r="F36346">
        <v>6540128</v>
      </c>
      <c r="G36346" t="s">
        <v>1249</v>
      </c>
      <c r="H36346" s="21">
        <v>498</v>
      </c>
    </row>
    <row r="36347" spans="1:8" customFormat="1" x14ac:dyDescent="0.25">
      <c r="A36347" t="str">
        <f>"30417"</f>
        <v>30417</v>
      </c>
      <c r="B36347" t="s">
        <v>7016</v>
      </c>
      <c r="C36347" t="s">
        <v>209</v>
      </c>
      <c r="D36347" s="21" t="s">
        <v>34</v>
      </c>
      <c r="E36347" s="21" t="s">
        <v>1089</v>
      </c>
      <c r="F36347">
        <v>11300025</v>
      </c>
      <c r="G36347" t="s">
        <v>1211</v>
      </c>
      <c r="H36347" s="21">
        <v>498</v>
      </c>
    </row>
    <row r="36348" spans="1:8" customFormat="1" x14ac:dyDescent="0.25">
      <c r="A36348" t="str">
        <f>"0810047"</f>
        <v>0810047</v>
      </c>
      <c r="B36348" t="s">
        <v>29246</v>
      </c>
      <c r="C36348" t="s">
        <v>929</v>
      </c>
      <c r="D36348" s="21" t="s">
        <v>34</v>
      </c>
      <c r="E36348" s="21" t="s">
        <v>35</v>
      </c>
      <c r="F36348">
        <v>6080057</v>
      </c>
      <c r="G36348" t="s">
        <v>10034</v>
      </c>
      <c r="H36348" s="21">
        <v>498</v>
      </c>
    </row>
    <row r="36349" spans="1:8" customFormat="1" x14ac:dyDescent="0.25">
      <c r="A36349" t="str">
        <f>"037406"</f>
        <v>037406</v>
      </c>
      <c r="B36349" t="s">
        <v>29247</v>
      </c>
      <c r="C36349" t="s">
        <v>3010</v>
      </c>
      <c r="D36349" s="21" t="s">
        <v>34</v>
      </c>
      <c r="E36349" s="21" t="s">
        <v>35</v>
      </c>
      <c r="F36349">
        <v>1030035</v>
      </c>
      <c r="G36349" t="s">
        <v>2343</v>
      </c>
      <c r="H36349" s="21">
        <v>498</v>
      </c>
    </row>
    <row r="36350" spans="1:8" customFormat="1" x14ac:dyDescent="0.25">
      <c r="A36350" t="str">
        <f>"648737"</f>
        <v>648737</v>
      </c>
      <c r="B36350" t="s">
        <v>29248</v>
      </c>
      <c r="C36350" t="s">
        <v>263</v>
      </c>
      <c r="D36350" s="21" t="s">
        <v>34</v>
      </c>
      <c r="E36350" s="21" t="s">
        <v>35</v>
      </c>
      <c r="F36350">
        <v>10640010</v>
      </c>
      <c r="G36350" t="s">
        <v>9410</v>
      </c>
      <c r="H36350" s="21">
        <v>498</v>
      </c>
    </row>
    <row r="36351" spans="1:8" customFormat="1" x14ac:dyDescent="0.25">
      <c r="A36351" t="str">
        <f>"4454030"</f>
        <v>4454030</v>
      </c>
      <c r="B36351" t="s">
        <v>24281</v>
      </c>
      <c r="C36351" t="s">
        <v>121</v>
      </c>
      <c r="D36351" s="21" t="s">
        <v>34</v>
      </c>
      <c r="E36351" s="21" t="s">
        <v>35</v>
      </c>
      <c r="F36351">
        <v>12440260</v>
      </c>
      <c r="G36351" t="s">
        <v>26759</v>
      </c>
      <c r="H36351" s="21">
        <v>498</v>
      </c>
    </row>
    <row r="36352" spans="1:8" customFormat="1" x14ac:dyDescent="0.25">
      <c r="A36352" t="str">
        <f>"6210783"</f>
        <v>6210783</v>
      </c>
      <c r="B36352" t="s">
        <v>5231</v>
      </c>
      <c r="C36352" t="s">
        <v>253</v>
      </c>
      <c r="D36352" s="21" t="s">
        <v>34</v>
      </c>
      <c r="E36352" s="21" t="s">
        <v>254</v>
      </c>
      <c r="F36352">
        <v>7620119</v>
      </c>
      <c r="G36352" t="s">
        <v>5233</v>
      </c>
      <c r="H36352" s="21">
        <v>498</v>
      </c>
    </row>
    <row r="36353" spans="1:8" customFormat="1" x14ac:dyDescent="0.25">
      <c r="A36353" t="str">
        <f>"8529472"</f>
        <v>8529472</v>
      </c>
      <c r="B36353" t="s">
        <v>3978</v>
      </c>
      <c r="C36353" t="s">
        <v>82</v>
      </c>
      <c r="D36353" s="21" t="s">
        <v>34</v>
      </c>
      <c r="E36353" s="21" t="s">
        <v>35</v>
      </c>
      <c r="F36353">
        <v>12850023</v>
      </c>
      <c r="G36353" t="s">
        <v>3121</v>
      </c>
      <c r="H36353" s="21">
        <v>498</v>
      </c>
    </row>
    <row r="36354" spans="1:8" customFormat="1" x14ac:dyDescent="0.25">
      <c r="A36354" t="str">
        <f>"4450985"</f>
        <v>4450985</v>
      </c>
      <c r="B36354" t="s">
        <v>2199</v>
      </c>
      <c r="C36354" t="s">
        <v>285</v>
      </c>
      <c r="D36354" s="21" t="s">
        <v>34</v>
      </c>
      <c r="E36354" s="21" t="s">
        <v>35</v>
      </c>
      <c r="F36354">
        <v>12440009</v>
      </c>
      <c r="G36354" t="s">
        <v>1983</v>
      </c>
      <c r="H36354" s="21">
        <v>498</v>
      </c>
    </row>
    <row r="36355" spans="1:8" customFormat="1" x14ac:dyDescent="0.25">
      <c r="A36355" t="str">
        <f>"2936142"</f>
        <v>2936142</v>
      </c>
      <c r="B36355" t="s">
        <v>23843</v>
      </c>
      <c r="C36355" t="s">
        <v>1142</v>
      </c>
      <c r="D36355" s="21" t="s">
        <v>34</v>
      </c>
      <c r="E36355" s="21" t="s">
        <v>35</v>
      </c>
      <c r="F36355">
        <v>3290203</v>
      </c>
      <c r="G36355" t="s">
        <v>9395</v>
      </c>
      <c r="H36355" s="21">
        <v>498</v>
      </c>
    </row>
    <row r="36356" spans="1:8" customFormat="1" x14ac:dyDescent="0.25">
      <c r="A36356" t="str">
        <f>"6111488"</f>
        <v>6111488</v>
      </c>
      <c r="B36356" t="s">
        <v>3952</v>
      </c>
      <c r="C36356" t="s">
        <v>812</v>
      </c>
      <c r="D36356" s="21" t="s">
        <v>34</v>
      </c>
      <c r="E36356" s="21" t="s">
        <v>35</v>
      </c>
      <c r="F36356">
        <v>9610056</v>
      </c>
      <c r="G36356" t="s">
        <v>11830</v>
      </c>
      <c r="H36356" s="21">
        <v>498</v>
      </c>
    </row>
    <row r="36357" spans="1:8" customFormat="1" x14ac:dyDescent="0.25">
      <c r="A36357" t="str">
        <f>"2813023"</f>
        <v>2813023</v>
      </c>
      <c r="B36357" t="s">
        <v>650</v>
      </c>
      <c r="C36357" t="s">
        <v>302</v>
      </c>
      <c r="D36357" s="21" t="s">
        <v>34</v>
      </c>
      <c r="E36357" s="21" t="s">
        <v>35</v>
      </c>
      <c r="F36357">
        <v>4280004</v>
      </c>
      <c r="G36357" t="s">
        <v>91</v>
      </c>
      <c r="H36357" s="21">
        <v>498</v>
      </c>
    </row>
    <row r="36358" spans="1:8" customFormat="1" x14ac:dyDescent="0.25">
      <c r="A36358" t="str">
        <f>"6931812"</f>
        <v>6931812</v>
      </c>
      <c r="B36358" t="s">
        <v>21627</v>
      </c>
      <c r="C36358" t="s">
        <v>249</v>
      </c>
      <c r="D36358" s="21" t="s">
        <v>34</v>
      </c>
      <c r="E36358" s="21" t="s">
        <v>71</v>
      </c>
      <c r="F36358">
        <v>1690047</v>
      </c>
      <c r="G36358" t="s">
        <v>4223</v>
      </c>
      <c r="H36358" s="21">
        <v>498</v>
      </c>
    </row>
    <row r="36359" spans="1:8" customFormat="1" x14ac:dyDescent="0.25">
      <c r="A36359" t="str">
        <f>"8812991"</f>
        <v>8812991</v>
      </c>
      <c r="B36359" t="s">
        <v>23749</v>
      </c>
      <c r="C36359" t="s">
        <v>33</v>
      </c>
      <c r="D36359" s="21" t="s">
        <v>34</v>
      </c>
      <c r="E36359" s="21" t="s">
        <v>35</v>
      </c>
      <c r="F36359">
        <v>6880123</v>
      </c>
      <c r="G36359" t="s">
        <v>527</v>
      </c>
      <c r="H36359" s="21">
        <v>498</v>
      </c>
    </row>
    <row r="36360" spans="1:8" customFormat="1" x14ac:dyDescent="0.25">
      <c r="A36360" t="str">
        <f>"0812363"</f>
        <v>0812363</v>
      </c>
      <c r="B36360" t="s">
        <v>14129</v>
      </c>
      <c r="C36360" t="s">
        <v>127</v>
      </c>
      <c r="D36360" s="21" t="s">
        <v>34</v>
      </c>
      <c r="E36360" s="21" t="s">
        <v>35</v>
      </c>
      <c r="F36360">
        <v>6080043</v>
      </c>
      <c r="G36360" t="s">
        <v>961</v>
      </c>
      <c r="H36360" s="21">
        <v>498</v>
      </c>
    </row>
    <row r="36361" spans="1:8" customFormat="1" x14ac:dyDescent="0.25">
      <c r="A36361" t="str">
        <f>"189555"</f>
        <v>189555</v>
      </c>
      <c r="B36361" t="s">
        <v>29249</v>
      </c>
      <c r="C36361" t="s">
        <v>249</v>
      </c>
      <c r="D36361" s="21" t="s">
        <v>34</v>
      </c>
      <c r="E36361" s="21" t="s">
        <v>254</v>
      </c>
      <c r="F36361">
        <v>4180530</v>
      </c>
      <c r="G36361" t="s">
        <v>3622</v>
      </c>
      <c r="H36361" s="21">
        <v>498</v>
      </c>
    </row>
    <row r="36362" spans="1:8" customFormat="1" x14ac:dyDescent="0.25">
      <c r="A36362" t="str">
        <f>"7919786"</f>
        <v>7919786</v>
      </c>
      <c r="B36362" t="s">
        <v>23687</v>
      </c>
      <c r="C36362" t="s">
        <v>98</v>
      </c>
      <c r="D36362" s="21" t="s">
        <v>34</v>
      </c>
      <c r="E36362" s="21" t="s">
        <v>35</v>
      </c>
      <c r="F36362">
        <v>10790002</v>
      </c>
      <c r="G36362" t="s">
        <v>6612</v>
      </c>
      <c r="H36362" s="21">
        <v>498</v>
      </c>
    </row>
    <row r="36363" spans="1:8" customFormat="1" x14ac:dyDescent="0.25">
      <c r="A36363" t="str">
        <f>"7710432"</f>
        <v>7710432</v>
      </c>
      <c r="B36363" t="s">
        <v>22355</v>
      </c>
      <c r="C36363" t="s">
        <v>320</v>
      </c>
      <c r="D36363" s="21" t="s">
        <v>34</v>
      </c>
      <c r="E36363" s="21" t="s">
        <v>254</v>
      </c>
      <c r="F36363">
        <v>8771394</v>
      </c>
      <c r="G36363" t="s">
        <v>1933</v>
      </c>
      <c r="H36363" s="21">
        <v>498</v>
      </c>
    </row>
    <row r="36364" spans="1:8" customFormat="1" x14ac:dyDescent="0.25">
      <c r="A36364" t="str">
        <f>"7861684"</f>
        <v>7861684</v>
      </c>
      <c r="B36364" t="s">
        <v>3001</v>
      </c>
      <c r="C36364" t="s">
        <v>1714</v>
      </c>
      <c r="D36364" s="21" t="s">
        <v>34</v>
      </c>
      <c r="E36364" s="21" t="s">
        <v>71</v>
      </c>
      <c r="F36364">
        <v>8781196</v>
      </c>
      <c r="G36364" t="s">
        <v>8007</v>
      </c>
      <c r="H36364" s="21">
        <v>498</v>
      </c>
    </row>
    <row r="36365" spans="1:8" customFormat="1" x14ac:dyDescent="0.25">
      <c r="A36365" t="str">
        <f>"3534072"</f>
        <v>3534072</v>
      </c>
      <c r="B36365" t="s">
        <v>24412</v>
      </c>
      <c r="C36365" t="s">
        <v>124</v>
      </c>
      <c r="D36365" s="21" t="s">
        <v>34</v>
      </c>
      <c r="E36365" s="21" t="s">
        <v>71</v>
      </c>
      <c r="F36365">
        <v>3350025</v>
      </c>
      <c r="G36365" t="s">
        <v>11920</v>
      </c>
      <c r="H36365" s="21">
        <v>498</v>
      </c>
    </row>
    <row r="36366" spans="1:8" customFormat="1" x14ac:dyDescent="0.25">
      <c r="A36366" t="str">
        <f>"2719168"</f>
        <v>2719168</v>
      </c>
      <c r="B36366" t="s">
        <v>22253</v>
      </c>
      <c r="C36366" t="s">
        <v>239</v>
      </c>
      <c r="D36366" s="21" t="s">
        <v>34</v>
      </c>
      <c r="E36366" s="21" t="s">
        <v>71</v>
      </c>
      <c r="F36366">
        <v>9270015</v>
      </c>
      <c r="G36366" t="s">
        <v>8095</v>
      </c>
      <c r="H36366" s="21">
        <v>498</v>
      </c>
    </row>
    <row r="36367" spans="1:8" customFormat="1" x14ac:dyDescent="0.25">
      <c r="A36367" t="str">
        <f>"5620676"</f>
        <v>5620676</v>
      </c>
      <c r="B36367" t="s">
        <v>22916</v>
      </c>
      <c r="C36367" t="s">
        <v>169</v>
      </c>
      <c r="D36367" s="21" t="s">
        <v>34</v>
      </c>
      <c r="E36367" s="21" t="s">
        <v>35</v>
      </c>
      <c r="F36367">
        <v>3560017</v>
      </c>
      <c r="G36367" t="s">
        <v>5745</v>
      </c>
      <c r="H36367" s="21">
        <v>498</v>
      </c>
    </row>
    <row r="36368" spans="1:8" customFormat="1" x14ac:dyDescent="0.25">
      <c r="A36368" t="str">
        <f>"3012711"</f>
        <v>3012711</v>
      </c>
      <c r="B36368" t="s">
        <v>24087</v>
      </c>
      <c r="C36368" t="s">
        <v>98</v>
      </c>
      <c r="D36368" s="21" t="s">
        <v>34</v>
      </c>
      <c r="E36368" s="21" t="s">
        <v>35</v>
      </c>
      <c r="F36368">
        <v>11300008</v>
      </c>
      <c r="G36368" t="s">
        <v>3165</v>
      </c>
      <c r="H36368" s="21">
        <v>498</v>
      </c>
    </row>
    <row r="36369" spans="1:8" customFormat="1" x14ac:dyDescent="0.25">
      <c r="A36369" t="str">
        <f>"28621"</f>
        <v>28621</v>
      </c>
      <c r="B36369" t="s">
        <v>2106</v>
      </c>
      <c r="C36369" t="s">
        <v>598</v>
      </c>
      <c r="D36369" s="21" t="s">
        <v>34</v>
      </c>
      <c r="E36369" s="21" t="s">
        <v>1089</v>
      </c>
      <c r="F36369">
        <v>4280251</v>
      </c>
      <c r="G36369" t="s">
        <v>16982</v>
      </c>
      <c r="H36369" s="21">
        <v>498</v>
      </c>
    </row>
    <row r="36370" spans="1:8" customFormat="1" x14ac:dyDescent="0.25">
      <c r="A36370" t="str">
        <f>"4528709"</f>
        <v>4528709</v>
      </c>
      <c r="B36370" t="s">
        <v>7046</v>
      </c>
      <c r="C36370" t="s">
        <v>55</v>
      </c>
      <c r="D36370" s="21" t="s">
        <v>34</v>
      </c>
      <c r="E36370" s="21" t="s">
        <v>71</v>
      </c>
      <c r="F36370">
        <v>4450026</v>
      </c>
      <c r="G36370" t="s">
        <v>291</v>
      </c>
      <c r="H36370" s="21">
        <v>497.92</v>
      </c>
    </row>
    <row r="36371" spans="1:8" customFormat="1" x14ac:dyDescent="0.25">
      <c r="A36371" t="str">
        <f>"7521148"</f>
        <v>7521148</v>
      </c>
      <c r="B36371" t="s">
        <v>22598</v>
      </c>
      <c r="C36371" t="s">
        <v>82</v>
      </c>
      <c r="D36371" s="21" t="s">
        <v>34</v>
      </c>
      <c r="E36371" s="21" t="s">
        <v>35</v>
      </c>
      <c r="F36371">
        <v>8750249</v>
      </c>
      <c r="G36371" t="s">
        <v>15700</v>
      </c>
      <c r="H36371" s="21">
        <v>497.75</v>
      </c>
    </row>
    <row r="36372" spans="1:8" customFormat="1" x14ac:dyDescent="0.25">
      <c r="A36372" t="str">
        <f>"7516121"</f>
        <v>7516121</v>
      </c>
      <c r="B36372" t="s">
        <v>24162</v>
      </c>
      <c r="C36372" t="s">
        <v>269</v>
      </c>
      <c r="D36372" s="21" t="s">
        <v>34</v>
      </c>
      <c r="E36372" s="21" t="s">
        <v>71</v>
      </c>
      <c r="F36372">
        <v>8750007</v>
      </c>
      <c r="G36372" t="s">
        <v>775</v>
      </c>
      <c r="H36372" s="21">
        <v>497.75</v>
      </c>
    </row>
    <row r="36373" spans="1:8" customFormat="1" x14ac:dyDescent="0.25">
      <c r="A36373" t="str">
        <f>"3342736"</f>
        <v>3342736</v>
      </c>
      <c r="B36373" t="s">
        <v>24253</v>
      </c>
      <c r="C36373" t="s">
        <v>239</v>
      </c>
      <c r="D36373" s="21" t="s">
        <v>34</v>
      </c>
      <c r="E36373" s="21" t="s">
        <v>71</v>
      </c>
      <c r="F36373">
        <v>10330069</v>
      </c>
      <c r="G36373" t="s">
        <v>15951</v>
      </c>
      <c r="H36373" s="21">
        <v>497.75</v>
      </c>
    </row>
    <row r="36374" spans="1:8" customFormat="1" x14ac:dyDescent="0.25">
      <c r="A36374" t="str">
        <f>"188136"</f>
        <v>188136</v>
      </c>
      <c r="B36374" t="s">
        <v>23375</v>
      </c>
      <c r="C36374" t="s">
        <v>412</v>
      </c>
      <c r="D36374" s="21" t="s">
        <v>34</v>
      </c>
      <c r="E36374" s="21" t="s">
        <v>254</v>
      </c>
      <c r="F36374">
        <v>4180644</v>
      </c>
      <c r="G36374" t="s">
        <v>17253</v>
      </c>
      <c r="H36374" s="21">
        <v>497.75</v>
      </c>
    </row>
    <row r="36375" spans="1:8" customFormat="1" x14ac:dyDescent="0.25">
      <c r="A36375" t="str">
        <f>"5714982"</f>
        <v>5714982</v>
      </c>
      <c r="B36375" t="s">
        <v>20516</v>
      </c>
      <c r="C36375" t="s">
        <v>720</v>
      </c>
      <c r="D36375" s="21" t="s">
        <v>34</v>
      </c>
      <c r="E36375" s="21" t="s">
        <v>71</v>
      </c>
      <c r="F36375">
        <v>6570182</v>
      </c>
      <c r="G36375" t="s">
        <v>15322</v>
      </c>
      <c r="H36375" s="21">
        <v>497.67</v>
      </c>
    </row>
    <row r="36376" spans="1:8" customFormat="1" x14ac:dyDescent="0.25">
      <c r="A36376" t="str">
        <f>"3537794"</f>
        <v>3537794</v>
      </c>
      <c r="B36376" t="s">
        <v>24350</v>
      </c>
      <c r="C36376" t="s">
        <v>2273</v>
      </c>
      <c r="D36376" s="21" t="s">
        <v>34</v>
      </c>
      <c r="E36376" s="21" t="s">
        <v>35</v>
      </c>
      <c r="F36376">
        <v>3350029</v>
      </c>
      <c r="G36376" t="s">
        <v>16914</v>
      </c>
      <c r="H36376" s="21">
        <v>497.67</v>
      </c>
    </row>
    <row r="36377" spans="1:8" customFormat="1" x14ac:dyDescent="0.25">
      <c r="A36377" t="str">
        <f>"889921"</f>
        <v>889921</v>
      </c>
      <c r="B36377" t="s">
        <v>22489</v>
      </c>
      <c r="C36377" t="s">
        <v>233</v>
      </c>
      <c r="D36377" s="21" t="s">
        <v>34</v>
      </c>
      <c r="E36377" s="21" t="s">
        <v>254</v>
      </c>
      <c r="F36377">
        <v>6880116</v>
      </c>
      <c r="G36377" t="s">
        <v>2465</v>
      </c>
      <c r="H36377" s="21">
        <v>497.67</v>
      </c>
    </row>
    <row r="36378" spans="1:8" customFormat="1" x14ac:dyDescent="0.25">
      <c r="A36378" t="str">
        <f>"3823162"</f>
        <v>3823162</v>
      </c>
      <c r="B36378" t="s">
        <v>4262</v>
      </c>
      <c r="C36378" t="s">
        <v>29250</v>
      </c>
      <c r="D36378" s="21" t="s">
        <v>34</v>
      </c>
      <c r="E36378" s="21" t="s">
        <v>35</v>
      </c>
      <c r="F36378">
        <v>13130026</v>
      </c>
      <c r="G36378" t="s">
        <v>3792</v>
      </c>
      <c r="H36378" s="21">
        <v>497.67</v>
      </c>
    </row>
    <row r="36379" spans="1:8" customFormat="1" x14ac:dyDescent="0.25">
      <c r="A36379" t="str">
        <f>"7844072"</f>
        <v>7844072</v>
      </c>
      <c r="B36379" t="s">
        <v>3189</v>
      </c>
      <c r="C36379" t="s">
        <v>239</v>
      </c>
      <c r="D36379" s="21" t="s">
        <v>34</v>
      </c>
      <c r="E36379" s="21" t="s">
        <v>254</v>
      </c>
      <c r="F36379">
        <v>8780890</v>
      </c>
      <c r="G36379" t="s">
        <v>6456</v>
      </c>
      <c r="H36379" s="21">
        <v>497.67</v>
      </c>
    </row>
    <row r="36380" spans="1:8" customFormat="1" x14ac:dyDescent="0.25">
      <c r="A36380" t="str">
        <f>"7630192"</f>
        <v>7630192</v>
      </c>
      <c r="B36380" t="s">
        <v>10737</v>
      </c>
      <c r="C36380" t="s">
        <v>415</v>
      </c>
      <c r="D36380" s="21" t="s">
        <v>34</v>
      </c>
      <c r="E36380" s="21" t="s">
        <v>254</v>
      </c>
      <c r="F36380">
        <v>9760315</v>
      </c>
      <c r="G36380" t="s">
        <v>12345</v>
      </c>
      <c r="H36380" s="21">
        <v>497.67</v>
      </c>
    </row>
    <row r="36381" spans="1:8" customFormat="1" x14ac:dyDescent="0.25">
      <c r="A36381" t="str">
        <f>"6227638"</f>
        <v>6227638</v>
      </c>
      <c r="B36381" t="s">
        <v>21841</v>
      </c>
      <c r="C36381" t="s">
        <v>124</v>
      </c>
      <c r="D36381" s="21" t="s">
        <v>34</v>
      </c>
      <c r="E36381" s="21" t="s">
        <v>71</v>
      </c>
      <c r="F36381">
        <v>7620147</v>
      </c>
      <c r="G36381" t="s">
        <v>4455</v>
      </c>
      <c r="H36381" s="21">
        <v>497.67</v>
      </c>
    </row>
    <row r="36382" spans="1:8" customFormat="1" x14ac:dyDescent="0.25">
      <c r="A36382" t="str">
        <f>"5732987"</f>
        <v>5732987</v>
      </c>
      <c r="B36382" t="s">
        <v>29251</v>
      </c>
      <c r="C36382" t="s">
        <v>139</v>
      </c>
      <c r="D36382" s="21" t="s">
        <v>34</v>
      </c>
      <c r="E36382" s="21" t="s">
        <v>35</v>
      </c>
      <c r="F36382">
        <v>6570007</v>
      </c>
      <c r="G36382" t="s">
        <v>2845</v>
      </c>
      <c r="H36382" s="21">
        <v>497.5</v>
      </c>
    </row>
    <row r="36383" spans="1:8" customFormat="1" x14ac:dyDescent="0.25">
      <c r="A36383" t="str">
        <f>"64634"</f>
        <v>64634</v>
      </c>
      <c r="B36383" t="s">
        <v>22320</v>
      </c>
      <c r="C36383" t="s">
        <v>854</v>
      </c>
      <c r="D36383" s="21" t="s">
        <v>34</v>
      </c>
      <c r="E36383" s="21" t="s">
        <v>6185</v>
      </c>
      <c r="F36383">
        <v>10640001</v>
      </c>
      <c r="G36383" t="s">
        <v>2419</v>
      </c>
      <c r="H36383" s="21">
        <v>497.5</v>
      </c>
    </row>
    <row r="36384" spans="1:8" customFormat="1" x14ac:dyDescent="0.25">
      <c r="A36384" t="str">
        <f>"8525216"</f>
        <v>8525216</v>
      </c>
      <c r="B36384" t="s">
        <v>24759</v>
      </c>
      <c r="C36384" t="s">
        <v>2529</v>
      </c>
      <c r="D36384" s="21" t="s">
        <v>34</v>
      </c>
      <c r="E36384" s="21" t="s">
        <v>254</v>
      </c>
      <c r="F36384">
        <v>12850104</v>
      </c>
      <c r="G36384" t="s">
        <v>6556</v>
      </c>
      <c r="H36384" s="21">
        <v>497.5</v>
      </c>
    </row>
    <row r="36385" spans="1:8" customFormat="1" x14ac:dyDescent="0.25">
      <c r="A36385" t="str">
        <f>"7712576"</f>
        <v>7712576</v>
      </c>
      <c r="B36385" t="s">
        <v>23535</v>
      </c>
      <c r="C36385" t="s">
        <v>249</v>
      </c>
      <c r="D36385" s="21" t="s">
        <v>34</v>
      </c>
      <c r="E36385" s="21" t="s">
        <v>71</v>
      </c>
      <c r="F36385">
        <v>10860193</v>
      </c>
      <c r="G36385" t="s">
        <v>1603</v>
      </c>
      <c r="H36385" s="21">
        <v>497.5</v>
      </c>
    </row>
    <row r="36386" spans="1:8" customFormat="1" x14ac:dyDescent="0.25">
      <c r="A36386" t="str">
        <f>"1717248"</f>
        <v>1717248</v>
      </c>
      <c r="B36386" t="s">
        <v>23839</v>
      </c>
      <c r="C36386" t="s">
        <v>40</v>
      </c>
      <c r="D36386" s="21" t="s">
        <v>34</v>
      </c>
      <c r="E36386" s="21" t="s">
        <v>35</v>
      </c>
      <c r="F36386">
        <v>10170223</v>
      </c>
      <c r="G36386" t="s">
        <v>7057</v>
      </c>
      <c r="H36386" s="21">
        <v>497.5</v>
      </c>
    </row>
    <row r="36387" spans="1:8" customFormat="1" x14ac:dyDescent="0.25">
      <c r="A36387" t="str">
        <f>"5620927"</f>
        <v>5620927</v>
      </c>
      <c r="B36387" t="s">
        <v>9285</v>
      </c>
      <c r="C36387" t="s">
        <v>249</v>
      </c>
      <c r="D36387" s="21" t="s">
        <v>34</v>
      </c>
      <c r="E36387" s="21" t="s">
        <v>35</v>
      </c>
      <c r="F36387">
        <v>3560093</v>
      </c>
      <c r="G36387" t="s">
        <v>11246</v>
      </c>
      <c r="H36387" s="21">
        <v>497.5</v>
      </c>
    </row>
    <row r="36388" spans="1:8" customFormat="1" x14ac:dyDescent="0.25">
      <c r="A36388" t="str">
        <f>"45290"</f>
        <v>45290</v>
      </c>
      <c r="B36388" t="s">
        <v>23563</v>
      </c>
      <c r="C36388" t="s">
        <v>156</v>
      </c>
      <c r="D36388" s="21" t="s">
        <v>34</v>
      </c>
      <c r="E36388" s="21" t="s">
        <v>6185</v>
      </c>
      <c r="F36388">
        <v>4450663</v>
      </c>
      <c r="G36388" t="s">
        <v>2527</v>
      </c>
      <c r="H36388" s="21">
        <v>497.5</v>
      </c>
    </row>
    <row r="36389" spans="1:8" customFormat="1" x14ac:dyDescent="0.25">
      <c r="A36389" t="str">
        <f>"5952362"</f>
        <v>5952362</v>
      </c>
      <c r="B36389" t="s">
        <v>22564</v>
      </c>
      <c r="C36389" t="s">
        <v>2479</v>
      </c>
      <c r="D36389" s="21" t="s">
        <v>34</v>
      </c>
      <c r="E36389" s="21" t="s">
        <v>254</v>
      </c>
      <c r="F36389">
        <v>1740038</v>
      </c>
      <c r="G36389" t="s">
        <v>26517</v>
      </c>
      <c r="H36389" s="21">
        <v>497.5</v>
      </c>
    </row>
    <row r="36390" spans="1:8" customFormat="1" x14ac:dyDescent="0.25">
      <c r="A36390" t="str">
        <f>"7217434"</f>
        <v>7217434</v>
      </c>
      <c r="B36390" t="s">
        <v>4151</v>
      </c>
      <c r="C36390" t="s">
        <v>121</v>
      </c>
      <c r="D36390" s="21" t="s">
        <v>34</v>
      </c>
      <c r="E36390" s="21" t="s">
        <v>71</v>
      </c>
      <c r="F36390">
        <v>12720028</v>
      </c>
      <c r="G36390" t="s">
        <v>4381</v>
      </c>
      <c r="H36390" s="21">
        <v>497.5</v>
      </c>
    </row>
    <row r="36391" spans="1:8" customFormat="1" x14ac:dyDescent="0.25">
      <c r="A36391" t="str">
        <f>"5983019"</f>
        <v>5983019</v>
      </c>
      <c r="B36391" t="s">
        <v>29252</v>
      </c>
      <c r="C36391" t="s">
        <v>2232</v>
      </c>
      <c r="D36391" s="21" t="s">
        <v>34</v>
      </c>
      <c r="E36391" s="21" t="s">
        <v>71</v>
      </c>
      <c r="F36391">
        <v>7590293</v>
      </c>
      <c r="G36391" t="s">
        <v>2431</v>
      </c>
      <c r="H36391" s="21">
        <v>497.5</v>
      </c>
    </row>
    <row r="36392" spans="1:8" customFormat="1" x14ac:dyDescent="0.25">
      <c r="A36392" t="str">
        <f>"038256"</f>
        <v>038256</v>
      </c>
      <c r="B36392" t="s">
        <v>15897</v>
      </c>
      <c r="C36392" t="s">
        <v>598</v>
      </c>
      <c r="D36392" s="21" t="s">
        <v>34</v>
      </c>
      <c r="E36392" s="21" t="s">
        <v>71</v>
      </c>
      <c r="F36392">
        <v>1030165</v>
      </c>
      <c r="G36392" t="s">
        <v>2357</v>
      </c>
      <c r="H36392" s="21">
        <v>497.5</v>
      </c>
    </row>
    <row r="36393" spans="1:8" customFormat="1" x14ac:dyDescent="0.25">
      <c r="A36393" t="str">
        <f>"2617213"</f>
        <v>2617213</v>
      </c>
      <c r="B36393" t="s">
        <v>461</v>
      </c>
      <c r="C36393" t="s">
        <v>204</v>
      </c>
      <c r="D36393" s="21" t="s">
        <v>34</v>
      </c>
      <c r="E36393" s="21" t="s">
        <v>35</v>
      </c>
      <c r="F36393">
        <v>1260071</v>
      </c>
      <c r="G36393" t="s">
        <v>798</v>
      </c>
      <c r="H36393" s="21">
        <v>497.5</v>
      </c>
    </row>
    <row r="36394" spans="1:8" customFormat="1" x14ac:dyDescent="0.25">
      <c r="A36394" t="str">
        <f>"9249641"</f>
        <v>9249641</v>
      </c>
      <c r="B36394" t="s">
        <v>24414</v>
      </c>
      <c r="C36394" t="s">
        <v>263</v>
      </c>
      <c r="D36394" s="21" t="s">
        <v>34</v>
      </c>
      <c r="E36394" s="21" t="s">
        <v>254</v>
      </c>
      <c r="F36394">
        <v>8920140</v>
      </c>
      <c r="G36394" t="s">
        <v>3762</v>
      </c>
      <c r="H36394" s="21">
        <v>497.5</v>
      </c>
    </row>
    <row r="36395" spans="1:8" customFormat="1" x14ac:dyDescent="0.25">
      <c r="A36395" t="str">
        <f>"6110429"</f>
        <v>6110429</v>
      </c>
      <c r="B36395" t="s">
        <v>1610</v>
      </c>
      <c r="C36395" t="s">
        <v>412</v>
      </c>
      <c r="D36395" s="21" t="s">
        <v>34</v>
      </c>
      <c r="E36395" s="21" t="s">
        <v>254</v>
      </c>
      <c r="F36395">
        <v>9610035</v>
      </c>
      <c r="G36395" t="s">
        <v>7061</v>
      </c>
      <c r="H36395" s="21">
        <v>497.5</v>
      </c>
    </row>
    <row r="36396" spans="1:8" customFormat="1" x14ac:dyDescent="0.25">
      <c r="A36396" t="str">
        <f>"6015104"</f>
        <v>6015104</v>
      </c>
      <c r="B36396" t="s">
        <v>23334</v>
      </c>
      <c r="C36396" t="s">
        <v>253</v>
      </c>
      <c r="D36396" s="21" t="s">
        <v>34</v>
      </c>
      <c r="E36396" s="21" t="s">
        <v>254</v>
      </c>
      <c r="F36396">
        <v>7600017</v>
      </c>
      <c r="G36396" t="s">
        <v>8498</v>
      </c>
      <c r="H36396" s="21">
        <v>497.5</v>
      </c>
    </row>
    <row r="36397" spans="1:8" customFormat="1" x14ac:dyDescent="0.25">
      <c r="A36397" t="str">
        <f>"4935925"</f>
        <v>4935925</v>
      </c>
      <c r="B36397" t="s">
        <v>23561</v>
      </c>
      <c r="C36397" t="s">
        <v>23562</v>
      </c>
      <c r="D36397" s="21" t="s">
        <v>34</v>
      </c>
      <c r="E36397" s="21" t="s">
        <v>35</v>
      </c>
      <c r="F36397">
        <v>12490098</v>
      </c>
      <c r="G36397" t="s">
        <v>2670</v>
      </c>
      <c r="H36397" s="21">
        <v>497.5</v>
      </c>
    </row>
    <row r="36398" spans="1:8" customFormat="1" x14ac:dyDescent="0.25">
      <c r="A36398" t="str">
        <f>"814450"</f>
        <v>814450</v>
      </c>
      <c r="B36398" t="s">
        <v>23943</v>
      </c>
      <c r="C36398" t="s">
        <v>1914</v>
      </c>
      <c r="D36398" s="21" t="s">
        <v>34</v>
      </c>
      <c r="E36398" s="21" t="s">
        <v>35</v>
      </c>
      <c r="F36398">
        <v>11810001</v>
      </c>
      <c r="G36398" t="s">
        <v>26998</v>
      </c>
      <c r="H36398" s="21">
        <v>497.5</v>
      </c>
    </row>
    <row r="36399" spans="1:8" customFormat="1" x14ac:dyDescent="0.25">
      <c r="A36399" t="str">
        <f>"8815983"</f>
        <v>8815983</v>
      </c>
      <c r="B36399" t="s">
        <v>29253</v>
      </c>
      <c r="C36399" t="s">
        <v>124</v>
      </c>
      <c r="D36399" s="21" t="s">
        <v>34</v>
      </c>
      <c r="E36399" s="21" t="s">
        <v>35</v>
      </c>
      <c r="F36399">
        <v>6880002</v>
      </c>
      <c r="G36399" t="s">
        <v>501</v>
      </c>
      <c r="H36399" s="21">
        <v>497.5</v>
      </c>
    </row>
    <row r="36400" spans="1:8" customFormat="1" x14ac:dyDescent="0.25">
      <c r="A36400" t="str">
        <f>"597216"</f>
        <v>597216</v>
      </c>
      <c r="B36400" t="s">
        <v>16843</v>
      </c>
      <c r="C36400" t="s">
        <v>528</v>
      </c>
      <c r="D36400" s="21" t="s">
        <v>34</v>
      </c>
      <c r="E36400" s="21" t="s">
        <v>71</v>
      </c>
      <c r="F36400">
        <v>7590024</v>
      </c>
      <c r="G36400" t="s">
        <v>14009</v>
      </c>
      <c r="H36400" s="21">
        <v>497.5</v>
      </c>
    </row>
    <row r="36401" spans="1:8" customFormat="1" x14ac:dyDescent="0.25">
      <c r="A36401" t="str">
        <f>"114450"</f>
        <v>114450</v>
      </c>
      <c r="B36401" t="s">
        <v>23719</v>
      </c>
      <c r="C36401" t="s">
        <v>263</v>
      </c>
      <c r="D36401" s="21" t="s">
        <v>34</v>
      </c>
      <c r="E36401" s="21" t="s">
        <v>254</v>
      </c>
      <c r="F36401">
        <v>11110027</v>
      </c>
      <c r="G36401" t="s">
        <v>713</v>
      </c>
      <c r="H36401" s="21">
        <v>497.5</v>
      </c>
    </row>
    <row r="36402" spans="1:8" customFormat="1" x14ac:dyDescent="0.25">
      <c r="A36402" t="str">
        <f>"5979537"</f>
        <v>5979537</v>
      </c>
      <c r="B36402" t="s">
        <v>3930</v>
      </c>
      <c r="C36402" t="s">
        <v>379</v>
      </c>
      <c r="D36402" s="21" t="s">
        <v>34</v>
      </c>
      <c r="E36402" s="21" t="s">
        <v>254</v>
      </c>
      <c r="F36402">
        <v>7590170</v>
      </c>
      <c r="G36402" t="s">
        <v>868</v>
      </c>
      <c r="H36402" s="21">
        <v>497.5</v>
      </c>
    </row>
    <row r="36403" spans="1:8" customFormat="1" x14ac:dyDescent="0.25">
      <c r="A36403" t="str">
        <f>"9147322"</f>
        <v>9147322</v>
      </c>
      <c r="B36403" t="s">
        <v>13044</v>
      </c>
      <c r="C36403" t="s">
        <v>171</v>
      </c>
      <c r="D36403" s="21" t="s">
        <v>34</v>
      </c>
      <c r="E36403" s="21" t="s">
        <v>35</v>
      </c>
      <c r="F36403">
        <v>8911464</v>
      </c>
      <c r="G36403" t="s">
        <v>17832</v>
      </c>
      <c r="H36403" s="21">
        <v>497.5</v>
      </c>
    </row>
    <row r="36404" spans="1:8" customFormat="1" x14ac:dyDescent="0.25">
      <c r="A36404" t="str">
        <f>"2938668"</f>
        <v>2938668</v>
      </c>
      <c r="B36404" t="s">
        <v>15138</v>
      </c>
      <c r="C36404" t="s">
        <v>33</v>
      </c>
      <c r="D36404" s="21" t="s">
        <v>34</v>
      </c>
      <c r="E36404" s="21" t="s">
        <v>35</v>
      </c>
      <c r="F36404">
        <v>3290232</v>
      </c>
      <c r="G36404" t="s">
        <v>9588</v>
      </c>
      <c r="H36404" s="21">
        <v>497.5</v>
      </c>
    </row>
    <row r="36405" spans="1:8" customFormat="1" x14ac:dyDescent="0.25">
      <c r="A36405" t="str">
        <f>"3534140"</f>
        <v>3534140</v>
      </c>
      <c r="B36405" t="s">
        <v>23048</v>
      </c>
      <c r="C36405" t="s">
        <v>720</v>
      </c>
      <c r="D36405" s="21" t="s">
        <v>34</v>
      </c>
      <c r="E36405" s="21" t="s">
        <v>6185</v>
      </c>
      <c r="F36405">
        <v>3350223</v>
      </c>
      <c r="G36405" t="s">
        <v>17373</v>
      </c>
      <c r="H36405" s="21">
        <v>497.5</v>
      </c>
    </row>
    <row r="36406" spans="1:8" customFormat="1" x14ac:dyDescent="0.25">
      <c r="A36406" t="str">
        <f>"9322225"</f>
        <v>9322225</v>
      </c>
      <c r="B36406" t="s">
        <v>29254</v>
      </c>
      <c r="C36406" t="s">
        <v>926</v>
      </c>
      <c r="D36406" s="21" t="s">
        <v>34</v>
      </c>
      <c r="E36406" s="21" t="s">
        <v>71</v>
      </c>
      <c r="F36406">
        <v>8931057</v>
      </c>
      <c r="G36406" t="s">
        <v>1011</v>
      </c>
      <c r="H36406" s="21">
        <v>497.5</v>
      </c>
    </row>
    <row r="36407" spans="1:8" customFormat="1" x14ac:dyDescent="0.25">
      <c r="A36407" t="str">
        <f>"8527219"</f>
        <v>8527219</v>
      </c>
      <c r="B36407" t="s">
        <v>2489</v>
      </c>
      <c r="C36407" t="s">
        <v>62</v>
      </c>
      <c r="D36407" s="21" t="s">
        <v>34</v>
      </c>
      <c r="E36407" s="21" t="s">
        <v>35</v>
      </c>
      <c r="F36407">
        <v>12850125</v>
      </c>
      <c r="G36407" t="s">
        <v>9898</v>
      </c>
      <c r="H36407" s="21">
        <v>497.5</v>
      </c>
    </row>
    <row r="36408" spans="1:8" customFormat="1" x14ac:dyDescent="0.25">
      <c r="A36408" t="str">
        <f>"3014409"</f>
        <v>3014409</v>
      </c>
      <c r="B36408" t="s">
        <v>20253</v>
      </c>
      <c r="C36408" t="s">
        <v>285</v>
      </c>
      <c r="D36408" s="21" t="s">
        <v>34</v>
      </c>
      <c r="E36408" s="21" t="s">
        <v>35</v>
      </c>
      <c r="F36408">
        <v>11300021</v>
      </c>
      <c r="G36408" t="s">
        <v>22941</v>
      </c>
      <c r="H36408" s="21">
        <v>497.5</v>
      </c>
    </row>
    <row r="36409" spans="1:8" customFormat="1" x14ac:dyDescent="0.25">
      <c r="A36409" t="str">
        <f>"9321732"</f>
        <v>9321732</v>
      </c>
      <c r="B36409" t="s">
        <v>29255</v>
      </c>
      <c r="C36409" t="s">
        <v>55</v>
      </c>
      <c r="D36409" s="21" t="s">
        <v>34</v>
      </c>
      <c r="E36409" s="21" t="s">
        <v>71</v>
      </c>
      <c r="F36409">
        <v>8931011</v>
      </c>
      <c r="G36409" t="s">
        <v>530</v>
      </c>
      <c r="H36409" s="21">
        <v>497.5</v>
      </c>
    </row>
    <row r="36410" spans="1:8" customFormat="1" x14ac:dyDescent="0.25">
      <c r="A36410" t="str">
        <f>"9456781"</f>
        <v>9456781</v>
      </c>
      <c r="B36410" t="s">
        <v>4335</v>
      </c>
      <c r="C36410" t="s">
        <v>87</v>
      </c>
      <c r="D36410" s="21" t="s">
        <v>34</v>
      </c>
      <c r="E36410" s="21" t="s">
        <v>35</v>
      </c>
      <c r="F36410">
        <v>8940872</v>
      </c>
      <c r="G36410" t="s">
        <v>4687</v>
      </c>
      <c r="H36410" s="21">
        <v>497.5</v>
      </c>
    </row>
    <row r="36411" spans="1:8" customFormat="1" x14ac:dyDescent="0.25">
      <c r="A36411" t="str">
        <f>"4452065"</f>
        <v>4452065</v>
      </c>
      <c r="B36411" t="s">
        <v>13042</v>
      </c>
      <c r="C36411" t="s">
        <v>302</v>
      </c>
      <c r="D36411" s="21" t="s">
        <v>34</v>
      </c>
      <c r="E36411" s="21" t="s">
        <v>254</v>
      </c>
      <c r="F36411">
        <v>12440002</v>
      </c>
      <c r="G36411" t="s">
        <v>47</v>
      </c>
      <c r="H36411" s="21">
        <v>497.5</v>
      </c>
    </row>
    <row r="36412" spans="1:8" customFormat="1" x14ac:dyDescent="0.25">
      <c r="A36412" t="str">
        <f>"884576"</f>
        <v>884576</v>
      </c>
      <c r="B36412" t="s">
        <v>11341</v>
      </c>
      <c r="C36412" t="s">
        <v>7441</v>
      </c>
      <c r="D36412" s="21" t="s">
        <v>34</v>
      </c>
      <c r="E36412" s="21" t="s">
        <v>1089</v>
      </c>
      <c r="F36412">
        <v>6880017</v>
      </c>
      <c r="G36412" t="s">
        <v>5061</v>
      </c>
      <c r="H36412" s="21">
        <v>497.5</v>
      </c>
    </row>
    <row r="36413" spans="1:8" customFormat="1" x14ac:dyDescent="0.25">
      <c r="A36413" t="str">
        <f>"5114175"</f>
        <v>5114175</v>
      </c>
      <c r="B36413" t="s">
        <v>3332</v>
      </c>
      <c r="C36413" t="s">
        <v>139</v>
      </c>
      <c r="D36413" s="21" t="s">
        <v>34</v>
      </c>
      <c r="E36413" s="21" t="s">
        <v>35</v>
      </c>
      <c r="F36413">
        <v>6510036</v>
      </c>
      <c r="G36413" t="s">
        <v>2902</v>
      </c>
      <c r="H36413" s="21">
        <v>497.5</v>
      </c>
    </row>
    <row r="36414" spans="1:8" customFormat="1" x14ac:dyDescent="0.25">
      <c r="A36414" t="str">
        <f>"5621902"</f>
        <v>5621902</v>
      </c>
      <c r="B36414" t="s">
        <v>10186</v>
      </c>
      <c r="C36414" t="s">
        <v>121</v>
      </c>
      <c r="D36414" s="21" t="s">
        <v>34</v>
      </c>
      <c r="E36414" s="21" t="s">
        <v>35</v>
      </c>
      <c r="F36414">
        <v>3560052</v>
      </c>
      <c r="G36414" t="s">
        <v>18504</v>
      </c>
      <c r="H36414" s="21">
        <v>497.5</v>
      </c>
    </row>
    <row r="36415" spans="1:8" customFormat="1" x14ac:dyDescent="0.25">
      <c r="A36415" t="str">
        <f>"3537010"</f>
        <v>3537010</v>
      </c>
      <c r="B36415" t="s">
        <v>16574</v>
      </c>
      <c r="C36415" t="s">
        <v>156</v>
      </c>
      <c r="D36415" s="21" t="s">
        <v>34</v>
      </c>
      <c r="E36415" s="21" t="s">
        <v>35</v>
      </c>
      <c r="F36415">
        <v>3350232</v>
      </c>
      <c r="G36415" t="s">
        <v>7147</v>
      </c>
      <c r="H36415" s="21">
        <v>497.5</v>
      </c>
    </row>
    <row r="36416" spans="1:8" customFormat="1" x14ac:dyDescent="0.25">
      <c r="A36416" t="str">
        <f>"7853288"</f>
        <v>7853288</v>
      </c>
      <c r="B36416" t="s">
        <v>12492</v>
      </c>
      <c r="C36416" t="s">
        <v>124</v>
      </c>
      <c r="D36416" s="21" t="s">
        <v>34</v>
      </c>
      <c r="E36416" s="21" t="s">
        <v>71</v>
      </c>
      <c r="F36416">
        <v>8781290</v>
      </c>
      <c r="G36416" t="s">
        <v>2927</v>
      </c>
      <c r="H36416" s="21">
        <v>497.5</v>
      </c>
    </row>
    <row r="36417" spans="1:8" customFormat="1" x14ac:dyDescent="0.25">
      <c r="A36417" t="str">
        <f>"1426537"</f>
        <v>1426537</v>
      </c>
      <c r="B36417" t="s">
        <v>29256</v>
      </c>
      <c r="C36417" t="s">
        <v>236</v>
      </c>
      <c r="D36417" s="21" t="s">
        <v>34</v>
      </c>
      <c r="E36417" s="21" t="s">
        <v>71</v>
      </c>
      <c r="F36417">
        <v>9140185</v>
      </c>
      <c r="G36417" t="s">
        <v>1578</v>
      </c>
      <c r="H36417" s="21">
        <v>497.5</v>
      </c>
    </row>
    <row r="36418" spans="1:8" customFormat="1" x14ac:dyDescent="0.25">
      <c r="A36418" t="str">
        <f>"5425569"</f>
        <v>5425569</v>
      </c>
      <c r="B36418" t="s">
        <v>22111</v>
      </c>
      <c r="C36418" t="s">
        <v>236</v>
      </c>
      <c r="D36418" s="21" t="s">
        <v>34</v>
      </c>
      <c r="E36418" s="21" t="s">
        <v>254</v>
      </c>
      <c r="F36418">
        <v>6540184</v>
      </c>
      <c r="G36418" t="s">
        <v>4395</v>
      </c>
      <c r="H36418" s="21">
        <v>497.5</v>
      </c>
    </row>
    <row r="36419" spans="1:8" customFormat="1" x14ac:dyDescent="0.25">
      <c r="A36419" t="str">
        <f>"34789"</f>
        <v>34789</v>
      </c>
      <c r="B36419" t="s">
        <v>4609</v>
      </c>
      <c r="C36419" t="s">
        <v>246</v>
      </c>
      <c r="D36419" s="21" t="s">
        <v>34</v>
      </c>
      <c r="E36419" s="21" t="s">
        <v>254</v>
      </c>
      <c r="F36419">
        <v>11340012</v>
      </c>
      <c r="G36419" t="s">
        <v>10413</v>
      </c>
      <c r="H36419" s="21">
        <v>497.5</v>
      </c>
    </row>
    <row r="36420" spans="1:8" customFormat="1" x14ac:dyDescent="0.25">
      <c r="A36420" t="str">
        <f>"1421679"</f>
        <v>1421679</v>
      </c>
      <c r="B36420" t="s">
        <v>22137</v>
      </c>
      <c r="C36420" t="s">
        <v>598</v>
      </c>
      <c r="D36420" s="21" t="s">
        <v>34</v>
      </c>
      <c r="E36420" s="21" t="s">
        <v>71</v>
      </c>
      <c r="F36420">
        <v>9140072</v>
      </c>
      <c r="G36420" t="s">
        <v>4810</v>
      </c>
      <c r="H36420" s="21">
        <v>497.5</v>
      </c>
    </row>
    <row r="36421" spans="1:8" customFormat="1" x14ac:dyDescent="0.25">
      <c r="A36421" t="str">
        <f>"3721962"</f>
        <v>3721962</v>
      </c>
      <c r="B36421" t="s">
        <v>24670</v>
      </c>
      <c r="C36421" t="s">
        <v>249</v>
      </c>
      <c r="D36421" s="21" t="s">
        <v>34</v>
      </c>
      <c r="E36421" s="21" t="s">
        <v>71</v>
      </c>
      <c r="F36421">
        <v>4370533</v>
      </c>
      <c r="G36421" t="s">
        <v>10553</v>
      </c>
      <c r="H36421" s="21">
        <v>497.5</v>
      </c>
    </row>
    <row r="36422" spans="1:8" customFormat="1" x14ac:dyDescent="0.25">
      <c r="A36422" t="str">
        <f>"8612918"</f>
        <v>8612918</v>
      </c>
      <c r="B36422" t="s">
        <v>22314</v>
      </c>
      <c r="C36422" t="s">
        <v>60</v>
      </c>
      <c r="D36422" s="21" t="s">
        <v>34</v>
      </c>
      <c r="E36422" s="21" t="s">
        <v>35</v>
      </c>
      <c r="F36422">
        <v>10860234</v>
      </c>
      <c r="G36422" t="s">
        <v>1966</v>
      </c>
      <c r="H36422" s="21">
        <v>497.5</v>
      </c>
    </row>
    <row r="36423" spans="1:8" customFormat="1" x14ac:dyDescent="0.25">
      <c r="A36423" t="str">
        <f>"4447819"</f>
        <v>4447819</v>
      </c>
      <c r="B36423" t="s">
        <v>29257</v>
      </c>
      <c r="C36423" t="s">
        <v>119</v>
      </c>
      <c r="D36423" s="21" t="s">
        <v>34</v>
      </c>
      <c r="E36423" s="21" t="s">
        <v>35</v>
      </c>
      <c r="F36423">
        <v>12440030</v>
      </c>
      <c r="G36423" t="s">
        <v>5524</v>
      </c>
      <c r="H36423" s="21">
        <v>497.5</v>
      </c>
    </row>
    <row r="36424" spans="1:8" customFormat="1" x14ac:dyDescent="0.25">
      <c r="A36424" t="str">
        <f>"813672"</f>
        <v>813672</v>
      </c>
      <c r="B36424" t="s">
        <v>12844</v>
      </c>
      <c r="C36424" t="s">
        <v>239</v>
      </c>
      <c r="D36424" s="21" t="s">
        <v>34</v>
      </c>
      <c r="E36424" s="21" t="s">
        <v>71</v>
      </c>
      <c r="F36424">
        <v>11810003</v>
      </c>
      <c r="G36424" t="s">
        <v>1934</v>
      </c>
      <c r="H36424" s="21">
        <v>497.5</v>
      </c>
    </row>
    <row r="36425" spans="1:8" customFormat="1" x14ac:dyDescent="0.25">
      <c r="A36425" t="str">
        <f>"5114040"</f>
        <v>5114040</v>
      </c>
      <c r="B36425" t="s">
        <v>1835</v>
      </c>
      <c r="C36425" t="s">
        <v>879</v>
      </c>
      <c r="D36425" s="21" t="s">
        <v>34</v>
      </c>
      <c r="E36425" s="21" t="s">
        <v>71</v>
      </c>
      <c r="F36425">
        <v>6510110</v>
      </c>
      <c r="G36425" t="s">
        <v>9011</v>
      </c>
      <c r="H36425" s="21">
        <v>497.5</v>
      </c>
    </row>
    <row r="36426" spans="1:8" customFormat="1" x14ac:dyDescent="0.25">
      <c r="A36426" t="str">
        <f>"1717662"</f>
        <v>1717662</v>
      </c>
      <c r="B36426" t="s">
        <v>5345</v>
      </c>
      <c r="C36426" t="s">
        <v>720</v>
      </c>
      <c r="D36426" s="21" t="s">
        <v>34</v>
      </c>
      <c r="E36426" s="21" t="s">
        <v>1089</v>
      </c>
      <c r="F36426">
        <v>10170214</v>
      </c>
      <c r="G36426" t="s">
        <v>5533</v>
      </c>
      <c r="H36426" s="21">
        <v>497.5</v>
      </c>
    </row>
    <row r="36427" spans="1:8" customFormat="1" x14ac:dyDescent="0.25">
      <c r="A36427" t="str">
        <f>"1717245"</f>
        <v>1717245</v>
      </c>
      <c r="B36427" t="s">
        <v>2088</v>
      </c>
      <c r="C36427" t="s">
        <v>204</v>
      </c>
      <c r="D36427" s="21" t="s">
        <v>34</v>
      </c>
      <c r="E36427" s="21" t="s">
        <v>35</v>
      </c>
      <c r="F36427">
        <v>10170009</v>
      </c>
      <c r="G36427" t="s">
        <v>3810</v>
      </c>
      <c r="H36427" s="21">
        <v>497.5</v>
      </c>
    </row>
    <row r="36428" spans="1:8" customFormat="1" x14ac:dyDescent="0.25">
      <c r="A36428" t="str">
        <f>"824081"</f>
        <v>824081</v>
      </c>
      <c r="B36428" t="s">
        <v>29258</v>
      </c>
      <c r="C36428" t="s">
        <v>249</v>
      </c>
      <c r="D36428" s="21" t="s">
        <v>34</v>
      </c>
      <c r="E36428" s="21" t="s">
        <v>35</v>
      </c>
      <c r="F36428">
        <v>11820032</v>
      </c>
      <c r="G36428" t="s">
        <v>14258</v>
      </c>
      <c r="H36428" s="21">
        <v>497.5</v>
      </c>
    </row>
    <row r="36429" spans="1:8" customFormat="1" x14ac:dyDescent="0.25">
      <c r="A36429" t="str">
        <f>"6945286"</f>
        <v>6945286</v>
      </c>
      <c r="B36429" t="s">
        <v>29259</v>
      </c>
      <c r="C36429" t="s">
        <v>55</v>
      </c>
      <c r="D36429" s="21" t="s">
        <v>34</v>
      </c>
      <c r="E36429" s="21" t="s">
        <v>71</v>
      </c>
      <c r="F36429">
        <v>1690223</v>
      </c>
      <c r="G36429" t="s">
        <v>26579</v>
      </c>
      <c r="H36429" s="21">
        <v>497.5</v>
      </c>
    </row>
    <row r="36430" spans="1:8" customFormat="1" x14ac:dyDescent="0.25">
      <c r="A36430" t="str">
        <f>"2110940"</f>
        <v>2110940</v>
      </c>
      <c r="B36430" t="s">
        <v>21749</v>
      </c>
      <c r="C36430" t="s">
        <v>379</v>
      </c>
      <c r="D36430" s="21" t="s">
        <v>34</v>
      </c>
      <c r="E36430" s="21" t="s">
        <v>254</v>
      </c>
      <c r="F36430">
        <v>2210029</v>
      </c>
      <c r="G36430" t="s">
        <v>6983</v>
      </c>
      <c r="H36430" s="21">
        <v>497.42</v>
      </c>
    </row>
    <row r="36431" spans="1:8" customFormat="1" x14ac:dyDescent="0.25">
      <c r="A36431" t="str">
        <f>"7878934"</f>
        <v>7878934</v>
      </c>
      <c r="B36431" t="s">
        <v>2464</v>
      </c>
      <c r="C36431" t="s">
        <v>269</v>
      </c>
      <c r="D36431" s="21" t="s">
        <v>34</v>
      </c>
      <c r="E36431" s="21" t="s">
        <v>35</v>
      </c>
      <c r="F36431">
        <v>8780568</v>
      </c>
      <c r="G36431" t="s">
        <v>5279</v>
      </c>
      <c r="H36431" s="21">
        <v>497.42</v>
      </c>
    </row>
    <row r="36432" spans="1:8" customFormat="1" x14ac:dyDescent="0.25">
      <c r="A36432" t="str">
        <f>"2715495"</f>
        <v>2715495</v>
      </c>
      <c r="B36432" t="s">
        <v>21411</v>
      </c>
      <c r="C36432" t="s">
        <v>1146</v>
      </c>
      <c r="D36432" s="21" t="s">
        <v>34</v>
      </c>
      <c r="E36432" s="21" t="s">
        <v>254</v>
      </c>
      <c r="F36432">
        <v>9270164</v>
      </c>
      <c r="G36432" t="s">
        <v>8686</v>
      </c>
      <c r="H36432" s="21">
        <v>497.38</v>
      </c>
    </row>
    <row r="36433" spans="1:8" customFormat="1" x14ac:dyDescent="0.25">
      <c r="A36433" t="str">
        <f>"7523016"</f>
        <v>7523016</v>
      </c>
      <c r="B36433" t="s">
        <v>22662</v>
      </c>
      <c r="C36433" t="s">
        <v>302</v>
      </c>
      <c r="D36433" s="21" t="s">
        <v>34</v>
      </c>
      <c r="E36433" s="21" t="s">
        <v>254</v>
      </c>
      <c r="F36433">
        <v>8750209</v>
      </c>
      <c r="G36433" t="s">
        <v>5541</v>
      </c>
      <c r="H36433" s="21">
        <v>497.38</v>
      </c>
    </row>
    <row r="36434" spans="1:8" customFormat="1" x14ac:dyDescent="0.25">
      <c r="A36434" t="str">
        <f>"651677"</f>
        <v>651677</v>
      </c>
      <c r="B36434" t="s">
        <v>22021</v>
      </c>
      <c r="C36434" t="s">
        <v>7952</v>
      </c>
      <c r="D36434" s="21" t="s">
        <v>34</v>
      </c>
      <c r="E36434" s="21" t="s">
        <v>71</v>
      </c>
      <c r="F36434">
        <v>11650016</v>
      </c>
      <c r="G36434" t="s">
        <v>9559</v>
      </c>
      <c r="H36434" s="21">
        <v>497.29</v>
      </c>
    </row>
    <row r="36435" spans="1:8" customFormat="1" x14ac:dyDescent="0.25">
      <c r="A36435" t="str">
        <f>"3013868"</f>
        <v>3013868</v>
      </c>
      <c r="B36435" t="s">
        <v>1349</v>
      </c>
      <c r="C36435" t="s">
        <v>867</v>
      </c>
      <c r="D36435" s="21" t="s">
        <v>34</v>
      </c>
      <c r="E36435" s="21" t="s">
        <v>35</v>
      </c>
      <c r="F36435">
        <v>11300040</v>
      </c>
      <c r="G36435" t="s">
        <v>13373</v>
      </c>
      <c r="H36435" s="21">
        <v>497.25</v>
      </c>
    </row>
    <row r="36436" spans="1:8" customFormat="1" x14ac:dyDescent="0.25">
      <c r="A36436" t="str">
        <f>"7876246"</f>
        <v>7876246</v>
      </c>
      <c r="B36436" t="s">
        <v>18595</v>
      </c>
      <c r="C36436" t="s">
        <v>87</v>
      </c>
      <c r="D36436" s="21" t="s">
        <v>34</v>
      </c>
      <c r="E36436" s="21" t="s">
        <v>71</v>
      </c>
      <c r="F36436">
        <v>8780108</v>
      </c>
      <c r="G36436" t="s">
        <v>4329</v>
      </c>
      <c r="H36436" s="21">
        <v>497.25</v>
      </c>
    </row>
    <row r="36437" spans="1:8" customFormat="1" x14ac:dyDescent="0.25">
      <c r="A36437" t="str">
        <f>"459322"</f>
        <v>459322</v>
      </c>
      <c r="B36437" t="s">
        <v>6053</v>
      </c>
      <c r="C36437" t="s">
        <v>598</v>
      </c>
      <c r="D36437" s="21" t="s">
        <v>34</v>
      </c>
      <c r="E36437" s="21" t="s">
        <v>1089</v>
      </c>
      <c r="F36437">
        <v>4450184</v>
      </c>
      <c r="G36437" t="s">
        <v>3956</v>
      </c>
      <c r="H36437" s="21">
        <v>497.25</v>
      </c>
    </row>
    <row r="36438" spans="1:8" customFormat="1" x14ac:dyDescent="0.25">
      <c r="A36438" t="str">
        <f>"67800"</f>
        <v>67800</v>
      </c>
      <c r="B36438" t="s">
        <v>690</v>
      </c>
      <c r="C36438" t="s">
        <v>2365</v>
      </c>
      <c r="D36438" s="21" t="s">
        <v>34</v>
      </c>
      <c r="E36438" s="21" t="s">
        <v>254</v>
      </c>
      <c r="F36438">
        <v>6670078</v>
      </c>
      <c r="G36438" t="s">
        <v>11329</v>
      </c>
      <c r="H36438" s="21">
        <v>497.25</v>
      </c>
    </row>
    <row r="36439" spans="1:8" customFormat="1" x14ac:dyDescent="0.25">
      <c r="A36439" t="str">
        <f>"9234260"</f>
        <v>9234260</v>
      </c>
      <c r="B36439" t="s">
        <v>1349</v>
      </c>
      <c r="C36439" t="s">
        <v>267</v>
      </c>
      <c r="D36439" s="21" t="s">
        <v>34</v>
      </c>
      <c r="E36439" s="21" t="s">
        <v>254</v>
      </c>
      <c r="F36439">
        <v>9270041</v>
      </c>
      <c r="G36439" t="s">
        <v>4698</v>
      </c>
      <c r="H36439" s="21">
        <v>497.17</v>
      </c>
    </row>
    <row r="36440" spans="1:8" customFormat="1" x14ac:dyDescent="0.25">
      <c r="A36440" t="str">
        <f>"226383"</f>
        <v>226383</v>
      </c>
      <c r="B36440" t="s">
        <v>1028</v>
      </c>
      <c r="C36440" t="s">
        <v>1914</v>
      </c>
      <c r="D36440" s="21" t="s">
        <v>34</v>
      </c>
      <c r="E36440" s="21" t="s">
        <v>1089</v>
      </c>
      <c r="F36440">
        <v>3220030</v>
      </c>
      <c r="G36440" t="s">
        <v>26821</v>
      </c>
      <c r="H36440" s="21">
        <v>497.17</v>
      </c>
    </row>
    <row r="36441" spans="1:8" customFormat="1" x14ac:dyDescent="0.25">
      <c r="A36441" t="str">
        <f>"17614"</f>
        <v>17614</v>
      </c>
      <c r="B36441" t="s">
        <v>3976</v>
      </c>
      <c r="C36441" t="s">
        <v>412</v>
      </c>
      <c r="D36441" s="21" t="s">
        <v>34</v>
      </c>
      <c r="E36441" s="21" t="s">
        <v>1089</v>
      </c>
      <c r="F36441">
        <v>10170064</v>
      </c>
      <c r="G36441" t="s">
        <v>1900</v>
      </c>
      <c r="H36441" s="21">
        <v>497.17</v>
      </c>
    </row>
    <row r="36442" spans="1:8" customFormat="1" x14ac:dyDescent="0.25">
      <c r="A36442" t="str">
        <f>"5943218"</f>
        <v>5943218</v>
      </c>
      <c r="B36442" t="s">
        <v>19757</v>
      </c>
      <c r="C36442" t="s">
        <v>267</v>
      </c>
      <c r="D36442" s="21" t="s">
        <v>34</v>
      </c>
      <c r="E36442" s="21" t="s">
        <v>254</v>
      </c>
      <c r="F36442">
        <v>7590376</v>
      </c>
      <c r="G36442" t="s">
        <v>15405</v>
      </c>
      <c r="H36442" s="21">
        <v>497.17</v>
      </c>
    </row>
    <row r="36443" spans="1:8" customFormat="1" x14ac:dyDescent="0.25">
      <c r="A36443" t="str">
        <f>"617285"</f>
        <v>617285</v>
      </c>
      <c r="B36443" t="s">
        <v>19861</v>
      </c>
      <c r="C36443" t="s">
        <v>528</v>
      </c>
      <c r="D36443" s="21" t="s">
        <v>34</v>
      </c>
      <c r="E36443" s="21" t="s">
        <v>1089</v>
      </c>
      <c r="F36443">
        <v>9610104</v>
      </c>
      <c r="G36443" t="s">
        <v>7197</v>
      </c>
      <c r="H36443" s="21">
        <v>497.17</v>
      </c>
    </row>
    <row r="36444" spans="1:8" customFormat="1" x14ac:dyDescent="0.25">
      <c r="A36444" t="str">
        <f>"7636113"</f>
        <v>7636113</v>
      </c>
      <c r="B36444" t="s">
        <v>16667</v>
      </c>
      <c r="C36444" t="s">
        <v>262</v>
      </c>
      <c r="D36444" s="21" t="s">
        <v>34</v>
      </c>
      <c r="E36444" s="21" t="s">
        <v>35</v>
      </c>
      <c r="F36444">
        <v>9760039</v>
      </c>
      <c r="G36444" t="s">
        <v>9501</v>
      </c>
      <c r="H36444" s="21">
        <v>497.17</v>
      </c>
    </row>
    <row r="36445" spans="1:8" customFormat="1" x14ac:dyDescent="0.25">
      <c r="A36445" t="str">
        <f>"5975054"</f>
        <v>5975054</v>
      </c>
      <c r="B36445" t="s">
        <v>23678</v>
      </c>
      <c r="C36445" t="s">
        <v>598</v>
      </c>
      <c r="D36445" s="21" t="s">
        <v>34</v>
      </c>
      <c r="E36445" s="21" t="s">
        <v>35</v>
      </c>
      <c r="F36445">
        <v>7590053</v>
      </c>
      <c r="G36445" t="s">
        <v>2825</v>
      </c>
      <c r="H36445" s="21">
        <v>497.17</v>
      </c>
    </row>
    <row r="36446" spans="1:8" customFormat="1" x14ac:dyDescent="0.25">
      <c r="A36446" t="str">
        <f>"5969808"</f>
        <v>5969808</v>
      </c>
      <c r="B36446" t="s">
        <v>7987</v>
      </c>
      <c r="C36446" t="s">
        <v>621</v>
      </c>
      <c r="D36446" s="21" t="s">
        <v>34</v>
      </c>
      <c r="E36446" s="21" t="s">
        <v>71</v>
      </c>
      <c r="F36446">
        <v>7590164</v>
      </c>
      <c r="G36446" t="s">
        <v>2451</v>
      </c>
      <c r="H36446" s="21">
        <v>497.17</v>
      </c>
    </row>
    <row r="36447" spans="1:8" customFormat="1" x14ac:dyDescent="0.25">
      <c r="A36447" t="str">
        <f>"2936869"</f>
        <v>2936869</v>
      </c>
      <c r="B36447" t="s">
        <v>1463</v>
      </c>
      <c r="C36447" t="s">
        <v>2100</v>
      </c>
      <c r="D36447" s="21" t="s">
        <v>34</v>
      </c>
      <c r="E36447" s="21" t="s">
        <v>71</v>
      </c>
      <c r="F36447">
        <v>3290284</v>
      </c>
      <c r="G36447" t="s">
        <v>8972</v>
      </c>
      <c r="H36447" s="21">
        <v>497.17</v>
      </c>
    </row>
    <row r="36448" spans="1:8" customFormat="1" x14ac:dyDescent="0.25">
      <c r="A36448" t="str">
        <f>"4450316"</f>
        <v>4450316</v>
      </c>
      <c r="B36448" t="s">
        <v>479</v>
      </c>
      <c r="C36448" t="s">
        <v>114</v>
      </c>
      <c r="D36448" s="21" t="s">
        <v>34</v>
      </c>
      <c r="E36448" s="21" t="s">
        <v>35</v>
      </c>
      <c r="F36448">
        <v>12440070</v>
      </c>
      <c r="G36448" t="s">
        <v>5224</v>
      </c>
      <c r="H36448" s="21">
        <v>497.17</v>
      </c>
    </row>
    <row r="36449" spans="1:8" customFormat="1" x14ac:dyDescent="0.25">
      <c r="A36449" t="str">
        <f>"41964"</f>
        <v>41964</v>
      </c>
      <c r="B36449" t="s">
        <v>4435</v>
      </c>
      <c r="C36449" t="s">
        <v>2305</v>
      </c>
      <c r="D36449" s="21" t="s">
        <v>34</v>
      </c>
      <c r="E36449" s="21" t="s">
        <v>254</v>
      </c>
      <c r="F36449">
        <v>4410418</v>
      </c>
      <c r="G36449" t="s">
        <v>14427</v>
      </c>
      <c r="H36449" s="21">
        <v>497</v>
      </c>
    </row>
    <row r="36450" spans="1:8" customFormat="1" x14ac:dyDescent="0.25">
      <c r="A36450" t="str">
        <f>"5943375"</f>
        <v>5943375</v>
      </c>
      <c r="B36450" t="s">
        <v>21646</v>
      </c>
      <c r="C36450" t="s">
        <v>1605</v>
      </c>
      <c r="D36450" s="21" t="s">
        <v>34</v>
      </c>
      <c r="E36450" s="21" t="s">
        <v>254</v>
      </c>
      <c r="F36450">
        <v>7590047</v>
      </c>
      <c r="G36450" t="s">
        <v>5788</v>
      </c>
      <c r="H36450" s="21">
        <v>497</v>
      </c>
    </row>
    <row r="36451" spans="1:8" customFormat="1" x14ac:dyDescent="0.25">
      <c r="A36451" t="str">
        <f>"3730603"</f>
        <v>3730603</v>
      </c>
      <c r="B36451" t="s">
        <v>4872</v>
      </c>
      <c r="C36451" t="s">
        <v>262</v>
      </c>
      <c r="D36451" s="21" t="s">
        <v>34</v>
      </c>
      <c r="E36451" s="21" t="s">
        <v>35</v>
      </c>
      <c r="F36451">
        <v>4370681</v>
      </c>
      <c r="G36451" t="s">
        <v>4508</v>
      </c>
      <c r="H36451" s="21">
        <v>497</v>
      </c>
    </row>
    <row r="36452" spans="1:8" customFormat="1" x14ac:dyDescent="0.25">
      <c r="A36452" t="str">
        <f>"5619582"</f>
        <v>5619582</v>
      </c>
      <c r="B36452" t="s">
        <v>3072</v>
      </c>
      <c r="C36452" t="s">
        <v>40</v>
      </c>
      <c r="D36452" s="21" t="s">
        <v>34</v>
      </c>
      <c r="E36452" s="21" t="s">
        <v>71</v>
      </c>
      <c r="F36452">
        <v>3560094</v>
      </c>
      <c r="G36452" t="s">
        <v>10313</v>
      </c>
      <c r="H36452" s="21">
        <v>497</v>
      </c>
    </row>
    <row r="36453" spans="1:8" customFormat="1" x14ac:dyDescent="0.25">
      <c r="A36453" t="str">
        <f>"0113619"</f>
        <v>0113619</v>
      </c>
      <c r="B36453" t="s">
        <v>29260</v>
      </c>
      <c r="C36453" t="s">
        <v>87</v>
      </c>
      <c r="D36453" s="21" t="s">
        <v>34</v>
      </c>
      <c r="E36453" s="21" t="s">
        <v>35</v>
      </c>
      <c r="F36453">
        <v>1730089</v>
      </c>
      <c r="G36453" t="s">
        <v>5395</v>
      </c>
      <c r="H36453" s="21">
        <v>497</v>
      </c>
    </row>
    <row r="36454" spans="1:8" customFormat="1" x14ac:dyDescent="0.25">
      <c r="A36454" t="str">
        <f>"5731738"</f>
        <v>5731738</v>
      </c>
      <c r="B36454" t="s">
        <v>7778</v>
      </c>
      <c r="C36454" t="s">
        <v>249</v>
      </c>
      <c r="D36454" s="21" t="s">
        <v>34</v>
      </c>
      <c r="E36454" s="21" t="s">
        <v>71</v>
      </c>
      <c r="F36454">
        <v>6570093</v>
      </c>
      <c r="G36454" t="s">
        <v>6118</v>
      </c>
      <c r="H36454" s="21">
        <v>497</v>
      </c>
    </row>
    <row r="36455" spans="1:8" customFormat="1" x14ac:dyDescent="0.25">
      <c r="A36455" t="str">
        <f>"7627025"</f>
        <v>7627025</v>
      </c>
      <c r="B36455" t="s">
        <v>23324</v>
      </c>
      <c r="C36455" t="s">
        <v>412</v>
      </c>
      <c r="D36455" s="21" t="s">
        <v>34</v>
      </c>
      <c r="E36455" s="21" t="s">
        <v>1089</v>
      </c>
      <c r="F36455">
        <v>9760366</v>
      </c>
      <c r="G36455" t="s">
        <v>7640</v>
      </c>
      <c r="H36455" s="21">
        <v>497</v>
      </c>
    </row>
    <row r="36456" spans="1:8" customFormat="1" x14ac:dyDescent="0.25">
      <c r="A36456" t="str">
        <f>"6014890"</f>
        <v>6014890</v>
      </c>
      <c r="B36456" t="s">
        <v>16951</v>
      </c>
      <c r="C36456" t="s">
        <v>275</v>
      </c>
      <c r="D36456" s="21" t="s">
        <v>34</v>
      </c>
      <c r="E36456" s="21" t="s">
        <v>35</v>
      </c>
      <c r="F36456">
        <v>7600088</v>
      </c>
      <c r="G36456" t="s">
        <v>334</v>
      </c>
      <c r="H36456" s="21">
        <v>497</v>
      </c>
    </row>
    <row r="36457" spans="1:8" customFormat="1" x14ac:dyDescent="0.25">
      <c r="A36457" t="str">
        <f>"6112818"</f>
        <v>6112818</v>
      </c>
      <c r="B36457" t="s">
        <v>1601</v>
      </c>
      <c r="C36457" t="s">
        <v>269</v>
      </c>
      <c r="D36457" s="21" t="s">
        <v>34</v>
      </c>
      <c r="E36457" s="21" t="s">
        <v>71</v>
      </c>
      <c r="F36457">
        <v>9610002</v>
      </c>
      <c r="G36457" t="s">
        <v>75</v>
      </c>
      <c r="H36457" s="21">
        <v>497</v>
      </c>
    </row>
    <row r="36458" spans="1:8" customFormat="1" x14ac:dyDescent="0.25">
      <c r="A36458" t="str">
        <f>"5617216"</f>
        <v>5617216</v>
      </c>
      <c r="B36458" t="s">
        <v>19106</v>
      </c>
      <c r="C36458" t="s">
        <v>169</v>
      </c>
      <c r="D36458" s="21" t="s">
        <v>34</v>
      </c>
      <c r="E36458" s="21" t="s">
        <v>71</v>
      </c>
      <c r="F36458">
        <v>3560056</v>
      </c>
      <c r="G36458" t="s">
        <v>3145</v>
      </c>
      <c r="H36458" s="21">
        <v>497</v>
      </c>
    </row>
    <row r="36459" spans="1:8" customFormat="1" x14ac:dyDescent="0.25">
      <c r="A36459" t="str">
        <f>"491904"</f>
        <v>491904</v>
      </c>
      <c r="B36459" t="s">
        <v>16907</v>
      </c>
      <c r="C36459" t="s">
        <v>156</v>
      </c>
      <c r="D36459" s="21" t="s">
        <v>34</v>
      </c>
      <c r="E36459" s="21" t="s">
        <v>1089</v>
      </c>
      <c r="F36459">
        <v>12490037</v>
      </c>
      <c r="G36459" t="s">
        <v>8892</v>
      </c>
      <c r="H36459" s="21">
        <v>497</v>
      </c>
    </row>
    <row r="36460" spans="1:8" customFormat="1" x14ac:dyDescent="0.25">
      <c r="A36460" t="str">
        <f>"3717119"</f>
        <v>3717119</v>
      </c>
      <c r="B36460" t="s">
        <v>4918</v>
      </c>
      <c r="C36460" t="s">
        <v>288</v>
      </c>
      <c r="D36460" s="21" t="s">
        <v>34</v>
      </c>
      <c r="E36460" s="21" t="s">
        <v>35</v>
      </c>
      <c r="F36460">
        <v>4370690</v>
      </c>
      <c r="G36460" t="s">
        <v>8128</v>
      </c>
      <c r="H36460" s="21">
        <v>497</v>
      </c>
    </row>
    <row r="36461" spans="1:8" customFormat="1" x14ac:dyDescent="0.25">
      <c r="A36461" t="str">
        <f>"1610780"</f>
        <v>1610780</v>
      </c>
      <c r="B36461" t="s">
        <v>17133</v>
      </c>
      <c r="C36461" t="s">
        <v>109</v>
      </c>
      <c r="D36461" s="21" t="s">
        <v>34</v>
      </c>
      <c r="E36461" s="21" t="s">
        <v>35</v>
      </c>
      <c r="F36461">
        <v>10160051</v>
      </c>
      <c r="G36461" t="s">
        <v>7167</v>
      </c>
      <c r="H36461" s="21">
        <v>497</v>
      </c>
    </row>
    <row r="36462" spans="1:8" customFormat="1" x14ac:dyDescent="0.25">
      <c r="A36462" t="str">
        <f>"1321034"</f>
        <v>1321034</v>
      </c>
      <c r="B36462" t="s">
        <v>29261</v>
      </c>
      <c r="C36462" t="s">
        <v>29262</v>
      </c>
      <c r="D36462" s="21" t="s">
        <v>34</v>
      </c>
      <c r="E36462" s="21" t="s">
        <v>35</v>
      </c>
      <c r="F36462">
        <v>13130152</v>
      </c>
      <c r="G36462" t="s">
        <v>906</v>
      </c>
      <c r="H36462" s="21">
        <v>497</v>
      </c>
    </row>
    <row r="36463" spans="1:8" customFormat="1" x14ac:dyDescent="0.25">
      <c r="A36463" t="str">
        <f>"7731478"</f>
        <v>7731478</v>
      </c>
      <c r="B36463" t="s">
        <v>20507</v>
      </c>
      <c r="C36463" t="s">
        <v>817</v>
      </c>
      <c r="D36463" s="21" t="s">
        <v>34</v>
      </c>
      <c r="E36463" s="21" t="s">
        <v>35</v>
      </c>
      <c r="F36463">
        <v>8771501</v>
      </c>
      <c r="G36463" t="s">
        <v>10128</v>
      </c>
      <c r="H36463" s="21">
        <v>497</v>
      </c>
    </row>
    <row r="36464" spans="1:8" customFormat="1" x14ac:dyDescent="0.25">
      <c r="A36464" t="str">
        <f>"878443"</f>
        <v>878443</v>
      </c>
      <c r="B36464" t="s">
        <v>3640</v>
      </c>
      <c r="C36464" t="s">
        <v>415</v>
      </c>
      <c r="D36464" s="21" t="s">
        <v>34</v>
      </c>
      <c r="E36464" s="21" t="s">
        <v>254</v>
      </c>
      <c r="F36464">
        <v>10870109</v>
      </c>
      <c r="G36464" t="s">
        <v>5199</v>
      </c>
      <c r="H36464" s="21">
        <v>497</v>
      </c>
    </row>
    <row r="36465" spans="1:8" customFormat="1" x14ac:dyDescent="0.25">
      <c r="A36465" t="str">
        <f>"7881926"</f>
        <v>7881926</v>
      </c>
      <c r="B36465" t="s">
        <v>29263</v>
      </c>
      <c r="C36465" t="s">
        <v>29264</v>
      </c>
      <c r="D36465" s="21" t="s">
        <v>34</v>
      </c>
      <c r="E36465" s="21" t="s">
        <v>71</v>
      </c>
      <c r="F36465">
        <v>8780353</v>
      </c>
      <c r="G36465" t="s">
        <v>6524</v>
      </c>
      <c r="H36465" s="21">
        <v>497</v>
      </c>
    </row>
    <row r="36466" spans="1:8" customFormat="1" x14ac:dyDescent="0.25">
      <c r="A36466" t="str">
        <f>"65282"</f>
        <v>65282</v>
      </c>
      <c r="B36466" t="s">
        <v>29265</v>
      </c>
      <c r="C36466" t="s">
        <v>267</v>
      </c>
      <c r="D36466" s="21" t="s">
        <v>34</v>
      </c>
      <c r="E36466" s="21" t="s">
        <v>254</v>
      </c>
      <c r="F36466">
        <v>11650018</v>
      </c>
      <c r="G36466" t="s">
        <v>6247</v>
      </c>
      <c r="H36466" s="21">
        <v>497</v>
      </c>
    </row>
    <row r="36467" spans="1:8" customFormat="1" x14ac:dyDescent="0.25">
      <c r="A36467" t="str">
        <f>"066723"</f>
        <v>066723</v>
      </c>
      <c r="B36467" t="s">
        <v>29266</v>
      </c>
      <c r="C36467" t="s">
        <v>1110</v>
      </c>
      <c r="D36467" s="21" t="s">
        <v>34</v>
      </c>
      <c r="E36467" s="21" t="s">
        <v>71</v>
      </c>
      <c r="F36467">
        <v>13060114</v>
      </c>
      <c r="G36467" t="s">
        <v>4501</v>
      </c>
      <c r="H36467" s="21">
        <v>497</v>
      </c>
    </row>
    <row r="36468" spans="1:8" customFormat="1" x14ac:dyDescent="0.25">
      <c r="A36468" t="str">
        <f>"8810666"</f>
        <v>8810666</v>
      </c>
      <c r="B36468" t="s">
        <v>29267</v>
      </c>
      <c r="C36468" t="s">
        <v>33</v>
      </c>
      <c r="D36468" s="21" t="s">
        <v>34</v>
      </c>
      <c r="E36468" s="21" t="s">
        <v>71</v>
      </c>
      <c r="F36468">
        <v>6880002</v>
      </c>
      <c r="G36468" t="s">
        <v>501</v>
      </c>
      <c r="H36468" s="21">
        <v>497</v>
      </c>
    </row>
    <row r="36469" spans="1:8" customFormat="1" x14ac:dyDescent="0.25">
      <c r="A36469" t="str">
        <f>"935891"</f>
        <v>935891</v>
      </c>
      <c r="B36469" t="s">
        <v>24068</v>
      </c>
      <c r="C36469" t="s">
        <v>40</v>
      </c>
      <c r="D36469" s="21" t="s">
        <v>34</v>
      </c>
      <c r="E36469" s="21" t="s">
        <v>254</v>
      </c>
      <c r="F36469">
        <v>8931320</v>
      </c>
      <c r="G36469" t="s">
        <v>1537</v>
      </c>
      <c r="H36469" s="21">
        <v>497</v>
      </c>
    </row>
    <row r="36470" spans="1:8" customFormat="1" x14ac:dyDescent="0.25">
      <c r="A36470" t="str">
        <f>"1421698"</f>
        <v>1421698</v>
      </c>
      <c r="B36470" t="s">
        <v>3760</v>
      </c>
      <c r="C36470" t="s">
        <v>249</v>
      </c>
      <c r="D36470" s="21" t="s">
        <v>34</v>
      </c>
      <c r="E36470" s="21" t="s">
        <v>254</v>
      </c>
      <c r="F36470">
        <v>9140234</v>
      </c>
      <c r="G36470" t="s">
        <v>5548</v>
      </c>
      <c r="H36470" s="21">
        <v>497</v>
      </c>
    </row>
    <row r="36471" spans="1:8" customFormat="1" x14ac:dyDescent="0.25">
      <c r="A36471" t="str">
        <f>"5945942"</f>
        <v>5945942</v>
      </c>
      <c r="B36471" t="s">
        <v>24114</v>
      </c>
      <c r="C36471" t="s">
        <v>2479</v>
      </c>
      <c r="D36471" s="21" t="s">
        <v>34</v>
      </c>
      <c r="E36471" s="21" t="s">
        <v>254</v>
      </c>
      <c r="F36471">
        <v>7590235</v>
      </c>
      <c r="G36471" t="s">
        <v>5121</v>
      </c>
      <c r="H36471" s="21">
        <v>497</v>
      </c>
    </row>
    <row r="36472" spans="1:8" customFormat="1" x14ac:dyDescent="0.25">
      <c r="A36472" t="str">
        <f>"845616"</f>
        <v>845616</v>
      </c>
      <c r="B36472" t="s">
        <v>5098</v>
      </c>
      <c r="C36472" t="s">
        <v>1714</v>
      </c>
      <c r="D36472" s="21" t="s">
        <v>34</v>
      </c>
      <c r="E36472" s="21" t="s">
        <v>71</v>
      </c>
      <c r="F36472">
        <v>13840059</v>
      </c>
      <c r="G36472" t="s">
        <v>21670</v>
      </c>
      <c r="H36472" s="21">
        <v>497</v>
      </c>
    </row>
    <row r="36473" spans="1:8" customFormat="1" x14ac:dyDescent="0.25">
      <c r="A36473" t="str">
        <f>"4512136"</f>
        <v>4512136</v>
      </c>
      <c r="B36473" t="s">
        <v>9799</v>
      </c>
      <c r="C36473" t="s">
        <v>598</v>
      </c>
      <c r="D36473" s="21" t="s">
        <v>34</v>
      </c>
      <c r="E36473" s="21" t="s">
        <v>71</v>
      </c>
      <c r="F36473">
        <v>4450413</v>
      </c>
      <c r="G36473" t="s">
        <v>11734</v>
      </c>
      <c r="H36473" s="21">
        <v>497</v>
      </c>
    </row>
    <row r="36474" spans="1:8" customFormat="1" x14ac:dyDescent="0.25">
      <c r="A36474" t="str">
        <f>"519920"</f>
        <v>519920</v>
      </c>
      <c r="B36474" t="s">
        <v>6101</v>
      </c>
      <c r="C36474" t="s">
        <v>415</v>
      </c>
      <c r="D36474" s="21" t="s">
        <v>34</v>
      </c>
      <c r="E36474" s="21" t="s">
        <v>1089</v>
      </c>
      <c r="F36474">
        <v>6510112</v>
      </c>
      <c r="G36474" t="s">
        <v>588</v>
      </c>
      <c r="H36474" s="21">
        <v>497</v>
      </c>
    </row>
    <row r="36475" spans="1:8" customFormat="1" x14ac:dyDescent="0.25">
      <c r="A36475" t="str">
        <f>"1426532"</f>
        <v>1426532</v>
      </c>
      <c r="B36475" t="s">
        <v>7428</v>
      </c>
      <c r="C36475" t="s">
        <v>412</v>
      </c>
      <c r="D36475" s="21" t="s">
        <v>34</v>
      </c>
      <c r="E36475" s="21" t="s">
        <v>254</v>
      </c>
      <c r="F36475">
        <v>9140003</v>
      </c>
      <c r="G36475" t="s">
        <v>6152</v>
      </c>
      <c r="H36475" s="21">
        <v>497</v>
      </c>
    </row>
    <row r="36476" spans="1:8" customFormat="1" x14ac:dyDescent="0.25">
      <c r="A36476" t="str">
        <f>"153924"</f>
        <v>153924</v>
      </c>
      <c r="B36476" t="s">
        <v>24276</v>
      </c>
      <c r="C36476" t="s">
        <v>867</v>
      </c>
      <c r="D36476" s="21" t="s">
        <v>34</v>
      </c>
      <c r="E36476" s="21" t="s">
        <v>35</v>
      </c>
      <c r="F36476">
        <v>1150304</v>
      </c>
      <c r="G36476" t="s">
        <v>5647</v>
      </c>
      <c r="H36476" s="21">
        <v>497</v>
      </c>
    </row>
    <row r="36477" spans="1:8" customFormat="1" x14ac:dyDescent="0.25">
      <c r="A36477" t="str">
        <f>"8613024"</f>
        <v>8613024</v>
      </c>
      <c r="B36477" t="s">
        <v>24511</v>
      </c>
      <c r="C36477" t="s">
        <v>246</v>
      </c>
      <c r="D36477" s="21" t="s">
        <v>34</v>
      </c>
      <c r="E36477" s="21" t="s">
        <v>71</v>
      </c>
      <c r="F36477">
        <v>10860213</v>
      </c>
      <c r="G36477" t="s">
        <v>17902</v>
      </c>
      <c r="H36477" s="21">
        <v>497</v>
      </c>
    </row>
    <row r="36478" spans="1:8" customFormat="1" x14ac:dyDescent="0.25">
      <c r="A36478" t="str">
        <f>"4457415"</f>
        <v>4457415</v>
      </c>
      <c r="B36478" t="s">
        <v>20149</v>
      </c>
      <c r="C36478" t="s">
        <v>62</v>
      </c>
      <c r="D36478" s="21" t="s">
        <v>34</v>
      </c>
      <c r="E36478" s="21" t="s">
        <v>71</v>
      </c>
      <c r="F36478">
        <v>12440026</v>
      </c>
      <c r="G36478" t="s">
        <v>2987</v>
      </c>
      <c r="H36478" s="21">
        <v>497</v>
      </c>
    </row>
    <row r="36479" spans="1:8" customFormat="1" x14ac:dyDescent="0.25">
      <c r="A36479" t="str">
        <f>"7832004"</f>
        <v>7832004</v>
      </c>
      <c r="B36479" t="s">
        <v>8794</v>
      </c>
      <c r="C36479" t="s">
        <v>249</v>
      </c>
      <c r="D36479" s="21" t="s">
        <v>34</v>
      </c>
      <c r="E36479" s="21" t="s">
        <v>71</v>
      </c>
      <c r="F36479">
        <v>8911050</v>
      </c>
      <c r="G36479" t="s">
        <v>1606</v>
      </c>
      <c r="H36479" s="21">
        <v>497</v>
      </c>
    </row>
    <row r="36480" spans="1:8" customFormat="1" x14ac:dyDescent="0.25">
      <c r="A36480" t="str">
        <f>"8818909"</f>
        <v>8818909</v>
      </c>
      <c r="B36480" t="s">
        <v>67</v>
      </c>
      <c r="C36480" t="s">
        <v>598</v>
      </c>
      <c r="D36480" s="21" t="s">
        <v>34</v>
      </c>
      <c r="E36480" s="21" t="s">
        <v>254</v>
      </c>
      <c r="F36480">
        <v>6880002</v>
      </c>
      <c r="G36480" t="s">
        <v>501</v>
      </c>
      <c r="H36480" s="21">
        <v>497</v>
      </c>
    </row>
    <row r="36481" spans="1:8" customFormat="1" x14ac:dyDescent="0.25">
      <c r="A36481" t="str">
        <f>"4938232"</f>
        <v>4938232</v>
      </c>
      <c r="B36481" t="s">
        <v>9408</v>
      </c>
      <c r="C36481" t="s">
        <v>37</v>
      </c>
      <c r="D36481" s="21" t="s">
        <v>34</v>
      </c>
      <c r="E36481" s="21" t="s">
        <v>35</v>
      </c>
      <c r="F36481">
        <v>12490129</v>
      </c>
      <c r="G36481" t="s">
        <v>7607</v>
      </c>
      <c r="H36481" s="21">
        <v>497</v>
      </c>
    </row>
    <row r="36482" spans="1:8" customFormat="1" x14ac:dyDescent="0.25">
      <c r="A36482" t="str">
        <f>"5734549"</f>
        <v>5734549</v>
      </c>
      <c r="B36482" t="s">
        <v>10577</v>
      </c>
      <c r="C36482" t="s">
        <v>21837</v>
      </c>
      <c r="D36482" s="21" t="s">
        <v>34</v>
      </c>
      <c r="E36482" s="21" t="s">
        <v>254</v>
      </c>
      <c r="F36482">
        <v>6570168</v>
      </c>
      <c r="G36482" t="s">
        <v>152</v>
      </c>
      <c r="H36482" s="21">
        <v>497</v>
      </c>
    </row>
    <row r="36483" spans="1:8" customFormat="1" x14ac:dyDescent="0.25">
      <c r="A36483" t="str">
        <f>"7223184"</f>
        <v>7223184</v>
      </c>
      <c r="B36483" t="s">
        <v>24810</v>
      </c>
      <c r="C36483" t="s">
        <v>87</v>
      </c>
      <c r="D36483" s="21" t="s">
        <v>34</v>
      </c>
      <c r="E36483" s="21" t="s">
        <v>35</v>
      </c>
      <c r="F36483">
        <v>12720034</v>
      </c>
      <c r="G36483" t="s">
        <v>4561</v>
      </c>
      <c r="H36483" s="21">
        <v>497</v>
      </c>
    </row>
    <row r="36484" spans="1:8" customFormat="1" x14ac:dyDescent="0.25">
      <c r="A36484" t="str">
        <f>"3827807"</f>
        <v>3827807</v>
      </c>
      <c r="B36484" t="s">
        <v>23724</v>
      </c>
      <c r="C36484" t="s">
        <v>236</v>
      </c>
      <c r="D36484" s="21" t="s">
        <v>34</v>
      </c>
      <c r="E36484" s="21" t="s">
        <v>71</v>
      </c>
      <c r="F36484">
        <v>1380236</v>
      </c>
      <c r="G36484" t="s">
        <v>2876</v>
      </c>
      <c r="H36484" s="21">
        <v>497</v>
      </c>
    </row>
    <row r="36485" spans="1:8" customFormat="1" x14ac:dyDescent="0.25">
      <c r="A36485" t="str">
        <f>"664862"</f>
        <v>664862</v>
      </c>
      <c r="B36485" t="s">
        <v>8492</v>
      </c>
      <c r="C36485" t="s">
        <v>3073</v>
      </c>
      <c r="D36485" s="21" t="s">
        <v>34</v>
      </c>
      <c r="E36485" s="21" t="s">
        <v>254</v>
      </c>
      <c r="F36485">
        <v>11660038</v>
      </c>
      <c r="G36485" t="s">
        <v>8493</v>
      </c>
      <c r="H36485" s="21">
        <v>497</v>
      </c>
    </row>
    <row r="36486" spans="1:8" customFormat="1" x14ac:dyDescent="0.25">
      <c r="A36486" t="str">
        <f>"3344145"</f>
        <v>3344145</v>
      </c>
      <c r="B36486" t="s">
        <v>6460</v>
      </c>
      <c r="C36486" t="s">
        <v>40</v>
      </c>
      <c r="D36486" s="21" t="s">
        <v>34</v>
      </c>
      <c r="E36486" s="21" t="s">
        <v>254</v>
      </c>
      <c r="F36486">
        <v>10330084</v>
      </c>
      <c r="G36486" t="s">
        <v>1124</v>
      </c>
      <c r="H36486" s="21">
        <v>497</v>
      </c>
    </row>
    <row r="36487" spans="1:8" customFormat="1" x14ac:dyDescent="0.25">
      <c r="A36487" t="str">
        <f>"4530072"</f>
        <v>4530072</v>
      </c>
      <c r="B36487" t="s">
        <v>29268</v>
      </c>
      <c r="C36487" t="s">
        <v>320</v>
      </c>
      <c r="D36487" s="21" t="s">
        <v>34</v>
      </c>
      <c r="E36487" s="21" t="s">
        <v>35</v>
      </c>
      <c r="F36487">
        <v>4450753</v>
      </c>
      <c r="G36487" t="s">
        <v>8786</v>
      </c>
      <c r="H36487" s="21">
        <v>497</v>
      </c>
    </row>
    <row r="36488" spans="1:8" customFormat="1" x14ac:dyDescent="0.25">
      <c r="A36488" t="str">
        <f>"7881877"</f>
        <v>7881877</v>
      </c>
      <c r="B36488" t="s">
        <v>1347</v>
      </c>
      <c r="C36488" t="s">
        <v>139</v>
      </c>
      <c r="D36488" s="21" t="s">
        <v>34</v>
      </c>
      <c r="E36488" s="21" t="s">
        <v>71</v>
      </c>
      <c r="F36488">
        <v>8780356</v>
      </c>
      <c r="G36488" t="s">
        <v>5449</v>
      </c>
      <c r="H36488" s="21">
        <v>497</v>
      </c>
    </row>
    <row r="36489" spans="1:8" customFormat="1" x14ac:dyDescent="0.25">
      <c r="A36489" t="str">
        <f>"3534349"</f>
        <v>3534349</v>
      </c>
      <c r="B36489" t="s">
        <v>24797</v>
      </c>
      <c r="C36489" t="s">
        <v>62</v>
      </c>
      <c r="D36489" s="21" t="s">
        <v>34</v>
      </c>
      <c r="E36489" s="21" t="s">
        <v>35</v>
      </c>
      <c r="F36489">
        <v>3350215</v>
      </c>
      <c r="G36489" t="s">
        <v>20009</v>
      </c>
      <c r="H36489" s="21">
        <v>497</v>
      </c>
    </row>
    <row r="36490" spans="1:8" customFormat="1" x14ac:dyDescent="0.25">
      <c r="A36490" t="str">
        <f>"9146616"</f>
        <v>9146616</v>
      </c>
      <c r="B36490" t="s">
        <v>24230</v>
      </c>
      <c r="C36490" t="s">
        <v>3377</v>
      </c>
      <c r="D36490" s="21" t="s">
        <v>34</v>
      </c>
      <c r="E36490" s="21" t="s">
        <v>35</v>
      </c>
      <c r="F36490">
        <v>8910578</v>
      </c>
      <c r="G36490" t="s">
        <v>5776</v>
      </c>
      <c r="H36490" s="21">
        <v>497</v>
      </c>
    </row>
    <row r="36491" spans="1:8" customFormat="1" x14ac:dyDescent="0.25">
      <c r="A36491" t="str">
        <f>"2938392"</f>
        <v>2938392</v>
      </c>
      <c r="B36491" t="s">
        <v>15001</v>
      </c>
      <c r="C36491" t="s">
        <v>285</v>
      </c>
      <c r="D36491" s="21" t="s">
        <v>34</v>
      </c>
      <c r="E36491" s="21" t="s">
        <v>35</v>
      </c>
      <c r="F36491">
        <v>3290277</v>
      </c>
      <c r="G36491" t="s">
        <v>1671</v>
      </c>
      <c r="H36491" s="21">
        <v>497</v>
      </c>
    </row>
    <row r="36492" spans="1:8" customFormat="1" x14ac:dyDescent="0.25">
      <c r="A36492" t="str">
        <f>"7879326"</f>
        <v>7879326</v>
      </c>
      <c r="B36492" t="s">
        <v>29269</v>
      </c>
      <c r="C36492" t="s">
        <v>124</v>
      </c>
      <c r="D36492" s="21" t="s">
        <v>34</v>
      </c>
      <c r="E36492" s="21" t="s">
        <v>254</v>
      </c>
      <c r="F36492">
        <v>8780529</v>
      </c>
      <c r="G36492" t="s">
        <v>8624</v>
      </c>
      <c r="H36492" s="21">
        <v>497</v>
      </c>
    </row>
    <row r="36493" spans="1:8" customFormat="1" x14ac:dyDescent="0.25">
      <c r="A36493" t="str">
        <f>"3114846"</f>
        <v>3114846</v>
      </c>
      <c r="B36493" t="s">
        <v>23071</v>
      </c>
      <c r="C36493" t="s">
        <v>209</v>
      </c>
      <c r="D36493" s="21" t="s">
        <v>34</v>
      </c>
      <c r="E36493" s="21" t="s">
        <v>35</v>
      </c>
      <c r="F36493">
        <v>11310075</v>
      </c>
      <c r="G36493" t="s">
        <v>2531</v>
      </c>
      <c r="H36493" s="21">
        <v>497</v>
      </c>
    </row>
    <row r="36494" spans="1:8" customFormat="1" x14ac:dyDescent="0.25">
      <c r="A36494" t="str">
        <f>"6315629"</f>
        <v>6315629</v>
      </c>
      <c r="B36494" t="s">
        <v>21393</v>
      </c>
      <c r="C36494" t="s">
        <v>1271</v>
      </c>
      <c r="D36494" s="21" t="s">
        <v>34</v>
      </c>
      <c r="E36494" s="21" t="s">
        <v>71</v>
      </c>
      <c r="F36494">
        <v>1630191</v>
      </c>
      <c r="G36494" t="s">
        <v>11303</v>
      </c>
      <c r="H36494" s="21">
        <v>497</v>
      </c>
    </row>
    <row r="36495" spans="1:8" customFormat="1" x14ac:dyDescent="0.25">
      <c r="A36495" t="str">
        <f>"3813805"</f>
        <v>3813805</v>
      </c>
      <c r="B36495" t="s">
        <v>21333</v>
      </c>
      <c r="C36495" t="s">
        <v>253</v>
      </c>
      <c r="D36495" s="21" t="s">
        <v>34</v>
      </c>
      <c r="E36495" s="21" t="s">
        <v>71</v>
      </c>
      <c r="F36495">
        <v>1380084</v>
      </c>
      <c r="G36495" t="s">
        <v>8218</v>
      </c>
      <c r="H36495" s="21">
        <v>497</v>
      </c>
    </row>
    <row r="36496" spans="1:8" customFormat="1" x14ac:dyDescent="0.25">
      <c r="A36496" t="str">
        <f>"189241"</f>
        <v>189241</v>
      </c>
      <c r="B36496" t="s">
        <v>24070</v>
      </c>
      <c r="C36496" t="s">
        <v>24071</v>
      </c>
      <c r="D36496" s="21" t="s">
        <v>34</v>
      </c>
      <c r="E36496" s="21" t="s">
        <v>254</v>
      </c>
      <c r="F36496">
        <v>4180644</v>
      </c>
      <c r="G36496" t="s">
        <v>17253</v>
      </c>
      <c r="H36496" s="21">
        <v>497</v>
      </c>
    </row>
    <row r="36497" spans="1:8" customFormat="1" x14ac:dyDescent="0.25">
      <c r="A36497" t="str">
        <f>"408036"</f>
        <v>408036</v>
      </c>
      <c r="B36497" t="s">
        <v>5648</v>
      </c>
      <c r="C36497" t="s">
        <v>263</v>
      </c>
      <c r="D36497" s="21" t="s">
        <v>34</v>
      </c>
      <c r="E36497" s="21" t="s">
        <v>1089</v>
      </c>
      <c r="F36497">
        <v>10400013</v>
      </c>
      <c r="G36497" t="s">
        <v>6238</v>
      </c>
      <c r="H36497" s="21">
        <v>497</v>
      </c>
    </row>
    <row r="36498" spans="1:8" customFormat="1" x14ac:dyDescent="0.25">
      <c r="A36498" t="str">
        <f>"7711514"</f>
        <v>7711514</v>
      </c>
      <c r="B36498" t="s">
        <v>29270</v>
      </c>
      <c r="C36498" t="s">
        <v>2305</v>
      </c>
      <c r="D36498" s="21" t="s">
        <v>34</v>
      </c>
      <c r="E36498" s="21" t="s">
        <v>254</v>
      </c>
      <c r="F36498">
        <v>8951458</v>
      </c>
      <c r="G36498" t="s">
        <v>20956</v>
      </c>
      <c r="H36498" s="21">
        <v>497</v>
      </c>
    </row>
    <row r="36499" spans="1:8" customFormat="1" x14ac:dyDescent="0.25">
      <c r="A36499" t="str">
        <f>"3426815"</f>
        <v>3426815</v>
      </c>
      <c r="B36499" t="s">
        <v>29271</v>
      </c>
      <c r="C36499" t="s">
        <v>87</v>
      </c>
      <c r="D36499" s="21" t="s">
        <v>34</v>
      </c>
      <c r="E36499" s="21" t="s">
        <v>35</v>
      </c>
      <c r="F36499">
        <v>11340067</v>
      </c>
      <c r="G36499" t="s">
        <v>2895</v>
      </c>
      <c r="H36499" s="21">
        <v>496.88</v>
      </c>
    </row>
    <row r="36500" spans="1:8" customFormat="1" x14ac:dyDescent="0.25">
      <c r="A36500" t="str">
        <f>"324931"</f>
        <v>324931</v>
      </c>
      <c r="B36500" t="s">
        <v>29272</v>
      </c>
      <c r="C36500" t="s">
        <v>576</v>
      </c>
      <c r="D36500" s="21" t="s">
        <v>34</v>
      </c>
      <c r="E36500" s="21" t="s">
        <v>35</v>
      </c>
      <c r="F36500">
        <v>11320005</v>
      </c>
      <c r="G36500" t="s">
        <v>120</v>
      </c>
      <c r="H36500" s="21">
        <v>496.88</v>
      </c>
    </row>
    <row r="36501" spans="1:8" customFormat="1" x14ac:dyDescent="0.25">
      <c r="A36501" t="str">
        <f>"2219579"</f>
        <v>2219579</v>
      </c>
      <c r="B36501" t="s">
        <v>24687</v>
      </c>
      <c r="C36501" t="s">
        <v>1786</v>
      </c>
      <c r="D36501" s="21" t="s">
        <v>34</v>
      </c>
      <c r="E36501" s="21" t="s">
        <v>35</v>
      </c>
      <c r="F36501">
        <v>3220011</v>
      </c>
      <c r="G36501" t="s">
        <v>27394</v>
      </c>
      <c r="H36501" s="21">
        <v>496.79</v>
      </c>
    </row>
    <row r="36502" spans="1:8" customFormat="1" x14ac:dyDescent="0.25">
      <c r="A36502" t="str">
        <f>"1321051"</f>
        <v>1321051</v>
      </c>
      <c r="B36502" t="s">
        <v>29273</v>
      </c>
      <c r="C36502" t="s">
        <v>528</v>
      </c>
      <c r="D36502" s="21" t="s">
        <v>34</v>
      </c>
      <c r="E36502" s="21" t="s">
        <v>35</v>
      </c>
      <c r="F36502">
        <v>13130049</v>
      </c>
      <c r="G36502" t="s">
        <v>13169</v>
      </c>
      <c r="H36502" s="21">
        <v>496.75</v>
      </c>
    </row>
    <row r="36503" spans="1:8" customFormat="1" x14ac:dyDescent="0.25">
      <c r="A36503" t="str">
        <f>"2935716"</f>
        <v>2935716</v>
      </c>
      <c r="B36503" t="s">
        <v>10173</v>
      </c>
      <c r="C36503" t="s">
        <v>1841</v>
      </c>
      <c r="D36503" s="21" t="s">
        <v>34</v>
      </c>
      <c r="E36503" s="21" t="s">
        <v>254</v>
      </c>
      <c r="F36503">
        <v>3290047</v>
      </c>
      <c r="G36503" t="s">
        <v>2874</v>
      </c>
      <c r="H36503" s="21">
        <v>496.75</v>
      </c>
    </row>
    <row r="36504" spans="1:8" customFormat="1" x14ac:dyDescent="0.25">
      <c r="A36504" t="str">
        <f>"8613935"</f>
        <v>8613935</v>
      </c>
      <c r="B36504" t="s">
        <v>24504</v>
      </c>
      <c r="C36504" t="s">
        <v>263</v>
      </c>
      <c r="D36504" s="21" t="s">
        <v>34</v>
      </c>
      <c r="E36504" s="21" t="s">
        <v>254</v>
      </c>
      <c r="F36504">
        <v>10860213</v>
      </c>
      <c r="G36504" t="s">
        <v>17902</v>
      </c>
      <c r="H36504" s="21">
        <v>496.75</v>
      </c>
    </row>
    <row r="36505" spans="1:8" customFormat="1" x14ac:dyDescent="0.25">
      <c r="A36505" t="str">
        <f>"693707"</f>
        <v>693707</v>
      </c>
      <c r="B36505" t="s">
        <v>1986</v>
      </c>
      <c r="C36505" t="s">
        <v>598</v>
      </c>
      <c r="D36505" s="21" t="s">
        <v>34</v>
      </c>
      <c r="E36505" s="21" t="s">
        <v>254</v>
      </c>
      <c r="F36505">
        <v>1690047</v>
      </c>
      <c r="G36505" t="s">
        <v>4223</v>
      </c>
      <c r="H36505" s="21">
        <v>496.67</v>
      </c>
    </row>
    <row r="36506" spans="1:8" customFormat="1" x14ac:dyDescent="0.25">
      <c r="A36506" t="str">
        <f>"723685"</f>
        <v>723685</v>
      </c>
      <c r="B36506" t="s">
        <v>19528</v>
      </c>
      <c r="C36506" t="s">
        <v>198</v>
      </c>
      <c r="D36506" s="21" t="s">
        <v>34</v>
      </c>
      <c r="E36506" s="21" t="s">
        <v>254</v>
      </c>
      <c r="F36506">
        <v>12720016</v>
      </c>
      <c r="G36506" t="s">
        <v>11791</v>
      </c>
      <c r="H36506" s="21">
        <v>496.67</v>
      </c>
    </row>
    <row r="36507" spans="1:8" customFormat="1" x14ac:dyDescent="0.25">
      <c r="A36507" t="str">
        <f>"397022"</f>
        <v>397022</v>
      </c>
      <c r="B36507" t="s">
        <v>1885</v>
      </c>
      <c r="C36507" t="s">
        <v>2435</v>
      </c>
      <c r="D36507" s="21" t="s">
        <v>34</v>
      </c>
      <c r="E36507" s="21" t="s">
        <v>35</v>
      </c>
      <c r="F36507">
        <v>2390082</v>
      </c>
      <c r="G36507" t="s">
        <v>3343</v>
      </c>
      <c r="H36507" s="21">
        <v>496.67</v>
      </c>
    </row>
    <row r="36508" spans="1:8" customFormat="1" x14ac:dyDescent="0.25">
      <c r="A36508" t="str">
        <f>"9519098"</f>
        <v>9519098</v>
      </c>
      <c r="B36508" t="s">
        <v>889</v>
      </c>
      <c r="C36508" t="s">
        <v>90</v>
      </c>
      <c r="D36508" s="21" t="s">
        <v>34</v>
      </c>
      <c r="E36508" s="21" t="s">
        <v>71</v>
      </c>
      <c r="F36508">
        <v>8951447</v>
      </c>
      <c r="G36508" t="s">
        <v>12175</v>
      </c>
      <c r="H36508" s="21">
        <v>496.67</v>
      </c>
    </row>
    <row r="36509" spans="1:8" customFormat="1" x14ac:dyDescent="0.25">
      <c r="A36509" t="str">
        <f>"3829782"</f>
        <v>3829782</v>
      </c>
      <c r="B36509" t="s">
        <v>22101</v>
      </c>
      <c r="C36509" t="s">
        <v>1705</v>
      </c>
      <c r="D36509" s="21" t="s">
        <v>34</v>
      </c>
      <c r="E36509" s="21" t="s">
        <v>1089</v>
      </c>
      <c r="F36509">
        <v>1380236</v>
      </c>
      <c r="G36509" t="s">
        <v>2876</v>
      </c>
      <c r="H36509" s="21">
        <v>496.67</v>
      </c>
    </row>
    <row r="36510" spans="1:8" customFormat="1" x14ac:dyDescent="0.25">
      <c r="A36510" t="str">
        <f>"9452616"</f>
        <v>9452616</v>
      </c>
      <c r="B36510" t="s">
        <v>3394</v>
      </c>
      <c r="C36510" t="s">
        <v>249</v>
      </c>
      <c r="D36510" s="21" t="s">
        <v>34</v>
      </c>
      <c r="E36510" s="21" t="s">
        <v>254</v>
      </c>
      <c r="F36510">
        <v>8941359</v>
      </c>
      <c r="G36510" t="s">
        <v>14474</v>
      </c>
      <c r="H36510" s="21">
        <v>496.67</v>
      </c>
    </row>
    <row r="36511" spans="1:8" customFormat="1" x14ac:dyDescent="0.25">
      <c r="A36511" t="str">
        <f>"7728751"</f>
        <v>7728751</v>
      </c>
      <c r="B36511" t="s">
        <v>24404</v>
      </c>
      <c r="C36511" t="s">
        <v>98</v>
      </c>
      <c r="D36511" s="21" t="s">
        <v>34</v>
      </c>
      <c r="E36511" s="21" t="s">
        <v>71</v>
      </c>
      <c r="F36511">
        <v>8771200</v>
      </c>
      <c r="G36511" t="s">
        <v>5455</v>
      </c>
      <c r="H36511" s="21">
        <v>496.62</v>
      </c>
    </row>
    <row r="36512" spans="1:8" customFormat="1" x14ac:dyDescent="0.25">
      <c r="A36512" t="str">
        <f>"7843667"</f>
        <v>7843667</v>
      </c>
      <c r="B36512" t="s">
        <v>23167</v>
      </c>
      <c r="C36512" t="s">
        <v>82</v>
      </c>
      <c r="D36512" s="21" t="s">
        <v>34</v>
      </c>
      <c r="E36512" s="21" t="s">
        <v>35</v>
      </c>
      <c r="F36512">
        <v>8781462</v>
      </c>
      <c r="G36512" t="s">
        <v>5796</v>
      </c>
      <c r="H36512" s="21">
        <v>496.62</v>
      </c>
    </row>
    <row r="36513" spans="1:8" customFormat="1" x14ac:dyDescent="0.25">
      <c r="A36513" t="str">
        <f>"7881540"</f>
        <v>7881540</v>
      </c>
      <c r="B36513" t="s">
        <v>6518</v>
      </c>
      <c r="C36513" t="s">
        <v>1914</v>
      </c>
      <c r="D36513" s="21" t="s">
        <v>34</v>
      </c>
      <c r="E36513" s="21" t="s">
        <v>35</v>
      </c>
      <c r="F36513">
        <v>8781105</v>
      </c>
      <c r="G36513" t="s">
        <v>27504</v>
      </c>
      <c r="H36513" s="21">
        <v>496.62</v>
      </c>
    </row>
    <row r="36514" spans="1:8" customFormat="1" x14ac:dyDescent="0.25">
      <c r="A36514" t="str">
        <f>"7729104"</f>
        <v>7729104</v>
      </c>
      <c r="B36514" t="s">
        <v>8635</v>
      </c>
      <c r="C36514" t="s">
        <v>33</v>
      </c>
      <c r="D36514" s="21" t="s">
        <v>34</v>
      </c>
      <c r="E36514" s="21" t="s">
        <v>35</v>
      </c>
      <c r="F36514">
        <v>8771506</v>
      </c>
      <c r="G36514" t="s">
        <v>7314</v>
      </c>
      <c r="H36514" s="21">
        <v>496.5</v>
      </c>
    </row>
    <row r="36515" spans="1:8" customFormat="1" x14ac:dyDescent="0.25">
      <c r="A36515" t="str">
        <f>"3426461"</f>
        <v>3426461</v>
      </c>
      <c r="B36515" t="s">
        <v>15827</v>
      </c>
      <c r="C36515" t="s">
        <v>1605</v>
      </c>
      <c r="D36515" s="21" t="s">
        <v>34</v>
      </c>
      <c r="E36515" s="21" t="s">
        <v>254</v>
      </c>
      <c r="F36515">
        <v>11340073</v>
      </c>
      <c r="G36515" t="s">
        <v>15005</v>
      </c>
      <c r="H36515" s="21">
        <v>496.5</v>
      </c>
    </row>
    <row r="36516" spans="1:8" customFormat="1" x14ac:dyDescent="0.25">
      <c r="A36516" t="str">
        <f>"6316809"</f>
        <v>6316809</v>
      </c>
      <c r="B36516" t="s">
        <v>29274</v>
      </c>
      <c r="C36516" t="s">
        <v>498</v>
      </c>
      <c r="D36516" s="21" t="s">
        <v>34</v>
      </c>
      <c r="E36516" s="21" t="s">
        <v>254</v>
      </c>
      <c r="F36516">
        <v>1630241</v>
      </c>
      <c r="G36516" t="s">
        <v>4519</v>
      </c>
      <c r="H36516" s="21">
        <v>496.5</v>
      </c>
    </row>
    <row r="36517" spans="1:8" customFormat="1" x14ac:dyDescent="0.25">
      <c r="A36517" t="str">
        <f>"9244633"</f>
        <v>9244633</v>
      </c>
      <c r="B36517" t="s">
        <v>21991</v>
      </c>
      <c r="C36517" t="s">
        <v>1539</v>
      </c>
      <c r="D36517" s="21" t="s">
        <v>34</v>
      </c>
      <c r="E36517" s="21" t="s">
        <v>71</v>
      </c>
      <c r="F36517">
        <v>8920075</v>
      </c>
      <c r="G36517" t="s">
        <v>317</v>
      </c>
      <c r="H36517" s="21">
        <v>496.5</v>
      </c>
    </row>
    <row r="36518" spans="1:8" customFormat="1" x14ac:dyDescent="0.25">
      <c r="A36518" t="str">
        <f>"0614510"</f>
        <v>0614510</v>
      </c>
      <c r="B36518" t="s">
        <v>20524</v>
      </c>
      <c r="C36518" t="s">
        <v>323</v>
      </c>
      <c r="D36518" s="21" t="s">
        <v>34</v>
      </c>
      <c r="E36518" s="21" t="s">
        <v>35</v>
      </c>
      <c r="F36518">
        <v>13060110</v>
      </c>
      <c r="G36518" t="s">
        <v>3268</v>
      </c>
      <c r="H36518" s="21">
        <v>496.5</v>
      </c>
    </row>
    <row r="36519" spans="1:8" customFormat="1" x14ac:dyDescent="0.25">
      <c r="A36519" t="str">
        <f>"667632"</f>
        <v>667632</v>
      </c>
      <c r="B36519" t="s">
        <v>15931</v>
      </c>
      <c r="C36519" t="s">
        <v>486</v>
      </c>
      <c r="D36519" s="21" t="s">
        <v>34</v>
      </c>
      <c r="E36519" s="21" t="s">
        <v>35</v>
      </c>
      <c r="F36519">
        <v>11660040</v>
      </c>
      <c r="G36519" t="s">
        <v>17413</v>
      </c>
      <c r="H36519" s="21">
        <v>496.5</v>
      </c>
    </row>
    <row r="36520" spans="1:8" customFormat="1" x14ac:dyDescent="0.25">
      <c r="A36520" t="str">
        <f>"4448149"</f>
        <v>4448149</v>
      </c>
      <c r="B36520" t="s">
        <v>6695</v>
      </c>
      <c r="C36520" t="s">
        <v>267</v>
      </c>
      <c r="D36520" s="21" t="s">
        <v>34</v>
      </c>
      <c r="E36520" s="21" t="s">
        <v>254</v>
      </c>
      <c r="F36520">
        <v>12440030</v>
      </c>
      <c r="G36520" t="s">
        <v>5524</v>
      </c>
      <c r="H36520" s="21">
        <v>496.5</v>
      </c>
    </row>
    <row r="36521" spans="1:8" customFormat="1" x14ac:dyDescent="0.25">
      <c r="A36521" t="str">
        <f>"9321906"</f>
        <v>9321906</v>
      </c>
      <c r="B36521" t="s">
        <v>10541</v>
      </c>
      <c r="C36521" t="s">
        <v>87</v>
      </c>
      <c r="D36521" s="21" t="s">
        <v>34</v>
      </c>
      <c r="E36521" s="21" t="s">
        <v>71</v>
      </c>
      <c r="F36521">
        <v>8931320</v>
      </c>
      <c r="G36521" t="s">
        <v>1537</v>
      </c>
      <c r="H36521" s="21">
        <v>496.5</v>
      </c>
    </row>
    <row r="36522" spans="1:8" customFormat="1" x14ac:dyDescent="0.25">
      <c r="A36522" t="str">
        <f>"441069"</f>
        <v>441069</v>
      </c>
      <c r="B36522" t="s">
        <v>10581</v>
      </c>
      <c r="C36522" t="s">
        <v>1588</v>
      </c>
      <c r="D36522" s="21" t="s">
        <v>34</v>
      </c>
      <c r="E36522" s="21" t="s">
        <v>254</v>
      </c>
      <c r="F36522">
        <v>12440029</v>
      </c>
      <c r="G36522" t="s">
        <v>567</v>
      </c>
      <c r="H36522" s="21">
        <v>496.5</v>
      </c>
    </row>
    <row r="36523" spans="1:8" customFormat="1" x14ac:dyDescent="0.25">
      <c r="A36523" t="str">
        <f>"8014820"</f>
        <v>8014820</v>
      </c>
      <c r="B36523" t="s">
        <v>6265</v>
      </c>
      <c r="C36523" t="s">
        <v>455</v>
      </c>
      <c r="D36523" s="21" t="s">
        <v>34</v>
      </c>
      <c r="E36523" s="21" t="s">
        <v>71</v>
      </c>
      <c r="F36523">
        <v>7800067</v>
      </c>
      <c r="G36523" t="s">
        <v>16355</v>
      </c>
      <c r="H36523" s="21">
        <v>496.5</v>
      </c>
    </row>
    <row r="36524" spans="1:8" customFormat="1" x14ac:dyDescent="0.25">
      <c r="A36524" t="str">
        <f>"5956677"</f>
        <v>5956677</v>
      </c>
      <c r="B36524" t="s">
        <v>623</v>
      </c>
      <c r="C36524" t="s">
        <v>1146</v>
      </c>
      <c r="D36524" s="21" t="s">
        <v>34</v>
      </c>
      <c r="E36524" s="21" t="s">
        <v>1089</v>
      </c>
      <c r="F36524">
        <v>7590014</v>
      </c>
      <c r="G36524" t="s">
        <v>1326</v>
      </c>
      <c r="H36524" s="21">
        <v>496.5</v>
      </c>
    </row>
    <row r="36525" spans="1:8" customFormat="1" x14ac:dyDescent="0.25">
      <c r="A36525" t="str">
        <f>"3422152"</f>
        <v>3422152</v>
      </c>
      <c r="B36525" t="s">
        <v>1945</v>
      </c>
      <c r="C36525" t="s">
        <v>598</v>
      </c>
      <c r="D36525" s="21" t="s">
        <v>34</v>
      </c>
      <c r="E36525" s="21" t="s">
        <v>71</v>
      </c>
      <c r="F36525">
        <v>11340035</v>
      </c>
      <c r="G36525" t="s">
        <v>10724</v>
      </c>
      <c r="H36525" s="21">
        <v>496.5</v>
      </c>
    </row>
    <row r="36526" spans="1:8" customFormat="1" x14ac:dyDescent="0.25">
      <c r="A36526" t="str">
        <f>"6232856"</f>
        <v>6232856</v>
      </c>
      <c r="B36526" t="s">
        <v>3072</v>
      </c>
      <c r="C36526" t="s">
        <v>139</v>
      </c>
      <c r="D36526" s="21" t="s">
        <v>34</v>
      </c>
      <c r="E36526" s="21" t="s">
        <v>71</v>
      </c>
      <c r="F36526">
        <v>7620079</v>
      </c>
      <c r="G36526" t="s">
        <v>9718</v>
      </c>
      <c r="H36526" s="21">
        <v>496.5</v>
      </c>
    </row>
    <row r="36527" spans="1:8" customFormat="1" x14ac:dyDescent="0.25">
      <c r="A36527" t="str">
        <f>"3118825"</f>
        <v>3118825</v>
      </c>
      <c r="B36527" t="s">
        <v>22382</v>
      </c>
      <c r="C36527" t="s">
        <v>1489</v>
      </c>
      <c r="D36527" s="21" t="s">
        <v>34</v>
      </c>
      <c r="E36527" s="21" t="s">
        <v>71</v>
      </c>
      <c r="F36527">
        <v>11310019</v>
      </c>
      <c r="G36527" t="s">
        <v>3099</v>
      </c>
      <c r="H36527" s="21">
        <v>496.5</v>
      </c>
    </row>
    <row r="36528" spans="1:8" customFormat="1" x14ac:dyDescent="0.25">
      <c r="A36528" t="str">
        <f>"9245281"</f>
        <v>9245281</v>
      </c>
      <c r="B36528" t="s">
        <v>2240</v>
      </c>
      <c r="C36528" t="s">
        <v>462</v>
      </c>
      <c r="D36528" s="21" t="s">
        <v>34</v>
      </c>
      <c r="E36528" s="21" t="s">
        <v>35</v>
      </c>
      <c r="F36528">
        <v>8920140</v>
      </c>
      <c r="G36528" t="s">
        <v>3762</v>
      </c>
      <c r="H36528" s="21">
        <v>496.5</v>
      </c>
    </row>
    <row r="36529" spans="1:8" customFormat="1" x14ac:dyDescent="0.25">
      <c r="A36529" t="str">
        <f>"6015128"</f>
        <v>6015128</v>
      </c>
      <c r="B36529" t="s">
        <v>3189</v>
      </c>
      <c r="C36529" t="s">
        <v>4842</v>
      </c>
      <c r="D36529" s="21" t="s">
        <v>34</v>
      </c>
      <c r="E36529" s="21" t="s">
        <v>71</v>
      </c>
      <c r="F36529">
        <v>7600035</v>
      </c>
      <c r="G36529" t="s">
        <v>4737</v>
      </c>
      <c r="H36529" s="21">
        <v>496.5</v>
      </c>
    </row>
    <row r="36530" spans="1:8" customFormat="1" x14ac:dyDescent="0.25">
      <c r="A36530" t="str">
        <f>"6726529"</f>
        <v>6726529</v>
      </c>
      <c r="B36530" t="s">
        <v>8438</v>
      </c>
      <c r="C36530" t="s">
        <v>415</v>
      </c>
      <c r="D36530" s="21" t="s">
        <v>34</v>
      </c>
      <c r="E36530" s="21" t="s">
        <v>35</v>
      </c>
      <c r="F36530">
        <v>6670178</v>
      </c>
      <c r="G36530" t="s">
        <v>10001</v>
      </c>
      <c r="H36530" s="21">
        <v>496.5</v>
      </c>
    </row>
    <row r="36531" spans="1:8" customFormat="1" x14ac:dyDescent="0.25">
      <c r="A36531" t="str">
        <f>"7642663"</f>
        <v>7642663</v>
      </c>
      <c r="B36531" t="s">
        <v>10241</v>
      </c>
      <c r="C36531" t="s">
        <v>127</v>
      </c>
      <c r="D36531" s="21" t="s">
        <v>34</v>
      </c>
      <c r="E36531" s="21" t="s">
        <v>35</v>
      </c>
      <c r="F36531">
        <v>9760419</v>
      </c>
      <c r="G36531" t="s">
        <v>8549</v>
      </c>
      <c r="H36531" s="21">
        <v>496.5</v>
      </c>
    </row>
    <row r="36532" spans="1:8" customFormat="1" x14ac:dyDescent="0.25">
      <c r="A36532" t="str">
        <f>"9218704"</f>
        <v>9218704</v>
      </c>
      <c r="B36532" t="s">
        <v>2203</v>
      </c>
      <c r="C36532" t="s">
        <v>1665</v>
      </c>
      <c r="D36532" s="21" t="s">
        <v>34</v>
      </c>
      <c r="E36532" s="21" t="s">
        <v>254</v>
      </c>
      <c r="F36532">
        <v>8920309</v>
      </c>
      <c r="G36532" t="s">
        <v>1894</v>
      </c>
      <c r="H36532" s="21">
        <v>496.5</v>
      </c>
    </row>
    <row r="36533" spans="1:8" customFormat="1" x14ac:dyDescent="0.25">
      <c r="A36533" t="str">
        <f>"3727993"</f>
        <v>3727993</v>
      </c>
      <c r="B36533" t="s">
        <v>1646</v>
      </c>
      <c r="C36533" t="s">
        <v>267</v>
      </c>
      <c r="D36533" s="21" t="s">
        <v>34</v>
      </c>
      <c r="E36533" s="21" t="s">
        <v>254</v>
      </c>
      <c r="F36533">
        <v>4370729</v>
      </c>
      <c r="G36533" t="s">
        <v>15423</v>
      </c>
      <c r="H36533" s="21">
        <v>496.5</v>
      </c>
    </row>
    <row r="36534" spans="1:8" customFormat="1" x14ac:dyDescent="0.25">
      <c r="A36534" t="str">
        <f>"1611229"</f>
        <v>1611229</v>
      </c>
      <c r="B36534" t="s">
        <v>3913</v>
      </c>
      <c r="C36534" t="s">
        <v>1539</v>
      </c>
      <c r="D36534" s="21" t="s">
        <v>34</v>
      </c>
      <c r="E36534" s="21" t="s">
        <v>254</v>
      </c>
      <c r="F36534">
        <v>10160236</v>
      </c>
      <c r="G36534" t="s">
        <v>7202</v>
      </c>
      <c r="H36534" s="21">
        <v>496.5</v>
      </c>
    </row>
    <row r="36535" spans="1:8" customFormat="1" x14ac:dyDescent="0.25">
      <c r="A36535" t="str">
        <f>"4448948"</f>
        <v>4448948</v>
      </c>
      <c r="B36535" t="s">
        <v>22403</v>
      </c>
      <c r="C36535" t="s">
        <v>1142</v>
      </c>
      <c r="D36535" s="21" t="s">
        <v>34</v>
      </c>
      <c r="E36535" s="21" t="s">
        <v>254</v>
      </c>
      <c r="F36535">
        <v>12440141</v>
      </c>
      <c r="G36535" t="s">
        <v>3234</v>
      </c>
      <c r="H36535" s="21">
        <v>496.5</v>
      </c>
    </row>
    <row r="36536" spans="1:8" customFormat="1" x14ac:dyDescent="0.25">
      <c r="A36536" t="str">
        <f>"585449"</f>
        <v>585449</v>
      </c>
      <c r="B36536" t="s">
        <v>16773</v>
      </c>
      <c r="C36536" t="s">
        <v>263</v>
      </c>
      <c r="D36536" s="21" t="s">
        <v>34</v>
      </c>
      <c r="E36536" s="21" t="s">
        <v>71</v>
      </c>
      <c r="F36536">
        <v>1420299</v>
      </c>
      <c r="G36536" t="s">
        <v>8013</v>
      </c>
      <c r="H36536" s="21">
        <v>496.5</v>
      </c>
    </row>
    <row r="36537" spans="1:8" customFormat="1" x14ac:dyDescent="0.25">
      <c r="A36537" t="str">
        <f>"7639703"</f>
        <v>7639703</v>
      </c>
      <c r="B36537" t="s">
        <v>21336</v>
      </c>
      <c r="C36537" t="s">
        <v>262</v>
      </c>
      <c r="D36537" s="21" t="s">
        <v>34</v>
      </c>
      <c r="E36537" s="21" t="s">
        <v>35</v>
      </c>
      <c r="F36537">
        <v>9760039</v>
      </c>
      <c r="G36537" t="s">
        <v>9501</v>
      </c>
      <c r="H36537" s="21">
        <v>496.5</v>
      </c>
    </row>
    <row r="36538" spans="1:8" customFormat="1" x14ac:dyDescent="0.25">
      <c r="A36538" t="str">
        <f>"1715441"</f>
        <v>1715441</v>
      </c>
      <c r="B36538" t="s">
        <v>23266</v>
      </c>
      <c r="C36538" t="s">
        <v>2305</v>
      </c>
      <c r="D36538" s="21" t="s">
        <v>34</v>
      </c>
      <c r="E36538" s="21" t="s">
        <v>1089</v>
      </c>
      <c r="F36538">
        <v>10170158</v>
      </c>
      <c r="G36538" t="s">
        <v>1262</v>
      </c>
      <c r="H36538" s="21">
        <v>496.5</v>
      </c>
    </row>
    <row r="36539" spans="1:8" customFormat="1" x14ac:dyDescent="0.25">
      <c r="A36539" t="str">
        <f>"617240"</f>
        <v>617240</v>
      </c>
      <c r="B36539" t="s">
        <v>853</v>
      </c>
      <c r="C36539" t="s">
        <v>3010</v>
      </c>
      <c r="D36539" s="21" t="s">
        <v>34</v>
      </c>
      <c r="E36539" s="21" t="s">
        <v>254</v>
      </c>
      <c r="F36539">
        <v>9610039</v>
      </c>
      <c r="G36539" t="s">
        <v>3965</v>
      </c>
      <c r="H36539" s="21">
        <v>496.5</v>
      </c>
    </row>
    <row r="36540" spans="1:8" customFormat="1" x14ac:dyDescent="0.25">
      <c r="A36540" t="str">
        <f>"647642"</f>
        <v>647642</v>
      </c>
      <c r="B36540" t="s">
        <v>13170</v>
      </c>
      <c r="C36540" t="s">
        <v>1231</v>
      </c>
      <c r="D36540" s="21" t="s">
        <v>34</v>
      </c>
      <c r="E36540" s="21" t="s">
        <v>254</v>
      </c>
      <c r="F36540">
        <v>10640013</v>
      </c>
      <c r="G36540" t="s">
        <v>4626</v>
      </c>
      <c r="H36540" s="21">
        <v>496.5</v>
      </c>
    </row>
    <row r="36541" spans="1:8" customFormat="1" x14ac:dyDescent="0.25">
      <c r="A36541" t="str">
        <f>"6316880"</f>
        <v>6316880</v>
      </c>
      <c r="B36541" t="s">
        <v>29275</v>
      </c>
      <c r="C36541" t="s">
        <v>528</v>
      </c>
      <c r="D36541" s="21" t="s">
        <v>34</v>
      </c>
      <c r="E36541" s="21" t="s">
        <v>254</v>
      </c>
      <c r="F36541">
        <v>1630307</v>
      </c>
      <c r="G36541" t="s">
        <v>15524</v>
      </c>
      <c r="H36541" s="21">
        <v>496.5</v>
      </c>
    </row>
    <row r="36542" spans="1:8" customFormat="1" x14ac:dyDescent="0.25">
      <c r="A36542" t="str">
        <f>"125267"</f>
        <v>125267</v>
      </c>
      <c r="B36542" t="s">
        <v>29276</v>
      </c>
      <c r="C36542" t="s">
        <v>29277</v>
      </c>
      <c r="D36542" s="21" t="s">
        <v>34</v>
      </c>
      <c r="E36542" s="21" t="s">
        <v>71</v>
      </c>
      <c r="F36542">
        <v>11120026</v>
      </c>
      <c r="G36542" t="s">
        <v>9107</v>
      </c>
      <c r="H36542" s="21">
        <v>496.5</v>
      </c>
    </row>
    <row r="36543" spans="1:8" customFormat="1" x14ac:dyDescent="0.25">
      <c r="A36543" t="str">
        <f>"3727125"</f>
        <v>3727125</v>
      </c>
      <c r="B36543" t="s">
        <v>24397</v>
      </c>
      <c r="C36543" t="s">
        <v>2100</v>
      </c>
      <c r="D36543" s="21" t="s">
        <v>34</v>
      </c>
      <c r="E36543" s="21" t="s">
        <v>254</v>
      </c>
      <c r="F36543">
        <v>4370637</v>
      </c>
      <c r="G36543" t="s">
        <v>3941</v>
      </c>
      <c r="H36543" s="21">
        <v>496.5</v>
      </c>
    </row>
    <row r="36544" spans="1:8" customFormat="1" x14ac:dyDescent="0.25">
      <c r="A36544" t="str">
        <f>"5942204"</f>
        <v>5942204</v>
      </c>
      <c r="B36544" t="s">
        <v>24007</v>
      </c>
      <c r="C36544" t="s">
        <v>121</v>
      </c>
      <c r="D36544" s="21" t="s">
        <v>34</v>
      </c>
      <c r="E36544" s="21" t="s">
        <v>254</v>
      </c>
      <c r="F36544">
        <v>7590390</v>
      </c>
      <c r="G36544" t="s">
        <v>18075</v>
      </c>
      <c r="H36544" s="21">
        <v>496.5</v>
      </c>
    </row>
    <row r="36545" spans="1:8" customFormat="1" x14ac:dyDescent="0.25">
      <c r="A36545" t="str">
        <f>"3822411"</f>
        <v>3822411</v>
      </c>
      <c r="B36545" t="s">
        <v>8895</v>
      </c>
      <c r="C36545" t="s">
        <v>262</v>
      </c>
      <c r="D36545" s="21" t="s">
        <v>34</v>
      </c>
      <c r="E36545" s="21" t="s">
        <v>71</v>
      </c>
      <c r="F36545">
        <v>1380233</v>
      </c>
      <c r="G36545" t="s">
        <v>2694</v>
      </c>
      <c r="H36545" s="21">
        <v>496.5</v>
      </c>
    </row>
    <row r="36546" spans="1:8" customFormat="1" x14ac:dyDescent="0.25">
      <c r="A36546" t="str">
        <f>"433735"</f>
        <v>433735</v>
      </c>
      <c r="B36546" t="s">
        <v>14053</v>
      </c>
      <c r="C36546" t="s">
        <v>130</v>
      </c>
      <c r="D36546" s="21" t="s">
        <v>34</v>
      </c>
      <c r="E36546" s="21" t="s">
        <v>71</v>
      </c>
      <c r="F36546">
        <v>1420305</v>
      </c>
      <c r="G36546" t="s">
        <v>13520</v>
      </c>
      <c r="H36546" s="21">
        <v>496.5</v>
      </c>
    </row>
    <row r="36547" spans="1:8" customFormat="1" x14ac:dyDescent="0.25">
      <c r="A36547" t="str">
        <f>"0618799"</f>
        <v>0618799</v>
      </c>
      <c r="B36547" t="s">
        <v>23200</v>
      </c>
      <c r="C36547" t="s">
        <v>40</v>
      </c>
      <c r="D36547" s="21" t="s">
        <v>34</v>
      </c>
      <c r="E36547" s="21" t="s">
        <v>71</v>
      </c>
      <c r="F36547">
        <v>13060063</v>
      </c>
      <c r="G36547" t="s">
        <v>2001</v>
      </c>
      <c r="H36547" s="21">
        <v>496.5</v>
      </c>
    </row>
    <row r="36548" spans="1:8" customFormat="1" x14ac:dyDescent="0.25">
      <c r="A36548" t="str">
        <f>"8528866"</f>
        <v>8528866</v>
      </c>
      <c r="B36548" t="s">
        <v>29278</v>
      </c>
      <c r="C36548" t="s">
        <v>43</v>
      </c>
      <c r="D36548" s="21" t="s">
        <v>34</v>
      </c>
      <c r="E36548" s="21" t="s">
        <v>35</v>
      </c>
      <c r="F36548">
        <v>12850109</v>
      </c>
      <c r="G36548" t="s">
        <v>2714</v>
      </c>
      <c r="H36548" s="21">
        <v>496.5</v>
      </c>
    </row>
    <row r="36549" spans="1:8" customFormat="1" x14ac:dyDescent="0.25">
      <c r="A36549" t="str">
        <f>"862968"</f>
        <v>862968</v>
      </c>
      <c r="B36549" t="s">
        <v>29279</v>
      </c>
      <c r="C36549" t="s">
        <v>33</v>
      </c>
      <c r="D36549" s="21" t="s">
        <v>34</v>
      </c>
      <c r="E36549" s="21" t="s">
        <v>71</v>
      </c>
      <c r="F36549">
        <v>10860015</v>
      </c>
      <c r="G36549" t="s">
        <v>3680</v>
      </c>
      <c r="H36549" s="21">
        <v>496.5</v>
      </c>
    </row>
    <row r="36550" spans="1:8" customFormat="1" x14ac:dyDescent="0.25">
      <c r="A36550" t="str">
        <f>"9145459"</f>
        <v>9145459</v>
      </c>
      <c r="B36550" t="s">
        <v>23986</v>
      </c>
      <c r="C36550" t="s">
        <v>114</v>
      </c>
      <c r="D36550" s="21" t="s">
        <v>34</v>
      </c>
      <c r="E36550" s="21" t="s">
        <v>71</v>
      </c>
      <c r="F36550">
        <v>8911334</v>
      </c>
      <c r="G36550" t="s">
        <v>4170</v>
      </c>
      <c r="H36550" s="21">
        <v>496.5</v>
      </c>
    </row>
    <row r="36551" spans="1:8" customFormat="1" x14ac:dyDescent="0.25">
      <c r="A36551" t="str">
        <f>"2617466"</f>
        <v>2617466</v>
      </c>
      <c r="B36551" t="s">
        <v>22663</v>
      </c>
      <c r="C36551" t="s">
        <v>22664</v>
      </c>
      <c r="D36551" s="21" t="s">
        <v>34</v>
      </c>
      <c r="E36551" s="21" t="s">
        <v>35</v>
      </c>
      <c r="F36551">
        <v>1260010</v>
      </c>
      <c r="G36551" t="s">
        <v>3944</v>
      </c>
      <c r="H36551" s="21">
        <v>496.5</v>
      </c>
    </row>
    <row r="36552" spans="1:8" customFormat="1" x14ac:dyDescent="0.25">
      <c r="A36552" t="str">
        <f>"5967783"</f>
        <v>5967783</v>
      </c>
      <c r="B36552" t="s">
        <v>23735</v>
      </c>
      <c r="C36552" t="s">
        <v>267</v>
      </c>
      <c r="D36552" s="21" t="s">
        <v>34</v>
      </c>
      <c r="E36552" s="21" t="s">
        <v>254</v>
      </c>
      <c r="F36552">
        <v>7590077</v>
      </c>
      <c r="G36552" t="s">
        <v>21272</v>
      </c>
      <c r="H36552" s="21">
        <v>496.5</v>
      </c>
    </row>
    <row r="36553" spans="1:8" customFormat="1" x14ac:dyDescent="0.25">
      <c r="A36553" t="str">
        <f>"4434108"</f>
        <v>4434108</v>
      </c>
      <c r="B36553" t="s">
        <v>19349</v>
      </c>
      <c r="C36553" t="s">
        <v>127</v>
      </c>
      <c r="D36553" s="21" t="s">
        <v>34</v>
      </c>
      <c r="E36553" s="21" t="s">
        <v>35</v>
      </c>
      <c r="F36553">
        <v>9140019</v>
      </c>
      <c r="G36553" t="s">
        <v>3901</v>
      </c>
      <c r="H36553" s="21">
        <v>496.5</v>
      </c>
    </row>
    <row r="36554" spans="1:8" customFormat="1" x14ac:dyDescent="0.25">
      <c r="A36554" t="str">
        <f>"9246952"</f>
        <v>9246952</v>
      </c>
      <c r="B36554" t="s">
        <v>19200</v>
      </c>
      <c r="C36554" t="s">
        <v>926</v>
      </c>
      <c r="D36554" s="21" t="s">
        <v>34</v>
      </c>
      <c r="E36554" s="21" t="s">
        <v>35</v>
      </c>
      <c r="F36554">
        <v>8921256</v>
      </c>
      <c r="G36554" t="s">
        <v>1038</v>
      </c>
      <c r="H36554" s="21">
        <v>496.5</v>
      </c>
    </row>
    <row r="36555" spans="1:8" customFormat="1" x14ac:dyDescent="0.25">
      <c r="A36555" t="str">
        <f>"6316062"</f>
        <v>6316062</v>
      </c>
      <c r="B36555" t="s">
        <v>23244</v>
      </c>
      <c r="C36555" t="s">
        <v>187</v>
      </c>
      <c r="D36555" s="21" t="s">
        <v>34</v>
      </c>
      <c r="E36555" s="21" t="s">
        <v>35</v>
      </c>
      <c r="F36555">
        <v>1630320</v>
      </c>
      <c r="G36555" t="s">
        <v>4046</v>
      </c>
      <c r="H36555" s="21">
        <v>496.5</v>
      </c>
    </row>
    <row r="36556" spans="1:8" customFormat="1" x14ac:dyDescent="0.25">
      <c r="A36556" t="str">
        <f>"3010125"</f>
        <v>3010125</v>
      </c>
      <c r="B36556" t="s">
        <v>23464</v>
      </c>
      <c r="C36556" t="s">
        <v>114</v>
      </c>
      <c r="D36556" s="21" t="s">
        <v>34</v>
      </c>
      <c r="E36556" s="21" t="s">
        <v>71</v>
      </c>
      <c r="F36556">
        <v>11300021</v>
      </c>
      <c r="G36556" t="s">
        <v>22941</v>
      </c>
      <c r="H36556" s="21">
        <v>496.5</v>
      </c>
    </row>
    <row r="36557" spans="1:8" customFormat="1" x14ac:dyDescent="0.25">
      <c r="A36557" t="str">
        <f>"3529846"</f>
        <v>3529846</v>
      </c>
      <c r="B36557" t="s">
        <v>10657</v>
      </c>
      <c r="C36557" t="s">
        <v>2907</v>
      </c>
      <c r="D36557" s="21" t="s">
        <v>34</v>
      </c>
      <c r="E36557" s="21" t="s">
        <v>71</v>
      </c>
      <c r="F36557">
        <v>3350132</v>
      </c>
      <c r="G36557" t="s">
        <v>17921</v>
      </c>
      <c r="H36557" s="21">
        <v>496.5</v>
      </c>
    </row>
    <row r="36558" spans="1:8" customFormat="1" x14ac:dyDescent="0.25">
      <c r="A36558" t="str">
        <f>"7874866"</f>
        <v>7874866</v>
      </c>
      <c r="B36558" t="s">
        <v>21303</v>
      </c>
      <c r="C36558" t="s">
        <v>428</v>
      </c>
      <c r="D36558" s="21" t="s">
        <v>34</v>
      </c>
      <c r="E36558" s="21" t="s">
        <v>35</v>
      </c>
      <c r="F36558">
        <v>8780338</v>
      </c>
      <c r="G36558" t="s">
        <v>4145</v>
      </c>
      <c r="H36558" s="21">
        <v>496.5</v>
      </c>
    </row>
    <row r="36559" spans="1:8" customFormat="1" x14ac:dyDescent="0.25">
      <c r="A36559" t="str">
        <f>"124711"</f>
        <v>124711</v>
      </c>
      <c r="B36559" t="s">
        <v>13029</v>
      </c>
      <c r="C36559" t="s">
        <v>209</v>
      </c>
      <c r="D36559" s="21" t="s">
        <v>34</v>
      </c>
      <c r="E36559" s="21" t="s">
        <v>71</v>
      </c>
      <c r="F36559">
        <v>11120044</v>
      </c>
      <c r="G36559" t="s">
        <v>15823</v>
      </c>
      <c r="H36559" s="21">
        <v>496.5</v>
      </c>
    </row>
    <row r="36560" spans="1:8" customFormat="1" x14ac:dyDescent="0.25">
      <c r="A36560" t="str">
        <f>"8819269"</f>
        <v>8819269</v>
      </c>
      <c r="B36560" t="s">
        <v>1604</v>
      </c>
      <c r="C36560" t="s">
        <v>2393</v>
      </c>
      <c r="D36560" s="21" t="s">
        <v>34</v>
      </c>
      <c r="E36560" s="21" t="s">
        <v>35</v>
      </c>
      <c r="F36560">
        <v>6880143</v>
      </c>
      <c r="G36560" t="s">
        <v>8078</v>
      </c>
      <c r="H36560" s="21">
        <v>496.5</v>
      </c>
    </row>
    <row r="36561" spans="1:8" customFormat="1" x14ac:dyDescent="0.25">
      <c r="A36561" t="str">
        <f>"3830194"</f>
        <v>3830194</v>
      </c>
      <c r="B36561" t="s">
        <v>13230</v>
      </c>
      <c r="C36561" t="s">
        <v>4721</v>
      </c>
      <c r="D36561" s="21" t="s">
        <v>34</v>
      </c>
      <c r="E36561" s="21" t="s">
        <v>1089</v>
      </c>
      <c r="F36561">
        <v>1380298</v>
      </c>
      <c r="G36561" t="s">
        <v>5868</v>
      </c>
      <c r="H36561" s="21">
        <v>496.5</v>
      </c>
    </row>
    <row r="36562" spans="1:8" customFormat="1" x14ac:dyDescent="0.25">
      <c r="A36562" t="str">
        <f>"7111219"</f>
        <v>7111219</v>
      </c>
      <c r="B36562" t="s">
        <v>4405</v>
      </c>
      <c r="C36562" t="s">
        <v>269</v>
      </c>
      <c r="D36562" s="21" t="s">
        <v>34</v>
      </c>
      <c r="E36562" s="21" t="s">
        <v>71</v>
      </c>
      <c r="F36562">
        <v>2710048</v>
      </c>
      <c r="G36562" t="s">
        <v>2225</v>
      </c>
      <c r="H36562" s="21">
        <v>496.5</v>
      </c>
    </row>
    <row r="36563" spans="1:8" customFormat="1" x14ac:dyDescent="0.25">
      <c r="A36563" t="str">
        <f>"6225560"</f>
        <v>6225560</v>
      </c>
      <c r="B36563" t="s">
        <v>13983</v>
      </c>
      <c r="C36563" t="s">
        <v>187</v>
      </c>
      <c r="D36563" s="21" t="s">
        <v>34</v>
      </c>
      <c r="E36563" s="21" t="s">
        <v>254</v>
      </c>
      <c r="F36563">
        <v>7620162</v>
      </c>
      <c r="G36563" t="s">
        <v>3134</v>
      </c>
      <c r="H36563" s="21">
        <v>496.5</v>
      </c>
    </row>
    <row r="36564" spans="1:8" customFormat="1" x14ac:dyDescent="0.25">
      <c r="A36564" t="str">
        <f>"0810317"</f>
        <v>0810317</v>
      </c>
      <c r="B36564" t="s">
        <v>22998</v>
      </c>
      <c r="C36564" t="s">
        <v>288</v>
      </c>
      <c r="D36564" s="21" t="s">
        <v>34</v>
      </c>
      <c r="E36564" s="21" t="s">
        <v>35</v>
      </c>
      <c r="F36564">
        <v>6080059</v>
      </c>
      <c r="G36564" t="s">
        <v>4242</v>
      </c>
      <c r="H36564" s="21">
        <v>496.5</v>
      </c>
    </row>
    <row r="36565" spans="1:8" customFormat="1" x14ac:dyDescent="0.25">
      <c r="A36565" t="str">
        <f>"7874124"</f>
        <v>7874124</v>
      </c>
      <c r="B36565" t="s">
        <v>23907</v>
      </c>
      <c r="C36565" t="s">
        <v>415</v>
      </c>
      <c r="D36565" s="21" t="s">
        <v>34</v>
      </c>
      <c r="E36565" s="21" t="s">
        <v>71</v>
      </c>
      <c r="F36565">
        <v>8780529</v>
      </c>
      <c r="G36565" t="s">
        <v>8624</v>
      </c>
      <c r="H36565" s="21">
        <v>496.25</v>
      </c>
    </row>
    <row r="36566" spans="1:8" customFormat="1" x14ac:dyDescent="0.25">
      <c r="A36566" t="str">
        <f>"7714139"</f>
        <v>7714139</v>
      </c>
      <c r="B36566" t="s">
        <v>23861</v>
      </c>
      <c r="C36566" t="s">
        <v>484</v>
      </c>
      <c r="D36566" s="21" t="s">
        <v>34</v>
      </c>
      <c r="E36566" s="21" t="s">
        <v>71</v>
      </c>
      <c r="F36566">
        <v>8771025</v>
      </c>
      <c r="G36566" t="s">
        <v>5469</v>
      </c>
      <c r="H36566" s="21">
        <v>496.25</v>
      </c>
    </row>
    <row r="36567" spans="1:8" customFormat="1" x14ac:dyDescent="0.25">
      <c r="A36567" t="str">
        <f>"5935032"</f>
        <v>5935032</v>
      </c>
      <c r="B36567" t="s">
        <v>8342</v>
      </c>
      <c r="C36567" t="s">
        <v>209</v>
      </c>
      <c r="D36567" s="21" t="s">
        <v>34</v>
      </c>
      <c r="E36567" s="21" t="s">
        <v>254</v>
      </c>
      <c r="F36567">
        <v>7590068</v>
      </c>
      <c r="G36567" t="s">
        <v>1005</v>
      </c>
      <c r="H36567" s="21">
        <v>496.25</v>
      </c>
    </row>
    <row r="36568" spans="1:8" customFormat="1" x14ac:dyDescent="0.25">
      <c r="A36568" t="str">
        <f>"7880122"</f>
        <v>7880122</v>
      </c>
      <c r="B36568" t="s">
        <v>23216</v>
      </c>
      <c r="C36568" t="s">
        <v>23217</v>
      </c>
      <c r="D36568" s="21" t="s">
        <v>34</v>
      </c>
      <c r="E36568" s="21" t="s">
        <v>71</v>
      </c>
      <c r="F36568">
        <v>8781476</v>
      </c>
      <c r="G36568" t="s">
        <v>23193</v>
      </c>
      <c r="H36568" s="21">
        <v>496.25</v>
      </c>
    </row>
    <row r="36569" spans="1:8" customFormat="1" x14ac:dyDescent="0.25">
      <c r="A36569" t="str">
        <f>"3341194"</f>
        <v>3341194</v>
      </c>
      <c r="B36569" t="s">
        <v>19929</v>
      </c>
      <c r="C36569" t="s">
        <v>151</v>
      </c>
      <c r="D36569" s="21" t="s">
        <v>34</v>
      </c>
      <c r="E36569" s="21" t="s">
        <v>71</v>
      </c>
      <c r="F36569">
        <v>10330078</v>
      </c>
      <c r="G36569" t="s">
        <v>7597</v>
      </c>
      <c r="H36569" s="21">
        <v>496.25</v>
      </c>
    </row>
    <row r="36570" spans="1:8" customFormat="1" x14ac:dyDescent="0.25">
      <c r="A36570" t="str">
        <f>"8816646"</f>
        <v>8816646</v>
      </c>
      <c r="B36570" t="s">
        <v>67</v>
      </c>
      <c r="C36570" t="s">
        <v>169</v>
      </c>
      <c r="D36570" s="21" t="s">
        <v>34</v>
      </c>
      <c r="E36570" s="21" t="s">
        <v>35</v>
      </c>
      <c r="F36570">
        <v>6880002</v>
      </c>
      <c r="G36570" t="s">
        <v>501</v>
      </c>
      <c r="H36570" s="21">
        <v>496.25</v>
      </c>
    </row>
    <row r="36571" spans="1:8" customFormat="1" x14ac:dyDescent="0.25">
      <c r="A36571" t="str">
        <f>"456374"</f>
        <v>456374</v>
      </c>
      <c r="B36571" t="s">
        <v>13271</v>
      </c>
      <c r="C36571" t="s">
        <v>267</v>
      </c>
      <c r="D36571" s="21" t="s">
        <v>34</v>
      </c>
      <c r="E36571" s="21" t="s">
        <v>254</v>
      </c>
      <c r="F36571">
        <v>4450661</v>
      </c>
      <c r="G36571" t="s">
        <v>12253</v>
      </c>
      <c r="H36571" s="21">
        <v>496.25</v>
      </c>
    </row>
    <row r="36572" spans="1:8" customFormat="1" x14ac:dyDescent="0.25">
      <c r="A36572" t="str">
        <f>"7719023"</f>
        <v>7719023</v>
      </c>
      <c r="B36572" t="s">
        <v>24484</v>
      </c>
      <c r="C36572" t="s">
        <v>249</v>
      </c>
      <c r="D36572" s="21" t="s">
        <v>34</v>
      </c>
      <c r="E36572" s="21" t="s">
        <v>71</v>
      </c>
      <c r="F36572">
        <v>8770408</v>
      </c>
      <c r="G36572" t="s">
        <v>212</v>
      </c>
      <c r="H36572" s="21">
        <v>496.25</v>
      </c>
    </row>
    <row r="36573" spans="1:8" customFormat="1" x14ac:dyDescent="0.25">
      <c r="A36573" t="str">
        <f>"9143967"</f>
        <v>9143967</v>
      </c>
      <c r="B36573" t="s">
        <v>21018</v>
      </c>
      <c r="C36573" t="s">
        <v>3905</v>
      </c>
      <c r="D36573" s="21" t="s">
        <v>34</v>
      </c>
      <c r="E36573" s="21" t="s">
        <v>254</v>
      </c>
      <c r="F36573">
        <v>8911379</v>
      </c>
      <c r="G36573" t="s">
        <v>8430</v>
      </c>
      <c r="H36573" s="21">
        <v>496.25</v>
      </c>
    </row>
    <row r="36574" spans="1:8" customFormat="1" x14ac:dyDescent="0.25">
      <c r="A36574" t="str">
        <f>"9144975"</f>
        <v>9144975</v>
      </c>
      <c r="B36574" t="s">
        <v>23829</v>
      </c>
      <c r="C36574" t="s">
        <v>2984</v>
      </c>
      <c r="D36574" s="21" t="s">
        <v>34</v>
      </c>
      <c r="E36574" s="21" t="s">
        <v>35</v>
      </c>
      <c r="F36574">
        <v>8910028</v>
      </c>
      <c r="G36574" t="s">
        <v>2634</v>
      </c>
      <c r="H36574" s="21">
        <v>496.25</v>
      </c>
    </row>
    <row r="36575" spans="1:8" customFormat="1" x14ac:dyDescent="0.25">
      <c r="A36575" t="str">
        <f>"6233681"</f>
        <v>6233681</v>
      </c>
      <c r="B36575" t="s">
        <v>29280</v>
      </c>
      <c r="C36575" t="s">
        <v>171</v>
      </c>
      <c r="D36575" s="21" t="s">
        <v>34</v>
      </c>
      <c r="E36575" s="21" t="s">
        <v>35</v>
      </c>
      <c r="F36575">
        <v>7620131</v>
      </c>
      <c r="G36575" t="s">
        <v>9562</v>
      </c>
      <c r="H36575" s="21">
        <v>496.17</v>
      </c>
    </row>
    <row r="36576" spans="1:8" customFormat="1" x14ac:dyDescent="0.25">
      <c r="A36576" t="str">
        <f>"0115120"</f>
        <v>0115120</v>
      </c>
      <c r="B36576" t="s">
        <v>29281</v>
      </c>
      <c r="C36576" t="s">
        <v>33</v>
      </c>
      <c r="D36576" s="21" t="s">
        <v>34</v>
      </c>
      <c r="E36576" s="21" t="s">
        <v>35</v>
      </c>
      <c r="F36576">
        <v>1010027</v>
      </c>
      <c r="G36576" t="s">
        <v>6318</v>
      </c>
      <c r="H36576" s="21">
        <v>496.17</v>
      </c>
    </row>
    <row r="36577" spans="1:8" customFormat="1" x14ac:dyDescent="0.25">
      <c r="A36577" t="str">
        <f>"1423231"</f>
        <v>1423231</v>
      </c>
      <c r="B36577" t="s">
        <v>10290</v>
      </c>
      <c r="C36577" t="s">
        <v>124</v>
      </c>
      <c r="D36577" s="21" t="s">
        <v>34</v>
      </c>
      <c r="E36577" s="21" t="s">
        <v>254</v>
      </c>
      <c r="F36577">
        <v>9140174</v>
      </c>
      <c r="G36577" t="s">
        <v>26738</v>
      </c>
      <c r="H36577" s="21">
        <v>496.17</v>
      </c>
    </row>
    <row r="36578" spans="1:8" customFormat="1" x14ac:dyDescent="0.25">
      <c r="A36578" t="str">
        <f>"1316970"</f>
        <v>1316970</v>
      </c>
      <c r="B36578" t="s">
        <v>22456</v>
      </c>
      <c r="C36578" t="s">
        <v>87</v>
      </c>
      <c r="D36578" s="21" t="s">
        <v>34</v>
      </c>
      <c r="E36578" s="21" t="s">
        <v>71</v>
      </c>
      <c r="F36578">
        <v>13130004</v>
      </c>
      <c r="G36578" t="s">
        <v>942</v>
      </c>
      <c r="H36578" s="21">
        <v>496</v>
      </c>
    </row>
    <row r="36579" spans="1:8" customFormat="1" x14ac:dyDescent="0.25">
      <c r="A36579" t="str">
        <f>"7524089"</f>
        <v>7524089</v>
      </c>
      <c r="B36579" t="s">
        <v>23276</v>
      </c>
      <c r="C36579" t="s">
        <v>1665</v>
      </c>
      <c r="D36579" s="21" t="s">
        <v>34</v>
      </c>
      <c r="E36579" s="21" t="s">
        <v>1089</v>
      </c>
      <c r="F36579">
        <v>8751371</v>
      </c>
      <c r="G36579" t="s">
        <v>6605</v>
      </c>
      <c r="H36579" s="21">
        <v>496</v>
      </c>
    </row>
    <row r="36580" spans="1:8" customFormat="1" x14ac:dyDescent="0.25">
      <c r="A36580" t="str">
        <f>"2210280"</f>
        <v>2210280</v>
      </c>
      <c r="B36580" t="s">
        <v>3770</v>
      </c>
      <c r="C36580" t="s">
        <v>2276</v>
      </c>
      <c r="D36580" s="21" t="s">
        <v>34</v>
      </c>
      <c r="E36580" s="21" t="s">
        <v>254</v>
      </c>
      <c r="F36580">
        <v>3220037</v>
      </c>
      <c r="G36580" t="s">
        <v>13306</v>
      </c>
      <c r="H36580" s="21">
        <v>496</v>
      </c>
    </row>
    <row r="36581" spans="1:8" customFormat="1" x14ac:dyDescent="0.25">
      <c r="A36581" t="str">
        <f>"4456524"</f>
        <v>4456524</v>
      </c>
      <c r="B36581" t="s">
        <v>29282</v>
      </c>
      <c r="C36581" t="s">
        <v>1853</v>
      </c>
      <c r="D36581" s="21" t="s">
        <v>34</v>
      </c>
      <c r="E36581" s="21" t="s">
        <v>35</v>
      </c>
      <c r="F36581">
        <v>12440117</v>
      </c>
      <c r="G36581" t="s">
        <v>14099</v>
      </c>
      <c r="H36581" s="21">
        <v>496</v>
      </c>
    </row>
    <row r="36582" spans="1:8" customFormat="1" x14ac:dyDescent="0.25">
      <c r="A36582" t="str">
        <f>"5955727"</f>
        <v>5955727</v>
      </c>
      <c r="B36582" t="s">
        <v>8080</v>
      </c>
      <c r="C36582" t="s">
        <v>87</v>
      </c>
      <c r="D36582" s="21" t="s">
        <v>34</v>
      </c>
      <c r="E36582" s="21" t="s">
        <v>254</v>
      </c>
      <c r="F36582">
        <v>7590068</v>
      </c>
      <c r="G36582" t="s">
        <v>1005</v>
      </c>
      <c r="H36582" s="21">
        <v>496</v>
      </c>
    </row>
    <row r="36583" spans="1:8" customFormat="1" x14ac:dyDescent="0.25">
      <c r="A36583" t="str">
        <f>"4938506"</f>
        <v>4938506</v>
      </c>
      <c r="B36583" t="s">
        <v>29283</v>
      </c>
      <c r="C36583" t="s">
        <v>169</v>
      </c>
      <c r="D36583" s="21" t="s">
        <v>34</v>
      </c>
      <c r="E36583" s="21" t="s">
        <v>71</v>
      </c>
      <c r="F36583">
        <v>12490040</v>
      </c>
      <c r="G36583" t="s">
        <v>94</v>
      </c>
      <c r="H36583" s="21">
        <v>496</v>
      </c>
    </row>
    <row r="36584" spans="1:8" customFormat="1" x14ac:dyDescent="0.25">
      <c r="A36584" t="str">
        <f>"4914304"</f>
        <v>4914304</v>
      </c>
      <c r="B36584" t="s">
        <v>22963</v>
      </c>
      <c r="C36584" t="s">
        <v>664</v>
      </c>
      <c r="D36584" s="21" t="s">
        <v>34</v>
      </c>
      <c r="E36584" s="21" t="s">
        <v>254</v>
      </c>
      <c r="F36584">
        <v>12490022</v>
      </c>
      <c r="G36584" t="s">
        <v>1450</v>
      </c>
      <c r="H36584" s="21">
        <v>496</v>
      </c>
    </row>
    <row r="36585" spans="1:8" customFormat="1" x14ac:dyDescent="0.25">
      <c r="A36585" t="str">
        <f>"5425452"</f>
        <v>5425452</v>
      </c>
      <c r="B36585" t="s">
        <v>1263</v>
      </c>
      <c r="C36585" t="s">
        <v>24277</v>
      </c>
      <c r="D36585" s="21" t="s">
        <v>34</v>
      </c>
      <c r="E36585" s="21" t="s">
        <v>71</v>
      </c>
      <c r="F36585">
        <v>6540020</v>
      </c>
      <c r="G36585" t="s">
        <v>1269</v>
      </c>
      <c r="H36585" s="21">
        <v>496</v>
      </c>
    </row>
    <row r="36586" spans="1:8" customFormat="1" x14ac:dyDescent="0.25">
      <c r="A36586" t="str">
        <f>"5943395"</f>
        <v>5943395</v>
      </c>
      <c r="B36586" t="s">
        <v>6013</v>
      </c>
      <c r="C36586" t="s">
        <v>2100</v>
      </c>
      <c r="D36586" s="21" t="s">
        <v>34</v>
      </c>
      <c r="E36586" s="21" t="s">
        <v>35</v>
      </c>
      <c r="F36586">
        <v>7590315</v>
      </c>
      <c r="G36586" t="s">
        <v>11823</v>
      </c>
      <c r="H36586" s="21">
        <v>496</v>
      </c>
    </row>
    <row r="36587" spans="1:8" customFormat="1" x14ac:dyDescent="0.25">
      <c r="A36587" t="str">
        <f>"7519364"</f>
        <v>7519364</v>
      </c>
      <c r="B36587" t="s">
        <v>5077</v>
      </c>
      <c r="C36587" t="s">
        <v>198</v>
      </c>
      <c r="D36587" s="21" t="s">
        <v>34</v>
      </c>
      <c r="E36587" s="21" t="s">
        <v>254</v>
      </c>
      <c r="F36587">
        <v>8750074</v>
      </c>
      <c r="G36587" t="s">
        <v>698</v>
      </c>
      <c r="H36587" s="21">
        <v>496</v>
      </c>
    </row>
    <row r="36588" spans="1:8" customFormat="1" x14ac:dyDescent="0.25">
      <c r="A36588" t="str">
        <f>"5954593"</f>
        <v>5954593</v>
      </c>
      <c r="B36588" t="s">
        <v>8458</v>
      </c>
      <c r="C36588" t="s">
        <v>2520</v>
      </c>
      <c r="D36588" s="21" t="s">
        <v>34</v>
      </c>
      <c r="E36588" s="21" t="s">
        <v>254</v>
      </c>
      <c r="F36588">
        <v>7590087</v>
      </c>
      <c r="G36588" t="s">
        <v>2112</v>
      </c>
      <c r="H36588" s="21">
        <v>496</v>
      </c>
    </row>
    <row r="36589" spans="1:8" customFormat="1" x14ac:dyDescent="0.25">
      <c r="A36589" t="str">
        <f>"1613690"</f>
        <v>1613690</v>
      </c>
      <c r="B36589" t="s">
        <v>4602</v>
      </c>
      <c r="C36589" t="s">
        <v>209</v>
      </c>
      <c r="D36589" s="21" t="s">
        <v>34</v>
      </c>
      <c r="E36589" s="21" t="s">
        <v>71</v>
      </c>
      <c r="F36589">
        <v>10160232</v>
      </c>
      <c r="G36589" t="s">
        <v>2882</v>
      </c>
      <c r="H36589" s="21">
        <v>496</v>
      </c>
    </row>
    <row r="36590" spans="1:8" customFormat="1" x14ac:dyDescent="0.25">
      <c r="A36590" t="str">
        <f>"2213374"</f>
        <v>2213374</v>
      </c>
      <c r="B36590" t="s">
        <v>24585</v>
      </c>
      <c r="C36590" t="s">
        <v>4842</v>
      </c>
      <c r="D36590" s="21" t="s">
        <v>34</v>
      </c>
      <c r="E36590" s="21" t="s">
        <v>1089</v>
      </c>
      <c r="F36590">
        <v>3220138</v>
      </c>
      <c r="G36590" t="s">
        <v>27804</v>
      </c>
      <c r="H36590" s="21">
        <v>496</v>
      </c>
    </row>
    <row r="36591" spans="1:8" customFormat="1" x14ac:dyDescent="0.25">
      <c r="A36591" t="str">
        <f>"7846633"</f>
        <v>7846633</v>
      </c>
      <c r="B36591" t="s">
        <v>208</v>
      </c>
      <c r="C36591" t="s">
        <v>598</v>
      </c>
      <c r="D36591" s="21" t="s">
        <v>34</v>
      </c>
      <c r="E36591" s="21" t="s">
        <v>71</v>
      </c>
      <c r="F36591">
        <v>8780108</v>
      </c>
      <c r="G36591" t="s">
        <v>4329</v>
      </c>
      <c r="H36591" s="21">
        <v>496</v>
      </c>
    </row>
    <row r="36592" spans="1:8" customFormat="1" x14ac:dyDescent="0.25">
      <c r="A36592" t="str">
        <f>"1320209"</f>
        <v>1320209</v>
      </c>
      <c r="B36592" t="s">
        <v>7072</v>
      </c>
      <c r="C36592" t="s">
        <v>24373</v>
      </c>
      <c r="D36592" s="21" t="s">
        <v>34</v>
      </c>
      <c r="E36592" s="21" t="s">
        <v>71</v>
      </c>
      <c r="F36592">
        <v>13130138</v>
      </c>
      <c r="G36592" t="s">
        <v>5409</v>
      </c>
      <c r="H36592" s="21">
        <v>496</v>
      </c>
    </row>
    <row r="36593" spans="1:8" customFormat="1" x14ac:dyDescent="0.25">
      <c r="A36593" t="str">
        <f>"8614649"</f>
        <v>8614649</v>
      </c>
      <c r="B36593" t="s">
        <v>7886</v>
      </c>
      <c r="C36593" t="s">
        <v>1142</v>
      </c>
      <c r="D36593" s="21" t="s">
        <v>34</v>
      </c>
      <c r="E36593" s="21" t="s">
        <v>71</v>
      </c>
      <c r="F36593">
        <v>10860016</v>
      </c>
      <c r="G36593" t="s">
        <v>3289</v>
      </c>
      <c r="H36593" s="21">
        <v>496</v>
      </c>
    </row>
    <row r="36594" spans="1:8" customFormat="1" x14ac:dyDescent="0.25">
      <c r="A36594" t="str">
        <f>"154074"</f>
        <v>154074</v>
      </c>
      <c r="B36594" t="s">
        <v>4649</v>
      </c>
      <c r="C36594" t="s">
        <v>1812</v>
      </c>
      <c r="D36594" s="21" t="s">
        <v>34</v>
      </c>
      <c r="E36594" s="21" t="s">
        <v>71</v>
      </c>
      <c r="F36594">
        <v>1150145</v>
      </c>
      <c r="G36594" t="s">
        <v>6857</v>
      </c>
      <c r="H36594" s="21">
        <v>496</v>
      </c>
    </row>
    <row r="36595" spans="1:8" customFormat="1" x14ac:dyDescent="0.25">
      <c r="A36595" t="str">
        <f>"5978448"</f>
        <v>5978448</v>
      </c>
      <c r="B36595" t="s">
        <v>6487</v>
      </c>
      <c r="C36595" t="s">
        <v>33</v>
      </c>
      <c r="D36595" s="21" t="s">
        <v>34</v>
      </c>
      <c r="E36595" s="21" t="s">
        <v>35</v>
      </c>
      <c r="F36595">
        <v>7590127</v>
      </c>
      <c r="G36595" t="s">
        <v>214</v>
      </c>
      <c r="H36595" s="21">
        <v>496</v>
      </c>
    </row>
    <row r="36596" spans="1:8" customFormat="1" x14ac:dyDescent="0.25">
      <c r="A36596" t="str">
        <f>"9320389"</f>
        <v>9320389</v>
      </c>
      <c r="B36596" t="s">
        <v>24547</v>
      </c>
      <c r="C36596" t="s">
        <v>24548</v>
      </c>
      <c r="D36596" s="21" t="s">
        <v>34</v>
      </c>
      <c r="E36596" s="21" t="s">
        <v>254</v>
      </c>
      <c r="F36596">
        <v>8770250</v>
      </c>
      <c r="G36596" t="s">
        <v>2595</v>
      </c>
      <c r="H36596" s="21">
        <v>496</v>
      </c>
    </row>
    <row r="36597" spans="1:8" customFormat="1" x14ac:dyDescent="0.25">
      <c r="A36597" t="str">
        <f>"1321626"</f>
        <v>1321626</v>
      </c>
      <c r="B36597" t="s">
        <v>6446</v>
      </c>
      <c r="C36597" t="s">
        <v>187</v>
      </c>
      <c r="D36597" s="21" t="s">
        <v>34</v>
      </c>
      <c r="E36597" s="21" t="s">
        <v>35</v>
      </c>
      <c r="F36597">
        <v>13130118</v>
      </c>
      <c r="G36597" t="s">
        <v>27466</v>
      </c>
      <c r="H36597" s="21">
        <v>496</v>
      </c>
    </row>
    <row r="36598" spans="1:8" customFormat="1" x14ac:dyDescent="0.25">
      <c r="A36598" t="str">
        <f>"29656"</f>
        <v>29656</v>
      </c>
      <c r="B36598" t="s">
        <v>4124</v>
      </c>
      <c r="C36598" t="s">
        <v>1946</v>
      </c>
      <c r="D36598" s="21" t="s">
        <v>34</v>
      </c>
      <c r="E36598" s="21" t="s">
        <v>71</v>
      </c>
      <c r="F36598">
        <v>3290226</v>
      </c>
      <c r="G36598" t="s">
        <v>4637</v>
      </c>
      <c r="H36598" s="21">
        <v>496</v>
      </c>
    </row>
    <row r="36599" spans="1:8" customFormat="1" x14ac:dyDescent="0.25">
      <c r="A36599" t="str">
        <f>"8614879"</f>
        <v>8614879</v>
      </c>
      <c r="B36599" t="s">
        <v>22298</v>
      </c>
      <c r="C36599" t="s">
        <v>598</v>
      </c>
      <c r="D36599" s="21" t="s">
        <v>34</v>
      </c>
      <c r="E36599" s="21" t="s">
        <v>35</v>
      </c>
      <c r="F36599">
        <v>10860231</v>
      </c>
      <c r="G36599" t="s">
        <v>7294</v>
      </c>
      <c r="H36599" s="21">
        <v>496</v>
      </c>
    </row>
    <row r="36600" spans="1:8" customFormat="1" x14ac:dyDescent="0.25">
      <c r="A36600" t="str">
        <f>"4444313"</f>
        <v>4444313</v>
      </c>
      <c r="B36600" t="s">
        <v>14089</v>
      </c>
      <c r="C36600" t="s">
        <v>608</v>
      </c>
      <c r="D36600" s="21" t="s">
        <v>34</v>
      </c>
      <c r="E36600" s="21" t="s">
        <v>35</v>
      </c>
      <c r="F36600">
        <v>12440158</v>
      </c>
      <c r="G36600" t="s">
        <v>9695</v>
      </c>
      <c r="H36600" s="21">
        <v>496</v>
      </c>
    </row>
    <row r="36601" spans="1:8" customFormat="1" x14ac:dyDescent="0.25">
      <c r="A36601" t="str">
        <f>"783316"</f>
        <v>783316</v>
      </c>
      <c r="B36601" t="s">
        <v>22812</v>
      </c>
      <c r="C36601" t="s">
        <v>202</v>
      </c>
      <c r="D36601" s="21" t="s">
        <v>34</v>
      </c>
      <c r="E36601" s="21" t="s">
        <v>6185</v>
      </c>
      <c r="F36601">
        <v>8780660</v>
      </c>
      <c r="G36601" t="s">
        <v>2801</v>
      </c>
      <c r="H36601" s="21">
        <v>496</v>
      </c>
    </row>
    <row r="36602" spans="1:8" customFormat="1" x14ac:dyDescent="0.25">
      <c r="A36602" t="str">
        <f>"5982972"</f>
        <v>5982972</v>
      </c>
      <c r="B36602" t="s">
        <v>67</v>
      </c>
      <c r="C36602" t="s">
        <v>415</v>
      </c>
      <c r="D36602" s="21" t="s">
        <v>34</v>
      </c>
      <c r="E36602" s="21" t="s">
        <v>71</v>
      </c>
      <c r="F36602">
        <v>7590315</v>
      </c>
      <c r="G36602" t="s">
        <v>11823</v>
      </c>
      <c r="H36602" s="21">
        <v>496</v>
      </c>
    </row>
    <row r="36603" spans="1:8" customFormat="1" x14ac:dyDescent="0.25">
      <c r="A36603" t="str">
        <f>"6726392"</f>
        <v>6726392</v>
      </c>
      <c r="B36603" t="s">
        <v>1555</v>
      </c>
      <c r="C36603" t="s">
        <v>415</v>
      </c>
      <c r="D36603" s="21" t="s">
        <v>34</v>
      </c>
      <c r="E36603" s="21" t="s">
        <v>71</v>
      </c>
      <c r="F36603">
        <v>6670092</v>
      </c>
      <c r="G36603" t="s">
        <v>10845</v>
      </c>
      <c r="H36603" s="21">
        <v>496</v>
      </c>
    </row>
    <row r="36604" spans="1:8" customFormat="1" x14ac:dyDescent="0.25">
      <c r="A36604" t="str">
        <f>"2929522"</f>
        <v>2929522</v>
      </c>
      <c r="B36604" t="s">
        <v>23836</v>
      </c>
      <c r="C36604" t="s">
        <v>55</v>
      </c>
      <c r="D36604" s="21" t="s">
        <v>34</v>
      </c>
      <c r="E36604" s="21" t="s">
        <v>71</v>
      </c>
      <c r="F36604">
        <v>3290223</v>
      </c>
      <c r="G36604" t="s">
        <v>2636</v>
      </c>
      <c r="H36604" s="21">
        <v>496</v>
      </c>
    </row>
    <row r="36605" spans="1:8" customFormat="1" x14ac:dyDescent="0.25">
      <c r="A36605" t="str">
        <f>"776616"</f>
        <v>776616</v>
      </c>
      <c r="B36605" t="s">
        <v>18095</v>
      </c>
      <c r="C36605" t="s">
        <v>453</v>
      </c>
      <c r="D36605" s="21" t="s">
        <v>34</v>
      </c>
      <c r="E36605" s="21" t="s">
        <v>1089</v>
      </c>
      <c r="F36605">
        <v>8771025</v>
      </c>
      <c r="G36605" t="s">
        <v>5469</v>
      </c>
      <c r="H36605" s="21">
        <v>496</v>
      </c>
    </row>
    <row r="36606" spans="1:8" customFormat="1" x14ac:dyDescent="0.25">
      <c r="A36606" t="str">
        <f>"364796"</f>
        <v>364796</v>
      </c>
      <c r="B36606" t="s">
        <v>12612</v>
      </c>
      <c r="C36606" t="s">
        <v>547</v>
      </c>
      <c r="D36606" s="21" t="s">
        <v>34</v>
      </c>
      <c r="E36606" s="21" t="s">
        <v>1089</v>
      </c>
      <c r="F36606">
        <v>4360340</v>
      </c>
      <c r="G36606" t="s">
        <v>14132</v>
      </c>
      <c r="H36606" s="21">
        <v>496</v>
      </c>
    </row>
    <row r="36607" spans="1:8" customFormat="1" x14ac:dyDescent="0.25">
      <c r="A36607" t="str">
        <f>"6311454"</f>
        <v>6311454</v>
      </c>
      <c r="B36607" t="s">
        <v>14718</v>
      </c>
      <c r="C36607" t="s">
        <v>60</v>
      </c>
      <c r="D36607" s="21" t="s">
        <v>34</v>
      </c>
      <c r="E36607" s="21" t="s">
        <v>35</v>
      </c>
      <c r="F36607">
        <v>1630184</v>
      </c>
      <c r="G36607" t="s">
        <v>26702</v>
      </c>
      <c r="H36607" s="21">
        <v>496</v>
      </c>
    </row>
    <row r="36608" spans="1:8" customFormat="1" x14ac:dyDescent="0.25">
      <c r="A36608" t="str">
        <f>"2815121"</f>
        <v>2815121</v>
      </c>
      <c r="B36608" t="s">
        <v>1722</v>
      </c>
      <c r="C36608" t="s">
        <v>269</v>
      </c>
      <c r="D36608" s="21" t="s">
        <v>34</v>
      </c>
      <c r="E36608" s="21" t="s">
        <v>71</v>
      </c>
      <c r="F36608">
        <v>4280005</v>
      </c>
      <c r="G36608" t="s">
        <v>5760</v>
      </c>
      <c r="H36608" s="21">
        <v>496</v>
      </c>
    </row>
    <row r="36609" spans="1:8" customFormat="1" x14ac:dyDescent="0.25">
      <c r="A36609" t="str">
        <f>"5942719"</f>
        <v>5942719</v>
      </c>
      <c r="B36609" t="s">
        <v>16059</v>
      </c>
      <c r="C36609" t="s">
        <v>3784</v>
      </c>
      <c r="D36609" s="21" t="s">
        <v>34</v>
      </c>
      <c r="E36609" s="21" t="s">
        <v>71</v>
      </c>
      <c r="F36609">
        <v>7590012</v>
      </c>
      <c r="G36609" t="s">
        <v>15886</v>
      </c>
      <c r="H36609" s="21">
        <v>496</v>
      </c>
    </row>
    <row r="36610" spans="1:8" customFormat="1" x14ac:dyDescent="0.25">
      <c r="A36610" t="str">
        <f>"42286"</f>
        <v>42286</v>
      </c>
      <c r="B36610" t="s">
        <v>4147</v>
      </c>
      <c r="C36610" t="s">
        <v>24065</v>
      </c>
      <c r="D36610" s="21" t="s">
        <v>34</v>
      </c>
      <c r="E36610" s="21" t="s">
        <v>1089</v>
      </c>
      <c r="F36610">
        <v>1420018</v>
      </c>
      <c r="G36610" t="s">
        <v>9778</v>
      </c>
      <c r="H36610" s="21">
        <v>496</v>
      </c>
    </row>
    <row r="36611" spans="1:8" customFormat="1" x14ac:dyDescent="0.25">
      <c r="A36611" t="str">
        <f>"7878865"</f>
        <v>7878865</v>
      </c>
      <c r="B36611" t="s">
        <v>13048</v>
      </c>
      <c r="C36611" t="s">
        <v>33</v>
      </c>
      <c r="D36611" s="21" t="s">
        <v>34</v>
      </c>
      <c r="E36611" s="21" t="s">
        <v>35</v>
      </c>
      <c r="F36611">
        <v>8780440</v>
      </c>
      <c r="G36611" t="s">
        <v>6629</v>
      </c>
      <c r="H36611" s="21">
        <v>496</v>
      </c>
    </row>
    <row r="36612" spans="1:8" customFormat="1" x14ac:dyDescent="0.25">
      <c r="A36612" t="str">
        <f>"2811715"</f>
        <v>2811715</v>
      </c>
      <c r="B36612" t="s">
        <v>11631</v>
      </c>
      <c r="C36612" t="s">
        <v>3967</v>
      </c>
      <c r="D36612" s="21" t="s">
        <v>34</v>
      </c>
      <c r="E36612" s="21" t="s">
        <v>35</v>
      </c>
      <c r="F36612">
        <v>4280048</v>
      </c>
      <c r="G36612" t="s">
        <v>3053</v>
      </c>
      <c r="H36612" s="21">
        <v>496</v>
      </c>
    </row>
    <row r="36613" spans="1:8" customFormat="1" x14ac:dyDescent="0.25">
      <c r="A36613" t="str">
        <f>"4452747"</f>
        <v>4452747</v>
      </c>
      <c r="B36613" t="s">
        <v>24327</v>
      </c>
      <c r="C36613" t="s">
        <v>817</v>
      </c>
      <c r="D36613" s="21" t="s">
        <v>34</v>
      </c>
      <c r="E36613" s="21" t="s">
        <v>71</v>
      </c>
      <c r="F36613">
        <v>12440167</v>
      </c>
      <c r="G36613" t="s">
        <v>27355</v>
      </c>
      <c r="H36613" s="21">
        <v>496</v>
      </c>
    </row>
    <row r="36614" spans="1:8" customFormat="1" x14ac:dyDescent="0.25">
      <c r="A36614" t="str">
        <f>"5947782"</f>
        <v>5947782</v>
      </c>
      <c r="B36614" t="s">
        <v>22553</v>
      </c>
      <c r="C36614" t="s">
        <v>60</v>
      </c>
      <c r="D36614" s="21" t="s">
        <v>34</v>
      </c>
      <c r="E36614" s="21" t="s">
        <v>35</v>
      </c>
      <c r="F36614">
        <v>7590194</v>
      </c>
      <c r="G36614" t="s">
        <v>460</v>
      </c>
      <c r="H36614" s="21">
        <v>496</v>
      </c>
    </row>
    <row r="36615" spans="1:8" customFormat="1" x14ac:dyDescent="0.25">
      <c r="A36615" t="str">
        <f>"039160"</f>
        <v>039160</v>
      </c>
      <c r="B36615" t="s">
        <v>13408</v>
      </c>
      <c r="C36615" t="s">
        <v>147</v>
      </c>
      <c r="D36615" s="21" t="s">
        <v>34</v>
      </c>
      <c r="E36615" s="21" t="s">
        <v>35</v>
      </c>
      <c r="F36615">
        <v>1030082</v>
      </c>
      <c r="G36615" t="s">
        <v>26828</v>
      </c>
      <c r="H36615" s="21">
        <v>496</v>
      </c>
    </row>
    <row r="36616" spans="1:8" customFormat="1" x14ac:dyDescent="0.25">
      <c r="A36616" t="str">
        <f>"216076"</f>
        <v>216076</v>
      </c>
      <c r="B36616" t="s">
        <v>23864</v>
      </c>
      <c r="C36616" t="s">
        <v>547</v>
      </c>
      <c r="D36616" s="21" t="s">
        <v>34</v>
      </c>
      <c r="E36616" s="21" t="s">
        <v>254</v>
      </c>
      <c r="F36616">
        <v>2210088</v>
      </c>
      <c r="G36616" t="s">
        <v>2896</v>
      </c>
      <c r="H36616" s="21">
        <v>496</v>
      </c>
    </row>
    <row r="36617" spans="1:8" customFormat="1" x14ac:dyDescent="0.25">
      <c r="A36617" t="str">
        <f>"6023084"</f>
        <v>6023084</v>
      </c>
      <c r="B36617" t="s">
        <v>22432</v>
      </c>
      <c r="C36617" t="s">
        <v>43</v>
      </c>
      <c r="D36617" s="21" t="s">
        <v>34</v>
      </c>
      <c r="E36617" s="21" t="s">
        <v>35</v>
      </c>
      <c r="F36617">
        <v>7600041</v>
      </c>
      <c r="G36617" t="s">
        <v>8033</v>
      </c>
      <c r="H36617" s="21">
        <v>496</v>
      </c>
    </row>
    <row r="36618" spans="1:8" customFormat="1" x14ac:dyDescent="0.25">
      <c r="A36618" t="str">
        <f>"4443524"</f>
        <v>4443524</v>
      </c>
      <c r="B36618" t="s">
        <v>29284</v>
      </c>
      <c r="C36618" t="s">
        <v>1110</v>
      </c>
      <c r="D36618" s="21" t="s">
        <v>34</v>
      </c>
      <c r="E36618" s="21" t="s">
        <v>1089</v>
      </c>
      <c r="F36618">
        <v>12440176</v>
      </c>
      <c r="G36618" t="s">
        <v>1020</v>
      </c>
      <c r="H36618" s="21">
        <v>496</v>
      </c>
    </row>
    <row r="36619" spans="1:8" customFormat="1" x14ac:dyDescent="0.25">
      <c r="A36619" t="str">
        <f>"9147173"</f>
        <v>9147173</v>
      </c>
      <c r="B36619" t="s">
        <v>4148</v>
      </c>
      <c r="C36619" t="s">
        <v>169</v>
      </c>
      <c r="D36619" s="21" t="s">
        <v>34</v>
      </c>
      <c r="E36619" s="21" t="s">
        <v>71</v>
      </c>
      <c r="F36619">
        <v>8910438</v>
      </c>
      <c r="G36619" t="s">
        <v>761</v>
      </c>
      <c r="H36619" s="21">
        <v>496</v>
      </c>
    </row>
    <row r="36620" spans="1:8" customFormat="1" x14ac:dyDescent="0.25">
      <c r="A36620" t="str">
        <f>"5019028"</f>
        <v>5019028</v>
      </c>
      <c r="B36620" t="s">
        <v>14089</v>
      </c>
      <c r="C36620" t="s">
        <v>49</v>
      </c>
      <c r="D36620" s="21" t="s">
        <v>34</v>
      </c>
      <c r="E36620" s="21" t="s">
        <v>35</v>
      </c>
      <c r="F36620">
        <v>9500111</v>
      </c>
      <c r="G36620" t="s">
        <v>6591</v>
      </c>
      <c r="H36620" s="21">
        <v>496</v>
      </c>
    </row>
    <row r="36621" spans="1:8" customFormat="1" x14ac:dyDescent="0.25">
      <c r="A36621" t="str">
        <f>"5981033"</f>
        <v>5981033</v>
      </c>
      <c r="B36621" t="s">
        <v>5976</v>
      </c>
      <c r="C36621" t="s">
        <v>130</v>
      </c>
      <c r="D36621" s="21" t="s">
        <v>34</v>
      </c>
      <c r="E36621" s="21" t="s">
        <v>71</v>
      </c>
      <c r="F36621">
        <v>7590260</v>
      </c>
      <c r="G36621" t="s">
        <v>3043</v>
      </c>
      <c r="H36621" s="21">
        <v>496</v>
      </c>
    </row>
    <row r="36622" spans="1:8" customFormat="1" x14ac:dyDescent="0.25">
      <c r="A36622" t="str">
        <f>"4439942"</f>
        <v>4439942</v>
      </c>
      <c r="B36622" t="s">
        <v>24337</v>
      </c>
      <c r="C36622" t="s">
        <v>24338</v>
      </c>
      <c r="D36622" s="21" t="s">
        <v>34</v>
      </c>
      <c r="E36622" s="21" t="s">
        <v>35</v>
      </c>
      <c r="F36622">
        <v>12440193</v>
      </c>
      <c r="G36622" t="s">
        <v>3786</v>
      </c>
      <c r="H36622" s="21">
        <v>496</v>
      </c>
    </row>
    <row r="36623" spans="1:8" customFormat="1" x14ac:dyDescent="0.25">
      <c r="A36623" t="str">
        <f>"1712118"</f>
        <v>1712118</v>
      </c>
      <c r="B36623" t="s">
        <v>23835</v>
      </c>
      <c r="C36623" t="s">
        <v>1146</v>
      </c>
      <c r="D36623" s="21" t="s">
        <v>34</v>
      </c>
      <c r="E36623" s="21" t="s">
        <v>254</v>
      </c>
      <c r="F36623">
        <v>10170035</v>
      </c>
      <c r="G36623" t="s">
        <v>12942</v>
      </c>
      <c r="H36623" s="21">
        <v>496</v>
      </c>
    </row>
    <row r="36624" spans="1:8" customFormat="1" x14ac:dyDescent="0.25">
      <c r="A36624" t="str">
        <f>"3335341"</f>
        <v>3335341</v>
      </c>
      <c r="B36624" t="s">
        <v>24450</v>
      </c>
      <c r="C36624" t="s">
        <v>1222</v>
      </c>
      <c r="D36624" s="21" t="s">
        <v>34</v>
      </c>
      <c r="E36624" s="21" t="s">
        <v>35</v>
      </c>
      <c r="F36624">
        <v>10330009</v>
      </c>
      <c r="G36624" t="s">
        <v>2064</v>
      </c>
      <c r="H36624" s="21">
        <v>496</v>
      </c>
    </row>
    <row r="36625" spans="1:8" customFormat="1" x14ac:dyDescent="0.25">
      <c r="A36625" t="str">
        <f>"3833536"</f>
        <v>3833536</v>
      </c>
      <c r="B36625" t="s">
        <v>29285</v>
      </c>
      <c r="C36625" t="s">
        <v>12593</v>
      </c>
      <c r="D36625" s="21" t="s">
        <v>34</v>
      </c>
      <c r="E36625" s="21" t="s">
        <v>35</v>
      </c>
      <c r="F36625">
        <v>1380275</v>
      </c>
      <c r="G36625" t="s">
        <v>8042</v>
      </c>
      <c r="H36625" s="21">
        <v>496</v>
      </c>
    </row>
    <row r="36626" spans="1:8" customFormat="1" x14ac:dyDescent="0.25">
      <c r="A36626" t="str">
        <f>"905839"</f>
        <v>905839</v>
      </c>
      <c r="B36626" t="s">
        <v>22440</v>
      </c>
      <c r="C36626" t="s">
        <v>1146</v>
      </c>
      <c r="D36626" s="21" t="s">
        <v>34</v>
      </c>
      <c r="E36626" s="21" t="s">
        <v>71</v>
      </c>
      <c r="F36626">
        <v>2900047</v>
      </c>
      <c r="G36626" t="s">
        <v>6819</v>
      </c>
      <c r="H36626" s="21">
        <v>496</v>
      </c>
    </row>
    <row r="36627" spans="1:8" customFormat="1" x14ac:dyDescent="0.25">
      <c r="A36627" t="str">
        <f>"4514873"</f>
        <v>4514873</v>
      </c>
      <c r="B36627" t="s">
        <v>23235</v>
      </c>
      <c r="C36627" t="s">
        <v>415</v>
      </c>
      <c r="D36627" s="21" t="s">
        <v>34</v>
      </c>
      <c r="E36627" s="21" t="s">
        <v>254</v>
      </c>
      <c r="F36627">
        <v>10640023</v>
      </c>
      <c r="G36627" t="s">
        <v>8567</v>
      </c>
      <c r="H36627" s="21">
        <v>496</v>
      </c>
    </row>
    <row r="36628" spans="1:8" customFormat="1" x14ac:dyDescent="0.25">
      <c r="A36628" t="str">
        <f>"8819080"</f>
        <v>8819080</v>
      </c>
      <c r="B36628" t="s">
        <v>11145</v>
      </c>
      <c r="C36628" t="s">
        <v>1196</v>
      </c>
      <c r="D36628" s="21" t="s">
        <v>34</v>
      </c>
      <c r="E36628" s="21" t="s">
        <v>35</v>
      </c>
      <c r="F36628">
        <v>6880119</v>
      </c>
      <c r="G36628" t="s">
        <v>3443</v>
      </c>
      <c r="H36628" s="21">
        <v>496</v>
      </c>
    </row>
    <row r="36629" spans="1:8" customFormat="1" x14ac:dyDescent="0.25">
      <c r="A36629" t="str">
        <f>"5734649"</f>
        <v>5734649</v>
      </c>
      <c r="B36629" t="s">
        <v>29286</v>
      </c>
      <c r="C36629" t="s">
        <v>169</v>
      </c>
      <c r="D36629" s="21" t="s">
        <v>34</v>
      </c>
      <c r="E36629" s="21" t="s">
        <v>71</v>
      </c>
      <c r="F36629">
        <v>6570022</v>
      </c>
      <c r="G36629" t="s">
        <v>3870</v>
      </c>
      <c r="H36629" s="21">
        <v>496</v>
      </c>
    </row>
    <row r="36630" spans="1:8" customFormat="1" x14ac:dyDescent="0.25">
      <c r="A36630" t="str">
        <f>"5728251"</f>
        <v>5728251</v>
      </c>
      <c r="B36630" t="s">
        <v>308</v>
      </c>
      <c r="C36630" t="s">
        <v>1146</v>
      </c>
      <c r="D36630" s="21" t="s">
        <v>34</v>
      </c>
      <c r="E36630" s="21" t="s">
        <v>254</v>
      </c>
      <c r="F36630">
        <v>6570137</v>
      </c>
      <c r="G36630" t="s">
        <v>13134</v>
      </c>
      <c r="H36630" s="21">
        <v>496</v>
      </c>
    </row>
    <row r="36631" spans="1:8" customFormat="1" x14ac:dyDescent="0.25">
      <c r="A36631" t="str">
        <f>"7882853"</f>
        <v>7882853</v>
      </c>
      <c r="B36631" t="s">
        <v>14328</v>
      </c>
      <c r="C36631" t="s">
        <v>812</v>
      </c>
      <c r="D36631" s="21" t="s">
        <v>34</v>
      </c>
      <c r="E36631" s="21" t="s">
        <v>35</v>
      </c>
      <c r="F36631">
        <v>8781266</v>
      </c>
      <c r="G36631" t="s">
        <v>26704</v>
      </c>
      <c r="H36631" s="21">
        <v>496</v>
      </c>
    </row>
    <row r="36632" spans="1:8" customFormat="1" x14ac:dyDescent="0.25">
      <c r="A36632" t="str">
        <f>"3537592"</f>
        <v>3537592</v>
      </c>
      <c r="B36632" t="s">
        <v>22458</v>
      </c>
      <c r="C36632" t="s">
        <v>544</v>
      </c>
      <c r="D36632" s="21" t="s">
        <v>34</v>
      </c>
      <c r="E36632" s="21" t="s">
        <v>35</v>
      </c>
      <c r="F36632">
        <v>3350025</v>
      </c>
      <c r="G36632" t="s">
        <v>11920</v>
      </c>
      <c r="H36632" s="21">
        <v>496</v>
      </c>
    </row>
    <row r="36633" spans="1:8" customFormat="1" x14ac:dyDescent="0.25">
      <c r="A36633" t="str">
        <f>"3342930"</f>
        <v>3342930</v>
      </c>
      <c r="B36633" t="s">
        <v>29287</v>
      </c>
      <c r="C36633" t="s">
        <v>2566</v>
      </c>
      <c r="D36633" s="21" t="s">
        <v>34</v>
      </c>
      <c r="E36633" s="21" t="s">
        <v>35</v>
      </c>
      <c r="F36633">
        <v>10330093</v>
      </c>
      <c r="G36633" t="s">
        <v>8324</v>
      </c>
      <c r="H36633" s="21">
        <v>496</v>
      </c>
    </row>
    <row r="36634" spans="1:8" customFormat="1" x14ac:dyDescent="0.25">
      <c r="A36634" t="str">
        <f>"1717301"</f>
        <v>1717301</v>
      </c>
      <c r="B36634" t="s">
        <v>4686</v>
      </c>
      <c r="C36634" t="s">
        <v>87</v>
      </c>
      <c r="D36634" s="21" t="s">
        <v>34</v>
      </c>
      <c r="E36634" s="21" t="s">
        <v>71</v>
      </c>
      <c r="F36634">
        <v>10170029</v>
      </c>
      <c r="G36634" t="s">
        <v>9383</v>
      </c>
      <c r="H36634" s="21">
        <v>496</v>
      </c>
    </row>
    <row r="36635" spans="1:8" customFormat="1" x14ac:dyDescent="0.25">
      <c r="A36635" t="str">
        <f>"2939910"</f>
        <v>2939910</v>
      </c>
      <c r="B36635" t="s">
        <v>14320</v>
      </c>
      <c r="C36635" t="s">
        <v>1812</v>
      </c>
      <c r="D36635" s="21" t="s">
        <v>34</v>
      </c>
      <c r="E36635" s="21" t="s">
        <v>254</v>
      </c>
      <c r="F36635">
        <v>3290277</v>
      </c>
      <c r="G36635" t="s">
        <v>1671</v>
      </c>
      <c r="H36635" s="21">
        <v>496</v>
      </c>
    </row>
    <row r="36636" spans="1:8" customFormat="1" x14ac:dyDescent="0.25">
      <c r="A36636" t="str">
        <f>"9247198"</f>
        <v>9247198</v>
      </c>
      <c r="B36636" t="s">
        <v>23721</v>
      </c>
      <c r="C36636" t="s">
        <v>1812</v>
      </c>
      <c r="D36636" s="21" t="s">
        <v>34</v>
      </c>
      <c r="E36636" s="21" t="s">
        <v>254</v>
      </c>
      <c r="F36636">
        <v>8920309</v>
      </c>
      <c r="G36636" t="s">
        <v>1894</v>
      </c>
      <c r="H36636" s="21">
        <v>496</v>
      </c>
    </row>
    <row r="36637" spans="1:8" customFormat="1" x14ac:dyDescent="0.25">
      <c r="A36637" t="str">
        <f>"442627"</f>
        <v>442627</v>
      </c>
      <c r="B36637" t="s">
        <v>16676</v>
      </c>
      <c r="C36637" t="s">
        <v>267</v>
      </c>
      <c r="D36637" s="21" t="s">
        <v>34</v>
      </c>
      <c r="E36637" s="21" t="s">
        <v>1089</v>
      </c>
      <c r="F36637">
        <v>12440084</v>
      </c>
      <c r="G36637" t="s">
        <v>1014</v>
      </c>
      <c r="H36637" s="21">
        <v>496</v>
      </c>
    </row>
    <row r="36638" spans="1:8" customFormat="1" x14ac:dyDescent="0.25">
      <c r="A36638" t="str">
        <f>"8517109"</f>
        <v>8517109</v>
      </c>
      <c r="B36638" t="s">
        <v>22943</v>
      </c>
      <c r="C36638" t="s">
        <v>267</v>
      </c>
      <c r="D36638" s="21" t="s">
        <v>34</v>
      </c>
      <c r="E36638" s="21" t="s">
        <v>254</v>
      </c>
      <c r="F36638">
        <v>12850172</v>
      </c>
      <c r="G36638" t="s">
        <v>4919</v>
      </c>
      <c r="H36638" s="21">
        <v>496</v>
      </c>
    </row>
    <row r="36639" spans="1:8" customFormat="1" x14ac:dyDescent="0.25">
      <c r="A36639" t="str">
        <f>"5937221"</f>
        <v>5937221</v>
      </c>
      <c r="B36639" t="s">
        <v>29288</v>
      </c>
      <c r="C36639" t="s">
        <v>209</v>
      </c>
      <c r="D36639" s="21" t="s">
        <v>34</v>
      </c>
      <c r="E36639" s="21" t="s">
        <v>254</v>
      </c>
      <c r="F36639">
        <v>7590122</v>
      </c>
      <c r="G36639" t="s">
        <v>5608</v>
      </c>
      <c r="H36639" s="21">
        <v>496</v>
      </c>
    </row>
    <row r="36640" spans="1:8" customFormat="1" x14ac:dyDescent="0.25">
      <c r="A36640" t="str">
        <f>"537975"</f>
        <v>537975</v>
      </c>
      <c r="B36640" t="s">
        <v>24148</v>
      </c>
      <c r="C36640" t="s">
        <v>4267</v>
      </c>
      <c r="D36640" s="21" t="s">
        <v>34</v>
      </c>
      <c r="E36640" s="21" t="s">
        <v>254</v>
      </c>
      <c r="F36640">
        <v>12530038</v>
      </c>
      <c r="G36640" t="s">
        <v>4955</v>
      </c>
      <c r="H36640" s="21">
        <v>496</v>
      </c>
    </row>
    <row r="36641" spans="1:8" customFormat="1" x14ac:dyDescent="0.25">
      <c r="A36641" t="str">
        <f>"3114682"</f>
        <v>3114682</v>
      </c>
      <c r="B36641" t="s">
        <v>2505</v>
      </c>
      <c r="C36641" t="s">
        <v>204</v>
      </c>
      <c r="D36641" s="21" t="s">
        <v>34</v>
      </c>
      <c r="E36641" s="21" t="s">
        <v>35</v>
      </c>
      <c r="F36641">
        <v>11310124</v>
      </c>
      <c r="G36641" t="s">
        <v>7977</v>
      </c>
      <c r="H36641" s="21">
        <v>496</v>
      </c>
    </row>
    <row r="36642" spans="1:8" customFormat="1" x14ac:dyDescent="0.25">
      <c r="A36642" t="str">
        <f>"1614596"</f>
        <v>1614596</v>
      </c>
      <c r="B36642" t="s">
        <v>11259</v>
      </c>
      <c r="C36642" t="s">
        <v>269</v>
      </c>
      <c r="D36642" s="21" t="s">
        <v>34</v>
      </c>
      <c r="E36642" s="21" t="s">
        <v>71</v>
      </c>
      <c r="F36642">
        <v>10160028</v>
      </c>
      <c r="G36642" t="s">
        <v>12565</v>
      </c>
      <c r="H36642" s="21">
        <v>496</v>
      </c>
    </row>
    <row r="36643" spans="1:8" customFormat="1" x14ac:dyDescent="0.25">
      <c r="A36643" t="str">
        <f>"6725003"</f>
        <v>6725003</v>
      </c>
      <c r="B36643" t="s">
        <v>29289</v>
      </c>
      <c r="C36643" t="s">
        <v>652</v>
      </c>
      <c r="D36643" s="21" t="s">
        <v>34</v>
      </c>
      <c r="E36643" s="21" t="s">
        <v>254</v>
      </c>
      <c r="F36643">
        <v>6670272</v>
      </c>
      <c r="G36643" t="s">
        <v>26568</v>
      </c>
      <c r="H36643" s="21">
        <v>496</v>
      </c>
    </row>
    <row r="36644" spans="1:8" customFormat="1" x14ac:dyDescent="0.25">
      <c r="A36644" t="str">
        <f>"6112942"</f>
        <v>6112942</v>
      </c>
      <c r="B36644" t="s">
        <v>17721</v>
      </c>
      <c r="C36644" t="s">
        <v>124</v>
      </c>
      <c r="D36644" s="21" t="s">
        <v>34</v>
      </c>
      <c r="E36644" s="21" t="s">
        <v>35</v>
      </c>
      <c r="F36644">
        <v>9610107</v>
      </c>
      <c r="G36644" t="s">
        <v>6302</v>
      </c>
      <c r="H36644" s="21">
        <v>496</v>
      </c>
    </row>
    <row r="36645" spans="1:8" customFormat="1" x14ac:dyDescent="0.25">
      <c r="A36645" t="str">
        <f>"673181"</f>
        <v>673181</v>
      </c>
      <c r="B36645" t="s">
        <v>24734</v>
      </c>
      <c r="C36645" t="s">
        <v>547</v>
      </c>
      <c r="D36645" s="21" t="s">
        <v>34</v>
      </c>
      <c r="E36645" s="21" t="s">
        <v>254</v>
      </c>
      <c r="F36645">
        <v>6670078</v>
      </c>
      <c r="G36645" t="s">
        <v>11329</v>
      </c>
      <c r="H36645" s="21">
        <v>496</v>
      </c>
    </row>
    <row r="36646" spans="1:8" customFormat="1" x14ac:dyDescent="0.25">
      <c r="A36646" t="str">
        <f>"188408"</f>
        <v>188408</v>
      </c>
      <c r="B36646" t="s">
        <v>20919</v>
      </c>
      <c r="C36646" t="s">
        <v>209</v>
      </c>
      <c r="D36646" s="21" t="s">
        <v>34</v>
      </c>
      <c r="E36646" s="21" t="s">
        <v>71</v>
      </c>
      <c r="F36646">
        <v>4180732</v>
      </c>
      <c r="G36646" t="s">
        <v>14645</v>
      </c>
      <c r="H36646" s="21">
        <v>495.92</v>
      </c>
    </row>
    <row r="36647" spans="1:8" customFormat="1" x14ac:dyDescent="0.25">
      <c r="A36647" t="str">
        <f>"8525878"</f>
        <v>8525878</v>
      </c>
      <c r="B36647" t="s">
        <v>24487</v>
      </c>
      <c r="C36647" t="s">
        <v>288</v>
      </c>
      <c r="D36647" s="21" t="s">
        <v>34</v>
      </c>
      <c r="E36647" s="21" t="s">
        <v>71</v>
      </c>
      <c r="F36647">
        <v>12851025</v>
      </c>
      <c r="G36647" t="s">
        <v>26858</v>
      </c>
      <c r="H36647" s="21">
        <v>495.92</v>
      </c>
    </row>
    <row r="36648" spans="1:8" customFormat="1" x14ac:dyDescent="0.25">
      <c r="A36648" t="str">
        <f>"9147040"</f>
        <v>9147040</v>
      </c>
      <c r="B36648" t="s">
        <v>8635</v>
      </c>
      <c r="C36648" t="s">
        <v>119</v>
      </c>
      <c r="D36648" s="21" t="s">
        <v>34</v>
      </c>
      <c r="E36648" s="21" t="s">
        <v>35</v>
      </c>
      <c r="F36648">
        <v>8910916</v>
      </c>
      <c r="G36648" t="s">
        <v>2251</v>
      </c>
      <c r="H36648" s="21">
        <v>495.88</v>
      </c>
    </row>
    <row r="36649" spans="1:8" customFormat="1" x14ac:dyDescent="0.25">
      <c r="A36649" t="str">
        <f>"5710198"</f>
        <v>5710198</v>
      </c>
      <c r="B36649" t="s">
        <v>15064</v>
      </c>
      <c r="C36649" t="s">
        <v>253</v>
      </c>
      <c r="D36649" s="21" t="s">
        <v>34</v>
      </c>
      <c r="E36649" s="21" t="s">
        <v>1089</v>
      </c>
      <c r="F36649">
        <v>6570016</v>
      </c>
      <c r="G36649" t="s">
        <v>11808</v>
      </c>
      <c r="H36649" s="21">
        <v>495.67</v>
      </c>
    </row>
    <row r="36650" spans="1:8" customFormat="1" x14ac:dyDescent="0.25">
      <c r="A36650" t="str">
        <f>"6927360"</f>
        <v>6927360</v>
      </c>
      <c r="B36650" t="s">
        <v>24603</v>
      </c>
      <c r="C36650" t="s">
        <v>24604</v>
      </c>
      <c r="D36650" s="21" t="s">
        <v>34</v>
      </c>
      <c r="E36650" s="21" t="s">
        <v>1089</v>
      </c>
      <c r="F36650">
        <v>1690047</v>
      </c>
      <c r="G36650" t="s">
        <v>4223</v>
      </c>
      <c r="H36650" s="21">
        <v>495.67</v>
      </c>
    </row>
    <row r="36651" spans="1:8" customFormat="1" x14ac:dyDescent="0.25">
      <c r="A36651" t="str">
        <f>"1424702"</f>
        <v>1424702</v>
      </c>
      <c r="B36651" t="s">
        <v>8803</v>
      </c>
      <c r="C36651" t="s">
        <v>121</v>
      </c>
      <c r="D36651" s="21" t="s">
        <v>34</v>
      </c>
      <c r="E36651" s="21" t="s">
        <v>35</v>
      </c>
      <c r="F36651">
        <v>9140071</v>
      </c>
      <c r="G36651" t="s">
        <v>1775</v>
      </c>
      <c r="H36651" s="21">
        <v>495.67</v>
      </c>
    </row>
    <row r="36652" spans="1:8" customFormat="1" x14ac:dyDescent="0.25">
      <c r="A36652" t="str">
        <f>"3728214"</f>
        <v>3728214</v>
      </c>
      <c r="B36652" t="s">
        <v>5887</v>
      </c>
      <c r="C36652" t="s">
        <v>269</v>
      </c>
      <c r="D36652" s="21" t="s">
        <v>34</v>
      </c>
      <c r="E36652" s="21" t="s">
        <v>35</v>
      </c>
      <c r="F36652">
        <v>4370694</v>
      </c>
      <c r="G36652" t="s">
        <v>989</v>
      </c>
      <c r="H36652" s="21">
        <v>495.67</v>
      </c>
    </row>
    <row r="36653" spans="1:8" customFormat="1" x14ac:dyDescent="0.25">
      <c r="A36653" t="str">
        <f>"6919325"</f>
        <v>6919325</v>
      </c>
      <c r="B36653" t="s">
        <v>5648</v>
      </c>
      <c r="C36653" t="s">
        <v>239</v>
      </c>
      <c r="D36653" s="21" t="s">
        <v>34</v>
      </c>
      <c r="E36653" s="21" t="s">
        <v>254</v>
      </c>
      <c r="F36653">
        <v>1690220</v>
      </c>
      <c r="G36653" t="s">
        <v>16783</v>
      </c>
      <c r="H36653" s="21">
        <v>495.67</v>
      </c>
    </row>
    <row r="36654" spans="1:8" customFormat="1" x14ac:dyDescent="0.25">
      <c r="A36654" t="str">
        <f>"5311815"</f>
        <v>5311815</v>
      </c>
      <c r="B36654" t="s">
        <v>22156</v>
      </c>
      <c r="C36654" t="s">
        <v>124</v>
      </c>
      <c r="D36654" s="21" t="s">
        <v>34</v>
      </c>
      <c r="E36654" s="21" t="s">
        <v>71</v>
      </c>
      <c r="F36654">
        <v>12530042</v>
      </c>
      <c r="G36654" t="s">
        <v>4619</v>
      </c>
      <c r="H36654" s="21">
        <v>495.67</v>
      </c>
    </row>
    <row r="36655" spans="1:8" customFormat="1" x14ac:dyDescent="0.25">
      <c r="A36655" t="str">
        <f>"5019372"</f>
        <v>5019372</v>
      </c>
      <c r="B36655" t="s">
        <v>8713</v>
      </c>
      <c r="C36655" t="s">
        <v>5861</v>
      </c>
      <c r="D36655" s="21" t="s">
        <v>34</v>
      </c>
      <c r="E36655" s="21" t="s">
        <v>71</v>
      </c>
      <c r="F36655">
        <v>9500111</v>
      </c>
      <c r="G36655" t="s">
        <v>6591</v>
      </c>
      <c r="H36655" s="21">
        <v>495.67</v>
      </c>
    </row>
    <row r="36656" spans="1:8" customFormat="1" x14ac:dyDescent="0.25">
      <c r="A36656" t="str">
        <f>"365536"</f>
        <v>365536</v>
      </c>
      <c r="B36656" t="s">
        <v>23781</v>
      </c>
      <c r="C36656" t="s">
        <v>114</v>
      </c>
      <c r="D36656" s="21" t="s">
        <v>34</v>
      </c>
      <c r="E36656" s="21" t="s">
        <v>254</v>
      </c>
      <c r="F36656">
        <v>4360726</v>
      </c>
      <c r="G36656" t="s">
        <v>5506</v>
      </c>
      <c r="H36656" s="21">
        <v>495.62</v>
      </c>
    </row>
    <row r="36657" spans="1:8" customFormat="1" x14ac:dyDescent="0.25">
      <c r="A36657" t="str">
        <f>"8316436"</f>
        <v>8316436</v>
      </c>
      <c r="B36657" t="s">
        <v>4711</v>
      </c>
      <c r="C36657" t="s">
        <v>239</v>
      </c>
      <c r="D36657" s="21" t="s">
        <v>34</v>
      </c>
      <c r="E36657" s="21" t="s">
        <v>71</v>
      </c>
      <c r="F36657">
        <v>13830091</v>
      </c>
      <c r="G36657" t="s">
        <v>7389</v>
      </c>
      <c r="H36657" s="21">
        <v>495.5</v>
      </c>
    </row>
    <row r="36658" spans="1:8" customFormat="1" x14ac:dyDescent="0.25">
      <c r="A36658" t="str">
        <f>"3111853"</f>
        <v>3111853</v>
      </c>
      <c r="B36658" t="s">
        <v>23421</v>
      </c>
      <c r="C36658" t="s">
        <v>2305</v>
      </c>
      <c r="D36658" s="21" t="s">
        <v>34</v>
      </c>
      <c r="E36658" s="21" t="s">
        <v>254</v>
      </c>
      <c r="F36658">
        <v>11310005</v>
      </c>
      <c r="G36658" t="s">
        <v>6980</v>
      </c>
      <c r="H36658" s="21">
        <v>495.5</v>
      </c>
    </row>
    <row r="36659" spans="1:8" customFormat="1" x14ac:dyDescent="0.25">
      <c r="A36659" t="str">
        <f>"626942"</f>
        <v>626942</v>
      </c>
      <c r="B36659" t="s">
        <v>13019</v>
      </c>
      <c r="C36659" t="s">
        <v>462</v>
      </c>
      <c r="D36659" s="21" t="s">
        <v>34</v>
      </c>
      <c r="E36659" s="21" t="s">
        <v>71</v>
      </c>
      <c r="F36659">
        <v>7620032</v>
      </c>
      <c r="G36659" t="s">
        <v>11181</v>
      </c>
      <c r="H36659" s="21">
        <v>495.5</v>
      </c>
    </row>
    <row r="36660" spans="1:8" customFormat="1" x14ac:dyDescent="0.25">
      <c r="A36660" t="str">
        <f>"01382"</f>
        <v>01382</v>
      </c>
      <c r="B36660" t="s">
        <v>22330</v>
      </c>
      <c r="C36660" t="s">
        <v>3905</v>
      </c>
      <c r="D36660" s="21" t="s">
        <v>34</v>
      </c>
      <c r="E36660" s="21" t="s">
        <v>6185</v>
      </c>
      <c r="F36660">
        <v>1010033</v>
      </c>
      <c r="G36660" t="s">
        <v>14583</v>
      </c>
      <c r="H36660" s="21">
        <v>495.5</v>
      </c>
    </row>
    <row r="36661" spans="1:8" customFormat="1" x14ac:dyDescent="0.25">
      <c r="A36661" t="str">
        <f>"5912254"</f>
        <v>5912254</v>
      </c>
      <c r="B36661" t="s">
        <v>24031</v>
      </c>
      <c r="C36661" t="s">
        <v>3010</v>
      </c>
      <c r="D36661" s="21" t="s">
        <v>34</v>
      </c>
      <c r="E36661" s="21" t="s">
        <v>1089</v>
      </c>
      <c r="F36661">
        <v>7590033</v>
      </c>
      <c r="G36661" t="s">
        <v>6329</v>
      </c>
      <c r="H36661" s="21">
        <v>495.5</v>
      </c>
    </row>
    <row r="36662" spans="1:8" customFormat="1" x14ac:dyDescent="0.25">
      <c r="A36662" t="str">
        <f>"0617910"</f>
        <v>0617910</v>
      </c>
      <c r="B36662" t="s">
        <v>22205</v>
      </c>
      <c r="C36662" t="s">
        <v>360</v>
      </c>
      <c r="D36662" s="21" t="s">
        <v>34</v>
      </c>
      <c r="E36662" s="21" t="s">
        <v>254</v>
      </c>
      <c r="F36662">
        <v>13060043</v>
      </c>
      <c r="G36662" t="s">
        <v>4761</v>
      </c>
      <c r="H36662" s="21">
        <v>495.5</v>
      </c>
    </row>
    <row r="36663" spans="1:8" customFormat="1" x14ac:dyDescent="0.25">
      <c r="A36663" t="str">
        <f>"3726041"</f>
        <v>3726041</v>
      </c>
      <c r="B36663" t="s">
        <v>21860</v>
      </c>
      <c r="C36663" t="s">
        <v>598</v>
      </c>
      <c r="D36663" s="21" t="s">
        <v>34</v>
      </c>
      <c r="E36663" s="21" t="s">
        <v>254</v>
      </c>
      <c r="F36663">
        <v>4370691</v>
      </c>
      <c r="G36663" t="s">
        <v>12036</v>
      </c>
      <c r="H36663" s="21">
        <v>495.5</v>
      </c>
    </row>
    <row r="36664" spans="1:8" customFormat="1" x14ac:dyDescent="0.25">
      <c r="A36664" t="str">
        <f>"3526262"</f>
        <v>3526262</v>
      </c>
      <c r="B36664" t="s">
        <v>24183</v>
      </c>
      <c r="C36664" t="s">
        <v>2520</v>
      </c>
      <c r="D36664" s="21" t="s">
        <v>34</v>
      </c>
      <c r="E36664" s="21" t="s">
        <v>1089</v>
      </c>
      <c r="F36664">
        <v>3350209</v>
      </c>
      <c r="G36664" t="s">
        <v>3023</v>
      </c>
      <c r="H36664" s="21">
        <v>495.5</v>
      </c>
    </row>
    <row r="36665" spans="1:8" customFormat="1" x14ac:dyDescent="0.25">
      <c r="A36665" t="str">
        <f>"5114132"</f>
        <v>5114132</v>
      </c>
      <c r="B36665" t="s">
        <v>2313</v>
      </c>
      <c r="C36665" t="s">
        <v>204</v>
      </c>
      <c r="D36665" s="21" t="s">
        <v>34</v>
      </c>
      <c r="E36665" s="21" t="s">
        <v>71</v>
      </c>
      <c r="F36665">
        <v>6510018</v>
      </c>
      <c r="G36665" t="s">
        <v>3055</v>
      </c>
      <c r="H36665" s="21">
        <v>495.5</v>
      </c>
    </row>
    <row r="36666" spans="1:8" customFormat="1" x14ac:dyDescent="0.25">
      <c r="A36666" t="str">
        <f>"1426564"</f>
        <v>1426564</v>
      </c>
      <c r="B36666" t="s">
        <v>6472</v>
      </c>
      <c r="C36666" t="s">
        <v>547</v>
      </c>
      <c r="D36666" s="21" t="s">
        <v>34</v>
      </c>
      <c r="E36666" s="21" t="s">
        <v>71</v>
      </c>
      <c r="F36666">
        <v>9140233</v>
      </c>
      <c r="G36666" t="s">
        <v>13269</v>
      </c>
      <c r="H36666" s="21">
        <v>495.5</v>
      </c>
    </row>
    <row r="36667" spans="1:8" customFormat="1" x14ac:dyDescent="0.25">
      <c r="A36667" t="str">
        <f>"7641730"</f>
        <v>7641730</v>
      </c>
      <c r="B36667" t="s">
        <v>18349</v>
      </c>
      <c r="C36667" t="s">
        <v>1559</v>
      </c>
      <c r="D36667" s="21" t="s">
        <v>34</v>
      </c>
      <c r="E36667" s="21" t="s">
        <v>35</v>
      </c>
      <c r="F36667">
        <v>9760448</v>
      </c>
      <c r="G36667" t="s">
        <v>11345</v>
      </c>
      <c r="H36667" s="21">
        <v>495.5</v>
      </c>
    </row>
    <row r="36668" spans="1:8" customFormat="1" x14ac:dyDescent="0.25">
      <c r="A36668" t="str">
        <f>"5013637"</f>
        <v>5013637</v>
      </c>
      <c r="B36668" t="s">
        <v>29290</v>
      </c>
      <c r="C36668" t="s">
        <v>156</v>
      </c>
      <c r="D36668" s="21" t="s">
        <v>34</v>
      </c>
      <c r="E36668" s="21" t="s">
        <v>254</v>
      </c>
      <c r="F36668">
        <v>9500022</v>
      </c>
      <c r="G36668" t="s">
        <v>4324</v>
      </c>
      <c r="H36668" s="21">
        <v>495.5</v>
      </c>
    </row>
    <row r="36669" spans="1:8" customFormat="1" x14ac:dyDescent="0.25">
      <c r="A36669" t="str">
        <f>"1717181"</f>
        <v>1717181</v>
      </c>
      <c r="B36669" t="s">
        <v>22551</v>
      </c>
      <c r="C36669" t="s">
        <v>2479</v>
      </c>
      <c r="D36669" s="21" t="s">
        <v>34</v>
      </c>
      <c r="E36669" s="21" t="s">
        <v>254</v>
      </c>
      <c r="F36669">
        <v>10170012</v>
      </c>
      <c r="G36669" t="s">
        <v>14768</v>
      </c>
      <c r="H36669" s="21">
        <v>495.5</v>
      </c>
    </row>
    <row r="36670" spans="1:8" customFormat="1" x14ac:dyDescent="0.25">
      <c r="A36670" t="str">
        <f>"4443561"</f>
        <v>4443561</v>
      </c>
      <c r="B36670" t="s">
        <v>29291</v>
      </c>
      <c r="C36670" t="s">
        <v>198</v>
      </c>
      <c r="D36670" s="21" t="s">
        <v>34</v>
      </c>
      <c r="E36670" s="21" t="s">
        <v>71</v>
      </c>
      <c r="F36670">
        <v>12440262</v>
      </c>
      <c r="G36670" t="s">
        <v>4590</v>
      </c>
      <c r="H36670" s="21">
        <v>495.5</v>
      </c>
    </row>
    <row r="36671" spans="1:8" customFormat="1" x14ac:dyDescent="0.25">
      <c r="A36671" t="str">
        <f>"3119172"</f>
        <v>3119172</v>
      </c>
      <c r="B36671" t="s">
        <v>24568</v>
      </c>
      <c r="C36671" t="s">
        <v>462</v>
      </c>
      <c r="D36671" s="21" t="s">
        <v>34</v>
      </c>
      <c r="E36671" s="21" t="s">
        <v>71</v>
      </c>
      <c r="F36671">
        <v>11310131</v>
      </c>
      <c r="G36671" t="s">
        <v>16303</v>
      </c>
      <c r="H36671" s="21">
        <v>495.5</v>
      </c>
    </row>
    <row r="36672" spans="1:8" customFormat="1" x14ac:dyDescent="0.25">
      <c r="A36672" t="str">
        <f>"3343942"</f>
        <v>3343942</v>
      </c>
      <c r="B36672" t="s">
        <v>1945</v>
      </c>
      <c r="C36672" t="s">
        <v>65</v>
      </c>
      <c r="D36672" s="21" t="s">
        <v>34</v>
      </c>
      <c r="E36672" s="21" t="s">
        <v>35</v>
      </c>
      <c r="F36672">
        <v>10330125</v>
      </c>
      <c r="G36672" t="s">
        <v>3753</v>
      </c>
      <c r="H36672" s="21">
        <v>495.5</v>
      </c>
    </row>
    <row r="36673" spans="1:8" customFormat="1" x14ac:dyDescent="0.25">
      <c r="A36673" t="str">
        <f>"7519886"</f>
        <v>7519886</v>
      </c>
      <c r="B36673" t="s">
        <v>24423</v>
      </c>
      <c r="C36673" t="s">
        <v>62</v>
      </c>
      <c r="D36673" s="21" t="s">
        <v>34</v>
      </c>
      <c r="E36673" s="21" t="s">
        <v>35</v>
      </c>
      <c r="F36673">
        <v>8751260</v>
      </c>
      <c r="G36673" t="s">
        <v>10641</v>
      </c>
      <c r="H36673" s="21">
        <v>495.5</v>
      </c>
    </row>
    <row r="36674" spans="1:8" customFormat="1" x14ac:dyDescent="0.25">
      <c r="A36674" t="str">
        <f>"396296"</f>
        <v>396296</v>
      </c>
      <c r="B36674" t="s">
        <v>23768</v>
      </c>
      <c r="C36674" t="s">
        <v>40</v>
      </c>
      <c r="D36674" s="21" t="s">
        <v>34</v>
      </c>
      <c r="E36674" s="21" t="s">
        <v>71</v>
      </c>
      <c r="F36674">
        <v>2390001</v>
      </c>
      <c r="G36674" t="s">
        <v>6664</v>
      </c>
      <c r="H36674" s="21">
        <v>495.5</v>
      </c>
    </row>
    <row r="36675" spans="1:8" customFormat="1" x14ac:dyDescent="0.25">
      <c r="A36675" t="str">
        <f>"7729110"</f>
        <v>7729110</v>
      </c>
      <c r="B36675" t="s">
        <v>13694</v>
      </c>
      <c r="C36675" t="s">
        <v>415</v>
      </c>
      <c r="D36675" s="21" t="s">
        <v>34</v>
      </c>
      <c r="E36675" s="21" t="s">
        <v>254</v>
      </c>
      <c r="F36675">
        <v>8770562</v>
      </c>
      <c r="G36675" t="s">
        <v>4847</v>
      </c>
      <c r="H36675" s="21">
        <v>495.5</v>
      </c>
    </row>
    <row r="36676" spans="1:8" customFormat="1" x14ac:dyDescent="0.25">
      <c r="A36676" t="str">
        <f>"9454527"</f>
        <v>9454527</v>
      </c>
      <c r="B36676" t="s">
        <v>23669</v>
      </c>
      <c r="C36676" t="s">
        <v>3109</v>
      </c>
      <c r="D36676" s="21" t="s">
        <v>34</v>
      </c>
      <c r="E36676" s="21" t="s">
        <v>35</v>
      </c>
      <c r="F36676">
        <v>8940926</v>
      </c>
      <c r="G36676" t="s">
        <v>4065</v>
      </c>
      <c r="H36676" s="21">
        <v>495.5</v>
      </c>
    </row>
    <row r="36677" spans="1:8" customFormat="1" x14ac:dyDescent="0.25">
      <c r="A36677" t="str">
        <f>"7722342"</f>
        <v>7722342</v>
      </c>
      <c r="B36677" t="s">
        <v>5543</v>
      </c>
      <c r="C36677" t="s">
        <v>55</v>
      </c>
      <c r="D36677" s="21" t="s">
        <v>34</v>
      </c>
      <c r="E36677" s="21" t="s">
        <v>254</v>
      </c>
      <c r="F36677">
        <v>3560092</v>
      </c>
      <c r="G36677" t="s">
        <v>10630</v>
      </c>
      <c r="H36677" s="21">
        <v>495.5</v>
      </c>
    </row>
    <row r="36678" spans="1:8" customFormat="1" x14ac:dyDescent="0.25">
      <c r="A36678" t="str">
        <f>"3533280"</f>
        <v>3533280</v>
      </c>
      <c r="B36678" t="s">
        <v>29292</v>
      </c>
      <c r="C36678" t="s">
        <v>169</v>
      </c>
      <c r="D36678" s="21" t="s">
        <v>34</v>
      </c>
      <c r="E36678" s="21" t="s">
        <v>71</v>
      </c>
      <c r="F36678">
        <v>3350212</v>
      </c>
      <c r="G36678" t="s">
        <v>5154</v>
      </c>
      <c r="H36678" s="21">
        <v>495.5</v>
      </c>
    </row>
    <row r="36679" spans="1:8" customFormat="1" x14ac:dyDescent="0.25">
      <c r="A36679" t="str">
        <f>"9456073"</f>
        <v>9456073</v>
      </c>
      <c r="B36679" t="s">
        <v>24133</v>
      </c>
      <c r="C36679" t="s">
        <v>269</v>
      </c>
      <c r="D36679" s="21" t="s">
        <v>34</v>
      </c>
      <c r="E36679" s="21" t="s">
        <v>71</v>
      </c>
      <c r="F36679">
        <v>8940535</v>
      </c>
      <c r="G36679" t="s">
        <v>2628</v>
      </c>
      <c r="H36679" s="21">
        <v>495.5</v>
      </c>
    </row>
    <row r="36680" spans="1:8" customFormat="1" x14ac:dyDescent="0.25">
      <c r="A36680" t="str">
        <f>"1712386"</f>
        <v>1712386</v>
      </c>
      <c r="B36680" t="s">
        <v>24396</v>
      </c>
      <c r="C36680" t="s">
        <v>462</v>
      </c>
      <c r="D36680" s="21" t="s">
        <v>34</v>
      </c>
      <c r="E36680" s="21" t="s">
        <v>71</v>
      </c>
      <c r="F36680">
        <v>10170218</v>
      </c>
      <c r="G36680" t="s">
        <v>8381</v>
      </c>
      <c r="H36680" s="21">
        <v>495.5</v>
      </c>
    </row>
    <row r="36681" spans="1:8" customFormat="1" x14ac:dyDescent="0.25">
      <c r="A36681" t="str">
        <f>"3713710"</f>
        <v>3713710</v>
      </c>
      <c r="B36681" t="s">
        <v>21955</v>
      </c>
      <c r="C36681" t="s">
        <v>2276</v>
      </c>
      <c r="D36681" s="21" t="s">
        <v>34</v>
      </c>
      <c r="E36681" s="21" t="s">
        <v>1089</v>
      </c>
      <c r="F36681">
        <v>4370033</v>
      </c>
      <c r="G36681" t="s">
        <v>7556</v>
      </c>
      <c r="H36681" s="21">
        <v>495.5</v>
      </c>
    </row>
    <row r="36682" spans="1:8" customFormat="1" x14ac:dyDescent="0.25">
      <c r="A36682" t="str">
        <f>"4214029"</f>
        <v>4214029</v>
      </c>
      <c r="B36682" t="s">
        <v>11766</v>
      </c>
      <c r="C36682" t="s">
        <v>388</v>
      </c>
      <c r="D36682" s="21" t="s">
        <v>34</v>
      </c>
      <c r="E36682" s="21" t="s">
        <v>35</v>
      </c>
      <c r="F36682">
        <v>1420025</v>
      </c>
      <c r="G36682" t="s">
        <v>5981</v>
      </c>
      <c r="H36682" s="21">
        <v>495.5</v>
      </c>
    </row>
    <row r="36683" spans="1:8" customFormat="1" x14ac:dyDescent="0.25">
      <c r="A36683" t="str">
        <f>"4429894"</f>
        <v>4429894</v>
      </c>
      <c r="B36683" t="s">
        <v>15669</v>
      </c>
      <c r="C36683" t="s">
        <v>58</v>
      </c>
      <c r="D36683" s="21" t="s">
        <v>34</v>
      </c>
      <c r="E36683" s="21" t="s">
        <v>35</v>
      </c>
      <c r="F36683">
        <v>12440152</v>
      </c>
      <c r="G36683" t="s">
        <v>5481</v>
      </c>
      <c r="H36683" s="21">
        <v>495.5</v>
      </c>
    </row>
    <row r="36684" spans="1:8" customFormat="1" x14ac:dyDescent="0.25">
      <c r="A36684" t="str">
        <f>"4458403"</f>
        <v>4458403</v>
      </c>
      <c r="B36684" t="s">
        <v>7455</v>
      </c>
      <c r="C36684" t="s">
        <v>275</v>
      </c>
      <c r="D36684" s="21" t="s">
        <v>34</v>
      </c>
      <c r="E36684" s="21" t="s">
        <v>35</v>
      </c>
      <c r="F36684">
        <v>12440030</v>
      </c>
      <c r="G36684" t="s">
        <v>5524</v>
      </c>
      <c r="H36684" s="21">
        <v>495.5</v>
      </c>
    </row>
    <row r="36685" spans="1:8" customFormat="1" x14ac:dyDescent="0.25">
      <c r="A36685" t="str">
        <f>"3538013"</f>
        <v>3538013</v>
      </c>
      <c r="B36685" t="s">
        <v>5380</v>
      </c>
      <c r="C36685" t="s">
        <v>275</v>
      </c>
      <c r="D36685" s="21" t="s">
        <v>34</v>
      </c>
      <c r="E36685" s="21" t="s">
        <v>35</v>
      </c>
      <c r="F36685">
        <v>3350215</v>
      </c>
      <c r="G36685" t="s">
        <v>20009</v>
      </c>
      <c r="H36685" s="21">
        <v>495.5</v>
      </c>
    </row>
    <row r="36686" spans="1:8" customFormat="1" x14ac:dyDescent="0.25">
      <c r="A36686" t="str">
        <f>"3425560"</f>
        <v>3425560</v>
      </c>
      <c r="B36686" t="s">
        <v>22697</v>
      </c>
      <c r="C36686" t="s">
        <v>124</v>
      </c>
      <c r="D36686" s="21" t="s">
        <v>34</v>
      </c>
      <c r="E36686" s="21" t="s">
        <v>71</v>
      </c>
      <c r="F36686">
        <v>11340007</v>
      </c>
      <c r="G36686" t="s">
        <v>2278</v>
      </c>
      <c r="H36686" s="21">
        <v>495.5</v>
      </c>
    </row>
    <row r="36687" spans="1:8" customFormat="1" x14ac:dyDescent="0.25">
      <c r="A36687" t="str">
        <f>"5731184"</f>
        <v>5731184</v>
      </c>
      <c r="B36687" t="s">
        <v>24314</v>
      </c>
      <c r="C36687" t="s">
        <v>498</v>
      </c>
      <c r="D36687" s="21" t="s">
        <v>34</v>
      </c>
      <c r="E36687" s="21" t="s">
        <v>254</v>
      </c>
      <c r="F36687">
        <v>6570107</v>
      </c>
      <c r="G36687" t="s">
        <v>5598</v>
      </c>
      <c r="H36687" s="21">
        <v>495.5</v>
      </c>
    </row>
    <row r="36688" spans="1:8" customFormat="1" x14ac:dyDescent="0.25">
      <c r="A36688" t="str">
        <f>"5018633"</f>
        <v>5018633</v>
      </c>
      <c r="B36688" t="s">
        <v>24384</v>
      </c>
      <c r="C36688" t="s">
        <v>206</v>
      </c>
      <c r="D36688" s="21" t="s">
        <v>34</v>
      </c>
      <c r="E36688" s="21" t="s">
        <v>35</v>
      </c>
      <c r="F36688">
        <v>9500053</v>
      </c>
      <c r="G36688" t="s">
        <v>11847</v>
      </c>
      <c r="H36688" s="21">
        <v>495.5</v>
      </c>
    </row>
    <row r="36689" spans="1:8" customFormat="1" x14ac:dyDescent="0.25">
      <c r="A36689" t="str">
        <f>"2720852"</f>
        <v>2720852</v>
      </c>
      <c r="B36689" t="s">
        <v>3270</v>
      </c>
      <c r="C36689" t="s">
        <v>87</v>
      </c>
      <c r="D36689" s="21" t="s">
        <v>34</v>
      </c>
      <c r="E36689" s="21" t="s">
        <v>35</v>
      </c>
      <c r="F36689">
        <v>9270041</v>
      </c>
      <c r="G36689" t="s">
        <v>4698</v>
      </c>
      <c r="H36689" s="21">
        <v>495.5</v>
      </c>
    </row>
    <row r="36690" spans="1:8" customFormat="1" x14ac:dyDescent="0.25">
      <c r="A36690" t="str">
        <f>"2219661"</f>
        <v>2219661</v>
      </c>
      <c r="B36690" t="s">
        <v>24612</v>
      </c>
      <c r="C36690" t="s">
        <v>236</v>
      </c>
      <c r="D36690" s="21" t="s">
        <v>34</v>
      </c>
      <c r="E36690" s="21" t="s">
        <v>254</v>
      </c>
      <c r="F36690">
        <v>3220132</v>
      </c>
      <c r="G36690" t="s">
        <v>27242</v>
      </c>
      <c r="H36690" s="21">
        <v>495.5</v>
      </c>
    </row>
    <row r="36691" spans="1:8" customFormat="1" x14ac:dyDescent="0.25">
      <c r="A36691" t="str">
        <f>"2939000"</f>
        <v>2939000</v>
      </c>
      <c r="B36691" t="s">
        <v>11529</v>
      </c>
      <c r="C36691" t="s">
        <v>267</v>
      </c>
      <c r="D36691" s="21" t="s">
        <v>34</v>
      </c>
      <c r="E36691" s="21" t="s">
        <v>254</v>
      </c>
      <c r="F36691">
        <v>3290278</v>
      </c>
      <c r="G36691" t="s">
        <v>3649</v>
      </c>
      <c r="H36691" s="21">
        <v>495.5</v>
      </c>
    </row>
    <row r="36692" spans="1:8" customFormat="1" x14ac:dyDescent="0.25">
      <c r="A36692" t="str">
        <f>"4925694"</f>
        <v>4925694</v>
      </c>
      <c r="B36692" t="s">
        <v>23145</v>
      </c>
      <c r="C36692" t="s">
        <v>13466</v>
      </c>
      <c r="D36692" s="21" t="s">
        <v>34</v>
      </c>
      <c r="E36692" s="21" t="s">
        <v>71</v>
      </c>
      <c r="F36692">
        <v>12490035</v>
      </c>
      <c r="G36692" t="s">
        <v>9242</v>
      </c>
      <c r="H36692" s="21">
        <v>495.5</v>
      </c>
    </row>
    <row r="36693" spans="1:8" customFormat="1" x14ac:dyDescent="0.25">
      <c r="A36693" t="str">
        <f>"5981863"</f>
        <v>5981863</v>
      </c>
      <c r="B36693" t="s">
        <v>29293</v>
      </c>
      <c r="C36693" t="s">
        <v>263</v>
      </c>
      <c r="D36693" s="21" t="s">
        <v>34</v>
      </c>
      <c r="E36693" s="21" t="s">
        <v>71</v>
      </c>
      <c r="F36693">
        <v>7590170</v>
      </c>
      <c r="G36693" t="s">
        <v>868</v>
      </c>
      <c r="H36693" s="21">
        <v>495.5</v>
      </c>
    </row>
    <row r="36694" spans="1:8" customFormat="1" x14ac:dyDescent="0.25">
      <c r="A36694" t="str">
        <f>"1425995"</f>
        <v>1425995</v>
      </c>
      <c r="B36694" t="s">
        <v>24118</v>
      </c>
      <c r="C36694" t="s">
        <v>209</v>
      </c>
      <c r="D36694" s="21" t="s">
        <v>34</v>
      </c>
      <c r="E36694" s="21" t="s">
        <v>71</v>
      </c>
      <c r="F36694">
        <v>9140233</v>
      </c>
      <c r="G36694" t="s">
        <v>13269</v>
      </c>
      <c r="H36694" s="21">
        <v>495.5</v>
      </c>
    </row>
    <row r="36695" spans="1:8" customFormat="1" x14ac:dyDescent="0.25">
      <c r="A36695" t="str">
        <f>"6946764"</f>
        <v>6946764</v>
      </c>
      <c r="B36695" t="s">
        <v>23012</v>
      </c>
      <c r="C36695" t="s">
        <v>1489</v>
      </c>
      <c r="D36695" s="21" t="s">
        <v>34</v>
      </c>
      <c r="E36695" s="21" t="s">
        <v>35</v>
      </c>
      <c r="F36695">
        <v>1690220</v>
      </c>
      <c r="G36695" t="s">
        <v>16783</v>
      </c>
      <c r="H36695" s="21">
        <v>495.5</v>
      </c>
    </row>
    <row r="36696" spans="1:8" customFormat="1" x14ac:dyDescent="0.25">
      <c r="A36696" t="str">
        <f>"2939096"</f>
        <v>2939096</v>
      </c>
      <c r="B36696" t="s">
        <v>9102</v>
      </c>
      <c r="C36696" t="s">
        <v>246</v>
      </c>
      <c r="D36696" s="21" t="s">
        <v>34</v>
      </c>
      <c r="E36696" s="21" t="s">
        <v>35</v>
      </c>
      <c r="F36696">
        <v>3290232</v>
      </c>
      <c r="G36696" t="s">
        <v>9588</v>
      </c>
      <c r="H36696" s="21">
        <v>495.5</v>
      </c>
    </row>
    <row r="36697" spans="1:8" customFormat="1" x14ac:dyDescent="0.25">
      <c r="A36697" t="str">
        <f>"7914145"</f>
        <v>7914145</v>
      </c>
      <c r="B36697" t="s">
        <v>18567</v>
      </c>
      <c r="C36697" t="s">
        <v>198</v>
      </c>
      <c r="D36697" s="21" t="s">
        <v>34</v>
      </c>
      <c r="E36697" s="21" t="s">
        <v>254</v>
      </c>
      <c r="F36697">
        <v>10790003</v>
      </c>
      <c r="G36697" t="s">
        <v>10465</v>
      </c>
      <c r="H36697" s="21">
        <v>495.5</v>
      </c>
    </row>
    <row r="36698" spans="1:8" customFormat="1" x14ac:dyDescent="0.25">
      <c r="A36698" t="str">
        <f>"8314115"</f>
        <v>8314115</v>
      </c>
      <c r="B36698" t="s">
        <v>12200</v>
      </c>
      <c r="C36698" t="s">
        <v>547</v>
      </c>
      <c r="D36698" s="21" t="s">
        <v>34</v>
      </c>
      <c r="E36698" s="21" t="s">
        <v>254</v>
      </c>
      <c r="F36698">
        <v>13830091</v>
      </c>
      <c r="G36698" t="s">
        <v>7389</v>
      </c>
      <c r="H36698" s="21">
        <v>495.5</v>
      </c>
    </row>
    <row r="36699" spans="1:8" customFormat="1" x14ac:dyDescent="0.25">
      <c r="A36699" t="str">
        <f>"368688"</f>
        <v>368688</v>
      </c>
      <c r="B36699" t="s">
        <v>29294</v>
      </c>
      <c r="C36699" t="s">
        <v>171</v>
      </c>
      <c r="D36699" s="21" t="s">
        <v>34</v>
      </c>
      <c r="E36699" s="21" t="s">
        <v>71</v>
      </c>
      <c r="F36699">
        <v>4360729</v>
      </c>
      <c r="G36699" t="s">
        <v>15028</v>
      </c>
      <c r="H36699" s="21">
        <v>495.5</v>
      </c>
    </row>
    <row r="36700" spans="1:8" customFormat="1" x14ac:dyDescent="0.25">
      <c r="A36700" t="str">
        <f>"9141637"</f>
        <v>9141637</v>
      </c>
      <c r="B36700" t="s">
        <v>517</v>
      </c>
      <c r="C36700" t="s">
        <v>43</v>
      </c>
      <c r="D36700" s="21" t="s">
        <v>34</v>
      </c>
      <c r="E36700" s="21" t="s">
        <v>35</v>
      </c>
      <c r="F36700">
        <v>8910914</v>
      </c>
      <c r="G36700" t="s">
        <v>3302</v>
      </c>
      <c r="H36700" s="21">
        <v>495.5</v>
      </c>
    </row>
    <row r="36701" spans="1:8" customFormat="1" x14ac:dyDescent="0.25">
      <c r="A36701" t="str">
        <f>"9527161"</f>
        <v>9527161</v>
      </c>
      <c r="B36701" t="s">
        <v>24142</v>
      </c>
      <c r="C36701" t="s">
        <v>1025</v>
      </c>
      <c r="D36701" s="21" t="s">
        <v>34</v>
      </c>
      <c r="E36701" s="21" t="s">
        <v>1089</v>
      </c>
      <c r="F36701">
        <v>8950545</v>
      </c>
      <c r="G36701" t="s">
        <v>14503</v>
      </c>
      <c r="H36701" s="21">
        <v>495.5</v>
      </c>
    </row>
    <row r="36702" spans="1:8" customFormat="1" x14ac:dyDescent="0.25">
      <c r="A36702" t="str">
        <f>"6110640"</f>
        <v>6110640</v>
      </c>
      <c r="B36702" t="s">
        <v>22768</v>
      </c>
      <c r="C36702" t="s">
        <v>90</v>
      </c>
      <c r="D36702" s="21" t="s">
        <v>34</v>
      </c>
      <c r="E36702" s="21" t="s">
        <v>35</v>
      </c>
      <c r="F36702">
        <v>9610034</v>
      </c>
      <c r="G36702" t="s">
        <v>11021</v>
      </c>
      <c r="H36702" s="21">
        <v>495.5</v>
      </c>
    </row>
    <row r="36703" spans="1:8" customFormat="1" x14ac:dyDescent="0.25">
      <c r="A36703" t="str">
        <f>"7847543"</f>
        <v>7847543</v>
      </c>
      <c r="B36703" t="s">
        <v>29295</v>
      </c>
      <c r="C36703" t="s">
        <v>267</v>
      </c>
      <c r="D36703" s="21" t="s">
        <v>34</v>
      </c>
      <c r="E36703" s="21" t="s">
        <v>35</v>
      </c>
      <c r="F36703">
        <v>8781176</v>
      </c>
      <c r="G36703" t="s">
        <v>3659</v>
      </c>
      <c r="H36703" s="21">
        <v>495.5</v>
      </c>
    </row>
    <row r="36704" spans="1:8" customFormat="1" x14ac:dyDescent="0.25">
      <c r="A36704" t="str">
        <f>"1317833"</f>
        <v>1317833</v>
      </c>
      <c r="B36704" t="s">
        <v>29296</v>
      </c>
      <c r="C36704" t="s">
        <v>90</v>
      </c>
      <c r="D36704" s="21" t="s">
        <v>34</v>
      </c>
      <c r="E36704" s="21" t="s">
        <v>35</v>
      </c>
      <c r="F36704">
        <v>13130067</v>
      </c>
      <c r="G36704" t="s">
        <v>1420</v>
      </c>
      <c r="H36704" s="21">
        <v>495.5</v>
      </c>
    </row>
    <row r="36705" spans="1:8" customFormat="1" x14ac:dyDescent="0.25">
      <c r="A36705" t="str">
        <f>"815052"</f>
        <v>815052</v>
      </c>
      <c r="B36705" t="s">
        <v>12428</v>
      </c>
      <c r="C36705" t="s">
        <v>246</v>
      </c>
      <c r="D36705" s="21" t="s">
        <v>34</v>
      </c>
      <c r="E36705" s="21" t="s">
        <v>254</v>
      </c>
      <c r="F36705">
        <v>11810028</v>
      </c>
      <c r="G36705" t="s">
        <v>5817</v>
      </c>
      <c r="H36705" s="21">
        <v>495.5</v>
      </c>
    </row>
    <row r="36706" spans="1:8" customFormat="1" x14ac:dyDescent="0.25">
      <c r="A36706" t="str">
        <f>"175709"</f>
        <v>175709</v>
      </c>
      <c r="B36706" t="s">
        <v>2089</v>
      </c>
      <c r="C36706" t="s">
        <v>11760</v>
      </c>
      <c r="D36706" s="21" t="s">
        <v>34</v>
      </c>
      <c r="E36706" s="21" t="s">
        <v>71</v>
      </c>
      <c r="F36706">
        <v>10170031</v>
      </c>
      <c r="G36706" t="s">
        <v>2921</v>
      </c>
      <c r="H36706" s="21">
        <v>495.5</v>
      </c>
    </row>
    <row r="36707" spans="1:8" customFormat="1" x14ac:dyDescent="0.25">
      <c r="A36707" t="str">
        <f>"2213944"</f>
        <v>2213944</v>
      </c>
      <c r="B36707" t="s">
        <v>24328</v>
      </c>
      <c r="C36707" t="s">
        <v>209</v>
      </c>
      <c r="D36707" s="21" t="s">
        <v>34</v>
      </c>
      <c r="E36707" s="21" t="s">
        <v>254</v>
      </c>
      <c r="F36707">
        <v>3220124</v>
      </c>
      <c r="G36707" t="s">
        <v>27347</v>
      </c>
      <c r="H36707" s="21">
        <v>495.5</v>
      </c>
    </row>
    <row r="36708" spans="1:8" customFormat="1" x14ac:dyDescent="0.25">
      <c r="A36708" t="str">
        <f>"668303"</f>
        <v>668303</v>
      </c>
      <c r="B36708" t="s">
        <v>13091</v>
      </c>
      <c r="C36708" t="s">
        <v>29297</v>
      </c>
      <c r="D36708" s="21" t="s">
        <v>34</v>
      </c>
      <c r="E36708" s="21" t="s">
        <v>71</v>
      </c>
      <c r="F36708">
        <v>11660003</v>
      </c>
      <c r="G36708" t="s">
        <v>5188</v>
      </c>
      <c r="H36708" s="21">
        <v>495.5</v>
      </c>
    </row>
    <row r="36709" spans="1:8" customFormat="1" x14ac:dyDescent="0.25">
      <c r="A36709" t="str">
        <f>"4433099"</f>
        <v>4433099</v>
      </c>
      <c r="B36709" t="s">
        <v>24333</v>
      </c>
      <c r="C36709" t="s">
        <v>267</v>
      </c>
      <c r="D36709" s="21" t="s">
        <v>34</v>
      </c>
      <c r="E36709" s="21" t="s">
        <v>71</v>
      </c>
      <c r="F36709">
        <v>12440055</v>
      </c>
      <c r="G36709" t="s">
        <v>2979</v>
      </c>
      <c r="H36709" s="21">
        <v>495.5</v>
      </c>
    </row>
    <row r="36710" spans="1:8" customFormat="1" x14ac:dyDescent="0.25">
      <c r="A36710" t="str">
        <f>"7219405"</f>
        <v>7219405</v>
      </c>
      <c r="B36710" t="s">
        <v>24765</v>
      </c>
      <c r="C36710" t="s">
        <v>249</v>
      </c>
      <c r="D36710" s="21" t="s">
        <v>34</v>
      </c>
      <c r="E36710" s="21" t="s">
        <v>254</v>
      </c>
      <c r="F36710">
        <v>12720027</v>
      </c>
      <c r="G36710" t="s">
        <v>3562</v>
      </c>
      <c r="H36710" s="21">
        <v>495.5</v>
      </c>
    </row>
    <row r="36711" spans="1:8" customFormat="1" x14ac:dyDescent="0.25">
      <c r="A36711" t="str">
        <f>"63747"</f>
        <v>63747</v>
      </c>
      <c r="B36711" t="s">
        <v>208</v>
      </c>
      <c r="C36711" t="s">
        <v>114</v>
      </c>
      <c r="D36711" s="21" t="s">
        <v>34</v>
      </c>
      <c r="E36711" s="21" t="s">
        <v>1089</v>
      </c>
      <c r="F36711">
        <v>1630005</v>
      </c>
      <c r="G36711" t="s">
        <v>8825</v>
      </c>
      <c r="H36711" s="21">
        <v>495.29</v>
      </c>
    </row>
    <row r="36712" spans="1:8" customFormat="1" x14ac:dyDescent="0.25">
      <c r="A36712" t="str">
        <f>"692557"</f>
        <v>692557</v>
      </c>
      <c r="B36712" t="s">
        <v>17241</v>
      </c>
      <c r="C36712" t="s">
        <v>239</v>
      </c>
      <c r="D36712" s="21" t="s">
        <v>34</v>
      </c>
      <c r="E36712" s="21" t="s">
        <v>254</v>
      </c>
      <c r="F36712">
        <v>1690192</v>
      </c>
      <c r="G36712" t="s">
        <v>3578</v>
      </c>
      <c r="H36712" s="21">
        <v>495.25</v>
      </c>
    </row>
    <row r="36713" spans="1:8" customFormat="1" x14ac:dyDescent="0.25">
      <c r="A36713" t="str">
        <f>"4524050"</f>
        <v>4524050</v>
      </c>
      <c r="B36713" t="s">
        <v>4352</v>
      </c>
      <c r="C36713" t="s">
        <v>879</v>
      </c>
      <c r="D36713" s="21" t="s">
        <v>34</v>
      </c>
      <c r="E36713" s="21" t="s">
        <v>71</v>
      </c>
      <c r="F36713">
        <v>4450617</v>
      </c>
      <c r="G36713" t="s">
        <v>4708</v>
      </c>
      <c r="H36713" s="21">
        <v>495.25</v>
      </c>
    </row>
    <row r="36714" spans="1:8" customFormat="1" x14ac:dyDescent="0.25">
      <c r="A36714" t="str">
        <f>"219783"</f>
        <v>219783</v>
      </c>
      <c r="B36714" t="s">
        <v>23983</v>
      </c>
      <c r="C36714" t="s">
        <v>209</v>
      </c>
      <c r="D36714" s="21" t="s">
        <v>34</v>
      </c>
      <c r="E36714" s="21" t="s">
        <v>71</v>
      </c>
      <c r="F36714">
        <v>2210126</v>
      </c>
      <c r="G36714" t="s">
        <v>10773</v>
      </c>
      <c r="H36714" s="21">
        <v>495.25</v>
      </c>
    </row>
    <row r="36715" spans="1:8" customFormat="1" x14ac:dyDescent="0.25">
      <c r="A36715" t="str">
        <f>"4448288"</f>
        <v>4448288</v>
      </c>
      <c r="B36715" t="s">
        <v>11732</v>
      </c>
      <c r="C36715" t="s">
        <v>233</v>
      </c>
      <c r="D36715" s="21" t="s">
        <v>34</v>
      </c>
      <c r="E36715" s="21" t="s">
        <v>254</v>
      </c>
      <c r="F36715">
        <v>12440092</v>
      </c>
      <c r="G36715" t="s">
        <v>8475</v>
      </c>
      <c r="H36715" s="21">
        <v>495.25</v>
      </c>
    </row>
    <row r="36716" spans="1:8" customFormat="1" x14ac:dyDescent="0.25">
      <c r="A36716" t="str">
        <f>"0614758"</f>
        <v>0614758</v>
      </c>
      <c r="B36716" t="s">
        <v>22473</v>
      </c>
      <c r="C36716" t="s">
        <v>43</v>
      </c>
      <c r="D36716" s="21" t="s">
        <v>34</v>
      </c>
      <c r="E36716" s="21" t="s">
        <v>35</v>
      </c>
      <c r="F36716">
        <v>13060074</v>
      </c>
      <c r="G36716" t="s">
        <v>13510</v>
      </c>
      <c r="H36716" s="21">
        <v>495.17</v>
      </c>
    </row>
    <row r="36717" spans="1:8" customFormat="1" x14ac:dyDescent="0.25">
      <c r="A36717" t="str">
        <f>"461543"</f>
        <v>461543</v>
      </c>
      <c r="B36717" t="s">
        <v>23902</v>
      </c>
      <c r="C36717" t="s">
        <v>1597</v>
      </c>
      <c r="D36717" s="21" t="s">
        <v>34</v>
      </c>
      <c r="E36717" s="21" t="s">
        <v>254</v>
      </c>
      <c r="F36717">
        <v>11460029</v>
      </c>
      <c r="G36717" t="s">
        <v>10606</v>
      </c>
      <c r="H36717" s="21">
        <v>495.17</v>
      </c>
    </row>
    <row r="36718" spans="1:8" customFormat="1" x14ac:dyDescent="0.25">
      <c r="A36718" t="str">
        <f>"8614497"</f>
        <v>8614497</v>
      </c>
      <c r="B36718" t="s">
        <v>24187</v>
      </c>
      <c r="C36718" t="s">
        <v>5232</v>
      </c>
      <c r="D36718" s="21" t="s">
        <v>34</v>
      </c>
      <c r="E36718" s="21" t="s">
        <v>71</v>
      </c>
      <c r="F36718">
        <v>10860187</v>
      </c>
      <c r="G36718" t="s">
        <v>9991</v>
      </c>
      <c r="H36718" s="21">
        <v>495.17</v>
      </c>
    </row>
    <row r="36719" spans="1:8" customFormat="1" x14ac:dyDescent="0.25">
      <c r="A36719" t="str">
        <f>"706750"</f>
        <v>706750</v>
      </c>
      <c r="B36719" t="s">
        <v>526</v>
      </c>
      <c r="C36719" t="s">
        <v>55</v>
      </c>
      <c r="D36719" s="21" t="s">
        <v>34</v>
      </c>
      <c r="E36719" s="21" t="s">
        <v>35</v>
      </c>
      <c r="F36719">
        <v>2700009</v>
      </c>
      <c r="G36719" t="s">
        <v>2156</v>
      </c>
      <c r="H36719" s="21">
        <v>495.17</v>
      </c>
    </row>
    <row r="36720" spans="1:8" customFormat="1" x14ac:dyDescent="0.25">
      <c r="A36720" t="str">
        <f>"5718120"</f>
        <v>5718120</v>
      </c>
      <c r="B36720" t="s">
        <v>21774</v>
      </c>
      <c r="C36720" t="s">
        <v>1597</v>
      </c>
      <c r="D36720" s="21" t="s">
        <v>34</v>
      </c>
      <c r="E36720" s="21" t="s">
        <v>6185</v>
      </c>
      <c r="F36720">
        <v>6570140</v>
      </c>
      <c r="G36720" t="s">
        <v>813</v>
      </c>
      <c r="H36720" s="21">
        <v>495.17</v>
      </c>
    </row>
    <row r="36721" spans="1:8" customFormat="1" x14ac:dyDescent="0.25">
      <c r="A36721" t="str">
        <f>"6213427"</f>
        <v>6213427</v>
      </c>
      <c r="B36721" t="s">
        <v>1961</v>
      </c>
      <c r="C36721" t="s">
        <v>428</v>
      </c>
      <c r="D36721" s="21" t="s">
        <v>34</v>
      </c>
      <c r="E36721" s="21" t="s">
        <v>35</v>
      </c>
      <c r="F36721">
        <v>7620108</v>
      </c>
      <c r="G36721" t="s">
        <v>3035</v>
      </c>
      <c r="H36721" s="21">
        <v>495.17</v>
      </c>
    </row>
    <row r="36722" spans="1:8" customFormat="1" x14ac:dyDescent="0.25">
      <c r="A36722" t="str">
        <f>"151413"</f>
        <v>151413</v>
      </c>
      <c r="B36722" t="s">
        <v>4959</v>
      </c>
      <c r="C36722" t="s">
        <v>2276</v>
      </c>
      <c r="D36722" s="21" t="s">
        <v>34</v>
      </c>
      <c r="E36722" s="21" t="s">
        <v>1089</v>
      </c>
      <c r="F36722">
        <v>1150145</v>
      </c>
      <c r="G36722" t="s">
        <v>6857</v>
      </c>
      <c r="H36722" s="21">
        <v>495.17</v>
      </c>
    </row>
    <row r="36723" spans="1:8" customFormat="1" x14ac:dyDescent="0.25">
      <c r="A36723" t="str">
        <f>"367794"</f>
        <v>367794</v>
      </c>
      <c r="B36723" t="s">
        <v>22071</v>
      </c>
      <c r="C36723" t="s">
        <v>43</v>
      </c>
      <c r="D36723" s="21" t="s">
        <v>34</v>
      </c>
      <c r="E36723" s="21" t="s">
        <v>35</v>
      </c>
      <c r="F36723">
        <v>4360729</v>
      </c>
      <c r="G36723" t="s">
        <v>15028</v>
      </c>
      <c r="H36723" s="21">
        <v>495.17</v>
      </c>
    </row>
    <row r="36724" spans="1:8" customFormat="1" x14ac:dyDescent="0.25">
      <c r="A36724" t="str">
        <f>"038088"</f>
        <v>038088</v>
      </c>
      <c r="B36724" t="s">
        <v>22096</v>
      </c>
      <c r="C36724" t="s">
        <v>269</v>
      </c>
      <c r="D36724" s="21" t="s">
        <v>34</v>
      </c>
      <c r="E36724" s="21" t="s">
        <v>71</v>
      </c>
      <c r="F36724">
        <v>1030300</v>
      </c>
      <c r="G36724" t="s">
        <v>7676</v>
      </c>
      <c r="H36724" s="21">
        <v>495.17</v>
      </c>
    </row>
    <row r="36725" spans="1:8" customFormat="1" x14ac:dyDescent="0.25">
      <c r="A36725" t="str">
        <f>"3524227"</f>
        <v>3524227</v>
      </c>
      <c r="B36725" t="s">
        <v>29298</v>
      </c>
      <c r="C36725" t="s">
        <v>239</v>
      </c>
      <c r="D36725" s="21" t="s">
        <v>34</v>
      </c>
      <c r="E36725" s="21" t="s">
        <v>35</v>
      </c>
      <c r="F36725">
        <v>3350203</v>
      </c>
      <c r="G36725" t="s">
        <v>11973</v>
      </c>
      <c r="H36725" s="21">
        <v>495.17</v>
      </c>
    </row>
    <row r="36726" spans="1:8" customFormat="1" x14ac:dyDescent="0.25">
      <c r="A36726" t="str">
        <f>"2220212"</f>
        <v>2220212</v>
      </c>
      <c r="B36726" t="s">
        <v>6990</v>
      </c>
      <c r="C36726" t="s">
        <v>2479</v>
      </c>
      <c r="D36726" s="21" t="s">
        <v>34</v>
      </c>
      <c r="E36726" s="21" t="s">
        <v>254</v>
      </c>
      <c r="F36726">
        <v>3220142</v>
      </c>
      <c r="G36726" t="s">
        <v>14759</v>
      </c>
      <c r="H36726" s="21">
        <v>495.12</v>
      </c>
    </row>
    <row r="36727" spans="1:8" customFormat="1" x14ac:dyDescent="0.25">
      <c r="A36727" t="str">
        <f>"9242913"</f>
        <v>9242913</v>
      </c>
      <c r="B36727" t="s">
        <v>8887</v>
      </c>
      <c r="C36727" t="s">
        <v>328</v>
      </c>
      <c r="D36727" s="21" t="s">
        <v>34</v>
      </c>
      <c r="E36727" s="21" t="s">
        <v>71</v>
      </c>
      <c r="F36727">
        <v>8920063</v>
      </c>
      <c r="G36727" t="s">
        <v>219</v>
      </c>
      <c r="H36727" s="21">
        <v>495.12</v>
      </c>
    </row>
    <row r="36728" spans="1:8" customFormat="1" x14ac:dyDescent="0.25">
      <c r="A36728" t="str">
        <f>"92759"</f>
        <v>92759</v>
      </c>
      <c r="B36728" t="s">
        <v>23247</v>
      </c>
      <c r="C36728" t="s">
        <v>23248</v>
      </c>
      <c r="D36728" s="21" t="s">
        <v>34</v>
      </c>
      <c r="E36728" s="21" t="s">
        <v>6185</v>
      </c>
      <c r="F36728">
        <v>8920076</v>
      </c>
      <c r="G36728" t="s">
        <v>2281</v>
      </c>
      <c r="H36728" s="21">
        <v>495.12</v>
      </c>
    </row>
    <row r="36729" spans="1:8" customFormat="1" x14ac:dyDescent="0.25">
      <c r="A36729" t="str">
        <f>"7881841"</f>
        <v>7881841</v>
      </c>
      <c r="B36729" t="s">
        <v>29299</v>
      </c>
      <c r="C36729" t="s">
        <v>1782</v>
      </c>
      <c r="D36729" s="21" t="s">
        <v>34</v>
      </c>
      <c r="E36729" s="21" t="s">
        <v>35</v>
      </c>
      <c r="F36729">
        <v>8780353</v>
      </c>
      <c r="G36729" t="s">
        <v>6524</v>
      </c>
      <c r="H36729" s="21">
        <v>495.12</v>
      </c>
    </row>
    <row r="36730" spans="1:8" customFormat="1" x14ac:dyDescent="0.25">
      <c r="A36730" t="str">
        <f>"4935220"</f>
        <v>4935220</v>
      </c>
      <c r="B36730" t="s">
        <v>7379</v>
      </c>
      <c r="C36730" t="s">
        <v>109</v>
      </c>
      <c r="D36730" s="21" t="s">
        <v>34</v>
      </c>
      <c r="E36730" s="21" t="s">
        <v>71</v>
      </c>
      <c r="F36730">
        <v>12490052</v>
      </c>
      <c r="G36730" t="s">
        <v>2732</v>
      </c>
      <c r="H36730" s="21">
        <v>495</v>
      </c>
    </row>
    <row r="36731" spans="1:8" customFormat="1" x14ac:dyDescent="0.25">
      <c r="A36731" t="str">
        <f>"707469"</f>
        <v>707469</v>
      </c>
      <c r="B36731" t="s">
        <v>29300</v>
      </c>
      <c r="C36731" t="s">
        <v>428</v>
      </c>
      <c r="D36731" s="21" t="s">
        <v>34</v>
      </c>
      <c r="E36731" s="21" t="s">
        <v>35</v>
      </c>
      <c r="F36731">
        <v>2700002</v>
      </c>
      <c r="G36731" t="s">
        <v>953</v>
      </c>
      <c r="H36731" s="21">
        <v>495</v>
      </c>
    </row>
    <row r="36732" spans="1:8" customFormat="1" x14ac:dyDescent="0.25">
      <c r="A36732" t="str">
        <f>"0210890"</f>
        <v>0210890</v>
      </c>
      <c r="B36732" t="s">
        <v>1690</v>
      </c>
      <c r="C36732" t="s">
        <v>269</v>
      </c>
      <c r="D36732" s="21" t="s">
        <v>34</v>
      </c>
      <c r="E36732" s="21" t="s">
        <v>35</v>
      </c>
      <c r="F36732">
        <v>7020064</v>
      </c>
      <c r="G36732" t="s">
        <v>8396</v>
      </c>
      <c r="H36732" s="21">
        <v>495</v>
      </c>
    </row>
    <row r="36733" spans="1:8" customFormat="1" x14ac:dyDescent="0.25">
      <c r="A36733" t="str">
        <f>"7843526"</f>
        <v>7843526</v>
      </c>
      <c r="B36733" t="s">
        <v>22607</v>
      </c>
      <c r="C36733" t="s">
        <v>139</v>
      </c>
      <c r="D36733" s="21" t="s">
        <v>34</v>
      </c>
      <c r="E36733" s="21" t="s">
        <v>71</v>
      </c>
      <c r="F36733">
        <v>8781290</v>
      </c>
      <c r="G36733" t="s">
        <v>2927</v>
      </c>
      <c r="H36733" s="21">
        <v>495</v>
      </c>
    </row>
    <row r="36734" spans="1:8" customFormat="1" x14ac:dyDescent="0.25">
      <c r="A36734" t="str">
        <f>"9317193"</f>
        <v>9317193</v>
      </c>
      <c r="B36734" t="s">
        <v>29301</v>
      </c>
      <c r="C36734" t="s">
        <v>328</v>
      </c>
      <c r="D36734" s="21" t="s">
        <v>34</v>
      </c>
      <c r="E36734" s="21" t="s">
        <v>71</v>
      </c>
      <c r="F36734">
        <v>8930610</v>
      </c>
      <c r="G36734" t="s">
        <v>3002</v>
      </c>
      <c r="H36734" s="21">
        <v>495</v>
      </c>
    </row>
    <row r="36735" spans="1:8" customFormat="1" x14ac:dyDescent="0.25">
      <c r="A36735" t="str">
        <f>"679803"</f>
        <v>679803</v>
      </c>
      <c r="B36735" t="s">
        <v>9742</v>
      </c>
      <c r="C36735" t="s">
        <v>1119</v>
      </c>
      <c r="D36735" s="21" t="s">
        <v>34</v>
      </c>
      <c r="E36735" s="21" t="s">
        <v>71</v>
      </c>
      <c r="F36735">
        <v>6670122</v>
      </c>
      <c r="G36735" t="s">
        <v>3126</v>
      </c>
      <c r="H36735" s="21">
        <v>495</v>
      </c>
    </row>
    <row r="36736" spans="1:8" customFormat="1" x14ac:dyDescent="0.25">
      <c r="A36736" t="str">
        <f>"1614651"</f>
        <v>1614651</v>
      </c>
      <c r="B36736" t="s">
        <v>29302</v>
      </c>
      <c r="C36736" t="s">
        <v>55</v>
      </c>
      <c r="D36736" s="21" t="s">
        <v>34</v>
      </c>
      <c r="E36736" s="21" t="s">
        <v>71</v>
      </c>
      <c r="F36736">
        <v>10160029</v>
      </c>
      <c r="G36736" t="s">
        <v>896</v>
      </c>
      <c r="H36736" s="21">
        <v>495</v>
      </c>
    </row>
    <row r="36737" spans="1:8" customFormat="1" x14ac:dyDescent="0.25">
      <c r="A36737" t="str">
        <f>"845504"</f>
        <v>845504</v>
      </c>
      <c r="B36737" t="s">
        <v>3455</v>
      </c>
      <c r="C36737" t="s">
        <v>236</v>
      </c>
      <c r="D36737" s="21" t="s">
        <v>34</v>
      </c>
      <c r="E36737" s="21" t="s">
        <v>254</v>
      </c>
      <c r="F36737">
        <v>13840059</v>
      </c>
      <c r="G36737" t="s">
        <v>21670</v>
      </c>
      <c r="H36737" s="21">
        <v>495</v>
      </c>
    </row>
    <row r="36738" spans="1:8" customFormat="1" x14ac:dyDescent="0.25">
      <c r="A36738" t="str">
        <f>"9137311"</f>
        <v>9137311</v>
      </c>
      <c r="B36738" t="s">
        <v>23084</v>
      </c>
      <c r="C36738" t="s">
        <v>23085</v>
      </c>
      <c r="D36738" s="21" t="s">
        <v>34</v>
      </c>
      <c r="E36738" s="21" t="s">
        <v>254</v>
      </c>
      <c r="F36738">
        <v>8910861</v>
      </c>
      <c r="G36738" t="s">
        <v>1120</v>
      </c>
      <c r="H36738" s="21">
        <v>495</v>
      </c>
    </row>
    <row r="36739" spans="1:8" customFormat="1" x14ac:dyDescent="0.25">
      <c r="A36739" t="str">
        <f>"5948800"</f>
        <v>5948800</v>
      </c>
      <c r="B36739" t="s">
        <v>6487</v>
      </c>
      <c r="C36739" t="s">
        <v>40</v>
      </c>
      <c r="D36739" s="21" t="s">
        <v>34</v>
      </c>
      <c r="E36739" s="21" t="s">
        <v>254</v>
      </c>
      <c r="F36739">
        <v>7590100</v>
      </c>
      <c r="G36739" t="s">
        <v>1660</v>
      </c>
      <c r="H36739" s="21">
        <v>495</v>
      </c>
    </row>
    <row r="36740" spans="1:8" customFormat="1" x14ac:dyDescent="0.25">
      <c r="A36740" t="str">
        <f>"5325978"</f>
        <v>5325978</v>
      </c>
      <c r="B36740" t="s">
        <v>22767</v>
      </c>
      <c r="C36740" t="s">
        <v>40</v>
      </c>
      <c r="D36740" s="21" t="s">
        <v>34</v>
      </c>
      <c r="E36740" s="21" t="s">
        <v>35</v>
      </c>
      <c r="F36740">
        <v>12530063</v>
      </c>
      <c r="G36740" t="s">
        <v>4313</v>
      </c>
      <c r="H36740" s="21">
        <v>495</v>
      </c>
    </row>
    <row r="36741" spans="1:8" customFormat="1" x14ac:dyDescent="0.25">
      <c r="A36741" t="str">
        <f>"3345443"</f>
        <v>3345443</v>
      </c>
      <c r="B36741" t="s">
        <v>29303</v>
      </c>
      <c r="C36741" t="s">
        <v>121</v>
      </c>
      <c r="D36741" s="21" t="s">
        <v>34</v>
      </c>
      <c r="E36741" s="21" t="s">
        <v>71</v>
      </c>
      <c r="F36741">
        <v>10330005</v>
      </c>
      <c r="G36741" t="s">
        <v>3526</v>
      </c>
      <c r="H36741" s="21">
        <v>495</v>
      </c>
    </row>
    <row r="36742" spans="1:8" customFormat="1" x14ac:dyDescent="0.25">
      <c r="A36742" t="str">
        <f>"5974606"</f>
        <v>5974606</v>
      </c>
      <c r="B36742" t="s">
        <v>10744</v>
      </c>
      <c r="C36742" t="s">
        <v>2276</v>
      </c>
      <c r="D36742" s="21" t="s">
        <v>34</v>
      </c>
      <c r="E36742" s="21" t="s">
        <v>254</v>
      </c>
      <c r="F36742">
        <v>7590419</v>
      </c>
      <c r="G36742" t="s">
        <v>8051</v>
      </c>
      <c r="H36742" s="21">
        <v>495</v>
      </c>
    </row>
    <row r="36743" spans="1:8" customFormat="1" x14ac:dyDescent="0.25">
      <c r="A36743" t="str">
        <f>"8316892"</f>
        <v>8316892</v>
      </c>
      <c r="B36743" t="s">
        <v>29304</v>
      </c>
      <c r="C36743" t="s">
        <v>267</v>
      </c>
      <c r="D36743" s="21" t="s">
        <v>34</v>
      </c>
      <c r="E36743" s="21" t="s">
        <v>71</v>
      </c>
      <c r="F36743">
        <v>13830062</v>
      </c>
      <c r="G36743" t="s">
        <v>9074</v>
      </c>
      <c r="H36743" s="21">
        <v>495</v>
      </c>
    </row>
    <row r="36744" spans="1:8" customFormat="1" x14ac:dyDescent="0.25">
      <c r="A36744" t="str">
        <f>"4519418"</f>
        <v>4519418</v>
      </c>
      <c r="B36744" t="s">
        <v>11281</v>
      </c>
      <c r="C36744" t="s">
        <v>267</v>
      </c>
      <c r="D36744" s="21" t="s">
        <v>34</v>
      </c>
      <c r="E36744" s="21" t="s">
        <v>254</v>
      </c>
      <c r="F36744">
        <v>4450144</v>
      </c>
      <c r="G36744" t="s">
        <v>6941</v>
      </c>
      <c r="H36744" s="21">
        <v>495</v>
      </c>
    </row>
    <row r="36745" spans="1:8" customFormat="1" x14ac:dyDescent="0.25">
      <c r="A36745" t="str">
        <f>"3426508"</f>
        <v>3426508</v>
      </c>
      <c r="B36745" t="s">
        <v>3425</v>
      </c>
      <c r="C36745" t="s">
        <v>40</v>
      </c>
      <c r="D36745" s="21" t="s">
        <v>34</v>
      </c>
      <c r="E36745" s="21" t="s">
        <v>254</v>
      </c>
      <c r="F36745">
        <v>11340071</v>
      </c>
      <c r="G36745" t="s">
        <v>17733</v>
      </c>
      <c r="H36745" s="21">
        <v>495</v>
      </c>
    </row>
    <row r="36746" spans="1:8" customFormat="1" x14ac:dyDescent="0.25">
      <c r="A36746" t="str">
        <f>"9459890"</f>
        <v>9459890</v>
      </c>
      <c r="B36746" t="s">
        <v>4780</v>
      </c>
      <c r="C36746" t="s">
        <v>3843</v>
      </c>
      <c r="D36746" s="21" t="s">
        <v>34</v>
      </c>
      <c r="E36746" s="21" t="s">
        <v>71</v>
      </c>
      <c r="F36746">
        <v>8940655</v>
      </c>
      <c r="G36746" t="s">
        <v>10168</v>
      </c>
      <c r="H36746" s="21">
        <v>495</v>
      </c>
    </row>
    <row r="36747" spans="1:8" customFormat="1" x14ac:dyDescent="0.25">
      <c r="A36747" t="str">
        <f>"8316511"</f>
        <v>8316511</v>
      </c>
      <c r="B36747" t="s">
        <v>5495</v>
      </c>
      <c r="C36747" t="s">
        <v>2520</v>
      </c>
      <c r="D36747" s="21" t="s">
        <v>34</v>
      </c>
      <c r="E36747" s="21" t="s">
        <v>254</v>
      </c>
      <c r="F36747">
        <v>13830089</v>
      </c>
      <c r="G36747" t="s">
        <v>14112</v>
      </c>
      <c r="H36747" s="21">
        <v>495</v>
      </c>
    </row>
    <row r="36748" spans="1:8" customFormat="1" x14ac:dyDescent="0.25">
      <c r="A36748" t="str">
        <f>"9145888"</f>
        <v>9145888</v>
      </c>
      <c r="B36748" t="s">
        <v>1590</v>
      </c>
      <c r="C36748" t="s">
        <v>934</v>
      </c>
      <c r="D36748" s="21" t="s">
        <v>34</v>
      </c>
      <c r="E36748" s="21" t="s">
        <v>35</v>
      </c>
      <c r="F36748">
        <v>8911368</v>
      </c>
      <c r="G36748" t="s">
        <v>12227</v>
      </c>
      <c r="H36748" s="21">
        <v>495</v>
      </c>
    </row>
    <row r="36749" spans="1:8" customFormat="1" x14ac:dyDescent="0.25">
      <c r="A36749" t="str">
        <f>"2715528"</f>
        <v>2715528</v>
      </c>
      <c r="B36749" t="s">
        <v>28066</v>
      </c>
      <c r="C36749" t="s">
        <v>98</v>
      </c>
      <c r="D36749" s="21" t="s">
        <v>34</v>
      </c>
      <c r="E36749" s="21" t="s">
        <v>35</v>
      </c>
      <c r="F36749">
        <v>8911132</v>
      </c>
      <c r="G36749" t="s">
        <v>10728</v>
      </c>
      <c r="H36749" s="21">
        <v>495</v>
      </c>
    </row>
    <row r="36750" spans="1:8" customFormat="1" x14ac:dyDescent="0.25">
      <c r="A36750" t="str">
        <f>"0618354"</f>
        <v>0618354</v>
      </c>
      <c r="B36750" t="s">
        <v>22998</v>
      </c>
      <c r="C36750" t="s">
        <v>62</v>
      </c>
      <c r="D36750" s="21" t="s">
        <v>34</v>
      </c>
      <c r="E36750" s="21" t="s">
        <v>35</v>
      </c>
      <c r="F36750">
        <v>13060119</v>
      </c>
      <c r="G36750" t="s">
        <v>6179</v>
      </c>
      <c r="H36750" s="21">
        <v>495</v>
      </c>
    </row>
    <row r="36751" spans="1:8" customFormat="1" x14ac:dyDescent="0.25">
      <c r="A36751" t="str">
        <f>"899097"</f>
        <v>899097</v>
      </c>
      <c r="B36751" t="s">
        <v>29305</v>
      </c>
      <c r="C36751" t="s">
        <v>43</v>
      </c>
      <c r="D36751" s="21" t="s">
        <v>34</v>
      </c>
      <c r="E36751" s="21" t="s">
        <v>35</v>
      </c>
      <c r="F36751">
        <v>2890006</v>
      </c>
      <c r="G36751" t="s">
        <v>2044</v>
      </c>
      <c r="H36751" s="21">
        <v>495</v>
      </c>
    </row>
    <row r="36752" spans="1:8" customFormat="1" x14ac:dyDescent="0.25">
      <c r="A36752" t="str">
        <f>"5429820"</f>
        <v>5429820</v>
      </c>
      <c r="B36752" t="s">
        <v>4805</v>
      </c>
      <c r="C36752" t="s">
        <v>3073</v>
      </c>
      <c r="D36752" s="21" t="s">
        <v>34</v>
      </c>
      <c r="E36752" s="21" t="s">
        <v>254</v>
      </c>
      <c r="F36752">
        <v>6540034</v>
      </c>
      <c r="G36752" t="s">
        <v>2211</v>
      </c>
      <c r="H36752" s="21">
        <v>495</v>
      </c>
    </row>
    <row r="36753" spans="1:8" customFormat="1" x14ac:dyDescent="0.25">
      <c r="A36753" t="str">
        <f>"2814045"</f>
        <v>2814045</v>
      </c>
      <c r="B36753" t="s">
        <v>205</v>
      </c>
      <c r="C36753" t="s">
        <v>817</v>
      </c>
      <c r="D36753" s="21" t="s">
        <v>34</v>
      </c>
      <c r="E36753" s="21" t="s">
        <v>71</v>
      </c>
      <c r="F36753">
        <v>4280104</v>
      </c>
      <c r="G36753" t="s">
        <v>8480</v>
      </c>
      <c r="H36753" s="21">
        <v>495</v>
      </c>
    </row>
    <row r="36754" spans="1:8" customFormat="1" x14ac:dyDescent="0.25">
      <c r="A36754" t="str">
        <f>"7714913"</f>
        <v>7714913</v>
      </c>
      <c r="B36754" t="s">
        <v>22990</v>
      </c>
      <c r="C36754" t="s">
        <v>1146</v>
      </c>
      <c r="D36754" s="21" t="s">
        <v>34</v>
      </c>
      <c r="E36754" s="21" t="s">
        <v>1089</v>
      </c>
      <c r="F36754">
        <v>10170033</v>
      </c>
      <c r="G36754" t="s">
        <v>3756</v>
      </c>
      <c r="H36754" s="21">
        <v>495</v>
      </c>
    </row>
    <row r="36755" spans="1:8" customFormat="1" x14ac:dyDescent="0.25">
      <c r="A36755" t="str">
        <f>"6016386"</f>
        <v>6016386</v>
      </c>
      <c r="B36755" t="s">
        <v>23860</v>
      </c>
      <c r="C36755" t="s">
        <v>462</v>
      </c>
      <c r="D36755" s="21" t="s">
        <v>34</v>
      </c>
      <c r="E36755" s="21" t="s">
        <v>35</v>
      </c>
      <c r="F36755">
        <v>7600167</v>
      </c>
      <c r="G36755" t="s">
        <v>12431</v>
      </c>
      <c r="H36755" s="21">
        <v>495</v>
      </c>
    </row>
    <row r="36756" spans="1:8" customFormat="1" x14ac:dyDescent="0.25">
      <c r="A36756" t="str">
        <f>"0115505"</f>
        <v>0115505</v>
      </c>
      <c r="B36756" t="s">
        <v>1551</v>
      </c>
      <c r="C36756" t="s">
        <v>109</v>
      </c>
      <c r="D36756" s="21" t="s">
        <v>34</v>
      </c>
      <c r="E36756" s="21" t="s">
        <v>35</v>
      </c>
      <c r="F36756">
        <v>1010023</v>
      </c>
      <c r="G36756" t="s">
        <v>2174</v>
      </c>
      <c r="H36756" s="21">
        <v>495</v>
      </c>
    </row>
    <row r="36757" spans="1:8" customFormat="1" x14ac:dyDescent="0.25">
      <c r="A36757" t="str">
        <f>"2934802"</f>
        <v>2934802</v>
      </c>
      <c r="B36757" t="s">
        <v>22339</v>
      </c>
      <c r="C36757" t="s">
        <v>9738</v>
      </c>
      <c r="D36757" s="21" t="s">
        <v>34</v>
      </c>
      <c r="E36757" s="21" t="s">
        <v>35</v>
      </c>
      <c r="F36757">
        <v>3290036</v>
      </c>
      <c r="G36757" t="s">
        <v>3903</v>
      </c>
      <c r="H36757" s="21">
        <v>495</v>
      </c>
    </row>
    <row r="36758" spans="1:8" customFormat="1" x14ac:dyDescent="0.25">
      <c r="A36758" t="str">
        <f>"7627023"</f>
        <v>7627023</v>
      </c>
      <c r="B36758" t="s">
        <v>23851</v>
      </c>
      <c r="C36758" t="s">
        <v>40</v>
      </c>
      <c r="D36758" s="21" t="s">
        <v>34</v>
      </c>
      <c r="E36758" s="21" t="s">
        <v>254</v>
      </c>
      <c r="F36758">
        <v>9760004</v>
      </c>
      <c r="G36758" t="s">
        <v>56</v>
      </c>
      <c r="H36758" s="21">
        <v>495</v>
      </c>
    </row>
    <row r="36759" spans="1:8" customFormat="1" x14ac:dyDescent="0.25">
      <c r="A36759" t="str">
        <f>"3014537"</f>
        <v>3014537</v>
      </c>
      <c r="B36759" t="s">
        <v>29306</v>
      </c>
      <c r="C36759" t="s">
        <v>204</v>
      </c>
      <c r="D36759" s="21" t="s">
        <v>34</v>
      </c>
      <c r="E36759" s="21" t="s">
        <v>35</v>
      </c>
      <c r="F36759">
        <v>11300016</v>
      </c>
      <c r="G36759" t="s">
        <v>157</v>
      </c>
      <c r="H36759" s="21">
        <v>495</v>
      </c>
    </row>
    <row r="36760" spans="1:8" customFormat="1" x14ac:dyDescent="0.25">
      <c r="A36760" t="str">
        <f>"5021197"</f>
        <v>5021197</v>
      </c>
      <c r="B36760" t="s">
        <v>2398</v>
      </c>
      <c r="C36760" t="s">
        <v>62</v>
      </c>
      <c r="D36760" s="21" t="s">
        <v>34</v>
      </c>
      <c r="E36760" s="21" t="s">
        <v>35</v>
      </c>
      <c r="F36760">
        <v>9500117</v>
      </c>
      <c r="G36760" t="s">
        <v>247</v>
      </c>
      <c r="H36760" s="21">
        <v>495</v>
      </c>
    </row>
    <row r="36761" spans="1:8" customFormat="1" x14ac:dyDescent="0.25">
      <c r="A36761" t="str">
        <f>"5327171"</f>
        <v>5327171</v>
      </c>
      <c r="B36761" t="s">
        <v>29307</v>
      </c>
      <c r="C36761" t="s">
        <v>484</v>
      </c>
      <c r="D36761" s="21" t="s">
        <v>34</v>
      </c>
      <c r="E36761" s="21" t="s">
        <v>35</v>
      </c>
      <c r="F36761">
        <v>12530048</v>
      </c>
      <c r="G36761" t="s">
        <v>7103</v>
      </c>
      <c r="H36761" s="21">
        <v>495</v>
      </c>
    </row>
    <row r="36762" spans="1:8" customFormat="1" x14ac:dyDescent="0.25">
      <c r="A36762" t="str">
        <f>"824218"</f>
        <v>824218</v>
      </c>
      <c r="B36762" t="s">
        <v>29308</v>
      </c>
      <c r="C36762" t="s">
        <v>29309</v>
      </c>
      <c r="D36762" s="21" t="s">
        <v>34</v>
      </c>
      <c r="E36762" s="21" t="s">
        <v>71</v>
      </c>
      <c r="F36762">
        <v>11820011</v>
      </c>
      <c r="G36762" t="s">
        <v>2611</v>
      </c>
      <c r="H36762" s="21">
        <v>495</v>
      </c>
    </row>
    <row r="36763" spans="1:8" customFormat="1" x14ac:dyDescent="0.25">
      <c r="A36763" t="str">
        <f>"7821906"</f>
        <v>7821906</v>
      </c>
      <c r="B36763" t="s">
        <v>4723</v>
      </c>
      <c r="C36763" t="s">
        <v>209</v>
      </c>
      <c r="D36763" s="21" t="s">
        <v>34</v>
      </c>
      <c r="E36763" s="21" t="s">
        <v>254</v>
      </c>
      <c r="F36763">
        <v>8781176</v>
      </c>
      <c r="G36763" t="s">
        <v>3659</v>
      </c>
      <c r="H36763" s="21">
        <v>495</v>
      </c>
    </row>
    <row r="36764" spans="1:8" customFormat="1" x14ac:dyDescent="0.25">
      <c r="A36764" t="str">
        <f>"6716200"</f>
        <v>6716200</v>
      </c>
      <c r="B36764" t="s">
        <v>6055</v>
      </c>
      <c r="C36764" t="s">
        <v>1812</v>
      </c>
      <c r="D36764" s="21" t="s">
        <v>34</v>
      </c>
      <c r="E36764" s="21" t="s">
        <v>71</v>
      </c>
      <c r="F36764">
        <v>6670122</v>
      </c>
      <c r="G36764" t="s">
        <v>3126</v>
      </c>
      <c r="H36764" s="21">
        <v>495</v>
      </c>
    </row>
    <row r="36765" spans="1:8" customFormat="1" x14ac:dyDescent="0.25">
      <c r="A36765" t="str">
        <f>"589750"</f>
        <v>589750</v>
      </c>
      <c r="B36765" t="s">
        <v>24364</v>
      </c>
      <c r="C36765" t="s">
        <v>139</v>
      </c>
      <c r="D36765" s="21" t="s">
        <v>34</v>
      </c>
      <c r="E36765" s="21" t="s">
        <v>35</v>
      </c>
      <c r="F36765">
        <v>2580031</v>
      </c>
      <c r="G36765" t="s">
        <v>5904</v>
      </c>
      <c r="H36765" s="21">
        <v>495</v>
      </c>
    </row>
    <row r="36766" spans="1:8" customFormat="1" x14ac:dyDescent="0.25">
      <c r="A36766" t="str">
        <f>"6110479"</f>
        <v>6110479</v>
      </c>
      <c r="B36766" t="s">
        <v>21815</v>
      </c>
      <c r="C36766" t="s">
        <v>462</v>
      </c>
      <c r="D36766" s="21" t="s">
        <v>34</v>
      </c>
      <c r="E36766" s="21" t="s">
        <v>71</v>
      </c>
      <c r="F36766">
        <v>9610127</v>
      </c>
      <c r="G36766" t="s">
        <v>6830</v>
      </c>
      <c r="H36766" s="21">
        <v>495</v>
      </c>
    </row>
    <row r="36767" spans="1:8" customFormat="1" x14ac:dyDescent="0.25">
      <c r="A36767" t="str">
        <f>"6942245"</f>
        <v>6942245</v>
      </c>
      <c r="B36767" t="s">
        <v>23000</v>
      </c>
      <c r="C36767" t="s">
        <v>1853</v>
      </c>
      <c r="D36767" s="21" t="s">
        <v>34</v>
      </c>
      <c r="E36767" s="21" t="s">
        <v>254</v>
      </c>
      <c r="F36767">
        <v>1380056</v>
      </c>
      <c r="G36767" t="s">
        <v>846</v>
      </c>
      <c r="H36767" s="21">
        <v>495</v>
      </c>
    </row>
    <row r="36768" spans="1:8" customFormat="1" x14ac:dyDescent="0.25">
      <c r="A36768" t="str">
        <f>"3730811"</f>
        <v>3730811</v>
      </c>
      <c r="B36768" t="s">
        <v>29310</v>
      </c>
      <c r="C36768" t="s">
        <v>33</v>
      </c>
      <c r="D36768" s="21" t="s">
        <v>34</v>
      </c>
      <c r="E36768" s="21" t="s">
        <v>35</v>
      </c>
      <c r="F36768">
        <v>4370425</v>
      </c>
      <c r="G36768" t="s">
        <v>7812</v>
      </c>
      <c r="H36768" s="21">
        <v>495</v>
      </c>
    </row>
    <row r="36769" spans="1:8" customFormat="1" x14ac:dyDescent="0.25">
      <c r="A36769" t="str">
        <f>"1423978"</f>
        <v>1423978</v>
      </c>
      <c r="B36769" t="s">
        <v>21994</v>
      </c>
      <c r="C36769" t="s">
        <v>486</v>
      </c>
      <c r="D36769" s="21" t="s">
        <v>34</v>
      </c>
      <c r="E36769" s="21" t="s">
        <v>71</v>
      </c>
      <c r="F36769">
        <v>9140224</v>
      </c>
      <c r="G36769" t="s">
        <v>14177</v>
      </c>
      <c r="H36769" s="21">
        <v>495</v>
      </c>
    </row>
    <row r="36770" spans="1:8" customFormat="1" x14ac:dyDescent="0.25">
      <c r="A36770" t="str">
        <f>"7731157"</f>
        <v>7731157</v>
      </c>
      <c r="B36770" t="s">
        <v>24045</v>
      </c>
      <c r="C36770" t="s">
        <v>1812</v>
      </c>
      <c r="D36770" s="21" t="s">
        <v>34</v>
      </c>
      <c r="E36770" s="21" t="s">
        <v>35</v>
      </c>
      <c r="F36770">
        <v>8771427</v>
      </c>
      <c r="G36770" t="s">
        <v>6564</v>
      </c>
      <c r="H36770" s="21">
        <v>495</v>
      </c>
    </row>
    <row r="36771" spans="1:8" customFormat="1" x14ac:dyDescent="0.25">
      <c r="A36771" t="str">
        <f>"1424763"</f>
        <v>1424763</v>
      </c>
      <c r="B36771" t="s">
        <v>24025</v>
      </c>
      <c r="C36771" t="s">
        <v>249</v>
      </c>
      <c r="D36771" s="21" t="s">
        <v>34</v>
      </c>
      <c r="E36771" s="21" t="s">
        <v>71</v>
      </c>
      <c r="F36771">
        <v>9140128</v>
      </c>
      <c r="G36771" t="s">
        <v>2798</v>
      </c>
      <c r="H36771" s="21">
        <v>495</v>
      </c>
    </row>
    <row r="36772" spans="1:8" customFormat="1" x14ac:dyDescent="0.25">
      <c r="A36772" t="str">
        <f>"5982635"</f>
        <v>5982635</v>
      </c>
      <c r="B36772" t="s">
        <v>6994</v>
      </c>
      <c r="C36772" t="s">
        <v>29311</v>
      </c>
      <c r="D36772" s="21" t="s">
        <v>34</v>
      </c>
      <c r="E36772" s="21" t="s">
        <v>35</v>
      </c>
      <c r="F36772">
        <v>7590428</v>
      </c>
      <c r="G36772" t="s">
        <v>27183</v>
      </c>
      <c r="H36772" s="21">
        <v>495</v>
      </c>
    </row>
    <row r="36773" spans="1:8" customFormat="1" x14ac:dyDescent="0.25">
      <c r="A36773" t="str">
        <f>"6724152"</f>
        <v>6724152</v>
      </c>
      <c r="B36773" t="s">
        <v>23430</v>
      </c>
      <c r="C36773" t="s">
        <v>23431</v>
      </c>
      <c r="D36773" s="21" t="s">
        <v>34</v>
      </c>
      <c r="E36773" s="21" t="s">
        <v>254</v>
      </c>
      <c r="F36773">
        <v>6670256</v>
      </c>
      <c r="G36773" t="s">
        <v>14348</v>
      </c>
      <c r="H36773" s="21">
        <v>495</v>
      </c>
    </row>
    <row r="36774" spans="1:8" customFormat="1" x14ac:dyDescent="0.25">
      <c r="A36774" t="str">
        <f>"854417"</f>
        <v>854417</v>
      </c>
      <c r="B36774" t="s">
        <v>1873</v>
      </c>
      <c r="C36774" t="s">
        <v>130</v>
      </c>
      <c r="D36774" s="21" t="s">
        <v>34</v>
      </c>
      <c r="E36774" s="21" t="s">
        <v>71</v>
      </c>
      <c r="F36774">
        <v>12850134</v>
      </c>
      <c r="G36774" t="s">
        <v>2359</v>
      </c>
      <c r="H36774" s="21">
        <v>495</v>
      </c>
    </row>
    <row r="36775" spans="1:8" customFormat="1" x14ac:dyDescent="0.25">
      <c r="A36775" t="str">
        <f>"4440210"</f>
        <v>4440210</v>
      </c>
      <c r="B36775" t="s">
        <v>3675</v>
      </c>
      <c r="C36775" t="s">
        <v>169</v>
      </c>
      <c r="D36775" s="21" t="s">
        <v>34</v>
      </c>
      <c r="E36775" s="21" t="s">
        <v>71</v>
      </c>
      <c r="F36775">
        <v>12440084</v>
      </c>
      <c r="G36775" t="s">
        <v>1014</v>
      </c>
      <c r="H36775" s="21">
        <v>495</v>
      </c>
    </row>
    <row r="36776" spans="1:8" customFormat="1" x14ac:dyDescent="0.25">
      <c r="A36776" t="str">
        <f>"2925298"</f>
        <v>2925298</v>
      </c>
      <c r="B36776" t="s">
        <v>4902</v>
      </c>
      <c r="C36776" t="s">
        <v>2100</v>
      </c>
      <c r="D36776" s="21" t="s">
        <v>34</v>
      </c>
      <c r="E36776" s="21" t="s">
        <v>1089</v>
      </c>
      <c r="F36776">
        <v>3290023</v>
      </c>
      <c r="G36776" t="s">
        <v>3883</v>
      </c>
      <c r="H36776" s="21">
        <v>495</v>
      </c>
    </row>
    <row r="36777" spans="1:8" customFormat="1" x14ac:dyDescent="0.25">
      <c r="A36777" t="str">
        <f>"1614012"</f>
        <v>1614012</v>
      </c>
      <c r="B36777" t="s">
        <v>29312</v>
      </c>
      <c r="C36777" t="s">
        <v>712</v>
      </c>
      <c r="D36777" s="21" t="s">
        <v>34</v>
      </c>
      <c r="E36777" s="21" t="s">
        <v>254</v>
      </c>
      <c r="F36777">
        <v>10160225</v>
      </c>
      <c r="G36777" t="s">
        <v>2865</v>
      </c>
      <c r="H36777" s="21">
        <v>495</v>
      </c>
    </row>
    <row r="36778" spans="1:8" customFormat="1" x14ac:dyDescent="0.25">
      <c r="A36778" t="str">
        <f>"9529401"</f>
        <v>9529401</v>
      </c>
      <c r="B36778" t="s">
        <v>22519</v>
      </c>
      <c r="C36778" t="s">
        <v>65</v>
      </c>
      <c r="D36778" s="21" t="s">
        <v>34</v>
      </c>
      <c r="E36778" s="21" t="s">
        <v>71</v>
      </c>
      <c r="F36778">
        <v>8951366</v>
      </c>
      <c r="G36778" t="s">
        <v>3708</v>
      </c>
      <c r="H36778" s="21">
        <v>494.75</v>
      </c>
    </row>
    <row r="36779" spans="1:8" customFormat="1" x14ac:dyDescent="0.25">
      <c r="A36779" t="str">
        <f>"724441"</f>
        <v>724441</v>
      </c>
      <c r="B36779" t="s">
        <v>22410</v>
      </c>
      <c r="C36779" t="s">
        <v>1605</v>
      </c>
      <c r="D36779" s="21" t="s">
        <v>34</v>
      </c>
      <c r="E36779" s="21" t="s">
        <v>254</v>
      </c>
      <c r="F36779">
        <v>12720006</v>
      </c>
      <c r="G36779" t="s">
        <v>4022</v>
      </c>
      <c r="H36779" s="21">
        <v>494.75</v>
      </c>
    </row>
    <row r="36780" spans="1:8" customFormat="1" x14ac:dyDescent="0.25">
      <c r="A36780" t="str">
        <f>"7523798"</f>
        <v>7523798</v>
      </c>
      <c r="B36780" t="s">
        <v>22765</v>
      </c>
      <c r="C36780" t="s">
        <v>4769</v>
      </c>
      <c r="D36780" s="21" t="s">
        <v>34</v>
      </c>
      <c r="E36780" s="21" t="s">
        <v>71</v>
      </c>
      <c r="F36780">
        <v>8750060</v>
      </c>
      <c r="G36780" t="s">
        <v>2821</v>
      </c>
      <c r="H36780" s="21">
        <v>494.75</v>
      </c>
    </row>
    <row r="36781" spans="1:8" customFormat="1" x14ac:dyDescent="0.25">
      <c r="A36781" t="str">
        <f>"758237"</f>
        <v>758237</v>
      </c>
      <c r="B36781" t="s">
        <v>23491</v>
      </c>
      <c r="C36781" t="s">
        <v>169</v>
      </c>
      <c r="D36781" s="21" t="s">
        <v>34</v>
      </c>
      <c r="E36781" s="21" t="s">
        <v>254</v>
      </c>
      <c r="F36781">
        <v>8750292</v>
      </c>
      <c r="G36781" t="s">
        <v>9069</v>
      </c>
      <c r="H36781" s="21">
        <v>494.75</v>
      </c>
    </row>
    <row r="36782" spans="1:8" customFormat="1" x14ac:dyDescent="0.25">
      <c r="A36782" t="str">
        <f>"091793"</f>
        <v>091793</v>
      </c>
      <c r="B36782" t="s">
        <v>29313</v>
      </c>
      <c r="C36782" t="s">
        <v>576</v>
      </c>
      <c r="D36782" s="21" t="s">
        <v>34</v>
      </c>
      <c r="E36782" s="21" t="s">
        <v>35</v>
      </c>
      <c r="F36782">
        <v>11090009</v>
      </c>
      <c r="G36782" t="s">
        <v>14796</v>
      </c>
      <c r="H36782" s="21">
        <v>494.75</v>
      </c>
    </row>
    <row r="36783" spans="1:8" customFormat="1" x14ac:dyDescent="0.25">
      <c r="A36783" t="str">
        <f>"1313451"</f>
        <v>1313451</v>
      </c>
      <c r="B36783" t="s">
        <v>6436</v>
      </c>
      <c r="C36783" t="s">
        <v>87</v>
      </c>
      <c r="D36783" s="21" t="s">
        <v>34</v>
      </c>
      <c r="E36783" s="21" t="s">
        <v>71</v>
      </c>
      <c r="F36783">
        <v>13130152</v>
      </c>
      <c r="G36783" t="s">
        <v>906</v>
      </c>
      <c r="H36783" s="21">
        <v>494.67</v>
      </c>
    </row>
    <row r="36784" spans="1:8" customFormat="1" x14ac:dyDescent="0.25">
      <c r="A36784" t="str">
        <f>"246122"</f>
        <v>246122</v>
      </c>
      <c r="B36784" t="s">
        <v>8153</v>
      </c>
      <c r="C36784" t="s">
        <v>249</v>
      </c>
      <c r="D36784" s="21" t="s">
        <v>34</v>
      </c>
      <c r="E36784" s="21" t="s">
        <v>71</v>
      </c>
      <c r="F36784">
        <v>10240015</v>
      </c>
      <c r="G36784" t="s">
        <v>8589</v>
      </c>
      <c r="H36784" s="21">
        <v>494.67</v>
      </c>
    </row>
    <row r="36785" spans="1:8" customFormat="1" x14ac:dyDescent="0.25">
      <c r="A36785" t="str">
        <f>"3423278"</f>
        <v>3423278</v>
      </c>
      <c r="B36785" t="s">
        <v>556</v>
      </c>
      <c r="C36785" t="s">
        <v>209</v>
      </c>
      <c r="D36785" s="21" t="s">
        <v>34</v>
      </c>
      <c r="E36785" s="21" t="s">
        <v>71</v>
      </c>
      <c r="F36785">
        <v>11340018</v>
      </c>
      <c r="G36785" t="s">
        <v>2421</v>
      </c>
      <c r="H36785" s="21">
        <v>494.67</v>
      </c>
    </row>
    <row r="36786" spans="1:8" customFormat="1" x14ac:dyDescent="0.25">
      <c r="A36786" t="str">
        <f>"1424150"</f>
        <v>1424150</v>
      </c>
      <c r="B36786" t="s">
        <v>23800</v>
      </c>
      <c r="C36786" t="s">
        <v>119</v>
      </c>
      <c r="D36786" s="21" t="s">
        <v>34</v>
      </c>
      <c r="E36786" s="21" t="s">
        <v>35</v>
      </c>
      <c r="F36786">
        <v>9140156</v>
      </c>
      <c r="G36786" t="s">
        <v>645</v>
      </c>
      <c r="H36786" s="21">
        <v>494.67</v>
      </c>
    </row>
    <row r="36787" spans="1:8" customFormat="1" x14ac:dyDescent="0.25">
      <c r="A36787" t="str">
        <f>"4212996"</f>
        <v>4212996</v>
      </c>
      <c r="B36787" t="s">
        <v>22099</v>
      </c>
      <c r="C36787" t="s">
        <v>415</v>
      </c>
      <c r="D36787" s="21" t="s">
        <v>34</v>
      </c>
      <c r="E36787" s="21" t="s">
        <v>71</v>
      </c>
      <c r="F36787">
        <v>1420117</v>
      </c>
      <c r="G36787" t="s">
        <v>2649</v>
      </c>
      <c r="H36787" s="21">
        <v>494.67</v>
      </c>
    </row>
    <row r="36788" spans="1:8" customFormat="1" x14ac:dyDescent="0.25">
      <c r="A36788" t="str">
        <f>"0617145"</f>
        <v>0617145</v>
      </c>
      <c r="B36788" t="s">
        <v>23812</v>
      </c>
      <c r="C36788" t="s">
        <v>87</v>
      </c>
      <c r="D36788" s="21" t="s">
        <v>34</v>
      </c>
      <c r="E36788" s="21" t="s">
        <v>254</v>
      </c>
      <c r="F36788">
        <v>13060005</v>
      </c>
      <c r="G36788" t="s">
        <v>3609</v>
      </c>
      <c r="H36788" s="21">
        <v>494.67</v>
      </c>
    </row>
    <row r="36789" spans="1:8" customFormat="1" x14ac:dyDescent="0.25">
      <c r="A36789" t="str">
        <f>"037866"</f>
        <v>037866</v>
      </c>
      <c r="B36789" t="s">
        <v>23875</v>
      </c>
      <c r="C36789" t="s">
        <v>2276</v>
      </c>
      <c r="D36789" s="21" t="s">
        <v>34</v>
      </c>
      <c r="E36789" s="21" t="s">
        <v>71</v>
      </c>
      <c r="F36789">
        <v>1030299</v>
      </c>
      <c r="G36789" t="s">
        <v>2631</v>
      </c>
      <c r="H36789" s="21">
        <v>494.62</v>
      </c>
    </row>
    <row r="36790" spans="1:8" customFormat="1" x14ac:dyDescent="0.25">
      <c r="A36790" t="str">
        <f>"2217227"</f>
        <v>2217227</v>
      </c>
      <c r="B36790" t="s">
        <v>24564</v>
      </c>
      <c r="C36790" t="s">
        <v>598</v>
      </c>
      <c r="D36790" s="21" t="s">
        <v>34</v>
      </c>
      <c r="E36790" s="21" t="s">
        <v>1089</v>
      </c>
      <c r="F36790">
        <v>3220041</v>
      </c>
      <c r="G36790" t="s">
        <v>27133</v>
      </c>
      <c r="H36790" s="21">
        <v>494.5</v>
      </c>
    </row>
    <row r="36791" spans="1:8" customFormat="1" x14ac:dyDescent="0.25">
      <c r="A36791" t="str">
        <f>"3538835"</f>
        <v>3538835</v>
      </c>
      <c r="B36791" t="s">
        <v>29314</v>
      </c>
      <c r="C36791" t="s">
        <v>29315</v>
      </c>
      <c r="D36791" s="21" t="s">
        <v>34</v>
      </c>
      <c r="E36791" s="21" t="s">
        <v>35</v>
      </c>
      <c r="F36791">
        <v>3350054</v>
      </c>
      <c r="G36791" t="s">
        <v>13881</v>
      </c>
      <c r="H36791" s="21">
        <v>494.5</v>
      </c>
    </row>
    <row r="36792" spans="1:8" customFormat="1" x14ac:dyDescent="0.25">
      <c r="A36792" t="str">
        <f>"5432511"</f>
        <v>5432511</v>
      </c>
      <c r="B36792" t="s">
        <v>29316</v>
      </c>
      <c r="C36792" t="s">
        <v>209</v>
      </c>
      <c r="D36792" s="21" t="s">
        <v>34</v>
      </c>
      <c r="E36792" s="21" t="s">
        <v>35</v>
      </c>
      <c r="F36792">
        <v>6540036</v>
      </c>
      <c r="G36792" t="s">
        <v>3612</v>
      </c>
      <c r="H36792" s="21">
        <v>494.5</v>
      </c>
    </row>
    <row r="36793" spans="1:8" customFormat="1" x14ac:dyDescent="0.25">
      <c r="A36793" t="str">
        <f>"9147088"</f>
        <v>9147088</v>
      </c>
      <c r="B36793" t="s">
        <v>5827</v>
      </c>
      <c r="C36793" t="s">
        <v>62</v>
      </c>
      <c r="D36793" s="21" t="s">
        <v>34</v>
      </c>
      <c r="E36793" s="21" t="s">
        <v>35</v>
      </c>
      <c r="F36793">
        <v>8910567</v>
      </c>
      <c r="G36793" t="s">
        <v>5111</v>
      </c>
      <c r="H36793" s="21">
        <v>494.5</v>
      </c>
    </row>
    <row r="36794" spans="1:8" customFormat="1" x14ac:dyDescent="0.25">
      <c r="A36794" t="str">
        <f>"2517661"</f>
        <v>2517661</v>
      </c>
      <c r="B36794" t="s">
        <v>29317</v>
      </c>
      <c r="C36794" t="s">
        <v>98</v>
      </c>
      <c r="D36794" s="21" t="s">
        <v>34</v>
      </c>
      <c r="E36794" s="21" t="s">
        <v>35</v>
      </c>
      <c r="F36794">
        <v>2250083</v>
      </c>
      <c r="G36794" t="s">
        <v>3808</v>
      </c>
      <c r="H36794" s="21">
        <v>494.5</v>
      </c>
    </row>
    <row r="36795" spans="1:8" customFormat="1" x14ac:dyDescent="0.25">
      <c r="A36795" t="str">
        <f>"845585"</f>
        <v>845585</v>
      </c>
      <c r="B36795" t="s">
        <v>29318</v>
      </c>
      <c r="C36795" t="s">
        <v>87</v>
      </c>
      <c r="D36795" s="21" t="s">
        <v>34</v>
      </c>
      <c r="E36795" s="21" t="s">
        <v>71</v>
      </c>
      <c r="F36795">
        <v>13840045</v>
      </c>
      <c r="G36795" t="s">
        <v>11703</v>
      </c>
      <c r="H36795" s="21">
        <v>494.5</v>
      </c>
    </row>
    <row r="36796" spans="1:8" customFormat="1" x14ac:dyDescent="0.25">
      <c r="A36796" t="str">
        <f>"395388"</f>
        <v>395388</v>
      </c>
      <c r="B36796" t="s">
        <v>18031</v>
      </c>
      <c r="C36796" t="s">
        <v>156</v>
      </c>
      <c r="D36796" s="21" t="s">
        <v>34</v>
      </c>
      <c r="E36796" s="21" t="s">
        <v>1089</v>
      </c>
      <c r="F36796">
        <v>2390095</v>
      </c>
      <c r="G36796" t="s">
        <v>2676</v>
      </c>
      <c r="H36796" s="21">
        <v>494.5</v>
      </c>
    </row>
    <row r="36797" spans="1:8" customFormat="1" x14ac:dyDescent="0.25">
      <c r="A36797" t="str">
        <f>"396884"</f>
        <v>396884</v>
      </c>
      <c r="B36797" t="s">
        <v>29319</v>
      </c>
      <c r="C36797" t="s">
        <v>253</v>
      </c>
      <c r="D36797" s="21" t="s">
        <v>34</v>
      </c>
      <c r="E36797" s="21" t="s">
        <v>254</v>
      </c>
      <c r="F36797">
        <v>2390098</v>
      </c>
      <c r="G36797" t="s">
        <v>22589</v>
      </c>
      <c r="H36797" s="21">
        <v>494.5</v>
      </c>
    </row>
    <row r="36798" spans="1:8" customFormat="1" x14ac:dyDescent="0.25">
      <c r="A36798" t="str">
        <f>"133097"</f>
        <v>133097</v>
      </c>
      <c r="B36798" t="s">
        <v>29320</v>
      </c>
      <c r="C36798" t="s">
        <v>879</v>
      </c>
      <c r="D36798" s="21" t="s">
        <v>34</v>
      </c>
      <c r="E36798" s="21" t="s">
        <v>1089</v>
      </c>
      <c r="F36798">
        <v>13130169</v>
      </c>
      <c r="G36798" t="s">
        <v>21686</v>
      </c>
      <c r="H36798" s="21">
        <v>494.5</v>
      </c>
    </row>
    <row r="36799" spans="1:8" customFormat="1" x14ac:dyDescent="0.25">
      <c r="A36799" t="str">
        <f>"5977880"</f>
        <v>5977880</v>
      </c>
      <c r="B36799" t="s">
        <v>2481</v>
      </c>
      <c r="C36799" t="s">
        <v>2904</v>
      </c>
      <c r="D36799" s="21" t="s">
        <v>34</v>
      </c>
      <c r="E36799" s="21" t="s">
        <v>35</v>
      </c>
      <c r="F36799">
        <v>7590048</v>
      </c>
      <c r="G36799" t="s">
        <v>4608</v>
      </c>
      <c r="H36799" s="21">
        <v>494.5</v>
      </c>
    </row>
    <row r="36800" spans="1:8" customFormat="1" x14ac:dyDescent="0.25">
      <c r="A36800" t="str">
        <f>"8528080"</f>
        <v>8528080</v>
      </c>
      <c r="B36800" t="s">
        <v>24257</v>
      </c>
      <c r="C36800" t="s">
        <v>55</v>
      </c>
      <c r="D36800" s="21" t="s">
        <v>34</v>
      </c>
      <c r="E36800" s="21" t="s">
        <v>35</v>
      </c>
      <c r="F36800">
        <v>12850078</v>
      </c>
      <c r="G36800" t="s">
        <v>5639</v>
      </c>
      <c r="H36800" s="21">
        <v>494.5</v>
      </c>
    </row>
    <row r="36801" spans="1:8" customFormat="1" x14ac:dyDescent="0.25">
      <c r="A36801" t="str">
        <f>"4933808"</f>
        <v>4933808</v>
      </c>
      <c r="B36801" t="s">
        <v>22386</v>
      </c>
      <c r="C36801" t="s">
        <v>412</v>
      </c>
      <c r="D36801" s="21" t="s">
        <v>34</v>
      </c>
      <c r="E36801" s="21" t="s">
        <v>1089</v>
      </c>
      <c r="F36801">
        <v>12490037</v>
      </c>
      <c r="G36801" t="s">
        <v>8892</v>
      </c>
      <c r="H36801" s="21">
        <v>494.5</v>
      </c>
    </row>
    <row r="36802" spans="1:8" customFormat="1" x14ac:dyDescent="0.25">
      <c r="A36802" t="str">
        <f>"5941568"</f>
        <v>5941568</v>
      </c>
      <c r="B36802" t="s">
        <v>23576</v>
      </c>
      <c r="C36802" t="s">
        <v>263</v>
      </c>
      <c r="D36802" s="21" t="s">
        <v>34</v>
      </c>
      <c r="E36802" s="21" t="s">
        <v>254</v>
      </c>
      <c r="F36802">
        <v>7620139</v>
      </c>
      <c r="G36802" t="s">
        <v>2061</v>
      </c>
      <c r="H36802" s="21">
        <v>494.5</v>
      </c>
    </row>
    <row r="36803" spans="1:8" customFormat="1" x14ac:dyDescent="0.25">
      <c r="A36803" t="str">
        <f>"4453797"</f>
        <v>4453797</v>
      </c>
      <c r="B36803" t="s">
        <v>146</v>
      </c>
      <c r="C36803" t="s">
        <v>55</v>
      </c>
      <c r="D36803" s="21" t="s">
        <v>34</v>
      </c>
      <c r="E36803" s="21" t="s">
        <v>71</v>
      </c>
      <c r="F36803">
        <v>12440206</v>
      </c>
      <c r="G36803" t="s">
        <v>10374</v>
      </c>
      <c r="H36803" s="21">
        <v>494.5</v>
      </c>
    </row>
    <row r="36804" spans="1:8" customFormat="1" x14ac:dyDescent="0.25">
      <c r="A36804" t="str">
        <f>"4451938"</f>
        <v>4451938</v>
      </c>
      <c r="B36804" t="s">
        <v>23038</v>
      </c>
      <c r="C36804" t="s">
        <v>40</v>
      </c>
      <c r="D36804" s="21" t="s">
        <v>34</v>
      </c>
      <c r="E36804" s="21" t="s">
        <v>35</v>
      </c>
      <c r="F36804">
        <v>12440111</v>
      </c>
      <c r="G36804" t="s">
        <v>17072</v>
      </c>
      <c r="H36804" s="21">
        <v>494.5</v>
      </c>
    </row>
    <row r="36805" spans="1:8" customFormat="1" x14ac:dyDescent="0.25">
      <c r="A36805" t="str">
        <f>"8524499"</f>
        <v>8524499</v>
      </c>
      <c r="B36805" t="s">
        <v>2210</v>
      </c>
      <c r="C36805" t="s">
        <v>209</v>
      </c>
      <c r="D36805" s="21" t="s">
        <v>34</v>
      </c>
      <c r="E36805" s="21" t="s">
        <v>71</v>
      </c>
      <c r="F36805">
        <v>12850104</v>
      </c>
      <c r="G36805" t="s">
        <v>6556</v>
      </c>
      <c r="H36805" s="21">
        <v>494.5</v>
      </c>
    </row>
    <row r="36806" spans="1:8" customFormat="1" x14ac:dyDescent="0.25">
      <c r="A36806" t="str">
        <f>"5323737"</f>
        <v>5323737</v>
      </c>
      <c r="B36806" t="s">
        <v>138</v>
      </c>
      <c r="C36806" t="s">
        <v>288</v>
      </c>
      <c r="D36806" s="21" t="s">
        <v>34</v>
      </c>
      <c r="E36806" s="21" t="s">
        <v>35</v>
      </c>
      <c r="F36806">
        <v>12538903</v>
      </c>
      <c r="G36806" t="s">
        <v>6439</v>
      </c>
      <c r="H36806" s="21">
        <v>494.5</v>
      </c>
    </row>
    <row r="36807" spans="1:8" customFormat="1" x14ac:dyDescent="0.25">
      <c r="A36807" t="str">
        <f>"8528321"</f>
        <v>8528321</v>
      </c>
      <c r="B36807" t="s">
        <v>15720</v>
      </c>
      <c r="C36807" t="s">
        <v>156</v>
      </c>
      <c r="D36807" s="21" t="s">
        <v>34</v>
      </c>
      <c r="E36807" s="21" t="s">
        <v>71</v>
      </c>
      <c r="F36807">
        <v>12850107</v>
      </c>
      <c r="G36807" t="s">
        <v>12181</v>
      </c>
      <c r="H36807" s="21">
        <v>494.5</v>
      </c>
    </row>
    <row r="36808" spans="1:8" customFormat="1" x14ac:dyDescent="0.25">
      <c r="A36808" t="str">
        <f>"3535281"</f>
        <v>3535281</v>
      </c>
      <c r="B36808" t="s">
        <v>23922</v>
      </c>
      <c r="C36808" t="s">
        <v>60</v>
      </c>
      <c r="D36808" s="21" t="s">
        <v>34</v>
      </c>
      <c r="E36808" s="21" t="s">
        <v>35</v>
      </c>
      <c r="F36808">
        <v>3350090</v>
      </c>
      <c r="G36808" t="s">
        <v>9659</v>
      </c>
      <c r="H36808" s="21">
        <v>494.5</v>
      </c>
    </row>
    <row r="36809" spans="1:8" customFormat="1" x14ac:dyDescent="0.25">
      <c r="A36809" t="str">
        <f>"1715728"</f>
        <v>1715728</v>
      </c>
      <c r="B36809" t="s">
        <v>29321</v>
      </c>
      <c r="C36809" t="s">
        <v>40</v>
      </c>
      <c r="D36809" s="21" t="s">
        <v>34</v>
      </c>
      <c r="E36809" s="21" t="s">
        <v>254</v>
      </c>
      <c r="F36809">
        <v>10170178</v>
      </c>
      <c r="G36809" t="s">
        <v>17278</v>
      </c>
      <c r="H36809" s="21">
        <v>494.5</v>
      </c>
    </row>
    <row r="36810" spans="1:8" customFormat="1" x14ac:dyDescent="0.25">
      <c r="A36810" t="str">
        <f>"5734853"</f>
        <v>5734853</v>
      </c>
      <c r="B36810" t="s">
        <v>13072</v>
      </c>
      <c r="C36810" t="s">
        <v>2752</v>
      </c>
      <c r="D36810" s="21" t="s">
        <v>34</v>
      </c>
      <c r="E36810" s="21" t="s">
        <v>71</v>
      </c>
      <c r="F36810">
        <v>6570008</v>
      </c>
      <c r="G36810" t="s">
        <v>899</v>
      </c>
      <c r="H36810" s="21">
        <v>494.5</v>
      </c>
    </row>
    <row r="36811" spans="1:8" customFormat="1" x14ac:dyDescent="0.25">
      <c r="A36811" t="str">
        <f>"9526197"</f>
        <v>9526197</v>
      </c>
      <c r="B36811" t="s">
        <v>22133</v>
      </c>
      <c r="C36811" t="s">
        <v>22587</v>
      </c>
      <c r="D36811" s="21" t="s">
        <v>34</v>
      </c>
      <c r="E36811" s="21" t="s">
        <v>35</v>
      </c>
      <c r="F36811">
        <v>8950330</v>
      </c>
      <c r="G36811" t="s">
        <v>794</v>
      </c>
      <c r="H36811" s="21">
        <v>494.5</v>
      </c>
    </row>
    <row r="36812" spans="1:8" customFormat="1" x14ac:dyDescent="0.25">
      <c r="A36812" t="str">
        <f>"7413642"</f>
        <v>7413642</v>
      </c>
      <c r="B36812" t="s">
        <v>21820</v>
      </c>
      <c r="C36812" t="s">
        <v>114</v>
      </c>
      <c r="D36812" s="21" t="s">
        <v>34</v>
      </c>
      <c r="E36812" s="21" t="s">
        <v>254</v>
      </c>
      <c r="F36812">
        <v>1740069</v>
      </c>
      <c r="G36812" t="s">
        <v>8151</v>
      </c>
      <c r="H36812" s="21">
        <v>494.5</v>
      </c>
    </row>
    <row r="36813" spans="1:8" customFormat="1" x14ac:dyDescent="0.25">
      <c r="A36813" t="str">
        <f>"114296"</f>
        <v>114296</v>
      </c>
      <c r="B36813" t="s">
        <v>23916</v>
      </c>
      <c r="C36813" t="s">
        <v>598</v>
      </c>
      <c r="D36813" s="21" t="s">
        <v>34</v>
      </c>
      <c r="E36813" s="21" t="s">
        <v>35</v>
      </c>
      <c r="F36813">
        <v>11110013</v>
      </c>
      <c r="G36813" t="s">
        <v>640</v>
      </c>
      <c r="H36813" s="21">
        <v>494.5</v>
      </c>
    </row>
    <row r="36814" spans="1:8" customFormat="1" x14ac:dyDescent="0.25">
      <c r="A36814" t="str">
        <f>"3723950"</f>
        <v>3723950</v>
      </c>
      <c r="B36814" t="s">
        <v>22771</v>
      </c>
      <c r="C36814" t="s">
        <v>171</v>
      </c>
      <c r="D36814" s="21" t="s">
        <v>34</v>
      </c>
      <c r="E36814" s="21" t="s">
        <v>35</v>
      </c>
      <c r="F36814">
        <v>4370464</v>
      </c>
      <c r="G36814" t="s">
        <v>5348</v>
      </c>
      <c r="H36814" s="21">
        <v>494.5</v>
      </c>
    </row>
    <row r="36815" spans="1:8" customFormat="1" x14ac:dyDescent="0.25">
      <c r="A36815" t="str">
        <f>"154000"</f>
        <v>154000</v>
      </c>
      <c r="B36815" t="s">
        <v>29322</v>
      </c>
      <c r="C36815" t="s">
        <v>719</v>
      </c>
      <c r="D36815" s="21" t="s">
        <v>34</v>
      </c>
      <c r="E36815" s="21" t="s">
        <v>71</v>
      </c>
      <c r="F36815">
        <v>1150159</v>
      </c>
      <c r="G36815" t="s">
        <v>7433</v>
      </c>
      <c r="H36815" s="21">
        <v>494.5</v>
      </c>
    </row>
    <row r="36816" spans="1:8" customFormat="1" x14ac:dyDescent="0.25">
      <c r="A36816" t="str">
        <f>"4415831"</f>
        <v>4415831</v>
      </c>
      <c r="B36816" t="s">
        <v>24095</v>
      </c>
      <c r="C36816" t="s">
        <v>4842</v>
      </c>
      <c r="D36816" s="21" t="s">
        <v>34</v>
      </c>
      <c r="E36816" s="21" t="s">
        <v>254</v>
      </c>
      <c r="F36816">
        <v>12440174</v>
      </c>
      <c r="G36816" t="s">
        <v>27498</v>
      </c>
      <c r="H36816" s="21">
        <v>494.5</v>
      </c>
    </row>
    <row r="36817" spans="1:8" customFormat="1" x14ac:dyDescent="0.25">
      <c r="A36817" t="str">
        <f>"852460"</f>
        <v>852460</v>
      </c>
      <c r="B36817" t="s">
        <v>19860</v>
      </c>
      <c r="C36817" t="s">
        <v>121</v>
      </c>
      <c r="D36817" s="21" t="s">
        <v>34</v>
      </c>
      <c r="E36817" s="21" t="s">
        <v>71</v>
      </c>
      <c r="F36817">
        <v>12850118</v>
      </c>
      <c r="G36817" t="s">
        <v>6811</v>
      </c>
      <c r="H36817" s="21">
        <v>494.5</v>
      </c>
    </row>
    <row r="36818" spans="1:8" customFormat="1" x14ac:dyDescent="0.25">
      <c r="A36818" t="str">
        <f>"4939392"</f>
        <v>4939392</v>
      </c>
      <c r="B36818" t="s">
        <v>11944</v>
      </c>
      <c r="C36818" t="s">
        <v>1812</v>
      </c>
      <c r="D36818" s="21" t="s">
        <v>34</v>
      </c>
      <c r="E36818" s="21" t="s">
        <v>71</v>
      </c>
      <c r="F36818">
        <v>12490115</v>
      </c>
      <c r="G36818" t="s">
        <v>12598</v>
      </c>
      <c r="H36818" s="21">
        <v>494.5</v>
      </c>
    </row>
    <row r="36819" spans="1:8" customFormat="1" x14ac:dyDescent="0.25">
      <c r="A36819" t="str">
        <f>"7643170"</f>
        <v>7643170</v>
      </c>
      <c r="B36819" t="s">
        <v>29323</v>
      </c>
      <c r="C36819" t="s">
        <v>49</v>
      </c>
      <c r="D36819" s="21" t="s">
        <v>34</v>
      </c>
      <c r="E36819" s="21" t="s">
        <v>35</v>
      </c>
      <c r="F36819">
        <v>9760015</v>
      </c>
      <c r="G36819" t="s">
        <v>5277</v>
      </c>
      <c r="H36819" s="21">
        <v>494.5</v>
      </c>
    </row>
    <row r="36820" spans="1:8" customFormat="1" x14ac:dyDescent="0.25">
      <c r="A36820" t="str">
        <f>"9D386"</f>
        <v>9D386</v>
      </c>
      <c r="B36820" t="s">
        <v>23755</v>
      </c>
      <c r="C36820" t="s">
        <v>3784</v>
      </c>
      <c r="D36820" s="21" t="s">
        <v>34</v>
      </c>
      <c r="E36820" s="21" t="s">
        <v>1089</v>
      </c>
      <c r="F36820" t="s">
        <v>3911</v>
      </c>
      <c r="G36820" t="s">
        <v>3912</v>
      </c>
      <c r="H36820" s="21">
        <v>494.5</v>
      </c>
    </row>
    <row r="36821" spans="1:8" customFormat="1" x14ac:dyDescent="0.25">
      <c r="A36821" t="str">
        <f>"189279"</f>
        <v>189279</v>
      </c>
      <c r="B36821" t="s">
        <v>13630</v>
      </c>
      <c r="C36821" t="s">
        <v>109</v>
      </c>
      <c r="D36821" s="21" t="s">
        <v>34</v>
      </c>
      <c r="E36821" s="21" t="s">
        <v>35</v>
      </c>
      <c r="F36821">
        <v>4180696</v>
      </c>
      <c r="G36821" t="s">
        <v>3018</v>
      </c>
      <c r="H36821" s="21">
        <v>494.5</v>
      </c>
    </row>
    <row r="36822" spans="1:8" customFormat="1" x14ac:dyDescent="0.25">
      <c r="A36822" t="str">
        <f>"8526160"</f>
        <v>8526160</v>
      </c>
      <c r="B36822" t="s">
        <v>15629</v>
      </c>
      <c r="C36822" t="s">
        <v>812</v>
      </c>
      <c r="D36822" s="21" t="s">
        <v>34</v>
      </c>
      <c r="E36822" s="21" t="s">
        <v>71</v>
      </c>
      <c r="F36822">
        <v>12850046</v>
      </c>
      <c r="G36822" t="s">
        <v>3136</v>
      </c>
      <c r="H36822" s="21">
        <v>494.5</v>
      </c>
    </row>
    <row r="36823" spans="1:8" customFormat="1" x14ac:dyDescent="0.25">
      <c r="A36823" t="str">
        <f>"533228"</f>
        <v>533228</v>
      </c>
      <c r="B36823" t="s">
        <v>6965</v>
      </c>
      <c r="C36823" t="s">
        <v>1665</v>
      </c>
      <c r="D36823" s="21" t="s">
        <v>34</v>
      </c>
      <c r="E36823" s="21" t="s">
        <v>1089</v>
      </c>
      <c r="F36823">
        <v>12530007</v>
      </c>
      <c r="G36823" t="s">
        <v>2966</v>
      </c>
      <c r="H36823" s="21">
        <v>494.5</v>
      </c>
    </row>
    <row r="36824" spans="1:8" customFormat="1" x14ac:dyDescent="0.25">
      <c r="A36824" t="str">
        <f>"5947966"</f>
        <v>5947966</v>
      </c>
      <c r="B36824" t="s">
        <v>21826</v>
      </c>
      <c r="C36824" t="s">
        <v>130</v>
      </c>
      <c r="D36824" s="21" t="s">
        <v>34</v>
      </c>
      <c r="E36824" s="21" t="s">
        <v>35</v>
      </c>
      <c r="F36824">
        <v>7590327</v>
      </c>
      <c r="G36824" t="s">
        <v>2330</v>
      </c>
      <c r="H36824" s="21">
        <v>494.42</v>
      </c>
    </row>
    <row r="36825" spans="1:8" customFormat="1" x14ac:dyDescent="0.25">
      <c r="A36825" t="str">
        <f>"7523555"</f>
        <v>7523555</v>
      </c>
      <c r="B36825" t="s">
        <v>29324</v>
      </c>
      <c r="C36825" t="s">
        <v>1665</v>
      </c>
      <c r="D36825" s="21" t="s">
        <v>34</v>
      </c>
      <c r="E36825" s="21" t="s">
        <v>71</v>
      </c>
      <c r="F36825">
        <v>8931463</v>
      </c>
      <c r="G36825" t="s">
        <v>27685</v>
      </c>
      <c r="H36825" s="21">
        <v>494.38</v>
      </c>
    </row>
    <row r="36826" spans="1:8" customFormat="1" x14ac:dyDescent="0.25">
      <c r="A36826" t="str">
        <f>"9453171"</f>
        <v>9453171</v>
      </c>
      <c r="B36826" t="s">
        <v>23518</v>
      </c>
      <c r="C36826" t="s">
        <v>598</v>
      </c>
      <c r="D36826" s="21" t="s">
        <v>34</v>
      </c>
      <c r="E36826" s="21" t="s">
        <v>254</v>
      </c>
      <c r="F36826">
        <v>8940070</v>
      </c>
      <c r="G36826" t="s">
        <v>2320</v>
      </c>
      <c r="H36826" s="21">
        <v>494.38</v>
      </c>
    </row>
    <row r="36827" spans="1:8" customFormat="1" x14ac:dyDescent="0.25">
      <c r="A36827" t="str">
        <f>"9455041"</f>
        <v>9455041</v>
      </c>
      <c r="B36827" t="s">
        <v>3072</v>
      </c>
      <c r="C36827" t="s">
        <v>1146</v>
      </c>
      <c r="D36827" s="21" t="s">
        <v>34</v>
      </c>
      <c r="E36827" s="21" t="s">
        <v>1089</v>
      </c>
      <c r="F36827">
        <v>8940070</v>
      </c>
      <c r="G36827" t="s">
        <v>2320</v>
      </c>
      <c r="H36827" s="21">
        <v>494.38</v>
      </c>
    </row>
    <row r="36828" spans="1:8" customFormat="1" x14ac:dyDescent="0.25">
      <c r="A36828" t="str">
        <f>"3537828"</f>
        <v>3537828</v>
      </c>
      <c r="B36828" t="s">
        <v>1322</v>
      </c>
      <c r="C36828" t="s">
        <v>486</v>
      </c>
      <c r="D36828" s="21" t="s">
        <v>34</v>
      </c>
      <c r="E36828" s="21" t="s">
        <v>71</v>
      </c>
      <c r="F36828">
        <v>3350027</v>
      </c>
      <c r="G36828" t="s">
        <v>2760</v>
      </c>
      <c r="H36828" s="21">
        <v>494.25</v>
      </c>
    </row>
    <row r="36829" spans="1:8" customFormat="1" x14ac:dyDescent="0.25">
      <c r="A36829" t="str">
        <f>"4444230"</f>
        <v>4444230</v>
      </c>
      <c r="B36829" t="s">
        <v>24342</v>
      </c>
      <c r="C36829" t="s">
        <v>22475</v>
      </c>
      <c r="D36829" s="21" t="s">
        <v>34</v>
      </c>
      <c r="E36829" s="21" t="s">
        <v>254</v>
      </c>
      <c r="F36829">
        <v>12440174</v>
      </c>
      <c r="G36829" t="s">
        <v>27498</v>
      </c>
      <c r="H36829" s="21">
        <v>494.25</v>
      </c>
    </row>
    <row r="36830" spans="1:8" customFormat="1" x14ac:dyDescent="0.25">
      <c r="A36830" t="str">
        <f>"4527851"</f>
        <v>4527851</v>
      </c>
      <c r="B36830" t="s">
        <v>24017</v>
      </c>
      <c r="C36830" t="s">
        <v>750</v>
      </c>
      <c r="D36830" s="21" t="s">
        <v>34</v>
      </c>
      <c r="E36830" s="21" t="s">
        <v>254</v>
      </c>
      <c r="F36830">
        <v>4450576</v>
      </c>
      <c r="G36830" t="s">
        <v>26857</v>
      </c>
      <c r="H36830" s="21">
        <v>494.25</v>
      </c>
    </row>
    <row r="36831" spans="1:8" customFormat="1" x14ac:dyDescent="0.25">
      <c r="A36831" t="str">
        <f>"4515518"</f>
        <v>4515518</v>
      </c>
      <c r="B36831" t="s">
        <v>16426</v>
      </c>
      <c r="C36831" t="s">
        <v>879</v>
      </c>
      <c r="D36831" s="21" t="s">
        <v>34</v>
      </c>
      <c r="E36831" s="21" t="s">
        <v>1089</v>
      </c>
      <c r="F36831">
        <v>4450026</v>
      </c>
      <c r="G36831" t="s">
        <v>291</v>
      </c>
      <c r="H36831" s="21">
        <v>494.25</v>
      </c>
    </row>
    <row r="36832" spans="1:8" customFormat="1" x14ac:dyDescent="0.25">
      <c r="A36832" t="str">
        <f>"2716157"</f>
        <v>2716157</v>
      </c>
      <c r="B36832" t="s">
        <v>21818</v>
      </c>
      <c r="C36832" t="s">
        <v>156</v>
      </c>
      <c r="D36832" s="21" t="s">
        <v>34</v>
      </c>
      <c r="E36832" s="21" t="s">
        <v>254</v>
      </c>
      <c r="F36832">
        <v>9270097</v>
      </c>
      <c r="G36832" t="s">
        <v>9759</v>
      </c>
      <c r="H36832" s="21">
        <v>494.25</v>
      </c>
    </row>
    <row r="36833" spans="1:8" customFormat="1" x14ac:dyDescent="0.25">
      <c r="A36833" t="str">
        <f>"7642218"</f>
        <v>7642218</v>
      </c>
      <c r="B36833" t="s">
        <v>17656</v>
      </c>
      <c r="C36833" t="s">
        <v>211</v>
      </c>
      <c r="D36833" s="21" t="s">
        <v>34</v>
      </c>
      <c r="E36833" s="21" t="s">
        <v>35</v>
      </c>
      <c r="F36833">
        <v>9760007</v>
      </c>
      <c r="G36833" t="s">
        <v>7255</v>
      </c>
      <c r="H36833" s="21">
        <v>494.17</v>
      </c>
    </row>
    <row r="36834" spans="1:8" customFormat="1" x14ac:dyDescent="0.25">
      <c r="A36834" t="str">
        <f>"6229344"</f>
        <v>6229344</v>
      </c>
      <c r="B36834" t="s">
        <v>1639</v>
      </c>
      <c r="C36834" t="s">
        <v>951</v>
      </c>
      <c r="D36834" s="21" t="s">
        <v>34</v>
      </c>
      <c r="E36834" s="21" t="s">
        <v>35</v>
      </c>
      <c r="F36834">
        <v>7620096</v>
      </c>
      <c r="G36834" t="s">
        <v>5829</v>
      </c>
      <c r="H36834" s="21">
        <v>494.17</v>
      </c>
    </row>
    <row r="36835" spans="1:8" customFormat="1" x14ac:dyDescent="0.25">
      <c r="A36835" t="str">
        <f>"6019817"</f>
        <v>6019817</v>
      </c>
      <c r="B36835" t="s">
        <v>21677</v>
      </c>
      <c r="C36835" t="s">
        <v>60</v>
      </c>
      <c r="D36835" s="21" t="s">
        <v>34</v>
      </c>
      <c r="E36835" s="21" t="s">
        <v>35</v>
      </c>
      <c r="F36835">
        <v>7600163</v>
      </c>
      <c r="G36835" t="s">
        <v>12203</v>
      </c>
      <c r="H36835" s="21">
        <v>494.17</v>
      </c>
    </row>
    <row r="36836" spans="1:8" customFormat="1" x14ac:dyDescent="0.25">
      <c r="A36836" t="str">
        <f>"3728444"</f>
        <v>3728444</v>
      </c>
      <c r="B36836" t="s">
        <v>21397</v>
      </c>
      <c r="C36836" t="s">
        <v>1705</v>
      </c>
      <c r="D36836" s="21" t="s">
        <v>34</v>
      </c>
      <c r="E36836" s="21" t="s">
        <v>35</v>
      </c>
      <c r="F36836">
        <v>4370615</v>
      </c>
      <c r="G36836" t="s">
        <v>7437</v>
      </c>
      <c r="H36836" s="21">
        <v>494.17</v>
      </c>
    </row>
    <row r="36837" spans="1:8" customFormat="1" x14ac:dyDescent="0.25">
      <c r="A36837" t="str">
        <f>"2940086"</f>
        <v>2940086</v>
      </c>
      <c r="B36837" t="s">
        <v>29325</v>
      </c>
      <c r="C36837" t="s">
        <v>62</v>
      </c>
      <c r="D36837" s="21" t="s">
        <v>34</v>
      </c>
      <c r="E36837" s="21" t="s">
        <v>35</v>
      </c>
      <c r="F36837">
        <v>3290039</v>
      </c>
      <c r="G36837" t="s">
        <v>3988</v>
      </c>
      <c r="H36837" s="21">
        <v>494.17</v>
      </c>
    </row>
    <row r="36838" spans="1:8" customFormat="1" x14ac:dyDescent="0.25">
      <c r="A36838" t="str">
        <f>"0616345"</f>
        <v>0616345</v>
      </c>
      <c r="B36838" t="s">
        <v>23874</v>
      </c>
      <c r="C36838" t="s">
        <v>169</v>
      </c>
      <c r="D36838" s="21" t="s">
        <v>34</v>
      </c>
      <c r="E36838" s="21" t="s">
        <v>35</v>
      </c>
      <c r="F36838">
        <v>13060088</v>
      </c>
      <c r="G36838" t="s">
        <v>15538</v>
      </c>
      <c r="H36838" s="21">
        <v>494.17</v>
      </c>
    </row>
    <row r="36839" spans="1:8" customFormat="1" x14ac:dyDescent="0.25">
      <c r="A36839" t="str">
        <f>"5983245"</f>
        <v>5983245</v>
      </c>
      <c r="B36839" t="s">
        <v>29326</v>
      </c>
      <c r="C36839" t="s">
        <v>285</v>
      </c>
      <c r="D36839" s="21" t="s">
        <v>34</v>
      </c>
      <c r="E36839" s="21" t="s">
        <v>35</v>
      </c>
      <c r="F36839">
        <v>7590065</v>
      </c>
      <c r="G36839" t="s">
        <v>1598</v>
      </c>
      <c r="H36839" s="21">
        <v>494.17</v>
      </c>
    </row>
    <row r="36840" spans="1:8" customFormat="1" x14ac:dyDescent="0.25">
      <c r="A36840" t="str">
        <f>"2220008"</f>
        <v>2220008</v>
      </c>
      <c r="B36840" t="s">
        <v>1081</v>
      </c>
      <c r="C36840" t="s">
        <v>3073</v>
      </c>
      <c r="D36840" s="21" t="s">
        <v>34</v>
      </c>
      <c r="E36840" s="21" t="s">
        <v>35</v>
      </c>
      <c r="F36840">
        <v>3220124</v>
      </c>
      <c r="G36840" t="s">
        <v>27347</v>
      </c>
      <c r="H36840" s="21">
        <v>494.17</v>
      </c>
    </row>
    <row r="36841" spans="1:8" customFormat="1" x14ac:dyDescent="0.25">
      <c r="A36841" t="str">
        <f>"7915934"</f>
        <v>7915934</v>
      </c>
      <c r="B36841" t="s">
        <v>6472</v>
      </c>
      <c r="C36841" t="s">
        <v>267</v>
      </c>
      <c r="D36841" s="21" t="s">
        <v>34</v>
      </c>
      <c r="E36841" s="21" t="s">
        <v>254</v>
      </c>
      <c r="F36841">
        <v>10790005</v>
      </c>
      <c r="G36841" t="s">
        <v>1948</v>
      </c>
      <c r="H36841" s="21">
        <v>494.17</v>
      </c>
    </row>
    <row r="36842" spans="1:8" customFormat="1" x14ac:dyDescent="0.25">
      <c r="A36842" t="str">
        <f>"9228238"</f>
        <v>9228238</v>
      </c>
      <c r="B36842" t="s">
        <v>21702</v>
      </c>
      <c r="C36842" t="s">
        <v>817</v>
      </c>
      <c r="D36842" s="21" t="s">
        <v>34</v>
      </c>
      <c r="E36842" s="21" t="s">
        <v>254</v>
      </c>
      <c r="F36842">
        <v>8770865</v>
      </c>
      <c r="G36842" t="s">
        <v>1426</v>
      </c>
      <c r="H36842" s="21">
        <v>494.17</v>
      </c>
    </row>
    <row r="36843" spans="1:8" customFormat="1" x14ac:dyDescent="0.25">
      <c r="A36843" t="str">
        <f>"123226"</f>
        <v>123226</v>
      </c>
      <c r="B36843" t="s">
        <v>2125</v>
      </c>
      <c r="C36843" t="s">
        <v>124</v>
      </c>
      <c r="D36843" s="21" t="s">
        <v>34</v>
      </c>
      <c r="E36843" s="21" t="s">
        <v>71</v>
      </c>
      <c r="F36843">
        <v>11120017</v>
      </c>
      <c r="G36843" t="s">
        <v>6560</v>
      </c>
      <c r="H36843" s="21">
        <v>494.04</v>
      </c>
    </row>
    <row r="36844" spans="1:8" customFormat="1" x14ac:dyDescent="0.25">
      <c r="A36844" t="str">
        <f>"65188"</f>
        <v>65188</v>
      </c>
      <c r="B36844" t="s">
        <v>6781</v>
      </c>
      <c r="C36844" t="s">
        <v>4842</v>
      </c>
      <c r="D36844" s="21" t="s">
        <v>34</v>
      </c>
      <c r="E36844" s="21" t="s">
        <v>1089</v>
      </c>
      <c r="F36844">
        <v>11650016</v>
      </c>
      <c r="G36844" t="s">
        <v>9559</v>
      </c>
      <c r="H36844" s="21">
        <v>494</v>
      </c>
    </row>
    <row r="36845" spans="1:8" customFormat="1" x14ac:dyDescent="0.25">
      <c r="A36845" t="str">
        <f>"5961829"</f>
        <v>5961829</v>
      </c>
      <c r="B36845" t="s">
        <v>9251</v>
      </c>
      <c r="C36845" t="s">
        <v>576</v>
      </c>
      <c r="D36845" s="21" t="s">
        <v>34</v>
      </c>
      <c r="E36845" s="21" t="s">
        <v>35</v>
      </c>
      <c r="F36845">
        <v>7590086</v>
      </c>
      <c r="G36845" t="s">
        <v>3557</v>
      </c>
      <c r="H36845" s="21">
        <v>494</v>
      </c>
    </row>
    <row r="36846" spans="1:8" customFormat="1" x14ac:dyDescent="0.25">
      <c r="A36846" t="str">
        <f>"442192"</f>
        <v>442192</v>
      </c>
      <c r="B36846" t="s">
        <v>17422</v>
      </c>
      <c r="C36846" t="s">
        <v>453</v>
      </c>
      <c r="D36846" s="21" t="s">
        <v>34</v>
      </c>
      <c r="E36846" s="21" t="s">
        <v>254</v>
      </c>
      <c r="F36846">
        <v>12440071</v>
      </c>
      <c r="G36846" t="s">
        <v>11350</v>
      </c>
      <c r="H36846" s="21">
        <v>494</v>
      </c>
    </row>
    <row r="36847" spans="1:8" customFormat="1" x14ac:dyDescent="0.25">
      <c r="A36847" t="str">
        <f>"6013686"</f>
        <v>6013686</v>
      </c>
      <c r="B36847" t="s">
        <v>582</v>
      </c>
      <c r="C36847" t="s">
        <v>547</v>
      </c>
      <c r="D36847" s="21" t="s">
        <v>34</v>
      </c>
      <c r="E36847" s="21" t="s">
        <v>254</v>
      </c>
      <c r="F36847">
        <v>7600114</v>
      </c>
      <c r="G36847" t="s">
        <v>4584</v>
      </c>
      <c r="H36847" s="21">
        <v>494</v>
      </c>
    </row>
    <row r="36848" spans="1:8" customFormat="1" x14ac:dyDescent="0.25">
      <c r="A36848" t="str">
        <f>"9B939"</f>
        <v>9B939</v>
      </c>
      <c r="B36848" t="s">
        <v>11168</v>
      </c>
      <c r="C36848" t="s">
        <v>33</v>
      </c>
      <c r="D36848" s="21" t="s">
        <v>34</v>
      </c>
      <c r="E36848" s="21" t="s">
        <v>71</v>
      </c>
      <c r="F36848" t="s">
        <v>2653</v>
      </c>
      <c r="G36848" t="s">
        <v>2654</v>
      </c>
      <c r="H36848" s="21">
        <v>494</v>
      </c>
    </row>
    <row r="36849" spans="1:8" customFormat="1" x14ac:dyDescent="0.25">
      <c r="A36849" t="str">
        <f>"7511970"</f>
        <v>7511970</v>
      </c>
      <c r="B36849" t="s">
        <v>18613</v>
      </c>
      <c r="C36849" t="s">
        <v>62</v>
      </c>
      <c r="D36849" s="21" t="s">
        <v>34</v>
      </c>
      <c r="E36849" s="21" t="s">
        <v>35</v>
      </c>
      <c r="F36849">
        <v>12440111</v>
      </c>
      <c r="G36849" t="s">
        <v>17072</v>
      </c>
      <c r="H36849" s="21">
        <v>494</v>
      </c>
    </row>
    <row r="36850" spans="1:8" customFormat="1" x14ac:dyDescent="0.25">
      <c r="A36850" t="str">
        <f>"3426449"</f>
        <v>3426449</v>
      </c>
      <c r="B36850" t="s">
        <v>6324</v>
      </c>
      <c r="C36850" t="s">
        <v>598</v>
      </c>
      <c r="D36850" s="21" t="s">
        <v>34</v>
      </c>
      <c r="E36850" s="21" t="s">
        <v>1089</v>
      </c>
      <c r="F36850">
        <v>11340007</v>
      </c>
      <c r="G36850" t="s">
        <v>2278</v>
      </c>
      <c r="H36850" s="21">
        <v>494</v>
      </c>
    </row>
    <row r="36851" spans="1:8" customFormat="1" x14ac:dyDescent="0.25">
      <c r="A36851" t="str">
        <f>"2219688"</f>
        <v>2219688</v>
      </c>
      <c r="B36851" t="s">
        <v>2010</v>
      </c>
      <c r="C36851" t="s">
        <v>209</v>
      </c>
      <c r="D36851" s="21" t="s">
        <v>34</v>
      </c>
      <c r="E36851" s="21" t="s">
        <v>71</v>
      </c>
      <c r="F36851">
        <v>3220052</v>
      </c>
      <c r="G36851" t="s">
        <v>27058</v>
      </c>
      <c r="H36851" s="21">
        <v>494</v>
      </c>
    </row>
    <row r="36852" spans="1:8" customFormat="1" x14ac:dyDescent="0.25">
      <c r="A36852" t="str">
        <f>"3343985"</f>
        <v>3343985</v>
      </c>
      <c r="B36852" t="s">
        <v>24156</v>
      </c>
      <c r="C36852" t="s">
        <v>139</v>
      </c>
      <c r="D36852" s="21" t="s">
        <v>34</v>
      </c>
      <c r="E36852" s="21" t="s">
        <v>35</v>
      </c>
      <c r="F36852">
        <v>10330125</v>
      </c>
      <c r="G36852" t="s">
        <v>3753</v>
      </c>
      <c r="H36852" s="21">
        <v>494</v>
      </c>
    </row>
    <row r="36853" spans="1:8" customFormat="1" x14ac:dyDescent="0.25">
      <c r="A36853" t="str">
        <f>"9537535"</f>
        <v>9537535</v>
      </c>
      <c r="B36853" t="s">
        <v>29327</v>
      </c>
      <c r="C36853" t="s">
        <v>462</v>
      </c>
      <c r="D36853" s="21" t="s">
        <v>34</v>
      </c>
      <c r="E36853" s="21" t="s">
        <v>35</v>
      </c>
      <c r="F36853">
        <v>8950260</v>
      </c>
      <c r="G36853" t="s">
        <v>8564</v>
      </c>
      <c r="H36853" s="21">
        <v>494</v>
      </c>
    </row>
    <row r="36854" spans="1:8" customFormat="1" x14ac:dyDescent="0.25">
      <c r="A36854" t="str">
        <f>"558131"</f>
        <v>558131</v>
      </c>
      <c r="B36854" t="s">
        <v>7024</v>
      </c>
      <c r="C36854" t="s">
        <v>275</v>
      </c>
      <c r="D36854" s="21" t="s">
        <v>34</v>
      </c>
      <c r="E36854" s="21" t="s">
        <v>35</v>
      </c>
      <c r="F36854">
        <v>6550005</v>
      </c>
      <c r="G36854" t="s">
        <v>1581</v>
      </c>
      <c r="H36854" s="21">
        <v>494</v>
      </c>
    </row>
    <row r="36855" spans="1:8" customFormat="1" x14ac:dyDescent="0.25">
      <c r="A36855" t="str">
        <f>"091728"</f>
        <v>091728</v>
      </c>
      <c r="B36855" t="s">
        <v>24451</v>
      </c>
      <c r="C36855" t="s">
        <v>2752</v>
      </c>
      <c r="D36855" s="21" t="s">
        <v>34</v>
      </c>
      <c r="E36855" s="21" t="s">
        <v>71</v>
      </c>
      <c r="F36855">
        <v>11090018</v>
      </c>
      <c r="G36855" t="s">
        <v>24448</v>
      </c>
      <c r="H36855" s="21">
        <v>494</v>
      </c>
    </row>
    <row r="36856" spans="1:8" customFormat="1" x14ac:dyDescent="0.25">
      <c r="A36856" t="str">
        <f>"7413810"</f>
        <v>7413810</v>
      </c>
      <c r="B36856" t="s">
        <v>10241</v>
      </c>
      <c r="C36856" t="s">
        <v>87</v>
      </c>
      <c r="D36856" s="21" t="s">
        <v>34</v>
      </c>
      <c r="E36856" s="21" t="s">
        <v>35</v>
      </c>
      <c r="F36856">
        <v>1740003</v>
      </c>
      <c r="G36856" t="s">
        <v>982</v>
      </c>
      <c r="H36856" s="21">
        <v>494</v>
      </c>
    </row>
    <row r="36857" spans="1:8" customFormat="1" x14ac:dyDescent="0.25">
      <c r="A36857" t="str">
        <f>"2815150"</f>
        <v>2815150</v>
      </c>
      <c r="B36857" t="s">
        <v>29328</v>
      </c>
      <c r="C36857" t="s">
        <v>29329</v>
      </c>
      <c r="D36857" s="21" t="s">
        <v>34</v>
      </c>
      <c r="E36857" s="21" t="s">
        <v>71</v>
      </c>
      <c r="F36857">
        <v>4280045</v>
      </c>
      <c r="G36857" t="s">
        <v>787</v>
      </c>
      <c r="H36857" s="21">
        <v>494</v>
      </c>
    </row>
    <row r="36858" spans="1:8" customFormat="1" x14ac:dyDescent="0.25">
      <c r="A36858" t="str">
        <f>"757703"</f>
        <v>757703</v>
      </c>
      <c r="B36858" t="s">
        <v>23762</v>
      </c>
      <c r="C36858" t="s">
        <v>9698</v>
      </c>
      <c r="D36858" s="21" t="s">
        <v>34</v>
      </c>
      <c r="E36858" s="21" t="s">
        <v>254</v>
      </c>
      <c r="F36858">
        <v>8931463</v>
      </c>
      <c r="G36858" t="s">
        <v>27685</v>
      </c>
      <c r="H36858" s="21">
        <v>494</v>
      </c>
    </row>
    <row r="36859" spans="1:8" customFormat="1" x14ac:dyDescent="0.25">
      <c r="A36859" t="str">
        <f>"3510806"</f>
        <v>3510806</v>
      </c>
      <c r="B36859" t="s">
        <v>22586</v>
      </c>
      <c r="C36859" t="s">
        <v>22587</v>
      </c>
      <c r="D36859" s="21" t="s">
        <v>34</v>
      </c>
      <c r="E36859" s="21" t="s">
        <v>71</v>
      </c>
      <c r="F36859">
        <v>3350169</v>
      </c>
      <c r="G36859" t="s">
        <v>735</v>
      </c>
      <c r="H36859" s="21">
        <v>494</v>
      </c>
    </row>
    <row r="36860" spans="1:8" customFormat="1" x14ac:dyDescent="0.25">
      <c r="A36860" t="str">
        <f>"6022912"</f>
        <v>6022912</v>
      </c>
      <c r="B36860" t="s">
        <v>23405</v>
      </c>
      <c r="C36860" t="s">
        <v>60</v>
      </c>
      <c r="D36860" s="21" t="s">
        <v>34</v>
      </c>
      <c r="E36860" s="21" t="s">
        <v>35</v>
      </c>
      <c r="F36860">
        <v>7600119</v>
      </c>
      <c r="G36860" t="s">
        <v>11415</v>
      </c>
      <c r="H36860" s="21">
        <v>494</v>
      </c>
    </row>
    <row r="36861" spans="1:8" customFormat="1" x14ac:dyDescent="0.25">
      <c r="A36861" t="str">
        <f>"4435199"</f>
        <v>4435199</v>
      </c>
      <c r="B36861" t="s">
        <v>23843</v>
      </c>
      <c r="C36861" t="s">
        <v>55</v>
      </c>
      <c r="D36861" s="21" t="s">
        <v>34</v>
      </c>
      <c r="E36861" s="21" t="s">
        <v>254</v>
      </c>
      <c r="F36861">
        <v>12440011</v>
      </c>
      <c r="G36861" t="s">
        <v>5650</v>
      </c>
      <c r="H36861" s="21">
        <v>494</v>
      </c>
    </row>
    <row r="36862" spans="1:8" customFormat="1" x14ac:dyDescent="0.25">
      <c r="A36862" t="str">
        <f>"5620824"</f>
        <v>5620824</v>
      </c>
      <c r="B36862" t="s">
        <v>6378</v>
      </c>
      <c r="C36862" t="s">
        <v>249</v>
      </c>
      <c r="D36862" s="21" t="s">
        <v>34</v>
      </c>
      <c r="E36862" s="21" t="s">
        <v>71</v>
      </c>
      <c r="F36862">
        <v>3560034</v>
      </c>
      <c r="G36862" t="s">
        <v>2220</v>
      </c>
      <c r="H36862" s="21">
        <v>494</v>
      </c>
    </row>
    <row r="36863" spans="1:8" customFormat="1" x14ac:dyDescent="0.25">
      <c r="A36863" t="str">
        <f>"1317788"</f>
        <v>1317788</v>
      </c>
      <c r="B36863" t="s">
        <v>6624</v>
      </c>
      <c r="C36863" t="s">
        <v>484</v>
      </c>
      <c r="D36863" s="21" t="s">
        <v>34</v>
      </c>
      <c r="E36863" s="21" t="s">
        <v>35</v>
      </c>
      <c r="F36863">
        <v>13130159</v>
      </c>
      <c r="G36863" t="s">
        <v>199</v>
      </c>
      <c r="H36863" s="21">
        <v>494</v>
      </c>
    </row>
    <row r="36864" spans="1:8" customFormat="1" x14ac:dyDescent="0.25">
      <c r="A36864" t="str">
        <f>"9532738"</f>
        <v>9532738</v>
      </c>
      <c r="B36864" t="s">
        <v>24627</v>
      </c>
      <c r="C36864" t="s">
        <v>211</v>
      </c>
      <c r="D36864" s="21" t="s">
        <v>34</v>
      </c>
      <c r="E36864" s="21" t="s">
        <v>35</v>
      </c>
      <c r="F36864">
        <v>8950531</v>
      </c>
      <c r="G36864" t="s">
        <v>7983</v>
      </c>
      <c r="H36864" s="21">
        <v>494</v>
      </c>
    </row>
    <row r="36865" spans="1:8" customFormat="1" x14ac:dyDescent="0.25">
      <c r="A36865" t="str">
        <f>"026860"</f>
        <v>026860</v>
      </c>
      <c r="B36865" t="s">
        <v>64</v>
      </c>
      <c r="C36865" t="s">
        <v>239</v>
      </c>
      <c r="D36865" s="21" t="s">
        <v>34</v>
      </c>
      <c r="E36865" s="21" t="s">
        <v>71</v>
      </c>
      <c r="F36865">
        <v>7020030</v>
      </c>
      <c r="G36865" t="s">
        <v>1796</v>
      </c>
      <c r="H36865" s="21">
        <v>494</v>
      </c>
    </row>
    <row r="36866" spans="1:8" customFormat="1" x14ac:dyDescent="0.25">
      <c r="A36866" t="str">
        <f>"7837082"</f>
        <v>7837082</v>
      </c>
      <c r="B36866" t="s">
        <v>5497</v>
      </c>
      <c r="C36866" t="s">
        <v>469</v>
      </c>
      <c r="D36866" s="21" t="s">
        <v>34</v>
      </c>
      <c r="E36866" s="21" t="s">
        <v>71</v>
      </c>
      <c r="F36866">
        <v>8780080</v>
      </c>
      <c r="G36866" t="s">
        <v>865</v>
      </c>
      <c r="H36866" s="21">
        <v>494</v>
      </c>
    </row>
    <row r="36867" spans="1:8" customFormat="1" x14ac:dyDescent="0.25">
      <c r="A36867" t="str">
        <f>"4111583"</f>
        <v>4111583</v>
      </c>
      <c r="B36867" t="s">
        <v>21851</v>
      </c>
      <c r="C36867" t="s">
        <v>239</v>
      </c>
      <c r="D36867" s="21" t="s">
        <v>34</v>
      </c>
      <c r="E36867" s="21" t="s">
        <v>71</v>
      </c>
      <c r="F36867">
        <v>4410730</v>
      </c>
      <c r="G36867" t="s">
        <v>7260</v>
      </c>
      <c r="H36867" s="21">
        <v>494</v>
      </c>
    </row>
    <row r="36868" spans="1:8" customFormat="1" x14ac:dyDescent="0.25">
      <c r="A36868" t="str">
        <f>"4458555"</f>
        <v>4458555</v>
      </c>
      <c r="B36868" t="s">
        <v>29330</v>
      </c>
      <c r="C36868" t="s">
        <v>576</v>
      </c>
      <c r="D36868" s="21" t="s">
        <v>34</v>
      </c>
      <c r="E36868" s="21" t="s">
        <v>35</v>
      </c>
      <c r="F36868">
        <v>12440238</v>
      </c>
      <c r="G36868" t="s">
        <v>5258</v>
      </c>
      <c r="H36868" s="21">
        <v>494</v>
      </c>
    </row>
    <row r="36869" spans="1:8" customFormat="1" x14ac:dyDescent="0.25">
      <c r="A36869" t="str">
        <f>"5326977"</f>
        <v>5326977</v>
      </c>
      <c r="B36869" t="s">
        <v>29331</v>
      </c>
      <c r="C36869" t="s">
        <v>1803</v>
      </c>
      <c r="D36869" s="21" t="s">
        <v>34</v>
      </c>
      <c r="E36869" s="21" t="s">
        <v>35</v>
      </c>
      <c r="F36869">
        <v>12530025</v>
      </c>
      <c r="G36869" t="s">
        <v>5589</v>
      </c>
      <c r="H36869" s="21">
        <v>494</v>
      </c>
    </row>
    <row r="36870" spans="1:8" customFormat="1" x14ac:dyDescent="0.25">
      <c r="A36870" t="str">
        <f>"9140286"</f>
        <v>9140286</v>
      </c>
      <c r="B36870" t="s">
        <v>23932</v>
      </c>
      <c r="C36870" t="s">
        <v>204</v>
      </c>
      <c r="D36870" s="21" t="s">
        <v>34</v>
      </c>
      <c r="E36870" s="21" t="s">
        <v>71</v>
      </c>
      <c r="F36870">
        <v>8911050</v>
      </c>
      <c r="G36870" t="s">
        <v>1606</v>
      </c>
      <c r="H36870" s="21">
        <v>494</v>
      </c>
    </row>
    <row r="36871" spans="1:8" customFormat="1" x14ac:dyDescent="0.25">
      <c r="A36871" t="str">
        <f>"824301"</f>
        <v>824301</v>
      </c>
      <c r="B36871" t="s">
        <v>8817</v>
      </c>
      <c r="C36871" t="s">
        <v>1146</v>
      </c>
      <c r="D36871" s="21" t="s">
        <v>34</v>
      </c>
      <c r="E36871" s="21" t="s">
        <v>254</v>
      </c>
      <c r="F36871">
        <v>11820018</v>
      </c>
      <c r="G36871" t="s">
        <v>2503</v>
      </c>
      <c r="H36871" s="21">
        <v>494</v>
      </c>
    </row>
    <row r="36872" spans="1:8" customFormat="1" x14ac:dyDescent="0.25">
      <c r="A36872" t="str">
        <f>"2112575"</f>
        <v>2112575</v>
      </c>
      <c r="B36872" t="s">
        <v>2873</v>
      </c>
      <c r="C36872" t="s">
        <v>109</v>
      </c>
      <c r="D36872" s="21" t="s">
        <v>34</v>
      </c>
      <c r="E36872" s="21" t="s">
        <v>71</v>
      </c>
      <c r="F36872">
        <v>2210052</v>
      </c>
      <c r="G36872" t="s">
        <v>1070</v>
      </c>
      <c r="H36872" s="21">
        <v>494</v>
      </c>
    </row>
    <row r="36873" spans="1:8" customFormat="1" x14ac:dyDescent="0.25">
      <c r="A36873" t="str">
        <f>"5734588"</f>
        <v>5734588</v>
      </c>
      <c r="B36873" t="s">
        <v>15568</v>
      </c>
      <c r="C36873" t="s">
        <v>1819</v>
      </c>
      <c r="D36873" s="21" t="s">
        <v>34</v>
      </c>
      <c r="E36873" s="21" t="s">
        <v>35</v>
      </c>
      <c r="F36873">
        <v>6570005</v>
      </c>
      <c r="G36873" t="s">
        <v>351</v>
      </c>
      <c r="H36873" s="21">
        <v>494</v>
      </c>
    </row>
    <row r="36874" spans="1:8" customFormat="1" x14ac:dyDescent="0.25">
      <c r="A36874" t="str">
        <f>"1417889"</f>
        <v>1417889</v>
      </c>
      <c r="B36874" t="s">
        <v>29332</v>
      </c>
      <c r="C36874" t="s">
        <v>29333</v>
      </c>
      <c r="D36874" s="21" t="s">
        <v>34</v>
      </c>
      <c r="E36874" s="21" t="s">
        <v>71</v>
      </c>
      <c r="F36874">
        <v>9140237</v>
      </c>
      <c r="G36874" t="s">
        <v>4722</v>
      </c>
      <c r="H36874" s="21">
        <v>494</v>
      </c>
    </row>
    <row r="36875" spans="1:8" customFormat="1" x14ac:dyDescent="0.25">
      <c r="A36875" t="str">
        <f>"7618085"</f>
        <v>7618085</v>
      </c>
      <c r="B36875" t="s">
        <v>24326</v>
      </c>
      <c r="C36875" t="s">
        <v>233</v>
      </c>
      <c r="D36875" s="21" t="s">
        <v>34</v>
      </c>
      <c r="E36875" s="21" t="s">
        <v>1089</v>
      </c>
      <c r="F36875">
        <v>9760331</v>
      </c>
      <c r="G36875" t="s">
        <v>5134</v>
      </c>
      <c r="H36875" s="21">
        <v>494</v>
      </c>
    </row>
    <row r="36876" spans="1:8" customFormat="1" x14ac:dyDescent="0.25">
      <c r="A36876" t="str">
        <f>"6725564"</f>
        <v>6725564</v>
      </c>
      <c r="B36876" t="s">
        <v>690</v>
      </c>
      <c r="C36876" t="s">
        <v>119</v>
      </c>
      <c r="D36876" s="21" t="s">
        <v>34</v>
      </c>
      <c r="E36876" s="21" t="s">
        <v>35</v>
      </c>
      <c r="F36876">
        <v>6670187</v>
      </c>
      <c r="G36876" t="s">
        <v>240</v>
      </c>
      <c r="H36876" s="21">
        <v>494</v>
      </c>
    </row>
    <row r="36877" spans="1:8" customFormat="1" x14ac:dyDescent="0.25">
      <c r="A36877" t="str">
        <f>"7879713"</f>
        <v>7879713</v>
      </c>
      <c r="B36877" t="s">
        <v>29334</v>
      </c>
      <c r="C36877" t="s">
        <v>926</v>
      </c>
      <c r="D36877" s="21" t="s">
        <v>34</v>
      </c>
      <c r="E36877" s="21" t="s">
        <v>35</v>
      </c>
      <c r="F36877">
        <v>8781432</v>
      </c>
      <c r="G36877" t="s">
        <v>9227</v>
      </c>
      <c r="H36877" s="21">
        <v>494</v>
      </c>
    </row>
    <row r="36878" spans="1:8" customFormat="1" x14ac:dyDescent="0.25">
      <c r="A36878" t="str">
        <f>"1425933"</f>
        <v>1425933</v>
      </c>
      <c r="B36878" t="s">
        <v>2023</v>
      </c>
      <c r="C36878" t="s">
        <v>249</v>
      </c>
      <c r="D36878" s="21" t="s">
        <v>34</v>
      </c>
      <c r="E36878" s="21" t="s">
        <v>71</v>
      </c>
      <c r="F36878">
        <v>9140231</v>
      </c>
      <c r="G36878" t="s">
        <v>5392</v>
      </c>
      <c r="H36878" s="21">
        <v>494</v>
      </c>
    </row>
    <row r="36879" spans="1:8" customFormat="1" x14ac:dyDescent="0.25">
      <c r="A36879" t="str">
        <f>"8012502"</f>
        <v>8012502</v>
      </c>
      <c r="B36879" t="s">
        <v>431</v>
      </c>
      <c r="C36879" t="s">
        <v>239</v>
      </c>
      <c r="D36879" s="21" t="s">
        <v>34</v>
      </c>
      <c r="E36879" s="21" t="s">
        <v>71</v>
      </c>
      <c r="F36879">
        <v>7800054</v>
      </c>
      <c r="G36879" t="s">
        <v>3772</v>
      </c>
      <c r="H36879" s="21">
        <v>494</v>
      </c>
    </row>
    <row r="36880" spans="1:8" customFormat="1" x14ac:dyDescent="0.25">
      <c r="A36880" t="str">
        <f>"3119184"</f>
        <v>3119184</v>
      </c>
      <c r="B36880" t="s">
        <v>14519</v>
      </c>
      <c r="C36880" t="s">
        <v>1025</v>
      </c>
      <c r="D36880" s="21" t="s">
        <v>34</v>
      </c>
      <c r="E36880" s="21" t="s">
        <v>71</v>
      </c>
      <c r="F36880">
        <v>11310019</v>
      </c>
      <c r="G36880" t="s">
        <v>3099</v>
      </c>
      <c r="H36880" s="21">
        <v>494</v>
      </c>
    </row>
    <row r="36881" spans="1:8" customFormat="1" x14ac:dyDescent="0.25">
      <c r="A36881" t="str">
        <f>"4438248"</f>
        <v>4438248</v>
      </c>
      <c r="B36881" t="s">
        <v>21472</v>
      </c>
      <c r="C36881" t="s">
        <v>249</v>
      </c>
      <c r="D36881" s="21" t="s">
        <v>34</v>
      </c>
      <c r="E36881" s="21" t="s">
        <v>71</v>
      </c>
      <c r="F36881">
        <v>12440141</v>
      </c>
      <c r="G36881" t="s">
        <v>3234</v>
      </c>
      <c r="H36881" s="21">
        <v>494</v>
      </c>
    </row>
    <row r="36882" spans="1:8" customFormat="1" x14ac:dyDescent="0.25">
      <c r="A36882" t="str">
        <f>"2721675"</f>
        <v>2721675</v>
      </c>
      <c r="B36882" t="s">
        <v>3664</v>
      </c>
      <c r="C36882" t="s">
        <v>96</v>
      </c>
      <c r="D36882" s="21" t="s">
        <v>34</v>
      </c>
      <c r="E36882" s="21" t="s">
        <v>35</v>
      </c>
      <c r="F36882">
        <v>9270097</v>
      </c>
      <c r="G36882" t="s">
        <v>9759</v>
      </c>
      <c r="H36882" s="21">
        <v>494</v>
      </c>
    </row>
    <row r="36883" spans="1:8" customFormat="1" x14ac:dyDescent="0.25">
      <c r="A36883" t="str">
        <f>"7525217"</f>
        <v>7525217</v>
      </c>
      <c r="B36883" t="s">
        <v>29335</v>
      </c>
      <c r="C36883" t="s">
        <v>415</v>
      </c>
      <c r="D36883" s="21" t="s">
        <v>34</v>
      </c>
      <c r="E36883" s="21" t="s">
        <v>254</v>
      </c>
      <c r="F36883">
        <v>8751260</v>
      </c>
      <c r="G36883" t="s">
        <v>10641</v>
      </c>
      <c r="H36883" s="21">
        <v>494</v>
      </c>
    </row>
    <row r="36884" spans="1:8" customFormat="1" x14ac:dyDescent="0.25">
      <c r="A36884" t="str">
        <f>"4429112"</f>
        <v>4429112</v>
      </c>
      <c r="B36884" t="s">
        <v>13245</v>
      </c>
      <c r="C36884" t="s">
        <v>206</v>
      </c>
      <c r="D36884" s="21" t="s">
        <v>34</v>
      </c>
      <c r="E36884" s="21" t="s">
        <v>35</v>
      </c>
      <c r="F36884">
        <v>12440206</v>
      </c>
      <c r="G36884" t="s">
        <v>10374</v>
      </c>
      <c r="H36884" s="21">
        <v>494</v>
      </c>
    </row>
    <row r="36885" spans="1:8" customFormat="1" x14ac:dyDescent="0.25">
      <c r="A36885" t="str">
        <f>"9431444"</f>
        <v>9431444</v>
      </c>
      <c r="B36885" t="s">
        <v>2930</v>
      </c>
      <c r="C36885" t="s">
        <v>269</v>
      </c>
      <c r="D36885" s="21" t="s">
        <v>34</v>
      </c>
      <c r="E36885" s="21" t="s">
        <v>254</v>
      </c>
      <c r="F36885">
        <v>8941282</v>
      </c>
      <c r="G36885" t="s">
        <v>5040</v>
      </c>
      <c r="H36885" s="21">
        <v>494</v>
      </c>
    </row>
    <row r="36886" spans="1:8" customFormat="1" x14ac:dyDescent="0.25">
      <c r="A36886" t="str">
        <f>"5114184"</f>
        <v>5114184</v>
      </c>
      <c r="B36886" t="s">
        <v>3894</v>
      </c>
      <c r="C36886" t="s">
        <v>469</v>
      </c>
      <c r="D36886" s="21" t="s">
        <v>34</v>
      </c>
      <c r="E36886" s="21" t="s">
        <v>35</v>
      </c>
      <c r="F36886">
        <v>6510110</v>
      </c>
      <c r="G36886" t="s">
        <v>9011</v>
      </c>
      <c r="H36886" s="21">
        <v>494</v>
      </c>
    </row>
    <row r="36887" spans="1:8" customFormat="1" x14ac:dyDescent="0.25">
      <c r="A36887" t="str">
        <f>"9321935"</f>
        <v>9321935</v>
      </c>
      <c r="B36887" t="s">
        <v>1568</v>
      </c>
      <c r="C36887" t="s">
        <v>169</v>
      </c>
      <c r="D36887" s="21" t="s">
        <v>34</v>
      </c>
      <c r="E36887" s="21" t="s">
        <v>35</v>
      </c>
      <c r="F36887">
        <v>8931463</v>
      </c>
      <c r="G36887" t="s">
        <v>27685</v>
      </c>
      <c r="H36887" s="21">
        <v>494</v>
      </c>
    </row>
    <row r="36888" spans="1:8" customFormat="1" x14ac:dyDescent="0.25">
      <c r="A36888" t="str">
        <f>"4453251"</f>
        <v>4453251</v>
      </c>
      <c r="B36888" t="s">
        <v>23514</v>
      </c>
      <c r="C36888" t="s">
        <v>65</v>
      </c>
      <c r="D36888" s="21" t="s">
        <v>34</v>
      </c>
      <c r="E36888" s="21" t="s">
        <v>35</v>
      </c>
      <c r="F36888">
        <v>12440088</v>
      </c>
      <c r="G36888" t="s">
        <v>17289</v>
      </c>
      <c r="H36888" s="21">
        <v>494</v>
      </c>
    </row>
    <row r="36889" spans="1:8" customFormat="1" x14ac:dyDescent="0.25">
      <c r="A36889" t="str">
        <f>"9144351"</f>
        <v>9144351</v>
      </c>
      <c r="B36889" t="s">
        <v>24768</v>
      </c>
      <c r="C36889" t="s">
        <v>198</v>
      </c>
      <c r="D36889" s="21" t="s">
        <v>34</v>
      </c>
      <c r="E36889" s="21" t="s">
        <v>254</v>
      </c>
      <c r="F36889">
        <v>8910214</v>
      </c>
      <c r="G36889" t="s">
        <v>986</v>
      </c>
      <c r="H36889" s="21">
        <v>494</v>
      </c>
    </row>
    <row r="36890" spans="1:8" customFormat="1" x14ac:dyDescent="0.25">
      <c r="A36890" t="str">
        <f>"4114070"</f>
        <v>4114070</v>
      </c>
      <c r="B36890" t="s">
        <v>12993</v>
      </c>
      <c r="C36890" t="s">
        <v>147</v>
      </c>
      <c r="D36890" s="21" t="s">
        <v>34</v>
      </c>
      <c r="E36890" s="21" t="s">
        <v>35</v>
      </c>
      <c r="F36890">
        <v>4410729</v>
      </c>
      <c r="G36890" t="s">
        <v>4427</v>
      </c>
      <c r="H36890" s="21">
        <v>494</v>
      </c>
    </row>
    <row r="36891" spans="1:8" customFormat="1" x14ac:dyDescent="0.25">
      <c r="A36891" t="str">
        <f>"4114082"</f>
        <v>4114082</v>
      </c>
      <c r="B36891" t="s">
        <v>10011</v>
      </c>
      <c r="C36891" t="s">
        <v>1132</v>
      </c>
      <c r="D36891" s="21" t="s">
        <v>34</v>
      </c>
      <c r="E36891" s="21" t="s">
        <v>35</v>
      </c>
      <c r="F36891">
        <v>4410728</v>
      </c>
      <c r="G36891" t="s">
        <v>2241</v>
      </c>
      <c r="H36891" s="21">
        <v>494</v>
      </c>
    </row>
    <row r="36892" spans="1:8" customFormat="1" x14ac:dyDescent="0.25">
      <c r="A36892" t="str">
        <f>"7635825"</f>
        <v>7635825</v>
      </c>
      <c r="B36892" t="s">
        <v>1886</v>
      </c>
      <c r="C36892" t="s">
        <v>87</v>
      </c>
      <c r="D36892" s="21" t="s">
        <v>34</v>
      </c>
      <c r="E36892" s="21" t="s">
        <v>71</v>
      </c>
      <c r="F36892">
        <v>9760461</v>
      </c>
      <c r="G36892" t="s">
        <v>6804</v>
      </c>
      <c r="H36892" s="21">
        <v>494</v>
      </c>
    </row>
    <row r="36893" spans="1:8" customFormat="1" x14ac:dyDescent="0.25">
      <c r="A36893" t="str">
        <f>"6230864"</f>
        <v>6230864</v>
      </c>
      <c r="B36893" t="s">
        <v>6294</v>
      </c>
      <c r="C36893" t="s">
        <v>253</v>
      </c>
      <c r="D36893" s="21" t="s">
        <v>34</v>
      </c>
      <c r="E36893" s="21" t="s">
        <v>1089</v>
      </c>
      <c r="F36893">
        <v>7620080</v>
      </c>
      <c r="G36893" t="s">
        <v>6056</v>
      </c>
      <c r="H36893" s="21">
        <v>494</v>
      </c>
    </row>
    <row r="36894" spans="1:8" customFormat="1" x14ac:dyDescent="0.25">
      <c r="A36894" t="str">
        <f>"9253351"</f>
        <v>9253351</v>
      </c>
      <c r="B36894" t="s">
        <v>1106</v>
      </c>
      <c r="C36894" t="s">
        <v>239</v>
      </c>
      <c r="D36894" s="21" t="s">
        <v>34</v>
      </c>
      <c r="E36894" s="21" t="s">
        <v>71</v>
      </c>
      <c r="F36894">
        <v>8921164</v>
      </c>
      <c r="G36894" t="s">
        <v>5203</v>
      </c>
      <c r="H36894" s="21">
        <v>494</v>
      </c>
    </row>
    <row r="36895" spans="1:8" customFormat="1" x14ac:dyDescent="0.25">
      <c r="A36895" t="str">
        <f>"48729"</f>
        <v>48729</v>
      </c>
      <c r="B36895" t="s">
        <v>24556</v>
      </c>
      <c r="C36895" t="s">
        <v>2529</v>
      </c>
      <c r="D36895" s="21" t="s">
        <v>34</v>
      </c>
      <c r="E36895" s="21" t="s">
        <v>71</v>
      </c>
      <c r="F36895">
        <v>11480002</v>
      </c>
      <c r="G36895" t="s">
        <v>14650</v>
      </c>
      <c r="H36895" s="21">
        <v>494</v>
      </c>
    </row>
    <row r="36896" spans="1:8" customFormat="1" x14ac:dyDescent="0.25">
      <c r="A36896" t="str">
        <f>"585980"</f>
        <v>585980</v>
      </c>
      <c r="B36896" t="s">
        <v>22127</v>
      </c>
      <c r="C36896" t="s">
        <v>253</v>
      </c>
      <c r="D36896" s="21" t="s">
        <v>34</v>
      </c>
      <c r="E36896" s="21" t="s">
        <v>1089</v>
      </c>
      <c r="F36896">
        <v>2580091</v>
      </c>
      <c r="G36896" t="s">
        <v>13057</v>
      </c>
      <c r="H36896" s="21">
        <v>494</v>
      </c>
    </row>
    <row r="36897" spans="1:8" customFormat="1" x14ac:dyDescent="0.25">
      <c r="A36897" t="str">
        <f>"5112299"</f>
        <v>5112299</v>
      </c>
      <c r="B36897" t="s">
        <v>23060</v>
      </c>
      <c r="C36897" t="s">
        <v>109</v>
      </c>
      <c r="D36897" s="21" t="s">
        <v>34</v>
      </c>
      <c r="E36897" s="21" t="s">
        <v>71</v>
      </c>
      <c r="F36897">
        <v>6510009</v>
      </c>
      <c r="G36897" t="s">
        <v>26950</v>
      </c>
      <c r="H36897" s="21">
        <v>494</v>
      </c>
    </row>
    <row r="36898" spans="1:8" customFormat="1" x14ac:dyDescent="0.25">
      <c r="A36898" t="str">
        <f>"5973113"</f>
        <v>5973113</v>
      </c>
      <c r="B36898" t="s">
        <v>6782</v>
      </c>
      <c r="C36898" t="s">
        <v>246</v>
      </c>
      <c r="D36898" s="21" t="s">
        <v>34</v>
      </c>
      <c r="E36898" s="21" t="s">
        <v>35</v>
      </c>
      <c r="F36898">
        <v>7590415</v>
      </c>
      <c r="G36898" t="s">
        <v>15668</v>
      </c>
      <c r="H36898" s="21">
        <v>494</v>
      </c>
    </row>
    <row r="36899" spans="1:8" customFormat="1" x14ac:dyDescent="0.25">
      <c r="A36899" t="str">
        <f>"748588"</f>
        <v>748588</v>
      </c>
      <c r="B36899" t="s">
        <v>15560</v>
      </c>
      <c r="C36899" t="s">
        <v>415</v>
      </c>
      <c r="D36899" s="21" t="s">
        <v>34</v>
      </c>
      <c r="E36899" s="21" t="s">
        <v>254</v>
      </c>
      <c r="F36899">
        <v>1740001</v>
      </c>
      <c r="G36899" t="s">
        <v>347</v>
      </c>
      <c r="H36899" s="21">
        <v>494</v>
      </c>
    </row>
    <row r="36900" spans="1:8" customFormat="1" x14ac:dyDescent="0.25">
      <c r="A36900" t="str">
        <f>"9252914"</f>
        <v>9252914</v>
      </c>
      <c r="B36900" t="s">
        <v>29336</v>
      </c>
      <c r="C36900" t="s">
        <v>513</v>
      </c>
      <c r="D36900" s="21" t="s">
        <v>34</v>
      </c>
      <c r="E36900" s="21" t="s">
        <v>35</v>
      </c>
      <c r="F36900">
        <v>8920140</v>
      </c>
      <c r="G36900" t="s">
        <v>3762</v>
      </c>
      <c r="H36900" s="21">
        <v>494</v>
      </c>
    </row>
    <row r="36901" spans="1:8" customFormat="1" x14ac:dyDescent="0.25">
      <c r="A36901" t="str">
        <f>"5713571"</f>
        <v>5713571</v>
      </c>
      <c r="B36901" t="s">
        <v>22241</v>
      </c>
      <c r="C36901" t="s">
        <v>598</v>
      </c>
      <c r="D36901" s="21" t="s">
        <v>34</v>
      </c>
      <c r="E36901" s="21" t="s">
        <v>254</v>
      </c>
      <c r="F36901">
        <v>6570181</v>
      </c>
      <c r="G36901" t="s">
        <v>22242</v>
      </c>
      <c r="H36901" s="21">
        <v>494</v>
      </c>
    </row>
    <row r="36902" spans="1:8" customFormat="1" x14ac:dyDescent="0.25">
      <c r="A36902" t="str">
        <f>"6024399"</f>
        <v>6024399</v>
      </c>
      <c r="B36902" t="s">
        <v>29337</v>
      </c>
      <c r="C36902" t="s">
        <v>124</v>
      </c>
      <c r="D36902" s="21" t="s">
        <v>34</v>
      </c>
      <c r="E36902" s="21" t="s">
        <v>71</v>
      </c>
      <c r="F36902">
        <v>7600157</v>
      </c>
      <c r="G36902" t="s">
        <v>12263</v>
      </c>
      <c r="H36902" s="21">
        <v>494</v>
      </c>
    </row>
    <row r="36903" spans="1:8" customFormat="1" x14ac:dyDescent="0.25">
      <c r="A36903" t="str">
        <f>"2938787"</f>
        <v>2938787</v>
      </c>
      <c r="B36903" t="s">
        <v>22668</v>
      </c>
      <c r="C36903" t="s">
        <v>43</v>
      </c>
      <c r="D36903" s="21" t="s">
        <v>34</v>
      </c>
      <c r="E36903" s="21" t="s">
        <v>35</v>
      </c>
      <c r="F36903">
        <v>3290273</v>
      </c>
      <c r="G36903" t="s">
        <v>2972</v>
      </c>
      <c r="H36903" s="21">
        <v>494</v>
      </c>
    </row>
    <row r="36904" spans="1:8" customFormat="1" x14ac:dyDescent="0.25">
      <c r="A36904" t="str">
        <f>"9316157"</f>
        <v>9316157</v>
      </c>
      <c r="B36904" t="s">
        <v>22113</v>
      </c>
      <c r="C36904" t="s">
        <v>33</v>
      </c>
      <c r="D36904" s="21" t="s">
        <v>34</v>
      </c>
      <c r="E36904" s="21" t="s">
        <v>35</v>
      </c>
      <c r="F36904">
        <v>8920389</v>
      </c>
      <c r="G36904" t="s">
        <v>1739</v>
      </c>
      <c r="H36904" s="21">
        <v>493.92</v>
      </c>
    </row>
    <row r="36905" spans="1:8" customFormat="1" x14ac:dyDescent="0.25">
      <c r="A36905" t="str">
        <f>"4528747"</f>
        <v>4528747</v>
      </c>
      <c r="B36905" t="s">
        <v>2630</v>
      </c>
      <c r="C36905" t="s">
        <v>211</v>
      </c>
      <c r="D36905" s="21" t="s">
        <v>34</v>
      </c>
      <c r="E36905" s="21" t="s">
        <v>254</v>
      </c>
      <c r="F36905">
        <v>4450663</v>
      </c>
      <c r="G36905" t="s">
        <v>2527</v>
      </c>
      <c r="H36905" s="21">
        <v>493.92</v>
      </c>
    </row>
    <row r="36906" spans="1:8" customFormat="1" x14ac:dyDescent="0.25">
      <c r="A36906" t="str">
        <f>"9423846"</f>
        <v>9423846</v>
      </c>
      <c r="B36906" t="s">
        <v>22196</v>
      </c>
      <c r="C36906" t="s">
        <v>926</v>
      </c>
      <c r="D36906" s="21" t="s">
        <v>34</v>
      </c>
      <c r="E36906" s="21" t="s">
        <v>254</v>
      </c>
      <c r="F36906">
        <v>8940326</v>
      </c>
      <c r="G36906" t="s">
        <v>659</v>
      </c>
      <c r="H36906" s="21">
        <v>493.92</v>
      </c>
    </row>
    <row r="36907" spans="1:8" customFormat="1" x14ac:dyDescent="0.25">
      <c r="A36907" t="str">
        <f>"5113219"</f>
        <v>5113219</v>
      </c>
      <c r="B36907" t="s">
        <v>1661</v>
      </c>
      <c r="C36907" t="s">
        <v>288</v>
      </c>
      <c r="D36907" s="21" t="s">
        <v>34</v>
      </c>
      <c r="E36907" s="21" t="s">
        <v>71</v>
      </c>
      <c r="F36907">
        <v>6510018</v>
      </c>
      <c r="G36907" t="s">
        <v>3055</v>
      </c>
      <c r="H36907" s="21">
        <v>493.75</v>
      </c>
    </row>
    <row r="36908" spans="1:8" customFormat="1" x14ac:dyDescent="0.25">
      <c r="A36908" t="str">
        <f>"7924070"</f>
        <v>7924070</v>
      </c>
      <c r="B36908" t="s">
        <v>8699</v>
      </c>
      <c r="C36908" t="s">
        <v>233</v>
      </c>
      <c r="D36908" s="21" t="s">
        <v>34</v>
      </c>
      <c r="E36908" s="21" t="s">
        <v>35</v>
      </c>
      <c r="F36908">
        <v>10790229</v>
      </c>
      <c r="G36908" t="s">
        <v>27165</v>
      </c>
      <c r="H36908" s="21">
        <v>493.67</v>
      </c>
    </row>
    <row r="36909" spans="1:8" customFormat="1" x14ac:dyDescent="0.25">
      <c r="A36909" t="str">
        <f>"6230527"</f>
        <v>6230527</v>
      </c>
      <c r="B36909" t="s">
        <v>7317</v>
      </c>
      <c r="C36909" t="s">
        <v>33</v>
      </c>
      <c r="D36909" s="21" t="s">
        <v>34</v>
      </c>
      <c r="E36909" s="21" t="s">
        <v>35</v>
      </c>
      <c r="F36909">
        <v>7620108</v>
      </c>
      <c r="G36909" t="s">
        <v>3035</v>
      </c>
      <c r="H36909" s="21">
        <v>493.67</v>
      </c>
    </row>
    <row r="36910" spans="1:8" customFormat="1" x14ac:dyDescent="0.25">
      <c r="A36910" t="str">
        <f>"7730580"</f>
        <v>7730580</v>
      </c>
      <c r="B36910" t="s">
        <v>18511</v>
      </c>
      <c r="C36910" t="s">
        <v>320</v>
      </c>
      <c r="D36910" s="21" t="s">
        <v>34</v>
      </c>
      <c r="E36910" s="21" t="s">
        <v>35</v>
      </c>
      <c r="F36910">
        <v>8771201</v>
      </c>
      <c r="G36910" t="s">
        <v>9153</v>
      </c>
      <c r="H36910" s="21">
        <v>493.67</v>
      </c>
    </row>
    <row r="36911" spans="1:8" customFormat="1" x14ac:dyDescent="0.25">
      <c r="A36911" t="str">
        <f>"5974989"</f>
        <v>5974989</v>
      </c>
      <c r="B36911" t="s">
        <v>2540</v>
      </c>
      <c r="C36911" t="s">
        <v>288</v>
      </c>
      <c r="D36911" s="21" t="s">
        <v>34</v>
      </c>
      <c r="E36911" s="21" t="s">
        <v>35</v>
      </c>
      <c r="F36911">
        <v>7590053</v>
      </c>
      <c r="G36911" t="s">
        <v>2825</v>
      </c>
      <c r="H36911" s="21">
        <v>493.67</v>
      </c>
    </row>
    <row r="36912" spans="1:8" customFormat="1" x14ac:dyDescent="0.25">
      <c r="A36912" t="str">
        <f>"6232698"</f>
        <v>6232698</v>
      </c>
      <c r="B36912" t="s">
        <v>10143</v>
      </c>
      <c r="C36912" t="s">
        <v>98</v>
      </c>
      <c r="D36912" s="21" t="s">
        <v>34</v>
      </c>
      <c r="E36912" s="21" t="s">
        <v>35</v>
      </c>
      <c r="F36912">
        <v>7620140</v>
      </c>
      <c r="G36912" t="s">
        <v>7454</v>
      </c>
      <c r="H36912" s="21">
        <v>493.67</v>
      </c>
    </row>
    <row r="36913" spans="1:8" customFormat="1" x14ac:dyDescent="0.25">
      <c r="A36913" t="str">
        <f>"4710269"</f>
        <v>4710269</v>
      </c>
      <c r="B36913" t="s">
        <v>19198</v>
      </c>
      <c r="C36913" t="s">
        <v>55</v>
      </c>
      <c r="D36913" s="21" t="s">
        <v>34</v>
      </c>
      <c r="E36913" s="21" t="s">
        <v>71</v>
      </c>
      <c r="F36913">
        <v>10470004</v>
      </c>
      <c r="G36913" t="s">
        <v>15474</v>
      </c>
      <c r="H36913" s="21">
        <v>493.67</v>
      </c>
    </row>
    <row r="36914" spans="1:8" customFormat="1" x14ac:dyDescent="0.25">
      <c r="A36914" t="str">
        <f>"4529843"</f>
        <v>4529843</v>
      </c>
      <c r="B36914" t="s">
        <v>20443</v>
      </c>
      <c r="C36914" t="s">
        <v>109</v>
      </c>
      <c r="D36914" s="21" t="s">
        <v>34</v>
      </c>
      <c r="E36914" s="21" t="s">
        <v>71</v>
      </c>
      <c r="F36914">
        <v>4450417</v>
      </c>
      <c r="G36914" t="s">
        <v>2284</v>
      </c>
      <c r="H36914" s="21">
        <v>493.67</v>
      </c>
    </row>
    <row r="36915" spans="1:8" customFormat="1" x14ac:dyDescent="0.25">
      <c r="A36915" t="str">
        <f>"443143"</f>
        <v>443143</v>
      </c>
      <c r="B36915" t="s">
        <v>21675</v>
      </c>
      <c r="C36915" t="s">
        <v>1841</v>
      </c>
      <c r="D36915" s="21" t="s">
        <v>34</v>
      </c>
      <c r="E36915" s="21" t="s">
        <v>1089</v>
      </c>
      <c r="F36915">
        <v>12440105</v>
      </c>
      <c r="G36915" t="s">
        <v>594</v>
      </c>
      <c r="H36915" s="21">
        <v>493.67</v>
      </c>
    </row>
    <row r="36916" spans="1:8" customFormat="1" x14ac:dyDescent="0.25">
      <c r="A36916" t="str">
        <f>"714218"</f>
        <v>714218</v>
      </c>
      <c r="B36916" t="s">
        <v>21482</v>
      </c>
      <c r="C36916" t="s">
        <v>253</v>
      </c>
      <c r="D36916" s="21" t="s">
        <v>34</v>
      </c>
      <c r="E36916" s="21" t="s">
        <v>254</v>
      </c>
      <c r="F36916">
        <v>2710071</v>
      </c>
      <c r="G36916" t="s">
        <v>18603</v>
      </c>
      <c r="H36916" s="21">
        <v>493.67</v>
      </c>
    </row>
    <row r="36917" spans="1:8" customFormat="1" x14ac:dyDescent="0.25">
      <c r="A36917" t="str">
        <f>"198745"</f>
        <v>198745</v>
      </c>
      <c r="B36917" t="s">
        <v>22353</v>
      </c>
      <c r="C36917" t="s">
        <v>82</v>
      </c>
      <c r="D36917" s="21" t="s">
        <v>34</v>
      </c>
      <c r="E36917" s="21" t="s">
        <v>35</v>
      </c>
      <c r="F36917">
        <v>10190108</v>
      </c>
      <c r="G36917" t="s">
        <v>7344</v>
      </c>
      <c r="H36917" s="21">
        <v>493.67</v>
      </c>
    </row>
    <row r="36918" spans="1:8" customFormat="1" x14ac:dyDescent="0.25">
      <c r="A36918" t="str">
        <f>"6233739"</f>
        <v>6233739</v>
      </c>
      <c r="B36918" t="s">
        <v>18840</v>
      </c>
      <c r="C36918" t="s">
        <v>415</v>
      </c>
      <c r="D36918" s="21" t="s">
        <v>34</v>
      </c>
      <c r="E36918" s="21" t="s">
        <v>71</v>
      </c>
      <c r="F36918">
        <v>7620168</v>
      </c>
      <c r="G36918" t="s">
        <v>15521</v>
      </c>
      <c r="H36918" s="21">
        <v>493.67</v>
      </c>
    </row>
    <row r="36919" spans="1:8" customFormat="1" x14ac:dyDescent="0.25">
      <c r="A36919" t="str">
        <f>"9532000"</f>
        <v>9532000</v>
      </c>
      <c r="B36919" t="s">
        <v>20845</v>
      </c>
      <c r="C36919" t="s">
        <v>43</v>
      </c>
      <c r="D36919" s="21" t="s">
        <v>34</v>
      </c>
      <c r="E36919" s="21" t="s">
        <v>35</v>
      </c>
      <c r="F36919">
        <v>8950553</v>
      </c>
      <c r="G36919" t="s">
        <v>1058</v>
      </c>
      <c r="H36919" s="21">
        <v>493.67</v>
      </c>
    </row>
    <row r="36920" spans="1:8" customFormat="1" x14ac:dyDescent="0.25">
      <c r="A36920" t="str">
        <f>"7833993"</f>
        <v>7833993</v>
      </c>
      <c r="B36920" t="s">
        <v>10761</v>
      </c>
      <c r="C36920" t="s">
        <v>2520</v>
      </c>
      <c r="D36920" s="21" t="s">
        <v>34</v>
      </c>
      <c r="E36920" s="21" t="s">
        <v>254</v>
      </c>
      <c r="F36920">
        <v>8920211</v>
      </c>
      <c r="G36920" t="s">
        <v>13258</v>
      </c>
      <c r="H36920" s="21">
        <v>493.62</v>
      </c>
    </row>
    <row r="36921" spans="1:8" customFormat="1" x14ac:dyDescent="0.25">
      <c r="A36921" t="str">
        <f>"3337760"</f>
        <v>3337760</v>
      </c>
      <c r="B36921" t="s">
        <v>23004</v>
      </c>
      <c r="C36921" t="s">
        <v>23005</v>
      </c>
      <c r="D36921" s="21" t="s">
        <v>34</v>
      </c>
      <c r="E36921" s="21" t="s">
        <v>71</v>
      </c>
      <c r="F36921">
        <v>10330034</v>
      </c>
      <c r="G36921" t="s">
        <v>6011</v>
      </c>
      <c r="H36921" s="21">
        <v>493.62</v>
      </c>
    </row>
    <row r="36922" spans="1:8" customFormat="1" x14ac:dyDescent="0.25">
      <c r="A36922" t="str">
        <f>"7850029"</f>
        <v>7850029</v>
      </c>
      <c r="B36922" t="s">
        <v>29338</v>
      </c>
      <c r="C36922" t="s">
        <v>1025</v>
      </c>
      <c r="D36922" s="21" t="s">
        <v>34</v>
      </c>
      <c r="E36922" s="21" t="s">
        <v>71</v>
      </c>
      <c r="F36922">
        <v>1690215</v>
      </c>
      <c r="G36922" t="s">
        <v>1080</v>
      </c>
      <c r="H36922" s="21">
        <v>493.5</v>
      </c>
    </row>
    <row r="36923" spans="1:8" customFormat="1" x14ac:dyDescent="0.25">
      <c r="A36923" t="str">
        <f>"7730953"</f>
        <v>7730953</v>
      </c>
      <c r="B36923" t="s">
        <v>20564</v>
      </c>
      <c r="C36923" t="s">
        <v>169</v>
      </c>
      <c r="D36923" s="21" t="s">
        <v>34</v>
      </c>
      <c r="E36923" s="21" t="s">
        <v>71</v>
      </c>
      <c r="F36923">
        <v>8771201</v>
      </c>
      <c r="G36923" t="s">
        <v>9153</v>
      </c>
      <c r="H36923" s="21">
        <v>493.5</v>
      </c>
    </row>
    <row r="36924" spans="1:8" customFormat="1" x14ac:dyDescent="0.25">
      <c r="A36924" t="str">
        <f>"0812520"</f>
        <v>0812520</v>
      </c>
      <c r="B36924" t="s">
        <v>1276</v>
      </c>
      <c r="C36924" t="s">
        <v>305</v>
      </c>
      <c r="D36924" s="21" t="s">
        <v>34</v>
      </c>
      <c r="E36924" s="21" t="s">
        <v>35</v>
      </c>
      <c r="F36924">
        <v>6080057</v>
      </c>
      <c r="G36924" t="s">
        <v>10034</v>
      </c>
      <c r="H36924" s="21">
        <v>493.5</v>
      </c>
    </row>
    <row r="36925" spans="1:8" customFormat="1" x14ac:dyDescent="0.25">
      <c r="A36925" t="str">
        <f>"6233975"</f>
        <v>6233975</v>
      </c>
      <c r="B36925" t="s">
        <v>29339</v>
      </c>
      <c r="C36925" t="s">
        <v>4092</v>
      </c>
      <c r="D36925" s="21" t="s">
        <v>34</v>
      </c>
      <c r="E36925" s="21" t="s">
        <v>35</v>
      </c>
      <c r="F36925">
        <v>7620181</v>
      </c>
      <c r="G36925" t="s">
        <v>2268</v>
      </c>
      <c r="H36925" s="21">
        <v>493.5</v>
      </c>
    </row>
    <row r="36926" spans="1:8" customFormat="1" x14ac:dyDescent="0.25">
      <c r="A36926" t="str">
        <f>"0811837"</f>
        <v>0811837</v>
      </c>
      <c r="B36926" t="s">
        <v>22700</v>
      </c>
      <c r="C36926" t="s">
        <v>22701</v>
      </c>
      <c r="D36926" s="21" t="s">
        <v>34</v>
      </c>
      <c r="E36926" s="21" t="s">
        <v>71</v>
      </c>
      <c r="F36926">
        <v>6080045</v>
      </c>
      <c r="G36926" t="s">
        <v>5632</v>
      </c>
      <c r="H36926" s="21">
        <v>493.5</v>
      </c>
    </row>
    <row r="36927" spans="1:8" customFormat="1" x14ac:dyDescent="0.25">
      <c r="A36927" t="str">
        <f>"2937720"</f>
        <v>2937720</v>
      </c>
      <c r="B36927" t="s">
        <v>4902</v>
      </c>
      <c r="C36927" t="s">
        <v>43</v>
      </c>
      <c r="D36927" s="21" t="s">
        <v>34</v>
      </c>
      <c r="E36927" s="21" t="s">
        <v>35</v>
      </c>
      <c r="F36927">
        <v>3290281</v>
      </c>
      <c r="G36927" t="s">
        <v>11077</v>
      </c>
      <c r="H36927" s="21">
        <v>493.5</v>
      </c>
    </row>
    <row r="36928" spans="1:8" customFormat="1" x14ac:dyDescent="0.25">
      <c r="A36928" t="str">
        <f>"9538239"</f>
        <v>9538239</v>
      </c>
      <c r="B36928" t="s">
        <v>29340</v>
      </c>
      <c r="C36928" t="s">
        <v>712</v>
      </c>
      <c r="D36928" s="21" t="s">
        <v>34</v>
      </c>
      <c r="E36928" s="21" t="s">
        <v>35</v>
      </c>
      <c r="F36928">
        <v>8950978</v>
      </c>
      <c r="G36928" t="s">
        <v>1164</v>
      </c>
      <c r="H36928" s="21">
        <v>493.5</v>
      </c>
    </row>
    <row r="36929" spans="1:8" customFormat="1" x14ac:dyDescent="0.25">
      <c r="A36929" t="str">
        <f>"1614445"</f>
        <v>1614445</v>
      </c>
      <c r="B36929" t="s">
        <v>8097</v>
      </c>
      <c r="C36929" t="s">
        <v>2984</v>
      </c>
      <c r="D36929" s="21" t="s">
        <v>34</v>
      </c>
      <c r="E36929" s="21" t="s">
        <v>35</v>
      </c>
      <c r="F36929">
        <v>10160218</v>
      </c>
      <c r="G36929" t="s">
        <v>16176</v>
      </c>
      <c r="H36929" s="21">
        <v>493.5</v>
      </c>
    </row>
    <row r="36930" spans="1:8" customFormat="1" x14ac:dyDescent="0.25">
      <c r="A36930" t="str">
        <f>"6945997"</f>
        <v>6945997</v>
      </c>
      <c r="B36930" t="s">
        <v>2052</v>
      </c>
      <c r="C36930" t="s">
        <v>239</v>
      </c>
      <c r="D36930" s="21" t="s">
        <v>34</v>
      </c>
      <c r="E36930" s="21" t="s">
        <v>254</v>
      </c>
      <c r="F36930">
        <v>1690224</v>
      </c>
      <c r="G36930" t="s">
        <v>27093</v>
      </c>
      <c r="H36930" s="21">
        <v>493.5</v>
      </c>
    </row>
    <row r="36931" spans="1:8" customFormat="1" x14ac:dyDescent="0.25">
      <c r="A36931" t="str">
        <f>"7622223"</f>
        <v>7622223</v>
      </c>
      <c r="B36931" t="s">
        <v>24743</v>
      </c>
      <c r="C36931" t="s">
        <v>267</v>
      </c>
      <c r="D36931" s="21" t="s">
        <v>34</v>
      </c>
      <c r="E36931" s="21" t="s">
        <v>254</v>
      </c>
      <c r="F36931">
        <v>9760380</v>
      </c>
      <c r="G36931" t="s">
        <v>12973</v>
      </c>
      <c r="H36931" s="21">
        <v>493.5</v>
      </c>
    </row>
    <row r="36932" spans="1:8" customFormat="1" x14ac:dyDescent="0.25">
      <c r="A36932" t="str">
        <f>"6950685"</f>
        <v>6950685</v>
      </c>
      <c r="B36932" t="s">
        <v>29341</v>
      </c>
      <c r="C36932" t="s">
        <v>988</v>
      </c>
      <c r="D36932" s="21" t="s">
        <v>34</v>
      </c>
      <c r="E36932" s="21" t="s">
        <v>35</v>
      </c>
      <c r="F36932">
        <v>1690102</v>
      </c>
      <c r="G36932" t="s">
        <v>2081</v>
      </c>
      <c r="H36932" s="21">
        <v>493.5</v>
      </c>
    </row>
    <row r="36933" spans="1:8" customFormat="1" x14ac:dyDescent="0.25">
      <c r="A36933" t="str">
        <f>"7874220"</f>
        <v>7874220</v>
      </c>
      <c r="B36933" t="s">
        <v>24707</v>
      </c>
      <c r="C36933" t="s">
        <v>24708</v>
      </c>
      <c r="D36933" s="21" t="s">
        <v>34</v>
      </c>
      <c r="E36933" s="21" t="s">
        <v>35</v>
      </c>
      <c r="F36933">
        <v>8781473</v>
      </c>
      <c r="G36933" t="s">
        <v>1097</v>
      </c>
      <c r="H36933" s="21">
        <v>493.5</v>
      </c>
    </row>
    <row r="36934" spans="1:8" customFormat="1" x14ac:dyDescent="0.25">
      <c r="A36934" t="str">
        <f>"511103"</f>
        <v>511103</v>
      </c>
      <c r="B36934" t="s">
        <v>2403</v>
      </c>
      <c r="C36934" t="s">
        <v>288</v>
      </c>
      <c r="D36934" s="21" t="s">
        <v>34</v>
      </c>
      <c r="E36934" s="21" t="s">
        <v>71</v>
      </c>
      <c r="F36934">
        <v>6510002</v>
      </c>
      <c r="G36934" t="s">
        <v>4588</v>
      </c>
      <c r="H36934" s="21">
        <v>493.5</v>
      </c>
    </row>
    <row r="36935" spans="1:8" customFormat="1" x14ac:dyDescent="0.25">
      <c r="A36935" t="str">
        <f>"4426372"</f>
        <v>4426372</v>
      </c>
      <c r="B36935" t="s">
        <v>5388</v>
      </c>
      <c r="C36935" t="s">
        <v>7109</v>
      </c>
      <c r="D36935" s="21" t="s">
        <v>34</v>
      </c>
      <c r="E36935" s="21" t="s">
        <v>1089</v>
      </c>
      <c r="F36935">
        <v>12440039</v>
      </c>
      <c r="G36935" t="s">
        <v>9650</v>
      </c>
      <c r="H36935" s="21">
        <v>493.5</v>
      </c>
    </row>
    <row r="36936" spans="1:8" customFormat="1" x14ac:dyDescent="0.25">
      <c r="A36936" t="str">
        <f>"7719115"</f>
        <v>7719115</v>
      </c>
      <c r="B36936" t="s">
        <v>29342</v>
      </c>
      <c r="C36936" t="s">
        <v>40</v>
      </c>
      <c r="D36936" s="21" t="s">
        <v>34</v>
      </c>
      <c r="E36936" s="21" t="s">
        <v>71</v>
      </c>
      <c r="F36936">
        <v>8771087</v>
      </c>
      <c r="G36936" t="s">
        <v>9715</v>
      </c>
      <c r="H36936" s="21">
        <v>493.5</v>
      </c>
    </row>
    <row r="36937" spans="1:8" customFormat="1" x14ac:dyDescent="0.25">
      <c r="A36937" t="str">
        <f>"7878866"</f>
        <v>7878866</v>
      </c>
      <c r="B36937" t="s">
        <v>2460</v>
      </c>
      <c r="C36937" t="s">
        <v>3010</v>
      </c>
      <c r="D36937" s="21" t="s">
        <v>34</v>
      </c>
      <c r="E36937" s="21" t="s">
        <v>71</v>
      </c>
      <c r="F36937">
        <v>8780440</v>
      </c>
      <c r="G36937" t="s">
        <v>6629</v>
      </c>
      <c r="H36937" s="21">
        <v>493.5</v>
      </c>
    </row>
    <row r="36938" spans="1:8" customFormat="1" x14ac:dyDescent="0.25">
      <c r="A36938" t="str">
        <f>"725359"</f>
        <v>725359</v>
      </c>
      <c r="B36938" t="s">
        <v>29343</v>
      </c>
      <c r="C36938" t="s">
        <v>33</v>
      </c>
      <c r="D36938" s="21" t="s">
        <v>34</v>
      </c>
      <c r="E36938" s="21" t="s">
        <v>71</v>
      </c>
      <c r="F36938">
        <v>12720066</v>
      </c>
      <c r="G36938" t="s">
        <v>3571</v>
      </c>
      <c r="H36938" s="21">
        <v>493.5</v>
      </c>
    </row>
    <row r="36939" spans="1:8" customFormat="1" x14ac:dyDescent="0.25">
      <c r="A36939" t="str">
        <f>"7721787"</f>
        <v>7721787</v>
      </c>
      <c r="B36939" t="s">
        <v>21366</v>
      </c>
      <c r="C36939" t="s">
        <v>198</v>
      </c>
      <c r="D36939" s="21" t="s">
        <v>34</v>
      </c>
      <c r="E36939" s="21" t="s">
        <v>254</v>
      </c>
      <c r="F36939">
        <v>8771202</v>
      </c>
      <c r="G36939" t="s">
        <v>10223</v>
      </c>
      <c r="H36939" s="21">
        <v>493.5</v>
      </c>
    </row>
    <row r="36940" spans="1:8" customFormat="1" x14ac:dyDescent="0.25">
      <c r="A36940" t="str">
        <f>"0616529"</f>
        <v>0616529</v>
      </c>
      <c r="B36940" t="s">
        <v>23871</v>
      </c>
      <c r="C36940" t="s">
        <v>360</v>
      </c>
      <c r="D36940" s="21" t="s">
        <v>34</v>
      </c>
      <c r="E36940" s="21" t="s">
        <v>254</v>
      </c>
      <c r="F36940">
        <v>13060090</v>
      </c>
      <c r="G36940" t="s">
        <v>1363</v>
      </c>
      <c r="H36940" s="21">
        <v>493.5</v>
      </c>
    </row>
    <row r="36941" spans="1:8" customFormat="1" x14ac:dyDescent="0.25">
      <c r="A36941" t="str">
        <f>"5020846"</f>
        <v>5020846</v>
      </c>
      <c r="B36941" t="s">
        <v>14353</v>
      </c>
      <c r="C36941" t="s">
        <v>267</v>
      </c>
      <c r="D36941" s="21" t="s">
        <v>34</v>
      </c>
      <c r="E36941" s="21" t="s">
        <v>254</v>
      </c>
      <c r="F36941">
        <v>9500153</v>
      </c>
      <c r="G36941" t="s">
        <v>5779</v>
      </c>
      <c r="H36941" s="21">
        <v>493.5</v>
      </c>
    </row>
    <row r="36942" spans="1:8" customFormat="1" x14ac:dyDescent="0.25">
      <c r="A36942" t="str">
        <f>"5981084"</f>
        <v>5981084</v>
      </c>
      <c r="B36942" t="s">
        <v>24108</v>
      </c>
      <c r="C36942" t="s">
        <v>1887</v>
      </c>
      <c r="D36942" s="21" t="s">
        <v>34</v>
      </c>
      <c r="E36942" s="21" t="s">
        <v>254</v>
      </c>
      <c r="F36942">
        <v>7590402</v>
      </c>
      <c r="G36942" t="s">
        <v>1623</v>
      </c>
      <c r="H36942" s="21">
        <v>493.5</v>
      </c>
    </row>
    <row r="36943" spans="1:8" customFormat="1" x14ac:dyDescent="0.25">
      <c r="A36943" t="str">
        <f>"7414492"</f>
        <v>7414492</v>
      </c>
      <c r="B36943" t="s">
        <v>21536</v>
      </c>
      <c r="C36943" t="s">
        <v>119</v>
      </c>
      <c r="D36943" s="21" t="s">
        <v>34</v>
      </c>
      <c r="E36943" s="21" t="s">
        <v>71</v>
      </c>
      <c r="F36943">
        <v>1740001</v>
      </c>
      <c r="G36943" t="s">
        <v>347</v>
      </c>
      <c r="H36943" s="21">
        <v>493.5</v>
      </c>
    </row>
    <row r="36944" spans="1:8" customFormat="1" x14ac:dyDescent="0.25">
      <c r="A36944" t="str">
        <f>"189833"</f>
        <v>189833</v>
      </c>
      <c r="B36944" t="s">
        <v>29344</v>
      </c>
      <c r="C36944" t="s">
        <v>62</v>
      </c>
      <c r="D36944" s="21" t="s">
        <v>34</v>
      </c>
      <c r="E36944" s="21" t="s">
        <v>71</v>
      </c>
      <c r="F36944">
        <v>4180485</v>
      </c>
      <c r="G36944" t="s">
        <v>345</v>
      </c>
      <c r="H36944" s="21">
        <v>493.5</v>
      </c>
    </row>
    <row r="36945" spans="1:8" customFormat="1" x14ac:dyDescent="0.25">
      <c r="A36945" t="str">
        <f>"0111624"</f>
        <v>0111624</v>
      </c>
      <c r="B36945" t="s">
        <v>24368</v>
      </c>
      <c r="C36945" t="s">
        <v>249</v>
      </c>
      <c r="D36945" s="21" t="s">
        <v>34</v>
      </c>
      <c r="E36945" s="21" t="s">
        <v>71</v>
      </c>
      <c r="F36945">
        <v>1010020</v>
      </c>
      <c r="G36945" t="s">
        <v>6121</v>
      </c>
      <c r="H36945" s="21">
        <v>493.5</v>
      </c>
    </row>
    <row r="36946" spans="1:8" customFormat="1" x14ac:dyDescent="0.25">
      <c r="A36946" t="str">
        <f>"7920250"</f>
        <v>7920250</v>
      </c>
      <c r="B36946" t="s">
        <v>24640</v>
      </c>
      <c r="C36946" t="s">
        <v>598</v>
      </c>
      <c r="D36946" s="21" t="s">
        <v>34</v>
      </c>
      <c r="E36946" s="21" t="s">
        <v>71</v>
      </c>
      <c r="F36946">
        <v>10790234</v>
      </c>
      <c r="G36946" t="s">
        <v>13166</v>
      </c>
      <c r="H36946" s="21">
        <v>493.5</v>
      </c>
    </row>
    <row r="36947" spans="1:8" customFormat="1" x14ac:dyDescent="0.25">
      <c r="A36947" t="str">
        <f>"6023990"</f>
        <v>6023990</v>
      </c>
      <c r="B36947" t="s">
        <v>29345</v>
      </c>
      <c r="C36947" t="s">
        <v>60</v>
      </c>
      <c r="D36947" s="21" t="s">
        <v>34</v>
      </c>
      <c r="E36947" s="21" t="s">
        <v>71</v>
      </c>
      <c r="F36947">
        <v>7600167</v>
      </c>
      <c r="G36947" t="s">
        <v>12431</v>
      </c>
      <c r="H36947" s="21">
        <v>493.5</v>
      </c>
    </row>
    <row r="36948" spans="1:8" customFormat="1" x14ac:dyDescent="0.25">
      <c r="A36948" t="str">
        <f>"361539"</f>
        <v>361539</v>
      </c>
      <c r="B36948" t="s">
        <v>13996</v>
      </c>
      <c r="C36948" t="s">
        <v>267</v>
      </c>
      <c r="D36948" s="21" t="s">
        <v>34</v>
      </c>
      <c r="E36948" s="21" t="s">
        <v>254</v>
      </c>
      <c r="F36948">
        <v>4360123</v>
      </c>
      <c r="G36948" t="s">
        <v>4121</v>
      </c>
      <c r="H36948" s="21">
        <v>493.5</v>
      </c>
    </row>
    <row r="36949" spans="1:8" customFormat="1" x14ac:dyDescent="0.25">
      <c r="A36949" t="str">
        <f>"9532394"</f>
        <v>9532394</v>
      </c>
      <c r="B36949" t="s">
        <v>24207</v>
      </c>
      <c r="C36949" t="s">
        <v>812</v>
      </c>
      <c r="D36949" s="21" t="s">
        <v>34</v>
      </c>
      <c r="E36949" s="21" t="s">
        <v>35</v>
      </c>
      <c r="F36949">
        <v>8951273</v>
      </c>
      <c r="G36949" t="s">
        <v>2382</v>
      </c>
      <c r="H36949" s="21">
        <v>493.5</v>
      </c>
    </row>
    <row r="36950" spans="1:8" customFormat="1" x14ac:dyDescent="0.25">
      <c r="A36950" t="str">
        <f>"2517355"</f>
        <v>2517355</v>
      </c>
      <c r="B36950" t="s">
        <v>6982</v>
      </c>
      <c r="C36950" t="s">
        <v>1782</v>
      </c>
      <c r="D36950" s="21" t="s">
        <v>34</v>
      </c>
      <c r="E36950" s="21" t="s">
        <v>35</v>
      </c>
      <c r="F36950">
        <v>2250181</v>
      </c>
      <c r="G36950" t="s">
        <v>494</v>
      </c>
      <c r="H36950" s="21">
        <v>493.5</v>
      </c>
    </row>
    <row r="36951" spans="1:8" customFormat="1" x14ac:dyDescent="0.25">
      <c r="A36951" t="str">
        <f>"6931971"</f>
        <v>6931971</v>
      </c>
      <c r="B36951" t="s">
        <v>6137</v>
      </c>
      <c r="C36951" t="s">
        <v>204</v>
      </c>
      <c r="D36951" s="21" t="s">
        <v>34</v>
      </c>
      <c r="E36951" s="21" t="s">
        <v>35</v>
      </c>
      <c r="F36951">
        <v>1690102</v>
      </c>
      <c r="G36951" t="s">
        <v>2081</v>
      </c>
      <c r="H36951" s="21">
        <v>493.5</v>
      </c>
    </row>
    <row r="36952" spans="1:8" customFormat="1" x14ac:dyDescent="0.25">
      <c r="A36952" t="str">
        <f>"5935022"</f>
        <v>5935022</v>
      </c>
      <c r="B36952" t="s">
        <v>11627</v>
      </c>
      <c r="C36952" t="s">
        <v>415</v>
      </c>
      <c r="D36952" s="21" t="s">
        <v>34</v>
      </c>
      <c r="E36952" s="21" t="s">
        <v>71</v>
      </c>
      <c r="F36952">
        <v>1260034</v>
      </c>
      <c r="G36952" t="s">
        <v>1884</v>
      </c>
      <c r="H36952" s="21">
        <v>493.5</v>
      </c>
    </row>
    <row r="36953" spans="1:8" customFormat="1" x14ac:dyDescent="0.25">
      <c r="A36953" t="str">
        <f>"814442"</f>
        <v>814442</v>
      </c>
      <c r="B36953" t="s">
        <v>24023</v>
      </c>
      <c r="C36953" t="s">
        <v>209</v>
      </c>
      <c r="D36953" s="21" t="s">
        <v>34</v>
      </c>
      <c r="E36953" s="21" t="s">
        <v>71</v>
      </c>
      <c r="F36953">
        <v>11810001</v>
      </c>
      <c r="G36953" t="s">
        <v>26998</v>
      </c>
      <c r="H36953" s="21">
        <v>493.5</v>
      </c>
    </row>
    <row r="36954" spans="1:8" customFormat="1" x14ac:dyDescent="0.25">
      <c r="A36954" t="str">
        <f>"1712302"</f>
        <v>1712302</v>
      </c>
      <c r="B36954" t="s">
        <v>29346</v>
      </c>
      <c r="C36954" t="s">
        <v>253</v>
      </c>
      <c r="D36954" s="21" t="s">
        <v>34</v>
      </c>
      <c r="E36954" s="21" t="s">
        <v>254</v>
      </c>
      <c r="F36954">
        <v>10170016</v>
      </c>
      <c r="G36954" t="s">
        <v>88</v>
      </c>
      <c r="H36954" s="21">
        <v>493.5</v>
      </c>
    </row>
    <row r="36955" spans="1:8" customFormat="1" x14ac:dyDescent="0.25">
      <c r="A36955" t="str">
        <f>"7725802"</f>
        <v>7725802</v>
      </c>
      <c r="B36955" t="s">
        <v>22655</v>
      </c>
      <c r="C36955" t="s">
        <v>656</v>
      </c>
      <c r="D36955" s="21" t="s">
        <v>34</v>
      </c>
      <c r="E36955" s="21" t="s">
        <v>35</v>
      </c>
      <c r="F36955">
        <v>8771314</v>
      </c>
      <c r="G36955" t="s">
        <v>14172</v>
      </c>
      <c r="H36955" s="21">
        <v>493.38</v>
      </c>
    </row>
    <row r="36956" spans="1:8" customFormat="1" x14ac:dyDescent="0.25">
      <c r="A36956" t="str">
        <f>"5326431"</f>
        <v>5326431</v>
      </c>
      <c r="B36956" t="s">
        <v>24806</v>
      </c>
      <c r="C36956" t="s">
        <v>2072</v>
      </c>
      <c r="D36956" s="21" t="s">
        <v>34</v>
      </c>
      <c r="E36956" s="21" t="s">
        <v>254</v>
      </c>
      <c r="F36956">
        <v>12530098</v>
      </c>
      <c r="G36956" t="s">
        <v>8852</v>
      </c>
      <c r="H36956" s="21">
        <v>493.25</v>
      </c>
    </row>
    <row r="36957" spans="1:8" customFormat="1" x14ac:dyDescent="0.25">
      <c r="A36957" t="str">
        <f>"4457978"</f>
        <v>4457978</v>
      </c>
      <c r="B36957" t="s">
        <v>6719</v>
      </c>
      <c r="C36957" t="s">
        <v>40</v>
      </c>
      <c r="D36957" s="21" t="s">
        <v>34</v>
      </c>
      <c r="E36957" s="21" t="s">
        <v>254</v>
      </c>
      <c r="F36957">
        <v>12440270</v>
      </c>
      <c r="G36957" t="s">
        <v>19237</v>
      </c>
      <c r="H36957" s="21">
        <v>493.25</v>
      </c>
    </row>
    <row r="36958" spans="1:8" customFormat="1" x14ac:dyDescent="0.25">
      <c r="A36958" t="str">
        <f>"9146872"</f>
        <v>9146872</v>
      </c>
      <c r="B36958" t="s">
        <v>2930</v>
      </c>
      <c r="C36958" t="s">
        <v>1468</v>
      </c>
      <c r="D36958" s="21" t="s">
        <v>34</v>
      </c>
      <c r="E36958" s="21" t="s">
        <v>254</v>
      </c>
      <c r="F36958">
        <v>8910652</v>
      </c>
      <c r="G36958" t="s">
        <v>6533</v>
      </c>
      <c r="H36958" s="21">
        <v>493.25</v>
      </c>
    </row>
    <row r="36959" spans="1:8" customFormat="1" x14ac:dyDescent="0.25">
      <c r="A36959" t="str">
        <f>"3331293"</f>
        <v>3331293</v>
      </c>
      <c r="B36959" t="s">
        <v>7619</v>
      </c>
      <c r="C36959" t="s">
        <v>1146</v>
      </c>
      <c r="D36959" s="21" t="s">
        <v>34</v>
      </c>
      <c r="E36959" s="21" t="s">
        <v>254</v>
      </c>
      <c r="F36959">
        <v>10330125</v>
      </c>
      <c r="G36959" t="s">
        <v>3753</v>
      </c>
      <c r="H36959" s="21">
        <v>493.25</v>
      </c>
    </row>
    <row r="36960" spans="1:8" customFormat="1" x14ac:dyDescent="0.25">
      <c r="A36960" t="str">
        <f>"3342884"</f>
        <v>3342884</v>
      </c>
      <c r="B36960" t="s">
        <v>29347</v>
      </c>
      <c r="C36960" t="s">
        <v>249</v>
      </c>
      <c r="D36960" s="21" t="s">
        <v>34</v>
      </c>
      <c r="E36960" s="21" t="s">
        <v>35</v>
      </c>
      <c r="F36960">
        <v>10330028</v>
      </c>
      <c r="G36960" t="s">
        <v>4553</v>
      </c>
      <c r="H36960" s="21">
        <v>493.25</v>
      </c>
    </row>
    <row r="36961" spans="1:8" customFormat="1" x14ac:dyDescent="0.25">
      <c r="A36961" t="str">
        <f>"1713251"</f>
        <v>1713251</v>
      </c>
      <c r="B36961" t="s">
        <v>5617</v>
      </c>
      <c r="C36961" t="s">
        <v>412</v>
      </c>
      <c r="D36961" s="21" t="s">
        <v>34</v>
      </c>
      <c r="E36961" s="21" t="s">
        <v>1089</v>
      </c>
      <c r="F36961">
        <v>10170178</v>
      </c>
      <c r="G36961" t="s">
        <v>17278</v>
      </c>
      <c r="H36961" s="21">
        <v>493.25</v>
      </c>
    </row>
    <row r="36962" spans="1:8" customFormat="1" x14ac:dyDescent="0.25">
      <c r="A36962" t="str">
        <f>"1424981"</f>
        <v>1424981</v>
      </c>
      <c r="B36962" t="s">
        <v>19961</v>
      </c>
      <c r="C36962" t="s">
        <v>233</v>
      </c>
      <c r="D36962" s="21" t="s">
        <v>34</v>
      </c>
      <c r="E36962" s="21" t="s">
        <v>35</v>
      </c>
      <c r="F36962">
        <v>9140229</v>
      </c>
      <c r="G36962" t="s">
        <v>22327</v>
      </c>
      <c r="H36962" s="21">
        <v>493.25</v>
      </c>
    </row>
    <row r="36963" spans="1:8" customFormat="1" x14ac:dyDescent="0.25">
      <c r="A36963" t="str">
        <f>"4423285"</f>
        <v>4423285</v>
      </c>
      <c r="B36963" t="s">
        <v>2313</v>
      </c>
      <c r="C36963" t="s">
        <v>23752</v>
      </c>
      <c r="D36963" s="21" t="s">
        <v>34</v>
      </c>
      <c r="E36963" s="21" t="s">
        <v>71</v>
      </c>
      <c r="F36963">
        <v>12440229</v>
      </c>
      <c r="G36963" t="s">
        <v>21854</v>
      </c>
      <c r="H36963" s="21">
        <v>493.25</v>
      </c>
    </row>
    <row r="36964" spans="1:8" customFormat="1" x14ac:dyDescent="0.25">
      <c r="A36964" t="str">
        <f>"4440983"</f>
        <v>4440983</v>
      </c>
      <c r="B36964" t="s">
        <v>12136</v>
      </c>
      <c r="C36964" t="s">
        <v>204</v>
      </c>
      <c r="D36964" s="21" t="s">
        <v>34</v>
      </c>
      <c r="E36964" s="21" t="s">
        <v>35</v>
      </c>
      <c r="F36964">
        <v>12440134</v>
      </c>
      <c r="G36964" t="s">
        <v>10580</v>
      </c>
      <c r="H36964" s="21">
        <v>493.25</v>
      </c>
    </row>
    <row r="36965" spans="1:8" customFormat="1" x14ac:dyDescent="0.25">
      <c r="A36965" t="str">
        <f>"1716505"</f>
        <v>1716505</v>
      </c>
      <c r="B36965" t="s">
        <v>24325</v>
      </c>
      <c r="C36965" t="s">
        <v>249</v>
      </c>
      <c r="D36965" s="21" t="s">
        <v>34</v>
      </c>
      <c r="E36965" s="21" t="s">
        <v>71</v>
      </c>
      <c r="F36965">
        <v>10170004</v>
      </c>
      <c r="G36965" t="s">
        <v>12405</v>
      </c>
      <c r="H36965" s="21">
        <v>493.17</v>
      </c>
    </row>
    <row r="36966" spans="1:8" customFormat="1" x14ac:dyDescent="0.25">
      <c r="A36966" t="str">
        <f>"7219935"</f>
        <v>7219935</v>
      </c>
      <c r="B36966" t="s">
        <v>205</v>
      </c>
      <c r="C36966" t="s">
        <v>486</v>
      </c>
      <c r="D36966" s="21" t="s">
        <v>34</v>
      </c>
      <c r="E36966" s="21" t="s">
        <v>254</v>
      </c>
      <c r="F36966">
        <v>12720104</v>
      </c>
      <c r="G36966" t="s">
        <v>224</v>
      </c>
      <c r="H36966" s="21">
        <v>493.17</v>
      </c>
    </row>
    <row r="36967" spans="1:8" customFormat="1" x14ac:dyDescent="0.25">
      <c r="A36967" t="str">
        <f>"5014543"</f>
        <v>5014543</v>
      </c>
      <c r="B36967" t="s">
        <v>18906</v>
      </c>
      <c r="C36967" t="s">
        <v>1110</v>
      </c>
      <c r="D36967" s="21" t="s">
        <v>34</v>
      </c>
      <c r="E36967" s="21" t="s">
        <v>254</v>
      </c>
      <c r="F36967">
        <v>9500031</v>
      </c>
      <c r="G36967" t="s">
        <v>11126</v>
      </c>
      <c r="H36967" s="21">
        <v>493.17</v>
      </c>
    </row>
    <row r="36968" spans="1:8" customFormat="1" x14ac:dyDescent="0.25">
      <c r="A36968" t="str">
        <f>"31676"</f>
        <v>31676</v>
      </c>
      <c r="B36968" t="s">
        <v>21182</v>
      </c>
      <c r="C36968" t="s">
        <v>598</v>
      </c>
      <c r="D36968" s="21" t="s">
        <v>34</v>
      </c>
      <c r="E36968" s="21" t="s">
        <v>254</v>
      </c>
      <c r="F36968">
        <v>11310019</v>
      </c>
      <c r="G36968" t="s">
        <v>3099</v>
      </c>
      <c r="H36968" s="21">
        <v>493.17</v>
      </c>
    </row>
    <row r="36969" spans="1:8" customFormat="1" x14ac:dyDescent="0.25">
      <c r="A36969" t="str">
        <f>"434518"</f>
        <v>434518</v>
      </c>
      <c r="B36969" t="s">
        <v>2045</v>
      </c>
      <c r="C36969" t="s">
        <v>130</v>
      </c>
      <c r="D36969" s="21" t="s">
        <v>34</v>
      </c>
      <c r="E36969" s="21" t="s">
        <v>254</v>
      </c>
      <c r="F36969">
        <v>1420308</v>
      </c>
      <c r="G36969" t="s">
        <v>14514</v>
      </c>
      <c r="H36969" s="21">
        <v>493.17</v>
      </c>
    </row>
    <row r="36970" spans="1:8" customFormat="1" x14ac:dyDescent="0.25">
      <c r="A36970" t="str">
        <f>"8011429"</f>
        <v>8011429</v>
      </c>
      <c r="B36970" t="s">
        <v>22246</v>
      </c>
      <c r="C36970" t="s">
        <v>151</v>
      </c>
      <c r="D36970" s="21" t="s">
        <v>34</v>
      </c>
      <c r="E36970" s="21" t="s">
        <v>71</v>
      </c>
      <c r="F36970">
        <v>7800125</v>
      </c>
      <c r="G36970" t="s">
        <v>11339</v>
      </c>
      <c r="H36970" s="21">
        <v>493.17</v>
      </c>
    </row>
    <row r="36971" spans="1:8" customFormat="1" x14ac:dyDescent="0.25">
      <c r="A36971" t="str">
        <f>"5950847"</f>
        <v>5950847</v>
      </c>
      <c r="B36971" t="s">
        <v>12751</v>
      </c>
      <c r="C36971" t="s">
        <v>4623</v>
      </c>
      <c r="D36971" s="21" t="s">
        <v>34</v>
      </c>
      <c r="E36971" s="21" t="s">
        <v>254</v>
      </c>
      <c r="F36971">
        <v>7590393</v>
      </c>
      <c r="G36971" t="s">
        <v>7754</v>
      </c>
      <c r="H36971" s="21">
        <v>493.17</v>
      </c>
    </row>
    <row r="36972" spans="1:8" customFormat="1" x14ac:dyDescent="0.25">
      <c r="A36972" t="str">
        <f>"8316557"</f>
        <v>8316557</v>
      </c>
      <c r="B36972" t="s">
        <v>29348</v>
      </c>
      <c r="C36972" t="s">
        <v>29349</v>
      </c>
      <c r="D36972" s="21" t="s">
        <v>34</v>
      </c>
      <c r="E36972" s="21" t="s">
        <v>71</v>
      </c>
      <c r="F36972">
        <v>13830007</v>
      </c>
      <c r="G36972" t="s">
        <v>11316</v>
      </c>
      <c r="H36972" s="21">
        <v>493</v>
      </c>
    </row>
    <row r="36973" spans="1:8" customFormat="1" x14ac:dyDescent="0.25">
      <c r="A36973" t="str">
        <f>"125409"</f>
        <v>125409</v>
      </c>
      <c r="B36973" t="s">
        <v>4479</v>
      </c>
      <c r="C36973" t="s">
        <v>656</v>
      </c>
      <c r="D36973" s="21" t="s">
        <v>34</v>
      </c>
      <c r="E36973" s="21" t="s">
        <v>35</v>
      </c>
      <c r="F36973">
        <v>11120047</v>
      </c>
      <c r="G36973" t="s">
        <v>14107</v>
      </c>
      <c r="H36973" s="21">
        <v>493</v>
      </c>
    </row>
    <row r="36974" spans="1:8" customFormat="1" x14ac:dyDescent="0.25">
      <c r="A36974" t="str">
        <f>"8527886"</f>
        <v>8527886</v>
      </c>
      <c r="B36974" t="s">
        <v>430</v>
      </c>
      <c r="C36974" t="s">
        <v>379</v>
      </c>
      <c r="D36974" s="21" t="s">
        <v>34</v>
      </c>
      <c r="E36974" s="21" t="s">
        <v>254</v>
      </c>
      <c r="F36974">
        <v>12850072</v>
      </c>
      <c r="G36974" t="s">
        <v>7184</v>
      </c>
      <c r="H36974" s="21">
        <v>493</v>
      </c>
    </row>
    <row r="36975" spans="1:8" customFormat="1" x14ac:dyDescent="0.25">
      <c r="A36975" t="str">
        <f>"569052"</f>
        <v>569052</v>
      </c>
      <c r="B36975" t="s">
        <v>3001</v>
      </c>
      <c r="C36975" t="s">
        <v>2100</v>
      </c>
      <c r="D36975" s="21" t="s">
        <v>34</v>
      </c>
      <c r="E36975" s="21" t="s">
        <v>1089</v>
      </c>
      <c r="F36975">
        <v>3560096</v>
      </c>
      <c r="G36975" t="s">
        <v>2771</v>
      </c>
      <c r="H36975" s="21">
        <v>493</v>
      </c>
    </row>
    <row r="36976" spans="1:8" customFormat="1" x14ac:dyDescent="0.25">
      <c r="A36976" t="str">
        <f>"3527788"</f>
        <v>3527788</v>
      </c>
      <c r="B36976" t="s">
        <v>24544</v>
      </c>
      <c r="C36976" t="s">
        <v>486</v>
      </c>
      <c r="D36976" s="21" t="s">
        <v>34</v>
      </c>
      <c r="E36976" s="21" t="s">
        <v>71</v>
      </c>
      <c r="F36976">
        <v>3350042</v>
      </c>
      <c r="G36976" t="s">
        <v>12707</v>
      </c>
      <c r="H36976" s="21">
        <v>493</v>
      </c>
    </row>
    <row r="36977" spans="1:8" customFormat="1" x14ac:dyDescent="0.25">
      <c r="A36977" t="str">
        <f>"7636470"</f>
        <v>7636470</v>
      </c>
      <c r="B36977" t="s">
        <v>9008</v>
      </c>
      <c r="C36977" t="s">
        <v>40</v>
      </c>
      <c r="D36977" s="21" t="s">
        <v>34</v>
      </c>
      <c r="E36977" s="21" t="s">
        <v>254</v>
      </c>
      <c r="F36977">
        <v>9760168</v>
      </c>
      <c r="G36977" t="s">
        <v>179</v>
      </c>
      <c r="H36977" s="21">
        <v>493</v>
      </c>
    </row>
    <row r="36978" spans="1:8" customFormat="1" x14ac:dyDescent="0.25">
      <c r="A36978" t="str">
        <f>"5964043"</f>
        <v>5964043</v>
      </c>
      <c r="B36978" t="s">
        <v>8458</v>
      </c>
      <c r="C36978" t="s">
        <v>415</v>
      </c>
      <c r="D36978" s="21" t="s">
        <v>34</v>
      </c>
      <c r="E36978" s="21" t="s">
        <v>254</v>
      </c>
      <c r="F36978">
        <v>7590215</v>
      </c>
      <c r="G36978" t="s">
        <v>15580</v>
      </c>
      <c r="H36978" s="21">
        <v>493</v>
      </c>
    </row>
    <row r="36979" spans="1:8" customFormat="1" x14ac:dyDescent="0.25">
      <c r="A36979" t="str">
        <f>"3820404"</f>
        <v>3820404</v>
      </c>
      <c r="B36979" t="s">
        <v>6018</v>
      </c>
      <c r="C36979" t="s">
        <v>23629</v>
      </c>
      <c r="D36979" s="21" t="s">
        <v>34</v>
      </c>
      <c r="E36979" s="21" t="s">
        <v>35</v>
      </c>
      <c r="F36979">
        <v>1380275</v>
      </c>
      <c r="G36979" t="s">
        <v>8042</v>
      </c>
      <c r="H36979" s="21">
        <v>493</v>
      </c>
    </row>
    <row r="36980" spans="1:8" customFormat="1" x14ac:dyDescent="0.25">
      <c r="A36980" t="str">
        <f>"6231690"</f>
        <v>6231690</v>
      </c>
      <c r="B36980" t="s">
        <v>24032</v>
      </c>
      <c r="C36980" t="s">
        <v>2520</v>
      </c>
      <c r="D36980" s="21" t="s">
        <v>34</v>
      </c>
      <c r="E36980" s="21" t="s">
        <v>35</v>
      </c>
      <c r="F36980">
        <v>7620079</v>
      </c>
      <c r="G36980" t="s">
        <v>9718</v>
      </c>
      <c r="H36980" s="21">
        <v>493</v>
      </c>
    </row>
    <row r="36981" spans="1:8" customFormat="1" x14ac:dyDescent="0.25">
      <c r="A36981" t="str">
        <f>"5015368"</f>
        <v>5015368</v>
      </c>
      <c r="B36981" t="s">
        <v>8803</v>
      </c>
      <c r="C36981" t="s">
        <v>267</v>
      </c>
      <c r="D36981" s="21" t="s">
        <v>34</v>
      </c>
      <c r="E36981" s="21" t="s">
        <v>1089</v>
      </c>
      <c r="F36981">
        <v>9500130</v>
      </c>
      <c r="G36981" t="s">
        <v>5326</v>
      </c>
      <c r="H36981" s="21">
        <v>493</v>
      </c>
    </row>
    <row r="36982" spans="1:8" customFormat="1" x14ac:dyDescent="0.25">
      <c r="A36982" t="str">
        <f>"1318120"</f>
        <v>1318120</v>
      </c>
      <c r="B36982" t="s">
        <v>24523</v>
      </c>
      <c r="C36982" t="s">
        <v>267</v>
      </c>
      <c r="D36982" s="21" t="s">
        <v>34</v>
      </c>
      <c r="E36982" s="21" t="s">
        <v>1089</v>
      </c>
      <c r="F36982">
        <v>13130022</v>
      </c>
      <c r="G36982" t="s">
        <v>2666</v>
      </c>
      <c r="H36982" s="21">
        <v>493</v>
      </c>
    </row>
    <row r="36983" spans="1:8" customFormat="1" x14ac:dyDescent="0.25">
      <c r="A36983" t="str">
        <f>"8614193"</f>
        <v>8614193</v>
      </c>
      <c r="B36983" t="s">
        <v>21276</v>
      </c>
      <c r="C36983" t="s">
        <v>40</v>
      </c>
      <c r="D36983" s="21" t="s">
        <v>34</v>
      </c>
      <c r="E36983" s="21" t="s">
        <v>71</v>
      </c>
      <c r="F36983">
        <v>10860016</v>
      </c>
      <c r="G36983" t="s">
        <v>3289</v>
      </c>
      <c r="H36983" s="21">
        <v>493</v>
      </c>
    </row>
    <row r="36984" spans="1:8" customFormat="1" x14ac:dyDescent="0.25">
      <c r="A36984" t="str">
        <f>"6234335"</f>
        <v>6234335</v>
      </c>
      <c r="B36984" t="s">
        <v>29350</v>
      </c>
      <c r="C36984" t="s">
        <v>951</v>
      </c>
      <c r="D36984" s="21" t="s">
        <v>34</v>
      </c>
      <c r="E36984" s="21" t="s">
        <v>35</v>
      </c>
      <c r="F36984">
        <v>7620181</v>
      </c>
      <c r="G36984" t="s">
        <v>2268</v>
      </c>
      <c r="H36984" s="21">
        <v>493</v>
      </c>
    </row>
    <row r="36985" spans="1:8" customFormat="1" x14ac:dyDescent="0.25">
      <c r="A36985" t="str">
        <f>"4454707"</f>
        <v>4454707</v>
      </c>
      <c r="B36985" t="s">
        <v>21961</v>
      </c>
      <c r="C36985" t="s">
        <v>8345</v>
      </c>
      <c r="D36985" s="21" t="s">
        <v>34</v>
      </c>
      <c r="E36985" s="21" t="s">
        <v>35</v>
      </c>
      <c r="F36985">
        <v>12440116</v>
      </c>
      <c r="G36985" t="s">
        <v>26673</v>
      </c>
      <c r="H36985" s="21">
        <v>493</v>
      </c>
    </row>
    <row r="36986" spans="1:8" customFormat="1" x14ac:dyDescent="0.25">
      <c r="A36986" t="str">
        <f>"7217209"</f>
        <v>7217209</v>
      </c>
      <c r="B36986" t="s">
        <v>1662</v>
      </c>
      <c r="C36986" t="s">
        <v>40</v>
      </c>
      <c r="D36986" s="21" t="s">
        <v>34</v>
      </c>
      <c r="E36986" s="21" t="s">
        <v>35</v>
      </c>
      <c r="F36986">
        <v>12720143</v>
      </c>
      <c r="G36986" t="s">
        <v>3881</v>
      </c>
      <c r="H36986" s="21">
        <v>493</v>
      </c>
    </row>
    <row r="36987" spans="1:8" customFormat="1" x14ac:dyDescent="0.25">
      <c r="A36987" t="str">
        <f>"7223448"</f>
        <v>7223448</v>
      </c>
      <c r="B36987" t="s">
        <v>392</v>
      </c>
      <c r="C36987" t="s">
        <v>60</v>
      </c>
      <c r="D36987" s="21" t="s">
        <v>34</v>
      </c>
      <c r="E36987" s="21" t="s">
        <v>35</v>
      </c>
      <c r="F36987">
        <v>12720034</v>
      </c>
      <c r="G36987" t="s">
        <v>4561</v>
      </c>
      <c r="H36987" s="21">
        <v>493</v>
      </c>
    </row>
    <row r="36988" spans="1:8" customFormat="1" x14ac:dyDescent="0.25">
      <c r="A36988" t="str">
        <f>"951465"</f>
        <v>951465</v>
      </c>
      <c r="B36988" t="s">
        <v>14333</v>
      </c>
      <c r="C36988" t="s">
        <v>1588</v>
      </c>
      <c r="D36988" s="21" t="s">
        <v>34</v>
      </c>
      <c r="E36988" s="21" t="s">
        <v>1089</v>
      </c>
      <c r="F36988">
        <v>10170033</v>
      </c>
      <c r="G36988" t="s">
        <v>3756</v>
      </c>
      <c r="H36988" s="21">
        <v>493</v>
      </c>
    </row>
    <row r="36989" spans="1:8" customFormat="1" x14ac:dyDescent="0.25">
      <c r="A36989" t="str">
        <f>"8819147"</f>
        <v>8819147</v>
      </c>
      <c r="B36989" t="s">
        <v>29351</v>
      </c>
      <c r="C36989" t="s">
        <v>486</v>
      </c>
      <c r="D36989" s="21" t="s">
        <v>34</v>
      </c>
      <c r="E36989" s="21" t="s">
        <v>35</v>
      </c>
      <c r="F36989">
        <v>6880123</v>
      </c>
      <c r="G36989" t="s">
        <v>527</v>
      </c>
      <c r="H36989" s="21">
        <v>493</v>
      </c>
    </row>
    <row r="36990" spans="1:8" customFormat="1" x14ac:dyDescent="0.25">
      <c r="A36990" t="str">
        <f>"0618495"</f>
        <v>0618495</v>
      </c>
      <c r="B36990" t="s">
        <v>1027</v>
      </c>
      <c r="C36990" t="s">
        <v>109</v>
      </c>
      <c r="D36990" s="21" t="s">
        <v>34</v>
      </c>
      <c r="E36990" s="21" t="s">
        <v>71</v>
      </c>
      <c r="F36990">
        <v>13060119</v>
      </c>
      <c r="G36990" t="s">
        <v>6179</v>
      </c>
      <c r="H36990" s="21">
        <v>493</v>
      </c>
    </row>
    <row r="36991" spans="1:8" customFormat="1" x14ac:dyDescent="0.25">
      <c r="A36991" t="str">
        <f>"5428029"</f>
        <v>5428029</v>
      </c>
      <c r="B36991" t="s">
        <v>29352</v>
      </c>
      <c r="C36991" t="s">
        <v>1812</v>
      </c>
      <c r="D36991" s="21" t="s">
        <v>34</v>
      </c>
      <c r="E36991" s="21" t="s">
        <v>71</v>
      </c>
      <c r="F36991">
        <v>6540016</v>
      </c>
      <c r="G36991" t="s">
        <v>14523</v>
      </c>
      <c r="H36991" s="21">
        <v>493</v>
      </c>
    </row>
    <row r="36992" spans="1:8" customFormat="1" x14ac:dyDescent="0.25">
      <c r="A36992" t="str">
        <f>"8526805"</f>
        <v>8526805</v>
      </c>
      <c r="B36992" t="s">
        <v>14226</v>
      </c>
      <c r="C36992" t="s">
        <v>139</v>
      </c>
      <c r="D36992" s="21" t="s">
        <v>34</v>
      </c>
      <c r="E36992" s="21" t="s">
        <v>35</v>
      </c>
      <c r="F36992">
        <v>12851011</v>
      </c>
      <c r="G36992" t="s">
        <v>1445</v>
      </c>
      <c r="H36992" s="21">
        <v>493</v>
      </c>
    </row>
    <row r="36993" spans="1:8" customFormat="1" x14ac:dyDescent="0.25">
      <c r="A36993" t="str">
        <f>"1716622"</f>
        <v>1716622</v>
      </c>
      <c r="B36993" t="s">
        <v>23885</v>
      </c>
      <c r="C36993" t="s">
        <v>169</v>
      </c>
      <c r="D36993" s="21" t="s">
        <v>34</v>
      </c>
      <c r="E36993" s="21" t="s">
        <v>35</v>
      </c>
      <c r="F36993">
        <v>10170042</v>
      </c>
      <c r="G36993" t="s">
        <v>5014</v>
      </c>
      <c r="H36993" s="21">
        <v>493</v>
      </c>
    </row>
    <row r="36994" spans="1:8" customFormat="1" x14ac:dyDescent="0.25">
      <c r="A36994" t="str">
        <f>"517830"</f>
        <v>517830</v>
      </c>
      <c r="B36994" t="s">
        <v>7241</v>
      </c>
      <c r="C36994" t="s">
        <v>209</v>
      </c>
      <c r="D36994" s="21" t="s">
        <v>34</v>
      </c>
      <c r="E36994" s="21" t="s">
        <v>71</v>
      </c>
      <c r="F36994">
        <v>6510112</v>
      </c>
      <c r="G36994" t="s">
        <v>588</v>
      </c>
      <c r="H36994" s="21">
        <v>493</v>
      </c>
    </row>
    <row r="36995" spans="1:8" customFormat="1" x14ac:dyDescent="0.25">
      <c r="A36995" t="str">
        <f>"7861802"</f>
        <v>7861802</v>
      </c>
      <c r="B36995" t="s">
        <v>24705</v>
      </c>
      <c r="C36995" t="s">
        <v>415</v>
      </c>
      <c r="D36995" s="21" t="s">
        <v>34</v>
      </c>
      <c r="E36995" s="21" t="s">
        <v>71</v>
      </c>
      <c r="F36995">
        <v>8781006</v>
      </c>
      <c r="G36995" t="s">
        <v>5376</v>
      </c>
      <c r="H36995" s="21">
        <v>493</v>
      </c>
    </row>
    <row r="36996" spans="1:8" customFormat="1" x14ac:dyDescent="0.25">
      <c r="A36996" t="str">
        <f>"508094"</f>
        <v>508094</v>
      </c>
      <c r="B36996" t="s">
        <v>6106</v>
      </c>
      <c r="C36996" t="s">
        <v>124</v>
      </c>
      <c r="D36996" s="21" t="s">
        <v>34</v>
      </c>
      <c r="E36996" s="21" t="s">
        <v>254</v>
      </c>
      <c r="F36996">
        <v>9500088</v>
      </c>
      <c r="G36996" t="s">
        <v>15949</v>
      </c>
      <c r="H36996" s="21">
        <v>493</v>
      </c>
    </row>
    <row r="36997" spans="1:8" customFormat="1" x14ac:dyDescent="0.25">
      <c r="A36997" t="str">
        <f>"6725803"</f>
        <v>6725803</v>
      </c>
      <c r="B36997" t="s">
        <v>16398</v>
      </c>
      <c r="C36997" t="s">
        <v>263</v>
      </c>
      <c r="D36997" s="21" t="s">
        <v>34</v>
      </c>
      <c r="E36997" s="21" t="s">
        <v>254</v>
      </c>
      <c r="F36997">
        <v>6670216</v>
      </c>
      <c r="G36997" t="s">
        <v>2194</v>
      </c>
      <c r="H36997" s="21">
        <v>493</v>
      </c>
    </row>
    <row r="36998" spans="1:8" customFormat="1" x14ac:dyDescent="0.25">
      <c r="A36998" t="str">
        <f>"4456191"</f>
        <v>4456191</v>
      </c>
      <c r="B36998" t="s">
        <v>24084</v>
      </c>
      <c r="C36998" t="s">
        <v>24085</v>
      </c>
      <c r="D36998" s="21" t="s">
        <v>34</v>
      </c>
      <c r="E36998" s="21" t="s">
        <v>71</v>
      </c>
      <c r="F36998">
        <v>12440064</v>
      </c>
      <c r="G36998" t="s">
        <v>9082</v>
      </c>
      <c r="H36998" s="21">
        <v>493</v>
      </c>
    </row>
    <row r="36999" spans="1:8" customFormat="1" x14ac:dyDescent="0.25">
      <c r="A36999" t="str">
        <f>"8819289"</f>
        <v>8819289</v>
      </c>
      <c r="B36999" t="s">
        <v>1094</v>
      </c>
      <c r="C36999" t="s">
        <v>65</v>
      </c>
      <c r="D36999" s="21" t="s">
        <v>34</v>
      </c>
      <c r="E36999" s="21" t="s">
        <v>35</v>
      </c>
      <c r="F36999">
        <v>6880146</v>
      </c>
      <c r="G36999" t="s">
        <v>3520</v>
      </c>
      <c r="H36999" s="21">
        <v>493</v>
      </c>
    </row>
    <row r="37000" spans="1:8" customFormat="1" x14ac:dyDescent="0.25">
      <c r="A37000" t="str">
        <f>"9D218"</f>
        <v>9D218</v>
      </c>
      <c r="B37000" t="s">
        <v>23683</v>
      </c>
      <c r="C37000" t="s">
        <v>1119</v>
      </c>
      <c r="D37000" s="21" t="s">
        <v>34</v>
      </c>
      <c r="E37000" s="21" t="s">
        <v>254</v>
      </c>
      <c r="F37000" t="s">
        <v>3911</v>
      </c>
      <c r="G37000" t="s">
        <v>3912</v>
      </c>
      <c r="H37000" s="21">
        <v>493</v>
      </c>
    </row>
    <row r="37001" spans="1:8" customFormat="1" x14ac:dyDescent="0.25">
      <c r="A37001" t="str">
        <f>"8612943"</f>
        <v>8612943</v>
      </c>
      <c r="B37001" t="s">
        <v>3972</v>
      </c>
      <c r="C37001" t="s">
        <v>598</v>
      </c>
      <c r="D37001" s="21" t="s">
        <v>34</v>
      </c>
      <c r="E37001" s="21" t="s">
        <v>71</v>
      </c>
      <c r="F37001">
        <v>10860234</v>
      </c>
      <c r="G37001" t="s">
        <v>1966</v>
      </c>
      <c r="H37001" s="21">
        <v>493</v>
      </c>
    </row>
    <row r="37002" spans="1:8" customFormat="1" x14ac:dyDescent="0.25">
      <c r="A37002" t="str">
        <f>"5724029"</f>
        <v>5724029</v>
      </c>
      <c r="B37002" t="s">
        <v>15342</v>
      </c>
      <c r="C37002" t="s">
        <v>2730</v>
      </c>
      <c r="D37002" s="21" t="s">
        <v>34</v>
      </c>
      <c r="E37002" s="21" t="s">
        <v>1089</v>
      </c>
      <c r="F37002">
        <v>6570191</v>
      </c>
      <c r="G37002" t="s">
        <v>15791</v>
      </c>
      <c r="H37002" s="21">
        <v>493</v>
      </c>
    </row>
    <row r="37003" spans="1:8" customFormat="1" x14ac:dyDescent="0.25">
      <c r="A37003" t="str">
        <f>"5938075"</f>
        <v>5938075</v>
      </c>
      <c r="B37003" t="s">
        <v>17451</v>
      </c>
      <c r="C37003" t="s">
        <v>267</v>
      </c>
      <c r="D37003" s="21" t="s">
        <v>34</v>
      </c>
      <c r="E37003" s="21" t="s">
        <v>254</v>
      </c>
      <c r="F37003">
        <v>7590123</v>
      </c>
      <c r="G37003" t="s">
        <v>85</v>
      </c>
      <c r="H37003" s="21">
        <v>493</v>
      </c>
    </row>
    <row r="37004" spans="1:8" customFormat="1" x14ac:dyDescent="0.25">
      <c r="A37004" t="str">
        <f>"2617905"</f>
        <v>2617905</v>
      </c>
      <c r="B37004" t="s">
        <v>23892</v>
      </c>
      <c r="C37004" t="s">
        <v>249</v>
      </c>
      <c r="D37004" s="21" t="s">
        <v>34</v>
      </c>
      <c r="E37004" s="21" t="s">
        <v>71</v>
      </c>
      <c r="F37004">
        <v>1260006</v>
      </c>
      <c r="G37004" t="s">
        <v>790</v>
      </c>
      <c r="H37004" s="21">
        <v>493</v>
      </c>
    </row>
    <row r="37005" spans="1:8" customFormat="1" x14ac:dyDescent="0.25">
      <c r="A37005" t="str">
        <f>"1313370"</f>
        <v>1313370</v>
      </c>
      <c r="B37005" t="s">
        <v>22971</v>
      </c>
      <c r="C37005" t="s">
        <v>267</v>
      </c>
      <c r="D37005" s="21" t="s">
        <v>34</v>
      </c>
      <c r="E37005" s="21" t="s">
        <v>1089</v>
      </c>
      <c r="F37005">
        <v>13130139</v>
      </c>
      <c r="G37005" t="s">
        <v>11785</v>
      </c>
      <c r="H37005" s="21">
        <v>493</v>
      </c>
    </row>
    <row r="37006" spans="1:8" customFormat="1" x14ac:dyDescent="0.25">
      <c r="A37006" t="str">
        <f>"2516741"</f>
        <v>2516741</v>
      </c>
      <c r="B37006" t="s">
        <v>24440</v>
      </c>
      <c r="C37006" t="s">
        <v>33</v>
      </c>
      <c r="D37006" s="21" t="s">
        <v>34</v>
      </c>
      <c r="E37006" s="21" t="s">
        <v>35</v>
      </c>
      <c r="F37006">
        <v>2250015</v>
      </c>
      <c r="G37006" t="s">
        <v>4776</v>
      </c>
      <c r="H37006" s="21">
        <v>493</v>
      </c>
    </row>
    <row r="37007" spans="1:8" customFormat="1" x14ac:dyDescent="0.25">
      <c r="A37007" t="str">
        <f>"5980636"</f>
        <v>5980636</v>
      </c>
      <c r="B37007" t="s">
        <v>29353</v>
      </c>
      <c r="C37007" t="s">
        <v>3098</v>
      </c>
      <c r="D37007" s="21" t="s">
        <v>34</v>
      </c>
      <c r="E37007" s="21" t="s">
        <v>35</v>
      </c>
      <c r="F37007">
        <v>7590426</v>
      </c>
      <c r="G37007" t="s">
        <v>23114</v>
      </c>
      <c r="H37007" s="21">
        <v>493</v>
      </c>
    </row>
    <row r="37008" spans="1:8" customFormat="1" x14ac:dyDescent="0.25">
      <c r="A37008" t="str">
        <f>"7731985"</f>
        <v>7731985</v>
      </c>
      <c r="B37008" t="s">
        <v>623</v>
      </c>
      <c r="C37008" t="s">
        <v>144</v>
      </c>
      <c r="D37008" s="21" t="s">
        <v>34</v>
      </c>
      <c r="E37008" s="21" t="s">
        <v>35</v>
      </c>
      <c r="F37008">
        <v>8771201</v>
      </c>
      <c r="G37008" t="s">
        <v>9153</v>
      </c>
      <c r="H37008" s="21">
        <v>493</v>
      </c>
    </row>
    <row r="37009" spans="1:8" customFormat="1" x14ac:dyDescent="0.25">
      <c r="A37009" t="str">
        <f>"3425570"</f>
        <v>3425570</v>
      </c>
      <c r="B37009" t="s">
        <v>24094</v>
      </c>
      <c r="C37009" t="s">
        <v>2475</v>
      </c>
      <c r="D37009" s="21" t="s">
        <v>34</v>
      </c>
      <c r="E37009" s="21" t="s">
        <v>35</v>
      </c>
      <c r="F37009">
        <v>11340073</v>
      </c>
      <c r="G37009" t="s">
        <v>15005</v>
      </c>
      <c r="H37009" s="21">
        <v>493</v>
      </c>
    </row>
    <row r="37010" spans="1:8" customFormat="1" x14ac:dyDescent="0.25">
      <c r="A37010" t="str">
        <f>"664778"</f>
        <v>664778</v>
      </c>
      <c r="B37010" t="s">
        <v>10014</v>
      </c>
      <c r="C37010" t="s">
        <v>33</v>
      </c>
      <c r="D37010" s="21" t="s">
        <v>34</v>
      </c>
      <c r="E37010" s="21" t="s">
        <v>35</v>
      </c>
      <c r="F37010">
        <v>11660001</v>
      </c>
      <c r="G37010" t="s">
        <v>8203</v>
      </c>
      <c r="H37010" s="21">
        <v>493</v>
      </c>
    </row>
    <row r="37011" spans="1:8" customFormat="1" x14ac:dyDescent="0.25">
      <c r="A37011" t="str">
        <f>"6228405"</f>
        <v>6228405</v>
      </c>
      <c r="B37011" t="s">
        <v>4642</v>
      </c>
      <c r="C37011" t="s">
        <v>1410</v>
      </c>
      <c r="D37011" s="21" t="s">
        <v>34</v>
      </c>
      <c r="E37011" s="21" t="s">
        <v>35</v>
      </c>
      <c r="F37011">
        <v>7620044</v>
      </c>
      <c r="G37011" t="s">
        <v>2961</v>
      </c>
      <c r="H37011" s="21">
        <v>493</v>
      </c>
    </row>
    <row r="37012" spans="1:8" customFormat="1" x14ac:dyDescent="0.25">
      <c r="A37012" t="str">
        <f>"9248490"</f>
        <v>9248490</v>
      </c>
      <c r="B37012" t="s">
        <v>23525</v>
      </c>
      <c r="C37012" t="s">
        <v>275</v>
      </c>
      <c r="D37012" s="21" t="s">
        <v>34</v>
      </c>
      <c r="E37012" s="21" t="s">
        <v>35</v>
      </c>
      <c r="F37012">
        <v>8921316</v>
      </c>
      <c r="G37012" t="s">
        <v>12326</v>
      </c>
      <c r="H37012" s="21">
        <v>493</v>
      </c>
    </row>
    <row r="37013" spans="1:8" customFormat="1" x14ac:dyDescent="0.25">
      <c r="A37013" t="str">
        <f>"5983569"</f>
        <v>5983569</v>
      </c>
      <c r="B37013" t="s">
        <v>29354</v>
      </c>
      <c r="C37013" t="s">
        <v>412</v>
      </c>
      <c r="D37013" s="21" t="s">
        <v>34</v>
      </c>
      <c r="E37013" s="21" t="s">
        <v>35</v>
      </c>
      <c r="F37013">
        <v>7590414</v>
      </c>
      <c r="G37013" t="s">
        <v>10056</v>
      </c>
      <c r="H37013" s="21">
        <v>493</v>
      </c>
    </row>
    <row r="37014" spans="1:8" customFormat="1" x14ac:dyDescent="0.25">
      <c r="A37014" t="str">
        <f>"7525009"</f>
        <v>7525009</v>
      </c>
      <c r="B37014" t="s">
        <v>387</v>
      </c>
      <c r="C37014" t="s">
        <v>169</v>
      </c>
      <c r="D37014" s="21" t="s">
        <v>34</v>
      </c>
      <c r="E37014" s="21" t="s">
        <v>71</v>
      </c>
      <c r="F37014">
        <v>8750100</v>
      </c>
      <c r="G37014" t="s">
        <v>10521</v>
      </c>
      <c r="H37014" s="21">
        <v>493</v>
      </c>
    </row>
    <row r="37015" spans="1:8" customFormat="1" x14ac:dyDescent="0.25">
      <c r="A37015" t="str">
        <f>"7878864"</f>
        <v>7878864</v>
      </c>
      <c r="B37015" t="s">
        <v>24731</v>
      </c>
      <c r="C37015" t="s">
        <v>62</v>
      </c>
      <c r="D37015" s="21" t="s">
        <v>34</v>
      </c>
      <c r="E37015" s="21" t="s">
        <v>71</v>
      </c>
      <c r="F37015">
        <v>8780440</v>
      </c>
      <c r="G37015" t="s">
        <v>6629</v>
      </c>
      <c r="H37015" s="21">
        <v>493</v>
      </c>
    </row>
    <row r="37016" spans="1:8" customFormat="1" x14ac:dyDescent="0.25">
      <c r="A37016" t="str">
        <f>"4711390"</f>
        <v>4711390</v>
      </c>
      <c r="B37016" t="s">
        <v>29355</v>
      </c>
      <c r="C37016" t="s">
        <v>109</v>
      </c>
      <c r="D37016" s="21" t="s">
        <v>34</v>
      </c>
      <c r="E37016" s="21" t="s">
        <v>35</v>
      </c>
      <c r="F37016">
        <v>10470009</v>
      </c>
      <c r="G37016" t="s">
        <v>4915</v>
      </c>
      <c r="H37016" s="21">
        <v>493</v>
      </c>
    </row>
    <row r="37017" spans="1:8" customFormat="1" x14ac:dyDescent="0.25">
      <c r="A37017" t="str">
        <f>"4510708"</f>
        <v>4510708</v>
      </c>
      <c r="B37017" t="s">
        <v>6018</v>
      </c>
      <c r="C37017" t="s">
        <v>267</v>
      </c>
      <c r="D37017" s="21" t="s">
        <v>34</v>
      </c>
      <c r="E37017" s="21" t="s">
        <v>71</v>
      </c>
      <c r="F37017">
        <v>4450589</v>
      </c>
      <c r="G37017" t="s">
        <v>19465</v>
      </c>
      <c r="H37017" s="21">
        <v>492.92</v>
      </c>
    </row>
    <row r="37018" spans="1:8" customFormat="1" x14ac:dyDescent="0.25">
      <c r="A37018" t="str">
        <f>"3341699"</f>
        <v>3341699</v>
      </c>
      <c r="B37018" t="s">
        <v>24144</v>
      </c>
      <c r="C37018" t="s">
        <v>608</v>
      </c>
      <c r="D37018" s="21" t="s">
        <v>34</v>
      </c>
      <c r="E37018" s="21" t="s">
        <v>71</v>
      </c>
      <c r="F37018">
        <v>10330125</v>
      </c>
      <c r="G37018" t="s">
        <v>3753</v>
      </c>
      <c r="H37018" s="21">
        <v>492.88</v>
      </c>
    </row>
    <row r="37019" spans="1:8" customFormat="1" x14ac:dyDescent="0.25">
      <c r="A37019" t="str">
        <f>"9146125"</f>
        <v>9146125</v>
      </c>
      <c r="B37019" t="s">
        <v>22806</v>
      </c>
      <c r="C37019" t="s">
        <v>12103</v>
      </c>
      <c r="D37019" s="21" t="s">
        <v>34</v>
      </c>
      <c r="E37019" s="21" t="s">
        <v>71</v>
      </c>
      <c r="F37019">
        <v>8910028</v>
      </c>
      <c r="G37019" t="s">
        <v>2634</v>
      </c>
      <c r="H37019" s="21">
        <v>492.75</v>
      </c>
    </row>
    <row r="37020" spans="1:8" customFormat="1" x14ac:dyDescent="0.25">
      <c r="A37020" t="str">
        <f>"6813940"</f>
        <v>6813940</v>
      </c>
      <c r="B37020" t="s">
        <v>23024</v>
      </c>
      <c r="C37020" t="s">
        <v>239</v>
      </c>
      <c r="D37020" s="21" t="s">
        <v>34</v>
      </c>
      <c r="E37020" s="21" t="s">
        <v>71</v>
      </c>
      <c r="F37020">
        <v>6680082</v>
      </c>
      <c r="G37020" t="s">
        <v>289</v>
      </c>
      <c r="H37020" s="21">
        <v>492.75</v>
      </c>
    </row>
    <row r="37021" spans="1:8" customFormat="1" x14ac:dyDescent="0.25">
      <c r="A37021" t="str">
        <f>"114237"</f>
        <v>114237</v>
      </c>
      <c r="B37021" t="s">
        <v>7041</v>
      </c>
      <c r="C37021" t="s">
        <v>43</v>
      </c>
      <c r="D37021" s="21" t="s">
        <v>34</v>
      </c>
      <c r="E37021" s="21" t="s">
        <v>35</v>
      </c>
      <c r="F37021">
        <v>11110013</v>
      </c>
      <c r="G37021" t="s">
        <v>640</v>
      </c>
      <c r="H37021" s="21">
        <v>492.75</v>
      </c>
    </row>
    <row r="37022" spans="1:8" customFormat="1" x14ac:dyDescent="0.25">
      <c r="A37022" t="str">
        <f>"9321640"</f>
        <v>9321640</v>
      </c>
      <c r="B37022" t="s">
        <v>19985</v>
      </c>
      <c r="C37022" t="s">
        <v>598</v>
      </c>
      <c r="D37022" s="21" t="s">
        <v>34</v>
      </c>
      <c r="E37022" s="21" t="s">
        <v>254</v>
      </c>
      <c r="F37022">
        <v>8931057</v>
      </c>
      <c r="G37022" t="s">
        <v>1011</v>
      </c>
      <c r="H37022" s="21">
        <v>492.75</v>
      </c>
    </row>
    <row r="37023" spans="1:8" customFormat="1" x14ac:dyDescent="0.25">
      <c r="A37023" t="str">
        <f>"4456226"</f>
        <v>4456226</v>
      </c>
      <c r="B37023" t="s">
        <v>1802</v>
      </c>
      <c r="C37023" t="s">
        <v>43</v>
      </c>
      <c r="D37023" s="21" t="s">
        <v>34</v>
      </c>
      <c r="E37023" s="21" t="s">
        <v>35</v>
      </c>
      <c r="F37023">
        <v>12440134</v>
      </c>
      <c r="G37023" t="s">
        <v>10580</v>
      </c>
      <c r="H37023" s="21">
        <v>492.75</v>
      </c>
    </row>
    <row r="37024" spans="1:8" customFormat="1" x14ac:dyDescent="0.25">
      <c r="A37024" t="str">
        <f>"366493"</f>
        <v>366493</v>
      </c>
      <c r="B37024" t="s">
        <v>22887</v>
      </c>
      <c r="C37024" t="s">
        <v>1914</v>
      </c>
      <c r="D37024" s="21" t="s">
        <v>34</v>
      </c>
      <c r="E37024" s="21" t="s">
        <v>254</v>
      </c>
      <c r="F37024">
        <v>4360728</v>
      </c>
      <c r="G37024" t="s">
        <v>12735</v>
      </c>
      <c r="H37024" s="21">
        <v>492.75</v>
      </c>
    </row>
    <row r="37025" spans="1:8" customFormat="1" x14ac:dyDescent="0.25">
      <c r="A37025" t="str">
        <f>"7920293"</f>
        <v>7920293</v>
      </c>
      <c r="B37025" t="s">
        <v>21157</v>
      </c>
      <c r="C37025" t="s">
        <v>43</v>
      </c>
      <c r="D37025" s="21" t="s">
        <v>34</v>
      </c>
      <c r="E37025" s="21" t="s">
        <v>35</v>
      </c>
      <c r="F37025">
        <v>10790036</v>
      </c>
      <c r="G37025" t="s">
        <v>4946</v>
      </c>
      <c r="H37025" s="21">
        <v>492.67</v>
      </c>
    </row>
    <row r="37026" spans="1:8" customFormat="1" x14ac:dyDescent="0.25">
      <c r="A37026" t="str">
        <f>"897524"</f>
        <v>897524</v>
      </c>
      <c r="B37026" t="s">
        <v>24413</v>
      </c>
      <c r="C37026" t="s">
        <v>60</v>
      </c>
      <c r="D37026" s="21" t="s">
        <v>34</v>
      </c>
      <c r="E37026" s="21" t="s">
        <v>35</v>
      </c>
      <c r="F37026">
        <v>2890061</v>
      </c>
      <c r="G37026" t="s">
        <v>13076</v>
      </c>
      <c r="H37026" s="21">
        <v>492.67</v>
      </c>
    </row>
    <row r="37027" spans="1:8" customFormat="1" x14ac:dyDescent="0.25">
      <c r="A37027" t="str">
        <f>"5978737"</f>
        <v>5978737</v>
      </c>
      <c r="B37027" t="s">
        <v>15781</v>
      </c>
      <c r="C37027" t="s">
        <v>55</v>
      </c>
      <c r="D37027" s="21" t="s">
        <v>34</v>
      </c>
      <c r="E37027" s="21" t="s">
        <v>35</v>
      </c>
      <c r="F37027">
        <v>7590410</v>
      </c>
      <c r="G37027" t="s">
        <v>2048</v>
      </c>
      <c r="H37027" s="21">
        <v>492.67</v>
      </c>
    </row>
    <row r="37028" spans="1:8" customFormat="1" x14ac:dyDescent="0.25">
      <c r="A37028" t="str">
        <f>"9454834"</f>
        <v>9454834</v>
      </c>
      <c r="B37028" t="s">
        <v>23774</v>
      </c>
      <c r="C37028" t="s">
        <v>139</v>
      </c>
      <c r="D37028" s="21" t="s">
        <v>34</v>
      </c>
      <c r="E37028" s="21" t="s">
        <v>35</v>
      </c>
      <c r="F37028">
        <v>8940033</v>
      </c>
      <c r="G37028" t="s">
        <v>1376</v>
      </c>
      <c r="H37028" s="21">
        <v>492.67</v>
      </c>
    </row>
    <row r="37029" spans="1:8" customFormat="1" x14ac:dyDescent="0.25">
      <c r="A37029" t="str">
        <f>"4710675"</f>
        <v>4710675</v>
      </c>
      <c r="B37029" t="s">
        <v>19780</v>
      </c>
      <c r="C37029" t="s">
        <v>879</v>
      </c>
      <c r="D37029" s="21" t="s">
        <v>34</v>
      </c>
      <c r="E37029" s="21" t="s">
        <v>71</v>
      </c>
      <c r="F37029">
        <v>10470009</v>
      </c>
      <c r="G37029" t="s">
        <v>4915</v>
      </c>
      <c r="H37029" s="21">
        <v>492.67</v>
      </c>
    </row>
    <row r="37030" spans="1:8" customFormat="1" x14ac:dyDescent="0.25">
      <c r="A37030" t="str">
        <f>"371565"</f>
        <v>371565</v>
      </c>
      <c r="B37030" t="s">
        <v>4888</v>
      </c>
      <c r="C37030" t="s">
        <v>598</v>
      </c>
      <c r="D37030" s="21" t="s">
        <v>34</v>
      </c>
      <c r="E37030" s="21" t="s">
        <v>1089</v>
      </c>
      <c r="F37030">
        <v>4370655</v>
      </c>
      <c r="G37030" t="s">
        <v>14574</v>
      </c>
      <c r="H37030" s="21">
        <v>492.67</v>
      </c>
    </row>
    <row r="37031" spans="1:8" customFormat="1" x14ac:dyDescent="0.25">
      <c r="A37031" t="str">
        <f>"2939938"</f>
        <v>2939938</v>
      </c>
      <c r="B37031" t="s">
        <v>13294</v>
      </c>
      <c r="C37031" t="s">
        <v>1665</v>
      </c>
      <c r="D37031" s="21" t="s">
        <v>34</v>
      </c>
      <c r="E37031" s="21" t="s">
        <v>254</v>
      </c>
      <c r="F37031">
        <v>3290203</v>
      </c>
      <c r="G37031" t="s">
        <v>9395</v>
      </c>
      <c r="H37031" s="21">
        <v>492.67</v>
      </c>
    </row>
    <row r="37032" spans="1:8" customFormat="1" x14ac:dyDescent="0.25">
      <c r="A37032" t="str">
        <f>"6316542"</f>
        <v>6316542</v>
      </c>
      <c r="B37032" t="s">
        <v>5516</v>
      </c>
      <c r="C37032" t="s">
        <v>40</v>
      </c>
      <c r="D37032" s="21" t="s">
        <v>34</v>
      </c>
      <c r="E37032" s="21" t="s">
        <v>71</v>
      </c>
      <c r="F37032">
        <v>1630185</v>
      </c>
      <c r="G37032" t="s">
        <v>858</v>
      </c>
      <c r="H37032" s="21">
        <v>492.62</v>
      </c>
    </row>
    <row r="37033" spans="1:8" customFormat="1" x14ac:dyDescent="0.25">
      <c r="A37033" t="str">
        <f>"9444113"</f>
        <v>9444113</v>
      </c>
      <c r="B37033" t="s">
        <v>14762</v>
      </c>
      <c r="C37033" t="s">
        <v>40</v>
      </c>
      <c r="D37033" s="21" t="s">
        <v>34</v>
      </c>
      <c r="E37033" s="21" t="s">
        <v>254</v>
      </c>
      <c r="F37033">
        <v>8940459</v>
      </c>
      <c r="G37033" t="s">
        <v>743</v>
      </c>
      <c r="H37033" s="21">
        <v>492.54</v>
      </c>
    </row>
    <row r="37034" spans="1:8" customFormat="1" x14ac:dyDescent="0.25">
      <c r="A37034" t="str">
        <f>"9445131"</f>
        <v>9445131</v>
      </c>
      <c r="B37034" t="s">
        <v>23504</v>
      </c>
      <c r="C37034" t="s">
        <v>817</v>
      </c>
      <c r="D37034" s="21" t="s">
        <v>34</v>
      </c>
      <c r="E37034" s="21" t="s">
        <v>71</v>
      </c>
      <c r="F37034">
        <v>8941460</v>
      </c>
      <c r="G37034" t="s">
        <v>7189</v>
      </c>
      <c r="H37034" s="21">
        <v>492.5</v>
      </c>
    </row>
    <row r="37035" spans="1:8" customFormat="1" x14ac:dyDescent="0.25">
      <c r="A37035" t="str">
        <f>"407597"</f>
        <v>407597</v>
      </c>
      <c r="B37035" t="s">
        <v>8461</v>
      </c>
      <c r="C37035" t="s">
        <v>24867</v>
      </c>
      <c r="D37035" s="21" t="s">
        <v>34</v>
      </c>
      <c r="E37035" s="21" t="s">
        <v>35</v>
      </c>
      <c r="F37035">
        <v>10400002</v>
      </c>
      <c r="G37035" t="s">
        <v>1975</v>
      </c>
      <c r="H37035" s="21">
        <v>492.5</v>
      </c>
    </row>
    <row r="37036" spans="1:8" customFormat="1" x14ac:dyDescent="0.25">
      <c r="A37036" t="str">
        <f>"1614095"</f>
        <v>1614095</v>
      </c>
      <c r="B37036" t="s">
        <v>24473</v>
      </c>
      <c r="C37036" t="s">
        <v>149</v>
      </c>
      <c r="D37036" s="21" t="s">
        <v>34</v>
      </c>
      <c r="E37036" s="21" t="s">
        <v>35</v>
      </c>
      <c r="F37036">
        <v>10160197</v>
      </c>
      <c r="G37036" t="s">
        <v>4472</v>
      </c>
      <c r="H37036" s="21">
        <v>492.5</v>
      </c>
    </row>
    <row r="37037" spans="1:8" customFormat="1" x14ac:dyDescent="0.25">
      <c r="A37037" t="str">
        <f>"3325720"</f>
        <v>3325720</v>
      </c>
      <c r="B37037" t="s">
        <v>23637</v>
      </c>
      <c r="C37037" t="s">
        <v>2907</v>
      </c>
      <c r="D37037" s="21" t="s">
        <v>34</v>
      </c>
      <c r="E37037" s="21" t="s">
        <v>254</v>
      </c>
      <c r="F37037">
        <v>10330125</v>
      </c>
      <c r="G37037" t="s">
        <v>3753</v>
      </c>
      <c r="H37037" s="21">
        <v>492.5</v>
      </c>
    </row>
    <row r="37038" spans="1:8" customFormat="1" x14ac:dyDescent="0.25">
      <c r="A37038" t="str">
        <f>"5979443"</f>
        <v>5979443</v>
      </c>
      <c r="B37038" t="s">
        <v>24410</v>
      </c>
      <c r="C37038" t="s">
        <v>486</v>
      </c>
      <c r="D37038" s="21" t="s">
        <v>34</v>
      </c>
      <c r="E37038" s="21" t="s">
        <v>35</v>
      </c>
      <c r="F37038">
        <v>7590228</v>
      </c>
      <c r="G37038" t="s">
        <v>1798</v>
      </c>
      <c r="H37038" s="21">
        <v>492.5</v>
      </c>
    </row>
    <row r="37039" spans="1:8" customFormat="1" x14ac:dyDescent="0.25">
      <c r="A37039" t="str">
        <f>"618097"</f>
        <v>618097</v>
      </c>
      <c r="B37039" t="s">
        <v>8923</v>
      </c>
      <c r="C37039" t="s">
        <v>2520</v>
      </c>
      <c r="D37039" s="21" t="s">
        <v>34</v>
      </c>
      <c r="E37039" s="21" t="s">
        <v>6185</v>
      </c>
      <c r="F37039">
        <v>9610122</v>
      </c>
      <c r="G37039" t="s">
        <v>4349</v>
      </c>
      <c r="H37039" s="21">
        <v>492.5</v>
      </c>
    </row>
    <row r="37040" spans="1:8" customFormat="1" x14ac:dyDescent="0.25">
      <c r="A37040" t="str">
        <f>"9137857"</f>
        <v>9137857</v>
      </c>
      <c r="B37040" t="s">
        <v>22695</v>
      </c>
      <c r="C37040" t="s">
        <v>87</v>
      </c>
      <c r="D37040" s="21" t="s">
        <v>34</v>
      </c>
      <c r="E37040" s="21" t="s">
        <v>35</v>
      </c>
      <c r="F37040">
        <v>8911379</v>
      </c>
      <c r="G37040" t="s">
        <v>8430</v>
      </c>
      <c r="H37040" s="21">
        <v>492.5</v>
      </c>
    </row>
    <row r="37041" spans="1:8" customFormat="1" x14ac:dyDescent="0.25">
      <c r="A37041" t="str">
        <f>"707244"</f>
        <v>707244</v>
      </c>
      <c r="B37041" t="s">
        <v>4909</v>
      </c>
      <c r="C37041" t="s">
        <v>33</v>
      </c>
      <c r="D37041" s="21" t="s">
        <v>34</v>
      </c>
      <c r="E37041" s="21" t="s">
        <v>35</v>
      </c>
      <c r="F37041">
        <v>2700094</v>
      </c>
      <c r="G37041" t="s">
        <v>18448</v>
      </c>
      <c r="H37041" s="21">
        <v>492.5</v>
      </c>
    </row>
    <row r="37042" spans="1:8" customFormat="1" x14ac:dyDescent="0.25">
      <c r="A37042" t="str">
        <f>"9413317"</f>
        <v>9413317</v>
      </c>
      <c r="B37042" t="s">
        <v>12715</v>
      </c>
      <c r="C37042" t="s">
        <v>1025</v>
      </c>
      <c r="D37042" s="21" t="s">
        <v>34</v>
      </c>
      <c r="E37042" s="21" t="s">
        <v>6185</v>
      </c>
      <c r="F37042">
        <v>8940872</v>
      </c>
      <c r="G37042" t="s">
        <v>4687</v>
      </c>
      <c r="H37042" s="21">
        <v>492.5</v>
      </c>
    </row>
    <row r="37043" spans="1:8" customFormat="1" x14ac:dyDescent="0.25">
      <c r="A37043" t="str">
        <f>"7611437"</f>
        <v>7611437</v>
      </c>
      <c r="B37043" t="s">
        <v>23213</v>
      </c>
      <c r="C37043" t="s">
        <v>206</v>
      </c>
      <c r="D37043" s="21" t="s">
        <v>34</v>
      </c>
      <c r="E37043" s="21" t="s">
        <v>71</v>
      </c>
      <c r="F37043">
        <v>9760266</v>
      </c>
      <c r="G37043" t="s">
        <v>1891</v>
      </c>
      <c r="H37043" s="21">
        <v>492.5</v>
      </c>
    </row>
    <row r="37044" spans="1:8" customFormat="1" x14ac:dyDescent="0.25">
      <c r="A37044" t="str">
        <f>"3345347"</f>
        <v>3345347</v>
      </c>
      <c r="B37044" t="s">
        <v>8044</v>
      </c>
      <c r="C37044" t="s">
        <v>169</v>
      </c>
      <c r="D37044" s="21" t="s">
        <v>34</v>
      </c>
      <c r="E37044" s="21" t="s">
        <v>35</v>
      </c>
      <c r="F37044">
        <v>10330046</v>
      </c>
      <c r="G37044" t="s">
        <v>1787</v>
      </c>
      <c r="H37044" s="21">
        <v>492.5</v>
      </c>
    </row>
    <row r="37045" spans="1:8" customFormat="1" x14ac:dyDescent="0.25">
      <c r="A37045" t="str">
        <f>"5113989"</f>
        <v>5113989</v>
      </c>
      <c r="B37045" t="s">
        <v>23761</v>
      </c>
      <c r="C37045" t="s">
        <v>33</v>
      </c>
      <c r="D37045" s="21" t="s">
        <v>34</v>
      </c>
      <c r="E37045" s="21" t="s">
        <v>35</v>
      </c>
      <c r="F37045">
        <v>6510051</v>
      </c>
      <c r="G37045" t="s">
        <v>13878</v>
      </c>
      <c r="H37045" s="21">
        <v>492.5</v>
      </c>
    </row>
    <row r="37046" spans="1:8" customFormat="1" x14ac:dyDescent="0.25">
      <c r="A37046" t="str">
        <f>"069672"</f>
        <v>069672</v>
      </c>
      <c r="B37046" t="s">
        <v>21537</v>
      </c>
      <c r="C37046" t="s">
        <v>236</v>
      </c>
      <c r="D37046" s="21" t="s">
        <v>34</v>
      </c>
      <c r="E37046" s="21" t="s">
        <v>1089</v>
      </c>
      <c r="F37046">
        <v>13060043</v>
      </c>
      <c r="G37046" t="s">
        <v>4761</v>
      </c>
      <c r="H37046" s="21">
        <v>492.5</v>
      </c>
    </row>
    <row r="37047" spans="1:8" customFormat="1" x14ac:dyDescent="0.25">
      <c r="A37047" t="str">
        <f>"5019556"</f>
        <v>5019556</v>
      </c>
      <c r="B37047" t="s">
        <v>17397</v>
      </c>
      <c r="C37047" t="s">
        <v>415</v>
      </c>
      <c r="D37047" s="21" t="s">
        <v>34</v>
      </c>
      <c r="E37047" s="21" t="s">
        <v>35</v>
      </c>
      <c r="F37047">
        <v>9500082</v>
      </c>
      <c r="G37047" t="s">
        <v>11183</v>
      </c>
      <c r="H37047" s="21">
        <v>492.5</v>
      </c>
    </row>
    <row r="37048" spans="1:8" customFormat="1" x14ac:dyDescent="0.25">
      <c r="A37048" t="str">
        <f>"2721079"</f>
        <v>2721079</v>
      </c>
      <c r="B37048" t="s">
        <v>24701</v>
      </c>
      <c r="C37048" t="s">
        <v>3397</v>
      </c>
      <c r="D37048" s="21" t="s">
        <v>34</v>
      </c>
      <c r="E37048" s="21" t="s">
        <v>35</v>
      </c>
      <c r="F37048">
        <v>9270102</v>
      </c>
      <c r="G37048" t="s">
        <v>24383</v>
      </c>
      <c r="H37048" s="21">
        <v>492.5</v>
      </c>
    </row>
    <row r="37049" spans="1:8" customFormat="1" x14ac:dyDescent="0.25">
      <c r="A37049" t="str">
        <f>"9432738"</f>
        <v>9432738</v>
      </c>
      <c r="B37049" t="s">
        <v>29356</v>
      </c>
      <c r="C37049" t="s">
        <v>528</v>
      </c>
      <c r="D37049" s="21" t="s">
        <v>34</v>
      </c>
      <c r="E37049" s="21" t="s">
        <v>35</v>
      </c>
      <c r="F37049">
        <v>8751271</v>
      </c>
      <c r="G37049" t="s">
        <v>1067</v>
      </c>
      <c r="H37049" s="21">
        <v>492.5</v>
      </c>
    </row>
    <row r="37050" spans="1:8" customFormat="1" x14ac:dyDescent="0.25">
      <c r="A37050" t="str">
        <f>"4937822"</f>
        <v>4937822</v>
      </c>
      <c r="B37050" t="s">
        <v>19428</v>
      </c>
      <c r="C37050" t="s">
        <v>147</v>
      </c>
      <c r="D37050" s="21" t="s">
        <v>34</v>
      </c>
      <c r="E37050" s="21" t="s">
        <v>35</v>
      </c>
      <c r="F37050">
        <v>12490129</v>
      </c>
      <c r="G37050" t="s">
        <v>7607</v>
      </c>
      <c r="H37050" s="21">
        <v>492.5</v>
      </c>
    </row>
    <row r="37051" spans="1:8" customFormat="1" x14ac:dyDescent="0.25">
      <c r="A37051" t="str">
        <f>"091602"</f>
        <v>091602</v>
      </c>
      <c r="B37051" t="s">
        <v>24137</v>
      </c>
      <c r="C37051" t="s">
        <v>55</v>
      </c>
      <c r="D37051" s="21" t="s">
        <v>34</v>
      </c>
      <c r="E37051" s="21" t="s">
        <v>35</v>
      </c>
      <c r="F37051">
        <v>11090002</v>
      </c>
      <c r="G37051" t="s">
        <v>901</v>
      </c>
      <c r="H37051" s="21">
        <v>492.5</v>
      </c>
    </row>
    <row r="37052" spans="1:8" customFormat="1" x14ac:dyDescent="0.25">
      <c r="A37052" t="str">
        <f>"103234"</f>
        <v>103234</v>
      </c>
      <c r="B37052" t="s">
        <v>11010</v>
      </c>
      <c r="C37052" t="s">
        <v>4842</v>
      </c>
      <c r="D37052" s="21" t="s">
        <v>34</v>
      </c>
      <c r="E37052" s="21" t="s">
        <v>254</v>
      </c>
      <c r="F37052">
        <v>6100005</v>
      </c>
      <c r="G37052" t="s">
        <v>855</v>
      </c>
      <c r="H37052" s="21">
        <v>492.5</v>
      </c>
    </row>
    <row r="37053" spans="1:8" customFormat="1" x14ac:dyDescent="0.25">
      <c r="A37053" t="str">
        <f>"4458196"</f>
        <v>4458196</v>
      </c>
      <c r="B37053" t="s">
        <v>19175</v>
      </c>
      <c r="C37053" t="s">
        <v>33</v>
      </c>
      <c r="D37053" s="21" t="s">
        <v>34</v>
      </c>
      <c r="E37053" s="21" t="s">
        <v>71</v>
      </c>
      <c r="F37053">
        <v>12440021</v>
      </c>
      <c r="G37053" t="s">
        <v>429</v>
      </c>
      <c r="H37053" s="21">
        <v>492.5</v>
      </c>
    </row>
    <row r="37054" spans="1:8" customFormat="1" x14ac:dyDescent="0.25">
      <c r="A37054" t="str">
        <f>"4113710"</f>
        <v>4113710</v>
      </c>
      <c r="B37054" t="s">
        <v>5435</v>
      </c>
      <c r="C37054" t="s">
        <v>169</v>
      </c>
      <c r="D37054" s="21" t="s">
        <v>34</v>
      </c>
      <c r="E37054" s="21" t="s">
        <v>71</v>
      </c>
      <c r="F37054">
        <v>4410594</v>
      </c>
      <c r="G37054" t="s">
        <v>10169</v>
      </c>
      <c r="H37054" s="21">
        <v>492.5</v>
      </c>
    </row>
    <row r="37055" spans="1:8" customFormat="1" x14ac:dyDescent="0.25">
      <c r="A37055" t="str">
        <f>"6022835"</f>
        <v>6022835</v>
      </c>
      <c r="B37055" t="s">
        <v>15656</v>
      </c>
      <c r="C37055" t="s">
        <v>2232</v>
      </c>
      <c r="D37055" s="21" t="s">
        <v>34</v>
      </c>
      <c r="E37055" s="21" t="s">
        <v>1089</v>
      </c>
      <c r="F37055">
        <v>7600070</v>
      </c>
      <c r="G37055" t="s">
        <v>542</v>
      </c>
      <c r="H37055" s="21">
        <v>492.5</v>
      </c>
    </row>
    <row r="37056" spans="1:8" customFormat="1" x14ac:dyDescent="0.25">
      <c r="A37056" t="str">
        <f>"0619760"</f>
        <v>0619760</v>
      </c>
      <c r="B37056" t="s">
        <v>29357</v>
      </c>
      <c r="C37056" t="s">
        <v>29358</v>
      </c>
      <c r="D37056" s="21" t="s">
        <v>34</v>
      </c>
      <c r="E37056" s="21" t="s">
        <v>71</v>
      </c>
      <c r="F37056">
        <v>13060101</v>
      </c>
      <c r="G37056" t="s">
        <v>5947</v>
      </c>
      <c r="H37056" s="21">
        <v>492.5</v>
      </c>
    </row>
    <row r="37057" spans="1:8" customFormat="1" x14ac:dyDescent="0.25">
      <c r="A37057" t="str">
        <f>"5982640"</f>
        <v>5982640</v>
      </c>
      <c r="B37057" t="s">
        <v>14901</v>
      </c>
      <c r="C37057" t="s">
        <v>459</v>
      </c>
      <c r="D37057" s="21" t="s">
        <v>34</v>
      </c>
      <c r="E37057" s="21" t="s">
        <v>35</v>
      </c>
      <c r="F37057">
        <v>7590428</v>
      </c>
      <c r="G37057" t="s">
        <v>27183</v>
      </c>
      <c r="H37057" s="21">
        <v>492.5</v>
      </c>
    </row>
    <row r="37058" spans="1:8" customFormat="1" x14ac:dyDescent="0.25">
      <c r="A37058" t="str">
        <f>"6315539"</f>
        <v>6315539</v>
      </c>
      <c r="B37058" t="s">
        <v>24419</v>
      </c>
      <c r="C37058" t="s">
        <v>114</v>
      </c>
      <c r="D37058" s="21" t="s">
        <v>34</v>
      </c>
      <c r="E37058" s="21" t="s">
        <v>35</v>
      </c>
      <c r="F37058">
        <v>1630241</v>
      </c>
      <c r="G37058" t="s">
        <v>4519</v>
      </c>
      <c r="H37058" s="21">
        <v>492.5</v>
      </c>
    </row>
    <row r="37059" spans="1:8" customFormat="1" x14ac:dyDescent="0.25">
      <c r="A37059" t="str">
        <f>"4445156"</f>
        <v>4445156</v>
      </c>
      <c r="B37059" t="s">
        <v>24518</v>
      </c>
      <c r="C37059" t="s">
        <v>124</v>
      </c>
      <c r="D37059" s="21" t="s">
        <v>34</v>
      </c>
      <c r="E37059" s="21" t="s">
        <v>254</v>
      </c>
      <c r="F37059">
        <v>12440239</v>
      </c>
      <c r="G37059" t="s">
        <v>11158</v>
      </c>
      <c r="H37059" s="21">
        <v>492.5</v>
      </c>
    </row>
    <row r="37060" spans="1:8" customFormat="1" x14ac:dyDescent="0.25">
      <c r="A37060" t="str">
        <f>"597179"</f>
        <v>597179</v>
      </c>
      <c r="B37060" t="s">
        <v>24316</v>
      </c>
      <c r="C37060" t="s">
        <v>1119</v>
      </c>
      <c r="D37060" s="21" t="s">
        <v>34</v>
      </c>
      <c r="E37060" s="21" t="s">
        <v>6185</v>
      </c>
      <c r="F37060">
        <v>7590012</v>
      </c>
      <c r="G37060" t="s">
        <v>15886</v>
      </c>
      <c r="H37060" s="21">
        <v>492.5</v>
      </c>
    </row>
    <row r="37061" spans="1:8" customFormat="1" x14ac:dyDescent="0.25">
      <c r="A37061" t="str">
        <f>"898058"</f>
        <v>898058</v>
      </c>
      <c r="B37061" t="s">
        <v>11076</v>
      </c>
      <c r="C37061" t="s">
        <v>3010</v>
      </c>
      <c r="D37061" s="21" t="s">
        <v>34</v>
      </c>
      <c r="E37061" s="21" t="s">
        <v>1089</v>
      </c>
      <c r="F37061">
        <v>2890061</v>
      </c>
      <c r="G37061" t="s">
        <v>13076</v>
      </c>
      <c r="H37061" s="21">
        <v>492.5</v>
      </c>
    </row>
    <row r="37062" spans="1:8" customFormat="1" x14ac:dyDescent="0.25">
      <c r="A37062" t="str">
        <f>"6222959"</f>
        <v>6222959</v>
      </c>
      <c r="B37062" t="s">
        <v>16975</v>
      </c>
      <c r="C37062" t="s">
        <v>239</v>
      </c>
      <c r="D37062" s="21" t="s">
        <v>34</v>
      </c>
      <c r="E37062" s="21" t="s">
        <v>35</v>
      </c>
      <c r="F37062">
        <v>7620147</v>
      </c>
      <c r="G37062" t="s">
        <v>4455</v>
      </c>
      <c r="H37062" s="21">
        <v>492.5</v>
      </c>
    </row>
    <row r="37063" spans="1:8" customFormat="1" x14ac:dyDescent="0.25">
      <c r="A37063" t="str">
        <f>"6230946"</f>
        <v>6230946</v>
      </c>
      <c r="B37063" t="s">
        <v>23837</v>
      </c>
      <c r="C37063" t="s">
        <v>712</v>
      </c>
      <c r="D37063" s="21" t="s">
        <v>34</v>
      </c>
      <c r="E37063" s="21" t="s">
        <v>254</v>
      </c>
      <c r="F37063">
        <v>7620130</v>
      </c>
      <c r="G37063" t="s">
        <v>4386</v>
      </c>
      <c r="H37063" s="21">
        <v>492.5</v>
      </c>
    </row>
    <row r="37064" spans="1:8" customFormat="1" x14ac:dyDescent="0.25">
      <c r="A37064" t="str">
        <f>"5734524"</f>
        <v>5734524</v>
      </c>
      <c r="B37064" t="s">
        <v>4666</v>
      </c>
      <c r="C37064" t="s">
        <v>1146</v>
      </c>
      <c r="D37064" s="21" t="s">
        <v>34</v>
      </c>
      <c r="E37064" s="21" t="s">
        <v>254</v>
      </c>
      <c r="F37064">
        <v>6570019</v>
      </c>
      <c r="G37064" t="s">
        <v>1510</v>
      </c>
      <c r="H37064" s="21">
        <v>492.5</v>
      </c>
    </row>
    <row r="37065" spans="1:8" customFormat="1" x14ac:dyDescent="0.25">
      <c r="A37065" t="str">
        <f>"441480"</f>
        <v>441480</v>
      </c>
      <c r="B37065" t="s">
        <v>3706</v>
      </c>
      <c r="C37065" t="s">
        <v>1665</v>
      </c>
      <c r="D37065" s="21" t="s">
        <v>34</v>
      </c>
      <c r="E37065" s="21" t="s">
        <v>1089</v>
      </c>
      <c r="F37065">
        <v>12440038</v>
      </c>
      <c r="G37065" t="s">
        <v>2057</v>
      </c>
      <c r="H37065" s="21">
        <v>492.5</v>
      </c>
    </row>
    <row r="37066" spans="1:8" customFormat="1" x14ac:dyDescent="0.25">
      <c r="A37066" t="str">
        <f>"4530244"</f>
        <v>4530244</v>
      </c>
      <c r="B37066" t="s">
        <v>14245</v>
      </c>
      <c r="C37066" t="s">
        <v>484</v>
      </c>
      <c r="D37066" s="21" t="s">
        <v>34</v>
      </c>
      <c r="E37066" s="21" t="s">
        <v>35</v>
      </c>
      <c r="F37066">
        <v>4450733</v>
      </c>
      <c r="G37066" t="s">
        <v>3567</v>
      </c>
      <c r="H37066" s="21">
        <v>492.5</v>
      </c>
    </row>
    <row r="37067" spans="1:8" customFormat="1" x14ac:dyDescent="0.25">
      <c r="A37067" t="str">
        <f>"7510879"</f>
        <v>7510879</v>
      </c>
      <c r="B37067" t="s">
        <v>29359</v>
      </c>
      <c r="C37067" t="s">
        <v>415</v>
      </c>
      <c r="D37067" s="21" t="s">
        <v>34</v>
      </c>
      <c r="E37067" s="21" t="s">
        <v>254</v>
      </c>
      <c r="F37067">
        <v>8750074</v>
      </c>
      <c r="G37067" t="s">
        <v>698</v>
      </c>
      <c r="H37067" s="21">
        <v>492.5</v>
      </c>
    </row>
    <row r="37068" spans="1:8" customFormat="1" x14ac:dyDescent="0.25">
      <c r="A37068" t="str">
        <f>"4932503"</f>
        <v>4932503</v>
      </c>
      <c r="B37068" t="s">
        <v>22448</v>
      </c>
      <c r="C37068" t="s">
        <v>119</v>
      </c>
      <c r="D37068" s="21" t="s">
        <v>34</v>
      </c>
      <c r="E37068" s="21" t="s">
        <v>71</v>
      </c>
      <c r="F37068">
        <v>12490039</v>
      </c>
      <c r="G37068" t="s">
        <v>3453</v>
      </c>
      <c r="H37068" s="21">
        <v>492.5</v>
      </c>
    </row>
    <row r="37069" spans="1:8" customFormat="1" x14ac:dyDescent="0.25">
      <c r="A37069" t="str">
        <f>"9214593"</f>
        <v>9214593</v>
      </c>
      <c r="B37069" t="s">
        <v>29360</v>
      </c>
      <c r="C37069" t="s">
        <v>2365</v>
      </c>
      <c r="D37069" s="21" t="s">
        <v>34</v>
      </c>
      <c r="E37069" s="21" t="s">
        <v>254</v>
      </c>
      <c r="F37069">
        <v>12440009</v>
      </c>
      <c r="G37069" t="s">
        <v>1983</v>
      </c>
      <c r="H37069" s="21">
        <v>492.5</v>
      </c>
    </row>
    <row r="37070" spans="1:8" customFormat="1" x14ac:dyDescent="0.25">
      <c r="A37070" t="str">
        <f>"10729"</f>
        <v>10729</v>
      </c>
      <c r="B37070" t="s">
        <v>2243</v>
      </c>
      <c r="C37070" t="s">
        <v>114</v>
      </c>
      <c r="D37070" s="21" t="s">
        <v>34</v>
      </c>
      <c r="E37070" s="21" t="s">
        <v>71</v>
      </c>
      <c r="F37070">
        <v>6100002</v>
      </c>
      <c r="G37070" t="s">
        <v>1602</v>
      </c>
      <c r="H37070" s="21">
        <v>492.5</v>
      </c>
    </row>
    <row r="37071" spans="1:8" customFormat="1" x14ac:dyDescent="0.25">
      <c r="A37071" t="str">
        <f>"535381"</f>
        <v>535381</v>
      </c>
      <c r="B37071" t="s">
        <v>3260</v>
      </c>
      <c r="C37071" t="s">
        <v>267</v>
      </c>
      <c r="D37071" s="21" t="s">
        <v>34</v>
      </c>
      <c r="E37071" s="21" t="s">
        <v>254</v>
      </c>
      <c r="F37071">
        <v>12530063</v>
      </c>
      <c r="G37071" t="s">
        <v>4313</v>
      </c>
      <c r="H37071" s="21">
        <v>492.5</v>
      </c>
    </row>
    <row r="37072" spans="1:8" customFormat="1" x14ac:dyDescent="0.25">
      <c r="A37072" t="str">
        <f>"106653"</f>
        <v>106653</v>
      </c>
      <c r="B37072" t="s">
        <v>29361</v>
      </c>
      <c r="C37072" t="s">
        <v>415</v>
      </c>
      <c r="D37072" s="21" t="s">
        <v>34</v>
      </c>
      <c r="E37072" s="21" t="s">
        <v>35</v>
      </c>
      <c r="F37072">
        <v>6100002</v>
      </c>
      <c r="G37072" t="s">
        <v>1602</v>
      </c>
      <c r="H37072" s="21">
        <v>492.5</v>
      </c>
    </row>
    <row r="37073" spans="1:8" customFormat="1" x14ac:dyDescent="0.25">
      <c r="A37073" t="str">
        <f>"6316308"</f>
        <v>6316308</v>
      </c>
      <c r="B37073" t="s">
        <v>2046</v>
      </c>
      <c r="C37073" t="s">
        <v>576</v>
      </c>
      <c r="D37073" s="21" t="s">
        <v>34</v>
      </c>
      <c r="E37073" s="21" t="s">
        <v>254</v>
      </c>
      <c r="F37073">
        <v>1630145</v>
      </c>
      <c r="G37073" t="s">
        <v>13804</v>
      </c>
      <c r="H37073" s="21">
        <v>492.5</v>
      </c>
    </row>
    <row r="37074" spans="1:8" customFormat="1" x14ac:dyDescent="0.25">
      <c r="A37074" t="str">
        <f>"8819286"</f>
        <v>8819286</v>
      </c>
      <c r="B37074" t="s">
        <v>29362</v>
      </c>
      <c r="C37074" t="s">
        <v>62</v>
      </c>
      <c r="D37074" s="21" t="s">
        <v>34</v>
      </c>
      <c r="E37074" s="21" t="s">
        <v>35</v>
      </c>
      <c r="F37074">
        <v>6880101</v>
      </c>
      <c r="G37074" t="s">
        <v>6841</v>
      </c>
      <c r="H37074" s="21">
        <v>492.5</v>
      </c>
    </row>
    <row r="37075" spans="1:8" customFormat="1" x14ac:dyDescent="0.25">
      <c r="A37075" t="str">
        <f>"9458758"</f>
        <v>9458758</v>
      </c>
      <c r="B37075" t="s">
        <v>1981</v>
      </c>
      <c r="C37075" t="s">
        <v>462</v>
      </c>
      <c r="D37075" s="21" t="s">
        <v>34</v>
      </c>
      <c r="E37075" s="21" t="s">
        <v>254</v>
      </c>
      <c r="F37075">
        <v>8940448</v>
      </c>
      <c r="G37075" t="s">
        <v>1691</v>
      </c>
      <c r="H37075" s="21">
        <v>492.5</v>
      </c>
    </row>
    <row r="37076" spans="1:8" customFormat="1" x14ac:dyDescent="0.25">
      <c r="A37076" t="str">
        <f>"4711542"</f>
        <v>4711542</v>
      </c>
      <c r="B37076" t="s">
        <v>29363</v>
      </c>
      <c r="C37076" t="s">
        <v>320</v>
      </c>
      <c r="D37076" s="21" t="s">
        <v>34</v>
      </c>
      <c r="E37076" s="21" t="s">
        <v>35</v>
      </c>
      <c r="F37076">
        <v>10470007</v>
      </c>
      <c r="G37076" t="s">
        <v>3049</v>
      </c>
      <c r="H37076" s="21">
        <v>492.5</v>
      </c>
    </row>
    <row r="37077" spans="1:8" customFormat="1" x14ac:dyDescent="0.25">
      <c r="A37077" t="str">
        <f>"3010572"</f>
        <v>3010572</v>
      </c>
      <c r="B37077" t="s">
        <v>4128</v>
      </c>
      <c r="C37077" t="s">
        <v>564</v>
      </c>
      <c r="D37077" s="21" t="s">
        <v>34</v>
      </c>
      <c r="E37077" s="21" t="s">
        <v>254</v>
      </c>
      <c r="F37077">
        <v>11300015</v>
      </c>
      <c r="G37077" t="s">
        <v>12613</v>
      </c>
      <c r="H37077" s="21">
        <v>492.5</v>
      </c>
    </row>
    <row r="37078" spans="1:8" customFormat="1" x14ac:dyDescent="0.25">
      <c r="A37078" t="str">
        <f>"1715959"</f>
        <v>1715959</v>
      </c>
      <c r="B37078" t="s">
        <v>24510</v>
      </c>
      <c r="C37078" t="s">
        <v>415</v>
      </c>
      <c r="D37078" s="21" t="s">
        <v>34</v>
      </c>
      <c r="E37078" s="21" t="s">
        <v>254</v>
      </c>
      <c r="F37078">
        <v>10170007</v>
      </c>
      <c r="G37078" t="s">
        <v>12581</v>
      </c>
      <c r="H37078" s="21">
        <v>492.5</v>
      </c>
    </row>
    <row r="37079" spans="1:8" customFormat="1" x14ac:dyDescent="0.25">
      <c r="A37079" t="str">
        <f>"7841553"</f>
        <v>7841553</v>
      </c>
      <c r="B37079" t="s">
        <v>24528</v>
      </c>
      <c r="C37079" t="s">
        <v>415</v>
      </c>
      <c r="D37079" s="21" t="s">
        <v>34</v>
      </c>
      <c r="E37079" s="21" t="s">
        <v>6185</v>
      </c>
      <c r="F37079">
        <v>8780356</v>
      </c>
      <c r="G37079" t="s">
        <v>5449</v>
      </c>
      <c r="H37079" s="21">
        <v>492.5</v>
      </c>
    </row>
    <row r="37080" spans="1:8" customFormat="1" x14ac:dyDescent="0.25">
      <c r="A37080" t="str">
        <f>"245257"</f>
        <v>245257</v>
      </c>
      <c r="B37080" t="s">
        <v>10779</v>
      </c>
      <c r="C37080" t="s">
        <v>169</v>
      </c>
      <c r="D37080" s="21" t="s">
        <v>34</v>
      </c>
      <c r="E37080" s="21" t="s">
        <v>71</v>
      </c>
      <c r="F37080">
        <v>10240020</v>
      </c>
      <c r="G37080" t="s">
        <v>870</v>
      </c>
      <c r="H37080" s="21">
        <v>492.38</v>
      </c>
    </row>
    <row r="37081" spans="1:8" customFormat="1" x14ac:dyDescent="0.25">
      <c r="A37081" t="str">
        <f>"1319697"</f>
        <v>1319697</v>
      </c>
      <c r="B37081" t="s">
        <v>24682</v>
      </c>
      <c r="C37081" t="s">
        <v>33</v>
      </c>
      <c r="D37081" s="21" t="s">
        <v>34</v>
      </c>
      <c r="E37081" s="21" t="s">
        <v>35</v>
      </c>
      <c r="F37081">
        <v>13130012</v>
      </c>
      <c r="G37081" t="s">
        <v>68</v>
      </c>
      <c r="H37081" s="21">
        <v>492.38</v>
      </c>
    </row>
    <row r="37082" spans="1:8" customFormat="1" x14ac:dyDescent="0.25">
      <c r="A37082" t="str">
        <f>"2517391"</f>
        <v>2517391</v>
      </c>
      <c r="B37082" t="s">
        <v>29364</v>
      </c>
      <c r="C37082" t="s">
        <v>1853</v>
      </c>
      <c r="D37082" s="21" t="s">
        <v>34</v>
      </c>
      <c r="E37082" s="21" t="s">
        <v>35</v>
      </c>
      <c r="F37082">
        <v>2250181</v>
      </c>
      <c r="G37082" t="s">
        <v>494</v>
      </c>
      <c r="H37082" s="21">
        <v>492.29</v>
      </c>
    </row>
    <row r="37083" spans="1:8" customFormat="1" x14ac:dyDescent="0.25">
      <c r="A37083" t="str">
        <f>"7642961"</f>
        <v>7642961</v>
      </c>
      <c r="B37083" t="s">
        <v>3506</v>
      </c>
      <c r="C37083" t="s">
        <v>462</v>
      </c>
      <c r="D37083" s="21" t="s">
        <v>34</v>
      </c>
      <c r="E37083" s="21" t="s">
        <v>35</v>
      </c>
      <c r="F37083">
        <v>9760011</v>
      </c>
      <c r="G37083" t="s">
        <v>2562</v>
      </c>
      <c r="H37083" s="21">
        <v>492.25</v>
      </c>
    </row>
    <row r="37084" spans="1:8" customFormat="1" x14ac:dyDescent="0.25">
      <c r="A37084" t="str">
        <f>"1715281"</f>
        <v>1715281</v>
      </c>
      <c r="B37084" t="s">
        <v>14586</v>
      </c>
      <c r="C37084" t="s">
        <v>4842</v>
      </c>
      <c r="D37084" s="21" t="s">
        <v>34</v>
      </c>
      <c r="E37084" s="21" t="s">
        <v>6185</v>
      </c>
      <c r="F37084">
        <v>10170051</v>
      </c>
      <c r="G37084" t="s">
        <v>826</v>
      </c>
      <c r="H37084" s="21">
        <v>492.25</v>
      </c>
    </row>
    <row r="37085" spans="1:8" customFormat="1" x14ac:dyDescent="0.25">
      <c r="A37085" t="str">
        <f>"338930"</f>
        <v>338930</v>
      </c>
      <c r="B37085" t="s">
        <v>2854</v>
      </c>
      <c r="C37085" t="s">
        <v>879</v>
      </c>
      <c r="D37085" s="21" t="s">
        <v>34</v>
      </c>
      <c r="E37085" s="21" t="s">
        <v>254</v>
      </c>
      <c r="F37085">
        <v>10330084</v>
      </c>
      <c r="G37085" t="s">
        <v>1124</v>
      </c>
      <c r="H37085" s="21">
        <v>492.25</v>
      </c>
    </row>
    <row r="37086" spans="1:8" customFormat="1" x14ac:dyDescent="0.25">
      <c r="A37086" t="str">
        <f>"5933756"</f>
        <v>5933756</v>
      </c>
      <c r="B37086" t="s">
        <v>22685</v>
      </c>
      <c r="C37086" t="s">
        <v>1597</v>
      </c>
      <c r="D37086" s="21" t="s">
        <v>34</v>
      </c>
      <c r="E37086" s="21" t="s">
        <v>71</v>
      </c>
      <c r="F37086">
        <v>7590068</v>
      </c>
      <c r="G37086" t="s">
        <v>1005</v>
      </c>
      <c r="H37086" s="21">
        <v>492.25</v>
      </c>
    </row>
    <row r="37087" spans="1:8" customFormat="1" x14ac:dyDescent="0.25">
      <c r="A37087" t="str">
        <f>"5613254"</f>
        <v>5613254</v>
      </c>
      <c r="B37087" t="s">
        <v>8348</v>
      </c>
      <c r="C37087" t="s">
        <v>750</v>
      </c>
      <c r="D37087" s="21" t="s">
        <v>34</v>
      </c>
      <c r="E37087" s="21" t="s">
        <v>71</v>
      </c>
      <c r="F37087">
        <v>3560049</v>
      </c>
      <c r="G37087" t="s">
        <v>8021</v>
      </c>
      <c r="H37087" s="21">
        <v>492.17</v>
      </c>
    </row>
    <row r="37088" spans="1:8" customFormat="1" x14ac:dyDescent="0.25">
      <c r="A37088" t="str">
        <f>"6316904"</f>
        <v>6316904</v>
      </c>
      <c r="B37088" t="s">
        <v>29365</v>
      </c>
      <c r="C37088" t="s">
        <v>253</v>
      </c>
      <c r="D37088" s="21" t="s">
        <v>34</v>
      </c>
      <c r="E37088" s="21" t="s">
        <v>254</v>
      </c>
      <c r="F37088">
        <v>1630012</v>
      </c>
      <c r="G37088" t="s">
        <v>8636</v>
      </c>
      <c r="H37088" s="21">
        <v>492.17</v>
      </c>
    </row>
    <row r="37089" spans="1:8" customFormat="1" x14ac:dyDescent="0.25">
      <c r="A37089" t="str">
        <f>"896636"</f>
        <v>896636</v>
      </c>
      <c r="B37089" t="s">
        <v>21110</v>
      </c>
      <c r="C37089" t="s">
        <v>462</v>
      </c>
      <c r="D37089" s="21" t="s">
        <v>34</v>
      </c>
      <c r="E37089" s="21" t="s">
        <v>71</v>
      </c>
      <c r="F37089">
        <v>2890059</v>
      </c>
      <c r="G37089" t="s">
        <v>26651</v>
      </c>
      <c r="H37089" s="21">
        <v>492.17</v>
      </c>
    </row>
    <row r="37090" spans="1:8" customFormat="1" x14ac:dyDescent="0.25">
      <c r="A37090" t="str">
        <f>"5621979"</f>
        <v>5621979</v>
      </c>
      <c r="B37090" t="s">
        <v>29366</v>
      </c>
      <c r="C37090" t="s">
        <v>29367</v>
      </c>
      <c r="D37090" s="21" t="s">
        <v>34</v>
      </c>
      <c r="E37090" s="21" t="s">
        <v>35</v>
      </c>
      <c r="F37090">
        <v>3560063</v>
      </c>
      <c r="G37090" t="s">
        <v>16878</v>
      </c>
      <c r="H37090" s="21">
        <v>492.17</v>
      </c>
    </row>
    <row r="37091" spans="1:8" customFormat="1" x14ac:dyDescent="0.25">
      <c r="A37091" t="str">
        <f>"9453128"</f>
        <v>9453128</v>
      </c>
      <c r="B37091" t="s">
        <v>22533</v>
      </c>
      <c r="C37091" t="s">
        <v>55</v>
      </c>
      <c r="D37091" s="21" t="s">
        <v>34</v>
      </c>
      <c r="E37091" s="21" t="s">
        <v>35</v>
      </c>
      <c r="F37091">
        <v>8940926</v>
      </c>
      <c r="G37091" t="s">
        <v>4065</v>
      </c>
      <c r="H37091" s="21">
        <v>492.17</v>
      </c>
    </row>
    <row r="37092" spans="1:8" customFormat="1" x14ac:dyDescent="0.25">
      <c r="A37092" t="str">
        <f>"7220776"</f>
        <v>7220776</v>
      </c>
      <c r="B37092" t="s">
        <v>4467</v>
      </c>
      <c r="C37092" t="s">
        <v>2356</v>
      </c>
      <c r="D37092" s="21" t="s">
        <v>34</v>
      </c>
      <c r="E37092" s="21" t="s">
        <v>35</v>
      </c>
      <c r="F37092">
        <v>12720062</v>
      </c>
      <c r="G37092" t="s">
        <v>4026</v>
      </c>
      <c r="H37092" s="21">
        <v>492.17</v>
      </c>
    </row>
    <row r="37093" spans="1:8" customFormat="1" x14ac:dyDescent="0.25">
      <c r="A37093" t="str">
        <f>"3424434"</f>
        <v>3424434</v>
      </c>
      <c r="B37093" t="s">
        <v>6122</v>
      </c>
      <c r="C37093" t="s">
        <v>22226</v>
      </c>
      <c r="D37093" s="21" t="s">
        <v>34</v>
      </c>
      <c r="E37093" s="21" t="s">
        <v>35</v>
      </c>
      <c r="F37093">
        <v>11340017</v>
      </c>
      <c r="G37093" t="s">
        <v>10668</v>
      </c>
      <c r="H37093" s="21">
        <v>492.17</v>
      </c>
    </row>
    <row r="37094" spans="1:8" customFormat="1" x14ac:dyDescent="0.25">
      <c r="A37094" t="str">
        <f>"3538117"</f>
        <v>3538117</v>
      </c>
      <c r="B37094" t="s">
        <v>509</v>
      </c>
      <c r="C37094" t="s">
        <v>40</v>
      </c>
      <c r="D37094" s="21" t="s">
        <v>34</v>
      </c>
      <c r="E37094" s="21" t="s">
        <v>71</v>
      </c>
      <c r="F37094">
        <v>3350224</v>
      </c>
      <c r="G37094" t="s">
        <v>3826</v>
      </c>
      <c r="H37094" s="21">
        <v>492.17</v>
      </c>
    </row>
    <row r="37095" spans="1:8" customFormat="1" x14ac:dyDescent="0.25">
      <c r="A37095" t="str">
        <f>"7521058"</f>
        <v>7521058</v>
      </c>
      <c r="B37095" t="s">
        <v>1405</v>
      </c>
      <c r="C37095" t="s">
        <v>269</v>
      </c>
      <c r="D37095" s="21" t="s">
        <v>34</v>
      </c>
      <c r="E37095" s="21" t="s">
        <v>35</v>
      </c>
      <c r="F37095">
        <v>8751124</v>
      </c>
      <c r="G37095" t="s">
        <v>1481</v>
      </c>
      <c r="H37095" s="21">
        <v>492.12</v>
      </c>
    </row>
    <row r="37096" spans="1:8" customFormat="1" x14ac:dyDescent="0.25">
      <c r="A37096" t="str">
        <f>"7837915"</f>
        <v>7837915</v>
      </c>
      <c r="B37096" t="s">
        <v>29368</v>
      </c>
      <c r="C37096" t="s">
        <v>119</v>
      </c>
      <c r="D37096" s="21" t="s">
        <v>34</v>
      </c>
      <c r="E37096" s="21" t="s">
        <v>35</v>
      </c>
      <c r="F37096">
        <v>8780485</v>
      </c>
      <c r="G37096" t="s">
        <v>1279</v>
      </c>
      <c r="H37096" s="21">
        <v>492.12</v>
      </c>
    </row>
    <row r="37097" spans="1:8" customFormat="1" x14ac:dyDescent="0.25">
      <c r="A37097" t="str">
        <f>"7524353"</f>
        <v>7524353</v>
      </c>
      <c r="B37097" t="s">
        <v>3645</v>
      </c>
      <c r="C37097" t="s">
        <v>23466</v>
      </c>
      <c r="D37097" s="21" t="s">
        <v>34</v>
      </c>
      <c r="E37097" s="21" t="s">
        <v>71</v>
      </c>
      <c r="F37097">
        <v>8931463</v>
      </c>
      <c r="G37097" t="s">
        <v>27685</v>
      </c>
      <c r="H37097" s="21">
        <v>492.12</v>
      </c>
    </row>
    <row r="37098" spans="1:8" customFormat="1" x14ac:dyDescent="0.25">
      <c r="A37098" t="str">
        <f>"9441290"</f>
        <v>9441290</v>
      </c>
      <c r="B37098" t="s">
        <v>21359</v>
      </c>
      <c r="C37098" t="s">
        <v>169</v>
      </c>
      <c r="D37098" s="21" t="s">
        <v>34</v>
      </c>
      <c r="E37098" s="21" t="s">
        <v>71</v>
      </c>
      <c r="F37098">
        <v>8941460</v>
      </c>
      <c r="G37098" t="s">
        <v>7189</v>
      </c>
      <c r="H37098" s="21">
        <v>492.12</v>
      </c>
    </row>
    <row r="37099" spans="1:8" customFormat="1" x14ac:dyDescent="0.25">
      <c r="A37099" t="str">
        <f>"6019181"</f>
        <v>6019181</v>
      </c>
      <c r="B37099" t="s">
        <v>24313</v>
      </c>
      <c r="C37099" t="s">
        <v>1142</v>
      </c>
      <c r="D37099" s="21" t="s">
        <v>34</v>
      </c>
      <c r="E37099" s="21" t="s">
        <v>1089</v>
      </c>
      <c r="F37099">
        <v>7600046</v>
      </c>
      <c r="G37099" t="s">
        <v>2604</v>
      </c>
      <c r="H37099" s="21">
        <v>492</v>
      </c>
    </row>
    <row r="37100" spans="1:8" customFormat="1" x14ac:dyDescent="0.25">
      <c r="A37100" t="str">
        <f>"9419321"</f>
        <v>9419321</v>
      </c>
      <c r="B37100" t="s">
        <v>3318</v>
      </c>
      <c r="C37100" t="s">
        <v>285</v>
      </c>
      <c r="D37100" s="21" t="s">
        <v>34</v>
      </c>
      <c r="E37100" s="21" t="s">
        <v>71</v>
      </c>
      <c r="F37100">
        <v>8920111</v>
      </c>
      <c r="G37100" t="s">
        <v>1064</v>
      </c>
      <c r="H37100" s="21">
        <v>492</v>
      </c>
    </row>
    <row r="37101" spans="1:8" customFormat="1" x14ac:dyDescent="0.25">
      <c r="A37101" t="str">
        <f>"3834073"</f>
        <v>3834073</v>
      </c>
      <c r="B37101" t="s">
        <v>29369</v>
      </c>
      <c r="C37101" t="s">
        <v>719</v>
      </c>
      <c r="D37101" s="21" t="s">
        <v>34</v>
      </c>
      <c r="E37101" s="21" t="s">
        <v>35</v>
      </c>
      <c r="F37101">
        <v>1380275</v>
      </c>
      <c r="G37101" t="s">
        <v>8042</v>
      </c>
      <c r="H37101" s="21">
        <v>492</v>
      </c>
    </row>
    <row r="37102" spans="1:8" customFormat="1" x14ac:dyDescent="0.25">
      <c r="A37102" t="str">
        <f>"3730259"</f>
        <v>3730259</v>
      </c>
      <c r="B37102" t="s">
        <v>29370</v>
      </c>
      <c r="C37102" t="s">
        <v>60</v>
      </c>
      <c r="D37102" s="21" t="s">
        <v>34</v>
      </c>
      <c r="E37102" s="21" t="s">
        <v>35</v>
      </c>
      <c r="F37102">
        <v>4370682</v>
      </c>
      <c r="G37102" t="s">
        <v>10454</v>
      </c>
      <c r="H37102" s="21">
        <v>492</v>
      </c>
    </row>
    <row r="37103" spans="1:8" customFormat="1" x14ac:dyDescent="0.25">
      <c r="A37103" t="str">
        <f>"5113496"</f>
        <v>5113496</v>
      </c>
      <c r="B37103" t="s">
        <v>7347</v>
      </c>
      <c r="C37103" t="s">
        <v>874</v>
      </c>
      <c r="D37103" s="21" t="s">
        <v>34</v>
      </c>
      <c r="E37103" s="21" t="s">
        <v>35</v>
      </c>
      <c r="F37103">
        <v>6510040</v>
      </c>
      <c r="G37103" t="s">
        <v>9113</v>
      </c>
      <c r="H37103" s="21">
        <v>492</v>
      </c>
    </row>
    <row r="37104" spans="1:8" customFormat="1" x14ac:dyDescent="0.25">
      <c r="A37104" t="str">
        <f>"2721363"</f>
        <v>2721363</v>
      </c>
      <c r="B37104" t="s">
        <v>13184</v>
      </c>
      <c r="C37104" t="s">
        <v>33</v>
      </c>
      <c r="D37104" s="21" t="s">
        <v>34</v>
      </c>
      <c r="E37104" s="21" t="s">
        <v>35</v>
      </c>
      <c r="F37104">
        <v>9270183</v>
      </c>
      <c r="G37104" t="s">
        <v>9801</v>
      </c>
      <c r="H37104" s="21">
        <v>492</v>
      </c>
    </row>
    <row r="37105" spans="1:8" customFormat="1" x14ac:dyDescent="0.25">
      <c r="A37105" t="str">
        <f>"5618400"</f>
        <v>5618400</v>
      </c>
      <c r="B37105" t="s">
        <v>6933</v>
      </c>
      <c r="C37105" t="s">
        <v>576</v>
      </c>
      <c r="D37105" s="21" t="s">
        <v>34</v>
      </c>
      <c r="E37105" s="21" t="s">
        <v>71</v>
      </c>
      <c r="F37105">
        <v>3560049</v>
      </c>
      <c r="G37105" t="s">
        <v>8021</v>
      </c>
      <c r="H37105" s="21">
        <v>492</v>
      </c>
    </row>
    <row r="37106" spans="1:8" customFormat="1" x14ac:dyDescent="0.25">
      <c r="A37106" t="str">
        <f>"3119738"</f>
        <v>3119738</v>
      </c>
      <c r="B37106" t="s">
        <v>2023</v>
      </c>
      <c r="C37106" t="s">
        <v>33</v>
      </c>
      <c r="D37106" s="21" t="s">
        <v>34</v>
      </c>
      <c r="E37106" s="21" t="s">
        <v>71</v>
      </c>
      <c r="F37106">
        <v>11310117</v>
      </c>
      <c r="G37106" t="s">
        <v>10279</v>
      </c>
      <c r="H37106" s="21">
        <v>492</v>
      </c>
    </row>
    <row r="37107" spans="1:8" customFormat="1" x14ac:dyDescent="0.25">
      <c r="A37107" t="str">
        <f>"5432339"</f>
        <v>5432339</v>
      </c>
      <c r="B37107" t="s">
        <v>1592</v>
      </c>
      <c r="C37107" t="s">
        <v>598</v>
      </c>
      <c r="D37107" s="21" t="s">
        <v>34</v>
      </c>
      <c r="E37107" s="21" t="s">
        <v>254</v>
      </c>
      <c r="F37107">
        <v>6540016</v>
      </c>
      <c r="G37107" t="s">
        <v>14523</v>
      </c>
      <c r="H37107" s="21">
        <v>492</v>
      </c>
    </row>
    <row r="37108" spans="1:8" customFormat="1" x14ac:dyDescent="0.25">
      <c r="A37108" t="str">
        <f>"2720727"</f>
        <v>2720727</v>
      </c>
      <c r="B37108" t="s">
        <v>24464</v>
      </c>
      <c r="C37108" t="s">
        <v>598</v>
      </c>
      <c r="D37108" s="21" t="s">
        <v>34</v>
      </c>
      <c r="E37108" s="21" t="s">
        <v>1089</v>
      </c>
      <c r="F37108">
        <v>9270187</v>
      </c>
      <c r="G37108" t="s">
        <v>6733</v>
      </c>
      <c r="H37108" s="21">
        <v>492</v>
      </c>
    </row>
    <row r="37109" spans="1:8" customFormat="1" x14ac:dyDescent="0.25">
      <c r="A37109" t="str">
        <f>"9246144"</f>
        <v>9246144</v>
      </c>
      <c r="B37109" t="s">
        <v>24226</v>
      </c>
      <c r="C37109" t="s">
        <v>13812</v>
      </c>
      <c r="D37109" s="21" t="s">
        <v>34</v>
      </c>
      <c r="E37109" s="21" t="s">
        <v>71</v>
      </c>
      <c r="F37109">
        <v>8920066</v>
      </c>
      <c r="G37109" t="s">
        <v>4899</v>
      </c>
      <c r="H37109" s="21">
        <v>492</v>
      </c>
    </row>
    <row r="37110" spans="1:8" customFormat="1" x14ac:dyDescent="0.25">
      <c r="A37110" t="str">
        <f>"667726"</f>
        <v>667726</v>
      </c>
      <c r="B37110" t="s">
        <v>24428</v>
      </c>
      <c r="C37110" t="s">
        <v>43</v>
      </c>
      <c r="D37110" s="21" t="s">
        <v>34</v>
      </c>
      <c r="E37110" s="21" t="s">
        <v>1089</v>
      </c>
      <c r="F37110">
        <v>11660032</v>
      </c>
      <c r="G37110" t="s">
        <v>3232</v>
      </c>
      <c r="H37110" s="21">
        <v>492</v>
      </c>
    </row>
    <row r="37111" spans="1:8" customFormat="1" x14ac:dyDescent="0.25">
      <c r="A37111" t="str">
        <f>"4219481"</f>
        <v>4219481</v>
      </c>
      <c r="B37111" t="s">
        <v>185</v>
      </c>
      <c r="C37111" t="s">
        <v>415</v>
      </c>
      <c r="D37111" s="21" t="s">
        <v>34</v>
      </c>
      <c r="E37111" s="21" t="s">
        <v>71</v>
      </c>
      <c r="F37111">
        <v>1420106</v>
      </c>
      <c r="G37111" t="s">
        <v>6244</v>
      </c>
      <c r="H37111" s="21">
        <v>492</v>
      </c>
    </row>
    <row r="37112" spans="1:8" customFormat="1" x14ac:dyDescent="0.25">
      <c r="A37112" t="str">
        <f>"5114089"</f>
        <v>5114089</v>
      </c>
      <c r="B37112" t="s">
        <v>16325</v>
      </c>
      <c r="C37112" t="s">
        <v>608</v>
      </c>
      <c r="D37112" s="21" t="s">
        <v>34</v>
      </c>
      <c r="E37112" s="21" t="s">
        <v>35</v>
      </c>
      <c r="F37112">
        <v>6510115</v>
      </c>
      <c r="G37112" t="s">
        <v>27329</v>
      </c>
      <c r="H37112" s="21">
        <v>492</v>
      </c>
    </row>
    <row r="37113" spans="1:8" customFormat="1" x14ac:dyDescent="0.25">
      <c r="A37113" t="str">
        <f>"6233655"</f>
        <v>6233655</v>
      </c>
      <c r="B37113" t="s">
        <v>29371</v>
      </c>
      <c r="C37113" t="s">
        <v>1812</v>
      </c>
      <c r="D37113" s="21" t="s">
        <v>34</v>
      </c>
      <c r="E37113" s="21" t="s">
        <v>35</v>
      </c>
      <c r="F37113">
        <v>7620186</v>
      </c>
      <c r="G37113" t="s">
        <v>28649</v>
      </c>
      <c r="H37113" s="21">
        <v>492</v>
      </c>
    </row>
    <row r="37114" spans="1:8" customFormat="1" x14ac:dyDescent="0.25">
      <c r="A37114" t="str">
        <f>"4457871"</f>
        <v>4457871</v>
      </c>
      <c r="B37114" t="s">
        <v>29372</v>
      </c>
      <c r="C37114" t="s">
        <v>198</v>
      </c>
      <c r="D37114" s="21" t="s">
        <v>34</v>
      </c>
      <c r="E37114" s="21" t="s">
        <v>71</v>
      </c>
      <c r="F37114">
        <v>12440070</v>
      </c>
      <c r="G37114" t="s">
        <v>5224</v>
      </c>
      <c r="H37114" s="21">
        <v>492</v>
      </c>
    </row>
    <row r="37115" spans="1:8" customFormat="1" x14ac:dyDescent="0.25">
      <c r="A37115" t="str">
        <f>"4113488"</f>
        <v>4113488</v>
      </c>
      <c r="B37115" t="s">
        <v>13465</v>
      </c>
      <c r="C37115" t="s">
        <v>121</v>
      </c>
      <c r="D37115" s="21" t="s">
        <v>34</v>
      </c>
      <c r="E37115" s="21" t="s">
        <v>35</v>
      </c>
      <c r="F37115">
        <v>4410537</v>
      </c>
      <c r="G37115" t="s">
        <v>6515</v>
      </c>
      <c r="H37115" s="21">
        <v>492</v>
      </c>
    </row>
    <row r="37116" spans="1:8" customFormat="1" x14ac:dyDescent="0.25">
      <c r="A37116" t="str">
        <f>"9312721"</f>
        <v>9312721</v>
      </c>
      <c r="B37116" t="s">
        <v>4649</v>
      </c>
      <c r="C37116" t="s">
        <v>55</v>
      </c>
      <c r="D37116" s="21" t="s">
        <v>34</v>
      </c>
      <c r="E37116" s="21" t="s">
        <v>71</v>
      </c>
      <c r="F37116">
        <v>8930490</v>
      </c>
      <c r="G37116" t="s">
        <v>1563</v>
      </c>
      <c r="H37116" s="21">
        <v>492</v>
      </c>
    </row>
    <row r="37117" spans="1:8" customFormat="1" x14ac:dyDescent="0.25">
      <c r="A37117" t="str">
        <f>"0620044"</f>
        <v>0620044</v>
      </c>
      <c r="B37117" t="s">
        <v>8970</v>
      </c>
      <c r="C37117" t="s">
        <v>40</v>
      </c>
      <c r="D37117" s="21" t="s">
        <v>34</v>
      </c>
      <c r="E37117" s="21" t="s">
        <v>71</v>
      </c>
      <c r="F37117">
        <v>13060064</v>
      </c>
      <c r="G37117" t="s">
        <v>976</v>
      </c>
      <c r="H37117" s="21">
        <v>492</v>
      </c>
    </row>
    <row r="37118" spans="1:8" customFormat="1" x14ac:dyDescent="0.25">
      <c r="A37118" t="str">
        <f>"737497"</f>
        <v>737497</v>
      </c>
      <c r="B37118" t="s">
        <v>22794</v>
      </c>
      <c r="C37118" t="s">
        <v>169</v>
      </c>
      <c r="D37118" s="21" t="s">
        <v>34</v>
      </c>
      <c r="E37118" s="21" t="s">
        <v>35</v>
      </c>
      <c r="F37118">
        <v>1730090</v>
      </c>
      <c r="G37118" t="s">
        <v>19889</v>
      </c>
      <c r="H37118" s="21">
        <v>492</v>
      </c>
    </row>
    <row r="37119" spans="1:8" customFormat="1" x14ac:dyDescent="0.25">
      <c r="A37119" t="str">
        <f>"039213"</f>
        <v>039213</v>
      </c>
      <c r="B37119" t="s">
        <v>27771</v>
      </c>
      <c r="C37119" t="s">
        <v>109</v>
      </c>
      <c r="D37119" s="21" t="s">
        <v>34</v>
      </c>
      <c r="E37119" s="21" t="s">
        <v>35</v>
      </c>
      <c r="F37119">
        <v>1030165</v>
      </c>
      <c r="G37119" t="s">
        <v>2357</v>
      </c>
      <c r="H37119" s="21">
        <v>492</v>
      </c>
    </row>
    <row r="37120" spans="1:8" customFormat="1" x14ac:dyDescent="0.25">
      <c r="A37120" t="str">
        <f>"5019725"</f>
        <v>5019725</v>
      </c>
      <c r="B37120" t="s">
        <v>22031</v>
      </c>
      <c r="C37120" t="s">
        <v>22032</v>
      </c>
      <c r="D37120" s="21" t="s">
        <v>34</v>
      </c>
      <c r="E37120" s="21" t="s">
        <v>1089</v>
      </c>
      <c r="F37120">
        <v>9500160</v>
      </c>
      <c r="G37120" t="s">
        <v>11418</v>
      </c>
      <c r="H37120" s="21">
        <v>492</v>
      </c>
    </row>
    <row r="37121" spans="1:8" customFormat="1" x14ac:dyDescent="0.25">
      <c r="A37121" t="str">
        <f>"7222309"</f>
        <v>7222309</v>
      </c>
      <c r="B37121" t="s">
        <v>29373</v>
      </c>
      <c r="C37121" t="s">
        <v>2208</v>
      </c>
      <c r="D37121" s="21" t="s">
        <v>34</v>
      </c>
      <c r="E37121" s="21" t="s">
        <v>35</v>
      </c>
      <c r="F37121">
        <v>12720079</v>
      </c>
      <c r="G37121" t="s">
        <v>4028</v>
      </c>
      <c r="H37121" s="21">
        <v>492</v>
      </c>
    </row>
    <row r="37122" spans="1:8" customFormat="1" x14ac:dyDescent="0.25">
      <c r="A37122" t="str">
        <f>"0111827"</f>
        <v>0111827</v>
      </c>
      <c r="B37122" t="s">
        <v>13121</v>
      </c>
      <c r="C37122" t="s">
        <v>415</v>
      </c>
      <c r="D37122" s="21" t="s">
        <v>34</v>
      </c>
      <c r="E37122" s="21" t="s">
        <v>71</v>
      </c>
      <c r="F37122">
        <v>1010071</v>
      </c>
      <c r="G37122" t="s">
        <v>8104</v>
      </c>
      <c r="H37122" s="21">
        <v>492</v>
      </c>
    </row>
    <row r="37123" spans="1:8" customFormat="1" x14ac:dyDescent="0.25">
      <c r="A37123" t="str">
        <f>"5017677"</f>
        <v>5017677</v>
      </c>
      <c r="B37123" t="s">
        <v>25893</v>
      </c>
      <c r="C37123" t="s">
        <v>269</v>
      </c>
      <c r="D37123" s="21" t="s">
        <v>34</v>
      </c>
      <c r="E37123" s="21" t="s">
        <v>71</v>
      </c>
      <c r="F37123">
        <v>9500009</v>
      </c>
      <c r="G37123" t="s">
        <v>2230</v>
      </c>
      <c r="H37123" s="21">
        <v>492</v>
      </c>
    </row>
    <row r="37124" spans="1:8" customFormat="1" x14ac:dyDescent="0.25">
      <c r="A37124" t="str">
        <f>"4919045"</f>
        <v>4919045</v>
      </c>
      <c r="B37124" t="s">
        <v>14766</v>
      </c>
      <c r="C37124" t="s">
        <v>305</v>
      </c>
      <c r="D37124" s="21" t="s">
        <v>34</v>
      </c>
      <c r="E37124" s="21" t="s">
        <v>35</v>
      </c>
      <c r="F37124">
        <v>4410729</v>
      </c>
      <c r="G37124" t="s">
        <v>4427</v>
      </c>
      <c r="H37124" s="21">
        <v>492</v>
      </c>
    </row>
    <row r="37125" spans="1:8" customFormat="1" x14ac:dyDescent="0.25">
      <c r="A37125" t="str">
        <f>"3828062"</f>
        <v>3828062</v>
      </c>
      <c r="B37125" t="s">
        <v>15497</v>
      </c>
      <c r="C37125" t="s">
        <v>65</v>
      </c>
      <c r="D37125" s="21" t="s">
        <v>34</v>
      </c>
      <c r="E37125" s="21" t="s">
        <v>71</v>
      </c>
      <c r="F37125">
        <v>1380157</v>
      </c>
      <c r="G37125" t="s">
        <v>9044</v>
      </c>
      <c r="H37125" s="21">
        <v>492</v>
      </c>
    </row>
    <row r="37126" spans="1:8" customFormat="1" x14ac:dyDescent="0.25">
      <c r="A37126" t="str">
        <f>"954011"</f>
        <v>954011</v>
      </c>
      <c r="B37126" t="s">
        <v>23620</v>
      </c>
      <c r="C37126" t="s">
        <v>267</v>
      </c>
      <c r="D37126" s="21" t="s">
        <v>34</v>
      </c>
      <c r="E37126" s="21" t="s">
        <v>1089</v>
      </c>
      <c r="F37126">
        <v>8950348</v>
      </c>
      <c r="G37126" t="s">
        <v>491</v>
      </c>
      <c r="H37126" s="21">
        <v>492</v>
      </c>
    </row>
    <row r="37127" spans="1:8" customFormat="1" x14ac:dyDescent="0.25">
      <c r="A37127" t="str">
        <f>"3720229"</f>
        <v>3720229</v>
      </c>
      <c r="B37127" t="s">
        <v>3847</v>
      </c>
      <c r="C37127" t="s">
        <v>547</v>
      </c>
      <c r="D37127" s="21" t="s">
        <v>34</v>
      </c>
      <c r="E37127" s="21" t="s">
        <v>1089</v>
      </c>
      <c r="F37127">
        <v>4370637</v>
      </c>
      <c r="G37127" t="s">
        <v>3941</v>
      </c>
      <c r="H37127" s="21">
        <v>492</v>
      </c>
    </row>
    <row r="37128" spans="1:8" customFormat="1" x14ac:dyDescent="0.25">
      <c r="A37128" t="str">
        <f>"365439"</f>
        <v>365439</v>
      </c>
      <c r="B37128" t="s">
        <v>23037</v>
      </c>
      <c r="C37128" t="s">
        <v>269</v>
      </c>
      <c r="D37128" s="21" t="s">
        <v>34</v>
      </c>
      <c r="E37128" s="21" t="s">
        <v>71</v>
      </c>
      <c r="F37128">
        <v>4360002</v>
      </c>
      <c r="G37128" t="s">
        <v>222</v>
      </c>
      <c r="H37128" s="21">
        <v>492</v>
      </c>
    </row>
    <row r="37129" spans="1:8" customFormat="1" x14ac:dyDescent="0.25">
      <c r="A37129" t="str">
        <f>"737446"</f>
        <v>737446</v>
      </c>
      <c r="B37129" t="s">
        <v>24231</v>
      </c>
      <c r="C37129" t="s">
        <v>87</v>
      </c>
      <c r="D37129" s="21" t="s">
        <v>34</v>
      </c>
      <c r="E37129" s="21" t="s">
        <v>35</v>
      </c>
      <c r="F37129">
        <v>1730090</v>
      </c>
      <c r="G37129" t="s">
        <v>19889</v>
      </c>
      <c r="H37129" s="21">
        <v>492</v>
      </c>
    </row>
    <row r="37130" spans="1:8" customFormat="1" x14ac:dyDescent="0.25">
      <c r="A37130" t="str">
        <f>"6949380"</f>
        <v>6949380</v>
      </c>
      <c r="B37130" t="s">
        <v>29374</v>
      </c>
      <c r="C37130" t="s">
        <v>812</v>
      </c>
      <c r="D37130" s="21" t="s">
        <v>34</v>
      </c>
      <c r="E37130" s="21" t="s">
        <v>35</v>
      </c>
      <c r="F37130">
        <v>1690138</v>
      </c>
      <c r="G37130" t="s">
        <v>18533</v>
      </c>
      <c r="H37130" s="21">
        <v>492</v>
      </c>
    </row>
    <row r="37131" spans="1:8" customFormat="1" x14ac:dyDescent="0.25">
      <c r="A37131" t="str">
        <f>"3537507"</f>
        <v>3537507</v>
      </c>
      <c r="B37131" t="s">
        <v>8884</v>
      </c>
      <c r="C37131" t="s">
        <v>1803</v>
      </c>
      <c r="D37131" s="21" t="s">
        <v>34</v>
      </c>
      <c r="E37131" s="21" t="s">
        <v>35</v>
      </c>
      <c r="F37131">
        <v>3350136</v>
      </c>
      <c r="G37131" t="s">
        <v>2773</v>
      </c>
      <c r="H37131" s="21">
        <v>492</v>
      </c>
    </row>
    <row r="37132" spans="1:8" customFormat="1" x14ac:dyDescent="0.25">
      <c r="A37132" t="str">
        <f>"5979413"</f>
        <v>5979413</v>
      </c>
      <c r="B37132" t="s">
        <v>2032</v>
      </c>
      <c r="C37132" t="s">
        <v>209</v>
      </c>
      <c r="D37132" s="21" t="s">
        <v>34</v>
      </c>
      <c r="E37132" s="21" t="s">
        <v>254</v>
      </c>
      <c r="F37132">
        <v>7590184</v>
      </c>
      <c r="G37132" t="s">
        <v>6722</v>
      </c>
      <c r="H37132" s="21">
        <v>492</v>
      </c>
    </row>
    <row r="37133" spans="1:8" customFormat="1" x14ac:dyDescent="0.25">
      <c r="A37133" t="str">
        <f>"5020277"</f>
        <v>5020277</v>
      </c>
      <c r="B37133" t="s">
        <v>21744</v>
      </c>
      <c r="C37133" t="s">
        <v>121</v>
      </c>
      <c r="D37133" s="21" t="s">
        <v>34</v>
      </c>
      <c r="E37133" s="21" t="s">
        <v>71</v>
      </c>
      <c r="F37133">
        <v>9500048</v>
      </c>
      <c r="G37133" t="s">
        <v>1804</v>
      </c>
      <c r="H37133" s="21">
        <v>492</v>
      </c>
    </row>
    <row r="37134" spans="1:8" customFormat="1" x14ac:dyDescent="0.25">
      <c r="A37134" t="str">
        <f>"9537595"</f>
        <v>9537595</v>
      </c>
      <c r="B37134" t="s">
        <v>21956</v>
      </c>
      <c r="C37134" t="s">
        <v>269</v>
      </c>
      <c r="D37134" s="21" t="s">
        <v>34</v>
      </c>
      <c r="E37134" s="21" t="s">
        <v>35</v>
      </c>
      <c r="F37134">
        <v>8950481</v>
      </c>
      <c r="G37134" t="s">
        <v>1472</v>
      </c>
      <c r="H37134" s="21">
        <v>492</v>
      </c>
    </row>
    <row r="37135" spans="1:8" customFormat="1" x14ac:dyDescent="0.25">
      <c r="A37135" t="str">
        <f>"1426060"</f>
        <v>1426060</v>
      </c>
      <c r="B37135" t="s">
        <v>29375</v>
      </c>
      <c r="C37135" t="s">
        <v>934</v>
      </c>
      <c r="D37135" s="21" t="s">
        <v>34</v>
      </c>
      <c r="E37135" s="21" t="s">
        <v>35</v>
      </c>
      <c r="F37135">
        <v>9140115</v>
      </c>
      <c r="G37135" t="s">
        <v>26590</v>
      </c>
      <c r="H37135" s="21">
        <v>492</v>
      </c>
    </row>
    <row r="37136" spans="1:8" customFormat="1" x14ac:dyDescent="0.25">
      <c r="A37136" t="str">
        <f>"2219246"</f>
        <v>2219246</v>
      </c>
      <c r="B37136" t="s">
        <v>3715</v>
      </c>
      <c r="C37136" t="s">
        <v>3073</v>
      </c>
      <c r="D37136" s="21" t="s">
        <v>34</v>
      </c>
      <c r="E37136" s="21" t="s">
        <v>1089</v>
      </c>
      <c r="F37136">
        <v>3220041</v>
      </c>
      <c r="G37136" t="s">
        <v>27133</v>
      </c>
      <c r="H37136" s="21">
        <v>492</v>
      </c>
    </row>
    <row r="37137" spans="1:8" customFormat="1" x14ac:dyDescent="0.25">
      <c r="A37137" t="str">
        <f>"9458737"</f>
        <v>9458737</v>
      </c>
      <c r="B37137" t="s">
        <v>9026</v>
      </c>
      <c r="C37137" t="s">
        <v>275</v>
      </c>
      <c r="D37137" s="21" t="s">
        <v>34</v>
      </c>
      <c r="E37137" s="21" t="s">
        <v>35</v>
      </c>
      <c r="F37137">
        <v>8940926</v>
      </c>
      <c r="G37137" t="s">
        <v>4065</v>
      </c>
      <c r="H37137" s="21">
        <v>492</v>
      </c>
    </row>
    <row r="37138" spans="1:8" customFormat="1" x14ac:dyDescent="0.25">
      <c r="A37138" t="str">
        <f>"4428022"</f>
        <v>4428022</v>
      </c>
      <c r="B37138" t="s">
        <v>1163</v>
      </c>
      <c r="C37138" t="s">
        <v>817</v>
      </c>
      <c r="D37138" s="21" t="s">
        <v>34</v>
      </c>
      <c r="E37138" s="21" t="s">
        <v>254</v>
      </c>
      <c r="F37138">
        <v>12440002</v>
      </c>
      <c r="G37138" t="s">
        <v>47</v>
      </c>
      <c r="H37138" s="21">
        <v>492</v>
      </c>
    </row>
    <row r="37139" spans="1:8" customFormat="1" x14ac:dyDescent="0.25">
      <c r="A37139" t="str">
        <f>"036616"</f>
        <v>036616</v>
      </c>
      <c r="B37139" t="s">
        <v>23393</v>
      </c>
      <c r="C37139" t="s">
        <v>217</v>
      </c>
      <c r="D37139" s="21" t="s">
        <v>34</v>
      </c>
      <c r="E37139" s="21" t="s">
        <v>71</v>
      </c>
      <c r="F37139">
        <v>10170016</v>
      </c>
      <c r="G37139" t="s">
        <v>88</v>
      </c>
      <c r="H37139" s="21">
        <v>492</v>
      </c>
    </row>
    <row r="37140" spans="1:8" customFormat="1" x14ac:dyDescent="0.25">
      <c r="A37140" t="str">
        <f>"5021085"</f>
        <v>5021085</v>
      </c>
      <c r="B37140" t="s">
        <v>14070</v>
      </c>
      <c r="C37140" t="s">
        <v>124</v>
      </c>
      <c r="D37140" s="21" t="s">
        <v>34</v>
      </c>
      <c r="E37140" s="21" t="s">
        <v>71</v>
      </c>
      <c r="F37140">
        <v>9500069</v>
      </c>
      <c r="G37140" t="s">
        <v>26997</v>
      </c>
      <c r="H37140" s="21">
        <v>492</v>
      </c>
    </row>
    <row r="37141" spans="1:8" customFormat="1" x14ac:dyDescent="0.25">
      <c r="A37141" t="str">
        <f>"5960731"</f>
        <v>5960731</v>
      </c>
      <c r="B37141" t="s">
        <v>2981</v>
      </c>
      <c r="C37141" t="s">
        <v>169</v>
      </c>
      <c r="D37141" s="21" t="s">
        <v>34</v>
      </c>
      <c r="E37141" s="21" t="s">
        <v>71</v>
      </c>
      <c r="F37141">
        <v>7590194</v>
      </c>
      <c r="G37141" t="s">
        <v>460</v>
      </c>
      <c r="H37141" s="21">
        <v>492</v>
      </c>
    </row>
    <row r="37142" spans="1:8" customFormat="1" x14ac:dyDescent="0.25">
      <c r="A37142" t="str">
        <f>"4113939"</f>
        <v>4113939</v>
      </c>
      <c r="B37142" t="s">
        <v>29376</v>
      </c>
      <c r="C37142" t="s">
        <v>139</v>
      </c>
      <c r="D37142" s="21" t="s">
        <v>34</v>
      </c>
      <c r="E37142" s="21" t="s">
        <v>35</v>
      </c>
      <c r="F37142">
        <v>4410696</v>
      </c>
      <c r="G37142" t="s">
        <v>5909</v>
      </c>
      <c r="H37142" s="21">
        <v>492</v>
      </c>
    </row>
    <row r="37143" spans="1:8" customFormat="1" x14ac:dyDescent="0.25">
      <c r="A37143" t="str">
        <f>"2721300"</f>
        <v>2721300</v>
      </c>
      <c r="B37143" t="s">
        <v>29377</v>
      </c>
      <c r="C37143" t="s">
        <v>33</v>
      </c>
      <c r="D37143" s="21" t="s">
        <v>34</v>
      </c>
      <c r="E37143" s="21" t="s">
        <v>35</v>
      </c>
      <c r="F37143">
        <v>9270126</v>
      </c>
      <c r="G37143" t="s">
        <v>7569</v>
      </c>
      <c r="H37143" s="21">
        <v>492</v>
      </c>
    </row>
    <row r="37144" spans="1:8" customFormat="1" x14ac:dyDescent="0.25">
      <c r="A37144" t="str">
        <f>"7865836"</f>
        <v>7865836</v>
      </c>
      <c r="B37144" t="s">
        <v>8285</v>
      </c>
      <c r="C37144" t="s">
        <v>608</v>
      </c>
      <c r="D37144" s="21" t="s">
        <v>34</v>
      </c>
      <c r="E37144" s="21" t="s">
        <v>35</v>
      </c>
      <c r="F37144">
        <v>8781333</v>
      </c>
      <c r="G37144" t="s">
        <v>14833</v>
      </c>
      <c r="H37144" s="21">
        <v>492</v>
      </c>
    </row>
    <row r="37145" spans="1:8" customFormat="1" x14ac:dyDescent="0.25">
      <c r="A37145" t="str">
        <f>"9535812"</f>
        <v>9535812</v>
      </c>
      <c r="B37145" t="s">
        <v>24749</v>
      </c>
      <c r="C37145" t="s">
        <v>87</v>
      </c>
      <c r="D37145" s="21" t="s">
        <v>34</v>
      </c>
      <c r="E37145" s="21" t="s">
        <v>35</v>
      </c>
      <c r="F37145">
        <v>8950481</v>
      </c>
      <c r="G37145" t="s">
        <v>1472</v>
      </c>
      <c r="H37145" s="21">
        <v>492</v>
      </c>
    </row>
    <row r="37146" spans="1:8" customFormat="1" x14ac:dyDescent="0.25">
      <c r="A37146" t="str">
        <f>"8315994"</f>
        <v>8315994</v>
      </c>
      <c r="B37146" t="s">
        <v>8097</v>
      </c>
      <c r="C37146" t="s">
        <v>3010</v>
      </c>
      <c r="D37146" s="21" t="s">
        <v>34</v>
      </c>
      <c r="E37146" s="21" t="s">
        <v>71</v>
      </c>
      <c r="F37146">
        <v>13830062</v>
      </c>
      <c r="G37146" t="s">
        <v>9074</v>
      </c>
      <c r="H37146" s="21">
        <v>491.92</v>
      </c>
    </row>
    <row r="37147" spans="1:8" customFormat="1" x14ac:dyDescent="0.25">
      <c r="A37147" t="str">
        <f>"3536831"</f>
        <v>3536831</v>
      </c>
      <c r="B37147" t="s">
        <v>22554</v>
      </c>
      <c r="C37147" t="s">
        <v>547</v>
      </c>
      <c r="D37147" s="21" t="s">
        <v>34</v>
      </c>
      <c r="E37147" s="21" t="s">
        <v>254</v>
      </c>
      <c r="F37147">
        <v>3350091</v>
      </c>
      <c r="G37147" t="s">
        <v>5864</v>
      </c>
      <c r="H37147" s="21">
        <v>491.88</v>
      </c>
    </row>
    <row r="37148" spans="1:8" customFormat="1" x14ac:dyDescent="0.25">
      <c r="A37148" t="str">
        <f>"8614144"</f>
        <v>8614144</v>
      </c>
      <c r="B37148" t="s">
        <v>21328</v>
      </c>
      <c r="C37148" t="s">
        <v>269</v>
      </c>
      <c r="D37148" s="21" t="s">
        <v>34</v>
      </c>
      <c r="E37148" s="21" t="s">
        <v>71</v>
      </c>
      <c r="F37148">
        <v>10860149</v>
      </c>
      <c r="G37148" t="s">
        <v>17376</v>
      </c>
      <c r="H37148" s="21">
        <v>491.88</v>
      </c>
    </row>
    <row r="37149" spans="1:8" customFormat="1" x14ac:dyDescent="0.25">
      <c r="A37149" t="str">
        <f>"124743"</f>
        <v>124743</v>
      </c>
      <c r="B37149" t="s">
        <v>1986</v>
      </c>
      <c r="C37149" t="s">
        <v>209</v>
      </c>
      <c r="D37149" s="21" t="s">
        <v>34</v>
      </c>
      <c r="E37149" s="21" t="s">
        <v>254</v>
      </c>
      <c r="F37149">
        <v>11120017</v>
      </c>
      <c r="G37149" t="s">
        <v>6560</v>
      </c>
      <c r="H37149" s="21">
        <v>491.88</v>
      </c>
    </row>
    <row r="37150" spans="1:8" customFormat="1" x14ac:dyDescent="0.25">
      <c r="A37150" t="str">
        <f>"7877662"</f>
        <v>7877662</v>
      </c>
      <c r="B37150" t="s">
        <v>23817</v>
      </c>
      <c r="C37150" t="s">
        <v>926</v>
      </c>
      <c r="D37150" s="21" t="s">
        <v>34</v>
      </c>
      <c r="E37150" s="21" t="s">
        <v>71</v>
      </c>
      <c r="F37150">
        <v>8781432</v>
      </c>
      <c r="G37150" t="s">
        <v>9227</v>
      </c>
      <c r="H37150" s="21">
        <v>491.75</v>
      </c>
    </row>
    <row r="37151" spans="1:8" customFormat="1" x14ac:dyDescent="0.25">
      <c r="A37151" t="str">
        <f>"4437974"</f>
        <v>4437974</v>
      </c>
      <c r="B37151" t="s">
        <v>22389</v>
      </c>
      <c r="C37151" t="s">
        <v>611</v>
      </c>
      <c r="D37151" s="21" t="s">
        <v>34</v>
      </c>
      <c r="E37151" s="21" t="s">
        <v>35</v>
      </c>
      <c r="F37151">
        <v>12440032</v>
      </c>
      <c r="G37151" t="s">
        <v>9296</v>
      </c>
      <c r="H37151" s="21">
        <v>491.75</v>
      </c>
    </row>
    <row r="37152" spans="1:8" customFormat="1" x14ac:dyDescent="0.25">
      <c r="A37152" t="str">
        <f>"309954"</f>
        <v>309954</v>
      </c>
      <c r="B37152" t="s">
        <v>23784</v>
      </c>
      <c r="C37152" t="s">
        <v>1714</v>
      </c>
      <c r="D37152" s="21" t="s">
        <v>34</v>
      </c>
      <c r="E37152" s="21" t="s">
        <v>254</v>
      </c>
      <c r="F37152">
        <v>11300017</v>
      </c>
      <c r="G37152" t="s">
        <v>13115</v>
      </c>
      <c r="H37152" s="21">
        <v>491.75</v>
      </c>
    </row>
    <row r="37153" spans="1:8" customFormat="1" x14ac:dyDescent="0.25">
      <c r="A37153" t="str">
        <f>"7524453"</f>
        <v>7524453</v>
      </c>
      <c r="B37153" t="s">
        <v>29378</v>
      </c>
      <c r="C37153" t="s">
        <v>209</v>
      </c>
      <c r="D37153" s="21" t="s">
        <v>34</v>
      </c>
      <c r="E37153" s="21" t="s">
        <v>71</v>
      </c>
      <c r="F37153">
        <v>8751453</v>
      </c>
      <c r="G37153" t="s">
        <v>7029</v>
      </c>
      <c r="H37153" s="21">
        <v>491.75</v>
      </c>
    </row>
    <row r="37154" spans="1:8" customFormat="1" x14ac:dyDescent="0.25">
      <c r="A37154" t="str">
        <f>"7523648"</f>
        <v>7523648</v>
      </c>
      <c r="B37154" t="s">
        <v>15760</v>
      </c>
      <c r="C37154" t="s">
        <v>187</v>
      </c>
      <c r="D37154" s="21" t="s">
        <v>34</v>
      </c>
      <c r="E37154" s="21" t="s">
        <v>254</v>
      </c>
      <c r="F37154">
        <v>8931463</v>
      </c>
      <c r="G37154" t="s">
        <v>27685</v>
      </c>
      <c r="H37154" s="21">
        <v>491.75</v>
      </c>
    </row>
    <row r="37155" spans="1:8" customFormat="1" x14ac:dyDescent="0.25">
      <c r="A37155" t="str">
        <f>"7871494"</f>
        <v>7871494</v>
      </c>
      <c r="B37155" t="s">
        <v>21773</v>
      </c>
      <c r="C37155" t="s">
        <v>169</v>
      </c>
      <c r="D37155" s="21" t="s">
        <v>34</v>
      </c>
      <c r="E37155" s="21" t="s">
        <v>71</v>
      </c>
      <c r="F37155">
        <v>8780568</v>
      </c>
      <c r="G37155" t="s">
        <v>5279</v>
      </c>
      <c r="H37155" s="21">
        <v>491.67</v>
      </c>
    </row>
    <row r="37156" spans="1:8" customFormat="1" x14ac:dyDescent="0.25">
      <c r="A37156" t="str">
        <f>"5314939"</f>
        <v>5314939</v>
      </c>
      <c r="B37156" t="s">
        <v>24786</v>
      </c>
      <c r="C37156" t="s">
        <v>33</v>
      </c>
      <c r="D37156" s="21" t="s">
        <v>34</v>
      </c>
      <c r="E37156" s="21" t="s">
        <v>71</v>
      </c>
      <c r="F37156">
        <v>12530146</v>
      </c>
      <c r="G37156" t="s">
        <v>10916</v>
      </c>
      <c r="H37156" s="21">
        <v>491.67</v>
      </c>
    </row>
    <row r="37157" spans="1:8" customFormat="1" x14ac:dyDescent="0.25">
      <c r="A37157" t="str">
        <f>"7919480"</f>
        <v>7919480</v>
      </c>
      <c r="B37157" t="s">
        <v>1626</v>
      </c>
      <c r="C37157" t="s">
        <v>206</v>
      </c>
      <c r="D37157" s="21" t="s">
        <v>34</v>
      </c>
      <c r="E37157" s="21" t="s">
        <v>35</v>
      </c>
      <c r="F37157">
        <v>10790002</v>
      </c>
      <c r="G37157" t="s">
        <v>6612</v>
      </c>
      <c r="H37157" s="21">
        <v>491.67</v>
      </c>
    </row>
    <row r="37158" spans="1:8" customFormat="1" x14ac:dyDescent="0.25">
      <c r="A37158" t="str">
        <f>"6015751"</f>
        <v>6015751</v>
      </c>
      <c r="B37158" t="s">
        <v>20770</v>
      </c>
      <c r="C37158" t="s">
        <v>209</v>
      </c>
      <c r="D37158" s="21" t="s">
        <v>34</v>
      </c>
      <c r="E37158" s="21" t="s">
        <v>35</v>
      </c>
      <c r="F37158">
        <v>7600044</v>
      </c>
      <c r="G37158" t="s">
        <v>3411</v>
      </c>
      <c r="H37158" s="21">
        <v>491.67</v>
      </c>
    </row>
    <row r="37159" spans="1:8" customFormat="1" x14ac:dyDescent="0.25">
      <c r="A37159" t="str">
        <f>"3723381"</f>
        <v>3723381</v>
      </c>
      <c r="B37159" t="s">
        <v>24402</v>
      </c>
      <c r="C37159" t="s">
        <v>187</v>
      </c>
      <c r="D37159" s="21" t="s">
        <v>34</v>
      </c>
      <c r="E37159" s="21" t="s">
        <v>71</v>
      </c>
      <c r="F37159">
        <v>4370442</v>
      </c>
      <c r="G37159" t="s">
        <v>7869</v>
      </c>
      <c r="H37159" s="21">
        <v>491.67</v>
      </c>
    </row>
    <row r="37160" spans="1:8" customFormat="1" x14ac:dyDescent="0.25">
      <c r="A37160" t="str">
        <f>"4933948"</f>
        <v>4933948</v>
      </c>
      <c r="B37160" t="s">
        <v>22558</v>
      </c>
      <c r="C37160" t="s">
        <v>239</v>
      </c>
      <c r="D37160" s="21" t="s">
        <v>34</v>
      </c>
      <c r="E37160" s="21" t="s">
        <v>71</v>
      </c>
      <c r="F37160">
        <v>12490061</v>
      </c>
      <c r="G37160" t="s">
        <v>969</v>
      </c>
      <c r="H37160" s="21">
        <v>491.67</v>
      </c>
    </row>
    <row r="37161" spans="1:8" customFormat="1" x14ac:dyDescent="0.25">
      <c r="A37161" t="str">
        <f>"396532"</f>
        <v>396532</v>
      </c>
      <c r="B37161" t="s">
        <v>164</v>
      </c>
      <c r="C37161" t="s">
        <v>151</v>
      </c>
      <c r="D37161" s="21" t="s">
        <v>34</v>
      </c>
      <c r="E37161" s="21" t="s">
        <v>254</v>
      </c>
      <c r="F37161">
        <v>2390013</v>
      </c>
      <c r="G37161" t="s">
        <v>22103</v>
      </c>
      <c r="H37161" s="21">
        <v>491.67</v>
      </c>
    </row>
    <row r="37162" spans="1:8" customFormat="1" x14ac:dyDescent="0.25">
      <c r="A37162" t="str">
        <f>"7414192"</f>
        <v>7414192</v>
      </c>
      <c r="B37162" t="s">
        <v>22037</v>
      </c>
      <c r="C37162" t="s">
        <v>825</v>
      </c>
      <c r="D37162" s="21" t="s">
        <v>34</v>
      </c>
      <c r="E37162" s="21" t="s">
        <v>254</v>
      </c>
      <c r="F37162">
        <v>1740038</v>
      </c>
      <c r="G37162" t="s">
        <v>26517</v>
      </c>
      <c r="H37162" s="21">
        <v>491.54</v>
      </c>
    </row>
    <row r="37163" spans="1:8" customFormat="1" x14ac:dyDescent="0.25">
      <c r="A37163" t="str">
        <f>"3118635"</f>
        <v>3118635</v>
      </c>
      <c r="B37163" t="s">
        <v>24569</v>
      </c>
      <c r="C37163" t="s">
        <v>598</v>
      </c>
      <c r="D37163" s="21" t="s">
        <v>34</v>
      </c>
      <c r="E37163" s="21" t="s">
        <v>1089</v>
      </c>
      <c r="F37163">
        <v>11310076</v>
      </c>
      <c r="G37163" t="s">
        <v>5782</v>
      </c>
      <c r="H37163" s="21">
        <v>491.5</v>
      </c>
    </row>
    <row r="37164" spans="1:8" customFormat="1" x14ac:dyDescent="0.25">
      <c r="A37164" t="str">
        <f>"5951253"</f>
        <v>5951253</v>
      </c>
      <c r="B37164" t="s">
        <v>23941</v>
      </c>
      <c r="C37164" t="s">
        <v>879</v>
      </c>
      <c r="D37164" s="21" t="s">
        <v>34</v>
      </c>
      <c r="E37164" s="21" t="s">
        <v>254</v>
      </c>
      <c r="F37164">
        <v>7590075</v>
      </c>
      <c r="G37164" t="s">
        <v>6459</v>
      </c>
      <c r="H37164" s="21">
        <v>491.5</v>
      </c>
    </row>
    <row r="37165" spans="1:8" customFormat="1" x14ac:dyDescent="0.25">
      <c r="A37165" t="str">
        <f>"5620362"</f>
        <v>5620362</v>
      </c>
      <c r="B37165" t="s">
        <v>4211</v>
      </c>
      <c r="C37165" t="s">
        <v>1299</v>
      </c>
      <c r="D37165" s="21" t="s">
        <v>34</v>
      </c>
      <c r="E37165" s="21" t="s">
        <v>71</v>
      </c>
      <c r="F37165">
        <v>3560025</v>
      </c>
      <c r="G37165" t="s">
        <v>14020</v>
      </c>
      <c r="H37165" s="21">
        <v>491.5</v>
      </c>
    </row>
    <row r="37166" spans="1:8" customFormat="1" x14ac:dyDescent="0.25">
      <c r="A37166" t="str">
        <f>"3424750"</f>
        <v>3424750</v>
      </c>
      <c r="B37166" t="s">
        <v>1347</v>
      </c>
      <c r="C37166" t="s">
        <v>33</v>
      </c>
      <c r="D37166" s="21" t="s">
        <v>34</v>
      </c>
      <c r="E37166" s="21" t="s">
        <v>35</v>
      </c>
      <c r="F37166">
        <v>11340065</v>
      </c>
      <c r="G37166" t="s">
        <v>2022</v>
      </c>
      <c r="H37166" s="21">
        <v>491.5</v>
      </c>
    </row>
    <row r="37167" spans="1:8" customFormat="1" x14ac:dyDescent="0.25">
      <c r="A37167" t="str">
        <f>"5323225"</f>
        <v>5323225</v>
      </c>
      <c r="B37167" t="s">
        <v>24027</v>
      </c>
      <c r="C37167" t="s">
        <v>263</v>
      </c>
      <c r="D37167" s="21" t="s">
        <v>34</v>
      </c>
      <c r="E37167" s="21" t="s">
        <v>71</v>
      </c>
      <c r="F37167">
        <v>12530021</v>
      </c>
      <c r="G37167" t="s">
        <v>15713</v>
      </c>
      <c r="H37167" s="21">
        <v>491.5</v>
      </c>
    </row>
    <row r="37168" spans="1:8" customFormat="1" x14ac:dyDescent="0.25">
      <c r="A37168" t="str">
        <f>"586290"</f>
        <v>586290</v>
      </c>
      <c r="B37168" t="s">
        <v>15751</v>
      </c>
      <c r="C37168" t="s">
        <v>60</v>
      </c>
      <c r="D37168" s="21" t="s">
        <v>34</v>
      </c>
      <c r="E37168" s="21" t="s">
        <v>35</v>
      </c>
      <c r="F37168">
        <v>2580042</v>
      </c>
      <c r="G37168" t="s">
        <v>1161</v>
      </c>
      <c r="H37168" s="21">
        <v>491.5</v>
      </c>
    </row>
    <row r="37169" spans="1:8" customFormat="1" x14ac:dyDescent="0.25">
      <c r="A37169" t="str">
        <f>"8528725"</f>
        <v>8528725</v>
      </c>
      <c r="B37169" t="s">
        <v>2437</v>
      </c>
      <c r="C37169" t="s">
        <v>198</v>
      </c>
      <c r="D37169" s="21" t="s">
        <v>34</v>
      </c>
      <c r="E37169" s="21" t="s">
        <v>71</v>
      </c>
      <c r="F37169">
        <v>12850165</v>
      </c>
      <c r="G37169" t="s">
        <v>9632</v>
      </c>
      <c r="H37169" s="21">
        <v>491.5</v>
      </c>
    </row>
    <row r="37170" spans="1:8" customFormat="1" x14ac:dyDescent="0.25">
      <c r="A37170" t="str">
        <f>"4112454"</f>
        <v>4112454</v>
      </c>
      <c r="B37170" t="s">
        <v>4162</v>
      </c>
      <c r="C37170" t="s">
        <v>40</v>
      </c>
      <c r="D37170" s="21" t="s">
        <v>34</v>
      </c>
      <c r="E37170" s="21" t="s">
        <v>254</v>
      </c>
      <c r="F37170">
        <v>4410729</v>
      </c>
      <c r="G37170" t="s">
        <v>4427</v>
      </c>
      <c r="H37170" s="21">
        <v>491.5</v>
      </c>
    </row>
    <row r="37171" spans="1:8" customFormat="1" x14ac:dyDescent="0.25">
      <c r="A37171" t="str">
        <f>"3532471"</f>
        <v>3532471</v>
      </c>
      <c r="B37171" t="s">
        <v>9827</v>
      </c>
      <c r="C37171" t="s">
        <v>498</v>
      </c>
      <c r="D37171" s="21" t="s">
        <v>34</v>
      </c>
      <c r="E37171" s="21" t="s">
        <v>254</v>
      </c>
      <c r="F37171">
        <v>3350091</v>
      </c>
      <c r="G37171" t="s">
        <v>5864</v>
      </c>
      <c r="H37171" s="21">
        <v>491.5</v>
      </c>
    </row>
    <row r="37172" spans="1:8" customFormat="1" x14ac:dyDescent="0.25">
      <c r="A37172" t="str">
        <f>"5944834"</f>
        <v>5944834</v>
      </c>
      <c r="B37172" t="s">
        <v>482</v>
      </c>
      <c r="C37172" t="s">
        <v>1271</v>
      </c>
      <c r="D37172" s="21" t="s">
        <v>34</v>
      </c>
      <c r="E37172" s="21" t="s">
        <v>71</v>
      </c>
      <c r="F37172">
        <v>7590281</v>
      </c>
      <c r="G37172" t="s">
        <v>7165</v>
      </c>
      <c r="H37172" s="21">
        <v>491.5</v>
      </c>
    </row>
    <row r="37173" spans="1:8" customFormat="1" x14ac:dyDescent="0.25">
      <c r="A37173" t="str">
        <f>"4453755"</f>
        <v>4453755</v>
      </c>
      <c r="B37173" t="s">
        <v>24307</v>
      </c>
      <c r="C37173" t="s">
        <v>263</v>
      </c>
      <c r="D37173" s="21" t="s">
        <v>34</v>
      </c>
      <c r="E37173" s="21" t="s">
        <v>71</v>
      </c>
      <c r="F37173">
        <v>12440039</v>
      </c>
      <c r="G37173" t="s">
        <v>9650</v>
      </c>
      <c r="H37173" s="21">
        <v>491.5</v>
      </c>
    </row>
    <row r="37174" spans="1:8" customFormat="1" x14ac:dyDescent="0.25">
      <c r="A37174" t="str">
        <f>"1425609"</f>
        <v>1425609</v>
      </c>
      <c r="B37174" t="s">
        <v>22643</v>
      </c>
      <c r="C37174" t="s">
        <v>246</v>
      </c>
      <c r="D37174" s="21" t="s">
        <v>34</v>
      </c>
      <c r="E37174" s="21" t="s">
        <v>254</v>
      </c>
      <c r="F37174">
        <v>9140228</v>
      </c>
      <c r="G37174" t="s">
        <v>16772</v>
      </c>
      <c r="H37174" s="21">
        <v>491.5</v>
      </c>
    </row>
    <row r="37175" spans="1:8" customFormat="1" x14ac:dyDescent="0.25">
      <c r="A37175" t="str">
        <f>"6111991"</f>
        <v>6111991</v>
      </c>
      <c r="B37175" t="s">
        <v>29379</v>
      </c>
      <c r="C37175" t="s">
        <v>236</v>
      </c>
      <c r="D37175" s="21" t="s">
        <v>34</v>
      </c>
      <c r="E37175" s="21" t="s">
        <v>254</v>
      </c>
      <c r="F37175">
        <v>9610031</v>
      </c>
      <c r="G37175" t="s">
        <v>1792</v>
      </c>
      <c r="H37175" s="21">
        <v>491.5</v>
      </c>
    </row>
    <row r="37176" spans="1:8" customFormat="1" x14ac:dyDescent="0.25">
      <c r="A37176" t="str">
        <f>"5317639"</f>
        <v>5317639</v>
      </c>
      <c r="B37176" t="s">
        <v>5800</v>
      </c>
      <c r="C37176" t="s">
        <v>2907</v>
      </c>
      <c r="D37176" s="21" t="s">
        <v>34</v>
      </c>
      <c r="E37176" s="21" t="s">
        <v>71</v>
      </c>
      <c r="F37176">
        <v>12530108</v>
      </c>
      <c r="G37176" t="s">
        <v>16085</v>
      </c>
      <c r="H37176" s="21">
        <v>491.5</v>
      </c>
    </row>
    <row r="37177" spans="1:8" customFormat="1" x14ac:dyDescent="0.25">
      <c r="A37177" t="str">
        <f>"2615624"</f>
        <v>2615624</v>
      </c>
      <c r="B37177" t="s">
        <v>23429</v>
      </c>
      <c r="C37177" t="s">
        <v>453</v>
      </c>
      <c r="D37177" s="21" t="s">
        <v>34</v>
      </c>
      <c r="E37177" s="21" t="s">
        <v>254</v>
      </c>
      <c r="F37177">
        <v>1260071</v>
      </c>
      <c r="G37177" t="s">
        <v>798</v>
      </c>
      <c r="H37177" s="21">
        <v>491.5</v>
      </c>
    </row>
    <row r="37178" spans="1:8" customFormat="1" x14ac:dyDescent="0.25">
      <c r="A37178" t="str">
        <f>"125299"</f>
        <v>125299</v>
      </c>
      <c r="B37178" t="s">
        <v>28552</v>
      </c>
      <c r="C37178" t="s">
        <v>151</v>
      </c>
      <c r="D37178" s="21" t="s">
        <v>34</v>
      </c>
      <c r="E37178" s="21" t="s">
        <v>35</v>
      </c>
      <c r="F37178">
        <v>11120004</v>
      </c>
      <c r="G37178" t="s">
        <v>2311</v>
      </c>
      <c r="H37178" s="21">
        <v>491.5</v>
      </c>
    </row>
    <row r="37179" spans="1:8" customFormat="1" x14ac:dyDescent="0.25">
      <c r="A37179" t="str">
        <f>"696847"</f>
        <v>696847</v>
      </c>
      <c r="B37179" t="s">
        <v>21389</v>
      </c>
      <c r="C37179" t="s">
        <v>1597</v>
      </c>
      <c r="D37179" s="21" t="s">
        <v>34</v>
      </c>
      <c r="E37179" s="21" t="s">
        <v>1089</v>
      </c>
      <c r="F37179">
        <v>1690027</v>
      </c>
      <c r="G37179" t="s">
        <v>17499</v>
      </c>
      <c r="H37179" s="21">
        <v>491.5</v>
      </c>
    </row>
    <row r="37180" spans="1:8" customFormat="1" x14ac:dyDescent="0.25">
      <c r="A37180" t="str">
        <f>"1717341"</f>
        <v>1717341</v>
      </c>
      <c r="B37180" t="s">
        <v>19234</v>
      </c>
      <c r="C37180" t="s">
        <v>288</v>
      </c>
      <c r="D37180" s="21" t="s">
        <v>34</v>
      </c>
      <c r="E37180" s="21" t="s">
        <v>35</v>
      </c>
      <c r="F37180">
        <v>10170007</v>
      </c>
      <c r="G37180" t="s">
        <v>12581</v>
      </c>
      <c r="H37180" s="21">
        <v>491.5</v>
      </c>
    </row>
    <row r="37181" spans="1:8" customFormat="1" x14ac:dyDescent="0.25">
      <c r="A37181" t="str">
        <f>"8312182"</f>
        <v>8312182</v>
      </c>
      <c r="B37181" t="s">
        <v>4611</v>
      </c>
      <c r="C37181" t="s">
        <v>98</v>
      </c>
      <c r="D37181" s="21" t="s">
        <v>34</v>
      </c>
      <c r="E37181" s="21" t="s">
        <v>35</v>
      </c>
      <c r="F37181">
        <v>13830059</v>
      </c>
      <c r="G37181" t="s">
        <v>5440</v>
      </c>
      <c r="H37181" s="21">
        <v>491.5</v>
      </c>
    </row>
    <row r="37182" spans="1:8" customFormat="1" x14ac:dyDescent="0.25">
      <c r="A37182" t="str">
        <f>"4447408"</f>
        <v>4447408</v>
      </c>
      <c r="B37182" t="s">
        <v>24196</v>
      </c>
      <c r="C37182" t="s">
        <v>211</v>
      </c>
      <c r="D37182" s="21" t="s">
        <v>34</v>
      </c>
      <c r="E37182" s="21" t="s">
        <v>35</v>
      </c>
      <c r="F37182">
        <v>12440066</v>
      </c>
      <c r="G37182" t="s">
        <v>7602</v>
      </c>
      <c r="H37182" s="21">
        <v>491.5</v>
      </c>
    </row>
    <row r="37183" spans="1:8" customFormat="1" x14ac:dyDescent="0.25">
      <c r="A37183" t="str">
        <f>"5420762"</f>
        <v>5420762</v>
      </c>
      <c r="B37183" t="s">
        <v>22832</v>
      </c>
      <c r="C37183" t="s">
        <v>528</v>
      </c>
      <c r="D37183" s="21" t="s">
        <v>34</v>
      </c>
      <c r="E37183" s="21" t="s">
        <v>254</v>
      </c>
      <c r="F37183">
        <v>6540200</v>
      </c>
      <c r="G37183" t="s">
        <v>22833</v>
      </c>
      <c r="H37183" s="21">
        <v>491.5</v>
      </c>
    </row>
    <row r="37184" spans="1:8" customFormat="1" x14ac:dyDescent="0.25">
      <c r="A37184" t="str">
        <f>"4114084"</f>
        <v>4114084</v>
      </c>
      <c r="B37184" t="s">
        <v>13726</v>
      </c>
      <c r="C37184" t="s">
        <v>124</v>
      </c>
      <c r="D37184" s="21" t="s">
        <v>34</v>
      </c>
      <c r="E37184" s="21" t="s">
        <v>35</v>
      </c>
      <c r="F37184">
        <v>4410083</v>
      </c>
      <c r="G37184" t="s">
        <v>2333</v>
      </c>
      <c r="H37184" s="21">
        <v>491.5</v>
      </c>
    </row>
    <row r="37185" spans="1:8" customFormat="1" x14ac:dyDescent="0.25">
      <c r="A37185" t="str">
        <f>"1422713"</f>
        <v>1422713</v>
      </c>
      <c r="B37185" t="s">
        <v>23579</v>
      </c>
      <c r="C37185" t="s">
        <v>926</v>
      </c>
      <c r="D37185" s="21" t="s">
        <v>34</v>
      </c>
      <c r="E37185" s="21" t="s">
        <v>254</v>
      </c>
      <c r="F37185">
        <v>9140054</v>
      </c>
      <c r="G37185" t="s">
        <v>3300</v>
      </c>
      <c r="H37185" s="21">
        <v>491.5</v>
      </c>
    </row>
    <row r="37186" spans="1:8" customFormat="1" x14ac:dyDescent="0.25">
      <c r="A37186" t="str">
        <f>"6231742"</f>
        <v>6231742</v>
      </c>
      <c r="B37186" t="s">
        <v>24752</v>
      </c>
      <c r="C37186" t="s">
        <v>24753</v>
      </c>
      <c r="D37186" s="21" t="s">
        <v>34</v>
      </c>
      <c r="E37186" s="21" t="s">
        <v>71</v>
      </c>
      <c r="F37186">
        <v>7620112</v>
      </c>
      <c r="G37186" t="s">
        <v>5663</v>
      </c>
      <c r="H37186" s="21">
        <v>491.5</v>
      </c>
    </row>
    <row r="37187" spans="1:8" customFormat="1" x14ac:dyDescent="0.25">
      <c r="A37187" t="str">
        <f>"566268"</f>
        <v>566268</v>
      </c>
      <c r="B37187" t="s">
        <v>20644</v>
      </c>
      <c r="C37187" t="s">
        <v>249</v>
      </c>
      <c r="D37187" s="21" t="s">
        <v>34</v>
      </c>
      <c r="E37187" s="21" t="s">
        <v>71</v>
      </c>
      <c r="F37187">
        <v>3560063</v>
      </c>
      <c r="G37187" t="s">
        <v>16878</v>
      </c>
      <c r="H37187" s="21">
        <v>491.5</v>
      </c>
    </row>
    <row r="37188" spans="1:8" customFormat="1" x14ac:dyDescent="0.25">
      <c r="A37188" t="str">
        <f>"8816460"</f>
        <v>8816460</v>
      </c>
      <c r="B37188" t="s">
        <v>2023</v>
      </c>
      <c r="C37188" t="s">
        <v>55</v>
      </c>
      <c r="D37188" s="21" t="s">
        <v>34</v>
      </c>
      <c r="E37188" s="21" t="s">
        <v>71</v>
      </c>
      <c r="F37188">
        <v>6880064</v>
      </c>
      <c r="G37188" t="s">
        <v>7090</v>
      </c>
      <c r="H37188" s="21">
        <v>491.5</v>
      </c>
    </row>
    <row r="37189" spans="1:8" customFormat="1" x14ac:dyDescent="0.25">
      <c r="A37189" t="str">
        <f>"815007"</f>
        <v>815007</v>
      </c>
      <c r="B37189" t="s">
        <v>13294</v>
      </c>
      <c r="C37189" t="s">
        <v>305</v>
      </c>
      <c r="D37189" s="21" t="s">
        <v>34</v>
      </c>
      <c r="E37189" s="21" t="s">
        <v>35</v>
      </c>
      <c r="F37189">
        <v>11810028</v>
      </c>
      <c r="G37189" t="s">
        <v>5817</v>
      </c>
      <c r="H37189" s="21">
        <v>491.5</v>
      </c>
    </row>
    <row r="37190" spans="1:8" customFormat="1" x14ac:dyDescent="0.25">
      <c r="A37190" t="str">
        <f>"8018949"</f>
        <v>8018949</v>
      </c>
      <c r="B37190" t="s">
        <v>22400</v>
      </c>
      <c r="C37190" t="s">
        <v>1142</v>
      </c>
      <c r="D37190" s="21" t="s">
        <v>34</v>
      </c>
      <c r="E37190" s="21" t="s">
        <v>254</v>
      </c>
      <c r="F37190">
        <v>7800125</v>
      </c>
      <c r="G37190" t="s">
        <v>11339</v>
      </c>
      <c r="H37190" s="21">
        <v>491.5</v>
      </c>
    </row>
    <row r="37191" spans="1:8" customFormat="1" x14ac:dyDescent="0.25">
      <c r="A37191" t="str">
        <f>"2937656"</f>
        <v>2937656</v>
      </c>
      <c r="B37191" t="s">
        <v>1861</v>
      </c>
      <c r="C37191" t="s">
        <v>62</v>
      </c>
      <c r="D37191" s="21" t="s">
        <v>34</v>
      </c>
      <c r="E37191" s="21" t="s">
        <v>35</v>
      </c>
      <c r="F37191">
        <v>3290232</v>
      </c>
      <c r="G37191" t="s">
        <v>9588</v>
      </c>
      <c r="H37191" s="21">
        <v>491.5</v>
      </c>
    </row>
    <row r="37192" spans="1:8" customFormat="1" x14ac:dyDescent="0.25">
      <c r="A37192" t="str">
        <f>"3310728"</f>
        <v>3310728</v>
      </c>
      <c r="B37192" t="s">
        <v>11766</v>
      </c>
      <c r="C37192" t="s">
        <v>109</v>
      </c>
      <c r="D37192" s="21" t="s">
        <v>34</v>
      </c>
      <c r="E37192" s="21" t="s">
        <v>35</v>
      </c>
      <c r="F37192">
        <v>10330038</v>
      </c>
      <c r="G37192" t="s">
        <v>4280</v>
      </c>
      <c r="H37192" s="21">
        <v>491.5</v>
      </c>
    </row>
    <row r="37193" spans="1:8" customFormat="1" x14ac:dyDescent="0.25">
      <c r="A37193" t="str">
        <f>"7515102"</f>
        <v>7515102</v>
      </c>
      <c r="B37193" t="s">
        <v>7079</v>
      </c>
      <c r="C37193" t="s">
        <v>40</v>
      </c>
      <c r="D37193" s="21" t="s">
        <v>34</v>
      </c>
      <c r="E37193" s="21" t="s">
        <v>71</v>
      </c>
      <c r="F37193">
        <v>8751177</v>
      </c>
      <c r="G37193" t="s">
        <v>396</v>
      </c>
      <c r="H37193" s="21">
        <v>491.5</v>
      </c>
    </row>
    <row r="37194" spans="1:8" customFormat="1" x14ac:dyDescent="0.25">
      <c r="A37194" t="str">
        <f>"6715285"</f>
        <v>6715285</v>
      </c>
      <c r="B37194" t="s">
        <v>22283</v>
      </c>
      <c r="C37194" t="s">
        <v>263</v>
      </c>
      <c r="D37194" s="21" t="s">
        <v>34</v>
      </c>
      <c r="E37194" s="21" t="s">
        <v>71</v>
      </c>
      <c r="F37194">
        <v>6670256</v>
      </c>
      <c r="G37194" t="s">
        <v>14348</v>
      </c>
      <c r="H37194" s="21">
        <v>491.5</v>
      </c>
    </row>
    <row r="37195" spans="1:8" customFormat="1" x14ac:dyDescent="0.25">
      <c r="A37195" t="str">
        <f>"878954"</f>
        <v>878954</v>
      </c>
      <c r="B37195" t="s">
        <v>5953</v>
      </c>
      <c r="C37195" t="s">
        <v>328</v>
      </c>
      <c r="D37195" s="21" t="s">
        <v>34</v>
      </c>
      <c r="E37195" s="21" t="s">
        <v>254</v>
      </c>
      <c r="F37195">
        <v>10870130</v>
      </c>
      <c r="G37195" t="s">
        <v>7564</v>
      </c>
      <c r="H37195" s="21">
        <v>491.5</v>
      </c>
    </row>
    <row r="37196" spans="1:8" customFormat="1" x14ac:dyDescent="0.25">
      <c r="A37196" t="str">
        <f>"6943920"</f>
        <v>6943920</v>
      </c>
      <c r="B37196" t="s">
        <v>4231</v>
      </c>
      <c r="C37196" t="s">
        <v>96</v>
      </c>
      <c r="D37196" s="21" t="s">
        <v>34</v>
      </c>
      <c r="E37196" s="21" t="s">
        <v>35</v>
      </c>
      <c r="F37196">
        <v>1690169</v>
      </c>
      <c r="G37196" t="s">
        <v>10963</v>
      </c>
      <c r="H37196" s="21">
        <v>491.5</v>
      </c>
    </row>
    <row r="37197" spans="1:8" customFormat="1" x14ac:dyDescent="0.25">
      <c r="A37197" t="str">
        <f>"8019821"</f>
        <v>8019821</v>
      </c>
      <c r="B37197" t="s">
        <v>29380</v>
      </c>
      <c r="C37197" t="s">
        <v>33</v>
      </c>
      <c r="D37197" s="21" t="s">
        <v>34</v>
      </c>
      <c r="E37197" s="21" t="s">
        <v>35</v>
      </c>
      <c r="F37197">
        <v>7800074</v>
      </c>
      <c r="G37197" t="s">
        <v>7104</v>
      </c>
      <c r="H37197" s="21">
        <v>491.5</v>
      </c>
    </row>
    <row r="37198" spans="1:8" customFormat="1" x14ac:dyDescent="0.25">
      <c r="A37198" t="str">
        <f>"9253346"</f>
        <v>9253346</v>
      </c>
      <c r="B37198" t="s">
        <v>29381</v>
      </c>
      <c r="C37198" t="s">
        <v>498</v>
      </c>
      <c r="D37198" s="21" t="s">
        <v>34</v>
      </c>
      <c r="E37198" s="21" t="s">
        <v>35</v>
      </c>
      <c r="F37198">
        <v>8920137</v>
      </c>
      <c r="G37198" t="s">
        <v>6082</v>
      </c>
      <c r="H37198" s="21">
        <v>491.5</v>
      </c>
    </row>
    <row r="37199" spans="1:8" customFormat="1" x14ac:dyDescent="0.25">
      <c r="A37199" t="str">
        <f>"9451162"</f>
        <v>9451162</v>
      </c>
      <c r="B37199" t="s">
        <v>2857</v>
      </c>
      <c r="C37199" t="s">
        <v>209</v>
      </c>
      <c r="D37199" s="21" t="s">
        <v>34</v>
      </c>
      <c r="E37199" s="21" t="s">
        <v>71</v>
      </c>
      <c r="F37199">
        <v>8941461</v>
      </c>
      <c r="G37199" t="s">
        <v>10447</v>
      </c>
      <c r="H37199" s="21">
        <v>491.5</v>
      </c>
    </row>
    <row r="37200" spans="1:8" customFormat="1" x14ac:dyDescent="0.25">
      <c r="A37200" t="str">
        <f>"5420744"</f>
        <v>5420744</v>
      </c>
      <c r="B37200" t="s">
        <v>10089</v>
      </c>
      <c r="C37200" t="s">
        <v>1299</v>
      </c>
      <c r="D37200" s="21" t="s">
        <v>34</v>
      </c>
      <c r="E37200" s="21" t="s">
        <v>71</v>
      </c>
      <c r="F37200">
        <v>6540088</v>
      </c>
      <c r="G37200" t="s">
        <v>2108</v>
      </c>
      <c r="H37200" s="21">
        <v>491.5</v>
      </c>
    </row>
    <row r="37201" spans="1:8" customFormat="1" x14ac:dyDescent="0.25">
      <c r="A37201" t="str">
        <f>"6018461"</f>
        <v>6018461</v>
      </c>
      <c r="B37201" t="s">
        <v>21684</v>
      </c>
      <c r="C37201" t="s">
        <v>269</v>
      </c>
      <c r="D37201" s="21" t="s">
        <v>34</v>
      </c>
      <c r="E37201" s="21" t="s">
        <v>254</v>
      </c>
      <c r="F37201">
        <v>8751271</v>
      </c>
      <c r="G37201" t="s">
        <v>1067</v>
      </c>
      <c r="H37201" s="21">
        <v>491.5</v>
      </c>
    </row>
    <row r="37202" spans="1:8" customFormat="1" x14ac:dyDescent="0.25">
      <c r="A37202" t="str">
        <f>"7642973"</f>
        <v>7642973</v>
      </c>
      <c r="B37202" t="s">
        <v>29382</v>
      </c>
      <c r="C37202" t="s">
        <v>305</v>
      </c>
      <c r="D37202" s="21" t="s">
        <v>34</v>
      </c>
      <c r="E37202" s="21" t="s">
        <v>35</v>
      </c>
      <c r="F37202">
        <v>9760007</v>
      </c>
      <c r="G37202" t="s">
        <v>7255</v>
      </c>
      <c r="H37202" s="21">
        <v>491.5</v>
      </c>
    </row>
    <row r="37203" spans="1:8" customFormat="1" x14ac:dyDescent="0.25">
      <c r="A37203" t="str">
        <f>"7618398"</f>
        <v>7618398</v>
      </c>
      <c r="B37203" t="s">
        <v>9732</v>
      </c>
      <c r="C37203" t="s">
        <v>121</v>
      </c>
      <c r="D37203" s="21" t="s">
        <v>34</v>
      </c>
      <c r="E37203" s="21" t="s">
        <v>35</v>
      </c>
      <c r="F37203">
        <v>9760136</v>
      </c>
      <c r="G37203" t="s">
        <v>5035</v>
      </c>
      <c r="H37203" s="21">
        <v>491.5</v>
      </c>
    </row>
    <row r="37204" spans="1:8" customFormat="1" x14ac:dyDescent="0.25">
      <c r="A37204" t="str">
        <f>"9434746"</f>
        <v>9434746</v>
      </c>
      <c r="B37204" t="s">
        <v>22102</v>
      </c>
      <c r="C37204" t="s">
        <v>1132</v>
      </c>
      <c r="D37204" s="21" t="s">
        <v>34</v>
      </c>
      <c r="E37204" s="21" t="s">
        <v>71</v>
      </c>
      <c r="F37204">
        <v>8940549</v>
      </c>
      <c r="G37204" t="s">
        <v>454</v>
      </c>
      <c r="H37204" s="21">
        <v>491.5</v>
      </c>
    </row>
    <row r="37205" spans="1:8" customFormat="1" x14ac:dyDescent="0.25">
      <c r="A37205" t="str">
        <f>"6233731"</f>
        <v>6233731</v>
      </c>
      <c r="B37205" t="s">
        <v>29383</v>
      </c>
      <c r="C37205" t="s">
        <v>60</v>
      </c>
      <c r="D37205" s="21" t="s">
        <v>34</v>
      </c>
      <c r="E37205" s="21" t="s">
        <v>35</v>
      </c>
      <c r="F37205">
        <v>7620145</v>
      </c>
      <c r="G37205" t="s">
        <v>2068</v>
      </c>
      <c r="H37205" s="21">
        <v>491.5</v>
      </c>
    </row>
    <row r="37206" spans="1:8" customFormat="1" x14ac:dyDescent="0.25">
      <c r="A37206" t="str">
        <f>"2517449"</f>
        <v>2517449</v>
      </c>
      <c r="B37206" t="s">
        <v>14918</v>
      </c>
      <c r="C37206" t="s">
        <v>249</v>
      </c>
      <c r="D37206" s="21" t="s">
        <v>34</v>
      </c>
      <c r="E37206" s="21" t="s">
        <v>71</v>
      </c>
      <c r="F37206">
        <v>2250070</v>
      </c>
      <c r="G37206" t="s">
        <v>3923</v>
      </c>
      <c r="H37206" s="21">
        <v>491.5</v>
      </c>
    </row>
    <row r="37207" spans="1:8" customFormat="1" x14ac:dyDescent="0.25">
      <c r="A37207" t="str">
        <f>"5620996"</f>
        <v>5620996</v>
      </c>
      <c r="B37207" t="s">
        <v>24229</v>
      </c>
      <c r="C37207" t="s">
        <v>2479</v>
      </c>
      <c r="D37207" s="21" t="s">
        <v>34</v>
      </c>
      <c r="E37207" s="21" t="s">
        <v>71</v>
      </c>
      <c r="F37207">
        <v>3560051</v>
      </c>
      <c r="G37207" t="s">
        <v>14709</v>
      </c>
      <c r="H37207" s="21">
        <v>491.5</v>
      </c>
    </row>
    <row r="37208" spans="1:8" customFormat="1" x14ac:dyDescent="0.25">
      <c r="A37208" t="str">
        <f>"1425876"</f>
        <v>1425876</v>
      </c>
      <c r="B37208" t="s">
        <v>4335</v>
      </c>
      <c r="C37208" t="s">
        <v>109</v>
      </c>
      <c r="D37208" s="21" t="s">
        <v>34</v>
      </c>
      <c r="E37208" s="21" t="s">
        <v>35</v>
      </c>
      <c r="F37208">
        <v>9140227</v>
      </c>
      <c r="G37208" t="s">
        <v>5130</v>
      </c>
      <c r="H37208" s="21">
        <v>491.42</v>
      </c>
    </row>
    <row r="37209" spans="1:8" customFormat="1" x14ac:dyDescent="0.25">
      <c r="A37209" t="str">
        <f>"3529170"</f>
        <v>3529170</v>
      </c>
      <c r="B37209" t="s">
        <v>22381</v>
      </c>
      <c r="C37209" t="s">
        <v>253</v>
      </c>
      <c r="D37209" s="21" t="s">
        <v>34</v>
      </c>
      <c r="E37209" s="21" t="s">
        <v>254</v>
      </c>
      <c r="F37209">
        <v>3350022</v>
      </c>
      <c r="G37209" t="s">
        <v>1287</v>
      </c>
      <c r="H37209" s="21">
        <v>491.38</v>
      </c>
    </row>
    <row r="37210" spans="1:8" customFormat="1" x14ac:dyDescent="0.25">
      <c r="A37210" t="str">
        <f>"9244813"</f>
        <v>9244813</v>
      </c>
      <c r="B37210" t="s">
        <v>24255</v>
      </c>
      <c r="C37210" t="s">
        <v>209</v>
      </c>
      <c r="D37210" s="21" t="s">
        <v>34</v>
      </c>
      <c r="E37210" s="21" t="s">
        <v>71</v>
      </c>
      <c r="F37210">
        <v>8920503</v>
      </c>
      <c r="G37210" t="s">
        <v>9047</v>
      </c>
      <c r="H37210" s="21">
        <v>491.38</v>
      </c>
    </row>
    <row r="37211" spans="1:8" customFormat="1" x14ac:dyDescent="0.25">
      <c r="A37211" t="str">
        <f>"9456296"</f>
        <v>9456296</v>
      </c>
      <c r="B37211" t="s">
        <v>29384</v>
      </c>
      <c r="C37211" t="s">
        <v>926</v>
      </c>
      <c r="D37211" s="21" t="s">
        <v>34</v>
      </c>
      <c r="E37211" s="21" t="s">
        <v>254</v>
      </c>
      <c r="F37211">
        <v>8941100</v>
      </c>
      <c r="G37211" t="s">
        <v>4974</v>
      </c>
      <c r="H37211" s="21">
        <v>491.38</v>
      </c>
    </row>
    <row r="37212" spans="1:8" customFormat="1" x14ac:dyDescent="0.25">
      <c r="A37212" t="str">
        <f>"9248583"</f>
        <v>9248583</v>
      </c>
      <c r="B37212" t="s">
        <v>10392</v>
      </c>
      <c r="C37212" t="s">
        <v>6553</v>
      </c>
      <c r="D37212" s="21" t="s">
        <v>34</v>
      </c>
      <c r="E37212" s="21" t="s">
        <v>35</v>
      </c>
      <c r="F37212">
        <v>8921522</v>
      </c>
      <c r="G37212" t="s">
        <v>22764</v>
      </c>
      <c r="H37212" s="21">
        <v>491.38</v>
      </c>
    </row>
    <row r="37213" spans="1:8" customFormat="1" x14ac:dyDescent="0.25">
      <c r="A37213" t="str">
        <f>"846896"</f>
        <v>846896</v>
      </c>
      <c r="B37213" t="s">
        <v>22175</v>
      </c>
      <c r="C37213" t="s">
        <v>209</v>
      </c>
      <c r="D37213" s="21" t="s">
        <v>34</v>
      </c>
      <c r="E37213" s="21" t="s">
        <v>254</v>
      </c>
      <c r="F37213">
        <v>13130170</v>
      </c>
      <c r="G37213" t="s">
        <v>10164</v>
      </c>
      <c r="H37213" s="21">
        <v>491.38</v>
      </c>
    </row>
    <row r="37214" spans="1:8" customFormat="1" x14ac:dyDescent="0.25">
      <c r="A37214" t="str">
        <f>"1425698"</f>
        <v>1425698</v>
      </c>
      <c r="B37214" t="s">
        <v>23299</v>
      </c>
      <c r="C37214" t="s">
        <v>608</v>
      </c>
      <c r="D37214" s="21" t="s">
        <v>34</v>
      </c>
      <c r="E37214" s="21" t="s">
        <v>71</v>
      </c>
      <c r="F37214">
        <v>9140238</v>
      </c>
      <c r="G37214" t="s">
        <v>22869</v>
      </c>
      <c r="H37214" s="21">
        <v>491.25</v>
      </c>
    </row>
    <row r="37215" spans="1:8" customFormat="1" x14ac:dyDescent="0.25">
      <c r="A37215" t="str">
        <f>"4520507"</f>
        <v>4520507</v>
      </c>
      <c r="B37215" t="s">
        <v>3179</v>
      </c>
      <c r="C37215" t="s">
        <v>209</v>
      </c>
      <c r="D37215" s="21" t="s">
        <v>34</v>
      </c>
      <c r="E37215" s="21" t="s">
        <v>35</v>
      </c>
      <c r="F37215">
        <v>4450410</v>
      </c>
      <c r="G37215" t="s">
        <v>26525</v>
      </c>
      <c r="H37215" s="21">
        <v>491.25</v>
      </c>
    </row>
    <row r="37216" spans="1:8" customFormat="1" x14ac:dyDescent="0.25">
      <c r="A37216" t="str">
        <f>"7521719"</f>
        <v>7521719</v>
      </c>
      <c r="B37216" t="s">
        <v>24639</v>
      </c>
      <c r="C37216" t="s">
        <v>2520</v>
      </c>
      <c r="D37216" s="21" t="s">
        <v>34</v>
      </c>
      <c r="E37216" s="21" t="s">
        <v>71</v>
      </c>
      <c r="F37216">
        <v>8750074</v>
      </c>
      <c r="G37216" t="s">
        <v>698</v>
      </c>
      <c r="H37216" s="21">
        <v>491.25</v>
      </c>
    </row>
    <row r="37217" spans="1:8" customFormat="1" x14ac:dyDescent="0.25">
      <c r="A37217" t="str">
        <f>"7820164"</f>
        <v>7820164</v>
      </c>
      <c r="B37217" t="s">
        <v>6485</v>
      </c>
      <c r="C37217" t="s">
        <v>209</v>
      </c>
      <c r="D37217" s="21" t="s">
        <v>34</v>
      </c>
      <c r="E37217" s="21" t="s">
        <v>71</v>
      </c>
      <c r="F37217">
        <v>8780660</v>
      </c>
      <c r="G37217" t="s">
        <v>2801</v>
      </c>
      <c r="H37217" s="21">
        <v>491.25</v>
      </c>
    </row>
    <row r="37218" spans="1:8" customFormat="1" x14ac:dyDescent="0.25">
      <c r="A37218" t="str">
        <f>"7882073"</f>
        <v>7882073</v>
      </c>
      <c r="B37218" t="s">
        <v>6175</v>
      </c>
      <c r="C37218" t="s">
        <v>328</v>
      </c>
      <c r="D37218" s="21" t="s">
        <v>34</v>
      </c>
      <c r="E37218" s="21" t="s">
        <v>35</v>
      </c>
      <c r="F37218">
        <v>8780935</v>
      </c>
      <c r="G37218" t="s">
        <v>1944</v>
      </c>
      <c r="H37218" s="21">
        <v>491.25</v>
      </c>
    </row>
    <row r="37219" spans="1:8" customFormat="1" x14ac:dyDescent="0.25">
      <c r="A37219" t="str">
        <f>"3534832"</f>
        <v>3534832</v>
      </c>
      <c r="B37219" t="s">
        <v>23116</v>
      </c>
      <c r="C37219" t="s">
        <v>151</v>
      </c>
      <c r="D37219" s="21" t="s">
        <v>34</v>
      </c>
      <c r="E37219" s="21" t="s">
        <v>71</v>
      </c>
      <c r="F37219">
        <v>3350210</v>
      </c>
      <c r="G37219" t="s">
        <v>12171</v>
      </c>
      <c r="H37219" s="21">
        <v>491.17</v>
      </c>
    </row>
    <row r="37220" spans="1:8" customFormat="1" x14ac:dyDescent="0.25">
      <c r="A37220" t="str">
        <f>"7876395"</f>
        <v>7876395</v>
      </c>
      <c r="B37220" t="s">
        <v>21863</v>
      </c>
      <c r="C37220" t="s">
        <v>87</v>
      </c>
      <c r="D37220" s="21" t="s">
        <v>34</v>
      </c>
      <c r="E37220" s="21" t="s">
        <v>71</v>
      </c>
      <c r="F37220">
        <v>8781267</v>
      </c>
      <c r="G37220" t="s">
        <v>13791</v>
      </c>
      <c r="H37220" s="21">
        <v>491.17</v>
      </c>
    </row>
    <row r="37221" spans="1:8" customFormat="1" x14ac:dyDescent="0.25">
      <c r="A37221" t="str">
        <f>"5942911"</f>
        <v>5942911</v>
      </c>
      <c r="B37221" t="s">
        <v>17498</v>
      </c>
      <c r="C37221" t="s">
        <v>2907</v>
      </c>
      <c r="D37221" s="21" t="s">
        <v>34</v>
      </c>
      <c r="E37221" s="21" t="s">
        <v>1089</v>
      </c>
      <c r="F37221">
        <v>7590413</v>
      </c>
      <c r="G37221" t="s">
        <v>6848</v>
      </c>
      <c r="H37221" s="21">
        <v>491.17</v>
      </c>
    </row>
    <row r="37222" spans="1:8" customFormat="1" x14ac:dyDescent="0.25">
      <c r="A37222" t="str">
        <f>"7882823"</f>
        <v>7882823</v>
      </c>
      <c r="B37222" t="s">
        <v>29385</v>
      </c>
      <c r="C37222" t="s">
        <v>1100</v>
      </c>
      <c r="D37222" s="21" t="s">
        <v>34</v>
      </c>
      <c r="E37222" s="21" t="s">
        <v>35</v>
      </c>
      <c r="F37222">
        <v>8780905</v>
      </c>
      <c r="G37222" t="s">
        <v>1267</v>
      </c>
      <c r="H37222" s="21">
        <v>491.12</v>
      </c>
    </row>
    <row r="37223" spans="1:8" customFormat="1" x14ac:dyDescent="0.25">
      <c r="A37223" t="str">
        <f>"516749"</f>
        <v>516749</v>
      </c>
      <c r="B37223" t="s">
        <v>24633</v>
      </c>
      <c r="C37223" t="s">
        <v>576</v>
      </c>
      <c r="D37223" s="21" t="s">
        <v>34</v>
      </c>
      <c r="E37223" s="21" t="s">
        <v>35</v>
      </c>
      <c r="F37223">
        <v>6510051</v>
      </c>
      <c r="G37223" t="s">
        <v>13878</v>
      </c>
      <c r="H37223" s="21">
        <v>491</v>
      </c>
    </row>
    <row r="37224" spans="1:8" customFormat="1" x14ac:dyDescent="0.25">
      <c r="A37224" t="str">
        <f>"9243208"</f>
        <v>9243208</v>
      </c>
      <c r="B37224" t="s">
        <v>727</v>
      </c>
      <c r="C37224" t="s">
        <v>269</v>
      </c>
      <c r="D37224" s="21" t="s">
        <v>34</v>
      </c>
      <c r="E37224" s="21" t="s">
        <v>71</v>
      </c>
      <c r="F37224">
        <v>8920031</v>
      </c>
      <c r="G37224" t="s">
        <v>552</v>
      </c>
      <c r="H37224" s="21">
        <v>491</v>
      </c>
    </row>
    <row r="37225" spans="1:8" customFormat="1" x14ac:dyDescent="0.25">
      <c r="A37225" t="str">
        <f>"4928741"</f>
        <v>4928741</v>
      </c>
      <c r="B37225" t="s">
        <v>21594</v>
      </c>
      <c r="C37225" t="s">
        <v>40</v>
      </c>
      <c r="D37225" s="21" t="s">
        <v>34</v>
      </c>
      <c r="E37225" s="21" t="s">
        <v>71</v>
      </c>
      <c r="F37225">
        <v>12490107</v>
      </c>
      <c r="G37225" t="s">
        <v>715</v>
      </c>
      <c r="H37225" s="21">
        <v>491</v>
      </c>
    </row>
    <row r="37226" spans="1:8" customFormat="1" x14ac:dyDescent="0.25">
      <c r="A37226" t="str">
        <f>"619046"</f>
        <v>619046</v>
      </c>
      <c r="B37226" t="s">
        <v>29386</v>
      </c>
      <c r="C37226" t="s">
        <v>62</v>
      </c>
      <c r="D37226" s="21" t="s">
        <v>34</v>
      </c>
      <c r="E37226" s="21" t="s">
        <v>35</v>
      </c>
      <c r="F37226">
        <v>9610012</v>
      </c>
      <c r="G37226" t="s">
        <v>5316</v>
      </c>
      <c r="H37226" s="21">
        <v>491</v>
      </c>
    </row>
    <row r="37227" spans="1:8" customFormat="1" x14ac:dyDescent="0.25">
      <c r="A37227" t="str">
        <f>"905494"</f>
        <v>905494</v>
      </c>
      <c r="B37227" t="s">
        <v>4335</v>
      </c>
      <c r="C37227" t="s">
        <v>879</v>
      </c>
      <c r="D37227" s="21" t="s">
        <v>34</v>
      </c>
      <c r="E37227" s="21" t="s">
        <v>254</v>
      </c>
      <c r="F37227">
        <v>2900013</v>
      </c>
      <c r="G37227" t="s">
        <v>5390</v>
      </c>
      <c r="H37227" s="21">
        <v>491</v>
      </c>
    </row>
    <row r="37228" spans="1:8" customFormat="1" x14ac:dyDescent="0.25">
      <c r="A37228" t="str">
        <f>"8317022"</f>
        <v>8317022</v>
      </c>
      <c r="B37228" t="s">
        <v>482</v>
      </c>
      <c r="C37228" t="s">
        <v>598</v>
      </c>
      <c r="D37228" s="21" t="s">
        <v>34</v>
      </c>
      <c r="E37228" s="21" t="s">
        <v>254</v>
      </c>
      <c r="F37228">
        <v>13830066</v>
      </c>
      <c r="G37228" t="s">
        <v>7148</v>
      </c>
      <c r="H37228" s="21">
        <v>491</v>
      </c>
    </row>
    <row r="37229" spans="1:8" customFormat="1" x14ac:dyDescent="0.25">
      <c r="A37229" t="str">
        <f>"5324346"</f>
        <v>5324346</v>
      </c>
      <c r="B37229" t="s">
        <v>24642</v>
      </c>
      <c r="C37229" t="s">
        <v>55</v>
      </c>
      <c r="D37229" s="21" t="s">
        <v>34</v>
      </c>
      <c r="E37229" s="21" t="s">
        <v>71</v>
      </c>
      <c r="F37229">
        <v>12530018</v>
      </c>
      <c r="G37229" t="s">
        <v>8768</v>
      </c>
      <c r="H37229" s="21">
        <v>491</v>
      </c>
    </row>
    <row r="37230" spans="1:8" customFormat="1" x14ac:dyDescent="0.25">
      <c r="A37230" t="str">
        <f>"6947172"</f>
        <v>6947172</v>
      </c>
      <c r="B37230" t="s">
        <v>5150</v>
      </c>
      <c r="C37230" t="s">
        <v>209</v>
      </c>
      <c r="D37230" s="21" t="s">
        <v>34</v>
      </c>
      <c r="E37230" s="21" t="s">
        <v>35</v>
      </c>
      <c r="F37230">
        <v>1690167</v>
      </c>
      <c r="G37230" t="s">
        <v>11267</v>
      </c>
      <c r="H37230" s="21">
        <v>491</v>
      </c>
    </row>
    <row r="37231" spans="1:8" customFormat="1" x14ac:dyDescent="0.25">
      <c r="A37231" t="str">
        <f>"9125885"</f>
        <v>9125885</v>
      </c>
      <c r="B37231" t="s">
        <v>465</v>
      </c>
      <c r="C37231" t="s">
        <v>209</v>
      </c>
      <c r="D37231" s="21" t="s">
        <v>34</v>
      </c>
      <c r="E37231" s="21" t="s">
        <v>35</v>
      </c>
      <c r="F37231">
        <v>8940459</v>
      </c>
      <c r="G37231" t="s">
        <v>743</v>
      </c>
      <c r="H37231" s="21">
        <v>491</v>
      </c>
    </row>
    <row r="37232" spans="1:8" customFormat="1" x14ac:dyDescent="0.25">
      <c r="A37232" t="str">
        <f>"3340209"</f>
        <v>3340209</v>
      </c>
      <c r="B37232" t="s">
        <v>23195</v>
      </c>
      <c r="C37232" t="s">
        <v>249</v>
      </c>
      <c r="D37232" s="21" t="s">
        <v>34</v>
      </c>
      <c r="E37232" s="21" t="s">
        <v>35</v>
      </c>
      <c r="F37232">
        <v>10330067</v>
      </c>
      <c r="G37232" t="s">
        <v>125</v>
      </c>
      <c r="H37232" s="21">
        <v>491</v>
      </c>
    </row>
    <row r="37233" spans="1:8" customFormat="1" x14ac:dyDescent="0.25">
      <c r="A37233" t="str">
        <f>"799003"</f>
        <v>799003</v>
      </c>
      <c r="B37233" t="s">
        <v>9535</v>
      </c>
      <c r="C37233" t="s">
        <v>926</v>
      </c>
      <c r="D37233" s="21" t="s">
        <v>34</v>
      </c>
      <c r="E37233" s="21" t="s">
        <v>254</v>
      </c>
      <c r="F37233">
        <v>10790126</v>
      </c>
      <c r="G37233" t="s">
        <v>15019</v>
      </c>
      <c r="H37233" s="21">
        <v>491</v>
      </c>
    </row>
    <row r="37234" spans="1:8" customFormat="1" x14ac:dyDescent="0.25">
      <c r="A37234" t="str">
        <f>"7731878"</f>
        <v>7731878</v>
      </c>
      <c r="B37234" t="s">
        <v>7000</v>
      </c>
      <c r="C37234" t="s">
        <v>124</v>
      </c>
      <c r="D37234" s="21" t="s">
        <v>34</v>
      </c>
      <c r="E37234" s="21" t="s">
        <v>71</v>
      </c>
      <c r="F37234">
        <v>8771501</v>
      </c>
      <c r="G37234" t="s">
        <v>10128</v>
      </c>
      <c r="H37234" s="21">
        <v>491</v>
      </c>
    </row>
    <row r="37235" spans="1:8" customFormat="1" x14ac:dyDescent="0.25">
      <c r="A37235" t="str">
        <f>"69875"</f>
        <v>69875</v>
      </c>
      <c r="B37235" t="s">
        <v>21668</v>
      </c>
      <c r="C37235" t="s">
        <v>1914</v>
      </c>
      <c r="D37235" s="21" t="s">
        <v>34</v>
      </c>
      <c r="E37235" s="21" t="s">
        <v>1089</v>
      </c>
      <c r="F37235">
        <v>1690034</v>
      </c>
      <c r="G37235" t="s">
        <v>8838</v>
      </c>
      <c r="H37235" s="21">
        <v>491</v>
      </c>
    </row>
    <row r="37236" spans="1:8" customFormat="1" x14ac:dyDescent="0.25">
      <c r="A37236" t="str">
        <f>"34178"</f>
        <v>34178</v>
      </c>
      <c r="B37236" t="s">
        <v>24488</v>
      </c>
      <c r="C37236" t="s">
        <v>2904</v>
      </c>
      <c r="D37236" s="21" t="s">
        <v>34</v>
      </c>
      <c r="E37236" s="21" t="s">
        <v>254</v>
      </c>
      <c r="F37236">
        <v>11340065</v>
      </c>
      <c r="G37236" t="s">
        <v>2022</v>
      </c>
      <c r="H37236" s="21">
        <v>491</v>
      </c>
    </row>
    <row r="37237" spans="1:8" customFormat="1" x14ac:dyDescent="0.25">
      <c r="A37237" t="str">
        <f>"9250505"</f>
        <v>9250505</v>
      </c>
      <c r="B37237" t="s">
        <v>18159</v>
      </c>
      <c r="C37237" t="s">
        <v>119</v>
      </c>
      <c r="D37237" s="21" t="s">
        <v>34</v>
      </c>
      <c r="E37237" s="21" t="s">
        <v>71</v>
      </c>
      <c r="F37237">
        <v>8921458</v>
      </c>
      <c r="G37237" t="s">
        <v>162</v>
      </c>
      <c r="H37237" s="21">
        <v>491</v>
      </c>
    </row>
    <row r="37238" spans="1:8" customFormat="1" x14ac:dyDescent="0.25">
      <c r="A37238" t="str">
        <f>"9216729"</f>
        <v>9216729</v>
      </c>
      <c r="B37238" t="s">
        <v>10392</v>
      </c>
      <c r="C37238" t="s">
        <v>233</v>
      </c>
      <c r="D37238" s="21" t="s">
        <v>34</v>
      </c>
      <c r="E37238" s="21" t="s">
        <v>6185</v>
      </c>
      <c r="F37238">
        <v>8920075</v>
      </c>
      <c r="G37238" t="s">
        <v>317</v>
      </c>
      <c r="H37238" s="21">
        <v>491</v>
      </c>
    </row>
    <row r="37239" spans="1:8" customFormat="1" x14ac:dyDescent="0.25">
      <c r="A37239" t="str">
        <f>"9249986"</f>
        <v>9249986</v>
      </c>
      <c r="B37239" t="s">
        <v>1349</v>
      </c>
      <c r="C37239" t="s">
        <v>87</v>
      </c>
      <c r="D37239" s="21" t="s">
        <v>34</v>
      </c>
      <c r="E37239" s="21" t="s">
        <v>71</v>
      </c>
      <c r="F37239">
        <v>8920031</v>
      </c>
      <c r="G37239" t="s">
        <v>552</v>
      </c>
      <c r="H37239" s="21">
        <v>491</v>
      </c>
    </row>
    <row r="37240" spans="1:8" customFormat="1" x14ac:dyDescent="0.25">
      <c r="A37240" t="str">
        <f>"051357"</f>
        <v>051357</v>
      </c>
      <c r="B37240" t="s">
        <v>29387</v>
      </c>
      <c r="C37240" t="s">
        <v>328</v>
      </c>
      <c r="D37240" s="21" t="s">
        <v>34</v>
      </c>
      <c r="E37240" s="21" t="s">
        <v>35</v>
      </c>
      <c r="F37240">
        <v>13050026</v>
      </c>
      <c r="G37240" t="s">
        <v>18179</v>
      </c>
      <c r="H37240" s="21">
        <v>491</v>
      </c>
    </row>
    <row r="37241" spans="1:8" customFormat="1" x14ac:dyDescent="0.25">
      <c r="A37241" t="str">
        <f>"879477"</f>
        <v>879477</v>
      </c>
      <c r="B37241" t="s">
        <v>23132</v>
      </c>
      <c r="C37241" t="s">
        <v>415</v>
      </c>
      <c r="D37241" s="21" t="s">
        <v>34</v>
      </c>
      <c r="E37241" s="21" t="s">
        <v>254</v>
      </c>
      <c r="F37241">
        <v>10870117</v>
      </c>
      <c r="G37241" t="s">
        <v>3139</v>
      </c>
      <c r="H37241" s="21">
        <v>491</v>
      </c>
    </row>
    <row r="37242" spans="1:8" customFormat="1" x14ac:dyDescent="0.25">
      <c r="A37242" t="str">
        <f>"5615929"</f>
        <v>5615929</v>
      </c>
      <c r="B37242" t="s">
        <v>12619</v>
      </c>
      <c r="C37242" t="s">
        <v>1231</v>
      </c>
      <c r="D37242" s="21" t="s">
        <v>34</v>
      </c>
      <c r="E37242" s="21" t="s">
        <v>1089</v>
      </c>
      <c r="F37242">
        <v>3560091</v>
      </c>
      <c r="G37242" t="s">
        <v>27212</v>
      </c>
      <c r="H37242" s="21">
        <v>491</v>
      </c>
    </row>
    <row r="37243" spans="1:8" customFormat="1" x14ac:dyDescent="0.25">
      <c r="A37243" t="str">
        <f>"6011633"</f>
        <v>6011633</v>
      </c>
      <c r="B37243" t="s">
        <v>23420</v>
      </c>
      <c r="C37243" t="s">
        <v>209</v>
      </c>
      <c r="D37243" s="21" t="s">
        <v>34</v>
      </c>
      <c r="E37243" s="21" t="s">
        <v>71</v>
      </c>
      <c r="F37243">
        <v>7600130</v>
      </c>
      <c r="G37243" t="s">
        <v>11080</v>
      </c>
      <c r="H37243" s="21">
        <v>491</v>
      </c>
    </row>
    <row r="37244" spans="1:8" customFormat="1" x14ac:dyDescent="0.25">
      <c r="A37244" t="str">
        <f>"5979177"</f>
        <v>5979177</v>
      </c>
      <c r="B37244" t="s">
        <v>24418</v>
      </c>
      <c r="C37244" t="s">
        <v>127</v>
      </c>
      <c r="D37244" s="21" t="s">
        <v>34</v>
      </c>
      <c r="E37244" s="21" t="s">
        <v>35</v>
      </c>
      <c r="F37244">
        <v>7590409</v>
      </c>
      <c r="G37244" t="s">
        <v>2228</v>
      </c>
      <c r="H37244" s="21">
        <v>491</v>
      </c>
    </row>
    <row r="37245" spans="1:8" customFormat="1" x14ac:dyDescent="0.25">
      <c r="A37245" t="str">
        <f>"1717451"</f>
        <v>1717451</v>
      </c>
      <c r="B37245" t="s">
        <v>11447</v>
      </c>
      <c r="C37245" t="s">
        <v>269</v>
      </c>
      <c r="D37245" s="21" t="s">
        <v>34</v>
      </c>
      <c r="E37245" s="21" t="s">
        <v>35</v>
      </c>
      <c r="F37245">
        <v>10170050</v>
      </c>
      <c r="G37245" t="s">
        <v>2514</v>
      </c>
      <c r="H37245" s="21">
        <v>491</v>
      </c>
    </row>
    <row r="37246" spans="1:8" customFormat="1" x14ac:dyDescent="0.25">
      <c r="A37246" t="str">
        <f>"7826050"</f>
        <v>7826050</v>
      </c>
      <c r="B37246" t="s">
        <v>20965</v>
      </c>
      <c r="C37246" t="s">
        <v>598</v>
      </c>
      <c r="D37246" s="21" t="s">
        <v>34</v>
      </c>
      <c r="E37246" s="21" t="s">
        <v>1089</v>
      </c>
      <c r="F37246">
        <v>8781432</v>
      </c>
      <c r="G37246" t="s">
        <v>9227</v>
      </c>
      <c r="H37246" s="21">
        <v>491</v>
      </c>
    </row>
    <row r="37247" spans="1:8" customFormat="1" x14ac:dyDescent="0.25">
      <c r="A37247" t="str">
        <f>"6112832"</f>
        <v>6112832</v>
      </c>
      <c r="B37247" t="s">
        <v>29388</v>
      </c>
      <c r="C37247" t="s">
        <v>415</v>
      </c>
      <c r="D37247" s="21" t="s">
        <v>34</v>
      </c>
      <c r="E37247" s="21" t="s">
        <v>254</v>
      </c>
      <c r="F37247">
        <v>9610093</v>
      </c>
      <c r="G37247" t="s">
        <v>8231</v>
      </c>
      <c r="H37247" s="21">
        <v>491</v>
      </c>
    </row>
    <row r="37248" spans="1:8" customFormat="1" x14ac:dyDescent="0.25">
      <c r="A37248" t="str">
        <f>"61358"</f>
        <v>61358</v>
      </c>
      <c r="B37248" t="s">
        <v>24719</v>
      </c>
      <c r="C37248" t="s">
        <v>598</v>
      </c>
      <c r="D37248" s="21" t="s">
        <v>34</v>
      </c>
      <c r="E37248" s="21" t="s">
        <v>71</v>
      </c>
      <c r="F37248">
        <v>9610107</v>
      </c>
      <c r="G37248" t="s">
        <v>6302</v>
      </c>
      <c r="H37248" s="21">
        <v>491</v>
      </c>
    </row>
    <row r="37249" spans="1:8" customFormat="1" x14ac:dyDescent="0.25">
      <c r="A37249" t="str">
        <f>"411273"</f>
        <v>411273</v>
      </c>
      <c r="B37249" t="s">
        <v>16873</v>
      </c>
      <c r="C37249" t="s">
        <v>415</v>
      </c>
      <c r="D37249" s="21" t="s">
        <v>34</v>
      </c>
      <c r="E37249" s="21" t="s">
        <v>254</v>
      </c>
      <c r="F37249">
        <v>4410728</v>
      </c>
      <c r="G37249" t="s">
        <v>2241</v>
      </c>
      <c r="H37249" s="21">
        <v>491</v>
      </c>
    </row>
    <row r="37250" spans="1:8" customFormat="1" x14ac:dyDescent="0.25">
      <c r="A37250" t="str">
        <f>"639950"</f>
        <v>639950</v>
      </c>
      <c r="B37250" t="s">
        <v>136</v>
      </c>
      <c r="C37250" t="s">
        <v>1142</v>
      </c>
      <c r="D37250" s="21" t="s">
        <v>34</v>
      </c>
      <c r="E37250" s="21" t="s">
        <v>1089</v>
      </c>
      <c r="F37250">
        <v>1630249</v>
      </c>
      <c r="G37250" t="s">
        <v>1237</v>
      </c>
      <c r="H37250" s="21">
        <v>491</v>
      </c>
    </row>
    <row r="37251" spans="1:8" customFormat="1" x14ac:dyDescent="0.25">
      <c r="A37251" t="str">
        <f>"044011"</f>
        <v>044011</v>
      </c>
      <c r="B37251" t="s">
        <v>29389</v>
      </c>
      <c r="C37251" t="s">
        <v>119</v>
      </c>
      <c r="D37251" s="21" t="s">
        <v>34</v>
      </c>
      <c r="E37251" s="21" t="s">
        <v>35</v>
      </c>
      <c r="F37251">
        <v>13040025</v>
      </c>
      <c r="G37251" t="s">
        <v>6715</v>
      </c>
      <c r="H37251" s="21">
        <v>491</v>
      </c>
    </row>
    <row r="37252" spans="1:8" customFormat="1" x14ac:dyDescent="0.25">
      <c r="A37252" t="str">
        <f>"7521808"</f>
        <v>7521808</v>
      </c>
      <c r="B37252" t="s">
        <v>22928</v>
      </c>
      <c r="C37252" t="s">
        <v>55</v>
      </c>
      <c r="D37252" s="21" t="s">
        <v>34</v>
      </c>
      <c r="E37252" s="21" t="s">
        <v>71</v>
      </c>
      <c r="F37252">
        <v>8750141</v>
      </c>
      <c r="G37252" t="s">
        <v>1514</v>
      </c>
      <c r="H37252" s="21">
        <v>491</v>
      </c>
    </row>
    <row r="37253" spans="1:8" customFormat="1" x14ac:dyDescent="0.25">
      <c r="A37253" t="str">
        <f>"5983928"</f>
        <v>5983928</v>
      </c>
      <c r="B37253" t="s">
        <v>29390</v>
      </c>
      <c r="C37253" t="s">
        <v>60</v>
      </c>
      <c r="D37253" s="21" t="s">
        <v>34</v>
      </c>
      <c r="E37253" s="21" t="s">
        <v>35</v>
      </c>
      <c r="F37253">
        <v>7590218</v>
      </c>
      <c r="G37253" t="s">
        <v>26769</v>
      </c>
      <c r="H37253" s="21">
        <v>491</v>
      </c>
    </row>
    <row r="37254" spans="1:8" customFormat="1" x14ac:dyDescent="0.25">
      <c r="A37254" t="str">
        <f>"9537114"</f>
        <v>9537114</v>
      </c>
      <c r="B37254" t="s">
        <v>19567</v>
      </c>
      <c r="C37254" t="s">
        <v>139</v>
      </c>
      <c r="D37254" s="21" t="s">
        <v>34</v>
      </c>
      <c r="E37254" s="21" t="s">
        <v>35</v>
      </c>
      <c r="F37254">
        <v>8950022</v>
      </c>
      <c r="G37254" t="s">
        <v>2785</v>
      </c>
      <c r="H37254" s="21">
        <v>491</v>
      </c>
    </row>
    <row r="37255" spans="1:8" customFormat="1" x14ac:dyDescent="0.25">
      <c r="A37255" t="str">
        <f>"61540"</f>
        <v>61540</v>
      </c>
      <c r="B37255" t="s">
        <v>23382</v>
      </c>
      <c r="C37255" t="s">
        <v>1271</v>
      </c>
      <c r="D37255" s="21" t="s">
        <v>34</v>
      </c>
      <c r="E37255" s="21" t="s">
        <v>6185</v>
      </c>
      <c r="F37255">
        <v>9610039</v>
      </c>
      <c r="G37255" t="s">
        <v>3965</v>
      </c>
      <c r="H37255" s="21">
        <v>491</v>
      </c>
    </row>
    <row r="37256" spans="1:8" customFormat="1" x14ac:dyDescent="0.25">
      <c r="A37256" t="str">
        <f>"2939540"</f>
        <v>2939540</v>
      </c>
      <c r="B37256" t="s">
        <v>29391</v>
      </c>
      <c r="C37256" t="s">
        <v>763</v>
      </c>
      <c r="D37256" s="21" t="s">
        <v>34</v>
      </c>
      <c r="E37256" s="21" t="s">
        <v>35</v>
      </c>
      <c r="F37256">
        <v>3290284</v>
      </c>
      <c r="G37256" t="s">
        <v>8972</v>
      </c>
      <c r="H37256" s="21">
        <v>491</v>
      </c>
    </row>
    <row r="37257" spans="1:8" customFormat="1" x14ac:dyDescent="0.25">
      <c r="A37257" t="str">
        <f>"5982907"</f>
        <v>5982907</v>
      </c>
      <c r="B37257" t="s">
        <v>29392</v>
      </c>
      <c r="C37257" t="s">
        <v>1559</v>
      </c>
      <c r="D37257" s="21" t="s">
        <v>34</v>
      </c>
      <c r="E37257" s="21" t="s">
        <v>35</v>
      </c>
      <c r="F37257">
        <v>7590395</v>
      </c>
      <c r="G37257" t="s">
        <v>15061</v>
      </c>
      <c r="H37257" s="21">
        <v>491</v>
      </c>
    </row>
    <row r="37258" spans="1:8" customFormat="1" x14ac:dyDescent="0.25">
      <c r="A37258" t="str">
        <f>"814674"</f>
        <v>814674</v>
      </c>
      <c r="B37258" t="s">
        <v>10202</v>
      </c>
      <c r="C37258" t="s">
        <v>611</v>
      </c>
      <c r="D37258" s="21" t="s">
        <v>34</v>
      </c>
      <c r="E37258" s="21" t="s">
        <v>35</v>
      </c>
      <c r="F37258">
        <v>11810001</v>
      </c>
      <c r="G37258" t="s">
        <v>26998</v>
      </c>
      <c r="H37258" s="21">
        <v>491</v>
      </c>
    </row>
    <row r="37259" spans="1:8" customFormat="1" x14ac:dyDescent="0.25">
      <c r="A37259" t="str">
        <f>"6222035"</f>
        <v>6222035</v>
      </c>
      <c r="B37259" t="s">
        <v>8458</v>
      </c>
      <c r="C37259" t="s">
        <v>233</v>
      </c>
      <c r="D37259" s="21" t="s">
        <v>34</v>
      </c>
      <c r="E37259" s="21" t="s">
        <v>35</v>
      </c>
      <c r="F37259">
        <v>7620044</v>
      </c>
      <c r="G37259" t="s">
        <v>2961</v>
      </c>
      <c r="H37259" s="21">
        <v>491</v>
      </c>
    </row>
    <row r="37260" spans="1:8" customFormat="1" x14ac:dyDescent="0.25">
      <c r="A37260" t="str">
        <f>"3538140"</f>
        <v>3538140</v>
      </c>
      <c r="B37260" t="s">
        <v>11835</v>
      </c>
      <c r="C37260" t="s">
        <v>1271</v>
      </c>
      <c r="D37260" s="21" t="s">
        <v>34</v>
      </c>
      <c r="E37260" s="21" t="s">
        <v>71</v>
      </c>
      <c r="F37260">
        <v>3350074</v>
      </c>
      <c r="G37260" t="s">
        <v>5432</v>
      </c>
      <c r="H37260" s="21">
        <v>491</v>
      </c>
    </row>
    <row r="37261" spans="1:8" customFormat="1" x14ac:dyDescent="0.25">
      <c r="A37261" t="str">
        <f>"396626"</f>
        <v>396626</v>
      </c>
      <c r="B37261" t="s">
        <v>10019</v>
      </c>
      <c r="C37261" t="s">
        <v>3217</v>
      </c>
      <c r="D37261" s="21" t="s">
        <v>34</v>
      </c>
      <c r="E37261" s="21" t="s">
        <v>35</v>
      </c>
      <c r="F37261">
        <v>2390007</v>
      </c>
      <c r="G37261" t="s">
        <v>3365</v>
      </c>
      <c r="H37261" s="21">
        <v>491</v>
      </c>
    </row>
    <row r="37262" spans="1:8" customFormat="1" x14ac:dyDescent="0.25">
      <c r="A37262" t="str">
        <f>"3730880"</f>
        <v>3730880</v>
      </c>
      <c r="B37262" t="s">
        <v>29393</v>
      </c>
      <c r="C37262" t="s">
        <v>33</v>
      </c>
      <c r="D37262" s="21" t="s">
        <v>34</v>
      </c>
      <c r="E37262" s="21" t="s">
        <v>35</v>
      </c>
      <c r="F37262">
        <v>4370038</v>
      </c>
      <c r="G37262" t="s">
        <v>1045</v>
      </c>
      <c r="H37262" s="21">
        <v>491</v>
      </c>
    </row>
    <row r="37263" spans="1:8" customFormat="1" x14ac:dyDescent="0.25">
      <c r="A37263" t="str">
        <f>"5734619"</f>
        <v>5734619</v>
      </c>
      <c r="B37263" t="s">
        <v>29394</v>
      </c>
      <c r="C37263" t="s">
        <v>249</v>
      </c>
      <c r="D37263" s="21" t="s">
        <v>34</v>
      </c>
      <c r="E37263" s="21" t="s">
        <v>35</v>
      </c>
      <c r="F37263">
        <v>6570102</v>
      </c>
      <c r="G37263" t="s">
        <v>16722</v>
      </c>
      <c r="H37263" s="21">
        <v>491</v>
      </c>
    </row>
    <row r="37264" spans="1:8" customFormat="1" x14ac:dyDescent="0.25">
      <c r="A37264" t="str">
        <f>"594881"</f>
        <v>594881</v>
      </c>
      <c r="B37264" t="s">
        <v>1676</v>
      </c>
      <c r="C37264" t="s">
        <v>65</v>
      </c>
      <c r="D37264" s="21" t="s">
        <v>34</v>
      </c>
      <c r="E37264" s="21" t="s">
        <v>71</v>
      </c>
      <c r="F37264">
        <v>7590065</v>
      </c>
      <c r="G37264" t="s">
        <v>1598</v>
      </c>
      <c r="H37264" s="21">
        <v>491</v>
      </c>
    </row>
    <row r="37265" spans="1:8" customFormat="1" x14ac:dyDescent="0.25">
      <c r="A37265" t="str">
        <f>"5980464"</f>
        <v>5980464</v>
      </c>
      <c r="B37265" t="s">
        <v>8638</v>
      </c>
      <c r="C37265" t="s">
        <v>29395</v>
      </c>
      <c r="D37265" s="21" t="s">
        <v>34</v>
      </c>
      <c r="E37265" s="21" t="s">
        <v>35</v>
      </c>
      <c r="F37265">
        <v>7590009</v>
      </c>
      <c r="G37265" t="s">
        <v>535</v>
      </c>
      <c r="H37265" s="21">
        <v>491</v>
      </c>
    </row>
    <row r="37266" spans="1:8" customFormat="1" x14ac:dyDescent="0.25">
      <c r="A37266" t="str">
        <f>"4427972"</f>
        <v>4427972</v>
      </c>
      <c r="B37266" t="s">
        <v>4128</v>
      </c>
      <c r="C37266" t="s">
        <v>204</v>
      </c>
      <c r="D37266" s="21" t="s">
        <v>34</v>
      </c>
      <c r="E37266" s="21" t="s">
        <v>71</v>
      </c>
      <c r="F37266">
        <v>12440039</v>
      </c>
      <c r="G37266" t="s">
        <v>9650</v>
      </c>
      <c r="H37266" s="21">
        <v>491</v>
      </c>
    </row>
    <row r="37267" spans="1:8" customFormat="1" x14ac:dyDescent="0.25">
      <c r="A37267" t="str">
        <f>"305461"</f>
        <v>305461</v>
      </c>
      <c r="B37267" t="s">
        <v>22647</v>
      </c>
      <c r="C37267" t="s">
        <v>239</v>
      </c>
      <c r="D37267" s="21" t="s">
        <v>34</v>
      </c>
      <c r="E37267" s="21" t="s">
        <v>1089</v>
      </c>
      <c r="F37267">
        <v>11300016</v>
      </c>
      <c r="G37267" t="s">
        <v>157</v>
      </c>
      <c r="H37267" s="21">
        <v>491</v>
      </c>
    </row>
    <row r="37268" spans="1:8" customFormat="1" x14ac:dyDescent="0.25">
      <c r="A37268" t="str">
        <f>"898115"</f>
        <v>898115</v>
      </c>
      <c r="B37268" t="s">
        <v>1103</v>
      </c>
      <c r="C37268" t="s">
        <v>2907</v>
      </c>
      <c r="D37268" s="21" t="s">
        <v>34</v>
      </c>
      <c r="E37268" s="21" t="s">
        <v>71</v>
      </c>
      <c r="F37268">
        <v>2890062</v>
      </c>
      <c r="G37268" t="s">
        <v>9283</v>
      </c>
      <c r="H37268" s="21">
        <v>491</v>
      </c>
    </row>
    <row r="37269" spans="1:8" customFormat="1" x14ac:dyDescent="0.25">
      <c r="A37269" t="str">
        <f>"9450680"</f>
        <v>9450680</v>
      </c>
      <c r="B37269" t="s">
        <v>24287</v>
      </c>
      <c r="C37269" t="s">
        <v>43</v>
      </c>
      <c r="D37269" s="21" t="s">
        <v>34</v>
      </c>
      <c r="E37269" s="21" t="s">
        <v>35</v>
      </c>
      <c r="F37269">
        <v>8941359</v>
      </c>
      <c r="G37269" t="s">
        <v>14474</v>
      </c>
      <c r="H37269" s="21">
        <v>491</v>
      </c>
    </row>
    <row r="37270" spans="1:8" customFormat="1" x14ac:dyDescent="0.25">
      <c r="A37270" t="str">
        <f>"3538252"</f>
        <v>3538252</v>
      </c>
      <c r="B37270" t="s">
        <v>7751</v>
      </c>
      <c r="C37270" t="s">
        <v>204</v>
      </c>
      <c r="D37270" s="21" t="s">
        <v>34</v>
      </c>
      <c r="E37270" s="21" t="s">
        <v>35</v>
      </c>
      <c r="F37270">
        <v>3350150</v>
      </c>
      <c r="G37270" t="s">
        <v>6419</v>
      </c>
      <c r="H37270" s="21">
        <v>491</v>
      </c>
    </row>
    <row r="37271" spans="1:8" customFormat="1" x14ac:dyDescent="0.25">
      <c r="A37271" t="str">
        <f>"3521369"</f>
        <v>3521369</v>
      </c>
      <c r="B37271" t="s">
        <v>21776</v>
      </c>
      <c r="C37271" t="s">
        <v>269</v>
      </c>
      <c r="D37271" s="21" t="s">
        <v>34</v>
      </c>
      <c r="E37271" s="21" t="s">
        <v>71</v>
      </c>
      <c r="F37271">
        <v>3350048</v>
      </c>
      <c r="G37271" t="s">
        <v>2303</v>
      </c>
      <c r="H37271" s="21">
        <v>491</v>
      </c>
    </row>
    <row r="37272" spans="1:8" customFormat="1" x14ac:dyDescent="0.25">
      <c r="A37272" t="str">
        <f>"6947872"</f>
        <v>6947872</v>
      </c>
      <c r="B37272" t="s">
        <v>19277</v>
      </c>
      <c r="C37272" t="s">
        <v>381</v>
      </c>
      <c r="D37272" s="21" t="s">
        <v>34</v>
      </c>
      <c r="E37272" s="21" t="s">
        <v>71</v>
      </c>
      <c r="F37272">
        <v>1690186</v>
      </c>
      <c r="G37272" t="s">
        <v>438</v>
      </c>
      <c r="H37272" s="21">
        <v>491</v>
      </c>
    </row>
    <row r="37273" spans="1:8" customFormat="1" x14ac:dyDescent="0.25">
      <c r="A37273" t="str">
        <f>"6315801"</f>
        <v>6315801</v>
      </c>
      <c r="B37273" t="s">
        <v>14032</v>
      </c>
      <c r="C37273" t="s">
        <v>171</v>
      </c>
      <c r="D37273" s="21" t="s">
        <v>34</v>
      </c>
      <c r="E37273" s="21" t="s">
        <v>35</v>
      </c>
      <c r="F37273">
        <v>1630005</v>
      </c>
      <c r="G37273" t="s">
        <v>8825</v>
      </c>
      <c r="H37273" s="21">
        <v>491</v>
      </c>
    </row>
    <row r="37274" spans="1:8" customFormat="1" x14ac:dyDescent="0.25">
      <c r="A37274" t="str">
        <f>"1421221"</f>
        <v>1421221</v>
      </c>
      <c r="B37274" t="s">
        <v>3930</v>
      </c>
      <c r="C37274" t="s">
        <v>33</v>
      </c>
      <c r="D37274" s="21" t="s">
        <v>34</v>
      </c>
      <c r="E37274" s="21" t="s">
        <v>71</v>
      </c>
      <c r="F37274">
        <v>9140013</v>
      </c>
      <c r="G37274" t="s">
        <v>1837</v>
      </c>
      <c r="H37274" s="21">
        <v>490.75</v>
      </c>
    </row>
    <row r="37275" spans="1:8" customFormat="1" x14ac:dyDescent="0.25">
      <c r="A37275" t="str">
        <f>"4444004"</f>
        <v>4444004</v>
      </c>
      <c r="B37275" t="s">
        <v>22289</v>
      </c>
      <c r="C37275" t="s">
        <v>87</v>
      </c>
      <c r="D37275" s="21" t="s">
        <v>34</v>
      </c>
      <c r="E37275" s="21" t="s">
        <v>254</v>
      </c>
      <c r="F37275">
        <v>12440009</v>
      </c>
      <c r="G37275" t="s">
        <v>1983</v>
      </c>
      <c r="H37275" s="21">
        <v>490.75</v>
      </c>
    </row>
    <row r="37276" spans="1:8" customFormat="1" x14ac:dyDescent="0.25">
      <c r="A37276" t="str">
        <f>"7639312"</f>
        <v>7639312</v>
      </c>
      <c r="B37276" t="s">
        <v>18048</v>
      </c>
      <c r="C37276" t="s">
        <v>486</v>
      </c>
      <c r="D37276" s="21" t="s">
        <v>34</v>
      </c>
      <c r="E37276" s="21" t="s">
        <v>35</v>
      </c>
      <c r="F37276">
        <v>9760025</v>
      </c>
      <c r="G37276" t="s">
        <v>2620</v>
      </c>
      <c r="H37276" s="21">
        <v>490.75</v>
      </c>
    </row>
    <row r="37277" spans="1:8" customFormat="1" x14ac:dyDescent="0.25">
      <c r="A37277" t="str">
        <f>"3417530"</f>
        <v>3417530</v>
      </c>
      <c r="B37277" t="s">
        <v>29396</v>
      </c>
      <c r="C37277" t="s">
        <v>598</v>
      </c>
      <c r="D37277" s="21" t="s">
        <v>34</v>
      </c>
      <c r="E37277" s="21" t="s">
        <v>254</v>
      </c>
      <c r="F37277">
        <v>11340022</v>
      </c>
      <c r="G37277" t="s">
        <v>4663</v>
      </c>
      <c r="H37277" s="21">
        <v>490.67</v>
      </c>
    </row>
    <row r="37278" spans="1:8" customFormat="1" x14ac:dyDescent="0.25">
      <c r="A37278" t="str">
        <f>"939966"</f>
        <v>939966</v>
      </c>
      <c r="B37278" t="s">
        <v>22095</v>
      </c>
      <c r="C37278" t="s">
        <v>124</v>
      </c>
      <c r="D37278" s="21" t="s">
        <v>34</v>
      </c>
      <c r="E37278" s="21" t="s">
        <v>71</v>
      </c>
      <c r="F37278">
        <v>8930113</v>
      </c>
      <c r="G37278" t="s">
        <v>368</v>
      </c>
      <c r="H37278" s="21">
        <v>490.67</v>
      </c>
    </row>
    <row r="37279" spans="1:8" customFormat="1" x14ac:dyDescent="0.25">
      <c r="A37279" t="str">
        <f>"169451"</f>
        <v>169451</v>
      </c>
      <c r="B37279" t="s">
        <v>22977</v>
      </c>
      <c r="C37279" t="s">
        <v>169</v>
      </c>
      <c r="D37279" s="21" t="s">
        <v>34</v>
      </c>
      <c r="E37279" s="21" t="s">
        <v>71</v>
      </c>
      <c r="F37279">
        <v>10160122</v>
      </c>
      <c r="G37279" t="s">
        <v>8169</v>
      </c>
      <c r="H37279" s="21">
        <v>490.67</v>
      </c>
    </row>
    <row r="37280" spans="1:8" customFormat="1" x14ac:dyDescent="0.25">
      <c r="A37280" t="str">
        <f>"5970635"</f>
        <v>5970635</v>
      </c>
      <c r="B37280" t="s">
        <v>24463</v>
      </c>
      <c r="C37280" t="s">
        <v>2520</v>
      </c>
      <c r="D37280" s="21" t="s">
        <v>34</v>
      </c>
      <c r="E37280" s="21" t="s">
        <v>254</v>
      </c>
      <c r="F37280">
        <v>7590379</v>
      </c>
      <c r="G37280" t="s">
        <v>13711</v>
      </c>
      <c r="H37280" s="21">
        <v>490.67</v>
      </c>
    </row>
    <row r="37281" spans="1:8" customFormat="1" x14ac:dyDescent="0.25">
      <c r="A37281" t="str">
        <f>"2721693"</f>
        <v>2721693</v>
      </c>
      <c r="B37281" t="s">
        <v>5416</v>
      </c>
      <c r="C37281" t="s">
        <v>33</v>
      </c>
      <c r="D37281" s="21" t="s">
        <v>34</v>
      </c>
      <c r="E37281" s="21" t="s">
        <v>35</v>
      </c>
      <c r="F37281">
        <v>9270110</v>
      </c>
      <c r="G37281" t="s">
        <v>7417</v>
      </c>
      <c r="H37281" s="21">
        <v>490.62</v>
      </c>
    </row>
    <row r="37282" spans="1:8" customFormat="1" x14ac:dyDescent="0.25">
      <c r="A37282" t="str">
        <f>"301196"</f>
        <v>301196</v>
      </c>
      <c r="B37282" t="s">
        <v>15222</v>
      </c>
      <c r="C37282" t="s">
        <v>233</v>
      </c>
      <c r="D37282" s="21" t="s">
        <v>34</v>
      </c>
      <c r="E37282" s="21" t="s">
        <v>1089</v>
      </c>
      <c r="F37282">
        <v>11300014</v>
      </c>
      <c r="G37282" t="s">
        <v>2345</v>
      </c>
      <c r="H37282" s="21">
        <v>490.5</v>
      </c>
    </row>
    <row r="37283" spans="1:8" customFormat="1" x14ac:dyDescent="0.25">
      <c r="A37283" t="str">
        <f>"5621994"</f>
        <v>5621994</v>
      </c>
      <c r="B37283" t="s">
        <v>29397</v>
      </c>
      <c r="C37283" t="s">
        <v>1665</v>
      </c>
      <c r="D37283" s="21" t="s">
        <v>34</v>
      </c>
      <c r="E37283" s="21" t="s">
        <v>35</v>
      </c>
      <c r="F37283">
        <v>3560038</v>
      </c>
      <c r="G37283" t="s">
        <v>3598</v>
      </c>
      <c r="H37283" s="21">
        <v>490.5</v>
      </c>
    </row>
    <row r="37284" spans="1:8" customFormat="1" x14ac:dyDescent="0.25">
      <c r="A37284" t="str">
        <f>"1410047"</f>
        <v>1410047</v>
      </c>
      <c r="B37284" t="s">
        <v>3350</v>
      </c>
      <c r="C37284" t="s">
        <v>2135</v>
      </c>
      <c r="D37284" s="21" t="s">
        <v>34</v>
      </c>
      <c r="E37284" s="21" t="s">
        <v>35</v>
      </c>
      <c r="F37284">
        <v>9140063</v>
      </c>
      <c r="G37284" t="s">
        <v>4764</v>
      </c>
      <c r="H37284" s="21">
        <v>490.5</v>
      </c>
    </row>
    <row r="37285" spans="1:8" customFormat="1" x14ac:dyDescent="0.25">
      <c r="A37285" t="str">
        <f>"3535926"</f>
        <v>3535926</v>
      </c>
      <c r="B37285" t="s">
        <v>4654</v>
      </c>
      <c r="C37285" t="s">
        <v>169</v>
      </c>
      <c r="D37285" s="21" t="s">
        <v>34</v>
      </c>
      <c r="E37285" s="21" t="s">
        <v>71</v>
      </c>
      <c r="F37285">
        <v>3350023</v>
      </c>
      <c r="G37285" t="s">
        <v>12401</v>
      </c>
      <c r="H37285" s="21">
        <v>490.5</v>
      </c>
    </row>
    <row r="37286" spans="1:8" customFormat="1" x14ac:dyDescent="0.25">
      <c r="A37286" t="str">
        <f>"9D2351"</f>
        <v>9D2351</v>
      </c>
      <c r="B37286" t="s">
        <v>877</v>
      </c>
      <c r="C37286" t="s">
        <v>1054</v>
      </c>
      <c r="D37286" s="21" t="s">
        <v>34</v>
      </c>
      <c r="E37286" s="21" t="s">
        <v>71</v>
      </c>
      <c r="F37286" t="s">
        <v>1923</v>
      </c>
      <c r="G37286" t="s">
        <v>1924</v>
      </c>
      <c r="H37286" s="21">
        <v>490.5</v>
      </c>
    </row>
    <row r="37287" spans="1:8" customFormat="1" x14ac:dyDescent="0.25">
      <c r="A37287" t="str">
        <f>"9459815"</f>
        <v>9459815</v>
      </c>
      <c r="B37287" t="s">
        <v>24400</v>
      </c>
      <c r="C37287" t="s">
        <v>96</v>
      </c>
      <c r="D37287" s="21" t="s">
        <v>34</v>
      </c>
      <c r="E37287" s="21" t="s">
        <v>35</v>
      </c>
      <c r="F37287">
        <v>8940070</v>
      </c>
      <c r="G37287" t="s">
        <v>2320</v>
      </c>
      <c r="H37287" s="21">
        <v>490.5</v>
      </c>
    </row>
    <row r="37288" spans="1:8" customFormat="1" x14ac:dyDescent="0.25">
      <c r="A37288" t="str">
        <f>"9A293"</f>
        <v>9A293</v>
      </c>
      <c r="B37288" t="s">
        <v>22078</v>
      </c>
      <c r="C37288" t="s">
        <v>8191</v>
      </c>
      <c r="D37288" s="21" t="s">
        <v>34</v>
      </c>
      <c r="E37288" s="21" t="s">
        <v>254</v>
      </c>
      <c r="F37288" t="s">
        <v>2849</v>
      </c>
      <c r="G37288" t="s">
        <v>2850</v>
      </c>
      <c r="H37288" s="21">
        <v>490.5</v>
      </c>
    </row>
    <row r="37289" spans="1:8" customFormat="1" x14ac:dyDescent="0.25">
      <c r="A37289" t="str">
        <f>"4212728"</f>
        <v>4212728</v>
      </c>
      <c r="B37289" t="s">
        <v>29398</v>
      </c>
      <c r="C37289" t="s">
        <v>239</v>
      </c>
      <c r="D37289" s="21" t="s">
        <v>34</v>
      </c>
      <c r="E37289" s="21" t="s">
        <v>254</v>
      </c>
      <c r="F37289">
        <v>1420078</v>
      </c>
      <c r="G37289" t="s">
        <v>4287</v>
      </c>
      <c r="H37289" s="21">
        <v>490.5</v>
      </c>
    </row>
    <row r="37290" spans="1:8" customFormat="1" x14ac:dyDescent="0.25">
      <c r="A37290" t="str">
        <f>"668424"</f>
        <v>668424</v>
      </c>
      <c r="B37290" t="s">
        <v>29399</v>
      </c>
      <c r="C37290" t="s">
        <v>750</v>
      </c>
      <c r="D37290" s="21" t="s">
        <v>34</v>
      </c>
      <c r="E37290" s="21" t="s">
        <v>71</v>
      </c>
      <c r="F37290">
        <v>11660032</v>
      </c>
      <c r="G37290" t="s">
        <v>3232</v>
      </c>
      <c r="H37290" s="21">
        <v>490.5</v>
      </c>
    </row>
    <row r="37291" spans="1:8" customFormat="1" x14ac:dyDescent="0.25">
      <c r="A37291" t="str">
        <f>"813896"</f>
        <v>813896</v>
      </c>
      <c r="B37291" t="s">
        <v>890</v>
      </c>
      <c r="C37291" t="s">
        <v>55</v>
      </c>
      <c r="D37291" s="21" t="s">
        <v>34</v>
      </c>
      <c r="E37291" s="21" t="s">
        <v>71</v>
      </c>
      <c r="F37291">
        <v>11810030</v>
      </c>
      <c r="G37291" t="s">
        <v>27055</v>
      </c>
      <c r="H37291" s="21">
        <v>490.5</v>
      </c>
    </row>
    <row r="37292" spans="1:8" customFormat="1" x14ac:dyDescent="0.25">
      <c r="A37292" t="str">
        <f>"5733852"</f>
        <v>5733852</v>
      </c>
      <c r="B37292" t="s">
        <v>16343</v>
      </c>
      <c r="C37292" t="s">
        <v>720</v>
      </c>
      <c r="D37292" s="21" t="s">
        <v>34</v>
      </c>
      <c r="E37292" s="21" t="s">
        <v>254</v>
      </c>
      <c r="F37292">
        <v>6570016</v>
      </c>
      <c r="G37292" t="s">
        <v>11808</v>
      </c>
      <c r="H37292" s="21">
        <v>490.5</v>
      </c>
    </row>
    <row r="37293" spans="1:8" customFormat="1" x14ac:dyDescent="0.25">
      <c r="A37293" t="str">
        <f>"443215"</f>
        <v>443215</v>
      </c>
      <c r="B37293" t="s">
        <v>138</v>
      </c>
      <c r="C37293" t="s">
        <v>253</v>
      </c>
      <c r="D37293" s="21" t="s">
        <v>34</v>
      </c>
      <c r="E37293" s="21" t="s">
        <v>1089</v>
      </c>
      <c r="F37293">
        <v>12440112</v>
      </c>
      <c r="G37293" t="s">
        <v>9188</v>
      </c>
      <c r="H37293" s="21">
        <v>490.5</v>
      </c>
    </row>
    <row r="37294" spans="1:8" customFormat="1" x14ac:dyDescent="0.25">
      <c r="A37294" t="str">
        <f>"512335"</f>
        <v>512335</v>
      </c>
      <c r="B37294" t="s">
        <v>22487</v>
      </c>
      <c r="C37294" t="s">
        <v>1714</v>
      </c>
      <c r="D37294" s="21" t="s">
        <v>34</v>
      </c>
      <c r="E37294" s="21" t="s">
        <v>254</v>
      </c>
      <c r="F37294">
        <v>6510062</v>
      </c>
      <c r="G37294" t="s">
        <v>9059</v>
      </c>
      <c r="H37294" s="21">
        <v>490.5</v>
      </c>
    </row>
    <row r="37295" spans="1:8" customFormat="1" x14ac:dyDescent="0.25">
      <c r="A37295" t="str">
        <f>"417494"</f>
        <v>417494</v>
      </c>
      <c r="B37295" t="s">
        <v>16994</v>
      </c>
      <c r="C37295" t="s">
        <v>598</v>
      </c>
      <c r="D37295" s="21" t="s">
        <v>34</v>
      </c>
      <c r="E37295" s="21" t="s">
        <v>1089</v>
      </c>
      <c r="F37295">
        <v>4410615</v>
      </c>
      <c r="G37295" t="s">
        <v>4897</v>
      </c>
      <c r="H37295" s="21">
        <v>490.5</v>
      </c>
    </row>
    <row r="37296" spans="1:8" customFormat="1" x14ac:dyDescent="0.25">
      <c r="A37296" t="str">
        <f>"3119887"</f>
        <v>3119887</v>
      </c>
      <c r="B37296" t="s">
        <v>6801</v>
      </c>
      <c r="C37296" t="s">
        <v>576</v>
      </c>
      <c r="D37296" s="21" t="s">
        <v>34</v>
      </c>
      <c r="E37296" s="21" t="s">
        <v>35</v>
      </c>
      <c r="F37296">
        <v>11310131</v>
      </c>
      <c r="G37296" t="s">
        <v>16303</v>
      </c>
      <c r="H37296" s="21">
        <v>490.5</v>
      </c>
    </row>
    <row r="37297" spans="1:8" customFormat="1" x14ac:dyDescent="0.25">
      <c r="A37297" t="str">
        <f>"573380"</f>
        <v>573380</v>
      </c>
      <c r="B37297" t="s">
        <v>4766</v>
      </c>
      <c r="C37297" t="s">
        <v>1489</v>
      </c>
      <c r="D37297" s="21" t="s">
        <v>34</v>
      </c>
      <c r="E37297" s="21" t="s">
        <v>6185</v>
      </c>
      <c r="F37297">
        <v>6570158</v>
      </c>
      <c r="G37297" t="s">
        <v>2391</v>
      </c>
      <c r="H37297" s="21">
        <v>490.5</v>
      </c>
    </row>
    <row r="37298" spans="1:8" customFormat="1" x14ac:dyDescent="0.25">
      <c r="A37298" t="str">
        <f>"7722344"</f>
        <v>7722344</v>
      </c>
      <c r="B37298" t="s">
        <v>5150</v>
      </c>
      <c r="C37298" t="s">
        <v>171</v>
      </c>
      <c r="D37298" s="21" t="s">
        <v>34</v>
      </c>
      <c r="E37298" s="21" t="s">
        <v>71</v>
      </c>
      <c r="F37298">
        <v>8770895</v>
      </c>
      <c r="G37298" t="s">
        <v>4795</v>
      </c>
      <c r="H37298" s="21">
        <v>490.5</v>
      </c>
    </row>
    <row r="37299" spans="1:8" customFormat="1" x14ac:dyDescent="0.25">
      <c r="A37299" t="str">
        <f>"5984096"</f>
        <v>5984096</v>
      </c>
      <c r="B37299" t="s">
        <v>6034</v>
      </c>
      <c r="C37299" t="s">
        <v>174</v>
      </c>
      <c r="D37299" s="21" t="s">
        <v>34</v>
      </c>
      <c r="E37299" s="21" t="s">
        <v>35</v>
      </c>
      <c r="F37299">
        <v>7590244</v>
      </c>
      <c r="G37299" t="s">
        <v>5768</v>
      </c>
      <c r="H37299" s="21">
        <v>490.5</v>
      </c>
    </row>
    <row r="37300" spans="1:8" customFormat="1" x14ac:dyDescent="0.25">
      <c r="A37300" t="str">
        <f>"5021114"</f>
        <v>5021114</v>
      </c>
      <c r="B37300" t="s">
        <v>9321</v>
      </c>
      <c r="C37300" t="s">
        <v>87</v>
      </c>
      <c r="D37300" s="21" t="s">
        <v>34</v>
      </c>
      <c r="E37300" s="21" t="s">
        <v>35</v>
      </c>
      <c r="F37300">
        <v>9500122</v>
      </c>
      <c r="G37300" t="s">
        <v>6164</v>
      </c>
      <c r="H37300" s="21">
        <v>490.5</v>
      </c>
    </row>
    <row r="37301" spans="1:8" customFormat="1" x14ac:dyDescent="0.25">
      <c r="A37301" t="str">
        <f>"7834837"</f>
        <v>7834837</v>
      </c>
      <c r="B37301" t="s">
        <v>29400</v>
      </c>
      <c r="C37301" t="s">
        <v>40</v>
      </c>
      <c r="D37301" s="21" t="s">
        <v>34</v>
      </c>
      <c r="E37301" s="21" t="s">
        <v>71</v>
      </c>
      <c r="F37301">
        <v>8780401</v>
      </c>
      <c r="G37301" t="s">
        <v>9116</v>
      </c>
      <c r="H37301" s="21">
        <v>490.5</v>
      </c>
    </row>
    <row r="37302" spans="1:8" customFormat="1" x14ac:dyDescent="0.25">
      <c r="A37302" t="str">
        <f>"0115473"</f>
        <v>0115473</v>
      </c>
      <c r="B37302" t="s">
        <v>29401</v>
      </c>
      <c r="C37302" t="s">
        <v>55</v>
      </c>
      <c r="D37302" s="21" t="s">
        <v>34</v>
      </c>
      <c r="E37302" s="21" t="s">
        <v>71</v>
      </c>
      <c r="F37302">
        <v>1010062</v>
      </c>
      <c r="G37302" t="s">
        <v>9638</v>
      </c>
      <c r="H37302" s="21">
        <v>490.5</v>
      </c>
    </row>
    <row r="37303" spans="1:8" customFormat="1" x14ac:dyDescent="0.25">
      <c r="A37303" t="str">
        <f>"7880410"</f>
        <v>7880410</v>
      </c>
      <c r="B37303" t="s">
        <v>29402</v>
      </c>
      <c r="C37303" t="s">
        <v>29403</v>
      </c>
      <c r="D37303" s="21" t="s">
        <v>34</v>
      </c>
      <c r="E37303" s="21" t="s">
        <v>35</v>
      </c>
      <c r="F37303">
        <v>8780108</v>
      </c>
      <c r="G37303" t="s">
        <v>4329</v>
      </c>
      <c r="H37303" s="21">
        <v>490.5</v>
      </c>
    </row>
    <row r="37304" spans="1:8" customFormat="1" x14ac:dyDescent="0.25">
      <c r="A37304" t="str">
        <f>"4455341"</f>
        <v>4455341</v>
      </c>
      <c r="B37304" t="s">
        <v>24291</v>
      </c>
      <c r="C37304" t="s">
        <v>462</v>
      </c>
      <c r="D37304" s="21" t="s">
        <v>34</v>
      </c>
      <c r="E37304" s="21" t="s">
        <v>71</v>
      </c>
      <c r="F37304">
        <v>12440195</v>
      </c>
      <c r="G37304" t="s">
        <v>3117</v>
      </c>
      <c r="H37304" s="21">
        <v>490.5</v>
      </c>
    </row>
    <row r="37305" spans="1:8" customFormat="1" x14ac:dyDescent="0.25">
      <c r="A37305" t="str">
        <f>"0618269"</f>
        <v>0618269</v>
      </c>
      <c r="B37305" t="s">
        <v>4954</v>
      </c>
      <c r="C37305" t="s">
        <v>4842</v>
      </c>
      <c r="D37305" s="21" t="s">
        <v>34</v>
      </c>
      <c r="E37305" s="21" t="s">
        <v>254</v>
      </c>
      <c r="F37305">
        <v>13060072</v>
      </c>
      <c r="G37305" t="s">
        <v>6685</v>
      </c>
      <c r="H37305" s="21">
        <v>490.5</v>
      </c>
    </row>
    <row r="37306" spans="1:8" customFormat="1" x14ac:dyDescent="0.25">
      <c r="A37306" t="str">
        <f>"6942479"</f>
        <v>6942479</v>
      </c>
      <c r="B37306" t="s">
        <v>23769</v>
      </c>
      <c r="C37306" t="s">
        <v>2529</v>
      </c>
      <c r="D37306" s="21" t="s">
        <v>34</v>
      </c>
      <c r="E37306" s="21" t="s">
        <v>254</v>
      </c>
      <c r="F37306">
        <v>1690005</v>
      </c>
      <c r="G37306" t="s">
        <v>16595</v>
      </c>
      <c r="H37306" s="21">
        <v>490.5</v>
      </c>
    </row>
    <row r="37307" spans="1:8" customFormat="1" x14ac:dyDescent="0.25">
      <c r="A37307" t="str">
        <f>"6112600"</f>
        <v>6112600</v>
      </c>
      <c r="B37307" t="s">
        <v>24573</v>
      </c>
      <c r="C37307" t="s">
        <v>598</v>
      </c>
      <c r="D37307" s="21" t="s">
        <v>34</v>
      </c>
      <c r="E37307" s="21" t="s">
        <v>71</v>
      </c>
      <c r="F37307">
        <v>9610097</v>
      </c>
      <c r="G37307" t="s">
        <v>9432</v>
      </c>
      <c r="H37307" s="21">
        <v>490.5</v>
      </c>
    </row>
    <row r="37308" spans="1:8" customFormat="1" x14ac:dyDescent="0.25">
      <c r="A37308" t="str">
        <f>"4220475"</f>
        <v>4220475</v>
      </c>
      <c r="B37308" t="s">
        <v>29404</v>
      </c>
      <c r="C37308" t="s">
        <v>169</v>
      </c>
      <c r="D37308" s="21" t="s">
        <v>34</v>
      </c>
      <c r="E37308" s="21" t="s">
        <v>35</v>
      </c>
      <c r="F37308">
        <v>1420106</v>
      </c>
      <c r="G37308" t="s">
        <v>6244</v>
      </c>
      <c r="H37308" s="21">
        <v>490.5</v>
      </c>
    </row>
    <row r="37309" spans="1:8" customFormat="1" x14ac:dyDescent="0.25">
      <c r="A37309" t="str">
        <f>"5014510"</f>
        <v>5014510</v>
      </c>
      <c r="B37309" t="s">
        <v>13268</v>
      </c>
      <c r="C37309" t="s">
        <v>55</v>
      </c>
      <c r="D37309" s="21" t="s">
        <v>34</v>
      </c>
      <c r="E37309" s="21" t="s">
        <v>35</v>
      </c>
      <c r="F37309">
        <v>9500014</v>
      </c>
      <c r="G37309" t="s">
        <v>12474</v>
      </c>
      <c r="H37309" s="21">
        <v>490.5</v>
      </c>
    </row>
    <row r="37310" spans="1:8" customFormat="1" x14ac:dyDescent="0.25">
      <c r="A37310" t="str">
        <f>"1315692"</f>
        <v>1315692</v>
      </c>
      <c r="B37310" t="s">
        <v>16871</v>
      </c>
      <c r="C37310" t="s">
        <v>198</v>
      </c>
      <c r="D37310" s="21" t="s">
        <v>34</v>
      </c>
      <c r="E37310" s="21" t="s">
        <v>254</v>
      </c>
      <c r="F37310">
        <v>13130118</v>
      </c>
      <c r="G37310" t="s">
        <v>27466</v>
      </c>
      <c r="H37310" s="21">
        <v>490.5</v>
      </c>
    </row>
    <row r="37311" spans="1:8" customFormat="1" x14ac:dyDescent="0.25">
      <c r="A37311" t="str">
        <f>"0212244"</f>
        <v>0212244</v>
      </c>
      <c r="B37311" t="s">
        <v>12207</v>
      </c>
      <c r="C37311" t="s">
        <v>1665</v>
      </c>
      <c r="D37311" s="21" t="s">
        <v>34</v>
      </c>
      <c r="E37311" s="21" t="s">
        <v>1089</v>
      </c>
      <c r="F37311">
        <v>7020062</v>
      </c>
      <c r="G37311" t="s">
        <v>1505</v>
      </c>
      <c r="H37311" s="21">
        <v>490.5</v>
      </c>
    </row>
    <row r="37312" spans="1:8" customFormat="1" x14ac:dyDescent="0.25">
      <c r="A37312" t="str">
        <f>"5018863"</f>
        <v>5018863</v>
      </c>
      <c r="B37312" t="s">
        <v>3930</v>
      </c>
      <c r="C37312" t="s">
        <v>3109</v>
      </c>
      <c r="D37312" s="21" t="s">
        <v>34</v>
      </c>
      <c r="E37312" s="21" t="s">
        <v>35</v>
      </c>
      <c r="F37312">
        <v>9500031</v>
      </c>
      <c r="G37312" t="s">
        <v>11126</v>
      </c>
      <c r="H37312" s="21">
        <v>490.5</v>
      </c>
    </row>
    <row r="37313" spans="1:8" customFormat="1" x14ac:dyDescent="0.25">
      <c r="A37313" t="str">
        <f>"8017983"</f>
        <v>8017983</v>
      </c>
      <c r="B37313" t="s">
        <v>15723</v>
      </c>
      <c r="C37313" t="s">
        <v>462</v>
      </c>
      <c r="D37313" s="21" t="s">
        <v>34</v>
      </c>
      <c r="E37313" s="21" t="s">
        <v>254</v>
      </c>
      <c r="F37313">
        <v>7800156</v>
      </c>
      <c r="G37313" t="s">
        <v>12924</v>
      </c>
      <c r="H37313" s="21">
        <v>490.5</v>
      </c>
    </row>
    <row r="37314" spans="1:8" customFormat="1" x14ac:dyDescent="0.25">
      <c r="A37314" t="str">
        <f>"3538795"</f>
        <v>3538795</v>
      </c>
      <c r="B37314" t="s">
        <v>29405</v>
      </c>
      <c r="C37314" t="s">
        <v>288</v>
      </c>
      <c r="D37314" s="21" t="s">
        <v>34</v>
      </c>
      <c r="E37314" s="21" t="s">
        <v>71</v>
      </c>
      <c r="F37314">
        <v>3350209</v>
      </c>
      <c r="G37314" t="s">
        <v>3023</v>
      </c>
      <c r="H37314" s="21">
        <v>490.5</v>
      </c>
    </row>
    <row r="37315" spans="1:8" customFormat="1" x14ac:dyDescent="0.25">
      <c r="A37315" t="str">
        <f>"4441076"</f>
        <v>4441076</v>
      </c>
      <c r="B37315" t="s">
        <v>19781</v>
      </c>
      <c r="C37315" t="s">
        <v>547</v>
      </c>
      <c r="D37315" s="21" t="s">
        <v>34</v>
      </c>
      <c r="E37315" s="21" t="s">
        <v>71</v>
      </c>
      <c r="F37315">
        <v>12440141</v>
      </c>
      <c r="G37315" t="s">
        <v>3234</v>
      </c>
      <c r="H37315" s="21">
        <v>490.5</v>
      </c>
    </row>
    <row r="37316" spans="1:8" customFormat="1" x14ac:dyDescent="0.25">
      <c r="A37316" t="str">
        <f>"558190"</f>
        <v>558190</v>
      </c>
      <c r="B37316" t="s">
        <v>19610</v>
      </c>
      <c r="C37316" t="s">
        <v>486</v>
      </c>
      <c r="D37316" s="21" t="s">
        <v>34</v>
      </c>
      <c r="E37316" s="21" t="s">
        <v>35</v>
      </c>
      <c r="F37316">
        <v>6550026</v>
      </c>
      <c r="G37316" t="s">
        <v>14543</v>
      </c>
      <c r="H37316" s="21">
        <v>490.5</v>
      </c>
    </row>
    <row r="37317" spans="1:8" customFormat="1" x14ac:dyDescent="0.25">
      <c r="A37317" t="str">
        <f>"7636037"</f>
        <v>7636037</v>
      </c>
      <c r="B37317" t="s">
        <v>23940</v>
      </c>
      <c r="C37317" t="s">
        <v>187</v>
      </c>
      <c r="D37317" s="21" t="s">
        <v>34</v>
      </c>
      <c r="E37317" s="21" t="s">
        <v>254</v>
      </c>
      <c r="F37317">
        <v>9760374</v>
      </c>
      <c r="G37317" t="s">
        <v>6867</v>
      </c>
      <c r="H37317" s="21">
        <v>490.42</v>
      </c>
    </row>
    <row r="37318" spans="1:8" customFormat="1" x14ac:dyDescent="0.25">
      <c r="A37318" t="str">
        <f>"3422170"</f>
        <v>3422170</v>
      </c>
      <c r="B37318" t="s">
        <v>24249</v>
      </c>
      <c r="C37318" t="s">
        <v>233</v>
      </c>
      <c r="D37318" s="21" t="s">
        <v>34</v>
      </c>
      <c r="E37318" s="21" t="s">
        <v>1089</v>
      </c>
      <c r="F37318">
        <v>11340018</v>
      </c>
      <c r="G37318" t="s">
        <v>2421</v>
      </c>
      <c r="H37318" s="21">
        <v>490.42</v>
      </c>
    </row>
    <row r="37319" spans="1:8" customFormat="1" x14ac:dyDescent="0.25">
      <c r="A37319" t="str">
        <f>"478996"</f>
        <v>478996</v>
      </c>
      <c r="B37319" t="s">
        <v>21879</v>
      </c>
      <c r="C37319" t="s">
        <v>598</v>
      </c>
      <c r="D37319" s="21" t="s">
        <v>34</v>
      </c>
      <c r="E37319" s="21" t="s">
        <v>1089</v>
      </c>
      <c r="F37319">
        <v>10470021</v>
      </c>
      <c r="G37319" t="s">
        <v>1034</v>
      </c>
      <c r="H37319" s="21">
        <v>490.29</v>
      </c>
    </row>
    <row r="37320" spans="1:8" customFormat="1" x14ac:dyDescent="0.25">
      <c r="A37320" t="str">
        <f>"9321432"</f>
        <v>9321432</v>
      </c>
      <c r="B37320" t="s">
        <v>29406</v>
      </c>
      <c r="C37320" t="s">
        <v>49</v>
      </c>
      <c r="D37320" s="21" t="s">
        <v>34</v>
      </c>
      <c r="E37320" s="21" t="s">
        <v>35</v>
      </c>
      <c r="F37320">
        <v>8931320</v>
      </c>
      <c r="G37320" t="s">
        <v>1537</v>
      </c>
      <c r="H37320" s="21">
        <v>490.25</v>
      </c>
    </row>
    <row r="37321" spans="1:8" customFormat="1" x14ac:dyDescent="0.25">
      <c r="A37321" t="str">
        <f>"9456751"</f>
        <v>9456751</v>
      </c>
      <c r="B37321" t="s">
        <v>24597</v>
      </c>
      <c r="C37321" t="s">
        <v>486</v>
      </c>
      <c r="D37321" s="21" t="s">
        <v>34</v>
      </c>
      <c r="E37321" s="21" t="s">
        <v>35</v>
      </c>
      <c r="F37321">
        <v>8941282</v>
      </c>
      <c r="G37321" t="s">
        <v>5040</v>
      </c>
      <c r="H37321" s="21">
        <v>490.25</v>
      </c>
    </row>
    <row r="37322" spans="1:8" customFormat="1" x14ac:dyDescent="0.25">
      <c r="A37322" t="str">
        <f>"368429"</f>
        <v>368429</v>
      </c>
      <c r="B37322" t="s">
        <v>24422</v>
      </c>
      <c r="C37322" t="s">
        <v>90</v>
      </c>
      <c r="D37322" s="21" t="s">
        <v>34</v>
      </c>
      <c r="E37322" s="21" t="s">
        <v>35</v>
      </c>
      <c r="F37322">
        <v>4360315</v>
      </c>
      <c r="G37322" t="s">
        <v>6888</v>
      </c>
      <c r="H37322" s="21">
        <v>490.25</v>
      </c>
    </row>
    <row r="37323" spans="1:8" customFormat="1" x14ac:dyDescent="0.25">
      <c r="A37323" t="str">
        <f>"1321691"</f>
        <v>1321691</v>
      </c>
      <c r="B37323" t="s">
        <v>29407</v>
      </c>
      <c r="C37323" t="s">
        <v>144</v>
      </c>
      <c r="D37323" s="21" t="s">
        <v>34</v>
      </c>
      <c r="E37323" s="21" t="s">
        <v>35</v>
      </c>
      <c r="F37323">
        <v>13130049</v>
      </c>
      <c r="G37323" t="s">
        <v>13169</v>
      </c>
      <c r="H37323" s="21">
        <v>490.25</v>
      </c>
    </row>
    <row r="37324" spans="1:8" customFormat="1" x14ac:dyDescent="0.25">
      <c r="A37324" t="str">
        <f>"942688"</f>
        <v>942688</v>
      </c>
      <c r="B37324" t="s">
        <v>16600</v>
      </c>
      <c r="C37324" t="s">
        <v>1132</v>
      </c>
      <c r="D37324" s="21" t="s">
        <v>34</v>
      </c>
      <c r="E37324" s="21" t="s">
        <v>254</v>
      </c>
      <c r="F37324">
        <v>8940866</v>
      </c>
      <c r="G37324" t="s">
        <v>519</v>
      </c>
      <c r="H37324" s="21">
        <v>490.25</v>
      </c>
    </row>
    <row r="37325" spans="1:8" customFormat="1" x14ac:dyDescent="0.25">
      <c r="A37325" t="str">
        <f>"6232904"</f>
        <v>6232904</v>
      </c>
      <c r="B37325" t="s">
        <v>9723</v>
      </c>
      <c r="C37325" t="s">
        <v>576</v>
      </c>
      <c r="D37325" s="21" t="s">
        <v>34</v>
      </c>
      <c r="E37325" s="21" t="s">
        <v>35</v>
      </c>
      <c r="F37325">
        <v>7590008</v>
      </c>
      <c r="G37325" t="s">
        <v>110</v>
      </c>
      <c r="H37325" s="21">
        <v>490.17</v>
      </c>
    </row>
    <row r="37326" spans="1:8" customFormat="1" x14ac:dyDescent="0.25">
      <c r="A37326" t="str">
        <f>"4420378"</f>
        <v>4420378</v>
      </c>
      <c r="B37326" t="s">
        <v>21036</v>
      </c>
      <c r="C37326" t="s">
        <v>598</v>
      </c>
      <c r="D37326" s="21" t="s">
        <v>34</v>
      </c>
      <c r="E37326" s="21" t="s">
        <v>71</v>
      </c>
      <c r="F37326">
        <v>12440033</v>
      </c>
      <c r="G37326" t="s">
        <v>1638</v>
      </c>
      <c r="H37326" s="21">
        <v>490.17</v>
      </c>
    </row>
    <row r="37327" spans="1:8" customFormat="1" x14ac:dyDescent="0.25">
      <c r="A37327" t="str">
        <f>"348274"</f>
        <v>348274</v>
      </c>
      <c r="B37327" t="s">
        <v>21658</v>
      </c>
      <c r="C37327" t="s">
        <v>3010</v>
      </c>
      <c r="D37327" s="21" t="s">
        <v>34</v>
      </c>
      <c r="E37327" s="21" t="s">
        <v>6185</v>
      </c>
      <c r="F37327">
        <v>11340007</v>
      </c>
      <c r="G37327" t="s">
        <v>2278</v>
      </c>
      <c r="H37327" s="21">
        <v>490.17</v>
      </c>
    </row>
    <row r="37328" spans="1:8" customFormat="1" x14ac:dyDescent="0.25">
      <c r="A37328" t="str">
        <f>"7919428"</f>
        <v>7919428</v>
      </c>
      <c r="B37328" t="s">
        <v>8910</v>
      </c>
      <c r="C37328" t="s">
        <v>269</v>
      </c>
      <c r="D37328" s="21" t="s">
        <v>34</v>
      </c>
      <c r="E37328" s="21" t="s">
        <v>71</v>
      </c>
      <c r="F37328">
        <v>10790002</v>
      </c>
      <c r="G37328" t="s">
        <v>6612</v>
      </c>
      <c r="H37328" s="21">
        <v>490.17</v>
      </c>
    </row>
    <row r="37329" spans="1:8" customFormat="1" x14ac:dyDescent="0.25">
      <c r="A37329" t="str">
        <f>"5413746"</f>
        <v>5413746</v>
      </c>
      <c r="B37329" t="s">
        <v>10474</v>
      </c>
      <c r="C37329" t="s">
        <v>484</v>
      </c>
      <c r="D37329" s="21" t="s">
        <v>34</v>
      </c>
      <c r="E37329" s="21" t="s">
        <v>71</v>
      </c>
      <c r="F37329">
        <v>6540108</v>
      </c>
      <c r="G37329" t="s">
        <v>4340</v>
      </c>
      <c r="H37329" s="21">
        <v>490.17</v>
      </c>
    </row>
    <row r="37330" spans="1:8" customFormat="1" x14ac:dyDescent="0.25">
      <c r="A37330" t="str">
        <f>"748667"</f>
        <v>748667</v>
      </c>
      <c r="B37330" t="s">
        <v>21821</v>
      </c>
      <c r="C37330" t="s">
        <v>87</v>
      </c>
      <c r="D37330" s="21" t="s">
        <v>34</v>
      </c>
      <c r="E37330" s="21" t="s">
        <v>71</v>
      </c>
      <c r="F37330">
        <v>1740057</v>
      </c>
      <c r="G37330" t="s">
        <v>1567</v>
      </c>
      <c r="H37330" s="21">
        <v>490.17</v>
      </c>
    </row>
    <row r="37331" spans="1:8" customFormat="1" x14ac:dyDescent="0.25">
      <c r="A37331" t="str">
        <f>"6232112"</f>
        <v>6232112</v>
      </c>
      <c r="B37331" t="s">
        <v>7398</v>
      </c>
      <c r="C37331" t="s">
        <v>2475</v>
      </c>
      <c r="D37331" s="21" t="s">
        <v>34</v>
      </c>
      <c r="E37331" s="21" t="s">
        <v>35</v>
      </c>
      <c r="F37331">
        <v>7620147</v>
      </c>
      <c r="G37331" t="s">
        <v>4455</v>
      </c>
      <c r="H37331" s="21">
        <v>490.17</v>
      </c>
    </row>
    <row r="37332" spans="1:8" customFormat="1" x14ac:dyDescent="0.25">
      <c r="A37332" t="str">
        <f>"7720073"</f>
        <v>7720073</v>
      </c>
      <c r="B37332" t="s">
        <v>22413</v>
      </c>
      <c r="C37332" t="s">
        <v>428</v>
      </c>
      <c r="D37332" s="21" t="s">
        <v>34</v>
      </c>
      <c r="E37332" s="21" t="s">
        <v>254</v>
      </c>
      <c r="F37332">
        <v>8770166</v>
      </c>
      <c r="G37332" t="s">
        <v>653</v>
      </c>
      <c r="H37332" s="21">
        <v>490.17</v>
      </c>
    </row>
    <row r="37333" spans="1:8" customFormat="1" x14ac:dyDescent="0.25">
      <c r="A37333" t="str">
        <f>"4710899"</f>
        <v>4710899</v>
      </c>
      <c r="B37333" t="s">
        <v>23371</v>
      </c>
      <c r="C37333" t="s">
        <v>249</v>
      </c>
      <c r="D37333" s="21" t="s">
        <v>34</v>
      </c>
      <c r="E37333" s="21" t="s">
        <v>71</v>
      </c>
      <c r="F37333">
        <v>10470006</v>
      </c>
      <c r="G37333" t="s">
        <v>1225</v>
      </c>
      <c r="H37333" s="21">
        <v>490</v>
      </c>
    </row>
    <row r="37334" spans="1:8" customFormat="1" x14ac:dyDescent="0.25">
      <c r="A37334" t="str">
        <f>"4530272"</f>
        <v>4530272</v>
      </c>
      <c r="B37334" t="s">
        <v>29408</v>
      </c>
      <c r="C37334" t="s">
        <v>49</v>
      </c>
      <c r="D37334" s="21" t="s">
        <v>34</v>
      </c>
      <c r="E37334" s="21" t="s">
        <v>35</v>
      </c>
      <c r="F37334">
        <v>4450410</v>
      </c>
      <c r="G37334" t="s">
        <v>26525</v>
      </c>
      <c r="H37334" s="21">
        <v>490</v>
      </c>
    </row>
    <row r="37335" spans="1:8" customFormat="1" x14ac:dyDescent="0.25">
      <c r="A37335" t="str">
        <f>"6233748"</f>
        <v>6233748</v>
      </c>
      <c r="B37335" t="s">
        <v>1349</v>
      </c>
      <c r="C37335" t="s">
        <v>87</v>
      </c>
      <c r="D37335" s="21" t="s">
        <v>34</v>
      </c>
      <c r="E37335" s="21" t="s">
        <v>35</v>
      </c>
      <c r="F37335">
        <v>7620176</v>
      </c>
      <c r="G37335" t="s">
        <v>3111</v>
      </c>
      <c r="H37335" s="21">
        <v>490</v>
      </c>
    </row>
    <row r="37336" spans="1:8" customFormat="1" x14ac:dyDescent="0.25">
      <c r="A37336" t="str">
        <f>"904164"</f>
        <v>904164</v>
      </c>
      <c r="B37336" t="s">
        <v>29409</v>
      </c>
      <c r="C37336" t="s">
        <v>879</v>
      </c>
      <c r="D37336" s="21" t="s">
        <v>34</v>
      </c>
      <c r="E37336" s="21" t="s">
        <v>71</v>
      </c>
      <c r="F37336">
        <v>2900003</v>
      </c>
      <c r="G37336" t="s">
        <v>1742</v>
      </c>
      <c r="H37336" s="21">
        <v>490</v>
      </c>
    </row>
    <row r="37337" spans="1:8" customFormat="1" x14ac:dyDescent="0.25">
      <c r="A37337" t="str">
        <f>"9A1515"</f>
        <v>9A1515</v>
      </c>
      <c r="B37337" t="s">
        <v>24078</v>
      </c>
      <c r="C37337" t="s">
        <v>6285</v>
      </c>
      <c r="D37337" s="21" t="s">
        <v>34</v>
      </c>
      <c r="E37337" s="21" t="s">
        <v>254</v>
      </c>
      <c r="F37337" t="s">
        <v>1465</v>
      </c>
      <c r="G37337" t="s">
        <v>1466</v>
      </c>
      <c r="H37337" s="21">
        <v>490</v>
      </c>
    </row>
    <row r="37338" spans="1:8" customFormat="1" x14ac:dyDescent="0.25">
      <c r="A37338" t="str">
        <f>"3813030"</f>
        <v>3813030</v>
      </c>
      <c r="B37338" t="s">
        <v>18670</v>
      </c>
      <c r="C37338" t="s">
        <v>130</v>
      </c>
      <c r="D37338" s="21" t="s">
        <v>34</v>
      </c>
      <c r="E37338" s="21" t="s">
        <v>1089</v>
      </c>
      <c r="F37338">
        <v>1380130</v>
      </c>
      <c r="G37338" t="s">
        <v>6667</v>
      </c>
      <c r="H37338" s="21">
        <v>490</v>
      </c>
    </row>
    <row r="37339" spans="1:8" customFormat="1" x14ac:dyDescent="0.25">
      <c r="A37339" t="str">
        <f>"5958517"</f>
        <v>5958517</v>
      </c>
      <c r="B37339" t="s">
        <v>24362</v>
      </c>
      <c r="C37339" t="s">
        <v>2907</v>
      </c>
      <c r="D37339" s="21" t="s">
        <v>34</v>
      </c>
      <c r="E37339" s="21" t="s">
        <v>71</v>
      </c>
      <c r="F37339">
        <v>7590137</v>
      </c>
      <c r="G37339" t="s">
        <v>4246</v>
      </c>
      <c r="H37339" s="21">
        <v>490</v>
      </c>
    </row>
    <row r="37340" spans="1:8" customFormat="1" x14ac:dyDescent="0.25">
      <c r="A37340" t="str">
        <f>"4456451"</f>
        <v>4456451</v>
      </c>
      <c r="B37340" t="s">
        <v>2553</v>
      </c>
      <c r="C37340" t="s">
        <v>169</v>
      </c>
      <c r="D37340" s="21" t="s">
        <v>34</v>
      </c>
      <c r="E37340" s="21" t="s">
        <v>71</v>
      </c>
      <c r="F37340">
        <v>12440274</v>
      </c>
      <c r="G37340" t="s">
        <v>3459</v>
      </c>
      <c r="H37340" s="21">
        <v>490</v>
      </c>
    </row>
    <row r="37341" spans="1:8" customFormat="1" x14ac:dyDescent="0.25">
      <c r="A37341" t="str">
        <f>"8315991"</f>
        <v>8315991</v>
      </c>
      <c r="B37341" t="s">
        <v>29410</v>
      </c>
      <c r="C37341" t="s">
        <v>2475</v>
      </c>
      <c r="D37341" s="21" t="s">
        <v>34</v>
      </c>
      <c r="E37341" s="21" t="s">
        <v>71</v>
      </c>
      <c r="F37341">
        <v>13830088</v>
      </c>
      <c r="G37341" t="s">
        <v>17664</v>
      </c>
      <c r="H37341" s="21">
        <v>490</v>
      </c>
    </row>
    <row r="37342" spans="1:8" customFormat="1" x14ac:dyDescent="0.25">
      <c r="A37342" t="str">
        <f>"6111298"</f>
        <v>6111298</v>
      </c>
      <c r="B37342" t="s">
        <v>24378</v>
      </c>
      <c r="C37342" t="s">
        <v>24379</v>
      </c>
      <c r="D37342" s="21" t="s">
        <v>34</v>
      </c>
      <c r="E37342" s="21" t="s">
        <v>254</v>
      </c>
      <c r="F37342">
        <v>9610142</v>
      </c>
      <c r="G37342" t="s">
        <v>8211</v>
      </c>
      <c r="H37342" s="21">
        <v>490</v>
      </c>
    </row>
    <row r="37343" spans="1:8" customFormat="1" x14ac:dyDescent="0.25">
      <c r="A37343" t="str">
        <f>"4444777"</f>
        <v>4444777</v>
      </c>
      <c r="B37343" t="s">
        <v>22599</v>
      </c>
      <c r="C37343" t="s">
        <v>428</v>
      </c>
      <c r="D37343" s="21" t="s">
        <v>34</v>
      </c>
      <c r="E37343" s="21" t="s">
        <v>71</v>
      </c>
      <c r="F37343">
        <v>12440152</v>
      </c>
      <c r="G37343" t="s">
        <v>5481</v>
      </c>
      <c r="H37343" s="21">
        <v>490</v>
      </c>
    </row>
    <row r="37344" spans="1:8" customFormat="1" x14ac:dyDescent="0.25">
      <c r="A37344" t="str">
        <f>"7728928"</f>
        <v>7728928</v>
      </c>
      <c r="B37344" t="s">
        <v>24777</v>
      </c>
      <c r="C37344" t="s">
        <v>33</v>
      </c>
      <c r="D37344" s="21" t="s">
        <v>34</v>
      </c>
      <c r="E37344" s="21" t="s">
        <v>71</v>
      </c>
      <c r="F37344">
        <v>8771025</v>
      </c>
      <c r="G37344" t="s">
        <v>5469</v>
      </c>
      <c r="H37344" s="21">
        <v>490</v>
      </c>
    </row>
    <row r="37345" spans="1:8" customFormat="1" x14ac:dyDescent="0.25">
      <c r="A37345" t="str">
        <f>"8019300"</f>
        <v>8019300</v>
      </c>
      <c r="B37345" t="s">
        <v>29411</v>
      </c>
      <c r="C37345" t="s">
        <v>598</v>
      </c>
      <c r="D37345" s="21" t="s">
        <v>34</v>
      </c>
      <c r="E37345" s="21" t="s">
        <v>254</v>
      </c>
      <c r="F37345">
        <v>7800064</v>
      </c>
      <c r="G37345" t="s">
        <v>4496</v>
      </c>
      <c r="H37345" s="21">
        <v>490</v>
      </c>
    </row>
    <row r="37346" spans="1:8" customFormat="1" x14ac:dyDescent="0.25">
      <c r="A37346" t="str">
        <f>"6726382"</f>
        <v>6726382</v>
      </c>
      <c r="B37346" t="s">
        <v>29412</v>
      </c>
      <c r="C37346" t="s">
        <v>29413</v>
      </c>
      <c r="D37346" s="21" t="s">
        <v>34</v>
      </c>
      <c r="E37346" s="21" t="s">
        <v>71</v>
      </c>
      <c r="F37346">
        <v>6670045</v>
      </c>
      <c r="G37346" t="s">
        <v>707</v>
      </c>
      <c r="H37346" s="21">
        <v>490</v>
      </c>
    </row>
    <row r="37347" spans="1:8" customFormat="1" x14ac:dyDescent="0.25">
      <c r="A37347" t="str">
        <f>"5732464"</f>
        <v>5732464</v>
      </c>
      <c r="B37347" t="s">
        <v>2658</v>
      </c>
      <c r="C37347" t="s">
        <v>1025</v>
      </c>
      <c r="D37347" s="21" t="s">
        <v>34</v>
      </c>
      <c r="E37347" s="21" t="s">
        <v>71</v>
      </c>
      <c r="F37347">
        <v>6570199</v>
      </c>
      <c r="G37347" t="s">
        <v>5711</v>
      </c>
      <c r="H37347" s="21">
        <v>490</v>
      </c>
    </row>
    <row r="37348" spans="1:8" customFormat="1" x14ac:dyDescent="0.25">
      <c r="A37348" t="str">
        <f>"2935404"</f>
        <v>2935404</v>
      </c>
      <c r="B37348" t="s">
        <v>29414</v>
      </c>
      <c r="C37348" t="s">
        <v>1489</v>
      </c>
      <c r="D37348" s="21" t="s">
        <v>34</v>
      </c>
      <c r="E37348" s="21" t="s">
        <v>254</v>
      </c>
      <c r="F37348">
        <v>3290229</v>
      </c>
      <c r="G37348" t="s">
        <v>408</v>
      </c>
      <c r="H37348" s="21">
        <v>490</v>
      </c>
    </row>
    <row r="37349" spans="1:8" customFormat="1" x14ac:dyDescent="0.25">
      <c r="A37349" t="str">
        <f>"1417750"</f>
        <v>1417750</v>
      </c>
      <c r="B37349" t="s">
        <v>22068</v>
      </c>
      <c r="C37349" t="s">
        <v>130</v>
      </c>
      <c r="D37349" s="21" t="s">
        <v>34</v>
      </c>
      <c r="E37349" s="21" t="s">
        <v>254</v>
      </c>
      <c r="F37349">
        <v>9140007</v>
      </c>
      <c r="G37349" t="s">
        <v>434</v>
      </c>
      <c r="H37349" s="21">
        <v>490</v>
      </c>
    </row>
    <row r="37350" spans="1:8" customFormat="1" x14ac:dyDescent="0.25">
      <c r="A37350" t="str">
        <f>"9448039"</f>
        <v>9448039</v>
      </c>
      <c r="B37350" t="s">
        <v>4458</v>
      </c>
      <c r="C37350" t="s">
        <v>267</v>
      </c>
      <c r="D37350" s="21" t="s">
        <v>34</v>
      </c>
      <c r="E37350" s="21" t="s">
        <v>1089</v>
      </c>
      <c r="F37350">
        <v>8940549</v>
      </c>
      <c r="G37350" t="s">
        <v>454</v>
      </c>
      <c r="H37350" s="21">
        <v>490</v>
      </c>
    </row>
    <row r="37351" spans="1:8" customFormat="1" x14ac:dyDescent="0.25">
      <c r="A37351" t="str">
        <f>"3427537"</f>
        <v>3427537</v>
      </c>
      <c r="B37351" t="s">
        <v>9834</v>
      </c>
      <c r="C37351" t="s">
        <v>2520</v>
      </c>
      <c r="D37351" s="21" t="s">
        <v>34</v>
      </c>
      <c r="E37351" s="21" t="s">
        <v>254</v>
      </c>
      <c r="F37351">
        <v>11340047</v>
      </c>
      <c r="G37351" t="s">
        <v>4303</v>
      </c>
      <c r="H37351" s="21">
        <v>490</v>
      </c>
    </row>
    <row r="37352" spans="1:8" customFormat="1" x14ac:dyDescent="0.25">
      <c r="A37352" t="str">
        <f>"7414539"</f>
        <v>7414539</v>
      </c>
      <c r="B37352" t="s">
        <v>2690</v>
      </c>
      <c r="C37352" t="s">
        <v>60</v>
      </c>
      <c r="D37352" s="21" t="s">
        <v>34</v>
      </c>
      <c r="E37352" s="21" t="s">
        <v>71</v>
      </c>
      <c r="F37352">
        <v>1740065</v>
      </c>
      <c r="G37352" t="s">
        <v>5226</v>
      </c>
      <c r="H37352" s="21">
        <v>490</v>
      </c>
    </row>
    <row r="37353" spans="1:8" customFormat="1" x14ac:dyDescent="0.25">
      <c r="A37353" t="str">
        <f>"4414491"</f>
        <v>4414491</v>
      </c>
      <c r="B37353" t="s">
        <v>2630</v>
      </c>
      <c r="C37353" t="s">
        <v>415</v>
      </c>
      <c r="D37353" s="21" t="s">
        <v>34</v>
      </c>
      <c r="E37353" s="21" t="s">
        <v>254</v>
      </c>
      <c r="F37353">
        <v>12440148</v>
      </c>
      <c r="G37353" t="s">
        <v>27727</v>
      </c>
      <c r="H37353" s="21">
        <v>490</v>
      </c>
    </row>
    <row r="37354" spans="1:8" customFormat="1" x14ac:dyDescent="0.25">
      <c r="A37354" t="str">
        <f>"4458170"</f>
        <v>4458170</v>
      </c>
      <c r="B37354" t="s">
        <v>29415</v>
      </c>
      <c r="C37354" t="s">
        <v>288</v>
      </c>
      <c r="D37354" s="21" t="s">
        <v>34</v>
      </c>
      <c r="E37354" s="21" t="s">
        <v>35</v>
      </c>
      <c r="F37354">
        <v>12440051</v>
      </c>
      <c r="G37354" t="s">
        <v>2191</v>
      </c>
      <c r="H37354" s="21">
        <v>490</v>
      </c>
    </row>
    <row r="37355" spans="1:8" customFormat="1" x14ac:dyDescent="0.25">
      <c r="A37355" t="str">
        <f>"905722"</f>
        <v>905722</v>
      </c>
      <c r="B37355" t="s">
        <v>22417</v>
      </c>
      <c r="C37355" t="s">
        <v>825</v>
      </c>
      <c r="D37355" s="21" t="s">
        <v>34</v>
      </c>
      <c r="E37355" s="21" t="s">
        <v>35</v>
      </c>
      <c r="F37355">
        <v>2900003</v>
      </c>
      <c r="G37355" t="s">
        <v>1742</v>
      </c>
      <c r="H37355" s="21">
        <v>490</v>
      </c>
    </row>
    <row r="37356" spans="1:8" customFormat="1" x14ac:dyDescent="0.25">
      <c r="A37356" t="str">
        <f>"8013139"</f>
        <v>8013139</v>
      </c>
      <c r="B37356" t="s">
        <v>8548</v>
      </c>
      <c r="C37356" t="s">
        <v>209</v>
      </c>
      <c r="D37356" s="21" t="s">
        <v>34</v>
      </c>
      <c r="E37356" s="21" t="s">
        <v>71</v>
      </c>
      <c r="F37356">
        <v>7800088</v>
      </c>
      <c r="G37356" t="s">
        <v>1899</v>
      </c>
      <c r="H37356" s="21">
        <v>490</v>
      </c>
    </row>
    <row r="37357" spans="1:8" customFormat="1" x14ac:dyDescent="0.25">
      <c r="A37357" t="str">
        <f>"2930663"</f>
        <v>2930663</v>
      </c>
      <c r="B37357" t="s">
        <v>2842</v>
      </c>
      <c r="C37357" t="s">
        <v>1110</v>
      </c>
      <c r="D37357" s="21" t="s">
        <v>34</v>
      </c>
      <c r="E37357" s="21" t="s">
        <v>254</v>
      </c>
      <c r="F37357">
        <v>3290232</v>
      </c>
      <c r="G37357" t="s">
        <v>9588</v>
      </c>
      <c r="H37357" s="21">
        <v>490</v>
      </c>
    </row>
    <row r="37358" spans="1:8" customFormat="1" x14ac:dyDescent="0.25">
      <c r="A37358" t="str">
        <f>"5734582"</f>
        <v>5734582</v>
      </c>
      <c r="B37358" t="s">
        <v>2143</v>
      </c>
      <c r="C37358" t="s">
        <v>1803</v>
      </c>
      <c r="D37358" s="21" t="s">
        <v>34</v>
      </c>
      <c r="E37358" s="21" t="s">
        <v>35</v>
      </c>
      <c r="F37358">
        <v>6570019</v>
      </c>
      <c r="G37358" t="s">
        <v>1510</v>
      </c>
      <c r="H37358" s="21">
        <v>490</v>
      </c>
    </row>
    <row r="37359" spans="1:8" customFormat="1" x14ac:dyDescent="0.25">
      <c r="A37359" t="str">
        <f>"5621073"</f>
        <v>5621073</v>
      </c>
      <c r="B37359" t="s">
        <v>15959</v>
      </c>
      <c r="C37359" t="s">
        <v>65</v>
      </c>
      <c r="D37359" s="21" t="s">
        <v>34</v>
      </c>
      <c r="E37359" s="21" t="s">
        <v>35</v>
      </c>
      <c r="F37359">
        <v>3560027</v>
      </c>
      <c r="G37359" t="s">
        <v>27143</v>
      </c>
      <c r="H37359" s="21">
        <v>490</v>
      </c>
    </row>
    <row r="37360" spans="1:8" customFormat="1" x14ac:dyDescent="0.25">
      <c r="A37360" t="str">
        <f>"7872100"</f>
        <v>7872100</v>
      </c>
      <c r="B37360" t="s">
        <v>11221</v>
      </c>
      <c r="C37360" t="s">
        <v>781</v>
      </c>
      <c r="D37360" s="21" t="s">
        <v>34</v>
      </c>
      <c r="E37360" s="21" t="s">
        <v>71</v>
      </c>
      <c r="F37360">
        <v>8781144</v>
      </c>
      <c r="G37360" t="s">
        <v>4714</v>
      </c>
      <c r="H37360" s="21">
        <v>490</v>
      </c>
    </row>
    <row r="37361" spans="1:8" customFormat="1" x14ac:dyDescent="0.25">
      <c r="A37361" t="str">
        <f>"7879523"</f>
        <v>7879523</v>
      </c>
      <c r="B37361" t="s">
        <v>3759</v>
      </c>
      <c r="C37361" t="s">
        <v>209</v>
      </c>
      <c r="D37361" s="21" t="s">
        <v>34</v>
      </c>
      <c r="E37361" s="21" t="s">
        <v>71</v>
      </c>
      <c r="F37361">
        <v>8780002</v>
      </c>
      <c r="G37361" t="s">
        <v>2196</v>
      </c>
      <c r="H37361" s="21">
        <v>490</v>
      </c>
    </row>
    <row r="37362" spans="1:8" customFormat="1" x14ac:dyDescent="0.25">
      <c r="A37362" t="str">
        <f>"1320982"</f>
        <v>1320982</v>
      </c>
      <c r="B37362" t="s">
        <v>4293</v>
      </c>
      <c r="C37362" t="s">
        <v>169</v>
      </c>
      <c r="D37362" s="21" t="s">
        <v>34</v>
      </c>
      <c r="E37362" s="21" t="s">
        <v>71</v>
      </c>
      <c r="F37362">
        <v>13130118</v>
      </c>
      <c r="G37362" t="s">
        <v>27466</v>
      </c>
      <c r="H37362" s="21">
        <v>490</v>
      </c>
    </row>
    <row r="37363" spans="1:8" customFormat="1" x14ac:dyDescent="0.25">
      <c r="A37363" t="str">
        <f>"5733821"</f>
        <v>5733821</v>
      </c>
      <c r="B37363" t="s">
        <v>22848</v>
      </c>
      <c r="C37363" t="s">
        <v>269</v>
      </c>
      <c r="D37363" s="21" t="s">
        <v>34</v>
      </c>
      <c r="E37363" s="21" t="s">
        <v>35</v>
      </c>
      <c r="F37363">
        <v>6570174</v>
      </c>
      <c r="G37363" t="s">
        <v>12454</v>
      </c>
      <c r="H37363" s="21">
        <v>490</v>
      </c>
    </row>
    <row r="37364" spans="1:8" customFormat="1" x14ac:dyDescent="0.25">
      <c r="A37364" t="str">
        <f>"2927070"</f>
        <v>2927070</v>
      </c>
      <c r="B37364" t="s">
        <v>24227</v>
      </c>
      <c r="C37364" t="s">
        <v>598</v>
      </c>
      <c r="D37364" s="21" t="s">
        <v>34</v>
      </c>
      <c r="E37364" s="21" t="s">
        <v>6185</v>
      </c>
      <c r="F37364">
        <v>3290045</v>
      </c>
      <c r="G37364" t="s">
        <v>17635</v>
      </c>
      <c r="H37364" s="21">
        <v>490</v>
      </c>
    </row>
    <row r="37365" spans="1:8" customFormat="1" x14ac:dyDescent="0.25">
      <c r="A37365" t="str">
        <f>"6230614"</f>
        <v>6230614</v>
      </c>
      <c r="B37365" t="s">
        <v>24571</v>
      </c>
      <c r="C37365" t="s">
        <v>528</v>
      </c>
      <c r="D37365" s="21" t="s">
        <v>34</v>
      </c>
      <c r="E37365" s="21" t="s">
        <v>71</v>
      </c>
      <c r="F37365">
        <v>7620182</v>
      </c>
      <c r="G37365" t="s">
        <v>11480</v>
      </c>
      <c r="H37365" s="21">
        <v>490</v>
      </c>
    </row>
    <row r="37366" spans="1:8" customFormat="1" x14ac:dyDescent="0.25">
      <c r="A37366" t="str">
        <f>"6013662"</f>
        <v>6013662</v>
      </c>
      <c r="B37366" t="s">
        <v>10964</v>
      </c>
      <c r="C37366" t="s">
        <v>486</v>
      </c>
      <c r="D37366" s="21" t="s">
        <v>34</v>
      </c>
      <c r="E37366" s="21" t="s">
        <v>35</v>
      </c>
      <c r="F37366">
        <v>6520022</v>
      </c>
      <c r="G37366" t="s">
        <v>2041</v>
      </c>
      <c r="H37366" s="21">
        <v>490</v>
      </c>
    </row>
    <row r="37367" spans="1:8" customFormat="1" x14ac:dyDescent="0.25">
      <c r="A37367" t="str">
        <f>"5622269"</f>
        <v>5622269</v>
      </c>
      <c r="B37367" t="s">
        <v>3503</v>
      </c>
      <c r="C37367" t="s">
        <v>486</v>
      </c>
      <c r="D37367" s="21" t="s">
        <v>34</v>
      </c>
      <c r="E37367" s="21" t="s">
        <v>71</v>
      </c>
      <c r="F37367">
        <v>3560071</v>
      </c>
      <c r="G37367" t="s">
        <v>8573</v>
      </c>
      <c r="H37367" s="21">
        <v>490</v>
      </c>
    </row>
    <row r="37368" spans="1:8" customFormat="1" x14ac:dyDescent="0.25">
      <c r="A37368" t="str">
        <f>"378556"</f>
        <v>378556</v>
      </c>
      <c r="B37368" t="s">
        <v>3427</v>
      </c>
      <c r="C37368" t="s">
        <v>198</v>
      </c>
      <c r="D37368" s="21" t="s">
        <v>34</v>
      </c>
      <c r="E37368" s="21" t="s">
        <v>71</v>
      </c>
      <c r="F37368">
        <v>4370015</v>
      </c>
      <c r="G37368" t="s">
        <v>17941</v>
      </c>
      <c r="H37368" s="21">
        <v>490</v>
      </c>
    </row>
    <row r="37369" spans="1:8" customFormat="1" x14ac:dyDescent="0.25">
      <c r="A37369" t="str">
        <f>"7849850"</f>
        <v>7849850</v>
      </c>
      <c r="B37369" t="s">
        <v>146</v>
      </c>
      <c r="C37369" t="s">
        <v>1665</v>
      </c>
      <c r="D37369" s="21" t="s">
        <v>34</v>
      </c>
      <c r="E37369" s="21" t="s">
        <v>254</v>
      </c>
      <c r="F37369">
        <v>8780023</v>
      </c>
      <c r="G37369" t="s">
        <v>1496</v>
      </c>
      <c r="H37369" s="21">
        <v>490</v>
      </c>
    </row>
    <row r="37370" spans="1:8" customFormat="1" x14ac:dyDescent="0.25">
      <c r="A37370" t="str">
        <f>"5612634"</f>
        <v>5612634</v>
      </c>
      <c r="B37370" t="s">
        <v>21227</v>
      </c>
      <c r="C37370" t="s">
        <v>486</v>
      </c>
      <c r="D37370" s="21" t="s">
        <v>34</v>
      </c>
      <c r="E37370" s="21" t="s">
        <v>35</v>
      </c>
      <c r="F37370">
        <v>3560031</v>
      </c>
      <c r="G37370" t="s">
        <v>738</v>
      </c>
      <c r="H37370" s="21">
        <v>490</v>
      </c>
    </row>
    <row r="37371" spans="1:8" customFormat="1" x14ac:dyDescent="0.25">
      <c r="A37371" t="str">
        <f>"6726467"</f>
        <v>6726467</v>
      </c>
      <c r="B37371" t="s">
        <v>29416</v>
      </c>
      <c r="C37371" t="s">
        <v>33</v>
      </c>
      <c r="D37371" s="21" t="s">
        <v>34</v>
      </c>
      <c r="E37371" s="21" t="s">
        <v>35</v>
      </c>
      <c r="F37371">
        <v>6670248</v>
      </c>
      <c r="G37371" t="s">
        <v>1194</v>
      </c>
      <c r="H37371" s="21">
        <v>490</v>
      </c>
    </row>
    <row r="37372" spans="1:8" customFormat="1" x14ac:dyDescent="0.25">
      <c r="A37372" t="str">
        <f>"3519085"</f>
        <v>3519085</v>
      </c>
      <c r="B37372" t="s">
        <v>29417</v>
      </c>
      <c r="C37372" t="s">
        <v>1588</v>
      </c>
      <c r="D37372" s="21" t="s">
        <v>34</v>
      </c>
      <c r="E37372" s="21" t="s">
        <v>71</v>
      </c>
      <c r="F37372">
        <v>3350047</v>
      </c>
      <c r="G37372" t="s">
        <v>9797</v>
      </c>
      <c r="H37372" s="21">
        <v>490</v>
      </c>
    </row>
    <row r="37373" spans="1:8" customFormat="1" x14ac:dyDescent="0.25">
      <c r="A37373" t="str">
        <f>"2939515"</f>
        <v>2939515</v>
      </c>
      <c r="B37373" t="s">
        <v>29418</v>
      </c>
      <c r="C37373" t="s">
        <v>817</v>
      </c>
      <c r="D37373" s="21" t="s">
        <v>34</v>
      </c>
      <c r="E37373" s="21" t="s">
        <v>254</v>
      </c>
      <c r="F37373">
        <v>3290268</v>
      </c>
      <c r="G37373" t="s">
        <v>9878</v>
      </c>
      <c r="H37373" s="21">
        <v>490</v>
      </c>
    </row>
    <row r="37374" spans="1:8" customFormat="1" x14ac:dyDescent="0.25">
      <c r="A37374" t="str">
        <f>"0212475"</f>
        <v>0212475</v>
      </c>
      <c r="B37374" t="s">
        <v>29419</v>
      </c>
      <c r="C37374" t="s">
        <v>156</v>
      </c>
      <c r="D37374" s="21" t="s">
        <v>34</v>
      </c>
      <c r="E37374" s="21" t="s">
        <v>254</v>
      </c>
      <c r="F37374">
        <v>7020065</v>
      </c>
      <c r="G37374" t="s">
        <v>4852</v>
      </c>
      <c r="H37374" s="21">
        <v>490</v>
      </c>
    </row>
    <row r="37375" spans="1:8" customFormat="1" x14ac:dyDescent="0.25">
      <c r="A37375" t="str">
        <f>"366662"</f>
        <v>366662</v>
      </c>
      <c r="B37375" t="s">
        <v>29420</v>
      </c>
      <c r="C37375" t="s">
        <v>246</v>
      </c>
      <c r="D37375" s="21" t="s">
        <v>34</v>
      </c>
      <c r="E37375" s="21" t="s">
        <v>71</v>
      </c>
      <c r="F37375">
        <v>4360315</v>
      </c>
      <c r="G37375" t="s">
        <v>6888</v>
      </c>
      <c r="H37375" s="21">
        <v>490</v>
      </c>
    </row>
    <row r="37376" spans="1:8" customFormat="1" x14ac:dyDescent="0.25">
      <c r="A37376" t="str">
        <f>"8529007"</f>
        <v>8529007</v>
      </c>
      <c r="B37376" t="s">
        <v>29421</v>
      </c>
      <c r="C37376" t="s">
        <v>275</v>
      </c>
      <c r="D37376" s="21" t="s">
        <v>34</v>
      </c>
      <c r="E37376" s="21" t="s">
        <v>35</v>
      </c>
      <c r="F37376">
        <v>12851024</v>
      </c>
      <c r="G37376" t="s">
        <v>25858</v>
      </c>
      <c r="H37376" s="21">
        <v>490</v>
      </c>
    </row>
    <row r="37377" spans="1:8" customFormat="1" x14ac:dyDescent="0.25">
      <c r="A37377" t="str">
        <f>"668133"</f>
        <v>668133</v>
      </c>
      <c r="B37377" t="s">
        <v>2499</v>
      </c>
      <c r="C37377" t="s">
        <v>2730</v>
      </c>
      <c r="D37377" s="21" t="s">
        <v>34</v>
      </c>
      <c r="E37377" s="21" t="s">
        <v>254</v>
      </c>
      <c r="F37377">
        <v>11660011</v>
      </c>
      <c r="G37377" t="s">
        <v>4641</v>
      </c>
      <c r="H37377" s="21">
        <v>490</v>
      </c>
    </row>
    <row r="37378" spans="1:8" customFormat="1" x14ac:dyDescent="0.25">
      <c r="A37378" t="str">
        <f>"9230206"</f>
        <v>9230206</v>
      </c>
      <c r="B37378" t="s">
        <v>29422</v>
      </c>
      <c r="C37378" t="s">
        <v>867</v>
      </c>
      <c r="D37378" s="21" t="s">
        <v>34</v>
      </c>
      <c r="E37378" s="21" t="s">
        <v>35</v>
      </c>
      <c r="F37378">
        <v>8751271</v>
      </c>
      <c r="G37378" t="s">
        <v>1067</v>
      </c>
      <c r="H37378" s="21">
        <v>490</v>
      </c>
    </row>
    <row r="37379" spans="1:8" customFormat="1" x14ac:dyDescent="0.25">
      <c r="A37379" t="str">
        <f>"8018374"</f>
        <v>8018374</v>
      </c>
      <c r="B37379" t="s">
        <v>29423</v>
      </c>
      <c r="C37379" t="s">
        <v>2384</v>
      </c>
      <c r="D37379" s="21" t="s">
        <v>34</v>
      </c>
      <c r="E37379" s="21" t="s">
        <v>254</v>
      </c>
      <c r="F37379">
        <v>7800033</v>
      </c>
      <c r="G37379" t="s">
        <v>7309</v>
      </c>
      <c r="H37379" s="21">
        <v>490</v>
      </c>
    </row>
    <row r="37380" spans="1:8" customFormat="1" x14ac:dyDescent="0.25">
      <c r="A37380" t="str">
        <f>"3832136"</f>
        <v>3832136</v>
      </c>
      <c r="B37380" t="s">
        <v>18675</v>
      </c>
      <c r="C37380" t="s">
        <v>33</v>
      </c>
      <c r="D37380" s="21" t="s">
        <v>34</v>
      </c>
      <c r="E37380" s="21" t="s">
        <v>71</v>
      </c>
      <c r="F37380">
        <v>1380199</v>
      </c>
      <c r="G37380" t="s">
        <v>321</v>
      </c>
      <c r="H37380" s="21">
        <v>490</v>
      </c>
    </row>
    <row r="37381" spans="1:8" customFormat="1" x14ac:dyDescent="0.25">
      <c r="A37381" t="str">
        <f>"0114602"</f>
        <v>0114602</v>
      </c>
      <c r="B37381" t="s">
        <v>24270</v>
      </c>
      <c r="C37381" t="s">
        <v>581</v>
      </c>
      <c r="D37381" s="21" t="s">
        <v>34</v>
      </c>
      <c r="E37381" s="21" t="s">
        <v>71</v>
      </c>
      <c r="F37381">
        <v>1010027</v>
      </c>
      <c r="G37381" t="s">
        <v>6318</v>
      </c>
      <c r="H37381" s="21">
        <v>490</v>
      </c>
    </row>
    <row r="37382" spans="1:8" customFormat="1" x14ac:dyDescent="0.25">
      <c r="A37382" t="str">
        <f>"5326839"</f>
        <v>5326839</v>
      </c>
      <c r="B37382" t="s">
        <v>29424</v>
      </c>
      <c r="C37382" t="s">
        <v>3522</v>
      </c>
      <c r="D37382" s="21" t="s">
        <v>34</v>
      </c>
      <c r="E37382" s="21" t="s">
        <v>35</v>
      </c>
      <c r="F37382">
        <v>12530095</v>
      </c>
      <c r="G37382" t="s">
        <v>5381</v>
      </c>
      <c r="H37382" s="21">
        <v>490</v>
      </c>
    </row>
    <row r="37383" spans="1:8" customFormat="1" x14ac:dyDescent="0.25">
      <c r="A37383" t="str">
        <f>"8523319"</f>
        <v>8523319</v>
      </c>
      <c r="B37383" t="s">
        <v>23035</v>
      </c>
      <c r="C37383" t="s">
        <v>253</v>
      </c>
      <c r="D37383" s="21" t="s">
        <v>34</v>
      </c>
      <c r="E37383" s="21" t="s">
        <v>1089</v>
      </c>
      <c r="F37383">
        <v>12850001</v>
      </c>
      <c r="G37383" t="s">
        <v>1197</v>
      </c>
      <c r="H37383" s="21">
        <v>490</v>
      </c>
    </row>
    <row r="37384" spans="1:8" customFormat="1" x14ac:dyDescent="0.25">
      <c r="A37384" t="str">
        <f>"918"</f>
        <v>918</v>
      </c>
      <c r="B37384" t="s">
        <v>21610</v>
      </c>
      <c r="C37384" t="s">
        <v>412</v>
      </c>
      <c r="D37384" s="21" t="s">
        <v>34</v>
      </c>
      <c r="E37384" s="21" t="s">
        <v>1089</v>
      </c>
      <c r="F37384">
        <v>8910004</v>
      </c>
      <c r="G37384" t="s">
        <v>9637</v>
      </c>
      <c r="H37384" s="21">
        <v>489.92</v>
      </c>
    </row>
    <row r="37385" spans="1:8" customFormat="1" x14ac:dyDescent="0.25">
      <c r="A37385" t="str">
        <f>"838255"</f>
        <v>838255</v>
      </c>
      <c r="B37385" t="s">
        <v>2362</v>
      </c>
      <c r="C37385" t="s">
        <v>239</v>
      </c>
      <c r="D37385" s="21" t="s">
        <v>34</v>
      </c>
      <c r="E37385" s="21" t="s">
        <v>254</v>
      </c>
      <c r="F37385">
        <v>13830062</v>
      </c>
      <c r="G37385" t="s">
        <v>9074</v>
      </c>
      <c r="H37385" s="21">
        <v>489.88</v>
      </c>
    </row>
    <row r="37386" spans="1:8" customFormat="1" x14ac:dyDescent="0.25">
      <c r="A37386" t="str">
        <f>"4426397"</f>
        <v>4426397</v>
      </c>
      <c r="B37386" t="s">
        <v>2598</v>
      </c>
      <c r="C37386" t="s">
        <v>822</v>
      </c>
      <c r="D37386" s="21" t="s">
        <v>34</v>
      </c>
      <c r="E37386" s="21" t="s">
        <v>1089</v>
      </c>
      <c r="F37386">
        <v>12440262</v>
      </c>
      <c r="G37386" t="s">
        <v>4590</v>
      </c>
      <c r="H37386" s="21">
        <v>489.75</v>
      </c>
    </row>
    <row r="37387" spans="1:8" customFormat="1" x14ac:dyDescent="0.25">
      <c r="A37387" t="str">
        <f>"4526738"</f>
        <v>4526738</v>
      </c>
      <c r="B37387" t="s">
        <v>22137</v>
      </c>
      <c r="C37387" t="s">
        <v>484</v>
      </c>
      <c r="D37387" s="21" t="s">
        <v>34</v>
      </c>
      <c r="E37387" s="21" t="s">
        <v>35</v>
      </c>
      <c r="F37387">
        <v>4450108</v>
      </c>
      <c r="G37387" t="s">
        <v>2354</v>
      </c>
      <c r="H37387" s="21">
        <v>489.75</v>
      </c>
    </row>
    <row r="37388" spans="1:8" customFormat="1" x14ac:dyDescent="0.25">
      <c r="A37388" t="str">
        <f>"7518986"</f>
        <v>7518986</v>
      </c>
      <c r="B37388" t="s">
        <v>22686</v>
      </c>
      <c r="C37388" t="s">
        <v>139</v>
      </c>
      <c r="D37388" s="21" t="s">
        <v>34</v>
      </c>
      <c r="E37388" s="21" t="s">
        <v>35</v>
      </c>
      <c r="F37388">
        <v>8750141</v>
      </c>
      <c r="G37388" t="s">
        <v>1514</v>
      </c>
      <c r="H37388" s="21">
        <v>489.75</v>
      </c>
    </row>
    <row r="37389" spans="1:8" customFormat="1" x14ac:dyDescent="0.25">
      <c r="A37389" t="str">
        <f>"6220092"</f>
        <v>6220092</v>
      </c>
      <c r="B37389" t="s">
        <v>509</v>
      </c>
      <c r="C37389" t="s">
        <v>1132</v>
      </c>
      <c r="D37389" s="21" t="s">
        <v>34</v>
      </c>
      <c r="E37389" s="21" t="s">
        <v>71</v>
      </c>
      <c r="F37389">
        <v>7620042</v>
      </c>
      <c r="G37389" t="s">
        <v>8102</v>
      </c>
      <c r="H37389" s="21">
        <v>489.67</v>
      </c>
    </row>
    <row r="37390" spans="1:8" customFormat="1" x14ac:dyDescent="0.25">
      <c r="A37390" t="str">
        <f>"9146040"</f>
        <v>9146040</v>
      </c>
      <c r="B37390" t="s">
        <v>29425</v>
      </c>
      <c r="C37390" t="s">
        <v>288</v>
      </c>
      <c r="D37390" s="21" t="s">
        <v>34</v>
      </c>
      <c r="E37390" s="21" t="s">
        <v>35</v>
      </c>
      <c r="F37390">
        <v>8910214</v>
      </c>
      <c r="G37390" t="s">
        <v>986</v>
      </c>
      <c r="H37390" s="21">
        <v>489.67</v>
      </c>
    </row>
    <row r="37391" spans="1:8" customFormat="1" x14ac:dyDescent="0.25">
      <c r="A37391" t="str">
        <f>"932"</f>
        <v>932</v>
      </c>
      <c r="B37391" t="s">
        <v>22219</v>
      </c>
      <c r="C37391" t="s">
        <v>22220</v>
      </c>
      <c r="D37391" s="21" t="s">
        <v>34</v>
      </c>
      <c r="E37391" s="21" t="s">
        <v>254</v>
      </c>
      <c r="F37391">
        <v>8930001</v>
      </c>
      <c r="G37391" t="s">
        <v>2264</v>
      </c>
      <c r="H37391" s="21">
        <v>489.67</v>
      </c>
    </row>
    <row r="37392" spans="1:8" customFormat="1" x14ac:dyDescent="0.25">
      <c r="A37392" t="str">
        <f>"5621157"</f>
        <v>5621157</v>
      </c>
      <c r="B37392" t="s">
        <v>24204</v>
      </c>
      <c r="C37392" t="s">
        <v>415</v>
      </c>
      <c r="D37392" s="21" t="s">
        <v>34</v>
      </c>
      <c r="E37392" s="21" t="s">
        <v>254</v>
      </c>
      <c r="F37392">
        <v>3560055</v>
      </c>
      <c r="G37392" t="s">
        <v>8371</v>
      </c>
      <c r="H37392" s="21">
        <v>489.67</v>
      </c>
    </row>
    <row r="37393" spans="1:8" customFormat="1" x14ac:dyDescent="0.25">
      <c r="A37393" t="str">
        <f>"6814231"</f>
        <v>6814231</v>
      </c>
      <c r="B37393" t="s">
        <v>23867</v>
      </c>
      <c r="C37393" t="s">
        <v>10760</v>
      </c>
      <c r="D37393" s="21" t="s">
        <v>34</v>
      </c>
      <c r="E37393" s="21" t="s">
        <v>35</v>
      </c>
      <c r="F37393">
        <v>6680011</v>
      </c>
      <c r="G37393" t="s">
        <v>1524</v>
      </c>
      <c r="H37393" s="21">
        <v>489.67</v>
      </c>
    </row>
    <row r="37394" spans="1:8" customFormat="1" x14ac:dyDescent="0.25">
      <c r="A37394" t="str">
        <f>"3339879"</f>
        <v>3339879</v>
      </c>
      <c r="B37394" t="s">
        <v>1028</v>
      </c>
      <c r="C37394" t="s">
        <v>305</v>
      </c>
      <c r="D37394" s="21" t="s">
        <v>34</v>
      </c>
      <c r="E37394" s="21" t="s">
        <v>71</v>
      </c>
      <c r="F37394">
        <v>10330035</v>
      </c>
      <c r="G37394" t="s">
        <v>3457</v>
      </c>
      <c r="H37394" s="21">
        <v>489.62</v>
      </c>
    </row>
    <row r="37395" spans="1:8" customFormat="1" x14ac:dyDescent="0.25">
      <c r="A37395" t="str">
        <f>"7866015"</f>
        <v>7866015</v>
      </c>
      <c r="B37395" t="s">
        <v>10135</v>
      </c>
      <c r="C37395" t="s">
        <v>2520</v>
      </c>
      <c r="D37395" s="21" t="s">
        <v>34</v>
      </c>
      <c r="E37395" s="21" t="s">
        <v>71</v>
      </c>
      <c r="F37395">
        <v>8781466</v>
      </c>
      <c r="G37395" t="s">
        <v>21047</v>
      </c>
      <c r="H37395" s="21">
        <v>489.5</v>
      </c>
    </row>
    <row r="37396" spans="1:8" customFormat="1" x14ac:dyDescent="0.25">
      <c r="A37396" t="str">
        <f>"4456064"</f>
        <v>4456064</v>
      </c>
      <c r="B37396" t="s">
        <v>24656</v>
      </c>
      <c r="C37396" t="s">
        <v>320</v>
      </c>
      <c r="D37396" s="21" t="s">
        <v>34</v>
      </c>
      <c r="E37396" s="21" t="s">
        <v>71</v>
      </c>
      <c r="F37396">
        <v>12440277</v>
      </c>
      <c r="G37396" t="s">
        <v>10430</v>
      </c>
      <c r="H37396" s="21">
        <v>489.5</v>
      </c>
    </row>
    <row r="37397" spans="1:8" customFormat="1" x14ac:dyDescent="0.25">
      <c r="A37397" t="str">
        <f>"868020"</f>
        <v>868020</v>
      </c>
      <c r="B37397" t="s">
        <v>5076</v>
      </c>
      <c r="C37397" t="s">
        <v>209</v>
      </c>
      <c r="D37397" s="21" t="s">
        <v>34</v>
      </c>
      <c r="E37397" s="21" t="s">
        <v>71</v>
      </c>
      <c r="F37397">
        <v>10860038</v>
      </c>
      <c r="G37397" t="s">
        <v>8925</v>
      </c>
      <c r="H37397" s="21">
        <v>489.5</v>
      </c>
    </row>
    <row r="37398" spans="1:8" customFormat="1" x14ac:dyDescent="0.25">
      <c r="A37398" t="str">
        <f>"2939476"</f>
        <v>2939476</v>
      </c>
      <c r="B37398" t="s">
        <v>3658</v>
      </c>
      <c r="C37398" t="s">
        <v>171</v>
      </c>
      <c r="D37398" s="21" t="s">
        <v>34</v>
      </c>
      <c r="E37398" s="21" t="s">
        <v>71</v>
      </c>
      <c r="F37398">
        <v>3290087</v>
      </c>
      <c r="G37398" t="s">
        <v>364</v>
      </c>
      <c r="H37398" s="21">
        <v>489.5</v>
      </c>
    </row>
    <row r="37399" spans="1:8" customFormat="1" x14ac:dyDescent="0.25">
      <c r="A37399" t="str">
        <f>"2717316"</f>
        <v>2717316</v>
      </c>
      <c r="B37399" t="s">
        <v>1180</v>
      </c>
      <c r="C37399" t="s">
        <v>263</v>
      </c>
      <c r="D37399" s="21" t="s">
        <v>34</v>
      </c>
      <c r="E37399" s="21" t="s">
        <v>71</v>
      </c>
      <c r="F37399">
        <v>9270030</v>
      </c>
      <c r="G37399" t="s">
        <v>5853</v>
      </c>
      <c r="H37399" s="21">
        <v>489.5</v>
      </c>
    </row>
    <row r="37400" spans="1:8" customFormat="1" x14ac:dyDescent="0.25">
      <c r="A37400" t="str">
        <f>"4440696"</f>
        <v>4440696</v>
      </c>
      <c r="B37400" t="s">
        <v>6485</v>
      </c>
      <c r="C37400" t="s">
        <v>598</v>
      </c>
      <c r="D37400" s="21" t="s">
        <v>34</v>
      </c>
      <c r="E37400" s="21" t="s">
        <v>35</v>
      </c>
      <c r="F37400">
        <v>12440026</v>
      </c>
      <c r="G37400" t="s">
        <v>2987</v>
      </c>
      <c r="H37400" s="21">
        <v>489.5</v>
      </c>
    </row>
    <row r="37401" spans="1:8" customFormat="1" x14ac:dyDescent="0.25">
      <c r="A37401" t="str">
        <f>"225356"</f>
        <v>225356</v>
      </c>
      <c r="B37401" t="s">
        <v>16631</v>
      </c>
      <c r="C37401" t="s">
        <v>8978</v>
      </c>
      <c r="D37401" s="21" t="s">
        <v>34</v>
      </c>
      <c r="E37401" s="21" t="s">
        <v>254</v>
      </c>
      <c r="F37401">
        <v>3220037</v>
      </c>
      <c r="G37401" t="s">
        <v>13306</v>
      </c>
      <c r="H37401" s="21">
        <v>489.5</v>
      </c>
    </row>
    <row r="37402" spans="1:8" customFormat="1" x14ac:dyDescent="0.25">
      <c r="A37402" t="str">
        <f>"2720269"</f>
        <v>2720269</v>
      </c>
      <c r="B37402" t="s">
        <v>24123</v>
      </c>
      <c r="C37402" t="s">
        <v>209</v>
      </c>
      <c r="D37402" s="21" t="s">
        <v>34</v>
      </c>
      <c r="E37402" s="21" t="s">
        <v>71</v>
      </c>
      <c r="F37402">
        <v>9270069</v>
      </c>
      <c r="G37402" t="s">
        <v>3509</v>
      </c>
      <c r="H37402" s="21">
        <v>489.5</v>
      </c>
    </row>
    <row r="37403" spans="1:8" customFormat="1" x14ac:dyDescent="0.25">
      <c r="A37403" t="str">
        <f>"9253149"</f>
        <v>9253149</v>
      </c>
      <c r="B37403" t="s">
        <v>29426</v>
      </c>
      <c r="C37403" t="s">
        <v>415</v>
      </c>
      <c r="D37403" s="21" t="s">
        <v>34</v>
      </c>
      <c r="E37403" s="21" t="s">
        <v>35</v>
      </c>
      <c r="F37403">
        <v>8920018</v>
      </c>
      <c r="G37403" t="s">
        <v>1281</v>
      </c>
      <c r="H37403" s="21">
        <v>489.5</v>
      </c>
    </row>
    <row r="37404" spans="1:8" customFormat="1" x14ac:dyDescent="0.25">
      <c r="A37404" t="str">
        <f>"038869"</f>
        <v>038869</v>
      </c>
      <c r="B37404" t="s">
        <v>29427</v>
      </c>
      <c r="C37404" t="s">
        <v>139</v>
      </c>
      <c r="D37404" s="21" t="s">
        <v>34</v>
      </c>
      <c r="E37404" s="21" t="s">
        <v>35</v>
      </c>
      <c r="F37404">
        <v>1030108</v>
      </c>
      <c r="G37404" t="s">
        <v>26724</v>
      </c>
      <c r="H37404" s="21">
        <v>489.5</v>
      </c>
    </row>
    <row r="37405" spans="1:8" customFormat="1" x14ac:dyDescent="0.25">
      <c r="A37405" t="str">
        <f>"185253"</f>
        <v>185253</v>
      </c>
      <c r="B37405" t="s">
        <v>22411</v>
      </c>
      <c r="C37405" t="s">
        <v>239</v>
      </c>
      <c r="D37405" s="21" t="s">
        <v>34</v>
      </c>
      <c r="E37405" s="21" t="s">
        <v>254</v>
      </c>
      <c r="F37405">
        <v>4180737</v>
      </c>
      <c r="G37405" t="s">
        <v>26856</v>
      </c>
      <c r="H37405" s="21">
        <v>489.5</v>
      </c>
    </row>
    <row r="37406" spans="1:8" customFormat="1" x14ac:dyDescent="0.25">
      <c r="A37406" t="str">
        <f>"6221320"</f>
        <v>6221320</v>
      </c>
      <c r="B37406" t="s">
        <v>904</v>
      </c>
      <c r="C37406" t="s">
        <v>253</v>
      </c>
      <c r="D37406" s="21" t="s">
        <v>34</v>
      </c>
      <c r="E37406" s="21" t="s">
        <v>71</v>
      </c>
      <c r="F37406">
        <v>7620046</v>
      </c>
      <c r="G37406" t="s">
        <v>242</v>
      </c>
      <c r="H37406" s="21">
        <v>489.5</v>
      </c>
    </row>
    <row r="37407" spans="1:8" customFormat="1" x14ac:dyDescent="0.25">
      <c r="A37407" t="str">
        <f>"9454870"</f>
        <v>9454870</v>
      </c>
      <c r="B37407" t="s">
        <v>24592</v>
      </c>
      <c r="C37407" t="s">
        <v>1708</v>
      </c>
      <c r="D37407" s="21" t="s">
        <v>34</v>
      </c>
      <c r="E37407" s="21" t="s">
        <v>35</v>
      </c>
      <c r="F37407">
        <v>8940524</v>
      </c>
      <c r="G37407" t="s">
        <v>6176</v>
      </c>
      <c r="H37407" s="21">
        <v>489.5</v>
      </c>
    </row>
    <row r="37408" spans="1:8" customFormat="1" x14ac:dyDescent="0.25">
      <c r="A37408" t="str">
        <f>"4529359"</f>
        <v>4529359</v>
      </c>
      <c r="B37408" t="s">
        <v>23560</v>
      </c>
      <c r="C37408" t="s">
        <v>209</v>
      </c>
      <c r="D37408" s="21" t="s">
        <v>34</v>
      </c>
      <c r="E37408" s="21" t="s">
        <v>35</v>
      </c>
      <c r="F37408">
        <v>4450267</v>
      </c>
      <c r="G37408" t="s">
        <v>15710</v>
      </c>
      <c r="H37408" s="21">
        <v>489.5</v>
      </c>
    </row>
    <row r="37409" spans="1:8" customFormat="1" x14ac:dyDescent="0.25">
      <c r="A37409" t="str">
        <f>"9247069"</f>
        <v>9247069</v>
      </c>
      <c r="B37409" t="s">
        <v>8275</v>
      </c>
      <c r="C37409" t="s">
        <v>288</v>
      </c>
      <c r="D37409" s="21" t="s">
        <v>34</v>
      </c>
      <c r="E37409" s="21" t="s">
        <v>35</v>
      </c>
      <c r="F37409">
        <v>8920309</v>
      </c>
      <c r="G37409" t="s">
        <v>1894</v>
      </c>
      <c r="H37409" s="21">
        <v>489.5</v>
      </c>
    </row>
    <row r="37410" spans="1:8" customFormat="1" x14ac:dyDescent="0.25">
      <c r="A37410" t="str">
        <f>"7856504"</f>
        <v>7856504</v>
      </c>
      <c r="B37410" t="s">
        <v>699</v>
      </c>
      <c r="C37410" t="s">
        <v>7951</v>
      </c>
      <c r="D37410" s="21" t="s">
        <v>34</v>
      </c>
      <c r="E37410" s="21" t="s">
        <v>35</v>
      </c>
      <c r="F37410">
        <v>8780114</v>
      </c>
      <c r="G37410" t="s">
        <v>927</v>
      </c>
      <c r="H37410" s="21">
        <v>489.5</v>
      </c>
    </row>
    <row r="37411" spans="1:8" customFormat="1" x14ac:dyDescent="0.25">
      <c r="A37411" t="str">
        <f>"5620010"</f>
        <v>5620010</v>
      </c>
      <c r="B37411" t="s">
        <v>12179</v>
      </c>
      <c r="C37411" t="s">
        <v>124</v>
      </c>
      <c r="D37411" s="21" t="s">
        <v>34</v>
      </c>
      <c r="E37411" s="21" t="s">
        <v>35</v>
      </c>
      <c r="F37411">
        <v>3560088</v>
      </c>
      <c r="G37411" t="s">
        <v>15034</v>
      </c>
      <c r="H37411" s="21">
        <v>489.5</v>
      </c>
    </row>
    <row r="37412" spans="1:8" customFormat="1" x14ac:dyDescent="0.25">
      <c r="A37412" t="str">
        <f>"6024032"</f>
        <v>6024032</v>
      </c>
      <c r="B37412" t="s">
        <v>8321</v>
      </c>
      <c r="C37412" t="s">
        <v>415</v>
      </c>
      <c r="D37412" s="21" t="s">
        <v>34</v>
      </c>
      <c r="E37412" s="21" t="s">
        <v>71</v>
      </c>
      <c r="F37412">
        <v>7600163</v>
      </c>
      <c r="G37412" t="s">
        <v>12203</v>
      </c>
      <c r="H37412" s="21">
        <v>489.5</v>
      </c>
    </row>
    <row r="37413" spans="1:8" customFormat="1" x14ac:dyDescent="0.25">
      <c r="A37413" t="str">
        <f>"379004"</f>
        <v>379004</v>
      </c>
      <c r="B37413" t="s">
        <v>24561</v>
      </c>
      <c r="C37413" t="s">
        <v>1231</v>
      </c>
      <c r="D37413" s="21" t="s">
        <v>34</v>
      </c>
      <c r="E37413" s="21" t="s">
        <v>254</v>
      </c>
      <c r="F37413">
        <v>4370478</v>
      </c>
      <c r="G37413" t="s">
        <v>4735</v>
      </c>
      <c r="H37413" s="21">
        <v>489.5</v>
      </c>
    </row>
    <row r="37414" spans="1:8" customFormat="1" x14ac:dyDescent="0.25">
      <c r="A37414" t="str">
        <f>"5731448"</f>
        <v>5731448</v>
      </c>
      <c r="B37414" t="s">
        <v>814</v>
      </c>
      <c r="C37414" t="s">
        <v>1705</v>
      </c>
      <c r="D37414" s="21" t="s">
        <v>34</v>
      </c>
      <c r="E37414" s="21" t="s">
        <v>254</v>
      </c>
      <c r="F37414">
        <v>6570060</v>
      </c>
      <c r="G37414" t="s">
        <v>4397</v>
      </c>
      <c r="H37414" s="21">
        <v>489.5</v>
      </c>
    </row>
    <row r="37415" spans="1:8" customFormat="1" x14ac:dyDescent="0.25">
      <c r="A37415" t="str">
        <f>"9310705"</f>
        <v>9310705</v>
      </c>
      <c r="B37415" t="s">
        <v>24520</v>
      </c>
      <c r="C37415" t="s">
        <v>415</v>
      </c>
      <c r="D37415" s="21" t="s">
        <v>34</v>
      </c>
      <c r="E37415" s="21" t="s">
        <v>254</v>
      </c>
      <c r="F37415">
        <v>3290277</v>
      </c>
      <c r="G37415" t="s">
        <v>1671</v>
      </c>
      <c r="H37415" s="21">
        <v>489.5</v>
      </c>
    </row>
    <row r="37416" spans="1:8" customFormat="1" x14ac:dyDescent="0.25">
      <c r="A37416" t="str">
        <f>"783923"</f>
        <v>783923</v>
      </c>
      <c r="B37416" t="s">
        <v>6843</v>
      </c>
      <c r="C37416" t="s">
        <v>40</v>
      </c>
      <c r="D37416" s="21" t="s">
        <v>34</v>
      </c>
      <c r="E37416" s="21" t="s">
        <v>254</v>
      </c>
      <c r="F37416">
        <v>8780023</v>
      </c>
      <c r="G37416" t="s">
        <v>1496</v>
      </c>
      <c r="H37416" s="21">
        <v>489.5</v>
      </c>
    </row>
    <row r="37417" spans="1:8" customFormat="1" x14ac:dyDescent="0.25">
      <c r="A37417" t="str">
        <f>"7881717"</f>
        <v>7881717</v>
      </c>
      <c r="B37417" t="s">
        <v>29428</v>
      </c>
      <c r="C37417" t="s">
        <v>267</v>
      </c>
      <c r="D37417" s="21" t="s">
        <v>34</v>
      </c>
      <c r="E37417" s="21" t="s">
        <v>71</v>
      </c>
      <c r="F37417">
        <v>8780338</v>
      </c>
      <c r="G37417" t="s">
        <v>4145</v>
      </c>
      <c r="H37417" s="21">
        <v>489.5</v>
      </c>
    </row>
    <row r="37418" spans="1:8" customFormat="1" x14ac:dyDescent="0.25">
      <c r="A37418" t="str">
        <f>"2936854"</f>
        <v>2936854</v>
      </c>
      <c r="B37418" t="s">
        <v>24600</v>
      </c>
      <c r="C37418" t="s">
        <v>43</v>
      </c>
      <c r="D37418" s="21" t="s">
        <v>34</v>
      </c>
      <c r="E37418" s="21" t="s">
        <v>35</v>
      </c>
      <c r="F37418">
        <v>3290228</v>
      </c>
      <c r="G37418" t="s">
        <v>8738</v>
      </c>
      <c r="H37418" s="21">
        <v>489.5</v>
      </c>
    </row>
    <row r="37419" spans="1:8" customFormat="1" x14ac:dyDescent="0.25">
      <c r="A37419" t="str">
        <f>"5982273"</f>
        <v>5982273</v>
      </c>
      <c r="B37419" t="s">
        <v>197</v>
      </c>
      <c r="C37419" t="s">
        <v>55</v>
      </c>
      <c r="D37419" s="21" t="s">
        <v>34</v>
      </c>
      <c r="E37419" s="21" t="s">
        <v>35</v>
      </c>
      <c r="F37419">
        <v>7590100</v>
      </c>
      <c r="G37419" t="s">
        <v>1660</v>
      </c>
      <c r="H37419" s="21">
        <v>489.5</v>
      </c>
    </row>
    <row r="37420" spans="1:8" customFormat="1" x14ac:dyDescent="0.25">
      <c r="A37420" t="str">
        <f>"7618642"</f>
        <v>7618642</v>
      </c>
      <c r="B37420" t="s">
        <v>24296</v>
      </c>
      <c r="C37420" t="s">
        <v>147</v>
      </c>
      <c r="D37420" s="21" t="s">
        <v>34</v>
      </c>
      <c r="E37420" s="21" t="s">
        <v>35</v>
      </c>
      <c r="F37420">
        <v>9760256</v>
      </c>
      <c r="G37420" t="s">
        <v>4655</v>
      </c>
      <c r="H37420" s="21">
        <v>489.5</v>
      </c>
    </row>
    <row r="37421" spans="1:8" customFormat="1" x14ac:dyDescent="0.25">
      <c r="A37421" t="str">
        <f>"4217415"</f>
        <v>4217415</v>
      </c>
      <c r="B37421" t="s">
        <v>29429</v>
      </c>
      <c r="C37421" t="s">
        <v>581</v>
      </c>
      <c r="D37421" s="21" t="s">
        <v>34</v>
      </c>
      <c r="E37421" s="21" t="s">
        <v>71</v>
      </c>
      <c r="F37421">
        <v>1420149</v>
      </c>
      <c r="G37421" t="s">
        <v>818</v>
      </c>
      <c r="H37421" s="21">
        <v>489.5</v>
      </c>
    </row>
    <row r="37422" spans="1:8" customFormat="1" x14ac:dyDescent="0.25">
      <c r="A37422" t="str">
        <f>"648831"</f>
        <v>648831</v>
      </c>
      <c r="B37422" t="s">
        <v>1077</v>
      </c>
      <c r="C37422" t="s">
        <v>211</v>
      </c>
      <c r="D37422" s="21" t="s">
        <v>34</v>
      </c>
      <c r="E37422" s="21" t="s">
        <v>35</v>
      </c>
      <c r="F37422">
        <v>10640003</v>
      </c>
      <c r="G37422" t="s">
        <v>1594</v>
      </c>
      <c r="H37422" s="21">
        <v>489.5</v>
      </c>
    </row>
    <row r="37423" spans="1:8" customFormat="1" x14ac:dyDescent="0.25">
      <c r="A37423" t="str">
        <f>"081529"</f>
        <v>081529</v>
      </c>
      <c r="B37423" t="s">
        <v>5239</v>
      </c>
      <c r="C37423" t="s">
        <v>598</v>
      </c>
      <c r="D37423" s="21" t="s">
        <v>34</v>
      </c>
      <c r="E37423" s="21" t="s">
        <v>1089</v>
      </c>
      <c r="F37423">
        <v>12850170</v>
      </c>
      <c r="G37423" t="s">
        <v>3349</v>
      </c>
      <c r="H37423" s="21">
        <v>489.5</v>
      </c>
    </row>
    <row r="37424" spans="1:8" customFormat="1" x14ac:dyDescent="0.25">
      <c r="A37424" t="str">
        <f>"9249642"</f>
        <v>9249642</v>
      </c>
      <c r="B37424" t="s">
        <v>23701</v>
      </c>
      <c r="C37424" t="s">
        <v>23702</v>
      </c>
      <c r="D37424" s="21" t="s">
        <v>34</v>
      </c>
      <c r="E37424" s="21" t="s">
        <v>254</v>
      </c>
      <c r="F37424">
        <v>8920140</v>
      </c>
      <c r="G37424" t="s">
        <v>3762</v>
      </c>
      <c r="H37424" s="21">
        <v>489.5</v>
      </c>
    </row>
    <row r="37425" spans="1:8" customFormat="1" x14ac:dyDescent="0.25">
      <c r="A37425" t="str">
        <f>"5913077"</f>
        <v>5913077</v>
      </c>
      <c r="B37425" t="s">
        <v>17201</v>
      </c>
      <c r="C37425" t="s">
        <v>1705</v>
      </c>
      <c r="D37425" s="21" t="s">
        <v>34</v>
      </c>
      <c r="E37425" s="21" t="s">
        <v>254</v>
      </c>
      <c r="F37425">
        <v>7590075</v>
      </c>
      <c r="G37425" t="s">
        <v>6459</v>
      </c>
      <c r="H37425" s="21">
        <v>489.5</v>
      </c>
    </row>
    <row r="37426" spans="1:8" customFormat="1" x14ac:dyDescent="0.25">
      <c r="A37426" t="str">
        <f>"2814936"</f>
        <v>2814936</v>
      </c>
      <c r="B37426" t="s">
        <v>5153</v>
      </c>
      <c r="C37426" t="s">
        <v>156</v>
      </c>
      <c r="D37426" s="21" t="s">
        <v>34</v>
      </c>
      <c r="E37426" s="21" t="s">
        <v>35</v>
      </c>
      <c r="F37426">
        <v>9270060</v>
      </c>
      <c r="G37426" t="s">
        <v>1982</v>
      </c>
      <c r="H37426" s="21">
        <v>489.38</v>
      </c>
    </row>
    <row r="37427" spans="1:8" customFormat="1" x14ac:dyDescent="0.25">
      <c r="A37427" t="str">
        <f>"7642424"</f>
        <v>7642424</v>
      </c>
      <c r="B37427" t="s">
        <v>2120</v>
      </c>
      <c r="C37427" t="s">
        <v>40</v>
      </c>
      <c r="D37427" s="21" t="s">
        <v>34</v>
      </c>
      <c r="E37427" s="21" t="s">
        <v>254</v>
      </c>
      <c r="F37427">
        <v>9760012</v>
      </c>
      <c r="G37427" t="s">
        <v>17233</v>
      </c>
      <c r="H37427" s="21">
        <v>489.25</v>
      </c>
    </row>
    <row r="37428" spans="1:8" customFormat="1" x14ac:dyDescent="0.25">
      <c r="A37428" t="str">
        <f>"588133"</f>
        <v>588133</v>
      </c>
      <c r="B37428" t="s">
        <v>7035</v>
      </c>
      <c r="C37428" t="s">
        <v>1588</v>
      </c>
      <c r="D37428" s="21" t="s">
        <v>34</v>
      </c>
      <c r="E37428" s="21" t="s">
        <v>1089</v>
      </c>
      <c r="F37428">
        <v>2580006</v>
      </c>
      <c r="G37428" t="s">
        <v>4813</v>
      </c>
      <c r="H37428" s="21">
        <v>489.25</v>
      </c>
    </row>
    <row r="37429" spans="1:8" customFormat="1" x14ac:dyDescent="0.25">
      <c r="A37429" t="str">
        <f>"3725782"</f>
        <v>3725782</v>
      </c>
      <c r="B37429" t="s">
        <v>24546</v>
      </c>
      <c r="C37429" t="s">
        <v>3843</v>
      </c>
      <c r="D37429" s="21" t="s">
        <v>34</v>
      </c>
      <c r="E37429" s="21" t="s">
        <v>71</v>
      </c>
      <c r="F37429">
        <v>4370566</v>
      </c>
      <c r="G37429" t="s">
        <v>4710</v>
      </c>
      <c r="H37429" s="21">
        <v>489.17</v>
      </c>
    </row>
    <row r="37430" spans="1:8" customFormat="1" x14ac:dyDescent="0.25">
      <c r="A37430" t="str">
        <f>"3719926"</f>
        <v>3719926</v>
      </c>
      <c r="B37430" t="s">
        <v>21968</v>
      </c>
      <c r="C37430" t="s">
        <v>40</v>
      </c>
      <c r="D37430" s="21" t="s">
        <v>34</v>
      </c>
      <c r="E37430" s="21" t="s">
        <v>71</v>
      </c>
      <c r="F37430">
        <v>4370015</v>
      </c>
      <c r="G37430" t="s">
        <v>17941</v>
      </c>
      <c r="H37430" s="21">
        <v>489.17</v>
      </c>
    </row>
    <row r="37431" spans="1:8" customFormat="1" x14ac:dyDescent="0.25">
      <c r="A37431" t="str">
        <f>"3345304"</f>
        <v>3345304</v>
      </c>
      <c r="B37431" t="s">
        <v>29430</v>
      </c>
      <c r="C37431" t="s">
        <v>29431</v>
      </c>
      <c r="D37431" s="21" t="s">
        <v>34</v>
      </c>
      <c r="E37431" s="21" t="s">
        <v>35</v>
      </c>
      <c r="F37431">
        <v>10330004</v>
      </c>
      <c r="G37431" t="s">
        <v>525</v>
      </c>
      <c r="H37431" s="21">
        <v>489.12</v>
      </c>
    </row>
    <row r="37432" spans="1:8" customFormat="1" x14ac:dyDescent="0.25">
      <c r="A37432" t="str">
        <f>"4112570"</f>
        <v>4112570</v>
      </c>
      <c r="B37432" t="s">
        <v>23939</v>
      </c>
      <c r="C37432" t="s">
        <v>233</v>
      </c>
      <c r="D37432" s="21" t="s">
        <v>34</v>
      </c>
      <c r="E37432" s="21" t="s">
        <v>71</v>
      </c>
      <c r="F37432">
        <v>4410719</v>
      </c>
      <c r="G37432" t="s">
        <v>18140</v>
      </c>
      <c r="H37432" s="21">
        <v>489.12</v>
      </c>
    </row>
    <row r="37433" spans="1:8" customFormat="1" x14ac:dyDescent="0.25">
      <c r="A37433" t="str">
        <f>"2720356"</f>
        <v>2720356</v>
      </c>
      <c r="B37433" t="s">
        <v>29432</v>
      </c>
      <c r="C37433" t="s">
        <v>415</v>
      </c>
      <c r="D37433" s="21" t="s">
        <v>34</v>
      </c>
      <c r="E37433" s="21" t="s">
        <v>35</v>
      </c>
      <c r="F37433">
        <v>8920389</v>
      </c>
      <c r="G37433" t="s">
        <v>1739</v>
      </c>
      <c r="H37433" s="21">
        <v>489.12</v>
      </c>
    </row>
    <row r="37434" spans="1:8" customFormat="1" x14ac:dyDescent="0.25">
      <c r="A37434" t="str">
        <f>"2720607"</f>
        <v>2720607</v>
      </c>
      <c r="B37434" t="s">
        <v>29433</v>
      </c>
      <c r="C37434" t="s">
        <v>29434</v>
      </c>
      <c r="D37434" s="21" t="s">
        <v>34</v>
      </c>
      <c r="E37434" s="21" t="s">
        <v>35</v>
      </c>
      <c r="F37434">
        <v>9270162</v>
      </c>
      <c r="G37434" t="s">
        <v>1865</v>
      </c>
      <c r="H37434" s="21">
        <v>489</v>
      </c>
    </row>
    <row r="37435" spans="1:8" customFormat="1" x14ac:dyDescent="0.25">
      <c r="A37435" t="str">
        <f>"6943304"</f>
        <v>6943304</v>
      </c>
      <c r="B37435" t="s">
        <v>24478</v>
      </c>
      <c r="C37435" t="s">
        <v>239</v>
      </c>
      <c r="D37435" s="21" t="s">
        <v>34</v>
      </c>
      <c r="E37435" s="21" t="s">
        <v>71</v>
      </c>
      <c r="F37435">
        <v>1690001</v>
      </c>
      <c r="G37435" t="s">
        <v>3275</v>
      </c>
      <c r="H37435" s="21">
        <v>489</v>
      </c>
    </row>
    <row r="37436" spans="1:8" customFormat="1" x14ac:dyDescent="0.25">
      <c r="A37436" t="str">
        <f>"1426829"</f>
        <v>1426829</v>
      </c>
      <c r="B37436" t="s">
        <v>6628</v>
      </c>
      <c r="C37436" t="s">
        <v>285</v>
      </c>
      <c r="D37436" s="21" t="s">
        <v>34</v>
      </c>
      <c r="E37436" s="21" t="s">
        <v>35</v>
      </c>
      <c r="F37436">
        <v>9140234</v>
      </c>
      <c r="G37436" t="s">
        <v>5548</v>
      </c>
      <c r="H37436" s="21">
        <v>489</v>
      </c>
    </row>
    <row r="37437" spans="1:8" customFormat="1" x14ac:dyDescent="0.25">
      <c r="A37437" t="str">
        <f>"5934850"</f>
        <v>5934850</v>
      </c>
      <c r="B37437" t="s">
        <v>10115</v>
      </c>
      <c r="C37437" t="s">
        <v>87</v>
      </c>
      <c r="D37437" s="21" t="s">
        <v>34</v>
      </c>
      <c r="E37437" s="21" t="s">
        <v>35</v>
      </c>
      <c r="F37437">
        <v>7590004</v>
      </c>
      <c r="G37437" t="s">
        <v>4816</v>
      </c>
      <c r="H37437" s="21">
        <v>489</v>
      </c>
    </row>
    <row r="37438" spans="1:8" customFormat="1" x14ac:dyDescent="0.25">
      <c r="A37438" t="str">
        <f>"2939631"</f>
        <v>2939631</v>
      </c>
      <c r="B37438" t="s">
        <v>29435</v>
      </c>
      <c r="C37438" t="s">
        <v>302</v>
      </c>
      <c r="D37438" s="21" t="s">
        <v>34</v>
      </c>
      <c r="E37438" s="21" t="s">
        <v>35</v>
      </c>
      <c r="F37438">
        <v>3290200</v>
      </c>
      <c r="G37438" t="s">
        <v>3488</v>
      </c>
      <c r="H37438" s="21">
        <v>489</v>
      </c>
    </row>
    <row r="37439" spans="1:8" customFormat="1" x14ac:dyDescent="0.25">
      <c r="A37439" t="str">
        <f>"50771"</f>
        <v>50771</v>
      </c>
      <c r="B37439" t="s">
        <v>2505</v>
      </c>
      <c r="C37439" t="s">
        <v>547</v>
      </c>
      <c r="D37439" s="21" t="s">
        <v>34</v>
      </c>
      <c r="E37439" s="21" t="s">
        <v>1089</v>
      </c>
      <c r="F37439">
        <v>9500112</v>
      </c>
      <c r="G37439" t="s">
        <v>1668</v>
      </c>
      <c r="H37439" s="21">
        <v>489</v>
      </c>
    </row>
    <row r="37440" spans="1:8" customFormat="1" x14ac:dyDescent="0.25">
      <c r="A37440" t="str">
        <f>"7220297"</f>
        <v>7220297</v>
      </c>
      <c r="B37440" t="s">
        <v>3454</v>
      </c>
      <c r="C37440" t="s">
        <v>206</v>
      </c>
      <c r="D37440" s="21" t="s">
        <v>34</v>
      </c>
      <c r="E37440" s="21" t="s">
        <v>35</v>
      </c>
      <c r="F37440">
        <v>12720027</v>
      </c>
      <c r="G37440" t="s">
        <v>3562</v>
      </c>
      <c r="H37440" s="21">
        <v>489</v>
      </c>
    </row>
    <row r="37441" spans="1:8" customFormat="1" x14ac:dyDescent="0.25">
      <c r="A37441" t="str">
        <f>"7222517"</f>
        <v>7222517</v>
      </c>
      <c r="B37441" t="s">
        <v>29436</v>
      </c>
      <c r="C37441" t="s">
        <v>65</v>
      </c>
      <c r="D37441" s="21" t="s">
        <v>34</v>
      </c>
      <c r="E37441" s="21" t="s">
        <v>35</v>
      </c>
      <c r="F37441">
        <v>12720048</v>
      </c>
      <c r="G37441" t="s">
        <v>3264</v>
      </c>
      <c r="H37441" s="21">
        <v>489</v>
      </c>
    </row>
    <row r="37442" spans="1:8" customFormat="1" x14ac:dyDescent="0.25">
      <c r="A37442" t="str">
        <f>"6230501"</f>
        <v>6230501</v>
      </c>
      <c r="B37442" t="s">
        <v>15715</v>
      </c>
      <c r="C37442" t="s">
        <v>144</v>
      </c>
      <c r="D37442" s="21" t="s">
        <v>34</v>
      </c>
      <c r="E37442" s="21" t="s">
        <v>71</v>
      </c>
      <c r="F37442">
        <v>7620007</v>
      </c>
      <c r="G37442" t="s">
        <v>2133</v>
      </c>
      <c r="H37442" s="21">
        <v>489</v>
      </c>
    </row>
    <row r="37443" spans="1:8" customFormat="1" x14ac:dyDescent="0.25">
      <c r="A37443" t="str">
        <f>"8018523"</f>
        <v>8018523</v>
      </c>
      <c r="B37443" t="s">
        <v>16797</v>
      </c>
      <c r="C37443" t="s">
        <v>62</v>
      </c>
      <c r="D37443" s="21" t="s">
        <v>34</v>
      </c>
      <c r="E37443" s="21" t="s">
        <v>35</v>
      </c>
      <c r="F37443">
        <v>7800006</v>
      </c>
      <c r="G37443" t="s">
        <v>6365</v>
      </c>
      <c r="H37443" s="21">
        <v>489</v>
      </c>
    </row>
    <row r="37444" spans="1:8" customFormat="1" x14ac:dyDescent="0.25">
      <c r="A37444" t="str">
        <f>"123897"</f>
        <v>123897</v>
      </c>
      <c r="B37444" t="s">
        <v>22819</v>
      </c>
      <c r="C37444" t="s">
        <v>469</v>
      </c>
      <c r="D37444" s="21" t="s">
        <v>34</v>
      </c>
      <c r="E37444" s="21" t="s">
        <v>6185</v>
      </c>
      <c r="F37444">
        <v>11120044</v>
      </c>
      <c r="G37444" t="s">
        <v>15823</v>
      </c>
      <c r="H37444" s="21">
        <v>489</v>
      </c>
    </row>
    <row r="37445" spans="1:8" customFormat="1" x14ac:dyDescent="0.25">
      <c r="A37445" t="str">
        <f>"8526889"</f>
        <v>8526889</v>
      </c>
      <c r="B37445" t="s">
        <v>907</v>
      </c>
      <c r="C37445" t="s">
        <v>2479</v>
      </c>
      <c r="D37445" s="21" t="s">
        <v>34</v>
      </c>
      <c r="E37445" s="21" t="s">
        <v>71</v>
      </c>
      <c r="F37445">
        <v>12850118</v>
      </c>
      <c r="G37445" t="s">
        <v>6811</v>
      </c>
      <c r="H37445" s="21">
        <v>489</v>
      </c>
    </row>
    <row r="37446" spans="1:8" customFormat="1" x14ac:dyDescent="0.25">
      <c r="A37446" t="str">
        <f>"2938629"</f>
        <v>2938629</v>
      </c>
      <c r="B37446" t="s">
        <v>22165</v>
      </c>
      <c r="C37446" t="s">
        <v>576</v>
      </c>
      <c r="D37446" s="21" t="s">
        <v>34</v>
      </c>
      <c r="E37446" s="21" t="s">
        <v>35</v>
      </c>
      <c r="F37446">
        <v>3290228</v>
      </c>
      <c r="G37446" t="s">
        <v>8738</v>
      </c>
      <c r="H37446" s="21">
        <v>489</v>
      </c>
    </row>
    <row r="37447" spans="1:8" customFormat="1" x14ac:dyDescent="0.25">
      <c r="A37447" t="str">
        <f>"7731544"</f>
        <v>7731544</v>
      </c>
      <c r="B37447" t="s">
        <v>10666</v>
      </c>
      <c r="C37447" t="s">
        <v>147</v>
      </c>
      <c r="D37447" s="21" t="s">
        <v>34</v>
      </c>
      <c r="E37447" s="21" t="s">
        <v>35</v>
      </c>
      <c r="F37447">
        <v>8771029</v>
      </c>
      <c r="G37447" t="s">
        <v>4447</v>
      </c>
      <c r="H37447" s="21">
        <v>489</v>
      </c>
    </row>
    <row r="37448" spans="1:8" customFormat="1" x14ac:dyDescent="0.25">
      <c r="A37448" t="str">
        <f>"3537880"</f>
        <v>3537880</v>
      </c>
      <c r="B37448" t="s">
        <v>29437</v>
      </c>
      <c r="C37448" t="s">
        <v>62</v>
      </c>
      <c r="D37448" s="21" t="s">
        <v>34</v>
      </c>
      <c r="E37448" s="21" t="s">
        <v>35</v>
      </c>
      <c r="F37448">
        <v>3350209</v>
      </c>
      <c r="G37448" t="s">
        <v>3023</v>
      </c>
      <c r="H37448" s="21">
        <v>489</v>
      </c>
    </row>
    <row r="37449" spans="1:8" customFormat="1" x14ac:dyDescent="0.25">
      <c r="A37449" t="str">
        <f>"1322053"</f>
        <v>1322053</v>
      </c>
      <c r="B37449" t="s">
        <v>15042</v>
      </c>
      <c r="C37449" t="s">
        <v>147</v>
      </c>
      <c r="D37449" s="21" t="s">
        <v>34</v>
      </c>
      <c r="E37449" s="21" t="s">
        <v>35</v>
      </c>
      <c r="F37449">
        <v>13130122</v>
      </c>
      <c r="G37449" t="s">
        <v>6354</v>
      </c>
      <c r="H37449" s="21">
        <v>489</v>
      </c>
    </row>
    <row r="37450" spans="1:8" customFormat="1" x14ac:dyDescent="0.25">
      <c r="A37450" t="str">
        <f>"2934923"</f>
        <v>2934923</v>
      </c>
      <c r="B37450" t="s">
        <v>5160</v>
      </c>
      <c r="C37450" t="s">
        <v>2520</v>
      </c>
      <c r="D37450" s="21" t="s">
        <v>34</v>
      </c>
      <c r="E37450" s="21" t="s">
        <v>35</v>
      </c>
      <c r="F37450">
        <v>3290024</v>
      </c>
      <c r="G37450" t="s">
        <v>5690</v>
      </c>
      <c r="H37450" s="21">
        <v>489</v>
      </c>
    </row>
    <row r="37451" spans="1:8" customFormat="1" x14ac:dyDescent="0.25">
      <c r="A37451" t="str">
        <f>"868808"</f>
        <v>868808</v>
      </c>
      <c r="B37451" t="s">
        <v>22134</v>
      </c>
      <c r="C37451" t="s">
        <v>65</v>
      </c>
      <c r="D37451" s="21" t="s">
        <v>34</v>
      </c>
      <c r="E37451" s="21" t="s">
        <v>71</v>
      </c>
      <c r="F37451">
        <v>10860193</v>
      </c>
      <c r="G37451" t="s">
        <v>1603</v>
      </c>
      <c r="H37451" s="21">
        <v>489</v>
      </c>
    </row>
    <row r="37452" spans="1:8" customFormat="1" x14ac:dyDescent="0.25">
      <c r="A37452" t="str">
        <f>"5924342"</f>
        <v>5924342</v>
      </c>
      <c r="B37452" t="s">
        <v>23408</v>
      </c>
      <c r="C37452" t="s">
        <v>23409</v>
      </c>
      <c r="D37452" s="21" t="s">
        <v>34</v>
      </c>
      <c r="E37452" s="21" t="s">
        <v>254</v>
      </c>
      <c r="F37452">
        <v>7620180</v>
      </c>
      <c r="G37452" t="s">
        <v>7188</v>
      </c>
      <c r="H37452" s="21">
        <v>489</v>
      </c>
    </row>
    <row r="37453" spans="1:8" customFormat="1" x14ac:dyDescent="0.25">
      <c r="A37453" t="str">
        <f>"8018669"</f>
        <v>8018669</v>
      </c>
      <c r="B37453" t="s">
        <v>24524</v>
      </c>
      <c r="C37453" t="s">
        <v>1468</v>
      </c>
      <c r="D37453" s="21" t="s">
        <v>34</v>
      </c>
      <c r="E37453" s="21" t="s">
        <v>71</v>
      </c>
      <c r="F37453">
        <v>7800006</v>
      </c>
      <c r="G37453" t="s">
        <v>6365</v>
      </c>
      <c r="H37453" s="21">
        <v>489</v>
      </c>
    </row>
    <row r="37454" spans="1:8" customFormat="1" x14ac:dyDescent="0.25">
      <c r="A37454" t="str">
        <f>"5965841"</f>
        <v>5965841</v>
      </c>
      <c r="B37454" t="s">
        <v>23964</v>
      </c>
      <c r="C37454" t="s">
        <v>1196</v>
      </c>
      <c r="D37454" s="21" t="s">
        <v>34</v>
      </c>
      <c r="E37454" s="21" t="s">
        <v>35</v>
      </c>
      <c r="F37454">
        <v>7590132</v>
      </c>
      <c r="G37454" t="s">
        <v>3204</v>
      </c>
      <c r="H37454" s="21">
        <v>489</v>
      </c>
    </row>
    <row r="37455" spans="1:8" customFormat="1" x14ac:dyDescent="0.25">
      <c r="A37455" t="str">
        <f>"6925129"</f>
        <v>6925129</v>
      </c>
      <c r="B37455" t="s">
        <v>4596</v>
      </c>
      <c r="C37455" t="s">
        <v>639</v>
      </c>
      <c r="D37455" s="21" t="s">
        <v>34</v>
      </c>
      <c r="E37455" s="21" t="s">
        <v>254</v>
      </c>
      <c r="F37455">
        <v>1690027</v>
      </c>
      <c r="G37455" t="s">
        <v>17499</v>
      </c>
      <c r="H37455" s="21">
        <v>489</v>
      </c>
    </row>
    <row r="37456" spans="1:8" customFormat="1" x14ac:dyDescent="0.25">
      <c r="A37456" t="str">
        <f>"3345046"</f>
        <v>3345046</v>
      </c>
      <c r="B37456" t="s">
        <v>29438</v>
      </c>
      <c r="C37456" t="s">
        <v>33</v>
      </c>
      <c r="D37456" s="21" t="s">
        <v>34</v>
      </c>
      <c r="E37456" s="21" t="s">
        <v>71</v>
      </c>
      <c r="F37456">
        <v>10330013</v>
      </c>
      <c r="G37456" t="s">
        <v>613</v>
      </c>
      <c r="H37456" s="21">
        <v>489</v>
      </c>
    </row>
    <row r="37457" spans="1:8" customFormat="1" x14ac:dyDescent="0.25">
      <c r="A37457" t="str">
        <f>"6313329"</f>
        <v>6313329</v>
      </c>
      <c r="B37457" t="s">
        <v>13351</v>
      </c>
      <c r="C37457" t="s">
        <v>3010</v>
      </c>
      <c r="D37457" s="21" t="s">
        <v>34</v>
      </c>
      <c r="E37457" s="21" t="s">
        <v>254</v>
      </c>
      <c r="F37457">
        <v>1630145</v>
      </c>
      <c r="G37457" t="s">
        <v>13804</v>
      </c>
      <c r="H37457" s="21">
        <v>489</v>
      </c>
    </row>
    <row r="37458" spans="1:8" customFormat="1" x14ac:dyDescent="0.25">
      <c r="A37458" t="str">
        <f>"4432199"</f>
        <v>4432199</v>
      </c>
      <c r="B37458" t="s">
        <v>21853</v>
      </c>
      <c r="C37458" t="s">
        <v>40</v>
      </c>
      <c r="D37458" s="21" t="s">
        <v>34</v>
      </c>
      <c r="E37458" s="21" t="s">
        <v>254</v>
      </c>
      <c r="F37458">
        <v>12440229</v>
      </c>
      <c r="G37458" t="s">
        <v>21854</v>
      </c>
      <c r="H37458" s="21">
        <v>489</v>
      </c>
    </row>
    <row r="37459" spans="1:8" customFormat="1" x14ac:dyDescent="0.25">
      <c r="A37459" t="str">
        <f>"011343"</f>
        <v>011343</v>
      </c>
      <c r="B37459" t="s">
        <v>23534</v>
      </c>
      <c r="C37459" t="s">
        <v>1812</v>
      </c>
      <c r="D37459" s="21" t="s">
        <v>34</v>
      </c>
      <c r="E37459" s="21" t="s">
        <v>254</v>
      </c>
      <c r="F37459">
        <v>1010069</v>
      </c>
      <c r="G37459" t="s">
        <v>1707</v>
      </c>
      <c r="H37459" s="21">
        <v>489</v>
      </c>
    </row>
    <row r="37460" spans="1:8" customFormat="1" x14ac:dyDescent="0.25">
      <c r="A37460" t="str">
        <f>"2110668"</f>
        <v>2110668</v>
      </c>
      <c r="B37460" t="s">
        <v>765</v>
      </c>
      <c r="C37460" t="s">
        <v>253</v>
      </c>
      <c r="D37460" s="21" t="s">
        <v>34</v>
      </c>
      <c r="E37460" s="21" t="s">
        <v>1089</v>
      </c>
      <c r="F37460">
        <v>2210037</v>
      </c>
      <c r="G37460" t="s">
        <v>16889</v>
      </c>
      <c r="H37460" s="21">
        <v>489</v>
      </c>
    </row>
    <row r="37461" spans="1:8" customFormat="1" x14ac:dyDescent="0.25">
      <c r="A37461" t="str">
        <f>"7924503"</f>
        <v>7924503</v>
      </c>
      <c r="B37461" t="s">
        <v>19224</v>
      </c>
      <c r="C37461" t="s">
        <v>598</v>
      </c>
      <c r="D37461" s="21" t="s">
        <v>34</v>
      </c>
      <c r="E37461" s="21" t="s">
        <v>71</v>
      </c>
      <c r="F37461">
        <v>10790003</v>
      </c>
      <c r="G37461" t="s">
        <v>10465</v>
      </c>
      <c r="H37461" s="21">
        <v>489</v>
      </c>
    </row>
    <row r="37462" spans="1:8" customFormat="1" x14ac:dyDescent="0.25">
      <c r="A37462" t="str">
        <f>"8019669"</f>
        <v>8019669</v>
      </c>
      <c r="B37462" t="s">
        <v>3848</v>
      </c>
      <c r="C37462" t="s">
        <v>328</v>
      </c>
      <c r="D37462" s="21" t="s">
        <v>34</v>
      </c>
      <c r="E37462" s="21" t="s">
        <v>71</v>
      </c>
      <c r="F37462">
        <v>7800088</v>
      </c>
      <c r="G37462" t="s">
        <v>1899</v>
      </c>
      <c r="H37462" s="21">
        <v>489</v>
      </c>
    </row>
    <row r="37463" spans="1:8" customFormat="1" x14ac:dyDescent="0.25">
      <c r="A37463" t="str">
        <f>"361346"</f>
        <v>361346</v>
      </c>
      <c r="B37463" t="s">
        <v>22907</v>
      </c>
      <c r="C37463" t="s">
        <v>547</v>
      </c>
      <c r="D37463" s="21" t="s">
        <v>34</v>
      </c>
      <c r="E37463" s="21" t="s">
        <v>254</v>
      </c>
      <c r="F37463">
        <v>4360454</v>
      </c>
      <c r="G37463" t="s">
        <v>637</v>
      </c>
      <c r="H37463" s="21">
        <v>489</v>
      </c>
    </row>
    <row r="37464" spans="1:8" customFormat="1" x14ac:dyDescent="0.25">
      <c r="A37464" t="str">
        <f>"7516494"</f>
        <v>7516494</v>
      </c>
      <c r="B37464" t="s">
        <v>29439</v>
      </c>
      <c r="C37464" t="s">
        <v>3905</v>
      </c>
      <c r="D37464" s="21" t="s">
        <v>34</v>
      </c>
      <c r="E37464" s="21" t="s">
        <v>71</v>
      </c>
      <c r="F37464">
        <v>8751279</v>
      </c>
      <c r="G37464" t="s">
        <v>13340</v>
      </c>
      <c r="H37464" s="21">
        <v>489</v>
      </c>
    </row>
    <row r="37465" spans="1:8" customFormat="1" x14ac:dyDescent="0.25">
      <c r="A37465" t="str">
        <f>"7223419"</f>
        <v>7223419</v>
      </c>
      <c r="B37465" t="s">
        <v>29440</v>
      </c>
      <c r="C37465" t="s">
        <v>209</v>
      </c>
      <c r="D37465" s="21" t="s">
        <v>34</v>
      </c>
      <c r="E37465" s="21" t="s">
        <v>254</v>
      </c>
      <c r="F37465">
        <v>12720042</v>
      </c>
      <c r="G37465" t="s">
        <v>922</v>
      </c>
      <c r="H37465" s="21">
        <v>489</v>
      </c>
    </row>
    <row r="37466" spans="1:8" customFormat="1" x14ac:dyDescent="0.25">
      <c r="A37466" t="str">
        <f>"3833812"</f>
        <v>3833812</v>
      </c>
      <c r="B37466" t="s">
        <v>29441</v>
      </c>
      <c r="C37466" t="s">
        <v>4721</v>
      </c>
      <c r="D37466" s="21" t="s">
        <v>34</v>
      </c>
      <c r="E37466" s="21" t="s">
        <v>71</v>
      </c>
      <c r="F37466">
        <v>1380045</v>
      </c>
      <c r="G37466" t="s">
        <v>2114</v>
      </c>
      <c r="H37466" s="21">
        <v>489</v>
      </c>
    </row>
    <row r="37467" spans="1:8" customFormat="1" x14ac:dyDescent="0.25">
      <c r="A37467" t="str">
        <f>"8316214"</f>
        <v>8316214</v>
      </c>
      <c r="B37467" t="s">
        <v>29442</v>
      </c>
      <c r="C37467" t="s">
        <v>236</v>
      </c>
      <c r="D37467" s="21" t="s">
        <v>34</v>
      </c>
      <c r="E37467" s="21" t="s">
        <v>71</v>
      </c>
      <c r="F37467">
        <v>13830062</v>
      </c>
      <c r="G37467" t="s">
        <v>9074</v>
      </c>
      <c r="H37467" s="21">
        <v>489</v>
      </c>
    </row>
    <row r="37468" spans="1:8" customFormat="1" x14ac:dyDescent="0.25">
      <c r="A37468" t="str">
        <f>"9132744"</f>
        <v>9132744</v>
      </c>
      <c r="B37468" t="s">
        <v>23269</v>
      </c>
      <c r="C37468" t="s">
        <v>55</v>
      </c>
      <c r="D37468" s="21" t="s">
        <v>34</v>
      </c>
      <c r="E37468" s="21" t="s">
        <v>254</v>
      </c>
      <c r="F37468">
        <v>8910042</v>
      </c>
      <c r="G37468" t="s">
        <v>4009</v>
      </c>
      <c r="H37468" s="21">
        <v>489</v>
      </c>
    </row>
    <row r="37469" spans="1:8" customFormat="1" x14ac:dyDescent="0.25">
      <c r="A37469" t="str">
        <f>"2220644"</f>
        <v>2220644</v>
      </c>
      <c r="B37469" t="s">
        <v>2954</v>
      </c>
      <c r="C37469" t="s">
        <v>462</v>
      </c>
      <c r="D37469" s="21" t="s">
        <v>34</v>
      </c>
      <c r="E37469" s="21" t="s">
        <v>35</v>
      </c>
      <c r="F37469">
        <v>3220013</v>
      </c>
      <c r="G37469" t="s">
        <v>27198</v>
      </c>
      <c r="H37469" s="21">
        <v>489</v>
      </c>
    </row>
    <row r="37470" spans="1:8" customFormat="1" x14ac:dyDescent="0.25">
      <c r="A37470" t="str">
        <f>"3824822"</f>
        <v>3824822</v>
      </c>
      <c r="B37470" t="s">
        <v>23608</v>
      </c>
      <c r="C37470" t="s">
        <v>1841</v>
      </c>
      <c r="D37470" s="21" t="s">
        <v>34</v>
      </c>
      <c r="E37470" s="21" t="s">
        <v>254</v>
      </c>
      <c r="F37470">
        <v>1380164</v>
      </c>
      <c r="G37470" t="s">
        <v>2728</v>
      </c>
      <c r="H37470" s="21">
        <v>489</v>
      </c>
    </row>
    <row r="37471" spans="1:8" customFormat="1" x14ac:dyDescent="0.25">
      <c r="A37471" t="str">
        <f>"879177"</f>
        <v>879177</v>
      </c>
      <c r="B37471" t="s">
        <v>29443</v>
      </c>
      <c r="C37471" t="s">
        <v>2907</v>
      </c>
      <c r="D37471" s="21" t="s">
        <v>34</v>
      </c>
      <c r="E37471" s="21" t="s">
        <v>71</v>
      </c>
      <c r="F37471">
        <v>10870110</v>
      </c>
      <c r="G37471" t="s">
        <v>5888</v>
      </c>
      <c r="H37471" s="21">
        <v>489</v>
      </c>
    </row>
    <row r="37472" spans="1:8" customFormat="1" x14ac:dyDescent="0.25">
      <c r="A37472" t="str">
        <f>"7523434"</f>
        <v>7523434</v>
      </c>
      <c r="B37472" t="s">
        <v>2313</v>
      </c>
      <c r="C37472" t="s">
        <v>29444</v>
      </c>
      <c r="D37472" s="21" t="s">
        <v>34</v>
      </c>
      <c r="E37472" s="21" t="s">
        <v>71</v>
      </c>
      <c r="F37472">
        <v>8751163</v>
      </c>
      <c r="G37472" t="s">
        <v>80</v>
      </c>
      <c r="H37472" s="21">
        <v>489</v>
      </c>
    </row>
    <row r="37473" spans="1:8" customFormat="1" x14ac:dyDescent="0.25">
      <c r="A37473" t="str">
        <f>"9252020"</f>
        <v>9252020</v>
      </c>
      <c r="B37473" t="s">
        <v>29445</v>
      </c>
      <c r="C37473" t="s">
        <v>652</v>
      </c>
      <c r="D37473" s="21" t="s">
        <v>34</v>
      </c>
      <c r="E37473" s="21" t="s">
        <v>71</v>
      </c>
      <c r="F37473">
        <v>8921190</v>
      </c>
      <c r="G37473" t="s">
        <v>810</v>
      </c>
      <c r="H37473" s="21">
        <v>489</v>
      </c>
    </row>
    <row r="37474" spans="1:8" customFormat="1" x14ac:dyDescent="0.25">
      <c r="A37474" t="str">
        <f>"3834075"</f>
        <v>3834075</v>
      </c>
      <c r="B37474" t="s">
        <v>18675</v>
      </c>
      <c r="C37474" t="s">
        <v>601</v>
      </c>
      <c r="D37474" s="21" t="s">
        <v>34</v>
      </c>
      <c r="E37474" s="21" t="s">
        <v>35</v>
      </c>
      <c r="F37474">
        <v>1380275</v>
      </c>
      <c r="G37474" t="s">
        <v>8042</v>
      </c>
      <c r="H37474" s="21">
        <v>489</v>
      </c>
    </row>
    <row r="37475" spans="1:8" customFormat="1" x14ac:dyDescent="0.25">
      <c r="A37475" t="str">
        <f>"125264"</f>
        <v>125264</v>
      </c>
      <c r="B37475" t="s">
        <v>23325</v>
      </c>
      <c r="C37475" t="s">
        <v>124</v>
      </c>
      <c r="D37475" s="21" t="s">
        <v>34</v>
      </c>
      <c r="E37475" s="21" t="s">
        <v>71</v>
      </c>
      <c r="F37475">
        <v>11120017</v>
      </c>
      <c r="G37475" t="s">
        <v>6560</v>
      </c>
      <c r="H37475" s="21">
        <v>489</v>
      </c>
    </row>
    <row r="37476" spans="1:8" customFormat="1" x14ac:dyDescent="0.25">
      <c r="A37476" t="str">
        <f>"6231339"</f>
        <v>6231339</v>
      </c>
      <c r="B37476" t="s">
        <v>13694</v>
      </c>
      <c r="C37476" t="s">
        <v>119</v>
      </c>
      <c r="D37476" s="21" t="s">
        <v>34</v>
      </c>
      <c r="E37476" s="21" t="s">
        <v>71</v>
      </c>
      <c r="F37476">
        <v>7620087</v>
      </c>
      <c r="G37476" t="s">
        <v>7637</v>
      </c>
      <c r="H37476" s="21">
        <v>489</v>
      </c>
    </row>
    <row r="37477" spans="1:8" customFormat="1" x14ac:dyDescent="0.25">
      <c r="A37477" t="str">
        <f>"9319395"</f>
        <v>9319395</v>
      </c>
      <c r="B37477" t="s">
        <v>24284</v>
      </c>
      <c r="C37477" t="s">
        <v>812</v>
      </c>
      <c r="D37477" s="21" t="s">
        <v>34</v>
      </c>
      <c r="E37477" s="21" t="s">
        <v>35</v>
      </c>
      <c r="F37477">
        <v>8930610</v>
      </c>
      <c r="G37477" t="s">
        <v>3002</v>
      </c>
      <c r="H37477" s="21">
        <v>489</v>
      </c>
    </row>
    <row r="37478" spans="1:8" customFormat="1" x14ac:dyDescent="0.25">
      <c r="A37478" t="str">
        <f>"0115224"</f>
        <v>0115224</v>
      </c>
      <c r="B37478" t="s">
        <v>23489</v>
      </c>
      <c r="C37478" t="s">
        <v>415</v>
      </c>
      <c r="D37478" s="21" t="s">
        <v>34</v>
      </c>
      <c r="E37478" s="21" t="s">
        <v>71</v>
      </c>
      <c r="F37478">
        <v>1010071</v>
      </c>
      <c r="G37478" t="s">
        <v>8104</v>
      </c>
      <c r="H37478" s="21">
        <v>489</v>
      </c>
    </row>
    <row r="37479" spans="1:8" customFormat="1" x14ac:dyDescent="0.25">
      <c r="A37479" t="str">
        <f>"5734501"</f>
        <v>5734501</v>
      </c>
      <c r="B37479" t="s">
        <v>19938</v>
      </c>
      <c r="C37479" t="s">
        <v>169</v>
      </c>
      <c r="D37479" s="21" t="s">
        <v>34</v>
      </c>
      <c r="E37479" s="21" t="s">
        <v>35</v>
      </c>
      <c r="F37479">
        <v>6570102</v>
      </c>
      <c r="G37479" t="s">
        <v>16722</v>
      </c>
      <c r="H37479" s="21">
        <v>489</v>
      </c>
    </row>
    <row r="37480" spans="1:8" customFormat="1" x14ac:dyDescent="0.25">
      <c r="A37480" t="str">
        <f>"151965"</f>
        <v>151965</v>
      </c>
      <c r="B37480" t="s">
        <v>23967</v>
      </c>
      <c r="C37480" t="s">
        <v>1539</v>
      </c>
      <c r="D37480" s="21" t="s">
        <v>34</v>
      </c>
      <c r="E37480" s="21" t="s">
        <v>71</v>
      </c>
      <c r="F37480">
        <v>1150290</v>
      </c>
      <c r="G37480" t="s">
        <v>12544</v>
      </c>
      <c r="H37480" s="21">
        <v>489</v>
      </c>
    </row>
    <row r="37481" spans="1:8" customFormat="1" x14ac:dyDescent="0.25">
      <c r="A37481" t="str">
        <f>"1716318"</f>
        <v>1716318</v>
      </c>
      <c r="B37481" t="s">
        <v>11809</v>
      </c>
      <c r="C37481" t="s">
        <v>249</v>
      </c>
      <c r="D37481" s="21" t="s">
        <v>34</v>
      </c>
      <c r="E37481" s="21" t="s">
        <v>71</v>
      </c>
      <c r="F37481">
        <v>10170004</v>
      </c>
      <c r="G37481" t="s">
        <v>12405</v>
      </c>
      <c r="H37481" s="21">
        <v>489</v>
      </c>
    </row>
    <row r="37482" spans="1:8" customFormat="1" x14ac:dyDescent="0.25">
      <c r="A37482" t="str">
        <f>"1321048"</f>
        <v>1321048</v>
      </c>
      <c r="B37482" t="s">
        <v>29446</v>
      </c>
      <c r="C37482" t="s">
        <v>459</v>
      </c>
      <c r="D37482" s="21" t="s">
        <v>34</v>
      </c>
      <c r="E37482" s="21" t="s">
        <v>71</v>
      </c>
      <c r="F37482">
        <v>13130122</v>
      </c>
      <c r="G37482" t="s">
        <v>6354</v>
      </c>
      <c r="H37482" s="21">
        <v>489</v>
      </c>
    </row>
    <row r="37483" spans="1:8" customFormat="1" x14ac:dyDescent="0.25">
      <c r="A37483" t="str">
        <f>"876353"</f>
        <v>876353</v>
      </c>
      <c r="B37483" t="s">
        <v>24560</v>
      </c>
      <c r="C37483" t="s">
        <v>750</v>
      </c>
      <c r="D37483" s="21" t="s">
        <v>34</v>
      </c>
      <c r="E37483" s="21" t="s">
        <v>71</v>
      </c>
      <c r="F37483">
        <v>10870003</v>
      </c>
      <c r="G37483" t="s">
        <v>1187</v>
      </c>
      <c r="H37483" s="21">
        <v>489</v>
      </c>
    </row>
    <row r="37484" spans="1:8" customFormat="1" x14ac:dyDescent="0.25">
      <c r="A37484" t="str">
        <f>"672603"</f>
        <v>672603</v>
      </c>
      <c r="B37484" t="s">
        <v>4355</v>
      </c>
      <c r="C37484" t="s">
        <v>236</v>
      </c>
      <c r="D37484" s="21" t="s">
        <v>34</v>
      </c>
      <c r="E37484" s="21" t="s">
        <v>254</v>
      </c>
      <c r="F37484">
        <v>6670092</v>
      </c>
      <c r="G37484" t="s">
        <v>10845</v>
      </c>
      <c r="H37484" s="21">
        <v>489</v>
      </c>
    </row>
    <row r="37485" spans="1:8" customFormat="1" x14ac:dyDescent="0.25">
      <c r="A37485" t="str">
        <f>"2939591"</f>
        <v>2939591</v>
      </c>
      <c r="B37485" t="s">
        <v>5337</v>
      </c>
      <c r="C37485" t="s">
        <v>263</v>
      </c>
      <c r="D37485" s="21" t="s">
        <v>34</v>
      </c>
      <c r="E37485" s="21" t="s">
        <v>35</v>
      </c>
      <c r="F37485">
        <v>3290200</v>
      </c>
      <c r="G37485" t="s">
        <v>3488</v>
      </c>
      <c r="H37485" s="21">
        <v>489</v>
      </c>
    </row>
    <row r="37486" spans="1:8" customFormat="1" x14ac:dyDescent="0.25">
      <c r="A37486" t="str">
        <f>"3729734"</f>
        <v>3729734</v>
      </c>
      <c r="B37486" t="s">
        <v>7366</v>
      </c>
      <c r="C37486" t="s">
        <v>55</v>
      </c>
      <c r="D37486" s="21" t="s">
        <v>34</v>
      </c>
      <c r="E37486" s="21" t="s">
        <v>35</v>
      </c>
      <c r="F37486">
        <v>4370533</v>
      </c>
      <c r="G37486" t="s">
        <v>10553</v>
      </c>
      <c r="H37486" s="21">
        <v>489</v>
      </c>
    </row>
    <row r="37487" spans="1:8" customFormat="1" x14ac:dyDescent="0.25">
      <c r="A37487" t="str">
        <f>"2719819"</f>
        <v>2719819</v>
      </c>
      <c r="B37487" t="s">
        <v>2835</v>
      </c>
      <c r="C37487" t="s">
        <v>169</v>
      </c>
      <c r="D37487" s="21" t="s">
        <v>34</v>
      </c>
      <c r="E37487" s="21" t="s">
        <v>71</v>
      </c>
      <c r="F37487">
        <v>9270045</v>
      </c>
      <c r="G37487" t="s">
        <v>22742</v>
      </c>
      <c r="H37487" s="21">
        <v>489</v>
      </c>
    </row>
    <row r="37488" spans="1:8" customFormat="1" x14ac:dyDescent="0.25">
      <c r="A37488" t="str">
        <f>"7869377"</f>
        <v>7869377</v>
      </c>
      <c r="B37488" t="s">
        <v>24565</v>
      </c>
      <c r="C37488" t="s">
        <v>43</v>
      </c>
      <c r="D37488" s="21" t="s">
        <v>34</v>
      </c>
      <c r="E37488" s="21" t="s">
        <v>35</v>
      </c>
      <c r="F37488">
        <v>8781469</v>
      </c>
      <c r="G37488" t="s">
        <v>4779</v>
      </c>
      <c r="H37488" s="21">
        <v>489</v>
      </c>
    </row>
    <row r="37489" spans="1:8" customFormat="1" x14ac:dyDescent="0.25">
      <c r="A37489" t="str">
        <f>"3344168"</f>
        <v>3344168</v>
      </c>
      <c r="B37489" t="s">
        <v>2023</v>
      </c>
      <c r="C37489" t="s">
        <v>305</v>
      </c>
      <c r="D37489" s="21" t="s">
        <v>34</v>
      </c>
      <c r="E37489" s="21" t="s">
        <v>35</v>
      </c>
      <c r="F37489">
        <v>10330043</v>
      </c>
      <c r="G37489" t="s">
        <v>1703</v>
      </c>
      <c r="H37489" s="21">
        <v>489</v>
      </c>
    </row>
    <row r="37490" spans="1:8" customFormat="1" x14ac:dyDescent="0.25">
      <c r="A37490" t="str">
        <f>"7523676"</f>
        <v>7523676</v>
      </c>
      <c r="B37490" t="s">
        <v>24467</v>
      </c>
      <c r="C37490" t="s">
        <v>55</v>
      </c>
      <c r="D37490" s="21" t="s">
        <v>34</v>
      </c>
      <c r="E37490" s="21" t="s">
        <v>71</v>
      </c>
      <c r="F37490">
        <v>8751163</v>
      </c>
      <c r="G37490" t="s">
        <v>80</v>
      </c>
      <c r="H37490" s="21">
        <v>489</v>
      </c>
    </row>
    <row r="37491" spans="1:8" customFormat="1" x14ac:dyDescent="0.25">
      <c r="A37491" t="str">
        <f>"613582"</f>
        <v>613582</v>
      </c>
      <c r="B37491" t="s">
        <v>24680</v>
      </c>
      <c r="C37491" t="s">
        <v>87</v>
      </c>
      <c r="D37491" s="21" t="s">
        <v>34</v>
      </c>
      <c r="E37491" s="21" t="s">
        <v>71</v>
      </c>
      <c r="F37491">
        <v>9610077</v>
      </c>
      <c r="G37491" t="s">
        <v>26691</v>
      </c>
      <c r="H37491" s="21">
        <v>489</v>
      </c>
    </row>
    <row r="37492" spans="1:8" customFormat="1" x14ac:dyDescent="0.25">
      <c r="A37492" t="str">
        <f>"3830621"</f>
        <v>3830621</v>
      </c>
      <c r="B37492" t="s">
        <v>23267</v>
      </c>
      <c r="C37492" t="s">
        <v>462</v>
      </c>
      <c r="D37492" s="21" t="s">
        <v>34</v>
      </c>
      <c r="E37492" s="21" t="s">
        <v>254</v>
      </c>
      <c r="F37492">
        <v>1380164</v>
      </c>
      <c r="G37492" t="s">
        <v>2728</v>
      </c>
      <c r="H37492" s="21">
        <v>489</v>
      </c>
    </row>
    <row r="37493" spans="1:8" customFormat="1" x14ac:dyDescent="0.25">
      <c r="A37493" t="str">
        <f>"461835"</f>
        <v>461835</v>
      </c>
      <c r="B37493" t="s">
        <v>1422</v>
      </c>
      <c r="C37493" t="s">
        <v>269</v>
      </c>
      <c r="D37493" s="21" t="s">
        <v>34</v>
      </c>
      <c r="E37493" s="21" t="s">
        <v>71</v>
      </c>
      <c r="F37493">
        <v>11460017</v>
      </c>
      <c r="G37493" t="s">
        <v>7665</v>
      </c>
      <c r="H37493" s="21">
        <v>488.88</v>
      </c>
    </row>
    <row r="37494" spans="1:8" customFormat="1" x14ac:dyDescent="0.25">
      <c r="A37494" t="str">
        <f>"7414583"</f>
        <v>7414583</v>
      </c>
      <c r="B37494" t="s">
        <v>21023</v>
      </c>
      <c r="C37494" t="s">
        <v>453</v>
      </c>
      <c r="D37494" s="21" t="s">
        <v>34</v>
      </c>
      <c r="E37494" s="21" t="s">
        <v>1089</v>
      </c>
      <c r="F37494">
        <v>1740063</v>
      </c>
      <c r="G37494" t="s">
        <v>9745</v>
      </c>
      <c r="H37494" s="21">
        <v>488.75</v>
      </c>
    </row>
    <row r="37495" spans="1:8" customFormat="1" x14ac:dyDescent="0.25">
      <c r="A37495" t="str">
        <f>"3318547"</f>
        <v>3318547</v>
      </c>
      <c r="B37495" t="s">
        <v>23788</v>
      </c>
      <c r="C37495" t="s">
        <v>198</v>
      </c>
      <c r="D37495" s="21" t="s">
        <v>34</v>
      </c>
      <c r="E37495" s="21" t="s">
        <v>71</v>
      </c>
      <c r="F37495">
        <v>10330069</v>
      </c>
      <c r="G37495" t="s">
        <v>15951</v>
      </c>
      <c r="H37495" s="21">
        <v>488.75</v>
      </c>
    </row>
    <row r="37496" spans="1:8" customFormat="1" x14ac:dyDescent="0.25">
      <c r="A37496" t="str">
        <f>"6314030"</f>
        <v>6314030</v>
      </c>
      <c r="B37496" t="s">
        <v>23859</v>
      </c>
      <c r="C37496" t="s">
        <v>236</v>
      </c>
      <c r="D37496" s="21" t="s">
        <v>34</v>
      </c>
      <c r="E37496" s="21" t="s">
        <v>71</v>
      </c>
      <c r="F37496">
        <v>1630307</v>
      </c>
      <c r="G37496" t="s">
        <v>15524</v>
      </c>
      <c r="H37496" s="21">
        <v>488.75</v>
      </c>
    </row>
    <row r="37497" spans="1:8" customFormat="1" x14ac:dyDescent="0.25">
      <c r="A37497" t="str">
        <f>"3345326"</f>
        <v>3345326</v>
      </c>
      <c r="B37497" t="s">
        <v>6935</v>
      </c>
      <c r="C37497" t="s">
        <v>1489</v>
      </c>
      <c r="D37497" s="21" t="s">
        <v>34</v>
      </c>
      <c r="E37497" s="21" t="s">
        <v>254</v>
      </c>
      <c r="F37497">
        <v>10330125</v>
      </c>
      <c r="G37497" t="s">
        <v>3753</v>
      </c>
      <c r="H37497" s="21">
        <v>488.75</v>
      </c>
    </row>
    <row r="37498" spans="1:8" customFormat="1" x14ac:dyDescent="0.25">
      <c r="A37498" t="str">
        <f>"4451614"</f>
        <v>4451614</v>
      </c>
      <c r="B37498" t="s">
        <v>23648</v>
      </c>
      <c r="C37498" t="s">
        <v>2529</v>
      </c>
      <c r="D37498" s="21" t="s">
        <v>34</v>
      </c>
      <c r="E37498" s="21" t="s">
        <v>254</v>
      </c>
      <c r="F37498">
        <v>12440088</v>
      </c>
      <c r="G37498" t="s">
        <v>17289</v>
      </c>
      <c r="H37498" s="21">
        <v>488.75</v>
      </c>
    </row>
    <row r="37499" spans="1:8" customFormat="1" x14ac:dyDescent="0.25">
      <c r="A37499" t="str">
        <f>"9144416"</f>
        <v>9144416</v>
      </c>
      <c r="B37499" t="s">
        <v>21562</v>
      </c>
      <c r="C37499" t="s">
        <v>60</v>
      </c>
      <c r="D37499" s="21" t="s">
        <v>34</v>
      </c>
      <c r="E37499" s="21" t="s">
        <v>35</v>
      </c>
      <c r="F37499">
        <v>8910402</v>
      </c>
      <c r="G37499" t="s">
        <v>1371</v>
      </c>
      <c r="H37499" s="21">
        <v>488.75</v>
      </c>
    </row>
    <row r="37500" spans="1:8" customFormat="1" x14ac:dyDescent="0.25">
      <c r="A37500" t="str">
        <f>"3536133"</f>
        <v>3536133</v>
      </c>
      <c r="B37500" t="s">
        <v>22593</v>
      </c>
      <c r="C37500" t="s">
        <v>43</v>
      </c>
      <c r="D37500" s="21" t="s">
        <v>34</v>
      </c>
      <c r="E37500" s="21" t="s">
        <v>35</v>
      </c>
      <c r="F37500">
        <v>3350225</v>
      </c>
      <c r="G37500" t="s">
        <v>22594</v>
      </c>
      <c r="H37500" s="21">
        <v>488.67</v>
      </c>
    </row>
    <row r="37501" spans="1:8" customFormat="1" x14ac:dyDescent="0.25">
      <c r="A37501" t="str">
        <f>"051299"</f>
        <v>051299</v>
      </c>
      <c r="B37501" t="s">
        <v>29447</v>
      </c>
      <c r="C37501" t="s">
        <v>249</v>
      </c>
      <c r="D37501" s="21" t="s">
        <v>34</v>
      </c>
      <c r="E37501" s="21" t="s">
        <v>71</v>
      </c>
      <c r="F37501">
        <v>13050008</v>
      </c>
      <c r="G37501" t="s">
        <v>12322</v>
      </c>
      <c r="H37501" s="21">
        <v>488.67</v>
      </c>
    </row>
    <row r="37502" spans="1:8" customFormat="1" x14ac:dyDescent="0.25">
      <c r="A37502" t="str">
        <f>"9313701"</f>
        <v>9313701</v>
      </c>
      <c r="B37502" t="s">
        <v>4013</v>
      </c>
      <c r="C37502" t="s">
        <v>87</v>
      </c>
      <c r="D37502" s="21" t="s">
        <v>34</v>
      </c>
      <c r="E37502" s="21" t="s">
        <v>71</v>
      </c>
      <c r="F37502">
        <v>10860031</v>
      </c>
      <c r="G37502" t="s">
        <v>5834</v>
      </c>
      <c r="H37502" s="21">
        <v>488.67</v>
      </c>
    </row>
    <row r="37503" spans="1:8" customFormat="1" x14ac:dyDescent="0.25">
      <c r="A37503" t="str">
        <f>"8527752"</f>
        <v>8527752</v>
      </c>
      <c r="B37503" t="s">
        <v>17204</v>
      </c>
      <c r="C37503" t="s">
        <v>598</v>
      </c>
      <c r="D37503" s="21" t="s">
        <v>34</v>
      </c>
      <c r="E37503" s="21" t="s">
        <v>1089</v>
      </c>
      <c r="F37503">
        <v>12850001</v>
      </c>
      <c r="G37503" t="s">
        <v>1197</v>
      </c>
      <c r="H37503" s="21">
        <v>488.67</v>
      </c>
    </row>
    <row r="37504" spans="1:8" customFormat="1" x14ac:dyDescent="0.25">
      <c r="A37504" t="str">
        <f>"8311462"</f>
        <v>8311462</v>
      </c>
      <c r="B37504" t="s">
        <v>22464</v>
      </c>
      <c r="C37504" t="s">
        <v>598</v>
      </c>
      <c r="D37504" s="21" t="s">
        <v>34</v>
      </c>
      <c r="E37504" s="21" t="s">
        <v>254</v>
      </c>
      <c r="F37504">
        <v>13830083</v>
      </c>
      <c r="G37504" t="s">
        <v>2159</v>
      </c>
      <c r="H37504" s="21">
        <v>488.67</v>
      </c>
    </row>
    <row r="37505" spans="1:8" customFormat="1" x14ac:dyDescent="0.25">
      <c r="A37505" t="str">
        <f>"811658"</f>
        <v>811658</v>
      </c>
      <c r="B37505" t="s">
        <v>29448</v>
      </c>
      <c r="C37505" t="s">
        <v>263</v>
      </c>
      <c r="D37505" s="21" t="s">
        <v>34</v>
      </c>
      <c r="E37505" s="21" t="s">
        <v>254</v>
      </c>
      <c r="F37505">
        <v>11810008</v>
      </c>
      <c r="G37505" t="s">
        <v>8796</v>
      </c>
      <c r="H37505" s="21">
        <v>488.67</v>
      </c>
    </row>
    <row r="37506" spans="1:8" customFormat="1" x14ac:dyDescent="0.25">
      <c r="A37506" t="str">
        <f>"2516826"</f>
        <v>2516826</v>
      </c>
      <c r="B37506" t="s">
        <v>3273</v>
      </c>
      <c r="C37506" t="s">
        <v>1142</v>
      </c>
      <c r="D37506" s="21" t="s">
        <v>34</v>
      </c>
      <c r="E37506" s="21" t="s">
        <v>1089</v>
      </c>
      <c r="F37506">
        <v>2250193</v>
      </c>
      <c r="G37506" t="s">
        <v>2584</v>
      </c>
      <c r="H37506" s="21">
        <v>488.67</v>
      </c>
    </row>
    <row r="37507" spans="1:8" customFormat="1" x14ac:dyDescent="0.25">
      <c r="A37507" t="str">
        <f>"724957"</f>
        <v>724957</v>
      </c>
      <c r="B37507" t="s">
        <v>2711</v>
      </c>
      <c r="C37507" t="s">
        <v>40</v>
      </c>
      <c r="D37507" s="21" t="s">
        <v>34</v>
      </c>
      <c r="E37507" s="21" t="s">
        <v>254</v>
      </c>
      <c r="F37507">
        <v>12720051</v>
      </c>
      <c r="G37507" t="s">
        <v>9476</v>
      </c>
      <c r="H37507" s="21">
        <v>488.67</v>
      </c>
    </row>
    <row r="37508" spans="1:8" customFormat="1" x14ac:dyDescent="0.25">
      <c r="A37508" t="str">
        <f>"9514385"</f>
        <v>9514385</v>
      </c>
      <c r="B37508" t="s">
        <v>3508</v>
      </c>
      <c r="C37508" t="s">
        <v>750</v>
      </c>
      <c r="D37508" s="21" t="s">
        <v>34</v>
      </c>
      <c r="E37508" s="21" t="s">
        <v>254</v>
      </c>
      <c r="F37508">
        <v>8950479</v>
      </c>
      <c r="G37508" t="s">
        <v>728</v>
      </c>
      <c r="H37508" s="21">
        <v>488.62</v>
      </c>
    </row>
    <row r="37509" spans="1:8" customFormat="1" x14ac:dyDescent="0.25">
      <c r="A37509" t="str">
        <f>"5734776"</f>
        <v>5734776</v>
      </c>
      <c r="B37509" t="s">
        <v>12510</v>
      </c>
      <c r="C37509" t="s">
        <v>204</v>
      </c>
      <c r="D37509" s="21" t="s">
        <v>34</v>
      </c>
      <c r="E37509" s="21" t="s">
        <v>35</v>
      </c>
      <c r="F37509">
        <v>6570199</v>
      </c>
      <c r="G37509" t="s">
        <v>5711</v>
      </c>
      <c r="H37509" s="21">
        <v>488.5</v>
      </c>
    </row>
    <row r="37510" spans="1:8" customFormat="1" x14ac:dyDescent="0.25">
      <c r="A37510" t="str">
        <f>"107393"</f>
        <v>107393</v>
      </c>
      <c r="B37510" t="s">
        <v>27557</v>
      </c>
      <c r="C37510" t="s">
        <v>37</v>
      </c>
      <c r="D37510" s="21" t="s">
        <v>34</v>
      </c>
      <c r="E37510" s="21" t="s">
        <v>35</v>
      </c>
      <c r="F37510">
        <v>6100016</v>
      </c>
      <c r="G37510" t="s">
        <v>7558</v>
      </c>
      <c r="H37510" s="21">
        <v>488.5</v>
      </c>
    </row>
    <row r="37511" spans="1:8" customFormat="1" x14ac:dyDescent="0.25">
      <c r="A37511" t="str">
        <f>"6225436"</f>
        <v>6225436</v>
      </c>
      <c r="B37511" t="s">
        <v>2058</v>
      </c>
      <c r="C37511" t="s">
        <v>486</v>
      </c>
      <c r="D37511" s="21" t="s">
        <v>34</v>
      </c>
      <c r="E37511" s="21" t="s">
        <v>35</v>
      </c>
      <c r="F37511">
        <v>7620007</v>
      </c>
      <c r="G37511" t="s">
        <v>2133</v>
      </c>
      <c r="H37511" s="21">
        <v>488.5</v>
      </c>
    </row>
    <row r="37512" spans="1:8" customFormat="1" x14ac:dyDescent="0.25">
      <c r="A37512" t="str">
        <f>"433776"</f>
        <v>433776</v>
      </c>
      <c r="B37512" t="s">
        <v>24634</v>
      </c>
      <c r="C37512" t="s">
        <v>239</v>
      </c>
      <c r="D37512" s="21" t="s">
        <v>34</v>
      </c>
      <c r="E37512" s="21" t="s">
        <v>254</v>
      </c>
      <c r="F37512">
        <v>1420305</v>
      </c>
      <c r="G37512" t="s">
        <v>13520</v>
      </c>
      <c r="H37512" s="21">
        <v>488.5</v>
      </c>
    </row>
    <row r="37513" spans="1:8" customFormat="1" x14ac:dyDescent="0.25">
      <c r="A37513" t="str">
        <f>"6230887"</f>
        <v>6230887</v>
      </c>
      <c r="B37513" t="s">
        <v>2218</v>
      </c>
      <c r="C37513" t="s">
        <v>33</v>
      </c>
      <c r="D37513" s="21" t="s">
        <v>34</v>
      </c>
      <c r="E37513" s="21" t="s">
        <v>71</v>
      </c>
      <c r="F37513">
        <v>7620058</v>
      </c>
      <c r="G37513" t="s">
        <v>602</v>
      </c>
      <c r="H37513" s="21">
        <v>488.5</v>
      </c>
    </row>
    <row r="37514" spans="1:8" customFormat="1" x14ac:dyDescent="0.25">
      <c r="A37514" t="str">
        <f>"1310248"</f>
        <v>1310248</v>
      </c>
      <c r="B37514" t="s">
        <v>7966</v>
      </c>
      <c r="C37514" t="s">
        <v>198</v>
      </c>
      <c r="D37514" s="21" t="s">
        <v>34</v>
      </c>
      <c r="E37514" s="21" t="s">
        <v>254</v>
      </c>
      <c r="F37514">
        <v>13130162</v>
      </c>
      <c r="G37514" t="s">
        <v>13411</v>
      </c>
      <c r="H37514" s="21">
        <v>488.5</v>
      </c>
    </row>
    <row r="37515" spans="1:8" customFormat="1" x14ac:dyDescent="0.25">
      <c r="A37515" t="str">
        <f>"4442287"</f>
        <v>4442287</v>
      </c>
      <c r="B37515" t="s">
        <v>650</v>
      </c>
      <c r="C37515" t="s">
        <v>24149</v>
      </c>
      <c r="D37515" s="21" t="s">
        <v>34</v>
      </c>
      <c r="E37515" s="21" t="s">
        <v>35</v>
      </c>
      <c r="F37515">
        <v>12440056</v>
      </c>
      <c r="G37515" t="s">
        <v>2037</v>
      </c>
      <c r="H37515" s="21">
        <v>488.5</v>
      </c>
    </row>
    <row r="37516" spans="1:8" customFormat="1" x14ac:dyDescent="0.25">
      <c r="A37516" t="str">
        <f>"4413507"</f>
        <v>4413507</v>
      </c>
      <c r="B37516" t="s">
        <v>9353</v>
      </c>
      <c r="C37516" t="s">
        <v>879</v>
      </c>
      <c r="D37516" s="21" t="s">
        <v>34</v>
      </c>
      <c r="E37516" s="21" t="s">
        <v>71</v>
      </c>
      <c r="F37516">
        <v>12440055</v>
      </c>
      <c r="G37516" t="s">
        <v>2979</v>
      </c>
      <c r="H37516" s="21">
        <v>488.5</v>
      </c>
    </row>
    <row r="37517" spans="1:8" customFormat="1" x14ac:dyDescent="0.25">
      <c r="A37517" t="str">
        <f>"5428110"</f>
        <v>5428110</v>
      </c>
      <c r="B37517" t="s">
        <v>21665</v>
      </c>
      <c r="C37517" t="s">
        <v>22676</v>
      </c>
      <c r="D37517" s="21" t="s">
        <v>34</v>
      </c>
      <c r="E37517" s="21" t="s">
        <v>35</v>
      </c>
      <c r="F37517">
        <v>6540197</v>
      </c>
      <c r="G37517" t="s">
        <v>16519</v>
      </c>
      <c r="H37517" s="21">
        <v>488.5</v>
      </c>
    </row>
    <row r="37518" spans="1:8" customFormat="1" x14ac:dyDescent="0.25">
      <c r="A37518" t="str">
        <f>"5982110"</f>
        <v>5982110</v>
      </c>
      <c r="B37518" t="s">
        <v>15150</v>
      </c>
      <c r="C37518" t="s">
        <v>249</v>
      </c>
      <c r="D37518" s="21" t="s">
        <v>34</v>
      </c>
      <c r="E37518" s="21" t="s">
        <v>71</v>
      </c>
      <c r="F37518">
        <v>7590034</v>
      </c>
      <c r="G37518" t="s">
        <v>17085</v>
      </c>
      <c r="H37518" s="21">
        <v>488.5</v>
      </c>
    </row>
    <row r="37519" spans="1:8" customFormat="1" x14ac:dyDescent="0.25">
      <c r="A37519" t="str">
        <f>"7843592"</f>
        <v>7843592</v>
      </c>
      <c r="B37519" t="s">
        <v>15702</v>
      </c>
      <c r="C37519" t="s">
        <v>55</v>
      </c>
      <c r="D37519" s="21" t="s">
        <v>34</v>
      </c>
      <c r="E37519" s="21" t="s">
        <v>71</v>
      </c>
      <c r="F37519">
        <v>8780660</v>
      </c>
      <c r="G37519" t="s">
        <v>2801</v>
      </c>
      <c r="H37519" s="21">
        <v>488.5</v>
      </c>
    </row>
    <row r="37520" spans="1:8" customFormat="1" x14ac:dyDescent="0.25">
      <c r="A37520" t="str">
        <f>"486576"</f>
        <v>486576</v>
      </c>
      <c r="B37520" t="s">
        <v>11150</v>
      </c>
      <c r="C37520" t="s">
        <v>1142</v>
      </c>
      <c r="D37520" s="21" t="s">
        <v>34</v>
      </c>
      <c r="E37520" s="21" t="s">
        <v>254</v>
      </c>
      <c r="F37520">
        <v>11480006</v>
      </c>
      <c r="G37520" t="s">
        <v>3317</v>
      </c>
      <c r="H37520" s="21">
        <v>488.5</v>
      </c>
    </row>
    <row r="37521" spans="1:8" customFormat="1" x14ac:dyDescent="0.25">
      <c r="A37521" t="str">
        <f>"85436"</f>
        <v>85436</v>
      </c>
      <c r="B37521" t="s">
        <v>18521</v>
      </c>
      <c r="C37521" t="s">
        <v>4267</v>
      </c>
      <c r="D37521" s="21" t="s">
        <v>34</v>
      </c>
      <c r="E37521" s="21" t="s">
        <v>254</v>
      </c>
      <c r="F37521">
        <v>12851012</v>
      </c>
      <c r="G37521" t="s">
        <v>1963</v>
      </c>
      <c r="H37521" s="21">
        <v>488.5</v>
      </c>
    </row>
    <row r="37522" spans="1:8" customFormat="1" x14ac:dyDescent="0.25">
      <c r="A37522" t="str">
        <f>"7221626"</f>
        <v>7221626</v>
      </c>
      <c r="B37522" t="s">
        <v>12577</v>
      </c>
      <c r="C37522" t="s">
        <v>1853</v>
      </c>
      <c r="D37522" s="21" t="s">
        <v>34</v>
      </c>
      <c r="E37522" s="21" t="s">
        <v>35</v>
      </c>
      <c r="F37522">
        <v>12720104</v>
      </c>
      <c r="G37522" t="s">
        <v>224</v>
      </c>
      <c r="H37522" s="21">
        <v>488.5</v>
      </c>
    </row>
    <row r="37523" spans="1:8" customFormat="1" x14ac:dyDescent="0.25">
      <c r="A37523" t="str">
        <f>"824259"</f>
        <v>824259</v>
      </c>
      <c r="B37523" t="s">
        <v>29449</v>
      </c>
      <c r="C37523" t="s">
        <v>33</v>
      </c>
      <c r="D37523" s="21" t="s">
        <v>34</v>
      </c>
      <c r="E37523" s="21" t="s">
        <v>71</v>
      </c>
      <c r="F37523">
        <v>11820026</v>
      </c>
      <c r="G37523" t="s">
        <v>9372</v>
      </c>
      <c r="H37523" s="21">
        <v>488.5</v>
      </c>
    </row>
    <row r="37524" spans="1:8" customFormat="1" x14ac:dyDescent="0.25">
      <c r="A37524" t="str">
        <f>"6946570"</f>
        <v>6946570</v>
      </c>
      <c r="B37524" t="s">
        <v>22926</v>
      </c>
      <c r="C37524" t="s">
        <v>1812</v>
      </c>
      <c r="D37524" s="21" t="s">
        <v>34</v>
      </c>
      <c r="E37524" s="21" t="s">
        <v>254</v>
      </c>
      <c r="F37524">
        <v>1690221</v>
      </c>
      <c r="G37524" t="s">
        <v>303</v>
      </c>
      <c r="H37524" s="21">
        <v>488.5</v>
      </c>
    </row>
    <row r="37525" spans="1:8" customFormat="1" x14ac:dyDescent="0.25">
      <c r="A37525" t="str">
        <f>"2715792"</f>
        <v>2715792</v>
      </c>
      <c r="B37525" t="s">
        <v>23912</v>
      </c>
      <c r="C37525" t="s">
        <v>1812</v>
      </c>
      <c r="D37525" s="21" t="s">
        <v>34</v>
      </c>
      <c r="E37525" s="21" t="s">
        <v>254</v>
      </c>
      <c r="F37525">
        <v>9270181</v>
      </c>
      <c r="G37525" t="s">
        <v>2952</v>
      </c>
      <c r="H37525" s="21">
        <v>488.5</v>
      </c>
    </row>
    <row r="37526" spans="1:8" customFormat="1" x14ac:dyDescent="0.25">
      <c r="A37526" t="str">
        <f>"6945716"</f>
        <v>6945716</v>
      </c>
      <c r="B37526" t="s">
        <v>5360</v>
      </c>
      <c r="C37526" t="s">
        <v>2276</v>
      </c>
      <c r="D37526" s="21" t="s">
        <v>34</v>
      </c>
      <c r="E37526" s="21" t="s">
        <v>35</v>
      </c>
      <c r="F37526">
        <v>1690041</v>
      </c>
      <c r="G37526" t="s">
        <v>7892</v>
      </c>
      <c r="H37526" s="21">
        <v>488.5</v>
      </c>
    </row>
    <row r="37527" spans="1:8" customFormat="1" x14ac:dyDescent="0.25">
      <c r="A37527" t="str">
        <f>"9146763"</f>
        <v>9146763</v>
      </c>
      <c r="B37527" t="s">
        <v>29450</v>
      </c>
      <c r="C37527" t="s">
        <v>198</v>
      </c>
      <c r="D37527" s="21" t="s">
        <v>34</v>
      </c>
      <c r="E37527" s="21" t="s">
        <v>71</v>
      </c>
      <c r="F37527">
        <v>8910310</v>
      </c>
      <c r="G37527" t="s">
        <v>6645</v>
      </c>
      <c r="H37527" s="21">
        <v>488.5</v>
      </c>
    </row>
    <row r="37528" spans="1:8" customFormat="1" x14ac:dyDescent="0.25">
      <c r="A37528" t="str">
        <f>"9144448"</f>
        <v>9144448</v>
      </c>
      <c r="B37528" t="s">
        <v>22404</v>
      </c>
      <c r="C37528" t="s">
        <v>22405</v>
      </c>
      <c r="D37528" s="21" t="s">
        <v>34</v>
      </c>
      <c r="E37528" s="21" t="s">
        <v>1089</v>
      </c>
      <c r="F37528">
        <v>8910042</v>
      </c>
      <c r="G37528" t="s">
        <v>4009</v>
      </c>
      <c r="H37528" s="21">
        <v>488.5</v>
      </c>
    </row>
    <row r="37529" spans="1:8" customFormat="1" x14ac:dyDescent="0.25">
      <c r="A37529" t="str">
        <f>"012008"</f>
        <v>012008</v>
      </c>
      <c r="B37529" t="s">
        <v>8404</v>
      </c>
      <c r="C37529" t="s">
        <v>720</v>
      </c>
      <c r="D37529" s="21" t="s">
        <v>34</v>
      </c>
      <c r="E37529" s="21" t="s">
        <v>1089</v>
      </c>
      <c r="F37529">
        <v>1010017</v>
      </c>
      <c r="G37529" t="s">
        <v>6502</v>
      </c>
      <c r="H37529" s="21">
        <v>488.5</v>
      </c>
    </row>
    <row r="37530" spans="1:8" customFormat="1" x14ac:dyDescent="0.25">
      <c r="A37530" t="str">
        <f>"4930996"</f>
        <v>4930996</v>
      </c>
      <c r="B37530" t="s">
        <v>24311</v>
      </c>
      <c r="C37530" t="s">
        <v>24312</v>
      </c>
      <c r="D37530" s="21" t="s">
        <v>34</v>
      </c>
      <c r="E37530" s="21" t="s">
        <v>35</v>
      </c>
      <c r="F37530">
        <v>12490066</v>
      </c>
      <c r="G37530" t="s">
        <v>1051</v>
      </c>
      <c r="H37530" s="21">
        <v>488.5</v>
      </c>
    </row>
    <row r="37531" spans="1:8" customFormat="1" x14ac:dyDescent="0.25">
      <c r="A37531" t="str">
        <f>"2718963"</f>
        <v>2718963</v>
      </c>
      <c r="B37531" t="s">
        <v>29451</v>
      </c>
      <c r="C37531" t="s">
        <v>109</v>
      </c>
      <c r="D37531" s="21" t="s">
        <v>34</v>
      </c>
      <c r="E37531" s="21" t="s">
        <v>71</v>
      </c>
      <c r="F37531">
        <v>9270187</v>
      </c>
      <c r="G37531" t="s">
        <v>6733</v>
      </c>
      <c r="H37531" s="21">
        <v>488.5</v>
      </c>
    </row>
    <row r="37532" spans="1:8" customFormat="1" x14ac:dyDescent="0.25">
      <c r="A37532" t="str">
        <f>"1319204"</f>
        <v>1319204</v>
      </c>
      <c r="B37532" t="s">
        <v>9176</v>
      </c>
      <c r="C37532" t="s">
        <v>2208</v>
      </c>
      <c r="D37532" s="21" t="s">
        <v>34</v>
      </c>
      <c r="E37532" s="21" t="s">
        <v>35</v>
      </c>
      <c r="F37532">
        <v>3350026</v>
      </c>
      <c r="G37532" t="s">
        <v>16468</v>
      </c>
      <c r="H37532" s="21">
        <v>488.5</v>
      </c>
    </row>
    <row r="37533" spans="1:8" customFormat="1" x14ac:dyDescent="0.25">
      <c r="A37533" t="str">
        <f>"4420907"</f>
        <v>4420907</v>
      </c>
      <c r="B37533" t="s">
        <v>2317</v>
      </c>
      <c r="C37533" t="s">
        <v>267</v>
      </c>
      <c r="D37533" s="21" t="s">
        <v>34</v>
      </c>
      <c r="E37533" s="21" t="s">
        <v>254</v>
      </c>
      <c r="F37533">
        <v>12440049</v>
      </c>
      <c r="G37533" t="s">
        <v>3339</v>
      </c>
      <c r="H37533" s="21">
        <v>488.5</v>
      </c>
    </row>
    <row r="37534" spans="1:8" customFormat="1" x14ac:dyDescent="0.25">
      <c r="A37534" t="str">
        <f>"9459718"</f>
        <v>9459718</v>
      </c>
      <c r="B37534" t="s">
        <v>4231</v>
      </c>
      <c r="C37534" t="s">
        <v>3098</v>
      </c>
      <c r="D37534" s="21" t="s">
        <v>34</v>
      </c>
      <c r="E37534" s="21" t="s">
        <v>35</v>
      </c>
      <c r="F37534">
        <v>8940052</v>
      </c>
      <c r="G37534" t="s">
        <v>190</v>
      </c>
      <c r="H37534" s="21">
        <v>488.5</v>
      </c>
    </row>
    <row r="37535" spans="1:8" customFormat="1" x14ac:dyDescent="0.25">
      <c r="A37535" t="str">
        <f>"8615128"</f>
        <v>8615128</v>
      </c>
      <c r="B37535" t="s">
        <v>10550</v>
      </c>
      <c r="C37535" t="s">
        <v>253</v>
      </c>
      <c r="D37535" s="21" t="s">
        <v>34</v>
      </c>
      <c r="E37535" s="21" t="s">
        <v>1089</v>
      </c>
      <c r="F37535">
        <v>10860006</v>
      </c>
      <c r="G37535" t="s">
        <v>3004</v>
      </c>
      <c r="H37535" s="21">
        <v>488.5</v>
      </c>
    </row>
    <row r="37536" spans="1:8" customFormat="1" x14ac:dyDescent="0.25">
      <c r="A37536" t="str">
        <f>"188810"</f>
        <v>188810</v>
      </c>
      <c r="B37536" t="s">
        <v>24024</v>
      </c>
      <c r="C37536" t="s">
        <v>1665</v>
      </c>
      <c r="D37536" s="21" t="s">
        <v>34</v>
      </c>
      <c r="E37536" s="21" t="s">
        <v>71</v>
      </c>
      <c r="F37536">
        <v>4180174</v>
      </c>
      <c r="G37536" t="s">
        <v>3046</v>
      </c>
      <c r="H37536" s="21">
        <v>488.5</v>
      </c>
    </row>
    <row r="37537" spans="1:8" customFormat="1" x14ac:dyDescent="0.25">
      <c r="A37537" t="str">
        <f>"9519772"</f>
        <v>9519772</v>
      </c>
      <c r="B37537" t="s">
        <v>10884</v>
      </c>
      <c r="C37537" t="s">
        <v>29452</v>
      </c>
      <c r="D37537" s="21" t="s">
        <v>34</v>
      </c>
      <c r="E37537" s="21" t="s">
        <v>254</v>
      </c>
      <c r="F37537">
        <v>11300025</v>
      </c>
      <c r="G37537" t="s">
        <v>1211</v>
      </c>
      <c r="H37537" s="21">
        <v>488.5</v>
      </c>
    </row>
    <row r="37538" spans="1:8" customFormat="1" x14ac:dyDescent="0.25">
      <c r="A37538" t="str">
        <f>"6211103"</f>
        <v>6211103</v>
      </c>
      <c r="B37538" t="s">
        <v>24651</v>
      </c>
      <c r="C37538" t="s">
        <v>528</v>
      </c>
      <c r="D37538" s="21" t="s">
        <v>34</v>
      </c>
      <c r="E37538" s="21" t="s">
        <v>71</v>
      </c>
      <c r="F37538">
        <v>7620029</v>
      </c>
      <c r="G37538" t="s">
        <v>7730</v>
      </c>
      <c r="H37538" s="21">
        <v>488.5</v>
      </c>
    </row>
    <row r="37539" spans="1:8" customFormat="1" x14ac:dyDescent="0.25">
      <c r="A37539" t="str">
        <f>"5726297"</f>
        <v>5726297</v>
      </c>
      <c r="B37539" t="s">
        <v>12841</v>
      </c>
      <c r="C37539" t="s">
        <v>171</v>
      </c>
      <c r="D37539" s="21" t="s">
        <v>34</v>
      </c>
      <c r="E37539" s="21" t="s">
        <v>71</v>
      </c>
      <c r="F37539">
        <v>6570159</v>
      </c>
      <c r="G37539" t="s">
        <v>7565</v>
      </c>
      <c r="H37539" s="21">
        <v>488.5</v>
      </c>
    </row>
    <row r="37540" spans="1:8" customFormat="1" x14ac:dyDescent="0.25">
      <c r="A37540" t="str">
        <f>"5973771"</f>
        <v>5973771</v>
      </c>
      <c r="B37540" t="s">
        <v>29453</v>
      </c>
      <c r="C37540" t="s">
        <v>87</v>
      </c>
      <c r="D37540" s="21" t="s">
        <v>34</v>
      </c>
      <c r="E37540" s="21" t="s">
        <v>35</v>
      </c>
      <c r="F37540">
        <v>7590027</v>
      </c>
      <c r="G37540" t="s">
        <v>629</v>
      </c>
      <c r="H37540" s="21">
        <v>488.38</v>
      </c>
    </row>
    <row r="37541" spans="1:8" customFormat="1" x14ac:dyDescent="0.25">
      <c r="A37541" t="str">
        <f>"7729250"</f>
        <v>7729250</v>
      </c>
      <c r="B37541" t="s">
        <v>14018</v>
      </c>
      <c r="C37541" t="s">
        <v>49</v>
      </c>
      <c r="D37541" s="21" t="s">
        <v>34</v>
      </c>
      <c r="E37541" s="21" t="s">
        <v>35</v>
      </c>
      <c r="F37541">
        <v>8771172</v>
      </c>
      <c r="G37541" t="s">
        <v>12662</v>
      </c>
      <c r="H37541" s="21">
        <v>488.38</v>
      </c>
    </row>
    <row r="37542" spans="1:8" customFormat="1" x14ac:dyDescent="0.25">
      <c r="A37542" t="str">
        <f>"5420965"</f>
        <v>5420965</v>
      </c>
      <c r="B37542" t="s">
        <v>1028</v>
      </c>
      <c r="C37542" t="s">
        <v>486</v>
      </c>
      <c r="D37542" s="21" t="s">
        <v>34</v>
      </c>
      <c r="E37542" s="21" t="s">
        <v>71</v>
      </c>
      <c r="F37542">
        <v>6540036</v>
      </c>
      <c r="G37542" t="s">
        <v>3612</v>
      </c>
      <c r="H37542" s="21">
        <v>488.17</v>
      </c>
    </row>
    <row r="37543" spans="1:8" customFormat="1" x14ac:dyDescent="0.25">
      <c r="A37543" t="str">
        <f>"592639"</f>
        <v>592639</v>
      </c>
      <c r="B37543" t="s">
        <v>4516</v>
      </c>
      <c r="C37543" t="s">
        <v>4842</v>
      </c>
      <c r="D37543" s="21" t="s">
        <v>34</v>
      </c>
      <c r="E37543" s="21" t="s">
        <v>1089</v>
      </c>
      <c r="F37543">
        <v>7590151</v>
      </c>
      <c r="G37543" t="s">
        <v>12236</v>
      </c>
      <c r="H37543" s="21">
        <v>488.17</v>
      </c>
    </row>
    <row r="37544" spans="1:8" customFormat="1" x14ac:dyDescent="0.25">
      <c r="A37544" t="str">
        <f>"4448348"</f>
        <v>4448348</v>
      </c>
      <c r="B37544" t="s">
        <v>16787</v>
      </c>
      <c r="C37544" t="s">
        <v>547</v>
      </c>
      <c r="D37544" s="21" t="s">
        <v>34</v>
      </c>
      <c r="E37544" s="21" t="s">
        <v>1089</v>
      </c>
      <c r="F37544">
        <v>12440239</v>
      </c>
      <c r="G37544" t="s">
        <v>11158</v>
      </c>
      <c r="H37544" s="21">
        <v>488.17</v>
      </c>
    </row>
    <row r="37545" spans="1:8" customFormat="1" x14ac:dyDescent="0.25">
      <c r="A37545" t="str">
        <f>"125338"</f>
        <v>125338</v>
      </c>
      <c r="B37545" t="s">
        <v>29454</v>
      </c>
      <c r="C37545" t="s">
        <v>305</v>
      </c>
      <c r="D37545" s="21" t="s">
        <v>34</v>
      </c>
      <c r="E37545" s="21" t="s">
        <v>35</v>
      </c>
      <c r="F37545">
        <v>11120004</v>
      </c>
      <c r="G37545" t="s">
        <v>2311</v>
      </c>
      <c r="H37545" s="21">
        <v>488</v>
      </c>
    </row>
    <row r="37546" spans="1:8" customFormat="1" x14ac:dyDescent="0.25">
      <c r="A37546" t="str">
        <f>"5935255"</f>
        <v>5935255</v>
      </c>
      <c r="B37546" t="s">
        <v>29455</v>
      </c>
      <c r="C37546" t="s">
        <v>822</v>
      </c>
      <c r="D37546" s="21" t="s">
        <v>34</v>
      </c>
      <c r="E37546" s="21" t="s">
        <v>35</v>
      </c>
      <c r="F37546">
        <v>7590100</v>
      </c>
      <c r="G37546" t="s">
        <v>1660</v>
      </c>
      <c r="H37546" s="21">
        <v>488</v>
      </c>
    </row>
    <row r="37547" spans="1:8" customFormat="1" x14ac:dyDescent="0.25">
      <c r="A37547" t="str">
        <f>"8316758"</f>
        <v>8316758</v>
      </c>
      <c r="B37547" t="s">
        <v>8884</v>
      </c>
      <c r="C37547" t="s">
        <v>1474</v>
      </c>
      <c r="D37547" s="21" t="s">
        <v>34</v>
      </c>
      <c r="E37547" s="21" t="s">
        <v>35</v>
      </c>
      <c r="F37547">
        <v>13830066</v>
      </c>
      <c r="G37547" t="s">
        <v>7148</v>
      </c>
      <c r="H37547" s="21">
        <v>488</v>
      </c>
    </row>
    <row r="37548" spans="1:8" customFormat="1" x14ac:dyDescent="0.25">
      <c r="A37548" t="str">
        <f>"5021116"</f>
        <v>5021116</v>
      </c>
      <c r="B37548" t="s">
        <v>29456</v>
      </c>
      <c r="C37548" t="s">
        <v>1119</v>
      </c>
      <c r="D37548" s="21" t="s">
        <v>34</v>
      </c>
      <c r="E37548" s="21" t="s">
        <v>71</v>
      </c>
      <c r="F37548">
        <v>9500058</v>
      </c>
      <c r="G37548" t="s">
        <v>1585</v>
      </c>
      <c r="H37548" s="21">
        <v>488</v>
      </c>
    </row>
    <row r="37549" spans="1:8" customFormat="1" x14ac:dyDescent="0.25">
      <c r="A37549" t="str">
        <f>"519675"</f>
        <v>519675</v>
      </c>
      <c r="B37549" t="s">
        <v>97</v>
      </c>
      <c r="C37549" t="s">
        <v>812</v>
      </c>
      <c r="D37549" s="21" t="s">
        <v>34</v>
      </c>
      <c r="E37549" s="21" t="s">
        <v>71</v>
      </c>
      <c r="F37549">
        <v>6510071</v>
      </c>
      <c r="G37549" t="s">
        <v>3031</v>
      </c>
      <c r="H37549" s="21">
        <v>488</v>
      </c>
    </row>
    <row r="37550" spans="1:8" customFormat="1" x14ac:dyDescent="0.25">
      <c r="A37550" t="str">
        <f>"6950684"</f>
        <v>6950684</v>
      </c>
      <c r="B37550" t="s">
        <v>29457</v>
      </c>
      <c r="C37550" t="s">
        <v>249</v>
      </c>
      <c r="D37550" s="21" t="s">
        <v>34</v>
      </c>
      <c r="E37550" s="21" t="s">
        <v>71</v>
      </c>
      <c r="F37550">
        <v>1690102</v>
      </c>
      <c r="G37550" t="s">
        <v>2081</v>
      </c>
      <c r="H37550" s="21">
        <v>488</v>
      </c>
    </row>
    <row r="37551" spans="1:8" customFormat="1" x14ac:dyDescent="0.25">
      <c r="A37551" t="str">
        <f>"9219400"</f>
        <v>9219400</v>
      </c>
      <c r="B37551" t="s">
        <v>3535</v>
      </c>
      <c r="C37551" t="s">
        <v>598</v>
      </c>
      <c r="D37551" s="21" t="s">
        <v>34</v>
      </c>
      <c r="E37551" s="21" t="s">
        <v>6185</v>
      </c>
      <c r="F37551">
        <v>8920075</v>
      </c>
      <c r="G37551" t="s">
        <v>317</v>
      </c>
      <c r="H37551" s="21">
        <v>488</v>
      </c>
    </row>
    <row r="37552" spans="1:8" customFormat="1" x14ac:dyDescent="0.25">
      <c r="A37552" t="str">
        <f>"534008"</f>
        <v>534008</v>
      </c>
      <c r="B37552" t="s">
        <v>5274</v>
      </c>
      <c r="C37552" t="s">
        <v>1110</v>
      </c>
      <c r="D37552" s="21" t="s">
        <v>34</v>
      </c>
      <c r="E37552" s="21" t="s">
        <v>1089</v>
      </c>
      <c r="F37552">
        <v>12530114</v>
      </c>
      <c r="G37552" t="s">
        <v>1342</v>
      </c>
      <c r="H37552" s="21">
        <v>488</v>
      </c>
    </row>
    <row r="37553" spans="1:8" customFormat="1" x14ac:dyDescent="0.25">
      <c r="A37553" t="str">
        <f>"5913349"</f>
        <v>5913349</v>
      </c>
      <c r="B37553" t="s">
        <v>3904</v>
      </c>
      <c r="C37553" t="s">
        <v>209</v>
      </c>
      <c r="D37553" s="21" t="s">
        <v>34</v>
      </c>
      <c r="E37553" s="21" t="s">
        <v>254</v>
      </c>
      <c r="F37553">
        <v>7590087</v>
      </c>
      <c r="G37553" t="s">
        <v>2112</v>
      </c>
      <c r="H37553" s="21">
        <v>488</v>
      </c>
    </row>
    <row r="37554" spans="1:8" customFormat="1" x14ac:dyDescent="0.25">
      <c r="A37554" t="str">
        <f>"6023505"</f>
        <v>6023505</v>
      </c>
      <c r="B37554" t="s">
        <v>4006</v>
      </c>
      <c r="C37554" t="s">
        <v>156</v>
      </c>
      <c r="D37554" s="21" t="s">
        <v>34</v>
      </c>
      <c r="E37554" s="21" t="s">
        <v>35</v>
      </c>
      <c r="F37554">
        <v>7600169</v>
      </c>
      <c r="G37554" t="s">
        <v>9768</v>
      </c>
      <c r="H37554" s="21">
        <v>488</v>
      </c>
    </row>
    <row r="37555" spans="1:8" customFormat="1" x14ac:dyDescent="0.25">
      <c r="A37555" t="str">
        <f>"3728096"</f>
        <v>3728096</v>
      </c>
      <c r="B37555" t="s">
        <v>6699</v>
      </c>
      <c r="C37555" t="s">
        <v>209</v>
      </c>
      <c r="D37555" s="21" t="s">
        <v>34</v>
      </c>
      <c r="E37555" s="21" t="s">
        <v>71</v>
      </c>
      <c r="F37555">
        <v>4370442</v>
      </c>
      <c r="G37555" t="s">
        <v>7869</v>
      </c>
      <c r="H37555" s="21">
        <v>488</v>
      </c>
    </row>
    <row r="37556" spans="1:8" customFormat="1" x14ac:dyDescent="0.25">
      <c r="A37556" t="str">
        <f>"5969666"</f>
        <v>5969666</v>
      </c>
      <c r="B37556" t="s">
        <v>22905</v>
      </c>
      <c r="C37556" t="s">
        <v>124</v>
      </c>
      <c r="D37556" s="21" t="s">
        <v>34</v>
      </c>
      <c r="E37556" s="21" t="s">
        <v>254</v>
      </c>
      <c r="F37556">
        <v>7590231</v>
      </c>
      <c r="G37556" t="s">
        <v>207</v>
      </c>
      <c r="H37556" s="21">
        <v>488</v>
      </c>
    </row>
    <row r="37557" spans="1:8" customFormat="1" x14ac:dyDescent="0.25">
      <c r="A37557" t="str">
        <f>"9249405"</f>
        <v>9249405</v>
      </c>
      <c r="B37557" t="s">
        <v>2964</v>
      </c>
      <c r="C37557" t="s">
        <v>23370</v>
      </c>
      <c r="D37557" s="21" t="s">
        <v>34</v>
      </c>
      <c r="E37557" s="21" t="s">
        <v>254</v>
      </c>
      <c r="F37557">
        <v>8920031</v>
      </c>
      <c r="G37557" t="s">
        <v>552</v>
      </c>
      <c r="H37557" s="21">
        <v>488</v>
      </c>
    </row>
    <row r="37558" spans="1:8" customFormat="1" x14ac:dyDescent="0.25">
      <c r="A37558" t="str">
        <f>"5621512"</f>
        <v>5621512</v>
      </c>
      <c r="B37558" t="s">
        <v>1241</v>
      </c>
      <c r="C37558" t="s">
        <v>415</v>
      </c>
      <c r="D37558" s="21" t="s">
        <v>34</v>
      </c>
      <c r="E37558" s="21" t="s">
        <v>254</v>
      </c>
      <c r="F37558">
        <v>3560006</v>
      </c>
      <c r="G37558" t="s">
        <v>2708</v>
      </c>
      <c r="H37558" s="21">
        <v>488</v>
      </c>
    </row>
    <row r="37559" spans="1:8" customFormat="1" x14ac:dyDescent="0.25">
      <c r="A37559" t="str">
        <f>"928796"</f>
        <v>928796</v>
      </c>
      <c r="B37559" t="s">
        <v>22635</v>
      </c>
      <c r="C37559" t="s">
        <v>65</v>
      </c>
      <c r="D37559" s="21" t="s">
        <v>34</v>
      </c>
      <c r="E37559" s="21" t="s">
        <v>71</v>
      </c>
      <c r="F37559">
        <v>8921099</v>
      </c>
      <c r="G37559" t="s">
        <v>11455</v>
      </c>
      <c r="H37559" s="21">
        <v>488</v>
      </c>
    </row>
    <row r="37560" spans="1:8" customFormat="1" x14ac:dyDescent="0.25">
      <c r="A37560" t="str">
        <f>"5432475"</f>
        <v>5432475</v>
      </c>
      <c r="B37560" t="s">
        <v>19312</v>
      </c>
      <c r="C37560" t="s">
        <v>40</v>
      </c>
      <c r="D37560" s="21" t="s">
        <v>34</v>
      </c>
      <c r="E37560" s="21" t="s">
        <v>71</v>
      </c>
      <c r="F37560">
        <v>6540001</v>
      </c>
      <c r="G37560" t="s">
        <v>5886</v>
      </c>
      <c r="H37560" s="21">
        <v>488</v>
      </c>
    </row>
    <row r="37561" spans="1:8" customFormat="1" x14ac:dyDescent="0.25">
      <c r="A37561" t="str">
        <f>"7729610"</f>
        <v>7729610</v>
      </c>
      <c r="B37561" t="s">
        <v>24681</v>
      </c>
      <c r="C37561" t="s">
        <v>415</v>
      </c>
      <c r="D37561" s="21" t="s">
        <v>34</v>
      </c>
      <c r="E37561" s="21" t="s">
        <v>254</v>
      </c>
      <c r="F37561">
        <v>8771200</v>
      </c>
      <c r="G37561" t="s">
        <v>5455</v>
      </c>
      <c r="H37561" s="21">
        <v>488</v>
      </c>
    </row>
    <row r="37562" spans="1:8" customFormat="1" x14ac:dyDescent="0.25">
      <c r="A37562" t="str">
        <f>"9251975"</f>
        <v>9251975</v>
      </c>
      <c r="B37562" t="s">
        <v>8817</v>
      </c>
      <c r="C37562" t="s">
        <v>462</v>
      </c>
      <c r="D37562" s="21" t="s">
        <v>34</v>
      </c>
      <c r="E37562" s="21" t="s">
        <v>35</v>
      </c>
      <c r="F37562">
        <v>8920025</v>
      </c>
      <c r="G37562" t="s">
        <v>159</v>
      </c>
      <c r="H37562" s="21">
        <v>488</v>
      </c>
    </row>
    <row r="37563" spans="1:8" customFormat="1" x14ac:dyDescent="0.25">
      <c r="A37563" t="str">
        <f>"6024059"</f>
        <v>6024059</v>
      </c>
      <c r="B37563" t="s">
        <v>10153</v>
      </c>
      <c r="C37563" t="s">
        <v>249</v>
      </c>
      <c r="D37563" s="21" t="s">
        <v>34</v>
      </c>
      <c r="E37563" s="21" t="s">
        <v>71</v>
      </c>
      <c r="F37563">
        <v>7600157</v>
      </c>
      <c r="G37563" t="s">
        <v>12263</v>
      </c>
      <c r="H37563" s="21">
        <v>488</v>
      </c>
    </row>
    <row r="37564" spans="1:8" customFormat="1" x14ac:dyDescent="0.25">
      <c r="A37564" t="str">
        <f>"037559"</f>
        <v>037559</v>
      </c>
      <c r="B37564" t="s">
        <v>15899</v>
      </c>
      <c r="C37564" t="s">
        <v>1914</v>
      </c>
      <c r="D37564" s="21" t="s">
        <v>34</v>
      </c>
      <c r="E37564" s="21" t="s">
        <v>71</v>
      </c>
      <c r="F37564">
        <v>1030082</v>
      </c>
      <c r="G37564" t="s">
        <v>26828</v>
      </c>
      <c r="H37564" s="21">
        <v>488</v>
      </c>
    </row>
    <row r="37565" spans="1:8" customFormat="1" x14ac:dyDescent="0.25">
      <c r="A37565" t="str">
        <f>"9129820"</f>
        <v>9129820</v>
      </c>
      <c r="B37565" t="s">
        <v>201</v>
      </c>
      <c r="C37565" t="s">
        <v>156</v>
      </c>
      <c r="D37565" s="21" t="s">
        <v>34</v>
      </c>
      <c r="E37565" s="21" t="s">
        <v>71</v>
      </c>
      <c r="F37565">
        <v>8910642</v>
      </c>
      <c r="G37565" t="s">
        <v>27027</v>
      </c>
      <c r="H37565" s="21">
        <v>488</v>
      </c>
    </row>
    <row r="37566" spans="1:8" customFormat="1" x14ac:dyDescent="0.25">
      <c r="A37566" t="str">
        <f>"899144"</f>
        <v>899144</v>
      </c>
      <c r="B37566" t="s">
        <v>29458</v>
      </c>
      <c r="C37566" t="s">
        <v>239</v>
      </c>
      <c r="D37566" s="21" t="s">
        <v>34</v>
      </c>
      <c r="E37566" s="21" t="s">
        <v>254</v>
      </c>
      <c r="F37566">
        <v>2890059</v>
      </c>
      <c r="G37566" t="s">
        <v>26651</v>
      </c>
      <c r="H37566" s="21">
        <v>488</v>
      </c>
    </row>
    <row r="37567" spans="1:8" customFormat="1" x14ac:dyDescent="0.25">
      <c r="A37567" t="str">
        <f>"693578"</f>
        <v>693578</v>
      </c>
      <c r="B37567" t="s">
        <v>22454</v>
      </c>
      <c r="C37567" t="s">
        <v>9714</v>
      </c>
      <c r="D37567" s="21" t="s">
        <v>34</v>
      </c>
      <c r="E37567" s="21" t="s">
        <v>1089</v>
      </c>
      <c r="F37567">
        <v>1690052</v>
      </c>
      <c r="G37567" t="s">
        <v>273</v>
      </c>
      <c r="H37567" s="21">
        <v>488</v>
      </c>
    </row>
    <row r="37568" spans="1:8" customFormat="1" x14ac:dyDescent="0.25">
      <c r="A37568" t="str">
        <f>"9224832"</f>
        <v>9224832</v>
      </c>
      <c r="B37568" t="s">
        <v>5597</v>
      </c>
      <c r="C37568" t="s">
        <v>498</v>
      </c>
      <c r="D37568" s="21" t="s">
        <v>34</v>
      </c>
      <c r="E37568" s="21" t="s">
        <v>71</v>
      </c>
      <c r="F37568">
        <v>8920066</v>
      </c>
      <c r="G37568" t="s">
        <v>4899</v>
      </c>
      <c r="H37568" s="21">
        <v>488</v>
      </c>
    </row>
    <row r="37569" spans="1:8" customFormat="1" x14ac:dyDescent="0.25">
      <c r="A37569" t="str">
        <f>"2720384"</f>
        <v>2720384</v>
      </c>
      <c r="B37569" t="s">
        <v>24302</v>
      </c>
      <c r="C37569" t="s">
        <v>2520</v>
      </c>
      <c r="D37569" s="21" t="s">
        <v>34</v>
      </c>
      <c r="E37569" s="21" t="s">
        <v>254</v>
      </c>
      <c r="F37569">
        <v>9270045</v>
      </c>
      <c r="G37569" t="s">
        <v>22742</v>
      </c>
      <c r="H37569" s="21">
        <v>488</v>
      </c>
    </row>
    <row r="37570" spans="1:8" customFormat="1" x14ac:dyDescent="0.25">
      <c r="A37570" t="str">
        <f>"808992"</f>
        <v>808992</v>
      </c>
      <c r="B37570" t="s">
        <v>24213</v>
      </c>
      <c r="C37570" t="s">
        <v>209</v>
      </c>
      <c r="D37570" s="21" t="s">
        <v>34</v>
      </c>
      <c r="E37570" s="21" t="s">
        <v>71</v>
      </c>
      <c r="F37570">
        <v>7800030</v>
      </c>
      <c r="G37570" t="s">
        <v>13589</v>
      </c>
      <c r="H37570" s="21">
        <v>488</v>
      </c>
    </row>
    <row r="37571" spans="1:8" customFormat="1" x14ac:dyDescent="0.25">
      <c r="A37571" t="str">
        <f>"9459762"</f>
        <v>9459762</v>
      </c>
      <c r="B37571" t="s">
        <v>29459</v>
      </c>
      <c r="C37571" t="s">
        <v>144</v>
      </c>
      <c r="D37571" s="21" t="s">
        <v>34</v>
      </c>
      <c r="E37571" s="21" t="s">
        <v>35</v>
      </c>
      <c r="F37571">
        <v>8940942</v>
      </c>
      <c r="G37571" t="s">
        <v>8505</v>
      </c>
      <c r="H37571" s="21">
        <v>488</v>
      </c>
    </row>
    <row r="37572" spans="1:8" customFormat="1" x14ac:dyDescent="0.25">
      <c r="A37572" t="str">
        <f>"562722"</f>
        <v>562722</v>
      </c>
      <c r="B37572" t="s">
        <v>24608</v>
      </c>
      <c r="C37572" t="s">
        <v>547</v>
      </c>
      <c r="D37572" s="21" t="s">
        <v>34</v>
      </c>
      <c r="E37572" s="21" t="s">
        <v>71</v>
      </c>
      <c r="F37572">
        <v>3560043</v>
      </c>
      <c r="G37572" t="s">
        <v>11635</v>
      </c>
      <c r="H37572" s="21">
        <v>488</v>
      </c>
    </row>
    <row r="37573" spans="1:8" customFormat="1" x14ac:dyDescent="0.25">
      <c r="A37573" t="str">
        <f>"6814013"</f>
        <v>6814013</v>
      </c>
      <c r="B37573" t="s">
        <v>23991</v>
      </c>
      <c r="C37573" t="s">
        <v>33</v>
      </c>
      <c r="D37573" s="21" t="s">
        <v>34</v>
      </c>
      <c r="E37573" s="21" t="s">
        <v>71</v>
      </c>
      <c r="F37573">
        <v>6680102</v>
      </c>
      <c r="G37573" t="s">
        <v>1232</v>
      </c>
      <c r="H37573" s="21">
        <v>488</v>
      </c>
    </row>
    <row r="37574" spans="1:8" customFormat="1" x14ac:dyDescent="0.25">
      <c r="A37574" t="str">
        <f>"4457589"</f>
        <v>4457589</v>
      </c>
      <c r="B37574" t="s">
        <v>29460</v>
      </c>
      <c r="C37574" t="s">
        <v>209</v>
      </c>
      <c r="D37574" s="21" t="s">
        <v>34</v>
      </c>
      <c r="E37574" s="21" t="s">
        <v>71</v>
      </c>
      <c r="F37574">
        <v>12440138</v>
      </c>
      <c r="G37574" t="s">
        <v>562</v>
      </c>
      <c r="H37574" s="21">
        <v>488</v>
      </c>
    </row>
    <row r="37575" spans="1:8" customFormat="1" x14ac:dyDescent="0.25">
      <c r="A37575" t="str">
        <f>"878092"</f>
        <v>878092</v>
      </c>
      <c r="B37575" t="s">
        <v>12315</v>
      </c>
      <c r="C37575" t="s">
        <v>33</v>
      </c>
      <c r="D37575" s="21" t="s">
        <v>34</v>
      </c>
      <c r="E37575" s="21" t="s">
        <v>35</v>
      </c>
      <c r="F37575">
        <v>10870101</v>
      </c>
      <c r="G37575" t="s">
        <v>6607</v>
      </c>
      <c r="H37575" s="21">
        <v>488</v>
      </c>
    </row>
    <row r="37576" spans="1:8" customFormat="1" x14ac:dyDescent="0.25">
      <c r="A37576" t="str">
        <f>"7640740"</f>
        <v>7640740</v>
      </c>
      <c r="B37576" t="s">
        <v>10900</v>
      </c>
      <c r="C37576" t="s">
        <v>29461</v>
      </c>
      <c r="D37576" s="21" t="s">
        <v>34</v>
      </c>
      <c r="E37576" s="21" t="s">
        <v>71</v>
      </c>
      <c r="F37576">
        <v>9760230</v>
      </c>
      <c r="G37576" t="s">
        <v>12511</v>
      </c>
      <c r="H37576" s="21">
        <v>488</v>
      </c>
    </row>
    <row r="37577" spans="1:8" customFormat="1" x14ac:dyDescent="0.25">
      <c r="A37577" t="str">
        <f>"4216425"</f>
        <v>4216425</v>
      </c>
      <c r="B37577" t="s">
        <v>29462</v>
      </c>
      <c r="C37577" t="s">
        <v>209</v>
      </c>
      <c r="D37577" s="21" t="s">
        <v>34</v>
      </c>
      <c r="E37577" s="21" t="s">
        <v>71</v>
      </c>
      <c r="F37577">
        <v>1420162</v>
      </c>
      <c r="G37577" t="s">
        <v>11209</v>
      </c>
      <c r="H37577" s="21">
        <v>488</v>
      </c>
    </row>
    <row r="37578" spans="1:8" customFormat="1" x14ac:dyDescent="0.25">
      <c r="A37578" t="str">
        <f>"478428"</f>
        <v>478428</v>
      </c>
      <c r="B37578" t="s">
        <v>13866</v>
      </c>
      <c r="C37578" t="s">
        <v>90</v>
      </c>
      <c r="D37578" s="21" t="s">
        <v>34</v>
      </c>
      <c r="E37578" s="21" t="s">
        <v>71</v>
      </c>
      <c r="F37578">
        <v>10190054</v>
      </c>
      <c r="G37578" t="s">
        <v>4189</v>
      </c>
      <c r="H37578" s="21">
        <v>488</v>
      </c>
    </row>
    <row r="37579" spans="1:8" customFormat="1" x14ac:dyDescent="0.25">
      <c r="A37579" t="str">
        <f>"2939031"</f>
        <v>2939031</v>
      </c>
      <c r="B37579" t="s">
        <v>16387</v>
      </c>
      <c r="C37579" t="s">
        <v>263</v>
      </c>
      <c r="D37579" s="21" t="s">
        <v>34</v>
      </c>
      <c r="E37579" s="21" t="s">
        <v>71</v>
      </c>
      <c r="F37579">
        <v>3290278</v>
      </c>
      <c r="G37579" t="s">
        <v>3649</v>
      </c>
      <c r="H37579" s="21">
        <v>488</v>
      </c>
    </row>
    <row r="37580" spans="1:8" customFormat="1" x14ac:dyDescent="0.25">
      <c r="A37580" t="str">
        <f>"491189"</f>
        <v>491189</v>
      </c>
      <c r="B37580" t="s">
        <v>5444</v>
      </c>
      <c r="C37580" t="s">
        <v>1025</v>
      </c>
      <c r="D37580" s="21" t="s">
        <v>34</v>
      </c>
      <c r="E37580" s="21" t="s">
        <v>1089</v>
      </c>
      <c r="F37580">
        <v>12490058</v>
      </c>
      <c r="G37580" t="s">
        <v>6582</v>
      </c>
      <c r="H37580" s="21">
        <v>488</v>
      </c>
    </row>
    <row r="37581" spans="1:8" customFormat="1" x14ac:dyDescent="0.25">
      <c r="A37581" t="str">
        <f>"79405"</f>
        <v>79405</v>
      </c>
      <c r="B37581" t="s">
        <v>22864</v>
      </c>
      <c r="C37581" t="s">
        <v>40</v>
      </c>
      <c r="D37581" s="21" t="s">
        <v>34</v>
      </c>
      <c r="E37581" s="21" t="s">
        <v>254</v>
      </c>
      <c r="F37581">
        <v>10790023</v>
      </c>
      <c r="G37581" t="s">
        <v>18120</v>
      </c>
      <c r="H37581" s="21">
        <v>488</v>
      </c>
    </row>
    <row r="37582" spans="1:8" customFormat="1" x14ac:dyDescent="0.25">
      <c r="A37582" t="str">
        <f>"3535762"</f>
        <v>3535762</v>
      </c>
      <c r="B37582" t="s">
        <v>10744</v>
      </c>
      <c r="C37582" t="s">
        <v>269</v>
      </c>
      <c r="D37582" s="21" t="s">
        <v>34</v>
      </c>
      <c r="E37582" s="21" t="s">
        <v>71</v>
      </c>
      <c r="F37582">
        <v>3350009</v>
      </c>
      <c r="G37582" t="s">
        <v>1823</v>
      </c>
      <c r="H37582" s="21">
        <v>488</v>
      </c>
    </row>
    <row r="37583" spans="1:8" customFormat="1" x14ac:dyDescent="0.25">
      <c r="A37583" t="str">
        <f>"5974975"</f>
        <v>5974975</v>
      </c>
      <c r="B37583" t="s">
        <v>21789</v>
      </c>
      <c r="C37583" t="s">
        <v>323</v>
      </c>
      <c r="D37583" s="21" t="s">
        <v>34</v>
      </c>
      <c r="E37583" s="21" t="s">
        <v>35</v>
      </c>
      <c r="F37583">
        <v>7590063</v>
      </c>
      <c r="G37583" t="s">
        <v>3426</v>
      </c>
      <c r="H37583" s="21">
        <v>488</v>
      </c>
    </row>
    <row r="37584" spans="1:8" customFormat="1" x14ac:dyDescent="0.25">
      <c r="A37584" t="str">
        <f>"4528205"</f>
        <v>4528205</v>
      </c>
      <c r="B37584" t="s">
        <v>8525</v>
      </c>
      <c r="C37584" t="s">
        <v>151</v>
      </c>
      <c r="D37584" s="21" t="s">
        <v>34</v>
      </c>
      <c r="E37584" s="21" t="s">
        <v>71</v>
      </c>
      <c r="F37584">
        <v>4450026</v>
      </c>
      <c r="G37584" t="s">
        <v>291</v>
      </c>
      <c r="H37584" s="21">
        <v>488</v>
      </c>
    </row>
    <row r="37585" spans="1:8" customFormat="1" x14ac:dyDescent="0.25">
      <c r="A37585" t="str">
        <f>"4938039"</f>
        <v>4938039</v>
      </c>
      <c r="B37585" t="s">
        <v>19428</v>
      </c>
      <c r="C37585" t="s">
        <v>109</v>
      </c>
      <c r="D37585" s="21" t="s">
        <v>34</v>
      </c>
      <c r="E37585" s="21" t="s">
        <v>71</v>
      </c>
      <c r="F37585">
        <v>12490064</v>
      </c>
      <c r="G37585" t="s">
        <v>8425</v>
      </c>
      <c r="H37585" s="21">
        <v>488</v>
      </c>
    </row>
    <row r="37586" spans="1:8" customFormat="1" x14ac:dyDescent="0.25">
      <c r="A37586" t="str">
        <f>"3529837"</f>
        <v>3529837</v>
      </c>
      <c r="B37586" t="s">
        <v>27245</v>
      </c>
      <c r="C37586" t="s">
        <v>62</v>
      </c>
      <c r="D37586" s="21" t="s">
        <v>34</v>
      </c>
      <c r="E37586" s="21" t="s">
        <v>35</v>
      </c>
      <c r="F37586">
        <v>3350047</v>
      </c>
      <c r="G37586" t="s">
        <v>9797</v>
      </c>
      <c r="H37586" s="21">
        <v>488</v>
      </c>
    </row>
    <row r="37587" spans="1:8" customFormat="1" x14ac:dyDescent="0.25">
      <c r="A37587" t="str">
        <f>"1426292"</f>
        <v>1426292</v>
      </c>
      <c r="B37587" t="s">
        <v>29463</v>
      </c>
      <c r="C37587" t="s">
        <v>3784</v>
      </c>
      <c r="D37587" s="21" t="s">
        <v>34</v>
      </c>
      <c r="E37587" s="21" t="s">
        <v>254</v>
      </c>
      <c r="F37587">
        <v>9140228</v>
      </c>
      <c r="G37587" t="s">
        <v>16772</v>
      </c>
      <c r="H37587" s="21">
        <v>488</v>
      </c>
    </row>
    <row r="37588" spans="1:8" customFormat="1" x14ac:dyDescent="0.25">
      <c r="A37588" t="str">
        <f>"6234144"</f>
        <v>6234144</v>
      </c>
      <c r="B37588" t="s">
        <v>4229</v>
      </c>
      <c r="C37588" t="s">
        <v>98</v>
      </c>
      <c r="D37588" s="21" t="s">
        <v>34</v>
      </c>
      <c r="E37588" s="21" t="s">
        <v>35</v>
      </c>
      <c r="F37588">
        <v>7620096</v>
      </c>
      <c r="G37588" t="s">
        <v>5829</v>
      </c>
      <c r="H37588" s="21">
        <v>488</v>
      </c>
    </row>
    <row r="37589" spans="1:8" customFormat="1" x14ac:dyDescent="0.25">
      <c r="A37589" t="str">
        <f>"4438558"</f>
        <v>4438558</v>
      </c>
      <c r="B37589" t="s">
        <v>8458</v>
      </c>
      <c r="C37589" t="s">
        <v>4238</v>
      </c>
      <c r="D37589" s="21" t="s">
        <v>34</v>
      </c>
      <c r="E37589" s="21" t="s">
        <v>35</v>
      </c>
      <c r="F37589">
        <v>12440002</v>
      </c>
      <c r="G37589" t="s">
        <v>47</v>
      </c>
      <c r="H37589" s="21">
        <v>488</v>
      </c>
    </row>
    <row r="37590" spans="1:8" customFormat="1" x14ac:dyDescent="0.25">
      <c r="A37590" t="str">
        <f>"7612959"</f>
        <v>7612959</v>
      </c>
      <c r="B37590" t="s">
        <v>24776</v>
      </c>
      <c r="C37590" t="s">
        <v>40</v>
      </c>
      <c r="D37590" s="21" t="s">
        <v>34</v>
      </c>
      <c r="E37590" s="21" t="s">
        <v>71</v>
      </c>
      <c r="F37590">
        <v>9760308</v>
      </c>
      <c r="G37590" t="s">
        <v>8917</v>
      </c>
      <c r="H37590" s="21">
        <v>488</v>
      </c>
    </row>
    <row r="37591" spans="1:8" customFormat="1" x14ac:dyDescent="0.25">
      <c r="A37591" t="str">
        <f>"4218703"</f>
        <v>4218703</v>
      </c>
      <c r="B37591" t="s">
        <v>23786</v>
      </c>
      <c r="C37591" t="s">
        <v>13312</v>
      </c>
      <c r="D37591" s="21" t="s">
        <v>34</v>
      </c>
      <c r="E37591" s="21" t="s">
        <v>71</v>
      </c>
      <c r="F37591">
        <v>1420140</v>
      </c>
      <c r="G37591" t="s">
        <v>10038</v>
      </c>
      <c r="H37591" s="21">
        <v>488</v>
      </c>
    </row>
    <row r="37592" spans="1:8" customFormat="1" x14ac:dyDescent="0.25">
      <c r="A37592" t="str">
        <f>"2219431"</f>
        <v>2219431</v>
      </c>
      <c r="B37592" t="s">
        <v>22962</v>
      </c>
      <c r="C37592" t="s">
        <v>40</v>
      </c>
      <c r="D37592" s="21" t="s">
        <v>34</v>
      </c>
      <c r="E37592" s="21" t="s">
        <v>254</v>
      </c>
      <c r="F37592">
        <v>3220011</v>
      </c>
      <c r="G37592" t="s">
        <v>27394</v>
      </c>
      <c r="H37592" s="21">
        <v>488</v>
      </c>
    </row>
    <row r="37593" spans="1:8" customFormat="1" x14ac:dyDescent="0.25">
      <c r="A37593" t="str">
        <f>"6019104"</f>
        <v>6019104</v>
      </c>
      <c r="B37593" t="s">
        <v>22040</v>
      </c>
      <c r="C37593" t="s">
        <v>817</v>
      </c>
      <c r="D37593" s="21" t="s">
        <v>34</v>
      </c>
      <c r="E37593" s="21" t="s">
        <v>254</v>
      </c>
      <c r="F37593">
        <v>7600134</v>
      </c>
      <c r="G37593" t="s">
        <v>8819</v>
      </c>
      <c r="H37593" s="21">
        <v>488</v>
      </c>
    </row>
    <row r="37594" spans="1:8" customFormat="1" x14ac:dyDescent="0.25">
      <c r="A37594" t="str">
        <f>"3535845"</f>
        <v>3535845</v>
      </c>
      <c r="B37594" t="s">
        <v>8395</v>
      </c>
      <c r="C37594" t="s">
        <v>2365</v>
      </c>
      <c r="D37594" s="21" t="s">
        <v>34</v>
      </c>
      <c r="E37594" s="21" t="s">
        <v>254</v>
      </c>
      <c r="F37594">
        <v>3350217</v>
      </c>
      <c r="G37594" t="s">
        <v>6797</v>
      </c>
      <c r="H37594" s="21">
        <v>488</v>
      </c>
    </row>
    <row r="37595" spans="1:8" customFormat="1" x14ac:dyDescent="0.25">
      <c r="A37595" t="str">
        <f>"3316271"</f>
        <v>3316271</v>
      </c>
      <c r="B37595" t="s">
        <v>2946</v>
      </c>
      <c r="C37595" t="s">
        <v>55</v>
      </c>
      <c r="D37595" s="21" t="s">
        <v>34</v>
      </c>
      <c r="E37595" s="21" t="s">
        <v>71</v>
      </c>
      <c r="F37595">
        <v>10330036</v>
      </c>
      <c r="G37595" t="s">
        <v>6209</v>
      </c>
      <c r="H37595" s="21">
        <v>488</v>
      </c>
    </row>
    <row r="37596" spans="1:8" customFormat="1" x14ac:dyDescent="0.25">
      <c r="A37596" t="str">
        <f>"6944242"</f>
        <v>6944242</v>
      </c>
      <c r="B37596" t="s">
        <v>22782</v>
      </c>
      <c r="C37596" t="s">
        <v>55</v>
      </c>
      <c r="D37596" s="21" t="s">
        <v>34</v>
      </c>
      <c r="E37596" s="21" t="s">
        <v>71</v>
      </c>
      <c r="F37596">
        <v>1690196</v>
      </c>
      <c r="G37596" t="s">
        <v>6149</v>
      </c>
      <c r="H37596" s="21">
        <v>488</v>
      </c>
    </row>
    <row r="37597" spans="1:8" customFormat="1" x14ac:dyDescent="0.25">
      <c r="A37597" t="str">
        <f>"7524999"</f>
        <v>7524999</v>
      </c>
      <c r="B37597" t="s">
        <v>29464</v>
      </c>
      <c r="C37597" t="s">
        <v>547</v>
      </c>
      <c r="D37597" s="21" t="s">
        <v>34</v>
      </c>
      <c r="E37597" s="21" t="s">
        <v>71</v>
      </c>
      <c r="F37597">
        <v>8751231</v>
      </c>
      <c r="G37597" t="s">
        <v>12843</v>
      </c>
      <c r="H37597" s="21">
        <v>488</v>
      </c>
    </row>
    <row r="37598" spans="1:8" customFormat="1" x14ac:dyDescent="0.25">
      <c r="A37598" t="str">
        <f>"1320110"</f>
        <v>1320110</v>
      </c>
      <c r="B37598" t="s">
        <v>23333</v>
      </c>
      <c r="C37598" t="s">
        <v>462</v>
      </c>
      <c r="D37598" s="21" t="s">
        <v>34</v>
      </c>
      <c r="E37598" s="21" t="s">
        <v>35</v>
      </c>
      <c r="F37598">
        <v>13130133</v>
      </c>
      <c r="G37598" t="s">
        <v>12333</v>
      </c>
      <c r="H37598" s="21">
        <v>488</v>
      </c>
    </row>
    <row r="37599" spans="1:8" customFormat="1" x14ac:dyDescent="0.25">
      <c r="A37599" t="str">
        <f>"9246281"</f>
        <v>9246281</v>
      </c>
      <c r="B37599" t="s">
        <v>1451</v>
      </c>
      <c r="C37599" t="s">
        <v>328</v>
      </c>
      <c r="D37599" s="21" t="s">
        <v>34</v>
      </c>
      <c r="E37599" s="21" t="s">
        <v>35</v>
      </c>
      <c r="F37599">
        <v>8921190</v>
      </c>
      <c r="G37599" t="s">
        <v>810</v>
      </c>
      <c r="H37599" s="21">
        <v>488</v>
      </c>
    </row>
    <row r="37600" spans="1:8" customFormat="1" x14ac:dyDescent="0.25">
      <c r="A37600" t="str">
        <f>"3114759"</f>
        <v>3114759</v>
      </c>
      <c r="B37600" t="s">
        <v>29465</v>
      </c>
      <c r="C37600" t="s">
        <v>109</v>
      </c>
      <c r="D37600" s="21" t="s">
        <v>34</v>
      </c>
      <c r="E37600" s="21" t="s">
        <v>35</v>
      </c>
      <c r="F37600">
        <v>11310124</v>
      </c>
      <c r="G37600" t="s">
        <v>7977</v>
      </c>
      <c r="H37600" s="21">
        <v>488</v>
      </c>
    </row>
    <row r="37601" spans="1:8" customFormat="1" x14ac:dyDescent="0.25">
      <c r="A37601" t="str">
        <f>"4446467"</f>
        <v>4446467</v>
      </c>
      <c r="B37601" t="s">
        <v>14394</v>
      </c>
      <c r="C37601" t="s">
        <v>130</v>
      </c>
      <c r="D37601" s="21" t="s">
        <v>34</v>
      </c>
      <c r="E37601" s="21" t="s">
        <v>35</v>
      </c>
      <c r="F37601">
        <v>12440039</v>
      </c>
      <c r="G37601" t="s">
        <v>9650</v>
      </c>
      <c r="H37601" s="21">
        <v>488</v>
      </c>
    </row>
    <row r="37602" spans="1:8" customFormat="1" x14ac:dyDescent="0.25">
      <c r="A37602" t="str">
        <f>"2939727"</f>
        <v>2939727</v>
      </c>
      <c r="B37602" t="s">
        <v>29466</v>
      </c>
      <c r="C37602" t="s">
        <v>12868</v>
      </c>
      <c r="D37602" s="21" t="s">
        <v>34</v>
      </c>
      <c r="E37602" s="21" t="s">
        <v>71</v>
      </c>
      <c r="F37602">
        <v>3290081</v>
      </c>
      <c r="G37602" t="s">
        <v>3819</v>
      </c>
      <c r="H37602" s="21">
        <v>488</v>
      </c>
    </row>
    <row r="37603" spans="1:8" customFormat="1" x14ac:dyDescent="0.25">
      <c r="A37603" t="str">
        <f>"7856172"</f>
        <v>7856172</v>
      </c>
      <c r="B37603" t="s">
        <v>9362</v>
      </c>
      <c r="C37603" t="s">
        <v>2479</v>
      </c>
      <c r="D37603" s="21" t="s">
        <v>34</v>
      </c>
      <c r="E37603" s="21" t="s">
        <v>254</v>
      </c>
      <c r="F37603">
        <v>8780674</v>
      </c>
      <c r="G37603" t="s">
        <v>26585</v>
      </c>
      <c r="H37603" s="21">
        <v>488</v>
      </c>
    </row>
    <row r="37604" spans="1:8" customFormat="1" x14ac:dyDescent="0.25">
      <c r="A37604" t="str">
        <f>"752067"</f>
        <v>752067</v>
      </c>
      <c r="B37604" t="s">
        <v>5107</v>
      </c>
      <c r="C37604" t="s">
        <v>3073</v>
      </c>
      <c r="D37604" s="21" t="s">
        <v>34</v>
      </c>
      <c r="E37604" s="21" t="s">
        <v>254</v>
      </c>
      <c r="F37604">
        <v>8750141</v>
      </c>
      <c r="G37604" t="s">
        <v>1514</v>
      </c>
      <c r="H37604" s="21">
        <v>488</v>
      </c>
    </row>
    <row r="37605" spans="1:8" customFormat="1" x14ac:dyDescent="0.25">
      <c r="A37605" t="str">
        <f>"6724912"</f>
        <v>6724912</v>
      </c>
      <c r="B37605" t="s">
        <v>1479</v>
      </c>
      <c r="C37605" t="s">
        <v>1146</v>
      </c>
      <c r="D37605" s="21" t="s">
        <v>34</v>
      </c>
      <c r="E37605" s="21" t="s">
        <v>71</v>
      </c>
      <c r="F37605">
        <v>6670160</v>
      </c>
      <c r="G37605" t="s">
        <v>908</v>
      </c>
      <c r="H37605" s="21">
        <v>488</v>
      </c>
    </row>
    <row r="37606" spans="1:8" customFormat="1" x14ac:dyDescent="0.25">
      <c r="A37606" t="str">
        <f>"9137501"</f>
        <v>9137501</v>
      </c>
      <c r="B37606" t="s">
        <v>24646</v>
      </c>
      <c r="C37606" t="s">
        <v>249</v>
      </c>
      <c r="D37606" s="21" t="s">
        <v>34</v>
      </c>
      <c r="E37606" s="21" t="s">
        <v>71</v>
      </c>
      <c r="F37606">
        <v>8910876</v>
      </c>
      <c r="G37606" t="s">
        <v>1721</v>
      </c>
      <c r="H37606" s="21">
        <v>487.75</v>
      </c>
    </row>
    <row r="37607" spans="1:8" customFormat="1" x14ac:dyDescent="0.25">
      <c r="A37607" t="str">
        <f>"846780"</f>
        <v>846780</v>
      </c>
      <c r="B37607" t="s">
        <v>23327</v>
      </c>
      <c r="C37607" t="s">
        <v>114</v>
      </c>
      <c r="D37607" s="21" t="s">
        <v>34</v>
      </c>
      <c r="E37607" s="21" t="s">
        <v>254</v>
      </c>
      <c r="F37607">
        <v>13840058</v>
      </c>
      <c r="G37607" t="s">
        <v>7032</v>
      </c>
      <c r="H37607" s="21">
        <v>487.67</v>
      </c>
    </row>
    <row r="37608" spans="1:8" customFormat="1" x14ac:dyDescent="0.25">
      <c r="A37608" t="str">
        <f>"60974"</f>
        <v>60974</v>
      </c>
      <c r="B37608" t="s">
        <v>21835</v>
      </c>
      <c r="C37608" t="s">
        <v>879</v>
      </c>
      <c r="D37608" s="21" t="s">
        <v>34</v>
      </c>
      <c r="E37608" s="21" t="s">
        <v>254</v>
      </c>
      <c r="F37608">
        <v>7600041</v>
      </c>
      <c r="G37608" t="s">
        <v>8033</v>
      </c>
      <c r="H37608" s="21">
        <v>487.67</v>
      </c>
    </row>
    <row r="37609" spans="1:8" customFormat="1" x14ac:dyDescent="0.25">
      <c r="A37609" t="str">
        <f>"5326414"</f>
        <v>5326414</v>
      </c>
      <c r="B37609" t="s">
        <v>13224</v>
      </c>
      <c r="C37609" t="s">
        <v>55</v>
      </c>
      <c r="D37609" s="21" t="s">
        <v>34</v>
      </c>
      <c r="E37609" s="21" t="s">
        <v>35</v>
      </c>
      <c r="F37609">
        <v>12530065</v>
      </c>
      <c r="G37609" t="s">
        <v>10009</v>
      </c>
      <c r="H37609" s="21">
        <v>487.67</v>
      </c>
    </row>
    <row r="37610" spans="1:8" customFormat="1" x14ac:dyDescent="0.25">
      <c r="A37610" t="str">
        <f>"6226478"</f>
        <v>6226478</v>
      </c>
      <c r="B37610" t="s">
        <v>2405</v>
      </c>
      <c r="C37610" t="s">
        <v>174</v>
      </c>
      <c r="D37610" s="21" t="s">
        <v>34</v>
      </c>
      <c r="E37610" s="21" t="s">
        <v>35</v>
      </c>
      <c r="F37610">
        <v>7620169</v>
      </c>
      <c r="G37610" t="s">
        <v>7116</v>
      </c>
      <c r="H37610" s="21">
        <v>487.67</v>
      </c>
    </row>
    <row r="37611" spans="1:8" customFormat="1" x14ac:dyDescent="0.25">
      <c r="A37611" t="str">
        <f>"9142528"</f>
        <v>9142528</v>
      </c>
      <c r="B37611" t="s">
        <v>5345</v>
      </c>
      <c r="C37611" t="s">
        <v>187</v>
      </c>
      <c r="D37611" s="21" t="s">
        <v>34</v>
      </c>
      <c r="E37611" s="21" t="s">
        <v>35</v>
      </c>
      <c r="F37611">
        <v>8910042</v>
      </c>
      <c r="G37611" t="s">
        <v>4009</v>
      </c>
      <c r="H37611" s="21">
        <v>487.67</v>
      </c>
    </row>
    <row r="37612" spans="1:8" customFormat="1" x14ac:dyDescent="0.25">
      <c r="A37612" t="str">
        <f>"3528712"</f>
        <v>3528712</v>
      </c>
      <c r="B37612" t="s">
        <v>9480</v>
      </c>
      <c r="C37612" t="s">
        <v>263</v>
      </c>
      <c r="D37612" s="21" t="s">
        <v>34</v>
      </c>
      <c r="E37612" s="21" t="s">
        <v>71</v>
      </c>
      <c r="F37612">
        <v>3350213</v>
      </c>
      <c r="G37612" t="s">
        <v>13671</v>
      </c>
      <c r="H37612" s="21">
        <v>487.67</v>
      </c>
    </row>
    <row r="37613" spans="1:8" customFormat="1" x14ac:dyDescent="0.25">
      <c r="A37613" t="str">
        <f>"878176"</f>
        <v>878176</v>
      </c>
      <c r="B37613" t="s">
        <v>22106</v>
      </c>
      <c r="C37613" t="s">
        <v>171</v>
      </c>
      <c r="D37613" s="21" t="s">
        <v>34</v>
      </c>
      <c r="E37613" s="21" t="s">
        <v>35</v>
      </c>
      <c r="F37613">
        <v>10870101</v>
      </c>
      <c r="G37613" t="s">
        <v>6607</v>
      </c>
      <c r="H37613" s="21">
        <v>487.62</v>
      </c>
    </row>
    <row r="37614" spans="1:8" customFormat="1" x14ac:dyDescent="0.25">
      <c r="A37614" t="str">
        <f>"9445482"</f>
        <v>9445482</v>
      </c>
      <c r="B37614" t="s">
        <v>13739</v>
      </c>
      <c r="C37614" t="s">
        <v>171</v>
      </c>
      <c r="D37614" s="21" t="s">
        <v>34</v>
      </c>
      <c r="E37614" s="21" t="s">
        <v>35</v>
      </c>
      <c r="F37614">
        <v>8940458</v>
      </c>
      <c r="G37614" t="s">
        <v>26774</v>
      </c>
      <c r="H37614" s="21">
        <v>487.54</v>
      </c>
    </row>
    <row r="37615" spans="1:8" customFormat="1" x14ac:dyDescent="0.25">
      <c r="A37615" t="str">
        <f>"9246269"</f>
        <v>9246269</v>
      </c>
      <c r="B37615" t="s">
        <v>15002</v>
      </c>
      <c r="C37615" t="s">
        <v>2546</v>
      </c>
      <c r="D37615" s="21" t="s">
        <v>34</v>
      </c>
      <c r="E37615" s="21" t="s">
        <v>71</v>
      </c>
      <c r="F37615">
        <v>8921458</v>
      </c>
      <c r="G37615" t="s">
        <v>162</v>
      </c>
      <c r="H37615" s="21">
        <v>487.5</v>
      </c>
    </row>
    <row r="37616" spans="1:8" customFormat="1" x14ac:dyDescent="0.25">
      <c r="A37616" t="str">
        <f>"4217661"</f>
        <v>4217661</v>
      </c>
      <c r="B37616" t="s">
        <v>23978</v>
      </c>
      <c r="C37616" t="s">
        <v>547</v>
      </c>
      <c r="D37616" s="21" t="s">
        <v>34</v>
      </c>
      <c r="E37616" s="21" t="s">
        <v>254</v>
      </c>
      <c r="F37616">
        <v>1420013</v>
      </c>
      <c r="G37616" t="s">
        <v>2013</v>
      </c>
      <c r="H37616" s="21">
        <v>487.5</v>
      </c>
    </row>
    <row r="37617" spans="1:8" customFormat="1" x14ac:dyDescent="0.25">
      <c r="A37617" t="str">
        <f>"153938"</f>
        <v>153938</v>
      </c>
      <c r="B37617" t="s">
        <v>17295</v>
      </c>
      <c r="C37617" t="s">
        <v>130</v>
      </c>
      <c r="D37617" s="21" t="s">
        <v>34</v>
      </c>
      <c r="E37617" s="21" t="s">
        <v>71</v>
      </c>
      <c r="F37617">
        <v>1150278</v>
      </c>
      <c r="G37617" t="s">
        <v>16041</v>
      </c>
      <c r="H37617" s="21">
        <v>487.5</v>
      </c>
    </row>
    <row r="37618" spans="1:8" customFormat="1" x14ac:dyDescent="0.25">
      <c r="A37618" t="str">
        <f>"186996"</f>
        <v>186996</v>
      </c>
      <c r="B37618" t="s">
        <v>24178</v>
      </c>
      <c r="C37618" t="s">
        <v>55</v>
      </c>
      <c r="D37618" s="21" t="s">
        <v>34</v>
      </c>
      <c r="E37618" s="21" t="s">
        <v>254</v>
      </c>
      <c r="F37618">
        <v>4180726</v>
      </c>
      <c r="G37618" t="s">
        <v>10998</v>
      </c>
      <c r="H37618" s="21">
        <v>487.5</v>
      </c>
    </row>
    <row r="37619" spans="1:8" customFormat="1" x14ac:dyDescent="0.25">
      <c r="A37619" t="str">
        <f>"1716814"</f>
        <v>1716814</v>
      </c>
      <c r="B37619" t="s">
        <v>2438</v>
      </c>
      <c r="C37619" t="s">
        <v>33</v>
      </c>
      <c r="D37619" s="21" t="s">
        <v>34</v>
      </c>
      <c r="E37619" s="21" t="s">
        <v>71</v>
      </c>
      <c r="F37619">
        <v>10170064</v>
      </c>
      <c r="G37619" t="s">
        <v>1900</v>
      </c>
      <c r="H37619" s="21">
        <v>487.5</v>
      </c>
    </row>
    <row r="37620" spans="1:8" customFormat="1" x14ac:dyDescent="0.25">
      <c r="A37620" t="str">
        <f>"8610930"</f>
        <v>8610930</v>
      </c>
      <c r="B37620" t="s">
        <v>22476</v>
      </c>
      <c r="C37620" t="s">
        <v>288</v>
      </c>
      <c r="D37620" s="21" t="s">
        <v>34</v>
      </c>
      <c r="E37620" s="21" t="s">
        <v>35</v>
      </c>
      <c r="F37620">
        <v>10860017</v>
      </c>
      <c r="G37620" t="s">
        <v>2439</v>
      </c>
      <c r="H37620" s="21">
        <v>487.5</v>
      </c>
    </row>
    <row r="37621" spans="1:8" customFormat="1" x14ac:dyDescent="0.25">
      <c r="A37621" t="str">
        <f>"7639297"</f>
        <v>7639297</v>
      </c>
      <c r="B37621" t="s">
        <v>22856</v>
      </c>
      <c r="C37621" t="s">
        <v>33</v>
      </c>
      <c r="D37621" s="21" t="s">
        <v>34</v>
      </c>
      <c r="E37621" s="21" t="s">
        <v>35</v>
      </c>
      <c r="F37621">
        <v>9760046</v>
      </c>
      <c r="G37621" t="s">
        <v>14625</v>
      </c>
      <c r="H37621" s="21">
        <v>487.5</v>
      </c>
    </row>
    <row r="37622" spans="1:8" customFormat="1" x14ac:dyDescent="0.25">
      <c r="A37622" t="str">
        <f>"6015072"</f>
        <v>6015072</v>
      </c>
      <c r="B37622" t="s">
        <v>3952</v>
      </c>
      <c r="C37622" t="s">
        <v>55</v>
      </c>
      <c r="D37622" s="21" t="s">
        <v>34</v>
      </c>
      <c r="E37622" s="21" t="s">
        <v>35</v>
      </c>
      <c r="F37622">
        <v>6680120</v>
      </c>
      <c r="G37622" t="s">
        <v>11122</v>
      </c>
      <c r="H37622" s="21">
        <v>487.5</v>
      </c>
    </row>
    <row r="37623" spans="1:8" customFormat="1" x14ac:dyDescent="0.25">
      <c r="A37623" t="str">
        <f>"3536934"</f>
        <v>3536934</v>
      </c>
      <c r="B37623" t="s">
        <v>7168</v>
      </c>
      <c r="C37623" t="s">
        <v>249</v>
      </c>
      <c r="D37623" s="21" t="s">
        <v>34</v>
      </c>
      <c r="E37623" s="21" t="s">
        <v>71</v>
      </c>
      <c r="F37623">
        <v>3350209</v>
      </c>
      <c r="G37623" t="s">
        <v>3023</v>
      </c>
      <c r="H37623" s="21">
        <v>487.5</v>
      </c>
    </row>
    <row r="37624" spans="1:8" customFormat="1" x14ac:dyDescent="0.25">
      <c r="A37624" t="str">
        <f>"788861"</f>
        <v>788861</v>
      </c>
      <c r="B37624" t="s">
        <v>12637</v>
      </c>
      <c r="C37624" t="s">
        <v>202</v>
      </c>
      <c r="D37624" s="21" t="s">
        <v>34</v>
      </c>
      <c r="E37624" s="21" t="s">
        <v>6185</v>
      </c>
      <c r="F37624">
        <v>8780080</v>
      </c>
      <c r="G37624" t="s">
        <v>865</v>
      </c>
      <c r="H37624" s="21">
        <v>487.5</v>
      </c>
    </row>
    <row r="37625" spans="1:8" customFormat="1" x14ac:dyDescent="0.25">
      <c r="A37625" t="str">
        <f>"461551"</f>
        <v>461551</v>
      </c>
      <c r="B37625" t="s">
        <v>22341</v>
      </c>
      <c r="C37625" t="s">
        <v>198</v>
      </c>
      <c r="D37625" s="21" t="s">
        <v>34</v>
      </c>
      <c r="E37625" s="21" t="s">
        <v>254</v>
      </c>
      <c r="F37625">
        <v>11460029</v>
      </c>
      <c r="G37625" t="s">
        <v>10606</v>
      </c>
      <c r="H37625" s="21">
        <v>487.5</v>
      </c>
    </row>
    <row r="37626" spans="1:8" customFormat="1" x14ac:dyDescent="0.25">
      <c r="A37626" t="str">
        <f>"5975753"</f>
        <v>5975753</v>
      </c>
      <c r="B37626" t="s">
        <v>24740</v>
      </c>
      <c r="C37626" t="s">
        <v>60</v>
      </c>
      <c r="D37626" s="21" t="s">
        <v>34</v>
      </c>
      <c r="E37626" s="21" t="s">
        <v>35</v>
      </c>
      <c r="F37626">
        <v>7590327</v>
      </c>
      <c r="G37626" t="s">
        <v>2330</v>
      </c>
      <c r="H37626" s="21">
        <v>487.5</v>
      </c>
    </row>
    <row r="37627" spans="1:8" customFormat="1" x14ac:dyDescent="0.25">
      <c r="A37627" t="str">
        <f>"5962919"</f>
        <v>5962919</v>
      </c>
      <c r="B37627" t="s">
        <v>15134</v>
      </c>
      <c r="C37627" t="s">
        <v>598</v>
      </c>
      <c r="D37627" s="21" t="s">
        <v>34</v>
      </c>
      <c r="E37627" s="21" t="s">
        <v>254</v>
      </c>
      <c r="F37627">
        <v>7590123</v>
      </c>
      <c r="G37627" t="s">
        <v>85</v>
      </c>
      <c r="H37627" s="21">
        <v>487.5</v>
      </c>
    </row>
    <row r="37628" spans="1:8" customFormat="1" x14ac:dyDescent="0.25">
      <c r="A37628" t="str">
        <f>"9243039"</f>
        <v>9243039</v>
      </c>
      <c r="B37628" t="s">
        <v>1333</v>
      </c>
      <c r="C37628" t="s">
        <v>2529</v>
      </c>
      <c r="D37628" s="21" t="s">
        <v>34</v>
      </c>
      <c r="E37628" s="21" t="s">
        <v>254</v>
      </c>
      <c r="F37628">
        <v>8920151</v>
      </c>
      <c r="G37628" t="s">
        <v>1434</v>
      </c>
      <c r="H37628" s="21">
        <v>487.5</v>
      </c>
    </row>
    <row r="37629" spans="1:8" customFormat="1" x14ac:dyDescent="0.25">
      <c r="A37629" t="str">
        <f>"2935780"</f>
        <v>2935780</v>
      </c>
      <c r="B37629" t="s">
        <v>2954</v>
      </c>
      <c r="C37629" t="s">
        <v>236</v>
      </c>
      <c r="D37629" s="21" t="s">
        <v>34</v>
      </c>
      <c r="E37629" s="21" t="s">
        <v>71</v>
      </c>
      <c r="F37629">
        <v>3290286</v>
      </c>
      <c r="G37629" t="s">
        <v>18777</v>
      </c>
      <c r="H37629" s="21">
        <v>487.5</v>
      </c>
    </row>
    <row r="37630" spans="1:8" customFormat="1" x14ac:dyDescent="0.25">
      <c r="A37630" t="str">
        <f>"2937281"</f>
        <v>2937281</v>
      </c>
      <c r="B37630" t="s">
        <v>24344</v>
      </c>
      <c r="C37630" t="s">
        <v>415</v>
      </c>
      <c r="D37630" s="21" t="s">
        <v>34</v>
      </c>
      <c r="E37630" s="21" t="s">
        <v>71</v>
      </c>
      <c r="F37630">
        <v>3290031</v>
      </c>
      <c r="G37630" t="s">
        <v>8207</v>
      </c>
      <c r="H37630" s="21">
        <v>487.5</v>
      </c>
    </row>
    <row r="37631" spans="1:8" customFormat="1" x14ac:dyDescent="0.25">
      <c r="A37631" t="str">
        <f>"2515745"</f>
        <v>2515745</v>
      </c>
      <c r="B37631" t="s">
        <v>2247</v>
      </c>
      <c r="C37631" t="s">
        <v>198</v>
      </c>
      <c r="D37631" s="21" t="s">
        <v>34</v>
      </c>
      <c r="E37631" s="21" t="s">
        <v>71</v>
      </c>
      <c r="F37631">
        <v>2250221</v>
      </c>
      <c r="G37631" t="s">
        <v>18307</v>
      </c>
      <c r="H37631" s="21">
        <v>487.5</v>
      </c>
    </row>
    <row r="37632" spans="1:8" customFormat="1" x14ac:dyDescent="0.25">
      <c r="A37632" t="str">
        <f>"217247"</f>
        <v>217247</v>
      </c>
      <c r="B37632" t="s">
        <v>13615</v>
      </c>
      <c r="C37632" t="s">
        <v>198</v>
      </c>
      <c r="D37632" s="21" t="s">
        <v>34</v>
      </c>
      <c r="E37632" s="21" t="s">
        <v>71</v>
      </c>
      <c r="F37632">
        <v>2210059</v>
      </c>
      <c r="G37632" t="s">
        <v>3142</v>
      </c>
      <c r="H37632" s="21">
        <v>487.5</v>
      </c>
    </row>
    <row r="37633" spans="1:8" customFormat="1" x14ac:dyDescent="0.25">
      <c r="A37633" t="str">
        <f>"812264"</f>
        <v>812264</v>
      </c>
      <c r="B37633" t="s">
        <v>23056</v>
      </c>
      <c r="C37633" t="s">
        <v>415</v>
      </c>
      <c r="D37633" s="21" t="s">
        <v>34</v>
      </c>
      <c r="E37633" s="21" t="s">
        <v>254</v>
      </c>
      <c r="F37633">
        <v>11810008</v>
      </c>
      <c r="G37633" t="s">
        <v>8796</v>
      </c>
      <c r="H37633" s="21">
        <v>487.5</v>
      </c>
    </row>
    <row r="37634" spans="1:8" customFormat="1" x14ac:dyDescent="0.25">
      <c r="A37634" t="str">
        <f>"9142063"</f>
        <v>9142063</v>
      </c>
      <c r="B37634" t="s">
        <v>19498</v>
      </c>
      <c r="C37634" t="s">
        <v>144</v>
      </c>
      <c r="D37634" s="21" t="s">
        <v>34</v>
      </c>
      <c r="E37634" s="21" t="s">
        <v>35</v>
      </c>
      <c r="F37634">
        <v>8910438</v>
      </c>
      <c r="G37634" t="s">
        <v>761</v>
      </c>
      <c r="H37634" s="21">
        <v>487.5</v>
      </c>
    </row>
    <row r="37635" spans="1:8" customFormat="1" x14ac:dyDescent="0.25">
      <c r="A37635" t="str">
        <f>"886891"</f>
        <v>886891</v>
      </c>
      <c r="B37635" t="s">
        <v>24061</v>
      </c>
      <c r="C37635" t="s">
        <v>1489</v>
      </c>
      <c r="D37635" s="21" t="s">
        <v>34</v>
      </c>
      <c r="E37635" s="21" t="s">
        <v>1089</v>
      </c>
      <c r="F37635">
        <v>6880051</v>
      </c>
      <c r="G37635" t="s">
        <v>6116</v>
      </c>
      <c r="H37635" s="21">
        <v>487.5</v>
      </c>
    </row>
    <row r="37636" spans="1:8" customFormat="1" x14ac:dyDescent="0.25">
      <c r="A37636" t="str">
        <f>"7524566"</f>
        <v>7524566</v>
      </c>
      <c r="B37636" t="s">
        <v>2222</v>
      </c>
      <c r="C37636" t="s">
        <v>500</v>
      </c>
      <c r="D37636" s="21" t="s">
        <v>34</v>
      </c>
      <c r="E37636" s="21" t="s">
        <v>35</v>
      </c>
      <c r="F37636">
        <v>8750074</v>
      </c>
      <c r="G37636" t="s">
        <v>698</v>
      </c>
      <c r="H37636" s="21">
        <v>487.5</v>
      </c>
    </row>
    <row r="37637" spans="1:8" customFormat="1" x14ac:dyDescent="0.25">
      <c r="A37637" t="str">
        <f>"1611885"</f>
        <v>1611885</v>
      </c>
      <c r="B37637" t="s">
        <v>7285</v>
      </c>
      <c r="C37637" t="s">
        <v>263</v>
      </c>
      <c r="D37637" s="21" t="s">
        <v>34</v>
      </c>
      <c r="E37637" s="21" t="s">
        <v>254</v>
      </c>
      <c r="F37637">
        <v>10160010</v>
      </c>
      <c r="G37637" t="s">
        <v>5491</v>
      </c>
      <c r="H37637" s="21">
        <v>487.5</v>
      </c>
    </row>
    <row r="37638" spans="1:8" customFormat="1" x14ac:dyDescent="0.25">
      <c r="A37638" t="str">
        <f>"6814039"</f>
        <v>6814039</v>
      </c>
      <c r="B37638" t="s">
        <v>24426</v>
      </c>
      <c r="C37638" t="s">
        <v>1588</v>
      </c>
      <c r="D37638" s="21" t="s">
        <v>34</v>
      </c>
      <c r="E37638" s="21" t="s">
        <v>254</v>
      </c>
      <c r="F37638">
        <v>6680006</v>
      </c>
      <c r="G37638" t="s">
        <v>5266</v>
      </c>
      <c r="H37638" s="21">
        <v>487.5</v>
      </c>
    </row>
    <row r="37639" spans="1:8" customFormat="1" x14ac:dyDescent="0.25">
      <c r="A37639" t="str">
        <f>"9143212"</f>
        <v>9143212</v>
      </c>
      <c r="B37639" t="s">
        <v>29467</v>
      </c>
      <c r="C37639" t="s">
        <v>33</v>
      </c>
      <c r="D37639" s="21" t="s">
        <v>34</v>
      </c>
      <c r="E37639" s="21" t="s">
        <v>35</v>
      </c>
      <c r="F37639">
        <v>8910567</v>
      </c>
      <c r="G37639" t="s">
        <v>5111</v>
      </c>
      <c r="H37639" s="21">
        <v>487.5</v>
      </c>
    </row>
    <row r="37640" spans="1:8" customFormat="1" x14ac:dyDescent="0.25">
      <c r="A37640" t="str">
        <f>"8019559"</f>
        <v>8019559</v>
      </c>
      <c r="B37640" t="s">
        <v>29468</v>
      </c>
      <c r="C37640" t="s">
        <v>65</v>
      </c>
      <c r="D37640" s="21" t="s">
        <v>34</v>
      </c>
      <c r="E37640" s="21" t="s">
        <v>35</v>
      </c>
      <c r="F37640">
        <v>7800006</v>
      </c>
      <c r="G37640" t="s">
        <v>6365</v>
      </c>
      <c r="H37640" s="21">
        <v>487.5</v>
      </c>
    </row>
    <row r="37641" spans="1:8" customFormat="1" x14ac:dyDescent="0.25">
      <c r="A37641" t="str">
        <f>"1320031"</f>
        <v>1320031</v>
      </c>
      <c r="B37641" t="s">
        <v>9826</v>
      </c>
      <c r="C37641" t="s">
        <v>55</v>
      </c>
      <c r="D37641" s="21" t="s">
        <v>34</v>
      </c>
      <c r="E37641" s="21" t="s">
        <v>35</v>
      </c>
      <c r="F37641">
        <v>13130158</v>
      </c>
      <c r="G37641" t="s">
        <v>3215</v>
      </c>
      <c r="H37641" s="21">
        <v>487.5</v>
      </c>
    </row>
    <row r="37642" spans="1:8" customFormat="1" x14ac:dyDescent="0.25">
      <c r="A37642" t="str">
        <f>"5810557"</f>
        <v>5810557</v>
      </c>
      <c r="B37642" t="s">
        <v>3227</v>
      </c>
      <c r="C37642" t="s">
        <v>269</v>
      </c>
      <c r="D37642" s="21" t="s">
        <v>34</v>
      </c>
      <c r="E37642" s="21" t="s">
        <v>71</v>
      </c>
      <c r="F37642">
        <v>2580093</v>
      </c>
      <c r="G37642" t="s">
        <v>9104</v>
      </c>
      <c r="H37642" s="21">
        <v>487.5</v>
      </c>
    </row>
    <row r="37643" spans="1:8" customFormat="1" x14ac:dyDescent="0.25">
      <c r="A37643" t="str">
        <f>"4219183"</f>
        <v>4219183</v>
      </c>
      <c r="B37643" t="s">
        <v>22428</v>
      </c>
      <c r="C37643" t="s">
        <v>608</v>
      </c>
      <c r="D37643" s="21" t="s">
        <v>34</v>
      </c>
      <c r="E37643" s="21" t="s">
        <v>35</v>
      </c>
      <c r="F37643">
        <v>1420160</v>
      </c>
      <c r="G37643" t="s">
        <v>5488</v>
      </c>
      <c r="H37643" s="21">
        <v>487.5</v>
      </c>
    </row>
    <row r="37644" spans="1:8" customFormat="1" x14ac:dyDescent="0.25">
      <c r="A37644" t="str">
        <f>"5928793"</f>
        <v>5928793</v>
      </c>
      <c r="B37644" t="s">
        <v>23476</v>
      </c>
      <c r="C37644" t="s">
        <v>2907</v>
      </c>
      <c r="D37644" s="21" t="s">
        <v>34</v>
      </c>
      <c r="E37644" s="21" t="s">
        <v>71</v>
      </c>
      <c r="F37644">
        <v>7590263</v>
      </c>
      <c r="G37644" t="s">
        <v>895</v>
      </c>
      <c r="H37644" s="21">
        <v>487.5</v>
      </c>
    </row>
    <row r="37645" spans="1:8" customFormat="1" x14ac:dyDescent="0.25">
      <c r="A37645" t="str">
        <f>"5020412"</f>
        <v>5020412</v>
      </c>
      <c r="B37645" t="s">
        <v>23087</v>
      </c>
      <c r="C37645" t="s">
        <v>3073</v>
      </c>
      <c r="D37645" s="21" t="s">
        <v>34</v>
      </c>
      <c r="E37645" s="21" t="s">
        <v>1089</v>
      </c>
      <c r="F37645">
        <v>9500160</v>
      </c>
      <c r="G37645" t="s">
        <v>11418</v>
      </c>
      <c r="H37645" s="21">
        <v>487.5</v>
      </c>
    </row>
    <row r="37646" spans="1:8" customFormat="1" x14ac:dyDescent="0.25">
      <c r="A37646" t="str">
        <f>"5611550"</f>
        <v>5611550</v>
      </c>
      <c r="B37646" t="s">
        <v>24415</v>
      </c>
      <c r="C37646" t="s">
        <v>130</v>
      </c>
      <c r="D37646" s="21" t="s">
        <v>34</v>
      </c>
      <c r="E37646" s="21" t="s">
        <v>35</v>
      </c>
      <c r="F37646">
        <v>3560007</v>
      </c>
      <c r="G37646" t="s">
        <v>10211</v>
      </c>
      <c r="H37646" s="21">
        <v>487.5</v>
      </c>
    </row>
    <row r="37647" spans="1:8" customFormat="1" x14ac:dyDescent="0.25">
      <c r="A37647" t="str">
        <f>"5983937"</f>
        <v>5983937</v>
      </c>
      <c r="B37647" t="s">
        <v>5949</v>
      </c>
      <c r="C37647" t="s">
        <v>82</v>
      </c>
      <c r="D37647" s="21" t="s">
        <v>34</v>
      </c>
      <c r="E37647" s="21" t="s">
        <v>71</v>
      </c>
      <c r="F37647">
        <v>7590413</v>
      </c>
      <c r="G37647" t="s">
        <v>6848</v>
      </c>
      <c r="H37647" s="21">
        <v>487.5</v>
      </c>
    </row>
    <row r="37648" spans="1:8" customFormat="1" x14ac:dyDescent="0.25">
      <c r="A37648" t="str">
        <f>"9456972"</f>
        <v>9456972</v>
      </c>
      <c r="B37648" t="s">
        <v>29469</v>
      </c>
      <c r="C37648" t="s">
        <v>1665</v>
      </c>
      <c r="D37648" s="21" t="s">
        <v>34</v>
      </c>
      <c r="E37648" s="21" t="s">
        <v>71</v>
      </c>
      <c r="F37648">
        <v>8941343</v>
      </c>
      <c r="G37648" t="s">
        <v>9614</v>
      </c>
      <c r="H37648" s="21">
        <v>487.5</v>
      </c>
    </row>
    <row r="37649" spans="1:8" customFormat="1" x14ac:dyDescent="0.25">
      <c r="A37649" t="str">
        <f>"2926350"</f>
        <v>2926350</v>
      </c>
      <c r="B37649" t="s">
        <v>23479</v>
      </c>
      <c r="C37649" t="s">
        <v>204</v>
      </c>
      <c r="D37649" s="21" t="s">
        <v>34</v>
      </c>
      <c r="E37649" s="21" t="s">
        <v>35</v>
      </c>
      <c r="F37649">
        <v>3290087</v>
      </c>
      <c r="G37649" t="s">
        <v>364</v>
      </c>
      <c r="H37649" s="21">
        <v>487.5</v>
      </c>
    </row>
    <row r="37650" spans="1:8" customFormat="1" x14ac:dyDescent="0.25">
      <c r="A37650" t="str">
        <f>"905913"</f>
        <v>905913</v>
      </c>
      <c r="B37650" t="s">
        <v>19911</v>
      </c>
      <c r="C37650" t="s">
        <v>60</v>
      </c>
      <c r="D37650" s="21" t="s">
        <v>34</v>
      </c>
      <c r="E37650" s="21" t="s">
        <v>35</v>
      </c>
      <c r="F37650">
        <v>2900038</v>
      </c>
      <c r="G37650" t="s">
        <v>6415</v>
      </c>
      <c r="H37650" s="21">
        <v>487.5</v>
      </c>
    </row>
    <row r="37651" spans="1:8" customFormat="1" x14ac:dyDescent="0.25">
      <c r="A37651" t="str">
        <f>"4452191"</f>
        <v>4452191</v>
      </c>
      <c r="B37651" t="s">
        <v>14116</v>
      </c>
      <c r="C37651" t="s">
        <v>169</v>
      </c>
      <c r="D37651" s="21" t="s">
        <v>34</v>
      </c>
      <c r="E37651" s="21" t="s">
        <v>71</v>
      </c>
      <c r="F37651">
        <v>12440004</v>
      </c>
      <c r="G37651" t="s">
        <v>26530</v>
      </c>
      <c r="H37651" s="21">
        <v>487.5</v>
      </c>
    </row>
    <row r="37652" spans="1:8" customFormat="1" x14ac:dyDescent="0.25">
      <c r="A37652" t="str">
        <f>"4524930"</f>
        <v>4524930</v>
      </c>
      <c r="B37652" t="s">
        <v>24727</v>
      </c>
      <c r="C37652" t="s">
        <v>750</v>
      </c>
      <c r="D37652" s="21" t="s">
        <v>34</v>
      </c>
      <c r="E37652" s="21" t="s">
        <v>71</v>
      </c>
      <c r="F37652">
        <v>4450210</v>
      </c>
      <c r="G37652" t="s">
        <v>5249</v>
      </c>
      <c r="H37652" s="21">
        <v>487.25</v>
      </c>
    </row>
    <row r="37653" spans="1:8" customFormat="1" x14ac:dyDescent="0.25">
      <c r="A37653" t="str">
        <f>"7729669"</f>
        <v>7729669</v>
      </c>
      <c r="B37653" t="s">
        <v>22075</v>
      </c>
      <c r="C37653" t="s">
        <v>547</v>
      </c>
      <c r="D37653" s="21" t="s">
        <v>34</v>
      </c>
      <c r="E37653" s="21" t="s">
        <v>254</v>
      </c>
      <c r="F37653">
        <v>8770377</v>
      </c>
      <c r="G37653" t="s">
        <v>4862</v>
      </c>
      <c r="H37653" s="21">
        <v>487.17</v>
      </c>
    </row>
    <row r="37654" spans="1:8" customFormat="1" x14ac:dyDescent="0.25">
      <c r="A37654" t="str">
        <f>"7521974"</f>
        <v>7521974</v>
      </c>
      <c r="B37654" t="s">
        <v>22259</v>
      </c>
      <c r="C37654" t="s">
        <v>169</v>
      </c>
      <c r="D37654" s="21" t="s">
        <v>34</v>
      </c>
      <c r="E37654" s="21" t="s">
        <v>71</v>
      </c>
      <c r="F37654">
        <v>8751177</v>
      </c>
      <c r="G37654" t="s">
        <v>396</v>
      </c>
      <c r="H37654" s="21">
        <v>487.17</v>
      </c>
    </row>
    <row r="37655" spans="1:8" customFormat="1" x14ac:dyDescent="0.25">
      <c r="A37655" t="str">
        <f>"4520869"</f>
        <v>4520869</v>
      </c>
      <c r="B37655" t="s">
        <v>1143</v>
      </c>
      <c r="C37655" t="s">
        <v>96</v>
      </c>
      <c r="D37655" s="21" t="s">
        <v>34</v>
      </c>
      <c r="E37655" s="21" t="s">
        <v>35</v>
      </c>
      <c r="F37655">
        <v>4450756</v>
      </c>
      <c r="G37655" t="s">
        <v>19505</v>
      </c>
      <c r="H37655" s="21">
        <v>487.17</v>
      </c>
    </row>
    <row r="37656" spans="1:8" customFormat="1" x14ac:dyDescent="0.25">
      <c r="A37656" t="str">
        <f>"5315388"</f>
        <v>5315388</v>
      </c>
      <c r="B37656" t="s">
        <v>24263</v>
      </c>
      <c r="C37656" t="s">
        <v>275</v>
      </c>
      <c r="D37656" s="21" t="s">
        <v>34</v>
      </c>
      <c r="E37656" s="21" t="s">
        <v>35</v>
      </c>
      <c r="F37656">
        <v>12530096</v>
      </c>
      <c r="G37656" t="s">
        <v>8595</v>
      </c>
      <c r="H37656" s="21">
        <v>487.17</v>
      </c>
    </row>
    <row r="37657" spans="1:8" customFormat="1" x14ac:dyDescent="0.25">
      <c r="A37657" t="str">
        <f>"5732776"</f>
        <v>5732776</v>
      </c>
      <c r="B37657" t="s">
        <v>15430</v>
      </c>
      <c r="C37657" t="s">
        <v>2479</v>
      </c>
      <c r="D37657" s="21" t="s">
        <v>34</v>
      </c>
      <c r="E37657" s="21" t="s">
        <v>71</v>
      </c>
      <c r="F37657">
        <v>6570125</v>
      </c>
      <c r="G37657" t="s">
        <v>14599</v>
      </c>
      <c r="H37657" s="21">
        <v>487.17</v>
      </c>
    </row>
    <row r="37658" spans="1:8" customFormat="1" x14ac:dyDescent="0.25">
      <c r="A37658" t="str">
        <f>"7837613"</f>
        <v>7837613</v>
      </c>
      <c r="B37658" t="s">
        <v>6474</v>
      </c>
      <c r="C37658" t="s">
        <v>156</v>
      </c>
      <c r="D37658" s="21" t="s">
        <v>34</v>
      </c>
      <c r="E37658" s="21" t="s">
        <v>254</v>
      </c>
      <c r="F37658">
        <v>8780890</v>
      </c>
      <c r="G37658" t="s">
        <v>6456</v>
      </c>
      <c r="H37658" s="21">
        <v>487.12</v>
      </c>
    </row>
    <row r="37659" spans="1:8" customFormat="1" x14ac:dyDescent="0.25">
      <c r="A37659" t="str">
        <f>"3344220"</f>
        <v>3344220</v>
      </c>
      <c r="B37659" t="s">
        <v>29470</v>
      </c>
      <c r="C37659" t="s">
        <v>19087</v>
      </c>
      <c r="D37659" s="21" t="s">
        <v>34</v>
      </c>
      <c r="E37659" s="21" t="s">
        <v>35</v>
      </c>
      <c r="F37659">
        <v>10330078</v>
      </c>
      <c r="G37659" t="s">
        <v>7597</v>
      </c>
      <c r="H37659" s="21">
        <v>487.12</v>
      </c>
    </row>
    <row r="37660" spans="1:8" customFormat="1" x14ac:dyDescent="0.25">
      <c r="A37660" t="str">
        <f>"6110846"</f>
        <v>6110846</v>
      </c>
      <c r="B37660" t="s">
        <v>8458</v>
      </c>
      <c r="C37660" t="s">
        <v>285</v>
      </c>
      <c r="D37660" s="21" t="s">
        <v>34</v>
      </c>
      <c r="E37660" s="21" t="s">
        <v>35</v>
      </c>
      <c r="F37660">
        <v>9610055</v>
      </c>
      <c r="G37660" t="s">
        <v>13803</v>
      </c>
      <c r="H37660" s="21">
        <v>487</v>
      </c>
    </row>
    <row r="37661" spans="1:8" customFormat="1" x14ac:dyDescent="0.25">
      <c r="A37661" t="str">
        <f>"3422501"</f>
        <v>3422501</v>
      </c>
      <c r="B37661" t="s">
        <v>11387</v>
      </c>
      <c r="C37661" t="s">
        <v>285</v>
      </c>
      <c r="D37661" s="21" t="s">
        <v>34</v>
      </c>
      <c r="E37661" s="21" t="s">
        <v>35</v>
      </c>
      <c r="F37661">
        <v>11340047</v>
      </c>
      <c r="G37661" t="s">
        <v>4303</v>
      </c>
      <c r="H37661" s="21">
        <v>487</v>
      </c>
    </row>
    <row r="37662" spans="1:8" customFormat="1" x14ac:dyDescent="0.25">
      <c r="A37662" t="str">
        <f>"4213671"</f>
        <v>4213671</v>
      </c>
      <c r="B37662" t="s">
        <v>23905</v>
      </c>
      <c r="C37662" t="s">
        <v>267</v>
      </c>
      <c r="D37662" s="21" t="s">
        <v>34</v>
      </c>
      <c r="E37662" s="21" t="s">
        <v>71</v>
      </c>
      <c r="F37662">
        <v>1420088</v>
      </c>
      <c r="G37662" t="s">
        <v>7613</v>
      </c>
      <c r="H37662" s="21">
        <v>487</v>
      </c>
    </row>
    <row r="37663" spans="1:8" customFormat="1" x14ac:dyDescent="0.25">
      <c r="A37663" t="str">
        <f>"7642542"</f>
        <v>7642542</v>
      </c>
      <c r="B37663" t="s">
        <v>29471</v>
      </c>
      <c r="C37663" t="s">
        <v>198</v>
      </c>
      <c r="D37663" s="21" t="s">
        <v>34</v>
      </c>
      <c r="E37663" s="21" t="s">
        <v>71</v>
      </c>
      <c r="F37663">
        <v>9760417</v>
      </c>
      <c r="G37663" t="s">
        <v>11996</v>
      </c>
      <c r="H37663" s="21">
        <v>487</v>
      </c>
    </row>
    <row r="37664" spans="1:8" customFormat="1" x14ac:dyDescent="0.25">
      <c r="A37664" t="str">
        <f>"4213067"</f>
        <v>4213067</v>
      </c>
      <c r="B37664" t="s">
        <v>24152</v>
      </c>
      <c r="C37664" t="s">
        <v>198</v>
      </c>
      <c r="D37664" s="21" t="s">
        <v>34</v>
      </c>
      <c r="E37664" s="21" t="s">
        <v>71</v>
      </c>
      <c r="F37664">
        <v>1420013</v>
      </c>
      <c r="G37664" t="s">
        <v>2013</v>
      </c>
      <c r="H37664" s="21">
        <v>487</v>
      </c>
    </row>
    <row r="37665" spans="1:8" customFormat="1" x14ac:dyDescent="0.25">
      <c r="A37665" t="str">
        <f>"3427132"</f>
        <v>3427132</v>
      </c>
      <c r="B37665" t="s">
        <v>2598</v>
      </c>
      <c r="C37665" t="s">
        <v>2693</v>
      </c>
      <c r="D37665" s="21" t="s">
        <v>34</v>
      </c>
      <c r="E37665" s="21" t="s">
        <v>254</v>
      </c>
      <c r="F37665">
        <v>11340073</v>
      </c>
      <c r="G37665" t="s">
        <v>15005</v>
      </c>
      <c r="H37665" s="21">
        <v>487</v>
      </c>
    </row>
    <row r="37666" spans="1:8" customFormat="1" x14ac:dyDescent="0.25">
      <c r="A37666" t="str">
        <f>"368259"</f>
        <v>368259</v>
      </c>
      <c r="B37666" t="s">
        <v>24335</v>
      </c>
      <c r="C37666" t="s">
        <v>98</v>
      </c>
      <c r="D37666" s="21" t="s">
        <v>34</v>
      </c>
      <c r="E37666" s="21" t="s">
        <v>35</v>
      </c>
      <c r="F37666">
        <v>4360729</v>
      </c>
      <c r="G37666" t="s">
        <v>15028</v>
      </c>
      <c r="H37666" s="21">
        <v>487</v>
      </c>
    </row>
    <row r="37667" spans="1:8" customFormat="1" x14ac:dyDescent="0.25">
      <c r="A37667" t="str">
        <f>"2516737"</f>
        <v>2516737</v>
      </c>
      <c r="B37667" t="s">
        <v>24099</v>
      </c>
      <c r="C37667" t="s">
        <v>62</v>
      </c>
      <c r="D37667" s="21" t="s">
        <v>34</v>
      </c>
      <c r="E37667" s="21" t="s">
        <v>35</v>
      </c>
      <c r="F37667">
        <v>2250125</v>
      </c>
      <c r="G37667" t="s">
        <v>26911</v>
      </c>
      <c r="H37667" s="21">
        <v>487</v>
      </c>
    </row>
    <row r="37668" spans="1:8" customFormat="1" x14ac:dyDescent="0.25">
      <c r="A37668" t="str">
        <f>"6941646"</f>
        <v>6941646</v>
      </c>
      <c r="B37668" t="s">
        <v>24351</v>
      </c>
      <c r="C37668" t="s">
        <v>209</v>
      </c>
      <c r="D37668" s="21" t="s">
        <v>34</v>
      </c>
      <c r="E37668" s="21" t="s">
        <v>254</v>
      </c>
      <c r="F37668">
        <v>1690076</v>
      </c>
      <c r="G37668" t="s">
        <v>4049</v>
      </c>
      <c r="H37668" s="21">
        <v>487</v>
      </c>
    </row>
    <row r="37669" spans="1:8" customFormat="1" x14ac:dyDescent="0.25">
      <c r="A37669" t="str">
        <f>"5622200"</f>
        <v>5622200</v>
      </c>
      <c r="B37669" t="s">
        <v>18393</v>
      </c>
      <c r="C37669" t="s">
        <v>43</v>
      </c>
      <c r="D37669" s="21" t="s">
        <v>34</v>
      </c>
      <c r="E37669" s="21" t="s">
        <v>35</v>
      </c>
      <c r="F37669">
        <v>3560060</v>
      </c>
      <c r="G37669" t="s">
        <v>8368</v>
      </c>
      <c r="H37669" s="21">
        <v>487</v>
      </c>
    </row>
    <row r="37670" spans="1:8" customFormat="1" x14ac:dyDescent="0.25">
      <c r="A37670" t="str">
        <f>"7633426"</f>
        <v>7633426</v>
      </c>
      <c r="B37670" t="s">
        <v>22247</v>
      </c>
      <c r="C37670" t="s">
        <v>187</v>
      </c>
      <c r="D37670" s="21" t="s">
        <v>34</v>
      </c>
      <c r="E37670" s="21" t="s">
        <v>254</v>
      </c>
      <c r="F37670">
        <v>9760331</v>
      </c>
      <c r="G37670" t="s">
        <v>5134</v>
      </c>
      <c r="H37670" s="21">
        <v>487</v>
      </c>
    </row>
    <row r="37671" spans="1:8" customFormat="1" x14ac:dyDescent="0.25">
      <c r="A37671" t="str">
        <f>"7642136"</f>
        <v>7642136</v>
      </c>
      <c r="B37671" t="s">
        <v>8285</v>
      </c>
      <c r="C37671" t="s">
        <v>87</v>
      </c>
      <c r="D37671" s="21" t="s">
        <v>34</v>
      </c>
      <c r="E37671" s="21" t="s">
        <v>71</v>
      </c>
      <c r="F37671">
        <v>9760136</v>
      </c>
      <c r="G37671" t="s">
        <v>5035</v>
      </c>
      <c r="H37671" s="21">
        <v>487</v>
      </c>
    </row>
    <row r="37672" spans="1:8" customFormat="1" x14ac:dyDescent="0.25">
      <c r="A37672" t="str">
        <f>"7727821"</f>
        <v>7727821</v>
      </c>
      <c r="B37672" t="s">
        <v>24526</v>
      </c>
      <c r="C37672" t="s">
        <v>415</v>
      </c>
      <c r="D37672" s="21" t="s">
        <v>34</v>
      </c>
      <c r="E37672" s="21" t="s">
        <v>71</v>
      </c>
      <c r="F37672">
        <v>8771501</v>
      </c>
      <c r="G37672" t="s">
        <v>10128</v>
      </c>
      <c r="H37672" s="21">
        <v>487</v>
      </c>
    </row>
    <row r="37673" spans="1:8" customFormat="1" x14ac:dyDescent="0.25">
      <c r="A37673" t="str">
        <f>"244530"</f>
        <v>244530</v>
      </c>
      <c r="B37673" t="s">
        <v>12655</v>
      </c>
      <c r="C37673" t="s">
        <v>40</v>
      </c>
      <c r="D37673" s="21" t="s">
        <v>34</v>
      </c>
      <c r="E37673" s="21" t="s">
        <v>254</v>
      </c>
      <c r="F37673">
        <v>10240024</v>
      </c>
      <c r="G37673" t="s">
        <v>6539</v>
      </c>
      <c r="H37673" s="21">
        <v>487</v>
      </c>
    </row>
    <row r="37674" spans="1:8" customFormat="1" x14ac:dyDescent="0.25">
      <c r="A37674" t="str">
        <f>"9139521"</f>
        <v>9139521</v>
      </c>
      <c r="B37674" t="s">
        <v>6119</v>
      </c>
      <c r="C37674" t="s">
        <v>598</v>
      </c>
      <c r="D37674" s="21" t="s">
        <v>34</v>
      </c>
      <c r="E37674" s="21" t="s">
        <v>35</v>
      </c>
      <c r="F37674">
        <v>8911161</v>
      </c>
      <c r="G37674" t="s">
        <v>599</v>
      </c>
      <c r="H37674" s="21">
        <v>487</v>
      </c>
    </row>
    <row r="37675" spans="1:8" customFormat="1" x14ac:dyDescent="0.25">
      <c r="A37675" t="str">
        <f>"3832985"</f>
        <v>3832985</v>
      </c>
      <c r="B37675" t="s">
        <v>1295</v>
      </c>
      <c r="C37675" t="s">
        <v>65</v>
      </c>
      <c r="D37675" s="21" t="s">
        <v>34</v>
      </c>
      <c r="E37675" s="21" t="s">
        <v>35</v>
      </c>
      <c r="F37675">
        <v>1380136</v>
      </c>
      <c r="G37675" t="s">
        <v>1047</v>
      </c>
      <c r="H37675" s="21">
        <v>487</v>
      </c>
    </row>
    <row r="37676" spans="1:8" customFormat="1" x14ac:dyDescent="0.25">
      <c r="A37676" t="str">
        <f>"799209"</f>
        <v>799209</v>
      </c>
      <c r="B37676" t="s">
        <v>671</v>
      </c>
      <c r="C37676" t="s">
        <v>263</v>
      </c>
      <c r="D37676" s="21" t="s">
        <v>34</v>
      </c>
      <c r="E37676" s="21" t="s">
        <v>71</v>
      </c>
      <c r="F37676">
        <v>10790058</v>
      </c>
      <c r="G37676" t="s">
        <v>6512</v>
      </c>
      <c r="H37676" s="21">
        <v>487</v>
      </c>
    </row>
    <row r="37677" spans="1:8" customFormat="1" x14ac:dyDescent="0.25">
      <c r="A37677" t="str">
        <f>"79224"</f>
        <v>79224</v>
      </c>
      <c r="B37677" t="s">
        <v>824</v>
      </c>
      <c r="C37677" t="s">
        <v>253</v>
      </c>
      <c r="D37677" s="21" t="s">
        <v>34</v>
      </c>
      <c r="E37677" s="21" t="s">
        <v>6185</v>
      </c>
      <c r="F37677">
        <v>10790011</v>
      </c>
      <c r="G37677" t="s">
        <v>1654</v>
      </c>
      <c r="H37677" s="21">
        <v>487</v>
      </c>
    </row>
    <row r="37678" spans="1:8" customFormat="1" x14ac:dyDescent="0.25">
      <c r="A37678" t="str">
        <f>"6313154"</f>
        <v>6313154</v>
      </c>
      <c r="B37678" t="s">
        <v>6378</v>
      </c>
      <c r="C37678" t="s">
        <v>119</v>
      </c>
      <c r="D37678" s="21" t="s">
        <v>34</v>
      </c>
      <c r="E37678" s="21" t="s">
        <v>71</v>
      </c>
      <c r="F37678">
        <v>1630331</v>
      </c>
      <c r="G37678" t="s">
        <v>12919</v>
      </c>
      <c r="H37678" s="21">
        <v>487</v>
      </c>
    </row>
    <row r="37679" spans="1:8" customFormat="1" x14ac:dyDescent="0.25">
      <c r="A37679" t="str">
        <f>"754489"</f>
        <v>754489</v>
      </c>
      <c r="B37679" t="s">
        <v>24717</v>
      </c>
      <c r="C37679" t="s">
        <v>2479</v>
      </c>
      <c r="D37679" s="21" t="s">
        <v>34</v>
      </c>
      <c r="E37679" s="21" t="s">
        <v>6185</v>
      </c>
      <c r="F37679">
        <v>8750120</v>
      </c>
      <c r="G37679" t="s">
        <v>838</v>
      </c>
      <c r="H37679" s="21">
        <v>487</v>
      </c>
    </row>
    <row r="37680" spans="1:8" customFormat="1" x14ac:dyDescent="0.25">
      <c r="A37680" t="str">
        <f>"678245"</f>
        <v>678245</v>
      </c>
      <c r="B37680" t="s">
        <v>3536</v>
      </c>
      <c r="C37680" t="s">
        <v>23973</v>
      </c>
      <c r="D37680" s="21" t="s">
        <v>34</v>
      </c>
      <c r="E37680" s="21" t="s">
        <v>6185</v>
      </c>
      <c r="F37680">
        <v>6670115</v>
      </c>
      <c r="G37680" t="s">
        <v>3798</v>
      </c>
      <c r="H37680" s="21">
        <v>487</v>
      </c>
    </row>
    <row r="37681" spans="1:8" customFormat="1" x14ac:dyDescent="0.25">
      <c r="A37681" t="str">
        <f>"4436902"</f>
        <v>4436902</v>
      </c>
      <c r="B37681" t="s">
        <v>6627</v>
      </c>
      <c r="C37681" t="s">
        <v>156</v>
      </c>
      <c r="D37681" s="21" t="s">
        <v>34</v>
      </c>
      <c r="E37681" s="21" t="s">
        <v>1089</v>
      </c>
      <c r="F37681">
        <v>12440239</v>
      </c>
      <c r="G37681" t="s">
        <v>11158</v>
      </c>
      <c r="H37681" s="21">
        <v>487</v>
      </c>
    </row>
    <row r="37682" spans="1:8" customFormat="1" x14ac:dyDescent="0.25">
      <c r="A37682" t="str">
        <f>"5728837"</f>
        <v>5728837</v>
      </c>
      <c r="B37682" t="s">
        <v>22228</v>
      </c>
      <c r="C37682" t="s">
        <v>3497</v>
      </c>
      <c r="D37682" s="21" t="s">
        <v>34</v>
      </c>
      <c r="E37682" s="21" t="s">
        <v>254</v>
      </c>
      <c r="F37682">
        <v>6570024</v>
      </c>
      <c r="G37682" t="s">
        <v>464</v>
      </c>
      <c r="H37682" s="21">
        <v>487</v>
      </c>
    </row>
    <row r="37683" spans="1:8" customFormat="1" x14ac:dyDescent="0.25">
      <c r="A37683" t="str">
        <f>"5977554"</f>
        <v>5977554</v>
      </c>
      <c r="B37683" t="s">
        <v>19625</v>
      </c>
      <c r="C37683" t="s">
        <v>233</v>
      </c>
      <c r="D37683" s="21" t="s">
        <v>34</v>
      </c>
      <c r="E37683" s="21" t="s">
        <v>35</v>
      </c>
      <c r="F37683">
        <v>7590258</v>
      </c>
      <c r="G37683" t="s">
        <v>18937</v>
      </c>
      <c r="H37683" s="21">
        <v>487</v>
      </c>
    </row>
    <row r="37684" spans="1:8" customFormat="1" x14ac:dyDescent="0.25">
      <c r="A37684" t="str">
        <f>"8527872"</f>
        <v>8527872</v>
      </c>
      <c r="B37684" t="s">
        <v>9511</v>
      </c>
      <c r="C37684" t="s">
        <v>90</v>
      </c>
      <c r="D37684" s="21" t="s">
        <v>34</v>
      </c>
      <c r="E37684" s="21" t="s">
        <v>35</v>
      </c>
      <c r="F37684">
        <v>12850078</v>
      </c>
      <c r="G37684" t="s">
        <v>5639</v>
      </c>
      <c r="H37684" s="21">
        <v>487</v>
      </c>
    </row>
    <row r="37685" spans="1:8" customFormat="1" x14ac:dyDescent="0.25">
      <c r="A37685" t="str">
        <f>"648095"</f>
        <v>648095</v>
      </c>
      <c r="B37685" t="s">
        <v>4255</v>
      </c>
      <c r="C37685" t="s">
        <v>598</v>
      </c>
      <c r="D37685" s="21" t="s">
        <v>34</v>
      </c>
      <c r="E37685" s="21" t="s">
        <v>71</v>
      </c>
      <c r="F37685">
        <v>10640001</v>
      </c>
      <c r="G37685" t="s">
        <v>2419</v>
      </c>
      <c r="H37685" s="21">
        <v>487</v>
      </c>
    </row>
    <row r="37686" spans="1:8" customFormat="1" x14ac:dyDescent="0.25">
      <c r="A37686" t="str">
        <f>"3531577"</f>
        <v>3531577</v>
      </c>
      <c r="B37686" t="s">
        <v>577</v>
      </c>
      <c r="C37686" t="s">
        <v>209</v>
      </c>
      <c r="D37686" s="21" t="s">
        <v>34</v>
      </c>
      <c r="E37686" s="21" t="s">
        <v>35</v>
      </c>
      <c r="F37686">
        <v>3350232</v>
      </c>
      <c r="G37686" t="s">
        <v>7147</v>
      </c>
      <c r="H37686" s="21">
        <v>487</v>
      </c>
    </row>
    <row r="37687" spans="1:8" customFormat="1" x14ac:dyDescent="0.25">
      <c r="A37687" t="str">
        <f>"043938"</f>
        <v>043938</v>
      </c>
      <c r="B37687" t="s">
        <v>12975</v>
      </c>
      <c r="C37687" t="s">
        <v>453</v>
      </c>
      <c r="D37687" s="21" t="s">
        <v>34</v>
      </c>
      <c r="E37687" s="21" t="s">
        <v>254</v>
      </c>
      <c r="F37687">
        <v>13040005</v>
      </c>
      <c r="G37687" t="s">
        <v>7115</v>
      </c>
      <c r="H37687" s="21">
        <v>487</v>
      </c>
    </row>
    <row r="37688" spans="1:8" customFormat="1" x14ac:dyDescent="0.25">
      <c r="A37688" t="str">
        <f>"7632717"</f>
        <v>7632717</v>
      </c>
      <c r="B37688" t="s">
        <v>24416</v>
      </c>
      <c r="C37688" t="s">
        <v>60</v>
      </c>
      <c r="D37688" s="21" t="s">
        <v>34</v>
      </c>
      <c r="E37688" s="21" t="s">
        <v>35</v>
      </c>
      <c r="F37688">
        <v>9760206</v>
      </c>
      <c r="G37688" t="s">
        <v>13046</v>
      </c>
      <c r="H37688" s="21">
        <v>487</v>
      </c>
    </row>
    <row r="37689" spans="1:8" customFormat="1" x14ac:dyDescent="0.25">
      <c r="A37689" t="str">
        <f>"51312"</f>
        <v>51312</v>
      </c>
      <c r="B37689" t="s">
        <v>23590</v>
      </c>
      <c r="C37689" t="s">
        <v>1119</v>
      </c>
      <c r="D37689" s="21" t="s">
        <v>34</v>
      </c>
      <c r="E37689" s="21" t="s">
        <v>1089</v>
      </c>
      <c r="F37689">
        <v>6510019</v>
      </c>
      <c r="G37689" t="s">
        <v>11388</v>
      </c>
      <c r="H37689" s="21">
        <v>487</v>
      </c>
    </row>
    <row r="37690" spans="1:8" customFormat="1" x14ac:dyDescent="0.25">
      <c r="A37690" t="str">
        <f>"7729825"</f>
        <v>7729825</v>
      </c>
      <c r="B37690" t="s">
        <v>24042</v>
      </c>
      <c r="C37690" t="s">
        <v>415</v>
      </c>
      <c r="D37690" s="21" t="s">
        <v>34</v>
      </c>
      <c r="E37690" s="21" t="s">
        <v>254</v>
      </c>
      <c r="F37690">
        <v>8770166</v>
      </c>
      <c r="G37690" t="s">
        <v>653</v>
      </c>
      <c r="H37690" s="21">
        <v>487</v>
      </c>
    </row>
    <row r="37691" spans="1:8" customFormat="1" x14ac:dyDescent="0.25">
      <c r="A37691" t="str">
        <f>"4526076"</f>
        <v>4526076</v>
      </c>
      <c r="B37691" t="s">
        <v>889</v>
      </c>
      <c r="C37691" t="s">
        <v>29472</v>
      </c>
      <c r="D37691" s="21" t="s">
        <v>34</v>
      </c>
      <c r="E37691" s="21" t="s">
        <v>35</v>
      </c>
      <c r="F37691">
        <v>10170029</v>
      </c>
      <c r="G37691" t="s">
        <v>9383</v>
      </c>
      <c r="H37691" s="21">
        <v>487</v>
      </c>
    </row>
    <row r="37692" spans="1:8" customFormat="1" x14ac:dyDescent="0.25">
      <c r="A37692" t="str">
        <f>"6317040"</f>
        <v>6317040</v>
      </c>
      <c r="B37692" t="s">
        <v>29473</v>
      </c>
      <c r="C37692" t="s">
        <v>1665</v>
      </c>
      <c r="D37692" s="21" t="s">
        <v>34</v>
      </c>
      <c r="E37692" s="21" t="s">
        <v>71</v>
      </c>
      <c r="F37692">
        <v>1630191</v>
      </c>
      <c r="G37692" t="s">
        <v>11303</v>
      </c>
      <c r="H37692" s="21">
        <v>487</v>
      </c>
    </row>
    <row r="37693" spans="1:8" customFormat="1" x14ac:dyDescent="0.25">
      <c r="A37693" t="str">
        <f>"606868"</f>
        <v>606868</v>
      </c>
      <c r="B37693" t="s">
        <v>7531</v>
      </c>
      <c r="C37693" t="s">
        <v>822</v>
      </c>
      <c r="D37693" s="21" t="s">
        <v>34</v>
      </c>
      <c r="E37693" s="21" t="s">
        <v>1089</v>
      </c>
      <c r="F37693">
        <v>13840058</v>
      </c>
      <c r="G37693" t="s">
        <v>7032</v>
      </c>
      <c r="H37693" s="21">
        <v>487</v>
      </c>
    </row>
    <row r="37694" spans="1:8" customFormat="1" x14ac:dyDescent="0.25">
      <c r="A37694" t="str">
        <f>"1715035"</f>
        <v>1715035</v>
      </c>
      <c r="B37694" t="s">
        <v>24586</v>
      </c>
      <c r="C37694" t="s">
        <v>2520</v>
      </c>
      <c r="D37694" s="21" t="s">
        <v>34</v>
      </c>
      <c r="E37694" s="21" t="s">
        <v>254</v>
      </c>
      <c r="F37694">
        <v>10170007</v>
      </c>
      <c r="G37694" t="s">
        <v>12581</v>
      </c>
      <c r="H37694" s="21">
        <v>487</v>
      </c>
    </row>
    <row r="37695" spans="1:8" customFormat="1" x14ac:dyDescent="0.25">
      <c r="A37695" t="str">
        <f>"7874990"</f>
        <v>7874990</v>
      </c>
      <c r="B37695" t="s">
        <v>849</v>
      </c>
      <c r="C37695" t="s">
        <v>462</v>
      </c>
      <c r="D37695" s="21" t="s">
        <v>34</v>
      </c>
      <c r="E37695" s="21" t="s">
        <v>71</v>
      </c>
      <c r="F37695">
        <v>8781474</v>
      </c>
      <c r="G37695" t="s">
        <v>17197</v>
      </c>
      <c r="H37695" s="21">
        <v>487</v>
      </c>
    </row>
    <row r="37696" spans="1:8" customFormat="1" x14ac:dyDescent="0.25">
      <c r="A37696" t="str">
        <f>"2929938"</f>
        <v>2929938</v>
      </c>
      <c r="B37696" t="s">
        <v>2954</v>
      </c>
      <c r="C37696" t="s">
        <v>13812</v>
      </c>
      <c r="D37696" s="21" t="s">
        <v>34</v>
      </c>
      <c r="E37696" s="21" t="s">
        <v>254</v>
      </c>
      <c r="F37696">
        <v>3290081</v>
      </c>
      <c r="G37696" t="s">
        <v>3819</v>
      </c>
      <c r="H37696" s="21">
        <v>487</v>
      </c>
    </row>
    <row r="37697" spans="1:8" customFormat="1" x14ac:dyDescent="0.25">
      <c r="A37697" t="str">
        <f>"7643169"</f>
        <v>7643169</v>
      </c>
      <c r="B37697" t="s">
        <v>108</v>
      </c>
      <c r="C37697" t="s">
        <v>1196</v>
      </c>
      <c r="D37697" s="21" t="s">
        <v>34</v>
      </c>
      <c r="E37697" s="21" t="s">
        <v>35</v>
      </c>
      <c r="F37697">
        <v>9760270</v>
      </c>
      <c r="G37697" t="s">
        <v>4167</v>
      </c>
      <c r="H37697" s="21">
        <v>487</v>
      </c>
    </row>
    <row r="37698" spans="1:8" customFormat="1" x14ac:dyDescent="0.25">
      <c r="A37698" t="str">
        <f>"9456370"</f>
        <v>9456370</v>
      </c>
      <c r="B37698" t="s">
        <v>9102</v>
      </c>
      <c r="C37698" t="s">
        <v>547</v>
      </c>
      <c r="D37698" s="21" t="s">
        <v>34</v>
      </c>
      <c r="E37698" s="21" t="s">
        <v>254</v>
      </c>
      <c r="F37698">
        <v>8940448</v>
      </c>
      <c r="G37698" t="s">
        <v>1691</v>
      </c>
      <c r="H37698" s="21">
        <v>487</v>
      </c>
    </row>
    <row r="37699" spans="1:8" customFormat="1" x14ac:dyDescent="0.25">
      <c r="A37699" t="str">
        <f>"9320591"</f>
        <v>9320591</v>
      </c>
      <c r="B37699" t="s">
        <v>29474</v>
      </c>
      <c r="C37699" t="s">
        <v>253</v>
      </c>
      <c r="D37699" s="21" t="s">
        <v>34</v>
      </c>
      <c r="E37699" s="21" t="s">
        <v>71</v>
      </c>
      <c r="F37699">
        <v>8930452</v>
      </c>
      <c r="G37699" t="s">
        <v>83</v>
      </c>
      <c r="H37699" s="21">
        <v>487</v>
      </c>
    </row>
    <row r="37700" spans="1:8" customFormat="1" x14ac:dyDescent="0.25">
      <c r="A37700" t="str">
        <f>"5016423"</f>
        <v>5016423</v>
      </c>
      <c r="B37700" t="s">
        <v>3012</v>
      </c>
      <c r="C37700" t="s">
        <v>147</v>
      </c>
      <c r="D37700" s="21" t="s">
        <v>34</v>
      </c>
      <c r="E37700" s="21" t="s">
        <v>35</v>
      </c>
      <c r="F37700">
        <v>9500027</v>
      </c>
      <c r="G37700" t="s">
        <v>6343</v>
      </c>
      <c r="H37700" s="21">
        <v>487</v>
      </c>
    </row>
    <row r="37701" spans="1:8" customFormat="1" x14ac:dyDescent="0.25">
      <c r="A37701" t="str">
        <f>"8614259"</f>
        <v>8614259</v>
      </c>
      <c r="B37701" t="s">
        <v>19247</v>
      </c>
      <c r="C37701" t="s">
        <v>40</v>
      </c>
      <c r="D37701" s="21" t="s">
        <v>34</v>
      </c>
      <c r="E37701" s="21" t="s">
        <v>35</v>
      </c>
      <c r="F37701">
        <v>10860016</v>
      </c>
      <c r="G37701" t="s">
        <v>3289</v>
      </c>
      <c r="H37701" s="21">
        <v>487</v>
      </c>
    </row>
    <row r="37702" spans="1:8" customFormat="1" x14ac:dyDescent="0.25">
      <c r="A37702" t="str">
        <f>"0211833"</f>
        <v>0211833</v>
      </c>
      <c r="B37702" t="s">
        <v>29475</v>
      </c>
      <c r="C37702" t="s">
        <v>3073</v>
      </c>
      <c r="D37702" s="21" t="s">
        <v>34</v>
      </c>
      <c r="E37702" s="21" t="s">
        <v>254</v>
      </c>
      <c r="F37702">
        <v>7020044</v>
      </c>
      <c r="G37702" t="s">
        <v>4690</v>
      </c>
      <c r="H37702" s="21">
        <v>487</v>
      </c>
    </row>
    <row r="37703" spans="1:8" customFormat="1" x14ac:dyDescent="0.25">
      <c r="A37703" t="str">
        <f>"1612633"</f>
        <v>1612633</v>
      </c>
      <c r="B37703" t="s">
        <v>24521</v>
      </c>
      <c r="C37703" t="s">
        <v>269</v>
      </c>
      <c r="D37703" s="21" t="s">
        <v>34</v>
      </c>
      <c r="E37703" s="21" t="s">
        <v>35</v>
      </c>
      <c r="F37703">
        <v>10160018</v>
      </c>
      <c r="G37703" t="s">
        <v>6900</v>
      </c>
      <c r="H37703" s="21">
        <v>487</v>
      </c>
    </row>
    <row r="37704" spans="1:8" customFormat="1" x14ac:dyDescent="0.25">
      <c r="A37704" t="str">
        <f>"5620962"</f>
        <v>5620962</v>
      </c>
      <c r="B37704" t="s">
        <v>24589</v>
      </c>
      <c r="C37704" t="s">
        <v>119</v>
      </c>
      <c r="D37704" s="21" t="s">
        <v>34</v>
      </c>
      <c r="E37704" s="21" t="s">
        <v>71</v>
      </c>
      <c r="F37704">
        <v>3560091</v>
      </c>
      <c r="G37704" t="s">
        <v>27212</v>
      </c>
      <c r="H37704" s="21">
        <v>487</v>
      </c>
    </row>
    <row r="37705" spans="1:8" customFormat="1" x14ac:dyDescent="0.25">
      <c r="A37705" t="str">
        <f>"4457875"</f>
        <v>4457875</v>
      </c>
      <c r="B37705" t="s">
        <v>5943</v>
      </c>
      <c r="C37705" t="s">
        <v>114</v>
      </c>
      <c r="D37705" s="21" t="s">
        <v>34</v>
      </c>
      <c r="E37705" s="21" t="s">
        <v>71</v>
      </c>
      <c r="F37705">
        <v>12440058</v>
      </c>
      <c r="G37705" t="s">
        <v>394</v>
      </c>
      <c r="H37705" s="21">
        <v>487</v>
      </c>
    </row>
    <row r="37706" spans="1:8" customFormat="1" x14ac:dyDescent="0.25">
      <c r="A37706" t="str">
        <f>"3824068"</f>
        <v>3824068</v>
      </c>
      <c r="B37706" t="s">
        <v>2854</v>
      </c>
      <c r="C37706" t="s">
        <v>412</v>
      </c>
      <c r="D37706" s="21" t="s">
        <v>34</v>
      </c>
      <c r="E37706" s="21" t="s">
        <v>1089</v>
      </c>
      <c r="F37706">
        <v>1380157</v>
      </c>
      <c r="G37706" t="s">
        <v>9044</v>
      </c>
      <c r="H37706" s="21">
        <v>487</v>
      </c>
    </row>
    <row r="37707" spans="1:8" customFormat="1" x14ac:dyDescent="0.25">
      <c r="A37707" t="str">
        <f>"4220471"</f>
        <v>4220471</v>
      </c>
      <c r="B37707" t="s">
        <v>7572</v>
      </c>
      <c r="C37707" t="s">
        <v>598</v>
      </c>
      <c r="D37707" s="21" t="s">
        <v>34</v>
      </c>
      <c r="E37707" s="21" t="s">
        <v>254</v>
      </c>
      <c r="F37707">
        <v>1420070</v>
      </c>
      <c r="G37707" t="s">
        <v>27046</v>
      </c>
      <c r="H37707" s="21">
        <v>487</v>
      </c>
    </row>
    <row r="37708" spans="1:8" customFormat="1" x14ac:dyDescent="0.25">
      <c r="A37708" t="str">
        <f>"5980808"</f>
        <v>5980808</v>
      </c>
      <c r="B37708" t="s">
        <v>4058</v>
      </c>
      <c r="C37708" t="s">
        <v>204</v>
      </c>
      <c r="D37708" s="21" t="s">
        <v>34</v>
      </c>
      <c r="E37708" s="21" t="s">
        <v>35</v>
      </c>
      <c r="F37708">
        <v>7590392</v>
      </c>
      <c r="G37708" t="s">
        <v>154</v>
      </c>
      <c r="H37708" s="21">
        <v>487</v>
      </c>
    </row>
    <row r="37709" spans="1:8" customFormat="1" x14ac:dyDescent="0.25">
      <c r="A37709" t="str">
        <f>"5326727"</f>
        <v>5326727</v>
      </c>
      <c r="B37709" t="s">
        <v>10937</v>
      </c>
      <c r="C37709" t="s">
        <v>1705</v>
      </c>
      <c r="D37709" s="21" t="s">
        <v>34</v>
      </c>
      <c r="E37709" s="21" t="s">
        <v>254</v>
      </c>
      <c r="F37709">
        <v>12530121</v>
      </c>
      <c r="G37709" t="s">
        <v>16301</v>
      </c>
      <c r="H37709" s="21">
        <v>487</v>
      </c>
    </row>
    <row r="37710" spans="1:8" customFormat="1" x14ac:dyDescent="0.25">
      <c r="A37710" t="str">
        <f>"3013819"</f>
        <v>3013819</v>
      </c>
      <c r="B37710" t="s">
        <v>23889</v>
      </c>
      <c r="C37710" t="s">
        <v>2475</v>
      </c>
      <c r="D37710" s="21" t="s">
        <v>34</v>
      </c>
      <c r="E37710" s="21" t="s">
        <v>71</v>
      </c>
      <c r="F37710">
        <v>11300039</v>
      </c>
      <c r="G37710" t="s">
        <v>10680</v>
      </c>
      <c r="H37710" s="21">
        <v>487</v>
      </c>
    </row>
    <row r="37711" spans="1:8" customFormat="1" x14ac:dyDescent="0.25">
      <c r="A37711" t="str">
        <f>"9145160"</f>
        <v>9145160</v>
      </c>
      <c r="B37711" t="s">
        <v>1046</v>
      </c>
      <c r="C37711" t="s">
        <v>608</v>
      </c>
      <c r="D37711" s="21" t="s">
        <v>34</v>
      </c>
      <c r="E37711" s="21" t="s">
        <v>35</v>
      </c>
      <c r="F37711">
        <v>8911368</v>
      </c>
      <c r="G37711" t="s">
        <v>12227</v>
      </c>
      <c r="H37711" s="21">
        <v>486.92</v>
      </c>
    </row>
    <row r="37712" spans="1:8" customFormat="1" x14ac:dyDescent="0.25">
      <c r="A37712" t="str">
        <f>"6724849"</f>
        <v>6724849</v>
      </c>
      <c r="B37712" t="s">
        <v>690</v>
      </c>
      <c r="C37712" t="s">
        <v>253</v>
      </c>
      <c r="D37712" s="21" t="s">
        <v>34</v>
      </c>
      <c r="E37712" s="21" t="s">
        <v>71</v>
      </c>
      <c r="F37712">
        <v>6670064</v>
      </c>
      <c r="G37712" t="s">
        <v>9358</v>
      </c>
      <c r="H37712" s="21">
        <v>486.75</v>
      </c>
    </row>
    <row r="37713" spans="1:8" customFormat="1" x14ac:dyDescent="0.25">
      <c r="A37713" t="str">
        <f>"933722"</f>
        <v>933722</v>
      </c>
      <c r="B37713" t="s">
        <v>12188</v>
      </c>
      <c r="C37713" t="s">
        <v>55</v>
      </c>
      <c r="D37713" s="21" t="s">
        <v>34</v>
      </c>
      <c r="E37713" s="21" t="s">
        <v>35</v>
      </c>
      <c r="F37713">
        <v>8750074</v>
      </c>
      <c r="G37713" t="s">
        <v>698</v>
      </c>
      <c r="H37713" s="21">
        <v>486.75</v>
      </c>
    </row>
    <row r="37714" spans="1:8" customFormat="1" x14ac:dyDescent="0.25">
      <c r="A37714" t="str">
        <f>"1420085"</f>
        <v>1420085</v>
      </c>
      <c r="B37714" t="s">
        <v>3555</v>
      </c>
      <c r="C37714" t="s">
        <v>2479</v>
      </c>
      <c r="D37714" s="21" t="s">
        <v>34</v>
      </c>
      <c r="E37714" s="21" t="s">
        <v>71</v>
      </c>
      <c r="F37714">
        <v>9140013</v>
      </c>
      <c r="G37714" t="s">
        <v>1837</v>
      </c>
      <c r="H37714" s="21">
        <v>486.75</v>
      </c>
    </row>
    <row r="37715" spans="1:8" customFormat="1" x14ac:dyDescent="0.25">
      <c r="A37715" t="str">
        <f>"3521599"</f>
        <v>3521599</v>
      </c>
      <c r="B37715" t="s">
        <v>13707</v>
      </c>
      <c r="C37715" t="s">
        <v>462</v>
      </c>
      <c r="D37715" s="21" t="s">
        <v>34</v>
      </c>
      <c r="E37715" s="21" t="s">
        <v>71</v>
      </c>
      <c r="F37715">
        <v>3350203</v>
      </c>
      <c r="G37715" t="s">
        <v>11973</v>
      </c>
      <c r="H37715" s="21">
        <v>486.67</v>
      </c>
    </row>
    <row r="37716" spans="1:8" customFormat="1" x14ac:dyDescent="0.25">
      <c r="A37716" t="str">
        <f>"7638817"</f>
        <v>7638817</v>
      </c>
      <c r="B37716" t="s">
        <v>29476</v>
      </c>
      <c r="C37716" t="s">
        <v>33</v>
      </c>
      <c r="D37716" s="21" t="s">
        <v>34</v>
      </c>
      <c r="E37716" s="21" t="s">
        <v>71</v>
      </c>
      <c r="F37716">
        <v>9760425</v>
      </c>
      <c r="G37716" t="s">
        <v>5012</v>
      </c>
      <c r="H37716" s="21">
        <v>486.67</v>
      </c>
    </row>
    <row r="37717" spans="1:8" customFormat="1" x14ac:dyDescent="0.25">
      <c r="A37717" t="str">
        <f>"9144243"</f>
        <v>9144243</v>
      </c>
      <c r="B37717" t="s">
        <v>11838</v>
      </c>
      <c r="C37717" t="s">
        <v>498</v>
      </c>
      <c r="D37717" s="21" t="s">
        <v>34</v>
      </c>
      <c r="E37717" s="21" t="s">
        <v>71</v>
      </c>
      <c r="F37717">
        <v>8910042</v>
      </c>
      <c r="G37717" t="s">
        <v>4009</v>
      </c>
      <c r="H37717" s="21">
        <v>486.67</v>
      </c>
    </row>
    <row r="37718" spans="1:8" customFormat="1" x14ac:dyDescent="0.25">
      <c r="A37718" t="str">
        <f>"5113167"</f>
        <v>5113167</v>
      </c>
      <c r="B37718" t="s">
        <v>21936</v>
      </c>
      <c r="C37718" t="s">
        <v>21937</v>
      </c>
      <c r="D37718" s="21" t="s">
        <v>34</v>
      </c>
      <c r="E37718" s="21" t="s">
        <v>71</v>
      </c>
      <c r="F37718">
        <v>6510105</v>
      </c>
      <c r="G37718" t="s">
        <v>11107</v>
      </c>
      <c r="H37718" s="21">
        <v>486.67</v>
      </c>
    </row>
    <row r="37719" spans="1:8" customFormat="1" x14ac:dyDescent="0.25">
      <c r="A37719" t="str">
        <f>"3730826"</f>
        <v>3730826</v>
      </c>
      <c r="B37719" t="s">
        <v>2690</v>
      </c>
      <c r="C37719" t="s">
        <v>171</v>
      </c>
      <c r="D37719" s="21" t="s">
        <v>34</v>
      </c>
      <c r="E37719" s="21" t="s">
        <v>35</v>
      </c>
      <c r="F37719">
        <v>4370001</v>
      </c>
      <c r="G37719" t="s">
        <v>957</v>
      </c>
      <c r="H37719" s="21">
        <v>486.5</v>
      </c>
    </row>
    <row r="37720" spans="1:8" customFormat="1" x14ac:dyDescent="0.25">
      <c r="A37720" t="str">
        <f>"7625643"</f>
        <v>7625643</v>
      </c>
      <c r="B37720" t="s">
        <v>22055</v>
      </c>
      <c r="C37720" t="s">
        <v>598</v>
      </c>
      <c r="D37720" s="21" t="s">
        <v>34</v>
      </c>
      <c r="E37720" s="21" t="s">
        <v>71</v>
      </c>
      <c r="F37720">
        <v>9760425</v>
      </c>
      <c r="G37720" t="s">
        <v>5012</v>
      </c>
      <c r="H37720" s="21">
        <v>486.5</v>
      </c>
    </row>
    <row r="37721" spans="1:8" customFormat="1" x14ac:dyDescent="0.25">
      <c r="A37721" t="str">
        <f>"7882841"</f>
        <v>7882841</v>
      </c>
      <c r="B37721" t="s">
        <v>29477</v>
      </c>
      <c r="C37721" t="s">
        <v>169</v>
      </c>
      <c r="D37721" s="21" t="s">
        <v>34</v>
      </c>
      <c r="E37721" s="21" t="s">
        <v>71</v>
      </c>
      <c r="F37721">
        <v>8781474</v>
      </c>
      <c r="G37721" t="s">
        <v>17197</v>
      </c>
      <c r="H37721" s="21">
        <v>486.5</v>
      </c>
    </row>
    <row r="37722" spans="1:8" customFormat="1" x14ac:dyDescent="0.25">
      <c r="A37722" t="str">
        <f>"9142762"</f>
        <v>9142762</v>
      </c>
      <c r="B37722" t="s">
        <v>12191</v>
      </c>
      <c r="C37722" t="s">
        <v>60</v>
      </c>
      <c r="D37722" s="21" t="s">
        <v>34</v>
      </c>
      <c r="E37722" s="21" t="s">
        <v>35</v>
      </c>
      <c r="F37722">
        <v>8910578</v>
      </c>
      <c r="G37722" t="s">
        <v>5776</v>
      </c>
      <c r="H37722" s="21">
        <v>486.5</v>
      </c>
    </row>
    <row r="37723" spans="1:8" customFormat="1" x14ac:dyDescent="0.25">
      <c r="A37723" t="str">
        <f>"2712767"</f>
        <v>2712767</v>
      </c>
      <c r="B37723" t="s">
        <v>22749</v>
      </c>
      <c r="C37723" t="s">
        <v>598</v>
      </c>
      <c r="D37723" s="21" t="s">
        <v>34</v>
      </c>
      <c r="E37723" s="21" t="s">
        <v>254</v>
      </c>
      <c r="F37723">
        <v>9270181</v>
      </c>
      <c r="G37723" t="s">
        <v>2952</v>
      </c>
      <c r="H37723" s="21">
        <v>486.5</v>
      </c>
    </row>
    <row r="37724" spans="1:8" customFormat="1" x14ac:dyDescent="0.25">
      <c r="A37724" t="str">
        <f>"2721416"</f>
        <v>2721416</v>
      </c>
      <c r="B37724" t="s">
        <v>17255</v>
      </c>
      <c r="C37724" t="s">
        <v>87</v>
      </c>
      <c r="D37724" s="21" t="s">
        <v>34</v>
      </c>
      <c r="E37724" s="21" t="s">
        <v>35</v>
      </c>
      <c r="F37724">
        <v>9270087</v>
      </c>
      <c r="G37724" t="s">
        <v>7014</v>
      </c>
      <c r="H37724" s="21">
        <v>486.5</v>
      </c>
    </row>
    <row r="37725" spans="1:8" customFormat="1" x14ac:dyDescent="0.25">
      <c r="A37725" t="str">
        <f>"6233837"</f>
        <v>6233837</v>
      </c>
      <c r="B37725" t="s">
        <v>623</v>
      </c>
      <c r="C37725" t="s">
        <v>149</v>
      </c>
      <c r="D37725" s="21" t="s">
        <v>34</v>
      </c>
      <c r="E37725" s="21" t="s">
        <v>35</v>
      </c>
      <c r="F37725">
        <v>7620057</v>
      </c>
      <c r="G37725" t="s">
        <v>184</v>
      </c>
      <c r="H37725" s="21">
        <v>486.5</v>
      </c>
    </row>
    <row r="37726" spans="1:8" customFormat="1" x14ac:dyDescent="0.25">
      <c r="A37726" t="str">
        <f>"4434464"</f>
        <v>4434464</v>
      </c>
      <c r="B37726" t="s">
        <v>12402</v>
      </c>
      <c r="C37726" t="s">
        <v>2100</v>
      </c>
      <c r="D37726" s="21" t="s">
        <v>34</v>
      </c>
      <c r="E37726" s="21" t="s">
        <v>1089</v>
      </c>
      <c r="F37726">
        <v>12440054</v>
      </c>
      <c r="G37726" t="s">
        <v>5474</v>
      </c>
      <c r="H37726" s="21">
        <v>486.5</v>
      </c>
    </row>
    <row r="37727" spans="1:8" customFormat="1" x14ac:dyDescent="0.25">
      <c r="A37727" t="str">
        <f>"7638350"</f>
        <v>7638350</v>
      </c>
      <c r="B37727" t="s">
        <v>23451</v>
      </c>
      <c r="C37727" t="s">
        <v>415</v>
      </c>
      <c r="D37727" s="21" t="s">
        <v>34</v>
      </c>
      <c r="E37727" s="21" t="s">
        <v>254</v>
      </c>
      <c r="F37727">
        <v>9760201</v>
      </c>
      <c r="G37727" t="s">
        <v>11358</v>
      </c>
      <c r="H37727" s="21">
        <v>486.5</v>
      </c>
    </row>
    <row r="37728" spans="1:8" customFormat="1" x14ac:dyDescent="0.25">
      <c r="A37728" t="str">
        <f>"2219064"</f>
        <v>2219064</v>
      </c>
      <c r="B37728" t="s">
        <v>7847</v>
      </c>
      <c r="C37728" t="s">
        <v>486</v>
      </c>
      <c r="D37728" s="21" t="s">
        <v>34</v>
      </c>
      <c r="E37728" s="21" t="s">
        <v>35</v>
      </c>
      <c r="F37728">
        <v>3220065</v>
      </c>
      <c r="G37728" t="s">
        <v>27386</v>
      </c>
      <c r="H37728" s="21">
        <v>486.5</v>
      </c>
    </row>
    <row r="37729" spans="1:8" customFormat="1" x14ac:dyDescent="0.25">
      <c r="A37729" t="str">
        <f>"291420"</f>
        <v>291420</v>
      </c>
      <c r="B37729" t="s">
        <v>19617</v>
      </c>
      <c r="C37729" t="s">
        <v>598</v>
      </c>
      <c r="D37729" s="21" t="s">
        <v>34</v>
      </c>
      <c r="E37729" s="21" t="s">
        <v>1089</v>
      </c>
      <c r="F37729">
        <v>3290285</v>
      </c>
      <c r="G37729" t="s">
        <v>2234</v>
      </c>
      <c r="H37729" s="21">
        <v>486.5</v>
      </c>
    </row>
    <row r="37730" spans="1:8" customFormat="1" x14ac:dyDescent="0.25">
      <c r="A37730" t="str">
        <f>"5430798"</f>
        <v>5430798</v>
      </c>
      <c r="B37730" t="s">
        <v>19991</v>
      </c>
      <c r="C37730" t="s">
        <v>169</v>
      </c>
      <c r="D37730" s="21" t="s">
        <v>34</v>
      </c>
      <c r="E37730" s="21" t="s">
        <v>71</v>
      </c>
      <c r="F37730">
        <v>6540011</v>
      </c>
      <c r="G37730" t="s">
        <v>6084</v>
      </c>
      <c r="H37730" s="21">
        <v>486.5</v>
      </c>
    </row>
    <row r="37731" spans="1:8" customFormat="1" x14ac:dyDescent="0.25">
      <c r="A37731" t="str">
        <f>"2112517"</f>
        <v>2112517</v>
      </c>
      <c r="B37731" t="s">
        <v>6312</v>
      </c>
      <c r="C37731" t="s">
        <v>239</v>
      </c>
      <c r="D37731" s="21" t="s">
        <v>34</v>
      </c>
      <c r="E37731" s="21" t="s">
        <v>254</v>
      </c>
      <c r="F37731">
        <v>2210126</v>
      </c>
      <c r="G37731" t="s">
        <v>10773</v>
      </c>
      <c r="H37731" s="21">
        <v>486.5</v>
      </c>
    </row>
    <row r="37732" spans="1:8" customFormat="1" x14ac:dyDescent="0.25">
      <c r="A37732" t="str">
        <f>"0115557"</f>
        <v>0115557</v>
      </c>
      <c r="B37732" t="s">
        <v>29478</v>
      </c>
      <c r="C37732" t="s">
        <v>87</v>
      </c>
      <c r="D37732" s="21" t="s">
        <v>34</v>
      </c>
      <c r="E37732" s="21" t="s">
        <v>35</v>
      </c>
      <c r="F37732">
        <v>1010068</v>
      </c>
      <c r="G37732" t="s">
        <v>4755</v>
      </c>
      <c r="H37732" s="21">
        <v>486.5</v>
      </c>
    </row>
    <row r="37733" spans="1:8" customFormat="1" x14ac:dyDescent="0.25">
      <c r="A37733" t="str">
        <f>"5958149"</f>
        <v>5958149</v>
      </c>
      <c r="B37733" t="s">
        <v>26935</v>
      </c>
      <c r="C37733" t="s">
        <v>144</v>
      </c>
      <c r="D37733" s="21" t="s">
        <v>34</v>
      </c>
      <c r="E37733" s="21" t="s">
        <v>35</v>
      </c>
      <c r="F37733">
        <v>7590016</v>
      </c>
      <c r="G37733" t="s">
        <v>5653</v>
      </c>
      <c r="H37733" s="21">
        <v>486.5</v>
      </c>
    </row>
    <row r="37734" spans="1:8" customFormat="1" x14ac:dyDescent="0.25">
      <c r="A37734" t="str">
        <f>"6923527"</f>
        <v>6923527</v>
      </c>
      <c r="B37734" t="s">
        <v>22751</v>
      </c>
      <c r="C37734" t="s">
        <v>1146</v>
      </c>
      <c r="D37734" s="21" t="s">
        <v>34</v>
      </c>
      <c r="E37734" s="21" t="s">
        <v>71</v>
      </c>
      <c r="F37734">
        <v>1690147</v>
      </c>
      <c r="G37734" t="s">
        <v>7245</v>
      </c>
      <c r="H37734" s="21">
        <v>486.5</v>
      </c>
    </row>
    <row r="37735" spans="1:8" customFormat="1" x14ac:dyDescent="0.25">
      <c r="A37735" t="str">
        <f>"2939519"</f>
        <v>2939519</v>
      </c>
      <c r="B37735" t="s">
        <v>19986</v>
      </c>
      <c r="C37735" t="s">
        <v>239</v>
      </c>
      <c r="D37735" s="21" t="s">
        <v>34</v>
      </c>
      <c r="E37735" s="21" t="s">
        <v>254</v>
      </c>
      <c r="F37735">
        <v>3290047</v>
      </c>
      <c r="G37735" t="s">
        <v>2874</v>
      </c>
      <c r="H37735" s="21">
        <v>486.5</v>
      </c>
    </row>
    <row r="37736" spans="1:8" customFormat="1" x14ac:dyDescent="0.25">
      <c r="A37736" t="str">
        <f>"9134451"</f>
        <v>9134451</v>
      </c>
      <c r="B37736" t="s">
        <v>29479</v>
      </c>
      <c r="C37736" t="s">
        <v>87</v>
      </c>
      <c r="D37736" s="21" t="s">
        <v>34</v>
      </c>
      <c r="E37736" s="21" t="s">
        <v>35</v>
      </c>
      <c r="F37736">
        <v>8911430</v>
      </c>
      <c r="G37736" t="s">
        <v>3523</v>
      </c>
      <c r="H37736" s="21">
        <v>486.5</v>
      </c>
    </row>
    <row r="37737" spans="1:8" customFormat="1" x14ac:dyDescent="0.25">
      <c r="A37737" t="str">
        <f>"7643132"</f>
        <v>7643132</v>
      </c>
      <c r="B37737" t="s">
        <v>24610</v>
      </c>
      <c r="C37737" t="s">
        <v>60</v>
      </c>
      <c r="D37737" s="21" t="s">
        <v>34</v>
      </c>
      <c r="E37737" s="21" t="s">
        <v>35</v>
      </c>
      <c r="F37737">
        <v>9760458</v>
      </c>
      <c r="G37737" t="s">
        <v>3594</v>
      </c>
      <c r="H37737" s="21">
        <v>486.5</v>
      </c>
    </row>
    <row r="37738" spans="1:8" customFormat="1" x14ac:dyDescent="0.25">
      <c r="A37738" t="str">
        <f>"7923404"</f>
        <v>7923404</v>
      </c>
      <c r="B37738" t="s">
        <v>24477</v>
      </c>
      <c r="C37738" t="s">
        <v>87</v>
      </c>
      <c r="D37738" s="21" t="s">
        <v>34</v>
      </c>
      <c r="E37738" s="21" t="s">
        <v>35</v>
      </c>
      <c r="F37738">
        <v>10790228</v>
      </c>
      <c r="G37738" t="s">
        <v>6692</v>
      </c>
      <c r="H37738" s="21">
        <v>486.5</v>
      </c>
    </row>
    <row r="37739" spans="1:8" customFormat="1" x14ac:dyDescent="0.25">
      <c r="A37739" t="str">
        <f>"7634572"</f>
        <v>7634572</v>
      </c>
      <c r="B37739" t="s">
        <v>3576</v>
      </c>
      <c r="C37739" t="s">
        <v>3905</v>
      </c>
      <c r="D37739" s="21" t="s">
        <v>34</v>
      </c>
      <c r="E37739" s="21" t="s">
        <v>254</v>
      </c>
      <c r="F37739">
        <v>9760377</v>
      </c>
      <c r="G37739" t="s">
        <v>6631</v>
      </c>
      <c r="H37739" s="21">
        <v>486.5</v>
      </c>
    </row>
    <row r="37740" spans="1:8" customFormat="1" x14ac:dyDescent="0.25">
      <c r="A37740" t="str">
        <f>"5944059"</f>
        <v>5944059</v>
      </c>
      <c r="B37740" t="s">
        <v>3978</v>
      </c>
      <c r="C37740" t="s">
        <v>2520</v>
      </c>
      <c r="D37740" s="21" t="s">
        <v>34</v>
      </c>
      <c r="E37740" s="21" t="s">
        <v>254</v>
      </c>
      <c r="F37740">
        <v>7590151</v>
      </c>
      <c r="G37740" t="s">
        <v>12236</v>
      </c>
      <c r="H37740" s="21">
        <v>486.5</v>
      </c>
    </row>
    <row r="37741" spans="1:8" customFormat="1" x14ac:dyDescent="0.25">
      <c r="A37741" t="str">
        <f>"9537803"</f>
        <v>9537803</v>
      </c>
      <c r="B37741" t="s">
        <v>19205</v>
      </c>
      <c r="C37741" t="s">
        <v>209</v>
      </c>
      <c r="D37741" s="21" t="s">
        <v>34</v>
      </c>
      <c r="E37741" s="21" t="s">
        <v>35</v>
      </c>
      <c r="F37741">
        <v>8950129</v>
      </c>
      <c r="G37741" t="s">
        <v>10701</v>
      </c>
      <c r="H37741" s="21">
        <v>486.5</v>
      </c>
    </row>
    <row r="37742" spans="1:8" customFormat="1" x14ac:dyDescent="0.25">
      <c r="A37742" t="str">
        <f>"7877028"</f>
        <v>7877028</v>
      </c>
      <c r="B37742" t="s">
        <v>19371</v>
      </c>
      <c r="C37742" t="s">
        <v>33</v>
      </c>
      <c r="D37742" s="21" t="s">
        <v>34</v>
      </c>
      <c r="E37742" s="21" t="s">
        <v>35</v>
      </c>
      <c r="F37742">
        <v>8781474</v>
      </c>
      <c r="G37742" t="s">
        <v>17197</v>
      </c>
      <c r="H37742" s="21">
        <v>486.5</v>
      </c>
    </row>
    <row r="37743" spans="1:8" customFormat="1" x14ac:dyDescent="0.25">
      <c r="A37743" t="str">
        <f>"3340493"</f>
        <v>3340493</v>
      </c>
      <c r="B37743" t="s">
        <v>24120</v>
      </c>
      <c r="C37743" t="s">
        <v>24575</v>
      </c>
      <c r="D37743" s="21" t="s">
        <v>34</v>
      </c>
      <c r="E37743" s="21" t="s">
        <v>71</v>
      </c>
      <c r="F37743">
        <v>10330028</v>
      </c>
      <c r="G37743" t="s">
        <v>4553</v>
      </c>
      <c r="H37743" s="21">
        <v>486.5</v>
      </c>
    </row>
    <row r="37744" spans="1:8" customFormat="1" x14ac:dyDescent="0.25">
      <c r="A37744" t="str">
        <f>"167764"</f>
        <v>167764</v>
      </c>
      <c r="B37744" t="s">
        <v>2645</v>
      </c>
      <c r="C37744" t="s">
        <v>453</v>
      </c>
      <c r="D37744" s="21" t="s">
        <v>34</v>
      </c>
      <c r="E37744" s="21" t="s">
        <v>71</v>
      </c>
      <c r="F37744">
        <v>10160030</v>
      </c>
      <c r="G37744" t="s">
        <v>13173</v>
      </c>
      <c r="H37744" s="21">
        <v>486.5</v>
      </c>
    </row>
    <row r="37745" spans="1:8" customFormat="1" x14ac:dyDescent="0.25">
      <c r="A37745" t="str">
        <f>"282821"</f>
        <v>282821</v>
      </c>
      <c r="B37745" t="s">
        <v>11150</v>
      </c>
      <c r="C37745" t="s">
        <v>109</v>
      </c>
      <c r="D37745" s="21" t="s">
        <v>34</v>
      </c>
      <c r="E37745" s="21" t="s">
        <v>35</v>
      </c>
      <c r="F37745">
        <v>4280251</v>
      </c>
      <c r="G37745" t="s">
        <v>16982</v>
      </c>
      <c r="H37745" s="21">
        <v>486.5</v>
      </c>
    </row>
    <row r="37746" spans="1:8" customFormat="1" x14ac:dyDescent="0.25">
      <c r="A37746" t="str">
        <f>"5016547"</f>
        <v>5016547</v>
      </c>
      <c r="B37746" t="s">
        <v>21815</v>
      </c>
      <c r="C37746" t="s">
        <v>388</v>
      </c>
      <c r="D37746" s="21" t="s">
        <v>34</v>
      </c>
      <c r="E37746" s="21" t="s">
        <v>254</v>
      </c>
      <c r="F37746">
        <v>9500012</v>
      </c>
      <c r="G37746" t="s">
        <v>10097</v>
      </c>
      <c r="H37746" s="21">
        <v>486.5</v>
      </c>
    </row>
    <row r="37747" spans="1:8" customFormat="1" x14ac:dyDescent="0.25">
      <c r="A37747" t="str">
        <f>"9316284"</f>
        <v>9316284</v>
      </c>
      <c r="B37747" t="s">
        <v>19512</v>
      </c>
      <c r="C37747" t="s">
        <v>11039</v>
      </c>
      <c r="D37747" s="21" t="s">
        <v>34</v>
      </c>
      <c r="E37747" s="21" t="s">
        <v>35</v>
      </c>
      <c r="F37747">
        <v>8930598</v>
      </c>
      <c r="G37747" t="s">
        <v>445</v>
      </c>
      <c r="H37747" s="21">
        <v>486.5</v>
      </c>
    </row>
    <row r="37748" spans="1:8" customFormat="1" x14ac:dyDescent="0.25">
      <c r="A37748" t="str">
        <f>"5433024"</f>
        <v>5433024</v>
      </c>
      <c r="B37748" t="s">
        <v>21116</v>
      </c>
      <c r="C37748" t="s">
        <v>486</v>
      </c>
      <c r="D37748" s="21" t="s">
        <v>34</v>
      </c>
      <c r="E37748" s="21" t="s">
        <v>35</v>
      </c>
      <c r="F37748">
        <v>6540021</v>
      </c>
      <c r="G37748" t="s">
        <v>1815</v>
      </c>
      <c r="H37748" s="21">
        <v>486.5</v>
      </c>
    </row>
    <row r="37749" spans="1:8" customFormat="1" x14ac:dyDescent="0.25">
      <c r="A37749" t="str">
        <f>"6022958"</f>
        <v>6022958</v>
      </c>
      <c r="B37749" t="s">
        <v>6517</v>
      </c>
      <c r="C37749" t="s">
        <v>55</v>
      </c>
      <c r="D37749" s="21" t="s">
        <v>34</v>
      </c>
      <c r="E37749" s="21" t="s">
        <v>35</v>
      </c>
      <c r="F37749">
        <v>7600119</v>
      </c>
      <c r="G37749" t="s">
        <v>11415</v>
      </c>
      <c r="H37749" s="21">
        <v>486.5</v>
      </c>
    </row>
    <row r="37750" spans="1:8" customFormat="1" x14ac:dyDescent="0.25">
      <c r="A37750" t="str">
        <f>"7622025"</f>
        <v>7622025</v>
      </c>
      <c r="B37750" t="s">
        <v>2319</v>
      </c>
      <c r="C37750" t="s">
        <v>124</v>
      </c>
      <c r="D37750" s="21" t="s">
        <v>34</v>
      </c>
      <c r="E37750" s="21" t="s">
        <v>71</v>
      </c>
      <c r="F37750">
        <v>9760417</v>
      </c>
      <c r="G37750" t="s">
        <v>11996</v>
      </c>
      <c r="H37750" s="21">
        <v>486.5</v>
      </c>
    </row>
    <row r="37751" spans="1:8" customFormat="1" x14ac:dyDescent="0.25">
      <c r="A37751" t="str">
        <f>"4457882"</f>
        <v>4457882</v>
      </c>
      <c r="B37751" t="s">
        <v>10071</v>
      </c>
      <c r="C37751" t="s">
        <v>288</v>
      </c>
      <c r="D37751" s="21" t="s">
        <v>34</v>
      </c>
      <c r="E37751" s="21" t="s">
        <v>35</v>
      </c>
      <c r="F37751">
        <v>12440058</v>
      </c>
      <c r="G37751" t="s">
        <v>394</v>
      </c>
      <c r="H37751" s="21">
        <v>486.5</v>
      </c>
    </row>
    <row r="37752" spans="1:8" customFormat="1" x14ac:dyDescent="0.25">
      <c r="A37752" t="str">
        <f>"2516281"</f>
        <v>2516281</v>
      </c>
      <c r="B37752" t="s">
        <v>22398</v>
      </c>
      <c r="C37752" t="s">
        <v>4842</v>
      </c>
      <c r="D37752" s="21" t="s">
        <v>34</v>
      </c>
      <c r="E37752" s="21" t="s">
        <v>254</v>
      </c>
      <c r="F37752">
        <v>2250176</v>
      </c>
      <c r="G37752" t="s">
        <v>7261</v>
      </c>
      <c r="H37752" s="21">
        <v>486.5</v>
      </c>
    </row>
    <row r="37753" spans="1:8" customFormat="1" x14ac:dyDescent="0.25">
      <c r="A37753" t="str">
        <f>"5733784"</f>
        <v>5733784</v>
      </c>
      <c r="B37753" t="s">
        <v>13961</v>
      </c>
      <c r="C37753" t="s">
        <v>3109</v>
      </c>
      <c r="D37753" s="21" t="s">
        <v>34</v>
      </c>
      <c r="E37753" s="21" t="s">
        <v>35</v>
      </c>
      <c r="F37753">
        <v>6570190</v>
      </c>
      <c r="G37753" t="s">
        <v>622</v>
      </c>
      <c r="H37753" s="21">
        <v>486.5</v>
      </c>
    </row>
    <row r="37754" spans="1:8" customFormat="1" x14ac:dyDescent="0.25">
      <c r="A37754" t="str">
        <f>"653338"</f>
        <v>653338</v>
      </c>
      <c r="B37754" t="s">
        <v>2835</v>
      </c>
      <c r="C37754" t="s">
        <v>65</v>
      </c>
      <c r="D37754" s="21" t="s">
        <v>34</v>
      </c>
      <c r="E37754" s="21" t="s">
        <v>35</v>
      </c>
      <c r="F37754">
        <v>11650018</v>
      </c>
      <c r="G37754" t="s">
        <v>6247</v>
      </c>
      <c r="H37754" s="21">
        <v>486.5</v>
      </c>
    </row>
    <row r="37755" spans="1:8" customFormat="1" x14ac:dyDescent="0.25">
      <c r="A37755" t="str">
        <f>"801427"</f>
        <v>801427</v>
      </c>
      <c r="B37755" t="s">
        <v>14129</v>
      </c>
      <c r="C37755" t="s">
        <v>2520</v>
      </c>
      <c r="D37755" s="21" t="s">
        <v>34</v>
      </c>
      <c r="E37755" s="21" t="s">
        <v>254</v>
      </c>
      <c r="F37755">
        <v>7800066</v>
      </c>
      <c r="G37755" t="s">
        <v>14130</v>
      </c>
      <c r="H37755" s="21">
        <v>486.5</v>
      </c>
    </row>
    <row r="37756" spans="1:8" customFormat="1" x14ac:dyDescent="0.25">
      <c r="A37756" t="str">
        <f>"0811953"</f>
        <v>0811953</v>
      </c>
      <c r="B37756" t="s">
        <v>22891</v>
      </c>
      <c r="C37756" t="s">
        <v>275</v>
      </c>
      <c r="D37756" s="21" t="s">
        <v>34</v>
      </c>
      <c r="E37756" s="21" t="s">
        <v>35</v>
      </c>
      <c r="F37756">
        <v>6080003</v>
      </c>
      <c r="G37756" t="s">
        <v>11899</v>
      </c>
      <c r="H37756" s="21">
        <v>486.5</v>
      </c>
    </row>
    <row r="37757" spans="1:8" customFormat="1" x14ac:dyDescent="0.25">
      <c r="A37757" t="str">
        <f>"0811764"</f>
        <v>0811764</v>
      </c>
      <c r="B37757" t="s">
        <v>2082</v>
      </c>
      <c r="C37757" t="s">
        <v>249</v>
      </c>
      <c r="D37757" s="21" t="s">
        <v>34</v>
      </c>
      <c r="E37757" s="21" t="s">
        <v>71</v>
      </c>
      <c r="F37757">
        <v>6080092</v>
      </c>
      <c r="G37757" t="s">
        <v>7668</v>
      </c>
      <c r="H37757" s="21">
        <v>486.5</v>
      </c>
    </row>
    <row r="37758" spans="1:8" customFormat="1" x14ac:dyDescent="0.25">
      <c r="A37758" t="str">
        <f>"5934213"</f>
        <v>5934213</v>
      </c>
      <c r="B37758" t="s">
        <v>24219</v>
      </c>
      <c r="C37758" t="s">
        <v>879</v>
      </c>
      <c r="D37758" s="21" t="s">
        <v>34</v>
      </c>
      <c r="E37758" s="21" t="s">
        <v>71</v>
      </c>
      <c r="F37758">
        <v>7590177</v>
      </c>
      <c r="G37758" t="s">
        <v>10380</v>
      </c>
      <c r="H37758" s="21">
        <v>486.5</v>
      </c>
    </row>
    <row r="37759" spans="1:8" customFormat="1" x14ac:dyDescent="0.25">
      <c r="A37759" t="str">
        <f>"051315"</f>
        <v>051315</v>
      </c>
      <c r="B37759" t="s">
        <v>2082</v>
      </c>
      <c r="C37759" t="s">
        <v>60</v>
      </c>
      <c r="D37759" s="21" t="s">
        <v>34</v>
      </c>
      <c r="E37759" s="21" t="s">
        <v>35</v>
      </c>
      <c r="F37759">
        <v>13050005</v>
      </c>
      <c r="G37759" t="s">
        <v>5248</v>
      </c>
      <c r="H37759" s="21">
        <v>486.42</v>
      </c>
    </row>
    <row r="37760" spans="1:8" customFormat="1" x14ac:dyDescent="0.25">
      <c r="A37760" t="str">
        <f>"271245"</f>
        <v>271245</v>
      </c>
      <c r="B37760" t="s">
        <v>1185</v>
      </c>
      <c r="C37760" t="s">
        <v>547</v>
      </c>
      <c r="D37760" s="21" t="s">
        <v>34</v>
      </c>
      <c r="E37760" s="21" t="s">
        <v>1089</v>
      </c>
      <c r="F37760">
        <v>9270110</v>
      </c>
      <c r="G37760" t="s">
        <v>7417</v>
      </c>
      <c r="H37760" s="21">
        <v>486.38</v>
      </c>
    </row>
    <row r="37761" spans="1:8" customFormat="1" x14ac:dyDescent="0.25">
      <c r="A37761" t="str">
        <f>"1424436"</f>
        <v>1424436</v>
      </c>
      <c r="B37761" t="s">
        <v>4231</v>
      </c>
      <c r="C37761" t="s">
        <v>2520</v>
      </c>
      <c r="D37761" s="21" t="s">
        <v>34</v>
      </c>
      <c r="E37761" s="21" t="s">
        <v>1089</v>
      </c>
      <c r="F37761">
        <v>9140007</v>
      </c>
      <c r="G37761" t="s">
        <v>434</v>
      </c>
      <c r="H37761" s="21">
        <v>486.25</v>
      </c>
    </row>
    <row r="37762" spans="1:8" customFormat="1" x14ac:dyDescent="0.25">
      <c r="A37762" t="str">
        <f>"649045"</f>
        <v>649045</v>
      </c>
      <c r="B37762" t="s">
        <v>23581</v>
      </c>
      <c r="C37762" t="s">
        <v>822</v>
      </c>
      <c r="D37762" s="21" t="s">
        <v>34</v>
      </c>
      <c r="E37762" s="21" t="s">
        <v>71</v>
      </c>
      <c r="F37762">
        <v>10400013</v>
      </c>
      <c r="G37762" t="s">
        <v>6238</v>
      </c>
      <c r="H37762" s="21">
        <v>486.25</v>
      </c>
    </row>
    <row r="37763" spans="1:8" customFormat="1" x14ac:dyDescent="0.25">
      <c r="A37763" t="str">
        <f>"6316314"</f>
        <v>6316314</v>
      </c>
      <c r="B37763" t="s">
        <v>5399</v>
      </c>
      <c r="C37763" t="s">
        <v>151</v>
      </c>
      <c r="D37763" s="21" t="s">
        <v>34</v>
      </c>
      <c r="E37763" s="21" t="s">
        <v>71</v>
      </c>
      <c r="F37763">
        <v>1630185</v>
      </c>
      <c r="G37763" t="s">
        <v>858</v>
      </c>
      <c r="H37763" s="21">
        <v>486.17</v>
      </c>
    </row>
    <row r="37764" spans="1:8" customFormat="1" x14ac:dyDescent="0.25">
      <c r="A37764" t="str">
        <f>"5983218"</f>
        <v>5983218</v>
      </c>
      <c r="B37764" t="s">
        <v>29480</v>
      </c>
      <c r="C37764" t="s">
        <v>33</v>
      </c>
      <c r="D37764" s="21" t="s">
        <v>34</v>
      </c>
      <c r="E37764" s="21" t="s">
        <v>71</v>
      </c>
      <c r="F37764">
        <v>7590409</v>
      </c>
      <c r="G37764" t="s">
        <v>2228</v>
      </c>
      <c r="H37764" s="21">
        <v>486.17</v>
      </c>
    </row>
    <row r="37765" spans="1:8" customFormat="1" x14ac:dyDescent="0.25">
      <c r="A37765" t="str">
        <f>"619716"</f>
        <v>619716</v>
      </c>
      <c r="B37765" t="s">
        <v>431</v>
      </c>
      <c r="C37765" t="s">
        <v>209</v>
      </c>
      <c r="D37765" s="21" t="s">
        <v>34</v>
      </c>
      <c r="E37765" s="21" t="s">
        <v>71</v>
      </c>
      <c r="F37765">
        <v>9610144</v>
      </c>
      <c r="G37765" t="s">
        <v>6311</v>
      </c>
      <c r="H37765" s="21">
        <v>486.17</v>
      </c>
    </row>
    <row r="37766" spans="1:8" customFormat="1" x14ac:dyDescent="0.25">
      <c r="A37766" t="str">
        <f>"8524498"</f>
        <v>8524498</v>
      </c>
      <c r="B37766" t="s">
        <v>7384</v>
      </c>
      <c r="C37766" t="s">
        <v>462</v>
      </c>
      <c r="D37766" s="21" t="s">
        <v>34</v>
      </c>
      <c r="E37766" s="21" t="s">
        <v>71</v>
      </c>
      <c r="F37766">
        <v>12850104</v>
      </c>
      <c r="G37766" t="s">
        <v>6556</v>
      </c>
      <c r="H37766" s="21">
        <v>486.17</v>
      </c>
    </row>
    <row r="37767" spans="1:8" customFormat="1" x14ac:dyDescent="0.25">
      <c r="A37767" t="str">
        <f>"3343195"</f>
        <v>3343195</v>
      </c>
      <c r="B37767" t="s">
        <v>23816</v>
      </c>
      <c r="C37767" t="s">
        <v>156</v>
      </c>
      <c r="D37767" s="21" t="s">
        <v>34</v>
      </c>
      <c r="E37767" s="21" t="s">
        <v>71</v>
      </c>
      <c r="F37767">
        <v>10330078</v>
      </c>
      <c r="G37767" t="s">
        <v>7597</v>
      </c>
      <c r="H37767" s="21">
        <v>486.17</v>
      </c>
    </row>
    <row r="37768" spans="1:8" customFormat="1" x14ac:dyDescent="0.25">
      <c r="A37768" t="str">
        <f>"4436112"</f>
        <v>4436112</v>
      </c>
      <c r="B37768" t="s">
        <v>4834</v>
      </c>
      <c r="C37768" t="s">
        <v>576</v>
      </c>
      <c r="D37768" s="21" t="s">
        <v>34</v>
      </c>
      <c r="E37768" s="21" t="s">
        <v>71</v>
      </c>
      <c r="F37768">
        <v>12440262</v>
      </c>
      <c r="G37768" t="s">
        <v>4590</v>
      </c>
      <c r="H37768" s="21">
        <v>486.17</v>
      </c>
    </row>
    <row r="37769" spans="1:8" customFormat="1" x14ac:dyDescent="0.25">
      <c r="A37769" t="str">
        <f>"5949057"</f>
        <v>5949057</v>
      </c>
      <c r="B37769" t="s">
        <v>24080</v>
      </c>
      <c r="C37769" t="s">
        <v>43</v>
      </c>
      <c r="D37769" s="21" t="s">
        <v>34</v>
      </c>
      <c r="E37769" s="21" t="s">
        <v>35</v>
      </c>
      <c r="F37769">
        <v>7590050</v>
      </c>
      <c r="G37769" t="s">
        <v>473</v>
      </c>
      <c r="H37769" s="21">
        <v>486.17</v>
      </c>
    </row>
    <row r="37770" spans="1:8" customFormat="1" x14ac:dyDescent="0.25">
      <c r="A37770" t="str">
        <f>"9248754"</f>
        <v>9248754</v>
      </c>
      <c r="B37770" t="s">
        <v>29481</v>
      </c>
      <c r="C37770" t="s">
        <v>288</v>
      </c>
      <c r="D37770" s="21" t="s">
        <v>34</v>
      </c>
      <c r="E37770" s="21" t="s">
        <v>35</v>
      </c>
      <c r="F37770">
        <v>8921322</v>
      </c>
      <c r="G37770" t="s">
        <v>27025</v>
      </c>
      <c r="H37770" s="21">
        <v>486.04</v>
      </c>
    </row>
    <row r="37771" spans="1:8" customFormat="1" x14ac:dyDescent="0.25">
      <c r="A37771" t="str">
        <f>"9534514"</f>
        <v>9534514</v>
      </c>
      <c r="B37771" t="s">
        <v>3689</v>
      </c>
      <c r="C37771" t="s">
        <v>879</v>
      </c>
      <c r="D37771" s="21" t="s">
        <v>34</v>
      </c>
      <c r="E37771" s="21" t="s">
        <v>71</v>
      </c>
      <c r="F37771">
        <v>8951261</v>
      </c>
      <c r="G37771" t="s">
        <v>920</v>
      </c>
      <c r="H37771" s="21">
        <v>486</v>
      </c>
    </row>
    <row r="37772" spans="1:8" customFormat="1" x14ac:dyDescent="0.25">
      <c r="A37772" t="str">
        <f>"638006"</f>
        <v>638006</v>
      </c>
      <c r="B37772" t="s">
        <v>23152</v>
      </c>
      <c r="C37772" t="s">
        <v>3648</v>
      </c>
      <c r="D37772" s="21" t="s">
        <v>34</v>
      </c>
      <c r="E37772" s="21" t="s">
        <v>254</v>
      </c>
      <c r="F37772">
        <v>1630307</v>
      </c>
      <c r="G37772" t="s">
        <v>15524</v>
      </c>
      <c r="H37772" s="21">
        <v>486</v>
      </c>
    </row>
    <row r="37773" spans="1:8" customFormat="1" x14ac:dyDescent="0.25">
      <c r="A37773" t="str">
        <f>"578213"</f>
        <v>578213</v>
      </c>
      <c r="B37773" t="s">
        <v>8602</v>
      </c>
      <c r="C37773" t="s">
        <v>2365</v>
      </c>
      <c r="D37773" s="21" t="s">
        <v>34</v>
      </c>
      <c r="E37773" s="21" t="s">
        <v>71</v>
      </c>
      <c r="F37773">
        <v>6570030</v>
      </c>
      <c r="G37773" t="s">
        <v>851</v>
      </c>
      <c r="H37773" s="21">
        <v>486</v>
      </c>
    </row>
    <row r="37774" spans="1:8" customFormat="1" x14ac:dyDescent="0.25">
      <c r="A37774" t="str">
        <f>"7878867"</f>
        <v>7878867</v>
      </c>
      <c r="B37774" t="s">
        <v>24297</v>
      </c>
      <c r="C37774" t="s">
        <v>90</v>
      </c>
      <c r="D37774" s="21" t="s">
        <v>34</v>
      </c>
      <c r="E37774" s="21" t="s">
        <v>71</v>
      </c>
      <c r="F37774">
        <v>8780440</v>
      </c>
      <c r="G37774" t="s">
        <v>6629</v>
      </c>
      <c r="H37774" s="21">
        <v>486</v>
      </c>
    </row>
    <row r="37775" spans="1:8" customFormat="1" x14ac:dyDescent="0.25">
      <c r="A37775" t="str">
        <f>"7729982"</f>
        <v>7729982</v>
      </c>
      <c r="B37775" t="s">
        <v>29482</v>
      </c>
      <c r="C37775" t="s">
        <v>65</v>
      </c>
      <c r="D37775" s="21" t="s">
        <v>34</v>
      </c>
      <c r="E37775" s="21" t="s">
        <v>35</v>
      </c>
      <c r="F37775">
        <v>8771184</v>
      </c>
      <c r="G37775" t="s">
        <v>137</v>
      </c>
      <c r="H37775" s="21">
        <v>486</v>
      </c>
    </row>
    <row r="37776" spans="1:8" customFormat="1" x14ac:dyDescent="0.25">
      <c r="A37776" t="str">
        <f>"844184"</f>
        <v>844184</v>
      </c>
      <c r="B37776" t="s">
        <v>3930</v>
      </c>
      <c r="C37776" t="s">
        <v>2529</v>
      </c>
      <c r="D37776" s="21" t="s">
        <v>34</v>
      </c>
      <c r="E37776" s="21" t="s">
        <v>254</v>
      </c>
      <c r="F37776">
        <v>13840037</v>
      </c>
      <c r="G37776" t="s">
        <v>2019</v>
      </c>
      <c r="H37776" s="21">
        <v>486</v>
      </c>
    </row>
    <row r="37777" spans="1:8" customFormat="1" x14ac:dyDescent="0.25">
      <c r="A37777" t="str">
        <f>"8528606"</f>
        <v>8528606</v>
      </c>
      <c r="B37777" t="s">
        <v>29483</v>
      </c>
      <c r="C37777" t="s">
        <v>156</v>
      </c>
      <c r="D37777" s="21" t="s">
        <v>34</v>
      </c>
      <c r="E37777" s="21" t="s">
        <v>6185</v>
      </c>
      <c r="F37777">
        <v>12850136</v>
      </c>
      <c r="G37777" t="s">
        <v>2536</v>
      </c>
      <c r="H37777" s="21">
        <v>486</v>
      </c>
    </row>
    <row r="37778" spans="1:8" customFormat="1" x14ac:dyDescent="0.25">
      <c r="A37778" t="str">
        <f>"9429240"</f>
        <v>9429240</v>
      </c>
      <c r="B37778" t="s">
        <v>24039</v>
      </c>
      <c r="C37778" t="s">
        <v>2132</v>
      </c>
      <c r="D37778" s="21" t="s">
        <v>34</v>
      </c>
      <c r="E37778" s="21" t="s">
        <v>35</v>
      </c>
      <c r="F37778">
        <v>8941343</v>
      </c>
      <c r="G37778" t="s">
        <v>9614</v>
      </c>
      <c r="H37778" s="21">
        <v>486</v>
      </c>
    </row>
    <row r="37779" spans="1:8" customFormat="1" x14ac:dyDescent="0.25">
      <c r="A37779" t="str">
        <f>"3833766"</f>
        <v>3833766</v>
      </c>
      <c r="B37779" t="s">
        <v>4888</v>
      </c>
      <c r="C37779" t="s">
        <v>275</v>
      </c>
      <c r="D37779" s="21" t="s">
        <v>34</v>
      </c>
      <c r="E37779" s="21" t="s">
        <v>35</v>
      </c>
      <c r="F37779">
        <v>1380262</v>
      </c>
      <c r="G37779" t="s">
        <v>1216</v>
      </c>
      <c r="H37779" s="21">
        <v>486</v>
      </c>
    </row>
    <row r="37780" spans="1:8" customFormat="1" x14ac:dyDescent="0.25">
      <c r="A37780" t="str">
        <f>"6230493"</f>
        <v>6230493</v>
      </c>
      <c r="B37780" t="s">
        <v>23328</v>
      </c>
      <c r="C37780" t="s">
        <v>1025</v>
      </c>
      <c r="D37780" s="21" t="s">
        <v>34</v>
      </c>
      <c r="E37780" s="21" t="s">
        <v>254</v>
      </c>
      <c r="F37780">
        <v>7620042</v>
      </c>
      <c r="G37780" t="s">
        <v>8102</v>
      </c>
      <c r="H37780" s="21">
        <v>486</v>
      </c>
    </row>
    <row r="37781" spans="1:8" customFormat="1" x14ac:dyDescent="0.25">
      <c r="A37781" t="str">
        <f>"5949662"</f>
        <v>5949662</v>
      </c>
      <c r="B37781" t="s">
        <v>1572</v>
      </c>
      <c r="C37781" t="s">
        <v>528</v>
      </c>
      <c r="D37781" s="21" t="s">
        <v>34</v>
      </c>
      <c r="E37781" s="21" t="s">
        <v>71</v>
      </c>
      <c r="F37781">
        <v>7590089</v>
      </c>
      <c r="G37781" t="s">
        <v>1418</v>
      </c>
      <c r="H37781" s="21">
        <v>486</v>
      </c>
    </row>
    <row r="37782" spans="1:8" customFormat="1" x14ac:dyDescent="0.25">
      <c r="A37782" t="str">
        <f>"7872449"</f>
        <v>7872449</v>
      </c>
      <c r="B37782" t="s">
        <v>23877</v>
      </c>
      <c r="C37782" t="s">
        <v>263</v>
      </c>
      <c r="D37782" s="21" t="s">
        <v>34</v>
      </c>
      <c r="E37782" s="21" t="s">
        <v>254</v>
      </c>
      <c r="F37782">
        <v>8781162</v>
      </c>
      <c r="G37782" t="s">
        <v>7991</v>
      </c>
      <c r="H37782" s="21">
        <v>486</v>
      </c>
    </row>
    <row r="37783" spans="1:8" customFormat="1" x14ac:dyDescent="0.25">
      <c r="A37783" t="str">
        <f>"3723683"</f>
        <v>3723683</v>
      </c>
      <c r="B37783" t="s">
        <v>582</v>
      </c>
      <c r="C37783" t="s">
        <v>62</v>
      </c>
      <c r="D37783" s="21" t="s">
        <v>34</v>
      </c>
      <c r="E37783" s="21" t="s">
        <v>35</v>
      </c>
      <c r="F37783">
        <v>4370669</v>
      </c>
      <c r="G37783" t="s">
        <v>8189</v>
      </c>
      <c r="H37783" s="21">
        <v>486</v>
      </c>
    </row>
    <row r="37784" spans="1:8" customFormat="1" x14ac:dyDescent="0.25">
      <c r="A37784" t="str">
        <f>"2616474"</f>
        <v>2616474</v>
      </c>
      <c r="B37784" t="s">
        <v>1349</v>
      </c>
      <c r="C37784" t="s">
        <v>198</v>
      </c>
      <c r="D37784" s="21" t="s">
        <v>34</v>
      </c>
      <c r="E37784" s="21" t="s">
        <v>254</v>
      </c>
      <c r="F37784">
        <v>1260062</v>
      </c>
      <c r="G37784" t="s">
        <v>6156</v>
      </c>
      <c r="H37784" s="21">
        <v>486</v>
      </c>
    </row>
    <row r="37785" spans="1:8" customFormat="1" x14ac:dyDescent="0.25">
      <c r="A37785" t="str">
        <f>"7635822"</f>
        <v>7635822</v>
      </c>
      <c r="B37785" t="s">
        <v>12880</v>
      </c>
      <c r="C37785" t="s">
        <v>233</v>
      </c>
      <c r="D37785" s="21" t="s">
        <v>34</v>
      </c>
      <c r="E37785" s="21" t="s">
        <v>71</v>
      </c>
      <c r="F37785">
        <v>9760458</v>
      </c>
      <c r="G37785" t="s">
        <v>3594</v>
      </c>
      <c r="H37785" s="21">
        <v>486</v>
      </c>
    </row>
    <row r="37786" spans="1:8" customFormat="1" x14ac:dyDescent="0.25">
      <c r="A37786" t="str">
        <f>"8516046"</f>
        <v>8516046</v>
      </c>
      <c r="B37786" t="s">
        <v>21170</v>
      </c>
      <c r="C37786" t="s">
        <v>879</v>
      </c>
      <c r="D37786" s="21" t="s">
        <v>34</v>
      </c>
      <c r="E37786" s="21" t="s">
        <v>254</v>
      </c>
      <c r="F37786">
        <v>12850031</v>
      </c>
      <c r="G37786" t="s">
        <v>3180</v>
      </c>
      <c r="H37786" s="21">
        <v>486</v>
      </c>
    </row>
    <row r="37787" spans="1:8" customFormat="1" x14ac:dyDescent="0.25">
      <c r="A37787" t="str">
        <f>"3519530"</f>
        <v>3519530</v>
      </c>
      <c r="B37787" t="s">
        <v>13644</v>
      </c>
      <c r="C37787" t="s">
        <v>211</v>
      </c>
      <c r="D37787" s="21" t="s">
        <v>34</v>
      </c>
      <c r="E37787" s="21" t="s">
        <v>71</v>
      </c>
      <c r="F37787">
        <v>3220004</v>
      </c>
      <c r="G37787" t="s">
        <v>26986</v>
      </c>
      <c r="H37787" s="21">
        <v>486</v>
      </c>
    </row>
    <row r="37788" spans="1:8" customFormat="1" x14ac:dyDescent="0.25">
      <c r="A37788" t="str">
        <f>"707384"</f>
        <v>707384</v>
      </c>
      <c r="B37788" t="s">
        <v>20200</v>
      </c>
      <c r="C37788" t="s">
        <v>33</v>
      </c>
      <c r="D37788" s="21" t="s">
        <v>34</v>
      </c>
      <c r="E37788" s="21" t="s">
        <v>35</v>
      </c>
      <c r="F37788">
        <v>2700009</v>
      </c>
      <c r="G37788" t="s">
        <v>2156</v>
      </c>
      <c r="H37788" s="21">
        <v>486</v>
      </c>
    </row>
    <row r="37789" spans="1:8" customFormat="1" x14ac:dyDescent="0.25">
      <c r="A37789" t="str">
        <f>"7630126"</f>
        <v>7630126</v>
      </c>
      <c r="B37789" t="s">
        <v>8432</v>
      </c>
      <c r="C37789" t="s">
        <v>415</v>
      </c>
      <c r="D37789" s="21" t="s">
        <v>34</v>
      </c>
      <c r="E37789" s="21" t="s">
        <v>254</v>
      </c>
      <c r="F37789">
        <v>9760239</v>
      </c>
      <c r="G37789" t="s">
        <v>9147</v>
      </c>
      <c r="H37789" s="21">
        <v>486</v>
      </c>
    </row>
    <row r="37790" spans="1:8" customFormat="1" x14ac:dyDescent="0.25">
      <c r="A37790" t="str">
        <f>"2814883"</f>
        <v>2814883</v>
      </c>
      <c r="B37790" t="s">
        <v>24725</v>
      </c>
      <c r="C37790" t="s">
        <v>22831</v>
      </c>
      <c r="D37790" s="21" t="s">
        <v>34</v>
      </c>
      <c r="E37790" s="21" t="s">
        <v>35</v>
      </c>
      <c r="F37790">
        <v>4280005</v>
      </c>
      <c r="G37790" t="s">
        <v>5760</v>
      </c>
      <c r="H37790" s="21">
        <v>486</v>
      </c>
    </row>
    <row r="37791" spans="1:8" customFormat="1" x14ac:dyDescent="0.25">
      <c r="A37791" t="str">
        <f>"9445578"</f>
        <v>9445578</v>
      </c>
      <c r="B37791" t="s">
        <v>2324</v>
      </c>
      <c r="C37791" t="s">
        <v>211</v>
      </c>
      <c r="D37791" s="21" t="s">
        <v>34</v>
      </c>
      <c r="E37791" s="21" t="s">
        <v>1089</v>
      </c>
      <c r="F37791">
        <v>8940326</v>
      </c>
      <c r="G37791" t="s">
        <v>659</v>
      </c>
      <c r="H37791" s="21">
        <v>486</v>
      </c>
    </row>
    <row r="37792" spans="1:8" customFormat="1" x14ac:dyDescent="0.25">
      <c r="A37792" t="str">
        <f>"6941637"</f>
        <v>6941637</v>
      </c>
      <c r="B37792" t="s">
        <v>23908</v>
      </c>
      <c r="C37792" t="s">
        <v>269</v>
      </c>
      <c r="D37792" s="21" t="s">
        <v>34</v>
      </c>
      <c r="E37792" s="21" t="s">
        <v>35</v>
      </c>
      <c r="F37792">
        <v>1690102</v>
      </c>
      <c r="G37792" t="s">
        <v>2081</v>
      </c>
      <c r="H37792" s="21">
        <v>486</v>
      </c>
    </row>
    <row r="37793" spans="1:8" customFormat="1" x14ac:dyDescent="0.25">
      <c r="A37793" t="str">
        <f>"7639196"</f>
        <v>7639196</v>
      </c>
      <c r="B37793" t="s">
        <v>22481</v>
      </c>
      <c r="C37793" t="s">
        <v>1025</v>
      </c>
      <c r="D37793" s="21" t="s">
        <v>34</v>
      </c>
      <c r="E37793" s="21" t="s">
        <v>254</v>
      </c>
      <c r="F37793">
        <v>9760028</v>
      </c>
      <c r="G37793" t="s">
        <v>4086</v>
      </c>
      <c r="H37793" s="21">
        <v>486</v>
      </c>
    </row>
    <row r="37794" spans="1:8" customFormat="1" x14ac:dyDescent="0.25">
      <c r="A37794" t="str">
        <f>"2720981"</f>
        <v>2720981</v>
      </c>
      <c r="B37794" t="s">
        <v>29484</v>
      </c>
      <c r="C37794" t="s">
        <v>547</v>
      </c>
      <c r="D37794" s="21" t="s">
        <v>34</v>
      </c>
      <c r="E37794" s="21" t="s">
        <v>1089</v>
      </c>
      <c r="F37794">
        <v>9270187</v>
      </c>
      <c r="G37794" t="s">
        <v>6733</v>
      </c>
      <c r="H37794" s="21">
        <v>486</v>
      </c>
    </row>
    <row r="37795" spans="1:8" customFormat="1" x14ac:dyDescent="0.25">
      <c r="A37795" t="str">
        <f>"7882457"</f>
        <v>7882457</v>
      </c>
      <c r="B37795" t="s">
        <v>15479</v>
      </c>
      <c r="C37795" t="s">
        <v>2907</v>
      </c>
      <c r="D37795" s="21" t="s">
        <v>34</v>
      </c>
      <c r="E37795" s="21" t="s">
        <v>71</v>
      </c>
      <c r="F37795">
        <v>8781468</v>
      </c>
      <c r="G37795" t="s">
        <v>27832</v>
      </c>
      <c r="H37795" s="21">
        <v>486</v>
      </c>
    </row>
    <row r="37796" spans="1:8" customFormat="1" x14ac:dyDescent="0.25">
      <c r="A37796" t="str">
        <f>"9538163"</f>
        <v>9538163</v>
      </c>
      <c r="B37796" t="s">
        <v>29485</v>
      </c>
      <c r="C37796" t="s">
        <v>37</v>
      </c>
      <c r="D37796" s="21" t="s">
        <v>34</v>
      </c>
      <c r="E37796" s="21" t="s">
        <v>35</v>
      </c>
      <c r="F37796">
        <v>8950119</v>
      </c>
      <c r="G37796" t="s">
        <v>8174</v>
      </c>
      <c r="H37796" s="21">
        <v>486</v>
      </c>
    </row>
    <row r="37797" spans="1:8" customFormat="1" x14ac:dyDescent="0.25">
      <c r="A37797" t="str">
        <f>"814036"</f>
        <v>814036</v>
      </c>
      <c r="B37797" t="s">
        <v>29486</v>
      </c>
      <c r="C37797" t="s">
        <v>87</v>
      </c>
      <c r="D37797" s="21" t="s">
        <v>34</v>
      </c>
      <c r="E37797" s="21" t="s">
        <v>71</v>
      </c>
      <c r="F37797">
        <v>11810028</v>
      </c>
      <c r="G37797" t="s">
        <v>5817</v>
      </c>
      <c r="H37797" s="21">
        <v>486</v>
      </c>
    </row>
    <row r="37798" spans="1:8" customFormat="1" x14ac:dyDescent="0.25">
      <c r="A37798" t="str">
        <f>"8527553"</f>
        <v>8527553</v>
      </c>
      <c r="B37798" t="s">
        <v>18426</v>
      </c>
      <c r="C37798" t="s">
        <v>249</v>
      </c>
      <c r="D37798" s="21" t="s">
        <v>34</v>
      </c>
      <c r="E37798" s="21" t="s">
        <v>35</v>
      </c>
      <c r="F37798">
        <v>12851016</v>
      </c>
      <c r="G37798" t="s">
        <v>1862</v>
      </c>
      <c r="H37798" s="21">
        <v>486</v>
      </c>
    </row>
    <row r="37799" spans="1:8" customFormat="1" x14ac:dyDescent="0.25">
      <c r="A37799" t="str">
        <f>"7223558"</f>
        <v>7223558</v>
      </c>
      <c r="B37799" t="s">
        <v>824</v>
      </c>
      <c r="C37799" t="s">
        <v>6374</v>
      </c>
      <c r="D37799" s="21" t="s">
        <v>34</v>
      </c>
      <c r="E37799" s="21" t="s">
        <v>71</v>
      </c>
      <c r="F37799">
        <v>12720078</v>
      </c>
      <c r="G37799" t="s">
        <v>5085</v>
      </c>
      <c r="H37799" s="21">
        <v>486</v>
      </c>
    </row>
    <row r="37800" spans="1:8" customFormat="1" x14ac:dyDescent="0.25">
      <c r="A37800" t="str">
        <f>"64848"</f>
        <v>64848</v>
      </c>
      <c r="B37800" t="s">
        <v>21444</v>
      </c>
      <c r="C37800" t="s">
        <v>40</v>
      </c>
      <c r="D37800" s="21" t="s">
        <v>34</v>
      </c>
      <c r="E37800" s="21" t="s">
        <v>254</v>
      </c>
      <c r="F37800">
        <v>10640003</v>
      </c>
      <c r="G37800" t="s">
        <v>1594</v>
      </c>
      <c r="H37800" s="21">
        <v>486</v>
      </c>
    </row>
    <row r="37801" spans="1:8" customFormat="1" x14ac:dyDescent="0.25">
      <c r="A37801" t="str">
        <f>"7223461"</f>
        <v>7223461</v>
      </c>
      <c r="B37801" t="s">
        <v>29487</v>
      </c>
      <c r="C37801" t="s">
        <v>1054</v>
      </c>
      <c r="D37801" s="21" t="s">
        <v>34</v>
      </c>
      <c r="E37801" s="21" t="s">
        <v>35</v>
      </c>
      <c r="F37801">
        <v>12720021</v>
      </c>
      <c r="G37801" t="s">
        <v>3329</v>
      </c>
      <c r="H37801" s="21">
        <v>486</v>
      </c>
    </row>
    <row r="37802" spans="1:8" customFormat="1" x14ac:dyDescent="0.25">
      <c r="A37802" t="str">
        <f>"5326992"</f>
        <v>5326992</v>
      </c>
      <c r="B37802" t="s">
        <v>29488</v>
      </c>
      <c r="C37802" t="s">
        <v>275</v>
      </c>
      <c r="D37802" s="21" t="s">
        <v>34</v>
      </c>
      <c r="E37802" s="21" t="s">
        <v>35</v>
      </c>
      <c r="F37802">
        <v>12530011</v>
      </c>
      <c r="G37802" t="s">
        <v>7610</v>
      </c>
      <c r="H37802" s="21">
        <v>486</v>
      </c>
    </row>
    <row r="37803" spans="1:8" customFormat="1" x14ac:dyDescent="0.25">
      <c r="A37803" t="str">
        <f>"0810998"</f>
        <v>0810998</v>
      </c>
      <c r="B37803" t="s">
        <v>24572</v>
      </c>
      <c r="C37803" t="s">
        <v>750</v>
      </c>
      <c r="D37803" s="21" t="s">
        <v>34</v>
      </c>
      <c r="E37803" s="21" t="s">
        <v>35</v>
      </c>
      <c r="F37803">
        <v>6080096</v>
      </c>
      <c r="G37803" t="s">
        <v>20259</v>
      </c>
      <c r="H37803" s="21">
        <v>486</v>
      </c>
    </row>
    <row r="37804" spans="1:8" customFormat="1" x14ac:dyDescent="0.25">
      <c r="A37804" t="str">
        <f>"5622266"</f>
        <v>5622266</v>
      </c>
      <c r="B37804" t="s">
        <v>29489</v>
      </c>
      <c r="C37804" t="s">
        <v>2365</v>
      </c>
      <c r="D37804" s="21" t="s">
        <v>34</v>
      </c>
      <c r="E37804" s="21" t="s">
        <v>35</v>
      </c>
      <c r="F37804">
        <v>3560087</v>
      </c>
      <c r="G37804" t="s">
        <v>7767</v>
      </c>
      <c r="H37804" s="21">
        <v>486</v>
      </c>
    </row>
    <row r="37805" spans="1:8" customFormat="1" x14ac:dyDescent="0.25">
      <c r="A37805" t="str">
        <f>"5617118"</f>
        <v>5617118</v>
      </c>
      <c r="B37805" t="s">
        <v>23377</v>
      </c>
      <c r="C37805" t="s">
        <v>151</v>
      </c>
      <c r="D37805" s="21" t="s">
        <v>34</v>
      </c>
      <c r="E37805" s="21" t="s">
        <v>71</v>
      </c>
      <c r="F37805">
        <v>3560049</v>
      </c>
      <c r="G37805" t="s">
        <v>8021</v>
      </c>
      <c r="H37805" s="21">
        <v>486</v>
      </c>
    </row>
    <row r="37806" spans="1:8" customFormat="1" x14ac:dyDescent="0.25">
      <c r="A37806" t="str">
        <f>"5622404"</f>
        <v>5622404</v>
      </c>
      <c r="B37806" t="s">
        <v>27120</v>
      </c>
      <c r="C37806" t="s">
        <v>87</v>
      </c>
      <c r="D37806" s="21" t="s">
        <v>34</v>
      </c>
      <c r="E37806" s="21" t="s">
        <v>71</v>
      </c>
      <c r="F37806">
        <v>3560014</v>
      </c>
      <c r="G37806" t="s">
        <v>8206</v>
      </c>
      <c r="H37806" s="21">
        <v>486</v>
      </c>
    </row>
    <row r="37807" spans="1:8" customFormat="1" x14ac:dyDescent="0.25">
      <c r="A37807" t="str">
        <f>"731117"</f>
        <v>731117</v>
      </c>
      <c r="B37807" t="s">
        <v>23419</v>
      </c>
      <c r="C37807" t="s">
        <v>14125</v>
      </c>
      <c r="D37807" s="21" t="s">
        <v>34</v>
      </c>
      <c r="E37807" s="21" t="s">
        <v>254</v>
      </c>
      <c r="F37807">
        <v>1730068</v>
      </c>
      <c r="G37807" t="s">
        <v>3375</v>
      </c>
      <c r="H37807" s="21">
        <v>486</v>
      </c>
    </row>
    <row r="37808" spans="1:8" customFormat="1" x14ac:dyDescent="0.25">
      <c r="A37808" t="str">
        <f>"6939988"</f>
        <v>6939988</v>
      </c>
      <c r="B37808" t="s">
        <v>23507</v>
      </c>
      <c r="C37808" t="s">
        <v>23050</v>
      </c>
      <c r="D37808" s="21" t="s">
        <v>34</v>
      </c>
      <c r="E37808" s="21" t="s">
        <v>71</v>
      </c>
      <c r="F37808">
        <v>1690199</v>
      </c>
      <c r="G37808" t="s">
        <v>12608</v>
      </c>
      <c r="H37808" s="21">
        <v>486</v>
      </c>
    </row>
    <row r="37809" spans="1:8" customFormat="1" x14ac:dyDescent="0.25">
      <c r="A37809" t="str">
        <f>"6316624"</f>
        <v>6316624</v>
      </c>
      <c r="B37809" t="s">
        <v>946</v>
      </c>
      <c r="C37809" t="s">
        <v>124</v>
      </c>
      <c r="D37809" s="21" t="s">
        <v>34</v>
      </c>
      <c r="E37809" s="21" t="s">
        <v>254</v>
      </c>
      <c r="F37809">
        <v>1630125</v>
      </c>
      <c r="G37809" t="s">
        <v>6858</v>
      </c>
      <c r="H37809" s="21">
        <v>486</v>
      </c>
    </row>
    <row r="37810" spans="1:8" customFormat="1" x14ac:dyDescent="0.25">
      <c r="A37810" t="str">
        <f>"0616918"</f>
        <v>0616918</v>
      </c>
      <c r="B37810" t="s">
        <v>29490</v>
      </c>
      <c r="C37810" t="s">
        <v>2072</v>
      </c>
      <c r="D37810" s="21" t="s">
        <v>34</v>
      </c>
      <c r="E37810" s="21" t="s">
        <v>35</v>
      </c>
      <c r="F37810">
        <v>13060102</v>
      </c>
      <c r="G37810" t="s">
        <v>2918</v>
      </c>
      <c r="H37810" s="21">
        <v>486</v>
      </c>
    </row>
    <row r="37811" spans="1:8" customFormat="1" x14ac:dyDescent="0.25">
      <c r="A37811" t="str">
        <f>"5954024"</f>
        <v>5954024</v>
      </c>
      <c r="B37811" t="s">
        <v>16406</v>
      </c>
      <c r="C37811" t="s">
        <v>1665</v>
      </c>
      <c r="D37811" s="21" t="s">
        <v>34</v>
      </c>
      <c r="E37811" s="21" t="s">
        <v>71</v>
      </c>
      <c r="F37811">
        <v>7590063</v>
      </c>
      <c r="G37811" t="s">
        <v>3426</v>
      </c>
      <c r="H37811" s="21">
        <v>486</v>
      </c>
    </row>
    <row r="37812" spans="1:8" customFormat="1" x14ac:dyDescent="0.25">
      <c r="A37812" t="str">
        <f>"169490"</f>
        <v>169490</v>
      </c>
      <c r="B37812" t="s">
        <v>10541</v>
      </c>
      <c r="C37812" t="s">
        <v>144</v>
      </c>
      <c r="D37812" s="21" t="s">
        <v>34</v>
      </c>
      <c r="E37812" s="21" t="s">
        <v>254</v>
      </c>
      <c r="F37812">
        <v>10160024</v>
      </c>
      <c r="G37812" t="s">
        <v>511</v>
      </c>
      <c r="H37812" s="21">
        <v>486</v>
      </c>
    </row>
    <row r="37813" spans="1:8" customFormat="1" x14ac:dyDescent="0.25">
      <c r="A37813" t="str">
        <f>"9456210"</f>
        <v>9456210</v>
      </c>
      <c r="B37813" t="s">
        <v>1833</v>
      </c>
      <c r="C37813" t="s">
        <v>459</v>
      </c>
      <c r="D37813" s="21" t="s">
        <v>34</v>
      </c>
      <c r="E37813" s="21" t="s">
        <v>71</v>
      </c>
      <c r="F37813">
        <v>8941282</v>
      </c>
      <c r="G37813" t="s">
        <v>5040</v>
      </c>
      <c r="H37813" s="21">
        <v>486</v>
      </c>
    </row>
    <row r="37814" spans="1:8" customFormat="1" x14ac:dyDescent="0.25">
      <c r="A37814" t="str">
        <f>"0210942"</f>
        <v>0210942</v>
      </c>
      <c r="B37814" t="s">
        <v>2405</v>
      </c>
      <c r="C37814" t="s">
        <v>239</v>
      </c>
      <c r="D37814" s="21" t="s">
        <v>34</v>
      </c>
      <c r="E37814" s="21" t="s">
        <v>71</v>
      </c>
      <c r="F37814">
        <v>7020037</v>
      </c>
      <c r="G37814" t="s">
        <v>4701</v>
      </c>
      <c r="H37814" s="21">
        <v>486</v>
      </c>
    </row>
    <row r="37815" spans="1:8" customFormat="1" x14ac:dyDescent="0.25">
      <c r="A37815" t="str">
        <f>"7641944"</f>
        <v>7641944</v>
      </c>
      <c r="B37815" t="s">
        <v>5092</v>
      </c>
      <c r="C37815" t="s">
        <v>528</v>
      </c>
      <c r="D37815" s="21" t="s">
        <v>34</v>
      </c>
      <c r="E37815" s="21" t="s">
        <v>254</v>
      </c>
      <c r="F37815">
        <v>9760377</v>
      </c>
      <c r="G37815" t="s">
        <v>6631</v>
      </c>
      <c r="H37815" s="21">
        <v>486</v>
      </c>
    </row>
    <row r="37816" spans="1:8" customFormat="1" x14ac:dyDescent="0.25">
      <c r="A37816" t="str">
        <f>"0619158"</f>
        <v>0619158</v>
      </c>
      <c r="B37816" t="s">
        <v>4649</v>
      </c>
      <c r="C37816" t="s">
        <v>288</v>
      </c>
      <c r="D37816" s="21" t="s">
        <v>34</v>
      </c>
      <c r="E37816" s="21" t="s">
        <v>35</v>
      </c>
      <c r="F37816">
        <v>13060064</v>
      </c>
      <c r="G37816" t="s">
        <v>976</v>
      </c>
      <c r="H37816" s="21">
        <v>486</v>
      </c>
    </row>
    <row r="37817" spans="1:8" customFormat="1" x14ac:dyDescent="0.25">
      <c r="A37817" t="str">
        <f>"368690"</f>
        <v>368690</v>
      </c>
      <c r="B37817" t="s">
        <v>15176</v>
      </c>
      <c r="C37817" t="s">
        <v>285</v>
      </c>
      <c r="D37817" s="21" t="s">
        <v>34</v>
      </c>
      <c r="E37817" s="21" t="s">
        <v>35</v>
      </c>
      <c r="F37817">
        <v>4360343</v>
      </c>
      <c r="G37817" t="s">
        <v>6348</v>
      </c>
      <c r="H37817" s="21">
        <v>486</v>
      </c>
    </row>
    <row r="37818" spans="1:8" customFormat="1" x14ac:dyDescent="0.25">
      <c r="A37818" t="str">
        <f>"7640120"</f>
        <v>7640120</v>
      </c>
      <c r="B37818" t="s">
        <v>16797</v>
      </c>
      <c r="C37818" t="s">
        <v>415</v>
      </c>
      <c r="D37818" s="21" t="s">
        <v>34</v>
      </c>
      <c r="E37818" s="21" t="s">
        <v>35</v>
      </c>
      <c r="F37818">
        <v>9760157</v>
      </c>
      <c r="G37818" t="s">
        <v>3412</v>
      </c>
      <c r="H37818" s="21">
        <v>486</v>
      </c>
    </row>
    <row r="37819" spans="1:8" customFormat="1" x14ac:dyDescent="0.25">
      <c r="A37819" t="str">
        <f>"3012280"</f>
        <v>3012280</v>
      </c>
      <c r="B37819" t="s">
        <v>13230</v>
      </c>
      <c r="C37819" t="s">
        <v>1110</v>
      </c>
      <c r="D37819" s="21" t="s">
        <v>34</v>
      </c>
      <c r="E37819" s="21" t="s">
        <v>254</v>
      </c>
      <c r="F37819">
        <v>11300039</v>
      </c>
      <c r="G37819" t="s">
        <v>10680</v>
      </c>
      <c r="H37819" s="21">
        <v>486</v>
      </c>
    </row>
    <row r="37820" spans="1:8" customFormat="1" x14ac:dyDescent="0.25">
      <c r="A37820" t="str">
        <f>"7414761"</f>
        <v>7414761</v>
      </c>
      <c r="B37820" t="s">
        <v>25668</v>
      </c>
      <c r="C37820" t="s">
        <v>4721</v>
      </c>
      <c r="D37820" s="21" t="s">
        <v>34</v>
      </c>
      <c r="E37820" s="21" t="s">
        <v>254</v>
      </c>
      <c r="F37820">
        <v>1740069</v>
      </c>
      <c r="G37820" t="s">
        <v>8151</v>
      </c>
      <c r="H37820" s="21">
        <v>486</v>
      </c>
    </row>
    <row r="37821" spans="1:8" customFormat="1" x14ac:dyDescent="0.25">
      <c r="A37821" t="str">
        <f>"7729957"</f>
        <v>7729957</v>
      </c>
      <c r="B37821" t="s">
        <v>8266</v>
      </c>
      <c r="C37821" t="s">
        <v>156</v>
      </c>
      <c r="D37821" s="21" t="s">
        <v>34</v>
      </c>
      <c r="E37821" s="21" t="s">
        <v>35</v>
      </c>
      <c r="F37821">
        <v>8771201</v>
      </c>
      <c r="G37821" t="s">
        <v>9153</v>
      </c>
      <c r="H37821" s="21">
        <v>485.92</v>
      </c>
    </row>
    <row r="37822" spans="1:8" customFormat="1" x14ac:dyDescent="0.25">
      <c r="A37822" t="str">
        <f>"2814547"</f>
        <v>2814547</v>
      </c>
      <c r="B37822" t="s">
        <v>461</v>
      </c>
      <c r="C37822" t="s">
        <v>269</v>
      </c>
      <c r="D37822" s="21" t="s">
        <v>34</v>
      </c>
      <c r="E37822" s="21" t="s">
        <v>71</v>
      </c>
      <c r="F37822">
        <v>4280612</v>
      </c>
      <c r="G37822" t="s">
        <v>6809</v>
      </c>
      <c r="H37822" s="21">
        <v>485.88</v>
      </c>
    </row>
    <row r="37823" spans="1:8" customFormat="1" x14ac:dyDescent="0.25">
      <c r="A37823" t="str">
        <f>"413637"</f>
        <v>413637</v>
      </c>
      <c r="B37823" t="s">
        <v>24516</v>
      </c>
      <c r="C37823" t="s">
        <v>1705</v>
      </c>
      <c r="D37823" s="21" t="s">
        <v>34</v>
      </c>
      <c r="E37823" s="21" t="s">
        <v>254</v>
      </c>
      <c r="F37823">
        <v>4410728</v>
      </c>
      <c r="G37823" t="s">
        <v>2241</v>
      </c>
      <c r="H37823" s="21">
        <v>485.75</v>
      </c>
    </row>
    <row r="37824" spans="1:8" customFormat="1" x14ac:dyDescent="0.25">
      <c r="A37824" t="str">
        <f>"368142"</f>
        <v>368142</v>
      </c>
      <c r="B37824" t="s">
        <v>29491</v>
      </c>
      <c r="C37824" t="s">
        <v>43</v>
      </c>
      <c r="D37824" s="21" t="s">
        <v>34</v>
      </c>
      <c r="E37824" s="21" t="s">
        <v>35</v>
      </c>
      <c r="F37824">
        <v>4360315</v>
      </c>
      <c r="G37824" t="s">
        <v>6888</v>
      </c>
      <c r="H37824" s="21">
        <v>485.75</v>
      </c>
    </row>
    <row r="37825" spans="1:8" customFormat="1" x14ac:dyDescent="0.25">
      <c r="A37825" t="str">
        <f>"7518297"</f>
        <v>7518297</v>
      </c>
      <c r="B37825" t="s">
        <v>1401</v>
      </c>
      <c r="C37825" t="s">
        <v>547</v>
      </c>
      <c r="D37825" s="21" t="s">
        <v>34</v>
      </c>
      <c r="E37825" s="21" t="s">
        <v>1089</v>
      </c>
      <c r="F37825">
        <v>8750120</v>
      </c>
      <c r="G37825" t="s">
        <v>838</v>
      </c>
      <c r="H37825" s="21">
        <v>485.67</v>
      </c>
    </row>
    <row r="37826" spans="1:8" customFormat="1" x14ac:dyDescent="0.25">
      <c r="A37826" t="str">
        <f>"13702"</f>
        <v>13702</v>
      </c>
      <c r="B37826" t="s">
        <v>4649</v>
      </c>
      <c r="C37826" t="s">
        <v>9626</v>
      </c>
      <c r="D37826" s="21" t="s">
        <v>34</v>
      </c>
      <c r="E37826" s="21" t="s">
        <v>1089</v>
      </c>
      <c r="F37826">
        <v>13130049</v>
      </c>
      <c r="G37826" t="s">
        <v>13169</v>
      </c>
      <c r="H37826" s="21">
        <v>485.67</v>
      </c>
    </row>
    <row r="37827" spans="1:8" customFormat="1" x14ac:dyDescent="0.25">
      <c r="A37827" t="str">
        <f>"9447830"</f>
        <v>9447830</v>
      </c>
      <c r="B37827" t="s">
        <v>587</v>
      </c>
      <c r="C37827" t="s">
        <v>60</v>
      </c>
      <c r="D37827" s="21" t="s">
        <v>34</v>
      </c>
      <c r="E37827" s="21" t="s">
        <v>35</v>
      </c>
      <c r="F37827">
        <v>8940655</v>
      </c>
      <c r="G37827" t="s">
        <v>10168</v>
      </c>
      <c r="H37827" s="21">
        <v>485.62</v>
      </c>
    </row>
    <row r="37828" spans="1:8" customFormat="1" x14ac:dyDescent="0.25">
      <c r="A37828" t="str">
        <f>"5432573"</f>
        <v>5432573</v>
      </c>
      <c r="B37828" t="s">
        <v>29492</v>
      </c>
      <c r="C37828" t="s">
        <v>147</v>
      </c>
      <c r="D37828" s="21" t="s">
        <v>34</v>
      </c>
      <c r="E37828" s="21" t="s">
        <v>35</v>
      </c>
      <c r="F37828">
        <v>6540043</v>
      </c>
      <c r="G37828" t="s">
        <v>947</v>
      </c>
      <c r="H37828" s="21">
        <v>485.62</v>
      </c>
    </row>
    <row r="37829" spans="1:8" customFormat="1" x14ac:dyDescent="0.25">
      <c r="A37829" t="str">
        <f>"7882710"</f>
        <v>7882710</v>
      </c>
      <c r="B37829" t="s">
        <v>29493</v>
      </c>
      <c r="C37829" t="s">
        <v>621</v>
      </c>
      <c r="D37829" s="21" t="s">
        <v>34</v>
      </c>
      <c r="E37829" s="21" t="s">
        <v>71</v>
      </c>
      <c r="F37829">
        <v>8780016</v>
      </c>
      <c r="G37829" t="s">
        <v>3153</v>
      </c>
      <c r="H37829" s="21">
        <v>485.62</v>
      </c>
    </row>
    <row r="37830" spans="1:8" customFormat="1" x14ac:dyDescent="0.25">
      <c r="A37830" t="str">
        <f>"3528697"</f>
        <v>3528697</v>
      </c>
      <c r="B37830" t="s">
        <v>2469</v>
      </c>
      <c r="C37830" t="s">
        <v>1812</v>
      </c>
      <c r="D37830" s="21" t="s">
        <v>34</v>
      </c>
      <c r="E37830" s="21" t="s">
        <v>71</v>
      </c>
      <c r="F37830">
        <v>3350213</v>
      </c>
      <c r="G37830" t="s">
        <v>13671</v>
      </c>
      <c r="H37830" s="21">
        <v>485.5</v>
      </c>
    </row>
    <row r="37831" spans="1:8" customFormat="1" x14ac:dyDescent="0.25">
      <c r="A37831" t="str">
        <f>"8528834"</f>
        <v>8528834</v>
      </c>
      <c r="B37831" t="s">
        <v>5079</v>
      </c>
      <c r="C37831" t="s">
        <v>209</v>
      </c>
      <c r="D37831" s="21" t="s">
        <v>34</v>
      </c>
      <c r="E37831" s="21" t="s">
        <v>35</v>
      </c>
      <c r="F37831">
        <v>12850126</v>
      </c>
      <c r="G37831" t="s">
        <v>15355</v>
      </c>
      <c r="H37831" s="21">
        <v>485.5</v>
      </c>
    </row>
    <row r="37832" spans="1:8" customFormat="1" x14ac:dyDescent="0.25">
      <c r="A37832" t="str">
        <f>"9140524"</f>
        <v>9140524</v>
      </c>
      <c r="B37832" t="s">
        <v>22198</v>
      </c>
      <c r="C37832" t="s">
        <v>262</v>
      </c>
      <c r="D37832" s="21" t="s">
        <v>34</v>
      </c>
      <c r="E37832" s="21" t="s">
        <v>35</v>
      </c>
      <c r="F37832">
        <v>8911083</v>
      </c>
      <c r="G37832" t="s">
        <v>7357</v>
      </c>
      <c r="H37832" s="21">
        <v>485.5</v>
      </c>
    </row>
    <row r="37833" spans="1:8" customFormat="1" x14ac:dyDescent="0.25">
      <c r="A37833" t="str">
        <f>"7643074"</f>
        <v>7643074</v>
      </c>
      <c r="B37833" t="s">
        <v>29494</v>
      </c>
      <c r="C37833" t="s">
        <v>1119</v>
      </c>
      <c r="D37833" s="21" t="s">
        <v>34</v>
      </c>
      <c r="E37833" s="21" t="s">
        <v>71</v>
      </c>
      <c r="F37833">
        <v>9760107</v>
      </c>
      <c r="G37833" t="s">
        <v>122</v>
      </c>
      <c r="H37833" s="21">
        <v>485.5</v>
      </c>
    </row>
    <row r="37834" spans="1:8" customFormat="1" x14ac:dyDescent="0.25">
      <c r="A37834" t="str">
        <f>"9143667"</f>
        <v>9143667</v>
      </c>
      <c r="B37834" t="s">
        <v>24501</v>
      </c>
      <c r="C37834" t="s">
        <v>2520</v>
      </c>
      <c r="D37834" s="21" t="s">
        <v>34</v>
      </c>
      <c r="E37834" s="21" t="s">
        <v>254</v>
      </c>
      <c r="F37834">
        <v>8911206</v>
      </c>
      <c r="G37834" t="s">
        <v>17661</v>
      </c>
      <c r="H37834" s="21">
        <v>485.5</v>
      </c>
    </row>
    <row r="37835" spans="1:8" customFormat="1" x14ac:dyDescent="0.25">
      <c r="A37835" t="str">
        <f>"746969"</f>
        <v>746969</v>
      </c>
      <c r="B37835" t="s">
        <v>3146</v>
      </c>
      <c r="C37835" t="s">
        <v>2365</v>
      </c>
      <c r="D37835" s="21" t="s">
        <v>34</v>
      </c>
      <c r="E37835" s="21" t="s">
        <v>254</v>
      </c>
      <c r="F37835">
        <v>1740063</v>
      </c>
      <c r="G37835" t="s">
        <v>9745</v>
      </c>
      <c r="H37835" s="21">
        <v>485.5</v>
      </c>
    </row>
    <row r="37836" spans="1:8" customFormat="1" x14ac:dyDescent="0.25">
      <c r="A37836" t="str">
        <f>"3730939"</f>
        <v>3730939</v>
      </c>
      <c r="B37836" t="s">
        <v>16344</v>
      </c>
      <c r="C37836" t="s">
        <v>43</v>
      </c>
      <c r="D37836" s="21" t="s">
        <v>34</v>
      </c>
      <c r="E37836" s="21" t="s">
        <v>35</v>
      </c>
      <c r="F37836">
        <v>4370151</v>
      </c>
      <c r="G37836" t="s">
        <v>5304</v>
      </c>
      <c r="H37836" s="21">
        <v>485.5</v>
      </c>
    </row>
    <row r="37837" spans="1:8" customFormat="1" x14ac:dyDescent="0.25">
      <c r="A37837" t="str">
        <f>"69317"</f>
        <v>69317</v>
      </c>
      <c r="B37837" t="s">
        <v>3572</v>
      </c>
      <c r="C37837" t="s">
        <v>3784</v>
      </c>
      <c r="D37837" s="21" t="s">
        <v>34</v>
      </c>
      <c r="E37837" s="21" t="s">
        <v>1089</v>
      </c>
      <c r="F37837">
        <v>1690008</v>
      </c>
      <c r="G37837" t="s">
        <v>6276</v>
      </c>
      <c r="H37837" s="21">
        <v>485.5</v>
      </c>
    </row>
    <row r="37838" spans="1:8" customFormat="1" x14ac:dyDescent="0.25">
      <c r="A37838" t="str">
        <f>"6950631"</f>
        <v>6950631</v>
      </c>
      <c r="B37838" t="s">
        <v>29495</v>
      </c>
      <c r="C37838" t="s">
        <v>285</v>
      </c>
      <c r="D37838" s="21" t="s">
        <v>34</v>
      </c>
      <c r="E37838" s="21" t="s">
        <v>35</v>
      </c>
      <c r="F37838">
        <v>1690225</v>
      </c>
      <c r="G37838" t="s">
        <v>27835</v>
      </c>
      <c r="H37838" s="21">
        <v>485.5</v>
      </c>
    </row>
    <row r="37839" spans="1:8" customFormat="1" x14ac:dyDescent="0.25">
      <c r="A37839" t="str">
        <f>"3426539"</f>
        <v>3426539</v>
      </c>
      <c r="B37839" t="s">
        <v>29496</v>
      </c>
      <c r="C37839" t="s">
        <v>37</v>
      </c>
      <c r="D37839" s="21" t="s">
        <v>34</v>
      </c>
      <c r="E37839" s="21" t="s">
        <v>35</v>
      </c>
      <c r="F37839">
        <v>11340067</v>
      </c>
      <c r="G37839" t="s">
        <v>2895</v>
      </c>
      <c r="H37839" s="21">
        <v>485.5</v>
      </c>
    </row>
    <row r="37840" spans="1:8" customFormat="1" x14ac:dyDescent="0.25">
      <c r="A37840" t="str">
        <f>"9238092"</f>
        <v>9238092</v>
      </c>
      <c r="B37840" t="s">
        <v>7517</v>
      </c>
      <c r="C37840" t="s">
        <v>1142</v>
      </c>
      <c r="D37840" s="21" t="s">
        <v>34</v>
      </c>
      <c r="E37840" s="21" t="s">
        <v>1089</v>
      </c>
      <c r="F37840">
        <v>8920075</v>
      </c>
      <c r="G37840" t="s">
        <v>317</v>
      </c>
      <c r="H37840" s="21">
        <v>485.5</v>
      </c>
    </row>
    <row r="37841" spans="1:8" customFormat="1" x14ac:dyDescent="0.25">
      <c r="A37841" t="str">
        <f>"4432618"</f>
        <v>4432618</v>
      </c>
      <c r="B37841" t="s">
        <v>7428</v>
      </c>
      <c r="C37841" t="s">
        <v>239</v>
      </c>
      <c r="D37841" s="21" t="s">
        <v>34</v>
      </c>
      <c r="E37841" s="21" t="s">
        <v>71</v>
      </c>
      <c r="F37841">
        <v>12440166</v>
      </c>
      <c r="G37841" t="s">
        <v>4031</v>
      </c>
      <c r="H37841" s="21">
        <v>485.5</v>
      </c>
    </row>
    <row r="37842" spans="1:8" customFormat="1" x14ac:dyDescent="0.25">
      <c r="A37842" t="str">
        <f>"7881734"</f>
        <v>7881734</v>
      </c>
      <c r="B37842" t="s">
        <v>29497</v>
      </c>
      <c r="C37842" t="s">
        <v>328</v>
      </c>
      <c r="D37842" s="21" t="s">
        <v>34</v>
      </c>
      <c r="E37842" s="21" t="s">
        <v>35</v>
      </c>
      <c r="F37842">
        <v>8780674</v>
      </c>
      <c r="G37842" t="s">
        <v>26585</v>
      </c>
      <c r="H37842" s="21">
        <v>485.5</v>
      </c>
    </row>
    <row r="37843" spans="1:8" customFormat="1" x14ac:dyDescent="0.25">
      <c r="A37843" t="str">
        <f>"5618282"</f>
        <v>5618282</v>
      </c>
      <c r="B37843" t="s">
        <v>4301</v>
      </c>
      <c r="C37843" t="s">
        <v>817</v>
      </c>
      <c r="D37843" s="21" t="s">
        <v>34</v>
      </c>
      <c r="E37843" s="21" t="s">
        <v>71</v>
      </c>
      <c r="F37843">
        <v>3560046</v>
      </c>
      <c r="G37843" t="s">
        <v>9309</v>
      </c>
      <c r="H37843" s="21">
        <v>485.5</v>
      </c>
    </row>
    <row r="37844" spans="1:8" customFormat="1" x14ac:dyDescent="0.25">
      <c r="A37844" t="str">
        <f>"845213"</f>
        <v>845213</v>
      </c>
      <c r="B37844" t="s">
        <v>2571</v>
      </c>
      <c r="C37844" t="s">
        <v>2072</v>
      </c>
      <c r="D37844" s="21" t="s">
        <v>34</v>
      </c>
      <c r="E37844" s="21" t="s">
        <v>254</v>
      </c>
      <c r="F37844">
        <v>13840006</v>
      </c>
      <c r="G37844" t="s">
        <v>10139</v>
      </c>
      <c r="H37844" s="21">
        <v>485.5</v>
      </c>
    </row>
    <row r="37845" spans="1:8" customFormat="1" x14ac:dyDescent="0.25">
      <c r="A37845" t="str">
        <f>"5613813"</f>
        <v>5613813</v>
      </c>
      <c r="B37845" t="s">
        <v>2051</v>
      </c>
      <c r="C37845" t="s">
        <v>1119</v>
      </c>
      <c r="D37845" s="21" t="s">
        <v>34</v>
      </c>
      <c r="E37845" s="21" t="s">
        <v>1089</v>
      </c>
      <c r="F37845">
        <v>3560049</v>
      </c>
      <c r="G37845" t="s">
        <v>8021</v>
      </c>
      <c r="H37845" s="21">
        <v>485.5</v>
      </c>
    </row>
    <row r="37846" spans="1:8" customFormat="1" x14ac:dyDescent="0.25">
      <c r="A37846" t="str">
        <f>"9537738"</f>
        <v>9537738</v>
      </c>
      <c r="B37846" t="s">
        <v>1419</v>
      </c>
      <c r="C37846" t="s">
        <v>204</v>
      </c>
      <c r="D37846" s="21" t="s">
        <v>34</v>
      </c>
      <c r="E37846" s="21" t="s">
        <v>35</v>
      </c>
      <c r="F37846">
        <v>8950119</v>
      </c>
      <c r="G37846" t="s">
        <v>8174</v>
      </c>
      <c r="H37846" s="21">
        <v>485.5</v>
      </c>
    </row>
    <row r="37847" spans="1:8" customFormat="1" x14ac:dyDescent="0.25">
      <c r="A37847" t="str">
        <f>"461873"</f>
        <v>461873</v>
      </c>
      <c r="B37847" t="s">
        <v>29498</v>
      </c>
      <c r="C37847" t="s">
        <v>147</v>
      </c>
      <c r="D37847" s="21" t="s">
        <v>34</v>
      </c>
      <c r="E37847" s="21" t="s">
        <v>35</v>
      </c>
      <c r="F37847">
        <v>11460023</v>
      </c>
      <c r="G37847" t="s">
        <v>5430</v>
      </c>
      <c r="H37847" s="21">
        <v>485.5</v>
      </c>
    </row>
    <row r="37848" spans="1:8" customFormat="1" x14ac:dyDescent="0.25">
      <c r="A37848" t="str">
        <f>"2721415"</f>
        <v>2721415</v>
      </c>
      <c r="B37848" t="s">
        <v>10326</v>
      </c>
      <c r="C37848" t="s">
        <v>269</v>
      </c>
      <c r="D37848" s="21" t="s">
        <v>34</v>
      </c>
      <c r="E37848" s="21" t="s">
        <v>35</v>
      </c>
      <c r="F37848">
        <v>9270150</v>
      </c>
      <c r="G37848" t="s">
        <v>11661</v>
      </c>
      <c r="H37848" s="21">
        <v>485.5</v>
      </c>
    </row>
    <row r="37849" spans="1:8" customFormat="1" x14ac:dyDescent="0.25">
      <c r="A37849" t="str">
        <f>"485663"</f>
        <v>485663</v>
      </c>
      <c r="B37849" t="s">
        <v>29499</v>
      </c>
      <c r="C37849" t="s">
        <v>2053</v>
      </c>
      <c r="D37849" s="21" t="s">
        <v>34</v>
      </c>
      <c r="E37849" s="21" t="s">
        <v>35</v>
      </c>
      <c r="F37849">
        <v>11480020</v>
      </c>
      <c r="G37849" t="s">
        <v>5221</v>
      </c>
      <c r="H37849" s="21">
        <v>485.5</v>
      </c>
    </row>
    <row r="37850" spans="1:8" customFormat="1" x14ac:dyDescent="0.25">
      <c r="A37850" t="str">
        <f>"2517654"</f>
        <v>2517654</v>
      </c>
      <c r="B37850" t="s">
        <v>11833</v>
      </c>
      <c r="C37850" t="s">
        <v>127</v>
      </c>
      <c r="D37850" s="21" t="s">
        <v>34</v>
      </c>
      <c r="E37850" s="21" t="s">
        <v>35</v>
      </c>
      <c r="F37850">
        <v>2250015</v>
      </c>
      <c r="G37850" t="s">
        <v>4776</v>
      </c>
      <c r="H37850" s="21">
        <v>485.5</v>
      </c>
    </row>
    <row r="37851" spans="1:8" customFormat="1" x14ac:dyDescent="0.25">
      <c r="A37851" t="str">
        <f>"707187"</f>
        <v>707187</v>
      </c>
      <c r="B37851" t="s">
        <v>1462</v>
      </c>
      <c r="C37851" t="s">
        <v>209</v>
      </c>
      <c r="D37851" s="21" t="s">
        <v>34</v>
      </c>
      <c r="E37851" s="21" t="s">
        <v>254</v>
      </c>
      <c r="F37851">
        <v>2700094</v>
      </c>
      <c r="G37851" t="s">
        <v>18448</v>
      </c>
      <c r="H37851" s="21">
        <v>485.5</v>
      </c>
    </row>
    <row r="37852" spans="1:8" customFormat="1" x14ac:dyDescent="0.25">
      <c r="A37852" t="str">
        <f>"7220860"</f>
        <v>7220860</v>
      </c>
      <c r="B37852" t="s">
        <v>15151</v>
      </c>
      <c r="C37852" t="s">
        <v>65</v>
      </c>
      <c r="D37852" s="21" t="s">
        <v>34</v>
      </c>
      <c r="E37852" s="21" t="s">
        <v>71</v>
      </c>
      <c r="F37852">
        <v>12720113</v>
      </c>
      <c r="G37852" t="s">
        <v>21211</v>
      </c>
      <c r="H37852" s="21">
        <v>485.5</v>
      </c>
    </row>
    <row r="37853" spans="1:8" customFormat="1" x14ac:dyDescent="0.25">
      <c r="A37853" t="str">
        <f>"525178"</f>
        <v>525178</v>
      </c>
      <c r="B37853" t="s">
        <v>1551</v>
      </c>
      <c r="C37853" t="s">
        <v>2072</v>
      </c>
      <c r="D37853" s="21" t="s">
        <v>34</v>
      </c>
      <c r="E37853" s="21" t="s">
        <v>254</v>
      </c>
      <c r="F37853">
        <v>6520040</v>
      </c>
      <c r="G37853" t="s">
        <v>16367</v>
      </c>
      <c r="H37853" s="21">
        <v>485.5</v>
      </c>
    </row>
    <row r="37854" spans="1:8" customFormat="1" x14ac:dyDescent="0.25">
      <c r="A37854" t="str">
        <f>"4423689"</f>
        <v>4423689</v>
      </c>
      <c r="B37854" t="s">
        <v>2415</v>
      </c>
      <c r="C37854" t="s">
        <v>209</v>
      </c>
      <c r="D37854" s="21" t="s">
        <v>34</v>
      </c>
      <c r="E37854" s="21" t="s">
        <v>71</v>
      </c>
      <c r="F37854">
        <v>12440111</v>
      </c>
      <c r="G37854" t="s">
        <v>17072</v>
      </c>
      <c r="H37854" s="21">
        <v>485.5</v>
      </c>
    </row>
    <row r="37855" spans="1:8" customFormat="1" x14ac:dyDescent="0.25">
      <c r="A37855" t="str">
        <f>"7911161"</f>
        <v>7911161</v>
      </c>
      <c r="B37855" t="s">
        <v>29500</v>
      </c>
      <c r="C37855" t="s">
        <v>62</v>
      </c>
      <c r="D37855" s="21" t="s">
        <v>34</v>
      </c>
      <c r="E37855" s="21" t="s">
        <v>35</v>
      </c>
      <c r="F37855">
        <v>10790235</v>
      </c>
      <c r="G37855" t="s">
        <v>413</v>
      </c>
      <c r="H37855" s="21">
        <v>485.5</v>
      </c>
    </row>
    <row r="37856" spans="1:8" customFormat="1" x14ac:dyDescent="0.25">
      <c r="A37856" t="str">
        <f>"7622320"</f>
        <v>7622320</v>
      </c>
      <c r="B37856" t="s">
        <v>4613</v>
      </c>
      <c r="C37856" t="s">
        <v>40</v>
      </c>
      <c r="D37856" s="21" t="s">
        <v>34</v>
      </c>
      <c r="E37856" s="21" t="s">
        <v>71</v>
      </c>
      <c r="F37856">
        <v>9760167</v>
      </c>
      <c r="G37856" t="s">
        <v>13836</v>
      </c>
      <c r="H37856" s="21">
        <v>485.5</v>
      </c>
    </row>
    <row r="37857" spans="1:8" customFormat="1" x14ac:dyDescent="0.25">
      <c r="A37857" t="str">
        <f>"1418570"</f>
        <v>1418570</v>
      </c>
      <c r="B37857" t="s">
        <v>1003</v>
      </c>
      <c r="C37857" t="s">
        <v>2100</v>
      </c>
      <c r="D37857" s="21" t="s">
        <v>34</v>
      </c>
      <c r="E37857" s="21" t="s">
        <v>71</v>
      </c>
      <c r="F37857">
        <v>9140063</v>
      </c>
      <c r="G37857" t="s">
        <v>4764</v>
      </c>
      <c r="H37857" s="21">
        <v>485.5</v>
      </c>
    </row>
    <row r="37858" spans="1:8" customFormat="1" x14ac:dyDescent="0.25">
      <c r="A37858" t="str">
        <f>"8524969"</f>
        <v>8524969</v>
      </c>
      <c r="B37858" t="s">
        <v>15276</v>
      </c>
      <c r="C37858" t="s">
        <v>2520</v>
      </c>
      <c r="D37858" s="21" t="s">
        <v>34</v>
      </c>
      <c r="E37858" s="21" t="s">
        <v>254</v>
      </c>
      <c r="F37858">
        <v>12850108</v>
      </c>
      <c r="G37858" t="s">
        <v>11093</v>
      </c>
      <c r="H37858" s="21">
        <v>485.5</v>
      </c>
    </row>
    <row r="37859" spans="1:8" customFormat="1" x14ac:dyDescent="0.25">
      <c r="A37859" t="str">
        <f>"9536219"</f>
        <v>9536219</v>
      </c>
      <c r="B37859" t="s">
        <v>22184</v>
      </c>
      <c r="C37859" t="s">
        <v>1446</v>
      </c>
      <c r="D37859" s="21" t="s">
        <v>34</v>
      </c>
      <c r="E37859" s="21" t="s">
        <v>35</v>
      </c>
      <c r="F37859">
        <v>8950424</v>
      </c>
      <c r="G37859" t="s">
        <v>12098</v>
      </c>
      <c r="H37859" s="21">
        <v>485.5</v>
      </c>
    </row>
    <row r="37860" spans="1:8" customFormat="1" x14ac:dyDescent="0.25">
      <c r="A37860" t="str">
        <f>"3833924"</f>
        <v>3833924</v>
      </c>
      <c r="B37860" t="s">
        <v>4649</v>
      </c>
      <c r="C37860" t="s">
        <v>82</v>
      </c>
      <c r="D37860" s="21" t="s">
        <v>34</v>
      </c>
      <c r="E37860" s="21" t="s">
        <v>35</v>
      </c>
      <c r="F37860">
        <v>1380275</v>
      </c>
      <c r="G37860" t="s">
        <v>8042</v>
      </c>
      <c r="H37860" s="21">
        <v>485.5</v>
      </c>
    </row>
    <row r="37861" spans="1:8" customFormat="1" x14ac:dyDescent="0.25">
      <c r="A37861" t="str">
        <f>"3014436"</f>
        <v>3014436</v>
      </c>
      <c r="B37861" t="s">
        <v>3179</v>
      </c>
      <c r="C37861" t="s">
        <v>486</v>
      </c>
      <c r="D37861" s="21" t="s">
        <v>34</v>
      </c>
      <c r="E37861" s="21" t="s">
        <v>35</v>
      </c>
      <c r="F37861">
        <v>11300055</v>
      </c>
      <c r="G37861" t="s">
        <v>14655</v>
      </c>
      <c r="H37861" s="21">
        <v>485.5</v>
      </c>
    </row>
    <row r="37862" spans="1:8" customFormat="1" x14ac:dyDescent="0.25">
      <c r="A37862" t="str">
        <f>"6314347"</f>
        <v>6314347</v>
      </c>
      <c r="B37862" t="s">
        <v>7439</v>
      </c>
      <c r="C37862" t="s">
        <v>1812</v>
      </c>
      <c r="D37862" s="21" t="s">
        <v>34</v>
      </c>
      <c r="E37862" s="21" t="s">
        <v>254</v>
      </c>
      <c r="F37862">
        <v>1630307</v>
      </c>
      <c r="G37862" t="s">
        <v>15524</v>
      </c>
      <c r="H37862" s="21">
        <v>485.5</v>
      </c>
    </row>
    <row r="37863" spans="1:8" customFormat="1" x14ac:dyDescent="0.25">
      <c r="A37863" t="str">
        <f>"559091"</f>
        <v>559091</v>
      </c>
      <c r="B37863" t="s">
        <v>29501</v>
      </c>
      <c r="C37863" t="s">
        <v>2227</v>
      </c>
      <c r="D37863" s="21" t="s">
        <v>34</v>
      </c>
      <c r="E37863" s="21" t="s">
        <v>35</v>
      </c>
      <c r="F37863">
        <v>6550020</v>
      </c>
      <c r="G37863" t="s">
        <v>7526</v>
      </c>
      <c r="H37863" s="21">
        <v>485.5</v>
      </c>
    </row>
    <row r="37864" spans="1:8" customFormat="1" x14ac:dyDescent="0.25">
      <c r="A37864" t="str">
        <f>"8524665"</f>
        <v>8524665</v>
      </c>
      <c r="B37864" t="s">
        <v>12818</v>
      </c>
      <c r="C37864" t="s">
        <v>3522</v>
      </c>
      <c r="D37864" s="21" t="s">
        <v>34</v>
      </c>
      <c r="E37864" s="21" t="s">
        <v>35</v>
      </c>
      <c r="F37864">
        <v>12850125</v>
      </c>
      <c r="G37864" t="s">
        <v>9898</v>
      </c>
      <c r="H37864" s="21">
        <v>485.5</v>
      </c>
    </row>
    <row r="37865" spans="1:8" customFormat="1" x14ac:dyDescent="0.25">
      <c r="A37865" t="str">
        <f>"5620264"</f>
        <v>5620264</v>
      </c>
      <c r="B37865" t="s">
        <v>16626</v>
      </c>
      <c r="C37865" t="s">
        <v>528</v>
      </c>
      <c r="D37865" s="21" t="s">
        <v>34</v>
      </c>
      <c r="E37865" s="21" t="s">
        <v>35</v>
      </c>
      <c r="F37865">
        <v>3560088</v>
      </c>
      <c r="G37865" t="s">
        <v>15034</v>
      </c>
      <c r="H37865" s="21">
        <v>485.5</v>
      </c>
    </row>
    <row r="37866" spans="1:8" customFormat="1" x14ac:dyDescent="0.25">
      <c r="A37866" t="str">
        <f>"8819074"</f>
        <v>8819074</v>
      </c>
      <c r="B37866" t="s">
        <v>5751</v>
      </c>
      <c r="C37866" t="s">
        <v>169</v>
      </c>
      <c r="D37866" s="21" t="s">
        <v>34</v>
      </c>
      <c r="E37866" s="21" t="s">
        <v>71</v>
      </c>
      <c r="F37866">
        <v>6880083</v>
      </c>
      <c r="G37866" t="s">
        <v>7718</v>
      </c>
      <c r="H37866" s="21">
        <v>485.5</v>
      </c>
    </row>
    <row r="37867" spans="1:8" customFormat="1" x14ac:dyDescent="0.25">
      <c r="A37867" t="str">
        <f>"6314869"</f>
        <v>6314869</v>
      </c>
      <c r="B37867" t="s">
        <v>2505</v>
      </c>
      <c r="C37867" t="s">
        <v>40</v>
      </c>
      <c r="D37867" s="21" t="s">
        <v>34</v>
      </c>
      <c r="E37867" s="21" t="s">
        <v>254</v>
      </c>
      <c r="F37867">
        <v>1630332</v>
      </c>
      <c r="G37867" t="s">
        <v>27136</v>
      </c>
      <c r="H37867" s="21">
        <v>485.5</v>
      </c>
    </row>
    <row r="37868" spans="1:8" customFormat="1" x14ac:dyDescent="0.25">
      <c r="A37868" t="str">
        <f>"1613702"</f>
        <v>1613702</v>
      </c>
      <c r="B37868" t="s">
        <v>22449</v>
      </c>
      <c r="C37868" t="s">
        <v>98</v>
      </c>
      <c r="D37868" s="21" t="s">
        <v>34</v>
      </c>
      <c r="E37868" s="21" t="s">
        <v>35</v>
      </c>
      <c r="F37868">
        <v>10160226</v>
      </c>
      <c r="G37868" t="s">
        <v>8751</v>
      </c>
      <c r="H37868" s="21">
        <v>485.5</v>
      </c>
    </row>
    <row r="37869" spans="1:8" customFormat="1" x14ac:dyDescent="0.25">
      <c r="A37869" t="str">
        <f>"1319612"</f>
        <v>1319612</v>
      </c>
      <c r="B37869" t="s">
        <v>15781</v>
      </c>
      <c r="C37869" t="s">
        <v>209</v>
      </c>
      <c r="D37869" s="21" t="s">
        <v>34</v>
      </c>
      <c r="E37869" s="21" t="s">
        <v>254</v>
      </c>
      <c r="F37869">
        <v>13130138</v>
      </c>
      <c r="G37869" t="s">
        <v>5409</v>
      </c>
      <c r="H37869" s="21">
        <v>485.5</v>
      </c>
    </row>
    <row r="37870" spans="1:8" customFormat="1" x14ac:dyDescent="0.25">
      <c r="A37870" t="str">
        <f>"3529950"</f>
        <v>3529950</v>
      </c>
      <c r="B37870" t="s">
        <v>213</v>
      </c>
      <c r="C37870" t="s">
        <v>40</v>
      </c>
      <c r="D37870" s="21" t="s">
        <v>34</v>
      </c>
      <c r="E37870" s="21" t="s">
        <v>254</v>
      </c>
      <c r="F37870">
        <v>3560090</v>
      </c>
      <c r="G37870" t="s">
        <v>7777</v>
      </c>
      <c r="H37870" s="21">
        <v>485.5</v>
      </c>
    </row>
    <row r="37871" spans="1:8" customFormat="1" x14ac:dyDescent="0.25">
      <c r="A37871" t="str">
        <f>"5923624"</f>
        <v>5923624</v>
      </c>
      <c r="B37871" t="s">
        <v>24211</v>
      </c>
      <c r="C37871" t="s">
        <v>156</v>
      </c>
      <c r="D37871" s="21" t="s">
        <v>34</v>
      </c>
      <c r="E37871" s="21" t="s">
        <v>254</v>
      </c>
      <c r="F37871">
        <v>7590204</v>
      </c>
      <c r="G37871" t="s">
        <v>696</v>
      </c>
      <c r="H37871" s="21">
        <v>485.5</v>
      </c>
    </row>
    <row r="37872" spans="1:8" customFormat="1" x14ac:dyDescent="0.25">
      <c r="A37872" t="str">
        <f>"324962"</f>
        <v>324962</v>
      </c>
      <c r="B37872" t="s">
        <v>29502</v>
      </c>
      <c r="C37872" t="s">
        <v>1887</v>
      </c>
      <c r="D37872" s="21" t="s">
        <v>34</v>
      </c>
      <c r="E37872" s="21" t="s">
        <v>71</v>
      </c>
      <c r="F37872">
        <v>11320032</v>
      </c>
      <c r="G37872" t="s">
        <v>5722</v>
      </c>
      <c r="H37872" s="21">
        <v>485.5</v>
      </c>
    </row>
    <row r="37873" spans="1:8" customFormat="1" x14ac:dyDescent="0.25">
      <c r="A37873" t="str">
        <f>"815280"</f>
        <v>815280</v>
      </c>
      <c r="B37873" t="s">
        <v>10964</v>
      </c>
      <c r="C37873" t="s">
        <v>209</v>
      </c>
      <c r="D37873" s="21" t="s">
        <v>34</v>
      </c>
      <c r="E37873" s="21" t="s">
        <v>254</v>
      </c>
      <c r="F37873">
        <v>11810003</v>
      </c>
      <c r="G37873" t="s">
        <v>1934</v>
      </c>
      <c r="H37873" s="21">
        <v>485.5</v>
      </c>
    </row>
    <row r="37874" spans="1:8" customFormat="1" x14ac:dyDescent="0.25">
      <c r="A37874" t="str">
        <f>"2924373"</f>
        <v>2924373</v>
      </c>
      <c r="B37874" t="s">
        <v>11115</v>
      </c>
      <c r="C37874" t="s">
        <v>379</v>
      </c>
      <c r="D37874" s="21" t="s">
        <v>34</v>
      </c>
      <c r="E37874" s="21" t="s">
        <v>1089</v>
      </c>
      <c r="F37874">
        <v>3290244</v>
      </c>
      <c r="G37874" t="s">
        <v>573</v>
      </c>
      <c r="H37874" s="21">
        <v>485.5</v>
      </c>
    </row>
    <row r="37875" spans="1:8" customFormat="1" x14ac:dyDescent="0.25">
      <c r="A37875" t="str">
        <f>"5620966"</f>
        <v>5620966</v>
      </c>
      <c r="B37875" t="s">
        <v>24366</v>
      </c>
      <c r="C37875" t="s">
        <v>40</v>
      </c>
      <c r="D37875" s="21" t="s">
        <v>34</v>
      </c>
      <c r="E37875" s="21" t="s">
        <v>254</v>
      </c>
      <c r="F37875">
        <v>3560096</v>
      </c>
      <c r="G37875" t="s">
        <v>2771</v>
      </c>
      <c r="H37875" s="21">
        <v>485.5</v>
      </c>
    </row>
    <row r="37876" spans="1:8" customFormat="1" x14ac:dyDescent="0.25">
      <c r="A37876" t="str">
        <f>"5946990"</f>
        <v>5946990</v>
      </c>
      <c r="B37876" t="s">
        <v>23358</v>
      </c>
      <c r="C37876" t="s">
        <v>209</v>
      </c>
      <c r="D37876" s="21" t="s">
        <v>34</v>
      </c>
      <c r="E37876" s="21" t="s">
        <v>254</v>
      </c>
      <c r="F37876">
        <v>7590018</v>
      </c>
      <c r="G37876" t="s">
        <v>2807</v>
      </c>
      <c r="H37876" s="21">
        <v>485.5</v>
      </c>
    </row>
    <row r="37877" spans="1:8" customFormat="1" x14ac:dyDescent="0.25">
      <c r="A37877" t="str">
        <f>"4446307"</f>
        <v>4446307</v>
      </c>
      <c r="B37877" t="s">
        <v>6088</v>
      </c>
      <c r="C37877" t="s">
        <v>453</v>
      </c>
      <c r="D37877" s="21" t="s">
        <v>34</v>
      </c>
      <c r="E37877" s="21" t="s">
        <v>1089</v>
      </c>
      <c r="F37877">
        <v>12440030</v>
      </c>
      <c r="G37877" t="s">
        <v>5524</v>
      </c>
      <c r="H37877" s="21">
        <v>485.5</v>
      </c>
    </row>
    <row r="37878" spans="1:8" customFormat="1" x14ac:dyDescent="0.25">
      <c r="A37878" t="str">
        <f>"9247544"</f>
        <v>9247544</v>
      </c>
      <c r="B37878" t="s">
        <v>839</v>
      </c>
      <c r="C37878" t="s">
        <v>5630</v>
      </c>
      <c r="D37878" s="21" t="s">
        <v>34</v>
      </c>
      <c r="E37878" s="21" t="s">
        <v>35</v>
      </c>
      <c r="F37878">
        <v>8921190</v>
      </c>
      <c r="G37878" t="s">
        <v>810</v>
      </c>
      <c r="H37878" s="21">
        <v>485.5</v>
      </c>
    </row>
    <row r="37879" spans="1:8" customFormat="1" x14ac:dyDescent="0.25">
      <c r="A37879" t="str">
        <f>"4219674"</f>
        <v>4219674</v>
      </c>
      <c r="B37879" t="s">
        <v>6628</v>
      </c>
      <c r="C37879" t="s">
        <v>139</v>
      </c>
      <c r="D37879" s="21" t="s">
        <v>34</v>
      </c>
      <c r="E37879" s="21" t="s">
        <v>35</v>
      </c>
      <c r="F37879">
        <v>1420009</v>
      </c>
      <c r="G37879" t="s">
        <v>3113</v>
      </c>
      <c r="H37879" s="21">
        <v>485.5</v>
      </c>
    </row>
    <row r="37880" spans="1:8" customFormat="1" x14ac:dyDescent="0.25">
      <c r="A37880" t="str">
        <f>"9427175"</f>
        <v>9427175</v>
      </c>
      <c r="B37880" t="s">
        <v>23498</v>
      </c>
      <c r="C37880" t="s">
        <v>40</v>
      </c>
      <c r="D37880" s="21" t="s">
        <v>34</v>
      </c>
      <c r="E37880" s="21" t="s">
        <v>71</v>
      </c>
      <c r="F37880">
        <v>8940535</v>
      </c>
      <c r="G37880" t="s">
        <v>2628</v>
      </c>
      <c r="H37880" s="21">
        <v>485.5</v>
      </c>
    </row>
    <row r="37881" spans="1:8" customFormat="1" x14ac:dyDescent="0.25">
      <c r="A37881" t="str">
        <f>"6315596"</f>
        <v>6315596</v>
      </c>
      <c r="B37881" t="s">
        <v>2485</v>
      </c>
      <c r="C37881" t="s">
        <v>269</v>
      </c>
      <c r="D37881" s="21" t="s">
        <v>34</v>
      </c>
      <c r="E37881" s="21" t="s">
        <v>71</v>
      </c>
      <c r="F37881">
        <v>1630243</v>
      </c>
      <c r="G37881" t="s">
        <v>9163</v>
      </c>
      <c r="H37881" s="21">
        <v>485.5</v>
      </c>
    </row>
    <row r="37882" spans="1:8" customFormat="1" x14ac:dyDescent="0.25">
      <c r="A37882" t="str">
        <f>"5734067"</f>
        <v>5734067</v>
      </c>
      <c r="B37882" t="s">
        <v>23075</v>
      </c>
      <c r="C37882" t="s">
        <v>7181</v>
      </c>
      <c r="D37882" s="21" t="s">
        <v>34</v>
      </c>
      <c r="E37882" s="21" t="s">
        <v>71</v>
      </c>
      <c r="F37882">
        <v>6570188</v>
      </c>
      <c r="G37882" t="s">
        <v>12145</v>
      </c>
      <c r="H37882" s="21">
        <v>485.5</v>
      </c>
    </row>
    <row r="37883" spans="1:8" customFormat="1" x14ac:dyDescent="0.25">
      <c r="A37883" t="str">
        <f>"365998"</f>
        <v>365998</v>
      </c>
      <c r="B37883" t="s">
        <v>8882</v>
      </c>
      <c r="C37883" t="s">
        <v>144</v>
      </c>
      <c r="D37883" s="21" t="s">
        <v>34</v>
      </c>
      <c r="E37883" s="21" t="s">
        <v>254</v>
      </c>
      <c r="F37883">
        <v>4360454</v>
      </c>
      <c r="G37883" t="s">
        <v>637</v>
      </c>
      <c r="H37883" s="21">
        <v>485.5</v>
      </c>
    </row>
    <row r="37884" spans="1:8" customFormat="1" x14ac:dyDescent="0.25">
      <c r="A37884" t="str">
        <f>"368279"</f>
        <v>368279</v>
      </c>
      <c r="B37884" t="s">
        <v>15265</v>
      </c>
      <c r="C37884" t="s">
        <v>3456</v>
      </c>
      <c r="D37884" s="21" t="s">
        <v>34</v>
      </c>
      <c r="E37884" s="21" t="s">
        <v>71</v>
      </c>
      <c r="F37884">
        <v>4360726</v>
      </c>
      <c r="G37884" t="s">
        <v>5506</v>
      </c>
      <c r="H37884" s="21">
        <v>485.38</v>
      </c>
    </row>
    <row r="37885" spans="1:8" customFormat="1" x14ac:dyDescent="0.25">
      <c r="A37885" t="str">
        <f>"5622213"</f>
        <v>5622213</v>
      </c>
      <c r="B37885" t="s">
        <v>5638</v>
      </c>
      <c r="C37885" t="s">
        <v>1025</v>
      </c>
      <c r="D37885" s="21" t="s">
        <v>34</v>
      </c>
      <c r="E37885" s="21" t="s">
        <v>71</v>
      </c>
      <c r="F37885">
        <v>3560096</v>
      </c>
      <c r="G37885" t="s">
        <v>2771</v>
      </c>
      <c r="H37885" s="21">
        <v>485.25</v>
      </c>
    </row>
    <row r="37886" spans="1:8" customFormat="1" x14ac:dyDescent="0.25">
      <c r="A37886" t="str">
        <f>"7642781"</f>
        <v>7642781</v>
      </c>
      <c r="B37886" t="s">
        <v>2644</v>
      </c>
      <c r="C37886" t="s">
        <v>82</v>
      </c>
      <c r="D37886" s="21" t="s">
        <v>34</v>
      </c>
      <c r="E37886" s="21" t="s">
        <v>35</v>
      </c>
      <c r="F37886">
        <v>9760127</v>
      </c>
      <c r="G37886" t="s">
        <v>7132</v>
      </c>
      <c r="H37886" s="21">
        <v>485.17</v>
      </c>
    </row>
    <row r="37887" spans="1:8" customFormat="1" x14ac:dyDescent="0.25">
      <c r="A37887" t="str">
        <f>"1316324"</f>
        <v>1316324</v>
      </c>
      <c r="B37887" t="s">
        <v>24081</v>
      </c>
      <c r="C37887" t="s">
        <v>156</v>
      </c>
      <c r="D37887" s="21" t="s">
        <v>34</v>
      </c>
      <c r="E37887" s="21" t="s">
        <v>1089</v>
      </c>
      <c r="F37887">
        <v>13130146</v>
      </c>
      <c r="G37887" t="s">
        <v>2471</v>
      </c>
      <c r="H37887" s="21">
        <v>485.17</v>
      </c>
    </row>
    <row r="37888" spans="1:8" customFormat="1" x14ac:dyDescent="0.25">
      <c r="A37888" t="str">
        <f>"2938770"</f>
        <v>2938770</v>
      </c>
      <c r="B37888" t="s">
        <v>13365</v>
      </c>
      <c r="C37888" t="s">
        <v>263</v>
      </c>
      <c r="D37888" s="21" t="s">
        <v>34</v>
      </c>
      <c r="E37888" s="21" t="s">
        <v>71</v>
      </c>
      <c r="F37888">
        <v>3290275</v>
      </c>
      <c r="G37888" t="s">
        <v>4762</v>
      </c>
      <c r="H37888" s="21">
        <v>485.17</v>
      </c>
    </row>
    <row r="37889" spans="1:8" customFormat="1" x14ac:dyDescent="0.25">
      <c r="A37889" t="str">
        <f>"264052"</f>
        <v>264052</v>
      </c>
      <c r="B37889" t="s">
        <v>21709</v>
      </c>
      <c r="C37889" t="s">
        <v>652</v>
      </c>
      <c r="D37889" s="21" t="s">
        <v>34</v>
      </c>
      <c r="E37889" s="21" t="s">
        <v>1089</v>
      </c>
      <c r="F37889">
        <v>11300007</v>
      </c>
      <c r="G37889" t="s">
        <v>361</v>
      </c>
      <c r="H37889" s="21">
        <v>485.17</v>
      </c>
    </row>
    <row r="37890" spans="1:8" customFormat="1" x14ac:dyDescent="0.25">
      <c r="A37890" t="str">
        <f>"196154"</f>
        <v>196154</v>
      </c>
      <c r="B37890" t="s">
        <v>23995</v>
      </c>
      <c r="C37890" t="s">
        <v>139</v>
      </c>
      <c r="D37890" s="21" t="s">
        <v>34</v>
      </c>
      <c r="E37890" s="21" t="s">
        <v>35</v>
      </c>
      <c r="F37890">
        <v>10190108</v>
      </c>
      <c r="G37890" t="s">
        <v>7344</v>
      </c>
      <c r="H37890" s="21">
        <v>485.17</v>
      </c>
    </row>
    <row r="37891" spans="1:8" customFormat="1" x14ac:dyDescent="0.25">
      <c r="A37891" t="str">
        <f>"2219341"</f>
        <v>2219341</v>
      </c>
      <c r="B37891" t="s">
        <v>21959</v>
      </c>
      <c r="C37891" t="s">
        <v>2232</v>
      </c>
      <c r="D37891" s="21" t="s">
        <v>34</v>
      </c>
      <c r="E37891" s="21" t="s">
        <v>71</v>
      </c>
      <c r="F37891">
        <v>3220011</v>
      </c>
      <c r="G37891" t="s">
        <v>27394</v>
      </c>
      <c r="H37891" s="21">
        <v>485.12</v>
      </c>
    </row>
    <row r="37892" spans="1:8" customFormat="1" x14ac:dyDescent="0.25">
      <c r="A37892" t="str">
        <f>"3338864"</f>
        <v>3338864</v>
      </c>
      <c r="B37892" t="s">
        <v>21487</v>
      </c>
      <c r="C37892" t="s">
        <v>33</v>
      </c>
      <c r="D37892" s="21" t="s">
        <v>34</v>
      </c>
      <c r="E37892" s="21" t="s">
        <v>35</v>
      </c>
      <c r="F37892">
        <v>10330098</v>
      </c>
      <c r="G37892" t="s">
        <v>8299</v>
      </c>
      <c r="H37892" s="21">
        <v>485.12</v>
      </c>
    </row>
    <row r="37893" spans="1:8" customFormat="1" x14ac:dyDescent="0.25">
      <c r="A37893" t="str">
        <f>"6316557"</f>
        <v>6316557</v>
      </c>
      <c r="B37893" t="s">
        <v>28252</v>
      </c>
      <c r="C37893" t="s">
        <v>209</v>
      </c>
      <c r="D37893" s="21" t="s">
        <v>34</v>
      </c>
      <c r="E37893" s="21" t="s">
        <v>71</v>
      </c>
      <c r="F37893">
        <v>1630085</v>
      </c>
      <c r="G37893" t="s">
        <v>2968</v>
      </c>
      <c r="H37893" s="21">
        <v>485</v>
      </c>
    </row>
    <row r="37894" spans="1:8" customFormat="1" x14ac:dyDescent="0.25">
      <c r="A37894" t="str">
        <f>"2939579"</f>
        <v>2939579</v>
      </c>
      <c r="B37894" t="s">
        <v>4902</v>
      </c>
      <c r="C37894" t="s">
        <v>3355</v>
      </c>
      <c r="D37894" s="21" t="s">
        <v>34</v>
      </c>
      <c r="E37894" s="21" t="s">
        <v>35</v>
      </c>
      <c r="F37894">
        <v>3290224</v>
      </c>
      <c r="G37894" t="s">
        <v>7829</v>
      </c>
      <c r="H37894" s="21">
        <v>485</v>
      </c>
    </row>
    <row r="37895" spans="1:8" customFormat="1" x14ac:dyDescent="0.25">
      <c r="A37895" t="str">
        <f>"3727211"</f>
        <v>3727211</v>
      </c>
      <c r="B37895" t="s">
        <v>29503</v>
      </c>
      <c r="C37895" t="s">
        <v>267</v>
      </c>
      <c r="D37895" s="21" t="s">
        <v>34</v>
      </c>
      <c r="E37895" s="21" t="s">
        <v>35</v>
      </c>
      <c r="F37895">
        <v>4370442</v>
      </c>
      <c r="G37895" t="s">
        <v>7869</v>
      </c>
      <c r="H37895" s="21">
        <v>485</v>
      </c>
    </row>
    <row r="37896" spans="1:8" customFormat="1" x14ac:dyDescent="0.25">
      <c r="A37896" t="str">
        <f>"476116"</f>
        <v>476116</v>
      </c>
      <c r="B37896" t="s">
        <v>23584</v>
      </c>
      <c r="C37896" t="s">
        <v>2907</v>
      </c>
      <c r="D37896" s="21" t="s">
        <v>34</v>
      </c>
      <c r="E37896" s="21" t="s">
        <v>71</v>
      </c>
      <c r="F37896">
        <v>10470014</v>
      </c>
      <c r="G37896" t="s">
        <v>22811</v>
      </c>
      <c r="H37896" s="21">
        <v>485</v>
      </c>
    </row>
    <row r="37897" spans="1:8" customFormat="1" x14ac:dyDescent="0.25">
      <c r="A37897" t="str">
        <f>"49721"</f>
        <v>49721</v>
      </c>
      <c r="B37897" t="s">
        <v>6729</v>
      </c>
      <c r="C37897" t="s">
        <v>598</v>
      </c>
      <c r="D37897" s="21" t="s">
        <v>34</v>
      </c>
      <c r="E37897" s="21" t="s">
        <v>1089</v>
      </c>
      <c r="F37897">
        <v>12490026</v>
      </c>
      <c r="G37897" t="s">
        <v>6274</v>
      </c>
      <c r="H37897" s="21">
        <v>485</v>
      </c>
    </row>
    <row r="37898" spans="1:8" customFormat="1" x14ac:dyDescent="0.25">
      <c r="A37898" t="str">
        <f>"8518127"</f>
        <v>8518127</v>
      </c>
      <c r="B37898" t="s">
        <v>13948</v>
      </c>
      <c r="C37898" t="s">
        <v>415</v>
      </c>
      <c r="D37898" s="21" t="s">
        <v>34</v>
      </c>
      <c r="E37898" s="21" t="s">
        <v>71</v>
      </c>
      <c r="F37898">
        <v>12850108</v>
      </c>
      <c r="G37898" t="s">
        <v>11093</v>
      </c>
      <c r="H37898" s="21">
        <v>485</v>
      </c>
    </row>
    <row r="37899" spans="1:8" customFormat="1" x14ac:dyDescent="0.25">
      <c r="A37899" t="str">
        <f>"5984219"</f>
        <v>5984219</v>
      </c>
      <c r="B37899" t="s">
        <v>29504</v>
      </c>
      <c r="C37899" t="s">
        <v>209</v>
      </c>
      <c r="D37899" s="21" t="s">
        <v>34</v>
      </c>
      <c r="E37899" s="21" t="s">
        <v>71</v>
      </c>
      <c r="F37899">
        <v>7590175</v>
      </c>
      <c r="G37899" t="s">
        <v>3063</v>
      </c>
      <c r="H37899" s="21">
        <v>485</v>
      </c>
    </row>
    <row r="37900" spans="1:8" customFormat="1" x14ac:dyDescent="0.25">
      <c r="A37900" t="str">
        <f>"1318680"</f>
        <v>1318680</v>
      </c>
      <c r="B37900" t="s">
        <v>22468</v>
      </c>
      <c r="C37900" t="s">
        <v>22469</v>
      </c>
      <c r="D37900" s="21" t="s">
        <v>34</v>
      </c>
      <c r="E37900" s="21" t="s">
        <v>71</v>
      </c>
      <c r="F37900">
        <v>13130133</v>
      </c>
      <c r="G37900" t="s">
        <v>12333</v>
      </c>
      <c r="H37900" s="21">
        <v>485</v>
      </c>
    </row>
    <row r="37901" spans="1:8" customFormat="1" x14ac:dyDescent="0.25">
      <c r="A37901" t="str">
        <f>"16121"</f>
        <v>16121</v>
      </c>
      <c r="B37901" t="s">
        <v>22083</v>
      </c>
      <c r="C37901" t="s">
        <v>2232</v>
      </c>
      <c r="D37901" s="21" t="s">
        <v>34</v>
      </c>
      <c r="E37901" s="21" t="s">
        <v>1089</v>
      </c>
      <c r="F37901">
        <v>10160013</v>
      </c>
      <c r="G37901" t="s">
        <v>12672</v>
      </c>
      <c r="H37901" s="21">
        <v>485</v>
      </c>
    </row>
    <row r="37902" spans="1:8" customFormat="1" x14ac:dyDescent="0.25">
      <c r="A37902" t="str">
        <f>"3537574"</f>
        <v>3537574</v>
      </c>
      <c r="B37902" t="s">
        <v>9488</v>
      </c>
      <c r="C37902" t="s">
        <v>40</v>
      </c>
      <c r="D37902" s="21" t="s">
        <v>34</v>
      </c>
      <c r="E37902" s="21" t="s">
        <v>71</v>
      </c>
      <c r="F37902">
        <v>3350222</v>
      </c>
      <c r="G37902" t="s">
        <v>24439</v>
      </c>
      <c r="H37902" s="21">
        <v>485</v>
      </c>
    </row>
    <row r="37903" spans="1:8" customFormat="1" x14ac:dyDescent="0.25">
      <c r="A37903" t="str">
        <f>"5423033"</f>
        <v>5423033</v>
      </c>
      <c r="B37903" t="s">
        <v>24735</v>
      </c>
      <c r="C37903" t="s">
        <v>198</v>
      </c>
      <c r="D37903" s="21" t="s">
        <v>34</v>
      </c>
      <c r="E37903" s="21" t="s">
        <v>71</v>
      </c>
      <c r="F37903">
        <v>6540193</v>
      </c>
      <c r="G37903" t="s">
        <v>5884</v>
      </c>
      <c r="H37903" s="21">
        <v>485</v>
      </c>
    </row>
    <row r="37904" spans="1:8" customFormat="1" x14ac:dyDescent="0.25">
      <c r="A37904" t="str">
        <f>"2939580"</f>
        <v>2939580</v>
      </c>
      <c r="B37904" t="s">
        <v>29505</v>
      </c>
      <c r="C37904" t="s">
        <v>817</v>
      </c>
      <c r="D37904" s="21" t="s">
        <v>34</v>
      </c>
      <c r="E37904" s="21" t="s">
        <v>71</v>
      </c>
      <c r="F37904">
        <v>3290224</v>
      </c>
      <c r="G37904" t="s">
        <v>7829</v>
      </c>
      <c r="H37904" s="21">
        <v>485</v>
      </c>
    </row>
    <row r="37905" spans="1:8" customFormat="1" x14ac:dyDescent="0.25">
      <c r="A37905" t="str">
        <f>"8528477"</f>
        <v>8528477</v>
      </c>
      <c r="B37905" t="s">
        <v>7797</v>
      </c>
      <c r="C37905" t="s">
        <v>486</v>
      </c>
      <c r="D37905" s="21" t="s">
        <v>34</v>
      </c>
      <c r="E37905" s="21" t="s">
        <v>35</v>
      </c>
      <c r="F37905">
        <v>12850148</v>
      </c>
      <c r="G37905" t="s">
        <v>2380</v>
      </c>
      <c r="H37905" s="21">
        <v>485</v>
      </c>
    </row>
    <row r="37906" spans="1:8" customFormat="1" x14ac:dyDescent="0.25">
      <c r="A37906" t="str">
        <f>"5972624"</f>
        <v>5972624</v>
      </c>
      <c r="B37906" t="s">
        <v>23156</v>
      </c>
      <c r="C37906" t="s">
        <v>239</v>
      </c>
      <c r="D37906" s="21" t="s">
        <v>34</v>
      </c>
      <c r="E37906" s="21" t="s">
        <v>1089</v>
      </c>
      <c r="F37906">
        <v>7590412</v>
      </c>
      <c r="G37906" t="s">
        <v>489</v>
      </c>
      <c r="H37906" s="21">
        <v>485</v>
      </c>
    </row>
    <row r="37907" spans="1:8" customFormat="1" x14ac:dyDescent="0.25">
      <c r="A37907" t="str">
        <f>"4711527"</f>
        <v>4711527</v>
      </c>
      <c r="B37907" t="s">
        <v>14274</v>
      </c>
      <c r="C37907" t="s">
        <v>2546</v>
      </c>
      <c r="D37907" s="21" t="s">
        <v>34</v>
      </c>
      <c r="E37907" s="21" t="s">
        <v>35</v>
      </c>
      <c r="F37907">
        <v>10470014</v>
      </c>
      <c r="G37907" t="s">
        <v>22811</v>
      </c>
      <c r="H37907" s="21">
        <v>485</v>
      </c>
    </row>
    <row r="37908" spans="1:8" customFormat="1" x14ac:dyDescent="0.25">
      <c r="A37908" t="str">
        <f>"17544"</f>
        <v>17544</v>
      </c>
      <c r="B37908" t="s">
        <v>5431</v>
      </c>
      <c r="C37908" t="s">
        <v>1294</v>
      </c>
      <c r="D37908" s="21" t="s">
        <v>34</v>
      </c>
      <c r="E37908" s="21" t="s">
        <v>1089</v>
      </c>
      <c r="F37908">
        <v>10170051</v>
      </c>
      <c r="G37908" t="s">
        <v>826</v>
      </c>
      <c r="H37908" s="21">
        <v>485</v>
      </c>
    </row>
    <row r="37909" spans="1:8" customFormat="1" x14ac:dyDescent="0.25">
      <c r="A37909" t="str">
        <f>"3538630"</f>
        <v>3538630</v>
      </c>
      <c r="B37909" t="s">
        <v>3824</v>
      </c>
      <c r="C37909" t="s">
        <v>7441</v>
      </c>
      <c r="D37909" s="21" t="s">
        <v>34</v>
      </c>
      <c r="E37909" s="21" t="s">
        <v>6185</v>
      </c>
      <c r="F37909">
        <v>3350224</v>
      </c>
      <c r="G37909" t="s">
        <v>3826</v>
      </c>
      <c r="H37909" s="21">
        <v>485</v>
      </c>
    </row>
    <row r="37910" spans="1:8" customFormat="1" x14ac:dyDescent="0.25">
      <c r="A37910" t="str">
        <f>"3538182"</f>
        <v>3538182</v>
      </c>
      <c r="B37910" t="s">
        <v>29506</v>
      </c>
      <c r="C37910" t="s">
        <v>336</v>
      </c>
      <c r="D37910" s="21" t="s">
        <v>34</v>
      </c>
      <c r="E37910" s="21" t="s">
        <v>35</v>
      </c>
      <c r="F37910">
        <v>3350222</v>
      </c>
      <c r="G37910" t="s">
        <v>24439</v>
      </c>
      <c r="H37910" s="21">
        <v>485</v>
      </c>
    </row>
    <row r="37911" spans="1:8" customFormat="1" x14ac:dyDescent="0.25">
      <c r="A37911" t="str">
        <f>"3536769"</f>
        <v>3536769</v>
      </c>
      <c r="B37911" t="s">
        <v>20457</v>
      </c>
      <c r="C37911" t="s">
        <v>621</v>
      </c>
      <c r="D37911" s="21" t="s">
        <v>34</v>
      </c>
      <c r="E37911" s="21" t="s">
        <v>254</v>
      </c>
      <c r="F37911">
        <v>3350125</v>
      </c>
      <c r="G37911" t="s">
        <v>16195</v>
      </c>
      <c r="H37911" s="21">
        <v>485</v>
      </c>
    </row>
    <row r="37912" spans="1:8" customFormat="1" x14ac:dyDescent="0.25">
      <c r="A37912" t="str">
        <f>"9145940"</f>
        <v>9145940</v>
      </c>
      <c r="B37912" t="s">
        <v>12192</v>
      </c>
      <c r="C37912" t="s">
        <v>169</v>
      </c>
      <c r="D37912" s="21" t="s">
        <v>34</v>
      </c>
      <c r="E37912" s="21" t="s">
        <v>35</v>
      </c>
      <c r="F37912">
        <v>8910861</v>
      </c>
      <c r="G37912" t="s">
        <v>1120</v>
      </c>
      <c r="H37912" s="21">
        <v>485</v>
      </c>
    </row>
    <row r="37913" spans="1:8" customFormat="1" x14ac:dyDescent="0.25">
      <c r="A37913" t="str">
        <f>"7524681"</f>
        <v>7524681</v>
      </c>
      <c r="B37913" t="s">
        <v>29507</v>
      </c>
      <c r="C37913" t="s">
        <v>60</v>
      </c>
      <c r="D37913" s="21" t="s">
        <v>34</v>
      </c>
      <c r="E37913" s="21" t="s">
        <v>35</v>
      </c>
      <c r="F37913">
        <v>8751249</v>
      </c>
      <c r="G37913" t="s">
        <v>2803</v>
      </c>
      <c r="H37913" s="21">
        <v>485</v>
      </c>
    </row>
    <row r="37914" spans="1:8" customFormat="1" x14ac:dyDescent="0.25">
      <c r="A37914" t="str">
        <f>"153794"</f>
        <v>153794</v>
      </c>
      <c r="B37914" t="s">
        <v>5487</v>
      </c>
      <c r="C37914" t="s">
        <v>198</v>
      </c>
      <c r="D37914" s="21" t="s">
        <v>34</v>
      </c>
      <c r="E37914" s="21" t="s">
        <v>71</v>
      </c>
      <c r="F37914">
        <v>1150307</v>
      </c>
      <c r="G37914" t="s">
        <v>26826</v>
      </c>
      <c r="H37914" s="21">
        <v>485</v>
      </c>
    </row>
    <row r="37915" spans="1:8" customFormat="1" x14ac:dyDescent="0.25">
      <c r="A37915" t="str">
        <f>"2218575"</f>
        <v>2218575</v>
      </c>
      <c r="B37915" t="s">
        <v>23965</v>
      </c>
      <c r="C37915" t="s">
        <v>127</v>
      </c>
      <c r="D37915" s="21" t="s">
        <v>34</v>
      </c>
      <c r="E37915" s="21" t="s">
        <v>35</v>
      </c>
      <c r="F37915">
        <v>3220139</v>
      </c>
      <c r="G37915" t="s">
        <v>27114</v>
      </c>
      <c r="H37915" s="21">
        <v>485</v>
      </c>
    </row>
    <row r="37916" spans="1:8" customFormat="1" x14ac:dyDescent="0.25">
      <c r="A37916" t="str">
        <f>"5732476"</f>
        <v>5732476</v>
      </c>
      <c r="B37916" t="s">
        <v>6389</v>
      </c>
      <c r="C37916" t="s">
        <v>631</v>
      </c>
      <c r="D37916" s="21" t="s">
        <v>34</v>
      </c>
      <c r="E37916" s="21" t="s">
        <v>35</v>
      </c>
      <c r="F37916">
        <v>6570029</v>
      </c>
      <c r="G37916" t="s">
        <v>2977</v>
      </c>
      <c r="H37916" s="21">
        <v>485</v>
      </c>
    </row>
    <row r="37917" spans="1:8" customFormat="1" x14ac:dyDescent="0.25">
      <c r="A37917" t="str">
        <f>"6923224"</f>
        <v>6923224</v>
      </c>
      <c r="B37917" t="s">
        <v>638</v>
      </c>
      <c r="C37917" t="s">
        <v>233</v>
      </c>
      <c r="D37917" s="21" t="s">
        <v>34</v>
      </c>
      <c r="E37917" s="21" t="s">
        <v>254</v>
      </c>
      <c r="F37917">
        <v>1690030</v>
      </c>
      <c r="G37917" t="s">
        <v>432</v>
      </c>
      <c r="H37917" s="21">
        <v>485</v>
      </c>
    </row>
    <row r="37918" spans="1:8" customFormat="1" x14ac:dyDescent="0.25">
      <c r="A37918" t="str">
        <f>"911160"</f>
        <v>911160</v>
      </c>
      <c r="B37918" t="s">
        <v>10421</v>
      </c>
      <c r="C37918" t="s">
        <v>1705</v>
      </c>
      <c r="D37918" s="21" t="s">
        <v>34</v>
      </c>
      <c r="E37918" s="21" t="s">
        <v>71</v>
      </c>
      <c r="F37918">
        <v>8910667</v>
      </c>
      <c r="G37918" t="s">
        <v>2361</v>
      </c>
      <c r="H37918" s="21">
        <v>485</v>
      </c>
    </row>
    <row r="37919" spans="1:8" customFormat="1" x14ac:dyDescent="0.25">
      <c r="A37919" t="str">
        <f>"2217989"</f>
        <v>2217989</v>
      </c>
      <c r="B37919" t="s">
        <v>3189</v>
      </c>
      <c r="C37919" t="s">
        <v>285</v>
      </c>
      <c r="D37919" s="21" t="s">
        <v>34</v>
      </c>
      <c r="E37919" s="21" t="s">
        <v>35</v>
      </c>
      <c r="F37919">
        <v>3220123</v>
      </c>
      <c r="G37919" t="s">
        <v>26953</v>
      </c>
      <c r="H37919" s="21">
        <v>485</v>
      </c>
    </row>
    <row r="37920" spans="1:8" customFormat="1" x14ac:dyDescent="0.25">
      <c r="A37920" t="str">
        <f>"1425507"</f>
        <v>1425507</v>
      </c>
      <c r="B37920" t="s">
        <v>789</v>
      </c>
      <c r="C37920" t="s">
        <v>187</v>
      </c>
      <c r="D37920" s="21" t="s">
        <v>34</v>
      </c>
      <c r="E37920" s="21" t="s">
        <v>71</v>
      </c>
      <c r="F37920">
        <v>9140127</v>
      </c>
      <c r="G37920" t="s">
        <v>6641</v>
      </c>
      <c r="H37920" s="21">
        <v>485</v>
      </c>
    </row>
    <row r="37921" spans="1:8" customFormat="1" x14ac:dyDescent="0.25">
      <c r="A37921" t="str">
        <f>"9537952"</f>
        <v>9537952</v>
      </c>
      <c r="B37921" t="s">
        <v>29508</v>
      </c>
      <c r="C37921" t="s">
        <v>453</v>
      </c>
      <c r="D37921" s="21" t="s">
        <v>34</v>
      </c>
      <c r="E37921" s="21" t="s">
        <v>254</v>
      </c>
      <c r="F37921">
        <v>8951451</v>
      </c>
      <c r="G37921" t="s">
        <v>3909</v>
      </c>
      <c r="H37921" s="21">
        <v>485</v>
      </c>
    </row>
    <row r="37922" spans="1:8" customFormat="1" x14ac:dyDescent="0.25">
      <c r="A37922" t="str">
        <f>"2811671"</f>
        <v>2811671</v>
      </c>
      <c r="B37922" t="s">
        <v>4335</v>
      </c>
      <c r="C37922" t="s">
        <v>428</v>
      </c>
      <c r="D37922" s="21" t="s">
        <v>34</v>
      </c>
      <c r="E37922" s="21" t="s">
        <v>35</v>
      </c>
      <c r="F37922">
        <v>4280404</v>
      </c>
      <c r="G37922" t="s">
        <v>13467</v>
      </c>
      <c r="H37922" s="21">
        <v>485</v>
      </c>
    </row>
    <row r="37923" spans="1:8" customFormat="1" x14ac:dyDescent="0.25">
      <c r="A37923" t="str">
        <f>"3311135"</f>
        <v>3311135</v>
      </c>
      <c r="B37923" t="s">
        <v>2955</v>
      </c>
      <c r="C37923" t="s">
        <v>598</v>
      </c>
      <c r="D37923" s="21" t="s">
        <v>34</v>
      </c>
      <c r="E37923" s="21" t="s">
        <v>254</v>
      </c>
      <c r="F37923">
        <v>10330078</v>
      </c>
      <c r="G37923" t="s">
        <v>7597</v>
      </c>
      <c r="H37923" s="21">
        <v>485</v>
      </c>
    </row>
    <row r="37924" spans="1:8" customFormat="1" x14ac:dyDescent="0.25">
      <c r="A37924" t="str">
        <f>"0212093"</f>
        <v>0212093</v>
      </c>
      <c r="B37924" t="s">
        <v>29509</v>
      </c>
      <c r="C37924" t="s">
        <v>576</v>
      </c>
      <c r="D37924" s="21" t="s">
        <v>34</v>
      </c>
      <c r="E37924" s="21" t="s">
        <v>35</v>
      </c>
      <c r="F37924">
        <v>7020037</v>
      </c>
      <c r="G37924" t="s">
        <v>4701</v>
      </c>
      <c r="H37924" s="21">
        <v>485</v>
      </c>
    </row>
    <row r="37925" spans="1:8" customFormat="1" x14ac:dyDescent="0.25">
      <c r="A37925" t="str">
        <f>"1420980"</f>
        <v>1420980</v>
      </c>
      <c r="B37925" t="s">
        <v>6159</v>
      </c>
      <c r="C37925" t="s">
        <v>171</v>
      </c>
      <c r="D37925" s="21" t="s">
        <v>34</v>
      </c>
      <c r="E37925" s="21" t="s">
        <v>71</v>
      </c>
      <c r="F37925">
        <v>9140063</v>
      </c>
      <c r="G37925" t="s">
        <v>4764</v>
      </c>
      <c r="H37925" s="21">
        <v>485</v>
      </c>
    </row>
    <row r="37926" spans="1:8" customFormat="1" x14ac:dyDescent="0.25">
      <c r="A37926" t="str">
        <f>"9536594"</f>
        <v>9536594</v>
      </c>
      <c r="B37926" t="s">
        <v>5627</v>
      </c>
      <c r="C37926" t="s">
        <v>187</v>
      </c>
      <c r="D37926" s="21" t="s">
        <v>34</v>
      </c>
      <c r="E37926" s="21" t="s">
        <v>35</v>
      </c>
      <c r="F37926">
        <v>8950103</v>
      </c>
      <c r="G37926" t="s">
        <v>440</v>
      </c>
      <c r="H37926" s="21">
        <v>485</v>
      </c>
    </row>
    <row r="37927" spans="1:8" customFormat="1" x14ac:dyDescent="0.25">
      <c r="A37927" t="str">
        <f>"3829658"</f>
        <v>3829658</v>
      </c>
      <c r="B37927" t="s">
        <v>24403</v>
      </c>
      <c r="C37927" t="s">
        <v>269</v>
      </c>
      <c r="D37927" s="21" t="s">
        <v>34</v>
      </c>
      <c r="E37927" s="21" t="s">
        <v>254</v>
      </c>
      <c r="F37927">
        <v>1380293</v>
      </c>
      <c r="G37927" t="s">
        <v>2103</v>
      </c>
      <c r="H37927" s="21">
        <v>485</v>
      </c>
    </row>
    <row r="37928" spans="1:8" customFormat="1" x14ac:dyDescent="0.25">
      <c r="A37928" t="str">
        <f>"5612719"</f>
        <v>5612719</v>
      </c>
      <c r="B37928" t="s">
        <v>1645</v>
      </c>
      <c r="C37928" t="s">
        <v>1665</v>
      </c>
      <c r="D37928" s="21" t="s">
        <v>34</v>
      </c>
      <c r="E37928" s="21" t="s">
        <v>1089</v>
      </c>
      <c r="F37928">
        <v>3560085</v>
      </c>
      <c r="G37928" t="s">
        <v>11473</v>
      </c>
      <c r="H37928" s="21">
        <v>485</v>
      </c>
    </row>
    <row r="37929" spans="1:8" customFormat="1" x14ac:dyDescent="0.25">
      <c r="A37929" t="str">
        <f>"6950019"</f>
        <v>6950019</v>
      </c>
      <c r="B37929" t="s">
        <v>29510</v>
      </c>
      <c r="C37929" t="s">
        <v>825</v>
      </c>
      <c r="D37929" s="21" t="s">
        <v>34</v>
      </c>
      <c r="E37929" s="21" t="s">
        <v>254</v>
      </c>
      <c r="F37929">
        <v>1690123</v>
      </c>
      <c r="G37929" t="s">
        <v>5156</v>
      </c>
      <c r="H37929" s="21">
        <v>485</v>
      </c>
    </row>
    <row r="37930" spans="1:8" customFormat="1" x14ac:dyDescent="0.25">
      <c r="A37930" t="str">
        <f>"6945278"</f>
        <v>6945278</v>
      </c>
      <c r="B37930" t="s">
        <v>2690</v>
      </c>
      <c r="C37930" t="s">
        <v>486</v>
      </c>
      <c r="D37930" s="21" t="s">
        <v>34</v>
      </c>
      <c r="E37930" s="21" t="s">
        <v>35</v>
      </c>
      <c r="F37930">
        <v>1690123</v>
      </c>
      <c r="G37930" t="s">
        <v>5156</v>
      </c>
      <c r="H37930" s="21">
        <v>485</v>
      </c>
    </row>
    <row r="37931" spans="1:8" customFormat="1" x14ac:dyDescent="0.25">
      <c r="A37931" t="str">
        <f>"0114016"</f>
        <v>0114016</v>
      </c>
      <c r="B37931" t="s">
        <v>22872</v>
      </c>
      <c r="C37931" t="s">
        <v>379</v>
      </c>
      <c r="D37931" s="21" t="s">
        <v>34</v>
      </c>
      <c r="E37931" s="21" t="s">
        <v>254</v>
      </c>
      <c r="F37931">
        <v>1010062</v>
      </c>
      <c r="G37931" t="s">
        <v>9638</v>
      </c>
      <c r="H37931" s="21">
        <v>485</v>
      </c>
    </row>
    <row r="37932" spans="1:8" customFormat="1" x14ac:dyDescent="0.25">
      <c r="A37932" t="str">
        <f>"4457224"</f>
        <v>4457224</v>
      </c>
      <c r="B37932" t="s">
        <v>18375</v>
      </c>
      <c r="C37932" t="s">
        <v>462</v>
      </c>
      <c r="D37932" s="21" t="s">
        <v>34</v>
      </c>
      <c r="E37932" s="21" t="s">
        <v>71</v>
      </c>
      <c r="F37932">
        <v>12440206</v>
      </c>
      <c r="G37932" t="s">
        <v>10374</v>
      </c>
      <c r="H37932" s="21">
        <v>485</v>
      </c>
    </row>
    <row r="37933" spans="1:8" customFormat="1" x14ac:dyDescent="0.25">
      <c r="A37933" t="str">
        <f>"4219482"</f>
        <v>4219482</v>
      </c>
      <c r="B37933" t="s">
        <v>6887</v>
      </c>
      <c r="C37933" t="s">
        <v>3905</v>
      </c>
      <c r="D37933" s="21" t="s">
        <v>34</v>
      </c>
      <c r="E37933" s="21" t="s">
        <v>254</v>
      </c>
      <c r="F37933">
        <v>1420009</v>
      </c>
      <c r="G37933" t="s">
        <v>3113</v>
      </c>
      <c r="H37933" s="21">
        <v>485</v>
      </c>
    </row>
    <row r="37934" spans="1:8" customFormat="1" x14ac:dyDescent="0.25">
      <c r="A37934" t="str">
        <f>"7525214"</f>
        <v>7525214</v>
      </c>
      <c r="B37934" t="s">
        <v>146</v>
      </c>
      <c r="C37934" t="s">
        <v>459</v>
      </c>
      <c r="D37934" s="21" t="s">
        <v>34</v>
      </c>
      <c r="E37934" s="21" t="s">
        <v>71</v>
      </c>
      <c r="F37934">
        <v>8751279</v>
      </c>
      <c r="G37934" t="s">
        <v>13340</v>
      </c>
      <c r="H37934" s="21">
        <v>485</v>
      </c>
    </row>
    <row r="37935" spans="1:8" customFormat="1" x14ac:dyDescent="0.25">
      <c r="A37935" t="str">
        <f>"6231673"</f>
        <v>6231673</v>
      </c>
      <c r="B37935" t="s">
        <v>22027</v>
      </c>
      <c r="C37935" t="s">
        <v>2305</v>
      </c>
      <c r="D37935" s="21" t="s">
        <v>34</v>
      </c>
      <c r="E37935" s="21" t="s">
        <v>71</v>
      </c>
      <c r="F37935">
        <v>7620060</v>
      </c>
      <c r="G37935" t="s">
        <v>2179</v>
      </c>
      <c r="H37935" s="21">
        <v>485</v>
      </c>
    </row>
    <row r="37936" spans="1:8" customFormat="1" x14ac:dyDescent="0.25">
      <c r="A37936" t="str">
        <f>"3344382"</f>
        <v>3344382</v>
      </c>
      <c r="B37936" t="s">
        <v>23624</v>
      </c>
      <c r="C37936" t="s">
        <v>1468</v>
      </c>
      <c r="D37936" s="21" t="s">
        <v>34</v>
      </c>
      <c r="E37936" s="21" t="s">
        <v>71</v>
      </c>
      <c r="F37936">
        <v>10330098</v>
      </c>
      <c r="G37936" t="s">
        <v>8299</v>
      </c>
      <c r="H37936" s="21">
        <v>485</v>
      </c>
    </row>
    <row r="37937" spans="1:8" customFormat="1" x14ac:dyDescent="0.25">
      <c r="A37937" t="str">
        <f>"5432114"</f>
        <v>5432114</v>
      </c>
      <c r="B37937" t="s">
        <v>24170</v>
      </c>
      <c r="C37937" t="s">
        <v>169</v>
      </c>
      <c r="D37937" s="21" t="s">
        <v>34</v>
      </c>
      <c r="E37937" s="21" t="s">
        <v>71</v>
      </c>
      <c r="F37937">
        <v>6540034</v>
      </c>
      <c r="G37937" t="s">
        <v>2211</v>
      </c>
      <c r="H37937" s="21">
        <v>485</v>
      </c>
    </row>
    <row r="37938" spans="1:8" customFormat="1" x14ac:dyDescent="0.25">
      <c r="A37938" t="str">
        <f>"9535058"</f>
        <v>9535058</v>
      </c>
      <c r="B37938" t="s">
        <v>21906</v>
      </c>
      <c r="C37938" t="s">
        <v>130</v>
      </c>
      <c r="D37938" s="21" t="s">
        <v>34</v>
      </c>
      <c r="E37938" s="21" t="s">
        <v>254</v>
      </c>
      <c r="F37938">
        <v>8951273</v>
      </c>
      <c r="G37938" t="s">
        <v>2382</v>
      </c>
      <c r="H37938" s="21">
        <v>485</v>
      </c>
    </row>
    <row r="37939" spans="1:8" customFormat="1" x14ac:dyDescent="0.25">
      <c r="A37939" t="str">
        <f>"9311274"</f>
        <v>9311274</v>
      </c>
      <c r="B37939" t="s">
        <v>5649</v>
      </c>
      <c r="C37939" t="s">
        <v>598</v>
      </c>
      <c r="D37939" s="21" t="s">
        <v>34</v>
      </c>
      <c r="E37939" s="21" t="s">
        <v>71</v>
      </c>
      <c r="F37939">
        <v>8930059</v>
      </c>
      <c r="G37939" t="s">
        <v>17436</v>
      </c>
      <c r="H37939" s="21">
        <v>485</v>
      </c>
    </row>
    <row r="37940" spans="1:8" customFormat="1" x14ac:dyDescent="0.25">
      <c r="A37940" t="str">
        <f>"6316027"</f>
        <v>6316027</v>
      </c>
      <c r="B37940" t="s">
        <v>24259</v>
      </c>
      <c r="C37940" t="s">
        <v>1782</v>
      </c>
      <c r="D37940" s="21" t="s">
        <v>34</v>
      </c>
      <c r="E37940" s="21" t="s">
        <v>35</v>
      </c>
      <c r="F37940">
        <v>1630125</v>
      </c>
      <c r="G37940" t="s">
        <v>6858</v>
      </c>
      <c r="H37940" s="21">
        <v>485</v>
      </c>
    </row>
    <row r="37941" spans="1:8" customFormat="1" x14ac:dyDescent="0.25">
      <c r="A37941" t="str">
        <f>"879614"</f>
        <v>879614</v>
      </c>
      <c r="B37941" t="s">
        <v>18609</v>
      </c>
      <c r="C37941" t="s">
        <v>415</v>
      </c>
      <c r="D37941" s="21" t="s">
        <v>34</v>
      </c>
      <c r="E37941" s="21" t="s">
        <v>71</v>
      </c>
      <c r="F37941">
        <v>10870117</v>
      </c>
      <c r="G37941" t="s">
        <v>3139</v>
      </c>
      <c r="H37941" s="21">
        <v>485</v>
      </c>
    </row>
    <row r="37942" spans="1:8" customFormat="1" x14ac:dyDescent="0.25">
      <c r="A37942" t="str">
        <f>"4530070"</f>
        <v>4530070</v>
      </c>
      <c r="B37942" t="s">
        <v>6712</v>
      </c>
      <c r="C37942" t="s">
        <v>62</v>
      </c>
      <c r="D37942" s="21" t="s">
        <v>34</v>
      </c>
      <c r="E37942" s="21" t="s">
        <v>35</v>
      </c>
      <c r="F37942">
        <v>4450589</v>
      </c>
      <c r="G37942" t="s">
        <v>19465</v>
      </c>
      <c r="H37942" s="21">
        <v>485</v>
      </c>
    </row>
    <row r="37943" spans="1:8" customFormat="1" x14ac:dyDescent="0.25">
      <c r="A37943" t="str">
        <f>"57415"</f>
        <v>57415</v>
      </c>
      <c r="B37943" t="s">
        <v>23516</v>
      </c>
      <c r="C37943" t="s">
        <v>96</v>
      </c>
      <c r="D37943" s="21" t="s">
        <v>34</v>
      </c>
      <c r="E37943" s="21" t="s">
        <v>254</v>
      </c>
      <c r="F37943">
        <v>6570022</v>
      </c>
      <c r="G37943" t="s">
        <v>3870</v>
      </c>
      <c r="H37943" s="21">
        <v>485</v>
      </c>
    </row>
    <row r="37944" spans="1:8" customFormat="1" x14ac:dyDescent="0.25">
      <c r="A37944" t="str">
        <f>"8316121"</f>
        <v>8316121</v>
      </c>
      <c r="B37944" t="s">
        <v>29511</v>
      </c>
      <c r="C37944" t="s">
        <v>812</v>
      </c>
      <c r="D37944" s="21" t="s">
        <v>34</v>
      </c>
      <c r="E37944" s="21" t="s">
        <v>35</v>
      </c>
      <c r="F37944">
        <v>13830068</v>
      </c>
      <c r="G37944" t="s">
        <v>6181</v>
      </c>
      <c r="H37944" s="21">
        <v>485</v>
      </c>
    </row>
    <row r="37945" spans="1:8" customFormat="1" x14ac:dyDescent="0.25">
      <c r="A37945" t="str">
        <f>"7922483"</f>
        <v>7922483</v>
      </c>
      <c r="B37945" t="s">
        <v>16807</v>
      </c>
      <c r="C37945" t="s">
        <v>169</v>
      </c>
      <c r="D37945" s="21" t="s">
        <v>34</v>
      </c>
      <c r="E37945" s="21" t="s">
        <v>35</v>
      </c>
      <c r="F37945">
        <v>10790023</v>
      </c>
      <c r="G37945" t="s">
        <v>18120</v>
      </c>
      <c r="H37945" s="21">
        <v>485</v>
      </c>
    </row>
    <row r="37946" spans="1:8" customFormat="1" x14ac:dyDescent="0.25">
      <c r="A37946" t="str">
        <f>"4522886"</f>
        <v>4522886</v>
      </c>
      <c r="B37946" t="s">
        <v>12634</v>
      </c>
      <c r="C37946" t="s">
        <v>130</v>
      </c>
      <c r="D37946" s="21" t="s">
        <v>34</v>
      </c>
      <c r="E37946" s="21" t="s">
        <v>1089</v>
      </c>
      <c r="F37946">
        <v>4450589</v>
      </c>
      <c r="G37946" t="s">
        <v>19465</v>
      </c>
      <c r="H37946" s="21">
        <v>485</v>
      </c>
    </row>
    <row r="37947" spans="1:8" customFormat="1" x14ac:dyDescent="0.25">
      <c r="A37947" t="str">
        <f>"125033"</f>
        <v>125033</v>
      </c>
      <c r="B37947" t="s">
        <v>23588</v>
      </c>
      <c r="C37947" t="s">
        <v>2305</v>
      </c>
      <c r="D37947" s="21" t="s">
        <v>34</v>
      </c>
      <c r="E37947" s="21" t="s">
        <v>71</v>
      </c>
      <c r="F37947">
        <v>11120045</v>
      </c>
      <c r="G37947" t="s">
        <v>13082</v>
      </c>
      <c r="H37947" s="21">
        <v>485</v>
      </c>
    </row>
    <row r="37948" spans="1:8" customFormat="1" x14ac:dyDescent="0.25">
      <c r="A37948" t="str">
        <f>"5978233"</f>
        <v>5978233</v>
      </c>
      <c r="B37948" t="s">
        <v>5785</v>
      </c>
      <c r="C37948" t="s">
        <v>33</v>
      </c>
      <c r="D37948" s="21" t="s">
        <v>34</v>
      </c>
      <c r="E37948" s="21" t="s">
        <v>35</v>
      </c>
      <c r="F37948">
        <v>7590141</v>
      </c>
      <c r="G37948" t="s">
        <v>21305</v>
      </c>
      <c r="H37948" s="21">
        <v>485</v>
      </c>
    </row>
    <row r="37949" spans="1:8" customFormat="1" x14ac:dyDescent="0.25">
      <c r="A37949" t="str">
        <f>"5982195"</f>
        <v>5982195</v>
      </c>
      <c r="B37949" t="s">
        <v>2078</v>
      </c>
      <c r="C37949" t="s">
        <v>121</v>
      </c>
      <c r="D37949" s="21" t="s">
        <v>34</v>
      </c>
      <c r="E37949" s="21" t="s">
        <v>35</v>
      </c>
      <c r="F37949">
        <v>7590131</v>
      </c>
      <c r="G37949" t="s">
        <v>6300</v>
      </c>
      <c r="H37949" s="21">
        <v>485</v>
      </c>
    </row>
    <row r="37950" spans="1:8" customFormat="1" x14ac:dyDescent="0.25">
      <c r="A37950" t="str">
        <f>"848563"</f>
        <v>848563</v>
      </c>
      <c r="B37950" t="s">
        <v>29512</v>
      </c>
      <c r="C37950" t="s">
        <v>29513</v>
      </c>
      <c r="D37950" s="21" t="s">
        <v>34</v>
      </c>
      <c r="E37950" s="21" t="s">
        <v>254</v>
      </c>
      <c r="F37950">
        <v>13840038</v>
      </c>
      <c r="G37950" t="s">
        <v>8931</v>
      </c>
      <c r="H37950" s="21">
        <v>485</v>
      </c>
    </row>
    <row r="37951" spans="1:8" customFormat="1" x14ac:dyDescent="0.25">
      <c r="A37951" t="str">
        <f>"6315593"</f>
        <v>6315593</v>
      </c>
      <c r="B37951" t="s">
        <v>1533</v>
      </c>
      <c r="C37951" t="s">
        <v>453</v>
      </c>
      <c r="D37951" s="21" t="s">
        <v>34</v>
      </c>
      <c r="E37951" s="21" t="s">
        <v>254</v>
      </c>
      <c r="F37951">
        <v>1630009</v>
      </c>
      <c r="G37951" t="s">
        <v>6021</v>
      </c>
      <c r="H37951" s="21">
        <v>485</v>
      </c>
    </row>
    <row r="37952" spans="1:8" customFormat="1" x14ac:dyDescent="0.25">
      <c r="A37952" t="str">
        <f>"6316622"</f>
        <v>6316622</v>
      </c>
      <c r="B37952" t="s">
        <v>4649</v>
      </c>
      <c r="C37952" t="s">
        <v>236</v>
      </c>
      <c r="D37952" s="21" t="s">
        <v>34</v>
      </c>
      <c r="E37952" s="21" t="s">
        <v>71</v>
      </c>
      <c r="F37952">
        <v>1630241</v>
      </c>
      <c r="G37952" t="s">
        <v>4519</v>
      </c>
      <c r="H37952" s="21">
        <v>485</v>
      </c>
    </row>
    <row r="37953" spans="1:8" customFormat="1" x14ac:dyDescent="0.25">
      <c r="A37953" t="str">
        <f>"839916"</f>
        <v>839916</v>
      </c>
      <c r="B37953" t="s">
        <v>23480</v>
      </c>
      <c r="C37953" t="s">
        <v>40</v>
      </c>
      <c r="D37953" s="21" t="s">
        <v>34</v>
      </c>
      <c r="E37953" s="21" t="s">
        <v>71</v>
      </c>
      <c r="F37953">
        <v>13830083</v>
      </c>
      <c r="G37953" t="s">
        <v>2159</v>
      </c>
      <c r="H37953" s="21">
        <v>485</v>
      </c>
    </row>
    <row r="37954" spans="1:8" customFormat="1" x14ac:dyDescent="0.25">
      <c r="A37954" t="str">
        <f>"7414795"</f>
        <v>7414795</v>
      </c>
      <c r="B37954" t="s">
        <v>1886</v>
      </c>
      <c r="C37954" t="s">
        <v>926</v>
      </c>
      <c r="D37954" s="21" t="s">
        <v>34</v>
      </c>
      <c r="E37954" s="21" t="s">
        <v>35</v>
      </c>
      <c r="F37954">
        <v>1740091</v>
      </c>
      <c r="G37954" t="s">
        <v>29514</v>
      </c>
      <c r="H37954" s="21">
        <v>485</v>
      </c>
    </row>
    <row r="37955" spans="1:8" customFormat="1" x14ac:dyDescent="0.25">
      <c r="A37955" t="str">
        <f>"7110222"</f>
        <v>7110222</v>
      </c>
      <c r="B37955" t="s">
        <v>11395</v>
      </c>
      <c r="C37955" t="s">
        <v>1705</v>
      </c>
      <c r="D37955" s="21" t="s">
        <v>34</v>
      </c>
      <c r="E37955" s="21" t="s">
        <v>254</v>
      </c>
      <c r="F37955">
        <v>2710041</v>
      </c>
      <c r="G37955" t="s">
        <v>389</v>
      </c>
      <c r="H37955" s="21">
        <v>485</v>
      </c>
    </row>
    <row r="37956" spans="1:8" customFormat="1" x14ac:dyDescent="0.25">
      <c r="A37956" t="str">
        <f>"6949216"</f>
        <v>6949216</v>
      </c>
      <c r="B37956" t="s">
        <v>29515</v>
      </c>
      <c r="C37956" t="s">
        <v>249</v>
      </c>
      <c r="D37956" s="21" t="s">
        <v>34</v>
      </c>
      <c r="E37956" s="21" t="s">
        <v>35</v>
      </c>
      <c r="F37956">
        <v>1690105</v>
      </c>
      <c r="G37956" t="s">
        <v>9580</v>
      </c>
      <c r="H37956" s="21">
        <v>485</v>
      </c>
    </row>
    <row r="37957" spans="1:8" customFormat="1" x14ac:dyDescent="0.25">
      <c r="A37957" t="str">
        <f>"5934931"</f>
        <v>5934931</v>
      </c>
      <c r="B37957" t="s">
        <v>255</v>
      </c>
      <c r="C37957" t="s">
        <v>2546</v>
      </c>
      <c r="D37957" s="21" t="s">
        <v>34</v>
      </c>
      <c r="E37957" s="21" t="s">
        <v>1089</v>
      </c>
      <c r="F37957">
        <v>7590087</v>
      </c>
      <c r="G37957" t="s">
        <v>2112</v>
      </c>
      <c r="H37957" s="21">
        <v>485</v>
      </c>
    </row>
    <row r="37958" spans="1:8" customFormat="1" x14ac:dyDescent="0.25">
      <c r="A37958" t="str">
        <f>"5923298"</f>
        <v>5923298</v>
      </c>
      <c r="B37958" t="s">
        <v>10564</v>
      </c>
      <c r="C37958" t="s">
        <v>1119</v>
      </c>
      <c r="D37958" s="21" t="s">
        <v>34</v>
      </c>
      <c r="E37958" s="21" t="s">
        <v>6185</v>
      </c>
      <c r="F37958">
        <v>7590074</v>
      </c>
      <c r="G37958" t="s">
        <v>1992</v>
      </c>
      <c r="H37958" s="21">
        <v>485</v>
      </c>
    </row>
    <row r="37959" spans="1:8" customFormat="1" x14ac:dyDescent="0.25">
      <c r="A37959" t="str">
        <f>"1317450"</f>
        <v>1317450</v>
      </c>
      <c r="B37959" t="s">
        <v>11229</v>
      </c>
      <c r="C37959" t="s">
        <v>415</v>
      </c>
      <c r="D37959" s="21" t="s">
        <v>34</v>
      </c>
      <c r="E37959" s="21" t="s">
        <v>254</v>
      </c>
      <c r="F37959">
        <v>13130139</v>
      </c>
      <c r="G37959" t="s">
        <v>11785</v>
      </c>
      <c r="H37959" s="21">
        <v>485</v>
      </c>
    </row>
    <row r="37960" spans="1:8" customFormat="1" x14ac:dyDescent="0.25">
      <c r="A37960" t="str">
        <f>"9520751"</f>
        <v>9520751</v>
      </c>
      <c r="B37960" t="s">
        <v>8789</v>
      </c>
      <c r="C37960" t="s">
        <v>415</v>
      </c>
      <c r="D37960" s="21" t="s">
        <v>34</v>
      </c>
      <c r="E37960" s="21" t="s">
        <v>1089</v>
      </c>
      <c r="F37960">
        <v>8781473</v>
      </c>
      <c r="G37960" t="s">
        <v>1097</v>
      </c>
      <c r="H37960" s="21">
        <v>485</v>
      </c>
    </row>
    <row r="37961" spans="1:8" customFormat="1" x14ac:dyDescent="0.25">
      <c r="A37961" t="str">
        <f>"6113033"</f>
        <v>6113033</v>
      </c>
      <c r="B37961" t="s">
        <v>16322</v>
      </c>
      <c r="C37961" t="s">
        <v>43</v>
      </c>
      <c r="D37961" s="21" t="s">
        <v>34</v>
      </c>
      <c r="E37961" s="21" t="s">
        <v>35</v>
      </c>
      <c r="F37961">
        <v>9610017</v>
      </c>
      <c r="G37961" t="s">
        <v>12194</v>
      </c>
      <c r="H37961" s="21">
        <v>485</v>
      </c>
    </row>
    <row r="37962" spans="1:8" customFormat="1" x14ac:dyDescent="0.25">
      <c r="A37962" t="str">
        <f>"4453262"</f>
        <v>4453262</v>
      </c>
      <c r="B37962" t="s">
        <v>23136</v>
      </c>
      <c r="C37962" t="s">
        <v>33</v>
      </c>
      <c r="D37962" s="21" t="s">
        <v>34</v>
      </c>
      <c r="E37962" s="21" t="s">
        <v>35</v>
      </c>
      <c r="F37962">
        <v>12440134</v>
      </c>
      <c r="G37962" t="s">
        <v>10580</v>
      </c>
      <c r="H37962" s="21">
        <v>484.75</v>
      </c>
    </row>
    <row r="37963" spans="1:8" customFormat="1" x14ac:dyDescent="0.25">
      <c r="A37963" t="str">
        <f>"9234541"</f>
        <v>9234541</v>
      </c>
      <c r="B37963" t="s">
        <v>14442</v>
      </c>
      <c r="C37963" t="s">
        <v>249</v>
      </c>
      <c r="D37963" s="21" t="s">
        <v>34</v>
      </c>
      <c r="E37963" s="21" t="s">
        <v>71</v>
      </c>
      <c r="F37963">
        <v>8920063</v>
      </c>
      <c r="G37963" t="s">
        <v>219</v>
      </c>
      <c r="H37963" s="21">
        <v>484.75</v>
      </c>
    </row>
    <row r="37964" spans="1:8" customFormat="1" x14ac:dyDescent="0.25">
      <c r="A37964" t="str">
        <f>"3116575"</f>
        <v>3116575</v>
      </c>
      <c r="B37964" t="s">
        <v>2283</v>
      </c>
      <c r="C37964" t="s">
        <v>462</v>
      </c>
      <c r="D37964" s="21" t="s">
        <v>34</v>
      </c>
      <c r="E37964" s="21" t="s">
        <v>71</v>
      </c>
      <c r="F37964">
        <v>11310124</v>
      </c>
      <c r="G37964" t="s">
        <v>7977</v>
      </c>
      <c r="H37964" s="21">
        <v>484.67</v>
      </c>
    </row>
    <row r="37965" spans="1:8" customFormat="1" x14ac:dyDescent="0.25">
      <c r="A37965" t="str">
        <f>"7728095"</f>
        <v>7728095</v>
      </c>
      <c r="B37965" t="s">
        <v>8046</v>
      </c>
      <c r="C37965" t="s">
        <v>206</v>
      </c>
      <c r="D37965" s="21" t="s">
        <v>34</v>
      </c>
      <c r="E37965" s="21" t="s">
        <v>35</v>
      </c>
      <c r="F37965">
        <v>8771170</v>
      </c>
      <c r="G37965" t="s">
        <v>50</v>
      </c>
      <c r="H37965" s="21">
        <v>484.62</v>
      </c>
    </row>
    <row r="37966" spans="1:8" customFormat="1" x14ac:dyDescent="0.25">
      <c r="A37966" t="str">
        <f>"652854"</f>
        <v>652854</v>
      </c>
      <c r="B37966" t="s">
        <v>29516</v>
      </c>
      <c r="C37966" t="s">
        <v>598</v>
      </c>
      <c r="D37966" s="21" t="s">
        <v>34</v>
      </c>
      <c r="E37966" s="21" t="s">
        <v>71</v>
      </c>
      <c r="F37966">
        <v>11650014</v>
      </c>
      <c r="G37966" t="s">
        <v>9313</v>
      </c>
      <c r="H37966" s="21">
        <v>484.62</v>
      </c>
    </row>
    <row r="37967" spans="1:8" customFormat="1" x14ac:dyDescent="0.25">
      <c r="A37967" t="str">
        <f>"7641892"</f>
        <v>7641892</v>
      </c>
      <c r="B37967" t="s">
        <v>3582</v>
      </c>
      <c r="C37967" t="s">
        <v>275</v>
      </c>
      <c r="D37967" s="21" t="s">
        <v>34</v>
      </c>
      <c r="E37967" s="21" t="s">
        <v>35</v>
      </c>
      <c r="F37967">
        <v>9760351</v>
      </c>
      <c r="G37967" t="s">
        <v>5898</v>
      </c>
      <c r="H37967" s="21">
        <v>484.5</v>
      </c>
    </row>
    <row r="37968" spans="1:8" customFormat="1" x14ac:dyDescent="0.25">
      <c r="A37968" t="str">
        <f>"5734084"</f>
        <v>5734084</v>
      </c>
      <c r="B37968" t="s">
        <v>29517</v>
      </c>
      <c r="C37968" t="s">
        <v>288</v>
      </c>
      <c r="D37968" s="21" t="s">
        <v>34</v>
      </c>
      <c r="E37968" s="21" t="s">
        <v>35</v>
      </c>
      <c r="F37968">
        <v>6570019</v>
      </c>
      <c r="G37968" t="s">
        <v>1510</v>
      </c>
      <c r="H37968" s="21">
        <v>484.5</v>
      </c>
    </row>
    <row r="37969" spans="1:8" customFormat="1" x14ac:dyDescent="0.25">
      <c r="A37969" t="str">
        <f>"0212147"</f>
        <v>0212147</v>
      </c>
      <c r="B37969" t="s">
        <v>29518</v>
      </c>
      <c r="C37969" t="s">
        <v>90</v>
      </c>
      <c r="D37969" s="21" t="s">
        <v>34</v>
      </c>
      <c r="E37969" s="21" t="s">
        <v>35</v>
      </c>
      <c r="F37969">
        <v>7020019</v>
      </c>
      <c r="G37969" t="s">
        <v>7912</v>
      </c>
      <c r="H37969" s="21">
        <v>484.5</v>
      </c>
    </row>
    <row r="37970" spans="1:8" customFormat="1" x14ac:dyDescent="0.25">
      <c r="A37970" t="str">
        <f>"85968"</f>
        <v>85968</v>
      </c>
      <c r="B37970" t="s">
        <v>14115</v>
      </c>
      <c r="C37970" t="s">
        <v>156</v>
      </c>
      <c r="D37970" s="21" t="s">
        <v>34</v>
      </c>
      <c r="E37970" s="21" t="s">
        <v>254</v>
      </c>
      <c r="F37970">
        <v>12850028</v>
      </c>
      <c r="G37970" t="s">
        <v>1700</v>
      </c>
      <c r="H37970" s="21">
        <v>484.5</v>
      </c>
    </row>
    <row r="37971" spans="1:8" customFormat="1" x14ac:dyDescent="0.25">
      <c r="A37971" t="str">
        <f>"0115344"</f>
        <v>0115344</v>
      </c>
      <c r="B37971" t="s">
        <v>29519</v>
      </c>
      <c r="C37971" t="s">
        <v>98</v>
      </c>
      <c r="D37971" s="21" t="s">
        <v>34</v>
      </c>
      <c r="E37971" s="21" t="s">
        <v>35</v>
      </c>
      <c r="F37971">
        <v>1010017</v>
      </c>
      <c r="G37971" t="s">
        <v>6502</v>
      </c>
      <c r="H37971" s="21">
        <v>484.5</v>
      </c>
    </row>
    <row r="37972" spans="1:8" customFormat="1" x14ac:dyDescent="0.25">
      <c r="A37972" t="str">
        <f>"683246"</f>
        <v>683246</v>
      </c>
      <c r="B37972" t="s">
        <v>24583</v>
      </c>
      <c r="C37972" t="s">
        <v>10500</v>
      </c>
      <c r="D37972" s="21" t="s">
        <v>34</v>
      </c>
      <c r="E37972" s="21" t="s">
        <v>6185</v>
      </c>
      <c r="F37972">
        <v>6680020</v>
      </c>
      <c r="G37972" t="s">
        <v>12995</v>
      </c>
      <c r="H37972" s="21">
        <v>484.5</v>
      </c>
    </row>
    <row r="37973" spans="1:8" customFormat="1" x14ac:dyDescent="0.25">
      <c r="A37973" t="str">
        <f>"6022268"</f>
        <v>6022268</v>
      </c>
      <c r="B37973" t="s">
        <v>14586</v>
      </c>
      <c r="C37973" t="s">
        <v>60</v>
      </c>
      <c r="D37973" s="21" t="s">
        <v>34</v>
      </c>
      <c r="E37973" s="21" t="s">
        <v>71</v>
      </c>
      <c r="F37973">
        <v>7600086</v>
      </c>
      <c r="G37973" t="s">
        <v>2399</v>
      </c>
      <c r="H37973" s="21">
        <v>484.5</v>
      </c>
    </row>
    <row r="37974" spans="1:8" customFormat="1" x14ac:dyDescent="0.25">
      <c r="A37974" t="str">
        <f>"2940099"</f>
        <v>2940099</v>
      </c>
      <c r="B37974" t="s">
        <v>29520</v>
      </c>
      <c r="C37974" t="s">
        <v>664</v>
      </c>
      <c r="D37974" s="21" t="s">
        <v>34</v>
      </c>
      <c r="E37974" s="21" t="s">
        <v>71</v>
      </c>
      <c r="F37974">
        <v>3290244</v>
      </c>
      <c r="G37974" t="s">
        <v>573</v>
      </c>
      <c r="H37974" s="21">
        <v>484.5</v>
      </c>
    </row>
    <row r="37975" spans="1:8" customFormat="1" x14ac:dyDescent="0.25">
      <c r="A37975" t="str">
        <f>"1614252"</f>
        <v>1614252</v>
      </c>
      <c r="B37975" t="s">
        <v>22098</v>
      </c>
      <c r="C37975" t="s">
        <v>246</v>
      </c>
      <c r="D37975" s="21" t="s">
        <v>34</v>
      </c>
      <c r="E37975" s="21" t="s">
        <v>254</v>
      </c>
      <c r="F37975">
        <v>10160237</v>
      </c>
      <c r="G37975" t="s">
        <v>8818</v>
      </c>
      <c r="H37975" s="21">
        <v>484.5</v>
      </c>
    </row>
    <row r="37976" spans="1:8" customFormat="1" x14ac:dyDescent="0.25">
      <c r="A37976" t="str">
        <f>"3345748"</f>
        <v>3345748</v>
      </c>
      <c r="B37976" t="s">
        <v>29521</v>
      </c>
      <c r="C37976" t="s">
        <v>249</v>
      </c>
      <c r="D37976" s="21" t="s">
        <v>34</v>
      </c>
      <c r="E37976" s="21" t="s">
        <v>35</v>
      </c>
      <c r="F37976">
        <v>10330128</v>
      </c>
      <c r="G37976" t="s">
        <v>13670</v>
      </c>
      <c r="H37976" s="21">
        <v>484.5</v>
      </c>
    </row>
    <row r="37977" spans="1:8" customFormat="1" x14ac:dyDescent="0.25">
      <c r="A37977" t="str">
        <f>"4529438"</f>
        <v>4529438</v>
      </c>
      <c r="B37977" t="s">
        <v>29522</v>
      </c>
      <c r="C37977" t="s">
        <v>926</v>
      </c>
      <c r="D37977" s="21" t="s">
        <v>34</v>
      </c>
      <c r="E37977" s="21" t="s">
        <v>35</v>
      </c>
      <c r="F37977">
        <v>4450295</v>
      </c>
      <c r="G37977" t="s">
        <v>9193</v>
      </c>
      <c r="H37977" s="21">
        <v>484.5</v>
      </c>
    </row>
    <row r="37978" spans="1:8" customFormat="1" x14ac:dyDescent="0.25">
      <c r="A37978" t="str">
        <f>"6112435"</f>
        <v>6112435</v>
      </c>
      <c r="B37978" t="s">
        <v>29523</v>
      </c>
      <c r="C37978" t="s">
        <v>33</v>
      </c>
      <c r="D37978" s="21" t="s">
        <v>34</v>
      </c>
      <c r="E37978" s="21" t="s">
        <v>35</v>
      </c>
      <c r="F37978">
        <v>9610122</v>
      </c>
      <c r="G37978" t="s">
        <v>4349</v>
      </c>
      <c r="H37978" s="21">
        <v>484.5</v>
      </c>
    </row>
    <row r="37979" spans="1:8" customFormat="1" x14ac:dyDescent="0.25">
      <c r="A37979" t="str">
        <f>"2220358"</f>
        <v>2220358</v>
      </c>
      <c r="B37979" t="s">
        <v>6101</v>
      </c>
      <c r="C37979" t="s">
        <v>9009</v>
      </c>
      <c r="D37979" s="21" t="s">
        <v>34</v>
      </c>
      <c r="E37979" s="21" t="s">
        <v>35</v>
      </c>
      <c r="F37979">
        <v>3220139</v>
      </c>
      <c r="G37979" t="s">
        <v>27114</v>
      </c>
      <c r="H37979" s="21">
        <v>484.5</v>
      </c>
    </row>
    <row r="37980" spans="1:8" customFormat="1" x14ac:dyDescent="0.25">
      <c r="A37980" t="str">
        <f>"105327"</f>
        <v>105327</v>
      </c>
      <c r="B37980" t="s">
        <v>22538</v>
      </c>
      <c r="C37980" t="s">
        <v>269</v>
      </c>
      <c r="D37980" s="21" t="s">
        <v>34</v>
      </c>
      <c r="E37980" s="21" t="s">
        <v>71</v>
      </c>
      <c r="F37980">
        <v>6100035</v>
      </c>
      <c r="G37980" t="s">
        <v>26807</v>
      </c>
      <c r="H37980" s="21">
        <v>484.5</v>
      </c>
    </row>
    <row r="37981" spans="1:8" customFormat="1" x14ac:dyDescent="0.25">
      <c r="A37981" t="str">
        <f>"418013"</f>
        <v>418013</v>
      </c>
      <c r="B37981" t="s">
        <v>1604</v>
      </c>
      <c r="C37981" t="s">
        <v>1605</v>
      </c>
      <c r="D37981" s="21" t="s">
        <v>34</v>
      </c>
      <c r="E37981" s="21" t="s">
        <v>254</v>
      </c>
      <c r="F37981">
        <v>4410586</v>
      </c>
      <c r="G37981" t="s">
        <v>7672</v>
      </c>
      <c r="H37981" s="21">
        <v>484.5</v>
      </c>
    </row>
    <row r="37982" spans="1:8" customFormat="1" x14ac:dyDescent="0.25">
      <c r="A37982" t="str">
        <f>"113752"</f>
        <v>113752</v>
      </c>
      <c r="B37982" t="s">
        <v>11150</v>
      </c>
      <c r="C37982" t="s">
        <v>209</v>
      </c>
      <c r="D37982" s="21" t="s">
        <v>34</v>
      </c>
      <c r="E37982" s="21" t="s">
        <v>71</v>
      </c>
      <c r="F37982">
        <v>11110009</v>
      </c>
      <c r="G37982" t="s">
        <v>6231</v>
      </c>
      <c r="H37982" s="21">
        <v>484.5</v>
      </c>
    </row>
    <row r="37983" spans="1:8" customFormat="1" x14ac:dyDescent="0.25">
      <c r="A37983" t="str">
        <f>"247121"</f>
        <v>247121</v>
      </c>
      <c r="B37983" t="s">
        <v>29524</v>
      </c>
      <c r="C37983" t="s">
        <v>415</v>
      </c>
      <c r="D37983" s="21" t="s">
        <v>34</v>
      </c>
      <c r="E37983" s="21" t="s">
        <v>254</v>
      </c>
      <c r="F37983">
        <v>10240014</v>
      </c>
      <c r="G37983" t="s">
        <v>5445</v>
      </c>
      <c r="H37983" s="21">
        <v>484.5</v>
      </c>
    </row>
    <row r="37984" spans="1:8" customFormat="1" x14ac:dyDescent="0.25">
      <c r="A37984" t="str">
        <f>"6111950"</f>
        <v>6111950</v>
      </c>
      <c r="B37984" t="s">
        <v>24240</v>
      </c>
      <c r="C37984" t="s">
        <v>249</v>
      </c>
      <c r="D37984" s="21" t="s">
        <v>34</v>
      </c>
      <c r="E37984" s="21" t="s">
        <v>71</v>
      </c>
      <c r="F37984">
        <v>9610097</v>
      </c>
      <c r="G37984" t="s">
        <v>9432</v>
      </c>
      <c r="H37984" s="21">
        <v>484.5</v>
      </c>
    </row>
    <row r="37985" spans="1:8" customFormat="1" x14ac:dyDescent="0.25">
      <c r="A37985" t="str">
        <f>"513928"</f>
        <v>513928</v>
      </c>
      <c r="B37985" t="s">
        <v>24641</v>
      </c>
      <c r="C37985" t="s">
        <v>2072</v>
      </c>
      <c r="D37985" s="21" t="s">
        <v>34</v>
      </c>
      <c r="E37985" s="21" t="s">
        <v>254</v>
      </c>
      <c r="F37985">
        <v>6510036</v>
      </c>
      <c r="G37985" t="s">
        <v>2902</v>
      </c>
      <c r="H37985" s="21">
        <v>484.5</v>
      </c>
    </row>
    <row r="37986" spans="1:8" customFormat="1" x14ac:dyDescent="0.25">
      <c r="A37986" t="str">
        <f>"5320046"</f>
        <v>5320046</v>
      </c>
      <c r="B37986" t="s">
        <v>1576</v>
      </c>
      <c r="C37986" t="s">
        <v>40</v>
      </c>
      <c r="D37986" s="21" t="s">
        <v>34</v>
      </c>
      <c r="E37986" s="21" t="s">
        <v>71</v>
      </c>
      <c r="F37986">
        <v>12538900</v>
      </c>
      <c r="G37986" t="s">
        <v>14904</v>
      </c>
      <c r="H37986" s="21">
        <v>484.5</v>
      </c>
    </row>
    <row r="37987" spans="1:8" customFormat="1" x14ac:dyDescent="0.25">
      <c r="A37987" t="str">
        <f>"368428"</f>
        <v>368428</v>
      </c>
      <c r="B37987" t="s">
        <v>29525</v>
      </c>
      <c r="C37987" t="s">
        <v>139</v>
      </c>
      <c r="D37987" s="21" t="s">
        <v>34</v>
      </c>
      <c r="E37987" s="21" t="s">
        <v>35</v>
      </c>
      <c r="F37987">
        <v>4360123</v>
      </c>
      <c r="G37987" t="s">
        <v>4121</v>
      </c>
      <c r="H37987" s="21">
        <v>484.5</v>
      </c>
    </row>
    <row r="37988" spans="1:8" customFormat="1" x14ac:dyDescent="0.25">
      <c r="A37988" t="str">
        <f>"5733586"</f>
        <v>5733586</v>
      </c>
      <c r="B37988" t="s">
        <v>12667</v>
      </c>
      <c r="C37988" t="s">
        <v>720</v>
      </c>
      <c r="D37988" s="21" t="s">
        <v>34</v>
      </c>
      <c r="E37988" s="21" t="s">
        <v>254</v>
      </c>
      <c r="F37988">
        <v>6570008</v>
      </c>
      <c r="G37988" t="s">
        <v>899</v>
      </c>
      <c r="H37988" s="21">
        <v>484.5</v>
      </c>
    </row>
    <row r="37989" spans="1:8" customFormat="1" x14ac:dyDescent="0.25">
      <c r="A37989" t="str">
        <f>"589784"</f>
        <v>589784</v>
      </c>
      <c r="B37989" t="s">
        <v>20581</v>
      </c>
      <c r="C37989" t="s">
        <v>14362</v>
      </c>
      <c r="D37989" s="21" t="s">
        <v>34</v>
      </c>
      <c r="E37989" s="21" t="s">
        <v>35</v>
      </c>
      <c r="F37989">
        <v>2580078</v>
      </c>
      <c r="G37989" t="s">
        <v>4432</v>
      </c>
      <c r="H37989" s="21">
        <v>484.5</v>
      </c>
    </row>
    <row r="37990" spans="1:8" customFormat="1" x14ac:dyDescent="0.25">
      <c r="A37990" t="str">
        <f>"519657"</f>
        <v>519657</v>
      </c>
      <c r="B37990" t="s">
        <v>24620</v>
      </c>
      <c r="C37990" t="s">
        <v>2479</v>
      </c>
      <c r="D37990" s="21" t="s">
        <v>34</v>
      </c>
      <c r="E37990" s="21" t="s">
        <v>254</v>
      </c>
      <c r="F37990">
        <v>6510029</v>
      </c>
      <c r="G37990" t="s">
        <v>1879</v>
      </c>
      <c r="H37990" s="21">
        <v>484.5</v>
      </c>
    </row>
    <row r="37991" spans="1:8" customFormat="1" x14ac:dyDescent="0.25">
      <c r="A37991" t="str">
        <f>"523964"</f>
        <v>523964</v>
      </c>
      <c r="B37991" t="s">
        <v>10132</v>
      </c>
      <c r="C37991" t="s">
        <v>55</v>
      </c>
      <c r="D37991" s="21" t="s">
        <v>34</v>
      </c>
      <c r="E37991" s="21" t="s">
        <v>71</v>
      </c>
      <c r="F37991">
        <v>6520040</v>
      </c>
      <c r="G37991" t="s">
        <v>16367</v>
      </c>
      <c r="H37991" s="21">
        <v>484.5</v>
      </c>
    </row>
    <row r="37992" spans="1:8" customFormat="1" x14ac:dyDescent="0.25">
      <c r="A37992" t="str">
        <f>"4916418"</f>
        <v>4916418</v>
      </c>
      <c r="B37992" t="s">
        <v>23984</v>
      </c>
      <c r="C37992" t="s">
        <v>462</v>
      </c>
      <c r="D37992" s="21" t="s">
        <v>34</v>
      </c>
      <c r="E37992" s="21" t="s">
        <v>254</v>
      </c>
      <c r="F37992">
        <v>12490069</v>
      </c>
      <c r="G37992" t="s">
        <v>5566</v>
      </c>
      <c r="H37992" s="21">
        <v>484.5</v>
      </c>
    </row>
    <row r="37993" spans="1:8" customFormat="1" x14ac:dyDescent="0.25">
      <c r="A37993" t="str">
        <f>"8019612"</f>
        <v>8019612</v>
      </c>
      <c r="B37993" t="s">
        <v>29526</v>
      </c>
      <c r="C37993" t="s">
        <v>320</v>
      </c>
      <c r="D37993" s="21" t="s">
        <v>34</v>
      </c>
      <c r="E37993" s="21" t="s">
        <v>35</v>
      </c>
      <c r="F37993">
        <v>7800011</v>
      </c>
      <c r="G37993" t="s">
        <v>2253</v>
      </c>
      <c r="H37993" s="21">
        <v>484.5</v>
      </c>
    </row>
    <row r="37994" spans="1:8" customFormat="1" x14ac:dyDescent="0.25">
      <c r="A37994" t="str">
        <f>"4111934"</f>
        <v>4111934</v>
      </c>
      <c r="B37994" t="s">
        <v>7345</v>
      </c>
      <c r="C37994" t="s">
        <v>33</v>
      </c>
      <c r="D37994" s="21" t="s">
        <v>34</v>
      </c>
      <c r="E37994" s="21" t="s">
        <v>71</v>
      </c>
      <c r="F37994">
        <v>4410724</v>
      </c>
      <c r="G37994" t="s">
        <v>15872</v>
      </c>
      <c r="H37994" s="21">
        <v>484.5</v>
      </c>
    </row>
    <row r="37995" spans="1:8" customFormat="1" x14ac:dyDescent="0.25">
      <c r="A37995" t="str">
        <f>"188805"</f>
        <v>188805</v>
      </c>
      <c r="B37995" t="s">
        <v>24628</v>
      </c>
      <c r="C37995" t="s">
        <v>236</v>
      </c>
      <c r="D37995" s="21" t="s">
        <v>34</v>
      </c>
      <c r="E37995" s="21" t="s">
        <v>254</v>
      </c>
      <c r="F37995">
        <v>4180304</v>
      </c>
      <c r="G37995" t="s">
        <v>4003</v>
      </c>
      <c r="H37995" s="21">
        <v>484.5</v>
      </c>
    </row>
    <row r="37996" spans="1:8" customFormat="1" x14ac:dyDescent="0.25">
      <c r="A37996" t="str">
        <f>"6726395"</f>
        <v>6726395</v>
      </c>
      <c r="B37996" t="s">
        <v>29527</v>
      </c>
      <c r="C37996" t="s">
        <v>87</v>
      </c>
      <c r="D37996" s="21" t="s">
        <v>34</v>
      </c>
      <c r="E37996" s="21" t="s">
        <v>35</v>
      </c>
      <c r="F37996">
        <v>6670272</v>
      </c>
      <c r="G37996" t="s">
        <v>26568</v>
      </c>
      <c r="H37996" s="21">
        <v>484.5</v>
      </c>
    </row>
    <row r="37997" spans="1:8" customFormat="1" x14ac:dyDescent="0.25">
      <c r="A37997" t="str">
        <f>"5323761"</f>
        <v>5323761</v>
      </c>
      <c r="B37997" t="s">
        <v>24245</v>
      </c>
      <c r="C37997" t="s">
        <v>82</v>
      </c>
      <c r="D37997" s="21" t="s">
        <v>34</v>
      </c>
      <c r="E37997" s="21" t="s">
        <v>35</v>
      </c>
      <c r="F37997">
        <v>12538909</v>
      </c>
      <c r="G37997" t="s">
        <v>13536</v>
      </c>
      <c r="H37997" s="21">
        <v>484.5</v>
      </c>
    </row>
    <row r="37998" spans="1:8" customFormat="1" x14ac:dyDescent="0.25">
      <c r="A37998" t="str">
        <f>"6933507"</f>
        <v>6933507</v>
      </c>
      <c r="B37998" t="s">
        <v>1094</v>
      </c>
      <c r="C37998" t="s">
        <v>269</v>
      </c>
      <c r="D37998" s="21" t="s">
        <v>34</v>
      </c>
      <c r="E37998" s="21" t="s">
        <v>71</v>
      </c>
      <c r="F37998">
        <v>1690206</v>
      </c>
      <c r="G37998" t="s">
        <v>17667</v>
      </c>
      <c r="H37998" s="21">
        <v>484.5</v>
      </c>
    </row>
    <row r="37999" spans="1:8" customFormat="1" x14ac:dyDescent="0.25">
      <c r="A37999" t="str">
        <f>"6929478"</f>
        <v>6929478</v>
      </c>
      <c r="B37999" t="s">
        <v>15506</v>
      </c>
      <c r="C37999" t="s">
        <v>209</v>
      </c>
      <c r="D37999" s="21" t="s">
        <v>34</v>
      </c>
      <c r="E37999" s="21" t="s">
        <v>71</v>
      </c>
      <c r="F37999">
        <v>1690206</v>
      </c>
      <c r="G37999" t="s">
        <v>17667</v>
      </c>
      <c r="H37999" s="21">
        <v>484.5</v>
      </c>
    </row>
    <row r="38000" spans="1:8" customFormat="1" x14ac:dyDescent="0.25">
      <c r="A38000" t="str">
        <f>"3536968"</f>
        <v>3536968</v>
      </c>
      <c r="B38000" t="s">
        <v>24652</v>
      </c>
      <c r="C38000" t="s">
        <v>2752</v>
      </c>
      <c r="D38000" s="21" t="s">
        <v>34</v>
      </c>
      <c r="E38000" s="21" t="s">
        <v>35</v>
      </c>
      <c r="F38000">
        <v>3350232</v>
      </c>
      <c r="G38000" t="s">
        <v>7147</v>
      </c>
      <c r="H38000" s="21">
        <v>484.25</v>
      </c>
    </row>
    <row r="38001" spans="1:8" customFormat="1" x14ac:dyDescent="0.25">
      <c r="A38001" t="str">
        <f>"848760"</f>
        <v>848760</v>
      </c>
      <c r="B38001" t="s">
        <v>29528</v>
      </c>
      <c r="C38001" t="s">
        <v>1142</v>
      </c>
      <c r="D38001" s="21" t="s">
        <v>34</v>
      </c>
      <c r="E38001" s="21" t="s">
        <v>254</v>
      </c>
      <c r="F38001">
        <v>13840013</v>
      </c>
      <c r="G38001" t="s">
        <v>7323</v>
      </c>
      <c r="H38001" s="21">
        <v>484.25</v>
      </c>
    </row>
    <row r="38002" spans="1:8" customFormat="1" x14ac:dyDescent="0.25">
      <c r="A38002" t="str">
        <f>"051052"</f>
        <v>051052</v>
      </c>
      <c r="B38002" t="s">
        <v>24050</v>
      </c>
      <c r="C38002" t="s">
        <v>119</v>
      </c>
      <c r="D38002" s="21" t="s">
        <v>34</v>
      </c>
      <c r="E38002" s="21" t="s">
        <v>1089</v>
      </c>
      <c r="F38002">
        <v>13050025</v>
      </c>
      <c r="G38002" t="s">
        <v>21714</v>
      </c>
      <c r="H38002" s="21">
        <v>484.17</v>
      </c>
    </row>
    <row r="38003" spans="1:8" customFormat="1" x14ac:dyDescent="0.25">
      <c r="A38003" t="str">
        <f>"645564"</f>
        <v>645564</v>
      </c>
      <c r="B38003" t="s">
        <v>2203</v>
      </c>
      <c r="C38003" t="s">
        <v>204</v>
      </c>
      <c r="D38003" s="21" t="s">
        <v>34</v>
      </c>
      <c r="E38003" s="21" t="s">
        <v>35</v>
      </c>
      <c r="F38003">
        <v>10640012</v>
      </c>
      <c r="G38003" t="s">
        <v>6475</v>
      </c>
      <c r="H38003" s="21">
        <v>484</v>
      </c>
    </row>
    <row r="38004" spans="1:8" customFormat="1" x14ac:dyDescent="0.25">
      <c r="A38004" t="str">
        <f>"5984500"</f>
        <v>5984500</v>
      </c>
      <c r="B38004" t="s">
        <v>29529</v>
      </c>
      <c r="C38004" t="s">
        <v>147</v>
      </c>
      <c r="D38004" s="21" t="s">
        <v>34</v>
      </c>
      <c r="E38004" s="21" t="s">
        <v>35</v>
      </c>
      <c r="F38004">
        <v>7590080</v>
      </c>
      <c r="G38004" t="s">
        <v>1715</v>
      </c>
      <c r="H38004" s="21">
        <v>484</v>
      </c>
    </row>
    <row r="38005" spans="1:8" customFormat="1" x14ac:dyDescent="0.25">
      <c r="A38005" t="str">
        <f>"905028"</f>
        <v>905028</v>
      </c>
      <c r="B38005" t="s">
        <v>18725</v>
      </c>
      <c r="C38005" t="s">
        <v>269</v>
      </c>
      <c r="D38005" s="21" t="s">
        <v>34</v>
      </c>
      <c r="E38005" s="21" t="s">
        <v>71</v>
      </c>
      <c r="F38005">
        <v>2900046</v>
      </c>
      <c r="G38005" t="s">
        <v>4101</v>
      </c>
      <c r="H38005" s="21">
        <v>484</v>
      </c>
    </row>
    <row r="38006" spans="1:8" customFormat="1" x14ac:dyDescent="0.25">
      <c r="A38006" t="str">
        <f>"8529445"</f>
        <v>8529445</v>
      </c>
      <c r="B38006" t="s">
        <v>5961</v>
      </c>
      <c r="C38006" t="s">
        <v>124</v>
      </c>
      <c r="D38006" s="21" t="s">
        <v>34</v>
      </c>
      <c r="E38006" s="21" t="s">
        <v>254</v>
      </c>
      <c r="F38006">
        <v>12851024</v>
      </c>
      <c r="G38006" t="s">
        <v>25858</v>
      </c>
      <c r="H38006" s="21">
        <v>484</v>
      </c>
    </row>
    <row r="38007" spans="1:8" customFormat="1" x14ac:dyDescent="0.25">
      <c r="A38007" t="str">
        <f>"0211544"</f>
        <v>0211544</v>
      </c>
      <c r="B38007" t="s">
        <v>22600</v>
      </c>
      <c r="C38007" t="s">
        <v>209</v>
      </c>
      <c r="D38007" s="21" t="s">
        <v>34</v>
      </c>
      <c r="E38007" s="21" t="s">
        <v>71</v>
      </c>
      <c r="F38007">
        <v>7020013</v>
      </c>
      <c r="G38007" t="s">
        <v>14136</v>
      </c>
      <c r="H38007" s="21">
        <v>484</v>
      </c>
    </row>
    <row r="38008" spans="1:8" customFormat="1" x14ac:dyDescent="0.25">
      <c r="A38008" t="str">
        <f>"3531734"</f>
        <v>3531734</v>
      </c>
      <c r="B38008" t="s">
        <v>13054</v>
      </c>
      <c r="C38008" t="s">
        <v>267</v>
      </c>
      <c r="D38008" s="21" t="s">
        <v>34</v>
      </c>
      <c r="E38008" s="21" t="s">
        <v>254</v>
      </c>
      <c r="F38008">
        <v>3350027</v>
      </c>
      <c r="G38008" t="s">
        <v>2760</v>
      </c>
      <c r="H38008" s="21">
        <v>484</v>
      </c>
    </row>
    <row r="38009" spans="1:8" customFormat="1" x14ac:dyDescent="0.25">
      <c r="A38009" t="str">
        <f>"5977633"</f>
        <v>5977633</v>
      </c>
      <c r="B38009" t="s">
        <v>4654</v>
      </c>
      <c r="C38009" t="s">
        <v>639</v>
      </c>
      <c r="D38009" s="21" t="s">
        <v>34</v>
      </c>
      <c r="E38009" s="21" t="s">
        <v>254</v>
      </c>
      <c r="F38009">
        <v>7590113</v>
      </c>
      <c r="G38009" t="s">
        <v>7808</v>
      </c>
      <c r="H38009" s="21">
        <v>484</v>
      </c>
    </row>
    <row r="38010" spans="1:8" customFormat="1" x14ac:dyDescent="0.25">
      <c r="A38010" t="str">
        <f>"9530976"</f>
        <v>9530976</v>
      </c>
      <c r="B38010" t="s">
        <v>577</v>
      </c>
      <c r="C38010" t="s">
        <v>263</v>
      </c>
      <c r="D38010" s="21" t="s">
        <v>34</v>
      </c>
      <c r="E38010" s="21" t="s">
        <v>71</v>
      </c>
      <c r="F38010">
        <v>8951411</v>
      </c>
      <c r="G38010" t="s">
        <v>416</v>
      </c>
      <c r="H38010" s="21">
        <v>484</v>
      </c>
    </row>
    <row r="38011" spans="1:8" customFormat="1" x14ac:dyDescent="0.25">
      <c r="A38011" t="str">
        <f>"2711367"</f>
        <v>2711367</v>
      </c>
      <c r="B38011" t="s">
        <v>10709</v>
      </c>
      <c r="C38011" t="s">
        <v>33</v>
      </c>
      <c r="D38011" s="21" t="s">
        <v>34</v>
      </c>
      <c r="E38011" s="21" t="s">
        <v>71</v>
      </c>
      <c r="F38011">
        <v>9270087</v>
      </c>
      <c r="G38011" t="s">
        <v>7014</v>
      </c>
      <c r="H38011" s="21">
        <v>484</v>
      </c>
    </row>
    <row r="38012" spans="1:8" customFormat="1" x14ac:dyDescent="0.25">
      <c r="A38012" t="str">
        <f>"2938912"</f>
        <v>2938912</v>
      </c>
      <c r="B38012" t="s">
        <v>22597</v>
      </c>
      <c r="C38012" t="s">
        <v>249</v>
      </c>
      <c r="D38012" s="21" t="s">
        <v>34</v>
      </c>
      <c r="E38012" s="21" t="s">
        <v>35</v>
      </c>
      <c r="F38012">
        <v>3290217</v>
      </c>
      <c r="G38012" t="s">
        <v>6770</v>
      </c>
      <c r="H38012" s="21">
        <v>484</v>
      </c>
    </row>
    <row r="38013" spans="1:8" customFormat="1" x14ac:dyDescent="0.25">
      <c r="A38013" t="str">
        <f>"6112859"</f>
        <v>6112859</v>
      </c>
      <c r="B38013" t="s">
        <v>5424</v>
      </c>
      <c r="C38013" t="s">
        <v>33</v>
      </c>
      <c r="D38013" s="21" t="s">
        <v>34</v>
      </c>
      <c r="E38013" s="21" t="s">
        <v>71</v>
      </c>
      <c r="F38013">
        <v>9610127</v>
      </c>
      <c r="G38013" t="s">
        <v>6830</v>
      </c>
      <c r="H38013" s="21">
        <v>484</v>
      </c>
    </row>
    <row r="38014" spans="1:8" customFormat="1" x14ac:dyDescent="0.25">
      <c r="A38014" t="str">
        <f>"905407"</f>
        <v>905407</v>
      </c>
      <c r="B38014" t="s">
        <v>24531</v>
      </c>
      <c r="C38014" t="s">
        <v>269</v>
      </c>
      <c r="D38014" s="21" t="s">
        <v>34</v>
      </c>
      <c r="E38014" s="21" t="s">
        <v>71</v>
      </c>
      <c r="F38014">
        <v>2900013</v>
      </c>
      <c r="G38014" t="s">
        <v>5390</v>
      </c>
      <c r="H38014" s="21">
        <v>484</v>
      </c>
    </row>
    <row r="38015" spans="1:8" customFormat="1" x14ac:dyDescent="0.25">
      <c r="A38015" t="str">
        <f>"2935958"</f>
        <v>2935958</v>
      </c>
      <c r="B38015" t="s">
        <v>23947</v>
      </c>
      <c r="C38015" t="s">
        <v>1025</v>
      </c>
      <c r="D38015" s="21" t="s">
        <v>34</v>
      </c>
      <c r="E38015" s="21" t="s">
        <v>254</v>
      </c>
      <c r="F38015">
        <v>3290290</v>
      </c>
      <c r="G38015" t="s">
        <v>27072</v>
      </c>
      <c r="H38015" s="21">
        <v>484</v>
      </c>
    </row>
    <row r="38016" spans="1:8" customFormat="1" x14ac:dyDescent="0.25">
      <c r="A38016" t="str">
        <f>"9147286"</f>
        <v>9147286</v>
      </c>
      <c r="B38016" t="s">
        <v>4261</v>
      </c>
      <c r="C38016" t="s">
        <v>926</v>
      </c>
      <c r="D38016" s="21" t="s">
        <v>34</v>
      </c>
      <c r="E38016" s="21" t="s">
        <v>35</v>
      </c>
      <c r="F38016">
        <v>8911323</v>
      </c>
      <c r="G38016" t="s">
        <v>555</v>
      </c>
      <c r="H38016" s="21">
        <v>484</v>
      </c>
    </row>
    <row r="38017" spans="1:8" customFormat="1" x14ac:dyDescent="0.25">
      <c r="A38017" t="str">
        <f>"6222572"</f>
        <v>6222572</v>
      </c>
      <c r="B38017" t="s">
        <v>10780</v>
      </c>
      <c r="C38017" t="s">
        <v>40</v>
      </c>
      <c r="D38017" s="21" t="s">
        <v>34</v>
      </c>
      <c r="E38017" s="21" t="s">
        <v>35</v>
      </c>
      <c r="F38017">
        <v>7620007</v>
      </c>
      <c r="G38017" t="s">
        <v>2133</v>
      </c>
      <c r="H38017" s="21">
        <v>484</v>
      </c>
    </row>
    <row r="38018" spans="1:8" customFormat="1" x14ac:dyDescent="0.25">
      <c r="A38018" t="str">
        <f>"2938902"</f>
        <v>2938902</v>
      </c>
      <c r="B38018" t="s">
        <v>24533</v>
      </c>
      <c r="C38018" t="s">
        <v>528</v>
      </c>
      <c r="D38018" s="21" t="s">
        <v>34</v>
      </c>
      <c r="E38018" s="21" t="s">
        <v>71</v>
      </c>
      <c r="F38018">
        <v>3290268</v>
      </c>
      <c r="G38018" t="s">
        <v>9878</v>
      </c>
      <c r="H38018" s="21">
        <v>484</v>
      </c>
    </row>
    <row r="38019" spans="1:8" customFormat="1" x14ac:dyDescent="0.25">
      <c r="A38019" t="str">
        <f>"3014349"</f>
        <v>3014349</v>
      </c>
      <c r="B38019" t="s">
        <v>22196</v>
      </c>
      <c r="C38019" t="s">
        <v>151</v>
      </c>
      <c r="D38019" s="21" t="s">
        <v>34</v>
      </c>
      <c r="E38019" s="21" t="s">
        <v>71</v>
      </c>
      <c r="F38019">
        <v>11300055</v>
      </c>
      <c r="G38019" t="s">
        <v>14655</v>
      </c>
      <c r="H38019" s="21">
        <v>484</v>
      </c>
    </row>
    <row r="38020" spans="1:8" customFormat="1" x14ac:dyDescent="0.25">
      <c r="A38020" t="str">
        <f>"6715251"</f>
        <v>6715251</v>
      </c>
      <c r="B38020" t="s">
        <v>11549</v>
      </c>
      <c r="C38020" t="s">
        <v>17749</v>
      </c>
      <c r="D38020" s="21" t="s">
        <v>34</v>
      </c>
      <c r="E38020" s="21" t="s">
        <v>254</v>
      </c>
      <c r="F38020">
        <v>6670045</v>
      </c>
      <c r="G38020" t="s">
        <v>707</v>
      </c>
      <c r="H38020" s="21">
        <v>484</v>
      </c>
    </row>
    <row r="38021" spans="1:8" customFormat="1" x14ac:dyDescent="0.25">
      <c r="A38021" t="str">
        <f>"3427114"</f>
        <v>3427114</v>
      </c>
      <c r="B38021" t="s">
        <v>29530</v>
      </c>
      <c r="C38021" t="s">
        <v>1841</v>
      </c>
      <c r="D38021" s="21" t="s">
        <v>34</v>
      </c>
      <c r="E38021" s="21" t="s">
        <v>35</v>
      </c>
      <c r="F38021">
        <v>11340072</v>
      </c>
      <c r="G38021" t="s">
        <v>4785</v>
      </c>
      <c r="H38021" s="21">
        <v>484</v>
      </c>
    </row>
    <row r="38022" spans="1:8" customFormat="1" x14ac:dyDescent="0.25">
      <c r="A38022" t="str">
        <f>"6316029"</f>
        <v>6316029</v>
      </c>
      <c r="B38022" t="s">
        <v>29531</v>
      </c>
      <c r="C38022" t="s">
        <v>269</v>
      </c>
      <c r="D38022" s="21" t="s">
        <v>34</v>
      </c>
      <c r="E38022" s="21" t="s">
        <v>254</v>
      </c>
      <c r="F38022">
        <v>1630301</v>
      </c>
      <c r="G38022" t="s">
        <v>7897</v>
      </c>
      <c r="H38022" s="21">
        <v>484</v>
      </c>
    </row>
    <row r="38023" spans="1:8" customFormat="1" x14ac:dyDescent="0.25">
      <c r="A38023" t="str">
        <f>"4446533"</f>
        <v>4446533</v>
      </c>
      <c r="B38023" t="s">
        <v>22331</v>
      </c>
      <c r="C38023" t="s">
        <v>1841</v>
      </c>
      <c r="D38023" s="21" t="s">
        <v>34</v>
      </c>
      <c r="E38023" s="21" t="s">
        <v>254</v>
      </c>
      <c r="F38023">
        <v>12440015</v>
      </c>
      <c r="G38023" t="s">
        <v>8421</v>
      </c>
      <c r="H38023" s="21">
        <v>484</v>
      </c>
    </row>
    <row r="38024" spans="1:8" customFormat="1" x14ac:dyDescent="0.25">
      <c r="A38024" t="str">
        <f>"446837"</f>
        <v>446837</v>
      </c>
      <c r="B38024" t="s">
        <v>21704</v>
      </c>
      <c r="C38024" t="s">
        <v>156</v>
      </c>
      <c r="D38024" s="21" t="s">
        <v>34</v>
      </c>
      <c r="E38024" s="21" t="s">
        <v>1089</v>
      </c>
      <c r="F38024">
        <v>12440034</v>
      </c>
      <c r="G38024" t="s">
        <v>10586</v>
      </c>
      <c r="H38024" s="21">
        <v>484</v>
      </c>
    </row>
    <row r="38025" spans="1:8" customFormat="1" x14ac:dyDescent="0.25">
      <c r="A38025" t="str">
        <f>"0210470"</f>
        <v>0210470</v>
      </c>
      <c r="B38025" t="s">
        <v>7035</v>
      </c>
      <c r="C38025" t="s">
        <v>33</v>
      </c>
      <c r="D38025" s="21" t="s">
        <v>34</v>
      </c>
      <c r="E38025" s="21" t="s">
        <v>35</v>
      </c>
      <c r="F38025">
        <v>7020014</v>
      </c>
      <c r="G38025" t="s">
        <v>10400</v>
      </c>
      <c r="H38025" s="21">
        <v>484</v>
      </c>
    </row>
    <row r="38026" spans="1:8" customFormat="1" x14ac:dyDescent="0.25">
      <c r="A38026" t="str">
        <f>"7726654"</f>
        <v>7726654</v>
      </c>
      <c r="B38026" t="s">
        <v>6428</v>
      </c>
      <c r="C38026" t="s">
        <v>87</v>
      </c>
      <c r="D38026" s="21" t="s">
        <v>34</v>
      </c>
      <c r="E38026" s="21" t="s">
        <v>71</v>
      </c>
      <c r="F38026">
        <v>8770237</v>
      </c>
      <c r="G38026" t="s">
        <v>128</v>
      </c>
      <c r="H38026" s="21">
        <v>484</v>
      </c>
    </row>
    <row r="38027" spans="1:8" customFormat="1" x14ac:dyDescent="0.25">
      <c r="A38027" t="str">
        <f>"6231829"</f>
        <v>6231829</v>
      </c>
      <c r="B38027" t="s">
        <v>23123</v>
      </c>
      <c r="C38027" t="s">
        <v>1665</v>
      </c>
      <c r="D38027" s="21" t="s">
        <v>34</v>
      </c>
      <c r="E38027" s="21" t="s">
        <v>71</v>
      </c>
      <c r="F38027">
        <v>7620047</v>
      </c>
      <c r="G38027" t="s">
        <v>16200</v>
      </c>
      <c r="H38027" s="21">
        <v>484</v>
      </c>
    </row>
    <row r="38028" spans="1:8" customFormat="1" x14ac:dyDescent="0.25">
      <c r="A38028" t="str">
        <f>"2111545"</f>
        <v>2111545</v>
      </c>
      <c r="B38028" t="s">
        <v>9940</v>
      </c>
      <c r="C38028" t="s">
        <v>576</v>
      </c>
      <c r="D38028" s="21" t="s">
        <v>34</v>
      </c>
      <c r="E38028" s="21" t="s">
        <v>35</v>
      </c>
      <c r="F38028">
        <v>2210123</v>
      </c>
      <c r="G38028" t="s">
        <v>11231</v>
      </c>
      <c r="H38028" s="21">
        <v>484</v>
      </c>
    </row>
    <row r="38029" spans="1:8" customFormat="1" x14ac:dyDescent="0.25">
      <c r="A38029" t="str">
        <f>"8528755"</f>
        <v>8528755</v>
      </c>
      <c r="B38029" t="s">
        <v>11327</v>
      </c>
      <c r="C38029" t="s">
        <v>988</v>
      </c>
      <c r="D38029" s="21" t="s">
        <v>34</v>
      </c>
      <c r="E38029" s="21" t="s">
        <v>35</v>
      </c>
      <c r="F38029">
        <v>12851016</v>
      </c>
      <c r="G38029" t="s">
        <v>1862</v>
      </c>
      <c r="H38029" s="21">
        <v>484</v>
      </c>
    </row>
    <row r="38030" spans="1:8" customFormat="1" x14ac:dyDescent="0.25">
      <c r="A38030" t="str">
        <f>"4936283"</f>
        <v>4936283</v>
      </c>
      <c r="B38030" t="s">
        <v>29532</v>
      </c>
      <c r="C38030" t="s">
        <v>253</v>
      </c>
      <c r="D38030" s="21" t="s">
        <v>34</v>
      </c>
      <c r="E38030" s="21" t="s">
        <v>35</v>
      </c>
      <c r="F38030">
        <v>12490037</v>
      </c>
      <c r="G38030" t="s">
        <v>8892</v>
      </c>
      <c r="H38030" s="21">
        <v>484</v>
      </c>
    </row>
    <row r="38031" spans="1:8" customFormat="1" x14ac:dyDescent="0.25">
      <c r="A38031" t="str">
        <f>"682285"</f>
        <v>682285</v>
      </c>
      <c r="B38031" t="s">
        <v>22358</v>
      </c>
      <c r="C38031" t="s">
        <v>1489</v>
      </c>
      <c r="D38031" s="21" t="s">
        <v>34</v>
      </c>
      <c r="E38031" s="21" t="s">
        <v>6185</v>
      </c>
      <c r="F38031">
        <v>6680020</v>
      </c>
      <c r="G38031" t="s">
        <v>12995</v>
      </c>
      <c r="H38031" s="21">
        <v>484</v>
      </c>
    </row>
    <row r="38032" spans="1:8" customFormat="1" x14ac:dyDescent="0.25">
      <c r="A38032" t="str">
        <f>"3729983"</f>
        <v>3729983</v>
      </c>
      <c r="B38032" t="s">
        <v>25206</v>
      </c>
      <c r="C38032" t="s">
        <v>269</v>
      </c>
      <c r="D38032" s="21" t="s">
        <v>34</v>
      </c>
      <c r="E38032" s="21" t="s">
        <v>71</v>
      </c>
      <c r="F38032">
        <v>4370284</v>
      </c>
      <c r="G38032" t="s">
        <v>3584</v>
      </c>
      <c r="H38032" s="21">
        <v>484</v>
      </c>
    </row>
    <row r="38033" spans="1:8" customFormat="1" x14ac:dyDescent="0.25">
      <c r="A38033" t="str">
        <f>"5319302"</f>
        <v>5319302</v>
      </c>
      <c r="B38033" t="s">
        <v>1593</v>
      </c>
      <c r="C38033" t="s">
        <v>1665</v>
      </c>
      <c r="D38033" s="21" t="s">
        <v>34</v>
      </c>
      <c r="E38033" s="21" t="s">
        <v>254</v>
      </c>
      <c r="F38033">
        <v>12530046</v>
      </c>
      <c r="G38033" t="s">
        <v>10191</v>
      </c>
      <c r="H38033" s="21">
        <v>484</v>
      </c>
    </row>
    <row r="38034" spans="1:8" customFormat="1" x14ac:dyDescent="0.25">
      <c r="A38034" t="str">
        <f>"9532307"</f>
        <v>9532307</v>
      </c>
      <c r="B38034" t="s">
        <v>29533</v>
      </c>
      <c r="C38034" t="s">
        <v>119</v>
      </c>
      <c r="D38034" s="21" t="s">
        <v>34</v>
      </c>
      <c r="E38034" s="21" t="s">
        <v>71</v>
      </c>
      <c r="F38034">
        <v>8951092</v>
      </c>
      <c r="G38034" t="s">
        <v>5801</v>
      </c>
      <c r="H38034" s="21">
        <v>484</v>
      </c>
    </row>
    <row r="38035" spans="1:8" customFormat="1" x14ac:dyDescent="0.25">
      <c r="A38035" t="str">
        <f>"068061"</f>
        <v>068061</v>
      </c>
      <c r="B38035" t="s">
        <v>22837</v>
      </c>
      <c r="C38035" t="s">
        <v>484</v>
      </c>
      <c r="D38035" s="21" t="s">
        <v>34</v>
      </c>
      <c r="E38035" s="21" t="s">
        <v>254</v>
      </c>
      <c r="F38035">
        <v>13060110</v>
      </c>
      <c r="G38035" t="s">
        <v>3268</v>
      </c>
      <c r="H38035" s="21">
        <v>484</v>
      </c>
    </row>
    <row r="38036" spans="1:8" customFormat="1" x14ac:dyDescent="0.25">
      <c r="A38036" t="str">
        <f>"4927029"</f>
        <v>4927029</v>
      </c>
      <c r="B38036" t="s">
        <v>10687</v>
      </c>
      <c r="C38036" t="s">
        <v>269</v>
      </c>
      <c r="D38036" s="21" t="s">
        <v>34</v>
      </c>
      <c r="E38036" s="21" t="s">
        <v>71</v>
      </c>
      <c r="F38036">
        <v>12490003</v>
      </c>
      <c r="G38036" t="s">
        <v>7348</v>
      </c>
      <c r="H38036" s="21">
        <v>484</v>
      </c>
    </row>
    <row r="38037" spans="1:8" customFormat="1" x14ac:dyDescent="0.25">
      <c r="A38037" t="str">
        <f>"112728"</f>
        <v>112728</v>
      </c>
      <c r="B38037" t="s">
        <v>24671</v>
      </c>
      <c r="C38037" t="s">
        <v>43</v>
      </c>
      <c r="D38037" s="21" t="s">
        <v>34</v>
      </c>
      <c r="E38037" s="21" t="s">
        <v>35</v>
      </c>
      <c r="F38037">
        <v>11110028</v>
      </c>
      <c r="G38037" t="s">
        <v>10634</v>
      </c>
      <c r="H38037" s="21">
        <v>483.75</v>
      </c>
    </row>
    <row r="38038" spans="1:8" customFormat="1" x14ac:dyDescent="0.25">
      <c r="A38038" t="str">
        <f>"6947365"</f>
        <v>6947365</v>
      </c>
      <c r="B38038" t="s">
        <v>10991</v>
      </c>
      <c r="C38038" t="s">
        <v>817</v>
      </c>
      <c r="D38038" s="21" t="s">
        <v>34</v>
      </c>
      <c r="E38038" s="21" t="s">
        <v>35</v>
      </c>
      <c r="F38038">
        <v>1690196</v>
      </c>
      <c r="G38038" t="s">
        <v>6149</v>
      </c>
      <c r="H38038" s="21">
        <v>483.67</v>
      </c>
    </row>
    <row r="38039" spans="1:8" customFormat="1" x14ac:dyDescent="0.25">
      <c r="A38039" t="str">
        <f>"7522237"</f>
        <v>7522237</v>
      </c>
      <c r="B38039" t="s">
        <v>8234</v>
      </c>
      <c r="C38039" t="s">
        <v>55</v>
      </c>
      <c r="D38039" s="21" t="s">
        <v>34</v>
      </c>
      <c r="E38039" s="21" t="s">
        <v>35</v>
      </c>
      <c r="F38039">
        <v>8750120</v>
      </c>
      <c r="G38039" t="s">
        <v>838</v>
      </c>
      <c r="H38039" s="21">
        <v>483.67</v>
      </c>
    </row>
    <row r="38040" spans="1:8" customFormat="1" x14ac:dyDescent="0.25">
      <c r="A38040" t="str">
        <f>"5314486"</f>
        <v>5314486</v>
      </c>
      <c r="B38040" t="s">
        <v>15084</v>
      </c>
      <c r="C38040" t="s">
        <v>114</v>
      </c>
      <c r="D38040" s="21" t="s">
        <v>34</v>
      </c>
      <c r="E38040" s="21" t="s">
        <v>71</v>
      </c>
      <c r="F38040">
        <v>12530062</v>
      </c>
      <c r="G38040" t="s">
        <v>1116</v>
      </c>
      <c r="H38040" s="21">
        <v>483.5</v>
      </c>
    </row>
    <row r="38041" spans="1:8" customFormat="1" x14ac:dyDescent="0.25">
      <c r="A38041" t="str">
        <f>"6233146"</f>
        <v>6233146</v>
      </c>
      <c r="B38041" t="s">
        <v>12276</v>
      </c>
      <c r="C38041" t="s">
        <v>55</v>
      </c>
      <c r="D38041" s="21" t="s">
        <v>34</v>
      </c>
      <c r="E38041" s="21" t="s">
        <v>71</v>
      </c>
      <c r="F38041">
        <v>7620147</v>
      </c>
      <c r="G38041" t="s">
        <v>4455</v>
      </c>
      <c r="H38041" s="21">
        <v>483.5</v>
      </c>
    </row>
    <row r="38042" spans="1:8" customFormat="1" x14ac:dyDescent="0.25">
      <c r="A38042" t="str">
        <f>"4454995"</f>
        <v>4454995</v>
      </c>
      <c r="B38042" t="s">
        <v>24515</v>
      </c>
      <c r="C38042" t="s">
        <v>3048</v>
      </c>
      <c r="D38042" s="21" t="s">
        <v>34</v>
      </c>
      <c r="E38042" s="21" t="s">
        <v>35</v>
      </c>
      <c r="F38042">
        <v>12440259</v>
      </c>
      <c r="G38042" t="s">
        <v>833</v>
      </c>
      <c r="H38042" s="21">
        <v>483.5</v>
      </c>
    </row>
    <row r="38043" spans="1:8" customFormat="1" x14ac:dyDescent="0.25">
      <c r="A38043" t="str">
        <f>"5976060"</f>
        <v>5976060</v>
      </c>
      <c r="B38043" t="s">
        <v>22483</v>
      </c>
      <c r="C38043" t="s">
        <v>55</v>
      </c>
      <c r="D38043" s="21" t="s">
        <v>34</v>
      </c>
      <c r="E38043" s="21" t="s">
        <v>71</v>
      </c>
      <c r="F38043">
        <v>7590065</v>
      </c>
      <c r="G38043" t="s">
        <v>1598</v>
      </c>
      <c r="H38043" s="21">
        <v>483.5</v>
      </c>
    </row>
    <row r="38044" spans="1:8" customFormat="1" x14ac:dyDescent="0.25">
      <c r="A38044" t="str">
        <f>"7641495"</f>
        <v>7641495</v>
      </c>
      <c r="B38044" t="s">
        <v>20807</v>
      </c>
      <c r="C38044" t="s">
        <v>988</v>
      </c>
      <c r="D38044" s="21" t="s">
        <v>34</v>
      </c>
      <c r="E38044" s="21" t="s">
        <v>35</v>
      </c>
      <c r="F38044">
        <v>9760025</v>
      </c>
      <c r="G38044" t="s">
        <v>2620</v>
      </c>
      <c r="H38044" s="21">
        <v>483.5</v>
      </c>
    </row>
    <row r="38045" spans="1:8" customFormat="1" x14ac:dyDescent="0.25">
      <c r="A38045" t="str">
        <f>"9145703"</f>
        <v>9145703</v>
      </c>
      <c r="B38045" t="s">
        <v>23936</v>
      </c>
      <c r="C38045" t="s">
        <v>209</v>
      </c>
      <c r="D38045" s="21" t="s">
        <v>34</v>
      </c>
      <c r="E38045" s="21" t="s">
        <v>71</v>
      </c>
      <c r="F38045">
        <v>8911021</v>
      </c>
      <c r="G38045" t="s">
        <v>4198</v>
      </c>
      <c r="H38045" s="21">
        <v>483.5</v>
      </c>
    </row>
    <row r="38046" spans="1:8" customFormat="1" x14ac:dyDescent="0.25">
      <c r="A38046" t="str">
        <f>"4515017"</f>
        <v>4515017</v>
      </c>
      <c r="B38046" t="s">
        <v>5800</v>
      </c>
      <c r="C38046" t="s">
        <v>598</v>
      </c>
      <c r="D38046" s="21" t="s">
        <v>34</v>
      </c>
      <c r="E38046" s="21" t="s">
        <v>254</v>
      </c>
      <c r="F38046">
        <v>4450561</v>
      </c>
      <c r="G38046" t="s">
        <v>10125</v>
      </c>
      <c r="H38046" s="21">
        <v>483.5</v>
      </c>
    </row>
    <row r="38047" spans="1:8" customFormat="1" x14ac:dyDescent="0.25">
      <c r="A38047" t="str">
        <f>"7640329"</f>
        <v>7640329</v>
      </c>
      <c r="B38047" t="s">
        <v>2746</v>
      </c>
      <c r="C38047" t="s">
        <v>233</v>
      </c>
      <c r="D38047" s="21" t="s">
        <v>34</v>
      </c>
      <c r="E38047" s="21" t="s">
        <v>71</v>
      </c>
      <c r="F38047">
        <v>9760366</v>
      </c>
      <c r="G38047" t="s">
        <v>7640</v>
      </c>
      <c r="H38047" s="21">
        <v>483.5</v>
      </c>
    </row>
    <row r="38048" spans="1:8" customFormat="1" x14ac:dyDescent="0.25">
      <c r="A38048" t="str">
        <f>"9147026"</f>
        <v>9147026</v>
      </c>
      <c r="B38048" t="s">
        <v>12456</v>
      </c>
      <c r="C38048" t="s">
        <v>9063</v>
      </c>
      <c r="D38048" s="21" t="s">
        <v>34</v>
      </c>
      <c r="E38048" s="21" t="s">
        <v>35</v>
      </c>
      <c r="F38048">
        <v>8910402</v>
      </c>
      <c r="G38048" t="s">
        <v>1371</v>
      </c>
      <c r="H38048" s="21">
        <v>483.5</v>
      </c>
    </row>
    <row r="38049" spans="1:8" customFormat="1" x14ac:dyDescent="0.25">
      <c r="A38049" t="str">
        <f>"324924"</f>
        <v>324924</v>
      </c>
      <c r="B38049" t="s">
        <v>29534</v>
      </c>
      <c r="C38049" t="s">
        <v>151</v>
      </c>
      <c r="D38049" s="21" t="s">
        <v>34</v>
      </c>
      <c r="E38049" s="21" t="s">
        <v>35</v>
      </c>
      <c r="F38049">
        <v>11320032</v>
      </c>
      <c r="G38049" t="s">
        <v>5722</v>
      </c>
      <c r="H38049" s="21">
        <v>483.5</v>
      </c>
    </row>
    <row r="38050" spans="1:8" customFormat="1" x14ac:dyDescent="0.25">
      <c r="A38050" t="str">
        <f>"8525168"</f>
        <v>8525168</v>
      </c>
      <c r="B38050" t="s">
        <v>6923</v>
      </c>
      <c r="C38050" t="s">
        <v>459</v>
      </c>
      <c r="D38050" s="21" t="s">
        <v>34</v>
      </c>
      <c r="E38050" s="21" t="s">
        <v>35</v>
      </c>
      <c r="F38050">
        <v>12850016</v>
      </c>
      <c r="G38050" t="s">
        <v>26554</v>
      </c>
      <c r="H38050" s="21">
        <v>483.5</v>
      </c>
    </row>
    <row r="38051" spans="1:8" customFormat="1" x14ac:dyDescent="0.25">
      <c r="A38051" t="str">
        <f>"9142770"</f>
        <v>9142770</v>
      </c>
      <c r="B38051" t="s">
        <v>318</v>
      </c>
      <c r="C38051" t="s">
        <v>169</v>
      </c>
      <c r="D38051" s="21" t="s">
        <v>34</v>
      </c>
      <c r="E38051" s="21" t="s">
        <v>35</v>
      </c>
      <c r="F38051">
        <v>8911454</v>
      </c>
      <c r="G38051" t="s">
        <v>8016</v>
      </c>
      <c r="H38051" s="21">
        <v>483.5</v>
      </c>
    </row>
    <row r="38052" spans="1:8" customFormat="1" x14ac:dyDescent="0.25">
      <c r="A38052" t="str">
        <f>"6931333"</f>
        <v>6931333</v>
      </c>
      <c r="B38052" t="s">
        <v>29535</v>
      </c>
      <c r="C38052" t="s">
        <v>33</v>
      </c>
      <c r="D38052" s="21" t="s">
        <v>34</v>
      </c>
      <c r="E38052" s="21" t="s">
        <v>35</v>
      </c>
      <c r="F38052">
        <v>1690215</v>
      </c>
      <c r="G38052" t="s">
        <v>1080</v>
      </c>
      <c r="H38052" s="21">
        <v>483.5</v>
      </c>
    </row>
    <row r="38053" spans="1:8" customFormat="1" x14ac:dyDescent="0.25">
      <c r="A38053" t="str">
        <f>"3345023"</f>
        <v>3345023</v>
      </c>
      <c r="B38053" t="s">
        <v>987</v>
      </c>
      <c r="C38053" t="s">
        <v>23259</v>
      </c>
      <c r="D38053" s="21" t="s">
        <v>34</v>
      </c>
      <c r="E38053" s="21" t="s">
        <v>35</v>
      </c>
      <c r="F38053">
        <v>10330076</v>
      </c>
      <c r="G38053" t="s">
        <v>3769</v>
      </c>
      <c r="H38053" s="21">
        <v>483.5</v>
      </c>
    </row>
    <row r="38054" spans="1:8" customFormat="1" x14ac:dyDescent="0.25">
      <c r="A38054" t="str">
        <f>"695878"</f>
        <v>695878</v>
      </c>
      <c r="B38054" t="s">
        <v>22575</v>
      </c>
      <c r="C38054" t="s">
        <v>2305</v>
      </c>
      <c r="D38054" s="21" t="s">
        <v>34</v>
      </c>
      <c r="E38054" s="21" t="s">
        <v>1089</v>
      </c>
      <c r="F38054">
        <v>1690004</v>
      </c>
      <c r="G38054" t="s">
        <v>12294</v>
      </c>
      <c r="H38054" s="21">
        <v>483.5</v>
      </c>
    </row>
    <row r="38055" spans="1:8" customFormat="1" x14ac:dyDescent="0.25">
      <c r="A38055" t="str">
        <f>"50536"</f>
        <v>50536</v>
      </c>
      <c r="B38055" t="s">
        <v>11975</v>
      </c>
      <c r="C38055" t="s">
        <v>1812</v>
      </c>
      <c r="D38055" s="21" t="s">
        <v>34</v>
      </c>
      <c r="E38055" s="21" t="s">
        <v>71</v>
      </c>
      <c r="F38055">
        <v>9500025</v>
      </c>
      <c r="G38055" t="s">
        <v>665</v>
      </c>
      <c r="H38055" s="21">
        <v>483.5</v>
      </c>
    </row>
    <row r="38056" spans="1:8" customFormat="1" x14ac:dyDescent="0.25">
      <c r="A38056" t="str">
        <f>"9315680"</f>
        <v>9315680</v>
      </c>
      <c r="B38056" t="s">
        <v>22772</v>
      </c>
      <c r="C38056" t="s">
        <v>209</v>
      </c>
      <c r="D38056" s="21" t="s">
        <v>34</v>
      </c>
      <c r="E38056" s="21" t="s">
        <v>71</v>
      </c>
      <c r="F38056">
        <v>8930430</v>
      </c>
      <c r="G38056" t="s">
        <v>995</v>
      </c>
      <c r="H38056" s="21">
        <v>483.5</v>
      </c>
    </row>
    <row r="38057" spans="1:8" customFormat="1" x14ac:dyDescent="0.25">
      <c r="A38057" t="str">
        <f>"6111463"</f>
        <v>6111463</v>
      </c>
      <c r="B38057" t="s">
        <v>1228</v>
      </c>
      <c r="C38057" t="s">
        <v>1446</v>
      </c>
      <c r="D38057" s="21" t="s">
        <v>34</v>
      </c>
      <c r="E38057" s="21" t="s">
        <v>35</v>
      </c>
      <c r="F38057">
        <v>9610101</v>
      </c>
      <c r="G38057" t="s">
        <v>3969</v>
      </c>
      <c r="H38057" s="21">
        <v>483.5</v>
      </c>
    </row>
    <row r="38058" spans="1:8" customFormat="1" x14ac:dyDescent="0.25">
      <c r="A38058" t="str">
        <f>"3537919"</f>
        <v>3537919</v>
      </c>
      <c r="B38058" t="s">
        <v>551</v>
      </c>
      <c r="C38058" t="s">
        <v>3355</v>
      </c>
      <c r="D38058" s="21" t="s">
        <v>34</v>
      </c>
      <c r="E38058" s="21" t="s">
        <v>35</v>
      </c>
      <c r="F38058">
        <v>3350092</v>
      </c>
      <c r="G38058" t="s">
        <v>26881</v>
      </c>
      <c r="H38058" s="21">
        <v>483.5</v>
      </c>
    </row>
    <row r="38059" spans="1:8" customFormat="1" x14ac:dyDescent="0.25">
      <c r="A38059" t="str">
        <f>"5326005"</f>
        <v>5326005</v>
      </c>
      <c r="B38059" t="s">
        <v>21514</v>
      </c>
      <c r="C38059" t="s">
        <v>598</v>
      </c>
      <c r="D38059" s="21" t="s">
        <v>34</v>
      </c>
      <c r="E38059" s="21" t="s">
        <v>71</v>
      </c>
      <c r="F38059">
        <v>12530058</v>
      </c>
      <c r="G38059" t="s">
        <v>3128</v>
      </c>
      <c r="H38059" s="21">
        <v>483.5</v>
      </c>
    </row>
    <row r="38060" spans="1:8" customFormat="1" x14ac:dyDescent="0.25">
      <c r="A38060" t="str">
        <f>"9445203"</f>
        <v>9445203</v>
      </c>
      <c r="B38060" t="s">
        <v>4133</v>
      </c>
      <c r="C38060" t="s">
        <v>87</v>
      </c>
      <c r="D38060" s="21" t="s">
        <v>34</v>
      </c>
      <c r="E38060" s="21" t="s">
        <v>35</v>
      </c>
      <c r="F38060">
        <v>8940096</v>
      </c>
      <c r="G38060" t="s">
        <v>5453</v>
      </c>
      <c r="H38060" s="21">
        <v>483.5</v>
      </c>
    </row>
    <row r="38061" spans="1:8" customFormat="1" x14ac:dyDescent="0.25">
      <c r="A38061" t="str">
        <f>"2719141"</f>
        <v>2719141</v>
      </c>
      <c r="B38061" t="s">
        <v>185</v>
      </c>
      <c r="C38061" t="s">
        <v>249</v>
      </c>
      <c r="D38061" s="21" t="s">
        <v>34</v>
      </c>
      <c r="E38061" s="21" t="s">
        <v>35</v>
      </c>
      <c r="F38061">
        <v>9270168</v>
      </c>
      <c r="G38061" t="s">
        <v>5126</v>
      </c>
      <c r="H38061" s="21">
        <v>483.5</v>
      </c>
    </row>
    <row r="38062" spans="1:8" customFormat="1" x14ac:dyDescent="0.25">
      <c r="A38062" t="str">
        <f>"5020211"</f>
        <v>5020211</v>
      </c>
      <c r="B38062" t="s">
        <v>7664</v>
      </c>
      <c r="C38062" t="s">
        <v>5877</v>
      </c>
      <c r="D38062" s="21" t="s">
        <v>34</v>
      </c>
      <c r="E38062" s="21" t="s">
        <v>254</v>
      </c>
      <c r="F38062">
        <v>9500130</v>
      </c>
      <c r="G38062" t="s">
        <v>5326</v>
      </c>
      <c r="H38062" s="21">
        <v>483.5</v>
      </c>
    </row>
    <row r="38063" spans="1:8" customFormat="1" x14ac:dyDescent="0.25">
      <c r="A38063" t="str">
        <f>"1421663"</f>
        <v>1421663</v>
      </c>
      <c r="B38063" t="s">
        <v>21973</v>
      </c>
      <c r="C38063" t="s">
        <v>493</v>
      </c>
      <c r="D38063" s="21" t="s">
        <v>34</v>
      </c>
      <c r="E38063" s="21" t="s">
        <v>71</v>
      </c>
      <c r="F38063">
        <v>9140234</v>
      </c>
      <c r="G38063" t="s">
        <v>5548</v>
      </c>
      <c r="H38063" s="21">
        <v>483.5</v>
      </c>
    </row>
    <row r="38064" spans="1:8" customFormat="1" x14ac:dyDescent="0.25">
      <c r="A38064" t="str">
        <f>"5980618"</f>
        <v>5980618</v>
      </c>
      <c r="B38064" t="s">
        <v>108</v>
      </c>
      <c r="C38064" t="s">
        <v>87</v>
      </c>
      <c r="D38064" s="21" t="s">
        <v>34</v>
      </c>
      <c r="E38064" s="21" t="s">
        <v>71</v>
      </c>
      <c r="F38064">
        <v>7590043</v>
      </c>
      <c r="G38064" t="s">
        <v>10565</v>
      </c>
      <c r="H38064" s="21">
        <v>483.5</v>
      </c>
    </row>
    <row r="38065" spans="1:8" customFormat="1" x14ac:dyDescent="0.25">
      <c r="A38065" t="str">
        <f>"6023717"</f>
        <v>6023717</v>
      </c>
      <c r="B38065" t="s">
        <v>23480</v>
      </c>
      <c r="C38065" t="s">
        <v>169</v>
      </c>
      <c r="D38065" s="21" t="s">
        <v>34</v>
      </c>
      <c r="E38065" s="21" t="s">
        <v>71</v>
      </c>
      <c r="F38065">
        <v>7600004</v>
      </c>
      <c r="G38065" t="s">
        <v>848</v>
      </c>
      <c r="H38065" s="21">
        <v>483.5</v>
      </c>
    </row>
    <row r="38066" spans="1:8" customFormat="1" x14ac:dyDescent="0.25">
      <c r="A38066" t="str">
        <f>"5322426"</f>
        <v>5322426</v>
      </c>
      <c r="B38066" t="s">
        <v>16168</v>
      </c>
      <c r="C38066" t="s">
        <v>611</v>
      </c>
      <c r="D38066" s="21" t="s">
        <v>34</v>
      </c>
      <c r="E38066" s="21" t="s">
        <v>35</v>
      </c>
      <c r="F38066">
        <v>12530070</v>
      </c>
      <c r="G38066" t="s">
        <v>4905</v>
      </c>
      <c r="H38066" s="21">
        <v>483.5</v>
      </c>
    </row>
    <row r="38067" spans="1:8" customFormat="1" x14ac:dyDescent="0.25">
      <c r="A38067" t="str">
        <f>"7724526"</f>
        <v>7724526</v>
      </c>
      <c r="B38067" t="s">
        <v>108</v>
      </c>
      <c r="C38067" t="s">
        <v>233</v>
      </c>
      <c r="D38067" s="21" t="s">
        <v>34</v>
      </c>
      <c r="E38067" s="21" t="s">
        <v>71</v>
      </c>
      <c r="F38067">
        <v>8771446</v>
      </c>
      <c r="G38067" t="s">
        <v>830</v>
      </c>
      <c r="H38067" s="21">
        <v>483.5</v>
      </c>
    </row>
    <row r="38068" spans="1:8" customFormat="1" x14ac:dyDescent="0.25">
      <c r="A38068" t="str">
        <f>"832919"</f>
        <v>832919</v>
      </c>
      <c r="B38068" t="s">
        <v>22726</v>
      </c>
      <c r="C38068" t="s">
        <v>55</v>
      </c>
      <c r="D38068" s="21" t="s">
        <v>34</v>
      </c>
      <c r="E38068" s="21" t="s">
        <v>71</v>
      </c>
      <c r="F38068">
        <v>13830035</v>
      </c>
      <c r="G38068" t="s">
        <v>8309</v>
      </c>
      <c r="H38068" s="21">
        <v>483.5</v>
      </c>
    </row>
    <row r="38069" spans="1:8" customFormat="1" x14ac:dyDescent="0.25">
      <c r="A38069" t="str">
        <f>"2617916"</f>
        <v>2617916</v>
      </c>
      <c r="B38069" t="s">
        <v>1312</v>
      </c>
      <c r="C38069" t="s">
        <v>82</v>
      </c>
      <c r="D38069" s="21" t="s">
        <v>34</v>
      </c>
      <c r="E38069" s="21" t="s">
        <v>35</v>
      </c>
      <c r="F38069">
        <v>1260004</v>
      </c>
      <c r="G38069" t="s">
        <v>1429</v>
      </c>
      <c r="H38069" s="21">
        <v>483.5</v>
      </c>
    </row>
    <row r="38070" spans="1:8" customFormat="1" x14ac:dyDescent="0.25">
      <c r="A38070" t="str">
        <f>"744110"</f>
        <v>744110</v>
      </c>
      <c r="B38070" t="s">
        <v>23754</v>
      </c>
      <c r="C38070" t="s">
        <v>598</v>
      </c>
      <c r="D38070" s="21" t="s">
        <v>34</v>
      </c>
      <c r="E38070" s="21" t="s">
        <v>254</v>
      </c>
      <c r="F38070">
        <v>1740069</v>
      </c>
      <c r="G38070" t="s">
        <v>8151</v>
      </c>
      <c r="H38070" s="21">
        <v>483.5</v>
      </c>
    </row>
    <row r="38071" spans="1:8" customFormat="1" x14ac:dyDescent="0.25">
      <c r="A38071" t="str">
        <f>"9535235"</f>
        <v>9535235</v>
      </c>
      <c r="B38071" t="s">
        <v>23824</v>
      </c>
      <c r="C38071" t="s">
        <v>486</v>
      </c>
      <c r="D38071" s="21" t="s">
        <v>34</v>
      </c>
      <c r="E38071" s="21" t="s">
        <v>71</v>
      </c>
      <c r="F38071">
        <v>8950545</v>
      </c>
      <c r="G38071" t="s">
        <v>14503</v>
      </c>
      <c r="H38071" s="21">
        <v>483.5</v>
      </c>
    </row>
    <row r="38072" spans="1:8" customFormat="1" x14ac:dyDescent="0.25">
      <c r="A38072" t="str">
        <f>"761192"</f>
        <v>761192</v>
      </c>
      <c r="B38072" t="s">
        <v>2324</v>
      </c>
      <c r="C38072" t="s">
        <v>415</v>
      </c>
      <c r="D38072" s="21" t="s">
        <v>34</v>
      </c>
      <c r="E38072" s="21" t="s">
        <v>254</v>
      </c>
      <c r="F38072">
        <v>9760070</v>
      </c>
      <c r="G38072" t="s">
        <v>6226</v>
      </c>
      <c r="H38072" s="21">
        <v>483.5</v>
      </c>
    </row>
    <row r="38073" spans="1:8" customFormat="1" x14ac:dyDescent="0.25">
      <c r="A38073" t="str">
        <f>"5326416"</f>
        <v>5326416</v>
      </c>
      <c r="B38073" t="s">
        <v>22757</v>
      </c>
      <c r="C38073" t="s">
        <v>598</v>
      </c>
      <c r="D38073" s="21" t="s">
        <v>34</v>
      </c>
      <c r="E38073" s="21" t="s">
        <v>254</v>
      </c>
      <c r="F38073">
        <v>12530033</v>
      </c>
      <c r="G38073" t="s">
        <v>10046</v>
      </c>
      <c r="H38073" s="21">
        <v>483.5</v>
      </c>
    </row>
    <row r="38074" spans="1:8" customFormat="1" x14ac:dyDescent="0.25">
      <c r="A38074" t="str">
        <f>"848079"</f>
        <v>848079</v>
      </c>
      <c r="B38074" t="s">
        <v>67</v>
      </c>
      <c r="C38074" t="s">
        <v>493</v>
      </c>
      <c r="D38074" s="21" t="s">
        <v>34</v>
      </c>
      <c r="E38074" s="21" t="s">
        <v>71</v>
      </c>
      <c r="F38074">
        <v>13840045</v>
      </c>
      <c r="G38074" t="s">
        <v>11703</v>
      </c>
      <c r="H38074" s="21">
        <v>483.5</v>
      </c>
    </row>
    <row r="38075" spans="1:8" customFormat="1" x14ac:dyDescent="0.25">
      <c r="A38075" t="str">
        <f>"8019378"</f>
        <v>8019378</v>
      </c>
      <c r="B38075" t="s">
        <v>24437</v>
      </c>
      <c r="C38075" t="s">
        <v>14345</v>
      </c>
      <c r="D38075" s="21" t="s">
        <v>34</v>
      </c>
      <c r="E38075" s="21" t="s">
        <v>35</v>
      </c>
      <c r="F38075">
        <v>7800040</v>
      </c>
      <c r="G38075" t="s">
        <v>1448</v>
      </c>
      <c r="H38075" s="21">
        <v>483.5</v>
      </c>
    </row>
    <row r="38076" spans="1:8" customFormat="1" x14ac:dyDescent="0.25">
      <c r="A38076" t="str">
        <f>"9146352"</f>
        <v>9146352</v>
      </c>
      <c r="B38076" t="s">
        <v>29536</v>
      </c>
      <c r="C38076" t="s">
        <v>43</v>
      </c>
      <c r="D38076" s="21" t="s">
        <v>34</v>
      </c>
      <c r="E38076" s="21" t="s">
        <v>35</v>
      </c>
      <c r="F38076">
        <v>8911464</v>
      </c>
      <c r="G38076" t="s">
        <v>17832</v>
      </c>
      <c r="H38076" s="21">
        <v>483.5</v>
      </c>
    </row>
    <row r="38077" spans="1:8" customFormat="1" x14ac:dyDescent="0.25">
      <c r="A38077" t="str">
        <f>"417904"</f>
        <v>417904</v>
      </c>
      <c r="B38077" t="s">
        <v>7041</v>
      </c>
      <c r="C38077" t="s">
        <v>239</v>
      </c>
      <c r="D38077" s="21" t="s">
        <v>34</v>
      </c>
      <c r="E38077" s="21" t="s">
        <v>71</v>
      </c>
      <c r="F38077">
        <v>4410537</v>
      </c>
      <c r="G38077" t="s">
        <v>6515</v>
      </c>
      <c r="H38077" s="21">
        <v>483.5</v>
      </c>
    </row>
    <row r="38078" spans="1:8" customFormat="1" x14ac:dyDescent="0.25">
      <c r="A38078" t="str">
        <f>"6317039"</f>
        <v>6317039</v>
      </c>
      <c r="B38078" t="s">
        <v>29537</v>
      </c>
      <c r="C38078" t="s">
        <v>62</v>
      </c>
      <c r="D38078" s="21" t="s">
        <v>34</v>
      </c>
      <c r="E38078" s="21" t="s">
        <v>35</v>
      </c>
      <c r="F38078">
        <v>1630289</v>
      </c>
      <c r="G38078" t="s">
        <v>8900</v>
      </c>
      <c r="H38078" s="21">
        <v>483.5</v>
      </c>
    </row>
    <row r="38079" spans="1:8" customFormat="1" x14ac:dyDescent="0.25">
      <c r="A38079" t="str">
        <f>"4113962"</f>
        <v>4113962</v>
      </c>
      <c r="B38079" t="s">
        <v>29538</v>
      </c>
      <c r="C38079" t="s">
        <v>109</v>
      </c>
      <c r="D38079" s="21" t="s">
        <v>34</v>
      </c>
      <c r="E38079" s="21" t="s">
        <v>35</v>
      </c>
      <c r="F38079">
        <v>4410083</v>
      </c>
      <c r="G38079" t="s">
        <v>2333</v>
      </c>
      <c r="H38079" s="21">
        <v>483.38</v>
      </c>
    </row>
    <row r="38080" spans="1:8" customFormat="1" x14ac:dyDescent="0.25">
      <c r="A38080" t="str">
        <f>"5326352"</f>
        <v>5326352</v>
      </c>
      <c r="B38080" t="s">
        <v>1538</v>
      </c>
      <c r="C38080" t="s">
        <v>169</v>
      </c>
      <c r="D38080" s="21" t="s">
        <v>34</v>
      </c>
      <c r="E38080" s="21" t="s">
        <v>35</v>
      </c>
      <c r="F38080">
        <v>12530023</v>
      </c>
      <c r="G38080" t="s">
        <v>5879</v>
      </c>
      <c r="H38080" s="21">
        <v>483.25</v>
      </c>
    </row>
    <row r="38081" spans="1:8" customFormat="1" x14ac:dyDescent="0.25">
      <c r="A38081" t="str">
        <f>"5326378"</f>
        <v>5326378</v>
      </c>
      <c r="B38081" t="s">
        <v>3146</v>
      </c>
      <c r="C38081" t="s">
        <v>187</v>
      </c>
      <c r="D38081" s="21" t="s">
        <v>34</v>
      </c>
      <c r="E38081" s="21" t="s">
        <v>71</v>
      </c>
      <c r="F38081">
        <v>12530108</v>
      </c>
      <c r="G38081" t="s">
        <v>16085</v>
      </c>
      <c r="H38081" s="21">
        <v>483.25</v>
      </c>
    </row>
    <row r="38082" spans="1:8" customFormat="1" x14ac:dyDescent="0.25">
      <c r="A38082" t="str">
        <f>"371687"</f>
        <v>371687</v>
      </c>
      <c r="B38082" t="s">
        <v>23933</v>
      </c>
      <c r="C38082" t="s">
        <v>1142</v>
      </c>
      <c r="D38082" s="21" t="s">
        <v>34</v>
      </c>
      <c r="E38082" s="21" t="s">
        <v>254</v>
      </c>
      <c r="F38082">
        <v>4370030</v>
      </c>
      <c r="G38082" t="s">
        <v>14081</v>
      </c>
      <c r="H38082" s="21">
        <v>483.25</v>
      </c>
    </row>
    <row r="38083" spans="1:8" customFormat="1" x14ac:dyDescent="0.25">
      <c r="A38083" t="str">
        <f>"4448220"</f>
        <v>4448220</v>
      </c>
      <c r="B38083" t="s">
        <v>23536</v>
      </c>
      <c r="C38083" t="s">
        <v>171</v>
      </c>
      <c r="D38083" s="21" t="s">
        <v>34</v>
      </c>
      <c r="E38083" s="21" t="s">
        <v>71</v>
      </c>
      <c r="F38083">
        <v>12440088</v>
      </c>
      <c r="G38083" t="s">
        <v>17289</v>
      </c>
      <c r="H38083" s="21">
        <v>483.25</v>
      </c>
    </row>
    <row r="38084" spans="1:8" customFormat="1" x14ac:dyDescent="0.25">
      <c r="A38084" t="str">
        <f>"2932714"</f>
        <v>2932714</v>
      </c>
      <c r="B38084" t="s">
        <v>11900</v>
      </c>
      <c r="C38084" t="s">
        <v>209</v>
      </c>
      <c r="D38084" s="21" t="s">
        <v>34</v>
      </c>
      <c r="E38084" s="21" t="s">
        <v>71</v>
      </c>
      <c r="F38084">
        <v>3290214</v>
      </c>
      <c r="G38084" t="s">
        <v>10975</v>
      </c>
      <c r="H38084" s="21">
        <v>483.25</v>
      </c>
    </row>
    <row r="38085" spans="1:8" customFormat="1" x14ac:dyDescent="0.25">
      <c r="A38085" t="str">
        <f>"8796"</f>
        <v>8796</v>
      </c>
      <c r="B38085" t="s">
        <v>21321</v>
      </c>
      <c r="C38085" t="s">
        <v>267</v>
      </c>
      <c r="D38085" s="21" t="s">
        <v>34</v>
      </c>
      <c r="E38085" s="21" t="s">
        <v>254</v>
      </c>
      <c r="F38085">
        <v>10870017</v>
      </c>
      <c r="G38085" t="s">
        <v>26875</v>
      </c>
      <c r="H38085" s="21">
        <v>483.17</v>
      </c>
    </row>
    <row r="38086" spans="1:8" customFormat="1" x14ac:dyDescent="0.25">
      <c r="A38086" t="str">
        <f>"5976727"</f>
        <v>5976727</v>
      </c>
      <c r="B38086" t="s">
        <v>29539</v>
      </c>
      <c r="C38086" t="s">
        <v>453</v>
      </c>
      <c r="D38086" s="21" t="s">
        <v>34</v>
      </c>
      <c r="E38086" s="21" t="s">
        <v>254</v>
      </c>
      <c r="F38086">
        <v>7590170</v>
      </c>
      <c r="G38086" t="s">
        <v>868</v>
      </c>
      <c r="H38086" s="21">
        <v>483.17</v>
      </c>
    </row>
    <row r="38087" spans="1:8" customFormat="1" x14ac:dyDescent="0.25">
      <c r="A38087" t="str">
        <f>"3527692"</f>
        <v>3527692</v>
      </c>
      <c r="B38087" t="s">
        <v>22426</v>
      </c>
      <c r="C38087" t="s">
        <v>2132</v>
      </c>
      <c r="D38087" s="21" t="s">
        <v>34</v>
      </c>
      <c r="E38087" s="21" t="s">
        <v>35</v>
      </c>
      <c r="F38087">
        <v>3350217</v>
      </c>
      <c r="G38087" t="s">
        <v>6797</v>
      </c>
      <c r="H38087" s="21">
        <v>483.17</v>
      </c>
    </row>
    <row r="38088" spans="1:8" customFormat="1" x14ac:dyDescent="0.25">
      <c r="A38088" t="str">
        <f>"6814269"</f>
        <v>6814269</v>
      </c>
      <c r="B38088" t="s">
        <v>24282</v>
      </c>
      <c r="C38088" t="s">
        <v>187</v>
      </c>
      <c r="D38088" s="21" t="s">
        <v>34</v>
      </c>
      <c r="E38088" s="21" t="s">
        <v>35</v>
      </c>
      <c r="F38088">
        <v>6680128</v>
      </c>
      <c r="G38088" t="s">
        <v>341</v>
      </c>
      <c r="H38088" s="21">
        <v>483.12</v>
      </c>
    </row>
    <row r="38089" spans="1:8" customFormat="1" x14ac:dyDescent="0.25">
      <c r="A38089" t="str">
        <f>"668459"</f>
        <v>668459</v>
      </c>
      <c r="B38089" t="s">
        <v>3942</v>
      </c>
      <c r="C38089" t="s">
        <v>528</v>
      </c>
      <c r="D38089" s="21" t="s">
        <v>34</v>
      </c>
      <c r="E38089" s="21" t="s">
        <v>35</v>
      </c>
      <c r="F38089">
        <v>11660011</v>
      </c>
      <c r="G38089" t="s">
        <v>4641</v>
      </c>
      <c r="H38089" s="21">
        <v>483</v>
      </c>
    </row>
    <row r="38090" spans="1:8" customFormat="1" x14ac:dyDescent="0.25">
      <c r="A38090" t="str">
        <f>"2720090"</f>
        <v>2720090</v>
      </c>
      <c r="B38090" t="s">
        <v>1593</v>
      </c>
      <c r="C38090" t="s">
        <v>33</v>
      </c>
      <c r="D38090" s="21" t="s">
        <v>34</v>
      </c>
      <c r="E38090" s="21" t="s">
        <v>35</v>
      </c>
      <c r="F38090">
        <v>9270137</v>
      </c>
      <c r="G38090" t="s">
        <v>3714</v>
      </c>
      <c r="H38090" s="21">
        <v>483</v>
      </c>
    </row>
    <row r="38091" spans="1:8" customFormat="1" x14ac:dyDescent="0.25">
      <c r="A38091" t="str">
        <f>"9147812"</f>
        <v>9147812</v>
      </c>
      <c r="B38091" t="s">
        <v>29540</v>
      </c>
      <c r="C38091" t="s">
        <v>428</v>
      </c>
      <c r="D38091" s="21" t="s">
        <v>34</v>
      </c>
      <c r="E38091" s="21" t="s">
        <v>35</v>
      </c>
      <c r="F38091">
        <v>8910310</v>
      </c>
      <c r="G38091" t="s">
        <v>6645</v>
      </c>
      <c r="H38091" s="21">
        <v>483</v>
      </c>
    </row>
    <row r="38092" spans="1:8" customFormat="1" x14ac:dyDescent="0.25">
      <c r="A38092" t="str">
        <f>"2111553"</f>
        <v>2111553</v>
      </c>
      <c r="B38092" t="s">
        <v>24155</v>
      </c>
      <c r="C38092" t="s">
        <v>239</v>
      </c>
      <c r="D38092" s="21" t="s">
        <v>34</v>
      </c>
      <c r="E38092" s="21" t="s">
        <v>1089</v>
      </c>
      <c r="F38092">
        <v>2210101</v>
      </c>
      <c r="G38092" t="s">
        <v>1374</v>
      </c>
      <c r="H38092" s="21">
        <v>483</v>
      </c>
    </row>
    <row r="38093" spans="1:8" customFormat="1" x14ac:dyDescent="0.25">
      <c r="A38093" t="str">
        <f>"4110895"</f>
        <v>4110895</v>
      </c>
      <c r="B38093" t="s">
        <v>23303</v>
      </c>
      <c r="C38093" t="s">
        <v>263</v>
      </c>
      <c r="D38093" s="21" t="s">
        <v>34</v>
      </c>
      <c r="E38093" s="21" t="s">
        <v>254</v>
      </c>
      <c r="F38093">
        <v>12720045</v>
      </c>
      <c r="G38093" t="s">
        <v>2484</v>
      </c>
      <c r="H38093" s="21">
        <v>483</v>
      </c>
    </row>
    <row r="38094" spans="1:8" customFormat="1" x14ac:dyDescent="0.25">
      <c r="A38094" t="str">
        <f>"7641382"</f>
        <v>7641382</v>
      </c>
      <c r="B38094" t="s">
        <v>2040</v>
      </c>
      <c r="C38094" t="s">
        <v>926</v>
      </c>
      <c r="D38094" s="21" t="s">
        <v>34</v>
      </c>
      <c r="E38094" s="21" t="s">
        <v>71</v>
      </c>
      <c r="F38094">
        <v>9760374</v>
      </c>
      <c r="G38094" t="s">
        <v>6867</v>
      </c>
      <c r="H38094" s="21">
        <v>483</v>
      </c>
    </row>
    <row r="38095" spans="1:8" customFormat="1" x14ac:dyDescent="0.25">
      <c r="A38095" t="str">
        <f>"2938917"</f>
        <v>2938917</v>
      </c>
      <c r="B38095" t="s">
        <v>29541</v>
      </c>
      <c r="C38095" t="s">
        <v>926</v>
      </c>
      <c r="D38095" s="21" t="s">
        <v>34</v>
      </c>
      <c r="E38095" s="21" t="s">
        <v>71</v>
      </c>
      <c r="F38095">
        <v>3290023</v>
      </c>
      <c r="G38095" t="s">
        <v>3883</v>
      </c>
      <c r="H38095" s="21">
        <v>483</v>
      </c>
    </row>
    <row r="38096" spans="1:8" customFormat="1" x14ac:dyDescent="0.25">
      <c r="A38096" t="str">
        <f>"6718967"</f>
        <v>6718967</v>
      </c>
      <c r="B38096" t="s">
        <v>22435</v>
      </c>
      <c r="C38096" t="s">
        <v>1142</v>
      </c>
      <c r="D38096" s="21" t="s">
        <v>34</v>
      </c>
      <c r="E38096" s="21" t="s">
        <v>254</v>
      </c>
      <c r="F38096">
        <v>6670045</v>
      </c>
      <c r="G38096" t="s">
        <v>707</v>
      </c>
      <c r="H38096" s="21">
        <v>483</v>
      </c>
    </row>
    <row r="38097" spans="1:8" customFormat="1" x14ac:dyDescent="0.25">
      <c r="A38097" t="str">
        <f>"4444167"</f>
        <v>4444167</v>
      </c>
      <c r="B38097" t="s">
        <v>1456</v>
      </c>
      <c r="C38097" t="s">
        <v>169</v>
      </c>
      <c r="D38097" s="21" t="s">
        <v>34</v>
      </c>
      <c r="E38097" s="21" t="s">
        <v>35</v>
      </c>
      <c r="F38097">
        <v>12440152</v>
      </c>
      <c r="G38097" t="s">
        <v>5481</v>
      </c>
      <c r="H38097" s="21">
        <v>483</v>
      </c>
    </row>
    <row r="38098" spans="1:8" customFormat="1" x14ac:dyDescent="0.25">
      <c r="A38098" t="str">
        <f>"8018575"</f>
        <v>8018575</v>
      </c>
      <c r="B38098" t="s">
        <v>19482</v>
      </c>
      <c r="C38098" t="s">
        <v>209</v>
      </c>
      <c r="D38098" s="21" t="s">
        <v>34</v>
      </c>
      <c r="E38098" s="21" t="s">
        <v>35</v>
      </c>
      <c r="F38098">
        <v>7800102</v>
      </c>
      <c r="G38098" t="s">
        <v>1148</v>
      </c>
      <c r="H38098" s="21">
        <v>483</v>
      </c>
    </row>
    <row r="38099" spans="1:8" customFormat="1" x14ac:dyDescent="0.25">
      <c r="A38099" t="str">
        <f>"051287"</f>
        <v>051287</v>
      </c>
      <c r="B38099" t="s">
        <v>24172</v>
      </c>
      <c r="C38099" t="s">
        <v>2546</v>
      </c>
      <c r="D38099" s="21" t="s">
        <v>34</v>
      </c>
      <c r="E38099" s="21" t="s">
        <v>254</v>
      </c>
      <c r="F38099">
        <v>13050008</v>
      </c>
      <c r="G38099" t="s">
        <v>12322</v>
      </c>
      <c r="H38099" s="21">
        <v>483</v>
      </c>
    </row>
    <row r="38100" spans="1:8" customFormat="1" x14ac:dyDescent="0.25">
      <c r="A38100" t="str">
        <f>"9445301"</f>
        <v>9445301</v>
      </c>
      <c r="B38100" t="s">
        <v>2203</v>
      </c>
      <c r="C38100" t="s">
        <v>119</v>
      </c>
      <c r="D38100" s="21" t="s">
        <v>34</v>
      </c>
      <c r="E38100" s="21" t="s">
        <v>35</v>
      </c>
      <c r="F38100">
        <v>8940926</v>
      </c>
      <c r="G38100" t="s">
        <v>4065</v>
      </c>
      <c r="H38100" s="21">
        <v>483</v>
      </c>
    </row>
    <row r="38101" spans="1:8" customFormat="1" x14ac:dyDescent="0.25">
      <c r="A38101" t="str">
        <f>"293912"</f>
        <v>293912</v>
      </c>
      <c r="B38101" t="s">
        <v>24054</v>
      </c>
      <c r="C38101" t="s">
        <v>926</v>
      </c>
      <c r="D38101" s="21" t="s">
        <v>34</v>
      </c>
      <c r="E38101" s="21" t="s">
        <v>1089</v>
      </c>
      <c r="F38101">
        <v>3290237</v>
      </c>
      <c r="G38101" t="s">
        <v>8731</v>
      </c>
      <c r="H38101" s="21">
        <v>483</v>
      </c>
    </row>
    <row r="38102" spans="1:8" customFormat="1" x14ac:dyDescent="0.25">
      <c r="A38102" t="str">
        <f>"4457361"</f>
        <v>4457361</v>
      </c>
      <c r="B38102" t="s">
        <v>3278</v>
      </c>
      <c r="C38102" t="s">
        <v>5578</v>
      </c>
      <c r="D38102" s="21" t="s">
        <v>34</v>
      </c>
      <c r="E38102" s="21" t="s">
        <v>35</v>
      </c>
      <c r="F38102">
        <v>12440141</v>
      </c>
      <c r="G38102" t="s">
        <v>3234</v>
      </c>
      <c r="H38102" s="21">
        <v>483</v>
      </c>
    </row>
    <row r="38103" spans="1:8" customFormat="1" x14ac:dyDescent="0.25">
      <c r="A38103" t="str">
        <f>"0212115"</f>
        <v>0212115</v>
      </c>
      <c r="B38103" t="s">
        <v>5426</v>
      </c>
      <c r="C38103" t="s">
        <v>139</v>
      </c>
      <c r="D38103" s="21" t="s">
        <v>34</v>
      </c>
      <c r="E38103" s="21" t="s">
        <v>35</v>
      </c>
      <c r="F38103">
        <v>7020003</v>
      </c>
      <c r="G38103" t="s">
        <v>7268</v>
      </c>
      <c r="H38103" s="21">
        <v>483</v>
      </c>
    </row>
    <row r="38104" spans="1:8" customFormat="1" x14ac:dyDescent="0.25">
      <c r="A38104" t="str">
        <f>"8528770"</f>
        <v>8528770</v>
      </c>
      <c r="B38104" t="s">
        <v>19977</v>
      </c>
      <c r="C38104" t="s">
        <v>43</v>
      </c>
      <c r="D38104" s="21" t="s">
        <v>34</v>
      </c>
      <c r="E38104" s="21" t="s">
        <v>35</v>
      </c>
      <c r="F38104">
        <v>12850131</v>
      </c>
      <c r="G38104" t="s">
        <v>4392</v>
      </c>
      <c r="H38104" s="21">
        <v>483</v>
      </c>
    </row>
    <row r="38105" spans="1:8" customFormat="1" x14ac:dyDescent="0.25">
      <c r="A38105" t="str">
        <f>"5965843"</f>
        <v>5965843</v>
      </c>
      <c r="B38105" t="s">
        <v>16850</v>
      </c>
      <c r="C38105" t="s">
        <v>60</v>
      </c>
      <c r="D38105" s="21" t="s">
        <v>34</v>
      </c>
      <c r="E38105" s="21" t="s">
        <v>35</v>
      </c>
      <c r="F38105">
        <v>7590415</v>
      </c>
      <c r="G38105" t="s">
        <v>15668</v>
      </c>
      <c r="H38105" s="21">
        <v>483</v>
      </c>
    </row>
    <row r="38106" spans="1:8" customFormat="1" x14ac:dyDescent="0.25">
      <c r="A38106" t="str">
        <f>"6016922"</f>
        <v>6016922</v>
      </c>
      <c r="B38106" t="s">
        <v>24258</v>
      </c>
      <c r="C38106" t="s">
        <v>2100</v>
      </c>
      <c r="D38106" s="21" t="s">
        <v>34</v>
      </c>
      <c r="E38106" s="21" t="s">
        <v>254</v>
      </c>
      <c r="F38106">
        <v>7600015</v>
      </c>
      <c r="G38106" t="s">
        <v>8343</v>
      </c>
      <c r="H38106" s="21">
        <v>483</v>
      </c>
    </row>
    <row r="38107" spans="1:8" customFormat="1" x14ac:dyDescent="0.25">
      <c r="A38107" t="str">
        <f>"3729486"</f>
        <v>3729486</v>
      </c>
      <c r="B38107" t="s">
        <v>29542</v>
      </c>
      <c r="C38107" t="s">
        <v>55</v>
      </c>
      <c r="D38107" s="21" t="s">
        <v>34</v>
      </c>
      <c r="E38107" s="21" t="s">
        <v>35</v>
      </c>
      <c r="F38107">
        <v>4370583</v>
      </c>
      <c r="G38107" t="s">
        <v>13975</v>
      </c>
      <c r="H38107" s="21">
        <v>483</v>
      </c>
    </row>
    <row r="38108" spans="1:8" customFormat="1" x14ac:dyDescent="0.25">
      <c r="A38108" t="str">
        <f>"1317609"</f>
        <v>1317609</v>
      </c>
      <c r="B38108" t="s">
        <v>24417</v>
      </c>
      <c r="C38108" t="s">
        <v>415</v>
      </c>
      <c r="D38108" s="21" t="s">
        <v>34</v>
      </c>
      <c r="E38108" s="21" t="s">
        <v>71</v>
      </c>
      <c r="F38108">
        <v>13130158</v>
      </c>
      <c r="G38108" t="s">
        <v>3215</v>
      </c>
      <c r="H38108" s="21">
        <v>483</v>
      </c>
    </row>
    <row r="38109" spans="1:8" customFormat="1" x14ac:dyDescent="0.25">
      <c r="A38109" t="str">
        <f>"461549"</f>
        <v>461549</v>
      </c>
      <c r="B38109" t="s">
        <v>8635</v>
      </c>
      <c r="C38109" t="s">
        <v>114</v>
      </c>
      <c r="D38109" s="21" t="s">
        <v>34</v>
      </c>
      <c r="E38109" s="21" t="s">
        <v>254</v>
      </c>
      <c r="F38109">
        <v>11460029</v>
      </c>
      <c r="G38109" t="s">
        <v>10606</v>
      </c>
      <c r="H38109" s="21">
        <v>483</v>
      </c>
    </row>
    <row r="38110" spans="1:8" customFormat="1" x14ac:dyDescent="0.25">
      <c r="A38110" t="str">
        <f>"6231670"</f>
        <v>6231670</v>
      </c>
      <c r="B38110" t="s">
        <v>23763</v>
      </c>
      <c r="C38110" t="s">
        <v>60</v>
      </c>
      <c r="D38110" s="21" t="s">
        <v>34</v>
      </c>
      <c r="E38110" s="21" t="s">
        <v>35</v>
      </c>
      <c r="F38110">
        <v>7620042</v>
      </c>
      <c r="G38110" t="s">
        <v>8102</v>
      </c>
      <c r="H38110" s="21">
        <v>483</v>
      </c>
    </row>
    <row r="38111" spans="1:8" customFormat="1" x14ac:dyDescent="0.25">
      <c r="A38111" t="str">
        <f>"8614813"</f>
        <v>8614813</v>
      </c>
      <c r="B38111" t="s">
        <v>29543</v>
      </c>
      <c r="C38111" t="s">
        <v>65</v>
      </c>
      <c r="D38111" s="21" t="s">
        <v>34</v>
      </c>
      <c r="E38111" s="21" t="s">
        <v>71</v>
      </c>
      <c r="F38111">
        <v>10860084</v>
      </c>
      <c r="G38111" t="s">
        <v>7471</v>
      </c>
      <c r="H38111" s="21">
        <v>483</v>
      </c>
    </row>
    <row r="38112" spans="1:8" customFormat="1" x14ac:dyDescent="0.25">
      <c r="A38112" t="str">
        <f>"7882699"</f>
        <v>7882699</v>
      </c>
      <c r="B38112" t="s">
        <v>26032</v>
      </c>
      <c r="C38112" t="s">
        <v>151</v>
      </c>
      <c r="D38112" s="21" t="s">
        <v>34</v>
      </c>
      <c r="E38112" s="21" t="s">
        <v>71</v>
      </c>
      <c r="F38112">
        <v>8780016</v>
      </c>
      <c r="G38112" t="s">
        <v>3153</v>
      </c>
      <c r="H38112" s="21">
        <v>483</v>
      </c>
    </row>
    <row r="38113" spans="1:8" customFormat="1" x14ac:dyDescent="0.25">
      <c r="A38113" t="str">
        <f>"9527715"</f>
        <v>9527715</v>
      </c>
      <c r="B38113" t="s">
        <v>5037</v>
      </c>
      <c r="C38113" t="s">
        <v>109</v>
      </c>
      <c r="D38113" s="21" t="s">
        <v>34</v>
      </c>
      <c r="E38113" s="21" t="s">
        <v>71</v>
      </c>
      <c r="F38113">
        <v>8950479</v>
      </c>
      <c r="G38113" t="s">
        <v>728</v>
      </c>
      <c r="H38113" s="21">
        <v>482.88</v>
      </c>
    </row>
    <row r="38114" spans="1:8" customFormat="1" x14ac:dyDescent="0.25">
      <c r="A38114" t="str">
        <f>"2615625"</f>
        <v>2615625</v>
      </c>
      <c r="B38114" t="s">
        <v>23406</v>
      </c>
      <c r="C38114" t="s">
        <v>169</v>
      </c>
      <c r="D38114" s="21" t="s">
        <v>34</v>
      </c>
      <c r="E38114" s="21" t="s">
        <v>71</v>
      </c>
      <c r="F38114">
        <v>1260062</v>
      </c>
      <c r="G38114" t="s">
        <v>6156</v>
      </c>
      <c r="H38114" s="21">
        <v>482.88</v>
      </c>
    </row>
    <row r="38115" spans="1:8" customFormat="1" x14ac:dyDescent="0.25">
      <c r="A38115" t="str">
        <f>"5918592"</f>
        <v>5918592</v>
      </c>
      <c r="B38115" t="s">
        <v>1320</v>
      </c>
      <c r="C38115" t="s">
        <v>40</v>
      </c>
      <c r="D38115" s="21" t="s">
        <v>34</v>
      </c>
      <c r="E38115" s="21" t="s">
        <v>254</v>
      </c>
      <c r="F38115">
        <v>7590137</v>
      </c>
      <c r="G38115" t="s">
        <v>4246</v>
      </c>
      <c r="H38115" s="21">
        <v>482.67</v>
      </c>
    </row>
    <row r="38116" spans="1:8" customFormat="1" x14ac:dyDescent="0.25">
      <c r="A38116" t="str">
        <f>"3730246"</f>
        <v>3730246</v>
      </c>
      <c r="B38116" t="s">
        <v>21795</v>
      </c>
      <c r="C38116" t="s">
        <v>58</v>
      </c>
      <c r="D38116" s="21" t="s">
        <v>34</v>
      </c>
      <c r="E38116" s="21" t="s">
        <v>35</v>
      </c>
      <c r="F38116">
        <v>4370102</v>
      </c>
      <c r="G38116" t="s">
        <v>10707</v>
      </c>
      <c r="H38116" s="21">
        <v>482.5</v>
      </c>
    </row>
    <row r="38117" spans="1:8" customFormat="1" x14ac:dyDescent="0.25">
      <c r="A38117" t="str">
        <f>"665530"</f>
        <v>665530</v>
      </c>
      <c r="B38117" t="s">
        <v>22648</v>
      </c>
      <c r="C38117" t="s">
        <v>2520</v>
      </c>
      <c r="D38117" s="21" t="s">
        <v>34</v>
      </c>
      <c r="E38117" s="21" t="s">
        <v>1089</v>
      </c>
      <c r="F38117">
        <v>11660003</v>
      </c>
      <c r="G38117" t="s">
        <v>5188</v>
      </c>
      <c r="H38117" s="21">
        <v>482.5</v>
      </c>
    </row>
    <row r="38118" spans="1:8" customFormat="1" x14ac:dyDescent="0.25">
      <c r="A38118" t="str">
        <f>"6312186"</f>
        <v>6312186</v>
      </c>
      <c r="B38118" t="s">
        <v>22268</v>
      </c>
      <c r="C38118" t="s">
        <v>33</v>
      </c>
      <c r="D38118" s="21" t="s">
        <v>34</v>
      </c>
      <c r="E38118" s="21" t="s">
        <v>71</v>
      </c>
      <c r="F38118">
        <v>1630123</v>
      </c>
      <c r="G38118" t="s">
        <v>1036</v>
      </c>
      <c r="H38118" s="21">
        <v>482.5</v>
      </c>
    </row>
    <row r="38119" spans="1:8" customFormat="1" x14ac:dyDescent="0.25">
      <c r="A38119" t="str">
        <f>"8315196"</f>
        <v>8315196</v>
      </c>
      <c r="B38119" t="s">
        <v>29544</v>
      </c>
      <c r="C38119" t="s">
        <v>147</v>
      </c>
      <c r="D38119" s="21" t="s">
        <v>34</v>
      </c>
      <c r="E38119" s="21" t="s">
        <v>35</v>
      </c>
      <c r="F38119">
        <v>13830085</v>
      </c>
      <c r="G38119" t="s">
        <v>478</v>
      </c>
      <c r="H38119" s="21">
        <v>482.5</v>
      </c>
    </row>
    <row r="38120" spans="1:8" customFormat="1" x14ac:dyDescent="0.25">
      <c r="A38120" t="str">
        <f>"5976435"</f>
        <v>5976435</v>
      </c>
      <c r="B38120" t="s">
        <v>4728</v>
      </c>
      <c r="C38120" t="s">
        <v>40</v>
      </c>
      <c r="D38120" s="21" t="s">
        <v>34</v>
      </c>
      <c r="E38120" s="21" t="s">
        <v>71</v>
      </c>
      <c r="F38120">
        <v>7590170</v>
      </c>
      <c r="G38120" t="s">
        <v>868</v>
      </c>
      <c r="H38120" s="21">
        <v>482.5</v>
      </c>
    </row>
    <row r="38121" spans="1:8" customFormat="1" x14ac:dyDescent="0.25">
      <c r="A38121" t="str">
        <f>"7629257"</f>
        <v>7629257</v>
      </c>
      <c r="B38121" t="s">
        <v>2851</v>
      </c>
      <c r="C38121" t="s">
        <v>3497</v>
      </c>
      <c r="D38121" s="21" t="s">
        <v>34</v>
      </c>
      <c r="E38121" s="21" t="s">
        <v>254</v>
      </c>
      <c r="F38121">
        <v>9760366</v>
      </c>
      <c r="G38121" t="s">
        <v>7640</v>
      </c>
      <c r="H38121" s="21">
        <v>482.5</v>
      </c>
    </row>
    <row r="38122" spans="1:8" customFormat="1" x14ac:dyDescent="0.25">
      <c r="A38122" t="str">
        <f>"7859176"</f>
        <v>7859176</v>
      </c>
      <c r="B38122" t="s">
        <v>4147</v>
      </c>
      <c r="C38122" t="s">
        <v>151</v>
      </c>
      <c r="D38122" s="21" t="s">
        <v>34</v>
      </c>
      <c r="E38122" s="21" t="s">
        <v>71</v>
      </c>
      <c r="F38122">
        <v>8781176</v>
      </c>
      <c r="G38122" t="s">
        <v>3659</v>
      </c>
      <c r="H38122" s="21">
        <v>482.5</v>
      </c>
    </row>
    <row r="38123" spans="1:8" customFormat="1" x14ac:dyDescent="0.25">
      <c r="A38123" t="str">
        <f>"189423"</f>
        <v>189423</v>
      </c>
      <c r="B38123" t="s">
        <v>24815</v>
      </c>
      <c r="C38123" t="s">
        <v>156</v>
      </c>
      <c r="D38123" s="21" t="s">
        <v>34</v>
      </c>
      <c r="E38123" s="21" t="s">
        <v>71</v>
      </c>
      <c r="F38123">
        <v>4180313</v>
      </c>
      <c r="G38123" t="s">
        <v>10486</v>
      </c>
      <c r="H38123" s="21">
        <v>482.5</v>
      </c>
    </row>
    <row r="38124" spans="1:8" customFormat="1" x14ac:dyDescent="0.25">
      <c r="A38124" t="str">
        <f>"5611689"</f>
        <v>5611689</v>
      </c>
      <c r="B38124" t="s">
        <v>7035</v>
      </c>
      <c r="C38124" t="s">
        <v>2479</v>
      </c>
      <c r="D38124" s="21" t="s">
        <v>34</v>
      </c>
      <c r="E38124" s="21" t="s">
        <v>1089</v>
      </c>
      <c r="F38124">
        <v>3560071</v>
      </c>
      <c r="G38124" t="s">
        <v>8573</v>
      </c>
      <c r="H38124" s="21">
        <v>482.5</v>
      </c>
    </row>
    <row r="38125" spans="1:8" customFormat="1" x14ac:dyDescent="0.25">
      <c r="A38125" t="str">
        <f>"9A1601"</f>
        <v>9A1601</v>
      </c>
      <c r="B38125" t="s">
        <v>5897</v>
      </c>
      <c r="C38125" t="s">
        <v>10167</v>
      </c>
      <c r="D38125" s="21" t="s">
        <v>34</v>
      </c>
      <c r="E38125" s="21" t="s">
        <v>35</v>
      </c>
      <c r="F38125" t="s">
        <v>2849</v>
      </c>
      <c r="G38125" t="s">
        <v>2850</v>
      </c>
      <c r="H38125" s="21">
        <v>482.5</v>
      </c>
    </row>
    <row r="38126" spans="1:8" customFormat="1" x14ac:dyDescent="0.25">
      <c r="A38126" t="str">
        <f>"9A1061"</f>
        <v>9A1061</v>
      </c>
      <c r="B38126" t="s">
        <v>23899</v>
      </c>
      <c r="C38126" t="s">
        <v>144</v>
      </c>
      <c r="D38126" s="21" t="s">
        <v>34</v>
      </c>
      <c r="E38126" s="21" t="s">
        <v>35</v>
      </c>
      <c r="F38126" t="s">
        <v>2849</v>
      </c>
      <c r="G38126" t="s">
        <v>2850</v>
      </c>
      <c r="H38126" s="21">
        <v>482.5</v>
      </c>
    </row>
    <row r="38127" spans="1:8" customFormat="1" x14ac:dyDescent="0.25">
      <c r="A38127" t="str">
        <f>"3536972"</f>
        <v>3536972</v>
      </c>
      <c r="B38127" t="s">
        <v>22418</v>
      </c>
      <c r="C38127" t="s">
        <v>2305</v>
      </c>
      <c r="D38127" s="21" t="s">
        <v>34</v>
      </c>
      <c r="E38127" s="21" t="s">
        <v>35</v>
      </c>
      <c r="F38127">
        <v>3350067</v>
      </c>
      <c r="G38127" t="s">
        <v>4439</v>
      </c>
      <c r="H38127" s="21">
        <v>482.5</v>
      </c>
    </row>
    <row r="38128" spans="1:8" customFormat="1" x14ac:dyDescent="0.25">
      <c r="A38128" t="str">
        <f>"5326888"</f>
        <v>5326888</v>
      </c>
      <c r="B38128" t="s">
        <v>7114</v>
      </c>
      <c r="C38128" t="s">
        <v>4842</v>
      </c>
      <c r="D38128" s="21" t="s">
        <v>34</v>
      </c>
      <c r="E38128" s="21" t="s">
        <v>254</v>
      </c>
      <c r="F38128">
        <v>12530098</v>
      </c>
      <c r="G38128" t="s">
        <v>8852</v>
      </c>
      <c r="H38128" s="21">
        <v>482.5</v>
      </c>
    </row>
    <row r="38129" spans="1:8" customFormat="1" x14ac:dyDescent="0.25">
      <c r="A38129" t="str">
        <f>"6945657"</f>
        <v>6945657</v>
      </c>
      <c r="B38129" t="s">
        <v>9256</v>
      </c>
      <c r="C38129" t="s">
        <v>124</v>
      </c>
      <c r="D38129" s="21" t="s">
        <v>34</v>
      </c>
      <c r="E38129" s="21" t="s">
        <v>71</v>
      </c>
      <c r="F38129">
        <v>1690197</v>
      </c>
      <c r="G38129" t="s">
        <v>26849</v>
      </c>
      <c r="H38129" s="21">
        <v>482.5</v>
      </c>
    </row>
    <row r="38130" spans="1:8" customFormat="1" x14ac:dyDescent="0.25">
      <c r="A38130" t="str">
        <f>"7879629"</f>
        <v>7879629</v>
      </c>
      <c r="B38130" t="s">
        <v>22702</v>
      </c>
      <c r="C38130" t="s">
        <v>209</v>
      </c>
      <c r="D38130" s="21" t="s">
        <v>34</v>
      </c>
      <c r="E38130" s="21" t="s">
        <v>254</v>
      </c>
      <c r="F38130">
        <v>8781473</v>
      </c>
      <c r="G38130" t="s">
        <v>1097</v>
      </c>
      <c r="H38130" s="21">
        <v>482.5</v>
      </c>
    </row>
    <row r="38131" spans="1:8" customFormat="1" x14ac:dyDescent="0.25">
      <c r="A38131" t="str">
        <f>"3427453"</f>
        <v>3427453</v>
      </c>
      <c r="B38131" t="s">
        <v>29545</v>
      </c>
      <c r="C38131" t="s">
        <v>1271</v>
      </c>
      <c r="D38131" s="21" t="s">
        <v>34</v>
      </c>
      <c r="E38131" s="21" t="s">
        <v>254</v>
      </c>
      <c r="F38131">
        <v>11340073</v>
      </c>
      <c r="G38131" t="s">
        <v>15005</v>
      </c>
      <c r="H38131" s="21">
        <v>482.5</v>
      </c>
    </row>
    <row r="38132" spans="1:8" customFormat="1" x14ac:dyDescent="0.25">
      <c r="A38132" t="str">
        <f>"5619662"</f>
        <v>5619662</v>
      </c>
      <c r="B38132" t="s">
        <v>1614</v>
      </c>
      <c r="C38132" t="s">
        <v>24359</v>
      </c>
      <c r="D38132" s="21" t="s">
        <v>34</v>
      </c>
      <c r="E38132" s="21" t="s">
        <v>71</v>
      </c>
      <c r="F38132">
        <v>3560023</v>
      </c>
      <c r="G38132" t="s">
        <v>8213</v>
      </c>
      <c r="H38132" s="21">
        <v>482.5</v>
      </c>
    </row>
    <row r="38133" spans="1:8" customFormat="1" x14ac:dyDescent="0.25">
      <c r="A38133" t="str">
        <f>"1614635"</f>
        <v>1614635</v>
      </c>
      <c r="B38133" t="s">
        <v>29546</v>
      </c>
      <c r="C38133" t="s">
        <v>40</v>
      </c>
      <c r="D38133" s="21" t="s">
        <v>34</v>
      </c>
      <c r="E38133" s="21" t="s">
        <v>71</v>
      </c>
      <c r="F38133">
        <v>10160196</v>
      </c>
      <c r="G38133" t="s">
        <v>13348</v>
      </c>
      <c r="H38133" s="21">
        <v>482.5</v>
      </c>
    </row>
    <row r="38134" spans="1:8" customFormat="1" x14ac:dyDescent="0.25">
      <c r="A38134" t="str">
        <f>"187348"</f>
        <v>187348</v>
      </c>
      <c r="B38134" t="s">
        <v>22717</v>
      </c>
      <c r="C38134" t="s">
        <v>43</v>
      </c>
      <c r="D38134" s="21" t="s">
        <v>34</v>
      </c>
      <c r="E38134" s="21" t="s">
        <v>35</v>
      </c>
      <c r="F38134">
        <v>4180682</v>
      </c>
      <c r="G38134" t="s">
        <v>5261</v>
      </c>
      <c r="H38134" s="21">
        <v>482.5</v>
      </c>
    </row>
    <row r="38135" spans="1:8" customFormat="1" x14ac:dyDescent="0.25">
      <c r="A38135" t="str">
        <f>"649004"</f>
        <v>649004</v>
      </c>
      <c r="B38135" t="s">
        <v>23759</v>
      </c>
      <c r="C38135" t="s">
        <v>33</v>
      </c>
      <c r="D38135" s="21" t="s">
        <v>34</v>
      </c>
      <c r="E38135" s="21" t="s">
        <v>35</v>
      </c>
      <c r="F38135">
        <v>10640024</v>
      </c>
      <c r="G38135" t="s">
        <v>23191</v>
      </c>
      <c r="H38135" s="21">
        <v>482.5</v>
      </c>
    </row>
    <row r="38136" spans="1:8" customFormat="1" x14ac:dyDescent="0.25">
      <c r="A38136" t="str">
        <f>"8019660"</f>
        <v>8019660</v>
      </c>
      <c r="B38136" t="s">
        <v>29547</v>
      </c>
      <c r="C38136" t="s">
        <v>267</v>
      </c>
      <c r="D38136" s="21" t="s">
        <v>34</v>
      </c>
      <c r="E38136" s="21" t="s">
        <v>35</v>
      </c>
      <c r="F38136">
        <v>7800098</v>
      </c>
      <c r="G38136" t="s">
        <v>8445</v>
      </c>
      <c r="H38136" s="21">
        <v>482.5</v>
      </c>
    </row>
    <row r="38137" spans="1:8" customFormat="1" x14ac:dyDescent="0.25">
      <c r="A38137" t="str">
        <f>"5957244"</f>
        <v>5957244</v>
      </c>
      <c r="B38137" t="s">
        <v>22590</v>
      </c>
      <c r="C38137" t="s">
        <v>109</v>
      </c>
      <c r="D38137" s="21" t="s">
        <v>34</v>
      </c>
      <c r="E38137" s="21" t="s">
        <v>71</v>
      </c>
      <c r="F38137">
        <v>7590047</v>
      </c>
      <c r="G38137" t="s">
        <v>5788</v>
      </c>
      <c r="H38137" s="21">
        <v>482.5</v>
      </c>
    </row>
    <row r="38138" spans="1:8" customFormat="1" x14ac:dyDescent="0.25">
      <c r="A38138" t="str">
        <f>"2220313"</f>
        <v>2220313</v>
      </c>
      <c r="B38138" t="s">
        <v>29548</v>
      </c>
      <c r="C38138" t="s">
        <v>1146</v>
      </c>
      <c r="D38138" s="21" t="s">
        <v>34</v>
      </c>
      <c r="E38138" s="21" t="s">
        <v>254</v>
      </c>
      <c r="F38138">
        <v>3220007</v>
      </c>
      <c r="G38138" t="s">
        <v>26946</v>
      </c>
      <c r="H38138" s="21">
        <v>482.5</v>
      </c>
    </row>
    <row r="38139" spans="1:8" customFormat="1" x14ac:dyDescent="0.25">
      <c r="A38139" t="str">
        <f>"2220333"</f>
        <v>2220333</v>
      </c>
      <c r="B38139" t="s">
        <v>26035</v>
      </c>
      <c r="C38139" t="s">
        <v>156</v>
      </c>
      <c r="D38139" s="21" t="s">
        <v>34</v>
      </c>
      <c r="E38139" s="21" t="s">
        <v>35</v>
      </c>
      <c r="F38139">
        <v>3220031</v>
      </c>
      <c r="G38139" t="s">
        <v>26743</v>
      </c>
      <c r="H38139" s="21">
        <v>482.5</v>
      </c>
    </row>
    <row r="38140" spans="1:8" customFormat="1" x14ac:dyDescent="0.25">
      <c r="A38140" t="str">
        <f>"3014067"</f>
        <v>3014067</v>
      </c>
      <c r="B38140" t="s">
        <v>29549</v>
      </c>
      <c r="C38140" t="s">
        <v>601</v>
      </c>
      <c r="D38140" s="21" t="s">
        <v>34</v>
      </c>
      <c r="E38140" s="21" t="s">
        <v>254</v>
      </c>
      <c r="F38140">
        <v>11300028</v>
      </c>
      <c r="G38140" t="s">
        <v>18879</v>
      </c>
      <c r="H38140" s="21">
        <v>482.5</v>
      </c>
    </row>
    <row r="38141" spans="1:8" customFormat="1" x14ac:dyDescent="0.25">
      <c r="A38141" t="str">
        <f>"3013208"</f>
        <v>3013208</v>
      </c>
      <c r="B38141" t="s">
        <v>1098</v>
      </c>
      <c r="C38141" t="s">
        <v>262</v>
      </c>
      <c r="D38141" s="21" t="s">
        <v>34</v>
      </c>
      <c r="E38141" s="21" t="s">
        <v>35</v>
      </c>
      <c r="F38141">
        <v>11300041</v>
      </c>
      <c r="G38141" t="s">
        <v>8074</v>
      </c>
      <c r="H38141" s="21">
        <v>482.5</v>
      </c>
    </row>
    <row r="38142" spans="1:8" customFormat="1" x14ac:dyDescent="0.25">
      <c r="A38142" t="str">
        <f>"1318813"</f>
        <v>1318813</v>
      </c>
      <c r="B38142" t="s">
        <v>6659</v>
      </c>
      <c r="C38142" t="s">
        <v>453</v>
      </c>
      <c r="D38142" s="21" t="s">
        <v>34</v>
      </c>
      <c r="E38142" s="21" t="s">
        <v>254</v>
      </c>
      <c r="F38142">
        <v>13130005</v>
      </c>
      <c r="G38142" t="s">
        <v>2008</v>
      </c>
      <c r="H38142" s="21">
        <v>482.5</v>
      </c>
    </row>
    <row r="38143" spans="1:8" customFormat="1" x14ac:dyDescent="0.25">
      <c r="A38143" t="str">
        <f>"2940092"</f>
        <v>2940092</v>
      </c>
      <c r="B38143" t="s">
        <v>2557</v>
      </c>
      <c r="C38143" t="s">
        <v>269</v>
      </c>
      <c r="D38143" s="21" t="s">
        <v>34</v>
      </c>
      <c r="E38143" s="21" t="s">
        <v>71</v>
      </c>
      <c r="F38143">
        <v>3290228</v>
      </c>
      <c r="G38143" t="s">
        <v>8738</v>
      </c>
      <c r="H38143" s="21">
        <v>482.5</v>
      </c>
    </row>
    <row r="38144" spans="1:8" customFormat="1" x14ac:dyDescent="0.25">
      <c r="A38144" t="str">
        <f>"7221073"</f>
        <v>7221073</v>
      </c>
      <c r="B38144" t="s">
        <v>24102</v>
      </c>
      <c r="C38144" t="s">
        <v>33</v>
      </c>
      <c r="D38144" s="21" t="s">
        <v>34</v>
      </c>
      <c r="E38144" s="21" t="s">
        <v>35</v>
      </c>
      <c r="F38144">
        <v>12720008</v>
      </c>
      <c r="G38144" t="s">
        <v>753</v>
      </c>
      <c r="H38144" s="21">
        <v>482.38</v>
      </c>
    </row>
    <row r="38145" spans="1:8" customFormat="1" x14ac:dyDescent="0.25">
      <c r="A38145" t="str">
        <f>"2938323"</f>
        <v>2938323</v>
      </c>
      <c r="B38145" t="s">
        <v>7517</v>
      </c>
      <c r="C38145" t="s">
        <v>7740</v>
      </c>
      <c r="D38145" s="21" t="s">
        <v>34</v>
      </c>
      <c r="E38145" s="21" t="s">
        <v>71</v>
      </c>
      <c r="F38145">
        <v>3290277</v>
      </c>
      <c r="G38145" t="s">
        <v>1671</v>
      </c>
      <c r="H38145" s="21">
        <v>482.25</v>
      </c>
    </row>
    <row r="38146" spans="1:8" customFormat="1" x14ac:dyDescent="0.25">
      <c r="A38146" t="str">
        <f>"4934962"</f>
        <v>4934962</v>
      </c>
      <c r="B38146" t="s">
        <v>24538</v>
      </c>
      <c r="C38146" t="s">
        <v>169</v>
      </c>
      <c r="D38146" s="21" t="s">
        <v>34</v>
      </c>
      <c r="E38146" s="21" t="s">
        <v>35</v>
      </c>
      <c r="F38146">
        <v>12490014</v>
      </c>
      <c r="G38146" t="s">
        <v>8547</v>
      </c>
      <c r="H38146" s="21">
        <v>482.17</v>
      </c>
    </row>
    <row r="38147" spans="1:8" customFormat="1" x14ac:dyDescent="0.25">
      <c r="A38147" t="str">
        <f>"9456506"</f>
        <v>9456506</v>
      </c>
      <c r="B38147" t="s">
        <v>29550</v>
      </c>
      <c r="C38147" t="s">
        <v>328</v>
      </c>
      <c r="D38147" s="21" t="s">
        <v>34</v>
      </c>
      <c r="E38147" s="21" t="s">
        <v>71</v>
      </c>
      <c r="F38147">
        <v>8940655</v>
      </c>
      <c r="G38147" t="s">
        <v>10168</v>
      </c>
      <c r="H38147" s="21">
        <v>482.17</v>
      </c>
    </row>
    <row r="38148" spans="1:8" customFormat="1" x14ac:dyDescent="0.25">
      <c r="A38148" t="str">
        <f>"4219605"</f>
        <v>4219605</v>
      </c>
      <c r="B38148" t="s">
        <v>20426</v>
      </c>
      <c r="C38148" t="s">
        <v>127</v>
      </c>
      <c r="D38148" s="21" t="s">
        <v>34</v>
      </c>
      <c r="E38148" s="21" t="s">
        <v>35</v>
      </c>
      <c r="F38148">
        <v>1420152</v>
      </c>
      <c r="G38148" t="s">
        <v>2948</v>
      </c>
      <c r="H38148" s="21">
        <v>482.17</v>
      </c>
    </row>
    <row r="38149" spans="1:8" customFormat="1" x14ac:dyDescent="0.25">
      <c r="A38149" t="str">
        <f>"749396"</f>
        <v>749396</v>
      </c>
      <c r="B38149" t="s">
        <v>8281</v>
      </c>
      <c r="C38149" t="s">
        <v>33</v>
      </c>
      <c r="D38149" s="21" t="s">
        <v>34</v>
      </c>
      <c r="E38149" s="21" t="s">
        <v>35</v>
      </c>
      <c r="F38149">
        <v>1740075</v>
      </c>
      <c r="G38149" t="s">
        <v>10362</v>
      </c>
      <c r="H38149" s="21">
        <v>482.12</v>
      </c>
    </row>
    <row r="38150" spans="1:8" customFormat="1" x14ac:dyDescent="0.25">
      <c r="A38150" t="str">
        <f>"4524994"</f>
        <v>4524994</v>
      </c>
      <c r="B38150" t="s">
        <v>8853</v>
      </c>
      <c r="C38150" t="s">
        <v>415</v>
      </c>
      <c r="D38150" s="21" t="s">
        <v>34</v>
      </c>
      <c r="E38150" s="21" t="s">
        <v>71</v>
      </c>
      <c r="F38150">
        <v>4450362</v>
      </c>
      <c r="G38150" t="s">
        <v>20963</v>
      </c>
      <c r="H38150" s="21">
        <v>482</v>
      </c>
    </row>
    <row r="38151" spans="1:8" customFormat="1" x14ac:dyDescent="0.25">
      <c r="A38151" t="str">
        <f>"8316580"</f>
        <v>8316580</v>
      </c>
      <c r="B38151" t="s">
        <v>29551</v>
      </c>
      <c r="C38151" t="s">
        <v>209</v>
      </c>
      <c r="D38151" s="21" t="s">
        <v>34</v>
      </c>
      <c r="E38151" s="21" t="s">
        <v>35</v>
      </c>
      <c r="F38151">
        <v>13830025</v>
      </c>
      <c r="G38151" t="s">
        <v>106</v>
      </c>
      <c r="H38151" s="21">
        <v>482</v>
      </c>
    </row>
    <row r="38152" spans="1:8" customFormat="1" x14ac:dyDescent="0.25">
      <c r="A38152" t="str">
        <f>"9138704"</f>
        <v>9138704</v>
      </c>
      <c r="B38152" t="s">
        <v>22969</v>
      </c>
      <c r="C38152" t="s">
        <v>8442</v>
      </c>
      <c r="D38152" s="21" t="s">
        <v>34</v>
      </c>
      <c r="E38152" s="21" t="s">
        <v>71</v>
      </c>
      <c r="F38152">
        <v>8911461</v>
      </c>
      <c r="G38152" t="s">
        <v>6705</v>
      </c>
      <c r="H38152" s="21">
        <v>482</v>
      </c>
    </row>
    <row r="38153" spans="1:8" customFormat="1" x14ac:dyDescent="0.25">
      <c r="A38153" t="str">
        <f>"5731203"</f>
        <v>5731203</v>
      </c>
      <c r="B38153" t="s">
        <v>29552</v>
      </c>
      <c r="C38153" t="s">
        <v>209</v>
      </c>
      <c r="D38153" s="21" t="s">
        <v>34</v>
      </c>
      <c r="E38153" s="21" t="s">
        <v>35</v>
      </c>
      <c r="F38153">
        <v>6570029</v>
      </c>
      <c r="G38153" t="s">
        <v>2977</v>
      </c>
      <c r="H38153" s="21">
        <v>482</v>
      </c>
    </row>
    <row r="38154" spans="1:8" customFormat="1" x14ac:dyDescent="0.25">
      <c r="A38154" t="str">
        <f>"8015248"</f>
        <v>8015248</v>
      </c>
      <c r="B38154" t="s">
        <v>7583</v>
      </c>
      <c r="C38154" t="s">
        <v>664</v>
      </c>
      <c r="D38154" s="21" t="s">
        <v>34</v>
      </c>
      <c r="E38154" s="21" t="s">
        <v>1089</v>
      </c>
      <c r="F38154">
        <v>7800088</v>
      </c>
      <c r="G38154" t="s">
        <v>1899</v>
      </c>
      <c r="H38154" s="21">
        <v>482</v>
      </c>
    </row>
    <row r="38155" spans="1:8" customFormat="1" x14ac:dyDescent="0.25">
      <c r="A38155" t="str">
        <f>"5932046"</f>
        <v>5932046</v>
      </c>
      <c r="B38155" t="s">
        <v>23814</v>
      </c>
      <c r="C38155" t="s">
        <v>1914</v>
      </c>
      <c r="D38155" s="21" t="s">
        <v>34</v>
      </c>
      <c r="E38155" s="21" t="s">
        <v>71</v>
      </c>
      <c r="F38155">
        <v>7590231</v>
      </c>
      <c r="G38155" t="s">
        <v>207</v>
      </c>
      <c r="H38155" s="21">
        <v>482</v>
      </c>
    </row>
    <row r="38156" spans="1:8" customFormat="1" x14ac:dyDescent="0.25">
      <c r="A38156" t="str">
        <f>"112627"</f>
        <v>112627</v>
      </c>
      <c r="B38156" t="s">
        <v>1886</v>
      </c>
      <c r="C38156" t="s">
        <v>2520</v>
      </c>
      <c r="D38156" s="21" t="s">
        <v>34</v>
      </c>
      <c r="E38156" s="21" t="s">
        <v>254</v>
      </c>
      <c r="F38156">
        <v>11110023</v>
      </c>
      <c r="G38156" t="s">
        <v>1849</v>
      </c>
      <c r="H38156" s="21">
        <v>482</v>
      </c>
    </row>
    <row r="38157" spans="1:8" customFormat="1" x14ac:dyDescent="0.25">
      <c r="A38157" t="str">
        <f>"1424478"</f>
        <v>1424478</v>
      </c>
      <c r="B38157" t="s">
        <v>23855</v>
      </c>
      <c r="C38157" t="s">
        <v>98</v>
      </c>
      <c r="D38157" s="21" t="s">
        <v>34</v>
      </c>
      <c r="E38157" s="21" t="s">
        <v>35</v>
      </c>
      <c r="F38157">
        <v>9140128</v>
      </c>
      <c r="G38157" t="s">
        <v>2798</v>
      </c>
      <c r="H38157" s="21">
        <v>482</v>
      </c>
    </row>
    <row r="38158" spans="1:8" customFormat="1" x14ac:dyDescent="0.25">
      <c r="A38158" t="str">
        <f>"2218394"</f>
        <v>2218394</v>
      </c>
      <c r="B38158" t="s">
        <v>10564</v>
      </c>
      <c r="C38158" t="s">
        <v>55</v>
      </c>
      <c r="D38158" s="21" t="s">
        <v>34</v>
      </c>
      <c r="E38158" s="21" t="s">
        <v>71</v>
      </c>
      <c r="F38158">
        <v>3220047</v>
      </c>
      <c r="G38158" t="s">
        <v>131</v>
      </c>
      <c r="H38158" s="21">
        <v>482</v>
      </c>
    </row>
    <row r="38159" spans="1:8" customFormat="1" x14ac:dyDescent="0.25">
      <c r="A38159" t="str">
        <f>"8526956"</f>
        <v>8526956</v>
      </c>
      <c r="B38159" t="s">
        <v>411</v>
      </c>
      <c r="C38159" t="s">
        <v>24201</v>
      </c>
      <c r="D38159" s="21" t="s">
        <v>34</v>
      </c>
      <c r="E38159" s="21" t="s">
        <v>35</v>
      </c>
      <c r="F38159">
        <v>12850162</v>
      </c>
      <c r="G38159" t="s">
        <v>15095</v>
      </c>
      <c r="H38159" s="21">
        <v>482</v>
      </c>
    </row>
    <row r="38160" spans="1:8" customFormat="1" x14ac:dyDescent="0.25">
      <c r="A38160" t="str">
        <f>"8316146"</f>
        <v>8316146</v>
      </c>
      <c r="B38160" t="s">
        <v>24154</v>
      </c>
      <c r="C38160" t="s">
        <v>926</v>
      </c>
      <c r="D38160" s="21" t="s">
        <v>34</v>
      </c>
      <c r="E38160" s="21" t="s">
        <v>35</v>
      </c>
      <c r="F38160">
        <v>13830013</v>
      </c>
      <c r="G38160" t="s">
        <v>3374</v>
      </c>
      <c r="H38160" s="21">
        <v>482</v>
      </c>
    </row>
    <row r="38161" spans="1:8" customFormat="1" x14ac:dyDescent="0.25">
      <c r="A38161" t="str">
        <f>"6924380"</f>
        <v>6924380</v>
      </c>
      <c r="B38161" t="s">
        <v>2962</v>
      </c>
      <c r="C38161" t="s">
        <v>267</v>
      </c>
      <c r="D38161" s="21" t="s">
        <v>34</v>
      </c>
      <c r="E38161" s="21" t="s">
        <v>71</v>
      </c>
      <c r="F38161">
        <v>1690184</v>
      </c>
      <c r="G38161" t="s">
        <v>4992</v>
      </c>
      <c r="H38161" s="21">
        <v>482</v>
      </c>
    </row>
    <row r="38162" spans="1:8" customFormat="1" x14ac:dyDescent="0.25">
      <c r="A38162" t="str">
        <f>"5325947"</f>
        <v>5325947</v>
      </c>
      <c r="B38162" t="s">
        <v>21652</v>
      </c>
      <c r="C38162" t="s">
        <v>124</v>
      </c>
      <c r="D38162" s="21" t="s">
        <v>34</v>
      </c>
      <c r="E38162" s="21" t="s">
        <v>35</v>
      </c>
      <c r="F38162">
        <v>12530003</v>
      </c>
      <c r="G38162" t="s">
        <v>8260</v>
      </c>
      <c r="H38162" s="21">
        <v>482</v>
      </c>
    </row>
    <row r="38163" spans="1:8" customFormat="1" x14ac:dyDescent="0.25">
      <c r="A38163" t="str">
        <f>"029737"</f>
        <v>029737</v>
      </c>
      <c r="B38163" t="s">
        <v>2403</v>
      </c>
      <c r="C38163" t="s">
        <v>198</v>
      </c>
      <c r="D38163" s="21" t="s">
        <v>34</v>
      </c>
      <c r="E38163" s="21" t="s">
        <v>1089</v>
      </c>
      <c r="F38163">
        <v>7021009</v>
      </c>
      <c r="G38163" t="s">
        <v>2739</v>
      </c>
      <c r="H38163" s="21">
        <v>482</v>
      </c>
    </row>
    <row r="38164" spans="1:8" customFormat="1" x14ac:dyDescent="0.25">
      <c r="A38164" t="str">
        <f>"106220"</f>
        <v>106220</v>
      </c>
      <c r="B38164" t="s">
        <v>27922</v>
      </c>
      <c r="C38164" t="s">
        <v>124</v>
      </c>
      <c r="D38164" s="21" t="s">
        <v>34</v>
      </c>
      <c r="E38164" s="21" t="s">
        <v>35</v>
      </c>
      <c r="F38164">
        <v>6100007</v>
      </c>
      <c r="G38164" t="s">
        <v>9706</v>
      </c>
      <c r="H38164" s="21">
        <v>482</v>
      </c>
    </row>
    <row r="38165" spans="1:8" customFormat="1" x14ac:dyDescent="0.25">
      <c r="A38165" t="str">
        <f>"9139495"</f>
        <v>9139495</v>
      </c>
      <c r="B38165" t="s">
        <v>8654</v>
      </c>
      <c r="C38165" t="s">
        <v>428</v>
      </c>
      <c r="D38165" s="21" t="s">
        <v>34</v>
      </c>
      <c r="E38165" s="21" t="s">
        <v>35</v>
      </c>
      <c r="F38165">
        <v>8910876</v>
      </c>
      <c r="G38165" t="s">
        <v>1721</v>
      </c>
      <c r="H38165" s="21">
        <v>482</v>
      </c>
    </row>
    <row r="38166" spans="1:8" customFormat="1" x14ac:dyDescent="0.25">
      <c r="A38166" t="str">
        <f>"9437175"</f>
        <v>9437175</v>
      </c>
      <c r="B38166" t="s">
        <v>24021</v>
      </c>
      <c r="C38166" t="s">
        <v>55</v>
      </c>
      <c r="D38166" s="21" t="s">
        <v>34</v>
      </c>
      <c r="E38166" s="21" t="s">
        <v>71</v>
      </c>
      <c r="F38166">
        <v>8941282</v>
      </c>
      <c r="G38166" t="s">
        <v>5040</v>
      </c>
      <c r="H38166" s="21">
        <v>482</v>
      </c>
    </row>
    <row r="38167" spans="1:8" customFormat="1" x14ac:dyDescent="0.25">
      <c r="A38167" t="str">
        <f>"952"</f>
        <v>952</v>
      </c>
      <c r="B38167" t="s">
        <v>22520</v>
      </c>
      <c r="C38167" t="s">
        <v>1588</v>
      </c>
      <c r="D38167" s="21" t="s">
        <v>34</v>
      </c>
      <c r="E38167" s="21" t="s">
        <v>6185</v>
      </c>
      <c r="F38167">
        <v>8950022</v>
      </c>
      <c r="G38167" t="s">
        <v>2785</v>
      </c>
      <c r="H38167" s="21">
        <v>482</v>
      </c>
    </row>
    <row r="38168" spans="1:8" customFormat="1" x14ac:dyDescent="0.25">
      <c r="A38168" t="str">
        <f>"051252"</f>
        <v>051252</v>
      </c>
      <c r="B38168" t="s">
        <v>20366</v>
      </c>
      <c r="C38168" t="s">
        <v>1705</v>
      </c>
      <c r="D38168" s="21" t="s">
        <v>34</v>
      </c>
      <c r="E38168" s="21" t="s">
        <v>71</v>
      </c>
      <c r="F38168">
        <v>13050025</v>
      </c>
      <c r="G38168" t="s">
        <v>21714</v>
      </c>
      <c r="H38168" s="21">
        <v>482</v>
      </c>
    </row>
    <row r="38169" spans="1:8" customFormat="1" x14ac:dyDescent="0.25">
      <c r="A38169" t="str">
        <f>"486496"</f>
        <v>486496</v>
      </c>
      <c r="B38169" t="s">
        <v>8283</v>
      </c>
      <c r="C38169" t="s">
        <v>1271</v>
      </c>
      <c r="D38169" s="21" t="s">
        <v>34</v>
      </c>
      <c r="E38169" s="21" t="s">
        <v>71</v>
      </c>
      <c r="F38169">
        <v>11480036</v>
      </c>
      <c r="G38169" t="s">
        <v>16006</v>
      </c>
      <c r="H38169" s="21">
        <v>482</v>
      </c>
    </row>
    <row r="38170" spans="1:8" customFormat="1" x14ac:dyDescent="0.25">
      <c r="A38170" t="str">
        <f>"246184"</f>
        <v>246184</v>
      </c>
      <c r="B38170" t="s">
        <v>22860</v>
      </c>
      <c r="C38170" t="s">
        <v>1665</v>
      </c>
      <c r="D38170" s="21" t="s">
        <v>34</v>
      </c>
      <c r="E38170" s="21" t="s">
        <v>1089</v>
      </c>
      <c r="F38170">
        <v>10240006</v>
      </c>
      <c r="G38170" t="s">
        <v>7296</v>
      </c>
      <c r="H38170" s="21">
        <v>482</v>
      </c>
    </row>
    <row r="38171" spans="1:8" customFormat="1" x14ac:dyDescent="0.25">
      <c r="A38171" t="str">
        <f>"174510"</f>
        <v>174510</v>
      </c>
      <c r="B38171" t="s">
        <v>23854</v>
      </c>
      <c r="C38171" t="s">
        <v>40</v>
      </c>
      <c r="D38171" s="21" t="s">
        <v>34</v>
      </c>
      <c r="E38171" s="21" t="s">
        <v>254</v>
      </c>
      <c r="F38171">
        <v>10170007</v>
      </c>
      <c r="G38171" t="s">
        <v>12581</v>
      </c>
      <c r="H38171" s="21">
        <v>482</v>
      </c>
    </row>
    <row r="38172" spans="1:8" customFormat="1" x14ac:dyDescent="0.25">
      <c r="A38172" t="str">
        <f>"503344"</f>
        <v>503344</v>
      </c>
      <c r="B38172" t="s">
        <v>29553</v>
      </c>
      <c r="C38172" t="s">
        <v>1705</v>
      </c>
      <c r="D38172" s="21" t="s">
        <v>34</v>
      </c>
      <c r="E38172" s="21" t="s">
        <v>1089</v>
      </c>
      <c r="F38172">
        <v>9500124</v>
      </c>
      <c r="G38172" t="s">
        <v>3726</v>
      </c>
      <c r="H38172" s="21">
        <v>482</v>
      </c>
    </row>
    <row r="38173" spans="1:8" customFormat="1" x14ac:dyDescent="0.25">
      <c r="A38173" t="str">
        <f>"2721312"</f>
        <v>2721312</v>
      </c>
      <c r="B38173" t="s">
        <v>350</v>
      </c>
      <c r="C38173" t="s">
        <v>139</v>
      </c>
      <c r="D38173" s="21" t="s">
        <v>34</v>
      </c>
      <c r="E38173" s="21" t="s">
        <v>71</v>
      </c>
      <c r="F38173">
        <v>9270185</v>
      </c>
      <c r="G38173" t="s">
        <v>9160</v>
      </c>
      <c r="H38173" s="21">
        <v>482</v>
      </c>
    </row>
    <row r="38174" spans="1:8" customFormat="1" x14ac:dyDescent="0.25">
      <c r="A38174" t="str">
        <f>"0616077"</f>
        <v>0616077</v>
      </c>
      <c r="B38174" t="s">
        <v>29554</v>
      </c>
      <c r="C38174" t="s">
        <v>209</v>
      </c>
      <c r="D38174" s="21" t="s">
        <v>34</v>
      </c>
      <c r="E38174" s="21" t="s">
        <v>254</v>
      </c>
      <c r="F38174">
        <v>13060110</v>
      </c>
      <c r="G38174" t="s">
        <v>3268</v>
      </c>
      <c r="H38174" s="21">
        <v>482</v>
      </c>
    </row>
    <row r="38175" spans="1:8" customFormat="1" x14ac:dyDescent="0.25">
      <c r="A38175" t="str">
        <f>"9448222"</f>
        <v>9448222</v>
      </c>
      <c r="B38175" t="s">
        <v>21168</v>
      </c>
      <c r="C38175" t="s">
        <v>598</v>
      </c>
      <c r="D38175" s="21" t="s">
        <v>34</v>
      </c>
      <c r="E38175" s="21" t="s">
        <v>254</v>
      </c>
      <c r="F38175">
        <v>1380056</v>
      </c>
      <c r="G38175" t="s">
        <v>846</v>
      </c>
      <c r="H38175" s="21">
        <v>482</v>
      </c>
    </row>
    <row r="38176" spans="1:8" customFormat="1" x14ac:dyDescent="0.25">
      <c r="A38176" t="str">
        <f>"5733382"</f>
        <v>5733382</v>
      </c>
      <c r="B38176" t="s">
        <v>461</v>
      </c>
      <c r="C38176" t="s">
        <v>239</v>
      </c>
      <c r="D38176" s="21" t="s">
        <v>34</v>
      </c>
      <c r="E38176" s="21" t="s">
        <v>254</v>
      </c>
      <c r="F38176">
        <v>6570019</v>
      </c>
      <c r="G38176" t="s">
        <v>1510</v>
      </c>
      <c r="H38176" s="21">
        <v>482</v>
      </c>
    </row>
    <row r="38177" spans="1:8" customFormat="1" x14ac:dyDescent="0.25">
      <c r="A38177" t="str">
        <f>"8019695"</f>
        <v>8019695</v>
      </c>
      <c r="B38177" t="s">
        <v>8001</v>
      </c>
      <c r="C38177" t="s">
        <v>60</v>
      </c>
      <c r="D38177" s="21" t="s">
        <v>34</v>
      </c>
      <c r="E38177" s="21" t="s">
        <v>35</v>
      </c>
      <c r="F38177">
        <v>7800125</v>
      </c>
      <c r="G38177" t="s">
        <v>11339</v>
      </c>
      <c r="H38177" s="21">
        <v>482</v>
      </c>
    </row>
    <row r="38178" spans="1:8" customFormat="1" x14ac:dyDescent="0.25">
      <c r="A38178" t="str">
        <f>"739090"</f>
        <v>739090</v>
      </c>
      <c r="B38178" t="s">
        <v>1885</v>
      </c>
      <c r="C38178" t="s">
        <v>2752</v>
      </c>
      <c r="D38178" s="21" t="s">
        <v>34</v>
      </c>
      <c r="E38178" s="21" t="s">
        <v>35</v>
      </c>
      <c r="F38178">
        <v>1730068</v>
      </c>
      <c r="G38178" t="s">
        <v>3375</v>
      </c>
      <c r="H38178" s="21">
        <v>482</v>
      </c>
    </row>
    <row r="38179" spans="1:8" customFormat="1" x14ac:dyDescent="0.25">
      <c r="A38179" t="str">
        <f>"5010359"</f>
        <v>5010359</v>
      </c>
      <c r="B38179" t="s">
        <v>4834</v>
      </c>
      <c r="C38179" t="s">
        <v>1812</v>
      </c>
      <c r="D38179" s="21" t="s">
        <v>34</v>
      </c>
      <c r="E38179" s="21" t="s">
        <v>71</v>
      </c>
      <c r="F38179">
        <v>9500088</v>
      </c>
      <c r="G38179" t="s">
        <v>15949</v>
      </c>
      <c r="H38179" s="21">
        <v>482</v>
      </c>
    </row>
    <row r="38180" spans="1:8" customFormat="1" x14ac:dyDescent="0.25">
      <c r="A38180" t="str">
        <f>"2218285"</f>
        <v>2218285</v>
      </c>
      <c r="B38180" t="s">
        <v>4499</v>
      </c>
      <c r="C38180" t="s">
        <v>253</v>
      </c>
      <c r="D38180" s="21" t="s">
        <v>34</v>
      </c>
      <c r="E38180" s="21" t="s">
        <v>35</v>
      </c>
      <c r="F38180">
        <v>3220022</v>
      </c>
      <c r="G38180" t="s">
        <v>27551</v>
      </c>
      <c r="H38180" s="21">
        <v>482</v>
      </c>
    </row>
    <row r="38181" spans="1:8" customFormat="1" x14ac:dyDescent="0.25">
      <c r="A38181" t="str">
        <f>"7643102"</f>
        <v>7643102</v>
      </c>
      <c r="B38181" t="s">
        <v>12403</v>
      </c>
      <c r="C38181" t="s">
        <v>65</v>
      </c>
      <c r="D38181" s="21" t="s">
        <v>34</v>
      </c>
      <c r="E38181" s="21" t="s">
        <v>71</v>
      </c>
      <c r="F38181">
        <v>9760396</v>
      </c>
      <c r="G38181" t="s">
        <v>3875</v>
      </c>
      <c r="H38181" s="21">
        <v>482</v>
      </c>
    </row>
    <row r="38182" spans="1:8" customFormat="1" x14ac:dyDescent="0.25">
      <c r="A38182" t="str">
        <f>"4210634"</f>
        <v>4210634</v>
      </c>
      <c r="B38182" t="s">
        <v>20353</v>
      </c>
      <c r="C38182" t="s">
        <v>720</v>
      </c>
      <c r="D38182" s="21" t="s">
        <v>34</v>
      </c>
      <c r="E38182" s="21" t="s">
        <v>1089</v>
      </c>
      <c r="F38182">
        <v>1420036</v>
      </c>
      <c r="G38182" t="s">
        <v>17218</v>
      </c>
      <c r="H38182" s="21">
        <v>482</v>
      </c>
    </row>
    <row r="38183" spans="1:8" customFormat="1" x14ac:dyDescent="0.25">
      <c r="A38183" t="str">
        <f>"8019279"</f>
        <v>8019279</v>
      </c>
      <c r="B38183" t="s">
        <v>2557</v>
      </c>
      <c r="C38183" t="s">
        <v>23050</v>
      </c>
      <c r="D38183" s="21" t="s">
        <v>34</v>
      </c>
      <c r="E38183" s="21" t="s">
        <v>254</v>
      </c>
      <c r="F38183">
        <v>7800067</v>
      </c>
      <c r="G38183" t="s">
        <v>16355</v>
      </c>
      <c r="H38183" s="21">
        <v>482</v>
      </c>
    </row>
    <row r="38184" spans="1:8" customFormat="1" x14ac:dyDescent="0.25">
      <c r="A38184" t="str">
        <f>"4447144"</f>
        <v>4447144</v>
      </c>
      <c r="B38184" t="s">
        <v>20748</v>
      </c>
      <c r="C38184" t="s">
        <v>211</v>
      </c>
      <c r="D38184" s="21" t="s">
        <v>34</v>
      </c>
      <c r="E38184" s="21" t="s">
        <v>254</v>
      </c>
      <c r="F38184">
        <v>12440001</v>
      </c>
      <c r="G38184" t="s">
        <v>6999</v>
      </c>
      <c r="H38184" s="21">
        <v>482</v>
      </c>
    </row>
    <row r="38185" spans="1:8" customFormat="1" x14ac:dyDescent="0.25">
      <c r="A38185" t="str">
        <f>"7214801"</f>
        <v>7214801</v>
      </c>
      <c r="B38185" t="s">
        <v>4818</v>
      </c>
      <c r="C38185" t="s">
        <v>1665</v>
      </c>
      <c r="D38185" s="21" t="s">
        <v>34</v>
      </c>
      <c r="E38185" s="21" t="s">
        <v>71</v>
      </c>
      <c r="F38185">
        <v>12720062</v>
      </c>
      <c r="G38185" t="s">
        <v>4026</v>
      </c>
      <c r="H38185" s="21">
        <v>482</v>
      </c>
    </row>
    <row r="38186" spans="1:8" customFormat="1" x14ac:dyDescent="0.25">
      <c r="A38186" t="str">
        <f>"3531662"</f>
        <v>3531662</v>
      </c>
      <c r="B38186" t="s">
        <v>679</v>
      </c>
      <c r="C38186" t="s">
        <v>302</v>
      </c>
      <c r="D38186" s="21" t="s">
        <v>34</v>
      </c>
      <c r="E38186" s="21" t="s">
        <v>35</v>
      </c>
      <c r="F38186">
        <v>3350136</v>
      </c>
      <c r="G38186" t="s">
        <v>2773</v>
      </c>
      <c r="H38186" s="21">
        <v>482</v>
      </c>
    </row>
    <row r="38187" spans="1:8" customFormat="1" x14ac:dyDescent="0.25">
      <c r="A38187" t="str">
        <f>"3532934"</f>
        <v>3532934</v>
      </c>
      <c r="B38187" t="s">
        <v>2405</v>
      </c>
      <c r="C38187" t="s">
        <v>934</v>
      </c>
      <c r="D38187" s="21" t="s">
        <v>34</v>
      </c>
      <c r="E38187" s="21" t="s">
        <v>35</v>
      </c>
      <c r="F38187">
        <v>3350199</v>
      </c>
      <c r="G38187" t="s">
        <v>5603</v>
      </c>
      <c r="H38187" s="21">
        <v>482</v>
      </c>
    </row>
    <row r="38188" spans="1:8" customFormat="1" x14ac:dyDescent="0.25">
      <c r="A38188" t="str">
        <f>"749188"</f>
        <v>749188</v>
      </c>
      <c r="B38188" t="s">
        <v>1886</v>
      </c>
      <c r="C38188" t="s">
        <v>204</v>
      </c>
      <c r="D38188" s="21" t="s">
        <v>34</v>
      </c>
      <c r="E38188" s="21" t="s">
        <v>71</v>
      </c>
      <c r="F38188">
        <v>1730076</v>
      </c>
      <c r="G38188" t="s">
        <v>936</v>
      </c>
      <c r="H38188" s="21">
        <v>482</v>
      </c>
    </row>
    <row r="38189" spans="1:8" customFormat="1" x14ac:dyDescent="0.25">
      <c r="A38189" t="str">
        <f>"1614174"</f>
        <v>1614174</v>
      </c>
      <c r="B38189" t="s">
        <v>22300</v>
      </c>
      <c r="C38189" t="s">
        <v>233</v>
      </c>
      <c r="D38189" s="21" t="s">
        <v>34</v>
      </c>
      <c r="E38189" s="21" t="s">
        <v>35</v>
      </c>
      <c r="F38189">
        <v>10160018</v>
      </c>
      <c r="G38189" t="s">
        <v>6900</v>
      </c>
      <c r="H38189" s="21">
        <v>482</v>
      </c>
    </row>
    <row r="38190" spans="1:8" customFormat="1" x14ac:dyDescent="0.25">
      <c r="A38190" t="str">
        <f>"3535146"</f>
        <v>3535146</v>
      </c>
      <c r="B38190" t="s">
        <v>24374</v>
      </c>
      <c r="C38190" t="s">
        <v>24375</v>
      </c>
      <c r="D38190" s="21" t="s">
        <v>34</v>
      </c>
      <c r="E38190" s="21" t="s">
        <v>254</v>
      </c>
      <c r="F38190">
        <v>3350102</v>
      </c>
      <c r="G38190" t="s">
        <v>4942</v>
      </c>
      <c r="H38190" s="21">
        <v>482</v>
      </c>
    </row>
    <row r="38191" spans="1:8" customFormat="1" x14ac:dyDescent="0.25">
      <c r="A38191" t="str">
        <f>"6314646"</f>
        <v>6314646</v>
      </c>
      <c r="B38191" t="s">
        <v>1525</v>
      </c>
      <c r="C38191" t="s">
        <v>1946</v>
      </c>
      <c r="D38191" s="21" t="s">
        <v>34</v>
      </c>
      <c r="E38191" s="21" t="s">
        <v>71</v>
      </c>
      <c r="F38191">
        <v>1630185</v>
      </c>
      <c r="G38191" t="s">
        <v>858</v>
      </c>
      <c r="H38191" s="21">
        <v>481.88</v>
      </c>
    </row>
    <row r="38192" spans="1:8" customFormat="1" x14ac:dyDescent="0.25">
      <c r="A38192" t="str">
        <f>"814142"</f>
        <v>814142</v>
      </c>
      <c r="B38192" t="s">
        <v>14208</v>
      </c>
      <c r="C38192" t="s">
        <v>2365</v>
      </c>
      <c r="D38192" s="21" t="s">
        <v>34</v>
      </c>
      <c r="E38192" s="21" t="s">
        <v>1089</v>
      </c>
      <c r="F38192">
        <v>11810031</v>
      </c>
      <c r="G38192" t="s">
        <v>15591</v>
      </c>
      <c r="H38192" s="21">
        <v>481.88</v>
      </c>
    </row>
    <row r="38193" spans="1:8" customFormat="1" x14ac:dyDescent="0.25">
      <c r="A38193" t="str">
        <f>"17369"</f>
        <v>17369</v>
      </c>
      <c r="B38193" t="s">
        <v>882</v>
      </c>
      <c r="C38193" t="s">
        <v>267</v>
      </c>
      <c r="D38193" s="21" t="s">
        <v>34</v>
      </c>
      <c r="E38193" s="21" t="s">
        <v>1089</v>
      </c>
      <c r="F38193">
        <v>10170031</v>
      </c>
      <c r="G38193" t="s">
        <v>2921</v>
      </c>
      <c r="H38193" s="21">
        <v>481.75</v>
      </c>
    </row>
    <row r="38194" spans="1:8" customFormat="1" x14ac:dyDescent="0.25">
      <c r="A38194" t="str">
        <f>"897516"</f>
        <v>897516</v>
      </c>
      <c r="B38194" t="s">
        <v>9929</v>
      </c>
      <c r="C38194" t="s">
        <v>2520</v>
      </c>
      <c r="D38194" s="21" t="s">
        <v>34</v>
      </c>
      <c r="E38194" s="21" t="s">
        <v>1089</v>
      </c>
      <c r="F38194">
        <v>2890061</v>
      </c>
      <c r="G38194" t="s">
        <v>13076</v>
      </c>
      <c r="H38194" s="21">
        <v>481.67</v>
      </c>
    </row>
    <row r="38195" spans="1:8" customFormat="1" x14ac:dyDescent="0.25">
      <c r="A38195" t="str">
        <f>"7524709"</f>
        <v>7524709</v>
      </c>
      <c r="B38195" t="s">
        <v>4261</v>
      </c>
      <c r="C38195" t="s">
        <v>130</v>
      </c>
      <c r="D38195" s="21" t="s">
        <v>34</v>
      </c>
      <c r="E38195" s="21" t="s">
        <v>71</v>
      </c>
      <c r="F38195">
        <v>8751231</v>
      </c>
      <c r="G38195" t="s">
        <v>12843</v>
      </c>
      <c r="H38195" s="21">
        <v>481.67</v>
      </c>
    </row>
    <row r="38196" spans="1:8" customFormat="1" x14ac:dyDescent="0.25">
      <c r="A38196" t="str">
        <f>"1310426"</f>
        <v>1310426</v>
      </c>
      <c r="B38196" t="s">
        <v>8176</v>
      </c>
      <c r="C38196" t="s">
        <v>415</v>
      </c>
      <c r="D38196" s="21" t="s">
        <v>34</v>
      </c>
      <c r="E38196" s="21" t="s">
        <v>254</v>
      </c>
      <c r="F38196">
        <v>13130005</v>
      </c>
      <c r="G38196" t="s">
        <v>2008</v>
      </c>
      <c r="H38196" s="21">
        <v>481.67</v>
      </c>
    </row>
    <row r="38197" spans="1:8" customFormat="1" x14ac:dyDescent="0.25">
      <c r="A38197" t="str">
        <f>"7713392"</f>
        <v>7713392</v>
      </c>
      <c r="B38197" t="s">
        <v>987</v>
      </c>
      <c r="C38197" t="s">
        <v>598</v>
      </c>
      <c r="D38197" s="21" t="s">
        <v>34</v>
      </c>
      <c r="E38197" s="21" t="s">
        <v>1089</v>
      </c>
      <c r="F38197">
        <v>8771448</v>
      </c>
      <c r="G38197" t="s">
        <v>11540</v>
      </c>
      <c r="H38197" s="21">
        <v>481.62</v>
      </c>
    </row>
    <row r="38198" spans="1:8" customFormat="1" x14ac:dyDescent="0.25">
      <c r="A38198" t="str">
        <f>"3533851"</f>
        <v>3533851</v>
      </c>
      <c r="B38198" t="s">
        <v>24506</v>
      </c>
      <c r="C38198" t="s">
        <v>33</v>
      </c>
      <c r="D38198" s="21" t="s">
        <v>34</v>
      </c>
      <c r="E38198" s="21" t="s">
        <v>71</v>
      </c>
      <c r="F38198">
        <v>3350209</v>
      </c>
      <c r="G38198" t="s">
        <v>3023</v>
      </c>
      <c r="H38198" s="21">
        <v>481.5</v>
      </c>
    </row>
    <row r="38199" spans="1:8" customFormat="1" x14ac:dyDescent="0.25">
      <c r="A38199" t="str">
        <f>"5323463"</f>
        <v>5323463</v>
      </c>
      <c r="B38199" t="s">
        <v>9879</v>
      </c>
      <c r="C38199" t="s">
        <v>781</v>
      </c>
      <c r="D38199" s="21" t="s">
        <v>34</v>
      </c>
      <c r="E38199" s="21" t="s">
        <v>71</v>
      </c>
      <c r="F38199">
        <v>12530119</v>
      </c>
      <c r="G38199" t="s">
        <v>9943</v>
      </c>
      <c r="H38199" s="21">
        <v>481.5</v>
      </c>
    </row>
    <row r="38200" spans="1:8" customFormat="1" x14ac:dyDescent="0.25">
      <c r="A38200" t="str">
        <f>"6023370"</f>
        <v>6023370</v>
      </c>
      <c r="B38200" t="s">
        <v>4183</v>
      </c>
      <c r="C38200" t="s">
        <v>2529</v>
      </c>
      <c r="D38200" s="21" t="s">
        <v>34</v>
      </c>
      <c r="E38200" s="21" t="s">
        <v>254</v>
      </c>
      <c r="F38200">
        <v>7600161</v>
      </c>
      <c r="G38200" t="s">
        <v>6023</v>
      </c>
      <c r="H38200" s="21">
        <v>481.5</v>
      </c>
    </row>
    <row r="38201" spans="1:8" customFormat="1" x14ac:dyDescent="0.25">
      <c r="A38201" t="str">
        <f>"0620043"</f>
        <v>0620043</v>
      </c>
      <c r="B38201" t="s">
        <v>29555</v>
      </c>
      <c r="C38201" t="s">
        <v>2904</v>
      </c>
      <c r="D38201" s="21" t="s">
        <v>34</v>
      </c>
      <c r="E38201" s="21" t="s">
        <v>71</v>
      </c>
      <c r="F38201">
        <v>13060064</v>
      </c>
      <c r="G38201" t="s">
        <v>976</v>
      </c>
      <c r="H38201" s="21">
        <v>481.5</v>
      </c>
    </row>
    <row r="38202" spans="1:8" customFormat="1" x14ac:dyDescent="0.25">
      <c r="A38202" t="str">
        <f>"845784"</f>
        <v>845784</v>
      </c>
      <c r="B38202" t="s">
        <v>24732</v>
      </c>
      <c r="C38202" t="s">
        <v>269</v>
      </c>
      <c r="D38202" s="21" t="s">
        <v>34</v>
      </c>
      <c r="E38202" s="21" t="s">
        <v>71</v>
      </c>
      <c r="F38202">
        <v>13840059</v>
      </c>
      <c r="G38202" t="s">
        <v>21670</v>
      </c>
      <c r="H38202" s="21">
        <v>481.5</v>
      </c>
    </row>
    <row r="38203" spans="1:8" customFormat="1" x14ac:dyDescent="0.25">
      <c r="A38203" t="str">
        <f>"7413622"</f>
        <v>7413622</v>
      </c>
      <c r="B38203" t="s">
        <v>29556</v>
      </c>
      <c r="C38203" t="s">
        <v>90</v>
      </c>
      <c r="D38203" s="21" t="s">
        <v>34</v>
      </c>
      <c r="E38203" s="21" t="s">
        <v>35</v>
      </c>
      <c r="F38203">
        <v>1740087</v>
      </c>
      <c r="G38203" t="s">
        <v>10858</v>
      </c>
      <c r="H38203" s="21">
        <v>481.5</v>
      </c>
    </row>
    <row r="38204" spans="1:8" customFormat="1" x14ac:dyDescent="0.25">
      <c r="A38204" t="str">
        <f>"3116545"</f>
        <v>3116545</v>
      </c>
      <c r="B38204" t="s">
        <v>22332</v>
      </c>
      <c r="C38204" t="s">
        <v>198</v>
      </c>
      <c r="D38204" s="21" t="s">
        <v>34</v>
      </c>
      <c r="E38204" s="21" t="s">
        <v>35</v>
      </c>
      <c r="F38204">
        <v>11310098</v>
      </c>
      <c r="G38204" t="s">
        <v>371</v>
      </c>
      <c r="H38204" s="21">
        <v>481.5</v>
      </c>
    </row>
    <row r="38205" spans="1:8" customFormat="1" x14ac:dyDescent="0.25">
      <c r="A38205" t="str">
        <f>"765920"</f>
        <v>765920</v>
      </c>
      <c r="B38205" t="s">
        <v>19144</v>
      </c>
      <c r="C38205" t="s">
        <v>239</v>
      </c>
      <c r="D38205" s="21" t="s">
        <v>34</v>
      </c>
      <c r="E38205" s="21" t="s">
        <v>254</v>
      </c>
      <c r="F38205">
        <v>9760039</v>
      </c>
      <c r="G38205" t="s">
        <v>9501</v>
      </c>
      <c r="H38205" s="21">
        <v>481.5</v>
      </c>
    </row>
    <row r="38206" spans="1:8" customFormat="1" x14ac:dyDescent="0.25">
      <c r="A38206" t="str">
        <f>"7882296"</f>
        <v>7882296</v>
      </c>
      <c r="B38206" t="s">
        <v>29557</v>
      </c>
      <c r="C38206" t="s">
        <v>198</v>
      </c>
      <c r="D38206" s="21" t="s">
        <v>34</v>
      </c>
      <c r="E38206" s="21" t="s">
        <v>71</v>
      </c>
      <c r="F38206">
        <v>8780401</v>
      </c>
      <c r="G38206" t="s">
        <v>9116</v>
      </c>
      <c r="H38206" s="21">
        <v>481.5</v>
      </c>
    </row>
    <row r="38207" spans="1:8" customFormat="1" x14ac:dyDescent="0.25">
      <c r="A38207" t="str">
        <f>"3344114"</f>
        <v>3344114</v>
      </c>
      <c r="B38207" t="s">
        <v>8415</v>
      </c>
      <c r="C38207" t="s">
        <v>598</v>
      </c>
      <c r="D38207" s="21" t="s">
        <v>34</v>
      </c>
      <c r="E38207" s="21" t="s">
        <v>71</v>
      </c>
      <c r="F38207">
        <v>10330002</v>
      </c>
      <c r="G38207" t="s">
        <v>53</v>
      </c>
      <c r="H38207" s="21">
        <v>481.5</v>
      </c>
    </row>
    <row r="38208" spans="1:8" customFormat="1" x14ac:dyDescent="0.25">
      <c r="A38208" t="str">
        <f>"3322047"</f>
        <v>3322047</v>
      </c>
      <c r="B38208" t="s">
        <v>24424</v>
      </c>
      <c r="C38208" t="s">
        <v>2520</v>
      </c>
      <c r="D38208" s="21" t="s">
        <v>34</v>
      </c>
      <c r="E38208" s="21" t="s">
        <v>1089</v>
      </c>
      <c r="F38208">
        <v>10330028</v>
      </c>
      <c r="G38208" t="s">
        <v>4553</v>
      </c>
      <c r="H38208" s="21">
        <v>481.5</v>
      </c>
    </row>
    <row r="38209" spans="1:8" customFormat="1" x14ac:dyDescent="0.25">
      <c r="A38209" t="str">
        <f>"5017654"</f>
        <v>5017654</v>
      </c>
      <c r="B38209" t="s">
        <v>6237</v>
      </c>
      <c r="C38209" t="s">
        <v>500</v>
      </c>
      <c r="D38209" s="21" t="s">
        <v>34</v>
      </c>
      <c r="E38209" s="21" t="s">
        <v>35</v>
      </c>
      <c r="F38209">
        <v>9500121</v>
      </c>
      <c r="G38209" t="s">
        <v>7360</v>
      </c>
      <c r="H38209" s="21">
        <v>481.5</v>
      </c>
    </row>
    <row r="38210" spans="1:8" customFormat="1" x14ac:dyDescent="0.25">
      <c r="A38210" t="str">
        <f>"5326252"</f>
        <v>5326252</v>
      </c>
      <c r="B38210" t="s">
        <v>465</v>
      </c>
      <c r="C38210" t="s">
        <v>656</v>
      </c>
      <c r="D38210" s="21" t="s">
        <v>34</v>
      </c>
      <c r="E38210" s="21" t="s">
        <v>35</v>
      </c>
      <c r="F38210">
        <v>12538908</v>
      </c>
      <c r="G38210" t="s">
        <v>28075</v>
      </c>
      <c r="H38210" s="21">
        <v>481.5</v>
      </c>
    </row>
    <row r="38211" spans="1:8" customFormat="1" x14ac:dyDescent="0.25">
      <c r="A38211" t="str">
        <f>"3727113"</f>
        <v>3727113</v>
      </c>
      <c r="B38211" t="s">
        <v>1890</v>
      </c>
      <c r="C38211" t="s">
        <v>2305</v>
      </c>
      <c r="D38211" s="21" t="s">
        <v>34</v>
      </c>
      <c r="E38211" s="21" t="s">
        <v>254</v>
      </c>
      <c r="F38211">
        <v>4370608</v>
      </c>
      <c r="G38211" t="s">
        <v>11068</v>
      </c>
      <c r="H38211" s="21">
        <v>481.5</v>
      </c>
    </row>
    <row r="38212" spans="1:8" customFormat="1" x14ac:dyDescent="0.25">
      <c r="A38212" t="str">
        <f>"6221123"</f>
        <v>6221123</v>
      </c>
      <c r="B38212" t="s">
        <v>17552</v>
      </c>
      <c r="C38212" t="s">
        <v>926</v>
      </c>
      <c r="D38212" s="21" t="s">
        <v>34</v>
      </c>
      <c r="E38212" s="21" t="s">
        <v>254</v>
      </c>
      <c r="F38212">
        <v>7620121</v>
      </c>
      <c r="G38212" t="s">
        <v>7146</v>
      </c>
      <c r="H38212" s="21">
        <v>481.5</v>
      </c>
    </row>
    <row r="38213" spans="1:8" customFormat="1" x14ac:dyDescent="0.25">
      <c r="A38213" t="str">
        <f>"7410806"</f>
        <v>7410806</v>
      </c>
      <c r="B38213" t="s">
        <v>29558</v>
      </c>
      <c r="C38213" t="s">
        <v>13810</v>
      </c>
      <c r="D38213" s="21" t="s">
        <v>34</v>
      </c>
      <c r="E38213" s="21" t="s">
        <v>1089</v>
      </c>
      <c r="F38213">
        <v>1740065</v>
      </c>
      <c r="G38213" t="s">
        <v>5226</v>
      </c>
      <c r="H38213" s="21">
        <v>481.5</v>
      </c>
    </row>
    <row r="38214" spans="1:8" customFormat="1" x14ac:dyDescent="0.25">
      <c r="A38214" t="str">
        <f>"568084"</f>
        <v>568084</v>
      </c>
      <c r="B38214" t="s">
        <v>765</v>
      </c>
      <c r="C38214" t="s">
        <v>40</v>
      </c>
      <c r="D38214" s="21" t="s">
        <v>34</v>
      </c>
      <c r="E38214" s="21" t="s">
        <v>71</v>
      </c>
      <c r="F38214">
        <v>3560002</v>
      </c>
      <c r="G38214" t="s">
        <v>5437</v>
      </c>
      <c r="H38214" s="21">
        <v>481.5</v>
      </c>
    </row>
    <row r="38215" spans="1:8" customFormat="1" x14ac:dyDescent="0.25">
      <c r="A38215" t="str">
        <f>"24822"</f>
        <v>24822</v>
      </c>
      <c r="B38215" t="s">
        <v>3336</v>
      </c>
      <c r="C38215" t="s">
        <v>2520</v>
      </c>
      <c r="D38215" s="21" t="s">
        <v>34</v>
      </c>
      <c r="E38215" s="21" t="s">
        <v>1089</v>
      </c>
      <c r="F38215">
        <v>10240018</v>
      </c>
      <c r="G38215" t="s">
        <v>3007</v>
      </c>
      <c r="H38215" s="21">
        <v>481.5</v>
      </c>
    </row>
    <row r="38216" spans="1:8" customFormat="1" x14ac:dyDescent="0.25">
      <c r="A38216" t="str">
        <f>"5021067"</f>
        <v>5021067</v>
      </c>
      <c r="B38216" t="s">
        <v>1012</v>
      </c>
      <c r="C38216" t="s">
        <v>82</v>
      </c>
      <c r="D38216" s="21" t="s">
        <v>34</v>
      </c>
      <c r="E38216" s="21" t="s">
        <v>35</v>
      </c>
      <c r="F38216">
        <v>9500030</v>
      </c>
      <c r="G38216" t="s">
        <v>2166</v>
      </c>
      <c r="H38216" s="21">
        <v>481.5</v>
      </c>
    </row>
    <row r="38217" spans="1:8" customFormat="1" x14ac:dyDescent="0.25">
      <c r="A38217" t="str">
        <f>"7642923"</f>
        <v>7642923</v>
      </c>
      <c r="B38217" t="s">
        <v>2883</v>
      </c>
      <c r="C38217" t="s">
        <v>1675</v>
      </c>
      <c r="D38217" s="21" t="s">
        <v>34</v>
      </c>
      <c r="E38217" s="21" t="s">
        <v>35</v>
      </c>
      <c r="F38217">
        <v>9760417</v>
      </c>
      <c r="G38217" t="s">
        <v>11996</v>
      </c>
      <c r="H38217" s="21">
        <v>481.5</v>
      </c>
    </row>
    <row r="38218" spans="1:8" customFormat="1" x14ac:dyDescent="0.25">
      <c r="A38218" t="str">
        <f>"3716906"</f>
        <v>3716906</v>
      </c>
      <c r="B38218" t="s">
        <v>1456</v>
      </c>
      <c r="C38218" t="s">
        <v>40</v>
      </c>
      <c r="D38218" s="21" t="s">
        <v>34</v>
      </c>
      <c r="E38218" s="21" t="s">
        <v>254</v>
      </c>
      <c r="F38218">
        <v>3290268</v>
      </c>
      <c r="G38218" t="s">
        <v>9878</v>
      </c>
      <c r="H38218" s="21">
        <v>481.5</v>
      </c>
    </row>
    <row r="38219" spans="1:8" customFormat="1" x14ac:dyDescent="0.25">
      <c r="A38219" t="str">
        <f>"0212287"</f>
        <v>0212287</v>
      </c>
      <c r="B38219" t="s">
        <v>5431</v>
      </c>
      <c r="C38219" t="s">
        <v>598</v>
      </c>
      <c r="D38219" s="21" t="s">
        <v>34</v>
      </c>
      <c r="E38219" s="21" t="s">
        <v>71</v>
      </c>
      <c r="F38219">
        <v>7021015</v>
      </c>
      <c r="G38219" t="s">
        <v>27639</v>
      </c>
      <c r="H38219" s="21">
        <v>481.5</v>
      </c>
    </row>
    <row r="38220" spans="1:8" customFormat="1" x14ac:dyDescent="0.25">
      <c r="A38220" t="str">
        <f>"6726548"</f>
        <v>6726548</v>
      </c>
      <c r="B38220" t="s">
        <v>29559</v>
      </c>
      <c r="C38220" t="s">
        <v>29560</v>
      </c>
      <c r="D38220" s="21" t="s">
        <v>34</v>
      </c>
      <c r="E38220" s="21" t="s">
        <v>71</v>
      </c>
      <c r="F38220">
        <v>6670268</v>
      </c>
      <c r="G38220" t="s">
        <v>8908</v>
      </c>
      <c r="H38220" s="21">
        <v>481.5</v>
      </c>
    </row>
    <row r="38221" spans="1:8" customFormat="1" x14ac:dyDescent="0.25">
      <c r="A38221" t="str">
        <f>"9538073"</f>
        <v>9538073</v>
      </c>
      <c r="B38221" t="s">
        <v>690</v>
      </c>
      <c r="C38221" t="s">
        <v>598</v>
      </c>
      <c r="D38221" s="21" t="s">
        <v>34</v>
      </c>
      <c r="E38221" s="21" t="s">
        <v>254</v>
      </c>
      <c r="F38221">
        <v>8950623</v>
      </c>
      <c r="G38221" t="s">
        <v>684</v>
      </c>
      <c r="H38221" s="21">
        <v>481.5</v>
      </c>
    </row>
    <row r="38222" spans="1:8" customFormat="1" x14ac:dyDescent="0.25">
      <c r="A38222" t="str">
        <f>"9232329"</f>
        <v>9232329</v>
      </c>
      <c r="B38222" t="s">
        <v>3576</v>
      </c>
      <c r="C38222" t="s">
        <v>119</v>
      </c>
      <c r="D38222" s="21" t="s">
        <v>34</v>
      </c>
      <c r="E38222" s="21" t="s">
        <v>71</v>
      </c>
      <c r="F38222">
        <v>8921099</v>
      </c>
      <c r="G38222" t="s">
        <v>11455</v>
      </c>
      <c r="H38222" s="21">
        <v>481.5</v>
      </c>
    </row>
    <row r="38223" spans="1:8" customFormat="1" x14ac:dyDescent="0.25">
      <c r="A38223" t="str">
        <f>"461671"</f>
        <v>461671</v>
      </c>
      <c r="B38223" t="s">
        <v>24624</v>
      </c>
      <c r="C38223" t="s">
        <v>547</v>
      </c>
      <c r="D38223" s="21" t="s">
        <v>34</v>
      </c>
      <c r="E38223" s="21" t="s">
        <v>1089</v>
      </c>
      <c r="F38223">
        <v>11460029</v>
      </c>
      <c r="G38223" t="s">
        <v>10606</v>
      </c>
      <c r="H38223" s="21">
        <v>481.5</v>
      </c>
    </row>
    <row r="38224" spans="1:8" customFormat="1" x14ac:dyDescent="0.25">
      <c r="A38224" t="str">
        <f>"7878849"</f>
        <v>7878849</v>
      </c>
      <c r="B38224" t="s">
        <v>24387</v>
      </c>
      <c r="C38224" t="s">
        <v>854</v>
      </c>
      <c r="D38224" s="21" t="s">
        <v>34</v>
      </c>
      <c r="E38224" s="21" t="s">
        <v>35</v>
      </c>
      <c r="F38224">
        <v>8780935</v>
      </c>
      <c r="G38224" t="s">
        <v>1944</v>
      </c>
      <c r="H38224" s="21">
        <v>481.5</v>
      </c>
    </row>
    <row r="38225" spans="1:8" customFormat="1" x14ac:dyDescent="0.25">
      <c r="A38225" t="str">
        <f>"646494"</f>
        <v>646494</v>
      </c>
      <c r="B38225" t="s">
        <v>15847</v>
      </c>
      <c r="C38225" t="s">
        <v>55</v>
      </c>
      <c r="D38225" s="21" t="s">
        <v>34</v>
      </c>
      <c r="E38225" s="21" t="s">
        <v>71</v>
      </c>
      <c r="F38225">
        <v>10640001</v>
      </c>
      <c r="G38225" t="s">
        <v>2419</v>
      </c>
      <c r="H38225" s="21">
        <v>481.5</v>
      </c>
    </row>
    <row r="38226" spans="1:8" customFormat="1" x14ac:dyDescent="0.25">
      <c r="A38226" t="str">
        <f>"1319769"</f>
        <v>1319769</v>
      </c>
      <c r="B38226" t="s">
        <v>25883</v>
      </c>
      <c r="C38226" t="s">
        <v>29561</v>
      </c>
      <c r="D38226" s="21" t="s">
        <v>34</v>
      </c>
      <c r="E38226" s="21" t="s">
        <v>71</v>
      </c>
      <c r="F38226">
        <v>13130154</v>
      </c>
      <c r="G38226" t="s">
        <v>5503</v>
      </c>
      <c r="H38226" s="21">
        <v>481.5</v>
      </c>
    </row>
    <row r="38227" spans="1:8" customFormat="1" x14ac:dyDescent="0.25">
      <c r="A38227" t="str">
        <f>"6313579"</f>
        <v>6313579</v>
      </c>
      <c r="B38227" t="s">
        <v>22682</v>
      </c>
      <c r="C38227" t="s">
        <v>2907</v>
      </c>
      <c r="D38227" s="21" t="s">
        <v>34</v>
      </c>
      <c r="E38227" s="21" t="s">
        <v>71</v>
      </c>
      <c r="F38227">
        <v>1630310</v>
      </c>
      <c r="G38227" t="s">
        <v>6314</v>
      </c>
      <c r="H38227" s="21">
        <v>481.5</v>
      </c>
    </row>
    <row r="38228" spans="1:8" customFormat="1" x14ac:dyDescent="0.25">
      <c r="A38228" t="str">
        <f>"4448823"</f>
        <v>4448823</v>
      </c>
      <c r="B38228" t="s">
        <v>16156</v>
      </c>
      <c r="C38228" t="s">
        <v>415</v>
      </c>
      <c r="D38228" s="21" t="s">
        <v>34</v>
      </c>
      <c r="E38228" s="21" t="s">
        <v>254</v>
      </c>
      <c r="F38228">
        <v>12440239</v>
      </c>
      <c r="G38228" t="s">
        <v>11158</v>
      </c>
      <c r="H38228" s="21">
        <v>481.5</v>
      </c>
    </row>
    <row r="38229" spans="1:8" customFormat="1" x14ac:dyDescent="0.25">
      <c r="A38229" t="str">
        <f>"648650"</f>
        <v>648650</v>
      </c>
      <c r="B38229" t="s">
        <v>1611</v>
      </c>
      <c r="C38229" t="s">
        <v>825</v>
      </c>
      <c r="D38229" s="21" t="s">
        <v>34</v>
      </c>
      <c r="E38229" s="21" t="s">
        <v>254</v>
      </c>
      <c r="F38229">
        <v>10640023</v>
      </c>
      <c r="G38229" t="s">
        <v>8567</v>
      </c>
      <c r="H38229" s="21">
        <v>481.5</v>
      </c>
    </row>
    <row r="38230" spans="1:8" customFormat="1" x14ac:dyDescent="0.25">
      <c r="A38230" t="str">
        <f>"5810373"</f>
        <v>5810373</v>
      </c>
      <c r="B38230" t="s">
        <v>26742</v>
      </c>
      <c r="C38230" t="s">
        <v>40</v>
      </c>
      <c r="D38230" s="21" t="s">
        <v>34</v>
      </c>
      <c r="E38230" s="21" t="s">
        <v>71</v>
      </c>
      <c r="F38230">
        <v>2580006</v>
      </c>
      <c r="G38230" t="s">
        <v>4813</v>
      </c>
      <c r="H38230" s="21">
        <v>481.5</v>
      </c>
    </row>
    <row r="38231" spans="1:8" customFormat="1" x14ac:dyDescent="0.25">
      <c r="A38231" t="str">
        <f>"652619"</f>
        <v>652619</v>
      </c>
      <c r="B38231" t="s">
        <v>2575</v>
      </c>
      <c r="C38231" t="s">
        <v>415</v>
      </c>
      <c r="D38231" s="21" t="s">
        <v>34</v>
      </c>
      <c r="E38231" s="21" t="s">
        <v>1089</v>
      </c>
      <c r="F38231">
        <v>11650014</v>
      </c>
      <c r="G38231" t="s">
        <v>9313</v>
      </c>
      <c r="H38231" s="21">
        <v>481.38</v>
      </c>
    </row>
    <row r="38232" spans="1:8" customFormat="1" x14ac:dyDescent="0.25">
      <c r="A38232" t="str">
        <f>"5622113"</f>
        <v>5622113</v>
      </c>
      <c r="B38232" t="s">
        <v>197</v>
      </c>
      <c r="C38232" t="s">
        <v>109</v>
      </c>
      <c r="D38232" s="21" t="s">
        <v>34</v>
      </c>
      <c r="E38232" s="21" t="s">
        <v>71</v>
      </c>
      <c r="F38232">
        <v>3560072</v>
      </c>
      <c r="G38232" t="s">
        <v>12285</v>
      </c>
      <c r="H38232" s="21">
        <v>481.25</v>
      </c>
    </row>
    <row r="38233" spans="1:8" customFormat="1" x14ac:dyDescent="0.25">
      <c r="A38233" t="str">
        <f>"1426651"</f>
        <v>1426651</v>
      </c>
      <c r="B38233" t="s">
        <v>29562</v>
      </c>
      <c r="C38233" t="s">
        <v>267</v>
      </c>
      <c r="D38233" s="21" t="s">
        <v>34</v>
      </c>
      <c r="E38233" s="21" t="s">
        <v>254</v>
      </c>
      <c r="F38233">
        <v>9140003</v>
      </c>
      <c r="G38233" t="s">
        <v>6152</v>
      </c>
      <c r="H38233" s="21">
        <v>481.17</v>
      </c>
    </row>
    <row r="38234" spans="1:8" customFormat="1" x14ac:dyDescent="0.25">
      <c r="A38234" t="str">
        <f>"3327016"</f>
        <v>3327016</v>
      </c>
      <c r="B38234" t="s">
        <v>21829</v>
      </c>
      <c r="C38234" t="s">
        <v>469</v>
      </c>
      <c r="D38234" s="21" t="s">
        <v>34</v>
      </c>
      <c r="E38234" s="21" t="s">
        <v>71</v>
      </c>
      <c r="F38234">
        <v>10330046</v>
      </c>
      <c r="G38234" t="s">
        <v>1787</v>
      </c>
      <c r="H38234" s="21">
        <v>481.12</v>
      </c>
    </row>
    <row r="38235" spans="1:8" customFormat="1" x14ac:dyDescent="0.25">
      <c r="A38235" t="str">
        <f>"188718"</f>
        <v>188718</v>
      </c>
      <c r="B38235" t="s">
        <v>7512</v>
      </c>
      <c r="C38235" t="s">
        <v>43</v>
      </c>
      <c r="D38235" s="21" t="s">
        <v>34</v>
      </c>
      <c r="E38235" s="21" t="s">
        <v>35</v>
      </c>
      <c r="F38235">
        <v>4180613</v>
      </c>
      <c r="G38235" t="s">
        <v>422</v>
      </c>
      <c r="H38235" s="21">
        <v>481</v>
      </c>
    </row>
    <row r="38236" spans="1:8" customFormat="1" x14ac:dyDescent="0.25">
      <c r="A38236" t="str">
        <f>"687913"</f>
        <v>687913</v>
      </c>
      <c r="B38236" t="s">
        <v>4834</v>
      </c>
      <c r="C38236" t="s">
        <v>33</v>
      </c>
      <c r="D38236" s="21" t="s">
        <v>34</v>
      </c>
      <c r="E38236" s="21" t="s">
        <v>71</v>
      </c>
      <c r="F38236">
        <v>6680111</v>
      </c>
      <c r="G38236" t="s">
        <v>3422</v>
      </c>
      <c r="H38236" s="21">
        <v>481</v>
      </c>
    </row>
    <row r="38237" spans="1:8" customFormat="1" x14ac:dyDescent="0.25">
      <c r="A38237" t="str">
        <f>"5963604"</f>
        <v>5963604</v>
      </c>
      <c r="B38237" t="s">
        <v>29563</v>
      </c>
      <c r="C38237" t="s">
        <v>33</v>
      </c>
      <c r="D38237" s="21" t="s">
        <v>34</v>
      </c>
      <c r="E38237" s="21" t="s">
        <v>35</v>
      </c>
      <c r="F38237">
        <v>7590137</v>
      </c>
      <c r="G38237" t="s">
        <v>4246</v>
      </c>
      <c r="H38237" s="21">
        <v>481</v>
      </c>
    </row>
    <row r="38238" spans="1:8" customFormat="1" x14ac:dyDescent="0.25">
      <c r="A38238" t="str">
        <f>"2517404"</f>
        <v>2517404</v>
      </c>
      <c r="B38238" t="s">
        <v>21946</v>
      </c>
      <c r="C38238" t="s">
        <v>269</v>
      </c>
      <c r="D38238" s="21" t="s">
        <v>34</v>
      </c>
      <c r="E38238" s="21" t="s">
        <v>71</v>
      </c>
      <c r="F38238">
        <v>2250208</v>
      </c>
      <c r="G38238" t="s">
        <v>10923</v>
      </c>
      <c r="H38238" s="21">
        <v>481</v>
      </c>
    </row>
    <row r="38239" spans="1:8" customFormat="1" x14ac:dyDescent="0.25">
      <c r="A38239" t="str">
        <f>"2932775"</f>
        <v>2932775</v>
      </c>
      <c r="B38239" t="s">
        <v>29564</v>
      </c>
      <c r="C38239" t="s">
        <v>12782</v>
      </c>
      <c r="D38239" s="21" t="s">
        <v>34</v>
      </c>
      <c r="E38239" s="21" t="s">
        <v>254</v>
      </c>
      <c r="F38239">
        <v>3290290</v>
      </c>
      <c r="G38239" t="s">
        <v>27072</v>
      </c>
      <c r="H38239" s="21">
        <v>481</v>
      </c>
    </row>
    <row r="38240" spans="1:8" customFormat="1" x14ac:dyDescent="0.25">
      <c r="A38240" t="str">
        <f>"7810431"</f>
        <v>7810431</v>
      </c>
      <c r="B38240" t="s">
        <v>24767</v>
      </c>
      <c r="C38240" t="s">
        <v>253</v>
      </c>
      <c r="D38240" s="21" t="s">
        <v>34</v>
      </c>
      <c r="E38240" s="21" t="s">
        <v>1089</v>
      </c>
      <c r="F38240">
        <v>8780224</v>
      </c>
      <c r="G38240" t="s">
        <v>8599</v>
      </c>
      <c r="H38240" s="21">
        <v>481</v>
      </c>
    </row>
    <row r="38241" spans="1:8" customFormat="1" x14ac:dyDescent="0.25">
      <c r="A38241" t="str">
        <f>"6233963"</f>
        <v>6233963</v>
      </c>
      <c r="B38241" t="s">
        <v>29565</v>
      </c>
      <c r="C38241" t="s">
        <v>3905</v>
      </c>
      <c r="D38241" s="21" t="s">
        <v>34</v>
      </c>
      <c r="E38241" s="21" t="s">
        <v>254</v>
      </c>
      <c r="F38241">
        <v>7620092</v>
      </c>
      <c r="G38241" t="s">
        <v>9874</v>
      </c>
      <c r="H38241" s="21">
        <v>481</v>
      </c>
    </row>
    <row r="38242" spans="1:8" customFormat="1" x14ac:dyDescent="0.25">
      <c r="A38242" t="str">
        <f>"585019"</f>
        <v>585019</v>
      </c>
      <c r="B38242" t="s">
        <v>22516</v>
      </c>
      <c r="C38242" t="s">
        <v>124</v>
      </c>
      <c r="D38242" s="21" t="s">
        <v>34</v>
      </c>
      <c r="E38242" s="21" t="s">
        <v>71</v>
      </c>
      <c r="F38242">
        <v>2580091</v>
      </c>
      <c r="G38242" t="s">
        <v>13057</v>
      </c>
      <c r="H38242" s="21">
        <v>481</v>
      </c>
    </row>
    <row r="38243" spans="1:8" customFormat="1" x14ac:dyDescent="0.25">
      <c r="A38243" t="str">
        <f>"6725037"</f>
        <v>6725037</v>
      </c>
      <c r="B38243" t="s">
        <v>12817</v>
      </c>
      <c r="C38243" t="s">
        <v>3010</v>
      </c>
      <c r="D38243" s="21" t="s">
        <v>34</v>
      </c>
      <c r="E38243" s="21" t="s">
        <v>254</v>
      </c>
      <c r="F38243">
        <v>6670203</v>
      </c>
      <c r="G38243" t="s">
        <v>2371</v>
      </c>
      <c r="H38243" s="21">
        <v>481</v>
      </c>
    </row>
    <row r="38244" spans="1:8" customFormat="1" x14ac:dyDescent="0.25">
      <c r="A38244" t="str">
        <f>"3344772"</f>
        <v>3344772</v>
      </c>
      <c r="B38244" t="s">
        <v>24618</v>
      </c>
      <c r="C38244" t="s">
        <v>16913</v>
      </c>
      <c r="D38244" s="21" t="s">
        <v>34</v>
      </c>
      <c r="E38244" s="21" t="s">
        <v>71</v>
      </c>
      <c r="F38244">
        <v>10330004</v>
      </c>
      <c r="G38244" t="s">
        <v>525</v>
      </c>
      <c r="H38244" s="21">
        <v>481</v>
      </c>
    </row>
    <row r="38245" spans="1:8" customFormat="1" x14ac:dyDescent="0.25">
      <c r="A38245" t="str">
        <f>"1412134"</f>
        <v>1412134</v>
      </c>
      <c r="B38245" t="s">
        <v>24055</v>
      </c>
      <c r="C38245" t="s">
        <v>967</v>
      </c>
      <c r="D38245" s="21" t="s">
        <v>34</v>
      </c>
      <c r="E38245" s="21" t="s">
        <v>71</v>
      </c>
      <c r="F38245">
        <v>9140195</v>
      </c>
      <c r="G38245" t="s">
        <v>20121</v>
      </c>
      <c r="H38245" s="21">
        <v>481</v>
      </c>
    </row>
    <row r="38246" spans="1:8" customFormat="1" x14ac:dyDescent="0.25">
      <c r="A38246" t="str">
        <f>"5433071"</f>
        <v>5433071</v>
      </c>
      <c r="B38246" t="s">
        <v>29566</v>
      </c>
      <c r="C38246" t="s">
        <v>462</v>
      </c>
      <c r="D38246" s="21" t="s">
        <v>34</v>
      </c>
      <c r="E38246" s="21" t="s">
        <v>71</v>
      </c>
      <c r="F38246">
        <v>6540021</v>
      </c>
      <c r="G38246" t="s">
        <v>1815</v>
      </c>
      <c r="H38246" s="21">
        <v>481</v>
      </c>
    </row>
    <row r="38247" spans="1:8" customFormat="1" x14ac:dyDescent="0.25">
      <c r="A38247" t="str">
        <f>"7732350"</f>
        <v>7732350</v>
      </c>
      <c r="B38247" t="s">
        <v>29567</v>
      </c>
      <c r="C38247" t="s">
        <v>62</v>
      </c>
      <c r="D38247" s="21" t="s">
        <v>34</v>
      </c>
      <c r="E38247" s="21" t="s">
        <v>35</v>
      </c>
      <c r="F38247">
        <v>8771304</v>
      </c>
      <c r="G38247" t="s">
        <v>5314</v>
      </c>
      <c r="H38247" s="21">
        <v>481</v>
      </c>
    </row>
    <row r="38248" spans="1:8" customFormat="1" x14ac:dyDescent="0.25">
      <c r="A38248" t="str">
        <f>"5948820"</f>
        <v>5948820</v>
      </c>
      <c r="B38248" t="s">
        <v>24638</v>
      </c>
      <c r="C38248" t="s">
        <v>2276</v>
      </c>
      <c r="D38248" s="21" t="s">
        <v>34</v>
      </c>
      <c r="E38248" s="21" t="s">
        <v>254</v>
      </c>
      <c r="F38248">
        <v>7590075</v>
      </c>
      <c r="G38248" t="s">
        <v>6459</v>
      </c>
      <c r="H38248" s="21">
        <v>481</v>
      </c>
    </row>
    <row r="38249" spans="1:8" customFormat="1" x14ac:dyDescent="0.25">
      <c r="A38249" t="str">
        <f>"3730327"</f>
        <v>3730327</v>
      </c>
      <c r="B38249" t="s">
        <v>29568</v>
      </c>
      <c r="C38249" t="s">
        <v>2546</v>
      </c>
      <c r="D38249" s="21" t="s">
        <v>34</v>
      </c>
      <c r="E38249" s="21" t="s">
        <v>71</v>
      </c>
      <c r="F38249">
        <v>4370669</v>
      </c>
      <c r="G38249" t="s">
        <v>8189</v>
      </c>
      <c r="H38249" s="21">
        <v>481</v>
      </c>
    </row>
    <row r="38250" spans="1:8" customFormat="1" x14ac:dyDescent="0.25">
      <c r="A38250" t="str">
        <f>"589906"</f>
        <v>589906</v>
      </c>
      <c r="B38250" t="s">
        <v>5320</v>
      </c>
      <c r="C38250" t="s">
        <v>55</v>
      </c>
      <c r="D38250" s="21" t="s">
        <v>34</v>
      </c>
      <c r="E38250" s="21" t="s">
        <v>35</v>
      </c>
      <c r="F38250">
        <v>2580091</v>
      </c>
      <c r="G38250" t="s">
        <v>13057</v>
      </c>
      <c r="H38250" s="21">
        <v>481</v>
      </c>
    </row>
    <row r="38251" spans="1:8" customFormat="1" x14ac:dyDescent="0.25">
      <c r="A38251" t="str">
        <f>"8013278"</f>
        <v>8013278</v>
      </c>
      <c r="B38251" t="s">
        <v>23399</v>
      </c>
      <c r="C38251" t="s">
        <v>1271</v>
      </c>
      <c r="D38251" s="21" t="s">
        <v>34</v>
      </c>
      <c r="E38251" s="21" t="s">
        <v>254</v>
      </c>
      <c r="F38251">
        <v>7800064</v>
      </c>
      <c r="G38251" t="s">
        <v>4496</v>
      </c>
      <c r="H38251" s="21">
        <v>481</v>
      </c>
    </row>
    <row r="38252" spans="1:8" customFormat="1" x14ac:dyDescent="0.25">
      <c r="A38252" t="str">
        <f>"4527848"</f>
        <v>4527848</v>
      </c>
      <c r="B38252" t="s">
        <v>24466</v>
      </c>
      <c r="C38252" t="s">
        <v>1782</v>
      </c>
      <c r="D38252" s="21" t="s">
        <v>34</v>
      </c>
      <c r="E38252" s="21" t="s">
        <v>35</v>
      </c>
      <c r="F38252">
        <v>4450417</v>
      </c>
      <c r="G38252" t="s">
        <v>2284</v>
      </c>
      <c r="H38252" s="21">
        <v>481</v>
      </c>
    </row>
    <row r="38253" spans="1:8" customFormat="1" x14ac:dyDescent="0.25">
      <c r="A38253" t="str">
        <f>"619371"</f>
        <v>619371</v>
      </c>
      <c r="B38253" t="s">
        <v>5341</v>
      </c>
      <c r="C38253" t="s">
        <v>151</v>
      </c>
      <c r="D38253" s="21" t="s">
        <v>34</v>
      </c>
      <c r="E38253" s="21" t="s">
        <v>254</v>
      </c>
      <c r="F38253">
        <v>9610106</v>
      </c>
      <c r="G38253" t="s">
        <v>12520</v>
      </c>
      <c r="H38253" s="21">
        <v>481</v>
      </c>
    </row>
    <row r="38254" spans="1:8" customFormat="1" x14ac:dyDescent="0.25">
      <c r="A38254" t="str">
        <f>"9459196"</f>
        <v>9459196</v>
      </c>
      <c r="B38254" t="s">
        <v>29569</v>
      </c>
      <c r="C38254" t="s">
        <v>2525</v>
      </c>
      <c r="D38254" s="21" t="s">
        <v>34</v>
      </c>
      <c r="E38254" s="21" t="s">
        <v>35</v>
      </c>
      <c r="F38254">
        <v>8940326</v>
      </c>
      <c r="G38254" t="s">
        <v>659</v>
      </c>
      <c r="H38254" s="21">
        <v>481</v>
      </c>
    </row>
    <row r="38255" spans="1:8" customFormat="1" x14ac:dyDescent="0.25">
      <c r="A38255" t="str">
        <f>"4936770"</f>
        <v>4936770</v>
      </c>
      <c r="B38255" t="s">
        <v>24661</v>
      </c>
      <c r="C38255" t="s">
        <v>3504</v>
      </c>
      <c r="D38255" s="21" t="s">
        <v>34</v>
      </c>
      <c r="E38255" s="21" t="s">
        <v>254</v>
      </c>
      <c r="F38255">
        <v>12490055</v>
      </c>
      <c r="G38255" t="s">
        <v>12099</v>
      </c>
      <c r="H38255" s="21">
        <v>481</v>
      </c>
    </row>
    <row r="38256" spans="1:8" customFormat="1" x14ac:dyDescent="0.25">
      <c r="A38256" t="str">
        <f>"4938854"</f>
        <v>4938854</v>
      </c>
      <c r="B38256" t="s">
        <v>16943</v>
      </c>
      <c r="C38256" t="s">
        <v>58</v>
      </c>
      <c r="D38256" s="21" t="s">
        <v>34</v>
      </c>
      <c r="E38256" s="21" t="s">
        <v>35</v>
      </c>
      <c r="F38256">
        <v>12490010</v>
      </c>
      <c r="G38256" t="s">
        <v>4838</v>
      </c>
      <c r="H38256" s="21">
        <v>481</v>
      </c>
    </row>
    <row r="38257" spans="1:8" customFormat="1" x14ac:dyDescent="0.25">
      <c r="A38257" t="str">
        <f>"6944447"</f>
        <v>6944447</v>
      </c>
      <c r="B38257" t="s">
        <v>5558</v>
      </c>
      <c r="C38257" t="s">
        <v>127</v>
      </c>
      <c r="D38257" s="21" t="s">
        <v>34</v>
      </c>
      <c r="E38257" s="21" t="s">
        <v>35</v>
      </c>
      <c r="F38257">
        <v>1690156</v>
      </c>
      <c r="G38257" t="s">
        <v>7062</v>
      </c>
      <c r="H38257" s="21">
        <v>481</v>
      </c>
    </row>
    <row r="38258" spans="1:8" customFormat="1" x14ac:dyDescent="0.25">
      <c r="A38258" t="str">
        <f>"091526"</f>
        <v>091526</v>
      </c>
      <c r="B38258" t="s">
        <v>29570</v>
      </c>
      <c r="C38258" t="s">
        <v>139</v>
      </c>
      <c r="D38258" s="21" t="s">
        <v>34</v>
      </c>
      <c r="E38258" s="21" t="s">
        <v>71</v>
      </c>
      <c r="F38258">
        <v>11090001</v>
      </c>
      <c r="G38258" t="s">
        <v>4829</v>
      </c>
      <c r="H38258" s="21">
        <v>481</v>
      </c>
    </row>
    <row r="38259" spans="1:8" customFormat="1" x14ac:dyDescent="0.25">
      <c r="A38259" t="str">
        <f>"5621432"</f>
        <v>5621432</v>
      </c>
      <c r="B38259" t="s">
        <v>21688</v>
      </c>
      <c r="C38259" t="s">
        <v>233</v>
      </c>
      <c r="D38259" s="21" t="s">
        <v>34</v>
      </c>
      <c r="E38259" s="21" t="s">
        <v>1089</v>
      </c>
      <c r="F38259">
        <v>3560007</v>
      </c>
      <c r="G38259" t="s">
        <v>10211</v>
      </c>
      <c r="H38259" s="21">
        <v>481</v>
      </c>
    </row>
    <row r="38260" spans="1:8" customFormat="1" x14ac:dyDescent="0.25">
      <c r="A38260" t="str">
        <f>"298048"</f>
        <v>298048</v>
      </c>
      <c r="B38260" t="s">
        <v>2308</v>
      </c>
      <c r="C38260" t="s">
        <v>55</v>
      </c>
      <c r="D38260" s="21" t="s">
        <v>34</v>
      </c>
      <c r="E38260" s="21" t="s">
        <v>254</v>
      </c>
      <c r="F38260">
        <v>3290202</v>
      </c>
      <c r="G38260" t="s">
        <v>3314</v>
      </c>
      <c r="H38260" s="21">
        <v>481</v>
      </c>
    </row>
    <row r="38261" spans="1:8" customFormat="1" x14ac:dyDescent="0.25">
      <c r="A38261" t="str">
        <f>"3343049"</f>
        <v>3343049</v>
      </c>
      <c r="B38261" t="s">
        <v>29571</v>
      </c>
      <c r="C38261" t="s">
        <v>3073</v>
      </c>
      <c r="D38261" s="21" t="s">
        <v>34</v>
      </c>
      <c r="E38261" s="21" t="s">
        <v>254</v>
      </c>
      <c r="F38261">
        <v>10330005</v>
      </c>
      <c r="G38261" t="s">
        <v>3526</v>
      </c>
      <c r="H38261" s="21">
        <v>481</v>
      </c>
    </row>
    <row r="38262" spans="1:8" customFormat="1" x14ac:dyDescent="0.25">
      <c r="A38262" t="str">
        <f>"9129876"</f>
        <v>9129876</v>
      </c>
      <c r="B38262" t="s">
        <v>1626</v>
      </c>
      <c r="C38262" t="s">
        <v>263</v>
      </c>
      <c r="D38262" s="21" t="s">
        <v>34</v>
      </c>
      <c r="E38262" s="21" t="s">
        <v>254</v>
      </c>
      <c r="F38262">
        <v>7600054</v>
      </c>
      <c r="G38262" t="s">
        <v>1352</v>
      </c>
      <c r="H38262" s="21">
        <v>481</v>
      </c>
    </row>
    <row r="38263" spans="1:8" customFormat="1" x14ac:dyDescent="0.25">
      <c r="A38263" t="str">
        <f>"4218750"</f>
        <v>4218750</v>
      </c>
      <c r="B38263" t="s">
        <v>4027</v>
      </c>
      <c r="C38263" t="s">
        <v>453</v>
      </c>
      <c r="D38263" s="21" t="s">
        <v>34</v>
      </c>
      <c r="E38263" s="21" t="s">
        <v>254</v>
      </c>
      <c r="F38263">
        <v>1420153</v>
      </c>
      <c r="G38263" t="s">
        <v>8897</v>
      </c>
      <c r="H38263" s="21">
        <v>481</v>
      </c>
    </row>
    <row r="38264" spans="1:8" customFormat="1" x14ac:dyDescent="0.25">
      <c r="A38264" t="str">
        <f>"56478"</f>
        <v>56478</v>
      </c>
      <c r="B38264" t="s">
        <v>23860</v>
      </c>
      <c r="C38264" t="s">
        <v>2072</v>
      </c>
      <c r="D38264" s="21" t="s">
        <v>34</v>
      </c>
      <c r="E38264" s="21" t="s">
        <v>1089</v>
      </c>
      <c r="F38264">
        <v>3560028</v>
      </c>
      <c r="G38264" t="s">
        <v>5916</v>
      </c>
      <c r="H38264" s="21">
        <v>481</v>
      </c>
    </row>
    <row r="38265" spans="1:8" customFormat="1" x14ac:dyDescent="0.25">
      <c r="A38265" t="str">
        <f>"4939257"</f>
        <v>4939257</v>
      </c>
      <c r="B38265" t="s">
        <v>29572</v>
      </c>
      <c r="C38265" t="s">
        <v>547</v>
      </c>
      <c r="D38265" s="21" t="s">
        <v>34</v>
      </c>
      <c r="E38265" s="21" t="s">
        <v>71</v>
      </c>
      <c r="F38265">
        <v>12490024</v>
      </c>
      <c r="G38265" t="s">
        <v>9869</v>
      </c>
      <c r="H38265" s="21">
        <v>481</v>
      </c>
    </row>
    <row r="38266" spans="1:8" customFormat="1" x14ac:dyDescent="0.25">
      <c r="A38266" t="str">
        <f>"5732469"</f>
        <v>5732469</v>
      </c>
      <c r="B38266" t="s">
        <v>7680</v>
      </c>
      <c r="C38266" t="s">
        <v>269</v>
      </c>
      <c r="D38266" s="21" t="s">
        <v>34</v>
      </c>
      <c r="E38266" s="21" t="s">
        <v>71</v>
      </c>
      <c r="F38266">
        <v>6570093</v>
      </c>
      <c r="G38266" t="s">
        <v>6118</v>
      </c>
      <c r="H38266" s="21">
        <v>481</v>
      </c>
    </row>
    <row r="38267" spans="1:8" customFormat="1" x14ac:dyDescent="0.25">
      <c r="A38267" t="str">
        <f>"653876"</f>
        <v>653876</v>
      </c>
      <c r="B38267" t="s">
        <v>29573</v>
      </c>
      <c r="C38267" t="s">
        <v>151</v>
      </c>
      <c r="D38267" s="21" t="s">
        <v>34</v>
      </c>
      <c r="E38267" s="21" t="s">
        <v>71</v>
      </c>
      <c r="F38267">
        <v>11650018</v>
      </c>
      <c r="G38267" t="s">
        <v>6247</v>
      </c>
      <c r="H38267" s="21">
        <v>481</v>
      </c>
    </row>
    <row r="38268" spans="1:8" customFormat="1" x14ac:dyDescent="0.25">
      <c r="A38268" t="str">
        <f>"4428204"</f>
        <v>4428204</v>
      </c>
      <c r="B38268" t="s">
        <v>16676</v>
      </c>
      <c r="C38268" t="s">
        <v>1665</v>
      </c>
      <c r="D38268" s="21" t="s">
        <v>34</v>
      </c>
      <c r="E38268" s="21" t="s">
        <v>6185</v>
      </c>
      <c r="F38268">
        <v>12440142</v>
      </c>
      <c r="G38268" t="s">
        <v>3285</v>
      </c>
      <c r="H38268" s="21">
        <v>481</v>
      </c>
    </row>
    <row r="38269" spans="1:8" customFormat="1" x14ac:dyDescent="0.25">
      <c r="A38269" t="str">
        <f>"7728806"</f>
        <v>7728806</v>
      </c>
      <c r="B38269" t="s">
        <v>257</v>
      </c>
      <c r="C38269" t="s">
        <v>486</v>
      </c>
      <c r="D38269" s="21" t="s">
        <v>34</v>
      </c>
      <c r="E38269" s="21" t="s">
        <v>35</v>
      </c>
      <c r="F38269">
        <v>8770166</v>
      </c>
      <c r="G38269" t="s">
        <v>653</v>
      </c>
      <c r="H38269" s="21">
        <v>481</v>
      </c>
    </row>
    <row r="38270" spans="1:8" customFormat="1" x14ac:dyDescent="0.25">
      <c r="A38270" t="str">
        <f>"4449754"</f>
        <v>4449754</v>
      </c>
      <c r="B38270" t="s">
        <v>1037</v>
      </c>
      <c r="C38270" t="s">
        <v>65</v>
      </c>
      <c r="D38270" s="21" t="s">
        <v>34</v>
      </c>
      <c r="E38270" s="21" t="s">
        <v>71</v>
      </c>
      <c r="F38270">
        <v>12440125</v>
      </c>
      <c r="G38270" t="s">
        <v>8347</v>
      </c>
      <c r="H38270" s="21">
        <v>481</v>
      </c>
    </row>
    <row r="38271" spans="1:8" customFormat="1" x14ac:dyDescent="0.25">
      <c r="A38271" t="str">
        <f>"6721108"</f>
        <v>6721108</v>
      </c>
      <c r="B38271" t="s">
        <v>24617</v>
      </c>
      <c r="C38271" t="s">
        <v>2365</v>
      </c>
      <c r="D38271" s="21" t="s">
        <v>34</v>
      </c>
      <c r="E38271" s="21" t="s">
        <v>1089</v>
      </c>
      <c r="F38271">
        <v>6670216</v>
      </c>
      <c r="G38271" t="s">
        <v>2194</v>
      </c>
      <c r="H38271" s="21">
        <v>481</v>
      </c>
    </row>
    <row r="38272" spans="1:8" customFormat="1" x14ac:dyDescent="0.25">
      <c r="A38272" t="str">
        <f>"2515285"</f>
        <v>2515285</v>
      </c>
      <c r="B38272" t="s">
        <v>24202</v>
      </c>
      <c r="C38272" t="s">
        <v>33</v>
      </c>
      <c r="D38272" s="21" t="s">
        <v>34</v>
      </c>
      <c r="E38272" s="21" t="s">
        <v>71</v>
      </c>
      <c r="F38272">
        <v>2250132</v>
      </c>
      <c r="G38272" t="s">
        <v>7748</v>
      </c>
      <c r="H38272" s="21">
        <v>481</v>
      </c>
    </row>
    <row r="38273" spans="1:8" customFormat="1" x14ac:dyDescent="0.25">
      <c r="A38273" t="str">
        <f>"8313139"</f>
        <v>8313139</v>
      </c>
      <c r="B38273" t="s">
        <v>24747</v>
      </c>
      <c r="C38273" t="s">
        <v>249</v>
      </c>
      <c r="D38273" s="21" t="s">
        <v>34</v>
      </c>
      <c r="E38273" s="21" t="s">
        <v>35</v>
      </c>
      <c r="F38273">
        <v>13830064</v>
      </c>
      <c r="G38273" t="s">
        <v>8410</v>
      </c>
      <c r="H38273" s="21">
        <v>480.92</v>
      </c>
    </row>
    <row r="38274" spans="1:8" customFormat="1" x14ac:dyDescent="0.25">
      <c r="A38274" t="str">
        <f>"2720721"</f>
        <v>2720721</v>
      </c>
      <c r="B38274" t="s">
        <v>3555</v>
      </c>
      <c r="C38274" t="s">
        <v>462</v>
      </c>
      <c r="D38274" s="21" t="s">
        <v>34</v>
      </c>
      <c r="E38274" s="21" t="s">
        <v>71</v>
      </c>
      <c r="F38274">
        <v>9270015</v>
      </c>
      <c r="G38274" t="s">
        <v>8095</v>
      </c>
      <c r="H38274" s="21">
        <v>480.88</v>
      </c>
    </row>
    <row r="38275" spans="1:8" customFormat="1" x14ac:dyDescent="0.25">
      <c r="A38275" t="str">
        <f>"5974985"</f>
        <v>5974985</v>
      </c>
      <c r="B38275" t="s">
        <v>5350</v>
      </c>
      <c r="C38275" t="s">
        <v>288</v>
      </c>
      <c r="D38275" s="21" t="s">
        <v>34</v>
      </c>
      <c r="E38275" s="21" t="s">
        <v>71</v>
      </c>
      <c r="F38275">
        <v>7590413</v>
      </c>
      <c r="G38275" t="s">
        <v>6848</v>
      </c>
      <c r="H38275" s="21">
        <v>480.67</v>
      </c>
    </row>
    <row r="38276" spans="1:8" customFormat="1" x14ac:dyDescent="0.25">
      <c r="A38276" t="str">
        <f>"4916957"</f>
        <v>4916957</v>
      </c>
      <c r="B38276" t="s">
        <v>2240</v>
      </c>
      <c r="C38276" t="s">
        <v>768</v>
      </c>
      <c r="D38276" s="21" t="s">
        <v>34</v>
      </c>
      <c r="E38276" s="21" t="s">
        <v>71</v>
      </c>
      <c r="F38276">
        <v>12490043</v>
      </c>
      <c r="G38276" t="s">
        <v>6008</v>
      </c>
      <c r="H38276" s="21">
        <v>480.67</v>
      </c>
    </row>
    <row r="38277" spans="1:8" customFormat="1" x14ac:dyDescent="0.25">
      <c r="A38277" t="str">
        <f>"7882684"</f>
        <v>7882684</v>
      </c>
      <c r="B38277" t="s">
        <v>1886</v>
      </c>
      <c r="C38277" t="s">
        <v>130</v>
      </c>
      <c r="D38277" s="21" t="s">
        <v>34</v>
      </c>
      <c r="E38277" s="21" t="s">
        <v>35</v>
      </c>
      <c r="F38277">
        <v>8780447</v>
      </c>
      <c r="G38277" t="s">
        <v>9215</v>
      </c>
      <c r="H38277" s="21">
        <v>480.62</v>
      </c>
    </row>
    <row r="38278" spans="1:8" customFormat="1" x14ac:dyDescent="0.25">
      <c r="A38278" t="str">
        <f>"2719612"</f>
        <v>2719612</v>
      </c>
      <c r="B38278" t="s">
        <v>624</v>
      </c>
      <c r="C38278" t="s">
        <v>507</v>
      </c>
      <c r="D38278" s="21" t="s">
        <v>34</v>
      </c>
      <c r="E38278" s="21" t="s">
        <v>71</v>
      </c>
      <c r="F38278">
        <v>9270139</v>
      </c>
      <c r="G38278" t="s">
        <v>6955</v>
      </c>
      <c r="H38278" s="21">
        <v>480.62</v>
      </c>
    </row>
    <row r="38279" spans="1:8" customFormat="1" x14ac:dyDescent="0.25">
      <c r="A38279" t="str">
        <f>"9523519"</f>
        <v>9523519</v>
      </c>
      <c r="B38279" t="s">
        <v>5656</v>
      </c>
      <c r="C38279" t="s">
        <v>598</v>
      </c>
      <c r="D38279" s="21" t="s">
        <v>34</v>
      </c>
      <c r="E38279" s="21" t="s">
        <v>6185</v>
      </c>
      <c r="F38279">
        <v>8951452</v>
      </c>
      <c r="G38279" t="s">
        <v>9763</v>
      </c>
      <c r="H38279" s="21">
        <v>480.62</v>
      </c>
    </row>
    <row r="38280" spans="1:8" customFormat="1" x14ac:dyDescent="0.25">
      <c r="A38280" t="str">
        <f>"535533"</f>
        <v>535533</v>
      </c>
      <c r="B38280" t="s">
        <v>14750</v>
      </c>
      <c r="C38280" t="s">
        <v>598</v>
      </c>
      <c r="D38280" s="21" t="s">
        <v>34</v>
      </c>
      <c r="E38280" s="21" t="s">
        <v>71</v>
      </c>
      <c r="F38280">
        <v>12530106</v>
      </c>
      <c r="G38280" t="s">
        <v>27079</v>
      </c>
      <c r="H38280" s="21">
        <v>480.5</v>
      </c>
    </row>
    <row r="38281" spans="1:8" customFormat="1" x14ac:dyDescent="0.25">
      <c r="A38281" t="str">
        <f>"2220567"</f>
        <v>2220567</v>
      </c>
      <c r="B38281" t="s">
        <v>29574</v>
      </c>
      <c r="C38281" t="s">
        <v>2730</v>
      </c>
      <c r="D38281" s="21" t="s">
        <v>34</v>
      </c>
      <c r="E38281" s="21" t="s">
        <v>35</v>
      </c>
      <c r="F38281">
        <v>3220132</v>
      </c>
      <c r="G38281" t="s">
        <v>27242</v>
      </c>
      <c r="H38281" s="21">
        <v>480.5</v>
      </c>
    </row>
    <row r="38282" spans="1:8" customFormat="1" x14ac:dyDescent="0.25">
      <c r="A38282" t="str">
        <f>"5321121"</f>
        <v>5321121</v>
      </c>
      <c r="B38282" t="s">
        <v>21355</v>
      </c>
      <c r="C38282" t="s">
        <v>114</v>
      </c>
      <c r="D38282" s="21" t="s">
        <v>34</v>
      </c>
      <c r="E38282" s="21" t="s">
        <v>71</v>
      </c>
      <c r="F38282">
        <v>12530015</v>
      </c>
      <c r="G38282" t="s">
        <v>18217</v>
      </c>
      <c r="H38282" s="21">
        <v>480.5</v>
      </c>
    </row>
    <row r="38283" spans="1:8" customFormat="1" x14ac:dyDescent="0.25">
      <c r="A38283" t="str">
        <f>"9311839"</f>
        <v>9311839</v>
      </c>
      <c r="B38283" t="s">
        <v>29575</v>
      </c>
      <c r="C38283" t="s">
        <v>169</v>
      </c>
      <c r="D38283" s="21" t="s">
        <v>34</v>
      </c>
      <c r="E38283" s="21" t="s">
        <v>254</v>
      </c>
      <c r="F38283">
        <v>8931313</v>
      </c>
      <c r="G38283" t="s">
        <v>3305</v>
      </c>
      <c r="H38283" s="21">
        <v>480.5</v>
      </c>
    </row>
    <row r="38284" spans="1:8" customFormat="1" x14ac:dyDescent="0.25">
      <c r="A38284" t="str">
        <f>"062361"</f>
        <v>062361</v>
      </c>
      <c r="B38284" t="s">
        <v>6609</v>
      </c>
      <c r="C38284" t="s">
        <v>130</v>
      </c>
      <c r="D38284" s="21" t="s">
        <v>34</v>
      </c>
      <c r="E38284" s="21" t="s">
        <v>254</v>
      </c>
      <c r="F38284">
        <v>13060080</v>
      </c>
      <c r="G38284" t="s">
        <v>14998</v>
      </c>
      <c r="H38284" s="21">
        <v>480.5</v>
      </c>
    </row>
    <row r="38285" spans="1:8" customFormat="1" x14ac:dyDescent="0.25">
      <c r="A38285" t="str">
        <f>"7520164"</f>
        <v>7520164</v>
      </c>
      <c r="B38285" t="s">
        <v>8926</v>
      </c>
      <c r="C38285" t="s">
        <v>124</v>
      </c>
      <c r="D38285" s="21" t="s">
        <v>34</v>
      </c>
      <c r="E38285" s="21" t="s">
        <v>254</v>
      </c>
      <c r="F38285">
        <v>8750074</v>
      </c>
      <c r="G38285" t="s">
        <v>698</v>
      </c>
      <c r="H38285" s="21">
        <v>480.5</v>
      </c>
    </row>
    <row r="38286" spans="1:8" customFormat="1" x14ac:dyDescent="0.25">
      <c r="A38286" t="str">
        <f>"3117671"</f>
        <v>3117671</v>
      </c>
      <c r="B38286" t="s">
        <v>503</v>
      </c>
      <c r="C38286" t="s">
        <v>415</v>
      </c>
      <c r="D38286" s="21" t="s">
        <v>34</v>
      </c>
      <c r="E38286" s="21" t="s">
        <v>71</v>
      </c>
      <c r="F38286">
        <v>11310131</v>
      </c>
      <c r="G38286" t="s">
        <v>16303</v>
      </c>
      <c r="H38286" s="21">
        <v>480.5</v>
      </c>
    </row>
    <row r="38287" spans="1:8" customFormat="1" x14ac:dyDescent="0.25">
      <c r="A38287" t="str">
        <f>"653290"</f>
        <v>653290</v>
      </c>
      <c r="B38287" t="s">
        <v>1347</v>
      </c>
      <c r="C38287" t="s">
        <v>169</v>
      </c>
      <c r="D38287" s="21" t="s">
        <v>34</v>
      </c>
      <c r="E38287" s="21" t="s">
        <v>35</v>
      </c>
      <c r="F38287">
        <v>11650026</v>
      </c>
      <c r="G38287" t="s">
        <v>13114</v>
      </c>
      <c r="H38287" s="21">
        <v>480.5</v>
      </c>
    </row>
    <row r="38288" spans="1:8" customFormat="1" x14ac:dyDescent="0.25">
      <c r="A38288" t="str">
        <f>"6726364"</f>
        <v>6726364</v>
      </c>
      <c r="B38288" t="s">
        <v>29576</v>
      </c>
      <c r="C38288" t="s">
        <v>3115</v>
      </c>
      <c r="D38288" s="21" t="s">
        <v>34</v>
      </c>
      <c r="E38288" s="21" t="s">
        <v>35</v>
      </c>
      <c r="F38288">
        <v>6670014</v>
      </c>
      <c r="G38288" t="s">
        <v>4258</v>
      </c>
      <c r="H38288" s="21">
        <v>480.5</v>
      </c>
    </row>
    <row r="38289" spans="1:8" customFormat="1" x14ac:dyDescent="0.25">
      <c r="A38289" t="str">
        <f>"9310080"</f>
        <v>9310080</v>
      </c>
      <c r="B38289" t="s">
        <v>24754</v>
      </c>
      <c r="C38289" t="s">
        <v>24755</v>
      </c>
      <c r="D38289" s="21" t="s">
        <v>34</v>
      </c>
      <c r="E38289" s="21" t="s">
        <v>254</v>
      </c>
      <c r="F38289">
        <v>8931032</v>
      </c>
      <c r="G38289" t="s">
        <v>10451</v>
      </c>
      <c r="H38289" s="21">
        <v>480.5</v>
      </c>
    </row>
    <row r="38290" spans="1:8" customFormat="1" x14ac:dyDescent="0.25">
      <c r="A38290" t="str">
        <f>"9454163"</f>
        <v>9454163</v>
      </c>
      <c r="B38290" t="s">
        <v>24310</v>
      </c>
      <c r="C38290" t="s">
        <v>249</v>
      </c>
      <c r="D38290" s="21" t="s">
        <v>34</v>
      </c>
      <c r="E38290" s="21" t="s">
        <v>35</v>
      </c>
      <c r="F38290">
        <v>8941461</v>
      </c>
      <c r="G38290" t="s">
        <v>10447</v>
      </c>
      <c r="H38290" s="21">
        <v>480.5</v>
      </c>
    </row>
    <row r="38291" spans="1:8" customFormat="1" x14ac:dyDescent="0.25">
      <c r="A38291" t="str">
        <f>"5980321"</f>
        <v>5980321</v>
      </c>
      <c r="B38291" t="s">
        <v>29577</v>
      </c>
      <c r="C38291" t="s">
        <v>275</v>
      </c>
      <c r="D38291" s="21" t="s">
        <v>34</v>
      </c>
      <c r="E38291" s="21" t="s">
        <v>35</v>
      </c>
      <c r="F38291">
        <v>7590116</v>
      </c>
      <c r="G38291" t="s">
        <v>11019</v>
      </c>
      <c r="H38291" s="21">
        <v>480.5</v>
      </c>
    </row>
    <row r="38292" spans="1:8" customFormat="1" x14ac:dyDescent="0.25">
      <c r="A38292" t="str">
        <f>"668400"</f>
        <v>668400</v>
      </c>
      <c r="B38292" t="s">
        <v>3947</v>
      </c>
      <c r="C38292" t="s">
        <v>249</v>
      </c>
      <c r="D38292" s="21" t="s">
        <v>34</v>
      </c>
      <c r="E38292" s="21" t="s">
        <v>71</v>
      </c>
      <c r="F38292">
        <v>11660003</v>
      </c>
      <c r="G38292" t="s">
        <v>5188</v>
      </c>
      <c r="H38292" s="21">
        <v>480.5</v>
      </c>
    </row>
    <row r="38293" spans="1:8" customFormat="1" x14ac:dyDescent="0.25">
      <c r="A38293" t="str">
        <f>"9459002"</f>
        <v>9459002</v>
      </c>
      <c r="B38293" t="s">
        <v>18074</v>
      </c>
      <c r="C38293" t="s">
        <v>13592</v>
      </c>
      <c r="D38293" s="21" t="s">
        <v>34</v>
      </c>
      <c r="E38293" s="21" t="s">
        <v>254</v>
      </c>
      <c r="F38293">
        <v>8940976</v>
      </c>
      <c r="G38293" t="s">
        <v>615</v>
      </c>
      <c r="H38293" s="21">
        <v>480.5</v>
      </c>
    </row>
    <row r="38294" spans="1:8" customFormat="1" x14ac:dyDescent="0.25">
      <c r="A38294" t="str">
        <f>"62554"</f>
        <v>62554</v>
      </c>
      <c r="B38294" t="s">
        <v>6487</v>
      </c>
      <c r="C38294" t="s">
        <v>2693</v>
      </c>
      <c r="D38294" s="21" t="s">
        <v>34</v>
      </c>
      <c r="E38294" s="21" t="s">
        <v>1089</v>
      </c>
      <c r="F38294">
        <v>7620032</v>
      </c>
      <c r="G38294" t="s">
        <v>11181</v>
      </c>
      <c r="H38294" s="21">
        <v>480.5</v>
      </c>
    </row>
    <row r="38295" spans="1:8" customFormat="1" x14ac:dyDescent="0.25">
      <c r="A38295" t="str">
        <f>"8018407"</f>
        <v>8018407</v>
      </c>
      <c r="B38295" t="s">
        <v>1056</v>
      </c>
      <c r="C38295" t="s">
        <v>879</v>
      </c>
      <c r="D38295" s="21" t="s">
        <v>34</v>
      </c>
      <c r="E38295" s="21" t="s">
        <v>71</v>
      </c>
      <c r="F38295">
        <v>7800005</v>
      </c>
      <c r="G38295" t="s">
        <v>6547</v>
      </c>
      <c r="H38295" s="21">
        <v>480.5</v>
      </c>
    </row>
    <row r="38296" spans="1:8" customFormat="1" x14ac:dyDescent="0.25">
      <c r="A38296" t="str">
        <f>"5969061"</f>
        <v>5969061</v>
      </c>
      <c r="B38296" t="s">
        <v>108</v>
      </c>
      <c r="C38296" t="s">
        <v>40</v>
      </c>
      <c r="D38296" s="21" t="s">
        <v>34</v>
      </c>
      <c r="E38296" s="21" t="s">
        <v>254</v>
      </c>
      <c r="F38296">
        <v>7590361</v>
      </c>
      <c r="G38296" t="s">
        <v>3071</v>
      </c>
      <c r="H38296" s="21">
        <v>480.5</v>
      </c>
    </row>
    <row r="38297" spans="1:8" customFormat="1" x14ac:dyDescent="0.25">
      <c r="A38297" t="str">
        <f>"3729591"</f>
        <v>3729591</v>
      </c>
      <c r="B38297" t="s">
        <v>2082</v>
      </c>
      <c r="C38297" t="s">
        <v>33</v>
      </c>
      <c r="D38297" s="21" t="s">
        <v>34</v>
      </c>
      <c r="E38297" s="21" t="s">
        <v>71</v>
      </c>
      <c r="F38297">
        <v>4370478</v>
      </c>
      <c r="G38297" t="s">
        <v>4735</v>
      </c>
      <c r="H38297" s="21">
        <v>480.5</v>
      </c>
    </row>
    <row r="38298" spans="1:8" customFormat="1" x14ac:dyDescent="0.25">
      <c r="A38298" t="str">
        <f>"85596"</f>
        <v>85596</v>
      </c>
      <c r="B38298" t="s">
        <v>14464</v>
      </c>
      <c r="C38298" t="s">
        <v>1665</v>
      </c>
      <c r="D38298" s="21" t="s">
        <v>34</v>
      </c>
      <c r="E38298" s="21" t="s">
        <v>1089</v>
      </c>
      <c r="F38298">
        <v>12850026</v>
      </c>
      <c r="G38298" t="s">
        <v>1400</v>
      </c>
      <c r="H38298" s="21">
        <v>480.5</v>
      </c>
    </row>
    <row r="38299" spans="1:8" customFormat="1" x14ac:dyDescent="0.25">
      <c r="A38299" t="str">
        <f>"9536707"</f>
        <v>9536707</v>
      </c>
      <c r="B38299" t="s">
        <v>4564</v>
      </c>
      <c r="C38299" t="s">
        <v>209</v>
      </c>
      <c r="D38299" s="21" t="s">
        <v>34</v>
      </c>
      <c r="E38299" s="21" t="s">
        <v>71</v>
      </c>
      <c r="F38299">
        <v>8950103</v>
      </c>
      <c r="G38299" t="s">
        <v>440</v>
      </c>
      <c r="H38299" s="21">
        <v>480.5</v>
      </c>
    </row>
    <row r="38300" spans="1:8" customFormat="1" x14ac:dyDescent="0.25">
      <c r="A38300" t="str">
        <f>"3345920"</f>
        <v>3345920</v>
      </c>
      <c r="B38300" t="s">
        <v>29578</v>
      </c>
      <c r="C38300" t="s">
        <v>55</v>
      </c>
      <c r="D38300" s="21" t="s">
        <v>34</v>
      </c>
      <c r="E38300" s="21" t="s">
        <v>71</v>
      </c>
      <c r="F38300">
        <v>10330093</v>
      </c>
      <c r="G38300" t="s">
        <v>8324</v>
      </c>
      <c r="H38300" s="21">
        <v>480.5</v>
      </c>
    </row>
    <row r="38301" spans="1:8" customFormat="1" x14ac:dyDescent="0.25">
      <c r="A38301" t="str">
        <f>"3344391"</f>
        <v>3344391</v>
      </c>
      <c r="B38301" t="s">
        <v>29579</v>
      </c>
      <c r="C38301" t="s">
        <v>285</v>
      </c>
      <c r="D38301" s="21" t="s">
        <v>34</v>
      </c>
      <c r="E38301" s="21" t="s">
        <v>35</v>
      </c>
      <c r="F38301">
        <v>10330084</v>
      </c>
      <c r="G38301" t="s">
        <v>1124</v>
      </c>
      <c r="H38301" s="21">
        <v>480.5</v>
      </c>
    </row>
    <row r="38302" spans="1:8" customFormat="1" x14ac:dyDescent="0.25">
      <c r="A38302" t="str">
        <f>"8529006"</f>
        <v>8529006</v>
      </c>
      <c r="B38302" t="s">
        <v>430</v>
      </c>
      <c r="C38302" t="s">
        <v>415</v>
      </c>
      <c r="D38302" s="21" t="s">
        <v>34</v>
      </c>
      <c r="E38302" s="21" t="s">
        <v>71</v>
      </c>
      <c r="F38302">
        <v>12850015</v>
      </c>
      <c r="G38302" t="s">
        <v>4076</v>
      </c>
      <c r="H38302" s="21">
        <v>480.5</v>
      </c>
    </row>
    <row r="38303" spans="1:8" customFormat="1" x14ac:dyDescent="0.25">
      <c r="A38303" t="str">
        <f>"3118541"</f>
        <v>3118541</v>
      </c>
      <c r="B38303" t="s">
        <v>24588</v>
      </c>
      <c r="C38303" t="s">
        <v>98</v>
      </c>
      <c r="D38303" s="21" t="s">
        <v>34</v>
      </c>
      <c r="E38303" s="21" t="s">
        <v>35</v>
      </c>
      <c r="F38303">
        <v>11310006</v>
      </c>
      <c r="G38303" t="s">
        <v>419</v>
      </c>
      <c r="H38303" s="21">
        <v>480.42</v>
      </c>
    </row>
    <row r="38304" spans="1:8" customFormat="1" x14ac:dyDescent="0.25">
      <c r="A38304" t="str">
        <f>"113921"</f>
        <v>113921</v>
      </c>
      <c r="B38304" t="s">
        <v>7666</v>
      </c>
      <c r="C38304" t="s">
        <v>236</v>
      </c>
      <c r="D38304" s="21" t="s">
        <v>34</v>
      </c>
      <c r="E38304" s="21" t="s">
        <v>35</v>
      </c>
      <c r="F38304">
        <v>11120045</v>
      </c>
      <c r="G38304" t="s">
        <v>13082</v>
      </c>
      <c r="H38304" s="21">
        <v>480.38</v>
      </c>
    </row>
    <row r="38305" spans="1:8" customFormat="1" x14ac:dyDescent="0.25">
      <c r="A38305" t="str">
        <f>"4529492"</f>
        <v>4529492</v>
      </c>
      <c r="B38305" t="s">
        <v>28827</v>
      </c>
      <c r="C38305" t="s">
        <v>55</v>
      </c>
      <c r="D38305" s="21" t="s">
        <v>34</v>
      </c>
      <c r="E38305" s="21" t="s">
        <v>254</v>
      </c>
      <c r="F38305">
        <v>4450576</v>
      </c>
      <c r="G38305" t="s">
        <v>26857</v>
      </c>
      <c r="H38305" s="21">
        <v>480.25</v>
      </c>
    </row>
    <row r="38306" spans="1:8" customFormat="1" x14ac:dyDescent="0.25">
      <c r="A38306" t="str">
        <f>"9130725"</f>
        <v>9130725</v>
      </c>
      <c r="B38306" t="s">
        <v>5431</v>
      </c>
      <c r="C38306" t="s">
        <v>1025</v>
      </c>
      <c r="D38306" s="21" t="s">
        <v>34</v>
      </c>
      <c r="E38306" s="21" t="s">
        <v>254</v>
      </c>
      <c r="F38306">
        <v>8911368</v>
      </c>
      <c r="G38306" t="s">
        <v>12227</v>
      </c>
      <c r="H38306" s="21">
        <v>480.17</v>
      </c>
    </row>
    <row r="38307" spans="1:8" customFormat="1" x14ac:dyDescent="0.25">
      <c r="A38307" t="str">
        <f>"5019919"</f>
        <v>5019919</v>
      </c>
      <c r="B38307" t="s">
        <v>21510</v>
      </c>
      <c r="C38307" t="s">
        <v>934</v>
      </c>
      <c r="D38307" s="21" t="s">
        <v>34</v>
      </c>
      <c r="E38307" s="21" t="s">
        <v>35</v>
      </c>
      <c r="F38307">
        <v>9500048</v>
      </c>
      <c r="G38307" t="s">
        <v>1804</v>
      </c>
      <c r="H38307" s="21">
        <v>480.17</v>
      </c>
    </row>
    <row r="38308" spans="1:8" customFormat="1" x14ac:dyDescent="0.25">
      <c r="A38308" t="str">
        <f>"434355"</f>
        <v>434355</v>
      </c>
      <c r="B38308" t="s">
        <v>24803</v>
      </c>
      <c r="C38308" t="s">
        <v>60</v>
      </c>
      <c r="D38308" s="21" t="s">
        <v>34</v>
      </c>
      <c r="E38308" s="21" t="s">
        <v>35</v>
      </c>
      <c r="F38308">
        <v>1420237</v>
      </c>
      <c r="G38308" t="s">
        <v>8284</v>
      </c>
      <c r="H38308" s="21">
        <v>480.12</v>
      </c>
    </row>
    <row r="38309" spans="1:8" customFormat="1" x14ac:dyDescent="0.25">
      <c r="A38309" t="str">
        <f>"7834052"</f>
        <v>7834052</v>
      </c>
      <c r="B38309" t="s">
        <v>10550</v>
      </c>
      <c r="C38309" t="s">
        <v>169</v>
      </c>
      <c r="D38309" s="21" t="s">
        <v>34</v>
      </c>
      <c r="E38309" s="21" t="s">
        <v>71</v>
      </c>
      <c r="F38309">
        <v>8951452</v>
      </c>
      <c r="G38309" t="s">
        <v>9763</v>
      </c>
      <c r="H38309" s="21">
        <v>480.12</v>
      </c>
    </row>
    <row r="38310" spans="1:8" customFormat="1" x14ac:dyDescent="0.25">
      <c r="A38310" t="str">
        <f>"3722205"</f>
        <v>3722205</v>
      </c>
      <c r="B38310" t="s">
        <v>24496</v>
      </c>
      <c r="C38310" t="s">
        <v>547</v>
      </c>
      <c r="D38310" s="21" t="s">
        <v>34</v>
      </c>
      <c r="E38310" s="21" t="s">
        <v>1089</v>
      </c>
      <c r="F38310">
        <v>4370637</v>
      </c>
      <c r="G38310" t="s">
        <v>3941</v>
      </c>
      <c r="H38310" s="21">
        <v>480</v>
      </c>
    </row>
    <row r="38311" spans="1:8" customFormat="1" x14ac:dyDescent="0.25">
      <c r="A38311" t="str">
        <f>"152455"</f>
        <v>152455</v>
      </c>
      <c r="B38311" t="s">
        <v>29580</v>
      </c>
      <c r="C38311" t="s">
        <v>598</v>
      </c>
      <c r="D38311" s="21" t="s">
        <v>34</v>
      </c>
      <c r="E38311" s="21" t="s">
        <v>254</v>
      </c>
      <c r="F38311">
        <v>1630005</v>
      </c>
      <c r="G38311" t="s">
        <v>8825</v>
      </c>
      <c r="H38311" s="21">
        <v>480</v>
      </c>
    </row>
    <row r="38312" spans="1:8" customFormat="1" x14ac:dyDescent="0.25">
      <c r="A38312" t="str">
        <f>"324763"</f>
        <v>324763</v>
      </c>
      <c r="B38312" t="s">
        <v>24778</v>
      </c>
      <c r="C38312" t="s">
        <v>114</v>
      </c>
      <c r="D38312" s="21" t="s">
        <v>34</v>
      </c>
      <c r="E38312" s="21" t="s">
        <v>71</v>
      </c>
      <c r="F38312">
        <v>11320033</v>
      </c>
      <c r="G38312" t="s">
        <v>8133</v>
      </c>
      <c r="H38312" s="21">
        <v>480</v>
      </c>
    </row>
    <row r="38313" spans="1:8" customFormat="1" x14ac:dyDescent="0.25">
      <c r="A38313" t="str">
        <f>"6947260"</f>
        <v>6947260</v>
      </c>
      <c r="B38313" t="s">
        <v>22744</v>
      </c>
      <c r="C38313" t="s">
        <v>926</v>
      </c>
      <c r="D38313" s="21" t="s">
        <v>34</v>
      </c>
      <c r="E38313" s="21" t="s">
        <v>1089</v>
      </c>
      <c r="F38313">
        <v>1690167</v>
      </c>
      <c r="G38313" t="s">
        <v>11267</v>
      </c>
      <c r="H38313" s="21">
        <v>480</v>
      </c>
    </row>
    <row r="38314" spans="1:8" customFormat="1" x14ac:dyDescent="0.25">
      <c r="A38314" t="str">
        <f>"368079"</f>
        <v>368079</v>
      </c>
      <c r="B38314" t="s">
        <v>146</v>
      </c>
      <c r="C38314" t="s">
        <v>65</v>
      </c>
      <c r="D38314" s="21" t="s">
        <v>34</v>
      </c>
      <c r="E38314" s="21" t="s">
        <v>35</v>
      </c>
      <c r="F38314">
        <v>4360707</v>
      </c>
      <c r="G38314" t="s">
        <v>6621</v>
      </c>
      <c r="H38314" s="21">
        <v>480</v>
      </c>
    </row>
    <row r="38315" spans="1:8" customFormat="1" x14ac:dyDescent="0.25">
      <c r="A38315" t="str">
        <f>"4932912"</f>
        <v>4932912</v>
      </c>
      <c r="B38315" t="s">
        <v>14808</v>
      </c>
      <c r="C38315" t="s">
        <v>202</v>
      </c>
      <c r="D38315" s="21" t="s">
        <v>34</v>
      </c>
      <c r="E38315" s="21" t="s">
        <v>254</v>
      </c>
      <c r="F38315">
        <v>12490055</v>
      </c>
      <c r="G38315" t="s">
        <v>12099</v>
      </c>
      <c r="H38315" s="21">
        <v>480</v>
      </c>
    </row>
    <row r="38316" spans="1:8" customFormat="1" x14ac:dyDescent="0.25">
      <c r="A38316" t="str">
        <f>"5432406"</f>
        <v>5432406</v>
      </c>
      <c r="B38316" t="s">
        <v>3200</v>
      </c>
      <c r="C38316" t="s">
        <v>453</v>
      </c>
      <c r="D38316" s="21" t="s">
        <v>34</v>
      </c>
      <c r="E38316" s="21" t="s">
        <v>71</v>
      </c>
      <c r="F38316">
        <v>6540055</v>
      </c>
      <c r="G38316" t="s">
        <v>9080</v>
      </c>
      <c r="H38316" s="21">
        <v>480</v>
      </c>
    </row>
    <row r="38317" spans="1:8" customFormat="1" x14ac:dyDescent="0.25">
      <c r="A38317" t="str">
        <f>"9519796"</f>
        <v>9519796</v>
      </c>
      <c r="B38317" t="s">
        <v>23232</v>
      </c>
      <c r="C38317" t="s">
        <v>415</v>
      </c>
      <c r="D38317" s="21" t="s">
        <v>34</v>
      </c>
      <c r="E38317" s="21" t="s">
        <v>254</v>
      </c>
      <c r="F38317">
        <v>8951386</v>
      </c>
      <c r="G38317" t="s">
        <v>7765</v>
      </c>
      <c r="H38317" s="21">
        <v>480</v>
      </c>
    </row>
    <row r="38318" spans="1:8" customFormat="1" x14ac:dyDescent="0.25">
      <c r="A38318" t="str">
        <f>"591956"</f>
        <v>591956</v>
      </c>
      <c r="B38318" t="s">
        <v>24530</v>
      </c>
      <c r="C38318" t="s">
        <v>3784</v>
      </c>
      <c r="D38318" s="21" t="s">
        <v>34</v>
      </c>
      <c r="E38318" s="21" t="s">
        <v>1089</v>
      </c>
      <c r="F38318">
        <v>7590087</v>
      </c>
      <c r="G38318" t="s">
        <v>2112</v>
      </c>
      <c r="H38318" s="21">
        <v>480</v>
      </c>
    </row>
    <row r="38319" spans="1:8" customFormat="1" x14ac:dyDescent="0.25">
      <c r="A38319" t="str">
        <f>"8013250"</f>
        <v>8013250</v>
      </c>
      <c r="B38319" t="s">
        <v>22865</v>
      </c>
      <c r="C38319" t="s">
        <v>3784</v>
      </c>
      <c r="D38319" s="21" t="s">
        <v>34</v>
      </c>
      <c r="E38319" s="21" t="s">
        <v>254</v>
      </c>
      <c r="F38319">
        <v>7800013</v>
      </c>
      <c r="G38319" t="s">
        <v>10778</v>
      </c>
      <c r="H38319" s="21">
        <v>480</v>
      </c>
    </row>
    <row r="38320" spans="1:8" customFormat="1" x14ac:dyDescent="0.25">
      <c r="A38320" t="str">
        <f>"6949468"</f>
        <v>6949468</v>
      </c>
      <c r="B38320" t="s">
        <v>17282</v>
      </c>
      <c r="C38320" t="s">
        <v>169</v>
      </c>
      <c r="D38320" s="21" t="s">
        <v>34</v>
      </c>
      <c r="E38320" s="21" t="s">
        <v>35</v>
      </c>
      <c r="F38320">
        <v>1690162</v>
      </c>
      <c r="G38320" t="s">
        <v>7358</v>
      </c>
      <c r="H38320" s="21">
        <v>480</v>
      </c>
    </row>
    <row r="38321" spans="1:8" customFormat="1" x14ac:dyDescent="0.25">
      <c r="A38321" t="str">
        <f>"6814566"</f>
        <v>6814566</v>
      </c>
      <c r="B38321" t="s">
        <v>17305</v>
      </c>
      <c r="C38321" t="s">
        <v>269</v>
      </c>
      <c r="D38321" s="21" t="s">
        <v>34</v>
      </c>
      <c r="E38321" s="21" t="s">
        <v>71</v>
      </c>
      <c r="F38321">
        <v>6680006</v>
      </c>
      <c r="G38321" t="s">
        <v>5266</v>
      </c>
      <c r="H38321" s="21">
        <v>480</v>
      </c>
    </row>
    <row r="38322" spans="1:8" customFormat="1" x14ac:dyDescent="0.25">
      <c r="A38322" t="str">
        <f>"9450470"</f>
        <v>9450470</v>
      </c>
      <c r="B38322" t="s">
        <v>14129</v>
      </c>
      <c r="C38322" t="s">
        <v>249</v>
      </c>
      <c r="D38322" s="21" t="s">
        <v>34</v>
      </c>
      <c r="E38322" s="21" t="s">
        <v>71</v>
      </c>
      <c r="F38322">
        <v>8940459</v>
      </c>
      <c r="G38322" t="s">
        <v>743</v>
      </c>
      <c r="H38322" s="21">
        <v>480</v>
      </c>
    </row>
    <row r="38323" spans="1:8" customFormat="1" x14ac:dyDescent="0.25">
      <c r="A38323" t="str">
        <f>"2721458"</f>
        <v>2721458</v>
      </c>
      <c r="B38323" t="s">
        <v>11777</v>
      </c>
      <c r="C38323" t="s">
        <v>415</v>
      </c>
      <c r="D38323" s="21" t="s">
        <v>34</v>
      </c>
      <c r="E38323" s="21" t="s">
        <v>254</v>
      </c>
      <c r="F38323">
        <v>9270148</v>
      </c>
      <c r="G38323" t="s">
        <v>8058</v>
      </c>
      <c r="H38323" s="21">
        <v>480</v>
      </c>
    </row>
    <row r="38324" spans="1:8" customFormat="1" x14ac:dyDescent="0.25">
      <c r="A38324" t="str">
        <f>"705499"</f>
        <v>705499</v>
      </c>
      <c r="B38324" t="s">
        <v>3089</v>
      </c>
      <c r="C38324" t="s">
        <v>62</v>
      </c>
      <c r="D38324" s="21" t="s">
        <v>34</v>
      </c>
      <c r="E38324" s="21" t="s">
        <v>35</v>
      </c>
      <c r="F38324">
        <v>2700074</v>
      </c>
      <c r="G38324" t="s">
        <v>27108</v>
      </c>
      <c r="H38324" s="21">
        <v>480</v>
      </c>
    </row>
    <row r="38325" spans="1:8" customFormat="1" x14ac:dyDescent="0.25">
      <c r="A38325" t="str">
        <f>"0211482"</f>
        <v>0211482</v>
      </c>
      <c r="B38325" t="s">
        <v>5728</v>
      </c>
      <c r="C38325" t="s">
        <v>817</v>
      </c>
      <c r="D38325" s="21" t="s">
        <v>34</v>
      </c>
      <c r="E38325" s="21" t="s">
        <v>254</v>
      </c>
      <c r="F38325">
        <v>7020015</v>
      </c>
      <c r="G38325" t="s">
        <v>1289</v>
      </c>
      <c r="H38325" s="21">
        <v>480</v>
      </c>
    </row>
    <row r="38326" spans="1:8" customFormat="1" x14ac:dyDescent="0.25">
      <c r="A38326" t="str">
        <f>"7214285"</f>
        <v>7214285</v>
      </c>
      <c r="B38326" t="s">
        <v>2032</v>
      </c>
      <c r="C38326" t="s">
        <v>253</v>
      </c>
      <c r="D38326" s="21" t="s">
        <v>34</v>
      </c>
      <c r="E38326" s="21" t="s">
        <v>254</v>
      </c>
      <c r="F38326">
        <v>12720005</v>
      </c>
      <c r="G38326" t="s">
        <v>999</v>
      </c>
      <c r="H38326" s="21">
        <v>480</v>
      </c>
    </row>
    <row r="38327" spans="1:8" customFormat="1" x14ac:dyDescent="0.25">
      <c r="A38327" t="str">
        <f>"5974900"</f>
        <v>5974900</v>
      </c>
      <c r="B38327" t="s">
        <v>23487</v>
      </c>
      <c r="C38327" t="s">
        <v>87</v>
      </c>
      <c r="D38327" s="21" t="s">
        <v>34</v>
      </c>
      <c r="E38327" s="21" t="s">
        <v>71</v>
      </c>
      <c r="F38327">
        <v>7590293</v>
      </c>
      <c r="G38327" t="s">
        <v>2431</v>
      </c>
      <c r="H38327" s="21">
        <v>480</v>
      </c>
    </row>
    <row r="38328" spans="1:8" customFormat="1" x14ac:dyDescent="0.25">
      <c r="A38328" t="str">
        <f>"4921519"</f>
        <v>4921519</v>
      </c>
      <c r="B38328" t="s">
        <v>3146</v>
      </c>
      <c r="C38328" t="s">
        <v>544</v>
      </c>
      <c r="D38328" s="21" t="s">
        <v>34</v>
      </c>
      <c r="E38328" s="21" t="s">
        <v>71</v>
      </c>
      <c r="F38328">
        <v>12490059</v>
      </c>
      <c r="G38328" t="s">
        <v>5063</v>
      </c>
      <c r="H38328" s="21">
        <v>480</v>
      </c>
    </row>
    <row r="38329" spans="1:8" customFormat="1" x14ac:dyDescent="0.25">
      <c r="A38329" t="str">
        <f>"2616855"</f>
        <v>2616855</v>
      </c>
      <c r="B38329" t="s">
        <v>797</v>
      </c>
      <c r="C38329" t="s">
        <v>130</v>
      </c>
      <c r="D38329" s="21" t="s">
        <v>34</v>
      </c>
      <c r="E38329" s="21" t="s">
        <v>254</v>
      </c>
      <c r="F38329">
        <v>1260071</v>
      </c>
      <c r="G38329" t="s">
        <v>798</v>
      </c>
      <c r="H38329" s="21">
        <v>480</v>
      </c>
    </row>
    <row r="38330" spans="1:8" customFormat="1" x14ac:dyDescent="0.25">
      <c r="A38330" t="str">
        <f>"9535724"</f>
        <v>9535724</v>
      </c>
      <c r="B38330" t="s">
        <v>24684</v>
      </c>
      <c r="C38330" t="s">
        <v>263</v>
      </c>
      <c r="D38330" s="21" t="s">
        <v>34</v>
      </c>
      <c r="E38330" s="21" t="s">
        <v>71</v>
      </c>
      <c r="F38330">
        <v>8951452</v>
      </c>
      <c r="G38330" t="s">
        <v>9763</v>
      </c>
      <c r="H38330" s="21">
        <v>479.88</v>
      </c>
    </row>
    <row r="38331" spans="1:8" customFormat="1" x14ac:dyDescent="0.25">
      <c r="A38331" t="str">
        <f>"9140935"</f>
        <v>9140935</v>
      </c>
      <c r="B38331" t="s">
        <v>24454</v>
      </c>
      <c r="C38331" t="s">
        <v>3784</v>
      </c>
      <c r="D38331" s="21" t="s">
        <v>34</v>
      </c>
      <c r="E38331" s="21" t="s">
        <v>254</v>
      </c>
      <c r="F38331">
        <v>8911439</v>
      </c>
      <c r="G38331" t="s">
        <v>3953</v>
      </c>
      <c r="H38331" s="21">
        <v>479.75</v>
      </c>
    </row>
    <row r="38332" spans="1:8" customFormat="1" x14ac:dyDescent="0.25">
      <c r="A38332" t="str">
        <f>"4528400"</f>
        <v>4528400</v>
      </c>
      <c r="B38332" t="s">
        <v>3634</v>
      </c>
      <c r="C38332" t="s">
        <v>1665</v>
      </c>
      <c r="D38332" s="21" t="s">
        <v>34</v>
      </c>
      <c r="E38332" s="21" t="s">
        <v>254</v>
      </c>
      <c r="F38332">
        <v>4450309</v>
      </c>
      <c r="G38332" t="s">
        <v>15692</v>
      </c>
      <c r="H38332" s="21">
        <v>479.75</v>
      </c>
    </row>
    <row r="38333" spans="1:8" customFormat="1" x14ac:dyDescent="0.25">
      <c r="A38333" t="str">
        <f>"7414813"</f>
        <v>7414813</v>
      </c>
      <c r="B38333" t="s">
        <v>29581</v>
      </c>
      <c r="C38333" t="s">
        <v>484</v>
      </c>
      <c r="D38333" s="21" t="s">
        <v>34</v>
      </c>
      <c r="E38333" s="21" t="s">
        <v>35</v>
      </c>
      <c r="F38333">
        <v>1740045</v>
      </c>
      <c r="G38333" t="s">
        <v>9857</v>
      </c>
      <c r="H38333" s="21">
        <v>479.75</v>
      </c>
    </row>
    <row r="38334" spans="1:8" customFormat="1" x14ac:dyDescent="0.25">
      <c r="A38334" t="str">
        <f>"2922010"</f>
        <v>2922010</v>
      </c>
      <c r="B38334" t="s">
        <v>503</v>
      </c>
      <c r="C38334" t="s">
        <v>269</v>
      </c>
      <c r="D38334" s="21" t="s">
        <v>34</v>
      </c>
      <c r="E38334" s="21" t="s">
        <v>71</v>
      </c>
      <c r="F38334">
        <v>3290229</v>
      </c>
      <c r="G38334" t="s">
        <v>408</v>
      </c>
      <c r="H38334" s="21">
        <v>479.67</v>
      </c>
    </row>
    <row r="38335" spans="1:8" customFormat="1" x14ac:dyDescent="0.25">
      <c r="A38335" t="str">
        <f>"9137729"</f>
        <v>9137729</v>
      </c>
      <c r="B38335" t="s">
        <v>29582</v>
      </c>
      <c r="C38335" t="s">
        <v>29583</v>
      </c>
      <c r="D38335" s="21" t="s">
        <v>34</v>
      </c>
      <c r="E38335" s="21" t="s">
        <v>35</v>
      </c>
      <c r="F38335">
        <v>8910004</v>
      </c>
      <c r="G38335" t="s">
        <v>9637</v>
      </c>
      <c r="H38335" s="21">
        <v>479.62</v>
      </c>
    </row>
    <row r="38336" spans="1:8" customFormat="1" x14ac:dyDescent="0.25">
      <c r="A38336" t="str">
        <f>"9252762"</f>
        <v>9252762</v>
      </c>
      <c r="B38336" t="s">
        <v>29584</v>
      </c>
      <c r="C38336" t="s">
        <v>33</v>
      </c>
      <c r="D38336" s="21" t="s">
        <v>34</v>
      </c>
      <c r="E38336" s="21" t="s">
        <v>35</v>
      </c>
      <c r="F38336">
        <v>8921190</v>
      </c>
      <c r="G38336" t="s">
        <v>810</v>
      </c>
      <c r="H38336" s="21">
        <v>479.5</v>
      </c>
    </row>
    <row r="38337" spans="1:8" customFormat="1" x14ac:dyDescent="0.25">
      <c r="A38337" t="str">
        <f>"7642317"</f>
        <v>7642317</v>
      </c>
      <c r="B38337" t="s">
        <v>25392</v>
      </c>
      <c r="C38337" t="s">
        <v>2072</v>
      </c>
      <c r="D38337" s="21" t="s">
        <v>34</v>
      </c>
      <c r="E38337" s="21" t="s">
        <v>71</v>
      </c>
      <c r="F38337">
        <v>9760127</v>
      </c>
      <c r="G38337" t="s">
        <v>7132</v>
      </c>
      <c r="H38337" s="21">
        <v>479.5</v>
      </c>
    </row>
    <row r="38338" spans="1:8" customFormat="1" x14ac:dyDescent="0.25">
      <c r="A38338" t="str">
        <f>"2112308"</f>
        <v>2112308</v>
      </c>
      <c r="B38338" t="s">
        <v>2139</v>
      </c>
      <c r="C38338" t="s">
        <v>598</v>
      </c>
      <c r="D38338" s="21" t="s">
        <v>34</v>
      </c>
      <c r="E38338" s="21" t="s">
        <v>35</v>
      </c>
      <c r="F38338">
        <v>2210059</v>
      </c>
      <c r="G38338" t="s">
        <v>3142</v>
      </c>
      <c r="H38338" s="21">
        <v>479.5</v>
      </c>
    </row>
    <row r="38339" spans="1:8" customFormat="1" x14ac:dyDescent="0.25">
      <c r="A38339" t="str">
        <f>"5982636"</f>
        <v>5982636</v>
      </c>
      <c r="B38339" t="s">
        <v>29585</v>
      </c>
      <c r="C38339" t="s">
        <v>55</v>
      </c>
      <c r="D38339" s="21" t="s">
        <v>34</v>
      </c>
      <c r="E38339" s="21" t="s">
        <v>71</v>
      </c>
      <c r="F38339">
        <v>7590428</v>
      </c>
      <c r="G38339" t="s">
        <v>27183</v>
      </c>
      <c r="H38339" s="21">
        <v>479.5</v>
      </c>
    </row>
    <row r="38340" spans="1:8" customFormat="1" x14ac:dyDescent="0.25">
      <c r="A38340" t="str">
        <f>"716755"</f>
        <v>716755</v>
      </c>
      <c r="B38340" t="s">
        <v>24622</v>
      </c>
      <c r="C38340" t="s">
        <v>547</v>
      </c>
      <c r="D38340" s="21" t="s">
        <v>34</v>
      </c>
      <c r="E38340" s="21" t="s">
        <v>254</v>
      </c>
      <c r="F38340">
        <v>2710067</v>
      </c>
      <c r="G38340" t="s">
        <v>284</v>
      </c>
      <c r="H38340" s="21">
        <v>479.5</v>
      </c>
    </row>
    <row r="38341" spans="1:8" customFormat="1" x14ac:dyDescent="0.25">
      <c r="A38341" t="str">
        <f>"6316753"</f>
        <v>6316753</v>
      </c>
      <c r="B38341" t="s">
        <v>24147</v>
      </c>
      <c r="C38341" t="s">
        <v>169</v>
      </c>
      <c r="D38341" s="21" t="s">
        <v>34</v>
      </c>
      <c r="E38341" s="21" t="s">
        <v>35</v>
      </c>
      <c r="F38341">
        <v>1630121</v>
      </c>
      <c r="G38341" t="s">
        <v>3663</v>
      </c>
      <c r="H38341" s="21">
        <v>479.5</v>
      </c>
    </row>
    <row r="38342" spans="1:8" customFormat="1" x14ac:dyDescent="0.25">
      <c r="A38342" t="str">
        <f>"9311981"</f>
        <v>9311981</v>
      </c>
      <c r="B38342" t="s">
        <v>20764</v>
      </c>
      <c r="C38342" t="s">
        <v>23085</v>
      </c>
      <c r="D38342" s="21" t="s">
        <v>34</v>
      </c>
      <c r="E38342" s="21" t="s">
        <v>254</v>
      </c>
      <c r="F38342">
        <v>8931320</v>
      </c>
      <c r="G38342" t="s">
        <v>1537</v>
      </c>
      <c r="H38342" s="21">
        <v>479.5</v>
      </c>
    </row>
    <row r="38343" spans="1:8" customFormat="1" x14ac:dyDescent="0.25">
      <c r="A38343" t="str">
        <f>"5973657"</f>
        <v>5973657</v>
      </c>
      <c r="B38343" t="s">
        <v>10008</v>
      </c>
      <c r="C38343" t="s">
        <v>1146</v>
      </c>
      <c r="D38343" s="21" t="s">
        <v>34</v>
      </c>
      <c r="E38343" s="21" t="s">
        <v>254</v>
      </c>
      <c r="F38343">
        <v>7590054</v>
      </c>
      <c r="G38343" t="s">
        <v>12599</v>
      </c>
      <c r="H38343" s="21">
        <v>479.5</v>
      </c>
    </row>
    <row r="38344" spans="1:8" customFormat="1" x14ac:dyDescent="0.25">
      <c r="A38344" t="str">
        <f>"124955"</f>
        <v>124955</v>
      </c>
      <c r="B38344" t="s">
        <v>23682</v>
      </c>
      <c r="C38344" t="s">
        <v>239</v>
      </c>
      <c r="D38344" s="21" t="s">
        <v>34</v>
      </c>
      <c r="E38344" s="21" t="s">
        <v>254</v>
      </c>
      <c r="F38344">
        <v>11120045</v>
      </c>
      <c r="G38344" t="s">
        <v>13082</v>
      </c>
      <c r="H38344" s="21">
        <v>479.5</v>
      </c>
    </row>
    <row r="38345" spans="1:8" customFormat="1" x14ac:dyDescent="0.25">
      <c r="A38345" t="str">
        <f>"6724814"</f>
        <v>6724814</v>
      </c>
      <c r="B38345" t="s">
        <v>29586</v>
      </c>
      <c r="C38345" t="s">
        <v>3073</v>
      </c>
      <c r="D38345" s="21" t="s">
        <v>34</v>
      </c>
      <c r="E38345" s="21" t="s">
        <v>71</v>
      </c>
      <c r="F38345">
        <v>6670272</v>
      </c>
      <c r="G38345" t="s">
        <v>26568</v>
      </c>
      <c r="H38345" s="21">
        <v>479.5</v>
      </c>
    </row>
    <row r="38346" spans="1:8" customFormat="1" x14ac:dyDescent="0.25">
      <c r="A38346" t="str">
        <f>"2926371"</f>
        <v>2926371</v>
      </c>
      <c r="B38346" t="s">
        <v>21866</v>
      </c>
      <c r="C38346" t="s">
        <v>462</v>
      </c>
      <c r="D38346" s="21" t="s">
        <v>34</v>
      </c>
      <c r="E38346" s="21" t="s">
        <v>71</v>
      </c>
      <c r="F38346">
        <v>3290262</v>
      </c>
      <c r="G38346" t="s">
        <v>1139</v>
      </c>
      <c r="H38346" s="21">
        <v>479.5</v>
      </c>
    </row>
    <row r="38347" spans="1:8" customFormat="1" x14ac:dyDescent="0.25">
      <c r="A38347" t="str">
        <f>"5020270"</f>
        <v>5020270</v>
      </c>
      <c r="B38347" t="s">
        <v>24260</v>
      </c>
      <c r="C38347" t="s">
        <v>40</v>
      </c>
      <c r="D38347" s="21" t="s">
        <v>34</v>
      </c>
      <c r="E38347" s="21" t="s">
        <v>35</v>
      </c>
      <c r="F38347">
        <v>9500121</v>
      </c>
      <c r="G38347" t="s">
        <v>7360</v>
      </c>
      <c r="H38347" s="21">
        <v>479.5</v>
      </c>
    </row>
    <row r="38348" spans="1:8" customFormat="1" x14ac:dyDescent="0.25">
      <c r="A38348" t="str">
        <f>"5619743"</f>
        <v>5619743</v>
      </c>
      <c r="B38348" t="s">
        <v>2010</v>
      </c>
      <c r="C38348" t="s">
        <v>65</v>
      </c>
      <c r="D38348" s="21" t="s">
        <v>34</v>
      </c>
      <c r="E38348" s="21" t="s">
        <v>35</v>
      </c>
      <c r="F38348">
        <v>3560088</v>
      </c>
      <c r="G38348" t="s">
        <v>15034</v>
      </c>
      <c r="H38348" s="21">
        <v>479.5</v>
      </c>
    </row>
    <row r="38349" spans="1:8" customFormat="1" x14ac:dyDescent="0.25">
      <c r="A38349" t="str">
        <f>"3531158"</f>
        <v>3531158</v>
      </c>
      <c r="B38349" t="s">
        <v>4493</v>
      </c>
      <c r="C38349" t="s">
        <v>598</v>
      </c>
      <c r="D38349" s="21" t="s">
        <v>34</v>
      </c>
      <c r="E38349" s="21" t="s">
        <v>71</v>
      </c>
      <c r="F38349">
        <v>3350003</v>
      </c>
      <c r="G38349" t="s">
        <v>23119</v>
      </c>
      <c r="H38349" s="21">
        <v>479.5</v>
      </c>
    </row>
    <row r="38350" spans="1:8" customFormat="1" x14ac:dyDescent="0.25">
      <c r="A38350" t="str">
        <f>"3014339"</f>
        <v>3014339</v>
      </c>
      <c r="B38350" t="s">
        <v>29587</v>
      </c>
      <c r="C38350" t="s">
        <v>43</v>
      </c>
      <c r="D38350" s="21" t="s">
        <v>34</v>
      </c>
      <c r="E38350" s="21" t="s">
        <v>35</v>
      </c>
      <c r="F38350">
        <v>11300050</v>
      </c>
      <c r="G38350" t="s">
        <v>15053</v>
      </c>
      <c r="H38350" s="21">
        <v>479.5</v>
      </c>
    </row>
    <row r="38351" spans="1:8" customFormat="1" x14ac:dyDescent="0.25">
      <c r="A38351" t="str">
        <f>"9411766"</f>
        <v>9411766</v>
      </c>
      <c r="B38351" t="s">
        <v>1951</v>
      </c>
      <c r="C38351" t="s">
        <v>528</v>
      </c>
      <c r="D38351" s="21" t="s">
        <v>34</v>
      </c>
      <c r="E38351" s="21" t="s">
        <v>254</v>
      </c>
      <c r="F38351">
        <v>8940535</v>
      </c>
      <c r="G38351" t="s">
        <v>2628</v>
      </c>
      <c r="H38351" s="21">
        <v>479.5</v>
      </c>
    </row>
    <row r="38352" spans="1:8" customFormat="1" x14ac:dyDescent="0.25">
      <c r="A38352" t="str">
        <f>"5325120"</f>
        <v>5325120</v>
      </c>
      <c r="B38352" t="s">
        <v>18962</v>
      </c>
      <c r="C38352" t="s">
        <v>262</v>
      </c>
      <c r="D38352" s="21" t="s">
        <v>34</v>
      </c>
      <c r="E38352" s="21" t="s">
        <v>35</v>
      </c>
      <c r="F38352">
        <v>12530001</v>
      </c>
      <c r="G38352" t="s">
        <v>6349</v>
      </c>
      <c r="H38352" s="21">
        <v>479.5</v>
      </c>
    </row>
    <row r="38353" spans="1:8" customFormat="1" x14ac:dyDescent="0.25">
      <c r="A38353" t="str">
        <f>"6726474"</f>
        <v>6726474</v>
      </c>
      <c r="B38353" t="s">
        <v>4056</v>
      </c>
      <c r="C38353" t="s">
        <v>209</v>
      </c>
      <c r="D38353" s="21" t="s">
        <v>34</v>
      </c>
      <c r="E38353" s="21" t="s">
        <v>35</v>
      </c>
      <c r="F38353">
        <v>6670272</v>
      </c>
      <c r="G38353" t="s">
        <v>26568</v>
      </c>
      <c r="H38353" s="21">
        <v>479.5</v>
      </c>
    </row>
    <row r="38354" spans="1:8" customFormat="1" x14ac:dyDescent="0.25">
      <c r="A38354" t="str">
        <f>"506739"</f>
        <v>506739</v>
      </c>
      <c r="B38354" t="s">
        <v>23087</v>
      </c>
      <c r="C38354" t="s">
        <v>267</v>
      </c>
      <c r="D38354" s="21" t="s">
        <v>34</v>
      </c>
      <c r="E38354" s="21" t="s">
        <v>1089</v>
      </c>
      <c r="F38354">
        <v>9500073</v>
      </c>
      <c r="G38354" t="s">
        <v>5393</v>
      </c>
      <c r="H38354" s="21">
        <v>479.5</v>
      </c>
    </row>
    <row r="38355" spans="1:8" customFormat="1" x14ac:dyDescent="0.25">
      <c r="A38355" t="str">
        <f>"4927903"</f>
        <v>4927903</v>
      </c>
      <c r="B38355" t="s">
        <v>1490</v>
      </c>
      <c r="C38355" t="s">
        <v>65</v>
      </c>
      <c r="D38355" s="21" t="s">
        <v>34</v>
      </c>
      <c r="E38355" s="21" t="s">
        <v>35</v>
      </c>
      <c r="F38355">
        <v>12490034</v>
      </c>
      <c r="G38355" t="s">
        <v>13696</v>
      </c>
      <c r="H38355" s="21">
        <v>479.5</v>
      </c>
    </row>
    <row r="38356" spans="1:8" customFormat="1" x14ac:dyDescent="0.25">
      <c r="A38356" t="str">
        <f>"4113322"</f>
        <v>4113322</v>
      </c>
      <c r="B38356" t="s">
        <v>16745</v>
      </c>
      <c r="C38356" t="s">
        <v>209</v>
      </c>
      <c r="D38356" s="21" t="s">
        <v>34</v>
      </c>
      <c r="E38356" s="21" t="s">
        <v>254</v>
      </c>
      <c r="F38356">
        <v>4410612</v>
      </c>
      <c r="G38356" t="s">
        <v>815</v>
      </c>
      <c r="H38356" s="21">
        <v>479.5</v>
      </c>
    </row>
    <row r="38357" spans="1:8" customFormat="1" x14ac:dyDescent="0.25">
      <c r="A38357" t="str">
        <f>"5621033"</f>
        <v>5621033</v>
      </c>
      <c r="B38357" t="s">
        <v>765</v>
      </c>
      <c r="C38357" t="s">
        <v>926</v>
      </c>
      <c r="D38357" s="21" t="s">
        <v>34</v>
      </c>
      <c r="E38357" s="21" t="s">
        <v>71</v>
      </c>
      <c r="F38357">
        <v>3560006</v>
      </c>
      <c r="G38357" t="s">
        <v>2708</v>
      </c>
      <c r="H38357" s="21">
        <v>479.5</v>
      </c>
    </row>
    <row r="38358" spans="1:8" customFormat="1" x14ac:dyDescent="0.25">
      <c r="A38358" t="str">
        <f>"9455236"</f>
        <v>9455236</v>
      </c>
      <c r="B38358" t="s">
        <v>2313</v>
      </c>
      <c r="C38358" t="s">
        <v>29588</v>
      </c>
      <c r="D38358" s="21" t="s">
        <v>34</v>
      </c>
      <c r="E38358" s="21" t="s">
        <v>254</v>
      </c>
      <c r="F38358">
        <v>8941461</v>
      </c>
      <c r="G38358" t="s">
        <v>10447</v>
      </c>
      <c r="H38358" s="21">
        <v>479.5</v>
      </c>
    </row>
    <row r="38359" spans="1:8" customFormat="1" x14ac:dyDescent="0.25">
      <c r="A38359" t="str">
        <f>"8016275"</f>
        <v>8016275</v>
      </c>
      <c r="B38359" t="s">
        <v>23970</v>
      </c>
      <c r="C38359" t="s">
        <v>233</v>
      </c>
      <c r="D38359" s="21" t="s">
        <v>34</v>
      </c>
      <c r="E38359" s="21" t="s">
        <v>71</v>
      </c>
      <c r="F38359">
        <v>7800005</v>
      </c>
      <c r="G38359" t="s">
        <v>6547</v>
      </c>
      <c r="H38359" s="21">
        <v>479.5</v>
      </c>
    </row>
    <row r="38360" spans="1:8" customFormat="1" x14ac:dyDescent="0.25">
      <c r="A38360" t="str">
        <f>"9A1513"</f>
        <v>9A1513</v>
      </c>
      <c r="B38360" t="s">
        <v>9594</v>
      </c>
      <c r="C38360" t="s">
        <v>528</v>
      </c>
      <c r="D38360" s="21" t="s">
        <v>34</v>
      </c>
      <c r="E38360" s="21" t="s">
        <v>71</v>
      </c>
      <c r="F38360" t="s">
        <v>2849</v>
      </c>
      <c r="G38360" t="s">
        <v>2850</v>
      </c>
      <c r="H38360" s="21">
        <v>479.38</v>
      </c>
    </row>
    <row r="38361" spans="1:8" customFormat="1" x14ac:dyDescent="0.25">
      <c r="A38361" t="str">
        <f>"9528881"</f>
        <v>9528881</v>
      </c>
      <c r="B38361" t="s">
        <v>3146</v>
      </c>
      <c r="C38361" t="s">
        <v>87</v>
      </c>
      <c r="D38361" s="21" t="s">
        <v>34</v>
      </c>
      <c r="E38361" s="21" t="s">
        <v>71</v>
      </c>
      <c r="F38361">
        <v>8950129</v>
      </c>
      <c r="G38361" t="s">
        <v>10701</v>
      </c>
      <c r="H38361" s="21">
        <v>479.25</v>
      </c>
    </row>
    <row r="38362" spans="1:8" customFormat="1" x14ac:dyDescent="0.25">
      <c r="A38362" t="str">
        <f>"246342"</f>
        <v>246342</v>
      </c>
      <c r="B38362" t="s">
        <v>11392</v>
      </c>
      <c r="C38362" t="s">
        <v>879</v>
      </c>
      <c r="D38362" s="21" t="s">
        <v>34</v>
      </c>
      <c r="E38362" s="21" t="s">
        <v>1089</v>
      </c>
      <c r="F38362">
        <v>10240005</v>
      </c>
      <c r="G38362" t="s">
        <v>2496</v>
      </c>
      <c r="H38362" s="21">
        <v>479.17</v>
      </c>
    </row>
    <row r="38363" spans="1:8" customFormat="1" x14ac:dyDescent="0.25">
      <c r="A38363" t="str">
        <f>"6229614"</f>
        <v>6229614</v>
      </c>
      <c r="B38363" t="s">
        <v>14562</v>
      </c>
      <c r="C38363" t="s">
        <v>209</v>
      </c>
      <c r="D38363" s="21" t="s">
        <v>34</v>
      </c>
      <c r="E38363" s="21" t="s">
        <v>71</v>
      </c>
      <c r="F38363">
        <v>7620057</v>
      </c>
      <c r="G38363" t="s">
        <v>184</v>
      </c>
      <c r="H38363" s="21">
        <v>479</v>
      </c>
    </row>
    <row r="38364" spans="1:8" customFormat="1" x14ac:dyDescent="0.25">
      <c r="A38364" t="str">
        <f>"4445042"</f>
        <v>4445042</v>
      </c>
      <c r="B38364" t="s">
        <v>1087</v>
      </c>
      <c r="C38364" t="s">
        <v>2958</v>
      </c>
      <c r="D38364" s="21" t="s">
        <v>34</v>
      </c>
      <c r="E38364" s="21" t="s">
        <v>35</v>
      </c>
      <c r="F38364">
        <v>12440225</v>
      </c>
      <c r="G38364" t="s">
        <v>3094</v>
      </c>
      <c r="H38364" s="21">
        <v>479</v>
      </c>
    </row>
    <row r="38365" spans="1:8" customFormat="1" x14ac:dyDescent="0.25">
      <c r="A38365" t="str">
        <f>"2721694"</f>
        <v>2721694</v>
      </c>
      <c r="B38365" t="s">
        <v>29589</v>
      </c>
      <c r="C38365" t="s">
        <v>8546</v>
      </c>
      <c r="D38365" s="21" t="s">
        <v>34</v>
      </c>
      <c r="E38365" s="21" t="s">
        <v>35</v>
      </c>
      <c r="F38365">
        <v>9270126</v>
      </c>
      <c r="G38365" t="s">
        <v>7569</v>
      </c>
      <c r="H38365" s="21">
        <v>479</v>
      </c>
    </row>
    <row r="38366" spans="1:8" customFormat="1" x14ac:dyDescent="0.25">
      <c r="A38366" t="str">
        <f>"5980288"</f>
        <v>5980288</v>
      </c>
      <c r="B38366" t="s">
        <v>6868</v>
      </c>
      <c r="C38366" t="s">
        <v>269</v>
      </c>
      <c r="D38366" s="21" t="s">
        <v>34</v>
      </c>
      <c r="E38366" s="21" t="s">
        <v>35</v>
      </c>
      <c r="F38366">
        <v>7590379</v>
      </c>
      <c r="G38366" t="s">
        <v>13711</v>
      </c>
      <c r="H38366" s="21">
        <v>479</v>
      </c>
    </row>
    <row r="38367" spans="1:8" customFormat="1" x14ac:dyDescent="0.25">
      <c r="A38367" t="str">
        <f>"3532313"</f>
        <v>3532313</v>
      </c>
      <c r="B38367" t="s">
        <v>24601</v>
      </c>
      <c r="C38367" t="s">
        <v>55</v>
      </c>
      <c r="D38367" s="21" t="s">
        <v>34</v>
      </c>
      <c r="E38367" s="21" t="s">
        <v>71</v>
      </c>
      <c r="F38367">
        <v>3350122</v>
      </c>
      <c r="G38367" t="s">
        <v>3069</v>
      </c>
      <c r="H38367" s="21">
        <v>479</v>
      </c>
    </row>
    <row r="38368" spans="1:8" customFormat="1" x14ac:dyDescent="0.25">
      <c r="A38368" t="str">
        <f>"5978550"</f>
        <v>5978550</v>
      </c>
      <c r="B38368" t="s">
        <v>243</v>
      </c>
      <c r="C38368" t="s">
        <v>149</v>
      </c>
      <c r="D38368" s="21" t="s">
        <v>34</v>
      </c>
      <c r="E38368" s="21" t="s">
        <v>35</v>
      </c>
      <c r="F38368">
        <v>7590014</v>
      </c>
      <c r="G38368" t="s">
        <v>1326</v>
      </c>
      <c r="H38368" s="21">
        <v>479</v>
      </c>
    </row>
    <row r="38369" spans="1:8" customFormat="1" x14ac:dyDescent="0.25">
      <c r="A38369" t="str">
        <f>"771837"</f>
        <v>771837</v>
      </c>
      <c r="B38369" t="s">
        <v>3089</v>
      </c>
      <c r="C38369" t="s">
        <v>822</v>
      </c>
      <c r="D38369" s="21" t="s">
        <v>34</v>
      </c>
      <c r="E38369" s="21" t="s">
        <v>6185</v>
      </c>
      <c r="F38369">
        <v>8771172</v>
      </c>
      <c r="G38369" t="s">
        <v>12662</v>
      </c>
      <c r="H38369" s="21">
        <v>479</v>
      </c>
    </row>
    <row r="38370" spans="1:8" customFormat="1" x14ac:dyDescent="0.25">
      <c r="A38370" t="str">
        <f>"7728730"</f>
        <v>7728730</v>
      </c>
      <c r="B38370" t="s">
        <v>22660</v>
      </c>
      <c r="C38370" t="s">
        <v>55</v>
      </c>
      <c r="D38370" s="21" t="s">
        <v>34</v>
      </c>
      <c r="E38370" s="21" t="s">
        <v>35</v>
      </c>
      <c r="F38370">
        <v>8771426</v>
      </c>
      <c r="G38370" t="s">
        <v>844</v>
      </c>
      <c r="H38370" s="21">
        <v>479</v>
      </c>
    </row>
    <row r="38371" spans="1:8" customFormat="1" x14ac:dyDescent="0.25">
      <c r="A38371" t="str">
        <f>"9448170"</f>
        <v>9448170</v>
      </c>
      <c r="B38371" t="s">
        <v>24441</v>
      </c>
      <c r="C38371" t="s">
        <v>598</v>
      </c>
      <c r="D38371" s="21" t="s">
        <v>34</v>
      </c>
      <c r="E38371" s="21" t="s">
        <v>71</v>
      </c>
      <c r="F38371">
        <v>8940524</v>
      </c>
      <c r="G38371" t="s">
        <v>6176</v>
      </c>
      <c r="H38371" s="21">
        <v>479</v>
      </c>
    </row>
    <row r="38372" spans="1:8" customFormat="1" x14ac:dyDescent="0.25">
      <c r="A38372" t="str">
        <f>"7856614"</f>
        <v>7856614</v>
      </c>
      <c r="B38372" t="s">
        <v>734</v>
      </c>
      <c r="C38372" t="s">
        <v>453</v>
      </c>
      <c r="D38372" s="21" t="s">
        <v>34</v>
      </c>
      <c r="E38372" s="21" t="s">
        <v>1089</v>
      </c>
      <c r="F38372">
        <v>8780678</v>
      </c>
      <c r="G38372" t="s">
        <v>8556</v>
      </c>
      <c r="H38372" s="21">
        <v>479</v>
      </c>
    </row>
    <row r="38373" spans="1:8" customFormat="1" x14ac:dyDescent="0.25">
      <c r="A38373" t="str">
        <f>"5019409"</f>
        <v>5019409</v>
      </c>
      <c r="B38373" t="s">
        <v>24676</v>
      </c>
      <c r="C38373" t="s">
        <v>55</v>
      </c>
      <c r="D38373" s="21" t="s">
        <v>34</v>
      </c>
      <c r="E38373" s="21" t="s">
        <v>35</v>
      </c>
      <c r="F38373">
        <v>9500161</v>
      </c>
      <c r="G38373" t="s">
        <v>11812</v>
      </c>
      <c r="H38373" s="21">
        <v>479</v>
      </c>
    </row>
    <row r="38374" spans="1:8" customFormat="1" x14ac:dyDescent="0.25">
      <c r="A38374" t="str">
        <f>"198072"</f>
        <v>198072</v>
      </c>
      <c r="B38374" t="s">
        <v>8671</v>
      </c>
      <c r="C38374" t="s">
        <v>415</v>
      </c>
      <c r="D38374" s="21" t="s">
        <v>34</v>
      </c>
      <c r="E38374" s="21" t="s">
        <v>254</v>
      </c>
      <c r="F38374">
        <v>10190054</v>
      </c>
      <c r="G38374" t="s">
        <v>4189</v>
      </c>
      <c r="H38374" s="21">
        <v>479</v>
      </c>
    </row>
    <row r="38375" spans="1:8" customFormat="1" x14ac:dyDescent="0.25">
      <c r="A38375" t="str">
        <f>"6228858"</f>
        <v>6228858</v>
      </c>
      <c r="B38375" t="s">
        <v>1835</v>
      </c>
      <c r="C38375" t="s">
        <v>124</v>
      </c>
      <c r="D38375" s="21" t="s">
        <v>34</v>
      </c>
      <c r="E38375" s="21" t="s">
        <v>71</v>
      </c>
      <c r="F38375">
        <v>7620139</v>
      </c>
      <c r="G38375" t="s">
        <v>2061</v>
      </c>
      <c r="H38375" s="21">
        <v>479</v>
      </c>
    </row>
    <row r="38376" spans="1:8" customFormat="1" x14ac:dyDescent="0.25">
      <c r="A38376" t="str">
        <f>"9445176"</f>
        <v>9445176</v>
      </c>
      <c r="B38376" t="s">
        <v>11203</v>
      </c>
      <c r="C38376" t="s">
        <v>130</v>
      </c>
      <c r="D38376" s="21" t="s">
        <v>34</v>
      </c>
      <c r="E38376" s="21" t="s">
        <v>1089</v>
      </c>
      <c r="F38376">
        <v>4360723</v>
      </c>
      <c r="G38376" t="s">
        <v>27127</v>
      </c>
      <c r="H38376" s="21">
        <v>479</v>
      </c>
    </row>
    <row r="38377" spans="1:8" customFormat="1" x14ac:dyDescent="0.25">
      <c r="A38377" t="str">
        <f>"5319324"</f>
        <v>5319324</v>
      </c>
      <c r="B38377" t="s">
        <v>2282</v>
      </c>
      <c r="C38377" t="s">
        <v>209</v>
      </c>
      <c r="D38377" s="21" t="s">
        <v>34</v>
      </c>
      <c r="E38377" s="21" t="s">
        <v>71</v>
      </c>
      <c r="F38377">
        <v>12538900</v>
      </c>
      <c r="G38377" t="s">
        <v>14904</v>
      </c>
      <c r="H38377" s="21">
        <v>479</v>
      </c>
    </row>
    <row r="38378" spans="1:8" customFormat="1" x14ac:dyDescent="0.25">
      <c r="A38378" t="str">
        <f>"7840442"</f>
        <v>7840442</v>
      </c>
      <c r="B38378" t="s">
        <v>24514</v>
      </c>
      <c r="C38378" t="s">
        <v>1597</v>
      </c>
      <c r="D38378" s="21" t="s">
        <v>34</v>
      </c>
      <c r="E38378" s="21" t="s">
        <v>254</v>
      </c>
      <c r="F38378">
        <v>8780571</v>
      </c>
      <c r="G38378" t="s">
        <v>2336</v>
      </c>
      <c r="H38378" s="21">
        <v>479</v>
      </c>
    </row>
    <row r="38379" spans="1:8" customFormat="1" x14ac:dyDescent="0.25">
      <c r="A38379" t="str">
        <f>"5934546"</f>
        <v>5934546</v>
      </c>
      <c r="B38379" t="s">
        <v>22306</v>
      </c>
      <c r="C38379" t="s">
        <v>3648</v>
      </c>
      <c r="D38379" s="21" t="s">
        <v>34</v>
      </c>
      <c r="E38379" s="21" t="s">
        <v>254</v>
      </c>
      <c r="F38379">
        <v>7590195</v>
      </c>
      <c r="G38379" t="s">
        <v>5332</v>
      </c>
      <c r="H38379" s="21">
        <v>479</v>
      </c>
    </row>
    <row r="38380" spans="1:8" customFormat="1" x14ac:dyDescent="0.25">
      <c r="A38380" t="str">
        <f>"2927911"</f>
        <v>2927911</v>
      </c>
      <c r="B38380" t="s">
        <v>168</v>
      </c>
      <c r="C38380" t="s">
        <v>2907</v>
      </c>
      <c r="D38380" s="21" t="s">
        <v>34</v>
      </c>
      <c r="E38380" s="21" t="s">
        <v>35</v>
      </c>
      <c r="F38380">
        <v>3290202</v>
      </c>
      <c r="G38380" t="s">
        <v>3314</v>
      </c>
      <c r="H38380" s="21">
        <v>478.92</v>
      </c>
    </row>
    <row r="38381" spans="1:8" customFormat="1" x14ac:dyDescent="0.25">
      <c r="A38381" t="str">
        <f>"9526826"</f>
        <v>9526826</v>
      </c>
      <c r="B38381" t="s">
        <v>24630</v>
      </c>
      <c r="C38381" t="s">
        <v>124</v>
      </c>
      <c r="D38381" s="21" t="s">
        <v>34</v>
      </c>
      <c r="E38381" s="21" t="s">
        <v>35</v>
      </c>
      <c r="F38381">
        <v>8951092</v>
      </c>
      <c r="G38381" t="s">
        <v>5801</v>
      </c>
      <c r="H38381" s="21">
        <v>478.88</v>
      </c>
    </row>
    <row r="38382" spans="1:8" customFormat="1" x14ac:dyDescent="0.25">
      <c r="A38382" t="str">
        <f>"9456398"</f>
        <v>9456398</v>
      </c>
      <c r="B38382" t="s">
        <v>4424</v>
      </c>
      <c r="C38382" t="s">
        <v>209</v>
      </c>
      <c r="D38382" s="21" t="s">
        <v>34</v>
      </c>
      <c r="E38382" s="21" t="s">
        <v>71</v>
      </c>
      <c r="F38382">
        <v>8940535</v>
      </c>
      <c r="G38382" t="s">
        <v>2628</v>
      </c>
      <c r="H38382" s="21">
        <v>478.88</v>
      </c>
    </row>
    <row r="38383" spans="1:8" customFormat="1" x14ac:dyDescent="0.25">
      <c r="A38383" t="str">
        <f>"456778"</f>
        <v>456778</v>
      </c>
      <c r="B38383" t="s">
        <v>2879</v>
      </c>
      <c r="C38383" t="s">
        <v>547</v>
      </c>
      <c r="D38383" s="21" t="s">
        <v>34</v>
      </c>
      <c r="E38383" s="21" t="s">
        <v>1089</v>
      </c>
      <c r="F38383">
        <v>4450663</v>
      </c>
      <c r="G38383" t="s">
        <v>2527</v>
      </c>
      <c r="H38383" s="21">
        <v>478.75</v>
      </c>
    </row>
    <row r="38384" spans="1:8" customFormat="1" x14ac:dyDescent="0.25">
      <c r="A38384" t="str">
        <f>"5431437"</f>
        <v>5431437</v>
      </c>
      <c r="B38384" t="s">
        <v>22644</v>
      </c>
      <c r="C38384" t="s">
        <v>253</v>
      </c>
      <c r="D38384" s="21" t="s">
        <v>34</v>
      </c>
      <c r="E38384" s="21" t="s">
        <v>254</v>
      </c>
      <c r="F38384">
        <v>6540055</v>
      </c>
      <c r="G38384" t="s">
        <v>9080</v>
      </c>
      <c r="H38384" s="21">
        <v>478.67</v>
      </c>
    </row>
    <row r="38385" spans="1:8" customFormat="1" x14ac:dyDescent="0.25">
      <c r="A38385" t="str">
        <f>"4514585"</f>
        <v>4514585</v>
      </c>
      <c r="B38385" t="s">
        <v>24689</v>
      </c>
      <c r="C38385" t="s">
        <v>2479</v>
      </c>
      <c r="D38385" s="21" t="s">
        <v>34</v>
      </c>
      <c r="E38385" s="21" t="s">
        <v>254</v>
      </c>
      <c r="F38385">
        <v>4450751</v>
      </c>
      <c r="G38385" t="s">
        <v>442</v>
      </c>
      <c r="H38385" s="21">
        <v>478.5</v>
      </c>
    </row>
    <row r="38386" spans="1:8" customFormat="1" x14ac:dyDescent="0.25">
      <c r="A38386" t="str">
        <f>"3728091"</f>
        <v>3728091</v>
      </c>
      <c r="B38386" t="s">
        <v>25660</v>
      </c>
      <c r="C38386" t="s">
        <v>822</v>
      </c>
      <c r="D38386" s="21" t="s">
        <v>34</v>
      </c>
      <c r="E38386" s="21" t="s">
        <v>71</v>
      </c>
      <c r="F38386">
        <v>4370439</v>
      </c>
      <c r="G38386" t="s">
        <v>2956</v>
      </c>
      <c r="H38386" s="21">
        <v>478.5</v>
      </c>
    </row>
    <row r="38387" spans="1:8" customFormat="1" x14ac:dyDescent="0.25">
      <c r="A38387" t="str">
        <f>"4456550"</f>
        <v>4456550</v>
      </c>
      <c r="B38387" t="s">
        <v>824</v>
      </c>
      <c r="C38387" t="s">
        <v>1812</v>
      </c>
      <c r="D38387" s="21" t="s">
        <v>34</v>
      </c>
      <c r="E38387" s="21" t="s">
        <v>254</v>
      </c>
      <c r="F38387">
        <v>12440259</v>
      </c>
      <c r="G38387" t="s">
        <v>833</v>
      </c>
      <c r="H38387" s="21">
        <v>478.5</v>
      </c>
    </row>
    <row r="38388" spans="1:8" customFormat="1" x14ac:dyDescent="0.25">
      <c r="A38388" t="str">
        <f>"6233687"</f>
        <v>6233687</v>
      </c>
      <c r="B38388" t="s">
        <v>29590</v>
      </c>
      <c r="C38388" t="s">
        <v>124</v>
      </c>
      <c r="D38388" s="21" t="s">
        <v>34</v>
      </c>
      <c r="E38388" s="21" t="s">
        <v>254</v>
      </c>
      <c r="F38388">
        <v>7620145</v>
      </c>
      <c r="G38388" t="s">
        <v>2068</v>
      </c>
      <c r="H38388" s="21">
        <v>478.5</v>
      </c>
    </row>
    <row r="38389" spans="1:8" customFormat="1" x14ac:dyDescent="0.25">
      <c r="A38389" t="str">
        <f>"813317"</f>
        <v>813317</v>
      </c>
      <c r="B38389" t="s">
        <v>23044</v>
      </c>
      <c r="C38389" t="s">
        <v>656</v>
      </c>
      <c r="D38389" s="21" t="s">
        <v>34</v>
      </c>
      <c r="E38389" s="21" t="s">
        <v>35</v>
      </c>
      <c r="F38389">
        <v>11810024</v>
      </c>
      <c r="G38389" t="s">
        <v>2095</v>
      </c>
      <c r="H38389" s="21">
        <v>478.5</v>
      </c>
    </row>
    <row r="38390" spans="1:8" customFormat="1" x14ac:dyDescent="0.25">
      <c r="A38390" t="str">
        <f>"406608"</f>
        <v>406608</v>
      </c>
      <c r="B38390" t="s">
        <v>1349</v>
      </c>
      <c r="C38390" t="s">
        <v>139</v>
      </c>
      <c r="D38390" s="21" t="s">
        <v>34</v>
      </c>
      <c r="E38390" s="21" t="s">
        <v>35</v>
      </c>
      <c r="F38390">
        <v>10400013</v>
      </c>
      <c r="G38390" t="s">
        <v>6238</v>
      </c>
      <c r="H38390" s="21">
        <v>478.5</v>
      </c>
    </row>
    <row r="38391" spans="1:8" customFormat="1" x14ac:dyDescent="0.25">
      <c r="A38391" t="str">
        <f>"114348"</f>
        <v>114348</v>
      </c>
      <c r="B38391" t="s">
        <v>22825</v>
      </c>
      <c r="C38391" t="s">
        <v>1299</v>
      </c>
      <c r="D38391" s="21" t="s">
        <v>34</v>
      </c>
      <c r="E38391" s="21" t="s">
        <v>35</v>
      </c>
      <c r="F38391">
        <v>11110026</v>
      </c>
      <c r="G38391" t="s">
        <v>17718</v>
      </c>
      <c r="H38391" s="21">
        <v>478.5</v>
      </c>
    </row>
    <row r="38392" spans="1:8" customFormat="1" x14ac:dyDescent="0.25">
      <c r="A38392" t="str">
        <f>"5617180"</f>
        <v>5617180</v>
      </c>
      <c r="B38392" t="s">
        <v>23896</v>
      </c>
      <c r="C38392" t="s">
        <v>2730</v>
      </c>
      <c r="D38392" s="21" t="s">
        <v>34</v>
      </c>
      <c r="E38392" s="21" t="s">
        <v>254</v>
      </c>
      <c r="F38392">
        <v>3560053</v>
      </c>
      <c r="G38392" t="s">
        <v>298</v>
      </c>
      <c r="H38392" s="21">
        <v>478.5</v>
      </c>
    </row>
    <row r="38393" spans="1:8" customFormat="1" x14ac:dyDescent="0.25">
      <c r="A38393" t="str">
        <f>"6012692"</f>
        <v>6012692</v>
      </c>
      <c r="B38393" t="s">
        <v>4856</v>
      </c>
      <c r="C38393" t="s">
        <v>236</v>
      </c>
      <c r="D38393" s="21" t="s">
        <v>34</v>
      </c>
      <c r="E38393" s="21" t="s">
        <v>254</v>
      </c>
      <c r="F38393">
        <v>7600134</v>
      </c>
      <c r="G38393" t="s">
        <v>8819</v>
      </c>
      <c r="H38393" s="21">
        <v>478.5</v>
      </c>
    </row>
    <row r="38394" spans="1:8" customFormat="1" x14ac:dyDescent="0.25">
      <c r="A38394" t="str">
        <f>"5918817"</f>
        <v>5918817</v>
      </c>
      <c r="B38394" t="s">
        <v>12681</v>
      </c>
      <c r="C38394" t="s">
        <v>415</v>
      </c>
      <c r="D38394" s="21" t="s">
        <v>34</v>
      </c>
      <c r="E38394" s="21" t="s">
        <v>254</v>
      </c>
      <c r="F38394">
        <v>13840028</v>
      </c>
      <c r="G38394" t="s">
        <v>4139</v>
      </c>
      <c r="H38394" s="21">
        <v>478.5</v>
      </c>
    </row>
    <row r="38395" spans="1:8" customFormat="1" x14ac:dyDescent="0.25">
      <c r="A38395" t="str">
        <f>"494625"</f>
        <v>494625</v>
      </c>
      <c r="B38395" t="s">
        <v>2724</v>
      </c>
      <c r="C38395" t="s">
        <v>2529</v>
      </c>
      <c r="D38395" s="21" t="s">
        <v>34</v>
      </c>
      <c r="E38395" s="21" t="s">
        <v>254</v>
      </c>
      <c r="F38395">
        <v>12490076</v>
      </c>
      <c r="G38395" t="s">
        <v>2086</v>
      </c>
      <c r="H38395" s="21">
        <v>478.5</v>
      </c>
    </row>
    <row r="38396" spans="1:8" customFormat="1" x14ac:dyDescent="0.25">
      <c r="A38396" t="str">
        <f>"848001"</f>
        <v>848001</v>
      </c>
      <c r="B38396" t="s">
        <v>392</v>
      </c>
      <c r="C38396" t="s">
        <v>124</v>
      </c>
      <c r="D38396" s="21" t="s">
        <v>34</v>
      </c>
      <c r="E38396" s="21" t="s">
        <v>35</v>
      </c>
      <c r="F38396">
        <v>13840059</v>
      </c>
      <c r="G38396" t="s">
        <v>21670</v>
      </c>
      <c r="H38396" s="21">
        <v>478.5</v>
      </c>
    </row>
    <row r="38397" spans="1:8" customFormat="1" x14ac:dyDescent="0.25">
      <c r="A38397" t="str">
        <f>"1716003"</f>
        <v>1716003</v>
      </c>
      <c r="B38397" t="s">
        <v>12112</v>
      </c>
      <c r="C38397" t="s">
        <v>269</v>
      </c>
      <c r="D38397" s="21" t="s">
        <v>34</v>
      </c>
      <c r="E38397" s="21" t="s">
        <v>35</v>
      </c>
      <c r="F38397">
        <v>10170026</v>
      </c>
      <c r="G38397" t="s">
        <v>4850</v>
      </c>
      <c r="H38397" s="21">
        <v>478.5</v>
      </c>
    </row>
    <row r="38398" spans="1:8" customFormat="1" x14ac:dyDescent="0.25">
      <c r="A38398" t="str">
        <f>"368223"</f>
        <v>368223</v>
      </c>
      <c r="B38398" t="s">
        <v>23104</v>
      </c>
      <c r="C38398" t="s">
        <v>149</v>
      </c>
      <c r="D38398" s="21" t="s">
        <v>34</v>
      </c>
      <c r="E38398" s="21" t="s">
        <v>35</v>
      </c>
      <c r="F38398">
        <v>4360454</v>
      </c>
      <c r="G38398" t="s">
        <v>637</v>
      </c>
      <c r="H38398" s="21">
        <v>478.5</v>
      </c>
    </row>
    <row r="38399" spans="1:8" customFormat="1" x14ac:dyDescent="0.25">
      <c r="A38399" t="str">
        <f>"3833657"</f>
        <v>3833657</v>
      </c>
      <c r="B38399" t="s">
        <v>29591</v>
      </c>
      <c r="C38399" t="s">
        <v>598</v>
      </c>
      <c r="D38399" s="21" t="s">
        <v>34</v>
      </c>
      <c r="E38399" s="21" t="s">
        <v>71</v>
      </c>
      <c r="F38399">
        <v>1380157</v>
      </c>
      <c r="G38399" t="s">
        <v>9044</v>
      </c>
      <c r="H38399" s="21">
        <v>478.5</v>
      </c>
    </row>
    <row r="38400" spans="1:8" customFormat="1" x14ac:dyDescent="0.25">
      <c r="A38400" t="str">
        <f>"3344363"</f>
        <v>3344363</v>
      </c>
      <c r="B38400" t="s">
        <v>29592</v>
      </c>
      <c r="C38400" t="s">
        <v>109</v>
      </c>
      <c r="D38400" s="21" t="s">
        <v>34</v>
      </c>
      <c r="E38400" s="21" t="s">
        <v>35</v>
      </c>
      <c r="F38400">
        <v>10330022</v>
      </c>
      <c r="G38400" t="s">
        <v>1830</v>
      </c>
      <c r="H38400" s="21">
        <v>478.25</v>
      </c>
    </row>
    <row r="38401" spans="1:8" customFormat="1" x14ac:dyDescent="0.25">
      <c r="A38401" t="str">
        <f>"9456839"</f>
        <v>9456839</v>
      </c>
      <c r="B38401" t="s">
        <v>11733</v>
      </c>
      <c r="C38401" t="s">
        <v>22087</v>
      </c>
      <c r="D38401" s="21" t="s">
        <v>34</v>
      </c>
      <c r="E38401" s="21" t="s">
        <v>254</v>
      </c>
      <c r="F38401">
        <v>8940524</v>
      </c>
      <c r="G38401" t="s">
        <v>6176</v>
      </c>
      <c r="H38401" s="21">
        <v>478.25</v>
      </c>
    </row>
    <row r="38402" spans="1:8" customFormat="1" x14ac:dyDescent="0.25">
      <c r="A38402" t="str">
        <f>"7729736"</f>
        <v>7729736</v>
      </c>
      <c r="B38402" t="s">
        <v>16427</v>
      </c>
      <c r="C38402" t="s">
        <v>288</v>
      </c>
      <c r="D38402" s="21" t="s">
        <v>34</v>
      </c>
      <c r="E38402" s="21" t="s">
        <v>35</v>
      </c>
      <c r="F38402">
        <v>8770895</v>
      </c>
      <c r="G38402" t="s">
        <v>4795</v>
      </c>
      <c r="H38402" s="21">
        <v>478.17</v>
      </c>
    </row>
    <row r="38403" spans="1:8" customFormat="1" x14ac:dyDescent="0.25">
      <c r="A38403" t="str">
        <f>"2618766"</f>
        <v>2618766</v>
      </c>
      <c r="B38403" t="s">
        <v>7041</v>
      </c>
      <c r="C38403" t="s">
        <v>608</v>
      </c>
      <c r="D38403" s="21" t="s">
        <v>34</v>
      </c>
      <c r="E38403" s="21" t="s">
        <v>35</v>
      </c>
      <c r="F38403">
        <v>1260024</v>
      </c>
      <c r="G38403" t="s">
        <v>2685</v>
      </c>
      <c r="H38403" s="21">
        <v>478.12</v>
      </c>
    </row>
    <row r="38404" spans="1:8" customFormat="1" x14ac:dyDescent="0.25">
      <c r="A38404" t="str">
        <f>"5432256"</f>
        <v>5432256</v>
      </c>
      <c r="B38404" t="s">
        <v>1349</v>
      </c>
      <c r="C38404" t="s">
        <v>98</v>
      </c>
      <c r="D38404" s="21" t="s">
        <v>34</v>
      </c>
      <c r="E38404" s="21" t="s">
        <v>35</v>
      </c>
      <c r="F38404">
        <v>6540020</v>
      </c>
      <c r="G38404" t="s">
        <v>1269</v>
      </c>
      <c r="H38404" s="21">
        <v>478.12</v>
      </c>
    </row>
    <row r="38405" spans="1:8" customFormat="1" x14ac:dyDescent="0.25">
      <c r="A38405" t="str">
        <f>"3829154"</f>
        <v>3829154</v>
      </c>
      <c r="B38405" t="s">
        <v>29593</v>
      </c>
      <c r="C38405" t="s">
        <v>239</v>
      </c>
      <c r="D38405" s="21" t="s">
        <v>34</v>
      </c>
      <c r="E38405" s="21" t="s">
        <v>254</v>
      </c>
      <c r="F38405">
        <v>1380084</v>
      </c>
      <c r="G38405" t="s">
        <v>8218</v>
      </c>
      <c r="H38405" s="21">
        <v>478</v>
      </c>
    </row>
    <row r="38406" spans="1:8" customFormat="1" x14ac:dyDescent="0.25">
      <c r="A38406" t="str">
        <f>"3828362"</f>
        <v>3828362</v>
      </c>
      <c r="B38406" t="s">
        <v>5755</v>
      </c>
      <c r="C38406" t="s">
        <v>249</v>
      </c>
      <c r="D38406" s="21" t="s">
        <v>34</v>
      </c>
      <c r="E38406" s="21" t="s">
        <v>71</v>
      </c>
      <c r="F38406">
        <v>1380293</v>
      </c>
      <c r="G38406" t="s">
        <v>2103</v>
      </c>
      <c r="H38406" s="21">
        <v>478</v>
      </c>
    </row>
    <row r="38407" spans="1:8" customFormat="1" x14ac:dyDescent="0.25">
      <c r="A38407" t="str">
        <f>"3534253"</f>
        <v>3534253</v>
      </c>
      <c r="B38407" t="s">
        <v>22732</v>
      </c>
      <c r="C38407" t="s">
        <v>412</v>
      </c>
      <c r="D38407" s="21" t="s">
        <v>34</v>
      </c>
      <c r="E38407" s="21" t="s">
        <v>254</v>
      </c>
      <c r="F38407">
        <v>3350057</v>
      </c>
      <c r="G38407" t="s">
        <v>10712</v>
      </c>
      <c r="H38407" s="21">
        <v>478</v>
      </c>
    </row>
    <row r="38408" spans="1:8" customFormat="1" x14ac:dyDescent="0.25">
      <c r="A38408" t="str">
        <f>"5620083"</f>
        <v>5620083</v>
      </c>
      <c r="B38408" t="s">
        <v>21988</v>
      </c>
      <c r="C38408" t="s">
        <v>40</v>
      </c>
      <c r="D38408" s="21" t="s">
        <v>34</v>
      </c>
      <c r="E38408" s="21" t="s">
        <v>35</v>
      </c>
      <c r="F38408">
        <v>3560088</v>
      </c>
      <c r="G38408" t="s">
        <v>15034</v>
      </c>
      <c r="H38408" s="21">
        <v>478</v>
      </c>
    </row>
    <row r="38409" spans="1:8" customFormat="1" x14ac:dyDescent="0.25">
      <c r="A38409" t="str">
        <f>"6228355"</f>
        <v>6228355</v>
      </c>
      <c r="B38409" t="s">
        <v>146</v>
      </c>
      <c r="C38409" t="s">
        <v>576</v>
      </c>
      <c r="D38409" s="21" t="s">
        <v>34</v>
      </c>
      <c r="E38409" s="21" t="s">
        <v>71</v>
      </c>
      <c r="F38409">
        <v>7620031</v>
      </c>
      <c r="G38409" t="s">
        <v>2182</v>
      </c>
      <c r="H38409" s="21">
        <v>478</v>
      </c>
    </row>
    <row r="38410" spans="1:8" customFormat="1" x14ac:dyDescent="0.25">
      <c r="A38410" t="str">
        <f>"5324793"</f>
        <v>5324793</v>
      </c>
      <c r="B38410" t="s">
        <v>24549</v>
      </c>
      <c r="C38410" t="s">
        <v>712</v>
      </c>
      <c r="D38410" s="21" t="s">
        <v>34</v>
      </c>
      <c r="E38410" s="21" t="s">
        <v>71</v>
      </c>
      <c r="F38410">
        <v>12530063</v>
      </c>
      <c r="G38410" t="s">
        <v>4313</v>
      </c>
      <c r="H38410" s="21">
        <v>478</v>
      </c>
    </row>
    <row r="38411" spans="1:8" customFormat="1" x14ac:dyDescent="0.25">
      <c r="A38411" t="str">
        <f>"4454320"</f>
        <v>4454320</v>
      </c>
      <c r="B38411" t="s">
        <v>2207</v>
      </c>
      <c r="C38411" t="s">
        <v>169</v>
      </c>
      <c r="D38411" s="21" t="s">
        <v>34</v>
      </c>
      <c r="E38411" s="21" t="s">
        <v>35</v>
      </c>
      <c r="F38411">
        <v>12440087</v>
      </c>
      <c r="G38411" t="s">
        <v>1860</v>
      </c>
      <c r="H38411" s="21">
        <v>478</v>
      </c>
    </row>
    <row r="38412" spans="1:8" customFormat="1" x14ac:dyDescent="0.25">
      <c r="A38412" t="str">
        <f>"5984373"</f>
        <v>5984373</v>
      </c>
      <c r="B38412" t="s">
        <v>2317</v>
      </c>
      <c r="C38412" t="s">
        <v>2529</v>
      </c>
      <c r="D38412" s="21" t="s">
        <v>34</v>
      </c>
      <c r="E38412" s="21" t="s">
        <v>254</v>
      </c>
      <c r="F38412">
        <v>7590402</v>
      </c>
      <c r="G38412" t="s">
        <v>1623</v>
      </c>
      <c r="H38412" s="21">
        <v>478</v>
      </c>
    </row>
    <row r="38413" spans="1:8" customFormat="1" x14ac:dyDescent="0.25">
      <c r="A38413" t="str">
        <f>"6316028"</f>
        <v>6316028</v>
      </c>
      <c r="B38413" t="s">
        <v>4196</v>
      </c>
      <c r="C38413" t="s">
        <v>1705</v>
      </c>
      <c r="D38413" s="21" t="s">
        <v>34</v>
      </c>
      <c r="E38413" s="21" t="s">
        <v>254</v>
      </c>
      <c r="F38413">
        <v>1630125</v>
      </c>
      <c r="G38413" t="s">
        <v>6858</v>
      </c>
      <c r="H38413" s="21">
        <v>478</v>
      </c>
    </row>
    <row r="38414" spans="1:8" customFormat="1" x14ac:dyDescent="0.25">
      <c r="A38414" t="str">
        <f>"274964"</f>
        <v>274964</v>
      </c>
      <c r="B38414" t="s">
        <v>3848</v>
      </c>
      <c r="C38414" t="s">
        <v>209</v>
      </c>
      <c r="D38414" s="21" t="s">
        <v>34</v>
      </c>
      <c r="E38414" s="21" t="s">
        <v>254</v>
      </c>
      <c r="F38414">
        <v>9270063</v>
      </c>
      <c r="G38414" t="s">
        <v>808</v>
      </c>
      <c r="H38414" s="21">
        <v>478</v>
      </c>
    </row>
    <row r="38415" spans="1:8" customFormat="1" x14ac:dyDescent="0.25">
      <c r="A38415" t="str">
        <f>"7811535"</f>
        <v>7811535</v>
      </c>
      <c r="B38415" t="s">
        <v>22796</v>
      </c>
      <c r="C38415" t="s">
        <v>415</v>
      </c>
      <c r="D38415" s="21" t="s">
        <v>34</v>
      </c>
      <c r="E38415" s="21" t="s">
        <v>1089</v>
      </c>
      <c r="F38415">
        <v>3220139</v>
      </c>
      <c r="G38415" t="s">
        <v>27114</v>
      </c>
      <c r="H38415" s="21">
        <v>478</v>
      </c>
    </row>
    <row r="38416" spans="1:8" customFormat="1" x14ac:dyDescent="0.25">
      <c r="A38416" t="str">
        <f>"7924114"</f>
        <v>7924114</v>
      </c>
      <c r="B38416" t="s">
        <v>29594</v>
      </c>
      <c r="C38416" t="s">
        <v>139</v>
      </c>
      <c r="D38416" s="21" t="s">
        <v>34</v>
      </c>
      <c r="E38416" s="21" t="s">
        <v>35</v>
      </c>
      <c r="F38416">
        <v>10790042</v>
      </c>
      <c r="G38416" t="s">
        <v>2092</v>
      </c>
      <c r="H38416" s="21">
        <v>478</v>
      </c>
    </row>
    <row r="38417" spans="1:8" customFormat="1" x14ac:dyDescent="0.25">
      <c r="A38417" t="str">
        <f>"1423691"</f>
        <v>1423691</v>
      </c>
      <c r="B38417" t="s">
        <v>12292</v>
      </c>
      <c r="C38417" t="s">
        <v>22619</v>
      </c>
      <c r="D38417" s="21" t="s">
        <v>34</v>
      </c>
      <c r="E38417" s="21" t="s">
        <v>35</v>
      </c>
      <c r="F38417">
        <v>9140128</v>
      </c>
      <c r="G38417" t="s">
        <v>2798</v>
      </c>
      <c r="H38417" s="21">
        <v>478</v>
      </c>
    </row>
    <row r="38418" spans="1:8" customFormat="1" x14ac:dyDescent="0.25">
      <c r="A38418" t="str">
        <f>"297691"</f>
        <v>297691</v>
      </c>
      <c r="B38418" t="s">
        <v>9029</v>
      </c>
      <c r="C38418" t="s">
        <v>926</v>
      </c>
      <c r="D38418" s="21" t="s">
        <v>34</v>
      </c>
      <c r="E38418" s="21" t="s">
        <v>71</v>
      </c>
      <c r="F38418">
        <v>3290249</v>
      </c>
      <c r="G38418" t="s">
        <v>7914</v>
      </c>
      <c r="H38418" s="21">
        <v>478</v>
      </c>
    </row>
    <row r="38419" spans="1:8" customFormat="1" x14ac:dyDescent="0.25">
      <c r="A38419" t="str">
        <f>"2939293"</f>
        <v>2939293</v>
      </c>
      <c r="B38419" t="s">
        <v>21109</v>
      </c>
      <c r="C38419" t="s">
        <v>249</v>
      </c>
      <c r="D38419" s="21" t="s">
        <v>34</v>
      </c>
      <c r="E38419" s="21" t="s">
        <v>254</v>
      </c>
      <c r="F38419">
        <v>3290221</v>
      </c>
      <c r="G38419" t="s">
        <v>3544</v>
      </c>
      <c r="H38419" s="21">
        <v>478</v>
      </c>
    </row>
    <row r="38420" spans="1:8" customFormat="1" x14ac:dyDescent="0.25">
      <c r="A38420" t="str">
        <f>"5981244"</f>
        <v>5981244</v>
      </c>
      <c r="B38420" t="s">
        <v>4834</v>
      </c>
      <c r="C38420" t="s">
        <v>124</v>
      </c>
      <c r="D38420" s="21" t="s">
        <v>34</v>
      </c>
      <c r="E38420" s="21" t="s">
        <v>35</v>
      </c>
      <c r="F38420">
        <v>7590412</v>
      </c>
      <c r="G38420" t="s">
        <v>489</v>
      </c>
      <c r="H38420" s="21">
        <v>478</v>
      </c>
    </row>
    <row r="38421" spans="1:8" customFormat="1" x14ac:dyDescent="0.25">
      <c r="A38421" t="str">
        <f>"2718777"</f>
        <v>2718777</v>
      </c>
      <c r="B38421" t="s">
        <v>8918</v>
      </c>
      <c r="C38421" t="s">
        <v>415</v>
      </c>
      <c r="D38421" s="21" t="s">
        <v>34</v>
      </c>
      <c r="E38421" s="21" t="s">
        <v>254</v>
      </c>
      <c r="F38421">
        <v>9270015</v>
      </c>
      <c r="G38421" t="s">
        <v>8095</v>
      </c>
      <c r="H38421" s="21">
        <v>478</v>
      </c>
    </row>
    <row r="38422" spans="1:8" customFormat="1" x14ac:dyDescent="0.25">
      <c r="A38422" t="str">
        <f>"7639373"</f>
        <v>7639373</v>
      </c>
      <c r="B38422" t="s">
        <v>24525</v>
      </c>
      <c r="C38422" t="s">
        <v>867</v>
      </c>
      <c r="D38422" s="21" t="s">
        <v>34</v>
      </c>
      <c r="E38422" s="21" t="s">
        <v>35</v>
      </c>
      <c r="F38422">
        <v>9760069</v>
      </c>
      <c r="G38422" t="s">
        <v>13196</v>
      </c>
      <c r="H38422" s="21">
        <v>478</v>
      </c>
    </row>
    <row r="38423" spans="1:8" customFormat="1" x14ac:dyDescent="0.25">
      <c r="A38423" t="str">
        <f>"3425568"</f>
        <v>3425568</v>
      </c>
      <c r="B38423" t="s">
        <v>136</v>
      </c>
      <c r="C38423" t="s">
        <v>3073</v>
      </c>
      <c r="D38423" s="21" t="s">
        <v>34</v>
      </c>
      <c r="E38423" s="21" t="s">
        <v>254</v>
      </c>
      <c r="F38423">
        <v>11340073</v>
      </c>
      <c r="G38423" t="s">
        <v>15005</v>
      </c>
      <c r="H38423" s="21">
        <v>478</v>
      </c>
    </row>
    <row r="38424" spans="1:8" customFormat="1" x14ac:dyDescent="0.25">
      <c r="A38424" t="str">
        <f>"246981"</f>
        <v>246981</v>
      </c>
      <c r="B38424" t="s">
        <v>10628</v>
      </c>
      <c r="C38424" t="s">
        <v>415</v>
      </c>
      <c r="D38424" s="21" t="s">
        <v>34</v>
      </c>
      <c r="E38424" s="21" t="s">
        <v>71</v>
      </c>
      <c r="F38424">
        <v>10240036</v>
      </c>
      <c r="G38424" t="s">
        <v>20814</v>
      </c>
      <c r="H38424" s="21">
        <v>478</v>
      </c>
    </row>
    <row r="38425" spans="1:8" customFormat="1" x14ac:dyDescent="0.25">
      <c r="A38425" t="str">
        <f>"5983137"</f>
        <v>5983137</v>
      </c>
      <c r="B38425" t="s">
        <v>22718</v>
      </c>
      <c r="C38425" t="s">
        <v>239</v>
      </c>
      <c r="D38425" s="21" t="s">
        <v>34</v>
      </c>
      <c r="E38425" s="21" t="s">
        <v>35</v>
      </c>
      <c r="F38425">
        <v>7590114</v>
      </c>
      <c r="G38425" t="s">
        <v>6332</v>
      </c>
      <c r="H38425" s="21">
        <v>478</v>
      </c>
    </row>
    <row r="38426" spans="1:8" customFormat="1" x14ac:dyDescent="0.25">
      <c r="A38426" t="str">
        <f>"8528501"</f>
        <v>8528501</v>
      </c>
      <c r="B38426" t="s">
        <v>23003</v>
      </c>
      <c r="C38426" t="s">
        <v>263</v>
      </c>
      <c r="D38426" s="21" t="s">
        <v>34</v>
      </c>
      <c r="E38426" s="21" t="s">
        <v>1089</v>
      </c>
      <c r="F38426">
        <v>12850008</v>
      </c>
      <c r="G38426" t="s">
        <v>4248</v>
      </c>
      <c r="H38426" s="21">
        <v>478</v>
      </c>
    </row>
    <row r="38427" spans="1:8" customFormat="1" x14ac:dyDescent="0.25">
      <c r="A38427" t="str">
        <f>"4211738"</f>
        <v>4211738</v>
      </c>
      <c r="B38427" t="s">
        <v>15680</v>
      </c>
      <c r="C38427" t="s">
        <v>285</v>
      </c>
      <c r="D38427" s="21" t="s">
        <v>34</v>
      </c>
      <c r="E38427" s="21" t="s">
        <v>71</v>
      </c>
      <c r="F38427">
        <v>1420307</v>
      </c>
      <c r="G38427" t="s">
        <v>26676</v>
      </c>
      <c r="H38427" s="21">
        <v>478</v>
      </c>
    </row>
    <row r="38428" spans="1:8" customFormat="1" x14ac:dyDescent="0.25">
      <c r="A38428" t="str">
        <f>"905974"</f>
        <v>905974</v>
      </c>
      <c r="B38428" t="s">
        <v>9251</v>
      </c>
      <c r="C38428" t="s">
        <v>2907</v>
      </c>
      <c r="D38428" s="21" t="s">
        <v>34</v>
      </c>
      <c r="E38428" s="21" t="s">
        <v>35</v>
      </c>
      <c r="F38428">
        <v>2900015</v>
      </c>
      <c r="G38428" t="s">
        <v>10349</v>
      </c>
      <c r="H38428" s="21">
        <v>478</v>
      </c>
    </row>
    <row r="38429" spans="1:8" customFormat="1" x14ac:dyDescent="0.25">
      <c r="A38429" t="str">
        <f>"2937824"</f>
        <v>2937824</v>
      </c>
      <c r="B38429" t="s">
        <v>4609</v>
      </c>
      <c r="C38429" t="s">
        <v>459</v>
      </c>
      <c r="D38429" s="21" t="s">
        <v>34</v>
      </c>
      <c r="E38429" s="21" t="s">
        <v>35</v>
      </c>
      <c r="F38429">
        <v>3290011</v>
      </c>
      <c r="G38429" t="s">
        <v>7083</v>
      </c>
      <c r="H38429" s="21">
        <v>478</v>
      </c>
    </row>
    <row r="38430" spans="1:8" customFormat="1" x14ac:dyDescent="0.25">
      <c r="A38430" t="str">
        <f>"5982840"</f>
        <v>5982840</v>
      </c>
      <c r="B38430" t="s">
        <v>29595</v>
      </c>
      <c r="C38430" t="s">
        <v>29596</v>
      </c>
      <c r="D38430" s="21" t="s">
        <v>34</v>
      </c>
      <c r="E38430" s="21" t="s">
        <v>35</v>
      </c>
      <c r="F38430">
        <v>7590049</v>
      </c>
      <c r="G38430" t="s">
        <v>11040</v>
      </c>
      <c r="H38430" s="21">
        <v>478</v>
      </c>
    </row>
    <row r="38431" spans="1:8" customFormat="1" x14ac:dyDescent="0.25">
      <c r="A38431" t="str">
        <f>"3728548"</f>
        <v>3728548</v>
      </c>
      <c r="B38431" t="s">
        <v>24545</v>
      </c>
      <c r="C38431" t="s">
        <v>119</v>
      </c>
      <c r="D38431" s="21" t="s">
        <v>34</v>
      </c>
      <c r="E38431" s="21" t="s">
        <v>35</v>
      </c>
      <c r="F38431">
        <v>4370004</v>
      </c>
      <c r="G38431" t="s">
        <v>6049</v>
      </c>
      <c r="H38431" s="21">
        <v>478</v>
      </c>
    </row>
    <row r="38432" spans="1:8" customFormat="1" x14ac:dyDescent="0.25">
      <c r="A38432" t="str">
        <f>"3726154"</f>
        <v>3726154</v>
      </c>
      <c r="B38432" t="s">
        <v>24120</v>
      </c>
      <c r="C38432" t="s">
        <v>513</v>
      </c>
      <c r="D38432" s="21" t="s">
        <v>34</v>
      </c>
      <c r="E38432" s="21" t="s">
        <v>35</v>
      </c>
      <c r="F38432">
        <v>4370442</v>
      </c>
      <c r="G38432" t="s">
        <v>7869</v>
      </c>
      <c r="H38432" s="21">
        <v>478</v>
      </c>
    </row>
    <row r="38433" spans="1:8" customFormat="1" x14ac:dyDescent="0.25">
      <c r="A38433" t="str">
        <f>"3729162"</f>
        <v>3729162</v>
      </c>
      <c r="B38433" t="s">
        <v>10326</v>
      </c>
      <c r="C38433" t="s">
        <v>462</v>
      </c>
      <c r="D38433" s="21" t="s">
        <v>34</v>
      </c>
      <c r="E38433" s="21" t="s">
        <v>35</v>
      </c>
      <c r="F38433">
        <v>4370729</v>
      </c>
      <c r="G38433" t="s">
        <v>15423</v>
      </c>
      <c r="H38433" s="21">
        <v>478</v>
      </c>
    </row>
    <row r="38434" spans="1:8" customFormat="1" x14ac:dyDescent="0.25">
      <c r="A38434" t="str">
        <f>"706712"</f>
        <v>706712</v>
      </c>
      <c r="B38434" t="s">
        <v>4093</v>
      </c>
      <c r="C38434" t="s">
        <v>269</v>
      </c>
      <c r="D38434" s="21" t="s">
        <v>34</v>
      </c>
      <c r="E38434" s="21" t="s">
        <v>71</v>
      </c>
      <c r="F38434">
        <v>2700087</v>
      </c>
      <c r="G38434" t="s">
        <v>10833</v>
      </c>
      <c r="H38434" s="21">
        <v>478</v>
      </c>
    </row>
    <row r="38435" spans="1:8" customFormat="1" x14ac:dyDescent="0.25">
      <c r="A38435" t="str">
        <f>"6813054"</f>
        <v>6813054</v>
      </c>
      <c r="B38435" t="s">
        <v>24005</v>
      </c>
      <c r="C38435" t="s">
        <v>926</v>
      </c>
      <c r="D38435" s="21" t="s">
        <v>34</v>
      </c>
      <c r="E38435" s="21" t="s">
        <v>35</v>
      </c>
      <c r="F38435">
        <v>6680125</v>
      </c>
      <c r="G38435" t="s">
        <v>6543</v>
      </c>
      <c r="H38435" s="21">
        <v>478</v>
      </c>
    </row>
    <row r="38436" spans="1:8" customFormat="1" x14ac:dyDescent="0.25">
      <c r="A38436" t="str">
        <f>"7639974"</f>
        <v>7639974</v>
      </c>
      <c r="B38436" t="s">
        <v>23954</v>
      </c>
      <c r="C38436" t="s">
        <v>119</v>
      </c>
      <c r="D38436" s="21" t="s">
        <v>34</v>
      </c>
      <c r="E38436" s="21" t="s">
        <v>35</v>
      </c>
      <c r="F38436">
        <v>9760315</v>
      </c>
      <c r="G38436" t="s">
        <v>12345</v>
      </c>
      <c r="H38436" s="21">
        <v>478</v>
      </c>
    </row>
    <row r="38437" spans="1:8" customFormat="1" x14ac:dyDescent="0.25">
      <c r="A38437" t="str">
        <f>"9310653"</f>
        <v>9310653</v>
      </c>
      <c r="B38437" t="s">
        <v>4486</v>
      </c>
      <c r="C38437" t="s">
        <v>2546</v>
      </c>
      <c r="D38437" s="21" t="s">
        <v>34</v>
      </c>
      <c r="E38437" s="21" t="s">
        <v>1089</v>
      </c>
      <c r="F38437">
        <v>8931057</v>
      </c>
      <c r="G38437" t="s">
        <v>1011</v>
      </c>
      <c r="H38437" s="21">
        <v>477.92</v>
      </c>
    </row>
    <row r="38438" spans="1:8" customFormat="1" x14ac:dyDescent="0.25">
      <c r="A38438" t="str">
        <f>"125187"</f>
        <v>125187</v>
      </c>
      <c r="B38438" t="s">
        <v>29597</v>
      </c>
      <c r="C38438" t="s">
        <v>33</v>
      </c>
      <c r="D38438" s="21" t="s">
        <v>34</v>
      </c>
      <c r="E38438" s="21" t="s">
        <v>71</v>
      </c>
      <c r="F38438">
        <v>11120045</v>
      </c>
      <c r="G38438" t="s">
        <v>13082</v>
      </c>
      <c r="H38438" s="21">
        <v>477.75</v>
      </c>
    </row>
    <row r="38439" spans="1:8" customFormat="1" x14ac:dyDescent="0.25">
      <c r="A38439" t="str">
        <f>"2218875"</f>
        <v>2218875</v>
      </c>
      <c r="B38439" t="s">
        <v>24169</v>
      </c>
      <c r="C38439" t="s">
        <v>598</v>
      </c>
      <c r="D38439" s="21" t="s">
        <v>34</v>
      </c>
      <c r="E38439" s="21" t="s">
        <v>254</v>
      </c>
      <c r="F38439">
        <v>3220142</v>
      </c>
      <c r="G38439" t="s">
        <v>14759</v>
      </c>
      <c r="H38439" s="21">
        <v>477.75</v>
      </c>
    </row>
    <row r="38440" spans="1:8" customFormat="1" x14ac:dyDescent="0.25">
      <c r="A38440" t="str">
        <f>"4528544"</f>
        <v>4528544</v>
      </c>
      <c r="B38440" t="s">
        <v>29598</v>
      </c>
      <c r="C38440" t="s">
        <v>598</v>
      </c>
      <c r="D38440" s="21" t="s">
        <v>34</v>
      </c>
      <c r="E38440" s="21" t="s">
        <v>254</v>
      </c>
      <c r="F38440">
        <v>4450295</v>
      </c>
      <c r="G38440" t="s">
        <v>9193</v>
      </c>
      <c r="H38440" s="21">
        <v>477.75</v>
      </c>
    </row>
    <row r="38441" spans="1:8" customFormat="1" x14ac:dyDescent="0.25">
      <c r="A38441" t="str">
        <f>"381423"</f>
        <v>381423</v>
      </c>
      <c r="B38441" t="s">
        <v>21059</v>
      </c>
      <c r="C38441" t="s">
        <v>1665</v>
      </c>
      <c r="D38441" s="21" t="s">
        <v>34</v>
      </c>
      <c r="E38441" s="21" t="s">
        <v>254</v>
      </c>
      <c r="F38441">
        <v>1380225</v>
      </c>
      <c r="G38441" t="s">
        <v>4441</v>
      </c>
      <c r="H38441" s="21">
        <v>477.67</v>
      </c>
    </row>
    <row r="38442" spans="1:8" customFormat="1" x14ac:dyDescent="0.25">
      <c r="A38442" t="str">
        <f>"2936372"</f>
        <v>2936372</v>
      </c>
      <c r="B38442" t="s">
        <v>21740</v>
      </c>
      <c r="C38442" t="s">
        <v>169</v>
      </c>
      <c r="D38442" s="21" t="s">
        <v>34</v>
      </c>
      <c r="E38442" s="21" t="s">
        <v>35</v>
      </c>
      <c r="F38442">
        <v>3290208</v>
      </c>
      <c r="G38442" t="s">
        <v>1553</v>
      </c>
      <c r="H38442" s="21">
        <v>477.67</v>
      </c>
    </row>
    <row r="38443" spans="1:8" customFormat="1" x14ac:dyDescent="0.25">
      <c r="A38443" t="str">
        <f>"247147"</f>
        <v>247147</v>
      </c>
      <c r="B38443" t="s">
        <v>9326</v>
      </c>
      <c r="C38443" t="s">
        <v>1100</v>
      </c>
      <c r="D38443" s="21" t="s">
        <v>34</v>
      </c>
      <c r="E38443" s="21" t="s">
        <v>35</v>
      </c>
      <c r="F38443">
        <v>10240018</v>
      </c>
      <c r="G38443" t="s">
        <v>3007</v>
      </c>
      <c r="H38443" s="21">
        <v>477.5</v>
      </c>
    </row>
    <row r="38444" spans="1:8" customFormat="1" x14ac:dyDescent="0.25">
      <c r="A38444" t="str">
        <f>"7639114"</f>
        <v>7639114</v>
      </c>
      <c r="B38444" t="s">
        <v>679</v>
      </c>
      <c r="C38444" t="s">
        <v>453</v>
      </c>
      <c r="D38444" s="21" t="s">
        <v>34</v>
      </c>
      <c r="E38444" s="21" t="s">
        <v>71</v>
      </c>
      <c r="F38444">
        <v>9760379</v>
      </c>
      <c r="G38444" t="s">
        <v>18639</v>
      </c>
      <c r="H38444" s="21">
        <v>477.5</v>
      </c>
    </row>
    <row r="38445" spans="1:8" customFormat="1" x14ac:dyDescent="0.25">
      <c r="A38445" t="str">
        <f>"2517321"</f>
        <v>2517321</v>
      </c>
      <c r="B38445" t="s">
        <v>23128</v>
      </c>
      <c r="C38445" t="s">
        <v>263</v>
      </c>
      <c r="D38445" s="21" t="s">
        <v>34</v>
      </c>
      <c r="E38445" s="21" t="s">
        <v>254</v>
      </c>
      <c r="F38445">
        <v>2250216</v>
      </c>
      <c r="G38445" t="s">
        <v>11454</v>
      </c>
      <c r="H38445" s="21">
        <v>477.5</v>
      </c>
    </row>
    <row r="38446" spans="1:8" customFormat="1" x14ac:dyDescent="0.25">
      <c r="A38446" t="str">
        <f>"6234299"</f>
        <v>6234299</v>
      </c>
      <c r="B38446" t="s">
        <v>12917</v>
      </c>
      <c r="C38446" t="s">
        <v>2305</v>
      </c>
      <c r="D38446" s="21" t="s">
        <v>34</v>
      </c>
      <c r="E38446" s="21" t="s">
        <v>254</v>
      </c>
      <c r="F38446">
        <v>7620016</v>
      </c>
      <c r="G38446" t="s">
        <v>6850</v>
      </c>
      <c r="H38446" s="21">
        <v>477.5</v>
      </c>
    </row>
    <row r="38447" spans="1:8" customFormat="1" x14ac:dyDescent="0.25">
      <c r="A38447" t="str">
        <f>"721601"</f>
        <v>721601</v>
      </c>
      <c r="B38447" t="s">
        <v>24341</v>
      </c>
      <c r="C38447" t="s">
        <v>239</v>
      </c>
      <c r="D38447" s="21" t="s">
        <v>34</v>
      </c>
      <c r="E38447" s="21" t="s">
        <v>254</v>
      </c>
      <c r="F38447">
        <v>12720058</v>
      </c>
      <c r="G38447" t="s">
        <v>17331</v>
      </c>
      <c r="H38447" s="21">
        <v>477.5</v>
      </c>
    </row>
    <row r="38448" spans="1:8" customFormat="1" x14ac:dyDescent="0.25">
      <c r="A38448" t="str">
        <f>"9534825"</f>
        <v>9534825</v>
      </c>
      <c r="B38448" t="s">
        <v>7670</v>
      </c>
      <c r="C38448" t="s">
        <v>498</v>
      </c>
      <c r="D38448" s="21" t="s">
        <v>34</v>
      </c>
      <c r="E38448" s="21" t="s">
        <v>35</v>
      </c>
      <c r="F38448">
        <v>8951312</v>
      </c>
      <c r="G38448" t="s">
        <v>1007</v>
      </c>
      <c r="H38448" s="21">
        <v>477.5</v>
      </c>
    </row>
    <row r="38449" spans="1:8" customFormat="1" x14ac:dyDescent="0.25">
      <c r="A38449" t="str">
        <f>"5980328"</f>
        <v>5980328</v>
      </c>
      <c r="B38449" t="s">
        <v>24390</v>
      </c>
      <c r="C38449" t="s">
        <v>1754</v>
      </c>
      <c r="D38449" s="21" t="s">
        <v>34</v>
      </c>
      <c r="E38449" s="21" t="s">
        <v>71</v>
      </c>
      <c r="F38449">
        <v>7590114</v>
      </c>
      <c r="G38449" t="s">
        <v>6332</v>
      </c>
      <c r="H38449" s="21">
        <v>477.5</v>
      </c>
    </row>
    <row r="38450" spans="1:8" customFormat="1" x14ac:dyDescent="0.25">
      <c r="A38450" t="str">
        <f>"5018322"</f>
        <v>5018322</v>
      </c>
      <c r="B38450" t="s">
        <v>18945</v>
      </c>
      <c r="C38450" t="s">
        <v>3905</v>
      </c>
      <c r="D38450" s="21" t="s">
        <v>34</v>
      </c>
      <c r="E38450" s="21" t="s">
        <v>254</v>
      </c>
      <c r="F38450">
        <v>9500088</v>
      </c>
      <c r="G38450" t="s">
        <v>15949</v>
      </c>
      <c r="H38450" s="21">
        <v>477.5</v>
      </c>
    </row>
    <row r="38451" spans="1:8" customFormat="1" x14ac:dyDescent="0.25">
      <c r="A38451" t="str">
        <f>"9143488"</f>
        <v>9143488</v>
      </c>
      <c r="B38451" t="s">
        <v>12665</v>
      </c>
      <c r="C38451" t="s">
        <v>121</v>
      </c>
      <c r="D38451" s="21" t="s">
        <v>34</v>
      </c>
      <c r="E38451" s="21" t="s">
        <v>35</v>
      </c>
      <c r="F38451">
        <v>10330002</v>
      </c>
      <c r="G38451" t="s">
        <v>53</v>
      </c>
      <c r="H38451" s="21">
        <v>477.5</v>
      </c>
    </row>
    <row r="38452" spans="1:8" customFormat="1" x14ac:dyDescent="0.25">
      <c r="A38452" t="str">
        <f>"5983814"</f>
        <v>5983814</v>
      </c>
      <c r="B38452" t="s">
        <v>17746</v>
      </c>
      <c r="C38452" t="s">
        <v>209</v>
      </c>
      <c r="D38452" s="21" t="s">
        <v>34</v>
      </c>
      <c r="E38452" s="21" t="s">
        <v>71</v>
      </c>
      <c r="F38452">
        <v>7590195</v>
      </c>
      <c r="G38452" t="s">
        <v>5332</v>
      </c>
      <c r="H38452" s="21">
        <v>477.5</v>
      </c>
    </row>
    <row r="38453" spans="1:8" customFormat="1" x14ac:dyDescent="0.25">
      <c r="A38453" t="str">
        <f>"5326293"</f>
        <v>5326293</v>
      </c>
      <c r="B38453" t="s">
        <v>4885</v>
      </c>
      <c r="C38453" t="s">
        <v>3662</v>
      </c>
      <c r="D38453" s="21" t="s">
        <v>34</v>
      </c>
      <c r="E38453" s="21" t="s">
        <v>35</v>
      </c>
      <c r="F38453">
        <v>12530146</v>
      </c>
      <c r="G38453" t="s">
        <v>10916</v>
      </c>
      <c r="H38453" s="21">
        <v>477.5</v>
      </c>
    </row>
    <row r="38454" spans="1:8" customFormat="1" x14ac:dyDescent="0.25">
      <c r="A38454" t="str">
        <f>"6726188"</f>
        <v>6726188</v>
      </c>
      <c r="B38454" t="s">
        <v>3576</v>
      </c>
      <c r="C38454" t="s">
        <v>249</v>
      </c>
      <c r="D38454" s="21" t="s">
        <v>34</v>
      </c>
      <c r="E38454" s="21" t="s">
        <v>71</v>
      </c>
      <c r="F38454">
        <v>6670014</v>
      </c>
      <c r="G38454" t="s">
        <v>4258</v>
      </c>
      <c r="H38454" s="21">
        <v>477.5</v>
      </c>
    </row>
    <row r="38455" spans="1:8" customFormat="1" x14ac:dyDescent="0.25">
      <c r="A38455" t="str">
        <f>"4410762"</f>
        <v>4410762</v>
      </c>
      <c r="B38455" t="s">
        <v>12552</v>
      </c>
      <c r="C38455" t="s">
        <v>33</v>
      </c>
      <c r="D38455" s="21" t="s">
        <v>34</v>
      </c>
      <c r="E38455" s="21" t="s">
        <v>35</v>
      </c>
      <c r="F38455">
        <v>12440054</v>
      </c>
      <c r="G38455" t="s">
        <v>5474</v>
      </c>
      <c r="H38455" s="21">
        <v>477.5</v>
      </c>
    </row>
    <row r="38456" spans="1:8" customFormat="1" x14ac:dyDescent="0.25">
      <c r="A38456" t="str">
        <f>"535563"</f>
        <v>535563</v>
      </c>
      <c r="B38456" t="s">
        <v>15814</v>
      </c>
      <c r="C38456" t="s">
        <v>598</v>
      </c>
      <c r="D38456" s="21" t="s">
        <v>34</v>
      </c>
      <c r="E38456" s="21" t="s">
        <v>254</v>
      </c>
      <c r="F38456">
        <v>12530117</v>
      </c>
      <c r="G38456" t="s">
        <v>1209</v>
      </c>
      <c r="H38456" s="21">
        <v>477.5</v>
      </c>
    </row>
    <row r="38457" spans="1:8" customFormat="1" x14ac:dyDescent="0.25">
      <c r="A38457" t="str">
        <f>"9319304"</f>
        <v>9319304</v>
      </c>
      <c r="B38457" t="s">
        <v>24250</v>
      </c>
      <c r="C38457" t="s">
        <v>24251</v>
      </c>
      <c r="D38457" s="21" t="s">
        <v>34</v>
      </c>
      <c r="E38457" s="21" t="s">
        <v>71</v>
      </c>
      <c r="F38457">
        <v>8930059</v>
      </c>
      <c r="G38457" t="s">
        <v>17436</v>
      </c>
      <c r="H38457" s="21">
        <v>477.25</v>
      </c>
    </row>
    <row r="38458" spans="1:8" customFormat="1" x14ac:dyDescent="0.25">
      <c r="A38458" t="str">
        <f>"7522496"</f>
        <v>7522496</v>
      </c>
      <c r="B38458" t="s">
        <v>23400</v>
      </c>
      <c r="C38458" t="s">
        <v>119</v>
      </c>
      <c r="D38458" s="21" t="s">
        <v>34</v>
      </c>
      <c r="E38458" s="21" t="s">
        <v>71</v>
      </c>
      <c r="F38458">
        <v>8751061</v>
      </c>
      <c r="G38458" t="s">
        <v>26628</v>
      </c>
      <c r="H38458" s="21">
        <v>477.25</v>
      </c>
    </row>
    <row r="38459" spans="1:8" customFormat="1" x14ac:dyDescent="0.25">
      <c r="A38459" t="str">
        <f>"3012467"</f>
        <v>3012467</v>
      </c>
      <c r="B38459" t="s">
        <v>22213</v>
      </c>
      <c r="C38459" t="s">
        <v>87</v>
      </c>
      <c r="D38459" s="21" t="s">
        <v>34</v>
      </c>
      <c r="E38459" s="21" t="s">
        <v>71</v>
      </c>
      <c r="F38459">
        <v>11300041</v>
      </c>
      <c r="G38459" t="s">
        <v>8074</v>
      </c>
      <c r="H38459" s="21">
        <v>477.17</v>
      </c>
    </row>
    <row r="38460" spans="1:8" customFormat="1" x14ac:dyDescent="0.25">
      <c r="A38460" t="str">
        <f>"188469"</f>
        <v>188469</v>
      </c>
      <c r="B38460" t="s">
        <v>24246</v>
      </c>
      <c r="C38460" t="s">
        <v>1705</v>
      </c>
      <c r="D38460" s="21" t="s">
        <v>34</v>
      </c>
      <c r="E38460" s="21" t="s">
        <v>71</v>
      </c>
      <c r="F38460">
        <v>4180732</v>
      </c>
      <c r="G38460" t="s">
        <v>14645</v>
      </c>
      <c r="H38460" s="21">
        <v>477</v>
      </c>
    </row>
    <row r="38461" spans="1:8" customFormat="1" x14ac:dyDescent="0.25">
      <c r="A38461" t="str">
        <f>"646839"</f>
        <v>646839</v>
      </c>
      <c r="B38461" t="s">
        <v>5359</v>
      </c>
      <c r="C38461" t="s">
        <v>493</v>
      </c>
      <c r="D38461" s="21" t="s">
        <v>34</v>
      </c>
      <c r="E38461" s="21" t="s">
        <v>35</v>
      </c>
      <c r="F38461">
        <v>10640004</v>
      </c>
      <c r="G38461" t="s">
        <v>26618</v>
      </c>
      <c r="H38461" s="21">
        <v>477</v>
      </c>
    </row>
    <row r="38462" spans="1:8" customFormat="1" x14ac:dyDescent="0.25">
      <c r="A38462" t="str">
        <f>"5326324"</f>
        <v>5326324</v>
      </c>
      <c r="B38462" t="s">
        <v>21868</v>
      </c>
      <c r="C38462" t="s">
        <v>209</v>
      </c>
      <c r="D38462" s="21" t="s">
        <v>34</v>
      </c>
      <c r="E38462" s="21" t="s">
        <v>71</v>
      </c>
      <c r="F38462">
        <v>12530008</v>
      </c>
      <c r="G38462" t="s">
        <v>7920</v>
      </c>
      <c r="H38462" s="21">
        <v>477</v>
      </c>
    </row>
    <row r="38463" spans="1:8" customFormat="1" x14ac:dyDescent="0.25">
      <c r="A38463" t="str">
        <f>"0617909"</f>
        <v>0617909</v>
      </c>
      <c r="B38463" t="s">
        <v>29599</v>
      </c>
      <c r="C38463" t="s">
        <v>29600</v>
      </c>
      <c r="D38463" s="21" t="s">
        <v>34</v>
      </c>
      <c r="E38463" s="21" t="s">
        <v>71</v>
      </c>
      <c r="F38463">
        <v>13060102</v>
      </c>
      <c r="G38463" t="s">
        <v>2918</v>
      </c>
      <c r="H38463" s="21">
        <v>477</v>
      </c>
    </row>
    <row r="38464" spans="1:8" customFormat="1" x14ac:dyDescent="0.25">
      <c r="A38464" t="str">
        <f>"7414527"</f>
        <v>7414527</v>
      </c>
      <c r="B38464" t="s">
        <v>23825</v>
      </c>
      <c r="C38464" t="s">
        <v>267</v>
      </c>
      <c r="D38464" s="21" t="s">
        <v>34</v>
      </c>
      <c r="E38464" s="21" t="s">
        <v>35</v>
      </c>
      <c r="F38464">
        <v>1740045</v>
      </c>
      <c r="G38464" t="s">
        <v>9857</v>
      </c>
      <c r="H38464" s="21">
        <v>477</v>
      </c>
    </row>
    <row r="38465" spans="1:8" customFormat="1" x14ac:dyDescent="0.25">
      <c r="A38465" t="str">
        <f>"3713955"</f>
        <v>3713955</v>
      </c>
      <c r="B38465" t="s">
        <v>623</v>
      </c>
      <c r="C38465" t="s">
        <v>879</v>
      </c>
      <c r="D38465" s="21" t="s">
        <v>34</v>
      </c>
      <c r="E38465" s="21" t="s">
        <v>71</v>
      </c>
      <c r="F38465">
        <v>4370269</v>
      </c>
      <c r="G38465" t="s">
        <v>4277</v>
      </c>
      <c r="H38465" s="21">
        <v>477</v>
      </c>
    </row>
    <row r="38466" spans="1:8" customFormat="1" x14ac:dyDescent="0.25">
      <c r="A38466" t="str">
        <f>"535627"</f>
        <v>535627</v>
      </c>
      <c r="B38466" t="s">
        <v>24595</v>
      </c>
      <c r="C38466" t="s">
        <v>3073</v>
      </c>
      <c r="D38466" s="21" t="s">
        <v>34</v>
      </c>
      <c r="E38466" s="21" t="s">
        <v>254</v>
      </c>
      <c r="F38466">
        <v>12530007</v>
      </c>
      <c r="G38466" t="s">
        <v>2966</v>
      </c>
      <c r="H38466" s="21">
        <v>477</v>
      </c>
    </row>
    <row r="38467" spans="1:8" customFormat="1" x14ac:dyDescent="0.25">
      <c r="A38467" t="str">
        <f>"6948042"</f>
        <v>6948042</v>
      </c>
      <c r="B38467" t="s">
        <v>23029</v>
      </c>
      <c r="C38467" t="s">
        <v>139</v>
      </c>
      <c r="D38467" s="21" t="s">
        <v>34</v>
      </c>
      <c r="E38467" s="21" t="s">
        <v>35</v>
      </c>
      <c r="F38467">
        <v>1690196</v>
      </c>
      <c r="G38467" t="s">
        <v>6149</v>
      </c>
      <c r="H38467" s="21">
        <v>477</v>
      </c>
    </row>
    <row r="38468" spans="1:8" customFormat="1" x14ac:dyDescent="0.25">
      <c r="A38468" t="str">
        <f>"5622073"</f>
        <v>5622073</v>
      </c>
      <c r="B38468" t="s">
        <v>10236</v>
      </c>
      <c r="C38468" t="s">
        <v>236</v>
      </c>
      <c r="D38468" s="21" t="s">
        <v>34</v>
      </c>
      <c r="E38468" s="21" t="s">
        <v>35</v>
      </c>
      <c r="F38468">
        <v>3560090</v>
      </c>
      <c r="G38468" t="s">
        <v>7777</v>
      </c>
      <c r="H38468" s="21">
        <v>477</v>
      </c>
    </row>
    <row r="38469" spans="1:8" customFormat="1" x14ac:dyDescent="0.25">
      <c r="A38469" t="str">
        <f>"5314941"</f>
        <v>5314941</v>
      </c>
      <c r="B38469" t="s">
        <v>1028</v>
      </c>
      <c r="C38469" t="s">
        <v>151</v>
      </c>
      <c r="D38469" s="21" t="s">
        <v>34</v>
      </c>
      <c r="E38469" s="21" t="s">
        <v>35</v>
      </c>
      <c r="F38469">
        <v>12530077</v>
      </c>
      <c r="G38469" t="s">
        <v>9191</v>
      </c>
      <c r="H38469" s="21">
        <v>477</v>
      </c>
    </row>
    <row r="38470" spans="1:8" customFormat="1" x14ac:dyDescent="0.25">
      <c r="A38470" t="str">
        <f>"3344098"</f>
        <v>3344098</v>
      </c>
      <c r="B38470" t="s">
        <v>14485</v>
      </c>
      <c r="C38470" t="s">
        <v>305</v>
      </c>
      <c r="D38470" s="21" t="s">
        <v>34</v>
      </c>
      <c r="E38470" s="21" t="s">
        <v>35</v>
      </c>
      <c r="F38470">
        <v>10330004</v>
      </c>
      <c r="G38470" t="s">
        <v>525</v>
      </c>
      <c r="H38470" s="21">
        <v>477</v>
      </c>
    </row>
    <row r="38471" spans="1:8" customFormat="1" x14ac:dyDescent="0.25">
      <c r="A38471" t="str">
        <f>"2815001"</f>
        <v>2815001</v>
      </c>
      <c r="B38471" t="s">
        <v>19996</v>
      </c>
      <c r="C38471" t="s">
        <v>269</v>
      </c>
      <c r="D38471" s="21" t="s">
        <v>34</v>
      </c>
      <c r="E38471" s="21" t="s">
        <v>71</v>
      </c>
      <c r="F38471">
        <v>4280719</v>
      </c>
      <c r="G38471" t="s">
        <v>21976</v>
      </c>
      <c r="H38471" s="21">
        <v>477</v>
      </c>
    </row>
    <row r="38472" spans="1:8" customFormat="1" x14ac:dyDescent="0.25">
      <c r="A38472" t="str">
        <f>"5621973"</f>
        <v>5621973</v>
      </c>
      <c r="B38472" t="s">
        <v>29601</v>
      </c>
      <c r="C38472" t="s">
        <v>2520</v>
      </c>
      <c r="D38472" s="21" t="s">
        <v>34</v>
      </c>
      <c r="E38472" s="21" t="s">
        <v>254</v>
      </c>
      <c r="F38472">
        <v>3560096</v>
      </c>
      <c r="G38472" t="s">
        <v>2771</v>
      </c>
      <c r="H38472" s="21">
        <v>477</v>
      </c>
    </row>
    <row r="38473" spans="1:8" customFormat="1" x14ac:dyDescent="0.25">
      <c r="A38473" t="str">
        <f>"1421505"</f>
        <v>1421505</v>
      </c>
      <c r="B38473" t="s">
        <v>18413</v>
      </c>
      <c r="C38473" t="s">
        <v>169</v>
      </c>
      <c r="D38473" s="21" t="s">
        <v>34</v>
      </c>
      <c r="E38473" s="21" t="s">
        <v>71</v>
      </c>
      <c r="F38473">
        <v>9140072</v>
      </c>
      <c r="G38473" t="s">
        <v>4810</v>
      </c>
      <c r="H38473" s="21">
        <v>477</v>
      </c>
    </row>
    <row r="38474" spans="1:8" customFormat="1" x14ac:dyDescent="0.25">
      <c r="A38474" t="str">
        <f>"9230287"</f>
        <v>9230287</v>
      </c>
      <c r="B38474" t="s">
        <v>461</v>
      </c>
      <c r="C38474" t="s">
        <v>174</v>
      </c>
      <c r="D38474" s="21" t="s">
        <v>34</v>
      </c>
      <c r="E38474" s="21" t="s">
        <v>35</v>
      </c>
      <c r="F38474">
        <v>8931358</v>
      </c>
      <c r="G38474" t="s">
        <v>560</v>
      </c>
      <c r="H38474" s="21">
        <v>477</v>
      </c>
    </row>
    <row r="38475" spans="1:8" customFormat="1" x14ac:dyDescent="0.25">
      <c r="A38475" t="str">
        <f>"7725821"</f>
        <v>7725821</v>
      </c>
      <c r="B38475" t="s">
        <v>1833</v>
      </c>
      <c r="C38475" t="s">
        <v>1819</v>
      </c>
      <c r="D38475" s="21" t="s">
        <v>34</v>
      </c>
      <c r="E38475" s="21" t="s">
        <v>35</v>
      </c>
      <c r="F38475">
        <v>8770135</v>
      </c>
      <c r="G38475" t="s">
        <v>26830</v>
      </c>
      <c r="H38475" s="21">
        <v>477</v>
      </c>
    </row>
    <row r="38476" spans="1:8" customFormat="1" x14ac:dyDescent="0.25">
      <c r="A38476" t="str">
        <f>"2925152"</f>
        <v>2925152</v>
      </c>
      <c r="B38476" t="s">
        <v>29602</v>
      </c>
      <c r="C38476" t="s">
        <v>293</v>
      </c>
      <c r="D38476" s="21" t="s">
        <v>34</v>
      </c>
      <c r="E38476" s="21" t="s">
        <v>1089</v>
      </c>
      <c r="F38476">
        <v>3290221</v>
      </c>
      <c r="G38476" t="s">
        <v>3544</v>
      </c>
      <c r="H38476" s="21">
        <v>477</v>
      </c>
    </row>
    <row r="38477" spans="1:8" customFormat="1" x14ac:dyDescent="0.25">
      <c r="A38477" t="str">
        <f>"879358"</f>
        <v>879358</v>
      </c>
      <c r="B38477" t="s">
        <v>12800</v>
      </c>
      <c r="C38477" t="s">
        <v>169</v>
      </c>
      <c r="D38477" s="21" t="s">
        <v>34</v>
      </c>
      <c r="E38477" s="21" t="s">
        <v>35</v>
      </c>
      <c r="F38477">
        <v>10870101</v>
      </c>
      <c r="G38477" t="s">
        <v>6607</v>
      </c>
      <c r="H38477" s="21">
        <v>477</v>
      </c>
    </row>
    <row r="38478" spans="1:8" customFormat="1" x14ac:dyDescent="0.25">
      <c r="A38478" t="str">
        <f>"7882833"</f>
        <v>7882833</v>
      </c>
      <c r="B38478" t="s">
        <v>29603</v>
      </c>
      <c r="C38478" t="s">
        <v>288</v>
      </c>
      <c r="D38478" s="21" t="s">
        <v>34</v>
      </c>
      <c r="E38478" s="21" t="s">
        <v>35</v>
      </c>
      <c r="F38478">
        <v>8780130</v>
      </c>
      <c r="G38478" t="s">
        <v>5752</v>
      </c>
      <c r="H38478" s="21">
        <v>477</v>
      </c>
    </row>
    <row r="38479" spans="1:8" customFormat="1" x14ac:dyDescent="0.25">
      <c r="A38479" t="str">
        <f>"6315401"</f>
        <v>6315401</v>
      </c>
      <c r="B38479" t="s">
        <v>22675</v>
      </c>
      <c r="C38479" t="s">
        <v>581</v>
      </c>
      <c r="D38479" s="21" t="s">
        <v>34</v>
      </c>
      <c r="E38479" s="21" t="s">
        <v>254</v>
      </c>
      <c r="F38479">
        <v>1630005</v>
      </c>
      <c r="G38479" t="s">
        <v>8825</v>
      </c>
      <c r="H38479" s="21">
        <v>477</v>
      </c>
    </row>
    <row r="38480" spans="1:8" customFormat="1" x14ac:dyDescent="0.25">
      <c r="A38480" t="str">
        <f>"5621293"</f>
        <v>5621293</v>
      </c>
      <c r="B38480" t="s">
        <v>24491</v>
      </c>
      <c r="C38480" t="s">
        <v>2546</v>
      </c>
      <c r="D38480" s="21" t="s">
        <v>34</v>
      </c>
      <c r="E38480" s="21" t="s">
        <v>71</v>
      </c>
      <c r="F38480">
        <v>3560088</v>
      </c>
      <c r="G38480" t="s">
        <v>15034</v>
      </c>
      <c r="H38480" s="21">
        <v>477</v>
      </c>
    </row>
    <row r="38481" spans="1:8" customFormat="1" x14ac:dyDescent="0.25">
      <c r="A38481" t="str">
        <f>"538077"</f>
        <v>538077</v>
      </c>
      <c r="B38481" t="s">
        <v>7653</v>
      </c>
      <c r="C38481" t="s">
        <v>1914</v>
      </c>
      <c r="D38481" s="21" t="s">
        <v>34</v>
      </c>
      <c r="E38481" s="21" t="s">
        <v>254</v>
      </c>
      <c r="F38481">
        <v>12538907</v>
      </c>
      <c r="G38481" t="s">
        <v>9299</v>
      </c>
      <c r="H38481" s="21">
        <v>477</v>
      </c>
    </row>
    <row r="38482" spans="1:8" customFormat="1" x14ac:dyDescent="0.25">
      <c r="A38482" t="str">
        <f>"4433175"</f>
        <v>4433175</v>
      </c>
      <c r="B38482" t="s">
        <v>8884</v>
      </c>
      <c r="C38482" t="s">
        <v>598</v>
      </c>
      <c r="D38482" s="21" t="s">
        <v>34</v>
      </c>
      <c r="E38482" s="21" t="s">
        <v>6185</v>
      </c>
      <c r="F38482">
        <v>12440239</v>
      </c>
      <c r="G38482" t="s">
        <v>11158</v>
      </c>
      <c r="H38482" s="21">
        <v>477</v>
      </c>
    </row>
    <row r="38483" spans="1:8" customFormat="1" x14ac:dyDescent="0.25">
      <c r="A38483" t="str">
        <f>"6233822"</f>
        <v>6233822</v>
      </c>
      <c r="B38483" t="s">
        <v>24690</v>
      </c>
      <c r="C38483" t="s">
        <v>598</v>
      </c>
      <c r="D38483" s="21" t="s">
        <v>34</v>
      </c>
      <c r="E38483" s="21" t="s">
        <v>71</v>
      </c>
      <c r="F38483">
        <v>7620154</v>
      </c>
      <c r="G38483" t="s">
        <v>13064</v>
      </c>
      <c r="H38483" s="21">
        <v>477</v>
      </c>
    </row>
    <row r="38484" spans="1:8" customFormat="1" x14ac:dyDescent="0.25">
      <c r="A38484" t="str">
        <f>"5620873"</f>
        <v>5620873</v>
      </c>
      <c r="B38484" t="s">
        <v>21350</v>
      </c>
      <c r="C38484" t="s">
        <v>462</v>
      </c>
      <c r="D38484" s="21" t="s">
        <v>34</v>
      </c>
      <c r="E38484" s="21" t="s">
        <v>35</v>
      </c>
      <c r="F38484">
        <v>3350030</v>
      </c>
      <c r="G38484" t="s">
        <v>4549</v>
      </c>
      <c r="H38484" s="21">
        <v>477</v>
      </c>
    </row>
    <row r="38485" spans="1:8" customFormat="1" x14ac:dyDescent="0.25">
      <c r="A38485" t="str">
        <f>"6111508"</f>
        <v>6111508</v>
      </c>
      <c r="B38485" t="s">
        <v>22803</v>
      </c>
      <c r="C38485" t="s">
        <v>43</v>
      </c>
      <c r="D38485" s="21" t="s">
        <v>34</v>
      </c>
      <c r="E38485" s="21" t="s">
        <v>35</v>
      </c>
      <c r="F38485">
        <v>9610095</v>
      </c>
      <c r="G38485" t="s">
        <v>4870</v>
      </c>
      <c r="H38485" s="21">
        <v>477</v>
      </c>
    </row>
    <row r="38486" spans="1:8" customFormat="1" x14ac:dyDescent="0.25">
      <c r="A38486" t="str">
        <f>"0114516"</f>
        <v>0114516</v>
      </c>
      <c r="B38486" t="s">
        <v>7374</v>
      </c>
      <c r="C38486" t="s">
        <v>598</v>
      </c>
      <c r="D38486" s="21" t="s">
        <v>34</v>
      </c>
      <c r="E38486" s="21" t="s">
        <v>1089</v>
      </c>
      <c r="F38486">
        <v>1010069</v>
      </c>
      <c r="G38486" t="s">
        <v>1707</v>
      </c>
      <c r="H38486" s="21">
        <v>477</v>
      </c>
    </row>
    <row r="38487" spans="1:8" customFormat="1" x14ac:dyDescent="0.25">
      <c r="A38487" t="str">
        <f>"6316422"</f>
        <v>6316422</v>
      </c>
      <c r="B38487" t="s">
        <v>23937</v>
      </c>
      <c r="C38487" t="s">
        <v>2208</v>
      </c>
      <c r="D38487" s="21" t="s">
        <v>34</v>
      </c>
      <c r="E38487" s="21" t="s">
        <v>35</v>
      </c>
      <c r="F38487">
        <v>1630185</v>
      </c>
      <c r="G38487" t="s">
        <v>858</v>
      </c>
      <c r="H38487" s="21">
        <v>476.88</v>
      </c>
    </row>
    <row r="38488" spans="1:8" customFormat="1" x14ac:dyDescent="0.25">
      <c r="A38488" t="str">
        <f>"3315967"</f>
        <v>3315967</v>
      </c>
      <c r="B38488" t="s">
        <v>4879</v>
      </c>
      <c r="C38488" t="s">
        <v>206</v>
      </c>
      <c r="D38488" s="21" t="s">
        <v>34</v>
      </c>
      <c r="E38488" s="21" t="s">
        <v>35</v>
      </c>
      <c r="F38488">
        <v>10330078</v>
      </c>
      <c r="G38488" t="s">
        <v>7597</v>
      </c>
      <c r="H38488" s="21">
        <v>476.88</v>
      </c>
    </row>
    <row r="38489" spans="1:8" customFormat="1" x14ac:dyDescent="0.25">
      <c r="A38489" t="str">
        <f>"9531928"</f>
        <v>9531928</v>
      </c>
      <c r="B38489" t="s">
        <v>23384</v>
      </c>
      <c r="C38489" t="s">
        <v>233</v>
      </c>
      <c r="D38489" s="21" t="s">
        <v>34</v>
      </c>
      <c r="E38489" s="21" t="s">
        <v>71</v>
      </c>
      <c r="F38489">
        <v>8950330</v>
      </c>
      <c r="G38489" t="s">
        <v>794</v>
      </c>
      <c r="H38489" s="21">
        <v>476.88</v>
      </c>
    </row>
    <row r="38490" spans="1:8" customFormat="1" x14ac:dyDescent="0.25">
      <c r="A38490" t="str">
        <f>"649271"</f>
        <v>649271</v>
      </c>
      <c r="B38490" t="s">
        <v>9322</v>
      </c>
      <c r="C38490" t="s">
        <v>311</v>
      </c>
      <c r="D38490" s="21" t="s">
        <v>34</v>
      </c>
      <c r="E38490" s="21" t="s">
        <v>35</v>
      </c>
      <c r="F38490">
        <v>10640019</v>
      </c>
      <c r="G38490" t="s">
        <v>3123</v>
      </c>
      <c r="H38490" s="21">
        <v>476.88</v>
      </c>
    </row>
    <row r="38491" spans="1:8" customFormat="1" x14ac:dyDescent="0.25">
      <c r="A38491" t="str">
        <f>"442823"</f>
        <v>442823</v>
      </c>
      <c r="B38491" t="s">
        <v>8204</v>
      </c>
      <c r="C38491" t="s">
        <v>239</v>
      </c>
      <c r="D38491" s="21" t="s">
        <v>34</v>
      </c>
      <c r="E38491" s="21" t="s">
        <v>254</v>
      </c>
      <c r="F38491">
        <v>12440023</v>
      </c>
      <c r="G38491" t="s">
        <v>3507</v>
      </c>
      <c r="H38491" s="21">
        <v>476.75</v>
      </c>
    </row>
    <row r="38492" spans="1:8" customFormat="1" x14ac:dyDescent="0.25">
      <c r="A38492" t="str">
        <f>"7712858"</f>
        <v>7712858</v>
      </c>
      <c r="B38492" t="s">
        <v>8471</v>
      </c>
      <c r="C38492" t="s">
        <v>43</v>
      </c>
      <c r="D38492" s="21" t="s">
        <v>34</v>
      </c>
      <c r="E38492" s="21" t="s">
        <v>35</v>
      </c>
      <c r="F38492">
        <v>8770237</v>
      </c>
      <c r="G38492" t="s">
        <v>128</v>
      </c>
      <c r="H38492" s="21">
        <v>476.67</v>
      </c>
    </row>
    <row r="38493" spans="1:8" customFormat="1" x14ac:dyDescent="0.25">
      <c r="A38493" t="str">
        <f>"3820628"</f>
        <v>3820628</v>
      </c>
      <c r="B38493" t="s">
        <v>21721</v>
      </c>
      <c r="C38493" t="s">
        <v>1914</v>
      </c>
      <c r="D38493" s="21" t="s">
        <v>34</v>
      </c>
      <c r="E38493" s="21" t="s">
        <v>254</v>
      </c>
      <c r="F38493">
        <v>1380290</v>
      </c>
      <c r="G38493" t="s">
        <v>619</v>
      </c>
      <c r="H38493" s="21">
        <v>476.67</v>
      </c>
    </row>
    <row r="38494" spans="1:8" customFormat="1" x14ac:dyDescent="0.25">
      <c r="A38494" t="str">
        <f>"6233590"</f>
        <v>6233590</v>
      </c>
      <c r="B38494" t="s">
        <v>23770</v>
      </c>
      <c r="C38494" t="s">
        <v>462</v>
      </c>
      <c r="D38494" s="21" t="s">
        <v>34</v>
      </c>
      <c r="E38494" s="21" t="s">
        <v>71</v>
      </c>
      <c r="F38494">
        <v>7620054</v>
      </c>
      <c r="G38494" t="s">
        <v>1677</v>
      </c>
      <c r="H38494" s="21">
        <v>476.62</v>
      </c>
    </row>
    <row r="38495" spans="1:8" customFormat="1" x14ac:dyDescent="0.25">
      <c r="A38495" t="str">
        <f>"064470"</f>
        <v>064470</v>
      </c>
      <c r="B38495" t="s">
        <v>24393</v>
      </c>
      <c r="C38495" t="s">
        <v>598</v>
      </c>
      <c r="D38495" s="21" t="s">
        <v>34</v>
      </c>
      <c r="E38495" s="21" t="s">
        <v>254</v>
      </c>
      <c r="F38495">
        <v>13060074</v>
      </c>
      <c r="G38495" t="s">
        <v>13510</v>
      </c>
      <c r="H38495" s="21">
        <v>476.5</v>
      </c>
    </row>
    <row r="38496" spans="1:8" customFormat="1" x14ac:dyDescent="0.25">
      <c r="A38496" t="str">
        <f>"2619548"</f>
        <v>2619548</v>
      </c>
      <c r="B38496" t="s">
        <v>29604</v>
      </c>
      <c r="C38496" t="s">
        <v>130</v>
      </c>
      <c r="D38496" s="21" t="s">
        <v>34</v>
      </c>
      <c r="E38496" s="21" t="s">
        <v>35</v>
      </c>
      <c r="F38496">
        <v>1260004</v>
      </c>
      <c r="G38496" t="s">
        <v>1429</v>
      </c>
      <c r="H38496" s="21">
        <v>476.5</v>
      </c>
    </row>
    <row r="38497" spans="1:8" customFormat="1" x14ac:dyDescent="0.25">
      <c r="A38497" t="str">
        <f>"038369"</f>
        <v>038369</v>
      </c>
      <c r="B38497" t="s">
        <v>24216</v>
      </c>
      <c r="C38497" t="s">
        <v>598</v>
      </c>
      <c r="D38497" s="21" t="s">
        <v>34</v>
      </c>
      <c r="E38497" s="21" t="s">
        <v>71</v>
      </c>
      <c r="F38497">
        <v>1030042</v>
      </c>
      <c r="G38497" t="s">
        <v>7798</v>
      </c>
      <c r="H38497" s="21">
        <v>476.5</v>
      </c>
    </row>
    <row r="38498" spans="1:8" customFormat="1" x14ac:dyDescent="0.25">
      <c r="A38498" t="str">
        <f>"0612862"</f>
        <v>0612862</v>
      </c>
      <c r="B38498" t="s">
        <v>24370</v>
      </c>
      <c r="C38498" t="s">
        <v>4842</v>
      </c>
      <c r="D38498" s="21" t="s">
        <v>34</v>
      </c>
      <c r="E38498" s="21" t="s">
        <v>254</v>
      </c>
      <c r="F38498">
        <v>13060063</v>
      </c>
      <c r="G38498" t="s">
        <v>2001</v>
      </c>
      <c r="H38498" s="21">
        <v>476.5</v>
      </c>
    </row>
    <row r="38499" spans="1:8" customFormat="1" x14ac:dyDescent="0.25">
      <c r="A38499" t="str">
        <f>"992363"</f>
        <v>992363</v>
      </c>
      <c r="B38499" t="s">
        <v>29605</v>
      </c>
      <c r="C38499" t="s">
        <v>288</v>
      </c>
      <c r="D38499" s="21" t="s">
        <v>34</v>
      </c>
      <c r="E38499" s="21" t="s">
        <v>71</v>
      </c>
      <c r="F38499">
        <v>5990021</v>
      </c>
      <c r="G38499" t="s">
        <v>14243</v>
      </c>
      <c r="H38499" s="21">
        <v>476.5</v>
      </c>
    </row>
    <row r="38500" spans="1:8" customFormat="1" x14ac:dyDescent="0.25">
      <c r="A38500" t="str">
        <f>"5021408"</f>
        <v>5021408</v>
      </c>
      <c r="B38500" t="s">
        <v>29606</v>
      </c>
      <c r="C38500" t="s">
        <v>7506</v>
      </c>
      <c r="D38500" s="21" t="s">
        <v>34</v>
      </c>
      <c r="E38500" s="21" t="s">
        <v>35</v>
      </c>
      <c r="F38500">
        <v>9500053</v>
      </c>
      <c r="G38500" t="s">
        <v>11847</v>
      </c>
      <c r="H38500" s="21">
        <v>476.5</v>
      </c>
    </row>
    <row r="38501" spans="1:8" customFormat="1" x14ac:dyDescent="0.25">
      <c r="A38501" t="str">
        <f>"9248563"</f>
        <v>9248563</v>
      </c>
      <c r="B38501" t="s">
        <v>22304</v>
      </c>
      <c r="C38501" t="s">
        <v>55</v>
      </c>
      <c r="D38501" s="21" t="s">
        <v>34</v>
      </c>
      <c r="E38501" s="21" t="s">
        <v>71</v>
      </c>
      <c r="F38501">
        <v>8920126</v>
      </c>
      <c r="G38501" t="s">
        <v>1168</v>
      </c>
      <c r="H38501" s="21">
        <v>476.5</v>
      </c>
    </row>
    <row r="38502" spans="1:8" customFormat="1" x14ac:dyDescent="0.25">
      <c r="A38502" t="str">
        <f>"4458477"</f>
        <v>4458477</v>
      </c>
      <c r="B38502" t="s">
        <v>2124</v>
      </c>
      <c r="C38502" t="s">
        <v>29607</v>
      </c>
      <c r="D38502" s="21" t="s">
        <v>34</v>
      </c>
      <c r="E38502" s="21" t="s">
        <v>35</v>
      </c>
      <c r="F38502">
        <v>12440139</v>
      </c>
      <c r="G38502" t="s">
        <v>2655</v>
      </c>
      <c r="H38502" s="21">
        <v>476.5</v>
      </c>
    </row>
    <row r="38503" spans="1:8" customFormat="1" x14ac:dyDescent="0.25">
      <c r="A38503" t="str">
        <f>"6112155"</f>
        <v>6112155</v>
      </c>
      <c r="B38503" t="s">
        <v>4352</v>
      </c>
      <c r="C38503" t="s">
        <v>169</v>
      </c>
      <c r="D38503" s="21" t="s">
        <v>34</v>
      </c>
      <c r="E38503" s="21" t="s">
        <v>35</v>
      </c>
      <c r="F38503">
        <v>9610119</v>
      </c>
      <c r="G38503" t="s">
        <v>6655</v>
      </c>
      <c r="H38503" s="21">
        <v>476.5</v>
      </c>
    </row>
    <row r="38504" spans="1:8" customFormat="1" x14ac:dyDescent="0.25">
      <c r="A38504" t="str">
        <f>"6316896"</f>
        <v>6316896</v>
      </c>
      <c r="B38504" t="s">
        <v>29608</v>
      </c>
      <c r="C38504" t="s">
        <v>388</v>
      </c>
      <c r="D38504" s="21" t="s">
        <v>34</v>
      </c>
      <c r="E38504" s="21" t="s">
        <v>35</v>
      </c>
      <c r="F38504">
        <v>1630308</v>
      </c>
      <c r="G38504" t="s">
        <v>8083</v>
      </c>
      <c r="H38504" s="21">
        <v>476.5</v>
      </c>
    </row>
    <row r="38505" spans="1:8" customFormat="1" x14ac:dyDescent="0.25">
      <c r="A38505" t="str">
        <f>"5322077"</f>
        <v>5322077</v>
      </c>
      <c r="B38505" t="s">
        <v>3012</v>
      </c>
      <c r="C38505" t="s">
        <v>462</v>
      </c>
      <c r="D38505" s="21" t="s">
        <v>34</v>
      </c>
      <c r="E38505" s="21" t="s">
        <v>71</v>
      </c>
      <c r="F38505">
        <v>12530119</v>
      </c>
      <c r="G38505" t="s">
        <v>9943</v>
      </c>
      <c r="H38505" s="21">
        <v>476.5</v>
      </c>
    </row>
    <row r="38506" spans="1:8" customFormat="1" x14ac:dyDescent="0.25">
      <c r="A38506" t="str">
        <f>"5952195"</f>
        <v>5952195</v>
      </c>
      <c r="B38506" t="s">
        <v>24238</v>
      </c>
      <c r="C38506" t="s">
        <v>55</v>
      </c>
      <c r="D38506" s="21" t="s">
        <v>34</v>
      </c>
      <c r="E38506" s="21" t="s">
        <v>71</v>
      </c>
      <c r="F38506">
        <v>7590177</v>
      </c>
      <c r="G38506" t="s">
        <v>10380</v>
      </c>
      <c r="H38506" s="21">
        <v>476.5</v>
      </c>
    </row>
    <row r="38507" spans="1:8" customFormat="1" x14ac:dyDescent="0.25">
      <c r="A38507" t="str">
        <f>"2516909"</f>
        <v>2516909</v>
      </c>
      <c r="B38507" t="s">
        <v>24668</v>
      </c>
      <c r="C38507" t="s">
        <v>149</v>
      </c>
      <c r="D38507" s="21" t="s">
        <v>34</v>
      </c>
      <c r="E38507" s="21" t="s">
        <v>35</v>
      </c>
      <c r="F38507">
        <v>2250193</v>
      </c>
      <c r="G38507" t="s">
        <v>2584</v>
      </c>
      <c r="H38507" s="21">
        <v>476.5</v>
      </c>
    </row>
    <row r="38508" spans="1:8" customFormat="1" x14ac:dyDescent="0.25">
      <c r="A38508" t="str">
        <f>"2938325"</f>
        <v>2938325</v>
      </c>
      <c r="B38508" t="s">
        <v>10236</v>
      </c>
      <c r="C38508" t="s">
        <v>1271</v>
      </c>
      <c r="D38508" s="21" t="s">
        <v>34</v>
      </c>
      <c r="E38508" s="21" t="s">
        <v>71</v>
      </c>
      <c r="F38508">
        <v>3290047</v>
      </c>
      <c r="G38508" t="s">
        <v>2874</v>
      </c>
      <c r="H38508" s="21">
        <v>476.5</v>
      </c>
    </row>
    <row r="38509" spans="1:8" customFormat="1" x14ac:dyDescent="0.25">
      <c r="A38509" t="str">
        <f>"2721479"</f>
        <v>2721479</v>
      </c>
      <c r="B38509" t="s">
        <v>1154</v>
      </c>
      <c r="C38509" t="s">
        <v>174</v>
      </c>
      <c r="D38509" s="21" t="s">
        <v>34</v>
      </c>
      <c r="E38509" s="21" t="s">
        <v>35</v>
      </c>
      <c r="F38509">
        <v>9270150</v>
      </c>
      <c r="G38509" t="s">
        <v>11661</v>
      </c>
      <c r="H38509" s="21">
        <v>476.5</v>
      </c>
    </row>
    <row r="38510" spans="1:8" customFormat="1" x14ac:dyDescent="0.25">
      <c r="A38510" t="str">
        <f>"274682"</f>
        <v>274682</v>
      </c>
      <c r="B38510" t="s">
        <v>24407</v>
      </c>
      <c r="C38510" t="s">
        <v>239</v>
      </c>
      <c r="D38510" s="21" t="s">
        <v>34</v>
      </c>
      <c r="E38510" s="21" t="s">
        <v>254</v>
      </c>
      <c r="F38510">
        <v>9270137</v>
      </c>
      <c r="G38510" t="s">
        <v>3714</v>
      </c>
      <c r="H38510" s="21">
        <v>476.5</v>
      </c>
    </row>
    <row r="38511" spans="1:8" customFormat="1" x14ac:dyDescent="0.25">
      <c r="A38511" t="str">
        <f>"9538131"</f>
        <v>9538131</v>
      </c>
      <c r="B38511" t="s">
        <v>29609</v>
      </c>
      <c r="C38511" t="s">
        <v>16284</v>
      </c>
      <c r="D38511" s="21" t="s">
        <v>34</v>
      </c>
      <c r="E38511" s="21" t="s">
        <v>35</v>
      </c>
      <c r="F38511">
        <v>8950435</v>
      </c>
      <c r="G38511" t="s">
        <v>6404</v>
      </c>
      <c r="H38511" s="21">
        <v>476.5</v>
      </c>
    </row>
    <row r="38512" spans="1:8" customFormat="1" x14ac:dyDescent="0.25">
      <c r="A38512" t="str">
        <f>"5983834"</f>
        <v>5983834</v>
      </c>
      <c r="B38512" t="s">
        <v>17534</v>
      </c>
      <c r="C38512" t="s">
        <v>209</v>
      </c>
      <c r="D38512" s="21" t="s">
        <v>34</v>
      </c>
      <c r="E38512" s="21" t="s">
        <v>71</v>
      </c>
      <c r="F38512">
        <v>7590003</v>
      </c>
      <c r="G38512" t="s">
        <v>1166</v>
      </c>
      <c r="H38512" s="21">
        <v>476.5</v>
      </c>
    </row>
    <row r="38513" spans="1:8" customFormat="1" x14ac:dyDescent="0.25">
      <c r="A38513" t="str">
        <f>"9438212"</f>
        <v>9438212</v>
      </c>
      <c r="B38513" t="s">
        <v>24146</v>
      </c>
      <c r="C38513" t="s">
        <v>1199</v>
      </c>
      <c r="D38513" s="21" t="s">
        <v>34</v>
      </c>
      <c r="E38513" s="21" t="s">
        <v>254</v>
      </c>
      <c r="F38513">
        <v>8940866</v>
      </c>
      <c r="G38513" t="s">
        <v>519</v>
      </c>
      <c r="H38513" s="21">
        <v>476.5</v>
      </c>
    </row>
    <row r="38514" spans="1:8" customFormat="1" x14ac:dyDescent="0.25">
      <c r="A38514" t="str">
        <f>"5937071"</f>
        <v>5937071</v>
      </c>
      <c r="B38514" t="s">
        <v>3623</v>
      </c>
      <c r="C38514" t="s">
        <v>169</v>
      </c>
      <c r="D38514" s="21" t="s">
        <v>34</v>
      </c>
      <c r="E38514" s="21" t="s">
        <v>71</v>
      </c>
      <c r="F38514">
        <v>7590063</v>
      </c>
      <c r="G38514" t="s">
        <v>3426</v>
      </c>
      <c r="H38514" s="21">
        <v>476.5</v>
      </c>
    </row>
    <row r="38515" spans="1:8" customFormat="1" x14ac:dyDescent="0.25">
      <c r="A38515" t="str">
        <f>"4456999"</f>
        <v>4456999</v>
      </c>
      <c r="B38515" t="s">
        <v>29610</v>
      </c>
      <c r="C38515" t="s">
        <v>233</v>
      </c>
      <c r="D38515" s="21" t="s">
        <v>34</v>
      </c>
      <c r="E38515" s="21" t="s">
        <v>254</v>
      </c>
      <c r="F38515">
        <v>12440002</v>
      </c>
      <c r="G38515" t="s">
        <v>47</v>
      </c>
      <c r="H38515" s="21">
        <v>476.5</v>
      </c>
    </row>
    <row r="38516" spans="1:8" customFormat="1" x14ac:dyDescent="0.25">
      <c r="A38516" t="str">
        <f>"6949730"</f>
        <v>6949730</v>
      </c>
      <c r="B38516" t="s">
        <v>24722</v>
      </c>
      <c r="C38516" t="s">
        <v>124</v>
      </c>
      <c r="D38516" s="21" t="s">
        <v>34</v>
      </c>
      <c r="E38516" s="21" t="s">
        <v>71</v>
      </c>
      <c r="F38516">
        <v>1690150</v>
      </c>
      <c r="G38516" t="s">
        <v>19630</v>
      </c>
      <c r="H38516" s="21">
        <v>476.5</v>
      </c>
    </row>
    <row r="38517" spans="1:8" customFormat="1" x14ac:dyDescent="0.25">
      <c r="A38517" t="str">
        <f>"7876298"</f>
        <v>7876298</v>
      </c>
      <c r="B38517" t="s">
        <v>1192</v>
      </c>
      <c r="C38517" t="s">
        <v>22474</v>
      </c>
      <c r="D38517" s="21" t="s">
        <v>34</v>
      </c>
      <c r="E38517" s="21" t="s">
        <v>254</v>
      </c>
      <c r="F38517">
        <v>8780447</v>
      </c>
      <c r="G38517" t="s">
        <v>9215</v>
      </c>
      <c r="H38517" s="21">
        <v>476.42</v>
      </c>
    </row>
    <row r="38518" spans="1:8" customFormat="1" x14ac:dyDescent="0.25">
      <c r="A38518" t="str">
        <f>"9456590"</f>
        <v>9456590</v>
      </c>
      <c r="B38518" t="s">
        <v>13177</v>
      </c>
      <c r="C38518" t="s">
        <v>236</v>
      </c>
      <c r="D38518" s="21" t="s">
        <v>34</v>
      </c>
      <c r="E38518" s="21" t="s">
        <v>35</v>
      </c>
      <c r="F38518">
        <v>8940535</v>
      </c>
      <c r="G38518" t="s">
        <v>2628</v>
      </c>
      <c r="H38518" s="21">
        <v>476.38</v>
      </c>
    </row>
    <row r="38519" spans="1:8" customFormat="1" x14ac:dyDescent="0.25">
      <c r="A38519" t="str">
        <f>"8528451"</f>
        <v>8528451</v>
      </c>
      <c r="B38519" t="s">
        <v>24685</v>
      </c>
      <c r="C38519" t="s">
        <v>24686</v>
      </c>
      <c r="D38519" s="21" t="s">
        <v>34</v>
      </c>
      <c r="E38519" s="21" t="s">
        <v>71</v>
      </c>
      <c r="F38519">
        <v>12850136</v>
      </c>
      <c r="G38519" t="s">
        <v>2536</v>
      </c>
      <c r="H38519" s="21">
        <v>476.25</v>
      </c>
    </row>
    <row r="38520" spans="1:8" customFormat="1" x14ac:dyDescent="0.25">
      <c r="A38520" t="str">
        <f>"7511586"</f>
        <v>7511586</v>
      </c>
      <c r="B38520" t="s">
        <v>17513</v>
      </c>
      <c r="C38520" t="s">
        <v>2479</v>
      </c>
      <c r="D38520" s="21" t="s">
        <v>34</v>
      </c>
      <c r="E38520" s="21" t="s">
        <v>254</v>
      </c>
      <c r="F38520">
        <v>8751163</v>
      </c>
      <c r="G38520" t="s">
        <v>80</v>
      </c>
      <c r="H38520" s="21">
        <v>476.17</v>
      </c>
    </row>
    <row r="38521" spans="1:8" customFormat="1" x14ac:dyDescent="0.25">
      <c r="A38521" t="str">
        <f>"5423630"</f>
        <v>5423630</v>
      </c>
      <c r="B38521" t="s">
        <v>10567</v>
      </c>
      <c r="C38521" t="s">
        <v>204</v>
      </c>
      <c r="D38521" s="21" t="s">
        <v>34</v>
      </c>
      <c r="E38521" s="21" t="s">
        <v>71</v>
      </c>
      <c r="F38521">
        <v>6540197</v>
      </c>
      <c r="G38521" t="s">
        <v>16519</v>
      </c>
      <c r="H38521" s="21">
        <v>476.17</v>
      </c>
    </row>
    <row r="38522" spans="1:8" customFormat="1" x14ac:dyDescent="0.25">
      <c r="A38522" t="str">
        <f>"7221147"</f>
        <v>7221147</v>
      </c>
      <c r="B38522" t="s">
        <v>17204</v>
      </c>
      <c r="C38522" t="s">
        <v>453</v>
      </c>
      <c r="D38522" s="21" t="s">
        <v>34</v>
      </c>
      <c r="E38522" s="21" t="s">
        <v>1089</v>
      </c>
      <c r="F38522">
        <v>12720117</v>
      </c>
      <c r="G38522" t="s">
        <v>7788</v>
      </c>
      <c r="H38522" s="21">
        <v>476</v>
      </c>
    </row>
    <row r="38523" spans="1:8" customFormat="1" x14ac:dyDescent="0.25">
      <c r="A38523" t="str">
        <f>"77924"</f>
        <v>77924</v>
      </c>
      <c r="B38523" t="s">
        <v>12214</v>
      </c>
      <c r="C38523" t="s">
        <v>239</v>
      </c>
      <c r="D38523" s="21" t="s">
        <v>34</v>
      </c>
      <c r="E38523" s="21" t="s">
        <v>6185</v>
      </c>
      <c r="F38523">
        <v>8771394</v>
      </c>
      <c r="G38523" t="s">
        <v>1933</v>
      </c>
      <c r="H38523" s="21">
        <v>476</v>
      </c>
    </row>
    <row r="38524" spans="1:8" customFormat="1" x14ac:dyDescent="0.25">
      <c r="A38524" t="str">
        <f>"035181"</f>
        <v>035181</v>
      </c>
      <c r="B38524" t="s">
        <v>24430</v>
      </c>
      <c r="C38524" t="s">
        <v>55</v>
      </c>
      <c r="D38524" s="21" t="s">
        <v>34</v>
      </c>
      <c r="E38524" s="21" t="s">
        <v>254</v>
      </c>
      <c r="F38524">
        <v>1030165</v>
      </c>
      <c r="G38524" t="s">
        <v>2357</v>
      </c>
      <c r="H38524" s="21">
        <v>476</v>
      </c>
    </row>
    <row r="38525" spans="1:8" customFormat="1" x14ac:dyDescent="0.25">
      <c r="A38525" t="str">
        <f>"3515889"</f>
        <v>3515889</v>
      </c>
      <c r="B38525" t="s">
        <v>24635</v>
      </c>
      <c r="C38525" t="s">
        <v>267</v>
      </c>
      <c r="D38525" s="21" t="s">
        <v>34</v>
      </c>
      <c r="E38525" s="21" t="s">
        <v>6185</v>
      </c>
      <c r="F38525">
        <v>3350122</v>
      </c>
      <c r="G38525" t="s">
        <v>3069</v>
      </c>
      <c r="H38525" s="21">
        <v>476</v>
      </c>
    </row>
    <row r="38526" spans="1:8" customFormat="1" x14ac:dyDescent="0.25">
      <c r="A38526" t="str">
        <f>"7881718"</f>
        <v>7881718</v>
      </c>
      <c r="B38526" t="s">
        <v>29611</v>
      </c>
      <c r="C38526" t="s">
        <v>9999</v>
      </c>
      <c r="D38526" s="21" t="s">
        <v>34</v>
      </c>
      <c r="E38526" s="21" t="s">
        <v>35</v>
      </c>
      <c r="F38526">
        <v>8781176</v>
      </c>
      <c r="G38526" t="s">
        <v>3659</v>
      </c>
      <c r="H38526" s="21">
        <v>476</v>
      </c>
    </row>
    <row r="38527" spans="1:8" customFormat="1" x14ac:dyDescent="0.25">
      <c r="A38527" t="str">
        <f>"9248964"</f>
        <v>9248964</v>
      </c>
      <c r="B38527" t="s">
        <v>23387</v>
      </c>
      <c r="C38527" t="s">
        <v>249</v>
      </c>
      <c r="D38527" s="21" t="s">
        <v>34</v>
      </c>
      <c r="E38527" s="21" t="s">
        <v>71</v>
      </c>
      <c r="F38527">
        <v>8920126</v>
      </c>
      <c r="G38527" t="s">
        <v>1168</v>
      </c>
      <c r="H38527" s="21">
        <v>476</v>
      </c>
    </row>
    <row r="38528" spans="1:8" customFormat="1" x14ac:dyDescent="0.25">
      <c r="A38528" t="str">
        <f>"2939086"</f>
        <v>2939086</v>
      </c>
      <c r="B38528" t="s">
        <v>1180</v>
      </c>
      <c r="C38528" t="s">
        <v>204</v>
      </c>
      <c r="D38528" s="21" t="s">
        <v>34</v>
      </c>
      <c r="E38528" s="21" t="s">
        <v>35</v>
      </c>
      <c r="F38528">
        <v>3290226</v>
      </c>
      <c r="G38528" t="s">
        <v>4637</v>
      </c>
      <c r="H38528" s="21">
        <v>476</v>
      </c>
    </row>
    <row r="38529" spans="1:8" customFormat="1" x14ac:dyDescent="0.25">
      <c r="A38529" t="str">
        <f>"9314832"</f>
        <v>9314832</v>
      </c>
      <c r="B38529" t="s">
        <v>21849</v>
      </c>
      <c r="C38529" t="s">
        <v>33</v>
      </c>
      <c r="D38529" s="21" t="s">
        <v>34</v>
      </c>
      <c r="E38529" s="21" t="s">
        <v>71</v>
      </c>
      <c r="F38529">
        <v>8770237</v>
      </c>
      <c r="G38529" t="s">
        <v>128</v>
      </c>
      <c r="H38529" s="21">
        <v>476</v>
      </c>
    </row>
    <row r="38530" spans="1:8" customFormat="1" x14ac:dyDescent="0.25">
      <c r="A38530" t="str">
        <f>"0812196"</f>
        <v>0812196</v>
      </c>
      <c r="B38530" t="s">
        <v>29612</v>
      </c>
      <c r="C38530" t="s">
        <v>2984</v>
      </c>
      <c r="D38530" s="21" t="s">
        <v>34</v>
      </c>
      <c r="E38530" s="21" t="s">
        <v>35</v>
      </c>
      <c r="F38530">
        <v>6080014</v>
      </c>
      <c r="G38530" t="s">
        <v>1272</v>
      </c>
      <c r="H38530" s="21">
        <v>476</v>
      </c>
    </row>
    <row r="38531" spans="1:8" customFormat="1" x14ac:dyDescent="0.25">
      <c r="A38531" t="str">
        <f>"6313605"</f>
        <v>6313605</v>
      </c>
      <c r="B38531" t="s">
        <v>18384</v>
      </c>
      <c r="C38531" t="s">
        <v>1132</v>
      </c>
      <c r="D38531" s="21" t="s">
        <v>34</v>
      </c>
      <c r="E38531" s="21" t="s">
        <v>71</v>
      </c>
      <c r="F38531">
        <v>1630332</v>
      </c>
      <c r="G38531" t="s">
        <v>27136</v>
      </c>
      <c r="H38531" s="21">
        <v>476</v>
      </c>
    </row>
    <row r="38532" spans="1:8" customFormat="1" x14ac:dyDescent="0.25">
      <c r="A38532" t="str">
        <f>"899137"</f>
        <v>899137</v>
      </c>
      <c r="B38532" t="s">
        <v>8507</v>
      </c>
      <c r="C38532" t="s">
        <v>817</v>
      </c>
      <c r="D38532" s="21" t="s">
        <v>34</v>
      </c>
      <c r="E38532" s="21" t="s">
        <v>254</v>
      </c>
      <c r="F38532">
        <v>2890061</v>
      </c>
      <c r="G38532" t="s">
        <v>13076</v>
      </c>
      <c r="H38532" s="21">
        <v>476</v>
      </c>
    </row>
    <row r="38533" spans="1:8" customFormat="1" x14ac:dyDescent="0.25">
      <c r="A38533" t="str">
        <f>"5734597"</f>
        <v>5734597</v>
      </c>
      <c r="B38533" t="s">
        <v>22699</v>
      </c>
      <c r="C38533" t="s">
        <v>1812</v>
      </c>
      <c r="D38533" s="21" t="s">
        <v>34</v>
      </c>
      <c r="E38533" s="21" t="s">
        <v>35</v>
      </c>
      <c r="F38533">
        <v>6570024</v>
      </c>
      <c r="G38533" t="s">
        <v>464</v>
      </c>
      <c r="H38533" s="21">
        <v>476</v>
      </c>
    </row>
    <row r="38534" spans="1:8" customFormat="1" x14ac:dyDescent="0.25">
      <c r="A38534" t="str">
        <f>"719477"</f>
        <v>719477</v>
      </c>
      <c r="B38534" t="s">
        <v>23578</v>
      </c>
      <c r="C38534" t="s">
        <v>2305</v>
      </c>
      <c r="D38534" s="21" t="s">
        <v>34</v>
      </c>
      <c r="E38534" s="21" t="s">
        <v>1089</v>
      </c>
      <c r="F38534">
        <v>2710083</v>
      </c>
      <c r="G38534" t="s">
        <v>17590</v>
      </c>
      <c r="H38534" s="21">
        <v>476</v>
      </c>
    </row>
    <row r="38535" spans="1:8" customFormat="1" x14ac:dyDescent="0.25">
      <c r="A38535" t="str">
        <f>"7922759"</f>
        <v>7922759</v>
      </c>
      <c r="B38535" t="s">
        <v>3158</v>
      </c>
      <c r="C38535" t="s">
        <v>209</v>
      </c>
      <c r="D38535" s="21" t="s">
        <v>34</v>
      </c>
      <c r="E38535" s="21" t="s">
        <v>71</v>
      </c>
      <c r="F38535">
        <v>10790023</v>
      </c>
      <c r="G38535" t="s">
        <v>18120</v>
      </c>
      <c r="H38535" s="21">
        <v>476</v>
      </c>
    </row>
    <row r="38536" spans="1:8" customFormat="1" x14ac:dyDescent="0.25">
      <c r="A38536" t="str">
        <f>"8018158"</f>
        <v>8018158</v>
      </c>
      <c r="B38536" t="s">
        <v>23764</v>
      </c>
      <c r="C38536" t="s">
        <v>1196</v>
      </c>
      <c r="D38536" s="21" t="s">
        <v>34</v>
      </c>
      <c r="E38536" s="21" t="s">
        <v>35</v>
      </c>
      <c r="F38536">
        <v>7800088</v>
      </c>
      <c r="G38536" t="s">
        <v>1899</v>
      </c>
      <c r="H38536" s="21">
        <v>476</v>
      </c>
    </row>
    <row r="38537" spans="1:8" customFormat="1" x14ac:dyDescent="0.25">
      <c r="A38537" t="str">
        <f>"5621418"</f>
        <v>5621418</v>
      </c>
      <c r="B38537" t="s">
        <v>23486</v>
      </c>
      <c r="C38537" t="s">
        <v>209</v>
      </c>
      <c r="D38537" s="21" t="s">
        <v>34</v>
      </c>
      <c r="E38537" s="21" t="s">
        <v>254</v>
      </c>
      <c r="F38537">
        <v>3560053</v>
      </c>
      <c r="G38537" t="s">
        <v>298</v>
      </c>
      <c r="H38537" s="21">
        <v>476</v>
      </c>
    </row>
    <row r="38538" spans="1:8" customFormat="1" x14ac:dyDescent="0.25">
      <c r="A38538" t="str">
        <f>"2934572"</f>
        <v>2934572</v>
      </c>
      <c r="B38538" t="s">
        <v>23951</v>
      </c>
      <c r="C38538" t="s">
        <v>415</v>
      </c>
      <c r="D38538" s="21" t="s">
        <v>34</v>
      </c>
      <c r="E38538" s="21" t="s">
        <v>35</v>
      </c>
      <c r="F38538">
        <v>3290274</v>
      </c>
      <c r="G38538" t="s">
        <v>11751</v>
      </c>
      <c r="H38538" s="21">
        <v>476</v>
      </c>
    </row>
    <row r="38539" spans="1:8" customFormat="1" x14ac:dyDescent="0.25">
      <c r="A38539" t="str">
        <f>"247111"</f>
        <v>247111</v>
      </c>
      <c r="B38539" t="s">
        <v>22044</v>
      </c>
      <c r="C38539" t="s">
        <v>1468</v>
      </c>
      <c r="D38539" s="21" t="s">
        <v>34</v>
      </c>
      <c r="E38539" s="21" t="s">
        <v>254</v>
      </c>
      <c r="F38539">
        <v>10240015</v>
      </c>
      <c r="G38539" t="s">
        <v>8589</v>
      </c>
      <c r="H38539" s="21">
        <v>476</v>
      </c>
    </row>
    <row r="38540" spans="1:8" customFormat="1" x14ac:dyDescent="0.25">
      <c r="A38540" t="str">
        <f>"0812346"</f>
        <v>0812346</v>
      </c>
      <c r="B38540" t="s">
        <v>24758</v>
      </c>
      <c r="C38540" t="s">
        <v>60</v>
      </c>
      <c r="D38540" s="21" t="s">
        <v>34</v>
      </c>
      <c r="E38540" s="21" t="s">
        <v>35</v>
      </c>
      <c r="F38540">
        <v>6080043</v>
      </c>
      <c r="G38540" t="s">
        <v>961</v>
      </c>
      <c r="H38540" s="21">
        <v>476</v>
      </c>
    </row>
    <row r="38541" spans="1:8" customFormat="1" x14ac:dyDescent="0.25">
      <c r="A38541" t="str">
        <f>"954099"</f>
        <v>954099</v>
      </c>
      <c r="B38541" t="s">
        <v>9800</v>
      </c>
      <c r="C38541" t="s">
        <v>1146</v>
      </c>
      <c r="D38541" s="21" t="s">
        <v>34</v>
      </c>
      <c r="E38541" s="21" t="s">
        <v>71</v>
      </c>
      <c r="F38541">
        <v>8950129</v>
      </c>
      <c r="G38541" t="s">
        <v>10701</v>
      </c>
      <c r="H38541" s="21">
        <v>476</v>
      </c>
    </row>
    <row r="38542" spans="1:8" customFormat="1" x14ac:dyDescent="0.25">
      <c r="A38542" t="str">
        <f>"6233751"</f>
        <v>6233751</v>
      </c>
      <c r="B38542" t="s">
        <v>29613</v>
      </c>
      <c r="C38542" t="s">
        <v>528</v>
      </c>
      <c r="D38542" s="21" t="s">
        <v>34</v>
      </c>
      <c r="E38542" s="21" t="s">
        <v>254</v>
      </c>
      <c r="F38542">
        <v>7620060</v>
      </c>
      <c r="G38542" t="s">
        <v>2179</v>
      </c>
      <c r="H38542" s="21">
        <v>476</v>
      </c>
    </row>
    <row r="38543" spans="1:8" customFormat="1" x14ac:dyDescent="0.25">
      <c r="A38543" t="str">
        <f>"3712563"</f>
        <v>3712563</v>
      </c>
      <c r="B38543" t="s">
        <v>9480</v>
      </c>
      <c r="C38543" t="s">
        <v>249</v>
      </c>
      <c r="D38543" s="21" t="s">
        <v>34</v>
      </c>
      <c r="E38543" s="21" t="s">
        <v>71</v>
      </c>
      <c r="F38543">
        <v>4370349</v>
      </c>
      <c r="G38543" t="s">
        <v>2287</v>
      </c>
      <c r="H38543" s="21">
        <v>476</v>
      </c>
    </row>
    <row r="38544" spans="1:8" customFormat="1" x14ac:dyDescent="0.25">
      <c r="A38544" t="str">
        <f>"451356"</f>
        <v>451356</v>
      </c>
      <c r="B38544" t="s">
        <v>21334</v>
      </c>
      <c r="C38544" t="s">
        <v>114</v>
      </c>
      <c r="D38544" s="21" t="s">
        <v>34</v>
      </c>
      <c r="E38544" s="21" t="s">
        <v>1089</v>
      </c>
      <c r="F38544">
        <v>4450309</v>
      </c>
      <c r="G38544" t="s">
        <v>15692</v>
      </c>
      <c r="H38544" s="21">
        <v>476</v>
      </c>
    </row>
    <row r="38545" spans="1:8" customFormat="1" x14ac:dyDescent="0.25">
      <c r="A38545" t="str">
        <f>"8527684"</f>
        <v>8527684</v>
      </c>
      <c r="B38545" t="s">
        <v>1833</v>
      </c>
      <c r="C38545" t="s">
        <v>328</v>
      </c>
      <c r="D38545" s="21" t="s">
        <v>34</v>
      </c>
      <c r="E38545" s="21" t="s">
        <v>35</v>
      </c>
      <c r="F38545">
        <v>12850125</v>
      </c>
      <c r="G38545" t="s">
        <v>9898</v>
      </c>
      <c r="H38545" s="21">
        <v>476</v>
      </c>
    </row>
    <row r="38546" spans="1:8" customFormat="1" x14ac:dyDescent="0.25">
      <c r="A38546" t="str">
        <f>"9145030"</f>
        <v>9145030</v>
      </c>
      <c r="B38546" t="s">
        <v>24188</v>
      </c>
      <c r="C38546" t="s">
        <v>209</v>
      </c>
      <c r="D38546" s="21" t="s">
        <v>34</v>
      </c>
      <c r="E38546" s="21" t="s">
        <v>71</v>
      </c>
      <c r="F38546">
        <v>8910861</v>
      </c>
      <c r="G38546" t="s">
        <v>1120</v>
      </c>
      <c r="H38546" s="21">
        <v>476</v>
      </c>
    </row>
    <row r="38547" spans="1:8" customFormat="1" x14ac:dyDescent="0.25">
      <c r="A38547" t="str">
        <f>"7881965"</f>
        <v>7881965</v>
      </c>
      <c r="B38547" t="s">
        <v>19986</v>
      </c>
      <c r="C38547" t="s">
        <v>65</v>
      </c>
      <c r="D38547" s="21" t="s">
        <v>34</v>
      </c>
      <c r="E38547" s="21" t="s">
        <v>35</v>
      </c>
      <c r="F38547">
        <v>8781413</v>
      </c>
      <c r="G38547" t="s">
        <v>13028</v>
      </c>
      <c r="H38547" s="21">
        <v>476</v>
      </c>
    </row>
    <row r="38548" spans="1:8" customFormat="1" x14ac:dyDescent="0.25">
      <c r="A38548" t="str">
        <f>"5019923"</f>
        <v>5019923</v>
      </c>
      <c r="B38548" t="s">
        <v>24816</v>
      </c>
      <c r="C38548" t="s">
        <v>209</v>
      </c>
      <c r="D38548" s="21" t="s">
        <v>34</v>
      </c>
      <c r="E38548" s="21" t="s">
        <v>71</v>
      </c>
      <c r="F38548">
        <v>9500011</v>
      </c>
      <c r="G38548" t="s">
        <v>4903</v>
      </c>
      <c r="H38548" s="21">
        <v>476</v>
      </c>
    </row>
    <row r="38549" spans="1:8" customFormat="1" x14ac:dyDescent="0.25">
      <c r="A38549" t="str">
        <f>"3528303"</f>
        <v>3528303</v>
      </c>
      <c r="B38549" t="s">
        <v>24498</v>
      </c>
      <c r="C38549" t="s">
        <v>1665</v>
      </c>
      <c r="D38549" s="21" t="s">
        <v>34</v>
      </c>
      <c r="E38549" s="21" t="s">
        <v>71</v>
      </c>
      <c r="F38549">
        <v>3350199</v>
      </c>
      <c r="G38549" t="s">
        <v>5603</v>
      </c>
      <c r="H38549" s="21">
        <v>476</v>
      </c>
    </row>
    <row r="38550" spans="1:8" customFormat="1" x14ac:dyDescent="0.25">
      <c r="A38550" t="str">
        <f>"1425041"</f>
        <v>1425041</v>
      </c>
      <c r="B38550" t="s">
        <v>24209</v>
      </c>
      <c r="C38550" t="s">
        <v>253</v>
      </c>
      <c r="D38550" s="21" t="s">
        <v>34</v>
      </c>
      <c r="E38550" s="21" t="s">
        <v>71</v>
      </c>
      <c r="F38550">
        <v>9140185</v>
      </c>
      <c r="G38550" t="s">
        <v>1578</v>
      </c>
      <c r="H38550" s="21">
        <v>476</v>
      </c>
    </row>
    <row r="38551" spans="1:8" customFormat="1" x14ac:dyDescent="0.25">
      <c r="A38551" t="str">
        <f>"9144028"</f>
        <v>9144028</v>
      </c>
      <c r="B38551" t="s">
        <v>24468</v>
      </c>
      <c r="C38551" t="s">
        <v>87</v>
      </c>
      <c r="D38551" s="21" t="s">
        <v>34</v>
      </c>
      <c r="E38551" s="21" t="s">
        <v>35</v>
      </c>
      <c r="F38551">
        <v>8911368</v>
      </c>
      <c r="G38551" t="s">
        <v>12227</v>
      </c>
      <c r="H38551" s="21">
        <v>475.75</v>
      </c>
    </row>
    <row r="38552" spans="1:8" customFormat="1" x14ac:dyDescent="0.25">
      <c r="A38552" t="str">
        <f>"3329340"</f>
        <v>3329340</v>
      </c>
      <c r="B38552" t="s">
        <v>21655</v>
      </c>
      <c r="C38552" t="s">
        <v>253</v>
      </c>
      <c r="D38552" s="21" t="s">
        <v>34</v>
      </c>
      <c r="E38552" s="21" t="s">
        <v>254</v>
      </c>
      <c r="F38552">
        <v>10330028</v>
      </c>
      <c r="G38552" t="s">
        <v>4553</v>
      </c>
      <c r="H38552" s="21">
        <v>475.67</v>
      </c>
    </row>
    <row r="38553" spans="1:8" customFormat="1" x14ac:dyDescent="0.25">
      <c r="A38553" t="str">
        <f>"365623"</f>
        <v>365623</v>
      </c>
      <c r="B38553" t="s">
        <v>11962</v>
      </c>
      <c r="C38553" t="s">
        <v>415</v>
      </c>
      <c r="D38553" s="21" t="s">
        <v>34</v>
      </c>
      <c r="E38553" s="21" t="s">
        <v>71</v>
      </c>
      <c r="F38553">
        <v>4360343</v>
      </c>
      <c r="G38553" t="s">
        <v>6348</v>
      </c>
      <c r="H38553" s="21">
        <v>475.62</v>
      </c>
    </row>
    <row r="38554" spans="1:8" customFormat="1" x14ac:dyDescent="0.25">
      <c r="A38554" t="str">
        <f>"7110159"</f>
        <v>7110159</v>
      </c>
      <c r="B38554" t="s">
        <v>23997</v>
      </c>
      <c r="C38554" t="s">
        <v>239</v>
      </c>
      <c r="D38554" s="21" t="s">
        <v>34</v>
      </c>
      <c r="E38554" s="21" t="s">
        <v>71</v>
      </c>
      <c r="F38554">
        <v>2710049</v>
      </c>
      <c r="G38554" t="s">
        <v>11357</v>
      </c>
      <c r="H38554" s="21">
        <v>475.54</v>
      </c>
    </row>
    <row r="38555" spans="1:8" customFormat="1" x14ac:dyDescent="0.25">
      <c r="A38555" t="str">
        <f>"3537173"</f>
        <v>3537173</v>
      </c>
      <c r="B38555" t="s">
        <v>24563</v>
      </c>
      <c r="C38555" t="s">
        <v>119</v>
      </c>
      <c r="D38555" s="21" t="s">
        <v>34</v>
      </c>
      <c r="E38555" s="21" t="s">
        <v>35</v>
      </c>
      <c r="F38555">
        <v>3350023</v>
      </c>
      <c r="G38555" t="s">
        <v>12401</v>
      </c>
      <c r="H38555" s="21">
        <v>475.5</v>
      </c>
    </row>
    <row r="38556" spans="1:8" customFormat="1" x14ac:dyDescent="0.25">
      <c r="A38556" t="str">
        <f>"2111693"</f>
        <v>2111693</v>
      </c>
      <c r="B38556" t="s">
        <v>29614</v>
      </c>
      <c r="C38556" t="s">
        <v>209</v>
      </c>
      <c r="D38556" s="21" t="s">
        <v>34</v>
      </c>
      <c r="E38556" s="21" t="s">
        <v>254</v>
      </c>
      <c r="F38556">
        <v>2580035</v>
      </c>
      <c r="G38556" t="s">
        <v>5991</v>
      </c>
      <c r="H38556" s="21">
        <v>475.5</v>
      </c>
    </row>
    <row r="38557" spans="1:8" customFormat="1" x14ac:dyDescent="0.25">
      <c r="A38557" t="str">
        <f>"3425688"</f>
        <v>3425688</v>
      </c>
      <c r="B38557" t="s">
        <v>23528</v>
      </c>
      <c r="C38557" t="s">
        <v>3401</v>
      </c>
      <c r="D38557" s="21" t="s">
        <v>34</v>
      </c>
      <c r="E38557" s="21" t="s">
        <v>35</v>
      </c>
      <c r="F38557">
        <v>11340001</v>
      </c>
      <c r="G38557" t="s">
        <v>9248</v>
      </c>
      <c r="H38557" s="21">
        <v>475.5</v>
      </c>
    </row>
    <row r="38558" spans="1:8" customFormat="1" x14ac:dyDescent="0.25">
      <c r="A38558" t="str">
        <f>"815135"</f>
        <v>815135</v>
      </c>
      <c r="B38558" t="s">
        <v>29615</v>
      </c>
      <c r="C38558" t="s">
        <v>598</v>
      </c>
      <c r="D38558" s="21" t="s">
        <v>34</v>
      </c>
      <c r="E38558" s="21" t="s">
        <v>254</v>
      </c>
      <c r="F38558">
        <v>11810028</v>
      </c>
      <c r="G38558" t="s">
        <v>5817</v>
      </c>
      <c r="H38558" s="21">
        <v>475.5</v>
      </c>
    </row>
    <row r="38559" spans="1:8" customFormat="1" x14ac:dyDescent="0.25">
      <c r="A38559" t="str">
        <f>"6217516"</f>
        <v>6217516</v>
      </c>
      <c r="B38559" t="s">
        <v>20837</v>
      </c>
      <c r="C38559" t="s">
        <v>209</v>
      </c>
      <c r="D38559" s="21" t="s">
        <v>34</v>
      </c>
      <c r="E38559" s="21" t="s">
        <v>71</v>
      </c>
      <c r="F38559">
        <v>7620169</v>
      </c>
      <c r="G38559" t="s">
        <v>7116</v>
      </c>
      <c r="H38559" s="21">
        <v>475.5</v>
      </c>
    </row>
    <row r="38560" spans="1:8" customFormat="1" x14ac:dyDescent="0.25">
      <c r="A38560" t="str">
        <f>"3729424"</f>
        <v>3729424</v>
      </c>
      <c r="B38560" t="s">
        <v>24461</v>
      </c>
      <c r="C38560" t="s">
        <v>87</v>
      </c>
      <c r="D38560" s="21" t="s">
        <v>34</v>
      </c>
      <c r="E38560" s="21" t="s">
        <v>35</v>
      </c>
      <c r="F38560">
        <v>4370669</v>
      </c>
      <c r="G38560" t="s">
        <v>8189</v>
      </c>
      <c r="H38560" s="21">
        <v>475.5</v>
      </c>
    </row>
    <row r="38561" spans="1:8" customFormat="1" x14ac:dyDescent="0.25">
      <c r="A38561" t="str">
        <f>"8019635"</f>
        <v>8019635</v>
      </c>
      <c r="B38561" t="s">
        <v>650</v>
      </c>
      <c r="C38561" t="s">
        <v>169</v>
      </c>
      <c r="D38561" s="21" t="s">
        <v>34</v>
      </c>
      <c r="E38561" s="21" t="s">
        <v>71</v>
      </c>
      <c r="F38561">
        <v>7800125</v>
      </c>
      <c r="G38561" t="s">
        <v>11339</v>
      </c>
      <c r="H38561" s="21">
        <v>475.5</v>
      </c>
    </row>
    <row r="38562" spans="1:8" customFormat="1" x14ac:dyDescent="0.25">
      <c r="A38562" t="str">
        <f>"5325810"</f>
        <v>5325810</v>
      </c>
      <c r="B38562" t="s">
        <v>24781</v>
      </c>
      <c r="C38562" t="s">
        <v>5861</v>
      </c>
      <c r="D38562" s="21" t="s">
        <v>34</v>
      </c>
      <c r="E38562" s="21" t="s">
        <v>254</v>
      </c>
      <c r="F38562">
        <v>12530022</v>
      </c>
      <c r="G38562" t="s">
        <v>914</v>
      </c>
      <c r="H38562" s="21">
        <v>475.5</v>
      </c>
    </row>
    <row r="38563" spans="1:8" customFormat="1" x14ac:dyDescent="0.25">
      <c r="A38563" t="str">
        <f>"2517075"</f>
        <v>2517075</v>
      </c>
      <c r="B38563" t="s">
        <v>24784</v>
      </c>
      <c r="C38563" t="s">
        <v>33</v>
      </c>
      <c r="D38563" s="21" t="s">
        <v>34</v>
      </c>
      <c r="E38563" s="21" t="s">
        <v>35</v>
      </c>
      <c r="F38563">
        <v>2250231</v>
      </c>
      <c r="G38563" t="s">
        <v>8994</v>
      </c>
      <c r="H38563" s="21">
        <v>475.5</v>
      </c>
    </row>
    <row r="38564" spans="1:8" customFormat="1" x14ac:dyDescent="0.25">
      <c r="A38564" t="str">
        <f>"0812481"</f>
        <v>0812481</v>
      </c>
      <c r="B38564" t="s">
        <v>21564</v>
      </c>
      <c r="C38564" t="s">
        <v>49</v>
      </c>
      <c r="D38564" s="21" t="s">
        <v>34</v>
      </c>
      <c r="E38564" s="21" t="s">
        <v>35</v>
      </c>
      <c r="F38564">
        <v>6080004</v>
      </c>
      <c r="G38564" t="s">
        <v>2059</v>
      </c>
      <c r="H38564" s="21">
        <v>475.5</v>
      </c>
    </row>
    <row r="38565" spans="1:8" customFormat="1" x14ac:dyDescent="0.25">
      <c r="A38565" t="str">
        <f>"7877569"</f>
        <v>7877569</v>
      </c>
      <c r="B38565" t="s">
        <v>5638</v>
      </c>
      <c r="C38565" t="s">
        <v>209</v>
      </c>
      <c r="D38565" s="21" t="s">
        <v>34</v>
      </c>
      <c r="E38565" s="21" t="s">
        <v>254</v>
      </c>
      <c r="F38565">
        <v>8780568</v>
      </c>
      <c r="G38565" t="s">
        <v>5279</v>
      </c>
      <c r="H38565" s="21">
        <v>475.5</v>
      </c>
    </row>
    <row r="38566" spans="1:8" customFormat="1" x14ac:dyDescent="0.25">
      <c r="A38566" t="str">
        <f>"7623950"</f>
        <v>7623950</v>
      </c>
      <c r="B38566" t="s">
        <v>23410</v>
      </c>
      <c r="C38566" t="s">
        <v>239</v>
      </c>
      <c r="D38566" s="21" t="s">
        <v>34</v>
      </c>
      <c r="E38566" s="21" t="s">
        <v>71</v>
      </c>
      <c r="F38566">
        <v>9760272</v>
      </c>
      <c r="G38566" t="s">
        <v>5526</v>
      </c>
      <c r="H38566" s="21">
        <v>475.5</v>
      </c>
    </row>
    <row r="38567" spans="1:8" customFormat="1" x14ac:dyDescent="0.25">
      <c r="A38567" t="str">
        <f>"5932962"</f>
        <v>5932962</v>
      </c>
      <c r="B38567" t="s">
        <v>22873</v>
      </c>
      <c r="C38567" t="s">
        <v>119</v>
      </c>
      <c r="D38567" s="21" t="s">
        <v>34</v>
      </c>
      <c r="E38567" s="21" t="s">
        <v>35</v>
      </c>
      <c r="F38567">
        <v>7590231</v>
      </c>
      <c r="G38567" t="s">
        <v>207</v>
      </c>
      <c r="H38567" s="21">
        <v>475.5</v>
      </c>
    </row>
    <row r="38568" spans="1:8" customFormat="1" x14ac:dyDescent="0.25">
      <c r="A38568" t="str">
        <f>"2721645"</f>
        <v>2721645</v>
      </c>
      <c r="B38568" t="s">
        <v>1301</v>
      </c>
      <c r="C38568" t="s">
        <v>817</v>
      </c>
      <c r="D38568" s="21" t="s">
        <v>34</v>
      </c>
      <c r="E38568" s="21" t="s">
        <v>35</v>
      </c>
      <c r="F38568">
        <v>9270045</v>
      </c>
      <c r="G38568" t="s">
        <v>22742</v>
      </c>
      <c r="H38568" s="21">
        <v>475.5</v>
      </c>
    </row>
    <row r="38569" spans="1:8" customFormat="1" x14ac:dyDescent="0.25">
      <c r="A38569" t="str">
        <f>"5326908"</f>
        <v>5326908</v>
      </c>
      <c r="B38569" t="s">
        <v>29616</v>
      </c>
      <c r="C38569" t="s">
        <v>151</v>
      </c>
      <c r="D38569" s="21" t="s">
        <v>34</v>
      </c>
      <c r="E38569" s="21" t="s">
        <v>35</v>
      </c>
      <c r="F38569">
        <v>12530011</v>
      </c>
      <c r="G38569" t="s">
        <v>7610</v>
      </c>
      <c r="H38569" s="21">
        <v>475.5</v>
      </c>
    </row>
    <row r="38570" spans="1:8" customFormat="1" x14ac:dyDescent="0.25">
      <c r="A38570" t="str">
        <f>"7728156"</f>
        <v>7728156</v>
      </c>
      <c r="B38570" t="s">
        <v>4107</v>
      </c>
      <c r="C38570" t="s">
        <v>55</v>
      </c>
      <c r="D38570" s="21" t="s">
        <v>34</v>
      </c>
      <c r="E38570" s="21" t="s">
        <v>71</v>
      </c>
      <c r="F38570">
        <v>8770166</v>
      </c>
      <c r="G38570" t="s">
        <v>653</v>
      </c>
      <c r="H38570" s="21">
        <v>475.5</v>
      </c>
    </row>
    <row r="38571" spans="1:8" customFormat="1" x14ac:dyDescent="0.25">
      <c r="A38571" t="str">
        <f>"7731448"</f>
        <v>7731448</v>
      </c>
      <c r="B38571" t="s">
        <v>19898</v>
      </c>
      <c r="C38571" t="s">
        <v>156</v>
      </c>
      <c r="D38571" s="21" t="s">
        <v>34</v>
      </c>
      <c r="E38571" s="21" t="s">
        <v>71</v>
      </c>
      <c r="F38571">
        <v>8770166</v>
      </c>
      <c r="G38571" t="s">
        <v>653</v>
      </c>
      <c r="H38571" s="21">
        <v>475.5</v>
      </c>
    </row>
    <row r="38572" spans="1:8" customFormat="1" x14ac:dyDescent="0.25">
      <c r="A38572" t="str">
        <f>"189189"</f>
        <v>189189</v>
      </c>
      <c r="B38572" t="s">
        <v>19909</v>
      </c>
      <c r="C38572" t="s">
        <v>114</v>
      </c>
      <c r="D38572" s="21" t="s">
        <v>34</v>
      </c>
      <c r="E38572" s="21" t="s">
        <v>254</v>
      </c>
      <c r="F38572">
        <v>4180530</v>
      </c>
      <c r="G38572" t="s">
        <v>3622</v>
      </c>
      <c r="H38572" s="21">
        <v>475.5</v>
      </c>
    </row>
    <row r="38573" spans="1:8" customFormat="1" x14ac:dyDescent="0.25">
      <c r="A38573" t="str">
        <f>"377238"</f>
        <v>377238</v>
      </c>
      <c r="B38573" t="s">
        <v>24388</v>
      </c>
      <c r="C38573" t="s">
        <v>1231</v>
      </c>
      <c r="D38573" s="21" t="s">
        <v>34</v>
      </c>
      <c r="E38573" s="21" t="s">
        <v>1089</v>
      </c>
      <c r="F38573">
        <v>4370346</v>
      </c>
      <c r="G38573" t="s">
        <v>8269</v>
      </c>
      <c r="H38573" s="21">
        <v>475.5</v>
      </c>
    </row>
    <row r="38574" spans="1:8" customFormat="1" x14ac:dyDescent="0.25">
      <c r="A38574" t="str">
        <f>"8019358"</f>
        <v>8019358</v>
      </c>
      <c r="B38574" t="s">
        <v>6446</v>
      </c>
      <c r="C38574" t="s">
        <v>209</v>
      </c>
      <c r="D38574" s="21" t="s">
        <v>34</v>
      </c>
      <c r="E38574" s="21" t="s">
        <v>35</v>
      </c>
      <c r="F38574">
        <v>7800030</v>
      </c>
      <c r="G38574" t="s">
        <v>13589</v>
      </c>
      <c r="H38574" s="21">
        <v>475.5</v>
      </c>
    </row>
    <row r="38575" spans="1:8" customFormat="1" x14ac:dyDescent="0.25">
      <c r="A38575" t="str">
        <f>"1426507"</f>
        <v>1426507</v>
      </c>
      <c r="B38575" t="s">
        <v>29617</v>
      </c>
      <c r="C38575" t="s">
        <v>288</v>
      </c>
      <c r="D38575" s="21" t="s">
        <v>34</v>
      </c>
      <c r="E38575" s="21" t="s">
        <v>35</v>
      </c>
      <c r="F38575">
        <v>9140227</v>
      </c>
      <c r="G38575" t="s">
        <v>5130</v>
      </c>
      <c r="H38575" s="21">
        <v>475.5</v>
      </c>
    </row>
    <row r="38576" spans="1:8" customFormat="1" x14ac:dyDescent="0.25">
      <c r="A38576" t="str">
        <f>"7882157"</f>
        <v>7882157</v>
      </c>
      <c r="B38576" t="s">
        <v>3133</v>
      </c>
      <c r="C38576" t="s">
        <v>124</v>
      </c>
      <c r="D38576" s="21" t="s">
        <v>34</v>
      </c>
      <c r="E38576" s="21" t="s">
        <v>71</v>
      </c>
      <c r="F38576">
        <v>8780485</v>
      </c>
      <c r="G38576" t="s">
        <v>1279</v>
      </c>
      <c r="H38576" s="21">
        <v>475.38</v>
      </c>
    </row>
    <row r="38577" spans="1:8" customFormat="1" x14ac:dyDescent="0.25">
      <c r="A38577" t="str">
        <f>"668600"</f>
        <v>668600</v>
      </c>
      <c r="B38577" t="s">
        <v>29618</v>
      </c>
      <c r="C38577" t="s">
        <v>249</v>
      </c>
      <c r="D38577" s="21" t="s">
        <v>34</v>
      </c>
      <c r="E38577" s="21" t="s">
        <v>71</v>
      </c>
      <c r="F38577">
        <v>11660001</v>
      </c>
      <c r="G38577" t="s">
        <v>8203</v>
      </c>
      <c r="H38577" s="21">
        <v>475.25</v>
      </c>
    </row>
    <row r="38578" spans="1:8" customFormat="1" x14ac:dyDescent="0.25">
      <c r="A38578" t="str">
        <f>"7874850"</f>
        <v>7874850</v>
      </c>
      <c r="B38578" t="s">
        <v>13235</v>
      </c>
      <c r="C38578" t="s">
        <v>121</v>
      </c>
      <c r="D38578" s="21" t="s">
        <v>34</v>
      </c>
      <c r="E38578" s="21" t="s">
        <v>35</v>
      </c>
      <c r="F38578">
        <v>8781176</v>
      </c>
      <c r="G38578" t="s">
        <v>3659</v>
      </c>
      <c r="H38578" s="21">
        <v>475.25</v>
      </c>
    </row>
    <row r="38579" spans="1:8" customFormat="1" x14ac:dyDescent="0.25">
      <c r="A38579" t="str">
        <f>"8611474"</f>
        <v>8611474</v>
      </c>
      <c r="B38579" t="s">
        <v>3505</v>
      </c>
      <c r="C38579" t="s">
        <v>3866</v>
      </c>
      <c r="D38579" s="21" t="s">
        <v>34</v>
      </c>
      <c r="E38579" s="21" t="s">
        <v>35</v>
      </c>
      <c r="F38579">
        <v>10860229</v>
      </c>
      <c r="G38579" t="s">
        <v>9680</v>
      </c>
      <c r="H38579" s="21">
        <v>475.25</v>
      </c>
    </row>
    <row r="38580" spans="1:8" customFormat="1" x14ac:dyDescent="0.25">
      <c r="A38580" t="str">
        <f>"8316079"</f>
        <v>8316079</v>
      </c>
      <c r="B38580" t="s">
        <v>7174</v>
      </c>
      <c r="C38580" t="s">
        <v>1110</v>
      </c>
      <c r="D38580" s="21" t="s">
        <v>34</v>
      </c>
      <c r="E38580" s="21" t="s">
        <v>254</v>
      </c>
      <c r="F38580">
        <v>13830092</v>
      </c>
      <c r="G38580" t="s">
        <v>3632</v>
      </c>
      <c r="H38580" s="21">
        <v>475.12</v>
      </c>
    </row>
    <row r="38581" spans="1:8" customFormat="1" x14ac:dyDescent="0.25">
      <c r="A38581" t="str">
        <f>"686673"</f>
        <v>686673</v>
      </c>
      <c r="B38581" t="s">
        <v>4805</v>
      </c>
      <c r="C38581" t="s">
        <v>121</v>
      </c>
      <c r="D38581" s="21" t="s">
        <v>34</v>
      </c>
      <c r="E38581" s="21" t="s">
        <v>35</v>
      </c>
      <c r="F38581">
        <v>6680111</v>
      </c>
      <c r="G38581" t="s">
        <v>3422</v>
      </c>
      <c r="H38581" s="21">
        <v>475</v>
      </c>
    </row>
    <row r="38582" spans="1:8" customFormat="1" x14ac:dyDescent="0.25">
      <c r="A38582" t="str">
        <f>"7633715"</f>
        <v>7633715</v>
      </c>
      <c r="B38582" t="s">
        <v>582</v>
      </c>
      <c r="C38582" t="s">
        <v>2520</v>
      </c>
      <c r="D38582" s="21" t="s">
        <v>34</v>
      </c>
      <c r="E38582" s="21" t="s">
        <v>254</v>
      </c>
      <c r="F38582">
        <v>9760428</v>
      </c>
      <c r="G38582" t="s">
        <v>5081</v>
      </c>
      <c r="H38582" s="21">
        <v>475</v>
      </c>
    </row>
    <row r="38583" spans="1:8" customFormat="1" x14ac:dyDescent="0.25">
      <c r="A38583" t="str">
        <f>"5611307"</f>
        <v>5611307</v>
      </c>
      <c r="B38583" t="s">
        <v>24662</v>
      </c>
      <c r="C38583" t="s">
        <v>262</v>
      </c>
      <c r="D38583" s="21" t="s">
        <v>34</v>
      </c>
      <c r="E38583" s="21" t="s">
        <v>71</v>
      </c>
      <c r="F38583">
        <v>3560025</v>
      </c>
      <c r="G38583" t="s">
        <v>14020</v>
      </c>
      <c r="H38583" s="21">
        <v>475</v>
      </c>
    </row>
    <row r="38584" spans="1:8" customFormat="1" x14ac:dyDescent="0.25">
      <c r="A38584" t="str">
        <f>"2720309"</f>
        <v>2720309</v>
      </c>
      <c r="B38584" t="s">
        <v>24135</v>
      </c>
      <c r="C38584" t="s">
        <v>2520</v>
      </c>
      <c r="D38584" s="21" t="s">
        <v>34</v>
      </c>
      <c r="E38584" s="21" t="s">
        <v>254</v>
      </c>
      <c r="F38584">
        <v>9270153</v>
      </c>
      <c r="G38584" t="s">
        <v>15651</v>
      </c>
      <c r="H38584" s="21">
        <v>475</v>
      </c>
    </row>
    <row r="38585" spans="1:8" customFormat="1" x14ac:dyDescent="0.25">
      <c r="A38585" t="str">
        <f>"2914301"</f>
        <v>2914301</v>
      </c>
      <c r="B38585" t="s">
        <v>24566</v>
      </c>
      <c r="C38585" t="s">
        <v>1110</v>
      </c>
      <c r="D38585" s="21" t="s">
        <v>34</v>
      </c>
      <c r="E38585" s="21" t="s">
        <v>1089</v>
      </c>
      <c r="F38585">
        <v>3290215</v>
      </c>
      <c r="G38585" t="s">
        <v>5058</v>
      </c>
      <c r="H38585" s="21">
        <v>475</v>
      </c>
    </row>
    <row r="38586" spans="1:8" customFormat="1" x14ac:dyDescent="0.25">
      <c r="A38586" t="str">
        <f>"9251905"</f>
        <v>9251905</v>
      </c>
      <c r="B38586" t="s">
        <v>7418</v>
      </c>
      <c r="C38586" t="s">
        <v>576</v>
      </c>
      <c r="D38586" s="21" t="s">
        <v>34</v>
      </c>
      <c r="E38586" s="21" t="s">
        <v>35</v>
      </c>
      <c r="F38586">
        <v>8921316</v>
      </c>
      <c r="G38586" t="s">
        <v>12326</v>
      </c>
      <c r="H38586" s="21">
        <v>475</v>
      </c>
    </row>
    <row r="38587" spans="1:8" customFormat="1" x14ac:dyDescent="0.25">
      <c r="A38587" t="str">
        <f>"9142305"</f>
        <v>9142305</v>
      </c>
      <c r="B38587" t="s">
        <v>20237</v>
      </c>
      <c r="C38587" t="s">
        <v>169</v>
      </c>
      <c r="D38587" s="21" t="s">
        <v>34</v>
      </c>
      <c r="E38587" s="21" t="s">
        <v>71</v>
      </c>
      <c r="F38587">
        <v>8910876</v>
      </c>
      <c r="G38587" t="s">
        <v>1721</v>
      </c>
      <c r="H38587" s="21">
        <v>475</v>
      </c>
    </row>
    <row r="38588" spans="1:8" customFormat="1" x14ac:dyDescent="0.25">
      <c r="A38588" t="str">
        <f>"9125672"</f>
        <v>9125672</v>
      </c>
      <c r="B38588" t="s">
        <v>24432</v>
      </c>
      <c r="C38588" t="s">
        <v>598</v>
      </c>
      <c r="D38588" s="21" t="s">
        <v>34</v>
      </c>
      <c r="E38588" s="21" t="s">
        <v>254</v>
      </c>
      <c r="F38588">
        <v>8910578</v>
      </c>
      <c r="G38588" t="s">
        <v>5776</v>
      </c>
      <c r="H38588" s="21">
        <v>475</v>
      </c>
    </row>
    <row r="38589" spans="1:8" customFormat="1" x14ac:dyDescent="0.25">
      <c r="A38589" t="str">
        <f>"9123884"</f>
        <v>9123884</v>
      </c>
      <c r="B38589" t="s">
        <v>14213</v>
      </c>
      <c r="C38589" t="s">
        <v>598</v>
      </c>
      <c r="D38589" s="21" t="s">
        <v>34</v>
      </c>
      <c r="E38589" s="21" t="s">
        <v>1089</v>
      </c>
      <c r="F38589">
        <v>13840013</v>
      </c>
      <c r="G38589" t="s">
        <v>7323</v>
      </c>
      <c r="H38589" s="21">
        <v>475</v>
      </c>
    </row>
    <row r="38590" spans="1:8" customFormat="1" x14ac:dyDescent="0.25">
      <c r="A38590" t="str">
        <f>"646695"</f>
        <v>646695</v>
      </c>
      <c r="B38590" t="s">
        <v>29619</v>
      </c>
      <c r="C38590" t="s">
        <v>55</v>
      </c>
      <c r="D38590" s="21" t="s">
        <v>34</v>
      </c>
      <c r="E38590" s="21" t="s">
        <v>71</v>
      </c>
      <c r="F38590">
        <v>10640010</v>
      </c>
      <c r="G38590" t="s">
        <v>9410</v>
      </c>
      <c r="H38590" s="21">
        <v>475</v>
      </c>
    </row>
    <row r="38591" spans="1:8" customFormat="1" x14ac:dyDescent="0.25">
      <c r="A38591" t="str">
        <f>"9527751"</f>
        <v>9527751</v>
      </c>
      <c r="B38591" t="s">
        <v>22954</v>
      </c>
      <c r="C38591" t="s">
        <v>144</v>
      </c>
      <c r="D38591" s="21" t="s">
        <v>34</v>
      </c>
      <c r="E38591" s="21" t="s">
        <v>35</v>
      </c>
      <c r="F38591">
        <v>8950623</v>
      </c>
      <c r="G38591" t="s">
        <v>684</v>
      </c>
      <c r="H38591" s="21">
        <v>475</v>
      </c>
    </row>
    <row r="38592" spans="1:8" customFormat="1" x14ac:dyDescent="0.25">
      <c r="A38592" t="str">
        <f>"686672"</f>
        <v>686672</v>
      </c>
      <c r="B38592" t="s">
        <v>24673</v>
      </c>
      <c r="C38592" t="s">
        <v>24674</v>
      </c>
      <c r="D38592" s="21" t="s">
        <v>34</v>
      </c>
      <c r="E38592" s="21" t="s">
        <v>254</v>
      </c>
      <c r="F38592">
        <v>6680111</v>
      </c>
      <c r="G38592" t="s">
        <v>3422</v>
      </c>
      <c r="H38592" s="21">
        <v>475</v>
      </c>
    </row>
    <row r="38593" spans="1:8" customFormat="1" x14ac:dyDescent="0.25">
      <c r="A38593" t="str">
        <f>"6312605"</f>
        <v>6312605</v>
      </c>
      <c r="B38593" t="s">
        <v>582</v>
      </c>
      <c r="C38593" t="s">
        <v>528</v>
      </c>
      <c r="D38593" s="21" t="s">
        <v>34</v>
      </c>
      <c r="E38593" s="21" t="s">
        <v>71</v>
      </c>
      <c r="F38593">
        <v>1630014</v>
      </c>
      <c r="G38593" t="s">
        <v>10488</v>
      </c>
      <c r="H38593" s="21">
        <v>475</v>
      </c>
    </row>
    <row r="38594" spans="1:8" customFormat="1" x14ac:dyDescent="0.25">
      <c r="A38594" t="str">
        <f>"6113002"</f>
        <v>6113002</v>
      </c>
      <c r="B38594" t="s">
        <v>6440</v>
      </c>
      <c r="C38594" t="s">
        <v>2208</v>
      </c>
      <c r="D38594" s="21" t="s">
        <v>34</v>
      </c>
      <c r="E38594" s="21" t="s">
        <v>71</v>
      </c>
      <c r="F38594">
        <v>9610107</v>
      </c>
      <c r="G38594" t="s">
        <v>6302</v>
      </c>
      <c r="H38594" s="21">
        <v>475</v>
      </c>
    </row>
    <row r="38595" spans="1:8" customFormat="1" x14ac:dyDescent="0.25">
      <c r="A38595" t="str">
        <f>"573929"</f>
        <v>573929</v>
      </c>
      <c r="B38595" t="s">
        <v>1288</v>
      </c>
      <c r="C38595" t="s">
        <v>209</v>
      </c>
      <c r="D38595" s="21" t="s">
        <v>34</v>
      </c>
      <c r="E38595" s="21" t="s">
        <v>71</v>
      </c>
      <c r="F38595">
        <v>6570007</v>
      </c>
      <c r="G38595" t="s">
        <v>2845</v>
      </c>
      <c r="H38595" s="21">
        <v>475</v>
      </c>
    </row>
    <row r="38596" spans="1:8" customFormat="1" x14ac:dyDescent="0.25">
      <c r="A38596" t="str">
        <f>"1421666"</f>
        <v>1421666</v>
      </c>
      <c r="B38596" t="s">
        <v>6089</v>
      </c>
      <c r="C38596" t="s">
        <v>24800</v>
      </c>
      <c r="D38596" s="21" t="s">
        <v>34</v>
      </c>
      <c r="E38596" s="21" t="s">
        <v>35</v>
      </c>
      <c r="F38596">
        <v>9140234</v>
      </c>
      <c r="G38596" t="s">
        <v>5548</v>
      </c>
      <c r="H38596" s="21">
        <v>475</v>
      </c>
    </row>
    <row r="38597" spans="1:8" customFormat="1" x14ac:dyDescent="0.25">
      <c r="A38597" t="str">
        <f>"879300"</f>
        <v>879300</v>
      </c>
      <c r="B38597" t="s">
        <v>11423</v>
      </c>
      <c r="C38597" t="s">
        <v>82</v>
      </c>
      <c r="D38597" s="21" t="s">
        <v>34</v>
      </c>
      <c r="E38597" s="21" t="s">
        <v>35</v>
      </c>
      <c r="F38597">
        <v>10870110</v>
      </c>
      <c r="G38597" t="s">
        <v>5888</v>
      </c>
      <c r="H38597" s="21">
        <v>475</v>
      </c>
    </row>
    <row r="38598" spans="1:8" customFormat="1" x14ac:dyDescent="0.25">
      <c r="A38598" t="str">
        <f>"7213902"</f>
        <v>7213902</v>
      </c>
      <c r="B38598" t="s">
        <v>24810</v>
      </c>
      <c r="C38598" t="s">
        <v>98</v>
      </c>
      <c r="D38598" s="21" t="s">
        <v>34</v>
      </c>
      <c r="E38598" s="21" t="s">
        <v>35</v>
      </c>
      <c r="F38598">
        <v>12720034</v>
      </c>
      <c r="G38598" t="s">
        <v>4561</v>
      </c>
      <c r="H38598" s="21">
        <v>475</v>
      </c>
    </row>
    <row r="38599" spans="1:8" customFormat="1" x14ac:dyDescent="0.25">
      <c r="A38599" t="str">
        <f>"7513142"</f>
        <v>7513142</v>
      </c>
      <c r="B38599" t="s">
        <v>21580</v>
      </c>
      <c r="C38599" t="s">
        <v>2730</v>
      </c>
      <c r="D38599" s="21" t="s">
        <v>34</v>
      </c>
      <c r="E38599" s="21" t="s">
        <v>1089</v>
      </c>
      <c r="F38599">
        <v>8751260</v>
      </c>
      <c r="G38599" t="s">
        <v>10641</v>
      </c>
      <c r="H38599" s="21">
        <v>475</v>
      </c>
    </row>
    <row r="38600" spans="1:8" customFormat="1" x14ac:dyDescent="0.25">
      <c r="A38600" t="str">
        <f>"3414872"</f>
        <v>3414872</v>
      </c>
      <c r="B38600" t="s">
        <v>2141</v>
      </c>
      <c r="C38600" t="s">
        <v>7740</v>
      </c>
      <c r="D38600" s="21" t="s">
        <v>34</v>
      </c>
      <c r="E38600" s="21" t="s">
        <v>254</v>
      </c>
      <c r="F38600">
        <v>11340042</v>
      </c>
      <c r="G38600" t="s">
        <v>13840</v>
      </c>
      <c r="H38600" s="21">
        <v>475</v>
      </c>
    </row>
    <row r="38601" spans="1:8" customFormat="1" x14ac:dyDescent="0.25">
      <c r="A38601" t="str">
        <f>"653829"</f>
        <v>653829</v>
      </c>
      <c r="B38601" t="s">
        <v>2023</v>
      </c>
      <c r="C38601" t="s">
        <v>114</v>
      </c>
      <c r="D38601" s="21" t="s">
        <v>34</v>
      </c>
      <c r="E38601" s="21" t="s">
        <v>35</v>
      </c>
      <c r="F38601">
        <v>11650034</v>
      </c>
      <c r="G38601" t="s">
        <v>1989</v>
      </c>
      <c r="H38601" s="21">
        <v>475</v>
      </c>
    </row>
    <row r="38602" spans="1:8" customFormat="1" x14ac:dyDescent="0.25">
      <c r="A38602" t="str">
        <f>"356799"</f>
        <v>356799</v>
      </c>
      <c r="B38602" t="s">
        <v>4457</v>
      </c>
      <c r="C38602" t="s">
        <v>1605</v>
      </c>
      <c r="D38602" s="21" t="s">
        <v>34</v>
      </c>
      <c r="E38602" s="21" t="s">
        <v>1089</v>
      </c>
      <c r="F38602">
        <v>3350122</v>
      </c>
      <c r="G38602" t="s">
        <v>3069</v>
      </c>
      <c r="H38602" s="21">
        <v>475</v>
      </c>
    </row>
    <row r="38603" spans="1:8" customFormat="1" x14ac:dyDescent="0.25">
      <c r="A38603" t="str">
        <f>"7880089"</f>
        <v>7880089</v>
      </c>
      <c r="B38603" t="s">
        <v>802</v>
      </c>
      <c r="C38603" t="s">
        <v>60</v>
      </c>
      <c r="D38603" s="21" t="s">
        <v>34</v>
      </c>
      <c r="E38603" s="21" t="s">
        <v>35</v>
      </c>
      <c r="F38603">
        <v>8780571</v>
      </c>
      <c r="G38603" t="s">
        <v>2336</v>
      </c>
      <c r="H38603" s="21">
        <v>475</v>
      </c>
    </row>
    <row r="38604" spans="1:8" customFormat="1" x14ac:dyDescent="0.25">
      <c r="A38604" t="str">
        <f>"324609"</f>
        <v>324609</v>
      </c>
      <c r="B38604" t="s">
        <v>24200</v>
      </c>
      <c r="C38604" t="s">
        <v>879</v>
      </c>
      <c r="D38604" s="21" t="s">
        <v>34</v>
      </c>
      <c r="E38604" s="21" t="s">
        <v>71</v>
      </c>
      <c r="F38604">
        <v>11320040</v>
      </c>
      <c r="G38604" t="s">
        <v>14128</v>
      </c>
      <c r="H38604" s="21">
        <v>475</v>
      </c>
    </row>
    <row r="38605" spans="1:8" customFormat="1" x14ac:dyDescent="0.25">
      <c r="A38605" t="str">
        <f>"5982244"</f>
        <v>5982244</v>
      </c>
      <c r="B38605" t="s">
        <v>29620</v>
      </c>
      <c r="C38605" t="s">
        <v>598</v>
      </c>
      <c r="D38605" s="21" t="s">
        <v>34</v>
      </c>
      <c r="E38605" s="21" t="s">
        <v>71</v>
      </c>
      <c r="F38605">
        <v>7590080</v>
      </c>
      <c r="G38605" t="s">
        <v>1715</v>
      </c>
      <c r="H38605" s="21">
        <v>475</v>
      </c>
    </row>
    <row r="38606" spans="1:8" customFormat="1" x14ac:dyDescent="0.25">
      <c r="A38606" t="str">
        <f>"9A224"</f>
        <v>9A224</v>
      </c>
      <c r="B38606" t="s">
        <v>29621</v>
      </c>
      <c r="C38606" t="s">
        <v>269</v>
      </c>
      <c r="D38606" s="21" t="s">
        <v>34</v>
      </c>
      <c r="E38606" s="21" t="s">
        <v>71</v>
      </c>
      <c r="F38606" t="s">
        <v>2839</v>
      </c>
      <c r="G38606" t="s">
        <v>2840</v>
      </c>
      <c r="H38606" s="21">
        <v>475</v>
      </c>
    </row>
    <row r="38607" spans="1:8" customFormat="1" x14ac:dyDescent="0.25">
      <c r="A38607" t="str">
        <f>"9D2845"</f>
        <v>9D2845</v>
      </c>
      <c r="B38607" t="s">
        <v>8454</v>
      </c>
      <c r="C38607" t="s">
        <v>11030</v>
      </c>
      <c r="D38607" s="21" t="s">
        <v>34</v>
      </c>
      <c r="E38607" s="21" t="s">
        <v>71</v>
      </c>
      <c r="F38607" t="s">
        <v>1923</v>
      </c>
      <c r="G38607" t="s">
        <v>1924</v>
      </c>
      <c r="H38607" s="21">
        <v>474.88</v>
      </c>
    </row>
    <row r="38608" spans="1:8" customFormat="1" x14ac:dyDescent="0.25">
      <c r="A38608" t="str">
        <f>"4210085"</f>
        <v>4210085</v>
      </c>
      <c r="B38608" t="s">
        <v>20253</v>
      </c>
      <c r="C38608" t="s">
        <v>204</v>
      </c>
      <c r="D38608" s="21" t="s">
        <v>34</v>
      </c>
      <c r="E38608" s="21" t="s">
        <v>35</v>
      </c>
      <c r="F38608">
        <v>1420149</v>
      </c>
      <c r="G38608" t="s">
        <v>818</v>
      </c>
      <c r="H38608" s="21">
        <v>474.88</v>
      </c>
    </row>
    <row r="38609" spans="1:8" customFormat="1" x14ac:dyDescent="0.25">
      <c r="A38609" t="str">
        <f>"8614066"</f>
        <v>8614066</v>
      </c>
      <c r="B38609" t="s">
        <v>8899</v>
      </c>
      <c r="C38609" t="s">
        <v>547</v>
      </c>
      <c r="D38609" s="21" t="s">
        <v>34</v>
      </c>
      <c r="E38609" s="21" t="s">
        <v>254</v>
      </c>
      <c r="F38609">
        <v>10860016</v>
      </c>
      <c r="G38609" t="s">
        <v>3289</v>
      </c>
      <c r="H38609" s="21">
        <v>474.75</v>
      </c>
    </row>
    <row r="38610" spans="1:8" customFormat="1" x14ac:dyDescent="0.25">
      <c r="A38610" t="str">
        <f>"7212245"</f>
        <v>7212245</v>
      </c>
      <c r="B38610" t="s">
        <v>17404</v>
      </c>
      <c r="C38610" t="s">
        <v>40</v>
      </c>
      <c r="D38610" s="21" t="s">
        <v>34</v>
      </c>
      <c r="E38610" s="21" t="s">
        <v>254</v>
      </c>
      <c r="F38610">
        <v>12720009</v>
      </c>
      <c r="G38610" t="s">
        <v>6928</v>
      </c>
      <c r="H38610" s="21">
        <v>474.75</v>
      </c>
    </row>
    <row r="38611" spans="1:8" customFormat="1" x14ac:dyDescent="0.25">
      <c r="A38611" t="str">
        <f>"4429969"</f>
        <v>4429969</v>
      </c>
      <c r="B38611" t="s">
        <v>24456</v>
      </c>
      <c r="C38611" t="s">
        <v>1146</v>
      </c>
      <c r="D38611" s="21" t="s">
        <v>34</v>
      </c>
      <c r="E38611" s="21" t="s">
        <v>71</v>
      </c>
      <c r="F38611">
        <v>12850032</v>
      </c>
      <c r="G38611" t="s">
        <v>6589</v>
      </c>
      <c r="H38611" s="21">
        <v>474.75</v>
      </c>
    </row>
    <row r="38612" spans="1:8" customFormat="1" x14ac:dyDescent="0.25">
      <c r="A38612" t="str">
        <f>"189592"</f>
        <v>189592</v>
      </c>
      <c r="B38612" t="s">
        <v>24594</v>
      </c>
      <c r="C38612" t="s">
        <v>209</v>
      </c>
      <c r="D38612" s="21" t="s">
        <v>34</v>
      </c>
      <c r="E38612" s="21" t="s">
        <v>71</v>
      </c>
      <c r="F38612">
        <v>4180174</v>
      </c>
      <c r="G38612" t="s">
        <v>3046</v>
      </c>
      <c r="H38612" s="21">
        <v>474.75</v>
      </c>
    </row>
    <row r="38613" spans="1:8" customFormat="1" x14ac:dyDescent="0.25">
      <c r="A38613" t="str">
        <f>"3729472"</f>
        <v>3729472</v>
      </c>
      <c r="B38613" t="s">
        <v>1749</v>
      </c>
      <c r="C38613" t="s">
        <v>611</v>
      </c>
      <c r="D38613" s="21" t="s">
        <v>34</v>
      </c>
      <c r="E38613" s="21" t="s">
        <v>35</v>
      </c>
      <c r="F38613">
        <v>4370001</v>
      </c>
      <c r="G38613" t="s">
        <v>957</v>
      </c>
      <c r="H38613" s="21">
        <v>474.5</v>
      </c>
    </row>
    <row r="38614" spans="1:8" customFormat="1" x14ac:dyDescent="0.25">
      <c r="A38614" t="str">
        <f>"9457317"</f>
        <v>9457317</v>
      </c>
      <c r="B38614" t="s">
        <v>24748</v>
      </c>
      <c r="C38614" t="s">
        <v>239</v>
      </c>
      <c r="D38614" s="21" t="s">
        <v>34</v>
      </c>
      <c r="E38614" s="21" t="s">
        <v>254</v>
      </c>
      <c r="F38614">
        <v>8941403</v>
      </c>
      <c r="G38614" t="s">
        <v>978</v>
      </c>
      <c r="H38614" s="21">
        <v>474.5</v>
      </c>
    </row>
    <row r="38615" spans="1:8" customFormat="1" x14ac:dyDescent="0.25">
      <c r="A38615" t="str">
        <f>"4526765"</f>
        <v>4526765</v>
      </c>
      <c r="B38615" t="s">
        <v>24357</v>
      </c>
      <c r="C38615" t="s">
        <v>1887</v>
      </c>
      <c r="D38615" s="21" t="s">
        <v>34</v>
      </c>
      <c r="E38615" s="21" t="s">
        <v>254</v>
      </c>
      <c r="F38615">
        <v>4450450</v>
      </c>
      <c r="G38615" t="s">
        <v>15140</v>
      </c>
      <c r="H38615" s="21">
        <v>474.5</v>
      </c>
    </row>
    <row r="38616" spans="1:8" customFormat="1" x14ac:dyDescent="0.25">
      <c r="A38616" t="str">
        <f>"5976477"</f>
        <v>5976477</v>
      </c>
      <c r="B38616" t="s">
        <v>24766</v>
      </c>
      <c r="C38616" t="s">
        <v>2305</v>
      </c>
      <c r="D38616" s="21" t="s">
        <v>34</v>
      </c>
      <c r="E38616" s="21" t="s">
        <v>1089</v>
      </c>
      <c r="F38616">
        <v>7590087</v>
      </c>
      <c r="G38616" t="s">
        <v>2112</v>
      </c>
      <c r="H38616" s="21">
        <v>474.5</v>
      </c>
    </row>
    <row r="38617" spans="1:8" customFormat="1" x14ac:dyDescent="0.25">
      <c r="A38617" t="str">
        <f>"8528655"</f>
        <v>8528655</v>
      </c>
      <c r="B38617" t="s">
        <v>8606</v>
      </c>
      <c r="C38617" t="s">
        <v>209</v>
      </c>
      <c r="D38617" s="21" t="s">
        <v>34</v>
      </c>
      <c r="E38617" s="21" t="s">
        <v>71</v>
      </c>
      <c r="F38617">
        <v>12850136</v>
      </c>
      <c r="G38617" t="s">
        <v>2536</v>
      </c>
      <c r="H38617" s="21">
        <v>474.5</v>
      </c>
    </row>
    <row r="38618" spans="1:8" customFormat="1" x14ac:dyDescent="0.25">
      <c r="A38618" t="str">
        <f>"7636548"</f>
        <v>7636548</v>
      </c>
      <c r="B38618" t="s">
        <v>12786</v>
      </c>
      <c r="C38618" t="s">
        <v>598</v>
      </c>
      <c r="D38618" s="21" t="s">
        <v>34</v>
      </c>
      <c r="E38618" s="21" t="s">
        <v>35</v>
      </c>
      <c r="F38618">
        <v>9760136</v>
      </c>
      <c r="G38618" t="s">
        <v>5035</v>
      </c>
      <c r="H38618" s="21">
        <v>474.5</v>
      </c>
    </row>
    <row r="38619" spans="1:8" customFormat="1" x14ac:dyDescent="0.25">
      <c r="A38619" t="str">
        <f>"9140307"</f>
        <v>9140307</v>
      </c>
      <c r="B38619" t="s">
        <v>22232</v>
      </c>
      <c r="C38619" t="s">
        <v>236</v>
      </c>
      <c r="D38619" s="21" t="s">
        <v>34</v>
      </c>
      <c r="E38619" s="21" t="s">
        <v>71</v>
      </c>
      <c r="F38619">
        <v>8910310</v>
      </c>
      <c r="G38619" t="s">
        <v>6645</v>
      </c>
      <c r="H38619" s="21">
        <v>474.5</v>
      </c>
    </row>
    <row r="38620" spans="1:8" customFormat="1" x14ac:dyDescent="0.25">
      <c r="A38620" t="str">
        <f>"5980730"</f>
        <v>5980730</v>
      </c>
      <c r="B38620" t="s">
        <v>24728</v>
      </c>
      <c r="C38620" t="s">
        <v>121</v>
      </c>
      <c r="D38620" s="21" t="s">
        <v>34</v>
      </c>
      <c r="E38620" s="21" t="s">
        <v>35</v>
      </c>
      <c r="F38620">
        <v>7590338</v>
      </c>
      <c r="G38620" t="s">
        <v>682</v>
      </c>
      <c r="H38620" s="21">
        <v>474.5</v>
      </c>
    </row>
    <row r="38621" spans="1:8" customFormat="1" x14ac:dyDescent="0.25">
      <c r="A38621" t="str">
        <f>"8527643"</f>
        <v>8527643</v>
      </c>
      <c r="B38621" t="s">
        <v>17438</v>
      </c>
      <c r="C38621" t="s">
        <v>547</v>
      </c>
      <c r="D38621" s="21" t="s">
        <v>34</v>
      </c>
      <c r="E38621" s="21" t="s">
        <v>1089</v>
      </c>
      <c r="F38621">
        <v>12850153</v>
      </c>
      <c r="G38621" t="s">
        <v>5794</v>
      </c>
      <c r="H38621" s="21">
        <v>474.5</v>
      </c>
    </row>
    <row r="38622" spans="1:8" customFormat="1" x14ac:dyDescent="0.25">
      <c r="A38622" t="str">
        <f>"7222445"</f>
        <v>7222445</v>
      </c>
      <c r="B38622" t="s">
        <v>24425</v>
      </c>
      <c r="C38622" t="s">
        <v>305</v>
      </c>
      <c r="D38622" s="21" t="s">
        <v>34</v>
      </c>
      <c r="E38622" s="21" t="s">
        <v>35</v>
      </c>
      <c r="F38622">
        <v>12720027</v>
      </c>
      <c r="G38622" t="s">
        <v>3562</v>
      </c>
      <c r="H38622" s="21">
        <v>474.5</v>
      </c>
    </row>
    <row r="38623" spans="1:8" customFormat="1" x14ac:dyDescent="0.25">
      <c r="A38623" t="str">
        <f>"898426"</f>
        <v>898426</v>
      </c>
      <c r="B38623" t="s">
        <v>29622</v>
      </c>
      <c r="C38623" t="s">
        <v>611</v>
      </c>
      <c r="D38623" s="21" t="s">
        <v>34</v>
      </c>
      <c r="E38623" s="21" t="s">
        <v>35</v>
      </c>
      <c r="F38623">
        <v>2890023</v>
      </c>
      <c r="G38623" t="s">
        <v>1995</v>
      </c>
      <c r="H38623" s="21">
        <v>474.5</v>
      </c>
    </row>
    <row r="38624" spans="1:8" customFormat="1" x14ac:dyDescent="0.25">
      <c r="A38624" t="str">
        <f>"873576"</f>
        <v>873576</v>
      </c>
      <c r="B38624" t="s">
        <v>9114</v>
      </c>
      <c r="C38624" t="s">
        <v>263</v>
      </c>
      <c r="D38624" s="21" t="s">
        <v>34</v>
      </c>
      <c r="E38624" s="21" t="s">
        <v>71</v>
      </c>
      <c r="F38624">
        <v>10870037</v>
      </c>
      <c r="G38624" t="s">
        <v>3554</v>
      </c>
      <c r="H38624" s="21">
        <v>474.5</v>
      </c>
    </row>
    <row r="38625" spans="1:8" customFormat="1" x14ac:dyDescent="0.25">
      <c r="A38625" t="str">
        <f>"7512444"</f>
        <v>7512444</v>
      </c>
      <c r="B38625" t="s">
        <v>7743</v>
      </c>
      <c r="C38625" t="s">
        <v>24278</v>
      </c>
      <c r="D38625" s="21" t="s">
        <v>34</v>
      </c>
      <c r="E38625" s="21" t="s">
        <v>254</v>
      </c>
      <c r="F38625">
        <v>8930009</v>
      </c>
      <c r="G38625" t="s">
        <v>2534</v>
      </c>
      <c r="H38625" s="21">
        <v>474.5</v>
      </c>
    </row>
    <row r="38626" spans="1:8" customFormat="1" x14ac:dyDescent="0.25">
      <c r="A38626" t="str">
        <f>"9534045"</f>
        <v>9534045</v>
      </c>
      <c r="B38626" t="s">
        <v>4219</v>
      </c>
      <c r="C38626" t="s">
        <v>267</v>
      </c>
      <c r="D38626" s="21" t="s">
        <v>34</v>
      </c>
      <c r="E38626" s="21" t="s">
        <v>254</v>
      </c>
      <c r="F38626">
        <v>8950545</v>
      </c>
      <c r="G38626" t="s">
        <v>14503</v>
      </c>
      <c r="H38626" s="21">
        <v>474.5</v>
      </c>
    </row>
    <row r="38627" spans="1:8" customFormat="1" x14ac:dyDescent="0.25">
      <c r="A38627" t="str">
        <f>"9459763"</f>
        <v>9459763</v>
      </c>
      <c r="B38627" t="s">
        <v>29623</v>
      </c>
      <c r="C38627" t="s">
        <v>5009</v>
      </c>
      <c r="D38627" s="21" t="s">
        <v>34</v>
      </c>
      <c r="E38627" s="21" t="s">
        <v>35</v>
      </c>
      <c r="F38627">
        <v>8940655</v>
      </c>
      <c r="G38627" t="s">
        <v>10168</v>
      </c>
      <c r="H38627" s="21">
        <v>474.5</v>
      </c>
    </row>
    <row r="38628" spans="1:8" customFormat="1" x14ac:dyDescent="0.25">
      <c r="A38628" t="str">
        <f>"9435042"</f>
        <v>9435042</v>
      </c>
      <c r="B38628" t="s">
        <v>2360</v>
      </c>
      <c r="C38628" t="s">
        <v>879</v>
      </c>
      <c r="D38628" s="21" t="s">
        <v>34</v>
      </c>
      <c r="E38628" s="21" t="s">
        <v>71</v>
      </c>
      <c r="F38628">
        <v>8940549</v>
      </c>
      <c r="G38628" t="s">
        <v>454</v>
      </c>
      <c r="H38628" s="21">
        <v>474.5</v>
      </c>
    </row>
    <row r="38629" spans="1:8" customFormat="1" x14ac:dyDescent="0.25">
      <c r="A38629" t="str">
        <f>"6945910"</f>
        <v>6945910</v>
      </c>
      <c r="B38629" t="s">
        <v>465</v>
      </c>
      <c r="C38629" t="s">
        <v>750</v>
      </c>
      <c r="D38629" s="21" t="s">
        <v>34</v>
      </c>
      <c r="E38629" s="21" t="s">
        <v>71</v>
      </c>
      <c r="F38629">
        <v>1690047</v>
      </c>
      <c r="G38629" t="s">
        <v>4223</v>
      </c>
      <c r="H38629" s="21">
        <v>474.5</v>
      </c>
    </row>
    <row r="38630" spans="1:8" customFormat="1" x14ac:dyDescent="0.25">
      <c r="A38630" t="str">
        <f>"5978022"</f>
        <v>5978022</v>
      </c>
      <c r="B38630" t="s">
        <v>24411</v>
      </c>
      <c r="C38630" t="s">
        <v>269</v>
      </c>
      <c r="D38630" s="21" t="s">
        <v>34</v>
      </c>
      <c r="E38630" s="21" t="s">
        <v>71</v>
      </c>
      <c r="F38630">
        <v>7590102</v>
      </c>
      <c r="G38630" t="s">
        <v>1091</v>
      </c>
      <c r="H38630" s="21">
        <v>474.5</v>
      </c>
    </row>
    <row r="38631" spans="1:8" customFormat="1" x14ac:dyDescent="0.25">
      <c r="A38631" t="str">
        <f>"5622454"</f>
        <v>5622454</v>
      </c>
      <c r="B38631" t="s">
        <v>29624</v>
      </c>
      <c r="C38631" t="s">
        <v>198</v>
      </c>
      <c r="D38631" s="21" t="s">
        <v>34</v>
      </c>
      <c r="E38631" s="21" t="s">
        <v>71</v>
      </c>
      <c r="F38631">
        <v>3560096</v>
      </c>
      <c r="G38631" t="s">
        <v>2771</v>
      </c>
      <c r="H38631" s="21">
        <v>474.5</v>
      </c>
    </row>
    <row r="38632" spans="1:8" customFormat="1" x14ac:dyDescent="0.25">
      <c r="A38632" t="str">
        <f>"7877148"</f>
        <v>7877148</v>
      </c>
      <c r="B38632" t="s">
        <v>25746</v>
      </c>
      <c r="C38632" t="s">
        <v>263</v>
      </c>
      <c r="D38632" s="21" t="s">
        <v>34</v>
      </c>
      <c r="E38632" s="21" t="s">
        <v>254</v>
      </c>
      <c r="F38632">
        <v>8780627</v>
      </c>
      <c r="G38632" t="s">
        <v>6097</v>
      </c>
      <c r="H38632" s="21">
        <v>474.5</v>
      </c>
    </row>
    <row r="38633" spans="1:8" customFormat="1" x14ac:dyDescent="0.25">
      <c r="A38633" t="str">
        <f>"8523025"</f>
        <v>8523025</v>
      </c>
      <c r="B38633" t="s">
        <v>2690</v>
      </c>
      <c r="C38633" t="s">
        <v>249</v>
      </c>
      <c r="D38633" s="21" t="s">
        <v>34</v>
      </c>
      <c r="E38633" s="21" t="s">
        <v>71</v>
      </c>
      <c r="F38633">
        <v>12850097</v>
      </c>
      <c r="G38633" t="s">
        <v>4111</v>
      </c>
      <c r="H38633" s="21">
        <v>474.5</v>
      </c>
    </row>
    <row r="38634" spans="1:8" customFormat="1" x14ac:dyDescent="0.25">
      <c r="A38634" t="str">
        <f>"2933742"</f>
        <v>2933742</v>
      </c>
      <c r="B38634" t="s">
        <v>1252</v>
      </c>
      <c r="C38634" t="s">
        <v>209</v>
      </c>
      <c r="D38634" s="21" t="s">
        <v>34</v>
      </c>
      <c r="E38634" s="21" t="s">
        <v>71</v>
      </c>
      <c r="F38634">
        <v>3290047</v>
      </c>
      <c r="G38634" t="s">
        <v>2874</v>
      </c>
      <c r="H38634" s="21">
        <v>474.25</v>
      </c>
    </row>
    <row r="38635" spans="1:8" customFormat="1" x14ac:dyDescent="0.25">
      <c r="A38635" t="str">
        <f>"9B981"</f>
        <v>9B981</v>
      </c>
      <c r="B38635" t="s">
        <v>24807</v>
      </c>
      <c r="C38635" t="s">
        <v>49</v>
      </c>
      <c r="D38635" s="21" t="s">
        <v>34</v>
      </c>
      <c r="E38635" s="21" t="s">
        <v>35</v>
      </c>
      <c r="F38635" t="s">
        <v>24808</v>
      </c>
      <c r="G38635" t="s">
        <v>24809</v>
      </c>
      <c r="H38635" s="21">
        <v>474.12</v>
      </c>
    </row>
    <row r="38636" spans="1:8" customFormat="1" x14ac:dyDescent="0.25">
      <c r="A38636" t="str">
        <f>"3343132"</f>
        <v>3343132</v>
      </c>
      <c r="B38636" t="s">
        <v>24537</v>
      </c>
      <c r="C38636" t="s">
        <v>130</v>
      </c>
      <c r="D38636" s="21" t="s">
        <v>34</v>
      </c>
      <c r="E38636" s="21" t="s">
        <v>254</v>
      </c>
      <c r="F38636">
        <v>10330117</v>
      </c>
      <c r="G38636" t="s">
        <v>1942</v>
      </c>
      <c r="H38636" s="21">
        <v>474.12</v>
      </c>
    </row>
    <row r="38637" spans="1:8" customFormat="1" x14ac:dyDescent="0.25">
      <c r="A38637" t="str">
        <f>"7411520"</f>
        <v>7411520</v>
      </c>
      <c r="B38637" t="s">
        <v>22365</v>
      </c>
      <c r="C38637" t="s">
        <v>12684</v>
      </c>
      <c r="D38637" s="21" t="s">
        <v>34</v>
      </c>
      <c r="E38637" s="21" t="s">
        <v>1089</v>
      </c>
      <c r="F38637">
        <v>1740001</v>
      </c>
      <c r="G38637" t="s">
        <v>347</v>
      </c>
      <c r="H38637" s="21">
        <v>474.04</v>
      </c>
    </row>
    <row r="38638" spans="1:8" customFormat="1" x14ac:dyDescent="0.25">
      <c r="A38638" t="str">
        <f>"3339397"</f>
        <v>3339397</v>
      </c>
      <c r="B38638" t="s">
        <v>2830</v>
      </c>
      <c r="C38638" t="s">
        <v>2520</v>
      </c>
      <c r="D38638" s="21" t="s">
        <v>34</v>
      </c>
      <c r="E38638" s="21" t="s">
        <v>254</v>
      </c>
      <c r="F38638">
        <v>10330125</v>
      </c>
      <c r="G38638" t="s">
        <v>3753</v>
      </c>
      <c r="H38638" s="21">
        <v>474</v>
      </c>
    </row>
    <row r="38639" spans="1:8" customFormat="1" x14ac:dyDescent="0.25">
      <c r="A38639" t="str">
        <f>"3522668"</f>
        <v>3522668</v>
      </c>
      <c r="B38639" t="s">
        <v>1027</v>
      </c>
      <c r="C38639" t="s">
        <v>98</v>
      </c>
      <c r="D38639" s="21" t="s">
        <v>34</v>
      </c>
      <c r="E38639" s="21" t="s">
        <v>71</v>
      </c>
      <c r="F38639">
        <v>3350057</v>
      </c>
      <c r="G38639" t="s">
        <v>10712</v>
      </c>
      <c r="H38639" s="21">
        <v>474</v>
      </c>
    </row>
    <row r="38640" spans="1:8" customFormat="1" x14ac:dyDescent="0.25">
      <c r="A38640" t="str">
        <f>"5979370"</f>
        <v>5979370</v>
      </c>
      <c r="B38640" t="s">
        <v>28635</v>
      </c>
      <c r="C38640" t="s">
        <v>879</v>
      </c>
      <c r="D38640" s="21" t="s">
        <v>34</v>
      </c>
      <c r="E38640" s="21" t="s">
        <v>71</v>
      </c>
      <c r="F38640">
        <v>7590361</v>
      </c>
      <c r="G38640" t="s">
        <v>3071</v>
      </c>
      <c r="H38640" s="21">
        <v>474</v>
      </c>
    </row>
    <row r="38641" spans="1:8" customFormat="1" x14ac:dyDescent="0.25">
      <c r="A38641" t="str">
        <f>"5327177"</f>
        <v>5327177</v>
      </c>
      <c r="B38641" t="s">
        <v>7724</v>
      </c>
      <c r="C38641" t="s">
        <v>1812</v>
      </c>
      <c r="D38641" s="21" t="s">
        <v>34</v>
      </c>
      <c r="E38641" s="21" t="s">
        <v>254</v>
      </c>
      <c r="F38641">
        <v>12530018</v>
      </c>
      <c r="G38641" t="s">
        <v>8768</v>
      </c>
      <c r="H38641" s="21">
        <v>474</v>
      </c>
    </row>
    <row r="38642" spans="1:8" customFormat="1" x14ac:dyDescent="0.25">
      <c r="A38642" t="str">
        <f>"5431776"</f>
        <v>5431776</v>
      </c>
      <c r="B38642" t="s">
        <v>24787</v>
      </c>
      <c r="C38642" t="s">
        <v>712</v>
      </c>
      <c r="D38642" s="21" t="s">
        <v>34</v>
      </c>
      <c r="E38642" s="21" t="s">
        <v>35</v>
      </c>
      <c r="F38642">
        <v>6540019</v>
      </c>
      <c r="G38642" t="s">
        <v>6413</v>
      </c>
      <c r="H38642" s="21">
        <v>474</v>
      </c>
    </row>
    <row r="38643" spans="1:8" customFormat="1" x14ac:dyDescent="0.25">
      <c r="A38643" t="str">
        <f>"044084"</f>
        <v>044084</v>
      </c>
      <c r="B38643" t="s">
        <v>3963</v>
      </c>
      <c r="C38643" t="s">
        <v>1146</v>
      </c>
      <c r="D38643" s="21" t="s">
        <v>34</v>
      </c>
      <c r="E38643" s="21" t="s">
        <v>254</v>
      </c>
      <c r="F38643">
        <v>13040023</v>
      </c>
      <c r="G38643" t="s">
        <v>2542</v>
      </c>
      <c r="H38643" s="21">
        <v>474</v>
      </c>
    </row>
    <row r="38644" spans="1:8" customFormat="1" x14ac:dyDescent="0.25">
      <c r="A38644" t="str">
        <f>"9216592"</f>
        <v>9216592</v>
      </c>
      <c r="B38644" t="s">
        <v>24783</v>
      </c>
      <c r="C38644" t="s">
        <v>2479</v>
      </c>
      <c r="D38644" s="21" t="s">
        <v>34</v>
      </c>
      <c r="E38644" s="21" t="s">
        <v>254</v>
      </c>
      <c r="F38644">
        <v>8920031</v>
      </c>
      <c r="G38644" t="s">
        <v>552</v>
      </c>
      <c r="H38644" s="21">
        <v>474</v>
      </c>
    </row>
    <row r="38645" spans="1:8" customFormat="1" x14ac:dyDescent="0.25">
      <c r="A38645" t="str">
        <f>"9537482"</f>
        <v>9537482</v>
      </c>
      <c r="B38645" t="s">
        <v>4335</v>
      </c>
      <c r="C38645" t="s">
        <v>209</v>
      </c>
      <c r="D38645" s="21" t="s">
        <v>34</v>
      </c>
      <c r="E38645" s="21" t="s">
        <v>254</v>
      </c>
      <c r="F38645">
        <v>8951447</v>
      </c>
      <c r="G38645" t="s">
        <v>12175</v>
      </c>
      <c r="H38645" s="21">
        <v>474</v>
      </c>
    </row>
    <row r="38646" spans="1:8" customFormat="1" x14ac:dyDescent="0.25">
      <c r="A38646" t="str">
        <f>"6024153"</f>
        <v>6024153</v>
      </c>
      <c r="B38646" t="s">
        <v>3133</v>
      </c>
      <c r="C38646" t="s">
        <v>275</v>
      </c>
      <c r="D38646" s="21" t="s">
        <v>34</v>
      </c>
      <c r="E38646" s="21" t="s">
        <v>35</v>
      </c>
      <c r="F38646">
        <v>7600005</v>
      </c>
      <c r="G38646" t="s">
        <v>2299</v>
      </c>
      <c r="H38646" s="21">
        <v>474</v>
      </c>
    </row>
    <row r="38647" spans="1:8" customFormat="1" x14ac:dyDescent="0.25">
      <c r="A38647" t="str">
        <f>"7727709"</f>
        <v>7727709</v>
      </c>
      <c r="B38647" t="s">
        <v>13633</v>
      </c>
      <c r="C38647" t="s">
        <v>124</v>
      </c>
      <c r="D38647" s="21" t="s">
        <v>34</v>
      </c>
      <c r="E38647" s="21" t="s">
        <v>254</v>
      </c>
      <c r="F38647">
        <v>8770499</v>
      </c>
      <c r="G38647" t="s">
        <v>447</v>
      </c>
      <c r="H38647" s="21">
        <v>474</v>
      </c>
    </row>
    <row r="38648" spans="1:8" customFormat="1" x14ac:dyDescent="0.25">
      <c r="A38648" t="str">
        <f>"7618008"</f>
        <v>7618008</v>
      </c>
      <c r="B38648" t="s">
        <v>24062</v>
      </c>
      <c r="C38648" t="s">
        <v>412</v>
      </c>
      <c r="D38648" s="21" t="s">
        <v>34</v>
      </c>
      <c r="E38648" s="21" t="s">
        <v>1089</v>
      </c>
      <c r="F38648">
        <v>9760028</v>
      </c>
      <c r="G38648" t="s">
        <v>4086</v>
      </c>
      <c r="H38648" s="21">
        <v>474</v>
      </c>
    </row>
    <row r="38649" spans="1:8" customFormat="1" x14ac:dyDescent="0.25">
      <c r="A38649" t="str">
        <f>"4213040"</f>
        <v>4213040</v>
      </c>
      <c r="B38649" t="s">
        <v>13582</v>
      </c>
      <c r="C38649" t="s">
        <v>1110</v>
      </c>
      <c r="D38649" s="21" t="s">
        <v>34</v>
      </c>
      <c r="E38649" s="21" t="s">
        <v>71</v>
      </c>
      <c r="F38649">
        <v>1420160</v>
      </c>
      <c r="G38649" t="s">
        <v>5488</v>
      </c>
      <c r="H38649" s="21">
        <v>474</v>
      </c>
    </row>
    <row r="38650" spans="1:8" customFormat="1" x14ac:dyDescent="0.25">
      <c r="A38650" t="str">
        <f>"2815200"</f>
        <v>2815200</v>
      </c>
      <c r="B38650" t="s">
        <v>29625</v>
      </c>
      <c r="C38650" t="s">
        <v>171</v>
      </c>
      <c r="D38650" s="21" t="s">
        <v>34</v>
      </c>
      <c r="E38650" s="21" t="s">
        <v>71</v>
      </c>
      <c r="F38650">
        <v>4280593</v>
      </c>
      <c r="G38650" t="s">
        <v>4536</v>
      </c>
      <c r="H38650" s="21">
        <v>474</v>
      </c>
    </row>
    <row r="38651" spans="1:8" customFormat="1" x14ac:dyDescent="0.25">
      <c r="A38651" t="str">
        <f>"1614037"</f>
        <v>1614037</v>
      </c>
      <c r="B38651" t="s">
        <v>24470</v>
      </c>
      <c r="C38651" t="s">
        <v>1819</v>
      </c>
      <c r="D38651" s="21" t="s">
        <v>34</v>
      </c>
      <c r="E38651" s="21" t="s">
        <v>35</v>
      </c>
      <c r="F38651">
        <v>10160197</v>
      </c>
      <c r="G38651" t="s">
        <v>4472</v>
      </c>
      <c r="H38651" s="21">
        <v>474</v>
      </c>
    </row>
    <row r="38652" spans="1:8" customFormat="1" x14ac:dyDescent="0.25">
      <c r="A38652" t="str">
        <f>"5945844"</f>
        <v>5945844</v>
      </c>
      <c r="B38652" t="s">
        <v>23103</v>
      </c>
      <c r="C38652" t="s">
        <v>1597</v>
      </c>
      <c r="D38652" s="21" t="s">
        <v>34</v>
      </c>
      <c r="E38652" s="21" t="s">
        <v>254</v>
      </c>
      <c r="F38652">
        <v>7590392</v>
      </c>
      <c r="G38652" t="s">
        <v>154</v>
      </c>
      <c r="H38652" s="21">
        <v>474</v>
      </c>
    </row>
    <row r="38653" spans="1:8" customFormat="1" x14ac:dyDescent="0.25">
      <c r="A38653" t="str">
        <f>"536614"</f>
        <v>536614</v>
      </c>
      <c r="B38653" t="s">
        <v>19109</v>
      </c>
      <c r="C38653" t="s">
        <v>2520</v>
      </c>
      <c r="D38653" s="21" t="s">
        <v>34</v>
      </c>
      <c r="E38653" s="21" t="s">
        <v>254</v>
      </c>
      <c r="F38653">
        <v>12530121</v>
      </c>
      <c r="G38653" t="s">
        <v>16301</v>
      </c>
      <c r="H38653" s="21">
        <v>474</v>
      </c>
    </row>
    <row r="38654" spans="1:8" customFormat="1" x14ac:dyDescent="0.25">
      <c r="A38654" t="str">
        <f>"2720434"</f>
        <v>2720434</v>
      </c>
      <c r="B38654" t="s">
        <v>23692</v>
      </c>
      <c r="C38654" t="s">
        <v>249</v>
      </c>
      <c r="D38654" s="21" t="s">
        <v>34</v>
      </c>
      <c r="E38654" s="21" t="s">
        <v>71</v>
      </c>
      <c r="F38654">
        <v>9270166</v>
      </c>
      <c r="G38654" t="s">
        <v>16629</v>
      </c>
      <c r="H38654" s="21">
        <v>474</v>
      </c>
    </row>
    <row r="38655" spans="1:8" customFormat="1" x14ac:dyDescent="0.25">
      <c r="A38655" t="str">
        <f>"027554"</f>
        <v>027554</v>
      </c>
      <c r="B38655" t="s">
        <v>22380</v>
      </c>
      <c r="C38655" t="s">
        <v>2393</v>
      </c>
      <c r="D38655" s="21" t="s">
        <v>34</v>
      </c>
      <c r="E38655" s="21" t="s">
        <v>35</v>
      </c>
      <c r="F38655">
        <v>7020037</v>
      </c>
      <c r="G38655" t="s">
        <v>4701</v>
      </c>
      <c r="H38655" s="21">
        <v>474</v>
      </c>
    </row>
    <row r="38656" spans="1:8" customFormat="1" x14ac:dyDescent="0.25">
      <c r="A38656" t="str">
        <f>"5980850"</f>
        <v>5980850</v>
      </c>
      <c r="B38656" t="s">
        <v>29626</v>
      </c>
      <c r="C38656" t="s">
        <v>544</v>
      </c>
      <c r="D38656" s="21" t="s">
        <v>34</v>
      </c>
      <c r="E38656" s="21" t="s">
        <v>254</v>
      </c>
      <c r="F38656">
        <v>7590053</v>
      </c>
      <c r="G38656" t="s">
        <v>2825</v>
      </c>
      <c r="H38656" s="21">
        <v>474</v>
      </c>
    </row>
    <row r="38657" spans="1:8" customFormat="1" x14ac:dyDescent="0.25">
      <c r="A38657" t="str">
        <f>"139351"</f>
        <v>139351</v>
      </c>
      <c r="B38657" t="s">
        <v>29627</v>
      </c>
      <c r="C38657" t="s">
        <v>119</v>
      </c>
      <c r="D38657" s="21" t="s">
        <v>34</v>
      </c>
      <c r="E38657" s="21" t="s">
        <v>35</v>
      </c>
      <c r="F38657">
        <v>13130124</v>
      </c>
      <c r="G38657" t="s">
        <v>5311</v>
      </c>
      <c r="H38657" s="21">
        <v>474</v>
      </c>
    </row>
    <row r="38658" spans="1:8" customFormat="1" x14ac:dyDescent="0.25">
      <c r="A38658" t="str">
        <f>"8527530"</f>
        <v>8527530</v>
      </c>
      <c r="B38658" t="s">
        <v>2317</v>
      </c>
      <c r="C38658" t="s">
        <v>1803</v>
      </c>
      <c r="D38658" s="21" t="s">
        <v>34</v>
      </c>
      <c r="E38658" s="21" t="s">
        <v>35</v>
      </c>
      <c r="F38658">
        <v>12850057</v>
      </c>
      <c r="G38658" t="s">
        <v>1291</v>
      </c>
      <c r="H38658" s="21">
        <v>474</v>
      </c>
    </row>
    <row r="38659" spans="1:8" customFormat="1" x14ac:dyDescent="0.25">
      <c r="A38659" t="str">
        <f>"7618251"</f>
        <v>7618251</v>
      </c>
      <c r="B38659" t="s">
        <v>20903</v>
      </c>
      <c r="C38659" t="s">
        <v>209</v>
      </c>
      <c r="D38659" s="21" t="s">
        <v>34</v>
      </c>
      <c r="E38659" s="21" t="s">
        <v>254</v>
      </c>
      <c r="F38659">
        <v>9760414</v>
      </c>
      <c r="G38659" t="s">
        <v>142</v>
      </c>
      <c r="H38659" s="21">
        <v>473.92</v>
      </c>
    </row>
    <row r="38660" spans="1:8" customFormat="1" x14ac:dyDescent="0.25">
      <c r="A38660" t="str">
        <f>"7522331"</f>
        <v>7522331</v>
      </c>
      <c r="B38660" t="s">
        <v>23895</v>
      </c>
      <c r="C38660" t="s">
        <v>263</v>
      </c>
      <c r="D38660" s="21" t="s">
        <v>34</v>
      </c>
      <c r="E38660" s="21" t="s">
        <v>71</v>
      </c>
      <c r="F38660">
        <v>8751371</v>
      </c>
      <c r="G38660" t="s">
        <v>6605</v>
      </c>
      <c r="H38660" s="21">
        <v>473.75</v>
      </c>
    </row>
    <row r="38661" spans="1:8" customFormat="1" x14ac:dyDescent="0.25">
      <c r="A38661" t="str">
        <f>"9321319"</f>
        <v>9321319</v>
      </c>
      <c r="B38661" t="s">
        <v>29628</v>
      </c>
      <c r="C38661" t="s">
        <v>29629</v>
      </c>
      <c r="D38661" s="21" t="s">
        <v>34</v>
      </c>
      <c r="E38661" s="21" t="s">
        <v>35</v>
      </c>
      <c r="F38661">
        <v>8931313</v>
      </c>
      <c r="G38661" t="s">
        <v>3305</v>
      </c>
      <c r="H38661" s="21">
        <v>473.75</v>
      </c>
    </row>
    <row r="38662" spans="1:8" customFormat="1" x14ac:dyDescent="0.25">
      <c r="A38662" t="str">
        <f>"9416916"</f>
        <v>9416916</v>
      </c>
      <c r="B38662" t="s">
        <v>21366</v>
      </c>
      <c r="C38662" t="s">
        <v>130</v>
      </c>
      <c r="D38662" s="21" t="s">
        <v>34</v>
      </c>
      <c r="E38662" s="21" t="s">
        <v>254</v>
      </c>
      <c r="F38662">
        <v>8940458</v>
      </c>
      <c r="G38662" t="s">
        <v>26774</v>
      </c>
      <c r="H38662" s="21">
        <v>473.75</v>
      </c>
    </row>
    <row r="38663" spans="1:8" customFormat="1" x14ac:dyDescent="0.25">
      <c r="A38663" t="str">
        <f>"7638568"</f>
        <v>7638568</v>
      </c>
      <c r="B38663" t="s">
        <v>13828</v>
      </c>
      <c r="C38663" t="s">
        <v>712</v>
      </c>
      <c r="D38663" s="21" t="s">
        <v>34</v>
      </c>
      <c r="E38663" s="21" t="s">
        <v>35</v>
      </c>
      <c r="F38663">
        <v>9760461</v>
      </c>
      <c r="G38663" t="s">
        <v>6804</v>
      </c>
      <c r="H38663" s="21">
        <v>473.5</v>
      </c>
    </row>
    <row r="38664" spans="1:8" customFormat="1" x14ac:dyDescent="0.25">
      <c r="A38664" t="str">
        <f>"5622116"</f>
        <v>5622116</v>
      </c>
      <c r="B38664" t="s">
        <v>877</v>
      </c>
      <c r="C38664" t="s">
        <v>33</v>
      </c>
      <c r="D38664" s="21" t="s">
        <v>34</v>
      </c>
      <c r="E38664" s="21" t="s">
        <v>35</v>
      </c>
      <c r="F38664">
        <v>3560020</v>
      </c>
      <c r="G38664" t="s">
        <v>426</v>
      </c>
      <c r="H38664" s="21">
        <v>473.5</v>
      </c>
    </row>
    <row r="38665" spans="1:8" customFormat="1" x14ac:dyDescent="0.25">
      <c r="A38665" t="str">
        <f>"992334"</f>
        <v>992334</v>
      </c>
      <c r="B38665" t="s">
        <v>503</v>
      </c>
      <c r="C38665" t="s">
        <v>8375</v>
      </c>
      <c r="D38665" s="21" t="s">
        <v>34</v>
      </c>
      <c r="E38665" s="21" t="s">
        <v>35</v>
      </c>
      <c r="F38665">
        <v>5990007</v>
      </c>
      <c r="G38665" t="s">
        <v>15719</v>
      </c>
      <c r="H38665" s="21">
        <v>473.5</v>
      </c>
    </row>
    <row r="38666" spans="1:8" customFormat="1" x14ac:dyDescent="0.25">
      <c r="A38666" t="str">
        <f>"6018000"</f>
        <v>6018000</v>
      </c>
      <c r="B38666" t="s">
        <v>16622</v>
      </c>
      <c r="C38666" t="s">
        <v>415</v>
      </c>
      <c r="D38666" s="21" t="s">
        <v>34</v>
      </c>
      <c r="E38666" s="21" t="s">
        <v>254</v>
      </c>
      <c r="F38666">
        <v>7600163</v>
      </c>
      <c r="G38666" t="s">
        <v>12203</v>
      </c>
      <c r="H38666" s="21">
        <v>473.5</v>
      </c>
    </row>
    <row r="38667" spans="1:8" customFormat="1" x14ac:dyDescent="0.25">
      <c r="A38667" t="str">
        <f>"3730907"</f>
        <v>3730907</v>
      </c>
      <c r="B38667" t="s">
        <v>8099</v>
      </c>
      <c r="C38667" t="s">
        <v>169</v>
      </c>
      <c r="D38667" s="21" t="s">
        <v>34</v>
      </c>
      <c r="E38667" s="21" t="s">
        <v>71</v>
      </c>
      <c r="F38667">
        <v>4370011</v>
      </c>
      <c r="G38667" t="s">
        <v>3672</v>
      </c>
      <c r="H38667" s="21">
        <v>473.5</v>
      </c>
    </row>
    <row r="38668" spans="1:8" customFormat="1" x14ac:dyDescent="0.25">
      <c r="A38668" t="str">
        <f>"617660"</f>
        <v>617660</v>
      </c>
      <c r="B38668" t="s">
        <v>22390</v>
      </c>
      <c r="C38668" t="s">
        <v>926</v>
      </c>
      <c r="D38668" s="21" t="s">
        <v>34</v>
      </c>
      <c r="E38668" s="21" t="s">
        <v>71</v>
      </c>
      <c r="F38668">
        <v>9610142</v>
      </c>
      <c r="G38668" t="s">
        <v>8211</v>
      </c>
      <c r="H38668" s="21">
        <v>473.5</v>
      </c>
    </row>
    <row r="38669" spans="1:8" customFormat="1" x14ac:dyDescent="0.25">
      <c r="A38669" t="str">
        <f>"7524588"</f>
        <v>7524588</v>
      </c>
      <c r="B38669" t="s">
        <v>29630</v>
      </c>
      <c r="C38669" t="s">
        <v>750</v>
      </c>
      <c r="D38669" s="21" t="s">
        <v>34</v>
      </c>
      <c r="E38669" s="21" t="s">
        <v>35</v>
      </c>
      <c r="F38669">
        <v>8751455</v>
      </c>
      <c r="G38669" t="s">
        <v>14280</v>
      </c>
      <c r="H38669" s="21">
        <v>473.5</v>
      </c>
    </row>
    <row r="38670" spans="1:8" customFormat="1" x14ac:dyDescent="0.25">
      <c r="A38670" t="str">
        <f>"2516636"</f>
        <v>2516636</v>
      </c>
      <c r="B38670" t="s">
        <v>6817</v>
      </c>
      <c r="C38670" t="s">
        <v>40</v>
      </c>
      <c r="D38670" s="21" t="s">
        <v>34</v>
      </c>
      <c r="E38670" s="21" t="s">
        <v>35</v>
      </c>
      <c r="F38670">
        <v>2250070</v>
      </c>
      <c r="G38670" t="s">
        <v>3923</v>
      </c>
      <c r="H38670" s="21">
        <v>473.5</v>
      </c>
    </row>
    <row r="38671" spans="1:8" customFormat="1" x14ac:dyDescent="0.25">
      <c r="A38671" t="str">
        <f>"6110611"</f>
        <v>6110611</v>
      </c>
      <c r="B38671" t="s">
        <v>3555</v>
      </c>
      <c r="C38671" t="s">
        <v>124</v>
      </c>
      <c r="D38671" s="21" t="s">
        <v>34</v>
      </c>
      <c r="E38671" s="21" t="s">
        <v>35</v>
      </c>
      <c r="F38671">
        <v>9610108</v>
      </c>
      <c r="G38671" t="s">
        <v>14594</v>
      </c>
      <c r="H38671" s="21">
        <v>473.5</v>
      </c>
    </row>
    <row r="38672" spans="1:8" customFormat="1" x14ac:dyDescent="0.25">
      <c r="A38672" t="str">
        <f>"461842"</f>
        <v>461842</v>
      </c>
      <c r="B38672" t="s">
        <v>16685</v>
      </c>
      <c r="C38672" t="s">
        <v>144</v>
      </c>
      <c r="D38672" s="21" t="s">
        <v>34</v>
      </c>
      <c r="E38672" s="21" t="s">
        <v>35</v>
      </c>
      <c r="F38672">
        <v>11460012</v>
      </c>
      <c r="G38672" t="s">
        <v>5929</v>
      </c>
      <c r="H38672" s="21">
        <v>473.5</v>
      </c>
    </row>
    <row r="38673" spans="1:8" customFormat="1" x14ac:dyDescent="0.25">
      <c r="A38673" t="str">
        <f>"5969704"</f>
        <v>5969704</v>
      </c>
      <c r="B38673" t="s">
        <v>22658</v>
      </c>
      <c r="C38673" t="s">
        <v>55</v>
      </c>
      <c r="D38673" s="21" t="s">
        <v>34</v>
      </c>
      <c r="E38673" s="21" t="s">
        <v>35</v>
      </c>
      <c r="F38673">
        <v>7590065</v>
      </c>
      <c r="G38673" t="s">
        <v>1598</v>
      </c>
      <c r="H38673" s="21">
        <v>473.5</v>
      </c>
    </row>
    <row r="38674" spans="1:8" customFormat="1" x14ac:dyDescent="0.25">
      <c r="A38674" t="str">
        <f>"7642793"</f>
        <v>7642793</v>
      </c>
      <c r="B38674" t="s">
        <v>29631</v>
      </c>
      <c r="C38674" t="s">
        <v>1359</v>
      </c>
      <c r="D38674" s="21" t="s">
        <v>34</v>
      </c>
      <c r="E38674" s="21" t="s">
        <v>35</v>
      </c>
      <c r="F38674">
        <v>9760379</v>
      </c>
      <c r="G38674" t="s">
        <v>18639</v>
      </c>
      <c r="H38674" s="21">
        <v>473.5</v>
      </c>
    </row>
    <row r="38675" spans="1:8" customFormat="1" x14ac:dyDescent="0.25">
      <c r="A38675" t="str">
        <f>"7724067"</f>
        <v>7724067</v>
      </c>
      <c r="B38675" t="s">
        <v>1590</v>
      </c>
      <c r="C38675" t="s">
        <v>209</v>
      </c>
      <c r="D38675" s="21" t="s">
        <v>34</v>
      </c>
      <c r="E38675" s="21" t="s">
        <v>71</v>
      </c>
      <c r="F38675">
        <v>8771304</v>
      </c>
      <c r="G38675" t="s">
        <v>5314</v>
      </c>
      <c r="H38675" s="21">
        <v>473.5</v>
      </c>
    </row>
    <row r="38676" spans="1:8" customFormat="1" x14ac:dyDescent="0.25">
      <c r="A38676" t="str">
        <f>"6232732"</f>
        <v>6232732</v>
      </c>
      <c r="B38676" t="s">
        <v>23565</v>
      </c>
      <c r="C38676" t="s">
        <v>269</v>
      </c>
      <c r="D38676" s="21" t="s">
        <v>34</v>
      </c>
      <c r="E38676" s="21" t="s">
        <v>35</v>
      </c>
      <c r="F38676">
        <v>7620060</v>
      </c>
      <c r="G38676" t="s">
        <v>2179</v>
      </c>
      <c r="H38676" s="21">
        <v>473.5</v>
      </c>
    </row>
    <row r="38677" spans="1:8" customFormat="1" x14ac:dyDescent="0.25">
      <c r="A38677" t="str">
        <f>"5621292"</f>
        <v>5621292</v>
      </c>
      <c r="B38677" t="s">
        <v>2851</v>
      </c>
      <c r="C38677" t="s">
        <v>275</v>
      </c>
      <c r="D38677" s="21" t="s">
        <v>34</v>
      </c>
      <c r="E38677" s="21" t="s">
        <v>35</v>
      </c>
      <c r="F38677">
        <v>3560088</v>
      </c>
      <c r="G38677" t="s">
        <v>15034</v>
      </c>
      <c r="H38677" s="21">
        <v>473.5</v>
      </c>
    </row>
    <row r="38678" spans="1:8" customFormat="1" x14ac:dyDescent="0.25">
      <c r="A38678" t="str">
        <f>"5914303"</f>
        <v>5914303</v>
      </c>
      <c r="B38678" t="s">
        <v>24343</v>
      </c>
      <c r="C38678" t="s">
        <v>55</v>
      </c>
      <c r="D38678" s="21" t="s">
        <v>34</v>
      </c>
      <c r="E38678" s="21" t="s">
        <v>71</v>
      </c>
      <c r="F38678">
        <v>7590327</v>
      </c>
      <c r="G38678" t="s">
        <v>2330</v>
      </c>
      <c r="H38678" s="21">
        <v>473.5</v>
      </c>
    </row>
    <row r="38679" spans="1:8" customFormat="1" x14ac:dyDescent="0.25">
      <c r="A38679" t="str">
        <f>"9523306"</f>
        <v>9523306</v>
      </c>
      <c r="B38679" t="s">
        <v>16359</v>
      </c>
      <c r="C38679" t="s">
        <v>547</v>
      </c>
      <c r="D38679" s="21" t="s">
        <v>34</v>
      </c>
      <c r="E38679" s="21" t="s">
        <v>1089</v>
      </c>
      <c r="F38679">
        <v>8950330</v>
      </c>
      <c r="G38679" t="s">
        <v>794</v>
      </c>
      <c r="H38679" s="21">
        <v>473.5</v>
      </c>
    </row>
    <row r="38680" spans="1:8" customFormat="1" x14ac:dyDescent="0.25">
      <c r="A38680" t="str">
        <f>"6726471"</f>
        <v>6726471</v>
      </c>
      <c r="B38680" t="s">
        <v>29632</v>
      </c>
      <c r="C38680" t="s">
        <v>249</v>
      </c>
      <c r="D38680" s="21" t="s">
        <v>34</v>
      </c>
      <c r="E38680" s="21" t="s">
        <v>35</v>
      </c>
      <c r="F38680">
        <v>6670043</v>
      </c>
      <c r="G38680" t="s">
        <v>5658</v>
      </c>
      <c r="H38680" s="21">
        <v>473.5</v>
      </c>
    </row>
    <row r="38681" spans="1:8" customFormat="1" x14ac:dyDescent="0.25">
      <c r="A38681" t="str">
        <f>"5614435"</f>
        <v>5614435</v>
      </c>
      <c r="B38681" t="s">
        <v>9949</v>
      </c>
      <c r="C38681" t="s">
        <v>2520</v>
      </c>
      <c r="D38681" s="21" t="s">
        <v>34</v>
      </c>
      <c r="E38681" s="21" t="s">
        <v>6185</v>
      </c>
      <c r="F38681">
        <v>3560049</v>
      </c>
      <c r="G38681" t="s">
        <v>8021</v>
      </c>
      <c r="H38681" s="21">
        <v>473.5</v>
      </c>
    </row>
    <row r="38682" spans="1:8" customFormat="1" x14ac:dyDescent="0.25">
      <c r="A38682" t="str">
        <f>"5619917"</f>
        <v>5619917</v>
      </c>
      <c r="B38682" t="s">
        <v>22560</v>
      </c>
      <c r="C38682" t="s">
        <v>65</v>
      </c>
      <c r="D38682" s="21" t="s">
        <v>34</v>
      </c>
      <c r="E38682" s="21" t="s">
        <v>35</v>
      </c>
      <c r="F38682">
        <v>3560072</v>
      </c>
      <c r="G38682" t="s">
        <v>12285</v>
      </c>
      <c r="H38682" s="21">
        <v>473.25</v>
      </c>
    </row>
    <row r="38683" spans="1:8" customFormat="1" x14ac:dyDescent="0.25">
      <c r="A38683" t="str">
        <f>"5621959"</f>
        <v>5621959</v>
      </c>
      <c r="B38683" t="s">
        <v>509</v>
      </c>
      <c r="C38683" t="s">
        <v>1142</v>
      </c>
      <c r="D38683" s="21" t="s">
        <v>34</v>
      </c>
      <c r="E38683" s="21" t="s">
        <v>1089</v>
      </c>
      <c r="F38683">
        <v>3560091</v>
      </c>
      <c r="G38683" t="s">
        <v>27212</v>
      </c>
      <c r="H38683" s="21">
        <v>473.17</v>
      </c>
    </row>
    <row r="38684" spans="1:8" customFormat="1" x14ac:dyDescent="0.25">
      <c r="A38684" t="str">
        <f>"9131504"</f>
        <v>9131504</v>
      </c>
      <c r="B38684" t="s">
        <v>17304</v>
      </c>
      <c r="C38684" t="s">
        <v>209</v>
      </c>
      <c r="D38684" s="21" t="s">
        <v>34</v>
      </c>
      <c r="E38684" s="21" t="s">
        <v>71</v>
      </c>
      <c r="F38684">
        <v>8910004</v>
      </c>
      <c r="G38684" t="s">
        <v>9637</v>
      </c>
      <c r="H38684" s="21">
        <v>473.12</v>
      </c>
    </row>
    <row r="38685" spans="1:8" customFormat="1" x14ac:dyDescent="0.25">
      <c r="A38685" t="str">
        <f>"9321902"</f>
        <v>9321902</v>
      </c>
      <c r="B38685" t="s">
        <v>29633</v>
      </c>
      <c r="C38685" t="s">
        <v>12882</v>
      </c>
      <c r="D38685" s="21" t="s">
        <v>34</v>
      </c>
      <c r="E38685" s="21" t="s">
        <v>35</v>
      </c>
      <c r="F38685">
        <v>8930001</v>
      </c>
      <c r="G38685" t="s">
        <v>2264</v>
      </c>
      <c r="H38685" s="21">
        <v>473</v>
      </c>
    </row>
    <row r="38686" spans="1:8" customFormat="1" x14ac:dyDescent="0.25">
      <c r="A38686" t="str">
        <f>"5620266"</f>
        <v>5620266</v>
      </c>
      <c r="B38686" t="s">
        <v>8455</v>
      </c>
      <c r="C38686" t="s">
        <v>244</v>
      </c>
      <c r="D38686" s="21" t="s">
        <v>34</v>
      </c>
      <c r="E38686" s="21" t="s">
        <v>35</v>
      </c>
      <c r="F38686">
        <v>3560088</v>
      </c>
      <c r="G38686" t="s">
        <v>15034</v>
      </c>
      <c r="H38686" s="21">
        <v>473</v>
      </c>
    </row>
    <row r="38687" spans="1:8" customFormat="1" x14ac:dyDescent="0.25">
      <c r="A38687" t="str">
        <f>"824261"</f>
        <v>824261</v>
      </c>
      <c r="B38687" t="s">
        <v>29634</v>
      </c>
      <c r="C38687" t="s">
        <v>1468</v>
      </c>
      <c r="D38687" s="21" t="s">
        <v>34</v>
      </c>
      <c r="E38687" s="21" t="s">
        <v>254</v>
      </c>
      <c r="F38687">
        <v>11820011</v>
      </c>
      <c r="G38687" t="s">
        <v>2611</v>
      </c>
      <c r="H38687" s="21">
        <v>473</v>
      </c>
    </row>
    <row r="38688" spans="1:8" customFormat="1" x14ac:dyDescent="0.25">
      <c r="A38688" t="str">
        <f>"5327123"</f>
        <v>5327123</v>
      </c>
      <c r="B38688" t="s">
        <v>3848</v>
      </c>
      <c r="C38688" t="s">
        <v>2520</v>
      </c>
      <c r="D38688" s="21" t="s">
        <v>34</v>
      </c>
      <c r="E38688" s="21" t="s">
        <v>254</v>
      </c>
      <c r="F38688">
        <v>12530072</v>
      </c>
      <c r="G38688" t="s">
        <v>7342</v>
      </c>
      <c r="H38688" s="21">
        <v>473</v>
      </c>
    </row>
    <row r="38689" spans="1:8" customFormat="1" x14ac:dyDescent="0.25">
      <c r="A38689" t="str">
        <f>"7639647"</f>
        <v>7639647</v>
      </c>
      <c r="B38689" t="s">
        <v>4622</v>
      </c>
      <c r="C38689" t="s">
        <v>40</v>
      </c>
      <c r="D38689" s="21" t="s">
        <v>34</v>
      </c>
      <c r="E38689" s="21" t="s">
        <v>35</v>
      </c>
      <c r="F38689">
        <v>9760368</v>
      </c>
      <c r="G38689" t="s">
        <v>8267</v>
      </c>
      <c r="H38689" s="21">
        <v>473</v>
      </c>
    </row>
    <row r="38690" spans="1:8" customFormat="1" x14ac:dyDescent="0.25">
      <c r="A38690" t="str">
        <f>"7923442"</f>
        <v>7923442</v>
      </c>
      <c r="B38690" t="s">
        <v>24698</v>
      </c>
      <c r="C38690" t="s">
        <v>249</v>
      </c>
      <c r="D38690" s="21" t="s">
        <v>34</v>
      </c>
      <c r="E38690" s="21" t="s">
        <v>35</v>
      </c>
      <c r="F38690">
        <v>10790058</v>
      </c>
      <c r="G38690" t="s">
        <v>6512</v>
      </c>
      <c r="H38690" s="21">
        <v>473</v>
      </c>
    </row>
    <row r="38691" spans="1:8" customFormat="1" x14ac:dyDescent="0.25">
      <c r="A38691" t="str">
        <f>"7834787"</f>
        <v>7834787</v>
      </c>
      <c r="B38691" t="s">
        <v>29635</v>
      </c>
      <c r="C38691" t="s">
        <v>29636</v>
      </c>
      <c r="D38691" s="21" t="s">
        <v>34</v>
      </c>
      <c r="E38691" s="21" t="s">
        <v>35</v>
      </c>
      <c r="F38691">
        <v>8780571</v>
      </c>
      <c r="G38691" t="s">
        <v>2336</v>
      </c>
      <c r="H38691" s="21">
        <v>473</v>
      </c>
    </row>
    <row r="38692" spans="1:8" customFormat="1" x14ac:dyDescent="0.25">
      <c r="A38692" t="str">
        <f>"1612555"</f>
        <v>1612555</v>
      </c>
      <c r="B38692" t="s">
        <v>29637</v>
      </c>
      <c r="C38692" t="s">
        <v>65</v>
      </c>
      <c r="D38692" s="21" t="s">
        <v>34</v>
      </c>
      <c r="E38692" s="21" t="s">
        <v>71</v>
      </c>
      <c r="F38692">
        <v>10160028</v>
      </c>
      <c r="G38692" t="s">
        <v>12565</v>
      </c>
      <c r="H38692" s="21">
        <v>473</v>
      </c>
    </row>
    <row r="38693" spans="1:8" customFormat="1" x14ac:dyDescent="0.25">
      <c r="A38693" t="str">
        <f>"6112860"</f>
        <v>6112860</v>
      </c>
      <c r="B38693" t="s">
        <v>1263</v>
      </c>
      <c r="C38693" t="s">
        <v>269</v>
      </c>
      <c r="D38693" s="21" t="s">
        <v>34</v>
      </c>
      <c r="E38693" s="21" t="s">
        <v>35</v>
      </c>
      <c r="F38693">
        <v>9610122</v>
      </c>
      <c r="G38693" t="s">
        <v>4349</v>
      </c>
      <c r="H38693" s="21">
        <v>473</v>
      </c>
    </row>
    <row r="38694" spans="1:8" customFormat="1" x14ac:dyDescent="0.25">
      <c r="A38694" t="str">
        <f>"3727551"</f>
        <v>3727551</v>
      </c>
      <c r="B38694" t="s">
        <v>2983</v>
      </c>
      <c r="C38694" t="s">
        <v>65</v>
      </c>
      <c r="D38694" s="21" t="s">
        <v>34</v>
      </c>
      <c r="E38694" s="21" t="s">
        <v>35</v>
      </c>
      <c r="F38694">
        <v>4370346</v>
      </c>
      <c r="G38694" t="s">
        <v>8269</v>
      </c>
      <c r="H38694" s="21">
        <v>473</v>
      </c>
    </row>
    <row r="38695" spans="1:8" customFormat="1" x14ac:dyDescent="0.25">
      <c r="A38695" t="str">
        <f>"6941588"</f>
        <v>6941588</v>
      </c>
      <c r="B38695" t="s">
        <v>29638</v>
      </c>
      <c r="C38695" t="s">
        <v>598</v>
      </c>
      <c r="D38695" s="21" t="s">
        <v>34</v>
      </c>
      <c r="E38695" s="21" t="s">
        <v>6185</v>
      </c>
      <c r="F38695">
        <v>1690052</v>
      </c>
      <c r="G38695" t="s">
        <v>273</v>
      </c>
      <c r="H38695" s="21">
        <v>473</v>
      </c>
    </row>
    <row r="38696" spans="1:8" customFormat="1" x14ac:dyDescent="0.25">
      <c r="A38696" t="str">
        <f>"2510409"</f>
        <v>2510409</v>
      </c>
      <c r="B38696" t="s">
        <v>24789</v>
      </c>
      <c r="C38696" t="s">
        <v>239</v>
      </c>
      <c r="D38696" s="21" t="s">
        <v>34</v>
      </c>
      <c r="E38696" s="21" t="s">
        <v>254</v>
      </c>
      <c r="F38696">
        <v>2250197</v>
      </c>
      <c r="G38696" t="s">
        <v>12054</v>
      </c>
      <c r="H38696" s="21">
        <v>473</v>
      </c>
    </row>
    <row r="38697" spans="1:8" customFormat="1" x14ac:dyDescent="0.25">
      <c r="A38697" t="str">
        <f>"2721177"</f>
        <v>2721177</v>
      </c>
      <c r="B38697" t="s">
        <v>22946</v>
      </c>
      <c r="C38697" t="s">
        <v>269</v>
      </c>
      <c r="D38697" s="21" t="s">
        <v>34</v>
      </c>
      <c r="E38697" s="21" t="s">
        <v>254</v>
      </c>
      <c r="F38697">
        <v>9270110</v>
      </c>
      <c r="G38697" t="s">
        <v>7417</v>
      </c>
      <c r="H38697" s="21">
        <v>473</v>
      </c>
    </row>
    <row r="38698" spans="1:8" customFormat="1" x14ac:dyDescent="0.25">
      <c r="A38698" t="str">
        <f>"9146897"</f>
        <v>9146897</v>
      </c>
      <c r="B38698" t="s">
        <v>29639</v>
      </c>
      <c r="C38698" t="s">
        <v>209</v>
      </c>
      <c r="D38698" s="21" t="s">
        <v>34</v>
      </c>
      <c r="E38698" s="21" t="s">
        <v>35</v>
      </c>
      <c r="F38698">
        <v>8910310</v>
      </c>
      <c r="G38698" t="s">
        <v>6645</v>
      </c>
      <c r="H38698" s="21">
        <v>473</v>
      </c>
    </row>
    <row r="38699" spans="1:8" customFormat="1" x14ac:dyDescent="0.25">
      <c r="A38699" t="str">
        <f>"6234167"</f>
        <v>6234167</v>
      </c>
      <c r="B38699" t="s">
        <v>29640</v>
      </c>
      <c r="C38699" t="s">
        <v>144</v>
      </c>
      <c r="D38699" s="21" t="s">
        <v>34</v>
      </c>
      <c r="E38699" s="21" t="s">
        <v>254</v>
      </c>
      <c r="F38699">
        <v>7620032</v>
      </c>
      <c r="G38699" t="s">
        <v>11181</v>
      </c>
      <c r="H38699" s="21">
        <v>473</v>
      </c>
    </row>
    <row r="38700" spans="1:8" customFormat="1" x14ac:dyDescent="0.25">
      <c r="A38700" t="str">
        <f>"5973362"</f>
        <v>5973362</v>
      </c>
      <c r="B38700" t="s">
        <v>392</v>
      </c>
      <c r="C38700" t="s">
        <v>1468</v>
      </c>
      <c r="D38700" s="21" t="s">
        <v>34</v>
      </c>
      <c r="E38700" s="21" t="s">
        <v>35</v>
      </c>
      <c r="F38700">
        <v>7590405</v>
      </c>
      <c r="G38700" t="s">
        <v>11198</v>
      </c>
      <c r="H38700" s="21">
        <v>473</v>
      </c>
    </row>
    <row r="38701" spans="1:8" customFormat="1" x14ac:dyDescent="0.25">
      <c r="A38701" t="str">
        <f>"4937628"</f>
        <v>4937628</v>
      </c>
      <c r="B38701" t="s">
        <v>29641</v>
      </c>
      <c r="C38701" t="s">
        <v>209</v>
      </c>
      <c r="D38701" s="21" t="s">
        <v>34</v>
      </c>
      <c r="E38701" s="21" t="s">
        <v>71</v>
      </c>
      <c r="F38701">
        <v>12490040</v>
      </c>
      <c r="G38701" t="s">
        <v>94</v>
      </c>
      <c r="H38701" s="21">
        <v>473</v>
      </c>
    </row>
    <row r="38702" spans="1:8" customFormat="1" x14ac:dyDescent="0.25">
      <c r="A38702" t="str">
        <f>"5948110"</f>
        <v>5948110</v>
      </c>
      <c r="B38702" t="s">
        <v>24394</v>
      </c>
      <c r="C38702" t="s">
        <v>1605</v>
      </c>
      <c r="D38702" s="21" t="s">
        <v>34</v>
      </c>
      <c r="E38702" s="21" t="s">
        <v>1089</v>
      </c>
      <c r="F38702">
        <v>7590044</v>
      </c>
      <c r="G38702" t="s">
        <v>2029</v>
      </c>
      <c r="H38702" s="21">
        <v>473</v>
      </c>
    </row>
    <row r="38703" spans="1:8" customFormat="1" x14ac:dyDescent="0.25">
      <c r="A38703" t="str">
        <f>"8526885"</f>
        <v>8526885</v>
      </c>
      <c r="B38703" t="s">
        <v>24434</v>
      </c>
      <c r="C38703" t="s">
        <v>2907</v>
      </c>
      <c r="D38703" s="21" t="s">
        <v>34</v>
      </c>
      <c r="E38703" s="21" t="s">
        <v>71</v>
      </c>
      <c r="F38703">
        <v>12850153</v>
      </c>
      <c r="G38703" t="s">
        <v>5794</v>
      </c>
      <c r="H38703" s="21">
        <v>473</v>
      </c>
    </row>
    <row r="38704" spans="1:8" customFormat="1" x14ac:dyDescent="0.25">
      <c r="A38704" t="str">
        <f>"5432260"</f>
        <v>5432260</v>
      </c>
      <c r="B38704" t="s">
        <v>24801</v>
      </c>
      <c r="C38704" t="s">
        <v>2529</v>
      </c>
      <c r="D38704" s="21" t="s">
        <v>34</v>
      </c>
      <c r="E38704" s="21" t="s">
        <v>254</v>
      </c>
      <c r="F38704">
        <v>6540021</v>
      </c>
      <c r="G38704" t="s">
        <v>1815</v>
      </c>
      <c r="H38704" s="21">
        <v>473</v>
      </c>
    </row>
    <row r="38705" spans="1:8" customFormat="1" x14ac:dyDescent="0.25">
      <c r="A38705" t="str">
        <f>"7921365"</f>
        <v>7921365</v>
      </c>
      <c r="B38705" t="s">
        <v>9983</v>
      </c>
      <c r="C38705" t="s">
        <v>547</v>
      </c>
      <c r="D38705" s="21" t="s">
        <v>34</v>
      </c>
      <c r="E38705" s="21" t="s">
        <v>71</v>
      </c>
      <c r="F38705">
        <v>10790036</v>
      </c>
      <c r="G38705" t="s">
        <v>4946</v>
      </c>
      <c r="H38705" s="21">
        <v>473</v>
      </c>
    </row>
    <row r="38706" spans="1:8" customFormat="1" x14ac:dyDescent="0.25">
      <c r="A38706" t="str">
        <f>"5620907"</f>
        <v>5620907</v>
      </c>
      <c r="B38706" t="s">
        <v>2240</v>
      </c>
      <c r="C38706" t="s">
        <v>305</v>
      </c>
      <c r="D38706" s="21" t="s">
        <v>34</v>
      </c>
      <c r="E38706" s="21" t="s">
        <v>35</v>
      </c>
      <c r="F38706">
        <v>3560019</v>
      </c>
      <c r="G38706" t="s">
        <v>13051</v>
      </c>
      <c r="H38706" s="21">
        <v>473</v>
      </c>
    </row>
    <row r="38707" spans="1:8" customFormat="1" x14ac:dyDescent="0.25">
      <c r="A38707" t="str">
        <f>"8615738"</f>
        <v>8615738</v>
      </c>
      <c r="B38707" t="s">
        <v>4244</v>
      </c>
      <c r="C38707" t="s">
        <v>43</v>
      </c>
      <c r="D38707" s="21" t="s">
        <v>34</v>
      </c>
      <c r="E38707" s="21" t="s">
        <v>35</v>
      </c>
      <c r="F38707">
        <v>10860016</v>
      </c>
      <c r="G38707" t="s">
        <v>3289</v>
      </c>
      <c r="H38707" s="21">
        <v>473</v>
      </c>
    </row>
    <row r="38708" spans="1:8" customFormat="1" x14ac:dyDescent="0.25">
      <c r="A38708" t="str">
        <f>"293170"</f>
        <v>293170</v>
      </c>
      <c r="B38708" t="s">
        <v>24223</v>
      </c>
      <c r="C38708" t="s">
        <v>2520</v>
      </c>
      <c r="D38708" s="21" t="s">
        <v>34</v>
      </c>
      <c r="E38708" s="21" t="s">
        <v>71</v>
      </c>
      <c r="F38708">
        <v>3290273</v>
      </c>
      <c r="G38708" t="s">
        <v>2972</v>
      </c>
      <c r="H38708" s="21">
        <v>473</v>
      </c>
    </row>
    <row r="38709" spans="1:8" customFormat="1" x14ac:dyDescent="0.25">
      <c r="A38709" t="str">
        <f>"9133035"</f>
        <v>9133035</v>
      </c>
      <c r="B38709" t="s">
        <v>24744</v>
      </c>
      <c r="C38709" t="s">
        <v>1620</v>
      </c>
      <c r="D38709" s="21" t="s">
        <v>34</v>
      </c>
      <c r="E38709" s="21" t="s">
        <v>71</v>
      </c>
      <c r="F38709">
        <v>8911021</v>
      </c>
      <c r="G38709" t="s">
        <v>4198</v>
      </c>
      <c r="H38709" s="21">
        <v>472.88</v>
      </c>
    </row>
    <row r="38710" spans="1:8" customFormat="1" x14ac:dyDescent="0.25">
      <c r="A38710" t="str">
        <f>"5323720"</f>
        <v>5323720</v>
      </c>
      <c r="B38710" t="s">
        <v>8713</v>
      </c>
      <c r="C38710" t="s">
        <v>98</v>
      </c>
      <c r="D38710" s="21" t="s">
        <v>34</v>
      </c>
      <c r="E38710" s="21" t="s">
        <v>35</v>
      </c>
      <c r="F38710">
        <v>12530121</v>
      </c>
      <c r="G38710" t="s">
        <v>16301</v>
      </c>
      <c r="H38710" s="21">
        <v>472.75</v>
      </c>
    </row>
    <row r="38711" spans="1:8" customFormat="1" x14ac:dyDescent="0.25">
      <c r="A38711" t="str">
        <f>"6314791"</f>
        <v>6314791</v>
      </c>
      <c r="B38711" t="s">
        <v>5558</v>
      </c>
      <c r="C38711" t="s">
        <v>198</v>
      </c>
      <c r="D38711" s="21" t="s">
        <v>34</v>
      </c>
      <c r="E38711" s="21" t="s">
        <v>254</v>
      </c>
      <c r="F38711">
        <v>1630145</v>
      </c>
      <c r="G38711" t="s">
        <v>13804</v>
      </c>
      <c r="H38711" s="21">
        <v>472.5</v>
      </c>
    </row>
    <row r="38712" spans="1:8" customFormat="1" x14ac:dyDescent="0.25">
      <c r="A38712" t="str">
        <f>"4220093"</f>
        <v>4220093</v>
      </c>
      <c r="B38712" t="s">
        <v>29642</v>
      </c>
      <c r="C38712" t="s">
        <v>144</v>
      </c>
      <c r="D38712" s="21" t="s">
        <v>34</v>
      </c>
      <c r="E38712" s="21" t="s">
        <v>35</v>
      </c>
      <c r="F38712">
        <v>1420018</v>
      </c>
      <c r="G38712" t="s">
        <v>9778</v>
      </c>
      <c r="H38712" s="21">
        <v>472.5</v>
      </c>
    </row>
    <row r="38713" spans="1:8" customFormat="1" x14ac:dyDescent="0.25">
      <c r="A38713" t="str">
        <f>"7642853"</f>
        <v>7642853</v>
      </c>
      <c r="B38713" t="s">
        <v>29643</v>
      </c>
      <c r="C38713" t="s">
        <v>453</v>
      </c>
      <c r="D38713" s="21" t="s">
        <v>34</v>
      </c>
      <c r="E38713" s="21" t="s">
        <v>254</v>
      </c>
      <c r="F38713">
        <v>9760070</v>
      </c>
      <c r="G38713" t="s">
        <v>6226</v>
      </c>
      <c r="H38713" s="21">
        <v>472.5</v>
      </c>
    </row>
    <row r="38714" spans="1:8" customFormat="1" x14ac:dyDescent="0.25">
      <c r="A38714" t="str">
        <f>"3721001"</f>
        <v>3721001</v>
      </c>
      <c r="B38714" t="s">
        <v>9875</v>
      </c>
      <c r="C38714" t="s">
        <v>119</v>
      </c>
      <c r="D38714" s="21" t="s">
        <v>34</v>
      </c>
      <c r="E38714" s="21" t="s">
        <v>71</v>
      </c>
      <c r="F38714">
        <v>4370498</v>
      </c>
      <c r="G38714" t="s">
        <v>10872</v>
      </c>
      <c r="H38714" s="21">
        <v>472.5</v>
      </c>
    </row>
    <row r="38715" spans="1:8" customFormat="1" x14ac:dyDescent="0.25">
      <c r="A38715" t="str">
        <f>"6316368"</f>
        <v>6316368</v>
      </c>
      <c r="B38715" t="s">
        <v>23960</v>
      </c>
      <c r="C38715" t="s">
        <v>4235</v>
      </c>
      <c r="D38715" s="21" t="s">
        <v>34</v>
      </c>
      <c r="E38715" s="21" t="s">
        <v>35</v>
      </c>
      <c r="F38715">
        <v>1630289</v>
      </c>
      <c r="G38715" t="s">
        <v>8900</v>
      </c>
      <c r="H38715" s="21">
        <v>472.5</v>
      </c>
    </row>
    <row r="38716" spans="1:8" customFormat="1" x14ac:dyDescent="0.25">
      <c r="A38716" t="str">
        <f>"3426770"</f>
        <v>3426770</v>
      </c>
      <c r="B38716" t="s">
        <v>24774</v>
      </c>
      <c r="C38716" t="s">
        <v>24775</v>
      </c>
      <c r="D38716" s="21" t="s">
        <v>34</v>
      </c>
      <c r="E38716" s="21" t="s">
        <v>71</v>
      </c>
      <c r="F38716">
        <v>11340065</v>
      </c>
      <c r="G38716" t="s">
        <v>2022</v>
      </c>
      <c r="H38716" s="21">
        <v>472.5</v>
      </c>
    </row>
    <row r="38717" spans="1:8" customFormat="1" x14ac:dyDescent="0.25">
      <c r="A38717" t="str">
        <f>"6812654"</f>
        <v>6812654</v>
      </c>
      <c r="B38717" t="s">
        <v>22297</v>
      </c>
      <c r="C38717" t="s">
        <v>1142</v>
      </c>
      <c r="D38717" s="21" t="s">
        <v>34</v>
      </c>
      <c r="E38717" s="21" t="s">
        <v>71</v>
      </c>
      <c r="F38717">
        <v>6680020</v>
      </c>
      <c r="G38717" t="s">
        <v>12995</v>
      </c>
      <c r="H38717" s="21">
        <v>472.5</v>
      </c>
    </row>
    <row r="38718" spans="1:8" customFormat="1" x14ac:dyDescent="0.25">
      <c r="A38718" t="str">
        <f>"3535065"</f>
        <v>3535065</v>
      </c>
      <c r="B38718" t="s">
        <v>21286</v>
      </c>
      <c r="C38718" t="s">
        <v>169</v>
      </c>
      <c r="D38718" s="21" t="s">
        <v>34</v>
      </c>
      <c r="E38718" s="21" t="s">
        <v>71</v>
      </c>
      <c r="F38718">
        <v>3350209</v>
      </c>
      <c r="G38718" t="s">
        <v>3023</v>
      </c>
      <c r="H38718" s="21">
        <v>472.5</v>
      </c>
    </row>
    <row r="38719" spans="1:8" customFormat="1" x14ac:dyDescent="0.25">
      <c r="A38719" t="str">
        <f>"6316345"</f>
        <v>6316345</v>
      </c>
      <c r="B38719" t="s">
        <v>5648</v>
      </c>
      <c r="C38719" t="s">
        <v>253</v>
      </c>
      <c r="D38719" s="21" t="s">
        <v>34</v>
      </c>
      <c r="E38719" s="21" t="s">
        <v>254</v>
      </c>
      <c r="F38719">
        <v>1630303</v>
      </c>
      <c r="G38719" t="s">
        <v>8915</v>
      </c>
      <c r="H38719" s="21">
        <v>472.5</v>
      </c>
    </row>
    <row r="38720" spans="1:8" customFormat="1" x14ac:dyDescent="0.25">
      <c r="A38720" t="str">
        <f>"7619545"</f>
        <v>7619545</v>
      </c>
      <c r="B38720" t="s">
        <v>4162</v>
      </c>
      <c r="C38720" t="s">
        <v>267</v>
      </c>
      <c r="D38720" s="21" t="s">
        <v>34</v>
      </c>
      <c r="E38720" s="21" t="s">
        <v>254</v>
      </c>
      <c r="F38720">
        <v>9760012</v>
      </c>
      <c r="G38720" t="s">
        <v>17233</v>
      </c>
      <c r="H38720" s="21">
        <v>472.5</v>
      </c>
    </row>
    <row r="38721" spans="1:8" customFormat="1" x14ac:dyDescent="0.25">
      <c r="A38721" t="str">
        <f>"7522171"</f>
        <v>7522171</v>
      </c>
      <c r="B38721" t="s">
        <v>4611</v>
      </c>
      <c r="C38721" t="s">
        <v>415</v>
      </c>
      <c r="D38721" s="21" t="s">
        <v>34</v>
      </c>
      <c r="E38721" s="21" t="s">
        <v>254</v>
      </c>
      <c r="F38721">
        <v>8750074</v>
      </c>
      <c r="G38721" t="s">
        <v>698</v>
      </c>
      <c r="H38721" s="21">
        <v>472.5</v>
      </c>
    </row>
    <row r="38722" spans="1:8" customFormat="1" x14ac:dyDescent="0.25">
      <c r="A38722" t="str">
        <f>"6229465"</f>
        <v>6229465</v>
      </c>
      <c r="B38722" t="s">
        <v>24348</v>
      </c>
      <c r="C38722" t="s">
        <v>98</v>
      </c>
      <c r="D38722" s="21" t="s">
        <v>34</v>
      </c>
      <c r="E38722" s="21" t="s">
        <v>35</v>
      </c>
      <c r="F38722">
        <v>7620042</v>
      </c>
      <c r="G38722" t="s">
        <v>8102</v>
      </c>
      <c r="H38722" s="21">
        <v>472.5</v>
      </c>
    </row>
    <row r="38723" spans="1:8" customFormat="1" x14ac:dyDescent="0.25">
      <c r="A38723" t="str">
        <f>"6024031"</f>
        <v>6024031</v>
      </c>
      <c r="B38723" t="s">
        <v>690</v>
      </c>
      <c r="C38723" t="s">
        <v>109</v>
      </c>
      <c r="D38723" s="21" t="s">
        <v>34</v>
      </c>
      <c r="E38723" s="21" t="s">
        <v>254</v>
      </c>
      <c r="F38723">
        <v>7600088</v>
      </c>
      <c r="G38723" t="s">
        <v>334</v>
      </c>
      <c r="H38723" s="21">
        <v>472.5</v>
      </c>
    </row>
    <row r="38724" spans="1:8" customFormat="1" x14ac:dyDescent="0.25">
      <c r="A38724" t="str">
        <f>"3119290"</f>
        <v>3119290</v>
      </c>
      <c r="B38724" t="s">
        <v>29644</v>
      </c>
      <c r="C38724" t="s">
        <v>1812</v>
      </c>
      <c r="D38724" s="21" t="s">
        <v>34</v>
      </c>
      <c r="E38724" s="21" t="s">
        <v>254</v>
      </c>
      <c r="F38724">
        <v>11310098</v>
      </c>
      <c r="G38724" t="s">
        <v>371</v>
      </c>
      <c r="H38724" s="21">
        <v>472.5</v>
      </c>
    </row>
    <row r="38725" spans="1:8" customFormat="1" x14ac:dyDescent="0.25">
      <c r="A38725" t="str">
        <f>"9244519"</f>
        <v>9244519</v>
      </c>
      <c r="B38725" t="s">
        <v>431</v>
      </c>
      <c r="C38725" t="s">
        <v>598</v>
      </c>
      <c r="D38725" s="21" t="s">
        <v>34</v>
      </c>
      <c r="E38725" s="21" t="s">
        <v>254</v>
      </c>
      <c r="F38725">
        <v>8920111</v>
      </c>
      <c r="G38725" t="s">
        <v>1064</v>
      </c>
      <c r="H38725" s="21">
        <v>472.5</v>
      </c>
    </row>
    <row r="38726" spans="1:8" customFormat="1" x14ac:dyDescent="0.25">
      <c r="A38726" t="str">
        <f>"7629849"</f>
        <v>7629849</v>
      </c>
      <c r="B38726" t="s">
        <v>23068</v>
      </c>
      <c r="C38726" t="s">
        <v>412</v>
      </c>
      <c r="D38726" s="21" t="s">
        <v>34</v>
      </c>
      <c r="E38726" s="21" t="s">
        <v>254</v>
      </c>
      <c r="F38726">
        <v>9760428</v>
      </c>
      <c r="G38726" t="s">
        <v>5081</v>
      </c>
      <c r="H38726" s="21">
        <v>472.5</v>
      </c>
    </row>
    <row r="38727" spans="1:8" customFormat="1" x14ac:dyDescent="0.25">
      <c r="A38727" t="str">
        <f>"9145460"</f>
        <v>9145460</v>
      </c>
      <c r="B38727" t="s">
        <v>15731</v>
      </c>
      <c r="C38727" t="s">
        <v>1539</v>
      </c>
      <c r="D38727" s="21" t="s">
        <v>34</v>
      </c>
      <c r="E38727" s="21" t="s">
        <v>254</v>
      </c>
      <c r="F38727">
        <v>8911334</v>
      </c>
      <c r="G38727" t="s">
        <v>4170</v>
      </c>
      <c r="H38727" s="21">
        <v>472.5</v>
      </c>
    </row>
    <row r="38728" spans="1:8" customFormat="1" x14ac:dyDescent="0.25">
      <c r="A38728" t="str">
        <f>"738479"</f>
        <v>738479</v>
      </c>
      <c r="B38728" t="s">
        <v>29645</v>
      </c>
      <c r="C38728" t="s">
        <v>328</v>
      </c>
      <c r="D38728" s="21" t="s">
        <v>34</v>
      </c>
      <c r="E38728" s="21" t="s">
        <v>35</v>
      </c>
      <c r="F38728">
        <v>1730090</v>
      </c>
      <c r="G38728" t="s">
        <v>19889</v>
      </c>
      <c r="H38728" s="21">
        <v>472.5</v>
      </c>
    </row>
    <row r="38729" spans="1:8" customFormat="1" x14ac:dyDescent="0.25">
      <c r="A38729" t="str">
        <f>"5432046"</f>
        <v>5432046</v>
      </c>
      <c r="B38729" t="s">
        <v>4389</v>
      </c>
      <c r="C38729" t="s">
        <v>1025</v>
      </c>
      <c r="D38729" s="21" t="s">
        <v>34</v>
      </c>
      <c r="E38729" s="21" t="s">
        <v>35</v>
      </c>
      <c r="F38729">
        <v>6540199</v>
      </c>
      <c r="G38729" t="s">
        <v>8888</v>
      </c>
      <c r="H38729" s="21">
        <v>472.5</v>
      </c>
    </row>
    <row r="38730" spans="1:8" customFormat="1" x14ac:dyDescent="0.25">
      <c r="A38730" t="str">
        <f>"7731860"</f>
        <v>7731860</v>
      </c>
      <c r="B38730" t="s">
        <v>18540</v>
      </c>
      <c r="C38730" t="s">
        <v>198</v>
      </c>
      <c r="D38730" s="21" t="s">
        <v>34</v>
      </c>
      <c r="E38730" s="21" t="s">
        <v>254</v>
      </c>
      <c r="F38730">
        <v>8771172</v>
      </c>
      <c r="G38730" t="s">
        <v>12662</v>
      </c>
      <c r="H38730" s="21">
        <v>472.5</v>
      </c>
    </row>
    <row r="38731" spans="1:8" customFormat="1" x14ac:dyDescent="0.25">
      <c r="A38731" t="str">
        <f>"5946513"</f>
        <v>5946513</v>
      </c>
      <c r="B38731" t="s">
        <v>24435</v>
      </c>
      <c r="C38731" t="s">
        <v>209</v>
      </c>
      <c r="D38731" s="21" t="s">
        <v>34</v>
      </c>
      <c r="E38731" s="21" t="s">
        <v>254</v>
      </c>
      <c r="F38731">
        <v>7590393</v>
      </c>
      <c r="G38731" t="s">
        <v>7754</v>
      </c>
      <c r="H38731" s="21">
        <v>472.5</v>
      </c>
    </row>
    <row r="38732" spans="1:8" customFormat="1" x14ac:dyDescent="0.25">
      <c r="A38732" t="str">
        <f>"7723228"</f>
        <v>7723228</v>
      </c>
      <c r="B38732" t="s">
        <v>24129</v>
      </c>
      <c r="C38732" t="s">
        <v>87</v>
      </c>
      <c r="D38732" s="21" t="s">
        <v>34</v>
      </c>
      <c r="E38732" s="21" t="s">
        <v>35</v>
      </c>
      <c r="F38732">
        <v>8771394</v>
      </c>
      <c r="G38732" t="s">
        <v>1933</v>
      </c>
      <c r="H38732" s="21">
        <v>472.5</v>
      </c>
    </row>
    <row r="38733" spans="1:8" customFormat="1" x14ac:dyDescent="0.25">
      <c r="A38733" t="str">
        <f>"4529199"</f>
        <v>4529199</v>
      </c>
      <c r="B38733" t="s">
        <v>23619</v>
      </c>
      <c r="C38733" t="s">
        <v>98</v>
      </c>
      <c r="D38733" s="21" t="s">
        <v>34</v>
      </c>
      <c r="E38733" s="21" t="s">
        <v>71</v>
      </c>
      <c r="F38733">
        <v>4450144</v>
      </c>
      <c r="G38733" t="s">
        <v>6941</v>
      </c>
      <c r="H38733" s="21">
        <v>472.5</v>
      </c>
    </row>
    <row r="38734" spans="1:8" customFormat="1" x14ac:dyDescent="0.25">
      <c r="A38734" t="str">
        <f>"2922503"</f>
        <v>2922503</v>
      </c>
      <c r="B38734" t="s">
        <v>24444</v>
      </c>
      <c r="C38734" t="s">
        <v>249</v>
      </c>
      <c r="D38734" s="21" t="s">
        <v>34</v>
      </c>
      <c r="E38734" s="21" t="s">
        <v>35</v>
      </c>
      <c r="F38734">
        <v>3290023</v>
      </c>
      <c r="G38734" t="s">
        <v>3883</v>
      </c>
      <c r="H38734" s="21">
        <v>472.5</v>
      </c>
    </row>
    <row r="38735" spans="1:8" customFormat="1" x14ac:dyDescent="0.25">
      <c r="A38735" t="str">
        <f>"416551"</f>
        <v>416551</v>
      </c>
      <c r="B38735" t="s">
        <v>24193</v>
      </c>
      <c r="C38735" t="s">
        <v>1271</v>
      </c>
      <c r="D38735" s="21" t="s">
        <v>34</v>
      </c>
      <c r="E38735" s="21" t="s">
        <v>6185</v>
      </c>
      <c r="F38735">
        <v>4410507</v>
      </c>
      <c r="G38735" t="s">
        <v>19763</v>
      </c>
      <c r="H38735" s="21">
        <v>472.25</v>
      </c>
    </row>
    <row r="38736" spans="1:8" customFormat="1" x14ac:dyDescent="0.25">
      <c r="A38736" t="str">
        <f>"7821912"</f>
        <v>7821912</v>
      </c>
      <c r="B38736" t="s">
        <v>3313</v>
      </c>
      <c r="C38736" t="s">
        <v>233</v>
      </c>
      <c r="D38736" s="21" t="s">
        <v>34</v>
      </c>
      <c r="E38736" s="21" t="s">
        <v>1089</v>
      </c>
      <c r="F38736">
        <v>8781290</v>
      </c>
      <c r="G38736" t="s">
        <v>2927</v>
      </c>
      <c r="H38736" s="21">
        <v>472</v>
      </c>
    </row>
    <row r="38737" spans="1:8" customFormat="1" x14ac:dyDescent="0.25">
      <c r="A38737" t="str">
        <f>"7639693"</f>
        <v>7639693</v>
      </c>
      <c r="B38737" t="s">
        <v>12989</v>
      </c>
      <c r="C38737" t="s">
        <v>1708</v>
      </c>
      <c r="D38737" s="21" t="s">
        <v>34</v>
      </c>
      <c r="E38737" s="21" t="s">
        <v>35</v>
      </c>
      <c r="F38737">
        <v>9760377</v>
      </c>
      <c r="G38737" t="s">
        <v>6631</v>
      </c>
      <c r="H38737" s="21">
        <v>472</v>
      </c>
    </row>
    <row r="38738" spans="1:8" customFormat="1" x14ac:dyDescent="0.25">
      <c r="A38738" t="str">
        <f>"8529042"</f>
        <v>8529042</v>
      </c>
      <c r="B38738" t="s">
        <v>2010</v>
      </c>
      <c r="C38738" t="s">
        <v>139</v>
      </c>
      <c r="D38738" s="21" t="s">
        <v>34</v>
      </c>
      <c r="E38738" s="21" t="s">
        <v>35</v>
      </c>
      <c r="F38738">
        <v>12850162</v>
      </c>
      <c r="G38738" t="s">
        <v>15095</v>
      </c>
      <c r="H38738" s="21">
        <v>472</v>
      </c>
    </row>
    <row r="38739" spans="1:8" customFormat="1" x14ac:dyDescent="0.25">
      <c r="A38739" t="str">
        <f>"5432890"</f>
        <v>5432890</v>
      </c>
      <c r="B38739" t="s">
        <v>18246</v>
      </c>
      <c r="C38739" t="s">
        <v>462</v>
      </c>
      <c r="D38739" s="21" t="s">
        <v>34</v>
      </c>
      <c r="E38739" s="21" t="s">
        <v>35</v>
      </c>
      <c r="F38739">
        <v>6540036</v>
      </c>
      <c r="G38739" t="s">
        <v>3612</v>
      </c>
      <c r="H38739" s="21">
        <v>472</v>
      </c>
    </row>
    <row r="38740" spans="1:8" customFormat="1" x14ac:dyDescent="0.25">
      <c r="A38740" t="str">
        <f>"5113279"</f>
        <v>5113279</v>
      </c>
      <c r="B38740" t="s">
        <v>7987</v>
      </c>
      <c r="C38740" t="s">
        <v>328</v>
      </c>
      <c r="D38740" s="21" t="s">
        <v>34</v>
      </c>
      <c r="E38740" s="21" t="s">
        <v>71</v>
      </c>
      <c r="F38740">
        <v>6510062</v>
      </c>
      <c r="G38740" t="s">
        <v>9059</v>
      </c>
      <c r="H38740" s="21">
        <v>472</v>
      </c>
    </row>
    <row r="38741" spans="1:8" customFormat="1" x14ac:dyDescent="0.25">
      <c r="A38741" t="str">
        <f>"5983925"</f>
        <v>5983925</v>
      </c>
      <c r="B38741" t="s">
        <v>29646</v>
      </c>
      <c r="C38741" t="s">
        <v>275</v>
      </c>
      <c r="D38741" s="21" t="s">
        <v>34</v>
      </c>
      <c r="E38741" s="21" t="s">
        <v>35</v>
      </c>
      <c r="F38741">
        <v>7590414</v>
      </c>
      <c r="G38741" t="s">
        <v>10056</v>
      </c>
      <c r="H38741" s="21">
        <v>472</v>
      </c>
    </row>
    <row r="38742" spans="1:8" customFormat="1" x14ac:dyDescent="0.25">
      <c r="A38742" t="str">
        <f>"807934"</f>
        <v>807934</v>
      </c>
      <c r="B38742" t="s">
        <v>13694</v>
      </c>
      <c r="C38742" t="s">
        <v>114</v>
      </c>
      <c r="D38742" s="21" t="s">
        <v>34</v>
      </c>
      <c r="E38742" s="21" t="s">
        <v>254</v>
      </c>
      <c r="F38742">
        <v>7800015</v>
      </c>
      <c r="G38742" t="s">
        <v>8701</v>
      </c>
      <c r="H38742" s="21">
        <v>472</v>
      </c>
    </row>
    <row r="38743" spans="1:8" customFormat="1" x14ac:dyDescent="0.25">
      <c r="A38743" t="str">
        <f>"722461"</f>
        <v>722461</v>
      </c>
      <c r="B38743" t="s">
        <v>3972</v>
      </c>
      <c r="C38743" t="s">
        <v>87</v>
      </c>
      <c r="D38743" s="21" t="s">
        <v>34</v>
      </c>
      <c r="E38743" s="21" t="s">
        <v>254</v>
      </c>
      <c r="F38743">
        <v>12720009</v>
      </c>
      <c r="G38743" t="s">
        <v>6928</v>
      </c>
      <c r="H38743" s="21">
        <v>472</v>
      </c>
    </row>
    <row r="38744" spans="1:8" customFormat="1" x14ac:dyDescent="0.25">
      <c r="A38744" t="str">
        <f>"3536048"</f>
        <v>3536048</v>
      </c>
      <c r="B38744" t="s">
        <v>24663</v>
      </c>
      <c r="C38744" t="s">
        <v>2907</v>
      </c>
      <c r="D38744" s="21" t="s">
        <v>34</v>
      </c>
      <c r="E38744" s="21" t="s">
        <v>254</v>
      </c>
      <c r="F38744">
        <v>3350215</v>
      </c>
      <c r="G38744" t="s">
        <v>20009</v>
      </c>
      <c r="H38744" s="21">
        <v>472</v>
      </c>
    </row>
    <row r="38745" spans="1:8" customFormat="1" x14ac:dyDescent="0.25">
      <c r="A38745" t="str">
        <f>"3711725"</f>
        <v>3711725</v>
      </c>
      <c r="B38745" t="s">
        <v>11435</v>
      </c>
      <c r="C38745" t="s">
        <v>598</v>
      </c>
      <c r="D38745" s="21" t="s">
        <v>34</v>
      </c>
      <c r="E38745" s="21" t="s">
        <v>1089</v>
      </c>
      <c r="F38745">
        <v>4370533</v>
      </c>
      <c r="G38745" t="s">
        <v>10553</v>
      </c>
      <c r="H38745" s="21">
        <v>472</v>
      </c>
    </row>
    <row r="38746" spans="1:8" customFormat="1" x14ac:dyDescent="0.25">
      <c r="A38746" t="str">
        <f>"7217236"</f>
        <v>7217236</v>
      </c>
      <c r="B38746" t="s">
        <v>3565</v>
      </c>
      <c r="C38746" t="s">
        <v>198</v>
      </c>
      <c r="D38746" s="21" t="s">
        <v>34</v>
      </c>
      <c r="E38746" s="21" t="s">
        <v>254</v>
      </c>
      <c r="F38746">
        <v>12720143</v>
      </c>
      <c r="G38746" t="s">
        <v>3881</v>
      </c>
      <c r="H38746" s="21">
        <v>472</v>
      </c>
    </row>
    <row r="38747" spans="1:8" customFormat="1" x14ac:dyDescent="0.25">
      <c r="A38747" t="str">
        <f>"8526902"</f>
        <v>8526902</v>
      </c>
      <c r="B38747" t="s">
        <v>1094</v>
      </c>
      <c r="C38747" t="s">
        <v>98</v>
      </c>
      <c r="D38747" s="21" t="s">
        <v>34</v>
      </c>
      <c r="E38747" s="21" t="s">
        <v>35</v>
      </c>
      <c r="F38747">
        <v>12850165</v>
      </c>
      <c r="G38747" t="s">
        <v>9632</v>
      </c>
      <c r="H38747" s="21">
        <v>472</v>
      </c>
    </row>
    <row r="38748" spans="1:8" customFormat="1" x14ac:dyDescent="0.25">
      <c r="A38748" t="str">
        <f>"2218934"</f>
        <v>2218934</v>
      </c>
      <c r="B38748" t="s">
        <v>24584</v>
      </c>
      <c r="C38748" t="s">
        <v>1489</v>
      </c>
      <c r="D38748" s="21" t="s">
        <v>34</v>
      </c>
      <c r="E38748" s="21" t="s">
        <v>254</v>
      </c>
      <c r="F38748">
        <v>3220008</v>
      </c>
      <c r="G38748" t="s">
        <v>6845</v>
      </c>
      <c r="H38748" s="21">
        <v>472</v>
      </c>
    </row>
    <row r="38749" spans="1:8" customFormat="1" x14ac:dyDescent="0.25">
      <c r="A38749" t="str">
        <f>"3425822"</f>
        <v>3425822</v>
      </c>
      <c r="B38749" t="s">
        <v>7886</v>
      </c>
      <c r="C38749" t="s">
        <v>82</v>
      </c>
      <c r="D38749" s="21" t="s">
        <v>34</v>
      </c>
      <c r="E38749" s="21" t="s">
        <v>35</v>
      </c>
      <c r="F38749">
        <v>11340049</v>
      </c>
      <c r="G38749" t="s">
        <v>13479</v>
      </c>
      <c r="H38749" s="21">
        <v>472</v>
      </c>
    </row>
    <row r="38750" spans="1:8" customFormat="1" x14ac:dyDescent="0.25">
      <c r="A38750" t="str">
        <f>"848695"</f>
        <v>848695</v>
      </c>
      <c r="B38750" t="s">
        <v>29647</v>
      </c>
      <c r="C38750" t="s">
        <v>33</v>
      </c>
      <c r="D38750" s="21" t="s">
        <v>34</v>
      </c>
      <c r="E38750" s="21" t="s">
        <v>35</v>
      </c>
      <c r="F38750">
        <v>13840038</v>
      </c>
      <c r="G38750" t="s">
        <v>8931</v>
      </c>
      <c r="H38750" s="21">
        <v>472</v>
      </c>
    </row>
    <row r="38751" spans="1:8" customFormat="1" x14ac:dyDescent="0.25">
      <c r="A38751" t="str">
        <f>"723393"</f>
        <v>723393</v>
      </c>
      <c r="B38751" t="s">
        <v>509</v>
      </c>
      <c r="C38751" t="s">
        <v>55</v>
      </c>
      <c r="D38751" s="21" t="s">
        <v>34</v>
      </c>
      <c r="E38751" s="21" t="s">
        <v>35</v>
      </c>
      <c r="F38751">
        <v>12720104</v>
      </c>
      <c r="G38751" t="s">
        <v>224</v>
      </c>
      <c r="H38751" s="21">
        <v>472</v>
      </c>
    </row>
    <row r="38752" spans="1:8" customFormat="1" x14ac:dyDescent="0.25">
      <c r="A38752" t="str">
        <f>"7113440"</f>
        <v>7113440</v>
      </c>
      <c r="B38752" t="s">
        <v>694</v>
      </c>
      <c r="C38752" t="s">
        <v>4831</v>
      </c>
      <c r="D38752" s="21" t="s">
        <v>34</v>
      </c>
      <c r="E38752" s="21" t="s">
        <v>254</v>
      </c>
      <c r="F38752">
        <v>2710023</v>
      </c>
      <c r="G38752" t="s">
        <v>3549</v>
      </c>
      <c r="H38752" s="21">
        <v>472</v>
      </c>
    </row>
    <row r="38753" spans="1:8" customFormat="1" x14ac:dyDescent="0.25">
      <c r="A38753" t="str">
        <f>"1910195"</f>
        <v>1910195</v>
      </c>
      <c r="B38753" t="s">
        <v>23014</v>
      </c>
      <c r="C38753" t="s">
        <v>40</v>
      </c>
      <c r="D38753" s="21" t="s">
        <v>34</v>
      </c>
      <c r="E38753" s="21" t="s">
        <v>35</v>
      </c>
      <c r="F38753">
        <v>10190120</v>
      </c>
      <c r="G38753" t="s">
        <v>4616</v>
      </c>
      <c r="H38753" s="21">
        <v>472</v>
      </c>
    </row>
    <row r="38754" spans="1:8" customFormat="1" x14ac:dyDescent="0.25">
      <c r="A38754" t="str">
        <f>"4937193"</f>
        <v>4937193</v>
      </c>
      <c r="B38754" t="s">
        <v>24648</v>
      </c>
      <c r="C38754" t="s">
        <v>453</v>
      </c>
      <c r="D38754" s="21" t="s">
        <v>34</v>
      </c>
      <c r="E38754" s="21" t="s">
        <v>1089</v>
      </c>
      <c r="F38754">
        <v>12490008</v>
      </c>
      <c r="G38754" t="s">
        <v>15452</v>
      </c>
      <c r="H38754" s="21">
        <v>472</v>
      </c>
    </row>
    <row r="38755" spans="1:8" customFormat="1" x14ac:dyDescent="0.25">
      <c r="A38755" t="str">
        <f>"5113977"</f>
        <v>5113977</v>
      </c>
      <c r="B38755" t="s">
        <v>29648</v>
      </c>
      <c r="C38755" t="s">
        <v>65</v>
      </c>
      <c r="D38755" s="21" t="s">
        <v>34</v>
      </c>
      <c r="E38755" s="21" t="s">
        <v>35</v>
      </c>
      <c r="F38755">
        <v>6510071</v>
      </c>
      <c r="G38755" t="s">
        <v>3031</v>
      </c>
      <c r="H38755" s="21">
        <v>472</v>
      </c>
    </row>
    <row r="38756" spans="1:8" customFormat="1" x14ac:dyDescent="0.25">
      <c r="A38756" t="str">
        <f>"5618646"</f>
        <v>5618646</v>
      </c>
      <c r="B38756" t="s">
        <v>9988</v>
      </c>
      <c r="C38756" t="s">
        <v>453</v>
      </c>
      <c r="D38756" s="21" t="s">
        <v>34</v>
      </c>
      <c r="E38756" s="21" t="s">
        <v>1089</v>
      </c>
      <c r="F38756">
        <v>3560088</v>
      </c>
      <c r="G38756" t="s">
        <v>15034</v>
      </c>
      <c r="H38756" s="21">
        <v>472</v>
      </c>
    </row>
    <row r="38757" spans="1:8" customFormat="1" x14ac:dyDescent="0.25">
      <c r="A38757" t="str">
        <f>"2918547"</f>
        <v>2918547</v>
      </c>
      <c r="B38757" t="s">
        <v>19695</v>
      </c>
      <c r="C38757" t="s">
        <v>1605</v>
      </c>
      <c r="D38757" s="21" t="s">
        <v>34</v>
      </c>
      <c r="E38757" s="21" t="s">
        <v>254</v>
      </c>
      <c r="F38757">
        <v>3290045</v>
      </c>
      <c r="G38757" t="s">
        <v>17635</v>
      </c>
      <c r="H38757" s="21">
        <v>472</v>
      </c>
    </row>
    <row r="38758" spans="1:8" customFormat="1" x14ac:dyDescent="0.25">
      <c r="A38758" t="str">
        <f>"324794"</f>
        <v>324794</v>
      </c>
      <c r="B38758" t="s">
        <v>29649</v>
      </c>
      <c r="C38758" t="s">
        <v>87</v>
      </c>
      <c r="D38758" s="21" t="s">
        <v>34</v>
      </c>
      <c r="E38758" s="21" t="s">
        <v>35</v>
      </c>
      <c r="F38758">
        <v>11320005</v>
      </c>
      <c r="G38758" t="s">
        <v>120</v>
      </c>
      <c r="H38758" s="21">
        <v>471.88</v>
      </c>
    </row>
    <row r="38759" spans="1:8" customFormat="1" x14ac:dyDescent="0.25">
      <c r="A38759" t="str">
        <f>"6019027"</f>
        <v>6019027</v>
      </c>
      <c r="B38759" t="s">
        <v>16836</v>
      </c>
      <c r="C38759" t="s">
        <v>263</v>
      </c>
      <c r="D38759" s="21" t="s">
        <v>34</v>
      </c>
      <c r="E38759" s="21" t="s">
        <v>254</v>
      </c>
      <c r="F38759">
        <v>7600043</v>
      </c>
      <c r="G38759" t="s">
        <v>1928</v>
      </c>
      <c r="H38759" s="21">
        <v>471.67</v>
      </c>
    </row>
    <row r="38760" spans="1:8" customFormat="1" x14ac:dyDescent="0.25">
      <c r="A38760" t="str">
        <f>"367782"</f>
        <v>367782</v>
      </c>
      <c r="B38760" t="s">
        <v>24449</v>
      </c>
      <c r="C38760" t="s">
        <v>60</v>
      </c>
      <c r="D38760" s="21" t="s">
        <v>34</v>
      </c>
      <c r="E38760" s="21" t="s">
        <v>35</v>
      </c>
      <c r="F38760">
        <v>4360721</v>
      </c>
      <c r="G38760" t="s">
        <v>11172</v>
      </c>
      <c r="H38760" s="21">
        <v>471.5</v>
      </c>
    </row>
    <row r="38761" spans="1:8" customFormat="1" x14ac:dyDescent="0.25">
      <c r="A38761" t="str">
        <f>"0617361"</f>
        <v>0617361</v>
      </c>
      <c r="B38761" t="s">
        <v>1848</v>
      </c>
      <c r="C38761" t="s">
        <v>139</v>
      </c>
      <c r="D38761" s="21" t="s">
        <v>34</v>
      </c>
      <c r="E38761" s="21" t="s">
        <v>35</v>
      </c>
      <c r="F38761">
        <v>13060102</v>
      </c>
      <c r="G38761" t="s">
        <v>2918</v>
      </c>
      <c r="H38761" s="21">
        <v>471.5</v>
      </c>
    </row>
    <row r="38762" spans="1:8" customFormat="1" x14ac:dyDescent="0.25">
      <c r="A38762" t="str">
        <f>"1613408"</f>
        <v>1613408</v>
      </c>
      <c r="B38762" t="s">
        <v>7725</v>
      </c>
      <c r="C38762" t="s">
        <v>2276</v>
      </c>
      <c r="D38762" s="21" t="s">
        <v>34</v>
      </c>
      <c r="E38762" s="21" t="s">
        <v>71</v>
      </c>
      <c r="F38762">
        <v>10160029</v>
      </c>
      <c r="G38762" t="s">
        <v>896</v>
      </c>
      <c r="H38762" s="21">
        <v>471.5</v>
      </c>
    </row>
    <row r="38763" spans="1:8" customFormat="1" x14ac:dyDescent="0.25">
      <c r="A38763" t="str">
        <f>"6231304"</f>
        <v>6231304</v>
      </c>
      <c r="B38763" t="s">
        <v>24788</v>
      </c>
      <c r="C38763" t="s">
        <v>817</v>
      </c>
      <c r="D38763" s="21" t="s">
        <v>34</v>
      </c>
      <c r="E38763" s="21" t="s">
        <v>254</v>
      </c>
      <c r="F38763">
        <v>7620042</v>
      </c>
      <c r="G38763" t="s">
        <v>8102</v>
      </c>
      <c r="H38763" s="21">
        <v>471.5</v>
      </c>
    </row>
    <row r="38764" spans="1:8" customFormat="1" x14ac:dyDescent="0.25">
      <c r="A38764" t="str">
        <f>"7412928"</f>
        <v>7412928</v>
      </c>
      <c r="B38764" t="s">
        <v>22984</v>
      </c>
      <c r="C38764" t="s">
        <v>169</v>
      </c>
      <c r="D38764" s="21" t="s">
        <v>34</v>
      </c>
      <c r="E38764" s="21" t="s">
        <v>71</v>
      </c>
      <c r="F38764">
        <v>1740047</v>
      </c>
      <c r="G38764" t="s">
        <v>4512</v>
      </c>
      <c r="H38764" s="21">
        <v>471.5</v>
      </c>
    </row>
    <row r="38765" spans="1:8" customFormat="1" x14ac:dyDescent="0.25">
      <c r="A38765" t="str">
        <f>"7642724"</f>
        <v>7642724</v>
      </c>
      <c r="B38765" t="s">
        <v>853</v>
      </c>
      <c r="C38765" t="s">
        <v>40</v>
      </c>
      <c r="D38765" s="21" t="s">
        <v>34</v>
      </c>
      <c r="E38765" s="21" t="s">
        <v>254</v>
      </c>
      <c r="F38765">
        <v>9760039</v>
      </c>
      <c r="G38765" t="s">
        <v>9501</v>
      </c>
      <c r="H38765" s="21">
        <v>471.5</v>
      </c>
    </row>
    <row r="38766" spans="1:8" customFormat="1" x14ac:dyDescent="0.25">
      <c r="A38766" t="str">
        <f>"3830193"</f>
        <v>3830193</v>
      </c>
      <c r="B38766" t="s">
        <v>24490</v>
      </c>
      <c r="C38766" t="s">
        <v>598</v>
      </c>
      <c r="D38766" s="21" t="s">
        <v>34</v>
      </c>
      <c r="E38766" s="21" t="s">
        <v>1089</v>
      </c>
      <c r="F38766">
        <v>1380298</v>
      </c>
      <c r="G38766" t="s">
        <v>5868</v>
      </c>
      <c r="H38766" s="21">
        <v>471.5</v>
      </c>
    </row>
    <row r="38767" spans="1:8" customFormat="1" x14ac:dyDescent="0.25">
      <c r="A38767" t="str">
        <f>"6929152"</f>
        <v>6929152</v>
      </c>
      <c r="B38767" t="s">
        <v>7877</v>
      </c>
      <c r="C38767" t="s">
        <v>428</v>
      </c>
      <c r="D38767" s="21" t="s">
        <v>34</v>
      </c>
      <c r="E38767" s="21" t="s">
        <v>71</v>
      </c>
      <c r="F38767">
        <v>1380164</v>
      </c>
      <c r="G38767" t="s">
        <v>2728</v>
      </c>
      <c r="H38767" s="21">
        <v>471.5</v>
      </c>
    </row>
    <row r="38768" spans="1:8" customFormat="1" x14ac:dyDescent="0.25">
      <c r="A38768" t="str">
        <f>"4220325"</f>
        <v>4220325</v>
      </c>
      <c r="B38768" t="s">
        <v>29650</v>
      </c>
      <c r="C38768" t="s">
        <v>144</v>
      </c>
      <c r="D38768" s="21" t="s">
        <v>34</v>
      </c>
      <c r="E38768" s="21" t="s">
        <v>35</v>
      </c>
      <c r="F38768">
        <v>1420299</v>
      </c>
      <c r="G38768" t="s">
        <v>8013</v>
      </c>
      <c r="H38768" s="21">
        <v>471.5</v>
      </c>
    </row>
    <row r="38769" spans="1:8" customFormat="1" x14ac:dyDescent="0.25">
      <c r="A38769" t="str">
        <f>"7636844"</f>
        <v>7636844</v>
      </c>
      <c r="B38769" t="s">
        <v>8239</v>
      </c>
      <c r="C38769" t="s">
        <v>40</v>
      </c>
      <c r="D38769" s="21" t="s">
        <v>34</v>
      </c>
      <c r="E38769" s="21" t="s">
        <v>71</v>
      </c>
      <c r="F38769">
        <v>9760319</v>
      </c>
      <c r="G38769" t="s">
        <v>3051</v>
      </c>
      <c r="H38769" s="21">
        <v>471.5</v>
      </c>
    </row>
    <row r="38770" spans="1:8" customFormat="1" x14ac:dyDescent="0.25">
      <c r="A38770" t="str">
        <f>"4938780"</f>
        <v>4938780</v>
      </c>
      <c r="B38770" t="s">
        <v>15715</v>
      </c>
      <c r="C38770" t="s">
        <v>169</v>
      </c>
      <c r="D38770" s="21" t="s">
        <v>34</v>
      </c>
      <c r="E38770" s="21" t="s">
        <v>71</v>
      </c>
      <c r="F38770">
        <v>12490030</v>
      </c>
      <c r="G38770" t="s">
        <v>8366</v>
      </c>
      <c r="H38770" s="21">
        <v>471.5</v>
      </c>
    </row>
    <row r="38771" spans="1:8" customFormat="1" x14ac:dyDescent="0.25">
      <c r="A38771" t="str">
        <f>"5622085"</f>
        <v>5622085</v>
      </c>
      <c r="B38771" t="s">
        <v>4095</v>
      </c>
      <c r="C38771" t="s">
        <v>55</v>
      </c>
      <c r="D38771" s="21" t="s">
        <v>34</v>
      </c>
      <c r="E38771" s="21" t="s">
        <v>35</v>
      </c>
      <c r="F38771">
        <v>3560006</v>
      </c>
      <c r="G38771" t="s">
        <v>2708</v>
      </c>
      <c r="H38771" s="21">
        <v>471.5</v>
      </c>
    </row>
    <row r="38772" spans="1:8" customFormat="1" x14ac:dyDescent="0.25">
      <c r="A38772" t="str">
        <f>"8615216"</f>
        <v>8615216</v>
      </c>
      <c r="B38772" t="s">
        <v>24485</v>
      </c>
      <c r="C38772" t="s">
        <v>33</v>
      </c>
      <c r="D38772" s="21" t="s">
        <v>34</v>
      </c>
      <c r="E38772" s="21" t="s">
        <v>71</v>
      </c>
      <c r="F38772">
        <v>10860213</v>
      </c>
      <c r="G38772" t="s">
        <v>17902</v>
      </c>
      <c r="H38772" s="21">
        <v>471.5</v>
      </c>
    </row>
    <row r="38773" spans="1:8" customFormat="1" x14ac:dyDescent="0.25">
      <c r="A38773" t="str">
        <f>"4530316"</f>
        <v>4530316</v>
      </c>
      <c r="B38773" t="s">
        <v>29651</v>
      </c>
      <c r="C38773" t="s">
        <v>8546</v>
      </c>
      <c r="D38773" s="21" t="s">
        <v>34</v>
      </c>
      <c r="E38773" s="21" t="s">
        <v>35</v>
      </c>
      <c r="F38773">
        <v>4450706</v>
      </c>
      <c r="G38773" t="s">
        <v>4482</v>
      </c>
      <c r="H38773" s="21">
        <v>471.5</v>
      </c>
    </row>
    <row r="38774" spans="1:8" customFormat="1" x14ac:dyDescent="0.25">
      <c r="A38774" t="str">
        <f>"723849"</f>
        <v>723849</v>
      </c>
      <c r="B38774" t="s">
        <v>5734</v>
      </c>
      <c r="C38774" t="s">
        <v>1605</v>
      </c>
      <c r="D38774" s="21" t="s">
        <v>34</v>
      </c>
      <c r="E38774" s="21" t="s">
        <v>254</v>
      </c>
      <c r="F38774">
        <v>12720016</v>
      </c>
      <c r="G38774" t="s">
        <v>11791</v>
      </c>
      <c r="H38774" s="21">
        <v>471.5</v>
      </c>
    </row>
    <row r="38775" spans="1:8" customFormat="1" x14ac:dyDescent="0.25">
      <c r="A38775" t="str">
        <f>"2934898"</f>
        <v>2934898</v>
      </c>
      <c r="B38775" t="s">
        <v>24244</v>
      </c>
      <c r="C38775" t="s">
        <v>1199</v>
      </c>
      <c r="D38775" s="21" t="s">
        <v>34</v>
      </c>
      <c r="E38775" s="21" t="s">
        <v>1089</v>
      </c>
      <c r="F38775">
        <v>3290045</v>
      </c>
      <c r="G38775" t="s">
        <v>17635</v>
      </c>
      <c r="H38775" s="21">
        <v>471.5</v>
      </c>
    </row>
    <row r="38776" spans="1:8" customFormat="1" x14ac:dyDescent="0.25">
      <c r="A38776" t="str">
        <f>"154104"</f>
        <v>154104</v>
      </c>
      <c r="B38776" t="s">
        <v>14391</v>
      </c>
      <c r="C38776" t="s">
        <v>239</v>
      </c>
      <c r="D38776" s="21" t="s">
        <v>34</v>
      </c>
      <c r="E38776" s="21" t="s">
        <v>254</v>
      </c>
      <c r="F38776">
        <v>1150307</v>
      </c>
      <c r="G38776" t="s">
        <v>26826</v>
      </c>
      <c r="H38776" s="21">
        <v>471.5</v>
      </c>
    </row>
    <row r="38777" spans="1:8" customFormat="1" x14ac:dyDescent="0.25">
      <c r="A38777" t="str">
        <f>"1910299"</f>
        <v>1910299</v>
      </c>
      <c r="B38777" t="s">
        <v>29652</v>
      </c>
      <c r="C38777" t="s">
        <v>2100</v>
      </c>
      <c r="D38777" s="21" t="s">
        <v>34</v>
      </c>
      <c r="E38777" s="21" t="s">
        <v>35</v>
      </c>
      <c r="F38777">
        <v>10190073</v>
      </c>
      <c r="G38777" t="s">
        <v>2366</v>
      </c>
      <c r="H38777" s="21">
        <v>471.25</v>
      </c>
    </row>
    <row r="38778" spans="1:8" customFormat="1" x14ac:dyDescent="0.25">
      <c r="A38778" t="str">
        <f>"2720768"</f>
        <v>2720768</v>
      </c>
      <c r="B38778" t="s">
        <v>108</v>
      </c>
      <c r="C38778" t="s">
        <v>202</v>
      </c>
      <c r="D38778" s="21" t="s">
        <v>34</v>
      </c>
      <c r="E38778" s="21" t="s">
        <v>254</v>
      </c>
      <c r="F38778">
        <v>9270177</v>
      </c>
      <c r="G38778" t="s">
        <v>10384</v>
      </c>
      <c r="H38778" s="21">
        <v>471.25</v>
      </c>
    </row>
    <row r="38779" spans="1:8" customFormat="1" x14ac:dyDescent="0.25">
      <c r="A38779" t="str">
        <f>"7730829"</f>
        <v>7730829</v>
      </c>
      <c r="B38779" t="s">
        <v>24811</v>
      </c>
      <c r="C38779" t="s">
        <v>144</v>
      </c>
      <c r="D38779" s="21" t="s">
        <v>34</v>
      </c>
      <c r="E38779" s="21" t="s">
        <v>71</v>
      </c>
      <c r="F38779">
        <v>8771401</v>
      </c>
      <c r="G38779" t="s">
        <v>6636</v>
      </c>
      <c r="H38779" s="21">
        <v>471</v>
      </c>
    </row>
    <row r="38780" spans="1:8" customFormat="1" x14ac:dyDescent="0.25">
      <c r="A38780" t="str">
        <f>"876352"</f>
        <v>876352</v>
      </c>
      <c r="B38780" t="s">
        <v>24072</v>
      </c>
      <c r="C38780" t="s">
        <v>269</v>
      </c>
      <c r="D38780" s="21" t="s">
        <v>34</v>
      </c>
      <c r="E38780" s="21" t="s">
        <v>71</v>
      </c>
      <c r="F38780">
        <v>10870003</v>
      </c>
      <c r="G38780" t="s">
        <v>1187</v>
      </c>
      <c r="H38780" s="21">
        <v>471</v>
      </c>
    </row>
    <row r="38781" spans="1:8" customFormat="1" x14ac:dyDescent="0.25">
      <c r="A38781" t="str">
        <f>"1320752"</f>
        <v>1320752</v>
      </c>
      <c r="B38781" t="s">
        <v>29653</v>
      </c>
      <c r="C38781" t="s">
        <v>239</v>
      </c>
      <c r="D38781" s="21" t="s">
        <v>34</v>
      </c>
      <c r="E38781" s="21" t="s">
        <v>71</v>
      </c>
      <c r="F38781">
        <v>13130146</v>
      </c>
      <c r="G38781" t="s">
        <v>2471</v>
      </c>
      <c r="H38781" s="21">
        <v>471</v>
      </c>
    </row>
    <row r="38782" spans="1:8" customFormat="1" x14ac:dyDescent="0.25">
      <c r="A38782" t="str">
        <f>"4934992"</f>
        <v>4934992</v>
      </c>
      <c r="B38782" t="s">
        <v>24654</v>
      </c>
      <c r="C38782" t="s">
        <v>109</v>
      </c>
      <c r="D38782" s="21" t="s">
        <v>34</v>
      </c>
      <c r="E38782" s="21" t="s">
        <v>35</v>
      </c>
      <c r="F38782">
        <v>12490120</v>
      </c>
      <c r="G38782" t="s">
        <v>2316</v>
      </c>
      <c r="H38782" s="21">
        <v>471</v>
      </c>
    </row>
    <row r="38783" spans="1:8" customFormat="1" x14ac:dyDescent="0.25">
      <c r="A38783" t="str">
        <f>"6230681"</f>
        <v>6230681</v>
      </c>
      <c r="B38783" t="s">
        <v>23830</v>
      </c>
      <c r="C38783" t="s">
        <v>87</v>
      </c>
      <c r="D38783" s="21" t="s">
        <v>34</v>
      </c>
      <c r="E38783" s="21" t="s">
        <v>35</v>
      </c>
      <c r="F38783">
        <v>7620031</v>
      </c>
      <c r="G38783" t="s">
        <v>2182</v>
      </c>
      <c r="H38783" s="21">
        <v>471</v>
      </c>
    </row>
    <row r="38784" spans="1:8" customFormat="1" x14ac:dyDescent="0.25">
      <c r="A38784" t="str">
        <f>"706881"</f>
        <v>706881</v>
      </c>
      <c r="B38784" t="s">
        <v>24598</v>
      </c>
      <c r="C38784" t="s">
        <v>2546</v>
      </c>
      <c r="D38784" s="21" t="s">
        <v>34</v>
      </c>
      <c r="E38784" s="21" t="s">
        <v>254</v>
      </c>
      <c r="F38784">
        <v>2700014</v>
      </c>
      <c r="G38784" t="s">
        <v>7714</v>
      </c>
      <c r="H38784" s="21">
        <v>471</v>
      </c>
    </row>
    <row r="38785" spans="1:8" customFormat="1" x14ac:dyDescent="0.25">
      <c r="A38785" t="str">
        <f>"2812600"</f>
        <v>2812600</v>
      </c>
      <c r="B38785" t="s">
        <v>4820</v>
      </c>
      <c r="C38785" t="s">
        <v>109</v>
      </c>
      <c r="D38785" s="21" t="s">
        <v>34</v>
      </c>
      <c r="E38785" s="21" t="s">
        <v>35</v>
      </c>
      <c r="F38785">
        <v>4280681</v>
      </c>
      <c r="G38785" t="s">
        <v>1656</v>
      </c>
      <c r="H38785" s="21">
        <v>471</v>
      </c>
    </row>
    <row r="38786" spans="1:8" customFormat="1" x14ac:dyDescent="0.25">
      <c r="A38786" t="str">
        <f>"7731887"</f>
        <v>7731887</v>
      </c>
      <c r="B38786" t="s">
        <v>29654</v>
      </c>
      <c r="C38786" t="s">
        <v>23085</v>
      </c>
      <c r="D38786" s="21" t="s">
        <v>34</v>
      </c>
      <c r="E38786" s="21" t="s">
        <v>35</v>
      </c>
      <c r="F38786">
        <v>8770937</v>
      </c>
      <c r="G38786" t="s">
        <v>2119</v>
      </c>
      <c r="H38786" s="21">
        <v>471</v>
      </c>
    </row>
    <row r="38787" spans="1:8" customFormat="1" x14ac:dyDescent="0.25">
      <c r="A38787" t="str">
        <f>"905926"</f>
        <v>905926</v>
      </c>
      <c r="B38787" t="s">
        <v>14032</v>
      </c>
      <c r="C38787" t="s">
        <v>171</v>
      </c>
      <c r="D38787" s="21" t="s">
        <v>34</v>
      </c>
      <c r="E38787" s="21" t="s">
        <v>35</v>
      </c>
      <c r="F38787">
        <v>2900046</v>
      </c>
      <c r="G38787" t="s">
        <v>4101</v>
      </c>
      <c r="H38787" s="21">
        <v>471</v>
      </c>
    </row>
    <row r="38788" spans="1:8" customFormat="1" x14ac:dyDescent="0.25">
      <c r="A38788" t="str">
        <f>"8815093"</f>
        <v>8815093</v>
      </c>
      <c r="B38788" t="s">
        <v>8602</v>
      </c>
      <c r="C38788" t="s">
        <v>2520</v>
      </c>
      <c r="D38788" s="21" t="s">
        <v>34</v>
      </c>
      <c r="E38788" s="21" t="s">
        <v>254</v>
      </c>
      <c r="F38788">
        <v>6880064</v>
      </c>
      <c r="G38788" t="s">
        <v>7090</v>
      </c>
      <c r="H38788" s="21">
        <v>471</v>
      </c>
    </row>
    <row r="38789" spans="1:8" customFormat="1" x14ac:dyDescent="0.25">
      <c r="A38789" t="str">
        <f>"9147559"</f>
        <v>9147559</v>
      </c>
      <c r="B38789" t="s">
        <v>19595</v>
      </c>
      <c r="C38789" t="s">
        <v>328</v>
      </c>
      <c r="D38789" s="21" t="s">
        <v>34</v>
      </c>
      <c r="E38789" s="21" t="s">
        <v>71</v>
      </c>
      <c r="F38789">
        <v>8911454</v>
      </c>
      <c r="G38789" t="s">
        <v>8016</v>
      </c>
      <c r="H38789" s="21">
        <v>471</v>
      </c>
    </row>
    <row r="38790" spans="1:8" customFormat="1" x14ac:dyDescent="0.25">
      <c r="A38790" t="str">
        <f>"879450"</f>
        <v>879450</v>
      </c>
      <c r="B38790" t="s">
        <v>9390</v>
      </c>
      <c r="C38790" t="s">
        <v>187</v>
      </c>
      <c r="D38790" s="21" t="s">
        <v>34</v>
      </c>
      <c r="E38790" s="21" t="s">
        <v>35</v>
      </c>
      <c r="F38790">
        <v>10870110</v>
      </c>
      <c r="G38790" t="s">
        <v>5888</v>
      </c>
      <c r="H38790" s="21">
        <v>471</v>
      </c>
    </row>
    <row r="38791" spans="1:8" customFormat="1" x14ac:dyDescent="0.25">
      <c r="A38791" t="str">
        <f>"3833498"</f>
        <v>3833498</v>
      </c>
      <c r="B38791" t="s">
        <v>23471</v>
      </c>
      <c r="C38791" t="s">
        <v>82</v>
      </c>
      <c r="D38791" s="21" t="s">
        <v>34</v>
      </c>
      <c r="E38791" s="21" t="s">
        <v>35</v>
      </c>
      <c r="F38791">
        <v>1380076</v>
      </c>
      <c r="G38791" t="s">
        <v>8543</v>
      </c>
      <c r="H38791" s="21">
        <v>471</v>
      </c>
    </row>
    <row r="38792" spans="1:8" customFormat="1" x14ac:dyDescent="0.25">
      <c r="A38792" t="str">
        <f>"4455628"</f>
        <v>4455628</v>
      </c>
      <c r="B38792" t="s">
        <v>18711</v>
      </c>
      <c r="C38792" t="s">
        <v>302</v>
      </c>
      <c r="D38792" s="21" t="s">
        <v>34</v>
      </c>
      <c r="E38792" s="21" t="s">
        <v>35</v>
      </c>
      <c r="F38792">
        <v>12440055</v>
      </c>
      <c r="G38792" t="s">
        <v>2979</v>
      </c>
      <c r="H38792" s="21">
        <v>471</v>
      </c>
    </row>
    <row r="38793" spans="1:8" customFormat="1" x14ac:dyDescent="0.25">
      <c r="A38793" t="str">
        <f>"6315621"</f>
        <v>6315621</v>
      </c>
      <c r="B38793" t="s">
        <v>11010</v>
      </c>
      <c r="C38793" t="s">
        <v>462</v>
      </c>
      <c r="D38793" s="21" t="s">
        <v>34</v>
      </c>
      <c r="E38793" s="21" t="s">
        <v>1089</v>
      </c>
      <c r="F38793">
        <v>1630005</v>
      </c>
      <c r="G38793" t="s">
        <v>8825</v>
      </c>
      <c r="H38793" s="21">
        <v>471</v>
      </c>
    </row>
    <row r="38794" spans="1:8" customFormat="1" x14ac:dyDescent="0.25">
      <c r="A38794" t="str">
        <f>"40783"</f>
        <v>40783</v>
      </c>
      <c r="B38794" t="s">
        <v>14703</v>
      </c>
      <c r="C38794" t="s">
        <v>269</v>
      </c>
      <c r="D38794" s="21" t="s">
        <v>34</v>
      </c>
      <c r="E38794" s="21" t="s">
        <v>71</v>
      </c>
      <c r="F38794">
        <v>10400018</v>
      </c>
      <c r="G38794" t="s">
        <v>12851</v>
      </c>
      <c r="H38794" s="21">
        <v>471</v>
      </c>
    </row>
    <row r="38795" spans="1:8" customFormat="1" x14ac:dyDescent="0.25">
      <c r="A38795" t="str">
        <f>"3014384"</f>
        <v>3014384</v>
      </c>
      <c r="B38795" t="s">
        <v>29655</v>
      </c>
      <c r="C38795" t="s">
        <v>2475</v>
      </c>
      <c r="D38795" s="21" t="s">
        <v>34</v>
      </c>
      <c r="E38795" s="21" t="s">
        <v>35</v>
      </c>
      <c r="F38795">
        <v>11300055</v>
      </c>
      <c r="G38795" t="s">
        <v>14655</v>
      </c>
      <c r="H38795" s="21">
        <v>471</v>
      </c>
    </row>
    <row r="38796" spans="1:8" customFormat="1" x14ac:dyDescent="0.25">
      <c r="A38796" t="str">
        <f>"5112919"</f>
        <v>5112919</v>
      </c>
      <c r="B38796" t="s">
        <v>11555</v>
      </c>
      <c r="C38796" t="s">
        <v>169</v>
      </c>
      <c r="D38796" s="21" t="s">
        <v>34</v>
      </c>
      <c r="E38796" s="21" t="s">
        <v>35</v>
      </c>
      <c r="F38796">
        <v>6510062</v>
      </c>
      <c r="G38796" t="s">
        <v>9059</v>
      </c>
      <c r="H38796" s="21">
        <v>471</v>
      </c>
    </row>
    <row r="38797" spans="1:8" customFormat="1" x14ac:dyDescent="0.25">
      <c r="A38797" t="str">
        <f>"367595"</f>
        <v>367595</v>
      </c>
      <c r="B38797" t="s">
        <v>5597</v>
      </c>
      <c r="C38797" t="s">
        <v>462</v>
      </c>
      <c r="D38797" s="21" t="s">
        <v>34</v>
      </c>
      <c r="E38797" s="21" t="s">
        <v>71</v>
      </c>
      <c r="F38797">
        <v>4360454</v>
      </c>
      <c r="G38797" t="s">
        <v>637</v>
      </c>
      <c r="H38797" s="21">
        <v>471</v>
      </c>
    </row>
    <row r="38798" spans="1:8" customFormat="1" x14ac:dyDescent="0.25">
      <c r="A38798" t="str">
        <f>"3339123"</f>
        <v>3339123</v>
      </c>
      <c r="B38798" t="s">
        <v>29656</v>
      </c>
      <c r="C38798" t="s">
        <v>33</v>
      </c>
      <c r="D38798" s="21" t="s">
        <v>34</v>
      </c>
      <c r="E38798" s="21" t="s">
        <v>35</v>
      </c>
      <c r="F38798">
        <v>10330046</v>
      </c>
      <c r="G38798" t="s">
        <v>1787</v>
      </c>
      <c r="H38798" s="21">
        <v>471</v>
      </c>
    </row>
    <row r="38799" spans="1:8" customFormat="1" x14ac:dyDescent="0.25">
      <c r="A38799" t="str">
        <f>"8316060"</f>
        <v>8316060</v>
      </c>
      <c r="B38799" t="s">
        <v>29657</v>
      </c>
      <c r="C38799" t="s">
        <v>18874</v>
      </c>
      <c r="D38799" s="21" t="s">
        <v>34</v>
      </c>
      <c r="E38799" s="21" t="s">
        <v>35</v>
      </c>
      <c r="F38799">
        <v>13830083</v>
      </c>
      <c r="G38799" t="s">
        <v>2159</v>
      </c>
      <c r="H38799" s="21">
        <v>470.88</v>
      </c>
    </row>
    <row r="38800" spans="1:8" customFormat="1" x14ac:dyDescent="0.25">
      <c r="A38800" t="str">
        <f>"3013845"</f>
        <v>3013845</v>
      </c>
      <c r="B38800" t="s">
        <v>22568</v>
      </c>
      <c r="C38800" t="s">
        <v>33</v>
      </c>
      <c r="D38800" s="21" t="s">
        <v>34</v>
      </c>
      <c r="E38800" s="21" t="s">
        <v>35</v>
      </c>
      <c r="F38800">
        <v>11300040</v>
      </c>
      <c r="G38800" t="s">
        <v>13373</v>
      </c>
      <c r="H38800" s="21">
        <v>470.75</v>
      </c>
    </row>
    <row r="38801" spans="1:8" customFormat="1" x14ac:dyDescent="0.25">
      <c r="A38801" t="str">
        <f>"5978012"</f>
        <v>5978012</v>
      </c>
      <c r="B38801" t="s">
        <v>24236</v>
      </c>
      <c r="C38801" t="s">
        <v>124</v>
      </c>
      <c r="D38801" s="21" t="s">
        <v>34</v>
      </c>
      <c r="E38801" s="21" t="s">
        <v>71</v>
      </c>
      <c r="F38801">
        <v>7590034</v>
      </c>
      <c r="G38801" t="s">
        <v>17085</v>
      </c>
      <c r="H38801" s="21">
        <v>470.75</v>
      </c>
    </row>
    <row r="38802" spans="1:8" customFormat="1" x14ac:dyDescent="0.25">
      <c r="A38802" t="str">
        <f>"8019911"</f>
        <v>8019911</v>
      </c>
      <c r="B38802" t="s">
        <v>29658</v>
      </c>
      <c r="C38802" t="s">
        <v>206</v>
      </c>
      <c r="D38802" s="21" t="s">
        <v>34</v>
      </c>
      <c r="E38802" s="21" t="s">
        <v>35</v>
      </c>
      <c r="F38802">
        <v>7800079</v>
      </c>
      <c r="G38802" t="s">
        <v>14753</v>
      </c>
      <c r="H38802" s="21">
        <v>470.5</v>
      </c>
    </row>
    <row r="38803" spans="1:8" customFormat="1" x14ac:dyDescent="0.25">
      <c r="A38803" t="str">
        <f>"5325925"</f>
        <v>5325925</v>
      </c>
      <c r="B38803" t="s">
        <v>20528</v>
      </c>
      <c r="C38803" t="s">
        <v>249</v>
      </c>
      <c r="D38803" s="21" t="s">
        <v>34</v>
      </c>
      <c r="E38803" s="21" t="s">
        <v>71</v>
      </c>
      <c r="F38803">
        <v>12530050</v>
      </c>
      <c r="G38803" t="s">
        <v>5196</v>
      </c>
      <c r="H38803" s="21">
        <v>470.5</v>
      </c>
    </row>
    <row r="38804" spans="1:8" customFormat="1" x14ac:dyDescent="0.25">
      <c r="A38804" t="str">
        <f>"8019658"</f>
        <v>8019658</v>
      </c>
      <c r="B38804" t="s">
        <v>19389</v>
      </c>
      <c r="C38804" t="s">
        <v>33</v>
      </c>
      <c r="D38804" s="21" t="s">
        <v>34</v>
      </c>
      <c r="E38804" s="21" t="s">
        <v>35</v>
      </c>
      <c r="F38804">
        <v>7800020</v>
      </c>
      <c r="G38804" t="s">
        <v>11608</v>
      </c>
      <c r="H38804" s="21">
        <v>470.5</v>
      </c>
    </row>
    <row r="38805" spans="1:8" customFormat="1" x14ac:dyDescent="0.25">
      <c r="A38805" t="str">
        <f>"3728466"</f>
        <v>3728466</v>
      </c>
      <c r="B38805" t="s">
        <v>23182</v>
      </c>
      <c r="C38805" t="s">
        <v>109</v>
      </c>
      <c r="D38805" s="21" t="s">
        <v>34</v>
      </c>
      <c r="E38805" s="21" t="s">
        <v>35</v>
      </c>
      <c r="F38805">
        <v>4370637</v>
      </c>
      <c r="G38805" t="s">
        <v>3941</v>
      </c>
      <c r="H38805" s="21">
        <v>470.5</v>
      </c>
    </row>
    <row r="38806" spans="1:8" customFormat="1" x14ac:dyDescent="0.25">
      <c r="A38806" t="str">
        <f>"9251394"</f>
        <v>9251394</v>
      </c>
      <c r="B38806" t="s">
        <v>1919</v>
      </c>
      <c r="C38806" t="s">
        <v>2853</v>
      </c>
      <c r="D38806" s="21" t="s">
        <v>34</v>
      </c>
      <c r="E38806" s="21" t="s">
        <v>35</v>
      </c>
      <c r="F38806">
        <v>8920111</v>
      </c>
      <c r="G38806" t="s">
        <v>1064</v>
      </c>
      <c r="H38806" s="21">
        <v>470.5</v>
      </c>
    </row>
    <row r="38807" spans="1:8" customFormat="1" x14ac:dyDescent="0.25">
      <c r="A38807" t="str">
        <f>"6314598"</f>
        <v>6314598</v>
      </c>
      <c r="B38807" t="s">
        <v>21877</v>
      </c>
      <c r="C38807" t="s">
        <v>144</v>
      </c>
      <c r="D38807" s="21" t="s">
        <v>34</v>
      </c>
      <c r="E38807" s="21" t="s">
        <v>35</v>
      </c>
      <c r="F38807">
        <v>1630327</v>
      </c>
      <c r="G38807" t="s">
        <v>13353</v>
      </c>
      <c r="H38807" s="21">
        <v>470.5</v>
      </c>
    </row>
    <row r="38808" spans="1:8" customFormat="1" x14ac:dyDescent="0.25">
      <c r="A38808" t="str">
        <f>"9452565"</f>
        <v>9452565</v>
      </c>
      <c r="B38808" t="s">
        <v>8197</v>
      </c>
      <c r="C38808" t="s">
        <v>22615</v>
      </c>
      <c r="D38808" s="21" t="s">
        <v>34</v>
      </c>
      <c r="E38808" s="21" t="s">
        <v>35</v>
      </c>
      <c r="F38808">
        <v>8940448</v>
      </c>
      <c r="G38808" t="s">
        <v>1691</v>
      </c>
      <c r="H38808" s="21">
        <v>470.5</v>
      </c>
    </row>
    <row r="38809" spans="1:8" customFormat="1" x14ac:dyDescent="0.25">
      <c r="A38809" t="str">
        <f>"9D1236"</f>
        <v>9D1236</v>
      </c>
      <c r="B38809" t="s">
        <v>22817</v>
      </c>
      <c r="C38809" t="s">
        <v>1705</v>
      </c>
      <c r="D38809" s="21" t="s">
        <v>34</v>
      </c>
      <c r="E38809" s="21" t="s">
        <v>71</v>
      </c>
      <c r="F38809" t="s">
        <v>2462</v>
      </c>
      <c r="G38809" t="s">
        <v>2463</v>
      </c>
      <c r="H38809" s="21">
        <v>470.5</v>
      </c>
    </row>
    <row r="38810" spans="1:8" customFormat="1" x14ac:dyDescent="0.25">
      <c r="A38810" t="str">
        <f>"4934200"</f>
        <v>4934200</v>
      </c>
      <c r="B38810" t="s">
        <v>2761</v>
      </c>
      <c r="C38810" t="s">
        <v>169</v>
      </c>
      <c r="D38810" s="21" t="s">
        <v>34</v>
      </c>
      <c r="E38810" s="21" t="s">
        <v>71</v>
      </c>
      <c r="F38810">
        <v>12490064</v>
      </c>
      <c r="G38810" t="s">
        <v>8425</v>
      </c>
      <c r="H38810" s="21">
        <v>470.5</v>
      </c>
    </row>
    <row r="38811" spans="1:8" customFormat="1" x14ac:dyDescent="0.25">
      <c r="A38811" t="str">
        <f>"7856967"</f>
        <v>7856967</v>
      </c>
      <c r="B38811" t="s">
        <v>24619</v>
      </c>
      <c r="C38811" t="s">
        <v>1812</v>
      </c>
      <c r="D38811" s="21" t="s">
        <v>34</v>
      </c>
      <c r="E38811" s="21" t="s">
        <v>71</v>
      </c>
      <c r="F38811">
        <v>11660001</v>
      </c>
      <c r="G38811" t="s">
        <v>8203</v>
      </c>
      <c r="H38811" s="21">
        <v>470.5</v>
      </c>
    </row>
    <row r="38812" spans="1:8" customFormat="1" x14ac:dyDescent="0.25">
      <c r="A38812" t="str">
        <f>"5020602"</f>
        <v>5020602</v>
      </c>
      <c r="B38812" t="s">
        <v>4834</v>
      </c>
      <c r="C38812" t="s">
        <v>209</v>
      </c>
      <c r="D38812" s="21" t="s">
        <v>34</v>
      </c>
      <c r="E38812" s="21" t="s">
        <v>254</v>
      </c>
      <c r="F38812">
        <v>9500157</v>
      </c>
      <c r="G38812" t="s">
        <v>5074</v>
      </c>
      <c r="H38812" s="21">
        <v>470.5</v>
      </c>
    </row>
    <row r="38813" spans="1:8" customFormat="1" x14ac:dyDescent="0.25">
      <c r="A38813" t="str">
        <f>"7642926"</f>
        <v>7642926</v>
      </c>
      <c r="B38813" t="s">
        <v>208</v>
      </c>
      <c r="C38813" t="s">
        <v>2529</v>
      </c>
      <c r="D38813" s="21" t="s">
        <v>34</v>
      </c>
      <c r="E38813" s="21" t="s">
        <v>71</v>
      </c>
      <c r="F38813">
        <v>9760082</v>
      </c>
      <c r="G38813" t="s">
        <v>2387</v>
      </c>
      <c r="H38813" s="21">
        <v>470.5</v>
      </c>
    </row>
    <row r="38814" spans="1:8" customFormat="1" x14ac:dyDescent="0.25">
      <c r="A38814" t="str">
        <f>"5427773"</f>
        <v>5427773</v>
      </c>
      <c r="B38814" t="s">
        <v>29659</v>
      </c>
      <c r="C38814" t="s">
        <v>2520</v>
      </c>
      <c r="D38814" s="21" t="s">
        <v>34</v>
      </c>
      <c r="E38814" s="21" t="s">
        <v>1089</v>
      </c>
      <c r="F38814">
        <v>13840058</v>
      </c>
      <c r="G38814" t="s">
        <v>7032</v>
      </c>
      <c r="H38814" s="21">
        <v>470.5</v>
      </c>
    </row>
    <row r="38815" spans="1:8" customFormat="1" x14ac:dyDescent="0.25">
      <c r="A38815" t="str">
        <f>"9246868"</f>
        <v>9246868</v>
      </c>
      <c r="B38815" t="s">
        <v>6017</v>
      </c>
      <c r="C38815" t="s">
        <v>33</v>
      </c>
      <c r="D38815" s="21" t="s">
        <v>34</v>
      </c>
      <c r="E38815" s="21" t="s">
        <v>71</v>
      </c>
      <c r="F38815">
        <v>8920309</v>
      </c>
      <c r="G38815" t="s">
        <v>1894</v>
      </c>
      <c r="H38815" s="21">
        <v>470.38</v>
      </c>
    </row>
    <row r="38816" spans="1:8" customFormat="1" x14ac:dyDescent="0.25">
      <c r="A38816" t="str">
        <f>"9535751"</f>
        <v>9535751</v>
      </c>
      <c r="B38816" t="s">
        <v>8940</v>
      </c>
      <c r="C38816" t="s">
        <v>23737</v>
      </c>
      <c r="D38816" s="21" t="s">
        <v>34</v>
      </c>
      <c r="E38816" s="21" t="s">
        <v>35</v>
      </c>
      <c r="F38816">
        <v>8950435</v>
      </c>
      <c r="G38816" t="s">
        <v>6404</v>
      </c>
      <c r="H38816" s="21">
        <v>470.38</v>
      </c>
    </row>
    <row r="38817" spans="1:8" customFormat="1" x14ac:dyDescent="0.25">
      <c r="A38817" t="str">
        <f>"0812669"</f>
        <v>0812669</v>
      </c>
      <c r="B38817" t="s">
        <v>27385</v>
      </c>
      <c r="C38817" t="s">
        <v>239</v>
      </c>
      <c r="D38817" s="21" t="s">
        <v>34</v>
      </c>
      <c r="E38817" s="21" t="s">
        <v>254</v>
      </c>
      <c r="F38817">
        <v>6080014</v>
      </c>
      <c r="G38817" t="s">
        <v>1272</v>
      </c>
      <c r="H38817" s="21">
        <v>470.25</v>
      </c>
    </row>
    <row r="38818" spans="1:8" customFormat="1" x14ac:dyDescent="0.25">
      <c r="A38818" t="str">
        <f>"9427249"</f>
        <v>9427249</v>
      </c>
      <c r="B38818" t="s">
        <v>1724</v>
      </c>
      <c r="C38818" t="s">
        <v>43</v>
      </c>
      <c r="D38818" s="21" t="s">
        <v>34</v>
      </c>
      <c r="E38818" s="21" t="s">
        <v>35</v>
      </c>
      <c r="F38818">
        <v>12720008</v>
      </c>
      <c r="G38818" t="s">
        <v>753</v>
      </c>
      <c r="H38818" s="21">
        <v>470.25</v>
      </c>
    </row>
    <row r="38819" spans="1:8" customFormat="1" x14ac:dyDescent="0.25">
      <c r="A38819" t="str">
        <f>"5973436"</f>
        <v>5973436</v>
      </c>
      <c r="B38819" t="s">
        <v>21978</v>
      </c>
      <c r="C38819" t="s">
        <v>1146</v>
      </c>
      <c r="D38819" s="21" t="s">
        <v>34</v>
      </c>
      <c r="E38819" s="21" t="s">
        <v>254</v>
      </c>
      <c r="F38819">
        <v>7590327</v>
      </c>
      <c r="G38819" t="s">
        <v>2330</v>
      </c>
      <c r="H38819" s="21">
        <v>470.17</v>
      </c>
    </row>
    <row r="38820" spans="1:8" customFormat="1" x14ac:dyDescent="0.25">
      <c r="A38820" t="str">
        <f>"8018973"</f>
        <v>8018973</v>
      </c>
      <c r="B38820" t="s">
        <v>23541</v>
      </c>
      <c r="C38820" t="s">
        <v>1620</v>
      </c>
      <c r="D38820" s="21" t="s">
        <v>34</v>
      </c>
      <c r="E38820" s="21" t="s">
        <v>35</v>
      </c>
      <c r="F38820">
        <v>7800149</v>
      </c>
      <c r="G38820" t="s">
        <v>12618</v>
      </c>
      <c r="H38820" s="21">
        <v>470</v>
      </c>
    </row>
    <row r="38821" spans="1:8" customFormat="1" x14ac:dyDescent="0.25">
      <c r="A38821" t="str">
        <f>"4529236"</f>
        <v>4529236</v>
      </c>
      <c r="B38821" t="s">
        <v>168</v>
      </c>
      <c r="C38821" t="s">
        <v>263</v>
      </c>
      <c r="D38821" s="21" t="s">
        <v>34</v>
      </c>
      <c r="E38821" s="21" t="s">
        <v>71</v>
      </c>
      <c r="F38821">
        <v>4450661</v>
      </c>
      <c r="G38821" t="s">
        <v>12253</v>
      </c>
      <c r="H38821" s="21">
        <v>470</v>
      </c>
    </row>
    <row r="38822" spans="1:8" customFormat="1" x14ac:dyDescent="0.25">
      <c r="A38822" t="str">
        <f>"4418630"</f>
        <v>4418630</v>
      </c>
      <c r="B38822" t="s">
        <v>2317</v>
      </c>
      <c r="C38822" t="s">
        <v>249</v>
      </c>
      <c r="D38822" s="21" t="s">
        <v>34</v>
      </c>
      <c r="E38822" s="21" t="s">
        <v>35</v>
      </c>
      <c r="F38822">
        <v>12440206</v>
      </c>
      <c r="G38822" t="s">
        <v>10374</v>
      </c>
      <c r="H38822" s="21">
        <v>470</v>
      </c>
    </row>
    <row r="38823" spans="1:8" customFormat="1" x14ac:dyDescent="0.25">
      <c r="A38823" t="str">
        <f>"7875277"</f>
        <v>7875277</v>
      </c>
      <c r="B38823" t="s">
        <v>24301</v>
      </c>
      <c r="C38823" t="s">
        <v>415</v>
      </c>
      <c r="D38823" s="21" t="s">
        <v>34</v>
      </c>
      <c r="E38823" s="21" t="s">
        <v>71</v>
      </c>
      <c r="F38823">
        <v>8780568</v>
      </c>
      <c r="G38823" t="s">
        <v>5279</v>
      </c>
      <c r="H38823" s="21">
        <v>470</v>
      </c>
    </row>
    <row r="38824" spans="1:8" customFormat="1" x14ac:dyDescent="0.25">
      <c r="A38824" t="str">
        <f>"451192"</f>
        <v>451192</v>
      </c>
      <c r="B38824" t="s">
        <v>23787</v>
      </c>
      <c r="C38824" t="s">
        <v>1110</v>
      </c>
      <c r="D38824" s="21" t="s">
        <v>34</v>
      </c>
      <c r="E38824" s="21" t="s">
        <v>254</v>
      </c>
      <c r="F38824">
        <v>4450309</v>
      </c>
      <c r="G38824" t="s">
        <v>15692</v>
      </c>
      <c r="H38824" s="21">
        <v>470</v>
      </c>
    </row>
    <row r="38825" spans="1:8" customFormat="1" x14ac:dyDescent="0.25">
      <c r="A38825" t="str">
        <f>"8614217"</f>
        <v>8614217</v>
      </c>
      <c r="B38825" t="s">
        <v>1048</v>
      </c>
      <c r="C38825" t="s">
        <v>249</v>
      </c>
      <c r="D38825" s="21" t="s">
        <v>34</v>
      </c>
      <c r="E38825" s="21" t="s">
        <v>71</v>
      </c>
      <c r="F38825">
        <v>10860229</v>
      </c>
      <c r="G38825" t="s">
        <v>9680</v>
      </c>
      <c r="H38825" s="21">
        <v>470</v>
      </c>
    </row>
    <row r="38826" spans="1:8" customFormat="1" x14ac:dyDescent="0.25">
      <c r="A38826" t="str">
        <f>"2512690"</f>
        <v>2512690</v>
      </c>
      <c r="B38826" t="s">
        <v>9436</v>
      </c>
      <c r="C38826" t="s">
        <v>263</v>
      </c>
      <c r="D38826" s="21" t="s">
        <v>34</v>
      </c>
      <c r="E38826" s="21" t="s">
        <v>71</v>
      </c>
      <c r="F38826">
        <v>2250024</v>
      </c>
      <c r="G38826" t="s">
        <v>751</v>
      </c>
      <c r="H38826" s="21">
        <v>470</v>
      </c>
    </row>
    <row r="38827" spans="1:8" customFormat="1" x14ac:dyDescent="0.25">
      <c r="A38827" t="str">
        <f>"9537404"</f>
        <v>9537404</v>
      </c>
      <c r="B38827" t="s">
        <v>22750</v>
      </c>
      <c r="C38827" t="s">
        <v>412</v>
      </c>
      <c r="D38827" s="21" t="s">
        <v>34</v>
      </c>
      <c r="E38827" s="21" t="s">
        <v>254</v>
      </c>
      <c r="F38827">
        <v>8950974</v>
      </c>
      <c r="G38827" t="s">
        <v>6615</v>
      </c>
      <c r="H38827" s="21">
        <v>470</v>
      </c>
    </row>
    <row r="38828" spans="1:8" customFormat="1" x14ac:dyDescent="0.25">
      <c r="A38828" t="str">
        <f>"0614087"</f>
        <v>0614087</v>
      </c>
      <c r="B38828" t="s">
        <v>23323</v>
      </c>
      <c r="C38828" t="s">
        <v>3010</v>
      </c>
      <c r="D38828" s="21" t="s">
        <v>34</v>
      </c>
      <c r="E38828" s="21" t="s">
        <v>1089</v>
      </c>
      <c r="F38828">
        <v>13060082</v>
      </c>
      <c r="G38828" t="s">
        <v>11729</v>
      </c>
      <c r="H38828" s="21">
        <v>470</v>
      </c>
    </row>
    <row r="38829" spans="1:8" customFormat="1" x14ac:dyDescent="0.25">
      <c r="A38829" t="str">
        <f>"2721676"</f>
        <v>2721676</v>
      </c>
      <c r="B38829" t="s">
        <v>3893</v>
      </c>
      <c r="C38829" t="s">
        <v>3456</v>
      </c>
      <c r="D38829" s="21" t="s">
        <v>34</v>
      </c>
      <c r="E38829" s="21" t="s">
        <v>35</v>
      </c>
      <c r="F38829">
        <v>9270097</v>
      </c>
      <c r="G38829" t="s">
        <v>9759</v>
      </c>
      <c r="H38829" s="21">
        <v>470</v>
      </c>
    </row>
    <row r="38830" spans="1:8" customFormat="1" x14ac:dyDescent="0.25">
      <c r="A38830" t="str">
        <f>"4530001"</f>
        <v>4530001</v>
      </c>
      <c r="B38830" t="s">
        <v>29660</v>
      </c>
      <c r="C38830" t="s">
        <v>1675</v>
      </c>
      <c r="D38830" s="21" t="s">
        <v>34</v>
      </c>
      <c r="E38830" s="21" t="s">
        <v>35</v>
      </c>
      <c r="F38830">
        <v>4450614</v>
      </c>
      <c r="G38830" t="s">
        <v>13344</v>
      </c>
      <c r="H38830" s="21">
        <v>470</v>
      </c>
    </row>
    <row r="38831" spans="1:8" customFormat="1" x14ac:dyDescent="0.25">
      <c r="A38831" t="str">
        <f>"5428655"</f>
        <v>5428655</v>
      </c>
      <c r="B38831" t="s">
        <v>8918</v>
      </c>
      <c r="C38831" t="s">
        <v>169</v>
      </c>
      <c r="D38831" s="21" t="s">
        <v>34</v>
      </c>
      <c r="E38831" s="21" t="s">
        <v>35</v>
      </c>
      <c r="F38831">
        <v>6540007</v>
      </c>
      <c r="G38831" t="s">
        <v>10264</v>
      </c>
      <c r="H38831" s="21">
        <v>469.79</v>
      </c>
    </row>
    <row r="38832" spans="1:8" customFormat="1" x14ac:dyDescent="0.25">
      <c r="A38832" t="str">
        <f>"776036"</f>
        <v>776036</v>
      </c>
      <c r="B38832" t="s">
        <v>1349</v>
      </c>
      <c r="C38832" t="s">
        <v>1325</v>
      </c>
      <c r="D38832" s="21" t="s">
        <v>34</v>
      </c>
      <c r="E38832" s="21" t="s">
        <v>35</v>
      </c>
      <c r="F38832">
        <v>8771236</v>
      </c>
      <c r="G38832" t="s">
        <v>386</v>
      </c>
      <c r="H38832" s="21">
        <v>469.5</v>
      </c>
    </row>
    <row r="38833" spans="1:8" customFormat="1" x14ac:dyDescent="0.25">
      <c r="A38833" t="str">
        <f>"6234314"</f>
        <v>6234314</v>
      </c>
      <c r="B38833" t="s">
        <v>29661</v>
      </c>
      <c r="C38833" t="s">
        <v>109</v>
      </c>
      <c r="D38833" s="21" t="s">
        <v>34</v>
      </c>
      <c r="E38833" s="21" t="s">
        <v>71</v>
      </c>
      <c r="F38833">
        <v>7620103</v>
      </c>
      <c r="G38833" t="s">
        <v>1107</v>
      </c>
      <c r="H38833" s="21">
        <v>469.5</v>
      </c>
    </row>
    <row r="38834" spans="1:8" customFormat="1" x14ac:dyDescent="0.25">
      <c r="A38834" t="str">
        <f>"3538099"</f>
        <v>3538099</v>
      </c>
      <c r="B38834" t="s">
        <v>29662</v>
      </c>
      <c r="C38834" t="s">
        <v>33</v>
      </c>
      <c r="D38834" s="21" t="s">
        <v>34</v>
      </c>
      <c r="E38834" s="21" t="s">
        <v>71</v>
      </c>
      <c r="F38834">
        <v>3350023</v>
      </c>
      <c r="G38834" t="s">
        <v>12401</v>
      </c>
      <c r="H38834" s="21">
        <v>469.5</v>
      </c>
    </row>
    <row r="38835" spans="1:8" customFormat="1" x14ac:dyDescent="0.25">
      <c r="A38835" t="str">
        <f>"3427246"</f>
        <v>3427246</v>
      </c>
      <c r="B38835" t="s">
        <v>29663</v>
      </c>
      <c r="C38835" t="s">
        <v>750</v>
      </c>
      <c r="D38835" s="21" t="s">
        <v>34</v>
      </c>
      <c r="E38835" s="21" t="s">
        <v>71</v>
      </c>
      <c r="F38835">
        <v>11340022</v>
      </c>
      <c r="G38835" t="s">
        <v>4663</v>
      </c>
      <c r="H38835" s="21">
        <v>469.5</v>
      </c>
    </row>
    <row r="38836" spans="1:8" customFormat="1" x14ac:dyDescent="0.25">
      <c r="A38836" t="str">
        <f>"9313108"</f>
        <v>9313108</v>
      </c>
      <c r="B38836" t="s">
        <v>22470</v>
      </c>
      <c r="C38836" t="s">
        <v>598</v>
      </c>
      <c r="D38836" s="21" t="s">
        <v>34</v>
      </c>
      <c r="E38836" s="21" t="s">
        <v>1089</v>
      </c>
      <c r="F38836">
        <v>10170016</v>
      </c>
      <c r="G38836" t="s">
        <v>88</v>
      </c>
      <c r="H38836" s="21">
        <v>469.5</v>
      </c>
    </row>
    <row r="38837" spans="1:8" customFormat="1" x14ac:dyDescent="0.25">
      <c r="A38837" t="str">
        <f>"2933694"</f>
        <v>2933694</v>
      </c>
      <c r="B38837" t="s">
        <v>24489</v>
      </c>
      <c r="C38837" t="s">
        <v>239</v>
      </c>
      <c r="D38837" s="21" t="s">
        <v>34</v>
      </c>
      <c r="E38837" s="21" t="s">
        <v>71</v>
      </c>
      <c r="F38837">
        <v>3290284</v>
      </c>
      <c r="G38837" t="s">
        <v>8972</v>
      </c>
      <c r="H38837" s="21">
        <v>469.5</v>
      </c>
    </row>
    <row r="38838" spans="1:8" customFormat="1" x14ac:dyDescent="0.25">
      <c r="A38838" t="str">
        <f>"123805"</f>
        <v>123805</v>
      </c>
      <c r="B38838" t="s">
        <v>205</v>
      </c>
      <c r="C38838" t="s">
        <v>29664</v>
      </c>
      <c r="D38838" s="21" t="s">
        <v>34</v>
      </c>
      <c r="E38838" s="21" t="s">
        <v>254</v>
      </c>
      <c r="F38838">
        <v>11120044</v>
      </c>
      <c r="G38838" t="s">
        <v>15823</v>
      </c>
      <c r="H38838" s="21">
        <v>469.5</v>
      </c>
    </row>
    <row r="38839" spans="1:8" customFormat="1" x14ac:dyDescent="0.25">
      <c r="A38839" t="str">
        <f>"7923403"</f>
        <v>7923403</v>
      </c>
      <c r="B38839" t="s">
        <v>8308</v>
      </c>
      <c r="C38839" t="s">
        <v>285</v>
      </c>
      <c r="D38839" s="21" t="s">
        <v>34</v>
      </c>
      <c r="E38839" s="21" t="s">
        <v>35</v>
      </c>
      <c r="F38839">
        <v>10790002</v>
      </c>
      <c r="G38839" t="s">
        <v>6612</v>
      </c>
      <c r="H38839" s="21">
        <v>469.5</v>
      </c>
    </row>
    <row r="38840" spans="1:8" customFormat="1" x14ac:dyDescent="0.25">
      <c r="A38840" t="str">
        <f>"5967811"</f>
        <v>5967811</v>
      </c>
      <c r="B38840" t="s">
        <v>23878</v>
      </c>
      <c r="C38840" t="s">
        <v>1146</v>
      </c>
      <c r="D38840" s="21" t="s">
        <v>34</v>
      </c>
      <c r="E38840" s="21" t="s">
        <v>254</v>
      </c>
      <c r="F38840">
        <v>7590087</v>
      </c>
      <c r="G38840" t="s">
        <v>2112</v>
      </c>
      <c r="H38840" s="21">
        <v>469.5</v>
      </c>
    </row>
    <row r="38841" spans="1:8" customFormat="1" x14ac:dyDescent="0.25">
      <c r="A38841" t="str">
        <f>"6947600"</f>
        <v>6947600</v>
      </c>
      <c r="B38841" t="s">
        <v>67</v>
      </c>
      <c r="C38841" t="s">
        <v>267</v>
      </c>
      <c r="D38841" s="21" t="s">
        <v>34</v>
      </c>
      <c r="E38841" s="21" t="s">
        <v>254</v>
      </c>
      <c r="F38841">
        <v>1690107</v>
      </c>
      <c r="G38841" t="s">
        <v>4163</v>
      </c>
      <c r="H38841" s="21">
        <v>469.5</v>
      </c>
    </row>
    <row r="38842" spans="1:8" customFormat="1" x14ac:dyDescent="0.25">
      <c r="A38842" t="str">
        <f>"5732481"</f>
        <v>5732481</v>
      </c>
      <c r="B38842" t="s">
        <v>22653</v>
      </c>
      <c r="C38842" t="s">
        <v>124</v>
      </c>
      <c r="D38842" s="21" t="s">
        <v>34</v>
      </c>
      <c r="E38842" s="21" t="s">
        <v>71</v>
      </c>
      <c r="F38842">
        <v>6570201</v>
      </c>
      <c r="G38842" t="s">
        <v>3296</v>
      </c>
      <c r="H38842" s="21">
        <v>469.5</v>
      </c>
    </row>
    <row r="38843" spans="1:8" customFormat="1" x14ac:dyDescent="0.25">
      <c r="A38843" t="str">
        <f>"7522271"</f>
        <v>7522271</v>
      </c>
      <c r="B38843" t="s">
        <v>10937</v>
      </c>
      <c r="C38843" t="s">
        <v>269</v>
      </c>
      <c r="D38843" s="21" t="s">
        <v>34</v>
      </c>
      <c r="E38843" s="21" t="s">
        <v>71</v>
      </c>
      <c r="F38843">
        <v>8751455</v>
      </c>
      <c r="G38843" t="s">
        <v>14280</v>
      </c>
      <c r="H38843" s="21">
        <v>469.5</v>
      </c>
    </row>
    <row r="38844" spans="1:8" customFormat="1" x14ac:dyDescent="0.25">
      <c r="A38844" t="str">
        <f>"4453466"</f>
        <v>4453466</v>
      </c>
      <c r="B38844" t="s">
        <v>29665</v>
      </c>
      <c r="C38844" t="s">
        <v>2520</v>
      </c>
      <c r="D38844" s="21" t="s">
        <v>34</v>
      </c>
      <c r="E38844" s="21" t="s">
        <v>254</v>
      </c>
      <c r="F38844">
        <v>12440038</v>
      </c>
      <c r="G38844" t="s">
        <v>2057</v>
      </c>
      <c r="H38844" s="21">
        <v>469.5</v>
      </c>
    </row>
    <row r="38845" spans="1:8" customFormat="1" x14ac:dyDescent="0.25">
      <c r="A38845" t="str">
        <f>"3346351"</f>
        <v>3346351</v>
      </c>
      <c r="B38845" t="s">
        <v>29666</v>
      </c>
      <c r="C38845" t="s">
        <v>60</v>
      </c>
      <c r="D38845" s="21" t="s">
        <v>34</v>
      </c>
      <c r="E38845" s="21" t="s">
        <v>71</v>
      </c>
      <c r="F38845">
        <v>10330130</v>
      </c>
      <c r="G38845" t="s">
        <v>13867</v>
      </c>
      <c r="H38845" s="21">
        <v>469.5</v>
      </c>
    </row>
    <row r="38846" spans="1:8" customFormat="1" x14ac:dyDescent="0.25">
      <c r="A38846" t="str">
        <f>"754904"</f>
        <v>754904</v>
      </c>
      <c r="B38846" t="s">
        <v>24421</v>
      </c>
      <c r="C38846" t="s">
        <v>124</v>
      </c>
      <c r="D38846" s="21" t="s">
        <v>34</v>
      </c>
      <c r="E38846" s="21" t="s">
        <v>254</v>
      </c>
      <c r="F38846">
        <v>8920025</v>
      </c>
      <c r="G38846" t="s">
        <v>159</v>
      </c>
      <c r="H38846" s="21">
        <v>469.5</v>
      </c>
    </row>
    <row r="38847" spans="1:8" customFormat="1" x14ac:dyDescent="0.25">
      <c r="A38847" t="str">
        <f>"3538070"</f>
        <v>3538070</v>
      </c>
      <c r="B38847" t="s">
        <v>18898</v>
      </c>
      <c r="C38847" t="s">
        <v>87</v>
      </c>
      <c r="D38847" s="21" t="s">
        <v>34</v>
      </c>
      <c r="E38847" s="21" t="s">
        <v>35</v>
      </c>
      <c r="F38847">
        <v>3350225</v>
      </c>
      <c r="G38847" t="s">
        <v>22594</v>
      </c>
      <c r="H38847" s="21">
        <v>469.5</v>
      </c>
    </row>
    <row r="38848" spans="1:8" customFormat="1" x14ac:dyDescent="0.25">
      <c r="A38848" t="str">
        <f>"4515283"</f>
        <v>4515283</v>
      </c>
      <c r="B38848" t="s">
        <v>2993</v>
      </c>
      <c r="C38848" t="s">
        <v>415</v>
      </c>
      <c r="D38848" s="21" t="s">
        <v>34</v>
      </c>
      <c r="E38848" s="21" t="s">
        <v>1089</v>
      </c>
      <c r="F38848">
        <v>4450589</v>
      </c>
      <c r="G38848" t="s">
        <v>19465</v>
      </c>
      <c r="H38848" s="21">
        <v>469.5</v>
      </c>
    </row>
    <row r="38849" spans="1:8" customFormat="1" x14ac:dyDescent="0.25">
      <c r="A38849" t="str">
        <f>"1416357"</f>
        <v>1416357</v>
      </c>
      <c r="B38849" t="s">
        <v>8909</v>
      </c>
      <c r="C38849" t="s">
        <v>98</v>
      </c>
      <c r="D38849" s="21" t="s">
        <v>34</v>
      </c>
      <c r="E38849" s="21" t="s">
        <v>35</v>
      </c>
      <c r="F38849">
        <v>9140162</v>
      </c>
      <c r="G38849" t="s">
        <v>7663</v>
      </c>
      <c r="H38849" s="21">
        <v>469.5</v>
      </c>
    </row>
    <row r="38850" spans="1:8" customFormat="1" x14ac:dyDescent="0.25">
      <c r="A38850" t="str">
        <f>"2814227"</f>
        <v>2814227</v>
      </c>
      <c r="B38850" t="s">
        <v>19182</v>
      </c>
      <c r="C38850" t="s">
        <v>249</v>
      </c>
      <c r="D38850" s="21" t="s">
        <v>34</v>
      </c>
      <c r="E38850" s="21" t="s">
        <v>71</v>
      </c>
      <c r="F38850">
        <v>4280005</v>
      </c>
      <c r="G38850" t="s">
        <v>5760</v>
      </c>
      <c r="H38850" s="21">
        <v>469.5</v>
      </c>
    </row>
    <row r="38851" spans="1:8" customFormat="1" x14ac:dyDescent="0.25">
      <c r="A38851" t="str">
        <f>"4529134"</f>
        <v>4529134</v>
      </c>
      <c r="B38851" t="s">
        <v>17550</v>
      </c>
      <c r="C38851" t="s">
        <v>926</v>
      </c>
      <c r="D38851" s="21" t="s">
        <v>34</v>
      </c>
      <c r="E38851" s="21" t="s">
        <v>71</v>
      </c>
      <c r="F38851">
        <v>4450285</v>
      </c>
      <c r="G38851" t="s">
        <v>7118</v>
      </c>
      <c r="H38851" s="21">
        <v>469.5</v>
      </c>
    </row>
    <row r="38852" spans="1:8" customFormat="1" x14ac:dyDescent="0.25">
      <c r="A38852" t="str">
        <f>"0620116"</f>
        <v>0620116</v>
      </c>
      <c r="B38852" t="s">
        <v>29667</v>
      </c>
      <c r="C38852" t="s">
        <v>29668</v>
      </c>
      <c r="D38852" s="21" t="s">
        <v>34</v>
      </c>
      <c r="E38852" s="21" t="s">
        <v>35</v>
      </c>
      <c r="F38852">
        <v>13060005</v>
      </c>
      <c r="G38852" t="s">
        <v>3609</v>
      </c>
      <c r="H38852" s="21">
        <v>469.38</v>
      </c>
    </row>
    <row r="38853" spans="1:8" customFormat="1" x14ac:dyDescent="0.25">
      <c r="A38853" t="str">
        <f>"1425355"</f>
        <v>1425355</v>
      </c>
      <c r="B38853" t="s">
        <v>11078</v>
      </c>
      <c r="C38853" t="s">
        <v>187</v>
      </c>
      <c r="D38853" s="21" t="s">
        <v>34</v>
      </c>
      <c r="E38853" s="21" t="s">
        <v>35</v>
      </c>
      <c r="F38853">
        <v>9140063</v>
      </c>
      <c r="G38853" t="s">
        <v>4764</v>
      </c>
      <c r="H38853" s="21">
        <v>469.25</v>
      </c>
    </row>
    <row r="38854" spans="1:8" customFormat="1" x14ac:dyDescent="0.25">
      <c r="A38854" t="str">
        <f>"8315988"</f>
        <v>8315988</v>
      </c>
      <c r="B38854" t="s">
        <v>21461</v>
      </c>
      <c r="C38854" t="s">
        <v>40</v>
      </c>
      <c r="D38854" s="21" t="s">
        <v>34</v>
      </c>
      <c r="E38854" s="21" t="s">
        <v>254</v>
      </c>
      <c r="F38854">
        <v>13830088</v>
      </c>
      <c r="G38854" t="s">
        <v>17664</v>
      </c>
      <c r="H38854" s="21">
        <v>469.25</v>
      </c>
    </row>
    <row r="38855" spans="1:8" customFormat="1" x14ac:dyDescent="0.25">
      <c r="A38855" t="str">
        <f>"7730521"</f>
        <v>7730521</v>
      </c>
      <c r="B38855" t="s">
        <v>2189</v>
      </c>
      <c r="C38855" t="s">
        <v>169</v>
      </c>
      <c r="D38855" s="21" t="s">
        <v>34</v>
      </c>
      <c r="E38855" s="21" t="s">
        <v>71</v>
      </c>
      <c r="F38855">
        <v>8771200</v>
      </c>
      <c r="G38855" t="s">
        <v>5455</v>
      </c>
      <c r="H38855" s="21">
        <v>469.25</v>
      </c>
    </row>
    <row r="38856" spans="1:8" customFormat="1" x14ac:dyDescent="0.25">
      <c r="A38856" t="str">
        <f>"2717314"</f>
        <v>2717314</v>
      </c>
      <c r="B38856" t="s">
        <v>21543</v>
      </c>
      <c r="C38856" t="s">
        <v>236</v>
      </c>
      <c r="D38856" s="21" t="s">
        <v>34</v>
      </c>
      <c r="E38856" s="21" t="s">
        <v>254</v>
      </c>
      <c r="F38856">
        <v>9270153</v>
      </c>
      <c r="G38856" t="s">
        <v>15651</v>
      </c>
      <c r="H38856" s="21">
        <v>469.17</v>
      </c>
    </row>
    <row r="38857" spans="1:8" customFormat="1" x14ac:dyDescent="0.25">
      <c r="A38857" t="str">
        <f>"847189"</f>
        <v>847189</v>
      </c>
      <c r="B38857" t="s">
        <v>20944</v>
      </c>
      <c r="C38857" t="s">
        <v>1146</v>
      </c>
      <c r="D38857" s="21" t="s">
        <v>34</v>
      </c>
      <c r="E38857" s="21" t="s">
        <v>1089</v>
      </c>
      <c r="F38857">
        <v>13840038</v>
      </c>
      <c r="G38857" t="s">
        <v>8931</v>
      </c>
      <c r="H38857" s="21">
        <v>469.17</v>
      </c>
    </row>
    <row r="38858" spans="1:8" customFormat="1" x14ac:dyDescent="0.25">
      <c r="A38858" t="str">
        <f>"5973635"</f>
        <v>5973635</v>
      </c>
      <c r="B38858" t="s">
        <v>24391</v>
      </c>
      <c r="C38858" t="s">
        <v>55</v>
      </c>
      <c r="D38858" s="21" t="s">
        <v>34</v>
      </c>
      <c r="E38858" s="21" t="s">
        <v>35</v>
      </c>
      <c r="F38858">
        <v>7590043</v>
      </c>
      <c r="G38858" t="s">
        <v>10565</v>
      </c>
      <c r="H38858" s="21">
        <v>469</v>
      </c>
    </row>
    <row r="38859" spans="1:8" customFormat="1" x14ac:dyDescent="0.25">
      <c r="A38859" t="str">
        <f>"111312"</f>
        <v>111312</v>
      </c>
      <c r="B38859" t="s">
        <v>24643</v>
      </c>
      <c r="C38859" t="s">
        <v>3010</v>
      </c>
      <c r="D38859" s="21" t="s">
        <v>34</v>
      </c>
      <c r="E38859" s="21" t="s">
        <v>1089</v>
      </c>
      <c r="F38859">
        <v>11110009</v>
      </c>
      <c r="G38859" t="s">
        <v>6231</v>
      </c>
      <c r="H38859" s="21">
        <v>469</v>
      </c>
    </row>
    <row r="38860" spans="1:8" customFormat="1" x14ac:dyDescent="0.25">
      <c r="A38860" t="str">
        <f>"4113982"</f>
        <v>4113982</v>
      </c>
      <c r="B38860" t="s">
        <v>29669</v>
      </c>
      <c r="C38860" t="s">
        <v>29670</v>
      </c>
      <c r="D38860" s="21" t="s">
        <v>34</v>
      </c>
      <c r="E38860" s="21" t="s">
        <v>35</v>
      </c>
      <c r="F38860">
        <v>4410567</v>
      </c>
      <c r="G38860" t="s">
        <v>13742</v>
      </c>
      <c r="H38860" s="21">
        <v>469</v>
      </c>
    </row>
    <row r="38861" spans="1:8" customFormat="1" x14ac:dyDescent="0.25">
      <c r="A38861" t="str">
        <f>"6725583"</f>
        <v>6725583</v>
      </c>
      <c r="B38861" t="s">
        <v>3563</v>
      </c>
      <c r="C38861" t="s">
        <v>720</v>
      </c>
      <c r="D38861" s="21" t="s">
        <v>34</v>
      </c>
      <c r="E38861" s="21" t="s">
        <v>254</v>
      </c>
      <c r="F38861">
        <v>6670115</v>
      </c>
      <c r="G38861" t="s">
        <v>3798</v>
      </c>
      <c r="H38861" s="21">
        <v>469</v>
      </c>
    </row>
    <row r="38862" spans="1:8" customFormat="1" x14ac:dyDescent="0.25">
      <c r="A38862" t="str">
        <f>"0619615"</f>
        <v>0619615</v>
      </c>
      <c r="B38862" t="s">
        <v>29671</v>
      </c>
      <c r="C38862" t="s">
        <v>29672</v>
      </c>
      <c r="D38862" s="21" t="s">
        <v>34</v>
      </c>
      <c r="E38862" s="21" t="s">
        <v>71</v>
      </c>
      <c r="F38862">
        <v>13060111</v>
      </c>
      <c r="G38862" t="s">
        <v>26647</v>
      </c>
      <c r="H38862" s="21">
        <v>469</v>
      </c>
    </row>
    <row r="38863" spans="1:8" customFormat="1" x14ac:dyDescent="0.25">
      <c r="A38863" t="str">
        <f>"7642784"</f>
        <v>7642784</v>
      </c>
      <c r="B38863" t="s">
        <v>1235</v>
      </c>
      <c r="C38863" t="s">
        <v>459</v>
      </c>
      <c r="D38863" s="21" t="s">
        <v>34</v>
      </c>
      <c r="E38863" s="21" t="s">
        <v>71</v>
      </c>
      <c r="F38863">
        <v>9760034</v>
      </c>
      <c r="G38863" t="s">
        <v>1242</v>
      </c>
      <c r="H38863" s="21">
        <v>469</v>
      </c>
    </row>
    <row r="38864" spans="1:8" customFormat="1" x14ac:dyDescent="0.25">
      <c r="A38864" t="str">
        <f>"814763"</f>
        <v>814763</v>
      </c>
      <c r="B38864" t="s">
        <v>21839</v>
      </c>
      <c r="C38864" t="s">
        <v>2276</v>
      </c>
      <c r="D38864" s="21" t="s">
        <v>34</v>
      </c>
      <c r="E38864" s="21" t="s">
        <v>254</v>
      </c>
      <c r="F38864">
        <v>11810033</v>
      </c>
      <c r="G38864" t="s">
        <v>3852</v>
      </c>
      <c r="H38864" s="21">
        <v>469</v>
      </c>
    </row>
    <row r="38865" spans="1:8" customFormat="1" x14ac:dyDescent="0.25">
      <c r="A38865" t="str">
        <f>"3537985"</f>
        <v>3537985</v>
      </c>
      <c r="B38865" t="s">
        <v>18074</v>
      </c>
      <c r="C38865" t="s">
        <v>269</v>
      </c>
      <c r="D38865" s="21" t="s">
        <v>34</v>
      </c>
      <c r="E38865" s="21" t="s">
        <v>35</v>
      </c>
      <c r="F38865">
        <v>3350054</v>
      </c>
      <c r="G38865" t="s">
        <v>13881</v>
      </c>
      <c r="H38865" s="21">
        <v>469</v>
      </c>
    </row>
    <row r="38866" spans="1:8" customFormat="1" x14ac:dyDescent="0.25">
      <c r="A38866" t="str">
        <f>"9145979"</f>
        <v>9145979</v>
      </c>
      <c r="B38866" t="s">
        <v>3158</v>
      </c>
      <c r="C38866" t="s">
        <v>114</v>
      </c>
      <c r="D38866" s="21" t="s">
        <v>34</v>
      </c>
      <c r="E38866" s="21" t="s">
        <v>35</v>
      </c>
      <c r="F38866">
        <v>8910544</v>
      </c>
      <c r="G38866" t="s">
        <v>3552</v>
      </c>
      <c r="H38866" s="21">
        <v>469</v>
      </c>
    </row>
    <row r="38867" spans="1:8" customFormat="1" x14ac:dyDescent="0.25">
      <c r="A38867" t="str">
        <f>"123450"</f>
        <v>123450</v>
      </c>
      <c r="B38867" t="s">
        <v>24625</v>
      </c>
      <c r="C38867" t="s">
        <v>249</v>
      </c>
      <c r="D38867" s="21" t="s">
        <v>34</v>
      </c>
      <c r="E38867" s="21" t="s">
        <v>71</v>
      </c>
      <c r="F38867">
        <v>11120024</v>
      </c>
      <c r="G38867" t="s">
        <v>12259</v>
      </c>
      <c r="H38867" s="21">
        <v>469</v>
      </c>
    </row>
    <row r="38868" spans="1:8" customFormat="1" x14ac:dyDescent="0.25">
      <c r="A38868" t="str">
        <f>"1425530"</f>
        <v>1425530</v>
      </c>
      <c r="B38868" t="s">
        <v>17040</v>
      </c>
      <c r="C38868" t="s">
        <v>87</v>
      </c>
      <c r="D38868" s="21" t="s">
        <v>34</v>
      </c>
      <c r="E38868" s="21" t="s">
        <v>35</v>
      </c>
      <c r="F38868">
        <v>9140003</v>
      </c>
      <c r="G38868" t="s">
        <v>6152</v>
      </c>
      <c r="H38868" s="21">
        <v>469</v>
      </c>
    </row>
    <row r="38869" spans="1:8" customFormat="1" x14ac:dyDescent="0.25">
      <c r="A38869" t="str">
        <f>"3116670"</f>
        <v>3116670</v>
      </c>
      <c r="B38869" t="s">
        <v>1886</v>
      </c>
      <c r="C38869" t="s">
        <v>1705</v>
      </c>
      <c r="D38869" s="21" t="s">
        <v>34</v>
      </c>
      <c r="E38869" s="21" t="s">
        <v>35</v>
      </c>
      <c r="F38869">
        <v>11310117</v>
      </c>
      <c r="G38869" t="s">
        <v>10279</v>
      </c>
      <c r="H38869" s="21">
        <v>469</v>
      </c>
    </row>
    <row r="38870" spans="1:8" customFormat="1" x14ac:dyDescent="0.25">
      <c r="A38870" t="str">
        <f>"247122"</f>
        <v>247122</v>
      </c>
      <c r="B38870" t="s">
        <v>29673</v>
      </c>
      <c r="C38870" t="s">
        <v>988</v>
      </c>
      <c r="D38870" s="21" t="s">
        <v>34</v>
      </c>
      <c r="E38870" s="21" t="s">
        <v>35</v>
      </c>
      <c r="F38870">
        <v>10240018</v>
      </c>
      <c r="G38870" t="s">
        <v>3007</v>
      </c>
      <c r="H38870" s="21">
        <v>469</v>
      </c>
    </row>
    <row r="38871" spans="1:8" customFormat="1" x14ac:dyDescent="0.25">
      <c r="A38871" t="str">
        <f>"7628582"</f>
        <v>7628582</v>
      </c>
      <c r="B38871" t="s">
        <v>29674</v>
      </c>
      <c r="C38871" t="s">
        <v>328</v>
      </c>
      <c r="D38871" s="21" t="s">
        <v>34</v>
      </c>
      <c r="E38871" s="21" t="s">
        <v>35</v>
      </c>
      <c r="F38871">
        <v>9760039</v>
      </c>
      <c r="G38871" t="s">
        <v>9501</v>
      </c>
      <c r="H38871" s="21">
        <v>469</v>
      </c>
    </row>
    <row r="38872" spans="1:8" customFormat="1" x14ac:dyDescent="0.25">
      <c r="A38872" t="str">
        <f>"051250"</f>
        <v>051250</v>
      </c>
      <c r="B38872" t="s">
        <v>14669</v>
      </c>
      <c r="C38872" t="s">
        <v>209</v>
      </c>
      <c r="D38872" s="21" t="s">
        <v>34</v>
      </c>
      <c r="E38872" s="21" t="s">
        <v>71</v>
      </c>
      <c r="F38872">
        <v>13050025</v>
      </c>
      <c r="G38872" t="s">
        <v>21714</v>
      </c>
      <c r="H38872" s="21">
        <v>469</v>
      </c>
    </row>
    <row r="38873" spans="1:8" customFormat="1" x14ac:dyDescent="0.25">
      <c r="A38873" t="str">
        <f>"2939139"</f>
        <v>2939139</v>
      </c>
      <c r="B38873" t="s">
        <v>22945</v>
      </c>
      <c r="C38873" t="s">
        <v>156</v>
      </c>
      <c r="D38873" s="21" t="s">
        <v>34</v>
      </c>
      <c r="E38873" s="21" t="s">
        <v>254</v>
      </c>
      <c r="F38873">
        <v>3290268</v>
      </c>
      <c r="G38873" t="s">
        <v>9878</v>
      </c>
      <c r="H38873" s="21">
        <v>469</v>
      </c>
    </row>
    <row r="38874" spans="1:8" customFormat="1" x14ac:dyDescent="0.25">
      <c r="A38874" t="str">
        <f>"7619298"</f>
        <v>7619298</v>
      </c>
      <c r="B38874" t="s">
        <v>4865</v>
      </c>
      <c r="C38874" t="s">
        <v>267</v>
      </c>
      <c r="D38874" s="21" t="s">
        <v>34</v>
      </c>
      <c r="E38874" s="21" t="s">
        <v>71</v>
      </c>
      <c r="F38874">
        <v>9760396</v>
      </c>
      <c r="G38874" t="s">
        <v>3875</v>
      </c>
      <c r="H38874" s="21">
        <v>469</v>
      </c>
    </row>
    <row r="38875" spans="1:8" customFormat="1" x14ac:dyDescent="0.25">
      <c r="A38875" t="str">
        <f>"9536603"</f>
        <v>9536603</v>
      </c>
      <c r="B38875" t="s">
        <v>24724</v>
      </c>
      <c r="C38875" t="s">
        <v>87</v>
      </c>
      <c r="D38875" s="21" t="s">
        <v>34</v>
      </c>
      <c r="E38875" s="21" t="s">
        <v>71</v>
      </c>
      <c r="F38875">
        <v>8950479</v>
      </c>
      <c r="G38875" t="s">
        <v>728</v>
      </c>
      <c r="H38875" s="21">
        <v>468.92</v>
      </c>
    </row>
    <row r="38876" spans="1:8" customFormat="1" x14ac:dyDescent="0.25">
      <c r="A38876" t="str">
        <f>"6315744"</f>
        <v>6315744</v>
      </c>
      <c r="B38876" t="s">
        <v>22240</v>
      </c>
      <c r="C38876" t="s">
        <v>40</v>
      </c>
      <c r="D38876" s="21" t="s">
        <v>34</v>
      </c>
      <c r="E38876" s="21" t="s">
        <v>35</v>
      </c>
      <c r="F38876">
        <v>1630185</v>
      </c>
      <c r="G38876" t="s">
        <v>858</v>
      </c>
      <c r="H38876" s="21">
        <v>468.67</v>
      </c>
    </row>
    <row r="38877" spans="1:8" customFormat="1" x14ac:dyDescent="0.25">
      <c r="A38877" t="str">
        <f>"309515"</f>
        <v>309515</v>
      </c>
      <c r="B38877" t="s">
        <v>6609</v>
      </c>
      <c r="C38877" t="s">
        <v>49</v>
      </c>
      <c r="D38877" s="21" t="s">
        <v>34</v>
      </c>
      <c r="E38877" s="21" t="s">
        <v>35</v>
      </c>
      <c r="F38877">
        <v>11660011</v>
      </c>
      <c r="G38877" t="s">
        <v>4641</v>
      </c>
      <c r="H38877" s="21">
        <v>468.62</v>
      </c>
    </row>
    <row r="38878" spans="1:8" customFormat="1" x14ac:dyDescent="0.25">
      <c r="A38878" t="str">
        <f>"5325691"</f>
        <v>5325691</v>
      </c>
      <c r="B38878" t="s">
        <v>24813</v>
      </c>
      <c r="C38878" t="s">
        <v>204</v>
      </c>
      <c r="D38878" s="21" t="s">
        <v>34</v>
      </c>
      <c r="E38878" s="21" t="s">
        <v>71</v>
      </c>
      <c r="F38878">
        <v>12530018</v>
      </c>
      <c r="G38878" t="s">
        <v>8768</v>
      </c>
      <c r="H38878" s="21">
        <v>468.5</v>
      </c>
    </row>
    <row r="38879" spans="1:8" customFormat="1" x14ac:dyDescent="0.25">
      <c r="A38879" t="str">
        <f>"5622466"</f>
        <v>5622466</v>
      </c>
      <c r="B38879" t="s">
        <v>67</v>
      </c>
      <c r="C38879" t="s">
        <v>87</v>
      </c>
      <c r="D38879" s="21" t="s">
        <v>34</v>
      </c>
      <c r="E38879" s="21" t="s">
        <v>35</v>
      </c>
      <c r="F38879">
        <v>3560091</v>
      </c>
      <c r="G38879" t="s">
        <v>27212</v>
      </c>
      <c r="H38879" s="21">
        <v>468.5</v>
      </c>
    </row>
    <row r="38880" spans="1:8" customFormat="1" x14ac:dyDescent="0.25">
      <c r="A38880" t="str">
        <f>"7865698"</f>
        <v>7865698</v>
      </c>
      <c r="B38880" t="s">
        <v>13007</v>
      </c>
      <c r="C38880" t="s">
        <v>288</v>
      </c>
      <c r="D38880" s="21" t="s">
        <v>34</v>
      </c>
      <c r="E38880" s="21" t="s">
        <v>35</v>
      </c>
      <c r="F38880">
        <v>8780078</v>
      </c>
      <c r="G38880" t="s">
        <v>229</v>
      </c>
      <c r="H38880" s="21">
        <v>468.5</v>
      </c>
    </row>
    <row r="38881" spans="1:8" customFormat="1" x14ac:dyDescent="0.25">
      <c r="A38881" t="str">
        <f>"4938102"</f>
        <v>4938102</v>
      </c>
      <c r="B38881" t="s">
        <v>23974</v>
      </c>
      <c r="C38881" t="s">
        <v>5855</v>
      </c>
      <c r="D38881" s="21" t="s">
        <v>34</v>
      </c>
      <c r="E38881" s="21" t="s">
        <v>71</v>
      </c>
      <c r="F38881">
        <v>12490052</v>
      </c>
      <c r="G38881" t="s">
        <v>2732</v>
      </c>
      <c r="H38881" s="21">
        <v>468.5</v>
      </c>
    </row>
    <row r="38882" spans="1:8" customFormat="1" x14ac:dyDescent="0.25">
      <c r="A38882" t="str">
        <f>"5978668"</f>
        <v>5978668</v>
      </c>
      <c r="B38882" t="s">
        <v>24395</v>
      </c>
      <c r="C38882" t="s">
        <v>1782</v>
      </c>
      <c r="D38882" s="21" t="s">
        <v>34</v>
      </c>
      <c r="E38882" s="21" t="s">
        <v>35</v>
      </c>
      <c r="F38882">
        <v>7590395</v>
      </c>
      <c r="G38882" t="s">
        <v>15061</v>
      </c>
      <c r="H38882" s="21">
        <v>468.5</v>
      </c>
    </row>
    <row r="38883" spans="1:8" customFormat="1" x14ac:dyDescent="0.25">
      <c r="A38883" t="str">
        <f>"4929980"</f>
        <v>4929980</v>
      </c>
      <c r="B38883" t="s">
        <v>23439</v>
      </c>
      <c r="C38883" t="s">
        <v>528</v>
      </c>
      <c r="D38883" s="21" t="s">
        <v>34</v>
      </c>
      <c r="E38883" s="21" t="s">
        <v>35</v>
      </c>
      <c r="F38883">
        <v>12490026</v>
      </c>
      <c r="G38883" t="s">
        <v>6274</v>
      </c>
      <c r="H38883" s="21">
        <v>468.5</v>
      </c>
    </row>
    <row r="38884" spans="1:8" customFormat="1" x14ac:dyDescent="0.25">
      <c r="A38884" t="str">
        <f>"3537872"</f>
        <v>3537872</v>
      </c>
      <c r="B38884" t="s">
        <v>19266</v>
      </c>
      <c r="C38884" t="s">
        <v>598</v>
      </c>
      <c r="D38884" s="21" t="s">
        <v>34</v>
      </c>
      <c r="E38884" s="21" t="s">
        <v>1089</v>
      </c>
      <c r="F38884">
        <v>3350221</v>
      </c>
      <c r="G38884" t="s">
        <v>14681</v>
      </c>
      <c r="H38884" s="21">
        <v>468.5</v>
      </c>
    </row>
    <row r="38885" spans="1:8" customFormat="1" x14ac:dyDescent="0.25">
      <c r="A38885" t="str">
        <f>"7628434"</f>
        <v>7628434</v>
      </c>
      <c r="B38885" t="s">
        <v>22854</v>
      </c>
      <c r="C38885" t="s">
        <v>43</v>
      </c>
      <c r="D38885" s="21" t="s">
        <v>34</v>
      </c>
      <c r="E38885" s="21" t="s">
        <v>35</v>
      </c>
      <c r="F38885">
        <v>9760419</v>
      </c>
      <c r="G38885" t="s">
        <v>8549</v>
      </c>
      <c r="H38885" s="21">
        <v>468.5</v>
      </c>
    </row>
    <row r="38886" spans="1:8" customFormat="1" x14ac:dyDescent="0.25">
      <c r="A38886" t="str">
        <f>"9454561"</f>
        <v>9454561</v>
      </c>
      <c r="B38886" t="s">
        <v>16339</v>
      </c>
      <c r="C38886" t="s">
        <v>1146</v>
      </c>
      <c r="D38886" s="21" t="s">
        <v>34</v>
      </c>
      <c r="E38886" s="21" t="s">
        <v>254</v>
      </c>
      <c r="F38886">
        <v>8940894</v>
      </c>
      <c r="G38886" t="s">
        <v>481</v>
      </c>
      <c r="H38886" s="21">
        <v>468.5</v>
      </c>
    </row>
    <row r="38887" spans="1:8" customFormat="1" x14ac:dyDescent="0.25">
      <c r="A38887" t="str">
        <f>"8517459"</f>
        <v>8517459</v>
      </c>
      <c r="B38887" t="s">
        <v>15809</v>
      </c>
      <c r="C38887" t="s">
        <v>1559</v>
      </c>
      <c r="D38887" s="21" t="s">
        <v>34</v>
      </c>
      <c r="E38887" s="21" t="s">
        <v>71</v>
      </c>
      <c r="F38887">
        <v>12850108</v>
      </c>
      <c r="G38887" t="s">
        <v>11093</v>
      </c>
      <c r="H38887" s="21">
        <v>468.5</v>
      </c>
    </row>
    <row r="38888" spans="1:8" customFormat="1" x14ac:dyDescent="0.25">
      <c r="A38888" t="str">
        <f>"4918970"</f>
        <v>4918970</v>
      </c>
      <c r="B38888" t="s">
        <v>24780</v>
      </c>
      <c r="C38888" t="s">
        <v>544</v>
      </c>
      <c r="D38888" s="21" t="s">
        <v>34</v>
      </c>
      <c r="E38888" s="21" t="s">
        <v>254</v>
      </c>
      <c r="F38888">
        <v>12490055</v>
      </c>
      <c r="G38888" t="s">
        <v>12099</v>
      </c>
      <c r="H38888" s="21">
        <v>468.5</v>
      </c>
    </row>
    <row r="38889" spans="1:8" customFormat="1" x14ac:dyDescent="0.25">
      <c r="A38889" t="str">
        <f>"2214493"</f>
        <v>2214493</v>
      </c>
      <c r="B38889" t="s">
        <v>24106</v>
      </c>
      <c r="C38889" t="s">
        <v>547</v>
      </c>
      <c r="D38889" s="21" t="s">
        <v>34</v>
      </c>
      <c r="E38889" s="21" t="s">
        <v>6185</v>
      </c>
      <c r="F38889">
        <v>3560087</v>
      </c>
      <c r="G38889" t="s">
        <v>7767</v>
      </c>
      <c r="H38889" s="21">
        <v>468.5</v>
      </c>
    </row>
    <row r="38890" spans="1:8" customFormat="1" x14ac:dyDescent="0.25">
      <c r="A38890" t="str">
        <f>"5974881"</f>
        <v>5974881</v>
      </c>
      <c r="B38890" t="s">
        <v>22305</v>
      </c>
      <c r="C38890" t="s">
        <v>608</v>
      </c>
      <c r="D38890" s="21" t="s">
        <v>34</v>
      </c>
      <c r="E38890" s="21" t="s">
        <v>71</v>
      </c>
      <c r="F38890">
        <v>7590089</v>
      </c>
      <c r="G38890" t="s">
        <v>1418</v>
      </c>
      <c r="H38890" s="21">
        <v>468.5</v>
      </c>
    </row>
    <row r="38891" spans="1:8" customFormat="1" x14ac:dyDescent="0.25">
      <c r="A38891" t="str">
        <f>"5020640"</f>
        <v>5020640</v>
      </c>
      <c r="B38891" t="s">
        <v>29675</v>
      </c>
      <c r="C38891" t="s">
        <v>33</v>
      </c>
      <c r="D38891" s="21" t="s">
        <v>34</v>
      </c>
      <c r="E38891" s="21" t="s">
        <v>35</v>
      </c>
      <c r="F38891">
        <v>9500087</v>
      </c>
      <c r="G38891" t="s">
        <v>12569</v>
      </c>
      <c r="H38891" s="21">
        <v>468.25</v>
      </c>
    </row>
    <row r="38892" spans="1:8" customFormat="1" x14ac:dyDescent="0.25">
      <c r="A38892" t="str">
        <f>"9146588"</f>
        <v>9146588</v>
      </c>
      <c r="B38892" t="s">
        <v>29676</v>
      </c>
      <c r="C38892" t="s">
        <v>275</v>
      </c>
      <c r="D38892" s="21" t="s">
        <v>34</v>
      </c>
      <c r="E38892" s="21" t="s">
        <v>35</v>
      </c>
      <c r="F38892">
        <v>8910889</v>
      </c>
      <c r="G38892" t="s">
        <v>11971</v>
      </c>
      <c r="H38892" s="21">
        <v>468.12</v>
      </c>
    </row>
    <row r="38893" spans="1:8" customFormat="1" x14ac:dyDescent="0.25">
      <c r="A38893" t="str">
        <f>"6942447"</f>
        <v>6942447</v>
      </c>
      <c r="B38893" t="s">
        <v>11944</v>
      </c>
      <c r="C38893" t="s">
        <v>2479</v>
      </c>
      <c r="D38893" s="21" t="s">
        <v>34</v>
      </c>
      <c r="E38893" s="21" t="s">
        <v>254</v>
      </c>
      <c r="F38893">
        <v>1690147</v>
      </c>
      <c r="G38893" t="s">
        <v>7245</v>
      </c>
      <c r="H38893" s="21">
        <v>468</v>
      </c>
    </row>
    <row r="38894" spans="1:8" customFormat="1" x14ac:dyDescent="0.25">
      <c r="A38894" t="str">
        <f>"2813969"</f>
        <v>2813969</v>
      </c>
      <c r="B38894" t="s">
        <v>2118</v>
      </c>
      <c r="C38894" t="s">
        <v>24802</v>
      </c>
      <c r="D38894" s="21" t="s">
        <v>34</v>
      </c>
      <c r="E38894" s="21" t="s">
        <v>254</v>
      </c>
      <c r="F38894">
        <v>4280612</v>
      </c>
      <c r="G38894" t="s">
        <v>6809</v>
      </c>
      <c r="H38894" s="21">
        <v>468</v>
      </c>
    </row>
    <row r="38895" spans="1:8" customFormat="1" x14ac:dyDescent="0.25">
      <c r="A38895" t="str">
        <f>"3538663"</f>
        <v>3538663</v>
      </c>
      <c r="B38895" t="s">
        <v>29677</v>
      </c>
      <c r="C38895" t="s">
        <v>206</v>
      </c>
      <c r="D38895" s="21" t="s">
        <v>34</v>
      </c>
      <c r="E38895" s="21" t="s">
        <v>35</v>
      </c>
      <c r="F38895">
        <v>3350054</v>
      </c>
      <c r="G38895" t="s">
        <v>13881</v>
      </c>
      <c r="H38895" s="21">
        <v>468</v>
      </c>
    </row>
    <row r="38896" spans="1:8" customFormat="1" x14ac:dyDescent="0.25">
      <c r="A38896" t="str">
        <f>"2720770"</f>
        <v>2720770</v>
      </c>
      <c r="B38896" t="s">
        <v>24050</v>
      </c>
      <c r="C38896" t="s">
        <v>249</v>
      </c>
      <c r="D38896" s="21" t="s">
        <v>34</v>
      </c>
      <c r="E38896" s="21" t="s">
        <v>254</v>
      </c>
      <c r="F38896">
        <v>9270153</v>
      </c>
      <c r="G38896" t="s">
        <v>15651</v>
      </c>
      <c r="H38896" s="21">
        <v>468</v>
      </c>
    </row>
    <row r="38897" spans="1:8" customFormat="1" x14ac:dyDescent="0.25">
      <c r="A38897" t="str">
        <f>"1613114"</f>
        <v>1613114</v>
      </c>
      <c r="B38897" t="s">
        <v>22375</v>
      </c>
      <c r="C38897" t="s">
        <v>2904</v>
      </c>
      <c r="D38897" s="21" t="s">
        <v>34</v>
      </c>
      <c r="E38897" s="21" t="s">
        <v>71</v>
      </c>
      <c r="F38897">
        <v>10160196</v>
      </c>
      <c r="G38897" t="s">
        <v>13348</v>
      </c>
      <c r="H38897" s="21">
        <v>468</v>
      </c>
    </row>
    <row r="38898" spans="1:8" customFormat="1" x14ac:dyDescent="0.25">
      <c r="A38898" t="str">
        <f>"5982673"</f>
        <v>5982673</v>
      </c>
      <c r="B38898" t="s">
        <v>29678</v>
      </c>
      <c r="C38898" t="s">
        <v>33</v>
      </c>
      <c r="D38898" s="21" t="s">
        <v>34</v>
      </c>
      <c r="E38898" s="21" t="s">
        <v>35</v>
      </c>
      <c r="F38898">
        <v>7590332</v>
      </c>
      <c r="G38898" t="s">
        <v>6094</v>
      </c>
      <c r="H38898" s="21">
        <v>468</v>
      </c>
    </row>
    <row r="38899" spans="1:8" customFormat="1" x14ac:dyDescent="0.25">
      <c r="A38899" t="str">
        <f>"461749"</f>
        <v>461749</v>
      </c>
      <c r="B38899" t="s">
        <v>21586</v>
      </c>
      <c r="C38899" t="s">
        <v>109</v>
      </c>
      <c r="D38899" s="21" t="s">
        <v>34</v>
      </c>
      <c r="E38899" s="21" t="s">
        <v>35</v>
      </c>
      <c r="F38899">
        <v>11460027</v>
      </c>
      <c r="G38899" t="s">
        <v>26580</v>
      </c>
      <c r="H38899" s="21">
        <v>468</v>
      </c>
    </row>
    <row r="38900" spans="1:8" customFormat="1" x14ac:dyDescent="0.25">
      <c r="A38900" t="str">
        <f>"7621960"</f>
        <v>7621960</v>
      </c>
      <c r="B38900" t="s">
        <v>392</v>
      </c>
      <c r="C38900" t="s">
        <v>415</v>
      </c>
      <c r="D38900" s="21" t="s">
        <v>34</v>
      </c>
      <c r="E38900" s="21" t="s">
        <v>254</v>
      </c>
      <c r="F38900">
        <v>9760419</v>
      </c>
      <c r="G38900" t="s">
        <v>8549</v>
      </c>
      <c r="H38900" s="21">
        <v>468</v>
      </c>
    </row>
    <row r="38901" spans="1:8" customFormat="1" x14ac:dyDescent="0.25">
      <c r="A38901" t="str">
        <f>"3535983"</f>
        <v>3535983</v>
      </c>
      <c r="B38901" t="s">
        <v>24053</v>
      </c>
      <c r="C38901" t="s">
        <v>244</v>
      </c>
      <c r="D38901" s="21" t="s">
        <v>34</v>
      </c>
      <c r="E38901" s="21" t="s">
        <v>35</v>
      </c>
      <c r="F38901">
        <v>3350210</v>
      </c>
      <c r="G38901" t="s">
        <v>12171</v>
      </c>
      <c r="H38901" s="21">
        <v>468</v>
      </c>
    </row>
    <row r="38902" spans="1:8" customFormat="1" x14ac:dyDescent="0.25">
      <c r="A38902" t="str">
        <f>"3523032"</f>
        <v>3523032</v>
      </c>
      <c r="B38902" t="s">
        <v>22420</v>
      </c>
      <c r="C38902" t="s">
        <v>3010</v>
      </c>
      <c r="D38902" s="21" t="s">
        <v>34</v>
      </c>
      <c r="E38902" s="21" t="s">
        <v>254</v>
      </c>
      <c r="F38902">
        <v>3350102</v>
      </c>
      <c r="G38902" t="s">
        <v>4942</v>
      </c>
      <c r="H38902" s="21">
        <v>468</v>
      </c>
    </row>
    <row r="38903" spans="1:8" customFormat="1" x14ac:dyDescent="0.25">
      <c r="A38903" t="str">
        <f>"461885"</f>
        <v>461885</v>
      </c>
      <c r="B38903" t="s">
        <v>29679</v>
      </c>
      <c r="C38903" t="s">
        <v>2520</v>
      </c>
      <c r="D38903" s="21" t="s">
        <v>34</v>
      </c>
      <c r="E38903" s="21" t="s">
        <v>254</v>
      </c>
      <c r="F38903">
        <v>11460029</v>
      </c>
      <c r="G38903" t="s">
        <v>10606</v>
      </c>
      <c r="H38903" s="21">
        <v>468</v>
      </c>
    </row>
    <row r="38904" spans="1:8" customFormat="1" x14ac:dyDescent="0.25">
      <c r="A38904" t="str">
        <f>"8018011"</f>
        <v>8018011</v>
      </c>
      <c r="B38904" t="s">
        <v>5131</v>
      </c>
      <c r="C38904" t="s">
        <v>712</v>
      </c>
      <c r="D38904" s="21" t="s">
        <v>34</v>
      </c>
      <c r="E38904" s="21" t="s">
        <v>1089</v>
      </c>
      <c r="F38904">
        <v>7800004</v>
      </c>
      <c r="G38904" t="s">
        <v>748</v>
      </c>
      <c r="H38904" s="21">
        <v>468</v>
      </c>
    </row>
    <row r="38905" spans="1:8" customFormat="1" x14ac:dyDescent="0.25">
      <c r="A38905" t="str">
        <f>"2717813"</f>
        <v>2717813</v>
      </c>
      <c r="B38905" t="s">
        <v>11497</v>
      </c>
      <c r="C38905" t="s">
        <v>2132</v>
      </c>
      <c r="D38905" s="21" t="s">
        <v>34</v>
      </c>
      <c r="E38905" s="21" t="s">
        <v>71</v>
      </c>
      <c r="F38905">
        <v>9270077</v>
      </c>
      <c r="G38905" t="s">
        <v>3228</v>
      </c>
      <c r="H38905" s="21">
        <v>468</v>
      </c>
    </row>
    <row r="38906" spans="1:8" customFormat="1" x14ac:dyDescent="0.25">
      <c r="A38906" t="str">
        <f>"2814863"</f>
        <v>2814863</v>
      </c>
      <c r="B38906" t="s">
        <v>24814</v>
      </c>
      <c r="C38906" t="s">
        <v>124</v>
      </c>
      <c r="D38906" s="21" t="s">
        <v>34</v>
      </c>
      <c r="E38906" s="21" t="s">
        <v>71</v>
      </c>
      <c r="F38906">
        <v>4280612</v>
      </c>
      <c r="G38906" t="s">
        <v>6809</v>
      </c>
      <c r="H38906" s="21">
        <v>467.88</v>
      </c>
    </row>
    <row r="38907" spans="1:8" customFormat="1" x14ac:dyDescent="0.25">
      <c r="A38907" t="str">
        <f>"7881695"</f>
        <v>7881695</v>
      </c>
      <c r="B38907" t="s">
        <v>29680</v>
      </c>
      <c r="C38907" t="s">
        <v>768</v>
      </c>
      <c r="D38907" s="21" t="s">
        <v>34</v>
      </c>
      <c r="E38907" s="21" t="s">
        <v>35</v>
      </c>
      <c r="F38907">
        <v>8780674</v>
      </c>
      <c r="G38907" t="s">
        <v>26585</v>
      </c>
      <c r="H38907" s="21">
        <v>467.75</v>
      </c>
    </row>
    <row r="38908" spans="1:8" customFormat="1" x14ac:dyDescent="0.25">
      <c r="A38908" t="str">
        <f>"5956799"</f>
        <v>5956799</v>
      </c>
      <c r="B38908" t="s">
        <v>14669</v>
      </c>
      <c r="C38908" t="s">
        <v>269</v>
      </c>
      <c r="D38908" s="21" t="s">
        <v>34</v>
      </c>
      <c r="E38908" s="21" t="s">
        <v>71</v>
      </c>
      <c r="F38908">
        <v>7590281</v>
      </c>
      <c r="G38908" t="s">
        <v>7165</v>
      </c>
      <c r="H38908" s="21">
        <v>467.62</v>
      </c>
    </row>
    <row r="38909" spans="1:8" customFormat="1" x14ac:dyDescent="0.25">
      <c r="A38909" t="str">
        <f>"5326728"</f>
        <v>5326728</v>
      </c>
      <c r="B38909" t="s">
        <v>24739</v>
      </c>
      <c r="C38909" t="s">
        <v>14345</v>
      </c>
      <c r="D38909" s="21" t="s">
        <v>34</v>
      </c>
      <c r="E38909" s="21" t="s">
        <v>35</v>
      </c>
      <c r="F38909">
        <v>12530062</v>
      </c>
      <c r="G38909" t="s">
        <v>1116</v>
      </c>
      <c r="H38909" s="21">
        <v>467.5</v>
      </c>
    </row>
    <row r="38910" spans="1:8" customFormat="1" x14ac:dyDescent="0.25">
      <c r="A38910" t="str">
        <f>"8528914"</f>
        <v>8528914</v>
      </c>
      <c r="B38910" t="s">
        <v>5473</v>
      </c>
      <c r="C38910" t="s">
        <v>1782</v>
      </c>
      <c r="D38910" s="21" t="s">
        <v>34</v>
      </c>
      <c r="E38910" s="21" t="s">
        <v>35</v>
      </c>
      <c r="F38910">
        <v>12850125</v>
      </c>
      <c r="G38910" t="s">
        <v>9898</v>
      </c>
      <c r="H38910" s="21">
        <v>467.5</v>
      </c>
    </row>
    <row r="38911" spans="1:8" customFormat="1" x14ac:dyDescent="0.25">
      <c r="A38911" t="str">
        <f>"5941808"</f>
        <v>5941808</v>
      </c>
      <c r="B38911" t="s">
        <v>27525</v>
      </c>
      <c r="C38911" t="s">
        <v>1199</v>
      </c>
      <c r="D38911" s="21" t="s">
        <v>34</v>
      </c>
      <c r="E38911" s="21" t="s">
        <v>35</v>
      </c>
      <c r="F38911">
        <v>7590072</v>
      </c>
      <c r="G38911" t="s">
        <v>4059</v>
      </c>
      <c r="H38911" s="21">
        <v>467.5</v>
      </c>
    </row>
    <row r="38912" spans="1:8" customFormat="1" x14ac:dyDescent="0.25">
      <c r="A38912" t="str">
        <f>"7222296"</f>
        <v>7222296</v>
      </c>
      <c r="B38912" t="s">
        <v>24292</v>
      </c>
      <c r="C38912" t="s">
        <v>119</v>
      </c>
      <c r="D38912" s="21" t="s">
        <v>34</v>
      </c>
      <c r="E38912" s="21" t="s">
        <v>35</v>
      </c>
      <c r="F38912">
        <v>12720048</v>
      </c>
      <c r="G38912" t="s">
        <v>3264</v>
      </c>
      <c r="H38912" s="21">
        <v>467.5</v>
      </c>
    </row>
    <row r="38913" spans="1:8" customFormat="1" x14ac:dyDescent="0.25">
      <c r="A38913" t="str">
        <f>"6232949"</f>
        <v>6232949</v>
      </c>
      <c r="B38913" t="s">
        <v>24771</v>
      </c>
      <c r="C38913" t="s">
        <v>253</v>
      </c>
      <c r="D38913" s="21" t="s">
        <v>34</v>
      </c>
      <c r="E38913" s="21" t="s">
        <v>71</v>
      </c>
      <c r="F38913">
        <v>7620072</v>
      </c>
      <c r="G38913" t="s">
        <v>2185</v>
      </c>
      <c r="H38913" s="21">
        <v>467.5</v>
      </c>
    </row>
    <row r="38914" spans="1:8" customFormat="1" x14ac:dyDescent="0.25">
      <c r="A38914" t="str">
        <f>"7642975"</f>
        <v>7642975</v>
      </c>
      <c r="B38914" t="s">
        <v>1531</v>
      </c>
      <c r="C38914" t="s">
        <v>33</v>
      </c>
      <c r="D38914" s="21" t="s">
        <v>34</v>
      </c>
      <c r="E38914" s="21" t="s">
        <v>71</v>
      </c>
      <c r="F38914">
        <v>9760007</v>
      </c>
      <c r="G38914" t="s">
        <v>7255</v>
      </c>
      <c r="H38914" s="21">
        <v>467.5</v>
      </c>
    </row>
    <row r="38915" spans="1:8" customFormat="1" x14ac:dyDescent="0.25">
      <c r="A38915" t="str">
        <f>"9534765"</f>
        <v>9534765</v>
      </c>
      <c r="B38915" t="s">
        <v>3200</v>
      </c>
      <c r="C38915" t="s">
        <v>608</v>
      </c>
      <c r="D38915" s="21" t="s">
        <v>34</v>
      </c>
      <c r="E38915" s="21" t="s">
        <v>35</v>
      </c>
      <c r="F38915">
        <v>8951273</v>
      </c>
      <c r="G38915" t="s">
        <v>2382</v>
      </c>
      <c r="H38915" s="21">
        <v>467.5</v>
      </c>
    </row>
    <row r="38916" spans="1:8" customFormat="1" x14ac:dyDescent="0.25">
      <c r="A38916" t="str">
        <f>"5621605"</f>
        <v>5621605</v>
      </c>
      <c r="B38916" t="s">
        <v>23533</v>
      </c>
      <c r="C38916" t="s">
        <v>139</v>
      </c>
      <c r="D38916" s="21" t="s">
        <v>34</v>
      </c>
      <c r="E38916" s="21" t="s">
        <v>35</v>
      </c>
      <c r="F38916">
        <v>3560038</v>
      </c>
      <c r="G38916" t="s">
        <v>3598</v>
      </c>
      <c r="H38916" s="21">
        <v>467.5</v>
      </c>
    </row>
    <row r="38917" spans="1:8" customFormat="1" x14ac:dyDescent="0.25">
      <c r="A38917" t="str">
        <f>"9135385"</f>
        <v>9135385</v>
      </c>
      <c r="B38917" t="s">
        <v>23989</v>
      </c>
      <c r="C38917" t="s">
        <v>23990</v>
      </c>
      <c r="D38917" s="21" t="s">
        <v>34</v>
      </c>
      <c r="E38917" s="21" t="s">
        <v>71</v>
      </c>
      <c r="F38917">
        <v>8910434</v>
      </c>
      <c r="G38917" t="s">
        <v>681</v>
      </c>
      <c r="H38917" s="21">
        <v>467.5</v>
      </c>
    </row>
    <row r="38918" spans="1:8" customFormat="1" x14ac:dyDescent="0.25">
      <c r="A38918" t="str">
        <f>"4219530"</f>
        <v>4219530</v>
      </c>
      <c r="B38918" t="s">
        <v>23971</v>
      </c>
      <c r="C38918" t="s">
        <v>23972</v>
      </c>
      <c r="D38918" s="21" t="s">
        <v>34</v>
      </c>
      <c r="E38918" s="21" t="s">
        <v>71</v>
      </c>
      <c r="F38918">
        <v>1420013</v>
      </c>
      <c r="G38918" t="s">
        <v>2013</v>
      </c>
      <c r="H38918" s="21">
        <v>467.5</v>
      </c>
    </row>
    <row r="38919" spans="1:8" customFormat="1" x14ac:dyDescent="0.25">
      <c r="A38919" t="str">
        <f>"707462"</f>
        <v>707462</v>
      </c>
      <c r="B38919" t="s">
        <v>29681</v>
      </c>
      <c r="C38919" t="s">
        <v>288</v>
      </c>
      <c r="D38919" s="21" t="s">
        <v>34</v>
      </c>
      <c r="E38919" s="21" t="s">
        <v>71</v>
      </c>
      <c r="F38919">
        <v>2700094</v>
      </c>
      <c r="G38919" t="s">
        <v>18448</v>
      </c>
      <c r="H38919" s="21">
        <v>467.5</v>
      </c>
    </row>
    <row r="38920" spans="1:8" customFormat="1" x14ac:dyDescent="0.25">
      <c r="A38920" t="str">
        <f>"697847"</f>
        <v>697847</v>
      </c>
      <c r="B38920" t="s">
        <v>6693</v>
      </c>
      <c r="C38920" t="s">
        <v>43</v>
      </c>
      <c r="D38920" s="21" t="s">
        <v>34</v>
      </c>
      <c r="E38920" s="21" t="s">
        <v>35</v>
      </c>
      <c r="F38920">
        <v>1690207</v>
      </c>
      <c r="G38920" t="s">
        <v>4232</v>
      </c>
      <c r="H38920" s="21">
        <v>467.38</v>
      </c>
    </row>
    <row r="38921" spans="1:8" customFormat="1" x14ac:dyDescent="0.25">
      <c r="A38921" t="str">
        <f>"365437"</f>
        <v>365437</v>
      </c>
      <c r="B38921" t="s">
        <v>24239</v>
      </c>
      <c r="C38921" t="s">
        <v>249</v>
      </c>
      <c r="D38921" s="21" t="s">
        <v>34</v>
      </c>
      <c r="E38921" s="21" t="s">
        <v>71</v>
      </c>
      <c r="F38921">
        <v>4360002</v>
      </c>
      <c r="G38921" t="s">
        <v>222</v>
      </c>
      <c r="H38921" s="21">
        <v>467.38</v>
      </c>
    </row>
    <row r="38922" spans="1:8" customFormat="1" x14ac:dyDescent="0.25">
      <c r="A38922" t="str">
        <f>"5979418"</f>
        <v>5979418</v>
      </c>
      <c r="B38922" t="s">
        <v>13401</v>
      </c>
      <c r="C38922" t="s">
        <v>412</v>
      </c>
      <c r="D38922" s="21" t="s">
        <v>34</v>
      </c>
      <c r="E38922" s="21" t="s">
        <v>71</v>
      </c>
      <c r="F38922">
        <v>7590151</v>
      </c>
      <c r="G38922" t="s">
        <v>12236</v>
      </c>
      <c r="H38922" s="21">
        <v>467.17</v>
      </c>
    </row>
    <row r="38923" spans="1:8" customFormat="1" x14ac:dyDescent="0.25">
      <c r="A38923" t="str">
        <f>"9420242"</f>
        <v>9420242</v>
      </c>
      <c r="B38923" t="s">
        <v>23862</v>
      </c>
      <c r="C38923" t="s">
        <v>547</v>
      </c>
      <c r="D38923" s="21" t="s">
        <v>34</v>
      </c>
      <c r="E38923" s="21" t="s">
        <v>1089</v>
      </c>
      <c r="F38923">
        <v>12530023</v>
      </c>
      <c r="G38923" t="s">
        <v>5879</v>
      </c>
      <c r="H38923" s="21">
        <v>467</v>
      </c>
    </row>
    <row r="38924" spans="1:8" customFormat="1" x14ac:dyDescent="0.25">
      <c r="A38924" t="str">
        <f>"088193"</f>
        <v>088193</v>
      </c>
      <c r="B38924" t="s">
        <v>8671</v>
      </c>
      <c r="C38924" t="s">
        <v>1819</v>
      </c>
      <c r="D38924" s="21" t="s">
        <v>34</v>
      </c>
      <c r="E38924" s="21" t="s">
        <v>35</v>
      </c>
      <c r="F38924">
        <v>6080014</v>
      </c>
      <c r="G38924" t="s">
        <v>1272</v>
      </c>
      <c r="H38924" s="21">
        <v>467</v>
      </c>
    </row>
    <row r="38925" spans="1:8" customFormat="1" x14ac:dyDescent="0.25">
      <c r="A38925" t="str">
        <f>"6934317"</f>
        <v>6934317</v>
      </c>
      <c r="B38925" t="s">
        <v>24165</v>
      </c>
      <c r="C38925" t="s">
        <v>2305</v>
      </c>
      <c r="D38925" s="21" t="s">
        <v>34</v>
      </c>
      <c r="E38925" s="21" t="s">
        <v>254</v>
      </c>
      <c r="F38925">
        <v>1690052</v>
      </c>
      <c r="G38925" t="s">
        <v>273</v>
      </c>
      <c r="H38925" s="21">
        <v>467</v>
      </c>
    </row>
    <row r="38926" spans="1:8" customFormat="1" x14ac:dyDescent="0.25">
      <c r="A38926" t="str">
        <f>"6023117"</f>
        <v>6023117</v>
      </c>
      <c r="B38926" t="s">
        <v>24702</v>
      </c>
      <c r="C38926" t="s">
        <v>87</v>
      </c>
      <c r="D38926" s="21" t="s">
        <v>34</v>
      </c>
      <c r="E38926" s="21" t="s">
        <v>35</v>
      </c>
      <c r="F38926">
        <v>7600117</v>
      </c>
      <c r="G38926" t="s">
        <v>9823</v>
      </c>
      <c r="H38926" s="21">
        <v>467</v>
      </c>
    </row>
    <row r="38927" spans="1:8" customFormat="1" x14ac:dyDescent="0.25">
      <c r="A38927" t="str">
        <f>"5430761"</f>
        <v>5430761</v>
      </c>
      <c r="B38927" t="s">
        <v>6312</v>
      </c>
      <c r="C38927" t="s">
        <v>1782</v>
      </c>
      <c r="D38927" s="21" t="s">
        <v>34</v>
      </c>
      <c r="E38927" s="21" t="s">
        <v>35</v>
      </c>
      <c r="F38927">
        <v>6540008</v>
      </c>
      <c r="G38927" t="s">
        <v>3891</v>
      </c>
      <c r="H38927" s="21">
        <v>467</v>
      </c>
    </row>
    <row r="38928" spans="1:8" customFormat="1" x14ac:dyDescent="0.25">
      <c r="A38928" t="str">
        <f>"3718626"</f>
        <v>3718626</v>
      </c>
      <c r="B38928" t="s">
        <v>5651</v>
      </c>
      <c r="C38928" t="s">
        <v>124</v>
      </c>
      <c r="D38928" s="21" t="s">
        <v>34</v>
      </c>
      <c r="E38928" s="21" t="s">
        <v>254</v>
      </c>
      <c r="F38928">
        <v>4370269</v>
      </c>
      <c r="G38928" t="s">
        <v>4277</v>
      </c>
      <c r="H38928" s="21">
        <v>467</v>
      </c>
    </row>
    <row r="38929" spans="1:8" customFormat="1" x14ac:dyDescent="0.25">
      <c r="A38929" t="str">
        <f>"6024057"</f>
        <v>6024057</v>
      </c>
      <c r="B38929" t="s">
        <v>8290</v>
      </c>
      <c r="C38929" t="s">
        <v>121</v>
      </c>
      <c r="D38929" s="21" t="s">
        <v>34</v>
      </c>
      <c r="E38929" s="21" t="s">
        <v>35</v>
      </c>
      <c r="F38929">
        <v>7600088</v>
      </c>
      <c r="G38929" t="s">
        <v>334</v>
      </c>
      <c r="H38929" s="21">
        <v>467</v>
      </c>
    </row>
    <row r="38930" spans="1:8" customFormat="1" x14ac:dyDescent="0.25">
      <c r="A38930" t="str">
        <f>"2219489"</f>
        <v>2219489</v>
      </c>
      <c r="B38930" t="s">
        <v>23533</v>
      </c>
      <c r="C38930" t="s">
        <v>198</v>
      </c>
      <c r="D38930" s="21" t="s">
        <v>34</v>
      </c>
      <c r="E38930" s="21" t="s">
        <v>71</v>
      </c>
      <c r="F38930">
        <v>3220123</v>
      </c>
      <c r="G38930" t="s">
        <v>26953</v>
      </c>
      <c r="H38930" s="21">
        <v>467</v>
      </c>
    </row>
    <row r="38931" spans="1:8" customFormat="1" x14ac:dyDescent="0.25">
      <c r="A38931" t="str">
        <f>"4434521"</f>
        <v>4434521</v>
      </c>
      <c r="B38931" t="s">
        <v>8896</v>
      </c>
      <c r="C38931" t="s">
        <v>206</v>
      </c>
      <c r="D38931" s="21" t="s">
        <v>34</v>
      </c>
      <c r="E38931" s="21" t="s">
        <v>35</v>
      </c>
      <c r="F38931">
        <v>12850039</v>
      </c>
      <c r="G38931" t="s">
        <v>7123</v>
      </c>
      <c r="H38931" s="21">
        <v>467</v>
      </c>
    </row>
    <row r="38932" spans="1:8" customFormat="1" x14ac:dyDescent="0.25">
      <c r="A38932" t="str">
        <f>"7629502"</f>
        <v>7629502</v>
      </c>
      <c r="B38932" t="s">
        <v>12720</v>
      </c>
      <c r="C38932" t="s">
        <v>453</v>
      </c>
      <c r="D38932" s="21" t="s">
        <v>34</v>
      </c>
      <c r="E38932" s="21" t="s">
        <v>1089</v>
      </c>
      <c r="F38932">
        <v>9270175</v>
      </c>
      <c r="G38932" t="s">
        <v>1909</v>
      </c>
      <c r="H38932" s="21">
        <v>467</v>
      </c>
    </row>
    <row r="38933" spans="1:8" customFormat="1" x14ac:dyDescent="0.25">
      <c r="A38933" t="str">
        <f>"3715988"</f>
        <v>3715988</v>
      </c>
      <c r="B38933" t="s">
        <v>3664</v>
      </c>
      <c r="C38933" t="s">
        <v>156</v>
      </c>
      <c r="D38933" s="21" t="s">
        <v>34</v>
      </c>
      <c r="E38933" s="21" t="s">
        <v>1089</v>
      </c>
      <c r="F38933">
        <v>4370004</v>
      </c>
      <c r="G38933" t="s">
        <v>6049</v>
      </c>
      <c r="H38933" s="21">
        <v>467</v>
      </c>
    </row>
    <row r="38934" spans="1:8" customFormat="1" x14ac:dyDescent="0.25">
      <c r="A38934" t="str">
        <f>"8524216"</f>
        <v>8524216</v>
      </c>
      <c r="B38934" t="s">
        <v>10708</v>
      </c>
      <c r="C38934" t="s">
        <v>236</v>
      </c>
      <c r="D38934" s="21" t="s">
        <v>34</v>
      </c>
      <c r="E38934" s="21" t="s">
        <v>254</v>
      </c>
      <c r="F38934">
        <v>12850104</v>
      </c>
      <c r="G38934" t="s">
        <v>6556</v>
      </c>
      <c r="H38934" s="21">
        <v>467</v>
      </c>
    </row>
    <row r="38935" spans="1:8" customFormat="1" x14ac:dyDescent="0.25">
      <c r="A38935" t="str">
        <f>"824134"</f>
        <v>824134</v>
      </c>
      <c r="B38935" t="s">
        <v>29682</v>
      </c>
      <c r="C38935" t="s">
        <v>3784</v>
      </c>
      <c r="D38935" s="21" t="s">
        <v>34</v>
      </c>
      <c r="E38935" s="21" t="s">
        <v>254</v>
      </c>
      <c r="F38935">
        <v>11820026</v>
      </c>
      <c r="G38935" t="s">
        <v>9372</v>
      </c>
      <c r="H38935" s="21">
        <v>466.75</v>
      </c>
    </row>
    <row r="38936" spans="1:8" customFormat="1" x14ac:dyDescent="0.25">
      <c r="A38936" t="str">
        <f>"7211007"</f>
        <v>7211007</v>
      </c>
      <c r="B38936" t="s">
        <v>4535</v>
      </c>
      <c r="C38936" t="s">
        <v>239</v>
      </c>
      <c r="D38936" s="21" t="s">
        <v>34</v>
      </c>
      <c r="E38936" s="21" t="s">
        <v>254</v>
      </c>
      <c r="F38936">
        <v>12720009</v>
      </c>
      <c r="G38936" t="s">
        <v>6928</v>
      </c>
      <c r="H38936" s="21">
        <v>466.75</v>
      </c>
    </row>
    <row r="38937" spans="1:8" customFormat="1" x14ac:dyDescent="0.25">
      <c r="A38937" t="str">
        <f>"2214470"</f>
        <v>2214470</v>
      </c>
      <c r="B38937" t="s">
        <v>22626</v>
      </c>
      <c r="C38937" t="s">
        <v>926</v>
      </c>
      <c r="D38937" s="21" t="s">
        <v>34</v>
      </c>
      <c r="E38937" s="21" t="s">
        <v>254</v>
      </c>
      <c r="F38937">
        <v>3220011</v>
      </c>
      <c r="G38937" t="s">
        <v>27394</v>
      </c>
      <c r="H38937" s="21">
        <v>466.67</v>
      </c>
    </row>
    <row r="38938" spans="1:8" customFormat="1" x14ac:dyDescent="0.25">
      <c r="A38938" t="str">
        <f>"3729939"</f>
        <v>3729939</v>
      </c>
      <c r="B38938" t="s">
        <v>26049</v>
      </c>
      <c r="C38938" t="s">
        <v>209</v>
      </c>
      <c r="D38938" s="21" t="s">
        <v>34</v>
      </c>
      <c r="E38938" s="21" t="s">
        <v>254</v>
      </c>
      <c r="F38938">
        <v>4370724</v>
      </c>
      <c r="G38938" t="s">
        <v>11672</v>
      </c>
      <c r="H38938" s="21">
        <v>466.5</v>
      </c>
    </row>
    <row r="38939" spans="1:8" customFormat="1" x14ac:dyDescent="0.25">
      <c r="A38939" t="str">
        <f>"8016489"</f>
        <v>8016489</v>
      </c>
      <c r="B38939" t="s">
        <v>19807</v>
      </c>
      <c r="C38939" t="s">
        <v>1146</v>
      </c>
      <c r="D38939" s="21" t="s">
        <v>34</v>
      </c>
      <c r="E38939" s="21" t="s">
        <v>1089</v>
      </c>
      <c r="F38939">
        <v>7800125</v>
      </c>
      <c r="G38939" t="s">
        <v>11339</v>
      </c>
      <c r="H38939" s="21">
        <v>466.5</v>
      </c>
    </row>
    <row r="38940" spans="1:8" customFormat="1" x14ac:dyDescent="0.25">
      <c r="A38940" t="str">
        <f>"5018789"</f>
        <v>5018789</v>
      </c>
      <c r="B38940" t="s">
        <v>12318</v>
      </c>
      <c r="C38940" t="s">
        <v>1271</v>
      </c>
      <c r="D38940" s="21" t="s">
        <v>34</v>
      </c>
      <c r="E38940" s="21" t="s">
        <v>1089</v>
      </c>
      <c r="F38940">
        <v>9500053</v>
      </c>
      <c r="G38940" t="s">
        <v>11847</v>
      </c>
      <c r="H38940" s="21">
        <v>466.5</v>
      </c>
    </row>
    <row r="38941" spans="1:8" customFormat="1" x14ac:dyDescent="0.25">
      <c r="A38941" t="str">
        <f>"242376"</f>
        <v>242376</v>
      </c>
      <c r="B38941" t="s">
        <v>13455</v>
      </c>
      <c r="C38941" t="s">
        <v>2546</v>
      </c>
      <c r="D38941" s="21" t="s">
        <v>34</v>
      </c>
      <c r="E38941" s="21" t="s">
        <v>254</v>
      </c>
      <c r="F38941">
        <v>10240026</v>
      </c>
      <c r="G38941" t="s">
        <v>11667</v>
      </c>
      <c r="H38941" s="21">
        <v>466.5</v>
      </c>
    </row>
    <row r="38942" spans="1:8" customFormat="1" x14ac:dyDescent="0.25">
      <c r="A38942" t="str">
        <f>"5621450"</f>
        <v>5621450</v>
      </c>
      <c r="B38942" t="s">
        <v>3729</v>
      </c>
      <c r="C38942" t="s">
        <v>249</v>
      </c>
      <c r="D38942" s="21" t="s">
        <v>34</v>
      </c>
      <c r="E38942" s="21" t="s">
        <v>254</v>
      </c>
      <c r="F38942">
        <v>3560023</v>
      </c>
      <c r="G38942" t="s">
        <v>8213</v>
      </c>
      <c r="H38942" s="21">
        <v>466.5</v>
      </c>
    </row>
    <row r="38943" spans="1:8" customFormat="1" x14ac:dyDescent="0.25">
      <c r="A38943" t="str">
        <f>"085194"</f>
        <v>085194</v>
      </c>
      <c r="B38943" t="s">
        <v>22139</v>
      </c>
      <c r="C38943" t="s">
        <v>6412</v>
      </c>
      <c r="D38943" s="21" t="s">
        <v>34</v>
      </c>
      <c r="E38943" s="21" t="s">
        <v>254</v>
      </c>
      <c r="F38943">
        <v>6080074</v>
      </c>
      <c r="G38943" t="s">
        <v>13069</v>
      </c>
      <c r="H38943" s="21">
        <v>466.5</v>
      </c>
    </row>
    <row r="38944" spans="1:8" customFormat="1" x14ac:dyDescent="0.25">
      <c r="A38944" t="str">
        <f>"3719633"</f>
        <v>3719633</v>
      </c>
      <c r="B38944" t="s">
        <v>22842</v>
      </c>
      <c r="C38944" t="s">
        <v>263</v>
      </c>
      <c r="D38944" s="21" t="s">
        <v>34</v>
      </c>
      <c r="E38944" s="21" t="s">
        <v>254</v>
      </c>
      <c r="F38944">
        <v>4370024</v>
      </c>
      <c r="G38944" t="s">
        <v>1718</v>
      </c>
      <c r="H38944" s="21">
        <v>466.5</v>
      </c>
    </row>
    <row r="38945" spans="1:8" customFormat="1" x14ac:dyDescent="0.25">
      <c r="A38945" t="str">
        <f>"461146"</f>
        <v>461146</v>
      </c>
      <c r="B38945" t="s">
        <v>4723</v>
      </c>
      <c r="C38945" t="s">
        <v>1665</v>
      </c>
      <c r="D38945" s="21" t="s">
        <v>34</v>
      </c>
      <c r="E38945" s="21" t="s">
        <v>254</v>
      </c>
      <c r="F38945">
        <v>11460027</v>
      </c>
      <c r="G38945" t="s">
        <v>26580</v>
      </c>
      <c r="H38945" s="21">
        <v>466.5</v>
      </c>
    </row>
    <row r="38946" spans="1:8" customFormat="1" x14ac:dyDescent="0.25">
      <c r="A38946" t="str">
        <f>"8019359"</f>
        <v>8019359</v>
      </c>
      <c r="B38946" t="s">
        <v>15138</v>
      </c>
      <c r="C38946" t="s">
        <v>103</v>
      </c>
      <c r="D38946" s="21" t="s">
        <v>34</v>
      </c>
      <c r="E38946" s="21" t="s">
        <v>35</v>
      </c>
      <c r="F38946">
        <v>7800125</v>
      </c>
      <c r="G38946" t="s">
        <v>11339</v>
      </c>
      <c r="H38946" s="21">
        <v>466.5</v>
      </c>
    </row>
    <row r="38947" spans="1:8" customFormat="1" x14ac:dyDescent="0.25">
      <c r="A38947" t="str">
        <f>"727155"</f>
        <v>727155</v>
      </c>
      <c r="B38947" t="s">
        <v>9304</v>
      </c>
      <c r="C38947" t="s">
        <v>139</v>
      </c>
      <c r="D38947" s="21" t="s">
        <v>34</v>
      </c>
      <c r="E38947" s="21" t="s">
        <v>71</v>
      </c>
      <c r="F38947">
        <v>12720006</v>
      </c>
      <c r="G38947" t="s">
        <v>4022</v>
      </c>
      <c r="H38947" s="21">
        <v>466.5</v>
      </c>
    </row>
    <row r="38948" spans="1:8" customFormat="1" x14ac:dyDescent="0.25">
      <c r="A38948" t="str">
        <f>"5019297"</f>
        <v>5019297</v>
      </c>
      <c r="B38948" t="s">
        <v>8676</v>
      </c>
      <c r="C38948" t="s">
        <v>564</v>
      </c>
      <c r="D38948" s="21" t="s">
        <v>34</v>
      </c>
      <c r="E38948" s="21" t="s">
        <v>254</v>
      </c>
      <c r="F38948">
        <v>9500073</v>
      </c>
      <c r="G38948" t="s">
        <v>5393</v>
      </c>
      <c r="H38948" s="21">
        <v>466.5</v>
      </c>
    </row>
    <row r="38949" spans="1:8" customFormat="1" x14ac:dyDescent="0.25">
      <c r="A38949" t="str">
        <f>"9320287"</f>
        <v>9320287</v>
      </c>
      <c r="B38949" t="s">
        <v>3591</v>
      </c>
      <c r="C38949" t="s">
        <v>336</v>
      </c>
      <c r="D38949" s="21" t="s">
        <v>34</v>
      </c>
      <c r="E38949" s="21" t="s">
        <v>71</v>
      </c>
      <c r="F38949">
        <v>8931320</v>
      </c>
      <c r="G38949" t="s">
        <v>1537</v>
      </c>
      <c r="H38949" s="21">
        <v>466.5</v>
      </c>
    </row>
    <row r="38950" spans="1:8" customFormat="1" x14ac:dyDescent="0.25">
      <c r="A38950" t="str">
        <f>"602520"</f>
        <v>602520</v>
      </c>
      <c r="B38950" t="s">
        <v>24098</v>
      </c>
      <c r="C38950" t="s">
        <v>1271</v>
      </c>
      <c r="D38950" s="21" t="s">
        <v>34</v>
      </c>
      <c r="E38950" s="21" t="s">
        <v>254</v>
      </c>
      <c r="F38950">
        <v>7600161</v>
      </c>
      <c r="G38950" t="s">
        <v>6023</v>
      </c>
      <c r="H38950" s="21">
        <v>466.5</v>
      </c>
    </row>
    <row r="38951" spans="1:8" customFormat="1" x14ac:dyDescent="0.25">
      <c r="A38951" t="str">
        <f>"7643000"</f>
        <v>7643000</v>
      </c>
      <c r="B38951" t="s">
        <v>29683</v>
      </c>
      <c r="C38951" t="s">
        <v>3648</v>
      </c>
      <c r="D38951" s="21" t="s">
        <v>34</v>
      </c>
      <c r="E38951" s="21" t="s">
        <v>71</v>
      </c>
      <c r="F38951">
        <v>9760351</v>
      </c>
      <c r="G38951" t="s">
        <v>5898</v>
      </c>
      <c r="H38951" s="21">
        <v>466.5</v>
      </c>
    </row>
    <row r="38952" spans="1:8" customFormat="1" x14ac:dyDescent="0.25">
      <c r="A38952" t="str">
        <f>"7641459"</f>
        <v>7641459</v>
      </c>
      <c r="B38952" t="s">
        <v>23458</v>
      </c>
      <c r="C38952" t="s">
        <v>169</v>
      </c>
      <c r="D38952" s="21" t="s">
        <v>34</v>
      </c>
      <c r="E38952" s="21" t="s">
        <v>35</v>
      </c>
      <c r="F38952">
        <v>9760428</v>
      </c>
      <c r="G38952" t="s">
        <v>5081</v>
      </c>
      <c r="H38952" s="21">
        <v>466.5</v>
      </c>
    </row>
    <row r="38953" spans="1:8" customFormat="1" x14ac:dyDescent="0.25">
      <c r="A38953" t="str">
        <f>"9241932"</f>
        <v>9241932</v>
      </c>
      <c r="B38953" t="s">
        <v>21511</v>
      </c>
      <c r="C38953" t="s">
        <v>156</v>
      </c>
      <c r="D38953" s="21" t="s">
        <v>34</v>
      </c>
      <c r="E38953" s="21" t="s">
        <v>71</v>
      </c>
      <c r="F38953">
        <v>8920031</v>
      </c>
      <c r="G38953" t="s">
        <v>552</v>
      </c>
      <c r="H38953" s="21">
        <v>466.5</v>
      </c>
    </row>
    <row r="38954" spans="1:8" customFormat="1" x14ac:dyDescent="0.25">
      <c r="A38954" t="str">
        <f>"063097"</f>
        <v>063097</v>
      </c>
      <c r="B38954" t="s">
        <v>2243</v>
      </c>
      <c r="C38954" t="s">
        <v>2520</v>
      </c>
      <c r="D38954" s="21" t="s">
        <v>34</v>
      </c>
      <c r="E38954" s="21" t="s">
        <v>254</v>
      </c>
      <c r="F38954">
        <v>13060101</v>
      </c>
      <c r="G38954" t="s">
        <v>5947</v>
      </c>
      <c r="H38954" s="21">
        <v>466.5</v>
      </c>
    </row>
    <row r="38955" spans="1:8" customFormat="1" x14ac:dyDescent="0.25">
      <c r="A38955" t="str">
        <f>"303565"</f>
        <v>303565</v>
      </c>
      <c r="B38955" t="s">
        <v>24040</v>
      </c>
      <c r="C38955" t="s">
        <v>209</v>
      </c>
      <c r="D38955" s="21" t="s">
        <v>34</v>
      </c>
      <c r="E38955" s="21" t="s">
        <v>71</v>
      </c>
      <c r="F38955">
        <v>11300017</v>
      </c>
      <c r="G38955" t="s">
        <v>13115</v>
      </c>
      <c r="H38955" s="21">
        <v>466.25</v>
      </c>
    </row>
    <row r="38956" spans="1:8" customFormat="1" x14ac:dyDescent="0.25">
      <c r="A38956" t="str">
        <f>"9D2801"</f>
        <v>9D2801</v>
      </c>
      <c r="B38956" t="s">
        <v>3849</v>
      </c>
      <c r="C38956" t="s">
        <v>55</v>
      </c>
      <c r="D38956" s="21" t="s">
        <v>34</v>
      </c>
      <c r="E38956" s="21" t="s">
        <v>35</v>
      </c>
      <c r="F38956" t="s">
        <v>3911</v>
      </c>
      <c r="G38956" t="s">
        <v>3912</v>
      </c>
      <c r="H38956" s="21">
        <v>466.25</v>
      </c>
    </row>
    <row r="38957" spans="1:8" customFormat="1" x14ac:dyDescent="0.25">
      <c r="A38957" t="str">
        <f>"22620"</f>
        <v>22620</v>
      </c>
      <c r="B38957" t="s">
        <v>29684</v>
      </c>
      <c r="C38957" t="s">
        <v>1146</v>
      </c>
      <c r="D38957" s="21" t="s">
        <v>34</v>
      </c>
      <c r="E38957" s="21" t="s">
        <v>254</v>
      </c>
      <c r="F38957">
        <v>3220037</v>
      </c>
      <c r="G38957" t="s">
        <v>13306</v>
      </c>
      <c r="H38957" s="21">
        <v>466.17</v>
      </c>
    </row>
    <row r="38958" spans="1:8" customFormat="1" x14ac:dyDescent="0.25">
      <c r="A38958" t="str">
        <f>"029911"</f>
        <v>029911</v>
      </c>
      <c r="B38958" t="s">
        <v>17102</v>
      </c>
      <c r="C38958" t="s">
        <v>1812</v>
      </c>
      <c r="D38958" s="21" t="s">
        <v>34</v>
      </c>
      <c r="E38958" s="21" t="s">
        <v>71</v>
      </c>
      <c r="F38958">
        <v>7020064</v>
      </c>
      <c r="G38958" t="s">
        <v>8396</v>
      </c>
      <c r="H38958" s="21">
        <v>466</v>
      </c>
    </row>
    <row r="38959" spans="1:8" customFormat="1" x14ac:dyDescent="0.25">
      <c r="A38959" t="str">
        <f>"7623776"</f>
        <v>7623776</v>
      </c>
      <c r="B38959" t="s">
        <v>6650</v>
      </c>
      <c r="C38959" t="s">
        <v>269</v>
      </c>
      <c r="D38959" s="21" t="s">
        <v>34</v>
      </c>
      <c r="E38959" s="21" t="s">
        <v>71</v>
      </c>
      <c r="F38959">
        <v>9760256</v>
      </c>
      <c r="G38959" t="s">
        <v>4655</v>
      </c>
      <c r="H38959" s="21">
        <v>466</v>
      </c>
    </row>
    <row r="38960" spans="1:8" customFormat="1" x14ac:dyDescent="0.25">
      <c r="A38960" t="str">
        <f>"7641583"</f>
        <v>7641583</v>
      </c>
      <c r="B38960" t="s">
        <v>5919</v>
      </c>
      <c r="C38960" t="s">
        <v>174</v>
      </c>
      <c r="D38960" s="21" t="s">
        <v>34</v>
      </c>
      <c r="E38960" s="21" t="s">
        <v>35</v>
      </c>
      <c r="F38960">
        <v>9760218</v>
      </c>
      <c r="G38960" t="s">
        <v>26836</v>
      </c>
      <c r="H38960" s="21">
        <v>466</v>
      </c>
    </row>
    <row r="38961" spans="1:8" customFormat="1" x14ac:dyDescent="0.25">
      <c r="A38961" t="str">
        <f>"723019"</f>
        <v>723019</v>
      </c>
      <c r="B38961" t="s">
        <v>7345</v>
      </c>
      <c r="C38961" t="s">
        <v>209</v>
      </c>
      <c r="D38961" s="21" t="s">
        <v>34</v>
      </c>
      <c r="E38961" s="21" t="s">
        <v>254</v>
      </c>
      <c r="F38961">
        <v>12720141</v>
      </c>
      <c r="G38961" t="s">
        <v>12632</v>
      </c>
      <c r="H38961" s="21">
        <v>466</v>
      </c>
    </row>
    <row r="38962" spans="1:8" customFormat="1" x14ac:dyDescent="0.25">
      <c r="A38962" t="str">
        <f>"3534449"</f>
        <v>3534449</v>
      </c>
      <c r="B38962" t="s">
        <v>18731</v>
      </c>
      <c r="C38962" t="s">
        <v>415</v>
      </c>
      <c r="D38962" s="21" t="s">
        <v>34</v>
      </c>
      <c r="E38962" s="21" t="s">
        <v>35</v>
      </c>
      <c r="F38962">
        <v>3350055</v>
      </c>
      <c r="G38962" t="s">
        <v>6720</v>
      </c>
      <c r="H38962" s="21">
        <v>466</v>
      </c>
    </row>
    <row r="38963" spans="1:8" customFormat="1" x14ac:dyDescent="0.25">
      <c r="A38963" t="str">
        <f>"5982809"</f>
        <v>5982809</v>
      </c>
      <c r="B38963" t="s">
        <v>29685</v>
      </c>
      <c r="C38963" t="s">
        <v>43</v>
      </c>
      <c r="D38963" s="21" t="s">
        <v>34</v>
      </c>
      <c r="E38963" s="21" t="s">
        <v>35</v>
      </c>
      <c r="F38963">
        <v>7590080</v>
      </c>
      <c r="G38963" t="s">
        <v>1715</v>
      </c>
      <c r="H38963" s="21">
        <v>466</v>
      </c>
    </row>
    <row r="38964" spans="1:8" customFormat="1" x14ac:dyDescent="0.25">
      <c r="A38964" t="str">
        <f>"5323699"</f>
        <v>5323699</v>
      </c>
      <c r="B38964" t="s">
        <v>24605</v>
      </c>
      <c r="C38964" t="s">
        <v>712</v>
      </c>
      <c r="D38964" s="21" t="s">
        <v>34</v>
      </c>
      <c r="E38964" s="21" t="s">
        <v>35</v>
      </c>
      <c r="F38964">
        <v>12530008</v>
      </c>
      <c r="G38964" t="s">
        <v>7920</v>
      </c>
      <c r="H38964" s="21">
        <v>466</v>
      </c>
    </row>
    <row r="38965" spans="1:8" customFormat="1" x14ac:dyDescent="0.25">
      <c r="A38965" t="str">
        <f>"6112255"</f>
        <v>6112255</v>
      </c>
      <c r="B38965" t="s">
        <v>24064</v>
      </c>
      <c r="C38965" t="s">
        <v>263</v>
      </c>
      <c r="D38965" s="21" t="s">
        <v>34</v>
      </c>
      <c r="E38965" s="21" t="s">
        <v>71</v>
      </c>
      <c r="F38965">
        <v>9610043</v>
      </c>
      <c r="G38965" t="s">
        <v>9220</v>
      </c>
      <c r="H38965" s="21">
        <v>466</v>
      </c>
    </row>
    <row r="38966" spans="1:8" customFormat="1" x14ac:dyDescent="0.25">
      <c r="A38966" t="str">
        <f>"5974892"</f>
        <v>5974892</v>
      </c>
      <c r="B38966" t="s">
        <v>12368</v>
      </c>
      <c r="C38966" t="s">
        <v>2520</v>
      </c>
      <c r="D38966" s="21" t="s">
        <v>34</v>
      </c>
      <c r="E38966" s="21" t="s">
        <v>254</v>
      </c>
      <c r="F38966">
        <v>7590410</v>
      </c>
      <c r="G38966" t="s">
        <v>2048</v>
      </c>
      <c r="H38966" s="21">
        <v>466</v>
      </c>
    </row>
    <row r="38967" spans="1:8" customFormat="1" x14ac:dyDescent="0.25">
      <c r="A38967" t="str">
        <f>"6716730"</f>
        <v>6716730</v>
      </c>
      <c r="B38967" t="s">
        <v>29686</v>
      </c>
      <c r="C38967" t="s">
        <v>3522</v>
      </c>
      <c r="D38967" s="21" t="s">
        <v>34</v>
      </c>
      <c r="E38967" s="21" t="s">
        <v>35</v>
      </c>
      <c r="F38967">
        <v>6670141</v>
      </c>
      <c r="G38967" t="s">
        <v>5030</v>
      </c>
      <c r="H38967" s="21">
        <v>466</v>
      </c>
    </row>
    <row r="38968" spans="1:8" customFormat="1" x14ac:dyDescent="0.25">
      <c r="A38968" t="str">
        <f>"7728407"</f>
        <v>7728407</v>
      </c>
      <c r="B38968" t="s">
        <v>24355</v>
      </c>
      <c r="C38968" t="s">
        <v>267</v>
      </c>
      <c r="D38968" s="21" t="s">
        <v>34</v>
      </c>
      <c r="E38968" s="21" t="s">
        <v>254</v>
      </c>
      <c r="F38968">
        <v>8771315</v>
      </c>
      <c r="G38968" t="s">
        <v>7070</v>
      </c>
      <c r="H38968" s="21">
        <v>466</v>
      </c>
    </row>
    <row r="38969" spans="1:8" customFormat="1" x14ac:dyDescent="0.25">
      <c r="A38969" t="str">
        <f>"4112819"</f>
        <v>4112819</v>
      </c>
      <c r="B38969" t="s">
        <v>24629</v>
      </c>
      <c r="C38969" t="s">
        <v>249</v>
      </c>
      <c r="D38969" s="21" t="s">
        <v>34</v>
      </c>
      <c r="E38969" s="21" t="s">
        <v>35</v>
      </c>
      <c r="F38969">
        <v>4410083</v>
      </c>
      <c r="G38969" t="s">
        <v>2333</v>
      </c>
      <c r="H38969" s="21">
        <v>465.54</v>
      </c>
    </row>
    <row r="38970" spans="1:8" customFormat="1" x14ac:dyDescent="0.25">
      <c r="A38970" t="str">
        <f>"188403"</f>
        <v>188403</v>
      </c>
      <c r="B38970" t="s">
        <v>13931</v>
      </c>
      <c r="C38970" t="s">
        <v>130</v>
      </c>
      <c r="D38970" s="21" t="s">
        <v>34</v>
      </c>
      <c r="E38970" s="21" t="s">
        <v>254</v>
      </c>
      <c r="F38970">
        <v>4180644</v>
      </c>
      <c r="G38970" t="s">
        <v>17253</v>
      </c>
      <c r="H38970" s="21">
        <v>465.5</v>
      </c>
    </row>
    <row r="38971" spans="1:8" customFormat="1" x14ac:dyDescent="0.25">
      <c r="A38971" t="str">
        <f>"7524160"</f>
        <v>7524160</v>
      </c>
      <c r="B38971" t="s">
        <v>29687</v>
      </c>
      <c r="C38971" t="s">
        <v>198</v>
      </c>
      <c r="D38971" s="21" t="s">
        <v>34</v>
      </c>
      <c r="E38971" s="21" t="s">
        <v>254</v>
      </c>
      <c r="F38971">
        <v>8750074</v>
      </c>
      <c r="G38971" t="s">
        <v>698</v>
      </c>
      <c r="H38971" s="21">
        <v>465.5</v>
      </c>
    </row>
    <row r="38972" spans="1:8" customFormat="1" x14ac:dyDescent="0.25">
      <c r="A38972" t="str">
        <f>"5942989"</f>
        <v>5942989</v>
      </c>
      <c r="B38972" t="s">
        <v>4095</v>
      </c>
      <c r="C38972" t="s">
        <v>29688</v>
      </c>
      <c r="D38972" s="21" t="s">
        <v>34</v>
      </c>
      <c r="E38972" s="21" t="s">
        <v>35</v>
      </c>
      <c r="F38972">
        <v>7590005</v>
      </c>
      <c r="G38972" t="s">
        <v>540</v>
      </c>
      <c r="H38972" s="21">
        <v>465.5</v>
      </c>
    </row>
    <row r="38973" spans="1:8" customFormat="1" x14ac:dyDescent="0.25">
      <c r="A38973" t="str">
        <f>"4451416"</f>
        <v>4451416</v>
      </c>
      <c r="B38973" t="s">
        <v>956</v>
      </c>
      <c r="C38973" t="s">
        <v>206</v>
      </c>
      <c r="D38973" s="21" t="s">
        <v>34</v>
      </c>
      <c r="E38973" s="21" t="s">
        <v>35</v>
      </c>
      <c r="F38973">
        <v>12440227</v>
      </c>
      <c r="G38973" t="s">
        <v>19150</v>
      </c>
      <c r="H38973" s="21">
        <v>465.5</v>
      </c>
    </row>
    <row r="38974" spans="1:8" customFormat="1" x14ac:dyDescent="0.25">
      <c r="A38974" t="str">
        <f>"318401"</f>
        <v>318401</v>
      </c>
      <c r="B38974" t="s">
        <v>1547</v>
      </c>
      <c r="C38974" t="s">
        <v>2520</v>
      </c>
      <c r="D38974" s="21" t="s">
        <v>34</v>
      </c>
      <c r="E38974" s="21" t="s">
        <v>254</v>
      </c>
      <c r="F38974">
        <v>11310099</v>
      </c>
      <c r="G38974" t="s">
        <v>8881</v>
      </c>
      <c r="H38974" s="21">
        <v>465.5</v>
      </c>
    </row>
    <row r="38975" spans="1:8" customFormat="1" x14ac:dyDescent="0.25">
      <c r="A38975" t="str">
        <f>"153426"</f>
        <v>153426</v>
      </c>
      <c r="B38975" t="s">
        <v>29689</v>
      </c>
      <c r="C38975" t="s">
        <v>5861</v>
      </c>
      <c r="D38975" s="21" t="s">
        <v>34</v>
      </c>
      <c r="E38975" s="21" t="s">
        <v>1089</v>
      </c>
      <c r="F38975">
        <v>5990014</v>
      </c>
      <c r="G38975" t="s">
        <v>11225</v>
      </c>
      <c r="H38975" s="21">
        <v>465.12</v>
      </c>
    </row>
    <row r="38976" spans="1:8" customFormat="1" x14ac:dyDescent="0.25">
      <c r="A38976" t="str">
        <f>"9145181"</f>
        <v>9145181</v>
      </c>
      <c r="B38976" t="s">
        <v>23115</v>
      </c>
      <c r="C38976" t="s">
        <v>124</v>
      </c>
      <c r="D38976" s="21" t="s">
        <v>34</v>
      </c>
      <c r="E38976" s="21" t="s">
        <v>254</v>
      </c>
      <c r="F38976">
        <v>8911461</v>
      </c>
      <c r="G38976" t="s">
        <v>6705</v>
      </c>
      <c r="H38976" s="21">
        <v>465.12</v>
      </c>
    </row>
    <row r="38977" spans="1:8" customFormat="1" x14ac:dyDescent="0.25">
      <c r="A38977" t="str">
        <f>"9248979"</f>
        <v>9248979</v>
      </c>
      <c r="B38977" t="s">
        <v>14365</v>
      </c>
      <c r="C38977" t="s">
        <v>269</v>
      </c>
      <c r="D38977" s="21" t="s">
        <v>34</v>
      </c>
      <c r="E38977" s="21" t="s">
        <v>71</v>
      </c>
      <c r="F38977">
        <v>8921099</v>
      </c>
      <c r="G38977" t="s">
        <v>11455</v>
      </c>
      <c r="H38977" s="21">
        <v>465</v>
      </c>
    </row>
    <row r="38978" spans="1:8" customFormat="1" x14ac:dyDescent="0.25">
      <c r="A38978" t="str">
        <f>"7634007"</f>
        <v>7634007</v>
      </c>
      <c r="B38978" t="s">
        <v>22479</v>
      </c>
      <c r="C38978" t="s">
        <v>576</v>
      </c>
      <c r="D38978" s="21" t="s">
        <v>34</v>
      </c>
      <c r="E38978" s="21" t="s">
        <v>35</v>
      </c>
      <c r="F38978">
        <v>9760218</v>
      </c>
      <c r="G38978" t="s">
        <v>26836</v>
      </c>
      <c r="H38978" s="21">
        <v>465</v>
      </c>
    </row>
    <row r="38979" spans="1:8" customFormat="1" x14ac:dyDescent="0.25">
      <c r="A38979" t="str">
        <f>"6014135"</f>
        <v>6014135</v>
      </c>
      <c r="B38979" t="s">
        <v>2903</v>
      </c>
      <c r="C38979" t="s">
        <v>415</v>
      </c>
      <c r="D38979" s="21" t="s">
        <v>34</v>
      </c>
      <c r="E38979" s="21" t="s">
        <v>71</v>
      </c>
      <c r="F38979">
        <v>7600008</v>
      </c>
      <c r="G38979" t="s">
        <v>4646</v>
      </c>
      <c r="H38979" s="21">
        <v>465</v>
      </c>
    </row>
    <row r="38980" spans="1:8" customFormat="1" x14ac:dyDescent="0.25">
      <c r="A38980" t="str">
        <f>"4931018"</f>
        <v>4931018</v>
      </c>
      <c r="B38980" t="s">
        <v>9813</v>
      </c>
      <c r="C38980" t="s">
        <v>169</v>
      </c>
      <c r="D38980" s="21" t="s">
        <v>34</v>
      </c>
      <c r="E38980" s="21" t="s">
        <v>71</v>
      </c>
      <c r="F38980">
        <v>12490067</v>
      </c>
      <c r="G38980" t="s">
        <v>7654</v>
      </c>
      <c r="H38980" s="21">
        <v>465</v>
      </c>
    </row>
    <row r="38981" spans="1:8" customFormat="1" x14ac:dyDescent="0.25">
      <c r="A38981" t="str">
        <f>"3537084"</f>
        <v>3537084</v>
      </c>
      <c r="B38981" t="s">
        <v>24232</v>
      </c>
      <c r="C38981" t="s">
        <v>24233</v>
      </c>
      <c r="D38981" s="21" t="s">
        <v>34</v>
      </c>
      <c r="E38981" s="21" t="s">
        <v>254</v>
      </c>
      <c r="F38981">
        <v>3350221</v>
      </c>
      <c r="G38981" t="s">
        <v>14681</v>
      </c>
      <c r="H38981" s="21">
        <v>465</v>
      </c>
    </row>
    <row r="38982" spans="1:8" customFormat="1" x14ac:dyDescent="0.25">
      <c r="A38982" t="str">
        <f>"992278"</f>
        <v>992278</v>
      </c>
      <c r="B38982" t="s">
        <v>4137</v>
      </c>
      <c r="C38982" t="s">
        <v>55</v>
      </c>
      <c r="D38982" s="21" t="s">
        <v>34</v>
      </c>
      <c r="E38982" s="21" t="s">
        <v>71</v>
      </c>
      <c r="F38982">
        <v>5990021</v>
      </c>
      <c r="G38982" t="s">
        <v>14243</v>
      </c>
      <c r="H38982" s="21">
        <v>465</v>
      </c>
    </row>
    <row r="38983" spans="1:8" customFormat="1" x14ac:dyDescent="0.25">
      <c r="A38983" t="str">
        <f>"94704"</f>
        <v>94704</v>
      </c>
      <c r="B38983" t="s">
        <v>23805</v>
      </c>
      <c r="C38983" t="s">
        <v>2984</v>
      </c>
      <c r="D38983" s="21" t="s">
        <v>34</v>
      </c>
      <c r="E38983" s="21" t="s">
        <v>1089</v>
      </c>
      <c r="F38983">
        <v>8771087</v>
      </c>
      <c r="G38983" t="s">
        <v>9715</v>
      </c>
      <c r="H38983" s="21">
        <v>465</v>
      </c>
    </row>
    <row r="38984" spans="1:8" customFormat="1" x14ac:dyDescent="0.25">
      <c r="A38984" t="str">
        <f>"6948779"</f>
        <v>6948779</v>
      </c>
      <c r="B38984" t="s">
        <v>679</v>
      </c>
      <c r="C38984" t="s">
        <v>462</v>
      </c>
      <c r="D38984" s="21" t="s">
        <v>34</v>
      </c>
      <c r="E38984" s="21" t="s">
        <v>254</v>
      </c>
      <c r="F38984">
        <v>1690147</v>
      </c>
      <c r="G38984" t="s">
        <v>7245</v>
      </c>
      <c r="H38984" s="21">
        <v>465</v>
      </c>
    </row>
    <row r="38985" spans="1:8" customFormat="1" x14ac:dyDescent="0.25">
      <c r="A38985" t="str">
        <f>"7869799"</f>
        <v>7869799</v>
      </c>
      <c r="B38985" t="s">
        <v>29690</v>
      </c>
      <c r="C38985" t="s">
        <v>2276</v>
      </c>
      <c r="D38985" s="21" t="s">
        <v>34</v>
      </c>
      <c r="E38985" s="21" t="s">
        <v>71</v>
      </c>
      <c r="F38985">
        <v>8780571</v>
      </c>
      <c r="G38985" t="s">
        <v>2336</v>
      </c>
      <c r="H38985" s="21">
        <v>464.88</v>
      </c>
    </row>
    <row r="38986" spans="1:8" customFormat="1" x14ac:dyDescent="0.25">
      <c r="A38986" t="str">
        <f>"9D2888"</f>
        <v>9D2888</v>
      </c>
      <c r="B38986" t="s">
        <v>5814</v>
      </c>
      <c r="C38986" t="s">
        <v>486</v>
      </c>
      <c r="D38986" s="21" t="s">
        <v>34</v>
      </c>
      <c r="E38986" s="21" t="s">
        <v>71</v>
      </c>
      <c r="F38986" t="s">
        <v>3911</v>
      </c>
      <c r="G38986" t="s">
        <v>3912</v>
      </c>
      <c r="H38986" s="21">
        <v>464.88</v>
      </c>
    </row>
    <row r="38987" spans="1:8" customFormat="1" x14ac:dyDescent="0.25">
      <c r="A38987" t="str">
        <f>"6230016"</f>
        <v>6230016</v>
      </c>
      <c r="B38987" t="s">
        <v>15445</v>
      </c>
      <c r="C38987" t="s">
        <v>2520</v>
      </c>
      <c r="D38987" s="21" t="s">
        <v>34</v>
      </c>
      <c r="E38987" s="21" t="s">
        <v>254</v>
      </c>
      <c r="F38987">
        <v>7620096</v>
      </c>
      <c r="G38987" t="s">
        <v>5829</v>
      </c>
      <c r="H38987" s="21">
        <v>464.62</v>
      </c>
    </row>
    <row r="38988" spans="1:8" customFormat="1" x14ac:dyDescent="0.25">
      <c r="A38988" t="str">
        <f>"7880288"</f>
        <v>7880288</v>
      </c>
      <c r="B38988" t="s">
        <v>15612</v>
      </c>
      <c r="C38988" t="s">
        <v>486</v>
      </c>
      <c r="D38988" s="21" t="s">
        <v>34</v>
      </c>
      <c r="E38988" s="21" t="s">
        <v>35</v>
      </c>
      <c r="F38988">
        <v>8781176</v>
      </c>
      <c r="G38988" t="s">
        <v>3659</v>
      </c>
      <c r="H38988" s="21">
        <v>464.5</v>
      </c>
    </row>
    <row r="38989" spans="1:8" customFormat="1" x14ac:dyDescent="0.25">
      <c r="A38989" t="str">
        <f>"5621183"</f>
        <v>5621183</v>
      </c>
      <c r="B38989" t="s">
        <v>2954</v>
      </c>
      <c r="C38989" t="s">
        <v>239</v>
      </c>
      <c r="D38989" s="21" t="s">
        <v>34</v>
      </c>
      <c r="E38989" s="21" t="s">
        <v>1089</v>
      </c>
      <c r="F38989">
        <v>3560093</v>
      </c>
      <c r="G38989" t="s">
        <v>11246</v>
      </c>
      <c r="H38989" s="21">
        <v>464.5</v>
      </c>
    </row>
    <row r="38990" spans="1:8" customFormat="1" x14ac:dyDescent="0.25">
      <c r="A38990" t="str">
        <f>"8527245"</f>
        <v>8527245</v>
      </c>
      <c r="B38990" t="s">
        <v>12818</v>
      </c>
      <c r="C38990" t="s">
        <v>513</v>
      </c>
      <c r="D38990" s="21" t="s">
        <v>34</v>
      </c>
      <c r="E38990" s="21" t="s">
        <v>35</v>
      </c>
      <c r="F38990">
        <v>12850125</v>
      </c>
      <c r="G38990" t="s">
        <v>9898</v>
      </c>
      <c r="H38990" s="21">
        <v>464.5</v>
      </c>
    </row>
    <row r="38991" spans="1:8" customFormat="1" x14ac:dyDescent="0.25">
      <c r="A38991" t="str">
        <f>"7876221"</f>
        <v>7876221</v>
      </c>
      <c r="B38991" t="s">
        <v>146</v>
      </c>
      <c r="C38991" t="s">
        <v>486</v>
      </c>
      <c r="D38991" s="21" t="s">
        <v>34</v>
      </c>
      <c r="E38991" s="21" t="s">
        <v>35</v>
      </c>
      <c r="F38991">
        <v>8780935</v>
      </c>
      <c r="G38991" t="s">
        <v>1944</v>
      </c>
      <c r="H38991" s="21">
        <v>464.5</v>
      </c>
    </row>
    <row r="38992" spans="1:8" customFormat="1" x14ac:dyDescent="0.25">
      <c r="A38992" t="str">
        <f>"7621718"</f>
        <v>7621718</v>
      </c>
      <c r="B38992" t="s">
        <v>3428</v>
      </c>
      <c r="C38992" t="s">
        <v>3497</v>
      </c>
      <c r="D38992" s="21" t="s">
        <v>34</v>
      </c>
      <c r="E38992" s="21" t="s">
        <v>35</v>
      </c>
      <c r="F38992">
        <v>9760168</v>
      </c>
      <c r="G38992" t="s">
        <v>179</v>
      </c>
      <c r="H38992" s="21">
        <v>464.5</v>
      </c>
    </row>
    <row r="38993" spans="1:8" customFormat="1" x14ac:dyDescent="0.25">
      <c r="A38993" t="str">
        <f>"0210217"</f>
        <v>0210217</v>
      </c>
      <c r="B38993" t="s">
        <v>22618</v>
      </c>
      <c r="C38993" t="s">
        <v>462</v>
      </c>
      <c r="D38993" s="21" t="s">
        <v>34</v>
      </c>
      <c r="E38993" s="21" t="s">
        <v>71</v>
      </c>
      <c r="F38993">
        <v>7020003</v>
      </c>
      <c r="G38993" t="s">
        <v>7268</v>
      </c>
      <c r="H38993" s="21">
        <v>464.5</v>
      </c>
    </row>
    <row r="38994" spans="1:8" customFormat="1" x14ac:dyDescent="0.25">
      <c r="A38994" t="str">
        <f>"7869797"</f>
        <v>7869797</v>
      </c>
      <c r="B38994" t="s">
        <v>24720</v>
      </c>
      <c r="C38994" t="s">
        <v>14125</v>
      </c>
      <c r="D38994" s="21" t="s">
        <v>34</v>
      </c>
      <c r="E38994" s="21" t="s">
        <v>71</v>
      </c>
      <c r="F38994">
        <v>8780571</v>
      </c>
      <c r="G38994" t="s">
        <v>2336</v>
      </c>
      <c r="H38994" s="21">
        <v>464.5</v>
      </c>
    </row>
    <row r="38995" spans="1:8" customFormat="1" x14ac:dyDescent="0.25">
      <c r="A38995" t="str">
        <f>"3725766"</f>
        <v>3725766</v>
      </c>
      <c r="B38995" t="s">
        <v>2362</v>
      </c>
      <c r="C38995" t="s">
        <v>124</v>
      </c>
      <c r="D38995" s="21" t="s">
        <v>34</v>
      </c>
      <c r="E38995" s="21" t="s">
        <v>71</v>
      </c>
      <c r="F38995">
        <v>4370729</v>
      </c>
      <c r="G38995" t="s">
        <v>15423</v>
      </c>
      <c r="H38995" s="21">
        <v>464.5</v>
      </c>
    </row>
    <row r="38996" spans="1:8" customFormat="1" x14ac:dyDescent="0.25">
      <c r="A38996" t="str">
        <f>"4928822"</f>
        <v>4928822</v>
      </c>
      <c r="B38996" t="s">
        <v>24294</v>
      </c>
      <c r="C38996" t="s">
        <v>288</v>
      </c>
      <c r="D38996" s="21" t="s">
        <v>34</v>
      </c>
      <c r="E38996" s="21" t="s">
        <v>35</v>
      </c>
      <c r="F38996">
        <v>12490092</v>
      </c>
      <c r="G38996" t="s">
        <v>1854</v>
      </c>
      <c r="H38996" s="21">
        <v>464.5</v>
      </c>
    </row>
    <row r="38997" spans="1:8" customFormat="1" x14ac:dyDescent="0.25">
      <c r="A38997" t="str">
        <f>"5620145"</f>
        <v>5620145</v>
      </c>
      <c r="B38997" t="s">
        <v>22976</v>
      </c>
      <c r="C38997" t="s">
        <v>4721</v>
      </c>
      <c r="D38997" s="21" t="s">
        <v>34</v>
      </c>
      <c r="E38997" s="21" t="s">
        <v>1089</v>
      </c>
      <c r="F38997">
        <v>3560053</v>
      </c>
      <c r="G38997" t="s">
        <v>298</v>
      </c>
      <c r="H38997" s="21">
        <v>464.5</v>
      </c>
    </row>
    <row r="38998" spans="1:8" customFormat="1" x14ac:dyDescent="0.25">
      <c r="A38998" t="str">
        <f>"5979631"</f>
        <v>5979631</v>
      </c>
      <c r="B38998" t="s">
        <v>22195</v>
      </c>
      <c r="C38998" t="s">
        <v>55</v>
      </c>
      <c r="D38998" s="21" t="s">
        <v>34</v>
      </c>
      <c r="E38998" s="21" t="s">
        <v>35</v>
      </c>
      <c r="F38998">
        <v>7590137</v>
      </c>
      <c r="G38998" t="s">
        <v>4246</v>
      </c>
      <c r="H38998" s="21">
        <v>464.5</v>
      </c>
    </row>
    <row r="38999" spans="1:8" customFormat="1" x14ac:dyDescent="0.25">
      <c r="A38999" t="str">
        <f>"7723225"</f>
        <v>7723225</v>
      </c>
      <c r="B38999" t="s">
        <v>2189</v>
      </c>
      <c r="C38999" t="s">
        <v>2529</v>
      </c>
      <c r="D38999" s="21" t="s">
        <v>34</v>
      </c>
      <c r="E38999" s="21" t="s">
        <v>254</v>
      </c>
      <c r="F38999">
        <v>8771085</v>
      </c>
      <c r="G38999" t="s">
        <v>11894</v>
      </c>
      <c r="H38999" s="21">
        <v>464.5</v>
      </c>
    </row>
    <row r="39000" spans="1:8" customFormat="1" x14ac:dyDescent="0.25">
      <c r="A39000" t="str">
        <f>"824160"</f>
        <v>824160</v>
      </c>
      <c r="B39000" t="s">
        <v>23772</v>
      </c>
      <c r="C39000" t="s">
        <v>3843</v>
      </c>
      <c r="D39000" s="21" t="s">
        <v>34</v>
      </c>
      <c r="E39000" s="21" t="s">
        <v>254</v>
      </c>
      <c r="F39000">
        <v>11820027</v>
      </c>
      <c r="G39000" t="s">
        <v>15324</v>
      </c>
      <c r="H39000" s="21">
        <v>464.5</v>
      </c>
    </row>
    <row r="39001" spans="1:8" customFormat="1" x14ac:dyDescent="0.25">
      <c r="A39001" t="str">
        <f>"5325618"</f>
        <v>5325618</v>
      </c>
      <c r="B39001" t="s">
        <v>1263</v>
      </c>
      <c r="C39001" t="s">
        <v>187</v>
      </c>
      <c r="D39001" s="21" t="s">
        <v>34</v>
      </c>
      <c r="E39001" s="21" t="s">
        <v>35</v>
      </c>
      <c r="F39001">
        <v>12530114</v>
      </c>
      <c r="G39001" t="s">
        <v>1342</v>
      </c>
      <c r="H39001" s="21">
        <v>464.5</v>
      </c>
    </row>
    <row r="39002" spans="1:8" customFormat="1" x14ac:dyDescent="0.25">
      <c r="A39002" t="str">
        <f>"0115558"</f>
        <v>0115558</v>
      </c>
      <c r="B39002" t="s">
        <v>8467</v>
      </c>
      <c r="C39002" t="s">
        <v>156</v>
      </c>
      <c r="D39002" s="21" t="s">
        <v>34</v>
      </c>
      <c r="E39002" s="21" t="s">
        <v>71</v>
      </c>
      <c r="F39002">
        <v>1010068</v>
      </c>
      <c r="G39002" t="s">
        <v>4755</v>
      </c>
      <c r="H39002" s="21">
        <v>464.5</v>
      </c>
    </row>
    <row r="39003" spans="1:8" customFormat="1" x14ac:dyDescent="0.25">
      <c r="A39003" t="str">
        <f>"9520252"</f>
        <v>9520252</v>
      </c>
      <c r="B39003" t="s">
        <v>24210</v>
      </c>
      <c r="C39003" t="s">
        <v>263</v>
      </c>
      <c r="D39003" s="21" t="s">
        <v>34</v>
      </c>
      <c r="E39003" s="21" t="s">
        <v>254</v>
      </c>
      <c r="F39003">
        <v>3220011</v>
      </c>
      <c r="G39003" t="s">
        <v>27394</v>
      </c>
      <c r="H39003" s="21">
        <v>464.5</v>
      </c>
    </row>
    <row r="39004" spans="1:8" customFormat="1" x14ac:dyDescent="0.25">
      <c r="A39004" t="str">
        <f>"9249956"</f>
        <v>9249956</v>
      </c>
      <c r="B39004" t="s">
        <v>22007</v>
      </c>
      <c r="C39004" t="s">
        <v>209</v>
      </c>
      <c r="D39004" s="21" t="s">
        <v>34</v>
      </c>
      <c r="E39004" s="21" t="s">
        <v>35</v>
      </c>
      <c r="F39004">
        <v>8920126</v>
      </c>
      <c r="G39004" t="s">
        <v>1168</v>
      </c>
      <c r="H39004" s="21">
        <v>464.5</v>
      </c>
    </row>
    <row r="39005" spans="1:8" customFormat="1" x14ac:dyDescent="0.25">
      <c r="A39005" t="str">
        <f>"9145079"</f>
        <v>9145079</v>
      </c>
      <c r="B39005" t="s">
        <v>23834</v>
      </c>
      <c r="C39005" t="s">
        <v>564</v>
      </c>
      <c r="D39005" s="21" t="s">
        <v>34</v>
      </c>
      <c r="E39005" s="21" t="s">
        <v>254</v>
      </c>
      <c r="F39005">
        <v>8910916</v>
      </c>
      <c r="G39005" t="s">
        <v>2251</v>
      </c>
      <c r="H39005" s="21">
        <v>464.38</v>
      </c>
    </row>
    <row r="39006" spans="1:8" customFormat="1" x14ac:dyDescent="0.25">
      <c r="A39006" t="str">
        <f>"9137592"</f>
        <v>9137592</v>
      </c>
      <c r="B39006" t="s">
        <v>22176</v>
      </c>
      <c r="C39006" t="s">
        <v>564</v>
      </c>
      <c r="D39006" s="21" t="s">
        <v>34</v>
      </c>
      <c r="E39006" s="21" t="s">
        <v>254</v>
      </c>
      <c r="F39006">
        <v>8911461</v>
      </c>
      <c r="G39006" t="s">
        <v>6705</v>
      </c>
      <c r="H39006" s="21">
        <v>464.12</v>
      </c>
    </row>
    <row r="39007" spans="1:8" customFormat="1" x14ac:dyDescent="0.25">
      <c r="A39007" t="str">
        <f>"9321904"</f>
        <v>9321904</v>
      </c>
      <c r="B39007" t="s">
        <v>29691</v>
      </c>
      <c r="C39007" t="s">
        <v>60</v>
      </c>
      <c r="D39007" s="21" t="s">
        <v>34</v>
      </c>
      <c r="E39007" s="21" t="s">
        <v>35</v>
      </c>
      <c r="F39007">
        <v>8930452</v>
      </c>
      <c r="G39007" t="s">
        <v>83</v>
      </c>
      <c r="H39007" s="21">
        <v>464.12</v>
      </c>
    </row>
    <row r="39008" spans="1:8" customFormat="1" x14ac:dyDescent="0.25">
      <c r="A39008" t="str">
        <f>"736121"</f>
        <v>736121</v>
      </c>
      <c r="B39008" t="s">
        <v>29692</v>
      </c>
      <c r="C39008" t="s">
        <v>151</v>
      </c>
      <c r="D39008" s="21" t="s">
        <v>34</v>
      </c>
      <c r="E39008" s="21" t="s">
        <v>35</v>
      </c>
      <c r="F39008">
        <v>1730007</v>
      </c>
      <c r="G39008" t="s">
        <v>6989</v>
      </c>
      <c r="H39008" s="21">
        <v>464</v>
      </c>
    </row>
    <row r="39009" spans="1:8" customFormat="1" x14ac:dyDescent="0.25">
      <c r="A39009" t="str">
        <f>"8019365"</f>
        <v>8019365</v>
      </c>
      <c r="B39009" t="s">
        <v>10184</v>
      </c>
      <c r="C39009" t="s">
        <v>1468</v>
      </c>
      <c r="D39009" s="21" t="s">
        <v>34</v>
      </c>
      <c r="E39009" s="21" t="s">
        <v>35</v>
      </c>
      <c r="F39009">
        <v>7800014</v>
      </c>
      <c r="G39009" t="s">
        <v>9881</v>
      </c>
      <c r="H39009" s="21">
        <v>464</v>
      </c>
    </row>
    <row r="39010" spans="1:8" customFormat="1" x14ac:dyDescent="0.25">
      <c r="A39010" t="str">
        <f>"9244229"</f>
        <v>9244229</v>
      </c>
      <c r="B39010" t="s">
        <v>23070</v>
      </c>
      <c r="C39010" t="s">
        <v>462</v>
      </c>
      <c r="D39010" s="21" t="s">
        <v>34</v>
      </c>
      <c r="E39010" s="21" t="s">
        <v>71</v>
      </c>
      <c r="F39010">
        <v>8920111</v>
      </c>
      <c r="G39010" t="s">
        <v>1064</v>
      </c>
      <c r="H39010" s="21">
        <v>464</v>
      </c>
    </row>
    <row r="39011" spans="1:8" customFormat="1" x14ac:dyDescent="0.25">
      <c r="A39011" t="str">
        <f>"4112835"</f>
        <v>4112835</v>
      </c>
      <c r="B39011" t="s">
        <v>20443</v>
      </c>
      <c r="C39011" t="s">
        <v>124</v>
      </c>
      <c r="D39011" s="21" t="s">
        <v>34</v>
      </c>
      <c r="E39011" s="21" t="s">
        <v>35</v>
      </c>
      <c r="F39011">
        <v>4410724</v>
      </c>
      <c r="G39011" t="s">
        <v>15872</v>
      </c>
      <c r="H39011" s="21">
        <v>464</v>
      </c>
    </row>
    <row r="39012" spans="1:8" customFormat="1" x14ac:dyDescent="0.25">
      <c r="A39012" t="str">
        <f>"3538648"</f>
        <v>3538648</v>
      </c>
      <c r="B39012" t="s">
        <v>697</v>
      </c>
      <c r="C39012" t="s">
        <v>206</v>
      </c>
      <c r="D39012" s="21" t="s">
        <v>34</v>
      </c>
      <c r="E39012" s="21" t="s">
        <v>35</v>
      </c>
      <c r="F39012">
        <v>3350091</v>
      </c>
      <c r="G39012" t="s">
        <v>5864</v>
      </c>
      <c r="H39012" s="21">
        <v>464</v>
      </c>
    </row>
    <row r="39013" spans="1:8" customFormat="1" x14ac:dyDescent="0.25">
      <c r="A39013" t="str">
        <f>"9432251"</f>
        <v>9432251</v>
      </c>
      <c r="B39013" t="s">
        <v>350</v>
      </c>
      <c r="C39013" t="s">
        <v>3073</v>
      </c>
      <c r="D39013" s="21" t="s">
        <v>34</v>
      </c>
      <c r="E39013" s="21" t="s">
        <v>1089</v>
      </c>
      <c r="F39013">
        <v>8940448</v>
      </c>
      <c r="G39013" t="s">
        <v>1691</v>
      </c>
      <c r="H39013" s="21">
        <v>464</v>
      </c>
    </row>
    <row r="39014" spans="1:8" customFormat="1" x14ac:dyDescent="0.25">
      <c r="A39014" t="str">
        <f>"5980854"</f>
        <v>5980854</v>
      </c>
      <c r="B39014" t="s">
        <v>727</v>
      </c>
      <c r="C39014" t="s">
        <v>55</v>
      </c>
      <c r="D39014" s="21" t="s">
        <v>34</v>
      </c>
      <c r="E39014" s="21" t="s">
        <v>35</v>
      </c>
      <c r="F39014">
        <v>7590132</v>
      </c>
      <c r="G39014" t="s">
        <v>3204</v>
      </c>
      <c r="H39014" s="21">
        <v>464</v>
      </c>
    </row>
    <row r="39015" spans="1:8" customFormat="1" x14ac:dyDescent="0.25">
      <c r="A39015" t="str">
        <f>"5322856"</f>
        <v>5322856</v>
      </c>
      <c r="B39015" t="s">
        <v>1263</v>
      </c>
      <c r="C39015" t="s">
        <v>486</v>
      </c>
      <c r="D39015" s="21" t="s">
        <v>34</v>
      </c>
      <c r="E39015" s="21" t="s">
        <v>35</v>
      </c>
      <c r="F39015">
        <v>12530065</v>
      </c>
      <c r="G39015" t="s">
        <v>10009</v>
      </c>
      <c r="H39015" s="21">
        <v>464</v>
      </c>
    </row>
    <row r="39016" spans="1:8" customFormat="1" x14ac:dyDescent="0.25">
      <c r="A39016" t="str">
        <f>"9459617"</f>
        <v>9459617</v>
      </c>
      <c r="B39016" t="s">
        <v>22766</v>
      </c>
      <c r="C39016" t="s">
        <v>1110</v>
      </c>
      <c r="D39016" s="21" t="s">
        <v>34</v>
      </c>
      <c r="E39016" s="21" t="s">
        <v>254</v>
      </c>
      <c r="F39016">
        <v>8940535</v>
      </c>
      <c r="G39016" t="s">
        <v>2628</v>
      </c>
      <c r="H39016" s="21">
        <v>463.75</v>
      </c>
    </row>
    <row r="39017" spans="1:8" customFormat="1" x14ac:dyDescent="0.25">
      <c r="A39017" t="str">
        <f>"6023156"</f>
        <v>6023156</v>
      </c>
      <c r="B39017" t="s">
        <v>196</v>
      </c>
      <c r="C39017" t="s">
        <v>33</v>
      </c>
      <c r="D39017" s="21" t="s">
        <v>34</v>
      </c>
      <c r="E39017" s="21" t="s">
        <v>35</v>
      </c>
      <c r="F39017">
        <v>7600005</v>
      </c>
      <c r="G39017" t="s">
        <v>2299</v>
      </c>
      <c r="H39017" s="21">
        <v>463.75</v>
      </c>
    </row>
    <row r="39018" spans="1:8" customFormat="1" x14ac:dyDescent="0.25">
      <c r="A39018" t="str">
        <f>"454993"</f>
        <v>454993</v>
      </c>
      <c r="B39018" t="s">
        <v>21317</v>
      </c>
      <c r="C39018" t="s">
        <v>209</v>
      </c>
      <c r="D39018" s="21" t="s">
        <v>34</v>
      </c>
      <c r="E39018" s="21" t="s">
        <v>71</v>
      </c>
      <c r="F39018">
        <v>4450410</v>
      </c>
      <c r="G39018" t="s">
        <v>26525</v>
      </c>
      <c r="H39018" s="21">
        <v>463.67</v>
      </c>
    </row>
    <row r="39019" spans="1:8" customFormat="1" x14ac:dyDescent="0.25">
      <c r="A39019" t="str">
        <f>"9144842"</f>
        <v>9144842</v>
      </c>
      <c r="B39019" t="s">
        <v>17637</v>
      </c>
      <c r="C39019" t="s">
        <v>206</v>
      </c>
      <c r="D39019" s="21" t="s">
        <v>34</v>
      </c>
      <c r="E39019" s="21" t="s">
        <v>35</v>
      </c>
      <c r="F39019">
        <v>8910042</v>
      </c>
      <c r="G39019" t="s">
        <v>4009</v>
      </c>
      <c r="H39019" s="21">
        <v>463.62</v>
      </c>
    </row>
    <row r="39020" spans="1:8" customFormat="1" x14ac:dyDescent="0.25">
      <c r="A39020" t="str">
        <f>"7223026"</f>
        <v>7223026</v>
      </c>
      <c r="B39020" t="s">
        <v>29693</v>
      </c>
      <c r="C39020" t="s">
        <v>62</v>
      </c>
      <c r="D39020" s="21" t="s">
        <v>34</v>
      </c>
      <c r="E39020" s="21" t="s">
        <v>35</v>
      </c>
      <c r="F39020">
        <v>12720147</v>
      </c>
      <c r="G39020" t="s">
        <v>27267</v>
      </c>
      <c r="H39020" s="21">
        <v>463.5</v>
      </c>
    </row>
    <row r="39021" spans="1:8" customFormat="1" x14ac:dyDescent="0.25">
      <c r="A39021" t="str">
        <f>"7624077"</f>
        <v>7624077</v>
      </c>
      <c r="B39021" t="s">
        <v>1264</v>
      </c>
      <c r="C39021" t="s">
        <v>2520</v>
      </c>
      <c r="D39021" s="21" t="s">
        <v>34</v>
      </c>
      <c r="E39021" s="21" t="s">
        <v>254</v>
      </c>
      <c r="F39021">
        <v>9760270</v>
      </c>
      <c r="G39021" t="s">
        <v>4167</v>
      </c>
      <c r="H39021" s="21">
        <v>463.5</v>
      </c>
    </row>
    <row r="39022" spans="1:8" customFormat="1" x14ac:dyDescent="0.25">
      <c r="A39022" t="str">
        <f>"5974856"</f>
        <v>5974856</v>
      </c>
      <c r="B39022" t="s">
        <v>595</v>
      </c>
      <c r="C39022" t="s">
        <v>23702</v>
      </c>
      <c r="D39022" s="21" t="s">
        <v>34</v>
      </c>
      <c r="E39022" s="21" t="s">
        <v>254</v>
      </c>
      <c r="F39022">
        <v>7590338</v>
      </c>
      <c r="G39022" t="s">
        <v>682</v>
      </c>
      <c r="H39022" s="21">
        <v>463.5</v>
      </c>
    </row>
    <row r="39023" spans="1:8" customFormat="1" x14ac:dyDescent="0.25">
      <c r="A39023" t="str">
        <f>"7627474"</f>
        <v>7627474</v>
      </c>
      <c r="B39023" t="s">
        <v>22649</v>
      </c>
      <c r="C39023" t="s">
        <v>2529</v>
      </c>
      <c r="D39023" s="21" t="s">
        <v>34</v>
      </c>
      <c r="E39023" s="21" t="s">
        <v>71</v>
      </c>
      <c r="F39023">
        <v>9760218</v>
      </c>
      <c r="G39023" t="s">
        <v>26836</v>
      </c>
      <c r="H39023" s="21">
        <v>463.5</v>
      </c>
    </row>
    <row r="39024" spans="1:8" customFormat="1" x14ac:dyDescent="0.25">
      <c r="A39024" t="str">
        <f>"518281"</f>
        <v>518281</v>
      </c>
      <c r="B39024" t="s">
        <v>29694</v>
      </c>
      <c r="C39024" t="s">
        <v>2100</v>
      </c>
      <c r="D39024" s="21" t="s">
        <v>34</v>
      </c>
      <c r="E39024" s="21" t="s">
        <v>254</v>
      </c>
      <c r="F39024">
        <v>12490073</v>
      </c>
      <c r="G39024" t="s">
        <v>296</v>
      </c>
      <c r="H39024" s="21">
        <v>463.5</v>
      </c>
    </row>
    <row r="39025" spans="1:8" customFormat="1" x14ac:dyDescent="0.25">
      <c r="A39025" t="str">
        <f>"315289"</f>
        <v>315289</v>
      </c>
      <c r="B39025" t="s">
        <v>23398</v>
      </c>
      <c r="C39025" t="s">
        <v>825</v>
      </c>
      <c r="D39025" s="21" t="s">
        <v>34</v>
      </c>
      <c r="E39025" s="21" t="s">
        <v>1089</v>
      </c>
      <c r="F39025">
        <v>11310130</v>
      </c>
      <c r="G39025" t="s">
        <v>18858</v>
      </c>
      <c r="H39025" s="21">
        <v>463.5</v>
      </c>
    </row>
    <row r="39026" spans="1:8" customFormat="1" x14ac:dyDescent="0.25">
      <c r="A39026" t="str">
        <f>"4427448"</f>
        <v>4427448</v>
      </c>
      <c r="B39026" t="s">
        <v>1626</v>
      </c>
      <c r="C39026" t="s">
        <v>211</v>
      </c>
      <c r="D39026" s="21" t="s">
        <v>34</v>
      </c>
      <c r="E39026" s="21" t="s">
        <v>71</v>
      </c>
      <c r="F39026">
        <v>3560052</v>
      </c>
      <c r="G39026" t="s">
        <v>18504</v>
      </c>
      <c r="H39026" s="21">
        <v>463.5</v>
      </c>
    </row>
    <row r="39027" spans="1:8" customFormat="1" x14ac:dyDescent="0.25">
      <c r="A39027" t="str">
        <f>"7731930"</f>
        <v>7731930</v>
      </c>
      <c r="B39027" t="s">
        <v>24666</v>
      </c>
      <c r="C39027" t="s">
        <v>1803</v>
      </c>
      <c r="D39027" s="21" t="s">
        <v>34</v>
      </c>
      <c r="E39027" s="21" t="s">
        <v>35</v>
      </c>
      <c r="F39027">
        <v>8771172</v>
      </c>
      <c r="G39027" t="s">
        <v>12662</v>
      </c>
      <c r="H39027" s="21">
        <v>463.5</v>
      </c>
    </row>
    <row r="39028" spans="1:8" customFormat="1" x14ac:dyDescent="0.25">
      <c r="A39028" t="str">
        <f>"072924"</f>
        <v>072924</v>
      </c>
      <c r="B39028" t="s">
        <v>8742</v>
      </c>
      <c r="C39028" t="s">
        <v>2904</v>
      </c>
      <c r="D39028" s="21" t="s">
        <v>34</v>
      </c>
      <c r="E39028" s="21" t="s">
        <v>1089</v>
      </c>
      <c r="F39028">
        <v>1260062</v>
      </c>
      <c r="G39028" t="s">
        <v>6156</v>
      </c>
      <c r="H39028" s="21">
        <v>463.25</v>
      </c>
    </row>
    <row r="39029" spans="1:8" customFormat="1" x14ac:dyDescent="0.25">
      <c r="A39029" t="str">
        <f>"7114310"</f>
        <v>7114310</v>
      </c>
      <c r="B39029" t="s">
        <v>9176</v>
      </c>
      <c r="C39029" t="s">
        <v>269</v>
      </c>
      <c r="D39029" s="21" t="s">
        <v>34</v>
      </c>
      <c r="E39029" s="21" t="s">
        <v>71</v>
      </c>
      <c r="F39029">
        <v>2710084</v>
      </c>
      <c r="G39029" t="s">
        <v>29207</v>
      </c>
      <c r="H39029" s="21">
        <v>463.25</v>
      </c>
    </row>
    <row r="39030" spans="1:8" customFormat="1" x14ac:dyDescent="0.25">
      <c r="A39030" t="str">
        <f>"5325987"</f>
        <v>5325987</v>
      </c>
      <c r="B39030" t="s">
        <v>10023</v>
      </c>
      <c r="C39030" t="s">
        <v>784</v>
      </c>
      <c r="D39030" s="21" t="s">
        <v>34</v>
      </c>
      <c r="E39030" s="21" t="s">
        <v>35</v>
      </c>
      <c r="F39030">
        <v>12530081</v>
      </c>
      <c r="G39030" t="s">
        <v>13952</v>
      </c>
      <c r="H39030" s="21">
        <v>463.25</v>
      </c>
    </row>
    <row r="39031" spans="1:8" customFormat="1" x14ac:dyDescent="0.25">
      <c r="A39031" t="str">
        <f>"0615617"</f>
        <v>0615617</v>
      </c>
      <c r="B39031" t="s">
        <v>5683</v>
      </c>
      <c r="C39031" t="s">
        <v>209</v>
      </c>
      <c r="D39031" s="21" t="s">
        <v>34</v>
      </c>
      <c r="E39031" s="21" t="s">
        <v>1089</v>
      </c>
      <c r="F39031">
        <v>13060043</v>
      </c>
      <c r="G39031" t="s">
        <v>4761</v>
      </c>
      <c r="H39031" s="21">
        <v>463.12</v>
      </c>
    </row>
    <row r="39032" spans="1:8" customFormat="1" x14ac:dyDescent="0.25">
      <c r="A39032" t="str">
        <f>"6232853"</f>
        <v>6232853</v>
      </c>
      <c r="B39032" t="s">
        <v>24799</v>
      </c>
      <c r="C39032" t="s">
        <v>204</v>
      </c>
      <c r="D39032" s="21" t="s">
        <v>34</v>
      </c>
      <c r="E39032" s="21" t="s">
        <v>35</v>
      </c>
      <c r="F39032">
        <v>7620154</v>
      </c>
      <c r="G39032" t="s">
        <v>13064</v>
      </c>
      <c r="H39032" s="21">
        <v>463</v>
      </c>
    </row>
    <row r="39033" spans="1:8" customFormat="1" x14ac:dyDescent="0.25">
      <c r="A39033" t="str">
        <f>"6216965"</f>
        <v>6216965</v>
      </c>
      <c r="B39033" t="s">
        <v>4312</v>
      </c>
      <c r="C39033" t="s">
        <v>3905</v>
      </c>
      <c r="D39033" s="21" t="s">
        <v>34</v>
      </c>
      <c r="E39033" s="21" t="s">
        <v>1089</v>
      </c>
      <c r="F39033">
        <v>7620032</v>
      </c>
      <c r="G39033" t="s">
        <v>11181</v>
      </c>
      <c r="H39033" s="21">
        <v>463</v>
      </c>
    </row>
    <row r="39034" spans="1:8" customFormat="1" x14ac:dyDescent="0.25">
      <c r="A39034" t="str">
        <f>"7731862"</f>
        <v>7731862</v>
      </c>
      <c r="B39034" t="s">
        <v>29695</v>
      </c>
      <c r="C39034" t="s">
        <v>2806</v>
      </c>
      <c r="D39034" s="21" t="s">
        <v>34</v>
      </c>
      <c r="E39034" s="21" t="s">
        <v>71</v>
      </c>
      <c r="F39034">
        <v>8771172</v>
      </c>
      <c r="G39034" t="s">
        <v>12662</v>
      </c>
      <c r="H39034" s="21">
        <v>463</v>
      </c>
    </row>
    <row r="39035" spans="1:8" customFormat="1" x14ac:dyDescent="0.25">
      <c r="A39035" t="str">
        <f>"3721888"</f>
        <v>3721888</v>
      </c>
      <c r="B39035" t="s">
        <v>6324</v>
      </c>
      <c r="C39035" t="s">
        <v>4721</v>
      </c>
      <c r="D39035" s="21" t="s">
        <v>34</v>
      </c>
      <c r="E39035" s="21" t="s">
        <v>254</v>
      </c>
      <c r="F39035">
        <v>4370583</v>
      </c>
      <c r="G39035" t="s">
        <v>13975</v>
      </c>
      <c r="H39035" s="21">
        <v>463</v>
      </c>
    </row>
    <row r="39036" spans="1:8" customFormat="1" x14ac:dyDescent="0.25">
      <c r="A39036" t="str">
        <f>"5966453"</f>
        <v>5966453</v>
      </c>
      <c r="B39036" t="s">
        <v>12518</v>
      </c>
      <c r="C39036" t="s">
        <v>156</v>
      </c>
      <c r="D39036" s="21" t="s">
        <v>34</v>
      </c>
      <c r="E39036" s="21" t="s">
        <v>6185</v>
      </c>
      <c r="F39036">
        <v>7590177</v>
      </c>
      <c r="G39036" t="s">
        <v>10380</v>
      </c>
      <c r="H39036" s="21">
        <v>463</v>
      </c>
    </row>
    <row r="39037" spans="1:8" customFormat="1" x14ac:dyDescent="0.25">
      <c r="A39037" t="str">
        <f>"6022220"</f>
        <v>6022220</v>
      </c>
      <c r="B39037" t="s">
        <v>890</v>
      </c>
      <c r="C39037" t="s">
        <v>121</v>
      </c>
      <c r="D39037" s="21" t="s">
        <v>34</v>
      </c>
      <c r="E39037" s="21" t="s">
        <v>35</v>
      </c>
      <c r="F39037">
        <v>7600130</v>
      </c>
      <c r="G39037" t="s">
        <v>11080</v>
      </c>
      <c r="H39037" s="21">
        <v>462.5</v>
      </c>
    </row>
    <row r="39038" spans="1:8" customFormat="1" x14ac:dyDescent="0.25">
      <c r="A39038" t="str">
        <f>"4451481"</f>
        <v>4451481</v>
      </c>
      <c r="B39038" t="s">
        <v>10649</v>
      </c>
      <c r="C39038" t="s">
        <v>40</v>
      </c>
      <c r="D39038" s="21" t="s">
        <v>34</v>
      </c>
      <c r="E39038" s="21" t="s">
        <v>71</v>
      </c>
      <c r="F39038">
        <v>12440039</v>
      </c>
      <c r="G39038" t="s">
        <v>9650</v>
      </c>
      <c r="H39038" s="21">
        <v>462.5</v>
      </c>
    </row>
    <row r="39039" spans="1:8" customFormat="1" x14ac:dyDescent="0.25">
      <c r="A39039" t="str">
        <f>"8818791"</f>
        <v>8818791</v>
      </c>
      <c r="B39039" t="s">
        <v>4535</v>
      </c>
      <c r="C39039" t="s">
        <v>5183</v>
      </c>
      <c r="D39039" s="21" t="s">
        <v>34</v>
      </c>
      <c r="E39039" s="21" t="s">
        <v>35</v>
      </c>
      <c r="F39039">
        <v>6880119</v>
      </c>
      <c r="G39039" t="s">
        <v>3443</v>
      </c>
      <c r="H39039" s="21">
        <v>462.5</v>
      </c>
    </row>
    <row r="39040" spans="1:8" customFormat="1" x14ac:dyDescent="0.25">
      <c r="A39040" t="str">
        <f>"7642768"</f>
        <v>7642768</v>
      </c>
      <c r="B39040" t="s">
        <v>2480</v>
      </c>
      <c r="C39040" t="s">
        <v>29696</v>
      </c>
      <c r="D39040" s="21" t="s">
        <v>34</v>
      </c>
      <c r="E39040" s="21" t="s">
        <v>35</v>
      </c>
      <c r="F39040">
        <v>9760025</v>
      </c>
      <c r="G39040" t="s">
        <v>2620</v>
      </c>
      <c r="H39040" s="21">
        <v>462.5</v>
      </c>
    </row>
    <row r="39041" spans="1:8" customFormat="1" x14ac:dyDescent="0.25">
      <c r="A39041" t="str">
        <f>"5956960"</f>
        <v>5956960</v>
      </c>
      <c r="B39041" t="s">
        <v>4063</v>
      </c>
      <c r="C39041" t="s">
        <v>528</v>
      </c>
      <c r="D39041" s="21" t="s">
        <v>34</v>
      </c>
      <c r="E39041" s="21" t="s">
        <v>71</v>
      </c>
      <c r="F39041">
        <v>7590132</v>
      </c>
      <c r="G39041" t="s">
        <v>3204</v>
      </c>
      <c r="H39041" s="21">
        <v>462.5</v>
      </c>
    </row>
    <row r="39042" spans="1:8" customFormat="1" x14ac:dyDescent="0.25">
      <c r="A39042" t="str">
        <f>"4936343"</f>
        <v>4936343</v>
      </c>
      <c r="B39042" t="s">
        <v>24804</v>
      </c>
      <c r="C39042" t="s">
        <v>1914</v>
      </c>
      <c r="D39042" s="21" t="s">
        <v>34</v>
      </c>
      <c r="E39042" s="21" t="s">
        <v>35</v>
      </c>
      <c r="F39042">
        <v>12490048</v>
      </c>
      <c r="G39042" t="s">
        <v>4228</v>
      </c>
      <c r="H39042" s="21">
        <v>462.5</v>
      </c>
    </row>
    <row r="39043" spans="1:8" customFormat="1" x14ac:dyDescent="0.25">
      <c r="A39043" t="str">
        <f>"6928819"</f>
        <v>6928819</v>
      </c>
      <c r="B39043" t="s">
        <v>19681</v>
      </c>
      <c r="C39043" t="s">
        <v>10760</v>
      </c>
      <c r="D39043" s="21" t="s">
        <v>34</v>
      </c>
      <c r="E39043" s="21" t="s">
        <v>71</v>
      </c>
      <c r="F39043">
        <v>1690052</v>
      </c>
      <c r="G39043" t="s">
        <v>273</v>
      </c>
      <c r="H39043" s="21">
        <v>462.5</v>
      </c>
    </row>
    <row r="39044" spans="1:8" customFormat="1" x14ac:dyDescent="0.25">
      <c r="A39044" t="str">
        <f>"2814114"</f>
        <v>2814114</v>
      </c>
      <c r="B39044" t="s">
        <v>24693</v>
      </c>
      <c r="C39044" t="s">
        <v>664</v>
      </c>
      <c r="D39044" s="21" t="s">
        <v>34</v>
      </c>
      <c r="E39044" s="21" t="s">
        <v>254</v>
      </c>
      <c r="F39044">
        <v>4280048</v>
      </c>
      <c r="G39044" t="s">
        <v>3053</v>
      </c>
      <c r="H39044" s="21">
        <v>462.17</v>
      </c>
    </row>
    <row r="39045" spans="1:8" customFormat="1" x14ac:dyDescent="0.25">
      <c r="A39045" t="str">
        <f>"9237828"</f>
        <v>9237828</v>
      </c>
      <c r="B39045" t="s">
        <v>23136</v>
      </c>
      <c r="C39045" t="s">
        <v>822</v>
      </c>
      <c r="D39045" s="21" t="s">
        <v>34</v>
      </c>
      <c r="E39045" s="21" t="s">
        <v>71</v>
      </c>
      <c r="F39045">
        <v>8920503</v>
      </c>
      <c r="G39045" t="s">
        <v>9047</v>
      </c>
      <c r="H39045" s="21">
        <v>462</v>
      </c>
    </row>
    <row r="39046" spans="1:8" customFormat="1" x14ac:dyDescent="0.25">
      <c r="A39046" t="str">
        <f>"93843"</f>
        <v>93843</v>
      </c>
      <c r="B39046" t="s">
        <v>23868</v>
      </c>
      <c r="C39046" t="s">
        <v>4092</v>
      </c>
      <c r="D39046" s="21" t="s">
        <v>34</v>
      </c>
      <c r="E39046" s="21" t="s">
        <v>1089</v>
      </c>
      <c r="F39046">
        <v>8930452</v>
      </c>
      <c r="G39046" t="s">
        <v>83</v>
      </c>
      <c r="H39046" s="21">
        <v>462</v>
      </c>
    </row>
    <row r="39047" spans="1:8" customFormat="1" x14ac:dyDescent="0.25">
      <c r="A39047" t="str">
        <f>"6112830"</f>
        <v>6112830</v>
      </c>
      <c r="B39047" t="s">
        <v>8458</v>
      </c>
      <c r="C39047" t="s">
        <v>119</v>
      </c>
      <c r="D39047" s="21" t="s">
        <v>34</v>
      </c>
      <c r="E39047" s="21" t="s">
        <v>35</v>
      </c>
      <c r="F39047">
        <v>9610055</v>
      </c>
      <c r="G39047" t="s">
        <v>13803</v>
      </c>
      <c r="H39047" s="21">
        <v>462</v>
      </c>
    </row>
    <row r="39048" spans="1:8" customFormat="1" x14ac:dyDescent="0.25">
      <c r="A39048" t="str">
        <f>"2940109"</f>
        <v>2940109</v>
      </c>
      <c r="B39048" t="s">
        <v>29697</v>
      </c>
      <c r="C39048" t="s">
        <v>55</v>
      </c>
      <c r="D39048" s="21" t="s">
        <v>34</v>
      </c>
      <c r="E39048" s="21" t="s">
        <v>71</v>
      </c>
      <c r="F39048">
        <v>3290001</v>
      </c>
      <c r="G39048" t="s">
        <v>18700</v>
      </c>
      <c r="H39048" s="21">
        <v>462</v>
      </c>
    </row>
    <row r="39049" spans="1:8" customFormat="1" x14ac:dyDescent="0.25">
      <c r="A39049" t="str">
        <f>"9244277"</f>
        <v>9244277</v>
      </c>
      <c r="B39049" t="s">
        <v>22606</v>
      </c>
      <c r="C39049" t="s">
        <v>2907</v>
      </c>
      <c r="D39049" s="21" t="s">
        <v>34</v>
      </c>
      <c r="E39049" s="21" t="s">
        <v>71</v>
      </c>
      <c r="F39049">
        <v>8920503</v>
      </c>
      <c r="G39049" t="s">
        <v>9047</v>
      </c>
      <c r="H39049" s="21">
        <v>462</v>
      </c>
    </row>
    <row r="39050" spans="1:8" customFormat="1" x14ac:dyDescent="0.25">
      <c r="A39050" t="str">
        <f>"4920634"</f>
        <v>4920634</v>
      </c>
      <c r="B39050" t="s">
        <v>24679</v>
      </c>
      <c r="C39050" t="s">
        <v>239</v>
      </c>
      <c r="D39050" s="21" t="s">
        <v>34</v>
      </c>
      <c r="E39050" s="21" t="s">
        <v>71</v>
      </c>
      <c r="F39050">
        <v>12490062</v>
      </c>
      <c r="G39050" t="s">
        <v>9920</v>
      </c>
      <c r="H39050" s="21">
        <v>462</v>
      </c>
    </row>
    <row r="39051" spans="1:8" customFormat="1" x14ac:dyDescent="0.25">
      <c r="A39051" t="str">
        <f>"5432843"</f>
        <v>5432843</v>
      </c>
      <c r="B39051" t="s">
        <v>29698</v>
      </c>
      <c r="C39051" t="s">
        <v>2305</v>
      </c>
      <c r="D39051" s="21" t="s">
        <v>34</v>
      </c>
      <c r="E39051" s="21" t="s">
        <v>254</v>
      </c>
      <c r="F39051">
        <v>6540108</v>
      </c>
      <c r="G39051" t="s">
        <v>4340</v>
      </c>
      <c r="H39051" s="21">
        <v>462</v>
      </c>
    </row>
    <row r="39052" spans="1:8" customFormat="1" x14ac:dyDescent="0.25">
      <c r="A39052" t="str">
        <f>"106996"</f>
        <v>106996</v>
      </c>
      <c r="B39052" t="s">
        <v>22652</v>
      </c>
      <c r="C39052" t="s">
        <v>598</v>
      </c>
      <c r="D39052" s="21" t="s">
        <v>34</v>
      </c>
      <c r="E39052" s="21" t="s">
        <v>254</v>
      </c>
      <c r="F39052">
        <v>6100032</v>
      </c>
      <c r="G39052" t="s">
        <v>1641</v>
      </c>
      <c r="H39052" s="21">
        <v>462</v>
      </c>
    </row>
    <row r="39053" spans="1:8" customFormat="1" x14ac:dyDescent="0.25">
      <c r="A39053" t="str">
        <f>"486521"</f>
        <v>486521</v>
      </c>
      <c r="B39053" t="s">
        <v>29699</v>
      </c>
      <c r="C39053" t="s">
        <v>9995</v>
      </c>
      <c r="D39053" s="21" t="s">
        <v>34</v>
      </c>
      <c r="E39053" s="21" t="s">
        <v>254</v>
      </c>
      <c r="F39053">
        <v>11480020</v>
      </c>
      <c r="G39053" t="s">
        <v>5221</v>
      </c>
      <c r="H39053" s="21">
        <v>461.75</v>
      </c>
    </row>
    <row r="39054" spans="1:8" customFormat="1" x14ac:dyDescent="0.25">
      <c r="A39054" t="str">
        <f>"2611943"</f>
        <v>2611943</v>
      </c>
      <c r="B39054" t="s">
        <v>29700</v>
      </c>
      <c r="C39054" t="s">
        <v>121</v>
      </c>
      <c r="D39054" s="21" t="s">
        <v>34</v>
      </c>
      <c r="E39054" s="21" t="s">
        <v>71</v>
      </c>
      <c r="F39054">
        <v>1260068</v>
      </c>
      <c r="G39054" t="s">
        <v>6531</v>
      </c>
      <c r="H39054" s="21">
        <v>461.5</v>
      </c>
    </row>
    <row r="39055" spans="1:8" customFormat="1" x14ac:dyDescent="0.25">
      <c r="A39055" t="str">
        <f>"4429642"</f>
        <v>4429642</v>
      </c>
      <c r="B39055" t="s">
        <v>24666</v>
      </c>
      <c r="C39055" t="s">
        <v>2520</v>
      </c>
      <c r="D39055" s="21" t="s">
        <v>34</v>
      </c>
      <c r="E39055" s="21" t="s">
        <v>254</v>
      </c>
      <c r="F39055">
        <v>12440039</v>
      </c>
      <c r="G39055" t="s">
        <v>9650</v>
      </c>
      <c r="H39055" s="21">
        <v>461.5</v>
      </c>
    </row>
    <row r="39056" spans="1:8" customFormat="1" x14ac:dyDescent="0.25">
      <c r="A39056" t="str">
        <f>"9517166"</f>
        <v>9517166</v>
      </c>
      <c r="B39056" t="s">
        <v>213</v>
      </c>
      <c r="C39056" t="s">
        <v>40</v>
      </c>
      <c r="D39056" s="21" t="s">
        <v>34</v>
      </c>
      <c r="E39056" s="21" t="s">
        <v>71</v>
      </c>
      <c r="F39056">
        <v>8950882</v>
      </c>
      <c r="G39056" t="s">
        <v>9516</v>
      </c>
      <c r="H39056" s="21">
        <v>461.5</v>
      </c>
    </row>
    <row r="39057" spans="1:8" customFormat="1" x14ac:dyDescent="0.25">
      <c r="A39057" t="str">
        <f>"813617"</f>
        <v>813617</v>
      </c>
      <c r="B39057" t="s">
        <v>22272</v>
      </c>
      <c r="C39057" t="s">
        <v>22273</v>
      </c>
      <c r="D39057" s="21" t="s">
        <v>34</v>
      </c>
      <c r="E39057" s="21" t="s">
        <v>71</v>
      </c>
      <c r="F39057">
        <v>11810024</v>
      </c>
      <c r="G39057" t="s">
        <v>2095</v>
      </c>
      <c r="H39057" s="21">
        <v>461.5</v>
      </c>
    </row>
    <row r="39058" spans="1:8" customFormat="1" x14ac:dyDescent="0.25">
      <c r="A39058" t="str">
        <f>"9537152"</f>
        <v>9537152</v>
      </c>
      <c r="B39058" t="s">
        <v>9178</v>
      </c>
      <c r="C39058" t="s">
        <v>156</v>
      </c>
      <c r="D39058" s="21" t="s">
        <v>34</v>
      </c>
      <c r="E39058" s="21" t="s">
        <v>71</v>
      </c>
      <c r="F39058">
        <v>8951312</v>
      </c>
      <c r="G39058" t="s">
        <v>1007</v>
      </c>
      <c r="H39058" s="21">
        <v>461.12</v>
      </c>
    </row>
    <row r="39059" spans="1:8" customFormat="1" x14ac:dyDescent="0.25">
      <c r="A39059" t="str">
        <f>"6112887"</f>
        <v>6112887</v>
      </c>
      <c r="B39059" t="s">
        <v>8803</v>
      </c>
      <c r="C39059" t="s">
        <v>288</v>
      </c>
      <c r="D39059" s="21" t="s">
        <v>34</v>
      </c>
      <c r="E39059" s="21" t="s">
        <v>35</v>
      </c>
      <c r="F39059">
        <v>9610017</v>
      </c>
      <c r="G39059" t="s">
        <v>12194</v>
      </c>
      <c r="H39059" s="21">
        <v>461</v>
      </c>
    </row>
    <row r="39060" spans="1:8" customFormat="1" x14ac:dyDescent="0.25">
      <c r="A39060" t="str">
        <f>"8529167"</f>
        <v>8529167</v>
      </c>
      <c r="B39060" t="s">
        <v>20805</v>
      </c>
      <c r="C39060" t="s">
        <v>486</v>
      </c>
      <c r="D39060" s="21" t="s">
        <v>34</v>
      </c>
      <c r="E39060" s="21" t="s">
        <v>71</v>
      </c>
      <c r="F39060">
        <v>12850008</v>
      </c>
      <c r="G39060" t="s">
        <v>4248</v>
      </c>
      <c r="H39060" s="21">
        <v>461</v>
      </c>
    </row>
    <row r="39061" spans="1:8" customFormat="1" x14ac:dyDescent="0.25">
      <c r="A39061" t="str">
        <f>"3526586"</f>
        <v>3526586</v>
      </c>
      <c r="B39061" t="s">
        <v>24716</v>
      </c>
      <c r="C39061" t="s">
        <v>415</v>
      </c>
      <c r="D39061" s="21" t="s">
        <v>34</v>
      </c>
      <c r="E39061" s="21" t="s">
        <v>71</v>
      </c>
      <c r="F39061">
        <v>3350092</v>
      </c>
      <c r="G39061" t="s">
        <v>26881</v>
      </c>
      <c r="H39061" s="21">
        <v>461</v>
      </c>
    </row>
    <row r="39062" spans="1:8" customFormat="1" x14ac:dyDescent="0.25">
      <c r="A39062" t="str">
        <f>"1423794"</f>
        <v>1423794</v>
      </c>
      <c r="B39062" t="s">
        <v>24596</v>
      </c>
      <c r="C39062" t="s">
        <v>1417</v>
      </c>
      <c r="D39062" s="21" t="s">
        <v>34</v>
      </c>
      <c r="E39062" s="21" t="s">
        <v>35</v>
      </c>
      <c r="F39062">
        <v>9140235</v>
      </c>
      <c r="G39062" t="s">
        <v>165</v>
      </c>
      <c r="H39062" s="21">
        <v>461</v>
      </c>
    </row>
    <row r="39063" spans="1:8" customFormat="1" x14ac:dyDescent="0.25">
      <c r="A39063" t="str">
        <f>"4935609"</f>
        <v>4935609</v>
      </c>
      <c r="B39063" t="s">
        <v>6510</v>
      </c>
      <c r="C39063" t="s">
        <v>608</v>
      </c>
      <c r="D39063" s="21" t="s">
        <v>34</v>
      </c>
      <c r="E39063" s="21" t="s">
        <v>254</v>
      </c>
      <c r="F39063">
        <v>12490117</v>
      </c>
      <c r="G39063" t="s">
        <v>10141</v>
      </c>
      <c r="H39063" s="21">
        <v>460.5</v>
      </c>
    </row>
    <row r="39064" spans="1:8" customFormat="1" x14ac:dyDescent="0.25">
      <c r="A39064" t="str">
        <f>"2218605"</f>
        <v>2218605</v>
      </c>
      <c r="B39064" t="s">
        <v>1463</v>
      </c>
      <c r="C39064" t="s">
        <v>453</v>
      </c>
      <c r="D39064" s="21" t="s">
        <v>34</v>
      </c>
      <c r="E39064" s="21" t="s">
        <v>254</v>
      </c>
      <c r="F39064">
        <v>3220008</v>
      </c>
      <c r="G39064" t="s">
        <v>6845</v>
      </c>
      <c r="H39064" s="21">
        <v>460.5</v>
      </c>
    </row>
    <row r="39065" spans="1:8" customFormat="1" x14ac:dyDescent="0.25">
      <c r="A39065" t="str">
        <f>"4937440"</f>
        <v>4937440</v>
      </c>
      <c r="B39065" t="s">
        <v>22911</v>
      </c>
      <c r="C39065" t="s">
        <v>156</v>
      </c>
      <c r="D39065" s="21" t="s">
        <v>34</v>
      </c>
      <c r="E39065" s="21" t="s">
        <v>71</v>
      </c>
      <c r="F39065">
        <v>12490014</v>
      </c>
      <c r="G39065" t="s">
        <v>8547</v>
      </c>
      <c r="H39065" s="21">
        <v>460.5</v>
      </c>
    </row>
    <row r="39066" spans="1:8" customFormat="1" x14ac:dyDescent="0.25">
      <c r="A39066" t="str">
        <f>"7732411"</f>
        <v>7732411</v>
      </c>
      <c r="B39066" t="s">
        <v>29701</v>
      </c>
      <c r="C39066" t="s">
        <v>82</v>
      </c>
      <c r="D39066" s="21" t="s">
        <v>34</v>
      </c>
      <c r="E39066" s="21" t="s">
        <v>35</v>
      </c>
      <c r="F39066">
        <v>8771515</v>
      </c>
      <c r="G39066" t="s">
        <v>19102</v>
      </c>
      <c r="H39066" s="21">
        <v>460.5</v>
      </c>
    </row>
    <row r="39067" spans="1:8" customFormat="1" x14ac:dyDescent="0.25">
      <c r="A39067" t="str">
        <f>"7641756"</f>
        <v>7641756</v>
      </c>
      <c r="B39067" t="s">
        <v>10977</v>
      </c>
      <c r="C39067" t="s">
        <v>121</v>
      </c>
      <c r="D39067" s="21" t="s">
        <v>34</v>
      </c>
      <c r="E39067" s="21" t="s">
        <v>35</v>
      </c>
      <c r="F39067">
        <v>9760419</v>
      </c>
      <c r="G39067" t="s">
        <v>8549</v>
      </c>
      <c r="H39067" s="21">
        <v>460.5</v>
      </c>
    </row>
    <row r="39068" spans="1:8" customFormat="1" x14ac:dyDescent="0.25">
      <c r="A39068" t="str">
        <f>"8527632"</f>
        <v>8527632</v>
      </c>
      <c r="B39068" t="s">
        <v>11809</v>
      </c>
      <c r="C39068" t="s">
        <v>3073</v>
      </c>
      <c r="D39068" s="21" t="s">
        <v>34</v>
      </c>
      <c r="E39068" s="21" t="s">
        <v>71</v>
      </c>
      <c r="F39068">
        <v>12850015</v>
      </c>
      <c r="G39068" t="s">
        <v>4076</v>
      </c>
      <c r="H39068" s="21">
        <v>460.5</v>
      </c>
    </row>
    <row r="39069" spans="1:8" customFormat="1" x14ac:dyDescent="0.25">
      <c r="A39069" t="str">
        <f>"7880110"</f>
        <v>7880110</v>
      </c>
      <c r="B39069" t="s">
        <v>24756</v>
      </c>
      <c r="C39069" t="s">
        <v>82</v>
      </c>
      <c r="D39069" s="21" t="s">
        <v>34</v>
      </c>
      <c r="E39069" s="21" t="s">
        <v>71</v>
      </c>
      <c r="F39069">
        <v>8780571</v>
      </c>
      <c r="G39069" t="s">
        <v>2336</v>
      </c>
      <c r="H39069" s="21">
        <v>460.5</v>
      </c>
    </row>
    <row r="39070" spans="1:8" customFormat="1" x14ac:dyDescent="0.25">
      <c r="A39070" t="str">
        <f>"4454955"</f>
        <v>4454955</v>
      </c>
      <c r="B39070" t="s">
        <v>29702</v>
      </c>
      <c r="C39070" t="s">
        <v>29703</v>
      </c>
      <c r="D39070" s="21" t="s">
        <v>34</v>
      </c>
      <c r="E39070" s="21" t="s">
        <v>35</v>
      </c>
      <c r="F39070">
        <v>12440008</v>
      </c>
      <c r="G39070" t="s">
        <v>4570</v>
      </c>
      <c r="H39070" s="21">
        <v>460.5</v>
      </c>
    </row>
    <row r="39071" spans="1:8" customFormat="1" x14ac:dyDescent="0.25">
      <c r="A39071" t="str">
        <f>"4457113"</f>
        <v>4457113</v>
      </c>
      <c r="B39071" t="s">
        <v>4750</v>
      </c>
      <c r="C39071" t="s">
        <v>204</v>
      </c>
      <c r="D39071" s="21" t="s">
        <v>34</v>
      </c>
      <c r="E39071" s="21" t="s">
        <v>35</v>
      </c>
      <c r="F39071">
        <v>12440073</v>
      </c>
      <c r="G39071" t="s">
        <v>3492</v>
      </c>
      <c r="H39071" s="21">
        <v>460</v>
      </c>
    </row>
    <row r="39072" spans="1:8" customFormat="1" x14ac:dyDescent="0.25">
      <c r="A39072" t="str">
        <f>"125313"</f>
        <v>125313</v>
      </c>
      <c r="B39072" t="s">
        <v>29704</v>
      </c>
      <c r="C39072" t="s">
        <v>1665</v>
      </c>
      <c r="D39072" s="21" t="s">
        <v>34</v>
      </c>
      <c r="E39072" s="21" t="s">
        <v>71</v>
      </c>
      <c r="F39072">
        <v>11120025</v>
      </c>
      <c r="G39072" t="s">
        <v>10943</v>
      </c>
      <c r="H39072" s="21">
        <v>460</v>
      </c>
    </row>
    <row r="39073" spans="1:8" customFormat="1" x14ac:dyDescent="0.25">
      <c r="A39073" t="str">
        <f>"7875379"</f>
        <v>7875379</v>
      </c>
      <c r="B39073" t="s">
        <v>9810</v>
      </c>
      <c r="C39073" t="s">
        <v>209</v>
      </c>
      <c r="D39073" s="21" t="s">
        <v>34</v>
      </c>
      <c r="E39073" s="21" t="s">
        <v>35</v>
      </c>
      <c r="F39073">
        <v>8781475</v>
      </c>
      <c r="G39073" t="s">
        <v>7589</v>
      </c>
      <c r="H39073" s="21">
        <v>460</v>
      </c>
    </row>
    <row r="39074" spans="1:8" customFormat="1" x14ac:dyDescent="0.25">
      <c r="A39074" t="str">
        <f>"9320061"</f>
        <v>9320061</v>
      </c>
      <c r="B39074" t="s">
        <v>1939</v>
      </c>
      <c r="C39074" t="s">
        <v>267</v>
      </c>
      <c r="D39074" s="21" t="s">
        <v>34</v>
      </c>
      <c r="E39074" s="21" t="s">
        <v>35</v>
      </c>
      <c r="F39074">
        <v>8930452</v>
      </c>
      <c r="G39074" t="s">
        <v>83</v>
      </c>
      <c r="H39074" s="21">
        <v>460</v>
      </c>
    </row>
    <row r="39075" spans="1:8" customFormat="1" x14ac:dyDescent="0.25">
      <c r="A39075" t="str">
        <f>"5984258"</f>
        <v>5984258</v>
      </c>
      <c r="B39075" t="s">
        <v>29705</v>
      </c>
      <c r="C39075" t="s">
        <v>285</v>
      </c>
      <c r="D39075" s="21" t="s">
        <v>34</v>
      </c>
      <c r="E39075" s="21" t="s">
        <v>35</v>
      </c>
      <c r="F39075">
        <v>7590177</v>
      </c>
      <c r="G39075" t="s">
        <v>10380</v>
      </c>
      <c r="H39075" s="21">
        <v>459.5</v>
      </c>
    </row>
    <row r="39076" spans="1:8" customFormat="1" x14ac:dyDescent="0.25">
      <c r="A39076" t="str">
        <f>"2814414"</f>
        <v>2814414</v>
      </c>
      <c r="B39076" t="s">
        <v>1661</v>
      </c>
      <c r="C39076" t="s">
        <v>656</v>
      </c>
      <c r="D39076" s="21" t="s">
        <v>34</v>
      </c>
      <c r="E39076" s="21" t="s">
        <v>35</v>
      </c>
      <c r="F39076">
        <v>4280045</v>
      </c>
      <c r="G39076" t="s">
        <v>787</v>
      </c>
      <c r="H39076" s="21">
        <v>459.5</v>
      </c>
    </row>
    <row r="39077" spans="1:8" customFormat="1" x14ac:dyDescent="0.25">
      <c r="A39077" t="str">
        <f>"2939769"</f>
        <v>2939769</v>
      </c>
      <c r="B39077" t="s">
        <v>356</v>
      </c>
      <c r="C39077" t="s">
        <v>119</v>
      </c>
      <c r="D39077" s="21" t="s">
        <v>34</v>
      </c>
      <c r="E39077" s="21" t="s">
        <v>35</v>
      </c>
      <c r="F39077">
        <v>3290274</v>
      </c>
      <c r="G39077" t="s">
        <v>11751</v>
      </c>
      <c r="H39077" s="21">
        <v>459.5</v>
      </c>
    </row>
    <row r="39078" spans="1:8" customFormat="1" x14ac:dyDescent="0.25">
      <c r="A39078" t="str">
        <f>"4448807"</f>
        <v>4448807</v>
      </c>
      <c r="B39078" t="s">
        <v>29706</v>
      </c>
      <c r="C39078" t="s">
        <v>260</v>
      </c>
      <c r="D39078" s="21" t="s">
        <v>34</v>
      </c>
      <c r="E39078" s="21" t="s">
        <v>35</v>
      </c>
      <c r="F39078">
        <v>12440147</v>
      </c>
      <c r="G39078" t="s">
        <v>5472</v>
      </c>
      <c r="H39078" s="21">
        <v>459.5</v>
      </c>
    </row>
    <row r="39079" spans="1:8" customFormat="1" x14ac:dyDescent="0.25">
      <c r="A39079" t="str">
        <f>"9453380"</f>
        <v>9453380</v>
      </c>
      <c r="B39079" t="s">
        <v>21931</v>
      </c>
      <c r="C39079" t="s">
        <v>462</v>
      </c>
      <c r="D39079" s="21" t="s">
        <v>34</v>
      </c>
      <c r="E39079" s="21" t="s">
        <v>35</v>
      </c>
      <c r="F39079">
        <v>8940926</v>
      </c>
      <c r="G39079" t="s">
        <v>4065</v>
      </c>
      <c r="H39079" s="21">
        <v>459.5</v>
      </c>
    </row>
    <row r="39080" spans="1:8" customFormat="1" x14ac:dyDescent="0.25">
      <c r="A39080" t="str">
        <f>"4529684"</f>
        <v>4529684</v>
      </c>
      <c r="B39080" t="s">
        <v>29707</v>
      </c>
      <c r="C39080" t="s">
        <v>275</v>
      </c>
      <c r="D39080" s="21" t="s">
        <v>34</v>
      </c>
      <c r="E39080" s="21" t="s">
        <v>35</v>
      </c>
      <c r="F39080">
        <v>4450285</v>
      </c>
      <c r="G39080" t="s">
        <v>7118</v>
      </c>
      <c r="H39080" s="21">
        <v>459.5</v>
      </c>
    </row>
    <row r="39081" spans="1:8" customFormat="1" x14ac:dyDescent="0.25">
      <c r="A39081" t="str">
        <f>"3311910"</f>
        <v>3311910</v>
      </c>
      <c r="B39081" t="s">
        <v>4458</v>
      </c>
      <c r="C39081" t="s">
        <v>236</v>
      </c>
      <c r="D39081" s="21" t="s">
        <v>34</v>
      </c>
      <c r="E39081" s="21" t="s">
        <v>71</v>
      </c>
      <c r="F39081">
        <v>10330099</v>
      </c>
      <c r="G39081" t="s">
        <v>10670</v>
      </c>
      <c r="H39081" s="21">
        <v>459.12</v>
      </c>
    </row>
    <row r="39082" spans="1:8" customFormat="1" x14ac:dyDescent="0.25">
      <c r="A39082" t="str">
        <f>"2516223"</f>
        <v>2516223</v>
      </c>
      <c r="B39082" t="s">
        <v>9398</v>
      </c>
      <c r="C39082" t="s">
        <v>156</v>
      </c>
      <c r="D39082" s="21" t="s">
        <v>34</v>
      </c>
      <c r="E39082" s="21" t="s">
        <v>71</v>
      </c>
      <c r="F39082">
        <v>2250015</v>
      </c>
      <c r="G39082" t="s">
        <v>4776</v>
      </c>
      <c r="H39082" s="21">
        <v>459</v>
      </c>
    </row>
    <row r="39083" spans="1:8" customFormat="1" x14ac:dyDescent="0.25">
      <c r="A39083" t="str">
        <f>"9147169"</f>
        <v>9147169</v>
      </c>
      <c r="B39083" t="s">
        <v>4558</v>
      </c>
      <c r="C39083" t="s">
        <v>1605</v>
      </c>
      <c r="D39083" s="21" t="s">
        <v>34</v>
      </c>
      <c r="E39083" s="21" t="s">
        <v>254</v>
      </c>
      <c r="F39083">
        <v>8911161</v>
      </c>
      <c r="G39083" t="s">
        <v>599</v>
      </c>
      <c r="H39083" s="21">
        <v>459</v>
      </c>
    </row>
    <row r="39084" spans="1:8" customFormat="1" x14ac:dyDescent="0.25">
      <c r="A39084" t="str">
        <f>"4933972"</f>
        <v>4933972</v>
      </c>
      <c r="B39084" t="s">
        <v>1103</v>
      </c>
      <c r="C39084" t="s">
        <v>719</v>
      </c>
      <c r="D39084" s="21" t="s">
        <v>34</v>
      </c>
      <c r="E39084" s="21" t="s">
        <v>35</v>
      </c>
      <c r="F39084">
        <v>12490131</v>
      </c>
      <c r="G39084" t="s">
        <v>12847</v>
      </c>
      <c r="H39084" s="21">
        <v>459</v>
      </c>
    </row>
    <row r="39085" spans="1:8" customFormat="1" x14ac:dyDescent="0.25">
      <c r="A39085" t="str">
        <f>"7882144"</f>
        <v>7882144</v>
      </c>
      <c r="B39085" t="s">
        <v>29708</v>
      </c>
      <c r="C39085" t="s">
        <v>275</v>
      </c>
      <c r="D39085" s="21" t="s">
        <v>34</v>
      </c>
      <c r="E39085" s="21" t="s">
        <v>35</v>
      </c>
      <c r="F39085">
        <v>8780338</v>
      </c>
      <c r="G39085" t="s">
        <v>4145</v>
      </c>
      <c r="H39085" s="21">
        <v>458.75</v>
      </c>
    </row>
    <row r="39086" spans="1:8" customFormat="1" x14ac:dyDescent="0.25">
      <c r="A39086" t="str">
        <f>"7878768"</f>
        <v>7878768</v>
      </c>
      <c r="B39086" t="s">
        <v>17803</v>
      </c>
      <c r="C39086" t="s">
        <v>263</v>
      </c>
      <c r="D39086" s="21" t="s">
        <v>34</v>
      </c>
      <c r="E39086" s="21" t="s">
        <v>35</v>
      </c>
      <c r="F39086">
        <v>8780571</v>
      </c>
      <c r="G39086" t="s">
        <v>2336</v>
      </c>
      <c r="H39086" s="21">
        <v>458.62</v>
      </c>
    </row>
    <row r="39087" spans="1:8" customFormat="1" x14ac:dyDescent="0.25">
      <c r="A39087" t="str">
        <f>"5961040"</f>
        <v>5961040</v>
      </c>
      <c r="B39087" t="s">
        <v>6472</v>
      </c>
      <c r="C39087" t="s">
        <v>3309</v>
      </c>
      <c r="D39087" s="21" t="s">
        <v>34</v>
      </c>
      <c r="E39087" s="21" t="s">
        <v>35</v>
      </c>
      <c r="F39087">
        <v>7590223</v>
      </c>
      <c r="G39087" t="s">
        <v>5218</v>
      </c>
      <c r="H39087" s="21">
        <v>458.62</v>
      </c>
    </row>
    <row r="39088" spans="1:8" customFormat="1" x14ac:dyDescent="0.25">
      <c r="A39088" t="str">
        <f>"7642007"</f>
        <v>7642007</v>
      </c>
      <c r="B39088" t="s">
        <v>3209</v>
      </c>
      <c r="C39088" t="s">
        <v>9688</v>
      </c>
      <c r="D39088" s="21" t="s">
        <v>34</v>
      </c>
      <c r="E39088" s="21" t="s">
        <v>35</v>
      </c>
      <c r="F39088">
        <v>9760014</v>
      </c>
      <c r="G39088" t="s">
        <v>1017</v>
      </c>
      <c r="H39088" s="21">
        <v>458.5</v>
      </c>
    </row>
    <row r="39089" spans="1:8" customFormat="1" x14ac:dyDescent="0.25">
      <c r="A39089" t="str">
        <f>"5975472"</f>
        <v>5975472</v>
      </c>
      <c r="B39089" t="s">
        <v>6487</v>
      </c>
      <c r="C39089" t="s">
        <v>60</v>
      </c>
      <c r="D39089" s="21" t="s">
        <v>34</v>
      </c>
      <c r="E39089" s="21" t="s">
        <v>35</v>
      </c>
      <c r="F39089">
        <v>7590413</v>
      </c>
      <c r="G39089" t="s">
        <v>6848</v>
      </c>
      <c r="H39089" s="21">
        <v>458.5</v>
      </c>
    </row>
    <row r="39090" spans="1:8" customFormat="1" x14ac:dyDescent="0.25">
      <c r="A39090" t="str">
        <f>"2720385"</f>
        <v>2720385</v>
      </c>
      <c r="B39090" t="s">
        <v>18976</v>
      </c>
      <c r="C39090" t="s">
        <v>169</v>
      </c>
      <c r="D39090" s="21" t="s">
        <v>34</v>
      </c>
      <c r="E39090" s="21" t="s">
        <v>35</v>
      </c>
      <c r="F39090">
        <v>9270045</v>
      </c>
      <c r="G39090" t="s">
        <v>22742</v>
      </c>
      <c r="H39090" s="21">
        <v>458.5</v>
      </c>
    </row>
    <row r="39091" spans="1:8" customFormat="1" x14ac:dyDescent="0.25">
      <c r="A39091" t="str">
        <f>"4938376"</f>
        <v>4938376</v>
      </c>
      <c r="B39091" t="s">
        <v>1662</v>
      </c>
      <c r="C39091" t="s">
        <v>3217</v>
      </c>
      <c r="D39091" s="21" t="s">
        <v>34</v>
      </c>
      <c r="E39091" s="21" t="s">
        <v>35</v>
      </c>
      <c r="F39091">
        <v>12490074</v>
      </c>
      <c r="G39091" t="s">
        <v>6711</v>
      </c>
      <c r="H39091" s="21">
        <v>458.5</v>
      </c>
    </row>
    <row r="39092" spans="1:8" customFormat="1" x14ac:dyDescent="0.25">
      <c r="A39092" t="str">
        <f>"188500"</f>
        <v>188500</v>
      </c>
      <c r="B39092" t="s">
        <v>14340</v>
      </c>
      <c r="C39092" t="s">
        <v>209</v>
      </c>
      <c r="D39092" s="21" t="s">
        <v>34</v>
      </c>
      <c r="E39092" s="21" t="s">
        <v>35</v>
      </c>
      <c r="F39092">
        <v>4180734</v>
      </c>
      <c r="G39092" t="s">
        <v>8434</v>
      </c>
      <c r="H39092" s="21">
        <v>458.5</v>
      </c>
    </row>
    <row r="39093" spans="1:8" customFormat="1" x14ac:dyDescent="0.25">
      <c r="A39093" t="str">
        <f>"4220089"</f>
        <v>4220089</v>
      </c>
      <c r="B39093" t="s">
        <v>26688</v>
      </c>
      <c r="C39093" t="s">
        <v>55</v>
      </c>
      <c r="D39093" s="21" t="s">
        <v>34</v>
      </c>
      <c r="E39093" s="21" t="s">
        <v>35</v>
      </c>
      <c r="F39093">
        <v>1420048</v>
      </c>
      <c r="G39093" t="s">
        <v>745</v>
      </c>
      <c r="H39093" s="21">
        <v>458.12</v>
      </c>
    </row>
    <row r="39094" spans="1:8" customFormat="1" x14ac:dyDescent="0.25">
      <c r="A39094" t="str">
        <f>"5733081"</f>
        <v>5733081</v>
      </c>
      <c r="B39094" t="s">
        <v>23736</v>
      </c>
      <c r="C39094" t="s">
        <v>269</v>
      </c>
      <c r="D39094" s="21" t="s">
        <v>34</v>
      </c>
      <c r="E39094" s="21" t="s">
        <v>254</v>
      </c>
      <c r="F39094">
        <v>6570022</v>
      </c>
      <c r="G39094" t="s">
        <v>3870</v>
      </c>
      <c r="H39094" s="21">
        <v>458.12</v>
      </c>
    </row>
    <row r="39095" spans="1:8" customFormat="1" x14ac:dyDescent="0.25">
      <c r="A39095" t="str">
        <f>"4938318"</f>
        <v>4938318</v>
      </c>
      <c r="B39095" t="s">
        <v>12553</v>
      </c>
      <c r="C39095" t="s">
        <v>209</v>
      </c>
      <c r="D39095" s="21" t="s">
        <v>34</v>
      </c>
      <c r="E39095" s="21" t="s">
        <v>254</v>
      </c>
      <c r="F39095">
        <v>12490057</v>
      </c>
      <c r="G39095" t="s">
        <v>5946</v>
      </c>
      <c r="H39095" s="21">
        <v>458</v>
      </c>
    </row>
    <row r="39096" spans="1:8" customFormat="1" x14ac:dyDescent="0.25">
      <c r="A39096" t="str">
        <f>"9145959"</f>
        <v>9145959</v>
      </c>
      <c r="B39096" t="s">
        <v>4904</v>
      </c>
      <c r="C39096" t="s">
        <v>33</v>
      </c>
      <c r="D39096" s="21" t="s">
        <v>34</v>
      </c>
      <c r="E39096" s="21" t="s">
        <v>35</v>
      </c>
      <c r="F39096">
        <v>8910165</v>
      </c>
      <c r="G39096" t="s">
        <v>3184</v>
      </c>
      <c r="H39096" s="21">
        <v>458</v>
      </c>
    </row>
    <row r="39097" spans="1:8" customFormat="1" x14ac:dyDescent="0.25">
      <c r="A39097" t="str">
        <f>"2815223"</f>
        <v>2815223</v>
      </c>
      <c r="B39097" t="s">
        <v>19359</v>
      </c>
      <c r="C39097" t="s">
        <v>5578</v>
      </c>
      <c r="D39097" s="21" t="s">
        <v>34</v>
      </c>
      <c r="E39097" s="21" t="s">
        <v>35</v>
      </c>
      <c r="F39097">
        <v>4280048</v>
      </c>
      <c r="G39097" t="s">
        <v>3053</v>
      </c>
      <c r="H39097" s="21">
        <v>458</v>
      </c>
    </row>
    <row r="39098" spans="1:8" customFormat="1" x14ac:dyDescent="0.25">
      <c r="A39098" t="str">
        <f>"6316385"</f>
        <v>6316385</v>
      </c>
      <c r="B39098" t="s">
        <v>23332</v>
      </c>
      <c r="C39098" t="s">
        <v>1754</v>
      </c>
      <c r="D39098" s="21" t="s">
        <v>34</v>
      </c>
      <c r="E39098" s="21" t="s">
        <v>71</v>
      </c>
      <c r="F39098">
        <v>1630185</v>
      </c>
      <c r="G39098" t="s">
        <v>858</v>
      </c>
      <c r="H39098" s="21">
        <v>458</v>
      </c>
    </row>
    <row r="39099" spans="1:8" customFormat="1" x14ac:dyDescent="0.25">
      <c r="A39099" t="str">
        <f>"4937946"</f>
        <v>4937946</v>
      </c>
      <c r="B39099" t="s">
        <v>4457</v>
      </c>
      <c r="C39099" t="s">
        <v>926</v>
      </c>
      <c r="D39099" s="21" t="s">
        <v>34</v>
      </c>
      <c r="E39099" s="21" t="s">
        <v>35</v>
      </c>
      <c r="F39099">
        <v>12490062</v>
      </c>
      <c r="G39099" t="s">
        <v>9920</v>
      </c>
      <c r="H39099" s="21">
        <v>458</v>
      </c>
    </row>
    <row r="39100" spans="1:8" customFormat="1" x14ac:dyDescent="0.25">
      <c r="A39100" t="str">
        <f>"7879231"</f>
        <v>7879231</v>
      </c>
      <c r="B39100" t="s">
        <v>23140</v>
      </c>
      <c r="C39100" t="s">
        <v>209</v>
      </c>
      <c r="D39100" s="21" t="s">
        <v>34</v>
      </c>
      <c r="E39100" s="21" t="s">
        <v>254</v>
      </c>
      <c r="F39100">
        <v>8780584</v>
      </c>
      <c r="G39100" t="s">
        <v>18410</v>
      </c>
      <c r="H39100" s="21">
        <v>457.88</v>
      </c>
    </row>
    <row r="39101" spans="1:8" customFormat="1" x14ac:dyDescent="0.25">
      <c r="A39101" t="str">
        <f>"4926642"</f>
        <v>4926642</v>
      </c>
      <c r="B39101" t="s">
        <v>24785</v>
      </c>
      <c r="C39101" t="s">
        <v>87</v>
      </c>
      <c r="D39101" s="21" t="s">
        <v>34</v>
      </c>
      <c r="E39101" s="21" t="s">
        <v>71</v>
      </c>
      <c r="F39101">
        <v>12490004</v>
      </c>
      <c r="G39101" t="s">
        <v>6198</v>
      </c>
      <c r="H39101" s="21">
        <v>457.5</v>
      </c>
    </row>
    <row r="39102" spans="1:8" customFormat="1" x14ac:dyDescent="0.25">
      <c r="A39102" t="str">
        <f>"9146203"</f>
        <v>9146203</v>
      </c>
      <c r="B39102" t="s">
        <v>29709</v>
      </c>
      <c r="C39102" t="s">
        <v>1782</v>
      </c>
      <c r="D39102" s="21" t="s">
        <v>34</v>
      </c>
      <c r="E39102" s="21" t="s">
        <v>35</v>
      </c>
      <c r="F39102">
        <v>8910102</v>
      </c>
      <c r="G39102" t="s">
        <v>3079</v>
      </c>
      <c r="H39102" s="21">
        <v>457.5</v>
      </c>
    </row>
    <row r="39103" spans="1:8" customFormat="1" x14ac:dyDescent="0.25">
      <c r="A39103" t="str">
        <f>"4938662"</f>
        <v>4938662</v>
      </c>
      <c r="B39103" t="s">
        <v>21250</v>
      </c>
      <c r="C39103" t="s">
        <v>29710</v>
      </c>
      <c r="D39103" s="21" t="s">
        <v>34</v>
      </c>
      <c r="E39103" s="21" t="s">
        <v>35</v>
      </c>
      <c r="F39103">
        <v>12490004</v>
      </c>
      <c r="G39103" t="s">
        <v>6198</v>
      </c>
      <c r="H39103" s="21">
        <v>457.5</v>
      </c>
    </row>
    <row r="39104" spans="1:8" customFormat="1" x14ac:dyDescent="0.25">
      <c r="A39104" t="str">
        <f>"5983579"</f>
        <v>5983579</v>
      </c>
      <c r="B39104" t="s">
        <v>29711</v>
      </c>
      <c r="C39104" t="s">
        <v>4721</v>
      </c>
      <c r="D39104" s="21" t="s">
        <v>34</v>
      </c>
      <c r="E39104" s="21" t="s">
        <v>71</v>
      </c>
      <c r="F39104">
        <v>7590072</v>
      </c>
      <c r="G39104" t="s">
        <v>4059</v>
      </c>
      <c r="H39104" s="21">
        <v>457.5</v>
      </c>
    </row>
    <row r="39105" spans="1:8" customFormat="1" x14ac:dyDescent="0.25">
      <c r="A39105" t="str">
        <f>"2939181"</f>
        <v>2939181</v>
      </c>
      <c r="B39105" t="s">
        <v>29712</v>
      </c>
      <c r="C39105" t="s">
        <v>169</v>
      </c>
      <c r="D39105" s="21" t="s">
        <v>34</v>
      </c>
      <c r="E39105" s="21" t="s">
        <v>35</v>
      </c>
      <c r="F39105">
        <v>3290227</v>
      </c>
      <c r="G39105" t="s">
        <v>16400</v>
      </c>
      <c r="H39105" s="21">
        <v>457.5</v>
      </c>
    </row>
    <row r="39106" spans="1:8" customFormat="1" x14ac:dyDescent="0.25">
      <c r="A39106" t="str">
        <f>"5979340"</f>
        <v>5979340</v>
      </c>
      <c r="B39106" t="s">
        <v>24690</v>
      </c>
      <c r="C39106" t="s">
        <v>269</v>
      </c>
      <c r="D39106" s="21" t="s">
        <v>34</v>
      </c>
      <c r="E39106" s="21" t="s">
        <v>35</v>
      </c>
      <c r="F39106">
        <v>7590393</v>
      </c>
      <c r="G39106" t="s">
        <v>7754</v>
      </c>
      <c r="H39106" s="21">
        <v>457.5</v>
      </c>
    </row>
    <row r="39107" spans="1:8" customFormat="1" x14ac:dyDescent="0.25">
      <c r="A39107" t="str">
        <f>"6112601"</f>
        <v>6112601</v>
      </c>
      <c r="B39107" t="s">
        <v>760</v>
      </c>
      <c r="C39107" t="s">
        <v>211</v>
      </c>
      <c r="D39107" s="21" t="s">
        <v>34</v>
      </c>
      <c r="E39107" s="21" t="s">
        <v>35</v>
      </c>
      <c r="F39107">
        <v>9610004</v>
      </c>
      <c r="G39107" t="s">
        <v>1042</v>
      </c>
      <c r="H39107" s="21">
        <v>457.5</v>
      </c>
    </row>
    <row r="39108" spans="1:8" customFormat="1" x14ac:dyDescent="0.25">
      <c r="A39108" t="str">
        <f>"846936"</f>
        <v>846936</v>
      </c>
      <c r="B39108" t="s">
        <v>24812</v>
      </c>
      <c r="C39108" t="s">
        <v>576</v>
      </c>
      <c r="D39108" s="21" t="s">
        <v>34</v>
      </c>
      <c r="E39108" s="21" t="s">
        <v>35</v>
      </c>
      <c r="F39108">
        <v>13840038</v>
      </c>
      <c r="G39108" t="s">
        <v>8931</v>
      </c>
      <c r="H39108" s="21">
        <v>457.5</v>
      </c>
    </row>
    <row r="39109" spans="1:8" customFormat="1" x14ac:dyDescent="0.25">
      <c r="A39109" t="str">
        <f>"3421815"</f>
        <v>3421815</v>
      </c>
      <c r="B39109" t="s">
        <v>24677</v>
      </c>
      <c r="C39109" t="s">
        <v>1119</v>
      </c>
      <c r="D39109" s="21" t="s">
        <v>34</v>
      </c>
      <c r="E39109" s="21" t="s">
        <v>6185</v>
      </c>
      <c r="F39109">
        <v>11340067</v>
      </c>
      <c r="G39109" t="s">
        <v>2895</v>
      </c>
      <c r="H39109" s="21">
        <v>457.5</v>
      </c>
    </row>
    <row r="39110" spans="1:8" customFormat="1" x14ac:dyDescent="0.25">
      <c r="A39110" t="str">
        <f>"2935240"</f>
        <v>2935240</v>
      </c>
      <c r="B39110" t="s">
        <v>4013</v>
      </c>
      <c r="C39110" t="s">
        <v>87</v>
      </c>
      <c r="D39110" s="21" t="s">
        <v>34</v>
      </c>
      <c r="E39110" s="21" t="s">
        <v>1089</v>
      </c>
      <c r="F39110">
        <v>3290003</v>
      </c>
      <c r="G39110" t="s">
        <v>3764</v>
      </c>
      <c r="H39110" s="21">
        <v>457.25</v>
      </c>
    </row>
    <row r="39111" spans="1:8" customFormat="1" x14ac:dyDescent="0.25">
      <c r="A39111" t="str">
        <f>"3833559"</f>
        <v>3833559</v>
      </c>
      <c r="B39111" t="s">
        <v>461</v>
      </c>
      <c r="C39111" t="s">
        <v>484</v>
      </c>
      <c r="D39111" s="21" t="s">
        <v>34</v>
      </c>
      <c r="E39111" s="21" t="s">
        <v>35</v>
      </c>
      <c r="F39111">
        <v>1380246</v>
      </c>
      <c r="G39111" t="s">
        <v>27941</v>
      </c>
      <c r="H39111" s="21">
        <v>457</v>
      </c>
    </row>
    <row r="39112" spans="1:8" customFormat="1" x14ac:dyDescent="0.25">
      <c r="A39112" t="str">
        <f>"5114211"</f>
        <v>5114211</v>
      </c>
      <c r="B39112" t="s">
        <v>2403</v>
      </c>
      <c r="C39112" t="s">
        <v>121</v>
      </c>
      <c r="D39112" s="21" t="s">
        <v>34</v>
      </c>
      <c r="E39112" s="21" t="s">
        <v>35</v>
      </c>
      <c r="F39112">
        <v>6510040</v>
      </c>
      <c r="G39112" t="s">
        <v>9113</v>
      </c>
      <c r="H39112" s="21">
        <v>457</v>
      </c>
    </row>
    <row r="39113" spans="1:8" customFormat="1" x14ac:dyDescent="0.25">
      <c r="A39113" t="str">
        <f>"3344179"</f>
        <v>3344179</v>
      </c>
      <c r="B39113" t="s">
        <v>29713</v>
      </c>
      <c r="C39113" t="s">
        <v>288</v>
      </c>
      <c r="D39113" s="21" t="s">
        <v>34</v>
      </c>
      <c r="E39113" s="21" t="s">
        <v>35</v>
      </c>
      <c r="F39113">
        <v>10330076</v>
      </c>
      <c r="G39113" t="s">
        <v>3769</v>
      </c>
      <c r="H39113" s="21">
        <v>457</v>
      </c>
    </row>
    <row r="39114" spans="1:8" customFormat="1" x14ac:dyDescent="0.25">
      <c r="A39114" t="str">
        <f>"6316461"</f>
        <v>6316461</v>
      </c>
      <c r="B39114" t="s">
        <v>24502</v>
      </c>
      <c r="C39114" t="s">
        <v>267</v>
      </c>
      <c r="D39114" s="21" t="s">
        <v>34</v>
      </c>
      <c r="E39114" s="21" t="s">
        <v>71</v>
      </c>
      <c r="F39114">
        <v>1630012</v>
      </c>
      <c r="G39114" t="s">
        <v>8636</v>
      </c>
      <c r="H39114" s="21">
        <v>457</v>
      </c>
    </row>
    <row r="39115" spans="1:8" customFormat="1" x14ac:dyDescent="0.25">
      <c r="A39115" t="str">
        <f>"5318730"</f>
        <v>5318730</v>
      </c>
      <c r="B39115" t="s">
        <v>2690</v>
      </c>
      <c r="C39115" t="s">
        <v>621</v>
      </c>
      <c r="D39115" s="21" t="s">
        <v>34</v>
      </c>
      <c r="E39115" s="21" t="s">
        <v>71</v>
      </c>
      <c r="F39115">
        <v>12538900</v>
      </c>
      <c r="G39115" t="s">
        <v>14904</v>
      </c>
      <c r="H39115" s="21">
        <v>457</v>
      </c>
    </row>
    <row r="39116" spans="1:8" customFormat="1" x14ac:dyDescent="0.25">
      <c r="A39116" t="str">
        <f>"754536"</f>
        <v>754536</v>
      </c>
      <c r="B39116" t="s">
        <v>24683</v>
      </c>
      <c r="C39116" t="s">
        <v>712</v>
      </c>
      <c r="D39116" s="21" t="s">
        <v>34</v>
      </c>
      <c r="E39116" s="21" t="s">
        <v>1089</v>
      </c>
      <c r="F39116">
        <v>7800015</v>
      </c>
      <c r="G39116" t="s">
        <v>8701</v>
      </c>
      <c r="H39116" s="21">
        <v>457</v>
      </c>
    </row>
    <row r="39117" spans="1:8" customFormat="1" x14ac:dyDescent="0.25">
      <c r="A39117" t="str">
        <f>"9144940"</f>
        <v>9144940</v>
      </c>
      <c r="B39117" t="s">
        <v>1533</v>
      </c>
      <c r="C39117" t="s">
        <v>664</v>
      </c>
      <c r="D39117" s="21" t="s">
        <v>34</v>
      </c>
      <c r="E39117" s="21" t="s">
        <v>254</v>
      </c>
      <c r="F39117">
        <v>8911161</v>
      </c>
      <c r="G39117" t="s">
        <v>599</v>
      </c>
      <c r="H39117" s="21">
        <v>457</v>
      </c>
    </row>
    <row r="39118" spans="1:8" customFormat="1" x14ac:dyDescent="0.25">
      <c r="A39118" t="str">
        <f>"4449330"</f>
        <v>4449330</v>
      </c>
      <c r="B39118" t="s">
        <v>21162</v>
      </c>
      <c r="C39118" t="s">
        <v>547</v>
      </c>
      <c r="D39118" s="21" t="s">
        <v>34</v>
      </c>
      <c r="E39118" s="21" t="s">
        <v>35</v>
      </c>
      <c r="F39118">
        <v>12440042</v>
      </c>
      <c r="G39118" t="s">
        <v>10312</v>
      </c>
      <c r="H39118" s="21">
        <v>456.92</v>
      </c>
    </row>
    <row r="39119" spans="1:8" customFormat="1" x14ac:dyDescent="0.25">
      <c r="A39119" t="str">
        <f>"9314022"</f>
        <v>9314022</v>
      </c>
      <c r="B39119" t="s">
        <v>14951</v>
      </c>
      <c r="C39119" t="s">
        <v>130</v>
      </c>
      <c r="D39119" s="21" t="s">
        <v>34</v>
      </c>
      <c r="E39119" s="21" t="s">
        <v>254</v>
      </c>
      <c r="F39119">
        <v>8940073</v>
      </c>
      <c r="G39119" t="s">
        <v>1085</v>
      </c>
      <c r="H39119" s="21">
        <v>456.5</v>
      </c>
    </row>
    <row r="39120" spans="1:8" customFormat="1" x14ac:dyDescent="0.25">
      <c r="A39120" t="str">
        <f>"5977717"</f>
        <v>5977717</v>
      </c>
      <c r="B39120" t="s">
        <v>24798</v>
      </c>
      <c r="C39120" t="s">
        <v>206</v>
      </c>
      <c r="D39120" s="21" t="s">
        <v>34</v>
      </c>
      <c r="E39120" s="21" t="s">
        <v>35</v>
      </c>
      <c r="F39120">
        <v>7590044</v>
      </c>
      <c r="G39120" t="s">
        <v>2029</v>
      </c>
      <c r="H39120" s="21">
        <v>456.5</v>
      </c>
    </row>
    <row r="39121" spans="1:8" customFormat="1" x14ac:dyDescent="0.25">
      <c r="A39121" t="str">
        <f>"3332487"</f>
        <v>3332487</v>
      </c>
      <c r="B39121" t="s">
        <v>29714</v>
      </c>
      <c r="C39121" t="s">
        <v>33</v>
      </c>
      <c r="D39121" s="21" t="s">
        <v>34</v>
      </c>
      <c r="E39121" s="21" t="s">
        <v>35</v>
      </c>
      <c r="F39121">
        <v>10330099</v>
      </c>
      <c r="G39121" t="s">
        <v>10670</v>
      </c>
      <c r="H39121" s="21">
        <v>456.5</v>
      </c>
    </row>
    <row r="39122" spans="1:8" customFormat="1" x14ac:dyDescent="0.25">
      <c r="A39122" t="str">
        <f>"3537831"</f>
        <v>3537831</v>
      </c>
      <c r="B39122" t="s">
        <v>10254</v>
      </c>
      <c r="C39122" t="s">
        <v>9352</v>
      </c>
      <c r="D39122" s="21" t="s">
        <v>34</v>
      </c>
      <c r="E39122" s="21" t="s">
        <v>35</v>
      </c>
      <c r="F39122">
        <v>3350011</v>
      </c>
      <c r="G39122" t="s">
        <v>2404</v>
      </c>
      <c r="H39122" s="21">
        <v>456.38</v>
      </c>
    </row>
    <row r="39123" spans="1:8" customFormat="1" x14ac:dyDescent="0.25">
      <c r="A39123" t="str">
        <f>"5935355"</f>
        <v>5935355</v>
      </c>
      <c r="B39123" t="s">
        <v>24512</v>
      </c>
      <c r="C39123" t="s">
        <v>1812</v>
      </c>
      <c r="D39123" s="21" t="s">
        <v>34</v>
      </c>
      <c r="E39123" s="21" t="s">
        <v>254</v>
      </c>
      <c r="F39123">
        <v>7590141</v>
      </c>
      <c r="G39123" t="s">
        <v>21305</v>
      </c>
      <c r="H39123" s="21">
        <v>456</v>
      </c>
    </row>
    <row r="39124" spans="1:8" customFormat="1" x14ac:dyDescent="0.25">
      <c r="A39124" t="str">
        <f>"6312306"</f>
        <v>6312306</v>
      </c>
      <c r="B39124" t="s">
        <v>9060</v>
      </c>
      <c r="C39124" t="s">
        <v>5855</v>
      </c>
      <c r="D39124" s="21" t="s">
        <v>34</v>
      </c>
      <c r="E39124" s="21" t="s">
        <v>35</v>
      </c>
      <c r="F39124">
        <v>1630249</v>
      </c>
      <c r="G39124" t="s">
        <v>1237</v>
      </c>
      <c r="H39124" s="21">
        <v>456</v>
      </c>
    </row>
    <row r="39125" spans="1:8" customFormat="1" x14ac:dyDescent="0.25">
      <c r="A39125" t="str">
        <f>"2517102"</f>
        <v>2517102</v>
      </c>
      <c r="B39125" t="s">
        <v>24539</v>
      </c>
      <c r="C39125" t="s">
        <v>469</v>
      </c>
      <c r="D39125" s="21" t="s">
        <v>34</v>
      </c>
      <c r="E39125" s="21" t="s">
        <v>71</v>
      </c>
      <c r="F39125">
        <v>2250196</v>
      </c>
      <c r="G39125" t="s">
        <v>27452</v>
      </c>
      <c r="H39125" s="21">
        <v>456</v>
      </c>
    </row>
    <row r="39126" spans="1:8" customFormat="1" x14ac:dyDescent="0.25">
      <c r="A39126" t="str">
        <f>"9535967"</f>
        <v>9535967</v>
      </c>
      <c r="B39126" t="s">
        <v>7867</v>
      </c>
      <c r="C39126" t="s">
        <v>3456</v>
      </c>
      <c r="D39126" s="21" t="s">
        <v>34</v>
      </c>
      <c r="E39126" s="21" t="s">
        <v>35</v>
      </c>
      <c r="F39126">
        <v>8950545</v>
      </c>
      <c r="G39126" t="s">
        <v>14503</v>
      </c>
      <c r="H39126" s="21">
        <v>456</v>
      </c>
    </row>
    <row r="39127" spans="1:8" customFormat="1" x14ac:dyDescent="0.25">
      <c r="A39127" t="str">
        <f>"7920499"</f>
        <v>7920499</v>
      </c>
      <c r="B39127" t="s">
        <v>3645</v>
      </c>
      <c r="C39127" t="s">
        <v>269</v>
      </c>
      <c r="D39127" s="21" t="s">
        <v>34</v>
      </c>
      <c r="E39127" s="21" t="s">
        <v>71</v>
      </c>
      <c r="F39127">
        <v>10790162</v>
      </c>
      <c r="G39127" t="s">
        <v>6039</v>
      </c>
      <c r="H39127" s="21">
        <v>456</v>
      </c>
    </row>
    <row r="39128" spans="1:8" customFormat="1" x14ac:dyDescent="0.25">
      <c r="A39128" t="str">
        <f>"992336"</f>
        <v>992336</v>
      </c>
      <c r="B39128" t="s">
        <v>25126</v>
      </c>
      <c r="C39128" t="s">
        <v>98</v>
      </c>
      <c r="D39128" s="21" t="s">
        <v>34</v>
      </c>
      <c r="E39128" s="21" t="s">
        <v>35</v>
      </c>
      <c r="F39128">
        <v>5990007</v>
      </c>
      <c r="G39128" t="s">
        <v>15719</v>
      </c>
      <c r="H39128" s="21">
        <v>455.62</v>
      </c>
    </row>
    <row r="39129" spans="1:8" customFormat="1" x14ac:dyDescent="0.25">
      <c r="A39129" t="str">
        <f>"9458719"</f>
        <v>9458719</v>
      </c>
      <c r="B39129" t="s">
        <v>2480</v>
      </c>
      <c r="C39129" t="s">
        <v>109</v>
      </c>
      <c r="D39129" s="21" t="s">
        <v>34</v>
      </c>
      <c r="E39129" s="21" t="s">
        <v>35</v>
      </c>
      <c r="F39129">
        <v>8940052</v>
      </c>
      <c r="G39129" t="s">
        <v>190</v>
      </c>
      <c r="H39129" s="21">
        <v>455.5</v>
      </c>
    </row>
    <row r="39130" spans="1:8" customFormat="1" x14ac:dyDescent="0.25">
      <c r="A39130" t="str">
        <f>"7874237"</f>
        <v>7874237</v>
      </c>
      <c r="B39130" t="s">
        <v>24626</v>
      </c>
      <c r="C39130" t="s">
        <v>2100</v>
      </c>
      <c r="D39130" s="21" t="s">
        <v>34</v>
      </c>
      <c r="E39130" s="21" t="s">
        <v>71</v>
      </c>
      <c r="F39130">
        <v>8780571</v>
      </c>
      <c r="G39130" t="s">
        <v>2336</v>
      </c>
      <c r="H39130" s="21">
        <v>455.5</v>
      </c>
    </row>
    <row r="39131" spans="1:8" customFormat="1" x14ac:dyDescent="0.25">
      <c r="A39131" t="str">
        <f>"1613672"</f>
        <v>1613672</v>
      </c>
      <c r="B39131" t="s">
        <v>2218</v>
      </c>
      <c r="C39131" t="s">
        <v>3073</v>
      </c>
      <c r="D39131" s="21" t="s">
        <v>34</v>
      </c>
      <c r="E39131" s="21" t="s">
        <v>254</v>
      </c>
      <c r="F39131">
        <v>10160225</v>
      </c>
      <c r="G39131" t="s">
        <v>2865</v>
      </c>
      <c r="H39131" s="21">
        <v>455.5</v>
      </c>
    </row>
    <row r="39132" spans="1:8" customFormat="1" x14ac:dyDescent="0.25">
      <c r="A39132" t="str">
        <f>"3537607"</f>
        <v>3537607</v>
      </c>
      <c r="B39132" t="s">
        <v>12179</v>
      </c>
      <c r="C39132" t="s">
        <v>130</v>
      </c>
      <c r="D39132" s="21" t="s">
        <v>34</v>
      </c>
      <c r="E39132" s="21" t="s">
        <v>71</v>
      </c>
      <c r="F39132">
        <v>3350227</v>
      </c>
      <c r="G39132" t="s">
        <v>9187</v>
      </c>
      <c r="H39132" s="21">
        <v>455.5</v>
      </c>
    </row>
    <row r="39133" spans="1:8" customFormat="1" x14ac:dyDescent="0.25">
      <c r="A39133" t="str">
        <f>"707333"</f>
        <v>707333</v>
      </c>
      <c r="B39133" t="s">
        <v>29715</v>
      </c>
      <c r="C39133" t="s">
        <v>33</v>
      </c>
      <c r="D39133" s="21" t="s">
        <v>34</v>
      </c>
      <c r="E39133" s="21" t="s">
        <v>35</v>
      </c>
      <c r="F39133">
        <v>2700015</v>
      </c>
      <c r="G39133" t="s">
        <v>9856</v>
      </c>
      <c r="H39133" s="21">
        <v>455.38</v>
      </c>
    </row>
    <row r="39134" spans="1:8" customFormat="1" x14ac:dyDescent="0.25">
      <c r="A39134" t="str">
        <f>"7522293"</f>
        <v>7522293</v>
      </c>
      <c r="B39134" t="s">
        <v>21538</v>
      </c>
      <c r="C39134" t="s">
        <v>211</v>
      </c>
      <c r="D39134" s="21" t="s">
        <v>34</v>
      </c>
      <c r="E39134" s="21" t="s">
        <v>71</v>
      </c>
      <c r="F39134">
        <v>8751371</v>
      </c>
      <c r="G39134" t="s">
        <v>6605</v>
      </c>
      <c r="H39134" s="21">
        <v>455.25</v>
      </c>
    </row>
    <row r="39135" spans="1:8" customFormat="1" x14ac:dyDescent="0.25">
      <c r="A39135" t="str">
        <f>"7643127"</f>
        <v>7643127</v>
      </c>
      <c r="B39135" t="s">
        <v>3930</v>
      </c>
      <c r="C39135" t="s">
        <v>169</v>
      </c>
      <c r="D39135" s="21" t="s">
        <v>34</v>
      </c>
      <c r="E39135" s="21" t="s">
        <v>35</v>
      </c>
      <c r="F39135">
        <v>9760259</v>
      </c>
      <c r="G39135" t="s">
        <v>6926</v>
      </c>
      <c r="H39135" s="21">
        <v>455</v>
      </c>
    </row>
    <row r="39136" spans="1:8" customFormat="1" x14ac:dyDescent="0.25">
      <c r="A39136" t="str">
        <f>"9143942"</f>
        <v>9143942</v>
      </c>
      <c r="B39136" t="s">
        <v>18200</v>
      </c>
      <c r="C39136" t="s">
        <v>1025</v>
      </c>
      <c r="D39136" s="21" t="s">
        <v>34</v>
      </c>
      <c r="E39136" s="21" t="s">
        <v>35</v>
      </c>
      <c r="F39136">
        <v>8910916</v>
      </c>
      <c r="G39136" t="s">
        <v>2251</v>
      </c>
      <c r="H39136" s="21">
        <v>454.88</v>
      </c>
    </row>
    <row r="39137" spans="1:8" customFormat="1" x14ac:dyDescent="0.25">
      <c r="A39137" t="str">
        <f>"7730814"</f>
        <v>7730814</v>
      </c>
      <c r="B39137" t="s">
        <v>7375</v>
      </c>
      <c r="C39137" t="s">
        <v>204</v>
      </c>
      <c r="D39137" s="21" t="s">
        <v>34</v>
      </c>
      <c r="E39137" s="21" t="s">
        <v>35</v>
      </c>
      <c r="F39137">
        <v>8771025</v>
      </c>
      <c r="G39137" t="s">
        <v>5469</v>
      </c>
      <c r="H39137" s="21">
        <v>454.62</v>
      </c>
    </row>
    <row r="39138" spans="1:8" customFormat="1" x14ac:dyDescent="0.25">
      <c r="A39138" t="str">
        <f>"2517287"</f>
        <v>2517287</v>
      </c>
      <c r="B39138" t="s">
        <v>19551</v>
      </c>
      <c r="C39138" t="s">
        <v>2520</v>
      </c>
      <c r="D39138" s="21" t="s">
        <v>34</v>
      </c>
      <c r="E39138" s="21" t="s">
        <v>71</v>
      </c>
      <c r="F39138">
        <v>2250216</v>
      </c>
      <c r="G39138" t="s">
        <v>11454</v>
      </c>
      <c r="H39138" s="21">
        <v>454.5</v>
      </c>
    </row>
    <row r="39139" spans="1:8" customFormat="1" x14ac:dyDescent="0.25">
      <c r="A39139" t="str">
        <f>"4455783"</f>
        <v>4455783</v>
      </c>
      <c r="B39139" t="s">
        <v>11856</v>
      </c>
      <c r="C39139" t="s">
        <v>262</v>
      </c>
      <c r="D39139" s="21" t="s">
        <v>34</v>
      </c>
      <c r="E39139" s="21" t="s">
        <v>35</v>
      </c>
      <c r="F39139">
        <v>12440142</v>
      </c>
      <c r="G39139" t="s">
        <v>3285</v>
      </c>
      <c r="H39139" s="21">
        <v>454.5</v>
      </c>
    </row>
    <row r="39140" spans="1:8" customFormat="1" x14ac:dyDescent="0.25">
      <c r="A39140" t="str">
        <f>"7220447"</f>
        <v>7220447</v>
      </c>
      <c r="B39140" t="s">
        <v>146</v>
      </c>
      <c r="C39140" t="s">
        <v>33</v>
      </c>
      <c r="D39140" s="21" t="s">
        <v>34</v>
      </c>
      <c r="E39140" s="21" t="s">
        <v>35</v>
      </c>
      <c r="F39140">
        <v>12720070</v>
      </c>
      <c r="G39140" t="s">
        <v>2348</v>
      </c>
      <c r="H39140" s="21">
        <v>454</v>
      </c>
    </row>
    <row r="39141" spans="1:8" customFormat="1" x14ac:dyDescent="0.25">
      <c r="A39141" t="str">
        <f>"4457567"</f>
        <v>4457567</v>
      </c>
      <c r="B39141" t="s">
        <v>29716</v>
      </c>
      <c r="C39141" t="s">
        <v>204</v>
      </c>
      <c r="D39141" s="21" t="s">
        <v>34</v>
      </c>
      <c r="E39141" s="21" t="s">
        <v>35</v>
      </c>
      <c r="F39141">
        <v>12440014</v>
      </c>
      <c r="G39141" t="s">
        <v>6767</v>
      </c>
      <c r="H39141" s="21">
        <v>454</v>
      </c>
    </row>
    <row r="39142" spans="1:8" customFormat="1" x14ac:dyDescent="0.25">
      <c r="A39142" t="str">
        <f>"5984324"</f>
        <v>5984324</v>
      </c>
      <c r="B39142" t="s">
        <v>29717</v>
      </c>
      <c r="C39142" t="s">
        <v>209</v>
      </c>
      <c r="D39142" s="21" t="s">
        <v>34</v>
      </c>
      <c r="E39142" s="21" t="s">
        <v>71</v>
      </c>
      <c r="F39142">
        <v>7590402</v>
      </c>
      <c r="G39142" t="s">
        <v>1623</v>
      </c>
      <c r="H39142" s="21">
        <v>453.5</v>
      </c>
    </row>
    <row r="39143" spans="1:8" customFormat="1" x14ac:dyDescent="0.25">
      <c r="A39143" t="str">
        <f>"3537879"</f>
        <v>3537879</v>
      </c>
      <c r="B39143" t="s">
        <v>15334</v>
      </c>
      <c r="C39143" t="s">
        <v>664</v>
      </c>
      <c r="D39143" s="21" t="s">
        <v>34</v>
      </c>
      <c r="E39143" s="21" t="s">
        <v>71</v>
      </c>
      <c r="F39143">
        <v>3350209</v>
      </c>
      <c r="G39143" t="s">
        <v>3023</v>
      </c>
      <c r="H39143" s="21">
        <v>453.5</v>
      </c>
    </row>
    <row r="39144" spans="1:8" customFormat="1" x14ac:dyDescent="0.25">
      <c r="A39144" t="str">
        <f>"4113361"</f>
        <v>4113361</v>
      </c>
      <c r="B39144" t="s">
        <v>2686</v>
      </c>
      <c r="C39144" t="s">
        <v>453</v>
      </c>
      <c r="D39144" s="21" t="s">
        <v>34</v>
      </c>
      <c r="E39144" s="21" t="s">
        <v>254</v>
      </c>
      <c r="F39144">
        <v>4410724</v>
      </c>
      <c r="G39144" t="s">
        <v>15872</v>
      </c>
      <c r="H39144" s="21">
        <v>453.5</v>
      </c>
    </row>
    <row r="39145" spans="1:8" customFormat="1" x14ac:dyDescent="0.25">
      <c r="A39145" t="str">
        <f>"8316796"</f>
        <v>8316796</v>
      </c>
      <c r="B39145" t="s">
        <v>9353</v>
      </c>
      <c r="C39145" t="s">
        <v>656</v>
      </c>
      <c r="D39145" s="21" t="s">
        <v>34</v>
      </c>
      <c r="E39145" s="21" t="s">
        <v>35</v>
      </c>
      <c r="F39145">
        <v>13830014</v>
      </c>
      <c r="G39145" t="s">
        <v>5757</v>
      </c>
      <c r="H39145" s="21">
        <v>453</v>
      </c>
    </row>
    <row r="39146" spans="1:8" customFormat="1" x14ac:dyDescent="0.25">
      <c r="A39146" t="str">
        <f>"1424643"</f>
        <v>1424643</v>
      </c>
      <c r="B39146" t="s">
        <v>22629</v>
      </c>
      <c r="C39146" t="s">
        <v>40</v>
      </c>
      <c r="D39146" s="21" t="s">
        <v>34</v>
      </c>
      <c r="E39146" s="21" t="s">
        <v>254</v>
      </c>
      <c r="F39146">
        <v>9140012</v>
      </c>
      <c r="G39146" t="s">
        <v>26518</v>
      </c>
      <c r="H39146" s="21">
        <v>453</v>
      </c>
    </row>
    <row r="39147" spans="1:8" customFormat="1" x14ac:dyDescent="0.25">
      <c r="A39147" t="str">
        <f>"4920583"</f>
        <v>4920583</v>
      </c>
      <c r="B39147" t="s">
        <v>6401</v>
      </c>
      <c r="C39147" t="s">
        <v>114</v>
      </c>
      <c r="D39147" s="21" t="s">
        <v>34</v>
      </c>
      <c r="E39147" s="21" t="s">
        <v>35</v>
      </c>
      <c r="F39147">
        <v>12490062</v>
      </c>
      <c r="G39147" t="s">
        <v>9920</v>
      </c>
      <c r="H39147" s="21">
        <v>453</v>
      </c>
    </row>
    <row r="39148" spans="1:8" customFormat="1" x14ac:dyDescent="0.25">
      <c r="A39148" t="str">
        <f>"3338310"</f>
        <v>3338310</v>
      </c>
      <c r="B39148" t="s">
        <v>24805</v>
      </c>
      <c r="C39148" t="s">
        <v>2907</v>
      </c>
      <c r="D39148" s="21" t="s">
        <v>34</v>
      </c>
      <c r="E39148" s="21" t="s">
        <v>71</v>
      </c>
      <c r="F39148">
        <v>10330025</v>
      </c>
      <c r="G39148" t="s">
        <v>4450</v>
      </c>
      <c r="H39148" s="21">
        <v>453</v>
      </c>
    </row>
    <row r="39149" spans="1:8" customFormat="1" x14ac:dyDescent="0.25">
      <c r="A39149" t="str">
        <f>"6234074"</f>
        <v>6234074</v>
      </c>
      <c r="B39149" t="s">
        <v>8660</v>
      </c>
      <c r="C39149" t="s">
        <v>21717</v>
      </c>
      <c r="D39149" s="21" t="s">
        <v>34</v>
      </c>
      <c r="E39149" s="21" t="s">
        <v>71</v>
      </c>
      <c r="F39149">
        <v>7620181</v>
      </c>
      <c r="G39149" t="s">
        <v>2268</v>
      </c>
      <c r="H39149" s="21">
        <v>452.5</v>
      </c>
    </row>
    <row r="39150" spans="1:8" customFormat="1" x14ac:dyDescent="0.25">
      <c r="A39150" t="str">
        <f>"6232891"</f>
        <v>6232891</v>
      </c>
      <c r="B39150" t="s">
        <v>23559</v>
      </c>
      <c r="C39150" t="s">
        <v>169</v>
      </c>
      <c r="D39150" s="21" t="s">
        <v>34</v>
      </c>
      <c r="E39150" s="21" t="s">
        <v>35</v>
      </c>
      <c r="F39150">
        <v>7620145</v>
      </c>
      <c r="G39150" t="s">
        <v>2068</v>
      </c>
      <c r="H39150" s="21">
        <v>452.5</v>
      </c>
    </row>
    <row r="39151" spans="1:8" customFormat="1" x14ac:dyDescent="0.25">
      <c r="A39151" t="str">
        <f>"0212485"</f>
        <v>0212485</v>
      </c>
      <c r="B39151" t="s">
        <v>29718</v>
      </c>
      <c r="C39151" t="s">
        <v>49</v>
      </c>
      <c r="D39151" s="21" t="s">
        <v>34</v>
      </c>
      <c r="E39151" s="21" t="s">
        <v>35</v>
      </c>
      <c r="F39151">
        <v>7020003</v>
      </c>
      <c r="G39151" t="s">
        <v>7268</v>
      </c>
      <c r="H39151" s="21">
        <v>452.5</v>
      </c>
    </row>
    <row r="39152" spans="1:8" customFormat="1" x14ac:dyDescent="0.25">
      <c r="A39152" t="str">
        <f>"7730902"</f>
        <v>7730902</v>
      </c>
      <c r="B39152" t="s">
        <v>29719</v>
      </c>
      <c r="C39152" t="s">
        <v>33</v>
      </c>
      <c r="D39152" s="21" t="s">
        <v>34</v>
      </c>
      <c r="E39152" s="21" t="s">
        <v>35</v>
      </c>
      <c r="F39152">
        <v>8771170</v>
      </c>
      <c r="G39152" t="s">
        <v>50</v>
      </c>
      <c r="H39152" s="21">
        <v>452.25</v>
      </c>
    </row>
    <row r="39153" spans="1:8" customFormat="1" x14ac:dyDescent="0.25">
      <c r="A39153" t="str">
        <f>"7220416"</f>
        <v>7220416</v>
      </c>
      <c r="B39153" t="s">
        <v>264</v>
      </c>
      <c r="C39153" t="s">
        <v>343</v>
      </c>
      <c r="D39153" s="21" t="s">
        <v>34</v>
      </c>
      <c r="E39153" s="21" t="s">
        <v>35</v>
      </c>
      <c r="F39153">
        <v>12720067</v>
      </c>
      <c r="G39153" t="s">
        <v>10622</v>
      </c>
      <c r="H39153" s="21">
        <v>452</v>
      </c>
    </row>
    <row r="39154" spans="1:8" customFormat="1" x14ac:dyDescent="0.25">
      <c r="A39154" t="str">
        <f>"3536955"</f>
        <v>3536955</v>
      </c>
      <c r="B39154" t="s">
        <v>8803</v>
      </c>
      <c r="C39154" t="s">
        <v>305</v>
      </c>
      <c r="D39154" s="21" t="s">
        <v>34</v>
      </c>
      <c r="E39154" s="21" t="s">
        <v>35</v>
      </c>
      <c r="F39154">
        <v>3350074</v>
      </c>
      <c r="G39154" t="s">
        <v>5432</v>
      </c>
      <c r="H39154" s="21">
        <v>452</v>
      </c>
    </row>
    <row r="39155" spans="1:8" customFormat="1" x14ac:dyDescent="0.25">
      <c r="A39155" t="str">
        <f>"106812"</f>
        <v>106812</v>
      </c>
      <c r="B39155" t="s">
        <v>12482</v>
      </c>
      <c r="C39155" t="s">
        <v>275</v>
      </c>
      <c r="D39155" s="21" t="s">
        <v>34</v>
      </c>
      <c r="E39155" s="21" t="s">
        <v>71</v>
      </c>
      <c r="F39155">
        <v>6100016</v>
      </c>
      <c r="G39155" t="s">
        <v>7558</v>
      </c>
      <c r="H39155" s="21">
        <v>452</v>
      </c>
    </row>
    <row r="39156" spans="1:8" customFormat="1" x14ac:dyDescent="0.25">
      <c r="A39156" t="str">
        <f>"4927267"</f>
        <v>4927267</v>
      </c>
      <c r="B39156" t="s">
        <v>461</v>
      </c>
      <c r="C39156" t="s">
        <v>598</v>
      </c>
      <c r="D39156" s="21" t="s">
        <v>34</v>
      </c>
      <c r="E39156" s="21" t="s">
        <v>254</v>
      </c>
      <c r="F39156">
        <v>12490127</v>
      </c>
      <c r="G39156" t="s">
        <v>4034</v>
      </c>
      <c r="H39156" s="21">
        <v>451.75</v>
      </c>
    </row>
    <row r="39157" spans="1:8" customFormat="1" x14ac:dyDescent="0.25">
      <c r="A39157" t="str">
        <f>"7628687"</f>
        <v>7628687</v>
      </c>
      <c r="B39157" t="s">
        <v>29720</v>
      </c>
      <c r="C39157" t="s">
        <v>1665</v>
      </c>
      <c r="D39157" s="21" t="s">
        <v>34</v>
      </c>
      <c r="E39157" s="21" t="s">
        <v>254</v>
      </c>
      <c r="F39157">
        <v>8780871</v>
      </c>
      <c r="G39157" t="s">
        <v>3405</v>
      </c>
      <c r="H39157" s="21">
        <v>451</v>
      </c>
    </row>
    <row r="39158" spans="1:8" customFormat="1" x14ac:dyDescent="0.25">
      <c r="A39158" t="str">
        <f>"7732300"</f>
        <v>7732300</v>
      </c>
      <c r="B39158" t="s">
        <v>18273</v>
      </c>
      <c r="C39158" t="s">
        <v>528</v>
      </c>
      <c r="D39158" s="21" t="s">
        <v>34</v>
      </c>
      <c r="E39158" s="21" t="s">
        <v>35</v>
      </c>
      <c r="F39158">
        <v>8771172</v>
      </c>
      <c r="G39158" t="s">
        <v>12662</v>
      </c>
      <c r="H39158" s="21">
        <v>451</v>
      </c>
    </row>
    <row r="39159" spans="1:8" customFormat="1" x14ac:dyDescent="0.25">
      <c r="A39159" t="str">
        <f>"25956"</f>
        <v>25956</v>
      </c>
      <c r="B39159" t="s">
        <v>24076</v>
      </c>
      <c r="C39159" t="s">
        <v>24077</v>
      </c>
      <c r="D39159" s="21" t="s">
        <v>34</v>
      </c>
      <c r="E39159" s="21" t="s">
        <v>6185</v>
      </c>
      <c r="F39159">
        <v>2250052</v>
      </c>
      <c r="G39159" t="s">
        <v>5443</v>
      </c>
      <c r="H39159" s="21">
        <v>450.88</v>
      </c>
    </row>
    <row r="39160" spans="1:8" customFormat="1" x14ac:dyDescent="0.25">
      <c r="A39160" t="str">
        <f>"5011184"</f>
        <v>5011184</v>
      </c>
      <c r="B39160" t="s">
        <v>24186</v>
      </c>
      <c r="C39160" t="s">
        <v>415</v>
      </c>
      <c r="D39160" s="21" t="s">
        <v>34</v>
      </c>
      <c r="E39160" s="21" t="s">
        <v>254</v>
      </c>
      <c r="F39160">
        <v>12720084</v>
      </c>
      <c r="G39160" t="s">
        <v>7532</v>
      </c>
      <c r="H39160" s="21">
        <v>450.5</v>
      </c>
    </row>
    <row r="39161" spans="1:8" customFormat="1" x14ac:dyDescent="0.25">
      <c r="A39161" t="str">
        <f>"3537202"</f>
        <v>3537202</v>
      </c>
      <c r="B39161" t="s">
        <v>24615</v>
      </c>
      <c r="C39161" t="s">
        <v>4158</v>
      </c>
      <c r="D39161" s="21" t="s">
        <v>34</v>
      </c>
      <c r="E39161" s="21" t="s">
        <v>35</v>
      </c>
      <c r="F39161">
        <v>3350223</v>
      </c>
      <c r="G39161" t="s">
        <v>17373</v>
      </c>
      <c r="H39161" s="21">
        <v>450</v>
      </c>
    </row>
    <row r="39162" spans="1:8" customFormat="1" x14ac:dyDescent="0.25">
      <c r="A39162" t="str">
        <f>"9321148"</f>
        <v>9321148</v>
      </c>
      <c r="B39162" t="s">
        <v>1533</v>
      </c>
      <c r="C39162" t="s">
        <v>328</v>
      </c>
      <c r="D39162" s="21" t="s">
        <v>34</v>
      </c>
      <c r="E39162" s="21" t="s">
        <v>35</v>
      </c>
      <c r="F39162">
        <v>8930490</v>
      </c>
      <c r="G39162" t="s">
        <v>1563</v>
      </c>
      <c r="H39162" s="21">
        <v>450</v>
      </c>
    </row>
    <row r="39163" spans="1:8" customFormat="1" x14ac:dyDescent="0.25">
      <c r="A39163" t="str">
        <f>"876900"</f>
        <v>876900</v>
      </c>
      <c r="B39163" t="s">
        <v>24737</v>
      </c>
      <c r="C39163" t="s">
        <v>288</v>
      </c>
      <c r="D39163" s="21" t="s">
        <v>34</v>
      </c>
      <c r="E39163" s="21" t="s">
        <v>35</v>
      </c>
      <c r="F39163">
        <v>10870003</v>
      </c>
      <c r="G39163" t="s">
        <v>1187</v>
      </c>
      <c r="H39163" s="21">
        <v>449.5</v>
      </c>
    </row>
    <row r="39164" spans="1:8" customFormat="1" x14ac:dyDescent="0.25">
      <c r="A39164" t="str">
        <f>"6316677"</f>
        <v>6316677</v>
      </c>
      <c r="B39164" t="s">
        <v>17539</v>
      </c>
      <c r="C39164" t="s">
        <v>547</v>
      </c>
      <c r="D39164" s="21" t="s">
        <v>34</v>
      </c>
      <c r="E39164" s="21" t="s">
        <v>71</v>
      </c>
      <c r="F39164">
        <v>1630317</v>
      </c>
      <c r="G39164" t="s">
        <v>7523</v>
      </c>
      <c r="H39164" s="21">
        <v>449.5</v>
      </c>
    </row>
    <row r="39165" spans="1:8" customFormat="1" x14ac:dyDescent="0.25">
      <c r="A39165" t="str">
        <f>"188322"</f>
        <v>188322</v>
      </c>
      <c r="B39165" t="s">
        <v>24075</v>
      </c>
      <c r="C39165" t="s">
        <v>3010</v>
      </c>
      <c r="D39165" s="21" t="s">
        <v>34</v>
      </c>
      <c r="E39165" s="21" t="s">
        <v>254</v>
      </c>
      <c r="F39165">
        <v>4180057</v>
      </c>
      <c r="G39165" t="s">
        <v>9021</v>
      </c>
      <c r="H39165" s="21">
        <v>449.38</v>
      </c>
    </row>
    <row r="39166" spans="1:8" customFormat="1" x14ac:dyDescent="0.25">
      <c r="A39166" t="str">
        <f>"114482"</f>
        <v>114482</v>
      </c>
      <c r="B39166" t="s">
        <v>29721</v>
      </c>
      <c r="C39166" t="s">
        <v>40</v>
      </c>
      <c r="D39166" s="21" t="s">
        <v>34</v>
      </c>
      <c r="E39166" s="21" t="s">
        <v>35</v>
      </c>
      <c r="F39166">
        <v>11110026</v>
      </c>
      <c r="G39166" t="s">
        <v>17718</v>
      </c>
      <c r="H39166" s="21">
        <v>449.12</v>
      </c>
    </row>
    <row r="39167" spans="1:8" customFormat="1" x14ac:dyDescent="0.25">
      <c r="A39167" t="str">
        <f>"7630541"</f>
        <v>7630541</v>
      </c>
      <c r="B39167" t="s">
        <v>23613</v>
      </c>
      <c r="C39167" t="s">
        <v>40</v>
      </c>
      <c r="D39167" s="21" t="s">
        <v>34</v>
      </c>
      <c r="E39167" s="21" t="s">
        <v>71</v>
      </c>
      <c r="F39167">
        <v>9760390</v>
      </c>
      <c r="G39167" t="s">
        <v>17285</v>
      </c>
      <c r="H39167" s="21">
        <v>448.5</v>
      </c>
    </row>
    <row r="39168" spans="1:8" customFormat="1" x14ac:dyDescent="0.25">
      <c r="A39168" t="str">
        <f>"9147058"</f>
        <v>9147058</v>
      </c>
      <c r="B39168" t="s">
        <v>2360</v>
      </c>
      <c r="C39168" t="s">
        <v>82</v>
      </c>
      <c r="D39168" s="21" t="s">
        <v>34</v>
      </c>
      <c r="E39168" s="21" t="s">
        <v>35</v>
      </c>
      <c r="F39168">
        <v>8911161</v>
      </c>
      <c r="G39168" t="s">
        <v>599</v>
      </c>
      <c r="H39168" s="21">
        <v>448.5</v>
      </c>
    </row>
    <row r="39169" spans="1:8" customFormat="1" x14ac:dyDescent="0.25">
      <c r="A39169" t="str">
        <f>"4938388"</f>
        <v>4938388</v>
      </c>
      <c r="B39169" t="s">
        <v>22527</v>
      </c>
      <c r="C39169" t="s">
        <v>29722</v>
      </c>
      <c r="D39169" s="21" t="s">
        <v>34</v>
      </c>
      <c r="E39169" s="21" t="s">
        <v>35</v>
      </c>
      <c r="F39169">
        <v>12490052</v>
      </c>
      <c r="G39169" t="s">
        <v>2732</v>
      </c>
      <c r="H39169" s="21">
        <v>448.12</v>
      </c>
    </row>
    <row r="39170" spans="1:8" customFormat="1" x14ac:dyDescent="0.25">
      <c r="A39170" t="str">
        <f>"737990"</f>
        <v>737990</v>
      </c>
      <c r="B39170" t="s">
        <v>22798</v>
      </c>
      <c r="C39170" t="s">
        <v>1539</v>
      </c>
      <c r="D39170" s="21" t="s">
        <v>34</v>
      </c>
      <c r="E39170" s="21" t="s">
        <v>6185</v>
      </c>
      <c r="F39170">
        <v>9270089</v>
      </c>
      <c r="G39170" t="s">
        <v>1009</v>
      </c>
      <c r="H39170" s="21">
        <v>448</v>
      </c>
    </row>
    <row r="39171" spans="1:8" customFormat="1" x14ac:dyDescent="0.25">
      <c r="A39171" t="str">
        <f>"8311327"</f>
        <v>8311327</v>
      </c>
      <c r="B39171" t="s">
        <v>29723</v>
      </c>
      <c r="C39171" t="s">
        <v>93</v>
      </c>
      <c r="D39171" s="21" t="s">
        <v>34</v>
      </c>
      <c r="E39171" s="21" t="s">
        <v>254</v>
      </c>
      <c r="F39171">
        <v>13830066</v>
      </c>
      <c r="G39171" t="s">
        <v>7148</v>
      </c>
      <c r="H39171" s="21">
        <v>448</v>
      </c>
    </row>
    <row r="39172" spans="1:8" customFormat="1" x14ac:dyDescent="0.25">
      <c r="A39172" t="str">
        <f>"2517644"</f>
        <v>2517644</v>
      </c>
      <c r="B39172" t="s">
        <v>29724</v>
      </c>
      <c r="C39172" t="s">
        <v>40</v>
      </c>
      <c r="D39172" s="21" t="s">
        <v>34</v>
      </c>
      <c r="E39172" s="21" t="s">
        <v>71</v>
      </c>
      <c r="F39172">
        <v>2250216</v>
      </c>
      <c r="G39172" t="s">
        <v>11454</v>
      </c>
      <c r="H39172" s="21">
        <v>448</v>
      </c>
    </row>
    <row r="39173" spans="1:8" customFormat="1" x14ac:dyDescent="0.25">
      <c r="A39173" t="str">
        <f>"4218222"</f>
        <v>4218222</v>
      </c>
      <c r="B39173" t="s">
        <v>24793</v>
      </c>
      <c r="C39173" t="s">
        <v>453</v>
      </c>
      <c r="D39173" s="21" t="s">
        <v>34</v>
      </c>
      <c r="E39173" s="21" t="s">
        <v>35</v>
      </c>
      <c r="F39173">
        <v>1690196</v>
      </c>
      <c r="G39173" t="s">
        <v>6149</v>
      </c>
      <c r="H39173" s="21">
        <v>447.38</v>
      </c>
    </row>
    <row r="39174" spans="1:8" customFormat="1" x14ac:dyDescent="0.25">
      <c r="A39174" t="str">
        <f>"367722"</f>
        <v>367722</v>
      </c>
      <c r="B39174" t="s">
        <v>14399</v>
      </c>
      <c r="C39174" t="s">
        <v>130</v>
      </c>
      <c r="D39174" s="21" t="s">
        <v>34</v>
      </c>
      <c r="E39174" s="21" t="s">
        <v>71</v>
      </c>
      <c r="F39174">
        <v>4360002</v>
      </c>
      <c r="G39174" t="s">
        <v>222</v>
      </c>
      <c r="H39174" s="21">
        <v>447.12</v>
      </c>
    </row>
    <row r="39175" spans="1:8" customFormat="1" x14ac:dyDescent="0.25">
      <c r="A39175" t="str">
        <f>"7641535"</f>
        <v>7641535</v>
      </c>
      <c r="B39175" t="s">
        <v>10933</v>
      </c>
      <c r="C39175" t="s">
        <v>2904</v>
      </c>
      <c r="D39175" s="21" t="s">
        <v>34</v>
      </c>
      <c r="E39175" s="21" t="s">
        <v>71</v>
      </c>
      <c r="F39175">
        <v>9760214</v>
      </c>
      <c r="G39175" t="s">
        <v>12889</v>
      </c>
      <c r="H39175" s="21">
        <v>447</v>
      </c>
    </row>
    <row r="39176" spans="1:8" customFormat="1" x14ac:dyDescent="0.25">
      <c r="A39176" t="str">
        <f>"6934737"</f>
        <v>6934737</v>
      </c>
      <c r="B39176" t="s">
        <v>24632</v>
      </c>
      <c r="C39176" t="s">
        <v>253</v>
      </c>
      <c r="D39176" s="21" t="s">
        <v>34</v>
      </c>
      <c r="E39176" s="21" t="s">
        <v>254</v>
      </c>
      <c r="F39176">
        <v>1690102</v>
      </c>
      <c r="G39176" t="s">
        <v>2081</v>
      </c>
      <c r="H39176" s="21">
        <v>447</v>
      </c>
    </row>
    <row r="39177" spans="1:8" customFormat="1" x14ac:dyDescent="0.25">
      <c r="A39177" t="str">
        <f>"9321838"</f>
        <v>9321838</v>
      </c>
      <c r="B39177" t="s">
        <v>29725</v>
      </c>
      <c r="C39177" t="s">
        <v>253</v>
      </c>
      <c r="D39177" s="21" t="s">
        <v>34</v>
      </c>
      <c r="E39177" s="21" t="s">
        <v>254</v>
      </c>
      <c r="F39177">
        <v>8931057</v>
      </c>
      <c r="G39177" t="s">
        <v>1011</v>
      </c>
      <c r="H39177" s="21">
        <v>446.88</v>
      </c>
    </row>
    <row r="39178" spans="1:8" customFormat="1" x14ac:dyDescent="0.25">
      <c r="A39178" t="str">
        <f>"3425684"</f>
        <v>3425684</v>
      </c>
      <c r="B39178" t="s">
        <v>3942</v>
      </c>
      <c r="C39178" t="s">
        <v>328</v>
      </c>
      <c r="D39178" s="21" t="s">
        <v>34</v>
      </c>
      <c r="E39178" s="21" t="s">
        <v>71</v>
      </c>
      <c r="F39178">
        <v>11340001</v>
      </c>
      <c r="G39178" t="s">
        <v>9248</v>
      </c>
      <c r="H39178" s="21">
        <v>446.5</v>
      </c>
    </row>
    <row r="39179" spans="1:8" customFormat="1" x14ac:dyDescent="0.25">
      <c r="A39179" t="str">
        <f>"7731000"</f>
        <v>7731000</v>
      </c>
      <c r="B39179" t="s">
        <v>24354</v>
      </c>
      <c r="C39179" t="s">
        <v>253</v>
      </c>
      <c r="D39179" s="21" t="s">
        <v>34</v>
      </c>
      <c r="E39179" s="21" t="s">
        <v>254</v>
      </c>
      <c r="F39179">
        <v>8771025</v>
      </c>
      <c r="G39179" t="s">
        <v>5469</v>
      </c>
      <c r="H39179" s="21">
        <v>445.75</v>
      </c>
    </row>
    <row r="39180" spans="1:8" customFormat="1" x14ac:dyDescent="0.25">
      <c r="A39180" t="str">
        <f>"5327311"</f>
        <v>5327311</v>
      </c>
      <c r="B39180" t="s">
        <v>503</v>
      </c>
      <c r="C39180" t="s">
        <v>40</v>
      </c>
      <c r="D39180" s="21" t="s">
        <v>34</v>
      </c>
      <c r="E39180" s="21" t="s">
        <v>71</v>
      </c>
      <c r="F39180">
        <v>12530098</v>
      </c>
      <c r="G39180" t="s">
        <v>8852</v>
      </c>
      <c r="H39180" s="21">
        <v>445.5</v>
      </c>
    </row>
    <row r="39181" spans="1:8" customFormat="1" x14ac:dyDescent="0.25">
      <c r="A39181" t="str">
        <f>"5980260"</f>
        <v>5980260</v>
      </c>
      <c r="B39181" t="s">
        <v>12023</v>
      </c>
      <c r="C39181" t="s">
        <v>60</v>
      </c>
      <c r="D39181" s="21" t="s">
        <v>34</v>
      </c>
      <c r="E39181" s="21" t="s">
        <v>35</v>
      </c>
      <c r="F39181">
        <v>7590004</v>
      </c>
      <c r="G39181" t="s">
        <v>4816</v>
      </c>
      <c r="H39181" s="21">
        <v>445</v>
      </c>
    </row>
    <row r="39182" spans="1:8" customFormat="1" x14ac:dyDescent="0.25">
      <c r="A39182" t="str">
        <f>"4510815"</f>
        <v>4510815</v>
      </c>
      <c r="B39182" t="s">
        <v>23510</v>
      </c>
      <c r="C39182" t="s">
        <v>598</v>
      </c>
      <c r="D39182" s="21" t="s">
        <v>34</v>
      </c>
      <c r="E39182" s="21" t="s">
        <v>254</v>
      </c>
      <c r="F39182">
        <v>4450750</v>
      </c>
      <c r="G39182" t="s">
        <v>6572</v>
      </c>
      <c r="H39182" s="21">
        <v>444.25</v>
      </c>
    </row>
    <row r="39183" spans="1:8" customFormat="1" x14ac:dyDescent="0.25">
      <c r="A39183" t="str">
        <f>"3344240"</f>
        <v>3344240</v>
      </c>
      <c r="B39183" t="s">
        <v>12807</v>
      </c>
      <c r="C39183" t="s">
        <v>204</v>
      </c>
      <c r="D39183" s="21" t="s">
        <v>34</v>
      </c>
      <c r="E39183" s="21" t="s">
        <v>71</v>
      </c>
      <c r="F39183">
        <v>10330099</v>
      </c>
      <c r="G39183" t="s">
        <v>10670</v>
      </c>
      <c r="H39183" s="21">
        <v>443.5</v>
      </c>
    </row>
    <row r="39184" spans="1:8" customFormat="1" x14ac:dyDescent="0.25">
      <c r="A39184" t="str">
        <f>"5983820"</f>
        <v>5983820</v>
      </c>
      <c r="B39184" t="s">
        <v>3930</v>
      </c>
      <c r="C39184" t="s">
        <v>664</v>
      </c>
      <c r="D39184" s="21" t="s">
        <v>34</v>
      </c>
      <c r="E39184" s="21" t="s">
        <v>254</v>
      </c>
      <c r="F39184">
        <v>7590259</v>
      </c>
      <c r="G39184" t="s">
        <v>6385</v>
      </c>
      <c r="H39184" s="21">
        <v>443</v>
      </c>
    </row>
    <row r="39185" spans="1:8" customFormat="1" x14ac:dyDescent="0.25">
      <c r="A39185" t="str">
        <f>"0212038"</f>
        <v>0212038</v>
      </c>
      <c r="B39185" t="s">
        <v>12681</v>
      </c>
      <c r="C39185" t="s">
        <v>320</v>
      </c>
      <c r="D39185" s="21" t="s">
        <v>34</v>
      </c>
      <c r="E39185" s="21" t="s">
        <v>35</v>
      </c>
      <c r="F39185">
        <v>7021005</v>
      </c>
      <c r="G39185" t="s">
        <v>5996</v>
      </c>
      <c r="H39185" s="21">
        <v>443</v>
      </c>
    </row>
    <row r="39186" spans="1:8" customFormat="1" x14ac:dyDescent="0.25">
      <c r="A39186" t="str">
        <f>"5326890"</f>
        <v>5326890</v>
      </c>
      <c r="B39186" t="s">
        <v>3072</v>
      </c>
      <c r="C39186" t="s">
        <v>239</v>
      </c>
      <c r="D39186" s="21" t="s">
        <v>34</v>
      </c>
      <c r="E39186" s="21" t="s">
        <v>71</v>
      </c>
      <c r="F39186">
        <v>12530033</v>
      </c>
      <c r="G39186" t="s">
        <v>10046</v>
      </c>
      <c r="H39186" s="21">
        <v>442.5</v>
      </c>
    </row>
    <row r="39187" spans="1:8" customFormat="1" x14ac:dyDescent="0.25">
      <c r="A39187" t="str">
        <f>"0618748"</f>
        <v>0618748</v>
      </c>
      <c r="B39187" t="s">
        <v>29726</v>
      </c>
      <c r="C39187" t="s">
        <v>2475</v>
      </c>
      <c r="D39187" s="21" t="s">
        <v>34</v>
      </c>
      <c r="E39187" s="21" t="s">
        <v>35</v>
      </c>
      <c r="F39187">
        <v>13060043</v>
      </c>
      <c r="G39187" t="s">
        <v>4761</v>
      </c>
      <c r="H39187" s="21">
        <v>442.5</v>
      </c>
    </row>
    <row r="39188" spans="1:8" customFormat="1" x14ac:dyDescent="0.25">
      <c r="A39188" t="str">
        <f>"776080"</f>
        <v>776080</v>
      </c>
      <c r="B39188" t="s">
        <v>22650</v>
      </c>
      <c r="C39188" t="s">
        <v>598</v>
      </c>
      <c r="D39188" s="21" t="s">
        <v>34</v>
      </c>
      <c r="E39188" s="21" t="s">
        <v>254</v>
      </c>
      <c r="F39188">
        <v>4450750</v>
      </c>
      <c r="G39188" t="s">
        <v>6572</v>
      </c>
      <c r="H39188" s="21">
        <v>442</v>
      </c>
    </row>
    <row r="39189" spans="1:8" customFormat="1" x14ac:dyDescent="0.25">
      <c r="A39189" t="str">
        <f>"844653"</f>
        <v>844653</v>
      </c>
      <c r="B39189" t="s">
        <v>24711</v>
      </c>
      <c r="C39189" t="s">
        <v>415</v>
      </c>
      <c r="D39189" s="21" t="s">
        <v>34</v>
      </c>
      <c r="E39189" s="21" t="s">
        <v>35</v>
      </c>
      <c r="F39189">
        <v>13840058</v>
      </c>
      <c r="G39189" t="s">
        <v>7032</v>
      </c>
      <c r="H39189" s="21">
        <v>441.75</v>
      </c>
    </row>
    <row r="39190" spans="1:8" customFormat="1" x14ac:dyDescent="0.25">
      <c r="A39190" t="str">
        <f>"3118052"</f>
        <v>3118052</v>
      </c>
      <c r="B39190" t="s">
        <v>1574</v>
      </c>
      <c r="C39190" t="s">
        <v>239</v>
      </c>
      <c r="D39190" s="21" t="s">
        <v>34</v>
      </c>
      <c r="E39190" s="21" t="s">
        <v>35</v>
      </c>
      <c r="F39190">
        <v>11310099</v>
      </c>
      <c r="G39190" t="s">
        <v>8881</v>
      </c>
      <c r="H39190" s="21">
        <v>440.5</v>
      </c>
    </row>
    <row r="39191" spans="1:8" customFormat="1" x14ac:dyDescent="0.25">
      <c r="A39191" t="str">
        <f>"257085"</f>
        <v>257085</v>
      </c>
      <c r="B39191" t="s">
        <v>1611</v>
      </c>
      <c r="C39191" t="s">
        <v>60</v>
      </c>
      <c r="D39191" s="21" t="s">
        <v>34</v>
      </c>
      <c r="E39191" s="21" t="s">
        <v>35</v>
      </c>
      <c r="F39191">
        <v>2250213</v>
      </c>
      <c r="G39191" t="s">
        <v>1969</v>
      </c>
      <c r="H39191" s="21">
        <v>437.5</v>
      </c>
    </row>
    <row r="39192" spans="1:8" customFormat="1" x14ac:dyDescent="0.25">
      <c r="A39192" t="str">
        <f>"1321758"</f>
        <v>1321758</v>
      </c>
      <c r="B39192" t="s">
        <v>400</v>
      </c>
      <c r="C39192" t="s">
        <v>156</v>
      </c>
      <c r="D39192" s="21" t="s">
        <v>34</v>
      </c>
      <c r="E39192" s="21" t="s">
        <v>71</v>
      </c>
      <c r="F39192">
        <v>13130005</v>
      </c>
      <c r="G39192" t="s">
        <v>2008</v>
      </c>
      <c r="H39192" s="21">
        <v>436.5</v>
      </c>
    </row>
    <row r="39193" spans="1:8" customFormat="1" x14ac:dyDescent="0.25">
      <c r="A39193" t="str">
        <f>"1910070"</f>
        <v>1910070</v>
      </c>
      <c r="B39193" t="s">
        <v>24710</v>
      </c>
      <c r="C39193" t="s">
        <v>246</v>
      </c>
      <c r="D39193" s="21" t="s">
        <v>34</v>
      </c>
      <c r="E39193" s="21" t="s">
        <v>254</v>
      </c>
      <c r="F39193">
        <v>10190073</v>
      </c>
      <c r="G39193" t="s">
        <v>2366</v>
      </c>
      <c r="H39193" s="21">
        <v>436.38</v>
      </c>
    </row>
    <row r="39194" spans="1:8" customFormat="1" x14ac:dyDescent="0.25">
      <c r="A39194" t="str">
        <f>"308565"</f>
        <v>308565</v>
      </c>
      <c r="B39194" t="s">
        <v>3416</v>
      </c>
      <c r="C39194" t="s">
        <v>455</v>
      </c>
      <c r="D39194" s="21" t="s">
        <v>34</v>
      </c>
      <c r="E39194" s="21" t="s">
        <v>35</v>
      </c>
      <c r="F39194">
        <v>11300041</v>
      </c>
      <c r="G39194" t="s">
        <v>8074</v>
      </c>
      <c r="H39194" s="21">
        <v>433.5</v>
      </c>
    </row>
    <row r="39195" spans="1:8" customFormat="1" x14ac:dyDescent="0.25">
      <c r="A39195" t="str">
        <f>"2720336"</f>
        <v>2720336</v>
      </c>
      <c r="B39195" t="s">
        <v>22616</v>
      </c>
      <c r="C39195" t="s">
        <v>246</v>
      </c>
      <c r="D39195" s="21" t="s">
        <v>34</v>
      </c>
      <c r="E39195" s="21" t="s">
        <v>254</v>
      </c>
      <c r="F39195">
        <v>9270041</v>
      </c>
      <c r="G39195" t="s">
        <v>4698</v>
      </c>
      <c r="H39195" s="21">
        <v>433.5</v>
      </c>
    </row>
    <row r="39196" spans="1:8" customFormat="1" x14ac:dyDescent="0.25">
      <c r="A39196" t="str">
        <f>"153295"</f>
        <v>153295</v>
      </c>
      <c r="B39196" t="s">
        <v>6315</v>
      </c>
      <c r="C39196" t="s">
        <v>3905</v>
      </c>
      <c r="D39196" s="21" t="s">
        <v>34</v>
      </c>
      <c r="E39196" s="21" t="s">
        <v>1089</v>
      </c>
      <c r="F39196">
        <v>1150299</v>
      </c>
      <c r="G39196" t="s">
        <v>22499</v>
      </c>
      <c r="H39196" s="21">
        <v>432.75</v>
      </c>
    </row>
    <row r="39197" spans="1:8" customFormat="1" x14ac:dyDescent="0.25">
      <c r="A39197" t="str">
        <f>"6024089"</f>
        <v>6024089</v>
      </c>
      <c r="B39197" t="s">
        <v>29727</v>
      </c>
      <c r="C39197" t="s">
        <v>1025</v>
      </c>
      <c r="D39197" s="21" t="s">
        <v>34</v>
      </c>
      <c r="E39197" s="21" t="s">
        <v>35</v>
      </c>
      <c r="F39197">
        <v>7600126</v>
      </c>
      <c r="G39197" t="s">
        <v>2516</v>
      </c>
      <c r="H39197" s="21">
        <v>432</v>
      </c>
    </row>
    <row r="39198" spans="1:8" customFormat="1" x14ac:dyDescent="0.25">
      <c r="A39198" t="str">
        <f>"4113156"</f>
        <v>4113156</v>
      </c>
      <c r="B39198" t="s">
        <v>24818</v>
      </c>
      <c r="C39198" t="s">
        <v>1146</v>
      </c>
      <c r="D39198" s="21" t="s">
        <v>34</v>
      </c>
      <c r="E39198" s="21" t="s">
        <v>35</v>
      </c>
      <c r="F39198">
        <v>4410016</v>
      </c>
      <c r="G39198" t="s">
        <v>4365</v>
      </c>
      <c r="H39198" s="21">
        <v>424.5</v>
      </c>
    </row>
    <row r="39199" spans="1:8" customFormat="1" x14ac:dyDescent="0.25">
      <c r="A39199" t="str">
        <f>"7882230"</f>
        <v>7882230</v>
      </c>
      <c r="B39199" t="s">
        <v>4229</v>
      </c>
      <c r="C39199" t="s">
        <v>428</v>
      </c>
      <c r="D39199" s="21" t="s">
        <v>34</v>
      </c>
      <c r="E39199" s="21" t="s">
        <v>35</v>
      </c>
      <c r="F39199">
        <v>8780584</v>
      </c>
      <c r="G39199" t="s">
        <v>18410</v>
      </c>
      <c r="H39199" s="21">
        <v>423.12</v>
      </c>
    </row>
    <row r="39200" spans="1:8" customFormat="1" x14ac:dyDescent="0.25">
      <c r="A39200" t="str">
        <f>"2713905"</f>
        <v>2713905</v>
      </c>
      <c r="B39200" t="s">
        <v>4865</v>
      </c>
      <c r="C39200" t="s">
        <v>1665</v>
      </c>
      <c r="D39200" s="21" t="s">
        <v>34</v>
      </c>
      <c r="E39200" s="21" t="s">
        <v>254</v>
      </c>
      <c r="F39200">
        <v>9270177</v>
      </c>
      <c r="G39200" t="s">
        <v>10384</v>
      </c>
      <c r="H39200" s="21">
        <v>421.62</v>
      </c>
    </row>
    <row r="39201" spans="1:8" customFormat="1" x14ac:dyDescent="0.25">
      <c r="A39201" t="str">
        <f>"7222681"</f>
        <v>7222681</v>
      </c>
      <c r="B39201" t="s">
        <v>16182</v>
      </c>
      <c r="C39201" t="s">
        <v>2479</v>
      </c>
      <c r="D39201" s="21" t="s">
        <v>34</v>
      </c>
      <c r="E39201" s="21" t="s">
        <v>71</v>
      </c>
      <c r="F39201">
        <v>12720081</v>
      </c>
      <c r="G39201" t="s">
        <v>6360</v>
      </c>
      <c r="H39201" s="21">
        <v>414.62</v>
      </c>
    </row>
    <row r="39202" spans="1:8" customFormat="1" x14ac:dyDescent="0.25">
      <c r="A39202" t="str">
        <f>"1410742"</f>
        <v>1410742</v>
      </c>
      <c r="B39202" t="s">
        <v>7369</v>
      </c>
      <c r="C39202" t="s">
        <v>24819</v>
      </c>
      <c r="D39202" s="21" t="s">
        <v>24820</v>
      </c>
      <c r="E39202" s="21" t="s">
        <v>35</v>
      </c>
      <c r="F39202">
        <v>10860035</v>
      </c>
      <c r="G39202" t="s">
        <v>4019</v>
      </c>
      <c r="H39202" s="21">
        <v>2565.17</v>
      </c>
    </row>
    <row r="39203" spans="1:8" customFormat="1" x14ac:dyDescent="0.25">
      <c r="A39203" t="str">
        <f>"5313975"</f>
        <v>5313975</v>
      </c>
      <c r="B39203" t="s">
        <v>24821</v>
      </c>
      <c r="C39203" t="s">
        <v>24822</v>
      </c>
      <c r="D39203" s="21" t="s">
        <v>24820</v>
      </c>
      <c r="E39203" s="21" t="s">
        <v>35</v>
      </c>
      <c r="F39203">
        <v>7590127</v>
      </c>
      <c r="G39203" t="s">
        <v>214</v>
      </c>
      <c r="H39203" s="21">
        <v>2276.3000000000002</v>
      </c>
    </row>
    <row r="39204" spans="1:8" customFormat="1" x14ac:dyDescent="0.25">
      <c r="A39204" t="str">
        <f>"946268"</f>
        <v>946268</v>
      </c>
      <c r="B39204" t="s">
        <v>17029</v>
      </c>
      <c r="C39204" t="s">
        <v>23734</v>
      </c>
      <c r="D39204" s="21" t="s">
        <v>24820</v>
      </c>
      <c r="E39204" s="21" t="s">
        <v>35</v>
      </c>
      <c r="F39204">
        <v>9760168</v>
      </c>
      <c r="G39204" t="s">
        <v>179</v>
      </c>
      <c r="H39204" s="21">
        <v>2109.3000000000002</v>
      </c>
    </row>
    <row r="39205" spans="1:8" customFormat="1" x14ac:dyDescent="0.25">
      <c r="A39205" t="str">
        <f>"349172"</f>
        <v>349172</v>
      </c>
      <c r="B39205" t="s">
        <v>24823</v>
      </c>
      <c r="C39205" t="s">
        <v>24824</v>
      </c>
      <c r="D39205" s="21" t="s">
        <v>24820</v>
      </c>
      <c r="E39205" s="21" t="s">
        <v>35</v>
      </c>
      <c r="F39205">
        <v>12850030</v>
      </c>
      <c r="G39205" t="s">
        <v>5078</v>
      </c>
      <c r="H39205" s="21">
        <v>2090.67</v>
      </c>
    </row>
    <row r="39206" spans="1:8" customFormat="1" x14ac:dyDescent="0.25">
      <c r="A39206" t="str">
        <f>"9517938"</f>
        <v>9517938</v>
      </c>
      <c r="B39206" t="s">
        <v>78</v>
      </c>
      <c r="C39206" t="s">
        <v>24825</v>
      </c>
      <c r="D39206" s="21" t="s">
        <v>24820</v>
      </c>
      <c r="E39206" s="21" t="s">
        <v>35</v>
      </c>
      <c r="F39206">
        <v>8751163</v>
      </c>
      <c r="G39206" t="s">
        <v>80</v>
      </c>
      <c r="H39206" s="21">
        <v>1895.17</v>
      </c>
    </row>
    <row r="39207" spans="1:8" customFormat="1" x14ac:dyDescent="0.25">
      <c r="A39207" t="str">
        <f>"5926185"</f>
        <v>5926185</v>
      </c>
      <c r="B39207" t="s">
        <v>24826</v>
      </c>
      <c r="C39207" t="s">
        <v>24827</v>
      </c>
      <c r="D39207" s="21" t="s">
        <v>24820</v>
      </c>
      <c r="E39207" s="21" t="s">
        <v>35</v>
      </c>
      <c r="F39207">
        <v>7590194</v>
      </c>
      <c r="G39207" t="s">
        <v>460</v>
      </c>
      <c r="H39207" s="21">
        <v>1881.67</v>
      </c>
    </row>
    <row r="39208" spans="1:8" customFormat="1" x14ac:dyDescent="0.25">
      <c r="A39208" t="str">
        <f>"3324094"</f>
        <v>3324094</v>
      </c>
      <c r="B39208" t="s">
        <v>5028</v>
      </c>
      <c r="C39208" t="s">
        <v>24828</v>
      </c>
      <c r="D39208" s="21" t="s">
        <v>24820</v>
      </c>
      <c r="E39208" s="21" t="s">
        <v>35</v>
      </c>
      <c r="F39208">
        <v>10330004</v>
      </c>
      <c r="G39208" t="s">
        <v>525</v>
      </c>
      <c r="H39208" s="21">
        <v>1785.67</v>
      </c>
    </row>
    <row r="39209" spans="1:8" customFormat="1" x14ac:dyDescent="0.25">
      <c r="A39209" t="str">
        <f>"9419873"</f>
        <v>9419873</v>
      </c>
      <c r="B39209" t="s">
        <v>24829</v>
      </c>
      <c r="C39209" t="s">
        <v>24830</v>
      </c>
      <c r="D39209" s="21" t="s">
        <v>24820</v>
      </c>
      <c r="E39209" s="21" t="s">
        <v>35</v>
      </c>
      <c r="F39209">
        <v>12440058</v>
      </c>
      <c r="G39209" t="s">
        <v>394</v>
      </c>
      <c r="H39209" s="21">
        <v>1623.17</v>
      </c>
    </row>
    <row r="39210" spans="1:8" customFormat="1" x14ac:dyDescent="0.25">
      <c r="A39210" t="str">
        <f>"4920148"</f>
        <v>4920148</v>
      </c>
      <c r="B39210" t="s">
        <v>1745</v>
      </c>
      <c r="C39210" t="s">
        <v>24832</v>
      </c>
      <c r="D39210" s="21" t="s">
        <v>24820</v>
      </c>
      <c r="E39210" s="21" t="s">
        <v>35</v>
      </c>
      <c r="F39210">
        <v>12490080</v>
      </c>
      <c r="G39210" t="s">
        <v>5692</v>
      </c>
      <c r="H39210" s="21">
        <v>1591.17</v>
      </c>
    </row>
    <row r="39211" spans="1:8" customFormat="1" x14ac:dyDescent="0.25">
      <c r="A39211" t="str">
        <f>"4511796"</f>
        <v>4511796</v>
      </c>
      <c r="B39211" t="s">
        <v>24834</v>
      </c>
      <c r="C39211" t="s">
        <v>23734</v>
      </c>
      <c r="D39211" s="21" t="s">
        <v>24820</v>
      </c>
      <c r="E39211" s="21" t="s">
        <v>35</v>
      </c>
      <c r="F39211">
        <v>4450754</v>
      </c>
      <c r="G39211" t="s">
        <v>2695</v>
      </c>
      <c r="H39211" s="21">
        <v>1577.42</v>
      </c>
    </row>
    <row r="39212" spans="1:8" customFormat="1" x14ac:dyDescent="0.25">
      <c r="A39212" t="str">
        <f>"3518745"</f>
        <v>3518745</v>
      </c>
      <c r="B39212" t="s">
        <v>24358</v>
      </c>
      <c r="C39212" t="s">
        <v>22831</v>
      </c>
      <c r="D39212" s="21" t="s">
        <v>24820</v>
      </c>
      <c r="E39212" s="21" t="s">
        <v>71</v>
      </c>
      <c r="F39212">
        <v>3290029</v>
      </c>
      <c r="G39212" t="s">
        <v>11486</v>
      </c>
      <c r="H39212" s="21">
        <v>1574.17</v>
      </c>
    </row>
    <row r="39213" spans="1:8" customFormat="1" x14ac:dyDescent="0.25">
      <c r="A39213" t="str">
        <f>"68137"</f>
        <v>68137</v>
      </c>
      <c r="B39213" t="s">
        <v>24839</v>
      </c>
      <c r="C39213" t="s">
        <v>24824</v>
      </c>
      <c r="D39213" s="21" t="s">
        <v>24820</v>
      </c>
      <c r="E39213" s="21" t="s">
        <v>35</v>
      </c>
      <c r="F39213">
        <v>6680105</v>
      </c>
      <c r="G39213" t="s">
        <v>403</v>
      </c>
      <c r="H39213" s="21">
        <v>1551.17</v>
      </c>
    </row>
    <row r="39214" spans="1:8" customFormat="1" x14ac:dyDescent="0.25">
      <c r="A39214" t="str">
        <f>"8514416"</f>
        <v>8514416</v>
      </c>
      <c r="B39214" t="s">
        <v>1719</v>
      </c>
      <c r="C39214" t="s">
        <v>24833</v>
      </c>
      <c r="D39214" s="21" t="s">
        <v>24820</v>
      </c>
      <c r="E39214" s="21" t="s">
        <v>35</v>
      </c>
      <c r="F39214">
        <v>8910876</v>
      </c>
      <c r="G39214" t="s">
        <v>1721</v>
      </c>
      <c r="H39214" s="21">
        <v>1509.17</v>
      </c>
    </row>
    <row r="39215" spans="1:8" customFormat="1" x14ac:dyDescent="0.25">
      <c r="A39215" t="str">
        <f>"7711318"</f>
        <v>7711318</v>
      </c>
      <c r="B39215" t="s">
        <v>24837</v>
      </c>
      <c r="C39215" t="s">
        <v>24838</v>
      </c>
      <c r="D39215" s="21" t="s">
        <v>24820</v>
      </c>
      <c r="E39215" s="21" t="s">
        <v>35</v>
      </c>
      <c r="F39215">
        <v>7620067</v>
      </c>
      <c r="G39215" t="s">
        <v>860</v>
      </c>
      <c r="H39215" s="21">
        <v>1501.67</v>
      </c>
    </row>
    <row r="39216" spans="1:8" customFormat="1" x14ac:dyDescent="0.25">
      <c r="A39216" t="str">
        <f>"3532090"</f>
        <v>3532090</v>
      </c>
      <c r="B39216" t="s">
        <v>67</v>
      </c>
      <c r="C39216" t="s">
        <v>24840</v>
      </c>
      <c r="D39216" s="21" t="s">
        <v>24820</v>
      </c>
      <c r="E39216" s="21" t="s">
        <v>35</v>
      </c>
      <c r="F39216">
        <v>3350016</v>
      </c>
      <c r="G39216" t="s">
        <v>133</v>
      </c>
      <c r="H39216" s="21">
        <v>1497.93</v>
      </c>
    </row>
    <row r="39217" spans="1:8" customFormat="1" x14ac:dyDescent="0.25">
      <c r="A39217" t="str">
        <f>"7614044"</f>
        <v>7614044</v>
      </c>
      <c r="B39217" t="s">
        <v>8149</v>
      </c>
      <c r="C39217" t="s">
        <v>24833</v>
      </c>
      <c r="D39217" s="21" t="s">
        <v>24820</v>
      </c>
      <c r="E39217" s="21" t="s">
        <v>35</v>
      </c>
      <c r="F39217">
        <v>9760266</v>
      </c>
      <c r="G39217" t="s">
        <v>1891</v>
      </c>
      <c r="H39217" s="21">
        <v>1491.17</v>
      </c>
    </row>
    <row r="39218" spans="1:8" customFormat="1" x14ac:dyDescent="0.25">
      <c r="A39218" t="str">
        <f>"5323691"</f>
        <v>5323691</v>
      </c>
      <c r="B39218" t="s">
        <v>5505</v>
      </c>
      <c r="C39218" t="s">
        <v>24838</v>
      </c>
      <c r="D39218" s="21" t="s">
        <v>24820</v>
      </c>
      <c r="E39218" s="21" t="s">
        <v>71</v>
      </c>
      <c r="F39218">
        <v>12530035</v>
      </c>
      <c r="G39218" t="s">
        <v>1663</v>
      </c>
      <c r="H39218" s="21">
        <v>1483.17</v>
      </c>
    </row>
    <row r="39219" spans="1:8" customFormat="1" x14ac:dyDescent="0.25">
      <c r="A39219" t="str">
        <f>"56781"</f>
        <v>56781</v>
      </c>
      <c r="B39219" t="s">
        <v>24835</v>
      </c>
      <c r="C39219" t="s">
        <v>24836</v>
      </c>
      <c r="D39219" s="21" t="s">
        <v>24820</v>
      </c>
      <c r="E39219" s="21" t="s">
        <v>35</v>
      </c>
      <c r="F39219">
        <v>3560034</v>
      </c>
      <c r="G39219" t="s">
        <v>2220</v>
      </c>
      <c r="H39219" s="21">
        <v>1473.17</v>
      </c>
    </row>
    <row r="39220" spans="1:8" customFormat="1" x14ac:dyDescent="0.25">
      <c r="A39220" t="str">
        <f>"929147"</f>
        <v>929147</v>
      </c>
      <c r="B39220" t="s">
        <v>651</v>
      </c>
      <c r="C39220" t="s">
        <v>25053</v>
      </c>
      <c r="D39220" s="21" t="s">
        <v>24820</v>
      </c>
      <c r="E39220" s="21" t="s">
        <v>35</v>
      </c>
      <c r="F39220">
        <v>8920063</v>
      </c>
      <c r="G39220" t="s">
        <v>219</v>
      </c>
      <c r="H39220" s="21">
        <v>1471.67</v>
      </c>
    </row>
    <row r="39221" spans="1:8" customFormat="1" x14ac:dyDescent="0.25">
      <c r="A39221" t="str">
        <f>"574785"</f>
        <v>574785</v>
      </c>
      <c r="B39221" t="s">
        <v>3259</v>
      </c>
      <c r="C39221" t="s">
        <v>24845</v>
      </c>
      <c r="D39221" s="21" t="s">
        <v>24820</v>
      </c>
      <c r="E39221" s="21" t="s">
        <v>35</v>
      </c>
      <c r="F39221">
        <v>6510018</v>
      </c>
      <c r="G39221" t="s">
        <v>3055</v>
      </c>
      <c r="H39221" s="21">
        <v>1447.17</v>
      </c>
    </row>
    <row r="39222" spans="1:8" customFormat="1" x14ac:dyDescent="0.25">
      <c r="A39222" t="str">
        <f>"372163"</f>
        <v>372163</v>
      </c>
      <c r="B39222" t="s">
        <v>18771</v>
      </c>
      <c r="C39222" t="s">
        <v>24841</v>
      </c>
      <c r="D39222" s="21" t="s">
        <v>24820</v>
      </c>
      <c r="E39222" s="21" t="s">
        <v>35</v>
      </c>
      <c r="F39222">
        <v>6670041</v>
      </c>
      <c r="G39222" t="s">
        <v>1971</v>
      </c>
      <c r="H39222" s="21">
        <v>1437.67</v>
      </c>
    </row>
    <row r="39223" spans="1:8" customFormat="1" x14ac:dyDescent="0.25">
      <c r="A39223" t="str">
        <f>"7711595"</f>
        <v>7711595</v>
      </c>
      <c r="B39223" t="s">
        <v>24842</v>
      </c>
      <c r="C39223" t="s">
        <v>24843</v>
      </c>
      <c r="D39223" s="21" t="s">
        <v>24820</v>
      </c>
      <c r="E39223" s="21" t="s">
        <v>35</v>
      </c>
      <c r="F39223">
        <v>8770135</v>
      </c>
      <c r="G39223" t="s">
        <v>26830</v>
      </c>
      <c r="H39223" s="21">
        <v>1417.67</v>
      </c>
    </row>
    <row r="39224" spans="1:8" customFormat="1" x14ac:dyDescent="0.25">
      <c r="A39224" t="str">
        <f>"9126255"</f>
        <v>9126255</v>
      </c>
      <c r="B39224" t="s">
        <v>15101</v>
      </c>
      <c r="C39224" t="s">
        <v>24840</v>
      </c>
      <c r="D39224" s="21" t="s">
        <v>24820</v>
      </c>
      <c r="E39224" s="21" t="s">
        <v>71</v>
      </c>
      <c r="F39224">
        <v>8920063</v>
      </c>
      <c r="G39224" t="s">
        <v>219</v>
      </c>
      <c r="H39224" s="21">
        <v>1411.17</v>
      </c>
    </row>
    <row r="39225" spans="1:8" customFormat="1" x14ac:dyDescent="0.25">
      <c r="A39225" t="str">
        <f>"3334541"</f>
        <v>3334541</v>
      </c>
      <c r="B39225" t="s">
        <v>890</v>
      </c>
      <c r="C39225" t="s">
        <v>24853</v>
      </c>
      <c r="D39225" s="21" t="s">
        <v>24820</v>
      </c>
      <c r="E39225" s="21" t="s">
        <v>35</v>
      </c>
      <c r="F39225">
        <v>10330067</v>
      </c>
      <c r="G39225" t="s">
        <v>125</v>
      </c>
      <c r="H39225" s="21">
        <v>1410.17</v>
      </c>
    </row>
    <row r="39226" spans="1:8" customFormat="1" x14ac:dyDescent="0.25">
      <c r="A39226" t="str">
        <f>"569333"</f>
        <v>569333</v>
      </c>
      <c r="B39226" t="s">
        <v>24847</v>
      </c>
      <c r="C39226" t="s">
        <v>21430</v>
      </c>
      <c r="D39226" s="21" t="s">
        <v>24820</v>
      </c>
      <c r="E39226" s="21" t="s">
        <v>71</v>
      </c>
      <c r="F39226">
        <v>3350011</v>
      </c>
      <c r="G39226" t="s">
        <v>2404</v>
      </c>
      <c r="H39226" s="21">
        <v>1398.67</v>
      </c>
    </row>
    <row r="39227" spans="1:8" customFormat="1" x14ac:dyDescent="0.25">
      <c r="A39227" t="str">
        <f>"793211"</f>
        <v>793211</v>
      </c>
      <c r="B39227" t="s">
        <v>1947</v>
      </c>
      <c r="C39227" t="s">
        <v>24846</v>
      </c>
      <c r="D39227" s="21" t="s">
        <v>24820</v>
      </c>
      <c r="E39227" s="21" t="s">
        <v>35</v>
      </c>
      <c r="F39227">
        <v>10790005</v>
      </c>
      <c r="G39227" t="s">
        <v>1948</v>
      </c>
      <c r="H39227" s="21">
        <v>1388.67</v>
      </c>
    </row>
    <row r="39228" spans="1:8" customFormat="1" x14ac:dyDescent="0.25">
      <c r="A39228" t="str">
        <f>"50474"</f>
        <v>50474</v>
      </c>
      <c r="B39228" t="s">
        <v>24844</v>
      </c>
      <c r="C39228" t="s">
        <v>24833</v>
      </c>
      <c r="D39228" s="21" t="s">
        <v>24820</v>
      </c>
      <c r="E39228" s="21" t="s">
        <v>71</v>
      </c>
      <c r="F39228">
        <v>9500013</v>
      </c>
      <c r="G39228" t="s">
        <v>992</v>
      </c>
      <c r="H39228" s="21">
        <v>1386.67</v>
      </c>
    </row>
    <row r="39229" spans="1:8" customFormat="1" x14ac:dyDescent="0.25">
      <c r="A39229" t="str">
        <f>"852090"</f>
        <v>852090</v>
      </c>
      <c r="B39229" t="s">
        <v>4662</v>
      </c>
      <c r="C39229" t="s">
        <v>22831</v>
      </c>
      <c r="D39229" s="21" t="s">
        <v>24820</v>
      </c>
      <c r="E39229" s="21" t="s">
        <v>35</v>
      </c>
      <c r="F39229">
        <v>4280322</v>
      </c>
      <c r="G39229" t="s">
        <v>265</v>
      </c>
      <c r="H39229" s="21">
        <v>1373.67</v>
      </c>
    </row>
    <row r="39230" spans="1:8" customFormat="1" x14ac:dyDescent="0.25">
      <c r="A39230" t="str">
        <f>"41661"</f>
        <v>41661</v>
      </c>
      <c r="B39230" t="s">
        <v>1195</v>
      </c>
      <c r="C39230" t="s">
        <v>22831</v>
      </c>
      <c r="D39230" s="21" t="s">
        <v>24820</v>
      </c>
      <c r="E39230" s="21" t="s">
        <v>71</v>
      </c>
      <c r="F39230">
        <v>4410612</v>
      </c>
      <c r="G39230" t="s">
        <v>815</v>
      </c>
      <c r="H39230" s="21">
        <v>1367.67</v>
      </c>
    </row>
    <row r="39231" spans="1:8" customFormat="1" x14ac:dyDescent="0.25">
      <c r="A39231" t="str">
        <f>"537653"</f>
        <v>537653</v>
      </c>
      <c r="B39231" t="s">
        <v>24861</v>
      </c>
      <c r="C39231" t="s">
        <v>24300</v>
      </c>
      <c r="D39231" s="21" t="s">
        <v>24820</v>
      </c>
      <c r="E39231" s="21" t="s">
        <v>35</v>
      </c>
      <c r="F39231">
        <v>12530114</v>
      </c>
      <c r="G39231" t="s">
        <v>1342</v>
      </c>
      <c r="H39231" s="21">
        <v>1366.17</v>
      </c>
    </row>
    <row r="39232" spans="1:8" customFormat="1" x14ac:dyDescent="0.25">
      <c r="A39232" t="str">
        <f>"111203"</f>
        <v>111203</v>
      </c>
      <c r="B39232" t="s">
        <v>24849</v>
      </c>
      <c r="C39232" t="s">
        <v>22831</v>
      </c>
      <c r="D39232" s="21" t="s">
        <v>24820</v>
      </c>
      <c r="E39232" s="21" t="s">
        <v>35</v>
      </c>
      <c r="F39232">
        <v>11110015</v>
      </c>
      <c r="G39232" t="s">
        <v>26669</v>
      </c>
      <c r="H39232" s="21">
        <v>1364.67</v>
      </c>
    </row>
    <row r="39233" spans="1:8" customFormat="1" x14ac:dyDescent="0.25">
      <c r="A39233" t="str">
        <f>"3710477"</f>
        <v>3710477</v>
      </c>
      <c r="B39233" t="s">
        <v>29728</v>
      </c>
      <c r="C39233" t="s">
        <v>25086</v>
      </c>
      <c r="D39233" s="21" t="s">
        <v>24820</v>
      </c>
      <c r="E39233" s="21" t="s">
        <v>35</v>
      </c>
      <c r="F39233">
        <v>11310121</v>
      </c>
      <c r="G39233" t="s">
        <v>578</v>
      </c>
      <c r="H39233" s="21">
        <v>1357</v>
      </c>
    </row>
    <row r="39234" spans="1:8" customFormat="1" x14ac:dyDescent="0.25">
      <c r="A39234" t="str">
        <f>"594479"</f>
        <v>594479</v>
      </c>
      <c r="B39234" t="s">
        <v>2824</v>
      </c>
      <c r="C39234" t="s">
        <v>24863</v>
      </c>
      <c r="D39234" s="21" t="s">
        <v>24820</v>
      </c>
      <c r="E39234" s="21" t="s">
        <v>35</v>
      </c>
      <c r="F39234">
        <v>10190096</v>
      </c>
      <c r="G39234" t="s">
        <v>3949</v>
      </c>
      <c r="H39234" s="21">
        <v>1355.67</v>
      </c>
    </row>
    <row r="39235" spans="1:8" customFormat="1" x14ac:dyDescent="0.25">
      <c r="A39235" t="str">
        <f>"591298"</f>
        <v>591298</v>
      </c>
      <c r="B39235" t="s">
        <v>804</v>
      </c>
      <c r="C39235" t="s">
        <v>24863</v>
      </c>
      <c r="D39235" s="21" t="s">
        <v>24820</v>
      </c>
      <c r="E39235" s="21" t="s">
        <v>35</v>
      </c>
      <c r="F39235">
        <v>7590231</v>
      </c>
      <c r="G39235" t="s">
        <v>207</v>
      </c>
      <c r="H39235" s="21">
        <v>1350.67</v>
      </c>
    </row>
    <row r="39236" spans="1:8" customFormat="1" x14ac:dyDescent="0.25">
      <c r="A39236" t="str">
        <f>"4437418"</f>
        <v>4437418</v>
      </c>
      <c r="B39236" t="s">
        <v>616</v>
      </c>
      <c r="C39236" t="s">
        <v>24840</v>
      </c>
      <c r="D39236" s="21" t="s">
        <v>24820</v>
      </c>
      <c r="E39236" s="21" t="s">
        <v>35</v>
      </c>
      <c r="F39236">
        <v>12440081</v>
      </c>
      <c r="G39236" t="s">
        <v>617</v>
      </c>
      <c r="H39236" s="21">
        <v>1341.67</v>
      </c>
    </row>
    <row r="39237" spans="1:8" customFormat="1" x14ac:dyDescent="0.25">
      <c r="A39237" t="str">
        <f>"723251"</f>
        <v>723251</v>
      </c>
      <c r="B39237" t="s">
        <v>3408</v>
      </c>
      <c r="C39237" t="s">
        <v>24846</v>
      </c>
      <c r="D39237" s="21" t="s">
        <v>24820</v>
      </c>
      <c r="E39237" s="21" t="s">
        <v>35</v>
      </c>
      <c r="F39237">
        <v>12720104</v>
      </c>
      <c r="G39237" t="s">
        <v>224</v>
      </c>
      <c r="H39237" s="21">
        <v>1302.55</v>
      </c>
    </row>
    <row r="39238" spans="1:8" customFormat="1" x14ac:dyDescent="0.25">
      <c r="A39238" t="str">
        <f>"9218470"</f>
        <v>9218470</v>
      </c>
      <c r="B39238" t="s">
        <v>24850</v>
      </c>
      <c r="C39238" t="s">
        <v>24851</v>
      </c>
      <c r="D39238" s="21" t="s">
        <v>24820</v>
      </c>
      <c r="E39238" s="21" t="s">
        <v>71</v>
      </c>
      <c r="F39238">
        <v>12850030</v>
      </c>
      <c r="G39238" t="s">
        <v>5078</v>
      </c>
      <c r="H39238" s="21">
        <v>1302.17</v>
      </c>
    </row>
    <row r="39239" spans="1:8" customFormat="1" x14ac:dyDescent="0.25">
      <c r="A39239" t="str">
        <f>"5017507"</f>
        <v>5017507</v>
      </c>
      <c r="B39239" t="s">
        <v>24856</v>
      </c>
      <c r="C39239" t="s">
        <v>24857</v>
      </c>
      <c r="D39239" s="21" t="s">
        <v>24820</v>
      </c>
      <c r="E39239" s="21" t="s">
        <v>35</v>
      </c>
      <c r="F39239">
        <v>9500139</v>
      </c>
      <c r="G39239" t="s">
        <v>6892</v>
      </c>
      <c r="H39239" s="21">
        <v>1294.17</v>
      </c>
    </row>
    <row r="39240" spans="1:8" customFormat="1" x14ac:dyDescent="0.25">
      <c r="A39240" t="str">
        <f>"682468"</f>
        <v>682468</v>
      </c>
      <c r="B39240" t="s">
        <v>4841</v>
      </c>
      <c r="C39240" t="s">
        <v>24854</v>
      </c>
      <c r="D39240" s="21" t="s">
        <v>24820</v>
      </c>
      <c r="E39240" s="21" t="s">
        <v>71</v>
      </c>
      <c r="F39240">
        <v>6680091</v>
      </c>
      <c r="G39240" t="s">
        <v>693</v>
      </c>
      <c r="H39240" s="21">
        <v>1284.67</v>
      </c>
    </row>
    <row r="39241" spans="1:8" customFormat="1" x14ac:dyDescent="0.25">
      <c r="A39241" t="str">
        <f>"291929"</f>
        <v>291929</v>
      </c>
      <c r="B39241" t="s">
        <v>1858</v>
      </c>
      <c r="C39241" t="s">
        <v>24845</v>
      </c>
      <c r="D39241" s="21" t="s">
        <v>24820</v>
      </c>
      <c r="E39241" s="21" t="s">
        <v>35</v>
      </c>
      <c r="F39241">
        <v>3290087</v>
      </c>
      <c r="G39241" t="s">
        <v>364</v>
      </c>
      <c r="H39241" s="21">
        <v>1269.67</v>
      </c>
    </row>
    <row r="39242" spans="1:8" customFormat="1" x14ac:dyDescent="0.25">
      <c r="A39242" t="str">
        <f>"62479"</f>
        <v>62479</v>
      </c>
      <c r="B39242" t="s">
        <v>24864</v>
      </c>
      <c r="C39242" t="s">
        <v>24865</v>
      </c>
      <c r="D39242" s="21" t="s">
        <v>24820</v>
      </c>
      <c r="E39242" s="21" t="s">
        <v>71</v>
      </c>
      <c r="F39242">
        <v>7620046</v>
      </c>
      <c r="G39242" t="s">
        <v>242</v>
      </c>
      <c r="H39242" s="21">
        <v>1267.67</v>
      </c>
    </row>
    <row r="39243" spans="1:8" customFormat="1" x14ac:dyDescent="0.25">
      <c r="A39243" t="str">
        <f>"615550"</f>
        <v>615550</v>
      </c>
      <c r="B39243" t="s">
        <v>4662</v>
      </c>
      <c r="C39243" t="s">
        <v>22831</v>
      </c>
      <c r="D39243" s="21" t="s">
        <v>24820</v>
      </c>
      <c r="E39243" s="21" t="s">
        <v>71</v>
      </c>
      <c r="F39243">
        <v>9610011</v>
      </c>
      <c r="G39243" t="s">
        <v>6031</v>
      </c>
      <c r="H39243" s="21">
        <v>1262.17</v>
      </c>
    </row>
    <row r="39244" spans="1:8" customFormat="1" x14ac:dyDescent="0.25">
      <c r="A39244" t="str">
        <f>"6913038"</f>
        <v>6913038</v>
      </c>
      <c r="B39244" t="s">
        <v>5990</v>
      </c>
      <c r="C39244" t="s">
        <v>24872</v>
      </c>
      <c r="D39244" s="21" t="s">
        <v>24820</v>
      </c>
      <c r="E39244" s="21" t="s">
        <v>35</v>
      </c>
      <c r="F39244">
        <v>1690207</v>
      </c>
      <c r="G39244" t="s">
        <v>4232</v>
      </c>
      <c r="H39244" s="21">
        <v>1256.17</v>
      </c>
    </row>
    <row r="39245" spans="1:8" customFormat="1" x14ac:dyDescent="0.25">
      <c r="A39245" t="str">
        <f>"732788"</f>
        <v>732788</v>
      </c>
      <c r="B39245" t="s">
        <v>24862</v>
      </c>
      <c r="C39245" t="s">
        <v>24863</v>
      </c>
      <c r="D39245" s="21" t="s">
        <v>24820</v>
      </c>
      <c r="E39245" s="21" t="s">
        <v>71</v>
      </c>
      <c r="F39245">
        <v>1730051</v>
      </c>
      <c r="G39245" t="s">
        <v>5293</v>
      </c>
      <c r="H39245" s="21">
        <v>1255.92</v>
      </c>
    </row>
    <row r="39246" spans="1:8" customFormat="1" x14ac:dyDescent="0.25">
      <c r="A39246" t="str">
        <f>"92754"</f>
        <v>92754</v>
      </c>
      <c r="B39246" t="s">
        <v>21078</v>
      </c>
      <c r="C39246" t="s">
        <v>24854</v>
      </c>
      <c r="D39246" s="21" t="s">
        <v>24820</v>
      </c>
      <c r="E39246" s="21" t="s">
        <v>71</v>
      </c>
      <c r="F39246">
        <v>8920075</v>
      </c>
      <c r="G39246" t="s">
        <v>317</v>
      </c>
      <c r="H39246" s="21">
        <v>1251.17</v>
      </c>
    </row>
    <row r="39247" spans="1:8" customFormat="1" x14ac:dyDescent="0.25">
      <c r="A39247" t="str">
        <f>"886854"</f>
        <v>886854</v>
      </c>
      <c r="B39247" t="s">
        <v>24866</v>
      </c>
      <c r="C39247" t="s">
        <v>24867</v>
      </c>
      <c r="D39247" s="21" t="s">
        <v>24820</v>
      </c>
      <c r="E39247" s="21" t="s">
        <v>35</v>
      </c>
      <c r="F39247">
        <v>6540034</v>
      </c>
      <c r="G39247" t="s">
        <v>2211</v>
      </c>
      <c r="H39247" s="21">
        <v>1249.17</v>
      </c>
    </row>
    <row r="39248" spans="1:8" customFormat="1" x14ac:dyDescent="0.25">
      <c r="A39248" t="str">
        <f>"2921160"</f>
        <v>2921160</v>
      </c>
      <c r="B39248" t="s">
        <v>24859</v>
      </c>
      <c r="C39248" t="s">
        <v>24860</v>
      </c>
      <c r="D39248" s="21" t="s">
        <v>24820</v>
      </c>
      <c r="E39248" s="21" t="s">
        <v>71</v>
      </c>
      <c r="F39248">
        <v>3220033</v>
      </c>
      <c r="G39248" t="s">
        <v>657</v>
      </c>
      <c r="H39248" s="21">
        <v>1244.29</v>
      </c>
    </row>
    <row r="39249" spans="1:8" customFormat="1" x14ac:dyDescent="0.25">
      <c r="A39249" t="str">
        <f>"505936"</f>
        <v>505936</v>
      </c>
      <c r="B39249" t="s">
        <v>2755</v>
      </c>
      <c r="C39249" t="s">
        <v>24852</v>
      </c>
      <c r="D39249" s="21" t="s">
        <v>24820</v>
      </c>
      <c r="E39249" s="21" t="s">
        <v>254</v>
      </c>
      <c r="F39249">
        <v>9500025</v>
      </c>
      <c r="G39249" t="s">
        <v>665</v>
      </c>
      <c r="H39249" s="21">
        <v>1242.29</v>
      </c>
    </row>
    <row r="39250" spans="1:8" customFormat="1" x14ac:dyDescent="0.25">
      <c r="A39250" t="str">
        <f>"5711140"</f>
        <v>5711140</v>
      </c>
      <c r="B39250" t="s">
        <v>322</v>
      </c>
      <c r="C39250" t="s">
        <v>24870</v>
      </c>
      <c r="D39250" s="21" t="s">
        <v>24820</v>
      </c>
      <c r="E39250" s="21" t="s">
        <v>35</v>
      </c>
      <c r="F39250">
        <v>6570014</v>
      </c>
      <c r="G39250" t="s">
        <v>72</v>
      </c>
      <c r="H39250" s="21">
        <v>1240.17</v>
      </c>
    </row>
    <row r="39251" spans="1:8" customFormat="1" x14ac:dyDescent="0.25">
      <c r="A39251" t="str">
        <f>"319159"</f>
        <v>319159</v>
      </c>
      <c r="B39251" t="s">
        <v>18977</v>
      </c>
      <c r="C39251" t="s">
        <v>22831</v>
      </c>
      <c r="D39251" s="21" t="s">
        <v>24820</v>
      </c>
      <c r="E39251" s="21" t="s">
        <v>35</v>
      </c>
      <c r="F39251">
        <v>11810015</v>
      </c>
      <c r="G39251" t="s">
        <v>9678</v>
      </c>
      <c r="H39251" s="21">
        <v>1238.67</v>
      </c>
    </row>
    <row r="39252" spans="1:8" customFormat="1" x14ac:dyDescent="0.25">
      <c r="A39252" t="str">
        <f>"92491"</f>
        <v>92491</v>
      </c>
      <c r="B39252" t="s">
        <v>10725</v>
      </c>
      <c r="C39252" t="s">
        <v>24869</v>
      </c>
      <c r="D39252" s="21" t="s">
        <v>24820</v>
      </c>
      <c r="E39252" s="21" t="s">
        <v>35</v>
      </c>
      <c r="F39252">
        <v>8920063</v>
      </c>
      <c r="G39252" t="s">
        <v>219</v>
      </c>
      <c r="H39252" s="21">
        <v>1237.67</v>
      </c>
    </row>
    <row r="39253" spans="1:8" customFormat="1" x14ac:dyDescent="0.25">
      <c r="A39253" t="str">
        <f>"289288"</f>
        <v>289288</v>
      </c>
      <c r="B39253" t="s">
        <v>7241</v>
      </c>
      <c r="C39253" t="s">
        <v>24888</v>
      </c>
      <c r="D39253" s="21" t="s">
        <v>24820</v>
      </c>
      <c r="E39253" s="21" t="s">
        <v>71</v>
      </c>
      <c r="F39253">
        <v>4280322</v>
      </c>
      <c r="G39253" t="s">
        <v>265</v>
      </c>
      <c r="H39253" s="21">
        <v>1234.17</v>
      </c>
    </row>
    <row r="39254" spans="1:8" customFormat="1" x14ac:dyDescent="0.25">
      <c r="A39254" t="str">
        <f>"543692"</f>
        <v>543692</v>
      </c>
      <c r="B39254" t="s">
        <v>24875</v>
      </c>
      <c r="C39254" t="s">
        <v>24867</v>
      </c>
      <c r="D39254" s="21" t="s">
        <v>24820</v>
      </c>
      <c r="E39254" s="21" t="s">
        <v>71</v>
      </c>
      <c r="F39254">
        <v>6540040</v>
      </c>
      <c r="G39254" t="s">
        <v>256</v>
      </c>
      <c r="H39254" s="21">
        <v>1227.67</v>
      </c>
    </row>
    <row r="39255" spans="1:8" customFormat="1" x14ac:dyDescent="0.25">
      <c r="A39255" t="str">
        <f>"7715045"</f>
        <v>7715045</v>
      </c>
      <c r="B39255" t="s">
        <v>20654</v>
      </c>
      <c r="C39255" t="s">
        <v>24845</v>
      </c>
      <c r="D39255" s="21" t="s">
        <v>24820</v>
      </c>
      <c r="E39255" s="21" t="s">
        <v>71</v>
      </c>
      <c r="F39255">
        <v>8751450</v>
      </c>
      <c r="G39255" t="s">
        <v>41</v>
      </c>
      <c r="H39255" s="21">
        <v>1223.67</v>
      </c>
    </row>
    <row r="39256" spans="1:8" customFormat="1" x14ac:dyDescent="0.25">
      <c r="A39256" t="str">
        <f>"339895"</f>
        <v>339895</v>
      </c>
      <c r="B39256" t="s">
        <v>24876</v>
      </c>
      <c r="C39256" t="s">
        <v>24877</v>
      </c>
      <c r="D39256" s="21" t="s">
        <v>24820</v>
      </c>
      <c r="E39256" s="21" t="s">
        <v>71</v>
      </c>
      <c r="F39256">
        <v>10330067</v>
      </c>
      <c r="G39256" t="s">
        <v>125</v>
      </c>
      <c r="H39256" s="21">
        <v>1218.92</v>
      </c>
    </row>
    <row r="39257" spans="1:8" customFormat="1" x14ac:dyDescent="0.25">
      <c r="A39257" t="str">
        <f>"441350"</f>
        <v>441350</v>
      </c>
      <c r="B39257" t="s">
        <v>24868</v>
      </c>
      <c r="C39257" t="s">
        <v>24828</v>
      </c>
      <c r="D39257" s="21" t="s">
        <v>24820</v>
      </c>
      <c r="E39257" s="21" t="s">
        <v>71</v>
      </c>
      <c r="F39257">
        <v>12440266</v>
      </c>
      <c r="G39257" t="s">
        <v>924</v>
      </c>
      <c r="H39257" s="21">
        <v>1217.17</v>
      </c>
    </row>
    <row r="39258" spans="1:8" customFormat="1" x14ac:dyDescent="0.25">
      <c r="A39258" t="str">
        <f>"794071"</f>
        <v>794071</v>
      </c>
      <c r="B39258" t="s">
        <v>12275</v>
      </c>
      <c r="C39258" t="s">
        <v>24884</v>
      </c>
      <c r="D39258" s="21" t="s">
        <v>24820</v>
      </c>
      <c r="E39258" s="21" t="s">
        <v>35</v>
      </c>
      <c r="F39258">
        <v>8920063</v>
      </c>
      <c r="G39258" t="s">
        <v>219</v>
      </c>
      <c r="H39258" s="21">
        <v>1215.17</v>
      </c>
    </row>
    <row r="39259" spans="1:8" customFormat="1" x14ac:dyDescent="0.25">
      <c r="A39259" t="str">
        <f>"28566"</f>
        <v>28566</v>
      </c>
      <c r="B39259" t="s">
        <v>5482</v>
      </c>
      <c r="C39259" t="s">
        <v>24873</v>
      </c>
      <c r="D39259" s="21" t="s">
        <v>24820</v>
      </c>
      <c r="E39259" s="21" t="s">
        <v>35</v>
      </c>
      <c r="F39259">
        <v>4280202</v>
      </c>
      <c r="G39259" t="s">
        <v>2945</v>
      </c>
      <c r="H39259" s="21">
        <v>1212.17</v>
      </c>
    </row>
    <row r="39260" spans="1:8" customFormat="1" x14ac:dyDescent="0.25">
      <c r="A39260" t="str">
        <f>"7631"</f>
        <v>7631</v>
      </c>
      <c r="B39260" t="s">
        <v>6860</v>
      </c>
      <c r="C39260" t="s">
        <v>24833</v>
      </c>
      <c r="D39260" s="21" t="s">
        <v>24820</v>
      </c>
      <c r="E39260" s="21" t="s">
        <v>71</v>
      </c>
      <c r="F39260">
        <v>9760168</v>
      </c>
      <c r="G39260" t="s">
        <v>179</v>
      </c>
      <c r="H39260" s="21">
        <v>1208.67</v>
      </c>
    </row>
    <row r="39261" spans="1:8" customFormat="1" x14ac:dyDescent="0.25">
      <c r="A39261" t="str">
        <f>"672729"</f>
        <v>672729</v>
      </c>
      <c r="B39261" t="s">
        <v>7398</v>
      </c>
      <c r="C39261" t="s">
        <v>24894</v>
      </c>
      <c r="D39261" s="21" t="s">
        <v>24820</v>
      </c>
      <c r="E39261" s="21" t="s">
        <v>35</v>
      </c>
      <c r="F39261">
        <v>6670160</v>
      </c>
      <c r="G39261" t="s">
        <v>908</v>
      </c>
      <c r="H39261" s="21">
        <v>1207.67</v>
      </c>
    </row>
    <row r="39262" spans="1:8" customFormat="1" x14ac:dyDescent="0.25">
      <c r="A39262" t="str">
        <f>"5912268"</f>
        <v>5912268</v>
      </c>
      <c r="B39262" t="s">
        <v>4283</v>
      </c>
      <c r="C39262" t="s">
        <v>24871</v>
      </c>
      <c r="D39262" s="21" t="s">
        <v>24820</v>
      </c>
      <c r="E39262" s="21" t="s">
        <v>35</v>
      </c>
      <c r="F39262">
        <v>7590194</v>
      </c>
      <c r="G39262" t="s">
        <v>460</v>
      </c>
      <c r="H39262" s="21">
        <v>1203.67</v>
      </c>
    </row>
    <row r="39263" spans="1:8" customFormat="1" x14ac:dyDescent="0.25">
      <c r="A39263" t="str">
        <f>"5419790"</f>
        <v>5419790</v>
      </c>
      <c r="B39263" t="s">
        <v>24882</v>
      </c>
      <c r="C39263" t="s">
        <v>24883</v>
      </c>
      <c r="D39263" s="21" t="s">
        <v>24820</v>
      </c>
      <c r="E39263" s="21" t="s">
        <v>71</v>
      </c>
      <c r="F39263">
        <v>6540001</v>
      </c>
      <c r="G39263" t="s">
        <v>5886</v>
      </c>
      <c r="H39263" s="21">
        <v>1200.17</v>
      </c>
    </row>
    <row r="39264" spans="1:8" customFormat="1" x14ac:dyDescent="0.25">
      <c r="A39264" t="str">
        <f>"9122359"</f>
        <v>9122359</v>
      </c>
      <c r="B39264" t="s">
        <v>3072</v>
      </c>
      <c r="C39264" t="s">
        <v>24857</v>
      </c>
      <c r="D39264" s="21" t="s">
        <v>24820</v>
      </c>
      <c r="E39264" s="21" t="s">
        <v>35</v>
      </c>
      <c r="F39264">
        <v>8910876</v>
      </c>
      <c r="G39264" t="s">
        <v>1721</v>
      </c>
      <c r="H39264" s="21">
        <v>1199.67</v>
      </c>
    </row>
    <row r="39265" spans="1:8" customFormat="1" x14ac:dyDescent="0.25">
      <c r="A39265" t="str">
        <f>"599559"</f>
        <v>599559</v>
      </c>
      <c r="B39265" t="s">
        <v>24880</v>
      </c>
      <c r="C39265" t="s">
        <v>24881</v>
      </c>
      <c r="D39265" s="21" t="s">
        <v>24820</v>
      </c>
      <c r="E39265" s="21" t="s">
        <v>35</v>
      </c>
      <c r="F39265">
        <v>7590231</v>
      </c>
      <c r="G39265" t="s">
        <v>207</v>
      </c>
      <c r="H39265" s="21">
        <v>1199.17</v>
      </c>
    </row>
    <row r="39266" spans="1:8" customFormat="1" x14ac:dyDescent="0.25">
      <c r="A39266" t="str">
        <f>"518961"</f>
        <v>518961</v>
      </c>
      <c r="B39266" t="s">
        <v>24878</v>
      </c>
      <c r="C39266" t="s">
        <v>263</v>
      </c>
      <c r="D39266" s="21" t="s">
        <v>24820</v>
      </c>
      <c r="E39266" s="21" t="s">
        <v>71</v>
      </c>
      <c r="F39266">
        <v>6510001</v>
      </c>
      <c r="G39266" t="s">
        <v>286</v>
      </c>
      <c r="H39266" s="21">
        <v>1196.67</v>
      </c>
    </row>
    <row r="39267" spans="1:8" customFormat="1" x14ac:dyDescent="0.25">
      <c r="A39267" t="str">
        <f>"631963"</f>
        <v>631963</v>
      </c>
      <c r="B39267" t="s">
        <v>4834</v>
      </c>
      <c r="C39267" t="s">
        <v>24863</v>
      </c>
      <c r="D39267" s="21" t="s">
        <v>24820</v>
      </c>
      <c r="E39267" s="21" t="s">
        <v>35</v>
      </c>
      <c r="F39267">
        <v>1630078</v>
      </c>
      <c r="G39267" t="s">
        <v>326</v>
      </c>
      <c r="H39267" s="21">
        <v>1189.67</v>
      </c>
    </row>
    <row r="39268" spans="1:8" customFormat="1" x14ac:dyDescent="0.25">
      <c r="A39268" t="str">
        <f>"01152"</f>
        <v>01152</v>
      </c>
      <c r="B39268" t="s">
        <v>24879</v>
      </c>
      <c r="C39268" t="s">
        <v>24840</v>
      </c>
      <c r="D39268" s="21" t="s">
        <v>24820</v>
      </c>
      <c r="E39268" s="21" t="s">
        <v>71</v>
      </c>
      <c r="F39268">
        <v>1010060</v>
      </c>
      <c r="G39268" t="s">
        <v>5128</v>
      </c>
      <c r="H39268" s="21">
        <v>1189.67</v>
      </c>
    </row>
    <row r="39269" spans="1:8" customFormat="1" x14ac:dyDescent="0.25">
      <c r="A39269" t="str">
        <f>"2211156"</f>
        <v>2211156</v>
      </c>
      <c r="B39269" t="s">
        <v>24891</v>
      </c>
      <c r="C39269" t="s">
        <v>24869</v>
      </c>
      <c r="D39269" s="21" t="s">
        <v>24820</v>
      </c>
      <c r="E39269" s="21" t="s">
        <v>71</v>
      </c>
      <c r="F39269">
        <v>3220048</v>
      </c>
      <c r="G39269" t="s">
        <v>26532</v>
      </c>
      <c r="H39269" s="21">
        <v>1187.29</v>
      </c>
    </row>
    <row r="39270" spans="1:8" customFormat="1" x14ac:dyDescent="0.25">
      <c r="A39270" t="str">
        <f>"4411193"</f>
        <v>4411193</v>
      </c>
      <c r="B39270" t="s">
        <v>3068</v>
      </c>
      <c r="C39270" t="s">
        <v>24890</v>
      </c>
      <c r="D39270" s="21" t="s">
        <v>24820</v>
      </c>
      <c r="E39270" s="21" t="s">
        <v>71</v>
      </c>
      <c r="F39270">
        <v>12440048</v>
      </c>
      <c r="G39270" t="s">
        <v>2090</v>
      </c>
      <c r="H39270" s="21">
        <v>1187.17</v>
      </c>
    </row>
    <row r="39271" spans="1:8" customFormat="1" x14ac:dyDescent="0.25">
      <c r="A39271" t="str">
        <f>"7621665"</f>
        <v>7621665</v>
      </c>
      <c r="B39271" t="s">
        <v>6678</v>
      </c>
      <c r="C39271" t="s">
        <v>24855</v>
      </c>
      <c r="D39271" s="21" t="s">
        <v>24820</v>
      </c>
      <c r="E39271" s="21" t="s">
        <v>71</v>
      </c>
      <c r="F39271">
        <v>9760011</v>
      </c>
      <c r="G39271" t="s">
        <v>2562</v>
      </c>
      <c r="H39271" s="21">
        <v>1178.17</v>
      </c>
    </row>
    <row r="39272" spans="1:8" customFormat="1" x14ac:dyDescent="0.25">
      <c r="A39272" t="str">
        <f>"7842005"</f>
        <v>7842005</v>
      </c>
      <c r="B39272" t="s">
        <v>13965</v>
      </c>
      <c r="C39272" t="s">
        <v>22831</v>
      </c>
      <c r="D39272" s="21" t="s">
        <v>24820</v>
      </c>
      <c r="E39272" s="21" t="s">
        <v>71</v>
      </c>
      <c r="F39272">
        <v>8781144</v>
      </c>
      <c r="G39272" t="s">
        <v>4714</v>
      </c>
      <c r="H39272" s="21">
        <v>1176.67</v>
      </c>
    </row>
    <row r="39273" spans="1:8" customFormat="1" x14ac:dyDescent="0.25">
      <c r="A39273" t="str">
        <f>"449186"</f>
        <v>449186</v>
      </c>
      <c r="B39273" t="s">
        <v>10874</v>
      </c>
      <c r="C39273" t="s">
        <v>24686</v>
      </c>
      <c r="D39273" s="21" t="s">
        <v>24820</v>
      </c>
      <c r="E39273" s="21" t="s">
        <v>254</v>
      </c>
      <c r="F39273">
        <v>12440008</v>
      </c>
      <c r="G39273" t="s">
        <v>4570</v>
      </c>
      <c r="H39273" s="21">
        <v>1175.42</v>
      </c>
    </row>
    <row r="39274" spans="1:8" customFormat="1" x14ac:dyDescent="0.25">
      <c r="A39274" t="str">
        <f>"6922828"</f>
        <v>6922828</v>
      </c>
      <c r="B39274" t="s">
        <v>2835</v>
      </c>
      <c r="C39274" t="s">
        <v>24898</v>
      </c>
      <c r="D39274" s="21" t="s">
        <v>24820</v>
      </c>
      <c r="E39274" s="21" t="s">
        <v>35</v>
      </c>
      <c r="F39274">
        <v>1380199</v>
      </c>
      <c r="G39274" t="s">
        <v>321</v>
      </c>
      <c r="H39274" s="21">
        <v>1174</v>
      </c>
    </row>
    <row r="39275" spans="1:8" customFormat="1" x14ac:dyDescent="0.25">
      <c r="A39275" t="str">
        <f>"597683"</f>
        <v>597683</v>
      </c>
      <c r="B39275" t="s">
        <v>13892</v>
      </c>
      <c r="C39275" t="s">
        <v>24300</v>
      </c>
      <c r="D39275" s="21" t="s">
        <v>24820</v>
      </c>
      <c r="E39275" s="21" t="s">
        <v>35</v>
      </c>
      <c r="F39275">
        <v>7590087</v>
      </c>
      <c r="G39275" t="s">
        <v>2112</v>
      </c>
      <c r="H39275" s="21">
        <v>1171.92</v>
      </c>
    </row>
    <row r="39276" spans="1:8" customFormat="1" x14ac:dyDescent="0.25">
      <c r="A39276" t="str">
        <f>"3716571"</f>
        <v>3716571</v>
      </c>
      <c r="B39276" t="s">
        <v>24886</v>
      </c>
      <c r="C39276" t="s">
        <v>24887</v>
      </c>
      <c r="D39276" s="21" t="s">
        <v>24820</v>
      </c>
      <c r="E39276" s="21" t="s">
        <v>35</v>
      </c>
      <c r="F39276">
        <v>4370002</v>
      </c>
      <c r="G39276" t="s">
        <v>112</v>
      </c>
      <c r="H39276" s="21">
        <v>1170.67</v>
      </c>
    </row>
    <row r="39277" spans="1:8" customFormat="1" x14ac:dyDescent="0.25">
      <c r="A39277" t="str">
        <f>"62175"</f>
        <v>62175</v>
      </c>
      <c r="B39277" t="s">
        <v>29729</v>
      </c>
      <c r="C39277" t="s">
        <v>24854</v>
      </c>
      <c r="D39277" s="21" t="s">
        <v>24820</v>
      </c>
      <c r="E39277" s="21" t="s">
        <v>71</v>
      </c>
      <c r="F39277">
        <v>7620176</v>
      </c>
      <c r="G39277" t="s">
        <v>3111</v>
      </c>
      <c r="H39277" s="21">
        <v>1165.67</v>
      </c>
    </row>
    <row r="39278" spans="1:8" customFormat="1" x14ac:dyDescent="0.25">
      <c r="A39278" t="str">
        <f>"6014171"</f>
        <v>6014171</v>
      </c>
      <c r="B39278" t="s">
        <v>29730</v>
      </c>
      <c r="C39278" t="s">
        <v>24884</v>
      </c>
      <c r="D39278" s="21" t="s">
        <v>24820</v>
      </c>
      <c r="E39278" s="21" t="s">
        <v>35</v>
      </c>
      <c r="F39278">
        <v>1740010</v>
      </c>
      <c r="G39278" t="s">
        <v>4986</v>
      </c>
      <c r="H39278" s="21">
        <v>1164.67</v>
      </c>
    </row>
    <row r="39279" spans="1:8" customFormat="1" x14ac:dyDescent="0.25">
      <c r="A39279" t="str">
        <f>"34100"</f>
        <v>34100</v>
      </c>
      <c r="B39279" t="s">
        <v>29731</v>
      </c>
      <c r="C39279" t="s">
        <v>24871</v>
      </c>
      <c r="D39279" s="21" t="s">
        <v>24820</v>
      </c>
      <c r="E39279" s="21" t="s">
        <v>71</v>
      </c>
      <c r="F39279">
        <v>11340010</v>
      </c>
      <c r="G39279" t="s">
        <v>66</v>
      </c>
      <c r="H39279" s="21">
        <v>1161.92</v>
      </c>
    </row>
    <row r="39280" spans="1:8" customFormat="1" x14ac:dyDescent="0.25">
      <c r="A39280" t="str">
        <f>"3929"</f>
        <v>3929</v>
      </c>
      <c r="B39280" t="s">
        <v>10271</v>
      </c>
      <c r="C39280" t="s">
        <v>24895</v>
      </c>
      <c r="D39280" s="21" t="s">
        <v>24820</v>
      </c>
      <c r="E39280" s="21" t="s">
        <v>71</v>
      </c>
      <c r="F39280">
        <v>2390001</v>
      </c>
      <c r="G39280" t="s">
        <v>6664</v>
      </c>
      <c r="H39280" s="21">
        <v>1158.17</v>
      </c>
    </row>
    <row r="39281" spans="1:8" customFormat="1" x14ac:dyDescent="0.25">
      <c r="A39281" t="str">
        <f>"5919637"</f>
        <v>5919637</v>
      </c>
      <c r="B39281" t="s">
        <v>7681</v>
      </c>
      <c r="C39281" t="s">
        <v>24874</v>
      </c>
      <c r="D39281" s="21" t="s">
        <v>24820</v>
      </c>
      <c r="E39281" s="21" t="s">
        <v>35</v>
      </c>
      <c r="F39281">
        <v>7590068</v>
      </c>
      <c r="G39281" t="s">
        <v>1005</v>
      </c>
      <c r="H39281" s="21">
        <v>1156.42</v>
      </c>
    </row>
    <row r="39282" spans="1:8" customFormat="1" x14ac:dyDescent="0.25">
      <c r="A39282" t="str">
        <f>"853682"</f>
        <v>853682</v>
      </c>
      <c r="B39282" t="s">
        <v>28474</v>
      </c>
      <c r="C39282" t="s">
        <v>24884</v>
      </c>
      <c r="D39282" s="21" t="s">
        <v>24820</v>
      </c>
      <c r="E39282" s="21" t="s">
        <v>35</v>
      </c>
      <c r="F39282">
        <v>12851012</v>
      </c>
      <c r="G39282" t="s">
        <v>1963</v>
      </c>
      <c r="H39282" s="21">
        <v>1153.17</v>
      </c>
    </row>
    <row r="39283" spans="1:8" customFormat="1" x14ac:dyDescent="0.25">
      <c r="A39283" t="str">
        <f>"44670"</f>
        <v>44670</v>
      </c>
      <c r="B39283" t="s">
        <v>939</v>
      </c>
      <c r="C39283" t="s">
        <v>24893</v>
      </c>
      <c r="D39283" s="21" t="s">
        <v>24820</v>
      </c>
      <c r="E39283" s="21" t="s">
        <v>71</v>
      </c>
      <c r="F39283">
        <v>12440058</v>
      </c>
      <c r="G39283" t="s">
        <v>394</v>
      </c>
      <c r="H39283" s="21">
        <v>1148.67</v>
      </c>
    </row>
    <row r="39284" spans="1:8" customFormat="1" x14ac:dyDescent="0.25">
      <c r="A39284" t="str">
        <f>"687403"</f>
        <v>687403</v>
      </c>
      <c r="B39284" t="s">
        <v>1295</v>
      </c>
      <c r="C39284" t="s">
        <v>24900</v>
      </c>
      <c r="D39284" s="21" t="s">
        <v>24820</v>
      </c>
      <c r="E39284" s="21" t="s">
        <v>254</v>
      </c>
      <c r="F39284">
        <v>6680006</v>
      </c>
      <c r="G39284" t="s">
        <v>5266</v>
      </c>
      <c r="H39284" s="21">
        <v>1142.67</v>
      </c>
    </row>
    <row r="39285" spans="1:8" customFormat="1" x14ac:dyDescent="0.25">
      <c r="A39285" t="str">
        <f>"595298"</f>
        <v>595298</v>
      </c>
      <c r="B39285" t="s">
        <v>9353</v>
      </c>
      <c r="C39285" t="s">
        <v>24915</v>
      </c>
      <c r="D39285" s="21" t="s">
        <v>24820</v>
      </c>
      <c r="E39285" s="21" t="s">
        <v>35</v>
      </c>
      <c r="F39285">
        <v>7590082</v>
      </c>
      <c r="G39285" t="s">
        <v>10063</v>
      </c>
      <c r="H39285" s="21">
        <v>1142.17</v>
      </c>
    </row>
    <row r="39286" spans="1:8" customFormat="1" x14ac:dyDescent="0.25">
      <c r="A39286" t="str">
        <f>"5318425"</f>
        <v>5318425</v>
      </c>
      <c r="B39286" t="s">
        <v>431</v>
      </c>
      <c r="C39286" t="s">
        <v>24890</v>
      </c>
      <c r="D39286" s="21" t="s">
        <v>24820</v>
      </c>
      <c r="E39286" s="21" t="s">
        <v>35</v>
      </c>
      <c r="F39286">
        <v>12530099</v>
      </c>
      <c r="G39286" t="s">
        <v>3569</v>
      </c>
      <c r="H39286" s="21">
        <v>1140.67</v>
      </c>
    </row>
    <row r="39287" spans="1:8" customFormat="1" x14ac:dyDescent="0.25">
      <c r="A39287" t="str">
        <f>"346145"</f>
        <v>346145</v>
      </c>
      <c r="B39287" t="s">
        <v>3001</v>
      </c>
      <c r="C39287" t="s">
        <v>24828</v>
      </c>
      <c r="D39287" s="21" t="s">
        <v>24820</v>
      </c>
      <c r="E39287" s="21" t="s">
        <v>35</v>
      </c>
      <c r="F39287">
        <v>11340067</v>
      </c>
      <c r="G39287" t="s">
        <v>2895</v>
      </c>
      <c r="H39287" s="21">
        <v>1136.92</v>
      </c>
    </row>
    <row r="39288" spans="1:8" customFormat="1" x14ac:dyDescent="0.25">
      <c r="A39288" t="str">
        <f>"443987"</f>
        <v>443987</v>
      </c>
      <c r="B39288" t="s">
        <v>24899</v>
      </c>
      <c r="C39288" t="s">
        <v>24881</v>
      </c>
      <c r="D39288" s="21" t="s">
        <v>24820</v>
      </c>
      <c r="E39288" s="21" t="s">
        <v>254</v>
      </c>
      <c r="F39288">
        <v>12440058</v>
      </c>
      <c r="G39288" t="s">
        <v>394</v>
      </c>
      <c r="H39288" s="21">
        <v>1136.67</v>
      </c>
    </row>
    <row r="39289" spans="1:8" customFormat="1" x14ac:dyDescent="0.25">
      <c r="A39289" t="str">
        <f>"221361"</f>
        <v>221361</v>
      </c>
      <c r="B39289" t="s">
        <v>20777</v>
      </c>
      <c r="C39289" t="s">
        <v>24916</v>
      </c>
      <c r="D39289" s="21" t="s">
        <v>24820</v>
      </c>
      <c r="E39289" s="21" t="s">
        <v>35</v>
      </c>
      <c r="F39289">
        <v>3220033</v>
      </c>
      <c r="G39289" t="s">
        <v>657</v>
      </c>
      <c r="H39289" s="21">
        <v>1136.67</v>
      </c>
    </row>
    <row r="39290" spans="1:8" customFormat="1" x14ac:dyDescent="0.25">
      <c r="A39290" t="str">
        <f>"941554"</f>
        <v>941554</v>
      </c>
      <c r="B39290" t="s">
        <v>2104</v>
      </c>
      <c r="C39290" t="s">
        <v>547</v>
      </c>
      <c r="D39290" s="21" t="s">
        <v>24820</v>
      </c>
      <c r="E39290" s="21" t="s">
        <v>254</v>
      </c>
      <c r="F39290">
        <v>8751450</v>
      </c>
      <c r="G39290" t="s">
        <v>41</v>
      </c>
      <c r="H39290" s="21">
        <v>1136.67</v>
      </c>
    </row>
    <row r="39291" spans="1:8" customFormat="1" x14ac:dyDescent="0.25">
      <c r="A39291" t="str">
        <f>"1416960"</f>
        <v>1416960</v>
      </c>
      <c r="B39291" t="s">
        <v>29732</v>
      </c>
      <c r="C39291" t="s">
        <v>24890</v>
      </c>
      <c r="D39291" s="21" t="s">
        <v>24820</v>
      </c>
      <c r="E39291" s="21" t="s">
        <v>35</v>
      </c>
      <c r="F39291">
        <v>9610017</v>
      </c>
      <c r="G39291" t="s">
        <v>12194</v>
      </c>
      <c r="H39291" s="21">
        <v>1132.67</v>
      </c>
    </row>
    <row r="39292" spans="1:8" customFormat="1" x14ac:dyDescent="0.25">
      <c r="A39292" t="str">
        <f>"884214"</f>
        <v>884214</v>
      </c>
      <c r="B39292" t="s">
        <v>29733</v>
      </c>
      <c r="C39292" t="s">
        <v>24828</v>
      </c>
      <c r="D39292" s="21" t="s">
        <v>24820</v>
      </c>
      <c r="E39292" s="21" t="s">
        <v>35</v>
      </c>
      <c r="F39292">
        <v>6880123</v>
      </c>
      <c r="G39292" t="s">
        <v>527</v>
      </c>
      <c r="H39292" s="21">
        <v>1129.17</v>
      </c>
    </row>
    <row r="39293" spans="1:8" customFormat="1" x14ac:dyDescent="0.25">
      <c r="A39293" t="str">
        <f>"7517222"</f>
        <v>7517222</v>
      </c>
      <c r="B39293" t="s">
        <v>19786</v>
      </c>
      <c r="C39293" t="s">
        <v>24897</v>
      </c>
      <c r="D39293" s="21" t="s">
        <v>24820</v>
      </c>
      <c r="E39293" s="21" t="s">
        <v>254</v>
      </c>
      <c r="F39293">
        <v>8751453</v>
      </c>
      <c r="G39293" t="s">
        <v>7029</v>
      </c>
      <c r="H39293" s="21">
        <v>1122.17</v>
      </c>
    </row>
    <row r="39294" spans="1:8" customFormat="1" x14ac:dyDescent="0.25">
      <c r="A39294" t="str">
        <f>"4437391"</f>
        <v>4437391</v>
      </c>
      <c r="B39294" t="s">
        <v>6159</v>
      </c>
      <c r="C39294" t="s">
        <v>24892</v>
      </c>
      <c r="D39294" s="21" t="s">
        <v>24820</v>
      </c>
      <c r="E39294" s="21" t="s">
        <v>71</v>
      </c>
      <c r="F39294">
        <v>12440002</v>
      </c>
      <c r="G39294" t="s">
        <v>47</v>
      </c>
      <c r="H39294" s="21">
        <v>1119.67</v>
      </c>
    </row>
    <row r="39295" spans="1:8" customFormat="1" x14ac:dyDescent="0.25">
      <c r="A39295" t="str">
        <f>"62677"</f>
        <v>62677</v>
      </c>
      <c r="B39295" t="s">
        <v>11366</v>
      </c>
      <c r="C39295" t="s">
        <v>24867</v>
      </c>
      <c r="D39295" s="21" t="s">
        <v>24820</v>
      </c>
      <c r="E39295" s="21" t="s">
        <v>71</v>
      </c>
      <c r="F39295">
        <v>7620064</v>
      </c>
      <c r="G39295" t="s">
        <v>2266</v>
      </c>
      <c r="H39295" s="21">
        <v>1118.67</v>
      </c>
    </row>
    <row r="39296" spans="1:8" customFormat="1" x14ac:dyDescent="0.25">
      <c r="A39296" t="str">
        <f>"162684"</f>
        <v>162684</v>
      </c>
      <c r="B39296" t="s">
        <v>24903</v>
      </c>
      <c r="C39296" t="s">
        <v>24904</v>
      </c>
      <c r="D39296" s="21" t="s">
        <v>24820</v>
      </c>
      <c r="E39296" s="21" t="s">
        <v>254</v>
      </c>
      <c r="F39296">
        <v>10160197</v>
      </c>
      <c r="G39296" t="s">
        <v>4472</v>
      </c>
      <c r="H39296" s="21">
        <v>1114.67</v>
      </c>
    </row>
    <row r="39297" spans="1:8" customFormat="1" x14ac:dyDescent="0.25">
      <c r="A39297" t="str">
        <f>"628239"</f>
        <v>628239</v>
      </c>
      <c r="B39297" t="s">
        <v>20249</v>
      </c>
      <c r="C39297" t="s">
        <v>24833</v>
      </c>
      <c r="D39297" s="21" t="s">
        <v>24820</v>
      </c>
      <c r="E39297" s="21" t="s">
        <v>71</v>
      </c>
      <c r="F39297">
        <v>7590231</v>
      </c>
      <c r="G39297" t="s">
        <v>207</v>
      </c>
      <c r="H39297" s="21">
        <v>1114.17</v>
      </c>
    </row>
    <row r="39298" spans="1:8" customFormat="1" x14ac:dyDescent="0.25">
      <c r="A39298" t="str">
        <f>"7211278"</f>
        <v>7211278</v>
      </c>
      <c r="B39298" t="s">
        <v>14770</v>
      </c>
      <c r="C39298" t="s">
        <v>24833</v>
      </c>
      <c r="D39298" s="21" t="s">
        <v>24820</v>
      </c>
      <c r="E39298" s="21" t="s">
        <v>35</v>
      </c>
      <c r="F39298">
        <v>12720023</v>
      </c>
      <c r="G39298" t="s">
        <v>1898</v>
      </c>
      <c r="H39298" s="21">
        <v>1113.67</v>
      </c>
    </row>
    <row r="39299" spans="1:8" customFormat="1" x14ac:dyDescent="0.25">
      <c r="A39299" t="str">
        <f>"273527"</f>
        <v>273527</v>
      </c>
      <c r="B39299" t="s">
        <v>24908</v>
      </c>
      <c r="C39299" t="s">
        <v>24857</v>
      </c>
      <c r="D39299" s="21" t="s">
        <v>24820</v>
      </c>
      <c r="E39299" s="21" t="s">
        <v>35</v>
      </c>
      <c r="F39299">
        <v>9270005</v>
      </c>
      <c r="G39299" t="s">
        <v>1255</v>
      </c>
      <c r="H39299" s="21">
        <v>1113.17</v>
      </c>
    </row>
    <row r="39300" spans="1:8" customFormat="1" x14ac:dyDescent="0.25">
      <c r="A39300" t="str">
        <f>"621713"</f>
        <v>621713</v>
      </c>
      <c r="B39300" t="s">
        <v>3830</v>
      </c>
      <c r="C39300" t="s">
        <v>24889</v>
      </c>
      <c r="D39300" s="21" t="s">
        <v>24820</v>
      </c>
      <c r="E39300" s="21" t="s">
        <v>35</v>
      </c>
      <c r="F39300">
        <v>7620067</v>
      </c>
      <c r="G39300" t="s">
        <v>860</v>
      </c>
      <c r="H39300" s="21">
        <v>1112.17</v>
      </c>
    </row>
    <row r="39301" spans="1:8" customFormat="1" x14ac:dyDescent="0.25">
      <c r="A39301" t="str">
        <f>"6931512"</f>
        <v>6931512</v>
      </c>
      <c r="B39301" t="s">
        <v>3577</v>
      </c>
      <c r="C39301" t="s">
        <v>24910</v>
      </c>
      <c r="D39301" s="21" t="s">
        <v>24820</v>
      </c>
      <c r="E39301" s="21" t="s">
        <v>35</v>
      </c>
      <c r="F39301">
        <v>1690192</v>
      </c>
      <c r="G39301" t="s">
        <v>3578</v>
      </c>
      <c r="H39301" s="21">
        <v>1111.67</v>
      </c>
    </row>
    <row r="39302" spans="1:8" customFormat="1" x14ac:dyDescent="0.25">
      <c r="A39302" t="str">
        <f>"2919629"</f>
        <v>2919629</v>
      </c>
      <c r="B39302" t="s">
        <v>4411</v>
      </c>
      <c r="C39302" t="s">
        <v>23966</v>
      </c>
      <c r="D39302" s="21" t="s">
        <v>24820</v>
      </c>
      <c r="E39302" s="21" t="s">
        <v>35</v>
      </c>
      <c r="F39302">
        <v>3560034</v>
      </c>
      <c r="G39302" t="s">
        <v>2220</v>
      </c>
      <c r="H39302" s="21">
        <v>1111.17</v>
      </c>
    </row>
    <row r="39303" spans="1:8" customFormat="1" x14ac:dyDescent="0.25">
      <c r="A39303" t="str">
        <f>"57263"</f>
        <v>57263</v>
      </c>
      <c r="B39303" t="s">
        <v>14432</v>
      </c>
      <c r="C39303" t="s">
        <v>24900</v>
      </c>
      <c r="D39303" s="21" t="s">
        <v>24820</v>
      </c>
      <c r="E39303" s="21" t="s">
        <v>35</v>
      </c>
      <c r="F39303">
        <v>6570018</v>
      </c>
      <c r="G39303" t="s">
        <v>4546</v>
      </c>
      <c r="H39303" s="21">
        <v>1105.67</v>
      </c>
    </row>
    <row r="39304" spans="1:8" customFormat="1" x14ac:dyDescent="0.25">
      <c r="A39304" t="str">
        <f>"9231878"</f>
        <v>9231878</v>
      </c>
      <c r="B39304" t="s">
        <v>24921</v>
      </c>
      <c r="C39304" t="s">
        <v>24922</v>
      </c>
      <c r="D39304" s="21" t="s">
        <v>24820</v>
      </c>
      <c r="E39304" s="21" t="s">
        <v>71</v>
      </c>
      <c r="F39304">
        <v>8920063</v>
      </c>
      <c r="G39304" t="s">
        <v>219</v>
      </c>
      <c r="H39304" s="21">
        <v>1101.17</v>
      </c>
    </row>
    <row r="39305" spans="1:8" customFormat="1" x14ac:dyDescent="0.25">
      <c r="A39305" t="str">
        <f>"7653"</f>
        <v>7653</v>
      </c>
      <c r="B39305" t="s">
        <v>107</v>
      </c>
      <c r="C39305" t="s">
        <v>24896</v>
      </c>
      <c r="D39305" s="21" t="s">
        <v>24820</v>
      </c>
      <c r="E39305" s="21" t="s">
        <v>1089</v>
      </c>
      <c r="F39305">
        <v>9760107</v>
      </c>
      <c r="G39305" t="s">
        <v>122</v>
      </c>
      <c r="H39305" s="21">
        <v>1089.17</v>
      </c>
    </row>
    <row r="39306" spans="1:8" customFormat="1" x14ac:dyDescent="0.25">
      <c r="A39306" t="str">
        <f>"44843"</f>
        <v>44843</v>
      </c>
      <c r="B39306" t="s">
        <v>2204</v>
      </c>
      <c r="C39306" t="s">
        <v>24854</v>
      </c>
      <c r="D39306" s="21" t="s">
        <v>24820</v>
      </c>
      <c r="E39306" s="21" t="s">
        <v>35</v>
      </c>
      <c r="F39306">
        <v>12440056</v>
      </c>
      <c r="G39306" t="s">
        <v>2037</v>
      </c>
      <c r="H39306" s="21">
        <v>1087.67</v>
      </c>
    </row>
    <row r="39307" spans="1:8" customFormat="1" x14ac:dyDescent="0.25">
      <c r="A39307" t="str">
        <f>"5016040"</f>
        <v>5016040</v>
      </c>
      <c r="B39307" t="s">
        <v>4058</v>
      </c>
      <c r="C39307" t="s">
        <v>24927</v>
      </c>
      <c r="D39307" s="21" t="s">
        <v>24820</v>
      </c>
      <c r="E39307" s="21" t="s">
        <v>254</v>
      </c>
      <c r="F39307">
        <v>9500117</v>
      </c>
      <c r="G39307" t="s">
        <v>247</v>
      </c>
      <c r="H39307" s="21">
        <v>1086.67</v>
      </c>
    </row>
    <row r="39308" spans="1:8" customFormat="1" x14ac:dyDescent="0.25">
      <c r="A39308" t="str">
        <f>"7612049"</f>
        <v>7612049</v>
      </c>
      <c r="B39308" t="s">
        <v>3709</v>
      </c>
      <c r="C39308" t="s">
        <v>24909</v>
      </c>
      <c r="D39308" s="21" t="s">
        <v>24820</v>
      </c>
      <c r="E39308" s="21" t="s">
        <v>254</v>
      </c>
      <c r="F39308">
        <v>9760018</v>
      </c>
      <c r="G39308" t="s">
        <v>117</v>
      </c>
      <c r="H39308" s="21">
        <v>1085.67</v>
      </c>
    </row>
    <row r="39309" spans="1:8" customFormat="1" x14ac:dyDescent="0.25">
      <c r="A39309" t="str">
        <f>"3728616"</f>
        <v>3728616</v>
      </c>
      <c r="B39309" t="s">
        <v>24905</v>
      </c>
      <c r="C39309" t="s">
        <v>22831</v>
      </c>
      <c r="D39309" s="21" t="s">
        <v>24820</v>
      </c>
      <c r="E39309" s="21" t="s">
        <v>71</v>
      </c>
      <c r="F39309">
        <v>4370284</v>
      </c>
      <c r="G39309" t="s">
        <v>3584</v>
      </c>
      <c r="H39309" s="21">
        <v>1082.17</v>
      </c>
    </row>
    <row r="39310" spans="1:8" customFormat="1" x14ac:dyDescent="0.25">
      <c r="A39310" t="str">
        <f>"62644"</f>
        <v>62644</v>
      </c>
      <c r="B39310" t="s">
        <v>3862</v>
      </c>
      <c r="C39310" t="s">
        <v>24300</v>
      </c>
      <c r="D39310" s="21" t="s">
        <v>24820</v>
      </c>
      <c r="E39310" s="21" t="s">
        <v>35</v>
      </c>
      <c r="F39310">
        <v>7620100</v>
      </c>
      <c r="G39310" t="s">
        <v>145</v>
      </c>
      <c r="H39310" s="21">
        <v>1080.67</v>
      </c>
    </row>
    <row r="39311" spans="1:8" customFormat="1" x14ac:dyDescent="0.25">
      <c r="A39311" t="str">
        <f>"516228"</f>
        <v>516228</v>
      </c>
      <c r="B39311" t="s">
        <v>19175</v>
      </c>
      <c r="C39311" t="s">
        <v>24911</v>
      </c>
      <c r="D39311" s="21" t="s">
        <v>24820</v>
      </c>
      <c r="E39311" s="21" t="s">
        <v>35</v>
      </c>
      <c r="F39311">
        <v>8751450</v>
      </c>
      <c r="G39311" t="s">
        <v>41</v>
      </c>
      <c r="H39311" s="21">
        <v>1078.67</v>
      </c>
    </row>
    <row r="39312" spans="1:8" customFormat="1" x14ac:dyDescent="0.25">
      <c r="A39312" t="str">
        <f>"021166"</f>
        <v>021166</v>
      </c>
      <c r="B39312" t="s">
        <v>24901</v>
      </c>
      <c r="C39312" t="s">
        <v>24902</v>
      </c>
      <c r="D39312" s="21" t="s">
        <v>24820</v>
      </c>
      <c r="E39312" s="21" t="s">
        <v>71</v>
      </c>
      <c r="F39312">
        <v>7020031</v>
      </c>
      <c r="G39312" t="s">
        <v>828</v>
      </c>
      <c r="H39312" s="21">
        <v>1077.67</v>
      </c>
    </row>
    <row r="39313" spans="1:8" customFormat="1" x14ac:dyDescent="0.25">
      <c r="A39313" t="str">
        <f>"9221638"</f>
        <v>9221638</v>
      </c>
      <c r="B39313" t="s">
        <v>10619</v>
      </c>
      <c r="C39313" t="s">
        <v>24836</v>
      </c>
      <c r="D39313" s="21" t="s">
        <v>24820</v>
      </c>
      <c r="E39313" s="21" t="s">
        <v>35</v>
      </c>
      <c r="F39313">
        <v>8920063</v>
      </c>
      <c r="G39313" t="s">
        <v>219</v>
      </c>
      <c r="H39313" s="21">
        <v>1072.17</v>
      </c>
    </row>
    <row r="39314" spans="1:8" customFormat="1" x14ac:dyDescent="0.25">
      <c r="A39314" t="str">
        <f>"946232"</f>
        <v>946232</v>
      </c>
      <c r="B39314" t="s">
        <v>9641</v>
      </c>
      <c r="C39314" t="s">
        <v>24877</v>
      </c>
      <c r="D39314" s="21" t="s">
        <v>24820</v>
      </c>
      <c r="E39314" s="21" t="s">
        <v>254</v>
      </c>
      <c r="F39314">
        <v>8940549</v>
      </c>
      <c r="G39314" t="s">
        <v>454</v>
      </c>
      <c r="H39314" s="21">
        <v>1070.44</v>
      </c>
    </row>
    <row r="39315" spans="1:8" customFormat="1" x14ac:dyDescent="0.25">
      <c r="A39315" t="str">
        <f>"152142"</f>
        <v>152142</v>
      </c>
      <c r="B39315" t="s">
        <v>3781</v>
      </c>
      <c r="C39315" t="s">
        <v>24828</v>
      </c>
      <c r="D39315" s="21" t="s">
        <v>24820</v>
      </c>
      <c r="E39315" s="21" t="s">
        <v>35</v>
      </c>
      <c r="F39315">
        <v>1150303</v>
      </c>
      <c r="G39315" t="s">
        <v>5809</v>
      </c>
      <c r="H39315" s="21">
        <v>1070.17</v>
      </c>
    </row>
    <row r="39316" spans="1:8" customFormat="1" x14ac:dyDescent="0.25">
      <c r="A39316" t="str">
        <f>"642764"</f>
        <v>642764</v>
      </c>
      <c r="B39316" t="s">
        <v>24934</v>
      </c>
      <c r="C39316" t="s">
        <v>24897</v>
      </c>
      <c r="D39316" s="21" t="s">
        <v>24820</v>
      </c>
      <c r="E39316" s="21" t="s">
        <v>71</v>
      </c>
      <c r="F39316">
        <v>10640004</v>
      </c>
      <c r="G39316" t="s">
        <v>26618</v>
      </c>
      <c r="H39316" s="21">
        <v>1069.17</v>
      </c>
    </row>
    <row r="39317" spans="1:8" customFormat="1" x14ac:dyDescent="0.25">
      <c r="A39317" t="str">
        <f>"868447"</f>
        <v>868447</v>
      </c>
      <c r="B39317" t="s">
        <v>26506</v>
      </c>
      <c r="C39317" t="s">
        <v>26507</v>
      </c>
      <c r="D39317" s="21" t="s">
        <v>24820</v>
      </c>
      <c r="E39317" s="21" t="s">
        <v>35</v>
      </c>
      <c r="F39317">
        <v>10860024</v>
      </c>
      <c r="G39317" t="s">
        <v>1770</v>
      </c>
      <c r="H39317" s="21">
        <v>1068.17</v>
      </c>
    </row>
    <row r="39318" spans="1:8" customFormat="1" x14ac:dyDescent="0.25">
      <c r="A39318" t="str">
        <f>"0612010"</f>
        <v>0612010</v>
      </c>
      <c r="B39318" t="s">
        <v>7700</v>
      </c>
      <c r="C39318" t="s">
        <v>24686</v>
      </c>
      <c r="D39318" s="21" t="s">
        <v>24820</v>
      </c>
      <c r="E39318" s="21" t="s">
        <v>254</v>
      </c>
      <c r="F39318">
        <v>13060005</v>
      </c>
      <c r="G39318" t="s">
        <v>3609</v>
      </c>
      <c r="H39318" s="21">
        <v>1067.67</v>
      </c>
    </row>
    <row r="39319" spans="1:8" customFormat="1" x14ac:dyDescent="0.25">
      <c r="A39319" t="str">
        <f>"92307"</f>
        <v>92307</v>
      </c>
      <c r="B39319" t="s">
        <v>2123</v>
      </c>
      <c r="C39319" t="s">
        <v>23734</v>
      </c>
      <c r="D39319" s="21" t="s">
        <v>24820</v>
      </c>
      <c r="E39319" s="21" t="s">
        <v>71</v>
      </c>
      <c r="F39319">
        <v>8920063</v>
      </c>
      <c r="G39319" t="s">
        <v>219</v>
      </c>
      <c r="H39319" s="21">
        <v>1063.17</v>
      </c>
    </row>
    <row r="39320" spans="1:8" customFormat="1" x14ac:dyDescent="0.25">
      <c r="A39320" t="str">
        <f>"142215"</f>
        <v>142215</v>
      </c>
      <c r="B39320" t="s">
        <v>196</v>
      </c>
      <c r="C39320" t="s">
        <v>24919</v>
      </c>
      <c r="D39320" s="21" t="s">
        <v>24820</v>
      </c>
      <c r="E39320" s="21" t="s">
        <v>35</v>
      </c>
      <c r="F39320">
        <v>9140012</v>
      </c>
      <c r="G39320" t="s">
        <v>26518</v>
      </c>
      <c r="H39320" s="21">
        <v>1061.67</v>
      </c>
    </row>
    <row r="39321" spans="1:8" customFormat="1" x14ac:dyDescent="0.25">
      <c r="A39321" t="str">
        <f>"272079"</f>
        <v>272079</v>
      </c>
      <c r="B39321" t="s">
        <v>16196</v>
      </c>
      <c r="C39321" t="s">
        <v>24906</v>
      </c>
      <c r="D39321" s="21" t="s">
        <v>24820</v>
      </c>
      <c r="E39321" s="21" t="s">
        <v>71</v>
      </c>
      <c r="F39321">
        <v>9270112</v>
      </c>
      <c r="G39321" t="s">
        <v>5124</v>
      </c>
      <c r="H39321" s="21">
        <v>1060.67</v>
      </c>
    </row>
    <row r="39322" spans="1:8" customFormat="1" x14ac:dyDescent="0.25">
      <c r="A39322" t="str">
        <f>"5014763"</f>
        <v>5014763</v>
      </c>
      <c r="B39322" t="s">
        <v>29734</v>
      </c>
      <c r="C39322" t="s">
        <v>22736</v>
      </c>
      <c r="D39322" s="21" t="s">
        <v>24820</v>
      </c>
      <c r="E39322" s="21" t="s">
        <v>35</v>
      </c>
      <c r="F39322">
        <v>9500058</v>
      </c>
      <c r="G39322" t="s">
        <v>1585</v>
      </c>
      <c r="H39322" s="21">
        <v>1059.05</v>
      </c>
    </row>
    <row r="39323" spans="1:8" customFormat="1" x14ac:dyDescent="0.25">
      <c r="A39323" t="str">
        <f>"601027"</f>
        <v>601027</v>
      </c>
      <c r="B39323" t="s">
        <v>299</v>
      </c>
      <c r="C39323" t="s">
        <v>24926</v>
      </c>
      <c r="D39323" s="21" t="s">
        <v>24820</v>
      </c>
      <c r="E39323" s="21" t="s">
        <v>35</v>
      </c>
      <c r="F39323">
        <v>7600044</v>
      </c>
      <c r="G39323" t="s">
        <v>3411</v>
      </c>
      <c r="H39323" s="21">
        <v>1058.67</v>
      </c>
    </row>
    <row r="39324" spans="1:8" customFormat="1" x14ac:dyDescent="0.25">
      <c r="A39324" t="str">
        <f>"9121337"</f>
        <v>9121337</v>
      </c>
      <c r="B39324" t="s">
        <v>727</v>
      </c>
      <c r="C39324" t="s">
        <v>24867</v>
      </c>
      <c r="D39324" s="21" t="s">
        <v>24820</v>
      </c>
      <c r="E39324" s="21" t="s">
        <v>35</v>
      </c>
      <c r="F39324">
        <v>8910876</v>
      </c>
      <c r="G39324" t="s">
        <v>1721</v>
      </c>
      <c r="H39324" s="21">
        <v>1056.05</v>
      </c>
    </row>
    <row r="39325" spans="1:8" customFormat="1" x14ac:dyDescent="0.25">
      <c r="A39325" t="str">
        <f>"284913"</f>
        <v>284913</v>
      </c>
      <c r="B39325" t="s">
        <v>24039</v>
      </c>
      <c r="C39325" t="s">
        <v>24909</v>
      </c>
      <c r="D39325" s="21" t="s">
        <v>24820</v>
      </c>
      <c r="E39325" s="21" t="s">
        <v>71</v>
      </c>
      <c r="F39325">
        <v>4410080</v>
      </c>
      <c r="G39325" t="s">
        <v>135</v>
      </c>
      <c r="H39325" s="21">
        <v>1054.17</v>
      </c>
    </row>
    <row r="39326" spans="1:8" customFormat="1" x14ac:dyDescent="0.25">
      <c r="A39326" t="str">
        <f>"7510040"</f>
        <v>7510040</v>
      </c>
      <c r="B39326" t="s">
        <v>1959</v>
      </c>
      <c r="C39326" t="s">
        <v>24894</v>
      </c>
      <c r="D39326" s="21" t="s">
        <v>24820</v>
      </c>
      <c r="E39326" s="21" t="s">
        <v>35</v>
      </c>
      <c r="F39326">
        <v>11820008</v>
      </c>
      <c r="G39326" t="s">
        <v>294</v>
      </c>
      <c r="H39326" s="21">
        <v>1053.67</v>
      </c>
    </row>
    <row r="39327" spans="1:8" customFormat="1" x14ac:dyDescent="0.25">
      <c r="A39327" t="str">
        <f>"85957"</f>
        <v>85957</v>
      </c>
      <c r="B39327" t="s">
        <v>4137</v>
      </c>
      <c r="C39327" t="s">
        <v>24925</v>
      </c>
      <c r="D39327" s="21" t="s">
        <v>24820</v>
      </c>
      <c r="E39327" s="21" t="s">
        <v>254</v>
      </c>
      <c r="F39327">
        <v>12850028</v>
      </c>
      <c r="G39327" t="s">
        <v>1700</v>
      </c>
      <c r="H39327" s="21">
        <v>1051.17</v>
      </c>
    </row>
    <row r="39328" spans="1:8" customFormat="1" x14ac:dyDescent="0.25">
      <c r="A39328" t="str">
        <f>"08560"</f>
        <v>08560</v>
      </c>
      <c r="B39328" t="s">
        <v>10218</v>
      </c>
      <c r="C39328" t="s">
        <v>24947</v>
      </c>
      <c r="D39328" s="21" t="s">
        <v>24820</v>
      </c>
      <c r="E39328" s="21" t="s">
        <v>71</v>
      </c>
      <c r="F39328">
        <v>6080043</v>
      </c>
      <c r="G39328" t="s">
        <v>961</v>
      </c>
      <c r="H39328" s="21">
        <v>1049.67</v>
      </c>
    </row>
    <row r="39329" spans="1:8" customFormat="1" x14ac:dyDescent="0.25">
      <c r="A39329" t="str">
        <f>"537921"</f>
        <v>537921</v>
      </c>
      <c r="B39329" t="s">
        <v>3698</v>
      </c>
      <c r="C39329" t="s">
        <v>24914</v>
      </c>
      <c r="D39329" s="21" t="s">
        <v>24820</v>
      </c>
      <c r="E39329" s="21" t="s">
        <v>35</v>
      </c>
      <c r="F39329">
        <v>12530070</v>
      </c>
      <c r="G39329" t="s">
        <v>4905</v>
      </c>
      <c r="H39329" s="21">
        <v>1047.17</v>
      </c>
    </row>
    <row r="39330" spans="1:8" customFormat="1" x14ac:dyDescent="0.25">
      <c r="A39330" t="str">
        <f>"889687"</f>
        <v>889687</v>
      </c>
      <c r="B39330" t="s">
        <v>7089</v>
      </c>
      <c r="C39330" t="s">
        <v>24898</v>
      </c>
      <c r="D39330" s="21" t="s">
        <v>24820</v>
      </c>
      <c r="E39330" s="21" t="s">
        <v>254</v>
      </c>
      <c r="F39330">
        <v>6880064</v>
      </c>
      <c r="G39330" t="s">
        <v>7090</v>
      </c>
      <c r="H39330" s="21">
        <v>1046.67</v>
      </c>
    </row>
    <row r="39331" spans="1:8" customFormat="1" x14ac:dyDescent="0.25">
      <c r="A39331" t="str">
        <f>"3714838"</f>
        <v>3714838</v>
      </c>
      <c r="B39331" t="s">
        <v>10087</v>
      </c>
      <c r="C39331" t="s">
        <v>24865</v>
      </c>
      <c r="D39331" s="21" t="s">
        <v>24820</v>
      </c>
      <c r="E39331" s="21" t="s">
        <v>35</v>
      </c>
      <c r="F39331">
        <v>10330050</v>
      </c>
      <c r="G39331" t="s">
        <v>2488</v>
      </c>
      <c r="H39331" s="21">
        <v>1045.67</v>
      </c>
    </row>
    <row r="39332" spans="1:8" customFormat="1" x14ac:dyDescent="0.25">
      <c r="A39332" t="str">
        <f>"615919"</f>
        <v>615919</v>
      </c>
      <c r="B39332" t="s">
        <v>213</v>
      </c>
      <c r="C39332" t="s">
        <v>22831</v>
      </c>
      <c r="D39332" s="21" t="s">
        <v>24820</v>
      </c>
      <c r="E39332" s="21" t="s">
        <v>71</v>
      </c>
      <c r="F39332">
        <v>9610031</v>
      </c>
      <c r="G39332" t="s">
        <v>1792</v>
      </c>
      <c r="H39332" s="21">
        <v>1042.17</v>
      </c>
    </row>
    <row r="39333" spans="1:8" customFormat="1" x14ac:dyDescent="0.25">
      <c r="A39333" t="str">
        <f>"142014"</f>
        <v>142014</v>
      </c>
      <c r="B39333" t="s">
        <v>15049</v>
      </c>
      <c r="C39333" t="s">
        <v>24865</v>
      </c>
      <c r="D39333" s="21" t="s">
        <v>24820</v>
      </c>
      <c r="E39333" s="21" t="s">
        <v>254</v>
      </c>
      <c r="F39333">
        <v>9140013</v>
      </c>
      <c r="G39333" t="s">
        <v>1837</v>
      </c>
      <c r="H39333" s="21">
        <v>1040.67</v>
      </c>
    </row>
    <row r="39334" spans="1:8" customFormat="1" x14ac:dyDescent="0.25">
      <c r="A39334" t="str">
        <f>"7823907"</f>
        <v>7823907</v>
      </c>
      <c r="B39334" t="s">
        <v>19873</v>
      </c>
      <c r="C39334" t="s">
        <v>24877</v>
      </c>
      <c r="D39334" s="21" t="s">
        <v>24820</v>
      </c>
      <c r="E39334" s="21" t="s">
        <v>71</v>
      </c>
      <c r="F39334">
        <v>7600026</v>
      </c>
      <c r="G39334" t="s">
        <v>10079</v>
      </c>
      <c r="H39334" s="21">
        <v>1039.67</v>
      </c>
    </row>
    <row r="39335" spans="1:8" customFormat="1" x14ac:dyDescent="0.25">
      <c r="A39335" t="str">
        <f>"57409"</f>
        <v>57409</v>
      </c>
      <c r="B39335" t="s">
        <v>24917</v>
      </c>
      <c r="C39335" t="s">
        <v>23734</v>
      </c>
      <c r="D39335" s="21" t="s">
        <v>24820</v>
      </c>
      <c r="E39335" s="21" t="s">
        <v>71</v>
      </c>
      <c r="F39335">
        <v>6570022</v>
      </c>
      <c r="G39335" t="s">
        <v>3870</v>
      </c>
      <c r="H39335" s="21">
        <v>1038.17</v>
      </c>
    </row>
    <row r="39336" spans="1:8" customFormat="1" x14ac:dyDescent="0.25">
      <c r="A39336" t="str">
        <f>"886366"</f>
        <v>886366</v>
      </c>
      <c r="B39336" t="s">
        <v>8097</v>
      </c>
      <c r="C39336" t="s">
        <v>24840</v>
      </c>
      <c r="D39336" s="21" t="s">
        <v>24820</v>
      </c>
      <c r="E39336" s="21" t="s">
        <v>35</v>
      </c>
      <c r="F39336">
        <v>6880140</v>
      </c>
      <c r="G39336" t="s">
        <v>4827</v>
      </c>
      <c r="H39336" s="21">
        <v>1037.67</v>
      </c>
    </row>
    <row r="39337" spans="1:8" customFormat="1" x14ac:dyDescent="0.25">
      <c r="A39337" t="str">
        <f>"947619"</f>
        <v>947619</v>
      </c>
      <c r="B39337" t="s">
        <v>24923</v>
      </c>
      <c r="C39337" t="s">
        <v>24924</v>
      </c>
      <c r="D39337" s="21" t="s">
        <v>24820</v>
      </c>
      <c r="E39337" s="21" t="s">
        <v>71</v>
      </c>
      <c r="F39337">
        <v>8940326</v>
      </c>
      <c r="G39337" t="s">
        <v>659</v>
      </c>
      <c r="H39337" s="21">
        <v>1037.17</v>
      </c>
    </row>
    <row r="39338" spans="1:8" customFormat="1" x14ac:dyDescent="0.25">
      <c r="A39338" t="str">
        <f>"7724531"</f>
        <v>7724531</v>
      </c>
      <c r="B39338" t="s">
        <v>29735</v>
      </c>
      <c r="C39338" t="s">
        <v>29736</v>
      </c>
      <c r="D39338" s="21" t="s">
        <v>24820</v>
      </c>
      <c r="E39338" s="21" t="s">
        <v>35</v>
      </c>
      <c r="F39338">
        <v>8770408</v>
      </c>
      <c r="G39338" t="s">
        <v>212</v>
      </c>
      <c r="H39338" s="21">
        <v>1036.67</v>
      </c>
    </row>
    <row r="39339" spans="1:8" customFormat="1" x14ac:dyDescent="0.25">
      <c r="A39339" t="str">
        <f>"6311953"</f>
        <v>6311953</v>
      </c>
      <c r="B39339" t="s">
        <v>6611</v>
      </c>
      <c r="C39339" t="s">
        <v>24927</v>
      </c>
      <c r="D39339" s="21" t="s">
        <v>24820</v>
      </c>
      <c r="E39339" s="21" t="s">
        <v>254</v>
      </c>
      <c r="F39339">
        <v>1630249</v>
      </c>
      <c r="G39339" t="s">
        <v>1237</v>
      </c>
      <c r="H39339" s="21">
        <v>1034.42</v>
      </c>
    </row>
    <row r="39340" spans="1:8" customFormat="1" x14ac:dyDescent="0.25">
      <c r="A39340" t="str">
        <f>"4216210"</f>
        <v>4216210</v>
      </c>
      <c r="B39340" t="s">
        <v>18587</v>
      </c>
      <c r="C39340" t="s">
        <v>24999</v>
      </c>
      <c r="D39340" s="21" t="s">
        <v>24820</v>
      </c>
      <c r="E39340" s="21" t="s">
        <v>35</v>
      </c>
      <c r="F39340">
        <v>1420018</v>
      </c>
      <c r="G39340" t="s">
        <v>9778</v>
      </c>
      <c r="H39340" s="21">
        <v>1034.17</v>
      </c>
    </row>
    <row r="39341" spans="1:8" customFormat="1" x14ac:dyDescent="0.25">
      <c r="A39341" t="str">
        <f>"403329"</f>
        <v>403329</v>
      </c>
      <c r="B39341" t="s">
        <v>24918</v>
      </c>
      <c r="C39341" t="s">
        <v>22831</v>
      </c>
      <c r="D39341" s="21" t="s">
        <v>24820</v>
      </c>
      <c r="E39341" s="21" t="s">
        <v>71</v>
      </c>
      <c r="F39341">
        <v>10400009</v>
      </c>
      <c r="G39341" t="s">
        <v>5378</v>
      </c>
      <c r="H39341" s="21">
        <v>1033.67</v>
      </c>
    </row>
    <row r="39342" spans="1:8" customFormat="1" x14ac:dyDescent="0.25">
      <c r="A39342" t="str">
        <f>"2932272"</f>
        <v>2932272</v>
      </c>
      <c r="B39342" t="s">
        <v>24957</v>
      </c>
      <c r="C39342" t="s">
        <v>24958</v>
      </c>
      <c r="D39342" s="21" t="s">
        <v>24820</v>
      </c>
      <c r="E39342" s="21" t="s">
        <v>35</v>
      </c>
      <c r="F39342">
        <v>3290029</v>
      </c>
      <c r="G39342" t="s">
        <v>11486</v>
      </c>
      <c r="H39342" s="21">
        <v>1032.42</v>
      </c>
    </row>
    <row r="39343" spans="1:8" customFormat="1" x14ac:dyDescent="0.25">
      <c r="A39343" t="str">
        <f>"6933403"</f>
        <v>6933403</v>
      </c>
      <c r="B39343" t="s">
        <v>24960</v>
      </c>
      <c r="C39343" t="s">
        <v>24947</v>
      </c>
      <c r="D39343" s="21" t="s">
        <v>24820</v>
      </c>
      <c r="E39343" s="21" t="s">
        <v>35</v>
      </c>
      <c r="F39343">
        <v>1690221</v>
      </c>
      <c r="G39343" t="s">
        <v>303</v>
      </c>
      <c r="H39343" s="21">
        <v>1032.29</v>
      </c>
    </row>
    <row r="39344" spans="1:8" customFormat="1" x14ac:dyDescent="0.25">
      <c r="A39344" t="str">
        <f>"72146"</f>
        <v>72146</v>
      </c>
      <c r="B39344" t="s">
        <v>23257</v>
      </c>
      <c r="C39344" t="s">
        <v>24978</v>
      </c>
      <c r="D39344" s="21" t="s">
        <v>24820</v>
      </c>
      <c r="E39344" s="21" t="s">
        <v>254</v>
      </c>
      <c r="F39344">
        <v>12720104</v>
      </c>
      <c r="G39344" t="s">
        <v>224</v>
      </c>
      <c r="H39344" s="21">
        <v>1030.17</v>
      </c>
    </row>
    <row r="39345" spans="1:8" customFormat="1" x14ac:dyDescent="0.25">
      <c r="A39345" t="str">
        <f>"9228544"</f>
        <v>9228544</v>
      </c>
      <c r="B39345" t="s">
        <v>24949</v>
      </c>
      <c r="C39345" t="s">
        <v>24950</v>
      </c>
      <c r="D39345" s="21" t="s">
        <v>24820</v>
      </c>
      <c r="E39345" s="21" t="s">
        <v>35</v>
      </c>
      <c r="F39345">
        <v>10330032</v>
      </c>
      <c r="G39345" t="s">
        <v>4408</v>
      </c>
      <c r="H39345" s="21">
        <v>1030.17</v>
      </c>
    </row>
    <row r="39346" spans="1:8" customFormat="1" x14ac:dyDescent="0.25">
      <c r="A39346" t="str">
        <f>"888352"</f>
        <v>888352</v>
      </c>
      <c r="B39346" t="s">
        <v>526</v>
      </c>
      <c r="C39346" t="s">
        <v>24827</v>
      </c>
      <c r="D39346" s="21" t="s">
        <v>24820</v>
      </c>
      <c r="E39346" s="21" t="s">
        <v>35</v>
      </c>
      <c r="F39346">
        <v>6880123</v>
      </c>
      <c r="G39346" t="s">
        <v>527</v>
      </c>
      <c r="H39346" s="21">
        <v>1028.17</v>
      </c>
    </row>
    <row r="39347" spans="1:8" customFormat="1" x14ac:dyDescent="0.25">
      <c r="A39347" t="str">
        <f>"68295"</f>
        <v>68295</v>
      </c>
      <c r="B39347" t="s">
        <v>6679</v>
      </c>
      <c r="C39347" t="s">
        <v>24865</v>
      </c>
      <c r="D39347" s="21" t="s">
        <v>24820</v>
      </c>
      <c r="E39347" s="21" t="s">
        <v>71</v>
      </c>
      <c r="F39347">
        <v>6680105</v>
      </c>
      <c r="G39347" t="s">
        <v>403</v>
      </c>
      <c r="H39347" s="21">
        <v>1027.67</v>
      </c>
    </row>
    <row r="39348" spans="1:8" customFormat="1" x14ac:dyDescent="0.25">
      <c r="A39348" t="str">
        <f>"8012662"</f>
        <v>8012662</v>
      </c>
      <c r="B39348" t="s">
        <v>482</v>
      </c>
      <c r="C39348" t="s">
        <v>24824</v>
      </c>
      <c r="D39348" s="21" t="s">
        <v>24820</v>
      </c>
      <c r="E39348" s="21" t="s">
        <v>35</v>
      </c>
      <c r="F39348">
        <v>7800102</v>
      </c>
      <c r="G39348" t="s">
        <v>1148</v>
      </c>
      <c r="H39348" s="21">
        <v>1025.92</v>
      </c>
    </row>
    <row r="39349" spans="1:8" customFormat="1" x14ac:dyDescent="0.25">
      <c r="A39349" t="str">
        <f>"881641"</f>
        <v>881641</v>
      </c>
      <c r="B39349" t="s">
        <v>1886</v>
      </c>
      <c r="C39349" t="s">
        <v>24912</v>
      </c>
      <c r="D39349" s="21" t="s">
        <v>24820</v>
      </c>
      <c r="E39349" s="21" t="s">
        <v>35</v>
      </c>
      <c r="F39349">
        <v>6880101</v>
      </c>
      <c r="G39349" t="s">
        <v>6841</v>
      </c>
      <c r="H39349" s="21">
        <v>1024.29</v>
      </c>
    </row>
    <row r="39350" spans="1:8" customFormat="1" x14ac:dyDescent="0.25">
      <c r="A39350" t="str">
        <f>"103158"</f>
        <v>103158</v>
      </c>
      <c r="B39350" t="s">
        <v>24930</v>
      </c>
      <c r="C39350" t="s">
        <v>24931</v>
      </c>
      <c r="D39350" s="21" t="s">
        <v>24820</v>
      </c>
      <c r="E39350" s="21" t="s">
        <v>71</v>
      </c>
      <c r="F39350">
        <v>6100015</v>
      </c>
      <c r="G39350" t="s">
        <v>6173</v>
      </c>
      <c r="H39350" s="21">
        <v>1023.17</v>
      </c>
    </row>
    <row r="39351" spans="1:8" customFormat="1" x14ac:dyDescent="0.25">
      <c r="A39351" t="str">
        <f>"8013084"</f>
        <v>8013084</v>
      </c>
      <c r="B39351" t="s">
        <v>18011</v>
      </c>
      <c r="C39351" t="s">
        <v>25068</v>
      </c>
      <c r="D39351" s="21" t="s">
        <v>24820</v>
      </c>
      <c r="E39351" s="21" t="s">
        <v>35</v>
      </c>
      <c r="F39351">
        <v>7800102</v>
      </c>
      <c r="G39351" t="s">
        <v>1148</v>
      </c>
      <c r="H39351" s="21">
        <v>1021.67</v>
      </c>
    </row>
    <row r="39352" spans="1:8" customFormat="1" x14ac:dyDescent="0.25">
      <c r="A39352" t="str">
        <f>"5911401"</f>
        <v>5911401</v>
      </c>
      <c r="B39352" t="s">
        <v>24956</v>
      </c>
      <c r="C39352" t="s">
        <v>24863</v>
      </c>
      <c r="D39352" s="21" t="s">
        <v>24820</v>
      </c>
      <c r="E39352" s="21" t="s">
        <v>71</v>
      </c>
      <c r="F39352">
        <v>7590058</v>
      </c>
      <c r="G39352" t="s">
        <v>5044</v>
      </c>
      <c r="H39352" s="21">
        <v>1021.67</v>
      </c>
    </row>
    <row r="39353" spans="1:8" customFormat="1" x14ac:dyDescent="0.25">
      <c r="A39353" t="str">
        <f>"1936"</f>
        <v>1936</v>
      </c>
      <c r="B39353" t="s">
        <v>1343</v>
      </c>
      <c r="C39353" t="s">
        <v>23734</v>
      </c>
      <c r="D39353" s="21" t="s">
        <v>24820</v>
      </c>
      <c r="E39353" s="21" t="s">
        <v>254</v>
      </c>
      <c r="F39353">
        <v>10190043</v>
      </c>
      <c r="G39353" t="s">
        <v>10703</v>
      </c>
      <c r="H39353" s="21">
        <v>1021.67</v>
      </c>
    </row>
    <row r="39354" spans="1:8" customFormat="1" x14ac:dyDescent="0.25">
      <c r="A39354" t="str">
        <f>"285779"</f>
        <v>285779</v>
      </c>
      <c r="B39354" t="s">
        <v>1185</v>
      </c>
      <c r="C39354" t="s">
        <v>24898</v>
      </c>
      <c r="D39354" s="21" t="s">
        <v>24820</v>
      </c>
      <c r="E39354" s="21" t="s">
        <v>254</v>
      </c>
      <c r="F39354">
        <v>4280322</v>
      </c>
      <c r="G39354" t="s">
        <v>265</v>
      </c>
      <c r="H39354" s="21">
        <v>1020.17</v>
      </c>
    </row>
    <row r="39355" spans="1:8" customFormat="1" x14ac:dyDescent="0.25">
      <c r="A39355" t="str">
        <f>"2712539"</f>
        <v>2712539</v>
      </c>
      <c r="B39355" t="s">
        <v>24940</v>
      </c>
      <c r="C39355" t="s">
        <v>23734</v>
      </c>
      <c r="D39355" s="21" t="s">
        <v>24820</v>
      </c>
      <c r="E39355" s="21" t="s">
        <v>71</v>
      </c>
      <c r="F39355">
        <v>9270151</v>
      </c>
      <c r="G39355" t="s">
        <v>626</v>
      </c>
      <c r="H39355" s="21">
        <v>1020.17</v>
      </c>
    </row>
    <row r="39356" spans="1:8" customFormat="1" x14ac:dyDescent="0.25">
      <c r="A39356" t="str">
        <f>"444860"</f>
        <v>444860</v>
      </c>
      <c r="B39356" t="s">
        <v>3850</v>
      </c>
      <c r="C39356" t="s">
        <v>22831</v>
      </c>
      <c r="D39356" s="21" t="s">
        <v>24820</v>
      </c>
      <c r="E39356" s="21" t="s">
        <v>35</v>
      </c>
      <c r="F39356">
        <v>12440197</v>
      </c>
      <c r="G39356" t="s">
        <v>1101</v>
      </c>
      <c r="H39356" s="21">
        <v>1018.17</v>
      </c>
    </row>
    <row r="39357" spans="1:8" customFormat="1" x14ac:dyDescent="0.25">
      <c r="A39357" t="str">
        <f>"7718230"</f>
        <v>7718230</v>
      </c>
      <c r="B39357" t="s">
        <v>22955</v>
      </c>
      <c r="C39357" t="s">
        <v>24855</v>
      </c>
      <c r="D39357" s="21" t="s">
        <v>24820</v>
      </c>
      <c r="E39357" s="21" t="s">
        <v>35</v>
      </c>
      <c r="F39357">
        <v>8771087</v>
      </c>
      <c r="G39357" t="s">
        <v>9715</v>
      </c>
      <c r="H39357" s="21">
        <v>1017.8</v>
      </c>
    </row>
    <row r="39358" spans="1:8" customFormat="1" x14ac:dyDescent="0.25">
      <c r="A39358" t="str">
        <f>"725345"</f>
        <v>725345</v>
      </c>
      <c r="B39358" t="s">
        <v>2824</v>
      </c>
      <c r="C39358" t="s">
        <v>24865</v>
      </c>
      <c r="D39358" s="21" t="s">
        <v>24820</v>
      </c>
      <c r="E39358" s="21" t="s">
        <v>35</v>
      </c>
      <c r="F39358">
        <v>12490064</v>
      </c>
      <c r="G39358" t="s">
        <v>8425</v>
      </c>
      <c r="H39358" s="21">
        <v>1016.92</v>
      </c>
    </row>
    <row r="39359" spans="1:8" customFormat="1" x14ac:dyDescent="0.25">
      <c r="A39359" t="str">
        <f>"3712818"</f>
        <v>3712818</v>
      </c>
      <c r="B39359" t="s">
        <v>24954</v>
      </c>
      <c r="C39359" t="s">
        <v>24838</v>
      </c>
      <c r="D39359" s="21" t="s">
        <v>24820</v>
      </c>
      <c r="E39359" s="21" t="s">
        <v>35</v>
      </c>
      <c r="F39359">
        <v>4370151</v>
      </c>
      <c r="G39359" t="s">
        <v>5304</v>
      </c>
      <c r="H39359" s="21">
        <v>1015.17</v>
      </c>
    </row>
    <row r="39360" spans="1:8" customFormat="1" x14ac:dyDescent="0.25">
      <c r="A39360" t="str">
        <f>"7011"</f>
        <v>7011</v>
      </c>
      <c r="B39360" t="s">
        <v>24946</v>
      </c>
      <c r="C39360" t="s">
        <v>24854</v>
      </c>
      <c r="D39360" s="21" t="s">
        <v>24820</v>
      </c>
      <c r="E39360" s="21" t="s">
        <v>35</v>
      </c>
      <c r="F39360">
        <v>2700002</v>
      </c>
      <c r="G39360" t="s">
        <v>953</v>
      </c>
      <c r="H39360" s="21">
        <v>1015.17</v>
      </c>
    </row>
    <row r="39361" spans="1:8" customFormat="1" x14ac:dyDescent="0.25">
      <c r="A39361" t="str">
        <f>"6233480"</f>
        <v>6233480</v>
      </c>
      <c r="B39361" t="s">
        <v>24885</v>
      </c>
      <c r="C39361" t="s">
        <v>24833</v>
      </c>
      <c r="D39361" s="21" t="s">
        <v>24820</v>
      </c>
      <c r="E39361" s="21" t="s">
        <v>35</v>
      </c>
      <c r="F39361">
        <v>7620031</v>
      </c>
      <c r="G39361" t="s">
        <v>2182</v>
      </c>
      <c r="H39361" s="21">
        <v>1014.67</v>
      </c>
    </row>
    <row r="39362" spans="1:8" customFormat="1" x14ac:dyDescent="0.25">
      <c r="A39362" t="str">
        <f>"279746"</f>
        <v>279746</v>
      </c>
      <c r="B39362" t="s">
        <v>24974</v>
      </c>
      <c r="C39362" t="s">
        <v>24975</v>
      </c>
      <c r="D39362" s="21" t="s">
        <v>24820</v>
      </c>
      <c r="E39362" s="21" t="s">
        <v>35</v>
      </c>
      <c r="F39362">
        <v>8780674</v>
      </c>
      <c r="G39362" t="s">
        <v>26585</v>
      </c>
      <c r="H39362" s="21">
        <v>1012.67</v>
      </c>
    </row>
    <row r="39363" spans="1:8" customFormat="1" x14ac:dyDescent="0.25">
      <c r="A39363" t="str">
        <f>"946655"</f>
        <v>946655</v>
      </c>
      <c r="B39363" t="s">
        <v>24941</v>
      </c>
      <c r="C39363" t="s">
        <v>24942</v>
      </c>
      <c r="D39363" s="21" t="s">
        <v>24820</v>
      </c>
      <c r="E39363" s="21" t="s">
        <v>35</v>
      </c>
      <c r="F39363">
        <v>8940073</v>
      </c>
      <c r="G39363" t="s">
        <v>1085</v>
      </c>
      <c r="H39363" s="21">
        <v>1012.67</v>
      </c>
    </row>
    <row r="39364" spans="1:8" customFormat="1" x14ac:dyDescent="0.25">
      <c r="A39364" t="str">
        <f>"5911625"</f>
        <v>5911625</v>
      </c>
      <c r="B39364" t="s">
        <v>24936</v>
      </c>
      <c r="C39364" t="s">
        <v>24937</v>
      </c>
      <c r="D39364" s="21" t="s">
        <v>24820</v>
      </c>
      <c r="E39364" s="21" t="s">
        <v>35</v>
      </c>
      <c r="F39364">
        <v>7590087</v>
      </c>
      <c r="G39364" t="s">
        <v>2112</v>
      </c>
      <c r="H39364" s="21">
        <v>1008.67</v>
      </c>
    </row>
    <row r="39365" spans="1:8" customFormat="1" x14ac:dyDescent="0.25">
      <c r="A39365" t="str">
        <f>"7832409"</f>
        <v>7832409</v>
      </c>
      <c r="B39365" t="s">
        <v>24907</v>
      </c>
      <c r="C39365" t="s">
        <v>24833</v>
      </c>
      <c r="D39365" s="21" t="s">
        <v>24820</v>
      </c>
      <c r="E39365" s="21" t="s">
        <v>71</v>
      </c>
      <c r="F39365">
        <v>11340014</v>
      </c>
      <c r="G39365" t="s">
        <v>1455</v>
      </c>
      <c r="H39365" s="21">
        <v>1007.67</v>
      </c>
    </row>
    <row r="39366" spans="1:8" customFormat="1" x14ac:dyDescent="0.25">
      <c r="A39366" t="str">
        <f>"62485"</f>
        <v>62485</v>
      </c>
      <c r="B39366" t="s">
        <v>11396</v>
      </c>
      <c r="C39366" t="s">
        <v>24913</v>
      </c>
      <c r="D39366" s="21" t="s">
        <v>24820</v>
      </c>
      <c r="E39366" s="21" t="s">
        <v>254</v>
      </c>
      <c r="F39366">
        <v>7620058</v>
      </c>
      <c r="G39366" t="s">
        <v>602</v>
      </c>
      <c r="H39366" s="21">
        <v>1007.17</v>
      </c>
    </row>
    <row r="39367" spans="1:8" customFormat="1" x14ac:dyDescent="0.25">
      <c r="A39367" t="str">
        <f>"7811914"</f>
        <v>7811914</v>
      </c>
      <c r="B39367" t="s">
        <v>24969</v>
      </c>
      <c r="C39367" t="s">
        <v>24970</v>
      </c>
      <c r="D39367" s="21" t="s">
        <v>24820</v>
      </c>
      <c r="E39367" s="21" t="s">
        <v>254</v>
      </c>
      <c r="F39367">
        <v>8780108</v>
      </c>
      <c r="G39367" t="s">
        <v>4329</v>
      </c>
      <c r="H39367" s="21">
        <v>1005.55</v>
      </c>
    </row>
    <row r="39368" spans="1:8" customFormat="1" x14ac:dyDescent="0.25">
      <c r="A39368" t="str">
        <f>"2515861"</f>
        <v>2515861</v>
      </c>
      <c r="B39368" t="s">
        <v>25017</v>
      </c>
      <c r="C39368" t="s">
        <v>24947</v>
      </c>
      <c r="D39368" s="21" t="s">
        <v>24820</v>
      </c>
      <c r="E39368" s="21" t="s">
        <v>35</v>
      </c>
      <c r="F39368">
        <v>2900003</v>
      </c>
      <c r="G39368" t="s">
        <v>1742</v>
      </c>
      <c r="H39368" s="21">
        <v>1003.92</v>
      </c>
    </row>
    <row r="39369" spans="1:8" customFormat="1" x14ac:dyDescent="0.25">
      <c r="A39369" t="str">
        <f>"5964703"</f>
        <v>5964703</v>
      </c>
      <c r="B39369" t="s">
        <v>4183</v>
      </c>
      <c r="C39369" t="s">
        <v>24937</v>
      </c>
      <c r="D39369" s="21" t="s">
        <v>24820</v>
      </c>
      <c r="E39369" s="21" t="s">
        <v>35</v>
      </c>
      <c r="F39369">
        <v>7590008</v>
      </c>
      <c r="G39369" t="s">
        <v>110</v>
      </c>
      <c r="H39369" s="21">
        <v>1002.67</v>
      </c>
    </row>
    <row r="39370" spans="1:8" customFormat="1" x14ac:dyDescent="0.25">
      <c r="A39370" t="str">
        <f>"615736"</f>
        <v>615736</v>
      </c>
      <c r="B39370" t="s">
        <v>6037</v>
      </c>
      <c r="C39370" t="s">
        <v>24947</v>
      </c>
      <c r="D39370" s="21" t="s">
        <v>24820</v>
      </c>
      <c r="E39370" s="21" t="s">
        <v>71</v>
      </c>
      <c r="F39370">
        <v>9610009</v>
      </c>
      <c r="G39370" t="s">
        <v>282</v>
      </c>
      <c r="H39370" s="21">
        <v>1001.17</v>
      </c>
    </row>
    <row r="39371" spans="1:8" customFormat="1" x14ac:dyDescent="0.25">
      <c r="A39371" t="str">
        <f>"8010377"</f>
        <v>8010377</v>
      </c>
      <c r="B39371" t="s">
        <v>23206</v>
      </c>
      <c r="C39371" t="s">
        <v>24883</v>
      </c>
      <c r="D39371" s="21" t="s">
        <v>24820</v>
      </c>
      <c r="E39371" s="21" t="s">
        <v>71</v>
      </c>
      <c r="F39371">
        <v>7620067</v>
      </c>
      <c r="G39371" t="s">
        <v>860</v>
      </c>
      <c r="H39371" s="21">
        <v>1000.17</v>
      </c>
    </row>
    <row r="39372" spans="1:8" customFormat="1" x14ac:dyDescent="0.25">
      <c r="A39372" t="str">
        <f>"3313880"</f>
        <v>3313880</v>
      </c>
      <c r="B39372" t="s">
        <v>10039</v>
      </c>
      <c r="C39372" t="s">
        <v>24932</v>
      </c>
      <c r="D39372" s="21" t="s">
        <v>24820</v>
      </c>
      <c r="E39372" s="21" t="s">
        <v>71</v>
      </c>
      <c r="F39372">
        <v>10330037</v>
      </c>
      <c r="G39372" t="s">
        <v>5960</v>
      </c>
      <c r="H39372" s="21">
        <v>999.17</v>
      </c>
    </row>
    <row r="39373" spans="1:8" customFormat="1" x14ac:dyDescent="0.25">
      <c r="A39373" t="str">
        <f>"8512918"</f>
        <v>8512918</v>
      </c>
      <c r="B39373" t="s">
        <v>2138</v>
      </c>
      <c r="C39373" t="s">
        <v>24951</v>
      </c>
      <c r="D39373" s="21" t="s">
        <v>24820</v>
      </c>
      <c r="E39373" s="21" t="s">
        <v>35</v>
      </c>
      <c r="F39373">
        <v>12850016</v>
      </c>
      <c r="G39373" t="s">
        <v>26554</v>
      </c>
      <c r="H39373" s="21">
        <v>998.17</v>
      </c>
    </row>
    <row r="39374" spans="1:8" customFormat="1" x14ac:dyDescent="0.25">
      <c r="A39374" t="str">
        <f>"537280"</f>
        <v>537280</v>
      </c>
      <c r="B39374" t="s">
        <v>24963</v>
      </c>
      <c r="C39374" t="s">
        <v>24853</v>
      </c>
      <c r="D39374" s="21" t="s">
        <v>24820</v>
      </c>
      <c r="E39374" s="21" t="s">
        <v>35</v>
      </c>
      <c r="F39374">
        <v>12530017</v>
      </c>
      <c r="G39374" t="s">
        <v>307</v>
      </c>
      <c r="H39374" s="21">
        <v>998.17</v>
      </c>
    </row>
    <row r="39375" spans="1:8" customFormat="1" x14ac:dyDescent="0.25">
      <c r="A39375" t="str">
        <f>"3712561"</f>
        <v>3712561</v>
      </c>
      <c r="B39375" t="s">
        <v>3259</v>
      </c>
      <c r="C39375" t="s">
        <v>24828</v>
      </c>
      <c r="D39375" s="21" t="s">
        <v>24820</v>
      </c>
      <c r="E39375" s="21" t="s">
        <v>71</v>
      </c>
      <c r="F39375">
        <v>4370566</v>
      </c>
      <c r="G39375" t="s">
        <v>4710</v>
      </c>
      <c r="H39375" s="21">
        <v>997.8</v>
      </c>
    </row>
    <row r="39376" spans="1:8" customFormat="1" x14ac:dyDescent="0.25">
      <c r="A39376" t="str">
        <f>"2211289"</f>
        <v>2211289</v>
      </c>
      <c r="B39376" t="s">
        <v>28488</v>
      </c>
      <c r="C39376" t="s">
        <v>24838</v>
      </c>
      <c r="D39376" s="21" t="s">
        <v>24820</v>
      </c>
      <c r="E39376" s="21" t="s">
        <v>35</v>
      </c>
      <c r="F39376">
        <v>3560049</v>
      </c>
      <c r="G39376" t="s">
        <v>8021</v>
      </c>
      <c r="H39376" s="21">
        <v>997.67</v>
      </c>
    </row>
    <row r="39377" spans="1:8" customFormat="1" x14ac:dyDescent="0.25">
      <c r="A39377" t="str">
        <f>"634737"</f>
        <v>634737</v>
      </c>
      <c r="B39377" t="s">
        <v>24933</v>
      </c>
      <c r="C39377" t="s">
        <v>24865</v>
      </c>
      <c r="D39377" s="21" t="s">
        <v>24820</v>
      </c>
      <c r="E39377" s="21" t="s">
        <v>71</v>
      </c>
      <c r="F39377">
        <v>1630005</v>
      </c>
      <c r="G39377" t="s">
        <v>8825</v>
      </c>
      <c r="H39377" s="21">
        <v>997.17</v>
      </c>
    </row>
    <row r="39378" spans="1:8" customFormat="1" x14ac:dyDescent="0.25">
      <c r="A39378" t="str">
        <f>"4447014"</f>
        <v>4447014</v>
      </c>
      <c r="B39378" t="s">
        <v>32</v>
      </c>
      <c r="C39378" t="s">
        <v>24994</v>
      </c>
      <c r="D39378" s="21" t="s">
        <v>24820</v>
      </c>
      <c r="E39378" s="21" t="s">
        <v>254</v>
      </c>
      <c r="F39378">
        <v>12440266</v>
      </c>
      <c r="G39378" t="s">
        <v>924</v>
      </c>
      <c r="H39378" s="21">
        <v>996.17</v>
      </c>
    </row>
    <row r="39379" spans="1:8" customFormat="1" x14ac:dyDescent="0.25">
      <c r="A39379" t="str">
        <f>"088048"</f>
        <v>088048</v>
      </c>
      <c r="B39379" t="s">
        <v>24995</v>
      </c>
      <c r="C39379" t="s">
        <v>23734</v>
      </c>
      <c r="D39379" s="21" t="s">
        <v>24820</v>
      </c>
      <c r="E39379" s="21" t="s">
        <v>71</v>
      </c>
      <c r="F39379">
        <v>11340017</v>
      </c>
      <c r="G39379" t="s">
        <v>10668</v>
      </c>
      <c r="H39379" s="21">
        <v>995.79</v>
      </c>
    </row>
    <row r="39380" spans="1:8" customFormat="1" x14ac:dyDescent="0.25">
      <c r="A39380" t="str">
        <f>"491935"</f>
        <v>491935</v>
      </c>
      <c r="B39380" t="s">
        <v>3972</v>
      </c>
      <c r="C39380" t="s">
        <v>24883</v>
      </c>
      <c r="D39380" s="21" t="s">
        <v>24820</v>
      </c>
      <c r="E39380" s="21" t="s">
        <v>71</v>
      </c>
      <c r="F39380">
        <v>12490073</v>
      </c>
      <c r="G39380" t="s">
        <v>296</v>
      </c>
      <c r="H39380" s="21">
        <v>995.17</v>
      </c>
    </row>
    <row r="39381" spans="1:8" customFormat="1" x14ac:dyDescent="0.25">
      <c r="A39381" t="str">
        <f>"505865"</f>
        <v>505865</v>
      </c>
      <c r="B39381" t="s">
        <v>2954</v>
      </c>
      <c r="C39381" t="s">
        <v>24897</v>
      </c>
      <c r="D39381" s="21" t="s">
        <v>24820</v>
      </c>
      <c r="E39381" s="21" t="s">
        <v>71</v>
      </c>
      <c r="F39381">
        <v>9500093</v>
      </c>
      <c r="G39381" t="s">
        <v>1808</v>
      </c>
      <c r="H39381" s="21">
        <v>995.17</v>
      </c>
    </row>
    <row r="39382" spans="1:8" customFormat="1" x14ac:dyDescent="0.25">
      <c r="A39382" t="str">
        <f>"766895"</f>
        <v>766895</v>
      </c>
      <c r="B39382" t="s">
        <v>4073</v>
      </c>
      <c r="C39382" t="s">
        <v>24890</v>
      </c>
      <c r="D39382" s="21" t="s">
        <v>24820</v>
      </c>
      <c r="E39382" s="21" t="s">
        <v>254</v>
      </c>
      <c r="F39382">
        <v>9760004</v>
      </c>
      <c r="G39382" t="s">
        <v>56</v>
      </c>
      <c r="H39382" s="21">
        <v>994.17</v>
      </c>
    </row>
    <row r="39383" spans="1:8" customFormat="1" x14ac:dyDescent="0.25">
      <c r="A39383" t="str">
        <f>"2912001"</f>
        <v>2912001</v>
      </c>
      <c r="B39383" t="s">
        <v>24992</v>
      </c>
      <c r="C39383" t="s">
        <v>24993</v>
      </c>
      <c r="D39383" s="21" t="s">
        <v>24820</v>
      </c>
      <c r="E39383" s="21" t="s">
        <v>71</v>
      </c>
      <c r="F39383">
        <v>3290027</v>
      </c>
      <c r="G39383" t="s">
        <v>6108</v>
      </c>
      <c r="H39383" s="21">
        <v>994.17</v>
      </c>
    </row>
    <row r="39384" spans="1:8" customFormat="1" x14ac:dyDescent="0.25">
      <c r="A39384" t="str">
        <f>"146723"</f>
        <v>146723</v>
      </c>
      <c r="B39384" t="s">
        <v>19540</v>
      </c>
      <c r="C39384" t="s">
        <v>25505</v>
      </c>
      <c r="D39384" s="21" t="s">
        <v>24820</v>
      </c>
      <c r="E39384" s="21" t="s">
        <v>35</v>
      </c>
      <c r="F39384">
        <v>9140012</v>
      </c>
      <c r="G39384" t="s">
        <v>26518</v>
      </c>
      <c r="H39384" s="21">
        <v>994.17</v>
      </c>
    </row>
    <row r="39385" spans="1:8" customFormat="1" x14ac:dyDescent="0.25">
      <c r="A39385" t="str">
        <f>"637283"</f>
        <v>637283</v>
      </c>
      <c r="B39385" t="s">
        <v>6182</v>
      </c>
      <c r="C39385" t="s">
        <v>24943</v>
      </c>
      <c r="D39385" s="21" t="s">
        <v>24820</v>
      </c>
      <c r="E39385" s="21" t="s">
        <v>35</v>
      </c>
      <c r="F39385">
        <v>1630307</v>
      </c>
      <c r="G39385" t="s">
        <v>15524</v>
      </c>
      <c r="H39385" s="21">
        <v>991.67</v>
      </c>
    </row>
    <row r="39386" spans="1:8" customFormat="1" x14ac:dyDescent="0.25">
      <c r="A39386" t="str">
        <f>"025"</f>
        <v>025</v>
      </c>
      <c r="B39386" t="s">
        <v>4414</v>
      </c>
      <c r="C39386" t="s">
        <v>24867</v>
      </c>
      <c r="D39386" s="21" t="s">
        <v>24820</v>
      </c>
      <c r="E39386" s="21" t="s">
        <v>71</v>
      </c>
      <c r="F39386">
        <v>7020001</v>
      </c>
      <c r="G39386" t="s">
        <v>3854</v>
      </c>
      <c r="H39386" s="21">
        <v>989.17</v>
      </c>
    </row>
    <row r="39387" spans="1:8" customFormat="1" x14ac:dyDescent="0.25">
      <c r="A39387" t="str">
        <f>"2814735"</f>
        <v>2814735</v>
      </c>
      <c r="B39387" t="s">
        <v>338</v>
      </c>
      <c r="C39387" t="s">
        <v>547</v>
      </c>
      <c r="D39387" s="21" t="s">
        <v>24820</v>
      </c>
      <c r="E39387" s="21" t="s">
        <v>35</v>
      </c>
      <c r="F39387">
        <v>4280121</v>
      </c>
      <c r="G39387" t="s">
        <v>4565</v>
      </c>
      <c r="H39387" s="21">
        <v>988.29</v>
      </c>
    </row>
    <row r="39388" spans="1:8" customFormat="1" x14ac:dyDescent="0.25">
      <c r="A39388" t="str">
        <f>"945085"</f>
        <v>945085</v>
      </c>
      <c r="B39388" t="s">
        <v>1375</v>
      </c>
      <c r="C39388" t="s">
        <v>24955</v>
      </c>
      <c r="D39388" s="21" t="s">
        <v>24820</v>
      </c>
      <c r="E39388" s="21" t="s">
        <v>35</v>
      </c>
      <c r="F39388">
        <v>12440049</v>
      </c>
      <c r="G39388" t="s">
        <v>3339</v>
      </c>
      <c r="H39388" s="21">
        <v>985.67</v>
      </c>
    </row>
    <row r="39389" spans="1:8" customFormat="1" x14ac:dyDescent="0.25">
      <c r="A39389" t="str">
        <f>"223753"</f>
        <v>223753</v>
      </c>
      <c r="B39389" t="s">
        <v>1252</v>
      </c>
      <c r="C39389" t="s">
        <v>28919</v>
      </c>
      <c r="D39389" s="21" t="s">
        <v>24820</v>
      </c>
      <c r="E39389" s="21" t="s">
        <v>35</v>
      </c>
      <c r="F39389">
        <v>3220013</v>
      </c>
      <c r="G39389" t="s">
        <v>27198</v>
      </c>
      <c r="H39389" s="21">
        <v>985.17</v>
      </c>
    </row>
    <row r="39390" spans="1:8" customFormat="1" x14ac:dyDescent="0.25">
      <c r="A39390" t="str">
        <f>"2920390"</f>
        <v>2920390</v>
      </c>
      <c r="B39390" t="s">
        <v>24948</v>
      </c>
      <c r="C39390" t="s">
        <v>24947</v>
      </c>
      <c r="D39390" s="21" t="s">
        <v>24820</v>
      </c>
      <c r="E39390" s="21" t="s">
        <v>35</v>
      </c>
      <c r="F39390">
        <v>3290047</v>
      </c>
      <c r="G39390" t="s">
        <v>2874</v>
      </c>
      <c r="H39390" s="21">
        <v>984.17</v>
      </c>
    </row>
    <row r="39391" spans="1:8" customFormat="1" x14ac:dyDescent="0.25">
      <c r="A39391" t="str">
        <f>"858747"</f>
        <v>858747</v>
      </c>
      <c r="B39391" t="s">
        <v>9284</v>
      </c>
      <c r="C39391" t="s">
        <v>24871</v>
      </c>
      <c r="D39391" s="21" t="s">
        <v>24820</v>
      </c>
      <c r="E39391" s="21" t="s">
        <v>71</v>
      </c>
      <c r="F39391">
        <v>12850023</v>
      </c>
      <c r="G39391" t="s">
        <v>3121</v>
      </c>
      <c r="H39391" s="21">
        <v>983.17</v>
      </c>
    </row>
    <row r="39392" spans="1:8" customFormat="1" x14ac:dyDescent="0.25">
      <c r="A39392" t="str">
        <f>"9714875"</f>
        <v>9714875</v>
      </c>
      <c r="B39392" t="s">
        <v>5011</v>
      </c>
      <c r="C39392" t="s">
        <v>24840</v>
      </c>
      <c r="D39392" s="21" t="s">
        <v>24820</v>
      </c>
      <c r="E39392" s="21" t="s">
        <v>71</v>
      </c>
      <c r="F39392" t="s">
        <v>731</v>
      </c>
      <c r="G39392" t="s">
        <v>732</v>
      </c>
      <c r="H39392" s="21">
        <v>982.92</v>
      </c>
    </row>
    <row r="39393" spans="1:8" customFormat="1" x14ac:dyDescent="0.25">
      <c r="A39393" t="str">
        <f>"2710660"</f>
        <v>2710660</v>
      </c>
      <c r="B39393" t="s">
        <v>7645</v>
      </c>
      <c r="C39393" t="s">
        <v>24996</v>
      </c>
      <c r="D39393" s="21" t="s">
        <v>24820</v>
      </c>
      <c r="E39393" s="21" t="s">
        <v>35</v>
      </c>
      <c r="F39393">
        <v>9270159</v>
      </c>
      <c r="G39393" t="s">
        <v>5425</v>
      </c>
      <c r="H39393" s="21">
        <v>982.67</v>
      </c>
    </row>
    <row r="39394" spans="1:8" customFormat="1" x14ac:dyDescent="0.25">
      <c r="A39394" t="str">
        <f>"775995"</f>
        <v>775995</v>
      </c>
      <c r="B39394" t="s">
        <v>24967</v>
      </c>
      <c r="C39394" t="s">
        <v>24863</v>
      </c>
      <c r="D39394" s="21" t="s">
        <v>24820</v>
      </c>
      <c r="E39394" s="21" t="s">
        <v>71</v>
      </c>
      <c r="F39394">
        <v>8920063</v>
      </c>
      <c r="G39394" t="s">
        <v>219</v>
      </c>
      <c r="H39394" s="21">
        <v>981.92</v>
      </c>
    </row>
    <row r="39395" spans="1:8" customFormat="1" x14ac:dyDescent="0.25">
      <c r="A39395" t="str">
        <f>"491824"</f>
        <v>491824</v>
      </c>
      <c r="B39395" t="s">
        <v>14198</v>
      </c>
      <c r="C39395" t="s">
        <v>24986</v>
      </c>
      <c r="D39395" s="21" t="s">
        <v>24820</v>
      </c>
      <c r="E39395" s="21" t="s">
        <v>254</v>
      </c>
      <c r="F39395">
        <v>12490080</v>
      </c>
      <c r="G39395" t="s">
        <v>5692</v>
      </c>
      <c r="H39395" s="21">
        <v>981.67</v>
      </c>
    </row>
    <row r="39396" spans="1:8" customFormat="1" x14ac:dyDescent="0.25">
      <c r="A39396" t="str">
        <f>"9524541"</f>
        <v>9524541</v>
      </c>
      <c r="B39396" t="s">
        <v>24935</v>
      </c>
      <c r="C39396" t="s">
        <v>22831</v>
      </c>
      <c r="D39396" s="21" t="s">
        <v>24820</v>
      </c>
      <c r="E39396" s="21" t="s">
        <v>35</v>
      </c>
      <c r="F39396">
        <v>8920309</v>
      </c>
      <c r="G39396" t="s">
        <v>1894</v>
      </c>
      <c r="H39396" s="21">
        <v>981.67</v>
      </c>
    </row>
    <row r="39397" spans="1:8" customFormat="1" x14ac:dyDescent="0.25">
      <c r="A39397" t="str">
        <f>"453083"</f>
        <v>453083</v>
      </c>
      <c r="B39397" t="s">
        <v>25014</v>
      </c>
      <c r="C39397" t="s">
        <v>25015</v>
      </c>
      <c r="D39397" s="21" t="s">
        <v>24820</v>
      </c>
      <c r="E39397" s="21" t="s">
        <v>35</v>
      </c>
      <c r="F39397">
        <v>4450026</v>
      </c>
      <c r="G39397" t="s">
        <v>291</v>
      </c>
      <c r="H39397" s="21">
        <v>981.17</v>
      </c>
    </row>
    <row r="39398" spans="1:8" customFormat="1" x14ac:dyDescent="0.25">
      <c r="A39398" t="str">
        <f>"4426643"</f>
        <v>4426643</v>
      </c>
      <c r="B39398" t="s">
        <v>10794</v>
      </c>
      <c r="C39398" t="s">
        <v>24924</v>
      </c>
      <c r="D39398" s="21" t="s">
        <v>24820</v>
      </c>
      <c r="E39398" s="21" t="s">
        <v>35</v>
      </c>
      <c r="F39398">
        <v>12440049</v>
      </c>
      <c r="G39398" t="s">
        <v>3339</v>
      </c>
      <c r="H39398" s="21">
        <v>980.17</v>
      </c>
    </row>
    <row r="39399" spans="1:8" customFormat="1" x14ac:dyDescent="0.25">
      <c r="A39399" t="str">
        <f>"139898"</f>
        <v>139898</v>
      </c>
      <c r="B39399" t="s">
        <v>24976</v>
      </c>
      <c r="C39399" t="s">
        <v>24865</v>
      </c>
      <c r="D39399" s="21" t="s">
        <v>24820</v>
      </c>
      <c r="E39399" s="21" t="s">
        <v>35</v>
      </c>
      <c r="F39399">
        <v>1420299</v>
      </c>
      <c r="G39399" t="s">
        <v>8013</v>
      </c>
      <c r="H39399" s="21">
        <v>977.92</v>
      </c>
    </row>
    <row r="39400" spans="1:8" customFormat="1" x14ac:dyDescent="0.25">
      <c r="A39400" t="str">
        <f>"78624"</f>
        <v>78624</v>
      </c>
      <c r="B39400" t="s">
        <v>24983</v>
      </c>
      <c r="C39400" t="s">
        <v>24927</v>
      </c>
      <c r="D39400" s="21" t="s">
        <v>24820</v>
      </c>
      <c r="E39400" s="21" t="s">
        <v>71</v>
      </c>
      <c r="F39400">
        <v>8780108</v>
      </c>
      <c r="G39400" t="s">
        <v>4329</v>
      </c>
      <c r="H39400" s="21">
        <v>974.17</v>
      </c>
    </row>
    <row r="39401" spans="1:8" customFormat="1" x14ac:dyDescent="0.25">
      <c r="A39401" t="str">
        <f>"9233839"</f>
        <v>9233839</v>
      </c>
      <c r="B39401" t="s">
        <v>21039</v>
      </c>
      <c r="C39401" t="s">
        <v>24952</v>
      </c>
      <c r="D39401" s="21" t="s">
        <v>24820</v>
      </c>
      <c r="E39401" s="21" t="s">
        <v>71</v>
      </c>
      <c r="F39401">
        <v>8920151</v>
      </c>
      <c r="G39401" t="s">
        <v>1434</v>
      </c>
      <c r="H39401" s="21">
        <v>973.67</v>
      </c>
    </row>
    <row r="39402" spans="1:8" customFormat="1" x14ac:dyDescent="0.25">
      <c r="A39402" t="str">
        <f>"3532406"</f>
        <v>3532406</v>
      </c>
      <c r="B39402" t="s">
        <v>4124</v>
      </c>
      <c r="C39402" t="s">
        <v>24828</v>
      </c>
      <c r="D39402" s="21" t="s">
        <v>24820</v>
      </c>
      <c r="E39402" s="21" t="s">
        <v>35</v>
      </c>
      <c r="F39402">
        <v>3350022</v>
      </c>
      <c r="G39402" t="s">
        <v>1287</v>
      </c>
      <c r="H39402" s="21">
        <v>972.18</v>
      </c>
    </row>
    <row r="39403" spans="1:8" customFormat="1" x14ac:dyDescent="0.25">
      <c r="A39403" t="str">
        <f>"8524819"</f>
        <v>8524819</v>
      </c>
      <c r="B39403" t="s">
        <v>23692</v>
      </c>
      <c r="C39403" t="s">
        <v>24979</v>
      </c>
      <c r="D39403" s="21" t="s">
        <v>24820</v>
      </c>
      <c r="E39403" s="21" t="s">
        <v>35</v>
      </c>
      <c r="F39403">
        <v>12851011</v>
      </c>
      <c r="G39403" t="s">
        <v>1445</v>
      </c>
      <c r="H39403" s="21">
        <v>970.17</v>
      </c>
    </row>
    <row r="39404" spans="1:8" customFormat="1" x14ac:dyDescent="0.25">
      <c r="A39404" t="str">
        <f>"5714811"</f>
        <v>5714811</v>
      </c>
      <c r="B39404" t="s">
        <v>17682</v>
      </c>
      <c r="C39404" t="s">
        <v>25390</v>
      </c>
      <c r="D39404" s="21" t="s">
        <v>24820</v>
      </c>
      <c r="E39404" s="21" t="s">
        <v>1089</v>
      </c>
      <c r="F39404">
        <v>6570015</v>
      </c>
      <c r="G39404" t="s">
        <v>749</v>
      </c>
      <c r="H39404" s="21">
        <v>969.67</v>
      </c>
    </row>
    <row r="39405" spans="1:8" customFormat="1" x14ac:dyDescent="0.25">
      <c r="A39405" t="str">
        <f>"9E10"</f>
        <v>9E10</v>
      </c>
      <c r="B39405" t="s">
        <v>23705</v>
      </c>
      <c r="C39405" t="s">
        <v>24971</v>
      </c>
      <c r="D39405" s="21" t="s">
        <v>24820</v>
      </c>
      <c r="E39405" s="21" t="s">
        <v>35</v>
      </c>
      <c r="F39405" s="24" t="s">
        <v>13124</v>
      </c>
      <c r="G39405" t="s">
        <v>13125</v>
      </c>
      <c r="H39405" s="21">
        <v>968.42</v>
      </c>
    </row>
    <row r="39406" spans="1:8" customFormat="1" x14ac:dyDescent="0.25">
      <c r="A39406" t="str">
        <f>"3813988"</f>
        <v>3813988</v>
      </c>
      <c r="B39406" t="s">
        <v>25026</v>
      </c>
      <c r="C39406" t="s">
        <v>25027</v>
      </c>
      <c r="D39406" s="21" t="s">
        <v>24820</v>
      </c>
      <c r="E39406" s="21" t="s">
        <v>71</v>
      </c>
      <c r="F39406">
        <v>1380157</v>
      </c>
      <c r="G39406" t="s">
        <v>9044</v>
      </c>
      <c r="H39406" s="21">
        <v>968.29</v>
      </c>
    </row>
    <row r="39407" spans="1:8" customFormat="1" x14ac:dyDescent="0.25">
      <c r="A39407" t="str">
        <f>"6725568"</f>
        <v>6725568</v>
      </c>
      <c r="B39407" t="s">
        <v>24944</v>
      </c>
      <c r="C39407" t="s">
        <v>24945</v>
      </c>
      <c r="D39407" s="21" t="s">
        <v>24820</v>
      </c>
      <c r="E39407" s="21" t="s">
        <v>71</v>
      </c>
      <c r="F39407">
        <v>6670160</v>
      </c>
      <c r="G39407" t="s">
        <v>908</v>
      </c>
      <c r="H39407" s="21">
        <v>967.42</v>
      </c>
    </row>
    <row r="39408" spans="1:8" customFormat="1" x14ac:dyDescent="0.25">
      <c r="A39408" t="str">
        <f>"723383"</f>
        <v>723383</v>
      </c>
      <c r="B39408" t="s">
        <v>5500</v>
      </c>
      <c r="C39408" t="s">
        <v>24926</v>
      </c>
      <c r="D39408" s="21" t="s">
        <v>24820</v>
      </c>
      <c r="E39408" s="21" t="s">
        <v>35</v>
      </c>
      <c r="F39408">
        <v>12720104</v>
      </c>
      <c r="G39408" t="s">
        <v>224</v>
      </c>
      <c r="H39408" s="21">
        <v>967.17</v>
      </c>
    </row>
    <row r="39409" spans="1:8" customFormat="1" x14ac:dyDescent="0.25">
      <c r="A39409" t="str">
        <f>"746984"</f>
        <v>746984</v>
      </c>
      <c r="B39409" t="s">
        <v>981</v>
      </c>
      <c r="C39409" t="s">
        <v>24973</v>
      </c>
      <c r="D39409" s="21" t="s">
        <v>24820</v>
      </c>
      <c r="E39409" s="21" t="s">
        <v>71</v>
      </c>
      <c r="F39409">
        <v>1740011</v>
      </c>
      <c r="G39409" t="s">
        <v>2638</v>
      </c>
      <c r="H39409" s="21">
        <v>966.67</v>
      </c>
    </row>
    <row r="39410" spans="1:8" customFormat="1" x14ac:dyDescent="0.25">
      <c r="A39410" t="str">
        <f>"4517963"</f>
        <v>4517963</v>
      </c>
      <c r="B39410" t="s">
        <v>1347</v>
      </c>
      <c r="C39410" t="s">
        <v>29737</v>
      </c>
      <c r="D39410" s="21" t="s">
        <v>24820</v>
      </c>
      <c r="E39410" s="21" t="s">
        <v>35</v>
      </c>
      <c r="F39410">
        <v>4280722</v>
      </c>
      <c r="G39410" t="s">
        <v>8251</v>
      </c>
      <c r="H39410" s="21">
        <v>966.42</v>
      </c>
    </row>
    <row r="39411" spans="1:8" customFormat="1" x14ac:dyDescent="0.25">
      <c r="A39411" t="str">
        <f>"778466"</f>
        <v>778466</v>
      </c>
      <c r="B39411" t="s">
        <v>5914</v>
      </c>
      <c r="C39411" t="s">
        <v>24840</v>
      </c>
      <c r="D39411" s="21" t="s">
        <v>24820</v>
      </c>
      <c r="E39411" s="21" t="s">
        <v>35</v>
      </c>
      <c r="F39411">
        <v>8771394</v>
      </c>
      <c r="G39411" t="s">
        <v>1933</v>
      </c>
      <c r="H39411" s="21">
        <v>965.92</v>
      </c>
    </row>
    <row r="39412" spans="1:8" customFormat="1" x14ac:dyDescent="0.25">
      <c r="A39412" t="str">
        <f>"181400"</f>
        <v>181400</v>
      </c>
      <c r="B39412" t="s">
        <v>4322</v>
      </c>
      <c r="C39412" t="s">
        <v>24889</v>
      </c>
      <c r="D39412" s="21" t="s">
        <v>24820</v>
      </c>
      <c r="E39412" s="21" t="s">
        <v>35</v>
      </c>
      <c r="F39412">
        <v>4180486</v>
      </c>
      <c r="G39412" t="s">
        <v>5295</v>
      </c>
      <c r="H39412" s="21">
        <v>965.17</v>
      </c>
    </row>
    <row r="39413" spans="1:8" customFormat="1" x14ac:dyDescent="0.25">
      <c r="A39413" t="str">
        <f>"2710314"</f>
        <v>2710314</v>
      </c>
      <c r="B39413" t="s">
        <v>24966</v>
      </c>
      <c r="C39413" t="s">
        <v>24952</v>
      </c>
      <c r="D39413" s="21" t="s">
        <v>24820</v>
      </c>
      <c r="E39413" s="21" t="s">
        <v>71</v>
      </c>
      <c r="F39413">
        <v>9270112</v>
      </c>
      <c r="G39413" t="s">
        <v>5124</v>
      </c>
      <c r="H39413" s="21">
        <v>964.67</v>
      </c>
    </row>
    <row r="39414" spans="1:8" customFormat="1" x14ac:dyDescent="0.25">
      <c r="A39414" t="str">
        <f>"492251"</f>
        <v>492251</v>
      </c>
      <c r="B39414" t="s">
        <v>25016</v>
      </c>
      <c r="C39414" t="s">
        <v>24978</v>
      </c>
      <c r="D39414" s="21" t="s">
        <v>24820</v>
      </c>
      <c r="E39414" s="21" t="s">
        <v>254</v>
      </c>
      <c r="F39414">
        <v>12490064</v>
      </c>
      <c r="G39414" t="s">
        <v>8425</v>
      </c>
      <c r="H39414" s="21">
        <v>963.17</v>
      </c>
    </row>
    <row r="39415" spans="1:8" customFormat="1" x14ac:dyDescent="0.25">
      <c r="A39415" t="str">
        <f>"37239"</f>
        <v>37239</v>
      </c>
      <c r="B39415" t="s">
        <v>24938</v>
      </c>
      <c r="C39415" t="s">
        <v>24939</v>
      </c>
      <c r="D39415" s="21" t="s">
        <v>24820</v>
      </c>
      <c r="E39415" s="21" t="s">
        <v>6185</v>
      </c>
      <c r="F39415">
        <v>4370151</v>
      </c>
      <c r="G39415" t="s">
        <v>5304</v>
      </c>
      <c r="H39415" s="21">
        <v>962.17</v>
      </c>
    </row>
    <row r="39416" spans="1:8" customFormat="1" x14ac:dyDescent="0.25">
      <c r="A39416" t="str">
        <f>"54577"</f>
        <v>54577</v>
      </c>
      <c r="B39416" t="s">
        <v>29738</v>
      </c>
      <c r="C39416" t="s">
        <v>29739</v>
      </c>
      <c r="D39416" s="21" t="s">
        <v>24820</v>
      </c>
      <c r="E39416" s="21" t="s">
        <v>35</v>
      </c>
      <c r="F39416">
        <v>6540021</v>
      </c>
      <c r="G39416" t="s">
        <v>1815</v>
      </c>
      <c r="H39416" s="21">
        <v>960</v>
      </c>
    </row>
    <row r="39417" spans="1:8" customFormat="1" x14ac:dyDescent="0.25">
      <c r="A39417" t="str">
        <f>"1316811"</f>
        <v>1316811</v>
      </c>
      <c r="B39417" t="s">
        <v>3955</v>
      </c>
      <c r="C39417" t="s">
        <v>24889</v>
      </c>
      <c r="D39417" s="21" t="s">
        <v>24820</v>
      </c>
      <c r="E39417" s="21" t="s">
        <v>71</v>
      </c>
      <c r="F39417">
        <v>13060066</v>
      </c>
      <c r="G39417" t="s">
        <v>2556</v>
      </c>
      <c r="H39417" s="21">
        <v>959.92</v>
      </c>
    </row>
    <row r="39418" spans="1:8" customFormat="1" x14ac:dyDescent="0.25">
      <c r="A39418" t="str">
        <f>"4929678"</f>
        <v>4929678</v>
      </c>
      <c r="B39418" t="s">
        <v>14410</v>
      </c>
      <c r="C39418" t="s">
        <v>24904</v>
      </c>
      <c r="D39418" s="21" t="s">
        <v>24820</v>
      </c>
      <c r="E39418" s="21" t="s">
        <v>71</v>
      </c>
      <c r="F39418">
        <v>12490006</v>
      </c>
      <c r="G39418" t="s">
        <v>1480</v>
      </c>
      <c r="H39418" s="21">
        <v>959.67</v>
      </c>
    </row>
    <row r="39419" spans="1:8" customFormat="1" x14ac:dyDescent="0.25">
      <c r="A39419" t="str">
        <f>"67769"</f>
        <v>67769</v>
      </c>
      <c r="B39419" t="s">
        <v>12338</v>
      </c>
      <c r="C39419" t="s">
        <v>23734</v>
      </c>
      <c r="D39419" s="21" t="s">
        <v>24820</v>
      </c>
      <c r="E39419" s="21" t="s">
        <v>71</v>
      </c>
      <c r="F39419">
        <v>6670002</v>
      </c>
      <c r="G39419" t="s">
        <v>5740</v>
      </c>
      <c r="H39419" s="21">
        <v>959.17</v>
      </c>
    </row>
    <row r="39420" spans="1:8" customFormat="1" x14ac:dyDescent="0.25">
      <c r="A39420" t="str">
        <f>"926999"</f>
        <v>926999</v>
      </c>
      <c r="B39420" t="s">
        <v>7074</v>
      </c>
      <c r="C39420" t="s">
        <v>24904</v>
      </c>
      <c r="D39420" s="21" t="s">
        <v>24820</v>
      </c>
      <c r="E39420" s="21" t="s">
        <v>71</v>
      </c>
      <c r="F39420">
        <v>8920063</v>
      </c>
      <c r="G39420" t="s">
        <v>219</v>
      </c>
      <c r="H39420" s="21">
        <v>958.67</v>
      </c>
    </row>
    <row r="39421" spans="1:8" customFormat="1" x14ac:dyDescent="0.25">
      <c r="A39421" t="str">
        <f>"608626"</f>
        <v>608626</v>
      </c>
      <c r="B39421" t="s">
        <v>24959</v>
      </c>
      <c r="C39421" t="s">
        <v>24869</v>
      </c>
      <c r="D39421" s="21" t="s">
        <v>24820</v>
      </c>
      <c r="E39421" s="21" t="s">
        <v>71</v>
      </c>
      <c r="F39421">
        <v>7600040</v>
      </c>
      <c r="G39421" t="s">
        <v>6757</v>
      </c>
      <c r="H39421" s="21">
        <v>958.17</v>
      </c>
    </row>
    <row r="39422" spans="1:8" customFormat="1" x14ac:dyDescent="0.25">
      <c r="A39422" t="str">
        <f>"0111914"</f>
        <v>0111914</v>
      </c>
      <c r="B39422" t="s">
        <v>25037</v>
      </c>
      <c r="C39422" t="s">
        <v>24932</v>
      </c>
      <c r="D39422" s="21" t="s">
        <v>24820</v>
      </c>
      <c r="E39422" s="21" t="s">
        <v>35</v>
      </c>
      <c r="F39422">
        <v>2390007</v>
      </c>
      <c r="G39422" t="s">
        <v>3365</v>
      </c>
      <c r="H39422" s="21">
        <v>957.92</v>
      </c>
    </row>
    <row r="39423" spans="1:8" customFormat="1" x14ac:dyDescent="0.25">
      <c r="A39423" t="str">
        <f>"6218309"</f>
        <v>6218309</v>
      </c>
      <c r="B39423" t="s">
        <v>5504</v>
      </c>
      <c r="C39423" t="s">
        <v>24867</v>
      </c>
      <c r="D39423" s="21" t="s">
        <v>24820</v>
      </c>
      <c r="E39423" s="21" t="s">
        <v>35</v>
      </c>
      <c r="F39423">
        <v>7620104</v>
      </c>
      <c r="G39423" t="s">
        <v>635</v>
      </c>
      <c r="H39423" s="21">
        <v>956.42</v>
      </c>
    </row>
    <row r="39424" spans="1:8" customFormat="1" x14ac:dyDescent="0.25">
      <c r="A39424" t="str">
        <f>"9726538"</f>
        <v>9726538</v>
      </c>
      <c r="B39424" t="s">
        <v>25009</v>
      </c>
      <c r="C39424" t="s">
        <v>25010</v>
      </c>
      <c r="D39424" s="21" t="s">
        <v>24820</v>
      </c>
      <c r="E39424" s="21" t="s">
        <v>71</v>
      </c>
      <c r="F39424" t="s">
        <v>3911</v>
      </c>
      <c r="G39424" t="s">
        <v>3912</v>
      </c>
      <c r="H39424" s="21">
        <v>955.42</v>
      </c>
    </row>
    <row r="39425" spans="1:8" customFormat="1" x14ac:dyDescent="0.25">
      <c r="A39425" t="str">
        <f>"6012396"</f>
        <v>6012396</v>
      </c>
      <c r="B39425" t="s">
        <v>24987</v>
      </c>
      <c r="C39425" t="s">
        <v>24840</v>
      </c>
      <c r="D39425" s="21" t="s">
        <v>24820</v>
      </c>
      <c r="E39425" s="21" t="s">
        <v>35</v>
      </c>
      <c r="F39425">
        <v>7600040</v>
      </c>
      <c r="G39425" t="s">
        <v>6757</v>
      </c>
      <c r="H39425" s="21">
        <v>955.29</v>
      </c>
    </row>
    <row r="39426" spans="1:8" customFormat="1" x14ac:dyDescent="0.25">
      <c r="A39426" t="str">
        <f>"4512755"</f>
        <v>4512755</v>
      </c>
      <c r="B39426" t="s">
        <v>67</v>
      </c>
      <c r="C39426" t="s">
        <v>24838</v>
      </c>
      <c r="D39426" s="21" t="s">
        <v>24820</v>
      </c>
      <c r="E39426" s="21" t="s">
        <v>35</v>
      </c>
      <c r="F39426">
        <v>4450429</v>
      </c>
      <c r="G39426" t="s">
        <v>15149</v>
      </c>
      <c r="H39426" s="21">
        <v>955.17</v>
      </c>
    </row>
    <row r="39427" spans="1:8" customFormat="1" x14ac:dyDescent="0.25">
      <c r="A39427" t="str">
        <f>"925815"</f>
        <v>925815</v>
      </c>
      <c r="B39427" t="s">
        <v>257</v>
      </c>
      <c r="C39427" t="s">
        <v>25124</v>
      </c>
      <c r="D39427" s="21" t="s">
        <v>24820</v>
      </c>
      <c r="E39427" s="21" t="s">
        <v>35</v>
      </c>
      <c r="F39427">
        <v>8920067</v>
      </c>
      <c r="G39427" t="s">
        <v>258</v>
      </c>
      <c r="H39427" s="21">
        <v>954.17</v>
      </c>
    </row>
    <row r="39428" spans="1:8" customFormat="1" x14ac:dyDescent="0.25">
      <c r="A39428" t="str">
        <f>"2713256"</f>
        <v>2713256</v>
      </c>
      <c r="B39428" t="s">
        <v>25002</v>
      </c>
      <c r="C39428" t="s">
        <v>24840</v>
      </c>
      <c r="D39428" s="21" t="s">
        <v>24820</v>
      </c>
      <c r="E39428" s="21" t="s">
        <v>35</v>
      </c>
      <c r="F39428">
        <v>9270021</v>
      </c>
      <c r="G39428" t="s">
        <v>4934</v>
      </c>
      <c r="H39428" s="21">
        <v>953.67</v>
      </c>
    </row>
    <row r="39429" spans="1:8" customFormat="1" x14ac:dyDescent="0.25">
      <c r="A39429" t="str">
        <f>"026914"</f>
        <v>026914</v>
      </c>
      <c r="B39429" t="s">
        <v>697</v>
      </c>
      <c r="C39429" t="s">
        <v>24982</v>
      </c>
      <c r="D39429" s="21" t="s">
        <v>24820</v>
      </c>
      <c r="E39429" s="21" t="s">
        <v>35</v>
      </c>
      <c r="F39429">
        <v>7021012</v>
      </c>
      <c r="G39429" t="s">
        <v>14342</v>
      </c>
      <c r="H39429" s="21">
        <v>951.92</v>
      </c>
    </row>
    <row r="39430" spans="1:8" customFormat="1" x14ac:dyDescent="0.25">
      <c r="A39430" t="str">
        <f>"351162"</f>
        <v>351162</v>
      </c>
      <c r="B39430" t="s">
        <v>24928</v>
      </c>
      <c r="C39430" t="s">
        <v>24929</v>
      </c>
      <c r="D39430" s="21" t="s">
        <v>24820</v>
      </c>
      <c r="E39430" s="21" t="s">
        <v>71</v>
      </c>
      <c r="F39430">
        <v>10330013</v>
      </c>
      <c r="G39430" t="s">
        <v>613</v>
      </c>
      <c r="H39430" s="21">
        <v>950.79</v>
      </c>
    </row>
    <row r="39431" spans="1:8" customFormat="1" x14ac:dyDescent="0.25">
      <c r="A39431" t="str">
        <f>"7834057"</f>
        <v>7834057</v>
      </c>
      <c r="B39431" t="s">
        <v>890</v>
      </c>
      <c r="C39431" t="s">
        <v>25045</v>
      </c>
      <c r="D39431" s="21" t="s">
        <v>24820</v>
      </c>
      <c r="E39431" s="21" t="s">
        <v>71</v>
      </c>
      <c r="F39431">
        <v>8780108</v>
      </c>
      <c r="G39431" t="s">
        <v>4329</v>
      </c>
      <c r="H39431" s="21">
        <v>948.17</v>
      </c>
    </row>
    <row r="39432" spans="1:8" customFormat="1" x14ac:dyDescent="0.25">
      <c r="A39432" t="str">
        <f>"306371"</f>
        <v>306371</v>
      </c>
      <c r="B39432" t="s">
        <v>24965</v>
      </c>
      <c r="C39432" t="s">
        <v>24863</v>
      </c>
      <c r="D39432" s="21" t="s">
        <v>24820</v>
      </c>
      <c r="E39432" s="21" t="s">
        <v>35</v>
      </c>
      <c r="F39432">
        <v>11300007</v>
      </c>
      <c r="G39432" t="s">
        <v>361</v>
      </c>
      <c r="H39432" s="21">
        <v>947.67</v>
      </c>
    </row>
    <row r="39433" spans="1:8" customFormat="1" x14ac:dyDescent="0.25">
      <c r="A39433" t="str">
        <f>"71237"</f>
        <v>71237</v>
      </c>
      <c r="B39433" t="s">
        <v>14722</v>
      </c>
      <c r="C39433" t="s">
        <v>24865</v>
      </c>
      <c r="D39433" s="21" t="s">
        <v>24820</v>
      </c>
      <c r="E39433" s="21" t="s">
        <v>254</v>
      </c>
      <c r="F39433">
        <v>2710067</v>
      </c>
      <c r="G39433" t="s">
        <v>284</v>
      </c>
      <c r="H39433" s="21">
        <v>944.17</v>
      </c>
    </row>
    <row r="39434" spans="1:8" customFormat="1" x14ac:dyDescent="0.25">
      <c r="A39434" t="str">
        <f>"693900"</f>
        <v>693900</v>
      </c>
      <c r="B39434" t="s">
        <v>4649</v>
      </c>
      <c r="C39434" t="s">
        <v>24828</v>
      </c>
      <c r="D39434" s="21" t="s">
        <v>24820</v>
      </c>
      <c r="E39434" s="21" t="s">
        <v>71</v>
      </c>
      <c r="F39434">
        <v>1690221</v>
      </c>
      <c r="G39434" t="s">
        <v>303</v>
      </c>
      <c r="H39434" s="21">
        <v>942.29</v>
      </c>
    </row>
    <row r="39435" spans="1:8" customFormat="1" x14ac:dyDescent="0.25">
      <c r="A39435" t="str">
        <f>"4921374"</f>
        <v>4921374</v>
      </c>
      <c r="B39435" t="s">
        <v>3972</v>
      </c>
      <c r="C39435" t="s">
        <v>24888</v>
      </c>
      <c r="D39435" s="21" t="s">
        <v>24820</v>
      </c>
      <c r="E39435" s="21" t="s">
        <v>35</v>
      </c>
      <c r="F39435">
        <v>12490006</v>
      </c>
      <c r="G39435" t="s">
        <v>1480</v>
      </c>
      <c r="H39435" s="21">
        <v>942.17</v>
      </c>
    </row>
    <row r="39436" spans="1:8" customFormat="1" x14ac:dyDescent="0.25">
      <c r="A39436" t="str">
        <f>"3311441"</f>
        <v>3311441</v>
      </c>
      <c r="B39436" t="s">
        <v>29740</v>
      </c>
      <c r="C39436" t="s">
        <v>24871</v>
      </c>
      <c r="D39436" s="21" t="s">
        <v>24820</v>
      </c>
      <c r="E39436" s="21" t="s">
        <v>71</v>
      </c>
      <c r="F39436">
        <v>10330011</v>
      </c>
      <c r="G39436" t="s">
        <v>1789</v>
      </c>
      <c r="H39436" s="21">
        <v>941.67</v>
      </c>
    </row>
    <row r="39437" spans="1:8" customFormat="1" x14ac:dyDescent="0.25">
      <c r="A39437" t="str">
        <f>"4431463"</f>
        <v>4431463</v>
      </c>
      <c r="B39437" t="s">
        <v>3116</v>
      </c>
      <c r="C39437" t="s">
        <v>24968</v>
      </c>
      <c r="D39437" s="21" t="s">
        <v>24820</v>
      </c>
      <c r="E39437" s="21" t="s">
        <v>35</v>
      </c>
      <c r="F39437">
        <v>12440049</v>
      </c>
      <c r="G39437" t="s">
        <v>3339</v>
      </c>
      <c r="H39437" s="21">
        <v>940.67</v>
      </c>
    </row>
    <row r="39438" spans="1:8" customFormat="1" x14ac:dyDescent="0.25">
      <c r="A39438" t="str">
        <f>"735025"</f>
        <v>735025</v>
      </c>
      <c r="B39438" t="s">
        <v>185</v>
      </c>
      <c r="C39438" t="s">
        <v>24897</v>
      </c>
      <c r="D39438" s="21" t="s">
        <v>24820</v>
      </c>
      <c r="E39438" s="21" t="s">
        <v>71</v>
      </c>
      <c r="F39438">
        <v>2390046</v>
      </c>
      <c r="G39438" t="s">
        <v>2140</v>
      </c>
      <c r="H39438" s="21">
        <v>939.17</v>
      </c>
    </row>
    <row r="39439" spans="1:8" customFormat="1" x14ac:dyDescent="0.25">
      <c r="A39439" t="str">
        <f>"072512"</f>
        <v>072512</v>
      </c>
      <c r="B39439" t="s">
        <v>2747</v>
      </c>
      <c r="C39439" t="s">
        <v>25138</v>
      </c>
      <c r="D39439" s="21" t="s">
        <v>24820</v>
      </c>
      <c r="E39439" s="21" t="s">
        <v>35</v>
      </c>
      <c r="F39439">
        <v>1730074</v>
      </c>
      <c r="G39439" t="s">
        <v>7704</v>
      </c>
      <c r="H39439" s="21">
        <v>938.67</v>
      </c>
    </row>
    <row r="39440" spans="1:8" customFormat="1" x14ac:dyDescent="0.25">
      <c r="A39440" t="str">
        <f>"024050"</f>
        <v>024050</v>
      </c>
      <c r="B39440" t="s">
        <v>1601</v>
      </c>
      <c r="C39440" t="s">
        <v>24854</v>
      </c>
      <c r="D39440" s="21" t="s">
        <v>24820</v>
      </c>
      <c r="E39440" s="21" t="s">
        <v>35</v>
      </c>
      <c r="F39440">
        <v>7020003</v>
      </c>
      <c r="G39440" t="s">
        <v>7268</v>
      </c>
      <c r="H39440" s="21">
        <v>938.67</v>
      </c>
    </row>
    <row r="39441" spans="1:8" customFormat="1" x14ac:dyDescent="0.25">
      <c r="A39441" t="str">
        <f>"263461"</f>
        <v>263461</v>
      </c>
      <c r="B39441" t="s">
        <v>25004</v>
      </c>
      <c r="C39441" t="s">
        <v>25005</v>
      </c>
      <c r="D39441" s="21" t="s">
        <v>24820</v>
      </c>
      <c r="E39441" s="21" t="s">
        <v>71</v>
      </c>
      <c r="F39441">
        <v>1260010</v>
      </c>
      <c r="G39441" t="s">
        <v>3944</v>
      </c>
      <c r="H39441" s="21">
        <v>937.67</v>
      </c>
    </row>
    <row r="39442" spans="1:8" customFormat="1" x14ac:dyDescent="0.25">
      <c r="A39442" t="str">
        <f>"2712430"</f>
        <v>2712430</v>
      </c>
      <c r="B39442" t="s">
        <v>8541</v>
      </c>
      <c r="C39442" t="s">
        <v>24888</v>
      </c>
      <c r="D39442" s="21" t="s">
        <v>24820</v>
      </c>
      <c r="E39442" s="21" t="s">
        <v>35</v>
      </c>
      <c r="F39442">
        <v>9270110</v>
      </c>
      <c r="G39442" t="s">
        <v>7417</v>
      </c>
      <c r="H39442" s="21">
        <v>936.67</v>
      </c>
    </row>
    <row r="39443" spans="1:8" customFormat="1" x14ac:dyDescent="0.25">
      <c r="A39443" t="str">
        <f>"7827401"</f>
        <v>7827401</v>
      </c>
      <c r="B39443" t="s">
        <v>24985</v>
      </c>
      <c r="C39443" t="s">
        <v>24927</v>
      </c>
      <c r="D39443" s="21" t="s">
        <v>24820</v>
      </c>
      <c r="E39443" s="21" t="s">
        <v>71</v>
      </c>
      <c r="F39443">
        <v>8780674</v>
      </c>
      <c r="G39443" t="s">
        <v>26585</v>
      </c>
      <c r="H39443" s="21">
        <v>934.17</v>
      </c>
    </row>
    <row r="39444" spans="1:8" customFormat="1" x14ac:dyDescent="0.25">
      <c r="A39444" t="str">
        <f>"882441"</f>
        <v>882441</v>
      </c>
      <c r="B39444" t="s">
        <v>24964</v>
      </c>
      <c r="C39444" t="s">
        <v>22831</v>
      </c>
      <c r="D39444" s="21" t="s">
        <v>24820</v>
      </c>
      <c r="E39444" s="21" t="s">
        <v>71</v>
      </c>
      <c r="F39444">
        <v>6880051</v>
      </c>
      <c r="G39444" t="s">
        <v>6116</v>
      </c>
      <c r="H39444" s="21">
        <v>933.79</v>
      </c>
    </row>
    <row r="39445" spans="1:8" customFormat="1" x14ac:dyDescent="0.25">
      <c r="A39445" t="str">
        <f>"9139788"</f>
        <v>9139788</v>
      </c>
      <c r="B39445" t="s">
        <v>17151</v>
      </c>
      <c r="C39445" t="s">
        <v>24943</v>
      </c>
      <c r="D39445" s="21" t="s">
        <v>24820</v>
      </c>
      <c r="E39445" s="21" t="s">
        <v>35</v>
      </c>
      <c r="F39445">
        <v>8910402</v>
      </c>
      <c r="G39445" t="s">
        <v>1371</v>
      </c>
      <c r="H39445" s="21">
        <v>932.92</v>
      </c>
    </row>
    <row r="39446" spans="1:8" customFormat="1" x14ac:dyDescent="0.25">
      <c r="A39446" t="str">
        <f>"394503"</f>
        <v>394503</v>
      </c>
      <c r="B39446" t="s">
        <v>482</v>
      </c>
      <c r="C39446" t="s">
        <v>25020</v>
      </c>
      <c r="D39446" s="21" t="s">
        <v>24820</v>
      </c>
      <c r="E39446" s="21" t="s">
        <v>35</v>
      </c>
      <c r="F39446">
        <v>7590021</v>
      </c>
      <c r="G39446" t="s">
        <v>4910</v>
      </c>
      <c r="H39446" s="21">
        <v>931.67</v>
      </c>
    </row>
    <row r="39447" spans="1:8" customFormat="1" x14ac:dyDescent="0.25">
      <c r="A39447" t="str">
        <f>"4428777"</f>
        <v>4428777</v>
      </c>
      <c r="B39447" t="s">
        <v>16238</v>
      </c>
      <c r="C39447" t="s">
        <v>23734</v>
      </c>
      <c r="D39447" s="21" t="s">
        <v>24820</v>
      </c>
      <c r="E39447" s="21" t="s">
        <v>71</v>
      </c>
      <c r="F39447">
        <v>12440073</v>
      </c>
      <c r="G39447" t="s">
        <v>3492</v>
      </c>
      <c r="H39447" s="21">
        <v>931.67</v>
      </c>
    </row>
    <row r="39448" spans="1:8" customFormat="1" x14ac:dyDescent="0.25">
      <c r="A39448" t="str">
        <f>"392847"</f>
        <v>392847</v>
      </c>
      <c r="B39448" t="s">
        <v>25055</v>
      </c>
      <c r="C39448" t="s">
        <v>24958</v>
      </c>
      <c r="D39448" s="21" t="s">
        <v>24820</v>
      </c>
      <c r="E39448" s="21" t="s">
        <v>254</v>
      </c>
      <c r="F39448">
        <v>2390001</v>
      </c>
      <c r="G39448" t="s">
        <v>6664</v>
      </c>
      <c r="H39448" s="21">
        <v>928.67</v>
      </c>
    </row>
    <row r="39449" spans="1:8" customFormat="1" x14ac:dyDescent="0.25">
      <c r="A39449" t="str">
        <f>"7715933"</f>
        <v>7715933</v>
      </c>
      <c r="B39449" t="s">
        <v>19500</v>
      </c>
      <c r="C39449" t="s">
        <v>24915</v>
      </c>
      <c r="D39449" s="21" t="s">
        <v>24820</v>
      </c>
      <c r="E39449" s="21" t="s">
        <v>71</v>
      </c>
      <c r="F39449">
        <v>8771519</v>
      </c>
      <c r="G39449" t="s">
        <v>10685</v>
      </c>
      <c r="H39449" s="21">
        <v>928.17</v>
      </c>
    </row>
    <row r="39450" spans="1:8" customFormat="1" x14ac:dyDescent="0.25">
      <c r="A39450" t="str">
        <f>"2716779"</f>
        <v>2716779</v>
      </c>
      <c r="B39450" t="s">
        <v>18808</v>
      </c>
      <c r="C39450" t="s">
        <v>24943</v>
      </c>
      <c r="D39450" s="21" t="s">
        <v>24820</v>
      </c>
      <c r="E39450" s="21" t="s">
        <v>35</v>
      </c>
      <c r="F39450">
        <v>9270060</v>
      </c>
      <c r="G39450" t="s">
        <v>1982</v>
      </c>
      <c r="H39450" s="21">
        <v>926.67</v>
      </c>
    </row>
    <row r="39451" spans="1:8" customFormat="1" x14ac:dyDescent="0.25">
      <c r="A39451" t="str">
        <f>"574303"</f>
        <v>574303</v>
      </c>
      <c r="B39451" t="s">
        <v>25000</v>
      </c>
      <c r="C39451" t="s">
        <v>25001</v>
      </c>
      <c r="D39451" s="21" t="s">
        <v>24820</v>
      </c>
      <c r="E39451" s="21" t="s">
        <v>254</v>
      </c>
      <c r="F39451">
        <v>6570008</v>
      </c>
      <c r="G39451" t="s">
        <v>899</v>
      </c>
      <c r="H39451" s="21">
        <v>926.67</v>
      </c>
    </row>
    <row r="39452" spans="1:8" customFormat="1" x14ac:dyDescent="0.25">
      <c r="A39452" t="str">
        <f>"564029"</f>
        <v>564029</v>
      </c>
      <c r="B39452" t="s">
        <v>25021</v>
      </c>
      <c r="C39452" t="s">
        <v>23734</v>
      </c>
      <c r="D39452" s="21" t="s">
        <v>24820</v>
      </c>
      <c r="E39452" s="21" t="s">
        <v>71</v>
      </c>
      <c r="F39452">
        <v>3560005</v>
      </c>
      <c r="G39452" t="s">
        <v>2101</v>
      </c>
      <c r="H39452" s="21">
        <v>925.92</v>
      </c>
    </row>
    <row r="39453" spans="1:8" customFormat="1" x14ac:dyDescent="0.25">
      <c r="A39453" t="str">
        <f>"3331523"</f>
        <v>3331523</v>
      </c>
      <c r="B39453" t="s">
        <v>25043</v>
      </c>
      <c r="C39453" t="s">
        <v>25044</v>
      </c>
      <c r="D39453" s="21" t="s">
        <v>24820</v>
      </c>
      <c r="E39453" s="21" t="s">
        <v>71</v>
      </c>
      <c r="F39453">
        <v>10330002</v>
      </c>
      <c r="G39453" t="s">
        <v>53</v>
      </c>
      <c r="H39453" s="21">
        <v>923.92</v>
      </c>
    </row>
    <row r="39454" spans="1:8" customFormat="1" x14ac:dyDescent="0.25">
      <c r="A39454" t="str">
        <f>"6223931"</f>
        <v>6223931</v>
      </c>
      <c r="B39454" t="s">
        <v>1113</v>
      </c>
      <c r="C39454" t="s">
        <v>24867</v>
      </c>
      <c r="D39454" s="21" t="s">
        <v>24820</v>
      </c>
      <c r="E39454" s="21" t="s">
        <v>35</v>
      </c>
      <c r="F39454">
        <v>7620088</v>
      </c>
      <c r="G39454" t="s">
        <v>3342</v>
      </c>
      <c r="H39454" s="21">
        <v>922.67</v>
      </c>
    </row>
    <row r="39455" spans="1:8" customFormat="1" x14ac:dyDescent="0.25">
      <c r="A39455" t="str">
        <f>"351065"</f>
        <v>351065</v>
      </c>
      <c r="B39455" t="s">
        <v>25024</v>
      </c>
      <c r="C39455" t="s">
        <v>22831</v>
      </c>
      <c r="D39455" s="21" t="s">
        <v>24820</v>
      </c>
      <c r="E39455" s="21" t="s">
        <v>35</v>
      </c>
      <c r="F39455">
        <v>12530064</v>
      </c>
      <c r="G39455" t="s">
        <v>3699</v>
      </c>
      <c r="H39455" s="21">
        <v>922.67</v>
      </c>
    </row>
    <row r="39456" spans="1:8" customFormat="1" x14ac:dyDescent="0.25">
      <c r="A39456" t="str">
        <f>"866611"</f>
        <v>866611</v>
      </c>
      <c r="B39456" t="s">
        <v>1833</v>
      </c>
      <c r="C39456" t="s">
        <v>24952</v>
      </c>
      <c r="D39456" s="21" t="s">
        <v>24820</v>
      </c>
      <c r="E39456" s="21" t="s">
        <v>35</v>
      </c>
      <c r="F39456">
        <v>1740047</v>
      </c>
      <c r="G39456" t="s">
        <v>4512</v>
      </c>
      <c r="H39456" s="21">
        <v>922.17</v>
      </c>
    </row>
    <row r="39457" spans="1:8" customFormat="1" x14ac:dyDescent="0.25">
      <c r="A39457" t="str">
        <f>"3721054"</f>
        <v>3721054</v>
      </c>
      <c r="B39457" t="s">
        <v>136</v>
      </c>
      <c r="C39457" t="s">
        <v>24947</v>
      </c>
      <c r="D39457" s="21" t="s">
        <v>24820</v>
      </c>
      <c r="E39457" s="21" t="s">
        <v>35</v>
      </c>
      <c r="F39457">
        <v>4370013</v>
      </c>
      <c r="G39457" t="s">
        <v>7097</v>
      </c>
      <c r="H39457" s="21">
        <v>922.17</v>
      </c>
    </row>
    <row r="39458" spans="1:8" customFormat="1" x14ac:dyDescent="0.25">
      <c r="A39458" t="str">
        <f>"625605"</f>
        <v>625605</v>
      </c>
      <c r="B39458" t="s">
        <v>25048</v>
      </c>
      <c r="C39458" t="s">
        <v>24828</v>
      </c>
      <c r="D39458" s="21" t="s">
        <v>24820</v>
      </c>
      <c r="E39458" s="21" t="s">
        <v>35</v>
      </c>
      <c r="F39458">
        <v>7620112</v>
      </c>
      <c r="G39458" t="s">
        <v>5663</v>
      </c>
      <c r="H39458" s="21">
        <v>920.92</v>
      </c>
    </row>
    <row r="39459" spans="1:8" customFormat="1" x14ac:dyDescent="0.25">
      <c r="A39459" t="str">
        <f>"945367"</f>
        <v>945367</v>
      </c>
      <c r="B39459" t="s">
        <v>1099</v>
      </c>
      <c r="C39459" t="s">
        <v>25053</v>
      </c>
      <c r="D39459" s="21" t="s">
        <v>24820</v>
      </c>
      <c r="E39459" s="21" t="s">
        <v>35</v>
      </c>
      <c r="F39459">
        <v>8750536</v>
      </c>
      <c r="G39459" t="s">
        <v>11689</v>
      </c>
      <c r="H39459" s="21">
        <v>920.79</v>
      </c>
    </row>
    <row r="39460" spans="1:8" customFormat="1" x14ac:dyDescent="0.25">
      <c r="A39460" t="str">
        <f>"5425423"</f>
        <v>5425423</v>
      </c>
      <c r="B39460" t="s">
        <v>17280</v>
      </c>
      <c r="C39460" t="s">
        <v>25051</v>
      </c>
      <c r="D39460" s="21" t="s">
        <v>24820</v>
      </c>
      <c r="E39460" s="21" t="s">
        <v>35</v>
      </c>
      <c r="F39460">
        <v>6540198</v>
      </c>
      <c r="G39460" t="s">
        <v>9045</v>
      </c>
      <c r="H39460" s="21">
        <v>920.67</v>
      </c>
    </row>
    <row r="39461" spans="1:8" customFormat="1" x14ac:dyDescent="0.25">
      <c r="A39461" t="str">
        <f>"6020954"</f>
        <v>6020954</v>
      </c>
      <c r="B39461" t="s">
        <v>25018</v>
      </c>
      <c r="C39461" t="s">
        <v>25019</v>
      </c>
      <c r="D39461" s="21" t="s">
        <v>24820</v>
      </c>
      <c r="E39461" s="21" t="s">
        <v>35</v>
      </c>
      <c r="F39461">
        <v>7600037</v>
      </c>
      <c r="G39461" t="s">
        <v>7185</v>
      </c>
      <c r="H39461" s="21">
        <v>920.17</v>
      </c>
    </row>
    <row r="39462" spans="1:8" customFormat="1" x14ac:dyDescent="0.25">
      <c r="A39462" t="str">
        <f>"7828321"</f>
        <v>7828321</v>
      </c>
      <c r="B39462" t="s">
        <v>11753</v>
      </c>
      <c r="C39462" t="s">
        <v>8238</v>
      </c>
      <c r="D39462" s="21" t="s">
        <v>24820</v>
      </c>
      <c r="E39462" s="21" t="s">
        <v>35</v>
      </c>
      <c r="F39462">
        <v>8950623</v>
      </c>
      <c r="G39462" t="s">
        <v>684</v>
      </c>
      <c r="H39462" s="21">
        <v>919.92</v>
      </c>
    </row>
    <row r="39463" spans="1:8" customFormat="1" x14ac:dyDescent="0.25">
      <c r="A39463" t="str">
        <f>"3316327"</f>
        <v>3316327</v>
      </c>
      <c r="B39463" t="s">
        <v>8323</v>
      </c>
      <c r="C39463" t="s">
        <v>25029</v>
      </c>
      <c r="D39463" s="21" t="s">
        <v>24820</v>
      </c>
      <c r="E39463" s="21" t="s">
        <v>71</v>
      </c>
      <c r="F39463">
        <v>10330030</v>
      </c>
      <c r="G39463" t="s">
        <v>2990</v>
      </c>
      <c r="H39463" s="21">
        <v>919.17</v>
      </c>
    </row>
    <row r="39464" spans="1:8" customFormat="1" x14ac:dyDescent="0.25">
      <c r="A39464" t="str">
        <f>"586193"</f>
        <v>586193</v>
      </c>
      <c r="B39464" t="s">
        <v>15781</v>
      </c>
      <c r="C39464" t="s">
        <v>24909</v>
      </c>
      <c r="D39464" s="21" t="s">
        <v>24820</v>
      </c>
      <c r="E39464" s="21" t="s">
        <v>71</v>
      </c>
      <c r="F39464">
        <v>2580012</v>
      </c>
      <c r="G39464" t="s">
        <v>1144</v>
      </c>
      <c r="H39464" s="21">
        <v>918.67</v>
      </c>
    </row>
    <row r="39465" spans="1:8" customFormat="1" x14ac:dyDescent="0.25">
      <c r="A39465" t="str">
        <f>"4451133"</f>
        <v>4451133</v>
      </c>
      <c r="B39465" t="s">
        <v>25013</v>
      </c>
      <c r="C39465" t="s">
        <v>22831</v>
      </c>
      <c r="D39465" s="21" t="s">
        <v>24820</v>
      </c>
      <c r="E39465" s="21" t="s">
        <v>35</v>
      </c>
      <c r="F39465">
        <v>12440136</v>
      </c>
      <c r="G39465" t="s">
        <v>3271</v>
      </c>
      <c r="H39465" s="21">
        <v>917.17</v>
      </c>
    </row>
    <row r="39466" spans="1:8" customFormat="1" x14ac:dyDescent="0.25">
      <c r="A39466" t="str">
        <f>"681162"</f>
        <v>681162</v>
      </c>
      <c r="B39466" t="s">
        <v>25036</v>
      </c>
      <c r="C39466" t="s">
        <v>24973</v>
      </c>
      <c r="D39466" s="21" t="s">
        <v>24820</v>
      </c>
      <c r="E39466" s="21" t="s">
        <v>35</v>
      </c>
      <c r="F39466">
        <v>6680105</v>
      </c>
      <c r="G39466" t="s">
        <v>403</v>
      </c>
      <c r="H39466" s="21">
        <v>917.17</v>
      </c>
    </row>
    <row r="39467" spans="1:8" customFormat="1" x14ac:dyDescent="0.25">
      <c r="A39467" t="str">
        <f>"4914969"</f>
        <v>4914969</v>
      </c>
      <c r="B39467" t="s">
        <v>24984</v>
      </c>
      <c r="C39467" t="s">
        <v>24840</v>
      </c>
      <c r="D39467" s="21" t="s">
        <v>24820</v>
      </c>
      <c r="E39467" s="21" t="s">
        <v>35</v>
      </c>
      <c r="F39467">
        <v>12490062</v>
      </c>
      <c r="G39467" t="s">
        <v>9920</v>
      </c>
      <c r="H39467" s="21">
        <v>916.67</v>
      </c>
    </row>
    <row r="39468" spans="1:8" customFormat="1" x14ac:dyDescent="0.25">
      <c r="A39468" t="str">
        <f>"5614934"</f>
        <v>5614934</v>
      </c>
      <c r="B39468" t="s">
        <v>3068</v>
      </c>
      <c r="C39468" t="s">
        <v>24996</v>
      </c>
      <c r="D39468" s="21" t="s">
        <v>24820</v>
      </c>
      <c r="E39468" s="21" t="s">
        <v>35</v>
      </c>
      <c r="F39468">
        <v>4370002</v>
      </c>
      <c r="G39468" t="s">
        <v>112</v>
      </c>
      <c r="H39468" s="21">
        <v>916.67</v>
      </c>
    </row>
    <row r="39469" spans="1:8" customFormat="1" x14ac:dyDescent="0.25">
      <c r="A39469" t="str">
        <f>"9217429"</f>
        <v>9217429</v>
      </c>
      <c r="B39469" t="s">
        <v>1308</v>
      </c>
      <c r="C39469" t="s">
        <v>25032</v>
      </c>
      <c r="D39469" s="21" t="s">
        <v>24820</v>
      </c>
      <c r="E39469" s="21" t="s">
        <v>254</v>
      </c>
      <c r="F39469">
        <v>8920025</v>
      </c>
      <c r="G39469" t="s">
        <v>159</v>
      </c>
      <c r="H39469" s="21">
        <v>914.67</v>
      </c>
    </row>
    <row r="39470" spans="1:8" customFormat="1" x14ac:dyDescent="0.25">
      <c r="A39470" t="str">
        <f>"30710"</f>
        <v>30710</v>
      </c>
      <c r="B39470" t="s">
        <v>25022</v>
      </c>
      <c r="C39470" t="s">
        <v>24947</v>
      </c>
      <c r="D39470" s="21" t="s">
        <v>24820</v>
      </c>
      <c r="E39470" s="21" t="s">
        <v>35</v>
      </c>
      <c r="F39470">
        <v>11300014</v>
      </c>
      <c r="G39470" t="s">
        <v>2345</v>
      </c>
      <c r="H39470" s="21">
        <v>914.54</v>
      </c>
    </row>
    <row r="39471" spans="1:8" customFormat="1" x14ac:dyDescent="0.25">
      <c r="A39471" t="str">
        <f>"634811"</f>
        <v>634811</v>
      </c>
      <c r="B39471" t="s">
        <v>23254</v>
      </c>
      <c r="C39471" t="s">
        <v>24857</v>
      </c>
      <c r="D39471" s="21" t="s">
        <v>24820</v>
      </c>
      <c r="E39471" s="21" t="s">
        <v>71</v>
      </c>
      <c r="F39471">
        <v>1630005</v>
      </c>
      <c r="G39471" t="s">
        <v>8825</v>
      </c>
      <c r="H39471" s="21">
        <v>913.79</v>
      </c>
    </row>
    <row r="39472" spans="1:8" customFormat="1" x14ac:dyDescent="0.25">
      <c r="A39472" t="str">
        <f>"72206"</f>
        <v>72206</v>
      </c>
      <c r="B39472" t="s">
        <v>1405</v>
      </c>
      <c r="C39472" t="s">
        <v>24988</v>
      </c>
      <c r="D39472" s="21" t="s">
        <v>24820</v>
      </c>
      <c r="E39472" s="21" t="s">
        <v>35</v>
      </c>
      <c r="F39472">
        <v>12720034</v>
      </c>
      <c r="G39472" t="s">
        <v>4561</v>
      </c>
      <c r="H39472" s="21">
        <v>913.67</v>
      </c>
    </row>
    <row r="39473" spans="1:8" customFormat="1" x14ac:dyDescent="0.25">
      <c r="A39473" t="str">
        <f>"76224"</f>
        <v>76224</v>
      </c>
      <c r="B39473" t="s">
        <v>1932</v>
      </c>
      <c r="C39473" t="s">
        <v>24840</v>
      </c>
      <c r="D39473" s="21" t="s">
        <v>24820</v>
      </c>
      <c r="E39473" s="21" t="s">
        <v>71</v>
      </c>
      <c r="F39473">
        <v>9760447</v>
      </c>
      <c r="G39473" t="s">
        <v>5942</v>
      </c>
      <c r="H39473" s="21">
        <v>913.17</v>
      </c>
    </row>
    <row r="39474" spans="1:8" customFormat="1" x14ac:dyDescent="0.25">
      <c r="A39474" t="str">
        <f>"3536001"</f>
        <v>3536001</v>
      </c>
      <c r="B39474" t="s">
        <v>641</v>
      </c>
      <c r="C39474" t="s">
        <v>24881</v>
      </c>
      <c r="D39474" s="21" t="s">
        <v>24820</v>
      </c>
      <c r="E39474" s="21" t="s">
        <v>35</v>
      </c>
      <c r="F39474">
        <v>3350156</v>
      </c>
      <c r="G39474" t="s">
        <v>18238</v>
      </c>
      <c r="H39474" s="21">
        <v>913.17</v>
      </c>
    </row>
    <row r="39475" spans="1:8" customFormat="1" x14ac:dyDescent="0.25">
      <c r="A39475" t="str">
        <f>"4426455"</f>
        <v>4426455</v>
      </c>
      <c r="B39475" t="s">
        <v>13809</v>
      </c>
      <c r="C39475" t="s">
        <v>24968</v>
      </c>
      <c r="D39475" s="21" t="s">
        <v>24820</v>
      </c>
      <c r="E39475" s="21" t="s">
        <v>71</v>
      </c>
      <c r="F39475">
        <v>12440049</v>
      </c>
      <c r="G39475" t="s">
        <v>3339</v>
      </c>
      <c r="H39475" s="21">
        <v>912.17</v>
      </c>
    </row>
    <row r="39476" spans="1:8" customFormat="1" x14ac:dyDescent="0.25">
      <c r="A39476" t="str">
        <f>"5616782"</f>
        <v>5616782</v>
      </c>
      <c r="B39476" t="s">
        <v>12292</v>
      </c>
      <c r="C39476" t="s">
        <v>24883</v>
      </c>
      <c r="D39476" s="21" t="s">
        <v>24820</v>
      </c>
      <c r="E39476" s="21" t="s">
        <v>35</v>
      </c>
      <c r="F39476">
        <v>3560038</v>
      </c>
      <c r="G39476" t="s">
        <v>3598</v>
      </c>
      <c r="H39476" s="21">
        <v>911.54</v>
      </c>
    </row>
    <row r="39477" spans="1:8" customFormat="1" x14ac:dyDescent="0.25">
      <c r="A39477" t="str">
        <f>"809198"</f>
        <v>809198</v>
      </c>
      <c r="B39477" t="s">
        <v>1247</v>
      </c>
      <c r="C39477" t="s">
        <v>25051</v>
      </c>
      <c r="D39477" s="21" t="s">
        <v>24820</v>
      </c>
      <c r="E39477" s="21" t="s">
        <v>35</v>
      </c>
      <c r="F39477">
        <v>7800008</v>
      </c>
      <c r="G39477" t="s">
        <v>842</v>
      </c>
      <c r="H39477" s="21">
        <v>910.17</v>
      </c>
    </row>
    <row r="39478" spans="1:8" customFormat="1" x14ac:dyDescent="0.25">
      <c r="A39478" t="str">
        <f>"596010"</f>
        <v>596010</v>
      </c>
      <c r="B39478" t="s">
        <v>10758</v>
      </c>
      <c r="C39478" t="s">
        <v>24968</v>
      </c>
      <c r="D39478" s="21" t="s">
        <v>24820</v>
      </c>
      <c r="E39478" s="21" t="s">
        <v>35</v>
      </c>
      <c r="F39478">
        <v>7590338</v>
      </c>
      <c r="G39478" t="s">
        <v>682</v>
      </c>
      <c r="H39478" s="21">
        <v>909.92</v>
      </c>
    </row>
    <row r="39479" spans="1:8" customFormat="1" x14ac:dyDescent="0.25">
      <c r="A39479" t="str">
        <f>"7514769"</f>
        <v>7514769</v>
      </c>
      <c r="B39479" t="s">
        <v>16020</v>
      </c>
      <c r="C39479" t="s">
        <v>24972</v>
      </c>
      <c r="D39479" s="21" t="s">
        <v>24820</v>
      </c>
      <c r="E39479" s="21" t="s">
        <v>35</v>
      </c>
      <c r="F39479">
        <v>1690175</v>
      </c>
      <c r="G39479" t="s">
        <v>410</v>
      </c>
      <c r="H39479" s="21">
        <v>908.54</v>
      </c>
    </row>
    <row r="39480" spans="1:8" customFormat="1" x14ac:dyDescent="0.25">
      <c r="A39480" t="str">
        <f>"88379"</f>
        <v>88379</v>
      </c>
      <c r="B39480" t="s">
        <v>16556</v>
      </c>
      <c r="C39480" t="s">
        <v>24978</v>
      </c>
      <c r="D39480" s="21" t="s">
        <v>24820</v>
      </c>
      <c r="E39480" s="21" t="s">
        <v>71</v>
      </c>
      <c r="F39480">
        <v>6880021</v>
      </c>
      <c r="G39480" t="s">
        <v>15780</v>
      </c>
      <c r="H39480" s="21">
        <v>908.17</v>
      </c>
    </row>
    <row r="39481" spans="1:8" customFormat="1" x14ac:dyDescent="0.25">
      <c r="A39481" t="str">
        <f>"3533227"</f>
        <v>3533227</v>
      </c>
      <c r="B39481" t="s">
        <v>2549</v>
      </c>
      <c r="C39481" t="s">
        <v>24854</v>
      </c>
      <c r="D39481" s="21" t="s">
        <v>24820</v>
      </c>
      <c r="E39481" s="21" t="s">
        <v>35</v>
      </c>
      <c r="F39481">
        <v>3350022</v>
      </c>
      <c r="G39481" t="s">
        <v>1287</v>
      </c>
      <c r="H39481" s="21">
        <v>908.17</v>
      </c>
    </row>
    <row r="39482" spans="1:8" customFormat="1" x14ac:dyDescent="0.25">
      <c r="A39482" t="str">
        <f>"91758"</f>
        <v>91758</v>
      </c>
      <c r="B39482" t="s">
        <v>24997</v>
      </c>
      <c r="C39482" t="s">
        <v>24998</v>
      </c>
      <c r="D39482" s="21" t="s">
        <v>24820</v>
      </c>
      <c r="E39482" s="21" t="s">
        <v>71</v>
      </c>
      <c r="F39482">
        <v>8920063</v>
      </c>
      <c r="G39482" t="s">
        <v>219</v>
      </c>
      <c r="H39482" s="21">
        <v>907.54</v>
      </c>
    </row>
    <row r="39483" spans="1:8" customFormat="1" x14ac:dyDescent="0.25">
      <c r="A39483" t="str">
        <f>"274307"</f>
        <v>274307</v>
      </c>
      <c r="B39483" t="s">
        <v>15974</v>
      </c>
      <c r="C39483" t="s">
        <v>25008</v>
      </c>
      <c r="D39483" s="21" t="s">
        <v>24820</v>
      </c>
      <c r="E39483" s="21" t="s">
        <v>71</v>
      </c>
      <c r="F39483">
        <v>9760168</v>
      </c>
      <c r="G39483" t="s">
        <v>179</v>
      </c>
      <c r="H39483" s="21">
        <v>904.67</v>
      </c>
    </row>
    <row r="39484" spans="1:8" customFormat="1" x14ac:dyDescent="0.25">
      <c r="A39484" t="str">
        <f>"7277"</f>
        <v>7277</v>
      </c>
      <c r="B39484" t="s">
        <v>760</v>
      </c>
      <c r="C39484" t="s">
        <v>25012</v>
      </c>
      <c r="D39484" s="21" t="s">
        <v>24820</v>
      </c>
      <c r="E39484" s="21" t="s">
        <v>254</v>
      </c>
      <c r="F39484">
        <v>12720104</v>
      </c>
      <c r="G39484" t="s">
        <v>224</v>
      </c>
      <c r="H39484" s="21">
        <v>904.67</v>
      </c>
    </row>
    <row r="39485" spans="1:8" customFormat="1" x14ac:dyDescent="0.25">
      <c r="A39485" t="str">
        <f>"761965"</f>
        <v>761965</v>
      </c>
      <c r="B39485" t="s">
        <v>17297</v>
      </c>
      <c r="C39485" t="s">
        <v>24833</v>
      </c>
      <c r="D39485" s="21" t="s">
        <v>24820</v>
      </c>
      <c r="E39485" s="21" t="s">
        <v>71</v>
      </c>
      <c r="F39485">
        <v>9760156</v>
      </c>
      <c r="G39485" t="s">
        <v>26731</v>
      </c>
      <c r="H39485" s="21">
        <v>904.17</v>
      </c>
    </row>
    <row r="39486" spans="1:8" customFormat="1" x14ac:dyDescent="0.25">
      <c r="A39486" t="str">
        <f>"6910866"</f>
        <v>6910866</v>
      </c>
      <c r="B39486" t="s">
        <v>3916</v>
      </c>
      <c r="C39486" t="s">
        <v>24915</v>
      </c>
      <c r="D39486" s="21" t="s">
        <v>24820</v>
      </c>
      <c r="E39486" s="21" t="s">
        <v>35</v>
      </c>
      <c r="F39486">
        <v>1690058</v>
      </c>
      <c r="G39486" t="s">
        <v>1644</v>
      </c>
      <c r="H39486" s="21">
        <v>902.67</v>
      </c>
    </row>
    <row r="39487" spans="1:8" customFormat="1" x14ac:dyDescent="0.25">
      <c r="A39487" t="str">
        <f>"389292"</f>
        <v>389292</v>
      </c>
      <c r="B39487" t="s">
        <v>10044</v>
      </c>
      <c r="C39487" t="s">
        <v>24915</v>
      </c>
      <c r="D39487" s="21" t="s">
        <v>24820</v>
      </c>
      <c r="E39487" s="21" t="s">
        <v>35</v>
      </c>
      <c r="F39487">
        <v>1260005</v>
      </c>
      <c r="G39487" t="s">
        <v>10654</v>
      </c>
      <c r="H39487" s="21">
        <v>900.67</v>
      </c>
    </row>
    <row r="39488" spans="1:8" customFormat="1" x14ac:dyDescent="0.25">
      <c r="A39488" t="str">
        <f>"7516613"</f>
        <v>7516613</v>
      </c>
      <c r="B39488" t="s">
        <v>25040</v>
      </c>
      <c r="C39488" t="s">
        <v>24867</v>
      </c>
      <c r="D39488" s="21" t="s">
        <v>24820</v>
      </c>
      <c r="E39488" s="21" t="s">
        <v>35</v>
      </c>
      <c r="F39488">
        <v>8750292</v>
      </c>
      <c r="G39488" t="s">
        <v>9069</v>
      </c>
      <c r="H39488" s="21">
        <v>900.42</v>
      </c>
    </row>
    <row r="39489" spans="1:8" customFormat="1" x14ac:dyDescent="0.25">
      <c r="A39489" t="str">
        <f>"187118"</f>
        <v>187118</v>
      </c>
      <c r="B39489" t="s">
        <v>1533</v>
      </c>
      <c r="C39489" t="s">
        <v>25084</v>
      </c>
      <c r="D39489" s="21" t="s">
        <v>24820</v>
      </c>
      <c r="E39489" s="21" t="s">
        <v>35</v>
      </c>
      <c r="F39489">
        <v>4180737</v>
      </c>
      <c r="G39489" t="s">
        <v>26856</v>
      </c>
      <c r="H39489" s="21">
        <v>899.17</v>
      </c>
    </row>
    <row r="39490" spans="1:8" customFormat="1" x14ac:dyDescent="0.25">
      <c r="A39490" t="str">
        <f>"941655"</f>
        <v>941655</v>
      </c>
      <c r="B39490" t="s">
        <v>24990</v>
      </c>
      <c r="C39490" t="s">
        <v>24991</v>
      </c>
      <c r="D39490" s="21" t="s">
        <v>24820</v>
      </c>
      <c r="E39490" s="21" t="s">
        <v>35</v>
      </c>
      <c r="F39490">
        <v>8940975</v>
      </c>
      <c r="G39490" t="s">
        <v>7959</v>
      </c>
      <c r="H39490" s="21">
        <v>898.67</v>
      </c>
    </row>
    <row r="39491" spans="1:8" customFormat="1" x14ac:dyDescent="0.25">
      <c r="A39491" t="str">
        <f>"2515736"</f>
        <v>2515736</v>
      </c>
      <c r="B39491" t="s">
        <v>1349</v>
      </c>
      <c r="C39491" t="s">
        <v>22831</v>
      </c>
      <c r="D39491" s="21" t="s">
        <v>24820</v>
      </c>
      <c r="E39491" s="21" t="s">
        <v>71</v>
      </c>
      <c r="F39491">
        <v>2250193</v>
      </c>
      <c r="G39491" t="s">
        <v>2584</v>
      </c>
      <c r="H39491" s="21">
        <v>896.67</v>
      </c>
    </row>
    <row r="39492" spans="1:8" customFormat="1" x14ac:dyDescent="0.25">
      <c r="A39492" t="str">
        <f>"691185"</f>
        <v>691185</v>
      </c>
      <c r="B39492" t="s">
        <v>10241</v>
      </c>
      <c r="C39492" t="s">
        <v>25011</v>
      </c>
      <c r="D39492" s="21" t="s">
        <v>24820</v>
      </c>
      <c r="E39492" s="21" t="s">
        <v>71</v>
      </c>
      <c r="F39492">
        <v>1690052</v>
      </c>
      <c r="G39492" t="s">
        <v>273</v>
      </c>
      <c r="H39492" s="21">
        <v>896.17</v>
      </c>
    </row>
    <row r="39493" spans="1:8" customFormat="1" x14ac:dyDescent="0.25">
      <c r="A39493" t="str">
        <f>"042647"</f>
        <v>042647</v>
      </c>
      <c r="B39493" t="s">
        <v>25062</v>
      </c>
      <c r="C39493" t="s">
        <v>24865</v>
      </c>
      <c r="D39493" s="21" t="s">
        <v>24820</v>
      </c>
      <c r="E39493" s="21" t="s">
        <v>71</v>
      </c>
      <c r="F39493">
        <v>13040025</v>
      </c>
      <c r="G39493" t="s">
        <v>6715</v>
      </c>
      <c r="H39493" s="21">
        <v>895.17</v>
      </c>
    </row>
    <row r="39494" spans="1:8" customFormat="1" x14ac:dyDescent="0.25">
      <c r="A39494" t="str">
        <f>"4425831"</f>
        <v>4425831</v>
      </c>
      <c r="B39494" t="s">
        <v>4652</v>
      </c>
      <c r="C39494" t="s">
        <v>24939</v>
      </c>
      <c r="D39494" s="21" t="s">
        <v>24820</v>
      </c>
      <c r="E39494" s="21" t="s">
        <v>71</v>
      </c>
      <c r="F39494">
        <v>12440193</v>
      </c>
      <c r="G39494" t="s">
        <v>3786</v>
      </c>
      <c r="H39494" s="21">
        <v>892.67</v>
      </c>
    </row>
    <row r="39495" spans="1:8" customFormat="1" x14ac:dyDescent="0.25">
      <c r="A39495" t="str">
        <f>"595797"</f>
        <v>595797</v>
      </c>
      <c r="B39495" t="s">
        <v>14969</v>
      </c>
      <c r="C39495" t="s">
        <v>25882</v>
      </c>
      <c r="D39495" s="21" t="s">
        <v>24820</v>
      </c>
      <c r="E39495" s="21" t="s">
        <v>35</v>
      </c>
      <c r="F39495">
        <v>7590131</v>
      </c>
      <c r="G39495" t="s">
        <v>6300</v>
      </c>
      <c r="H39495" s="21">
        <v>892.17</v>
      </c>
    </row>
    <row r="39496" spans="1:8" customFormat="1" x14ac:dyDescent="0.25">
      <c r="A39496" t="str">
        <f>"3336052"</f>
        <v>3336052</v>
      </c>
      <c r="B39496" t="s">
        <v>5951</v>
      </c>
      <c r="C39496" t="s">
        <v>24828</v>
      </c>
      <c r="D39496" s="21" t="s">
        <v>24820</v>
      </c>
      <c r="E39496" s="21" t="s">
        <v>35</v>
      </c>
      <c r="F39496">
        <v>10330123</v>
      </c>
      <c r="G39496" t="s">
        <v>12101</v>
      </c>
      <c r="H39496" s="21">
        <v>891.17</v>
      </c>
    </row>
    <row r="39497" spans="1:8" customFormat="1" x14ac:dyDescent="0.25">
      <c r="A39497" t="str">
        <f>"36478"</f>
        <v>36478</v>
      </c>
      <c r="B39497" t="s">
        <v>25034</v>
      </c>
      <c r="C39497" t="s">
        <v>24915</v>
      </c>
      <c r="D39497" s="21" t="s">
        <v>24820</v>
      </c>
      <c r="E39497" s="21" t="s">
        <v>35</v>
      </c>
      <c r="F39497">
        <v>13130170</v>
      </c>
      <c r="G39497" t="s">
        <v>10164</v>
      </c>
      <c r="H39497" s="21">
        <v>890.67</v>
      </c>
    </row>
    <row r="39498" spans="1:8" customFormat="1" x14ac:dyDescent="0.25">
      <c r="A39498" t="str">
        <f>"213846"</f>
        <v>213846</v>
      </c>
      <c r="B39498" t="s">
        <v>24961</v>
      </c>
      <c r="C39498" t="s">
        <v>24962</v>
      </c>
      <c r="D39498" s="21" t="s">
        <v>24820</v>
      </c>
      <c r="E39498" s="21" t="s">
        <v>71</v>
      </c>
      <c r="F39498">
        <v>2210005</v>
      </c>
      <c r="G39498" t="s">
        <v>5020</v>
      </c>
      <c r="H39498" s="21">
        <v>888.67</v>
      </c>
    </row>
    <row r="39499" spans="1:8" customFormat="1" x14ac:dyDescent="0.25">
      <c r="A39499" t="str">
        <f>"8512521"</f>
        <v>8512521</v>
      </c>
      <c r="B39499" t="s">
        <v>3179</v>
      </c>
      <c r="C39499" t="s">
        <v>25069</v>
      </c>
      <c r="D39499" s="21" t="s">
        <v>24820</v>
      </c>
      <c r="E39499" s="21" t="s">
        <v>71</v>
      </c>
      <c r="F39499">
        <v>12850031</v>
      </c>
      <c r="G39499" t="s">
        <v>3180</v>
      </c>
      <c r="H39499" s="21">
        <v>885.17</v>
      </c>
    </row>
    <row r="39500" spans="1:8" customFormat="1" x14ac:dyDescent="0.25">
      <c r="A39500" t="str">
        <f>"92302"</f>
        <v>92302</v>
      </c>
      <c r="B39500" t="s">
        <v>13757</v>
      </c>
      <c r="C39500" t="s">
        <v>25030</v>
      </c>
      <c r="D39500" s="21" t="s">
        <v>24820</v>
      </c>
      <c r="E39500" s="21" t="s">
        <v>254</v>
      </c>
      <c r="F39500">
        <v>8920063</v>
      </c>
      <c r="G39500" t="s">
        <v>219</v>
      </c>
      <c r="H39500" s="21">
        <v>884.17</v>
      </c>
    </row>
    <row r="39501" spans="1:8" customFormat="1" x14ac:dyDescent="0.25">
      <c r="A39501" t="str">
        <f>"179857"</f>
        <v>179857</v>
      </c>
      <c r="B39501" t="s">
        <v>21642</v>
      </c>
      <c r="C39501" t="s">
        <v>25035</v>
      </c>
      <c r="D39501" s="21" t="s">
        <v>24820</v>
      </c>
      <c r="E39501" s="21" t="s">
        <v>1089</v>
      </c>
      <c r="F39501">
        <v>10170033</v>
      </c>
      <c r="G39501" t="s">
        <v>3756</v>
      </c>
      <c r="H39501" s="21">
        <v>883.67</v>
      </c>
    </row>
    <row r="39502" spans="1:8" customFormat="1" x14ac:dyDescent="0.25">
      <c r="A39502" t="str">
        <f>"4512143"</f>
        <v>4512143</v>
      </c>
      <c r="B39502" t="s">
        <v>431</v>
      </c>
      <c r="C39502" t="s">
        <v>25031</v>
      </c>
      <c r="D39502" s="21" t="s">
        <v>24820</v>
      </c>
      <c r="E39502" s="21" t="s">
        <v>254</v>
      </c>
      <c r="F39502">
        <v>4450663</v>
      </c>
      <c r="G39502" t="s">
        <v>2527</v>
      </c>
      <c r="H39502" s="21">
        <v>880.67</v>
      </c>
    </row>
    <row r="39503" spans="1:8" customFormat="1" x14ac:dyDescent="0.25">
      <c r="A39503" t="str">
        <f>"7510695"</f>
        <v>7510695</v>
      </c>
      <c r="B39503" t="s">
        <v>24977</v>
      </c>
      <c r="C39503" t="s">
        <v>24857</v>
      </c>
      <c r="D39503" s="21" t="s">
        <v>24820</v>
      </c>
      <c r="E39503" s="21" t="s">
        <v>35</v>
      </c>
      <c r="F39503">
        <v>8920025</v>
      </c>
      <c r="G39503" t="s">
        <v>159</v>
      </c>
      <c r="H39503" s="21">
        <v>879.54</v>
      </c>
    </row>
    <row r="39504" spans="1:8" customFormat="1" x14ac:dyDescent="0.25">
      <c r="A39504" t="str">
        <f>"54479"</f>
        <v>54479</v>
      </c>
      <c r="B39504" t="s">
        <v>1349</v>
      </c>
      <c r="C39504" t="s">
        <v>24939</v>
      </c>
      <c r="D39504" s="21" t="s">
        <v>24820</v>
      </c>
      <c r="E39504" s="21" t="s">
        <v>1089</v>
      </c>
      <c r="F39504">
        <v>6540021</v>
      </c>
      <c r="G39504" t="s">
        <v>1815</v>
      </c>
      <c r="H39504" s="21">
        <v>878.17</v>
      </c>
    </row>
    <row r="39505" spans="1:8" customFormat="1" x14ac:dyDescent="0.25">
      <c r="A39505" t="str">
        <f>"859609"</f>
        <v>859609</v>
      </c>
      <c r="B39505" t="s">
        <v>6328</v>
      </c>
      <c r="C39505" t="s">
        <v>24863</v>
      </c>
      <c r="D39505" s="21" t="s">
        <v>24820</v>
      </c>
      <c r="E39505" s="21" t="s">
        <v>35</v>
      </c>
      <c r="F39505">
        <v>12850134</v>
      </c>
      <c r="G39505" t="s">
        <v>2359</v>
      </c>
      <c r="H39505" s="21">
        <v>877.17</v>
      </c>
    </row>
    <row r="39506" spans="1:8" customFormat="1" x14ac:dyDescent="0.25">
      <c r="A39506" t="str">
        <f>"5914690"</f>
        <v>5914690</v>
      </c>
      <c r="B39506" t="s">
        <v>29741</v>
      </c>
      <c r="C39506" t="s">
        <v>22831</v>
      </c>
      <c r="D39506" s="21" t="s">
        <v>24820</v>
      </c>
      <c r="E39506" s="21" t="s">
        <v>35</v>
      </c>
      <c r="F39506">
        <v>7590014</v>
      </c>
      <c r="G39506" t="s">
        <v>1326</v>
      </c>
      <c r="H39506" s="21">
        <v>876.79</v>
      </c>
    </row>
    <row r="39507" spans="1:8" customFormat="1" x14ac:dyDescent="0.25">
      <c r="A39507" t="str">
        <f>"9416905"</f>
        <v>9416905</v>
      </c>
      <c r="B39507" t="s">
        <v>25039</v>
      </c>
      <c r="C39507" t="s">
        <v>24902</v>
      </c>
      <c r="D39507" s="21" t="s">
        <v>24820</v>
      </c>
      <c r="E39507" s="21" t="s">
        <v>71</v>
      </c>
      <c r="F39507">
        <v>3560033</v>
      </c>
      <c r="G39507" t="s">
        <v>4927</v>
      </c>
      <c r="H39507" s="21">
        <v>876.17</v>
      </c>
    </row>
    <row r="39508" spans="1:8" customFormat="1" x14ac:dyDescent="0.25">
      <c r="A39508" t="str">
        <f>"758885"</f>
        <v>758885</v>
      </c>
      <c r="B39508" t="s">
        <v>25025</v>
      </c>
      <c r="C39508" t="s">
        <v>24897</v>
      </c>
      <c r="D39508" s="21" t="s">
        <v>24820</v>
      </c>
      <c r="E39508" s="21" t="s">
        <v>71</v>
      </c>
      <c r="F39508">
        <v>8750120</v>
      </c>
      <c r="G39508" t="s">
        <v>838</v>
      </c>
      <c r="H39508" s="21">
        <v>875.17</v>
      </c>
    </row>
    <row r="39509" spans="1:8" customFormat="1" x14ac:dyDescent="0.25">
      <c r="A39509" t="str">
        <f>"5617793"</f>
        <v>5617793</v>
      </c>
      <c r="B39509" t="s">
        <v>25041</v>
      </c>
      <c r="C39509" t="s">
        <v>24854</v>
      </c>
      <c r="D39509" s="21" t="s">
        <v>24820</v>
      </c>
      <c r="E39509" s="21" t="s">
        <v>71</v>
      </c>
      <c r="F39509">
        <v>10170005</v>
      </c>
      <c r="G39509" t="s">
        <v>4290</v>
      </c>
      <c r="H39509" s="21">
        <v>872.17</v>
      </c>
    </row>
    <row r="39510" spans="1:8" customFormat="1" x14ac:dyDescent="0.25">
      <c r="A39510" t="str">
        <f>"403055"</f>
        <v>403055</v>
      </c>
      <c r="B39510" t="s">
        <v>15847</v>
      </c>
      <c r="C39510" t="s">
        <v>25912</v>
      </c>
      <c r="D39510" s="21" t="s">
        <v>24820</v>
      </c>
      <c r="E39510" s="21" t="s">
        <v>35</v>
      </c>
      <c r="F39510">
        <v>10400003</v>
      </c>
      <c r="G39510" t="s">
        <v>5110</v>
      </c>
      <c r="H39510" s="21">
        <v>871.67</v>
      </c>
    </row>
    <row r="39511" spans="1:8" customFormat="1" x14ac:dyDescent="0.25">
      <c r="A39511" t="str">
        <f>"809863"</f>
        <v>809863</v>
      </c>
      <c r="B39511" t="s">
        <v>2538</v>
      </c>
      <c r="C39511" t="s">
        <v>24877</v>
      </c>
      <c r="D39511" s="21" t="s">
        <v>24820</v>
      </c>
      <c r="E39511" s="21" t="s">
        <v>35</v>
      </c>
      <c r="F39511">
        <v>7800008</v>
      </c>
      <c r="G39511" t="s">
        <v>842</v>
      </c>
      <c r="H39511" s="21">
        <v>870.67</v>
      </c>
    </row>
    <row r="39512" spans="1:8" customFormat="1" x14ac:dyDescent="0.25">
      <c r="A39512" t="str">
        <f>"2515832"</f>
        <v>2515832</v>
      </c>
      <c r="B39512" t="s">
        <v>5076</v>
      </c>
      <c r="C39512" t="s">
        <v>25076</v>
      </c>
      <c r="D39512" s="21" t="s">
        <v>24820</v>
      </c>
      <c r="E39512" s="21" t="s">
        <v>35</v>
      </c>
      <c r="F39512">
        <v>2250137</v>
      </c>
      <c r="G39512" t="s">
        <v>182</v>
      </c>
      <c r="H39512" s="21">
        <v>870.67</v>
      </c>
    </row>
    <row r="39513" spans="1:8" customFormat="1" x14ac:dyDescent="0.25">
      <c r="A39513" t="str">
        <f>"6710302"</f>
        <v>6710302</v>
      </c>
      <c r="B39513" t="s">
        <v>29742</v>
      </c>
      <c r="C39513" t="s">
        <v>25252</v>
      </c>
      <c r="D39513" s="21" t="s">
        <v>24820</v>
      </c>
      <c r="E39513" s="21" t="s">
        <v>35</v>
      </c>
      <c r="F39513">
        <v>6670122</v>
      </c>
      <c r="G39513" t="s">
        <v>3126</v>
      </c>
      <c r="H39513" s="21">
        <v>870.17</v>
      </c>
    </row>
    <row r="39514" spans="1:8" customFormat="1" x14ac:dyDescent="0.25">
      <c r="A39514" t="str">
        <f>"693820"</f>
        <v>693820</v>
      </c>
      <c r="B39514" t="s">
        <v>4574</v>
      </c>
      <c r="C39514" t="s">
        <v>24871</v>
      </c>
      <c r="D39514" s="21" t="s">
        <v>24820</v>
      </c>
      <c r="E39514" s="21" t="s">
        <v>71</v>
      </c>
      <c r="F39514">
        <v>1690166</v>
      </c>
      <c r="G39514" t="s">
        <v>3886</v>
      </c>
      <c r="H39514" s="21">
        <v>869.17</v>
      </c>
    </row>
    <row r="39515" spans="1:8" customFormat="1" x14ac:dyDescent="0.25">
      <c r="A39515" t="str">
        <f>"7613602"</f>
        <v>7613602</v>
      </c>
      <c r="B39515" t="s">
        <v>1883</v>
      </c>
      <c r="C39515" t="s">
        <v>24854</v>
      </c>
      <c r="D39515" s="21" t="s">
        <v>24820</v>
      </c>
      <c r="E39515" s="21" t="s">
        <v>254</v>
      </c>
      <c r="F39515">
        <v>1260034</v>
      </c>
      <c r="G39515" t="s">
        <v>1884</v>
      </c>
      <c r="H39515" s="21">
        <v>869.17</v>
      </c>
    </row>
    <row r="39516" spans="1:8" customFormat="1" x14ac:dyDescent="0.25">
      <c r="A39516" t="str">
        <f>"5933895"</f>
        <v>5933895</v>
      </c>
      <c r="B39516" t="s">
        <v>18222</v>
      </c>
      <c r="C39516" t="s">
        <v>24867</v>
      </c>
      <c r="D39516" s="21" t="s">
        <v>24820</v>
      </c>
      <c r="E39516" s="21" t="s">
        <v>71</v>
      </c>
      <c r="F39516">
        <v>7590171</v>
      </c>
      <c r="G39516" t="s">
        <v>4159</v>
      </c>
      <c r="H39516" s="21">
        <v>868.67</v>
      </c>
    </row>
    <row r="39517" spans="1:8" customFormat="1" x14ac:dyDescent="0.25">
      <c r="A39517" t="str">
        <f>"2915851"</f>
        <v>2915851</v>
      </c>
      <c r="B39517" t="s">
        <v>25054</v>
      </c>
      <c r="C39517" t="s">
        <v>23966</v>
      </c>
      <c r="D39517" s="21" t="s">
        <v>24820</v>
      </c>
      <c r="E39517" s="21" t="s">
        <v>254</v>
      </c>
      <c r="F39517">
        <v>3290223</v>
      </c>
      <c r="G39517" t="s">
        <v>2636</v>
      </c>
      <c r="H39517" s="21">
        <v>867.67</v>
      </c>
    </row>
    <row r="39518" spans="1:8" customFormat="1" x14ac:dyDescent="0.25">
      <c r="A39518" t="str">
        <f>"6943060"</f>
        <v>6943060</v>
      </c>
      <c r="B39518" t="s">
        <v>739</v>
      </c>
      <c r="C39518" t="s">
        <v>24841</v>
      </c>
      <c r="D39518" s="21" t="s">
        <v>24820</v>
      </c>
      <c r="E39518" s="21" t="s">
        <v>35</v>
      </c>
      <c r="F39518">
        <v>1690199</v>
      </c>
      <c r="G39518" t="s">
        <v>12608</v>
      </c>
      <c r="H39518" s="21">
        <v>867.67</v>
      </c>
    </row>
    <row r="39519" spans="1:8" customFormat="1" x14ac:dyDescent="0.25">
      <c r="A39519" t="str">
        <f>"6721686"</f>
        <v>6721686</v>
      </c>
      <c r="B39519" t="s">
        <v>25028</v>
      </c>
      <c r="C39519" t="s">
        <v>22831</v>
      </c>
      <c r="D39519" s="21" t="s">
        <v>24820</v>
      </c>
      <c r="E39519" s="21" t="s">
        <v>71</v>
      </c>
      <c r="F39519">
        <v>6670187</v>
      </c>
      <c r="G39519" t="s">
        <v>240</v>
      </c>
      <c r="H39519" s="21">
        <v>867.67</v>
      </c>
    </row>
    <row r="39520" spans="1:8" customFormat="1" x14ac:dyDescent="0.25">
      <c r="A39520" t="str">
        <f>"5716103"</f>
        <v>5716103</v>
      </c>
      <c r="B39520" t="s">
        <v>14350</v>
      </c>
      <c r="C39520" t="s">
        <v>24937</v>
      </c>
      <c r="D39520" s="21" t="s">
        <v>24820</v>
      </c>
      <c r="E39520" s="21" t="s">
        <v>35</v>
      </c>
      <c r="F39520">
        <v>6570060</v>
      </c>
      <c r="G39520" t="s">
        <v>4397</v>
      </c>
      <c r="H39520" s="21">
        <v>867.17</v>
      </c>
    </row>
    <row r="39521" spans="1:8" customFormat="1" x14ac:dyDescent="0.25">
      <c r="A39521" t="str">
        <f>"6927317"</f>
        <v>6927317</v>
      </c>
      <c r="B39521" t="s">
        <v>25049</v>
      </c>
      <c r="C39521" t="s">
        <v>24897</v>
      </c>
      <c r="D39521" s="21" t="s">
        <v>24820</v>
      </c>
      <c r="E39521" s="21" t="s">
        <v>35</v>
      </c>
      <c r="F39521">
        <v>1690175</v>
      </c>
      <c r="G39521" t="s">
        <v>410</v>
      </c>
      <c r="H39521" s="21">
        <v>867.17</v>
      </c>
    </row>
    <row r="39522" spans="1:8" customFormat="1" x14ac:dyDescent="0.25">
      <c r="A39522" t="str">
        <f>"1422473"</f>
        <v>1422473</v>
      </c>
      <c r="B39522" t="s">
        <v>8829</v>
      </c>
      <c r="C39522" t="s">
        <v>25031</v>
      </c>
      <c r="D39522" s="21" t="s">
        <v>24820</v>
      </c>
      <c r="E39522" s="21" t="s">
        <v>254</v>
      </c>
      <c r="F39522">
        <v>9610002</v>
      </c>
      <c r="G39522" t="s">
        <v>75</v>
      </c>
      <c r="H39522" s="21">
        <v>866.17</v>
      </c>
    </row>
    <row r="39523" spans="1:8" customFormat="1" x14ac:dyDescent="0.25">
      <c r="A39523" t="str">
        <f>"569417"</f>
        <v>569417</v>
      </c>
      <c r="B39523" t="s">
        <v>10933</v>
      </c>
      <c r="C39523" t="s">
        <v>24927</v>
      </c>
      <c r="D39523" s="21" t="s">
        <v>24820</v>
      </c>
      <c r="E39523" s="21" t="s">
        <v>71</v>
      </c>
      <c r="F39523">
        <v>3560013</v>
      </c>
      <c r="G39523" t="s">
        <v>7924</v>
      </c>
      <c r="H39523" s="21">
        <v>865.67</v>
      </c>
    </row>
    <row r="39524" spans="1:8" customFormat="1" x14ac:dyDescent="0.25">
      <c r="A39524" t="str">
        <f>"2511743"</f>
        <v>2511743</v>
      </c>
      <c r="B39524" t="s">
        <v>20519</v>
      </c>
      <c r="C39524" t="s">
        <v>24962</v>
      </c>
      <c r="D39524" s="21" t="s">
        <v>24820</v>
      </c>
      <c r="E39524" s="21" t="s">
        <v>35</v>
      </c>
      <c r="F39524">
        <v>2250204</v>
      </c>
      <c r="G39524" t="s">
        <v>4400</v>
      </c>
      <c r="H39524" s="21">
        <v>865.17</v>
      </c>
    </row>
    <row r="39525" spans="1:8" customFormat="1" x14ac:dyDescent="0.25">
      <c r="A39525" t="str">
        <f>"2810421"</f>
        <v>2810421</v>
      </c>
      <c r="B39525" t="s">
        <v>25038</v>
      </c>
      <c r="C39525" t="s">
        <v>23734</v>
      </c>
      <c r="D39525" s="21" t="s">
        <v>24820</v>
      </c>
      <c r="E39525" s="21" t="s">
        <v>35</v>
      </c>
      <c r="F39525">
        <v>4280359</v>
      </c>
      <c r="G39525" t="s">
        <v>7997</v>
      </c>
      <c r="H39525" s="21">
        <v>864.67</v>
      </c>
    </row>
    <row r="39526" spans="1:8" customFormat="1" x14ac:dyDescent="0.25">
      <c r="A39526" t="str">
        <f>"6210797"</f>
        <v>6210797</v>
      </c>
      <c r="B39526" t="s">
        <v>4261</v>
      </c>
      <c r="C39526" t="s">
        <v>22831</v>
      </c>
      <c r="D39526" s="21" t="s">
        <v>24820</v>
      </c>
      <c r="E39526" s="21" t="s">
        <v>35</v>
      </c>
      <c r="F39526">
        <v>7620048</v>
      </c>
      <c r="G39526" t="s">
        <v>7467</v>
      </c>
      <c r="H39526" s="21">
        <v>864.17</v>
      </c>
    </row>
    <row r="39527" spans="1:8" customFormat="1" x14ac:dyDescent="0.25">
      <c r="A39527" t="str">
        <f>"9514858"</f>
        <v>9514858</v>
      </c>
      <c r="B39527" t="s">
        <v>1590</v>
      </c>
      <c r="C39527" t="s">
        <v>24867</v>
      </c>
      <c r="D39527" s="21" t="s">
        <v>24820</v>
      </c>
      <c r="E39527" s="21" t="s">
        <v>35</v>
      </c>
      <c r="F39527">
        <v>8950570</v>
      </c>
      <c r="G39527" t="s">
        <v>3226</v>
      </c>
      <c r="H39527" s="21">
        <v>864.17</v>
      </c>
    </row>
    <row r="39528" spans="1:8" customFormat="1" x14ac:dyDescent="0.25">
      <c r="A39528" t="str">
        <f>"421430"</f>
        <v>421430</v>
      </c>
      <c r="B39528" t="s">
        <v>22428</v>
      </c>
      <c r="C39528" t="s">
        <v>24828</v>
      </c>
      <c r="D39528" s="21" t="s">
        <v>24820</v>
      </c>
      <c r="E39528" s="21" t="s">
        <v>35</v>
      </c>
      <c r="F39528">
        <v>1420080</v>
      </c>
      <c r="G39528" t="s">
        <v>10230</v>
      </c>
      <c r="H39528" s="21">
        <v>863.67</v>
      </c>
    </row>
    <row r="39529" spans="1:8" customFormat="1" x14ac:dyDescent="0.25">
      <c r="A39529" t="str">
        <f>"569362"</f>
        <v>569362</v>
      </c>
      <c r="B39529" t="s">
        <v>11571</v>
      </c>
      <c r="C39529" t="s">
        <v>24994</v>
      </c>
      <c r="D39529" s="21" t="s">
        <v>24820</v>
      </c>
      <c r="E39529" s="21" t="s">
        <v>71</v>
      </c>
      <c r="F39529">
        <v>3560049</v>
      </c>
      <c r="G39529" t="s">
        <v>8021</v>
      </c>
      <c r="H39529" s="21">
        <v>863.17</v>
      </c>
    </row>
    <row r="39530" spans="1:8" customFormat="1" x14ac:dyDescent="0.25">
      <c r="A39530" t="str">
        <f>"6928954"</f>
        <v>6928954</v>
      </c>
      <c r="B39530" t="s">
        <v>726</v>
      </c>
      <c r="C39530" t="s">
        <v>24973</v>
      </c>
      <c r="D39530" s="21" t="s">
        <v>24820</v>
      </c>
      <c r="E39530" s="21" t="s">
        <v>71</v>
      </c>
      <c r="F39530">
        <v>1690221</v>
      </c>
      <c r="G39530" t="s">
        <v>303</v>
      </c>
      <c r="H39530" s="21">
        <v>862.17</v>
      </c>
    </row>
    <row r="39531" spans="1:8" customFormat="1" x14ac:dyDescent="0.25">
      <c r="A39531" t="str">
        <f>"3111983"</f>
        <v>3111983</v>
      </c>
      <c r="B39531" t="s">
        <v>25074</v>
      </c>
      <c r="C39531" t="s">
        <v>24898</v>
      </c>
      <c r="D39531" s="21" t="s">
        <v>24820</v>
      </c>
      <c r="E39531" s="21" t="s">
        <v>1089</v>
      </c>
      <c r="F39531">
        <v>1420152</v>
      </c>
      <c r="G39531" t="s">
        <v>2948</v>
      </c>
      <c r="H39531" s="21">
        <v>861.67</v>
      </c>
    </row>
    <row r="39532" spans="1:8" customFormat="1" x14ac:dyDescent="0.25">
      <c r="A39532" t="str">
        <f>"455233"</f>
        <v>455233</v>
      </c>
      <c r="B39532" t="s">
        <v>5416</v>
      </c>
      <c r="C39532" t="s">
        <v>24968</v>
      </c>
      <c r="D39532" s="21" t="s">
        <v>24820</v>
      </c>
      <c r="E39532" s="21" t="s">
        <v>35</v>
      </c>
      <c r="F39532">
        <v>8951366</v>
      </c>
      <c r="G39532" t="s">
        <v>3708</v>
      </c>
      <c r="H39532" s="21">
        <v>861.42</v>
      </c>
    </row>
    <row r="39533" spans="1:8" customFormat="1" x14ac:dyDescent="0.25">
      <c r="A39533" t="str">
        <f>"5015662"</f>
        <v>5015662</v>
      </c>
      <c r="B39533" t="s">
        <v>3555</v>
      </c>
      <c r="C39533" t="s">
        <v>26225</v>
      </c>
      <c r="D39533" s="21" t="s">
        <v>24820</v>
      </c>
      <c r="E39533" s="21" t="s">
        <v>35</v>
      </c>
      <c r="F39533">
        <v>9500011</v>
      </c>
      <c r="G39533" t="s">
        <v>4903</v>
      </c>
      <c r="H39533" s="21">
        <v>861.29</v>
      </c>
    </row>
    <row r="39534" spans="1:8" customFormat="1" x14ac:dyDescent="0.25">
      <c r="A39534" t="str">
        <f>"5939455"</f>
        <v>5939455</v>
      </c>
      <c r="B39534" t="s">
        <v>1629</v>
      </c>
      <c r="C39534" t="s">
        <v>25007</v>
      </c>
      <c r="D39534" s="21" t="s">
        <v>24820</v>
      </c>
      <c r="E39534" s="21" t="s">
        <v>71</v>
      </c>
      <c r="F39534">
        <v>7590050</v>
      </c>
      <c r="G39534" t="s">
        <v>473</v>
      </c>
      <c r="H39534" s="21">
        <v>861</v>
      </c>
    </row>
    <row r="39535" spans="1:8" customFormat="1" x14ac:dyDescent="0.25">
      <c r="A39535" t="str">
        <f>"1711649"</f>
        <v>1711649</v>
      </c>
      <c r="B39535" t="s">
        <v>21927</v>
      </c>
      <c r="C39535" t="s">
        <v>22831</v>
      </c>
      <c r="D39535" s="21" t="s">
        <v>24820</v>
      </c>
      <c r="E39535" s="21" t="s">
        <v>35</v>
      </c>
      <c r="F39535">
        <v>10170051</v>
      </c>
      <c r="G39535" t="s">
        <v>826</v>
      </c>
      <c r="H39535" s="21">
        <v>859.67</v>
      </c>
    </row>
    <row r="39536" spans="1:8" customFormat="1" x14ac:dyDescent="0.25">
      <c r="A39536" t="str">
        <f>"37174"</f>
        <v>37174</v>
      </c>
      <c r="B39536" t="s">
        <v>7241</v>
      </c>
      <c r="C39536" t="s">
        <v>25011</v>
      </c>
      <c r="D39536" s="21" t="s">
        <v>24820</v>
      </c>
      <c r="E39536" s="21" t="s">
        <v>1089</v>
      </c>
      <c r="F39536">
        <v>4370151</v>
      </c>
      <c r="G39536" t="s">
        <v>5304</v>
      </c>
      <c r="H39536" s="21">
        <v>859.17</v>
      </c>
    </row>
    <row r="39537" spans="1:8" customFormat="1" x14ac:dyDescent="0.25">
      <c r="A39537" t="str">
        <f>"4218817"</f>
        <v>4218817</v>
      </c>
      <c r="B39537" t="s">
        <v>7400</v>
      </c>
      <c r="C39537" t="s">
        <v>25222</v>
      </c>
      <c r="D39537" s="21" t="s">
        <v>24820</v>
      </c>
      <c r="E39537" s="21" t="s">
        <v>71</v>
      </c>
      <c r="F39537">
        <v>1420025</v>
      </c>
      <c r="G39537" t="s">
        <v>5981</v>
      </c>
      <c r="H39537" s="21">
        <v>859.17</v>
      </c>
    </row>
    <row r="39538" spans="1:8" customFormat="1" x14ac:dyDescent="0.25">
      <c r="A39538" t="str">
        <f>"3719900"</f>
        <v>3719900</v>
      </c>
      <c r="B39538" t="s">
        <v>8724</v>
      </c>
      <c r="C39538" t="s">
        <v>24894</v>
      </c>
      <c r="D39538" s="21" t="s">
        <v>24820</v>
      </c>
      <c r="E39538" s="21" t="s">
        <v>35</v>
      </c>
      <c r="F39538">
        <v>4370637</v>
      </c>
      <c r="G39538" t="s">
        <v>3941</v>
      </c>
      <c r="H39538" s="21">
        <v>859.17</v>
      </c>
    </row>
    <row r="39539" spans="1:8" customFormat="1" x14ac:dyDescent="0.25">
      <c r="A39539" t="str">
        <f>"923479"</f>
        <v>923479</v>
      </c>
      <c r="B39539" t="s">
        <v>25042</v>
      </c>
      <c r="C39539" t="s">
        <v>24686</v>
      </c>
      <c r="D39539" s="21" t="s">
        <v>24820</v>
      </c>
      <c r="E39539" s="21" t="s">
        <v>254</v>
      </c>
      <c r="F39539">
        <v>8920063</v>
      </c>
      <c r="G39539" t="s">
        <v>219</v>
      </c>
      <c r="H39539" s="21">
        <v>858.67</v>
      </c>
    </row>
    <row r="39540" spans="1:8" customFormat="1" x14ac:dyDescent="0.25">
      <c r="A39540" t="str">
        <f>"375323"</f>
        <v>375323</v>
      </c>
      <c r="B39540" t="s">
        <v>29743</v>
      </c>
      <c r="C39540" t="s">
        <v>25020</v>
      </c>
      <c r="D39540" s="21" t="s">
        <v>24820</v>
      </c>
      <c r="E39540" s="21" t="s">
        <v>35</v>
      </c>
      <c r="F39540">
        <v>4370151</v>
      </c>
      <c r="G39540" t="s">
        <v>5304</v>
      </c>
      <c r="H39540" s="21">
        <v>858.67</v>
      </c>
    </row>
    <row r="39541" spans="1:8" customFormat="1" x14ac:dyDescent="0.25">
      <c r="A39541" t="str">
        <f>"692307"</f>
        <v>692307</v>
      </c>
      <c r="B39541" t="s">
        <v>13706</v>
      </c>
      <c r="C39541" t="s">
        <v>25056</v>
      </c>
      <c r="D39541" s="21" t="s">
        <v>24820</v>
      </c>
      <c r="E39541" s="21" t="s">
        <v>6185</v>
      </c>
      <c r="F39541">
        <v>1690112</v>
      </c>
      <c r="G39541" t="s">
        <v>4084</v>
      </c>
      <c r="H39541" s="21">
        <v>858.17</v>
      </c>
    </row>
    <row r="39542" spans="1:8" customFormat="1" x14ac:dyDescent="0.25">
      <c r="A39542" t="str">
        <f>"09781"</f>
        <v>09781</v>
      </c>
      <c r="B39542" t="s">
        <v>2162</v>
      </c>
      <c r="C39542" t="s">
        <v>25023</v>
      </c>
      <c r="D39542" s="21" t="s">
        <v>24820</v>
      </c>
      <c r="E39542" s="21" t="s">
        <v>35</v>
      </c>
      <c r="F39542">
        <v>11090002</v>
      </c>
      <c r="G39542" t="s">
        <v>901</v>
      </c>
      <c r="H39542" s="21">
        <v>856.17</v>
      </c>
    </row>
    <row r="39543" spans="1:8" customFormat="1" x14ac:dyDescent="0.25">
      <c r="A39543" t="str">
        <f>"4933929"</f>
        <v>4933929</v>
      </c>
      <c r="B39543" t="s">
        <v>22576</v>
      </c>
      <c r="C39543" t="s">
        <v>25068</v>
      </c>
      <c r="D39543" s="21" t="s">
        <v>24820</v>
      </c>
      <c r="E39543" s="21" t="s">
        <v>35</v>
      </c>
      <c r="F39543">
        <v>12490132</v>
      </c>
      <c r="G39543" t="s">
        <v>1125</v>
      </c>
      <c r="H39543" s="21">
        <v>854.29</v>
      </c>
    </row>
    <row r="39544" spans="1:8" customFormat="1" x14ac:dyDescent="0.25">
      <c r="A39544" t="str">
        <f>"8310581"</f>
        <v>8310581</v>
      </c>
      <c r="B39544" t="s">
        <v>10143</v>
      </c>
      <c r="C39544" t="s">
        <v>25019</v>
      </c>
      <c r="D39544" s="21" t="s">
        <v>24820</v>
      </c>
      <c r="E39544" s="21" t="s">
        <v>35</v>
      </c>
      <c r="F39544">
        <v>13830044</v>
      </c>
      <c r="G39544" t="s">
        <v>945</v>
      </c>
      <c r="H39544" s="21">
        <v>854.17</v>
      </c>
    </row>
    <row r="39545" spans="1:8" customFormat="1" x14ac:dyDescent="0.25">
      <c r="A39545" t="str">
        <f>"5967751"</f>
        <v>5967751</v>
      </c>
      <c r="B39545" t="s">
        <v>25078</v>
      </c>
      <c r="C39545" t="s">
        <v>25053</v>
      </c>
      <c r="D39545" s="21" t="s">
        <v>24820</v>
      </c>
      <c r="E39545" s="21" t="s">
        <v>71</v>
      </c>
      <c r="F39545">
        <v>7590008</v>
      </c>
      <c r="G39545" t="s">
        <v>110</v>
      </c>
      <c r="H39545" s="21">
        <v>853.92</v>
      </c>
    </row>
    <row r="39546" spans="1:8" customFormat="1" x14ac:dyDescent="0.25">
      <c r="A39546" t="str">
        <f>"141356"</f>
        <v>141356</v>
      </c>
      <c r="B39546" t="s">
        <v>25050</v>
      </c>
      <c r="C39546" t="s">
        <v>24884</v>
      </c>
      <c r="D39546" s="21" t="s">
        <v>24820</v>
      </c>
      <c r="E39546" s="21" t="s">
        <v>35</v>
      </c>
      <c r="F39546">
        <v>9140007</v>
      </c>
      <c r="G39546" t="s">
        <v>434</v>
      </c>
      <c r="H39546" s="21">
        <v>853.67</v>
      </c>
    </row>
    <row r="39547" spans="1:8" customFormat="1" x14ac:dyDescent="0.25">
      <c r="A39547" t="str">
        <f>"3418992"</f>
        <v>3418992</v>
      </c>
      <c r="B39547" t="s">
        <v>25060</v>
      </c>
      <c r="C39547" t="s">
        <v>24915</v>
      </c>
      <c r="D39547" s="21" t="s">
        <v>24820</v>
      </c>
      <c r="E39547" s="21" t="s">
        <v>35</v>
      </c>
      <c r="F39547">
        <v>11340007</v>
      </c>
      <c r="G39547" t="s">
        <v>2278</v>
      </c>
      <c r="H39547" s="21">
        <v>853.67</v>
      </c>
    </row>
    <row r="39548" spans="1:8" customFormat="1" x14ac:dyDescent="0.25">
      <c r="A39548" t="str">
        <f>"7827322"</f>
        <v>7827322</v>
      </c>
      <c r="B39548" t="s">
        <v>3958</v>
      </c>
      <c r="C39548" t="s">
        <v>22831</v>
      </c>
      <c r="D39548" s="21" t="s">
        <v>24820</v>
      </c>
      <c r="E39548" s="21" t="s">
        <v>35</v>
      </c>
      <c r="F39548">
        <v>8780568</v>
      </c>
      <c r="G39548" t="s">
        <v>5279</v>
      </c>
      <c r="H39548" s="21">
        <v>853.67</v>
      </c>
    </row>
    <row r="39549" spans="1:8" customFormat="1" x14ac:dyDescent="0.25">
      <c r="A39549" t="str">
        <f>"4441113"</f>
        <v>4441113</v>
      </c>
      <c r="B39549" t="s">
        <v>1954</v>
      </c>
      <c r="C39549" t="s">
        <v>25646</v>
      </c>
      <c r="D39549" s="21" t="s">
        <v>24820</v>
      </c>
      <c r="E39549" s="21" t="s">
        <v>35</v>
      </c>
      <c r="F39549">
        <v>12440136</v>
      </c>
      <c r="G39549" t="s">
        <v>3271</v>
      </c>
      <c r="H39549" s="21">
        <v>850.67</v>
      </c>
    </row>
    <row r="39550" spans="1:8" customFormat="1" x14ac:dyDescent="0.25">
      <c r="A39550" t="str">
        <f>"1412282"</f>
        <v>1412282</v>
      </c>
      <c r="B39550" t="s">
        <v>18698</v>
      </c>
      <c r="C39550" t="s">
        <v>23734</v>
      </c>
      <c r="D39550" s="21" t="s">
        <v>24820</v>
      </c>
      <c r="E39550" s="21" t="s">
        <v>71</v>
      </c>
      <c r="F39550">
        <v>9140060</v>
      </c>
      <c r="G39550" t="s">
        <v>5773</v>
      </c>
      <c r="H39550" s="21">
        <v>848.67</v>
      </c>
    </row>
    <row r="39551" spans="1:8" customFormat="1" x14ac:dyDescent="0.25">
      <c r="A39551" t="str">
        <f>"0618065"</f>
        <v>0618065</v>
      </c>
      <c r="B39551" t="s">
        <v>25427</v>
      </c>
      <c r="C39551" t="s">
        <v>24962</v>
      </c>
      <c r="D39551" s="21" t="s">
        <v>24820</v>
      </c>
      <c r="E39551" s="21" t="s">
        <v>35</v>
      </c>
      <c r="F39551">
        <v>13060102</v>
      </c>
      <c r="G39551" t="s">
        <v>2918</v>
      </c>
      <c r="H39551" s="21">
        <v>848.54</v>
      </c>
    </row>
    <row r="39552" spans="1:8" customFormat="1" x14ac:dyDescent="0.25">
      <c r="A39552" t="str">
        <f>"25300"</f>
        <v>25300</v>
      </c>
      <c r="B39552" t="s">
        <v>2725</v>
      </c>
      <c r="C39552" t="s">
        <v>24988</v>
      </c>
      <c r="D39552" s="21" t="s">
        <v>24820</v>
      </c>
      <c r="E39552" s="21" t="s">
        <v>71</v>
      </c>
      <c r="F39552">
        <v>2250001</v>
      </c>
      <c r="G39552" t="s">
        <v>424</v>
      </c>
      <c r="H39552" s="21">
        <v>847.67</v>
      </c>
    </row>
    <row r="39553" spans="1:8" customFormat="1" x14ac:dyDescent="0.25">
      <c r="A39553" t="str">
        <f>"7816305"</f>
        <v>7816305</v>
      </c>
      <c r="B39553" t="s">
        <v>86</v>
      </c>
      <c r="C39553" t="s">
        <v>22831</v>
      </c>
      <c r="D39553" s="21" t="s">
        <v>24820</v>
      </c>
      <c r="E39553" s="21" t="s">
        <v>71</v>
      </c>
      <c r="F39553">
        <v>8780674</v>
      </c>
      <c r="G39553" t="s">
        <v>26585</v>
      </c>
      <c r="H39553" s="21">
        <v>847.17</v>
      </c>
    </row>
    <row r="39554" spans="1:8" customFormat="1" x14ac:dyDescent="0.25">
      <c r="A39554" t="str">
        <f>"715945"</f>
        <v>715945</v>
      </c>
      <c r="B39554" t="s">
        <v>3212</v>
      </c>
      <c r="C39554" t="s">
        <v>24836</v>
      </c>
      <c r="D39554" s="21" t="s">
        <v>24820</v>
      </c>
      <c r="E39554" s="21" t="s">
        <v>35</v>
      </c>
      <c r="F39554">
        <v>1380236</v>
      </c>
      <c r="G39554" t="s">
        <v>2876</v>
      </c>
      <c r="H39554" s="21">
        <v>846.67</v>
      </c>
    </row>
    <row r="39555" spans="1:8" customFormat="1" x14ac:dyDescent="0.25">
      <c r="A39555" t="str">
        <f>"5618845"</f>
        <v>5618845</v>
      </c>
      <c r="B39555" t="s">
        <v>257</v>
      </c>
      <c r="C39555" t="s">
        <v>25105</v>
      </c>
      <c r="D39555" s="21" t="s">
        <v>24820</v>
      </c>
      <c r="E39555" s="21" t="s">
        <v>35</v>
      </c>
      <c r="F39555" t="s">
        <v>590</v>
      </c>
      <c r="G39555" t="s">
        <v>591</v>
      </c>
      <c r="H39555" s="21">
        <v>846.04</v>
      </c>
    </row>
    <row r="39556" spans="1:8" customFormat="1" x14ac:dyDescent="0.25">
      <c r="A39556" t="str">
        <f>"378062"</f>
        <v>378062</v>
      </c>
      <c r="B39556" t="s">
        <v>25075</v>
      </c>
      <c r="C39556" t="s">
        <v>25076</v>
      </c>
      <c r="D39556" s="21" t="s">
        <v>24820</v>
      </c>
      <c r="E39556" s="21" t="s">
        <v>71</v>
      </c>
      <c r="F39556">
        <v>4370269</v>
      </c>
      <c r="G39556" t="s">
        <v>4277</v>
      </c>
      <c r="H39556" s="21">
        <v>845.17</v>
      </c>
    </row>
    <row r="39557" spans="1:8" customFormat="1" x14ac:dyDescent="0.25">
      <c r="A39557" t="str">
        <f>"5312635"</f>
        <v>5312635</v>
      </c>
      <c r="B39557" t="s">
        <v>14534</v>
      </c>
      <c r="C39557" t="s">
        <v>24833</v>
      </c>
      <c r="D39557" s="21" t="s">
        <v>24820</v>
      </c>
      <c r="E39557" s="21" t="s">
        <v>71</v>
      </c>
      <c r="F39557">
        <v>12530018</v>
      </c>
      <c r="G39557" t="s">
        <v>8768</v>
      </c>
      <c r="H39557" s="21">
        <v>845.04</v>
      </c>
    </row>
    <row r="39558" spans="1:8" customFormat="1" x14ac:dyDescent="0.25">
      <c r="A39558" t="str">
        <f>"274203"</f>
        <v>274203</v>
      </c>
      <c r="B39558" t="s">
        <v>7321</v>
      </c>
      <c r="C39558" t="s">
        <v>24838</v>
      </c>
      <c r="D39558" s="21" t="s">
        <v>24820</v>
      </c>
      <c r="E39558" s="21" t="s">
        <v>35</v>
      </c>
      <c r="F39558">
        <v>9270151</v>
      </c>
      <c r="G39558" t="s">
        <v>626</v>
      </c>
      <c r="H39558" s="21">
        <v>844.67</v>
      </c>
    </row>
    <row r="39559" spans="1:8" customFormat="1" x14ac:dyDescent="0.25">
      <c r="A39559" t="str">
        <f>"5317051"</f>
        <v>5317051</v>
      </c>
      <c r="B39559" t="s">
        <v>25057</v>
      </c>
      <c r="C39559" t="s">
        <v>24838</v>
      </c>
      <c r="D39559" s="21" t="s">
        <v>24820</v>
      </c>
      <c r="E39559" s="21" t="s">
        <v>35</v>
      </c>
      <c r="F39559">
        <v>12530018</v>
      </c>
      <c r="G39559" t="s">
        <v>8768</v>
      </c>
      <c r="H39559" s="21">
        <v>843.29</v>
      </c>
    </row>
    <row r="39560" spans="1:8" customFormat="1" x14ac:dyDescent="0.25">
      <c r="A39560" t="str">
        <f>"348121"</f>
        <v>348121</v>
      </c>
      <c r="B39560" t="s">
        <v>9834</v>
      </c>
      <c r="C39560" t="s">
        <v>24898</v>
      </c>
      <c r="D39560" s="21" t="s">
        <v>24820</v>
      </c>
      <c r="E39560" s="21" t="s">
        <v>71</v>
      </c>
      <c r="F39560">
        <v>11340047</v>
      </c>
      <c r="G39560" t="s">
        <v>4303</v>
      </c>
      <c r="H39560" s="21">
        <v>841.92</v>
      </c>
    </row>
    <row r="39561" spans="1:8" customFormat="1" x14ac:dyDescent="0.25">
      <c r="A39561" t="str">
        <f>"08580"</f>
        <v>08580</v>
      </c>
      <c r="B39561" t="s">
        <v>8671</v>
      </c>
      <c r="C39561" t="s">
        <v>263</v>
      </c>
      <c r="D39561" s="21" t="s">
        <v>24820</v>
      </c>
      <c r="E39561" s="21" t="s">
        <v>254</v>
      </c>
      <c r="F39561">
        <v>6080035</v>
      </c>
      <c r="G39561" t="s">
        <v>583</v>
      </c>
      <c r="H39561" s="21">
        <v>841.67</v>
      </c>
    </row>
    <row r="39562" spans="1:8" customFormat="1" x14ac:dyDescent="0.25">
      <c r="A39562" t="str">
        <f>"78510"</f>
        <v>78510</v>
      </c>
      <c r="B39562" t="s">
        <v>12051</v>
      </c>
      <c r="C39562" t="s">
        <v>24897</v>
      </c>
      <c r="D39562" s="21" t="s">
        <v>24820</v>
      </c>
      <c r="E39562" s="21" t="s">
        <v>71</v>
      </c>
      <c r="F39562">
        <v>8780627</v>
      </c>
      <c r="G39562" t="s">
        <v>6097</v>
      </c>
      <c r="H39562" s="21">
        <v>840.42</v>
      </c>
    </row>
    <row r="39563" spans="1:8" customFormat="1" x14ac:dyDescent="0.25">
      <c r="A39563" t="str">
        <f>"9222272"</f>
        <v>9222272</v>
      </c>
      <c r="B39563" t="s">
        <v>11497</v>
      </c>
      <c r="C39563" t="s">
        <v>25053</v>
      </c>
      <c r="D39563" s="21" t="s">
        <v>24820</v>
      </c>
      <c r="E39563" s="21" t="s">
        <v>35</v>
      </c>
      <c r="F39563">
        <v>9270077</v>
      </c>
      <c r="G39563" t="s">
        <v>3228</v>
      </c>
      <c r="H39563" s="21">
        <v>839.67</v>
      </c>
    </row>
    <row r="39564" spans="1:8" customFormat="1" x14ac:dyDescent="0.25">
      <c r="A39564" t="str">
        <f>"7249"</f>
        <v>7249</v>
      </c>
      <c r="B39564" t="s">
        <v>25061</v>
      </c>
      <c r="C39564" t="s">
        <v>24962</v>
      </c>
      <c r="D39564" s="21" t="s">
        <v>24820</v>
      </c>
      <c r="E39564" s="21" t="s">
        <v>71</v>
      </c>
      <c r="F39564">
        <v>12720104</v>
      </c>
      <c r="G39564" t="s">
        <v>224</v>
      </c>
      <c r="H39564" s="21">
        <v>838.17</v>
      </c>
    </row>
    <row r="39565" spans="1:8" customFormat="1" x14ac:dyDescent="0.25">
      <c r="A39565" t="str">
        <f>"612795"</f>
        <v>612795</v>
      </c>
      <c r="B39565" t="s">
        <v>3646</v>
      </c>
      <c r="C39565" t="s">
        <v>24890</v>
      </c>
      <c r="D39565" s="21" t="s">
        <v>24820</v>
      </c>
      <c r="E39565" s="21" t="s">
        <v>71</v>
      </c>
      <c r="F39565">
        <v>6670027</v>
      </c>
      <c r="G39565" t="s">
        <v>2791</v>
      </c>
      <c r="H39565" s="21">
        <v>837.67</v>
      </c>
    </row>
    <row r="39566" spans="1:8" customFormat="1" x14ac:dyDescent="0.25">
      <c r="A39566" t="str">
        <f>"3338855"</f>
        <v>3338855</v>
      </c>
      <c r="B39566" t="s">
        <v>25065</v>
      </c>
      <c r="C39566" t="s">
        <v>24889</v>
      </c>
      <c r="D39566" s="21" t="s">
        <v>24820</v>
      </c>
      <c r="E39566" s="21" t="s">
        <v>71</v>
      </c>
      <c r="F39566">
        <v>10330050</v>
      </c>
      <c r="G39566" t="s">
        <v>2488</v>
      </c>
      <c r="H39566" s="21">
        <v>837.42</v>
      </c>
    </row>
    <row r="39567" spans="1:8" customFormat="1" x14ac:dyDescent="0.25">
      <c r="A39567" t="str">
        <f>"7510403"</f>
        <v>7510403</v>
      </c>
      <c r="B39567" t="s">
        <v>25095</v>
      </c>
      <c r="C39567" t="s">
        <v>24962</v>
      </c>
      <c r="D39567" s="21" t="s">
        <v>24820</v>
      </c>
      <c r="E39567" s="21" t="s">
        <v>35</v>
      </c>
      <c r="F39567">
        <v>8750141</v>
      </c>
      <c r="G39567" t="s">
        <v>1514</v>
      </c>
      <c r="H39567" s="21">
        <v>837.17</v>
      </c>
    </row>
    <row r="39568" spans="1:8" customFormat="1" x14ac:dyDescent="0.25">
      <c r="A39568" t="str">
        <f>"252490"</f>
        <v>252490</v>
      </c>
      <c r="B39568" t="s">
        <v>6145</v>
      </c>
      <c r="C39568" t="s">
        <v>24932</v>
      </c>
      <c r="D39568" s="21" t="s">
        <v>24820</v>
      </c>
      <c r="E39568" s="21" t="s">
        <v>71</v>
      </c>
      <c r="F39568">
        <v>2250125</v>
      </c>
      <c r="G39568" t="s">
        <v>26911</v>
      </c>
      <c r="H39568" s="21">
        <v>835.67</v>
      </c>
    </row>
    <row r="39569" spans="1:8" customFormat="1" x14ac:dyDescent="0.25">
      <c r="A39569" t="str">
        <f>"903132"</f>
        <v>903132</v>
      </c>
      <c r="B39569" t="s">
        <v>4832</v>
      </c>
      <c r="C39569" t="s">
        <v>25088</v>
      </c>
      <c r="D39569" s="21" t="s">
        <v>24820</v>
      </c>
      <c r="E39569" s="21" t="s">
        <v>254</v>
      </c>
      <c r="F39569">
        <v>2900028</v>
      </c>
      <c r="G39569" t="s">
        <v>1541</v>
      </c>
      <c r="H39569" s="21">
        <v>835.42</v>
      </c>
    </row>
    <row r="39570" spans="1:8" customFormat="1" x14ac:dyDescent="0.25">
      <c r="A39570" t="str">
        <f>"193924"</f>
        <v>193924</v>
      </c>
      <c r="B39570" t="s">
        <v>22503</v>
      </c>
      <c r="C39570" t="s">
        <v>24988</v>
      </c>
      <c r="D39570" s="21" t="s">
        <v>24820</v>
      </c>
      <c r="E39570" s="21" t="s">
        <v>35</v>
      </c>
      <c r="F39570">
        <v>10190073</v>
      </c>
      <c r="G39570" t="s">
        <v>2366</v>
      </c>
      <c r="H39570" s="21">
        <v>835.17</v>
      </c>
    </row>
    <row r="39571" spans="1:8" customFormat="1" x14ac:dyDescent="0.25">
      <c r="A39571" t="str">
        <f>"9125601"</f>
        <v>9125601</v>
      </c>
      <c r="B39571" t="s">
        <v>1451</v>
      </c>
      <c r="C39571" t="s">
        <v>25092</v>
      </c>
      <c r="D39571" s="21" t="s">
        <v>24820</v>
      </c>
      <c r="E39571" s="21" t="s">
        <v>254</v>
      </c>
      <c r="F39571">
        <v>8911285</v>
      </c>
      <c r="G39571" t="s">
        <v>2396</v>
      </c>
      <c r="H39571" s="21">
        <v>835.04</v>
      </c>
    </row>
    <row r="39572" spans="1:8" customFormat="1" x14ac:dyDescent="0.25">
      <c r="A39572" t="str">
        <f>"756457"</f>
        <v>756457</v>
      </c>
      <c r="B39572" t="s">
        <v>22675</v>
      </c>
      <c r="C39572" t="s">
        <v>24686</v>
      </c>
      <c r="D39572" s="21" t="s">
        <v>24820</v>
      </c>
      <c r="E39572" s="21" t="s">
        <v>254</v>
      </c>
      <c r="F39572">
        <v>1630005</v>
      </c>
      <c r="G39572" t="s">
        <v>8825</v>
      </c>
      <c r="H39572" s="21">
        <v>834.79</v>
      </c>
    </row>
    <row r="39573" spans="1:8" customFormat="1" x14ac:dyDescent="0.25">
      <c r="A39573" t="str">
        <f>"34126"</f>
        <v>34126</v>
      </c>
      <c r="B39573" t="s">
        <v>4948</v>
      </c>
      <c r="C39573" t="s">
        <v>24897</v>
      </c>
      <c r="D39573" s="21" t="s">
        <v>24820</v>
      </c>
      <c r="E39573" s="21" t="s">
        <v>254</v>
      </c>
      <c r="F39573">
        <v>11340008</v>
      </c>
      <c r="G39573" t="s">
        <v>312</v>
      </c>
      <c r="H39573" s="21">
        <v>834.67</v>
      </c>
    </row>
    <row r="39574" spans="1:8" customFormat="1" x14ac:dyDescent="0.25">
      <c r="A39574" t="str">
        <f>"4512670"</f>
        <v>4512670</v>
      </c>
      <c r="B39574" t="s">
        <v>21120</v>
      </c>
      <c r="C39574" t="s">
        <v>25064</v>
      </c>
      <c r="D39574" s="21" t="s">
        <v>24820</v>
      </c>
      <c r="E39574" s="21" t="s">
        <v>35</v>
      </c>
      <c r="F39574">
        <v>4450702</v>
      </c>
      <c r="G39574" t="s">
        <v>1772</v>
      </c>
      <c r="H39574" s="21">
        <v>834.42</v>
      </c>
    </row>
    <row r="39575" spans="1:8" customFormat="1" x14ac:dyDescent="0.25">
      <c r="A39575" t="str">
        <f>"851048"</f>
        <v>851048</v>
      </c>
      <c r="B39575" t="s">
        <v>25046</v>
      </c>
      <c r="C39575" t="s">
        <v>25047</v>
      </c>
      <c r="D39575" s="21" t="s">
        <v>24820</v>
      </c>
      <c r="E39575" s="21" t="s">
        <v>35</v>
      </c>
      <c r="F39575">
        <v>12850030</v>
      </c>
      <c r="G39575" t="s">
        <v>5078</v>
      </c>
      <c r="H39575" s="21">
        <v>834.17</v>
      </c>
    </row>
    <row r="39576" spans="1:8" customFormat="1" x14ac:dyDescent="0.25">
      <c r="A39576" t="str">
        <f>"5111041"</f>
        <v>5111041</v>
      </c>
      <c r="B39576" t="s">
        <v>22131</v>
      </c>
      <c r="C39576" t="s">
        <v>24857</v>
      </c>
      <c r="D39576" s="21" t="s">
        <v>24820</v>
      </c>
      <c r="E39576" s="21" t="s">
        <v>35</v>
      </c>
      <c r="F39576">
        <v>6510020</v>
      </c>
      <c r="G39576" t="s">
        <v>3013</v>
      </c>
      <c r="H39576" s="21">
        <v>833.92</v>
      </c>
    </row>
    <row r="39577" spans="1:8" customFormat="1" x14ac:dyDescent="0.25">
      <c r="A39577" t="str">
        <f>"687406"</f>
        <v>687406</v>
      </c>
      <c r="B39577" t="s">
        <v>23568</v>
      </c>
      <c r="C39577" t="s">
        <v>22831</v>
      </c>
      <c r="D39577" s="21" t="s">
        <v>24820</v>
      </c>
      <c r="E39577" s="21" t="s">
        <v>254</v>
      </c>
      <c r="F39577">
        <v>6680091</v>
      </c>
      <c r="G39577" t="s">
        <v>693</v>
      </c>
      <c r="H39577" s="21">
        <v>833.67</v>
      </c>
    </row>
    <row r="39578" spans="1:8" customFormat="1" x14ac:dyDescent="0.25">
      <c r="A39578" t="str">
        <f>"5110427"</f>
        <v>5110427</v>
      </c>
      <c r="B39578" t="s">
        <v>22239</v>
      </c>
      <c r="C39578" t="s">
        <v>29744</v>
      </c>
      <c r="D39578" s="21" t="s">
        <v>24820</v>
      </c>
      <c r="E39578" s="21" t="s">
        <v>35</v>
      </c>
      <c r="F39578">
        <v>6510053</v>
      </c>
      <c r="G39578" t="s">
        <v>27203</v>
      </c>
      <c r="H39578" s="21">
        <v>833.17</v>
      </c>
    </row>
    <row r="39579" spans="1:8" customFormat="1" x14ac:dyDescent="0.25">
      <c r="A39579" t="str">
        <f>"88711"</f>
        <v>88711</v>
      </c>
      <c r="B39579" t="s">
        <v>25087</v>
      </c>
      <c r="C39579" t="s">
        <v>23966</v>
      </c>
      <c r="D39579" s="21" t="s">
        <v>24820</v>
      </c>
      <c r="E39579" s="21" t="s">
        <v>71</v>
      </c>
      <c r="F39579">
        <v>6880145</v>
      </c>
      <c r="G39579" t="s">
        <v>1303</v>
      </c>
      <c r="H39579" s="21">
        <v>832.67</v>
      </c>
    </row>
    <row r="39580" spans="1:8" customFormat="1" x14ac:dyDescent="0.25">
      <c r="A39580" t="str">
        <f>"54346"</f>
        <v>54346</v>
      </c>
      <c r="B39580" t="s">
        <v>25090</v>
      </c>
      <c r="C39580" t="s">
        <v>24869</v>
      </c>
      <c r="D39580" s="21" t="s">
        <v>24820</v>
      </c>
      <c r="E39580" s="21" t="s">
        <v>71</v>
      </c>
      <c r="F39580">
        <v>1260026</v>
      </c>
      <c r="G39580" t="s">
        <v>516</v>
      </c>
      <c r="H39580" s="21">
        <v>832.17</v>
      </c>
    </row>
    <row r="39581" spans="1:8" customFormat="1" x14ac:dyDescent="0.25">
      <c r="A39581" t="str">
        <f>"8011031"</f>
        <v>8011031</v>
      </c>
      <c r="B39581" t="s">
        <v>4300</v>
      </c>
      <c r="C39581" t="s">
        <v>24902</v>
      </c>
      <c r="D39581" s="21" t="s">
        <v>24820</v>
      </c>
      <c r="E39581" s="21" t="s">
        <v>71</v>
      </c>
      <c r="F39581">
        <v>7800126</v>
      </c>
      <c r="G39581" t="s">
        <v>1105</v>
      </c>
      <c r="H39581" s="21">
        <v>831.92</v>
      </c>
    </row>
    <row r="39582" spans="1:8" customFormat="1" x14ac:dyDescent="0.25">
      <c r="A39582" t="str">
        <f>"9224844"</f>
        <v>9224844</v>
      </c>
      <c r="B39582" t="s">
        <v>4051</v>
      </c>
      <c r="C39582" t="s">
        <v>24947</v>
      </c>
      <c r="D39582" s="21" t="s">
        <v>24820</v>
      </c>
      <c r="E39582" s="21" t="s">
        <v>35</v>
      </c>
      <c r="F39582">
        <v>8920031</v>
      </c>
      <c r="G39582" t="s">
        <v>552</v>
      </c>
      <c r="H39582" s="21">
        <v>831.67</v>
      </c>
    </row>
    <row r="39583" spans="1:8" customFormat="1" x14ac:dyDescent="0.25">
      <c r="A39583" t="str">
        <f>"6314647"</f>
        <v>6314647</v>
      </c>
      <c r="B39583" t="s">
        <v>25142</v>
      </c>
      <c r="C39583" t="s">
        <v>24867</v>
      </c>
      <c r="D39583" s="21" t="s">
        <v>24820</v>
      </c>
      <c r="E39583" s="21" t="s">
        <v>35</v>
      </c>
      <c r="F39583">
        <v>1630185</v>
      </c>
      <c r="G39583" t="s">
        <v>858</v>
      </c>
      <c r="H39583" s="21">
        <v>831.42</v>
      </c>
    </row>
    <row r="39584" spans="1:8" customFormat="1" x14ac:dyDescent="0.25">
      <c r="A39584" t="str">
        <f>"7214813"</f>
        <v>7214813</v>
      </c>
      <c r="B39584" t="s">
        <v>7877</v>
      </c>
      <c r="C39584" t="s">
        <v>24958</v>
      </c>
      <c r="D39584" s="21" t="s">
        <v>24820</v>
      </c>
      <c r="E39584" s="21" t="s">
        <v>35</v>
      </c>
      <c r="F39584">
        <v>12720005</v>
      </c>
      <c r="G39584" t="s">
        <v>999</v>
      </c>
      <c r="H39584" s="21">
        <v>831.17</v>
      </c>
    </row>
    <row r="39585" spans="1:8" customFormat="1" x14ac:dyDescent="0.25">
      <c r="A39585" t="str">
        <f>"193116"</f>
        <v>193116</v>
      </c>
      <c r="B39585" t="s">
        <v>25063</v>
      </c>
      <c r="C39585" t="s">
        <v>24883</v>
      </c>
      <c r="D39585" s="21" t="s">
        <v>24820</v>
      </c>
      <c r="E39585" s="21" t="s">
        <v>35</v>
      </c>
      <c r="F39585">
        <v>10190043</v>
      </c>
      <c r="G39585" t="s">
        <v>10703</v>
      </c>
      <c r="H39585" s="21">
        <v>830.67</v>
      </c>
    </row>
    <row r="39586" spans="1:8" customFormat="1" x14ac:dyDescent="0.25">
      <c r="A39586" t="str">
        <f>"102036"</f>
        <v>102036</v>
      </c>
      <c r="B39586" t="s">
        <v>5728</v>
      </c>
      <c r="C39586" t="s">
        <v>24962</v>
      </c>
      <c r="D39586" s="21" t="s">
        <v>24820</v>
      </c>
      <c r="E39586" s="21" t="s">
        <v>71</v>
      </c>
      <c r="F39586">
        <v>2210029</v>
      </c>
      <c r="G39586" t="s">
        <v>6983</v>
      </c>
      <c r="H39586" s="21">
        <v>830.17</v>
      </c>
    </row>
    <row r="39587" spans="1:8" customFormat="1" x14ac:dyDescent="0.25">
      <c r="A39587" t="str">
        <f>"5421091"</f>
        <v>5421091</v>
      </c>
      <c r="B39587" t="s">
        <v>25052</v>
      </c>
      <c r="C39587" t="s">
        <v>24958</v>
      </c>
      <c r="D39587" s="21" t="s">
        <v>24820</v>
      </c>
      <c r="E39587" s="21" t="s">
        <v>71</v>
      </c>
      <c r="F39587">
        <v>6540016</v>
      </c>
      <c r="G39587" t="s">
        <v>14523</v>
      </c>
      <c r="H39587" s="21">
        <v>828.67</v>
      </c>
    </row>
    <row r="39588" spans="1:8" customFormat="1" x14ac:dyDescent="0.25">
      <c r="A39588" t="str">
        <f>"3712147"</f>
        <v>3712147</v>
      </c>
      <c r="B39588" t="s">
        <v>15042</v>
      </c>
      <c r="C39588" t="s">
        <v>24904</v>
      </c>
      <c r="D39588" s="21" t="s">
        <v>24820</v>
      </c>
      <c r="E39588" s="21" t="s">
        <v>35</v>
      </c>
      <c r="F39588">
        <v>4370349</v>
      </c>
      <c r="G39588" t="s">
        <v>2287</v>
      </c>
      <c r="H39588" s="21">
        <v>828.67</v>
      </c>
    </row>
    <row r="39589" spans="1:8" customFormat="1" x14ac:dyDescent="0.25">
      <c r="A39589" t="str">
        <f>"5414483"</f>
        <v>5414483</v>
      </c>
      <c r="B39589" t="s">
        <v>597</v>
      </c>
      <c r="C39589" t="s">
        <v>25145</v>
      </c>
      <c r="D39589" s="21" t="s">
        <v>24820</v>
      </c>
      <c r="E39589" s="21" t="s">
        <v>35</v>
      </c>
      <c r="F39589">
        <v>6540032</v>
      </c>
      <c r="G39589" t="s">
        <v>63</v>
      </c>
      <c r="H39589" s="21">
        <v>828.17</v>
      </c>
    </row>
    <row r="39590" spans="1:8" customFormat="1" x14ac:dyDescent="0.25">
      <c r="A39590" t="str">
        <f>"7511555"</f>
        <v>7511555</v>
      </c>
      <c r="B39590" t="s">
        <v>5724</v>
      </c>
      <c r="C39590" t="s">
        <v>24854</v>
      </c>
      <c r="D39590" s="21" t="s">
        <v>24820</v>
      </c>
      <c r="E39590" s="21" t="s">
        <v>71</v>
      </c>
      <c r="F39590">
        <v>8771518</v>
      </c>
      <c r="G39590" t="s">
        <v>12274</v>
      </c>
      <c r="H39590" s="21">
        <v>828.17</v>
      </c>
    </row>
    <row r="39591" spans="1:8" customFormat="1" x14ac:dyDescent="0.25">
      <c r="A39591" t="str">
        <f>"69296"</f>
        <v>69296</v>
      </c>
      <c r="B39591" t="s">
        <v>9834</v>
      </c>
      <c r="C39591" t="s">
        <v>25122</v>
      </c>
      <c r="D39591" s="21" t="s">
        <v>24820</v>
      </c>
      <c r="E39591" s="21" t="s">
        <v>254</v>
      </c>
      <c r="F39591">
        <v>1690006</v>
      </c>
      <c r="G39591" t="s">
        <v>2543</v>
      </c>
      <c r="H39591" s="21">
        <v>827.67</v>
      </c>
    </row>
    <row r="39592" spans="1:8" customFormat="1" x14ac:dyDescent="0.25">
      <c r="A39592" t="str">
        <f>"2712239"</f>
        <v>2712239</v>
      </c>
      <c r="B39592" t="s">
        <v>9354</v>
      </c>
      <c r="C39592" t="s">
        <v>24897</v>
      </c>
      <c r="D39592" s="21" t="s">
        <v>24820</v>
      </c>
      <c r="E39592" s="21" t="s">
        <v>71</v>
      </c>
      <c r="F39592">
        <v>9270063</v>
      </c>
      <c r="G39592" t="s">
        <v>808</v>
      </c>
      <c r="H39592" s="21">
        <v>827.42</v>
      </c>
    </row>
    <row r="39593" spans="1:8" customFormat="1" x14ac:dyDescent="0.25">
      <c r="A39593" t="str">
        <f>"8522466"</f>
        <v>8522466</v>
      </c>
      <c r="B39593" t="s">
        <v>19158</v>
      </c>
      <c r="C39593" t="s">
        <v>24840</v>
      </c>
      <c r="D39593" s="21" t="s">
        <v>24820</v>
      </c>
      <c r="E39593" s="21" t="s">
        <v>254</v>
      </c>
      <c r="F39593">
        <v>12850008</v>
      </c>
      <c r="G39593" t="s">
        <v>4248</v>
      </c>
      <c r="H39593" s="21">
        <v>826.67</v>
      </c>
    </row>
    <row r="39594" spans="1:8" customFormat="1" x14ac:dyDescent="0.25">
      <c r="A39594" t="str">
        <f>"543007"</f>
        <v>543007</v>
      </c>
      <c r="B39594" t="s">
        <v>9194</v>
      </c>
      <c r="C39594" t="s">
        <v>23734</v>
      </c>
      <c r="D39594" s="21" t="s">
        <v>24820</v>
      </c>
      <c r="E39594" s="21" t="s">
        <v>35</v>
      </c>
      <c r="F39594">
        <v>6540040</v>
      </c>
      <c r="G39594" t="s">
        <v>256</v>
      </c>
      <c r="H39594" s="21">
        <v>825.67</v>
      </c>
    </row>
    <row r="39595" spans="1:8" customFormat="1" x14ac:dyDescent="0.25">
      <c r="A39595" t="str">
        <f>"7838457"</f>
        <v>7838457</v>
      </c>
      <c r="B39595" t="s">
        <v>5155</v>
      </c>
      <c r="C39595" t="s">
        <v>24865</v>
      </c>
      <c r="D39595" s="21" t="s">
        <v>24820</v>
      </c>
      <c r="E39595" s="21" t="s">
        <v>35</v>
      </c>
      <c r="F39595">
        <v>8780353</v>
      </c>
      <c r="G39595" t="s">
        <v>6524</v>
      </c>
      <c r="H39595" s="21">
        <v>825.67</v>
      </c>
    </row>
    <row r="39596" spans="1:8" customFormat="1" x14ac:dyDescent="0.25">
      <c r="A39596" t="str">
        <f>"7619890"</f>
        <v>7619890</v>
      </c>
      <c r="B39596" t="s">
        <v>11344</v>
      </c>
      <c r="C39596" t="s">
        <v>25073</v>
      </c>
      <c r="D39596" s="21" t="s">
        <v>24820</v>
      </c>
      <c r="E39596" s="21" t="s">
        <v>71</v>
      </c>
      <c r="F39596">
        <v>9760448</v>
      </c>
      <c r="G39596" t="s">
        <v>11345</v>
      </c>
      <c r="H39596" s="21">
        <v>825.67</v>
      </c>
    </row>
    <row r="39597" spans="1:8" customFormat="1" x14ac:dyDescent="0.25">
      <c r="A39597" t="str">
        <f>"3662"</f>
        <v>3662</v>
      </c>
      <c r="B39597" t="s">
        <v>948</v>
      </c>
      <c r="C39597" t="s">
        <v>24898</v>
      </c>
      <c r="D39597" s="21" t="s">
        <v>24820</v>
      </c>
      <c r="E39597" s="21" t="s">
        <v>254</v>
      </c>
      <c r="F39597">
        <v>4360002</v>
      </c>
      <c r="G39597" t="s">
        <v>222</v>
      </c>
      <c r="H39597" s="21">
        <v>823.92</v>
      </c>
    </row>
    <row r="39598" spans="1:8" customFormat="1" x14ac:dyDescent="0.25">
      <c r="A39598" t="str">
        <f>"2919270"</f>
        <v>2919270</v>
      </c>
      <c r="B39598" t="s">
        <v>25085</v>
      </c>
      <c r="C39598" t="s">
        <v>25086</v>
      </c>
      <c r="D39598" s="21" t="s">
        <v>24820</v>
      </c>
      <c r="E39598" s="21" t="s">
        <v>71</v>
      </c>
      <c r="F39598">
        <v>3290223</v>
      </c>
      <c r="G39598" t="s">
        <v>2636</v>
      </c>
      <c r="H39598" s="21">
        <v>823.67</v>
      </c>
    </row>
    <row r="39599" spans="1:8" customFormat="1" x14ac:dyDescent="0.25">
      <c r="A39599" t="str">
        <f>"8813479"</f>
        <v>8813479</v>
      </c>
      <c r="B39599" t="s">
        <v>18059</v>
      </c>
      <c r="C39599" t="s">
        <v>24932</v>
      </c>
      <c r="D39599" s="21" t="s">
        <v>24820</v>
      </c>
      <c r="E39599" s="21" t="s">
        <v>35</v>
      </c>
      <c r="F39599">
        <v>6880086</v>
      </c>
      <c r="G39599" t="s">
        <v>3245</v>
      </c>
      <c r="H39599" s="21">
        <v>823.29</v>
      </c>
    </row>
    <row r="39600" spans="1:8" customFormat="1" x14ac:dyDescent="0.25">
      <c r="A39600" t="str">
        <f>"1414839"</f>
        <v>1414839</v>
      </c>
      <c r="B39600" t="s">
        <v>25070</v>
      </c>
      <c r="C39600" t="s">
        <v>24897</v>
      </c>
      <c r="D39600" s="21" t="s">
        <v>24820</v>
      </c>
      <c r="E39600" s="21" t="s">
        <v>71</v>
      </c>
      <c r="F39600">
        <v>9140052</v>
      </c>
      <c r="G39600" t="s">
        <v>26563</v>
      </c>
      <c r="H39600" s="21">
        <v>823.17</v>
      </c>
    </row>
    <row r="39601" spans="1:8" customFormat="1" x14ac:dyDescent="0.25">
      <c r="A39601" t="str">
        <f>"3721953"</f>
        <v>3721953</v>
      </c>
      <c r="B39601" t="s">
        <v>509</v>
      </c>
      <c r="C39601" t="s">
        <v>25292</v>
      </c>
      <c r="D39601" s="21" t="s">
        <v>24820</v>
      </c>
      <c r="E39601" s="21" t="s">
        <v>35</v>
      </c>
      <c r="F39601">
        <v>4370669</v>
      </c>
      <c r="G39601" t="s">
        <v>8189</v>
      </c>
      <c r="H39601" s="21">
        <v>822.92</v>
      </c>
    </row>
    <row r="39602" spans="1:8" customFormat="1" x14ac:dyDescent="0.25">
      <c r="A39602" t="str">
        <f>"5013863"</f>
        <v>5013863</v>
      </c>
      <c r="B39602" t="s">
        <v>25072</v>
      </c>
      <c r="C39602" t="s">
        <v>24831</v>
      </c>
      <c r="D39602" s="21" t="s">
        <v>24820</v>
      </c>
      <c r="E39602" s="21" t="s">
        <v>71</v>
      </c>
      <c r="F39602">
        <v>9500111</v>
      </c>
      <c r="G39602" t="s">
        <v>6591</v>
      </c>
      <c r="H39602" s="21">
        <v>821.67</v>
      </c>
    </row>
    <row r="39603" spans="1:8" customFormat="1" x14ac:dyDescent="0.25">
      <c r="A39603" t="str">
        <f>"043533"</f>
        <v>043533</v>
      </c>
      <c r="B39603" t="s">
        <v>25116</v>
      </c>
      <c r="C39603" t="s">
        <v>22831</v>
      </c>
      <c r="D39603" s="21" t="s">
        <v>24820</v>
      </c>
      <c r="E39603" s="21" t="s">
        <v>35</v>
      </c>
      <c r="F39603">
        <v>13040025</v>
      </c>
      <c r="G39603" t="s">
        <v>6715</v>
      </c>
      <c r="H39603" s="21">
        <v>820.67</v>
      </c>
    </row>
    <row r="39604" spans="1:8" customFormat="1" x14ac:dyDescent="0.25">
      <c r="A39604" t="str">
        <f>"944839"</f>
        <v>944839</v>
      </c>
      <c r="B39604" t="s">
        <v>24981</v>
      </c>
      <c r="C39604" t="s">
        <v>24909</v>
      </c>
      <c r="D39604" s="21" t="s">
        <v>24820</v>
      </c>
      <c r="E39604" s="21" t="s">
        <v>1089</v>
      </c>
      <c r="F39604">
        <v>8940524</v>
      </c>
      <c r="G39604" t="s">
        <v>6176</v>
      </c>
      <c r="H39604" s="21">
        <v>820.42</v>
      </c>
    </row>
    <row r="39605" spans="1:8" customFormat="1" x14ac:dyDescent="0.25">
      <c r="A39605" t="str">
        <f>"381554"</f>
        <v>381554</v>
      </c>
      <c r="B39605" t="s">
        <v>2313</v>
      </c>
      <c r="C39605" t="s">
        <v>20620</v>
      </c>
      <c r="D39605" s="21" t="s">
        <v>24820</v>
      </c>
      <c r="E39605" s="21" t="s">
        <v>254</v>
      </c>
      <c r="F39605">
        <v>1380284</v>
      </c>
      <c r="G39605" t="s">
        <v>300</v>
      </c>
      <c r="H39605" s="21">
        <v>820.17</v>
      </c>
    </row>
    <row r="39606" spans="1:8" customFormat="1" x14ac:dyDescent="0.25">
      <c r="A39606" t="str">
        <f>"288047"</f>
        <v>288047</v>
      </c>
      <c r="B39606" t="s">
        <v>10193</v>
      </c>
      <c r="C39606" t="s">
        <v>24937</v>
      </c>
      <c r="D39606" s="21" t="s">
        <v>24820</v>
      </c>
      <c r="E39606" s="21" t="s">
        <v>35</v>
      </c>
      <c r="F39606">
        <v>13060005</v>
      </c>
      <c r="G39606" t="s">
        <v>3609</v>
      </c>
      <c r="H39606" s="21">
        <v>820.17</v>
      </c>
    </row>
    <row r="39607" spans="1:8" customFormat="1" x14ac:dyDescent="0.25">
      <c r="A39607" t="str">
        <f>"5016290"</f>
        <v>5016290</v>
      </c>
      <c r="B39607" t="s">
        <v>8944</v>
      </c>
      <c r="C39607" t="s">
        <v>24958</v>
      </c>
      <c r="D39607" s="21" t="s">
        <v>24820</v>
      </c>
      <c r="E39607" s="21" t="s">
        <v>35</v>
      </c>
      <c r="F39607">
        <v>9500157</v>
      </c>
      <c r="G39607" t="s">
        <v>5074</v>
      </c>
      <c r="H39607" s="21">
        <v>819.92</v>
      </c>
    </row>
    <row r="39608" spans="1:8" customFormat="1" x14ac:dyDescent="0.25">
      <c r="A39608" t="str">
        <f>"6221364"</f>
        <v>6221364</v>
      </c>
      <c r="B39608" t="s">
        <v>25115</v>
      </c>
      <c r="C39608" t="s">
        <v>24833</v>
      </c>
      <c r="D39608" s="21" t="s">
        <v>24820</v>
      </c>
      <c r="E39608" s="21" t="s">
        <v>71</v>
      </c>
      <c r="F39608">
        <v>7620130</v>
      </c>
      <c r="G39608" t="s">
        <v>4386</v>
      </c>
      <c r="H39608" s="21">
        <v>819.79</v>
      </c>
    </row>
    <row r="39609" spans="1:8" customFormat="1" x14ac:dyDescent="0.25">
      <c r="A39609" t="str">
        <f>"4417456"</f>
        <v>4417456</v>
      </c>
      <c r="B39609" t="s">
        <v>25058</v>
      </c>
      <c r="C39609" t="s">
        <v>24865</v>
      </c>
      <c r="D39609" s="21" t="s">
        <v>24820</v>
      </c>
      <c r="E39609" s="21" t="s">
        <v>254</v>
      </c>
      <c r="F39609">
        <v>12440048</v>
      </c>
      <c r="G39609" t="s">
        <v>2090</v>
      </c>
      <c r="H39609" s="21">
        <v>819.67</v>
      </c>
    </row>
    <row r="39610" spans="1:8" customFormat="1" x14ac:dyDescent="0.25">
      <c r="A39610" t="str">
        <f>"3713823"</f>
        <v>3713823</v>
      </c>
      <c r="B39610" t="s">
        <v>11222</v>
      </c>
      <c r="C39610" t="s">
        <v>24828</v>
      </c>
      <c r="D39610" s="21" t="s">
        <v>24820</v>
      </c>
      <c r="E39610" s="21" t="s">
        <v>35</v>
      </c>
      <c r="F39610">
        <v>4370615</v>
      </c>
      <c r="G39610" t="s">
        <v>7437</v>
      </c>
      <c r="H39610" s="21">
        <v>818.67</v>
      </c>
    </row>
    <row r="39611" spans="1:8" customFormat="1" x14ac:dyDescent="0.25">
      <c r="A39611" t="str">
        <f>"5016895"</f>
        <v>5016895</v>
      </c>
      <c r="B39611" t="s">
        <v>25111</v>
      </c>
      <c r="C39611" t="s">
        <v>24897</v>
      </c>
      <c r="D39611" s="21" t="s">
        <v>24820</v>
      </c>
      <c r="E39611" s="21" t="s">
        <v>35</v>
      </c>
      <c r="F39611">
        <v>9500143</v>
      </c>
      <c r="G39611" t="s">
        <v>2884</v>
      </c>
      <c r="H39611" s="21">
        <v>818.67</v>
      </c>
    </row>
    <row r="39612" spans="1:8" customFormat="1" x14ac:dyDescent="0.25">
      <c r="A39612" t="str">
        <f>"905240"</f>
        <v>905240</v>
      </c>
      <c r="B39612" t="s">
        <v>1490</v>
      </c>
      <c r="C39612" t="s">
        <v>24958</v>
      </c>
      <c r="D39612" s="21" t="s">
        <v>24820</v>
      </c>
      <c r="E39612" s="21" t="s">
        <v>35</v>
      </c>
      <c r="F39612">
        <v>2900030</v>
      </c>
      <c r="G39612" t="s">
        <v>10237</v>
      </c>
      <c r="H39612" s="21">
        <v>815.67</v>
      </c>
    </row>
    <row r="39613" spans="1:8" customFormat="1" x14ac:dyDescent="0.25">
      <c r="A39613" t="str">
        <f>"7222328"</f>
        <v>7222328</v>
      </c>
      <c r="B39613" t="s">
        <v>25286</v>
      </c>
      <c r="C39613" t="s">
        <v>24958</v>
      </c>
      <c r="D39613" s="21" t="s">
        <v>24820</v>
      </c>
      <c r="E39613" s="21" t="s">
        <v>35</v>
      </c>
      <c r="F39613">
        <v>12720020</v>
      </c>
      <c r="G39613" t="s">
        <v>8402</v>
      </c>
      <c r="H39613" s="21">
        <v>815.04</v>
      </c>
    </row>
    <row r="39614" spans="1:8" customFormat="1" x14ac:dyDescent="0.25">
      <c r="A39614" t="str">
        <f>"5928438"</f>
        <v>5928438</v>
      </c>
      <c r="B39614" t="s">
        <v>6163</v>
      </c>
      <c r="C39614" t="s">
        <v>24889</v>
      </c>
      <c r="D39614" s="21" t="s">
        <v>24820</v>
      </c>
      <c r="E39614" s="21" t="s">
        <v>71</v>
      </c>
      <c r="F39614">
        <v>7590336</v>
      </c>
      <c r="G39614" t="s">
        <v>2341</v>
      </c>
      <c r="H39614" s="21">
        <v>814.67</v>
      </c>
    </row>
    <row r="39615" spans="1:8" customFormat="1" x14ac:dyDescent="0.25">
      <c r="A39615" t="str">
        <f>"035415"</f>
        <v>035415</v>
      </c>
      <c r="B39615" t="s">
        <v>9012</v>
      </c>
      <c r="C39615" t="s">
        <v>25008</v>
      </c>
      <c r="D39615" s="21" t="s">
        <v>24820</v>
      </c>
      <c r="E39615" s="21" t="s">
        <v>35</v>
      </c>
      <c r="F39615">
        <v>2710072</v>
      </c>
      <c r="G39615" t="s">
        <v>1461</v>
      </c>
      <c r="H39615" s="21">
        <v>813.17</v>
      </c>
    </row>
    <row r="39616" spans="1:8" customFormat="1" x14ac:dyDescent="0.25">
      <c r="A39616" t="str">
        <f>"9237171"</f>
        <v>9237171</v>
      </c>
      <c r="B39616" t="s">
        <v>29745</v>
      </c>
      <c r="C39616" t="s">
        <v>25508</v>
      </c>
      <c r="D39616" s="21" t="s">
        <v>24820</v>
      </c>
      <c r="E39616" s="21" t="s">
        <v>35</v>
      </c>
      <c r="F39616">
        <v>8920503</v>
      </c>
      <c r="G39616" t="s">
        <v>9047</v>
      </c>
      <c r="H39616" s="21">
        <v>813.04</v>
      </c>
    </row>
    <row r="39617" spans="1:8" customFormat="1" x14ac:dyDescent="0.25">
      <c r="A39617" t="str">
        <f>"9240532"</f>
        <v>9240532</v>
      </c>
      <c r="B39617" t="s">
        <v>12254</v>
      </c>
      <c r="C39617" t="s">
        <v>24840</v>
      </c>
      <c r="D39617" s="21" t="s">
        <v>24820</v>
      </c>
      <c r="E39617" s="21" t="s">
        <v>35</v>
      </c>
      <c r="F39617">
        <v>8920309</v>
      </c>
      <c r="G39617" t="s">
        <v>1894</v>
      </c>
      <c r="H39617" s="21">
        <v>812.04</v>
      </c>
    </row>
    <row r="39618" spans="1:8" customFormat="1" x14ac:dyDescent="0.25">
      <c r="A39618" t="str">
        <f>"1612172"</f>
        <v>1612172</v>
      </c>
      <c r="B39618" t="s">
        <v>25117</v>
      </c>
      <c r="C39618" t="s">
        <v>24889</v>
      </c>
      <c r="D39618" s="21" t="s">
        <v>24820</v>
      </c>
      <c r="E39618" s="21" t="s">
        <v>35</v>
      </c>
      <c r="F39618">
        <v>10160051</v>
      </c>
      <c r="G39618" t="s">
        <v>7167</v>
      </c>
      <c r="H39618" s="21">
        <v>811.17</v>
      </c>
    </row>
    <row r="39619" spans="1:8" customFormat="1" x14ac:dyDescent="0.25">
      <c r="A39619" t="str">
        <f>"8311157"</f>
        <v>8311157</v>
      </c>
      <c r="B39619" t="s">
        <v>25097</v>
      </c>
      <c r="C39619" t="s">
        <v>24300</v>
      </c>
      <c r="D39619" s="21" t="s">
        <v>24820</v>
      </c>
      <c r="E39619" s="21" t="s">
        <v>35</v>
      </c>
      <c r="F39619">
        <v>13830031</v>
      </c>
      <c r="G39619" t="s">
        <v>8301</v>
      </c>
      <c r="H39619" s="21">
        <v>811.17</v>
      </c>
    </row>
    <row r="39620" spans="1:8" customFormat="1" x14ac:dyDescent="0.25">
      <c r="A39620" t="str">
        <f>"843792"</f>
        <v>843792</v>
      </c>
      <c r="B39620" t="s">
        <v>25113</v>
      </c>
      <c r="C39620" t="s">
        <v>25114</v>
      </c>
      <c r="D39620" s="21" t="s">
        <v>24820</v>
      </c>
      <c r="E39620" s="21" t="s">
        <v>35</v>
      </c>
      <c r="F39620">
        <v>13840004</v>
      </c>
      <c r="G39620" t="s">
        <v>8611</v>
      </c>
      <c r="H39620" s="21">
        <v>811.17</v>
      </c>
    </row>
    <row r="39621" spans="1:8" customFormat="1" x14ac:dyDescent="0.25">
      <c r="A39621" t="str">
        <f>"10177"</f>
        <v>10177</v>
      </c>
      <c r="B39621" t="s">
        <v>11693</v>
      </c>
      <c r="C39621" t="s">
        <v>24910</v>
      </c>
      <c r="D39621" s="21" t="s">
        <v>24820</v>
      </c>
      <c r="E39621" s="21" t="s">
        <v>254</v>
      </c>
      <c r="F39621">
        <v>6100017</v>
      </c>
      <c r="G39621" t="s">
        <v>11694</v>
      </c>
      <c r="H39621" s="21">
        <v>810.67</v>
      </c>
    </row>
    <row r="39622" spans="1:8" customFormat="1" x14ac:dyDescent="0.25">
      <c r="A39622" t="str">
        <f>"6310060"</f>
        <v>6310060</v>
      </c>
      <c r="B39622" t="s">
        <v>4902</v>
      </c>
      <c r="C39622" t="s">
        <v>25089</v>
      </c>
      <c r="D39622" s="21" t="s">
        <v>24820</v>
      </c>
      <c r="E39622" s="21" t="s">
        <v>71</v>
      </c>
      <c r="F39622">
        <v>1630310</v>
      </c>
      <c r="G39622" t="s">
        <v>6314</v>
      </c>
      <c r="H39622" s="21">
        <v>809.67</v>
      </c>
    </row>
    <row r="39623" spans="1:8" customFormat="1" x14ac:dyDescent="0.25">
      <c r="A39623" t="str">
        <f>"7619294"</f>
        <v>7619294</v>
      </c>
      <c r="B39623" t="s">
        <v>3874</v>
      </c>
      <c r="C39623" t="s">
        <v>24838</v>
      </c>
      <c r="D39623" s="21" t="s">
        <v>24820</v>
      </c>
      <c r="E39623" s="21" t="s">
        <v>35</v>
      </c>
      <c r="F39623">
        <v>9760396</v>
      </c>
      <c r="G39623" t="s">
        <v>3875</v>
      </c>
      <c r="H39623" s="21">
        <v>809.67</v>
      </c>
    </row>
    <row r="39624" spans="1:8" customFormat="1" x14ac:dyDescent="0.25">
      <c r="A39624" t="str">
        <f>"4932692"</f>
        <v>4932692</v>
      </c>
      <c r="B39624" t="s">
        <v>4943</v>
      </c>
      <c r="C39624" t="s">
        <v>22831</v>
      </c>
      <c r="D39624" s="21" t="s">
        <v>24820</v>
      </c>
      <c r="E39624" s="21" t="s">
        <v>35</v>
      </c>
      <c r="F39624">
        <v>12490067</v>
      </c>
      <c r="G39624" t="s">
        <v>7654</v>
      </c>
      <c r="H39624" s="21">
        <v>809.67</v>
      </c>
    </row>
    <row r="39625" spans="1:8" customFormat="1" x14ac:dyDescent="0.25">
      <c r="A39625" t="str">
        <f>"755833"</f>
        <v>755833</v>
      </c>
      <c r="B39625" t="s">
        <v>12137</v>
      </c>
      <c r="C39625" t="s">
        <v>24865</v>
      </c>
      <c r="D39625" s="21" t="s">
        <v>24820</v>
      </c>
      <c r="E39625" s="21" t="s">
        <v>254</v>
      </c>
      <c r="F39625">
        <v>8750007</v>
      </c>
      <c r="G39625" t="s">
        <v>775</v>
      </c>
      <c r="H39625" s="21">
        <v>809.67</v>
      </c>
    </row>
    <row r="39626" spans="1:8" customFormat="1" x14ac:dyDescent="0.25">
      <c r="A39626" t="str">
        <f>"809648"</f>
        <v>809648</v>
      </c>
      <c r="B39626" t="s">
        <v>2306</v>
      </c>
      <c r="C39626" t="s">
        <v>24838</v>
      </c>
      <c r="D39626" s="21" t="s">
        <v>24820</v>
      </c>
      <c r="E39626" s="21" t="s">
        <v>71</v>
      </c>
      <c r="F39626">
        <v>7800102</v>
      </c>
      <c r="G39626" t="s">
        <v>1148</v>
      </c>
      <c r="H39626" s="21">
        <v>809.17</v>
      </c>
    </row>
    <row r="39627" spans="1:8" customFormat="1" x14ac:dyDescent="0.25">
      <c r="A39627" t="str">
        <f>"94475"</f>
        <v>94475</v>
      </c>
      <c r="B39627" t="s">
        <v>25077</v>
      </c>
      <c r="C39627" t="s">
        <v>23734</v>
      </c>
      <c r="D39627" s="21" t="s">
        <v>24820</v>
      </c>
      <c r="E39627" s="21" t="s">
        <v>71</v>
      </c>
      <c r="F39627">
        <v>8930452</v>
      </c>
      <c r="G39627" t="s">
        <v>83</v>
      </c>
      <c r="H39627" s="21">
        <v>809.17</v>
      </c>
    </row>
    <row r="39628" spans="1:8" customFormat="1" x14ac:dyDescent="0.25">
      <c r="A39628" t="str">
        <f>"8517315"</f>
        <v>8517315</v>
      </c>
      <c r="B39628" t="s">
        <v>22750</v>
      </c>
      <c r="C39628" t="s">
        <v>25091</v>
      </c>
      <c r="D39628" s="21" t="s">
        <v>24820</v>
      </c>
      <c r="E39628" s="21" t="s">
        <v>71</v>
      </c>
      <c r="F39628">
        <v>12851011</v>
      </c>
      <c r="G39628" t="s">
        <v>1445</v>
      </c>
      <c r="H39628" s="21">
        <v>809.17</v>
      </c>
    </row>
    <row r="39629" spans="1:8" customFormat="1" x14ac:dyDescent="0.25">
      <c r="A39629" t="str">
        <f>"069781"</f>
        <v>069781</v>
      </c>
      <c r="B39629" t="s">
        <v>25067</v>
      </c>
      <c r="C39629" t="s">
        <v>24904</v>
      </c>
      <c r="D39629" s="21" t="s">
        <v>24820</v>
      </c>
      <c r="E39629" s="21" t="s">
        <v>71</v>
      </c>
      <c r="F39629">
        <v>13060066</v>
      </c>
      <c r="G39629" t="s">
        <v>2556</v>
      </c>
      <c r="H39629" s="21">
        <v>808.67</v>
      </c>
    </row>
    <row r="39630" spans="1:8" customFormat="1" x14ac:dyDescent="0.25">
      <c r="A39630" t="str">
        <f>"3318207"</f>
        <v>3318207</v>
      </c>
      <c r="B39630" t="s">
        <v>29746</v>
      </c>
      <c r="C39630" t="s">
        <v>24892</v>
      </c>
      <c r="D39630" s="21" t="s">
        <v>24820</v>
      </c>
      <c r="E39630" s="21" t="s">
        <v>71</v>
      </c>
      <c r="F39630">
        <v>10330018</v>
      </c>
      <c r="G39630" t="s">
        <v>15112</v>
      </c>
      <c r="H39630" s="21">
        <v>808.42</v>
      </c>
    </row>
    <row r="39631" spans="1:8" customFormat="1" x14ac:dyDescent="0.25">
      <c r="A39631" t="str">
        <f>"7517632"</f>
        <v>7517632</v>
      </c>
      <c r="B39631" t="s">
        <v>23400</v>
      </c>
      <c r="C39631" t="s">
        <v>24824</v>
      </c>
      <c r="D39631" s="21" t="s">
        <v>24820</v>
      </c>
      <c r="E39631" s="21" t="s">
        <v>35</v>
      </c>
      <c r="F39631">
        <v>8751061</v>
      </c>
      <c r="G39631" t="s">
        <v>26628</v>
      </c>
      <c r="H39631" s="21">
        <v>807.79</v>
      </c>
    </row>
    <row r="39632" spans="1:8" customFormat="1" x14ac:dyDescent="0.25">
      <c r="A39632" t="str">
        <f>"37213"</f>
        <v>37213</v>
      </c>
      <c r="B39632" t="s">
        <v>2757</v>
      </c>
      <c r="C39632" t="s">
        <v>24865</v>
      </c>
      <c r="D39632" s="21" t="s">
        <v>24820</v>
      </c>
      <c r="E39632" s="21" t="s">
        <v>254</v>
      </c>
      <c r="F39632">
        <v>4370151</v>
      </c>
      <c r="G39632" t="s">
        <v>5304</v>
      </c>
      <c r="H39632" s="21">
        <v>807.67</v>
      </c>
    </row>
    <row r="39633" spans="1:8" customFormat="1" x14ac:dyDescent="0.25">
      <c r="A39633" t="str">
        <f>"279166"</f>
        <v>279166</v>
      </c>
      <c r="B39633" t="s">
        <v>5098</v>
      </c>
      <c r="C39633" t="s">
        <v>25059</v>
      </c>
      <c r="D39633" s="21" t="s">
        <v>24820</v>
      </c>
      <c r="E39633" s="21" t="s">
        <v>71</v>
      </c>
      <c r="F39633">
        <v>9270148</v>
      </c>
      <c r="G39633" t="s">
        <v>8058</v>
      </c>
      <c r="H39633" s="21">
        <v>807.17</v>
      </c>
    </row>
    <row r="39634" spans="1:8" customFormat="1" x14ac:dyDescent="0.25">
      <c r="A39634" t="str">
        <f>"4455853"</f>
        <v>4455853</v>
      </c>
      <c r="B39634" t="s">
        <v>13379</v>
      </c>
      <c r="C39634" t="s">
        <v>24833</v>
      </c>
      <c r="D39634" s="21" t="s">
        <v>24820</v>
      </c>
      <c r="E39634" s="21" t="s">
        <v>35</v>
      </c>
      <c r="F39634">
        <v>12440059</v>
      </c>
      <c r="G39634" t="s">
        <v>6697</v>
      </c>
      <c r="H39634" s="21">
        <v>806.92</v>
      </c>
    </row>
    <row r="39635" spans="1:8" customFormat="1" x14ac:dyDescent="0.25">
      <c r="A39635" t="str">
        <f>"549373"</f>
        <v>549373</v>
      </c>
      <c r="B39635" t="s">
        <v>25165</v>
      </c>
      <c r="C39635" t="s">
        <v>24968</v>
      </c>
      <c r="D39635" s="21" t="s">
        <v>24820</v>
      </c>
      <c r="E39635" s="21" t="s">
        <v>35</v>
      </c>
      <c r="F39635">
        <v>6880073</v>
      </c>
      <c r="G39635" t="s">
        <v>6648</v>
      </c>
      <c r="H39635" s="21">
        <v>806.67</v>
      </c>
    </row>
    <row r="39636" spans="1:8" customFormat="1" x14ac:dyDescent="0.25">
      <c r="A39636" t="str">
        <f>"6226888"</f>
        <v>6226888</v>
      </c>
      <c r="B39636" t="s">
        <v>14399</v>
      </c>
      <c r="C39636" t="s">
        <v>24909</v>
      </c>
      <c r="D39636" s="21" t="s">
        <v>24820</v>
      </c>
      <c r="E39636" s="21" t="s">
        <v>35</v>
      </c>
      <c r="F39636">
        <v>7620178</v>
      </c>
      <c r="G39636" t="s">
        <v>11090</v>
      </c>
      <c r="H39636" s="21">
        <v>805.67</v>
      </c>
    </row>
    <row r="39637" spans="1:8" customFormat="1" x14ac:dyDescent="0.25">
      <c r="A39637" t="str">
        <f>"6814186"</f>
        <v>6814186</v>
      </c>
      <c r="B39637" t="s">
        <v>21396</v>
      </c>
      <c r="C39637" t="s">
        <v>23734</v>
      </c>
      <c r="D39637" s="21" t="s">
        <v>24820</v>
      </c>
      <c r="E39637" s="21" t="s">
        <v>71</v>
      </c>
      <c r="F39637">
        <v>6680091</v>
      </c>
      <c r="G39637" t="s">
        <v>693</v>
      </c>
      <c r="H39637" s="21">
        <v>805.17</v>
      </c>
    </row>
    <row r="39638" spans="1:8" customFormat="1" x14ac:dyDescent="0.25">
      <c r="A39638" t="str">
        <f>"3811279"</f>
        <v>3811279</v>
      </c>
      <c r="B39638" t="s">
        <v>8228</v>
      </c>
      <c r="C39638" t="s">
        <v>25100</v>
      </c>
      <c r="D39638" s="21" t="s">
        <v>24820</v>
      </c>
      <c r="E39638" s="21" t="s">
        <v>71</v>
      </c>
      <c r="F39638">
        <v>6550009</v>
      </c>
      <c r="G39638" t="s">
        <v>7080</v>
      </c>
      <c r="H39638" s="21">
        <v>804.79</v>
      </c>
    </row>
    <row r="39639" spans="1:8" customFormat="1" x14ac:dyDescent="0.25">
      <c r="A39639" t="str">
        <f>"4451939"</f>
        <v>4451939</v>
      </c>
      <c r="B39639" t="s">
        <v>1099</v>
      </c>
      <c r="C39639" t="s">
        <v>24828</v>
      </c>
      <c r="D39639" s="21" t="s">
        <v>24820</v>
      </c>
      <c r="E39639" s="21" t="s">
        <v>35</v>
      </c>
      <c r="F39639">
        <v>12440197</v>
      </c>
      <c r="G39639" t="s">
        <v>1101</v>
      </c>
      <c r="H39639" s="21">
        <v>804.67</v>
      </c>
    </row>
    <row r="39640" spans="1:8" customFormat="1" x14ac:dyDescent="0.25">
      <c r="A39640" t="str">
        <f>"18811"</f>
        <v>18811</v>
      </c>
      <c r="B39640" t="s">
        <v>7107</v>
      </c>
      <c r="C39640" t="s">
        <v>25109</v>
      </c>
      <c r="D39640" s="21" t="s">
        <v>24820</v>
      </c>
      <c r="E39640" s="21" t="s">
        <v>35</v>
      </c>
      <c r="F39640">
        <v>4180737</v>
      </c>
      <c r="G39640" t="s">
        <v>26856</v>
      </c>
      <c r="H39640" s="21">
        <v>804.67</v>
      </c>
    </row>
    <row r="39641" spans="1:8" customFormat="1" x14ac:dyDescent="0.25">
      <c r="A39641" t="str">
        <f>"8814006"</f>
        <v>8814006</v>
      </c>
      <c r="B39641" t="s">
        <v>25096</v>
      </c>
      <c r="C39641" t="s">
        <v>24883</v>
      </c>
      <c r="D39641" s="21" t="s">
        <v>24820</v>
      </c>
      <c r="E39641" s="21" t="s">
        <v>35</v>
      </c>
      <c r="F39641">
        <v>6880064</v>
      </c>
      <c r="G39641" t="s">
        <v>7090</v>
      </c>
      <c r="H39641" s="21">
        <v>804.29</v>
      </c>
    </row>
    <row r="39642" spans="1:8" customFormat="1" x14ac:dyDescent="0.25">
      <c r="A39642" t="str">
        <f>"284530"</f>
        <v>284530</v>
      </c>
      <c r="B39642" t="s">
        <v>18548</v>
      </c>
      <c r="C39642" t="s">
        <v>24888</v>
      </c>
      <c r="D39642" s="21" t="s">
        <v>24820</v>
      </c>
      <c r="E39642" s="21" t="s">
        <v>35</v>
      </c>
      <c r="F39642">
        <v>4280005</v>
      </c>
      <c r="G39642" t="s">
        <v>5760</v>
      </c>
      <c r="H39642" s="21">
        <v>802.67</v>
      </c>
    </row>
    <row r="39643" spans="1:8" customFormat="1" x14ac:dyDescent="0.25">
      <c r="A39643" t="str">
        <f>"0110908"</f>
        <v>0110908</v>
      </c>
      <c r="B39643" t="s">
        <v>25143</v>
      </c>
      <c r="C39643" t="s">
        <v>24877</v>
      </c>
      <c r="D39643" s="21" t="s">
        <v>24820</v>
      </c>
      <c r="E39643" s="21" t="s">
        <v>71</v>
      </c>
      <c r="F39643">
        <v>1010034</v>
      </c>
      <c r="G39643" t="s">
        <v>10420</v>
      </c>
      <c r="H39643" s="21">
        <v>802.42</v>
      </c>
    </row>
    <row r="39644" spans="1:8" customFormat="1" x14ac:dyDescent="0.25">
      <c r="A39644" t="str">
        <f>"277419"</f>
        <v>277419</v>
      </c>
      <c r="B39644" t="s">
        <v>2953</v>
      </c>
      <c r="C39644" t="s">
        <v>24884</v>
      </c>
      <c r="D39644" s="21" t="s">
        <v>24820</v>
      </c>
      <c r="E39644" s="21" t="s">
        <v>71</v>
      </c>
      <c r="F39644">
        <v>9270089</v>
      </c>
      <c r="G39644" t="s">
        <v>1009</v>
      </c>
      <c r="H39644" s="21">
        <v>801.92</v>
      </c>
    </row>
    <row r="39645" spans="1:8" customFormat="1" x14ac:dyDescent="0.25">
      <c r="A39645" t="str">
        <f>"619422"</f>
        <v>619422</v>
      </c>
      <c r="B39645" t="s">
        <v>10769</v>
      </c>
      <c r="C39645" t="s">
        <v>24883</v>
      </c>
      <c r="D39645" s="21" t="s">
        <v>24820</v>
      </c>
      <c r="E39645" s="21" t="s">
        <v>35</v>
      </c>
      <c r="F39645">
        <v>9610017</v>
      </c>
      <c r="G39645" t="s">
        <v>12194</v>
      </c>
      <c r="H39645" s="21">
        <v>801.67</v>
      </c>
    </row>
    <row r="39646" spans="1:8" customFormat="1" x14ac:dyDescent="0.25">
      <c r="A39646" t="str">
        <f>"5719583"</f>
        <v>5719583</v>
      </c>
      <c r="B39646" t="s">
        <v>14781</v>
      </c>
      <c r="C39646" t="s">
        <v>24828</v>
      </c>
      <c r="D39646" s="21" t="s">
        <v>24820</v>
      </c>
      <c r="E39646" s="21" t="s">
        <v>35</v>
      </c>
      <c r="F39646">
        <v>6570132</v>
      </c>
      <c r="G39646" t="s">
        <v>26746</v>
      </c>
      <c r="H39646" s="21">
        <v>801.17</v>
      </c>
    </row>
    <row r="39647" spans="1:8" customFormat="1" x14ac:dyDescent="0.25">
      <c r="A39647" t="str">
        <f>"188870"</f>
        <v>188870</v>
      </c>
      <c r="B39647" t="s">
        <v>7825</v>
      </c>
      <c r="C39647" t="s">
        <v>24888</v>
      </c>
      <c r="D39647" s="21" t="s">
        <v>24820</v>
      </c>
      <c r="E39647" s="21" t="s">
        <v>35</v>
      </c>
      <c r="F39647">
        <v>4180696</v>
      </c>
      <c r="G39647" t="s">
        <v>3018</v>
      </c>
      <c r="H39647" s="21">
        <v>799.79</v>
      </c>
    </row>
    <row r="39648" spans="1:8" customFormat="1" x14ac:dyDescent="0.25">
      <c r="A39648" t="str">
        <f>"6225815"</f>
        <v>6225815</v>
      </c>
      <c r="B39648" t="s">
        <v>4954</v>
      </c>
      <c r="C39648" t="s">
        <v>24897</v>
      </c>
      <c r="D39648" s="21" t="s">
        <v>24820</v>
      </c>
      <c r="E39648" s="21" t="s">
        <v>71</v>
      </c>
      <c r="F39648">
        <v>7620005</v>
      </c>
      <c r="G39648" t="s">
        <v>200</v>
      </c>
      <c r="H39648" s="21">
        <v>799.67</v>
      </c>
    </row>
    <row r="39649" spans="1:8" customFormat="1" x14ac:dyDescent="0.25">
      <c r="A39649" t="str">
        <f>"448696"</f>
        <v>448696</v>
      </c>
      <c r="B39649" t="s">
        <v>25121</v>
      </c>
      <c r="C39649" t="s">
        <v>24958</v>
      </c>
      <c r="D39649" s="21" t="s">
        <v>24820</v>
      </c>
      <c r="E39649" s="21" t="s">
        <v>71</v>
      </c>
      <c r="F39649">
        <v>12440093</v>
      </c>
      <c r="G39649" t="s">
        <v>10627</v>
      </c>
      <c r="H39649" s="21">
        <v>798.92</v>
      </c>
    </row>
    <row r="39650" spans="1:8" customFormat="1" x14ac:dyDescent="0.25">
      <c r="A39650" t="str">
        <f>"694637"</f>
        <v>694637</v>
      </c>
      <c r="B39650" t="s">
        <v>20109</v>
      </c>
      <c r="C39650" t="s">
        <v>24968</v>
      </c>
      <c r="D39650" s="21" t="s">
        <v>24820</v>
      </c>
      <c r="E39650" s="21" t="s">
        <v>71</v>
      </c>
      <c r="F39650">
        <v>3560049</v>
      </c>
      <c r="G39650" t="s">
        <v>8021</v>
      </c>
      <c r="H39650" s="21">
        <v>798.54</v>
      </c>
    </row>
    <row r="39651" spans="1:8" customFormat="1" x14ac:dyDescent="0.25">
      <c r="A39651" t="str">
        <f>"1610466"</f>
        <v>1610466</v>
      </c>
      <c r="B39651" t="s">
        <v>14793</v>
      </c>
      <c r="C39651" t="s">
        <v>24947</v>
      </c>
      <c r="D39651" s="21" t="s">
        <v>24820</v>
      </c>
      <c r="E39651" s="21" t="s">
        <v>35</v>
      </c>
      <c r="F39651">
        <v>10170028</v>
      </c>
      <c r="G39651" t="s">
        <v>649</v>
      </c>
      <c r="H39651" s="21">
        <v>798.17</v>
      </c>
    </row>
    <row r="39652" spans="1:8" customFormat="1" x14ac:dyDescent="0.25">
      <c r="A39652" t="str">
        <f>"944921"</f>
        <v>944921</v>
      </c>
      <c r="B39652" t="s">
        <v>6679</v>
      </c>
      <c r="C39652" t="s">
        <v>24927</v>
      </c>
      <c r="D39652" s="21" t="s">
        <v>24820</v>
      </c>
      <c r="E39652" s="21" t="s">
        <v>254</v>
      </c>
      <c r="F39652">
        <v>12850046</v>
      </c>
      <c r="G39652" t="s">
        <v>3136</v>
      </c>
      <c r="H39652" s="21">
        <v>795.17</v>
      </c>
    </row>
    <row r="39653" spans="1:8" customFormat="1" x14ac:dyDescent="0.25">
      <c r="A39653" t="str">
        <f>"804372"</f>
        <v>804372</v>
      </c>
      <c r="B39653" t="s">
        <v>1147</v>
      </c>
      <c r="C39653" t="s">
        <v>24833</v>
      </c>
      <c r="D39653" s="21" t="s">
        <v>24820</v>
      </c>
      <c r="E39653" s="21" t="s">
        <v>35</v>
      </c>
      <c r="F39653">
        <v>7800102</v>
      </c>
      <c r="G39653" t="s">
        <v>1148</v>
      </c>
      <c r="H39653" s="21">
        <v>794.67</v>
      </c>
    </row>
    <row r="39654" spans="1:8" customFormat="1" x14ac:dyDescent="0.25">
      <c r="A39654" t="str">
        <f>"6725943"</f>
        <v>6725943</v>
      </c>
      <c r="B39654" t="s">
        <v>3083</v>
      </c>
      <c r="C39654" t="s">
        <v>25003</v>
      </c>
      <c r="D39654" s="21" t="s">
        <v>24820</v>
      </c>
      <c r="E39654" s="21" t="s">
        <v>35</v>
      </c>
      <c r="F39654">
        <v>6670160</v>
      </c>
      <c r="G39654" t="s">
        <v>908</v>
      </c>
      <c r="H39654" s="21">
        <v>794.67</v>
      </c>
    </row>
    <row r="39655" spans="1:8" customFormat="1" x14ac:dyDescent="0.25">
      <c r="A39655" t="str">
        <f>"5111414"</f>
        <v>5111414</v>
      </c>
      <c r="B39655" t="s">
        <v>503</v>
      </c>
      <c r="C39655" t="s">
        <v>24919</v>
      </c>
      <c r="D39655" s="21" t="s">
        <v>24820</v>
      </c>
      <c r="E39655" s="21" t="s">
        <v>35</v>
      </c>
      <c r="F39655">
        <v>6510053</v>
      </c>
      <c r="G39655" t="s">
        <v>27203</v>
      </c>
      <c r="H39655" s="21">
        <v>793.67</v>
      </c>
    </row>
    <row r="39656" spans="1:8" customFormat="1" x14ac:dyDescent="0.25">
      <c r="A39656" t="str">
        <f>"4414951"</f>
        <v>4414951</v>
      </c>
      <c r="B39656" t="s">
        <v>12402</v>
      </c>
      <c r="C39656" t="s">
        <v>25066</v>
      </c>
      <c r="D39656" s="21" t="s">
        <v>24820</v>
      </c>
      <c r="E39656" s="21" t="s">
        <v>35</v>
      </c>
      <c r="F39656">
        <v>12440014</v>
      </c>
      <c r="G39656" t="s">
        <v>6767</v>
      </c>
      <c r="H39656" s="21">
        <v>793.67</v>
      </c>
    </row>
    <row r="39657" spans="1:8" customFormat="1" x14ac:dyDescent="0.25">
      <c r="A39657" t="str">
        <f>"7862785"</f>
        <v>7862785</v>
      </c>
      <c r="B39657" t="s">
        <v>18415</v>
      </c>
      <c r="C39657" t="s">
        <v>25123</v>
      </c>
      <c r="D39657" s="21" t="s">
        <v>24820</v>
      </c>
      <c r="E39657" s="21" t="s">
        <v>35</v>
      </c>
      <c r="F39657">
        <v>8780627</v>
      </c>
      <c r="G39657" t="s">
        <v>6097</v>
      </c>
      <c r="H39657" s="21">
        <v>793.42</v>
      </c>
    </row>
    <row r="39658" spans="1:8" customFormat="1" x14ac:dyDescent="0.25">
      <c r="A39658" t="str">
        <f>"457336"</f>
        <v>457336</v>
      </c>
      <c r="B39658" t="s">
        <v>12045</v>
      </c>
      <c r="C39658" t="s">
        <v>24865</v>
      </c>
      <c r="D39658" s="21" t="s">
        <v>24820</v>
      </c>
      <c r="E39658" s="21" t="s">
        <v>71</v>
      </c>
      <c r="F39658">
        <v>4450663</v>
      </c>
      <c r="G39658" t="s">
        <v>2527</v>
      </c>
      <c r="H39658" s="21">
        <v>793.42</v>
      </c>
    </row>
    <row r="39659" spans="1:8" customFormat="1" x14ac:dyDescent="0.25">
      <c r="A39659" t="str">
        <f>"6924435"</f>
        <v>6924435</v>
      </c>
      <c r="B39659" t="s">
        <v>6326</v>
      </c>
      <c r="C39659" t="s">
        <v>24947</v>
      </c>
      <c r="D39659" s="21" t="s">
        <v>24820</v>
      </c>
      <c r="E39659" s="21" t="s">
        <v>35</v>
      </c>
      <c r="F39659">
        <v>1690186</v>
      </c>
      <c r="G39659" t="s">
        <v>438</v>
      </c>
      <c r="H39659" s="21">
        <v>793.17</v>
      </c>
    </row>
    <row r="39660" spans="1:8" customFormat="1" x14ac:dyDescent="0.25">
      <c r="A39660" t="str">
        <f>"6715984"</f>
        <v>6715984</v>
      </c>
      <c r="B39660" t="s">
        <v>25081</v>
      </c>
      <c r="C39660" t="s">
        <v>25082</v>
      </c>
      <c r="D39660" s="21" t="s">
        <v>24820</v>
      </c>
      <c r="E39660" s="21" t="s">
        <v>71</v>
      </c>
      <c r="F39660">
        <v>6670202</v>
      </c>
      <c r="G39660" t="s">
        <v>605</v>
      </c>
      <c r="H39660" s="21">
        <v>791.67</v>
      </c>
    </row>
    <row r="39661" spans="1:8" customFormat="1" x14ac:dyDescent="0.25">
      <c r="A39661" t="str">
        <f>"9721989"</f>
        <v>9721989</v>
      </c>
      <c r="B39661" t="s">
        <v>25079</v>
      </c>
      <c r="C39661" t="s">
        <v>25080</v>
      </c>
      <c r="D39661" s="21" t="s">
        <v>24820</v>
      </c>
      <c r="E39661" s="21" t="s">
        <v>35</v>
      </c>
      <c r="F39661" t="s">
        <v>1477</v>
      </c>
      <c r="G39661" t="s">
        <v>1478</v>
      </c>
      <c r="H39661" s="21">
        <v>791.67</v>
      </c>
    </row>
    <row r="39662" spans="1:8" customFormat="1" x14ac:dyDescent="0.25">
      <c r="A39662" t="str">
        <f>"628634"</f>
        <v>628634</v>
      </c>
      <c r="B39662" t="s">
        <v>17354</v>
      </c>
      <c r="C39662" t="s">
        <v>29747</v>
      </c>
      <c r="D39662" s="21" t="s">
        <v>24820</v>
      </c>
      <c r="E39662" s="21" t="s">
        <v>71</v>
      </c>
      <c r="F39662">
        <v>7590050</v>
      </c>
      <c r="G39662" t="s">
        <v>473</v>
      </c>
      <c r="H39662" s="21">
        <v>791.17</v>
      </c>
    </row>
    <row r="39663" spans="1:8" customFormat="1" x14ac:dyDescent="0.25">
      <c r="A39663" t="str">
        <f>"0610931"</f>
        <v>0610931</v>
      </c>
      <c r="B39663" t="s">
        <v>25083</v>
      </c>
      <c r="C39663" t="s">
        <v>24900</v>
      </c>
      <c r="D39663" s="21" t="s">
        <v>24820</v>
      </c>
      <c r="E39663" s="21" t="s">
        <v>1089</v>
      </c>
      <c r="F39663">
        <v>13060066</v>
      </c>
      <c r="G39663" t="s">
        <v>2556</v>
      </c>
      <c r="H39663" s="21">
        <v>791.17</v>
      </c>
    </row>
    <row r="39664" spans="1:8" customFormat="1" x14ac:dyDescent="0.25">
      <c r="A39664" t="str">
        <f>"4521649"</f>
        <v>4521649</v>
      </c>
      <c r="B39664" t="s">
        <v>11564</v>
      </c>
      <c r="C39664" t="s">
        <v>24824</v>
      </c>
      <c r="D39664" s="21" t="s">
        <v>24820</v>
      </c>
      <c r="E39664" s="21" t="s">
        <v>71</v>
      </c>
      <c r="F39664">
        <v>4450417</v>
      </c>
      <c r="G39664" t="s">
        <v>2284</v>
      </c>
      <c r="H39664" s="21">
        <v>790.67</v>
      </c>
    </row>
    <row r="39665" spans="1:8" customFormat="1" x14ac:dyDescent="0.25">
      <c r="A39665" t="str">
        <f>"537584"</f>
        <v>537584</v>
      </c>
      <c r="B39665" t="s">
        <v>3957</v>
      </c>
      <c r="C39665" t="s">
        <v>24919</v>
      </c>
      <c r="D39665" s="21" t="s">
        <v>24820</v>
      </c>
      <c r="E39665" s="21" t="s">
        <v>35</v>
      </c>
      <c r="F39665">
        <v>12530127</v>
      </c>
      <c r="G39665" t="s">
        <v>7067</v>
      </c>
      <c r="H39665" s="21">
        <v>790.17</v>
      </c>
    </row>
    <row r="39666" spans="1:8" customFormat="1" x14ac:dyDescent="0.25">
      <c r="A39666" t="str">
        <f>"062216"</f>
        <v>062216</v>
      </c>
      <c r="B39666" t="s">
        <v>1295</v>
      </c>
      <c r="C39666" t="s">
        <v>22831</v>
      </c>
      <c r="D39666" s="21" t="s">
        <v>24820</v>
      </c>
      <c r="E39666" s="21" t="s">
        <v>35</v>
      </c>
      <c r="F39666">
        <v>13060072</v>
      </c>
      <c r="G39666" t="s">
        <v>6685</v>
      </c>
      <c r="H39666" s="21">
        <v>790.17</v>
      </c>
    </row>
    <row r="39667" spans="1:8" customFormat="1" x14ac:dyDescent="0.25">
      <c r="A39667" t="str">
        <f>"806829"</f>
        <v>806829</v>
      </c>
      <c r="B39667" t="s">
        <v>25098</v>
      </c>
      <c r="C39667" t="s">
        <v>24932</v>
      </c>
      <c r="D39667" s="21" t="s">
        <v>24820</v>
      </c>
      <c r="E39667" s="21" t="s">
        <v>254</v>
      </c>
      <c r="F39667">
        <v>7800003</v>
      </c>
      <c r="G39667" t="s">
        <v>276</v>
      </c>
      <c r="H39667" s="21">
        <v>789.67</v>
      </c>
    </row>
    <row r="39668" spans="1:8" customFormat="1" x14ac:dyDescent="0.25">
      <c r="A39668" t="str">
        <f>"88533"</f>
        <v>88533</v>
      </c>
      <c r="B39668" t="s">
        <v>25101</v>
      </c>
      <c r="C39668" t="s">
        <v>24939</v>
      </c>
      <c r="D39668" s="21" t="s">
        <v>24820</v>
      </c>
      <c r="E39668" s="21" t="s">
        <v>1089</v>
      </c>
      <c r="F39668">
        <v>2710049</v>
      </c>
      <c r="G39668" t="s">
        <v>11357</v>
      </c>
      <c r="H39668" s="21">
        <v>788.67</v>
      </c>
    </row>
    <row r="39669" spans="1:8" customFormat="1" x14ac:dyDescent="0.25">
      <c r="A39669" t="str">
        <f>"4520716"</f>
        <v>4520716</v>
      </c>
      <c r="B39669" t="s">
        <v>25146</v>
      </c>
      <c r="C39669" t="s">
        <v>24831</v>
      </c>
      <c r="D39669" s="21" t="s">
        <v>24820</v>
      </c>
      <c r="E39669" s="21" t="s">
        <v>35</v>
      </c>
      <c r="F39669">
        <v>4370596</v>
      </c>
      <c r="G39669" t="s">
        <v>9270</v>
      </c>
      <c r="H39669" s="21">
        <v>788.67</v>
      </c>
    </row>
    <row r="39670" spans="1:8" customFormat="1" x14ac:dyDescent="0.25">
      <c r="A39670" t="str">
        <f>"5950111"</f>
        <v>5950111</v>
      </c>
      <c r="B39670" t="s">
        <v>11372</v>
      </c>
      <c r="C39670" t="s">
        <v>23734</v>
      </c>
      <c r="D39670" s="21" t="s">
        <v>24820</v>
      </c>
      <c r="E39670" s="21" t="s">
        <v>71</v>
      </c>
      <c r="F39670">
        <v>7590106</v>
      </c>
      <c r="G39670" t="s">
        <v>4790</v>
      </c>
      <c r="H39670" s="21">
        <v>788.42</v>
      </c>
    </row>
    <row r="39671" spans="1:8" customFormat="1" x14ac:dyDescent="0.25">
      <c r="A39671" t="str">
        <f>"4426256"</f>
        <v>4426256</v>
      </c>
      <c r="B39671" t="s">
        <v>616</v>
      </c>
      <c r="C39671" t="s">
        <v>24909</v>
      </c>
      <c r="D39671" s="21" t="s">
        <v>24820</v>
      </c>
      <c r="E39671" s="21" t="s">
        <v>254</v>
      </c>
      <c r="F39671">
        <v>12440182</v>
      </c>
      <c r="G39671" t="s">
        <v>2915</v>
      </c>
      <c r="H39671" s="21">
        <v>787.67</v>
      </c>
    </row>
    <row r="39672" spans="1:8" customFormat="1" x14ac:dyDescent="0.25">
      <c r="A39672" t="str">
        <f>"395393"</f>
        <v>395393</v>
      </c>
      <c r="B39672" t="s">
        <v>29748</v>
      </c>
      <c r="C39672" t="s">
        <v>25120</v>
      </c>
      <c r="D39672" s="21" t="s">
        <v>24820</v>
      </c>
      <c r="E39672" s="21" t="s">
        <v>35</v>
      </c>
      <c r="F39672">
        <v>2250001</v>
      </c>
      <c r="G39672" t="s">
        <v>424</v>
      </c>
      <c r="H39672" s="21">
        <v>787.42</v>
      </c>
    </row>
    <row r="39673" spans="1:8" customFormat="1" x14ac:dyDescent="0.25">
      <c r="A39673" t="str">
        <f>"9520940"</f>
        <v>9520940</v>
      </c>
      <c r="B39673" t="s">
        <v>25093</v>
      </c>
      <c r="C39673" t="s">
        <v>24877</v>
      </c>
      <c r="D39673" s="21" t="s">
        <v>24820</v>
      </c>
      <c r="E39673" s="21" t="s">
        <v>35</v>
      </c>
      <c r="F39673">
        <v>8950435</v>
      </c>
      <c r="G39673" t="s">
        <v>6404</v>
      </c>
      <c r="H39673" s="21">
        <v>786.92</v>
      </c>
    </row>
    <row r="39674" spans="1:8" customFormat="1" x14ac:dyDescent="0.25">
      <c r="A39674" t="str">
        <f>"73725"</f>
        <v>73725</v>
      </c>
      <c r="B39674" t="s">
        <v>25119</v>
      </c>
      <c r="C39674" t="s">
        <v>24884</v>
      </c>
      <c r="D39674" s="21" t="s">
        <v>24820</v>
      </c>
      <c r="E39674" s="21" t="s">
        <v>35</v>
      </c>
      <c r="F39674">
        <v>1730033</v>
      </c>
      <c r="G39674" t="s">
        <v>2407</v>
      </c>
      <c r="H39674" s="21">
        <v>786.67</v>
      </c>
    </row>
    <row r="39675" spans="1:8" customFormat="1" x14ac:dyDescent="0.25">
      <c r="A39675" t="str">
        <f>"421447"</f>
        <v>421447</v>
      </c>
      <c r="B39675" t="s">
        <v>21115</v>
      </c>
      <c r="C39675" t="s">
        <v>25094</v>
      </c>
      <c r="D39675" s="21" t="s">
        <v>24820</v>
      </c>
      <c r="E39675" s="21" t="s">
        <v>71</v>
      </c>
      <c r="F39675">
        <v>1420117</v>
      </c>
      <c r="G39675" t="s">
        <v>2649</v>
      </c>
      <c r="H39675" s="21">
        <v>786.67</v>
      </c>
    </row>
    <row r="39676" spans="1:8" customFormat="1" x14ac:dyDescent="0.25">
      <c r="A39676" t="str">
        <f>"4450759"</f>
        <v>4450759</v>
      </c>
      <c r="B39676" t="s">
        <v>4654</v>
      </c>
      <c r="C39676" t="s">
        <v>4623</v>
      </c>
      <c r="D39676" s="21" t="s">
        <v>24820</v>
      </c>
      <c r="E39676" s="21" t="s">
        <v>35</v>
      </c>
      <c r="F39676">
        <v>12440075</v>
      </c>
      <c r="G39676" t="s">
        <v>1437</v>
      </c>
      <c r="H39676" s="21">
        <v>785.67</v>
      </c>
    </row>
    <row r="39677" spans="1:8" customFormat="1" x14ac:dyDescent="0.25">
      <c r="A39677" t="str">
        <f>"1421868"</f>
        <v>1421868</v>
      </c>
      <c r="B39677" t="s">
        <v>8773</v>
      </c>
      <c r="C39677" t="s">
        <v>24853</v>
      </c>
      <c r="D39677" s="21" t="s">
        <v>24820</v>
      </c>
      <c r="E39677" s="21" t="s">
        <v>35</v>
      </c>
      <c r="F39677">
        <v>9140224</v>
      </c>
      <c r="G39677" t="s">
        <v>14177</v>
      </c>
      <c r="H39677" s="21">
        <v>785.54</v>
      </c>
    </row>
    <row r="39678" spans="1:8" customFormat="1" x14ac:dyDescent="0.25">
      <c r="A39678" t="str">
        <f>"5923461"</f>
        <v>5923461</v>
      </c>
      <c r="B39678" t="s">
        <v>1748</v>
      </c>
      <c r="C39678" t="s">
        <v>24865</v>
      </c>
      <c r="D39678" s="21" t="s">
        <v>24820</v>
      </c>
      <c r="E39678" s="21" t="s">
        <v>35</v>
      </c>
      <c r="F39678">
        <v>7590058</v>
      </c>
      <c r="G39678" t="s">
        <v>5044</v>
      </c>
      <c r="H39678" s="21">
        <v>783.17</v>
      </c>
    </row>
    <row r="39679" spans="1:8" customFormat="1" x14ac:dyDescent="0.25">
      <c r="A39679" t="str">
        <f>"4412593"</f>
        <v>4412593</v>
      </c>
      <c r="B39679" t="s">
        <v>1626</v>
      </c>
      <c r="C39679" t="s">
        <v>25125</v>
      </c>
      <c r="D39679" s="21" t="s">
        <v>24820</v>
      </c>
      <c r="E39679" s="21" t="s">
        <v>71</v>
      </c>
      <c r="F39679">
        <v>12440136</v>
      </c>
      <c r="G39679" t="s">
        <v>3271</v>
      </c>
      <c r="H39679" s="21">
        <v>783.17</v>
      </c>
    </row>
    <row r="39680" spans="1:8" customFormat="1" x14ac:dyDescent="0.25">
      <c r="A39680" t="str">
        <f>"312409"</f>
        <v>312409</v>
      </c>
      <c r="B39680" t="s">
        <v>25159</v>
      </c>
      <c r="C39680" t="s">
        <v>25160</v>
      </c>
      <c r="D39680" s="21" t="s">
        <v>24820</v>
      </c>
      <c r="E39680" s="21" t="s">
        <v>71</v>
      </c>
      <c r="F39680">
        <v>11310008</v>
      </c>
      <c r="G39680" t="s">
        <v>4269</v>
      </c>
      <c r="H39680" s="21">
        <v>782.67</v>
      </c>
    </row>
    <row r="39681" spans="1:8" customFormat="1" x14ac:dyDescent="0.25">
      <c r="A39681" t="str">
        <f>"3331093"</f>
        <v>3331093</v>
      </c>
      <c r="B39681" t="s">
        <v>20858</v>
      </c>
      <c r="C39681" t="s">
        <v>24881</v>
      </c>
      <c r="D39681" s="21" t="s">
        <v>24820</v>
      </c>
      <c r="E39681" s="21" t="s">
        <v>254</v>
      </c>
      <c r="F39681">
        <v>10330020</v>
      </c>
      <c r="G39681" t="s">
        <v>7481</v>
      </c>
      <c r="H39681" s="21">
        <v>782.29</v>
      </c>
    </row>
    <row r="39682" spans="1:8" customFormat="1" x14ac:dyDescent="0.25">
      <c r="A39682" t="str">
        <f>"9242937"</f>
        <v>9242937</v>
      </c>
      <c r="B39682" t="s">
        <v>10832</v>
      </c>
      <c r="C39682" t="s">
        <v>20620</v>
      </c>
      <c r="D39682" s="21" t="s">
        <v>24820</v>
      </c>
      <c r="E39682" s="21" t="s">
        <v>71</v>
      </c>
      <c r="F39682">
        <v>8920063</v>
      </c>
      <c r="G39682" t="s">
        <v>219</v>
      </c>
      <c r="H39682" s="21">
        <v>781.17</v>
      </c>
    </row>
    <row r="39683" spans="1:8" customFormat="1" x14ac:dyDescent="0.25">
      <c r="A39683" t="str">
        <f>"898412"</f>
        <v>898412</v>
      </c>
      <c r="B39683" t="s">
        <v>25175</v>
      </c>
      <c r="C39683" t="s">
        <v>25176</v>
      </c>
      <c r="D39683" s="21" t="s">
        <v>24820</v>
      </c>
      <c r="E39683" s="21" t="s">
        <v>71</v>
      </c>
      <c r="F39683">
        <v>2890005</v>
      </c>
      <c r="G39683" t="s">
        <v>2889</v>
      </c>
      <c r="H39683" s="21">
        <v>780.42</v>
      </c>
    </row>
    <row r="39684" spans="1:8" customFormat="1" x14ac:dyDescent="0.25">
      <c r="A39684" t="str">
        <f>"9228140"</f>
        <v>9228140</v>
      </c>
      <c r="B39684" t="s">
        <v>5562</v>
      </c>
      <c r="C39684" t="s">
        <v>25086</v>
      </c>
      <c r="D39684" s="21" t="s">
        <v>24820</v>
      </c>
      <c r="E39684" s="21" t="s">
        <v>71</v>
      </c>
      <c r="F39684">
        <v>8920151</v>
      </c>
      <c r="G39684" t="s">
        <v>1434</v>
      </c>
      <c r="H39684" s="21">
        <v>780.42</v>
      </c>
    </row>
    <row r="39685" spans="1:8" customFormat="1" x14ac:dyDescent="0.25">
      <c r="A39685" t="str">
        <f>"5918631"</f>
        <v>5918631</v>
      </c>
      <c r="B39685" t="s">
        <v>9647</v>
      </c>
      <c r="C39685" t="s">
        <v>24833</v>
      </c>
      <c r="D39685" s="21" t="s">
        <v>24820</v>
      </c>
      <c r="E39685" s="21" t="s">
        <v>35</v>
      </c>
      <c r="F39685">
        <v>7590027</v>
      </c>
      <c r="G39685" t="s">
        <v>629</v>
      </c>
      <c r="H39685" s="21">
        <v>779.67</v>
      </c>
    </row>
    <row r="39686" spans="1:8" customFormat="1" x14ac:dyDescent="0.25">
      <c r="A39686" t="str">
        <f>"543926"</f>
        <v>543926</v>
      </c>
      <c r="B39686" t="s">
        <v>8397</v>
      </c>
      <c r="C39686" t="s">
        <v>25127</v>
      </c>
      <c r="D39686" s="21" t="s">
        <v>24820</v>
      </c>
      <c r="E39686" s="21" t="s">
        <v>71</v>
      </c>
      <c r="F39686">
        <v>6540040</v>
      </c>
      <c r="G39686" t="s">
        <v>256</v>
      </c>
      <c r="H39686" s="21">
        <v>779.17</v>
      </c>
    </row>
    <row r="39687" spans="1:8" customFormat="1" x14ac:dyDescent="0.25">
      <c r="A39687" t="str">
        <f>"7716447"</f>
        <v>7716447</v>
      </c>
      <c r="B39687" t="s">
        <v>7681</v>
      </c>
      <c r="C39687" t="s">
        <v>24926</v>
      </c>
      <c r="D39687" s="21" t="s">
        <v>24820</v>
      </c>
      <c r="E39687" s="21" t="s">
        <v>35</v>
      </c>
      <c r="F39687">
        <v>8771201</v>
      </c>
      <c r="G39687" t="s">
        <v>9153</v>
      </c>
      <c r="H39687" s="21">
        <v>778.42</v>
      </c>
    </row>
    <row r="39688" spans="1:8" customFormat="1" x14ac:dyDescent="0.25">
      <c r="A39688" t="str">
        <f>"173679"</f>
        <v>173679</v>
      </c>
      <c r="B39688" t="s">
        <v>25128</v>
      </c>
      <c r="C39688" t="s">
        <v>24889</v>
      </c>
      <c r="D39688" s="21" t="s">
        <v>24820</v>
      </c>
      <c r="E39688" s="21" t="s">
        <v>71</v>
      </c>
      <c r="F39688">
        <v>10170029</v>
      </c>
      <c r="G39688" t="s">
        <v>9383</v>
      </c>
      <c r="H39688" s="21">
        <v>778.42</v>
      </c>
    </row>
    <row r="39689" spans="1:8" customFormat="1" x14ac:dyDescent="0.25">
      <c r="A39689" t="str">
        <f>"724289"</f>
        <v>724289</v>
      </c>
      <c r="B39689" t="s">
        <v>13774</v>
      </c>
      <c r="C39689" t="s">
        <v>25104</v>
      </c>
      <c r="D39689" s="21" t="s">
        <v>24820</v>
      </c>
      <c r="E39689" s="21" t="s">
        <v>71</v>
      </c>
      <c r="F39689">
        <v>12720062</v>
      </c>
      <c r="G39689" t="s">
        <v>4026</v>
      </c>
      <c r="H39689" s="21">
        <v>777.17</v>
      </c>
    </row>
    <row r="39690" spans="1:8" customFormat="1" x14ac:dyDescent="0.25">
      <c r="A39690" t="str">
        <f>"6111796"</f>
        <v>6111796</v>
      </c>
      <c r="B39690" t="s">
        <v>9102</v>
      </c>
      <c r="C39690" t="s">
        <v>23734</v>
      </c>
      <c r="D39690" s="21" t="s">
        <v>24820</v>
      </c>
      <c r="E39690" s="21" t="s">
        <v>35</v>
      </c>
      <c r="F39690">
        <v>9610119</v>
      </c>
      <c r="G39690" t="s">
        <v>6655</v>
      </c>
      <c r="H39690" s="21">
        <v>776.79</v>
      </c>
    </row>
    <row r="39691" spans="1:8" customFormat="1" x14ac:dyDescent="0.25">
      <c r="A39691" t="str">
        <f>"4511223"</f>
        <v>4511223</v>
      </c>
      <c r="B39691" t="s">
        <v>7122</v>
      </c>
      <c r="C39691" t="s">
        <v>22831</v>
      </c>
      <c r="D39691" s="21" t="s">
        <v>24820</v>
      </c>
      <c r="E39691" s="21" t="s">
        <v>71</v>
      </c>
      <c r="F39691">
        <v>4450753</v>
      </c>
      <c r="G39691" t="s">
        <v>8786</v>
      </c>
      <c r="H39691" s="21">
        <v>776.67</v>
      </c>
    </row>
    <row r="39692" spans="1:8" customFormat="1" x14ac:dyDescent="0.25">
      <c r="A39692" t="str">
        <f>"16262"</f>
        <v>16262</v>
      </c>
      <c r="B39692" t="s">
        <v>2854</v>
      </c>
      <c r="C39692" t="s">
        <v>24958</v>
      </c>
      <c r="D39692" s="21" t="s">
        <v>24820</v>
      </c>
      <c r="E39692" s="21" t="s">
        <v>254</v>
      </c>
      <c r="F39692">
        <v>10160029</v>
      </c>
      <c r="G39692" t="s">
        <v>896</v>
      </c>
      <c r="H39692" s="21">
        <v>776.67</v>
      </c>
    </row>
    <row r="39693" spans="1:8" customFormat="1" x14ac:dyDescent="0.25">
      <c r="A39693" t="str">
        <f>"613626"</f>
        <v>613626</v>
      </c>
      <c r="B39693" t="s">
        <v>25112</v>
      </c>
      <c r="C39693" t="s">
        <v>24883</v>
      </c>
      <c r="D39693" s="21" t="s">
        <v>24820</v>
      </c>
      <c r="E39693" s="21" t="s">
        <v>35</v>
      </c>
      <c r="F39693">
        <v>9610144</v>
      </c>
      <c r="G39693" t="s">
        <v>6311</v>
      </c>
      <c r="H39693" s="21">
        <v>775.67</v>
      </c>
    </row>
    <row r="39694" spans="1:8" customFormat="1" x14ac:dyDescent="0.25">
      <c r="A39694" t="str">
        <f>"422388"</f>
        <v>422388</v>
      </c>
      <c r="B39694" t="s">
        <v>25102</v>
      </c>
      <c r="C39694" t="s">
        <v>24865</v>
      </c>
      <c r="D39694" s="21" t="s">
        <v>24820</v>
      </c>
      <c r="E39694" s="21" t="s">
        <v>71</v>
      </c>
      <c r="F39694">
        <v>1420124</v>
      </c>
      <c r="G39694" t="s">
        <v>3195</v>
      </c>
      <c r="H39694" s="21">
        <v>775.17</v>
      </c>
    </row>
    <row r="39695" spans="1:8" customFormat="1" x14ac:dyDescent="0.25">
      <c r="A39695" t="str">
        <f>"954606"</f>
        <v>954606</v>
      </c>
      <c r="B39695" t="s">
        <v>10460</v>
      </c>
      <c r="C39695" t="s">
        <v>24889</v>
      </c>
      <c r="D39695" s="21" t="s">
        <v>24820</v>
      </c>
      <c r="E39695" s="21" t="s">
        <v>71</v>
      </c>
      <c r="F39695">
        <v>12850046</v>
      </c>
      <c r="G39695" t="s">
        <v>3136</v>
      </c>
      <c r="H39695" s="21">
        <v>774.67</v>
      </c>
    </row>
    <row r="39696" spans="1:8" customFormat="1" x14ac:dyDescent="0.25">
      <c r="A39696" t="str">
        <f>"7520384"</f>
        <v>7520384</v>
      </c>
      <c r="B39696" t="s">
        <v>25225</v>
      </c>
      <c r="C39696" t="s">
        <v>24988</v>
      </c>
      <c r="D39696" s="21" t="s">
        <v>24820</v>
      </c>
      <c r="E39696" s="21" t="s">
        <v>35</v>
      </c>
      <c r="F39696">
        <v>8750141</v>
      </c>
      <c r="G39696" t="s">
        <v>1514</v>
      </c>
      <c r="H39696" s="21">
        <v>774.67</v>
      </c>
    </row>
    <row r="39697" spans="1:8" customFormat="1" x14ac:dyDescent="0.25">
      <c r="A39697" t="str">
        <f>"7714924"</f>
        <v>7714924</v>
      </c>
      <c r="B39697" t="s">
        <v>8161</v>
      </c>
      <c r="C39697" t="s">
        <v>24890</v>
      </c>
      <c r="D39697" s="21" t="s">
        <v>24820</v>
      </c>
      <c r="E39697" s="21" t="s">
        <v>1089</v>
      </c>
      <c r="F39697">
        <v>7590392</v>
      </c>
      <c r="G39697" t="s">
        <v>154</v>
      </c>
      <c r="H39697" s="21">
        <v>774.29</v>
      </c>
    </row>
    <row r="39698" spans="1:8" customFormat="1" x14ac:dyDescent="0.25">
      <c r="A39698" t="str">
        <f>"2711386"</f>
        <v>2711386</v>
      </c>
      <c r="B39698" t="s">
        <v>4558</v>
      </c>
      <c r="C39698" t="s">
        <v>22831</v>
      </c>
      <c r="D39698" s="21" t="s">
        <v>24820</v>
      </c>
      <c r="E39698" s="21" t="s">
        <v>71</v>
      </c>
      <c r="F39698">
        <v>9270183</v>
      </c>
      <c r="G39698" t="s">
        <v>9801</v>
      </c>
      <c r="H39698" s="21">
        <v>773.92</v>
      </c>
    </row>
    <row r="39699" spans="1:8" customFormat="1" x14ac:dyDescent="0.25">
      <c r="A39699" t="str">
        <f>"8513087"</f>
        <v>8513087</v>
      </c>
      <c r="B39699" t="s">
        <v>25129</v>
      </c>
      <c r="C39699" t="s">
        <v>25130</v>
      </c>
      <c r="D39699" s="21" t="s">
        <v>24820</v>
      </c>
      <c r="E39699" s="21" t="s">
        <v>35</v>
      </c>
      <c r="F39699">
        <v>12850134</v>
      </c>
      <c r="G39699" t="s">
        <v>2359</v>
      </c>
      <c r="H39699" s="21">
        <v>772.67</v>
      </c>
    </row>
    <row r="39700" spans="1:8" customFormat="1" x14ac:dyDescent="0.25">
      <c r="A39700" t="str">
        <f>"316776"</f>
        <v>316776</v>
      </c>
      <c r="B39700" t="s">
        <v>25207</v>
      </c>
      <c r="C39700" t="s">
        <v>24968</v>
      </c>
      <c r="D39700" s="21" t="s">
        <v>24820</v>
      </c>
      <c r="E39700" s="21" t="s">
        <v>71</v>
      </c>
      <c r="F39700">
        <v>11310123</v>
      </c>
      <c r="G39700" t="s">
        <v>3915</v>
      </c>
      <c r="H39700" s="21">
        <v>771.67</v>
      </c>
    </row>
    <row r="39701" spans="1:8" customFormat="1" x14ac:dyDescent="0.25">
      <c r="A39701" t="str">
        <f>"3343596"</f>
        <v>3343596</v>
      </c>
      <c r="B39701" t="s">
        <v>4834</v>
      </c>
      <c r="C39701" t="s">
        <v>24867</v>
      </c>
      <c r="D39701" s="21" t="s">
        <v>24820</v>
      </c>
      <c r="E39701" s="21" t="s">
        <v>35</v>
      </c>
      <c r="F39701">
        <v>10330019</v>
      </c>
      <c r="G39701" t="s">
        <v>1761</v>
      </c>
      <c r="H39701" s="21">
        <v>771.17</v>
      </c>
    </row>
    <row r="39702" spans="1:8" customFormat="1" x14ac:dyDescent="0.25">
      <c r="A39702" t="str">
        <f>"6225508"</f>
        <v>6225508</v>
      </c>
      <c r="B39702" t="s">
        <v>25304</v>
      </c>
      <c r="C39702" t="s">
        <v>24932</v>
      </c>
      <c r="D39702" s="21" t="s">
        <v>24820</v>
      </c>
      <c r="E39702" s="21" t="s">
        <v>71</v>
      </c>
      <c r="F39702">
        <v>7620104</v>
      </c>
      <c r="G39702" t="s">
        <v>635</v>
      </c>
      <c r="H39702" s="21">
        <v>770.42</v>
      </c>
    </row>
    <row r="39703" spans="1:8" customFormat="1" x14ac:dyDescent="0.25">
      <c r="A39703" t="str">
        <f>"4426398"</f>
        <v>4426398</v>
      </c>
      <c r="B39703" t="s">
        <v>2598</v>
      </c>
      <c r="C39703" t="s">
        <v>24939</v>
      </c>
      <c r="D39703" s="21" t="s">
        <v>24820</v>
      </c>
      <c r="E39703" s="21" t="s">
        <v>1089</v>
      </c>
      <c r="F39703">
        <v>12440262</v>
      </c>
      <c r="G39703" t="s">
        <v>4590</v>
      </c>
      <c r="H39703" s="21">
        <v>770.17</v>
      </c>
    </row>
    <row r="39704" spans="1:8" customFormat="1" x14ac:dyDescent="0.25">
      <c r="A39704" t="str">
        <f>"3323756"</f>
        <v>3323756</v>
      </c>
      <c r="B39704" t="s">
        <v>25294</v>
      </c>
      <c r="C39704" t="s">
        <v>24840</v>
      </c>
      <c r="D39704" s="21" t="s">
        <v>24820</v>
      </c>
      <c r="E39704" s="21" t="s">
        <v>35</v>
      </c>
      <c r="F39704">
        <v>10330003</v>
      </c>
      <c r="G39704" t="s">
        <v>309</v>
      </c>
      <c r="H39704" s="21">
        <v>769.29</v>
      </c>
    </row>
    <row r="39705" spans="1:8" customFormat="1" x14ac:dyDescent="0.25">
      <c r="A39705" t="str">
        <f>"4447515"</f>
        <v>4447515</v>
      </c>
      <c r="B39705" t="s">
        <v>29749</v>
      </c>
      <c r="C39705" t="s">
        <v>26120</v>
      </c>
      <c r="D39705" s="21" t="s">
        <v>24820</v>
      </c>
      <c r="E39705" s="21" t="s">
        <v>35</v>
      </c>
      <c r="F39705">
        <v>12440042</v>
      </c>
      <c r="G39705" t="s">
        <v>10312</v>
      </c>
      <c r="H39705" s="21">
        <v>768.67</v>
      </c>
    </row>
    <row r="39706" spans="1:8" customFormat="1" x14ac:dyDescent="0.25">
      <c r="A39706" t="str">
        <f>"99202"</f>
        <v>99202</v>
      </c>
      <c r="B39706" t="s">
        <v>7614</v>
      </c>
      <c r="C39706" t="s">
        <v>25141</v>
      </c>
      <c r="D39706" s="21" t="s">
        <v>24820</v>
      </c>
      <c r="E39706" s="21" t="s">
        <v>71</v>
      </c>
      <c r="F39706">
        <v>5990009</v>
      </c>
      <c r="G39706" t="s">
        <v>3127</v>
      </c>
      <c r="H39706" s="21">
        <v>768.54</v>
      </c>
    </row>
    <row r="39707" spans="1:8" customFormat="1" x14ac:dyDescent="0.25">
      <c r="A39707" t="str">
        <f>"4419435"</f>
        <v>4419435</v>
      </c>
      <c r="B39707" t="s">
        <v>672</v>
      </c>
      <c r="C39707" t="s">
        <v>24932</v>
      </c>
      <c r="D39707" s="21" t="s">
        <v>24820</v>
      </c>
      <c r="E39707" s="21" t="s">
        <v>71</v>
      </c>
      <c r="F39707">
        <v>12440023</v>
      </c>
      <c r="G39707" t="s">
        <v>3507</v>
      </c>
      <c r="H39707" s="21">
        <v>768.17</v>
      </c>
    </row>
    <row r="39708" spans="1:8" customFormat="1" x14ac:dyDescent="0.25">
      <c r="A39708" t="str">
        <f>"9143597"</f>
        <v>9143597</v>
      </c>
      <c r="B39708" t="s">
        <v>25110</v>
      </c>
      <c r="C39708" t="s">
        <v>24914</v>
      </c>
      <c r="D39708" s="21" t="s">
        <v>24820</v>
      </c>
      <c r="E39708" s="21" t="s">
        <v>35</v>
      </c>
      <c r="F39708">
        <v>8910914</v>
      </c>
      <c r="G39708" t="s">
        <v>3302</v>
      </c>
      <c r="H39708" s="21">
        <v>767.67</v>
      </c>
    </row>
    <row r="39709" spans="1:8" customFormat="1" x14ac:dyDescent="0.25">
      <c r="A39709" t="str">
        <f>"026399"</f>
        <v>026399</v>
      </c>
      <c r="B39709" t="s">
        <v>461</v>
      </c>
      <c r="C39709" t="s">
        <v>24883</v>
      </c>
      <c r="D39709" s="21" t="s">
        <v>24820</v>
      </c>
      <c r="E39709" s="21" t="s">
        <v>71</v>
      </c>
      <c r="F39709">
        <v>7600027</v>
      </c>
      <c r="G39709" t="s">
        <v>2137</v>
      </c>
      <c r="H39709" s="21">
        <v>766.67</v>
      </c>
    </row>
    <row r="39710" spans="1:8" customFormat="1" x14ac:dyDescent="0.25">
      <c r="A39710" t="str">
        <f>"6219999"</f>
        <v>6219999</v>
      </c>
      <c r="B39710" t="s">
        <v>14794</v>
      </c>
      <c r="C39710" t="s">
        <v>25107</v>
      </c>
      <c r="D39710" s="21" t="s">
        <v>24820</v>
      </c>
      <c r="E39710" s="21" t="s">
        <v>35</v>
      </c>
      <c r="F39710">
        <v>7620067</v>
      </c>
      <c r="G39710" t="s">
        <v>860</v>
      </c>
      <c r="H39710" s="21">
        <v>766.17</v>
      </c>
    </row>
    <row r="39711" spans="1:8" customFormat="1" x14ac:dyDescent="0.25">
      <c r="A39711" t="str">
        <f>"8526184"</f>
        <v>8526184</v>
      </c>
      <c r="B39711" t="s">
        <v>10642</v>
      </c>
      <c r="C39711" t="s">
        <v>25271</v>
      </c>
      <c r="D39711" s="21" t="s">
        <v>24820</v>
      </c>
      <c r="E39711" s="21" t="s">
        <v>35</v>
      </c>
      <c r="F39711">
        <v>12850108</v>
      </c>
      <c r="G39711" t="s">
        <v>11093</v>
      </c>
      <c r="H39711" s="21">
        <v>765.17</v>
      </c>
    </row>
    <row r="39712" spans="1:8" customFormat="1" x14ac:dyDescent="0.25">
      <c r="A39712" t="str">
        <f>"491461"</f>
        <v>491461</v>
      </c>
      <c r="B39712" t="s">
        <v>11543</v>
      </c>
      <c r="C39712" t="s">
        <v>24883</v>
      </c>
      <c r="D39712" s="21" t="s">
        <v>24820</v>
      </c>
      <c r="E39712" s="21" t="s">
        <v>35</v>
      </c>
      <c r="F39712">
        <v>12490064</v>
      </c>
      <c r="G39712" t="s">
        <v>8425</v>
      </c>
      <c r="H39712" s="21">
        <v>764.92</v>
      </c>
    </row>
    <row r="39713" spans="1:8" customFormat="1" x14ac:dyDescent="0.25">
      <c r="A39713" t="str">
        <f>"425829"</f>
        <v>425829</v>
      </c>
      <c r="B39713" t="s">
        <v>765</v>
      </c>
      <c r="C39713" t="s">
        <v>24831</v>
      </c>
      <c r="D39713" s="21" t="s">
        <v>24820</v>
      </c>
      <c r="E39713" s="21" t="s">
        <v>35</v>
      </c>
      <c r="F39713">
        <v>1380005</v>
      </c>
      <c r="G39713" t="s">
        <v>3119</v>
      </c>
      <c r="H39713" s="21">
        <v>764.67</v>
      </c>
    </row>
    <row r="39714" spans="1:8" customFormat="1" x14ac:dyDescent="0.25">
      <c r="A39714" t="str">
        <f>"64283"</f>
        <v>64283</v>
      </c>
      <c r="B39714" t="s">
        <v>25314</v>
      </c>
      <c r="C39714" t="s">
        <v>24909</v>
      </c>
      <c r="D39714" s="21" t="s">
        <v>24820</v>
      </c>
      <c r="E39714" s="21" t="s">
        <v>254</v>
      </c>
      <c r="F39714">
        <v>10640006</v>
      </c>
      <c r="G39714" t="s">
        <v>3872</v>
      </c>
      <c r="H39714" s="21">
        <v>763.54</v>
      </c>
    </row>
    <row r="39715" spans="1:8" customFormat="1" x14ac:dyDescent="0.25">
      <c r="A39715" t="str">
        <f>"243894"</f>
        <v>243894</v>
      </c>
      <c r="B39715" t="s">
        <v>138</v>
      </c>
      <c r="C39715" t="s">
        <v>25105</v>
      </c>
      <c r="D39715" s="21" t="s">
        <v>24820</v>
      </c>
      <c r="E39715" s="21" t="s">
        <v>35</v>
      </c>
      <c r="F39715">
        <v>12440127</v>
      </c>
      <c r="G39715" t="s">
        <v>7692</v>
      </c>
      <c r="H39715" s="21">
        <v>763.17</v>
      </c>
    </row>
    <row r="39716" spans="1:8" customFormat="1" x14ac:dyDescent="0.25">
      <c r="A39716" t="str">
        <f>"2924716"</f>
        <v>2924716</v>
      </c>
      <c r="B39716" t="s">
        <v>23666</v>
      </c>
      <c r="C39716" t="s">
        <v>22831</v>
      </c>
      <c r="D39716" s="21" t="s">
        <v>24820</v>
      </c>
      <c r="E39716" s="21" t="s">
        <v>35</v>
      </c>
      <c r="F39716">
        <v>3290047</v>
      </c>
      <c r="G39716" t="s">
        <v>2874</v>
      </c>
      <c r="H39716" s="21">
        <v>762.92</v>
      </c>
    </row>
    <row r="39717" spans="1:8" customFormat="1" x14ac:dyDescent="0.25">
      <c r="A39717" t="str">
        <f>"618078"</f>
        <v>618078</v>
      </c>
      <c r="B39717" t="s">
        <v>25154</v>
      </c>
      <c r="C39717" t="s">
        <v>25155</v>
      </c>
      <c r="D39717" s="21" t="s">
        <v>24820</v>
      </c>
      <c r="E39717" s="21" t="s">
        <v>71</v>
      </c>
      <c r="F39717">
        <v>9610009</v>
      </c>
      <c r="G39717" t="s">
        <v>282</v>
      </c>
      <c r="H39717" s="21">
        <v>762.17</v>
      </c>
    </row>
    <row r="39718" spans="1:8" customFormat="1" x14ac:dyDescent="0.25">
      <c r="A39718" t="str">
        <f>"507473"</f>
        <v>507473</v>
      </c>
      <c r="B39718" t="s">
        <v>24533</v>
      </c>
      <c r="C39718" t="s">
        <v>24931</v>
      </c>
      <c r="D39718" s="21" t="s">
        <v>24820</v>
      </c>
      <c r="E39718" s="21" t="s">
        <v>71</v>
      </c>
      <c r="F39718">
        <v>9500139</v>
      </c>
      <c r="G39718" t="s">
        <v>6892</v>
      </c>
      <c r="H39718" s="21">
        <v>762.17</v>
      </c>
    </row>
    <row r="39719" spans="1:8" customFormat="1" x14ac:dyDescent="0.25">
      <c r="A39719" t="str">
        <f>"4411850"</f>
        <v>4411850</v>
      </c>
      <c r="B39719" t="s">
        <v>1788</v>
      </c>
      <c r="C39719" t="s">
        <v>24865</v>
      </c>
      <c r="D39719" s="21" t="s">
        <v>24820</v>
      </c>
      <c r="E39719" s="21" t="s">
        <v>71</v>
      </c>
      <c r="F39719">
        <v>12440002</v>
      </c>
      <c r="G39719" t="s">
        <v>47</v>
      </c>
      <c r="H39719" s="21">
        <v>761.17</v>
      </c>
    </row>
    <row r="39720" spans="1:8" customFormat="1" x14ac:dyDescent="0.25">
      <c r="A39720" t="str">
        <f>"03185"</f>
        <v>03185</v>
      </c>
      <c r="B39720" t="s">
        <v>23045</v>
      </c>
      <c r="C39720" t="s">
        <v>24854</v>
      </c>
      <c r="D39720" s="21" t="s">
        <v>24820</v>
      </c>
      <c r="E39720" s="21" t="s">
        <v>71</v>
      </c>
      <c r="F39720">
        <v>1030042</v>
      </c>
      <c r="G39720" t="s">
        <v>7798</v>
      </c>
      <c r="H39720" s="21">
        <v>761.17</v>
      </c>
    </row>
    <row r="39721" spans="1:8" customFormat="1" x14ac:dyDescent="0.25">
      <c r="A39721" t="str">
        <f>"753724"</f>
        <v>753724</v>
      </c>
      <c r="B39721" t="s">
        <v>25139</v>
      </c>
      <c r="C39721" t="s">
        <v>24927</v>
      </c>
      <c r="D39721" s="21" t="s">
        <v>24820</v>
      </c>
      <c r="E39721" s="21" t="s">
        <v>254</v>
      </c>
      <c r="F39721">
        <v>8750007</v>
      </c>
      <c r="G39721" t="s">
        <v>775</v>
      </c>
      <c r="H39721" s="21">
        <v>760.67</v>
      </c>
    </row>
    <row r="39722" spans="1:8" customFormat="1" x14ac:dyDescent="0.25">
      <c r="A39722" t="str">
        <f>"5422242"</f>
        <v>5422242</v>
      </c>
      <c r="B39722" t="s">
        <v>25137</v>
      </c>
      <c r="C39722" t="s">
        <v>24958</v>
      </c>
      <c r="D39722" s="21" t="s">
        <v>24820</v>
      </c>
      <c r="E39722" s="21" t="s">
        <v>71</v>
      </c>
      <c r="F39722">
        <v>6540187</v>
      </c>
      <c r="G39722" t="s">
        <v>4563</v>
      </c>
      <c r="H39722" s="21">
        <v>760.67</v>
      </c>
    </row>
    <row r="39723" spans="1:8" customFormat="1" x14ac:dyDescent="0.25">
      <c r="A39723" t="str">
        <f>"4411721"</f>
        <v>4411721</v>
      </c>
      <c r="B39723" t="s">
        <v>25135</v>
      </c>
      <c r="C39723" t="s">
        <v>25136</v>
      </c>
      <c r="D39723" s="21" t="s">
        <v>24820</v>
      </c>
      <c r="E39723" s="21" t="s">
        <v>254</v>
      </c>
      <c r="F39723">
        <v>12440092</v>
      </c>
      <c r="G39723" t="s">
        <v>8475</v>
      </c>
      <c r="H39723" s="21">
        <v>760.42</v>
      </c>
    </row>
    <row r="39724" spans="1:8" customFormat="1" x14ac:dyDescent="0.25">
      <c r="A39724" t="str">
        <f>"122582"</f>
        <v>122582</v>
      </c>
      <c r="B39724" t="s">
        <v>25148</v>
      </c>
      <c r="C39724" t="s">
        <v>24831</v>
      </c>
      <c r="D39724" s="21" t="s">
        <v>24820</v>
      </c>
      <c r="E39724" s="21" t="s">
        <v>35</v>
      </c>
      <c r="F39724">
        <v>11120017</v>
      </c>
      <c r="G39724" t="s">
        <v>6560</v>
      </c>
      <c r="H39724" s="21">
        <v>759.79</v>
      </c>
    </row>
    <row r="39725" spans="1:8" customFormat="1" x14ac:dyDescent="0.25">
      <c r="A39725" t="str">
        <f>"7859860"</f>
        <v>7859860</v>
      </c>
      <c r="B39725" t="s">
        <v>29750</v>
      </c>
      <c r="C39725" t="s">
        <v>29751</v>
      </c>
      <c r="D39725" s="21" t="s">
        <v>24820</v>
      </c>
      <c r="E39725" s="21" t="s">
        <v>35</v>
      </c>
      <c r="F39725">
        <v>8781017</v>
      </c>
      <c r="G39725" t="s">
        <v>2581</v>
      </c>
      <c r="H39725" s="21">
        <v>759.79</v>
      </c>
    </row>
    <row r="39726" spans="1:8" customFormat="1" x14ac:dyDescent="0.25">
      <c r="A39726" t="str">
        <f>"794464"</f>
        <v>794464</v>
      </c>
      <c r="B39726" t="s">
        <v>16156</v>
      </c>
      <c r="C39726" t="s">
        <v>23734</v>
      </c>
      <c r="D39726" s="21" t="s">
        <v>24820</v>
      </c>
      <c r="E39726" s="21" t="s">
        <v>71</v>
      </c>
      <c r="F39726">
        <v>10790020</v>
      </c>
      <c r="G39726" t="s">
        <v>10221</v>
      </c>
      <c r="H39726" s="21">
        <v>759.67</v>
      </c>
    </row>
    <row r="39727" spans="1:8" customFormat="1" x14ac:dyDescent="0.25">
      <c r="A39727" t="str">
        <f>"8522632"</f>
        <v>8522632</v>
      </c>
      <c r="B39727" t="s">
        <v>25150</v>
      </c>
      <c r="C39727" t="s">
        <v>24846</v>
      </c>
      <c r="D39727" s="21" t="s">
        <v>24820</v>
      </c>
      <c r="E39727" s="21" t="s">
        <v>35</v>
      </c>
      <c r="F39727">
        <v>12851011</v>
      </c>
      <c r="G39727" t="s">
        <v>1445</v>
      </c>
      <c r="H39727" s="21">
        <v>759.67</v>
      </c>
    </row>
    <row r="39728" spans="1:8" customFormat="1" x14ac:dyDescent="0.25">
      <c r="A39728" t="str">
        <f>"153134"</f>
        <v>153134</v>
      </c>
      <c r="B39728" t="s">
        <v>8713</v>
      </c>
      <c r="C39728" t="s">
        <v>25218</v>
      </c>
      <c r="D39728" s="21" t="s">
        <v>24820</v>
      </c>
      <c r="E39728" s="21" t="s">
        <v>35</v>
      </c>
      <c r="F39728">
        <v>1150290</v>
      </c>
      <c r="G39728" t="s">
        <v>12544</v>
      </c>
      <c r="H39728" s="21">
        <v>759.04</v>
      </c>
    </row>
    <row r="39729" spans="1:8" customFormat="1" x14ac:dyDescent="0.25">
      <c r="A39729" t="str">
        <f>"6922639"</f>
        <v>6922639</v>
      </c>
      <c r="B39729" t="s">
        <v>4095</v>
      </c>
      <c r="C39729" t="s">
        <v>24958</v>
      </c>
      <c r="D39729" s="21" t="s">
        <v>24820</v>
      </c>
      <c r="E39729" s="21" t="s">
        <v>35</v>
      </c>
      <c r="F39729">
        <v>1740020</v>
      </c>
      <c r="G39729" t="s">
        <v>881</v>
      </c>
      <c r="H39729" s="21">
        <v>758.67</v>
      </c>
    </row>
    <row r="39730" spans="1:8" customFormat="1" x14ac:dyDescent="0.25">
      <c r="A39730" t="str">
        <f>"93197"</f>
        <v>93197</v>
      </c>
      <c r="B39730" t="s">
        <v>25134</v>
      </c>
      <c r="C39730" t="s">
        <v>24931</v>
      </c>
      <c r="D39730" s="21" t="s">
        <v>24820</v>
      </c>
      <c r="E39730" s="21" t="s">
        <v>1089</v>
      </c>
      <c r="F39730">
        <v>8930452</v>
      </c>
      <c r="G39730" t="s">
        <v>83</v>
      </c>
      <c r="H39730" s="21">
        <v>758.54</v>
      </c>
    </row>
    <row r="39731" spans="1:8" customFormat="1" x14ac:dyDescent="0.25">
      <c r="A39731" t="str">
        <f>"767920"</f>
        <v>767920</v>
      </c>
      <c r="B39731" t="s">
        <v>213</v>
      </c>
      <c r="C39731" t="s">
        <v>25019</v>
      </c>
      <c r="D39731" s="21" t="s">
        <v>24820</v>
      </c>
      <c r="E39731" s="21" t="s">
        <v>35</v>
      </c>
      <c r="F39731">
        <v>9760167</v>
      </c>
      <c r="G39731" t="s">
        <v>13836</v>
      </c>
      <c r="H39731" s="21">
        <v>758.17</v>
      </c>
    </row>
    <row r="39732" spans="1:8" customFormat="1" x14ac:dyDescent="0.25">
      <c r="A39732" t="str">
        <f>"636870"</f>
        <v>636870</v>
      </c>
      <c r="B39732" t="s">
        <v>9716</v>
      </c>
      <c r="C39732" t="s">
        <v>24897</v>
      </c>
      <c r="D39732" s="21" t="s">
        <v>24820</v>
      </c>
      <c r="E39732" s="21" t="s">
        <v>254</v>
      </c>
      <c r="F39732">
        <v>10190133</v>
      </c>
      <c r="G39732" t="s">
        <v>13392</v>
      </c>
      <c r="H39732" s="21">
        <v>757.67</v>
      </c>
    </row>
    <row r="39733" spans="1:8" customFormat="1" x14ac:dyDescent="0.25">
      <c r="A39733" t="str">
        <f>"3715803"</f>
        <v>3715803</v>
      </c>
      <c r="B39733" t="s">
        <v>25131</v>
      </c>
      <c r="C39733" t="s">
        <v>25132</v>
      </c>
      <c r="D39733" s="21" t="s">
        <v>24820</v>
      </c>
      <c r="E39733" s="21" t="s">
        <v>254</v>
      </c>
      <c r="F39733">
        <v>4370002</v>
      </c>
      <c r="G39733" t="s">
        <v>112</v>
      </c>
      <c r="H39733" s="21">
        <v>755.67</v>
      </c>
    </row>
    <row r="39734" spans="1:8" customFormat="1" x14ac:dyDescent="0.25">
      <c r="A39734" t="str">
        <f>"414375"</f>
        <v>414375</v>
      </c>
      <c r="B39734" t="s">
        <v>23197</v>
      </c>
      <c r="C39734" t="s">
        <v>24892</v>
      </c>
      <c r="D39734" s="21" t="s">
        <v>24820</v>
      </c>
      <c r="E39734" s="21" t="s">
        <v>71</v>
      </c>
      <c r="F39734">
        <v>4410636</v>
      </c>
      <c r="G39734" t="s">
        <v>8111</v>
      </c>
      <c r="H39734" s="21">
        <v>755.04</v>
      </c>
    </row>
    <row r="39735" spans="1:8" customFormat="1" x14ac:dyDescent="0.25">
      <c r="A39735" t="str">
        <f>"768210"</f>
        <v>768210</v>
      </c>
      <c r="B39735" t="s">
        <v>29752</v>
      </c>
      <c r="C39735" t="s">
        <v>24881</v>
      </c>
      <c r="D39735" s="21" t="s">
        <v>24820</v>
      </c>
      <c r="E39735" s="21" t="s">
        <v>254</v>
      </c>
      <c r="F39735">
        <v>9760342</v>
      </c>
      <c r="G39735" t="s">
        <v>3619</v>
      </c>
      <c r="H39735" s="21">
        <v>754.17</v>
      </c>
    </row>
    <row r="39736" spans="1:8" customFormat="1" x14ac:dyDescent="0.25">
      <c r="A39736" t="str">
        <f>"395581"</f>
        <v>395581</v>
      </c>
      <c r="B39736" t="s">
        <v>6665</v>
      </c>
      <c r="C39736" t="s">
        <v>24932</v>
      </c>
      <c r="D39736" s="21" t="s">
        <v>24820</v>
      </c>
      <c r="E39736" s="21" t="s">
        <v>71</v>
      </c>
      <c r="F39736">
        <v>2390001</v>
      </c>
      <c r="G39736" t="s">
        <v>6664</v>
      </c>
      <c r="H39736" s="21">
        <v>753.92</v>
      </c>
    </row>
    <row r="39737" spans="1:8" customFormat="1" x14ac:dyDescent="0.25">
      <c r="A39737" t="str">
        <f>"7113674"</f>
        <v>7113674</v>
      </c>
      <c r="B39737" t="s">
        <v>4278</v>
      </c>
      <c r="C39737" t="s">
        <v>24947</v>
      </c>
      <c r="D39737" s="21" t="s">
        <v>24820</v>
      </c>
      <c r="E39737" s="21" t="s">
        <v>35</v>
      </c>
      <c r="F39737">
        <v>2710025</v>
      </c>
      <c r="G39737" t="s">
        <v>2719</v>
      </c>
      <c r="H39737" s="21">
        <v>752.92</v>
      </c>
    </row>
    <row r="39738" spans="1:8" customFormat="1" x14ac:dyDescent="0.25">
      <c r="A39738" t="str">
        <f>"4512331"</f>
        <v>4512331</v>
      </c>
      <c r="B39738" t="s">
        <v>3347</v>
      </c>
      <c r="C39738" t="s">
        <v>25540</v>
      </c>
      <c r="D39738" s="21" t="s">
        <v>24820</v>
      </c>
      <c r="E39738" s="21" t="s">
        <v>71</v>
      </c>
      <c r="F39738">
        <v>4450285</v>
      </c>
      <c r="G39738" t="s">
        <v>7118</v>
      </c>
      <c r="H39738" s="21">
        <v>752.67</v>
      </c>
    </row>
    <row r="39739" spans="1:8" customFormat="1" x14ac:dyDescent="0.25">
      <c r="A39739" t="str">
        <f>"758788"</f>
        <v>758788</v>
      </c>
      <c r="B39739" t="s">
        <v>25162</v>
      </c>
      <c r="C39739" t="s">
        <v>25163</v>
      </c>
      <c r="D39739" s="21" t="s">
        <v>24820</v>
      </c>
      <c r="E39739" s="21" t="s">
        <v>254</v>
      </c>
      <c r="F39739">
        <v>8920063</v>
      </c>
      <c r="G39739" t="s">
        <v>219</v>
      </c>
      <c r="H39739" s="21">
        <v>752.17</v>
      </c>
    </row>
    <row r="39740" spans="1:8" customFormat="1" x14ac:dyDescent="0.25">
      <c r="A39740" t="str">
        <f>"835247"</f>
        <v>835247</v>
      </c>
      <c r="B39740" t="s">
        <v>3848</v>
      </c>
      <c r="C39740" t="s">
        <v>24915</v>
      </c>
      <c r="D39740" s="21" t="s">
        <v>24820</v>
      </c>
      <c r="E39740" s="21" t="s">
        <v>35</v>
      </c>
      <c r="F39740">
        <v>13830085</v>
      </c>
      <c r="G39740" t="s">
        <v>478</v>
      </c>
      <c r="H39740" s="21">
        <v>751.67</v>
      </c>
    </row>
    <row r="39741" spans="1:8" customFormat="1" x14ac:dyDescent="0.25">
      <c r="A39741" t="str">
        <f>"795781"</f>
        <v>795781</v>
      </c>
      <c r="B39741" t="s">
        <v>5059</v>
      </c>
      <c r="C39741" t="s">
        <v>24904</v>
      </c>
      <c r="D39741" s="21" t="s">
        <v>24820</v>
      </c>
      <c r="E39741" s="21" t="s">
        <v>35</v>
      </c>
      <c r="F39741">
        <v>10790204</v>
      </c>
      <c r="G39741" t="s">
        <v>5681</v>
      </c>
      <c r="H39741" s="21">
        <v>750.67</v>
      </c>
    </row>
    <row r="39742" spans="1:8" customFormat="1" x14ac:dyDescent="0.25">
      <c r="A39742" t="str">
        <f>"4922401"</f>
        <v>4922401</v>
      </c>
      <c r="B39742" t="s">
        <v>4033</v>
      </c>
      <c r="C39742" t="s">
        <v>24840</v>
      </c>
      <c r="D39742" s="21" t="s">
        <v>24820</v>
      </c>
      <c r="E39742" s="21" t="s">
        <v>35</v>
      </c>
      <c r="F39742">
        <v>12490127</v>
      </c>
      <c r="G39742" t="s">
        <v>4034</v>
      </c>
      <c r="H39742" s="21">
        <v>750.67</v>
      </c>
    </row>
    <row r="39743" spans="1:8" customFormat="1" x14ac:dyDescent="0.25">
      <c r="A39743" t="str">
        <f>"9212094"</f>
        <v>9212094</v>
      </c>
      <c r="B39743" t="s">
        <v>18020</v>
      </c>
      <c r="C39743" t="s">
        <v>24909</v>
      </c>
      <c r="D39743" s="21" t="s">
        <v>24820</v>
      </c>
      <c r="E39743" s="21" t="s">
        <v>254</v>
      </c>
      <c r="F39743">
        <v>8920151</v>
      </c>
      <c r="G39743" t="s">
        <v>1434</v>
      </c>
      <c r="H39743" s="21">
        <v>750.67</v>
      </c>
    </row>
    <row r="39744" spans="1:8" customFormat="1" x14ac:dyDescent="0.25">
      <c r="A39744" t="str">
        <f>"792337"</f>
        <v>792337</v>
      </c>
      <c r="B39744" t="s">
        <v>25147</v>
      </c>
      <c r="C39744" t="s">
        <v>24833</v>
      </c>
      <c r="D39744" s="21" t="s">
        <v>24820</v>
      </c>
      <c r="E39744" s="21" t="s">
        <v>35</v>
      </c>
      <c r="F39744">
        <v>10790038</v>
      </c>
      <c r="G39744" t="s">
        <v>5857</v>
      </c>
      <c r="H39744" s="21">
        <v>749.92</v>
      </c>
    </row>
    <row r="39745" spans="1:8" customFormat="1" x14ac:dyDescent="0.25">
      <c r="A39745" t="str">
        <f>"194056"</f>
        <v>194056</v>
      </c>
      <c r="B39745" t="s">
        <v>25277</v>
      </c>
      <c r="C39745" t="s">
        <v>22831</v>
      </c>
      <c r="D39745" s="21" t="s">
        <v>24820</v>
      </c>
      <c r="E39745" s="21" t="s">
        <v>71</v>
      </c>
      <c r="F39745">
        <v>10190096</v>
      </c>
      <c r="G39745" t="s">
        <v>3949</v>
      </c>
      <c r="H39745" s="21">
        <v>749.67</v>
      </c>
    </row>
    <row r="39746" spans="1:8" customFormat="1" x14ac:dyDescent="0.25">
      <c r="A39746" t="str">
        <f>"4435418"</f>
        <v>4435418</v>
      </c>
      <c r="B39746" t="s">
        <v>6001</v>
      </c>
      <c r="C39746" t="s">
        <v>24894</v>
      </c>
      <c r="D39746" s="21" t="s">
        <v>24820</v>
      </c>
      <c r="E39746" s="21" t="s">
        <v>35</v>
      </c>
      <c r="F39746">
        <v>12440195</v>
      </c>
      <c r="G39746" t="s">
        <v>3117</v>
      </c>
      <c r="H39746" s="21">
        <v>749.17</v>
      </c>
    </row>
    <row r="39747" spans="1:8" customFormat="1" x14ac:dyDescent="0.25">
      <c r="A39747" t="str">
        <f>"534138"</f>
        <v>534138</v>
      </c>
      <c r="B39747" t="s">
        <v>3189</v>
      </c>
      <c r="C39747" t="s">
        <v>25157</v>
      </c>
      <c r="D39747" s="21" t="s">
        <v>24820</v>
      </c>
      <c r="E39747" s="21" t="s">
        <v>71</v>
      </c>
      <c r="F39747">
        <v>12530060</v>
      </c>
      <c r="G39747" t="s">
        <v>1356</v>
      </c>
      <c r="H39747" s="21">
        <v>749.17</v>
      </c>
    </row>
    <row r="39748" spans="1:8" customFormat="1" x14ac:dyDescent="0.25">
      <c r="A39748" t="str">
        <f>"795049"</f>
        <v>795049</v>
      </c>
      <c r="B39748" t="s">
        <v>12819</v>
      </c>
      <c r="C39748" t="s">
        <v>24968</v>
      </c>
      <c r="D39748" s="21" t="s">
        <v>24820</v>
      </c>
      <c r="E39748" s="21" t="s">
        <v>35</v>
      </c>
      <c r="F39748">
        <v>10790015</v>
      </c>
      <c r="G39748" t="s">
        <v>12820</v>
      </c>
      <c r="H39748" s="21">
        <v>748.17</v>
      </c>
    </row>
    <row r="39749" spans="1:8" customFormat="1" x14ac:dyDescent="0.25">
      <c r="A39749" t="str">
        <f>"897571"</f>
        <v>897571</v>
      </c>
      <c r="B39749" t="s">
        <v>1103</v>
      </c>
      <c r="C39749" t="s">
        <v>263</v>
      </c>
      <c r="D39749" s="21" t="s">
        <v>24820</v>
      </c>
      <c r="E39749" s="21" t="s">
        <v>71</v>
      </c>
      <c r="F39749">
        <v>2890062</v>
      </c>
      <c r="G39749" t="s">
        <v>9283</v>
      </c>
      <c r="H39749" s="21">
        <v>747.92</v>
      </c>
    </row>
    <row r="39750" spans="1:8" customFormat="1" x14ac:dyDescent="0.25">
      <c r="A39750" t="str">
        <f>"5315512"</f>
        <v>5315512</v>
      </c>
      <c r="B39750" t="s">
        <v>1531</v>
      </c>
      <c r="C39750" t="s">
        <v>25239</v>
      </c>
      <c r="D39750" s="21" t="s">
        <v>24820</v>
      </c>
      <c r="E39750" s="21" t="s">
        <v>71</v>
      </c>
      <c r="F39750">
        <v>12530008</v>
      </c>
      <c r="G39750" t="s">
        <v>7920</v>
      </c>
      <c r="H39750" s="21">
        <v>746.92</v>
      </c>
    </row>
    <row r="39751" spans="1:8" customFormat="1" x14ac:dyDescent="0.25">
      <c r="A39751" t="str">
        <f>"789740"</f>
        <v>789740</v>
      </c>
      <c r="B39751" t="s">
        <v>25106</v>
      </c>
      <c r="C39751" t="s">
        <v>25019</v>
      </c>
      <c r="D39751" s="21" t="s">
        <v>24820</v>
      </c>
      <c r="E39751" s="21" t="s">
        <v>35</v>
      </c>
      <c r="F39751">
        <v>8780108</v>
      </c>
      <c r="G39751" t="s">
        <v>4329</v>
      </c>
      <c r="H39751" s="21">
        <v>746.54</v>
      </c>
    </row>
    <row r="39752" spans="1:8" customFormat="1" x14ac:dyDescent="0.25">
      <c r="A39752" t="str">
        <f>"37329"</f>
        <v>37329</v>
      </c>
      <c r="B39752" t="s">
        <v>14900</v>
      </c>
      <c r="C39752" t="s">
        <v>25178</v>
      </c>
      <c r="D39752" s="21" t="s">
        <v>24820</v>
      </c>
      <c r="E39752" s="21" t="s">
        <v>71</v>
      </c>
      <c r="F39752">
        <v>4370548</v>
      </c>
      <c r="G39752" t="s">
        <v>7106</v>
      </c>
      <c r="H39752" s="21">
        <v>745.67</v>
      </c>
    </row>
    <row r="39753" spans="1:8" customFormat="1" x14ac:dyDescent="0.25">
      <c r="A39753" t="str">
        <f>"611562"</f>
        <v>611562</v>
      </c>
      <c r="B39753" t="s">
        <v>16848</v>
      </c>
      <c r="C39753" t="s">
        <v>23734</v>
      </c>
      <c r="D39753" s="21" t="s">
        <v>24820</v>
      </c>
      <c r="E39753" s="21" t="s">
        <v>35</v>
      </c>
      <c r="F39753">
        <v>9610012</v>
      </c>
      <c r="G39753" t="s">
        <v>5316</v>
      </c>
      <c r="H39753" s="21">
        <v>745.67</v>
      </c>
    </row>
    <row r="39754" spans="1:8" customFormat="1" x14ac:dyDescent="0.25">
      <c r="A39754" t="str">
        <f>"5016387"</f>
        <v>5016387</v>
      </c>
      <c r="B39754" t="s">
        <v>2538</v>
      </c>
      <c r="C39754" t="s">
        <v>22831</v>
      </c>
      <c r="D39754" s="21" t="s">
        <v>24820</v>
      </c>
      <c r="E39754" s="21" t="s">
        <v>71</v>
      </c>
      <c r="F39754">
        <v>9500009</v>
      </c>
      <c r="G39754" t="s">
        <v>2230</v>
      </c>
      <c r="H39754" s="21">
        <v>745.67</v>
      </c>
    </row>
    <row r="39755" spans="1:8" customFormat="1" x14ac:dyDescent="0.25">
      <c r="A39755" t="str">
        <f>"29691"</f>
        <v>29691</v>
      </c>
      <c r="B39755" t="s">
        <v>8926</v>
      </c>
      <c r="C39755" t="s">
        <v>24840</v>
      </c>
      <c r="D39755" s="21" t="s">
        <v>24820</v>
      </c>
      <c r="E39755" s="21" t="s">
        <v>71</v>
      </c>
      <c r="F39755">
        <v>3290228</v>
      </c>
      <c r="G39755" t="s">
        <v>8738</v>
      </c>
      <c r="H39755" s="21">
        <v>745.17</v>
      </c>
    </row>
    <row r="39756" spans="1:8" customFormat="1" x14ac:dyDescent="0.25">
      <c r="A39756" t="str">
        <f>"3113417"</f>
        <v>3113417</v>
      </c>
      <c r="B39756" t="s">
        <v>1886</v>
      </c>
      <c r="C39756" t="s">
        <v>24943</v>
      </c>
      <c r="D39756" s="21" t="s">
        <v>24820</v>
      </c>
      <c r="E39756" s="21" t="s">
        <v>35</v>
      </c>
      <c r="F39756">
        <v>11310123</v>
      </c>
      <c r="G39756" t="s">
        <v>3915</v>
      </c>
      <c r="H39756" s="21">
        <v>745.17</v>
      </c>
    </row>
    <row r="39757" spans="1:8" customFormat="1" x14ac:dyDescent="0.25">
      <c r="A39757" t="str">
        <f>"6019384"</f>
        <v>6019384</v>
      </c>
      <c r="B39757" t="s">
        <v>10950</v>
      </c>
      <c r="C39757" t="s">
        <v>24915</v>
      </c>
      <c r="D39757" s="21" t="s">
        <v>24820</v>
      </c>
      <c r="E39757" s="21" t="s">
        <v>35</v>
      </c>
      <c r="F39757">
        <v>7600018</v>
      </c>
      <c r="G39757" t="s">
        <v>5838</v>
      </c>
      <c r="H39757" s="21">
        <v>745.17</v>
      </c>
    </row>
    <row r="39758" spans="1:8" customFormat="1" x14ac:dyDescent="0.25">
      <c r="A39758" t="str">
        <f>"843364"</f>
        <v>843364</v>
      </c>
      <c r="B39758" t="s">
        <v>3952</v>
      </c>
      <c r="C39758" t="s">
        <v>24828</v>
      </c>
      <c r="D39758" s="21" t="s">
        <v>24820</v>
      </c>
      <c r="E39758" s="21" t="s">
        <v>35</v>
      </c>
      <c r="F39758">
        <v>13840058</v>
      </c>
      <c r="G39758" t="s">
        <v>7032</v>
      </c>
      <c r="H39758" s="21">
        <v>745.17</v>
      </c>
    </row>
    <row r="39759" spans="1:8" customFormat="1" x14ac:dyDescent="0.25">
      <c r="A39759" t="str">
        <f>"916333"</f>
        <v>916333</v>
      </c>
      <c r="B39759" t="s">
        <v>25108</v>
      </c>
      <c r="C39759" t="s">
        <v>24947</v>
      </c>
      <c r="D39759" s="21" t="s">
        <v>24820</v>
      </c>
      <c r="E39759" s="21" t="s">
        <v>35</v>
      </c>
      <c r="F39759">
        <v>8910434</v>
      </c>
      <c r="G39759" t="s">
        <v>681</v>
      </c>
      <c r="H39759" s="21">
        <v>744.79</v>
      </c>
    </row>
    <row r="39760" spans="1:8" customFormat="1" x14ac:dyDescent="0.25">
      <c r="A39760" t="str">
        <f>"9233217"</f>
        <v>9233217</v>
      </c>
      <c r="B39760" t="s">
        <v>5448</v>
      </c>
      <c r="C39760" t="s">
        <v>24865</v>
      </c>
      <c r="D39760" s="21" t="s">
        <v>24820</v>
      </c>
      <c r="E39760" s="21" t="s">
        <v>254</v>
      </c>
      <c r="F39760">
        <v>8920151</v>
      </c>
      <c r="G39760" t="s">
        <v>1434</v>
      </c>
      <c r="H39760" s="21">
        <v>744.67</v>
      </c>
    </row>
    <row r="39761" spans="1:8" customFormat="1" x14ac:dyDescent="0.25">
      <c r="A39761" t="str">
        <f>"9251670"</f>
        <v>9251670</v>
      </c>
      <c r="B39761" t="s">
        <v>22472</v>
      </c>
      <c r="C39761" t="s">
        <v>24883</v>
      </c>
      <c r="D39761" s="21" t="s">
        <v>24820</v>
      </c>
      <c r="E39761" s="21" t="s">
        <v>35</v>
      </c>
      <c r="F39761">
        <v>8920111</v>
      </c>
      <c r="G39761" t="s">
        <v>1064</v>
      </c>
      <c r="H39761" s="21">
        <v>744.67</v>
      </c>
    </row>
    <row r="39762" spans="1:8" customFormat="1" x14ac:dyDescent="0.25">
      <c r="A39762" t="str">
        <f>"6312373"</f>
        <v>6312373</v>
      </c>
      <c r="B39762" t="s">
        <v>25140</v>
      </c>
      <c r="C39762" t="s">
        <v>24888</v>
      </c>
      <c r="D39762" s="21" t="s">
        <v>24820</v>
      </c>
      <c r="E39762" s="21" t="s">
        <v>71</v>
      </c>
      <c r="F39762">
        <v>1630281</v>
      </c>
      <c r="G39762" t="s">
        <v>1190</v>
      </c>
      <c r="H39762" s="21">
        <v>744.17</v>
      </c>
    </row>
    <row r="39763" spans="1:8" customFormat="1" x14ac:dyDescent="0.25">
      <c r="A39763" t="str">
        <f>"7731279"</f>
        <v>7731279</v>
      </c>
      <c r="B39763" t="s">
        <v>24980</v>
      </c>
      <c r="C39763" t="s">
        <v>24865</v>
      </c>
      <c r="D39763" s="21" t="s">
        <v>24820</v>
      </c>
      <c r="E39763" s="21" t="s">
        <v>71</v>
      </c>
      <c r="F39763">
        <v>8770237</v>
      </c>
      <c r="G39763" t="s">
        <v>128</v>
      </c>
      <c r="H39763" s="21">
        <v>744.17</v>
      </c>
    </row>
    <row r="39764" spans="1:8" customFormat="1" x14ac:dyDescent="0.25">
      <c r="A39764" t="str">
        <f>"8517670"</f>
        <v>8517670</v>
      </c>
      <c r="B39764" t="s">
        <v>23794</v>
      </c>
      <c r="C39764" t="s">
        <v>25138</v>
      </c>
      <c r="D39764" s="21" t="s">
        <v>24820</v>
      </c>
      <c r="E39764" s="21" t="s">
        <v>35</v>
      </c>
      <c r="F39764">
        <v>12850039</v>
      </c>
      <c r="G39764" t="s">
        <v>7123</v>
      </c>
      <c r="H39764" s="21">
        <v>744.17</v>
      </c>
    </row>
    <row r="39765" spans="1:8" customFormat="1" x14ac:dyDescent="0.25">
      <c r="A39765" t="str">
        <f>"3331355"</f>
        <v>3331355</v>
      </c>
      <c r="B39765" t="s">
        <v>2207</v>
      </c>
      <c r="C39765" t="s">
        <v>24833</v>
      </c>
      <c r="D39765" s="21" t="s">
        <v>24820</v>
      </c>
      <c r="E39765" s="21" t="s">
        <v>71</v>
      </c>
      <c r="F39765">
        <v>10330032</v>
      </c>
      <c r="G39765" t="s">
        <v>4408</v>
      </c>
      <c r="H39765" s="21">
        <v>743.92</v>
      </c>
    </row>
    <row r="39766" spans="1:8" customFormat="1" x14ac:dyDescent="0.25">
      <c r="A39766" t="str">
        <f>"757291"</f>
        <v>757291</v>
      </c>
      <c r="B39766" t="s">
        <v>8259</v>
      </c>
      <c r="C39766" t="s">
        <v>24828</v>
      </c>
      <c r="D39766" s="21" t="s">
        <v>24820</v>
      </c>
      <c r="E39766" s="21" t="s">
        <v>35</v>
      </c>
      <c r="F39766">
        <v>8750007</v>
      </c>
      <c r="G39766" t="s">
        <v>775</v>
      </c>
      <c r="H39766" s="21">
        <v>743.17</v>
      </c>
    </row>
    <row r="39767" spans="1:8" customFormat="1" x14ac:dyDescent="0.25">
      <c r="A39767" t="str">
        <f>"3730474"</f>
        <v>3730474</v>
      </c>
      <c r="B39767" t="s">
        <v>15812</v>
      </c>
      <c r="C39767" t="s">
        <v>25084</v>
      </c>
      <c r="D39767" s="21" t="s">
        <v>24820</v>
      </c>
      <c r="E39767" s="21" t="s">
        <v>35</v>
      </c>
      <c r="F39767">
        <v>4370284</v>
      </c>
      <c r="G39767" t="s">
        <v>3584</v>
      </c>
      <c r="H39767" s="21">
        <v>743.17</v>
      </c>
    </row>
    <row r="39768" spans="1:8" customFormat="1" x14ac:dyDescent="0.25">
      <c r="A39768" t="str">
        <f>"4927774"</f>
        <v>4927774</v>
      </c>
      <c r="B39768" t="s">
        <v>9277</v>
      </c>
      <c r="C39768" t="s">
        <v>24828</v>
      </c>
      <c r="D39768" s="21" t="s">
        <v>24820</v>
      </c>
      <c r="E39768" s="21" t="s">
        <v>35</v>
      </c>
      <c r="F39768">
        <v>12720056</v>
      </c>
      <c r="G39768" t="s">
        <v>9231</v>
      </c>
      <c r="H39768" s="21">
        <v>743.17</v>
      </c>
    </row>
    <row r="39769" spans="1:8" customFormat="1" x14ac:dyDescent="0.25">
      <c r="A39769" t="str">
        <f>"59640"</f>
        <v>59640</v>
      </c>
      <c r="B39769" t="s">
        <v>4071</v>
      </c>
      <c r="C39769" t="s">
        <v>25166</v>
      </c>
      <c r="D39769" s="21" t="s">
        <v>24820</v>
      </c>
      <c r="E39769" s="21" t="s">
        <v>254</v>
      </c>
      <c r="F39769">
        <v>7590164</v>
      </c>
      <c r="G39769" t="s">
        <v>2451</v>
      </c>
      <c r="H39769" s="21">
        <v>742.67</v>
      </c>
    </row>
    <row r="39770" spans="1:8" customFormat="1" x14ac:dyDescent="0.25">
      <c r="A39770" t="str">
        <f>"2714288"</f>
        <v>2714288</v>
      </c>
      <c r="B39770" t="s">
        <v>623</v>
      </c>
      <c r="C39770" t="s">
        <v>24897</v>
      </c>
      <c r="D39770" s="21" t="s">
        <v>24820</v>
      </c>
      <c r="E39770" s="21" t="s">
        <v>71</v>
      </c>
      <c r="F39770">
        <v>9270063</v>
      </c>
      <c r="G39770" t="s">
        <v>808</v>
      </c>
      <c r="H39770" s="21">
        <v>741.54</v>
      </c>
    </row>
    <row r="39771" spans="1:8" customFormat="1" x14ac:dyDescent="0.25">
      <c r="A39771" t="str">
        <f>"9412828"</f>
        <v>9412828</v>
      </c>
      <c r="B39771" t="s">
        <v>25168</v>
      </c>
      <c r="C39771" t="s">
        <v>25169</v>
      </c>
      <c r="D39771" s="21" t="s">
        <v>24820</v>
      </c>
      <c r="E39771" s="21" t="s">
        <v>35</v>
      </c>
      <c r="F39771">
        <v>8940030</v>
      </c>
      <c r="G39771" t="s">
        <v>7068</v>
      </c>
      <c r="H39771" s="21">
        <v>740.67</v>
      </c>
    </row>
    <row r="39772" spans="1:8" customFormat="1" x14ac:dyDescent="0.25">
      <c r="A39772" t="str">
        <f>"5938258"</f>
        <v>5938258</v>
      </c>
      <c r="B39772" t="s">
        <v>17333</v>
      </c>
      <c r="C39772" t="s">
        <v>25247</v>
      </c>
      <c r="D39772" s="21" t="s">
        <v>24820</v>
      </c>
      <c r="E39772" s="21" t="s">
        <v>35</v>
      </c>
      <c r="F39772">
        <v>9760156</v>
      </c>
      <c r="G39772" t="s">
        <v>26731</v>
      </c>
      <c r="H39772" s="21">
        <v>740.67</v>
      </c>
    </row>
    <row r="39773" spans="1:8" customFormat="1" x14ac:dyDescent="0.25">
      <c r="A39773" t="str">
        <f>"33161"</f>
        <v>33161</v>
      </c>
      <c r="B39773" t="s">
        <v>2243</v>
      </c>
      <c r="C39773" t="s">
        <v>24904</v>
      </c>
      <c r="D39773" s="21" t="s">
        <v>24820</v>
      </c>
      <c r="E39773" s="21" t="s">
        <v>71</v>
      </c>
      <c r="F39773">
        <v>10330037</v>
      </c>
      <c r="G39773" t="s">
        <v>5960</v>
      </c>
      <c r="H39773" s="21">
        <v>740.17</v>
      </c>
    </row>
    <row r="39774" spans="1:8" customFormat="1" x14ac:dyDescent="0.25">
      <c r="A39774" t="str">
        <f>"775264"</f>
        <v>775264</v>
      </c>
      <c r="B39774" t="s">
        <v>25186</v>
      </c>
      <c r="C39774" t="s">
        <v>24973</v>
      </c>
      <c r="D39774" s="21" t="s">
        <v>24820</v>
      </c>
      <c r="E39774" s="21" t="s">
        <v>254</v>
      </c>
      <c r="F39774">
        <v>3290010</v>
      </c>
      <c r="G39774" t="s">
        <v>1453</v>
      </c>
      <c r="H39774" s="21">
        <v>740.04</v>
      </c>
    </row>
    <row r="39775" spans="1:8" customFormat="1" x14ac:dyDescent="0.25">
      <c r="A39775" t="str">
        <f>"9445687"</f>
        <v>9445687</v>
      </c>
      <c r="B39775" t="s">
        <v>2738</v>
      </c>
      <c r="C39775" t="s">
        <v>24836</v>
      </c>
      <c r="D39775" s="21" t="s">
        <v>24820</v>
      </c>
      <c r="E39775" s="21" t="s">
        <v>35</v>
      </c>
      <c r="F39775">
        <v>8940866</v>
      </c>
      <c r="G39775" t="s">
        <v>519</v>
      </c>
      <c r="H39775" s="21">
        <v>739.67</v>
      </c>
    </row>
    <row r="39776" spans="1:8" customFormat="1" x14ac:dyDescent="0.25">
      <c r="A39776" t="str">
        <f>"243581"</f>
        <v>243581</v>
      </c>
      <c r="B39776" t="s">
        <v>25243</v>
      </c>
      <c r="C39776" t="s">
        <v>23734</v>
      </c>
      <c r="D39776" s="21" t="s">
        <v>24820</v>
      </c>
      <c r="E39776" s="21" t="s">
        <v>71</v>
      </c>
      <c r="F39776">
        <v>10240024</v>
      </c>
      <c r="G39776" t="s">
        <v>6539</v>
      </c>
      <c r="H39776" s="21">
        <v>738.67</v>
      </c>
    </row>
    <row r="39777" spans="1:8" customFormat="1" x14ac:dyDescent="0.25">
      <c r="A39777" t="str">
        <f>"7623646"</f>
        <v>7623646</v>
      </c>
      <c r="B39777" t="s">
        <v>13828</v>
      </c>
      <c r="C39777" t="s">
        <v>24867</v>
      </c>
      <c r="D39777" s="21" t="s">
        <v>24820</v>
      </c>
      <c r="E39777" s="21" t="s">
        <v>71</v>
      </c>
      <c r="F39777">
        <v>9760214</v>
      </c>
      <c r="G39777" t="s">
        <v>12889</v>
      </c>
      <c r="H39777" s="21">
        <v>737.54</v>
      </c>
    </row>
    <row r="39778" spans="1:8" customFormat="1" x14ac:dyDescent="0.25">
      <c r="A39778" t="str">
        <f>"9316359"</f>
        <v>9316359</v>
      </c>
      <c r="B39778" t="s">
        <v>213</v>
      </c>
      <c r="C39778" t="s">
        <v>24300</v>
      </c>
      <c r="D39778" s="21" t="s">
        <v>24820</v>
      </c>
      <c r="E39778" s="21" t="s">
        <v>35</v>
      </c>
      <c r="F39778">
        <v>8930598</v>
      </c>
      <c r="G39778" t="s">
        <v>445</v>
      </c>
      <c r="H39778" s="21">
        <v>737.54</v>
      </c>
    </row>
    <row r="39779" spans="1:8" customFormat="1" x14ac:dyDescent="0.25">
      <c r="A39779" t="str">
        <f>"5936615"</f>
        <v>5936615</v>
      </c>
      <c r="B39779" t="s">
        <v>17543</v>
      </c>
      <c r="C39779" t="s">
        <v>25172</v>
      </c>
      <c r="D39779" s="21" t="s">
        <v>24820</v>
      </c>
      <c r="E39779" s="21" t="s">
        <v>71</v>
      </c>
      <c r="F39779">
        <v>7590171</v>
      </c>
      <c r="G39779" t="s">
        <v>4159</v>
      </c>
      <c r="H39779" s="21">
        <v>736.67</v>
      </c>
    </row>
    <row r="39780" spans="1:8" customFormat="1" x14ac:dyDescent="0.25">
      <c r="A39780" t="str">
        <f>"9416342"</f>
        <v>9416342</v>
      </c>
      <c r="B39780" t="s">
        <v>17708</v>
      </c>
      <c r="C39780" t="s">
        <v>22831</v>
      </c>
      <c r="D39780" s="21" t="s">
        <v>24820</v>
      </c>
      <c r="E39780" s="21" t="s">
        <v>71</v>
      </c>
      <c r="F39780">
        <v>8940448</v>
      </c>
      <c r="G39780" t="s">
        <v>1691</v>
      </c>
      <c r="H39780" s="21">
        <v>734.79</v>
      </c>
    </row>
    <row r="39781" spans="1:8" customFormat="1" x14ac:dyDescent="0.25">
      <c r="A39781" t="str">
        <f>"303983"</f>
        <v>303983</v>
      </c>
      <c r="B39781" t="s">
        <v>6693</v>
      </c>
      <c r="C39781" t="s">
        <v>24883</v>
      </c>
      <c r="D39781" s="21" t="s">
        <v>24820</v>
      </c>
      <c r="E39781" s="21" t="s">
        <v>71</v>
      </c>
      <c r="F39781">
        <v>11300014</v>
      </c>
      <c r="G39781" t="s">
        <v>2345</v>
      </c>
      <c r="H39781" s="21">
        <v>734.67</v>
      </c>
    </row>
    <row r="39782" spans="1:8" customFormat="1" x14ac:dyDescent="0.25">
      <c r="A39782" t="str">
        <f>"81856"</f>
        <v>81856</v>
      </c>
      <c r="B39782" t="s">
        <v>27521</v>
      </c>
      <c r="C39782" t="s">
        <v>25929</v>
      </c>
      <c r="D39782" s="21" t="s">
        <v>24820</v>
      </c>
      <c r="E39782" s="21" t="s">
        <v>254</v>
      </c>
      <c r="F39782">
        <v>11810028</v>
      </c>
      <c r="G39782" t="s">
        <v>5817</v>
      </c>
      <c r="H39782" s="21">
        <v>734.42</v>
      </c>
    </row>
    <row r="39783" spans="1:8" customFormat="1" x14ac:dyDescent="0.25">
      <c r="A39783" t="str">
        <f>"2933808"</f>
        <v>2933808</v>
      </c>
      <c r="B39783" t="s">
        <v>25287</v>
      </c>
      <c r="C39783" t="s">
        <v>24863</v>
      </c>
      <c r="D39783" s="21" t="s">
        <v>24820</v>
      </c>
      <c r="E39783" s="21" t="s">
        <v>35</v>
      </c>
      <c r="F39783">
        <v>3290285</v>
      </c>
      <c r="G39783" t="s">
        <v>2234</v>
      </c>
      <c r="H39783" s="21">
        <v>734.17</v>
      </c>
    </row>
    <row r="39784" spans="1:8" customFormat="1" x14ac:dyDescent="0.25">
      <c r="A39784" t="str">
        <f>"9516292"</f>
        <v>9516292</v>
      </c>
      <c r="B39784" t="s">
        <v>19444</v>
      </c>
      <c r="C39784" t="s">
        <v>24686</v>
      </c>
      <c r="D39784" s="21" t="s">
        <v>24820</v>
      </c>
      <c r="E39784" s="21" t="s">
        <v>254</v>
      </c>
      <c r="F39784">
        <v>8950978</v>
      </c>
      <c r="G39784" t="s">
        <v>1164</v>
      </c>
      <c r="H39784" s="21">
        <v>734.17</v>
      </c>
    </row>
    <row r="39785" spans="1:8" customFormat="1" x14ac:dyDescent="0.25">
      <c r="A39785" t="str">
        <f>"4411214"</f>
        <v>4411214</v>
      </c>
      <c r="B39785" t="s">
        <v>400</v>
      </c>
      <c r="C39785" t="s">
        <v>24300</v>
      </c>
      <c r="D39785" s="21" t="s">
        <v>24820</v>
      </c>
      <c r="E39785" s="21" t="s">
        <v>35</v>
      </c>
      <c r="F39785">
        <v>12440262</v>
      </c>
      <c r="G39785" t="s">
        <v>4590</v>
      </c>
      <c r="H39785" s="21">
        <v>732.92</v>
      </c>
    </row>
    <row r="39786" spans="1:8" customFormat="1" x14ac:dyDescent="0.25">
      <c r="A39786" t="str">
        <f>"507696"</f>
        <v>507696</v>
      </c>
      <c r="B39786" t="s">
        <v>25167</v>
      </c>
      <c r="C39786" t="s">
        <v>24890</v>
      </c>
      <c r="D39786" s="21" t="s">
        <v>24820</v>
      </c>
      <c r="E39786" s="21" t="s">
        <v>254</v>
      </c>
      <c r="F39786">
        <v>9500015</v>
      </c>
      <c r="G39786" t="s">
        <v>3389</v>
      </c>
      <c r="H39786" s="21">
        <v>732.67</v>
      </c>
    </row>
    <row r="39787" spans="1:8" customFormat="1" x14ac:dyDescent="0.25">
      <c r="A39787" t="str">
        <f>"665686"</f>
        <v>665686</v>
      </c>
      <c r="B39787" t="s">
        <v>19023</v>
      </c>
      <c r="C39787" t="s">
        <v>24863</v>
      </c>
      <c r="D39787" s="21" t="s">
        <v>24820</v>
      </c>
      <c r="E39787" s="21" t="s">
        <v>35</v>
      </c>
      <c r="F39787">
        <v>11660020</v>
      </c>
      <c r="G39787" t="s">
        <v>10247</v>
      </c>
      <c r="H39787" s="21">
        <v>732.42</v>
      </c>
    </row>
    <row r="39788" spans="1:8" customFormat="1" x14ac:dyDescent="0.25">
      <c r="A39788" t="str">
        <f>"952904"</f>
        <v>952904</v>
      </c>
      <c r="B39788" t="s">
        <v>4368</v>
      </c>
      <c r="C39788" t="s">
        <v>25011</v>
      </c>
      <c r="D39788" s="21" t="s">
        <v>24820</v>
      </c>
      <c r="E39788" s="21" t="s">
        <v>254</v>
      </c>
      <c r="F39788">
        <v>8950978</v>
      </c>
      <c r="G39788" t="s">
        <v>1164</v>
      </c>
      <c r="H39788" s="21">
        <v>732.17</v>
      </c>
    </row>
    <row r="39789" spans="1:8" customFormat="1" x14ac:dyDescent="0.25">
      <c r="A39789" t="str">
        <f>"3824901"</f>
        <v>3824901</v>
      </c>
      <c r="B39789" t="s">
        <v>13613</v>
      </c>
      <c r="C39789" t="s">
        <v>25188</v>
      </c>
      <c r="D39789" s="21" t="s">
        <v>24820</v>
      </c>
      <c r="E39789" s="21" t="s">
        <v>35</v>
      </c>
      <c r="F39789">
        <v>1380189</v>
      </c>
      <c r="G39789" t="s">
        <v>8143</v>
      </c>
      <c r="H39789" s="21">
        <v>732.04</v>
      </c>
    </row>
    <row r="39790" spans="1:8" customFormat="1" x14ac:dyDescent="0.25">
      <c r="A39790" t="str">
        <f>"799171"</f>
        <v>799171</v>
      </c>
      <c r="B39790" t="s">
        <v>13750</v>
      </c>
      <c r="C39790" t="s">
        <v>24889</v>
      </c>
      <c r="D39790" s="21" t="s">
        <v>24820</v>
      </c>
      <c r="E39790" s="21" t="s">
        <v>35</v>
      </c>
      <c r="F39790">
        <v>10170064</v>
      </c>
      <c r="G39790" t="s">
        <v>1900</v>
      </c>
      <c r="H39790" s="21">
        <v>731.67</v>
      </c>
    </row>
    <row r="39791" spans="1:8" customFormat="1" x14ac:dyDescent="0.25">
      <c r="A39791" t="str">
        <f>"589516"</f>
        <v>589516</v>
      </c>
      <c r="B39791" t="s">
        <v>7043</v>
      </c>
      <c r="C39791" t="s">
        <v>24914</v>
      </c>
      <c r="D39791" s="21" t="s">
        <v>24820</v>
      </c>
      <c r="E39791" s="21" t="s">
        <v>35</v>
      </c>
      <c r="F39791">
        <v>2580017</v>
      </c>
      <c r="G39791" t="s">
        <v>7044</v>
      </c>
      <c r="H39791" s="21">
        <v>731.17</v>
      </c>
    </row>
    <row r="39792" spans="1:8" customFormat="1" x14ac:dyDescent="0.25">
      <c r="A39792" t="str">
        <f>"3823512"</f>
        <v>3823512</v>
      </c>
      <c r="B39792" t="s">
        <v>25170</v>
      </c>
      <c r="C39792" t="s">
        <v>25171</v>
      </c>
      <c r="D39792" s="21" t="s">
        <v>24820</v>
      </c>
      <c r="E39792" s="21" t="s">
        <v>35</v>
      </c>
      <c r="F39792">
        <v>1380056</v>
      </c>
      <c r="G39792" t="s">
        <v>846</v>
      </c>
      <c r="H39792" s="21">
        <v>731.17</v>
      </c>
    </row>
    <row r="39793" spans="1:8" customFormat="1" x14ac:dyDescent="0.25">
      <c r="A39793" t="str">
        <f>"4920028"</f>
        <v>4920028</v>
      </c>
      <c r="B39793" t="s">
        <v>7736</v>
      </c>
      <c r="C39793" t="s">
        <v>25019</v>
      </c>
      <c r="D39793" s="21" t="s">
        <v>24820</v>
      </c>
      <c r="E39793" s="21" t="s">
        <v>35</v>
      </c>
      <c r="F39793">
        <v>12720041</v>
      </c>
      <c r="G39793" t="s">
        <v>4240</v>
      </c>
      <c r="H39793" s="21">
        <v>730.67</v>
      </c>
    </row>
    <row r="39794" spans="1:8" customFormat="1" x14ac:dyDescent="0.25">
      <c r="A39794" t="str">
        <f>"5921229"</f>
        <v>5921229</v>
      </c>
      <c r="B39794" t="s">
        <v>255</v>
      </c>
      <c r="C39794" t="s">
        <v>25173</v>
      </c>
      <c r="D39794" s="21" t="s">
        <v>24820</v>
      </c>
      <c r="E39794" s="21" t="s">
        <v>35</v>
      </c>
      <c r="F39794">
        <v>7590068</v>
      </c>
      <c r="G39794" t="s">
        <v>1005</v>
      </c>
      <c r="H39794" s="21">
        <v>730.67</v>
      </c>
    </row>
    <row r="39795" spans="1:8" customFormat="1" x14ac:dyDescent="0.25">
      <c r="A39795" t="str">
        <f>"741693"</f>
        <v>741693</v>
      </c>
      <c r="B39795" t="s">
        <v>25161</v>
      </c>
      <c r="C39795" t="s">
        <v>24968</v>
      </c>
      <c r="D39795" s="21" t="s">
        <v>24820</v>
      </c>
      <c r="E39795" s="21" t="s">
        <v>71</v>
      </c>
      <c r="F39795">
        <v>1740003</v>
      </c>
      <c r="G39795" t="s">
        <v>982</v>
      </c>
      <c r="H39795" s="21">
        <v>730.67</v>
      </c>
    </row>
    <row r="39796" spans="1:8" customFormat="1" x14ac:dyDescent="0.25">
      <c r="A39796" t="str">
        <f>"9314323"</f>
        <v>9314323</v>
      </c>
      <c r="B39796" t="s">
        <v>25205</v>
      </c>
      <c r="C39796" t="s">
        <v>25019</v>
      </c>
      <c r="D39796" s="21" t="s">
        <v>24820</v>
      </c>
      <c r="E39796" s="21" t="s">
        <v>71</v>
      </c>
      <c r="F39796">
        <v>8930430</v>
      </c>
      <c r="G39796" t="s">
        <v>995</v>
      </c>
      <c r="H39796" s="21">
        <v>730.54</v>
      </c>
    </row>
    <row r="39797" spans="1:8" customFormat="1" x14ac:dyDescent="0.25">
      <c r="A39797" t="str">
        <f>"18825"</f>
        <v>18825</v>
      </c>
      <c r="B39797" t="s">
        <v>650</v>
      </c>
      <c r="C39797" t="s">
        <v>25291</v>
      </c>
      <c r="D39797" s="21" t="s">
        <v>24820</v>
      </c>
      <c r="E39797" s="21" t="s">
        <v>71</v>
      </c>
      <c r="F39797">
        <v>4180486</v>
      </c>
      <c r="G39797" t="s">
        <v>5295</v>
      </c>
      <c r="H39797" s="21">
        <v>730.17</v>
      </c>
    </row>
    <row r="39798" spans="1:8" customFormat="1" x14ac:dyDescent="0.25">
      <c r="A39798" t="str">
        <f>"903930"</f>
        <v>903930</v>
      </c>
      <c r="B39798" t="s">
        <v>25224</v>
      </c>
      <c r="C39798" t="s">
        <v>24827</v>
      </c>
      <c r="D39798" s="21" t="s">
        <v>24820</v>
      </c>
      <c r="E39798" s="21" t="s">
        <v>71</v>
      </c>
      <c r="F39798">
        <v>2900003</v>
      </c>
      <c r="G39798" t="s">
        <v>1742</v>
      </c>
      <c r="H39798" s="21">
        <v>729.42</v>
      </c>
    </row>
    <row r="39799" spans="1:8" customFormat="1" x14ac:dyDescent="0.25">
      <c r="A39799" t="str">
        <f>"024739"</f>
        <v>024739</v>
      </c>
      <c r="B39799" t="s">
        <v>5118</v>
      </c>
      <c r="C39799" t="s">
        <v>24873</v>
      </c>
      <c r="D39799" s="21" t="s">
        <v>24820</v>
      </c>
      <c r="E39799" s="21" t="s">
        <v>71</v>
      </c>
      <c r="F39799">
        <v>7020073</v>
      </c>
      <c r="G39799" t="s">
        <v>8304</v>
      </c>
      <c r="H39799" s="21">
        <v>727.67</v>
      </c>
    </row>
    <row r="39800" spans="1:8" customFormat="1" x14ac:dyDescent="0.25">
      <c r="A39800" t="str">
        <f>"888952"</f>
        <v>888952</v>
      </c>
      <c r="B39800" t="s">
        <v>25211</v>
      </c>
      <c r="C39800" t="s">
        <v>25212</v>
      </c>
      <c r="D39800" s="21" t="s">
        <v>24820</v>
      </c>
      <c r="E39800" s="21" t="s">
        <v>35</v>
      </c>
      <c r="F39800">
        <v>6880021</v>
      </c>
      <c r="G39800" t="s">
        <v>15780</v>
      </c>
      <c r="H39800" s="21">
        <v>726.67</v>
      </c>
    </row>
    <row r="39801" spans="1:8" customFormat="1" x14ac:dyDescent="0.25">
      <c r="A39801" t="str">
        <f>"9235239"</f>
        <v>9235239</v>
      </c>
      <c r="B39801" t="s">
        <v>4652</v>
      </c>
      <c r="C39801" t="s">
        <v>24865</v>
      </c>
      <c r="D39801" s="21" t="s">
        <v>24820</v>
      </c>
      <c r="E39801" s="21" t="s">
        <v>254</v>
      </c>
      <c r="F39801">
        <v>8920151</v>
      </c>
      <c r="G39801" t="s">
        <v>1434</v>
      </c>
      <c r="H39801" s="21">
        <v>726.67</v>
      </c>
    </row>
    <row r="39802" spans="1:8" customFormat="1" x14ac:dyDescent="0.25">
      <c r="A39802" t="str">
        <f>"3310725"</f>
        <v>3310725</v>
      </c>
      <c r="B39802" t="s">
        <v>3067</v>
      </c>
      <c r="C39802" t="s">
        <v>24958</v>
      </c>
      <c r="D39802" s="21" t="s">
        <v>24820</v>
      </c>
      <c r="E39802" s="21" t="s">
        <v>71</v>
      </c>
      <c r="F39802">
        <v>10330050</v>
      </c>
      <c r="G39802" t="s">
        <v>2488</v>
      </c>
      <c r="H39802" s="21">
        <v>725.92</v>
      </c>
    </row>
    <row r="39803" spans="1:8" customFormat="1" x14ac:dyDescent="0.25">
      <c r="A39803" t="str">
        <f>"724891"</f>
        <v>724891</v>
      </c>
      <c r="B39803" t="s">
        <v>8783</v>
      </c>
      <c r="C39803" t="s">
        <v>25195</v>
      </c>
      <c r="D39803" s="21" t="s">
        <v>24820</v>
      </c>
      <c r="E39803" s="21" t="s">
        <v>254</v>
      </c>
      <c r="F39803">
        <v>12720021</v>
      </c>
      <c r="G39803" t="s">
        <v>3329</v>
      </c>
      <c r="H39803" s="21">
        <v>725.67</v>
      </c>
    </row>
    <row r="39804" spans="1:8" customFormat="1" x14ac:dyDescent="0.25">
      <c r="A39804" t="str">
        <f>"9535919"</f>
        <v>9535919</v>
      </c>
      <c r="B39804" t="s">
        <v>29753</v>
      </c>
      <c r="C39804" t="s">
        <v>29754</v>
      </c>
      <c r="D39804" s="21" t="s">
        <v>24820</v>
      </c>
      <c r="E39804" s="21" t="s">
        <v>71</v>
      </c>
      <c r="F39804">
        <v>8950553</v>
      </c>
      <c r="G39804" t="s">
        <v>1058</v>
      </c>
      <c r="H39804" s="21">
        <v>725.67</v>
      </c>
    </row>
    <row r="39805" spans="1:8" customFormat="1" x14ac:dyDescent="0.25">
      <c r="A39805" t="str">
        <f>"647512"</f>
        <v>647512</v>
      </c>
      <c r="B39805" t="s">
        <v>2981</v>
      </c>
      <c r="C39805" t="s">
        <v>22831</v>
      </c>
      <c r="D39805" s="21" t="s">
        <v>24820</v>
      </c>
      <c r="E39805" s="21" t="s">
        <v>71</v>
      </c>
      <c r="F39805">
        <v>10640017</v>
      </c>
      <c r="G39805" t="s">
        <v>2454</v>
      </c>
      <c r="H39805" s="21">
        <v>725.17</v>
      </c>
    </row>
    <row r="39806" spans="1:8" customFormat="1" x14ac:dyDescent="0.25">
      <c r="A39806" t="str">
        <f>"6015254"</f>
        <v>6015254</v>
      </c>
      <c r="B39806" t="s">
        <v>7072</v>
      </c>
      <c r="C39806" t="s">
        <v>22831</v>
      </c>
      <c r="D39806" s="21" t="s">
        <v>24820</v>
      </c>
      <c r="E39806" s="21" t="s">
        <v>35</v>
      </c>
      <c r="F39806">
        <v>7600157</v>
      </c>
      <c r="G39806" t="s">
        <v>12263</v>
      </c>
      <c r="H39806" s="21">
        <v>725.17</v>
      </c>
    </row>
    <row r="39807" spans="1:8" customFormat="1" x14ac:dyDescent="0.25">
      <c r="A39807" t="str">
        <f>"728357"</f>
        <v>728357</v>
      </c>
      <c r="B39807" t="s">
        <v>25265</v>
      </c>
      <c r="C39807" t="s">
        <v>25266</v>
      </c>
      <c r="D39807" s="21" t="s">
        <v>24820</v>
      </c>
      <c r="E39807" s="21" t="s">
        <v>35</v>
      </c>
      <c r="F39807">
        <v>12720111</v>
      </c>
      <c r="G39807" t="s">
        <v>3418</v>
      </c>
      <c r="H39807" s="21">
        <v>724.67</v>
      </c>
    </row>
    <row r="39808" spans="1:8" customFormat="1" x14ac:dyDescent="0.25">
      <c r="A39808" t="str">
        <f>"501009"</f>
        <v>501009</v>
      </c>
      <c r="B39808" t="s">
        <v>197</v>
      </c>
      <c r="C39808" t="s">
        <v>25177</v>
      </c>
      <c r="D39808" s="21" t="s">
        <v>24820</v>
      </c>
      <c r="E39808" s="21" t="s">
        <v>1089</v>
      </c>
      <c r="F39808">
        <v>9500030</v>
      </c>
      <c r="G39808" t="s">
        <v>2166</v>
      </c>
      <c r="H39808" s="21">
        <v>724.67</v>
      </c>
    </row>
    <row r="39809" spans="1:8" customFormat="1" x14ac:dyDescent="0.25">
      <c r="A39809" t="str">
        <f>"6925127"</f>
        <v>6925127</v>
      </c>
      <c r="B39809" t="s">
        <v>25213</v>
      </c>
      <c r="C39809" t="s">
        <v>24865</v>
      </c>
      <c r="D39809" s="21" t="s">
        <v>24820</v>
      </c>
      <c r="E39809" s="21" t="s">
        <v>71</v>
      </c>
      <c r="F39809">
        <v>1690199</v>
      </c>
      <c r="G39809" t="s">
        <v>12608</v>
      </c>
      <c r="H39809" s="21">
        <v>724.67</v>
      </c>
    </row>
    <row r="39810" spans="1:8" customFormat="1" x14ac:dyDescent="0.25">
      <c r="A39810" t="str">
        <f>"7611921"</f>
        <v>7611921</v>
      </c>
      <c r="B39810" t="s">
        <v>25182</v>
      </c>
      <c r="C39810" t="s">
        <v>25183</v>
      </c>
      <c r="D39810" s="21" t="s">
        <v>24820</v>
      </c>
      <c r="E39810" s="21" t="s">
        <v>1089</v>
      </c>
      <c r="F39810">
        <v>13830085</v>
      </c>
      <c r="G39810" t="s">
        <v>478</v>
      </c>
      <c r="H39810" s="21">
        <v>724.67</v>
      </c>
    </row>
    <row r="39811" spans="1:8" customFormat="1" x14ac:dyDescent="0.25">
      <c r="A39811" t="str">
        <f>"4436"</f>
        <v>4436</v>
      </c>
      <c r="B39811" t="s">
        <v>25133</v>
      </c>
      <c r="C39811" t="s">
        <v>24898</v>
      </c>
      <c r="D39811" s="21" t="s">
        <v>24820</v>
      </c>
      <c r="E39811" s="21" t="s">
        <v>254</v>
      </c>
      <c r="F39811">
        <v>12440002</v>
      </c>
      <c r="G39811" t="s">
        <v>47</v>
      </c>
      <c r="H39811" s="21">
        <v>723.92</v>
      </c>
    </row>
    <row r="39812" spans="1:8" customFormat="1" x14ac:dyDescent="0.25">
      <c r="A39812" t="str">
        <f>"317350"</f>
        <v>317350</v>
      </c>
      <c r="B39812" t="s">
        <v>29755</v>
      </c>
      <c r="C39812" t="s">
        <v>24824</v>
      </c>
      <c r="D39812" s="21" t="s">
        <v>24820</v>
      </c>
      <c r="E39812" s="21" t="s">
        <v>35</v>
      </c>
      <c r="F39812">
        <v>11310019</v>
      </c>
      <c r="G39812" t="s">
        <v>3099</v>
      </c>
      <c r="H39812" s="21">
        <v>723.17</v>
      </c>
    </row>
    <row r="39813" spans="1:8" customFormat="1" x14ac:dyDescent="0.25">
      <c r="A39813" t="str">
        <f>"5937850"</f>
        <v>5937850</v>
      </c>
      <c r="B39813" t="s">
        <v>3062</v>
      </c>
      <c r="C39813" t="s">
        <v>24947</v>
      </c>
      <c r="D39813" s="21" t="s">
        <v>24820</v>
      </c>
      <c r="E39813" s="21" t="s">
        <v>35</v>
      </c>
      <c r="F39813">
        <v>7590175</v>
      </c>
      <c r="G39813" t="s">
        <v>3063</v>
      </c>
      <c r="H39813" s="21">
        <v>722.67</v>
      </c>
    </row>
    <row r="39814" spans="1:8" customFormat="1" x14ac:dyDescent="0.25">
      <c r="A39814" t="str">
        <f>"015387"</f>
        <v>015387</v>
      </c>
      <c r="B39814" t="s">
        <v>29756</v>
      </c>
      <c r="C39814" t="s">
        <v>25403</v>
      </c>
      <c r="D39814" s="21" t="s">
        <v>24820</v>
      </c>
      <c r="E39814" s="21" t="s">
        <v>71</v>
      </c>
      <c r="F39814">
        <v>1010069</v>
      </c>
      <c r="G39814" t="s">
        <v>1707</v>
      </c>
      <c r="H39814" s="21">
        <v>722.17</v>
      </c>
    </row>
    <row r="39815" spans="1:8" customFormat="1" x14ac:dyDescent="0.25">
      <c r="A39815" t="str">
        <f>"7510897"</f>
        <v>7510897</v>
      </c>
      <c r="B39815" t="s">
        <v>25152</v>
      </c>
      <c r="C39815" t="s">
        <v>25153</v>
      </c>
      <c r="D39815" s="21" t="s">
        <v>24820</v>
      </c>
      <c r="E39815" s="21" t="s">
        <v>35</v>
      </c>
      <c r="F39815">
        <v>8750007</v>
      </c>
      <c r="G39815" t="s">
        <v>775</v>
      </c>
      <c r="H39815" s="21">
        <v>722.17</v>
      </c>
    </row>
    <row r="39816" spans="1:8" customFormat="1" x14ac:dyDescent="0.25">
      <c r="A39816" t="str">
        <f>"4420469"</f>
        <v>4420469</v>
      </c>
      <c r="B39816" t="s">
        <v>11376</v>
      </c>
      <c r="C39816" t="s">
        <v>24898</v>
      </c>
      <c r="D39816" s="21" t="s">
        <v>24820</v>
      </c>
      <c r="E39816" s="21" t="s">
        <v>71</v>
      </c>
      <c r="F39816">
        <v>12440038</v>
      </c>
      <c r="G39816" t="s">
        <v>2057</v>
      </c>
      <c r="H39816" s="21">
        <v>722.17</v>
      </c>
    </row>
    <row r="39817" spans="1:8" customFormat="1" x14ac:dyDescent="0.25">
      <c r="A39817" t="str">
        <f>"5013800"</f>
        <v>5013800</v>
      </c>
      <c r="B39817" t="s">
        <v>22195</v>
      </c>
      <c r="C39817" t="s">
        <v>25196</v>
      </c>
      <c r="D39817" s="21" t="s">
        <v>24820</v>
      </c>
      <c r="E39817" s="21" t="s">
        <v>35</v>
      </c>
      <c r="F39817">
        <v>9500088</v>
      </c>
      <c r="G39817" t="s">
        <v>15949</v>
      </c>
      <c r="H39817" s="21">
        <v>721.79</v>
      </c>
    </row>
    <row r="39818" spans="1:8" customFormat="1" x14ac:dyDescent="0.25">
      <c r="A39818" t="str">
        <f>"5416353"</f>
        <v>5416353</v>
      </c>
      <c r="B39818" t="s">
        <v>9726</v>
      </c>
      <c r="C39818" t="s">
        <v>22736</v>
      </c>
      <c r="D39818" s="21" t="s">
        <v>24820</v>
      </c>
      <c r="E39818" s="21" t="s">
        <v>35</v>
      </c>
      <c r="F39818">
        <v>6540190</v>
      </c>
      <c r="G39818" t="s">
        <v>9727</v>
      </c>
      <c r="H39818" s="21">
        <v>721.67</v>
      </c>
    </row>
    <row r="39819" spans="1:8" customFormat="1" x14ac:dyDescent="0.25">
      <c r="A39819" t="str">
        <f>"1420742"</f>
        <v>1420742</v>
      </c>
      <c r="B39819" t="s">
        <v>6677</v>
      </c>
      <c r="C39819" t="s">
        <v>24833</v>
      </c>
      <c r="D39819" s="21" t="s">
        <v>24820</v>
      </c>
      <c r="E39819" s="21" t="s">
        <v>35</v>
      </c>
      <c r="F39819">
        <v>9140012</v>
      </c>
      <c r="G39819" t="s">
        <v>26518</v>
      </c>
      <c r="H39819" s="21">
        <v>720.54</v>
      </c>
    </row>
    <row r="39820" spans="1:8" customFormat="1" x14ac:dyDescent="0.25">
      <c r="A39820" t="str">
        <f>"368011"</f>
        <v>368011</v>
      </c>
      <c r="B39820" t="s">
        <v>29757</v>
      </c>
      <c r="C39820" t="s">
        <v>25506</v>
      </c>
      <c r="D39820" s="21" t="s">
        <v>24820</v>
      </c>
      <c r="E39820" s="21" t="s">
        <v>35</v>
      </c>
      <c r="F39820">
        <v>4360605</v>
      </c>
      <c r="G39820" t="s">
        <v>6003</v>
      </c>
      <c r="H39820" s="21">
        <v>720.42</v>
      </c>
    </row>
    <row r="39821" spans="1:8" customFormat="1" x14ac:dyDescent="0.25">
      <c r="A39821" t="str">
        <f>"214534"</f>
        <v>214534</v>
      </c>
      <c r="B39821" t="s">
        <v>29758</v>
      </c>
      <c r="C39821" t="s">
        <v>22831</v>
      </c>
      <c r="D39821" s="21" t="s">
        <v>24820</v>
      </c>
      <c r="E39821" s="21" t="s">
        <v>35</v>
      </c>
      <c r="F39821">
        <v>2210089</v>
      </c>
      <c r="G39821" t="s">
        <v>6144</v>
      </c>
      <c r="H39821" s="21">
        <v>720.17</v>
      </c>
    </row>
    <row r="39822" spans="1:8" customFormat="1" x14ac:dyDescent="0.25">
      <c r="A39822" t="str">
        <f>"639225"</f>
        <v>639225</v>
      </c>
      <c r="B39822" t="s">
        <v>21926</v>
      </c>
      <c r="C39822" t="s">
        <v>24867</v>
      </c>
      <c r="D39822" s="21" t="s">
        <v>24820</v>
      </c>
      <c r="E39822" s="21" t="s">
        <v>35</v>
      </c>
      <c r="F39822">
        <v>1630332</v>
      </c>
      <c r="G39822" t="s">
        <v>27136</v>
      </c>
      <c r="H39822" s="21">
        <v>719.67</v>
      </c>
    </row>
    <row r="39823" spans="1:8" customFormat="1" x14ac:dyDescent="0.25">
      <c r="A39823" t="str">
        <f>"2918626"</f>
        <v>2918626</v>
      </c>
      <c r="B39823" t="s">
        <v>4652</v>
      </c>
      <c r="C39823" t="s">
        <v>25044</v>
      </c>
      <c r="D39823" s="21" t="s">
        <v>24820</v>
      </c>
      <c r="E39823" s="21" t="s">
        <v>71</v>
      </c>
      <c r="F39823">
        <v>3290044</v>
      </c>
      <c r="G39823" t="s">
        <v>3897</v>
      </c>
      <c r="H39823" s="21">
        <v>719.67</v>
      </c>
    </row>
    <row r="39824" spans="1:8" customFormat="1" x14ac:dyDescent="0.25">
      <c r="A39824" t="str">
        <f>"3727847"</f>
        <v>3727847</v>
      </c>
      <c r="B39824" t="s">
        <v>29759</v>
      </c>
      <c r="C39824" t="s">
        <v>24915</v>
      </c>
      <c r="D39824" s="21" t="s">
        <v>24820</v>
      </c>
      <c r="E39824" s="21" t="s">
        <v>35</v>
      </c>
      <c r="F39824">
        <v>4370439</v>
      </c>
      <c r="G39824" t="s">
        <v>2956</v>
      </c>
      <c r="H39824" s="21">
        <v>719.17</v>
      </c>
    </row>
    <row r="39825" spans="1:8" customFormat="1" x14ac:dyDescent="0.25">
      <c r="A39825" t="str">
        <f>"7846783"</f>
        <v>7846783</v>
      </c>
      <c r="B39825" t="s">
        <v>12794</v>
      </c>
      <c r="C39825" t="s">
        <v>25217</v>
      </c>
      <c r="D39825" s="21" t="s">
        <v>24820</v>
      </c>
      <c r="E39825" s="21" t="s">
        <v>35</v>
      </c>
      <c r="F39825">
        <v>8750064</v>
      </c>
      <c r="G39825" t="s">
        <v>10471</v>
      </c>
      <c r="H39825" s="21">
        <v>718.67</v>
      </c>
    </row>
    <row r="39826" spans="1:8" customFormat="1" x14ac:dyDescent="0.25">
      <c r="A39826" t="str">
        <f>"644784"</f>
        <v>644784</v>
      </c>
      <c r="B39826" t="s">
        <v>25191</v>
      </c>
      <c r="C39826" t="s">
        <v>25192</v>
      </c>
      <c r="D39826" s="21" t="s">
        <v>24820</v>
      </c>
      <c r="E39826" s="21" t="s">
        <v>1089</v>
      </c>
      <c r="F39826">
        <v>10640011</v>
      </c>
      <c r="G39826" t="s">
        <v>13300</v>
      </c>
      <c r="H39826" s="21">
        <v>717.67</v>
      </c>
    </row>
    <row r="39827" spans="1:8" customFormat="1" x14ac:dyDescent="0.25">
      <c r="A39827" t="str">
        <f>"725459"</f>
        <v>725459</v>
      </c>
      <c r="B39827" t="s">
        <v>2403</v>
      </c>
      <c r="C39827" t="s">
        <v>25201</v>
      </c>
      <c r="D39827" s="21" t="s">
        <v>24820</v>
      </c>
      <c r="E39827" s="21" t="s">
        <v>35</v>
      </c>
      <c r="F39827">
        <v>12720050</v>
      </c>
      <c r="G39827" t="s">
        <v>5522</v>
      </c>
      <c r="H39827" s="21">
        <v>717.17</v>
      </c>
    </row>
    <row r="39828" spans="1:8" customFormat="1" x14ac:dyDescent="0.25">
      <c r="A39828" t="str">
        <f>"9119199"</f>
        <v>9119199</v>
      </c>
      <c r="B39828" t="s">
        <v>25099</v>
      </c>
      <c r="C39828" t="s">
        <v>24867</v>
      </c>
      <c r="D39828" s="21" t="s">
        <v>24820</v>
      </c>
      <c r="E39828" s="21" t="s">
        <v>71</v>
      </c>
      <c r="F39828">
        <v>8940975</v>
      </c>
      <c r="G39828" t="s">
        <v>7959</v>
      </c>
      <c r="H39828" s="21">
        <v>716.54</v>
      </c>
    </row>
    <row r="39829" spans="1:8" customFormat="1" x14ac:dyDescent="0.25">
      <c r="A39829" t="str">
        <f>"4423584"</f>
        <v>4423584</v>
      </c>
      <c r="B39829" t="s">
        <v>16882</v>
      </c>
      <c r="C39829" t="s">
        <v>25151</v>
      </c>
      <c r="D39829" s="21" t="s">
        <v>24820</v>
      </c>
      <c r="E39829" s="21" t="s">
        <v>71</v>
      </c>
      <c r="F39829">
        <v>12440004</v>
      </c>
      <c r="G39829" t="s">
        <v>26530</v>
      </c>
      <c r="H39829" s="21">
        <v>716.17</v>
      </c>
    </row>
    <row r="39830" spans="1:8" customFormat="1" x14ac:dyDescent="0.25">
      <c r="A39830" t="str">
        <f>"082384"</f>
        <v>082384</v>
      </c>
      <c r="B39830" t="s">
        <v>7838</v>
      </c>
      <c r="C39830" t="s">
        <v>25190</v>
      </c>
      <c r="D39830" s="21" t="s">
        <v>24820</v>
      </c>
      <c r="E39830" s="21" t="s">
        <v>71</v>
      </c>
      <c r="F39830">
        <v>6080035</v>
      </c>
      <c r="G39830" t="s">
        <v>583</v>
      </c>
      <c r="H39830" s="21">
        <v>716.17</v>
      </c>
    </row>
    <row r="39831" spans="1:8" customFormat="1" x14ac:dyDescent="0.25">
      <c r="A39831" t="str">
        <f>"591106"</f>
        <v>591106</v>
      </c>
      <c r="B39831" t="s">
        <v>11307</v>
      </c>
      <c r="C39831" t="s">
        <v>22831</v>
      </c>
      <c r="D39831" s="21" t="s">
        <v>24820</v>
      </c>
      <c r="E39831" s="21" t="s">
        <v>71</v>
      </c>
      <c r="F39831">
        <v>8750007</v>
      </c>
      <c r="G39831" t="s">
        <v>775</v>
      </c>
      <c r="H39831" s="21">
        <v>715.67</v>
      </c>
    </row>
    <row r="39832" spans="1:8" customFormat="1" x14ac:dyDescent="0.25">
      <c r="A39832" t="str">
        <f>"087739"</f>
        <v>087739</v>
      </c>
      <c r="B39832" t="s">
        <v>25156</v>
      </c>
      <c r="C39832" t="s">
        <v>24867</v>
      </c>
      <c r="D39832" s="21" t="s">
        <v>24820</v>
      </c>
      <c r="E39832" s="21" t="s">
        <v>71</v>
      </c>
      <c r="F39832">
        <v>6080053</v>
      </c>
      <c r="G39832" t="s">
        <v>12951</v>
      </c>
      <c r="H39832" s="21">
        <v>715.17</v>
      </c>
    </row>
    <row r="39833" spans="1:8" customFormat="1" x14ac:dyDescent="0.25">
      <c r="A39833" t="str">
        <f>"185255"</f>
        <v>185255</v>
      </c>
      <c r="B39833" t="s">
        <v>25193</v>
      </c>
      <c r="C39833" t="s">
        <v>23734</v>
      </c>
      <c r="D39833" s="21" t="s">
        <v>24820</v>
      </c>
      <c r="E39833" s="21" t="s">
        <v>71</v>
      </c>
      <c r="F39833">
        <v>4180737</v>
      </c>
      <c r="G39833" t="s">
        <v>26856</v>
      </c>
      <c r="H39833" s="21">
        <v>714.67</v>
      </c>
    </row>
    <row r="39834" spans="1:8" customFormat="1" x14ac:dyDescent="0.25">
      <c r="A39834" t="str">
        <f>"915307"</f>
        <v>915307</v>
      </c>
      <c r="B39834" t="s">
        <v>6472</v>
      </c>
      <c r="C39834" t="s">
        <v>25086</v>
      </c>
      <c r="D39834" s="21" t="s">
        <v>24820</v>
      </c>
      <c r="E39834" s="21" t="s">
        <v>71</v>
      </c>
      <c r="F39834">
        <v>8910077</v>
      </c>
      <c r="G39834" t="s">
        <v>1380</v>
      </c>
      <c r="H39834" s="21">
        <v>714.42</v>
      </c>
    </row>
    <row r="39835" spans="1:8" customFormat="1" x14ac:dyDescent="0.25">
      <c r="A39835" t="str">
        <f>"943187"</f>
        <v>943187</v>
      </c>
      <c r="B39835" t="s">
        <v>8662</v>
      </c>
      <c r="C39835" t="s">
        <v>25136</v>
      </c>
      <c r="D39835" s="21" t="s">
        <v>24820</v>
      </c>
      <c r="E39835" s="21" t="s">
        <v>254</v>
      </c>
      <c r="F39835">
        <v>8940326</v>
      </c>
      <c r="G39835" t="s">
        <v>659</v>
      </c>
      <c r="H39835" s="21">
        <v>714.17</v>
      </c>
    </row>
    <row r="39836" spans="1:8" customFormat="1" x14ac:dyDescent="0.25">
      <c r="A39836" t="str">
        <f>"6314615"</f>
        <v>6314615</v>
      </c>
      <c r="B39836" t="s">
        <v>16900</v>
      </c>
      <c r="C39836" t="s">
        <v>24828</v>
      </c>
      <c r="D39836" s="21" t="s">
        <v>24820</v>
      </c>
      <c r="E39836" s="21" t="s">
        <v>35</v>
      </c>
      <c r="F39836">
        <v>1630015</v>
      </c>
      <c r="G39836" t="s">
        <v>2097</v>
      </c>
      <c r="H39836" s="21">
        <v>713.67</v>
      </c>
    </row>
    <row r="39837" spans="1:8" customFormat="1" x14ac:dyDescent="0.25">
      <c r="A39837" t="str">
        <f>"6714320"</f>
        <v>6714320</v>
      </c>
      <c r="B39837" t="s">
        <v>8615</v>
      </c>
      <c r="C39837" t="s">
        <v>25197</v>
      </c>
      <c r="D39837" s="21" t="s">
        <v>24820</v>
      </c>
      <c r="E39837" s="21" t="s">
        <v>35</v>
      </c>
      <c r="F39837">
        <v>6670114</v>
      </c>
      <c r="G39837" t="s">
        <v>3084</v>
      </c>
      <c r="H39837" s="21">
        <v>713.17</v>
      </c>
    </row>
    <row r="39838" spans="1:8" customFormat="1" x14ac:dyDescent="0.25">
      <c r="A39838" t="str">
        <f>"733873"</f>
        <v>733873</v>
      </c>
      <c r="B39838" t="s">
        <v>19655</v>
      </c>
      <c r="C39838" t="s">
        <v>24958</v>
      </c>
      <c r="D39838" s="21" t="s">
        <v>24820</v>
      </c>
      <c r="E39838" s="21" t="s">
        <v>71</v>
      </c>
      <c r="F39838">
        <v>1730074</v>
      </c>
      <c r="G39838" t="s">
        <v>7704</v>
      </c>
      <c r="H39838" s="21">
        <v>712.67</v>
      </c>
    </row>
    <row r="39839" spans="1:8" customFormat="1" x14ac:dyDescent="0.25">
      <c r="A39839" t="str">
        <f>"8516213"</f>
        <v>8516213</v>
      </c>
      <c r="B39839" t="s">
        <v>6473</v>
      </c>
      <c r="C39839" t="s">
        <v>24889</v>
      </c>
      <c r="D39839" s="21" t="s">
        <v>24820</v>
      </c>
      <c r="E39839" s="21" t="s">
        <v>35</v>
      </c>
      <c r="F39839">
        <v>12850016</v>
      </c>
      <c r="G39839" t="s">
        <v>26554</v>
      </c>
      <c r="H39839" s="21">
        <v>712.67</v>
      </c>
    </row>
    <row r="39840" spans="1:8" customFormat="1" x14ac:dyDescent="0.25">
      <c r="A39840" t="str">
        <f>"4930855"</f>
        <v>4930855</v>
      </c>
      <c r="B39840" t="s">
        <v>5444</v>
      </c>
      <c r="C39840" t="s">
        <v>24841</v>
      </c>
      <c r="D39840" s="21" t="s">
        <v>24820</v>
      </c>
      <c r="E39840" s="21" t="s">
        <v>35</v>
      </c>
      <c r="F39840">
        <v>12490124</v>
      </c>
      <c r="G39840" t="s">
        <v>677</v>
      </c>
      <c r="H39840" s="21">
        <v>712.42</v>
      </c>
    </row>
    <row r="39841" spans="1:8" customFormat="1" x14ac:dyDescent="0.25">
      <c r="A39841" t="str">
        <f>"5020995"</f>
        <v>5020995</v>
      </c>
      <c r="B39841" t="s">
        <v>29760</v>
      </c>
      <c r="C39841" t="s">
        <v>24833</v>
      </c>
      <c r="D39841" s="21" t="s">
        <v>24820</v>
      </c>
      <c r="E39841" s="21" t="s">
        <v>71</v>
      </c>
      <c r="F39841">
        <v>9500003</v>
      </c>
      <c r="G39841" t="s">
        <v>545</v>
      </c>
      <c r="H39841" s="21">
        <v>712.29</v>
      </c>
    </row>
    <row r="39842" spans="1:8" customFormat="1" x14ac:dyDescent="0.25">
      <c r="A39842" t="str">
        <f>"2932175"</f>
        <v>2932175</v>
      </c>
      <c r="B39842" t="s">
        <v>25323</v>
      </c>
      <c r="C39842" t="s">
        <v>24897</v>
      </c>
      <c r="D39842" s="21" t="s">
        <v>24820</v>
      </c>
      <c r="E39842" s="21" t="s">
        <v>71</v>
      </c>
      <c r="F39842">
        <v>3290222</v>
      </c>
      <c r="G39842" t="s">
        <v>2259</v>
      </c>
      <c r="H39842" s="21">
        <v>711.92</v>
      </c>
    </row>
    <row r="39843" spans="1:8" customFormat="1" x14ac:dyDescent="0.25">
      <c r="A39843" t="str">
        <f>"759585"</f>
        <v>759585</v>
      </c>
      <c r="B39843" t="s">
        <v>19031</v>
      </c>
      <c r="C39843" t="s">
        <v>24968</v>
      </c>
      <c r="D39843" s="21" t="s">
        <v>24820</v>
      </c>
      <c r="E39843" s="21" t="s">
        <v>35</v>
      </c>
      <c r="F39843">
        <v>8751260</v>
      </c>
      <c r="G39843" t="s">
        <v>10641</v>
      </c>
      <c r="H39843" s="21">
        <v>711.79</v>
      </c>
    </row>
    <row r="39844" spans="1:8" customFormat="1" x14ac:dyDescent="0.25">
      <c r="A39844" t="str">
        <f>"742122"</f>
        <v>742122</v>
      </c>
      <c r="B39844" t="s">
        <v>25189</v>
      </c>
      <c r="C39844" t="s">
        <v>25003</v>
      </c>
      <c r="D39844" s="21" t="s">
        <v>24820</v>
      </c>
      <c r="E39844" s="21" t="s">
        <v>35</v>
      </c>
      <c r="F39844">
        <v>1740003</v>
      </c>
      <c r="G39844" t="s">
        <v>982</v>
      </c>
      <c r="H39844" s="21">
        <v>711.67</v>
      </c>
    </row>
    <row r="39845" spans="1:8" customFormat="1" x14ac:dyDescent="0.25">
      <c r="A39845" t="str">
        <f>"9524343"</f>
        <v>9524343</v>
      </c>
      <c r="B39845" t="s">
        <v>25180</v>
      </c>
      <c r="C39845" t="s">
        <v>24838</v>
      </c>
      <c r="D39845" s="21" t="s">
        <v>24820</v>
      </c>
      <c r="E39845" s="21" t="s">
        <v>71</v>
      </c>
      <c r="F39845">
        <v>8950570</v>
      </c>
      <c r="G39845" t="s">
        <v>3226</v>
      </c>
      <c r="H39845" s="21">
        <v>711.17</v>
      </c>
    </row>
    <row r="39846" spans="1:8" customFormat="1" x14ac:dyDescent="0.25">
      <c r="A39846" t="str">
        <f>"225686"</f>
        <v>225686</v>
      </c>
      <c r="B39846" t="s">
        <v>8167</v>
      </c>
      <c r="C39846" t="s">
        <v>24841</v>
      </c>
      <c r="D39846" s="21" t="s">
        <v>24820</v>
      </c>
      <c r="E39846" s="21" t="s">
        <v>35</v>
      </c>
      <c r="F39846">
        <v>3220087</v>
      </c>
      <c r="G39846" t="s">
        <v>3540</v>
      </c>
      <c r="H39846" s="21">
        <v>711.04</v>
      </c>
    </row>
    <row r="39847" spans="1:8" customFormat="1" x14ac:dyDescent="0.25">
      <c r="A39847" t="str">
        <f>"5322852"</f>
        <v>5322852</v>
      </c>
      <c r="B39847" t="s">
        <v>10597</v>
      </c>
      <c r="C39847" t="s">
        <v>22831</v>
      </c>
      <c r="D39847" s="21" t="s">
        <v>24820</v>
      </c>
      <c r="E39847" s="21" t="s">
        <v>35</v>
      </c>
      <c r="F39847">
        <v>12530070</v>
      </c>
      <c r="G39847" t="s">
        <v>4905</v>
      </c>
      <c r="H39847" s="21">
        <v>709.92</v>
      </c>
    </row>
    <row r="39848" spans="1:8" customFormat="1" x14ac:dyDescent="0.25">
      <c r="A39848" t="str">
        <f>"2511386"</f>
        <v>2511386</v>
      </c>
      <c r="B39848" t="s">
        <v>25149</v>
      </c>
      <c r="C39848" t="s">
        <v>24897</v>
      </c>
      <c r="D39848" s="21" t="s">
        <v>24820</v>
      </c>
      <c r="E39848" s="21" t="s">
        <v>71</v>
      </c>
      <c r="F39848">
        <v>2250221</v>
      </c>
      <c r="G39848" t="s">
        <v>18307</v>
      </c>
      <c r="H39848" s="21">
        <v>708.67</v>
      </c>
    </row>
    <row r="39849" spans="1:8" customFormat="1" x14ac:dyDescent="0.25">
      <c r="A39849" t="str">
        <f>"7727934"</f>
        <v>7727934</v>
      </c>
      <c r="B39849" t="s">
        <v>9529</v>
      </c>
      <c r="C39849" t="s">
        <v>25317</v>
      </c>
      <c r="D39849" s="21" t="s">
        <v>24820</v>
      </c>
      <c r="E39849" s="21" t="s">
        <v>35</v>
      </c>
      <c r="F39849">
        <v>8771518</v>
      </c>
      <c r="G39849" t="s">
        <v>12274</v>
      </c>
      <c r="H39849" s="21">
        <v>708.42</v>
      </c>
    </row>
    <row r="39850" spans="1:8" customFormat="1" x14ac:dyDescent="0.25">
      <c r="A39850" t="str">
        <f>"5012051"</f>
        <v>5012051</v>
      </c>
      <c r="B39850" t="s">
        <v>29761</v>
      </c>
      <c r="C39850" t="s">
        <v>24833</v>
      </c>
      <c r="D39850" s="21" t="s">
        <v>24820</v>
      </c>
      <c r="E39850" s="21" t="s">
        <v>35</v>
      </c>
      <c r="F39850">
        <v>9500130</v>
      </c>
      <c r="G39850" t="s">
        <v>5326</v>
      </c>
      <c r="H39850" s="21">
        <v>708.17</v>
      </c>
    </row>
    <row r="39851" spans="1:8" customFormat="1" x14ac:dyDescent="0.25">
      <c r="A39851" t="str">
        <f>"713595"</f>
        <v>713595</v>
      </c>
      <c r="B39851" t="s">
        <v>6472</v>
      </c>
      <c r="C39851" t="s">
        <v>25051</v>
      </c>
      <c r="D39851" s="21" t="s">
        <v>24820</v>
      </c>
      <c r="E39851" s="21" t="s">
        <v>35</v>
      </c>
      <c r="F39851">
        <v>2710025</v>
      </c>
      <c r="G39851" t="s">
        <v>2719</v>
      </c>
      <c r="H39851" s="21">
        <v>707.29</v>
      </c>
    </row>
    <row r="39852" spans="1:8" customFormat="1" x14ac:dyDescent="0.25">
      <c r="A39852" t="str">
        <f>"595848"</f>
        <v>595848</v>
      </c>
      <c r="B39852" t="s">
        <v>4815</v>
      </c>
      <c r="C39852" t="s">
        <v>24897</v>
      </c>
      <c r="D39852" s="21" t="s">
        <v>24820</v>
      </c>
      <c r="E39852" s="21" t="s">
        <v>71</v>
      </c>
      <c r="F39852">
        <v>7590004</v>
      </c>
      <c r="G39852" t="s">
        <v>4816</v>
      </c>
      <c r="H39852" s="21">
        <v>707.17</v>
      </c>
    </row>
    <row r="39853" spans="1:8" customFormat="1" x14ac:dyDescent="0.25">
      <c r="A39853" t="str">
        <f>"948728"</f>
        <v>948728</v>
      </c>
      <c r="B39853" t="s">
        <v>25244</v>
      </c>
      <c r="C39853" t="s">
        <v>24898</v>
      </c>
      <c r="D39853" s="21" t="s">
        <v>24820</v>
      </c>
      <c r="E39853" s="21" t="s">
        <v>71</v>
      </c>
      <c r="F39853">
        <v>8940326</v>
      </c>
      <c r="G39853" t="s">
        <v>659</v>
      </c>
      <c r="H39853" s="21">
        <v>706.67</v>
      </c>
    </row>
    <row r="39854" spans="1:8" customFormat="1" x14ac:dyDescent="0.25">
      <c r="A39854" t="str">
        <f>"6215176"</f>
        <v>6215176</v>
      </c>
      <c r="B39854" t="s">
        <v>25318</v>
      </c>
      <c r="C39854" t="s">
        <v>24958</v>
      </c>
      <c r="D39854" s="21" t="s">
        <v>24820</v>
      </c>
      <c r="E39854" s="21" t="s">
        <v>254</v>
      </c>
      <c r="F39854">
        <v>7620143</v>
      </c>
      <c r="G39854" t="s">
        <v>8762</v>
      </c>
      <c r="H39854" s="21">
        <v>706.17</v>
      </c>
    </row>
    <row r="39855" spans="1:8" customFormat="1" x14ac:dyDescent="0.25">
      <c r="A39855" t="str">
        <f>"137098"</f>
        <v>137098</v>
      </c>
      <c r="B39855" t="s">
        <v>29762</v>
      </c>
      <c r="C39855" t="s">
        <v>24865</v>
      </c>
      <c r="D39855" s="21" t="s">
        <v>24820</v>
      </c>
      <c r="E39855" s="21" t="s">
        <v>35</v>
      </c>
      <c r="F39855">
        <v>13130170</v>
      </c>
      <c r="G39855" t="s">
        <v>10164</v>
      </c>
      <c r="H39855" s="21">
        <v>705.92</v>
      </c>
    </row>
    <row r="39856" spans="1:8" customFormat="1" x14ac:dyDescent="0.25">
      <c r="A39856" t="str">
        <f>"5017730"</f>
        <v>5017730</v>
      </c>
      <c r="B39856" t="s">
        <v>29763</v>
      </c>
      <c r="C39856" t="s">
        <v>29764</v>
      </c>
      <c r="D39856" s="21" t="s">
        <v>24820</v>
      </c>
      <c r="E39856" s="21" t="s">
        <v>35</v>
      </c>
      <c r="F39856">
        <v>9500022</v>
      </c>
      <c r="G39856" t="s">
        <v>4324</v>
      </c>
      <c r="H39856" s="21">
        <v>705.17</v>
      </c>
    </row>
    <row r="39857" spans="1:8" customFormat="1" x14ac:dyDescent="0.25">
      <c r="A39857" t="str">
        <f>"7856779"</f>
        <v>7856779</v>
      </c>
      <c r="B39857" t="s">
        <v>25209</v>
      </c>
      <c r="C39857" t="s">
        <v>25210</v>
      </c>
      <c r="D39857" s="21" t="s">
        <v>24820</v>
      </c>
      <c r="E39857" s="21" t="s">
        <v>254</v>
      </c>
      <c r="F39857">
        <v>8780080</v>
      </c>
      <c r="G39857" t="s">
        <v>865</v>
      </c>
      <c r="H39857" s="21">
        <v>705.04</v>
      </c>
    </row>
    <row r="39858" spans="1:8" customFormat="1" x14ac:dyDescent="0.25">
      <c r="A39858" t="str">
        <f>"0831"</f>
        <v>0831</v>
      </c>
      <c r="B39858" t="s">
        <v>8456</v>
      </c>
      <c r="C39858" t="s">
        <v>24857</v>
      </c>
      <c r="D39858" s="21" t="s">
        <v>24820</v>
      </c>
      <c r="E39858" s="21" t="s">
        <v>254</v>
      </c>
      <c r="F39858">
        <v>6080024</v>
      </c>
      <c r="G39858" t="s">
        <v>5511</v>
      </c>
      <c r="H39858" s="21">
        <v>704.67</v>
      </c>
    </row>
    <row r="39859" spans="1:8" customFormat="1" x14ac:dyDescent="0.25">
      <c r="A39859" t="str">
        <f>"419075"</f>
        <v>419075</v>
      </c>
      <c r="B39859" t="s">
        <v>650</v>
      </c>
      <c r="C39859" t="s">
        <v>25452</v>
      </c>
      <c r="D39859" s="21" t="s">
        <v>24820</v>
      </c>
      <c r="E39859" s="21" t="s">
        <v>35</v>
      </c>
      <c r="F39859">
        <v>4410080</v>
      </c>
      <c r="G39859" t="s">
        <v>135</v>
      </c>
      <c r="H39859" s="21">
        <v>704.17</v>
      </c>
    </row>
    <row r="39860" spans="1:8" customFormat="1" x14ac:dyDescent="0.25">
      <c r="A39860" t="str">
        <f>"7922214"</f>
        <v>7922214</v>
      </c>
      <c r="B39860" t="s">
        <v>3505</v>
      </c>
      <c r="C39860" t="s">
        <v>24962</v>
      </c>
      <c r="D39860" s="21" t="s">
        <v>24820</v>
      </c>
      <c r="E39860" s="21" t="s">
        <v>71</v>
      </c>
      <c r="F39860">
        <v>10790163</v>
      </c>
      <c r="G39860" t="s">
        <v>2015</v>
      </c>
      <c r="H39860" s="21">
        <v>704.17</v>
      </c>
    </row>
    <row r="39861" spans="1:8" customFormat="1" x14ac:dyDescent="0.25">
      <c r="A39861" t="str">
        <f>"5321969"</f>
        <v>5321969</v>
      </c>
      <c r="B39861" t="s">
        <v>14880</v>
      </c>
      <c r="C39861" t="s">
        <v>24846</v>
      </c>
      <c r="D39861" s="21" t="s">
        <v>24820</v>
      </c>
      <c r="E39861" s="21" t="s">
        <v>35</v>
      </c>
      <c r="F39861">
        <v>12530098</v>
      </c>
      <c r="G39861" t="s">
        <v>8852</v>
      </c>
      <c r="H39861" s="21">
        <v>703.92</v>
      </c>
    </row>
    <row r="39862" spans="1:8" customFormat="1" x14ac:dyDescent="0.25">
      <c r="A39862" t="str">
        <f>"4517669"</f>
        <v>4517669</v>
      </c>
      <c r="B39862" t="s">
        <v>582</v>
      </c>
      <c r="C39862" t="s">
        <v>25178</v>
      </c>
      <c r="D39862" s="21" t="s">
        <v>24820</v>
      </c>
      <c r="E39862" s="21" t="s">
        <v>71</v>
      </c>
      <c r="F39862">
        <v>4450757</v>
      </c>
      <c r="G39862" t="s">
        <v>3829</v>
      </c>
      <c r="H39862" s="21">
        <v>703.17</v>
      </c>
    </row>
    <row r="39863" spans="1:8" customFormat="1" x14ac:dyDescent="0.25">
      <c r="A39863" t="str">
        <f>"9753836"</f>
        <v>9753836</v>
      </c>
      <c r="B39863" t="s">
        <v>25228</v>
      </c>
      <c r="C39863" t="s">
        <v>24840</v>
      </c>
      <c r="D39863" s="21" t="s">
        <v>24820</v>
      </c>
      <c r="E39863" s="21" t="s">
        <v>35</v>
      </c>
      <c r="F39863" t="s">
        <v>10239</v>
      </c>
      <c r="G39863" t="s">
        <v>10240</v>
      </c>
      <c r="H39863" s="21">
        <v>703.04</v>
      </c>
    </row>
    <row r="39864" spans="1:8" customFormat="1" x14ac:dyDescent="0.25">
      <c r="A39864" t="str">
        <f>"5323631"</f>
        <v>5323631</v>
      </c>
      <c r="B39864" t="s">
        <v>4885</v>
      </c>
      <c r="C39864" t="s">
        <v>24888</v>
      </c>
      <c r="D39864" s="21" t="s">
        <v>24820</v>
      </c>
      <c r="E39864" s="21" t="s">
        <v>35</v>
      </c>
      <c r="F39864">
        <v>12530146</v>
      </c>
      <c r="G39864" t="s">
        <v>10916</v>
      </c>
      <c r="H39864" s="21">
        <v>702.92</v>
      </c>
    </row>
    <row r="39865" spans="1:8" customFormat="1" x14ac:dyDescent="0.25">
      <c r="A39865" t="str">
        <f>"73343"</f>
        <v>73343</v>
      </c>
      <c r="B39865" t="s">
        <v>10835</v>
      </c>
      <c r="C39865" t="s">
        <v>24909</v>
      </c>
      <c r="D39865" s="21" t="s">
        <v>24820</v>
      </c>
      <c r="E39865" s="21" t="s">
        <v>71</v>
      </c>
      <c r="F39865">
        <v>1730048</v>
      </c>
      <c r="G39865" t="s">
        <v>3173</v>
      </c>
      <c r="H39865" s="21">
        <v>702.67</v>
      </c>
    </row>
    <row r="39866" spans="1:8" customFormat="1" x14ac:dyDescent="0.25">
      <c r="A39866" t="str">
        <f>"9514751"</f>
        <v>9514751</v>
      </c>
      <c r="B39866" t="s">
        <v>6328</v>
      </c>
      <c r="C39866" t="s">
        <v>24889</v>
      </c>
      <c r="D39866" s="21" t="s">
        <v>24820</v>
      </c>
      <c r="E39866" s="21" t="s">
        <v>35</v>
      </c>
      <c r="F39866">
        <v>8950088</v>
      </c>
      <c r="G39866" t="s">
        <v>11015</v>
      </c>
      <c r="H39866" s="21">
        <v>702.17</v>
      </c>
    </row>
    <row r="39867" spans="1:8" customFormat="1" x14ac:dyDescent="0.25">
      <c r="A39867" t="str">
        <f>"2714080"</f>
        <v>2714080</v>
      </c>
      <c r="B39867" t="s">
        <v>25174</v>
      </c>
      <c r="C39867" t="s">
        <v>25053</v>
      </c>
      <c r="D39867" s="21" t="s">
        <v>24820</v>
      </c>
      <c r="E39867" s="21" t="s">
        <v>35</v>
      </c>
      <c r="F39867">
        <v>9270139</v>
      </c>
      <c r="G39867" t="s">
        <v>6955</v>
      </c>
      <c r="H39867" s="21">
        <v>702.17</v>
      </c>
    </row>
    <row r="39868" spans="1:8" customFormat="1" x14ac:dyDescent="0.25">
      <c r="A39868" t="str">
        <f>"5917003"</f>
        <v>5917003</v>
      </c>
      <c r="B39868" t="s">
        <v>25332</v>
      </c>
      <c r="C39868" t="s">
        <v>24994</v>
      </c>
      <c r="D39868" s="21" t="s">
        <v>24820</v>
      </c>
      <c r="E39868" s="21" t="s">
        <v>35</v>
      </c>
      <c r="F39868">
        <v>7590078</v>
      </c>
      <c r="G39868" t="s">
        <v>13287</v>
      </c>
      <c r="H39868" s="21">
        <v>702.17</v>
      </c>
    </row>
    <row r="39869" spans="1:8" customFormat="1" x14ac:dyDescent="0.25">
      <c r="A39869" t="str">
        <f>"673217"</f>
        <v>673217</v>
      </c>
      <c r="B39869" t="s">
        <v>4015</v>
      </c>
      <c r="C39869" t="s">
        <v>24840</v>
      </c>
      <c r="D39869" s="21" t="s">
        <v>24820</v>
      </c>
      <c r="E39869" s="21" t="s">
        <v>35</v>
      </c>
      <c r="F39869">
        <v>6670041</v>
      </c>
      <c r="G39869" t="s">
        <v>1971</v>
      </c>
      <c r="H39869" s="21">
        <v>701.92</v>
      </c>
    </row>
    <row r="39870" spans="1:8" customFormat="1" x14ac:dyDescent="0.25">
      <c r="A39870" t="str">
        <f>"4512278"</f>
        <v>4512278</v>
      </c>
      <c r="B39870" t="s">
        <v>29765</v>
      </c>
      <c r="C39870" t="s">
        <v>24888</v>
      </c>
      <c r="D39870" s="21" t="s">
        <v>24820</v>
      </c>
      <c r="E39870" s="21" t="s">
        <v>71</v>
      </c>
      <c r="F39870">
        <v>4450663</v>
      </c>
      <c r="G39870" t="s">
        <v>2527</v>
      </c>
      <c r="H39870" s="21">
        <v>701.29</v>
      </c>
    </row>
    <row r="39871" spans="1:8" customFormat="1" x14ac:dyDescent="0.25">
      <c r="A39871" t="str">
        <f>"7720039"</f>
        <v>7720039</v>
      </c>
      <c r="B39871" t="s">
        <v>5006</v>
      </c>
      <c r="C39871" t="s">
        <v>24877</v>
      </c>
      <c r="D39871" s="21" t="s">
        <v>24820</v>
      </c>
      <c r="E39871" s="21" t="s">
        <v>71</v>
      </c>
      <c r="F39871">
        <v>8770408</v>
      </c>
      <c r="G39871" t="s">
        <v>212</v>
      </c>
      <c r="H39871" s="21">
        <v>701.17</v>
      </c>
    </row>
    <row r="39872" spans="1:8" customFormat="1" x14ac:dyDescent="0.25">
      <c r="A39872" t="str">
        <f>"7617984"</f>
        <v>7617984</v>
      </c>
      <c r="B39872" t="s">
        <v>29766</v>
      </c>
      <c r="C39872" t="s">
        <v>25157</v>
      </c>
      <c r="D39872" s="21" t="s">
        <v>24820</v>
      </c>
      <c r="E39872" s="21" t="s">
        <v>71</v>
      </c>
      <c r="F39872">
        <v>9760379</v>
      </c>
      <c r="G39872" t="s">
        <v>18639</v>
      </c>
      <c r="H39872" s="21">
        <v>700.67</v>
      </c>
    </row>
    <row r="39873" spans="1:8" customFormat="1" x14ac:dyDescent="0.25">
      <c r="A39873" t="str">
        <f>"4440883"</f>
        <v>4440883</v>
      </c>
      <c r="B39873" t="s">
        <v>25194</v>
      </c>
      <c r="C39873" t="s">
        <v>24824</v>
      </c>
      <c r="D39873" s="21" t="s">
        <v>24820</v>
      </c>
      <c r="E39873" s="21" t="s">
        <v>35</v>
      </c>
      <c r="F39873">
        <v>12440141</v>
      </c>
      <c r="G39873" t="s">
        <v>3234</v>
      </c>
      <c r="H39873" s="21">
        <v>700.17</v>
      </c>
    </row>
    <row r="39874" spans="1:8" customFormat="1" x14ac:dyDescent="0.25">
      <c r="A39874" t="str">
        <f>"86428"</f>
        <v>86428</v>
      </c>
      <c r="B39874" t="s">
        <v>11727</v>
      </c>
      <c r="C39874" t="s">
        <v>24898</v>
      </c>
      <c r="D39874" s="21" t="s">
        <v>24820</v>
      </c>
      <c r="E39874" s="21" t="s">
        <v>254</v>
      </c>
      <c r="F39874">
        <v>10860035</v>
      </c>
      <c r="G39874" t="s">
        <v>4019</v>
      </c>
      <c r="H39874" s="21">
        <v>698.67</v>
      </c>
    </row>
    <row r="39875" spans="1:8" customFormat="1" x14ac:dyDescent="0.25">
      <c r="A39875" t="str">
        <f>"5618847"</f>
        <v>5618847</v>
      </c>
      <c r="B39875" t="s">
        <v>25249</v>
      </c>
      <c r="C39875" t="s">
        <v>23734</v>
      </c>
      <c r="D39875" s="21" t="s">
        <v>24820</v>
      </c>
      <c r="E39875" s="21" t="s">
        <v>35</v>
      </c>
      <c r="F39875">
        <v>3560034</v>
      </c>
      <c r="G39875" t="s">
        <v>2220</v>
      </c>
      <c r="H39875" s="21">
        <v>698.67</v>
      </c>
    </row>
    <row r="39876" spans="1:8" customFormat="1" x14ac:dyDescent="0.25">
      <c r="A39876" t="str">
        <f>"645598"</f>
        <v>645598</v>
      </c>
      <c r="B39876" t="s">
        <v>25226</v>
      </c>
      <c r="C39876" t="s">
        <v>25227</v>
      </c>
      <c r="D39876" s="21" t="s">
        <v>24820</v>
      </c>
      <c r="E39876" s="21" t="s">
        <v>35</v>
      </c>
      <c r="F39876">
        <v>10640011</v>
      </c>
      <c r="G39876" t="s">
        <v>13300</v>
      </c>
      <c r="H39876" s="21">
        <v>698.67</v>
      </c>
    </row>
    <row r="39877" spans="1:8" customFormat="1" x14ac:dyDescent="0.25">
      <c r="A39877" t="str">
        <f>"5921454"</f>
        <v>5921454</v>
      </c>
      <c r="B39877" t="s">
        <v>25181</v>
      </c>
      <c r="C39877" t="s">
        <v>24915</v>
      </c>
      <c r="D39877" s="21" t="s">
        <v>24820</v>
      </c>
      <c r="E39877" s="21" t="s">
        <v>35</v>
      </c>
      <c r="F39877">
        <v>7620002</v>
      </c>
      <c r="G39877" t="s">
        <v>11925</v>
      </c>
      <c r="H39877" s="21">
        <v>698.67</v>
      </c>
    </row>
    <row r="39878" spans="1:8" customFormat="1" x14ac:dyDescent="0.25">
      <c r="A39878" t="str">
        <f>"519559"</f>
        <v>519559</v>
      </c>
      <c r="B39878" t="s">
        <v>25158</v>
      </c>
      <c r="C39878" t="s">
        <v>22831</v>
      </c>
      <c r="D39878" s="21" t="s">
        <v>24820</v>
      </c>
      <c r="E39878" s="21" t="s">
        <v>71</v>
      </c>
      <c r="F39878">
        <v>6510082</v>
      </c>
      <c r="G39878" t="s">
        <v>11761</v>
      </c>
      <c r="H39878" s="21">
        <v>698.67</v>
      </c>
    </row>
    <row r="39879" spans="1:8" customFormat="1" x14ac:dyDescent="0.25">
      <c r="A39879" t="str">
        <f>"9513948"</f>
        <v>9513948</v>
      </c>
      <c r="B39879" t="s">
        <v>3647</v>
      </c>
      <c r="C39879" t="s">
        <v>24889</v>
      </c>
      <c r="D39879" s="21" t="s">
        <v>24820</v>
      </c>
      <c r="E39879" s="21" t="s">
        <v>71</v>
      </c>
      <c r="F39879">
        <v>8950481</v>
      </c>
      <c r="G39879" t="s">
        <v>1472</v>
      </c>
      <c r="H39879" s="21">
        <v>698.29</v>
      </c>
    </row>
    <row r="39880" spans="1:8" customFormat="1" x14ac:dyDescent="0.25">
      <c r="A39880" t="str">
        <f>"282912"</f>
        <v>282912</v>
      </c>
      <c r="B39880" t="s">
        <v>25245</v>
      </c>
      <c r="C39880" t="s">
        <v>22831</v>
      </c>
      <c r="D39880" s="21" t="s">
        <v>24820</v>
      </c>
      <c r="E39880" s="21" t="s">
        <v>71</v>
      </c>
      <c r="F39880">
        <v>4280048</v>
      </c>
      <c r="G39880" t="s">
        <v>3053</v>
      </c>
      <c r="H39880" s="21">
        <v>698.17</v>
      </c>
    </row>
    <row r="39881" spans="1:8" customFormat="1" x14ac:dyDescent="0.25">
      <c r="A39881" t="str">
        <f>"335253"</f>
        <v>335253</v>
      </c>
      <c r="B39881" t="s">
        <v>25164</v>
      </c>
      <c r="C39881" t="s">
        <v>24867</v>
      </c>
      <c r="D39881" s="21" t="s">
        <v>24820</v>
      </c>
      <c r="E39881" s="21" t="s">
        <v>35</v>
      </c>
      <c r="F39881">
        <v>10330046</v>
      </c>
      <c r="G39881" t="s">
        <v>1787</v>
      </c>
      <c r="H39881" s="21">
        <v>697.42</v>
      </c>
    </row>
    <row r="39882" spans="1:8" customFormat="1" x14ac:dyDescent="0.25">
      <c r="A39882" t="str">
        <f>"6312256"</f>
        <v>6312256</v>
      </c>
      <c r="B39882" t="s">
        <v>25185</v>
      </c>
      <c r="C39882" t="s">
        <v>24881</v>
      </c>
      <c r="D39882" s="21" t="s">
        <v>24820</v>
      </c>
      <c r="E39882" s="21" t="s">
        <v>71</v>
      </c>
      <c r="F39882">
        <v>1630281</v>
      </c>
      <c r="G39882" t="s">
        <v>1190</v>
      </c>
      <c r="H39882" s="21">
        <v>697.17</v>
      </c>
    </row>
    <row r="39883" spans="1:8" customFormat="1" x14ac:dyDescent="0.25">
      <c r="A39883" t="str">
        <f>"912528"</f>
        <v>912528</v>
      </c>
      <c r="B39883" t="s">
        <v>22208</v>
      </c>
      <c r="C39883" t="s">
        <v>23966</v>
      </c>
      <c r="D39883" s="21" t="s">
        <v>24820</v>
      </c>
      <c r="E39883" s="21" t="s">
        <v>254</v>
      </c>
      <c r="F39883">
        <v>8770426</v>
      </c>
      <c r="G39883" t="s">
        <v>1847</v>
      </c>
      <c r="H39883" s="21">
        <v>696.92</v>
      </c>
    </row>
    <row r="39884" spans="1:8" customFormat="1" x14ac:dyDescent="0.25">
      <c r="A39884" t="str">
        <f>"0613612"</f>
        <v>0613612</v>
      </c>
      <c r="B39884" t="s">
        <v>6947</v>
      </c>
      <c r="C39884" t="s">
        <v>24874</v>
      </c>
      <c r="D39884" s="21" t="s">
        <v>24820</v>
      </c>
      <c r="E39884" s="21" t="s">
        <v>71</v>
      </c>
      <c r="F39884">
        <v>13060005</v>
      </c>
      <c r="G39884" t="s">
        <v>3609</v>
      </c>
      <c r="H39884" s="21">
        <v>696.54</v>
      </c>
    </row>
    <row r="39885" spans="1:8" customFormat="1" x14ac:dyDescent="0.25">
      <c r="A39885" t="str">
        <f>"643544"</f>
        <v>643544</v>
      </c>
      <c r="B39885" t="s">
        <v>25238</v>
      </c>
      <c r="C39885" t="s">
        <v>23734</v>
      </c>
      <c r="D39885" s="21" t="s">
        <v>24820</v>
      </c>
      <c r="E39885" s="21" t="s">
        <v>71</v>
      </c>
      <c r="F39885">
        <v>10400002</v>
      </c>
      <c r="G39885" t="s">
        <v>1975</v>
      </c>
      <c r="H39885" s="21">
        <v>696.17</v>
      </c>
    </row>
    <row r="39886" spans="1:8" customFormat="1" x14ac:dyDescent="0.25">
      <c r="A39886" t="str">
        <f>"219439"</f>
        <v>219439</v>
      </c>
      <c r="B39886" t="s">
        <v>1094</v>
      </c>
      <c r="C39886" t="s">
        <v>24877</v>
      </c>
      <c r="D39886" s="21" t="s">
        <v>24820</v>
      </c>
      <c r="E39886" s="21" t="s">
        <v>71</v>
      </c>
      <c r="F39886">
        <v>2210029</v>
      </c>
      <c r="G39886" t="s">
        <v>6983</v>
      </c>
      <c r="H39886" s="21">
        <v>695.67</v>
      </c>
    </row>
    <row r="39887" spans="1:8" customFormat="1" x14ac:dyDescent="0.25">
      <c r="A39887" t="str">
        <f>"9232577"</f>
        <v>9232577</v>
      </c>
      <c r="B39887" t="s">
        <v>25248</v>
      </c>
      <c r="C39887" t="s">
        <v>24871</v>
      </c>
      <c r="D39887" s="21" t="s">
        <v>24820</v>
      </c>
      <c r="E39887" s="21" t="s">
        <v>71</v>
      </c>
      <c r="F39887">
        <v>8920309</v>
      </c>
      <c r="G39887" t="s">
        <v>1894</v>
      </c>
      <c r="H39887" s="21">
        <v>695.67</v>
      </c>
    </row>
    <row r="39888" spans="1:8" customFormat="1" x14ac:dyDescent="0.25">
      <c r="A39888" t="str">
        <f>"6924939"</f>
        <v>6924939</v>
      </c>
      <c r="B39888" t="s">
        <v>25221</v>
      </c>
      <c r="C39888" t="s">
        <v>24894</v>
      </c>
      <c r="D39888" s="21" t="s">
        <v>24820</v>
      </c>
      <c r="E39888" s="21" t="s">
        <v>35</v>
      </c>
      <c r="F39888">
        <v>1690221</v>
      </c>
      <c r="G39888" t="s">
        <v>303</v>
      </c>
      <c r="H39888" s="21">
        <v>694.67</v>
      </c>
    </row>
    <row r="39889" spans="1:8" customFormat="1" x14ac:dyDescent="0.25">
      <c r="A39889" t="str">
        <f>"277033"</f>
        <v>277033</v>
      </c>
      <c r="B39889" t="s">
        <v>15560</v>
      </c>
      <c r="C39889" t="s">
        <v>24828</v>
      </c>
      <c r="D39889" s="21" t="s">
        <v>24820</v>
      </c>
      <c r="E39889" s="21" t="s">
        <v>35</v>
      </c>
      <c r="F39889">
        <v>9270110</v>
      </c>
      <c r="G39889" t="s">
        <v>7417</v>
      </c>
      <c r="H39889" s="21">
        <v>694.54</v>
      </c>
    </row>
    <row r="39890" spans="1:8" customFormat="1" x14ac:dyDescent="0.25">
      <c r="A39890" t="str">
        <f>"938965"</f>
        <v>938965</v>
      </c>
      <c r="B39890" t="s">
        <v>13314</v>
      </c>
      <c r="C39890" t="s">
        <v>25681</v>
      </c>
      <c r="D39890" s="21" t="s">
        <v>24820</v>
      </c>
      <c r="E39890" s="21" t="s">
        <v>35</v>
      </c>
      <c r="F39890">
        <v>11660001</v>
      </c>
      <c r="G39890" t="s">
        <v>8203</v>
      </c>
      <c r="H39890" s="21">
        <v>694.54</v>
      </c>
    </row>
    <row r="39891" spans="1:8" customFormat="1" x14ac:dyDescent="0.25">
      <c r="A39891" t="str">
        <f>"885898"</f>
        <v>885898</v>
      </c>
      <c r="B39891" t="s">
        <v>23111</v>
      </c>
      <c r="C39891" t="s">
        <v>24970</v>
      </c>
      <c r="D39891" s="21" t="s">
        <v>24820</v>
      </c>
      <c r="E39891" s="21" t="s">
        <v>254</v>
      </c>
      <c r="F39891">
        <v>6880022</v>
      </c>
      <c r="G39891" t="s">
        <v>339</v>
      </c>
      <c r="H39891" s="21">
        <v>694.42</v>
      </c>
    </row>
    <row r="39892" spans="1:8" customFormat="1" x14ac:dyDescent="0.25">
      <c r="A39892" t="str">
        <f>"7213808"</f>
        <v>7213808</v>
      </c>
      <c r="B39892" t="s">
        <v>23862</v>
      </c>
      <c r="C39892" t="s">
        <v>25325</v>
      </c>
      <c r="D39892" s="21" t="s">
        <v>24820</v>
      </c>
      <c r="E39892" s="21" t="s">
        <v>35</v>
      </c>
      <c r="F39892">
        <v>12530023</v>
      </c>
      <c r="G39892" t="s">
        <v>5879</v>
      </c>
      <c r="H39892" s="21">
        <v>694.42</v>
      </c>
    </row>
    <row r="39893" spans="1:8" customFormat="1" x14ac:dyDescent="0.25">
      <c r="A39893" t="str">
        <f>"7712485"</f>
        <v>7712485</v>
      </c>
      <c r="B39893" t="s">
        <v>25295</v>
      </c>
      <c r="C39893" t="s">
        <v>24973</v>
      </c>
      <c r="D39893" s="21" t="s">
        <v>24820</v>
      </c>
      <c r="E39893" s="21" t="s">
        <v>35</v>
      </c>
      <c r="F39893">
        <v>8770499</v>
      </c>
      <c r="G39893" t="s">
        <v>447</v>
      </c>
      <c r="H39893" s="21">
        <v>694.29</v>
      </c>
    </row>
    <row r="39894" spans="1:8" customFormat="1" x14ac:dyDescent="0.25">
      <c r="A39894" t="str">
        <f>"7219474"</f>
        <v>7219474</v>
      </c>
      <c r="B39894" t="s">
        <v>1113</v>
      </c>
      <c r="C39894" t="s">
        <v>24894</v>
      </c>
      <c r="D39894" s="21" t="s">
        <v>24820</v>
      </c>
      <c r="E39894" s="21" t="s">
        <v>35</v>
      </c>
      <c r="F39894">
        <v>12720078</v>
      </c>
      <c r="G39894" t="s">
        <v>5085</v>
      </c>
      <c r="H39894" s="21">
        <v>694.17</v>
      </c>
    </row>
    <row r="39895" spans="1:8" customFormat="1" x14ac:dyDescent="0.25">
      <c r="A39895" t="str">
        <f>"2929186"</f>
        <v>2929186</v>
      </c>
      <c r="B39895" t="s">
        <v>946</v>
      </c>
      <c r="C39895" t="s">
        <v>25278</v>
      </c>
      <c r="D39895" s="21" t="s">
        <v>24820</v>
      </c>
      <c r="E39895" s="21" t="s">
        <v>35</v>
      </c>
      <c r="F39895">
        <v>3290039</v>
      </c>
      <c r="G39895" t="s">
        <v>3988</v>
      </c>
      <c r="H39895" s="21">
        <v>693.67</v>
      </c>
    </row>
    <row r="39896" spans="1:8" customFormat="1" x14ac:dyDescent="0.25">
      <c r="A39896" t="str">
        <f>"217541"</f>
        <v>217541</v>
      </c>
      <c r="B39896" t="s">
        <v>526</v>
      </c>
      <c r="C39896" t="s">
        <v>24877</v>
      </c>
      <c r="D39896" s="21" t="s">
        <v>24820</v>
      </c>
      <c r="E39896" s="21" t="s">
        <v>71</v>
      </c>
      <c r="F39896">
        <v>2210048</v>
      </c>
      <c r="G39896" t="s">
        <v>7499</v>
      </c>
      <c r="H39896" s="21">
        <v>692.92</v>
      </c>
    </row>
    <row r="39897" spans="1:8" customFormat="1" x14ac:dyDescent="0.25">
      <c r="A39897" t="str">
        <f>"39630"</f>
        <v>39630</v>
      </c>
      <c r="B39897" t="s">
        <v>25198</v>
      </c>
      <c r="C39897" t="s">
        <v>25199</v>
      </c>
      <c r="D39897" s="21" t="s">
        <v>24820</v>
      </c>
      <c r="E39897" s="21" t="s">
        <v>254</v>
      </c>
      <c r="F39897">
        <v>2390046</v>
      </c>
      <c r="G39897" t="s">
        <v>2140</v>
      </c>
      <c r="H39897" s="21">
        <v>692.67</v>
      </c>
    </row>
    <row r="39898" spans="1:8" customFormat="1" x14ac:dyDescent="0.25">
      <c r="A39898" t="str">
        <f>"6720059"</f>
        <v>6720059</v>
      </c>
      <c r="B39898" t="s">
        <v>25216</v>
      </c>
      <c r="C39898" t="s">
        <v>24877</v>
      </c>
      <c r="D39898" s="21" t="s">
        <v>24820</v>
      </c>
      <c r="E39898" s="21" t="s">
        <v>71</v>
      </c>
      <c r="F39898">
        <v>6670002</v>
      </c>
      <c r="G39898" t="s">
        <v>5740</v>
      </c>
      <c r="H39898" s="21">
        <v>692.67</v>
      </c>
    </row>
    <row r="39899" spans="1:8" customFormat="1" x14ac:dyDescent="0.25">
      <c r="A39899" t="str">
        <f>"7914923"</f>
        <v>7914923</v>
      </c>
      <c r="B39899" t="s">
        <v>2954</v>
      </c>
      <c r="C39899" t="s">
        <v>22736</v>
      </c>
      <c r="D39899" s="21" t="s">
        <v>24820</v>
      </c>
      <c r="E39899" s="21" t="s">
        <v>35</v>
      </c>
      <c r="F39899">
        <v>10790023</v>
      </c>
      <c r="G39899" t="s">
        <v>18120</v>
      </c>
      <c r="H39899" s="21">
        <v>692.67</v>
      </c>
    </row>
    <row r="39900" spans="1:8" customFormat="1" x14ac:dyDescent="0.25">
      <c r="A39900" t="str">
        <f>"269267"</f>
        <v>269267</v>
      </c>
      <c r="B39900" t="s">
        <v>29767</v>
      </c>
      <c r="C39900" t="s">
        <v>24958</v>
      </c>
      <c r="D39900" s="21" t="s">
        <v>24820</v>
      </c>
      <c r="E39900" s="21" t="s">
        <v>71</v>
      </c>
      <c r="F39900">
        <v>1260054</v>
      </c>
      <c r="G39900" t="s">
        <v>358</v>
      </c>
      <c r="H39900" s="21">
        <v>692.67</v>
      </c>
    </row>
    <row r="39901" spans="1:8" customFormat="1" x14ac:dyDescent="0.25">
      <c r="A39901" t="str">
        <f>"2516894"</f>
        <v>2516894</v>
      </c>
      <c r="B39901" t="s">
        <v>1737</v>
      </c>
      <c r="C39901" t="s">
        <v>24927</v>
      </c>
      <c r="D39901" s="21" t="s">
        <v>24820</v>
      </c>
      <c r="E39901" s="21" t="s">
        <v>254</v>
      </c>
      <c r="F39901">
        <v>2250016</v>
      </c>
      <c r="G39901" t="s">
        <v>1709</v>
      </c>
      <c r="H39901" s="21">
        <v>692.67</v>
      </c>
    </row>
    <row r="39902" spans="1:8" customFormat="1" x14ac:dyDescent="0.25">
      <c r="A39902" t="str">
        <f>"991881"</f>
        <v>991881</v>
      </c>
      <c r="B39902" t="s">
        <v>25293</v>
      </c>
      <c r="C39902" t="s">
        <v>24840</v>
      </c>
      <c r="D39902" s="21" t="s">
        <v>24820</v>
      </c>
      <c r="E39902" s="21" t="s">
        <v>35</v>
      </c>
      <c r="F39902">
        <v>5990009</v>
      </c>
      <c r="G39902" t="s">
        <v>3127</v>
      </c>
      <c r="H39902" s="21">
        <v>692.04</v>
      </c>
    </row>
    <row r="39903" spans="1:8" customFormat="1" x14ac:dyDescent="0.25">
      <c r="A39903" t="str">
        <f>"188530"</f>
        <v>188530</v>
      </c>
      <c r="B39903" t="s">
        <v>15499</v>
      </c>
      <c r="C39903" t="s">
        <v>24962</v>
      </c>
      <c r="D39903" s="21" t="s">
        <v>24820</v>
      </c>
      <c r="E39903" s="21" t="s">
        <v>71</v>
      </c>
      <c r="F39903">
        <v>4180711</v>
      </c>
      <c r="G39903" t="s">
        <v>13350</v>
      </c>
      <c r="H39903" s="21">
        <v>691.92</v>
      </c>
    </row>
    <row r="39904" spans="1:8" customFormat="1" x14ac:dyDescent="0.25">
      <c r="A39904" t="str">
        <f>"168210"</f>
        <v>168210</v>
      </c>
      <c r="B39904" t="s">
        <v>25214</v>
      </c>
      <c r="C39904" t="s">
        <v>24833</v>
      </c>
      <c r="D39904" s="21" t="s">
        <v>24820</v>
      </c>
      <c r="E39904" s="21" t="s">
        <v>35</v>
      </c>
      <c r="F39904">
        <v>10160028</v>
      </c>
      <c r="G39904" t="s">
        <v>12565</v>
      </c>
      <c r="H39904" s="21">
        <v>691.67</v>
      </c>
    </row>
    <row r="39905" spans="1:8" customFormat="1" x14ac:dyDescent="0.25">
      <c r="A39905" t="str">
        <f>"5616017"</f>
        <v>5616017</v>
      </c>
      <c r="B39905" t="s">
        <v>25272</v>
      </c>
      <c r="C39905" t="s">
        <v>24824</v>
      </c>
      <c r="D39905" s="21" t="s">
        <v>24820</v>
      </c>
      <c r="E39905" s="21" t="s">
        <v>71</v>
      </c>
      <c r="F39905">
        <v>3290223</v>
      </c>
      <c r="G39905" t="s">
        <v>2636</v>
      </c>
      <c r="H39905" s="21">
        <v>691.67</v>
      </c>
    </row>
    <row r="39906" spans="1:8" customFormat="1" x14ac:dyDescent="0.25">
      <c r="A39906" t="str">
        <f>"81618"</f>
        <v>81618</v>
      </c>
      <c r="B39906" t="s">
        <v>8817</v>
      </c>
      <c r="C39906" t="s">
        <v>24893</v>
      </c>
      <c r="D39906" s="21" t="s">
        <v>24820</v>
      </c>
      <c r="E39906" s="21" t="s">
        <v>71</v>
      </c>
      <c r="F39906">
        <v>11810013</v>
      </c>
      <c r="G39906" t="s">
        <v>8833</v>
      </c>
      <c r="H39906" s="21">
        <v>691.29</v>
      </c>
    </row>
    <row r="39907" spans="1:8" customFormat="1" x14ac:dyDescent="0.25">
      <c r="A39907" t="str">
        <f>"7619230"</f>
        <v>7619230</v>
      </c>
      <c r="B39907" t="s">
        <v>6280</v>
      </c>
      <c r="C39907" t="s">
        <v>24824</v>
      </c>
      <c r="D39907" s="21" t="s">
        <v>24820</v>
      </c>
      <c r="E39907" s="21" t="s">
        <v>71</v>
      </c>
      <c r="F39907">
        <v>9760107</v>
      </c>
      <c r="G39907" t="s">
        <v>122</v>
      </c>
      <c r="H39907" s="21">
        <v>690.67</v>
      </c>
    </row>
    <row r="39908" spans="1:8" customFormat="1" x14ac:dyDescent="0.25">
      <c r="A39908" t="str">
        <f>"831644"</f>
        <v>831644</v>
      </c>
      <c r="B39908" t="s">
        <v>25206</v>
      </c>
      <c r="C39908" t="s">
        <v>23734</v>
      </c>
      <c r="D39908" s="21" t="s">
        <v>24820</v>
      </c>
      <c r="E39908" s="21" t="s">
        <v>254</v>
      </c>
      <c r="F39908">
        <v>13830044</v>
      </c>
      <c r="G39908" t="s">
        <v>945</v>
      </c>
      <c r="H39908" s="21">
        <v>690.67</v>
      </c>
    </row>
    <row r="39909" spans="1:8" customFormat="1" x14ac:dyDescent="0.25">
      <c r="A39909" t="str">
        <f>"7519690"</f>
        <v>7519690</v>
      </c>
      <c r="B39909" t="s">
        <v>8397</v>
      </c>
      <c r="C39909" t="s">
        <v>24929</v>
      </c>
      <c r="D39909" s="21" t="s">
        <v>24820</v>
      </c>
      <c r="E39909" s="21" t="s">
        <v>254</v>
      </c>
      <c r="F39909">
        <v>8750120</v>
      </c>
      <c r="G39909" t="s">
        <v>838</v>
      </c>
      <c r="H39909" s="21">
        <v>690.67</v>
      </c>
    </row>
    <row r="39910" spans="1:8" customFormat="1" x14ac:dyDescent="0.25">
      <c r="A39910" t="str">
        <f>"91125"</f>
        <v>91125</v>
      </c>
      <c r="B39910" t="s">
        <v>2738</v>
      </c>
      <c r="C39910" t="s">
        <v>25183</v>
      </c>
      <c r="D39910" s="21" t="s">
        <v>24820</v>
      </c>
      <c r="E39910" s="21" t="s">
        <v>254</v>
      </c>
      <c r="F39910">
        <v>8920063</v>
      </c>
      <c r="G39910" t="s">
        <v>219</v>
      </c>
      <c r="H39910" s="21">
        <v>690.17</v>
      </c>
    </row>
    <row r="39911" spans="1:8" customFormat="1" x14ac:dyDescent="0.25">
      <c r="A39911" t="str">
        <f>"063958"</f>
        <v>063958</v>
      </c>
      <c r="B39911" t="s">
        <v>24329</v>
      </c>
      <c r="C39911" t="s">
        <v>24906</v>
      </c>
      <c r="D39911" s="21" t="s">
        <v>24820</v>
      </c>
      <c r="E39911" s="21" t="s">
        <v>254</v>
      </c>
      <c r="F39911">
        <v>13060063</v>
      </c>
      <c r="G39911" t="s">
        <v>2001</v>
      </c>
      <c r="H39911" s="21">
        <v>689.67</v>
      </c>
    </row>
    <row r="39912" spans="1:8" customFormat="1" x14ac:dyDescent="0.25">
      <c r="A39912" t="str">
        <f>"583057"</f>
        <v>583057</v>
      </c>
      <c r="B39912" t="s">
        <v>25219</v>
      </c>
      <c r="C39912" t="s">
        <v>22831</v>
      </c>
      <c r="D39912" s="21" t="s">
        <v>24820</v>
      </c>
      <c r="E39912" s="21" t="s">
        <v>35</v>
      </c>
      <c r="F39912">
        <v>2580031</v>
      </c>
      <c r="G39912" t="s">
        <v>5904</v>
      </c>
      <c r="H39912" s="21">
        <v>689.17</v>
      </c>
    </row>
    <row r="39913" spans="1:8" customFormat="1" x14ac:dyDescent="0.25">
      <c r="A39913" t="str">
        <f>"4519887"</f>
        <v>4519887</v>
      </c>
      <c r="B39913" t="s">
        <v>25203</v>
      </c>
      <c r="C39913" t="s">
        <v>24833</v>
      </c>
      <c r="D39913" s="21" t="s">
        <v>24820</v>
      </c>
      <c r="E39913" s="21" t="s">
        <v>35</v>
      </c>
      <c r="F39913">
        <v>4450617</v>
      </c>
      <c r="G39913" t="s">
        <v>4708</v>
      </c>
      <c r="H39913" s="21">
        <v>688.67</v>
      </c>
    </row>
    <row r="39914" spans="1:8" customFormat="1" x14ac:dyDescent="0.25">
      <c r="A39914" t="str">
        <f>"6013681"</f>
        <v>6013681</v>
      </c>
      <c r="B39914" t="s">
        <v>2010</v>
      </c>
      <c r="C39914" t="s">
        <v>24863</v>
      </c>
      <c r="D39914" s="21" t="s">
        <v>24820</v>
      </c>
      <c r="E39914" s="21" t="s">
        <v>35</v>
      </c>
      <c r="F39914">
        <v>7600040</v>
      </c>
      <c r="G39914" t="s">
        <v>6757</v>
      </c>
      <c r="H39914" s="21">
        <v>688.17</v>
      </c>
    </row>
    <row r="39915" spans="1:8" customFormat="1" x14ac:dyDescent="0.25">
      <c r="A39915" t="str">
        <f>"662609"</f>
        <v>662609</v>
      </c>
      <c r="B39915" t="s">
        <v>21922</v>
      </c>
      <c r="C39915" t="s">
        <v>24838</v>
      </c>
      <c r="D39915" s="21" t="s">
        <v>24820</v>
      </c>
      <c r="E39915" s="21" t="s">
        <v>35</v>
      </c>
      <c r="F39915">
        <v>11660007</v>
      </c>
      <c r="G39915" t="s">
        <v>5840</v>
      </c>
      <c r="H39915" s="21">
        <v>688.17</v>
      </c>
    </row>
    <row r="39916" spans="1:8" customFormat="1" x14ac:dyDescent="0.25">
      <c r="A39916" t="str">
        <f>"9247334"</f>
        <v>9247334</v>
      </c>
      <c r="B39916" t="s">
        <v>25289</v>
      </c>
      <c r="C39916" t="s">
        <v>25290</v>
      </c>
      <c r="D39916" s="21" t="s">
        <v>24820</v>
      </c>
      <c r="E39916" s="21" t="s">
        <v>35</v>
      </c>
      <c r="F39916">
        <v>8920049</v>
      </c>
      <c r="G39916" t="s">
        <v>237</v>
      </c>
      <c r="H39916" s="21">
        <v>687.42</v>
      </c>
    </row>
    <row r="39917" spans="1:8" customFormat="1" x14ac:dyDescent="0.25">
      <c r="A39917" t="str">
        <f>"2711108"</f>
        <v>2711108</v>
      </c>
      <c r="B39917" t="s">
        <v>6085</v>
      </c>
      <c r="C39917" t="s">
        <v>24867</v>
      </c>
      <c r="D39917" s="21" t="s">
        <v>24820</v>
      </c>
      <c r="E39917" s="21" t="s">
        <v>71</v>
      </c>
      <c r="F39917">
        <v>9270063</v>
      </c>
      <c r="G39917" t="s">
        <v>808</v>
      </c>
      <c r="H39917" s="21">
        <v>686.79</v>
      </c>
    </row>
    <row r="39918" spans="1:8" customFormat="1" x14ac:dyDescent="0.25">
      <c r="A39918" t="str">
        <f>"9418256"</f>
        <v>9418256</v>
      </c>
      <c r="B39918" t="s">
        <v>25220</v>
      </c>
      <c r="C39918" t="s">
        <v>24958</v>
      </c>
      <c r="D39918" s="21" t="s">
        <v>24820</v>
      </c>
      <c r="E39918" s="21" t="s">
        <v>254</v>
      </c>
      <c r="F39918">
        <v>8770237</v>
      </c>
      <c r="G39918" t="s">
        <v>128</v>
      </c>
      <c r="H39918" s="21">
        <v>685.67</v>
      </c>
    </row>
    <row r="39919" spans="1:8" customFormat="1" x14ac:dyDescent="0.25">
      <c r="A39919" t="str">
        <f>"3412739"</f>
        <v>3412739</v>
      </c>
      <c r="B39919" t="s">
        <v>25270</v>
      </c>
      <c r="C39919" t="s">
        <v>24952</v>
      </c>
      <c r="D39919" s="21" t="s">
        <v>24820</v>
      </c>
      <c r="E39919" s="21" t="s">
        <v>254</v>
      </c>
      <c r="F39919">
        <v>11340010</v>
      </c>
      <c r="G39919" t="s">
        <v>66</v>
      </c>
      <c r="H39919" s="21">
        <v>684.67</v>
      </c>
    </row>
    <row r="39920" spans="1:8" customFormat="1" x14ac:dyDescent="0.25">
      <c r="A39920" t="str">
        <f>"5939716"</f>
        <v>5939716</v>
      </c>
      <c r="B39920" t="s">
        <v>14917</v>
      </c>
      <c r="C39920" t="s">
        <v>25008</v>
      </c>
      <c r="D39920" s="21" t="s">
        <v>24820</v>
      </c>
      <c r="E39920" s="21" t="s">
        <v>71</v>
      </c>
      <c r="F39920">
        <v>3290244</v>
      </c>
      <c r="G39920" t="s">
        <v>573</v>
      </c>
      <c r="H39920" s="21">
        <v>683.67</v>
      </c>
    </row>
    <row r="39921" spans="1:8" customFormat="1" x14ac:dyDescent="0.25">
      <c r="A39921" t="str">
        <f>"6714357"</f>
        <v>6714357</v>
      </c>
      <c r="B39921" t="s">
        <v>9809</v>
      </c>
      <c r="C39921" t="s">
        <v>24932</v>
      </c>
      <c r="D39921" s="21" t="s">
        <v>24820</v>
      </c>
      <c r="E39921" s="21" t="s">
        <v>35</v>
      </c>
      <c r="F39921">
        <v>6670202</v>
      </c>
      <c r="G39921" t="s">
        <v>605</v>
      </c>
      <c r="H39921" s="21">
        <v>683.67</v>
      </c>
    </row>
    <row r="39922" spans="1:8" customFormat="1" x14ac:dyDescent="0.25">
      <c r="A39922" t="str">
        <f>"2933459"</f>
        <v>2933459</v>
      </c>
      <c r="B39922" t="s">
        <v>14167</v>
      </c>
      <c r="C39922" t="s">
        <v>24867</v>
      </c>
      <c r="D39922" s="21" t="s">
        <v>24820</v>
      </c>
      <c r="E39922" s="21" t="s">
        <v>35</v>
      </c>
      <c r="F39922">
        <v>3290278</v>
      </c>
      <c r="G39922" t="s">
        <v>3649</v>
      </c>
      <c r="H39922" s="21">
        <v>683.67</v>
      </c>
    </row>
    <row r="39923" spans="1:8" customFormat="1" x14ac:dyDescent="0.25">
      <c r="A39923" t="str">
        <f>"3812628"</f>
        <v>3812628</v>
      </c>
      <c r="B39923" t="s">
        <v>3587</v>
      </c>
      <c r="C39923" t="s">
        <v>23966</v>
      </c>
      <c r="D39923" s="21" t="s">
        <v>24820</v>
      </c>
      <c r="E39923" s="21" t="s">
        <v>35</v>
      </c>
      <c r="F39923">
        <v>1380108</v>
      </c>
      <c r="G39923" t="s">
        <v>6103</v>
      </c>
      <c r="H39923" s="21">
        <v>682.67</v>
      </c>
    </row>
    <row r="39924" spans="1:8" customFormat="1" x14ac:dyDescent="0.25">
      <c r="A39924" t="str">
        <f>"188900"</f>
        <v>188900</v>
      </c>
      <c r="B39924" t="s">
        <v>22442</v>
      </c>
      <c r="C39924" t="s">
        <v>23734</v>
      </c>
      <c r="D39924" s="21" t="s">
        <v>24820</v>
      </c>
      <c r="E39924" s="21" t="s">
        <v>71</v>
      </c>
      <c r="F39924">
        <v>4180238</v>
      </c>
      <c r="G39924" t="s">
        <v>7304</v>
      </c>
      <c r="H39924" s="21">
        <v>682.67</v>
      </c>
    </row>
    <row r="39925" spans="1:8" customFormat="1" x14ac:dyDescent="0.25">
      <c r="A39925" t="str">
        <f>"6221237"</f>
        <v>6221237</v>
      </c>
      <c r="B39925" t="s">
        <v>4382</v>
      </c>
      <c r="C39925" t="s">
        <v>24867</v>
      </c>
      <c r="D39925" s="21" t="s">
        <v>24820</v>
      </c>
      <c r="E39925" s="21" t="s">
        <v>35</v>
      </c>
      <c r="F39925">
        <v>7620092</v>
      </c>
      <c r="G39925" t="s">
        <v>9874</v>
      </c>
      <c r="H39925" s="21">
        <v>682.17</v>
      </c>
    </row>
    <row r="39926" spans="1:8" customFormat="1" x14ac:dyDescent="0.25">
      <c r="A39926" t="str">
        <f>"646468"</f>
        <v>646468</v>
      </c>
      <c r="B39926" t="s">
        <v>25237</v>
      </c>
      <c r="C39926" t="s">
        <v>24968</v>
      </c>
      <c r="D39926" s="21" t="s">
        <v>24820</v>
      </c>
      <c r="E39926" s="21" t="s">
        <v>35</v>
      </c>
      <c r="F39926">
        <v>10640010</v>
      </c>
      <c r="G39926" t="s">
        <v>9410</v>
      </c>
      <c r="H39926" s="21">
        <v>682.17</v>
      </c>
    </row>
    <row r="39927" spans="1:8" customFormat="1" x14ac:dyDescent="0.25">
      <c r="A39927" t="str">
        <f>"8525474"</f>
        <v>8525474</v>
      </c>
      <c r="B39927" t="s">
        <v>29768</v>
      </c>
      <c r="C39927" t="s">
        <v>24914</v>
      </c>
      <c r="D39927" s="21" t="s">
        <v>24820</v>
      </c>
      <c r="E39927" s="21" t="s">
        <v>35</v>
      </c>
      <c r="F39927">
        <v>12850057</v>
      </c>
      <c r="G39927" t="s">
        <v>1291</v>
      </c>
      <c r="H39927" s="21">
        <v>682.17</v>
      </c>
    </row>
    <row r="39928" spans="1:8" customFormat="1" x14ac:dyDescent="0.25">
      <c r="A39928" t="str">
        <f>"589788"</f>
        <v>589788</v>
      </c>
      <c r="B39928" t="s">
        <v>25305</v>
      </c>
      <c r="C39928" t="s">
        <v>25306</v>
      </c>
      <c r="D39928" s="21" t="s">
        <v>24820</v>
      </c>
      <c r="E39928" s="21" t="s">
        <v>35</v>
      </c>
      <c r="F39928">
        <v>2580078</v>
      </c>
      <c r="G39928" t="s">
        <v>4432</v>
      </c>
      <c r="H39928" s="21">
        <v>682.17</v>
      </c>
    </row>
    <row r="39929" spans="1:8" customFormat="1" x14ac:dyDescent="0.25">
      <c r="A39929" t="str">
        <f>"5727270"</f>
        <v>5727270</v>
      </c>
      <c r="B39929" t="s">
        <v>1777</v>
      </c>
      <c r="C39929" t="s">
        <v>25200</v>
      </c>
      <c r="D39929" s="21" t="s">
        <v>24820</v>
      </c>
      <c r="E39929" s="21" t="s">
        <v>254</v>
      </c>
      <c r="F39929">
        <v>6570154</v>
      </c>
      <c r="G39929" t="s">
        <v>3935</v>
      </c>
      <c r="H39929" s="21">
        <v>681.67</v>
      </c>
    </row>
    <row r="39930" spans="1:8" customFormat="1" x14ac:dyDescent="0.25">
      <c r="A39930" t="str">
        <f>"105813"</f>
        <v>105813</v>
      </c>
      <c r="B39930" t="s">
        <v>25215</v>
      </c>
      <c r="C39930" t="s">
        <v>24915</v>
      </c>
      <c r="D39930" s="21" t="s">
        <v>24820</v>
      </c>
      <c r="E39930" s="21" t="s">
        <v>35</v>
      </c>
      <c r="F39930">
        <v>6100005</v>
      </c>
      <c r="G39930" t="s">
        <v>855</v>
      </c>
      <c r="H39930" s="21">
        <v>681.42</v>
      </c>
    </row>
    <row r="39931" spans="1:8" customFormat="1" x14ac:dyDescent="0.25">
      <c r="A39931" t="str">
        <f>"02802"</f>
        <v>02802</v>
      </c>
      <c r="B39931" t="s">
        <v>3503</v>
      </c>
      <c r="C39931" t="s">
        <v>24883</v>
      </c>
      <c r="D39931" s="21" t="s">
        <v>24820</v>
      </c>
      <c r="E39931" s="21" t="s">
        <v>35</v>
      </c>
      <c r="F39931">
        <v>7020040</v>
      </c>
      <c r="G39931" t="s">
        <v>1698</v>
      </c>
      <c r="H39931" s="21">
        <v>681.17</v>
      </c>
    </row>
    <row r="39932" spans="1:8" customFormat="1" x14ac:dyDescent="0.25">
      <c r="A39932" t="str">
        <f>"5424339"</f>
        <v>5424339</v>
      </c>
      <c r="B39932" t="s">
        <v>14089</v>
      </c>
      <c r="C39932" t="s">
        <v>24836</v>
      </c>
      <c r="D39932" s="21" t="s">
        <v>24820</v>
      </c>
      <c r="E39932" s="21" t="s">
        <v>35</v>
      </c>
      <c r="F39932">
        <v>6540056</v>
      </c>
      <c r="G39932" t="s">
        <v>1136</v>
      </c>
      <c r="H39932" s="21">
        <v>681.17</v>
      </c>
    </row>
    <row r="39933" spans="1:8" customFormat="1" x14ac:dyDescent="0.25">
      <c r="A39933" t="str">
        <f>"401206"</f>
        <v>401206</v>
      </c>
      <c r="B39933" t="s">
        <v>380</v>
      </c>
      <c r="C39933" t="s">
        <v>25053</v>
      </c>
      <c r="D39933" s="21" t="s">
        <v>24820</v>
      </c>
      <c r="E39933" s="21" t="s">
        <v>35</v>
      </c>
      <c r="F39933">
        <v>10400003</v>
      </c>
      <c r="G39933" t="s">
        <v>5110</v>
      </c>
      <c r="H39933" s="21">
        <v>681.17</v>
      </c>
    </row>
    <row r="39934" spans="1:8" customFormat="1" x14ac:dyDescent="0.25">
      <c r="A39934" t="str">
        <f>"3724652"</f>
        <v>3724652</v>
      </c>
      <c r="B39934" t="s">
        <v>25268</v>
      </c>
      <c r="C39934" t="s">
        <v>24863</v>
      </c>
      <c r="D39934" s="21" t="s">
        <v>24820</v>
      </c>
      <c r="E39934" s="21" t="s">
        <v>35</v>
      </c>
      <c r="F39934">
        <v>4370346</v>
      </c>
      <c r="G39934" t="s">
        <v>8269</v>
      </c>
      <c r="H39934" s="21">
        <v>680.67</v>
      </c>
    </row>
    <row r="39935" spans="1:8" customFormat="1" x14ac:dyDescent="0.25">
      <c r="A39935" t="str">
        <f>"6110030"</f>
        <v>6110030</v>
      </c>
      <c r="B39935" t="s">
        <v>11363</v>
      </c>
      <c r="C39935" t="s">
        <v>24865</v>
      </c>
      <c r="D39935" s="21" t="s">
        <v>24820</v>
      </c>
      <c r="E39935" s="21" t="s">
        <v>71</v>
      </c>
      <c r="F39935">
        <v>9610087</v>
      </c>
      <c r="G39935" t="s">
        <v>2661</v>
      </c>
      <c r="H39935" s="21">
        <v>680.67</v>
      </c>
    </row>
    <row r="39936" spans="1:8" customFormat="1" x14ac:dyDescent="0.25">
      <c r="A39936" t="str">
        <f>"6015738"</f>
        <v>6015738</v>
      </c>
      <c r="B39936" t="s">
        <v>16165</v>
      </c>
      <c r="C39936" t="s">
        <v>25144</v>
      </c>
      <c r="D39936" s="21" t="s">
        <v>24820</v>
      </c>
      <c r="E39936" s="21" t="s">
        <v>35</v>
      </c>
      <c r="F39936">
        <v>1690197</v>
      </c>
      <c r="G39936" t="s">
        <v>26849</v>
      </c>
      <c r="H39936" s="21">
        <v>680.67</v>
      </c>
    </row>
    <row r="39937" spans="1:8" customFormat="1" x14ac:dyDescent="0.25">
      <c r="A39937" t="str">
        <f>"755065"</f>
        <v>755065</v>
      </c>
      <c r="B39937" t="s">
        <v>1347</v>
      </c>
      <c r="C39937" t="s">
        <v>24958</v>
      </c>
      <c r="D39937" s="21" t="s">
        <v>24820</v>
      </c>
      <c r="E39937" s="21" t="s">
        <v>71</v>
      </c>
      <c r="F39937">
        <v>8751163</v>
      </c>
      <c r="G39937" t="s">
        <v>80</v>
      </c>
      <c r="H39937" s="21">
        <v>680.29</v>
      </c>
    </row>
    <row r="39938" spans="1:8" customFormat="1" x14ac:dyDescent="0.25">
      <c r="A39938" t="str">
        <f>"2216404"</f>
        <v>2216404</v>
      </c>
      <c r="B39938" t="s">
        <v>1885</v>
      </c>
      <c r="C39938" t="s">
        <v>23734</v>
      </c>
      <c r="D39938" s="21" t="s">
        <v>24820</v>
      </c>
      <c r="E39938" s="21" t="s">
        <v>35</v>
      </c>
      <c r="F39938">
        <v>3220127</v>
      </c>
      <c r="G39938" t="s">
        <v>26652</v>
      </c>
      <c r="H39938" s="21">
        <v>679.67</v>
      </c>
    </row>
    <row r="39939" spans="1:8" customFormat="1" x14ac:dyDescent="0.25">
      <c r="A39939" t="str">
        <f>"822636"</f>
        <v>822636</v>
      </c>
      <c r="B39939" t="s">
        <v>25284</v>
      </c>
      <c r="C39939" t="s">
        <v>24845</v>
      </c>
      <c r="D39939" s="21" t="s">
        <v>24820</v>
      </c>
      <c r="E39939" s="21" t="s">
        <v>71</v>
      </c>
      <c r="F39939">
        <v>11820031</v>
      </c>
      <c r="G39939" t="s">
        <v>18667</v>
      </c>
      <c r="H39939" s="21">
        <v>679.67</v>
      </c>
    </row>
    <row r="39940" spans="1:8" customFormat="1" x14ac:dyDescent="0.25">
      <c r="A39940" t="str">
        <f>"766937"</f>
        <v>766937</v>
      </c>
      <c r="B39940" t="s">
        <v>25461</v>
      </c>
      <c r="C39940" t="s">
        <v>24867</v>
      </c>
      <c r="D39940" s="21" t="s">
        <v>24820</v>
      </c>
      <c r="E39940" s="21" t="s">
        <v>71</v>
      </c>
      <c r="F39940">
        <v>9760201</v>
      </c>
      <c r="G39940" t="s">
        <v>11358</v>
      </c>
      <c r="H39940" s="21">
        <v>678.67</v>
      </c>
    </row>
    <row r="39941" spans="1:8" customFormat="1" x14ac:dyDescent="0.25">
      <c r="A39941" t="str">
        <f>"767486"</f>
        <v>767486</v>
      </c>
      <c r="B39941" t="s">
        <v>25204</v>
      </c>
      <c r="C39941" t="s">
        <v>24906</v>
      </c>
      <c r="D39941" s="21" t="s">
        <v>24820</v>
      </c>
      <c r="E39941" s="21" t="s">
        <v>1089</v>
      </c>
      <c r="F39941">
        <v>9760041</v>
      </c>
      <c r="G39941" t="s">
        <v>452</v>
      </c>
      <c r="H39941" s="21">
        <v>678.17</v>
      </c>
    </row>
    <row r="39942" spans="1:8" customFormat="1" x14ac:dyDescent="0.25">
      <c r="A39942" t="str">
        <f>"218562"</f>
        <v>218562</v>
      </c>
      <c r="B39942" t="s">
        <v>22088</v>
      </c>
      <c r="C39942" t="s">
        <v>25288</v>
      </c>
      <c r="D39942" s="21" t="s">
        <v>24820</v>
      </c>
      <c r="E39942" s="21" t="s">
        <v>71</v>
      </c>
      <c r="F39942">
        <v>2210029</v>
      </c>
      <c r="G39942" t="s">
        <v>6983</v>
      </c>
      <c r="H39942" s="21">
        <v>678.17</v>
      </c>
    </row>
    <row r="39943" spans="1:8" customFormat="1" x14ac:dyDescent="0.25">
      <c r="A39943" t="str">
        <f>"7213644"</f>
        <v>7213644</v>
      </c>
      <c r="B39943" t="s">
        <v>14561</v>
      </c>
      <c r="C39943" t="s">
        <v>25015</v>
      </c>
      <c r="D39943" s="21" t="s">
        <v>24820</v>
      </c>
      <c r="E39943" s="21" t="s">
        <v>71</v>
      </c>
      <c r="F39943">
        <v>12720056</v>
      </c>
      <c r="G39943" t="s">
        <v>9231</v>
      </c>
      <c r="H39943" s="21">
        <v>678.17</v>
      </c>
    </row>
    <row r="39944" spans="1:8" customFormat="1" x14ac:dyDescent="0.25">
      <c r="A39944" t="str">
        <f>"7850655"</f>
        <v>7850655</v>
      </c>
      <c r="B39944" t="s">
        <v>18488</v>
      </c>
      <c r="C39944" t="s">
        <v>25118</v>
      </c>
      <c r="D39944" s="21" t="s">
        <v>24820</v>
      </c>
      <c r="E39944" s="21" t="s">
        <v>35</v>
      </c>
      <c r="F39944">
        <v>8781017</v>
      </c>
      <c r="G39944" t="s">
        <v>2581</v>
      </c>
      <c r="H39944" s="21">
        <v>677.67</v>
      </c>
    </row>
    <row r="39945" spans="1:8" customFormat="1" x14ac:dyDescent="0.25">
      <c r="A39945" t="str">
        <f>"3715184"</f>
        <v>3715184</v>
      </c>
      <c r="B39945" t="s">
        <v>9905</v>
      </c>
      <c r="C39945" t="s">
        <v>24968</v>
      </c>
      <c r="D39945" s="21" t="s">
        <v>24820</v>
      </c>
      <c r="E39945" s="21" t="s">
        <v>35</v>
      </c>
      <c r="F39945">
        <v>4370724</v>
      </c>
      <c r="G39945" t="s">
        <v>11672</v>
      </c>
      <c r="H39945" s="21">
        <v>676.67</v>
      </c>
    </row>
    <row r="39946" spans="1:8" customFormat="1" x14ac:dyDescent="0.25">
      <c r="A39946" t="str">
        <f>"9138404"</f>
        <v>9138404</v>
      </c>
      <c r="B39946" t="s">
        <v>4335</v>
      </c>
      <c r="C39946" t="s">
        <v>24831</v>
      </c>
      <c r="D39946" s="21" t="s">
        <v>24820</v>
      </c>
      <c r="E39946" s="21" t="s">
        <v>35</v>
      </c>
      <c r="F39946">
        <v>8910214</v>
      </c>
      <c r="G39946" t="s">
        <v>986</v>
      </c>
      <c r="H39946" s="21">
        <v>676.67</v>
      </c>
    </row>
    <row r="39947" spans="1:8" customFormat="1" x14ac:dyDescent="0.25">
      <c r="A39947" t="str">
        <f>"745813"</f>
        <v>745813</v>
      </c>
      <c r="B39947" t="s">
        <v>25350</v>
      </c>
      <c r="C39947" t="s">
        <v>24999</v>
      </c>
      <c r="D39947" s="21" t="s">
        <v>24820</v>
      </c>
      <c r="E39947" s="21" t="s">
        <v>35</v>
      </c>
      <c r="F39947">
        <v>1740045</v>
      </c>
      <c r="G39947" t="s">
        <v>9857</v>
      </c>
      <c r="H39947" s="21">
        <v>676.17</v>
      </c>
    </row>
    <row r="39948" spans="1:8" customFormat="1" x14ac:dyDescent="0.25">
      <c r="A39948" t="str">
        <f>"905570"</f>
        <v>905570</v>
      </c>
      <c r="B39948" t="s">
        <v>4352</v>
      </c>
      <c r="C39948" t="s">
        <v>24863</v>
      </c>
      <c r="D39948" s="21" t="s">
        <v>24820</v>
      </c>
      <c r="E39948" s="21" t="s">
        <v>35</v>
      </c>
      <c r="F39948">
        <v>2900028</v>
      </c>
      <c r="G39948" t="s">
        <v>1541</v>
      </c>
      <c r="H39948" s="21">
        <v>675.92</v>
      </c>
    </row>
    <row r="39949" spans="1:8" customFormat="1" x14ac:dyDescent="0.25">
      <c r="A39949" t="str">
        <f>"7521065"</f>
        <v>7521065</v>
      </c>
      <c r="B39949" t="s">
        <v>18164</v>
      </c>
      <c r="C39949" t="s">
        <v>25394</v>
      </c>
      <c r="D39949" s="21" t="s">
        <v>24820</v>
      </c>
      <c r="E39949" s="21" t="s">
        <v>71</v>
      </c>
      <c r="F39949">
        <v>8751423</v>
      </c>
      <c r="G39949" t="s">
        <v>4556</v>
      </c>
      <c r="H39949" s="21">
        <v>675.67</v>
      </c>
    </row>
    <row r="39950" spans="1:8" customFormat="1" x14ac:dyDescent="0.25">
      <c r="A39950" t="str">
        <f>"3523577"</f>
        <v>3523577</v>
      </c>
      <c r="B39950" t="s">
        <v>25263</v>
      </c>
      <c r="C39950" t="s">
        <v>24883</v>
      </c>
      <c r="D39950" s="21" t="s">
        <v>24820</v>
      </c>
      <c r="E39950" s="21" t="s">
        <v>71</v>
      </c>
      <c r="F39950">
        <v>3350042</v>
      </c>
      <c r="G39950" t="s">
        <v>12707</v>
      </c>
      <c r="H39950" s="21">
        <v>674.67</v>
      </c>
    </row>
    <row r="39951" spans="1:8" customFormat="1" x14ac:dyDescent="0.25">
      <c r="A39951" t="str">
        <f>"7869879"</f>
        <v>7869879</v>
      </c>
      <c r="B39951" t="s">
        <v>3930</v>
      </c>
      <c r="C39951" t="s">
        <v>25273</v>
      </c>
      <c r="D39951" s="21" t="s">
        <v>24820</v>
      </c>
      <c r="E39951" s="21" t="s">
        <v>71</v>
      </c>
      <c r="F39951">
        <v>8780678</v>
      </c>
      <c r="G39951" t="s">
        <v>8556</v>
      </c>
      <c r="H39951" s="21">
        <v>674.17</v>
      </c>
    </row>
    <row r="39952" spans="1:8" customFormat="1" x14ac:dyDescent="0.25">
      <c r="A39952" t="str">
        <f>"753243"</f>
        <v>753243</v>
      </c>
      <c r="B39952" t="s">
        <v>9596</v>
      </c>
      <c r="C39952" t="s">
        <v>25297</v>
      </c>
      <c r="D39952" s="21" t="s">
        <v>24820</v>
      </c>
      <c r="E39952" s="21" t="s">
        <v>35</v>
      </c>
      <c r="F39952">
        <v>8750120</v>
      </c>
      <c r="G39952" t="s">
        <v>838</v>
      </c>
      <c r="H39952" s="21">
        <v>673.42</v>
      </c>
    </row>
    <row r="39953" spans="1:8" customFormat="1" x14ac:dyDescent="0.25">
      <c r="A39953" t="str">
        <f>"146807"</f>
        <v>146807</v>
      </c>
      <c r="B39953" t="s">
        <v>2023</v>
      </c>
      <c r="C39953" t="s">
        <v>25396</v>
      </c>
      <c r="D39953" s="21" t="s">
        <v>24820</v>
      </c>
      <c r="E39953" s="21" t="s">
        <v>35</v>
      </c>
      <c r="F39953">
        <v>9140237</v>
      </c>
      <c r="G39953" t="s">
        <v>4722</v>
      </c>
      <c r="H39953" s="21">
        <v>673.17</v>
      </c>
    </row>
    <row r="39954" spans="1:8" customFormat="1" x14ac:dyDescent="0.25">
      <c r="A39954" t="str">
        <f>"3718114"</f>
        <v>3718114</v>
      </c>
      <c r="B39954" t="s">
        <v>13184</v>
      </c>
      <c r="C39954" t="s">
        <v>24863</v>
      </c>
      <c r="D39954" s="21" t="s">
        <v>24820</v>
      </c>
      <c r="E39954" s="21" t="s">
        <v>35</v>
      </c>
      <c r="F39954">
        <v>4370709</v>
      </c>
      <c r="G39954" t="s">
        <v>5714</v>
      </c>
      <c r="H39954" s="21">
        <v>673.17</v>
      </c>
    </row>
    <row r="39955" spans="1:8" customFormat="1" x14ac:dyDescent="0.25">
      <c r="A39955" t="str">
        <f>"4933747"</f>
        <v>4933747</v>
      </c>
      <c r="B39955" t="s">
        <v>871</v>
      </c>
      <c r="C39955" t="s">
        <v>25250</v>
      </c>
      <c r="D39955" s="21" t="s">
        <v>24820</v>
      </c>
      <c r="E39955" s="21" t="s">
        <v>71</v>
      </c>
      <c r="F39955">
        <v>12490067</v>
      </c>
      <c r="G39955" t="s">
        <v>7654</v>
      </c>
      <c r="H39955" s="21">
        <v>673.17</v>
      </c>
    </row>
    <row r="39956" spans="1:8" customFormat="1" x14ac:dyDescent="0.25">
      <c r="A39956" t="str">
        <f>"6937591"</f>
        <v>6937591</v>
      </c>
      <c r="B39956" t="s">
        <v>2049</v>
      </c>
      <c r="C39956" t="s">
        <v>24897</v>
      </c>
      <c r="D39956" s="21" t="s">
        <v>24820</v>
      </c>
      <c r="E39956" s="21" t="s">
        <v>35</v>
      </c>
      <c r="F39956">
        <v>1690199</v>
      </c>
      <c r="G39956" t="s">
        <v>12608</v>
      </c>
      <c r="H39956" s="21">
        <v>672.67</v>
      </c>
    </row>
    <row r="39957" spans="1:8" customFormat="1" x14ac:dyDescent="0.25">
      <c r="A39957" t="str">
        <f>"85247"</f>
        <v>85247</v>
      </c>
      <c r="B39957" t="s">
        <v>19158</v>
      </c>
      <c r="C39957" t="s">
        <v>24897</v>
      </c>
      <c r="D39957" s="21" t="s">
        <v>24820</v>
      </c>
      <c r="E39957" s="21" t="s">
        <v>254</v>
      </c>
      <c r="F39957">
        <v>12850008</v>
      </c>
      <c r="G39957" t="s">
        <v>4248</v>
      </c>
      <c r="H39957" s="21">
        <v>672.67</v>
      </c>
    </row>
    <row r="39958" spans="1:8" customFormat="1" x14ac:dyDescent="0.25">
      <c r="A39958" t="str">
        <f>"6230534"</f>
        <v>6230534</v>
      </c>
      <c r="B39958" t="s">
        <v>11984</v>
      </c>
      <c r="C39958" t="s">
        <v>24863</v>
      </c>
      <c r="D39958" s="21" t="s">
        <v>24820</v>
      </c>
      <c r="E39958" s="21" t="s">
        <v>35</v>
      </c>
      <c r="F39958">
        <v>7620184</v>
      </c>
      <c r="G39958" t="s">
        <v>4436</v>
      </c>
      <c r="H39958" s="21">
        <v>672.17</v>
      </c>
    </row>
    <row r="39959" spans="1:8" customFormat="1" x14ac:dyDescent="0.25">
      <c r="A39959" t="str">
        <f>"9229768"</f>
        <v>9229768</v>
      </c>
      <c r="B39959" t="s">
        <v>25302</v>
      </c>
      <c r="C39959" t="s">
        <v>24947</v>
      </c>
      <c r="D39959" s="21" t="s">
        <v>24820</v>
      </c>
      <c r="E39959" s="21" t="s">
        <v>35</v>
      </c>
      <c r="F39959">
        <v>3350199</v>
      </c>
      <c r="G39959" t="s">
        <v>5603</v>
      </c>
      <c r="H39959" s="21">
        <v>671.67</v>
      </c>
    </row>
    <row r="39960" spans="1:8" customFormat="1" x14ac:dyDescent="0.25">
      <c r="A39960" t="str">
        <f>"9410300"</f>
        <v>9410300</v>
      </c>
      <c r="B39960" t="s">
        <v>17905</v>
      </c>
      <c r="C39960" t="s">
        <v>24855</v>
      </c>
      <c r="D39960" s="21" t="s">
        <v>24820</v>
      </c>
      <c r="E39960" s="21" t="s">
        <v>254</v>
      </c>
      <c r="F39960">
        <v>8941100</v>
      </c>
      <c r="G39960" t="s">
        <v>4974</v>
      </c>
      <c r="H39960" s="21">
        <v>671.67</v>
      </c>
    </row>
    <row r="39961" spans="1:8" customFormat="1" x14ac:dyDescent="0.25">
      <c r="A39961" t="str">
        <f>"7919464"</f>
        <v>7919464</v>
      </c>
      <c r="B39961" t="s">
        <v>12570</v>
      </c>
      <c r="C39961" t="s">
        <v>24943</v>
      </c>
      <c r="D39961" s="21" t="s">
        <v>24820</v>
      </c>
      <c r="E39961" s="21" t="s">
        <v>35</v>
      </c>
      <c r="F39961">
        <v>10790235</v>
      </c>
      <c r="G39961" t="s">
        <v>413</v>
      </c>
      <c r="H39961" s="21">
        <v>670.67</v>
      </c>
    </row>
    <row r="39962" spans="1:8" customFormat="1" x14ac:dyDescent="0.25">
      <c r="A39962" t="str">
        <f>"4417536"</f>
        <v>4417536</v>
      </c>
      <c r="B39962" t="s">
        <v>25235</v>
      </c>
      <c r="C39962" t="s">
        <v>25236</v>
      </c>
      <c r="D39962" s="21" t="s">
        <v>24820</v>
      </c>
      <c r="E39962" s="21" t="s">
        <v>254</v>
      </c>
      <c r="F39962">
        <v>12440058</v>
      </c>
      <c r="G39962" t="s">
        <v>394</v>
      </c>
      <c r="H39962" s="21">
        <v>669.67</v>
      </c>
    </row>
    <row r="39963" spans="1:8" customFormat="1" x14ac:dyDescent="0.25">
      <c r="A39963" t="str">
        <f>"1316121"</f>
        <v>1316121</v>
      </c>
      <c r="B39963" t="s">
        <v>461</v>
      </c>
      <c r="C39963" t="s">
        <v>25217</v>
      </c>
      <c r="D39963" s="21" t="s">
        <v>24820</v>
      </c>
      <c r="E39963" s="21" t="s">
        <v>35</v>
      </c>
      <c r="F39963">
        <v>13130067</v>
      </c>
      <c r="G39963" t="s">
        <v>1420</v>
      </c>
      <c r="H39963" s="21">
        <v>669.04</v>
      </c>
    </row>
    <row r="39964" spans="1:8" customFormat="1" x14ac:dyDescent="0.25">
      <c r="A39964" t="str">
        <f>"5019303"</f>
        <v>5019303</v>
      </c>
      <c r="B39964" t="s">
        <v>14475</v>
      </c>
      <c r="C39964" t="s">
        <v>25188</v>
      </c>
      <c r="D39964" s="21" t="s">
        <v>24820</v>
      </c>
      <c r="E39964" s="21" t="s">
        <v>35</v>
      </c>
      <c r="F39964">
        <v>9500131</v>
      </c>
      <c r="G39964" t="s">
        <v>1073</v>
      </c>
      <c r="H39964" s="21">
        <v>668.67</v>
      </c>
    </row>
    <row r="39965" spans="1:8" customFormat="1" x14ac:dyDescent="0.25">
      <c r="A39965" t="str">
        <f>"4439758"</f>
        <v>4439758</v>
      </c>
      <c r="B39965" t="s">
        <v>17378</v>
      </c>
      <c r="C39965" t="s">
        <v>24884</v>
      </c>
      <c r="D39965" s="21" t="s">
        <v>24820</v>
      </c>
      <c r="E39965" s="21" t="s">
        <v>71</v>
      </c>
      <c r="F39965">
        <v>12440116</v>
      </c>
      <c r="G39965" t="s">
        <v>26673</v>
      </c>
      <c r="H39965" s="21">
        <v>668.67</v>
      </c>
    </row>
    <row r="39966" spans="1:8" customFormat="1" x14ac:dyDescent="0.25">
      <c r="A39966" t="str">
        <f>"7220183"</f>
        <v>7220183</v>
      </c>
      <c r="B39966" t="s">
        <v>25340</v>
      </c>
      <c r="C39966" t="s">
        <v>24897</v>
      </c>
      <c r="D39966" s="21" t="s">
        <v>24820</v>
      </c>
      <c r="E39966" s="21" t="s">
        <v>35</v>
      </c>
      <c r="F39966">
        <v>12720021</v>
      </c>
      <c r="G39966" t="s">
        <v>3329</v>
      </c>
      <c r="H39966" s="21">
        <v>668.67</v>
      </c>
    </row>
    <row r="39967" spans="1:8" customFormat="1" x14ac:dyDescent="0.25">
      <c r="A39967" t="str">
        <f>"747183"</f>
        <v>747183</v>
      </c>
      <c r="B39967" t="s">
        <v>25251</v>
      </c>
      <c r="C39967" t="s">
        <v>24865</v>
      </c>
      <c r="D39967" s="21" t="s">
        <v>24820</v>
      </c>
      <c r="E39967" s="21" t="s">
        <v>71</v>
      </c>
      <c r="F39967">
        <v>1740010</v>
      </c>
      <c r="G39967" t="s">
        <v>4986</v>
      </c>
      <c r="H39967" s="21">
        <v>667.67</v>
      </c>
    </row>
    <row r="39968" spans="1:8" customFormat="1" x14ac:dyDescent="0.25">
      <c r="A39968" t="str">
        <f>"606955"</f>
        <v>606955</v>
      </c>
      <c r="B39968" t="s">
        <v>556</v>
      </c>
      <c r="C39968" t="s">
        <v>24890</v>
      </c>
      <c r="D39968" s="21" t="s">
        <v>24820</v>
      </c>
      <c r="E39968" s="21" t="s">
        <v>1089</v>
      </c>
      <c r="F39968">
        <v>7600031</v>
      </c>
      <c r="G39968" t="s">
        <v>3283</v>
      </c>
      <c r="H39968" s="21">
        <v>667.67</v>
      </c>
    </row>
    <row r="39969" spans="1:8" customFormat="1" x14ac:dyDescent="0.25">
      <c r="A39969" t="str">
        <f>"5937649"</f>
        <v>5937649</v>
      </c>
      <c r="B39969" t="s">
        <v>11271</v>
      </c>
      <c r="C39969" t="s">
        <v>25184</v>
      </c>
      <c r="D39969" s="21" t="s">
        <v>24820</v>
      </c>
      <c r="E39969" s="21" t="s">
        <v>71</v>
      </c>
      <c r="F39969">
        <v>7590087</v>
      </c>
      <c r="G39969" t="s">
        <v>2112</v>
      </c>
      <c r="H39969" s="21">
        <v>667.67</v>
      </c>
    </row>
    <row r="39970" spans="1:8" customFormat="1" x14ac:dyDescent="0.25">
      <c r="A39970" t="str">
        <f>"9726760"</f>
        <v>9726760</v>
      </c>
      <c r="B39970" t="s">
        <v>25241</v>
      </c>
      <c r="C39970" t="s">
        <v>25089</v>
      </c>
      <c r="D39970" s="21" t="s">
        <v>24820</v>
      </c>
      <c r="E39970" s="21" t="s">
        <v>71</v>
      </c>
      <c r="F39970" t="s">
        <v>3911</v>
      </c>
      <c r="G39970" t="s">
        <v>3912</v>
      </c>
      <c r="H39970" s="21">
        <v>667.67</v>
      </c>
    </row>
    <row r="39971" spans="1:8" customFormat="1" x14ac:dyDescent="0.25">
      <c r="A39971" t="str">
        <f>"6314209"</f>
        <v>6314209</v>
      </c>
      <c r="B39971" t="s">
        <v>13021</v>
      </c>
      <c r="C39971" t="s">
        <v>24824</v>
      </c>
      <c r="D39971" s="21" t="s">
        <v>24820</v>
      </c>
      <c r="E39971" s="21" t="s">
        <v>35</v>
      </c>
      <c r="F39971">
        <v>1630301</v>
      </c>
      <c r="G39971" t="s">
        <v>7897</v>
      </c>
      <c r="H39971" s="21">
        <v>667.42</v>
      </c>
    </row>
    <row r="39972" spans="1:8" customFormat="1" x14ac:dyDescent="0.25">
      <c r="A39972" t="str">
        <f>"4215396"</f>
        <v>4215396</v>
      </c>
      <c r="B39972" t="s">
        <v>19752</v>
      </c>
      <c r="C39972" t="s">
        <v>24865</v>
      </c>
      <c r="D39972" s="21" t="s">
        <v>24820</v>
      </c>
      <c r="E39972" s="21" t="s">
        <v>71</v>
      </c>
      <c r="F39972">
        <v>1420055</v>
      </c>
      <c r="G39972" t="s">
        <v>5421</v>
      </c>
      <c r="H39972" s="21">
        <v>667.04</v>
      </c>
    </row>
    <row r="39973" spans="1:8" customFormat="1" x14ac:dyDescent="0.25">
      <c r="A39973" t="str">
        <f>"537399"</f>
        <v>537399</v>
      </c>
      <c r="B39973" t="s">
        <v>4460</v>
      </c>
      <c r="C39973" t="s">
        <v>24915</v>
      </c>
      <c r="D39973" s="21" t="s">
        <v>24820</v>
      </c>
      <c r="E39973" s="21" t="s">
        <v>35</v>
      </c>
      <c r="F39973">
        <v>12530050</v>
      </c>
      <c r="G39973" t="s">
        <v>5196</v>
      </c>
      <c r="H39973" s="21">
        <v>666.42</v>
      </c>
    </row>
    <row r="39974" spans="1:8" customFormat="1" x14ac:dyDescent="0.25">
      <c r="A39974" t="str">
        <f>"4211122"</f>
        <v>4211122</v>
      </c>
      <c r="B39974" t="s">
        <v>23277</v>
      </c>
      <c r="C39974" t="s">
        <v>24909</v>
      </c>
      <c r="D39974" s="21" t="s">
        <v>24820</v>
      </c>
      <c r="E39974" s="21" t="s">
        <v>71</v>
      </c>
      <c r="F39974">
        <v>1420117</v>
      </c>
      <c r="G39974" t="s">
        <v>2649</v>
      </c>
      <c r="H39974" s="21">
        <v>665.92</v>
      </c>
    </row>
    <row r="39975" spans="1:8" customFormat="1" x14ac:dyDescent="0.25">
      <c r="A39975" t="str">
        <f>"7713666"</f>
        <v>7713666</v>
      </c>
      <c r="B39975" t="s">
        <v>6678</v>
      </c>
      <c r="C39975" t="s">
        <v>25178</v>
      </c>
      <c r="D39975" s="21" t="s">
        <v>24820</v>
      </c>
      <c r="E39975" s="21" t="s">
        <v>254</v>
      </c>
      <c r="F39975">
        <v>8770499</v>
      </c>
      <c r="G39975" t="s">
        <v>447</v>
      </c>
      <c r="H39975" s="21">
        <v>665.92</v>
      </c>
    </row>
    <row r="39976" spans="1:8" customFormat="1" x14ac:dyDescent="0.25">
      <c r="A39976" t="str">
        <f>"6721902"</f>
        <v>6721902</v>
      </c>
      <c r="B39976" t="s">
        <v>25233</v>
      </c>
      <c r="C39976" t="s">
        <v>25234</v>
      </c>
      <c r="D39976" s="21" t="s">
        <v>24820</v>
      </c>
      <c r="E39976" s="21" t="s">
        <v>71</v>
      </c>
      <c r="F39976">
        <v>6670003</v>
      </c>
      <c r="G39976" t="s">
        <v>1520</v>
      </c>
      <c r="H39976" s="21">
        <v>665.67</v>
      </c>
    </row>
    <row r="39977" spans="1:8" customFormat="1" x14ac:dyDescent="0.25">
      <c r="A39977" t="str">
        <f>"3718551"</f>
        <v>3718551</v>
      </c>
      <c r="B39977" t="s">
        <v>8281</v>
      </c>
      <c r="C39977" t="s">
        <v>25247</v>
      </c>
      <c r="D39977" s="21" t="s">
        <v>24820</v>
      </c>
      <c r="E39977" s="21" t="s">
        <v>71</v>
      </c>
      <c r="F39977">
        <v>4370269</v>
      </c>
      <c r="G39977" t="s">
        <v>4277</v>
      </c>
      <c r="H39977" s="21">
        <v>665.5</v>
      </c>
    </row>
    <row r="39978" spans="1:8" customFormat="1" x14ac:dyDescent="0.25">
      <c r="A39978" t="str">
        <f>"8313408"</f>
        <v>8313408</v>
      </c>
      <c r="B39978" t="s">
        <v>8882</v>
      </c>
      <c r="C39978" t="s">
        <v>24897</v>
      </c>
      <c r="D39978" s="21" t="s">
        <v>24820</v>
      </c>
      <c r="E39978" s="21" t="s">
        <v>35</v>
      </c>
      <c r="F39978">
        <v>13830092</v>
      </c>
      <c r="G39978" t="s">
        <v>3632</v>
      </c>
      <c r="H39978" s="21">
        <v>665.17</v>
      </c>
    </row>
    <row r="39979" spans="1:8" customFormat="1" x14ac:dyDescent="0.25">
      <c r="A39979" t="str">
        <f>"9234255"</f>
        <v>9234255</v>
      </c>
      <c r="B39979" t="s">
        <v>25412</v>
      </c>
      <c r="C39979" t="s">
        <v>24884</v>
      </c>
      <c r="D39979" s="21" t="s">
        <v>24820</v>
      </c>
      <c r="E39979" s="21" t="s">
        <v>35</v>
      </c>
      <c r="F39979">
        <v>2390007</v>
      </c>
      <c r="G39979" t="s">
        <v>3365</v>
      </c>
      <c r="H39979" s="21">
        <v>664.67</v>
      </c>
    </row>
    <row r="39980" spans="1:8" customFormat="1" x14ac:dyDescent="0.25">
      <c r="A39980" t="str">
        <f>"755335"</f>
        <v>755335</v>
      </c>
      <c r="B39980" t="s">
        <v>12386</v>
      </c>
      <c r="C39980" t="s">
        <v>24871</v>
      </c>
      <c r="D39980" s="21" t="s">
        <v>24820</v>
      </c>
      <c r="E39980" s="21" t="s">
        <v>71</v>
      </c>
      <c r="F39980">
        <v>8770937</v>
      </c>
      <c r="G39980" t="s">
        <v>2119</v>
      </c>
      <c r="H39980" s="21">
        <v>664.42</v>
      </c>
    </row>
    <row r="39981" spans="1:8" customFormat="1" x14ac:dyDescent="0.25">
      <c r="A39981" t="str">
        <f>"6929809"</f>
        <v>6929809</v>
      </c>
      <c r="B39981" t="s">
        <v>29769</v>
      </c>
      <c r="C39981" t="s">
        <v>22831</v>
      </c>
      <c r="D39981" s="21" t="s">
        <v>24820</v>
      </c>
      <c r="E39981" s="21" t="s">
        <v>71</v>
      </c>
      <c r="F39981">
        <v>1690062</v>
      </c>
      <c r="G39981" t="s">
        <v>5907</v>
      </c>
      <c r="H39981" s="21">
        <v>663.92</v>
      </c>
    </row>
    <row r="39982" spans="1:8" customFormat="1" x14ac:dyDescent="0.25">
      <c r="A39982" t="str">
        <f>"2911634"</f>
        <v>2911634</v>
      </c>
      <c r="B39982" t="s">
        <v>25254</v>
      </c>
      <c r="C39982" t="s">
        <v>24988</v>
      </c>
      <c r="D39982" s="21" t="s">
        <v>24820</v>
      </c>
      <c r="E39982" s="21" t="s">
        <v>35</v>
      </c>
      <c r="F39982">
        <v>3290255</v>
      </c>
      <c r="G39982" t="s">
        <v>2852</v>
      </c>
      <c r="H39982" s="21">
        <v>663.79</v>
      </c>
    </row>
    <row r="39983" spans="1:8" customFormat="1" x14ac:dyDescent="0.25">
      <c r="A39983" t="str">
        <f>"7831903"</f>
        <v>7831903</v>
      </c>
      <c r="B39983" t="s">
        <v>29770</v>
      </c>
      <c r="C39983" t="s">
        <v>24888</v>
      </c>
      <c r="D39983" s="21" t="s">
        <v>24820</v>
      </c>
      <c r="E39983" s="21" t="s">
        <v>35</v>
      </c>
      <c r="F39983">
        <v>8950564</v>
      </c>
      <c r="G39983" t="s">
        <v>9523</v>
      </c>
      <c r="H39983" s="21">
        <v>663.67</v>
      </c>
    </row>
    <row r="39984" spans="1:8" customFormat="1" x14ac:dyDescent="0.25">
      <c r="A39984" t="str">
        <f>"5410797"</f>
        <v>5410797</v>
      </c>
      <c r="B39984" t="s">
        <v>25242</v>
      </c>
      <c r="C39984" t="s">
        <v>24927</v>
      </c>
      <c r="D39984" s="21" t="s">
        <v>24820</v>
      </c>
      <c r="E39984" s="21" t="s">
        <v>254</v>
      </c>
      <c r="F39984">
        <v>6540040</v>
      </c>
      <c r="G39984" t="s">
        <v>256</v>
      </c>
      <c r="H39984" s="21">
        <v>663.17</v>
      </c>
    </row>
    <row r="39985" spans="1:8" customFormat="1" x14ac:dyDescent="0.25">
      <c r="A39985" t="str">
        <f>"357067"</f>
        <v>357067</v>
      </c>
      <c r="B39985" t="s">
        <v>1180</v>
      </c>
      <c r="C39985" t="s">
        <v>24904</v>
      </c>
      <c r="D39985" s="21" t="s">
        <v>24820</v>
      </c>
      <c r="E39985" s="21" t="s">
        <v>71</v>
      </c>
      <c r="F39985">
        <v>3350209</v>
      </c>
      <c r="G39985" t="s">
        <v>3023</v>
      </c>
      <c r="H39985" s="21">
        <v>663.17</v>
      </c>
    </row>
    <row r="39986" spans="1:8" customFormat="1" x14ac:dyDescent="0.25">
      <c r="A39986" t="str">
        <f>"229000"</f>
        <v>229000</v>
      </c>
      <c r="B39986" t="s">
        <v>25308</v>
      </c>
      <c r="C39986" t="s">
        <v>24947</v>
      </c>
      <c r="D39986" s="21" t="s">
        <v>24820</v>
      </c>
      <c r="E39986" s="21" t="s">
        <v>35</v>
      </c>
      <c r="F39986">
        <v>3220138</v>
      </c>
      <c r="G39986" t="s">
        <v>27804</v>
      </c>
      <c r="H39986" s="21">
        <v>663.17</v>
      </c>
    </row>
    <row r="39987" spans="1:8" customFormat="1" x14ac:dyDescent="0.25">
      <c r="A39987" t="str">
        <f>"6720784"</f>
        <v>6720784</v>
      </c>
      <c r="B39987" t="s">
        <v>25261</v>
      </c>
      <c r="C39987" t="s">
        <v>25262</v>
      </c>
      <c r="D39987" s="21" t="s">
        <v>24820</v>
      </c>
      <c r="E39987" s="21" t="s">
        <v>35</v>
      </c>
      <c r="F39987">
        <v>6670202</v>
      </c>
      <c r="G39987" t="s">
        <v>605</v>
      </c>
      <c r="H39987" s="21">
        <v>662.67</v>
      </c>
    </row>
    <row r="39988" spans="1:8" customFormat="1" x14ac:dyDescent="0.25">
      <c r="A39988" t="str">
        <f>"0610801"</f>
        <v>0610801</v>
      </c>
      <c r="B39988" t="s">
        <v>25259</v>
      </c>
      <c r="C39988" t="s">
        <v>24855</v>
      </c>
      <c r="D39988" s="21" t="s">
        <v>24820</v>
      </c>
      <c r="E39988" s="21" t="s">
        <v>71</v>
      </c>
      <c r="F39988">
        <v>13060064</v>
      </c>
      <c r="G39988" t="s">
        <v>976</v>
      </c>
      <c r="H39988" s="21">
        <v>662.17</v>
      </c>
    </row>
    <row r="39989" spans="1:8" customFormat="1" x14ac:dyDescent="0.25">
      <c r="A39989" t="str">
        <f>"024491"</f>
        <v>024491</v>
      </c>
      <c r="B39989" t="s">
        <v>4494</v>
      </c>
      <c r="C39989" t="s">
        <v>23966</v>
      </c>
      <c r="D39989" s="21" t="s">
        <v>24820</v>
      </c>
      <c r="E39989" s="21" t="s">
        <v>254</v>
      </c>
      <c r="F39989">
        <v>7020080</v>
      </c>
      <c r="G39989" t="s">
        <v>5600</v>
      </c>
      <c r="H39989" s="21">
        <v>662.17</v>
      </c>
    </row>
    <row r="39990" spans="1:8" customFormat="1" x14ac:dyDescent="0.25">
      <c r="A39990" t="str">
        <f>"7510136"</f>
        <v>7510136</v>
      </c>
      <c r="B39990" t="s">
        <v>25328</v>
      </c>
      <c r="C39990" t="s">
        <v>24996</v>
      </c>
      <c r="D39990" s="21" t="s">
        <v>24820</v>
      </c>
      <c r="E39990" s="21" t="s">
        <v>71</v>
      </c>
      <c r="F39990">
        <v>8751163</v>
      </c>
      <c r="G39990" t="s">
        <v>80</v>
      </c>
      <c r="H39990" s="21">
        <v>661.67</v>
      </c>
    </row>
    <row r="39991" spans="1:8" customFormat="1" x14ac:dyDescent="0.25">
      <c r="A39991" t="str">
        <f>"5313186"</f>
        <v>5313186</v>
      </c>
      <c r="B39991" t="s">
        <v>25264</v>
      </c>
      <c r="C39991" t="s">
        <v>24952</v>
      </c>
      <c r="D39991" s="21" t="s">
        <v>24820</v>
      </c>
      <c r="E39991" s="21" t="s">
        <v>71</v>
      </c>
      <c r="F39991">
        <v>12530016</v>
      </c>
      <c r="G39991" t="s">
        <v>2069</v>
      </c>
      <c r="H39991" s="21">
        <v>661.67</v>
      </c>
    </row>
    <row r="39992" spans="1:8" customFormat="1" x14ac:dyDescent="0.25">
      <c r="A39992" t="str">
        <f>"3514071"</f>
        <v>3514071</v>
      </c>
      <c r="B39992" t="s">
        <v>25388</v>
      </c>
      <c r="C39992" t="s">
        <v>24909</v>
      </c>
      <c r="D39992" s="21" t="s">
        <v>24820</v>
      </c>
      <c r="E39992" s="21" t="s">
        <v>254</v>
      </c>
      <c r="F39992">
        <v>3350009</v>
      </c>
      <c r="G39992" t="s">
        <v>1823</v>
      </c>
      <c r="H39992" s="21">
        <v>661.17</v>
      </c>
    </row>
    <row r="39993" spans="1:8" customFormat="1" x14ac:dyDescent="0.25">
      <c r="A39993" t="str">
        <f>"617748"</f>
        <v>617748</v>
      </c>
      <c r="B39993" t="s">
        <v>25267</v>
      </c>
      <c r="C39993" t="s">
        <v>24867</v>
      </c>
      <c r="D39993" s="21" t="s">
        <v>24820</v>
      </c>
      <c r="E39993" s="21" t="s">
        <v>35</v>
      </c>
      <c r="F39993">
        <v>9610034</v>
      </c>
      <c r="G39993" t="s">
        <v>11021</v>
      </c>
      <c r="H39993" s="21">
        <v>660.67</v>
      </c>
    </row>
    <row r="39994" spans="1:8" customFormat="1" x14ac:dyDescent="0.25">
      <c r="A39994" t="str">
        <f>"713016"</f>
        <v>713016</v>
      </c>
      <c r="B39994" t="s">
        <v>25326</v>
      </c>
      <c r="C39994" t="s">
        <v>24867</v>
      </c>
      <c r="D39994" s="21" t="s">
        <v>24820</v>
      </c>
      <c r="E39994" s="21" t="s">
        <v>35</v>
      </c>
      <c r="F39994">
        <v>2710036</v>
      </c>
      <c r="G39994" t="s">
        <v>11095</v>
      </c>
      <c r="H39994" s="21">
        <v>660.17</v>
      </c>
    </row>
    <row r="39995" spans="1:8" customFormat="1" x14ac:dyDescent="0.25">
      <c r="A39995" t="str">
        <f>"95354"</f>
        <v>95354</v>
      </c>
      <c r="B39995" t="s">
        <v>7063</v>
      </c>
      <c r="C39995" t="s">
        <v>22831</v>
      </c>
      <c r="D39995" s="21" t="s">
        <v>24820</v>
      </c>
      <c r="E39995" s="21" t="s">
        <v>71</v>
      </c>
      <c r="F39995">
        <v>8950083</v>
      </c>
      <c r="G39995" t="s">
        <v>405</v>
      </c>
      <c r="H39995" s="21">
        <v>660.17</v>
      </c>
    </row>
    <row r="39996" spans="1:8" customFormat="1" x14ac:dyDescent="0.25">
      <c r="A39996" t="str">
        <f>"256490"</f>
        <v>256490</v>
      </c>
      <c r="B39996" t="s">
        <v>4102</v>
      </c>
      <c r="C39996" t="s">
        <v>24897</v>
      </c>
      <c r="D39996" s="21" t="s">
        <v>24820</v>
      </c>
      <c r="E39996" s="21" t="s">
        <v>71</v>
      </c>
      <c r="F39996">
        <v>2250193</v>
      </c>
      <c r="G39996" t="s">
        <v>2584</v>
      </c>
      <c r="H39996" s="21">
        <v>660.17</v>
      </c>
    </row>
    <row r="39997" spans="1:8" customFormat="1" x14ac:dyDescent="0.25">
      <c r="A39997" t="str">
        <f>"2811457"</f>
        <v>2811457</v>
      </c>
      <c r="B39997" t="s">
        <v>15473</v>
      </c>
      <c r="C39997" t="s">
        <v>24914</v>
      </c>
      <c r="D39997" s="21" t="s">
        <v>24820</v>
      </c>
      <c r="E39997" s="21" t="s">
        <v>35</v>
      </c>
      <c r="F39997">
        <v>4280104</v>
      </c>
      <c r="G39997" t="s">
        <v>8480</v>
      </c>
      <c r="H39997" s="21">
        <v>659.92</v>
      </c>
    </row>
    <row r="39998" spans="1:8" customFormat="1" x14ac:dyDescent="0.25">
      <c r="A39998" t="str">
        <f>"6312483"</f>
        <v>6312483</v>
      </c>
      <c r="B39998" t="s">
        <v>29771</v>
      </c>
      <c r="C39998" t="s">
        <v>24883</v>
      </c>
      <c r="D39998" s="21" t="s">
        <v>24820</v>
      </c>
      <c r="E39998" s="21" t="s">
        <v>71</v>
      </c>
      <c r="F39998">
        <v>1630078</v>
      </c>
      <c r="G39998" t="s">
        <v>326</v>
      </c>
      <c r="H39998" s="21">
        <v>659.67</v>
      </c>
    </row>
    <row r="39999" spans="1:8" customFormat="1" x14ac:dyDescent="0.25">
      <c r="A39999" t="str">
        <f>"717637"</f>
        <v>717637</v>
      </c>
      <c r="B39999" t="s">
        <v>4522</v>
      </c>
      <c r="C39999" t="s">
        <v>24877</v>
      </c>
      <c r="D39999" s="21" t="s">
        <v>24820</v>
      </c>
      <c r="E39999" s="21" t="s">
        <v>71</v>
      </c>
      <c r="F39999">
        <v>2710042</v>
      </c>
      <c r="G39999" t="s">
        <v>1997</v>
      </c>
      <c r="H39999" s="21">
        <v>659.67</v>
      </c>
    </row>
    <row r="40000" spans="1:8" customFormat="1" x14ac:dyDescent="0.25">
      <c r="A40000" t="str">
        <f>"3830162"</f>
        <v>3830162</v>
      </c>
      <c r="B40000" t="s">
        <v>25471</v>
      </c>
      <c r="C40000" t="s">
        <v>25472</v>
      </c>
      <c r="D40000" s="21" t="s">
        <v>24820</v>
      </c>
      <c r="E40000" s="21" t="s">
        <v>35</v>
      </c>
      <c r="F40000">
        <v>1380284</v>
      </c>
      <c r="G40000" t="s">
        <v>300</v>
      </c>
      <c r="H40000" s="21">
        <v>659.17</v>
      </c>
    </row>
    <row r="40001" spans="1:8" customFormat="1" x14ac:dyDescent="0.25">
      <c r="A40001" t="str">
        <f>"6013442"</f>
        <v>6013442</v>
      </c>
      <c r="B40001" t="s">
        <v>3356</v>
      </c>
      <c r="C40001" t="s">
        <v>24904</v>
      </c>
      <c r="D40001" s="21" t="s">
        <v>24820</v>
      </c>
      <c r="E40001" s="21" t="s">
        <v>71</v>
      </c>
      <c r="F40001">
        <v>7600054</v>
      </c>
      <c r="G40001" t="s">
        <v>1352</v>
      </c>
      <c r="H40001" s="21">
        <v>658.67</v>
      </c>
    </row>
    <row r="40002" spans="1:8" customFormat="1" x14ac:dyDescent="0.25">
      <c r="A40002" t="str">
        <f>"9227467"</f>
        <v>9227467</v>
      </c>
      <c r="B40002" t="s">
        <v>25240</v>
      </c>
      <c r="C40002" t="s">
        <v>24897</v>
      </c>
      <c r="D40002" s="21" t="s">
        <v>24820</v>
      </c>
      <c r="E40002" s="21" t="s">
        <v>71</v>
      </c>
      <c r="F40002">
        <v>8920025</v>
      </c>
      <c r="G40002" t="s">
        <v>159</v>
      </c>
      <c r="H40002" s="21">
        <v>658.17</v>
      </c>
    </row>
    <row r="40003" spans="1:8" customFormat="1" x14ac:dyDescent="0.25">
      <c r="A40003" t="str">
        <f>"044053"</f>
        <v>044053</v>
      </c>
      <c r="B40003" t="s">
        <v>8655</v>
      </c>
      <c r="C40003" t="s">
        <v>24962</v>
      </c>
      <c r="D40003" s="21" t="s">
        <v>24820</v>
      </c>
      <c r="E40003" s="21" t="s">
        <v>35</v>
      </c>
      <c r="F40003">
        <v>13040005</v>
      </c>
      <c r="G40003" t="s">
        <v>7115</v>
      </c>
      <c r="H40003" s="21">
        <v>657.67</v>
      </c>
    </row>
    <row r="40004" spans="1:8" customFormat="1" x14ac:dyDescent="0.25">
      <c r="A40004" t="str">
        <f>"7610691"</f>
        <v>7610691</v>
      </c>
      <c r="B40004" t="s">
        <v>29772</v>
      </c>
      <c r="C40004" t="s">
        <v>25053</v>
      </c>
      <c r="D40004" s="21" t="s">
        <v>24820</v>
      </c>
      <c r="E40004" s="21" t="s">
        <v>35</v>
      </c>
      <c r="F40004">
        <v>9760456</v>
      </c>
      <c r="G40004" t="s">
        <v>21573</v>
      </c>
      <c r="H40004" s="21">
        <v>656.67</v>
      </c>
    </row>
    <row r="40005" spans="1:8" customFormat="1" x14ac:dyDescent="0.25">
      <c r="A40005" t="str">
        <f>"557778"</f>
        <v>557778</v>
      </c>
      <c r="B40005" t="s">
        <v>25356</v>
      </c>
      <c r="C40005" t="s">
        <v>25076</v>
      </c>
      <c r="D40005" s="21" t="s">
        <v>24820</v>
      </c>
      <c r="E40005" s="21" t="s">
        <v>71</v>
      </c>
      <c r="F40005">
        <v>6550009</v>
      </c>
      <c r="G40005" t="s">
        <v>7080</v>
      </c>
      <c r="H40005" s="21">
        <v>656.17</v>
      </c>
    </row>
    <row r="40006" spans="1:8" customFormat="1" x14ac:dyDescent="0.25">
      <c r="A40006" t="str">
        <f>"1311235"</f>
        <v>1311235</v>
      </c>
      <c r="B40006" t="s">
        <v>25372</v>
      </c>
      <c r="C40006" t="s">
        <v>25306</v>
      </c>
      <c r="D40006" s="21" t="s">
        <v>24820</v>
      </c>
      <c r="E40006" s="21" t="s">
        <v>71</v>
      </c>
      <c r="F40006">
        <v>13130164</v>
      </c>
      <c r="G40006" t="s">
        <v>15351</v>
      </c>
      <c r="H40006" s="21">
        <v>656.17</v>
      </c>
    </row>
    <row r="40007" spans="1:8" customFormat="1" x14ac:dyDescent="0.25">
      <c r="A40007" t="str">
        <f>"5940538"</f>
        <v>5940538</v>
      </c>
      <c r="B40007" t="s">
        <v>2405</v>
      </c>
      <c r="C40007" t="s">
        <v>25347</v>
      </c>
      <c r="D40007" s="21" t="s">
        <v>24820</v>
      </c>
      <c r="E40007" s="21" t="s">
        <v>35</v>
      </c>
      <c r="F40007">
        <v>7590028</v>
      </c>
      <c r="G40007" t="s">
        <v>251</v>
      </c>
      <c r="H40007" s="21">
        <v>656.17</v>
      </c>
    </row>
    <row r="40008" spans="1:8" customFormat="1" x14ac:dyDescent="0.25">
      <c r="A40008" t="str">
        <f>"185230"</f>
        <v>185230</v>
      </c>
      <c r="B40008" t="s">
        <v>582</v>
      </c>
      <c r="C40008" t="s">
        <v>25138</v>
      </c>
      <c r="D40008" s="21" t="s">
        <v>24820</v>
      </c>
      <c r="E40008" s="21" t="s">
        <v>35</v>
      </c>
      <c r="F40008">
        <v>4180057</v>
      </c>
      <c r="G40008" t="s">
        <v>9021</v>
      </c>
      <c r="H40008" s="21">
        <v>656.17</v>
      </c>
    </row>
    <row r="40009" spans="1:8" customFormat="1" x14ac:dyDescent="0.25">
      <c r="A40009" t="str">
        <f>"9222333"</f>
        <v>9222333</v>
      </c>
      <c r="B40009" t="s">
        <v>25320</v>
      </c>
      <c r="C40009" t="s">
        <v>24867</v>
      </c>
      <c r="D40009" s="21" t="s">
        <v>24820</v>
      </c>
      <c r="E40009" s="21" t="s">
        <v>35</v>
      </c>
      <c r="F40009">
        <v>8920025</v>
      </c>
      <c r="G40009" t="s">
        <v>159</v>
      </c>
      <c r="H40009" s="21">
        <v>655.67</v>
      </c>
    </row>
    <row r="40010" spans="1:8" customFormat="1" x14ac:dyDescent="0.25">
      <c r="A40010" t="str">
        <f>"852683"</f>
        <v>852683</v>
      </c>
      <c r="B40010" t="s">
        <v>2549</v>
      </c>
      <c r="C40010" t="s">
        <v>24883</v>
      </c>
      <c r="D40010" s="21" t="s">
        <v>24820</v>
      </c>
      <c r="E40010" s="21" t="s">
        <v>71</v>
      </c>
      <c r="F40010">
        <v>12850008</v>
      </c>
      <c r="G40010" t="s">
        <v>4248</v>
      </c>
      <c r="H40010" s="21">
        <v>655.16999999999996</v>
      </c>
    </row>
    <row r="40011" spans="1:8" customFormat="1" x14ac:dyDescent="0.25">
      <c r="A40011" t="str">
        <f>"9455165"</f>
        <v>9455165</v>
      </c>
      <c r="B40011" t="s">
        <v>16317</v>
      </c>
      <c r="C40011" t="s">
        <v>24947</v>
      </c>
      <c r="D40011" s="21" t="s">
        <v>24820</v>
      </c>
      <c r="E40011" s="21" t="s">
        <v>35</v>
      </c>
      <c r="F40011">
        <v>8940942</v>
      </c>
      <c r="G40011" t="s">
        <v>8505</v>
      </c>
      <c r="H40011" s="21">
        <v>654.91999999999996</v>
      </c>
    </row>
    <row r="40012" spans="1:8" customFormat="1" x14ac:dyDescent="0.25">
      <c r="A40012" t="str">
        <f>"3326681"</f>
        <v>3326681</v>
      </c>
      <c r="B40012" t="s">
        <v>25253</v>
      </c>
      <c r="C40012" t="s">
        <v>23734</v>
      </c>
      <c r="D40012" s="21" t="s">
        <v>24820</v>
      </c>
      <c r="E40012" s="21" t="s">
        <v>71</v>
      </c>
      <c r="F40012">
        <v>10330086</v>
      </c>
      <c r="G40012" t="s">
        <v>785</v>
      </c>
      <c r="H40012" s="21">
        <v>654.66999999999996</v>
      </c>
    </row>
    <row r="40013" spans="1:8" customFormat="1" x14ac:dyDescent="0.25">
      <c r="A40013" t="str">
        <f>"9D2159"</f>
        <v>9D2159</v>
      </c>
      <c r="B40013" t="s">
        <v>5926</v>
      </c>
      <c r="C40013" t="s">
        <v>22831</v>
      </c>
      <c r="D40013" s="21" t="s">
        <v>24820</v>
      </c>
      <c r="E40013" s="21" t="s">
        <v>71</v>
      </c>
      <c r="F40013" t="s">
        <v>3911</v>
      </c>
      <c r="G40013" t="s">
        <v>3912</v>
      </c>
      <c r="H40013" s="21">
        <v>654.66999999999996</v>
      </c>
    </row>
    <row r="40014" spans="1:8" customFormat="1" x14ac:dyDescent="0.25">
      <c r="A40014" t="str">
        <f>"7510996"</f>
        <v>7510996</v>
      </c>
      <c r="B40014" t="s">
        <v>21075</v>
      </c>
      <c r="C40014" t="s">
        <v>24897</v>
      </c>
      <c r="D40014" s="21" t="s">
        <v>24820</v>
      </c>
      <c r="E40014" s="21" t="s">
        <v>35</v>
      </c>
      <c r="F40014">
        <v>8921256</v>
      </c>
      <c r="G40014" t="s">
        <v>1038</v>
      </c>
      <c r="H40014" s="21">
        <v>654.66999999999996</v>
      </c>
    </row>
    <row r="40015" spans="1:8" customFormat="1" x14ac:dyDescent="0.25">
      <c r="A40015" t="str">
        <f>"4436530"</f>
        <v>4436530</v>
      </c>
      <c r="B40015" t="s">
        <v>3067</v>
      </c>
      <c r="C40015" t="s">
        <v>24958</v>
      </c>
      <c r="D40015" s="21" t="s">
        <v>24820</v>
      </c>
      <c r="E40015" s="21" t="s">
        <v>71</v>
      </c>
      <c r="F40015">
        <v>12440262</v>
      </c>
      <c r="G40015" t="s">
        <v>4590</v>
      </c>
      <c r="H40015" s="21">
        <v>654.41999999999996</v>
      </c>
    </row>
    <row r="40016" spans="1:8" customFormat="1" x14ac:dyDescent="0.25">
      <c r="A40016" t="str">
        <f>"5315276"</f>
        <v>5315276</v>
      </c>
      <c r="B40016" t="s">
        <v>25269</v>
      </c>
      <c r="C40016" t="s">
        <v>25234</v>
      </c>
      <c r="D40016" s="21" t="s">
        <v>24820</v>
      </c>
      <c r="E40016" s="21" t="s">
        <v>71</v>
      </c>
      <c r="F40016">
        <v>12530068</v>
      </c>
      <c r="G40016" t="s">
        <v>5165</v>
      </c>
      <c r="H40016" s="21">
        <v>654.16999999999996</v>
      </c>
    </row>
    <row r="40017" spans="1:8" customFormat="1" x14ac:dyDescent="0.25">
      <c r="A40017" t="str">
        <f>"3322075"</f>
        <v>3322075</v>
      </c>
      <c r="B40017" t="s">
        <v>25202</v>
      </c>
      <c r="C40017" t="s">
        <v>263</v>
      </c>
      <c r="D40017" s="21" t="s">
        <v>24820</v>
      </c>
      <c r="E40017" s="21" t="s">
        <v>71</v>
      </c>
      <c r="F40017">
        <v>10330084</v>
      </c>
      <c r="G40017" t="s">
        <v>1124</v>
      </c>
      <c r="H40017" s="21">
        <v>653.91999999999996</v>
      </c>
    </row>
    <row r="40018" spans="1:8" customFormat="1" x14ac:dyDescent="0.25">
      <c r="A40018" t="str">
        <f>"62619"</f>
        <v>62619</v>
      </c>
      <c r="B40018" t="s">
        <v>13019</v>
      </c>
      <c r="C40018" t="s">
        <v>25144</v>
      </c>
      <c r="D40018" s="21" t="s">
        <v>24820</v>
      </c>
      <c r="E40018" s="21" t="s">
        <v>35</v>
      </c>
      <c r="F40018">
        <v>1260026</v>
      </c>
      <c r="G40018" t="s">
        <v>516</v>
      </c>
      <c r="H40018" s="21">
        <v>653.66999999999996</v>
      </c>
    </row>
    <row r="40019" spans="1:8" customFormat="1" x14ac:dyDescent="0.25">
      <c r="A40019" t="str">
        <f>"2938662"</f>
        <v>2938662</v>
      </c>
      <c r="B40019" t="s">
        <v>25457</v>
      </c>
      <c r="C40019" t="s">
        <v>25458</v>
      </c>
      <c r="D40019" s="21" t="s">
        <v>24820</v>
      </c>
      <c r="E40019" s="21" t="s">
        <v>35</v>
      </c>
      <c r="F40019">
        <v>3290277</v>
      </c>
      <c r="G40019" t="s">
        <v>1671</v>
      </c>
      <c r="H40019" s="21">
        <v>653.16999999999996</v>
      </c>
    </row>
    <row r="40020" spans="1:8" customFormat="1" x14ac:dyDescent="0.25">
      <c r="A40020" t="str">
        <f>"9434538"</f>
        <v>9434538</v>
      </c>
      <c r="B40020" t="s">
        <v>8895</v>
      </c>
      <c r="C40020" t="s">
        <v>24988</v>
      </c>
      <c r="D40020" s="21" t="s">
        <v>24820</v>
      </c>
      <c r="E40020" s="21" t="s">
        <v>71</v>
      </c>
      <c r="F40020">
        <v>8940459</v>
      </c>
      <c r="G40020" t="s">
        <v>743</v>
      </c>
      <c r="H40020" s="21">
        <v>653.04</v>
      </c>
    </row>
    <row r="40021" spans="1:8" customFormat="1" x14ac:dyDescent="0.25">
      <c r="A40021" t="str">
        <f>"64151"</f>
        <v>64151</v>
      </c>
      <c r="B40021" t="s">
        <v>4128</v>
      </c>
      <c r="C40021" t="s">
        <v>24851</v>
      </c>
      <c r="D40021" s="21" t="s">
        <v>24820</v>
      </c>
      <c r="E40021" s="21" t="s">
        <v>1089</v>
      </c>
      <c r="F40021">
        <v>10330043</v>
      </c>
      <c r="G40021" t="s">
        <v>1703</v>
      </c>
      <c r="H40021" s="21">
        <v>652.66999999999996</v>
      </c>
    </row>
    <row r="40022" spans="1:8" customFormat="1" x14ac:dyDescent="0.25">
      <c r="A40022" t="str">
        <f>"813632"</f>
        <v>813632</v>
      </c>
      <c r="B40022" t="s">
        <v>6309</v>
      </c>
      <c r="C40022" t="s">
        <v>24869</v>
      </c>
      <c r="D40022" s="21" t="s">
        <v>24820</v>
      </c>
      <c r="E40022" s="21" t="s">
        <v>35</v>
      </c>
      <c r="F40022">
        <v>11810030</v>
      </c>
      <c r="G40022" t="s">
        <v>27055</v>
      </c>
      <c r="H40022" s="21">
        <v>652.66999999999996</v>
      </c>
    </row>
    <row r="40023" spans="1:8" customFormat="1" x14ac:dyDescent="0.25">
      <c r="A40023" t="str">
        <f>"634071"</f>
        <v>634071</v>
      </c>
      <c r="B40023" t="s">
        <v>3334</v>
      </c>
      <c r="C40023" t="s">
        <v>24900</v>
      </c>
      <c r="D40023" s="21" t="s">
        <v>24820</v>
      </c>
      <c r="E40023" s="21" t="s">
        <v>254</v>
      </c>
      <c r="F40023">
        <v>1630005</v>
      </c>
      <c r="G40023" t="s">
        <v>8825</v>
      </c>
      <c r="H40023" s="21">
        <v>651.66999999999996</v>
      </c>
    </row>
    <row r="40024" spans="1:8" customFormat="1" x14ac:dyDescent="0.25">
      <c r="A40024" t="str">
        <f>"8512161"</f>
        <v>8512161</v>
      </c>
      <c r="B40024" t="s">
        <v>19821</v>
      </c>
      <c r="C40024" t="s">
        <v>24883</v>
      </c>
      <c r="D40024" s="21" t="s">
        <v>24820</v>
      </c>
      <c r="E40024" s="21" t="s">
        <v>35</v>
      </c>
      <c r="F40024">
        <v>12850162</v>
      </c>
      <c r="G40024" t="s">
        <v>15095</v>
      </c>
      <c r="H40024" s="21">
        <v>651.66999999999996</v>
      </c>
    </row>
    <row r="40025" spans="1:8" customFormat="1" x14ac:dyDescent="0.25">
      <c r="A40025" t="str">
        <f>"5926360"</f>
        <v>5926360</v>
      </c>
      <c r="B40025" t="s">
        <v>7512</v>
      </c>
      <c r="C40025" t="s">
        <v>25053</v>
      </c>
      <c r="D40025" s="21" t="s">
        <v>24820</v>
      </c>
      <c r="E40025" s="21" t="s">
        <v>71</v>
      </c>
      <c r="F40025">
        <v>7590244</v>
      </c>
      <c r="G40025" t="s">
        <v>5768</v>
      </c>
      <c r="H40025" s="21">
        <v>651.16999999999996</v>
      </c>
    </row>
    <row r="40026" spans="1:8" customFormat="1" x14ac:dyDescent="0.25">
      <c r="A40026" t="str">
        <f>"3323754"</f>
        <v>3323754</v>
      </c>
      <c r="B40026" t="s">
        <v>5272</v>
      </c>
      <c r="C40026" t="s">
        <v>25512</v>
      </c>
      <c r="D40026" s="21" t="s">
        <v>24820</v>
      </c>
      <c r="E40026" s="21" t="s">
        <v>71</v>
      </c>
      <c r="F40026">
        <v>10330067</v>
      </c>
      <c r="G40026" t="s">
        <v>125</v>
      </c>
      <c r="H40026" s="21">
        <v>650.41999999999996</v>
      </c>
    </row>
    <row r="40027" spans="1:8" customFormat="1" x14ac:dyDescent="0.25">
      <c r="A40027" t="str">
        <f>"9519536"</f>
        <v>9519536</v>
      </c>
      <c r="B40027" t="s">
        <v>25303</v>
      </c>
      <c r="C40027" t="s">
        <v>24968</v>
      </c>
      <c r="D40027" s="21" t="s">
        <v>24820</v>
      </c>
      <c r="E40027" s="21" t="s">
        <v>71</v>
      </c>
      <c r="F40027">
        <v>8780571</v>
      </c>
      <c r="G40027" t="s">
        <v>2336</v>
      </c>
      <c r="H40027" s="21">
        <v>650.16999999999996</v>
      </c>
    </row>
    <row r="40028" spans="1:8" customFormat="1" x14ac:dyDescent="0.25">
      <c r="A40028" t="str">
        <f>"757120"</f>
        <v>757120</v>
      </c>
      <c r="B40028" t="s">
        <v>25429</v>
      </c>
      <c r="C40028" t="s">
        <v>25430</v>
      </c>
      <c r="D40028" s="21" t="s">
        <v>24820</v>
      </c>
      <c r="E40028" s="21" t="s">
        <v>71</v>
      </c>
      <c r="F40028">
        <v>11460029</v>
      </c>
      <c r="G40028" t="s">
        <v>10606</v>
      </c>
      <c r="H40028" s="21">
        <v>650.16999999999996</v>
      </c>
    </row>
    <row r="40029" spans="1:8" customFormat="1" x14ac:dyDescent="0.25">
      <c r="A40029" t="str">
        <f>"7525210"</f>
        <v>7525210</v>
      </c>
      <c r="B40029" t="s">
        <v>29773</v>
      </c>
      <c r="C40029" t="s">
        <v>24867</v>
      </c>
      <c r="D40029" s="21" t="s">
        <v>24820</v>
      </c>
      <c r="E40029" s="21" t="s">
        <v>254</v>
      </c>
      <c r="F40029">
        <v>8751124</v>
      </c>
      <c r="G40029" t="s">
        <v>1481</v>
      </c>
      <c r="H40029" s="21">
        <v>650</v>
      </c>
    </row>
    <row r="40030" spans="1:8" customFormat="1" x14ac:dyDescent="0.25">
      <c r="A40030" t="str">
        <f>"5315444"</f>
        <v>5315444</v>
      </c>
      <c r="B40030" t="s">
        <v>7700</v>
      </c>
      <c r="C40030" t="s">
        <v>25011</v>
      </c>
      <c r="D40030" s="21" t="s">
        <v>24820</v>
      </c>
      <c r="E40030" s="21" t="s">
        <v>71</v>
      </c>
      <c r="F40030">
        <v>12530078</v>
      </c>
      <c r="G40030" t="s">
        <v>3677</v>
      </c>
      <c r="H40030" s="21">
        <v>649.91999999999996</v>
      </c>
    </row>
    <row r="40031" spans="1:8" customFormat="1" x14ac:dyDescent="0.25">
      <c r="A40031" t="str">
        <f>"6948539"</f>
        <v>6948539</v>
      </c>
      <c r="B40031" t="s">
        <v>25657</v>
      </c>
      <c r="C40031" t="s">
        <v>24924</v>
      </c>
      <c r="D40031" s="21" t="s">
        <v>24820</v>
      </c>
      <c r="E40031" s="21" t="s">
        <v>254</v>
      </c>
      <c r="F40031">
        <v>1690052</v>
      </c>
      <c r="G40031" t="s">
        <v>273</v>
      </c>
      <c r="H40031" s="21">
        <v>649.66999999999996</v>
      </c>
    </row>
    <row r="40032" spans="1:8" customFormat="1" x14ac:dyDescent="0.25">
      <c r="A40032" t="str">
        <f>"615504"</f>
        <v>615504</v>
      </c>
      <c r="B40032" t="s">
        <v>25255</v>
      </c>
      <c r="C40032" t="s">
        <v>25256</v>
      </c>
      <c r="D40032" s="21" t="s">
        <v>24820</v>
      </c>
      <c r="E40032" s="21" t="s">
        <v>35</v>
      </c>
      <c r="F40032">
        <v>9610087</v>
      </c>
      <c r="G40032" t="s">
        <v>2661</v>
      </c>
      <c r="H40032" s="21">
        <v>649.16999999999996</v>
      </c>
    </row>
    <row r="40033" spans="1:8" customFormat="1" x14ac:dyDescent="0.25">
      <c r="A40033" t="str">
        <f>"6725819"</f>
        <v>6725819</v>
      </c>
      <c r="B40033" t="s">
        <v>25438</v>
      </c>
      <c r="C40033" t="s">
        <v>24824</v>
      </c>
      <c r="D40033" s="21" t="s">
        <v>24820</v>
      </c>
      <c r="E40033" s="21" t="s">
        <v>71</v>
      </c>
      <c r="F40033">
        <v>6670045</v>
      </c>
      <c r="G40033" t="s">
        <v>707</v>
      </c>
      <c r="H40033" s="21">
        <v>648.66999999999996</v>
      </c>
    </row>
    <row r="40034" spans="1:8" customFormat="1" x14ac:dyDescent="0.25">
      <c r="A40034" t="str">
        <f>"6225480"</f>
        <v>6225480</v>
      </c>
      <c r="B40034" t="s">
        <v>5150</v>
      </c>
      <c r="C40034" t="s">
        <v>25157</v>
      </c>
      <c r="D40034" s="21" t="s">
        <v>24820</v>
      </c>
      <c r="E40034" s="21" t="s">
        <v>71</v>
      </c>
      <c r="F40034">
        <v>7620017</v>
      </c>
      <c r="G40034" t="s">
        <v>6559</v>
      </c>
      <c r="H40034" s="21">
        <v>648.66999999999996</v>
      </c>
    </row>
    <row r="40035" spans="1:8" customFormat="1" x14ac:dyDescent="0.25">
      <c r="A40035" t="str">
        <f>"63474"</f>
        <v>63474</v>
      </c>
      <c r="B40035" t="s">
        <v>357</v>
      </c>
      <c r="C40035" t="s">
        <v>25223</v>
      </c>
      <c r="D40035" s="21" t="s">
        <v>24820</v>
      </c>
      <c r="E40035" s="21" t="s">
        <v>254</v>
      </c>
      <c r="F40035">
        <v>1630078</v>
      </c>
      <c r="G40035" t="s">
        <v>326</v>
      </c>
      <c r="H40035" s="21">
        <v>648.16999999999996</v>
      </c>
    </row>
    <row r="40036" spans="1:8" customFormat="1" x14ac:dyDescent="0.25">
      <c r="A40036" t="str">
        <f>"3311893"</f>
        <v>3311893</v>
      </c>
      <c r="B40036" t="s">
        <v>25312</v>
      </c>
      <c r="C40036" t="s">
        <v>25313</v>
      </c>
      <c r="D40036" s="21" t="s">
        <v>24820</v>
      </c>
      <c r="E40036" s="21" t="s">
        <v>71</v>
      </c>
      <c r="F40036">
        <v>10330125</v>
      </c>
      <c r="G40036" t="s">
        <v>3753</v>
      </c>
      <c r="H40036" s="21">
        <v>648.16999999999996</v>
      </c>
    </row>
    <row r="40037" spans="1:8" customFormat="1" x14ac:dyDescent="0.25">
      <c r="A40037" t="str">
        <f>"3338236"</f>
        <v>3338236</v>
      </c>
      <c r="B40037" t="s">
        <v>25456</v>
      </c>
      <c r="C40037" t="s">
        <v>24893</v>
      </c>
      <c r="D40037" s="21" t="s">
        <v>24820</v>
      </c>
      <c r="E40037" s="21" t="s">
        <v>71</v>
      </c>
      <c r="F40037">
        <v>10400013</v>
      </c>
      <c r="G40037" t="s">
        <v>6238</v>
      </c>
      <c r="H40037" s="21">
        <v>647.91999999999996</v>
      </c>
    </row>
    <row r="40038" spans="1:8" customFormat="1" x14ac:dyDescent="0.25">
      <c r="A40038" t="str">
        <f>"334109"</f>
        <v>334109</v>
      </c>
      <c r="B40038" t="s">
        <v>6120</v>
      </c>
      <c r="C40038" t="s">
        <v>23734</v>
      </c>
      <c r="D40038" s="21" t="s">
        <v>24820</v>
      </c>
      <c r="E40038" s="21" t="s">
        <v>71</v>
      </c>
      <c r="F40038">
        <v>10330074</v>
      </c>
      <c r="G40038" t="s">
        <v>12024</v>
      </c>
      <c r="H40038" s="21">
        <v>647.79</v>
      </c>
    </row>
    <row r="40039" spans="1:8" customFormat="1" x14ac:dyDescent="0.25">
      <c r="A40039" t="str">
        <f>"9417844"</f>
        <v>9417844</v>
      </c>
      <c r="B40039" t="s">
        <v>7809</v>
      </c>
      <c r="C40039" t="s">
        <v>25371</v>
      </c>
      <c r="D40039" s="21" t="s">
        <v>24820</v>
      </c>
      <c r="E40039" s="21" t="s">
        <v>254</v>
      </c>
      <c r="F40039">
        <v>8940448</v>
      </c>
      <c r="G40039" t="s">
        <v>1691</v>
      </c>
      <c r="H40039" s="21">
        <v>647.54</v>
      </c>
    </row>
    <row r="40040" spans="1:8" customFormat="1" x14ac:dyDescent="0.25">
      <c r="A40040" t="str">
        <f>"616413"</f>
        <v>616413</v>
      </c>
      <c r="B40040" t="s">
        <v>13081</v>
      </c>
      <c r="C40040" t="s">
        <v>25260</v>
      </c>
      <c r="D40040" s="21" t="s">
        <v>24820</v>
      </c>
      <c r="E40040" s="21" t="s">
        <v>71</v>
      </c>
      <c r="F40040">
        <v>9610123</v>
      </c>
      <c r="G40040" t="s">
        <v>10458</v>
      </c>
      <c r="H40040" s="21">
        <v>647.16999999999996</v>
      </c>
    </row>
    <row r="40041" spans="1:8" customFormat="1" x14ac:dyDescent="0.25">
      <c r="A40041" t="str">
        <f>"9245790"</f>
        <v>9245790</v>
      </c>
      <c r="B40041" t="s">
        <v>25541</v>
      </c>
      <c r="C40041" t="s">
        <v>25088</v>
      </c>
      <c r="D40041" s="21" t="s">
        <v>24820</v>
      </c>
      <c r="E40041" s="21" t="s">
        <v>71</v>
      </c>
      <c r="F40041">
        <v>8920312</v>
      </c>
      <c r="G40041" t="s">
        <v>1026</v>
      </c>
      <c r="H40041" s="21">
        <v>647.04</v>
      </c>
    </row>
    <row r="40042" spans="1:8" customFormat="1" x14ac:dyDescent="0.25">
      <c r="A40042" t="str">
        <f>"794099"</f>
        <v>794099</v>
      </c>
      <c r="B40042" t="s">
        <v>21587</v>
      </c>
      <c r="C40042" t="s">
        <v>24857</v>
      </c>
      <c r="D40042" s="21" t="s">
        <v>24820</v>
      </c>
      <c r="E40042" s="21" t="s">
        <v>35</v>
      </c>
      <c r="F40042">
        <v>10790150</v>
      </c>
      <c r="G40042" t="s">
        <v>6205</v>
      </c>
      <c r="H40042" s="21">
        <v>646.66999999999996</v>
      </c>
    </row>
    <row r="40043" spans="1:8" customFormat="1" x14ac:dyDescent="0.25">
      <c r="A40043" t="str">
        <f>"6934311"</f>
        <v>6934311</v>
      </c>
      <c r="B40043" t="s">
        <v>29774</v>
      </c>
      <c r="C40043" t="s">
        <v>23734</v>
      </c>
      <c r="D40043" s="21" t="s">
        <v>24820</v>
      </c>
      <c r="E40043" s="21" t="s">
        <v>71</v>
      </c>
      <c r="F40043">
        <v>1690194</v>
      </c>
      <c r="G40043" t="s">
        <v>5285</v>
      </c>
      <c r="H40043" s="21">
        <v>646.66999999999996</v>
      </c>
    </row>
    <row r="40044" spans="1:8" customFormat="1" x14ac:dyDescent="0.25">
      <c r="A40044" t="str">
        <f>"6933222"</f>
        <v>6933222</v>
      </c>
      <c r="B40044" t="s">
        <v>25321</v>
      </c>
      <c r="C40044" t="s">
        <v>24833</v>
      </c>
      <c r="D40044" s="21" t="s">
        <v>24820</v>
      </c>
      <c r="E40044" s="21" t="s">
        <v>35</v>
      </c>
      <c r="F40044">
        <v>1690192</v>
      </c>
      <c r="G40044" t="s">
        <v>3578</v>
      </c>
      <c r="H40044" s="21">
        <v>646.66999999999996</v>
      </c>
    </row>
    <row r="40045" spans="1:8" customFormat="1" x14ac:dyDescent="0.25">
      <c r="A40045" t="str">
        <f>"7623339"</f>
        <v>7623339</v>
      </c>
      <c r="B40045" t="s">
        <v>8784</v>
      </c>
      <c r="C40045" t="s">
        <v>24897</v>
      </c>
      <c r="D40045" s="21" t="s">
        <v>24820</v>
      </c>
      <c r="E40045" s="21" t="s">
        <v>71</v>
      </c>
      <c r="F40045">
        <v>9760070</v>
      </c>
      <c r="G40045" t="s">
        <v>6226</v>
      </c>
      <c r="H40045" s="21">
        <v>645.66999999999996</v>
      </c>
    </row>
    <row r="40046" spans="1:8" customFormat="1" x14ac:dyDescent="0.25">
      <c r="A40046" t="str">
        <f>"847482"</f>
        <v>847482</v>
      </c>
      <c r="B40046" t="s">
        <v>25351</v>
      </c>
      <c r="C40046" t="s">
        <v>25313</v>
      </c>
      <c r="D40046" s="21" t="s">
        <v>24820</v>
      </c>
      <c r="E40046" s="21" t="s">
        <v>71</v>
      </c>
      <c r="F40046">
        <v>13840062</v>
      </c>
      <c r="G40046" t="s">
        <v>17239</v>
      </c>
      <c r="H40046" s="21">
        <v>645.16999999999996</v>
      </c>
    </row>
    <row r="40047" spans="1:8" customFormat="1" x14ac:dyDescent="0.25">
      <c r="A40047" t="str">
        <f>"9413757"</f>
        <v>9413757</v>
      </c>
      <c r="B40047" t="s">
        <v>17708</v>
      </c>
      <c r="C40047" t="s">
        <v>24863</v>
      </c>
      <c r="D40047" s="21" t="s">
        <v>24820</v>
      </c>
      <c r="E40047" s="21" t="s">
        <v>71</v>
      </c>
      <c r="F40047">
        <v>8940448</v>
      </c>
      <c r="G40047" t="s">
        <v>1691</v>
      </c>
      <c r="H40047" s="21">
        <v>644.66999999999996</v>
      </c>
    </row>
    <row r="40048" spans="1:8" customFormat="1" x14ac:dyDescent="0.25">
      <c r="A40048" t="str">
        <f>"548971"</f>
        <v>548971</v>
      </c>
      <c r="B40048" t="s">
        <v>3442</v>
      </c>
      <c r="C40048" t="s">
        <v>24884</v>
      </c>
      <c r="D40048" s="21" t="s">
        <v>24820</v>
      </c>
      <c r="E40048" s="21" t="s">
        <v>35</v>
      </c>
      <c r="F40048">
        <v>6880119</v>
      </c>
      <c r="G40048" t="s">
        <v>3443</v>
      </c>
      <c r="H40048" s="21">
        <v>644.41999999999996</v>
      </c>
    </row>
    <row r="40049" spans="1:8" customFormat="1" x14ac:dyDescent="0.25">
      <c r="A40049" t="str">
        <f>"606582"</f>
        <v>606582</v>
      </c>
      <c r="B40049" t="s">
        <v>7773</v>
      </c>
      <c r="C40049" t="s">
        <v>24833</v>
      </c>
      <c r="D40049" s="21" t="s">
        <v>24820</v>
      </c>
      <c r="E40049" s="21" t="s">
        <v>71</v>
      </c>
      <c r="F40049">
        <v>7600040</v>
      </c>
      <c r="G40049" t="s">
        <v>6757</v>
      </c>
      <c r="H40049" s="21">
        <v>644.16999999999996</v>
      </c>
    </row>
    <row r="40050" spans="1:8" customFormat="1" x14ac:dyDescent="0.25">
      <c r="A40050" t="str">
        <f>"2510959"</f>
        <v>2510959</v>
      </c>
      <c r="B40050" t="s">
        <v>25359</v>
      </c>
      <c r="C40050" t="s">
        <v>24833</v>
      </c>
      <c r="D40050" s="21" t="s">
        <v>24820</v>
      </c>
      <c r="E40050" s="21" t="s">
        <v>35</v>
      </c>
      <c r="F40050">
        <v>2250151</v>
      </c>
      <c r="G40050" t="s">
        <v>7964</v>
      </c>
      <c r="H40050" s="21">
        <v>644.16999999999996</v>
      </c>
    </row>
    <row r="40051" spans="1:8" customFormat="1" x14ac:dyDescent="0.25">
      <c r="A40051" t="str">
        <f>"0211828"</f>
        <v>0211828</v>
      </c>
      <c r="B40051" t="s">
        <v>25411</v>
      </c>
      <c r="C40051" t="s">
        <v>22831</v>
      </c>
      <c r="D40051" s="21" t="s">
        <v>24820</v>
      </c>
      <c r="E40051" s="21" t="s">
        <v>35</v>
      </c>
      <c r="F40051">
        <v>7020044</v>
      </c>
      <c r="G40051" t="s">
        <v>4690</v>
      </c>
      <c r="H40051" s="21">
        <v>644.04</v>
      </c>
    </row>
    <row r="40052" spans="1:8" customFormat="1" x14ac:dyDescent="0.25">
      <c r="A40052" t="str">
        <f>"09927"</f>
        <v>09927</v>
      </c>
      <c r="B40052" t="s">
        <v>25298</v>
      </c>
      <c r="C40052" t="s">
        <v>23734</v>
      </c>
      <c r="D40052" s="21" t="s">
        <v>24820</v>
      </c>
      <c r="E40052" s="21" t="s">
        <v>35</v>
      </c>
      <c r="F40052">
        <v>11090014</v>
      </c>
      <c r="G40052" t="s">
        <v>9140</v>
      </c>
      <c r="H40052" s="21">
        <v>644.04</v>
      </c>
    </row>
    <row r="40053" spans="1:8" customFormat="1" x14ac:dyDescent="0.25">
      <c r="A40053" t="str">
        <f>"79902"</f>
        <v>79902</v>
      </c>
      <c r="B40053" t="s">
        <v>25231</v>
      </c>
      <c r="C40053" t="s">
        <v>25232</v>
      </c>
      <c r="D40053" s="21" t="s">
        <v>24820</v>
      </c>
      <c r="E40053" s="21" t="s">
        <v>254</v>
      </c>
      <c r="F40053">
        <v>10790235</v>
      </c>
      <c r="G40053" t="s">
        <v>413</v>
      </c>
      <c r="H40053" s="21">
        <v>643.66999999999996</v>
      </c>
    </row>
    <row r="40054" spans="1:8" customFormat="1" x14ac:dyDescent="0.25">
      <c r="A40054" t="str">
        <f>"7812178"</f>
        <v>7812178</v>
      </c>
      <c r="B40054" t="s">
        <v>3587</v>
      </c>
      <c r="C40054" t="s">
        <v>25370</v>
      </c>
      <c r="D40054" s="21" t="s">
        <v>24820</v>
      </c>
      <c r="E40054" s="21" t="s">
        <v>35</v>
      </c>
      <c r="F40054">
        <v>8780935</v>
      </c>
      <c r="G40054" t="s">
        <v>1944</v>
      </c>
      <c r="H40054" s="21">
        <v>643.66999999999996</v>
      </c>
    </row>
    <row r="40055" spans="1:8" customFormat="1" x14ac:dyDescent="0.25">
      <c r="A40055" t="str">
        <f>"5019908"</f>
        <v>5019908</v>
      </c>
      <c r="B40055" t="s">
        <v>203</v>
      </c>
      <c r="C40055" t="s">
        <v>23734</v>
      </c>
      <c r="D40055" s="21" t="s">
        <v>24820</v>
      </c>
      <c r="E40055" s="21" t="s">
        <v>71</v>
      </c>
      <c r="F40055">
        <v>9500162</v>
      </c>
      <c r="G40055" t="s">
        <v>11252</v>
      </c>
      <c r="H40055" s="21">
        <v>643.66999999999996</v>
      </c>
    </row>
    <row r="40056" spans="1:8" customFormat="1" x14ac:dyDescent="0.25">
      <c r="A40056" t="str">
        <f>"7840441"</f>
        <v>7840441</v>
      </c>
      <c r="B40056" t="s">
        <v>25419</v>
      </c>
      <c r="C40056" t="s">
        <v>25420</v>
      </c>
      <c r="D40056" s="21" t="s">
        <v>24820</v>
      </c>
      <c r="E40056" s="21" t="s">
        <v>71</v>
      </c>
      <c r="F40056">
        <v>8780571</v>
      </c>
      <c r="G40056" t="s">
        <v>2336</v>
      </c>
      <c r="H40056" s="21">
        <v>643.29</v>
      </c>
    </row>
    <row r="40057" spans="1:8" customFormat="1" x14ac:dyDescent="0.25">
      <c r="A40057" t="str">
        <f>"375403"</f>
        <v>375403</v>
      </c>
      <c r="B40057" t="s">
        <v>28844</v>
      </c>
      <c r="C40057" t="s">
        <v>24968</v>
      </c>
      <c r="D40057" s="21" t="s">
        <v>24820</v>
      </c>
      <c r="E40057" s="21" t="s">
        <v>35</v>
      </c>
      <c r="F40057">
        <v>7590017</v>
      </c>
      <c r="G40057" t="s">
        <v>1316</v>
      </c>
      <c r="H40057" s="21">
        <v>643.16999999999996</v>
      </c>
    </row>
    <row r="40058" spans="1:8" customFormat="1" x14ac:dyDescent="0.25">
      <c r="A40058" t="str">
        <f>"6812597"</f>
        <v>6812597</v>
      </c>
      <c r="B40058" t="s">
        <v>25307</v>
      </c>
      <c r="C40058" t="s">
        <v>24958</v>
      </c>
      <c r="D40058" s="21" t="s">
        <v>24820</v>
      </c>
      <c r="E40058" s="21" t="s">
        <v>71</v>
      </c>
      <c r="F40058">
        <v>6680011</v>
      </c>
      <c r="G40058" t="s">
        <v>1524</v>
      </c>
      <c r="H40058" s="21">
        <v>643.16999999999996</v>
      </c>
    </row>
    <row r="40059" spans="1:8" customFormat="1" x14ac:dyDescent="0.25">
      <c r="A40059" t="str">
        <f>"608732"</f>
        <v>608732</v>
      </c>
      <c r="B40059" t="s">
        <v>15443</v>
      </c>
      <c r="C40059" t="s">
        <v>25252</v>
      </c>
      <c r="D40059" s="21" t="s">
        <v>24820</v>
      </c>
      <c r="E40059" s="21" t="s">
        <v>254</v>
      </c>
      <c r="F40059">
        <v>8950570</v>
      </c>
      <c r="G40059" t="s">
        <v>3226</v>
      </c>
      <c r="H40059" s="21">
        <v>643.16999999999996</v>
      </c>
    </row>
    <row r="40060" spans="1:8" customFormat="1" x14ac:dyDescent="0.25">
      <c r="A40060" t="str">
        <f>"394550"</f>
        <v>394550</v>
      </c>
      <c r="B40060" t="s">
        <v>630</v>
      </c>
      <c r="C40060" t="s">
        <v>24881</v>
      </c>
      <c r="D40060" s="21" t="s">
        <v>24820</v>
      </c>
      <c r="E40060" s="21" t="s">
        <v>71</v>
      </c>
      <c r="F40060">
        <v>2390002</v>
      </c>
      <c r="G40060" t="s">
        <v>9132</v>
      </c>
      <c r="H40060" s="21">
        <v>642.66999999999996</v>
      </c>
    </row>
    <row r="40061" spans="1:8" customFormat="1" x14ac:dyDescent="0.25">
      <c r="A40061" t="str">
        <f>"4453902"</f>
        <v>4453902</v>
      </c>
      <c r="B40061" t="s">
        <v>4837</v>
      </c>
      <c r="C40061" t="s">
        <v>22831</v>
      </c>
      <c r="D40061" s="21" t="s">
        <v>24820</v>
      </c>
      <c r="E40061" s="21" t="s">
        <v>71</v>
      </c>
      <c r="F40061">
        <v>12440270</v>
      </c>
      <c r="G40061" t="s">
        <v>19237</v>
      </c>
      <c r="H40061" s="21">
        <v>642.16999999999996</v>
      </c>
    </row>
    <row r="40062" spans="1:8" customFormat="1" x14ac:dyDescent="0.25">
      <c r="A40062" t="str">
        <f>"5975323"</f>
        <v>5975323</v>
      </c>
      <c r="B40062" t="s">
        <v>12880</v>
      </c>
      <c r="C40062" t="s">
        <v>25015</v>
      </c>
      <c r="D40062" s="21" t="s">
        <v>24820</v>
      </c>
      <c r="E40062" s="21" t="s">
        <v>35</v>
      </c>
      <c r="F40062">
        <v>7590218</v>
      </c>
      <c r="G40062" t="s">
        <v>26769</v>
      </c>
      <c r="H40062" s="21">
        <v>642.16999999999996</v>
      </c>
    </row>
    <row r="40063" spans="1:8" customFormat="1" x14ac:dyDescent="0.25">
      <c r="A40063" t="str">
        <f>"8528204"</f>
        <v>8528204</v>
      </c>
      <c r="B40063" t="s">
        <v>6729</v>
      </c>
      <c r="C40063" t="s">
        <v>24854</v>
      </c>
      <c r="D40063" s="21" t="s">
        <v>24820</v>
      </c>
      <c r="E40063" s="21" t="s">
        <v>35</v>
      </c>
      <c r="F40063">
        <v>12850020</v>
      </c>
      <c r="G40063" t="s">
        <v>725</v>
      </c>
      <c r="H40063" s="21">
        <v>642.16999999999996</v>
      </c>
    </row>
    <row r="40064" spans="1:8" customFormat="1" x14ac:dyDescent="0.25">
      <c r="A40064" t="str">
        <f>"3419133"</f>
        <v>3419133</v>
      </c>
      <c r="B40064" t="s">
        <v>25477</v>
      </c>
      <c r="C40064" t="s">
        <v>24897</v>
      </c>
      <c r="D40064" s="21" t="s">
        <v>24820</v>
      </c>
      <c r="E40064" s="21" t="s">
        <v>71</v>
      </c>
      <c r="F40064">
        <v>11340007</v>
      </c>
      <c r="G40064" t="s">
        <v>2278</v>
      </c>
      <c r="H40064" s="21">
        <v>641.91999999999996</v>
      </c>
    </row>
    <row r="40065" spans="1:8" customFormat="1" x14ac:dyDescent="0.25">
      <c r="A40065" t="str">
        <f>"895931"</f>
        <v>895931</v>
      </c>
      <c r="B40065" t="s">
        <v>25319</v>
      </c>
      <c r="C40065" t="s">
        <v>25008</v>
      </c>
      <c r="D40065" s="21" t="s">
        <v>24820</v>
      </c>
      <c r="E40065" s="21" t="s">
        <v>71</v>
      </c>
      <c r="F40065">
        <v>2890057</v>
      </c>
      <c r="G40065" t="s">
        <v>21398</v>
      </c>
      <c r="H40065" s="21">
        <v>641.66999999999996</v>
      </c>
    </row>
    <row r="40066" spans="1:8" customFormat="1" x14ac:dyDescent="0.25">
      <c r="A40066" t="str">
        <f>"7622266"</f>
        <v>7622266</v>
      </c>
      <c r="B40066" t="s">
        <v>25399</v>
      </c>
      <c r="C40066" t="s">
        <v>24931</v>
      </c>
      <c r="D40066" s="21" t="s">
        <v>24820</v>
      </c>
      <c r="E40066" s="21" t="s">
        <v>254</v>
      </c>
      <c r="F40066">
        <v>9760018</v>
      </c>
      <c r="G40066" t="s">
        <v>117</v>
      </c>
      <c r="H40066" s="21">
        <v>641.66999999999996</v>
      </c>
    </row>
    <row r="40067" spans="1:8" customFormat="1" x14ac:dyDescent="0.25">
      <c r="A40067" t="str">
        <f>"5324854"</f>
        <v>5324854</v>
      </c>
      <c r="B40067" t="s">
        <v>25376</v>
      </c>
      <c r="C40067" t="s">
        <v>22831</v>
      </c>
      <c r="D40067" s="21" t="s">
        <v>24820</v>
      </c>
      <c r="E40067" s="21" t="s">
        <v>35</v>
      </c>
      <c r="F40067">
        <v>12530017</v>
      </c>
      <c r="G40067" t="s">
        <v>307</v>
      </c>
      <c r="H40067" s="21">
        <v>640.66999999999996</v>
      </c>
    </row>
    <row r="40068" spans="1:8" customFormat="1" x14ac:dyDescent="0.25">
      <c r="A40068" t="str">
        <f>"2211822"</f>
        <v>2211822</v>
      </c>
      <c r="B40068" t="s">
        <v>6644</v>
      </c>
      <c r="C40068" t="s">
        <v>25274</v>
      </c>
      <c r="D40068" s="21" t="s">
        <v>24820</v>
      </c>
      <c r="E40068" s="21" t="s">
        <v>71</v>
      </c>
      <c r="F40068">
        <v>3220139</v>
      </c>
      <c r="G40068" t="s">
        <v>27114</v>
      </c>
      <c r="H40068" s="21">
        <v>640.66999999999996</v>
      </c>
    </row>
    <row r="40069" spans="1:8" customFormat="1" x14ac:dyDescent="0.25">
      <c r="A40069" t="str">
        <f>"54218"</f>
        <v>54218</v>
      </c>
      <c r="B40069" t="s">
        <v>12291</v>
      </c>
      <c r="C40069" t="s">
        <v>25252</v>
      </c>
      <c r="D40069" s="21" t="s">
        <v>24820</v>
      </c>
      <c r="E40069" s="21" t="s">
        <v>254</v>
      </c>
      <c r="F40069">
        <v>6540011</v>
      </c>
      <c r="G40069" t="s">
        <v>6084</v>
      </c>
      <c r="H40069" s="21">
        <v>640.66999999999996</v>
      </c>
    </row>
    <row r="40070" spans="1:8" customFormat="1" x14ac:dyDescent="0.25">
      <c r="A40070" t="str">
        <f>"2210431"</f>
        <v>2210431</v>
      </c>
      <c r="B40070" t="s">
        <v>3847</v>
      </c>
      <c r="C40070" t="s">
        <v>24865</v>
      </c>
      <c r="D40070" s="21" t="s">
        <v>24820</v>
      </c>
      <c r="E40070" s="21" t="s">
        <v>71</v>
      </c>
      <c r="F40070">
        <v>3220038</v>
      </c>
      <c r="G40070" t="s">
        <v>27039</v>
      </c>
      <c r="H40070" s="21">
        <v>640.66999999999996</v>
      </c>
    </row>
    <row r="40071" spans="1:8" customFormat="1" x14ac:dyDescent="0.25">
      <c r="A40071" t="str">
        <f>"1613681"</f>
        <v>1613681</v>
      </c>
      <c r="B40071" t="s">
        <v>2766</v>
      </c>
      <c r="C40071" t="s">
        <v>25352</v>
      </c>
      <c r="D40071" s="21" t="s">
        <v>24820</v>
      </c>
      <c r="E40071" s="21" t="s">
        <v>71</v>
      </c>
      <c r="F40071">
        <v>10160186</v>
      </c>
      <c r="G40071" t="s">
        <v>4819</v>
      </c>
      <c r="H40071" s="21">
        <v>640.16999999999996</v>
      </c>
    </row>
    <row r="40072" spans="1:8" customFormat="1" x14ac:dyDescent="0.25">
      <c r="A40072" t="str">
        <f>"7619158"</f>
        <v>7619158</v>
      </c>
      <c r="B40072" t="s">
        <v>8630</v>
      </c>
      <c r="C40072" t="s">
        <v>24897</v>
      </c>
      <c r="D40072" s="21" t="s">
        <v>24820</v>
      </c>
      <c r="E40072" s="21" t="s">
        <v>71</v>
      </c>
      <c r="F40072">
        <v>9760256</v>
      </c>
      <c r="G40072" t="s">
        <v>4655</v>
      </c>
      <c r="H40072" s="21">
        <v>640.16999999999996</v>
      </c>
    </row>
    <row r="40073" spans="1:8" customFormat="1" x14ac:dyDescent="0.25">
      <c r="A40073" t="str">
        <f>"923174"</f>
        <v>923174</v>
      </c>
      <c r="B40073" t="s">
        <v>25279</v>
      </c>
      <c r="C40073" t="s">
        <v>25280</v>
      </c>
      <c r="D40073" s="21" t="s">
        <v>24820</v>
      </c>
      <c r="E40073" s="21" t="s">
        <v>254</v>
      </c>
      <c r="F40073">
        <v>8920063</v>
      </c>
      <c r="G40073" t="s">
        <v>219</v>
      </c>
      <c r="H40073" s="21">
        <v>640.16999999999996</v>
      </c>
    </row>
    <row r="40074" spans="1:8" customFormat="1" x14ac:dyDescent="0.25">
      <c r="A40074" t="str">
        <f>"486085"</f>
        <v>486085</v>
      </c>
      <c r="B40074" t="s">
        <v>25496</v>
      </c>
      <c r="C40074" t="s">
        <v>22831</v>
      </c>
      <c r="D40074" s="21" t="s">
        <v>24820</v>
      </c>
      <c r="E40074" s="21" t="s">
        <v>71</v>
      </c>
      <c r="F40074">
        <v>11480027</v>
      </c>
      <c r="G40074" t="s">
        <v>2950</v>
      </c>
      <c r="H40074" s="21">
        <v>639.66999999999996</v>
      </c>
    </row>
    <row r="40075" spans="1:8" customFormat="1" x14ac:dyDescent="0.25">
      <c r="A40075" t="str">
        <f>"5616257"</f>
        <v>5616257</v>
      </c>
      <c r="B40075" t="s">
        <v>25397</v>
      </c>
      <c r="C40075" t="s">
        <v>24840</v>
      </c>
      <c r="D40075" s="21" t="s">
        <v>24820</v>
      </c>
      <c r="E40075" s="21" t="s">
        <v>71</v>
      </c>
      <c r="F40075">
        <v>3560090</v>
      </c>
      <c r="G40075" t="s">
        <v>7777</v>
      </c>
      <c r="H40075" s="21">
        <v>639.16999999999996</v>
      </c>
    </row>
    <row r="40076" spans="1:8" customFormat="1" x14ac:dyDescent="0.25">
      <c r="A40076" t="str">
        <f>"303169"</f>
        <v>303169</v>
      </c>
      <c r="B40076" t="s">
        <v>25283</v>
      </c>
      <c r="C40076" t="s">
        <v>24968</v>
      </c>
      <c r="D40076" s="21" t="s">
        <v>24820</v>
      </c>
      <c r="E40076" s="21" t="s">
        <v>254</v>
      </c>
      <c r="F40076">
        <v>11300032</v>
      </c>
      <c r="G40076" t="s">
        <v>17309</v>
      </c>
      <c r="H40076" s="21">
        <v>638.16999999999996</v>
      </c>
    </row>
    <row r="40077" spans="1:8" customFormat="1" x14ac:dyDescent="0.25">
      <c r="A40077" t="str">
        <f>"608742"</f>
        <v>608742</v>
      </c>
      <c r="B40077" t="s">
        <v>6427</v>
      </c>
      <c r="C40077" t="s">
        <v>23734</v>
      </c>
      <c r="D40077" s="21" t="s">
        <v>24820</v>
      </c>
      <c r="E40077" s="21" t="s">
        <v>35</v>
      </c>
      <c r="F40077">
        <v>7600088</v>
      </c>
      <c r="G40077" t="s">
        <v>334</v>
      </c>
      <c r="H40077" s="21">
        <v>638.16999999999996</v>
      </c>
    </row>
    <row r="40078" spans="1:8" customFormat="1" x14ac:dyDescent="0.25">
      <c r="A40078" t="str">
        <f>"7729877"</f>
        <v>7729877</v>
      </c>
      <c r="B40078" t="s">
        <v>29775</v>
      </c>
      <c r="C40078" t="s">
        <v>24962</v>
      </c>
      <c r="D40078" s="21" t="s">
        <v>24820</v>
      </c>
      <c r="E40078" s="21" t="s">
        <v>35</v>
      </c>
      <c r="F40078">
        <v>8770169</v>
      </c>
      <c r="G40078" t="s">
        <v>1001</v>
      </c>
      <c r="H40078" s="21">
        <v>637.66999999999996</v>
      </c>
    </row>
    <row r="40079" spans="1:8" customFormat="1" x14ac:dyDescent="0.25">
      <c r="A40079" t="str">
        <f>"37774"</f>
        <v>37774</v>
      </c>
      <c r="B40079" t="s">
        <v>11145</v>
      </c>
      <c r="C40079" t="s">
        <v>24890</v>
      </c>
      <c r="D40079" s="21" t="s">
        <v>24820</v>
      </c>
      <c r="E40079" s="21" t="s">
        <v>1089</v>
      </c>
      <c r="F40079">
        <v>4370151</v>
      </c>
      <c r="G40079" t="s">
        <v>5304</v>
      </c>
      <c r="H40079" s="21">
        <v>637.66999999999996</v>
      </c>
    </row>
    <row r="40080" spans="1:8" customFormat="1" x14ac:dyDescent="0.25">
      <c r="A40080" t="str">
        <f>"6013018"</f>
        <v>6013018</v>
      </c>
      <c r="B40080" t="s">
        <v>9679</v>
      </c>
      <c r="C40080" t="s">
        <v>24874</v>
      </c>
      <c r="D40080" s="21" t="s">
        <v>24820</v>
      </c>
      <c r="E40080" s="21" t="s">
        <v>35</v>
      </c>
      <c r="F40080">
        <v>11480006</v>
      </c>
      <c r="G40080" t="s">
        <v>3317</v>
      </c>
      <c r="H40080" s="21">
        <v>637.66999999999996</v>
      </c>
    </row>
    <row r="40081" spans="1:8" customFormat="1" x14ac:dyDescent="0.25">
      <c r="A40081" t="str">
        <f>"4213120"</f>
        <v>4213120</v>
      </c>
      <c r="B40081" t="s">
        <v>890</v>
      </c>
      <c r="C40081" t="s">
        <v>24838</v>
      </c>
      <c r="D40081" s="21" t="s">
        <v>24820</v>
      </c>
      <c r="E40081" s="21" t="s">
        <v>71</v>
      </c>
      <c r="F40081">
        <v>1420144</v>
      </c>
      <c r="G40081" t="s">
        <v>9603</v>
      </c>
      <c r="H40081" s="21">
        <v>637.16999999999996</v>
      </c>
    </row>
    <row r="40082" spans="1:8" customFormat="1" x14ac:dyDescent="0.25">
      <c r="A40082" t="str">
        <f>"3714241"</f>
        <v>3714241</v>
      </c>
      <c r="B40082" t="s">
        <v>9362</v>
      </c>
      <c r="C40082" t="s">
        <v>22831</v>
      </c>
      <c r="D40082" s="21" t="s">
        <v>24820</v>
      </c>
      <c r="E40082" s="21" t="s">
        <v>35</v>
      </c>
      <c r="F40082">
        <v>4370013</v>
      </c>
      <c r="G40082" t="s">
        <v>7097</v>
      </c>
      <c r="H40082" s="21">
        <v>637.16999999999996</v>
      </c>
    </row>
    <row r="40083" spans="1:8" customFormat="1" x14ac:dyDescent="0.25">
      <c r="A40083" t="str">
        <f>"4510629"</f>
        <v>4510629</v>
      </c>
      <c r="B40083" t="s">
        <v>25322</v>
      </c>
      <c r="C40083" t="s">
        <v>24686</v>
      </c>
      <c r="D40083" s="21" t="s">
        <v>24820</v>
      </c>
      <c r="E40083" s="21" t="s">
        <v>254</v>
      </c>
      <c r="F40083">
        <v>4450757</v>
      </c>
      <c r="G40083" t="s">
        <v>3829</v>
      </c>
      <c r="H40083" s="21">
        <v>636.91999999999996</v>
      </c>
    </row>
    <row r="40084" spans="1:8" customFormat="1" x14ac:dyDescent="0.25">
      <c r="A40084" t="str">
        <f>"7634198"</f>
        <v>7634198</v>
      </c>
      <c r="B40084" t="s">
        <v>25413</v>
      </c>
      <c r="C40084" t="s">
        <v>25086</v>
      </c>
      <c r="D40084" s="21" t="s">
        <v>24820</v>
      </c>
      <c r="E40084" s="21" t="s">
        <v>71</v>
      </c>
      <c r="F40084">
        <v>9760018</v>
      </c>
      <c r="G40084" t="s">
        <v>117</v>
      </c>
      <c r="H40084" s="21">
        <v>636.66999999999996</v>
      </c>
    </row>
    <row r="40085" spans="1:8" customFormat="1" x14ac:dyDescent="0.25">
      <c r="A40085" t="str">
        <f>"307170"</f>
        <v>307170</v>
      </c>
      <c r="B40085" t="s">
        <v>3175</v>
      </c>
      <c r="C40085" t="s">
        <v>25044</v>
      </c>
      <c r="D40085" s="21" t="s">
        <v>24820</v>
      </c>
      <c r="E40085" s="21" t="s">
        <v>71</v>
      </c>
      <c r="F40085">
        <v>11300003</v>
      </c>
      <c r="G40085" t="s">
        <v>7949</v>
      </c>
      <c r="H40085" s="21">
        <v>636.66999999999996</v>
      </c>
    </row>
    <row r="40086" spans="1:8" customFormat="1" x14ac:dyDescent="0.25">
      <c r="A40086" t="str">
        <f>"9311527"</f>
        <v>9311527</v>
      </c>
      <c r="B40086" t="s">
        <v>2724</v>
      </c>
      <c r="C40086" t="s">
        <v>24854</v>
      </c>
      <c r="D40086" s="21" t="s">
        <v>24820</v>
      </c>
      <c r="E40086" s="21" t="s">
        <v>71</v>
      </c>
      <c r="F40086">
        <v>8930001</v>
      </c>
      <c r="G40086" t="s">
        <v>2264</v>
      </c>
      <c r="H40086" s="21">
        <v>636.41999999999996</v>
      </c>
    </row>
    <row r="40087" spans="1:8" customFormat="1" x14ac:dyDescent="0.25">
      <c r="A40087" t="str">
        <f>"0617153"</f>
        <v>0617153</v>
      </c>
      <c r="B40087" t="s">
        <v>6187</v>
      </c>
      <c r="C40087" t="s">
        <v>25019</v>
      </c>
      <c r="D40087" s="21" t="s">
        <v>24820</v>
      </c>
      <c r="E40087" s="21" t="s">
        <v>35</v>
      </c>
      <c r="F40087">
        <v>13060031</v>
      </c>
      <c r="G40087" t="s">
        <v>9379</v>
      </c>
      <c r="H40087" s="21">
        <v>636.04</v>
      </c>
    </row>
    <row r="40088" spans="1:8" customFormat="1" x14ac:dyDescent="0.25">
      <c r="A40088" t="str">
        <f>"875404"</f>
        <v>875404</v>
      </c>
      <c r="B40088" t="s">
        <v>14733</v>
      </c>
      <c r="C40088" t="s">
        <v>22831</v>
      </c>
      <c r="D40088" s="21" t="s">
        <v>24820</v>
      </c>
      <c r="E40088" s="21" t="s">
        <v>71</v>
      </c>
      <c r="F40088">
        <v>10870127</v>
      </c>
      <c r="G40088" t="s">
        <v>22898</v>
      </c>
      <c r="H40088" s="21">
        <v>635.66999999999996</v>
      </c>
    </row>
    <row r="40089" spans="1:8" customFormat="1" x14ac:dyDescent="0.25">
      <c r="A40089" t="str">
        <f>"3415625"</f>
        <v>3415625</v>
      </c>
      <c r="B40089" t="s">
        <v>25311</v>
      </c>
      <c r="C40089" t="s">
        <v>25252</v>
      </c>
      <c r="D40089" s="21" t="s">
        <v>24820</v>
      </c>
      <c r="E40089" s="21" t="s">
        <v>254</v>
      </c>
      <c r="F40089">
        <v>11340010</v>
      </c>
      <c r="G40089" t="s">
        <v>66</v>
      </c>
      <c r="H40089" s="21">
        <v>635.54</v>
      </c>
    </row>
    <row r="40090" spans="1:8" customFormat="1" x14ac:dyDescent="0.25">
      <c r="A40090" t="str">
        <f>"7856291"</f>
        <v>7856291</v>
      </c>
      <c r="B40090" t="s">
        <v>25342</v>
      </c>
      <c r="C40090" t="s">
        <v>25086</v>
      </c>
      <c r="D40090" s="21" t="s">
        <v>24820</v>
      </c>
      <c r="E40090" s="21" t="s">
        <v>71</v>
      </c>
      <c r="F40090">
        <v>8780080</v>
      </c>
      <c r="G40090" t="s">
        <v>865</v>
      </c>
      <c r="H40090" s="21">
        <v>635.29</v>
      </c>
    </row>
    <row r="40091" spans="1:8" customFormat="1" x14ac:dyDescent="0.25">
      <c r="A40091" t="str">
        <f>"025688"</f>
        <v>025688</v>
      </c>
      <c r="B40091" t="s">
        <v>6380</v>
      </c>
      <c r="C40091" t="s">
        <v>25086</v>
      </c>
      <c r="D40091" s="21" t="s">
        <v>24820</v>
      </c>
      <c r="E40091" s="21" t="s">
        <v>71</v>
      </c>
      <c r="F40091">
        <v>7020040</v>
      </c>
      <c r="G40091" t="s">
        <v>1698</v>
      </c>
      <c r="H40091" s="21">
        <v>635.29</v>
      </c>
    </row>
    <row r="40092" spans="1:8" customFormat="1" x14ac:dyDescent="0.25">
      <c r="A40092" t="str">
        <f>"9421965"</f>
        <v>9421965</v>
      </c>
      <c r="B40092" t="s">
        <v>25357</v>
      </c>
      <c r="C40092" t="s">
        <v>25358</v>
      </c>
      <c r="D40092" s="21" t="s">
        <v>24820</v>
      </c>
      <c r="E40092" s="21" t="s">
        <v>35</v>
      </c>
      <c r="F40092">
        <v>8940448</v>
      </c>
      <c r="G40092" t="s">
        <v>1691</v>
      </c>
      <c r="H40092" s="21">
        <v>635.16999999999996</v>
      </c>
    </row>
    <row r="40093" spans="1:8" customFormat="1" x14ac:dyDescent="0.25">
      <c r="A40093" t="str">
        <f>"5324187"</f>
        <v>5324187</v>
      </c>
      <c r="B40093" t="s">
        <v>4558</v>
      </c>
      <c r="C40093" t="s">
        <v>24929</v>
      </c>
      <c r="D40093" s="21" t="s">
        <v>24820</v>
      </c>
      <c r="E40093" s="21" t="s">
        <v>254</v>
      </c>
      <c r="F40093">
        <v>12530018</v>
      </c>
      <c r="G40093" t="s">
        <v>8768</v>
      </c>
      <c r="H40093" s="21">
        <v>634.16999999999996</v>
      </c>
    </row>
    <row r="40094" spans="1:8" customFormat="1" x14ac:dyDescent="0.25">
      <c r="A40094" t="str">
        <f>"1317857"</f>
        <v>1317857</v>
      </c>
      <c r="B40094" t="s">
        <v>25437</v>
      </c>
      <c r="C40094" t="s">
        <v>24865</v>
      </c>
      <c r="D40094" s="21" t="s">
        <v>24820</v>
      </c>
      <c r="E40094" s="21" t="s">
        <v>35</v>
      </c>
      <c r="F40094">
        <v>13130012</v>
      </c>
      <c r="G40094" t="s">
        <v>68</v>
      </c>
      <c r="H40094" s="21">
        <v>633.66999999999996</v>
      </c>
    </row>
    <row r="40095" spans="1:8" customFormat="1" x14ac:dyDescent="0.25">
      <c r="A40095" t="str">
        <f>"948730"</f>
        <v>948730</v>
      </c>
      <c r="B40095" t="s">
        <v>22570</v>
      </c>
      <c r="C40095" t="s">
        <v>24988</v>
      </c>
      <c r="D40095" s="21" t="s">
        <v>24820</v>
      </c>
      <c r="E40095" s="21" t="s">
        <v>71</v>
      </c>
      <c r="F40095">
        <v>8940326</v>
      </c>
      <c r="G40095" t="s">
        <v>659</v>
      </c>
      <c r="H40095" s="21">
        <v>633.66999999999996</v>
      </c>
    </row>
    <row r="40096" spans="1:8" customFormat="1" x14ac:dyDescent="0.25">
      <c r="A40096" t="str">
        <f>"9135705"</f>
        <v>9135705</v>
      </c>
      <c r="B40096" t="s">
        <v>25296</v>
      </c>
      <c r="C40096" t="s">
        <v>24867</v>
      </c>
      <c r="D40096" s="21" t="s">
        <v>24820</v>
      </c>
      <c r="E40096" s="21" t="s">
        <v>71</v>
      </c>
      <c r="F40096">
        <v>8911439</v>
      </c>
      <c r="G40096" t="s">
        <v>3953</v>
      </c>
      <c r="H40096" s="21">
        <v>633.16999999999996</v>
      </c>
    </row>
    <row r="40097" spans="1:8" customFormat="1" x14ac:dyDescent="0.25">
      <c r="A40097" t="str">
        <f>"7857958"</f>
        <v>7857958</v>
      </c>
      <c r="B40097" t="s">
        <v>29776</v>
      </c>
      <c r="C40097" t="s">
        <v>24300</v>
      </c>
      <c r="D40097" s="21" t="s">
        <v>24820</v>
      </c>
      <c r="E40097" s="21" t="s">
        <v>35</v>
      </c>
      <c r="F40097">
        <v>4360002</v>
      </c>
      <c r="G40097" t="s">
        <v>222</v>
      </c>
      <c r="H40097" s="21">
        <v>633.04</v>
      </c>
    </row>
    <row r="40098" spans="1:8" customFormat="1" x14ac:dyDescent="0.25">
      <c r="A40098" t="str">
        <f>"152166"</f>
        <v>152166</v>
      </c>
      <c r="B40098" t="s">
        <v>6315</v>
      </c>
      <c r="C40098" t="s">
        <v>25178</v>
      </c>
      <c r="D40098" s="21" t="s">
        <v>24820</v>
      </c>
      <c r="E40098" s="21" t="s">
        <v>71</v>
      </c>
      <c r="F40098">
        <v>1150291</v>
      </c>
      <c r="G40098" t="s">
        <v>17865</v>
      </c>
      <c r="H40098" s="21">
        <v>632.91999999999996</v>
      </c>
    </row>
    <row r="40099" spans="1:8" customFormat="1" x14ac:dyDescent="0.25">
      <c r="A40099" t="str">
        <f>"6377"</f>
        <v>6377</v>
      </c>
      <c r="B40099" t="s">
        <v>25389</v>
      </c>
      <c r="C40099" t="s">
        <v>25390</v>
      </c>
      <c r="D40099" s="21" t="s">
        <v>24820</v>
      </c>
      <c r="E40099" s="21" t="s">
        <v>1089</v>
      </c>
      <c r="F40099">
        <v>1630005</v>
      </c>
      <c r="G40099" t="s">
        <v>8825</v>
      </c>
      <c r="H40099" s="21">
        <v>632.66999999999996</v>
      </c>
    </row>
    <row r="40100" spans="1:8" customFormat="1" x14ac:dyDescent="0.25">
      <c r="A40100" t="str">
        <f>"7637315"</f>
        <v>7637315</v>
      </c>
      <c r="B40100" t="s">
        <v>17920</v>
      </c>
      <c r="C40100" t="s">
        <v>24914</v>
      </c>
      <c r="D40100" s="21" t="s">
        <v>24820</v>
      </c>
      <c r="E40100" s="21" t="s">
        <v>35</v>
      </c>
      <c r="F40100">
        <v>9760270</v>
      </c>
      <c r="G40100" t="s">
        <v>4167</v>
      </c>
      <c r="H40100" s="21">
        <v>632.66999999999996</v>
      </c>
    </row>
    <row r="40101" spans="1:8" customFormat="1" x14ac:dyDescent="0.25">
      <c r="A40101" t="str">
        <f>"4434490"</f>
        <v>4434490</v>
      </c>
      <c r="B40101" t="s">
        <v>22362</v>
      </c>
      <c r="C40101" t="s">
        <v>24897</v>
      </c>
      <c r="D40101" s="21" t="s">
        <v>24820</v>
      </c>
      <c r="E40101" s="21" t="s">
        <v>71</v>
      </c>
      <c r="F40101">
        <v>12440094</v>
      </c>
      <c r="G40101" t="s">
        <v>892</v>
      </c>
      <c r="H40101" s="21">
        <v>632.16999999999996</v>
      </c>
    </row>
    <row r="40102" spans="1:8" customFormat="1" x14ac:dyDescent="0.25">
      <c r="A40102" t="str">
        <f>"4213800"</f>
        <v>4213800</v>
      </c>
      <c r="B40102" t="s">
        <v>25300</v>
      </c>
      <c r="C40102" t="s">
        <v>25301</v>
      </c>
      <c r="D40102" s="21" t="s">
        <v>24820</v>
      </c>
      <c r="E40102" s="21" t="s">
        <v>71</v>
      </c>
      <c r="F40102">
        <v>1420149</v>
      </c>
      <c r="G40102" t="s">
        <v>818</v>
      </c>
      <c r="H40102" s="21">
        <v>631.41999999999996</v>
      </c>
    </row>
    <row r="40103" spans="1:8" customFormat="1" x14ac:dyDescent="0.25">
      <c r="A40103" t="str">
        <f>"7629201"</f>
        <v>7629201</v>
      </c>
      <c r="B40103" t="s">
        <v>25365</v>
      </c>
      <c r="C40103" t="s">
        <v>24897</v>
      </c>
      <c r="D40103" s="21" t="s">
        <v>24820</v>
      </c>
      <c r="E40103" s="21" t="s">
        <v>35</v>
      </c>
      <c r="F40103">
        <v>9760259</v>
      </c>
      <c r="G40103" t="s">
        <v>6926</v>
      </c>
      <c r="H40103" s="21">
        <v>630.66999999999996</v>
      </c>
    </row>
    <row r="40104" spans="1:8" customFormat="1" x14ac:dyDescent="0.25">
      <c r="A40104" t="str">
        <f>"896185"</f>
        <v>896185</v>
      </c>
      <c r="B40104" t="s">
        <v>9058</v>
      </c>
      <c r="C40104" t="s">
        <v>25375</v>
      </c>
      <c r="D40104" s="21" t="s">
        <v>24820</v>
      </c>
      <c r="E40104" s="21" t="s">
        <v>35</v>
      </c>
      <c r="F40104">
        <v>2210127</v>
      </c>
      <c r="G40104" t="s">
        <v>3447</v>
      </c>
      <c r="H40104" s="21">
        <v>630.41999999999996</v>
      </c>
    </row>
    <row r="40105" spans="1:8" customFormat="1" x14ac:dyDescent="0.25">
      <c r="A40105" t="str">
        <f>"185499"</f>
        <v>185499</v>
      </c>
      <c r="B40105" t="s">
        <v>25329</v>
      </c>
      <c r="C40105" t="s">
        <v>25330</v>
      </c>
      <c r="D40105" s="21" t="s">
        <v>24820</v>
      </c>
      <c r="E40105" s="21" t="s">
        <v>71</v>
      </c>
      <c r="F40105">
        <v>2580035</v>
      </c>
      <c r="G40105" t="s">
        <v>5991</v>
      </c>
      <c r="H40105" s="21">
        <v>630.16999999999996</v>
      </c>
    </row>
    <row r="40106" spans="1:8" customFormat="1" x14ac:dyDescent="0.25">
      <c r="A40106" t="str">
        <f>"4433320"</f>
        <v>4433320</v>
      </c>
      <c r="B40106" t="s">
        <v>25516</v>
      </c>
      <c r="C40106" t="s">
        <v>24833</v>
      </c>
      <c r="D40106" s="21" t="s">
        <v>24820</v>
      </c>
      <c r="E40106" s="21" t="s">
        <v>35</v>
      </c>
      <c r="F40106">
        <v>12440073</v>
      </c>
      <c r="G40106" t="s">
        <v>3492</v>
      </c>
      <c r="H40106" s="21">
        <v>630.16999999999996</v>
      </c>
    </row>
    <row r="40107" spans="1:8" customFormat="1" x14ac:dyDescent="0.25">
      <c r="A40107" t="str">
        <f>"271241"</f>
        <v>271241</v>
      </c>
      <c r="B40107" t="s">
        <v>7114</v>
      </c>
      <c r="C40107" t="s">
        <v>24939</v>
      </c>
      <c r="D40107" s="21" t="s">
        <v>24820</v>
      </c>
      <c r="E40107" s="21" t="s">
        <v>254</v>
      </c>
      <c r="F40107">
        <v>9270110</v>
      </c>
      <c r="G40107" t="s">
        <v>7417</v>
      </c>
      <c r="H40107" s="21">
        <v>629.79</v>
      </c>
    </row>
    <row r="40108" spans="1:8" customFormat="1" x14ac:dyDescent="0.25">
      <c r="A40108" t="str">
        <f>"182371"</f>
        <v>182371</v>
      </c>
      <c r="B40108" t="s">
        <v>3505</v>
      </c>
      <c r="C40108" t="s">
        <v>25353</v>
      </c>
      <c r="D40108" s="21" t="s">
        <v>24820</v>
      </c>
      <c r="E40108" s="21" t="s">
        <v>35</v>
      </c>
      <c r="F40108">
        <v>4180485</v>
      </c>
      <c r="G40108" t="s">
        <v>345</v>
      </c>
      <c r="H40108" s="21">
        <v>629.66999999999996</v>
      </c>
    </row>
    <row r="40109" spans="1:8" customFormat="1" x14ac:dyDescent="0.25">
      <c r="A40109" t="str">
        <f>"7514602"</f>
        <v>7514602</v>
      </c>
      <c r="B40109" t="s">
        <v>208</v>
      </c>
      <c r="C40109" t="s">
        <v>24833</v>
      </c>
      <c r="D40109" s="21" t="s">
        <v>24820</v>
      </c>
      <c r="E40109" s="21" t="s">
        <v>35</v>
      </c>
      <c r="F40109">
        <v>8750120</v>
      </c>
      <c r="G40109" t="s">
        <v>838</v>
      </c>
      <c r="H40109" s="21">
        <v>629.16999999999996</v>
      </c>
    </row>
    <row r="40110" spans="1:8" customFormat="1" x14ac:dyDescent="0.25">
      <c r="A40110" t="str">
        <f>"8015809"</f>
        <v>8015809</v>
      </c>
      <c r="B40110" t="s">
        <v>29777</v>
      </c>
      <c r="C40110" t="s">
        <v>25609</v>
      </c>
      <c r="D40110" s="21" t="s">
        <v>24820</v>
      </c>
      <c r="E40110" s="21" t="s">
        <v>35</v>
      </c>
      <c r="F40110">
        <v>7800102</v>
      </c>
      <c r="G40110" t="s">
        <v>1148</v>
      </c>
      <c r="H40110" s="21">
        <v>629.16999999999996</v>
      </c>
    </row>
    <row r="40111" spans="1:8" customFormat="1" x14ac:dyDescent="0.25">
      <c r="A40111" t="str">
        <f>"2921486"</f>
        <v>2921486</v>
      </c>
      <c r="B40111" t="s">
        <v>9308</v>
      </c>
      <c r="C40111" t="s">
        <v>25273</v>
      </c>
      <c r="D40111" s="21" t="s">
        <v>24820</v>
      </c>
      <c r="E40111" s="21" t="s">
        <v>1089</v>
      </c>
      <c r="F40111">
        <v>3290090</v>
      </c>
      <c r="G40111" t="s">
        <v>1390</v>
      </c>
      <c r="H40111" s="21">
        <v>628.91999999999996</v>
      </c>
    </row>
    <row r="40112" spans="1:8" customFormat="1" x14ac:dyDescent="0.25">
      <c r="A40112" t="str">
        <f>"7871920"</f>
        <v>7871920</v>
      </c>
      <c r="B40112" t="s">
        <v>25576</v>
      </c>
      <c r="C40112" t="s">
        <v>25577</v>
      </c>
      <c r="D40112" s="21" t="s">
        <v>24820</v>
      </c>
      <c r="E40112" s="21" t="s">
        <v>35</v>
      </c>
      <c r="F40112">
        <v>8781469</v>
      </c>
      <c r="G40112" t="s">
        <v>4779</v>
      </c>
      <c r="H40112" s="21">
        <v>628.66999999999996</v>
      </c>
    </row>
    <row r="40113" spans="1:8" customFormat="1" x14ac:dyDescent="0.25">
      <c r="A40113" t="str">
        <f>"4456639"</f>
        <v>4456639</v>
      </c>
      <c r="B40113" t="s">
        <v>25547</v>
      </c>
      <c r="C40113" t="s">
        <v>25088</v>
      </c>
      <c r="D40113" s="21" t="s">
        <v>24820</v>
      </c>
      <c r="E40113" s="21" t="s">
        <v>35</v>
      </c>
      <c r="F40113">
        <v>12440141</v>
      </c>
      <c r="G40113" t="s">
        <v>3234</v>
      </c>
      <c r="H40113" s="21">
        <v>628.66999999999996</v>
      </c>
    </row>
    <row r="40114" spans="1:8" customFormat="1" x14ac:dyDescent="0.25">
      <c r="A40114" t="str">
        <f>"7631244"</f>
        <v>7631244</v>
      </c>
      <c r="B40114" t="s">
        <v>7766</v>
      </c>
      <c r="C40114" t="s">
        <v>24900</v>
      </c>
      <c r="D40114" s="21" t="s">
        <v>24820</v>
      </c>
      <c r="E40114" s="21" t="s">
        <v>1089</v>
      </c>
      <c r="F40114">
        <v>9760018</v>
      </c>
      <c r="G40114" t="s">
        <v>117</v>
      </c>
      <c r="H40114" s="21">
        <v>628.16999999999996</v>
      </c>
    </row>
    <row r="40115" spans="1:8" customFormat="1" x14ac:dyDescent="0.25">
      <c r="A40115" t="str">
        <f>"839170"</f>
        <v>839170</v>
      </c>
      <c r="B40115" t="s">
        <v>8760</v>
      </c>
      <c r="C40115" t="s">
        <v>24958</v>
      </c>
      <c r="D40115" s="21" t="s">
        <v>24820</v>
      </c>
      <c r="E40115" s="21" t="s">
        <v>71</v>
      </c>
      <c r="F40115">
        <v>13060064</v>
      </c>
      <c r="G40115" t="s">
        <v>976</v>
      </c>
      <c r="H40115" s="21">
        <v>628.04</v>
      </c>
    </row>
    <row r="40116" spans="1:8" customFormat="1" x14ac:dyDescent="0.25">
      <c r="A40116" t="str">
        <f>"7518123"</f>
        <v>7518123</v>
      </c>
      <c r="B40116" t="s">
        <v>12395</v>
      </c>
      <c r="C40116" t="s">
        <v>25333</v>
      </c>
      <c r="D40116" s="21" t="s">
        <v>24820</v>
      </c>
      <c r="E40116" s="21" t="s">
        <v>254</v>
      </c>
      <c r="F40116">
        <v>8751423</v>
      </c>
      <c r="G40116" t="s">
        <v>4556</v>
      </c>
      <c r="H40116" s="21">
        <v>627.66999999999996</v>
      </c>
    </row>
    <row r="40117" spans="1:8" customFormat="1" x14ac:dyDescent="0.25">
      <c r="A40117" t="str">
        <f>"139777"</f>
        <v>139777</v>
      </c>
      <c r="B40117" t="s">
        <v>10914</v>
      </c>
      <c r="C40117" t="s">
        <v>25136</v>
      </c>
      <c r="D40117" s="21" t="s">
        <v>24820</v>
      </c>
      <c r="E40117" s="21" t="s">
        <v>71</v>
      </c>
      <c r="F40117">
        <v>6540032</v>
      </c>
      <c r="G40117" t="s">
        <v>63</v>
      </c>
      <c r="H40117" s="21">
        <v>627.66999999999996</v>
      </c>
    </row>
    <row r="40118" spans="1:8" customFormat="1" x14ac:dyDescent="0.25">
      <c r="A40118" t="str">
        <f>"6313342"</f>
        <v>6313342</v>
      </c>
      <c r="B40118" t="s">
        <v>25339</v>
      </c>
      <c r="C40118" t="s">
        <v>25084</v>
      </c>
      <c r="D40118" s="21" t="s">
        <v>24820</v>
      </c>
      <c r="E40118" s="21" t="s">
        <v>35</v>
      </c>
      <c r="F40118">
        <v>1630243</v>
      </c>
      <c r="G40118" t="s">
        <v>9163</v>
      </c>
      <c r="H40118" s="21">
        <v>627.66999999999996</v>
      </c>
    </row>
    <row r="40119" spans="1:8" customFormat="1" x14ac:dyDescent="0.25">
      <c r="A40119" t="str">
        <f>"5923467"</f>
        <v>5923467</v>
      </c>
      <c r="B40119" t="s">
        <v>5166</v>
      </c>
      <c r="C40119" t="s">
        <v>25386</v>
      </c>
      <c r="D40119" s="21" t="s">
        <v>24820</v>
      </c>
      <c r="E40119" s="21" t="s">
        <v>254</v>
      </c>
      <c r="F40119">
        <v>7590027</v>
      </c>
      <c r="G40119" t="s">
        <v>629</v>
      </c>
      <c r="H40119" s="21">
        <v>627.66999999999996</v>
      </c>
    </row>
    <row r="40120" spans="1:8" customFormat="1" x14ac:dyDescent="0.25">
      <c r="A40120" t="str">
        <f>"0211289"</f>
        <v>0211289</v>
      </c>
      <c r="B40120" t="s">
        <v>17237</v>
      </c>
      <c r="C40120" t="s">
        <v>25044</v>
      </c>
      <c r="D40120" s="21" t="s">
        <v>24820</v>
      </c>
      <c r="E40120" s="21" t="s">
        <v>35</v>
      </c>
      <c r="F40120">
        <v>7021010</v>
      </c>
      <c r="G40120" t="s">
        <v>10493</v>
      </c>
      <c r="H40120" s="21">
        <v>627.41999999999996</v>
      </c>
    </row>
    <row r="40121" spans="1:8" customFormat="1" x14ac:dyDescent="0.25">
      <c r="A40121" t="str">
        <f>"3712999"</f>
        <v>3712999</v>
      </c>
      <c r="B40121" t="s">
        <v>18856</v>
      </c>
      <c r="C40121" t="s">
        <v>24915</v>
      </c>
      <c r="D40121" s="21" t="s">
        <v>24820</v>
      </c>
      <c r="E40121" s="21" t="s">
        <v>35</v>
      </c>
      <c r="F40121">
        <v>4370442</v>
      </c>
      <c r="G40121" t="s">
        <v>7869</v>
      </c>
      <c r="H40121" s="21">
        <v>627.16999999999996</v>
      </c>
    </row>
    <row r="40122" spans="1:8" customFormat="1" x14ac:dyDescent="0.25">
      <c r="A40122" t="str">
        <f>"089943"</f>
        <v>089943</v>
      </c>
      <c r="B40122" t="s">
        <v>25257</v>
      </c>
      <c r="C40122" t="s">
        <v>25258</v>
      </c>
      <c r="D40122" s="21" t="s">
        <v>24820</v>
      </c>
      <c r="E40122" s="21" t="s">
        <v>71</v>
      </c>
      <c r="F40122">
        <v>6080013</v>
      </c>
      <c r="G40122" t="s">
        <v>1532</v>
      </c>
      <c r="H40122" s="21">
        <v>627.16999999999996</v>
      </c>
    </row>
    <row r="40123" spans="1:8" customFormat="1" x14ac:dyDescent="0.25">
      <c r="A40123" t="str">
        <f>"5014939"</f>
        <v>5014939</v>
      </c>
      <c r="B40123" t="s">
        <v>3660</v>
      </c>
      <c r="C40123" t="s">
        <v>24865</v>
      </c>
      <c r="D40123" s="21" t="s">
        <v>24820</v>
      </c>
      <c r="E40123" s="21" t="s">
        <v>71</v>
      </c>
      <c r="F40123">
        <v>9500013</v>
      </c>
      <c r="G40123" t="s">
        <v>992</v>
      </c>
      <c r="H40123" s="21">
        <v>626.66999999999996</v>
      </c>
    </row>
    <row r="40124" spans="1:8" customFormat="1" x14ac:dyDescent="0.25">
      <c r="A40124" t="str">
        <f>"7711567"</f>
        <v>7711567</v>
      </c>
      <c r="B40124" t="s">
        <v>17496</v>
      </c>
      <c r="C40124" t="s">
        <v>25011</v>
      </c>
      <c r="D40124" s="21" t="s">
        <v>24820</v>
      </c>
      <c r="E40124" s="21" t="s">
        <v>254</v>
      </c>
      <c r="F40124">
        <v>11340067</v>
      </c>
      <c r="G40124" t="s">
        <v>2895</v>
      </c>
      <c r="H40124" s="21">
        <v>626.16999999999996</v>
      </c>
    </row>
    <row r="40125" spans="1:8" customFormat="1" x14ac:dyDescent="0.25">
      <c r="A40125" t="str">
        <f>"638634"</f>
        <v>638634</v>
      </c>
      <c r="B40125" t="s">
        <v>25445</v>
      </c>
      <c r="C40125" t="s">
        <v>24846</v>
      </c>
      <c r="D40125" s="21" t="s">
        <v>24820</v>
      </c>
      <c r="E40125" s="21" t="s">
        <v>35</v>
      </c>
      <c r="F40125">
        <v>1630301</v>
      </c>
      <c r="G40125" t="s">
        <v>7897</v>
      </c>
      <c r="H40125" s="21">
        <v>626.04</v>
      </c>
    </row>
    <row r="40126" spans="1:8" customFormat="1" x14ac:dyDescent="0.25">
      <c r="A40126" t="str">
        <f>"897928"</f>
        <v>897928</v>
      </c>
      <c r="B40126" t="s">
        <v>25309</v>
      </c>
      <c r="C40126" t="s">
        <v>24840</v>
      </c>
      <c r="D40126" s="21" t="s">
        <v>24820</v>
      </c>
      <c r="E40126" s="21" t="s">
        <v>35</v>
      </c>
      <c r="F40126">
        <v>2890032</v>
      </c>
      <c r="G40126" t="s">
        <v>6080</v>
      </c>
      <c r="H40126" s="21">
        <v>625.66999999999996</v>
      </c>
    </row>
    <row r="40127" spans="1:8" customFormat="1" x14ac:dyDescent="0.25">
      <c r="A40127" t="str">
        <f>"4432148"</f>
        <v>4432148</v>
      </c>
      <c r="B40127" t="s">
        <v>5890</v>
      </c>
      <c r="C40127" t="s">
        <v>24881</v>
      </c>
      <c r="D40127" s="21" t="s">
        <v>24820</v>
      </c>
      <c r="E40127" s="21" t="s">
        <v>35</v>
      </c>
      <c r="F40127">
        <v>12440073</v>
      </c>
      <c r="G40127" t="s">
        <v>3492</v>
      </c>
      <c r="H40127" s="21">
        <v>625.66999999999996</v>
      </c>
    </row>
    <row r="40128" spans="1:8" customFormat="1" x14ac:dyDescent="0.25">
      <c r="A40128" t="str">
        <f>"5618391"</f>
        <v>5618391</v>
      </c>
      <c r="B40128" t="s">
        <v>22560</v>
      </c>
      <c r="C40128" t="s">
        <v>22736</v>
      </c>
      <c r="D40128" s="21" t="s">
        <v>24820</v>
      </c>
      <c r="E40128" s="21" t="s">
        <v>35</v>
      </c>
      <c r="F40128">
        <v>3560072</v>
      </c>
      <c r="G40128" t="s">
        <v>12285</v>
      </c>
      <c r="H40128" s="21">
        <v>625.66999999999996</v>
      </c>
    </row>
    <row r="40129" spans="1:8" customFormat="1" x14ac:dyDescent="0.25">
      <c r="A40129" t="str">
        <f>"896673"</f>
        <v>896673</v>
      </c>
      <c r="B40129" t="s">
        <v>6843</v>
      </c>
      <c r="C40129" t="s">
        <v>24973</v>
      </c>
      <c r="D40129" s="21" t="s">
        <v>24820</v>
      </c>
      <c r="E40129" s="21" t="s">
        <v>35</v>
      </c>
      <c r="F40129">
        <v>2890059</v>
      </c>
      <c r="G40129" t="s">
        <v>26651</v>
      </c>
      <c r="H40129" s="21">
        <v>625.41999999999996</v>
      </c>
    </row>
    <row r="40130" spans="1:8" customFormat="1" x14ac:dyDescent="0.25">
      <c r="A40130" t="str">
        <f>"9519351"</f>
        <v>9519351</v>
      </c>
      <c r="B40130" t="s">
        <v>25379</v>
      </c>
      <c r="C40130" t="s">
        <v>24869</v>
      </c>
      <c r="D40130" s="21" t="s">
        <v>24820</v>
      </c>
      <c r="E40130" s="21" t="s">
        <v>71</v>
      </c>
      <c r="F40130">
        <v>8951411</v>
      </c>
      <c r="G40130" t="s">
        <v>416</v>
      </c>
      <c r="H40130" s="21">
        <v>625.16999999999996</v>
      </c>
    </row>
    <row r="40131" spans="1:8" customFormat="1" x14ac:dyDescent="0.25">
      <c r="A40131" t="str">
        <f>"3523201"</f>
        <v>3523201</v>
      </c>
      <c r="B40131" t="s">
        <v>765</v>
      </c>
      <c r="C40131" t="s">
        <v>24900</v>
      </c>
      <c r="D40131" s="21" t="s">
        <v>24820</v>
      </c>
      <c r="E40131" s="21" t="s">
        <v>254</v>
      </c>
      <c r="F40131">
        <v>3350011</v>
      </c>
      <c r="G40131" t="s">
        <v>2404</v>
      </c>
      <c r="H40131" s="21">
        <v>625.16999999999996</v>
      </c>
    </row>
    <row r="40132" spans="1:8" customFormat="1" x14ac:dyDescent="0.25">
      <c r="A40132" t="str">
        <f>"4440683"</f>
        <v>4440683</v>
      </c>
      <c r="B40132" t="s">
        <v>2851</v>
      </c>
      <c r="C40132" t="s">
        <v>25109</v>
      </c>
      <c r="D40132" s="21" t="s">
        <v>24820</v>
      </c>
      <c r="E40132" s="21" t="s">
        <v>35</v>
      </c>
      <c r="F40132">
        <v>12440262</v>
      </c>
      <c r="G40132" t="s">
        <v>4590</v>
      </c>
      <c r="H40132" s="21">
        <v>624.66999999999996</v>
      </c>
    </row>
    <row r="40133" spans="1:8" customFormat="1" x14ac:dyDescent="0.25">
      <c r="A40133" t="str">
        <f>"8521634"</f>
        <v>8521634</v>
      </c>
      <c r="B40133" t="s">
        <v>25383</v>
      </c>
      <c r="C40133" t="s">
        <v>25130</v>
      </c>
      <c r="D40133" s="21" t="s">
        <v>24820</v>
      </c>
      <c r="E40133" s="21" t="s">
        <v>71</v>
      </c>
      <c r="F40133">
        <v>12850108</v>
      </c>
      <c r="G40133" t="s">
        <v>11093</v>
      </c>
      <c r="H40133" s="21">
        <v>624.66999999999996</v>
      </c>
    </row>
    <row r="40134" spans="1:8" customFormat="1" x14ac:dyDescent="0.25">
      <c r="A40134" t="str">
        <f>"7630782"</f>
        <v>7630782</v>
      </c>
      <c r="B40134" t="s">
        <v>5579</v>
      </c>
      <c r="C40134" t="s">
        <v>25370</v>
      </c>
      <c r="D40134" s="21" t="s">
        <v>24820</v>
      </c>
      <c r="E40134" s="21" t="s">
        <v>71</v>
      </c>
      <c r="F40134">
        <v>9760011</v>
      </c>
      <c r="G40134" t="s">
        <v>2562</v>
      </c>
      <c r="H40134" s="21">
        <v>624.66999999999996</v>
      </c>
    </row>
    <row r="40135" spans="1:8" customFormat="1" x14ac:dyDescent="0.25">
      <c r="A40135" t="str">
        <f>"5916438"</f>
        <v>5916438</v>
      </c>
      <c r="B40135" t="s">
        <v>25354</v>
      </c>
      <c r="C40135" t="s">
        <v>24838</v>
      </c>
      <c r="D40135" s="21" t="s">
        <v>24820</v>
      </c>
      <c r="E40135" s="21" t="s">
        <v>35</v>
      </c>
      <c r="F40135">
        <v>7590063</v>
      </c>
      <c r="G40135" t="s">
        <v>3426</v>
      </c>
      <c r="H40135" s="21">
        <v>624.16999999999996</v>
      </c>
    </row>
    <row r="40136" spans="1:8" customFormat="1" x14ac:dyDescent="0.25">
      <c r="A40136" t="str">
        <f>"366807"</f>
        <v>366807</v>
      </c>
      <c r="B40136" t="s">
        <v>25381</v>
      </c>
      <c r="C40136" t="s">
        <v>24863</v>
      </c>
      <c r="D40136" s="21" t="s">
        <v>24820</v>
      </c>
      <c r="E40136" s="21" t="s">
        <v>35</v>
      </c>
      <c r="F40136">
        <v>4360728</v>
      </c>
      <c r="G40136" t="s">
        <v>12735</v>
      </c>
      <c r="H40136" s="21">
        <v>623.66999999999996</v>
      </c>
    </row>
    <row r="40137" spans="1:8" customFormat="1" x14ac:dyDescent="0.25">
      <c r="A40137" t="str">
        <f>"5314871"</f>
        <v>5314871</v>
      </c>
      <c r="B40137" t="s">
        <v>25103</v>
      </c>
      <c r="C40137" t="s">
        <v>24924</v>
      </c>
      <c r="D40137" s="21" t="s">
        <v>24820</v>
      </c>
      <c r="E40137" s="21" t="s">
        <v>71</v>
      </c>
      <c r="F40137">
        <v>12530078</v>
      </c>
      <c r="G40137" t="s">
        <v>3677</v>
      </c>
      <c r="H40137" s="21">
        <v>623.66999999999996</v>
      </c>
    </row>
    <row r="40138" spans="1:8" customFormat="1" x14ac:dyDescent="0.25">
      <c r="A40138" t="str">
        <f>"7712701"</f>
        <v>7712701</v>
      </c>
      <c r="B40138" t="s">
        <v>25327</v>
      </c>
      <c r="C40138" t="s">
        <v>24831</v>
      </c>
      <c r="D40138" s="21" t="s">
        <v>24820</v>
      </c>
      <c r="E40138" s="21" t="s">
        <v>35</v>
      </c>
      <c r="F40138">
        <v>8770237</v>
      </c>
      <c r="G40138" t="s">
        <v>128</v>
      </c>
      <c r="H40138" s="21">
        <v>623.66999999999996</v>
      </c>
    </row>
    <row r="40139" spans="1:8" customFormat="1" x14ac:dyDescent="0.25">
      <c r="A40139" t="str">
        <f>"5322285"</f>
        <v>5322285</v>
      </c>
      <c r="B40139" t="s">
        <v>12266</v>
      </c>
      <c r="C40139" t="s">
        <v>24881</v>
      </c>
      <c r="D40139" s="21" t="s">
        <v>24820</v>
      </c>
      <c r="E40139" s="21" t="s">
        <v>35</v>
      </c>
      <c r="F40139">
        <v>12538899</v>
      </c>
      <c r="G40139" t="s">
        <v>10436</v>
      </c>
      <c r="H40139" s="21">
        <v>623.16999999999996</v>
      </c>
    </row>
    <row r="40140" spans="1:8" customFormat="1" x14ac:dyDescent="0.25">
      <c r="A40140" t="str">
        <f>"795848"</f>
        <v>795848</v>
      </c>
      <c r="B40140" t="s">
        <v>5036</v>
      </c>
      <c r="C40140" t="s">
        <v>25355</v>
      </c>
      <c r="D40140" s="21" t="s">
        <v>24820</v>
      </c>
      <c r="E40140" s="21" t="s">
        <v>254</v>
      </c>
      <c r="F40140">
        <v>10790022</v>
      </c>
      <c r="G40140" t="s">
        <v>7916</v>
      </c>
      <c r="H40140" s="21">
        <v>623.16999999999996</v>
      </c>
    </row>
    <row r="40141" spans="1:8" customFormat="1" x14ac:dyDescent="0.25">
      <c r="A40141" t="str">
        <f>"8016215"</f>
        <v>8016215</v>
      </c>
      <c r="B40141" t="s">
        <v>25391</v>
      </c>
      <c r="C40141" t="s">
        <v>24920</v>
      </c>
      <c r="D40141" s="21" t="s">
        <v>24820</v>
      </c>
      <c r="E40141" s="21" t="s">
        <v>35</v>
      </c>
      <c r="F40141">
        <v>7800003</v>
      </c>
      <c r="G40141" t="s">
        <v>276</v>
      </c>
      <c r="H40141" s="21">
        <v>622.66999999999996</v>
      </c>
    </row>
    <row r="40142" spans="1:8" customFormat="1" x14ac:dyDescent="0.25">
      <c r="A40142" t="str">
        <f>"7852452"</f>
        <v>7852452</v>
      </c>
      <c r="B40142" t="s">
        <v>25334</v>
      </c>
      <c r="C40142" t="s">
        <v>25100</v>
      </c>
      <c r="D40142" s="21" t="s">
        <v>24820</v>
      </c>
      <c r="E40142" s="21" t="s">
        <v>35</v>
      </c>
      <c r="F40142">
        <v>8780890</v>
      </c>
      <c r="G40142" t="s">
        <v>6456</v>
      </c>
      <c r="H40142" s="21">
        <v>622.66999999999996</v>
      </c>
    </row>
    <row r="40143" spans="1:8" customFormat="1" x14ac:dyDescent="0.25">
      <c r="A40143" t="str">
        <f>"0211692"</f>
        <v>0211692</v>
      </c>
      <c r="B40143" t="s">
        <v>1802</v>
      </c>
      <c r="C40143" t="s">
        <v>24947</v>
      </c>
      <c r="D40143" s="21" t="s">
        <v>24820</v>
      </c>
      <c r="E40143" s="21" t="s">
        <v>71</v>
      </c>
      <c r="F40143">
        <v>7020031</v>
      </c>
      <c r="G40143" t="s">
        <v>828</v>
      </c>
      <c r="H40143" s="21">
        <v>622.41999999999996</v>
      </c>
    </row>
    <row r="40144" spans="1:8" customFormat="1" x14ac:dyDescent="0.25">
      <c r="A40144" t="str">
        <f>"015354"</f>
        <v>015354</v>
      </c>
      <c r="B40144" t="s">
        <v>25343</v>
      </c>
      <c r="C40144" t="s">
        <v>23966</v>
      </c>
      <c r="D40144" s="21" t="s">
        <v>24820</v>
      </c>
      <c r="E40144" s="21" t="s">
        <v>71</v>
      </c>
      <c r="F40144">
        <v>1010027</v>
      </c>
      <c r="G40144" t="s">
        <v>6318</v>
      </c>
      <c r="H40144" s="21">
        <v>622.41999999999996</v>
      </c>
    </row>
    <row r="40145" spans="1:8" customFormat="1" x14ac:dyDescent="0.25">
      <c r="A40145" t="str">
        <f>"8815381"</f>
        <v>8815381</v>
      </c>
      <c r="B40145" t="s">
        <v>4014</v>
      </c>
      <c r="C40145" t="s">
        <v>25661</v>
      </c>
      <c r="D40145" s="21" t="s">
        <v>24820</v>
      </c>
      <c r="E40145" s="21" t="s">
        <v>35</v>
      </c>
      <c r="F40145">
        <v>2700005</v>
      </c>
      <c r="G40145" t="s">
        <v>5290</v>
      </c>
      <c r="H40145" s="21">
        <v>622.16999999999996</v>
      </c>
    </row>
    <row r="40146" spans="1:8" customFormat="1" x14ac:dyDescent="0.25">
      <c r="A40146" t="str">
        <f>"5012492"</f>
        <v>5012492</v>
      </c>
      <c r="B40146" t="s">
        <v>5643</v>
      </c>
      <c r="C40146" t="s">
        <v>24686</v>
      </c>
      <c r="D40146" s="21" t="s">
        <v>24820</v>
      </c>
      <c r="E40146" s="21" t="s">
        <v>254</v>
      </c>
      <c r="F40146">
        <v>9500048</v>
      </c>
      <c r="G40146" t="s">
        <v>1804</v>
      </c>
      <c r="H40146" s="21">
        <v>621.66999999999996</v>
      </c>
    </row>
    <row r="40147" spans="1:8" customFormat="1" x14ac:dyDescent="0.25">
      <c r="A40147" t="str">
        <f>"2930224"</f>
        <v>2930224</v>
      </c>
      <c r="B40147" t="s">
        <v>1389</v>
      </c>
      <c r="C40147" t="s">
        <v>24838</v>
      </c>
      <c r="D40147" s="21" t="s">
        <v>24820</v>
      </c>
      <c r="E40147" s="21" t="s">
        <v>35</v>
      </c>
      <c r="F40147">
        <v>3290090</v>
      </c>
      <c r="G40147" t="s">
        <v>1390</v>
      </c>
      <c r="H40147" s="21">
        <v>621.29</v>
      </c>
    </row>
    <row r="40148" spans="1:8" customFormat="1" x14ac:dyDescent="0.25">
      <c r="A40148" t="str">
        <f>"9223787"</f>
        <v>9223787</v>
      </c>
      <c r="B40148" t="s">
        <v>25316</v>
      </c>
      <c r="C40148" t="s">
        <v>24897</v>
      </c>
      <c r="D40148" s="21" t="s">
        <v>24820</v>
      </c>
      <c r="E40148" s="21" t="s">
        <v>35</v>
      </c>
      <c r="F40148">
        <v>11340017</v>
      </c>
      <c r="G40148" t="s">
        <v>10668</v>
      </c>
      <c r="H40148" s="21">
        <v>621.16999999999996</v>
      </c>
    </row>
    <row r="40149" spans="1:8" customFormat="1" x14ac:dyDescent="0.25">
      <c r="A40149" t="str">
        <f>"727253"</f>
        <v>727253</v>
      </c>
      <c r="B40149" t="s">
        <v>17811</v>
      </c>
      <c r="C40149" t="s">
        <v>24833</v>
      </c>
      <c r="D40149" s="21" t="s">
        <v>24820</v>
      </c>
      <c r="E40149" s="21" t="s">
        <v>35</v>
      </c>
      <c r="F40149">
        <v>12720050</v>
      </c>
      <c r="G40149" t="s">
        <v>5522</v>
      </c>
      <c r="H40149" s="21">
        <v>621.16999999999996</v>
      </c>
    </row>
    <row r="40150" spans="1:8" customFormat="1" x14ac:dyDescent="0.25">
      <c r="A40150" t="str">
        <f>"125182"</f>
        <v>125182</v>
      </c>
      <c r="B40150" t="s">
        <v>9524</v>
      </c>
      <c r="C40150" t="s">
        <v>23734</v>
      </c>
      <c r="D40150" s="21" t="s">
        <v>24820</v>
      </c>
      <c r="E40150" s="21" t="s">
        <v>71</v>
      </c>
      <c r="F40150">
        <v>11120043</v>
      </c>
      <c r="G40150" t="s">
        <v>9111</v>
      </c>
      <c r="H40150" s="21">
        <v>620.91999999999996</v>
      </c>
    </row>
    <row r="40151" spans="1:8" customFormat="1" x14ac:dyDescent="0.25">
      <c r="A40151" t="str">
        <f>"89153"</f>
        <v>89153</v>
      </c>
      <c r="B40151" t="s">
        <v>4013</v>
      </c>
      <c r="C40151" t="s">
        <v>23734</v>
      </c>
      <c r="D40151" s="21" t="s">
        <v>24820</v>
      </c>
      <c r="E40151" s="21" t="s">
        <v>254</v>
      </c>
      <c r="F40151">
        <v>2890023</v>
      </c>
      <c r="G40151" t="s">
        <v>1995</v>
      </c>
      <c r="H40151" s="21">
        <v>620.66999999999996</v>
      </c>
    </row>
    <row r="40152" spans="1:8" customFormat="1" x14ac:dyDescent="0.25">
      <c r="A40152" t="str">
        <f>"9522273"</f>
        <v>9522273</v>
      </c>
      <c r="B40152" t="s">
        <v>25229</v>
      </c>
      <c r="C40152" t="s">
        <v>25230</v>
      </c>
      <c r="D40152" s="21" t="s">
        <v>24820</v>
      </c>
      <c r="E40152" s="21" t="s">
        <v>71</v>
      </c>
      <c r="F40152">
        <v>8950435</v>
      </c>
      <c r="G40152" t="s">
        <v>6404</v>
      </c>
      <c r="H40152" s="21">
        <v>620.66999999999996</v>
      </c>
    </row>
    <row r="40153" spans="1:8" customFormat="1" x14ac:dyDescent="0.25">
      <c r="A40153" t="str">
        <f>"6011010"</f>
        <v>6011010</v>
      </c>
      <c r="B40153" t="s">
        <v>9032</v>
      </c>
      <c r="C40153" t="s">
        <v>24994</v>
      </c>
      <c r="D40153" s="21" t="s">
        <v>24820</v>
      </c>
      <c r="E40153" s="21" t="s">
        <v>254</v>
      </c>
      <c r="F40153">
        <v>9760004</v>
      </c>
      <c r="G40153" t="s">
        <v>56</v>
      </c>
      <c r="H40153" s="21">
        <v>620.66999999999996</v>
      </c>
    </row>
    <row r="40154" spans="1:8" customFormat="1" x14ac:dyDescent="0.25">
      <c r="A40154" t="str">
        <f>"54593"</f>
        <v>54593</v>
      </c>
      <c r="B40154" t="s">
        <v>25310</v>
      </c>
      <c r="C40154" t="s">
        <v>24897</v>
      </c>
      <c r="D40154" s="21" t="s">
        <v>24820</v>
      </c>
      <c r="E40154" s="21" t="s">
        <v>254</v>
      </c>
      <c r="F40154">
        <v>6540016</v>
      </c>
      <c r="G40154" t="s">
        <v>14523</v>
      </c>
      <c r="H40154" s="21">
        <v>620.16999999999996</v>
      </c>
    </row>
    <row r="40155" spans="1:8" customFormat="1" x14ac:dyDescent="0.25">
      <c r="A40155" t="str">
        <f>"879313"</f>
        <v>879313</v>
      </c>
      <c r="B40155" t="s">
        <v>25515</v>
      </c>
      <c r="C40155" t="s">
        <v>25053</v>
      </c>
      <c r="D40155" s="21" t="s">
        <v>24820</v>
      </c>
      <c r="E40155" s="21" t="s">
        <v>35</v>
      </c>
      <c r="F40155">
        <v>10870101</v>
      </c>
      <c r="G40155" t="s">
        <v>6607</v>
      </c>
      <c r="H40155" s="21">
        <v>620.16999999999996</v>
      </c>
    </row>
    <row r="40156" spans="1:8" customFormat="1" x14ac:dyDescent="0.25">
      <c r="A40156" t="str">
        <f>"2923225"</f>
        <v>2923225</v>
      </c>
      <c r="B40156" t="s">
        <v>25331</v>
      </c>
      <c r="C40156" t="s">
        <v>25151</v>
      </c>
      <c r="D40156" s="21" t="s">
        <v>24820</v>
      </c>
      <c r="E40156" s="21" t="s">
        <v>254</v>
      </c>
      <c r="F40156">
        <v>3290217</v>
      </c>
      <c r="G40156" t="s">
        <v>6770</v>
      </c>
      <c r="H40156" s="21">
        <v>620.16999999999996</v>
      </c>
    </row>
    <row r="40157" spans="1:8" customFormat="1" x14ac:dyDescent="0.25">
      <c r="A40157" t="str">
        <f>"536900"</f>
        <v>536900</v>
      </c>
      <c r="B40157" t="s">
        <v>20223</v>
      </c>
      <c r="C40157" t="s">
        <v>25035</v>
      </c>
      <c r="D40157" s="21" t="s">
        <v>24820</v>
      </c>
      <c r="E40157" s="21" t="s">
        <v>1089</v>
      </c>
      <c r="F40157">
        <v>12530114</v>
      </c>
      <c r="G40157" t="s">
        <v>1342</v>
      </c>
      <c r="H40157" s="21">
        <v>619.91999999999996</v>
      </c>
    </row>
    <row r="40158" spans="1:8" customFormat="1" x14ac:dyDescent="0.25">
      <c r="A40158" t="str">
        <f>"9514560"</f>
        <v>9514560</v>
      </c>
      <c r="B40158" t="s">
        <v>8784</v>
      </c>
      <c r="C40158" t="s">
        <v>24841</v>
      </c>
      <c r="D40158" s="21" t="s">
        <v>24820</v>
      </c>
      <c r="E40158" s="21" t="s">
        <v>35</v>
      </c>
      <c r="F40158">
        <v>8951449</v>
      </c>
      <c r="G40158" t="s">
        <v>4475</v>
      </c>
      <c r="H40158" s="21">
        <v>619.91999999999996</v>
      </c>
    </row>
    <row r="40159" spans="1:8" customFormat="1" x14ac:dyDescent="0.25">
      <c r="A40159" t="str">
        <f>"4419621"</f>
        <v>4419621</v>
      </c>
      <c r="B40159" t="s">
        <v>4569</v>
      </c>
      <c r="C40159" t="s">
        <v>25315</v>
      </c>
      <c r="D40159" s="21" t="s">
        <v>24820</v>
      </c>
      <c r="E40159" s="21" t="s">
        <v>71</v>
      </c>
      <c r="F40159">
        <v>12440008</v>
      </c>
      <c r="G40159" t="s">
        <v>4570</v>
      </c>
      <c r="H40159" s="21">
        <v>619.66999999999996</v>
      </c>
    </row>
    <row r="40160" spans="1:8" customFormat="1" x14ac:dyDescent="0.25">
      <c r="A40160" t="str">
        <f>"6933684"</f>
        <v>6933684</v>
      </c>
      <c r="B40160" t="s">
        <v>5893</v>
      </c>
      <c r="C40160" t="s">
        <v>22831</v>
      </c>
      <c r="D40160" s="21" t="s">
        <v>24820</v>
      </c>
      <c r="E40160" s="21" t="s">
        <v>35</v>
      </c>
      <c r="F40160">
        <v>1690002</v>
      </c>
      <c r="G40160" t="s">
        <v>5604</v>
      </c>
      <c r="H40160" s="21">
        <v>619.66999999999996</v>
      </c>
    </row>
    <row r="40161" spans="1:8" customFormat="1" x14ac:dyDescent="0.25">
      <c r="A40161" t="str">
        <f>"228620"</f>
        <v>228620</v>
      </c>
      <c r="B40161" t="s">
        <v>14762</v>
      </c>
      <c r="C40161" t="s">
        <v>24865</v>
      </c>
      <c r="D40161" s="21" t="s">
        <v>24820</v>
      </c>
      <c r="E40161" s="21" t="s">
        <v>254</v>
      </c>
      <c r="F40161">
        <v>3220138</v>
      </c>
      <c r="G40161" t="s">
        <v>27804</v>
      </c>
      <c r="H40161" s="21">
        <v>619.16999999999996</v>
      </c>
    </row>
    <row r="40162" spans="1:8" customFormat="1" x14ac:dyDescent="0.25">
      <c r="A40162" t="str">
        <f>"7923508"</f>
        <v>7923508</v>
      </c>
      <c r="B40162" t="s">
        <v>12814</v>
      </c>
      <c r="C40162" t="s">
        <v>24910</v>
      </c>
      <c r="D40162" s="21" t="s">
        <v>24820</v>
      </c>
      <c r="E40162" s="21" t="s">
        <v>35</v>
      </c>
      <c r="F40162">
        <v>10790186</v>
      </c>
      <c r="G40162" t="s">
        <v>16305</v>
      </c>
      <c r="H40162" s="21">
        <v>619.16999999999996</v>
      </c>
    </row>
    <row r="40163" spans="1:8" customFormat="1" x14ac:dyDescent="0.25">
      <c r="A40163" t="str">
        <f>"7620930"</f>
        <v>7620930</v>
      </c>
      <c r="B40163" t="s">
        <v>25449</v>
      </c>
      <c r="C40163" t="s">
        <v>24833</v>
      </c>
      <c r="D40163" s="21" t="s">
        <v>24820</v>
      </c>
      <c r="E40163" s="21" t="s">
        <v>35</v>
      </c>
      <c r="F40163">
        <v>9760319</v>
      </c>
      <c r="G40163" t="s">
        <v>3051</v>
      </c>
      <c r="H40163" s="21">
        <v>618.66999999999996</v>
      </c>
    </row>
    <row r="40164" spans="1:8" customFormat="1" x14ac:dyDescent="0.25">
      <c r="A40164" t="str">
        <f>"679734"</f>
        <v>679734</v>
      </c>
      <c r="B40164" t="s">
        <v>25341</v>
      </c>
      <c r="C40164" t="s">
        <v>25141</v>
      </c>
      <c r="D40164" s="21" t="s">
        <v>24820</v>
      </c>
      <c r="E40164" s="21" t="s">
        <v>254</v>
      </c>
      <c r="F40164">
        <v>6670002</v>
      </c>
      <c r="G40164" t="s">
        <v>5740</v>
      </c>
      <c r="H40164" s="21">
        <v>618.66999999999996</v>
      </c>
    </row>
    <row r="40165" spans="1:8" customFormat="1" x14ac:dyDescent="0.25">
      <c r="A40165" t="str">
        <f>"034201"</f>
        <v>034201</v>
      </c>
      <c r="B40165" t="s">
        <v>7675</v>
      </c>
      <c r="C40165" t="s">
        <v>23734</v>
      </c>
      <c r="D40165" s="21" t="s">
        <v>24820</v>
      </c>
      <c r="E40165" s="21" t="s">
        <v>35</v>
      </c>
      <c r="F40165">
        <v>1030300</v>
      </c>
      <c r="G40165" t="s">
        <v>7676</v>
      </c>
      <c r="H40165" s="21">
        <v>618.66999999999996</v>
      </c>
    </row>
    <row r="40166" spans="1:8" customFormat="1" x14ac:dyDescent="0.25">
      <c r="A40166" t="str">
        <f>"4413703"</f>
        <v>4413703</v>
      </c>
      <c r="B40166" t="s">
        <v>25345</v>
      </c>
      <c r="C40166" t="s">
        <v>24898</v>
      </c>
      <c r="D40166" s="21" t="s">
        <v>24820</v>
      </c>
      <c r="E40166" s="21" t="s">
        <v>254</v>
      </c>
      <c r="F40166">
        <v>12440058</v>
      </c>
      <c r="G40166" t="s">
        <v>394</v>
      </c>
      <c r="H40166" s="21">
        <v>618.66999999999996</v>
      </c>
    </row>
    <row r="40167" spans="1:8" customFormat="1" x14ac:dyDescent="0.25">
      <c r="A40167" t="str">
        <f>"956577"</f>
        <v>956577</v>
      </c>
      <c r="B40167" t="s">
        <v>3606</v>
      </c>
      <c r="C40167" t="s">
        <v>24937</v>
      </c>
      <c r="D40167" s="21" t="s">
        <v>24820</v>
      </c>
      <c r="E40167" s="21" t="s">
        <v>35</v>
      </c>
      <c r="F40167">
        <v>8950553</v>
      </c>
      <c r="G40167" t="s">
        <v>1058</v>
      </c>
      <c r="H40167" s="21">
        <v>618.5</v>
      </c>
    </row>
    <row r="40168" spans="1:8" customFormat="1" x14ac:dyDescent="0.25">
      <c r="A40168" t="str">
        <f>"308977"</f>
        <v>308977</v>
      </c>
      <c r="B40168" t="s">
        <v>7382</v>
      </c>
      <c r="C40168" t="s">
        <v>25178</v>
      </c>
      <c r="D40168" s="21" t="s">
        <v>24820</v>
      </c>
      <c r="E40168" s="21" t="s">
        <v>71</v>
      </c>
      <c r="F40168">
        <v>11300047</v>
      </c>
      <c r="G40168" t="s">
        <v>9549</v>
      </c>
      <c r="H40168" s="21">
        <v>618.41999999999996</v>
      </c>
    </row>
    <row r="40169" spans="1:8" customFormat="1" x14ac:dyDescent="0.25">
      <c r="A40169" t="str">
        <f>"178363"</f>
        <v>178363</v>
      </c>
      <c r="B40169" t="s">
        <v>907</v>
      </c>
      <c r="C40169" t="s">
        <v>24897</v>
      </c>
      <c r="D40169" s="21" t="s">
        <v>24820</v>
      </c>
      <c r="E40169" s="21" t="s">
        <v>71</v>
      </c>
      <c r="F40169">
        <v>10170162</v>
      </c>
      <c r="G40169" t="s">
        <v>2817</v>
      </c>
      <c r="H40169" s="21">
        <v>618.16999999999996</v>
      </c>
    </row>
    <row r="40170" spans="1:8" customFormat="1" x14ac:dyDescent="0.25">
      <c r="A40170" t="str">
        <f>"4512948"</f>
        <v>4512948</v>
      </c>
      <c r="B40170" t="s">
        <v>23433</v>
      </c>
      <c r="C40170" t="s">
        <v>24828</v>
      </c>
      <c r="D40170" s="21" t="s">
        <v>24820</v>
      </c>
      <c r="E40170" s="21" t="s">
        <v>35</v>
      </c>
      <c r="F40170">
        <v>8911225</v>
      </c>
      <c r="G40170" t="s">
        <v>4297</v>
      </c>
      <c r="H40170" s="21">
        <v>617.66999999999996</v>
      </c>
    </row>
    <row r="40171" spans="1:8" customFormat="1" x14ac:dyDescent="0.25">
      <c r="A40171" t="str">
        <f>"476023"</f>
        <v>476023</v>
      </c>
      <c r="B40171" t="s">
        <v>25422</v>
      </c>
      <c r="C40171" t="s">
        <v>24824</v>
      </c>
      <c r="D40171" s="21" t="s">
        <v>24820</v>
      </c>
      <c r="E40171" s="21" t="s">
        <v>254</v>
      </c>
      <c r="F40171">
        <v>10470006</v>
      </c>
      <c r="G40171" t="s">
        <v>1225</v>
      </c>
      <c r="H40171" s="21">
        <v>617.41999999999996</v>
      </c>
    </row>
    <row r="40172" spans="1:8" customFormat="1" x14ac:dyDescent="0.25">
      <c r="A40172" t="str">
        <f>"5019034"</f>
        <v>5019034</v>
      </c>
      <c r="B40172" t="s">
        <v>17279</v>
      </c>
      <c r="C40172" t="s">
        <v>25299</v>
      </c>
      <c r="D40172" s="21" t="s">
        <v>24820</v>
      </c>
      <c r="E40172" s="21" t="s">
        <v>35</v>
      </c>
      <c r="F40172">
        <v>9500124</v>
      </c>
      <c r="G40172" t="s">
        <v>3726</v>
      </c>
      <c r="H40172" s="21">
        <v>617.16999999999996</v>
      </c>
    </row>
    <row r="40173" spans="1:8" customFormat="1" x14ac:dyDescent="0.25">
      <c r="A40173" t="str">
        <f>"7522026"</f>
        <v>7522026</v>
      </c>
      <c r="B40173" t="s">
        <v>15680</v>
      </c>
      <c r="C40173" t="s">
        <v>24926</v>
      </c>
      <c r="D40173" s="21" t="s">
        <v>24820</v>
      </c>
      <c r="E40173" s="21" t="s">
        <v>35</v>
      </c>
      <c r="F40173">
        <v>8751124</v>
      </c>
      <c r="G40173" t="s">
        <v>1481</v>
      </c>
      <c r="H40173" s="21">
        <v>617.16999999999996</v>
      </c>
    </row>
    <row r="40174" spans="1:8" customFormat="1" x14ac:dyDescent="0.25">
      <c r="A40174" t="str">
        <f>"755686"</f>
        <v>755686</v>
      </c>
      <c r="B40174" t="s">
        <v>25335</v>
      </c>
      <c r="C40174" t="s">
        <v>24888</v>
      </c>
      <c r="D40174" s="21" t="s">
        <v>24820</v>
      </c>
      <c r="E40174" s="21" t="s">
        <v>254</v>
      </c>
      <c r="F40174">
        <v>8750007</v>
      </c>
      <c r="G40174" t="s">
        <v>775</v>
      </c>
      <c r="H40174" s="21">
        <v>617.16999999999996</v>
      </c>
    </row>
    <row r="40175" spans="1:8" customFormat="1" x14ac:dyDescent="0.25">
      <c r="A40175" t="str">
        <f>"9431046"</f>
        <v>9431046</v>
      </c>
      <c r="B40175" t="s">
        <v>25459</v>
      </c>
      <c r="C40175" t="s">
        <v>24896</v>
      </c>
      <c r="D40175" s="21" t="s">
        <v>24820</v>
      </c>
      <c r="E40175" s="21" t="s">
        <v>71</v>
      </c>
      <c r="F40175">
        <v>8940976</v>
      </c>
      <c r="G40175" t="s">
        <v>615</v>
      </c>
      <c r="H40175" s="21">
        <v>617.16999999999996</v>
      </c>
    </row>
    <row r="40176" spans="1:8" customFormat="1" x14ac:dyDescent="0.25">
      <c r="A40176" t="str">
        <f>"929161"</f>
        <v>929161</v>
      </c>
      <c r="B40176" t="s">
        <v>25423</v>
      </c>
      <c r="C40176" t="s">
        <v>24931</v>
      </c>
      <c r="D40176" s="21" t="s">
        <v>24820</v>
      </c>
      <c r="E40176" s="21" t="s">
        <v>1089</v>
      </c>
      <c r="F40176">
        <v>10170016</v>
      </c>
      <c r="G40176" t="s">
        <v>88</v>
      </c>
      <c r="H40176" s="21">
        <v>616.66999999999996</v>
      </c>
    </row>
    <row r="40177" spans="1:8" customFormat="1" x14ac:dyDescent="0.25">
      <c r="A40177" t="str">
        <f>"5427852"</f>
        <v>5427852</v>
      </c>
      <c r="B40177" t="s">
        <v>16232</v>
      </c>
      <c r="C40177" t="s">
        <v>24919</v>
      </c>
      <c r="D40177" s="21" t="s">
        <v>24820</v>
      </c>
      <c r="E40177" s="21" t="s">
        <v>35</v>
      </c>
      <c r="F40177">
        <v>6540128</v>
      </c>
      <c r="G40177" t="s">
        <v>1249</v>
      </c>
      <c r="H40177" s="21">
        <v>616.66999999999996</v>
      </c>
    </row>
    <row r="40178" spans="1:8" customFormat="1" x14ac:dyDescent="0.25">
      <c r="A40178" t="str">
        <f>"9419155"</f>
        <v>9419155</v>
      </c>
      <c r="B40178" t="s">
        <v>10304</v>
      </c>
      <c r="C40178" t="s">
        <v>24939</v>
      </c>
      <c r="D40178" s="21" t="s">
        <v>24820</v>
      </c>
      <c r="E40178" s="21" t="s">
        <v>71</v>
      </c>
      <c r="F40178">
        <v>8940448</v>
      </c>
      <c r="G40178" t="s">
        <v>1691</v>
      </c>
      <c r="H40178" s="21">
        <v>616.66999999999996</v>
      </c>
    </row>
    <row r="40179" spans="1:8" customFormat="1" x14ac:dyDescent="0.25">
      <c r="A40179" t="str">
        <f>"5321174"</f>
        <v>5321174</v>
      </c>
      <c r="B40179" t="s">
        <v>25368</v>
      </c>
      <c r="C40179" t="s">
        <v>25192</v>
      </c>
      <c r="D40179" s="21" t="s">
        <v>24820</v>
      </c>
      <c r="E40179" s="21" t="s">
        <v>35</v>
      </c>
      <c r="F40179">
        <v>12530147</v>
      </c>
      <c r="G40179" t="s">
        <v>1851</v>
      </c>
      <c r="H40179" s="21">
        <v>616.66999999999996</v>
      </c>
    </row>
    <row r="40180" spans="1:8" customFormat="1" x14ac:dyDescent="0.25">
      <c r="A40180" t="str">
        <f>"5012321"</f>
        <v>5012321</v>
      </c>
      <c r="B40180" t="s">
        <v>9226</v>
      </c>
      <c r="C40180" t="s">
        <v>24890</v>
      </c>
      <c r="D40180" s="21" t="s">
        <v>24820</v>
      </c>
      <c r="E40180" s="21" t="s">
        <v>254</v>
      </c>
      <c r="F40180">
        <v>9500117</v>
      </c>
      <c r="G40180" t="s">
        <v>247</v>
      </c>
      <c r="H40180" s="21">
        <v>615.66999999999996</v>
      </c>
    </row>
    <row r="40181" spans="1:8" customFormat="1" x14ac:dyDescent="0.25">
      <c r="A40181" t="str">
        <f>"79244"</f>
        <v>79244</v>
      </c>
      <c r="B40181" t="s">
        <v>1653</v>
      </c>
      <c r="C40181" t="s">
        <v>24824</v>
      </c>
      <c r="D40181" s="21" t="s">
        <v>24820</v>
      </c>
      <c r="E40181" s="21" t="s">
        <v>35</v>
      </c>
      <c r="F40181">
        <v>10330082</v>
      </c>
      <c r="G40181" t="s">
        <v>5564</v>
      </c>
      <c r="H40181" s="21">
        <v>615.66999999999996</v>
      </c>
    </row>
    <row r="40182" spans="1:8" customFormat="1" x14ac:dyDescent="0.25">
      <c r="A40182" t="str">
        <f>"667653"</f>
        <v>667653</v>
      </c>
      <c r="B40182" t="s">
        <v>25493</v>
      </c>
      <c r="C40182" t="s">
        <v>24904</v>
      </c>
      <c r="D40182" s="21" t="s">
        <v>24820</v>
      </c>
      <c r="E40182" s="21" t="s">
        <v>35</v>
      </c>
      <c r="F40182">
        <v>11660041</v>
      </c>
      <c r="G40182" t="s">
        <v>18594</v>
      </c>
      <c r="H40182" s="21">
        <v>615.16999999999996</v>
      </c>
    </row>
    <row r="40183" spans="1:8" customFormat="1" x14ac:dyDescent="0.25">
      <c r="A40183" t="str">
        <f>"6228167"</f>
        <v>6228167</v>
      </c>
      <c r="B40183" t="s">
        <v>29778</v>
      </c>
      <c r="C40183" t="s">
        <v>24927</v>
      </c>
      <c r="D40183" s="21" t="s">
        <v>24820</v>
      </c>
      <c r="E40183" s="21" t="s">
        <v>1089</v>
      </c>
      <c r="F40183">
        <v>7620049</v>
      </c>
      <c r="G40183" t="s">
        <v>1176</v>
      </c>
      <c r="H40183" s="21">
        <v>615.16999999999996</v>
      </c>
    </row>
    <row r="40184" spans="1:8" customFormat="1" x14ac:dyDescent="0.25">
      <c r="A40184" t="str">
        <f>"6112414"</f>
        <v>6112414</v>
      </c>
      <c r="B40184" t="s">
        <v>19362</v>
      </c>
      <c r="C40184" t="s">
        <v>24973</v>
      </c>
      <c r="D40184" s="21" t="s">
        <v>24820</v>
      </c>
      <c r="E40184" s="21" t="s">
        <v>35</v>
      </c>
      <c r="F40184">
        <v>11310070</v>
      </c>
      <c r="G40184" t="s">
        <v>11563</v>
      </c>
      <c r="H40184" s="21">
        <v>614.66999999999996</v>
      </c>
    </row>
    <row r="40185" spans="1:8" customFormat="1" x14ac:dyDescent="0.25">
      <c r="A40185" t="str">
        <f>"179217"</f>
        <v>179217</v>
      </c>
      <c r="B40185" t="s">
        <v>146</v>
      </c>
      <c r="C40185" t="s">
        <v>24898</v>
      </c>
      <c r="D40185" s="21" t="s">
        <v>24820</v>
      </c>
      <c r="E40185" s="21" t="s">
        <v>254</v>
      </c>
      <c r="F40185">
        <v>10170064</v>
      </c>
      <c r="G40185" t="s">
        <v>1900</v>
      </c>
      <c r="H40185" s="21">
        <v>614.41999999999996</v>
      </c>
    </row>
    <row r="40186" spans="1:8" customFormat="1" x14ac:dyDescent="0.25">
      <c r="A40186" t="str">
        <f>"878197"</f>
        <v>878197</v>
      </c>
      <c r="B40186" t="s">
        <v>25363</v>
      </c>
      <c r="C40186" t="s">
        <v>24865</v>
      </c>
      <c r="D40186" s="21" t="s">
        <v>24820</v>
      </c>
      <c r="E40186" s="21" t="s">
        <v>71</v>
      </c>
      <c r="F40186">
        <v>10870101</v>
      </c>
      <c r="G40186" t="s">
        <v>6607</v>
      </c>
      <c r="H40186" s="21">
        <v>614.16999999999996</v>
      </c>
    </row>
    <row r="40187" spans="1:8" customFormat="1" x14ac:dyDescent="0.25">
      <c r="A40187" t="str">
        <f>"9214232"</f>
        <v>9214232</v>
      </c>
      <c r="B40187" t="s">
        <v>25507</v>
      </c>
      <c r="C40187" t="s">
        <v>25508</v>
      </c>
      <c r="D40187" s="21" t="s">
        <v>24820</v>
      </c>
      <c r="E40187" s="21" t="s">
        <v>35</v>
      </c>
      <c r="F40187">
        <v>8920075</v>
      </c>
      <c r="G40187" t="s">
        <v>317</v>
      </c>
      <c r="H40187" s="21">
        <v>613.66999999999996</v>
      </c>
    </row>
    <row r="40188" spans="1:8" customFormat="1" x14ac:dyDescent="0.25">
      <c r="A40188" t="str">
        <f>"2516525"</f>
        <v>2516525</v>
      </c>
      <c r="B40188" t="s">
        <v>760</v>
      </c>
      <c r="C40188" t="s">
        <v>25540</v>
      </c>
      <c r="D40188" s="21" t="s">
        <v>24820</v>
      </c>
      <c r="E40188" s="21" t="s">
        <v>35</v>
      </c>
      <c r="F40188">
        <v>2250208</v>
      </c>
      <c r="G40188" t="s">
        <v>10923</v>
      </c>
      <c r="H40188" s="21">
        <v>613.66999999999996</v>
      </c>
    </row>
    <row r="40189" spans="1:8" customFormat="1" x14ac:dyDescent="0.25">
      <c r="A40189" t="str">
        <f>"9232313"</f>
        <v>9232313</v>
      </c>
      <c r="B40189" t="s">
        <v>25373</v>
      </c>
      <c r="C40189" t="s">
        <v>25374</v>
      </c>
      <c r="D40189" s="21" t="s">
        <v>24820</v>
      </c>
      <c r="E40189" s="21" t="s">
        <v>35</v>
      </c>
      <c r="F40189">
        <v>8920140</v>
      </c>
      <c r="G40189" t="s">
        <v>3762</v>
      </c>
      <c r="H40189" s="21">
        <v>613.16999999999996</v>
      </c>
    </row>
    <row r="40190" spans="1:8" customFormat="1" x14ac:dyDescent="0.25">
      <c r="A40190" t="str">
        <f>"3722993"</f>
        <v>3722993</v>
      </c>
      <c r="B40190" t="s">
        <v>25395</v>
      </c>
      <c r="C40190" t="s">
        <v>24828</v>
      </c>
      <c r="D40190" s="21" t="s">
        <v>24820</v>
      </c>
      <c r="E40190" s="21" t="s">
        <v>35</v>
      </c>
      <c r="F40190">
        <v>4370002</v>
      </c>
      <c r="G40190" t="s">
        <v>112</v>
      </c>
      <c r="H40190" s="21">
        <v>612.91999999999996</v>
      </c>
    </row>
    <row r="40191" spans="1:8" customFormat="1" x14ac:dyDescent="0.25">
      <c r="A40191" t="str">
        <f>"089691"</f>
        <v>089691</v>
      </c>
      <c r="B40191" t="s">
        <v>8736</v>
      </c>
      <c r="C40191" t="s">
        <v>24883</v>
      </c>
      <c r="D40191" s="21" t="s">
        <v>24820</v>
      </c>
      <c r="E40191" s="21" t="s">
        <v>35</v>
      </c>
      <c r="F40191">
        <v>6080082</v>
      </c>
      <c r="G40191" t="s">
        <v>2401</v>
      </c>
      <c r="H40191" s="21">
        <v>612.91999999999996</v>
      </c>
    </row>
    <row r="40192" spans="1:8" customFormat="1" x14ac:dyDescent="0.25">
      <c r="A40192" t="str">
        <f>"5955044"</f>
        <v>5955044</v>
      </c>
      <c r="B40192" t="s">
        <v>16787</v>
      </c>
      <c r="C40192" t="s">
        <v>25475</v>
      </c>
      <c r="D40192" s="21" t="s">
        <v>24820</v>
      </c>
      <c r="E40192" s="21" t="s">
        <v>35</v>
      </c>
      <c r="F40192">
        <v>7590170</v>
      </c>
      <c r="G40192" t="s">
        <v>868</v>
      </c>
      <c r="H40192" s="21">
        <v>612.91999999999996</v>
      </c>
    </row>
    <row r="40193" spans="1:8" customFormat="1" x14ac:dyDescent="0.25">
      <c r="A40193" t="str">
        <f>"517989"</f>
        <v>517989</v>
      </c>
      <c r="B40193" t="s">
        <v>29779</v>
      </c>
      <c r="C40193" t="s">
        <v>24828</v>
      </c>
      <c r="D40193" s="21" t="s">
        <v>24820</v>
      </c>
      <c r="E40193" s="21" t="s">
        <v>71</v>
      </c>
      <c r="F40193">
        <v>6510077</v>
      </c>
      <c r="G40193" t="s">
        <v>756</v>
      </c>
      <c r="H40193" s="21">
        <v>612.66999999999996</v>
      </c>
    </row>
    <row r="40194" spans="1:8" customFormat="1" x14ac:dyDescent="0.25">
      <c r="A40194" t="str">
        <f>"75353"</f>
        <v>75353</v>
      </c>
      <c r="B40194" t="s">
        <v>25454</v>
      </c>
      <c r="C40194" t="s">
        <v>25455</v>
      </c>
      <c r="D40194" s="21" t="s">
        <v>24820</v>
      </c>
      <c r="E40194" s="21" t="s">
        <v>1089</v>
      </c>
      <c r="F40194">
        <v>8750120</v>
      </c>
      <c r="G40194" t="s">
        <v>838</v>
      </c>
      <c r="H40194" s="21">
        <v>612.54</v>
      </c>
    </row>
    <row r="40195" spans="1:8" customFormat="1" x14ac:dyDescent="0.25">
      <c r="A40195" t="str">
        <f>"6716788"</f>
        <v>6716788</v>
      </c>
      <c r="B40195" t="s">
        <v>5029</v>
      </c>
      <c r="C40195" t="s">
        <v>24865</v>
      </c>
      <c r="D40195" s="21" t="s">
        <v>24820</v>
      </c>
      <c r="E40195" s="21" t="s">
        <v>71</v>
      </c>
      <c r="F40195">
        <v>6670064</v>
      </c>
      <c r="G40195" t="s">
        <v>9358</v>
      </c>
      <c r="H40195" s="21">
        <v>612.16999999999996</v>
      </c>
    </row>
    <row r="40196" spans="1:8" customFormat="1" x14ac:dyDescent="0.25">
      <c r="A40196" t="str">
        <f>"6224297"</f>
        <v>6224297</v>
      </c>
      <c r="B40196" t="s">
        <v>12686</v>
      </c>
      <c r="C40196" t="s">
        <v>24889</v>
      </c>
      <c r="D40196" s="21" t="s">
        <v>24820</v>
      </c>
      <c r="E40196" s="21" t="s">
        <v>35</v>
      </c>
      <c r="F40196">
        <v>7620153</v>
      </c>
      <c r="G40196" t="s">
        <v>5104</v>
      </c>
      <c r="H40196" s="21">
        <v>612.16999999999996</v>
      </c>
    </row>
    <row r="40197" spans="1:8" customFormat="1" x14ac:dyDescent="0.25">
      <c r="A40197" t="str">
        <f>"4457324"</f>
        <v>4457324</v>
      </c>
      <c r="B40197" t="s">
        <v>650</v>
      </c>
      <c r="C40197" t="s">
        <v>24828</v>
      </c>
      <c r="D40197" s="21" t="s">
        <v>24820</v>
      </c>
      <c r="E40197" s="21" t="s">
        <v>35</v>
      </c>
      <c r="F40197">
        <v>12440104</v>
      </c>
      <c r="G40197" t="s">
        <v>5862</v>
      </c>
      <c r="H40197" s="21">
        <v>611.66999999999996</v>
      </c>
    </row>
    <row r="40198" spans="1:8" customFormat="1" x14ac:dyDescent="0.25">
      <c r="A40198" t="str">
        <f>"449904"</f>
        <v>449904</v>
      </c>
      <c r="B40198" t="s">
        <v>7883</v>
      </c>
      <c r="C40198" t="s">
        <v>25364</v>
      </c>
      <c r="D40198" s="21" t="s">
        <v>24820</v>
      </c>
      <c r="E40198" s="21" t="s">
        <v>254</v>
      </c>
      <c r="F40198">
        <v>12440116</v>
      </c>
      <c r="G40198" t="s">
        <v>26673</v>
      </c>
      <c r="H40198" s="21">
        <v>611.66999999999996</v>
      </c>
    </row>
    <row r="40199" spans="1:8" customFormat="1" x14ac:dyDescent="0.25">
      <c r="A40199" t="str">
        <f>"5017791"</f>
        <v>5017791</v>
      </c>
      <c r="B40199" t="s">
        <v>9774</v>
      </c>
      <c r="C40199" t="s">
        <v>24865</v>
      </c>
      <c r="D40199" s="21" t="s">
        <v>24820</v>
      </c>
      <c r="E40199" s="21" t="s">
        <v>71</v>
      </c>
      <c r="F40199">
        <v>9500012</v>
      </c>
      <c r="G40199" t="s">
        <v>10097</v>
      </c>
      <c r="H40199" s="21">
        <v>611.66999999999996</v>
      </c>
    </row>
    <row r="40200" spans="1:8" customFormat="1" x14ac:dyDescent="0.25">
      <c r="A40200" t="str">
        <f>"186516"</f>
        <v>186516</v>
      </c>
      <c r="B40200" t="s">
        <v>25346</v>
      </c>
      <c r="C40200" t="s">
        <v>24840</v>
      </c>
      <c r="D40200" s="21" t="s">
        <v>24820</v>
      </c>
      <c r="E40200" s="21" t="s">
        <v>71</v>
      </c>
      <c r="F40200">
        <v>4180174</v>
      </c>
      <c r="G40200" t="s">
        <v>3046</v>
      </c>
      <c r="H40200" s="21">
        <v>611.16999999999996</v>
      </c>
    </row>
    <row r="40201" spans="1:8" customFormat="1" x14ac:dyDescent="0.25">
      <c r="A40201" t="str">
        <f>"7635656"</f>
        <v>7635656</v>
      </c>
      <c r="B40201" t="s">
        <v>21856</v>
      </c>
      <c r="C40201" t="s">
        <v>22831</v>
      </c>
      <c r="D40201" s="21" t="s">
        <v>24820</v>
      </c>
      <c r="E40201" s="21" t="s">
        <v>35</v>
      </c>
      <c r="F40201">
        <v>11480027</v>
      </c>
      <c r="G40201" t="s">
        <v>2950</v>
      </c>
      <c r="H40201" s="21">
        <v>611.16999999999996</v>
      </c>
    </row>
    <row r="40202" spans="1:8" customFormat="1" x14ac:dyDescent="0.25">
      <c r="A40202" t="str">
        <f>"729607"</f>
        <v>729607</v>
      </c>
      <c r="B40202" t="s">
        <v>14450</v>
      </c>
      <c r="C40202" t="s">
        <v>24898</v>
      </c>
      <c r="D40202" s="21" t="s">
        <v>24820</v>
      </c>
      <c r="E40202" s="21" t="s">
        <v>254</v>
      </c>
      <c r="F40202">
        <v>12720133</v>
      </c>
      <c r="G40202" t="s">
        <v>21778</v>
      </c>
      <c r="H40202" s="21">
        <v>610.66999999999996</v>
      </c>
    </row>
    <row r="40203" spans="1:8" customFormat="1" x14ac:dyDescent="0.25">
      <c r="A40203" t="str">
        <f>"6111644"</f>
        <v>6111644</v>
      </c>
      <c r="B40203" t="s">
        <v>29780</v>
      </c>
      <c r="C40203" t="s">
        <v>24915</v>
      </c>
      <c r="D40203" s="21" t="s">
        <v>24820</v>
      </c>
      <c r="E40203" s="21" t="s">
        <v>35</v>
      </c>
      <c r="F40203">
        <v>9610093</v>
      </c>
      <c r="G40203" t="s">
        <v>8231</v>
      </c>
      <c r="H40203" s="21">
        <v>610.41999999999996</v>
      </c>
    </row>
    <row r="40204" spans="1:8" customFormat="1" x14ac:dyDescent="0.25">
      <c r="A40204" t="str">
        <f>"723377"</f>
        <v>723377</v>
      </c>
      <c r="B40204" t="s">
        <v>10473</v>
      </c>
      <c r="C40204" t="s">
        <v>25234</v>
      </c>
      <c r="D40204" s="21" t="s">
        <v>24820</v>
      </c>
      <c r="E40204" s="21" t="s">
        <v>71</v>
      </c>
      <c r="F40204">
        <v>12720016</v>
      </c>
      <c r="G40204" t="s">
        <v>11791</v>
      </c>
      <c r="H40204" s="21">
        <v>610.16999999999996</v>
      </c>
    </row>
    <row r="40205" spans="1:8" customFormat="1" x14ac:dyDescent="0.25">
      <c r="A40205" t="str">
        <f>"813898"</f>
        <v>813898</v>
      </c>
      <c r="B40205" t="s">
        <v>20021</v>
      </c>
      <c r="C40205" t="s">
        <v>25358</v>
      </c>
      <c r="D40205" s="21" t="s">
        <v>24820</v>
      </c>
      <c r="E40205" s="21" t="s">
        <v>71</v>
      </c>
      <c r="F40205">
        <v>11810008</v>
      </c>
      <c r="G40205" t="s">
        <v>8796</v>
      </c>
      <c r="H40205" s="21">
        <v>610.16999999999996</v>
      </c>
    </row>
    <row r="40206" spans="1:8" customFormat="1" x14ac:dyDescent="0.25">
      <c r="A40206" t="str">
        <f>"6919196"</f>
        <v>6919196</v>
      </c>
      <c r="B40206" t="s">
        <v>25479</v>
      </c>
      <c r="C40206" t="s">
        <v>25275</v>
      </c>
      <c r="D40206" s="21" t="s">
        <v>24820</v>
      </c>
      <c r="E40206" s="21" t="s">
        <v>1089</v>
      </c>
      <c r="F40206">
        <v>1690013</v>
      </c>
      <c r="G40206" t="s">
        <v>26900</v>
      </c>
      <c r="H40206" s="21">
        <v>610.16999999999996</v>
      </c>
    </row>
    <row r="40207" spans="1:8" customFormat="1" x14ac:dyDescent="0.25">
      <c r="A40207" t="str">
        <f>"9146606"</f>
        <v>9146606</v>
      </c>
      <c r="B40207" t="s">
        <v>1451</v>
      </c>
      <c r="C40207" t="s">
        <v>22831</v>
      </c>
      <c r="D40207" s="21" t="s">
        <v>24820</v>
      </c>
      <c r="E40207" s="21" t="s">
        <v>35</v>
      </c>
      <c r="F40207">
        <v>8911334</v>
      </c>
      <c r="G40207" t="s">
        <v>4170</v>
      </c>
      <c r="H40207" s="21">
        <v>610.16999999999996</v>
      </c>
    </row>
    <row r="40208" spans="1:8" customFormat="1" x14ac:dyDescent="0.25">
      <c r="A40208" t="str">
        <f>"663426"</f>
        <v>663426</v>
      </c>
      <c r="B40208" t="s">
        <v>29781</v>
      </c>
      <c r="C40208" t="s">
        <v>24833</v>
      </c>
      <c r="D40208" s="21" t="s">
        <v>24820</v>
      </c>
      <c r="E40208" s="21" t="s">
        <v>35</v>
      </c>
      <c r="F40208">
        <v>1730076</v>
      </c>
      <c r="G40208" t="s">
        <v>936</v>
      </c>
      <c r="H40208" s="21">
        <v>609.16999999999996</v>
      </c>
    </row>
    <row r="40209" spans="1:8" customFormat="1" x14ac:dyDescent="0.25">
      <c r="A40209" t="str">
        <f>"7510374"</f>
        <v>7510374</v>
      </c>
      <c r="B40209" t="s">
        <v>25401</v>
      </c>
      <c r="C40209" t="s">
        <v>24877</v>
      </c>
      <c r="D40209" s="21" t="s">
        <v>24820</v>
      </c>
      <c r="E40209" s="21" t="s">
        <v>254</v>
      </c>
      <c r="F40209">
        <v>8920018</v>
      </c>
      <c r="G40209" t="s">
        <v>1281</v>
      </c>
      <c r="H40209" s="21">
        <v>609.16999999999996</v>
      </c>
    </row>
    <row r="40210" spans="1:8" customFormat="1" x14ac:dyDescent="0.25">
      <c r="A40210" t="str">
        <f>"569368"</f>
        <v>569368</v>
      </c>
      <c r="B40210" t="s">
        <v>13187</v>
      </c>
      <c r="C40210" t="s">
        <v>24968</v>
      </c>
      <c r="D40210" s="21" t="s">
        <v>24820</v>
      </c>
      <c r="E40210" s="21" t="s">
        <v>35</v>
      </c>
      <c r="F40210">
        <v>3560023</v>
      </c>
      <c r="G40210" t="s">
        <v>8213</v>
      </c>
      <c r="H40210" s="21">
        <v>609.16999999999996</v>
      </c>
    </row>
    <row r="40211" spans="1:8" customFormat="1" x14ac:dyDescent="0.25">
      <c r="A40211" t="str">
        <f>"6910264"</f>
        <v>6910264</v>
      </c>
      <c r="B40211" t="s">
        <v>25404</v>
      </c>
      <c r="C40211" t="s">
        <v>24824</v>
      </c>
      <c r="D40211" s="21" t="s">
        <v>24820</v>
      </c>
      <c r="E40211" s="21" t="s">
        <v>254</v>
      </c>
      <c r="F40211">
        <v>1690090</v>
      </c>
      <c r="G40211" t="s">
        <v>6286</v>
      </c>
      <c r="H40211" s="21">
        <v>608.66999999999996</v>
      </c>
    </row>
    <row r="40212" spans="1:8" customFormat="1" x14ac:dyDescent="0.25">
      <c r="A40212" t="str">
        <f>"5415212"</f>
        <v>5415212</v>
      </c>
      <c r="B40212" t="s">
        <v>7397</v>
      </c>
      <c r="C40212" t="s">
        <v>25053</v>
      </c>
      <c r="D40212" s="21" t="s">
        <v>24820</v>
      </c>
      <c r="E40212" s="21" t="s">
        <v>35</v>
      </c>
      <c r="F40212">
        <v>6540198</v>
      </c>
      <c r="G40212" t="s">
        <v>9045</v>
      </c>
      <c r="H40212" s="21">
        <v>608.66999999999996</v>
      </c>
    </row>
    <row r="40213" spans="1:8" customFormat="1" x14ac:dyDescent="0.25">
      <c r="A40213" t="str">
        <f>"652229"</f>
        <v>652229</v>
      </c>
      <c r="B40213" t="s">
        <v>25410</v>
      </c>
      <c r="C40213" t="s">
        <v>263</v>
      </c>
      <c r="D40213" s="21" t="s">
        <v>24820</v>
      </c>
      <c r="E40213" s="21" t="s">
        <v>254</v>
      </c>
      <c r="F40213">
        <v>11650014</v>
      </c>
      <c r="G40213" t="s">
        <v>9313</v>
      </c>
      <c r="H40213" s="21">
        <v>608.66999999999996</v>
      </c>
    </row>
    <row r="40214" spans="1:8" customFormat="1" x14ac:dyDescent="0.25">
      <c r="A40214" t="str">
        <f>"2719349"</f>
        <v>2719349</v>
      </c>
      <c r="B40214" t="s">
        <v>15528</v>
      </c>
      <c r="C40214" t="s">
        <v>25506</v>
      </c>
      <c r="D40214" s="21" t="s">
        <v>24820</v>
      </c>
      <c r="E40214" s="21" t="s">
        <v>35</v>
      </c>
      <c r="F40214">
        <v>9270095</v>
      </c>
      <c r="G40214" t="s">
        <v>1681</v>
      </c>
      <c r="H40214" s="21">
        <v>608.41999999999996</v>
      </c>
    </row>
    <row r="40215" spans="1:8" customFormat="1" x14ac:dyDescent="0.25">
      <c r="A40215" t="str">
        <f>"6918757"</f>
        <v>6918757</v>
      </c>
      <c r="B40215" t="s">
        <v>25369</v>
      </c>
      <c r="C40215" t="s">
        <v>23734</v>
      </c>
      <c r="D40215" s="21" t="s">
        <v>24820</v>
      </c>
      <c r="E40215" s="21" t="s">
        <v>254</v>
      </c>
      <c r="F40215">
        <v>1690090</v>
      </c>
      <c r="G40215" t="s">
        <v>6286</v>
      </c>
      <c r="H40215" s="21">
        <v>607.66999999999996</v>
      </c>
    </row>
    <row r="40216" spans="1:8" customFormat="1" x14ac:dyDescent="0.25">
      <c r="A40216" t="str">
        <f>"2515762"</f>
        <v>2515762</v>
      </c>
      <c r="B40216" t="s">
        <v>25336</v>
      </c>
      <c r="C40216" t="s">
        <v>24994</v>
      </c>
      <c r="D40216" s="21" t="s">
        <v>24820</v>
      </c>
      <c r="E40216" s="21" t="s">
        <v>71</v>
      </c>
      <c r="F40216">
        <v>2250224</v>
      </c>
      <c r="G40216" t="s">
        <v>9217</v>
      </c>
      <c r="H40216" s="21">
        <v>607.66999999999996</v>
      </c>
    </row>
    <row r="40217" spans="1:8" customFormat="1" x14ac:dyDescent="0.25">
      <c r="A40217" t="str">
        <f>"2616038"</f>
        <v>2616038</v>
      </c>
      <c r="B40217" t="s">
        <v>8862</v>
      </c>
      <c r="C40217" t="s">
        <v>22831</v>
      </c>
      <c r="D40217" s="21" t="s">
        <v>24820</v>
      </c>
      <c r="E40217" s="21" t="s">
        <v>71</v>
      </c>
      <c r="F40217">
        <v>1260065</v>
      </c>
      <c r="G40217" t="s">
        <v>1958</v>
      </c>
      <c r="H40217" s="21">
        <v>607.41999999999996</v>
      </c>
    </row>
    <row r="40218" spans="1:8" customFormat="1" x14ac:dyDescent="0.25">
      <c r="A40218" t="str">
        <f>"137715"</f>
        <v>137715</v>
      </c>
      <c r="B40218" t="s">
        <v>25360</v>
      </c>
      <c r="C40218" t="s">
        <v>25361</v>
      </c>
      <c r="D40218" s="21" t="s">
        <v>24820</v>
      </c>
      <c r="E40218" s="21" t="s">
        <v>254</v>
      </c>
      <c r="F40218">
        <v>13830083</v>
      </c>
      <c r="G40218" t="s">
        <v>2159</v>
      </c>
      <c r="H40218" s="21">
        <v>607.16999999999996</v>
      </c>
    </row>
    <row r="40219" spans="1:8" customFormat="1" x14ac:dyDescent="0.25">
      <c r="A40219" t="str">
        <f>"3323915"</f>
        <v>3323915</v>
      </c>
      <c r="B40219" t="s">
        <v>3124</v>
      </c>
      <c r="C40219" t="s">
        <v>24894</v>
      </c>
      <c r="D40219" s="21" t="s">
        <v>24820</v>
      </c>
      <c r="E40219" s="21" t="s">
        <v>71</v>
      </c>
      <c r="F40219">
        <v>10330034</v>
      </c>
      <c r="G40219" t="s">
        <v>6011</v>
      </c>
      <c r="H40219" s="21">
        <v>607.16999999999996</v>
      </c>
    </row>
    <row r="40220" spans="1:8" customFormat="1" x14ac:dyDescent="0.25">
      <c r="A40220" t="str">
        <f>"5956820"</f>
        <v>5956820</v>
      </c>
      <c r="B40220" t="s">
        <v>3848</v>
      </c>
      <c r="C40220" t="s">
        <v>25282</v>
      </c>
      <c r="D40220" s="21" t="s">
        <v>24820</v>
      </c>
      <c r="E40220" s="21" t="s">
        <v>254</v>
      </c>
      <c r="F40220">
        <v>7590053</v>
      </c>
      <c r="G40220" t="s">
        <v>2825</v>
      </c>
      <c r="H40220" s="21">
        <v>606.91999999999996</v>
      </c>
    </row>
    <row r="40221" spans="1:8" customFormat="1" x14ac:dyDescent="0.25">
      <c r="A40221" t="str">
        <f>"6710258"</f>
        <v>6710258</v>
      </c>
      <c r="B40221" t="s">
        <v>25366</v>
      </c>
      <c r="C40221" t="s">
        <v>25367</v>
      </c>
      <c r="D40221" s="21" t="s">
        <v>24820</v>
      </c>
      <c r="E40221" s="21" t="s">
        <v>254</v>
      </c>
      <c r="F40221">
        <v>6670002</v>
      </c>
      <c r="G40221" t="s">
        <v>5740</v>
      </c>
      <c r="H40221" s="21">
        <v>606.66999999999996</v>
      </c>
    </row>
    <row r="40222" spans="1:8" customFormat="1" x14ac:dyDescent="0.25">
      <c r="A40222" t="str">
        <f>"8526350"</f>
        <v>8526350</v>
      </c>
      <c r="B40222" t="s">
        <v>10135</v>
      </c>
      <c r="C40222" t="s">
        <v>22831</v>
      </c>
      <c r="D40222" s="21" t="s">
        <v>24820</v>
      </c>
      <c r="E40222" s="21" t="s">
        <v>35</v>
      </c>
      <c r="F40222">
        <v>12850078</v>
      </c>
      <c r="G40222" t="s">
        <v>5639</v>
      </c>
      <c r="H40222" s="21">
        <v>606.16999999999996</v>
      </c>
    </row>
    <row r="40223" spans="1:8" customFormat="1" x14ac:dyDescent="0.25">
      <c r="A40223" t="str">
        <f>"9525162"</f>
        <v>9525162</v>
      </c>
      <c r="B40223" t="s">
        <v>12168</v>
      </c>
      <c r="C40223" t="s">
        <v>24897</v>
      </c>
      <c r="D40223" s="21" t="s">
        <v>24820</v>
      </c>
      <c r="E40223" s="21" t="s">
        <v>35</v>
      </c>
      <c r="F40223">
        <v>8951092</v>
      </c>
      <c r="G40223" t="s">
        <v>5801</v>
      </c>
      <c r="H40223" s="21">
        <v>606.16999999999996</v>
      </c>
    </row>
    <row r="40224" spans="1:8" customFormat="1" x14ac:dyDescent="0.25">
      <c r="A40224" t="str">
        <f>"579719"</f>
        <v>579719</v>
      </c>
      <c r="B40224" t="s">
        <v>29782</v>
      </c>
      <c r="C40224" t="s">
        <v>24988</v>
      </c>
      <c r="D40224" s="21" t="s">
        <v>24820</v>
      </c>
      <c r="E40224" s="21" t="s">
        <v>35</v>
      </c>
      <c r="F40224">
        <v>6570075</v>
      </c>
      <c r="G40224" t="s">
        <v>3008</v>
      </c>
      <c r="H40224" s="21">
        <v>605.66999999999996</v>
      </c>
    </row>
    <row r="40225" spans="1:8" customFormat="1" x14ac:dyDescent="0.25">
      <c r="A40225" t="str">
        <f>"4433362"</f>
        <v>4433362</v>
      </c>
      <c r="B40225" t="s">
        <v>8606</v>
      </c>
      <c r="C40225" t="s">
        <v>23734</v>
      </c>
      <c r="D40225" s="21" t="s">
        <v>24820</v>
      </c>
      <c r="E40225" s="21" t="s">
        <v>71</v>
      </c>
      <c r="F40225">
        <v>12440236</v>
      </c>
      <c r="G40225" t="s">
        <v>27164</v>
      </c>
      <c r="H40225" s="21">
        <v>605.66999999999996</v>
      </c>
    </row>
    <row r="40226" spans="1:8" customFormat="1" x14ac:dyDescent="0.25">
      <c r="A40226" t="str">
        <f>"3336414"</f>
        <v>3336414</v>
      </c>
      <c r="B40226" t="s">
        <v>25463</v>
      </c>
      <c r="C40226" t="s">
        <v>25464</v>
      </c>
      <c r="D40226" s="21" t="s">
        <v>24820</v>
      </c>
      <c r="E40226" s="21" t="s">
        <v>254</v>
      </c>
      <c r="F40226">
        <v>10330013</v>
      </c>
      <c r="G40226" t="s">
        <v>613</v>
      </c>
      <c r="H40226" s="21">
        <v>605.66999999999996</v>
      </c>
    </row>
    <row r="40227" spans="1:8" customFormat="1" x14ac:dyDescent="0.25">
      <c r="A40227" t="str">
        <f>"9233241"</f>
        <v>9233241</v>
      </c>
      <c r="B40227" t="s">
        <v>16630</v>
      </c>
      <c r="C40227" t="s">
        <v>24831</v>
      </c>
      <c r="D40227" s="21" t="s">
        <v>24820</v>
      </c>
      <c r="E40227" s="21" t="s">
        <v>71</v>
      </c>
      <c r="F40227">
        <v>8920151</v>
      </c>
      <c r="G40227" t="s">
        <v>1434</v>
      </c>
      <c r="H40227" s="21">
        <v>605.54</v>
      </c>
    </row>
    <row r="40228" spans="1:8" customFormat="1" x14ac:dyDescent="0.25">
      <c r="A40228" t="str">
        <f>"5012869"</f>
        <v>5012869</v>
      </c>
      <c r="B40228" t="s">
        <v>29783</v>
      </c>
      <c r="C40228" t="s">
        <v>24831</v>
      </c>
      <c r="D40228" s="21" t="s">
        <v>24820</v>
      </c>
      <c r="E40228" s="21" t="s">
        <v>35</v>
      </c>
      <c r="F40228">
        <v>9500131</v>
      </c>
      <c r="G40228" t="s">
        <v>1073</v>
      </c>
      <c r="H40228" s="21">
        <v>605.41999999999996</v>
      </c>
    </row>
    <row r="40229" spans="1:8" customFormat="1" x14ac:dyDescent="0.25">
      <c r="A40229" t="str">
        <f>"4518885"</f>
        <v>4518885</v>
      </c>
      <c r="B40229" t="s">
        <v>25501</v>
      </c>
      <c r="C40229" t="s">
        <v>24840</v>
      </c>
      <c r="D40229" s="21" t="s">
        <v>24820</v>
      </c>
      <c r="E40229" s="21" t="s">
        <v>71</v>
      </c>
      <c r="F40229">
        <v>4450573</v>
      </c>
      <c r="G40229" t="s">
        <v>4106</v>
      </c>
      <c r="H40229" s="21">
        <v>605.41999999999996</v>
      </c>
    </row>
    <row r="40230" spans="1:8" customFormat="1" x14ac:dyDescent="0.25">
      <c r="A40230" t="str">
        <f>"6310127"</f>
        <v>6310127</v>
      </c>
      <c r="B40230" t="s">
        <v>7697</v>
      </c>
      <c r="C40230" t="s">
        <v>24962</v>
      </c>
      <c r="D40230" s="21" t="s">
        <v>24820</v>
      </c>
      <c r="E40230" s="21" t="s">
        <v>35</v>
      </c>
      <c r="F40230">
        <v>1630303</v>
      </c>
      <c r="G40230" t="s">
        <v>8915</v>
      </c>
      <c r="H40230" s="21">
        <v>605.16999999999996</v>
      </c>
    </row>
    <row r="40231" spans="1:8" customFormat="1" x14ac:dyDescent="0.25">
      <c r="A40231" t="str">
        <f>"3723901"</f>
        <v>3723901</v>
      </c>
      <c r="B40231" t="s">
        <v>29784</v>
      </c>
      <c r="C40231" t="s">
        <v>22831</v>
      </c>
      <c r="D40231" s="21" t="s">
        <v>24820</v>
      </c>
      <c r="E40231" s="21" t="s">
        <v>35</v>
      </c>
      <c r="F40231">
        <v>4370346</v>
      </c>
      <c r="G40231" t="s">
        <v>8269</v>
      </c>
      <c r="H40231" s="21">
        <v>605.16999999999996</v>
      </c>
    </row>
    <row r="40232" spans="1:8" customFormat="1" x14ac:dyDescent="0.25">
      <c r="A40232" t="str">
        <f>"6311168"</f>
        <v>6311168</v>
      </c>
      <c r="B40232" t="s">
        <v>25431</v>
      </c>
      <c r="C40232" t="s">
        <v>25200</v>
      </c>
      <c r="D40232" s="21" t="s">
        <v>24820</v>
      </c>
      <c r="E40232" s="21" t="s">
        <v>71</v>
      </c>
      <c r="F40232">
        <v>1630301</v>
      </c>
      <c r="G40232" t="s">
        <v>7897</v>
      </c>
      <c r="H40232" s="21">
        <v>605.16999999999996</v>
      </c>
    </row>
    <row r="40233" spans="1:8" customFormat="1" x14ac:dyDescent="0.25">
      <c r="A40233" t="str">
        <f>"934687"</f>
        <v>934687</v>
      </c>
      <c r="B40233" t="s">
        <v>25453</v>
      </c>
      <c r="C40233" t="s">
        <v>24897</v>
      </c>
      <c r="D40233" s="21" t="s">
        <v>24820</v>
      </c>
      <c r="E40233" s="21" t="s">
        <v>35</v>
      </c>
      <c r="F40233">
        <v>8930024</v>
      </c>
      <c r="G40233" t="s">
        <v>44</v>
      </c>
      <c r="H40233" s="21">
        <v>604.91999999999996</v>
      </c>
    </row>
    <row r="40234" spans="1:8" customFormat="1" x14ac:dyDescent="0.25">
      <c r="A40234" t="str">
        <f>"5722005"</f>
        <v>5722005</v>
      </c>
      <c r="B40234" t="s">
        <v>29785</v>
      </c>
      <c r="C40234" t="s">
        <v>24855</v>
      </c>
      <c r="D40234" s="21" t="s">
        <v>24820</v>
      </c>
      <c r="E40234" s="21" t="s">
        <v>71</v>
      </c>
      <c r="F40234">
        <v>6570137</v>
      </c>
      <c r="G40234" t="s">
        <v>13134</v>
      </c>
      <c r="H40234" s="21">
        <v>604.66999999999996</v>
      </c>
    </row>
    <row r="40235" spans="1:8" customFormat="1" x14ac:dyDescent="0.25">
      <c r="A40235" t="str">
        <f>"6942062"</f>
        <v>6942062</v>
      </c>
      <c r="B40235" t="s">
        <v>20805</v>
      </c>
      <c r="C40235" t="s">
        <v>24915</v>
      </c>
      <c r="D40235" s="21" t="s">
        <v>24820</v>
      </c>
      <c r="E40235" s="21" t="s">
        <v>35</v>
      </c>
      <c r="F40235">
        <v>1690030</v>
      </c>
      <c r="G40235" t="s">
        <v>432</v>
      </c>
      <c r="H40235" s="21">
        <v>604.66999999999996</v>
      </c>
    </row>
    <row r="40236" spans="1:8" customFormat="1" x14ac:dyDescent="0.25">
      <c r="A40236" t="str">
        <f>"814172"</f>
        <v>814172</v>
      </c>
      <c r="B40236" t="s">
        <v>4649</v>
      </c>
      <c r="C40236" t="s">
        <v>24883</v>
      </c>
      <c r="D40236" s="21" t="s">
        <v>24820</v>
      </c>
      <c r="E40236" s="21" t="s">
        <v>35</v>
      </c>
      <c r="F40236">
        <v>11810015</v>
      </c>
      <c r="G40236" t="s">
        <v>9678</v>
      </c>
      <c r="H40236" s="21">
        <v>604.54</v>
      </c>
    </row>
    <row r="40237" spans="1:8" customFormat="1" x14ac:dyDescent="0.25">
      <c r="A40237" t="str">
        <f>"45661"</f>
        <v>45661</v>
      </c>
      <c r="B40237" t="s">
        <v>2394</v>
      </c>
      <c r="C40237" t="s">
        <v>24860</v>
      </c>
      <c r="D40237" s="21" t="s">
        <v>24820</v>
      </c>
      <c r="E40237" s="21" t="s">
        <v>254</v>
      </c>
      <c r="F40237">
        <v>4450751</v>
      </c>
      <c r="G40237" t="s">
        <v>442</v>
      </c>
      <c r="H40237" s="21">
        <v>603.91999999999996</v>
      </c>
    </row>
    <row r="40238" spans="1:8" customFormat="1" x14ac:dyDescent="0.25">
      <c r="A40238" t="str">
        <f>"673613"</f>
        <v>673613</v>
      </c>
      <c r="B40238" t="s">
        <v>20943</v>
      </c>
      <c r="C40238" t="s">
        <v>25433</v>
      </c>
      <c r="D40238" s="21" t="s">
        <v>24820</v>
      </c>
      <c r="E40238" s="21" t="s">
        <v>71</v>
      </c>
      <c r="F40238">
        <v>6670194</v>
      </c>
      <c r="G40238" t="s">
        <v>6521</v>
      </c>
      <c r="H40238" s="21">
        <v>603.66999999999996</v>
      </c>
    </row>
    <row r="40239" spans="1:8" customFormat="1" x14ac:dyDescent="0.25">
      <c r="A40239" t="str">
        <f>"167560"</f>
        <v>167560</v>
      </c>
      <c r="B40239" t="s">
        <v>29786</v>
      </c>
      <c r="C40239" t="s">
        <v>25064</v>
      </c>
      <c r="D40239" s="21" t="s">
        <v>24820</v>
      </c>
      <c r="E40239" s="21" t="s">
        <v>35</v>
      </c>
      <c r="F40239">
        <v>10160232</v>
      </c>
      <c r="G40239" t="s">
        <v>2882</v>
      </c>
      <c r="H40239" s="21">
        <v>603.66999999999996</v>
      </c>
    </row>
    <row r="40240" spans="1:8" customFormat="1" x14ac:dyDescent="0.25">
      <c r="A40240" t="str">
        <f>"2515697"</f>
        <v>2515697</v>
      </c>
      <c r="B40240" t="s">
        <v>25553</v>
      </c>
      <c r="C40240" t="s">
        <v>24947</v>
      </c>
      <c r="D40240" s="21" t="s">
        <v>24820</v>
      </c>
      <c r="E40240" s="21" t="s">
        <v>35</v>
      </c>
      <c r="F40240">
        <v>2250216</v>
      </c>
      <c r="G40240" t="s">
        <v>11454</v>
      </c>
      <c r="H40240" s="21">
        <v>603.54</v>
      </c>
    </row>
    <row r="40241" spans="1:8" customFormat="1" x14ac:dyDescent="0.25">
      <c r="A40241" t="str">
        <f>"2921430"</f>
        <v>2921430</v>
      </c>
      <c r="B40241" t="s">
        <v>25500</v>
      </c>
      <c r="C40241" t="s">
        <v>24877</v>
      </c>
      <c r="D40241" s="21" t="s">
        <v>24820</v>
      </c>
      <c r="E40241" s="21" t="s">
        <v>71</v>
      </c>
      <c r="F40241">
        <v>3290215</v>
      </c>
      <c r="G40241" t="s">
        <v>5058</v>
      </c>
      <c r="H40241" s="21">
        <v>603.29</v>
      </c>
    </row>
    <row r="40242" spans="1:8" customFormat="1" x14ac:dyDescent="0.25">
      <c r="A40242" t="str">
        <f>"2110910"</f>
        <v>2110910</v>
      </c>
      <c r="B40242" t="s">
        <v>67</v>
      </c>
      <c r="C40242" t="s">
        <v>24863</v>
      </c>
      <c r="D40242" s="21" t="s">
        <v>24820</v>
      </c>
      <c r="E40242" s="21" t="s">
        <v>35</v>
      </c>
      <c r="F40242">
        <v>2210059</v>
      </c>
      <c r="G40242" t="s">
        <v>3142</v>
      </c>
      <c r="H40242" s="21">
        <v>603.16999999999996</v>
      </c>
    </row>
    <row r="40243" spans="1:8" customFormat="1" x14ac:dyDescent="0.25">
      <c r="A40243" t="str">
        <f>"166228"</f>
        <v>166228</v>
      </c>
      <c r="B40243" t="s">
        <v>14262</v>
      </c>
      <c r="C40243" t="s">
        <v>25053</v>
      </c>
      <c r="D40243" s="21" t="s">
        <v>24820</v>
      </c>
      <c r="E40243" s="21" t="s">
        <v>35</v>
      </c>
      <c r="F40243">
        <v>10160197</v>
      </c>
      <c r="G40243" t="s">
        <v>4472</v>
      </c>
      <c r="H40243" s="21">
        <v>602.66999999999996</v>
      </c>
    </row>
    <row r="40244" spans="1:8" customFormat="1" x14ac:dyDescent="0.25">
      <c r="A40244" t="str">
        <f>"171424"</f>
        <v>171424</v>
      </c>
      <c r="B40244" t="s">
        <v>7543</v>
      </c>
      <c r="C40244" t="s">
        <v>24939</v>
      </c>
      <c r="D40244" s="21" t="s">
        <v>24820</v>
      </c>
      <c r="E40244" s="21" t="s">
        <v>6185</v>
      </c>
      <c r="F40244">
        <v>10170218</v>
      </c>
      <c r="G40244" t="s">
        <v>8381</v>
      </c>
      <c r="H40244" s="21">
        <v>602.66999999999996</v>
      </c>
    </row>
    <row r="40245" spans="1:8" customFormat="1" x14ac:dyDescent="0.25">
      <c r="A40245" t="str">
        <f>"8814842"</f>
        <v>8814842</v>
      </c>
      <c r="B40245" t="s">
        <v>1462</v>
      </c>
      <c r="C40245" t="s">
        <v>25141</v>
      </c>
      <c r="D40245" s="21" t="s">
        <v>24820</v>
      </c>
      <c r="E40245" s="21" t="s">
        <v>35</v>
      </c>
      <c r="F40245">
        <v>6880049</v>
      </c>
      <c r="G40245" t="s">
        <v>4514</v>
      </c>
      <c r="H40245" s="21">
        <v>601.91999999999996</v>
      </c>
    </row>
    <row r="40246" spans="1:8" customFormat="1" x14ac:dyDescent="0.25">
      <c r="A40246" t="str">
        <f>"2919805"</f>
        <v>2919805</v>
      </c>
      <c r="B40246" t="s">
        <v>1028</v>
      </c>
      <c r="C40246" t="s">
        <v>25458</v>
      </c>
      <c r="D40246" s="21" t="s">
        <v>24820</v>
      </c>
      <c r="E40246" s="21" t="s">
        <v>35</v>
      </c>
      <c r="F40246">
        <v>3290200</v>
      </c>
      <c r="G40246" t="s">
        <v>3488</v>
      </c>
      <c r="H40246" s="21">
        <v>601.79</v>
      </c>
    </row>
    <row r="40247" spans="1:8" customFormat="1" x14ac:dyDescent="0.25">
      <c r="A40247" t="str">
        <f>"3342299"</f>
        <v>3342299</v>
      </c>
      <c r="B40247" t="s">
        <v>146</v>
      </c>
      <c r="C40247" t="s">
        <v>24927</v>
      </c>
      <c r="D40247" s="21" t="s">
        <v>24820</v>
      </c>
      <c r="E40247" s="21" t="s">
        <v>71</v>
      </c>
      <c r="F40247">
        <v>10330004</v>
      </c>
      <c r="G40247" t="s">
        <v>525</v>
      </c>
      <c r="H40247" s="21">
        <v>601.66999999999996</v>
      </c>
    </row>
    <row r="40248" spans="1:8" customFormat="1" x14ac:dyDescent="0.25">
      <c r="A40248" t="str">
        <f>"9210044"</f>
        <v>9210044</v>
      </c>
      <c r="B40248" t="s">
        <v>25426</v>
      </c>
      <c r="C40248" t="s">
        <v>24931</v>
      </c>
      <c r="D40248" s="21" t="s">
        <v>24820</v>
      </c>
      <c r="E40248" s="21" t="s">
        <v>71</v>
      </c>
      <c r="F40248">
        <v>8780108</v>
      </c>
      <c r="G40248" t="s">
        <v>4329</v>
      </c>
      <c r="H40248" s="21">
        <v>601.54</v>
      </c>
    </row>
    <row r="40249" spans="1:8" customFormat="1" x14ac:dyDescent="0.25">
      <c r="A40249" t="str">
        <f>"877983"</f>
        <v>877983</v>
      </c>
      <c r="B40249" t="s">
        <v>5013</v>
      </c>
      <c r="C40249" t="s">
        <v>24867</v>
      </c>
      <c r="D40249" s="21" t="s">
        <v>24820</v>
      </c>
      <c r="E40249" s="21" t="s">
        <v>35</v>
      </c>
      <c r="F40249">
        <v>10870028</v>
      </c>
      <c r="G40249" t="s">
        <v>2689</v>
      </c>
      <c r="H40249" s="21">
        <v>601.29</v>
      </c>
    </row>
    <row r="40250" spans="1:8" customFormat="1" x14ac:dyDescent="0.25">
      <c r="A40250" t="str">
        <f>"2618722"</f>
        <v>2618722</v>
      </c>
      <c r="B40250" t="s">
        <v>25635</v>
      </c>
      <c r="C40250" t="s">
        <v>26076</v>
      </c>
      <c r="D40250" s="21" t="s">
        <v>24820</v>
      </c>
      <c r="E40250" s="21" t="s">
        <v>35</v>
      </c>
      <c r="F40250">
        <v>1260060</v>
      </c>
      <c r="G40250" t="s">
        <v>3403</v>
      </c>
      <c r="H40250" s="21">
        <v>601.16999999999996</v>
      </c>
    </row>
    <row r="40251" spans="1:8" customFormat="1" x14ac:dyDescent="0.25">
      <c r="A40251" t="str">
        <f>"5944633"</f>
        <v>5944633</v>
      </c>
      <c r="B40251" t="s">
        <v>8710</v>
      </c>
      <c r="C40251" t="s">
        <v>25380</v>
      </c>
      <c r="D40251" s="21" t="s">
        <v>24820</v>
      </c>
      <c r="E40251" s="21" t="s">
        <v>71</v>
      </c>
      <c r="F40251">
        <v>7590137</v>
      </c>
      <c r="G40251" t="s">
        <v>4246</v>
      </c>
      <c r="H40251" s="21">
        <v>601.16999999999996</v>
      </c>
    </row>
    <row r="40252" spans="1:8" customFormat="1" x14ac:dyDescent="0.25">
      <c r="A40252" t="str">
        <f>"0812172"</f>
        <v>0812172</v>
      </c>
      <c r="B40252" t="s">
        <v>25570</v>
      </c>
      <c r="C40252" t="s">
        <v>24926</v>
      </c>
      <c r="D40252" s="21" t="s">
        <v>24820</v>
      </c>
      <c r="E40252" s="21" t="s">
        <v>35</v>
      </c>
      <c r="F40252">
        <v>6080004</v>
      </c>
      <c r="G40252" t="s">
        <v>2059</v>
      </c>
      <c r="H40252" s="21">
        <v>601.16999999999996</v>
      </c>
    </row>
    <row r="40253" spans="1:8" customFormat="1" x14ac:dyDescent="0.25">
      <c r="A40253" t="str">
        <f>"447491"</f>
        <v>447491</v>
      </c>
      <c r="B40253" t="s">
        <v>25536</v>
      </c>
      <c r="C40253" t="s">
        <v>24939</v>
      </c>
      <c r="D40253" s="21" t="s">
        <v>24820</v>
      </c>
      <c r="E40253" s="21" t="s">
        <v>71</v>
      </c>
      <c r="F40253">
        <v>3290217</v>
      </c>
      <c r="G40253" t="s">
        <v>6770</v>
      </c>
      <c r="H40253" s="21">
        <v>600.66999999999996</v>
      </c>
    </row>
    <row r="40254" spans="1:8" customFormat="1" x14ac:dyDescent="0.25">
      <c r="A40254" t="str">
        <f>"186801"</f>
        <v>186801</v>
      </c>
      <c r="B40254" t="s">
        <v>19981</v>
      </c>
      <c r="C40254" t="s">
        <v>25011</v>
      </c>
      <c r="D40254" s="21" t="s">
        <v>24820</v>
      </c>
      <c r="E40254" s="21" t="s">
        <v>71</v>
      </c>
      <c r="F40254">
        <v>4180613</v>
      </c>
      <c r="G40254" t="s">
        <v>422</v>
      </c>
      <c r="H40254" s="21">
        <v>600.16999999999996</v>
      </c>
    </row>
    <row r="40255" spans="1:8" customFormat="1" x14ac:dyDescent="0.25">
      <c r="A40255" t="str">
        <f>"6111082"</f>
        <v>6111082</v>
      </c>
      <c r="B40255" t="s">
        <v>25418</v>
      </c>
      <c r="C40255" t="s">
        <v>24947</v>
      </c>
      <c r="D40255" s="21" t="s">
        <v>24820</v>
      </c>
      <c r="E40255" s="21" t="s">
        <v>35</v>
      </c>
      <c r="F40255">
        <v>9610119</v>
      </c>
      <c r="G40255" t="s">
        <v>6655</v>
      </c>
      <c r="H40255" s="21">
        <v>599.79</v>
      </c>
    </row>
    <row r="40256" spans="1:8" customFormat="1" x14ac:dyDescent="0.25">
      <c r="A40256" t="str">
        <f>"447672"</f>
        <v>447672</v>
      </c>
      <c r="B40256" t="s">
        <v>577</v>
      </c>
      <c r="C40256" t="s">
        <v>25275</v>
      </c>
      <c r="D40256" s="21" t="s">
        <v>24820</v>
      </c>
      <c r="E40256" s="21" t="s">
        <v>1089</v>
      </c>
      <c r="F40256">
        <v>12440239</v>
      </c>
      <c r="G40256" t="s">
        <v>11158</v>
      </c>
      <c r="H40256" s="21">
        <v>599.66999999999996</v>
      </c>
    </row>
    <row r="40257" spans="1:8" customFormat="1" x14ac:dyDescent="0.25">
      <c r="A40257" t="str">
        <f>"837952"</f>
        <v>837952</v>
      </c>
      <c r="B40257" t="s">
        <v>29787</v>
      </c>
      <c r="C40257" t="s">
        <v>29788</v>
      </c>
      <c r="D40257" s="21" t="s">
        <v>24820</v>
      </c>
      <c r="E40257" s="21" t="s">
        <v>35</v>
      </c>
      <c r="F40257">
        <v>13830013</v>
      </c>
      <c r="G40257" t="s">
        <v>3374</v>
      </c>
      <c r="H40257" s="21">
        <v>599.66999999999996</v>
      </c>
    </row>
    <row r="40258" spans="1:8" customFormat="1" x14ac:dyDescent="0.25">
      <c r="A40258" t="str">
        <f>"7217059"</f>
        <v>7217059</v>
      </c>
      <c r="B40258" t="s">
        <v>9304</v>
      </c>
      <c r="C40258" t="s">
        <v>24300</v>
      </c>
      <c r="D40258" s="21" t="s">
        <v>24820</v>
      </c>
      <c r="E40258" s="21" t="s">
        <v>35</v>
      </c>
      <c r="F40258">
        <v>12720071</v>
      </c>
      <c r="G40258" t="s">
        <v>783</v>
      </c>
      <c r="H40258" s="21">
        <v>599.16999999999996</v>
      </c>
    </row>
    <row r="40259" spans="1:8" customFormat="1" x14ac:dyDescent="0.25">
      <c r="A40259" t="str">
        <f>"557789"</f>
        <v>557789</v>
      </c>
      <c r="B40259" t="s">
        <v>29789</v>
      </c>
      <c r="C40259" t="s">
        <v>24824</v>
      </c>
      <c r="D40259" s="21" t="s">
        <v>24820</v>
      </c>
      <c r="E40259" s="21" t="s">
        <v>35</v>
      </c>
      <c r="F40259">
        <v>6550005</v>
      </c>
      <c r="G40259" t="s">
        <v>1581</v>
      </c>
      <c r="H40259" s="21">
        <v>599.16999999999996</v>
      </c>
    </row>
    <row r="40260" spans="1:8" customFormat="1" x14ac:dyDescent="0.25">
      <c r="A40260" t="str">
        <f>"509792"</f>
        <v>509792</v>
      </c>
      <c r="B40260" t="s">
        <v>25365</v>
      </c>
      <c r="C40260" t="s">
        <v>25033</v>
      </c>
      <c r="D40260" s="21" t="s">
        <v>24820</v>
      </c>
      <c r="E40260" s="21" t="s">
        <v>254</v>
      </c>
      <c r="F40260">
        <v>9500003</v>
      </c>
      <c r="G40260" t="s">
        <v>545</v>
      </c>
      <c r="H40260" s="21">
        <v>599.16999999999996</v>
      </c>
    </row>
    <row r="40261" spans="1:8" customFormat="1" x14ac:dyDescent="0.25">
      <c r="A40261" t="str">
        <f>"4432680"</f>
        <v>4432680</v>
      </c>
      <c r="B40261" t="s">
        <v>3645</v>
      </c>
      <c r="C40261" t="s">
        <v>24968</v>
      </c>
      <c r="D40261" s="21" t="s">
        <v>24820</v>
      </c>
      <c r="E40261" s="21" t="s">
        <v>35</v>
      </c>
      <c r="F40261">
        <v>12440002</v>
      </c>
      <c r="G40261" t="s">
        <v>47</v>
      </c>
      <c r="H40261" s="21">
        <v>598.66999999999996</v>
      </c>
    </row>
    <row r="40262" spans="1:8" customFormat="1" x14ac:dyDescent="0.25">
      <c r="A40262" t="str">
        <f>"113868"</f>
        <v>113868</v>
      </c>
      <c r="B40262" t="s">
        <v>7936</v>
      </c>
      <c r="C40262" t="s">
        <v>24831</v>
      </c>
      <c r="D40262" s="21" t="s">
        <v>24820</v>
      </c>
      <c r="E40262" s="21" t="s">
        <v>35</v>
      </c>
      <c r="F40262">
        <v>11110009</v>
      </c>
      <c r="G40262" t="s">
        <v>6231</v>
      </c>
      <c r="H40262" s="21">
        <v>598.66999999999996</v>
      </c>
    </row>
    <row r="40263" spans="1:8" customFormat="1" x14ac:dyDescent="0.25">
      <c r="A40263" t="str">
        <f>"176502"</f>
        <v>176502</v>
      </c>
      <c r="B40263" t="s">
        <v>25408</v>
      </c>
      <c r="C40263" t="s">
        <v>24988</v>
      </c>
      <c r="D40263" s="21" t="s">
        <v>24820</v>
      </c>
      <c r="E40263" s="21" t="s">
        <v>254</v>
      </c>
      <c r="F40263">
        <v>10170050</v>
      </c>
      <c r="G40263" t="s">
        <v>2514</v>
      </c>
      <c r="H40263" s="21">
        <v>598.41999999999996</v>
      </c>
    </row>
    <row r="40264" spans="1:8" customFormat="1" x14ac:dyDescent="0.25">
      <c r="A40264" t="str">
        <f>"27541"</f>
        <v>27541</v>
      </c>
      <c r="B40264" t="s">
        <v>1609</v>
      </c>
      <c r="C40264" t="s">
        <v>25275</v>
      </c>
      <c r="D40264" s="21" t="s">
        <v>24820</v>
      </c>
      <c r="E40264" s="21" t="s">
        <v>254</v>
      </c>
      <c r="F40264">
        <v>9270028</v>
      </c>
      <c r="G40264" t="s">
        <v>6091</v>
      </c>
      <c r="H40264" s="21">
        <v>598.16999999999996</v>
      </c>
    </row>
    <row r="40265" spans="1:8" customFormat="1" x14ac:dyDescent="0.25">
      <c r="A40265" t="str">
        <f>"9744942"</f>
        <v>9744942</v>
      </c>
      <c r="B40265" t="s">
        <v>23345</v>
      </c>
      <c r="C40265" t="s">
        <v>22831</v>
      </c>
      <c r="D40265" s="21" t="s">
        <v>24820</v>
      </c>
      <c r="E40265" s="21" t="s">
        <v>35</v>
      </c>
      <c r="F40265">
        <v>11090018</v>
      </c>
      <c r="G40265" t="s">
        <v>24448</v>
      </c>
      <c r="H40265" s="21">
        <v>597.66999999999996</v>
      </c>
    </row>
    <row r="40266" spans="1:8" customFormat="1" x14ac:dyDescent="0.25">
      <c r="A40266" t="str">
        <f>"4453885"</f>
        <v>4453885</v>
      </c>
      <c r="B40266" t="s">
        <v>10568</v>
      </c>
      <c r="C40266" t="s">
        <v>24968</v>
      </c>
      <c r="D40266" s="21" t="s">
        <v>24820</v>
      </c>
      <c r="E40266" s="21" t="s">
        <v>35</v>
      </c>
      <c r="F40266">
        <v>12440138</v>
      </c>
      <c r="G40266" t="s">
        <v>562</v>
      </c>
      <c r="H40266" s="21">
        <v>597.66999999999996</v>
      </c>
    </row>
    <row r="40267" spans="1:8" customFormat="1" x14ac:dyDescent="0.25">
      <c r="A40267" t="str">
        <f>"5940631"</f>
        <v>5940631</v>
      </c>
      <c r="B40267" t="s">
        <v>29790</v>
      </c>
      <c r="C40267" t="s">
        <v>24897</v>
      </c>
      <c r="D40267" s="21" t="s">
        <v>24820</v>
      </c>
      <c r="E40267" s="21" t="s">
        <v>254</v>
      </c>
      <c r="F40267">
        <v>7590336</v>
      </c>
      <c r="G40267" t="s">
        <v>2341</v>
      </c>
      <c r="H40267" s="21">
        <v>597.66999999999996</v>
      </c>
    </row>
    <row r="40268" spans="1:8" customFormat="1" x14ac:dyDescent="0.25">
      <c r="A40268" t="str">
        <f>"6940639"</f>
        <v>6940639</v>
      </c>
      <c r="B40268" t="s">
        <v>8321</v>
      </c>
      <c r="C40268" t="s">
        <v>25088</v>
      </c>
      <c r="D40268" s="21" t="s">
        <v>24820</v>
      </c>
      <c r="E40268" s="21" t="s">
        <v>71</v>
      </c>
      <c r="F40268">
        <v>1690023</v>
      </c>
      <c r="G40268" t="s">
        <v>647</v>
      </c>
      <c r="H40268" s="21">
        <v>597.66999999999996</v>
      </c>
    </row>
    <row r="40269" spans="1:8" customFormat="1" x14ac:dyDescent="0.25">
      <c r="A40269" t="str">
        <f>"7523572"</f>
        <v>7523572</v>
      </c>
      <c r="B40269" t="s">
        <v>3208</v>
      </c>
      <c r="C40269" t="s">
        <v>24867</v>
      </c>
      <c r="D40269" s="21" t="s">
        <v>24820</v>
      </c>
      <c r="E40269" s="21" t="s">
        <v>35</v>
      </c>
      <c r="F40269">
        <v>8751456</v>
      </c>
      <c r="G40269" t="s">
        <v>2683</v>
      </c>
      <c r="H40269" s="21">
        <v>597.16999999999996</v>
      </c>
    </row>
    <row r="40270" spans="1:8" customFormat="1" x14ac:dyDescent="0.25">
      <c r="A40270" t="str">
        <f>"746534"</f>
        <v>746534</v>
      </c>
      <c r="B40270" t="s">
        <v>25348</v>
      </c>
      <c r="C40270" t="s">
        <v>25349</v>
      </c>
      <c r="D40270" s="21" t="s">
        <v>24820</v>
      </c>
      <c r="E40270" s="21" t="s">
        <v>71</v>
      </c>
      <c r="F40270">
        <v>1740001</v>
      </c>
      <c r="G40270" t="s">
        <v>347</v>
      </c>
      <c r="H40270" s="21">
        <v>597.16999999999996</v>
      </c>
    </row>
    <row r="40271" spans="1:8" customFormat="1" x14ac:dyDescent="0.25">
      <c r="A40271" t="str">
        <f>"6230791"</f>
        <v>6230791</v>
      </c>
      <c r="B40271" t="s">
        <v>29791</v>
      </c>
      <c r="C40271" t="s">
        <v>29792</v>
      </c>
      <c r="D40271" s="21" t="s">
        <v>24820</v>
      </c>
      <c r="E40271" s="21" t="s">
        <v>35</v>
      </c>
      <c r="F40271">
        <v>7620182</v>
      </c>
      <c r="G40271" t="s">
        <v>11480</v>
      </c>
      <c r="H40271" s="21">
        <v>596.66999999999996</v>
      </c>
    </row>
    <row r="40272" spans="1:8" customFormat="1" x14ac:dyDescent="0.25">
      <c r="A40272" t="str">
        <f>"2916509"</f>
        <v>2916509</v>
      </c>
      <c r="B40272" t="s">
        <v>25384</v>
      </c>
      <c r="C40272" t="s">
        <v>24883</v>
      </c>
      <c r="D40272" s="21" t="s">
        <v>24820</v>
      </c>
      <c r="E40272" s="21" t="s">
        <v>71</v>
      </c>
      <c r="F40272">
        <v>3290205</v>
      </c>
      <c r="G40272" t="s">
        <v>26882</v>
      </c>
      <c r="H40272" s="21">
        <v>596.16999999999996</v>
      </c>
    </row>
    <row r="40273" spans="1:8" customFormat="1" x14ac:dyDescent="0.25">
      <c r="A40273" t="str">
        <f>"101595"</f>
        <v>101595</v>
      </c>
      <c r="B40273" t="s">
        <v>1103</v>
      </c>
      <c r="C40273" t="s">
        <v>22831</v>
      </c>
      <c r="D40273" s="21" t="s">
        <v>24820</v>
      </c>
      <c r="E40273" s="21" t="s">
        <v>35</v>
      </c>
      <c r="F40273">
        <v>6100005</v>
      </c>
      <c r="G40273" t="s">
        <v>855</v>
      </c>
      <c r="H40273" s="21">
        <v>596.16999999999996</v>
      </c>
    </row>
    <row r="40274" spans="1:8" customFormat="1" x14ac:dyDescent="0.25">
      <c r="A40274" t="str">
        <f>"5721553"</f>
        <v>5721553</v>
      </c>
      <c r="B40274" t="s">
        <v>25441</v>
      </c>
      <c r="C40274" t="s">
        <v>25442</v>
      </c>
      <c r="D40274" s="21" t="s">
        <v>24820</v>
      </c>
      <c r="E40274" s="21" t="s">
        <v>71</v>
      </c>
      <c r="F40274">
        <v>6570107</v>
      </c>
      <c r="G40274" t="s">
        <v>5598</v>
      </c>
      <c r="H40274" s="21">
        <v>595.66999999999996</v>
      </c>
    </row>
    <row r="40275" spans="1:8" customFormat="1" x14ac:dyDescent="0.25">
      <c r="A40275" t="str">
        <f>"5019678"</f>
        <v>5019678</v>
      </c>
      <c r="B40275" t="s">
        <v>25537</v>
      </c>
      <c r="C40275" t="s">
        <v>25068</v>
      </c>
      <c r="D40275" s="21" t="s">
        <v>24820</v>
      </c>
      <c r="E40275" s="21" t="s">
        <v>35</v>
      </c>
      <c r="F40275">
        <v>9500023</v>
      </c>
      <c r="G40275" t="s">
        <v>4876</v>
      </c>
      <c r="H40275" s="21">
        <v>595.66999999999996</v>
      </c>
    </row>
    <row r="40276" spans="1:8" customFormat="1" x14ac:dyDescent="0.25">
      <c r="A40276" t="str">
        <f>"228852"</f>
        <v>228852</v>
      </c>
      <c r="B40276" t="s">
        <v>25400</v>
      </c>
      <c r="C40276" t="s">
        <v>25144</v>
      </c>
      <c r="D40276" s="21" t="s">
        <v>24820</v>
      </c>
      <c r="E40276" s="21" t="s">
        <v>35</v>
      </c>
      <c r="F40276">
        <v>12440174</v>
      </c>
      <c r="G40276" t="s">
        <v>27498</v>
      </c>
      <c r="H40276" s="21">
        <v>595.66999999999996</v>
      </c>
    </row>
    <row r="40277" spans="1:8" customFormat="1" x14ac:dyDescent="0.25">
      <c r="A40277" t="str">
        <f>"4926856"</f>
        <v>4926856</v>
      </c>
      <c r="B40277" t="s">
        <v>509</v>
      </c>
      <c r="C40277" t="s">
        <v>24865</v>
      </c>
      <c r="D40277" s="21" t="s">
        <v>24820</v>
      </c>
      <c r="E40277" s="21" t="s">
        <v>71</v>
      </c>
      <c r="F40277">
        <v>12490064</v>
      </c>
      <c r="G40277" t="s">
        <v>8425</v>
      </c>
      <c r="H40277" s="21">
        <v>595.16999999999996</v>
      </c>
    </row>
    <row r="40278" spans="1:8" customFormat="1" x14ac:dyDescent="0.25">
      <c r="A40278" t="str">
        <f>"2934793"</f>
        <v>2934793</v>
      </c>
      <c r="B40278" t="s">
        <v>10236</v>
      </c>
      <c r="C40278" t="s">
        <v>24853</v>
      </c>
      <c r="D40278" s="21" t="s">
        <v>24820</v>
      </c>
      <c r="E40278" s="21" t="s">
        <v>35</v>
      </c>
      <c r="F40278">
        <v>3290047</v>
      </c>
      <c r="G40278" t="s">
        <v>2874</v>
      </c>
      <c r="H40278" s="21">
        <v>595.16999999999996</v>
      </c>
    </row>
    <row r="40279" spans="1:8" customFormat="1" x14ac:dyDescent="0.25">
      <c r="A40279" t="str">
        <f>"304421"</f>
        <v>304421</v>
      </c>
      <c r="B40279" t="s">
        <v>970</v>
      </c>
      <c r="C40279" t="s">
        <v>24897</v>
      </c>
      <c r="D40279" s="21" t="s">
        <v>24820</v>
      </c>
      <c r="E40279" s="21" t="s">
        <v>254</v>
      </c>
      <c r="F40279">
        <v>11090019</v>
      </c>
      <c r="G40279" t="s">
        <v>5591</v>
      </c>
      <c r="H40279" s="21">
        <v>594.79</v>
      </c>
    </row>
    <row r="40280" spans="1:8" customFormat="1" x14ac:dyDescent="0.25">
      <c r="A40280" t="str">
        <f>"6012854"</f>
        <v>6012854</v>
      </c>
      <c r="B40280" t="s">
        <v>25385</v>
      </c>
      <c r="C40280" t="s">
        <v>25029</v>
      </c>
      <c r="D40280" s="21" t="s">
        <v>24820</v>
      </c>
      <c r="E40280" s="21" t="s">
        <v>254</v>
      </c>
      <c r="F40280">
        <v>7600003</v>
      </c>
      <c r="G40280" t="s">
        <v>3515</v>
      </c>
      <c r="H40280" s="21">
        <v>594.66999999999996</v>
      </c>
    </row>
    <row r="40281" spans="1:8" customFormat="1" x14ac:dyDescent="0.25">
      <c r="A40281" t="str">
        <f>"845439"</f>
        <v>845439</v>
      </c>
      <c r="B40281" t="s">
        <v>3067</v>
      </c>
      <c r="C40281" t="s">
        <v>25011</v>
      </c>
      <c r="D40281" s="21" t="s">
        <v>24820</v>
      </c>
      <c r="E40281" s="21" t="s">
        <v>35</v>
      </c>
      <c r="F40281">
        <v>13840025</v>
      </c>
      <c r="G40281" t="s">
        <v>7580</v>
      </c>
      <c r="H40281" s="21">
        <v>594.66999999999996</v>
      </c>
    </row>
    <row r="40282" spans="1:8" customFormat="1" x14ac:dyDescent="0.25">
      <c r="A40282" t="str">
        <f>"5012968"</f>
        <v>5012968</v>
      </c>
      <c r="B40282" t="s">
        <v>4796</v>
      </c>
      <c r="C40282" t="s">
        <v>24867</v>
      </c>
      <c r="D40282" s="21" t="s">
        <v>24820</v>
      </c>
      <c r="E40282" s="21" t="s">
        <v>71</v>
      </c>
      <c r="F40282">
        <v>9500010</v>
      </c>
      <c r="G40282" t="s">
        <v>5975</v>
      </c>
      <c r="H40282" s="21">
        <v>594.66999999999996</v>
      </c>
    </row>
    <row r="40283" spans="1:8" customFormat="1" x14ac:dyDescent="0.25">
      <c r="A40283" t="str">
        <f>"898436"</f>
        <v>898436</v>
      </c>
      <c r="B40283" t="s">
        <v>1604</v>
      </c>
      <c r="C40283" t="s">
        <v>22831</v>
      </c>
      <c r="D40283" s="21" t="s">
        <v>24820</v>
      </c>
      <c r="E40283" s="21" t="s">
        <v>35</v>
      </c>
      <c r="F40283">
        <v>2890010</v>
      </c>
      <c r="G40283" t="s">
        <v>3790</v>
      </c>
      <c r="H40283" s="21">
        <v>594.54</v>
      </c>
    </row>
    <row r="40284" spans="1:8" customFormat="1" x14ac:dyDescent="0.25">
      <c r="A40284" t="str">
        <f>"2926535"</f>
        <v>2926535</v>
      </c>
      <c r="B40284" t="s">
        <v>25556</v>
      </c>
      <c r="C40284" t="s">
        <v>24828</v>
      </c>
      <c r="D40284" s="21" t="s">
        <v>24820</v>
      </c>
      <c r="E40284" s="21" t="s">
        <v>35</v>
      </c>
      <c r="F40284">
        <v>3290005</v>
      </c>
      <c r="G40284" t="s">
        <v>1253</v>
      </c>
      <c r="H40284" s="21">
        <v>593.66999999999996</v>
      </c>
    </row>
    <row r="40285" spans="1:8" customFormat="1" x14ac:dyDescent="0.25">
      <c r="A40285" t="str">
        <f>"9120499"</f>
        <v>9120499</v>
      </c>
      <c r="B40285" t="s">
        <v>25529</v>
      </c>
      <c r="C40285" t="s">
        <v>25530</v>
      </c>
      <c r="D40285" s="21" t="s">
        <v>24820</v>
      </c>
      <c r="E40285" s="21" t="s">
        <v>254</v>
      </c>
      <c r="F40285">
        <v>10330117</v>
      </c>
      <c r="G40285" t="s">
        <v>1942</v>
      </c>
      <c r="H40285" s="21">
        <v>593.54</v>
      </c>
    </row>
    <row r="40286" spans="1:8" customFormat="1" x14ac:dyDescent="0.25">
      <c r="A40286" t="str">
        <f>"877992"</f>
        <v>877992</v>
      </c>
      <c r="B40286" t="s">
        <v>4352</v>
      </c>
      <c r="C40286" t="s">
        <v>8618</v>
      </c>
      <c r="D40286" s="21" t="s">
        <v>24820</v>
      </c>
      <c r="E40286" s="21" t="s">
        <v>35</v>
      </c>
      <c r="F40286">
        <v>10870007</v>
      </c>
      <c r="G40286" t="s">
        <v>8903</v>
      </c>
      <c r="H40286" s="21">
        <v>593.41999999999996</v>
      </c>
    </row>
    <row r="40287" spans="1:8" customFormat="1" x14ac:dyDescent="0.25">
      <c r="A40287" t="str">
        <f>"7634538"</f>
        <v>7634538</v>
      </c>
      <c r="B40287" t="s">
        <v>17401</v>
      </c>
      <c r="C40287" t="s">
        <v>22831</v>
      </c>
      <c r="D40287" s="21" t="s">
        <v>24820</v>
      </c>
      <c r="E40287" s="21" t="s">
        <v>71</v>
      </c>
      <c r="F40287">
        <v>9270095</v>
      </c>
      <c r="G40287" t="s">
        <v>1681</v>
      </c>
      <c r="H40287" s="21">
        <v>593.29</v>
      </c>
    </row>
    <row r="40288" spans="1:8" customFormat="1" x14ac:dyDescent="0.25">
      <c r="A40288" t="str">
        <f>"7219534"</f>
        <v>7219534</v>
      </c>
      <c r="B40288" t="s">
        <v>13370</v>
      </c>
      <c r="C40288" t="s">
        <v>23734</v>
      </c>
      <c r="D40288" s="21" t="s">
        <v>24820</v>
      </c>
      <c r="E40288" s="21" t="s">
        <v>254</v>
      </c>
      <c r="F40288">
        <v>12720071</v>
      </c>
      <c r="G40288" t="s">
        <v>783</v>
      </c>
      <c r="H40288" s="21">
        <v>593.16999999999996</v>
      </c>
    </row>
    <row r="40289" spans="1:8" customFormat="1" x14ac:dyDescent="0.25">
      <c r="A40289" t="str">
        <f>"616150"</f>
        <v>616150</v>
      </c>
      <c r="B40289" t="s">
        <v>29793</v>
      </c>
      <c r="C40289" t="s">
        <v>25066</v>
      </c>
      <c r="D40289" s="21" t="s">
        <v>24820</v>
      </c>
      <c r="E40289" s="21" t="s">
        <v>35</v>
      </c>
      <c r="F40289">
        <v>9610122</v>
      </c>
      <c r="G40289" t="s">
        <v>4349</v>
      </c>
      <c r="H40289" s="21">
        <v>592.66999999999996</v>
      </c>
    </row>
    <row r="40290" spans="1:8" customFormat="1" x14ac:dyDescent="0.25">
      <c r="A40290" t="str">
        <f>"8019299"</f>
        <v>8019299</v>
      </c>
      <c r="B40290" t="s">
        <v>108</v>
      </c>
      <c r="C40290" t="s">
        <v>23734</v>
      </c>
      <c r="D40290" s="21" t="s">
        <v>24820</v>
      </c>
      <c r="E40290" s="21" t="s">
        <v>71</v>
      </c>
      <c r="F40290">
        <v>7800014</v>
      </c>
      <c r="G40290" t="s">
        <v>9881</v>
      </c>
      <c r="H40290" s="21">
        <v>592.66999999999996</v>
      </c>
    </row>
    <row r="40291" spans="1:8" customFormat="1" x14ac:dyDescent="0.25">
      <c r="A40291" t="str">
        <f>"0110380"</f>
        <v>0110380</v>
      </c>
      <c r="B40291" t="s">
        <v>12537</v>
      </c>
      <c r="C40291" t="s">
        <v>23734</v>
      </c>
      <c r="D40291" s="21" t="s">
        <v>24820</v>
      </c>
      <c r="E40291" s="21" t="s">
        <v>71</v>
      </c>
      <c r="F40291">
        <v>1010061</v>
      </c>
      <c r="G40291" t="s">
        <v>9290</v>
      </c>
      <c r="H40291" s="21">
        <v>592.16999999999996</v>
      </c>
    </row>
    <row r="40292" spans="1:8" customFormat="1" x14ac:dyDescent="0.25">
      <c r="A40292" t="str">
        <f>"722370"</f>
        <v>722370</v>
      </c>
      <c r="B40292" t="s">
        <v>8767</v>
      </c>
      <c r="C40292" t="s">
        <v>24937</v>
      </c>
      <c r="D40292" s="21" t="s">
        <v>24820</v>
      </c>
      <c r="E40292" s="21" t="s">
        <v>35</v>
      </c>
      <c r="F40292">
        <v>12720050</v>
      </c>
      <c r="G40292" t="s">
        <v>5522</v>
      </c>
      <c r="H40292" s="21">
        <v>591.66999999999996</v>
      </c>
    </row>
    <row r="40293" spans="1:8" customFormat="1" x14ac:dyDescent="0.25">
      <c r="A40293" t="str">
        <f>"1710839"</f>
        <v>1710839</v>
      </c>
      <c r="B40293" t="s">
        <v>25525</v>
      </c>
      <c r="C40293" t="s">
        <v>24833</v>
      </c>
      <c r="D40293" s="21" t="s">
        <v>24820</v>
      </c>
      <c r="E40293" s="21" t="s">
        <v>71</v>
      </c>
      <c r="F40293">
        <v>10170050</v>
      </c>
      <c r="G40293" t="s">
        <v>2514</v>
      </c>
      <c r="H40293" s="21">
        <v>591.66999999999996</v>
      </c>
    </row>
    <row r="40294" spans="1:8" customFormat="1" x14ac:dyDescent="0.25">
      <c r="A40294" t="str">
        <f>"5321536"</f>
        <v>5321536</v>
      </c>
      <c r="B40294" t="s">
        <v>25816</v>
      </c>
      <c r="C40294" t="s">
        <v>23734</v>
      </c>
      <c r="D40294" s="21" t="s">
        <v>24820</v>
      </c>
      <c r="E40294" s="21" t="s">
        <v>71</v>
      </c>
      <c r="F40294">
        <v>12530114</v>
      </c>
      <c r="G40294" t="s">
        <v>1342</v>
      </c>
      <c r="H40294" s="21">
        <v>591.66999999999996</v>
      </c>
    </row>
    <row r="40295" spans="1:8" customFormat="1" x14ac:dyDescent="0.25">
      <c r="A40295" t="str">
        <f>"7724579"</f>
        <v>7724579</v>
      </c>
      <c r="B40295" t="s">
        <v>25448</v>
      </c>
      <c r="C40295" t="s">
        <v>24968</v>
      </c>
      <c r="D40295" s="21" t="s">
        <v>24820</v>
      </c>
      <c r="E40295" s="21" t="s">
        <v>71</v>
      </c>
      <c r="F40295">
        <v>8770499</v>
      </c>
      <c r="G40295" t="s">
        <v>447</v>
      </c>
      <c r="H40295" s="21">
        <v>591.41999999999996</v>
      </c>
    </row>
    <row r="40296" spans="1:8" customFormat="1" x14ac:dyDescent="0.25">
      <c r="A40296" t="str">
        <f>"7514940"</f>
        <v>7514940</v>
      </c>
      <c r="B40296" t="s">
        <v>4422</v>
      </c>
      <c r="C40296" t="s">
        <v>25377</v>
      </c>
      <c r="D40296" s="21" t="s">
        <v>24820</v>
      </c>
      <c r="E40296" s="21" t="s">
        <v>35</v>
      </c>
      <c r="F40296">
        <v>8750007</v>
      </c>
      <c r="G40296" t="s">
        <v>775</v>
      </c>
      <c r="H40296" s="21">
        <v>591.29</v>
      </c>
    </row>
    <row r="40297" spans="1:8" customFormat="1" x14ac:dyDescent="0.25">
      <c r="A40297" t="str">
        <f>"7829306"</f>
        <v>7829306</v>
      </c>
      <c r="B40297" t="s">
        <v>25392</v>
      </c>
      <c r="C40297" t="s">
        <v>24874</v>
      </c>
      <c r="D40297" s="21" t="s">
        <v>24820</v>
      </c>
      <c r="E40297" s="21" t="s">
        <v>35</v>
      </c>
      <c r="F40297">
        <v>8911206</v>
      </c>
      <c r="G40297" t="s">
        <v>17661</v>
      </c>
      <c r="H40297" s="21">
        <v>591.16999999999996</v>
      </c>
    </row>
    <row r="40298" spans="1:8" customFormat="1" x14ac:dyDescent="0.25">
      <c r="A40298" t="str">
        <f>"595785"</f>
        <v>595785</v>
      </c>
      <c r="B40298" t="s">
        <v>5785</v>
      </c>
      <c r="C40298" t="s">
        <v>24867</v>
      </c>
      <c r="D40298" s="21" t="s">
        <v>24820</v>
      </c>
      <c r="E40298" s="21" t="s">
        <v>35</v>
      </c>
      <c r="F40298">
        <v>7590228</v>
      </c>
      <c r="G40298" t="s">
        <v>1798</v>
      </c>
      <c r="H40298" s="21">
        <v>591.16999999999996</v>
      </c>
    </row>
    <row r="40299" spans="1:8" customFormat="1" x14ac:dyDescent="0.25">
      <c r="A40299" t="str">
        <f>"5615391"</f>
        <v>5615391</v>
      </c>
      <c r="B40299" t="s">
        <v>25587</v>
      </c>
      <c r="C40299" t="s">
        <v>23966</v>
      </c>
      <c r="D40299" s="21" t="s">
        <v>24820</v>
      </c>
      <c r="E40299" s="21" t="s">
        <v>35</v>
      </c>
      <c r="F40299">
        <v>3560053</v>
      </c>
      <c r="G40299" t="s">
        <v>298</v>
      </c>
      <c r="H40299" s="21">
        <v>590.66999999999996</v>
      </c>
    </row>
    <row r="40300" spans="1:8" customFormat="1" x14ac:dyDescent="0.25">
      <c r="A40300" t="str">
        <f>"037184"</f>
        <v>037184</v>
      </c>
      <c r="B40300" t="s">
        <v>1794</v>
      </c>
      <c r="C40300" t="s">
        <v>24833</v>
      </c>
      <c r="D40300" s="21" t="s">
        <v>24820</v>
      </c>
      <c r="E40300" s="21" t="s">
        <v>35</v>
      </c>
      <c r="F40300">
        <v>1030316</v>
      </c>
      <c r="G40300" t="s">
        <v>19924</v>
      </c>
      <c r="H40300" s="21">
        <v>590.66999999999996</v>
      </c>
    </row>
    <row r="40301" spans="1:8" customFormat="1" x14ac:dyDescent="0.25">
      <c r="A40301" t="str">
        <f>"3324938"</f>
        <v>3324938</v>
      </c>
      <c r="B40301" t="s">
        <v>2981</v>
      </c>
      <c r="C40301" t="s">
        <v>24867</v>
      </c>
      <c r="D40301" s="21" t="s">
        <v>24820</v>
      </c>
      <c r="E40301" s="21" t="s">
        <v>35</v>
      </c>
      <c r="F40301">
        <v>10400008</v>
      </c>
      <c r="G40301" t="s">
        <v>2294</v>
      </c>
      <c r="H40301" s="21">
        <v>590.54</v>
      </c>
    </row>
    <row r="40302" spans="1:8" customFormat="1" x14ac:dyDescent="0.25">
      <c r="A40302" t="str">
        <f>"2932050"</f>
        <v>2932050</v>
      </c>
      <c r="B40302" t="s">
        <v>15588</v>
      </c>
      <c r="C40302" t="s">
        <v>23966</v>
      </c>
      <c r="D40302" s="21" t="s">
        <v>24820</v>
      </c>
      <c r="E40302" s="21" t="s">
        <v>71</v>
      </c>
      <c r="F40302">
        <v>3290081</v>
      </c>
      <c r="G40302" t="s">
        <v>3819</v>
      </c>
      <c r="H40302" s="21">
        <v>590.16999999999996</v>
      </c>
    </row>
    <row r="40303" spans="1:8" customFormat="1" x14ac:dyDescent="0.25">
      <c r="A40303" t="str">
        <f>"6919590"</f>
        <v>6919590</v>
      </c>
      <c r="B40303" t="s">
        <v>25421</v>
      </c>
      <c r="C40303" t="s">
        <v>25088</v>
      </c>
      <c r="D40303" s="21" t="s">
        <v>24820</v>
      </c>
      <c r="E40303" s="21" t="s">
        <v>35</v>
      </c>
      <c r="F40303">
        <v>1690207</v>
      </c>
      <c r="G40303" t="s">
        <v>4232</v>
      </c>
      <c r="H40303" s="21">
        <v>589.79</v>
      </c>
    </row>
    <row r="40304" spans="1:8" customFormat="1" x14ac:dyDescent="0.25">
      <c r="A40304" t="str">
        <f>"7923955"</f>
        <v>7923955</v>
      </c>
      <c r="B40304" t="s">
        <v>4264</v>
      </c>
      <c r="C40304" t="s">
        <v>24865</v>
      </c>
      <c r="D40304" s="21" t="s">
        <v>24820</v>
      </c>
      <c r="E40304" s="21" t="s">
        <v>71</v>
      </c>
      <c r="F40304">
        <v>10790235</v>
      </c>
      <c r="G40304" t="s">
        <v>413</v>
      </c>
      <c r="H40304" s="21">
        <v>589.66999999999996</v>
      </c>
    </row>
    <row r="40305" spans="1:8" customFormat="1" x14ac:dyDescent="0.25">
      <c r="A40305" t="str">
        <f>"9244771"</f>
        <v>9244771</v>
      </c>
      <c r="B40305" t="s">
        <v>23201</v>
      </c>
      <c r="C40305" t="s">
        <v>22831</v>
      </c>
      <c r="D40305" s="21" t="s">
        <v>24820</v>
      </c>
      <c r="E40305" s="21" t="s">
        <v>71</v>
      </c>
      <c r="F40305">
        <v>8921182</v>
      </c>
      <c r="G40305" t="s">
        <v>26954</v>
      </c>
      <c r="H40305" s="21">
        <v>589.41999999999996</v>
      </c>
    </row>
    <row r="40306" spans="1:8" customFormat="1" x14ac:dyDescent="0.25">
      <c r="A40306" t="str">
        <f>"868376"</f>
        <v>868376</v>
      </c>
      <c r="B40306" t="s">
        <v>16638</v>
      </c>
      <c r="C40306" t="s">
        <v>24833</v>
      </c>
      <c r="D40306" s="21" t="s">
        <v>24820</v>
      </c>
      <c r="E40306" s="21" t="s">
        <v>71</v>
      </c>
      <c r="F40306">
        <v>10860005</v>
      </c>
      <c r="G40306" t="s">
        <v>7474</v>
      </c>
      <c r="H40306" s="21">
        <v>589.16999999999996</v>
      </c>
    </row>
    <row r="40307" spans="1:8" customFormat="1" x14ac:dyDescent="0.25">
      <c r="A40307" t="str">
        <f>"9534376"</f>
        <v>9534376</v>
      </c>
      <c r="B40307" t="s">
        <v>26290</v>
      </c>
      <c r="C40307" t="s">
        <v>24865</v>
      </c>
      <c r="D40307" s="21" t="s">
        <v>24820</v>
      </c>
      <c r="E40307" s="21" t="s">
        <v>254</v>
      </c>
      <c r="F40307">
        <v>8950103</v>
      </c>
      <c r="G40307" t="s">
        <v>440</v>
      </c>
      <c r="H40307" s="21">
        <v>588.91999999999996</v>
      </c>
    </row>
    <row r="40308" spans="1:8" customFormat="1" x14ac:dyDescent="0.25">
      <c r="A40308" t="str">
        <f>"0112948"</f>
        <v>0112948</v>
      </c>
      <c r="B40308" t="s">
        <v>5518</v>
      </c>
      <c r="C40308" t="s">
        <v>24932</v>
      </c>
      <c r="D40308" s="21" t="s">
        <v>24820</v>
      </c>
      <c r="E40308" s="21" t="s">
        <v>71</v>
      </c>
      <c r="F40308">
        <v>13830029</v>
      </c>
      <c r="G40308" t="s">
        <v>315</v>
      </c>
      <c r="H40308" s="21">
        <v>588.66999999999996</v>
      </c>
    </row>
    <row r="40309" spans="1:8" customFormat="1" x14ac:dyDescent="0.25">
      <c r="A40309" t="str">
        <f>"8018736"</f>
        <v>8018736</v>
      </c>
      <c r="B40309" t="s">
        <v>14105</v>
      </c>
      <c r="C40309" t="s">
        <v>24888</v>
      </c>
      <c r="D40309" s="21" t="s">
        <v>24820</v>
      </c>
      <c r="E40309" s="21" t="s">
        <v>71</v>
      </c>
      <c r="F40309">
        <v>7800071</v>
      </c>
      <c r="G40309" t="s">
        <v>9109</v>
      </c>
      <c r="H40309" s="21">
        <v>588.66999999999996</v>
      </c>
    </row>
    <row r="40310" spans="1:8" customFormat="1" x14ac:dyDescent="0.25">
      <c r="A40310" t="str">
        <f>"4421862"</f>
        <v>4421862</v>
      </c>
      <c r="B40310" t="s">
        <v>10790</v>
      </c>
      <c r="C40310" t="s">
        <v>23734</v>
      </c>
      <c r="D40310" s="21" t="s">
        <v>24820</v>
      </c>
      <c r="E40310" s="21" t="s">
        <v>71</v>
      </c>
      <c r="F40310">
        <v>12440074</v>
      </c>
      <c r="G40310" t="s">
        <v>2436</v>
      </c>
      <c r="H40310" s="21">
        <v>588.16999999999996</v>
      </c>
    </row>
    <row r="40311" spans="1:8" customFormat="1" x14ac:dyDescent="0.25">
      <c r="A40311" t="str">
        <f>"6233932"</f>
        <v>6233932</v>
      </c>
      <c r="B40311" t="s">
        <v>25880</v>
      </c>
      <c r="C40311" t="s">
        <v>23734</v>
      </c>
      <c r="D40311" s="21" t="s">
        <v>24820</v>
      </c>
      <c r="E40311" s="21" t="s">
        <v>71</v>
      </c>
      <c r="F40311">
        <v>7620149</v>
      </c>
      <c r="G40311" t="s">
        <v>16598</v>
      </c>
      <c r="H40311" s="21">
        <v>587.66999999999996</v>
      </c>
    </row>
    <row r="40312" spans="1:8" customFormat="1" x14ac:dyDescent="0.25">
      <c r="A40312" t="str">
        <f>"9417630"</f>
        <v>9417630</v>
      </c>
      <c r="B40312" t="s">
        <v>25407</v>
      </c>
      <c r="C40312" t="s">
        <v>25217</v>
      </c>
      <c r="D40312" s="21" t="s">
        <v>24820</v>
      </c>
      <c r="E40312" s="21" t="s">
        <v>35</v>
      </c>
      <c r="F40312">
        <v>10170031</v>
      </c>
      <c r="G40312" t="s">
        <v>2921</v>
      </c>
      <c r="H40312" s="21">
        <v>587.66999999999996</v>
      </c>
    </row>
    <row r="40313" spans="1:8" customFormat="1" x14ac:dyDescent="0.25">
      <c r="A40313" t="str">
        <f>"34198"</f>
        <v>34198</v>
      </c>
      <c r="B40313" t="s">
        <v>25387</v>
      </c>
      <c r="C40313" t="s">
        <v>24904</v>
      </c>
      <c r="D40313" s="21" t="s">
        <v>24820</v>
      </c>
      <c r="E40313" s="21" t="s">
        <v>71</v>
      </c>
      <c r="F40313">
        <v>11340012</v>
      </c>
      <c r="G40313" t="s">
        <v>10413</v>
      </c>
      <c r="H40313" s="21">
        <v>587.66999999999996</v>
      </c>
    </row>
    <row r="40314" spans="1:8" customFormat="1" x14ac:dyDescent="0.25">
      <c r="A40314" t="str">
        <f>"186756"</f>
        <v>186756</v>
      </c>
      <c r="B40314" t="s">
        <v>25460</v>
      </c>
      <c r="C40314" t="s">
        <v>24887</v>
      </c>
      <c r="D40314" s="21" t="s">
        <v>24820</v>
      </c>
      <c r="E40314" s="21" t="s">
        <v>35</v>
      </c>
      <c r="F40314">
        <v>4180718</v>
      </c>
      <c r="G40314" t="s">
        <v>8518</v>
      </c>
      <c r="H40314" s="21">
        <v>587.66999999999996</v>
      </c>
    </row>
    <row r="40315" spans="1:8" customFormat="1" x14ac:dyDescent="0.25">
      <c r="A40315" t="str">
        <f>"6219571"</f>
        <v>6219571</v>
      </c>
      <c r="B40315" t="s">
        <v>25470</v>
      </c>
      <c r="C40315" t="s">
        <v>24828</v>
      </c>
      <c r="D40315" s="21" t="s">
        <v>24820</v>
      </c>
      <c r="E40315" s="21" t="s">
        <v>35</v>
      </c>
      <c r="F40315">
        <v>7620067</v>
      </c>
      <c r="G40315" t="s">
        <v>860</v>
      </c>
      <c r="H40315" s="21">
        <v>587.66999999999996</v>
      </c>
    </row>
    <row r="40316" spans="1:8" customFormat="1" x14ac:dyDescent="0.25">
      <c r="A40316" t="str">
        <f>"5943298"</f>
        <v>5943298</v>
      </c>
      <c r="B40316" t="s">
        <v>2082</v>
      </c>
      <c r="C40316" t="s">
        <v>24833</v>
      </c>
      <c r="D40316" s="21" t="s">
        <v>24820</v>
      </c>
      <c r="E40316" s="21" t="s">
        <v>35</v>
      </c>
      <c r="F40316">
        <v>7590281</v>
      </c>
      <c r="G40316" t="s">
        <v>7165</v>
      </c>
      <c r="H40316" s="21">
        <v>587.66999999999996</v>
      </c>
    </row>
    <row r="40317" spans="1:8" customFormat="1" x14ac:dyDescent="0.25">
      <c r="A40317" t="str">
        <f>"636913"</f>
        <v>636913</v>
      </c>
      <c r="B40317" t="s">
        <v>25402</v>
      </c>
      <c r="C40317" t="s">
        <v>25403</v>
      </c>
      <c r="D40317" s="21" t="s">
        <v>24820</v>
      </c>
      <c r="E40317" s="21" t="s">
        <v>71</v>
      </c>
      <c r="F40317">
        <v>1630184</v>
      </c>
      <c r="G40317" t="s">
        <v>26702</v>
      </c>
      <c r="H40317" s="21">
        <v>587.16999999999996</v>
      </c>
    </row>
    <row r="40318" spans="1:8" customFormat="1" x14ac:dyDescent="0.25">
      <c r="A40318" t="str">
        <f>"3323125"</f>
        <v>3323125</v>
      </c>
      <c r="B40318" t="s">
        <v>6428</v>
      </c>
      <c r="C40318" t="s">
        <v>24897</v>
      </c>
      <c r="D40318" s="21" t="s">
        <v>24820</v>
      </c>
      <c r="E40318" s="21" t="s">
        <v>254</v>
      </c>
      <c r="F40318">
        <v>10330032</v>
      </c>
      <c r="G40318" t="s">
        <v>4408</v>
      </c>
      <c r="H40318" s="21">
        <v>587.16999999999996</v>
      </c>
    </row>
    <row r="40319" spans="1:8" customFormat="1" x14ac:dyDescent="0.25">
      <c r="A40319" t="str">
        <f>"104555"</f>
        <v>104555</v>
      </c>
      <c r="B40319" t="s">
        <v>29794</v>
      </c>
      <c r="C40319" t="s">
        <v>24833</v>
      </c>
      <c r="D40319" s="21" t="s">
        <v>24820</v>
      </c>
      <c r="E40319" s="21" t="s">
        <v>35</v>
      </c>
      <c r="F40319">
        <v>6100035</v>
      </c>
      <c r="G40319" t="s">
        <v>26807</v>
      </c>
      <c r="H40319" s="21">
        <v>586.66999999999996</v>
      </c>
    </row>
    <row r="40320" spans="1:8" customFormat="1" x14ac:dyDescent="0.25">
      <c r="A40320" t="str">
        <f>"723371"</f>
        <v>723371</v>
      </c>
      <c r="B40320" t="s">
        <v>25563</v>
      </c>
      <c r="C40320" t="s">
        <v>24833</v>
      </c>
      <c r="D40320" s="21" t="s">
        <v>24820</v>
      </c>
      <c r="E40320" s="21" t="s">
        <v>35</v>
      </c>
      <c r="F40320">
        <v>12720052</v>
      </c>
      <c r="G40320" t="s">
        <v>9628</v>
      </c>
      <c r="H40320" s="21">
        <v>586.66999999999996</v>
      </c>
    </row>
    <row r="40321" spans="1:8" customFormat="1" x14ac:dyDescent="0.25">
      <c r="A40321" t="str">
        <f>"4453999"</f>
        <v>4453999</v>
      </c>
      <c r="B40321" t="s">
        <v>8922</v>
      </c>
      <c r="C40321" t="s">
        <v>24897</v>
      </c>
      <c r="D40321" s="21" t="s">
        <v>24820</v>
      </c>
      <c r="E40321" s="21" t="s">
        <v>35</v>
      </c>
      <c r="F40321">
        <v>12440138</v>
      </c>
      <c r="G40321" t="s">
        <v>562</v>
      </c>
      <c r="H40321" s="21">
        <v>586.66999999999996</v>
      </c>
    </row>
    <row r="40322" spans="1:8" customFormat="1" x14ac:dyDescent="0.25">
      <c r="A40322" t="str">
        <f>"3011769"</f>
        <v>3011769</v>
      </c>
      <c r="B40322" t="s">
        <v>11054</v>
      </c>
      <c r="C40322" t="s">
        <v>25436</v>
      </c>
      <c r="D40322" s="21" t="s">
        <v>24820</v>
      </c>
      <c r="E40322" s="21" t="s">
        <v>35</v>
      </c>
      <c r="F40322">
        <v>11300025</v>
      </c>
      <c r="G40322" t="s">
        <v>1211</v>
      </c>
      <c r="H40322" s="21">
        <v>586.16999999999996</v>
      </c>
    </row>
    <row r="40323" spans="1:8" customFormat="1" x14ac:dyDescent="0.25">
      <c r="A40323" t="str">
        <f>"091694"</f>
        <v>091694</v>
      </c>
      <c r="B40323" t="s">
        <v>2983</v>
      </c>
      <c r="C40323" t="s">
        <v>25604</v>
      </c>
      <c r="D40323" s="21" t="s">
        <v>24820</v>
      </c>
      <c r="E40323" s="21" t="s">
        <v>35</v>
      </c>
      <c r="F40323">
        <v>11090014</v>
      </c>
      <c r="G40323" t="s">
        <v>9140</v>
      </c>
      <c r="H40323" s="21">
        <v>585.41999999999996</v>
      </c>
    </row>
    <row r="40324" spans="1:8" customFormat="1" x14ac:dyDescent="0.25">
      <c r="A40324" t="str">
        <f>"6311190"</f>
        <v>6311190</v>
      </c>
      <c r="B40324" t="s">
        <v>146</v>
      </c>
      <c r="C40324" t="s">
        <v>24867</v>
      </c>
      <c r="D40324" s="21" t="s">
        <v>24820</v>
      </c>
      <c r="E40324" s="21" t="s">
        <v>71</v>
      </c>
      <c r="F40324">
        <v>1630009</v>
      </c>
      <c r="G40324" t="s">
        <v>6021</v>
      </c>
      <c r="H40324" s="21">
        <v>585.16999999999996</v>
      </c>
    </row>
    <row r="40325" spans="1:8" customFormat="1" x14ac:dyDescent="0.25">
      <c r="A40325" t="str">
        <f>"75964"</f>
        <v>75964</v>
      </c>
      <c r="B40325" t="s">
        <v>25337</v>
      </c>
      <c r="C40325" t="s">
        <v>25338</v>
      </c>
      <c r="D40325" s="21" t="s">
        <v>24820</v>
      </c>
      <c r="E40325" s="21" t="s">
        <v>254</v>
      </c>
      <c r="F40325">
        <v>8750007</v>
      </c>
      <c r="G40325" t="s">
        <v>775</v>
      </c>
      <c r="H40325" s="21">
        <v>584.79</v>
      </c>
    </row>
    <row r="40326" spans="1:8" customFormat="1" x14ac:dyDescent="0.25">
      <c r="A40326" t="str">
        <f>"1413414"</f>
        <v>1413414</v>
      </c>
      <c r="B40326" t="s">
        <v>10427</v>
      </c>
      <c r="C40326" t="s">
        <v>25273</v>
      </c>
      <c r="D40326" s="21" t="s">
        <v>24820</v>
      </c>
      <c r="E40326" s="21" t="s">
        <v>254</v>
      </c>
      <c r="F40326">
        <v>12720127</v>
      </c>
      <c r="G40326" t="s">
        <v>6528</v>
      </c>
      <c r="H40326" s="21">
        <v>584.66999999999996</v>
      </c>
    </row>
    <row r="40327" spans="1:8" customFormat="1" x14ac:dyDescent="0.25">
      <c r="A40327" t="str">
        <f>"0617670"</f>
        <v>0617670</v>
      </c>
      <c r="B40327" t="s">
        <v>25443</v>
      </c>
      <c r="C40327" t="s">
        <v>25444</v>
      </c>
      <c r="D40327" s="21" t="s">
        <v>24820</v>
      </c>
      <c r="E40327" s="21" t="s">
        <v>35</v>
      </c>
      <c r="F40327">
        <v>13060031</v>
      </c>
      <c r="G40327" t="s">
        <v>9379</v>
      </c>
      <c r="H40327" s="21">
        <v>584.66999999999996</v>
      </c>
    </row>
    <row r="40328" spans="1:8" customFormat="1" x14ac:dyDescent="0.25">
      <c r="A40328" t="str">
        <f>"8816464"</f>
        <v>8816464</v>
      </c>
      <c r="B40328" t="s">
        <v>25481</v>
      </c>
      <c r="C40328" t="s">
        <v>25068</v>
      </c>
      <c r="D40328" s="21" t="s">
        <v>24820</v>
      </c>
      <c r="E40328" s="21" t="s">
        <v>35</v>
      </c>
      <c r="F40328">
        <v>6880140</v>
      </c>
      <c r="G40328" t="s">
        <v>4827</v>
      </c>
      <c r="H40328" s="21">
        <v>584.29</v>
      </c>
    </row>
    <row r="40329" spans="1:8" customFormat="1" x14ac:dyDescent="0.25">
      <c r="A40329" t="str">
        <f>"4912591"</f>
        <v>4912591</v>
      </c>
      <c r="B40329" t="s">
        <v>25492</v>
      </c>
      <c r="C40329" t="s">
        <v>24926</v>
      </c>
      <c r="D40329" s="21" t="s">
        <v>24820</v>
      </c>
      <c r="E40329" s="21" t="s">
        <v>35</v>
      </c>
      <c r="F40329">
        <v>12490030</v>
      </c>
      <c r="G40329" t="s">
        <v>8366</v>
      </c>
      <c r="H40329" s="21">
        <v>583.16999999999996</v>
      </c>
    </row>
    <row r="40330" spans="1:8" customFormat="1" x14ac:dyDescent="0.25">
      <c r="A40330" t="str">
        <f>"95102"</f>
        <v>95102</v>
      </c>
      <c r="B40330" t="s">
        <v>18462</v>
      </c>
      <c r="C40330" t="s">
        <v>24889</v>
      </c>
      <c r="D40330" s="21" t="s">
        <v>24820</v>
      </c>
      <c r="E40330" s="21" t="s">
        <v>71</v>
      </c>
      <c r="F40330">
        <v>8950083</v>
      </c>
      <c r="G40330" t="s">
        <v>405</v>
      </c>
      <c r="H40330" s="21">
        <v>582.66999999999996</v>
      </c>
    </row>
    <row r="40331" spans="1:8" customFormat="1" x14ac:dyDescent="0.25">
      <c r="A40331" t="str">
        <f>"586228"</f>
        <v>586228</v>
      </c>
      <c r="B40331" t="s">
        <v>6024</v>
      </c>
      <c r="C40331" t="s">
        <v>24909</v>
      </c>
      <c r="D40331" s="21" t="s">
        <v>24820</v>
      </c>
      <c r="E40331" s="21" t="s">
        <v>71</v>
      </c>
      <c r="F40331">
        <v>2580010</v>
      </c>
      <c r="G40331" t="s">
        <v>1965</v>
      </c>
      <c r="H40331" s="21">
        <v>582.29</v>
      </c>
    </row>
    <row r="40332" spans="1:8" customFormat="1" x14ac:dyDescent="0.25">
      <c r="A40332" t="str">
        <f>"4432987"</f>
        <v>4432987</v>
      </c>
      <c r="B40332" t="s">
        <v>2010</v>
      </c>
      <c r="C40332" t="s">
        <v>25173</v>
      </c>
      <c r="D40332" s="21" t="s">
        <v>24820</v>
      </c>
      <c r="E40332" s="21" t="s">
        <v>71</v>
      </c>
      <c r="F40332">
        <v>12440094</v>
      </c>
      <c r="G40332" t="s">
        <v>892</v>
      </c>
      <c r="H40332" s="21">
        <v>582.16999999999996</v>
      </c>
    </row>
    <row r="40333" spans="1:8" customFormat="1" x14ac:dyDescent="0.25">
      <c r="A40333" t="str">
        <f>"0610785"</f>
        <v>0610785</v>
      </c>
      <c r="B40333" t="s">
        <v>26282</v>
      </c>
      <c r="C40333" t="s">
        <v>25273</v>
      </c>
      <c r="D40333" s="21" t="s">
        <v>24820</v>
      </c>
      <c r="E40333" s="21" t="s">
        <v>254</v>
      </c>
      <c r="F40333">
        <v>13060114</v>
      </c>
      <c r="G40333" t="s">
        <v>4501</v>
      </c>
      <c r="H40333" s="21">
        <v>582.04</v>
      </c>
    </row>
    <row r="40334" spans="1:8" customFormat="1" x14ac:dyDescent="0.25">
      <c r="A40334" t="str">
        <f>"7520681"</f>
        <v>7520681</v>
      </c>
      <c r="B40334" t="s">
        <v>25551</v>
      </c>
      <c r="C40334" t="s">
        <v>25073</v>
      </c>
      <c r="D40334" s="21" t="s">
        <v>24820</v>
      </c>
      <c r="E40334" s="21" t="s">
        <v>35</v>
      </c>
      <c r="F40334">
        <v>8750120</v>
      </c>
      <c r="G40334" t="s">
        <v>838</v>
      </c>
      <c r="H40334" s="21">
        <v>581.66999999999996</v>
      </c>
    </row>
    <row r="40335" spans="1:8" customFormat="1" x14ac:dyDescent="0.25">
      <c r="A40335" t="str">
        <f>"7720319"</f>
        <v>7720319</v>
      </c>
      <c r="B40335" t="s">
        <v>25531</v>
      </c>
      <c r="C40335" t="s">
        <v>24824</v>
      </c>
      <c r="D40335" s="21" t="s">
        <v>24820</v>
      </c>
      <c r="E40335" s="21" t="s">
        <v>35</v>
      </c>
      <c r="F40335">
        <v>8770237</v>
      </c>
      <c r="G40335" t="s">
        <v>128</v>
      </c>
      <c r="H40335" s="21">
        <v>581.66999999999996</v>
      </c>
    </row>
    <row r="40336" spans="1:8" customFormat="1" x14ac:dyDescent="0.25">
      <c r="A40336" t="str">
        <f>"9237992"</f>
        <v>9237992</v>
      </c>
      <c r="B40336" t="s">
        <v>25432</v>
      </c>
      <c r="C40336" t="s">
        <v>24889</v>
      </c>
      <c r="D40336" s="21" t="s">
        <v>24820</v>
      </c>
      <c r="E40336" s="21" t="s">
        <v>71</v>
      </c>
      <c r="F40336">
        <v>8920063</v>
      </c>
      <c r="G40336" t="s">
        <v>219</v>
      </c>
      <c r="H40336" s="21">
        <v>581.16999999999996</v>
      </c>
    </row>
    <row r="40337" spans="1:8" customFormat="1" x14ac:dyDescent="0.25">
      <c r="A40337" t="str">
        <f>"6012038"</f>
        <v>6012038</v>
      </c>
      <c r="B40337" t="s">
        <v>6800</v>
      </c>
      <c r="C40337" t="s">
        <v>24865</v>
      </c>
      <c r="D40337" s="21" t="s">
        <v>24820</v>
      </c>
      <c r="E40337" s="21" t="s">
        <v>71</v>
      </c>
      <c r="F40337">
        <v>7600088</v>
      </c>
      <c r="G40337" t="s">
        <v>334</v>
      </c>
      <c r="H40337" s="21">
        <v>580.16999999999996</v>
      </c>
    </row>
    <row r="40338" spans="1:8" customFormat="1" x14ac:dyDescent="0.25">
      <c r="A40338" t="str">
        <f>"9434459"</f>
        <v>9434459</v>
      </c>
      <c r="B40338" t="s">
        <v>15822</v>
      </c>
      <c r="C40338" t="s">
        <v>24840</v>
      </c>
      <c r="D40338" s="21" t="s">
        <v>24820</v>
      </c>
      <c r="E40338" s="21" t="s">
        <v>71</v>
      </c>
      <c r="F40338">
        <v>8941343</v>
      </c>
      <c r="G40338" t="s">
        <v>9614</v>
      </c>
      <c r="H40338" s="21">
        <v>579.54</v>
      </c>
    </row>
    <row r="40339" spans="1:8" customFormat="1" x14ac:dyDescent="0.25">
      <c r="A40339" t="str">
        <f>"196493"</f>
        <v>196493</v>
      </c>
      <c r="B40339" t="s">
        <v>12035</v>
      </c>
      <c r="C40339" t="s">
        <v>25163</v>
      </c>
      <c r="D40339" s="21" t="s">
        <v>24820</v>
      </c>
      <c r="E40339" s="21" t="s">
        <v>71</v>
      </c>
      <c r="F40339">
        <v>10190111</v>
      </c>
      <c r="G40339" t="s">
        <v>13161</v>
      </c>
      <c r="H40339" s="21">
        <v>579.41999999999996</v>
      </c>
    </row>
    <row r="40340" spans="1:8" customFormat="1" x14ac:dyDescent="0.25">
      <c r="A40340" t="str">
        <f>"7642030"</f>
        <v>7642030</v>
      </c>
      <c r="B40340" t="s">
        <v>25620</v>
      </c>
      <c r="C40340" t="s">
        <v>24897</v>
      </c>
      <c r="D40340" s="21" t="s">
        <v>24820</v>
      </c>
      <c r="E40340" s="21" t="s">
        <v>35</v>
      </c>
      <c r="F40340">
        <v>9760419</v>
      </c>
      <c r="G40340" t="s">
        <v>8549</v>
      </c>
      <c r="H40340" s="21">
        <v>579.16999999999996</v>
      </c>
    </row>
    <row r="40341" spans="1:8" customFormat="1" x14ac:dyDescent="0.25">
      <c r="A40341" t="str">
        <f>"7631514"</f>
        <v>7631514</v>
      </c>
      <c r="B40341" t="s">
        <v>5125</v>
      </c>
      <c r="C40341" t="s">
        <v>24898</v>
      </c>
      <c r="D40341" s="21" t="s">
        <v>24820</v>
      </c>
      <c r="E40341" s="21" t="s">
        <v>254</v>
      </c>
      <c r="F40341">
        <v>9760414</v>
      </c>
      <c r="G40341" t="s">
        <v>142</v>
      </c>
      <c r="H40341" s="21">
        <v>579.16999999999996</v>
      </c>
    </row>
    <row r="40342" spans="1:8" customFormat="1" x14ac:dyDescent="0.25">
      <c r="A40342" t="str">
        <f>"2938808"</f>
        <v>2938808</v>
      </c>
      <c r="B40342" t="s">
        <v>29795</v>
      </c>
      <c r="C40342" t="s">
        <v>24867</v>
      </c>
      <c r="D40342" s="21" t="s">
        <v>24820</v>
      </c>
      <c r="E40342" s="21" t="s">
        <v>35</v>
      </c>
      <c r="F40342">
        <v>3290047</v>
      </c>
      <c r="G40342" t="s">
        <v>2874</v>
      </c>
      <c r="H40342" s="21">
        <v>578.66999999999996</v>
      </c>
    </row>
    <row r="40343" spans="1:8" customFormat="1" x14ac:dyDescent="0.25">
      <c r="A40343" t="str">
        <f>"8312594"</f>
        <v>8312594</v>
      </c>
      <c r="B40343" t="s">
        <v>15014</v>
      </c>
      <c r="C40343" t="s">
        <v>24869</v>
      </c>
      <c r="D40343" s="21" t="s">
        <v>24820</v>
      </c>
      <c r="E40343" s="21" t="s">
        <v>35</v>
      </c>
      <c r="F40343">
        <v>13830025</v>
      </c>
      <c r="G40343" t="s">
        <v>106</v>
      </c>
      <c r="H40343" s="21">
        <v>578.5</v>
      </c>
    </row>
    <row r="40344" spans="1:8" customFormat="1" x14ac:dyDescent="0.25">
      <c r="A40344" t="str">
        <f>"773767"</f>
        <v>773767</v>
      </c>
      <c r="B40344" t="s">
        <v>2261</v>
      </c>
      <c r="C40344" t="s">
        <v>24904</v>
      </c>
      <c r="D40344" s="21" t="s">
        <v>24820</v>
      </c>
      <c r="E40344" s="21" t="s">
        <v>254</v>
      </c>
      <c r="F40344">
        <v>8771087</v>
      </c>
      <c r="G40344" t="s">
        <v>9715</v>
      </c>
      <c r="H40344" s="21">
        <v>578.16999999999996</v>
      </c>
    </row>
    <row r="40345" spans="1:8" customFormat="1" x14ac:dyDescent="0.25">
      <c r="A40345" t="str">
        <f>"3712442"</f>
        <v>3712442</v>
      </c>
      <c r="B40345" t="s">
        <v>25560</v>
      </c>
      <c r="C40345" t="s">
        <v>23734</v>
      </c>
      <c r="D40345" s="21" t="s">
        <v>24820</v>
      </c>
      <c r="E40345" s="21" t="s">
        <v>71</v>
      </c>
      <c r="F40345">
        <v>4370548</v>
      </c>
      <c r="G40345" t="s">
        <v>7106</v>
      </c>
      <c r="H40345" s="21">
        <v>577.66999999999996</v>
      </c>
    </row>
    <row r="40346" spans="1:8" customFormat="1" x14ac:dyDescent="0.25">
      <c r="A40346" t="str">
        <f>"072964"</f>
        <v>072964</v>
      </c>
      <c r="B40346" t="s">
        <v>5292</v>
      </c>
      <c r="C40346" t="s">
        <v>24932</v>
      </c>
      <c r="D40346" s="21" t="s">
        <v>24820</v>
      </c>
      <c r="E40346" s="21" t="s">
        <v>71</v>
      </c>
      <c r="F40346">
        <v>13130100</v>
      </c>
      <c r="G40346" t="s">
        <v>2893</v>
      </c>
      <c r="H40346" s="21">
        <v>577.66999999999996</v>
      </c>
    </row>
    <row r="40347" spans="1:8" customFormat="1" x14ac:dyDescent="0.25">
      <c r="A40347" t="str">
        <f>"3527261"</f>
        <v>3527261</v>
      </c>
      <c r="B40347" t="s">
        <v>25589</v>
      </c>
      <c r="C40347" t="s">
        <v>24845</v>
      </c>
      <c r="D40347" s="21" t="s">
        <v>24820</v>
      </c>
      <c r="E40347" s="21" t="s">
        <v>35</v>
      </c>
      <c r="F40347">
        <v>3350090</v>
      </c>
      <c r="G40347" t="s">
        <v>9659</v>
      </c>
      <c r="H40347" s="21">
        <v>577.66999999999996</v>
      </c>
    </row>
    <row r="40348" spans="1:8" customFormat="1" x14ac:dyDescent="0.25">
      <c r="A40348" t="str">
        <f>"8811907"</f>
        <v>8811907</v>
      </c>
      <c r="B40348" t="s">
        <v>1102</v>
      </c>
      <c r="C40348" t="s">
        <v>24893</v>
      </c>
      <c r="D40348" s="21" t="s">
        <v>24820</v>
      </c>
      <c r="E40348" s="21" t="s">
        <v>35</v>
      </c>
      <c r="F40348">
        <v>6670141</v>
      </c>
      <c r="G40348" t="s">
        <v>5030</v>
      </c>
      <c r="H40348" s="21">
        <v>577.16999999999996</v>
      </c>
    </row>
    <row r="40349" spans="1:8" customFormat="1" x14ac:dyDescent="0.25">
      <c r="A40349" t="str">
        <f>"7110137"</f>
        <v>7110137</v>
      </c>
      <c r="B40349" t="s">
        <v>7464</v>
      </c>
      <c r="C40349" t="s">
        <v>23734</v>
      </c>
      <c r="D40349" s="21" t="s">
        <v>24820</v>
      </c>
      <c r="E40349" s="21" t="s">
        <v>71</v>
      </c>
      <c r="F40349">
        <v>2710042</v>
      </c>
      <c r="G40349" t="s">
        <v>1997</v>
      </c>
      <c r="H40349" s="21">
        <v>577.16999999999996</v>
      </c>
    </row>
    <row r="40350" spans="1:8" customFormat="1" x14ac:dyDescent="0.25">
      <c r="A40350" t="str">
        <f>"6314151"</f>
        <v>6314151</v>
      </c>
      <c r="B40350" t="s">
        <v>1092</v>
      </c>
      <c r="C40350" t="s">
        <v>23966</v>
      </c>
      <c r="D40350" s="21" t="s">
        <v>24820</v>
      </c>
      <c r="E40350" s="21" t="s">
        <v>35</v>
      </c>
      <c r="F40350">
        <v>1630078</v>
      </c>
      <c r="G40350" t="s">
        <v>326</v>
      </c>
      <c r="H40350" s="21">
        <v>577.16999999999996</v>
      </c>
    </row>
    <row r="40351" spans="1:8" customFormat="1" x14ac:dyDescent="0.25">
      <c r="A40351" t="str">
        <f>"639667"</f>
        <v>639667</v>
      </c>
      <c r="B40351" t="s">
        <v>29796</v>
      </c>
      <c r="C40351" t="s">
        <v>24828</v>
      </c>
      <c r="D40351" s="21" t="s">
        <v>24820</v>
      </c>
      <c r="E40351" s="21" t="s">
        <v>71</v>
      </c>
      <c r="F40351">
        <v>1630308</v>
      </c>
      <c r="G40351" t="s">
        <v>8083</v>
      </c>
      <c r="H40351" s="21">
        <v>577</v>
      </c>
    </row>
    <row r="40352" spans="1:8" customFormat="1" x14ac:dyDescent="0.25">
      <c r="A40352" t="str">
        <f>"5715899"</f>
        <v>5715899</v>
      </c>
      <c r="B40352" t="s">
        <v>25435</v>
      </c>
      <c r="C40352" t="s">
        <v>25045</v>
      </c>
      <c r="D40352" s="21" t="s">
        <v>24820</v>
      </c>
      <c r="E40352" s="21" t="s">
        <v>1089</v>
      </c>
      <c r="F40352">
        <v>6570179</v>
      </c>
      <c r="G40352" t="s">
        <v>9205</v>
      </c>
      <c r="H40352" s="21">
        <v>576.66999999999996</v>
      </c>
    </row>
    <row r="40353" spans="1:8" customFormat="1" x14ac:dyDescent="0.25">
      <c r="A40353" t="str">
        <f>"512951"</f>
        <v>512951</v>
      </c>
      <c r="B40353" t="s">
        <v>29797</v>
      </c>
      <c r="C40353" t="s">
        <v>24874</v>
      </c>
      <c r="D40353" s="21" t="s">
        <v>24820</v>
      </c>
      <c r="E40353" s="21" t="s">
        <v>71</v>
      </c>
      <c r="F40353">
        <v>6510064</v>
      </c>
      <c r="G40353" t="s">
        <v>6183</v>
      </c>
      <c r="H40353" s="21">
        <v>576.66999999999996</v>
      </c>
    </row>
    <row r="40354" spans="1:8" customFormat="1" x14ac:dyDescent="0.25">
      <c r="A40354" t="str">
        <f>"861093"</f>
        <v>861093</v>
      </c>
      <c r="B40354" t="s">
        <v>19806</v>
      </c>
      <c r="C40354" t="s">
        <v>25324</v>
      </c>
      <c r="D40354" s="21" t="s">
        <v>24820</v>
      </c>
      <c r="E40354" s="21" t="s">
        <v>254</v>
      </c>
      <c r="F40354" t="s">
        <v>2591</v>
      </c>
      <c r="G40354" t="s">
        <v>2592</v>
      </c>
      <c r="H40354" s="21">
        <v>576.16999999999996</v>
      </c>
    </row>
    <row r="40355" spans="1:8" customFormat="1" x14ac:dyDescent="0.25">
      <c r="A40355" t="str">
        <f>"8510115"</f>
        <v>8510115</v>
      </c>
      <c r="B40355" t="s">
        <v>8773</v>
      </c>
      <c r="C40355" t="s">
        <v>24947</v>
      </c>
      <c r="D40355" s="21" t="s">
        <v>24820</v>
      </c>
      <c r="E40355" s="21" t="s">
        <v>71</v>
      </c>
      <c r="F40355">
        <v>12850034</v>
      </c>
      <c r="G40355" t="s">
        <v>7112</v>
      </c>
      <c r="H40355" s="21">
        <v>576.16999999999996</v>
      </c>
    </row>
    <row r="40356" spans="1:8" customFormat="1" x14ac:dyDescent="0.25">
      <c r="A40356" t="str">
        <f>"8526138"</f>
        <v>8526138</v>
      </c>
      <c r="B40356" t="s">
        <v>9233</v>
      </c>
      <c r="C40356" t="s">
        <v>24931</v>
      </c>
      <c r="D40356" s="21" t="s">
        <v>24820</v>
      </c>
      <c r="E40356" s="21" t="s">
        <v>71</v>
      </c>
      <c r="F40356">
        <v>12850111</v>
      </c>
      <c r="G40356" t="s">
        <v>9234</v>
      </c>
      <c r="H40356" s="21">
        <v>575.66999999999996</v>
      </c>
    </row>
    <row r="40357" spans="1:8" customFormat="1" x14ac:dyDescent="0.25">
      <c r="A40357" t="str">
        <f>"178953"</f>
        <v>178953</v>
      </c>
      <c r="B40357" t="s">
        <v>17103</v>
      </c>
      <c r="C40357" t="s">
        <v>24968</v>
      </c>
      <c r="D40357" s="21" t="s">
        <v>24820</v>
      </c>
      <c r="E40357" s="21" t="s">
        <v>71</v>
      </c>
      <c r="F40357">
        <v>10170050</v>
      </c>
      <c r="G40357" t="s">
        <v>2514</v>
      </c>
      <c r="H40357" s="21">
        <v>575.66999999999996</v>
      </c>
    </row>
    <row r="40358" spans="1:8" customFormat="1" x14ac:dyDescent="0.25">
      <c r="A40358" t="str">
        <f>"522524"</f>
        <v>522524</v>
      </c>
      <c r="B40358" t="s">
        <v>29798</v>
      </c>
      <c r="C40358" t="s">
        <v>25151</v>
      </c>
      <c r="D40358" s="21" t="s">
        <v>24820</v>
      </c>
      <c r="E40358" s="21" t="s">
        <v>71</v>
      </c>
      <c r="F40358">
        <v>6520054</v>
      </c>
      <c r="G40358" t="s">
        <v>2142</v>
      </c>
      <c r="H40358" s="21">
        <v>575.54</v>
      </c>
    </row>
    <row r="40359" spans="1:8" customFormat="1" x14ac:dyDescent="0.25">
      <c r="A40359" t="str">
        <f>"9252013"</f>
        <v>9252013</v>
      </c>
      <c r="B40359" t="s">
        <v>22434</v>
      </c>
      <c r="C40359" t="s">
        <v>22831</v>
      </c>
      <c r="D40359" s="21" t="s">
        <v>24820</v>
      </c>
      <c r="E40359" s="21" t="s">
        <v>71</v>
      </c>
      <c r="F40359">
        <v>8920063</v>
      </c>
      <c r="G40359" t="s">
        <v>219</v>
      </c>
      <c r="H40359" s="21">
        <v>575.16999999999996</v>
      </c>
    </row>
    <row r="40360" spans="1:8" customFormat="1" x14ac:dyDescent="0.25">
      <c r="A40360" t="str">
        <f>"153228"</f>
        <v>153228</v>
      </c>
      <c r="B40360" t="s">
        <v>25440</v>
      </c>
      <c r="C40360" t="s">
        <v>25252</v>
      </c>
      <c r="D40360" s="21" t="s">
        <v>24820</v>
      </c>
      <c r="E40360" s="21" t="s">
        <v>35</v>
      </c>
      <c r="F40360">
        <v>1420299</v>
      </c>
      <c r="G40360" t="s">
        <v>8013</v>
      </c>
      <c r="H40360" s="21">
        <v>574.54</v>
      </c>
    </row>
    <row r="40361" spans="1:8" customFormat="1" x14ac:dyDescent="0.25">
      <c r="A40361" t="str">
        <f>"7215750"</f>
        <v>7215750</v>
      </c>
      <c r="B40361" t="s">
        <v>16231</v>
      </c>
      <c r="C40361" t="s">
        <v>25478</v>
      </c>
      <c r="D40361" s="21" t="s">
        <v>24820</v>
      </c>
      <c r="E40361" s="21" t="s">
        <v>35</v>
      </c>
      <c r="F40361">
        <v>12720021</v>
      </c>
      <c r="G40361" t="s">
        <v>3329</v>
      </c>
      <c r="H40361" s="21">
        <v>574.41999999999996</v>
      </c>
    </row>
    <row r="40362" spans="1:8" customFormat="1" x14ac:dyDescent="0.25">
      <c r="A40362" t="str">
        <f>"4447376"</f>
        <v>4447376</v>
      </c>
      <c r="B40362" t="s">
        <v>29799</v>
      </c>
      <c r="C40362" t="s">
        <v>23734</v>
      </c>
      <c r="D40362" s="21" t="s">
        <v>24820</v>
      </c>
      <c r="E40362" s="21" t="s">
        <v>35</v>
      </c>
      <c r="F40362">
        <v>12440138</v>
      </c>
      <c r="G40362" t="s">
        <v>562</v>
      </c>
      <c r="H40362" s="21">
        <v>574.41999999999996</v>
      </c>
    </row>
    <row r="40363" spans="1:8" customFormat="1" x14ac:dyDescent="0.25">
      <c r="A40363" t="str">
        <f>"1423884"</f>
        <v>1423884</v>
      </c>
      <c r="B40363" t="s">
        <v>25509</v>
      </c>
      <c r="C40363" t="s">
        <v>22736</v>
      </c>
      <c r="D40363" s="21" t="s">
        <v>24820</v>
      </c>
      <c r="E40363" s="21" t="s">
        <v>35</v>
      </c>
      <c r="F40363">
        <v>9140063</v>
      </c>
      <c r="G40363" t="s">
        <v>4764</v>
      </c>
      <c r="H40363" s="21">
        <v>574.29</v>
      </c>
    </row>
    <row r="40364" spans="1:8" customFormat="1" x14ac:dyDescent="0.25">
      <c r="A40364" t="str">
        <f>"165097"</f>
        <v>165097</v>
      </c>
      <c r="B40364" t="s">
        <v>18655</v>
      </c>
      <c r="C40364" t="s">
        <v>24952</v>
      </c>
      <c r="D40364" s="21" t="s">
        <v>24820</v>
      </c>
      <c r="E40364" s="21" t="s">
        <v>71</v>
      </c>
      <c r="F40364">
        <v>10160196</v>
      </c>
      <c r="G40364" t="s">
        <v>13348</v>
      </c>
      <c r="H40364" s="21">
        <v>574.16999999999996</v>
      </c>
    </row>
    <row r="40365" spans="1:8" customFormat="1" x14ac:dyDescent="0.25">
      <c r="A40365" t="str">
        <f>"4418965"</f>
        <v>4418965</v>
      </c>
      <c r="B40365" t="s">
        <v>25382</v>
      </c>
      <c r="C40365" t="s">
        <v>24952</v>
      </c>
      <c r="D40365" s="21" t="s">
        <v>24820</v>
      </c>
      <c r="E40365" s="21" t="s">
        <v>254</v>
      </c>
      <c r="F40365">
        <v>12440041</v>
      </c>
      <c r="G40365" t="s">
        <v>8733</v>
      </c>
      <c r="H40365" s="21">
        <v>574.16999999999996</v>
      </c>
    </row>
    <row r="40366" spans="1:8" customFormat="1" x14ac:dyDescent="0.25">
      <c r="A40366" t="str">
        <f>"9421414"</f>
        <v>9421414</v>
      </c>
      <c r="B40366" t="s">
        <v>461</v>
      </c>
      <c r="C40366" t="s">
        <v>24833</v>
      </c>
      <c r="D40366" s="21" t="s">
        <v>24820</v>
      </c>
      <c r="E40366" s="21" t="s">
        <v>35</v>
      </c>
      <c r="F40366">
        <v>10170033</v>
      </c>
      <c r="G40366" t="s">
        <v>3756</v>
      </c>
      <c r="H40366" s="21">
        <v>574.16999999999996</v>
      </c>
    </row>
    <row r="40367" spans="1:8" customFormat="1" x14ac:dyDescent="0.25">
      <c r="A40367" t="str">
        <f>"6935803"</f>
        <v>6935803</v>
      </c>
      <c r="B40367" t="s">
        <v>25562</v>
      </c>
      <c r="C40367" t="s">
        <v>25390</v>
      </c>
      <c r="D40367" s="21" t="s">
        <v>24820</v>
      </c>
      <c r="E40367" s="21" t="s">
        <v>1089</v>
      </c>
      <c r="F40367">
        <v>1690006</v>
      </c>
      <c r="G40367" t="s">
        <v>2543</v>
      </c>
      <c r="H40367" s="21">
        <v>574.16999999999996</v>
      </c>
    </row>
    <row r="40368" spans="1:8" customFormat="1" x14ac:dyDescent="0.25">
      <c r="A40368" t="str">
        <f>"9248958"</f>
        <v>9248958</v>
      </c>
      <c r="B40368" t="s">
        <v>14704</v>
      </c>
      <c r="C40368" t="s">
        <v>25521</v>
      </c>
      <c r="D40368" s="21" t="s">
        <v>24820</v>
      </c>
      <c r="E40368" s="21" t="s">
        <v>71</v>
      </c>
      <c r="F40368">
        <v>8950553</v>
      </c>
      <c r="G40368" t="s">
        <v>1058</v>
      </c>
      <c r="H40368" s="21">
        <v>574.16999999999996</v>
      </c>
    </row>
    <row r="40369" spans="1:8" customFormat="1" x14ac:dyDescent="0.25">
      <c r="A40369" t="str">
        <f>"653116"</f>
        <v>653116</v>
      </c>
      <c r="B40369" t="s">
        <v>2023</v>
      </c>
      <c r="C40369" t="s">
        <v>25188</v>
      </c>
      <c r="D40369" s="21" t="s">
        <v>24820</v>
      </c>
      <c r="E40369" s="21" t="s">
        <v>35</v>
      </c>
      <c r="F40369">
        <v>11650034</v>
      </c>
      <c r="G40369" t="s">
        <v>1989</v>
      </c>
      <c r="H40369" s="21">
        <v>573.41999999999996</v>
      </c>
    </row>
    <row r="40370" spans="1:8" customFormat="1" x14ac:dyDescent="0.25">
      <c r="A40370" t="str">
        <f>"7619428"</f>
        <v>7619428</v>
      </c>
      <c r="B40370" t="s">
        <v>26340</v>
      </c>
      <c r="C40370" t="s">
        <v>24893</v>
      </c>
      <c r="D40370" s="21" t="s">
        <v>24820</v>
      </c>
      <c r="E40370" s="21" t="s">
        <v>71</v>
      </c>
      <c r="F40370">
        <v>9760136</v>
      </c>
      <c r="G40370" t="s">
        <v>5035</v>
      </c>
      <c r="H40370" s="21">
        <v>573.16999999999996</v>
      </c>
    </row>
    <row r="40371" spans="1:8" customFormat="1" x14ac:dyDescent="0.25">
      <c r="A40371" t="str">
        <f>"76421"</f>
        <v>76421</v>
      </c>
      <c r="B40371" t="s">
        <v>2398</v>
      </c>
      <c r="C40371" t="s">
        <v>24824</v>
      </c>
      <c r="D40371" s="21" t="s">
        <v>24820</v>
      </c>
      <c r="E40371" s="21" t="s">
        <v>254</v>
      </c>
      <c r="F40371">
        <v>9760012</v>
      </c>
      <c r="G40371" t="s">
        <v>17233</v>
      </c>
      <c r="H40371" s="21">
        <v>573.16999999999996</v>
      </c>
    </row>
    <row r="40372" spans="1:8" customFormat="1" x14ac:dyDescent="0.25">
      <c r="A40372" t="str">
        <f>"7411464"</f>
        <v>7411464</v>
      </c>
      <c r="B40372" t="s">
        <v>16793</v>
      </c>
      <c r="C40372" t="s">
        <v>24906</v>
      </c>
      <c r="D40372" s="21" t="s">
        <v>24820</v>
      </c>
      <c r="E40372" s="21" t="s">
        <v>71</v>
      </c>
      <c r="F40372">
        <v>1740001</v>
      </c>
      <c r="G40372" t="s">
        <v>347</v>
      </c>
      <c r="H40372" s="21">
        <v>572.91999999999996</v>
      </c>
    </row>
    <row r="40373" spans="1:8" customFormat="1" x14ac:dyDescent="0.25">
      <c r="A40373" t="str">
        <f>"696009"</f>
        <v>696009</v>
      </c>
      <c r="B40373" t="s">
        <v>616</v>
      </c>
      <c r="C40373" t="s">
        <v>24824</v>
      </c>
      <c r="D40373" s="21" t="s">
        <v>24820</v>
      </c>
      <c r="E40373" s="21" t="s">
        <v>35</v>
      </c>
      <c r="F40373">
        <v>1690058</v>
      </c>
      <c r="G40373" t="s">
        <v>1644</v>
      </c>
      <c r="H40373" s="21">
        <v>572.66999999999996</v>
      </c>
    </row>
    <row r="40374" spans="1:8" customFormat="1" x14ac:dyDescent="0.25">
      <c r="A40374" t="str">
        <f>"786218"</f>
        <v>786218</v>
      </c>
      <c r="B40374" t="s">
        <v>25466</v>
      </c>
      <c r="C40374" t="s">
        <v>25118</v>
      </c>
      <c r="D40374" s="21" t="s">
        <v>24820</v>
      </c>
      <c r="E40374" s="21" t="s">
        <v>254</v>
      </c>
      <c r="F40374">
        <v>8910861</v>
      </c>
      <c r="G40374" t="s">
        <v>1120</v>
      </c>
      <c r="H40374" s="21">
        <v>572.54</v>
      </c>
    </row>
    <row r="40375" spans="1:8" customFormat="1" x14ac:dyDescent="0.25">
      <c r="A40375" t="str">
        <f>"7221127"</f>
        <v>7221127</v>
      </c>
      <c r="B40375" t="s">
        <v>17816</v>
      </c>
      <c r="C40375" t="s">
        <v>24999</v>
      </c>
      <c r="D40375" s="21" t="s">
        <v>24820</v>
      </c>
      <c r="E40375" s="21" t="s">
        <v>35</v>
      </c>
      <c r="F40375">
        <v>12720020</v>
      </c>
      <c r="G40375" t="s">
        <v>8402</v>
      </c>
      <c r="H40375" s="21">
        <v>571.91999999999996</v>
      </c>
    </row>
    <row r="40376" spans="1:8" customFormat="1" x14ac:dyDescent="0.25">
      <c r="A40376" t="str">
        <f>"508867"</f>
        <v>508867</v>
      </c>
      <c r="B40376" t="s">
        <v>11974</v>
      </c>
      <c r="C40376" t="s">
        <v>24828</v>
      </c>
      <c r="D40376" s="21" t="s">
        <v>24820</v>
      </c>
      <c r="E40376" s="21" t="s">
        <v>35</v>
      </c>
      <c r="F40376">
        <v>9500009</v>
      </c>
      <c r="G40376" t="s">
        <v>2230</v>
      </c>
      <c r="H40376" s="21">
        <v>571.66999999999996</v>
      </c>
    </row>
    <row r="40377" spans="1:8" customFormat="1" x14ac:dyDescent="0.25">
      <c r="A40377" t="str">
        <f>"395725"</f>
        <v>395725</v>
      </c>
      <c r="B40377" t="s">
        <v>25564</v>
      </c>
      <c r="C40377" t="s">
        <v>24902</v>
      </c>
      <c r="D40377" s="21" t="s">
        <v>24820</v>
      </c>
      <c r="E40377" s="21" t="s">
        <v>35</v>
      </c>
      <c r="F40377">
        <v>2390007</v>
      </c>
      <c r="G40377" t="s">
        <v>3365</v>
      </c>
      <c r="H40377" s="21">
        <v>571.04</v>
      </c>
    </row>
    <row r="40378" spans="1:8" customFormat="1" x14ac:dyDescent="0.25">
      <c r="A40378" t="str">
        <f>"9420003"</f>
        <v>9420003</v>
      </c>
      <c r="B40378" t="s">
        <v>25517</v>
      </c>
      <c r="C40378" t="s">
        <v>25518</v>
      </c>
      <c r="D40378" s="21" t="s">
        <v>24820</v>
      </c>
      <c r="E40378" s="21" t="s">
        <v>71</v>
      </c>
      <c r="F40378">
        <v>8940448</v>
      </c>
      <c r="G40378" t="s">
        <v>1691</v>
      </c>
      <c r="H40378" s="21">
        <v>570.66999999999996</v>
      </c>
    </row>
    <row r="40379" spans="1:8" customFormat="1" x14ac:dyDescent="0.25">
      <c r="A40379" t="str">
        <f>"4210574"</f>
        <v>4210574</v>
      </c>
      <c r="B40379" t="s">
        <v>7443</v>
      </c>
      <c r="C40379" t="s">
        <v>24824</v>
      </c>
      <c r="D40379" s="21" t="s">
        <v>24820</v>
      </c>
      <c r="E40379" s="21" t="s">
        <v>71</v>
      </c>
      <c r="F40379">
        <v>1420156</v>
      </c>
      <c r="G40379" t="s">
        <v>5635</v>
      </c>
      <c r="H40379" s="21">
        <v>570.41999999999996</v>
      </c>
    </row>
    <row r="40380" spans="1:8" customFormat="1" x14ac:dyDescent="0.25">
      <c r="A40380" t="str">
        <f>"3816662"</f>
        <v>3816662</v>
      </c>
      <c r="B40380" t="s">
        <v>25535</v>
      </c>
      <c r="C40380" t="s">
        <v>24904</v>
      </c>
      <c r="D40380" s="21" t="s">
        <v>24820</v>
      </c>
      <c r="E40380" s="21" t="s">
        <v>71</v>
      </c>
      <c r="F40380">
        <v>1380267</v>
      </c>
      <c r="G40380" t="s">
        <v>1002</v>
      </c>
      <c r="H40380" s="21">
        <v>570.16999999999996</v>
      </c>
    </row>
    <row r="40381" spans="1:8" customFormat="1" x14ac:dyDescent="0.25">
      <c r="A40381" t="str">
        <f>"843895"</f>
        <v>843895</v>
      </c>
      <c r="B40381" t="s">
        <v>4411</v>
      </c>
      <c r="C40381" t="s">
        <v>24953</v>
      </c>
      <c r="D40381" s="21" t="s">
        <v>24820</v>
      </c>
      <c r="E40381" s="21" t="s">
        <v>35</v>
      </c>
      <c r="F40381">
        <v>12440049</v>
      </c>
      <c r="G40381" t="s">
        <v>3339</v>
      </c>
      <c r="H40381" s="21">
        <v>569.91999999999996</v>
      </c>
    </row>
    <row r="40382" spans="1:8" customFormat="1" x14ac:dyDescent="0.25">
      <c r="A40382" t="str">
        <f>"318970"</f>
        <v>318970</v>
      </c>
      <c r="B40382" t="s">
        <v>3914</v>
      </c>
      <c r="C40382" t="s">
        <v>24300</v>
      </c>
      <c r="D40382" s="21" t="s">
        <v>24820</v>
      </c>
      <c r="E40382" s="21" t="s">
        <v>35</v>
      </c>
      <c r="F40382">
        <v>11310123</v>
      </c>
      <c r="G40382" t="s">
        <v>3915</v>
      </c>
      <c r="H40382" s="21">
        <v>569.66999999999996</v>
      </c>
    </row>
    <row r="40383" spans="1:8" customFormat="1" x14ac:dyDescent="0.25">
      <c r="A40383" t="str">
        <f>"6020897"</f>
        <v>6020897</v>
      </c>
      <c r="B40383" t="s">
        <v>26131</v>
      </c>
      <c r="C40383" t="s">
        <v>25151</v>
      </c>
      <c r="D40383" s="21" t="s">
        <v>24820</v>
      </c>
      <c r="E40383" s="21" t="s">
        <v>35</v>
      </c>
      <c r="F40383">
        <v>7600171</v>
      </c>
      <c r="G40383" t="s">
        <v>4705</v>
      </c>
      <c r="H40383" s="21">
        <v>569.66999999999996</v>
      </c>
    </row>
    <row r="40384" spans="1:8" customFormat="1" x14ac:dyDescent="0.25">
      <c r="A40384" t="str">
        <f>"3515722"</f>
        <v>3515722</v>
      </c>
      <c r="B40384" t="s">
        <v>13754</v>
      </c>
      <c r="C40384" t="s">
        <v>24892</v>
      </c>
      <c r="D40384" s="21" t="s">
        <v>24820</v>
      </c>
      <c r="E40384" s="21" t="s">
        <v>35</v>
      </c>
      <c r="F40384">
        <v>3350010</v>
      </c>
      <c r="G40384" t="s">
        <v>14315</v>
      </c>
      <c r="H40384" s="21">
        <v>569.66999999999996</v>
      </c>
    </row>
    <row r="40385" spans="1:8" customFormat="1" x14ac:dyDescent="0.25">
      <c r="A40385" t="str">
        <f>"9321815"</f>
        <v>9321815</v>
      </c>
      <c r="B40385" t="s">
        <v>4244</v>
      </c>
      <c r="C40385" t="s">
        <v>24943</v>
      </c>
      <c r="D40385" s="21" t="s">
        <v>24820</v>
      </c>
      <c r="E40385" s="21" t="s">
        <v>35</v>
      </c>
      <c r="F40385">
        <v>8930003</v>
      </c>
      <c r="G40385" t="s">
        <v>13083</v>
      </c>
      <c r="H40385" s="21">
        <v>569.62</v>
      </c>
    </row>
    <row r="40386" spans="1:8" customFormat="1" x14ac:dyDescent="0.25">
      <c r="A40386" t="str">
        <f>"7522681"</f>
        <v>7522681</v>
      </c>
      <c r="B40386" t="s">
        <v>25548</v>
      </c>
      <c r="C40386" t="s">
        <v>25549</v>
      </c>
      <c r="D40386" s="21" t="s">
        <v>24820</v>
      </c>
      <c r="E40386" s="21" t="s">
        <v>71</v>
      </c>
      <c r="F40386">
        <v>8751124</v>
      </c>
      <c r="G40386" t="s">
        <v>1481</v>
      </c>
      <c r="H40386" s="21">
        <v>569.16999999999996</v>
      </c>
    </row>
    <row r="40387" spans="1:8" customFormat="1" x14ac:dyDescent="0.25">
      <c r="A40387" t="str">
        <f>"5410093"</f>
        <v>5410093</v>
      </c>
      <c r="B40387" t="s">
        <v>22275</v>
      </c>
      <c r="C40387" t="s">
        <v>23734</v>
      </c>
      <c r="D40387" s="21" t="s">
        <v>24820</v>
      </c>
      <c r="E40387" s="21" t="s">
        <v>71</v>
      </c>
      <c r="F40387">
        <v>6540043</v>
      </c>
      <c r="G40387" t="s">
        <v>947</v>
      </c>
      <c r="H40387" s="21">
        <v>569.16999999999996</v>
      </c>
    </row>
    <row r="40388" spans="1:8" customFormat="1" x14ac:dyDescent="0.25">
      <c r="A40388" t="str">
        <f>"8015049"</f>
        <v>8015049</v>
      </c>
      <c r="B40388" t="s">
        <v>24816</v>
      </c>
      <c r="C40388" t="s">
        <v>24896</v>
      </c>
      <c r="D40388" s="21" t="s">
        <v>24820</v>
      </c>
      <c r="E40388" s="21" t="s">
        <v>71</v>
      </c>
      <c r="F40388">
        <v>7800008</v>
      </c>
      <c r="G40388" t="s">
        <v>842</v>
      </c>
      <c r="H40388" s="21">
        <v>568.66999999999996</v>
      </c>
    </row>
    <row r="40389" spans="1:8" customFormat="1" x14ac:dyDescent="0.25">
      <c r="A40389" t="str">
        <f>"8015901"</f>
        <v>8015901</v>
      </c>
      <c r="B40389" t="s">
        <v>23380</v>
      </c>
      <c r="C40389" t="s">
        <v>25447</v>
      </c>
      <c r="D40389" s="21" t="s">
        <v>24820</v>
      </c>
      <c r="E40389" s="21" t="s">
        <v>35</v>
      </c>
      <c r="F40389">
        <v>7800071</v>
      </c>
      <c r="G40389" t="s">
        <v>9109</v>
      </c>
      <c r="H40389" s="21">
        <v>568.66999999999996</v>
      </c>
    </row>
    <row r="40390" spans="1:8" customFormat="1" x14ac:dyDescent="0.25">
      <c r="A40390" t="str">
        <f>"824131"</f>
        <v>824131</v>
      </c>
      <c r="B40390" t="s">
        <v>25596</v>
      </c>
      <c r="C40390" t="s">
        <v>25173</v>
      </c>
      <c r="D40390" s="21" t="s">
        <v>24820</v>
      </c>
      <c r="E40390" s="21" t="s">
        <v>71</v>
      </c>
      <c r="F40390">
        <v>11820035</v>
      </c>
      <c r="G40390" t="s">
        <v>16643</v>
      </c>
      <c r="H40390" s="21">
        <v>568.66999999999996</v>
      </c>
    </row>
    <row r="40391" spans="1:8" customFormat="1" x14ac:dyDescent="0.25">
      <c r="A40391" t="str">
        <f>"6922716"</f>
        <v>6922716</v>
      </c>
      <c r="B40391" t="s">
        <v>29800</v>
      </c>
      <c r="C40391" t="s">
        <v>25157</v>
      </c>
      <c r="D40391" s="21" t="s">
        <v>24820</v>
      </c>
      <c r="E40391" s="21" t="s">
        <v>71</v>
      </c>
      <c r="F40391">
        <v>1690221</v>
      </c>
      <c r="G40391" t="s">
        <v>303</v>
      </c>
      <c r="H40391" s="21">
        <v>568.16999999999996</v>
      </c>
    </row>
    <row r="40392" spans="1:8" customFormat="1" x14ac:dyDescent="0.25">
      <c r="A40392" t="str">
        <f>"6015076"</f>
        <v>6015076</v>
      </c>
      <c r="B40392" t="s">
        <v>22953</v>
      </c>
      <c r="C40392" t="s">
        <v>24898</v>
      </c>
      <c r="D40392" s="21" t="s">
        <v>24820</v>
      </c>
      <c r="E40392" s="21" t="s">
        <v>71</v>
      </c>
      <c r="F40392">
        <v>7600088</v>
      </c>
      <c r="G40392" t="s">
        <v>334</v>
      </c>
      <c r="H40392" s="21">
        <v>567.66999999999996</v>
      </c>
    </row>
    <row r="40393" spans="1:8" customFormat="1" x14ac:dyDescent="0.25">
      <c r="A40393" t="str">
        <f>"2937148"</f>
        <v>2937148</v>
      </c>
      <c r="B40393" t="s">
        <v>7826</v>
      </c>
      <c r="C40393" t="s">
        <v>24871</v>
      </c>
      <c r="D40393" s="21" t="s">
        <v>24820</v>
      </c>
      <c r="E40393" s="21" t="s">
        <v>35</v>
      </c>
      <c r="F40393">
        <v>3290003</v>
      </c>
      <c r="G40393" t="s">
        <v>3764</v>
      </c>
      <c r="H40393" s="21">
        <v>567.66999999999996</v>
      </c>
    </row>
    <row r="40394" spans="1:8" customFormat="1" x14ac:dyDescent="0.25">
      <c r="A40394" t="str">
        <f>"2929772"</f>
        <v>2929772</v>
      </c>
      <c r="B40394" t="s">
        <v>4411</v>
      </c>
      <c r="C40394" t="s">
        <v>25434</v>
      </c>
      <c r="D40394" s="21" t="s">
        <v>24820</v>
      </c>
      <c r="E40394" s="21" t="s">
        <v>35</v>
      </c>
      <c r="F40394">
        <v>3290005</v>
      </c>
      <c r="G40394" t="s">
        <v>1253</v>
      </c>
      <c r="H40394" s="21">
        <v>567.66999999999996</v>
      </c>
    </row>
    <row r="40395" spans="1:8" customFormat="1" x14ac:dyDescent="0.25">
      <c r="A40395" t="str">
        <f>"601556"</f>
        <v>601556</v>
      </c>
      <c r="B40395" t="s">
        <v>15656</v>
      </c>
      <c r="C40395" t="s">
        <v>24898</v>
      </c>
      <c r="D40395" s="21" t="s">
        <v>24820</v>
      </c>
      <c r="E40395" s="21" t="s">
        <v>254</v>
      </c>
      <c r="F40395">
        <v>7600074</v>
      </c>
      <c r="G40395" t="s">
        <v>1912</v>
      </c>
      <c r="H40395" s="21">
        <v>567.16999999999996</v>
      </c>
    </row>
    <row r="40396" spans="1:8" customFormat="1" x14ac:dyDescent="0.25">
      <c r="A40396" t="str">
        <f>"4450304"</f>
        <v>4450304</v>
      </c>
      <c r="B40396" t="s">
        <v>4063</v>
      </c>
      <c r="C40396" t="s">
        <v>25434</v>
      </c>
      <c r="D40396" s="21" t="s">
        <v>24820</v>
      </c>
      <c r="E40396" s="21" t="s">
        <v>35</v>
      </c>
      <c r="F40396">
        <v>12440136</v>
      </c>
      <c r="G40396" t="s">
        <v>3271</v>
      </c>
      <c r="H40396" s="21">
        <v>567.16999999999996</v>
      </c>
    </row>
    <row r="40397" spans="1:8" customFormat="1" x14ac:dyDescent="0.25">
      <c r="A40397" t="str">
        <f>"706523"</f>
        <v>706523</v>
      </c>
      <c r="B40397" t="s">
        <v>25980</v>
      </c>
      <c r="C40397" t="s">
        <v>24927</v>
      </c>
      <c r="D40397" s="21" t="s">
        <v>24820</v>
      </c>
      <c r="E40397" s="21" t="s">
        <v>71</v>
      </c>
      <c r="F40397">
        <v>8921190</v>
      </c>
      <c r="G40397" t="s">
        <v>810</v>
      </c>
      <c r="H40397" s="21">
        <v>566.66999999999996</v>
      </c>
    </row>
    <row r="40398" spans="1:8" customFormat="1" x14ac:dyDescent="0.25">
      <c r="A40398" t="str">
        <f>"723270"</f>
        <v>723270</v>
      </c>
      <c r="B40398" t="s">
        <v>10265</v>
      </c>
      <c r="C40398" t="s">
        <v>25088</v>
      </c>
      <c r="D40398" s="21" t="s">
        <v>24820</v>
      </c>
      <c r="E40398" s="21" t="s">
        <v>35</v>
      </c>
      <c r="F40398">
        <v>9610073</v>
      </c>
      <c r="G40398" t="s">
        <v>8382</v>
      </c>
      <c r="H40398" s="21">
        <v>566.41999999999996</v>
      </c>
    </row>
    <row r="40399" spans="1:8" customFormat="1" x14ac:dyDescent="0.25">
      <c r="A40399" t="str">
        <f>"8527040"</f>
        <v>8527040</v>
      </c>
      <c r="B40399" t="s">
        <v>25480</v>
      </c>
      <c r="C40399" t="s">
        <v>24897</v>
      </c>
      <c r="D40399" s="21" t="s">
        <v>24820</v>
      </c>
      <c r="E40399" s="21" t="s">
        <v>71</v>
      </c>
      <c r="F40399">
        <v>12850148</v>
      </c>
      <c r="G40399" t="s">
        <v>2380</v>
      </c>
      <c r="H40399" s="21">
        <v>566.16999999999996</v>
      </c>
    </row>
    <row r="40400" spans="1:8" customFormat="1" x14ac:dyDescent="0.25">
      <c r="A40400" t="str">
        <f>"742530"</f>
        <v>742530</v>
      </c>
      <c r="B40400" t="s">
        <v>890</v>
      </c>
      <c r="C40400" t="s">
        <v>25439</v>
      </c>
      <c r="D40400" s="21" t="s">
        <v>24820</v>
      </c>
      <c r="E40400" s="21" t="s">
        <v>254</v>
      </c>
      <c r="F40400">
        <v>1690186</v>
      </c>
      <c r="G40400" t="s">
        <v>438</v>
      </c>
      <c r="H40400" s="21">
        <v>565.66999999999996</v>
      </c>
    </row>
    <row r="40401" spans="1:8" customFormat="1" x14ac:dyDescent="0.25">
      <c r="A40401" t="str">
        <f>"7632600"</f>
        <v>7632600</v>
      </c>
      <c r="B40401" t="s">
        <v>6232</v>
      </c>
      <c r="C40401" t="s">
        <v>25124</v>
      </c>
      <c r="D40401" s="21" t="s">
        <v>24820</v>
      </c>
      <c r="E40401" s="21" t="s">
        <v>35</v>
      </c>
      <c r="F40401">
        <v>9760458</v>
      </c>
      <c r="G40401" t="s">
        <v>3594</v>
      </c>
      <c r="H40401" s="21">
        <v>565.16999999999996</v>
      </c>
    </row>
    <row r="40402" spans="1:8" customFormat="1" x14ac:dyDescent="0.25">
      <c r="A40402" t="str">
        <f>"9146943"</f>
        <v>9146943</v>
      </c>
      <c r="B40402" t="s">
        <v>29801</v>
      </c>
      <c r="C40402" t="s">
        <v>24947</v>
      </c>
      <c r="D40402" s="21" t="s">
        <v>24820</v>
      </c>
      <c r="E40402" s="21" t="s">
        <v>35</v>
      </c>
      <c r="F40402">
        <v>8910214</v>
      </c>
      <c r="G40402" t="s">
        <v>986</v>
      </c>
      <c r="H40402" s="21">
        <v>564.16999999999996</v>
      </c>
    </row>
    <row r="40403" spans="1:8" customFormat="1" x14ac:dyDescent="0.25">
      <c r="A40403" t="str">
        <f>"5019433"</f>
        <v>5019433</v>
      </c>
      <c r="B40403" t="s">
        <v>23210</v>
      </c>
      <c r="C40403" t="s">
        <v>22831</v>
      </c>
      <c r="D40403" s="21" t="s">
        <v>24820</v>
      </c>
      <c r="E40403" s="21" t="s">
        <v>35</v>
      </c>
      <c r="F40403">
        <v>9500088</v>
      </c>
      <c r="G40403" t="s">
        <v>15949</v>
      </c>
      <c r="H40403" s="21">
        <v>564.16999999999996</v>
      </c>
    </row>
    <row r="40404" spans="1:8" customFormat="1" x14ac:dyDescent="0.25">
      <c r="A40404" t="str">
        <f>"5929013"</f>
        <v>5929013</v>
      </c>
      <c r="B40404" t="s">
        <v>15505</v>
      </c>
      <c r="C40404" t="s">
        <v>25166</v>
      </c>
      <c r="D40404" s="21" t="s">
        <v>24820</v>
      </c>
      <c r="E40404" s="21" t="s">
        <v>254</v>
      </c>
      <c r="F40404">
        <v>7590047</v>
      </c>
      <c r="G40404" t="s">
        <v>5788</v>
      </c>
      <c r="H40404" s="21">
        <v>564.16999999999996</v>
      </c>
    </row>
    <row r="40405" spans="1:8" customFormat="1" x14ac:dyDescent="0.25">
      <c r="A40405" t="str">
        <f>"9514842"</f>
        <v>9514842</v>
      </c>
      <c r="B40405" t="s">
        <v>11978</v>
      </c>
      <c r="C40405" t="s">
        <v>24865</v>
      </c>
      <c r="D40405" s="21" t="s">
        <v>24820</v>
      </c>
      <c r="E40405" s="21" t="s">
        <v>71</v>
      </c>
      <c r="F40405">
        <v>8950978</v>
      </c>
      <c r="G40405" t="s">
        <v>1164</v>
      </c>
      <c r="H40405" s="21">
        <v>563.16999999999996</v>
      </c>
    </row>
    <row r="40406" spans="1:8" customFormat="1" x14ac:dyDescent="0.25">
      <c r="A40406" t="str">
        <f>"7512090"</f>
        <v>7512090</v>
      </c>
      <c r="B40406" t="s">
        <v>8634</v>
      </c>
      <c r="C40406" t="s">
        <v>25603</v>
      </c>
      <c r="D40406" s="21" t="s">
        <v>24820</v>
      </c>
      <c r="E40406" s="21" t="s">
        <v>35</v>
      </c>
      <c r="F40406">
        <v>3350087</v>
      </c>
      <c r="G40406" t="s">
        <v>7430</v>
      </c>
      <c r="H40406" s="21">
        <v>562.91999999999996</v>
      </c>
    </row>
    <row r="40407" spans="1:8" customFormat="1" x14ac:dyDescent="0.25">
      <c r="A40407" t="str">
        <f>"713286"</f>
        <v>713286</v>
      </c>
      <c r="B40407" t="s">
        <v>2718</v>
      </c>
      <c r="C40407" t="s">
        <v>24890</v>
      </c>
      <c r="D40407" s="21" t="s">
        <v>24820</v>
      </c>
      <c r="E40407" s="21" t="s">
        <v>254</v>
      </c>
      <c r="F40407">
        <v>2710084</v>
      </c>
      <c r="G40407" t="s">
        <v>29207</v>
      </c>
      <c r="H40407" s="21">
        <v>562.66999999999996</v>
      </c>
    </row>
    <row r="40408" spans="1:8" customFormat="1" x14ac:dyDescent="0.25">
      <c r="A40408" t="str">
        <f>"3812219"</f>
        <v>3812219</v>
      </c>
      <c r="B40408" t="s">
        <v>25424</v>
      </c>
      <c r="C40408" t="s">
        <v>24994</v>
      </c>
      <c r="D40408" s="21" t="s">
        <v>24820</v>
      </c>
      <c r="E40408" s="21" t="s">
        <v>254</v>
      </c>
      <c r="F40408">
        <v>1380164</v>
      </c>
      <c r="G40408" t="s">
        <v>2728</v>
      </c>
      <c r="H40408" s="21">
        <v>562.66999999999996</v>
      </c>
    </row>
    <row r="40409" spans="1:8" customFormat="1" x14ac:dyDescent="0.25">
      <c r="A40409" t="str">
        <f>"59227"</f>
        <v>59227</v>
      </c>
      <c r="B40409" t="s">
        <v>1960</v>
      </c>
      <c r="C40409" t="s">
        <v>23734</v>
      </c>
      <c r="D40409" s="21" t="s">
        <v>24820</v>
      </c>
      <c r="E40409" s="21" t="s">
        <v>71</v>
      </c>
      <c r="F40409">
        <v>7590050</v>
      </c>
      <c r="G40409" t="s">
        <v>473</v>
      </c>
      <c r="H40409" s="21">
        <v>562.66999999999996</v>
      </c>
    </row>
    <row r="40410" spans="1:8" customFormat="1" x14ac:dyDescent="0.25">
      <c r="A40410" t="str">
        <f>"1715581"</f>
        <v>1715581</v>
      </c>
      <c r="B40410" t="s">
        <v>8329</v>
      </c>
      <c r="C40410" t="s">
        <v>24897</v>
      </c>
      <c r="D40410" s="21" t="s">
        <v>24820</v>
      </c>
      <c r="E40410" s="21" t="s">
        <v>71</v>
      </c>
      <c r="F40410">
        <v>10170162</v>
      </c>
      <c r="G40410" t="s">
        <v>2817</v>
      </c>
      <c r="H40410" s="21">
        <v>562.66999999999996</v>
      </c>
    </row>
    <row r="40411" spans="1:8" customFormat="1" x14ac:dyDescent="0.25">
      <c r="A40411" t="str">
        <f>"5979210"</f>
        <v>5979210</v>
      </c>
      <c r="B40411" t="s">
        <v>2388</v>
      </c>
      <c r="C40411" t="s">
        <v>25505</v>
      </c>
      <c r="D40411" s="21" t="s">
        <v>24820</v>
      </c>
      <c r="E40411" s="21" t="s">
        <v>35</v>
      </c>
      <c r="F40411">
        <v>7590063</v>
      </c>
      <c r="G40411" t="s">
        <v>3426</v>
      </c>
      <c r="H40411" s="21">
        <v>562.16999999999996</v>
      </c>
    </row>
    <row r="40412" spans="1:8" customFormat="1" x14ac:dyDescent="0.25">
      <c r="A40412" t="str">
        <f>"4453266"</f>
        <v>4453266</v>
      </c>
      <c r="B40412" t="s">
        <v>25484</v>
      </c>
      <c r="C40412" t="s">
        <v>22831</v>
      </c>
      <c r="D40412" s="21" t="s">
        <v>24820</v>
      </c>
      <c r="E40412" s="21" t="s">
        <v>254</v>
      </c>
      <c r="F40412">
        <v>12440105</v>
      </c>
      <c r="G40412" t="s">
        <v>594</v>
      </c>
      <c r="H40412" s="21">
        <v>561.41999999999996</v>
      </c>
    </row>
    <row r="40413" spans="1:8" customFormat="1" x14ac:dyDescent="0.25">
      <c r="A40413" t="str">
        <f>"183993"</f>
        <v>183993</v>
      </c>
      <c r="B40413" t="s">
        <v>1198</v>
      </c>
      <c r="C40413" t="s">
        <v>24890</v>
      </c>
      <c r="D40413" s="21" t="s">
        <v>24820</v>
      </c>
      <c r="E40413" s="21" t="s">
        <v>71</v>
      </c>
      <c r="F40413">
        <v>4180313</v>
      </c>
      <c r="G40413" t="s">
        <v>10486</v>
      </c>
      <c r="H40413" s="21">
        <v>561.16999999999996</v>
      </c>
    </row>
    <row r="40414" spans="1:8" customFormat="1" x14ac:dyDescent="0.25">
      <c r="A40414" t="str">
        <f>"5946617"</f>
        <v>5946617</v>
      </c>
      <c r="B40414" t="s">
        <v>10028</v>
      </c>
      <c r="C40414" t="s">
        <v>25425</v>
      </c>
      <c r="D40414" s="21" t="s">
        <v>24820</v>
      </c>
      <c r="E40414" s="21" t="s">
        <v>71</v>
      </c>
      <c r="F40414">
        <v>7590123</v>
      </c>
      <c r="G40414" t="s">
        <v>85</v>
      </c>
      <c r="H40414" s="21">
        <v>560.66999999999996</v>
      </c>
    </row>
    <row r="40415" spans="1:8" customFormat="1" x14ac:dyDescent="0.25">
      <c r="A40415" t="str">
        <f>"4449773"</f>
        <v>4449773</v>
      </c>
      <c r="B40415" t="s">
        <v>2206</v>
      </c>
      <c r="C40415" t="s">
        <v>24920</v>
      </c>
      <c r="D40415" s="21" t="s">
        <v>24820</v>
      </c>
      <c r="E40415" s="21" t="s">
        <v>71</v>
      </c>
      <c r="F40415">
        <v>12440141</v>
      </c>
      <c r="G40415" t="s">
        <v>3234</v>
      </c>
      <c r="H40415" s="21">
        <v>559.91999999999996</v>
      </c>
    </row>
    <row r="40416" spans="1:8" customFormat="1" x14ac:dyDescent="0.25">
      <c r="A40416" t="str">
        <f>"591684"</f>
        <v>591684</v>
      </c>
      <c r="B40416" t="s">
        <v>25555</v>
      </c>
      <c r="C40416" t="s">
        <v>25370</v>
      </c>
      <c r="D40416" s="21" t="s">
        <v>24820</v>
      </c>
      <c r="E40416" s="21" t="s">
        <v>35</v>
      </c>
      <c r="F40416">
        <v>7590048</v>
      </c>
      <c r="G40416" t="s">
        <v>4608</v>
      </c>
      <c r="H40416" s="21">
        <v>559.66999999999996</v>
      </c>
    </row>
    <row r="40417" spans="1:8" customFormat="1" x14ac:dyDescent="0.25">
      <c r="A40417" t="str">
        <f>"4451028"</f>
        <v>4451028</v>
      </c>
      <c r="B40417" t="s">
        <v>18270</v>
      </c>
      <c r="C40417" t="s">
        <v>24897</v>
      </c>
      <c r="D40417" s="21" t="s">
        <v>24820</v>
      </c>
      <c r="E40417" s="21" t="s">
        <v>71</v>
      </c>
      <c r="F40417">
        <v>12440074</v>
      </c>
      <c r="G40417" t="s">
        <v>2436</v>
      </c>
      <c r="H40417" s="21">
        <v>559.5</v>
      </c>
    </row>
    <row r="40418" spans="1:8" customFormat="1" x14ac:dyDescent="0.25">
      <c r="A40418" t="str">
        <f>"5935289"</f>
        <v>5935289</v>
      </c>
      <c r="B40418" t="s">
        <v>25362</v>
      </c>
      <c r="C40418" t="s">
        <v>24897</v>
      </c>
      <c r="D40418" s="21" t="s">
        <v>24820</v>
      </c>
      <c r="E40418" s="21" t="s">
        <v>254</v>
      </c>
      <c r="F40418">
        <v>7590051</v>
      </c>
      <c r="G40418" t="s">
        <v>3831</v>
      </c>
      <c r="H40418" s="21">
        <v>559.16999999999996</v>
      </c>
    </row>
    <row r="40419" spans="1:8" customFormat="1" x14ac:dyDescent="0.25">
      <c r="A40419" t="str">
        <f>"1418564"</f>
        <v>1418564</v>
      </c>
      <c r="B40419" t="s">
        <v>25465</v>
      </c>
      <c r="C40419" t="s">
        <v>24867</v>
      </c>
      <c r="D40419" s="21" t="s">
        <v>24820</v>
      </c>
      <c r="E40419" s="21" t="s">
        <v>71</v>
      </c>
      <c r="F40419">
        <v>9140060</v>
      </c>
      <c r="G40419" t="s">
        <v>5773</v>
      </c>
      <c r="H40419" s="21">
        <v>559.16999999999996</v>
      </c>
    </row>
    <row r="40420" spans="1:8" customFormat="1" x14ac:dyDescent="0.25">
      <c r="A40420" t="str">
        <f>"089994"</f>
        <v>089994</v>
      </c>
      <c r="B40420" t="s">
        <v>26208</v>
      </c>
      <c r="C40420" t="s">
        <v>24898</v>
      </c>
      <c r="D40420" s="21" t="s">
        <v>24820</v>
      </c>
      <c r="E40420" s="21" t="s">
        <v>71</v>
      </c>
      <c r="F40420">
        <v>6080015</v>
      </c>
      <c r="G40420" t="s">
        <v>15205</v>
      </c>
      <c r="H40420" s="21">
        <v>559.16999999999996</v>
      </c>
    </row>
    <row r="40421" spans="1:8" customFormat="1" x14ac:dyDescent="0.25">
      <c r="A40421" t="str">
        <f>"80246"</f>
        <v>80246</v>
      </c>
      <c r="B40421" t="s">
        <v>23601</v>
      </c>
      <c r="C40421" t="s">
        <v>22831</v>
      </c>
      <c r="D40421" s="21" t="s">
        <v>24820</v>
      </c>
      <c r="E40421" s="21" t="s">
        <v>71</v>
      </c>
      <c r="F40421">
        <v>7800003</v>
      </c>
      <c r="G40421" t="s">
        <v>276</v>
      </c>
      <c r="H40421" s="21">
        <v>558.91999999999996</v>
      </c>
    </row>
    <row r="40422" spans="1:8" customFormat="1" x14ac:dyDescent="0.25">
      <c r="A40422" t="str">
        <f>"5973750"</f>
        <v>5973750</v>
      </c>
      <c r="B40422" t="s">
        <v>86</v>
      </c>
      <c r="C40422" t="s">
        <v>24889</v>
      </c>
      <c r="D40422" s="21" t="s">
        <v>24820</v>
      </c>
      <c r="E40422" s="21" t="s">
        <v>35</v>
      </c>
      <c r="F40422">
        <v>7590352</v>
      </c>
      <c r="G40422" t="s">
        <v>9634</v>
      </c>
      <c r="H40422" s="21">
        <v>558.66999999999996</v>
      </c>
    </row>
    <row r="40423" spans="1:8" customFormat="1" x14ac:dyDescent="0.25">
      <c r="A40423" t="str">
        <f>"877734"</f>
        <v>877734</v>
      </c>
      <c r="B40423" t="s">
        <v>29802</v>
      </c>
      <c r="C40423" t="s">
        <v>25616</v>
      </c>
      <c r="D40423" s="21" t="s">
        <v>24820</v>
      </c>
      <c r="E40423" s="21" t="s">
        <v>35</v>
      </c>
      <c r="F40423">
        <v>10870109</v>
      </c>
      <c r="G40423" t="s">
        <v>5199</v>
      </c>
      <c r="H40423" s="21">
        <v>558.16999999999996</v>
      </c>
    </row>
    <row r="40424" spans="1:8" customFormat="1" x14ac:dyDescent="0.25">
      <c r="A40424" t="str">
        <f>"9223714"</f>
        <v>9223714</v>
      </c>
      <c r="B40424" t="s">
        <v>2010</v>
      </c>
      <c r="C40424" t="s">
        <v>24865</v>
      </c>
      <c r="D40424" s="21" t="s">
        <v>24820</v>
      </c>
      <c r="E40424" s="21" t="s">
        <v>35</v>
      </c>
      <c r="F40424">
        <v>8770237</v>
      </c>
      <c r="G40424" t="s">
        <v>128</v>
      </c>
      <c r="H40424" s="21">
        <v>557.91999999999996</v>
      </c>
    </row>
    <row r="40425" spans="1:8" customFormat="1" x14ac:dyDescent="0.25">
      <c r="A40425" t="str">
        <f>"4521247"</f>
        <v>4521247</v>
      </c>
      <c r="B40425" t="s">
        <v>23086</v>
      </c>
      <c r="C40425" t="s">
        <v>26120</v>
      </c>
      <c r="D40425" s="21" t="s">
        <v>24820</v>
      </c>
      <c r="E40425" s="21" t="s">
        <v>35</v>
      </c>
      <c r="F40425">
        <v>13130067</v>
      </c>
      <c r="G40425" t="s">
        <v>1420</v>
      </c>
      <c r="H40425" s="21">
        <v>557.66999999999996</v>
      </c>
    </row>
    <row r="40426" spans="1:8" customFormat="1" x14ac:dyDescent="0.25">
      <c r="A40426" t="str">
        <f>"1612588"</f>
        <v>1612588</v>
      </c>
      <c r="B40426" t="s">
        <v>1883</v>
      </c>
      <c r="C40426" t="s">
        <v>24978</v>
      </c>
      <c r="D40426" s="21" t="s">
        <v>24820</v>
      </c>
      <c r="E40426" s="21" t="s">
        <v>35</v>
      </c>
      <c r="F40426">
        <v>10160085</v>
      </c>
      <c r="G40426" t="s">
        <v>10818</v>
      </c>
      <c r="H40426" s="21">
        <v>557.41999999999996</v>
      </c>
    </row>
    <row r="40427" spans="1:8" customFormat="1" x14ac:dyDescent="0.25">
      <c r="A40427" t="str">
        <f>"7724127"</f>
        <v>7724127</v>
      </c>
      <c r="B40427" t="s">
        <v>25694</v>
      </c>
      <c r="C40427" t="s">
        <v>25197</v>
      </c>
      <c r="D40427" s="21" t="s">
        <v>24820</v>
      </c>
      <c r="E40427" s="21" t="s">
        <v>35</v>
      </c>
      <c r="F40427">
        <v>8771025</v>
      </c>
      <c r="G40427" t="s">
        <v>5469</v>
      </c>
      <c r="H40427" s="21">
        <v>557.41999999999996</v>
      </c>
    </row>
    <row r="40428" spans="1:8" customFormat="1" x14ac:dyDescent="0.25">
      <c r="A40428" t="str">
        <f>"4443866"</f>
        <v>4443866</v>
      </c>
      <c r="B40428" t="s">
        <v>18195</v>
      </c>
      <c r="C40428" t="s">
        <v>24884</v>
      </c>
      <c r="D40428" s="21" t="s">
        <v>24820</v>
      </c>
      <c r="E40428" s="21" t="s">
        <v>71</v>
      </c>
      <c r="F40428">
        <v>12440002</v>
      </c>
      <c r="G40428" t="s">
        <v>47</v>
      </c>
      <c r="H40428" s="21">
        <v>557.16999999999996</v>
      </c>
    </row>
    <row r="40429" spans="1:8" customFormat="1" x14ac:dyDescent="0.25">
      <c r="A40429" t="str">
        <f>"9213838"</f>
        <v>9213838</v>
      </c>
      <c r="B40429" t="s">
        <v>650</v>
      </c>
      <c r="C40429" t="s">
        <v>29803</v>
      </c>
      <c r="D40429" s="21" t="s">
        <v>24820</v>
      </c>
      <c r="E40429" s="21" t="s">
        <v>35</v>
      </c>
      <c r="F40429">
        <v>8781017</v>
      </c>
      <c r="G40429" t="s">
        <v>2581</v>
      </c>
      <c r="H40429" s="21">
        <v>557.04</v>
      </c>
    </row>
    <row r="40430" spans="1:8" customFormat="1" x14ac:dyDescent="0.25">
      <c r="A40430" t="str">
        <f>"7719051"</f>
        <v>7719051</v>
      </c>
      <c r="B40430" t="s">
        <v>26250</v>
      </c>
      <c r="C40430" t="s">
        <v>24865</v>
      </c>
      <c r="D40430" s="21" t="s">
        <v>24820</v>
      </c>
      <c r="E40430" s="21" t="s">
        <v>35</v>
      </c>
      <c r="F40430">
        <v>8771303</v>
      </c>
      <c r="G40430" t="s">
        <v>13447</v>
      </c>
      <c r="H40430" s="21">
        <v>556.91999999999996</v>
      </c>
    </row>
    <row r="40431" spans="1:8" customFormat="1" x14ac:dyDescent="0.25">
      <c r="A40431" t="str">
        <f>"8018179"</f>
        <v>8018179</v>
      </c>
      <c r="B40431" t="s">
        <v>213</v>
      </c>
      <c r="C40431" t="s">
        <v>24915</v>
      </c>
      <c r="D40431" s="21" t="s">
        <v>24820</v>
      </c>
      <c r="E40431" s="21" t="s">
        <v>35</v>
      </c>
      <c r="F40431">
        <v>7800035</v>
      </c>
      <c r="G40431" t="s">
        <v>12990</v>
      </c>
      <c r="H40431" s="21">
        <v>556.66999999999996</v>
      </c>
    </row>
    <row r="40432" spans="1:8" customFormat="1" x14ac:dyDescent="0.25">
      <c r="A40432" t="str">
        <f>"4927638"</f>
        <v>4927638</v>
      </c>
      <c r="B40432" t="s">
        <v>1749</v>
      </c>
      <c r="C40432" t="s">
        <v>24939</v>
      </c>
      <c r="D40432" s="21" t="s">
        <v>24820</v>
      </c>
      <c r="E40432" s="21" t="s">
        <v>71</v>
      </c>
      <c r="F40432">
        <v>12490120</v>
      </c>
      <c r="G40432" t="s">
        <v>2316</v>
      </c>
      <c r="H40432" s="21">
        <v>556.66999999999996</v>
      </c>
    </row>
    <row r="40433" spans="1:8" customFormat="1" x14ac:dyDescent="0.25">
      <c r="A40433" t="str">
        <f>"6012723"</f>
        <v>6012723</v>
      </c>
      <c r="B40433" t="s">
        <v>4669</v>
      </c>
      <c r="C40433" t="s">
        <v>22831</v>
      </c>
      <c r="D40433" s="21" t="s">
        <v>24820</v>
      </c>
      <c r="E40433" s="21" t="s">
        <v>71</v>
      </c>
      <c r="F40433">
        <v>7600154</v>
      </c>
      <c r="G40433" t="s">
        <v>7836</v>
      </c>
      <c r="H40433" s="21">
        <v>556.16999999999996</v>
      </c>
    </row>
    <row r="40434" spans="1:8" customFormat="1" x14ac:dyDescent="0.25">
      <c r="A40434" t="str">
        <f>"733356"</f>
        <v>733356</v>
      </c>
      <c r="B40434" t="s">
        <v>25344</v>
      </c>
      <c r="C40434" t="s">
        <v>24906</v>
      </c>
      <c r="D40434" s="21" t="s">
        <v>24820</v>
      </c>
      <c r="E40434" s="21" t="s">
        <v>71</v>
      </c>
      <c r="F40434">
        <v>1740060</v>
      </c>
      <c r="G40434" t="s">
        <v>4907</v>
      </c>
      <c r="H40434" s="21">
        <v>556.16999999999996</v>
      </c>
    </row>
    <row r="40435" spans="1:8" customFormat="1" x14ac:dyDescent="0.25">
      <c r="A40435" t="str">
        <f>"507392"</f>
        <v>507392</v>
      </c>
      <c r="B40435" t="s">
        <v>17945</v>
      </c>
      <c r="C40435" t="s">
        <v>25076</v>
      </c>
      <c r="D40435" s="21" t="s">
        <v>24820</v>
      </c>
      <c r="E40435" s="21" t="s">
        <v>254</v>
      </c>
      <c r="F40435">
        <v>9500012</v>
      </c>
      <c r="G40435" t="s">
        <v>10097</v>
      </c>
      <c r="H40435" s="21">
        <v>556.16999999999996</v>
      </c>
    </row>
    <row r="40436" spans="1:8" customFormat="1" x14ac:dyDescent="0.25">
      <c r="A40436" t="str">
        <f>"9714837"</f>
        <v>9714837</v>
      </c>
      <c r="B40436" t="s">
        <v>25467</v>
      </c>
      <c r="C40436" t="s">
        <v>24833</v>
      </c>
      <c r="D40436" s="21" t="s">
        <v>24820</v>
      </c>
      <c r="E40436" s="21" t="s">
        <v>71</v>
      </c>
      <c r="F40436" t="s">
        <v>731</v>
      </c>
      <c r="G40436" t="s">
        <v>732</v>
      </c>
      <c r="H40436" s="21">
        <v>555.66999999999996</v>
      </c>
    </row>
    <row r="40437" spans="1:8" customFormat="1" x14ac:dyDescent="0.25">
      <c r="A40437" t="str">
        <f>"3724610"</f>
        <v>3724610</v>
      </c>
      <c r="B40437" t="s">
        <v>25522</v>
      </c>
      <c r="C40437" t="s">
        <v>24877</v>
      </c>
      <c r="D40437" s="21" t="s">
        <v>24820</v>
      </c>
      <c r="E40437" s="21" t="s">
        <v>35</v>
      </c>
      <c r="F40437">
        <v>4370015</v>
      </c>
      <c r="G40437" t="s">
        <v>17941</v>
      </c>
      <c r="H40437" s="21">
        <v>555.41999999999996</v>
      </c>
    </row>
    <row r="40438" spans="1:8" customFormat="1" x14ac:dyDescent="0.25">
      <c r="A40438" t="str">
        <f>"2938701"</f>
        <v>2938701</v>
      </c>
      <c r="B40438" t="s">
        <v>9281</v>
      </c>
      <c r="C40438" t="s">
        <v>24869</v>
      </c>
      <c r="D40438" s="21" t="s">
        <v>24820</v>
      </c>
      <c r="E40438" s="21" t="s">
        <v>35</v>
      </c>
      <c r="F40438">
        <v>3290010</v>
      </c>
      <c r="G40438" t="s">
        <v>1453</v>
      </c>
      <c r="H40438" s="21">
        <v>555.38</v>
      </c>
    </row>
    <row r="40439" spans="1:8" customFormat="1" x14ac:dyDescent="0.25">
      <c r="A40439" t="str">
        <f>"9530255"</f>
        <v>9530255</v>
      </c>
      <c r="B40439" t="s">
        <v>6866</v>
      </c>
      <c r="C40439" t="s">
        <v>24883</v>
      </c>
      <c r="D40439" s="21" t="s">
        <v>24820</v>
      </c>
      <c r="E40439" s="21" t="s">
        <v>71</v>
      </c>
      <c r="F40439">
        <v>8950623</v>
      </c>
      <c r="G40439" t="s">
        <v>684</v>
      </c>
      <c r="H40439" s="21">
        <v>555.16999999999996</v>
      </c>
    </row>
    <row r="40440" spans="1:8" customFormat="1" x14ac:dyDescent="0.25">
      <c r="A40440" t="str">
        <f>"619418"</f>
        <v>619418</v>
      </c>
      <c r="B40440" t="s">
        <v>10014</v>
      </c>
      <c r="C40440" t="s">
        <v>24897</v>
      </c>
      <c r="D40440" s="21" t="s">
        <v>24820</v>
      </c>
      <c r="E40440" s="21" t="s">
        <v>35</v>
      </c>
      <c r="F40440">
        <v>9610144</v>
      </c>
      <c r="G40440" t="s">
        <v>6311</v>
      </c>
      <c r="H40440" s="21">
        <v>554.66999999999996</v>
      </c>
    </row>
    <row r="40441" spans="1:8" customFormat="1" x14ac:dyDescent="0.25">
      <c r="A40441" t="str">
        <f>"4455765"</f>
        <v>4455765</v>
      </c>
      <c r="B40441" t="s">
        <v>3091</v>
      </c>
      <c r="C40441" t="s">
        <v>24947</v>
      </c>
      <c r="D40441" s="21" t="s">
        <v>24820</v>
      </c>
      <c r="E40441" s="21" t="s">
        <v>35</v>
      </c>
      <c r="F40441">
        <v>12440020</v>
      </c>
      <c r="G40441" t="s">
        <v>4606</v>
      </c>
      <c r="H40441" s="21">
        <v>554.16999999999996</v>
      </c>
    </row>
    <row r="40442" spans="1:8" customFormat="1" x14ac:dyDescent="0.25">
      <c r="A40442" t="str">
        <f>"8018506"</f>
        <v>8018506</v>
      </c>
      <c r="B40442" t="s">
        <v>11216</v>
      </c>
      <c r="C40442" t="s">
        <v>24838</v>
      </c>
      <c r="D40442" s="21" t="s">
        <v>24820</v>
      </c>
      <c r="E40442" s="21" t="s">
        <v>35</v>
      </c>
      <c r="F40442">
        <v>7800061</v>
      </c>
      <c r="G40442" t="s">
        <v>1330</v>
      </c>
      <c r="H40442" s="21">
        <v>554.16999999999996</v>
      </c>
    </row>
    <row r="40443" spans="1:8" customFormat="1" x14ac:dyDescent="0.25">
      <c r="A40443" t="str">
        <f>"4927779"</f>
        <v>4927779</v>
      </c>
      <c r="B40443" t="s">
        <v>577</v>
      </c>
      <c r="C40443" t="s">
        <v>24889</v>
      </c>
      <c r="D40443" s="21" t="s">
        <v>24820</v>
      </c>
      <c r="E40443" s="21" t="s">
        <v>35</v>
      </c>
      <c r="F40443">
        <v>12490092</v>
      </c>
      <c r="G40443" t="s">
        <v>1854</v>
      </c>
      <c r="H40443" s="21">
        <v>554.16999999999996</v>
      </c>
    </row>
    <row r="40444" spans="1:8" customFormat="1" x14ac:dyDescent="0.25">
      <c r="A40444" t="str">
        <f>"9418304"</f>
        <v>9418304</v>
      </c>
      <c r="B40444" t="s">
        <v>25611</v>
      </c>
      <c r="C40444" t="s">
        <v>25035</v>
      </c>
      <c r="D40444" s="21" t="s">
        <v>24820</v>
      </c>
      <c r="E40444" s="21" t="s">
        <v>254</v>
      </c>
      <c r="F40444">
        <v>8940894</v>
      </c>
      <c r="G40444" t="s">
        <v>481</v>
      </c>
      <c r="H40444" s="21">
        <v>554.04</v>
      </c>
    </row>
    <row r="40445" spans="1:8" customFormat="1" x14ac:dyDescent="0.25">
      <c r="A40445" t="str">
        <f>"676775"</f>
        <v>676775</v>
      </c>
      <c r="B40445" t="s">
        <v>690</v>
      </c>
      <c r="C40445" t="s">
        <v>25398</v>
      </c>
      <c r="D40445" s="21" t="s">
        <v>24820</v>
      </c>
      <c r="E40445" s="21" t="s">
        <v>254</v>
      </c>
      <c r="F40445">
        <v>6670129</v>
      </c>
      <c r="G40445" t="s">
        <v>12249</v>
      </c>
      <c r="H40445" s="21">
        <v>553.66999999999996</v>
      </c>
    </row>
    <row r="40446" spans="1:8" customFormat="1" x14ac:dyDescent="0.25">
      <c r="A40446" t="str">
        <f>"5718440"</f>
        <v>5718440</v>
      </c>
      <c r="B40446" t="s">
        <v>25495</v>
      </c>
      <c r="C40446" t="s">
        <v>24865</v>
      </c>
      <c r="D40446" s="21" t="s">
        <v>24820</v>
      </c>
      <c r="E40446" s="21" t="s">
        <v>71</v>
      </c>
      <c r="F40446">
        <v>6570008</v>
      </c>
      <c r="G40446" t="s">
        <v>899</v>
      </c>
      <c r="H40446" s="21">
        <v>553.66999999999996</v>
      </c>
    </row>
    <row r="40447" spans="1:8" customFormat="1" x14ac:dyDescent="0.25">
      <c r="A40447" t="str">
        <f>"3827684"</f>
        <v>3827684</v>
      </c>
      <c r="B40447" t="s">
        <v>23221</v>
      </c>
      <c r="C40447" t="s">
        <v>24943</v>
      </c>
      <c r="D40447" s="21" t="s">
        <v>24820</v>
      </c>
      <c r="E40447" s="21" t="s">
        <v>35</v>
      </c>
      <c r="F40447">
        <v>1380199</v>
      </c>
      <c r="G40447" t="s">
        <v>321</v>
      </c>
      <c r="H40447" s="21">
        <v>553.29</v>
      </c>
    </row>
    <row r="40448" spans="1:8" customFormat="1" x14ac:dyDescent="0.25">
      <c r="A40448" t="str">
        <f>"9431047"</f>
        <v>9431047</v>
      </c>
      <c r="B40448" t="s">
        <v>25494</v>
      </c>
      <c r="C40448" t="s">
        <v>24898</v>
      </c>
      <c r="D40448" s="21" t="s">
        <v>24820</v>
      </c>
      <c r="E40448" s="21" t="s">
        <v>71</v>
      </c>
      <c r="F40448">
        <v>8940976</v>
      </c>
      <c r="G40448" t="s">
        <v>615</v>
      </c>
      <c r="H40448" s="21">
        <v>553.16999999999996</v>
      </c>
    </row>
    <row r="40449" spans="1:8" customFormat="1" x14ac:dyDescent="0.25">
      <c r="A40449" t="str">
        <f>"199773"</f>
        <v>199773</v>
      </c>
      <c r="B40449" t="s">
        <v>25473</v>
      </c>
      <c r="C40449" t="s">
        <v>24988</v>
      </c>
      <c r="D40449" s="21" t="s">
        <v>24820</v>
      </c>
      <c r="E40449" s="21" t="s">
        <v>35</v>
      </c>
      <c r="F40449">
        <v>10190080</v>
      </c>
      <c r="G40449" t="s">
        <v>1726</v>
      </c>
      <c r="H40449" s="21">
        <v>552.91999999999996</v>
      </c>
    </row>
    <row r="40450" spans="1:8" customFormat="1" x14ac:dyDescent="0.25">
      <c r="A40450" t="str">
        <f>"4429997"</f>
        <v>4429997</v>
      </c>
      <c r="B40450" t="s">
        <v>400</v>
      </c>
      <c r="C40450" t="s">
        <v>25450</v>
      </c>
      <c r="D40450" s="21" t="s">
        <v>24820</v>
      </c>
      <c r="E40450" s="21" t="s">
        <v>71</v>
      </c>
      <c r="F40450">
        <v>12440116</v>
      </c>
      <c r="G40450" t="s">
        <v>26673</v>
      </c>
      <c r="H40450" s="21">
        <v>552.16999999999996</v>
      </c>
    </row>
    <row r="40451" spans="1:8" customFormat="1" x14ac:dyDescent="0.25">
      <c r="A40451" t="str">
        <f>"089946"</f>
        <v>089946</v>
      </c>
      <c r="B40451" t="s">
        <v>7326</v>
      </c>
      <c r="C40451" t="s">
        <v>24867</v>
      </c>
      <c r="D40451" s="21" t="s">
        <v>24820</v>
      </c>
      <c r="E40451" s="21" t="s">
        <v>71</v>
      </c>
      <c r="F40451">
        <v>6080013</v>
      </c>
      <c r="G40451" t="s">
        <v>1532</v>
      </c>
      <c r="H40451" s="21">
        <v>551.79</v>
      </c>
    </row>
    <row r="40452" spans="1:8" customFormat="1" x14ac:dyDescent="0.25">
      <c r="A40452" t="str">
        <f>"9523237"</f>
        <v>9523237</v>
      </c>
      <c r="B40452" t="s">
        <v>25483</v>
      </c>
      <c r="C40452" t="s">
        <v>24915</v>
      </c>
      <c r="D40452" s="21" t="s">
        <v>24820</v>
      </c>
      <c r="E40452" s="21" t="s">
        <v>35</v>
      </c>
      <c r="F40452">
        <v>8950481</v>
      </c>
      <c r="G40452" t="s">
        <v>1472</v>
      </c>
      <c r="H40452" s="21">
        <v>551.66999999999996</v>
      </c>
    </row>
    <row r="40453" spans="1:8" customFormat="1" x14ac:dyDescent="0.25">
      <c r="A40453" t="str">
        <f>"3522339"</f>
        <v>3522339</v>
      </c>
      <c r="B40453" t="s">
        <v>2350</v>
      </c>
      <c r="C40453" t="s">
        <v>24857</v>
      </c>
      <c r="D40453" s="21" t="s">
        <v>24820</v>
      </c>
      <c r="E40453" s="21" t="s">
        <v>35</v>
      </c>
      <c r="F40453">
        <v>3350027</v>
      </c>
      <c r="G40453" t="s">
        <v>2760</v>
      </c>
      <c r="H40453" s="21">
        <v>551.16999999999996</v>
      </c>
    </row>
    <row r="40454" spans="1:8" customFormat="1" x14ac:dyDescent="0.25">
      <c r="A40454" t="str">
        <f>"3314839"</f>
        <v>3314839</v>
      </c>
      <c r="B40454" t="s">
        <v>25580</v>
      </c>
      <c r="C40454" t="s">
        <v>24686</v>
      </c>
      <c r="D40454" s="21" t="s">
        <v>24820</v>
      </c>
      <c r="E40454" s="21" t="s">
        <v>254</v>
      </c>
      <c r="F40454">
        <v>10330017</v>
      </c>
      <c r="G40454" t="s">
        <v>2754</v>
      </c>
      <c r="H40454" s="21">
        <v>550.66999999999996</v>
      </c>
    </row>
    <row r="40455" spans="1:8" customFormat="1" x14ac:dyDescent="0.25">
      <c r="A40455" t="str">
        <f>"878084"</f>
        <v>878084</v>
      </c>
      <c r="B40455" t="s">
        <v>25405</v>
      </c>
      <c r="C40455" t="s">
        <v>25406</v>
      </c>
      <c r="D40455" s="21" t="s">
        <v>24820</v>
      </c>
      <c r="E40455" s="21" t="s">
        <v>71</v>
      </c>
      <c r="F40455">
        <v>10870003</v>
      </c>
      <c r="G40455" t="s">
        <v>1187</v>
      </c>
      <c r="H40455" s="21">
        <v>550.66999999999996</v>
      </c>
    </row>
    <row r="40456" spans="1:8" customFormat="1" x14ac:dyDescent="0.25">
      <c r="A40456" t="str">
        <f>"7626679"</f>
        <v>7626679</v>
      </c>
      <c r="B40456" t="s">
        <v>29804</v>
      </c>
      <c r="C40456" t="s">
        <v>24953</v>
      </c>
      <c r="D40456" s="21" t="s">
        <v>24820</v>
      </c>
      <c r="E40456" s="21" t="s">
        <v>35</v>
      </c>
      <c r="F40456">
        <v>9760070</v>
      </c>
      <c r="G40456" t="s">
        <v>6226</v>
      </c>
      <c r="H40456" s="21">
        <v>550.41999999999996</v>
      </c>
    </row>
    <row r="40457" spans="1:8" customFormat="1" x14ac:dyDescent="0.25">
      <c r="A40457" t="str">
        <f>"7410647"</f>
        <v>7410647</v>
      </c>
      <c r="B40457" t="s">
        <v>1295</v>
      </c>
      <c r="C40457" t="s">
        <v>24865</v>
      </c>
      <c r="D40457" s="21" t="s">
        <v>24820</v>
      </c>
      <c r="E40457" s="21" t="s">
        <v>71</v>
      </c>
      <c r="F40457">
        <v>1740065</v>
      </c>
      <c r="G40457" t="s">
        <v>5226</v>
      </c>
      <c r="H40457" s="21">
        <v>549.66999999999996</v>
      </c>
    </row>
    <row r="40458" spans="1:8" customFormat="1" x14ac:dyDescent="0.25">
      <c r="A40458" t="str">
        <f>"901639"</f>
        <v>901639</v>
      </c>
      <c r="B40458" t="s">
        <v>16285</v>
      </c>
      <c r="C40458" t="s">
        <v>24897</v>
      </c>
      <c r="D40458" s="21" t="s">
        <v>24820</v>
      </c>
      <c r="E40458" s="21" t="s">
        <v>71</v>
      </c>
      <c r="F40458">
        <v>2900038</v>
      </c>
      <c r="G40458" t="s">
        <v>6415</v>
      </c>
      <c r="H40458" s="21">
        <v>549.16999999999996</v>
      </c>
    </row>
    <row r="40459" spans="1:8" customFormat="1" x14ac:dyDescent="0.25">
      <c r="A40459" t="str">
        <f>"2213136"</f>
        <v>2213136</v>
      </c>
      <c r="B40459" t="s">
        <v>25468</v>
      </c>
      <c r="C40459" t="s">
        <v>25069</v>
      </c>
      <c r="D40459" s="21" t="s">
        <v>24820</v>
      </c>
      <c r="E40459" s="21" t="s">
        <v>35</v>
      </c>
      <c r="F40459">
        <v>3220052</v>
      </c>
      <c r="G40459" t="s">
        <v>27058</v>
      </c>
      <c r="H40459" s="21">
        <v>549.16999999999996</v>
      </c>
    </row>
    <row r="40460" spans="1:8" customFormat="1" x14ac:dyDescent="0.25">
      <c r="A40460" t="str">
        <f>"7731964"</f>
        <v>7731964</v>
      </c>
      <c r="B40460" t="s">
        <v>3624</v>
      </c>
      <c r="C40460" t="s">
        <v>24871</v>
      </c>
      <c r="D40460" s="21" t="s">
        <v>24820</v>
      </c>
      <c r="E40460" s="21" t="s">
        <v>35</v>
      </c>
      <c r="F40460">
        <v>8770474</v>
      </c>
      <c r="G40460" t="s">
        <v>1600</v>
      </c>
      <c r="H40460" s="21">
        <v>548.66999999999996</v>
      </c>
    </row>
    <row r="40461" spans="1:8" customFormat="1" x14ac:dyDescent="0.25">
      <c r="A40461" t="str">
        <f>"764661"</f>
        <v>764661</v>
      </c>
      <c r="B40461" t="s">
        <v>10977</v>
      </c>
      <c r="C40461" t="s">
        <v>25469</v>
      </c>
      <c r="D40461" s="21" t="s">
        <v>24820</v>
      </c>
      <c r="E40461" s="21" t="s">
        <v>35</v>
      </c>
      <c r="F40461">
        <v>9760272</v>
      </c>
      <c r="G40461" t="s">
        <v>5526</v>
      </c>
      <c r="H40461" s="21">
        <v>548.66999999999996</v>
      </c>
    </row>
    <row r="40462" spans="1:8" customFormat="1" x14ac:dyDescent="0.25">
      <c r="A40462" t="str">
        <f>"6715479"</f>
        <v>6715479</v>
      </c>
      <c r="B40462" t="s">
        <v>4707</v>
      </c>
      <c r="C40462" t="s">
        <v>24865</v>
      </c>
      <c r="D40462" s="21" t="s">
        <v>24820</v>
      </c>
      <c r="E40462" s="21" t="s">
        <v>35</v>
      </c>
      <c r="F40462">
        <v>6670045</v>
      </c>
      <c r="G40462" t="s">
        <v>707</v>
      </c>
      <c r="H40462" s="21">
        <v>548.66999999999996</v>
      </c>
    </row>
    <row r="40463" spans="1:8" customFormat="1" x14ac:dyDescent="0.25">
      <c r="A40463" t="str">
        <f>"107034"</f>
        <v>107034</v>
      </c>
      <c r="B40463" t="s">
        <v>25682</v>
      </c>
      <c r="C40463" t="s">
        <v>24883</v>
      </c>
      <c r="D40463" s="21" t="s">
        <v>24820</v>
      </c>
      <c r="E40463" s="21" t="s">
        <v>71</v>
      </c>
      <c r="F40463">
        <v>6100041</v>
      </c>
      <c r="G40463" t="s">
        <v>14552</v>
      </c>
      <c r="H40463" s="21">
        <v>547.91999999999996</v>
      </c>
    </row>
    <row r="40464" spans="1:8" customFormat="1" x14ac:dyDescent="0.25">
      <c r="A40464" t="str">
        <f>"4936135"</f>
        <v>4936135</v>
      </c>
      <c r="B40464" t="s">
        <v>146</v>
      </c>
      <c r="C40464" t="s">
        <v>24897</v>
      </c>
      <c r="D40464" s="21" t="s">
        <v>24820</v>
      </c>
      <c r="E40464" s="21" t="s">
        <v>71</v>
      </c>
      <c r="F40464">
        <v>12490022</v>
      </c>
      <c r="G40464" t="s">
        <v>1450</v>
      </c>
      <c r="H40464" s="21">
        <v>547.16999999999996</v>
      </c>
    </row>
    <row r="40465" spans="1:8" customFormat="1" x14ac:dyDescent="0.25">
      <c r="A40465" t="str">
        <f>"557829"</f>
        <v>557829</v>
      </c>
      <c r="B40465" t="s">
        <v>10002</v>
      </c>
      <c r="C40465" t="s">
        <v>25386</v>
      </c>
      <c r="D40465" s="21" t="s">
        <v>24820</v>
      </c>
      <c r="E40465" s="21" t="s">
        <v>71</v>
      </c>
      <c r="F40465">
        <v>6550009</v>
      </c>
      <c r="G40465" t="s">
        <v>7080</v>
      </c>
      <c r="H40465" s="21">
        <v>547.16999999999996</v>
      </c>
    </row>
    <row r="40466" spans="1:8" customFormat="1" x14ac:dyDescent="0.25">
      <c r="A40466" t="str">
        <f>"4218816"</f>
        <v>4218816</v>
      </c>
      <c r="B40466" t="s">
        <v>11465</v>
      </c>
      <c r="C40466" t="s">
        <v>24939</v>
      </c>
      <c r="D40466" s="21" t="s">
        <v>24820</v>
      </c>
      <c r="E40466" s="21" t="s">
        <v>254</v>
      </c>
      <c r="F40466">
        <v>13830051</v>
      </c>
      <c r="G40466" t="s">
        <v>2031</v>
      </c>
      <c r="H40466" s="21">
        <v>546.66999999999996</v>
      </c>
    </row>
    <row r="40467" spans="1:8" customFormat="1" x14ac:dyDescent="0.25">
      <c r="A40467" t="str">
        <f>"256426"</f>
        <v>256426</v>
      </c>
      <c r="B40467" t="s">
        <v>6312</v>
      </c>
      <c r="C40467" t="s">
        <v>547</v>
      </c>
      <c r="D40467" s="21" t="s">
        <v>24820</v>
      </c>
      <c r="E40467" s="21" t="s">
        <v>71</v>
      </c>
      <c r="F40467">
        <v>2250193</v>
      </c>
      <c r="G40467" t="s">
        <v>2584</v>
      </c>
      <c r="H40467" s="21">
        <v>546.66999999999996</v>
      </c>
    </row>
    <row r="40468" spans="1:8" customFormat="1" x14ac:dyDescent="0.25">
      <c r="A40468" t="str">
        <f>"4511522"</f>
        <v>4511522</v>
      </c>
      <c r="B40468" t="s">
        <v>25607</v>
      </c>
      <c r="C40468" t="s">
        <v>25608</v>
      </c>
      <c r="D40468" s="21" t="s">
        <v>24820</v>
      </c>
      <c r="E40468" s="21" t="s">
        <v>71</v>
      </c>
      <c r="F40468">
        <v>4450410</v>
      </c>
      <c r="G40468" t="s">
        <v>26525</v>
      </c>
      <c r="H40468" s="21">
        <v>546.66999999999996</v>
      </c>
    </row>
    <row r="40469" spans="1:8" customFormat="1" x14ac:dyDescent="0.25">
      <c r="A40469" t="str">
        <f>"379665"</f>
        <v>379665</v>
      </c>
      <c r="B40469" t="s">
        <v>907</v>
      </c>
      <c r="C40469" t="s">
        <v>24894</v>
      </c>
      <c r="D40469" s="21" t="s">
        <v>24820</v>
      </c>
      <c r="E40469" s="21" t="s">
        <v>35</v>
      </c>
      <c r="F40469">
        <v>4370346</v>
      </c>
      <c r="G40469" t="s">
        <v>8269</v>
      </c>
      <c r="H40469" s="21">
        <v>546.66999999999996</v>
      </c>
    </row>
    <row r="40470" spans="1:8" customFormat="1" x14ac:dyDescent="0.25">
      <c r="A40470" t="str">
        <f>"644918"</f>
        <v>644918</v>
      </c>
      <c r="B40470" t="s">
        <v>25482</v>
      </c>
      <c r="C40470" t="s">
        <v>24968</v>
      </c>
      <c r="D40470" s="21" t="s">
        <v>24820</v>
      </c>
      <c r="E40470" s="21" t="s">
        <v>71</v>
      </c>
      <c r="F40470">
        <v>10640008</v>
      </c>
      <c r="G40470" t="s">
        <v>1694</v>
      </c>
      <c r="H40470" s="21">
        <v>546.66999999999996</v>
      </c>
    </row>
    <row r="40471" spans="1:8" customFormat="1" x14ac:dyDescent="0.25">
      <c r="A40471" t="str">
        <f>"905912"</f>
        <v>905912</v>
      </c>
      <c r="B40471" t="s">
        <v>13137</v>
      </c>
      <c r="C40471" t="s">
        <v>23734</v>
      </c>
      <c r="D40471" s="21" t="s">
        <v>24820</v>
      </c>
      <c r="E40471" s="21" t="s">
        <v>35</v>
      </c>
      <c r="F40471">
        <v>2900038</v>
      </c>
      <c r="G40471" t="s">
        <v>6415</v>
      </c>
      <c r="H40471" s="21">
        <v>546.66999999999996</v>
      </c>
    </row>
    <row r="40472" spans="1:8" customFormat="1" x14ac:dyDescent="0.25">
      <c r="A40472" t="str">
        <f>"7827213"</f>
        <v>7827213</v>
      </c>
      <c r="B40472" t="s">
        <v>25511</v>
      </c>
      <c r="C40472" t="s">
        <v>24932</v>
      </c>
      <c r="D40472" s="21" t="s">
        <v>24820</v>
      </c>
      <c r="E40472" s="21" t="s">
        <v>71</v>
      </c>
      <c r="F40472">
        <v>8780108</v>
      </c>
      <c r="G40472" t="s">
        <v>4329</v>
      </c>
      <c r="H40472" s="21">
        <v>546.66999999999996</v>
      </c>
    </row>
    <row r="40473" spans="1:8" customFormat="1" x14ac:dyDescent="0.25">
      <c r="A40473" t="str">
        <f>"5013575"</f>
        <v>5013575</v>
      </c>
      <c r="B40473" t="s">
        <v>9814</v>
      </c>
      <c r="C40473" t="s">
        <v>23734</v>
      </c>
      <c r="D40473" s="21" t="s">
        <v>24820</v>
      </c>
      <c r="E40473" s="21" t="s">
        <v>71</v>
      </c>
      <c r="F40473">
        <v>9500012</v>
      </c>
      <c r="G40473" t="s">
        <v>10097</v>
      </c>
      <c r="H40473" s="21">
        <v>546.66999999999996</v>
      </c>
    </row>
    <row r="40474" spans="1:8" customFormat="1" x14ac:dyDescent="0.25">
      <c r="A40474" t="str">
        <f>"4426484"</f>
        <v>4426484</v>
      </c>
      <c r="B40474" t="s">
        <v>9279</v>
      </c>
      <c r="C40474" t="s">
        <v>23734</v>
      </c>
      <c r="D40474" s="21" t="s">
        <v>24820</v>
      </c>
      <c r="E40474" s="21" t="s">
        <v>71</v>
      </c>
      <c r="F40474">
        <v>12440084</v>
      </c>
      <c r="G40474" t="s">
        <v>1014</v>
      </c>
      <c r="H40474" s="21">
        <v>546.66999999999996</v>
      </c>
    </row>
    <row r="40475" spans="1:8" customFormat="1" x14ac:dyDescent="0.25">
      <c r="A40475" t="str">
        <f>"951162"</f>
        <v>951162</v>
      </c>
      <c r="B40475" t="s">
        <v>25417</v>
      </c>
      <c r="C40475" t="s">
        <v>25124</v>
      </c>
      <c r="D40475" s="21" t="s">
        <v>24820</v>
      </c>
      <c r="E40475" s="21" t="s">
        <v>35</v>
      </c>
      <c r="F40475">
        <v>8950570</v>
      </c>
      <c r="G40475" t="s">
        <v>3226</v>
      </c>
      <c r="H40475" s="21">
        <v>546.66999999999996</v>
      </c>
    </row>
    <row r="40476" spans="1:8" customFormat="1" x14ac:dyDescent="0.25">
      <c r="A40476" t="str">
        <f>"5975520"</f>
        <v>5975520</v>
      </c>
      <c r="B40476" t="s">
        <v>25711</v>
      </c>
      <c r="C40476" t="s">
        <v>25712</v>
      </c>
      <c r="D40476" s="21" t="s">
        <v>24820</v>
      </c>
      <c r="E40476" s="21" t="s">
        <v>35</v>
      </c>
      <c r="F40476">
        <v>7590005</v>
      </c>
      <c r="G40476" t="s">
        <v>540</v>
      </c>
      <c r="H40476" s="21">
        <v>546.5</v>
      </c>
    </row>
    <row r="40477" spans="1:8" customFormat="1" x14ac:dyDescent="0.25">
      <c r="A40477" t="str">
        <f>"4432909"</f>
        <v>4432909</v>
      </c>
      <c r="B40477" t="s">
        <v>25538</v>
      </c>
      <c r="C40477" t="s">
        <v>24915</v>
      </c>
      <c r="D40477" s="21" t="s">
        <v>24820</v>
      </c>
      <c r="E40477" s="21" t="s">
        <v>35</v>
      </c>
      <c r="F40477">
        <v>12440236</v>
      </c>
      <c r="G40477" t="s">
        <v>27164</v>
      </c>
      <c r="H40477" s="21">
        <v>546.16999999999996</v>
      </c>
    </row>
    <row r="40478" spans="1:8" customFormat="1" x14ac:dyDescent="0.25">
      <c r="A40478" t="str">
        <f>"7635919"</f>
        <v>7635919</v>
      </c>
      <c r="B40478" t="s">
        <v>23545</v>
      </c>
      <c r="C40478" t="s">
        <v>24904</v>
      </c>
      <c r="D40478" s="21" t="s">
        <v>24820</v>
      </c>
      <c r="E40478" s="21" t="s">
        <v>71</v>
      </c>
      <c r="F40478">
        <v>9760286</v>
      </c>
      <c r="G40478" t="s">
        <v>11559</v>
      </c>
      <c r="H40478" s="21">
        <v>546.16999999999996</v>
      </c>
    </row>
    <row r="40479" spans="1:8" customFormat="1" x14ac:dyDescent="0.25">
      <c r="A40479" t="str">
        <f>"6020330"</f>
        <v>6020330</v>
      </c>
      <c r="B40479" t="s">
        <v>25446</v>
      </c>
      <c r="C40479" t="s">
        <v>25053</v>
      </c>
      <c r="D40479" s="21" t="s">
        <v>24820</v>
      </c>
      <c r="E40479" s="21" t="s">
        <v>35</v>
      </c>
      <c r="F40479">
        <v>7600146</v>
      </c>
      <c r="G40479" t="s">
        <v>8647</v>
      </c>
      <c r="H40479" s="21">
        <v>546.16999999999996</v>
      </c>
    </row>
    <row r="40480" spans="1:8" customFormat="1" x14ac:dyDescent="0.25">
      <c r="A40480" t="str">
        <f>"5934435"</f>
        <v>5934435</v>
      </c>
      <c r="B40480" t="s">
        <v>5891</v>
      </c>
      <c r="C40480" t="s">
        <v>25622</v>
      </c>
      <c r="D40480" s="21" t="s">
        <v>24820</v>
      </c>
      <c r="E40480" s="21" t="s">
        <v>254</v>
      </c>
      <c r="F40480">
        <v>7590361</v>
      </c>
      <c r="G40480" t="s">
        <v>3071</v>
      </c>
      <c r="H40480" s="21">
        <v>545.66999999999996</v>
      </c>
    </row>
    <row r="40481" spans="1:8" customFormat="1" x14ac:dyDescent="0.25">
      <c r="A40481" t="str">
        <f>"2517389"</f>
        <v>2517389</v>
      </c>
      <c r="B40481" t="s">
        <v>623</v>
      </c>
      <c r="C40481" t="s">
        <v>25906</v>
      </c>
      <c r="D40481" s="21" t="s">
        <v>24820</v>
      </c>
      <c r="E40481" s="21" t="s">
        <v>35</v>
      </c>
      <c r="F40481">
        <v>2250193</v>
      </c>
      <c r="G40481" t="s">
        <v>2584</v>
      </c>
      <c r="H40481" s="21">
        <v>545.54</v>
      </c>
    </row>
    <row r="40482" spans="1:8" customFormat="1" x14ac:dyDescent="0.25">
      <c r="A40482" t="str">
        <f>"9525813"</f>
        <v>9525813</v>
      </c>
      <c r="B40482" t="s">
        <v>9353</v>
      </c>
      <c r="C40482" t="s">
        <v>24909</v>
      </c>
      <c r="D40482" s="21" t="s">
        <v>24820</v>
      </c>
      <c r="E40482" s="21" t="s">
        <v>1089</v>
      </c>
      <c r="F40482">
        <v>9270185</v>
      </c>
      <c r="G40482" t="s">
        <v>9160</v>
      </c>
      <c r="H40482" s="21">
        <v>545.54</v>
      </c>
    </row>
    <row r="40483" spans="1:8" customFormat="1" x14ac:dyDescent="0.25">
      <c r="A40483" t="str">
        <f>"4423803"</f>
        <v>4423803</v>
      </c>
      <c r="B40483" t="s">
        <v>13809</v>
      </c>
      <c r="C40483" t="s">
        <v>23966</v>
      </c>
      <c r="D40483" s="21" t="s">
        <v>24820</v>
      </c>
      <c r="E40483" s="21" t="s">
        <v>1089</v>
      </c>
      <c r="F40483">
        <v>12440049</v>
      </c>
      <c r="G40483" t="s">
        <v>3339</v>
      </c>
      <c r="H40483" s="21">
        <v>545.41999999999996</v>
      </c>
    </row>
    <row r="40484" spans="1:8" customFormat="1" x14ac:dyDescent="0.25">
      <c r="A40484" t="str">
        <f>"8518904"</f>
        <v>8518904</v>
      </c>
      <c r="B40484" t="s">
        <v>138</v>
      </c>
      <c r="C40484" t="s">
        <v>24914</v>
      </c>
      <c r="D40484" s="21" t="s">
        <v>24820</v>
      </c>
      <c r="E40484" s="21" t="s">
        <v>35</v>
      </c>
      <c r="F40484">
        <v>12850024</v>
      </c>
      <c r="G40484" t="s">
        <v>140</v>
      </c>
      <c r="H40484" s="21">
        <v>545.16999999999996</v>
      </c>
    </row>
    <row r="40485" spans="1:8" customFormat="1" x14ac:dyDescent="0.25">
      <c r="A40485" t="str">
        <f>"824254"</f>
        <v>824254</v>
      </c>
      <c r="B40485" t="s">
        <v>28163</v>
      </c>
      <c r="C40485" t="s">
        <v>24883</v>
      </c>
      <c r="D40485" s="21" t="s">
        <v>24820</v>
      </c>
      <c r="E40485" s="21" t="s">
        <v>35</v>
      </c>
      <c r="F40485">
        <v>11820011</v>
      </c>
      <c r="G40485" t="s">
        <v>2611</v>
      </c>
      <c r="H40485" s="21">
        <v>545.16999999999996</v>
      </c>
    </row>
    <row r="40486" spans="1:8" customFormat="1" x14ac:dyDescent="0.25">
      <c r="A40486" t="str">
        <f>"138877"</f>
        <v>138877</v>
      </c>
      <c r="B40486" t="s">
        <v>25487</v>
      </c>
      <c r="C40486" t="s">
        <v>25488</v>
      </c>
      <c r="D40486" s="21" t="s">
        <v>24820</v>
      </c>
      <c r="E40486" s="21" t="s">
        <v>254</v>
      </c>
      <c r="F40486">
        <v>13840028</v>
      </c>
      <c r="G40486" t="s">
        <v>4139</v>
      </c>
      <c r="H40486" s="21">
        <v>544.66999999999996</v>
      </c>
    </row>
    <row r="40487" spans="1:8" customFormat="1" x14ac:dyDescent="0.25">
      <c r="A40487" t="str">
        <f>"5322232"</f>
        <v>5322232</v>
      </c>
      <c r="B40487" t="s">
        <v>17193</v>
      </c>
      <c r="C40487" t="s">
        <v>24300</v>
      </c>
      <c r="D40487" s="21" t="s">
        <v>24820</v>
      </c>
      <c r="E40487" s="21" t="s">
        <v>35</v>
      </c>
      <c r="F40487">
        <v>12538908</v>
      </c>
      <c r="G40487" t="s">
        <v>28075</v>
      </c>
      <c r="H40487" s="21">
        <v>544.16999999999996</v>
      </c>
    </row>
    <row r="40488" spans="1:8" customFormat="1" x14ac:dyDescent="0.25">
      <c r="A40488" t="str">
        <f>"7728087"</f>
        <v>7728087</v>
      </c>
      <c r="B40488" t="s">
        <v>9747</v>
      </c>
      <c r="C40488" t="s">
        <v>24840</v>
      </c>
      <c r="D40488" s="21" t="s">
        <v>24820</v>
      </c>
      <c r="E40488" s="21" t="s">
        <v>71</v>
      </c>
      <c r="F40488">
        <v>8771170</v>
      </c>
      <c r="G40488" t="s">
        <v>50</v>
      </c>
      <c r="H40488" s="21">
        <v>544.16999999999996</v>
      </c>
    </row>
    <row r="40489" spans="1:8" customFormat="1" x14ac:dyDescent="0.25">
      <c r="A40489" t="str">
        <f>"3713345"</f>
        <v>3713345</v>
      </c>
      <c r="B40489" t="s">
        <v>15650</v>
      </c>
      <c r="C40489" t="s">
        <v>25118</v>
      </c>
      <c r="D40489" s="21" t="s">
        <v>24820</v>
      </c>
      <c r="E40489" s="21" t="s">
        <v>254</v>
      </c>
      <c r="F40489">
        <v>4370548</v>
      </c>
      <c r="G40489" t="s">
        <v>7106</v>
      </c>
      <c r="H40489" s="21">
        <v>544.16999999999996</v>
      </c>
    </row>
    <row r="40490" spans="1:8" customFormat="1" x14ac:dyDescent="0.25">
      <c r="A40490" t="str">
        <f>"1321137"</f>
        <v>1321137</v>
      </c>
      <c r="B40490" t="s">
        <v>29805</v>
      </c>
      <c r="C40490" t="s">
        <v>25011</v>
      </c>
      <c r="D40490" s="21" t="s">
        <v>24820</v>
      </c>
      <c r="E40490" s="21" t="s">
        <v>71</v>
      </c>
      <c r="F40490">
        <v>13130146</v>
      </c>
      <c r="G40490" t="s">
        <v>2471</v>
      </c>
      <c r="H40490" s="21">
        <v>544</v>
      </c>
    </row>
    <row r="40491" spans="1:8" customFormat="1" x14ac:dyDescent="0.25">
      <c r="A40491" t="str">
        <f>"814751"</f>
        <v>814751</v>
      </c>
      <c r="B40491" t="s">
        <v>26146</v>
      </c>
      <c r="C40491" t="s">
        <v>25830</v>
      </c>
      <c r="D40491" s="21" t="s">
        <v>24820</v>
      </c>
      <c r="E40491" s="21" t="s">
        <v>35</v>
      </c>
      <c r="F40491">
        <v>11810033</v>
      </c>
      <c r="G40491" t="s">
        <v>3852</v>
      </c>
      <c r="H40491" s="21">
        <v>543.79</v>
      </c>
    </row>
    <row r="40492" spans="1:8" customFormat="1" x14ac:dyDescent="0.25">
      <c r="A40492" t="str">
        <f>"7871817"</f>
        <v>7871817</v>
      </c>
      <c r="B40492" t="s">
        <v>7111</v>
      </c>
      <c r="C40492" t="s">
        <v>25019</v>
      </c>
      <c r="D40492" s="21" t="s">
        <v>24820</v>
      </c>
      <c r="E40492" s="21" t="s">
        <v>35</v>
      </c>
      <c r="F40492">
        <v>8780585</v>
      </c>
      <c r="G40492" t="s">
        <v>4630</v>
      </c>
      <c r="H40492" s="21">
        <v>543.75</v>
      </c>
    </row>
    <row r="40493" spans="1:8" customFormat="1" x14ac:dyDescent="0.25">
      <c r="A40493" t="str">
        <f>"3519826"</f>
        <v>3519826</v>
      </c>
      <c r="B40493" t="s">
        <v>14395</v>
      </c>
      <c r="C40493" t="s">
        <v>25499</v>
      </c>
      <c r="D40493" s="21" t="s">
        <v>24820</v>
      </c>
      <c r="E40493" s="21" t="s">
        <v>254</v>
      </c>
      <c r="F40493">
        <v>3350011</v>
      </c>
      <c r="G40493" t="s">
        <v>2404</v>
      </c>
      <c r="H40493" s="21">
        <v>543.66999999999996</v>
      </c>
    </row>
    <row r="40494" spans="1:8" customFormat="1" x14ac:dyDescent="0.25">
      <c r="A40494" t="str">
        <f>"5944578"</f>
        <v>5944578</v>
      </c>
      <c r="B40494" t="s">
        <v>25474</v>
      </c>
      <c r="C40494" t="s">
        <v>24953</v>
      </c>
      <c r="D40494" s="21" t="s">
        <v>24820</v>
      </c>
      <c r="E40494" s="21" t="s">
        <v>71</v>
      </c>
      <c r="F40494">
        <v>7590112</v>
      </c>
      <c r="G40494" t="s">
        <v>3534</v>
      </c>
      <c r="H40494" s="21">
        <v>543.66999999999996</v>
      </c>
    </row>
    <row r="40495" spans="1:8" customFormat="1" x14ac:dyDescent="0.25">
      <c r="A40495" t="str">
        <f>"304389"</f>
        <v>304389</v>
      </c>
      <c r="B40495" t="s">
        <v>25476</v>
      </c>
      <c r="C40495" t="s">
        <v>25118</v>
      </c>
      <c r="D40495" s="21" t="s">
        <v>24820</v>
      </c>
      <c r="E40495" s="21" t="s">
        <v>254</v>
      </c>
      <c r="F40495">
        <v>11300016</v>
      </c>
      <c r="G40495" t="s">
        <v>157</v>
      </c>
      <c r="H40495" s="21">
        <v>543.16999999999996</v>
      </c>
    </row>
    <row r="40496" spans="1:8" customFormat="1" x14ac:dyDescent="0.25">
      <c r="A40496" t="str">
        <f>"2515810"</f>
        <v>2515810</v>
      </c>
      <c r="B40496" t="s">
        <v>25545</v>
      </c>
      <c r="C40496" t="s">
        <v>24968</v>
      </c>
      <c r="D40496" s="21" t="s">
        <v>24820</v>
      </c>
      <c r="E40496" s="21" t="s">
        <v>35</v>
      </c>
      <c r="F40496">
        <v>2250015</v>
      </c>
      <c r="G40496" t="s">
        <v>4776</v>
      </c>
      <c r="H40496" s="21">
        <v>543.16999999999996</v>
      </c>
    </row>
    <row r="40497" spans="1:8" customFormat="1" x14ac:dyDescent="0.25">
      <c r="A40497" t="str">
        <f>"6936792"</f>
        <v>6936792</v>
      </c>
      <c r="B40497" t="s">
        <v>26130</v>
      </c>
      <c r="C40497" t="s">
        <v>22831</v>
      </c>
      <c r="D40497" s="21" t="s">
        <v>24820</v>
      </c>
      <c r="E40497" s="21" t="s">
        <v>35</v>
      </c>
      <c r="F40497">
        <v>1380273</v>
      </c>
      <c r="G40497" t="s">
        <v>7554</v>
      </c>
      <c r="H40497" s="21">
        <v>543.16999999999996</v>
      </c>
    </row>
    <row r="40498" spans="1:8" customFormat="1" x14ac:dyDescent="0.25">
      <c r="A40498" t="str">
        <f>"124591"</f>
        <v>124591</v>
      </c>
      <c r="B40498" t="s">
        <v>4147</v>
      </c>
      <c r="C40498" t="s">
        <v>24968</v>
      </c>
      <c r="D40498" s="21" t="s">
        <v>24820</v>
      </c>
      <c r="E40498" s="21" t="s">
        <v>35</v>
      </c>
      <c r="F40498">
        <v>11120026</v>
      </c>
      <c r="G40498" t="s">
        <v>9107</v>
      </c>
      <c r="H40498" s="21">
        <v>543.16999999999996</v>
      </c>
    </row>
    <row r="40499" spans="1:8" customFormat="1" x14ac:dyDescent="0.25">
      <c r="A40499" t="str">
        <f>"9F3268"</f>
        <v>9F3268</v>
      </c>
      <c r="B40499" t="s">
        <v>25527</v>
      </c>
      <c r="C40499" t="s">
        <v>24962</v>
      </c>
      <c r="D40499" s="21" t="s">
        <v>24820</v>
      </c>
      <c r="E40499" s="21" t="s">
        <v>71</v>
      </c>
      <c r="F40499" t="s">
        <v>2126</v>
      </c>
      <c r="G40499" t="s">
        <v>2127</v>
      </c>
      <c r="H40499" s="21">
        <v>542.91999999999996</v>
      </c>
    </row>
    <row r="40500" spans="1:8" customFormat="1" x14ac:dyDescent="0.25">
      <c r="A40500" t="str">
        <f>"7642438"</f>
        <v>7642438</v>
      </c>
      <c r="B40500" t="s">
        <v>29806</v>
      </c>
      <c r="C40500" t="s">
        <v>24831</v>
      </c>
      <c r="D40500" s="21" t="s">
        <v>24820</v>
      </c>
      <c r="E40500" s="21" t="s">
        <v>71</v>
      </c>
      <c r="F40500">
        <v>9760414</v>
      </c>
      <c r="G40500" t="s">
        <v>142</v>
      </c>
      <c r="H40500" s="21">
        <v>542.66999999999996</v>
      </c>
    </row>
    <row r="40501" spans="1:8" customFormat="1" x14ac:dyDescent="0.25">
      <c r="A40501" t="str">
        <f>"18258"</f>
        <v>18258</v>
      </c>
      <c r="B40501" t="s">
        <v>431</v>
      </c>
      <c r="C40501" t="s">
        <v>24943</v>
      </c>
      <c r="D40501" s="21" t="s">
        <v>24820</v>
      </c>
      <c r="E40501" s="21" t="s">
        <v>35</v>
      </c>
      <c r="F40501">
        <v>4180174</v>
      </c>
      <c r="G40501" t="s">
        <v>3046</v>
      </c>
      <c r="H40501" s="21">
        <v>542.5</v>
      </c>
    </row>
    <row r="40502" spans="1:8" customFormat="1" x14ac:dyDescent="0.25">
      <c r="A40502" t="str">
        <f>"72482"</f>
        <v>72482</v>
      </c>
      <c r="B40502" t="s">
        <v>4013</v>
      </c>
      <c r="C40502" t="s">
        <v>24867</v>
      </c>
      <c r="D40502" s="21" t="s">
        <v>24820</v>
      </c>
      <c r="E40502" s="21" t="s">
        <v>71</v>
      </c>
      <c r="F40502">
        <v>12720023</v>
      </c>
      <c r="G40502" t="s">
        <v>1898</v>
      </c>
      <c r="H40502" s="21">
        <v>542.16999999999996</v>
      </c>
    </row>
    <row r="40503" spans="1:8" customFormat="1" x14ac:dyDescent="0.25">
      <c r="A40503" t="str">
        <f>"581351"</f>
        <v>581351</v>
      </c>
      <c r="B40503" t="s">
        <v>11392</v>
      </c>
      <c r="C40503" t="s">
        <v>25141</v>
      </c>
      <c r="D40503" s="21" t="s">
        <v>24820</v>
      </c>
      <c r="E40503" s="21" t="s">
        <v>254</v>
      </c>
      <c r="F40503">
        <v>2580052</v>
      </c>
      <c r="G40503" t="s">
        <v>1813</v>
      </c>
      <c r="H40503" s="21">
        <v>542.16999999999996</v>
      </c>
    </row>
    <row r="40504" spans="1:8" customFormat="1" x14ac:dyDescent="0.25">
      <c r="A40504" t="str">
        <f>"588499"</f>
        <v>588499</v>
      </c>
      <c r="B40504" t="s">
        <v>21544</v>
      </c>
      <c r="C40504" t="s">
        <v>25120</v>
      </c>
      <c r="D40504" s="21" t="s">
        <v>24820</v>
      </c>
      <c r="E40504" s="21" t="s">
        <v>254</v>
      </c>
      <c r="F40504">
        <v>2580006</v>
      </c>
      <c r="G40504" t="s">
        <v>4813</v>
      </c>
      <c r="H40504" s="21">
        <v>541.91999999999996</v>
      </c>
    </row>
    <row r="40505" spans="1:8" customFormat="1" x14ac:dyDescent="0.25">
      <c r="A40505" t="str">
        <f>"4436768"</f>
        <v>4436768</v>
      </c>
      <c r="B40505" t="s">
        <v>16820</v>
      </c>
      <c r="C40505" t="s">
        <v>24888</v>
      </c>
      <c r="D40505" s="21" t="s">
        <v>24820</v>
      </c>
      <c r="E40505" s="21" t="s">
        <v>71</v>
      </c>
      <c r="F40505">
        <v>12440138</v>
      </c>
      <c r="G40505" t="s">
        <v>562</v>
      </c>
      <c r="H40505" s="21">
        <v>541.91999999999996</v>
      </c>
    </row>
    <row r="40506" spans="1:8" customFormat="1" x14ac:dyDescent="0.25">
      <c r="A40506" t="str">
        <f>"7566"</f>
        <v>7566</v>
      </c>
      <c r="B40506" t="s">
        <v>7266</v>
      </c>
      <c r="C40506" t="s">
        <v>25317</v>
      </c>
      <c r="D40506" s="21" t="s">
        <v>24820</v>
      </c>
      <c r="E40506" s="21" t="s">
        <v>1089</v>
      </c>
      <c r="F40506">
        <v>9270030</v>
      </c>
      <c r="G40506" t="s">
        <v>5853</v>
      </c>
      <c r="H40506" s="21">
        <v>541.66999999999996</v>
      </c>
    </row>
    <row r="40507" spans="1:8" customFormat="1" x14ac:dyDescent="0.25">
      <c r="A40507" t="str">
        <f>"787346"</f>
        <v>787346</v>
      </c>
      <c r="B40507" t="s">
        <v>12206</v>
      </c>
      <c r="C40507" t="s">
        <v>24824</v>
      </c>
      <c r="D40507" s="21" t="s">
        <v>24820</v>
      </c>
      <c r="E40507" s="21" t="s">
        <v>71</v>
      </c>
      <c r="F40507">
        <v>8781006</v>
      </c>
      <c r="G40507" t="s">
        <v>5376</v>
      </c>
      <c r="H40507" s="21">
        <v>541.66999999999996</v>
      </c>
    </row>
    <row r="40508" spans="1:8" customFormat="1" x14ac:dyDescent="0.25">
      <c r="A40508" t="str">
        <f>"02668"</f>
        <v>02668</v>
      </c>
      <c r="B40508" t="s">
        <v>6990</v>
      </c>
      <c r="C40508" t="s">
        <v>24994</v>
      </c>
      <c r="D40508" s="21" t="s">
        <v>24820</v>
      </c>
      <c r="E40508" s="21" t="s">
        <v>71</v>
      </c>
      <c r="F40508">
        <v>7020037</v>
      </c>
      <c r="G40508" t="s">
        <v>4701</v>
      </c>
      <c r="H40508" s="21">
        <v>541.66999999999996</v>
      </c>
    </row>
    <row r="40509" spans="1:8" customFormat="1" x14ac:dyDescent="0.25">
      <c r="A40509" t="str">
        <f>"032190"</f>
        <v>032190</v>
      </c>
      <c r="B40509" t="s">
        <v>7751</v>
      </c>
      <c r="C40509" t="s">
        <v>25008</v>
      </c>
      <c r="D40509" s="21" t="s">
        <v>24820</v>
      </c>
      <c r="E40509" s="21" t="s">
        <v>71</v>
      </c>
      <c r="F40509">
        <v>1030291</v>
      </c>
      <c r="G40509" t="s">
        <v>14963</v>
      </c>
      <c r="H40509" s="21">
        <v>541.66999999999996</v>
      </c>
    </row>
    <row r="40510" spans="1:8" customFormat="1" x14ac:dyDescent="0.25">
      <c r="A40510" t="str">
        <f>"5323707"</f>
        <v>5323707</v>
      </c>
      <c r="B40510" t="s">
        <v>29807</v>
      </c>
      <c r="C40510" t="s">
        <v>24947</v>
      </c>
      <c r="D40510" s="21" t="s">
        <v>24820</v>
      </c>
      <c r="E40510" s="21" t="s">
        <v>35</v>
      </c>
      <c r="F40510">
        <v>12530098</v>
      </c>
      <c r="G40510" t="s">
        <v>8852</v>
      </c>
      <c r="H40510" s="21">
        <v>541.41999999999996</v>
      </c>
    </row>
    <row r="40511" spans="1:8" customFormat="1" x14ac:dyDescent="0.25">
      <c r="A40511" t="str">
        <f>"0610352"</f>
        <v>0610352</v>
      </c>
      <c r="B40511" t="s">
        <v>25632</v>
      </c>
      <c r="C40511" t="s">
        <v>24958</v>
      </c>
      <c r="D40511" s="21" t="s">
        <v>24820</v>
      </c>
      <c r="E40511" s="21" t="s">
        <v>254</v>
      </c>
      <c r="F40511">
        <v>13060008</v>
      </c>
      <c r="G40511" t="s">
        <v>36</v>
      </c>
      <c r="H40511" s="21">
        <v>541.38</v>
      </c>
    </row>
    <row r="40512" spans="1:8" customFormat="1" x14ac:dyDescent="0.25">
      <c r="A40512" t="str">
        <f>"179042"</f>
        <v>179042</v>
      </c>
      <c r="B40512" t="s">
        <v>25640</v>
      </c>
      <c r="C40512" t="s">
        <v>24833</v>
      </c>
      <c r="D40512" s="21" t="s">
        <v>24820</v>
      </c>
      <c r="E40512" s="21" t="s">
        <v>71</v>
      </c>
      <c r="F40512">
        <v>11820032</v>
      </c>
      <c r="G40512" t="s">
        <v>14258</v>
      </c>
      <c r="H40512" s="21">
        <v>540.66999999999996</v>
      </c>
    </row>
    <row r="40513" spans="1:8" customFormat="1" x14ac:dyDescent="0.25">
      <c r="A40513" t="str">
        <f>"4439546"</f>
        <v>4439546</v>
      </c>
      <c r="B40513" t="s">
        <v>17378</v>
      </c>
      <c r="C40513" t="s">
        <v>25313</v>
      </c>
      <c r="D40513" s="21" t="s">
        <v>24820</v>
      </c>
      <c r="E40513" s="21" t="s">
        <v>71</v>
      </c>
      <c r="F40513">
        <v>12440199</v>
      </c>
      <c r="G40513" t="s">
        <v>4653</v>
      </c>
      <c r="H40513" s="21">
        <v>540.16999999999996</v>
      </c>
    </row>
    <row r="40514" spans="1:8" customFormat="1" x14ac:dyDescent="0.25">
      <c r="A40514" t="str">
        <f>"2933043"</f>
        <v>2933043</v>
      </c>
      <c r="B40514" t="s">
        <v>8687</v>
      </c>
      <c r="C40514" t="s">
        <v>25439</v>
      </c>
      <c r="D40514" s="21" t="s">
        <v>24820</v>
      </c>
      <c r="E40514" s="21" t="s">
        <v>71</v>
      </c>
      <c r="F40514">
        <v>3290081</v>
      </c>
      <c r="G40514" t="s">
        <v>3819</v>
      </c>
      <c r="H40514" s="21">
        <v>540.16999999999996</v>
      </c>
    </row>
    <row r="40515" spans="1:8" customFormat="1" x14ac:dyDescent="0.25">
      <c r="A40515" t="str">
        <f>"2721396"</f>
        <v>2721396</v>
      </c>
      <c r="B40515" t="s">
        <v>11423</v>
      </c>
      <c r="C40515" t="s">
        <v>24828</v>
      </c>
      <c r="D40515" s="21" t="s">
        <v>24820</v>
      </c>
      <c r="E40515" s="21" t="s">
        <v>35</v>
      </c>
      <c r="F40515">
        <v>9270152</v>
      </c>
      <c r="G40515" t="s">
        <v>1985</v>
      </c>
      <c r="H40515" s="21">
        <v>540</v>
      </c>
    </row>
    <row r="40516" spans="1:8" customFormat="1" x14ac:dyDescent="0.25">
      <c r="A40516" t="str">
        <f>"3818915"</f>
        <v>3818915</v>
      </c>
      <c r="B40516" t="s">
        <v>7586</v>
      </c>
      <c r="C40516" t="s">
        <v>25136</v>
      </c>
      <c r="D40516" s="21" t="s">
        <v>24820</v>
      </c>
      <c r="E40516" s="21" t="s">
        <v>71</v>
      </c>
      <c r="F40516">
        <v>1380236</v>
      </c>
      <c r="G40516" t="s">
        <v>2876</v>
      </c>
      <c r="H40516" s="21">
        <v>539.66999999999996</v>
      </c>
    </row>
    <row r="40517" spans="1:8" customFormat="1" x14ac:dyDescent="0.25">
      <c r="A40517" t="str">
        <f>"8611664"</f>
        <v>8611664</v>
      </c>
      <c r="B40517" t="s">
        <v>19125</v>
      </c>
      <c r="C40517" t="s">
        <v>24897</v>
      </c>
      <c r="D40517" s="21" t="s">
        <v>24820</v>
      </c>
      <c r="E40517" s="21" t="s">
        <v>35</v>
      </c>
      <c r="F40517">
        <v>10860017</v>
      </c>
      <c r="G40517" t="s">
        <v>2439</v>
      </c>
      <c r="H40517" s="21">
        <v>539.41999999999996</v>
      </c>
    </row>
    <row r="40518" spans="1:8" customFormat="1" x14ac:dyDescent="0.25">
      <c r="A40518" t="str">
        <f>"364575"</f>
        <v>364575</v>
      </c>
      <c r="B40518" t="s">
        <v>17429</v>
      </c>
      <c r="C40518" t="s">
        <v>24968</v>
      </c>
      <c r="D40518" s="21" t="s">
        <v>24820</v>
      </c>
      <c r="E40518" s="21" t="s">
        <v>71</v>
      </c>
      <c r="F40518">
        <v>4360315</v>
      </c>
      <c r="G40518" t="s">
        <v>6888</v>
      </c>
      <c r="H40518" s="21">
        <v>538.91999999999996</v>
      </c>
    </row>
    <row r="40519" spans="1:8" customFormat="1" x14ac:dyDescent="0.25">
      <c r="A40519" t="str">
        <f>"7631711"</f>
        <v>7631711</v>
      </c>
      <c r="B40519" t="s">
        <v>20857</v>
      </c>
      <c r="C40519" t="s">
        <v>24893</v>
      </c>
      <c r="D40519" s="21" t="s">
        <v>24820</v>
      </c>
      <c r="E40519" s="21" t="s">
        <v>35</v>
      </c>
      <c r="F40519">
        <v>9760379</v>
      </c>
      <c r="G40519" t="s">
        <v>18639</v>
      </c>
      <c r="H40519" s="21">
        <v>538.66999999999996</v>
      </c>
    </row>
    <row r="40520" spans="1:8" customFormat="1" x14ac:dyDescent="0.25">
      <c r="A40520" t="str">
        <f>"2515159"</f>
        <v>2515159</v>
      </c>
      <c r="B40520" t="s">
        <v>6161</v>
      </c>
      <c r="C40520" t="s">
        <v>24890</v>
      </c>
      <c r="D40520" s="21" t="s">
        <v>24820</v>
      </c>
      <c r="E40520" s="21" t="s">
        <v>254</v>
      </c>
      <c r="F40520">
        <v>2250110</v>
      </c>
      <c r="G40520" t="s">
        <v>9363</v>
      </c>
      <c r="H40520" s="21">
        <v>538.66999999999996</v>
      </c>
    </row>
    <row r="40521" spans="1:8" customFormat="1" x14ac:dyDescent="0.25">
      <c r="A40521" t="str">
        <f>"3824676"</f>
        <v>3824676</v>
      </c>
      <c r="B40521" t="s">
        <v>2854</v>
      </c>
      <c r="C40521" t="s">
        <v>24824</v>
      </c>
      <c r="D40521" s="21" t="s">
        <v>24820</v>
      </c>
      <c r="E40521" s="21" t="s">
        <v>1089</v>
      </c>
      <c r="F40521">
        <v>1380157</v>
      </c>
      <c r="G40521" t="s">
        <v>9044</v>
      </c>
      <c r="H40521" s="21">
        <v>538.66999999999996</v>
      </c>
    </row>
    <row r="40522" spans="1:8" customFormat="1" x14ac:dyDescent="0.25">
      <c r="A40522" t="str">
        <f>"3337003"</f>
        <v>3337003</v>
      </c>
      <c r="B40522" t="s">
        <v>19106</v>
      </c>
      <c r="C40522" t="s">
        <v>23734</v>
      </c>
      <c r="D40522" s="21" t="s">
        <v>24820</v>
      </c>
      <c r="E40522" s="21" t="s">
        <v>71</v>
      </c>
      <c r="F40522">
        <v>10330030</v>
      </c>
      <c r="G40522" t="s">
        <v>2990</v>
      </c>
      <c r="H40522" s="21">
        <v>538.41999999999996</v>
      </c>
    </row>
    <row r="40523" spans="1:8" customFormat="1" x14ac:dyDescent="0.25">
      <c r="A40523" t="str">
        <f>"7215473"</f>
        <v>7215473</v>
      </c>
      <c r="B40523" t="s">
        <v>9928</v>
      </c>
      <c r="C40523" t="s">
        <v>24896</v>
      </c>
      <c r="D40523" s="21" t="s">
        <v>24820</v>
      </c>
      <c r="E40523" s="21" t="s">
        <v>254</v>
      </c>
      <c r="F40523">
        <v>12720056</v>
      </c>
      <c r="G40523" t="s">
        <v>9231</v>
      </c>
      <c r="H40523" s="21">
        <v>538.16999999999996</v>
      </c>
    </row>
    <row r="40524" spans="1:8" customFormat="1" x14ac:dyDescent="0.25">
      <c r="A40524" t="str">
        <f>"3726012"</f>
        <v>3726012</v>
      </c>
      <c r="B40524" t="s">
        <v>3237</v>
      </c>
      <c r="C40524" t="s">
        <v>24915</v>
      </c>
      <c r="D40524" s="21" t="s">
        <v>24820</v>
      </c>
      <c r="E40524" s="21" t="s">
        <v>35</v>
      </c>
      <c r="F40524">
        <v>4370269</v>
      </c>
      <c r="G40524" t="s">
        <v>4277</v>
      </c>
      <c r="H40524" s="21">
        <v>538.16999999999996</v>
      </c>
    </row>
    <row r="40525" spans="1:8" customFormat="1" x14ac:dyDescent="0.25">
      <c r="A40525" t="str">
        <f>"7110727"</f>
        <v>7110727</v>
      </c>
      <c r="B40525" t="s">
        <v>1081</v>
      </c>
      <c r="C40525" t="s">
        <v>24867</v>
      </c>
      <c r="D40525" s="21" t="s">
        <v>24820</v>
      </c>
      <c r="E40525" s="21" t="s">
        <v>35</v>
      </c>
      <c r="F40525">
        <v>2710025</v>
      </c>
      <c r="G40525" t="s">
        <v>2719</v>
      </c>
      <c r="H40525" s="21">
        <v>538</v>
      </c>
    </row>
    <row r="40526" spans="1:8" customFormat="1" x14ac:dyDescent="0.25">
      <c r="A40526" t="str">
        <f>"5111788"</f>
        <v>5111788</v>
      </c>
      <c r="B40526" t="s">
        <v>4834</v>
      </c>
      <c r="C40526" t="s">
        <v>24854</v>
      </c>
      <c r="D40526" s="21" t="s">
        <v>24820</v>
      </c>
      <c r="E40526" s="21" t="s">
        <v>35</v>
      </c>
      <c r="F40526">
        <v>6510110</v>
      </c>
      <c r="G40526" t="s">
        <v>9011</v>
      </c>
      <c r="H40526" s="21">
        <v>537.66999999999996</v>
      </c>
    </row>
    <row r="40527" spans="1:8" customFormat="1" x14ac:dyDescent="0.25">
      <c r="A40527" t="str">
        <f>"6934219"</f>
        <v>6934219</v>
      </c>
      <c r="B40527" t="s">
        <v>25532</v>
      </c>
      <c r="C40527" t="s">
        <v>25104</v>
      </c>
      <c r="D40527" s="21" t="s">
        <v>24820</v>
      </c>
      <c r="E40527" s="21" t="s">
        <v>35</v>
      </c>
      <c r="F40527">
        <v>1690150</v>
      </c>
      <c r="G40527" t="s">
        <v>19630</v>
      </c>
      <c r="H40527" s="21">
        <v>537.66999999999996</v>
      </c>
    </row>
    <row r="40528" spans="1:8" customFormat="1" x14ac:dyDescent="0.25">
      <c r="A40528" t="str">
        <f>"384579"</f>
        <v>384579</v>
      </c>
      <c r="B40528" t="s">
        <v>23798</v>
      </c>
      <c r="C40528" t="s">
        <v>25151</v>
      </c>
      <c r="D40528" s="21" t="s">
        <v>24820</v>
      </c>
      <c r="E40528" s="21" t="s">
        <v>71</v>
      </c>
      <c r="F40528">
        <v>1380225</v>
      </c>
      <c r="G40528" t="s">
        <v>4441</v>
      </c>
      <c r="H40528" s="21">
        <v>537.66999999999996</v>
      </c>
    </row>
    <row r="40529" spans="1:8" customFormat="1" x14ac:dyDescent="0.25">
      <c r="A40529" t="str">
        <f>"4923674"</f>
        <v>4923674</v>
      </c>
      <c r="B40529" t="s">
        <v>3000</v>
      </c>
      <c r="C40529" t="s">
        <v>24906</v>
      </c>
      <c r="D40529" s="21" t="s">
        <v>24820</v>
      </c>
      <c r="E40529" s="21" t="s">
        <v>71</v>
      </c>
      <c r="F40529">
        <v>12490027</v>
      </c>
      <c r="G40529" t="s">
        <v>766</v>
      </c>
      <c r="H40529" s="21">
        <v>537.54</v>
      </c>
    </row>
    <row r="40530" spans="1:8" customFormat="1" x14ac:dyDescent="0.25">
      <c r="A40530" t="str">
        <f>"6019847"</f>
        <v>6019847</v>
      </c>
      <c r="B40530" t="s">
        <v>26126</v>
      </c>
      <c r="C40530" t="s">
        <v>24883</v>
      </c>
      <c r="D40530" s="21" t="s">
        <v>24820</v>
      </c>
      <c r="E40530" s="21" t="s">
        <v>35</v>
      </c>
      <c r="F40530">
        <v>11460021</v>
      </c>
      <c r="G40530" t="s">
        <v>6727</v>
      </c>
      <c r="H40530" s="21">
        <v>537.5</v>
      </c>
    </row>
    <row r="40531" spans="1:8" customFormat="1" x14ac:dyDescent="0.25">
      <c r="A40531" t="str">
        <f>"6945734"</f>
        <v>6945734</v>
      </c>
      <c r="B40531" t="s">
        <v>17974</v>
      </c>
      <c r="C40531" t="s">
        <v>24951</v>
      </c>
      <c r="D40531" s="21" t="s">
        <v>24820</v>
      </c>
      <c r="E40531" s="21" t="s">
        <v>35</v>
      </c>
      <c r="F40531">
        <v>1690218</v>
      </c>
      <c r="G40531" t="s">
        <v>3637</v>
      </c>
      <c r="H40531" s="21">
        <v>537.16999999999996</v>
      </c>
    </row>
    <row r="40532" spans="1:8" customFormat="1" x14ac:dyDescent="0.25">
      <c r="A40532" t="str">
        <f>"9535062"</f>
        <v>9535062</v>
      </c>
      <c r="B40532" t="s">
        <v>25428</v>
      </c>
      <c r="C40532" t="s">
        <v>23734</v>
      </c>
      <c r="D40532" s="21" t="s">
        <v>24820</v>
      </c>
      <c r="E40532" s="21" t="s">
        <v>35</v>
      </c>
      <c r="F40532">
        <v>8950129</v>
      </c>
      <c r="G40532" t="s">
        <v>10701</v>
      </c>
      <c r="H40532" s="21">
        <v>537.04</v>
      </c>
    </row>
    <row r="40533" spans="1:8" customFormat="1" x14ac:dyDescent="0.25">
      <c r="A40533" t="str">
        <f>"4451645"</f>
        <v>4451645</v>
      </c>
      <c r="B40533" t="s">
        <v>14827</v>
      </c>
      <c r="C40533" t="s">
        <v>24939</v>
      </c>
      <c r="D40533" s="21" t="s">
        <v>24820</v>
      </c>
      <c r="E40533" s="21" t="s">
        <v>71</v>
      </c>
      <c r="F40533">
        <v>12440239</v>
      </c>
      <c r="G40533" t="s">
        <v>11158</v>
      </c>
      <c r="H40533" s="21">
        <v>536.66999999999996</v>
      </c>
    </row>
    <row r="40534" spans="1:8" customFormat="1" x14ac:dyDescent="0.25">
      <c r="A40534" t="str">
        <f>"0610195"</f>
        <v>0610195</v>
      </c>
      <c r="B40534" t="s">
        <v>8129</v>
      </c>
      <c r="C40534" t="s">
        <v>25514</v>
      </c>
      <c r="D40534" s="21" t="s">
        <v>24820</v>
      </c>
      <c r="E40534" s="21" t="s">
        <v>71</v>
      </c>
      <c r="F40534">
        <v>13060063</v>
      </c>
      <c r="G40534" t="s">
        <v>2001</v>
      </c>
      <c r="H40534" s="21">
        <v>536.16999999999996</v>
      </c>
    </row>
    <row r="40535" spans="1:8" customFormat="1" x14ac:dyDescent="0.25">
      <c r="A40535" t="str">
        <f>"6313463"</f>
        <v>6313463</v>
      </c>
      <c r="B40535" t="s">
        <v>25528</v>
      </c>
      <c r="C40535" t="s">
        <v>24926</v>
      </c>
      <c r="D40535" s="21" t="s">
        <v>24820</v>
      </c>
      <c r="E40535" s="21" t="s">
        <v>35</v>
      </c>
      <c r="F40535">
        <v>1630322</v>
      </c>
      <c r="G40535" t="s">
        <v>13419</v>
      </c>
      <c r="H40535" s="21">
        <v>536.16999999999996</v>
      </c>
    </row>
    <row r="40536" spans="1:8" customFormat="1" x14ac:dyDescent="0.25">
      <c r="A40536" t="str">
        <f>"027549"</f>
        <v>027549</v>
      </c>
      <c r="B40536" t="s">
        <v>2883</v>
      </c>
      <c r="C40536" t="s">
        <v>24994</v>
      </c>
      <c r="D40536" s="21" t="s">
        <v>24820</v>
      </c>
      <c r="E40536" s="21" t="s">
        <v>254</v>
      </c>
      <c r="F40536">
        <v>7020003</v>
      </c>
      <c r="G40536" t="s">
        <v>7268</v>
      </c>
      <c r="H40536" s="21">
        <v>536</v>
      </c>
    </row>
    <row r="40537" spans="1:8" customFormat="1" x14ac:dyDescent="0.25">
      <c r="A40537" t="str">
        <f>"491859"</f>
        <v>491859</v>
      </c>
      <c r="B40537" t="s">
        <v>5079</v>
      </c>
      <c r="C40537" t="s">
        <v>25569</v>
      </c>
      <c r="D40537" s="21" t="s">
        <v>24820</v>
      </c>
      <c r="E40537" s="21" t="s">
        <v>35</v>
      </c>
      <c r="F40537">
        <v>12490080</v>
      </c>
      <c r="G40537" t="s">
        <v>5692</v>
      </c>
      <c r="H40537" s="21">
        <v>535.66999999999996</v>
      </c>
    </row>
    <row r="40538" spans="1:8" customFormat="1" x14ac:dyDescent="0.25">
      <c r="A40538" t="str">
        <f>"7218855"</f>
        <v>7218855</v>
      </c>
      <c r="B40538" t="s">
        <v>1087</v>
      </c>
      <c r="C40538" t="s">
        <v>25068</v>
      </c>
      <c r="D40538" s="21" t="s">
        <v>24820</v>
      </c>
      <c r="E40538" s="21" t="s">
        <v>35</v>
      </c>
      <c r="F40538">
        <v>12720029</v>
      </c>
      <c r="G40538" t="s">
        <v>11575</v>
      </c>
      <c r="H40538" s="21">
        <v>535.5</v>
      </c>
    </row>
    <row r="40539" spans="1:8" customFormat="1" x14ac:dyDescent="0.25">
      <c r="A40539" t="str">
        <f>"6938559"</f>
        <v>6938559</v>
      </c>
      <c r="B40539" t="s">
        <v>25838</v>
      </c>
      <c r="C40539" t="s">
        <v>24952</v>
      </c>
      <c r="D40539" s="21" t="s">
        <v>24820</v>
      </c>
      <c r="E40539" s="21" t="s">
        <v>71</v>
      </c>
      <c r="F40539">
        <v>1690218</v>
      </c>
      <c r="G40539" t="s">
        <v>3637</v>
      </c>
      <c r="H40539" s="21">
        <v>534.66999999999996</v>
      </c>
    </row>
    <row r="40540" spans="1:8" customFormat="1" x14ac:dyDescent="0.25">
      <c r="A40540" t="str">
        <f>"7218676"</f>
        <v>7218676</v>
      </c>
      <c r="B40540" t="s">
        <v>8099</v>
      </c>
      <c r="C40540" t="s">
        <v>22831</v>
      </c>
      <c r="D40540" s="21" t="s">
        <v>24820</v>
      </c>
      <c r="E40540" s="21" t="s">
        <v>71</v>
      </c>
      <c r="F40540">
        <v>12720020</v>
      </c>
      <c r="G40540" t="s">
        <v>8402</v>
      </c>
      <c r="H40540" s="21">
        <v>534.66999999999996</v>
      </c>
    </row>
    <row r="40541" spans="1:8" customFormat="1" x14ac:dyDescent="0.25">
      <c r="A40541" t="str">
        <f>"626949"</f>
        <v>626949</v>
      </c>
      <c r="B40541" t="s">
        <v>1103</v>
      </c>
      <c r="C40541" t="s">
        <v>24831</v>
      </c>
      <c r="D40541" s="21" t="s">
        <v>24820</v>
      </c>
      <c r="E40541" s="21" t="s">
        <v>35</v>
      </c>
      <c r="F40541">
        <v>7620037</v>
      </c>
      <c r="G40541" t="s">
        <v>13227</v>
      </c>
      <c r="H40541" s="21">
        <v>534.16999999999996</v>
      </c>
    </row>
    <row r="40542" spans="1:8" customFormat="1" x14ac:dyDescent="0.25">
      <c r="A40542" t="str">
        <f>"2719204"</f>
        <v>2719204</v>
      </c>
      <c r="B40542" t="s">
        <v>146</v>
      </c>
      <c r="C40542" t="s">
        <v>24833</v>
      </c>
      <c r="D40542" s="21" t="s">
        <v>24820</v>
      </c>
      <c r="E40542" s="21" t="s">
        <v>35</v>
      </c>
      <c r="F40542">
        <v>9270097</v>
      </c>
      <c r="G40542" t="s">
        <v>9759</v>
      </c>
      <c r="H40542" s="21">
        <v>533.79</v>
      </c>
    </row>
    <row r="40543" spans="1:8" customFormat="1" x14ac:dyDescent="0.25">
      <c r="A40543" t="str">
        <f>"3531040"</f>
        <v>3531040</v>
      </c>
      <c r="B40543" t="s">
        <v>28152</v>
      </c>
      <c r="C40543" t="s">
        <v>25019</v>
      </c>
      <c r="D40543" s="21" t="s">
        <v>24820</v>
      </c>
      <c r="E40543" s="21" t="s">
        <v>35</v>
      </c>
      <c r="F40543">
        <v>3350022</v>
      </c>
      <c r="G40543" t="s">
        <v>1287</v>
      </c>
      <c r="H40543" s="21">
        <v>533.79</v>
      </c>
    </row>
    <row r="40544" spans="1:8" customFormat="1" x14ac:dyDescent="0.25">
      <c r="A40544" t="str">
        <f>"2924606"</f>
        <v>2924606</v>
      </c>
      <c r="B40544" t="s">
        <v>25504</v>
      </c>
      <c r="C40544" t="s">
        <v>24968</v>
      </c>
      <c r="D40544" s="21" t="s">
        <v>24820</v>
      </c>
      <c r="E40544" s="21" t="s">
        <v>35</v>
      </c>
      <c r="F40544">
        <v>3290203</v>
      </c>
      <c r="G40544" t="s">
        <v>9395</v>
      </c>
      <c r="H40544" s="21">
        <v>533.66999999999996</v>
      </c>
    </row>
    <row r="40545" spans="1:8" customFormat="1" x14ac:dyDescent="0.25">
      <c r="A40545" t="str">
        <f>"8019011"</f>
        <v>8019011</v>
      </c>
      <c r="B40545" t="s">
        <v>2690</v>
      </c>
      <c r="C40545" t="s">
        <v>25552</v>
      </c>
      <c r="D40545" s="21" t="s">
        <v>24820</v>
      </c>
      <c r="E40545" s="21" t="s">
        <v>35</v>
      </c>
      <c r="F40545">
        <v>7800102</v>
      </c>
      <c r="G40545" t="s">
        <v>1148</v>
      </c>
      <c r="H40545" s="21">
        <v>533.66999999999996</v>
      </c>
    </row>
    <row r="40546" spans="1:8" customFormat="1" x14ac:dyDescent="0.25">
      <c r="A40546" t="str">
        <f>"0114117"</f>
        <v>0114117</v>
      </c>
      <c r="B40546" t="s">
        <v>25486</v>
      </c>
      <c r="C40546" t="s">
        <v>23734</v>
      </c>
      <c r="D40546" s="21" t="s">
        <v>24820</v>
      </c>
      <c r="E40546" s="21" t="s">
        <v>35</v>
      </c>
      <c r="F40546">
        <v>1010020</v>
      </c>
      <c r="G40546" t="s">
        <v>6121</v>
      </c>
      <c r="H40546" s="21">
        <v>533.66999999999996</v>
      </c>
    </row>
    <row r="40547" spans="1:8" customFormat="1" x14ac:dyDescent="0.25">
      <c r="A40547" t="str">
        <f>"307740"</f>
        <v>307740</v>
      </c>
      <c r="B40547" t="s">
        <v>27477</v>
      </c>
      <c r="C40547" t="s">
        <v>25056</v>
      </c>
      <c r="D40547" s="21" t="s">
        <v>24820</v>
      </c>
      <c r="E40547" s="21" t="s">
        <v>71</v>
      </c>
      <c r="F40547">
        <v>11300016</v>
      </c>
      <c r="G40547" t="s">
        <v>157</v>
      </c>
      <c r="H40547" s="21">
        <v>533.66999999999996</v>
      </c>
    </row>
    <row r="40548" spans="1:8" customFormat="1" x14ac:dyDescent="0.25">
      <c r="A40548" t="str">
        <f>"3727518"</f>
        <v>3727518</v>
      </c>
      <c r="B40548" t="s">
        <v>1347</v>
      </c>
      <c r="C40548" t="s">
        <v>25688</v>
      </c>
      <c r="D40548" s="21" t="s">
        <v>24820</v>
      </c>
      <c r="E40548" s="21" t="s">
        <v>35</v>
      </c>
      <c r="F40548">
        <v>4370596</v>
      </c>
      <c r="G40548" t="s">
        <v>9270</v>
      </c>
      <c r="H40548" s="21">
        <v>533.41999999999996</v>
      </c>
    </row>
    <row r="40549" spans="1:8" customFormat="1" x14ac:dyDescent="0.25">
      <c r="A40549" t="str">
        <f>"3727141"</f>
        <v>3727141</v>
      </c>
      <c r="B40549" t="s">
        <v>1393</v>
      </c>
      <c r="C40549" t="s">
        <v>22831</v>
      </c>
      <c r="D40549" s="21" t="s">
        <v>24820</v>
      </c>
      <c r="E40549" s="21" t="s">
        <v>71</v>
      </c>
      <c r="F40549">
        <v>4370002</v>
      </c>
      <c r="G40549" t="s">
        <v>112</v>
      </c>
      <c r="H40549" s="21">
        <v>533.25</v>
      </c>
    </row>
    <row r="40550" spans="1:8" customFormat="1" x14ac:dyDescent="0.25">
      <c r="A40550" t="str">
        <f>"6317152"</f>
        <v>6317152</v>
      </c>
      <c r="B40550" t="s">
        <v>23499</v>
      </c>
      <c r="C40550" t="s">
        <v>24904</v>
      </c>
      <c r="D40550" s="21" t="s">
        <v>24820</v>
      </c>
      <c r="E40550" s="21" t="s">
        <v>35</v>
      </c>
      <c r="F40550">
        <v>1630308</v>
      </c>
      <c r="G40550" t="s">
        <v>8083</v>
      </c>
      <c r="H40550" s="21">
        <v>533</v>
      </c>
    </row>
    <row r="40551" spans="1:8" customFormat="1" x14ac:dyDescent="0.25">
      <c r="A40551" t="str">
        <f>"2938625"</f>
        <v>2938625</v>
      </c>
      <c r="B40551" t="s">
        <v>6307</v>
      </c>
      <c r="C40551" t="s">
        <v>25200</v>
      </c>
      <c r="D40551" s="21" t="s">
        <v>24820</v>
      </c>
      <c r="E40551" s="21" t="s">
        <v>71</v>
      </c>
      <c r="F40551">
        <v>3290215</v>
      </c>
      <c r="G40551" t="s">
        <v>5058</v>
      </c>
      <c r="H40551" s="21">
        <v>532.66999999999996</v>
      </c>
    </row>
    <row r="40552" spans="1:8" customFormat="1" x14ac:dyDescent="0.25">
      <c r="A40552" t="str">
        <f>"6316093"</f>
        <v>6316093</v>
      </c>
      <c r="B40552" t="s">
        <v>29808</v>
      </c>
      <c r="C40552" t="s">
        <v>24947</v>
      </c>
      <c r="D40552" s="21" t="s">
        <v>24820</v>
      </c>
      <c r="E40552" s="21" t="s">
        <v>35</v>
      </c>
      <c r="F40552">
        <v>1630015</v>
      </c>
      <c r="G40552" t="s">
        <v>2097</v>
      </c>
      <c r="H40552" s="21">
        <v>532.62</v>
      </c>
    </row>
    <row r="40553" spans="1:8" customFormat="1" x14ac:dyDescent="0.25">
      <c r="A40553" t="str">
        <f>"2719328"</f>
        <v>2719328</v>
      </c>
      <c r="B40553" t="s">
        <v>4162</v>
      </c>
      <c r="C40553" t="s">
        <v>25200</v>
      </c>
      <c r="D40553" s="21" t="s">
        <v>24820</v>
      </c>
      <c r="E40553" s="21" t="s">
        <v>71</v>
      </c>
      <c r="F40553">
        <v>9270095</v>
      </c>
      <c r="G40553" t="s">
        <v>1681</v>
      </c>
      <c r="H40553" s="21">
        <v>532.04</v>
      </c>
    </row>
    <row r="40554" spans="1:8" customFormat="1" x14ac:dyDescent="0.25">
      <c r="A40554" t="str">
        <f>"7639285"</f>
        <v>7639285</v>
      </c>
      <c r="B40554" t="s">
        <v>25586</v>
      </c>
      <c r="C40554" t="s">
        <v>24836</v>
      </c>
      <c r="D40554" s="21" t="s">
        <v>24820</v>
      </c>
      <c r="E40554" s="21" t="s">
        <v>35</v>
      </c>
      <c r="F40554">
        <v>9760018</v>
      </c>
      <c r="G40554" t="s">
        <v>117</v>
      </c>
      <c r="H40554" s="21">
        <v>531.66999999999996</v>
      </c>
    </row>
    <row r="40555" spans="1:8" customFormat="1" x14ac:dyDescent="0.25">
      <c r="A40555" t="str">
        <f>"7222483"</f>
        <v>7222483</v>
      </c>
      <c r="B40555" t="s">
        <v>25526</v>
      </c>
      <c r="C40555" t="s">
        <v>24877</v>
      </c>
      <c r="D40555" s="21" t="s">
        <v>24820</v>
      </c>
      <c r="E40555" s="21" t="s">
        <v>71</v>
      </c>
      <c r="F40555">
        <v>12720104</v>
      </c>
      <c r="G40555" t="s">
        <v>224</v>
      </c>
      <c r="H40555" s="21">
        <v>531.16999999999996</v>
      </c>
    </row>
    <row r="40556" spans="1:8" customFormat="1" x14ac:dyDescent="0.25">
      <c r="A40556" t="str">
        <f>"7635252"</f>
        <v>7635252</v>
      </c>
      <c r="B40556" t="s">
        <v>2962</v>
      </c>
      <c r="C40556" t="s">
        <v>263</v>
      </c>
      <c r="D40556" s="21" t="s">
        <v>24820</v>
      </c>
      <c r="E40556" s="21" t="s">
        <v>254</v>
      </c>
      <c r="F40556">
        <v>9760012</v>
      </c>
      <c r="G40556" t="s">
        <v>17233</v>
      </c>
      <c r="H40556" s="21">
        <v>531.16999999999996</v>
      </c>
    </row>
    <row r="40557" spans="1:8" customFormat="1" x14ac:dyDescent="0.25">
      <c r="A40557" t="str">
        <f>"5326417"</f>
        <v>5326417</v>
      </c>
      <c r="B40557" t="s">
        <v>7407</v>
      </c>
      <c r="C40557" t="s">
        <v>24865</v>
      </c>
      <c r="D40557" s="21" t="s">
        <v>24820</v>
      </c>
      <c r="E40557" s="21" t="s">
        <v>71</v>
      </c>
      <c r="F40557">
        <v>12530016</v>
      </c>
      <c r="G40557" t="s">
        <v>2069</v>
      </c>
      <c r="H40557" s="21">
        <v>531</v>
      </c>
    </row>
    <row r="40558" spans="1:8" customFormat="1" x14ac:dyDescent="0.25">
      <c r="A40558" t="str">
        <f>"7413830"</f>
        <v>7413830</v>
      </c>
      <c r="B40558" t="s">
        <v>25668</v>
      </c>
      <c r="C40558" t="s">
        <v>24883</v>
      </c>
      <c r="D40558" s="21" t="s">
        <v>24820</v>
      </c>
      <c r="E40558" s="21" t="s">
        <v>35</v>
      </c>
      <c r="F40558">
        <v>1740069</v>
      </c>
      <c r="G40558" t="s">
        <v>8151</v>
      </c>
      <c r="H40558" s="21">
        <v>530.66999999999996</v>
      </c>
    </row>
    <row r="40559" spans="1:8" customFormat="1" x14ac:dyDescent="0.25">
      <c r="A40559" t="str">
        <f>"7846545"</f>
        <v>7846545</v>
      </c>
      <c r="B40559" t="s">
        <v>4574</v>
      </c>
      <c r="C40559" t="s">
        <v>24962</v>
      </c>
      <c r="D40559" s="21" t="s">
        <v>24820</v>
      </c>
      <c r="E40559" s="21" t="s">
        <v>71</v>
      </c>
      <c r="F40559">
        <v>8781176</v>
      </c>
      <c r="G40559" t="s">
        <v>3659</v>
      </c>
      <c r="H40559" s="21">
        <v>530.66999999999996</v>
      </c>
    </row>
    <row r="40560" spans="1:8" customFormat="1" x14ac:dyDescent="0.25">
      <c r="A40560" t="str">
        <f>"6228193"</f>
        <v>6228193</v>
      </c>
      <c r="B40560" t="s">
        <v>23328</v>
      </c>
      <c r="C40560" t="s">
        <v>23734</v>
      </c>
      <c r="D40560" s="21" t="s">
        <v>24820</v>
      </c>
      <c r="E40560" s="21" t="s">
        <v>71</v>
      </c>
      <c r="F40560">
        <v>7620042</v>
      </c>
      <c r="G40560" t="s">
        <v>8102</v>
      </c>
      <c r="H40560" s="21">
        <v>530.66999999999996</v>
      </c>
    </row>
    <row r="40561" spans="1:8" customFormat="1" x14ac:dyDescent="0.25">
      <c r="A40561" t="str">
        <f>"3723249"</f>
        <v>3723249</v>
      </c>
      <c r="B40561" t="s">
        <v>2054</v>
      </c>
      <c r="C40561" t="s">
        <v>22831</v>
      </c>
      <c r="D40561" s="21" t="s">
        <v>24820</v>
      </c>
      <c r="E40561" s="21" t="s">
        <v>35</v>
      </c>
      <c r="F40561">
        <v>4370024</v>
      </c>
      <c r="G40561" t="s">
        <v>1718</v>
      </c>
      <c r="H40561" s="21">
        <v>530.66999999999996</v>
      </c>
    </row>
    <row r="40562" spans="1:8" customFormat="1" x14ac:dyDescent="0.25">
      <c r="A40562" t="str">
        <f>"5429381"</f>
        <v>5429381</v>
      </c>
      <c r="B40562" t="s">
        <v>1986</v>
      </c>
      <c r="C40562" t="s">
        <v>25124</v>
      </c>
      <c r="D40562" s="21" t="s">
        <v>24820</v>
      </c>
      <c r="E40562" s="21" t="s">
        <v>35</v>
      </c>
      <c r="F40562">
        <v>6540128</v>
      </c>
      <c r="G40562" t="s">
        <v>1249</v>
      </c>
      <c r="H40562" s="21">
        <v>530.66999999999996</v>
      </c>
    </row>
    <row r="40563" spans="1:8" customFormat="1" x14ac:dyDescent="0.25">
      <c r="A40563" t="str">
        <f>"2913076"</f>
        <v>2913076</v>
      </c>
      <c r="B40563" t="s">
        <v>2134</v>
      </c>
      <c r="C40563" t="s">
        <v>24906</v>
      </c>
      <c r="D40563" s="21" t="s">
        <v>24820</v>
      </c>
      <c r="E40563" s="21" t="s">
        <v>254</v>
      </c>
      <c r="F40563">
        <v>3290047</v>
      </c>
      <c r="G40563" t="s">
        <v>2874</v>
      </c>
      <c r="H40563" s="21">
        <v>530.66999999999996</v>
      </c>
    </row>
    <row r="40564" spans="1:8" customFormat="1" x14ac:dyDescent="0.25">
      <c r="A40564" t="str">
        <f>"0811899"</f>
        <v>0811899</v>
      </c>
      <c r="B40564" t="s">
        <v>29809</v>
      </c>
      <c r="C40564" t="s">
        <v>24947</v>
      </c>
      <c r="D40564" s="21" t="s">
        <v>24820</v>
      </c>
      <c r="E40564" s="21" t="s">
        <v>35</v>
      </c>
      <c r="F40564">
        <v>7620063</v>
      </c>
      <c r="G40564" t="s">
        <v>1889</v>
      </c>
      <c r="H40564" s="21">
        <v>530.5</v>
      </c>
    </row>
    <row r="40565" spans="1:8" customFormat="1" x14ac:dyDescent="0.25">
      <c r="A40565" t="str">
        <f>"745928"</f>
        <v>745928</v>
      </c>
      <c r="B40565" t="s">
        <v>16089</v>
      </c>
      <c r="C40565" t="s">
        <v>24952</v>
      </c>
      <c r="D40565" s="21" t="s">
        <v>24820</v>
      </c>
      <c r="E40565" s="21" t="s">
        <v>71</v>
      </c>
      <c r="F40565">
        <v>1740045</v>
      </c>
      <c r="G40565" t="s">
        <v>9857</v>
      </c>
      <c r="H40565" s="21">
        <v>530.29</v>
      </c>
    </row>
    <row r="40566" spans="1:8" customFormat="1" x14ac:dyDescent="0.25">
      <c r="A40566" t="str">
        <f>"3528985"</f>
        <v>3528985</v>
      </c>
      <c r="B40566" t="s">
        <v>25698</v>
      </c>
      <c r="C40566" t="s">
        <v>25178</v>
      </c>
      <c r="D40566" s="21" t="s">
        <v>24820</v>
      </c>
      <c r="E40566" s="21" t="s">
        <v>71</v>
      </c>
      <c r="F40566">
        <v>3350199</v>
      </c>
      <c r="G40566" t="s">
        <v>5603</v>
      </c>
      <c r="H40566" s="21">
        <v>529.91999999999996</v>
      </c>
    </row>
    <row r="40567" spans="1:8" customFormat="1" x14ac:dyDescent="0.25">
      <c r="A40567" t="str">
        <f>"2216117"</f>
        <v>2216117</v>
      </c>
      <c r="B40567" t="s">
        <v>25636</v>
      </c>
      <c r="C40567" t="s">
        <v>24889</v>
      </c>
      <c r="D40567" s="21" t="s">
        <v>24820</v>
      </c>
      <c r="E40567" s="21" t="s">
        <v>71</v>
      </c>
      <c r="F40567">
        <v>3220127</v>
      </c>
      <c r="G40567" t="s">
        <v>26652</v>
      </c>
      <c r="H40567" s="21">
        <v>529.66999999999996</v>
      </c>
    </row>
    <row r="40568" spans="1:8" customFormat="1" x14ac:dyDescent="0.25">
      <c r="A40568" t="str">
        <f>"898042"</f>
        <v>898042</v>
      </c>
      <c r="B40568" t="s">
        <v>15202</v>
      </c>
      <c r="C40568" t="s">
        <v>263</v>
      </c>
      <c r="D40568" s="21" t="s">
        <v>24820</v>
      </c>
      <c r="E40568" s="21" t="s">
        <v>254</v>
      </c>
      <c r="F40568">
        <v>2890032</v>
      </c>
      <c r="G40568" t="s">
        <v>6080</v>
      </c>
      <c r="H40568" s="21">
        <v>529.66999999999996</v>
      </c>
    </row>
    <row r="40569" spans="1:8" customFormat="1" x14ac:dyDescent="0.25">
      <c r="A40569" t="str">
        <f>"755484"</f>
        <v>755484</v>
      </c>
      <c r="B40569" t="s">
        <v>8456</v>
      </c>
      <c r="C40569" t="s">
        <v>24900</v>
      </c>
      <c r="D40569" s="21" t="s">
        <v>24820</v>
      </c>
      <c r="E40569" s="21" t="s">
        <v>254</v>
      </c>
      <c r="F40569">
        <v>8750120</v>
      </c>
      <c r="G40569" t="s">
        <v>838</v>
      </c>
      <c r="H40569" s="21">
        <v>529.66999999999996</v>
      </c>
    </row>
    <row r="40570" spans="1:8" customFormat="1" x14ac:dyDescent="0.25">
      <c r="A40570" t="str">
        <f>"2517155"</f>
        <v>2517155</v>
      </c>
      <c r="B40570" t="s">
        <v>648</v>
      </c>
      <c r="C40570" t="s">
        <v>25661</v>
      </c>
      <c r="D40570" s="21" t="s">
        <v>24820</v>
      </c>
      <c r="E40570" s="21" t="s">
        <v>35</v>
      </c>
      <c r="F40570">
        <v>2250193</v>
      </c>
      <c r="G40570" t="s">
        <v>2584</v>
      </c>
      <c r="H40570" s="21">
        <v>529.04</v>
      </c>
    </row>
    <row r="40571" spans="1:8" customFormat="1" x14ac:dyDescent="0.25">
      <c r="A40571" t="str">
        <f>"7837937"</f>
        <v>7837937</v>
      </c>
      <c r="B40571" t="s">
        <v>1386</v>
      </c>
      <c r="C40571" t="s">
        <v>6752</v>
      </c>
      <c r="D40571" s="21" t="s">
        <v>24820</v>
      </c>
      <c r="E40571" s="21" t="s">
        <v>71</v>
      </c>
      <c r="F40571">
        <v>8780571</v>
      </c>
      <c r="G40571" t="s">
        <v>2336</v>
      </c>
      <c r="H40571" s="21">
        <v>528.91999999999996</v>
      </c>
    </row>
    <row r="40572" spans="1:8" customFormat="1" x14ac:dyDescent="0.25">
      <c r="A40572" t="str">
        <f>"0619154"</f>
        <v>0619154</v>
      </c>
      <c r="B40572" t="s">
        <v>25707</v>
      </c>
      <c r="C40572" t="s">
        <v>25313</v>
      </c>
      <c r="D40572" s="21" t="s">
        <v>24820</v>
      </c>
      <c r="E40572" s="21" t="s">
        <v>254</v>
      </c>
      <c r="F40572">
        <v>13060064</v>
      </c>
      <c r="G40572" t="s">
        <v>976</v>
      </c>
      <c r="H40572" s="21">
        <v>528.79</v>
      </c>
    </row>
    <row r="40573" spans="1:8" customFormat="1" x14ac:dyDescent="0.25">
      <c r="A40573" t="str">
        <f>"936382"</f>
        <v>936382</v>
      </c>
      <c r="B40573" t="s">
        <v>29810</v>
      </c>
      <c r="C40573" t="s">
        <v>24853</v>
      </c>
      <c r="D40573" s="21" t="s">
        <v>24820</v>
      </c>
      <c r="E40573" s="21" t="s">
        <v>35</v>
      </c>
      <c r="F40573">
        <v>8930009</v>
      </c>
      <c r="G40573" t="s">
        <v>2534</v>
      </c>
      <c r="H40573" s="21">
        <v>528.66999999999996</v>
      </c>
    </row>
    <row r="40574" spans="1:8" customFormat="1" x14ac:dyDescent="0.25">
      <c r="A40574" t="str">
        <f>"7719012"</f>
        <v>7719012</v>
      </c>
      <c r="B40574" t="s">
        <v>23633</v>
      </c>
      <c r="C40574" t="s">
        <v>22831</v>
      </c>
      <c r="D40574" s="21" t="s">
        <v>24820</v>
      </c>
      <c r="E40574" s="21" t="s">
        <v>71</v>
      </c>
      <c r="F40574">
        <v>8771508</v>
      </c>
      <c r="G40574" t="s">
        <v>4072</v>
      </c>
      <c r="H40574" s="21">
        <v>528.66999999999996</v>
      </c>
    </row>
    <row r="40575" spans="1:8" customFormat="1" x14ac:dyDescent="0.25">
      <c r="A40575" t="str">
        <f>"589898"</f>
        <v>589898</v>
      </c>
      <c r="B40575" t="s">
        <v>25510</v>
      </c>
      <c r="C40575" t="s">
        <v>24854</v>
      </c>
      <c r="D40575" s="21" t="s">
        <v>24820</v>
      </c>
      <c r="E40575" s="21" t="s">
        <v>71</v>
      </c>
      <c r="F40575">
        <v>11340053</v>
      </c>
      <c r="G40575" t="s">
        <v>9935</v>
      </c>
      <c r="H40575" s="21">
        <v>528.16999999999996</v>
      </c>
    </row>
    <row r="40576" spans="1:8" customFormat="1" x14ac:dyDescent="0.25">
      <c r="A40576" t="str">
        <f>"7618224"</f>
        <v>7618224</v>
      </c>
      <c r="B40576" t="s">
        <v>7583</v>
      </c>
      <c r="C40576" t="s">
        <v>25064</v>
      </c>
      <c r="D40576" s="21" t="s">
        <v>24820</v>
      </c>
      <c r="E40576" s="21" t="s">
        <v>35</v>
      </c>
      <c r="F40576">
        <v>9760269</v>
      </c>
      <c r="G40576" t="s">
        <v>10282</v>
      </c>
      <c r="H40576" s="21">
        <v>528.16999999999996</v>
      </c>
    </row>
    <row r="40577" spans="1:8" customFormat="1" x14ac:dyDescent="0.25">
      <c r="A40577" t="str">
        <f>"3311807"</f>
        <v>3311807</v>
      </c>
      <c r="B40577" t="s">
        <v>23271</v>
      </c>
      <c r="C40577" t="s">
        <v>24968</v>
      </c>
      <c r="D40577" s="21" t="s">
        <v>24820</v>
      </c>
      <c r="E40577" s="21" t="s">
        <v>35</v>
      </c>
      <c r="F40577">
        <v>10330013</v>
      </c>
      <c r="G40577" t="s">
        <v>613</v>
      </c>
      <c r="H40577" s="21">
        <v>528.16999999999996</v>
      </c>
    </row>
    <row r="40578" spans="1:8" customFormat="1" x14ac:dyDescent="0.25">
      <c r="A40578" t="str">
        <f>"6933531"</f>
        <v>6933531</v>
      </c>
      <c r="B40578" t="s">
        <v>25485</v>
      </c>
      <c r="C40578" t="s">
        <v>24958</v>
      </c>
      <c r="D40578" s="21" t="s">
        <v>24820</v>
      </c>
      <c r="E40578" s="21" t="s">
        <v>71</v>
      </c>
      <c r="F40578">
        <v>1690112</v>
      </c>
      <c r="G40578" t="s">
        <v>4084</v>
      </c>
      <c r="H40578" s="21">
        <v>527.79</v>
      </c>
    </row>
    <row r="40579" spans="1:8" customFormat="1" x14ac:dyDescent="0.25">
      <c r="A40579" t="str">
        <f>"9321805"</f>
        <v>9321805</v>
      </c>
      <c r="B40579" t="s">
        <v>10417</v>
      </c>
      <c r="C40579" t="s">
        <v>24828</v>
      </c>
      <c r="D40579" s="21" t="s">
        <v>24820</v>
      </c>
      <c r="E40579" s="21" t="s">
        <v>35</v>
      </c>
      <c r="F40579">
        <v>8931057</v>
      </c>
      <c r="G40579" t="s">
        <v>1011</v>
      </c>
      <c r="H40579" s="21">
        <v>527.66999999999996</v>
      </c>
    </row>
    <row r="40580" spans="1:8" customFormat="1" x14ac:dyDescent="0.25">
      <c r="A40580" t="str">
        <f>"381284"</f>
        <v>381284</v>
      </c>
      <c r="B40580" t="s">
        <v>25519</v>
      </c>
      <c r="C40580" t="s">
        <v>24865</v>
      </c>
      <c r="D40580" s="21" t="s">
        <v>24820</v>
      </c>
      <c r="E40580" s="21" t="s">
        <v>254</v>
      </c>
      <c r="F40580">
        <v>1260010</v>
      </c>
      <c r="G40580" t="s">
        <v>3944</v>
      </c>
      <c r="H40580" s="21">
        <v>527.66999999999996</v>
      </c>
    </row>
    <row r="40581" spans="1:8" customFormat="1" x14ac:dyDescent="0.25">
      <c r="A40581" t="str">
        <f>"705599"</f>
        <v>705599</v>
      </c>
      <c r="B40581" t="s">
        <v>6656</v>
      </c>
      <c r="C40581" t="s">
        <v>24863</v>
      </c>
      <c r="D40581" s="21" t="s">
        <v>24820</v>
      </c>
      <c r="E40581" s="21" t="s">
        <v>71</v>
      </c>
      <c r="F40581">
        <v>2700075</v>
      </c>
      <c r="G40581" t="s">
        <v>10511</v>
      </c>
      <c r="H40581" s="21">
        <v>527.41999999999996</v>
      </c>
    </row>
    <row r="40582" spans="1:8" customFormat="1" x14ac:dyDescent="0.25">
      <c r="A40582" t="str">
        <f>"6924297"</f>
        <v>6924297</v>
      </c>
      <c r="B40582" t="s">
        <v>17900</v>
      </c>
      <c r="C40582" t="s">
        <v>25409</v>
      </c>
      <c r="D40582" s="21" t="s">
        <v>24820</v>
      </c>
      <c r="E40582" s="21" t="s">
        <v>1089</v>
      </c>
      <c r="F40582">
        <v>1690052</v>
      </c>
      <c r="G40582" t="s">
        <v>273</v>
      </c>
      <c r="H40582" s="21">
        <v>527.16999999999996</v>
      </c>
    </row>
    <row r="40583" spans="1:8" customFormat="1" x14ac:dyDescent="0.25">
      <c r="A40583" t="str">
        <f>"9244226"</f>
        <v>9244226</v>
      </c>
      <c r="B40583" t="s">
        <v>3072</v>
      </c>
      <c r="C40583" t="s">
        <v>24898</v>
      </c>
      <c r="D40583" s="21" t="s">
        <v>24820</v>
      </c>
      <c r="E40583" s="21" t="s">
        <v>254</v>
      </c>
      <c r="F40583">
        <v>8920111</v>
      </c>
      <c r="G40583" t="s">
        <v>1064</v>
      </c>
      <c r="H40583" s="21">
        <v>527.12</v>
      </c>
    </row>
    <row r="40584" spans="1:8" customFormat="1" x14ac:dyDescent="0.25">
      <c r="A40584" t="str">
        <f>"043637"</f>
        <v>043637</v>
      </c>
      <c r="B40584" t="s">
        <v>25687</v>
      </c>
      <c r="C40584" t="s">
        <v>24947</v>
      </c>
      <c r="D40584" s="21" t="s">
        <v>24820</v>
      </c>
      <c r="E40584" s="21" t="s">
        <v>35</v>
      </c>
      <c r="F40584">
        <v>13040025</v>
      </c>
      <c r="G40584" t="s">
        <v>6715</v>
      </c>
      <c r="H40584" s="21">
        <v>526.66999999999996</v>
      </c>
    </row>
    <row r="40585" spans="1:8" customFormat="1" x14ac:dyDescent="0.25">
      <c r="A40585" t="str">
        <f>"1613327"</f>
        <v>1613327</v>
      </c>
      <c r="B40585" t="s">
        <v>9390</v>
      </c>
      <c r="C40585" t="s">
        <v>24867</v>
      </c>
      <c r="D40585" s="21" t="s">
        <v>24820</v>
      </c>
      <c r="E40585" s="21" t="s">
        <v>35</v>
      </c>
      <c r="F40585">
        <v>10160028</v>
      </c>
      <c r="G40585" t="s">
        <v>12565</v>
      </c>
      <c r="H40585" s="21">
        <v>526.66999999999996</v>
      </c>
    </row>
    <row r="40586" spans="1:8" customFormat="1" x14ac:dyDescent="0.25">
      <c r="A40586" t="str">
        <f>"7717557"</f>
        <v>7717557</v>
      </c>
      <c r="B40586" t="s">
        <v>25899</v>
      </c>
      <c r="C40586" t="s">
        <v>24958</v>
      </c>
      <c r="D40586" s="21" t="s">
        <v>24820</v>
      </c>
      <c r="E40586" s="21" t="s">
        <v>71</v>
      </c>
      <c r="F40586">
        <v>8771154</v>
      </c>
      <c r="G40586" t="s">
        <v>3625</v>
      </c>
      <c r="H40586" s="21">
        <v>526.62</v>
      </c>
    </row>
    <row r="40587" spans="1:8" customFormat="1" x14ac:dyDescent="0.25">
      <c r="A40587" t="str">
        <f>"557384"</f>
        <v>557384</v>
      </c>
      <c r="B40587" t="s">
        <v>26303</v>
      </c>
      <c r="C40587" t="s">
        <v>24920</v>
      </c>
      <c r="D40587" s="21" t="s">
        <v>24820</v>
      </c>
      <c r="E40587" s="21" t="s">
        <v>35</v>
      </c>
      <c r="F40587">
        <v>6550009</v>
      </c>
      <c r="G40587" t="s">
        <v>7080</v>
      </c>
      <c r="H40587" s="21">
        <v>526.5</v>
      </c>
    </row>
    <row r="40588" spans="1:8" customFormat="1" x14ac:dyDescent="0.25">
      <c r="A40588" t="str">
        <f>"3531464"</f>
        <v>3531464</v>
      </c>
      <c r="B40588" t="s">
        <v>8884</v>
      </c>
      <c r="C40588" t="s">
        <v>24867</v>
      </c>
      <c r="D40588" s="21" t="s">
        <v>24820</v>
      </c>
      <c r="E40588" s="21" t="s">
        <v>35</v>
      </c>
      <c r="F40588">
        <v>3350136</v>
      </c>
      <c r="G40588" t="s">
        <v>2773</v>
      </c>
      <c r="H40588" s="21">
        <v>526.41999999999996</v>
      </c>
    </row>
    <row r="40589" spans="1:8" customFormat="1" x14ac:dyDescent="0.25">
      <c r="A40589" t="str">
        <f>"3537614"</f>
        <v>3537614</v>
      </c>
      <c r="B40589" t="s">
        <v>29811</v>
      </c>
      <c r="C40589" t="s">
        <v>25068</v>
      </c>
      <c r="D40589" s="21" t="s">
        <v>24820</v>
      </c>
      <c r="E40589" s="21" t="s">
        <v>35</v>
      </c>
      <c r="F40589">
        <v>9500112</v>
      </c>
      <c r="G40589" t="s">
        <v>1668</v>
      </c>
      <c r="H40589" s="21">
        <v>526.16999999999996</v>
      </c>
    </row>
    <row r="40590" spans="1:8" customFormat="1" x14ac:dyDescent="0.25">
      <c r="A40590" t="str">
        <f>"9141398"</f>
        <v>9141398</v>
      </c>
      <c r="B40590" t="s">
        <v>14580</v>
      </c>
      <c r="C40590" t="s">
        <v>24958</v>
      </c>
      <c r="D40590" s="21" t="s">
        <v>24820</v>
      </c>
      <c r="E40590" s="21" t="s">
        <v>71</v>
      </c>
      <c r="F40590">
        <v>8911132</v>
      </c>
      <c r="G40590" t="s">
        <v>10728</v>
      </c>
      <c r="H40590" s="21">
        <v>526</v>
      </c>
    </row>
    <row r="40591" spans="1:8" customFormat="1" x14ac:dyDescent="0.25">
      <c r="A40591" t="str">
        <f>"4218054"</f>
        <v>4218054</v>
      </c>
      <c r="B40591" t="s">
        <v>25645</v>
      </c>
      <c r="C40591" t="s">
        <v>25646</v>
      </c>
      <c r="D40591" s="21" t="s">
        <v>24820</v>
      </c>
      <c r="E40591" s="21" t="s">
        <v>254</v>
      </c>
      <c r="F40591">
        <v>1420078</v>
      </c>
      <c r="G40591" t="s">
        <v>4287</v>
      </c>
      <c r="H40591" s="21">
        <v>525.91999999999996</v>
      </c>
    </row>
    <row r="40592" spans="1:8" customFormat="1" x14ac:dyDescent="0.25">
      <c r="A40592" t="str">
        <f>"9314155"</f>
        <v>9314155</v>
      </c>
      <c r="B40592" t="s">
        <v>25523</v>
      </c>
      <c r="C40592" t="s">
        <v>25524</v>
      </c>
      <c r="D40592" s="21" t="s">
        <v>24820</v>
      </c>
      <c r="E40592" s="21" t="s">
        <v>71</v>
      </c>
      <c r="F40592">
        <v>8930024</v>
      </c>
      <c r="G40592" t="s">
        <v>44</v>
      </c>
      <c r="H40592" s="21">
        <v>525.91999999999996</v>
      </c>
    </row>
    <row r="40593" spans="1:8" customFormat="1" x14ac:dyDescent="0.25">
      <c r="A40593" t="str">
        <f>"2934800"</f>
        <v>2934800</v>
      </c>
      <c r="B40593" t="s">
        <v>25652</v>
      </c>
      <c r="C40593" t="s">
        <v>24300</v>
      </c>
      <c r="D40593" s="21" t="s">
        <v>24820</v>
      </c>
      <c r="E40593" s="21" t="s">
        <v>35</v>
      </c>
      <c r="F40593">
        <v>3290221</v>
      </c>
      <c r="G40593" t="s">
        <v>3544</v>
      </c>
      <c r="H40593" s="21">
        <v>525.5</v>
      </c>
    </row>
    <row r="40594" spans="1:8" customFormat="1" x14ac:dyDescent="0.25">
      <c r="A40594" t="str">
        <f>"9137835"</f>
        <v>9137835</v>
      </c>
      <c r="B40594" t="s">
        <v>23084</v>
      </c>
      <c r="C40594" t="s">
        <v>24883</v>
      </c>
      <c r="D40594" s="21" t="s">
        <v>24820</v>
      </c>
      <c r="E40594" s="21" t="s">
        <v>71</v>
      </c>
      <c r="F40594">
        <v>8910861</v>
      </c>
      <c r="G40594" t="s">
        <v>1120</v>
      </c>
      <c r="H40594" s="21">
        <v>525.29</v>
      </c>
    </row>
    <row r="40595" spans="1:8" customFormat="1" x14ac:dyDescent="0.25">
      <c r="A40595" t="str">
        <f>"7921187"</f>
        <v>7921187</v>
      </c>
      <c r="B40595" t="s">
        <v>8826</v>
      </c>
      <c r="C40595" t="s">
        <v>24888</v>
      </c>
      <c r="D40595" s="21" t="s">
        <v>24820</v>
      </c>
      <c r="E40595" s="21" t="s">
        <v>35</v>
      </c>
      <c r="F40595">
        <v>10790020</v>
      </c>
      <c r="G40595" t="s">
        <v>10221</v>
      </c>
      <c r="H40595" s="21">
        <v>525.16999999999996</v>
      </c>
    </row>
    <row r="40596" spans="1:8" customFormat="1" x14ac:dyDescent="0.25">
      <c r="A40596" t="str">
        <f>"7218828"</f>
        <v>7218828</v>
      </c>
      <c r="B40596" t="s">
        <v>25566</v>
      </c>
      <c r="C40596" t="s">
        <v>25567</v>
      </c>
      <c r="D40596" s="21" t="s">
        <v>24820</v>
      </c>
      <c r="E40596" s="21" t="s">
        <v>71</v>
      </c>
      <c r="F40596">
        <v>12720004</v>
      </c>
      <c r="G40596" t="s">
        <v>2328</v>
      </c>
      <c r="H40596" s="21">
        <v>525.16999999999996</v>
      </c>
    </row>
    <row r="40597" spans="1:8" customFormat="1" x14ac:dyDescent="0.25">
      <c r="A40597" t="str">
        <f>"4923678"</f>
        <v>4923678</v>
      </c>
      <c r="B40597" t="s">
        <v>1669</v>
      </c>
      <c r="C40597" t="s">
        <v>24900</v>
      </c>
      <c r="D40597" s="21" t="s">
        <v>24820</v>
      </c>
      <c r="E40597" s="21" t="s">
        <v>35</v>
      </c>
      <c r="F40597">
        <v>12490073</v>
      </c>
      <c r="G40597" t="s">
        <v>296</v>
      </c>
      <c r="H40597" s="21">
        <v>525.16999999999996</v>
      </c>
    </row>
    <row r="40598" spans="1:8" customFormat="1" x14ac:dyDescent="0.25">
      <c r="A40598" t="str">
        <f>"4458366"</f>
        <v>4458366</v>
      </c>
      <c r="B40598" t="s">
        <v>18654</v>
      </c>
      <c r="C40598" t="s">
        <v>24951</v>
      </c>
      <c r="D40598" s="21" t="s">
        <v>24820</v>
      </c>
      <c r="E40598" s="21" t="s">
        <v>35</v>
      </c>
      <c r="F40598">
        <v>12440182</v>
      </c>
      <c r="G40598" t="s">
        <v>2915</v>
      </c>
      <c r="H40598" s="21">
        <v>525</v>
      </c>
    </row>
    <row r="40599" spans="1:8" customFormat="1" x14ac:dyDescent="0.25">
      <c r="A40599" t="str">
        <f>"2510396"</f>
        <v>2510396</v>
      </c>
      <c r="B40599" t="s">
        <v>4960</v>
      </c>
      <c r="C40599" t="s">
        <v>24888</v>
      </c>
      <c r="D40599" s="21" t="s">
        <v>24820</v>
      </c>
      <c r="E40599" s="21" t="s">
        <v>71</v>
      </c>
      <c r="F40599">
        <v>2250193</v>
      </c>
      <c r="G40599" t="s">
        <v>2584</v>
      </c>
      <c r="H40599" s="21">
        <v>524.66999999999996</v>
      </c>
    </row>
    <row r="40600" spans="1:8" customFormat="1" x14ac:dyDescent="0.25">
      <c r="A40600" t="str">
        <f>"534518"</f>
        <v>534518</v>
      </c>
      <c r="B40600" t="s">
        <v>23439</v>
      </c>
      <c r="C40600" t="s">
        <v>25606</v>
      </c>
      <c r="D40600" s="21" t="s">
        <v>24820</v>
      </c>
      <c r="E40600" s="21" t="s">
        <v>254</v>
      </c>
      <c r="F40600">
        <v>12530059</v>
      </c>
      <c r="G40600" t="s">
        <v>4062</v>
      </c>
      <c r="H40600" s="21">
        <v>524.66999999999996</v>
      </c>
    </row>
    <row r="40601" spans="1:8" customFormat="1" x14ac:dyDescent="0.25">
      <c r="A40601" t="str">
        <f>"1448"</f>
        <v>1448</v>
      </c>
      <c r="B40601" t="s">
        <v>11253</v>
      </c>
      <c r="C40601" t="s">
        <v>25490</v>
      </c>
      <c r="D40601" s="21" t="s">
        <v>24820</v>
      </c>
      <c r="E40601" s="21" t="s">
        <v>1089</v>
      </c>
      <c r="F40601">
        <v>9140003</v>
      </c>
      <c r="G40601" t="s">
        <v>6152</v>
      </c>
      <c r="H40601" s="21">
        <v>524.66999999999996</v>
      </c>
    </row>
    <row r="40602" spans="1:8" customFormat="1" x14ac:dyDescent="0.25">
      <c r="A40602" t="str">
        <f>"7640492"</f>
        <v>7640492</v>
      </c>
      <c r="B40602" t="s">
        <v>18629</v>
      </c>
      <c r="C40602" t="s">
        <v>24846</v>
      </c>
      <c r="D40602" s="21" t="s">
        <v>24820</v>
      </c>
      <c r="E40602" s="21" t="s">
        <v>35</v>
      </c>
      <c r="F40602">
        <v>9760344</v>
      </c>
      <c r="G40602" t="s">
        <v>2523</v>
      </c>
      <c r="H40602" s="21">
        <v>524.5</v>
      </c>
    </row>
    <row r="40603" spans="1:8" customFormat="1" x14ac:dyDescent="0.25">
      <c r="A40603" t="str">
        <f>"153671"</f>
        <v>153671</v>
      </c>
      <c r="B40603" t="s">
        <v>17295</v>
      </c>
      <c r="C40603" t="s">
        <v>24897</v>
      </c>
      <c r="D40603" s="21" t="s">
        <v>24820</v>
      </c>
      <c r="E40603" s="21" t="s">
        <v>71</v>
      </c>
      <c r="F40603">
        <v>1150278</v>
      </c>
      <c r="G40603" t="s">
        <v>16041</v>
      </c>
      <c r="H40603" s="21">
        <v>524</v>
      </c>
    </row>
    <row r="40604" spans="1:8" customFormat="1" x14ac:dyDescent="0.25">
      <c r="A40604" t="str">
        <f>"6925494"</f>
        <v>6925494</v>
      </c>
      <c r="B40604" t="s">
        <v>16592</v>
      </c>
      <c r="C40604" t="s">
        <v>25317</v>
      </c>
      <c r="D40604" s="21" t="s">
        <v>24820</v>
      </c>
      <c r="E40604" s="21" t="s">
        <v>254</v>
      </c>
      <c r="F40604">
        <v>1690052</v>
      </c>
      <c r="G40604" t="s">
        <v>273</v>
      </c>
      <c r="H40604" s="21">
        <v>524</v>
      </c>
    </row>
    <row r="40605" spans="1:8" customFormat="1" x14ac:dyDescent="0.25">
      <c r="A40605" t="str">
        <f>"5983288"</f>
        <v>5983288</v>
      </c>
      <c r="B40605" t="s">
        <v>4834</v>
      </c>
      <c r="C40605" t="s">
        <v>24919</v>
      </c>
      <c r="D40605" s="21" t="s">
        <v>24820</v>
      </c>
      <c r="E40605" s="21" t="s">
        <v>35</v>
      </c>
      <c r="F40605">
        <v>7590414</v>
      </c>
      <c r="G40605" t="s">
        <v>10056</v>
      </c>
      <c r="H40605" s="21">
        <v>523.75</v>
      </c>
    </row>
    <row r="40606" spans="1:8" customFormat="1" x14ac:dyDescent="0.25">
      <c r="A40606" t="str">
        <f>"7639107"</f>
        <v>7639107</v>
      </c>
      <c r="B40606" t="s">
        <v>25643</v>
      </c>
      <c r="C40606" t="s">
        <v>24952</v>
      </c>
      <c r="D40606" s="21" t="s">
        <v>24820</v>
      </c>
      <c r="E40606" s="21" t="s">
        <v>254</v>
      </c>
      <c r="F40606">
        <v>9760012</v>
      </c>
      <c r="G40606" t="s">
        <v>17233</v>
      </c>
      <c r="H40606" s="21">
        <v>523.66999999999996</v>
      </c>
    </row>
    <row r="40607" spans="1:8" customFormat="1" x14ac:dyDescent="0.25">
      <c r="A40607" t="str">
        <f>"95599"</f>
        <v>95599</v>
      </c>
      <c r="B40607" t="s">
        <v>9789</v>
      </c>
      <c r="C40607" t="s">
        <v>25313</v>
      </c>
      <c r="D40607" s="21" t="s">
        <v>24820</v>
      </c>
      <c r="E40607" s="21" t="s">
        <v>254</v>
      </c>
      <c r="F40607">
        <v>8951092</v>
      </c>
      <c r="G40607" t="s">
        <v>5801</v>
      </c>
      <c r="H40607" s="21">
        <v>523.66999999999996</v>
      </c>
    </row>
    <row r="40608" spans="1:8" customFormat="1" x14ac:dyDescent="0.25">
      <c r="A40608" t="str">
        <f>"1316743"</f>
        <v>1316743</v>
      </c>
      <c r="B40608" t="s">
        <v>10674</v>
      </c>
      <c r="C40608" t="s">
        <v>24889</v>
      </c>
      <c r="D40608" s="21" t="s">
        <v>24820</v>
      </c>
      <c r="E40608" s="21" t="s">
        <v>71</v>
      </c>
      <c r="F40608">
        <v>13130152</v>
      </c>
      <c r="G40608" t="s">
        <v>906</v>
      </c>
      <c r="H40608" s="21">
        <v>523.5</v>
      </c>
    </row>
    <row r="40609" spans="1:8" customFormat="1" x14ac:dyDescent="0.25">
      <c r="A40609" t="str">
        <f>"8528457"</f>
        <v>8528457</v>
      </c>
      <c r="B40609" t="s">
        <v>25960</v>
      </c>
      <c r="C40609" t="s">
        <v>25569</v>
      </c>
      <c r="D40609" s="21" t="s">
        <v>24820</v>
      </c>
      <c r="E40609" s="21" t="s">
        <v>35</v>
      </c>
      <c r="F40609">
        <v>12850072</v>
      </c>
      <c r="G40609" t="s">
        <v>7184</v>
      </c>
      <c r="H40609" s="21">
        <v>523.5</v>
      </c>
    </row>
    <row r="40610" spans="1:8" customFormat="1" x14ac:dyDescent="0.25">
      <c r="A40610" t="str">
        <f>"5617622"</f>
        <v>5617622</v>
      </c>
      <c r="B40610" t="s">
        <v>9337</v>
      </c>
      <c r="C40610" t="s">
        <v>24833</v>
      </c>
      <c r="D40610" s="21" t="s">
        <v>24820</v>
      </c>
      <c r="E40610" s="21" t="s">
        <v>35</v>
      </c>
      <c r="F40610">
        <v>3560007</v>
      </c>
      <c r="G40610" t="s">
        <v>10211</v>
      </c>
      <c r="H40610" s="21">
        <v>523.41999999999996</v>
      </c>
    </row>
    <row r="40611" spans="1:8" customFormat="1" x14ac:dyDescent="0.25">
      <c r="A40611" t="str">
        <f>"3118379"</f>
        <v>3118379</v>
      </c>
      <c r="B40611" t="s">
        <v>25696</v>
      </c>
      <c r="C40611" t="s">
        <v>25697</v>
      </c>
      <c r="D40611" s="21" t="s">
        <v>24820</v>
      </c>
      <c r="E40611" s="21" t="s">
        <v>35</v>
      </c>
      <c r="F40611">
        <v>11310121</v>
      </c>
      <c r="G40611" t="s">
        <v>578</v>
      </c>
      <c r="H40611" s="21">
        <v>523.16999999999996</v>
      </c>
    </row>
    <row r="40612" spans="1:8" customFormat="1" x14ac:dyDescent="0.25">
      <c r="A40612" t="str">
        <f>"7619880"</f>
        <v>7619880</v>
      </c>
      <c r="B40612" t="s">
        <v>8266</v>
      </c>
      <c r="C40612" t="s">
        <v>24867</v>
      </c>
      <c r="D40612" s="21" t="s">
        <v>24820</v>
      </c>
      <c r="E40612" s="21" t="s">
        <v>71</v>
      </c>
      <c r="F40612">
        <v>9760368</v>
      </c>
      <c r="G40612" t="s">
        <v>8267</v>
      </c>
      <c r="H40612" s="21">
        <v>523.16999999999996</v>
      </c>
    </row>
    <row r="40613" spans="1:8" customFormat="1" x14ac:dyDescent="0.25">
      <c r="A40613" t="str">
        <f>"589043"</f>
        <v>589043</v>
      </c>
      <c r="B40613" t="s">
        <v>8619</v>
      </c>
      <c r="C40613" t="s">
        <v>25104</v>
      </c>
      <c r="D40613" s="21" t="s">
        <v>24820</v>
      </c>
      <c r="E40613" s="21" t="s">
        <v>71</v>
      </c>
      <c r="F40613">
        <v>2580078</v>
      </c>
      <c r="G40613" t="s">
        <v>4432</v>
      </c>
      <c r="H40613" s="21">
        <v>523.16999999999996</v>
      </c>
    </row>
    <row r="40614" spans="1:8" customFormat="1" x14ac:dyDescent="0.25">
      <c r="A40614" t="str">
        <f>"3720275"</f>
        <v>3720275</v>
      </c>
      <c r="B40614" t="s">
        <v>2403</v>
      </c>
      <c r="C40614" t="s">
        <v>24999</v>
      </c>
      <c r="D40614" s="21" t="s">
        <v>24820</v>
      </c>
      <c r="E40614" s="21" t="s">
        <v>35</v>
      </c>
      <c r="F40614">
        <v>4370709</v>
      </c>
      <c r="G40614" t="s">
        <v>5714</v>
      </c>
      <c r="H40614" s="21">
        <v>523</v>
      </c>
    </row>
    <row r="40615" spans="1:8" customFormat="1" x14ac:dyDescent="0.25">
      <c r="A40615" t="str">
        <f>"9237990"</f>
        <v>9237990</v>
      </c>
      <c r="B40615" t="s">
        <v>25571</v>
      </c>
      <c r="C40615" t="s">
        <v>22831</v>
      </c>
      <c r="D40615" s="21" t="s">
        <v>24820</v>
      </c>
      <c r="E40615" s="21" t="s">
        <v>71</v>
      </c>
      <c r="F40615">
        <v>8920049</v>
      </c>
      <c r="G40615" t="s">
        <v>237</v>
      </c>
      <c r="H40615" s="21">
        <v>522.66999999999996</v>
      </c>
    </row>
    <row r="40616" spans="1:8" customFormat="1" x14ac:dyDescent="0.25">
      <c r="A40616" t="str">
        <f>"2713707"</f>
        <v>2713707</v>
      </c>
      <c r="B40616" t="s">
        <v>25520</v>
      </c>
      <c r="C40616" t="s">
        <v>24881</v>
      </c>
      <c r="D40616" s="21" t="s">
        <v>24820</v>
      </c>
      <c r="E40616" s="21" t="s">
        <v>35</v>
      </c>
      <c r="F40616">
        <v>9270156</v>
      </c>
      <c r="G40616" t="s">
        <v>3751</v>
      </c>
      <c r="H40616" s="21">
        <v>522.66999999999996</v>
      </c>
    </row>
    <row r="40617" spans="1:8" customFormat="1" x14ac:dyDescent="0.25">
      <c r="A40617" t="str">
        <f>"677426"</f>
        <v>677426</v>
      </c>
      <c r="B40617" t="s">
        <v>25572</v>
      </c>
      <c r="C40617" t="s">
        <v>25573</v>
      </c>
      <c r="D40617" s="21" t="s">
        <v>24820</v>
      </c>
      <c r="E40617" s="21" t="s">
        <v>71</v>
      </c>
      <c r="F40617">
        <v>6670002</v>
      </c>
      <c r="G40617" t="s">
        <v>5740</v>
      </c>
      <c r="H40617" s="21">
        <v>522.16999999999996</v>
      </c>
    </row>
    <row r="40618" spans="1:8" customFormat="1" x14ac:dyDescent="0.25">
      <c r="A40618" t="str">
        <f>"9217581"</f>
        <v>9217581</v>
      </c>
      <c r="B40618" t="s">
        <v>25550</v>
      </c>
      <c r="C40618" t="s">
        <v>24867</v>
      </c>
      <c r="D40618" s="21" t="s">
        <v>24820</v>
      </c>
      <c r="E40618" s="21" t="s">
        <v>71</v>
      </c>
      <c r="F40618">
        <v>8750064</v>
      </c>
      <c r="G40618" t="s">
        <v>10471</v>
      </c>
      <c r="H40618" s="21">
        <v>522.16999999999996</v>
      </c>
    </row>
    <row r="40619" spans="1:8" customFormat="1" x14ac:dyDescent="0.25">
      <c r="A40619" t="str">
        <f>"3337127"</f>
        <v>3337127</v>
      </c>
      <c r="B40619" t="s">
        <v>17576</v>
      </c>
      <c r="C40619" t="s">
        <v>24897</v>
      </c>
      <c r="D40619" s="21" t="s">
        <v>24820</v>
      </c>
      <c r="E40619" s="21" t="s">
        <v>35</v>
      </c>
      <c r="F40619">
        <v>10330043</v>
      </c>
      <c r="G40619" t="s">
        <v>1703</v>
      </c>
      <c r="H40619" s="21">
        <v>521.91999999999996</v>
      </c>
    </row>
    <row r="40620" spans="1:8" customFormat="1" x14ac:dyDescent="0.25">
      <c r="A40620" t="str">
        <f>"3723888"</f>
        <v>3723888</v>
      </c>
      <c r="B40620" t="s">
        <v>25612</v>
      </c>
      <c r="C40620" t="s">
        <v>25613</v>
      </c>
      <c r="D40620" s="21" t="s">
        <v>24820</v>
      </c>
      <c r="E40620" s="21" t="s">
        <v>35</v>
      </c>
      <c r="F40620">
        <v>4370478</v>
      </c>
      <c r="G40620" t="s">
        <v>4735</v>
      </c>
      <c r="H40620" s="21">
        <v>521.91999999999996</v>
      </c>
    </row>
    <row r="40621" spans="1:8" customFormat="1" x14ac:dyDescent="0.25">
      <c r="A40621" t="str">
        <f>"7716102"</f>
        <v>7716102</v>
      </c>
      <c r="B40621" t="s">
        <v>19095</v>
      </c>
      <c r="C40621" t="s">
        <v>24897</v>
      </c>
      <c r="D40621" s="21" t="s">
        <v>24820</v>
      </c>
      <c r="E40621" s="21" t="s">
        <v>71</v>
      </c>
      <c r="F40621">
        <v>8770665</v>
      </c>
      <c r="G40621" t="s">
        <v>903</v>
      </c>
      <c r="H40621" s="21">
        <v>521.79</v>
      </c>
    </row>
    <row r="40622" spans="1:8" customFormat="1" x14ac:dyDescent="0.25">
      <c r="A40622" t="str">
        <f>"5430142"</f>
        <v>5430142</v>
      </c>
      <c r="B40622" t="s">
        <v>20197</v>
      </c>
      <c r="C40622" t="s">
        <v>25019</v>
      </c>
      <c r="D40622" s="21" t="s">
        <v>24820</v>
      </c>
      <c r="E40622" s="21" t="s">
        <v>35</v>
      </c>
      <c r="F40622">
        <v>6540200</v>
      </c>
      <c r="G40622" t="s">
        <v>22833</v>
      </c>
      <c r="H40622" s="21">
        <v>521.66999999999996</v>
      </c>
    </row>
    <row r="40623" spans="1:8" customFormat="1" x14ac:dyDescent="0.25">
      <c r="A40623" t="str">
        <f>"665995"</f>
        <v>665995</v>
      </c>
      <c r="B40623" t="s">
        <v>25582</v>
      </c>
      <c r="C40623" t="s">
        <v>24988</v>
      </c>
      <c r="D40623" s="21" t="s">
        <v>24820</v>
      </c>
      <c r="E40623" s="21" t="s">
        <v>35</v>
      </c>
      <c r="F40623">
        <v>11660011</v>
      </c>
      <c r="G40623" t="s">
        <v>4641</v>
      </c>
      <c r="H40623" s="21">
        <v>521.16999999999996</v>
      </c>
    </row>
    <row r="40624" spans="1:8" customFormat="1" x14ac:dyDescent="0.25">
      <c r="A40624" t="str">
        <f>"365233"</f>
        <v>365233</v>
      </c>
      <c r="B40624" t="s">
        <v>25583</v>
      </c>
      <c r="C40624" t="s">
        <v>24904</v>
      </c>
      <c r="D40624" s="21" t="s">
        <v>24820</v>
      </c>
      <c r="E40624" s="21" t="s">
        <v>71</v>
      </c>
      <c r="F40624">
        <v>4360340</v>
      </c>
      <c r="G40624" t="s">
        <v>14132</v>
      </c>
      <c r="H40624" s="21">
        <v>520.75</v>
      </c>
    </row>
    <row r="40625" spans="1:8" customFormat="1" x14ac:dyDescent="0.25">
      <c r="A40625" t="str">
        <f>"456704"</f>
        <v>456704</v>
      </c>
      <c r="B40625" t="s">
        <v>29812</v>
      </c>
      <c r="C40625" t="s">
        <v>24686</v>
      </c>
      <c r="D40625" s="21" t="s">
        <v>24820</v>
      </c>
      <c r="E40625" s="21" t="s">
        <v>254</v>
      </c>
      <c r="F40625">
        <v>11460021</v>
      </c>
      <c r="G40625" t="s">
        <v>6727</v>
      </c>
      <c r="H40625" s="21">
        <v>520.66999999999996</v>
      </c>
    </row>
    <row r="40626" spans="1:8" customFormat="1" x14ac:dyDescent="0.25">
      <c r="A40626" t="str">
        <f>"3119161"</f>
        <v>3119161</v>
      </c>
      <c r="B40626" t="s">
        <v>26190</v>
      </c>
      <c r="C40626" t="s">
        <v>24953</v>
      </c>
      <c r="D40626" s="21" t="s">
        <v>24820</v>
      </c>
      <c r="E40626" s="21" t="s">
        <v>35</v>
      </c>
      <c r="F40626">
        <v>11310047</v>
      </c>
      <c r="G40626" t="s">
        <v>2188</v>
      </c>
      <c r="H40626" s="21">
        <v>520.16999999999996</v>
      </c>
    </row>
    <row r="40627" spans="1:8" customFormat="1" x14ac:dyDescent="0.25">
      <c r="A40627" t="str">
        <f>"266681"</f>
        <v>266681</v>
      </c>
      <c r="B40627" t="s">
        <v>25498</v>
      </c>
      <c r="C40627" t="s">
        <v>24978</v>
      </c>
      <c r="D40627" s="21" t="s">
        <v>24820</v>
      </c>
      <c r="E40627" s="21" t="s">
        <v>254</v>
      </c>
      <c r="F40627">
        <v>1260054</v>
      </c>
      <c r="G40627" t="s">
        <v>358</v>
      </c>
      <c r="H40627" s="21">
        <v>520.16999999999996</v>
      </c>
    </row>
    <row r="40628" spans="1:8" customFormat="1" x14ac:dyDescent="0.25">
      <c r="A40628" t="str">
        <f>"9124027"</f>
        <v>9124027</v>
      </c>
      <c r="B40628" t="s">
        <v>490</v>
      </c>
      <c r="C40628" t="s">
        <v>25053</v>
      </c>
      <c r="D40628" s="21" t="s">
        <v>24820</v>
      </c>
      <c r="E40628" s="21" t="s">
        <v>35</v>
      </c>
      <c r="F40628">
        <v>8770474</v>
      </c>
      <c r="G40628" t="s">
        <v>1600</v>
      </c>
      <c r="H40628" s="21">
        <v>520.16999999999996</v>
      </c>
    </row>
    <row r="40629" spans="1:8" customFormat="1" x14ac:dyDescent="0.25">
      <c r="A40629" t="str">
        <f>"4453874"</f>
        <v>4453874</v>
      </c>
      <c r="B40629" t="s">
        <v>4865</v>
      </c>
      <c r="C40629" t="s">
        <v>24915</v>
      </c>
      <c r="D40629" s="21" t="s">
        <v>24820</v>
      </c>
      <c r="E40629" s="21" t="s">
        <v>35</v>
      </c>
      <c r="F40629">
        <v>12440262</v>
      </c>
      <c r="G40629" t="s">
        <v>4590</v>
      </c>
      <c r="H40629" s="21">
        <v>520.16999999999996</v>
      </c>
    </row>
    <row r="40630" spans="1:8" customFormat="1" x14ac:dyDescent="0.25">
      <c r="A40630" t="str">
        <f>"331274"</f>
        <v>331274</v>
      </c>
      <c r="B40630" t="s">
        <v>17781</v>
      </c>
      <c r="C40630" t="s">
        <v>24939</v>
      </c>
      <c r="D40630" s="21" t="s">
        <v>24820</v>
      </c>
      <c r="E40630" s="21" t="s">
        <v>1089</v>
      </c>
      <c r="F40630">
        <v>10170042</v>
      </c>
      <c r="G40630" t="s">
        <v>5014</v>
      </c>
      <c r="H40630" s="21">
        <v>520.16999999999996</v>
      </c>
    </row>
    <row r="40631" spans="1:8" customFormat="1" x14ac:dyDescent="0.25">
      <c r="A40631" t="str">
        <f>"50374"</f>
        <v>50374</v>
      </c>
      <c r="B40631" t="s">
        <v>3938</v>
      </c>
      <c r="C40631" t="s">
        <v>24939</v>
      </c>
      <c r="D40631" s="21" t="s">
        <v>24820</v>
      </c>
      <c r="E40631" s="21" t="s">
        <v>1089</v>
      </c>
      <c r="F40631">
        <v>9500015</v>
      </c>
      <c r="G40631" t="s">
        <v>3389</v>
      </c>
      <c r="H40631" s="21">
        <v>520.16999999999996</v>
      </c>
    </row>
    <row r="40632" spans="1:8" customFormat="1" x14ac:dyDescent="0.25">
      <c r="A40632" t="str">
        <f>"832452"</f>
        <v>832452</v>
      </c>
      <c r="B40632" t="s">
        <v>4095</v>
      </c>
      <c r="C40632" t="s">
        <v>24939</v>
      </c>
      <c r="D40632" s="21" t="s">
        <v>24820</v>
      </c>
      <c r="E40632" s="21" t="s">
        <v>6185</v>
      </c>
      <c r="F40632">
        <v>13830044</v>
      </c>
      <c r="G40632" t="s">
        <v>945</v>
      </c>
      <c r="H40632" s="21">
        <v>519.91999999999996</v>
      </c>
    </row>
    <row r="40633" spans="1:8" customFormat="1" x14ac:dyDescent="0.25">
      <c r="A40633" t="str">
        <f>"695930"</f>
        <v>695930</v>
      </c>
      <c r="B40633" t="s">
        <v>25497</v>
      </c>
      <c r="C40633" t="s">
        <v>25273</v>
      </c>
      <c r="D40633" s="21" t="s">
        <v>24820</v>
      </c>
      <c r="E40633" s="21" t="s">
        <v>254</v>
      </c>
      <c r="F40633">
        <v>1690062</v>
      </c>
      <c r="G40633" t="s">
        <v>5907</v>
      </c>
      <c r="H40633" s="21">
        <v>519.66999999999996</v>
      </c>
    </row>
    <row r="40634" spans="1:8" customFormat="1" x14ac:dyDescent="0.25">
      <c r="A40634" t="str">
        <f>"5018184"</f>
        <v>5018184</v>
      </c>
      <c r="B40634" t="s">
        <v>9032</v>
      </c>
      <c r="C40634" t="s">
        <v>25252</v>
      </c>
      <c r="D40634" s="21" t="s">
        <v>24820</v>
      </c>
      <c r="E40634" s="21" t="s">
        <v>71</v>
      </c>
      <c r="F40634">
        <v>9500093</v>
      </c>
      <c r="G40634" t="s">
        <v>1808</v>
      </c>
      <c r="H40634" s="21">
        <v>519.16999999999996</v>
      </c>
    </row>
    <row r="40635" spans="1:8" customFormat="1" x14ac:dyDescent="0.25">
      <c r="A40635" t="str">
        <f>"4932249"</f>
        <v>4932249</v>
      </c>
      <c r="B40635" t="s">
        <v>29813</v>
      </c>
      <c r="C40635" t="s">
        <v>24840</v>
      </c>
      <c r="D40635" s="21" t="s">
        <v>24820</v>
      </c>
      <c r="E40635" s="21" t="s">
        <v>71</v>
      </c>
      <c r="F40635">
        <v>12490022</v>
      </c>
      <c r="G40635" t="s">
        <v>1450</v>
      </c>
      <c r="H40635" s="21">
        <v>519.16999999999996</v>
      </c>
    </row>
    <row r="40636" spans="1:8" customFormat="1" x14ac:dyDescent="0.25">
      <c r="A40636" t="str">
        <f>"5910121"</f>
        <v>5910121</v>
      </c>
      <c r="B40636" t="s">
        <v>25322</v>
      </c>
      <c r="C40636" t="s">
        <v>25053</v>
      </c>
      <c r="D40636" s="21" t="s">
        <v>24820</v>
      </c>
      <c r="E40636" s="21" t="s">
        <v>35</v>
      </c>
      <c r="F40636">
        <v>7590156</v>
      </c>
      <c r="G40636" t="s">
        <v>6224</v>
      </c>
      <c r="H40636" s="21">
        <v>519.16999999999996</v>
      </c>
    </row>
    <row r="40637" spans="1:8" customFormat="1" x14ac:dyDescent="0.25">
      <c r="A40637" t="str">
        <f>"3526352"</f>
        <v>3526352</v>
      </c>
      <c r="B40637" t="s">
        <v>26231</v>
      </c>
      <c r="C40637" t="s">
        <v>25008</v>
      </c>
      <c r="D40637" s="21" t="s">
        <v>24820</v>
      </c>
      <c r="E40637" s="21" t="s">
        <v>71</v>
      </c>
      <c r="F40637">
        <v>3350022</v>
      </c>
      <c r="G40637" t="s">
        <v>1287</v>
      </c>
      <c r="H40637" s="21">
        <v>519</v>
      </c>
    </row>
    <row r="40638" spans="1:8" customFormat="1" x14ac:dyDescent="0.25">
      <c r="A40638" t="str">
        <f>"2515160"</f>
        <v>2515160</v>
      </c>
      <c r="B40638" t="s">
        <v>26253</v>
      </c>
      <c r="C40638" t="s">
        <v>24890</v>
      </c>
      <c r="D40638" s="21" t="s">
        <v>24820</v>
      </c>
      <c r="E40638" s="21" t="s">
        <v>71</v>
      </c>
      <c r="F40638">
        <v>2250110</v>
      </c>
      <c r="G40638" t="s">
        <v>9363</v>
      </c>
      <c r="H40638" s="21">
        <v>519</v>
      </c>
    </row>
    <row r="40639" spans="1:8" customFormat="1" x14ac:dyDescent="0.25">
      <c r="A40639" t="str">
        <f>"1613284"</f>
        <v>1613284</v>
      </c>
      <c r="B40639" t="s">
        <v>5833</v>
      </c>
      <c r="C40639" t="s">
        <v>25003</v>
      </c>
      <c r="D40639" s="21" t="s">
        <v>24820</v>
      </c>
      <c r="E40639" s="21" t="s">
        <v>71</v>
      </c>
      <c r="F40639">
        <v>10160042</v>
      </c>
      <c r="G40639" t="s">
        <v>7461</v>
      </c>
      <c r="H40639" s="21">
        <v>518.91999999999996</v>
      </c>
    </row>
    <row r="40640" spans="1:8" customFormat="1" x14ac:dyDescent="0.25">
      <c r="A40640" t="str">
        <f>"121395"</f>
        <v>121395</v>
      </c>
      <c r="B40640" t="s">
        <v>7932</v>
      </c>
      <c r="C40640" t="s">
        <v>263</v>
      </c>
      <c r="D40640" s="21" t="s">
        <v>24820</v>
      </c>
      <c r="E40640" s="21" t="s">
        <v>254</v>
      </c>
      <c r="F40640">
        <v>11120009</v>
      </c>
      <c r="G40640" t="s">
        <v>3369</v>
      </c>
      <c r="H40640" s="21">
        <v>518.66999999999996</v>
      </c>
    </row>
    <row r="40641" spans="1:8" customFormat="1" x14ac:dyDescent="0.25">
      <c r="A40641" t="str">
        <f>"5952115"</f>
        <v>5952115</v>
      </c>
      <c r="B40641" t="s">
        <v>6974</v>
      </c>
      <c r="C40641" t="s">
        <v>24947</v>
      </c>
      <c r="D40641" s="21" t="s">
        <v>24820</v>
      </c>
      <c r="E40641" s="21" t="s">
        <v>71</v>
      </c>
      <c r="F40641">
        <v>7590173</v>
      </c>
      <c r="G40641" t="s">
        <v>5675</v>
      </c>
      <c r="H40641" s="21">
        <v>518.66999999999996</v>
      </c>
    </row>
    <row r="40642" spans="1:8" customFormat="1" x14ac:dyDescent="0.25">
      <c r="A40642" t="str">
        <f>"8018771"</f>
        <v>8018771</v>
      </c>
      <c r="B40642" t="s">
        <v>1456</v>
      </c>
      <c r="C40642" t="s">
        <v>24897</v>
      </c>
      <c r="D40642" s="21" t="s">
        <v>24820</v>
      </c>
      <c r="E40642" s="21" t="s">
        <v>71</v>
      </c>
      <c r="F40642">
        <v>7800147</v>
      </c>
      <c r="G40642" t="s">
        <v>10438</v>
      </c>
      <c r="H40642" s="21">
        <v>518.16999999999996</v>
      </c>
    </row>
    <row r="40643" spans="1:8" customFormat="1" x14ac:dyDescent="0.25">
      <c r="A40643" t="str">
        <f>"5954222"</f>
        <v>5954222</v>
      </c>
      <c r="B40643" t="s">
        <v>19611</v>
      </c>
      <c r="C40643" t="s">
        <v>24883</v>
      </c>
      <c r="D40643" s="21" t="s">
        <v>24820</v>
      </c>
      <c r="E40643" s="21" t="s">
        <v>35</v>
      </c>
      <c r="F40643">
        <v>7590361</v>
      </c>
      <c r="G40643" t="s">
        <v>3071</v>
      </c>
      <c r="H40643" s="21">
        <v>518.16999999999996</v>
      </c>
    </row>
    <row r="40644" spans="1:8" customFormat="1" x14ac:dyDescent="0.25">
      <c r="A40644" t="str">
        <f>"2937759"</f>
        <v>2937759</v>
      </c>
      <c r="B40644" t="s">
        <v>3647</v>
      </c>
      <c r="C40644" t="s">
        <v>24867</v>
      </c>
      <c r="D40644" s="21" t="s">
        <v>24820</v>
      </c>
      <c r="E40644" s="21" t="s">
        <v>35</v>
      </c>
      <c r="F40644">
        <v>3290278</v>
      </c>
      <c r="G40644" t="s">
        <v>3649</v>
      </c>
      <c r="H40644" s="21">
        <v>518</v>
      </c>
    </row>
    <row r="40645" spans="1:8" customFormat="1" x14ac:dyDescent="0.25">
      <c r="A40645" t="str">
        <f>"5976800"</f>
        <v>5976800</v>
      </c>
      <c r="B40645" t="s">
        <v>26228</v>
      </c>
      <c r="C40645" t="s">
        <v>26229</v>
      </c>
      <c r="D40645" s="21" t="s">
        <v>24820</v>
      </c>
      <c r="E40645" s="21" t="s">
        <v>35</v>
      </c>
      <c r="F40645">
        <v>7590050</v>
      </c>
      <c r="G40645" t="s">
        <v>473</v>
      </c>
      <c r="H40645" s="21">
        <v>518</v>
      </c>
    </row>
    <row r="40646" spans="1:8" customFormat="1" x14ac:dyDescent="0.25">
      <c r="A40646" t="str">
        <f>"1614690"</f>
        <v>1614690</v>
      </c>
      <c r="B40646" t="s">
        <v>6815</v>
      </c>
      <c r="C40646" t="s">
        <v>25160</v>
      </c>
      <c r="D40646" s="21" t="s">
        <v>24820</v>
      </c>
      <c r="E40646" s="21" t="s">
        <v>35</v>
      </c>
      <c r="F40646">
        <v>10160029</v>
      </c>
      <c r="G40646" t="s">
        <v>896</v>
      </c>
      <c r="H40646" s="21">
        <v>518</v>
      </c>
    </row>
    <row r="40647" spans="1:8" customFormat="1" x14ac:dyDescent="0.25">
      <c r="A40647" t="str">
        <f>"5719711"</f>
        <v>5719711</v>
      </c>
      <c r="B40647" t="s">
        <v>13962</v>
      </c>
      <c r="C40647" t="s">
        <v>24867</v>
      </c>
      <c r="D40647" s="21" t="s">
        <v>24820</v>
      </c>
      <c r="E40647" s="21" t="s">
        <v>35</v>
      </c>
      <c r="F40647">
        <v>6570146</v>
      </c>
      <c r="G40647" t="s">
        <v>1556</v>
      </c>
      <c r="H40647" s="21">
        <v>517.91999999999996</v>
      </c>
    </row>
    <row r="40648" spans="1:8" customFormat="1" x14ac:dyDescent="0.25">
      <c r="A40648" t="str">
        <f>"677370"</f>
        <v>677370</v>
      </c>
      <c r="B40648" t="s">
        <v>25554</v>
      </c>
      <c r="C40648" t="s">
        <v>23966</v>
      </c>
      <c r="D40648" s="21" t="s">
        <v>24820</v>
      </c>
      <c r="E40648" s="21" t="s">
        <v>71</v>
      </c>
      <c r="F40648">
        <v>13840005</v>
      </c>
      <c r="G40648" t="s">
        <v>2145</v>
      </c>
      <c r="H40648" s="21">
        <v>517.66999999999996</v>
      </c>
    </row>
    <row r="40649" spans="1:8" customFormat="1" x14ac:dyDescent="0.25">
      <c r="A40649" t="str">
        <f>"8018963"</f>
        <v>8018963</v>
      </c>
      <c r="B40649" t="s">
        <v>26145</v>
      </c>
      <c r="C40649" t="s">
        <v>25105</v>
      </c>
      <c r="D40649" s="21" t="s">
        <v>24820</v>
      </c>
      <c r="E40649" s="21" t="s">
        <v>35</v>
      </c>
      <c r="F40649">
        <v>7800141</v>
      </c>
      <c r="G40649" t="s">
        <v>9939</v>
      </c>
      <c r="H40649" s="21">
        <v>517.66999999999996</v>
      </c>
    </row>
    <row r="40650" spans="1:8" customFormat="1" x14ac:dyDescent="0.25">
      <c r="A40650" t="str">
        <f>"029628"</f>
        <v>029628</v>
      </c>
      <c r="B40650" t="s">
        <v>4711</v>
      </c>
      <c r="C40650" t="s">
        <v>24828</v>
      </c>
      <c r="D40650" s="21" t="s">
        <v>24820</v>
      </c>
      <c r="E40650" s="21" t="s">
        <v>35</v>
      </c>
      <c r="F40650">
        <v>7020044</v>
      </c>
      <c r="G40650" t="s">
        <v>4690</v>
      </c>
      <c r="H40650" s="21">
        <v>517.66999999999996</v>
      </c>
    </row>
    <row r="40651" spans="1:8" customFormat="1" x14ac:dyDescent="0.25">
      <c r="A40651" t="str">
        <f>"4937110"</f>
        <v>4937110</v>
      </c>
      <c r="B40651" t="s">
        <v>6098</v>
      </c>
      <c r="C40651" t="s">
        <v>22831</v>
      </c>
      <c r="D40651" s="21" t="s">
        <v>24820</v>
      </c>
      <c r="E40651" s="21" t="s">
        <v>35</v>
      </c>
      <c r="F40651">
        <v>12490088</v>
      </c>
      <c r="G40651" t="s">
        <v>10688</v>
      </c>
      <c r="H40651" s="21">
        <v>517.16999999999996</v>
      </c>
    </row>
    <row r="40652" spans="1:8" customFormat="1" x14ac:dyDescent="0.25">
      <c r="A40652" t="str">
        <f>"7818923"</f>
        <v>7818923</v>
      </c>
      <c r="B40652" t="s">
        <v>25539</v>
      </c>
      <c r="C40652" t="s">
        <v>24897</v>
      </c>
      <c r="D40652" s="21" t="s">
        <v>24820</v>
      </c>
      <c r="E40652" s="21" t="s">
        <v>71</v>
      </c>
      <c r="F40652">
        <v>8780114</v>
      </c>
      <c r="G40652" t="s">
        <v>927</v>
      </c>
      <c r="H40652" s="21">
        <v>517.16999999999996</v>
      </c>
    </row>
    <row r="40653" spans="1:8" customFormat="1" x14ac:dyDescent="0.25">
      <c r="A40653" t="str">
        <f>"114122"</f>
        <v>114122</v>
      </c>
      <c r="B40653" t="s">
        <v>25533</v>
      </c>
      <c r="C40653" t="s">
        <v>25534</v>
      </c>
      <c r="D40653" s="21" t="s">
        <v>24820</v>
      </c>
      <c r="E40653" s="21" t="s">
        <v>254</v>
      </c>
      <c r="F40653">
        <v>11110024</v>
      </c>
      <c r="G40653" t="s">
        <v>3378</v>
      </c>
      <c r="H40653" s="21">
        <v>517.16999999999996</v>
      </c>
    </row>
    <row r="40654" spans="1:8" customFormat="1" x14ac:dyDescent="0.25">
      <c r="A40654" t="str">
        <f>"0612319"</f>
        <v>0612319</v>
      </c>
      <c r="B40654" t="s">
        <v>25673</v>
      </c>
      <c r="C40654" t="s">
        <v>25178</v>
      </c>
      <c r="D40654" s="21" t="s">
        <v>24820</v>
      </c>
      <c r="E40654" s="21" t="s">
        <v>71</v>
      </c>
      <c r="F40654">
        <v>13060102</v>
      </c>
      <c r="G40654" t="s">
        <v>2918</v>
      </c>
      <c r="H40654" s="21">
        <v>517.12</v>
      </c>
    </row>
    <row r="40655" spans="1:8" customFormat="1" x14ac:dyDescent="0.25">
      <c r="A40655" t="str">
        <f>"1612130"</f>
        <v>1612130</v>
      </c>
      <c r="B40655" t="s">
        <v>21192</v>
      </c>
      <c r="C40655" t="s">
        <v>25260</v>
      </c>
      <c r="D40655" s="21" t="s">
        <v>24820</v>
      </c>
      <c r="E40655" s="21" t="s">
        <v>71</v>
      </c>
      <c r="F40655">
        <v>10160042</v>
      </c>
      <c r="G40655" t="s">
        <v>7461</v>
      </c>
      <c r="H40655" s="21">
        <v>517</v>
      </c>
    </row>
    <row r="40656" spans="1:8" customFormat="1" x14ac:dyDescent="0.25">
      <c r="A40656" t="str">
        <f>"2513367"</f>
        <v>2513367</v>
      </c>
      <c r="B40656" t="s">
        <v>5415</v>
      </c>
      <c r="C40656" t="s">
        <v>22831</v>
      </c>
      <c r="D40656" s="21" t="s">
        <v>24820</v>
      </c>
      <c r="E40656" s="21" t="s">
        <v>35</v>
      </c>
      <c r="F40656">
        <v>2250208</v>
      </c>
      <c r="G40656" t="s">
        <v>10923</v>
      </c>
      <c r="H40656" s="21">
        <v>517</v>
      </c>
    </row>
    <row r="40657" spans="1:8" customFormat="1" x14ac:dyDescent="0.25">
      <c r="A40657" t="str">
        <f>"878381"</f>
        <v>878381</v>
      </c>
      <c r="B40657" t="s">
        <v>25976</v>
      </c>
      <c r="C40657" t="s">
        <v>25728</v>
      </c>
      <c r="D40657" s="21" t="s">
        <v>24820</v>
      </c>
      <c r="E40657" s="21" t="s">
        <v>1089</v>
      </c>
      <c r="F40657">
        <v>10870031</v>
      </c>
      <c r="G40657" t="s">
        <v>959</v>
      </c>
      <c r="H40657" s="21">
        <v>516.91999999999996</v>
      </c>
    </row>
    <row r="40658" spans="1:8" customFormat="1" x14ac:dyDescent="0.25">
      <c r="A40658" t="str">
        <f>"6226998"</f>
        <v>6226998</v>
      </c>
      <c r="B40658" t="s">
        <v>19566</v>
      </c>
      <c r="C40658" t="s">
        <v>24915</v>
      </c>
      <c r="D40658" s="21" t="s">
        <v>24820</v>
      </c>
      <c r="E40658" s="21" t="s">
        <v>35</v>
      </c>
      <c r="F40658">
        <v>7620139</v>
      </c>
      <c r="G40658" t="s">
        <v>2061</v>
      </c>
      <c r="H40658" s="21">
        <v>516.66999999999996</v>
      </c>
    </row>
    <row r="40659" spans="1:8" customFormat="1" x14ac:dyDescent="0.25">
      <c r="A40659" t="str">
        <f>"4523907"</f>
        <v>4523907</v>
      </c>
      <c r="B40659" t="s">
        <v>8853</v>
      </c>
      <c r="C40659" t="s">
        <v>24867</v>
      </c>
      <c r="D40659" s="21" t="s">
        <v>24820</v>
      </c>
      <c r="E40659" s="21" t="s">
        <v>35</v>
      </c>
      <c r="F40659">
        <v>4450362</v>
      </c>
      <c r="G40659" t="s">
        <v>20963</v>
      </c>
      <c r="H40659" s="21">
        <v>516.66999999999996</v>
      </c>
    </row>
    <row r="40660" spans="1:8" customFormat="1" x14ac:dyDescent="0.25">
      <c r="A40660" t="str">
        <f>"177209"</f>
        <v>177209</v>
      </c>
      <c r="B40660" t="s">
        <v>19754</v>
      </c>
      <c r="C40660" t="s">
        <v>24852</v>
      </c>
      <c r="D40660" s="21" t="s">
        <v>24820</v>
      </c>
      <c r="E40660" s="21" t="s">
        <v>35</v>
      </c>
      <c r="F40660">
        <v>10170138</v>
      </c>
      <c r="G40660" t="s">
        <v>13853</v>
      </c>
      <c r="H40660" s="21">
        <v>516.66999999999996</v>
      </c>
    </row>
    <row r="40661" spans="1:8" customFormat="1" x14ac:dyDescent="0.25">
      <c r="A40661" t="str">
        <f>"4434013"</f>
        <v>4434013</v>
      </c>
      <c r="B40661" t="s">
        <v>2854</v>
      </c>
      <c r="C40661" t="s">
        <v>24919</v>
      </c>
      <c r="D40661" s="21" t="s">
        <v>24820</v>
      </c>
      <c r="E40661" s="21" t="s">
        <v>35</v>
      </c>
      <c r="F40661">
        <v>12440049</v>
      </c>
      <c r="G40661" t="s">
        <v>3339</v>
      </c>
      <c r="H40661" s="21">
        <v>516.5</v>
      </c>
    </row>
    <row r="40662" spans="1:8" customFormat="1" x14ac:dyDescent="0.25">
      <c r="A40662" t="str">
        <f>"9253580"</f>
        <v>9253580</v>
      </c>
      <c r="B40662" t="s">
        <v>8432</v>
      </c>
      <c r="C40662" t="s">
        <v>24937</v>
      </c>
      <c r="D40662" s="21" t="s">
        <v>24820</v>
      </c>
      <c r="E40662" s="21" t="s">
        <v>35</v>
      </c>
      <c r="F40662">
        <v>8920049</v>
      </c>
      <c r="G40662" t="s">
        <v>237</v>
      </c>
      <c r="H40662" s="21">
        <v>516.25</v>
      </c>
    </row>
    <row r="40663" spans="1:8" customFormat="1" x14ac:dyDescent="0.25">
      <c r="A40663" t="str">
        <f>"3725171"</f>
        <v>3725171</v>
      </c>
      <c r="B40663" t="s">
        <v>26169</v>
      </c>
      <c r="C40663" t="s">
        <v>25765</v>
      </c>
      <c r="D40663" s="21" t="s">
        <v>24820</v>
      </c>
      <c r="E40663" s="21" t="s">
        <v>71</v>
      </c>
      <c r="F40663">
        <v>4370566</v>
      </c>
      <c r="G40663" t="s">
        <v>4710</v>
      </c>
      <c r="H40663" s="21">
        <v>516.16999999999996</v>
      </c>
    </row>
    <row r="40664" spans="1:8" customFormat="1" x14ac:dyDescent="0.25">
      <c r="A40664" t="str">
        <f>"7920784"</f>
        <v>7920784</v>
      </c>
      <c r="B40664" t="s">
        <v>19232</v>
      </c>
      <c r="C40664" t="s">
        <v>24968</v>
      </c>
      <c r="D40664" s="21" t="s">
        <v>24820</v>
      </c>
      <c r="E40664" s="21" t="s">
        <v>71</v>
      </c>
      <c r="F40664">
        <v>10790009</v>
      </c>
      <c r="G40664" t="s">
        <v>1155</v>
      </c>
      <c r="H40664" s="21">
        <v>516.16999999999996</v>
      </c>
    </row>
    <row r="40665" spans="1:8" customFormat="1" x14ac:dyDescent="0.25">
      <c r="A40665" t="str">
        <f>"847763"</f>
        <v>847763</v>
      </c>
      <c r="B40665" t="s">
        <v>4138</v>
      </c>
      <c r="C40665" t="s">
        <v>26073</v>
      </c>
      <c r="D40665" s="21" t="s">
        <v>24820</v>
      </c>
      <c r="E40665" s="21" t="s">
        <v>35</v>
      </c>
      <c r="F40665">
        <v>13840028</v>
      </c>
      <c r="G40665" t="s">
        <v>4139</v>
      </c>
      <c r="H40665" s="21">
        <v>516</v>
      </c>
    </row>
    <row r="40666" spans="1:8" customFormat="1" x14ac:dyDescent="0.25">
      <c r="A40666" t="str">
        <f>"5620659"</f>
        <v>5620659</v>
      </c>
      <c r="B40666" t="s">
        <v>29814</v>
      </c>
      <c r="C40666" t="s">
        <v>22831</v>
      </c>
      <c r="D40666" s="21" t="s">
        <v>24820</v>
      </c>
      <c r="E40666" s="21" t="s">
        <v>35</v>
      </c>
      <c r="F40666">
        <v>3560059</v>
      </c>
      <c r="G40666" t="s">
        <v>2033</v>
      </c>
      <c r="H40666" s="21">
        <v>516</v>
      </c>
    </row>
    <row r="40667" spans="1:8" customFormat="1" x14ac:dyDescent="0.25">
      <c r="A40667" t="str">
        <f>"894073"</f>
        <v>894073</v>
      </c>
      <c r="B40667" t="s">
        <v>25543</v>
      </c>
      <c r="C40667" t="s">
        <v>25544</v>
      </c>
      <c r="D40667" s="21" t="s">
        <v>24820</v>
      </c>
      <c r="E40667" s="21" t="s">
        <v>71</v>
      </c>
      <c r="F40667">
        <v>10330045</v>
      </c>
      <c r="G40667" t="s">
        <v>4506</v>
      </c>
      <c r="H40667" s="21">
        <v>515.79</v>
      </c>
    </row>
    <row r="40668" spans="1:8" customFormat="1" x14ac:dyDescent="0.25">
      <c r="A40668" t="str">
        <f>"351"</f>
        <v>351</v>
      </c>
      <c r="B40668" t="s">
        <v>25414</v>
      </c>
      <c r="C40668" t="s">
        <v>25415</v>
      </c>
      <c r="D40668" s="21" t="s">
        <v>24820</v>
      </c>
      <c r="E40668" s="21" t="s">
        <v>1089</v>
      </c>
      <c r="F40668">
        <v>3350063</v>
      </c>
      <c r="G40668" t="s">
        <v>14782</v>
      </c>
      <c r="H40668" s="21">
        <v>515.66999999999996</v>
      </c>
    </row>
    <row r="40669" spans="1:8" customFormat="1" x14ac:dyDescent="0.25">
      <c r="A40669" t="str">
        <f>"5973158"</f>
        <v>5973158</v>
      </c>
      <c r="B40669" t="s">
        <v>12330</v>
      </c>
      <c r="C40669" t="s">
        <v>25053</v>
      </c>
      <c r="D40669" s="21" t="s">
        <v>24820</v>
      </c>
      <c r="E40669" s="21" t="s">
        <v>35</v>
      </c>
      <c r="F40669">
        <v>7590061</v>
      </c>
      <c r="G40669" t="s">
        <v>1207</v>
      </c>
      <c r="H40669" s="21">
        <v>515.66999999999996</v>
      </c>
    </row>
    <row r="40670" spans="1:8" customFormat="1" x14ac:dyDescent="0.25">
      <c r="A40670" t="str">
        <f>"5010602"</f>
        <v>5010602</v>
      </c>
      <c r="B40670" t="s">
        <v>25558</v>
      </c>
      <c r="C40670" t="s">
        <v>25559</v>
      </c>
      <c r="D40670" s="21" t="s">
        <v>24820</v>
      </c>
      <c r="E40670" s="21" t="s">
        <v>35</v>
      </c>
      <c r="F40670">
        <v>9500131</v>
      </c>
      <c r="G40670" t="s">
        <v>1073</v>
      </c>
      <c r="H40670" s="21">
        <v>515.66999999999996</v>
      </c>
    </row>
    <row r="40671" spans="1:8" customFormat="1" x14ac:dyDescent="0.25">
      <c r="A40671" t="str">
        <f>"027174"</f>
        <v>027174</v>
      </c>
      <c r="B40671" t="s">
        <v>25557</v>
      </c>
      <c r="C40671" t="s">
        <v>25010</v>
      </c>
      <c r="D40671" s="21" t="s">
        <v>24820</v>
      </c>
      <c r="E40671" s="21" t="s">
        <v>254</v>
      </c>
      <c r="F40671">
        <v>7020001</v>
      </c>
      <c r="G40671" t="s">
        <v>3854</v>
      </c>
      <c r="H40671" s="21">
        <v>515.66999999999996</v>
      </c>
    </row>
    <row r="40672" spans="1:8" customFormat="1" x14ac:dyDescent="0.25">
      <c r="A40672" t="str">
        <f>"3337293"</f>
        <v>3337293</v>
      </c>
      <c r="B40672" t="s">
        <v>10241</v>
      </c>
      <c r="C40672" t="s">
        <v>24854</v>
      </c>
      <c r="D40672" s="21" t="s">
        <v>24820</v>
      </c>
      <c r="E40672" s="21" t="s">
        <v>35</v>
      </c>
      <c r="F40672">
        <v>10330002</v>
      </c>
      <c r="G40672" t="s">
        <v>53</v>
      </c>
      <c r="H40672" s="21">
        <v>515.66999999999996</v>
      </c>
    </row>
    <row r="40673" spans="1:8" customFormat="1" x14ac:dyDescent="0.25">
      <c r="A40673" t="str">
        <f>"33125"</f>
        <v>33125</v>
      </c>
      <c r="B40673" t="s">
        <v>26289</v>
      </c>
      <c r="C40673" t="s">
        <v>25274</v>
      </c>
      <c r="D40673" s="21" t="s">
        <v>24820</v>
      </c>
      <c r="E40673" s="21" t="s">
        <v>254</v>
      </c>
      <c r="F40673">
        <v>10330013</v>
      </c>
      <c r="G40673" t="s">
        <v>613</v>
      </c>
      <c r="H40673" s="21">
        <v>515.66999999999996</v>
      </c>
    </row>
    <row r="40674" spans="1:8" customFormat="1" x14ac:dyDescent="0.25">
      <c r="A40674" t="str">
        <f>"5323703"</f>
        <v>5323703</v>
      </c>
      <c r="B40674" t="s">
        <v>21727</v>
      </c>
      <c r="C40674" t="s">
        <v>25053</v>
      </c>
      <c r="D40674" s="21" t="s">
        <v>24820</v>
      </c>
      <c r="E40674" s="21" t="s">
        <v>35</v>
      </c>
      <c r="F40674">
        <v>12530038</v>
      </c>
      <c r="G40674" t="s">
        <v>4955</v>
      </c>
      <c r="H40674" s="21">
        <v>515.66999999999996</v>
      </c>
    </row>
    <row r="40675" spans="1:8" customFormat="1" x14ac:dyDescent="0.25">
      <c r="A40675" t="str">
        <f>"2214959"</f>
        <v>2214959</v>
      </c>
      <c r="B40675" t="s">
        <v>363</v>
      </c>
      <c r="C40675" t="s">
        <v>24958</v>
      </c>
      <c r="D40675" s="21" t="s">
        <v>24820</v>
      </c>
      <c r="E40675" s="21" t="s">
        <v>71</v>
      </c>
      <c r="F40675">
        <v>3350074</v>
      </c>
      <c r="G40675" t="s">
        <v>5432</v>
      </c>
      <c r="H40675" s="21">
        <v>515.5</v>
      </c>
    </row>
    <row r="40676" spans="1:8" customFormat="1" x14ac:dyDescent="0.25">
      <c r="A40676" t="str">
        <f>"1414910"</f>
        <v>1414910</v>
      </c>
      <c r="B40676" t="s">
        <v>26335</v>
      </c>
      <c r="C40676" t="s">
        <v>24854</v>
      </c>
      <c r="D40676" s="21" t="s">
        <v>24820</v>
      </c>
      <c r="E40676" s="21" t="s">
        <v>71</v>
      </c>
      <c r="F40676">
        <v>9140052</v>
      </c>
      <c r="G40676" t="s">
        <v>26563</v>
      </c>
      <c r="H40676" s="21">
        <v>515.5</v>
      </c>
    </row>
    <row r="40677" spans="1:8" customFormat="1" x14ac:dyDescent="0.25">
      <c r="A40677" t="str">
        <f>"2936037"</f>
        <v>2936037</v>
      </c>
      <c r="B40677" t="s">
        <v>10227</v>
      </c>
      <c r="C40677" t="s">
        <v>25315</v>
      </c>
      <c r="D40677" s="21" t="s">
        <v>24820</v>
      </c>
      <c r="E40677" s="21" t="s">
        <v>35</v>
      </c>
      <c r="F40677">
        <v>3290036</v>
      </c>
      <c r="G40677" t="s">
        <v>3903</v>
      </c>
      <c r="H40677" s="21">
        <v>515.5</v>
      </c>
    </row>
    <row r="40678" spans="1:8" customFormat="1" x14ac:dyDescent="0.25">
      <c r="A40678" t="str">
        <f>"838158"</f>
        <v>838158</v>
      </c>
      <c r="B40678" t="s">
        <v>26171</v>
      </c>
      <c r="C40678" t="s">
        <v>26172</v>
      </c>
      <c r="D40678" s="21" t="s">
        <v>24820</v>
      </c>
      <c r="E40678" s="21" t="s">
        <v>1089</v>
      </c>
      <c r="F40678">
        <v>13060111</v>
      </c>
      <c r="G40678" t="s">
        <v>26647</v>
      </c>
      <c r="H40678" s="21">
        <v>515.29</v>
      </c>
    </row>
    <row r="40679" spans="1:8" customFormat="1" x14ac:dyDescent="0.25">
      <c r="A40679" t="str">
        <f>"1715952"</f>
        <v>1715952</v>
      </c>
      <c r="B40679" t="s">
        <v>11447</v>
      </c>
      <c r="C40679" t="s">
        <v>25019</v>
      </c>
      <c r="D40679" s="21" t="s">
        <v>24820</v>
      </c>
      <c r="E40679" s="21" t="s">
        <v>35</v>
      </c>
      <c r="F40679">
        <v>10170050</v>
      </c>
      <c r="G40679" t="s">
        <v>2514</v>
      </c>
      <c r="H40679" s="21">
        <v>515.25</v>
      </c>
    </row>
    <row r="40680" spans="1:8" customFormat="1" x14ac:dyDescent="0.25">
      <c r="A40680" t="str">
        <f>"7923941"</f>
        <v>7923941</v>
      </c>
      <c r="B40680" t="s">
        <v>7561</v>
      </c>
      <c r="C40680" t="s">
        <v>25247</v>
      </c>
      <c r="D40680" s="21" t="s">
        <v>24820</v>
      </c>
      <c r="E40680" s="21" t="s">
        <v>35</v>
      </c>
      <c r="F40680">
        <v>10790009</v>
      </c>
      <c r="G40680" t="s">
        <v>1155</v>
      </c>
      <c r="H40680" s="21">
        <v>515.16999999999996</v>
      </c>
    </row>
    <row r="40681" spans="1:8" customFormat="1" x14ac:dyDescent="0.25">
      <c r="A40681" t="str">
        <f>"5810033"</f>
        <v>5810033</v>
      </c>
      <c r="B40681" t="s">
        <v>25503</v>
      </c>
      <c r="C40681" t="s">
        <v>24838</v>
      </c>
      <c r="D40681" s="21" t="s">
        <v>24820</v>
      </c>
      <c r="E40681" s="21" t="s">
        <v>35</v>
      </c>
      <c r="F40681">
        <v>2580091</v>
      </c>
      <c r="G40681" t="s">
        <v>13057</v>
      </c>
      <c r="H40681" s="21">
        <v>515.16999999999996</v>
      </c>
    </row>
    <row r="40682" spans="1:8" customFormat="1" x14ac:dyDescent="0.25">
      <c r="A40682" t="str">
        <f>"8529477"</f>
        <v>8529477</v>
      </c>
      <c r="B40682" t="s">
        <v>8910</v>
      </c>
      <c r="C40682" t="s">
        <v>24888</v>
      </c>
      <c r="D40682" s="21" t="s">
        <v>24820</v>
      </c>
      <c r="E40682" s="21" t="s">
        <v>35</v>
      </c>
      <c r="F40682">
        <v>12850046</v>
      </c>
      <c r="G40682" t="s">
        <v>3136</v>
      </c>
      <c r="H40682" s="21">
        <v>515</v>
      </c>
    </row>
    <row r="40683" spans="1:8" customFormat="1" x14ac:dyDescent="0.25">
      <c r="A40683" t="str">
        <f>"188582"</f>
        <v>188582</v>
      </c>
      <c r="B40683" t="s">
        <v>1640</v>
      </c>
      <c r="C40683" t="s">
        <v>24883</v>
      </c>
      <c r="D40683" s="21" t="s">
        <v>24820</v>
      </c>
      <c r="E40683" s="21" t="s">
        <v>71</v>
      </c>
      <c r="F40683">
        <v>4360726</v>
      </c>
      <c r="G40683" t="s">
        <v>5506</v>
      </c>
      <c r="H40683" s="21">
        <v>514.62</v>
      </c>
    </row>
    <row r="40684" spans="1:8" customFormat="1" x14ac:dyDescent="0.25">
      <c r="A40684" t="str">
        <f>"756826"</f>
        <v>756826</v>
      </c>
      <c r="B40684" t="s">
        <v>2082</v>
      </c>
      <c r="C40684" t="s">
        <v>24828</v>
      </c>
      <c r="D40684" s="21" t="s">
        <v>24820</v>
      </c>
      <c r="E40684" s="21" t="s">
        <v>35</v>
      </c>
      <c r="F40684">
        <v>11310098</v>
      </c>
      <c r="G40684" t="s">
        <v>371</v>
      </c>
      <c r="H40684" s="21">
        <v>514.5</v>
      </c>
    </row>
    <row r="40685" spans="1:8" customFormat="1" x14ac:dyDescent="0.25">
      <c r="A40685" t="str">
        <f>"4453996"</f>
        <v>4453996</v>
      </c>
      <c r="B40685" t="s">
        <v>18094</v>
      </c>
      <c r="C40685" t="s">
        <v>24824</v>
      </c>
      <c r="D40685" s="21" t="s">
        <v>24820</v>
      </c>
      <c r="E40685" s="21" t="s">
        <v>35</v>
      </c>
      <c r="F40685">
        <v>12440262</v>
      </c>
      <c r="G40685" t="s">
        <v>4590</v>
      </c>
      <c r="H40685" s="21">
        <v>514.5</v>
      </c>
    </row>
    <row r="40686" spans="1:8" customFormat="1" x14ac:dyDescent="0.25">
      <c r="A40686" t="str">
        <f>"3537108"</f>
        <v>3537108</v>
      </c>
      <c r="B40686" t="s">
        <v>26196</v>
      </c>
      <c r="C40686" t="s">
        <v>25646</v>
      </c>
      <c r="D40686" s="21" t="s">
        <v>24820</v>
      </c>
      <c r="E40686" s="21" t="s">
        <v>35</v>
      </c>
      <c r="F40686">
        <v>3350199</v>
      </c>
      <c r="G40686" t="s">
        <v>5603</v>
      </c>
      <c r="H40686" s="21">
        <v>514.41999999999996</v>
      </c>
    </row>
    <row r="40687" spans="1:8" customFormat="1" x14ac:dyDescent="0.25">
      <c r="A40687" t="str">
        <f>"1320280"</f>
        <v>1320280</v>
      </c>
      <c r="B40687" t="s">
        <v>25798</v>
      </c>
      <c r="C40687" t="s">
        <v>23734</v>
      </c>
      <c r="D40687" s="21" t="s">
        <v>24820</v>
      </c>
      <c r="E40687" s="21" t="s">
        <v>71</v>
      </c>
      <c r="F40687">
        <v>13130049</v>
      </c>
      <c r="G40687" t="s">
        <v>13169</v>
      </c>
      <c r="H40687" s="21">
        <v>514.38</v>
      </c>
    </row>
    <row r="40688" spans="1:8" customFormat="1" x14ac:dyDescent="0.25">
      <c r="A40688" t="str">
        <f>"6911293"</f>
        <v>6911293</v>
      </c>
      <c r="B40688" t="s">
        <v>25664</v>
      </c>
      <c r="C40688" t="s">
        <v>24898</v>
      </c>
      <c r="D40688" s="21" t="s">
        <v>24820</v>
      </c>
      <c r="E40688" s="21" t="s">
        <v>254</v>
      </c>
      <c r="F40688">
        <v>1690090</v>
      </c>
      <c r="G40688" t="s">
        <v>6286</v>
      </c>
      <c r="H40688" s="21">
        <v>514.25</v>
      </c>
    </row>
    <row r="40689" spans="1:8" customFormat="1" x14ac:dyDescent="0.25">
      <c r="A40689" t="str">
        <f>"9137300"</f>
        <v>9137300</v>
      </c>
      <c r="B40689" t="s">
        <v>2240</v>
      </c>
      <c r="C40689" t="s">
        <v>24931</v>
      </c>
      <c r="D40689" s="21" t="s">
        <v>24820</v>
      </c>
      <c r="E40689" s="21" t="s">
        <v>35</v>
      </c>
      <c r="F40689">
        <v>8910861</v>
      </c>
      <c r="G40689" t="s">
        <v>1120</v>
      </c>
      <c r="H40689" s="21">
        <v>514.16999999999996</v>
      </c>
    </row>
    <row r="40690" spans="1:8" customFormat="1" x14ac:dyDescent="0.25">
      <c r="A40690" t="str">
        <f>"4926298"</f>
        <v>4926298</v>
      </c>
      <c r="B40690" t="s">
        <v>23744</v>
      </c>
      <c r="C40690" t="s">
        <v>24869</v>
      </c>
      <c r="D40690" s="21" t="s">
        <v>24820</v>
      </c>
      <c r="E40690" s="21" t="s">
        <v>35</v>
      </c>
      <c r="F40690">
        <v>12490069</v>
      </c>
      <c r="G40690" t="s">
        <v>5566</v>
      </c>
      <c r="H40690" s="21">
        <v>514.16999999999996</v>
      </c>
    </row>
    <row r="40691" spans="1:8" customFormat="1" x14ac:dyDescent="0.25">
      <c r="A40691" t="str">
        <f>"6313619"</f>
        <v>6313619</v>
      </c>
      <c r="B40691" t="s">
        <v>5077</v>
      </c>
      <c r="C40691" t="s">
        <v>24894</v>
      </c>
      <c r="D40691" s="21" t="s">
        <v>24820</v>
      </c>
      <c r="E40691" s="21" t="s">
        <v>35</v>
      </c>
      <c r="F40691">
        <v>1630301</v>
      </c>
      <c r="G40691" t="s">
        <v>7897</v>
      </c>
      <c r="H40691" s="21">
        <v>514.16999999999996</v>
      </c>
    </row>
    <row r="40692" spans="1:8" customFormat="1" x14ac:dyDescent="0.25">
      <c r="A40692" t="str">
        <f>"2938900"</f>
        <v>2938900</v>
      </c>
      <c r="B40692" t="s">
        <v>2093</v>
      </c>
      <c r="C40692" t="s">
        <v>24958</v>
      </c>
      <c r="D40692" s="21" t="s">
        <v>24820</v>
      </c>
      <c r="E40692" s="21" t="s">
        <v>71</v>
      </c>
      <c r="F40692">
        <v>3290232</v>
      </c>
      <c r="G40692" t="s">
        <v>9588</v>
      </c>
      <c r="H40692" s="21">
        <v>514</v>
      </c>
    </row>
    <row r="40693" spans="1:8" customFormat="1" x14ac:dyDescent="0.25">
      <c r="A40693" t="str">
        <f>"6935289"</f>
        <v>6935289</v>
      </c>
      <c r="B40693" t="s">
        <v>25584</v>
      </c>
      <c r="C40693" t="s">
        <v>25252</v>
      </c>
      <c r="D40693" s="21" t="s">
        <v>24820</v>
      </c>
      <c r="E40693" s="21" t="s">
        <v>71</v>
      </c>
      <c r="F40693">
        <v>1690030</v>
      </c>
      <c r="G40693" t="s">
        <v>432</v>
      </c>
      <c r="H40693" s="21">
        <v>514</v>
      </c>
    </row>
    <row r="40694" spans="1:8" customFormat="1" x14ac:dyDescent="0.25">
      <c r="A40694" t="str">
        <f>"394489"</f>
        <v>394489</v>
      </c>
      <c r="B40694" t="s">
        <v>8285</v>
      </c>
      <c r="C40694" t="s">
        <v>25200</v>
      </c>
      <c r="D40694" s="21" t="s">
        <v>24820</v>
      </c>
      <c r="E40694" s="21" t="s">
        <v>71</v>
      </c>
      <c r="F40694">
        <v>2390094</v>
      </c>
      <c r="G40694" t="s">
        <v>14784</v>
      </c>
      <c r="H40694" s="21">
        <v>514</v>
      </c>
    </row>
    <row r="40695" spans="1:8" customFormat="1" x14ac:dyDescent="0.25">
      <c r="A40695" t="str">
        <f>"7840444"</f>
        <v>7840444</v>
      </c>
      <c r="B40695" t="s">
        <v>25742</v>
      </c>
      <c r="C40695" t="s">
        <v>25743</v>
      </c>
      <c r="D40695" s="21" t="s">
        <v>24820</v>
      </c>
      <c r="E40695" s="21" t="s">
        <v>71</v>
      </c>
      <c r="F40695">
        <v>8780440</v>
      </c>
      <c r="G40695" t="s">
        <v>6629</v>
      </c>
      <c r="H40695" s="21">
        <v>514</v>
      </c>
    </row>
    <row r="40696" spans="1:8" customFormat="1" x14ac:dyDescent="0.25">
      <c r="A40696" t="str">
        <f>"8818083"</f>
        <v>8818083</v>
      </c>
      <c r="B40696" t="s">
        <v>25628</v>
      </c>
      <c r="C40696" t="s">
        <v>24686</v>
      </c>
      <c r="D40696" s="21" t="s">
        <v>24820</v>
      </c>
      <c r="E40696" s="21" t="s">
        <v>35</v>
      </c>
      <c r="F40696">
        <v>6880123</v>
      </c>
      <c r="G40696" t="s">
        <v>527</v>
      </c>
      <c r="H40696" s="21">
        <v>514</v>
      </c>
    </row>
    <row r="40697" spans="1:8" customFormat="1" x14ac:dyDescent="0.25">
      <c r="A40697" t="str">
        <f>"9529653"</f>
        <v>9529653</v>
      </c>
      <c r="B40697" t="s">
        <v>12794</v>
      </c>
      <c r="C40697" t="s">
        <v>25546</v>
      </c>
      <c r="D40697" s="21" t="s">
        <v>24820</v>
      </c>
      <c r="E40697" s="21" t="s">
        <v>71</v>
      </c>
      <c r="F40697">
        <v>8951411</v>
      </c>
      <c r="G40697" t="s">
        <v>416</v>
      </c>
      <c r="H40697" s="21">
        <v>513.88</v>
      </c>
    </row>
    <row r="40698" spans="1:8" customFormat="1" x14ac:dyDescent="0.25">
      <c r="A40698" t="str">
        <f>"5319707"</f>
        <v>5319707</v>
      </c>
      <c r="B40698" t="s">
        <v>15339</v>
      </c>
      <c r="C40698" t="s">
        <v>25353</v>
      </c>
      <c r="D40698" s="21" t="s">
        <v>24820</v>
      </c>
      <c r="E40698" s="21" t="s">
        <v>71</v>
      </c>
      <c r="F40698">
        <v>12530058</v>
      </c>
      <c r="G40698" t="s">
        <v>3128</v>
      </c>
      <c r="H40698" s="21">
        <v>513.5</v>
      </c>
    </row>
    <row r="40699" spans="1:8" customFormat="1" x14ac:dyDescent="0.25">
      <c r="A40699" t="str">
        <f>"7642417"</f>
        <v>7642417</v>
      </c>
      <c r="B40699" t="s">
        <v>8239</v>
      </c>
      <c r="C40699" t="s">
        <v>24828</v>
      </c>
      <c r="D40699" s="21" t="s">
        <v>24820</v>
      </c>
      <c r="E40699" s="21" t="s">
        <v>35</v>
      </c>
      <c r="F40699">
        <v>9760104</v>
      </c>
      <c r="G40699" t="s">
        <v>26795</v>
      </c>
      <c r="H40699" s="21">
        <v>513.38</v>
      </c>
    </row>
    <row r="40700" spans="1:8" customFormat="1" x14ac:dyDescent="0.25">
      <c r="A40700" t="str">
        <f>"135309"</f>
        <v>135309</v>
      </c>
      <c r="B40700" t="s">
        <v>18670</v>
      </c>
      <c r="C40700" t="s">
        <v>24854</v>
      </c>
      <c r="D40700" s="21" t="s">
        <v>24820</v>
      </c>
      <c r="E40700" s="21" t="s">
        <v>35</v>
      </c>
      <c r="F40700">
        <v>13130004</v>
      </c>
      <c r="G40700" t="s">
        <v>942</v>
      </c>
      <c r="H40700" s="21">
        <v>513.16999999999996</v>
      </c>
    </row>
    <row r="40701" spans="1:8" customFormat="1" x14ac:dyDescent="0.25">
      <c r="A40701" t="str">
        <f>"124844"</f>
        <v>124844</v>
      </c>
      <c r="B40701" t="s">
        <v>2043</v>
      </c>
      <c r="C40701" t="s">
        <v>24958</v>
      </c>
      <c r="D40701" s="21" t="s">
        <v>24820</v>
      </c>
      <c r="E40701" s="21" t="s">
        <v>35</v>
      </c>
      <c r="F40701">
        <v>11120046</v>
      </c>
      <c r="G40701" t="s">
        <v>15491</v>
      </c>
      <c r="H40701" s="21">
        <v>513.04</v>
      </c>
    </row>
    <row r="40702" spans="1:8" customFormat="1" x14ac:dyDescent="0.25">
      <c r="A40702" t="str">
        <f>"0210045"</f>
        <v>0210045</v>
      </c>
      <c r="B40702" t="s">
        <v>974</v>
      </c>
      <c r="C40702" t="s">
        <v>25601</v>
      </c>
      <c r="D40702" s="21" t="s">
        <v>24820</v>
      </c>
      <c r="E40702" s="21" t="s">
        <v>35</v>
      </c>
      <c r="F40702">
        <v>7020031</v>
      </c>
      <c r="G40702" t="s">
        <v>828</v>
      </c>
      <c r="H40702" s="21">
        <v>513</v>
      </c>
    </row>
    <row r="40703" spans="1:8" customFormat="1" x14ac:dyDescent="0.25">
      <c r="A40703" t="str">
        <f>"4453482"</f>
        <v>4453482</v>
      </c>
      <c r="B40703" t="s">
        <v>26260</v>
      </c>
      <c r="C40703" t="s">
        <v>23734</v>
      </c>
      <c r="D40703" s="21" t="s">
        <v>24820</v>
      </c>
      <c r="E40703" s="21" t="s">
        <v>71</v>
      </c>
      <c r="F40703">
        <v>12440094</v>
      </c>
      <c r="G40703" t="s">
        <v>892</v>
      </c>
      <c r="H40703" s="21">
        <v>513</v>
      </c>
    </row>
    <row r="40704" spans="1:8" customFormat="1" x14ac:dyDescent="0.25">
      <c r="A40704" t="str">
        <f>"6316006"</f>
        <v>6316006</v>
      </c>
      <c r="B40704" t="s">
        <v>24125</v>
      </c>
      <c r="C40704" t="s">
        <v>25053</v>
      </c>
      <c r="D40704" s="21" t="s">
        <v>24820</v>
      </c>
      <c r="E40704" s="21" t="s">
        <v>35</v>
      </c>
      <c r="F40704">
        <v>1630298</v>
      </c>
      <c r="G40704" t="s">
        <v>7247</v>
      </c>
      <c r="H40704" s="21">
        <v>512.88</v>
      </c>
    </row>
    <row r="40705" spans="1:8" customFormat="1" x14ac:dyDescent="0.25">
      <c r="A40705" t="str">
        <f>"2516361"</f>
        <v>2516361</v>
      </c>
      <c r="B40705" t="s">
        <v>13197</v>
      </c>
      <c r="C40705" t="s">
        <v>24927</v>
      </c>
      <c r="D40705" s="21" t="s">
        <v>24820</v>
      </c>
      <c r="E40705" s="21" t="s">
        <v>254</v>
      </c>
      <c r="F40705">
        <v>2250001</v>
      </c>
      <c r="G40705" t="s">
        <v>424</v>
      </c>
      <c r="H40705" s="21">
        <v>512.66999999999996</v>
      </c>
    </row>
    <row r="40706" spans="1:8" customFormat="1" x14ac:dyDescent="0.25">
      <c r="A40706" t="str">
        <f>"799946"</f>
        <v>799946</v>
      </c>
      <c r="B40706" t="s">
        <v>25568</v>
      </c>
      <c r="C40706" t="s">
        <v>22831</v>
      </c>
      <c r="D40706" s="21" t="s">
        <v>24820</v>
      </c>
      <c r="E40706" s="21" t="s">
        <v>71</v>
      </c>
      <c r="F40706">
        <v>10790186</v>
      </c>
      <c r="G40706" t="s">
        <v>16305</v>
      </c>
      <c r="H40706" s="21">
        <v>512.66999999999996</v>
      </c>
    </row>
    <row r="40707" spans="1:8" customFormat="1" x14ac:dyDescent="0.25">
      <c r="A40707" t="str">
        <f>"685891"</f>
        <v>685891</v>
      </c>
      <c r="B40707" t="s">
        <v>25462</v>
      </c>
      <c r="C40707" t="s">
        <v>24994</v>
      </c>
      <c r="D40707" s="21" t="s">
        <v>24820</v>
      </c>
      <c r="E40707" s="21" t="s">
        <v>71</v>
      </c>
      <c r="F40707">
        <v>6680130</v>
      </c>
      <c r="G40707" t="s">
        <v>26772</v>
      </c>
      <c r="H40707" s="21">
        <v>512.66999999999996</v>
      </c>
    </row>
    <row r="40708" spans="1:8" customFormat="1" x14ac:dyDescent="0.25">
      <c r="A40708" t="str">
        <f>"6926648"</f>
        <v>6926648</v>
      </c>
      <c r="B40708" t="s">
        <v>26139</v>
      </c>
      <c r="C40708" t="s">
        <v>24836</v>
      </c>
      <c r="D40708" s="21" t="s">
        <v>24820</v>
      </c>
      <c r="E40708" s="21" t="s">
        <v>71</v>
      </c>
      <c r="F40708">
        <v>1690090</v>
      </c>
      <c r="G40708" t="s">
        <v>6286</v>
      </c>
      <c r="H40708" s="21">
        <v>512.5</v>
      </c>
    </row>
    <row r="40709" spans="1:8" customFormat="1" x14ac:dyDescent="0.25">
      <c r="A40709" t="str">
        <f>"4428630"</f>
        <v>4428630</v>
      </c>
      <c r="B40709" t="s">
        <v>26266</v>
      </c>
      <c r="C40709" t="s">
        <v>24877</v>
      </c>
      <c r="D40709" s="21" t="s">
        <v>24820</v>
      </c>
      <c r="E40709" s="21" t="s">
        <v>1089</v>
      </c>
      <c r="F40709">
        <v>12440238</v>
      </c>
      <c r="G40709" t="s">
        <v>5258</v>
      </c>
      <c r="H40709" s="21">
        <v>512.16999999999996</v>
      </c>
    </row>
    <row r="40710" spans="1:8" customFormat="1" x14ac:dyDescent="0.25">
      <c r="A40710" t="str">
        <f>"6311117"</f>
        <v>6311117</v>
      </c>
      <c r="B40710" t="s">
        <v>23061</v>
      </c>
      <c r="C40710" t="s">
        <v>22831</v>
      </c>
      <c r="D40710" s="21" t="s">
        <v>24820</v>
      </c>
      <c r="E40710" s="21" t="s">
        <v>71</v>
      </c>
      <c r="F40710">
        <v>1630009</v>
      </c>
      <c r="G40710" t="s">
        <v>6021</v>
      </c>
      <c r="H40710" s="21">
        <v>512</v>
      </c>
    </row>
    <row r="40711" spans="1:8" customFormat="1" x14ac:dyDescent="0.25">
      <c r="A40711" t="str">
        <f>"8313742"</f>
        <v>8313742</v>
      </c>
      <c r="B40711" t="s">
        <v>20883</v>
      </c>
      <c r="C40711" t="s">
        <v>23734</v>
      </c>
      <c r="D40711" s="21" t="s">
        <v>24820</v>
      </c>
      <c r="E40711" s="21" t="s">
        <v>71</v>
      </c>
      <c r="F40711">
        <v>13830089</v>
      </c>
      <c r="G40711" t="s">
        <v>14112</v>
      </c>
      <c r="H40711" s="21">
        <v>512</v>
      </c>
    </row>
    <row r="40712" spans="1:8" customFormat="1" x14ac:dyDescent="0.25">
      <c r="A40712" t="str">
        <f>"2517104"</f>
        <v>2517104</v>
      </c>
      <c r="B40712" t="s">
        <v>11838</v>
      </c>
      <c r="C40712" t="s">
        <v>24824</v>
      </c>
      <c r="D40712" s="21" t="s">
        <v>24820</v>
      </c>
      <c r="E40712" s="21" t="s">
        <v>35</v>
      </c>
      <c r="F40712">
        <v>2250015</v>
      </c>
      <c r="G40712" t="s">
        <v>4776</v>
      </c>
      <c r="H40712" s="21">
        <v>511.88</v>
      </c>
    </row>
    <row r="40713" spans="1:8" customFormat="1" x14ac:dyDescent="0.25">
      <c r="A40713" t="str">
        <f>"6939888"</f>
        <v>6939888</v>
      </c>
      <c r="B40713" t="s">
        <v>20773</v>
      </c>
      <c r="C40713" t="s">
        <v>24904</v>
      </c>
      <c r="D40713" s="21" t="s">
        <v>24820</v>
      </c>
      <c r="E40713" s="21" t="s">
        <v>35</v>
      </c>
      <c r="F40713">
        <v>1690030</v>
      </c>
      <c r="G40713" t="s">
        <v>432</v>
      </c>
      <c r="H40713" s="21">
        <v>511.67</v>
      </c>
    </row>
    <row r="40714" spans="1:8" customFormat="1" x14ac:dyDescent="0.25">
      <c r="A40714" t="str">
        <f>"774823"</f>
        <v>774823</v>
      </c>
      <c r="B40714" t="s">
        <v>10361</v>
      </c>
      <c r="C40714" t="s">
        <v>25599</v>
      </c>
      <c r="D40714" s="21" t="s">
        <v>24820</v>
      </c>
      <c r="E40714" s="21" t="s">
        <v>35</v>
      </c>
      <c r="F40714">
        <v>8770169</v>
      </c>
      <c r="G40714" t="s">
        <v>1001</v>
      </c>
      <c r="H40714" s="21">
        <v>511.67</v>
      </c>
    </row>
    <row r="40715" spans="1:8" customFormat="1" x14ac:dyDescent="0.25">
      <c r="A40715" t="str">
        <f>"98577"</f>
        <v>98577</v>
      </c>
      <c r="B40715" t="s">
        <v>3725</v>
      </c>
      <c r="C40715" t="s">
        <v>29815</v>
      </c>
      <c r="D40715" s="21" t="s">
        <v>24820</v>
      </c>
      <c r="E40715" s="21" t="s">
        <v>35</v>
      </c>
      <c r="F40715">
        <v>5980004</v>
      </c>
      <c r="G40715" t="s">
        <v>3869</v>
      </c>
      <c r="H40715" s="21">
        <v>511.67</v>
      </c>
    </row>
    <row r="40716" spans="1:8" customFormat="1" x14ac:dyDescent="0.25">
      <c r="A40716" t="str">
        <f>"6948761"</f>
        <v>6948761</v>
      </c>
      <c r="B40716" t="s">
        <v>29816</v>
      </c>
      <c r="C40716" t="s">
        <v>25130</v>
      </c>
      <c r="D40716" s="21" t="s">
        <v>24820</v>
      </c>
      <c r="E40716" s="21" t="s">
        <v>35</v>
      </c>
      <c r="F40716">
        <v>1690186</v>
      </c>
      <c r="G40716" t="s">
        <v>438</v>
      </c>
      <c r="H40716" s="21">
        <v>511.5</v>
      </c>
    </row>
    <row r="40717" spans="1:8" customFormat="1" x14ac:dyDescent="0.25">
      <c r="A40717" t="str">
        <f>"5020728"</f>
        <v>5020728</v>
      </c>
      <c r="B40717" t="s">
        <v>26161</v>
      </c>
      <c r="C40717" t="s">
        <v>26162</v>
      </c>
      <c r="D40717" s="21" t="s">
        <v>24820</v>
      </c>
      <c r="E40717" s="21" t="s">
        <v>35</v>
      </c>
      <c r="F40717">
        <v>9500030</v>
      </c>
      <c r="G40717" t="s">
        <v>2166</v>
      </c>
      <c r="H40717" s="21">
        <v>511.17</v>
      </c>
    </row>
    <row r="40718" spans="1:8" customFormat="1" x14ac:dyDescent="0.25">
      <c r="A40718" t="str">
        <f>"8813632"</f>
        <v>8813632</v>
      </c>
      <c r="B40718" t="s">
        <v>15375</v>
      </c>
      <c r="C40718" t="s">
        <v>23734</v>
      </c>
      <c r="D40718" s="21" t="s">
        <v>24820</v>
      </c>
      <c r="E40718" s="21" t="s">
        <v>35</v>
      </c>
      <c r="F40718">
        <v>6880022</v>
      </c>
      <c r="G40718" t="s">
        <v>339</v>
      </c>
      <c r="H40718" s="21">
        <v>511.17</v>
      </c>
    </row>
    <row r="40719" spans="1:8" customFormat="1" x14ac:dyDescent="0.25">
      <c r="A40719" t="str">
        <f>"2513614"</f>
        <v>2513614</v>
      </c>
      <c r="B40719" t="s">
        <v>26149</v>
      </c>
      <c r="C40719" t="s">
        <v>24840</v>
      </c>
      <c r="D40719" s="21" t="s">
        <v>24820</v>
      </c>
      <c r="E40719" s="21" t="s">
        <v>254</v>
      </c>
      <c r="F40719">
        <v>2250024</v>
      </c>
      <c r="G40719" t="s">
        <v>751</v>
      </c>
      <c r="H40719" s="21">
        <v>511.17</v>
      </c>
    </row>
    <row r="40720" spans="1:8" customFormat="1" x14ac:dyDescent="0.25">
      <c r="A40720" t="str">
        <f>"6024043"</f>
        <v>6024043</v>
      </c>
      <c r="B40720" t="s">
        <v>67</v>
      </c>
      <c r="C40720" t="s">
        <v>24958</v>
      </c>
      <c r="D40720" s="21" t="s">
        <v>24820</v>
      </c>
      <c r="E40720" s="21" t="s">
        <v>254</v>
      </c>
      <c r="F40720">
        <v>7600004</v>
      </c>
      <c r="G40720" t="s">
        <v>848</v>
      </c>
      <c r="H40720" s="21">
        <v>511</v>
      </c>
    </row>
    <row r="40721" spans="1:8" customFormat="1" x14ac:dyDescent="0.25">
      <c r="A40721" t="str">
        <f>"4529955"</f>
        <v>4529955</v>
      </c>
      <c r="B40721" t="s">
        <v>29817</v>
      </c>
      <c r="C40721" t="s">
        <v>29818</v>
      </c>
      <c r="D40721" s="21" t="s">
        <v>24820</v>
      </c>
      <c r="E40721" s="21" t="s">
        <v>35</v>
      </c>
      <c r="F40721">
        <v>4450144</v>
      </c>
      <c r="G40721" t="s">
        <v>6941</v>
      </c>
      <c r="H40721" s="21">
        <v>511</v>
      </c>
    </row>
    <row r="40722" spans="1:8" customFormat="1" x14ac:dyDescent="0.25">
      <c r="A40722" t="str">
        <f>"174090"</f>
        <v>174090</v>
      </c>
      <c r="B40722" t="s">
        <v>8377</v>
      </c>
      <c r="C40722" t="s">
        <v>24889</v>
      </c>
      <c r="D40722" s="21" t="s">
        <v>24820</v>
      </c>
      <c r="E40722" s="21" t="s">
        <v>35</v>
      </c>
      <c r="F40722">
        <v>10170158</v>
      </c>
      <c r="G40722" t="s">
        <v>1262</v>
      </c>
      <c r="H40722" s="21">
        <v>511</v>
      </c>
    </row>
    <row r="40723" spans="1:8" customFormat="1" x14ac:dyDescent="0.25">
      <c r="A40723" t="str">
        <f>"9420397"</f>
        <v>9420397</v>
      </c>
      <c r="B40723" t="s">
        <v>26294</v>
      </c>
      <c r="C40723" t="s">
        <v>26295</v>
      </c>
      <c r="D40723" s="21" t="s">
        <v>24820</v>
      </c>
      <c r="E40723" s="21" t="s">
        <v>254</v>
      </c>
      <c r="F40723">
        <v>8940976</v>
      </c>
      <c r="G40723" t="s">
        <v>615</v>
      </c>
      <c r="H40723" s="21">
        <v>511</v>
      </c>
    </row>
    <row r="40724" spans="1:8" customFormat="1" x14ac:dyDescent="0.25">
      <c r="A40724" t="str">
        <f>"2614499"</f>
        <v>2614499</v>
      </c>
      <c r="B40724" t="s">
        <v>26232</v>
      </c>
      <c r="C40724" t="s">
        <v>24831</v>
      </c>
      <c r="D40724" s="21" t="s">
        <v>24820</v>
      </c>
      <c r="E40724" s="21" t="s">
        <v>35</v>
      </c>
      <c r="F40724">
        <v>1260005</v>
      </c>
      <c r="G40724" t="s">
        <v>10654</v>
      </c>
      <c r="H40724" s="21">
        <v>510.67</v>
      </c>
    </row>
    <row r="40725" spans="1:8" customFormat="1" x14ac:dyDescent="0.25">
      <c r="A40725" t="str">
        <f>"3815460"</f>
        <v>3815460</v>
      </c>
      <c r="B40725" t="s">
        <v>25621</v>
      </c>
      <c r="C40725" t="s">
        <v>24932</v>
      </c>
      <c r="D40725" s="21" t="s">
        <v>24820</v>
      </c>
      <c r="E40725" s="21" t="s">
        <v>71</v>
      </c>
      <c r="F40725">
        <v>1380236</v>
      </c>
      <c r="G40725" t="s">
        <v>2876</v>
      </c>
      <c r="H40725" s="21">
        <v>510.67</v>
      </c>
    </row>
    <row r="40726" spans="1:8" customFormat="1" x14ac:dyDescent="0.25">
      <c r="A40726" t="str">
        <f>"6019061"</f>
        <v>6019061</v>
      </c>
      <c r="B40726" t="s">
        <v>9733</v>
      </c>
      <c r="C40726" t="s">
        <v>26310</v>
      </c>
      <c r="D40726" s="21" t="s">
        <v>24820</v>
      </c>
      <c r="E40726" s="21" t="s">
        <v>71</v>
      </c>
      <c r="F40726">
        <v>7600111</v>
      </c>
      <c r="G40726" t="s">
        <v>6914</v>
      </c>
      <c r="H40726" s="21">
        <v>510.5</v>
      </c>
    </row>
    <row r="40727" spans="1:8" customFormat="1" x14ac:dyDescent="0.25">
      <c r="A40727" t="str">
        <f>"5415564"</f>
        <v>5415564</v>
      </c>
      <c r="B40727" t="s">
        <v>25813</v>
      </c>
      <c r="C40727" t="s">
        <v>25073</v>
      </c>
      <c r="D40727" s="21" t="s">
        <v>24820</v>
      </c>
      <c r="E40727" s="21" t="s">
        <v>254</v>
      </c>
      <c r="F40727">
        <v>6540032</v>
      </c>
      <c r="G40727" t="s">
        <v>63</v>
      </c>
      <c r="H40727" s="21">
        <v>510.5</v>
      </c>
    </row>
    <row r="40728" spans="1:8" customFormat="1" x14ac:dyDescent="0.25">
      <c r="A40728" t="str">
        <f>"8011152"</f>
        <v>8011152</v>
      </c>
      <c r="B40728" t="s">
        <v>25513</v>
      </c>
      <c r="C40728" t="s">
        <v>263</v>
      </c>
      <c r="D40728" s="21" t="s">
        <v>24820</v>
      </c>
      <c r="E40728" s="21" t="s">
        <v>254</v>
      </c>
      <c r="F40728">
        <v>7800004</v>
      </c>
      <c r="G40728" t="s">
        <v>748</v>
      </c>
      <c r="H40728" s="21">
        <v>510.17</v>
      </c>
    </row>
    <row r="40729" spans="1:8" customFormat="1" x14ac:dyDescent="0.25">
      <c r="A40729" t="str">
        <f>"5432316"</f>
        <v>5432316</v>
      </c>
      <c r="B40729" t="s">
        <v>26197</v>
      </c>
      <c r="C40729" t="s">
        <v>25912</v>
      </c>
      <c r="D40729" s="21" t="s">
        <v>24820</v>
      </c>
      <c r="E40729" s="21" t="s">
        <v>35</v>
      </c>
      <c r="F40729">
        <v>6540034</v>
      </c>
      <c r="G40729" t="s">
        <v>2211</v>
      </c>
      <c r="H40729" s="21">
        <v>510</v>
      </c>
    </row>
    <row r="40730" spans="1:8" customFormat="1" x14ac:dyDescent="0.25">
      <c r="A40730" t="str">
        <f>"5966435"</f>
        <v>5966435</v>
      </c>
      <c r="B40730" t="s">
        <v>25638</v>
      </c>
      <c r="C40730" t="s">
        <v>24898</v>
      </c>
      <c r="D40730" s="21" t="s">
        <v>24820</v>
      </c>
      <c r="E40730" s="21" t="s">
        <v>254</v>
      </c>
      <c r="F40730">
        <v>7590057</v>
      </c>
      <c r="G40730" t="s">
        <v>7575</v>
      </c>
      <c r="H40730" s="21">
        <v>510</v>
      </c>
    </row>
    <row r="40731" spans="1:8" customFormat="1" x14ac:dyDescent="0.25">
      <c r="A40731" t="str">
        <f>"608850"</f>
        <v>608850</v>
      </c>
      <c r="B40731" t="s">
        <v>25633</v>
      </c>
      <c r="C40731" t="s">
        <v>25608</v>
      </c>
      <c r="D40731" s="21" t="s">
        <v>24820</v>
      </c>
      <c r="E40731" s="21" t="s">
        <v>254</v>
      </c>
      <c r="F40731">
        <v>7600130</v>
      </c>
      <c r="G40731" t="s">
        <v>11080</v>
      </c>
      <c r="H40731" s="21">
        <v>510</v>
      </c>
    </row>
    <row r="40732" spans="1:8" customFormat="1" x14ac:dyDescent="0.25">
      <c r="A40732" t="str">
        <f>"7216547"</f>
        <v>7216547</v>
      </c>
      <c r="B40732" t="s">
        <v>392</v>
      </c>
      <c r="C40732" t="s">
        <v>24958</v>
      </c>
      <c r="D40732" s="21" t="s">
        <v>24820</v>
      </c>
      <c r="E40732" s="21" t="s">
        <v>71</v>
      </c>
      <c r="F40732">
        <v>12720027</v>
      </c>
      <c r="G40732" t="s">
        <v>3562</v>
      </c>
      <c r="H40732" s="21">
        <v>510</v>
      </c>
    </row>
    <row r="40733" spans="1:8" customFormat="1" x14ac:dyDescent="0.25">
      <c r="A40733" t="str">
        <f>"5966258"</f>
        <v>5966258</v>
      </c>
      <c r="B40733" t="s">
        <v>26119</v>
      </c>
      <c r="C40733" t="s">
        <v>24831</v>
      </c>
      <c r="D40733" s="21" t="s">
        <v>24820</v>
      </c>
      <c r="E40733" s="21" t="s">
        <v>71</v>
      </c>
      <c r="F40733">
        <v>7590087</v>
      </c>
      <c r="G40733" t="s">
        <v>2112</v>
      </c>
      <c r="H40733" s="21">
        <v>509.5</v>
      </c>
    </row>
    <row r="40734" spans="1:8" customFormat="1" x14ac:dyDescent="0.25">
      <c r="A40734" t="str">
        <f>"5980484"</f>
        <v>5980484</v>
      </c>
      <c r="B40734" t="s">
        <v>29819</v>
      </c>
      <c r="C40734" t="s">
        <v>24883</v>
      </c>
      <c r="D40734" s="21" t="s">
        <v>24820</v>
      </c>
      <c r="E40734" s="21" t="s">
        <v>35</v>
      </c>
      <c r="F40734">
        <v>7590058</v>
      </c>
      <c r="G40734" t="s">
        <v>5044</v>
      </c>
      <c r="H40734" s="21">
        <v>509.5</v>
      </c>
    </row>
    <row r="40735" spans="1:8" customFormat="1" x14ac:dyDescent="0.25">
      <c r="A40735" t="str">
        <f>"183177"</f>
        <v>183177</v>
      </c>
      <c r="B40735" t="s">
        <v>5424</v>
      </c>
      <c r="C40735" t="s">
        <v>24854</v>
      </c>
      <c r="D40735" s="21" t="s">
        <v>24820</v>
      </c>
      <c r="E40735" s="21" t="s">
        <v>71</v>
      </c>
      <c r="F40735">
        <v>4180486</v>
      </c>
      <c r="G40735" t="s">
        <v>5295</v>
      </c>
      <c r="H40735" s="21">
        <v>509.17</v>
      </c>
    </row>
    <row r="40736" spans="1:8" customFormat="1" x14ac:dyDescent="0.25">
      <c r="A40736" t="str">
        <f>"2712936"</f>
        <v>2712936</v>
      </c>
      <c r="B40736" t="s">
        <v>11346</v>
      </c>
      <c r="C40736" t="s">
        <v>26073</v>
      </c>
      <c r="D40736" s="21" t="s">
        <v>24820</v>
      </c>
      <c r="E40736" s="21" t="s">
        <v>1089</v>
      </c>
      <c r="F40736">
        <v>8751124</v>
      </c>
      <c r="G40736" t="s">
        <v>1481</v>
      </c>
      <c r="H40736" s="21">
        <v>509.17</v>
      </c>
    </row>
    <row r="40737" spans="1:8" customFormat="1" x14ac:dyDescent="0.25">
      <c r="A40737" t="str">
        <f>"4457540"</f>
        <v>4457540</v>
      </c>
      <c r="B40737" t="s">
        <v>29820</v>
      </c>
      <c r="C40737" t="s">
        <v>25200</v>
      </c>
      <c r="D40737" s="21" t="s">
        <v>24820</v>
      </c>
      <c r="E40737" s="21" t="s">
        <v>35</v>
      </c>
      <c r="F40737">
        <v>12440016</v>
      </c>
      <c r="G40737" t="s">
        <v>7288</v>
      </c>
      <c r="H40737" s="21">
        <v>509</v>
      </c>
    </row>
    <row r="40738" spans="1:8" customFormat="1" x14ac:dyDescent="0.25">
      <c r="A40738" t="str">
        <f>"8613333"</f>
        <v>8613333</v>
      </c>
      <c r="B40738" t="s">
        <v>29821</v>
      </c>
      <c r="C40738" t="s">
        <v>24865</v>
      </c>
      <c r="D40738" s="21" t="s">
        <v>24820</v>
      </c>
      <c r="E40738" s="21" t="s">
        <v>71</v>
      </c>
      <c r="F40738">
        <v>10860005</v>
      </c>
      <c r="G40738" t="s">
        <v>7474</v>
      </c>
      <c r="H40738" s="21">
        <v>509</v>
      </c>
    </row>
    <row r="40739" spans="1:8" customFormat="1" x14ac:dyDescent="0.25">
      <c r="A40739" t="str">
        <f>"324356"</f>
        <v>324356</v>
      </c>
      <c r="B40739" t="s">
        <v>3001</v>
      </c>
      <c r="C40739" t="s">
        <v>25569</v>
      </c>
      <c r="D40739" s="21" t="s">
        <v>24820</v>
      </c>
      <c r="E40739" s="21" t="s">
        <v>35</v>
      </c>
      <c r="F40739">
        <v>11320042</v>
      </c>
      <c r="G40739" t="s">
        <v>234</v>
      </c>
      <c r="H40739" s="21">
        <v>508.88</v>
      </c>
    </row>
    <row r="40740" spans="1:8" customFormat="1" x14ac:dyDescent="0.25">
      <c r="A40740" t="str">
        <f>"183879"</f>
        <v>183879</v>
      </c>
      <c r="B40740" t="s">
        <v>26137</v>
      </c>
      <c r="C40740" t="s">
        <v>25199</v>
      </c>
      <c r="D40740" s="21" t="s">
        <v>24820</v>
      </c>
      <c r="E40740" s="21" t="s">
        <v>254</v>
      </c>
      <c r="F40740">
        <v>4180530</v>
      </c>
      <c r="G40740" t="s">
        <v>3622</v>
      </c>
      <c r="H40740" s="21">
        <v>508.67</v>
      </c>
    </row>
    <row r="40741" spans="1:8" customFormat="1" x14ac:dyDescent="0.25">
      <c r="A40741" t="str">
        <f>"4530403"</f>
        <v>4530403</v>
      </c>
      <c r="B40741" t="s">
        <v>3900</v>
      </c>
      <c r="C40741" t="s">
        <v>29822</v>
      </c>
      <c r="D40741" s="21" t="s">
        <v>24820</v>
      </c>
      <c r="E40741" s="21" t="s">
        <v>35</v>
      </c>
      <c r="F40741">
        <v>4450702</v>
      </c>
      <c r="G40741" t="s">
        <v>1772</v>
      </c>
      <c r="H40741" s="21">
        <v>508.5</v>
      </c>
    </row>
    <row r="40742" spans="1:8" customFormat="1" x14ac:dyDescent="0.25">
      <c r="A40742" t="str">
        <f>"323805"</f>
        <v>323805</v>
      </c>
      <c r="B40742" t="s">
        <v>26124</v>
      </c>
      <c r="C40742" t="s">
        <v>24686</v>
      </c>
      <c r="D40742" s="21" t="s">
        <v>24820</v>
      </c>
      <c r="E40742" s="21" t="s">
        <v>71</v>
      </c>
      <c r="F40742">
        <v>11320005</v>
      </c>
      <c r="G40742" t="s">
        <v>120</v>
      </c>
      <c r="H40742" s="21">
        <v>508.25</v>
      </c>
    </row>
    <row r="40743" spans="1:8" customFormat="1" x14ac:dyDescent="0.25">
      <c r="A40743" t="str">
        <f>"4452973"</f>
        <v>4452973</v>
      </c>
      <c r="B40743" t="s">
        <v>25768</v>
      </c>
      <c r="C40743" t="s">
        <v>24898</v>
      </c>
      <c r="D40743" s="21" t="s">
        <v>24820</v>
      </c>
      <c r="E40743" s="21" t="s">
        <v>71</v>
      </c>
      <c r="F40743">
        <v>12440094</v>
      </c>
      <c r="G40743" t="s">
        <v>892</v>
      </c>
      <c r="H40743" s="21">
        <v>508.25</v>
      </c>
    </row>
    <row r="40744" spans="1:8" customFormat="1" x14ac:dyDescent="0.25">
      <c r="A40744" t="str">
        <f>"2938364"</f>
        <v>2938364</v>
      </c>
      <c r="B40744" t="s">
        <v>23454</v>
      </c>
      <c r="C40744" t="s">
        <v>25646</v>
      </c>
      <c r="D40744" s="21" t="s">
        <v>24820</v>
      </c>
      <c r="E40744" s="21" t="s">
        <v>35</v>
      </c>
      <c r="F40744">
        <v>3290276</v>
      </c>
      <c r="G40744" t="s">
        <v>26710</v>
      </c>
      <c r="H40744" s="21">
        <v>508</v>
      </c>
    </row>
    <row r="40745" spans="1:8" customFormat="1" x14ac:dyDescent="0.25">
      <c r="A40745" t="str">
        <f>"628096"</f>
        <v>628096</v>
      </c>
      <c r="B40745" t="s">
        <v>1349</v>
      </c>
      <c r="C40745" t="s">
        <v>24910</v>
      </c>
      <c r="D40745" s="21" t="s">
        <v>24820</v>
      </c>
      <c r="E40745" s="21" t="s">
        <v>71</v>
      </c>
      <c r="F40745">
        <v>7620092</v>
      </c>
      <c r="G40745" t="s">
        <v>9874</v>
      </c>
      <c r="H40745" s="21">
        <v>508</v>
      </c>
    </row>
    <row r="40746" spans="1:8" customFormat="1" x14ac:dyDescent="0.25">
      <c r="A40746" t="str">
        <f>"4442764"</f>
        <v>4442764</v>
      </c>
      <c r="B40746" t="s">
        <v>25700</v>
      </c>
      <c r="C40746" t="s">
        <v>25118</v>
      </c>
      <c r="D40746" s="21" t="s">
        <v>24820</v>
      </c>
      <c r="E40746" s="21" t="s">
        <v>71</v>
      </c>
      <c r="F40746">
        <v>12440116</v>
      </c>
      <c r="G40746" t="s">
        <v>26673</v>
      </c>
      <c r="H40746" s="21">
        <v>508</v>
      </c>
    </row>
    <row r="40747" spans="1:8" customFormat="1" x14ac:dyDescent="0.25">
      <c r="A40747" t="str">
        <f>"0615443"</f>
        <v>0615443</v>
      </c>
      <c r="B40747" t="s">
        <v>4352</v>
      </c>
      <c r="C40747" t="s">
        <v>25502</v>
      </c>
      <c r="D40747" s="21" t="s">
        <v>24820</v>
      </c>
      <c r="E40747" s="21" t="s">
        <v>254</v>
      </c>
      <c r="F40747">
        <v>13060043</v>
      </c>
      <c r="G40747" t="s">
        <v>4761</v>
      </c>
      <c r="H40747" s="21">
        <v>508</v>
      </c>
    </row>
    <row r="40748" spans="1:8" customFormat="1" x14ac:dyDescent="0.25">
      <c r="A40748" t="str">
        <f>"7222708"</f>
        <v>7222708</v>
      </c>
      <c r="B40748" t="s">
        <v>146</v>
      </c>
      <c r="C40748" t="s">
        <v>24892</v>
      </c>
      <c r="D40748" s="21" t="s">
        <v>24820</v>
      </c>
      <c r="E40748" s="21" t="s">
        <v>71</v>
      </c>
      <c r="F40748">
        <v>12720056</v>
      </c>
      <c r="G40748" t="s">
        <v>9231</v>
      </c>
      <c r="H40748" s="21">
        <v>508</v>
      </c>
    </row>
    <row r="40749" spans="1:8" customFormat="1" x14ac:dyDescent="0.25">
      <c r="A40749" t="str">
        <f>"2814615"</f>
        <v>2814615</v>
      </c>
      <c r="B40749" t="s">
        <v>10303</v>
      </c>
      <c r="C40749" t="s">
        <v>24920</v>
      </c>
      <c r="D40749" s="21" t="s">
        <v>24820</v>
      </c>
      <c r="E40749" s="21" t="s">
        <v>35</v>
      </c>
      <c r="F40749">
        <v>4280716</v>
      </c>
      <c r="G40749" t="s">
        <v>5281</v>
      </c>
      <c r="H40749" s="21">
        <v>508</v>
      </c>
    </row>
    <row r="40750" spans="1:8" customFormat="1" x14ac:dyDescent="0.25">
      <c r="A40750" t="str">
        <f>"4453030"</f>
        <v>4453030</v>
      </c>
      <c r="B40750" t="s">
        <v>4609</v>
      </c>
      <c r="C40750" t="s">
        <v>25330</v>
      </c>
      <c r="D40750" s="21" t="s">
        <v>24820</v>
      </c>
      <c r="E40750" s="21" t="s">
        <v>71</v>
      </c>
      <c r="F40750">
        <v>12440004</v>
      </c>
      <c r="G40750" t="s">
        <v>26530</v>
      </c>
      <c r="H40750" s="21">
        <v>507.67</v>
      </c>
    </row>
    <row r="40751" spans="1:8" customFormat="1" x14ac:dyDescent="0.25">
      <c r="A40751" t="str">
        <f>"185955"</f>
        <v>185955</v>
      </c>
      <c r="B40751" t="s">
        <v>7374</v>
      </c>
      <c r="C40751" t="s">
        <v>24833</v>
      </c>
      <c r="D40751" s="21" t="s">
        <v>24820</v>
      </c>
      <c r="E40751" s="21" t="s">
        <v>35</v>
      </c>
      <c r="F40751">
        <v>4180313</v>
      </c>
      <c r="G40751" t="s">
        <v>10486</v>
      </c>
      <c r="H40751" s="21">
        <v>507.5</v>
      </c>
    </row>
    <row r="40752" spans="1:8" customFormat="1" x14ac:dyDescent="0.25">
      <c r="A40752" t="str">
        <f>"4430710"</f>
        <v>4430710</v>
      </c>
      <c r="B40752" t="s">
        <v>29823</v>
      </c>
      <c r="C40752" t="s">
        <v>22831</v>
      </c>
      <c r="D40752" s="21" t="s">
        <v>24820</v>
      </c>
      <c r="E40752" s="21" t="s">
        <v>35</v>
      </c>
      <c r="F40752">
        <v>12440116</v>
      </c>
      <c r="G40752" t="s">
        <v>26673</v>
      </c>
      <c r="H40752" s="21">
        <v>507.5</v>
      </c>
    </row>
    <row r="40753" spans="1:8" customFormat="1" x14ac:dyDescent="0.25">
      <c r="A40753" t="str">
        <f>"333248"</f>
        <v>333248</v>
      </c>
      <c r="B40753" t="s">
        <v>3416</v>
      </c>
      <c r="C40753" t="s">
        <v>24884</v>
      </c>
      <c r="D40753" s="21" t="s">
        <v>24820</v>
      </c>
      <c r="E40753" s="21" t="s">
        <v>35</v>
      </c>
      <c r="F40753">
        <v>10330069</v>
      </c>
      <c r="G40753" t="s">
        <v>15951</v>
      </c>
      <c r="H40753" s="21">
        <v>507.42</v>
      </c>
    </row>
    <row r="40754" spans="1:8" customFormat="1" x14ac:dyDescent="0.25">
      <c r="A40754" t="str">
        <f>"0112126"</f>
        <v>0112126</v>
      </c>
      <c r="B40754" t="s">
        <v>26342</v>
      </c>
      <c r="C40754" t="s">
        <v>24904</v>
      </c>
      <c r="D40754" s="21" t="s">
        <v>24820</v>
      </c>
      <c r="E40754" s="21" t="s">
        <v>71</v>
      </c>
      <c r="F40754">
        <v>1690052</v>
      </c>
      <c r="G40754" t="s">
        <v>273</v>
      </c>
      <c r="H40754" s="21">
        <v>507.25</v>
      </c>
    </row>
    <row r="40755" spans="1:8" customFormat="1" x14ac:dyDescent="0.25">
      <c r="A40755" t="str">
        <f>"6229986"</f>
        <v>6229986</v>
      </c>
      <c r="B40755" t="s">
        <v>7428</v>
      </c>
      <c r="C40755" t="s">
        <v>26261</v>
      </c>
      <c r="D40755" s="21" t="s">
        <v>24820</v>
      </c>
      <c r="E40755" s="21" t="s">
        <v>35</v>
      </c>
      <c r="F40755">
        <v>7620112</v>
      </c>
      <c r="G40755" t="s">
        <v>5663</v>
      </c>
      <c r="H40755" s="21">
        <v>507</v>
      </c>
    </row>
    <row r="40756" spans="1:8" customFormat="1" x14ac:dyDescent="0.25">
      <c r="A40756" t="str">
        <f>"384697"</f>
        <v>384697</v>
      </c>
      <c r="B40756" t="s">
        <v>20933</v>
      </c>
      <c r="C40756" t="s">
        <v>26048</v>
      </c>
      <c r="D40756" s="21" t="s">
        <v>24820</v>
      </c>
      <c r="E40756" s="21" t="s">
        <v>1089</v>
      </c>
      <c r="F40756">
        <v>1380236</v>
      </c>
      <c r="G40756" t="s">
        <v>2876</v>
      </c>
      <c r="H40756" s="21">
        <v>507</v>
      </c>
    </row>
    <row r="40757" spans="1:8" customFormat="1" x14ac:dyDescent="0.25">
      <c r="A40757" t="str">
        <f>"0617891"</f>
        <v>0617891</v>
      </c>
      <c r="B40757" t="s">
        <v>2240</v>
      </c>
      <c r="C40757" t="s">
        <v>24897</v>
      </c>
      <c r="D40757" s="21" t="s">
        <v>24820</v>
      </c>
      <c r="E40757" s="21" t="s">
        <v>71</v>
      </c>
      <c r="F40757">
        <v>13060114</v>
      </c>
      <c r="G40757" t="s">
        <v>4501</v>
      </c>
      <c r="H40757" s="21">
        <v>507</v>
      </c>
    </row>
    <row r="40758" spans="1:8" customFormat="1" x14ac:dyDescent="0.25">
      <c r="A40758" t="str">
        <f>"6230615"</f>
        <v>6230615</v>
      </c>
      <c r="B40758" t="s">
        <v>3387</v>
      </c>
      <c r="C40758" t="s">
        <v>24851</v>
      </c>
      <c r="D40758" s="21" t="s">
        <v>24820</v>
      </c>
      <c r="E40758" s="21" t="s">
        <v>254</v>
      </c>
      <c r="F40758">
        <v>7620005</v>
      </c>
      <c r="G40758" t="s">
        <v>200</v>
      </c>
      <c r="H40758" s="21">
        <v>507</v>
      </c>
    </row>
    <row r="40759" spans="1:8" customFormat="1" x14ac:dyDescent="0.25">
      <c r="A40759" t="str">
        <f>"7879022"</f>
        <v>7879022</v>
      </c>
      <c r="B40759" t="s">
        <v>26134</v>
      </c>
      <c r="C40759" t="s">
        <v>25088</v>
      </c>
      <c r="D40759" s="21" t="s">
        <v>24820</v>
      </c>
      <c r="E40759" s="21" t="s">
        <v>35</v>
      </c>
      <c r="F40759">
        <v>8781144</v>
      </c>
      <c r="G40759" t="s">
        <v>4714</v>
      </c>
      <c r="H40759" s="21">
        <v>506.88</v>
      </c>
    </row>
    <row r="40760" spans="1:8" customFormat="1" x14ac:dyDescent="0.25">
      <c r="A40760" t="str">
        <f>"7913380"</f>
        <v>7913380</v>
      </c>
      <c r="B40760" t="s">
        <v>25592</v>
      </c>
      <c r="C40760" t="s">
        <v>263</v>
      </c>
      <c r="D40760" s="21" t="s">
        <v>24820</v>
      </c>
      <c r="E40760" s="21" t="s">
        <v>254</v>
      </c>
      <c r="F40760">
        <v>10790069</v>
      </c>
      <c r="G40760" t="s">
        <v>689</v>
      </c>
      <c r="H40760" s="21">
        <v>506.67</v>
      </c>
    </row>
    <row r="40761" spans="1:8" customFormat="1" x14ac:dyDescent="0.25">
      <c r="A40761" t="str">
        <f>"494576"</f>
        <v>494576</v>
      </c>
      <c r="B40761" t="s">
        <v>25581</v>
      </c>
      <c r="C40761" t="s">
        <v>24926</v>
      </c>
      <c r="D40761" s="21" t="s">
        <v>24820</v>
      </c>
      <c r="E40761" s="21" t="s">
        <v>35</v>
      </c>
      <c r="F40761">
        <v>12490040</v>
      </c>
      <c r="G40761" t="s">
        <v>94</v>
      </c>
      <c r="H40761" s="21">
        <v>506.67</v>
      </c>
    </row>
    <row r="40762" spans="1:8" customFormat="1" x14ac:dyDescent="0.25">
      <c r="A40762" t="str">
        <f>"4434687"</f>
        <v>4434687</v>
      </c>
      <c r="B40762" t="s">
        <v>22171</v>
      </c>
      <c r="C40762" t="s">
        <v>25089</v>
      </c>
      <c r="D40762" s="21" t="s">
        <v>24820</v>
      </c>
      <c r="E40762" s="21" t="s">
        <v>254</v>
      </c>
      <c r="F40762">
        <v>12440225</v>
      </c>
      <c r="G40762" t="s">
        <v>3094</v>
      </c>
      <c r="H40762" s="21">
        <v>506.67</v>
      </c>
    </row>
    <row r="40763" spans="1:8" customFormat="1" x14ac:dyDescent="0.25">
      <c r="A40763" t="str">
        <f>"104202"</f>
        <v>104202</v>
      </c>
      <c r="B40763" t="s">
        <v>25416</v>
      </c>
      <c r="C40763" t="s">
        <v>25035</v>
      </c>
      <c r="D40763" s="21" t="s">
        <v>24820</v>
      </c>
      <c r="E40763" s="21" t="s">
        <v>254</v>
      </c>
      <c r="F40763">
        <v>10640024</v>
      </c>
      <c r="G40763" t="s">
        <v>23191</v>
      </c>
      <c r="H40763" s="21">
        <v>506.67</v>
      </c>
    </row>
    <row r="40764" spans="1:8" customFormat="1" x14ac:dyDescent="0.25">
      <c r="A40764" t="str">
        <f>"4218968"</f>
        <v>4218968</v>
      </c>
      <c r="B40764" t="s">
        <v>1405</v>
      </c>
      <c r="C40764" t="s">
        <v>24909</v>
      </c>
      <c r="D40764" s="21" t="s">
        <v>24820</v>
      </c>
      <c r="E40764" s="21" t="s">
        <v>71</v>
      </c>
      <c r="F40764">
        <v>1420108</v>
      </c>
      <c r="G40764" t="s">
        <v>9177</v>
      </c>
      <c r="H40764" s="21">
        <v>506.5</v>
      </c>
    </row>
    <row r="40765" spans="1:8" customFormat="1" x14ac:dyDescent="0.25">
      <c r="A40765" t="str">
        <f>"7222889"</f>
        <v>7222889</v>
      </c>
      <c r="B40765" t="s">
        <v>13385</v>
      </c>
      <c r="C40765" t="s">
        <v>22831</v>
      </c>
      <c r="D40765" s="21" t="s">
        <v>24820</v>
      </c>
      <c r="E40765" s="21" t="s">
        <v>35</v>
      </c>
      <c r="F40765">
        <v>12720020</v>
      </c>
      <c r="G40765" t="s">
        <v>8402</v>
      </c>
      <c r="H40765" s="21">
        <v>506.5</v>
      </c>
    </row>
    <row r="40766" spans="1:8" customFormat="1" x14ac:dyDescent="0.25">
      <c r="A40766" t="str">
        <f>"247129"</f>
        <v>247129</v>
      </c>
      <c r="B40766" t="s">
        <v>26271</v>
      </c>
      <c r="C40766" t="s">
        <v>13865</v>
      </c>
      <c r="D40766" s="21" t="s">
        <v>24820</v>
      </c>
      <c r="E40766" s="21" t="s">
        <v>71</v>
      </c>
      <c r="F40766">
        <v>10240036</v>
      </c>
      <c r="G40766" t="s">
        <v>20814</v>
      </c>
      <c r="H40766" s="21">
        <v>506.5</v>
      </c>
    </row>
    <row r="40767" spans="1:8" customFormat="1" x14ac:dyDescent="0.25">
      <c r="A40767" t="str">
        <f>"4435172"</f>
        <v>4435172</v>
      </c>
      <c r="B40767" t="s">
        <v>5480</v>
      </c>
      <c r="C40767" t="s">
        <v>24919</v>
      </c>
      <c r="D40767" s="21" t="s">
        <v>24820</v>
      </c>
      <c r="E40767" s="21" t="s">
        <v>35</v>
      </c>
      <c r="F40767">
        <v>8920063</v>
      </c>
      <c r="G40767" t="s">
        <v>219</v>
      </c>
      <c r="H40767" s="21">
        <v>506.25</v>
      </c>
    </row>
    <row r="40768" spans="1:8" customFormat="1" x14ac:dyDescent="0.25">
      <c r="A40768" t="str">
        <f>"6933537"</f>
        <v>6933537</v>
      </c>
      <c r="B40768" t="s">
        <v>26187</v>
      </c>
      <c r="C40768" t="s">
        <v>22831</v>
      </c>
      <c r="D40768" s="21" t="s">
        <v>24820</v>
      </c>
      <c r="E40768" s="21" t="s">
        <v>35</v>
      </c>
      <c r="F40768">
        <v>1690006</v>
      </c>
      <c r="G40768" t="s">
        <v>2543</v>
      </c>
      <c r="H40768" s="21">
        <v>506</v>
      </c>
    </row>
    <row r="40769" spans="1:8" customFormat="1" x14ac:dyDescent="0.25">
      <c r="A40769" t="str">
        <f>"4513811"</f>
        <v>4513811</v>
      </c>
      <c r="B40769" t="s">
        <v>25708</v>
      </c>
      <c r="C40769" t="s">
        <v>24898</v>
      </c>
      <c r="D40769" s="21" t="s">
        <v>24820</v>
      </c>
      <c r="E40769" s="21" t="s">
        <v>71</v>
      </c>
      <c r="F40769">
        <v>4450614</v>
      </c>
      <c r="G40769" t="s">
        <v>13344</v>
      </c>
      <c r="H40769" s="21">
        <v>506</v>
      </c>
    </row>
    <row r="40770" spans="1:8" customFormat="1" x14ac:dyDescent="0.25">
      <c r="A40770" t="str">
        <f>"188108"</f>
        <v>188108</v>
      </c>
      <c r="B40770" t="s">
        <v>10338</v>
      </c>
      <c r="C40770" t="s">
        <v>25830</v>
      </c>
      <c r="D40770" s="21" t="s">
        <v>24820</v>
      </c>
      <c r="E40770" s="21" t="s">
        <v>35</v>
      </c>
      <c r="F40770">
        <v>4180696</v>
      </c>
      <c r="G40770" t="s">
        <v>3018</v>
      </c>
      <c r="H40770" s="21">
        <v>506</v>
      </c>
    </row>
    <row r="40771" spans="1:8" customFormat="1" x14ac:dyDescent="0.25">
      <c r="A40771" t="str">
        <f>"415111"</f>
        <v>415111</v>
      </c>
      <c r="B40771" t="s">
        <v>25614</v>
      </c>
      <c r="C40771" t="s">
        <v>24890</v>
      </c>
      <c r="D40771" s="21" t="s">
        <v>24820</v>
      </c>
      <c r="E40771" s="21" t="s">
        <v>71</v>
      </c>
      <c r="F40771">
        <v>4410696</v>
      </c>
      <c r="G40771" t="s">
        <v>5909</v>
      </c>
      <c r="H40771" s="21">
        <v>506</v>
      </c>
    </row>
    <row r="40772" spans="1:8" customFormat="1" x14ac:dyDescent="0.25">
      <c r="A40772" t="str">
        <f>"8614607"</f>
        <v>8614607</v>
      </c>
      <c r="B40772" t="s">
        <v>29824</v>
      </c>
      <c r="C40772" t="s">
        <v>26039</v>
      </c>
      <c r="D40772" s="21" t="s">
        <v>24820</v>
      </c>
      <c r="E40772" s="21" t="s">
        <v>35</v>
      </c>
      <c r="F40772">
        <v>10860187</v>
      </c>
      <c r="G40772" t="s">
        <v>9991</v>
      </c>
      <c r="H40772" s="21">
        <v>505.67</v>
      </c>
    </row>
    <row r="40773" spans="1:8" customFormat="1" x14ac:dyDescent="0.25">
      <c r="A40773" t="str">
        <f>"1717219"</f>
        <v>1717219</v>
      </c>
      <c r="B40773" t="s">
        <v>25667</v>
      </c>
      <c r="C40773" t="s">
        <v>24831</v>
      </c>
      <c r="D40773" s="21" t="s">
        <v>24820</v>
      </c>
      <c r="E40773" s="21" t="s">
        <v>35</v>
      </c>
      <c r="F40773">
        <v>10170064</v>
      </c>
      <c r="G40773" t="s">
        <v>1900</v>
      </c>
      <c r="H40773" s="21">
        <v>505.67</v>
      </c>
    </row>
    <row r="40774" spans="1:8" customFormat="1" x14ac:dyDescent="0.25">
      <c r="A40774" t="str">
        <f>"9222614"</f>
        <v>9222614</v>
      </c>
      <c r="B40774" t="s">
        <v>25593</v>
      </c>
      <c r="C40774" t="s">
        <v>24898</v>
      </c>
      <c r="D40774" s="21" t="s">
        <v>24820</v>
      </c>
      <c r="E40774" s="21" t="s">
        <v>1089</v>
      </c>
      <c r="F40774">
        <v>8950129</v>
      </c>
      <c r="G40774" t="s">
        <v>10701</v>
      </c>
      <c r="H40774" s="21">
        <v>505.67</v>
      </c>
    </row>
    <row r="40775" spans="1:8" customFormat="1" x14ac:dyDescent="0.25">
      <c r="A40775" t="str">
        <f>"4518485"</f>
        <v>4518485</v>
      </c>
      <c r="B40775" t="s">
        <v>25610</v>
      </c>
      <c r="C40775" t="s">
        <v>25151</v>
      </c>
      <c r="D40775" s="21" t="s">
        <v>24820</v>
      </c>
      <c r="E40775" s="21" t="s">
        <v>35</v>
      </c>
      <c r="F40775">
        <v>4450757</v>
      </c>
      <c r="G40775" t="s">
        <v>3829</v>
      </c>
      <c r="H40775" s="21">
        <v>505.67</v>
      </c>
    </row>
    <row r="40776" spans="1:8" customFormat="1" x14ac:dyDescent="0.25">
      <c r="A40776" t="str">
        <f>"2720093"</f>
        <v>2720093</v>
      </c>
      <c r="B40776" t="s">
        <v>7276</v>
      </c>
      <c r="C40776" t="s">
        <v>22831</v>
      </c>
      <c r="D40776" s="21" t="s">
        <v>24820</v>
      </c>
      <c r="E40776" s="21" t="s">
        <v>71</v>
      </c>
      <c r="F40776">
        <v>9270168</v>
      </c>
      <c r="G40776" t="s">
        <v>5126</v>
      </c>
      <c r="H40776" s="21">
        <v>505.5</v>
      </c>
    </row>
    <row r="40777" spans="1:8" customFormat="1" x14ac:dyDescent="0.25">
      <c r="A40777" t="str">
        <f>"3718541"</f>
        <v>3718541</v>
      </c>
      <c r="B40777" t="s">
        <v>9197</v>
      </c>
      <c r="C40777" t="s">
        <v>24958</v>
      </c>
      <c r="D40777" s="21" t="s">
        <v>24820</v>
      </c>
      <c r="E40777" s="21" t="s">
        <v>35</v>
      </c>
      <c r="F40777">
        <v>4370307</v>
      </c>
      <c r="G40777" t="s">
        <v>7652</v>
      </c>
      <c r="H40777" s="21">
        <v>505.17</v>
      </c>
    </row>
    <row r="40778" spans="1:8" customFormat="1" x14ac:dyDescent="0.25">
      <c r="A40778" t="str">
        <f>"6310734"</f>
        <v>6310734</v>
      </c>
      <c r="B40778" t="s">
        <v>26065</v>
      </c>
      <c r="C40778" t="s">
        <v>24889</v>
      </c>
      <c r="D40778" s="21" t="s">
        <v>24820</v>
      </c>
      <c r="E40778" s="21" t="s">
        <v>71</v>
      </c>
      <c r="F40778">
        <v>1630303</v>
      </c>
      <c r="G40778" t="s">
        <v>8915</v>
      </c>
      <c r="H40778" s="21">
        <v>505.17</v>
      </c>
    </row>
    <row r="40779" spans="1:8" customFormat="1" x14ac:dyDescent="0.25">
      <c r="A40779" t="str">
        <f>"9253102"</f>
        <v>9253102</v>
      </c>
      <c r="B40779" t="s">
        <v>29825</v>
      </c>
      <c r="C40779" t="s">
        <v>24854</v>
      </c>
      <c r="D40779" s="21" t="s">
        <v>24820</v>
      </c>
      <c r="E40779" s="21" t="s">
        <v>35</v>
      </c>
      <c r="F40779">
        <v>8920137</v>
      </c>
      <c r="G40779" t="s">
        <v>6082</v>
      </c>
      <c r="H40779" s="21">
        <v>505.17</v>
      </c>
    </row>
    <row r="40780" spans="1:8" customFormat="1" x14ac:dyDescent="0.25">
      <c r="A40780" t="str">
        <f>"031227"</f>
        <v>031227</v>
      </c>
      <c r="B40780" t="s">
        <v>9436</v>
      </c>
      <c r="C40780" t="s">
        <v>29826</v>
      </c>
      <c r="D40780" s="21" t="s">
        <v>24820</v>
      </c>
      <c r="E40780" s="21" t="s">
        <v>1089</v>
      </c>
      <c r="F40780">
        <v>1030165</v>
      </c>
      <c r="G40780" t="s">
        <v>2357</v>
      </c>
      <c r="H40780" s="21">
        <v>505</v>
      </c>
    </row>
    <row r="40781" spans="1:8" customFormat="1" x14ac:dyDescent="0.25">
      <c r="A40781" t="str">
        <f>"218161"</f>
        <v>218161</v>
      </c>
      <c r="B40781" t="s">
        <v>23160</v>
      </c>
      <c r="C40781" t="s">
        <v>24927</v>
      </c>
      <c r="D40781" s="21" t="s">
        <v>24820</v>
      </c>
      <c r="E40781" s="21" t="s">
        <v>71</v>
      </c>
      <c r="F40781">
        <v>2210048</v>
      </c>
      <c r="G40781" t="s">
        <v>7499</v>
      </c>
      <c r="H40781" s="21">
        <v>504.75</v>
      </c>
    </row>
    <row r="40782" spans="1:8" customFormat="1" x14ac:dyDescent="0.25">
      <c r="A40782" t="str">
        <f>"5324169"</f>
        <v>5324169</v>
      </c>
      <c r="B40782" t="s">
        <v>3274</v>
      </c>
      <c r="C40782" t="s">
        <v>22831</v>
      </c>
      <c r="D40782" s="21" t="s">
        <v>24820</v>
      </c>
      <c r="E40782" s="21" t="s">
        <v>35</v>
      </c>
      <c r="F40782">
        <v>12530120</v>
      </c>
      <c r="G40782" t="s">
        <v>26791</v>
      </c>
      <c r="H40782" s="21">
        <v>504.67</v>
      </c>
    </row>
    <row r="40783" spans="1:8" customFormat="1" x14ac:dyDescent="0.25">
      <c r="A40783" t="str">
        <f>"5325606"</f>
        <v>5325606</v>
      </c>
      <c r="B40783" t="s">
        <v>6454</v>
      </c>
      <c r="C40783" t="s">
        <v>25276</v>
      </c>
      <c r="D40783" s="21" t="s">
        <v>24820</v>
      </c>
      <c r="E40783" s="21" t="s">
        <v>35</v>
      </c>
      <c r="F40783">
        <v>12530018</v>
      </c>
      <c r="G40783" t="s">
        <v>8768</v>
      </c>
      <c r="H40783" s="21">
        <v>504.67</v>
      </c>
    </row>
    <row r="40784" spans="1:8" customFormat="1" x14ac:dyDescent="0.25">
      <c r="A40784" t="str">
        <f>"756056"</f>
        <v>756056</v>
      </c>
      <c r="B40784" t="s">
        <v>25591</v>
      </c>
      <c r="C40784" t="s">
        <v>25512</v>
      </c>
      <c r="D40784" s="21" t="s">
        <v>24820</v>
      </c>
      <c r="E40784" s="21" t="s">
        <v>1089</v>
      </c>
      <c r="F40784">
        <v>8751231</v>
      </c>
      <c r="G40784" t="s">
        <v>12843</v>
      </c>
      <c r="H40784" s="21">
        <v>504.67</v>
      </c>
    </row>
    <row r="40785" spans="1:8" customFormat="1" x14ac:dyDescent="0.25">
      <c r="A40785" t="str">
        <f>"0619388"</f>
        <v>0619388</v>
      </c>
      <c r="B40785" t="s">
        <v>2046</v>
      </c>
      <c r="C40785" t="s">
        <v>24854</v>
      </c>
      <c r="D40785" s="21" t="s">
        <v>24820</v>
      </c>
      <c r="E40785" s="21" t="s">
        <v>71</v>
      </c>
      <c r="F40785">
        <v>13060119</v>
      </c>
      <c r="G40785" t="s">
        <v>6179</v>
      </c>
      <c r="H40785" s="21">
        <v>504.5</v>
      </c>
    </row>
    <row r="40786" spans="1:8" customFormat="1" x14ac:dyDescent="0.25">
      <c r="A40786" t="str">
        <f>"5619288"</f>
        <v>5619288</v>
      </c>
      <c r="B40786" t="s">
        <v>29827</v>
      </c>
      <c r="C40786" t="s">
        <v>24854</v>
      </c>
      <c r="D40786" s="21" t="s">
        <v>24820</v>
      </c>
      <c r="E40786" s="21" t="s">
        <v>35</v>
      </c>
      <c r="F40786">
        <v>3560033</v>
      </c>
      <c r="G40786" t="s">
        <v>4927</v>
      </c>
      <c r="H40786" s="21">
        <v>504.5</v>
      </c>
    </row>
    <row r="40787" spans="1:8" customFormat="1" x14ac:dyDescent="0.25">
      <c r="A40787" t="str">
        <f>"7870504"</f>
        <v>7870504</v>
      </c>
      <c r="B40787" t="s">
        <v>29828</v>
      </c>
      <c r="C40787" t="s">
        <v>24824</v>
      </c>
      <c r="D40787" s="21" t="s">
        <v>24820</v>
      </c>
      <c r="E40787" s="21" t="s">
        <v>35</v>
      </c>
      <c r="F40787">
        <v>8780329</v>
      </c>
      <c r="G40787" t="s">
        <v>917</v>
      </c>
      <c r="H40787" s="21">
        <v>504.5</v>
      </c>
    </row>
    <row r="40788" spans="1:8" customFormat="1" x14ac:dyDescent="0.25">
      <c r="A40788" t="str">
        <f>"2932873"</f>
        <v>2932873</v>
      </c>
      <c r="B40788" t="s">
        <v>29829</v>
      </c>
      <c r="C40788" t="s">
        <v>25518</v>
      </c>
      <c r="D40788" s="21" t="s">
        <v>24820</v>
      </c>
      <c r="E40788" s="21" t="s">
        <v>254</v>
      </c>
      <c r="F40788">
        <v>3290229</v>
      </c>
      <c r="G40788" t="s">
        <v>408</v>
      </c>
      <c r="H40788" s="21">
        <v>504.17</v>
      </c>
    </row>
    <row r="40789" spans="1:8" customFormat="1" x14ac:dyDescent="0.25">
      <c r="A40789" t="str">
        <f>"1311337"</f>
        <v>1311337</v>
      </c>
      <c r="B40789" t="s">
        <v>25644</v>
      </c>
      <c r="C40789" t="s">
        <v>25200</v>
      </c>
      <c r="D40789" s="21" t="s">
        <v>24820</v>
      </c>
      <c r="E40789" s="21" t="s">
        <v>71</v>
      </c>
      <c r="F40789">
        <v>7590061</v>
      </c>
      <c r="G40789" t="s">
        <v>1207</v>
      </c>
      <c r="H40789" s="21">
        <v>504.17</v>
      </c>
    </row>
    <row r="40790" spans="1:8" customFormat="1" x14ac:dyDescent="0.25">
      <c r="A40790" t="str">
        <f>"2718801"</f>
        <v>2718801</v>
      </c>
      <c r="B40790" t="s">
        <v>67</v>
      </c>
      <c r="C40790" t="s">
        <v>24897</v>
      </c>
      <c r="D40790" s="21" t="s">
        <v>24820</v>
      </c>
      <c r="E40790" s="21" t="s">
        <v>254</v>
      </c>
      <c r="F40790">
        <v>9270071</v>
      </c>
      <c r="G40790" t="s">
        <v>7815</v>
      </c>
      <c r="H40790" s="21">
        <v>504</v>
      </c>
    </row>
    <row r="40791" spans="1:8" customFormat="1" x14ac:dyDescent="0.25">
      <c r="A40791" t="str">
        <f>"93888"</f>
        <v>93888</v>
      </c>
      <c r="B40791" t="s">
        <v>2973</v>
      </c>
      <c r="C40791" t="s">
        <v>24927</v>
      </c>
      <c r="D40791" s="21" t="s">
        <v>24820</v>
      </c>
      <c r="E40791" s="21" t="s">
        <v>254</v>
      </c>
      <c r="F40791">
        <v>8930452</v>
      </c>
      <c r="G40791" t="s">
        <v>83</v>
      </c>
      <c r="H40791" s="21">
        <v>504</v>
      </c>
    </row>
    <row r="40792" spans="1:8" customFormat="1" x14ac:dyDescent="0.25">
      <c r="A40792" t="str">
        <f>"1613011"</f>
        <v>1613011</v>
      </c>
      <c r="B40792" t="s">
        <v>26142</v>
      </c>
      <c r="C40792" t="s">
        <v>25622</v>
      </c>
      <c r="D40792" s="21" t="s">
        <v>24820</v>
      </c>
      <c r="E40792" s="21" t="s">
        <v>71</v>
      </c>
      <c r="F40792">
        <v>10160085</v>
      </c>
      <c r="G40792" t="s">
        <v>10818</v>
      </c>
      <c r="H40792" s="21">
        <v>504</v>
      </c>
    </row>
    <row r="40793" spans="1:8" customFormat="1" x14ac:dyDescent="0.25">
      <c r="A40793" t="str">
        <f>"546020"</f>
        <v>546020</v>
      </c>
      <c r="B40793" t="s">
        <v>727</v>
      </c>
      <c r="C40793" t="s">
        <v>25019</v>
      </c>
      <c r="D40793" s="21" t="s">
        <v>24820</v>
      </c>
      <c r="E40793" s="21" t="s">
        <v>35</v>
      </c>
      <c r="F40793">
        <v>6540192</v>
      </c>
      <c r="G40793" t="s">
        <v>3644</v>
      </c>
      <c r="H40793" s="21">
        <v>504</v>
      </c>
    </row>
    <row r="40794" spans="1:8" customFormat="1" x14ac:dyDescent="0.25">
      <c r="A40794" t="str">
        <f>"749011"</f>
        <v>749011</v>
      </c>
      <c r="B40794" t="s">
        <v>14459</v>
      </c>
      <c r="C40794" t="s">
        <v>24855</v>
      </c>
      <c r="D40794" s="21" t="s">
        <v>24820</v>
      </c>
      <c r="E40794" s="21" t="s">
        <v>71</v>
      </c>
      <c r="F40794">
        <v>1740069</v>
      </c>
      <c r="G40794" t="s">
        <v>8151</v>
      </c>
      <c r="H40794" s="21">
        <v>504</v>
      </c>
    </row>
    <row r="40795" spans="1:8" customFormat="1" x14ac:dyDescent="0.25">
      <c r="A40795" t="str">
        <f>"4111809"</f>
        <v>4111809</v>
      </c>
      <c r="B40795" t="s">
        <v>3181</v>
      </c>
      <c r="C40795" t="s">
        <v>25396</v>
      </c>
      <c r="D40795" s="21" t="s">
        <v>24820</v>
      </c>
      <c r="E40795" s="21" t="s">
        <v>71</v>
      </c>
      <c r="F40795">
        <v>4410080</v>
      </c>
      <c r="G40795" t="s">
        <v>135</v>
      </c>
      <c r="H40795" s="21">
        <v>504</v>
      </c>
    </row>
    <row r="40796" spans="1:8" customFormat="1" x14ac:dyDescent="0.25">
      <c r="A40796" t="str">
        <f>"2813721"</f>
        <v>2813721</v>
      </c>
      <c r="B40796" t="s">
        <v>7628</v>
      </c>
      <c r="C40796" t="s">
        <v>25010</v>
      </c>
      <c r="D40796" s="21" t="s">
        <v>24820</v>
      </c>
      <c r="E40796" s="21" t="s">
        <v>71</v>
      </c>
      <c r="F40796">
        <v>4280719</v>
      </c>
      <c r="G40796" t="s">
        <v>21976</v>
      </c>
      <c r="H40796" s="21">
        <v>504</v>
      </c>
    </row>
    <row r="40797" spans="1:8" customFormat="1" x14ac:dyDescent="0.25">
      <c r="A40797" t="str">
        <f>"938940"</f>
        <v>938940</v>
      </c>
      <c r="B40797" t="s">
        <v>26143</v>
      </c>
      <c r="C40797" t="s">
        <v>23734</v>
      </c>
      <c r="D40797" s="21" t="s">
        <v>24820</v>
      </c>
      <c r="E40797" s="21" t="s">
        <v>254</v>
      </c>
      <c r="F40797">
        <v>8931057</v>
      </c>
      <c r="G40797" t="s">
        <v>1011</v>
      </c>
      <c r="H40797" s="21">
        <v>504</v>
      </c>
    </row>
    <row r="40798" spans="1:8" customFormat="1" x14ac:dyDescent="0.25">
      <c r="A40798" t="str">
        <f>"9244756"</f>
        <v>9244756</v>
      </c>
      <c r="B40798" t="s">
        <v>22505</v>
      </c>
      <c r="C40798" t="s">
        <v>25109</v>
      </c>
      <c r="D40798" s="21" t="s">
        <v>24820</v>
      </c>
      <c r="E40798" s="21" t="s">
        <v>35</v>
      </c>
      <c r="F40798">
        <v>8920075</v>
      </c>
      <c r="G40798" t="s">
        <v>317</v>
      </c>
      <c r="H40798" s="21">
        <v>504</v>
      </c>
    </row>
    <row r="40799" spans="1:8" customFormat="1" x14ac:dyDescent="0.25">
      <c r="A40799" t="str">
        <f>"3013141"</f>
        <v>3013141</v>
      </c>
      <c r="B40799" t="s">
        <v>29830</v>
      </c>
      <c r="C40799" t="s">
        <v>24824</v>
      </c>
      <c r="D40799" s="21" t="s">
        <v>24820</v>
      </c>
      <c r="E40799" s="21" t="s">
        <v>35</v>
      </c>
      <c r="F40799">
        <v>11300025</v>
      </c>
      <c r="G40799" t="s">
        <v>1211</v>
      </c>
      <c r="H40799" s="21">
        <v>504</v>
      </c>
    </row>
    <row r="40800" spans="1:8" customFormat="1" x14ac:dyDescent="0.25">
      <c r="A40800" t="str">
        <f>"413845"</f>
        <v>413845</v>
      </c>
      <c r="B40800" t="s">
        <v>26114</v>
      </c>
      <c r="C40800" t="s">
        <v>25084</v>
      </c>
      <c r="D40800" s="21" t="s">
        <v>24820</v>
      </c>
      <c r="E40800" s="21" t="s">
        <v>35</v>
      </c>
      <c r="F40800">
        <v>4410390</v>
      </c>
      <c r="G40800" t="s">
        <v>12210</v>
      </c>
      <c r="H40800" s="21">
        <v>503.75</v>
      </c>
    </row>
    <row r="40801" spans="1:8" customFormat="1" x14ac:dyDescent="0.25">
      <c r="A40801" t="str">
        <f>"3010416"</f>
        <v>3010416</v>
      </c>
      <c r="B40801" t="s">
        <v>25653</v>
      </c>
      <c r="C40801" t="s">
        <v>25654</v>
      </c>
      <c r="D40801" s="21" t="s">
        <v>24820</v>
      </c>
      <c r="E40801" s="21" t="s">
        <v>35</v>
      </c>
      <c r="F40801">
        <v>11300047</v>
      </c>
      <c r="G40801" t="s">
        <v>9549</v>
      </c>
      <c r="H40801" s="21">
        <v>503.67</v>
      </c>
    </row>
    <row r="40802" spans="1:8" customFormat="1" x14ac:dyDescent="0.25">
      <c r="A40802" t="str">
        <f>"0114256"</f>
        <v>0114256</v>
      </c>
      <c r="B40802" t="s">
        <v>16969</v>
      </c>
      <c r="C40802" t="s">
        <v>24854</v>
      </c>
      <c r="D40802" s="21" t="s">
        <v>24820</v>
      </c>
      <c r="E40802" s="21" t="s">
        <v>35</v>
      </c>
      <c r="F40802">
        <v>1010027</v>
      </c>
      <c r="G40802" t="s">
        <v>6318</v>
      </c>
      <c r="H40802" s="21">
        <v>503.67</v>
      </c>
    </row>
    <row r="40803" spans="1:8" customFormat="1" x14ac:dyDescent="0.25">
      <c r="A40803" t="str">
        <f>"5019490"</f>
        <v>5019490</v>
      </c>
      <c r="B40803" t="s">
        <v>24669</v>
      </c>
      <c r="C40803" t="s">
        <v>24883</v>
      </c>
      <c r="D40803" s="21" t="s">
        <v>24820</v>
      </c>
      <c r="E40803" s="21" t="s">
        <v>35</v>
      </c>
      <c r="F40803">
        <v>9500088</v>
      </c>
      <c r="G40803" t="s">
        <v>15949</v>
      </c>
      <c r="H40803" s="21">
        <v>503.67</v>
      </c>
    </row>
    <row r="40804" spans="1:8" customFormat="1" x14ac:dyDescent="0.25">
      <c r="A40804" t="str">
        <f>"594443"</f>
        <v>594443</v>
      </c>
      <c r="B40804" t="s">
        <v>250</v>
      </c>
      <c r="C40804" t="s">
        <v>25588</v>
      </c>
      <c r="D40804" s="21" t="s">
        <v>24820</v>
      </c>
      <c r="E40804" s="21" t="s">
        <v>254</v>
      </c>
      <c r="F40804">
        <v>7590028</v>
      </c>
      <c r="G40804" t="s">
        <v>251</v>
      </c>
      <c r="H40804" s="21">
        <v>503.67</v>
      </c>
    </row>
    <row r="40805" spans="1:8" customFormat="1" x14ac:dyDescent="0.25">
      <c r="A40805" t="str">
        <f>"7639881"</f>
        <v>7639881</v>
      </c>
      <c r="B40805" t="s">
        <v>8455</v>
      </c>
      <c r="C40805" t="s">
        <v>24888</v>
      </c>
      <c r="D40805" s="21" t="s">
        <v>24820</v>
      </c>
      <c r="E40805" s="21" t="s">
        <v>35</v>
      </c>
      <c r="F40805">
        <v>9760458</v>
      </c>
      <c r="G40805" t="s">
        <v>3594</v>
      </c>
      <c r="H40805" s="21">
        <v>503.67</v>
      </c>
    </row>
    <row r="40806" spans="1:8" customFormat="1" x14ac:dyDescent="0.25">
      <c r="A40806" t="str">
        <f>"4449733"</f>
        <v>4449733</v>
      </c>
      <c r="B40806" t="s">
        <v>25735</v>
      </c>
      <c r="C40806" t="s">
        <v>24865</v>
      </c>
      <c r="D40806" s="21" t="s">
        <v>24820</v>
      </c>
      <c r="E40806" s="21" t="s">
        <v>71</v>
      </c>
      <c r="F40806">
        <v>12440039</v>
      </c>
      <c r="G40806" t="s">
        <v>9650</v>
      </c>
      <c r="H40806" s="21">
        <v>503.5</v>
      </c>
    </row>
    <row r="40807" spans="1:8" customFormat="1" x14ac:dyDescent="0.25">
      <c r="A40807" t="str">
        <f>"3529334"</f>
        <v>3529334</v>
      </c>
      <c r="B40807" t="s">
        <v>15424</v>
      </c>
      <c r="C40807" t="s">
        <v>29831</v>
      </c>
      <c r="D40807" s="21" t="s">
        <v>24820</v>
      </c>
      <c r="E40807" s="21" t="s">
        <v>71</v>
      </c>
      <c r="F40807">
        <v>3350209</v>
      </c>
      <c r="G40807" t="s">
        <v>3023</v>
      </c>
      <c r="H40807" s="21">
        <v>503.5</v>
      </c>
    </row>
    <row r="40808" spans="1:8" customFormat="1" x14ac:dyDescent="0.25">
      <c r="A40808" t="str">
        <f>"3833476"</f>
        <v>3833476</v>
      </c>
      <c r="B40808" t="s">
        <v>1098</v>
      </c>
      <c r="C40808" t="s">
        <v>24968</v>
      </c>
      <c r="D40808" s="21" t="s">
        <v>24820</v>
      </c>
      <c r="E40808" s="21" t="s">
        <v>35</v>
      </c>
      <c r="F40808">
        <v>1380273</v>
      </c>
      <c r="G40808" t="s">
        <v>7554</v>
      </c>
      <c r="H40808" s="21">
        <v>503.5</v>
      </c>
    </row>
    <row r="40809" spans="1:8" customFormat="1" x14ac:dyDescent="0.25">
      <c r="A40809" t="str">
        <f>"4112398"</f>
        <v>4112398</v>
      </c>
      <c r="B40809" t="s">
        <v>7614</v>
      </c>
      <c r="C40809" t="s">
        <v>24947</v>
      </c>
      <c r="D40809" s="21" t="s">
        <v>24820</v>
      </c>
      <c r="E40809" s="21" t="s">
        <v>35</v>
      </c>
      <c r="F40809">
        <v>4410729</v>
      </c>
      <c r="G40809" t="s">
        <v>4427</v>
      </c>
      <c r="H40809" s="21">
        <v>503.5</v>
      </c>
    </row>
    <row r="40810" spans="1:8" customFormat="1" x14ac:dyDescent="0.25">
      <c r="A40810" t="str">
        <f>"1613622"</f>
        <v>1613622</v>
      </c>
      <c r="B40810" t="s">
        <v>2438</v>
      </c>
      <c r="C40810" t="s">
        <v>24300</v>
      </c>
      <c r="D40810" s="21" t="s">
        <v>24820</v>
      </c>
      <c r="E40810" s="21" t="s">
        <v>35</v>
      </c>
      <c r="F40810">
        <v>10160029</v>
      </c>
      <c r="G40810" t="s">
        <v>896</v>
      </c>
      <c r="H40810" s="21">
        <v>503.17</v>
      </c>
    </row>
    <row r="40811" spans="1:8" customFormat="1" x14ac:dyDescent="0.25">
      <c r="A40811" t="str">
        <f>"9134512"</f>
        <v>9134512</v>
      </c>
      <c r="B40811" t="s">
        <v>26194</v>
      </c>
      <c r="C40811" t="s">
        <v>24962</v>
      </c>
      <c r="D40811" s="21" t="s">
        <v>24820</v>
      </c>
      <c r="E40811" s="21" t="s">
        <v>35</v>
      </c>
      <c r="F40811">
        <v>8910402</v>
      </c>
      <c r="G40811" t="s">
        <v>1371</v>
      </c>
      <c r="H40811" s="21">
        <v>503.12</v>
      </c>
    </row>
    <row r="40812" spans="1:8" customFormat="1" x14ac:dyDescent="0.25">
      <c r="A40812" t="str">
        <f>"9228148"</f>
        <v>9228148</v>
      </c>
      <c r="B40812" t="s">
        <v>2964</v>
      </c>
      <c r="C40812" t="s">
        <v>26095</v>
      </c>
      <c r="D40812" s="21" t="s">
        <v>24820</v>
      </c>
      <c r="E40812" s="21" t="s">
        <v>71</v>
      </c>
      <c r="F40812">
        <v>8750074</v>
      </c>
      <c r="G40812" t="s">
        <v>698</v>
      </c>
      <c r="H40812" s="21">
        <v>503</v>
      </c>
    </row>
    <row r="40813" spans="1:8" customFormat="1" x14ac:dyDescent="0.25">
      <c r="A40813" t="str">
        <f>"7523932"</f>
        <v>7523932</v>
      </c>
      <c r="B40813" t="s">
        <v>29832</v>
      </c>
      <c r="C40813" t="s">
        <v>29833</v>
      </c>
      <c r="D40813" s="21" t="s">
        <v>24820</v>
      </c>
      <c r="E40813" s="21" t="s">
        <v>35</v>
      </c>
      <c r="F40813">
        <v>8751260</v>
      </c>
      <c r="G40813" t="s">
        <v>10641</v>
      </c>
      <c r="H40813" s="21">
        <v>503</v>
      </c>
    </row>
    <row r="40814" spans="1:8" customFormat="1" x14ac:dyDescent="0.25">
      <c r="A40814" t="str">
        <f>"036246"</f>
        <v>036246</v>
      </c>
      <c r="B40814" t="s">
        <v>23438</v>
      </c>
      <c r="C40814" t="s">
        <v>25313</v>
      </c>
      <c r="D40814" s="21" t="s">
        <v>24820</v>
      </c>
      <c r="E40814" s="21" t="s">
        <v>35</v>
      </c>
      <c r="F40814">
        <v>1030227</v>
      </c>
      <c r="G40814" t="s">
        <v>5679</v>
      </c>
      <c r="H40814" s="21">
        <v>503</v>
      </c>
    </row>
    <row r="40815" spans="1:8" customFormat="1" x14ac:dyDescent="0.25">
      <c r="A40815" t="str">
        <f>"7641736"</f>
        <v>7641736</v>
      </c>
      <c r="B40815" t="s">
        <v>25629</v>
      </c>
      <c r="C40815" t="s">
        <v>25053</v>
      </c>
      <c r="D40815" s="21" t="s">
        <v>24820</v>
      </c>
      <c r="E40815" s="21" t="s">
        <v>71</v>
      </c>
      <c r="F40815">
        <v>9760286</v>
      </c>
      <c r="G40815" t="s">
        <v>11559</v>
      </c>
      <c r="H40815" s="21">
        <v>503</v>
      </c>
    </row>
    <row r="40816" spans="1:8" customFormat="1" x14ac:dyDescent="0.25">
      <c r="A40816" t="str">
        <f>"4454946"</f>
        <v>4454946</v>
      </c>
      <c r="B40816" t="s">
        <v>23645</v>
      </c>
      <c r="C40816" t="s">
        <v>24894</v>
      </c>
      <c r="D40816" s="21" t="s">
        <v>24820</v>
      </c>
      <c r="E40816" s="21" t="s">
        <v>35</v>
      </c>
      <c r="F40816">
        <v>12440141</v>
      </c>
      <c r="G40816" t="s">
        <v>3234</v>
      </c>
      <c r="H40816" s="21">
        <v>503</v>
      </c>
    </row>
    <row r="40817" spans="1:8" customFormat="1" x14ac:dyDescent="0.25">
      <c r="A40817" t="str">
        <f>"6023207"</f>
        <v>6023207</v>
      </c>
      <c r="B40817" t="s">
        <v>29834</v>
      </c>
      <c r="C40817" t="s">
        <v>24894</v>
      </c>
      <c r="D40817" s="21" t="s">
        <v>24820</v>
      </c>
      <c r="E40817" s="21" t="s">
        <v>35</v>
      </c>
      <c r="F40817">
        <v>7600054</v>
      </c>
      <c r="G40817" t="s">
        <v>1352</v>
      </c>
      <c r="H40817" s="21">
        <v>503</v>
      </c>
    </row>
    <row r="40818" spans="1:8" customFormat="1" x14ac:dyDescent="0.25">
      <c r="A40818" t="str">
        <f>"9141170"</f>
        <v>9141170</v>
      </c>
      <c r="B40818" t="s">
        <v>3208</v>
      </c>
      <c r="C40818" t="s">
        <v>25109</v>
      </c>
      <c r="D40818" s="21" t="s">
        <v>24820</v>
      </c>
      <c r="E40818" s="21" t="s">
        <v>35</v>
      </c>
      <c r="F40818">
        <v>8911285</v>
      </c>
      <c r="G40818" t="s">
        <v>2396</v>
      </c>
      <c r="H40818" s="21">
        <v>503</v>
      </c>
    </row>
    <row r="40819" spans="1:8" customFormat="1" x14ac:dyDescent="0.25">
      <c r="A40819" t="str">
        <f>"5614313"</f>
        <v>5614313</v>
      </c>
      <c r="B40819" t="s">
        <v>26163</v>
      </c>
      <c r="C40819" t="s">
        <v>24904</v>
      </c>
      <c r="D40819" s="21" t="s">
        <v>24820</v>
      </c>
      <c r="E40819" s="21" t="s">
        <v>35</v>
      </c>
      <c r="F40819">
        <v>3560059</v>
      </c>
      <c r="G40819" t="s">
        <v>2033</v>
      </c>
      <c r="H40819" s="21">
        <v>503</v>
      </c>
    </row>
    <row r="40820" spans="1:8" customFormat="1" x14ac:dyDescent="0.25">
      <c r="A40820" t="str">
        <f>"7219683"</f>
        <v>7219683</v>
      </c>
      <c r="B40820" t="s">
        <v>26173</v>
      </c>
      <c r="C40820" t="s">
        <v>24840</v>
      </c>
      <c r="D40820" s="21" t="s">
        <v>24820</v>
      </c>
      <c r="E40820" s="21" t="s">
        <v>71</v>
      </c>
      <c r="F40820">
        <v>12720056</v>
      </c>
      <c r="G40820" t="s">
        <v>9231</v>
      </c>
      <c r="H40820" s="21">
        <v>503</v>
      </c>
    </row>
    <row r="40821" spans="1:8" customFormat="1" x14ac:dyDescent="0.25">
      <c r="A40821" t="str">
        <f>"639253"</f>
        <v>639253</v>
      </c>
      <c r="B40821" t="s">
        <v>2362</v>
      </c>
      <c r="C40821" t="s">
        <v>25317</v>
      </c>
      <c r="D40821" s="21" t="s">
        <v>24820</v>
      </c>
      <c r="E40821" s="21" t="s">
        <v>71</v>
      </c>
      <c r="F40821">
        <v>1630332</v>
      </c>
      <c r="G40821" t="s">
        <v>27136</v>
      </c>
      <c r="H40821" s="21">
        <v>502.79</v>
      </c>
    </row>
    <row r="40822" spans="1:8" customFormat="1" x14ac:dyDescent="0.25">
      <c r="A40822" t="str">
        <f>"166665"</f>
        <v>166665</v>
      </c>
      <c r="B40822" t="s">
        <v>25605</v>
      </c>
      <c r="C40822" t="s">
        <v>22831</v>
      </c>
      <c r="D40822" s="21" t="s">
        <v>24820</v>
      </c>
      <c r="E40822" s="21" t="s">
        <v>35</v>
      </c>
      <c r="F40822">
        <v>10160071</v>
      </c>
      <c r="G40822" t="s">
        <v>21857</v>
      </c>
      <c r="H40822" s="21">
        <v>502.67</v>
      </c>
    </row>
    <row r="40823" spans="1:8" customFormat="1" x14ac:dyDescent="0.25">
      <c r="A40823" t="str">
        <f>"9312632"</f>
        <v>9312632</v>
      </c>
      <c r="B40823" t="s">
        <v>25585</v>
      </c>
      <c r="C40823" t="s">
        <v>23734</v>
      </c>
      <c r="D40823" s="21" t="s">
        <v>24820</v>
      </c>
      <c r="E40823" s="21" t="s">
        <v>71</v>
      </c>
      <c r="F40823">
        <v>8930024</v>
      </c>
      <c r="G40823" t="s">
        <v>44</v>
      </c>
      <c r="H40823" s="21">
        <v>502.67</v>
      </c>
    </row>
    <row r="40824" spans="1:8" customFormat="1" x14ac:dyDescent="0.25">
      <c r="A40824" t="str">
        <f>"4442385"</f>
        <v>4442385</v>
      </c>
      <c r="B40824" t="s">
        <v>824</v>
      </c>
      <c r="C40824" t="s">
        <v>24867</v>
      </c>
      <c r="D40824" s="21" t="s">
        <v>24820</v>
      </c>
      <c r="E40824" s="21" t="s">
        <v>71</v>
      </c>
      <c r="F40824">
        <v>12440138</v>
      </c>
      <c r="G40824" t="s">
        <v>562</v>
      </c>
      <c r="H40824" s="21">
        <v>502.67</v>
      </c>
    </row>
    <row r="40825" spans="1:8" customFormat="1" x14ac:dyDescent="0.25">
      <c r="A40825" t="str">
        <f>"645865"</f>
        <v>645865</v>
      </c>
      <c r="B40825" t="s">
        <v>5919</v>
      </c>
      <c r="C40825" t="s">
        <v>25403</v>
      </c>
      <c r="D40825" s="21" t="s">
        <v>24820</v>
      </c>
      <c r="E40825" s="21" t="s">
        <v>35</v>
      </c>
      <c r="F40825">
        <v>10640019</v>
      </c>
      <c r="G40825" t="s">
        <v>3123</v>
      </c>
      <c r="H40825" s="21">
        <v>502.38</v>
      </c>
    </row>
    <row r="40826" spans="1:8" customFormat="1" x14ac:dyDescent="0.25">
      <c r="A40826" t="str">
        <f>"5421981"</f>
        <v>5421981</v>
      </c>
      <c r="B40826" t="s">
        <v>9212</v>
      </c>
      <c r="C40826" t="s">
        <v>25019</v>
      </c>
      <c r="D40826" s="21" t="s">
        <v>24820</v>
      </c>
      <c r="E40826" s="21" t="s">
        <v>35</v>
      </c>
      <c r="F40826">
        <v>6540032</v>
      </c>
      <c r="G40826" t="s">
        <v>63</v>
      </c>
      <c r="H40826" s="21">
        <v>502</v>
      </c>
    </row>
    <row r="40827" spans="1:8" customFormat="1" x14ac:dyDescent="0.25">
      <c r="A40827" t="str">
        <f>"5020912"</f>
        <v>5020912</v>
      </c>
      <c r="B40827" t="s">
        <v>13337</v>
      </c>
      <c r="C40827" t="s">
        <v>25661</v>
      </c>
      <c r="D40827" s="21" t="s">
        <v>24820</v>
      </c>
      <c r="E40827" s="21" t="s">
        <v>35</v>
      </c>
      <c r="F40827">
        <v>9500121</v>
      </c>
      <c r="G40827" t="s">
        <v>7360</v>
      </c>
      <c r="H40827" s="21">
        <v>502</v>
      </c>
    </row>
    <row r="40828" spans="1:8" customFormat="1" x14ac:dyDescent="0.25">
      <c r="A40828" t="str">
        <f>"9146243"</f>
        <v>9146243</v>
      </c>
      <c r="B40828" t="s">
        <v>29835</v>
      </c>
      <c r="C40828" t="s">
        <v>24888</v>
      </c>
      <c r="D40828" s="21" t="s">
        <v>24820</v>
      </c>
      <c r="E40828" s="21" t="s">
        <v>71</v>
      </c>
      <c r="F40828">
        <v>8910876</v>
      </c>
      <c r="G40828" t="s">
        <v>1721</v>
      </c>
      <c r="H40828" s="21">
        <v>501.79</v>
      </c>
    </row>
    <row r="40829" spans="1:8" customFormat="1" x14ac:dyDescent="0.25">
      <c r="A40829" t="str">
        <f>"17635"</f>
        <v>17635</v>
      </c>
      <c r="B40829" t="s">
        <v>431</v>
      </c>
      <c r="C40829" t="s">
        <v>24867</v>
      </c>
      <c r="D40829" s="21" t="s">
        <v>24820</v>
      </c>
      <c r="E40829" s="21" t="s">
        <v>71</v>
      </c>
      <c r="F40829">
        <v>10170073</v>
      </c>
      <c r="G40829" t="s">
        <v>9689</v>
      </c>
      <c r="H40829" s="21">
        <v>501.67</v>
      </c>
    </row>
    <row r="40830" spans="1:8" customFormat="1" x14ac:dyDescent="0.25">
      <c r="A40830" t="str">
        <f>"5616006"</f>
        <v>5616006</v>
      </c>
      <c r="B40830" t="s">
        <v>29836</v>
      </c>
      <c r="C40830" t="s">
        <v>29837</v>
      </c>
      <c r="D40830" s="21" t="s">
        <v>24820</v>
      </c>
      <c r="E40830" s="21" t="s">
        <v>71</v>
      </c>
      <c r="F40830">
        <v>3560087</v>
      </c>
      <c r="G40830" t="s">
        <v>7767</v>
      </c>
      <c r="H40830" s="21">
        <v>501.67</v>
      </c>
    </row>
    <row r="40831" spans="1:8" customFormat="1" x14ac:dyDescent="0.25">
      <c r="A40831" t="str">
        <f>"9247709"</f>
        <v>9247709</v>
      </c>
      <c r="B40831" t="s">
        <v>25649</v>
      </c>
      <c r="C40831" t="s">
        <v>24833</v>
      </c>
      <c r="D40831" s="21" t="s">
        <v>24820</v>
      </c>
      <c r="E40831" s="21" t="s">
        <v>35</v>
      </c>
      <c r="F40831">
        <v>8921190</v>
      </c>
      <c r="G40831" t="s">
        <v>810</v>
      </c>
      <c r="H40831" s="21">
        <v>501.5</v>
      </c>
    </row>
    <row r="40832" spans="1:8" customFormat="1" x14ac:dyDescent="0.25">
      <c r="A40832" t="str">
        <f>"6929590"</f>
        <v>6929590</v>
      </c>
      <c r="B40832" t="s">
        <v>29838</v>
      </c>
      <c r="C40832" t="s">
        <v>24897</v>
      </c>
      <c r="D40832" s="21" t="s">
        <v>24820</v>
      </c>
      <c r="E40832" s="21" t="s">
        <v>71</v>
      </c>
      <c r="F40832">
        <v>1690002</v>
      </c>
      <c r="G40832" t="s">
        <v>5604</v>
      </c>
      <c r="H40832" s="21">
        <v>501.5</v>
      </c>
    </row>
    <row r="40833" spans="1:8" customFormat="1" x14ac:dyDescent="0.25">
      <c r="A40833" t="str">
        <f>"4519400"</f>
        <v>4519400</v>
      </c>
      <c r="B40833" t="s">
        <v>25574</v>
      </c>
      <c r="C40833" t="s">
        <v>24867</v>
      </c>
      <c r="D40833" s="21" t="s">
        <v>24820</v>
      </c>
      <c r="E40833" s="21" t="s">
        <v>71</v>
      </c>
      <c r="F40833">
        <v>4450580</v>
      </c>
      <c r="G40833" t="s">
        <v>11998</v>
      </c>
      <c r="H40833" s="21">
        <v>501.5</v>
      </c>
    </row>
    <row r="40834" spans="1:8" customFormat="1" x14ac:dyDescent="0.25">
      <c r="A40834" t="str">
        <f>"4430608"</f>
        <v>4430608</v>
      </c>
      <c r="B40834" t="s">
        <v>3517</v>
      </c>
      <c r="C40834" t="s">
        <v>24898</v>
      </c>
      <c r="D40834" s="21" t="s">
        <v>24820</v>
      </c>
      <c r="E40834" s="21" t="s">
        <v>254</v>
      </c>
      <c r="F40834">
        <v>12440049</v>
      </c>
      <c r="G40834" t="s">
        <v>3339</v>
      </c>
      <c r="H40834" s="21">
        <v>501.5</v>
      </c>
    </row>
    <row r="40835" spans="1:8" customFormat="1" x14ac:dyDescent="0.25">
      <c r="A40835" t="str">
        <f>"2511364"</f>
        <v>2511364</v>
      </c>
      <c r="B40835" t="s">
        <v>25602</v>
      </c>
      <c r="C40835" t="s">
        <v>24869</v>
      </c>
      <c r="D40835" s="21" t="s">
        <v>24820</v>
      </c>
      <c r="E40835" s="21" t="s">
        <v>35</v>
      </c>
      <c r="F40835">
        <v>2250137</v>
      </c>
      <c r="G40835" t="s">
        <v>182</v>
      </c>
      <c r="H40835" s="21">
        <v>501.5</v>
      </c>
    </row>
    <row r="40836" spans="1:8" customFormat="1" x14ac:dyDescent="0.25">
      <c r="A40836" t="str">
        <f>"8316920"</f>
        <v>8316920</v>
      </c>
      <c r="B40836" t="s">
        <v>5431</v>
      </c>
      <c r="C40836" t="s">
        <v>24927</v>
      </c>
      <c r="D40836" s="21" t="s">
        <v>24820</v>
      </c>
      <c r="E40836" s="21" t="s">
        <v>71</v>
      </c>
      <c r="F40836">
        <v>13830044</v>
      </c>
      <c r="G40836" t="s">
        <v>945</v>
      </c>
      <c r="H40836" s="21">
        <v>501.42</v>
      </c>
    </row>
    <row r="40837" spans="1:8" customFormat="1" x14ac:dyDescent="0.25">
      <c r="A40837" t="str">
        <f>"2515580"</f>
        <v>2515580</v>
      </c>
      <c r="B40837" t="s">
        <v>25686</v>
      </c>
      <c r="C40837" t="s">
        <v>24897</v>
      </c>
      <c r="D40837" s="21" t="s">
        <v>24820</v>
      </c>
      <c r="E40837" s="21" t="s">
        <v>35</v>
      </c>
      <c r="F40837">
        <v>2250024</v>
      </c>
      <c r="G40837" t="s">
        <v>751</v>
      </c>
      <c r="H40837" s="21">
        <v>501.17</v>
      </c>
    </row>
    <row r="40838" spans="1:8" customFormat="1" x14ac:dyDescent="0.25">
      <c r="A40838" t="str">
        <f>"9250491"</f>
        <v>9250491</v>
      </c>
      <c r="B40838" t="s">
        <v>8507</v>
      </c>
      <c r="C40838" t="s">
        <v>24865</v>
      </c>
      <c r="D40838" s="21" t="s">
        <v>24820</v>
      </c>
      <c r="E40838" s="21" t="s">
        <v>71</v>
      </c>
      <c r="F40838">
        <v>8920140</v>
      </c>
      <c r="G40838" t="s">
        <v>3762</v>
      </c>
      <c r="H40838" s="21">
        <v>501.12</v>
      </c>
    </row>
    <row r="40839" spans="1:8" customFormat="1" x14ac:dyDescent="0.25">
      <c r="A40839" t="str">
        <f>"9536891"</f>
        <v>9536891</v>
      </c>
      <c r="B40839" t="s">
        <v>6777</v>
      </c>
      <c r="C40839" t="s">
        <v>26177</v>
      </c>
      <c r="D40839" s="21" t="s">
        <v>24820</v>
      </c>
      <c r="E40839" s="21" t="s">
        <v>35</v>
      </c>
      <c r="F40839">
        <v>8950479</v>
      </c>
      <c r="G40839" t="s">
        <v>728</v>
      </c>
      <c r="H40839" s="21">
        <v>501.12</v>
      </c>
    </row>
    <row r="40840" spans="1:8" customFormat="1" x14ac:dyDescent="0.25">
      <c r="A40840" t="str">
        <f>"737415"</f>
        <v>737415</v>
      </c>
      <c r="B40840" t="s">
        <v>3209</v>
      </c>
      <c r="C40840" t="s">
        <v>24968</v>
      </c>
      <c r="D40840" s="21" t="s">
        <v>24820</v>
      </c>
      <c r="E40840" s="21" t="s">
        <v>71</v>
      </c>
      <c r="F40840">
        <v>1730068</v>
      </c>
      <c r="G40840" t="s">
        <v>3375</v>
      </c>
      <c r="H40840" s="21">
        <v>501.12</v>
      </c>
    </row>
    <row r="40841" spans="1:8" customFormat="1" x14ac:dyDescent="0.25">
      <c r="A40841" t="str">
        <f>"7222449"</f>
        <v>7222449</v>
      </c>
      <c r="B40841" t="s">
        <v>26202</v>
      </c>
      <c r="C40841" t="s">
        <v>24300</v>
      </c>
      <c r="D40841" s="21" t="s">
        <v>24820</v>
      </c>
      <c r="E40841" s="21" t="s">
        <v>35</v>
      </c>
      <c r="F40841">
        <v>12720008</v>
      </c>
      <c r="G40841" t="s">
        <v>753</v>
      </c>
      <c r="H40841" s="21">
        <v>501</v>
      </c>
    </row>
    <row r="40842" spans="1:8" customFormat="1" x14ac:dyDescent="0.25">
      <c r="A40842" t="str">
        <f>"9145114"</f>
        <v>9145114</v>
      </c>
      <c r="B40842" t="s">
        <v>1834</v>
      </c>
      <c r="C40842" t="s">
        <v>25262</v>
      </c>
      <c r="D40842" s="21" t="s">
        <v>24820</v>
      </c>
      <c r="E40842" s="21" t="s">
        <v>35</v>
      </c>
      <c r="F40842">
        <v>8911050</v>
      </c>
      <c r="G40842" t="s">
        <v>1606</v>
      </c>
      <c r="H40842" s="21">
        <v>501</v>
      </c>
    </row>
    <row r="40843" spans="1:8" customFormat="1" x14ac:dyDescent="0.25">
      <c r="A40843" t="str">
        <f>"13642"</f>
        <v>13642</v>
      </c>
      <c r="B40843" t="s">
        <v>26258</v>
      </c>
      <c r="C40843" t="s">
        <v>25772</v>
      </c>
      <c r="D40843" s="21" t="s">
        <v>24820</v>
      </c>
      <c r="E40843" s="21" t="s">
        <v>6185</v>
      </c>
      <c r="F40843">
        <v>13130162</v>
      </c>
      <c r="G40843" t="s">
        <v>13411</v>
      </c>
      <c r="H40843" s="21">
        <v>501</v>
      </c>
    </row>
    <row r="40844" spans="1:8" customFormat="1" x14ac:dyDescent="0.25">
      <c r="A40844" t="str">
        <f>"9535288"</f>
        <v>9535288</v>
      </c>
      <c r="B40844" t="s">
        <v>11864</v>
      </c>
      <c r="C40844" t="s">
        <v>24904</v>
      </c>
      <c r="D40844" s="21" t="s">
        <v>24820</v>
      </c>
      <c r="E40844" s="21" t="s">
        <v>71</v>
      </c>
      <c r="F40844">
        <v>8950262</v>
      </c>
      <c r="G40844" t="s">
        <v>1881</v>
      </c>
      <c r="H40844" s="21">
        <v>501</v>
      </c>
    </row>
    <row r="40845" spans="1:8" customFormat="1" x14ac:dyDescent="0.25">
      <c r="A40845" t="str">
        <f>"3335392"</f>
        <v>3335392</v>
      </c>
      <c r="B40845" t="s">
        <v>29839</v>
      </c>
      <c r="C40845" t="s">
        <v>24867</v>
      </c>
      <c r="D40845" s="21" t="s">
        <v>24820</v>
      </c>
      <c r="E40845" s="21" t="s">
        <v>35</v>
      </c>
      <c r="F40845">
        <v>10330011</v>
      </c>
      <c r="G40845" t="s">
        <v>1789</v>
      </c>
      <c r="H40845" s="21">
        <v>501</v>
      </c>
    </row>
    <row r="40846" spans="1:8" customFormat="1" x14ac:dyDescent="0.25">
      <c r="A40846" t="str">
        <f>"8015317"</f>
        <v>8015317</v>
      </c>
      <c r="B40846" t="s">
        <v>26019</v>
      </c>
      <c r="C40846" t="s">
        <v>25138</v>
      </c>
      <c r="D40846" s="21" t="s">
        <v>24820</v>
      </c>
      <c r="E40846" s="21" t="s">
        <v>35</v>
      </c>
      <c r="F40846">
        <v>7800030</v>
      </c>
      <c r="G40846" t="s">
        <v>13589</v>
      </c>
      <c r="H40846" s="21">
        <v>501</v>
      </c>
    </row>
    <row r="40847" spans="1:8" customFormat="1" x14ac:dyDescent="0.25">
      <c r="A40847" t="str">
        <f>"775375"</f>
        <v>775375</v>
      </c>
      <c r="B40847" t="s">
        <v>26185</v>
      </c>
      <c r="C40847" t="s">
        <v>24855</v>
      </c>
      <c r="D40847" s="21" t="s">
        <v>24820</v>
      </c>
      <c r="E40847" s="21" t="s">
        <v>35</v>
      </c>
      <c r="F40847">
        <v>10330076</v>
      </c>
      <c r="G40847" t="s">
        <v>3769</v>
      </c>
      <c r="H40847" s="21">
        <v>501</v>
      </c>
    </row>
    <row r="40848" spans="1:8" customFormat="1" x14ac:dyDescent="0.25">
      <c r="A40848" t="str">
        <f>"3345163"</f>
        <v>3345163</v>
      </c>
      <c r="B40848" t="s">
        <v>29840</v>
      </c>
      <c r="C40848" t="s">
        <v>24838</v>
      </c>
      <c r="D40848" s="21" t="s">
        <v>24820</v>
      </c>
      <c r="E40848" s="21" t="s">
        <v>35</v>
      </c>
      <c r="F40848">
        <v>10330043</v>
      </c>
      <c r="G40848" t="s">
        <v>1703</v>
      </c>
      <c r="H40848" s="21">
        <v>500.88</v>
      </c>
    </row>
    <row r="40849" spans="1:8" customFormat="1" x14ac:dyDescent="0.25">
      <c r="A40849" t="str">
        <f>"035326"</f>
        <v>035326</v>
      </c>
      <c r="B40849" t="s">
        <v>7394</v>
      </c>
      <c r="C40849" t="s">
        <v>24898</v>
      </c>
      <c r="D40849" s="21" t="s">
        <v>24820</v>
      </c>
      <c r="E40849" s="21" t="s">
        <v>71</v>
      </c>
      <c r="F40849">
        <v>1630123</v>
      </c>
      <c r="G40849" t="s">
        <v>1036</v>
      </c>
      <c r="H40849" s="21">
        <v>500.67</v>
      </c>
    </row>
    <row r="40850" spans="1:8" customFormat="1" x14ac:dyDescent="0.25">
      <c r="A40850" t="str">
        <f>"318124"</f>
        <v>318124</v>
      </c>
      <c r="B40850" t="s">
        <v>3546</v>
      </c>
      <c r="C40850" t="s">
        <v>22831</v>
      </c>
      <c r="D40850" s="21" t="s">
        <v>24820</v>
      </c>
      <c r="E40850" s="21" t="s">
        <v>71</v>
      </c>
      <c r="F40850">
        <v>11310098</v>
      </c>
      <c r="G40850" t="s">
        <v>371</v>
      </c>
      <c r="H40850" s="21">
        <v>500.67</v>
      </c>
    </row>
    <row r="40851" spans="1:8" customFormat="1" x14ac:dyDescent="0.25">
      <c r="A40851" t="str">
        <f>"1612762"</f>
        <v>1612762</v>
      </c>
      <c r="B40851" t="s">
        <v>4312</v>
      </c>
      <c r="C40851" t="s">
        <v>25609</v>
      </c>
      <c r="D40851" s="21" t="s">
        <v>24820</v>
      </c>
      <c r="E40851" s="21" t="s">
        <v>71</v>
      </c>
      <c r="F40851">
        <v>10160240</v>
      </c>
      <c r="G40851" t="s">
        <v>7095</v>
      </c>
      <c r="H40851" s="21">
        <v>500.67</v>
      </c>
    </row>
    <row r="40852" spans="1:8" customFormat="1" x14ac:dyDescent="0.25">
      <c r="A40852" t="str">
        <f>"4430282"</f>
        <v>4430282</v>
      </c>
      <c r="B40852" t="s">
        <v>890</v>
      </c>
      <c r="C40852" t="s">
        <v>24910</v>
      </c>
      <c r="D40852" s="21" t="s">
        <v>24820</v>
      </c>
      <c r="E40852" s="21" t="s">
        <v>71</v>
      </c>
      <c r="F40852">
        <v>12440084</v>
      </c>
      <c r="G40852" t="s">
        <v>1014</v>
      </c>
      <c r="H40852" s="21">
        <v>500.67</v>
      </c>
    </row>
    <row r="40853" spans="1:8" customFormat="1" x14ac:dyDescent="0.25">
      <c r="A40853" t="str">
        <f>"6110039"</f>
        <v>6110039</v>
      </c>
      <c r="B40853" t="s">
        <v>26083</v>
      </c>
      <c r="C40853" t="s">
        <v>24904</v>
      </c>
      <c r="D40853" s="21" t="s">
        <v>24820</v>
      </c>
      <c r="E40853" s="21" t="s">
        <v>35</v>
      </c>
      <c r="F40853">
        <v>9610056</v>
      </c>
      <c r="G40853" t="s">
        <v>11830</v>
      </c>
      <c r="H40853" s="21">
        <v>500.5</v>
      </c>
    </row>
    <row r="40854" spans="1:8" customFormat="1" x14ac:dyDescent="0.25">
      <c r="A40854" t="str">
        <f>"434622"</f>
        <v>434622</v>
      </c>
      <c r="B40854" t="s">
        <v>760</v>
      </c>
      <c r="C40854" t="s">
        <v>25386</v>
      </c>
      <c r="D40854" s="21" t="s">
        <v>24820</v>
      </c>
      <c r="E40854" s="21" t="s">
        <v>254</v>
      </c>
      <c r="F40854">
        <v>1420240</v>
      </c>
      <c r="G40854" t="s">
        <v>9179</v>
      </c>
      <c r="H40854" s="21">
        <v>500.5</v>
      </c>
    </row>
    <row r="40855" spans="1:8" customFormat="1" x14ac:dyDescent="0.25">
      <c r="A40855" t="str">
        <f>"6227157"</f>
        <v>6227157</v>
      </c>
      <c r="B40855" t="s">
        <v>25693</v>
      </c>
      <c r="C40855" t="s">
        <v>24824</v>
      </c>
      <c r="D40855" s="21" t="s">
        <v>24820</v>
      </c>
      <c r="E40855" s="21" t="s">
        <v>35</v>
      </c>
      <c r="F40855">
        <v>7620017</v>
      </c>
      <c r="G40855" t="s">
        <v>6559</v>
      </c>
      <c r="H40855" s="21">
        <v>500.5</v>
      </c>
    </row>
    <row r="40856" spans="1:8" customFormat="1" x14ac:dyDescent="0.25">
      <c r="A40856" t="str">
        <f>"5615339"</f>
        <v>5615339</v>
      </c>
      <c r="B40856" t="s">
        <v>29205</v>
      </c>
      <c r="C40856" t="s">
        <v>24893</v>
      </c>
      <c r="D40856" s="21" t="s">
        <v>24820</v>
      </c>
      <c r="E40856" s="21" t="s">
        <v>254</v>
      </c>
      <c r="F40856">
        <v>3560039</v>
      </c>
      <c r="G40856" t="s">
        <v>167</v>
      </c>
      <c r="H40856" s="21">
        <v>500</v>
      </c>
    </row>
    <row r="40857" spans="1:8" customFormat="1" x14ac:dyDescent="0.25">
      <c r="A40857" t="str">
        <f>"9E1106"</f>
        <v>9E1106</v>
      </c>
      <c r="B40857" t="s">
        <v>23302</v>
      </c>
      <c r="C40857" t="s">
        <v>25068</v>
      </c>
      <c r="D40857" s="21" t="s">
        <v>24820</v>
      </c>
      <c r="E40857" s="21" t="s">
        <v>71</v>
      </c>
      <c r="F40857" s="24" t="s">
        <v>28676</v>
      </c>
      <c r="G40857" t="s">
        <v>28677</v>
      </c>
      <c r="H40857" s="21">
        <v>500</v>
      </c>
    </row>
    <row r="40858" spans="1:8" customFormat="1" x14ac:dyDescent="0.25">
      <c r="A40858" t="str">
        <f>"3831576"</f>
        <v>3831576</v>
      </c>
      <c r="B40858" t="s">
        <v>22261</v>
      </c>
      <c r="C40858" t="s">
        <v>25724</v>
      </c>
      <c r="D40858" s="21" t="s">
        <v>24820</v>
      </c>
      <c r="E40858" s="21" t="s">
        <v>35</v>
      </c>
      <c r="F40858">
        <v>1380130</v>
      </c>
      <c r="G40858" t="s">
        <v>6667</v>
      </c>
      <c r="H40858" s="21">
        <v>500</v>
      </c>
    </row>
    <row r="40859" spans="1:8" customFormat="1" x14ac:dyDescent="0.25">
      <c r="A40859" t="str">
        <f>"2932263"</f>
        <v>2932263</v>
      </c>
      <c r="B40859" t="s">
        <v>2157</v>
      </c>
      <c r="C40859" t="s">
        <v>23734</v>
      </c>
      <c r="D40859" s="21" t="s">
        <v>24820</v>
      </c>
      <c r="E40859" s="21" t="s">
        <v>71</v>
      </c>
      <c r="F40859">
        <v>3290087</v>
      </c>
      <c r="G40859" t="s">
        <v>364</v>
      </c>
      <c r="H40859" s="21">
        <v>500</v>
      </c>
    </row>
    <row r="40860" spans="1:8" customFormat="1" x14ac:dyDescent="0.25">
      <c r="A40860" t="str">
        <f>"7874492"</f>
        <v>7874492</v>
      </c>
      <c r="B40860" t="s">
        <v>16460</v>
      </c>
      <c r="C40860" t="s">
        <v>29841</v>
      </c>
      <c r="D40860" s="21" t="s">
        <v>24820</v>
      </c>
      <c r="E40860" s="21" t="s">
        <v>35</v>
      </c>
      <c r="F40860">
        <v>8781226</v>
      </c>
      <c r="G40860" t="s">
        <v>12752</v>
      </c>
      <c r="H40860" s="21">
        <v>500</v>
      </c>
    </row>
    <row r="40861" spans="1:8" customFormat="1" x14ac:dyDescent="0.25">
      <c r="A40861" t="str">
        <f>"736969"</f>
        <v>736969</v>
      </c>
      <c r="B40861" t="s">
        <v>6317</v>
      </c>
      <c r="C40861" t="s">
        <v>24947</v>
      </c>
      <c r="D40861" s="21" t="s">
        <v>24820</v>
      </c>
      <c r="E40861" s="21" t="s">
        <v>35</v>
      </c>
      <c r="F40861">
        <v>1730068</v>
      </c>
      <c r="G40861" t="s">
        <v>3375</v>
      </c>
      <c r="H40861" s="21">
        <v>500</v>
      </c>
    </row>
    <row r="40862" spans="1:8" customFormat="1" x14ac:dyDescent="0.25">
      <c r="A40862" t="str">
        <f>"5615343"</f>
        <v>5615343</v>
      </c>
      <c r="B40862" t="s">
        <v>29842</v>
      </c>
      <c r="C40862" t="s">
        <v>24686</v>
      </c>
      <c r="D40862" s="21" t="s">
        <v>24820</v>
      </c>
      <c r="E40862" s="21" t="s">
        <v>254</v>
      </c>
      <c r="F40862">
        <v>3560039</v>
      </c>
      <c r="G40862" t="s">
        <v>167</v>
      </c>
      <c r="H40862" s="21">
        <v>500</v>
      </c>
    </row>
    <row r="40863" spans="1:8" customFormat="1" x14ac:dyDescent="0.25">
      <c r="A40863" t="str">
        <f>"6950650"</f>
        <v>6950650</v>
      </c>
      <c r="B40863" t="s">
        <v>29843</v>
      </c>
      <c r="C40863" t="s">
        <v>24958</v>
      </c>
      <c r="D40863" s="21" t="s">
        <v>24820</v>
      </c>
      <c r="E40863" s="21" t="s">
        <v>35</v>
      </c>
      <c r="F40863">
        <v>1690201</v>
      </c>
      <c r="G40863" t="s">
        <v>11274</v>
      </c>
      <c r="H40863" s="21">
        <v>500</v>
      </c>
    </row>
    <row r="40864" spans="1:8" customFormat="1" x14ac:dyDescent="0.25">
      <c r="A40864" t="str">
        <f>"5969135"</f>
        <v>5969135</v>
      </c>
      <c r="B40864" t="s">
        <v>20050</v>
      </c>
      <c r="C40864" t="s">
        <v>24865</v>
      </c>
      <c r="D40864" s="21" t="s">
        <v>24820</v>
      </c>
      <c r="E40864" s="21" t="s">
        <v>35</v>
      </c>
      <c r="F40864">
        <v>7590372</v>
      </c>
      <c r="G40864" t="s">
        <v>3638</v>
      </c>
      <c r="H40864" s="21">
        <v>500</v>
      </c>
    </row>
    <row r="40865" spans="1:8" customFormat="1" x14ac:dyDescent="0.25">
      <c r="A40865" t="str">
        <f>"9448423"</f>
        <v>9448423</v>
      </c>
      <c r="B40865" t="s">
        <v>13816</v>
      </c>
      <c r="C40865" t="s">
        <v>25849</v>
      </c>
      <c r="D40865" s="21" t="s">
        <v>24820</v>
      </c>
      <c r="E40865" s="21" t="s">
        <v>35</v>
      </c>
      <c r="F40865">
        <v>8940976</v>
      </c>
      <c r="G40865" t="s">
        <v>615</v>
      </c>
      <c r="H40865" s="21">
        <v>500</v>
      </c>
    </row>
    <row r="40866" spans="1:8" customFormat="1" x14ac:dyDescent="0.25">
      <c r="A40866" t="str">
        <f>"1423594"</f>
        <v>1423594</v>
      </c>
      <c r="B40866" t="s">
        <v>2925</v>
      </c>
      <c r="C40866" t="s">
        <v>22831</v>
      </c>
      <c r="D40866" s="21" t="s">
        <v>24820</v>
      </c>
      <c r="E40866" s="21" t="s">
        <v>35</v>
      </c>
      <c r="F40866">
        <v>9140229</v>
      </c>
      <c r="G40866" t="s">
        <v>22327</v>
      </c>
      <c r="H40866" s="21">
        <v>500</v>
      </c>
    </row>
    <row r="40867" spans="1:8" customFormat="1" x14ac:dyDescent="0.25">
      <c r="A40867" t="str">
        <f>"4448985"</f>
        <v>4448985</v>
      </c>
      <c r="B40867" t="s">
        <v>12052</v>
      </c>
      <c r="C40867" t="s">
        <v>25200</v>
      </c>
      <c r="D40867" s="21" t="s">
        <v>24820</v>
      </c>
      <c r="E40867" s="21" t="s">
        <v>254</v>
      </c>
      <c r="F40867">
        <v>12440012</v>
      </c>
      <c r="G40867" t="s">
        <v>807</v>
      </c>
      <c r="H40867" s="21">
        <v>500</v>
      </c>
    </row>
    <row r="40868" spans="1:8" customFormat="1" x14ac:dyDescent="0.25">
      <c r="A40868" t="str">
        <f>"9458750"</f>
        <v>9458750</v>
      </c>
      <c r="B40868" t="s">
        <v>29844</v>
      </c>
      <c r="C40868" t="s">
        <v>29845</v>
      </c>
      <c r="D40868" s="21" t="s">
        <v>24820</v>
      </c>
      <c r="E40868" s="21" t="s">
        <v>71</v>
      </c>
      <c r="F40868">
        <v>8940459</v>
      </c>
      <c r="G40868" t="s">
        <v>743</v>
      </c>
      <c r="H40868" s="21">
        <v>500</v>
      </c>
    </row>
    <row r="40869" spans="1:8" customFormat="1" x14ac:dyDescent="0.25">
      <c r="A40869" t="str">
        <f>"3119264"</f>
        <v>3119264</v>
      </c>
      <c r="B40869" t="s">
        <v>2143</v>
      </c>
      <c r="C40869" t="s">
        <v>24952</v>
      </c>
      <c r="D40869" s="21" t="s">
        <v>24820</v>
      </c>
      <c r="E40869" s="21" t="s">
        <v>254</v>
      </c>
      <c r="F40869">
        <v>11310045</v>
      </c>
      <c r="G40869" t="s">
        <v>22847</v>
      </c>
      <c r="H40869" s="21">
        <v>500</v>
      </c>
    </row>
    <row r="40870" spans="1:8" customFormat="1" x14ac:dyDescent="0.25">
      <c r="A40870" t="str">
        <f>"9F5645"</f>
        <v>9F5645</v>
      </c>
      <c r="B40870" t="s">
        <v>29846</v>
      </c>
      <c r="C40870" t="s">
        <v>29847</v>
      </c>
      <c r="D40870" s="21" t="s">
        <v>24820</v>
      </c>
      <c r="E40870" s="21" t="s">
        <v>71</v>
      </c>
      <c r="F40870" t="s">
        <v>22850</v>
      </c>
      <c r="G40870" t="s">
        <v>22851</v>
      </c>
      <c r="H40870" s="21">
        <v>500</v>
      </c>
    </row>
    <row r="40871" spans="1:8" customFormat="1" x14ac:dyDescent="0.25">
      <c r="A40871" t="str">
        <f>"189546"</f>
        <v>189546</v>
      </c>
      <c r="B40871" t="s">
        <v>15218</v>
      </c>
      <c r="C40871" t="s">
        <v>24914</v>
      </c>
      <c r="D40871" s="21" t="s">
        <v>24820</v>
      </c>
      <c r="E40871" s="21" t="s">
        <v>35</v>
      </c>
      <c r="F40871">
        <v>4180734</v>
      </c>
      <c r="G40871" t="s">
        <v>8434</v>
      </c>
      <c r="H40871" s="21">
        <v>500</v>
      </c>
    </row>
    <row r="40872" spans="1:8" customFormat="1" x14ac:dyDescent="0.25">
      <c r="A40872" t="str">
        <f>"6726549"</f>
        <v>6726549</v>
      </c>
      <c r="B40872" t="s">
        <v>23271</v>
      </c>
      <c r="C40872" t="s">
        <v>29848</v>
      </c>
      <c r="D40872" s="21" t="s">
        <v>24820</v>
      </c>
      <c r="E40872" s="21" t="s">
        <v>254</v>
      </c>
      <c r="F40872">
        <v>6670268</v>
      </c>
      <c r="G40872" t="s">
        <v>8908</v>
      </c>
      <c r="H40872" s="21">
        <v>500</v>
      </c>
    </row>
    <row r="40873" spans="1:8" customFormat="1" x14ac:dyDescent="0.25">
      <c r="A40873" t="str">
        <f>"508441"</f>
        <v>508441</v>
      </c>
      <c r="B40873" t="s">
        <v>25933</v>
      </c>
      <c r="C40873" t="s">
        <v>23734</v>
      </c>
      <c r="D40873" s="21" t="s">
        <v>24820</v>
      </c>
      <c r="E40873" s="21" t="s">
        <v>71</v>
      </c>
      <c r="F40873">
        <v>9500013</v>
      </c>
      <c r="G40873" t="s">
        <v>992</v>
      </c>
      <c r="H40873" s="21">
        <v>500</v>
      </c>
    </row>
    <row r="40874" spans="1:8" customFormat="1" x14ac:dyDescent="0.25">
      <c r="A40874" t="str">
        <f>"7414997"</f>
        <v>7414997</v>
      </c>
      <c r="B40874" t="s">
        <v>29849</v>
      </c>
      <c r="C40874" t="s">
        <v>23734</v>
      </c>
      <c r="D40874" s="21" t="s">
        <v>24820</v>
      </c>
      <c r="E40874" s="21" t="s">
        <v>71</v>
      </c>
      <c r="F40874">
        <v>1740045</v>
      </c>
      <c r="G40874" t="s">
        <v>9857</v>
      </c>
      <c r="H40874" s="21">
        <v>500</v>
      </c>
    </row>
    <row r="40875" spans="1:8" customFormat="1" x14ac:dyDescent="0.25">
      <c r="A40875" t="str">
        <f>"7631574"</f>
        <v>7631574</v>
      </c>
      <c r="B40875" t="s">
        <v>5159</v>
      </c>
      <c r="C40875" t="s">
        <v>25053</v>
      </c>
      <c r="D40875" s="21" t="s">
        <v>24820</v>
      </c>
      <c r="E40875" s="21" t="s">
        <v>35</v>
      </c>
      <c r="F40875">
        <v>9760352</v>
      </c>
      <c r="G40875" t="s">
        <v>7885</v>
      </c>
      <c r="H40875" s="21">
        <v>500</v>
      </c>
    </row>
    <row r="40876" spans="1:8" customFormat="1" x14ac:dyDescent="0.25">
      <c r="A40876" t="str">
        <f>"6312626"</f>
        <v>6312626</v>
      </c>
      <c r="B40876" t="s">
        <v>4096</v>
      </c>
      <c r="C40876" t="s">
        <v>24833</v>
      </c>
      <c r="D40876" s="21" t="s">
        <v>24820</v>
      </c>
      <c r="E40876" s="21" t="s">
        <v>35</v>
      </c>
      <c r="F40876">
        <v>1630241</v>
      </c>
      <c r="G40876" t="s">
        <v>4519</v>
      </c>
      <c r="H40876" s="21">
        <v>500</v>
      </c>
    </row>
    <row r="40877" spans="1:8" customFormat="1" x14ac:dyDescent="0.25">
      <c r="A40877" t="str">
        <f>"2617667"</f>
        <v>2617667</v>
      </c>
      <c r="B40877" t="s">
        <v>12044</v>
      </c>
      <c r="C40877" t="s">
        <v>25019</v>
      </c>
      <c r="D40877" s="21" t="s">
        <v>24820</v>
      </c>
      <c r="E40877" s="21" t="s">
        <v>35</v>
      </c>
      <c r="F40877">
        <v>1260065</v>
      </c>
      <c r="G40877" t="s">
        <v>1958</v>
      </c>
      <c r="H40877" s="21">
        <v>500</v>
      </c>
    </row>
    <row r="40878" spans="1:8" customFormat="1" x14ac:dyDescent="0.25">
      <c r="A40878" t="str">
        <f>"6725757"</f>
        <v>6725757</v>
      </c>
      <c r="B40878" t="s">
        <v>25862</v>
      </c>
      <c r="C40878" t="s">
        <v>25863</v>
      </c>
      <c r="D40878" s="21" t="s">
        <v>24820</v>
      </c>
      <c r="E40878" s="21" t="s">
        <v>71</v>
      </c>
      <c r="F40878">
        <v>6670269</v>
      </c>
      <c r="G40878" t="s">
        <v>11587</v>
      </c>
      <c r="H40878" s="21">
        <v>500</v>
      </c>
    </row>
    <row r="40879" spans="1:8" customFormat="1" x14ac:dyDescent="0.25">
      <c r="A40879" t="str">
        <f>"5615345"</f>
        <v>5615345</v>
      </c>
      <c r="B40879" t="s">
        <v>650</v>
      </c>
      <c r="C40879" t="s">
        <v>24952</v>
      </c>
      <c r="D40879" s="21" t="s">
        <v>24820</v>
      </c>
      <c r="E40879" s="21" t="s">
        <v>254</v>
      </c>
      <c r="F40879">
        <v>3560039</v>
      </c>
      <c r="G40879" t="s">
        <v>167</v>
      </c>
      <c r="H40879" s="21">
        <v>500</v>
      </c>
    </row>
    <row r="40880" spans="1:8" customFormat="1" x14ac:dyDescent="0.25">
      <c r="A40880" t="str">
        <f>"4212798"</f>
        <v>4212798</v>
      </c>
      <c r="B40880" t="s">
        <v>20960</v>
      </c>
      <c r="C40880" t="s">
        <v>24877</v>
      </c>
      <c r="D40880" s="21" t="s">
        <v>24820</v>
      </c>
      <c r="E40880" s="21" t="s">
        <v>35</v>
      </c>
      <c r="F40880">
        <v>1420144</v>
      </c>
      <c r="G40880" t="s">
        <v>9603</v>
      </c>
      <c r="H40880" s="21">
        <v>500</v>
      </c>
    </row>
    <row r="40881" spans="1:8" customFormat="1" x14ac:dyDescent="0.25">
      <c r="A40881" t="str">
        <f>"7872011"</f>
        <v>7872011</v>
      </c>
      <c r="B40881" t="s">
        <v>26175</v>
      </c>
      <c r="C40881" t="s">
        <v>25552</v>
      </c>
      <c r="D40881" s="21" t="s">
        <v>24820</v>
      </c>
      <c r="E40881" s="21" t="s">
        <v>35</v>
      </c>
      <c r="F40881">
        <v>8780496</v>
      </c>
      <c r="G40881" t="s">
        <v>2477</v>
      </c>
      <c r="H40881" s="21">
        <v>500</v>
      </c>
    </row>
    <row r="40882" spans="1:8" customFormat="1" x14ac:dyDescent="0.25">
      <c r="A40882" t="str">
        <f>"179829"</f>
        <v>179829</v>
      </c>
      <c r="B40882" t="s">
        <v>11961</v>
      </c>
      <c r="C40882" t="s">
        <v>24888</v>
      </c>
      <c r="D40882" s="21" t="s">
        <v>24820</v>
      </c>
      <c r="E40882" s="21" t="s">
        <v>71</v>
      </c>
      <c r="F40882">
        <v>10170005</v>
      </c>
      <c r="G40882" t="s">
        <v>4290</v>
      </c>
      <c r="H40882" s="21">
        <v>500</v>
      </c>
    </row>
    <row r="40883" spans="1:8" customFormat="1" x14ac:dyDescent="0.25">
      <c r="A40883" t="str">
        <f>"135268"</f>
        <v>135268</v>
      </c>
      <c r="B40883" t="s">
        <v>29850</v>
      </c>
      <c r="C40883" t="s">
        <v>24867</v>
      </c>
      <c r="D40883" s="21" t="s">
        <v>24820</v>
      </c>
      <c r="E40883" s="21" t="s">
        <v>71</v>
      </c>
      <c r="F40883">
        <v>13130013</v>
      </c>
      <c r="G40883" t="s">
        <v>13234</v>
      </c>
      <c r="H40883" s="21">
        <v>500</v>
      </c>
    </row>
    <row r="40884" spans="1:8" customFormat="1" x14ac:dyDescent="0.25">
      <c r="A40884" t="str">
        <f>"8816526"</f>
        <v>8816526</v>
      </c>
      <c r="B40884" t="s">
        <v>650</v>
      </c>
      <c r="C40884" t="s">
        <v>24888</v>
      </c>
      <c r="D40884" s="21" t="s">
        <v>24820</v>
      </c>
      <c r="E40884" s="21" t="s">
        <v>254</v>
      </c>
      <c r="F40884">
        <v>6880010</v>
      </c>
      <c r="G40884" t="s">
        <v>1029</v>
      </c>
      <c r="H40884" s="21">
        <v>500</v>
      </c>
    </row>
    <row r="40885" spans="1:8" customFormat="1" x14ac:dyDescent="0.25">
      <c r="A40885" t="str">
        <f>"3728579"</f>
        <v>3728579</v>
      </c>
      <c r="B40885" t="s">
        <v>2824</v>
      </c>
      <c r="C40885" t="s">
        <v>25888</v>
      </c>
      <c r="D40885" s="21" t="s">
        <v>24820</v>
      </c>
      <c r="E40885" s="21" t="s">
        <v>35</v>
      </c>
      <c r="F40885">
        <v>4370349</v>
      </c>
      <c r="G40885" t="s">
        <v>2287</v>
      </c>
      <c r="H40885" s="21">
        <v>500</v>
      </c>
    </row>
    <row r="40886" spans="1:8" customFormat="1" x14ac:dyDescent="0.25">
      <c r="A40886" t="str">
        <f>"9129797"</f>
        <v>9129797</v>
      </c>
      <c r="B40886" t="s">
        <v>12643</v>
      </c>
      <c r="C40886" t="s">
        <v>24939</v>
      </c>
      <c r="D40886" s="21" t="s">
        <v>24820</v>
      </c>
      <c r="E40886" s="21" t="s">
        <v>254</v>
      </c>
      <c r="F40886">
        <v>8910442</v>
      </c>
      <c r="G40886" t="s">
        <v>1336</v>
      </c>
      <c r="H40886" s="21">
        <v>500</v>
      </c>
    </row>
    <row r="40887" spans="1:8" customFormat="1" x14ac:dyDescent="0.25">
      <c r="A40887" t="str">
        <f>"3719093"</f>
        <v>3719093</v>
      </c>
      <c r="B40887" t="s">
        <v>18494</v>
      </c>
      <c r="C40887" t="s">
        <v>24909</v>
      </c>
      <c r="D40887" s="21" t="s">
        <v>24820</v>
      </c>
      <c r="E40887" s="21" t="s">
        <v>254</v>
      </c>
      <c r="F40887">
        <v>4370167</v>
      </c>
      <c r="G40887" t="s">
        <v>8834</v>
      </c>
      <c r="H40887" s="21">
        <v>500</v>
      </c>
    </row>
    <row r="40888" spans="1:8" customFormat="1" x14ac:dyDescent="0.25">
      <c r="A40888" t="str">
        <f>"1420931"</f>
        <v>1420931</v>
      </c>
      <c r="B40888" t="s">
        <v>67</v>
      </c>
      <c r="C40888" t="s">
        <v>25890</v>
      </c>
      <c r="D40888" s="21" t="s">
        <v>24820</v>
      </c>
      <c r="E40888" s="21" t="s">
        <v>35</v>
      </c>
      <c r="F40888">
        <v>9140235</v>
      </c>
      <c r="G40888" t="s">
        <v>165</v>
      </c>
      <c r="H40888" s="21">
        <v>500</v>
      </c>
    </row>
    <row r="40889" spans="1:8" customFormat="1" x14ac:dyDescent="0.25">
      <c r="A40889" t="str">
        <f>"7111857"</f>
        <v>7111857</v>
      </c>
      <c r="B40889" t="s">
        <v>14566</v>
      </c>
      <c r="C40889" t="s">
        <v>25603</v>
      </c>
      <c r="D40889" s="21" t="s">
        <v>24820</v>
      </c>
      <c r="E40889" s="21" t="s">
        <v>71</v>
      </c>
      <c r="F40889">
        <v>2710023</v>
      </c>
      <c r="G40889" t="s">
        <v>3549</v>
      </c>
      <c r="H40889" s="21">
        <v>500</v>
      </c>
    </row>
    <row r="40890" spans="1:8" customFormat="1" x14ac:dyDescent="0.25">
      <c r="A40890" t="str">
        <f>"7917335"</f>
        <v>7917335</v>
      </c>
      <c r="B40890" t="s">
        <v>13605</v>
      </c>
      <c r="C40890" t="s">
        <v>25990</v>
      </c>
      <c r="D40890" s="21" t="s">
        <v>24820</v>
      </c>
      <c r="E40890" s="21" t="s">
        <v>35</v>
      </c>
      <c r="F40890">
        <v>10790025</v>
      </c>
      <c r="G40890" t="s">
        <v>1218</v>
      </c>
      <c r="H40890" s="21">
        <v>500</v>
      </c>
    </row>
    <row r="40891" spans="1:8" customFormat="1" x14ac:dyDescent="0.25">
      <c r="A40891" t="str">
        <f>"0619667"</f>
        <v>0619667</v>
      </c>
      <c r="B40891" t="s">
        <v>3209</v>
      </c>
      <c r="C40891" t="s">
        <v>24857</v>
      </c>
      <c r="D40891" s="21" t="s">
        <v>24820</v>
      </c>
      <c r="E40891" s="21" t="s">
        <v>35</v>
      </c>
      <c r="F40891">
        <v>13060031</v>
      </c>
      <c r="G40891" t="s">
        <v>9379</v>
      </c>
      <c r="H40891" s="21">
        <v>500</v>
      </c>
    </row>
    <row r="40892" spans="1:8" customFormat="1" x14ac:dyDescent="0.25">
      <c r="A40892" t="str">
        <f>"9535644"</f>
        <v>9535644</v>
      </c>
      <c r="B40892" t="s">
        <v>5150</v>
      </c>
      <c r="C40892" t="s">
        <v>23734</v>
      </c>
      <c r="D40892" s="21" t="s">
        <v>24820</v>
      </c>
      <c r="E40892" s="21" t="s">
        <v>35</v>
      </c>
      <c r="F40892">
        <v>8950917</v>
      </c>
      <c r="G40892" t="s">
        <v>3823</v>
      </c>
      <c r="H40892" s="21">
        <v>500</v>
      </c>
    </row>
    <row r="40893" spans="1:8" customFormat="1" x14ac:dyDescent="0.25">
      <c r="A40893" t="str">
        <f>"5017518"</f>
        <v>5017518</v>
      </c>
      <c r="B40893" t="s">
        <v>11348</v>
      </c>
      <c r="C40893" t="s">
        <v>263</v>
      </c>
      <c r="D40893" s="21" t="s">
        <v>24820</v>
      </c>
      <c r="E40893" s="21" t="s">
        <v>71</v>
      </c>
      <c r="F40893">
        <v>9500046</v>
      </c>
      <c r="G40893" t="s">
        <v>11349</v>
      </c>
      <c r="H40893" s="21">
        <v>500</v>
      </c>
    </row>
    <row r="40894" spans="1:8" customFormat="1" x14ac:dyDescent="0.25">
      <c r="A40894" t="str">
        <f>"5936248"</f>
        <v>5936248</v>
      </c>
      <c r="B40894" t="s">
        <v>26022</v>
      </c>
      <c r="C40894" t="s">
        <v>263</v>
      </c>
      <c r="D40894" s="21" t="s">
        <v>24820</v>
      </c>
      <c r="E40894" s="21" t="s">
        <v>254</v>
      </c>
      <c r="F40894">
        <v>7590426</v>
      </c>
      <c r="G40894" t="s">
        <v>23114</v>
      </c>
      <c r="H40894" s="21">
        <v>500</v>
      </c>
    </row>
    <row r="40895" spans="1:8" customFormat="1" x14ac:dyDescent="0.25">
      <c r="A40895" t="str">
        <f>"7524597"</f>
        <v>7524597</v>
      </c>
      <c r="B40895" t="s">
        <v>29851</v>
      </c>
      <c r="C40895" t="s">
        <v>24828</v>
      </c>
      <c r="D40895" s="21" t="s">
        <v>24820</v>
      </c>
      <c r="E40895" s="21" t="s">
        <v>1089</v>
      </c>
      <c r="F40895">
        <v>8751163</v>
      </c>
      <c r="G40895" t="s">
        <v>80</v>
      </c>
      <c r="H40895" s="21">
        <v>500</v>
      </c>
    </row>
    <row r="40896" spans="1:8" customFormat="1" x14ac:dyDescent="0.25">
      <c r="A40896" t="str">
        <f>"6023334"</f>
        <v>6023334</v>
      </c>
      <c r="B40896" t="s">
        <v>2353</v>
      </c>
      <c r="C40896" t="s">
        <v>24889</v>
      </c>
      <c r="D40896" s="21" t="s">
        <v>24820</v>
      </c>
      <c r="E40896" s="21" t="s">
        <v>35</v>
      </c>
      <c r="F40896">
        <v>7600171</v>
      </c>
      <c r="G40896" t="s">
        <v>4705</v>
      </c>
      <c r="H40896" s="21">
        <v>500</v>
      </c>
    </row>
    <row r="40897" spans="1:8" customFormat="1" x14ac:dyDescent="0.25">
      <c r="A40897" t="str">
        <f>"605483"</f>
        <v>605483</v>
      </c>
      <c r="B40897" t="s">
        <v>5507</v>
      </c>
      <c r="C40897" t="s">
        <v>25031</v>
      </c>
      <c r="D40897" s="21" t="s">
        <v>24820</v>
      </c>
      <c r="E40897" s="21" t="s">
        <v>254</v>
      </c>
      <c r="F40897">
        <v>7600170</v>
      </c>
      <c r="G40897" t="s">
        <v>16044</v>
      </c>
      <c r="H40897" s="21">
        <v>500</v>
      </c>
    </row>
    <row r="40898" spans="1:8" customFormat="1" x14ac:dyDescent="0.25">
      <c r="A40898" t="str">
        <f>"7633881"</f>
        <v>7633881</v>
      </c>
      <c r="B40898" t="s">
        <v>1892</v>
      </c>
      <c r="C40898" t="s">
        <v>24867</v>
      </c>
      <c r="D40898" s="21" t="s">
        <v>24820</v>
      </c>
      <c r="E40898" s="21" t="s">
        <v>35</v>
      </c>
      <c r="F40898">
        <v>9760442</v>
      </c>
      <c r="G40898" t="s">
        <v>5753</v>
      </c>
      <c r="H40898" s="21">
        <v>500</v>
      </c>
    </row>
    <row r="40899" spans="1:8" customFormat="1" x14ac:dyDescent="0.25">
      <c r="A40899" t="str">
        <f>"2721633"</f>
        <v>2721633</v>
      </c>
      <c r="B40899" t="s">
        <v>29852</v>
      </c>
      <c r="C40899" t="s">
        <v>22831</v>
      </c>
      <c r="D40899" s="21" t="s">
        <v>24820</v>
      </c>
      <c r="E40899" s="21" t="s">
        <v>35</v>
      </c>
      <c r="F40899">
        <v>9270004</v>
      </c>
      <c r="G40899" t="s">
        <v>13439</v>
      </c>
      <c r="H40899" s="21">
        <v>500</v>
      </c>
    </row>
    <row r="40900" spans="1:8" customFormat="1" x14ac:dyDescent="0.25">
      <c r="A40900" t="str">
        <f>"888946"</f>
        <v>888946</v>
      </c>
      <c r="B40900" t="s">
        <v>25991</v>
      </c>
      <c r="C40900" t="s">
        <v>24932</v>
      </c>
      <c r="D40900" s="21" t="s">
        <v>24820</v>
      </c>
      <c r="E40900" s="21" t="s">
        <v>71</v>
      </c>
      <c r="F40900">
        <v>6880022</v>
      </c>
      <c r="G40900" t="s">
        <v>339</v>
      </c>
      <c r="H40900" s="21">
        <v>500</v>
      </c>
    </row>
    <row r="40901" spans="1:8" customFormat="1" x14ac:dyDescent="0.25">
      <c r="A40901" t="str">
        <f>"6947900"</f>
        <v>6947900</v>
      </c>
      <c r="B40901" t="s">
        <v>25757</v>
      </c>
      <c r="C40901" t="s">
        <v>24927</v>
      </c>
      <c r="D40901" s="21" t="s">
        <v>24820</v>
      </c>
      <c r="E40901" s="21" t="s">
        <v>71</v>
      </c>
      <c r="F40901">
        <v>1690138</v>
      </c>
      <c r="G40901" t="s">
        <v>18533</v>
      </c>
      <c r="H40901" s="21">
        <v>500</v>
      </c>
    </row>
    <row r="40902" spans="1:8" customFormat="1" x14ac:dyDescent="0.25">
      <c r="A40902" t="str">
        <f>"2932490"</f>
        <v>2932490</v>
      </c>
      <c r="B40902" t="s">
        <v>13174</v>
      </c>
      <c r="C40902" t="s">
        <v>25044</v>
      </c>
      <c r="D40902" s="21" t="s">
        <v>24820</v>
      </c>
      <c r="E40902" s="21" t="s">
        <v>71</v>
      </c>
      <c r="F40902">
        <v>3290278</v>
      </c>
      <c r="G40902" t="s">
        <v>3649</v>
      </c>
      <c r="H40902" s="21">
        <v>500</v>
      </c>
    </row>
    <row r="40903" spans="1:8" customFormat="1" x14ac:dyDescent="0.25">
      <c r="A40903" t="str">
        <f>"7731029"</f>
        <v>7731029</v>
      </c>
      <c r="B40903" t="s">
        <v>18142</v>
      </c>
      <c r="C40903" t="s">
        <v>263</v>
      </c>
      <c r="D40903" s="21" t="s">
        <v>24820</v>
      </c>
      <c r="E40903" s="21" t="s">
        <v>71</v>
      </c>
      <c r="F40903">
        <v>8771025</v>
      </c>
      <c r="G40903" t="s">
        <v>5469</v>
      </c>
      <c r="H40903" s="21">
        <v>500</v>
      </c>
    </row>
    <row r="40904" spans="1:8" customFormat="1" x14ac:dyDescent="0.25">
      <c r="A40904" t="str">
        <f>"3310270"</f>
        <v>3310270</v>
      </c>
      <c r="B40904" t="s">
        <v>146</v>
      </c>
      <c r="C40904" t="s">
        <v>24867</v>
      </c>
      <c r="D40904" s="21" t="s">
        <v>24820</v>
      </c>
      <c r="E40904" s="21" t="s">
        <v>71</v>
      </c>
      <c r="F40904">
        <v>10330086</v>
      </c>
      <c r="G40904" t="s">
        <v>785</v>
      </c>
      <c r="H40904" s="21">
        <v>500</v>
      </c>
    </row>
    <row r="40905" spans="1:8" customFormat="1" x14ac:dyDescent="0.25">
      <c r="A40905" t="str">
        <f>"2517473"</f>
        <v>2517473</v>
      </c>
      <c r="B40905" t="s">
        <v>28373</v>
      </c>
      <c r="C40905" t="s">
        <v>29853</v>
      </c>
      <c r="D40905" s="21" t="s">
        <v>24820</v>
      </c>
      <c r="E40905" s="21" t="s">
        <v>254</v>
      </c>
      <c r="F40905">
        <v>2250154</v>
      </c>
      <c r="G40905" t="s">
        <v>1973</v>
      </c>
      <c r="H40905" s="21">
        <v>500</v>
      </c>
    </row>
    <row r="40906" spans="1:8" customFormat="1" x14ac:dyDescent="0.25">
      <c r="A40906" t="str">
        <f>"2928478"</f>
        <v>2928478</v>
      </c>
      <c r="B40906" t="s">
        <v>25739</v>
      </c>
      <c r="C40906" t="s">
        <v>23734</v>
      </c>
      <c r="D40906" s="21" t="s">
        <v>24820</v>
      </c>
      <c r="E40906" s="21" t="s">
        <v>71</v>
      </c>
      <c r="F40906">
        <v>3290037</v>
      </c>
      <c r="G40906" t="s">
        <v>11628</v>
      </c>
      <c r="H40906" s="21">
        <v>500</v>
      </c>
    </row>
    <row r="40907" spans="1:8" customFormat="1" x14ac:dyDescent="0.25">
      <c r="A40907" t="str">
        <f>"9F1576"</f>
        <v>9F1576</v>
      </c>
      <c r="B40907" t="s">
        <v>9185</v>
      </c>
      <c r="C40907" t="s">
        <v>24962</v>
      </c>
      <c r="D40907" s="21" t="s">
        <v>24820</v>
      </c>
      <c r="E40907" s="21" t="s">
        <v>71</v>
      </c>
      <c r="F40907" t="s">
        <v>26091</v>
      </c>
      <c r="G40907" t="s">
        <v>26092</v>
      </c>
      <c r="H40907" s="21">
        <v>500</v>
      </c>
    </row>
    <row r="40908" spans="1:8" customFormat="1" x14ac:dyDescent="0.25">
      <c r="A40908" t="str">
        <f>"1315326"</f>
        <v>1315326</v>
      </c>
      <c r="B40908" t="s">
        <v>12686</v>
      </c>
      <c r="C40908" t="s">
        <v>24893</v>
      </c>
      <c r="D40908" s="21" t="s">
        <v>24820</v>
      </c>
      <c r="E40908" s="21" t="s">
        <v>35</v>
      </c>
      <c r="F40908">
        <v>13130013</v>
      </c>
      <c r="G40908" t="s">
        <v>13234</v>
      </c>
      <c r="H40908" s="21">
        <v>500</v>
      </c>
    </row>
    <row r="40909" spans="1:8" customFormat="1" x14ac:dyDescent="0.25">
      <c r="A40909" t="str">
        <f>"3534145"</f>
        <v>3534145</v>
      </c>
      <c r="B40909" t="s">
        <v>25738</v>
      </c>
      <c r="C40909" t="s">
        <v>24845</v>
      </c>
      <c r="D40909" s="21" t="s">
        <v>24820</v>
      </c>
      <c r="E40909" s="21" t="s">
        <v>35</v>
      </c>
      <c r="F40909">
        <v>3350003</v>
      </c>
      <c r="G40909" t="s">
        <v>23119</v>
      </c>
      <c r="H40909" s="21">
        <v>500</v>
      </c>
    </row>
    <row r="40910" spans="1:8" customFormat="1" x14ac:dyDescent="0.25">
      <c r="A40910" t="str">
        <f>"559047"</f>
        <v>559047</v>
      </c>
      <c r="B40910" t="s">
        <v>1081</v>
      </c>
      <c r="C40910" t="s">
        <v>24924</v>
      </c>
      <c r="D40910" s="21" t="s">
        <v>24820</v>
      </c>
      <c r="E40910" s="21" t="s">
        <v>35</v>
      </c>
      <c r="F40910">
        <v>6550052</v>
      </c>
      <c r="G40910" t="s">
        <v>6028</v>
      </c>
      <c r="H40910" s="21">
        <v>500</v>
      </c>
    </row>
    <row r="40911" spans="1:8" customFormat="1" x14ac:dyDescent="0.25">
      <c r="A40911" t="str">
        <f>"3013695"</f>
        <v>3013695</v>
      </c>
      <c r="B40911" t="s">
        <v>23464</v>
      </c>
      <c r="C40911" t="s">
        <v>24898</v>
      </c>
      <c r="D40911" s="21" t="s">
        <v>24820</v>
      </c>
      <c r="E40911" s="21" t="s">
        <v>71</v>
      </c>
      <c r="F40911">
        <v>11300021</v>
      </c>
      <c r="G40911" t="s">
        <v>22941</v>
      </c>
      <c r="H40911" s="21">
        <v>500</v>
      </c>
    </row>
    <row r="40912" spans="1:8" customFormat="1" x14ac:dyDescent="0.25">
      <c r="A40912" t="str">
        <f>"3727988"</f>
        <v>3727988</v>
      </c>
      <c r="B40912" t="s">
        <v>4723</v>
      </c>
      <c r="C40912" t="s">
        <v>25200</v>
      </c>
      <c r="D40912" s="21" t="s">
        <v>24820</v>
      </c>
      <c r="E40912" s="21" t="s">
        <v>71</v>
      </c>
      <c r="F40912">
        <v>4370566</v>
      </c>
      <c r="G40912" t="s">
        <v>4710</v>
      </c>
      <c r="H40912" s="21">
        <v>500</v>
      </c>
    </row>
    <row r="40913" spans="1:8" customFormat="1" x14ac:dyDescent="0.25">
      <c r="A40913" t="str">
        <f>"5936831"</f>
        <v>5936831</v>
      </c>
      <c r="B40913" t="s">
        <v>26093</v>
      </c>
      <c r="C40913" t="s">
        <v>22831</v>
      </c>
      <c r="D40913" s="21" t="s">
        <v>24820</v>
      </c>
      <c r="E40913" s="21" t="s">
        <v>71</v>
      </c>
      <c r="F40913">
        <v>7590288</v>
      </c>
      <c r="G40913" t="s">
        <v>6972</v>
      </c>
      <c r="H40913" s="21">
        <v>500</v>
      </c>
    </row>
    <row r="40914" spans="1:8" customFormat="1" x14ac:dyDescent="0.25">
      <c r="A40914" t="str">
        <f>"6949038"</f>
        <v>6949038</v>
      </c>
      <c r="B40914" t="s">
        <v>18698</v>
      </c>
      <c r="C40914" t="s">
        <v>24962</v>
      </c>
      <c r="D40914" s="21" t="s">
        <v>24820</v>
      </c>
      <c r="E40914" s="21" t="s">
        <v>71</v>
      </c>
      <c r="F40914">
        <v>1690040</v>
      </c>
      <c r="G40914" t="s">
        <v>15960</v>
      </c>
      <c r="H40914" s="21">
        <v>500</v>
      </c>
    </row>
    <row r="40915" spans="1:8" customFormat="1" x14ac:dyDescent="0.25">
      <c r="A40915" t="str">
        <f>"4215865"</f>
        <v>4215865</v>
      </c>
      <c r="B40915" t="s">
        <v>5473</v>
      </c>
      <c r="C40915" t="s">
        <v>24898</v>
      </c>
      <c r="D40915" s="21" t="s">
        <v>24820</v>
      </c>
      <c r="E40915" s="21" t="s">
        <v>71</v>
      </c>
      <c r="F40915">
        <v>1420010</v>
      </c>
      <c r="G40915" t="s">
        <v>1937</v>
      </c>
      <c r="H40915" s="21">
        <v>500</v>
      </c>
    </row>
    <row r="40916" spans="1:8" customFormat="1" x14ac:dyDescent="0.25">
      <c r="A40916" t="str">
        <f>"5726275"</f>
        <v>5726275</v>
      </c>
      <c r="B40916" t="s">
        <v>25992</v>
      </c>
      <c r="C40916" t="s">
        <v>24865</v>
      </c>
      <c r="D40916" s="21" t="s">
        <v>24820</v>
      </c>
      <c r="E40916" s="21" t="s">
        <v>71</v>
      </c>
      <c r="F40916">
        <v>6570027</v>
      </c>
      <c r="G40916" t="s">
        <v>395</v>
      </c>
      <c r="H40916" s="21">
        <v>500</v>
      </c>
    </row>
    <row r="40917" spans="1:8" customFormat="1" x14ac:dyDescent="0.25">
      <c r="A40917" t="str">
        <f>"6942842"</f>
        <v>6942842</v>
      </c>
      <c r="B40917" t="s">
        <v>14565</v>
      </c>
      <c r="C40917" t="s">
        <v>24833</v>
      </c>
      <c r="D40917" s="21" t="s">
        <v>24820</v>
      </c>
      <c r="E40917" s="21" t="s">
        <v>35</v>
      </c>
      <c r="F40917">
        <v>1690194</v>
      </c>
      <c r="G40917" t="s">
        <v>5285</v>
      </c>
      <c r="H40917" s="21">
        <v>500</v>
      </c>
    </row>
    <row r="40918" spans="1:8" customFormat="1" x14ac:dyDescent="0.25">
      <c r="A40918" t="str">
        <f>"7728913"</f>
        <v>7728913</v>
      </c>
      <c r="B40918" t="s">
        <v>9731</v>
      </c>
      <c r="C40918" t="s">
        <v>25019</v>
      </c>
      <c r="D40918" s="21" t="s">
        <v>24820</v>
      </c>
      <c r="E40918" s="21" t="s">
        <v>35</v>
      </c>
      <c r="F40918">
        <v>8771025</v>
      </c>
      <c r="G40918" t="s">
        <v>5469</v>
      </c>
      <c r="H40918" s="21">
        <v>500</v>
      </c>
    </row>
    <row r="40919" spans="1:8" customFormat="1" x14ac:dyDescent="0.25">
      <c r="A40919" t="str">
        <f>"6112253"</f>
        <v>6112253</v>
      </c>
      <c r="B40919" t="s">
        <v>10014</v>
      </c>
      <c r="C40919" t="s">
        <v>24833</v>
      </c>
      <c r="D40919" s="21" t="s">
        <v>24820</v>
      </c>
      <c r="E40919" s="21" t="s">
        <v>35</v>
      </c>
      <c r="F40919">
        <v>9610142</v>
      </c>
      <c r="G40919" t="s">
        <v>8211</v>
      </c>
      <c r="H40919" s="21">
        <v>500</v>
      </c>
    </row>
    <row r="40920" spans="1:8" customFormat="1" x14ac:dyDescent="0.25">
      <c r="A40920" t="str">
        <f>"5432045"</f>
        <v>5432045</v>
      </c>
      <c r="B40920" t="s">
        <v>25937</v>
      </c>
      <c r="C40920" t="s">
        <v>24867</v>
      </c>
      <c r="D40920" s="21" t="s">
        <v>24820</v>
      </c>
      <c r="E40920" s="21" t="s">
        <v>35</v>
      </c>
      <c r="F40920">
        <v>6540019</v>
      </c>
      <c r="G40920" t="s">
        <v>6413</v>
      </c>
      <c r="H40920" s="21">
        <v>500</v>
      </c>
    </row>
    <row r="40921" spans="1:8" customFormat="1" x14ac:dyDescent="0.25">
      <c r="A40921" t="str">
        <f>"065309"</f>
        <v>065309</v>
      </c>
      <c r="B40921" t="s">
        <v>18312</v>
      </c>
      <c r="C40921" t="s">
        <v>25847</v>
      </c>
      <c r="D40921" s="21" t="s">
        <v>24820</v>
      </c>
      <c r="E40921" s="21" t="s">
        <v>71</v>
      </c>
      <c r="F40921">
        <v>13060072</v>
      </c>
      <c r="G40921" t="s">
        <v>6685</v>
      </c>
      <c r="H40921" s="21">
        <v>500</v>
      </c>
    </row>
    <row r="40922" spans="1:8" customFormat="1" x14ac:dyDescent="0.25">
      <c r="A40922" t="str">
        <f>"247123"</f>
        <v>247123</v>
      </c>
      <c r="B40922" t="s">
        <v>2325</v>
      </c>
      <c r="C40922" t="s">
        <v>25053</v>
      </c>
      <c r="D40922" s="21" t="s">
        <v>24820</v>
      </c>
      <c r="E40922" s="21" t="s">
        <v>35</v>
      </c>
      <c r="F40922">
        <v>10240007</v>
      </c>
      <c r="G40922" t="s">
        <v>2326</v>
      </c>
      <c r="H40922" s="21">
        <v>500</v>
      </c>
    </row>
    <row r="40923" spans="1:8" customFormat="1" x14ac:dyDescent="0.25">
      <c r="A40923" t="str">
        <f>"5414586"</f>
        <v>5414586</v>
      </c>
      <c r="B40923" t="s">
        <v>8918</v>
      </c>
      <c r="C40923" t="s">
        <v>24824</v>
      </c>
      <c r="D40923" s="21" t="s">
        <v>24820</v>
      </c>
      <c r="E40923" s="21" t="s">
        <v>71</v>
      </c>
      <c r="F40923">
        <v>6540032</v>
      </c>
      <c r="G40923" t="s">
        <v>63</v>
      </c>
      <c r="H40923" s="21">
        <v>500</v>
      </c>
    </row>
    <row r="40924" spans="1:8" customFormat="1" x14ac:dyDescent="0.25">
      <c r="A40924" t="str">
        <f>"9C1227"</f>
        <v>9C1227</v>
      </c>
      <c r="B40924" t="s">
        <v>2023</v>
      </c>
      <c r="C40924" t="s">
        <v>25114</v>
      </c>
      <c r="D40924" s="21" t="s">
        <v>24820</v>
      </c>
      <c r="E40924" s="21" t="s">
        <v>35</v>
      </c>
      <c r="F40924" t="s">
        <v>23336</v>
      </c>
      <c r="G40924" t="s">
        <v>23337</v>
      </c>
      <c r="H40924" s="21">
        <v>500</v>
      </c>
    </row>
    <row r="40925" spans="1:8" customFormat="1" x14ac:dyDescent="0.25">
      <c r="A40925" t="str">
        <f>"3336564"</f>
        <v>3336564</v>
      </c>
      <c r="B40925" t="s">
        <v>25876</v>
      </c>
      <c r="C40925" t="s">
        <v>24883</v>
      </c>
      <c r="D40925" s="21" t="s">
        <v>24820</v>
      </c>
      <c r="E40925" s="21" t="s">
        <v>35</v>
      </c>
      <c r="F40925">
        <v>10330078</v>
      </c>
      <c r="G40925" t="s">
        <v>7597</v>
      </c>
      <c r="H40925" s="21">
        <v>500</v>
      </c>
    </row>
    <row r="40926" spans="1:8" customFormat="1" x14ac:dyDescent="0.25">
      <c r="A40926" t="str">
        <f>"2935247"</f>
        <v>2935247</v>
      </c>
      <c r="B40926" t="s">
        <v>24457</v>
      </c>
      <c r="C40926" t="s">
        <v>25044</v>
      </c>
      <c r="D40926" s="21" t="s">
        <v>24820</v>
      </c>
      <c r="E40926" s="21" t="s">
        <v>254</v>
      </c>
      <c r="F40926">
        <v>3290278</v>
      </c>
      <c r="G40926" t="s">
        <v>3649</v>
      </c>
      <c r="H40926" s="21">
        <v>500</v>
      </c>
    </row>
    <row r="40927" spans="1:8" customFormat="1" x14ac:dyDescent="0.25">
      <c r="A40927" t="str">
        <f>"152886"</f>
        <v>152886</v>
      </c>
      <c r="B40927" t="s">
        <v>1824</v>
      </c>
      <c r="C40927" t="s">
        <v>24897</v>
      </c>
      <c r="D40927" s="21" t="s">
        <v>24820</v>
      </c>
      <c r="E40927" s="21" t="s">
        <v>71</v>
      </c>
      <c r="F40927">
        <v>1630012</v>
      </c>
      <c r="G40927" t="s">
        <v>8636</v>
      </c>
      <c r="H40927" s="21">
        <v>500</v>
      </c>
    </row>
    <row r="40928" spans="1:8" customFormat="1" x14ac:dyDescent="0.25">
      <c r="A40928" t="str">
        <f>"269028"</f>
        <v>269028</v>
      </c>
      <c r="B40928" t="s">
        <v>616</v>
      </c>
      <c r="C40928" t="s">
        <v>23734</v>
      </c>
      <c r="D40928" s="21" t="s">
        <v>24820</v>
      </c>
      <c r="E40928" s="21" t="s">
        <v>71</v>
      </c>
      <c r="F40928">
        <v>1260054</v>
      </c>
      <c r="G40928" t="s">
        <v>358</v>
      </c>
      <c r="H40928" s="21">
        <v>500</v>
      </c>
    </row>
    <row r="40929" spans="1:8" customFormat="1" x14ac:dyDescent="0.25">
      <c r="A40929" t="str">
        <f>"4435522"</f>
        <v>4435522</v>
      </c>
      <c r="B40929" t="s">
        <v>5144</v>
      </c>
      <c r="C40929" t="s">
        <v>25053</v>
      </c>
      <c r="D40929" s="21" t="s">
        <v>24820</v>
      </c>
      <c r="E40929" s="21" t="s">
        <v>35</v>
      </c>
      <c r="F40929">
        <v>12440138</v>
      </c>
      <c r="G40929" t="s">
        <v>562</v>
      </c>
      <c r="H40929" s="21">
        <v>500</v>
      </c>
    </row>
    <row r="40930" spans="1:8" customFormat="1" x14ac:dyDescent="0.25">
      <c r="A40930" t="str">
        <f>"9H848"</f>
        <v>9H848</v>
      </c>
      <c r="B40930" t="s">
        <v>29854</v>
      </c>
      <c r="C40930" t="s">
        <v>29855</v>
      </c>
      <c r="D40930" s="21" t="s">
        <v>24820</v>
      </c>
      <c r="E40930" s="21" t="s">
        <v>35</v>
      </c>
      <c r="F40930" t="s">
        <v>29856</v>
      </c>
      <c r="G40930" t="s">
        <v>29857</v>
      </c>
      <c r="H40930" s="21">
        <v>500</v>
      </c>
    </row>
    <row r="40931" spans="1:8" customFormat="1" x14ac:dyDescent="0.25">
      <c r="A40931" t="str">
        <f>"7857177"</f>
        <v>7857177</v>
      </c>
      <c r="B40931" t="s">
        <v>1833</v>
      </c>
      <c r="C40931" t="s">
        <v>24877</v>
      </c>
      <c r="D40931" s="21" t="s">
        <v>24820</v>
      </c>
      <c r="E40931" s="21" t="s">
        <v>254</v>
      </c>
      <c r="F40931">
        <v>8780892</v>
      </c>
      <c r="G40931" t="s">
        <v>3021</v>
      </c>
      <c r="H40931" s="21">
        <v>500</v>
      </c>
    </row>
    <row r="40932" spans="1:8" customFormat="1" x14ac:dyDescent="0.25">
      <c r="A40932" t="str">
        <f>"5429635"</f>
        <v>5429635</v>
      </c>
      <c r="B40932" t="s">
        <v>26074</v>
      </c>
      <c r="C40932" t="s">
        <v>23966</v>
      </c>
      <c r="D40932" s="21" t="s">
        <v>24820</v>
      </c>
      <c r="E40932" s="21" t="s">
        <v>71</v>
      </c>
      <c r="F40932">
        <v>6540194</v>
      </c>
      <c r="G40932" t="s">
        <v>7171</v>
      </c>
      <c r="H40932" s="21">
        <v>500</v>
      </c>
    </row>
    <row r="40933" spans="1:8" customFormat="1" x14ac:dyDescent="0.25">
      <c r="A40933" t="str">
        <f>"5980281"</f>
        <v>5980281</v>
      </c>
      <c r="B40933" t="s">
        <v>26286</v>
      </c>
      <c r="C40933" t="s">
        <v>25273</v>
      </c>
      <c r="D40933" s="21" t="s">
        <v>24820</v>
      </c>
      <c r="E40933" s="21" t="s">
        <v>35</v>
      </c>
      <c r="F40933">
        <v>7590414</v>
      </c>
      <c r="G40933" t="s">
        <v>10056</v>
      </c>
      <c r="H40933" s="21">
        <v>500</v>
      </c>
    </row>
    <row r="40934" spans="1:8" customFormat="1" x14ac:dyDescent="0.25">
      <c r="A40934" t="str">
        <f>"5719370"</f>
        <v>5719370</v>
      </c>
      <c r="B40934" t="s">
        <v>26000</v>
      </c>
      <c r="C40934" t="s">
        <v>24865</v>
      </c>
      <c r="D40934" s="21" t="s">
        <v>24820</v>
      </c>
      <c r="E40934" s="21" t="s">
        <v>71</v>
      </c>
      <c r="F40934">
        <v>6570190</v>
      </c>
      <c r="G40934" t="s">
        <v>622</v>
      </c>
      <c r="H40934" s="21">
        <v>500</v>
      </c>
    </row>
    <row r="40935" spans="1:8" customFormat="1" x14ac:dyDescent="0.25">
      <c r="A40935" t="str">
        <f>"7414987"</f>
        <v>7414987</v>
      </c>
      <c r="B40935" t="s">
        <v>29858</v>
      </c>
      <c r="C40935" t="s">
        <v>23966</v>
      </c>
      <c r="D40935" s="21" t="s">
        <v>24820</v>
      </c>
      <c r="E40935" s="21" t="s">
        <v>71</v>
      </c>
      <c r="F40935">
        <v>1740077</v>
      </c>
      <c r="G40935" t="s">
        <v>19636</v>
      </c>
      <c r="H40935" s="21">
        <v>500</v>
      </c>
    </row>
    <row r="40936" spans="1:8" customFormat="1" x14ac:dyDescent="0.25">
      <c r="A40936" t="str">
        <f>"9534706"</f>
        <v>9534706</v>
      </c>
      <c r="B40936" t="s">
        <v>185</v>
      </c>
      <c r="C40936" t="s">
        <v>24867</v>
      </c>
      <c r="D40936" s="21" t="s">
        <v>24820</v>
      </c>
      <c r="E40936" s="21" t="s">
        <v>71</v>
      </c>
      <c r="F40936">
        <v>8950978</v>
      </c>
      <c r="G40936" t="s">
        <v>1164</v>
      </c>
      <c r="H40936" s="21">
        <v>500</v>
      </c>
    </row>
    <row r="40937" spans="1:8" customFormat="1" x14ac:dyDescent="0.25">
      <c r="A40937" t="str">
        <f>"877430"</f>
        <v>877430</v>
      </c>
      <c r="B40937" t="s">
        <v>18014</v>
      </c>
      <c r="C40937" t="s">
        <v>25200</v>
      </c>
      <c r="D40937" s="21" t="s">
        <v>24820</v>
      </c>
      <c r="E40937" s="21" t="s">
        <v>71</v>
      </c>
      <c r="F40937">
        <v>10870102</v>
      </c>
      <c r="G40937" t="s">
        <v>15067</v>
      </c>
      <c r="H40937" s="21">
        <v>500</v>
      </c>
    </row>
    <row r="40938" spans="1:8" customFormat="1" x14ac:dyDescent="0.25">
      <c r="A40938" t="str">
        <f>"8526096"</f>
        <v>8526096</v>
      </c>
      <c r="B40938" t="s">
        <v>26005</v>
      </c>
      <c r="C40938" t="s">
        <v>25053</v>
      </c>
      <c r="D40938" s="21" t="s">
        <v>24820</v>
      </c>
      <c r="E40938" s="21" t="s">
        <v>35</v>
      </c>
      <c r="F40938">
        <v>12851012</v>
      </c>
      <c r="G40938" t="s">
        <v>1963</v>
      </c>
      <c r="H40938" s="21">
        <v>500</v>
      </c>
    </row>
    <row r="40939" spans="1:8" customFormat="1" x14ac:dyDescent="0.25">
      <c r="A40939" t="str">
        <f>"311094"</f>
        <v>311094</v>
      </c>
      <c r="B40939" t="s">
        <v>7272</v>
      </c>
      <c r="C40939" t="s">
        <v>25502</v>
      </c>
      <c r="D40939" s="21" t="s">
        <v>24820</v>
      </c>
      <c r="E40939" s="21" t="s">
        <v>71</v>
      </c>
      <c r="F40939">
        <v>11310076</v>
      </c>
      <c r="G40939" t="s">
        <v>5782</v>
      </c>
      <c r="H40939" s="21">
        <v>500</v>
      </c>
    </row>
    <row r="40940" spans="1:8" customFormat="1" x14ac:dyDescent="0.25">
      <c r="A40940" t="str">
        <f>"2711801"</f>
        <v>2711801</v>
      </c>
      <c r="B40940" t="s">
        <v>1886</v>
      </c>
      <c r="C40940" t="s">
        <v>22052</v>
      </c>
      <c r="D40940" s="21" t="s">
        <v>24820</v>
      </c>
      <c r="E40940" s="21" t="s">
        <v>1089</v>
      </c>
      <c r="F40940">
        <v>9270169</v>
      </c>
      <c r="G40940" t="s">
        <v>6217</v>
      </c>
      <c r="H40940" s="21">
        <v>500</v>
      </c>
    </row>
    <row r="40941" spans="1:8" customFormat="1" x14ac:dyDescent="0.25">
      <c r="A40941" t="str">
        <f>"38150"</f>
        <v>38150</v>
      </c>
      <c r="B40941" t="s">
        <v>19864</v>
      </c>
      <c r="C40941" t="s">
        <v>547</v>
      </c>
      <c r="D40941" s="21" t="s">
        <v>24820</v>
      </c>
      <c r="E40941" s="21" t="s">
        <v>1089</v>
      </c>
      <c r="F40941">
        <v>1380267</v>
      </c>
      <c r="G40941" t="s">
        <v>1002</v>
      </c>
      <c r="H40941" s="21">
        <v>500</v>
      </c>
    </row>
    <row r="40942" spans="1:8" customFormat="1" x14ac:dyDescent="0.25">
      <c r="A40942" t="str">
        <f>"7868779"</f>
        <v>7868779</v>
      </c>
      <c r="B40942" t="s">
        <v>15550</v>
      </c>
      <c r="C40942" t="s">
        <v>24874</v>
      </c>
      <c r="D40942" s="21" t="s">
        <v>24820</v>
      </c>
      <c r="E40942" s="21" t="s">
        <v>71</v>
      </c>
      <c r="F40942">
        <v>8780440</v>
      </c>
      <c r="G40942" t="s">
        <v>6629</v>
      </c>
      <c r="H40942" s="21">
        <v>500</v>
      </c>
    </row>
    <row r="40943" spans="1:8" customFormat="1" x14ac:dyDescent="0.25">
      <c r="A40943" t="str">
        <f>"148710"</f>
        <v>148710</v>
      </c>
      <c r="B40943" t="s">
        <v>6191</v>
      </c>
      <c r="C40943" t="s">
        <v>24883</v>
      </c>
      <c r="D40943" s="21" t="s">
        <v>24820</v>
      </c>
      <c r="E40943" s="21" t="s">
        <v>71</v>
      </c>
      <c r="F40943">
        <v>9140185</v>
      </c>
      <c r="G40943" t="s">
        <v>1578</v>
      </c>
      <c r="H40943" s="21">
        <v>500</v>
      </c>
    </row>
    <row r="40944" spans="1:8" customFormat="1" x14ac:dyDescent="0.25">
      <c r="A40944" t="str">
        <f>"717120"</f>
        <v>717120</v>
      </c>
      <c r="B40944" t="s">
        <v>2023</v>
      </c>
      <c r="C40944" t="s">
        <v>24833</v>
      </c>
      <c r="D40944" s="21" t="s">
        <v>24820</v>
      </c>
      <c r="E40944" s="21" t="s">
        <v>35</v>
      </c>
      <c r="F40944">
        <v>1380056</v>
      </c>
      <c r="G40944" t="s">
        <v>846</v>
      </c>
      <c r="H40944" s="21">
        <v>500</v>
      </c>
    </row>
    <row r="40945" spans="1:8" customFormat="1" x14ac:dyDescent="0.25">
      <c r="A40945" t="str">
        <f>"588572"</f>
        <v>588572</v>
      </c>
      <c r="B40945" t="s">
        <v>10678</v>
      </c>
      <c r="C40945" t="s">
        <v>22831</v>
      </c>
      <c r="D40945" s="21" t="s">
        <v>24820</v>
      </c>
      <c r="E40945" s="21" t="s">
        <v>35</v>
      </c>
      <c r="F40945">
        <v>2580031</v>
      </c>
      <c r="G40945" t="s">
        <v>5904</v>
      </c>
      <c r="H40945" s="21">
        <v>500</v>
      </c>
    </row>
    <row r="40946" spans="1:8" customFormat="1" x14ac:dyDescent="0.25">
      <c r="A40946" t="str">
        <f>"7731167"</f>
        <v>7731167</v>
      </c>
      <c r="B40946" t="s">
        <v>2386</v>
      </c>
      <c r="C40946" t="s">
        <v>25920</v>
      </c>
      <c r="D40946" s="21" t="s">
        <v>24820</v>
      </c>
      <c r="E40946" s="21" t="s">
        <v>35</v>
      </c>
      <c r="F40946">
        <v>8770937</v>
      </c>
      <c r="G40946" t="s">
        <v>2119</v>
      </c>
      <c r="H40946" s="21">
        <v>500</v>
      </c>
    </row>
    <row r="40947" spans="1:8" customFormat="1" x14ac:dyDescent="0.25">
      <c r="A40947" t="str">
        <f>"441617"</f>
        <v>441617</v>
      </c>
      <c r="B40947" t="s">
        <v>6129</v>
      </c>
      <c r="C40947" t="s">
        <v>25849</v>
      </c>
      <c r="D40947" s="21" t="s">
        <v>24820</v>
      </c>
      <c r="E40947" s="21" t="s">
        <v>1089</v>
      </c>
      <c r="F40947">
        <v>12440048</v>
      </c>
      <c r="G40947" t="s">
        <v>2090</v>
      </c>
      <c r="H40947" s="21">
        <v>500</v>
      </c>
    </row>
    <row r="40948" spans="1:8" customFormat="1" x14ac:dyDescent="0.25">
      <c r="A40948" t="str">
        <f>"1426285"</f>
        <v>1426285</v>
      </c>
      <c r="B40948" t="s">
        <v>24148</v>
      </c>
      <c r="C40948" t="s">
        <v>29859</v>
      </c>
      <c r="D40948" s="21" t="s">
        <v>24820</v>
      </c>
      <c r="E40948" s="21" t="s">
        <v>254</v>
      </c>
      <c r="F40948">
        <v>9140071</v>
      </c>
      <c r="G40948" t="s">
        <v>1775</v>
      </c>
      <c r="H40948" s="21">
        <v>500</v>
      </c>
    </row>
    <row r="40949" spans="1:8" customFormat="1" x14ac:dyDescent="0.25">
      <c r="A40949" t="str">
        <f>"6310080"</f>
        <v>6310080</v>
      </c>
      <c r="B40949" t="s">
        <v>9338</v>
      </c>
      <c r="C40949" t="s">
        <v>24894</v>
      </c>
      <c r="D40949" s="21" t="s">
        <v>24820</v>
      </c>
      <c r="E40949" s="21" t="s">
        <v>35</v>
      </c>
      <c r="F40949">
        <v>1630059</v>
      </c>
      <c r="G40949" t="s">
        <v>2486</v>
      </c>
      <c r="H40949" s="21">
        <v>500</v>
      </c>
    </row>
    <row r="40950" spans="1:8" customFormat="1" x14ac:dyDescent="0.25">
      <c r="A40950" t="str">
        <f>"704688"</f>
        <v>704688</v>
      </c>
      <c r="B40950" t="s">
        <v>14147</v>
      </c>
      <c r="C40950" t="s">
        <v>24865</v>
      </c>
      <c r="D40950" s="21" t="s">
        <v>24820</v>
      </c>
      <c r="E40950" s="21" t="s">
        <v>71</v>
      </c>
      <c r="F40950">
        <v>2700002</v>
      </c>
      <c r="G40950" t="s">
        <v>953</v>
      </c>
      <c r="H40950" s="21">
        <v>500</v>
      </c>
    </row>
    <row r="40951" spans="1:8" customFormat="1" x14ac:dyDescent="0.25">
      <c r="A40951" t="str">
        <f>"2215904"</f>
        <v>2215904</v>
      </c>
      <c r="B40951" t="s">
        <v>208</v>
      </c>
      <c r="C40951" t="s">
        <v>25306</v>
      </c>
      <c r="D40951" s="21" t="s">
        <v>24820</v>
      </c>
      <c r="E40951" s="21" t="s">
        <v>35</v>
      </c>
      <c r="F40951">
        <v>3220139</v>
      </c>
      <c r="G40951" t="s">
        <v>27114</v>
      </c>
      <c r="H40951" s="21">
        <v>500</v>
      </c>
    </row>
    <row r="40952" spans="1:8" customFormat="1" x14ac:dyDescent="0.25">
      <c r="A40952" t="str">
        <f>"2217143"</f>
        <v>2217143</v>
      </c>
      <c r="B40952" t="s">
        <v>5735</v>
      </c>
      <c r="C40952" t="s">
        <v>25217</v>
      </c>
      <c r="D40952" s="21" t="s">
        <v>24820</v>
      </c>
      <c r="E40952" s="21" t="s">
        <v>35</v>
      </c>
      <c r="F40952">
        <v>3220087</v>
      </c>
      <c r="G40952" t="s">
        <v>3540</v>
      </c>
      <c r="H40952" s="21">
        <v>500</v>
      </c>
    </row>
    <row r="40953" spans="1:8" customFormat="1" x14ac:dyDescent="0.25">
      <c r="A40953" t="str">
        <f>"847016"</f>
        <v>847016</v>
      </c>
      <c r="B40953" t="s">
        <v>4900</v>
      </c>
      <c r="C40953" t="s">
        <v>24888</v>
      </c>
      <c r="D40953" s="21" t="s">
        <v>24820</v>
      </c>
      <c r="E40953" s="21" t="s">
        <v>71</v>
      </c>
      <c r="F40953">
        <v>13840028</v>
      </c>
      <c r="G40953" t="s">
        <v>4139</v>
      </c>
      <c r="H40953" s="21">
        <v>500</v>
      </c>
    </row>
    <row r="40954" spans="1:8" customFormat="1" x14ac:dyDescent="0.25">
      <c r="A40954" t="str">
        <f>"4938694"</f>
        <v>4938694</v>
      </c>
      <c r="B40954" t="s">
        <v>25568</v>
      </c>
      <c r="C40954" t="s">
        <v>25200</v>
      </c>
      <c r="D40954" s="21" t="s">
        <v>24820</v>
      </c>
      <c r="E40954" s="21" t="s">
        <v>71</v>
      </c>
      <c r="F40954">
        <v>12490031</v>
      </c>
      <c r="G40954" t="s">
        <v>23316</v>
      </c>
      <c r="H40954" s="21">
        <v>500</v>
      </c>
    </row>
    <row r="40955" spans="1:8" customFormat="1" x14ac:dyDescent="0.25">
      <c r="A40955" t="str">
        <f>"244027"</f>
        <v>244027</v>
      </c>
      <c r="B40955" t="s">
        <v>4686</v>
      </c>
      <c r="C40955" t="s">
        <v>25929</v>
      </c>
      <c r="D40955" s="21" t="s">
        <v>24820</v>
      </c>
      <c r="E40955" s="21" t="s">
        <v>1089</v>
      </c>
      <c r="F40955">
        <v>10240007</v>
      </c>
      <c r="G40955" t="s">
        <v>2326</v>
      </c>
      <c r="H40955" s="21">
        <v>500</v>
      </c>
    </row>
    <row r="40956" spans="1:8" customFormat="1" x14ac:dyDescent="0.25">
      <c r="A40956" t="str">
        <f>"247154"</f>
        <v>247154</v>
      </c>
      <c r="B40956" t="s">
        <v>23647</v>
      </c>
      <c r="C40956" t="s">
        <v>24867</v>
      </c>
      <c r="D40956" s="21" t="s">
        <v>24820</v>
      </c>
      <c r="E40956" s="21" t="s">
        <v>35</v>
      </c>
      <c r="F40956">
        <v>10240036</v>
      </c>
      <c r="G40956" t="s">
        <v>20814</v>
      </c>
      <c r="H40956" s="21">
        <v>500</v>
      </c>
    </row>
    <row r="40957" spans="1:8" customFormat="1" x14ac:dyDescent="0.25">
      <c r="A40957" t="str">
        <f>"9D1638"</f>
        <v>9D1638</v>
      </c>
      <c r="B40957" t="s">
        <v>1886</v>
      </c>
      <c r="C40957" t="s">
        <v>25785</v>
      </c>
      <c r="D40957" s="21" t="s">
        <v>24820</v>
      </c>
      <c r="E40957" s="21" t="s">
        <v>71</v>
      </c>
      <c r="F40957" t="s">
        <v>1923</v>
      </c>
      <c r="G40957" t="s">
        <v>1924</v>
      </c>
      <c r="H40957" s="21">
        <v>500</v>
      </c>
    </row>
    <row r="40958" spans="1:8" customFormat="1" x14ac:dyDescent="0.25">
      <c r="A40958" t="str">
        <f>"588931"</f>
        <v>588931</v>
      </c>
      <c r="B40958" t="s">
        <v>25802</v>
      </c>
      <c r="C40958" t="s">
        <v>25386</v>
      </c>
      <c r="D40958" s="21" t="s">
        <v>24820</v>
      </c>
      <c r="E40958" s="21" t="s">
        <v>1089</v>
      </c>
      <c r="F40958">
        <v>2580089</v>
      </c>
      <c r="G40958" t="s">
        <v>15805</v>
      </c>
      <c r="H40958" s="21">
        <v>500</v>
      </c>
    </row>
    <row r="40959" spans="1:8" customFormat="1" x14ac:dyDescent="0.25">
      <c r="A40959" t="str">
        <f>"9318667"</f>
        <v>9318667</v>
      </c>
      <c r="B40959" t="s">
        <v>25970</v>
      </c>
      <c r="C40959" t="s">
        <v>25044</v>
      </c>
      <c r="D40959" s="21" t="s">
        <v>24820</v>
      </c>
      <c r="E40959" s="21" t="s">
        <v>35</v>
      </c>
      <c r="F40959">
        <v>8931011</v>
      </c>
      <c r="G40959" t="s">
        <v>530</v>
      </c>
      <c r="H40959" s="21">
        <v>500</v>
      </c>
    </row>
    <row r="40960" spans="1:8" customFormat="1" x14ac:dyDescent="0.25">
      <c r="A40960" t="str">
        <f>"26559"</f>
        <v>26559</v>
      </c>
      <c r="B40960" t="s">
        <v>8377</v>
      </c>
      <c r="C40960" t="s">
        <v>24909</v>
      </c>
      <c r="D40960" s="21" t="s">
        <v>24820</v>
      </c>
      <c r="E40960" s="21" t="s">
        <v>71</v>
      </c>
      <c r="F40960">
        <v>1260010</v>
      </c>
      <c r="G40960" t="s">
        <v>3944</v>
      </c>
      <c r="H40960" s="21">
        <v>500</v>
      </c>
    </row>
    <row r="40961" spans="1:8" customFormat="1" x14ac:dyDescent="0.25">
      <c r="A40961" t="str">
        <f>"402452"</f>
        <v>402452</v>
      </c>
      <c r="B40961" t="s">
        <v>3514</v>
      </c>
      <c r="C40961" t="s">
        <v>25076</v>
      </c>
      <c r="D40961" s="21" t="s">
        <v>24820</v>
      </c>
      <c r="E40961" s="21" t="s">
        <v>35</v>
      </c>
      <c r="F40961">
        <v>10400001</v>
      </c>
      <c r="G40961" t="s">
        <v>609</v>
      </c>
      <c r="H40961" s="21">
        <v>500</v>
      </c>
    </row>
    <row r="40962" spans="1:8" customFormat="1" x14ac:dyDescent="0.25">
      <c r="A40962" t="str">
        <f>"136150"</f>
        <v>136150</v>
      </c>
      <c r="B40962" t="s">
        <v>14444</v>
      </c>
      <c r="C40962" t="s">
        <v>24919</v>
      </c>
      <c r="D40962" s="21" t="s">
        <v>24820</v>
      </c>
      <c r="E40962" s="21" t="s">
        <v>71</v>
      </c>
      <c r="F40962">
        <v>13130159</v>
      </c>
      <c r="G40962" t="s">
        <v>199</v>
      </c>
      <c r="H40962" s="21">
        <v>500</v>
      </c>
    </row>
    <row r="40963" spans="1:8" customFormat="1" x14ac:dyDescent="0.25">
      <c r="A40963" t="str">
        <f>"5961149"</f>
        <v>5961149</v>
      </c>
      <c r="B40963" t="s">
        <v>26135</v>
      </c>
      <c r="C40963" t="s">
        <v>24906</v>
      </c>
      <c r="D40963" s="21" t="s">
        <v>24820</v>
      </c>
      <c r="E40963" s="21" t="s">
        <v>254</v>
      </c>
      <c r="F40963">
        <v>7590050</v>
      </c>
      <c r="G40963" t="s">
        <v>473</v>
      </c>
      <c r="H40963" s="21">
        <v>500</v>
      </c>
    </row>
    <row r="40964" spans="1:8" customFormat="1" x14ac:dyDescent="0.25">
      <c r="A40964" t="str">
        <f>"9443278"</f>
        <v>9443278</v>
      </c>
      <c r="B40964" t="s">
        <v>25805</v>
      </c>
      <c r="C40964" t="s">
        <v>24952</v>
      </c>
      <c r="D40964" s="21" t="s">
        <v>24820</v>
      </c>
      <c r="E40964" s="21" t="s">
        <v>254</v>
      </c>
      <c r="F40964">
        <v>8940894</v>
      </c>
      <c r="G40964" t="s">
        <v>481</v>
      </c>
      <c r="H40964" s="21">
        <v>500</v>
      </c>
    </row>
    <row r="40965" spans="1:8" customFormat="1" x14ac:dyDescent="0.25">
      <c r="A40965" t="str">
        <f>"7726584"</f>
        <v>7726584</v>
      </c>
      <c r="B40965" t="s">
        <v>25806</v>
      </c>
      <c r="C40965" t="s">
        <v>24881</v>
      </c>
      <c r="D40965" s="21" t="s">
        <v>24820</v>
      </c>
      <c r="E40965" s="21" t="s">
        <v>35</v>
      </c>
      <c r="F40965">
        <v>8771170</v>
      </c>
      <c r="G40965" t="s">
        <v>50</v>
      </c>
      <c r="H40965" s="21">
        <v>500</v>
      </c>
    </row>
    <row r="40966" spans="1:8" customFormat="1" x14ac:dyDescent="0.25">
      <c r="A40966" t="str">
        <f>"6725804"</f>
        <v>6725804</v>
      </c>
      <c r="B40966" t="s">
        <v>29860</v>
      </c>
      <c r="C40966" t="s">
        <v>24915</v>
      </c>
      <c r="D40966" s="21" t="s">
        <v>24820</v>
      </c>
      <c r="E40966" s="21" t="s">
        <v>35</v>
      </c>
      <c r="F40966">
        <v>6670041</v>
      </c>
      <c r="G40966" t="s">
        <v>1971</v>
      </c>
      <c r="H40966" s="21">
        <v>500</v>
      </c>
    </row>
    <row r="40967" spans="1:8" customFormat="1" x14ac:dyDescent="0.25">
      <c r="A40967" t="str">
        <f>"5810562"</f>
        <v>5810562</v>
      </c>
      <c r="B40967" t="s">
        <v>208</v>
      </c>
      <c r="C40967" t="s">
        <v>24867</v>
      </c>
      <c r="D40967" s="21" t="s">
        <v>24820</v>
      </c>
      <c r="E40967" s="21" t="s">
        <v>35</v>
      </c>
      <c r="F40967">
        <v>2580010</v>
      </c>
      <c r="G40967" t="s">
        <v>1965</v>
      </c>
      <c r="H40967" s="21">
        <v>500</v>
      </c>
    </row>
    <row r="40968" spans="1:8" customFormat="1" x14ac:dyDescent="0.25">
      <c r="A40968" t="str">
        <f>"8529097"</f>
        <v>8529097</v>
      </c>
      <c r="B40968" t="s">
        <v>29861</v>
      </c>
      <c r="C40968" t="s">
        <v>25434</v>
      </c>
      <c r="D40968" s="21" t="s">
        <v>24820</v>
      </c>
      <c r="E40968" s="21" t="s">
        <v>35</v>
      </c>
      <c r="F40968">
        <v>12850033</v>
      </c>
      <c r="G40968" t="s">
        <v>703</v>
      </c>
      <c r="H40968" s="21">
        <v>500</v>
      </c>
    </row>
    <row r="40969" spans="1:8" customFormat="1" x14ac:dyDescent="0.25">
      <c r="A40969" t="str">
        <f>"5432840"</f>
        <v>5432840</v>
      </c>
      <c r="B40969" t="s">
        <v>14340</v>
      </c>
      <c r="C40969" t="s">
        <v>22736</v>
      </c>
      <c r="D40969" s="21" t="s">
        <v>24820</v>
      </c>
      <c r="E40969" s="21" t="s">
        <v>35</v>
      </c>
      <c r="F40969">
        <v>6540016</v>
      </c>
      <c r="G40969" t="s">
        <v>14523</v>
      </c>
      <c r="H40969" s="21">
        <v>500</v>
      </c>
    </row>
    <row r="40970" spans="1:8" customFormat="1" x14ac:dyDescent="0.25">
      <c r="A40970" t="str">
        <f>"0115545"</f>
        <v>0115545</v>
      </c>
      <c r="B40970" t="s">
        <v>29862</v>
      </c>
      <c r="C40970" t="s">
        <v>29863</v>
      </c>
      <c r="D40970" s="21" t="s">
        <v>24820</v>
      </c>
      <c r="E40970" s="21" t="s">
        <v>35</v>
      </c>
      <c r="F40970">
        <v>1010063</v>
      </c>
      <c r="G40970" t="s">
        <v>5215</v>
      </c>
      <c r="H40970" s="21">
        <v>500</v>
      </c>
    </row>
    <row r="40971" spans="1:8" customFormat="1" x14ac:dyDescent="0.25">
      <c r="A40971" t="str">
        <f>"9248761"</f>
        <v>9248761</v>
      </c>
      <c r="B40971" t="s">
        <v>26023</v>
      </c>
      <c r="C40971" t="s">
        <v>302</v>
      </c>
      <c r="D40971" s="21" t="s">
        <v>24820</v>
      </c>
      <c r="E40971" s="21" t="s">
        <v>35</v>
      </c>
      <c r="F40971">
        <v>8920063</v>
      </c>
      <c r="G40971" t="s">
        <v>219</v>
      </c>
      <c r="H40971" s="21">
        <v>500</v>
      </c>
    </row>
    <row r="40972" spans="1:8" customFormat="1" x14ac:dyDescent="0.25">
      <c r="A40972" t="str">
        <f>"4526036"</f>
        <v>4526036</v>
      </c>
      <c r="B40972" t="s">
        <v>2403</v>
      </c>
      <c r="C40972" t="s">
        <v>24881</v>
      </c>
      <c r="D40972" s="21" t="s">
        <v>24820</v>
      </c>
      <c r="E40972" s="21" t="s">
        <v>35</v>
      </c>
      <c r="F40972">
        <v>4450026</v>
      </c>
      <c r="G40972" t="s">
        <v>291</v>
      </c>
      <c r="H40972" s="21">
        <v>500</v>
      </c>
    </row>
    <row r="40973" spans="1:8" customFormat="1" x14ac:dyDescent="0.25">
      <c r="A40973" t="str">
        <f>"7523034"</f>
        <v>7523034</v>
      </c>
      <c r="B40973" t="s">
        <v>29864</v>
      </c>
      <c r="C40973" t="s">
        <v>29865</v>
      </c>
      <c r="D40973" s="21" t="s">
        <v>24820</v>
      </c>
      <c r="E40973" s="21" t="s">
        <v>71</v>
      </c>
      <c r="F40973">
        <v>8751163</v>
      </c>
      <c r="G40973" t="s">
        <v>80</v>
      </c>
      <c r="H40973" s="21">
        <v>500</v>
      </c>
    </row>
    <row r="40974" spans="1:8" customFormat="1" x14ac:dyDescent="0.25">
      <c r="A40974" t="str">
        <f>"2516631"</f>
        <v>2516631</v>
      </c>
      <c r="B40974" t="s">
        <v>26052</v>
      </c>
      <c r="C40974" t="s">
        <v>24968</v>
      </c>
      <c r="D40974" s="21" t="s">
        <v>24820</v>
      </c>
      <c r="E40974" s="21" t="s">
        <v>35</v>
      </c>
      <c r="F40974">
        <v>2250031</v>
      </c>
      <c r="G40974" t="s">
        <v>3011</v>
      </c>
      <c r="H40974" s="21">
        <v>500</v>
      </c>
    </row>
    <row r="40975" spans="1:8" customFormat="1" x14ac:dyDescent="0.25">
      <c r="A40975" t="str">
        <f>"9132844"</f>
        <v>9132844</v>
      </c>
      <c r="B40975" t="s">
        <v>4518</v>
      </c>
      <c r="C40975" t="s">
        <v>24877</v>
      </c>
      <c r="D40975" s="21" t="s">
        <v>24820</v>
      </c>
      <c r="E40975" s="21" t="s">
        <v>254</v>
      </c>
      <c r="F40975">
        <v>13830031</v>
      </c>
      <c r="G40975" t="s">
        <v>8301</v>
      </c>
      <c r="H40975" s="21">
        <v>500</v>
      </c>
    </row>
    <row r="40976" spans="1:8" customFormat="1" x14ac:dyDescent="0.25">
      <c r="A40976" t="str">
        <f>"2721556"</f>
        <v>2721556</v>
      </c>
      <c r="B40976" t="s">
        <v>29866</v>
      </c>
      <c r="C40976" t="s">
        <v>24840</v>
      </c>
      <c r="D40976" s="21" t="s">
        <v>24820</v>
      </c>
      <c r="E40976" s="21" t="s">
        <v>35</v>
      </c>
      <c r="F40976">
        <v>9270089</v>
      </c>
      <c r="G40976" t="s">
        <v>1009</v>
      </c>
      <c r="H40976" s="21">
        <v>500</v>
      </c>
    </row>
    <row r="40977" spans="1:8" customFormat="1" x14ac:dyDescent="0.25">
      <c r="A40977" t="str">
        <f>"718410"</f>
        <v>718410</v>
      </c>
      <c r="B40977" t="s">
        <v>12870</v>
      </c>
      <c r="C40977" t="s">
        <v>25588</v>
      </c>
      <c r="D40977" s="21" t="s">
        <v>24820</v>
      </c>
      <c r="E40977" s="21" t="s">
        <v>1089</v>
      </c>
      <c r="F40977">
        <v>2710051</v>
      </c>
      <c r="G40977" t="s">
        <v>4811</v>
      </c>
      <c r="H40977" s="21">
        <v>500</v>
      </c>
    </row>
    <row r="40978" spans="1:8" customFormat="1" x14ac:dyDescent="0.25">
      <c r="A40978" t="str">
        <f>"4455658"</f>
        <v>4455658</v>
      </c>
      <c r="B40978" t="s">
        <v>13601</v>
      </c>
      <c r="C40978" t="s">
        <v>25011</v>
      </c>
      <c r="D40978" s="21" t="s">
        <v>24820</v>
      </c>
      <c r="E40978" s="21" t="s">
        <v>254</v>
      </c>
      <c r="F40978">
        <v>12440176</v>
      </c>
      <c r="G40978" t="s">
        <v>1020</v>
      </c>
      <c r="H40978" s="21">
        <v>500</v>
      </c>
    </row>
    <row r="40979" spans="1:8" customFormat="1" x14ac:dyDescent="0.25">
      <c r="A40979" t="str">
        <f>"8019796"</f>
        <v>8019796</v>
      </c>
      <c r="B40979" t="s">
        <v>8337</v>
      </c>
      <c r="C40979" t="s">
        <v>25396</v>
      </c>
      <c r="D40979" s="21" t="s">
        <v>24820</v>
      </c>
      <c r="E40979" s="21" t="s">
        <v>35</v>
      </c>
      <c r="F40979">
        <v>7800062</v>
      </c>
      <c r="G40979" t="s">
        <v>5176</v>
      </c>
      <c r="H40979" s="21">
        <v>500</v>
      </c>
    </row>
    <row r="40980" spans="1:8" customFormat="1" x14ac:dyDescent="0.25">
      <c r="A40980" t="str">
        <f>"5110289"</f>
        <v>5110289</v>
      </c>
      <c r="B40980" t="s">
        <v>690</v>
      </c>
      <c r="C40980" t="s">
        <v>24897</v>
      </c>
      <c r="D40980" s="21" t="s">
        <v>24820</v>
      </c>
      <c r="E40980" s="21" t="s">
        <v>71</v>
      </c>
      <c r="F40980">
        <v>6510020</v>
      </c>
      <c r="G40980" t="s">
        <v>3013</v>
      </c>
      <c r="H40980" s="21">
        <v>500</v>
      </c>
    </row>
    <row r="40981" spans="1:8" customFormat="1" x14ac:dyDescent="0.25">
      <c r="A40981" t="str">
        <f>"4110595"</f>
        <v>4110595</v>
      </c>
      <c r="B40981" t="s">
        <v>3646</v>
      </c>
      <c r="C40981" t="s">
        <v>25721</v>
      </c>
      <c r="D40981" s="21" t="s">
        <v>24820</v>
      </c>
      <c r="E40981" s="21" t="s">
        <v>71</v>
      </c>
      <c r="F40981">
        <v>4410083</v>
      </c>
      <c r="G40981" t="s">
        <v>2333</v>
      </c>
      <c r="H40981" s="21">
        <v>500</v>
      </c>
    </row>
    <row r="40982" spans="1:8" customFormat="1" x14ac:dyDescent="0.25">
      <c r="A40982" t="str">
        <f>"1320950"</f>
        <v>1320950</v>
      </c>
      <c r="B40982" t="s">
        <v>29867</v>
      </c>
      <c r="C40982" t="s">
        <v>24877</v>
      </c>
      <c r="D40982" s="21" t="s">
        <v>24820</v>
      </c>
      <c r="E40982" s="21" t="s">
        <v>71</v>
      </c>
      <c r="F40982">
        <v>13130138</v>
      </c>
      <c r="G40982" t="s">
        <v>5409</v>
      </c>
      <c r="H40982" s="21">
        <v>500</v>
      </c>
    </row>
    <row r="40983" spans="1:8" customFormat="1" x14ac:dyDescent="0.25">
      <c r="A40983" t="str">
        <f>"645454"</f>
        <v>645454</v>
      </c>
      <c r="B40983" t="s">
        <v>21039</v>
      </c>
      <c r="C40983" t="s">
        <v>26012</v>
      </c>
      <c r="D40983" s="21" t="s">
        <v>24820</v>
      </c>
      <c r="E40983" s="21" t="s">
        <v>71</v>
      </c>
      <c r="F40983">
        <v>10640019</v>
      </c>
      <c r="G40983" t="s">
        <v>3123</v>
      </c>
      <c r="H40983" s="21">
        <v>500</v>
      </c>
    </row>
    <row r="40984" spans="1:8" customFormat="1" x14ac:dyDescent="0.25">
      <c r="A40984" t="str">
        <f>"8529470"</f>
        <v>8529470</v>
      </c>
      <c r="B40984" t="s">
        <v>29868</v>
      </c>
      <c r="C40984" t="s">
        <v>25051</v>
      </c>
      <c r="D40984" s="21" t="s">
        <v>24820</v>
      </c>
      <c r="E40984" s="21" t="s">
        <v>35</v>
      </c>
      <c r="F40984">
        <v>12850063</v>
      </c>
      <c r="G40984" t="s">
        <v>10302</v>
      </c>
      <c r="H40984" s="21">
        <v>500</v>
      </c>
    </row>
    <row r="40985" spans="1:8" customFormat="1" x14ac:dyDescent="0.25">
      <c r="A40985" t="str">
        <f>"107384"</f>
        <v>107384</v>
      </c>
      <c r="B40985" t="s">
        <v>3952</v>
      </c>
      <c r="C40985" t="s">
        <v>24838</v>
      </c>
      <c r="D40985" s="21" t="s">
        <v>24820</v>
      </c>
      <c r="E40985" s="21" t="s">
        <v>35</v>
      </c>
      <c r="F40985">
        <v>6100017</v>
      </c>
      <c r="G40985" t="s">
        <v>11694</v>
      </c>
      <c r="H40985" s="21">
        <v>500</v>
      </c>
    </row>
    <row r="40986" spans="1:8" customFormat="1" x14ac:dyDescent="0.25">
      <c r="A40986" t="str">
        <f>"714161"</f>
        <v>714161</v>
      </c>
      <c r="B40986" t="s">
        <v>29869</v>
      </c>
      <c r="C40986" t="s">
        <v>24929</v>
      </c>
      <c r="D40986" s="21" t="s">
        <v>24820</v>
      </c>
      <c r="E40986" s="21" t="s">
        <v>71</v>
      </c>
      <c r="F40986">
        <v>2710048</v>
      </c>
      <c r="G40986" t="s">
        <v>2225</v>
      </c>
      <c r="H40986" s="21">
        <v>500</v>
      </c>
    </row>
    <row r="40987" spans="1:8" customFormat="1" x14ac:dyDescent="0.25">
      <c r="A40987" t="str">
        <f>"4711640"</f>
        <v>4711640</v>
      </c>
      <c r="B40987" t="s">
        <v>29870</v>
      </c>
      <c r="C40987" t="s">
        <v>29871</v>
      </c>
      <c r="D40987" s="21" t="s">
        <v>24820</v>
      </c>
      <c r="E40987" s="21" t="s">
        <v>71</v>
      </c>
      <c r="F40987">
        <v>10470014</v>
      </c>
      <c r="G40987" t="s">
        <v>22811</v>
      </c>
      <c r="H40987" s="21">
        <v>500</v>
      </c>
    </row>
    <row r="40988" spans="1:8" customFormat="1" x14ac:dyDescent="0.25">
      <c r="A40988" t="str">
        <f>"8614110"</f>
        <v>8614110</v>
      </c>
      <c r="B40988" t="s">
        <v>25993</v>
      </c>
      <c r="C40988" t="s">
        <v>24904</v>
      </c>
      <c r="D40988" s="21" t="s">
        <v>24820</v>
      </c>
      <c r="E40988" s="21" t="s">
        <v>71</v>
      </c>
      <c r="F40988">
        <v>10860234</v>
      </c>
      <c r="G40988" t="s">
        <v>1966</v>
      </c>
      <c r="H40988" s="21">
        <v>500</v>
      </c>
    </row>
    <row r="40989" spans="1:8" customFormat="1" x14ac:dyDescent="0.25">
      <c r="A40989" t="str">
        <f>"8019281"</f>
        <v>8019281</v>
      </c>
      <c r="B40989" t="s">
        <v>4449</v>
      </c>
      <c r="C40989" t="s">
        <v>24947</v>
      </c>
      <c r="D40989" s="21" t="s">
        <v>24820</v>
      </c>
      <c r="E40989" s="21" t="s">
        <v>35</v>
      </c>
      <c r="F40989">
        <v>7800107</v>
      </c>
      <c r="G40989" t="s">
        <v>10161</v>
      </c>
      <c r="H40989" s="21">
        <v>500</v>
      </c>
    </row>
    <row r="40990" spans="1:8" customFormat="1" x14ac:dyDescent="0.25">
      <c r="A40990" t="str">
        <f>"6924192"</f>
        <v>6924192</v>
      </c>
      <c r="B40990" t="s">
        <v>9781</v>
      </c>
      <c r="C40990" t="s">
        <v>29739</v>
      </c>
      <c r="D40990" s="21" t="s">
        <v>24820</v>
      </c>
      <c r="E40990" s="21" t="s">
        <v>1089</v>
      </c>
      <c r="F40990">
        <v>1690155</v>
      </c>
      <c r="G40990" t="s">
        <v>11464</v>
      </c>
      <c r="H40990" s="21">
        <v>500</v>
      </c>
    </row>
    <row r="40991" spans="1:8" customFormat="1" x14ac:dyDescent="0.25">
      <c r="A40991" t="str">
        <f>"9A1571"</f>
        <v>9A1571</v>
      </c>
      <c r="B40991" t="s">
        <v>28681</v>
      </c>
      <c r="C40991" t="s">
        <v>263</v>
      </c>
      <c r="D40991" s="21" t="s">
        <v>24820</v>
      </c>
      <c r="E40991" s="21" t="s">
        <v>35</v>
      </c>
      <c r="F40991" t="s">
        <v>2839</v>
      </c>
      <c r="G40991" t="s">
        <v>2840</v>
      </c>
      <c r="H40991" s="21">
        <v>500</v>
      </c>
    </row>
    <row r="40992" spans="1:8" customFormat="1" x14ac:dyDescent="0.25">
      <c r="A40992" t="str">
        <f>"1614550"</f>
        <v>1614550</v>
      </c>
      <c r="B40992" t="s">
        <v>29872</v>
      </c>
      <c r="C40992" t="s">
        <v>24858</v>
      </c>
      <c r="D40992" s="21" t="s">
        <v>24820</v>
      </c>
      <c r="E40992" s="21" t="s">
        <v>35</v>
      </c>
      <c r="F40992">
        <v>10160197</v>
      </c>
      <c r="G40992" t="s">
        <v>4472</v>
      </c>
      <c r="H40992" s="21">
        <v>500</v>
      </c>
    </row>
    <row r="40993" spans="1:8" customFormat="1" x14ac:dyDescent="0.25">
      <c r="A40993" t="str">
        <f>"6950181"</f>
        <v>6950181</v>
      </c>
      <c r="B40993" t="s">
        <v>29873</v>
      </c>
      <c r="C40993" t="s">
        <v>24906</v>
      </c>
      <c r="D40993" s="21" t="s">
        <v>24820</v>
      </c>
      <c r="E40993" s="21" t="s">
        <v>254</v>
      </c>
      <c r="F40993">
        <v>1690186</v>
      </c>
      <c r="G40993" t="s">
        <v>438</v>
      </c>
      <c r="H40993" s="21">
        <v>500</v>
      </c>
    </row>
    <row r="40994" spans="1:8" customFormat="1" x14ac:dyDescent="0.25">
      <c r="A40994" t="str">
        <f>"9143112"</f>
        <v>9143112</v>
      </c>
      <c r="B40994" t="s">
        <v>1408</v>
      </c>
      <c r="C40994" t="s">
        <v>24937</v>
      </c>
      <c r="D40994" s="21" t="s">
        <v>24820</v>
      </c>
      <c r="E40994" s="21" t="s">
        <v>35</v>
      </c>
      <c r="F40994">
        <v>8910285</v>
      </c>
      <c r="G40994" t="s">
        <v>26604</v>
      </c>
      <c r="H40994" s="21">
        <v>500</v>
      </c>
    </row>
    <row r="40995" spans="1:8" customFormat="1" x14ac:dyDescent="0.25">
      <c r="A40995" t="str">
        <f>"166945"</f>
        <v>166945</v>
      </c>
      <c r="B40995" t="s">
        <v>9781</v>
      </c>
      <c r="C40995" t="s">
        <v>25750</v>
      </c>
      <c r="D40995" s="21" t="s">
        <v>24820</v>
      </c>
      <c r="E40995" s="21" t="s">
        <v>71</v>
      </c>
      <c r="F40995">
        <v>10160029</v>
      </c>
      <c r="G40995" t="s">
        <v>896</v>
      </c>
      <c r="H40995" s="21">
        <v>500</v>
      </c>
    </row>
    <row r="40996" spans="1:8" customFormat="1" x14ac:dyDescent="0.25">
      <c r="A40996" t="str">
        <f>"738473"</f>
        <v>738473</v>
      </c>
      <c r="B40996" t="s">
        <v>6713</v>
      </c>
      <c r="C40996" t="s">
        <v>25760</v>
      </c>
      <c r="D40996" s="21" t="s">
        <v>24820</v>
      </c>
      <c r="E40996" s="21" t="s">
        <v>254</v>
      </c>
      <c r="F40996">
        <v>1730068</v>
      </c>
      <c r="G40996" t="s">
        <v>3375</v>
      </c>
      <c r="H40996" s="21">
        <v>500</v>
      </c>
    </row>
    <row r="40997" spans="1:8" customFormat="1" x14ac:dyDescent="0.25">
      <c r="A40997" t="str">
        <f>"0110174"</f>
        <v>0110174</v>
      </c>
      <c r="B40997" t="s">
        <v>25814</v>
      </c>
      <c r="C40997" t="s">
        <v>24833</v>
      </c>
      <c r="D40997" s="21" t="s">
        <v>24820</v>
      </c>
      <c r="E40997" s="21" t="s">
        <v>35</v>
      </c>
      <c r="F40997">
        <v>1010062</v>
      </c>
      <c r="G40997" t="s">
        <v>9638</v>
      </c>
      <c r="H40997" s="21">
        <v>500</v>
      </c>
    </row>
    <row r="40998" spans="1:8" customFormat="1" x14ac:dyDescent="0.25">
      <c r="A40998" t="str">
        <f>"6930161"</f>
        <v>6930161</v>
      </c>
      <c r="B40998" t="s">
        <v>25639</v>
      </c>
      <c r="C40998" t="s">
        <v>24904</v>
      </c>
      <c r="D40998" s="21" t="s">
        <v>24820</v>
      </c>
      <c r="E40998" s="21" t="s">
        <v>71</v>
      </c>
      <c r="F40998">
        <v>1690107</v>
      </c>
      <c r="G40998" t="s">
        <v>4163</v>
      </c>
      <c r="H40998" s="21">
        <v>500</v>
      </c>
    </row>
    <row r="40999" spans="1:8" customFormat="1" x14ac:dyDescent="0.25">
      <c r="A40999" t="str">
        <f>"2721623"</f>
        <v>2721623</v>
      </c>
      <c r="B40999" t="s">
        <v>7465</v>
      </c>
      <c r="C40999" t="s">
        <v>24863</v>
      </c>
      <c r="D40999" s="21" t="s">
        <v>24820</v>
      </c>
      <c r="E40999" s="21" t="s">
        <v>71</v>
      </c>
      <c r="F40999">
        <v>9270126</v>
      </c>
      <c r="G40999" t="s">
        <v>7569</v>
      </c>
      <c r="H40999" s="21">
        <v>500</v>
      </c>
    </row>
    <row r="41000" spans="1:8" customFormat="1" x14ac:dyDescent="0.25">
      <c r="A41000" t="str">
        <f>"414516"</f>
        <v>414516</v>
      </c>
      <c r="B41000" t="s">
        <v>25995</v>
      </c>
      <c r="C41000" t="s">
        <v>25120</v>
      </c>
      <c r="D41000" s="21" t="s">
        <v>24820</v>
      </c>
      <c r="E41000" s="21" t="s">
        <v>71</v>
      </c>
      <c r="F41000">
        <v>4410594</v>
      </c>
      <c r="G41000" t="s">
        <v>10169</v>
      </c>
      <c r="H41000" s="21">
        <v>500</v>
      </c>
    </row>
    <row r="41001" spans="1:8" customFormat="1" x14ac:dyDescent="0.25">
      <c r="A41001" t="str">
        <f>"5952375"</f>
        <v>5952375</v>
      </c>
      <c r="B41001" t="s">
        <v>108</v>
      </c>
      <c r="C41001" t="s">
        <v>24932</v>
      </c>
      <c r="D41001" s="21" t="s">
        <v>24820</v>
      </c>
      <c r="E41001" s="21" t="s">
        <v>254</v>
      </c>
      <c r="F41001">
        <v>7590044</v>
      </c>
      <c r="G41001" t="s">
        <v>2029</v>
      </c>
      <c r="H41001" s="21">
        <v>500</v>
      </c>
    </row>
    <row r="41002" spans="1:8" customFormat="1" x14ac:dyDescent="0.25">
      <c r="A41002" t="str">
        <f>"604523"</f>
        <v>604523</v>
      </c>
      <c r="B41002" t="s">
        <v>1522</v>
      </c>
      <c r="C41002" t="s">
        <v>25188</v>
      </c>
      <c r="D41002" s="21" t="s">
        <v>24820</v>
      </c>
      <c r="E41002" s="21" t="s">
        <v>35</v>
      </c>
      <c r="F41002">
        <v>7600037</v>
      </c>
      <c r="G41002" t="s">
        <v>7185</v>
      </c>
      <c r="H41002" s="21">
        <v>500</v>
      </c>
    </row>
    <row r="41003" spans="1:8" customFormat="1" x14ac:dyDescent="0.25">
      <c r="A41003" t="str">
        <f>"323163"</f>
        <v>323163</v>
      </c>
      <c r="B41003" t="s">
        <v>25825</v>
      </c>
      <c r="C41003" t="s">
        <v>25008</v>
      </c>
      <c r="D41003" s="21" t="s">
        <v>24820</v>
      </c>
      <c r="E41003" s="21" t="s">
        <v>71</v>
      </c>
      <c r="F41003">
        <v>11320039</v>
      </c>
      <c r="G41003" t="s">
        <v>14674</v>
      </c>
      <c r="H41003" s="21">
        <v>500</v>
      </c>
    </row>
    <row r="41004" spans="1:8" customFormat="1" x14ac:dyDescent="0.25">
      <c r="A41004" t="str">
        <f>"7520999"</f>
        <v>7520999</v>
      </c>
      <c r="B41004" t="s">
        <v>29874</v>
      </c>
      <c r="C41004" t="s">
        <v>29875</v>
      </c>
      <c r="D41004" s="21" t="s">
        <v>24820</v>
      </c>
      <c r="E41004" s="21" t="s">
        <v>71</v>
      </c>
      <c r="F41004">
        <v>8751279</v>
      </c>
      <c r="G41004" t="s">
        <v>13340</v>
      </c>
      <c r="H41004" s="21">
        <v>500</v>
      </c>
    </row>
    <row r="41005" spans="1:8" customFormat="1" x14ac:dyDescent="0.25">
      <c r="A41005" t="str">
        <f>"6947901"</f>
        <v>6947901</v>
      </c>
      <c r="B41005" t="s">
        <v>25928</v>
      </c>
      <c r="C41005" t="s">
        <v>25019</v>
      </c>
      <c r="D41005" s="21" t="s">
        <v>24820</v>
      </c>
      <c r="E41005" s="21" t="s">
        <v>35</v>
      </c>
      <c r="F41005">
        <v>1690224</v>
      </c>
      <c r="G41005" t="s">
        <v>27093</v>
      </c>
      <c r="H41005" s="21">
        <v>500</v>
      </c>
    </row>
    <row r="41006" spans="1:8" customFormat="1" x14ac:dyDescent="0.25">
      <c r="A41006" t="str">
        <f>"434717"</f>
        <v>434717</v>
      </c>
      <c r="B41006" t="s">
        <v>25952</v>
      </c>
      <c r="C41006" t="s">
        <v>25681</v>
      </c>
      <c r="D41006" s="21" t="s">
        <v>24820</v>
      </c>
      <c r="E41006" s="21" t="s">
        <v>35</v>
      </c>
      <c r="F41006">
        <v>1420291</v>
      </c>
      <c r="G41006" t="s">
        <v>13231</v>
      </c>
      <c r="H41006" s="21">
        <v>500</v>
      </c>
    </row>
    <row r="41007" spans="1:8" customFormat="1" x14ac:dyDescent="0.25">
      <c r="A41007" t="str">
        <f>"923056"</f>
        <v>923056</v>
      </c>
      <c r="B41007" t="s">
        <v>25860</v>
      </c>
      <c r="C41007" t="s">
        <v>25861</v>
      </c>
      <c r="D41007" s="21" t="s">
        <v>24820</v>
      </c>
      <c r="E41007" s="21" t="s">
        <v>1089</v>
      </c>
      <c r="F41007">
        <v>8921099</v>
      </c>
      <c r="G41007" t="s">
        <v>11455</v>
      </c>
      <c r="H41007" s="21">
        <v>500</v>
      </c>
    </row>
    <row r="41008" spans="1:8" customFormat="1" x14ac:dyDescent="0.25">
      <c r="A41008" t="str">
        <f>"143651"</f>
        <v>143651</v>
      </c>
      <c r="B41008" t="s">
        <v>25894</v>
      </c>
      <c r="C41008" t="s">
        <v>25011</v>
      </c>
      <c r="D41008" s="21" t="s">
        <v>24820</v>
      </c>
      <c r="E41008" s="21" t="s">
        <v>254</v>
      </c>
      <c r="F41008">
        <v>9140200</v>
      </c>
      <c r="G41008" t="s">
        <v>17963</v>
      </c>
      <c r="H41008" s="21">
        <v>500</v>
      </c>
    </row>
    <row r="41009" spans="1:8" customFormat="1" x14ac:dyDescent="0.25">
      <c r="A41009" t="str">
        <f>"036587"</f>
        <v>036587</v>
      </c>
      <c r="B41009" t="s">
        <v>25732</v>
      </c>
      <c r="C41009" t="s">
        <v>22831</v>
      </c>
      <c r="D41009" s="21" t="s">
        <v>24820</v>
      </c>
      <c r="E41009" s="21" t="s">
        <v>71</v>
      </c>
      <c r="F41009">
        <v>1030212</v>
      </c>
      <c r="G41009" t="s">
        <v>3479</v>
      </c>
      <c r="H41009" s="21">
        <v>500</v>
      </c>
    </row>
    <row r="41010" spans="1:8" customFormat="1" x14ac:dyDescent="0.25">
      <c r="A41010" t="str">
        <f>"7723221"</f>
        <v>7723221</v>
      </c>
      <c r="B41010" t="s">
        <v>1844</v>
      </c>
      <c r="C41010" t="s">
        <v>24889</v>
      </c>
      <c r="D41010" s="21" t="s">
        <v>24820</v>
      </c>
      <c r="E41010" s="21" t="s">
        <v>35</v>
      </c>
      <c r="F41010">
        <v>8770250</v>
      </c>
      <c r="G41010" t="s">
        <v>2595</v>
      </c>
      <c r="H41010" s="21">
        <v>500</v>
      </c>
    </row>
    <row r="41011" spans="1:8" customFormat="1" x14ac:dyDescent="0.25">
      <c r="A41011" t="str">
        <f>"8818223"</f>
        <v>8818223</v>
      </c>
      <c r="B41011" t="s">
        <v>26306</v>
      </c>
      <c r="C41011" t="s">
        <v>25130</v>
      </c>
      <c r="D41011" s="21" t="s">
        <v>24820</v>
      </c>
      <c r="E41011" s="21" t="s">
        <v>35</v>
      </c>
      <c r="F41011">
        <v>6880002</v>
      </c>
      <c r="G41011" t="s">
        <v>501</v>
      </c>
      <c r="H41011" s="21">
        <v>500</v>
      </c>
    </row>
    <row r="41012" spans="1:8" customFormat="1" x14ac:dyDescent="0.25">
      <c r="A41012" t="str">
        <f>"7727738"</f>
        <v>7727738</v>
      </c>
      <c r="B41012" t="s">
        <v>12273</v>
      </c>
      <c r="C41012" t="s">
        <v>24978</v>
      </c>
      <c r="D41012" s="21" t="s">
        <v>24820</v>
      </c>
      <c r="E41012" s="21" t="s">
        <v>71</v>
      </c>
      <c r="F41012">
        <v>8771518</v>
      </c>
      <c r="G41012" t="s">
        <v>12274</v>
      </c>
      <c r="H41012" s="21">
        <v>500</v>
      </c>
    </row>
    <row r="41013" spans="1:8" customFormat="1" x14ac:dyDescent="0.25">
      <c r="A41013" t="str">
        <f>"6312441"</f>
        <v>6312441</v>
      </c>
      <c r="B41013" t="s">
        <v>26068</v>
      </c>
      <c r="C41013" t="s">
        <v>25415</v>
      </c>
      <c r="D41013" s="21" t="s">
        <v>24820</v>
      </c>
      <c r="E41013" s="21" t="s">
        <v>1089</v>
      </c>
      <c r="F41013">
        <v>1630308</v>
      </c>
      <c r="G41013" t="s">
        <v>8083</v>
      </c>
      <c r="H41013" s="21">
        <v>500</v>
      </c>
    </row>
    <row r="41014" spans="1:8" customFormat="1" x14ac:dyDescent="0.25">
      <c r="A41014" t="str">
        <f>"897894"</f>
        <v>897894</v>
      </c>
      <c r="B41014" t="s">
        <v>25891</v>
      </c>
      <c r="C41014" t="s">
        <v>24897</v>
      </c>
      <c r="D41014" s="21" t="s">
        <v>24820</v>
      </c>
      <c r="E41014" s="21" t="s">
        <v>71</v>
      </c>
      <c r="F41014">
        <v>2890059</v>
      </c>
      <c r="G41014" t="s">
        <v>26651</v>
      </c>
      <c r="H41014" s="21">
        <v>500</v>
      </c>
    </row>
    <row r="41015" spans="1:8" customFormat="1" x14ac:dyDescent="0.25">
      <c r="A41015" t="str">
        <f>"2111242"</f>
        <v>2111242</v>
      </c>
      <c r="B41015" t="s">
        <v>25823</v>
      </c>
      <c r="C41015" t="s">
        <v>23734</v>
      </c>
      <c r="D41015" s="21" t="s">
        <v>24820</v>
      </c>
      <c r="E41015" s="21" t="s">
        <v>35</v>
      </c>
      <c r="F41015">
        <v>2210088</v>
      </c>
      <c r="G41015" t="s">
        <v>2896</v>
      </c>
      <c r="H41015" s="21">
        <v>500</v>
      </c>
    </row>
    <row r="41016" spans="1:8" customFormat="1" x14ac:dyDescent="0.25">
      <c r="A41016" t="str">
        <f>"3536979"</f>
        <v>3536979</v>
      </c>
      <c r="B41016" t="s">
        <v>2118</v>
      </c>
      <c r="C41016" t="s">
        <v>22831</v>
      </c>
      <c r="D41016" s="21" t="s">
        <v>24820</v>
      </c>
      <c r="E41016" s="21" t="s">
        <v>35</v>
      </c>
      <c r="F41016">
        <v>3350090</v>
      </c>
      <c r="G41016" t="s">
        <v>9659</v>
      </c>
      <c r="H41016" s="21">
        <v>500</v>
      </c>
    </row>
    <row r="41017" spans="1:8" customFormat="1" x14ac:dyDescent="0.25">
      <c r="A41017" t="str">
        <f>"647059"</f>
        <v>647059</v>
      </c>
      <c r="B41017" t="s">
        <v>25675</v>
      </c>
      <c r="C41017" t="s">
        <v>24988</v>
      </c>
      <c r="D41017" s="21" t="s">
        <v>24820</v>
      </c>
      <c r="E41017" s="21" t="s">
        <v>35</v>
      </c>
      <c r="F41017">
        <v>10640008</v>
      </c>
      <c r="G41017" t="s">
        <v>1694</v>
      </c>
      <c r="H41017" s="21">
        <v>500</v>
      </c>
    </row>
    <row r="41018" spans="1:8" customFormat="1" x14ac:dyDescent="0.25">
      <c r="A41018" t="str">
        <f>"9452402"</f>
        <v>9452402</v>
      </c>
      <c r="B41018" t="s">
        <v>12334</v>
      </c>
      <c r="C41018" t="s">
        <v>24889</v>
      </c>
      <c r="D41018" s="21" t="s">
        <v>24820</v>
      </c>
      <c r="E41018" s="21" t="s">
        <v>35</v>
      </c>
      <c r="F41018">
        <v>8940073</v>
      </c>
      <c r="G41018" t="s">
        <v>1085</v>
      </c>
      <c r="H41018" s="21">
        <v>500</v>
      </c>
    </row>
    <row r="41019" spans="1:8" customFormat="1" x14ac:dyDescent="0.25">
      <c r="A41019" t="str">
        <f>"42727"</f>
        <v>42727</v>
      </c>
      <c r="B41019" t="s">
        <v>25898</v>
      </c>
      <c r="C41019" t="s">
        <v>24952</v>
      </c>
      <c r="D41019" s="21" t="s">
        <v>24820</v>
      </c>
      <c r="E41019" s="21" t="s">
        <v>1089</v>
      </c>
      <c r="F41019">
        <v>1420048</v>
      </c>
      <c r="G41019" t="s">
        <v>745</v>
      </c>
      <c r="H41019" s="21">
        <v>500</v>
      </c>
    </row>
    <row r="41020" spans="1:8" customFormat="1" x14ac:dyDescent="0.25">
      <c r="A41020" t="str">
        <f>"4457108"</f>
        <v>4457108</v>
      </c>
      <c r="B41020" t="s">
        <v>970</v>
      </c>
      <c r="C41020" t="s">
        <v>24915</v>
      </c>
      <c r="D41020" s="21" t="s">
        <v>24820</v>
      </c>
      <c r="E41020" s="21" t="s">
        <v>35</v>
      </c>
      <c r="F41020">
        <v>12440099</v>
      </c>
      <c r="G41020" t="s">
        <v>11536</v>
      </c>
      <c r="H41020" s="21">
        <v>500</v>
      </c>
    </row>
    <row r="41021" spans="1:8" customFormat="1" x14ac:dyDescent="0.25">
      <c r="A41021" t="str">
        <f>"903617"</f>
        <v>903617</v>
      </c>
      <c r="B41021" t="s">
        <v>10732</v>
      </c>
      <c r="C41021" t="s">
        <v>25031</v>
      </c>
      <c r="D41021" s="21" t="s">
        <v>24820</v>
      </c>
      <c r="E41021" s="21" t="s">
        <v>71</v>
      </c>
      <c r="F41021">
        <v>2900038</v>
      </c>
      <c r="G41021" t="s">
        <v>6415</v>
      </c>
      <c r="H41021" s="21">
        <v>500</v>
      </c>
    </row>
    <row r="41022" spans="1:8" customFormat="1" x14ac:dyDescent="0.25">
      <c r="A41022" t="str">
        <f>"9A1386"</f>
        <v>9A1386</v>
      </c>
      <c r="B41022" t="s">
        <v>29876</v>
      </c>
      <c r="C41022" t="s">
        <v>23966</v>
      </c>
      <c r="D41022" s="21" t="s">
        <v>24820</v>
      </c>
      <c r="E41022" s="21" t="s">
        <v>71</v>
      </c>
      <c r="F41022" t="s">
        <v>2849</v>
      </c>
      <c r="G41022" t="s">
        <v>2850</v>
      </c>
      <c r="H41022" s="21">
        <v>500</v>
      </c>
    </row>
    <row r="41023" spans="1:8" customFormat="1" x14ac:dyDescent="0.25">
      <c r="A41023" t="str">
        <f>"165739"</f>
        <v>165739</v>
      </c>
      <c r="B41023" t="s">
        <v>3573</v>
      </c>
      <c r="C41023" t="s">
        <v>24884</v>
      </c>
      <c r="D41023" s="21" t="s">
        <v>24820</v>
      </c>
      <c r="E41023" s="21" t="s">
        <v>35</v>
      </c>
      <c r="F41023">
        <v>10160197</v>
      </c>
      <c r="G41023" t="s">
        <v>4472</v>
      </c>
      <c r="H41023" s="21">
        <v>500</v>
      </c>
    </row>
    <row r="41024" spans="1:8" customFormat="1" x14ac:dyDescent="0.25">
      <c r="A41024" t="str">
        <f>"661783"</f>
        <v>661783</v>
      </c>
      <c r="B41024" t="s">
        <v>23457</v>
      </c>
      <c r="C41024" t="s">
        <v>24914</v>
      </c>
      <c r="D41024" s="21" t="s">
        <v>24820</v>
      </c>
      <c r="E41024" s="21" t="s">
        <v>35</v>
      </c>
      <c r="F41024">
        <v>11660007</v>
      </c>
      <c r="G41024" t="s">
        <v>5840</v>
      </c>
      <c r="H41024" s="21">
        <v>500</v>
      </c>
    </row>
    <row r="41025" spans="1:8" customFormat="1" x14ac:dyDescent="0.25">
      <c r="A41025" t="str">
        <f>"7635860"</f>
        <v>7635860</v>
      </c>
      <c r="B41025" t="s">
        <v>2489</v>
      </c>
      <c r="C41025" t="s">
        <v>25849</v>
      </c>
      <c r="D41025" s="21" t="s">
        <v>24820</v>
      </c>
      <c r="E41025" s="21" t="s">
        <v>1089</v>
      </c>
      <c r="F41025">
        <v>9760221</v>
      </c>
      <c r="G41025" t="s">
        <v>1306</v>
      </c>
      <c r="H41025" s="21">
        <v>500</v>
      </c>
    </row>
    <row r="41026" spans="1:8" customFormat="1" x14ac:dyDescent="0.25">
      <c r="A41026" t="str">
        <f>"3830667"</f>
        <v>3830667</v>
      </c>
      <c r="B41026" t="s">
        <v>12791</v>
      </c>
      <c r="C41026" t="s">
        <v>24855</v>
      </c>
      <c r="D41026" s="21" t="s">
        <v>24820</v>
      </c>
      <c r="E41026" s="21" t="s">
        <v>254</v>
      </c>
      <c r="F41026">
        <v>1380262</v>
      </c>
      <c r="G41026" t="s">
        <v>1216</v>
      </c>
      <c r="H41026" s="21">
        <v>500</v>
      </c>
    </row>
    <row r="41027" spans="1:8" customFormat="1" x14ac:dyDescent="0.25">
      <c r="A41027" t="str">
        <f>"8019450"</f>
        <v>8019450</v>
      </c>
      <c r="B41027" t="s">
        <v>108</v>
      </c>
      <c r="C41027" t="s">
        <v>25151</v>
      </c>
      <c r="D41027" s="21" t="s">
        <v>24820</v>
      </c>
      <c r="E41027" s="21" t="s">
        <v>254</v>
      </c>
      <c r="F41027">
        <v>7800035</v>
      </c>
      <c r="G41027" t="s">
        <v>12990</v>
      </c>
      <c r="H41027" s="21">
        <v>500</v>
      </c>
    </row>
    <row r="41028" spans="1:8" customFormat="1" x14ac:dyDescent="0.25">
      <c r="A41028" t="str">
        <f>"4457772"</f>
        <v>4457772</v>
      </c>
      <c r="B41028" t="s">
        <v>208</v>
      </c>
      <c r="C41028" t="s">
        <v>24889</v>
      </c>
      <c r="D41028" s="21" t="s">
        <v>24820</v>
      </c>
      <c r="E41028" s="21" t="s">
        <v>71</v>
      </c>
      <c r="F41028">
        <v>12440112</v>
      </c>
      <c r="G41028" t="s">
        <v>9188</v>
      </c>
      <c r="H41028" s="21">
        <v>500</v>
      </c>
    </row>
    <row r="41029" spans="1:8" customFormat="1" x14ac:dyDescent="0.25">
      <c r="A41029" t="str">
        <f>"2220238"</f>
        <v>2220238</v>
      </c>
      <c r="B41029" t="s">
        <v>19425</v>
      </c>
      <c r="C41029" t="s">
        <v>25897</v>
      </c>
      <c r="D41029" s="21" t="s">
        <v>24820</v>
      </c>
      <c r="E41029" s="21" t="s">
        <v>1089</v>
      </c>
      <c r="F41029">
        <v>3220050</v>
      </c>
      <c r="G41029" t="s">
        <v>28006</v>
      </c>
      <c r="H41029" s="21">
        <v>500</v>
      </c>
    </row>
    <row r="41030" spans="1:8" customFormat="1" x14ac:dyDescent="0.25">
      <c r="A41030" t="str">
        <f>"7882301"</f>
        <v>7882301</v>
      </c>
      <c r="B41030" t="s">
        <v>29877</v>
      </c>
      <c r="C41030" t="s">
        <v>25019</v>
      </c>
      <c r="D41030" s="21" t="s">
        <v>24820</v>
      </c>
      <c r="E41030" s="21" t="s">
        <v>35</v>
      </c>
      <c r="F41030">
        <v>8781471</v>
      </c>
      <c r="G41030" t="s">
        <v>9616</v>
      </c>
      <c r="H41030" s="21">
        <v>500</v>
      </c>
    </row>
    <row r="41031" spans="1:8" customFormat="1" x14ac:dyDescent="0.25">
      <c r="A41031" t="str">
        <f>"6924647"</f>
        <v>6924647</v>
      </c>
      <c r="B41031" t="s">
        <v>457</v>
      </c>
      <c r="C41031" t="s">
        <v>24906</v>
      </c>
      <c r="D41031" s="21" t="s">
        <v>24820</v>
      </c>
      <c r="E41031" s="21" t="s">
        <v>71</v>
      </c>
      <c r="F41031">
        <v>1690201</v>
      </c>
      <c r="G41031" t="s">
        <v>11274</v>
      </c>
      <c r="H41031" s="21">
        <v>500</v>
      </c>
    </row>
    <row r="41032" spans="1:8" customFormat="1" x14ac:dyDescent="0.25">
      <c r="A41032" t="str">
        <f>"1614251"</f>
        <v>1614251</v>
      </c>
      <c r="B41032" t="s">
        <v>26017</v>
      </c>
      <c r="C41032" t="s">
        <v>24947</v>
      </c>
      <c r="D41032" s="21" t="s">
        <v>24820</v>
      </c>
      <c r="E41032" s="21" t="s">
        <v>35</v>
      </c>
      <c r="F41032">
        <v>10160196</v>
      </c>
      <c r="G41032" t="s">
        <v>13348</v>
      </c>
      <c r="H41032" s="21">
        <v>500</v>
      </c>
    </row>
    <row r="41033" spans="1:8" customFormat="1" x14ac:dyDescent="0.25">
      <c r="A41033" t="str">
        <f>"6233902"</f>
        <v>6233902</v>
      </c>
      <c r="B41033" t="s">
        <v>29878</v>
      </c>
      <c r="C41033" t="s">
        <v>29879</v>
      </c>
      <c r="D41033" s="21" t="s">
        <v>24820</v>
      </c>
      <c r="E41033" s="21" t="s">
        <v>35</v>
      </c>
      <c r="F41033">
        <v>7620060</v>
      </c>
      <c r="G41033" t="s">
        <v>2179</v>
      </c>
      <c r="H41033" s="21">
        <v>500</v>
      </c>
    </row>
    <row r="41034" spans="1:8" customFormat="1" x14ac:dyDescent="0.25">
      <c r="A41034" t="str">
        <f>"7626607"</f>
        <v>7626607</v>
      </c>
      <c r="B41034" t="s">
        <v>17297</v>
      </c>
      <c r="C41034" t="s">
        <v>24973</v>
      </c>
      <c r="D41034" s="21" t="s">
        <v>24820</v>
      </c>
      <c r="E41034" s="21" t="s">
        <v>35</v>
      </c>
      <c r="F41034">
        <v>9760156</v>
      </c>
      <c r="G41034" t="s">
        <v>26731</v>
      </c>
      <c r="H41034" s="21">
        <v>500</v>
      </c>
    </row>
    <row r="41035" spans="1:8" customFormat="1" x14ac:dyDescent="0.25">
      <c r="A41035" t="str">
        <f>"0613196"</f>
        <v>0613196</v>
      </c>
      <c r="B41035" t="s">
        <v>2058</v>
      </c>
      <c r="C41035" t="s">
        <v>25089</v>
      </c>
      <c r="D41035" s="21" t="s">
        <v>24820</v>
      </c>
      <c r="E41035" s="21" t="s">
        <v>1089</v>
      </c>
      <c r="F41035">
        <v>13060005</v>
      </c>
      <c r="G41035" t="s">
        <v>3609</v>
      </c>
      <c r="H41035" s="21">
        <v>500</v>
      </c>
    </row>
    <row r="41036" spans="1:8" customFormat="1" x14ac:dyDescent="0.25">
      <c r="A41036" t="str">
        <f>"3830648"</f>
        <v>3830648</v>
      </c>
      <c r="B41036" t="s">
        <v>7677</v>
      </c>
      <c r="C41036" t="s">
        <v>24988</v>
      </c>
      <c r="D41036" s="21" t="s">
        <v>24820</v>
      </c>
      <c r="E41036" s="21" t="s">
        <v>35</v>
      </c>
      <c r="F41036">
        <v>1380300</v>
      </c>
      <c r="G41036" t="s">
        <v>20475</v>
      </c>
      <c r="H41036" s="21">
        <v>500</v>
      </c>
    </row>
    <row r="41037" spans="1:8" customFormat="1" x14ac:dyDescent="0.25">
      <c r="A41037" t="str">
        <f>"824181"</f>
        <v>824181</v>
      </c>
      <c r="B41037" t="s">
        <v>26263</v>
      </c>
      <c r="C41037" t="s">
        <v>25754</v>
      </c>
      <c r="D41037" s="21" t="s">
        <v>24820</v>
      </c>
      <c r="E41037" s="21" t="s">
        <v>35</v>
      </c>
      <c r="F41037">
        <v>11820027</v>
      </c>
      <c r="G41037" t="s">
        <v>15324</v>
      </c>
      <c r="H41037" s="21">
        <v>500</v>
      </c>
    </row>
    <row r="41038" spans="1:8" customFormat="1" x14ac:dyDescent="0.25">
      <c r="A41038" t="str">
        <f>"7882748"</f>
        <v>7882748</v>
      </c>
      <c r="B41038" t="s">
        <v>15120</v>
      </c>
      <c r="C41038" t="s">
        <v>24854</v>
      </c>
      <c r="D41038" s="21" t="s">
        <v>24820</v>
      </c>
      <c r="E41038" s="21" t="s">
        <v>71</v>
      </c>
      <c r="F41038">
        <v>8781469</v>
      </c>
      <c r="G41038" t="s">
        <v>4779</v>
      </c>
      <c r="H41038" s="21">
        <v>500</v>
      </c>
    </row>
    <row r="41039" spans="1:8" customFormat="1" x14ac:dyDescent="0.25">
      <c r="A41039" t="str">
        <f>"04669"</f>
        <v>04669</v>
      </c>
      <c r="B41039" t="s">
        <v>26057</v>
      </c>
      <c r="C41039" t="s">
        <v>24973</v>
      </c>
      <c r="D41039" s="21" t="s">
        <v>24820</v>
      </c>
      <c r="E41039" s="21" t="s">
        <v>71</v>
      </c>
      <c r="F41039">
        <v>13040015</v>
      </c>
      <c r="G41039" t="s">
        <v>7151</v>
      </c>
      <c r="H41039" s="21">
        <v>500</v>
      </c>
    </row>
    <row r="41040" spans="1:8" customFormat="1" x14ac:dyDescent="0.25">
      <c r="A41040" t="str">
        <f>"1610672"</f>
        <v>1610672</v>
      </c>
      <c r="B41040" t="s">
        <v>26186</v>
      </c>
      <c r="C41040" t="s">
        <v>25330</v>
      </c>
      <c r="D41040" s="21" t="s">
        <v>24820</v>
      </c>
      <c r="E41040" s="21" t="s">
        <v>254</v>
      </c>
      <c r="F41040">
        <v>10160071</v>
      </c>
      <c r="G41040" t="s">
        <v>21857</v>
      </c>
      <c r="H41040" s="21">
        <v>500</v>
      </c>
    </row>
    <row r="41041" spans="1:8" customFormat="1" x14ac:dyDescent="0.25">
      <c r="A41041" t="str">
        <f>"366614"</f>
        <v>366614</v>
      </c>
      <c r="B41041" t="s">
        <v>25859</v>
      </c>
      <c r="C41041" t="s">
        <v>25736</v>
      </c>
      <c r="D41041" s="21" t="s">
        <v>24820</v>
      </c>
      <c r="E41041" s="21" t="s">
        <v>71</v>
      </c>
      <c r="F41041">
        <v>4360002</v>
      </c>
      <c r="G41041" t="s">
        <v>222</v>
      </c>
      <c r="H41041" s="21">
        <v>500</v>
      </c>
    </row>
    <row r="41042" spans="1:8" customFormat="1" x14ac:dyDescent="0.25">
      <c r="A41042" t="str">
        <f>"1319549"</f>
        <v>1319549</v>
      </c>
      <c r="B41042" t="s">
        <v>25833</v>
      </c>
      <c r="C41042" t="s">
        <v>25834</v>
      </c>
      <c r="D41042" s="21" t="s">
        <v>24820</v>
      </c>
      <c r="E41042" s="21" t="s">
        <v>1089</v>
      </c>
      <c r="F41042">
        <v>13130165</v>
      </c>
      <c r="G41042" t="s">
        <v>2827</v>
      </c>
      <c r="H41042" s="21">
        <v>500</v>
      </c>
    </row>
    <row r="41043" spans="1:8" customFormat="1" x14ac:dyDescent="0.25">
      <c r="A41043" t="str">
        <f>"1426242"</f>
        <v>1426242</v>
      </c>
      <c r="B41043" t="s">
        <v>13657</v>
      </c>
      <c r="C41043" t="s">
        <v>29880</v>
      </c>
      <c r="D41043" s="21" t="s">
        <v>24820</v>
      </c>
      <c r="E41043" s="21" t="s">
        <v>254</v>
      </c>
      <c r="F41043">
        <v>9140012</v>
      </c>
      <c r="G41043" t="s">
        <v>26518</v>
      </c>
      <c r="H41043" s="21">
        <v>500</v>
      </c>
    </row>
    <row r="41044" spans="1:8" customFormat="1" x14ac:dyDescent="0.25">
      <c r="A41044" t="str">
        <f>"954676"</f>
        <v>954676</v>
      </c>
      <c r="B41044" t="s">
        <v>12037</v>
      </c>
      <c r="C41044" t="s">
        <v>25324</v>
      </c>
      <c r="D41044" s="21" t="s">
        <v>24820</v>
      </c>
      <c r="E41044" s="21" t="s">
        <v>254</v>
      </c>
      <c r="F41044">
        <v>8950330</v>
      </c>
      <c r="G41044" t="s">
        <v>794</v>
      </c>
      <c r="H41044" s="21">
        <v>500</v>
      </c>
    </row>
    <row r="41045" spans="1:8" customFormat="1" x14ac:dyDescent="0.25">
      <c r="A41045" t="str">
        <f>"4513119"</f>
        <v>4513119</v>
      </c>
      <c r="B41045" t="s">
        <v>3368</v>
      </c>
      <c r="C41045" t="s">
        <v>25386</v>
      </c>
      <c r="D41045" s="21" t="s">
        <v>24820</v>
      </c>
      <c r="E41045" s="21" t="s">
        <v>1089</v>
      </c>
      <c r="F41045">
        <v>4450763</v>
      </c>
      <c r="G41045" t="s">
        <v>19058</v>
      </c>
      <c r="H41045" s="21">
        <v>500</v>
      </c>
    </row>
    <row r="41046" spans="1:8" customFormat="1" x14ac:dyDescent="0.25">
      <c r="A41046" t="str">
        <f>"3326692"</f>
        <v>3326692</v>
      </c>
      <c r="B41046" t="s">
        <v>22515</v>
      </c>
      <c r="C41046" t="s">
        <v>23734</v>
      </c>
      <c r="D41046" s="21" t="s">
        <v>24820</v>
      </c>
      <c r="E41046" s="21" t="s">
        <v>35</v>
      </c>
      <c r="F41046">
        <v>10330003</v>
      </c>
      <c r="G41046" t="s">
        <v>309</v>
      </c>
      <c r="H41046" s="21">
        <v>500</v>
      </c>
    </row>
    <row r="41047" spans="1:8" customFormat="1" x14ac:dyDescent="0.25">
      <c r="A41047" t="str">
        <f>"8525359"</f>
        <v>8525359</v>
      </c>
      <c r="B41047" t="s">
        <v>3259</v>
      </c>
      <c r="C41047" t="s">
        <v>23734</v>
      </c>
      <c r="D41047" s="21" t="s">
        <v>24820</v>
      </c>
      <c r="E41047" s="21" t="s">
        <v>71</v>
      </c>
      <c r="F41047">
        <v>12850007</v>
      </c>
      <c r="G41047" t="s">
        <v>7649</v>
      </c>
      <c r="H41047" s="21">
        <v>500</v>
      </c>
    </row>
    <row r="41048" spans="1:8" customFormat="1" x14ac:dyDescent="0.25">
      <c r="A41048" t="str">
        <f>"4421465"</f>
        <v>4421465</v>
      </c>
      <c r="B41048" t="s">
        <v>2088</v>
      </c>
      <c r="C41048" t="s">
        <v>24892</v>
      </c>
      <c r="D41048" s="21" t="s">
        <v>24820</v>
      </c>
      <c r="E41048" s="21" t="s">
        <v>71</v>
      </c>
      <c r="F41048">
        <v>12440070</v>
      </c>
      <c r="G41048" t="s">
        <v>5224</v>
      </c>
      <c r="H41048" s="21">
        <v>500</v>
      </c>
    </row>
    <row r="41049" spans="1:8" customFormat="1" x14ac:dyDescent="0.25">
      <c r="A41049" t="str">
        <f>"7640316"</f>
        <v>7640316</v>
      </c>
      <c r="B41049" t="s">
        <v>2824</v>
      </c>
      <c r="C41049" t="s">
        <v>24865</v>
      </c>
      <c r="D41049" s="21" t="s">
        <v>24820</v>
      </c>
      <c r="E41049" s="21" t="s">
        <v>71</v>
      </c>
      <c r="F41049">
        <v>9760311</v>
      </c>
      <c r="G41049" t="s">
        <v>3015</v>
      </c>
      <c r="H41049" s="21">
        <v>500</v>
      </c>
    </row>
    <row r="41050" spans="1:8" customFormat="1" x14ac:dyDescent="0.25">
      <c r="A41050" t="str">
        <f>"9320312"</f>
        <v>9320312</v>
      </c>
      <c r="B41050" t="s">
        <v>15905</v>
      </c>
      <c r="C41050" t="s">
        <v>25943</v>
      </c>
      <c r="D41050" s="21" t="s">
        <v>24820</v>
      </c>
      <c r="E41050" s="21" t="s">
        <v>71</v>
      </c>
      <c r="F41050">
        <v>8930928</v>
      </c>
      <c r="G41050" t="s">
        <v>606</v>
      </c>
      <c r="H41050" s="21">
        <v>500</v>
      </c>
    </row>
    <row r="41051" spans="1:8" customFormat="1" x14ac:dyDescent="0.25">
      <c r="A41051" t="str">
        <f>"3536899"</f>
        <v>3536899</v>
      </c>
      <c r="B41051" t="s">
        <v>824</v>
      </c>
      <c r="C41051" t="s">
        <v>24833</v>
      </c>
      <c r="D41051" s="21" t="s">
        <v>24820</v>
      </c>
      <c r="E41051" s="21" t="s">
        <v>71</v>
      </c>
      <c r="F41051">
        <v>3350091</v>
      </c>
      <c r="G41051" t="s">
        <v>5864</v>
      </c>
      <c r="H41051" s="21">
        <v>500</v>
      </c>
    </row>
    <row r="41052" spans="1:8" customFormat="1" x14ac:dyDescent="0.25">
      <c r="A41052" t="str">
        <f>"778201"</f>
        <v>778201</v>
      </c>
      <c r="B41052" t="s">
        <v>22573</v>
      </c>
      <c r="C41052" t="s">
        <v>25008</v>
      </c>
      <c r="D41052" s="21" t="s">
        <v>24820</v>
      </c>
      <c r="E41052" s="21" t="s">
        <v>1089</v>
      </c>
      <c r="F41052">
        <v>8771172</v>
      </c>
      <c r="G41052" t="s">
        <v>12662</v>
      </c>
      <c r="H41052" s="21">
        <v>500</v>
      </c>
    </row>
    <row r="41053" spans="1:8" customFormat="1" x14ac:dyDescent="0.25">
      <c r="A41053" t="str">
        <f>"5980283"</f>
        <v>5980283</v>
      </c>
      <c r="B41053" t="s">
        <v>26245</v>
      </c>
      <c r="C41053" t="s">
        <v>24833</v>
      </c>
      <c r="D41053" s="21" t="s">
        <v>24820</v>
      </c>
      <c r="E41053" s="21" t="s">
        <v>35</v>
      </c>
      <c r="F41053">
        <v>7590414</v>
      </c>
      <c r="G41053" t="s">
        <v>10056</v>
      </c>
      <c r="H41053" s="21">
        <v>500</v>
      </c>
    </row>
    <row r="41054" spans="1:8" customFormat="1" x14ac:dyDescent="0.25">
      <c r="A41054" t="str">
        <f>"6949822"</f>
        <v>6949822</v>
      </c>
      <c r="B41054" t="s">
        <v>877</v>
      </c>
      <c r="C41054" t="s">
        <v>24865</v>
      </c>
      <c r="D41054" s="21" t="s">
        <v>24820</v>
      </c>
      <c r="E41054" s="21" t="s">
        <v>1089</v>
      </c>
      <c r="F41054">
        <v>1690181</v>
      </c>
      <c r="G41054" t="s">
        <v>20881</v>
      </c>
      <c r="H41054" s="21">
        <v>500</v>
      </c>
    </row>
    <row r="41055" spans="1:8" customFormat="1" x14ac:dyDescent="0.25">
      <c r="A41055" t="str">
        <f>"9H856"</f>
        <v>9H856</v>
      </c>
      <c r="B41055" t="s">
        <v>25777</v>
      </c>
      <c r="C41055" t="s">
        <v>24991</v>
      </c>
      <c r="D41055" s="21" t="s">
        <v>24820</v>
      </c>
      <c r="E41055" s="21" t="s">
        <v>71</v>
      </c>
      <c r="F41055" t="s">
        <v>23019</v>
      </c>
      <c r="G41055" t="s">
        <v>23020</v>
      </c>
      <c r="H41055" s="21">
        <v>500</v>
      </c>
    </row>
    <row r="41056" spans="1:8" customFormat="1" x14ac:dyDescent="0.25">
      <c r="A41056" t="str">
        <f>"5969041"</f>
        <v>5969041</v>
      </c>
      <c r="B41056" t="s">
        <v>29881</v>
      </c>
      <c r="C41056" t="s">
        <v>25019</v>
      </c>
      <c r="D41056" s="21" t="s">
        <v>24820</v>
      </c>
      <c r="E41056" s="21" t="s">
        <v>35</v>
      </c>
      <c r="F41056">
        <v>7590076</v>
      </c>
      <c r="G41056" t="s">
        <v>6662</v>
      </c>
      <c r="H41056" s="21">
        <v>500</v>
      </c>
    </row>
    <row r="41057" spans="1:8" customFormat="1" x14ac:dyDescent="0.25">
      <c r="A41057" t="str">
        <f>"6944177"</f>
        <v>6944177</v>
      </c>
      <c r="B41057" t="s">
        <v>13694</v>
      </c>
      <c r="C41057" t="s">
        <v>24840</v>
      </c>
      <c r="D41057" s="21" t="s">
        <v>24820</v>
      </c>
      <c r="E41057" s="21" t="s">
        <v>71</v>
      </c>
      <c r="F41057">
        <v>1690175</v>
      </c>
      <c r="G41057" t="s">
        <v>410</v>
      </c>
      <c r="H41057" s="21">
        <v>500</v>
      </c>
    </row>
    <row r="41058" spans="1:8" customFormat="1" x14ac:dyDescent="0.25">
      <c r="A41058" t="str">
        <f>"9H858"</f>
        <v>9H858</v>
      </c>
      <c r="B41058" t="s">
        <v>21698</v>
      </c>
      <c r="C41058" t="s">
        <v>25546</v>
      </c>
      <c r="D41058" s="21" t="s">
        <v>24820</v>
      </c>
      <c r="E41058" s="21" t="s">
        <v>71</v>
      </c>
      <c r="F41058" t="s">
        <v>23019</v>
      </c>
      <c r="G41058" t="s">
        <v>23020</v>
      </c>
      <c r="H41058" s="21">
        <v>500</v>
      </c>
    </row>
    <row r="41059" spans="1:8" customFormat="1" x14ac:dyDescent="0.25">
      <c r="A41059" t="str">
        <f>"7110052"</f>
        <v>7110052</v>
      </c>
      <c r="B41059" t="s">
        <v>4063</v>
      </c>
      <c r="C41059" t="s">
        <v>25073</v>
      </c>
      <c r="D41059" s="21" t="s">
        <v>24820</v>
      </c>
      <c r="E41059" s="21" t="s">
        <v>71</v>
      </c>
      <c r="F41059">
        <v>2710051</v>
      </c>
      <c r="G41059" t="s">
        <v>4811</v>
      </c>
      <c r="H41059" s="21">
        <v>500</v>
      </c>
    </row>
    <row r="41060" spans="1:8" customFormat="1" x14ac:dyDescent="0.25">
      <c r="A41060" t="str">
        <f>"8019619"</f>
        <v>8019619</v>
      </c>
      <c r="B41060" t="s">
        <v>3089</v>
      </c>
      <c r="C41060" t="s">
        <v>23966</v>
      </c>
      <c r="D41060" s="21" t="s">
        <v>24820</v>
      </c>
      <c r="E41060" s="21" t="s">
        <v>254</v>
      </c>
      <c r="F41060">
        <v>7800011</v>
      </c>
      <c r="G41060" t="s">
        <v>2253</v>
      </c>
      <c r="H41060" s="21">
        <v>500</v>
      </c>
    </row>
    <row r="41061" spans="1:8" customFormat="1" x14ac:dyDescent="0.25">
      <c r="A41061" t="str">
        <f>"3730698"</f>
        <v>3730698</v>
      </c>
      <c r="B41061" t="s">
        <v>21479</v>
      </c>
      <c r="C41061" t="s">
        <v>29882</v>
      </c>
      <c r="D41061" s="21" t="s">
        <v>24820</v>
      </c>
      <c r="E41061" s="21" t="s">
        <v>71</v>
      </c>
      <c r="F41061">
        <v>4370349</v>
      </c>
      <c r="G41061" t="s">
        <v>2287</v>
      </c>
      <c r="H41061" s="21">
        <v>500</v>
      </c>
    </row>
    <row r="41062" spans="1:8" customFormat="1" x14ac:dyDescent="0.25">
      <c r="A41062" t="str">
        <f>"5017567"</f>
        <v>5017567</v>
      </c>
      <c r="B41062" t="s">
        <v>3313</v>
      </c>
      <c r="C41062" t="s">
        <v>24833</v>
      </c>
      <c r="D41062" s="21" t="s">
        <v>24820</v>
      </c>
      <c r="E41062" s="21" t="s">
        <v>35</v>
      </c>
      <c r="F41062">
        <v>13130154</v>
      </c>
      <c r="G41062" t="s">
        <v>5503</v>
      </c>
      <c r="H41062" s="21">
        <v>500</v>
      </c>
    </row>
    <row r="41063" spans="1:8" customFormat="1" x14ac:dyDescent="0.25">
      <c r="A41063" t="str">
        <f>"5020503"</f>
        <v>5020503</v>
      </c>
      <c r="B41063" t="s">
        <v>15161</v>
      </c>
      <c r="C41063" t="s">
        <v>24828</v>
      </c>
      <c r="D41063" s="21" t="s">
        <v>24820</v>
      </c>
      <c r="E41063" s="21" t="s">
        <v>35</v>
      </c>
      <c r="F41063">
        <v>9500015</v>
      </c>
      <c r="G41063" t="s">
        <v>3389</v>
      </c>
      <c r="H41063" s="21">
        <v>500</v>
      </c>
    </row>
    <row r="41064" spans="1:8" customFormat="1" x14ac:dyDescent="0.25">
      <c r="A41064" t="str">
        <f>"4456434"</f>
        <v>4456434</v>
      </c>
      <c r="B41064" t="s">
        <v>3675</v>
      </c>
      <c r="C41064" t="s">
        <v>25315</v>
      </c>
      <c r="D41064" s="21" t="s">
        <v>24820</v>
      </c>
      <c r="E41064" s="21" t="s">
        <v>71</v>
      </c>
      <c r="F41064">
        <v>12440116</v>
      </c>
      <c r="G41064" t="s">
        <v>26673</v>
      </c>
      <c r="H41064" s="21">
        <v>500</v>
      </c>
    </row>
    <row r="41065" spans="1:8" customFormat="1" x14ac:dyDescent="0.25">
      <c r="A41065" t="str">
        <f>"4437344"</f>
        <v>4437344</v>
      </c>
      <c r="B41065" t="s">
        <v>7673</v>
      </c>
      <c r="C41065" t="s">
        <v>25188</v>
      </c>
      <c r="D41065" s="21" t="s">
        <v>24820</v>
      </c>
      <c r="E41065" s="21" t="s">
        <v>35</v>
      </c>
      <c r="F41065">
        <v>12440026</v>
      </c>
      <c r="G41065" t="s">
        <v>2987</v>
      </c>
      <c r="H41065" s="21">
        <v>500</v>
      </c>
    </row>
    <row r="41066" spans="1:8" customFormat="1" x14ac:dyDescent="0.25">
      <c r="A41066" t="str">
        <f>"9536564"</f>
        <v>9536564</v>
      </c>
      <c r="B41066" t="s">
        <v>727</v>
      </c>
      <c r="C41066" t="s">
        <v>25088</v>
      </c>
      <c r="D41066" s="21" t="s">
        <v>24820</v>
      </c>
      <c r="E41066" s="21" t="s">
        <v>35</v>
      </c>
      <c r="F41066">
        <v>8950479</v>
      </c>
      <c r="G41066" t="s">
        <v>728</v>
      </c>
      <c r="H41066" s="21">
        <v>500</v>
      </c>
    </row>
    <row r="41067" spans="1:8" customFormat="1" x14ac:dyDescent="0.25">
      <c r="A41067" t="str">
        <f>"111332"</f>
        <v>111332</v>
      </c>
      <c r="B41067" t="s">
        <v>25953</v>
      </c>
      <c r="C41067" t="s">
        <v>23734</v>
      </c>
      <c r="D41067" s="21" t="s">
        <v>24820</v>
      </c>
      <c r="E41067" s="21" t="s">
        <v>254</v>
      </c>
      <c r="F41067">
        <v>11110024</v>
      </c>
      <c r="G41067" t="s">
        <v>3378</v>
      </c>
      <c r="H41067" s="21">
        <v>500</v>
      </c>
    </row>
    <row r="41068" spans="1:8" customFormat="1" x14ac:dyDescent="0.25">
      <c r="A41068" t="str">
        <f>"6230599"</f>
        <v>6230599</v>
      </c>
      <c r="B41068" t="s">
        <v>25781</v>
      </c>
      <c r="C41068" t="s">
        <v>24883</v>
      </c>
      <c r="D41068" s="21" t="s">
        <v>24820</v>
      </c>
      <c r="E41068" s="21" t="s">
        <v>35</v>
      </c>
      <c r="F41068">
        <v>7620077</v>
      </c>
      <c r="G41068" t="s">
        <v>4131</v>
      </c>
      <c r="H41068" s="21">
        <v>500</v>
      </c>
    </row>
    <row r="41069" spans="1:8" customFormat="1" x14ac:dyDescent="0.25">
      <c r="A41069" t="str">
        <f>"2510716"</f>
        <v>2510716</v>
      </c>
      <c r="B41069" t="s">
        <v>1630</v>
      </c>
      <c r="C41069" t="s">
        <v>25897</v>
      </c>
      <c r="D41069" s="21" t="s">
        <v>24820</v>
      </c>
      <c r="E41069" s="21" t="s">
        <v>254</v>
      </c>
      <c r="F41069">
        <v>2250021</v>
      </c>
      <c r="G41069" t="s">
        <v>2352</v>
      </c>
      <c r="H41069" s="21">
        <v>500</v>
      </c>
    </row>
    <row r="41070" spans="1:8" customFormat="1" x14ac:dyDescent="0.25">
      <c r="A41070" t="str">
        <f>"6011759"</f>
        <v>6011759</v>
      </c>
      <c r="B41070" t="s">
        <v>4461</v>
      </c>
      <c r="C41070" t="s">
        <v>25035</v>
      </c>
      <c r="D41070" s="21" t="s">
        <v>24820</v>
      </c>
      <c r="E41070" s="21" t="s">
        <v>254</v>
      </c>
      <c r="F41070">
        <v>7600026</v>
      </c>
      <c r="G41070" t="s">
        <v>10079</v>
      </c>
      <c r="H41070" s="21">
        <v>500</v>
      </c>
    </row>
    <row r="41071" spans="1:8" customFormat="1" x14ac:dyDescent="0.25">
      <c r="A41071" t="str">
        <f>"3817217"</f>
        <v>3817217</v>
      </c>
      <c r="B41071" t="s">
        <v>9654</v>
      </c>
      <c r="C41071" t="s">
        <v>24828</v>
      </c>
      <c r="D41071" s="21" t="s">
        <v>24820</v>
      </c>
      <c r="E41071" s="21" t="s">
        <v>35</v>
      </c>
      <c r="F41071">
        <v>1380233</v>
      </c>
      <c r="G41071" t="s">
        <v>2694</v>
      </c>
      <c r="H41071" s="21">
        <v>500</v>
      </c>
    </row>
    <row r="41072" spans="1:8" customFormat="1" x14ac:dyDescent="0.25">
      <c r="A41072" t="str">
        <f>"6226259"</f>
        <v>6226259</v>
      </c>
      <c r="B41072" t="s">
        <v>1147</v>
      </c>
      <c r="C41072" t="s">
        <v>24915</v>
      </c>
      <c r="D41072" s="21" t="s">
        <v>24820</v>
      </c>
      <c r="E41072" s="21" t="s">
        <v>35</v>
      </c>
      <c r="F41072">
        <v>7620046</v>
      </c>
      <c r="G41072" t="s">
        <v>242</v>
      </c>
      <c r="H41072" s="21">
        <v>500</v>
      </c>
    </row>
    <row r="41073" spans="1:8" customFormat="1" x14ac:dyDescent="0.25">
      <c r="A41073" t="str">
        <f>"664722"</f>
        <v>664722</v>
      </c>
      <c r="B41073" t="s">
        <v>29883</v>
      </c>
      <c r="C41073" t="s">
        <v>24972</v>
      </c>
      <c r="D41073" s="21" t="s">
        <v>24820</v>
      </c>
      <c r="E41073" s="21" t="s">
        <v>35</v>
      </c>
      <c r="F41073">
        <v>11660011</v>
      </c>
      <c r="G41073" t="s">
        <v>4641</v>
      </c>
      <c r="H41073" s="21">
        <v>500</v>
      </c>
    </row>
    <row r="41074" spans="1:8" customFormat="1" x14ac:dyDescent="0.25">
      <c r="A41074" t="str">
        <f>"6922945"</f>
        <v>6922945</v>
      </c>
      <c r="B41074" t="s">
        <v>29884</v>
      </c>
      <c r="C41074" t="s">
        <v>25386</v>
      </c>
      <c r="D41074" s="21" t="s">
        <v>24820</v>
      </c>
      <c r="E41074" s="21" t="s">
        <v>254</v>
      </c>
      <c r="F41074">
        <v>1690013</v>
      </c>
      <c r="G41074" t="s">
        <v>26900</v>
      </c>
      <c r="H41074" s="21">
        <v>500</v>
      </c>
    </row>
    <row r="41075" spans="1:8" customFormat="1" x14ac:dyDescent="0.25">
      <c r="A41075" t="str">
        <f>"2721602"</f>
        <v>2721602</v>
      </c>
      <c r="B41075" t="s">
        <v>29885</v>
      </c>
      <c r="C41075" t="s">
        <v>24883</v>
      </c>
      <c r="D41075" s="21" t="s">
        <v>24820</v>
      </c>
      <c r="E41075" s="21" t="s">
        <v>35</v>
      </c>
      <c r="F41075">
        <v>9270089</v>
      </c>
      <c r="G41075" t="s">
        <v>1009</v>
      </c>
      <c r="H41075" s="21">
        <v>500</v>
      </c>
    </row>
    <row r="41076" spans="1:8" customFormat="1" x14ac:dyDescent="0.25">
      <c r="A41076" t="str">
        <f>"6222512"</f>
        <v>6222512</v>
      </c>
      <c r="B41076" t="s">
        <v>16725</v>
      </c>
      <c r="C41076" t="s">
        <v>25208</v>
      </c>
      <c r="D41076" s="21" t="s">
        <v>24820</v>
      </c>
      <c r="E41076" s="21" t="s">
        <v>254</v>
      </c>
      <c r="F41076">
        <v>7620047</v>
      </c>
      <c r="G41076" t="s">
        <v>16200</v>
      </c>
      <c r="H41076" s="21">
        <v>500</v>
      </c>
    </row>
    <row r="41077" spans="1:8" customFormat="1" x14ac:dyDescent="0.25">
      <c r="A41077" t="str">
        <f>"9B597"</f>
        <v>9B597</v>
      </c>
      <c r="B41077" t="s">
        <v>25762</v>
      </c>
      <c r="C41077" t="s">
        <v>24920</v>
      </c>
      <c r="D41077" s="21" t="s">
        <v>24820</v>
      </c>
      <c r="E41077" s="21" t="s">
        <v>71</v>
      </c>
      <c r="F41077" t="s">
        <v>2653</v>
      </c>
      <c r="G41077" t="s">
        <v>2654</v>
      </c>
      <c r="H41077" s="21">
        <v>500</v>
      </c>
    </row>
    <row r="41078" spans="1:8" customFormat="1" x14ac:dyDescent="0.25">
      <c r="A41078" t="str">
        <f>"367825"</f>
        <v>367825</v>
      </c>
      <c r="B41078" t="s">
        <v>7551</v>
      </c>
      <c r="C41078" t="s">
        <v>24947</v>
      </c>
      <c r="D41078" s="21" t="s">
        <v>24820</v>
      </c>
      <c r="E41078" s="21" t="s">
        <v>35</v>
      </c>
      <c r="F41078">
        <v>4360454</v>
      </c>
      <c r="G41078" t="s">
        <v>637</v>
      </c>
      <c r="H41078" s="21">
        <v>500</v>
      </c>
    </row>
    <row r="41079" spans="1:8" customFormat="1" x14ac:dyDescent="0.25">
      <c r="A41079" t="str">
        <f>"6110756"</f>
        <v>6110756</v>
      </c>
      <c r="B41079" t="s">
        <v>755</v>
      </c>
      <c r="C41079" t="s">
        <v>25512</v>
      </c>
      <c r="D41079" s="21" t="s">
        <v>24820</v>
      </c>
      <c r="E41079" s="21" t="s">
        <v>71</v>
      </c>
      <c r="F41079">
        <v>9610136</v>
      </c>
      <c r="G41079" t="s">
        <v>6052</v>
      </c>
      <c r="H41079" s="21">
        <v>500</v>
      </c>
    </row>
    <row r="41080" spans="1:8" customFormat="1" x14ac:dyDescent="0.25">
      <c r="A41080" t="str">
        <f>"434678"</f>
        <v>434678</v>
      </c>
      <c r="B41080" t="s">
        <v>29886</v>
      </c>
      <c r="C41080" t="s">
        <v>24894</v>
      </c>
      <c r="D41080" s="21" t="s">
        <v>24820</v>
      </c>
      <c r="E41080" s="21" t="s">
        <v>35</v>
      </c>
      <c r="F41080">
        <v>1420291</v>
      </c>
      <c r="G41080" t="s">
        <v>13231</v>
      </c>
      <c r="H41080" s="21">
        <v>500</v>
      </c>
    </row>
    <row r="41081" spans="1:8" customFormat="1" x14ac:dyDescent="0.25">
      <c r="A41081" t="str">
        <f>"3345607"</f>
        <v>3345607</v>
      </c>
      <c r="B41081" t="s">
        <v>1661</v>
      </c>
      <c r="C41081" t="s">
        <v>24897</v>
      </c>
      <c r="D41081" s="21" t="s">
        <v>24820</v>
      </c>
      <c r="E41081" s="21" t="s">
        <v>71</v>
      </c>
      <c r="F41081">
        <v>10330130</v>
      </c>
      <c r="G41081" t="s">
        <v>13867</v>
      </c>
      <c r="H41081" s="21">
        <v>500</v>
      </c>
    </row>
    <row r="41082" spans="1:8" customFormat="1" x14ac:dyDescent="0.25">
      <c r="A41082" t="str">
        <f>"744155"</f>
        <v>744155</v>
      </c>
      <c r="B41082" t="s">
        <v>25792</v>
      </c>
      <c r="C41082" t="s">
        <v>24958</v>
      </c>
      <c r="D41082" s="21" t="s">
        <v>24820</v>
      </c>
      <c r="E41082" s="21" t="s">
        <v>71</v>
      </c>
      <c r="F41082">
        <v>1740045</v>
      </c>
      <c r="G41082" t="s">
        <v>9857</v>
      </c>
      <c r="H41082" s="21">
        <v>500</v>
      </c>
    </row>
    <row r="41083" spans="1:8" customFormat="1" x14ac:dyDescent="0.25">
      <c r="A41083" t="str">
        <f>"4111808"</f>
        <v>4111808</v>
      </c>
      <c r="B41083" t="s">
        <v>29887</v>
      </c>
      <c r="C41083" t="s">
        <v>24943</v>
      </c>
      <c r="D41083" s="21" t="s">
        <v>24820</v>
      </c>
      <c r="E41083" s="21" t="s">
        <v>35</v>
      </c>
      <c r="F41083">
        <v>4410612</v>
      </c>
      <c r="G41083" t="s">
        <v>815</v>
      </c>
      <c r="H41083" s="21">
        <v>500</v>
      </c>
    </row>
    <row r="41084" spans="1:8" customFormat="1" x14ac:dyDescent="0.25">
      <c r="A41084" t="str">
        <f>"5019824"</f>
        <v>5019824</v>
      </c>
      <c r="B41084" t="s">
        <v>2854</v>
      </c>
      <c r="C41084" t="s">
        <v>25608</v>
      </c>
      <c r="D41084" s="21" t="s">
        <v>24820</v>
      </c>
      <c r="E41084" s="21" t="s">
        <v>71</v>
      </c>
      <c r="F41084">
        <v>9500160</v>
      </c>
      <c r="G41084" t="s">
        <v>11418</v>
      </c>
      <c r="H41084" s="21">
        <v>500</v>
      </c>
    </row>
    <row r="41085" spans="1:8" customFormat="1" x14ac:dyDescent="0.25">
      <c r="A41085" t="str">
        <f>"2614798"</f>
        <v>2614798</v>
      </c>
      <c r="B41085" t="s">
        <v>25884</v>
      </c>
      <c r="C41085" t="s">
        <v>25885</v>
      </c>
      <c r="D41085" s="21" t="s">
        <v>24820</v>
      </c>
      <c r="E41085" s="21" t="s">
        <v>71</v>
      </c>
      <c r="F41085">
        <v>1260001</v>
      </c>
      <c r="G41085" t="s">
        <v>16056</v>
      </c>
      <c r="H41085" s="21">
        <v>500</v>
      </c>
    </row>
    <row r="41086" spans="1:8" customFormat="1" x14ac:dyDescent="0.25">
      <c r="A41086" t="str">
        <f>"4937520"</f>
        <v>4937520</v>
      </c>
      <c r="B41086" t="s">
        <v>22743</v>
      </c>
      <c r="C41086" t="s">
        <v>25390</v>
      </c>
      <c r="D41086" s="21" t="s">
        <v>24820</v>
      </c>
      <c r="E41086" s="21" t="s">
        <v>71</v>
      </c>
      <c r="F41086">
        <v>12490069</v>
      </c>
      <c r="G41086" t="s">
        <v>5566</v>
      </c>
      <c r="H41086" s="21">
        <v>500</v>
      </c>
    </row>
    <row r="41087" spans="1:8" customFormat="1" x14ac:dyDescent="0.25">
      <c r="A41087" t="str">
        <f>"7637037"</f>
        <v>7637037</v>
      </c>
      <c r="B41087" t="s">
        <v>7375</v>
      </c>
      <c r="C41087" t="s">
        <v>24881</v>
      </c>
      <c r="D41087" s="21" t="s">
        <v>24820</v>
      </c>
      <c r="E41087" s="21" t="s">
        <v>71</v>
      </c>
      <c r="F41087">
        <v>9760230</v>
      </c>
      <c r="G41087" t="s">
        <v>12511</v>
      </c>
      <c r="H41087" s="21">
        <v>500</v>
      </c>
    </row>
    <row r="41088" spans="1:8" customFormat="1" x14ac:dyDescent="0.25">
      <c r="A41088" t="str">
        <f>"7642408"</f>
        <v>7642408</v>
      </c>
      <c r="B41088" t="s">
        <v>3667</v>
      </c>
      <c r="C41088" t="s">
        <v>25616</v>
      </c>
      <c r="D41088" s="21" t="s">
        <v>24820</v>
      </c>
      <c r="E41088" s="21" t="s">
        <v>35</v>
      </c>
      <c r="F41088">
        <v>9760311</v>
      </c>
      <c r="G41088" t="s">
        <v>3015</v>
      </c>
      <c r="H41088" s="21">
        <v>500</v>
      </c>
    </row>
    <row r="41089" spans="1:8" customFormat="1" x14ac:dyDescent="0.25">
      <c r="A41089" t="str">
        <f>"8520225"</f>
        <v>8520225</v>
      </c>
      <c r="B41089" t="s">
        <v>17596</v>
      </c>
      <c r="C41089" t="s">
        <v>24898</v>
      </c>
      <c r="D41089" s="21" t="s">
        <v>24820</v>
      </c>
      <c r="E41089" s="21" t="s">
        <v>71</v>
      </c>
      <c r="F41089">
        <v>12850069</v>
      </c>
      <c r="G41089" t="s">
        <v>2154</v>
      </c>
      <c r="H41089" s="21">
        <v>500</v>
      </c>
    </row>
    <row r="41090" spans="1:8" customFormat="1" x14ac:dyDescent="0.25">
      <c r="A41090" t="str">
        <f>"5728575"</f>
        <v>5728575</v>
      </c>
      <c r="B41090" t="s">
        <v>23157</v>
      </c>
      <c r="C41090" t="s">
        <v>25864</v>
      </c>
      <c r="D41090" s="21" t="s">
        <v>24820</v>
      </c>
      <c r="E41090" s="21" t="s">
        <v>254</v>
      </c>
      <c r="F41090">
        <v>6570057</v>
      </c>
      <c r="G41090" t="s">
        <v>8333</v>
      </c>
      <c r="H41090" s="21">
        <v>500</v>
      </c>
    </row>
    <row r="41091" spans="1:8" customFormat="1" x14ac:dyDescent="0.25">
      <c r="A41091" t="str">
        <f>"5429634"</f>
        <v>5429634</v>
      </c>
      <c r="B41091" t="s">
        <v>25914</v>
      </c>
      <c r="C41091" t="s">
        <v>25273</v>
      </c>
      <c r="D41091" s="21" t="s">
        <v>24820</v>
      </c>
      <c r="E41091" s="21" t="s">
        <v>1089</v>
      </c>
      <c r="F41091">
        <v>6540194</v>
      </c>
      <c r="G41091" t="s">
        <v>7171</v>
      </c>
      <c r="H41091" s="21">
        <v>500</v>
      </c>
    </row>
    <row r="41092" spans="1:8" customFormat="1" x14ac:dyDescent="0.25">
      <c r="A41092" t="str">
        <f>"188545"</f>
        <v>188545</v>
      </c>
      <c r="B41092" t="s">
        <v>25846</v>
      </c>
      <c r="C41092" t="s">
        <v>25008</v>
      </c>
      <c r="D41092" s="21" t="s">
        <v>24820</v>
      </c>
      <c r="E41092" s="21" t="s">
        <v>254</v>
      </c>
      <c r="F41092">
        <v>4180682</v>
      </c>
      <c r="G41092" t="s">
        <v>5261</v>
      </c>
      <c r="H41092" s="21">
        <v>500</v>
      </c>
    </row>
    <row r="41093" spans="1:8" customFormat="1" x14ac:dyDescent="0.25">
      <c r="A41093" t="str">
        <f>"9246935"</f>
        <v>9246935</v>
      </c>
      <c r="B41093" t="s">
        <v>26019</v>
      </c>
      <c r="C41093" t="s">
        <v>24897</v>
      </c>
      <c r="D41093" s="21" t="s">
        <v>24820</v>
      </c>
      <c r="E41093" s="21" t="s">
        <v>71</v>
      </c>
      <c r="F41093">
        <v>8920067</v>
      </c>
      <c r="G41093" t="s">
        <v>258</v>
      </c>
      <c r="H41093" s="21">
        <v>500</v>
      </c>
    </row>
    <row r="41094" spans="1:8" customFormat="1" x14ac:dyDescent="0.25">
      <c r="A41094" t="str">
        <f>"2216779"</f>
        <v>2216779</v>
      </c>
      <c r="B41094" t="s">
        <v>8739</v>
      </c>
      <c r="C41094" t="s">
        <v>24897</v>
      </c>
      <c r="D41094" s="21" t="s">
        <v>24820</v>
      </c>
      <c r="E41094" s="21" t="s">
        <v>71</v>
      </c>
      <c r="F41094">
        <v>3220087</v>
      </c>
      <c r="G41094" t="s">
        <v>3540</v>
      </c>
      <c r="H41094" s="21">
        <v>500</v>
      </c>
    </row>
    <row r="41095" spans="1:8" customFormat="1" x14ac:dyDescent="0.25">
      <c r="A41095" t="str">
        <f>"7923568"</f>
        <v>7923568</v>
      </c>
      <c r="B41095" t="s">
        <v>13294</v>
      </c>
      <c r="C41095" t="s">
        <v>24854</v>
      </c>
      <c r="D41095" s="21" t="s">
        <v>24820</v>
      </c>
      <c r="E41095" s="21" t="s">
        <v>71</v>
      </c>
      <c r="F41095">
        <v>10790235</v>
      </c>
      <c r="G41095" t="s">
        <v>413</v>
      </c>
      <c r="H41095" s="21">
        <v>500</v>
      </c>
    </row>
    <row r="41096" spans="1:8" customFormat="1" x14ac:dyDescent="0.25">
      <c r="A41096" t="str">
        <f>"1415697"</f>
        <v>1415697</v>
      </c>
      <c r="B41096" t="s">
        <v>25741</v>
      </c>
      <c r="C41096" t="s">
        <v>22831</v>
      </c>
      <c r="D41096" s="21" t="s">
        <v>24820</v>
      </c>
      <c r="E41096" s="21" t="s">
        <v>71</v>
      </c>
      <c r="F41096">
        <v>9140007</v>
      </c>
      <c r="G41096" t="s">
        <v>434</v>
      </c>
      <c r="H41096" s="21">
        <v>500</v>
      </c>
    </row>
    <row r="41097" spans="1:8" customFormat="1" x14ac:dyDescent="0.25">
      <c r="A41097" t="str">
        <f>"418576"</f>
        <v>418576</v>
      </c>
      <c r="B41097" t="s">
        <v>25889</v>
      </c>
      <c r="C41097" t="s">
        <v>24854</v>
      </c>
      <c r="D41097" s="21" t="s">
        <v>24820</v>
      </c>
      <c r="E41097" s="21" t="s">
        <v>71</v>
      </c>
      <c r="F41097">
        <v>4410466</v>
      </c>
      <c r="G41097" t="s">
        <v>678</v>
      </c>
      <c r="H41097" s="21">
        <v>500</v>
      </c>
    </row>
    <row r="41098" spans="1:8" customFormat="1" x14ac:dyDescent="0.25">
      <c r="A41098" t="str">
        <f>"6936681"</f>
        <v>6936681</v>
      </c>
      <c r="B41098" t="s">
        <v>18907</v>
      </c>
      <c r="C41098" t="s">
        <v>25386</v>
      </c>
      <c r="D41098" s="21" t="s">
        <v>24820</v>
      </c>
      <c r="E41098" s="21" t="s">
        <v>1089</v>
      </c>
      <c r="F41098">
        <v>1690147</v>
      </c>
      <c r="G41098" t="s">
        <v>7245</v>
      </c>
      <c r="H41098" s="21">
        <v>500</v>
      </c>
    </row>
    <row r="41099" spans="1:8" customFormat="1" x14ac:dyDescent="0.25">
      <c r="A41099" t="str">
        <f>"9450344"</f>
        <v>9450344</v>
      </c>
      <c r="B41099" t="s">
        <v>5509</v>
      </c>
      <c r="C41099" t="s">
        <v>24867</v>
      </c>
      <c r="D41099" s="21" t="s">
        <v>24820</v>
      </c>
      <c r="E41099" s="21" t="s">
        <v>35</v>
      </c>
      <c r="F41099">
        <v>8940926</v>
      </c>
      <c r="G41099" t="s">
        <v>4065</v>
      </c>
      <c r="H41099" s="21">
        <v>500</v>
      </c>
    </row>
    <row r="41100" spans="1:8" customFormat="1" x14ac:dyDescent="0.25">
      <c r="A41100" t="str">
        <f>"3426352"</f>
        <v>3426352</v>
      </c>
      <c r="B41100" t="s">
        <v>6350</v>
      </c>
      <c r="C41100" t="s">
        <v>25315</v>
      </c>
      <c r="D41100" s="21" t="s">
        <v>24820</v>
      </c>
      <c r="E41100" s="21" t="s">
        <v>35</v>
      </c>
      <c r="F41100">
        <v>11340066</v>
      </c>
      <c r="G41100" t="s">
        <v>8390</v>
      </c>
      <c r="H41100" s="21">
        <v>500</v>
      </c>
    </row>
    <row r="41101" spans="1:8" customFormat="1" x14ac:dyDescent="0.25">
      <c r="A41101" t="str">
        <f>"9D3016"</f>
        <v>9D3016</v>
      </c>
      <c r="B41101" t="s">
        <v>24541</v>
      </c>
      <c r="C41101" t="s">
        <v>25071</v>
      </c>
      <c r="D41101" s="21" t="s">
        <v>24820</v>
      </c>
      <c r="E41101" s="21" t="s">
        <v>35</v>
      </c>
      <c r="F41101" t="s">
        <v>26767</v>
      </c>
      <c r="G41101" t="s">
        <v>26768</v>
      </c>
      <c r="H41101" s="21">
        <v>500</v>
      </c>
    </row>
    <row r="41102" spans="1:8" customFormat="1" x14ac:dyDescent="0.25">
      <c r="A41102" t="str">
        <f>"7631397"</f>
        <v>7631397</v>
      </c>
      <c r="B41102" t="s">
        <v>556</v>
      </c>
      <c r="C41102" t="s">
        <v>24867</v>
      </c>
      <c r="D41102" s="21" t="s">
        <v>24820</v>
      </c>
      <c r="E41102" s="21" t="s">
        <v>71</v>
      </c>
      <c r="F41102">
        <v>9760319</v>
      </c>
      <c r="G41102" t="s">
        <v>3051</v>
      </c>
      <c r="H41102" s="21">
        <v>500</v>
      </c>
    </row>
    <row r="41103" spans="1:8" customFormat="1" x14ac:dyDescent="0.25">
      <c r="A41103" t="str">
        <f>"9W143"</f>
        <v>9W143</v>
      </c>
      <c r="B41103" t="s">
        <v>29888</v>
      </c>
      <c r="C41103" t="s">
        <v>29889</v>
      </c>
      <c r="D41103" s="21" t="s">
        <v>24820</v>
      </c>
      <c r="E41103" s="21" t="s">
        <v>71</v>
      </c>
      <c r="F41103" t="s">
        <v>23027</v>
      </c>
      <c r="G41103" t="s">
        <v>28713</v>
      </c>
      <c r="H41103" s="21">
        <v>500</v>
      </c>
    </row>
    <row r="41104" spans="1:8" customFormat="1" x14ac:dyDescent="0.25">
      <c r="A41104" t="str">
        <f>"7712474"</f>
        <v>7712474</v>
      </c>
      <c r="B41104" t="s">
        <v>3427</v>
      </c>
      <c r="C41104" t="s">
        <v>24877</v>
      </c>
      <c r="D41104" s="21" t="s">
        <v>24820</v>
      </c>
      <c r="E41104" s="21" t="s">
        <v>35</v>
      </c>
      <c r="F41104">
        <v>8770237</v>
      </c>
      <c r="G41104" t="s">
        <v>128</v>
      </c>
      <c r="H41104" s="21">
        <v>500</v>
      </c>
    </row>
    <row r="41105" spans="1:8" customFormat="1" x14ac:dyDescent="0.25">
      <c r="A41105" t="str">
        <f>"6949199"</f>
        <v>6949199</v>
      </c>
      <c r="B41105" t="s">
        <v>29890</v>
      </c>
      <c r="C41105" t="s">
        <v>29891</v>
      </c>
      <c r="D41105" s="21" t="s">
        <v>24820</v>
      </c>
      <c r="E41105" s="21" t="s">
        <v>35</v>
      </c>
      <c r="F41105">
        <v>1690223</v>
      </c>
      <c r="G41105" t="s">
        <v>26579</v>
      </c>
      <c r="H41105" s="21">
        <v>500</v>
      </c>
    </row>
    <row r="41106" spans="1:8" customFormat="1" x14ac:dyDescent="0.25">
      <c r="A41106" t="str">
        <f>"3713092"</f>
        <v>3713092</v>
      </c>
      <c r="B41106" t="s">
        <v>5833</v>
      </c>
      <c r="C41106" t="s">
        <v>23966</v>
      </c>
      <c r="D41106" s="21" t="s">
        <v>24820</v>
      </c>
      <c r="E41106" s="21" t="s">
        <v>254</v>
      </c>
      <c r="F41106">
        <v>4370656</v>
      </c>
      <c r="G41106" t="s">
        <v>1127</v>
      </c>
      <c r="H41106" s="21">
        <v>500</v>
      </c>
    </row>
    <row r="41107" spans="1:8" customFormat="1" x14ac:dyDescent="0.25">
      <c r="A41107" t="str">
        <f>"0115645"</f>
        <v>0115645</v>
      </c>
      <c r="B41107" t="s">
        <v>29892</v>
      </c>
      <c r="C41107" t="s">
        <v>29893</v>
      </c>
      <c r="D41107" s="21" t="s">
        <v>24820</v>
      </c>
      <c r="E41107" s="21" t="s">
        <v>35</v>
      </c>
      <c r="F41107">
        <v>1010034</v>
      </c>
      <c r="G41107" t="s">
        <v>10420</v>
      </c>
      <c r="H41107" s="21">
        <v>500</v>
      </c>
    </row>
    <row r="41108" spans="1:8" customFormat="1" x14ac:dyDescent="0.25">
      <c r="A41108" t="str">
        <f>"4439926"</f>
        <v>4439926</v>
      </c>
      <c r="B41108" t="s">
        <v>29894</v>
      </c>
      <c r="C41108" t="s">
        <v>24840</v>
      </c>
      <c r="D41108" s="21" t="s">
        <v>24820</v>
      </c>
      <c r="E41108" s="21" t="s">
        <v>35</v>
      </c>
      <c r="F41108">
        <v>12440197</v>
      </c>
      <c r="G41108" t="s">
        <v>1101</v>
      </c>
      <c r="H41108" s="21">
        <v>500</v>
      </c>
    </row>
    <row r="41109" spans="1:8" customFormat="1" x14ac:dyDescent="0.25">
      <c r="A41109" t="str">
        <f>"324810"</f>
        <v>324810</v>
      </c>
      <c r="B41109" t="s">
        <v>29895</v>
      </c>
      <c r="C41109" t="s">
        <v>25929</v>
      </c>
      <c r="D41109" s="21" t="s">
        <v>24820</v>
      </c>
      <c r="E41109" s="21" t="s">
        <v>254</v>
      </c>
      <c r="F41109">
        <v>11320005</v>
      </c>
      <c r="G41109" t="s">
        <v>120</v>
      </c>
      <c r="H41109" s="21">
        <v>500</v>
      </c>
    </row>
    <row r="41110" spans="1:8" customFormat="1" x14ac:dyDescent="0.25">
      <c r="A41110" t="str">
        <f>"476232"</f>
        <v>476232</v>
      </c>
      <c r="B41110" t="s">
        <v>21923</v>
      </c>
      <c r="C41110" t="s">
        <v>25118</v>
      </c>
      <c r="D41110" s="21" t="s">
        <v>24820</v>
      </c>
      <c r="E41110" s="21" t="s">
        <v>1089</v>
      </c>
      <c r="F41110">
        <v>10470021</v>
      </c>
      <c r="G41110" t="s">
        <v>1034</v>
      </c>
      <c r="H41110" s="21">
        <v>500</v>
      </c>
    </row>
    <row r="41111" spans="1:8" customFormat="1" x14ac:dyDescent="0.25">
      <c r="A41111" t="str">
        <f>"5978354"</f>
        <v>5978354</v>
      </c>
      <c r="B41111" t="s">
        <v>9700</v>
      </c>
      <c r="C41111" t="s">
        <v>25177</v>
      </c>
      <c r="D41111" s="21" t="s">
        <v>24820</v>
      </c>
      <c r="E41111" s="21" t="s">
        <v>71</v>
      </c>
      <c r="F41111">
        <v>7590120</v>
      </c>
      <c r="G41111" t="s">
        <v>5351</v>
      </c>
      <c r="H41111" s="21">
        <v>500</v>
      </c>
    </row>
    <row r="41112" spans="1:8" customFormat="1" x14ac:dyDescent="0.25">
      <c r="A41112" t="str">
        <f>"9538063"</f>
        <v>9538063</v>
      </c>
      <c r="B41112" t="s">
        <v>2571</v>
      </c>
      <c r="C41112" t="s">
        <v>25019</v>
      </c>
      <c r="D41112" s="21" t="s">
        <v>24820</v>
      </c>
      <c r="E41112" s="21" t="s">
        <v>35</v>
      </c>
      <c r="F41112">
        <v>8951399</v>
      </c>
      <c r="G41112" t="s">
        <v>6745</v>
      </c>
      <c r="H41112" s="21">
        <v>500</v>
      </c>
    </row>
    <row r="41113" spans="1:8" customFormat="1" x14ac:dyDescent="0.25">
      <c r="A41113" t="str">
        <f>"3339685"</f>
        <v>3339685</v>
      </c>
      <c r="B41113" t="s">
        <v>3510</v>
      </c>
      <c r="C41113" t="s">
        <v>24994</v>
      </c>
      <c r="D41113" s="21" t="s">
        <v>24820</v>
      </c>
      <c r="E41113" s="21" t="s">
        <v>71</v>
      </c>
      <c r="F41113">
        <v>10330067</v>
      </c>
      <c r="G41113" t="s">
        <v>125</v>
      </c>
      <c r="H41113" s="21">
        <v>500</v>
      </c>
    </row>
    <row r="41114" spans="1:8" customFormat="1" x14ac:dyDescent="0.25">
      <c r="A41114" t="str">
        <f>"5622481"</f>
        <v>5622481</v>
      </c>
      <c r="B41114" t="s">
        <v>20659</v>
      </c>
      <c r="C41114" t="s">
        <v>24840</v>
      </c>
      <c r="D41114" s="21" t="s">
        <v>24820</v>
      </c>
      <c r="E41114" s="21" t="s">
        <v>35</v>
      </c>
      <c r="F41114">
        <v>3560066</v>
      </c>
      <c r="G41114" t="s">
        <v>1156</v>
      </c>
      <c r="H41114" s="21">
        <v>500</v>
      </c>
    </row>
    <row r="41115" spans="1:8" customFormat="1" x14ac:dyDescent="0.25">
      <c r="A41115" t="str">
        <f>"4440304"</f>
        <v>4440304</v>
      </c>
      <c r="B41115" t="s">
        <v>26055</v>
      </c>
      <c r="C41115" t="s">
        <v>23734</v>
      </c>
      <c r="D41115" s="21" t="s">
        <v>24820</v>
      </c>
      <c r="E41115" s="21" t="s">
        <v>35</v>
      </c>
      <c r="F41115">
        <v>12440058</v>
      </c>
      <c r="G41115" t="s">
        <v>394</v>
      </c>
      <c r="H41115" s="21">
        <v>500</v>
      </c>
    </row>
    <row r="41116" spans="1:8" customFormat="1" x14ac:dyDescent="0.25">
      <c r="A41116" t="str">
        <f>"4457112"</f>
        <v>4457112</v>
      </c>
      <c r="B41116" t="s">
        <v>8634</v>
      </c>
      <c r="C41116" t="s">
        <v>25053</v>
      </c>
      <c r="D41116" s="21" t="s">
        <v>24820</v>
      </c>
      <c r="E41116" s="21" t="s">
        <v>35</v>
      </c>
      <c r="F41116">
        <v>12440218</v>
      </c>
      <c r="G41116" t="s">
        <v>8477</v>
      </c>
      <c r="H41116" s="21">
        <v>500</v>
      </c>
    </row>
    <row r="41117" spans="1:8" customFormat="1" x14ac:dyDescent="0.25">
      <c r="A41117" t="str">
        <f>"9H861"</f>
        <v>9H861</v>
      </c>
      <c r="B41117" t="s">
        <v>23436</v>
      </c>
      <c r="C41117" t="s">
        <v>24927</v>
      </c>
      <c r="D41117" s="21" t="s">
        <v>24820</v>
      </c>
      <c r="E41117" s="21" t="s">
        <v>254</v>
      </c>
      <c r="F41117" t="s">
        <v>23019</v>
      </c>
      <c r="G41117" t="s">
        <v>23020</v>
      </c>
      <c r="H41117" s="21">
        <v>500</v>
      </c>
    </row>
    <row r="41118" spans="1:8" customFormat="1" x14ac:dyDescent="0.25">
      <c r="A41118" t="str">
        <f>"5954076"</f>
        <v>5954076</v>
      </c>
      <c r="B41118" t="s">
        <v>26082</v>
      </c>
      <c r="C41118" t="s">
        <v>22831</v>
      </c>
      <c r="D41118" s="21" t="s">
        <v>24820</v>
      </c>
      <c r="E41118" s="21" t="s">
        <v>35</v>
      </c>
      <c r="F41118">
        <v>7590076</v>
      </c>
      <c r="G41118" t="s">
        <v>6662</v>
      </c>
      <c r="H41118" s="21">
        <v>500</v>
      </c>
    </row>
    <row r="41119" spans="1:8" customFormat="1" x14ac:dyDescent="0.25">
      <c r="A41119" t="str">
        <f>"2214969"</f>
        <v>2214969</v>
      </c>
      <c r="B41119" t="s">
        <v>26307</v>
      </c>
      <c r="C41119" t="s">
        <v>25616</v>
      </c>
      <c r="D41119" s="21" t="s">
        <v>24820</v>
      </c>
      <c r="E41119" s="21" t="s">
        <v>71</v>
      </c>
      <c r="F41119">
        <v>3220048</v>
      </c>
      <c r="G41119" t="s">
        <v>26532</v>
      </c>
      <c r="H41119" s="21">
        <v>500</v>
      </c>
    </row>
    <row r="41120" spans="1:8" customFormat="1" x14ac:dyDescent="0.25">
      <c r="A41120" t="str">
        <f>"9137203"</f>
        <v>9137203</v>
      </c>
      <c r="B41120" t="s">
        <v>7041</v>
      </c>
      <c r="C41120" t="s">
        <v>24988</v>
      </c>
      <c r="D41120" s="21" t="s">
        <v>24820</v>
      </c>
      <c r="E41120" s="21" t="s">
        <v>35</v>
      </c>
      <c r="F41120">
        <v>8910881</v>
      </c>
      <c r="G41120" t="s">
        <v>1300</v>
      </c>
      <c r="H41120" s="21">
        <v>500</v>
      </c>
    </row>
    <row r="41121" spans="1:8" customFormat="1" x14ac:dyDescent="0.25">
      <c r="A41121" t="str">
        <f>"113408"</f>
        <v>113408</v>
      </c>
      <c r="B41121" t="s">
        <v>14487</v>
      </c>
      <c r="C41121" t="s">
        <v>24893</v>
      </c>
      <c r="D41121" s="21" t="s">
        <v>24820</v>
      </c>
      <c r="E41121" s="21" t="s">
        <v>35</v>
      </c>
      <c r="F41121">
        <v>11110028</v>
      </c>
      <c r="G41121" t="s">
        <v>10634</v>
      </c>
      <c r="H41121" s="21">
        <v>500</v>
      </c>
    </row>
    <row r="41122" spans="1:8" customFormat="1" x14ac:dyDescent="0.25">
      <c r="A41122" t="str">
        <f>"4457102"</f>
        <v>4457102</v>
      </c>
      <c r="B41122" t="s">
        <v>11109</v>
      </c>
      <c r="C41122" t="s">
        <v>24915</v>
      </c>
      <c r="D41122" s="21" t="s">
        <v>24820</v>
      </c>
      <c r="E41122" s="21" t="s">
        <v>35</v>
      </c>
      <c r="F41122">
        <v>12440039</v>
      </c>
      <c r="G41122" t="s">
        <v>9650</v>
      </c>
      <c r="H41122" s="21">
        <v>500</v>
      </c>
    </row>
    <row r="41123" spans="1:8" customFormat="1" x14ac:dyDescent="0.25">
      <c r="A41123" t="str">
        <f>"584850"</f>
        <v>584850</v>
      </c>
      <c r="B41123" t="s">
        <v>19177</v>
      </c>
      <c r="C41123" t="s">
        <v>25234</v>
      </c>
      <c r="D41123" s="21" t="s">
        <v>24820</v>
      </c>
      <c r="E41123" s="21" t="s">
        <v>71</v>
      </c>
      <c r="F41123">
        <v>2580031</v>
      </c>
      <c r="G41123" t="s">
        <v>5904</v>
      </c>
      <c r="H41123" s="21">
        <v>500</v>
      </c>
    </row>
    <row r="41124" spans="1:8" customFormat="1" x14ac:dyDescent="0.25">
      <c r="A41124" t="str">
        <f>"6913429"</f>
        <v>6913429</v>
      </c>
      <c r="B41124" t="s">
        <v>4231</v>
      </c>
      <c r="C41124" t="s">
        <v>29896</v>
      </c>
      <c r="D41124" s="21" t="s">
        <v>24820</v>
      </c>
      <c r="E41124" s="21" t="s">
        <v>35</v>
      </c>
      <c r="F41124">
        <v>1690207</v>
      </c>
      <c r="G41124" t="s">
        <v>4232</v>
      </c>
      <c r="H41124" s="21">
        <v>500</v>
      </c>
    </row>
    <row r="41125" spans="1:8" customFormat="1" x14ac:dyDescent="0.25">
      <c r="A41125" t="str">
        <f>"7639429"</f>
        <v>7639429</v>
      </c>
      <c r="B41125" t="s">
        <v>4327</v>
      </c>
      <c r="C41125" t="s">
        <v>26222</v>
      </c>
      <c r="D41125" s="21" t="s">
        <v>24820</v>
      </c>
      <c r="E41125" s="21" t="s">
        <v>35</v>
      </c>
      <c r="F41125">
        <v>9760286</v>
      </c>
      <c r="G41125" t="s">
        <v>11559</v>
      </c>
      <c r="H41125" s="21">
        <v>500</v>
      </c>
    </row>
    <row r="41126" spans="1:8" customFormat="1" x14ac:dyDescent="0.25">
      <c r="A41126" t="str">
        <f>"484123"</f>
        <v>484123</v>
      </c>
      <c r="B41126" t="s">
        <v>26046</v>
      </c>
      <c r="C41126" t="s">
        <v>26047</v>
      </c>
      <c r="D41126" s="21" t="s">
        <v>24820</v>
      </c>
      <c r="E41126" s="21" t="s">
        <v>71</v>
      </c>
      <c r="F41126">
        <v>11480003</v>
      </c>
      <c r="G41126" t="s">
        <v>25868</v>
      </c>
      <c r="H41126" s="21">
        <v>500</v>
      </c>
    </row>
    <row r="41127" spans="1:8" customFormat="1" x14ac:dyDescent="0.25">
      <c r="A41127" t="str">
        <f>"8526549"</f>
        <v>8526549</v>
      </c>
      <c r="B41127" t="s">
        <v>29897</v>
      </c>
      <c r="C41127" t="s">
        <v>24947</v>
      </c>
      <c r="D41127" s="21" t="s">
        <v>24820</v>
      </c>
      <c r="E41127" s="21" t="s">
        <v>35</v>
      </c>
      <c r="F41127">
        <v>12850063</v>
      </c>
      <c r="G41127" t="s">
        <v>10302</v>
      </c>
      <c r="H41127" s="21">
        <v>500</v>
      </c>
    </row>
    <row r="41128" spans="1:8" customFormat="1" x14ac:dyDescent="0.25">
      <c r="A41128" t="str">
        <f>"4440374"</f>
        <v>4440374</v>
      </c>
      <c r="B41128" t="s">
        <v>4124</v>
      </c>
      <c r="C41128" t="s">
        <v>24968</v>
      </c>
      <c r="D41128" s="21" t="s">
        <v>24820</v>
      </c>
      <c r="E41128" s="21" t="s">
        <v>71</v>
      </c>
      <c r="F41128">
        <v>12440116</v>
      </c>
      <c r="G41128" t="s">
        <v>26673</v>
      </c>
      <c r="H41128" s="21">
        <v>500</v>
      </c>
    </row>
    <row r="41129" spans="1:8" customFormat="1" x14ac:dyDescent="0.25">
      <c r="A41129" t="str">
        <f>"9411372"</f>
        <v>9411372</v>
      </c>
      <c r="B41129" t="s">
        <v>12023</v>
      </c>
      <c r="C41129" t="s">
        <v>24994</v>
      </c>
      <c r="D41129" s="21" t="s">
        <v>24820</v>
      </c>
      <c r="E41129" s="21" t="s">
        <v>254</v>
      </c>
      <c r="F41129">
        <v>8940535</v>
      </c>
      <c r="G41129" t="s">
        <v>2628</v>
      </c>
      <c r="H41129" s="21">
        <v>500</v>
      </c>
    </row>
    <row r="41130" spans="1:8" customFormat="1" x14ac:dyDescent="0.25">
      <c r="A41130" t="str">
        <f>"4457107"</f>
        <v>4457107</v>
      </c>
      <c r="B41130" t="s">
        <v>29898</v>
      </c>
      <c r="C41130" t="s">
        <v>25045</v>
      </c>
      <c r="D41130" s="21" t="s">
        <v>24820</v>
      </c>
      <c r="E41130" s="21" t="s">
        <v>35</v>
      </c>
      <c r="F41130">
        <v>12440099</v>
      </c>
      <c r="G41130" t="s">
        <v>11536</v>
      </c>
      <c r="H41130" s="21">
        <v>500</v>
      </c>
    </row>
    <row r="41131" spans="1:8" customFormat="1" x14ac:dyDescent="0.25">
      <c r="A41131" t="str">
        <f>"517798"</f>
        <v>517798</v>
      </c>
      <c r="B41131" t="s">
        <v>2386</v>
      </c>
      <c r="C41131" t="s">
        <v>24931</v>
      </c>
      <c r="D41131" s="21" t="s">
        <v>24820</v>
      </c>
      <c r="E41131" s="21" t="s">
        <v>1089</v>
      </c>
      <c r="F41131">
        <v>6510067</v>
      </c>
      <c r="G41131" t="s">
        <v>19343</v>
      </c>
      <c r="H41131" s="21">
        <v>500</v>
      </c>
    </row>
    <row r="41132" spans="1:8" customFormat="1" x14ac:dyDescent="0.25">
      <c r="A41132" t="str">
        <f>"195175"</f>
        <v>195175</v>
      </c>
      <c r="B41132" t="s">
        <v>1243</v>
      </c>
      <c r="C41132" t="s">
        <v>25227</v>
      </c>
      <c r="D41132" s="21" t="s">
        <v>24820</v>
      </c>
      <c r="E41132" s="21" t="s">
        <v>254</v>
      </c>
      <c r="F41132">
        <v>10190134</v>
      </c>
      <c r="G41132" t="s">
        <v>27150</v>
      </c>
      <c r="H41132" s="21">
        <v>500</v>
      </c>
    </row>
    <row r="41133" spans="1:8" customFormat="1" x14ac:dyDescent="0.25">
      <c r="A41133" t="str">
        <f>"99793"</f>
        <v>99793</v>
      </c>
      <c r="B41133" t="s">
        <v>25875</v>
      </c>
      <c r="C41133" t="s">
        <v>24840</v>
      </c>
      <c r="D41133" s="21" t="s">
        <v>24820</v>
      </c>
      <c r="E41133" s="21" t="s">
        <v>35</v>
      </c>
      <c r="F41133">
        <v>5980004</v>
      </c>
      <c r="G41133" t="s">
        <v>3869</v>
      </c>
      <c r="H41133" s="21">
        <v>500</v>
      </c>
    </row>
    <row r="41134" spans="1:8" customFormat="1" x14ac:dyDescent="0.25">
      <c r="A41134" t="str">
        <f>"557378"</f>
        <v>557378</v>
      </c>
      <c r="B41134" t="s">
        <v>25729</v>
      </c>
      <c r="C41134" t="s">
        <v>24840</v>
      </c>
      <c r="D41134" s="21" t="s">
        <v>24820</v>
      </c>
      <c r="E41134" s="21" t="s">
        <v>254</v>
      </c>
      <c r="F41134">
        <v>6550007</v>
      </c>
      <c r="G41134" t="s">
        <v>1688</v>
      </c>
      <c r="H41134" s="21">
        <v>500</v>
      </c>
    </row>
    <row r="41135" spans="1:8" customFormat="1" x14ac:dyDescent="0.25">
      <c r="A41135" t="str">
        <f>"8312462"</f>
        <v>8312462</v>
      </c>
      <c r="B41135" t="s">
        <v>20246</v>
      </c>
      <c r="C41135" t="s">
        <v>24906</v>
      </c>
      <c r="D41135" s="21" t="s">
        <v>24820</v>
      </c>
      <c r="E41135" s="21" t="s">
        <v>71</v>
      </c>
      <c r="F41135">
        <v>13830088</v>
      </c>
      <c r="G41135" t="s">
        <v>17664</v>
      </c>
      <c r="H41135" s="21">
        <v>500</v>
      </c>
    </row>
    <row r="41136" spans="1:8" customFormat="1" x14ac:dyDescent="0.25">
      <c r="A41136" t="str">
        <f>"154071"</f>
        <v>154071</v>
      </c>
      <c r="B41136" t="s">
        <v>29899</v>
      </c>
      <c r="C41136" t="s">
        <v>24947</v>
      </c>
      <c r="D41136" s="21" t="s">
        <v>24820</v>
      </c>
      <c r="E41136" s="21" t="s">
        <v>35</v>
      </c>
      <c r="F41136">
        <v>1150304</v>
      </c>
      <c r="G41136" t="s">
        <v>5647</v>
      </c>
      <c r="H41136" s="21">
        <v>500</v>
      </c>
    </row>
    <row r="41137" spans="1:8" customFormat="1" x14ac:dyDescent="0.25">
      <c r="A41137" t="str">
        <f>"6231405"</f>
        <v>6231405</v>
      </c>
      <c r="B41137" t="s">
        <v>11024</v>
      </c>
      <c r="C41137" t="s">
        <v>25282</v>
      </c>
      <c r="D41137" s="21" t="s">
        <v>24820</v>
      </c>
      <c r="E41137" s="21" t="s">
        <v>254</v>
      </c>
      <c r="F41137">
        <v>7620005</v>
      </c>
      <c r="G41137" t="s">
        <v>200</v>
      </c>
      <c r="H41137" s="21">
        <v>500</v>
      </c>
    </row>
    <row r="41138" spans="1:8" customFormat="1" x14ac:dyDescent="0.25">
      <c r="A41138" t="str">
        <f>"584086"</f>
        <v>584086</v>
      </c>
      <c r="B41138" t="s">
        <v>517</v>
      </c>
      <c r="C41138" t="s">
        <v>25179</v>
      </c>
      <c r="D41138" s="21" t="s">
        <v>24820</v>
      </c>
      <c r="E41138" s="21" t="s">
        <v>254</v>
      </c>
      <c r="F41138">
        <v>2580042</v>
      </c>
      <c r="G41138" t="s">
        <v>1161</v>
      </c>
      <c r="H41138" s="21">
        <v>500</v>
      </c>
    </row>
    <row r="41139" spans="1:8" customFormat="1" x14ac:dyDescent="0.25">
      <c r="A41139" t="str">
        <f>"0810688"</f>
        <v>0810688</v>
      </c>
      <c r="B41139" t="s">
        <v>17591</v>
      </c>
      <c r="C41139" t="s">
        <v>24890</v>
      </c>
      <c r="D41139" s="21" t="s">
        <v>24820</v>
      </c>
      <c r="E41139" s="21" t="s">
        <v>254</v>
      </c>
      <c r="F41139">
        <v>6080017</v>
      </c>
      <c r="G41139" t="s">
        <v>5023</v>
      </c>
      <c r="H41139" s="21">
        <v>500</v>
      </c>
    </row>
    <row r="41140" spans="1:8" customFormat="1" x14ac:dyDescent="0.25">
      <c r="A41140" t="str">
        <f>"7635410"</f>
        <v>7635410</v>
      </c>
      <c r="B41140" t="s">
        <v>26090</v>
      </c>
      <c r="C41140" t="s">
        <v>24848</v>
      </c>
      <c r="D41140" s="21" t="s">
        <v>24820</v>
      </c>
      <c r="E41140" s="21" t="s">
        <v>35</v>
      </c>
      <c r="F41140">
        <v>9760004</v>
      </c>
      <c r="G41140" t="s">
        <v>56</v>
      </c>
      <c r="H41140" s="21">
        <v>500</v>
      </c>
    </row>
    <row r="41141" spans="1:8" customFormat="1" x14ac:dyDescent="0.25">
      <c r="A41141" t="str">
        <f>"2720750"</f>
        <v>2720750</v>
      </c>
      <c r="B41141" t="s">
        <v>19979</v>
      </c>
      <c r="C41141" t="s">
        <v>24831</v>
      </c>
      <c r="D41141" s="21" t="s">
        <v>24820</v>
      </c>
      <c r="E41141" s="21" t="s">
        <v>254</v>
      </c>
      <c r="F41141">
        <v>9270169</v>
      </c>
      <c r="G41141" t="s">
        <v>6217</v>
      </c>
      <c r="H41141" s="21">
        <v>500</v>
      </c>
    </row>
    <row r="41142" spans="1:8" customFormat="1" x14ac:dyDescent="0.25">
      <c r="A41142" t="str">
        <f>"0618439"</f>
        <v>0618439</v>
      </c>
      <c r="B41142" t="s">
        <v>26287</v>
      </c>
      <c r="C41142" t="s">
        <v>24889</v>
      </c>
      <c r="D41142" s="21" t="s">
        <v>24820</v>
      </c>
      <c r="E41142" s="21" t="s">
        <v>71</v>
      </c>
      <c r="F41142">
        <v>13060031</v>
      </c>
      <c r="G41142" t="s">
        <v>9379</v>
      </c>
      <c r="H41142" s="21">
        <v>500</v>
      </c>
    </row>
    <row r="41143" spans="1:8" customFormat="1" x14ac:dyDescent="0.25">
      <c r="A41143" t="str">
        <f>"59944"</f>
        <v>59944</v>
      </c>
      <c r="B41143" t="s">
        <v>12531</v>
      </c>
      <c r="C41143" t="s">
        <v>25166</v>
      </c>
      <c r="D41143" s="21" t="s">
        <v>24820</v>
      </c>
      <c r="E41143" s="21" t="s">
        <v>1089</v>
      </c>
      <c r="F41143">
        <v>7590058</v>
      </c>
      <c r="G41143" t="s">
        <v>5044</v>
      </c>
      <c r="H41143" s="21">
        <v>500</v>
      </c>
    </row>
    <row r="41144" spans="1:8" customFormat="1" x14ac:dyDescent="0.25">
      <c r="A41144" t="str">
        <f>"7642470"</f>
        <v>7642470</v>
      </c>
      <c r="B41144" t="s">
        <v>29900</v>
      </c>
      <c r="C41144" t="s">
        <v>25178</v>
      </c>
      <c r="D41144" s="21" t="s">
        <v>24820</v>
      </c>
      <c r="E41144" s="21" t="s">
        <v>35</v>
      </c>
      <c r="F41144">
        <v>9760201</v>
      </c>
      <c r="G41144" t="s">
        <v>11358</v>
      </c>
      <c r="H41144" s="21">
        <v>500</v>
      </c>
    </row>
    <row r="41145" spans="1:8" customFormat="1" x14ac:dyDescent="0.25">
      <c r="A41145" t="str">
        <f>"7831758"</f>
        <v>7831758</v>
      </c>
      <c r="B41145" t="s">
        <v>15983</v>
      </c>
      <c r="C41145" t="s">
        <v>25010</v>
      </c>
      <c r="D41145" s="21" t="s">
        <v>24820</v>
      </c>
      <c r="E41145" s="21" t="s">
        <v>71</v>
      </c>
      <c r="F41145">
        <v>8780485</v>
      </c>
      <c r="G41145" t="s">
        <v>1279</v>
      </c>
      <c r="H41145" s="21">
        <v>500</v>
      </c>
    </row>
    <row r="41146" spans="1:8" customFormat="1" x14ac:dyDescent="0.25">
      <c r="A41146" t="str">
        <f>"3832072"</f>
        <v>3832072</v>
      </c>
      <c r="B41146" t="s">
        <v>26026</v>
      </c>
      <c r="C41146" t="s">
        <v>24869</v>
      </c>
      <c r="D41146" s="21" t="s">
        <v>24820</v>
      </c>
      <c r="E41146" s="21" t="s">
        <v>35</v>
      </c>
      <c r="F41146">
        <v>1380236</v>
      </c>
      <c r="G41146" t="s">
        <v>2876</v>
      </c>
      <c r="H41146" s="21">
        <v>500</v>
      </c>
    </row>
    <row r="41147" spans="1:8" customFormat="1" x14ac:dyDescent="0.25">
      <c r="A41147" t="str">
        <f>"374102"</f>
        <v>374102</v>
      </c>
      <c r="B41147" t="s">
        <v>18771</v>
      </c>
      <c r="C41147" t="s">
        <v>24932</v>
      </c>
      <c r="D41147" s="21" t="s">
        <v>24820</v>
      </c>
      <c r="E41147" s="21" t="s">
        <v>254</v>
      </c>
      <c r="F41147">
        <v>4370002</v>
      </c>
      <c r="G41147" t="s">
        <v>112</v>
      </c>
      <c r="H41147" s="21">
        <v>500</v>
      </c>
    </row>
    <row r="41148" spans="1:8" customFormat="1" x14ac:dyDescent="0.25">
      <c r="A41148" t="str">
        <f>"7924670"</f>
        <v>7924670</v>
      </c>
      <c r="B41148" t="s">
        <v>21996</v>
      </c>
      <c r="C41148" t="s">
        <v>25138</v>
      </c>
      <c r="D41148" s="21" t="s">
        <v>24820</v>
      </c>
      <c r="E41148" s="21" t="s">
        <v>35</v>
      </c>
      <c r="F41148">
        <v>10790002</v>
      </c>
      <c r="G41148" t="s">
        <v>6612</v>
      </c>
      <c r="H41148" s="21">
        <v>500</v>
      </c>
    </row>
    <row r="41149" spans="1:8" customFormat="1" x14ac:dyDescent="0.25">
      <c r="A41149" t="str">
        <f>"5620855"</f>
        <v>5620855</v>
      </c>
      <c r="B41149" t="s">
        <v>18954</v>
      </c>
      <c r="C41149" t="s">
        <v>25317</v>
      </c>
      <c r="D41149" s="21" t="s">
        <v>24820</v>
      </c>
      <c r="E41149" s="21" t="s">
        <v>254</v>
      </c>
      <c r="F41149">
        <v>3560066</v>
      </c>
      <c r="G41149" t="s">
        <v>1156</v>
      </c>
      <c r="H41149" s="21">
        <v>500</v>
      </c>
    </row>
    <row r="41150" spans="1:8" customFormat="1" x14ac:dyDescent="0.25">
      <c r="A41150" t="str">
        <f>"5618228"</f>
        <v>5618228</v>
      </c>
      <c r="B41150" t="s">
        <v>22672</v>
      </c>
      <c r="C41150" t="s">
        <v>24943</v>
      </c>
      <c r="D41150" s="21" t="s">
        <v>24820</v>
      </c>
      <c r="E41150" s="21" t="s">
        <v>35</v>
      </c>
      <c r="F41150">
        <v>3560044</v>
      </c>
      <c r="G41150" t="s">
        <v>4890</v>
      </c>
      <c r="H41150" s="21">
        <v>500</v>
      </c>
    </row>
    <row r="41151" spans="1:8" customFormat="1" x14ac:dyDescent="0.25">
      <c r="A41151" t="str">
        <f>"992253"</f>
        <v>992253</v>
      </c>
      <c r="B41151" t="s">
        <v>19678</v>
      </c>
      <c r="C41151" t="s">
        <v>24828</v>
      </c>
      <c r="D41151" s="21" t="s">
        <v>24820</v>
      </c>
      <c r="E41151" s="21" t="s">
        <v>35</v>
      </c>
      <c r="F41151">
        <v>5990009</v>
      </c>
      <c r="G41151" t="s">
        <v>3127</v>
      </c>
      <c r="H41151" s="21">
        <v>500</v>
      </c>
    </row>
    <row r="41152" spans="1:8" customFormat="1" x14ac:dyDescent="0.25">
      <c r="A41152" t="str">
        <f>"5114356"</f>
        <v>5114356</v>
      </c>
      <c r="B41152" t="s">
        <v>29380</v>
      </c>
      <c r="C41152" t="s">
        <v>25044</v>
      </c>
      <c r="D41152" s="21" t="s">
        <v>24820</v>
      </c>
      <c r="E41152" s="21" t="s">
        <v>35</v>
      </c>
      <c r="F41152">
        <v>6510001</v>
      </c>
      <c r="G41152" t="s">
        <v>286</v>
      </c>
      <c r="H41152" s="21">
        <v>500</v>
      </c>
    </row>
    <row r="41153" spans="1:8" customFormat="1" x14ac:dyDescent="0.25">
      <c r="A41153" t="str">
        <f>"9H859"</f>
        <v>9H859</v>
      </c>
      <c r="B41153" t="s">
        <v>25922</v>
      </c>
      <c r="C41153" t="s">
        <v>25923</v>
      </c>
      <c r="D41153" s="21" t="s">
        <v>24820</v>
      </c>
      <c r="E41153" s="21" t="s">
        <v>35</v>
      </c>
      <c r="F41153" t="s">
        <v>23019</v>
      </c>
      <c r="G41153" t="s">
        <v>23020</v>
      </c>
      <c r="H41153" s="21">
        <v>500</v>
      </c>
    </row>
    <row r="41154" spans="1:8" customFormat="1" x14ac:dyDescent="0.25">
      <c r="A41154" t="str">
        <f>"9139435"</f>
        <v>9139435</v>
      </c>
      <c r="B41154" t="s">
        <v>25966</v>
      </c>
      <c r="C41154" t="s">
        <v>24898</v>
      </c>
      <c r="D41154" s="21" t="s">
        <v>24820</v>
      </c>
      <c r="E41154" s="21" t="s">
        <v>1089</v>
      </c>
      <c r="F41154">
        <v>8911083</v>
      </c>
      <c r="G41154" t="s">
        <v>7357</v>
      </c>
      <c r="H41154" s="21">
        <v>500</v>
      </c>
    </row>
    <row r="41155" spans="1:8" customFormat="1" x14ac:dyDescent="0.25">
      <c r="A41155" t="str">
        <f>"044041"</f>
        <v>044041</v>
      </c>
      <c r="B41155" t="s">
        <v>22513</v>
      </c>
      <c r="C41155" t="s">
        <v>24863</v>
      </c>
      <c r="D41155" s="21" t="s">
        <v>24820</v>
      </c>
      <c r="E41155" s="21" t="s">
        <v>35</v>
      </c>
      <c r="F41155">
        <v>13040031</v>
      </c>
      <c r="G41155" t="s">
        <v>15895</v>
      </c>
      <c r="H41155" s="21">
        <v>500</v>
      </c>
    </row>
    <row r="41156" spans="1:8" customFormat="1" x14ac:dyDescent="0.25">
      <c r="A41156" t="str">
        <f>"6233320"</f>
        <v>6233320</v>
      </c>
      <c r="B41156" t="s">
        <v>29901</v>
      </c>
      <c r="C41156" t="s">
        <v>23966</v>
      </c>
      <c r="D41156" s="21" t="s">
        <v>24820</v>
      </c>
      <c r="E41156" s="21" t="s">
        <v>35</v>
      </c>
      <c r="F41156">
        <v>7620150</v>
      </c>
      <c r="G41156" t="s">
        <v>7141</v>
      </c>
      <c r="H41156" s="21">
        <v>500</v>
      </c>
    </row>
    <row r="41157" spans="1:8" customFormat="1" x14ac:dyDescent="0.25">
      <c r="A41157" t="str">
        <f>"0619890"</f>
        <v>0619890</v>
      </c>
      <c r="B41157" t="s">
        <v>26781</v>
      </c>
      <c r="C41157" t="s">
        <v>25008</v>
      </c>
      <c r="D41157" s="21" t="s">
        <v>24820</v>
      </c>
      <c r="E41157" s="21" t="s">
        <v>35</v>
      </c>
      <c r="F41157">
        <v>13060005</v>
      </c>
      <c r="G41157" t="s">
        <v>3609</v>
      </c>
      <c r="H41157" s="21">
        <v>500</v>
      </c>
    </row>
    <row r="41158" spans="1:8" customFormat="1" x14ac:dyDescent="0.25">
      <c r="A41158" t="str">
        <f>"5977560"</f>
        <v>5977560</v>
      </c>
      <c r="B41158" t="s">
        <v>25931</v>
      </c>
      <c r="C41158" t="s">
        <v>24947</v>
      </c>
      <c r="D41158" s="21" t="s">
        <v>24820</v>
      </c>
      <c r="E41158" s="21" t="s">
        <v>71</v>
      </c>
      <c r="F41158">
        <v>7590020</v>
      </c>
      <c r="G41158" t="s">
        <v>5181</v>
      </c>
      <c r="H41158" s="21">
        <v>500</v>
      </c>
    </row>
    <row r="41159" spans="1:8" customFormat="1" x14ac:dyDescent="0.25">
      <c r="A41159" t="str">
        <f>"4457247"</f>
        <v>4457247</v>
      </c>
      <c r="B41159" t="s">
        <v>4516</v>
      </c>
      <c r="C41159" t="s">
        <v>24889</v>
      </c>
      <c r="D41159" s="21" t="s">
        <v>24820</v>
      </c>
      <c r="E41159" s="21" t="s">
        <v>35</v>
      </c>
      <c r="F41159">
        <v>12440097</v>
      </c>
      <c r="G41159" t="s">
        <v>14273</v>
      </c>
      <c r="H41159" s="21">
        <v>500</v>
      </c>
    </row>
    <row r="41160" spans="1:8" customFormat="1" x14ac:dyDescent="0.25">
      <c r="A41160" t="str">
        <f>"7621340"</f>
        <v>7621340</v>
      </c>
      <c r="B41160" t="s">
        <v>208</v>
      </c>
      <c r="C41160" t="s">
        <v>24867</v>
      </c>
      <c r="D41160" s="21" t="s">
        <v>24820</v>
      </c>
      <c r="E41160" s="21" t="s">
        <v>71</v>
      </c>
      <c r="F41160">
        <v>9760004</v>
      </c>
      <c r="G41160" t="s">
        <v>56</v>
      </c>
      <c r="H41160" s="21">
        <v>500</v>
      </c>
    </row>
    <row r="41161" spans="1:8" customFormat="1" x14ac:dyDescent="0.25">
      <c r="A41161" t="str">
        <f>"7218701"</f>
        <v>7218701</v>
      </c>
      <c r="B41161" t="s">
        <v>2469</v>
      </c>
      <c r="C41161" t="s">
        <v>24958</v>
      </c>
      <c r="D41161" s="21" t="s">
        <v>24820</v>
      </c>
      <c r="E41161" s="21" t="s">
        <v>71</v>
      </c>
      <c r="F41161">
        <v>12720016</v>
      </c>
      <c r="G41161" t="s">
        <v>11791</v>
      </c>
      <c r="H41161" s="21">
        <v>500</v>
      </c>
    </row>
    <row r="41162" spans="1:8" customFormat="1" x14ac:dyDescent="0.25">
      <c r="A41162" t="str">
        <f>"4113811"</f>
        <v>4113811</v>
      </c>
      <c r="B41162" t="s">
        <v>4528</v>
      </c>
      <c r="C41162" t="s">
        <v>25145</v>
      </c>
      <c r="D41162" s="21" t="s">
        <v>24820</v>
      </c>
      <c r="E41162" s="21" t="s">
        <v>35</v>
      </c>
      <c r="F41162">
        <v>4410279</v>
      </c>
      <c r="G41162" t="s">
        <v>3499</v>
      </c>
      <c r="H41162" s="21">
        <v>500</v>
      </c>
    </row>
    <row r="41163" spans="1:8" customFormat="1" x14ac:dyDescent="0.25">
      <c r="A41163" t="str">
        <f>"7522198"</f>
        <v>7522198</v>
      </c>
      <c r="B41163" t="s">
        <v>23212</v>
      </c>
      <c r="C41163" t="s">
        <v>24877</v>
      </c>
      <c r="D41163" s="21" t="s">
        <v>24820</v>
      </c>
      <c r="E41163" s="21" t="s">
        <v>71</v>
      </c>
      <c r="F41163">
        <v>8751457</v>
      </c>
      <c r="G41163" t="s">
        <v>23309</v>
      </c>
      <c r="H41163" s="21">
        <v>500</v>
      </c>
    </row>
    <row r="41164" spans="1:8" customFormat="1" x14ac:dyDescent="0.25">
      <c r="A41164" t="str">
        <f>"783866"</f>
        <v>783866</v>
      </c>
      <c r="B41164" t="s">
        <v>13240</v>
      </c>
      <c r="C41164" t="s">
        <v>25274</v>
      </c>
      <c r="D41164" s="21" t="s">
        <v>24820</v>
      </c>
      <c r="E41164" s="21" t="s">
        <v>1089</v>
      </c>
      <c r="F41164">
        <v>3290027</v>
      </c>
      <c r="G41164" t="s">
        <v>6108</v>
      </c>
      <c r="H41164" s="21">
        <v>500</v>
      </c>
    </row>
    <row r="41165" spans="1:8" customFormat="1" x14ac:dyDescent="0.25">
      <c r="A41165" t="str">
        <f>"7881627"</f>
        <v>7881627</v>
      </c>
      <c r="B41165" t="s">
        <v>29902</v>
      </c>
      <c r="C41165" t="s">
        <v>25044</v>
      </c>
      <c r="D41165" s="21" t="s">
        <v>24820</v>
      </c>
      <c r="E41165" s="21" t="s">
        <v>35</v>
      </c>
      <c r="F41165">
        <v>8780568</v>
      </c>
      <c r="G41165" t="s">
        <v>5279</v>
      </c>
      <c r="H41165" s="21">
        <v>500</v>
      </c>
    </row>
    <row r="41166" spans="1:8" customFormat="1" x14ac:dyDescent="0.25">
      <c r="A41166" t="str">
        <f>"7641802"</f>
        <v>7641802</v>
      </c>
      <c r="B41166" t="s">
        <v>26267</v>
      </c>
      <c r="C41166" t="s">
        <v>25274</v>
      </c>
      <c r="D41166" s="21" t="s">
        <v>24820</v>
      </c>
      <c r="E41166" s="21" t="s">
        <v>254</v>
      </c>
      <c r="F41166">
        <v>9760420</v>
      </c>
      <c r="G41166" t="s">
        <v>11290</v>
      </c>
      <c r="H41166" s="21">
        <v>500</v>
      </c>
    </row>
    <row r="41167" spans="1:8" customFormat="1" x14ac:dyDescent="0.25">
      <c r="A41167" t="str">
        <f>"0212323"</f>
        <v>0212323</v>
      </c>
      <c r="B41167" t="s">
        <v>760</v>
      </c>
      <c r="C41167" t="s">
        <v>25772</v>
      </c>
      <c r="D41167" s="21" t="s">
        <v>24820</v>
      </c>
      <c r="E41167" s="21" t="s">
        <v>71</v>
      </c>
      <c r="F41167">
        <v>7020064</v>
      </c>
      <c r="G41167" t="s">
        <v>8396</v>
      </c>
      <c r="H41167" s="21">
        <v>500</v>
      </c>
    </row>
    <row r="41168" spans="1:8" customFormat="1" x14ac:dyDescent="0.25">
      <c r="A41168" t="str">
        <f>"6310033"</f>
        <v>6310033</v>
      </c>
      <c r="B41168" t="s">
        <v>25626</v>
      </c>
      <c r="C41168" t="s">
        <v>25627</v>
      </c>
      <c r="D41168" s="21" t="s">
        <v>24820</v>
      </c>
      <c r="E41168" s="21" t="s">
        <v>71</v>
      </c>
      <c r="F41168">
        <v>1630009</v>
      </c>
      <c r="G41168" t="s">
        <v>6021</v>
      </c>
      <c r="H41168" s="21">
        <v>500</v>
      </c>
    </row>
    <row r="41169" spans="1:8" customFormat="1" x14ac:dyDescent="0.25">
      <c r="A41169" t="str">
        <f>"9233672"</f>
        <v>9233672</v>
      </c>
      <c r="B41169" t="s">
        <v>25857</v>
      </c>
      <c r="C41169" t="s">
        <v>24877</v>
      </c>
      <c r="D41169" s="21" t="s">
        <v>24820</v>
      </c>
      <c r="E41169" s="21" t="s">
        <v>254</v>
      </c>
      <c r="F41169">
        <v>8920063</v>
      </c>
      <c r="G41169" t="s">
        <v>219</v>
      </c>
      <c r="H41169" s="21">
        <v>500</v>
      </c>
    </row>
    <row r="41170" spans="1:8" customFormat="1" x14ac:dyDescent="0.25">
      <c r="A41170" t="str">
        <f>"9D1333"</f>
        <v>9D1333</v>
      </c>
      <c r="B41170" t="s">
        <v>2487</v>
      </c>
      <c r="C41170" t="s">
        <v>24958</v>
      </c>
      <c r="D41170" s="21" t="s">
        <v>24820</v>
      </c>
      <c r="E41170" s="21" t="s">
        <v>254</v>
      </c>
      <c r="F41170" t="s">
        <v>2462</v>
      </c>
      <c r="G41170" t="s">
        <v>2463</v>
      </c>
      <c r="H41170" s="21">
        <v>500</v>
      </c>
    </row>
    <row r="41171" spans="1:8" customFormat="1" x14ac:dyDescent="0.25">
      <c r="A41171" t="str">
        <f>"0611412"</f>
        <v>0611412</v>
      </c>
      <c r="B41171" t="s">
        <v>5077</v>
      </c>
      <c r="C41171" t="s">
        <v>25227</v>
      </c>
      <c r="D41171" s="21" t="s">
        <v>24820</v>
      </c>
      <c r="E41171" s="21" t="s">
        <v>254</v>
      </c>
      <c r="F41171">
        <v>13060102</v>
      </c>
      <c r="G41171" t="s">
        <v>2918</v>
      </c>
      <c r="H41171" s="21">
        <v>500</v>
      </c>
    </row>
    <row r="41172" spans="1:8" customFormat="1" x14ac:dyDescent="0.25">
      <c r="A41172" t="str">
        <f>"415518"</f>
        <v>415518</v>
      </c>
      <c r="B41172" t="s">
        <v>13391</v>
      </c>
      <c r="C41172" t="s">
        <v>29903</v>
      </c>
      <c r="D41172" s="21" t="s">
        <v>24820</v>
      </c>
      <c r="E41172" s="21" t="s">
        <v>71</v>
      </c>
      <c r="F41172">
        <v>4410017</v>
      </c>
      <c r="G41172" t="s">
        <v>2363</v>
      </c>
      <c r="H41172" s="21">
        <v>500</v>
      </c>
    </row>
    <row r="41173" spans="1:8" customFormat="1" x14ac:dyDescent="0.25">
      <c r="A41173" t="str">
        <f>"247083"</f>
        <v>247083</v>
      </c>
      <c r="B41173" t="s">
        <v>18956</v>
      </c>
      <c r="C41173" t="s">
        <v>25506</v>
      </c>
      <c r="D41173" s="21" t="s">
        <v>24820</v>
      </c>
      <c r="E41173" s="21" t="s">
        <v>35</v>
      </c>
      <c r="F41173">
        <v>10240036</v>
      </c>
      <c r="G41173" t="s">
        <v>20814</v>
      </c>
      <c r="H41173" s="21">
        <v>500</v>
      </c>
    </row>
    <row r="41174" spans="1:8" customFormat="1" x14ac:dyDescent="0.25">
      <c r="A41174" t="str">
        <f>"934511"</f>
        <v>934511</v>
      </c>
      <c r="B41174" t="s">
        <v>6310</v>
      </c>
      <c r="C41174" t="s">
        <v>24900</v>
      </c>
      <c r="D41174" s="21" t="s">
        <v>24820</v>
      </c>
      <c r="E41174" s="21" t="s">
        <v>1089</v>
      </c>
      <c r="F41174">
        <v>8930024</v>
      </c>
      <c r="G41174" t="s">
        <v>44</v>
      </c>
      <c r="H41174" s="21">
        <v>500</v>
      </c>
    </row>
    <row r="41175" spans="1:8" customFormat="1" x14ac:dyDescent="0.25">
      <c r="A41175" t="str">
        <f>"2619307"</f>
        <v>2619307</v>
      </c>
      <c r="B41175" t="s">
        <v>13675</v>
      </c>
      <c r="C41175" t="s">
        <v>29904</v>
      </c>
      <c r="D41175" s="21" t="s">
        <v>24820</v>
      </c>
      <c r="E41175" s="21" t="s">
        <v>35</v>
      </c>
      <c r="F41175">
        <v>1260060</v>
      </c>
      <c r="G41175" t="s">
        <v>3403</v>
      </c>
      <c r="H41175" s="21">
        <v>500</v>
      </c>
    </row>
    <row r="41176" spans="1:8" customFormat="1" x14ac:dyDescent="0.25">
      <c r="A41176" t="str">
        <f>"517797"</f>
        <v>517797</v>
      </c>
      <c r="B41176" t="s">
        <v>25737</v>
      </c>
      <c r="C41176" t="s">
        <v>24931</v>
      </c>
      <c r="D41176" s="21" t="s">
        <v>24820</v>
      </c>
      <c r="E41176" s="21" t="s">
        <v>1089</v>
      </c>
      <c r="F41176">
        <v>6510054</v>
      </c>
      <c r="G41176" t="s">
        <v>10062</v>
      </c>
      <c r="H41176" s="21">
        <v>500</v>
      </c>
    </row>
    <row r="41177" spans="1:8" customFormat="1" x14ac:dyDescent="0.25">
      <c r="A41177" t="str">
        <f>"2616804"</f>
        <v>2616804</v>
      </c>
      <c r="B41177" t="s">
        <v>29905</v>
      </c>
      <c r="C41177" t="s">
        <v>25008</v>
      </c>
      <c r="D41177" s="21" t="s">
        <v>24820</v>
      </c>
      <c r="E41177" s="21" t="s">
        <v>254</v>
      </c>
      <c r="F41177">
        <v>1260045</v>
      </c>
      <c r="G41177" t="s">
        <v>401</v>
      </c>
      <c r="H41177" s="21">
        <v>500</v>
      </c>
    </row>
    <row r="41178" spans="1:8" customFormat="1" x14ac:dyDescent="0.25">
      <c r="A41178" t="str">
        <f>"3728042"</f>
        <v>3728042</v>
      </c>
      <c r="B41178" t="s">
        <v>14992</v>
      </c>
      <c r="C41178" t="s">
        <v>24884</v>
      </c>
      <c r="D41178" s="21" t="s">
        <v>24820</v>
      </c>
      <c r="E41178" s="21" t="s">
        <v>35</v>
      </c>
      <c r="F41178">
        <v>4370464</v>
      </c>
      <c r="G41178" t="s">
        <v>5348</v>
      </c>
      <c r="H41178" s="21">
        <v>500</v>
      </c>
    </row>
    <row r="41179" spans="1:8" customFormat="1" x14ac:dyDescent="0.25">
      <c r="A41179" t="str">
        <f>"2939411"</f>
        <v>2939411</v>
      </c>
      <c r="B41179" t="s">
        <v>6195</v>
      </c>
      <c r="C41179" t="s">
        <v>25998</v>
      </c>
      <c r="D41179" s="21" t="s">
        <v>24820</v>
      </c>
      <c r="E41179" s="21" t="s">
        <v>1089</v>
      </c>
      <c r="F41179">
        <v>3290205</v>
      </c>
      <c r="G41179" t="s">
        <v>26882</v>
      </c>
      <c r="H41179" s="21">
        <v>500</v>
      </c>
    </row>
    <row r="41180" spans="1:8" customFormat="1" x14ac:dyDescent="0.25">
      <c r="A41180" t="str">
        <f>"9244941"</f>
        <v>9244941</v>
      </c>
      <c r="B41180" t="s">
        <v>2722</v>
      </c>
      <c r="C41180" t="s">
        <v>25609</v>
      </c>
      <c r="D41180" s="21" t="s">
        <v>24820</v>
      </c>
      <c r="E41180" s="21" t="s">
        <v>35</v>
      </c>
      <c r="F41180">
        <v>8920309</v>
      </c>
      <c r="G41180" t="s">
        <v>1894</v>
      </c>
      <c r="H41180" s="21">
        <v>500</v>
      </c>
    </row>
    <row r="41181" spans="1:8" customFormat="1" x14ac:dyDescent="0.25">
      <c r="A41181" t="str">
        <f>"3530752"</f>
        <v>3530752</v>
      </c>
      <c r="B41181" t="s">
        <v>7241</v>
      </c>
      <c r="C41181" t="s">
        <v>24978</v>
      </c>
      <c r="D41181" s="21" t="s">
        <v>24820</v>
      </c>
      <c r="E41181" s="21" t="s">
        <v>71</v>
      </c>
      <c r="F41181">
        <v>3350066</v>
      </c>
      <c r="G41181" t="s">
        <v>10650</v>
      </c>
      <c r="H41181" s="21">
        <v>500</v>
      </c>
    </row>
    <row r="41182" spans="1:8" customFormat="1" x14ac:dyDescent="0.25">
      <c r="A41182" t="str">
        <f>"5978977"</f>
        <v>5978977</v>
      </c>
      <c r="B41182" t="s">
        <v>628</v>
      </c>
      <c r="C41182" t="s">
        <v>24841</v>
      </c>
      <c r="D41182" s="21" t="s">
        <v>24820</v>
      </c>
      <c r="E41182" s="21" t="s">
        <v>35</v>
      </c>
      <c r="F41182">
        <v>7590027</v>
      </c>
      <c r="G41182" t="s">
        <v>629</v>
      </c>
      <c r="H41182" s="21">
        <v>500</v>
      </c>
    </row>
    <row r="41183" spans="1:8" customFormat="1" x14ac:dyDescent="0.25">
      <c r="A41183" t="str">
        <f>"9537436"</f>
        <v>9537436</v>
      </c>
      <c r="B41183" t="s">
        <v>1604</v>
      </c>
      <c r="C41183" t="s">
        <v>24840</v>
      </c>
      <c r="D41183" s="21" t="s">
        <v>24820</v>
      </c>
      <c r="E41183" s="21" t="s">
        <v>71</v>
      </c>
      <c r="F41183">
        <v>8950974</v>
      </c>
      <c r="G41183" t="s">
        <v>6615</v>
      </c>
      <c r="H41183" s="21">
        <v>500</v>
      </c>
    </row>
    <row r="41184" spans="1:8" customFormat="1" x14ac:dyDescent="0.25">
      <c r="A41184" t="str">
        <f>"7623523"</f>
        <v>7623523</v>
      </c>
      <c r="B41184" t="s">
        <v>9356</v>
      </c>
      <c r="C41184" t="s">
        <v>25188</v>
      </c>
      <c r="D41184" s="21" t="s">
        <v>24820</v>
      </c>
      <c r="E41184" s="21" t="s">
        <v>35</v>
      </c>
      <c r="F41184">
        <v>12850024</v>
      </c>
      <c r="G41184" t="s">
        <v>140</v>
      </c>
      <c r="H41184" s="21">
        <v>500</v>
      </c>
    </row>
    <row r="41185" spans="1:8" customFormat="1" x14ac:dyDescent="0.25">
      <c r="A41185" t="str">
        <f>"324224"</f>
        <v>324224</v>
      </c>
      <c r="B41185" t="s">
        <v>9810</v>
      </c>
      <c r="C41185" t="s">
        <v>26001</v>
      </c>
      <c r="D41185" s="21" t="s">
        <v>24820</v>
      </c>
      <c r="E41185" s="21" t="s">
        <v>35</v>
      </c>
      <c r="F41185">
        <v>11320005</v>
      </c>
      <c r="G41185" t="s">
        <v>120</v>
      </c>
      <c r="H41185" s="21">
        <v>500</v>
      </c>
    </row>
    <row r="41186" spans="1:8" customFormat="1" x14ac:dyDescent="0.25">
      <c r="A41186" t="str">
        <f>"5015441"</f>
        <v>5015441</v>
      </c>
      <c r="B41186" t="s">
        <v>10258</v>
      </c>
      <c r="C41186" t="s">
        <v>29906</v>
      </c>
      <c r="D41186" s="21" t="s">
        <v>24820</v>
      </c>
      <c r="E41186" s="21" t="s">
        <v>35</v>
      </c>
      <c r="F41186">
        <v>9500009</v>
      </c>
      <c r="G41186" t="s">
        <v>2230</v>
      </c>
      <c r="H41186" s="21">
        <v>500</v>
      </c>
    </row>
    <row r="41187" spans="1:8" customFormat="1" x14ac:dyDescent="0.25">
      <c r="A41187" t="str">
        <f>"705624"</f>
        <v>705624</v>
      </c>
      <c r="B41187" t="s">
        <v>26170</v>
      </c>
      <c r="C41187" t="s">
        <v>24906</v>
      </c>
      <c r="D41187" s="21" t="s">
        <v>24820</v>
      </c>
      <c r="E41187" s="21" t="s">
        <v>1089</v>
      </c>
      <c r="F41187">
        <v>2700009</v>
      </c>
      <c r="G41187" t="s">
        <v>2156</v>
      </c>
      <c r="H41187" s="21">
        <v>500</v>
      </c>
    </row>
    <row r="41188" spans="1:8" customFormat="1" x14ac:dyDescent="0.25">
      <c r="A41188" t="str">
        <f>"7640491"</f>
        <v>7640491</v>
      </c>
      <c r="B41188" t="s">
        <v>26165</v>
      </c>
      <c r="C41188" t="s">
        <v>24833</v>
      </c>
      <c r="D41188" s="21" t="s">
        <v>24820</v>
      </c>
      <c r="E41188" s="21" t="s">
        <v>71</v>
      </c>
      <c r="F41188">
        <v>9760320</v>
      </c>
      <c r="G41188" t="s">
        <v>4917</v>
      </c>
      <c r="H41188" s="21">
        <v>500</v>
      </c>
    </row>
    <row r="41189" spans="1:8" customFormat="1" x14ac:dyDescent="0.25">
      <c r="A41189" t="str">
        <f>"808254"</f>
        <v>808254</v>
      </c>
      <c r="B41189" t="s">
        <v>25795</v>
      </c>
      <c r="C41189" t="s">
        <v>25172</v>
      </c>
      <c r="D41189" s="21" t="s">
        <v>24820</v>
      </c>
      <c r="E41189" s="21" t="s">
        <v>254</v>
      </c>
      <c r="F41189">
        <v>7800106</v>
      </c>
      <c r="G41189" t="s">
        <v>2466</v>
      </c>
      <c r="H41189" s="21">
        <v>500</v>
      </c>
    </row>
    <row r="41190" spans="1:8" customFormat="1" x14ac:dyDescent="0.25">
      <c r="A41190" t="str">
        <f>"4432033"</f>
        <v>4432033</v>
      </c>
      <c r="B41190" t="s">
        <v>3406</v>
      </c>
      <c r="C41190" t="s">
        <v>25892</v>
      </c>
      <c r="D41190" s="21" t="s">
        <v>24820</v>
      </c>
      <c r="E41190" s="21" t="s">
        <v>254</v>
      </c>
      <c r="F41190">
        <v>12440151</v>
      </c>
      <c r="G41190" t="s">
        <v>1327</v>
      </c>
      <c r="H41190" s="21">
        <v>500</v>
      </c>
    </row>
    <row r="41191" spans="1:8" customFormat="1" x14ac:dyDescent="0.25">
      <c r="A41191" t="str">
        <f>"9C846"</f>
        <v>9C846</v>
      </c>
      <c r="B41191" t="s">
        <v>25950</v>
      </c>
      <c r="C41191" t="s">
        <v>25490</v>
      </c>
      <c r="D41191" s="21" t="s">
        <v>24820</v>
      </c>
      <c r="E41191" s="21" t="s">
        <v>71</v>
      </c>
      <c r="F41191" t="s">
        <v>22507</v>
      </c>
      <c r="G41191" t="s">
        <v>22508</v>
      </c>
      <c r="H41191" s="21">
        <v>500</v>
      </c>
    </row>
    <row r="41192" spans="1:8" customFormat="1" x14ac:dyDescent="0.25">
      <c r="A41192" t="str">
        <f>"2935495"</f>
        <v>2935495</v>
      </c>
      <c r="B41192" t="s">
        <v>29907</v>
      </c>
      <c r="C41192" t="s">
        <v>24927</v>
      </c>
      <c r="D41192" s="21" t="s">
        <v>24820</v>
      </c>
      <c r="E41192" s="21" t="s">
        <v>71</v>
      </c>
      <c r="F41192">
        <v>3290223</v>
      </c>
      <c r="G41192" t="s">
        <v>2636</v>
      </c>
      <c r="H41192" s="21">
        <v>500</v>
      </c>
    </row>
    <row r="41193" spans="1:8" customFormat="1" x14ac:dyDescent="0.25">
      <c r="A41193" t="str">
        <f>"7731153"</f>
        <v>7731153</v>
      </c>
      <c r="B41193" t="s">
        <v>16793</v>
      </c>
      <c r="C41193" t="s">
        <v>24894</v>
      </c>
      <c r="D41193" s="21" t="s">
        <v>24820</v>
      </c>
      <c r="E41193" s="21" t="s">
        <v>35</v>
      </c>
      <c r="F41193">
        <v>8770202</v>
      </c>
      <c r="G41193" t="s">
        <v>1999</v>
      </c>
      <c r="H41193" s="21">
        <v>500</v>
      </c>
    </row>
    <row r="41194" spans="1:8" customFormat="1" x14ac:dyDescent="0.25">
      <c r="A41194" t="str">
        <f>"4111497"</f>
        <v>4111497</v>
      </c>
      <c r="B41194" t="s">
        <v>26075</v>
      </c>
      <c r="C41194" t="s">
        <v>25088</v>
      </c>
      <c r="D41194" s="21" t="s">
        <v>24820</v>
      </c>
      <c r="E41194" s="21" t="s">
        <v>71</v>
      </c>
      <c r="F41194">
        <v>4410612</v>
      </c>
      <c r="G41194" t="s">
        <v>815</v>
      </c>
      <c r="H41194" s="21">
        <v>500</v>
      </c>
    </row>
    <row r="41195" spans="1:8" customFormat="1" x14ac:dyDescent="0.25">
      <c r="A41195" t="str">
        <f>"7642415"</f>
        <v>7642415</v>
      </c>
      <c r="B41195" t="s">
        <v>29908</v>
      </c>
      <c r="C41195" t="s">
        <v>22831</v>
      </c>
      <c r="D41195" s="21" t="s">
        <v>24820</v>
      </c>
      <c r="E41195" s="21" t="s">
        <v>71</v>
      </c>
      <c r="F41195">
        <v>9760311</v>
      </c>
      <c r="G41195" t="s">
        <v>3015</v>
      </c>
      <c r="H41195" s="21">
        <v>500</v>
      </c>
    </row>
    <row r="41196" spans="1:8" customFormat="1" x14ac:dyDescent="0.25">
      <c r="A41196" t="str">
        <f>"8517057"</f>
        <v>8517057</v>
      </c>
      <c r="B41196" t="s">
        <v>25962</v>
      </c>
      <c r="C41196" t="s">
        <v>25200</v>
      </c>
      <c r="D41196" s="21" t="s">
        <v>24820</v>
      </c>
      <c r="E41196" s="21" t="s">
        <v>71</v>
      </c>
      <c r="F41196">
        <v>12850001</v>
      </c>
      <c r="G41196" t="s">
        <v>1197</v>
      </c>
      <c r="H41196" s="21">
        <v>500</v>
      </c>
    </row>
    <row r="41197" spans="1:8" customFormat="1" x14ac:dyDescent="0.25">
      <c r="A41197" t="str">
        <f>"815204"</f>
        <v>815204</v>
      </c>
      <c r="B41197" t="s">
        <v>26118</v>
      </c>
      <c r="C41197" t="s">
        <v>24947</v>
      </c>
      <c r="D41197" s="21" t="s">
        <v>24820</v>
      </c>
      <c r="E41197" s="21" t="s">
        <v>35</v>
      </c>
      <c r="F41197">
        <v>11810001</v>
      </c>
      <c r="G41197" t="s">
        <v>26998</v>
      </c>
      <c r="H41197" s="21">
        <v>500</v>
      </c>
    </row>
    <row r="41198" spans="1:8" customFormat="1" x14ac:dyDescent="0.25">
      <c r="A41198" t="str">
        <f>"367578"</f>
        <v>367578</v>
      </c>
      <c r="B41198" t="s">
        <v>25797</v>
      </c>
      <c r="C41198" t="s">
        <v>24867</v>
      </c>
      <c r="D41198" s="21" t="s">
        <v>24820</v>
      </c>
      <c r="E41198" s="21" t="s">
        <v>35</v>
      </c>
      <c r="F41198">
        <v>4360729</v>
      </c>
      <c r="G41198" t="s">
        <v>15028</v>
      </c>
      <c r="H41198" s="21">
        <v>500</v>
      </c>
    </row>
    <row r="41199" spans="1:8" customFormat="1" x14ac:dyDescent="0.25">
      <c r="A41199" t="str">
        <f>"3535974"</f>
        <v>3535974</v>
      </c>
      <c r="B41199" t="s">
        <v>23392</v>
      </c>
      <c r="C41199" t="s">
        <v>24867</v>
      </c>
      <c r="D41199" s="21" t="s">
        <v>24820</v>
      </c>
      <c r="E41199" s="21" t="s">
        <v>35</v>
      </c>
      <c r="F41199">
        <v>3350136</v>
      </c>
      <c r="G41199" t="s">
        <v>2773</v>
      </c>
      <c r="H41199" s="21">
        <v>500</v>
      </c>
    </row>
    <row r="41200" spans="1:8" customFormat="1" x14ac:dyDescent="0.25">
      <c r="A41200" t="str">
        <f>"814767"</f>
        <v>814767</v>
      </c>
      <c r="B41200" t="s">
        <v>17875</v>
      </c>
      <c r="C41200" t="s">
        <v>25068</v>
      </c>
      <c r="D41200" s="21" t="s">
        <v>24820</v>
      </c>
      <c r="E41200" s="21" t="s">
        <v>35</v>
      </c>
      <c r="F41200">
        <v>11810001</v>
      </c>
      <c r="G41200" t="s">
        <v>26998</v>
      </c>
      <c r="H41200" s="21">
        <v>500</v>
      </c>
    </row>
    <row r="41201" spans="1:8" customFormat="1" x14ac:dyDescent="0.25">
      <c r="A41201" t="str">
        <f>"273342"</f>
        <v>273342</v>
      </c>
      <c r="B41201" t="s">
        <v>25909</v>
      </c>
      <c r="C41201" t="s">
        <v>24824</v>
      </c>
      <c r="D41201" s="21" t="s">
        <v>24820</v>
      </c>
      <c r="E41201" s="21" t="s">
        <v>1089</v>
      </c>
      <c r="F41201">
        <v>9270126</v>
      </c>
      <c r="G41201" t="s">
        <v>7569</v>
      </c>
      <c r="H41201" s="21">
        <v>500</v>
      </c>
    </row>
    <row r="41202" spans="1:8" customFormat="1" x14ac:dyDescent="0.25">
      <c r="A41202" t="str">
        <f>"8814414"</f>
        <v>8814414</v>
      </c>
      <c r="B41202" t="s">
        <v>623</v>
      </c>
      <c r="C41202" t="s">
        <v>23966</v>
      </c>
      <c r="D41202" s="21" t="s">
        <v>24820</v>
      </c>
      <c r="E41202" s="21" t="s">
        <v>71</v>
      </c>
      <c r="F41202">
        <v>6880049</v>
      </c>
      <c r="G41202" t="s">
        <v>4514</v>
      </c>
      <c r="H41202" s="21">
        <v>500</v>
      </c>
    </row>
    <row r="41203" spans="1:8" customFormat="1" x14ac:dyDescent="0.25">
      <c r="A41203" t="str">
        <f>"3725734"</f>
        <v>3725734</v>
      </c>
      <c r="B41203" t="s">
        <v>10653</v>
      </c>
      <c r="C41203" t="s">
        <v>22831</v>
      </c>
      <c r="D41203" s="21" t="s">
        <v>24820</v>
      </c>
      <c r="E41203" s="21" t="s">
        <v>35</v>
      </c>
      <c r="F41203">
        <v>4370038</v>
      </c>
      <c r="G41203" t="s">
        <v>1045</v>
      </c>
      <c r="H41203" s="21">
        <v>500</v>
      </c>
    </row>
    <row r="41204" spans="1:8" customFormat="1" x14ac:dyDescent="0.25">
      <c r="A41204" t="str">
        <f>"541931"</f>
        <v>541931</v>
      </c>
      <c r="B41204" t="s">
        <v>25666</v>
      </c>
      <c r="C41204" t="s">
        <v>24898</v>
      </c>
      <c r="D41204" s="21" t="s">
        <v>24820</v>
      </c>
      <c r="E41204" s="21" t="s">
        <v>254</v>
      </c>
      <c r="F41204">
        <v>11340007</v>
      </c>
      <c r="G41204" t="s">
        <v>2278</v>
      </c>
      <c r="H41204" s="21">
        <v>500</v>
      </c>
    </row>
    <row r="41205" spans="1:8" customFormat="1" x14ac:dyDescent="0.25">
      <c r="A41205" t="str">
        <f>"6923453"</f>
        <v>6923453</v>
      </c>
      <c r="B41205" t="s">
        <v>4649</v>
      </c>
      <c r="C41205" t="s">
        <v>25996</v>
      </c>
      <c r="D41205" s="21" t="s">
        <v>24820</v>
      </c>
      <c r="E41205" s="21" t="s">
        <v>254</v>
      </c>
      <c r="F41205">
        <v>1690013</v>
      </c>
      <c r="G41205" t="s">
        <v>26900</v>
      </c>
      <c r="H41205" s="21">
        <v>500</v>
      </c>
    </row>
    <row r="41206" spans="1:8" customFormat="1" x14ac:dyDescent="0.25">
      <c r="A41206" t="str">
        <f>"4937196"</f>
        <v>4937196</v>
      </c>
      <c r="B41206" t="s">
        <v>11838</v>
      </c>
      <c r="C41206" t="s">
        <v>25145</v>
      </c>
      <c r="D41206" s="21" t="s">
        <v>24820</v>
      </c>
      <c r="E41206" s="21" t="s">
        <v>35</v>
      </c>
      <c r="F41206">
        <v>12490014</v>
      </c>
      <c r="G41206" t="s">
        <v>8547</v>
      </c>
      <c r="H41206" s="21">
        <v>500</v>
      </c>
    </row>
    <row r="41207" spans="1:8" customFormat="1" x14ac:dyDescent="0.25">
      <c r="A41207" t="str">
        <f>"9537006"</f>
        <v>9537006</v>
      </c>
      <c r="B41207" t="s">
        <v>15218</v>
      </c>
      <c r="C41207" t="s">
        <v>24865</v>
      </c>
      <c r="D41207" s="21" t="s">
        <v>24820</v>
      </c>
      <c r="E41207" s="21" t="s">
        <v>254</v>
      </c>
      <c r="F41207">
        <v>8951411</v>
      </c>
      <c r="G41207" t="s">
        <v>416</v>
      </c>
      <c r="H41207" s="21">
        <v>500</v>
      </c>
    </row>
    <row r="41208" spans="1:8" customFormat="1" x14ac:dyDescent="0.25">
      <c r="A41208" t="str">
        <f>"5981975"</f>
        <v>5981975</v>
      </c>
      <c r="B41208" t="s">
        <v>21485</v>
      </c>
      <c r="C41208" t="s">
        <v>24833</v>
      </c>
      <c r="D41208" s="21" t="s">
        <v>24820</v>
      </c>
      <c r="E41208" s="21" t="s">
        <v>35</v>
      </c>
      <c r="F41208">
        <v>7590021</v>
      </c>
      <c r="G41208" t="s">
        <v>4910</v>
      </c>
      <c r="H41208" s="21">
        <v>500</v>
      </c>
    </row>
    <row r="41209" spans="1:8" customFormat="1" x14ac:dyDescent="0.25">
      <c r="A41209" t="str">
        <f>"152096"</f>
        <v>152096</v>
      </c>
      <c r="B41209" t="s">
        <v>10988</v>
      </c>
      <c r="C41209" t="s">
        <v>23734</v>
      </c>
      <c r="D41209" s="21" t="s">
        <v>24820</v>
      </c>
      <c r="E41209" s="21" t="s">
        <v>71</v>
      </c>
      <c r="F41209">
        <v>1150148</v>
      </c>
      <c r="G41209" t="s">
        <v>7485</v>
      </c>
      <c r="H41209" s="21">
        <v>500</v>
      </c>
    </row>
    <row r="41210" spans="1:8" customFormat="1" x14ac:dyDescent="0.25">
      <c r="A41210" t="str">
        <f>"6722457"</f>
        <v>6722457</v>
      </c>
      <c r="B41210" t="s">
        <v>25850</v>
      </c>
      <c r="C41210" t="s">
        <v>24893</v>
      </c>
      <c r="D41210" s="21" t="s">
        <v>24820</v>
      </c>
      <c r="E41210" s="21" t="s">
        <v>35</v>
      </c>
      <c r="F41210">
        <v>6670003</v>
      </c>
      <c r="G41210" t="s">
        <v>1520</v>
      </c>
      <c r="H41210" s="21">
        <v>500</v>
      </c>
    </row>
    <row r="41211" spans="1:8" customFormat="1" x14ac:dyDescent="0.25">
      <c r="A41211" t="str">
        <f>"388205"</f>
        <v>388205</v>
      </c>
      <c r="B41211" t="s">
        <v>25852</v>
      </c>
      <c r="C41211" t="s">
        <v>24686</v>
      </c>
      <c r="D41211" s="21" t="s">
        <v>24820</v>
      </c>
      <c r="E41211" s="21" t="s">
        <v>254</v>
      </c>
      <c r="F41211">
        <v>1380045</v>
      </c>
      <c r="G41211" t="s">
        <v>2114</v>
      </c>
      <c r="H41211" s="21">
        <v>500</v>
      </c>
    </row>
    <row r="41212" spans="1:8" customFormat="1" x14ac:dyDescent="0.25">
      <c r="A41212" t="str">
        <f>"282310"</f>
        <v>282310</v>
      </c>
      <c r="B41212" t="s">
        <v>29909</v>
      </c>
      <c r="C41212" t="s">
        <v>263</v>
      </c>
      <c r="D41212" s="21" t="s">
        <v>24820</v>
      </c>
      <c r="E41212" s="21" t="s">
        <v>35</v>
      </c>
      <c r="F41212">
        <v>4280004</v>
      </c>
      <c r="G41212" t="s">
        <v>91</v>
      </c>
      <c r="H41212" s="21">
        <v>500</v>
      </c>
    </row>
    <row r="41213" spans="1:8" customFormat="1" x14ac:dyDescent="0.25">
      <c r="A41213" t="str">
        <f>"7222788"</f>
        <v>7222788</v>
      </c>
      <c r="B41213" t="s">
        <v>29910</v>
      </c>
      <c r="C41213" t="s">
        <v>25114</v>
      </c>
      <c r="D41213" s="21" t="s">
        <v>24820</v>
      </c>
      <c r="E41213" s="21" t="s">
        <v>35</v>
      </c>
      <c r="F41213">
        <v>12720009</v>
      </c>
      <c r="G41213" t="s">
        <v>6928</v>
      </c>
      <c r="H41213" s="21">
        <v>500</v>
      </c>
    </row>
    <row r="41214" spans="1:8" customFormat="1" x14ac:dyDescent="0.25">
      <c r="A41214" t="str">
        <f>"7514133"</f>
        <v>7514133</v>
      </c>
      <c r="B41214" t="s">
        <v>9564</v>
      </c>
      <c r="C41214" t="s">
        <v>25033</v>
      </c>
      <c r="D41214" s="21" t="s">
        <v>24820</v>
      </c>
      <c r="E41214" s="21" t="s">
        <v>71</v>
      </c>
      <c r="F41214">
        <v>8751371</v>
      </c>
      <c r="G41214" t="s">
        <v>6605</v>
      </c>
      <c r="H41214" s="21">
        <v>500</v>
      </c>
    </row>
    <row r="41215" spans="1:8" customFormat="1" x14ac:dyDescent="0.25">
      <c r="A41215" t="str">
        <f>"3526476"</f>
        <v>3526476</v>
      </c>
      <c r="B41215" t="s">
        <v>20528</v>
      </c>
      <c r="C41215" t="s">
        <v>24958</v>
      </c>
      <c r="D41215" s="21" t="s">
        <v>24820</v>
      </c>
      <c r="E41215" s="21" t="s">
        <v>71</v>
      </c>
      <c r="F41215">
        <v>3350021</v>
      </c>
      <c r="G41215" t="s">
        <v>1758</v>
      </c>
      <c r="H41215" s="21">
        <v>500</v>
      </c>
    </row>
    <row r="41216" spans="1:8" customFormat="1" x14ac:dyDescent="0.25">
      <c r="A41216" t="str">
        <f>"9A1320"</f>
        <v>9A1320</v>
      </c>
      <c r="B41216" t="s">
        <v>483</v>
      </c>
      <c r="C41216" t="s">
        <v>24904</v>
      </c>
      <c r="D41216" s="21" t="s">
        <v>24820</v>
      </c>
      <c r="E41216" s="21" t="s">
        <v>71</v>
      </c>
      <c r="F41216" t="s">
        <v>2849</v>
      </c>
      <c r="G41216" t="s">
        <v>2850</v>
      </c>
      <c r="H41216" s="21">
        <v>500</v>
      </c>
    </row>
    <row r="41217" spans="1:8" customFormat="1" x14ac:dyDescent="0.25">
      <c r="A41217" t="str">
        <f>"4454770"</f>
        <v>4454770</v>
      </c>
      <c r="B41217" t="s">
        <v>25818</v>
      </c>
      <c r="C41217" t="s">
        <v>24914</v>
      </c>
      <c r="D41217" s="21" t="s">
        <v>24820</v>
      </c>
      <c r="E41217" s="21" t="s">
        <v>71</v>
      </c>
      <c r="F41217">
        <v>12440034</v>
      </c>
      <c r="G41217" t="s">
        <v>10586</v>
      </c>
      <c r="H41217" s="21">
        <v>500</v>
      </c>
    </row>
    <row r="41218" spans="1:8" customFormat="1" x14ac:dyDescent="0.25">
      <c r="A41218" t="str">
        <f>"125294"</f>
        <v>125294</v>
      </c>
      <c r="B41218" t="s">
        <v>4119</v>
      </c>
      <c r="C41218" t="s">
        <v>22831</v>
      </c>
      <c r="D41218" s="21" t="s">
        <v>24820</v>
      </c>
      <c r="E41218" s="21" t="s">
        <v>71</v>
      </c>
      <c r="F41218">
        <v>11120004</v>
      </c>
      <c r="G41218" t="s">
        <v>2311</v>
      </c>
      <c r="H41218" s="21">
        <v>500</v>
      </c>
    </row>
    <row r="41219" spans="1:8" customFormat="1" x14ac:dyDescent="0.25">
      <c r="A41219" t="str">
        <f>"7414887"</f>
        <v>7414887</v>
      </c>
      <c r="B41219" t="s">
        <v>17392</v>
      </c>
      <c r="C41219" t="s">
        <v>24833</v>
      </c>
      <c r="D41219" s="21" t="s">
        <v>24820</v>
      </c>
      <c r="E41219" s="21" t="s">
        <v>35</v>
      </c>
      <c r="F41219">
        <v>1740020</v>
      </c>
      <c r="G41219" t="s">
        <v>881</v>
      </c>
      <c r="H41219" s="21">
        <v>500</v>
      </c>
    </row>
    <row r="41220" spans="1:8" customFormat="1" x14ac:dyDescent="0.25">
      <c r="A41220" t="str">
        <f>"6024405"</f>
        <v>6024405</v>
      </c>
      <c r="B41220" t="s">
        <v>3089</v>
      </c>
      <c r="C41220" t="s">
        <v>23734</v>
      </c>
      <c r="D41220" s="21" t="s">
        <v>24820</v>
      </c>
      <c r="E41220" s="21" t="s">
        <v>71</v>
      </c>
      <c r="F41220">
        <v>7600074</v>
      </c>
      <c r="G41220" t="s">
        <v>1912</v>
      </c>
      <c r="H41220" s="21">
        <v>500</v>
      </c>
    </row>
    <row r="41221" spans="1:8" customFormat="1" x14ac:dyDescent="0.25">
      <c r="A41221" t="str">
        <f>"2715399"</f>
        <v>2715399</v>
      </c>
      <c r="B41221" t="s">
        <v>25793</v>
      </c>
      <c r="C41221" t="s">
        <v>25317</v>
      </c>
      <c r="D41221" s="21" t="s">
        <v>24820</v>
      </c>
      <c r="E41221" s="21" t="s">
        <v>6185</v>
      </c>
      <c r="F41221">
        <v>9270169</v>
      </c>
      <c r="G41221" t="s">
        <v>6217</v>
      </c>
      <c r="H41221" s="21">
        <v>500</v>
      </c>
    </row>
    <row r="41222" spans="1:8" customFormat="1" x14ac:dyDescent="0.25">
      <c r="A41222" t="str">
        <f>"7727670"</f>
        <v>7727670</v>
      </c>
      <c r="B41222" t="s">
        <v>2656</v>
      </c>
      <c r="C41222" t="s">
        <v>25849</v>
      </c>
      <c r="D41222" s="21" t="s">
        <v>24820</v>
      </c>
      <c r="E41222" s="21" t="s">
        <v>254</v>
      </c>
      <c r="F41222">
        <v>8770135</v>
      </c>
      <c r="G41222" t="s">
        <v>26830</v>
      </c>
      <c r="H41222" s="21">
        <v>500</v>
      </c>
    </row>
    <row r="41223" spans="1:8" customFormat="1" x14ac:dyDescent="0.25">
      <c r="A41223" t="str">
        <f>"2219299"</f>
        <v>2219299</v>
      </c>
      <c r="B41223" t="s">
        <v>15832</v>
      </c>
      <c r="C41223" t="s">
        <v>24828</v>
      </c>
      <c r="D41223" s="21" t="s">
        <v>24820</v>
      </c>
      <c r="E41223" s="21" t="s">
        <v>35</v>
      </c>
      <c r="F41223">
        <v>3220007</v>
      </c>
      <c r="G41223" t="s">
        <v>26946</v>
      </c>
      <c r="H41223" s="21">
        <v>500</v>
      </c>
    </row>
    <row r="41224" spans="1:8" customFormat="1" x14ac:dyDescent="0.25">
      <c r="A41224" t="str">
        <f>"9W43"</f>
        <v>9W43</v>
      </c>
      <c r="B41224" t="s">
        <v>19487</v>
      </c>
      <c r="C41224" t="s">
        <v>26077</v>
      </c>
      <c r="D41224" s="21" t="s">
        <v>24820</v>
      </c>
      <c r="E41224" s="21" t="s">
        <v>35</v>
      </c>
      <c r="F41224" t="s">
        <v>23027</v>
      </c>
      <c r="G41224" t="s">
        <v>28713</v>
      </c>
      <c r="H41224" s="21">
        <v>500</v>
      </c>
    </row>
    <row r="41225" spans="1:8" customFormat="1" x14ac:dyDescent="0.25">
      <c r="A41225" t="str">
        <f>"6923173"</f>
        <v>6923173</v>
      </c>
      <c r="B41225" t="s">
        <v>4970</v>
      </c>
      <c r="C41225" t="s">
        <v>25008</v>
      </c>
      <c r="D41225" s="21" t="s">
        <v>24820</v>
      </c>
      <c r="E41225" s="21" t="s">
        <v>71</v>
      </c>
      <c r="F41225">
        <v>1690175</v>
      </c>
      <c r="G41225" t="s">
        <v>410</v>
      </c>
      <c r="H41225" s="21">
        <v>500</v>
      </c>
    </row>
    <row r="41226" spans="1:8" customFormat="1" x14ac:dyDescent="0.25">
      <c r="A41226" t="str">
        <f>"894971"</f>
        <v>894971</v>
      </c>
      <c r="B41226" t="s">
        <v>29911</v>
      </c>
      <c r="C41226" t="s">
        <v>25208</v>
      </c>
      <c r="D41226" s="21" t="s">
        <v>24820</v>
      </c>
      <c r="E41226" s="21" t="s">
        <v>71</v>
      </c>
      <c r="F41226">
        <v>3290081</v>
      </c>
      <c r="G41226" t="s">
        <v>3819</v>
      </c>
      <c r="H41226" s="21">
        <v>500</v>
      </c>
    </row>
    <row r="41227" spans="1:8" customFormat="1" x14ac:dyDescent="0.25">
      <c r="A41227" t="str">
        <f>"413777"</f>
        <v>413777</v>
      </c>
      <c r="B41227" t="s">
        <v>26030</v>
      </c>
      <c r="C41227" t="s">
        <v>24978</v>
      </c>
      <c r="D41227" s="21" t="s">
        <v>24820</v>
      </c>
      <c r="E41227" s="21" t="s">
        <v>254</v>
      </c>
      <c r="F41227">
        <v>4410080</v>
      </c>
      <c r="G41227" t="s">
        <v>135</v>
      </c>
      <c r="H41227" s="21">
        <v>500</v>
      </c>
    </row>
    <row r="41228" spans="1:8" customFormat="1" x14ac:dyDescent="0.25">
      <c r="A41228" t="str">
        <f>"5732567"</f>
        <v>5732567</v>
      </c>
      <c r="B41228" t="s">
        <v>18082</v>
      </c>
      <c r="C41228" t="s">
        <v>29912</v>
      </c>
      <c r="D41228" s="21" t="s">
        <v>24820</v>
      </c>
      <c r="E41228" s="21" t="s">
        <v>35</v>
      </c>
      <c r="F41228">
        <v>6570057</v>
      </c>
      <c r="G41228" t="s">
        <v>8333</v>
      </c>
      <c r="H41228" s="21">
        <v>500</v>
      </c>
    </row>
    <row r="41229" spans="1:8" customFormat="1" x14ac:dyDescent="0.25">
      <c r="A41229" t="str">
        <f>"7924089"</f>
        <v>7924089</v>
      </c>
      <c r="B41229" t="s">
        <v>650</v>
      </c>
      <c r="C41229" t="s">
        <v>24867</v>
      </c>
      <c r="D41229" s="21" t="s">
        <v>24820</v>
      </c>
      <c r="E41229" s="21" t="s">
        <v>35</v>
      </c>
      <c r="F41229">
        <v>10790235</v>
      </c>
      <c r="G41229" t="s">
        <v>413</v>
      </c>
      <c r="H41229" s="21">
        <v>500</v>
      </c>
    </row>
    <row r="41230" spans="1:8" customFormat="1" x14ac:dyDescent="0.25">
      <c r="A41230" t="str">
        <f>"1612447"</f>
        <v>1612447</v>
      </c>
      <c r="B41230" t="s">
        <v>8077</v>
      </c>
      <c r="C41230" t="s">
        <v>24915</v>
      </c>
      <c r="D41230" s="21" t="s">
        <v>24820</v>
      </c>
      <c r="E41230" s="21" t="s">
        <v>35</v>
      </c>
      <c r="F41230">
        <v>10160024</v>
      </c>
      <c r="G41230" t="s">
        <v>511</v>
      </c>
      <c r="H41230" s="21">
        <v>500</v>
      </c>
    </row>
    <row r="41231" spans="1:8" customFormat="1" x14ac:dyDescent="0.25">
      <c r="A41231" t="str">
        <f>"8816765"</f>
        <v>8816765</v>
      </c>
      <c r="B41231" t="s">
        <v>19917</v>
      </c>
      <c r="C41231" t="s">
        <v>24828</v>
      </c>
      <c r="D41231" s="21" t="s">
        <v>24820</v>
      </c>
      <c r="E41231" s="21" t="s">
        <v>35</v>
      </c>
      <c r="F41231">
        <v>6880002</v>
      </c>
      <c r="G41231" t="s">
        <v>501</v>
      </c>
      <c r="H41231" s="21">
        <v>500</v>
      </c>
    </row>
    <row r="41232" spans="1:8" customFormat="1" x14ac:dyDescent="0.25">
      <c r="A41232" t="str">
        <f>"559069"</f>
        <v>559069</v>
      </c>
      <c r="B41232" t="s">
        <v>23803</v>
      </c>
      <c r="C41232" t="s">
        <v>24894</v>
      </c>
      <c r="D41232" s="21" t="s">
        <v>24820</v>
      </c>
      <c r="E41232" s="21" t="s">
        <v>35</v>
      </c>
      <c r="F41232">
        <v>6550003</v>
      </c>
      <c r="G41232" t="s">
        <v>7721</v>
      </c>
      <c r="H41232" s="21">
        <v>500</v>
      </c>
    </row>
    <row r="41233" spans="1:8" customFormat="1" x14ac:dyDescent="0.25">
      <c r="A41233" t="str">
        <f>"4445012"</f>
        <v>4445012</v>
      </c>
      <c r="B41233" t="s">
        <v>29913</v>
      </c>
      <c r="C41233" t="s">
        <v>24914</v>
      </c>
      <c r="D41233" s="21" t="s">
        <v>24820</v>
      </c>
      <c r="E41233" s="21" t="s">
        <v>35</v>
      </c>
      <c r="F41233">
        <v>12440116</v>
      </c>
      <c r="G41233" t="s">
        <v>26673</v>
      </c>
      <c r="H41233" s="21">
        <v>500</v>
      </c>
    </row>
    <row r="41234" spans="1:8" customFormat="1" x14ac:dyDescent="0.25">
      <c r="A41234" t="str">
        <f>"6021765"</f>
        <v>6021765</v>
      </c>
      <c r="B41234" t="s">
        <v>22028</v>
      </c>
      <c r="C41234" t="s">
        <v>24867</v>
      </c>
      <c r="D41234" s="21" t="s">
        <v>24820</v>
      </c>
      <c r="E41234" s="21" t="s">
        <v>71</v>
      </c>
      <c r="F41234">
        <v>7600161</v>
      </c>
      <c r="G41234" t="s">
        <v>6023</v>
      </c>
      <c r="H41234" s="21">
        <v>500</v>
      </c>
    </row>
    <row r="41235" spans="1:8" customFormat="1" x14ac:dyDescent="0.25">
      <c r="A41235" t="str">
        <f>"9D2420"</f>
        <v>9D2420</v>
      </c>
      <c r="B41235" t="s">
        <v>29914</v>
      </c>
      <c r="C41235" t="s">
        <v>24845</v>
      </c>
      <c r="D41235" s="21" t="s">
        <v>24820</v>
      </c>
      <c r="E41235" s="21" t="s">
        <v>35</v>
      </c>
      <c r="F41235" t="s">
        <v>15609</v>
      </c>
      <c r="G41235" t="s">
        <v>15610</v>
      </c>
      <c r="H41235" s="21">
        <v>500</v>
      </c>
    </row>
    <row r="41236" spans="1:8" customFormat="1" x14ac:dyDescent="0.25">
      <c r="A41236" t="str">
        <f>"6023328"</f>
        <v>6023328</v>
      </c>
      <c r="B41236" t="s">
        <v>7020</v>
      </c>
      <c r="C41236" t="s">
        <v>24947</v>
      </c>
      <c r="D41236" s="21" t="s">
        <v>24820</v>
      </c>
      <c r="E41236" s="21" t="s">
        <v>35</v>
      </c>
      <c r="F41236">
        <v>7600004</v>
      </c>
      <c r="G41236" t="s">
        <v>848</v>
      </c>
      <c r="H41236" s="21">
        <v>500</v>
      </c>
    </row>
    <row r="41237" spans="1:8" customFormat="1" x14ac:dyDescent="0.25">
      <c r="A41237" t="str">
        <f>"7411557"</f>
        <v>7411557</v>
      </c>
      <c r="B41237" t="s">
        <v>6678</v>
      </c>
      <c r="C41237" t="s">
        <v>24828</v>
      </c>
      <c r="D41237" s="21" t="s">
        <v>24820</v>
      </c>
      <c r="E41237" s="21" t="s">
        <v>35</v>
      </c>
      <c r="F41237">
        <v>1740057</v>
      </c>
      <c r="G41237" t="s">
        <v>1567</v>
      </c>
      <c r="H41237" s="21">
        <v>500</v>
      </c>
    </row>
    <row r="41238" spans="1:8" customFormat="1" x14ac:dyDescent="0.25">
      <c r="A41238" t="str">
        <f>"9D1976"</f>
        <v>9D1976</v>
      </c>
      <c r="B41238" t="s">
        <v>25819</v>
      </c>
      <c r="C41238" t="s">
        <v>24871</v>
      </c>
      <c r="D41238" s="21" t="s">
        <v>24820</v>
      </c>
      <c r="E41238" s="21" t="s">
        <v>71</v>
      </c>
      <c r="F41238" t="s">
        <v>15609</v>
      </c>
      <c r="G41238" t="s">
        <v>15610</v>
      </c>
      <c r="H41238" s="21">
        <v>500</v>
      </c>
    </row>
    <row r="41239" spans="1:8" customFormat="1" x14ac:dyDescent="0.25">
      <c r="A41239" t="str">
        <f>"7628071"</f>
        <v>7628071</v>
      </c>
      <c r="B41239" t="s">
        <v>4073</v>
      </c>
      <c r="C41239" t="s">
        <v>24932</v>
      </c>
      <c r="D41239" s="21" t="s">
        <v>24820</v>
      </c>
      <c r="E41239" s="21" t="s">
        <v>254</v>
      </c>
      <c r="F41239">
        <v>9760018</v>
      </c>
      <c r="G41239" t="s">
        <v>117</v>
      </c>
      <c r="H41239" s="21">
        <v>500</v>
      </c>
    </row>
    <row r="41240" spans="1:8" customFormat="1" x14ac:dyDescent="0.25">
      <c r="A41240" t="str">
        <f>"146576"</f>
        <v>146576</v>
      </c>
      <c r="B41240" t="s">
        <v>25935</v>
      </c>
      <c r="C41240" t="s">
        <v>25019</v>
      </c>
      <c r="D41240" s="21" t="s">
        <v>24820</v>
      </c>
      <c r="E41240" s="21" t="s">
        <v>35</v>
      </c>
      <c r="F41240">
        <v>9140009</v>
      </c>
      <c r="G41240" t="s">
        <v>3530</v>
      </c>
      <c r="H41240" s="21">
        <v>500</v>
      </c>
    </row>
    <row r="41241" spans="1:8" customFormat="1" x14ac:dyDescent="0.25">
      <c r="A41241" t="str">
        <f>"7917819"</f>
        <v>7917819</v>
      </c>
      <c r="B41241" t="s">
        <v>25910</v>
      </c>
      <c r="C41241" t="s">
        <v>24889</v>
      </c>
      <c r="D41241" s="21" t="s">
        <v>24820</v>
      </c>
      <c r="E41241" s="21" t="s">
        <v>35</v>
      </c>
      <c r="F41241">
        <v>10790011</v>
      </c>
      <c r="G41241" t="s">
        <v>1654</v>
      </c>
      <c r="H41241" s="21">
        <v>500</v>
      </c>
    </row>
    <row r="41242" spans="1:8" customFormat="1" x14ac:dyDescent="0.25">
      <c r="A41242" t="str">
        <f>"124037"</f>
        <v>124037</v>
      </c>
      <c r="B41242" t="s">
        <v>7470</v>
      </c>
      <c r="C41242" t="s">
        <v>24890</v>
      </c>
      <c r="D41242" s="21" t="s">
        <v>24820</v>
      </c>
      <c r="E41242" s="21" t="s">
        <v>71</v>
      </c>
      <c r="F41242">
        <v>11120042</v>
      </c>
      <c r="G41242" t="s">
        <v>16752</v>
      </c>
      <c r="H41242" s="21">
        <v>500</v>
      </c>
    </row>
    <row r="41243" spans="1:8" customFormat="1" x14ac:dyDescent="0.25">
      <c r="A41243" t="str">
        <f>"181393"</f>
        <v>181393</v>
      </c>
      <c r="B41243" t="s">
        <v>25759</v>
      </c>
      <c r="C41243" t="s">
        <v>24939</v>
      </c>
      <c r="D41243" s="21" t="s">
        <v>24820</v>
      </c>
      <c r="E41243" s="21" t="s">
        <v>1089</v>
      </c>
      <c r="F41243">
        <v>4180238</v>
      </c>
      <c r="G41243" t="s">
        <v>7304</v>
      </c>
      <c r="H41243" s="21">
        <v>500</v>
      </c>
    </row>
    <row r="41244" spans="1:8" customFormat="1" x14ac:dyDescent="0.25">
      <c r="A41244" t="str">
        <f>"6112566"</f>
        <v>6112566</v>
      </c>
      <c r="B41244" t="s">
        <v>21313</v>
      </c>
      <c r="C41244" t="s">
        <v>24867</v>
      </c>
      <c r="D41244" s="21" t="s">
        <v>24820</v>
      </c>
      <c r="E41244" s="21" t="s">
        <v>71</v>
      </c>
      <c r="F41244">
        <v>9610135</v>
      </c>
      <c r="G41244" t="s">
        <v>8227</v>
      </c>
      <c r="H41244" s="21">
        <v>500</v>
      </c>
    </row>
    <row r="41245" spans="1:8" customFormat="1" x14ac:dyDescent="0.25">
      <c r="A41245" t="str">
        <f>"9251463"</f>
        <v>9251463</v>
      </c>
      <c r="B41245" t="s">
        <v>29915</v>
      </c>
      <c r="C41245" t="s">
        <v>24865</v>
      </c>
      <c r="D41245" s="21" t="s">
        <v>24820</v>
      </c>
      <c r="E41245" s="21" t="s">
        <v>71</v>
      </c>
      <c r="F41245">
        <v>8921190</v>
      </c>
      <c r="G41245" t="s">
        <v>810</v>
      </c>
      <c r="H41245" s="21">
        <v>500</v>
      </c>
    </row>
    <row r="41246" spans="1:8" customFormat="1" x14ac:dyDescent="0.25">
      <c r="A41246" t="str">
        <f>"5424810"</f>
        <v>5424810</v>
      </c>
      <c r="B41246" t="s">
        <v>2599</v>
      </c>
      <c r="C41246" t="s">
        <v>24937</v>
      </c>
      <c r="D41246" s="21" t="s">
        <v>24820</v>
      </c>
      <c r="E41246" s="21" t="s">
        <v>35</v>
      </c>
      <c r="F41246">
        <v>6540040</v>
      </c>
      <c r="G41246" t="s">
        <v>256</v>
      </c>
      <c r="H41246" s="21">
        <v>500</v>
      </c>
    </row>
    <row r="41247" spans="1:8" customFormat="1" x14ac:dyDescent="0.25">
      <c r="A41247" t="str">
        <f>"3412261"</f>
        <v>3412261</v>
      </c>
      <c r="B41247" t="s">
        <v>25989</v>
      </c>
      <c r="C41247" t="s">
        <v>24828</v>
      </c>
      <c r="D41247" s="21" t="s">
        <v>24820</v>
      </c>
      <c r="E41247" s="21" t="s">
        <v>35</v>
      </c>
      <c r="F41247">
        <v>1030291</v>
      </c>
      <c r="G41247" t="s">
        <v>14963</v>
      </c>
      <c r="H41247" s="21">
        <v>500</v>
      </c>
    </row>
    <row r="41248" spans="1:8" customFormat="1" x14ac:dyDescent="0.25">
      <c r="A41248" t="str">
        <f>"6233246"</f>
        <v>6233246</v>
      </c>
      <c r="B41248" t="s">
        <v>8607</v>
      </c>
      <c r="C41248" t="s">
        <v>24898</v>
      </c>
      <c r="D41248" s="21" t="s">
        <v>24820</v>
      </c>
      <c r="E41248" s="21" t="s">
        <v>254</v>
      </c>
      <c r="F41248">
        <v>7620096</v>
      </c>
      <c r="G41248" t="s">
        <v>5829</v>
      </c>
      <c r="H41248" s="21">
        <v>500</v>
      </c>
    </row>
    <row r="41249" spans="1:8" customFormat="1" x14ac:dyDescent="0.25">
      <c r="A41249" t="str">
        <f>"042134"</f>
        <v>042134</v>
      </c>
      <c r="B41249" t="s">
        <v>25810</v>
      </c>
      <c r="C41249" t="s">
        <v>24931</v>
      </c>
      <c r="D41249" s="21" t="s">
        <v>24820</v>
      </c>
      <c r="E41249" s="21" t="s">
        <v>71</v>
      </c>
      <c r="F41249">
        <v>13040024</v>
      </c>
      <c r="G41249" t="s">
        <v>5900</v>
      </c>
      <c r="H41249" s="21">
        <v>500</v>
      </c>
    </row>
    <row r="41250" spans="1:8" customFormat="1" x14ac:dyDescent="0.25">
      <c r="A41250" t="str">
        <f>"3831651"</f>
        <v>3831651</v>
      </c>
      <c r="B41250" t="s">
        <v>26027</v>
      </c>
      <c r="C41250" t="s">
        <v>23734</v>
      </c>
      <c r="D41250" s="21" t="s">
        <v>24820</v>
      </c>
      <c r="E41250" s="21" t="s">
        <v>35</v>
      </c>
      <c r="F41250">
        <v>1380241</v>
      </c>
      <c r="G41250" t="s">
        <v>2819</v>
      </c>
      <c r="H41250" s="21">
        <v>500</v>
      </c>
    </row>
    <row r="41251" spans="1:8" customFormat="1" x14ac:dyDescent="0.25">
      <c r="A41251" t="str">
        <f>"124584"</f>
        <v>124584</v>
      </c>
      <c r="B41251" t="s">
        <v>24247</v>
      </c>
      <c r="C41251" t="s">
        <v>24881</v>
      </c>
      <c r="D41251" s="21" t="s">
        <v>24820</v>
      </c>
      <c r="E41251" s="21" t="s">
        <v>71</v>
      </c>
      <c r="F41251">
        <v>11120040</v>
      </c>
      <c r="G41251" t="s">
        <v>13830</v>
      </c>
      <c r="H41251" s="21">
        <v>500</v>
      </c>
    </row>
    <row r="41252" spans="1:8" customFormat="1" x14ac:dyDescent="0.25">
      <c r="A41252" t="str">
        <f>"9714805"</f>
        <v>9714805</v>
      </c>
      <c r="B41252" t="s">
        <v>25916</v>
      </c>
      <c r="C41252" t="s">
        <v>25917</v>
      </c>
      <c r="D41252" s="21" t="s">
        <v>24820</v>
      </c>
      <c r="E41252" s="21" t="s">
        <v>71</v>
      </c>
      <c r="F41252" t="s">
        <v>731</v>
      </c>
      <c r="G41252" t="s">
        <v>732</v>
      </c>
      <c r="H41252" s="21">
        <v>500</v>
      </c>
    </row>
    <row r="41253" spans="1:8" customFormat="1" x14ac:dyDescent="0.25">
      <c r="A41253" t="str">
        <f>"5946505"</f>
        <v>5946505</v>
      </c>
      <c r="B41253" t="s">
        <v>20302</v>
      </c>
      <c r="C41253" t="s">
        <v>22831</v>
      </c>
      <c r="D41253" s="21" t="s">
        <v>24820</v>
      </c>
      <c r="E41253" s="21" t="s">
        <v>71</v>
      </c>
      <c r="F41253">
        <v>7590381</v>
      </c>
      <c r="G41253" t="s">
        <v>11048</v>
      </c>
      <c r="H41253" s="21">
        <v>500</v>
      </c>
    </row>
    <row r="41254" spans="1:8" customFormat="1" x14ac:dyDescent="0.25">
      <c r="A41254" t="str">
        <f>"5977653"</f>
        <v>5977653</v>
      </c>
      <c r="B41254" t="s">
        <v>25769</v>
      </c>
      <c r="C41254" t="s">
        <v>263</v>
      </c>
      <c r="D41254" s="21" t="s">
        <v>24820</v>
      </c>
      <c r="E41254" s="21" t="s">
        <v>254</v>
      </c>
      <c r="F41254">
        <v>7590424</v>
      </c>
      <c r="G41254" t="s">
        <v>23256</v>
      </c>
      <c r="H41254" s="21">
        <v>500</v>
      </c>
    </row>
    <row r="41255" spans="1:8" customFormat="1" x14ac:dyDescent="0.25">
      <c r="A41255" t="str">
        <f>"5967342"</f>
        <v>5967342</v>
      </c>
      <c r="B41255" t="s">
        <v>4970</v>
      </c>
      <c r="C41255" t="s">
        <v>25508</v>
      </c>
      <c r="D41255" s="21" t="s">
        <v>24820</v>
      </c>
      <c r="E41255" s="21" t="s">
        <v>35</v>
      </c>
      <c r="F41255">
        <v>7590411</v>
      </c>
      <c r="G41255" t="s">
        <v>4036</v>
      </c>
      <c r="H41255" s="21">
        <v>500</v>
      </c>
    </row>
    <row r="41256" spans="1:8" customFormat="1" x14ac:dyDescent="0.25">
      <c r="A41256" t="str">
        <f>"2617244"</f>
        <v>2617244</v>
      </c>
      <c r="B41256" t="s">
        <v>25771</v>
      </c>
      <c r="C41256" t="s">
        <v>25088</v>
      </c>
      <c r="D41256" s="21" t="s">
        <v>24820</v>
      </c>
      <c r="E41256" s="21" t="s">
        <v>254</v>
      </c>
      <c r="F41256">
        <v>1260010</v>
      </c>
      <c r="G41256" t="s">
        <v>3944</v>
      </c>
      <c r="H41256" s="21">
        <v>500</v>
      </c>
    </row>
    <row r="41257" spans="1:8" customFormat="1" x14ac:dyDescent="0.25">
      <c r="A41257" t="str">
        <f>"3012874"</f>
        <v>3012874</v>
      </c>
      <c r="B41257" t="s">
        <v>25887</v>
      </c>
      <c r="C41257" t="s">
        <v>22831</v>
      </c>
      <c r="D41257" s="21" t="s">
        <v>24820</v>
      </c>
      <c r="E41257" s="21" t="s">
        <v>35</v>
      </c>
      <c r="F41257">
        <v>11300010</v>
      </c>
      <c r="G41257" t="s">
        <v>6282</v>
      </c>
      <c r="H41257" s="21">
        <v>500</v>
      </c>
    </row>
    <row r="41258" spans="1:8" customFormat="1" x14ac:dyDescent="0.25">
      <c r="A41258" t="str">
        <f>"102312"</f>
        <v>102312</v>
      </c>
      <c r="B41258" t="s">
        <v>8882</v>
      </c>
      <c r="C41258" t="s">
        <v>25936</v>
      </c>
      <c r="D41258" s="21" t="s">
        <v>24820</v>
      </c>
      <c r="E41258" s="21" t="s">
        <v>1089</v>
      </c>
      <c r="F41258">
        <v>6100005</v>
      </c>
      <c r="G41258" t="s">
        <v>855</v>
      </c>
      <c r="H41258" s="21">
        <v>500</v>
      </c>
    </row>
    <row r="41259" spans="1:8" customFormat="1" x14ac:dyDescent="0.25">
      <c r="A41259" t="str">
        <f>"1426742"</f>
        <v>1426742</v>
      </c>
      <c r="B41259" t="s">
        <v>1501</v>
      </c>
      <c r="C41259" t="s">
        <v>24894</v>
      </c>
      <c r="D41259" s="21" t="s">
        <v>24820</v>
      </c>
      <c r="E41259" s="21" t="s">
        <v>35</v>
      </c>
      <c r="F41259">
        <v>9140231</v>
      </c>
      <c r="G41259" t="s">
        <v>5392</v>
      </c>
      <c r="H41259" s="21">
        <v>500</v>
      </c>
    </row>
    <row r="41260" spans="1:8" customFormat="1" x14ac:dyDescent="0.25">
      <c r="A41260" t="str">
        <f>"186605"</f>
        <v>186605</v>
      </c>
      <c r="B41260" t="s">
        <v>431</v>
      </c>
      <c r="C41260" t="s">
        <v>24881</v>
      </c>
      <c r="D41260" s="21" t="s">
        <v>24820</v>
      </c>
      <c r="E41260" s="21" t="s">
        <v>71</v>
      </c>
      <c r="F41260">
        <v>4180486</v>
      </c>
      <c r="G41260" t="s">
        <v>5295</v>
      </c>
      <c r="H41260" s="21">
        <v>500</v>
      </c>
    </row>
    <row r="41261" spans="1:8" customFormat="1" x14ac:dyDescent="0.25">
      <c r="A41261" t="str">
        <f>"7923917"</f>
        <v>7923917</v>
      </c>
      <c r="B41261" t="s">
        <v>392</v>
      </c>
      <c r="C41261" t="s">
        <v>25765</v>
      </c>
      <c r="D41261" s="21" t="s">
        <v>24820</v>
      </c>
      <c r="E41261" s="21" t="s">
        <v>35</v>
      </c>
      <c r="F41261">
        <v>10790229</v>
      </c>
      <c r="G41261" t="s">
        <v>27165</v>
      </c>
      <c r="H41261" s="21">
        <v>500</v>
      </c>
    </row>
    <row r="41262" spans="1:8" customFormat="1" x14ac:dyDescent="0.25">
      <c r="A41262" t="str">
        <f>"0618853"</f>
        <v>0618853</v>
      </c>
      <c r="B41262" t="s">
        <v>22610</v>
      </c>
      <c r="C41262" t="s">
        <v>29916</v>
      </c>
      <c r="D41262" s="21" t="s">
        <v>24820</v>
      </c>
      <c r="E41262" s="21" t="s">
        <v>35</v>
      </c>
      <c r="F41262">
        <v>13060117</v>
      </c>
      <c r="G41262" t="s">
        <v>22821</v>
      </c>
      <c r="H41262" s="21">
        <v>500</v>
      </c>
    </row>
    <row r="41263" spans="1:8" customFormat="1" x14ac:dyDescent="0.25">
      <c r="A41263" t="str">
        <f>"8819021"</f>
        <v>8819021</v>
      </c>
      <c r="B41263" t="s">
        <v>3519</v>
      </c>
      <c r="C41263" t="s">
        <v>24978</v>
      </c>
      <c r="D41263" s="21" t="s">
        <v>24820</v>
      </c>
      <c r="E41263" s="21" t="s">
        <v>254</v>
      </c>
      <c r="F41263">
        <v>6880146</v>
      </c>
      <c r="G41263" t="s">
        <v>3520</v>
      </c>
      <c r="H41263" s="21">
        <v>500</v>
      </c>
    </row>
    <row r="41264" spans="1:8" customFormat="1" x14ac:dyDescent="0.25">
      <c r="A41264" t="str">
        <f>"4428993"</f>
        <v>4428993</v>
      </c>
      <c r="B41264" t="s">
        <v>18901</v>
      </c>
      <c r="C41264" t="s">
        <v>25011</v>
      </c>
      <c r="D41264" s="21" t="s">
        <v>24820</v>
      </c>
      <c r="E41264" s="21" t="s">
        <v>1089</v>
      </c>
      <c r="F41264">
        <v>12440031</v>
      </c>
      <c r="G41264" t="s">
        <v>3603</v>
      </c>
      <c r="H41264" s="21">
        <v>500</v>
      </c>
    </row>
    <row r="41265" spans="1:8" customFormat="1" x14ac:dyDescent="0.25">
      <c r="A41265" t="str">
        <f>"434366"</f>
        <v>434366</v>
      </c>
      <c r="B41265" t="s">
        <v>1737</v>
      </c>
      <c r="C41265" t="s">
        <v>22831</v>
      </c>
      <c r="D41265" s="21" t="s">
        <v>24820</v>
      </c>
      <c r="E41265" s="21" t="s">
        <v>71</v>
      </c>
      <c r="F41265">
        <v>1420305</v>
      </c>
      <c r="G41265" t="s">
        <v>13520</v>
      </c>
      <c r="H41265" s="21">
        <v>500</v>
      </c>
    </row>
    <row r="41266" spans="1:8" customFormat="1" x14ac:dyDescent="0.25">
      <c r="A41266" t="str">
        <f>"8019225"</f>
        <v>8019225</v>
      </c>
      <c r="B41266" t="s">
        <v>14206</v>
      </c>
      <c r="C41266" t="s">
        <v>24863</v>
      </c>
      <c r="D41266" s="21" t="s">
        <v>24820</v>
      </c>
      <c r="E41266" s="21" t="s">
        <v>71</v>
      </c>
      <c r="F41266">
        <v>7800074</v>
      </c>
      <c r="G41266" t="s">
        <v>7104</v>
      </c>
      <c r="H41266" s="21">
        <v>500</v>
      </c>
    </row>
    <row r="41267" spans="1:8" customFormat="1" x14ac:dyDescent="0.25">
      <c r="A41267" t="str">
        <f>"688077"</f>
        <v>688077</v>
      </c>
      <c r="B41267" t="s">
        <v>25853</v>
      </c>
      <c r="C41267" t="s">
        <v>24852</v>
      </c>
      <c r="D41267" s="21" t="s">
        <v>24820</v>
      </c>
      <c r="E41267" s="21" t="s">
        <v>1089</v>
      </c>
      <c r="F41267">
        <v>6680130</v>
      </c>
      <c r="G41267" t="s">
        <v>26772</v>
      </c>
      <c r="H41267" s="21">
        <v>500</v>
      </c>
    </row>
    <row r="41268" spans="1:8" customFormat="1" x14ac:dyDescent="0.25">
      <c r="A41268" t="str">
        <f>"5967343"</f>
        <v>5967343</v>
      </c>
      <c r="B41268" t="s">
        <v>29917</v>
      </c>
      <c r="C41268" t="s">
        <v>24854</v>
      </c>
      <c r="D41268" s="21" t="s">
        <v>24820</v>
      </c>
      <c r="E41268" s="21" t="s">
        <v>71</v>
      </c>
      <c r="F41268">
        <v>7590411</v>
      </c>
      <c r="G41268" t="s">
        <v>4036</v>
      </c>
      <c r="H41268" s="21">
        <v>500</v>
      </c>
    </row>
    <row r="41269" spans="1:8" customFormat="1" x14ac:dyDescent="0.25">
      <c r="A41269" t="str">
        <f>"6946582"</f>
        <v>6946582</v>
      </c>
      <c r="B41269" t="s">
        <v>25955</v>
      </c>
      <c r="C41269" t="s">
        <v>25045</v>
      </c>
      <c r="D41269" s="21" t="s">
        <v>24820</v>
      </c>
      <c r="E41269" s="21" t="s">
        <v>1089</v>
      </c>
      <c r="F41269">
        <v>1690014</v>
      </c>
      <c r="G41269" t="s">
        <v>8728</v>
      </c>
      <c r="H41269" s="21">
        <v>500</v>
      </c>
    </row>
    <row r="41270" spans="1:8" customFormat="1" x14ac:dyDescent="0.25">
      <c r="A41270" t="str">
        <f>"991226"</f>
        <v>991226</v>
      </c>
      <c r="B41270" t="s">
        <v>4355</v>
      </c>
      <c r="C41270" t="s">
        <v>24888</v>
      </c>
      <c r="D41270" s="21" t="s">
        <v>24820</v>
      </c>
      <c r="E41270" s="21" t="s">
        <v>71</v>
      </c>
      <c r="F41270">
        <v>1630249</v>
      </c>
      <c r="G41270" t="s">
        <v>1237</v>
      </c>
      <c r="H41270" s="21">
        <v>500</v>
      </c>
    </row>
    <row r="41271" spans="1:8" customFormat="1" x14ac:dyDescent="0.25">
      <c r="A41271" t="str">
        <f>"1314935"</f>
        <v>1314935</v>
      </c>
      <c r="B41271" t="s">
        <v>16268</v>
      </c>
      <c r="C41271" t="s">
        <v>24828</v>
      </c>
      <c r="D41271" s="21" t="s">
        <v>24820</v>
      </c>
      <c r="E41271" s="21" t="s">
        <v>35</v>
      </c>
      <c r="F41271">
        <v>13130148</v>
      </c>
      <c r="G41271" t="s">
        <v>12894</v>
      </c>
      <c r="H41271" s="21">
        <v>500</v>
      </c>
    </row>
    <row r="41272" spans="1:8" customFormat="1" x14ac:dyDescent="0.25">
      <c r="A41272" t="str">
        <f>"5620071"</f>
        <v>5620071</v>
      </c>
      <c r="B41272" t="s">
        <v>29918</v>
      </c>
      <c r="C41272" t="s">
        <v>24898</v>
      </c>
      <c r="D41272" s="21" t="s">
        <v>24820</v>
      </c>
      <c r="E41272" s="21" t="s">
        <v>35</v>
      </c>
      <c r="F41272">
        <v>3560019</v>
      </c>
      <c r="G41272" t="s">
        <v>13051</v>
      </c>
      <c r="H41272" s="21">
        <v>500</v>
      </c>
    </row>
    <row r="41273" spans="1:8" customFormat="1" x14ac:dyDescent="0.25">
      <c r="A41273" t="str">
        <f>"588573"</f>
        <v>588573</v>
      </c>
      <c r="B41273" t="s">
        <v>6856</v>
      </c>
      <c r="C41273" t="s">
        <v>24867</v>
      </c>
      <c r="D41273" s="21" t="s">
        <v>24820</v>
      </c>
      <c r="E41273" s="21" t="s">
        <v>71</v>
      </c>
      <c r="F41273">
        <v>2580089</v>
      </c>
      <c r="G41273" t="s">
        <v>15805</v>
      </c>
      <c r="H41273" s="21">
        <v>500</v>
      </c>
    </row>
    <row r="41274" spans="1:8" customFormat="1" x14ac:dyDescent="0.25">
      <c r="A41274" t="str">
        <f>"6725648"</f>
        <v>6725648</v>
      </c>
      <c r="B41274" t="s">
        <v>1454</v>
      </c>
      <c r="C41274" t="s">
        <v>29919</v>
      </c>
      <c r="D41274" s="21" t="s">
        <v>24820</v>
      </c>
      <c r="E41274" s="21" t="s">
        <v>35</v>
      </c>
      <c r="F41274">
        <v>6670064</v>
      </c>
      <c r="G41274" t="s">
        <v>9358</v>
      </c>
      <c r="H41274" s="21">
        <v>500</v>
      </c>
    </row>
    <row r="41275" spans="1:8" customFormat="1" x14ac:dyDescent="0.25">
      <c r="A41275" t="str">
        <f>"9146347"</f>
        <v>9146347</v>
      </c>
      <c r="B41275" t="s">
        <v>25983</v>
      </c>
      <c r="C41275" t="s">
        <v>24927</v>
      </c>
      <c r="D41275" s="21" t="s">
        <v>24820</v>
      </c>
      <c r="E41275" s="21" t="s">
        <v>254</v>
      </c>
      <c r="F41275">
        <v>8910500</v>
      </c>
      <c r="G41275" t="s">
        <v>23437</v>
      </c>
      <c r="H41275" s="21">
        <v>500</v>
      </c>
    </row>
    <row r="41276" spans="1:8" customFormat="1" x14ac:dyDescent="0.25">
      <c r="A41276" t="str">
        <f>"6949198"</f>
        <v>6949198</v>
      </c>
      <c r="B41276" t="s">
        <v>29920</v>
      </c>
      <c r="C41276" t="s">
        <v>24947</v>
      </c>
      <c r="D41276" s="21" t="s">
        <v>24820</v>
      </c>
      <c r="E41276" s="21" t="s">
        <v>35</v>
      </c>
      <c r="F41276">
        <v>1690138</v>
      </c>
      <c r="G41276" t="s">
        <v>18533</v>
      </c>
      <c r="H41276" s="21">
        <v>500</v>
      </c>
    </row>
    <row r="41277" spans="1:8" customFormat="1" x14ac:dyDescent="0.25">
      <c r="A41277" t="str">
        <f>"813925"</f>
        <v>813925</v>
      </c>
      <c r="B41277" t="s">
        <v>14451</v>
      </c>
      <c r="C41277" t="s">
        <v>24881</v>
      </c>
      <c r="D41277" s="21" t="s">
        <v>24820</v>
      </c>
      <c r="E41277" s="21" t="s">
        <v>71</v>
      </c>
      <c r="F41277">
        <v>11810001</v>
      </c>
      <c r="G41277" t="s">
        <v>26998</v>
      </c>
      <c r="H41277" s="21">
        <v>500</v>
      </c>
    </row>
    <row r="41278" spans="1:8" customFormat="1" x14ac:dyDescent="0.25">
      <c r="A41278" t="str">
        <f>"9318450"</f>
        <v>9318450</v>
      </c>
      <c r="B41278" t="s">
        <v>6042</v>
      </c>
      <c r="C41278" t="s">
        <v>24898</v>
      </c>
      <c r="D41278" s="21" t="s">
        <v>24820</v>
      </c>
      <c r="E41278" s="21" t="s">
        <v>71</v>
      </c>
      <c r="F41278">
        <v>8930113</v>
      </c>
      <c r="G41278" t="s">
        <v>368</v>
      </c>
      <c r="H41278" s="21">
        <v>500</v>
      </c>
    </row>
    <row r="41279" spans="1:8" customFormat="1" x14ac:dyDescent="0.25">
      <c r="A41279" t="str">
        <f>"3831901"</f>
        <v>3831901</v>
      </c>
      <c r="B41279" t="s">
        <v>25956</v>
      </c>
      <c r="C41279" t="s">
        <v>22831</v>
      </c>
      <c r="D41279" s="21" t="s">
        <v>24820</v>
      </c>
      <c r="E41279" s="21" t="s">
        <v>71</v>
      </c>
      <c r="F41279">
        <v>1380199</v>
      </c>
      <c r="G41279" t="s">
        <v>321</v>
      </c>
      <c r="H41279" s="21">
        <v>500</v>
      </c>
    </row>
    <row r="41280" spans="1:8" customFormat="1" x14ac:dyDescent="0.25">
      <c r="A41280" t="str">
        <f>"4936624"</f>
        <v>4936624</v>
      </c>
      <c r="B41280" t="s">
        <v>18076</v>
      </c>
      <c r="C41280" t="s">
        <v>24833</v>
      </c>
      <c r="D41280" s="21" t="s">
        <v>24820</v>
      </c>
      <c r="E41280" s="21" t="s">
        <v>35</v>
      </c>
      <c r="F41280">
        <v>12490027</v>
      </c>
      <c r="G41280" t="s">
        <v>766</v>
      </c>
      <c r="H41280" s="21">
        <v>500</v>
      </c>
    </row>
    <row r="41281" spans="1:8" customFormat="1" x14ac:dyDescent="0.25">
      <c r="A41281" t="str">
        <f>"5429636"</f>
        <v>5429636</v>
      </c>
      <c r="B41281" t="s">
        <v>26002</v>
      </c>
      <c r="C41281" t="s">
        <v>24854</v>
      </c>
      <c r="D41281" s="21" t="s">
        <v>24820</v>
      </c>
      <c r="E41281" s="21" t="s">
        <v>254</v>
      </c>
      <c r="F41281">
        <v>6540194</v>
      </c>
      <c r="G41281" t="s">
        <v>7171</v>
      </c>
      <c r="H41281" s="21">
        <v>500</v>
      </c>
    </row>
    <row r="41282" spans="1:8" customFormat="1" x14ac:dyDescent="0.25">
      <c r="A41282" t="str">
        <f>"2720306"</f>
        <v>2720306</v>
      </c>
      <c r="B41282" t="s">
        <v>25854</v>
      </c>
      <c r="C41282" t="s">
        <v>24828</v>
      </c>
      <c r="D41282" s="21" t="s">
        <v>24820</v>
      </c>
      <c r="E41282" s="21" t="s">
        <v>35</v>
      </c>
      <c r="F41282">
        <v>9270006</v>
      </c>
      <c r="G41282" t="s">
        <v>780</v>
      </c>
      <c r="H41282" s="21">
        <v>500</v>
      </c>
    </row>
    <row r="41283" spans="1:8" customFormat="1" x14ac:dyDescent="0.25">
      <c r="A41283" t="str">
        <f>"3831515"</f>
        <v>3831515</v>
      </c>
      <c r="B41283" t="s">
        <v>9826</v>
      </c>
      <c r="C41283" t="s">
        <v>25877</v>
      </c>
      <c r="D41283" s="21" t="s">
        <v>24820</v>
      </c>
      <c r="E41283" s="21" t="s">
        <v>35</v>
      </c>
      <c r="F41283">
        <v>1380297</v>
      </c>
      <c r="G41283" t="s">
        <v>12031</v>
      </c>
      <c r="H41283" s="21">
        <v>500</v>
      </c>
    </row>
    <row r="41284" spans="1:8" customFormat="1" x14ac:dyDescent="0.25">
      <c r="A41284" t="str">
        <f>"4916350"</f>
        <v>4916350</v>
      </c>
      <c r="B41284" t="s">
        <v>25378</v>
      </c>
      <c r="C41284" t="s">
        <v>24865</v>
      </c>
      <c r="D41284" s="21" t="s">
        <v>24820</v>
      </c>
      <c r="E41284" s="21" t="s">
        <v>35</v>
      </c>
      <c r="F41284">
        <v>12490064</v>
      </c>
      <c r="G41284" t="s">
        <v>8425</v>
      </c>
      <c r="H41284" s="21">
        <v>500</v>
      </c>
    </row>
    <row r="41285" spans="1:8" customFormat="1" x14ac:dyDescent="0.25">
      <c r="A41285" t="str">
        <f>"317244"</f>
        <v>317244</v>
      </c>
      <c r="B41285" t="s">
        <v>7086</v>
      </c>
      <c r="C41285" t="s">
        <v>25011</v>
      </c>
      <c r="D41285" s="21" t="s">
        <v>24820</v>
      </c>
      <c r="E41285" s="21" t="s">
        <v>71</v>
      </c>
      <c r="F41285">
        <v>11310033</v>
      </c>
      <c r="G41285" t="s">
        <v>18036</v>
      </c>
      <c r="H41285" s="21">
        <v>500</v>
      </c>
    </row>
    <row r="41286" spans="1:8" customFormat="1" x14ac:dyDescent="0.25">
      <c r="A41286" t="str">
        <f>"152783"</f>
        <v>152783</v>
      </c>
      <c r="B41286" t="s">
        <v>29921</v>
      </c>
      <c r="C41286" t="s">
        <v>25210</v>
      </c>
      <c r="D41286" s="21" t="s">
        <v>24820</v>
      </c>
      <c r="E41286" s="21" t="s">
        <v>71</v>
      </c>
      <c r="F41286">
        <v>1150148</v>
      </c>
      <c r="G41286" t="s">
        <v>7485</v>
      </c>
      <c r="H41286" s="21">
        <v>500</v>
      </c>
    </row>
    <row r="41287" spans="1:8" customFormat="1" x14ac:dyDescent="0.25">
      <c r="A41287" t="str">
        <f>"425445"</f>
        <v>425445</v>
      </c>
      <c r="B41287" t="s">
        <v>26096</v>
      </c>
      <c r="C41287" t="s">
        <v>26097</v>
      </c>
      <c r="D41287" s="21" t="s">
        <v>24820</v>
      </c>
      <c r="E41287" s="21" t="s">
        <v>254</v>
      </c>
      <c r="F41287">
        <v>1420140</v>
      </c>
      <c r="G41287" t="s">
        <v>10038</v>
      </c>
      <c r="H41287" s="21">
        <v>500</v>
      </c>
    </row>
    <row r="41288" spans="1:8" customFormat="1" x14ac:dyDescent="0.25">
      <c r="A41288" t="str">
        <f>"5019935"</f>
        <v>5019935</v>
      </c>
      <c r="B41288" t="s">
        <v>25893</v>
      </c>
      <c r="C41288" t="s">
        <v>24828</v>
      </c>
      <c r="D41288" s="21" t="s">
        <v>24820</v>
      </c>
      <c r="E41288" s="21" t="s">
        <v>35</v>
      </c>
      <c r="F41288">
        <v>9500009</v>
      </c>
      <c r="G41288" t="s">
        <v>2230</v>
      </c>
      <c r="H41288" s="21">
        <v>500</v>
      </c>
    </row>
    <row r="41289" spans="1:8" customFormat="1" x14ac:dyDescent="0.25">
      <c r="A41289" t="str">
        <f>"2934794"</f>
        <v>2934794</v>
      </c>
      <c r="B41289" t="s">
        <v>22852</v>
      </c>
      <c r="C41289" t="s">
        <v>24824</v>
      </c>
      <c r="D41289" s="21" t="s">
        <v>24820</v>
      </c>
      <c r="E41289" s="21" t="s">
        <v>71</v>
      </c>
      <c r="F41289">
        <v>3290087</v>
      </c>
      <c r="G41289" t="s">
        <v>364</v>
      </c>
      <c r="H41289" s="21">
        <v>500</v>
      </c>
    </row>
    <row r="41290" spans="1:8" customFormat="1" x14ac:dyDescent="0.25">
      <c r="A41290" t="str">
        <f>"4938860"</f>
        <v>4938860</v>
      </c>
      <c r="B41290" t="s">
        <v>7427</v>
      </c>
      <c r="C41290" t="s">
        <v>29922</v>
      </c>
      <c r="D41290" s="21" t="s">
        <v>24820</v>
      </c>
      <c r="E41290" s="21" t="s">
        <v>35</v>
      </c>
      <c r="F41290">
        <v>12490132</v>
      </c>
      <c r="G41290" t="s">
        <v>1125</v>
      </c>
      <c r="H41290" s="21">
        <v>500</v>
      </c>
    </row>
    <row r="41291" spans="1:8" customFormat="1" x14ac:dyDescent="0.25">
      <c r="A41291" t="str">
        <f>"0610043"</f>
        <v>0610043</v>
      </c>
      <c r="B41291" t="s">
        <v>26183</v>
      </c>
      <c r="C41291" t="s">
        <v>24978</v>
      </c>
      <c r="D41291" s="21" t="s">
        <v>24820</v>
      </c>
      <c r="E41291" s="21" t="s">
        <v>71</v>
      </c>
      <c r="F41291">
        <v>13060063</v>
      </c>
      <c r="G41291" t="s">
        <v>2001</v>
      </c>
      <c r="H41291" s="21">
        <v>500</v>
      </c>
    </row>
    <row r="41292" spans="1:8" customFormat="1" x14ac:dyDescent="0.25">
      <c r="A41292" t="str">
        <f>"477210"</f>
        <v>477210</v>
      </c>
      <c r="B41292" t="s">
        <v>5651</v>
      </c>
      <c r="C41292" t="s">
        <v>24838</v>
      </c>
      <c r="D41292" s="21" t="s">
        <v>24820</v>
      </c>
      <c r="E41292" s="21" t="s">
        <v>35</v>
      </c>
      <c r="F41292">
        <v>10470021</v>
      </c>
      <c r="G41292" t="s">
        <v>1034</v>
      </c>
      <c r="H41292" s="21">
        <v>500</v>
      </c>
    </row>
    <row r="41293" spans="1:8" customFormat="1" x14ac:dyDescent="0.25">
      <c r="A41293" t="str">
        <f>"9E1107"</f>
        <v>9E1107</v>
      </c>
      <c r="B41293" t="s">
        <v>29923</v>
      </c>
      <c r="C41293" t="s">
        <v>26122</v>
      </c>
      <c r="D41293" s="21" t="s">
        <v>24820</v>
      </c>
      <c r="E41293" s="21" t="s">
        <v>71</v>
      </c>
      <c r="F41293" s="24" t="s">
        <v>28676</v>
      </c>
      <c r="G41293" t="s">
        <v>28677</v>
      </c>
      <c r="H41293" s="21">
        <v>500</v>
      </c>
    </row>
    <row r="41294" spans="1:8" customFormat="1" x14ac:dyDescent="0.25">
      <c r="A41294" t="str">
        <f>"2218736"</f>
        <v>2218736</v>
      </c>
      <c r="B41294" t="s">
        <v>26035</v>
      </c>
      <c r="C41294" t="s">
        <v>24973</v>
      </c>
      <c r="D41294" s="21" t="s">
        <v>24820</v>
      </c>
      <c r="E41294" s="21" t="s">
        <v>35</v>
      </c>
      <c r="F41294">
        <v>3220007</v>
      </c>
      <c r="G41294" t="s">
        <v>26946</v>
      </c>
      <c r="H41294" s="21">
        <v>500</v>
      </c>
    </row>
    <row r="41295" spans="1:8" customFormat="1" x14ac:dyDescent="0.25">
      <c r="A41295" t="str">
        <f>"3427080"</f>
        <v>3427080</v>
      </c>
      <c r="B41295" t="s">
        <v>29924</v>
      </c>
      <c r="C41295" t="s">
        <v>24833</v>
      </c>
      <c r="D41295" s="21" t="s">
        <v>24820</v>
      </c>
      <c r="E41295" s="21" t="s">
        <v>35</v>
      </c>
      <c r="F41295">
        <v>11340076</v>
      </c>
      <c r="G41295" t="s">
        <v>26665</v>
      </c>
      <c r="H41295" s="21">
        <v>500</v>
      </c>
    </row>
    <row r="41296" spans="1:8" customFormat="1" x14ac:dyDescent="0.25">
      <c r="A41296" t="str">
        <f>"6024000"</f>
        <v>6024000</v>
      </c>
      <c r="B41296" t="s">
        <v>13689</v>
      </c>
      <c r="C41296" t="s">
        <v>24898</v>
      </c>
      <c r="D41296" s="21" t="s">
        <v>24820</v>
      </c>
      <c r="E41296" s="21" t="s">
        <v>71</v>
      </c>
      <c r="F41296">
        <v>7600008</v>
      </c>
      <c r="G41296" t="s">
        <v>4646</v>
      </c>
      <c r="H41296" s="21">
        <v>500</v>
      </c>
    </row>
    <row r="41297" spans="1:8" customFormat="1" x14ac:dyDescent="0.25">
      <c r="A41297" t="str">
        <f>"9B722"</f>
        <v>9B722</v>
      </c>
      <c r="B41297" t="s">
        <v>25762</v>
      </c>
      <c r="C41297" t="s">
        <v>26010</v>
      </c>
      <c r="D41297" s="21" t="s">
        <v>24820</v>
      </c>
      <c r="E41297" s="21" t="s">
        <v>254</v>
      </c>
      <c r="F41297" t="s">
        <v>2653</v>
      </c>
      <c r="G41297" t="s">
        <v>2654</v>
      </c>
      <c r="H41297" s="21">
        <v>500</v>
      </c>
    </row>
    <row r="41298" spans="1:8" customFormat="1" x14ac:dyDescent="0.25">
      <c r="A41298" t="str">
        <f>"406082"</f>
        <v>406082</v>
      </c>
      <c r="B41298" t="s">
        <v>13978</v>
      </c>
      <c r="C41298" t="s">
        <v>24915</v>
      </c>
      <c r="D41298" s="21" t="s">
        <v>24820</v>
      </c>
      <c r="E41298" s="21" t="s">
        <v>35</v>
      </c>
      <c r="F41298">
        <v>10400002</v>
      </c>
      <c r="G41298" t="s">
        <v>1975</v>
      </c>
      <c r="H41298" s="21">
        <v>500</v>
      </c>
    </row>
    <row r="41299" spans="1:8" customFormat="1" x14ac:dyDescent="0.25">
      <c r="A41299" t="str">
        <f>"3532415"</f>
        <v>3532415</v>
      </c>
      <c r="B41299" t="s">
        <v>22280</v>
      </c>
      <c r="C41299" t="s">
        <v>25317</v>
      </c>
      <c r="D41299" s="21" t="s">
        <v>24820</v>
      </c>
      <c r="E41299" s="21" t="s">
        <v>71</v>
      </c>
      <c r="F41299">
        <v>3350030</v>
      </c>
      <c r="G41299" t="s">
        <v>4549</v>
      </c>
      <c r="H41299" s="21">
        <v>500</v>
      </c>
    </row>
    <row r="41300" spans="1:8" customFormat="1" x14ac:dyDescent="0.25">
      <c r="A41300" t="str">
        <f>"7521943"</f>
        <v>7521943</v>
      </c>
      <c r="B41300" t="s">
        <v>25886</v>
      </c>
      <c r="C41300" t="s">
        <v>24947</v>
      </c>
      <c r="D41300" s="21" t="s">
        <v>24820</v>
      </c>
      <c r="E41300" s="21" t="s">
        <v>35</v>
      </c>
      <c r="F41300">
        <v>8751457</v>
      </c>
      <c r="G41300" t="s">
        <v>23309</v>
      </c>
      <c r="H41300" s="21">
        <v>500</v>
      </c>
    </row>
    <row r="41301" spans="1:8" customFormat="1" x14ac:dyDescent="0.25">
      <c r="A41301" t="str">
        <f>"9249593"</f>
        <v>9249593</v>
      </c>
      <c r="B41301" t="s">
        <v>25855</v>
      </c>
      <c r="C41301" t="s">
        <v>25856</v>
      </c>
      <c r="D41301" s="21" t="s">
        <v>24820</v>
      </c>
      <c r="E41301" s="21" t="s">
        <v>254</v>
      </c>
      <c r="F41301">
        <v>8920137</v>
      </c>
      <c r="G41301" t="s">
        <v>6082</v>
      </c>
      <c r="H41301" s="21">
        <v>500</v>
      </c>
    </row>
    <row r="41302" spans="1:8" customFormat="1" x14ac:dyDescent="0.25">
      <c r="A41302" t="str">
        <f>"0618279"</f>
        <v>0618279</v>
      </c>
      <c r="B41302" t="s">
        <v>5356</v>
      </c>
      <c r="C41302" t="s">
        <v>24927</v>
      </c>
      <c r="D41302" s="21" t="s">
        <v>24820</v>
      </c>
      <c r="E41302" s="21" t="s">
        <v>254</v>
      </c>
      <c r="F41302">
        <v>13060008</v>
      </c>
      <c r="G41302" t="s">
        <v>36</v>
      </c>
      <c r="H41302" s="21">
        <v>500</v>
      </c>
    </row>
    <row r="41303" spans="1:8" customFormat="1" x14ac:dyDescent="0.25">
      <c r="A41303" t="str">
        <f>"9D3052"</f>
        <v>9D3052</v>
      </c>
      <c r="B41303" t="s">
        <v>11833</v>
      </c>
      <c r="C41303" t="s">
        <v>24831</v>
      </c>
      <c r="D41303" s="21" t="s">
        <v>24820</v>
      </c>
      <c r="E41303" s="21" t="s">
        <v>71</v>
      </c>
      <c r="F41303" t="s">
        <v>8815</v>
      </c>
      <c r="G41303" t="s">
        <v>8816</v>
      </c>
      <c r="H41303" s="21">
        <v>500</v>
      </c>
    </row>
    <row r="41304" spans="1:8" customFormat="1" x14ac:dyDescent="0.25">
      <c r="A41304" t="str">
        <f>"9130462"</f>
        <v>9130462</v>
      </c>
      <c r="B41304" t="s">
        <v>18323</v>
      </c>
      <c r="C41304" t="s">
        <v>24888</v>
      </c>
      <c r="D41304" s="21" t="s">
        <v>24820</v>
      </c>
      <c r="E41304" s="21" t="s">
        <v>254</v>
      </c>
      <c r="F41304">
        <v>8910303</v>
      </c>
      <c r="G41304" t="s">
        <v>1244</v>
      </c>
      <c r="H41304" s="21">
        <v>500</v>
      </c>
    </row>
    <row r="41305" spans="1:8" customFormat="1" x14ac:dyDescent="0.25">
      <c r="A41305" t="str">
        <f>"4522618"</f>
        <v>4522618</v>
      </c>
      <c r="B41305" t="s">
        <v>17438</v>
      </c>
      <c r="C41305" t="s">
        <v>24865</v>
      </c>
      <c r="D41305" s="21" t="s">
        <v>24820</v>
      </c>
      <c r="E41305" s="21" t="s">
        <v>35</v>
      </c>
      <c r="F41305">
        <v>4450576</v>
      </c>
      <c r="G41305" t="s">
        <v>26857</v>
      </c>
      <c r="H41305" s="21">
        <v>500</v>
      </c>
    </row>
    <row r="41306" spans="1:8" customFormat="1" x14ac:dyDescent="0.25">
      <c r="A41306" t="str">
        <f>"9127859"</f>
        <v>9127859</v>
      </c>
      <c r="B41306" t="s">
        <v>4711</v>
      </c>
      <c r="C41306" t="s">
        <v>24854</v>
      </c>
      <c r="D41306" s="21" t="s">
        <v>24820</v>
      </c>
      <c r="E41306" s="21" t="s">
        <v>35</v>
      </c>
      <c r="F41306">
        <v>8910402</v>
      </c>
      <c r="G41306" t="s">
        <v>1371</v>
      </c>
      <c r="H41306" s="21">
        <v>500</v>
      </c>
    </row>
    <row r="41307" spans="1:8" customFormat="1" x14ac:dyDescent="0.25">
      <c r="A41307" t="str">
        <f>"618912"</f>
        <v>618912</v>
      </c>
      <c r="B41307" t="s">
        <v>25756</v>
      </c>
      <c r="C41307" t="s">
        <v>24833</v>
      </c>
      <c r="D41307" s="21" t="s">
        <v>24820</v>
      </c>
      <c r="E41307" s="21" t="s">
        <v>71</v>
      </c>
      <c r="F41307">
        <v>9610135</v>
      </c>
      <c r="G41307" t="s">
        <v>8227</v>
      </c>
      <c r="H41307" s="21">
        <v>500</v>
      </c>
    </row>
    <row r="41308" spans="1:8" customFormat="1" x14ac:dyDescent="0.25">
      <c r="A41308" t="str">
        <f>"6722447"</f>
        <v>6722447</v>
      </c>
      <c r="B41308" t="s">
        <v>146</v>
      </c>
      <c r="C41308" t="s">
        <v>25019</v>
      </c>
      <c r="D41308" s="21" t="s">
        <v>24820</v>
      </c>
      <c r="E41308" s="21" t="s">
        <v>35</v>
      </c>
      <c r="F41308">
        <v>6670010</v>
      </c>
      <c r="G41308" t="s">
        <v>721</v>
      </c>
      <c r="H41308" s="21">
        <v>500</v>
      </c>
    </row>
    <row r="41309" spans="1:8" customFormat="1" x14ac:dyDescent="0.25">
      <c r="A41309" t="str">
        <f>"9B728"</f>
        <v>9B728</v>
      </c>
      <c r="B41309" t="s">
        <v>25947</v>
      </c>
      <c r="C41309" t="s">
        <v>25948</v>
      </c>
      <c r="D41309" s="21" t="s">
        <v>24820</v>
      </c>
      <c r="E41309" s="21" t="s">
        <v>71</v>
      </c>
      <c r="F41309" t="s">
        <v>590</v>
      </c>
      <c r="G41309" t="s">
        <v>591</v>
      </c>
      <c r="H41309" s="21">
        <v>500</v>
      </c>
    </row>
    <row r="41310" spans="1:8" customFormat="1" x14ac:dyDescent="0.25">
      <c r="A41310" t="str">
        <f>"198070"</f>
        <v>198070</v>
      </c>
      <c r="B41310" t="s">
        <v>18757</v>
      </c>
      <c r="C41310" t="s">
        <v>24828</v>
      </c>
      <c r="D41310" s="21" t="s">
        <v>24820</v>
      </c>
      <c r="E41310" s="21" t="s">
        <v>35</v>
      </c>
      <c r="F41310">
        <v>10190080</v>
      </c>
      <c r="G41310" t="s">
        <v>1726</v>
      </c>
      <c r="H41310" s="21">
        <v>500</v>
      </c>
    </row>
    <row r="41311" spans="1:8" customFormat="1" x14ac:dyDescent="0.25">
      <c r="A41311" t="str">
        <f>"9B1054"</f>
        <v>9B1054</v>
      </c>
      <c r="B41311" t="s">
        <v>9131</v>
      </c>
      <c r="C41311" t="s">
        <v>25234</v>
      </c>
      <c r="D41311" s="21" t="s">
        <v>24820</v>
      </c>
      <c r="E41311" s="21" t="s">
        <v>35</v>
      </c>
      <c r="F41311" t="s">
        <v>590</v>
      </c>
      <c r="G41311" t="s">
        <v>591</v>
      </c>
      <c r="H41311" s="21">
        <v>500</v>
      </c>
    </row>
    <row r="41312" spans="1:8" customFormat="1" x14ac:dyDescent="0.25">
      <c r="A41312" t="str">
        <f>"477937"</f>
        <v>477937</v>
      </c>
      <c r="B41312" t="s">
        <v>2067</v>
      </c>
      <c r="C41312" t="s">
        <v>22831</v>
      </c>
      <c r="D41312" s="21" t="s">
        <v>24820</v>
      </c>
      <c r="E41312" s="21" t="s">
        <v>35</v>
      </c>
      <c r="F41312">
        <v>10470021</v>
      </c>
      <c r="G41312" t="s">
        <v>1034</v>
      </c>
      <c r="H41312" s="21">
        <v>500</v>
      </c>
    </row>
    <row r="41313" spans="1:8" customFormat="1" x14ac:dyDescent="0.25">
      <c r="A41313" t="str">
        <f>"1714105"</f>
        <v>1714105</v>
      </c>
      <c r="B41313" t="s">
        <v>15134</v>
      </c>
      <c r="C41313" t="s">
        <v>25747</v>
      </c>
      <c r="D41313" s="21" t="s">
        <v>24820</v>
      </c>
      <c r="E41313" s="21" t="s">
        <v>71</v>
      </c>
      <c r="F41313">
        <v>10170228</v>
      </c>
      <c r="G41313" t="s">
        <v>11424</v>
      </c>
      <c r="H41313" s="21">
        <v>500</v>
      </c>
    </row>
    <row r="41314" spans="1:8" customFormat="1" x14ac:dyDescent="0.25">
      <c r="A41314" t="str">
        <f>"2715998"</f>
        <v>2715998</v>
      </c>
      <c r="B41314" t="s">
        <v>25840</v>
      </c>
      <c r="C41314" t="s">
        <v>24927</v>
      </c>
      <c r="D41314" s="21" t="s">
        <v>24820</v>
      </c>
      <c r="E41314" s="21" t="s">
        <v>254</v>
      </c>
      <c r="F41314">
        <v>9270176</v>
      </c>
      <c r="G41314" t="s">
        <v>5799</v>
      </c>
      <c r="H41314" s="21">
        <v>500</v>
      </c>
    </row>
    <row r="41315" spans="1:8" customFormat="1" x14ac:dyDescent="0.25">
      <c r="A41315" t="str">
        <f>"4443440"</f>
        <v>4443440</v>
      </c>
      <c r="B41315" t="s">
        <v>20280</v>
      </c>
      <c r="C41315" t="s">
        <v>22831</v>
      </c>
      <c r="D41315" s="21" t="s">
        <v>24820</v>
      </c>
      <c r="E41315" s="21" t="s">
        <v>71</v>
      </c>
      <c r="F41315">
        <v>12440002</v>
      </c>
      <c r="G41315" t="s">
        <v>47</v>
      </c>
      <c r="H41315" s="21">
        <v>500</v>
      </c>
    </row>
    <row r="41316" spans="1:8" customFormat="1" x14ac:dyDescent="0.25">
      <c r="A41316" t="str">
        <f>"7876178"</f>
        <v>7876178</v>
      </c>
      <c r="B41316" t="s">
        <v>1500</v>
      </c>
      <c r="C41316" t="s">
        <v>25068</v>
      </c>
      <c r="D41316" s="21" t="s">
        <v>24820</v>
      </c>
      <c r="E41316" s="21" t="s">
        <v>35</v>
      </c>
      <c r="F41316">
        <v>8781006</v>
      </c>
      <c r="G41316" t="s">
        <v>5376</v>
      </c>
      <c r="H41316" s="21">
        <v>500</v>
      </c>
    </row>
    <row r="41317" spans="1:8" customFormat="1" x14ac:dyDescent="0.25">
      <c r="A41317" t="str">
        <f>"4516382"</f>
        <v>4516382</v>
      </c>
      <c r="B41317" t="s">
        <v>17206</v>
      </c>
      <c r="C41317" t="s">
        <v>25178</v>
      </c>
      <c r="D41317" s="21" t="s">
        <v>24820</v>
      </c>
      <c r="E41317" s="21" t="s">
        <v>71</v>
      </c>
      <c r="F41317">
        <v>4450108</v>
      </c>
      <c r="G41317" t="s">
        <v>2354</v>
      </c>
      <c r="H41317" s="21">
        <v>500</v>
      </c>
    </row>
    <row r="41318" spans="1:8" customFormat="1" x14ac:dyDescent="0.25">
      <c r="A41318" t="str">
        <f>"2517567"</f>
        <v>2517567</v>
      </c>
      <c r="B41318" t="s">
        <v>1361</v>
      </c>
      <c r="C41318" t="s">
        <v>24897</v>
      </c>
      <c r="D41318" s="21" t="s">
        <v>24820</v>
      </c>
      <c r="E41318" s="21" t="s">
        <v>71</v>
      </c>
      <c r="F41318">
        <v>2250001</v>
      </c>
      <c r="G41318" t="s">
        <v>424</v>
      </c>
      <c r="H41318" s="21">
        <v>500</v>
      </c>
    </row>
    <row r="41319" spans="1:8" customFormat="1" x14ac:dyDescent="0.25">
      <c r="A41319" t="str">
        <f>"404941"</f>
        <v>404941</v>
      </c>
      <c r="B41319" t="s">
        <v>6865</v>
      </c>
      <c r="C41319" t="s">
        <v>25512</v>
      </c>
      <c r="D41319" s="21" t="s">
        <v>24820</v>
      </c>
      <c r="E41319" s="21" t="s">
        <v>71</v>
      </c>
      <c r="F41319">
        <v>10400001</v>
      </c>
      <c r="G41319" t="s">
        <v>609</v>
      </c>
      <c r="H41319" s="21">
        <v>500</v>
      </c>
    </row>
    <row r="41320" spans="1:8" customFormat="1" x14ac:dyDescent="0.25">
      <c r="A41320" t="str">
        <f>"1426318"</f>
        <v>1426318</v>
      </c>
      <c r="B41320" t="s">
        <v>970</v>
      </c>
      <c r="C41320" t="s">
        <v>24865</v>
      </c>
      <c r="D41320" s="21" t="s">
        <v>24820</v>
      </c>
      <c r="E41320" s="21" t="s">
        <v>254</v>
      </c>
      <c r="F41320">
        <v>9140012</v>
      </c>
      <c r="G41320" t="s">
        <v>26518</v>
      </c>
      <c r="H41320" s="21">
        <v>500</v>
      </c>
    </row>
    <row r="41321" spans="1:8" customFormat="1" x14ac:dyDescent="0.25">
      <c r="A41321" t="str">
        <f>"9137445"</f>
        <v>9137445</v>
      </c>
      <c r="B41321" t="s">
        <v>25829</v>
      </c>
      <c r="C41321" t="s">
        <v>25313</v>
      </c>
      <c r="D41321" s="21" t="s">
        <v>24820</v>
      </c>
      <c r="E41321" s="21" t="s">
        <v>71</v>
      </c>
      <c r="F41321">
        <v>8911461</v>
      </c>
      <c r="G41321" t="s">
        <v>6705</v>
      </c>
      <c r="H41321" s="21">
        <v>500</v>
      </c>
    </row>
    <row r="41322" spans="1:8" customFormat="1" x14ac:dyDescent="0.25">
      <c r="A41322" t="str">
        <f>"6814192"</f>
        <v>6814192</v>
      </c>
      <c r="B41322" t="s">
        <v>25879</v>
      </c>
      <c r="C41322" t="s">
        <v>24884</v>
      </c>
      <c r="D41322" s="21" t="s">
        <v>24820</v>
      </c>
      <c r="E41322" s="21" t="s">
        <v>35</v>
      </c>
      <c r="F41322">
        <v>6680105</v>
      </c>
      <c r="G41322" t="s">
        <v>403</v>
      </c>
      <c r="H41322" s="21">
        <v>500</v>
      </c>
    </row>
    <row r="41323" spans="1:8" customFormat="1" x14ac:dyDescent="0.25">
      <c r="A41323" t="str">
        <f>"627591"</f>
        <v>627591</v>
      </c>
      <c r="B41323" t="s">
        <v>3830</v>
      </c>
      <c r="C41323" t="s">
        <v>24897</v>
      </c>
      <c r="D41323" s="21" t="s">
        <v>24820</v>
      </c>
      <c r="E41323" s="21" t="s">
        <v>254</v>
      </c>
      <c r="F41323">
        <v>7620060</v>
      </c>
      <c r="G41323" t="s">
        <v>2179</v>
      </c>
      <c r="H41323" s="21">
        <v>500</v>
      </c>
    </row>
    <row r="41324" spans="1:8" customFormat="1" x14ac:dyDescent="0.25">
      <c r="A41324" t="str">
        <f>"3335068"</f>
        <v>3335068</v>
      </c>
      <c r="B41324" t="s">
        <v>22958</v>
      </c>
      <c r="C41324" t="s">
        <v>23734</v>
      </c>
      <c r="D41324" s="21" t="s">
        <v>24820</v>
      </c>
      <c r="E41324" s="21" t="s">
        <v>71</v>
      </c>
      <c r="F41324">
        <v>10330036</v>
      </c>
      <c r="G41324" t="s">
        <v>6209</v>
      </c>
      <c r="H41324" s="21">
        <v>500</v>
      </c>
    </row>
    <row r="41325" spans="1:8" customFormat="1" x14ac:dyDescent="0.25">
      <c r="A41325" t="str">
        <f>"1712773"</f>
        <v>1712773</v>
      </c>
      <c r="B41325" t="s">
        <v>25812</v>
      </c>
      <c r="C41325" t="s">
        <v>24686</v>
      </c>
      <c r="D41325" s="21" t="s">
        <v>24820</v>
      </c>
      <c r="E41325" s="21" t="s">
        <v>71</v>
      </c>
      <c r="F41325">
        <v>10170029</v>
      </c>
      <c r="G41325" t="s">
        <v>9383</v>
      </c>
      <c r="H41325" s="21">
        <v>500</v>
      </c>
    </row>
    <row r="41326" spans="1:8" customFormat="1" x14ac:dyDescent="0.25">
      <c r="A41326" t="str">
        <f>"4446497"</f>
        <v>4446497</v>
      </c>
      <c r="B41326" t="s">
        <v>25788</v>
      </c>
      <c r="C41326" t="s">
        <v>24686</v>
      </c>
      <c r="D41326" s="21" t="s">
        <v>24820</v>
      </c>
      <c r="E41326" s="21" t="s">
        <v>71</v>
      </c>
      <c r="F41326">
        <v>12440138</v>
      </c>
      <c r="G41326" t="s">
        <v>562</v>
      </c>
      <c r="H41326" s="21">
        <v>500</v>
      </c>
    </row>
    <row r="41327" spans="1:8" customFormat="1" x14ac:dyDescent="0.25">
      <c r="A41327" t="str">
        <f>"3830471"</f>
        <v>3830471</v>
      </c>
      <c r="B41327" t="s">
        <v>25873</v>
      </c>
      <c r="C41327" t="s">
        <v>25724</v>
      </c>
      <c r="D41327" s="21" t="s">
        <v>24820</v>
      </c>
      <c r="E41327" s="21" t="s">
        <v>35</v>
      </c>
      <c r="F41327">
        <v>1380098</v>
      </c>
      <c r="G41327" t="s">
        <v>7501</v>
      </c>
      <c r="H41327" s="21">
        <v>500</v>
      </c>
    </row>
    <row r="41328" spans="1:8" customFormat="1" x14ac:dyDescent="0.25">
      <c r="A41328" t="str">
        <f>"9459819"</f>
        <v>9459819</v>
      </c>
      <c r="B41328" t="s">
        <v>10718</v>
      </c>
      <c r="C41328" t="s">
        <v>24958</v>
      </c>
      <c r="D41328" s="21" t="s">
        <v>24820</v>
      </c>
      <c r="E41328" s="21" t="s">
        <v>71</v>
      </c>
      <c r="F41328">
        <v>8940073</v>
      </c>
      <c r="G41328" t="s">
        <v>1085</v>
      </c>
      <c r="H41328" s="21">
        <v>500</v>
      </c>
    </row>
    <row r="41329" spans="1:8" customFormat="1" x14ac:dyDescent="0.25">
      <c r="A41329" t="str">
        <f>"3417005"</f>
        <v>3417005</v>
      </c>
      <c r="B41329" t="s">
        <v>22861</v>
      </c>
      <c r="C41329" t="s">
        <v>24892</v>
      </c>
      <c r="D41329" s="21" t="s">
        <v>24820</v>
      </c>
      <c r="E41329" s="21" t="s">
        <v>71</v>
      </c>
      <c r="F41329">
        <v>11340001</v>
      </c>
      <c r="G41329" t="s">
        <v>9248</v>
      </c>
      <c r="H41329" s="21">
        <v>500</v>
      </c>
    </row>
    <row r="41330" spans="1:8" customFormat="1" x14ac:dyDescent="0.25">
      <c r="A41330" t="str">
        <f>"4113147"</f>
        <v>4113147</v>
      </c>
      <c r="B41330" t="s">
        <v>26030</v>
      </c>
      <c r="C41330" t="s">
        <v>24838</v>
      </c>
      <c r="D41330" s="21" t="s">
        <v>24820</v>
      </c>
      <c r="E41330" s="21" t="s">
        <v>35</v>
      </c>
      <c r="F41330">
        <v>4410080</v>
      </c>
      <c r="G41330" t="s">
        <v>135</v>
      </c>
      <c r="H41330" s="21">
        <v>500</v>
      </c>
    </row>
    <row r="41331" spans="1:8" customFormat="1" x14ac:dyDescent="0.25">
      <c r="A41331" t="str">
        <f>"99198"</f>
        <v>99198</v>
      </c>
      <c r="B41331" t="s">
        <v>24076</v>
      </c>
      <c r="C41331" t="s">
        <v>24883</v>
      </c>
      <c r="D41331" s="21" t="s">
        <v>24820</v>
      </c>
      <c r="E41331" s="21" t="s">
        <v>71</v>
      </c>
      <c r="F41331" t="s">
        <v>1923</v>
      </c>
      <c r="G41331" t="s">
        <v>1924</v>
      </c>
      <c r="H41331" s="21">
        <v>500</v>
      </c>
    </row>
    <row r="41332" spans="1:8" customFormat="1" x14ac:dyDescent="0.25">
      <c r="A41332" t="str">
        <f>"9H874"</f>
        <v>9H874</v>
      </c>
      <c r="B41332" t="s">
        <v>9446</v>
      </c>
      <c r="C41332" t="s">
        <v>24840</v>
      </c>
      <c r="D41332" s="21" t="s">
        <v>24820</v>
      </c>
      <c r="E41332" s="21" t="s">
        <v>71</v>
      </c>
      <c r="F41332" t="s">
        <v>5851</v>
      </c>
      <c r="G41332" t="s">
        <v>5852</v>
      </c>
      <c r="H41332" s="21">
        <v>500</v>
      </c>
    </row>
    <row r="41333" spans="1:8" customFormat="1" x14ac:dyDescent="0.25">
      <c r="A41333" t="str">
        <f>"6720967"</f>
        <v>6720967</v>
      </c>
      <c r="B41333" t="s">
        <v>13357</v>
      </c>
      <c r="C41333" t="s">
        <v>24300</v>
      </c>
      <c r="D41333" s="21" t="s">
        <v>24820</v>
      </c>
      <c r="E41333" s="21" t="s">
        <v>35</v>
      </c>
      <c r="F41333">
        <v>6670003</v>
      </c>
      <c r="G41333" t="s">
        <v>1520</v>
      </c>
      <c r="H41333" s="21">
        <v>500</v>
      </c>
    </row>
    <row r="41334" spans="1:8" customFormat="1" x14ac:dyDescent="0.25">
      <c r="A41334" t="str">
        <f>"573049"</f>
        <v>573049</v>
      </c>
      <c r="B41334" t="s">
        <v>23744</v>
      </c>
      <c r="C41334" t="s">
        <v>25714</v>
      </c>
      <c r="D41334" s="21" t="s">
        <v>24820</v>
      </c>
      <c r="E41334" s="21" t="s">
        <v>1089</v>
      </c>
      <c r="F41334">
        <v>6570125</v>
      </c>
      <c r="G41334" t="s">
        <v>14599</v>
      </c>
      <c r="H41334" s="21">
        <v>500</v>
      </c>
    </row>
    <row r="41335" spans="1:8" customFormat="1" x14ac:dyDescent="0.25">
      <c r="A41335" t="str">
        <f>"2938870"</f>
        <v>2938870</v>
      </c>
      <c r="B41335" t="s">
        <v>6624</v>
      </c>
      <c r="C41335" t="s">
        <v>22831</v>
      </c>
      <c r="D41335" s="21" t="s">
        <v>24820</v>
      </c>
      <c r="E41335" s="21" t="s">
        <v>35</v>
      </c>
      <c r="F41335">
        <v>3290223</v>
      </c>
      <c r="G41335" t="s">
        <v>2636</v>
      </c>
      <c r="H41335" s="21">
        <v>500</v>
      </c>
    </row>
    <row r="41336" spans="1:8" customFormat="1" x14ac:dyDescent="0.25">
      <c r="A41336" t="str">
        <f>"5620946"</f>
        <v>5620946</v>
      </c>
      <c r="B41336" t="s">
        <v>25670</v>
      </c>
      <c r="C41336" t="s">
        <v>24845</v>
      </c>
      <c r="D41336" s="21" t="s">
        <v>24820</v>
      </c>
      <c r="E41336" s="21" t="s">
        <v>71</v>
      </c>
      <c r="F41336">
        <v>3560053</v>
      </c>
      <c r="G41336" t="s">
        <v>298</v>
      </c>
      <c r="H41336" s="21">
        <v>500</v>
      </c>
    </row>
    <row r="41337" spans="1:8" customFormat="1" x14ac:dyDescent="0.25">
      <c r="A41337" t="str">
        <f>"6950707"</f>
        <v>6950707</v>
      </c>
      <c r="B41337" t="s">
        <v>7369</v>
      </c>
      <c r="C41337" t="s">
        <v>29925</v>
      </c>
      <c r="D41337" s="21" t="s">
        <v>24820</v>
      </c>
      <c r="E41337" s="21" t="s">
        <v>35</v>
      </c>
      <c r="F41337">
        <v>1690175</v>
      </c>
      <c r="G41337" t="s">
        <v>410</v>
      </c>
      <c r="H41337" s="21">
        <v>500</v>
      </c>
    </row>
    <row r="41338" spans="1:8" customFormat="1" x14ac:dyDescent="0.25">
      <c r="A41338" t="str">
        <f>"9457343"</f>
        <v>9457343</v>
      </c>
      <c r="B41338" t="s">
        <v>19715</v>
      </c>
      <c r="C41338" t="s">
        <v>25141</v>
      </c>
      <c r="D41338" s="21" t="s">
        <v>24820</v>
      </c>
      <c r="E41338" s="21" t="s">
        <v>254</v>
      </c>
      <c r="F41338">
        <v>8940073</v>
      </c>
      <c r="G41338" t="s">
        <v>1085</v>
      </c>
      <c r="H41338" s="21">
        <v>500</v>
      </c>
    </row>
    <row r="41339" spans="1:8" customFormat="1" x14ac:dyDescent="0.25">
      <c r="A41339" t="str">
        <f>"322384"</f>
        <v>322384</v>
      </c>
      <c r="B41339" t="s">
        <v>21274</v>
      </c>
      <c r="C41339" t="s">
        <v>24958</v>
      </c>
      <c r="D41339" s="21" t="s">
        <v>24820</v>
      </c>
      <c r="E41339" s="21" t="s">
        <v>71</v>
      </c>
      <c r="F41339">
        <v>11110024</v>
      </c>
      <c r="G41339" t="s">
        <v>3378</v>
      </c>
      <c r="H41339" s="21">
        <v>500</v>
      </c>
    </row>
    <row r="41340" spans="1:8" customFormat="1" x14ac:dyDescent="0.25">
      <c r="A41340" t="str">
        <f>"9232845"</f>
        <v>9232845</v>
      </c>
      <c r="B41340" t="s">
        <v>13271</v>
      </c>
      <c r="C41340" t="s">
        <v>24867</v>
      </c>
      <c r="D41340" s="21" t="s">
        <v>24820</v>
      </c>
      <c r="E41340" s="21" t="s">
        <v>71</v>
      </c>
      <c r="F41340">
        <v>8771170</v>
      </c>
      <c r="G41340" t="s">
        <v>50</v>
      </c>
      <c r="H41340" s="21">
        <v>500</v>
      </c>
    </row>
    <row r="41341" spans="1:8" customFormat="1" x14ac:dyDescent="0.25">
      <c r="A41341" t="str">
        <f>"4938667"</f>
        <v>4938667</v>
      </c>
      <c r="B41341" t="s">
        <v>8064</v>
      </c>
      <c r="C41341" t="s">
        <v>24914</v>
      </c>
      <c r="D41341" s="21" t="s">
        <v>24820</v>
      </c>
      <c r="E41341" s="21" t="s">
        <v>35</v>
      </c>
      <c r="F41341">
        <v>12490021</v>
      </c>
      <c r="G41341" t="s">
        <v>4592</v>
      </c>
      <c r="H41341" s="21">
        <v>500</v>
      </c>
    </row>
    <row r="41342" spans="1:8" customFormat="1" x14ac:dyDescent="0.25">
      <c r="A41342" t="str">
        <f>"1419240"</f>
        <v>1419240</v>
      </c>
      <c r="B41342" t="s">
        <v>1435</v>
      </c>
      <c r="C41342" t="s">
        <v>24978</v>
      </c>
      <c r="D41342" s="21" t="s">
        <v>24820</v>
      </c>
      <c r="E41342" s="21" t="s">
        <v>71</v>
      </c>
      <c r="F41342">
        <v>9140211</v>
      </c>
      <c r="G41342" t="s">
        <v>5784</v>
      </c>
      <c r="H41342" s="21">
        <v>500</v>
      </c>
    </row>
    <row r="41343" spans="1:8" customFormat="1" x14ac:dyDescent="0.25">
      <c r="A41343" t="str">
        <f>"506584"</f>
        <v>506584</v>
      </c>
      <c r="B41343" t="s">
        <v>4126</v>
      </c>
      <c r="C41343" t="s">
        <v>263</v>
      </c>
      <c r="D41343" s="21" t="s">
        <v>24820</v>
      </c>
      <c r="E41343" s="21" t="s">
        <v>71</v>
      </c>
      <c r="F41343">
        <v>9500117</v>
      </c>
      <c r="G41343" t="s">
        <v>247</v>
      </c>
      <c r="H41343" s="21">
        <v>500</v>
      </c>
    </row>
    <row r="41344" spans="1:8" customFormat="1" x14ac:dyDescent="0.25">
      <c r="A41344" t="str">
        <f>"1614034"</f>
        <v>1614034</v>
      </c>
      <c r="B41344" t="s">
        <v>29926</v>
      </c>
      <c r="C41344" t="s">
        <v>24897</v>
      </c>
      <c r="D41344" s="21" t="s">
        <v>24820</v>
      </c>
      <c r="E41344" s="21" t="s">
        <v>71</v>
      </c>
      <c r="F41344">
        <v>10160236</v>
      </c>
      <c r="G41344" t="s">
        <v>7202</v>
      </c>
      <c r="H41344" s="21">
        <v>500</v>
      </c>
    </row>
    <row r="41345" spans="1:8" customFormat="1" x14ac:dyDescent="0.25">
      <c r="A41345" t="str">
        <f>"847113"</f>
        <v>847113</v>
      </c>
      <c r="B41345" t="s">
        <v>10309</v>
      </c>
      <c r="C41345" t="s">
        <v>24881</v>
      </c>
      <c r="D41345" s="21" t="s">
        <v>24820</v>
      </c>
      <c r="E41345" s="21" t="s">
        <v>35</v>
      </c>
      <c r="F41345">
        <v>13840021</v>
      </c>
      <c r="G41345" t="s">
        <v>3946</v>
      </c>
      <c r="H41345" s="21">
        <v>500</v>
      </c>
    </row>
    <row r="41346" spans="1:8" customFormat="1" x14ac:dyDescent="0.25">
      <c r="A41346" t="str">
        <f>"0612035"</f>
        <v>0612035</v>
      </c>
      <c r="B41346" t="s">
        <v>2644</v>
      </c>
      <c r="C41346" t="s">
        <v>22831</v>
      </c>
      <c r="D41346" s="21" t="s">
        <v>24820</v>
      </c>
      <c r="E41346" s="21" t="s">
        <v>71</v>
      </c>
      <c r="F41346">
        <v>13060111</v>
      </c>
      <c r="G41346" t="s">
        <v>26647</v>
      </c>
      <c r="H41346" s="21">
        <v>500</v>
      </c>
    </row>
    <row r="41347" spans="1:8" customFormat="1" x14ac:dyDescent="0.25">
      <c r="A41347" t="str">
        <f>"1612776"</f>
        <v>1612776</v>
      </c>
      <c r="B41347" t="s">
        <v>16227</v>
      </c>
      <c r="C41347" t="s">
        <v>24888</v>
      </c>
      <c r="D41347" s="21" t="s">
        <v>24820</v>
      </c>
      <c r="E41347" s="21" t="s">
        <v>35</v>
      </c>
      <c r="F41347">
        <v>10160003</v>
      </c>
      <c r="G41347" t="s">
        <v>4692</v>
      </c>
      <c r="H41347" s="21">
        <v>500</v>
      </c>
    </row>
    <row r="41348" spans="1:8" customFormat="1" x14ac:dyDescent="0.25">
      <c r="A41348" t="str">
        <f>"9F5545"</f>
        <v>9F5545</v>
      </c>
      <c r="B41348" t="s">
        <v>23652</v>
      </c>
      <c r="C41348" t="s">
        <v>24863</v>
      </c>
      <c r="D41348" s="21" t="s">
        <v>24820</v>
      </c>
      <c r="E41348" s="21" t="s">
        <v>35</v>
      </c>
      <c r="F41348" t="s">
        <v>23496</v>
      </c>
      <c r="G41348" t="s">
        <v>23497</v>
      </c>
      <c r="H41348" s="21">
        <v>500</v>
      </c>
    </row>
    <row r="41349" spans="1:8" customFormat="1" x14ac:dyDescent="0.25">
      <c r="A41349" t="str">
        <f>"8316759"</f>
        <v>8316759</v>
      </c>
      <c r="B41349" t="s">
        <v>11944</v>
      </c>
      <c r="C41349" t="s">
        <v>24833</v>
      </c>
      <c r="D41349" s="21" t="s">
        <v>24820</v>
      </c>
      <c r="E41349" s="21" t="s">
        <v>35</v>
      </c>
      <c r="F41349">
        <v>13830066</v>
      </c>
      <c r="G41349" t="s">
        <v>7148</v>
      </c>
      <c r="H41349" s="21">
        <v>500</v>
      </c>
    </row>
    <row r="41350" spans="1:8" customFormat="1" x14ac:dyDescent="0.25">
      <c r="A41350" t="str">
        <f>"1318439"</f>
        <v>1318439</v>
      </c>
      <c r="B41350" t="s">
        <v>10061</v>
      </c>
      <c r="C41350" t="s">
        <v>24854</v>
      </c>
      <c r="D41350" s="21" t="s">
        <v>24820</v>
      </c>
      <c r="E41350" s="21" t="s">
        <v>71</v>
      </c>
      <c r="F41350">
        <v>13130164</v>
      </c>
      <c r="G41350" t="s">
        <v>15351</v>
      </c>
      <c r="H41350" s="21">
        <v>500</v>
      </c>
    </row>
    <row r="41351" spans="1:8" customFormat="1" x14ac:dyDescent="0.25">
      <c r="A41351" t="str">
        <f>"777278"</f>
        <v>777278</v>
      </c>
      <c r="B41351" t="s">
        <v>5519</v>
      </c>
      <c r="C41351" t="s">
        <v>24897</v>
      </c>
      <c r="D41351" s="21" t="s">
        <v>24820</v>
      </c>
      <c r="E41351" s="21" t="s">
        <v>71</v>
      </c>
      <c r="F41351">
        <v>8771401</v>
      </c>
      <c r="G41351" t="s">
        <v>6636</v>
      </c>
      <c r="H41351" s="21">
        <v>500</v>
      </c>
    </row>
    <row r="41352" spans="1:8" customFormat="1" x14ac:dyDescent="0.25">
      <c r="A41352" t="str">
        <f>"5110436"</f>
        <v>5110436</v>
      </c>
      <c r="B41352" t="s">
        <v>29927</v>
      </c>
      <c r="C41352" t="s">
        <v>24897</v>
      </c>
      <c r="D41352" s="21" t="s">
        <v>24820</v>
      </c>
      <c r="E41352" s="21" t="s">
        <v>35</v>
      </c>
      <c r="F41352">
        <v>6510107</v>
      </c>
      <c r="G41352" t="s">
        <v>1392</v>
      </c>
      <c r="H41352" s="21">
        <v>500</v>
      </c>
    </row>
    <row r="41353" spans="1:8" customFormat="1" x14ac:dyDescent="0.25">
      <c r="A41353" t="str">
        <f>"9134521"</f>
        <v>9134521</v>
      </c>
      <c r="B41353" t="s">
        <v>9550</v>
      </c>
      <c r="C41353" t="s">
        <v>24840</v>
      </c>
      <c r="D41353" s="21" t="s">
        <v>24820</v>
      </c>
      <c r="E41353" s="21" t="s">
        <v>71</v>
      </c>
      <c r="F41353">
        <v>8910214</v>
      </c>
      <c r="G41353" t="s">
        <v>986</v>
      </c>
      <c r="H41353" s="21">
        <v>500</v>
      </c>
    </row>
    <row r="41354" spans="1:8" customFormat="1" x14ac:dyDescent="0.25">
      <c r="A41354" t="str">
        <f>"4524211"</f>
        <v>4524211</v>
      </c>
      <c r="B41354" t="s">
        <v>25716</v>
      </c>
      <c r="C41354" t="s">
        <v>25717</v>
      </c>
      <c r="D41354" s="21" t="s">
        <v>24820</v>
      </c>
      <c r="E41354" s="21" t="s">
        <v>71</v>
      </c>
      <c r="F41354">
        <v>4450768</v>
      </c>
      <c r="G41354" t="s">
        <v>12739</v>
      </c>
      <c r="H41354" s="21">
        <v>500</v>
      </c>
    </row>
    <row r="41355" spans="1:8" customFormat="1" x14ac:dyDescent="0.25">
      <c r="A41355" t="str">
        <f>"107132"</f>
        <v>107132</v>
      </c>
      <c r="B41355" t="s">
        <v>26156</v>
      </c>
      <c r="C41355" t="s">
        <v>24865</v>
      </c>
      <c r="D41355" s="21" t="s">
        <v>24820</v>
      </c>
      <c r="E41355" s="21" t="s">
        <v>35</v>
      </c>
      <c r="F41355">
        <v>6100046</v>
      </c>
      <c r="G41355" t="s">
        <v>12853</v>
      </c>
      <c r="H41355" s="21">
        <v>500</v>
      </c>
    </row>
    <row r="41356" spans="1:8" customFormat="1" x14ac:dyDescent="0.25">
      <c r="A41356" t="str">
        <f>"9524520"</f>
        <v>9524520</v>
      </c>
      <c r="B41356" t="s">
        <v>13516</v>
      </c>
      <c r="C41356" t="s">
        <v>24833</v>
      </c>
      <c r="D41356" s="21" t="s">
        <v>24820</v>
      </c>
      <c r="E41356" s="21" t="s">
        <v>71</v>
      </c>
      <c r="F41356">
        <v>8951366</v>
      </c>
      <c r="G41356" t="s">
        <v>3708</v>
      </c>
      <c r="H41356" s="21">
        <v>500</v>
      </c>
    </row>
    <row r="41357" spans="1:8" customFormat="1" x14ac:dyDescent="0.25">
      <c r="A41357" t="str">
        <f>"3311913"</f>
        <v>3311913</v>
      </c>
      <c r="B41357" t="s">
        <v>26159</v>
      </c>
      <c r="C41357" t="s">
        <v>24932</v>
      </c>
      <c r="D41357" s="21" t="s">
        <v>24820</v>
      </c>
      <c r="E41357" s="21" t="s">
        <v>254</v>
      </c>
      <c r="F41357">
        <v>10330022</v>
      </c>
      <c r="G41357" t="s">
        <v>1830</v>
      </c>
      <c r="H41357" s="21">
        <v>500</v>
      </c>
    </row>
    <row r="41358" spans="1:8" customFormat="1" x14ac:dyDescent="0.25">
      <c r="A41358" t="str">
        <f>"5724041"</f>
        <v>5724041</v>
      </c>
      <c r="B41358" t="s">
        <v>25641</v>
      </c>
      <c r="C41358" t="s">
        <v>24865</v>
      </c>
      <c r="D41358" s="21" t="s">
        <v>24820</v>
      </c>
      <c r="E41358" s="21" t="s">
        <v>71</v>
      </c>
      <c r="F41358">
        <v>6570070</v>
      </c>
      <c r="G41358" t="s">
        <v>1765</v>
      </c>
      <c r="H41358" s="21">
        <v>500</v>
      </c>
    </row>
    <row r="41359" spans="1:8" customFormat="1" x14ac:dyDescent="0.25">
      <c r="A41359" t="str">
        <f>"1717490"</f>
        <v>1717490</v>
      </c>
      <c r="B41359" t="s">
        <v>29928</v>
      </c>
      <c r="C41359" t="s">
        <v>24927</v>
      </c>
      <c r="D41359" s="21" t="s">
        <v>24820</v>
      </c>
      <c r="E41359" s="21" t="s">
        <v>254</v>
      </c>
      <c r="F41359">
        <v>10170034</v>
      </c>
      <c r="G41359" t="s">
        <v>17256</v>
      </c>
      <c r="H41359" s="21">
        <v>500</v>
      </c>
    </row>
    <row r="41360" spans="1:8" customFormat="1" x14ac:dyDescent="0.25">
      <c r="A41360" t="str">
        <f>"9147531"</f>
        <v>9147531</v>
      </c>
      <c r="B41360" t="s">
        <v>29929</v>
      </c>
      <c r="C41360" t="s">
        <v>29930</v>
      </c>
      <c r="D41360" s="21" t="s">
        <v>24820</v>
      </c>
      <c r="E41360" s="21" t="s">
        <v>35</v>
      </c>
      <c r="F41360">
        <v>8910438</v>
      </c>
      <c r="G41360" t="s">
        <v>761</v>
      </c>
      <c r="H41360" s="21">
        <v>500</v>
      </c>
    </row>
    <row r="41361" spans="1:8" customFormat="1" x14ac:dyDescent="0.25">
      <c r="A41361" t="str">
        <f>"4438818"</f>
        <v>4438818</v>
      </c>
      <c r="B41361" t="s">
        <v>23699</v>
      </c>
      <c r="C41361" t="s">
        <v>25390</v>
      </c>
      <c r="D41361" s="21" t="s">
        <v>24820</v>
      </c>
      <c r="E41361" s="21" t="s">
        <v>254</v>
      </c>
      <c r="F41361">
        <v>12440195</v>
      </c>
      <c r="G41361" t="s">
        <v>3117</v>
      </c>
      <c r="H41361" s="21">
        <v>500</v>
      </c>
    </row>
    <row r="41362" spans="1:8" customFormat="1" x14ac:dyDescent="0.25">
      <c r="A41362" t="str">
        <f>"4216543"</f>
        <v>4216543</v>
      </c>
      <c r="B41362" t="s">
        <v>12558</v>
      </c>
      <c r="C41362" t="s">
        <v>24898</v>
      </c>
      <c r="D41362" s="21" t="s">
        <v>24820</v>
      </c>
      <c r="E41362" s="21" t="s">
        <v>254</v>
      </c>
      <c r="F41362">
        <v>1420078</v>
      </c>
      <c r="G41362" t="s">
        <v>4287</v>
      </c>
      <c r="H41362" s="21">
        <v>500</v>
      </c>
    </row>
    <row r="41363" spans="1:8" customFormat="1" x14ac:dyDescent="0.25">
      <c r="A41363" t="str">
        <f>"9533030"</f>
        <v>9533030</v>
      </c>
      <c r="B41363" t="s">
        <v>6810</v>
      </c>
      <c r="C41363" t="s">
        <v>24968</v>
      </c>
      <c r="D41363" s="21" t="s">
        <v>24820</v>
      </c>
      <c r="E41363" s="21" t="s">
        <v>71</v>
      </c>
      <c r="F41363">
        <v>8950978</v>
      </c>
      <c r="G41363" t="s">
        <v>1164</v>
      </c>
      <c r="H41363" s="21">
        <v>500</v>
      </c>
    </row>
    <row r="41364" spans="1:8" customFormat="1" x14ac:dyDescent="0.25">
      <c r="A41364" t="str">
        <f>"324360"</f>
        <v>324360</v>
      </c>
      <c r="B41364" t="s">
        <v>25839</v>
      </c>
      <c r="C41364" t="s">
        <v>25828</v>
      </c>
      <c r="D41364" s="21" t="s">
        <v>24820</v>
      </c>
      <c r="E41364" s="21" t="s">
        <v>35</v>
      </c>
      <c r="F41364">
        <v>11320031</v>
      </c>
      <c r="G41364" t="s">
        <v>5237</v>
      </c>
      <c r="H41364" s="21">
        <v>500</v>
      </c>
    </row>
    <row r="41365" spans="1:8" customFormat="1" x14ac:dyDescent="0.25">
      <c r="A41365" t="str">
        <f>"1315784"</f>
        <v>1315784</v>
      </c>
      <c r="B41365" t="s">
        <v>25978</v>
      </c>
      <c r="C41365" t="s">
        <v>25088</v>
      </c>
      <c r="D41365" s="21" t="s">
        <v>24820</v>
      </c>
      <c r="E41365" s="21" t="s">
        <v>1089</v>
      </c>
      <c r="F41365">
        <v>13130148</v>
      </c>
      <c r="G41365" t="s">
        <v>12894</v>
      </c>
      <c r="H41365" s="21">
        <v>500</v>
      </c>
    </row>
    <row r="41366" spans="1:8" customFormat="1" x14ac:dyDescent="0.25">
      <c r="A41366" t="str">
        <f>"5011810"</f>
        <v>5011810</v>
      </c>
      <c r="B41366" t="s">
        <v>23598</v>
      </c>
      <c r="C41366" t="s">
        <v>24909</v>
      </c>
      <c r="D41366" s="21" t="s">
        <v>24820</v>
      </c>
      <c r="E41366" s="21" t="s">
        <v>1089</v>
      </c>
      <c r="F41366">
        <v>9500043</v>
      </c>
      <c r="G41366" t="s">
        <v>22813</v>
      </c>
      <c r="H41366" s="21">
        <v>500</v>
      </c>
    </row>
    <row r="41367" spans="1:8" customFormat="1" x14ac:dyDescent="0.25">
      <c r="A41367" t="str">
        <f>"6715512"</f>
        <v>6715512</v>
      </c>
      <c r="B41367" t="s">
        <v>23690</v>
      </c>
      <c r="C41367" t="s">
        <v>26060</v>
      </c>
      <c r="D41367" s="21" t="s">
        <v>24820</v>
      </c>
      <c r="E41367" s="21" t="s">
        <v>71</v>
      </c>
      <c r="F41367">
        <v>6670041</v>
      </c>
      <c r="G41367" t="s">
        <v>1971</v>
      </c>
      <c r="H41367" s="21">
        <v>500</v>
      </c>
    </row>
    <row r="41368" spans="1:8" customFormat="1" x14ac:dyDescent="0.25">
      <c r="A41368" t="str">
        <f>"408018"</f>
        <v>408018</v>
      </c>
      <c r="B41368" t="s">
        <v>29931</v>
      </c>
      <c r="C41368" t="s">
        <v>24900</v>
      </c>
      <c r="D41368" s="21" t="s">
        <v>24820</v>
      </c>
      <c r="E41368" s="21" t="s">
        <v>71</v>
      </c>
      <c r="F41368">
        <v>10400001</v>
      </c>
      <c r="G41368" t="s">
        <v>609</v>
      </c>
      <c r="H41368" s="21">
        <v>500</v>
      </c>
    </row>
    <row r="41369" spans="1:8" customFormat="1" x14ac:dyDescent="0.25">
      <c r="A41369" t="str">
        <f>"364500"</f>
        <v>364500</v>
      </c>
      <c r="B41369" t="s">
        <v>25730</v>
      </c>
      <c r="C41369" t="s">
        <v>23734</v>
      </c>
      <c r="D41369" s="21" t="s">
        <v>24820</v>
      </c>
      <c r="E41369" s="21" t="s">
        <v>71</v>
      </c>
      <c r="F41369">
        <v>4360481</v>
      </c>
      <c r="G41369" t="s">
        <v>12957</v>
      </c>
      <c r="H41369" s="21">
        <v>500</v>
      </c>
    </row>
    <row r="41370" spans="1:8" customFormat="1" x14ac:dyDescent="0.25">
      <c r="A41370" t="str">
        <f>"0613237"</f>
        <v>0613237</v>
      </c>
      <c r="B41370" t="s">
        <v>26063</v>
      </c>
      <c r="C41370" t="s">
        <v>24867</v>
      </c>
      <c r="D41370" s="21" t="s">
        <v>24820</v>
      </c>
      <c r="E41370" s="21" t="s">
        <v>71</v>
      </c>
      <c r="F41370">
        <v>13060005</v>
      </c>
      <c r="G41370" t="s">
        <v>3609</v>
      </c>
      <c r="H41370" s="21">
        <v>500</v>
      </c>
    </row>
    <row r="41371" spans="1:8" customFormat="1" x14ac:dyDescent="0.25">
      <c r="A41371" t="str">
        <f>"3012954"</f>
        <v>3012954</v>
      </c>
      <c r="B41371" t="s">
        <v>29932</v>
      </c>
      <c r="C41371" t="s">
        <v>25188</v>
      </c>
      <c r="D41371" s="21" t="s">
        <v>24820</v>
      </c>
      <c r="E41371" s="21" t="s">
        <v>35</v>
      </c>
      <c r="F41371">
        <v>13130164</v>
      </c>
      <c r="G41371" t="s">
        <v>15351</v>
      </c>
      <c r="H41371" s="21">
        <v>500</v>
      </c>
    </row>
    <row r="41372" spans="1:8" customFormat="1" x14ac:dyDescent="0.25">
      <c r="A41372" t="str">
        <f>"375502"</f>
        <v>375502</v>
      </c>
      <c r="B41372" t="s">
        <v>26043</v>
      </c>
      <c r="C41372" t="s">
        <v>24894</v>
      </c>
      <c r="D41372" s="21" t="s">
        <v>24820</v>
      </c>
      <c r="E41372" s="21" t="s">
        <v>35</v>
      </c>
      <c r="F41372">
        <v>4370002</v>
      </c>
      <c r="G41372" t="s">
        <v>112</v>
      </c>
      <c r="H41372" s="21">
        <v>500</v>
      </c>
    </row>
    <row r="41373" spans="1:8" customFormat="1" x14ac:dyDescent="0.25">
      <c r="A41373" t="str">
        <f>"878858"</f>
        <v>878858</v>
      </c>
      <c r="B41373" t="s">
        <v>17339</v>
      </c>
      <c r="C41373" t="s">
        <v>24865</v>
      </c>
      <c r="D41373" s="21" t="s">
        <v>24820</v>
      </c>
      <c r="E41373" s="21" t="s">
        <v>71</v>
      </c>
      <c r="F41373">
        <v>10870029</v>
      </c>
      <c r="G41373" t="s">
        <v>15820</v>
      </c>
      <c r="H41373" s="21">
        <v>500</v>
      </c>
    </row>
    <row r="41374" spans="1:8" customFormat="1" x14ac:dyDescent="0.25">
      <c r="A41374" t="str">
        <f>"9D2549"</f>
        <v>9D2549</v>
      </c>
      <c r="B41374" t="s">
        <v>18566</v>
      </c>
      <c r="C41374" t="s">
        <v>29933</v>
      </c>
      <c r="D41374" s="21" t="s">
        <v>24820</v>
      </c>
      <c r="E41374" s="21" t="s">
        <v>254</v>
      </c>
      <c r="F41374" t="s">
        <v>3911</v>
      </c>
      <c r="G41374" t="s">
        <v>3912</v>
      </c>
      <c r="H41374" s="21">
        <v>500</v>
      </c>
    </row>
    <row r="41375" spans="1:8" customFormat="1" x14ac:dyDescent="0.25">
      <c r="A41375" t="str">
        <f>"113792"</f>
        <v>113792</v>
      </c>
      <c r="B41375" t="s">
        <v>25705</v>
      </c>
      <c r="C41375" t="s">
        <v>25613</v>
      </c>
      <c r="D41375" s="21" t="s">
        <v>24820</v>
      </c>
      <c r="E41375" s="21" t="s">
        <v>71</v>
      </c>
      <c r="F41375">
        <v>11110001</v>
      </c>
      <c r="G41375" t="s">
        <v>11560</v>
      </c>
      <c r="H41375" s="21">
        <v>500</v>
      </c>
    </row>
    <row r="41376" spans="1:8" customFormat="1" x14ac:dyDescent="0.25">
      <c r="A41376" t="str">
        <f>"9B934"</f>
        <v>9B934</v>
      </c>
      <c r="B41376" t="s">
        <v>26015</v>
      </c>
      <c r="C41376" t="s">
        <v>26016</v>
      </c>
      <c r="D41376" s="21" t="s">
        <v>24820</v>
      </c>
      <c r="E41376" s="21" t="s">
        <v>35</v>
      </c>
      <c r="F41376" t="s">
        <v>24808</v>
      </c>
      <c r="G41376" t="s">
        <v>24809</v>
      </c>
      <c r="H41376" s="21">
        <v>500</v>
      </c>
    </row>
    <row r="41377" spans="1:8" customFormat="1" x14ac:dyDescent="0.25">
      <c r="A41377" t="str">
        <f>"9B941"</f>
        <v>9B941</v>
      </c>
      <c r="B41377" t="s">
        <v>29934</v>
      </c>
      <c r="C41377" t="s">
        <v>25330</v>
      </c>
      <c r="D41377" s="21" t="s">
        <v>24820</v>
      </c>
      <c r="E41377" s="21" t="s">
        <v>71</v>
      </c>
      <c r="F41377" t="s">
        <v>2653</v>
      </c>
      <c r="G41377" t="s">
        <v>2654</v>
      </c>
      <c r="H41377" s="21">
        <v>500</v>
      </c>
    </row>
    <row r="41378" spans="1:8" customFormat="1" x14ac:dyDescent="0.25">
      <c r="A41378" t="str">
        <f>"877889"</f>
        <v>877889</v>
      </c>
      <c r="B41378" t="s">
        <v>12814</v>
      </c>
      <c r="C41378" t="s">
        <v>25273</v>
      </c>
      <c r="D41378" s="21" t="s">
        <v>24820</v>
      </c>
      <c r="E41378" s="21" t="s">
        <v>254</v>
      </c>
      <c r="F41378">
        <v>10870116</v>
      </c>
      <c r="G41378" t="s">
        <v>1806</v>
      </c>
      <c r="H41378" s="21">
        <v>500</v>
      </c>
    </row>
    <row r="41379" spans="1:8" customFormat="1" x14ac:dyDescent="0.25">
      <c r="A41379" t="str">
        <f>"9240987"</f>
        <v>9240987</v>
      </c>
      <c r="B41379" t="s">
        <v>25979</v>
      </c>
      <c r="C41379" t="s">
        <v>23734</v>
      </c>
      <c r="D41379" s="21" t="s">
        <v>24820</v>
      </c>
      <c r="E41379" s="21" t="s">
        <v>71</v>
      </c>
      <c r="F41379">
        <v>8921182</v>
      </c>
      <c r="G41379" t="s">
        <v>26954</v>
      </c>
      <c r="H41379" s="21">
        <v>500</v>
      </c>
    </row>
    <row r="41380" spans="1:8" customFormat="1" x14ac:dyDescent="0.25">
      <c r="A41380" t="str">
        <f>"3322607"</f>
        <v>3322607</v>
      </c>
      <c r="B41380" t="s">
        <v>2032</v>
      </c>
      <c r="C41380" t="s">
        <v>24881</v>
      </c>
      <c r="D41380" s="21" t="s">
        <v>24820</v>
      </c>
      <c r="E41380" s="21" t="s">
        <v>71</v>
      </c>
      <c r="F41380">
        <v>10330084</v>
      </c>
      <c r="G41380" t="s">
        <v>1124</v>
      </c>
      <c r="H41380" s="21">
        <v>500</v>
      </c>
    </row>
    <row r="41381" spans="1:8" customFormat="1" x14ac:dyDescent="0.25">
      <c r="A41381" t="str">
        <f>"9249552"</f>
        <v>9249552</v>
      </c>
      <c r="B41381" t="s">
        <v>1954</v>
      </c>
      <c r="C41381" t="s">
        <v>24927</v>
      </c>
      <c r="D41381" s="21" t="s">
        <v>24820</v>
      </c>
      <c r="E41381" s="21" t="s">
        <v>254</v>
      </c>
      <c r="F41381">
        <v>8920140</v>
      </c>
      <c r="G41381" t="s">
        <v>3762</v>
      </c>
      <c r="H41381" s="21">
        <v>500</v>
      </c>
    </row>
    <row r="41382" spans="1:8" customFormat="1" x14ac:dyDescent="0.25">
      <c r="A41382" t="str">
        <f>"4458543"</f>
        <v>4458543</v>
      </c>
      <c r="B41382" t="s">
        <v>29935</v>
      </c>
      <c r="C41382" t="s">
        <v>24836</v>
      </c>
      <c r="D41382" s="21" t="s">
        <v>24820</v>
      </c>
      <c r="E41382" s="21" t="s">
        <v>254</v>
      </c>
      <c r="F41382">
        <v>12440024</v>
      </c>
      <c r="G41382" t="s">
        <v>2205</v>
      </c>
      <c r="H41382" s="21">
        <v>500</v>
      </c>
    </row>
    <row r="41383" spans="1:8" customFormat="1" x14ac:dyDescent="0.25">
      <c r="A41383" t="str">
        <f>"6110063"</f>
        <v>6110063</v>
      </c>
      <c r="B41383" t="s">
        <v>1081</v>
      </c>
      <c r="C41383" t="s">
        <v>25188</v>
      </c>
      <c r="D41383" s="21" t="s">
        <v>24820</v>
      </c>
      <c r="E41383" s="21" t="s">
        <v>71</v>
      </c>
      <c r="F41383">
        <v>9610131</v>
      </c>
      <c r="G41383" t="s">
        <v>19671</v>
      </c>
      <c r="H41383" s="21">
        <v>500</v>
      </c>
    </row>
    <row r="41384" spans="1:8" customFormat="1" x14ac:dyDescent="0.25">
      <c r="A41384" t="str">
        <f>"9532989"</f>
        <v>9532989</v>
      </c>
      <c r="B41384" t="s">
        <v>1885</v>
      </c>
      <c r="C41384" t="s">
        <v>29936</v>
      </c>
      <c r="D41384" s="21" t="s">
        <v>24820</v>
      </c>
      <c r="E41384" s="21" t="s">
        <v>35</v>
      </c>
      <c r="F41384">
        <v>8950119</v>
      </c>
      <c r="G41384" t="s">
        <v>8174</v>
      </c>
      <c r="H41384" s="21">
        <v>500</v>
      </c>
    </row>
    <row r="41385" spans="1:8" customFormat="1" x14ac:dyDescent="0.25">
      <c r="A41385" t="str">
        <f>"5019636"</f>
        <v>5019636</v>
      </c>
      <c r="B41385" t="s">
        <v>8713</v>
      </c>
      <c r="C41385" t="s">
        <v>29937</v>
      </c>
      <c r="D41385" s="21" t="s">
        <v>24820</v>
      </c>
      <c r="E41385" s="21" t="s">
        <v>71</v>
      </c>
      <c r="F41385">
        <v>9500111</v>
      </c>
      <c r="G41385" t="s">
        <v>6591</v>
      </c>
      <c r="H41385" s="21">
        <v>500</v>
      </c>
    </row>
    <row r="41386" spans="1:8" customFormat="1" x14ac:dyDescent="0.25">
      <c r="A41386" t="str">
        <f>"101554"</f>
        <v>101554</v>
      </c>
      <c r="B41386" t="s">
        <v>8149</v>
      </c>
      <c r="C41386" t="s">
        <v>24910</v>
      </c>
      <c r="D41386" s="21" t="s">
        <v>24820</v>
      </c>
      <c r="E41386" s="21" t="s">
        <v>254</v>
      </c>
      <c r="F41386">
        <v>6100015</v>
      </c>
      <c r="G41386" t="s">
        <v>6173</v>
      </c>
      <c r="H41386" s="21">
        <v>500</v>
      </c>
    </row>
    <row r="41387" spans="1:8" customFormat="1" x14ac:dyDescent="0.25">
      <c r="A41387" t="str">
        <f>"361761"</f>
        <v>361761</v>
      </c>
      <c r="B41387" t="s">
        <v>3231</v>
      </c>
      <c r="C41387" t="s">
        <v>24840</v>
      </c>
      <c r="D41387" s="21" t="s">
        <v>24820</v>
      </c>
      <c r="E41387" s="21" t="s">
        <v>71</v>
      </c>
      <c r="F41387">
        <v>11660032</v>
      </c>
      <c r="G41387" t="s">
        <v>3232</v>
      </c>
      <c r="H41387" s="21">
        <v>500</v>
      </c>
    </row>
    <row r="41388" spans="1:8" customFormat="1" x14ac:dyDescent="0.25">
      <c r="A41388" t="str">
        <f>"5980562"</f>
        <v>5980562</v>
      </c>
      <c r="B41388" t="s">
        <v>25744</v>
      </c>
      <c r="C41388" t="s">
        <v>25035</v>
      </c>
      <c r="D41388" s="21" t="s">
        <v>24820</v>
      </c>
      <c r="E41388" s="21" t="s">
        <v>1089</v>
      </c>
      <c r="F41388">
        <v>7590087</v>
      </c>
      <c r="G41388" t="s">
        <v>2112</v>
      </c>
      <c r="H41388" s="21">
        <v>500</v>
      </c>
    </row>
    <row r="41389" spans="1:8" customFormat="1" x14ac:dyDescent="0.25">
      <c r="A41389" t="str">
        <f>"2936832"</f>
        <v>2936832</v>
      </c>
      <c r="B41389" t="s">
        <v>6686</v>
      </c>
      <c r="C41389" t="s">
        <v>24828</v>
      </c>
      <c r="D41389" s="21" t="s">
        <v>24820</v>
      </c>
      <c r="E41389" s="21" t="s">
        <v>35</v>
      </c>
      <c r="F41389">
        <v>3290227</v>
      </c>
      <c r="G41389" t="s">
        <v>16400</v>
      </c>
      <c r="H41389" s="21">
        <v>500</v>
      </c>
    </row>
    <row r="41390" spans="1:8" customFormat="1" x14ac:dyDescent="0.25">
      <c r="A41390" t="str">
        <f>"39171"</f>
        <v>39171</v>
      </c>
      <c r="B41390" t="s">
        <v>17004</v>
      </c>
      <c r="C41390" t="s">
        <v>24896</v>
      </c>
      <c r="D41390" s="21" t="s">
        <v>24820</v>
      </c>
      <c r="E41390" s="21" t="s">
        <v>71</v>
      </c>
      <c r="F41390">
        <v>2390013</v>
      </c>
      <c r="G41390" t="s">
        <v>22103</v>
      </c>
      <c r="H41390" s="21">
        <v>500</v>
      </c>
    </row>
    <row r="41391" spans="1:8" customFormat="1" x14ac:dyDescent="0.25">
      <c r="A41391" t="str">
        <f>"5621422"</f>
        <v>5621422</v>
      </c>
      <c r="B41391" t="s">
        <v>13465</v>
      </c>
      <c r="C41391" t="s">
        <v>24884</v>
      </c>
      <c r="D41391" s="21" t="s">
        <v>24820</v>
      </c>
      <c r="E41391" s="21" t="s">
        <v>35</v>
      </c>
      <c r="F41391">
        <v>3560097</v>
      </c>
      <c r="G41391" t="s">
        <v>25901</v>
      </c>
      <c r="H41391" s="21">
        <v>500</v>
      </c>
    </row>
    <row r="41392" spans="1:8" customFormat="1" x14ac:dyDescent="0.25">
      <c r="A41392" t="str">
        <f>"4529035"</f>
        <v>4529035</v>
      </c>
      <c r="B41392" t="s">
        <v>22901</v>
      </c>
      <c r="C41392" t="s">
        <v>22831</v>
      </c>
      <c r="D41392" s="21" t="s">
        <v>24820</v>
      </c>
      <c r="E41392" s="21" t="s">
        <v>35</v>
      </c>
      <c r="F41392">
        <v>4450748</v>
      </c>
      <c r="G41392" t="s">
        <v>22902</v>
      </c>
      <c r="H41392" s="21">
        <v>500</v>
      </c>
    </row>
    <row r="41393" spans="1:8" customFormat="1" x14ac:dyDescent="0.25">
      <c r="A41393" t="str">
        <f>"5322105"</f>
        <v>5322105</v>
      </c>
      <c r="B41393" t="s">
        <v>26305</v>
      </c>
      <c r="C41393" t="s">
        <v>25772</v>
      </c>
      <c r="D41393" s="21" t="s">
        <v>24820</v>
      </c>
      <c r="E41393" s="21" t="s">
        <v>6185</v>
      </c>
      <c r="F41393">
        <v>12530017</v>
      </c>
      <c r="G41393" t="s">
        <v>307</v>
      </c>
      <c r="H41393" s="21">
        <v>500</v>
      </c>
    </row>
    <row r="41394" spans="1:8" customFormat="1" x14ac:dyDescent="0.25">
      <c r="A41394" t="str">
        <f>"9C692"</f>
        <v>9C692</v>
      </c>
      <c r="B41394" t="s">
        <v>26088</v>
      </c>
      <c r="C41394" t="s">
        <v>26089</v>
      </c>
      <c r="D41394" s="21" t="s">
        <v>24820</v>
      </c>
      <c r="E41394" s="21" t="s">
        <v>71</v>
      </c>
      <c r="F41394" t="s">
        <v>2871</v>
      </c>
      <c r="G41394" t="s">
        <v>2872</v>
      </c>
      <c r="H41394" s="21">
        <v>500</v>
      </c>
    </row>
    <row r="41395" spans="1:8" customFormat="1" x14ac:dyDescent="0.25">
      <c r="A41395" t="str">
        <f>"7726585"</f>
        <v>7726585</v>
      </c>
      <c r="B41395" t="s">
        <v>16729</v>
      </c>
      <c r="C41395" t="s">
        <v>24881</v>
      </c>
      <c r="D41395" s="21" t="s">
        <v>24820</v>
      </c>
      <c r="E41395" s="21" t="s">
        <v>254</v>
      </c>
      <c r="F41395">
        <v>8771365</v>
      </c>
      <c r="G41395" t="s">
        <v>23275</v>
      </c>
      <c r="H41395" s="21">
        <v>500</v>
      </c>
    </row>
    <row r="41396" spans="1:8" customFormat="1" x14ac:dyDescent="0.25">
      <c r="A41396" t="str">
        <f>"051137"</f>
        <v>051137</v>
      </c>
      <c r="B41396" t="s">
        <v>970</v>
      </c>
      <c r="C41396" t="s">
        <v>22831</v>
      </c>
      <c r="D41396" s="21" t="s">
        <v>24820</v>
      </c>
      <c r="E41396" s="21" t="s">
        <v>71</v>
      </c>
      <c r="F41396">
        <v>13050026</v>
      </c>
      <c r="G41396" t="s">
        <v>18179</v>
      </c>
      <c r="H41396" s="21">
        <v>500</v>
      </c>
    </row>
    <row r="41397" spans="1:8" customFormat="1" x14ac:dyDescent="0.25">
      <c r="A41397" t="str">
        <f>"1321074"</f>
        <v>1321074</v>
      </c>
      <c r="B41397" t="s">
        <v>21685</v>
      </c>
      <c r="C41397" t="s">
        <v>22831</v>
      </c>
      <c r="D41397" s="21" t="s">
        <v>24820</v>
      </c>
      <c r="E41397" s="21" t="s">
        <v>71</v>
      </c>
      <c r="F41397">
        <v>13130169</v>
      </c>
      <c r="G41397" t="s">
        <v>21686</v>
      </c>
      <c r="H41397" s="21">
        <v>500</v>
      </c>
    </row>
    <row r="41398" spans="1:8" customFormat="1" x14ac:dyDescent="0.25">
      <c r="A41398" t="str">
        <f>"114487"</f>
        <v>114487</v>
      </c>
      <c r="B41398" t="s">
        <v>11984</v>
      </c>
      <c r="C41398" t="s">
        <v>24906</v>
      </c>
      <c r="D41398" s="21" t="s">
        <v>24820</v>
      </c>
      <c r="E41398" s="21" t="s">
        <v>254</v>
      </c>
      <c r="F41398">
        <v>11110028</v>
      </c>
      <c r="G41398" t="s">
        <v>10634</v>
      </c>
      <c r="H41398" s="21">
        <v>500</v>
      </c>
    </row>
    <row r="41399" spans="1:8" customFormat="1" x14ac:dyDescent="0.25">
      <c r="A41399" t="str">
        <f>"5320292"</f>
        <v>5320292</v>
      </c>
      <c r="B41399" t="s">
        <v>25665</v>
      </c>
      <c r="C41399" t="s">
        <v>24833</v>
      </c>
      <c r="D41399" s="21" t="s">
        <v>24820</v>
      </c>
      <c r="E41399" s="21" t="s">
        <v>71</v>
      </c>
      <c r="F41399">
        <v>12530114</v>
      </c>
      <c r="G41399" t="s">
        <v>1342</v>
      </c>
      <c r="H41399" s="21">
        <v>500</v>
      </c>
    </row>
    <row r="41400" spans="1:8" customFormat="1" x14ac:dyDescent="0.25">
      <c r="A41400" t="str">
        <f>"0115601"</f>
        <v>0115601</v>
      </c>
      <c r="B41400" t="s">
        <v>10574</v>
      </c>
      <c r="C41400" t="s">
        <v>25200</v>
      </c>
      <c r="D41400" s="21" t="s">
        <v>24820</v>
      </c>
      <c r="E41400" s="21" t="s">
        <v>35</v>
      </c>
      <c r="F41400">
        <v>1010004</v>
      </c>
      <c r="G41400" t="s">
        <v>9066</v>
      </c>
      <c r="H41400" s="21">
        <v>500</v>
      </c>
    </row>
    <row r="41401" spans="1:8" customFormat="1" x14ac:dyDescent="0.25">
      <c r="A41401" t="str">
        <f>"6949207"</f>
        <v>6949207</v>
      </c>
      <c r="B41401" t="s">
        <v>11992</v>
      </c>
      <c r="C41401" t="s">
        <v>24686</v>
      </c>
      <c r="D41401" s="21" t="s">
        <v>24820</v>
      </c>
      <c r="E41401" s="21" t="s">
        <v>254</v>
      </c>
      <c r="F41401">
        <v>1690031</v>
      </c>
      <c r="G41401" t="s">
        <v>2716</v>
      </c>
      <c r="H41401" s="21">
        <v>500</v>
      </c>
    </row>
    <row r="41402" spans="1:8" customFormat="1" x14ac:dyDescent="0.25">
      <c r="A41402" t="str">
        <f>"1612118"</f>
        <v>1612118</v>
      </c>
      <c r="B41402" t="s">
        <v>820</v>
      </c>
      <c r="C41402" t="s">
        <v>24867</v>
      </c>
      <c r="D41402" s="21" t="s">
        <v>24820</v>
      </c>
      <c r="E41402" s="21" t="s">
        <v>35</v>
      </c>
      <c r="F41402">
        <v>10160024</v>
      </c>
      <c r="G41402" t="s">
        <v>511</v>
      </c>
      <c r="H41402" s="21">
        <v>500</v>
      </c>
    </row>
    <row r="41403" spans="1:8" customFormat="1" x14ac:dyDescent="0.25">
      <c r="A41403" t="str">
        <f>"8019016"</f>
        <v>8019016</v>
      </c>
      <c r="B41403" t="s">
        <v>25807</v>
      </c>
      <c r="C41403" t="s">
        <v>25199</v>
      </c>
      <c r="D41403" s="21" t="s">
        <v>24820</v>
      </c>
      <c r="E41403" s="21" t="s">
        <v>71</v>
      </c>
      <c r="F41403">
        <v>7800008</v>
      </c>
      <c r="G41403" t="s">
        <v>842</v>
      </c>
      <c r="H41403" s="21">
        <v>500</v>
      </c>
    </row>
    <row r="41404" spans="1:8" customFormat="1" x14ac:dyDescent="0.25">
      <c r="A41404" t="str">
        <f>"043732"</f>
        <v>043732</v>
      </c>
      <c r="B41404" t="s">
        <v>26292</v>
      </c>
      <c r="C41404" t="s">
        <v>26293</v>
      </c>
      <c r="D41404" s="21" t="s">
        <v>24820</v>
      </c>
      <c r="E41404" s="21" t="s">
        <v>35</v>
      </c>
      <c r="F41404">
        <v>13040030</v>
      </c>
      <c r="G41404" t="s">
        <v>1903</v>
      </c>
      <c r="H41404" s="21">
        <v>500</v>
      </c>
    </row>
    <row r="41405" spans="1:8" customFormat="1" x14ac:dyDescent="0.25">
      <c r="A41405" t="str">
        <f>"9434543"</f>
        <v>9434543</v>
      </c>
      <c r="B41405" t="s">
        <v>25799</v>
      </c>
      <c r="C41405" t="s">
        <v>23734</v>
      </c>
      <c r="D41405" s="21" t="s">
        <v>24820</v>
      </c>
      <c r="E41405" s="21" t="s">
        <v>71</v>
      </c>
      <c r="F41405">
        <v>8940459</v>
      </c>
      <c r="G41405" t="s">
        <v>743</v>
      </c>
      <c r="H41405" s="21">
        <v>500</v>
      </c>
    </row>
    <row r="41406" spans="1:8" customFormat="1" x14ac:dyDescent="0.25">
      <c r="A41406" t="str">
        <f>"9146115"</f>
        <v>9146115</v>
      </c>
      <c r="B41406" t="s">
        <v>1908</v>
      </c>
      <c r="C41406" t="s">
        <v>24889</v>
      </c>
      <c r="D41406" s="21" t="s">
        <v>24820</v>
      </c>
      <c r="E41406" s="21" t="s">
        <v>35</v>
      </c>
      <c r="F41406">
        <v>8910876</v>
      </c>
      <c r="G41406" t="s">
        <v>1721</v>
      </c>
      <c r="H41406" s="21">
        <v>500</v>
      </c>
    </row>
    <row r="41407" spans="1:8" customFormat="1" x14ac:dyDescent="0.25">
      <c r="A41407" t="str">
        <f>"084743"</f>
        <v>084743</v>
      </c>
      <c r="B41407" t="s">
        <v>10999</v>
      </c>
      <c r="C41407" t="s">
        <v>25907</v>
      </c>
      <c r="D41407" s="21" t="s">
        <v>24820</v>
      </c>
      <c r="E41407" s="21" t="s">
        <v>254</v>
      </c>
      <c r="F41407">
        <v>6080082</v>
      </c>
      <c r="G41407" t="s">
        <v>2401</v>
      </c>
      <c r="H41407" s="21">
        <v>500</v>
      </c>
    </row>
    <row r="41408" spans="1:8" customFormat="1" x14ac:dyDescent="0.25">
      <c r="A41408" t="str">
        <f>"5020940"</f>
        <v>5020940</v>
      </c>
      <c r="B41408" t="s">
        <v>26188</v>
      </c>
      <c r="C41408" t="s">
        <v>26189</v>
      </c>
      <c r="D41408" s="21" t="s">
        <v>24820</v>
      </c>
      <c r="E41408" s="21" t="s">
        <v>1089</v>
      </c>
      <c r="F41408">
        <v>9500107</v>
      </c>
      <c r="G41408" t="s">
        <v>9792</v>
      </c>
      <c r="H41408" s="21">
        <v>500</v>
      </c>
    </row>
    <row r="41409" spans="1:8" customFormat="1" x14ac:dyDescent="0.25">
      <c r="A41409" t="str">
        <f>"404959"</f>
        <v>404959</v>
      </c>
      <c r="B41409" t="s">
        <v>15677</v>
      </c>
      <c r="C41409" t="s">
        <v>263</v>
      </c>
      <c r="D41409" s="21" t="s">
        <v>24820</v>
      </c>
      <c r="E41409" s="21" t="s">
        <v>71</v>
      </c>
      <c r="F41409">
        <v>10400026</v>
      </c>
      <c r="G41409" t="s">
        <v>9919</v>
      </c>
      <c r="H41409" s="21">
        <v>500</v>
      </c>
    </row>
    <row r="41410" spans="1:8" customFormat="1" x14ac:dyDescent="0.25">
      <c r="A41410" t="str">
        <f>"771148"</f>
        <v>771148</v>
      </c>
      <c r="B41410" t="s">
        <v>9713</v>
      </c>
      <c r="C41410" t="s">
        <v>25355</v>
      </c>
      <c r="D41410" s="21" t="s">
        <v>24820</v>
      </c>
      <c r="E41410" s="21" t="s">
        <v>254</v>
      </c>
      <c r="F41410">
        <v>8771087</v>
      </c>
      <c r="G41410" t="s">
        <v>9715</v>
      </c>
      <c r="H41410" s="21">
        <v>500</v>
      </c>
    </row>
    <row r="41411" spans="1:8" customFormat="1" x14ac:dyDescent="0.25">
      <c r="A41411" t="str">
        <f>"4458429"</f>
        <v>4458429</v>
      </c>
      <c r="B41411" t="s">
        <v>15443</v>
      </c>
      <c r="C41411" t="s">
        <v>24929</v>
      </c>
      <c r="D41411" s="21" t="s">
        <v>24820</v>
      </c>
      <c r="E41411" s="21" t="s">
        <v>6185</v>
      </c>
      <c r="F41411">
        <v>12440193</v>
      </c>
      <c r="G41411" t="s">
        <v>3786</v>
      </c>
      <c r="H41411" s="21">
        <v>500</v>
      </c>
    </row>
    <row r="41412" spans="1:8" customFormat="1" x14ac:dyDescent="0.25">
      <c r="A41412" t="str">
        <f>"06124"</f>
        <v>06124</v>
      </c>
      <c r="B41412" t="s">
        <v>23296</v>
      </c>
      <c r="C41412" t="s">
        <v>25246</v>
      </c>
      <c r="D41412" s="21" t="s">
        <v>24820</v>
      </c>
      <c r="E41412" s="21" t="s">
        <v>1089</v>
      </c>
      <c r="F41412">
        <v>13060005</v>
      </c>
      <c r="G41412" t="s">
        <v>3609</v>
      </c>
      <c r="H41412" s="21">
        <v>500</v>
      </c>
    </row>
    <row r="41413" spans="1:8" customFormat="1" x14ac:dyDescent="0.25">
      <c r="A41413" t="str">
        <f>"3730630"</f>
        <v>3730630</v>
      </c>
      <c r="B41413" t="s">
        <v>2690</v>
      </c>
      <c r="C41413" t="s">
        <v>25217</v>
      </c>
      <c r="D41413" s="21" t="s">
        <v>24820</v>
      </c>
      <c r="E41413" s="21" t="s">
        <v>35</v>
      </c>
      <c r="F41413">
        <v>4370146</v>
      </c>
      <c r="G41413" t="s">
        <v>10990</v>
      </c>
      <c r="H41413" s="21">
        <v>500</v>
      </c>
    </row>
    <row r="41414" spans="1:8" customFormat="1" x14ac:dyDescent="0.25">
      <c r="A41414" t="str">
        <f>"7714807"</f>
        <v>7714807</v>
      </c>
      <c r="B41414" t="s">
        <v>15987</v>
      </c>
      <c r="C41414" t="s">
        <v>25222</v>
      </c>
      <c r="D41414" s="21" t="s">
        <v>24820</v>
      </c>
      <c r="E41414" s="21" t="s">
        <v>254</v>
      </c>
      <c r="F41414">
        <v>8771448</v>
      </c>
      <c r="G41414" t="s">
        <v>11540</v>
      </c>
      <c r="H41414" s="21">
        <v>500</v>
      </c>
    </row>
    <row r="41415" spans="1:8" customFormat="1" x14ac:dyDescent="0.25">
      <c r="A41415" t="str">
        <f>"1419877"</f>
        <v>1419877</v>
      </c>
      <c r="B41415" t="s">
        <v>25817</v>
      </c>
      <c r="C41415" t="s">
        <v>25502</v>
      </c>
      <c r="D41415" s="21" t="s">
        <v>24820</v>
      </c>
      <c r="E41415" s="21" t="s">
        <v>71</v>
      </c>
      <c r="F41415">
        <v>9140128</v>
      </c>
      <c r="G41415" t="s">
        <v>2798</v>
      </c>
      <c r="H41415" s="21">
        <v>500</v>
      </c>
    </row>
    <row r="41416" spans="1:8" customFormat="1" x14ac:dyDescent="0.25">
      <c r="A41416" t="str">
        <f>"833222"</f>
        <v>833222</v>
      </c>
      <c r="B41416" t="s">
        <v>2478</v>
      </c>
      <c r="C41416" t="s">
        <v>25908</v>
      </c>
      <c r="D41416" s="21" t="s">
        <v>24820</v>
      </c>
      <c r="E41416" s="21" t="s">
        <v>1089</v>
      </c>
      <c r="F41416">
        <v>13830025</v>
      </c>
      <c r="G41416" t="s">
        <v>106</v>
      </c>
      <c r="H41416" s="21">
        <v>500</v>
      </c>
    </row>
    <row r="41417" spans="1:8" customFormat="1" x14ac:dyDescent="0.25">
      <c r="A41417" t="str">
        <f>"5430172"</f>
        <v>5430172</v>
      </c>
      <c r="B41417" t="s">
        <v>13271</v>
      </c>
      <c r="C41417" t="s">
        <v>29938</v>
      </c>
      <c r="D41417" s="21" t="s">
        <v>24820</v>
      </c>
      <c r="E41417" s="21" t="s">
        <v>254</v>
      </c>
      <c r="F41417">
        <v>6540021</v>
      </c>
      <c r="G41417" t="s">
        <v>1815</v>
      </c>
      <c r="H41417" s="21">
        <v>500</v>
      </c>
    </row>
    <row r="41418" spans="1:8" customFormat="1" x14ac:dyDescent="0.25">
      <c r="A41418" t="str">
        <f>"4528630"</f>
        <v>4528630</v>
      </c>
      <c r="B41418" t="s">
        <v>29939</v>
      </c>
      <c r="C41418" t="s">
        <v>25023</v>
      </c>
      <c r="D41418" s="21" t="s">
        <v>24820</v>
      </c>
      <c r="E41418" s="21" t="s">
        <v>35</v>
      </c>
      <c r="F41418">
        <v>4450614</v>
      </c>
      <c r="G41418" t="s">
        <v>13344</v>
      </c>
      <c r="H41418" s="21">
        <v>500</v>
      </c>
    </row>
    <row r="41419" spans="1:8" customFormat="1" x14ac:dyDescent="0.25">
      <c r="A41419" t="str">
        <f>"3339159"</f>
        <v>3339159</v>
      </c>
      <c r="B41419" t="s">
        <v>7418</v>
      </c>
      <c r="C41419" t="s">
        <v>24883</v>
      </c>
      <c r="D41419" s="21" t="s">
        <v>24820</v>
      </c>
      <c r="E41419" s="21" t="s">
        <v>35</v>
      </c>
      <c r="F41419">
        <v>10330017</v>
      </c>
      <c r="G41419" t="s">
        <v>2754</v>
      </c>
      <c r="H41419" s="21">
        <v>500</v>
      </c>
    </row>
    <row r="41420" spans="1:8" customFormat="1" x14ac:dyDescent="0.25">
      <c r="A41420" t="str">
        <f>"2112275"</f>
        <v>2112275</v>
      </c>
      <c r="B41420" t="s">
        <v>26007</v>
      </c>
      <c r="C41420" t="s">
        <v>24968</v>
      </c>
      <c r="D41420" s="21" t="s">
        <v>24820</v>
      </c>
      <c r="E41420" s="21" t="s">
        <v>71</v>
      </c>
      <c r="F41420">
        <v>2210048</v>
      </c>
      <c r="G41420" t="s">
        <v>7499</v>
      </c>
      <c r="H41420" s="21">
        <v>500</v>
      </c>
    </row>
    <row r="41421" spans="1:8" customFormat="1" x14ac:dyDescent="0.25">
      <c r="A41421" t="str">
        <f>"9519690"</f>
        <v>9519690</v>
      </c>
      <c r="B41421" t="s">
        <v>509</v>
      </c>
      <c r="C41421" t="s">
        <v>24926</v>
      </c>
      <c r="D41421" s="21" t="s">
        <v>24820</v>
      </c>
      <c r="E41421" s="21" t="s">
        <v>71</v>
      </c>
      <c r="F41421">
        <v>8950262</v>
      </c>
      <c r="G41421" t="s">
        <v>1881</v>
      </c>
      <c r="H41421" s="21">
        <v>500</v>
      </c>
    </row>
    <row r="41422" spans="1:8" customFormat="1" x14ac:dyDescent="0.25">
      <c r="A41422" t="str">
        <f>"608075"</f>
        <v>608075</v>
      </c>
      <c r="B41422" t="s">
        <v>8239</v>
      </c>
      <c r="C41422" t="s">
        <v>25033</v>
      </c>
      <c r="D41422" s="21" t="s">
        <v>24820</v>
      </c>
      <c r="E41422" s="21" t="s">
        <v>71</v>
      </c>
      <c r="F41422">
        <v>7600088</v>
      </c>
      <c r="G41422" t="s">
        <v>334</v>
      </c>
      <c r="H41422" s="21">
        <v>500</v>
      </c>
    </row>
    <row r="41423" spans="1:8" customFormat="1" x14ac:dyDescent="0.25">
      <c r="A41423" t="str">
        <f>"9456324"</f>
        <v>9456324</v>
      </c>
      <c r="B41423" t="s">
        <v>29940</v>
      </c>
      <c r="C41423" t="s">
        <v>25396</v>
      </c>
      <c r="D41423" s="21" t="s">
        <v>24820</v>
      </c>
      <c r="E41423" s="21" t="s">
        <v>35</v>
      </c>
      <c r="F41423">
        <v>8940926</v>
      </c>
      <c r="G41423" t="s">
        <v>4065</v>
      </c>
      <c r="H41423" s="21">
        <v>500</v>
      </c>
    </row>
    <row r="41424" spans="1:8" customFormat="1" x14ac:dyDescent="0.25">
      <c r="A41424" t="str">
        <f>"036179"</f>
        <v>036179</v>
      </c>
      <c r="B41424" t="s">
        <v>25809</v>
      </c>
      <c r="C41424" t="s">
        <v>24939</v>
      </c>
      <c r="D41424" s="21" t="s">
        <v>24820</v>
      </c>
      <c r="E41424" s="21" t="s">
        <v>71</v>
      </c>
      <c r="F41424">
        <v>1030082</v>
      </c>
      <c r="G41424" t="s">
        <v>26828</v>
      </c>
      <c r="H41424" s="21">
        <v>500</v>
      </c>
    </row>
    <row r="41425" spans="1:8" customFormat="1" x14ac:dyDescent="0.25">
      <c r="A41425" t="str">
        <f>"6932907"</f>
        <v>6932907</v>
      </c>
      <c r="B41425" t="s">
        <v>16306</v>
      </c>
      <c r="C41425" t="s">
        <v>25695</v>
      </c>
      <c r="D41425" s="21" t="s">
        <v>24820</v>
      </c>
      <c r="E41425" s="21" t="s">
        <v>35</v>
      </c>
      <c r="F41425">
        <v>1690211</v>
      </c>
      <c r="G41425" t="s">
        <v>9152</v>
      </c>
      <c r="H41425" s="21">
        <v>500</v>
      </c>
    </row>
    <row r="41426" spans="1:8" customFormat="1" x14ac:dyDescent="0.25">
      <c r="A41426" t="str">
        <f>"7522025"</f>
        <v>7522025</v>
      </c>
      <c r="B41426" t="s">
        <v>25715</v>
      </c>
      <c r="C41426" t="s">
        <v>25521</v>
      </c>
      <c r="D41426" s="21" t="s">
        <v>24820</v>
      </c>
      <c r="E41426" s="21" t="s">
        <v>35</v>
      </c>
      <c r="F41426">
        <v>8750074</v>
      </c>
      <c r="G41426" t="s">
        <v>698</v>
      </c>
      <c r="H41426" s="21">
        <v>500</v>
      </c>
    </row>
    <row r="41427" spans="1:8" customFormat="1" x14ac:dyDescent="0.25">
      <c r="A41427" t="str">
        <f>"814776"</f>
        <v>814776</v>
      </c>
      <c r="B41427" t="s">
        <v>21181</v>
      </c>
      <c r="C41427" t="s">
        <v>24924</v>
      </c>
      <c r="D41427" s="21" t="s">
        <v>24820</v>
      </c>
      <c r="E41427" s="21" t="s">
        <v>254</v>
      </c>
      <c r="F41427">
        <v>11810008</v>
      </c>
      <c r="G41427" t="s">
        <v>8796</v>
      </c>
      <c r="H41427" s="21">
        <v>500</v>
      </c>
    </row>
    <row r="41428" spans="1:8" customFormat="1" x14ac:dyDescent="0.25">
      <c r="A41428" t="str">
        <f>"5980248"</f>
        <v>5980248</v>
      </c>
      <c r="B41428" t="s">
        <v>21149</v>
      </c>
      <c r="C41428" t="s">
        <v>23734</v>
      </c>
      <c r="D41428" s="21" t="s">
        <v>24820</v>
      </c>
      <c r="E41428" s="21" t="s">
        <v>35</v>
      </c>
      <c r="F41428">
        <v>7590425</v>
      </c>
      <c r="G41428" t="s">
        <v>12493</v>
      </c>
      <c r="H41428" s="21">
        <v>500</v>
      </c>
    </row>
    <row r="41429" spans="1:8" customFormat="1" x14ac:dyDescent="0.25">
      <c r="A41429" t="str">
        <f>"5974619"</f>
        <v>5974619</v>
      </c>
      <c r="B41429" t="s">
        <v>12376</v>
      </c>
      <c r="C41429" t="s">
        <v>24828</v>
      </c>
      <c r="D41429" s="21" t="s">
        <v>24820</v>
      </c>
      <c r="E41429" s="21" t="s">
        <v>71</v>
      </c>
      <c r="F41429">
        <v>7590419</v>
      </c>
      <c r="G41429" t="s">
        <v>8051</v>
      </c>
      <c r="H41429" s="21">
        <v>500</v>
      </c>
    </row>
    <row r="41430" spans="1:8" customFormat="1" x14ac:dyDescent="0.25">
      <c r="A41430" t="str">
        <f>"5622159"</f>
        <v>5622159</v>
      </c>
      <c r="B41430" t="s">
        <v>29941</v>
      </c>
      <c r="C41430" t="s">
        <v>24926</v>
      </c>
      <c r="D41430" s="21" t="s">
        <v>24820</v>
      </c>
      <c r="E41430" s="21" t="s">
        <v>35</v>
      </c>
      <c r="F41430">
        <v>3560053</v>
      </c>
      <c r="G41430" t="s">
        <v>298</v>
      </c>
      <c r="H41430" s="21">
        <v>500</v>
      </c>
    </row>
    <row r="41431" spans="1:8" customFormat="1" x14ac:dyDescent="0.25">
      <c r="A41431" t="str">
        <f>"9236697"</f>
        <v>9236697</v>
      </c>
      <c r="B41431" t="s">
        <v>25822</v>
      </c>
      <c r="C41431" t="s">
        <v>24906</v>
      </c>
      <c r="D41431" s="21" t="s">
        <v>24820</v>
      </c>
      <c r="E41431" s="21" t="s">
        <v>1089</v>
      </c>
      <c r="F41431">
        <v>8921458</v>
      </c>
      <c r="G41431" t="s">
        <v>162</v>
      </c>
      <c r="H41431" s="21">
        <v>500</v>
      </c>
    </row>
    <row r="41432" spans="1:8" customFormat="1" x14ac:dyDescent="0.25">
      <c r="A41432" t="str">
        <f>"395382"</f>
        <v>395382</v>
      </c>
      <c r="B41432" t="s">
        <v>1956</v>
      </c>
      <c r="C41432" t="s">
        <v>24897</v>
      </c>
      <c r="D41432" s="21" t="s">
        <v>24820</v>
      </c>
      <c r="E41432" s="21" t="s">
        <v>71</v>
      </c>
      <c r="F41432">
        <v>2390003</v>
      </c>
      <c r="G41432" t="s">
        <v>1150</v>
      </c>
      <c r="H41432" s="21">
        <v>500</v>
      </c>
    </row>
    <row r="41433" spans="1:8" customFormat="1" x14ac:dyDescent="0.25">
      <c r="A41433" t="str">
        <f>"736520"</f>
        <v>736520</v>
      </c>
      <c r="B41433" t="s">
        <v>1867</v>
      </c>
      <c r="C41433" t="s">
        <v>25929</v>
      </c>
      <c r="D41433" s="21" t="s">
        <v>24820</v>
      </c>
      <c r="E41433" s="21" t="s">
        <v>254</v>
      </c>
      <c r="F41433">
        <v>1730067</v>
      </c>
      <c r="G41433" t="s">
        <v>15999</v>
      </c>
      <c r="H41433" s="21">
        <v>500</v>
      </c>
    </row>
    <row r="41434" spans="1:8" customFormat="1" x14ac:dyDescent="0.25">
      <c r="A41434" t="str">
        <f>"4452556"</f>
        <v>4452556</v>
      </c>
      <c r="B41434" t="s">
        <v>19240</v>
      </c>
      <c r="C41434" t="s">
        <v>25031</v>
      </c>
      <c r="D41434" s="21" t="s">
        <v>24820</v>
      </c>
      <c r="E41434" s="21" t="s">
        <v>71</v>
      </c>
      <c r="F41434">
        <v>12440279</v>
      </c>
      <c r="G41434" t="s">
        <v>23572</v>
      </c>
      <c r="H41434" s="21">
        <v>500</v>
      </c>
    </row>
    <row r="41435" spans="1:8" customFormat="1" x14ac:dyDescent="0.25">
      <c r="A41435" t="str">
        <f>"9126465"</f>
        <v>9126465</v>
      </c>
      <c r="B41435" t="s">
        <v>25999</v>
      </c>
      <c r="C41435" t="s">
        <v>24877</v>
      </c>
      <c r="D41435" s="21" t="s">
        <v>24820</v>
      </c>
      <c r="E41435" s="21" t="s">
        <v>71</v>
      </c>
      <c r="F41435">
        <v>8910214</v>
      </c>
      <c r="G41435" t="s">
        <v>986</v>
      </c>
      <c r="H41435" s="21">
        <v>500</v>
      </c>
    </row>
    <row r="41436" spans="1:8" customFormat="1" x14ac:dyDescent="0.25">
      <c r="A41436" t="str">
        <f>"2935792"</f>
        <v>2935792</v>
      </c>
      <c r="B41436" t="s">
        <v>19412</v>
      </c>
      <c r="C41436" t="s">
        <v>23734</v>
      </c>
      <c r="D41436" s="21" t="s">
        <v>24820</v>
      </c>
      <c r="E41436" s="21" t="s">
        <v>71</v>
      </c>
      <c r="F41436">
        <v>3290036</v>
      </c>
      <c r="G41436" t="s">
        <v>3903</v>
      </c>
      <c r="H41436" s="21">
        <v>500</v>
      </c>
    </row>
    <row r="41437" spans="1:8" customFormat="1" x14ac:dyDescent="0.25">
      <c r="A41437" t="str">
        <f>"7730711"</f>
        <v>7730711</v>
      </c>
      <c r="B41437" t="s">
        <v>11893</v>
      </c>
      <c r="C41437" t="s">
        <v>26039</v>
      </c>
      <c r="D41437" s="21" t="s">
        <v>24820</v>
      </c>
      <c r="E41437" s="21" t="s">
        <v>6185</v>
      </c>
      <c r="F41437">
        <v>8771511</v>
      </c>
      <c r="G41437" t="s">
        <v>15221</v>
      </c>
      <c r="H41437" s="21">
        <v>500</v>
      </c>
    </row>
    <row r="41438" spans="1:8" customFormat="1" x14ac:dyDescent="0.25">
      <c r="A41438" t="str">
        <f>"3427076"</f>
        <v>3427076</v>
      </c>
      <c r="B41438" t="s">
        <v>7035</v>
      </c>
      <c r="C41438" t="s">
        <v>26122</v>
      </c>
      <c r="D41438" s="21" t="s">
        <v>24820</v>
      </c>
      <c r="E41438" s="21" t="s">
        <v>35</v>
      </c>
      <c r="F41438">
        <v>11340069</v>
      </c>
      <c r="G41438" t="s">
        <v>23488</v>
      </c>
      <c r="H41438" s="21">
        <v>500</v>
      </c>
    </row>
    <row r="41439" spans="1:8" customFormat="1" x14ac:dyDescent="0.25">
      <c r="A41439" t="str">
        <f>"7861643"</f>
        <v>7861643</v>
      </c>
      <c r="B41439" t="s">
        <v>4219</v>
      </c>
      <c r="C41439" t="s">
        <v>24896</v>
      </c>
      <c r="D41439" s="21" t="s">
        <v>24820</v>
      </c>
      <c r="E41439" s="21" t="s">
        <v>1089</v>
      </c>
      <c r="F41439">
        <v>8780632</v>
      </c>
      <c r="G41439" t="s">
        <v>1571</v>
      </c>
      <c r="H41439" s="21">
        <v>500</v>
      </c>
    </row>
    <row r="41440" spans="1:8" customFormat="1" x14ac:dyDescent="0.25">
      <c r="A41440" t="str">
        <f>"433318"</f>
        <v>433318</v>
      </c>
      <c r="B41440" t="s">
        <v>13201</v>
      </c>
      <c r="C41440" t="s">
        <v>24897</v>
      </c>
      <c r="D41440" s="21" t="s">
        <v>24820</v>
      </c>
      <c r="E41440" s="21" t="s">
        <v>71</v>
      </c>
      <c r="F41440">
        <v>1420237</v>
      </c>
      <c r="G41440" t="s">
        <v>8284</v>
      </c>
      <c r="H41440" s="21">
        <v>500</v>
      </c>
    </row>
    <row r="41441" spans="1:8" customFormat="1" x14ac:dyDescent="0.25">
      <c r="A41441" t="str">
        <f>"524640"</f>
        <v>524640</v>
      </c>
      <c r="B41441" t="s">
        <v>17388</v>
      </c>
      <c r="C41441" t="s">
        <v>24892</v>
      </c>
      <c r="D41441" s="21" t="s">
        <v>24820</v>
      </c>
      <c r="E41441" s="21" t="s">
        <v>35</v>
      </c>
      <c r="F41441">
        <v>6520054</v>
      </c>
      <c r="G41441" t="s">
        <v>2142</v>
      </c>
      <c r="H41441" s="21">
        <v>500</v>
      </c>
    </row>
    <row r="41442" spans="1:8" customFormat="1" x14ac:dyDescent="0.25">
      <c r="A41442" t="str">
        <f>"1424494"</f>
        <v>1424494</v>
      </c>
      <c r="B41442" t="s">
        <v>32</v>
      </c>
      <c r="C41442" t="s">
        <v>24877</v>
      </c>
      <c r="D41442" s="21" t="s">
        <v>24820</v>
      </c>
      <c r="E41442" s="21" t="s">
        <v>71</v>
      </c>
      <c r="F41442">
        <v>9140032</v>
      </c>
      <c r="G41442" t="s">
        <v>2130</v>
      </c>
      <c r="H41442" s="21">
        <v>500</v>
      </c>
    </row>
    <row r="41443" spans="1:8" customFormat="1" x14ac:dyDescent="0.25">
      <c r="A41443" t="str">
        <f>"18812"</f>
        <v>18812</v>
      </c>
      <c r="B41443" t="s">
        <v>26115</v>
      </c>
      <c r="C41443" t="s">
        <v>24898</v>
      </c>
      <c r="D41443" s="21" t="s">
        <v>24820</v>
      </c>
      <c r="E41443" s="21" t="s">
        <v>254</v>
      </c>
      <c r="F41443">
        <v>4180486</v>
      </c>
      <c r="G41443" t="s">
        <v>5295</v>
      </c>
      <c r="H41443" s="21">
        <v>500</v>
      </c>
    </row>
    <row r="41444" spans="1:8" customFormat="1" x14ac:dyDescent="0.25">
      <c r="A41444" t="str">
        <f>"2720249"</f>
        <v>2720249</v>
      </c>
      <c r="B41444" t="s">
        <v>25848</v>
      </c>
      <c r="C41444" t="s">
        <v>22831</v>
      </c>
      <c r="D41444" s="21" t="s">
        <v>24820</v>
      </c>
      <c r="E41444" s="21" t="s">
        <v>35</v>
      </c>
      <c r="F41444">
        <v>9270006</v>
      </c>
      <c r="G41444" t="s">
        <v>780</v>
      </c>
      <c r="H41444" s="21">
        <v>500</v>
      </c>
    </row>
    <row r="41445" spans="1:8" customFormat="1" x14ac:dyDescent="0.25">
      <c r="A41445" t="str">
        <f>"1423787"</f>
        <v>1423787</v>
      </c>
      <c r="B41445" t="s">
        <v>12292</v>
      </c>
      <c r="C41445" t="s">
        <v>25053</v>
      </c>
      <c r="D41445" s="21" t="s">
        <v>24820</v>
      </c>
      <c r="E41445" s="21" t="s">
        <v>35</v>
      </c>
      <c r="F41445">
        <v>9140054</v>
      </c>
      <c r="G41445" t="s">
        <v>3300</v>
      </c>
      <c r="H41445" s="21">
        <v>500</v>
      </c>
    </row>
    <row r="41446" spans="1:8" customFormat="1" x14ac:dyDescent="0.25">
      <c r="A41446" t="str">
        <f>"6215359"</f>
        <v>6215359</v>
      </c>
      <c r="B41446" t="s">
        <v>25692</v>
      </c>
      <c r="C41446" t="s">
        <v>24857</v>
      </c>
      <c r="D41446" s="21" t="s">
        <v>24820</v>
      </c>
      <c r="E41446" s="21" t="s">
        <v>35</v>
      </c>
      <c r="F41446">
        <v>7620104</v>
      </c>
      <c r="G41446" t="s">
        <v>635</v>
      </c>
      <c r="H41446" s="21">
        <v>500</v>
      </c>
    </row>
    <row r="41447" spans="1:8" customFormat="1" x14ac:dyDescent="0.25">
      <c r="A41447" t="str">
        <f>"6936948"</f>
        <v>6936948</v>
      </c>
      <c r="B41447" t="s">
        <v>26246</v>
      </c>
      <c r="C41447" t="s">
        <v>25200</v>
      </c>
      <c r="D41447" s="21" t="s">
        <v>24820</v>
      </c>
      <c r="E41447" s="21" t="s">
        <v>1089</v>
      </c>
      <c r="F41447">
        <v>1690006</v>
      </c>
      <c r="G41447" t="s">
        <v>2543</v>
      </c>
      <c r="H41447" s="21">
        <v>500</v>
      </c>
    </row>
    <row r="41448" spans="1:8" customFormat="1" x14ac:dyDescent="0.25">
      <c r="A41448" t="str">
        <f>"3826774"</f>
        <v>3826774</v>
      </c>
      <c r="B41448" t="s">
        <v>4486</v>
      </c>
      <c r="C41448" t="s">
        <v>25837</v>
      </c>
      <c r="D41448" s="21" t="s">
        <v>24820</v>
      </c>
      <c r="E41448" s="21" t="s">
        <v>71</v>
      </c>
      <c r="F41448">
        <v>1380028</v>
      </c>
      <c r="G41448" t="s">
        <v>374</v>
      </c>
      <c r="H41448" s="21">
        <v>500</v>
      </c>
    </row>
    <row r="41449" spans="1:8" customFormat="1" x14ac:dyDescent="0.25">
      <c r="A41449" t="str">
        <f>"068435"</f>
        <v>068435</v>
      </c>
      <c r="B41449" t="s">
        <v>25982</v>
      </c>
      <c r="C41449" t="s">
        <v>25053</v>
      </c>
      <c r="D41449" s="21" t="s">
        <v>24820</v>
      </c>
      <c r="E41449" s="21" t="s">
        <v>35</v>
      </c>
      <c r="F41449">
        <v>13060110</v>
      </c>
      <c r="G41449" t="s">
        <v>3268</v>
      </c>
      <c r="H41449" s="21">
        <v>500</v>
      </c>
    </row>
    <row r="41450" spans="1:8" customFormat="1" x14ac:dyDescent="0.25">
      <c r="A41450" t="str">
        <f>"5945838"</f>
        <v>5945838</v>
      </c>
      <c r="B41450" t="s">
        <v>10048</v>
      </c>
      <c r="C41450" t="s">
        <v>24824</v>
      </c>
      <c r="D41450" s="21" t="s">
        <v>24820</v>
      </c>
      <c r="E41450" s="21" t="s">
        <v>71</v>
      </c>
      <c r="F41450">
        <v>7590044</v>
      </c>
      <c r="G41450" t="s">
        <v>2029</v>
      </c>
      <c r="H41450" s="21">
        <v>500</v>
      </c>
    </row>
    <row r="41451" spans="1:8" customFormat="1" x14ac:dyDescent="0.25">
      <c r="A41451" t="str">
        <f>"738472"</f>
        <v>738472</v>
      </c>
      <c r="B41451" t="s">
        <v>86</v>
      </c>
      <c r="C41451" t="s">
        <v>24909</v>
      </c>
      <c r="D41451" s="21" t="s">
        <v>24820</v>
      </c>
      <c r="E41451" s="21" t="s">
        <v>254</v>
      </c>
      <c r="F41451">
        <v>1730068</v>
      </c>
      <c r="G41451" t="s">
        <v>3375</v>
      </c>
      <c r="H41451" s="21">
        <v>500</v>
      </c>
    </row>
    <row r="41452" spans="1:8" customFormat="1" x14ac:dyDescent="0.25">
      <c r="A41452" t="str">
        <f>"667054"</f>
        <v>667054</v>
      </c>
      <c r="B41452" t="s">
        <v>29942</v>
      </c>
      <c r="C41452" t="s">
        <v>24871</v>
      </c>
      <c r="D41452" s="21" t="s">
        <v>24820</v>
      </c>
      <c r="E41452" s="21" t="s">
        <v>35</v>
      </c>
      <c r="F41452">
        <v>11660009</v>
      </c>
      <c r="G41452" t="s">
        <v>26624</v>
      </c>
      <c r="H41452" s="21">
        <v>500</v>
      </c>
    </row>
    <row r="41453" spans="1:8" customFormat="1" x14ac:dyDescent="0.25">
      <c r="A41453" t="str">
        <f>"461552"</f>
        <v>461552</v>
      </c>
      <c r="B41453" t="s">
        <v>14884</v>
      </c>
      <c r="C41453" t="s">
        <v>26262</v>
      </c>
      <c r="D41453" s="21" t="s">
        <v>24820</v>
      </c>
      <c r="E41453" s="21" t="s">
        <v>254</v>
      </c>
      <c r="F41453">
        <v>11460029</v>
      </c>
      <c r="G41453" t="s">
        <v>10606</v>
      </c>
      <c r="H41453" s="21">
        <v>500</v>
      </c>
    </row>
    <row r="41454" spans="1:8" customFormat="1" x14ac:dyDescent="0.25">
      <c r="A41454" t="str">
        <f>"5971677"</f>
        <v>5971677</v>
      </c>
      <c r="B41454" t="s">
        <v>4150</v>
      </c>
      <c r="C41454" t="s">
        <v>24873</v>
      </c>
      <c r="D41454" s="21" t="s">
        <v>24820</v>
      </c>
      <c r="E41454" s="21" t="s">
        <v>254</v>
      </c>
      <c r="F41454">
        <v>7590137</v>
      </c>
      <c r="G41454" t="s">
        <v>4246</v>
      </c>
      <c r="H41454" s="21">
        <v>500</v>
      </c>
    </row>
    <row r="41455" spans="1:8" customFormat="1" x14ac:dyDescent="0.25">
      <c r="A41455" t="str">
        <f>"2720966"</f>
        <v>2720966</v>
      </c>
      <c r="B41455" t="s">
        <v>22023</v>
      </c>
      <c r="C41455" t="s">
        <v>25646</v>
      </c>
      <c r="D41455" s="21" t="s">
        <v>24820</v>
      </c>
      <c r="E41455" s="21" t="s">
        <v>35</v>
      </c>
      <c r="F41455">
        <v>9270180</v>
      </c>
      <c r="G41455" t="s">
        <v>10755</v>
      </c>
      <c r="H41455" s="21">
        <v>500</v>
      </c>
    </row>
    <row r="41456" spans="1:8" customFormat="1" x14ac:dyDescent="0.25">
      <c r="A41456" t="str">
        <f>"6710282"</f>
        <v>6710282</v>
      </c>
      <c r="B41456" t="s">
        <v>26071</v>
      </c>
      <c r="C41456" t="s">
        <v>24929</v>
      </c>
      <c r="D41456" s="21" t="s">
        <v>24820</v>
      </c>
      <c r="E41456" s="21" t="s">
        <v>254</v>
      </c>
      <c r="F41456">
        <v>6670195</v>
      </c>
      <c r="G41456" t="s">
        <v>3974</v>
      </c>
      <c r="H41456" s="21">
        <v>500</v>
      </c>
    </row>
    <row r="41457" spans="1:8" customFormat="1" x14ac:dyDescent="0.25">
      <c r="A41457" t="str">
        <f>"4217656"</f>
        <v>4217656</v>
      </c>
      <c r="B41457" t="s">
        <v>29943</v>
      </c>
      <c r="C41457" t="s">
        <v>25386</v>
      </c>
      <c r="D41457" s="21" t="s">
        <v>24820</v>
      </c>
      <c r="E41457" s="21" t="s">
        <v>1089</v>
      </c>
      <c r="F41457">
        <v>1420078</v>
      </c>
      <c r="G41457" t="s">
        <v>4287</v>
      </c>
      <c r="H41457" s="21">
        <v>500</v>
      </c>
    </row>
    <row r="41458" spans="1:8" customFormat="1" x14ac:dyDescent="0.25">
      <c r="A41458" t="str">
        <f>"449590"</f>
        <v>449590</v>
      </c>
      <c r="B41458" t="s">
        <v>25940</v>
      </c>
      <c r="C41458" t="s">
        <v>25941</v>
      </c>
      <c r="D41458" s="21" t="s">
        <v>24820</v>
      </c>
      <c r="E41458" s="21" t="s">
        <v>254</v>
      </c>
      <c r="F41458">
        <v>12440038</v>
      </c>
      <c r="G41458" t="s">
        <v>2057</v>
      </c>
      <c r="H41458" s="21">
        <v>500</v>
      </c>
    </row>
    <row r="41459" spans="1:8" customFormat="1" x14ac:dyDescent="0.25">
      <c r="A41459" t="str">
        <f>"7642620"</f>
        <v>7642620</v>
      </c>
      <c r="B41459" t="s">
        <v>29944</v>
      </c>
      <c r="C41459" t="s">
        <v>25252</v>
      </c>
      <c r="D41459" s="21" t="s">
        <v>24820</v>
      </c>
      <c r="E41459" s="21" t="s">
        <v>71</v>
      </c>
      <c r="F41459">
        <v>9760297</v>
      </c>
      <c r="G41459" t="s">
        <v>27086</v>
      </c>
      <c r="H41459" s="21">
        <v>500</v>
      </c>
    </row>
    <row r="41460" spans="1:8" customFormat="1" x14ac:dyDescent="0.25">
      <c r="A41460" t="str">
        <f>"2940197"</f>
        <v>2940197</v>
      </c>
      <c r="B41460" t="s">
        <v>3646</v>
      </c>
      <c r="C41460" t="s">
        <v>24892</v>
      </c>
      <c r="D41460" s="21" t="s">
        <v>24820</v>
      </c>
      <c r="E41460" s="21" t="s">
        <v>254</v>
      </c>
      <c r="F41460">
        <v>3290241</v>
      </c>
      <c r="G41460" t="s">
        <v>9595</v>
      </c>
      <c r="H41460" s="21">
        <v>500</v>
      </c>
    </row>
    <row r="41461" spans="1:8" customFormat="1" x14ac:dyDescent="0.25">
      <c r="A41461" t="str">
        <f>"848063"</f>
        <v>848063</v>
      </c>
      <c r="B41461" t="s">
        <v>2747</v>
      </c>
      <c r="C41461" t="s">
        <v>24906</v>
      </c>
      <c r="D41461" s="21" t="s">
        <v>24820</v>
      </c>
      <c r="E41461" s="21" t="s">
        <v>71</v>
      </c>
      <c r="F41461">
        <v>13840025</v>
      </c>
      <c r="G41461" t="s">
        <v>7580</v>
      </c>
      <c r="H41461" s="21">
        <v>500</v>
      </c>
    </row>
    <row r="41462" spans="1:8" customFormat="1" x14ac:dyDescent="0.25">
      <c r="A41462" t="str">
        <f>"9E1094"</f>
        <v>9E1094</v>
      </c>
      <c r="B41462" t="s">
        <v>25740</v>
      </c>
      <c r="C41462" t="s">
        <v>24863</v>
      </c>
      <c r="D41462" s="21" t="s">
        <v>24820</v>
      </c>
      <c r="E41462" s="21" t="s">
        <v>35</v>
      </c>
      <c r="F41462" s="24" t="s">
        <v>13124</v>
      </c>
      <c r="G41462" t="s">
        <v>13125</v>
      </c>
      <c r="H41462" s="21">
        <v>500</v>
      </c>
    </row>
    <row r="41463" spans="1:8" customFormat="1" x14ac:dyDescent="0.25">
      <c r="A41463" t="str">
        <f>"5621423"</f>
        <v>5621423</v>
      </c>
      <c r="B41463" t="s">
        <v>9916</v>
      </c>
      <c r="C41463" t="s">
        <v>24979</v>
      </c>
      <c r="D41463" s="21" t="s">
        <v>24820</v>
      </c>
      <c r="E41463" s="21" t="s">
        <v>35</v>
      </c>
      <c r="F41463">
        <v>3560097</v>
      </c>
      <c r="G41463" t="s">
        <v>25901</v>
      </c>
      <c r="H41463" s="21">
        <v>500</v>
      </c>
    </row>
    <row r="41464" spans="1:8" customFormat="1" x14ac:dyDescent="0.25">
      <c r="A41464" t="str">
        <f>"4421730"</f>
        <v>4421730</v>
      </c>
      <c r="B41464" t="s">
        <v>26036</v>
      </c>
      <c r="C41464" t="s">
        <v>24865</v>
      </c>
      <c r="D41464" s="21" t="s">
        <v>24820</v>
      </c>
      <c r="E41464" s="21" t="s">
        <v>71</v>
      </c>
      <c r="F41464">
        <v>12440058</v>
      </c>
      <c r="G41464" t="s">
        <v>394</v>
      </c>
      <c r="H41464" s="21">
        <v>500</v>
      </c>
    </row>
    <row r="41465" spans="1:8" customFormat="1" x14ac:dyDescent="0.25">
      <c r="A41465" t="str">
        <f>"3340446"</f>
        <v>3340446</v>
      </c>
      <c r="B41465" t="s">
        <v>4279</v>
      </c>
      <c r="C41465" t="s">
        <v>25315</v>
      </c>
      <c r="D41465" s="21" t="s">
        <v>24820</v>
      </c>
      <c r="E41465" s="21" t="s">
        <v>35</v>
      </c>
      <c r="F41465">
        <v>10330038</v>
      </c>
      <c r="G41465" t="s">
        <v>4280</v>
      </c>
      <c r="H41465" s="21">
        <v>500</v>
      </c>
    </row>
    <row r="41466" spans="1:8" customFormat="1" x14ac:dyDescent="0.25">
      <c r="A41466" t="str">
        <f>"949464"</f>
        <v>949464</v>
      </c>
      <c r="B41466" t="s">
        <v>1604</v>
      </c>
      <c r="C41466" t="s">
        <v>25714</v>
      </c>
      <c r="D41466" s="21" t="s">
        <v>24820</v>
      </c>
      <c r="E41466" s="21" t="s">
        <v>6185</v>
      </c>
      <c r="F41466">
        <v>8940976</v>
      </c>
      <c r="G41466" t="s">
        <v>615</v>
      </c>
      <c r="H41466" s="21">
        <v>500</v>
      </c>
    </row>
    <row r="41467" spans="1:8" customFormat="1" x14ac:dyDescent="0.25">
      <c r="A41467" t="str">
        <f>"407767"</f>
        <v>407767</v>
      </c>
      <c r="B41467" t="s">
        <v>3997</v>
      </c>
      <c r="C41467" t="s">
        <v>25188</v>
      </c>
      <c r="D41467" s="21" t="s">
        <v>24820</v>
      </c>
      <c r="E41467" s="21" t="s">
        <v>35</v>
      </c>
      <c r="F41467">
        <v>10400027</v>
      </c>
      <c r="G41467" t="s">
        <v>11595</v>
      </c>
      <c r="H41467" s="21">
        <v>500</v>
      </c>
    </row>
    <row r="41468" spans="1:8" customFormat="1" x14ac:dyDescent="0.25">
      <c r="A41468" t="str">
        <f>"868372"</f>
        <v>868372</v>
      </c>
      <c r="B41468" t="s">
        <v>1885</v>
      </c>
      <c r="C41468" t="s">
        <v>25045</v>
      </c>
      <c r="D41468" s="21" t="s">
        <v>24820</v>
      </c>
      <c r="E41468" s="21" t="s">
        <v>1089</v>
      </c>
      <c r="F41468">
        <v>10860225</v>
      </c>
      <c r="G41468" t="s">
        <v>2473</v>
      </c>
      <c r="H41468" s="21">
        <v>500</v>
      </c>
    </row>
    <row r="41469" spans="1:8" customFormat="1" x14ac:dyDescent="0.25">
      <c r="A41469" t="str">
        <f>"8016904"</f>
        <v>8016904</v>
      </c>
      <c r="B41469" t="s">
        <v>25905</v>
      </c>
      <c r="C41469" t="s">
        <v>25906</v>
      </c>
      <c r="D41469" s="21" t="s">
        <v>24820</v>
      </c>
      <c r="E41469" s="21" t="s">
        <v>35</v>
      </c>
      <c r="F41469">
        <v>7800008</v>
      </c>
      <c r="G41469" t="s">
        <v>842</v>
      </c>
      <c r="H41469" s="21">
        <v>500</v>
      </c>
    </row>
    <row r="41470" spans="1:8" customFormat="1" x14ac:dyDescent="0.25">
      <c r="A41470" t="str">
        <f>"1614367"</f>
        <v>1614367</v>
      </c>
      <c r="B41470" t="s">
        <v>29945</v>
      </c>
      <c r="C41470" t="s">
        <v>29946</v>
      </c>
      <c r="D41470" s="21" t="s">
        <v>24820</v>
      </c>
      <c r="E41470" s="21" t="s">
        <v>71</v>
      </c>
      <c r="F41470">
        <v>10160029</v>
      </c>
      <c r="G41470" t="s">
        <v>896</v>
      </c>
      <c r="H41470" s="21">
        <v>500</v>
      </c>
    </row>
    <row r="41471" spans="1:8" customFormat="1" x14ac:dyDescent="0.25">
      <c r="A41471" t="str">
        <f>"868373"</f>
        <v>868373</v>
      </c>
      <c r="B41471" t="s">
        <v>6725</v>
      </c>
      <c r="C41471" t="s">
        <v>25386</v>
      </c>
      <c r="D41471" s="21" t="s">
        <v>24820</v>
      </c>
      <c r="E41471" s="21" t="s">
        <v>254</v>
      </c>
      <c r="F41471">
        <v>10860225</v>
      </c>
      <c r="G41471" t="s">
        <v>2473</v>
      </c>
      <c r="H41471" s="21">
        <v>500</v>
      </c>
    </row>
    <row r="41472" spans="1:8" customFormat="1" x14ac:dyDescent="0.25">
      <c r="A41472" t="str">
        <f>"6720966"</f>
        <v>6720966</v>
      </c>
      <c r="B41472" t="s">
        <v>13880</v>
      </c>
      <c r="C41472" t="s">
        <v>22831</v>
      </c>
      <c r="D41472" s="21" t="s">
        <v>24820</v>
      </c>
      <c r="E41472" s="21" t="s">
        <v>254</v>
      </c>
      <c r="F41472">
        <v>6670003</v>
      </c>
      <c r="G41472" t="s">
        <v>1520</v>
      </c>
      <c r="H41472" s="21">
        <v>500</v>
      </c>
    </row>
    <row r="41473" spans="1:8" customFormat="1" x14ac:dyDescent="0.25">
      <c r="A41473" t="str">
        <f>"037814"</f>
        <v>037814</v>
      </c>
      <c r="B41473" t="s">
        <v>1611</v>
      </c>
      <c r="C41473" t="s">
        <v>25512</v>
      </c>
      <c r="D41473" s="21" t="s">
        <v>24820</v>
      </c>
      <c r="E41473" s="21" t="s">
        <v>71</v>
      </c>
      <c r="F41473">
        <v>1030042</v>
      </c>
      <c r="G41473" t="s">
        <v>7798</v>
      </c>
      <c r="H41473" s="21">
        <v>500</v>
      </c>
    </row>
    <row r="41474" spans="1:8" customFormat="1" x14ac:dyDescent="0.25">
      <c r="A41474" t="str">
        <f>"7639006"</f>
        <v>7639006</v>
      </c>
      <c r="B41474" t="s">
        <v>213</v>
      </c>
      <c r="C41474" t="s">
        <v>25613</v>
      </c>
      <c r="D41474" s="21" t="s">
        <v>24820</v>
      </c>
      <c r="E41474" s="21" t="s">
        <v>35</v>
      </c>
      <c r="F41474">
        <v>9760082</v>
      </c>
      <c r="G41474" t="s">
        <v>2387</v>
      </c>
      <c r="H41474" s="21">
        <v>500</v>
      </c>
    </row>
    <row r="41475" spans="1:8" customFormat="1" x14ac:dyDescent="0.25">
      <c r="A41475" t="str">
        <f>"7922179"</f>
        <v>7922179</v>
      </c>
      <c r="B41475" t="s">
        <v>5680</v>
      </c>
      <c r="C41475" t="s">
        <v>24893</v>
      </c>
      <c r="D41475" s="21" t="s">
        <v>24820</v>
      </c>
      <c r="E41475" s="21" t="s">
        <v>71</v>
      </c>
      <c r="F41475">
        <v>10790204</v>
      </c>
      <c r="G41475" t="s">
        <v>5681</v>
      </c>
      <c r="H41475" s="21">
        <v>500</v>
      </c>
    </row>
    <row r="41476" spans="1:8" customFormat="1" x14ac:dyDescent="0.25">
      <c r="A41476" t="str">
        <f>"579059"</f>
        <v>579059</v>
      </c>
      <c r="B41476" t="s">
        <v>25720</v>
      </c>
      <c r="C41476" t="s">
        <v>24927</v>
      </c>
      <c r="D41476" s="21" t="s">
        <v>24820</v>
      </c>
      <c r="E41476" s="21" t="s">
        <v>71</v>
      </c>
      <c r="F41476">
        <v>6570029</v>
      </c>
      <c r="G41476" t="s">
        <v>2977</v>
      </c>
      <c r="H41476" s="21">
        <v>500</v>
      </c>
    </row>
    <row r="41477" spans="1:8" customFormat="1" x14ac:dyDescent="0.25">
      <c r="A41477" t="str">
        <f>"5977652"</f>
        <v>5977652</v>
      </c>
      <c r="B41477" t="s">
        <v>27541</v>
      </c>
      <c r="C41477" t="s">
        <v>24824</v>
      </c>
      <c r="D41477" s="21" t="s">
        <v>24820</v>
      </c>
      <c r="E41477" s="21" t="s">
        <v>35</v>
      </c>
      <c r="F41477">
        <v>7590009</v>
      </c>
      <c r="G41477" t="s">
        <v>535</v>
      </c>
      <c r="H41477" s="21">
        <v>500</v>
      </c>
    </row>
    <row r="41478" spans="1:8" customFormat="1" x14ac:dyDescent="0.25">
      <c r="A41478" t="str">
        <f>"3345208"</f>
        <v>3345208</v>
      </c>
      <c r="B41478" t="s">
        <v>29947</v>
      </c>
      <c r="C41478" t="s">
        <v>24904</v>
      </c>
      <c r="D41478" s="21" t="s">
        <v>24820</v>
      </c>
      <c r="E41478" s="21" t="s">
        <v>35</v>
      </c>
      <c r="F41478">
        <v>10330127</v>
      </c>
      <c r="G41478" t="s">
        <v>9051</v>
      </c>
      <c r="H41478" s="21">
        <v>500</v>
      </c>
    </row>
    <row r="41479" spans="1:8" customFormat="1" x14ac:dyDescent="0.25">
      <c r="A41479" t="str">
        <f>"3730677"</f>
        <v>3730677</v>
      </c>
      <c r="B41479" t="s">
        <v>2206</v>
      </c>
      <c r="C41479" t="s">
        <v>25053</v>
      </c>
      <c r="D41479" s="21" t="s">
        <v>24820</v>
      </c>
      <c r="E41479" s="21" t="s">
        <v>71</v>
      </c>
      <c r="F41479">
        <v>4370439</v>
      </c>
      <c r="G41479" t="s">
        <v>2956</v>
      </c>
      <c r="H41479" s="21">
        <v>500</v>
      </c>
    </row>
    <row r="41480" spans="1:8" customFormat="1" x14ac:dyDescent="0.25">
      <c r="A41480" t="str">
        <f>"7214562"</f>
        <v>7214562</v>
      </c>
      <c r="B41480" t="s">
        <v>2564</v>
      </c>
      <c r="C41480" t="s">
        <v>25031</v>
      </c>
      <c r="D41480" s="21" t="s">
        <v>24820</v>
      </c>
      <c r="E41480" s="21" t="s">
        <v>1089</v>
      </c>
      <c r="F41480">
        <v>12720056</v>
      </c>
      <c r="G41480" t="s">
        <v>9231</v>
      </c>
      <c r="H41480" s="21">
        <v>500</v>
      </c>
    </row>
    <row r="41481" spans="1:8" customFormat="1" x14ac:dyDescent="0.25">
      <c r="A41481" t="str">
        <f>"5015689"</f>
        <v>5015689</v>
      </c>
      <c r="B41481" t="s">
        <v>26051</v>
      </c>
      <c r="C41481" t="s">
        <v>25031</v>
      </c>
      <c r="D41481" s="21" t="s">
        <v>24820</v>
      </c>
      <c r="E41481" s="21" t="s">
        <v>254</v>
      </c>
      <c r="F41481">
        <v>9500059</v>
      </c>
      <c r="G41481" t="s">
        <v>26714</v>
      </c>
      <c r="H41481" s="21">
        <v>500</v>
      </c>
    </row>
    <row r="41482" spans="1:8" customFormat="1" x14ac:dyDescent="0.25">
      <c r="A41482" t="str">
        <f>"5428559"</f>
        <v>5428559</v>
      </c>
      <c r="B41482" t="s">
        <v>3528</v>
      </c>
      <c r="C41482" t="s">
        <v>24904</v>
      </c>
      <c r="D41482" s="21" t="s">
        <v>24820</v>
      </c>
      <c r="E41482" s="21" t="s">
        <v>35</v>
      </c>
      <c r="F41482">
        <v>6540108</v>
      </c>
      <c r="G41482" t="s">
        <v>4340</v>
      </c>
      <c r="H41482" s="21">
        <v>500</v>
      </c>
    </row>
    <row r="41483" spans="1:8" customFormat="1" x14ac:dyDescent="0.25">
      <c r="A41483" t="str">
        <f>"814795"</f>
        <v>814795</v>
      </c>
      <c r="B41483" t="s">
        <v>208</v>
      </c>
      <c r="C41483" t="s">
        <v>25663</v>
      </c>
      <c r="D41483" s="21" t="s">
        <v>24820</v>
      </c>
      <c r="E41483" s="21" t="s">
        <v>35</v>
      </c>
      <c r="F41483">
        <v>11810024</v>
      </c>
      <c r="G41483" t="s">
        <v>2095</v>
      </c>
      <c r="H41483" s="21">
        <v>500</v>
      </c>
    </row>
    <row r="41484" spans="1:8" customFormat="1" x14ac:dyDescent="0.25">
      <c r="A41484" t="str">
        <f>"8011973"</f>
        <v>8011973</v>
      </c>
      <c r="B41484" t="s">
        <v>28648</v>
      </c>
      <c r="C41484" t="s">
        <v>26011</v>
      </c>
      <c r="D41484" s="21" t="s">
        <v>24820</v>
      </c>
      <c r="E41484" s="21" t="s">
        <v>254</v>
      </c>
      <c r="F41484">
        <v>7800006</v>
      </c>
      <c r="G41484" t="s">
        <v>6365</v>
      </c>
      <c r="H41484" s="21">
        <v>500</v>
      </c>
    </row>
    <row r="41485" spans="1:8" customFormat="1" x14ac:dyDescent="0.25">
      <c r="A41485" t="str">
        <f>"9C642"</f>
        <v>9C642</v>
      </c>
      <c r="B41485" t="s">
        <v>25731</v>
      </c>
      <c r="C41485" t="s">
        <v>24958</v>
      </c>
      <c r="D41485" s="21" t="s">
        <v>24820</v>
      </c>
      <c r="E41485" s="21" t="s">
        <v>71</v>
      </c>
      <c r="F41485" t="s">
        <v>22507</v>
      </c>
      <c r="G41485" t="s">
        <v>22508</v>
      </c>
      <c r="H41485" s="21">
        <v>500</v>
      </c>
    </row>
    <row r="41486" spans="1:8" customFormat="1" x14ac:dyDescent="0.25">
      <c r="A41486" t="str">
        <f>"9523819"</f>
        <v>9523819</v>
      </c>
      <c r="B41486" t="s">
        <v>9712</v>
      </c>
      <c r="C41486" t="s">
        <v>24890</v>
      </c>
      <c r="D41486" s="21" t="s">
        <v>24820</v>
      </c>
      <c r="E41486" s="21" t="s">
        <v>71</v>
      </c>
      <c r="F41486">
        <v>8950553</v>
      </c>
      <c r="G41486" t="s">
        <v>1058</v>
      </c>
      <c r="H41486" s="21">
        <v>500</v>
      </c>
    </row>
    <row r="41487" spans="1:8" customFormat="1" x14ac:dyDescent="0.25">
      <c r="A41487" t="str">
        <f>"2929234"</f>
        <v>2929234</v>
      </c>
      <c r="B41487" t="s">
        <v>5985</v>
      </c>
      <c r="C41487" t="s">
        <v>24900</v>
      </c>
      <c r="D41487" s="21" t="s">
        <v>24820</v>
      </c>
      <c r="E41487" s="21" t="s">
        <v>71</v>
      </c>
      <c r="F41487">
        <v>3290018</v>
      </c>
      <c r="G41487" t="s">
        <v>1706</v>
      </c>
      <c r="H41487" s="21">
        <v>500</v>
      </c>
    </row>
    <row r="41488" spans="1:8" customFormat="1" x14ac:dyDescent="0.25">
      <c r="A41488" t="str">
        <f>"1423485"</f>
        <v>1423485</v>
      </c>
      <c r="B41488" t="s">
        <v>6472</v>
      </c>
      <c r="C41488" t="s">
        <v>24871</v>
      </c>
      <c r="D41488" s="21" t="s">
        <v>24820</v>
      </c>
      <c r="E41488" s="21" t="s">
        <v>35</v>
      </c>
      <c r="F41488">
        <v>9140179</v>
      </c>
      <c r="G41488" t="s">
        <v>10146</v>
      </c>
      <c r="H41488" s="21">
        <v>500</v>
      </c>
    </row>
    <row r="41489" spans="1:8" customFormat="1" x14ac:dyDescent="0.25">
      <c r="A41489" t="str">
        <f>"4935790"</f>
        <v>4935790</v>
      </c>
      <c r="B41489" t="s">
        <v>26070</v>
      </c>
      <c r="C41489" t="s">
        <v>25136</v>
      </c>
      <c r="D41489" s="21" t="s">
        <v>24820</v>
      </c>
      <c r="E41489" s="21" t="s">
        <v>71</v>
      </c>
      <c r="F41489">
        <v>12490135</v>
      </c>
      <c r="G41489" t="s">
        <v>18857</v>
      </c>
      <c r="H41489" s="21">
        <v>500</v>
      </c>
    </row>
    <row r="41490" spans="1:8" customFormat="1" x14ac:dyDescent="0.25">
      <c r="A41490" t="str">
        <f>"3537878"</f>
        <v>3537878</v>
      </c>
      <c r="B41490" t="s">
        <v>1347</v>
      </c>
      <c r="C41490" t="s">
        <v>24828</v>
      </c>
      <c r="D41490" s="21" t="s">
        <v>24820</v>
      </c>
      <c r="E41490" s="21" t="s">
        <v>35</v>
      </c>
      <c r="F41490">
        <v>3350150</v>
      </c>
      <c r="G41490" t="s">
        <v>6419</v>
      </c>
      <c r="H41490" s="21">
        <v>500</v>
      </c>
    </row>
    <row r="41491" spans="1:8" customFormat="1" x14ac:dyDescent="0.25">
      <c r="A41491" t="str">
        <f>"9714827"</f>
        <v>9714827</v>
      </c>
      <c r="B41491" t="s">
        <v>25723</v>
      </c>
      <c r="C41491" t="s">
        <v>25008</v>
      </c>
      <c r="D41491" s="21" t="s">
        <v>24820</v>
      </c>
      <c r="E41491" s="21" t="s">
        <v>71</v>
      </c>
      <c r="F41491" t="s">
        <v>731</v>
      </c>
      <c r="G41491" t="s">
        <v>732</v>
      </c>
      <c r="H41491" s="21">
        <v>500</v>
      </c>
    </row>
    <row r="41492" spans="1:8" customFormat="1" x14ac:dyDescent="0.25">
      <c r="A41492" t="str">
        <f>"7642952"</f>
        <v>7642952</v>
      </c>
      <c r="B41492" t="s">
        <v>2157</v>
      </c>
      <c r="C41492" t="s">
        <v>25138</v>
      </c>
      <c r="D41492" s="21" t="s">
        <v>24820</v>
      </c>
      <c r="E41492" s="21" t="s">
        <v>35</v>
      </c>
      <c r="F41492">
        <v>9760366</v>
      </c>
      <c r="G41492" t="s">
        <v>7640</v>
      </c>
      <c r="H41492" s="21">
        <v>500</v>
      </c>
    </row>
    <row r="41493" spans="1:8" customFormat="1" x14ac:dyDescent="0.25">
      <c r="A41493" t="str">
        <f>"6310983"</f>
        <v>6310983</v>
      </c>
      <c r="B41493" t="s">
        <v>29948</v>
      </c>
      <c r="C41493" t="s">
        <v>24883</v>
      </c>
      <c r="D41493" s="21" t="s">
        <v>24820</v>
      </c>
      <c r="E41493" s="21" t="s">
        <v>35</v>
      </c>
      <c r="F41493">
        <v>1630318</v>
      </c>
      <c r="G41493" t="s">
        <v>8341</v>
      </c>
      <c r="H41493" s="21">
        <v>500</v>
      </c>
    </row>
    <row r="41494" spans="1:8" customFormat="1" x14ac:dyDescent="0.25">
      <c r="A41494" t="str">
        <f>"7642691"</f>
        <v>7642691</v>
      </c>
      <c r="B41494" t="s">
        <v>20587</v>
      </c>
      <c r="C41494" t="s">
        <v>24884</v>
      </c>
      <c r="D41494" s="21" t="s">
        <v>24820</v>
      </c>
      <c r="E41494" s="21" t="s">
        <v>35</v>
      </c>
      <c r="F41494">
        <v>9760136</v>
      </c>
      <c r="G41494" t="s">
        <v>5035</v>
      </c>
      <c r="H41494" s="21">
        <v>500</v>
      </c>
    </row>
    <row r="41495" spans="1:8" customFormat="1" x14ac:dyDescent="0.25">
      <c r="A41495" t="str">
        <f>"8018307"</f>
        <v>8018307</v>
      </c>
      <c r="B41495" t="s">
        <v>24524</v>
      </c>
      <c r="C41495" t="s">
        <v>22831</v>
      </c>
      <c r="D41495" s="21" t="s">
        <v>24820</v>
      </c>
      <c r="E41495" s="21" t="s">
        <v>35</v>
      </c>
      <c r="F41495">
        <v>7800006</v>
      </c>
      <c r="G41495" t="s">
        <v>6365</v>
      </c>
      <c r="H41495" s="21">
        <v>500</v>
      </c>
    </row>
    <row r="41496" spans="1:8" customFormat="1" x14ac:dyDescent="0.25">
      <c r="A41496" t="str">
        <f>"1319550"</f>
        <v>1319550</v>
      </c>
      <c r="B41496" t="s">
        <v>2826</v>
      </c>
      <c r="C41496" t="s">
        <v>24968</v>
      </c>
      <c r="D41496" s="21" t="s">
        <v>24820</v>
      </c>
      <c r="E41496" s="21" t="s">
        <v>35</v>
      </c>
      <c r="F41496">
        <v>13130165</v>
      </c>
      <c r="G41496" t="s">
        <v>2827</v>
      </c>
      <c r="H41496" s="21">
        <v>500</v>
      </c>
    </row>
    <row r="41497" spans="1:8" customFormat="1" x14ac:dyDescent="0.25">
      <c r="A41497" t="str">
        <f>"9B933"</f>
        <v>9B933</v>
      </c>
      <c r="B41497" t="s">
        <v>26059</v>
      </c>
      <c r="C41497" t="s">
        <v>24897</v>
      </c>
      <c r="D41497" s="21" t="s">
        <v>24820</v>
      </c>
      <c r="E41497" s="21" t="s">
        <v>35</v>
      </c>
      <c r="F41497" t="s">
        <v>24808</v>
      </c>
      <c r="G41497" t="s">
        <v>24809</v>
      </c>
      <c r="H41497" s="21">
        <v>500</v>
      </c>
    </row>
    <row r="41498" spans="1:8" customFormat="1" x14ac:dyDescent="0.25">
      <c r="A41498" t="str">
        <f>"289034"</f>
        <v>289034</v>
      </c>
      <c r="B41498" t="s">
        <v>8479</v>
      </c>
      <c r="C41498" t="s">
        <v>25390</v>
      </c>
      <c r="D41498" s="21" t="s">
        <v>24820</v>
      </c>
      <c r="E41498" s="21" t="s">
        <v>71</v>
      </c>
      <c r="F41498">
        <v>4280104</v>
      </c>
      <c r="G41498" t="s">
        <v>8480</v>
      </c>
      <c r="H41498" s="21">
        <v>500</v>
      </c>
    </row>
    <row r="41499" spans="1:8" customFormat="1" x14ac:dyDescent="0.25">
      <c r="A41499" t="str">
        <f>"2720230"</f>
        <v>2720230</v>
      </c>
      <c r="B41499" t="s">
        <v>6880</v>
      </c>
      <c r="C41499" t="s">
        <v>24836</v>
      </c>
      <c r="D41499" s="21" t="s">
        <v>24820</v>
      </c>
      <c r="E41499" s="21" t="s">
        <v>35</v>
      </c>
      <c r="F41499">
        <v>9270063</v>
      </c>
      <c r="G41499" t="s">
        <v>808</v>
      </c>
      <c r="H41499" s="21">
        <v>500</v>
      </c>
    </row>
    <row r="41500" spans="1:8" customFormat="1" x14ac:dyDescent="0.25">
      <c r="A41500" t="str">
        <f>"7639711"</f>
        <v>7639711</v>
      </c>
      <c r="B41500" t="s">
        <v>22542</v>
      </c>
      <c r="C41500" t="s">
        <v>25166</v>
      </c>
      <c r="D41500" s="21" t="s">
        <v>24820</v>
      </c>
      <c r="E41500" s="21" t="s">
        <v>254</v>
      </c>
      <c r="F41500">
        <v>9760107</v>
      </c>
      <c r="G41500" t="s">
        <v>122</v>
      </c>
      <c r="H41500" s="21">
        <v>500</v>
      </c>
    </row>
    <row r="41501" spans="1:8" customFormat="1" x14ac:dyDescent="0.25">
      <c r="A41501" t="str">
        <f>"5732733"</f>
        <v>5732733</v>
      </c>
      <c r="B41501" t="s">
        <v>18692</v>
      </c>
      <c r="C41501" t="s">
        <v>29949</v>
      </c>
      <c r="D41501" s="21" t="s">
        <v>24820</v>
      </c>
      <c r="E41501" s="21" t="s">
        <v>254</v>
      </c>
      <c r="F41501">
        <v>6570132</v>
      </c>
      <c r="G41501" t="s">
        <v>26746</v>
      </c>
      <c r="H41501" s="21">
        <v>500</v>
      </c>
    </row>
    <row r="41502" spans="1:8" customFormat="1" x14ac:dyDescent="0.25">
      <c r="A41502" t="str">
        <f>"7716316"</f>
        <v>7716316</v>
      </c>
      <c r="B41502" t="s">
        <v>26332</v>
      </c>
      <c r="C41502" t="s">
        <v>24906</v>
      </c>
      <c r="D41502" s="21" t="s">
        <v>24820</v>
      </c>
      <c r="E41502" s="21" t="s">
        <v>71</v>
      </c>
      <c r="F41502">
        <v>8770499</v>
      </c>
      <c r="G41502" t="s">
        <v>447</v>
      </c>
      <c r="H41502" s="21">
        <v>500</v>
      </c>
    </row>
    <row r="41503" spans="1:8" customFormat="1" x14ac:dyDescent="0.25">
      <c r="A41503" t="str">
        <f>"6314350"</f>
        <v>6314350</v>
      </c>
      <c r="B41503" t="s">
        <v>10035</v>
      </c>
      <c r="C41503" t="s">
        <v>22831</v>
      </c>
      <c r="D41503" s="21" t="s">
        <v>24820</v>
      </c>
      <c r="E41503" s="21" t="s">
        <v>35</v>
      </c>
      <c r="F41503">
        <v>1630261</v>
      </c>
      <c r="G41503" t="s">
        <v>1382</v>
      </c>
      <c r="H41503" s="21">
        <v>500</v>
      </c>
    </row>
    <row r="41504" spans="1:8" customFormat="1" x14ac:dyDescent="0.25">
      <c r="A41504" t="str">
        <f>"8019018"</f>
        <v>8019018</v>
      </c>
      <c r="B41504" t="s">
        <v>25774</v>
      </c>
      <c r="C41504" t="s">
        <v>25066</v>
      </c>
      <c r="D41504" s="21" t="s">
        <v>24820</v>
      </c>
      <c r="E41504" s="21" t="s">
        <v>35</v>
      </c>
      <c r="F41504">
        <v>7800147</v>
      </c>
      <c r="G41504" t="s">
        <v>10438</v>
      </c>
      <c r="H41504" s="21">
        <v>500</v>
      </c>
    </row>
    <row r="41505" spans="1:8" customFormat="1" x14ac:dyDescent="0.25">
      <c r="A41505" t="str">
        <f>"71563"</f>
        <v>71563</v>
      </c>
      <c r="B41505" t="s">
        <v>9568</v>
      </c>
      <c r="C41505" t="s">
        <v>24958</v>
      </c>
      <c r="D41505" s="21" t="s">
        <v>24820</v>
      </c>
      <c r="E41505" s="21" t="s">
        <v>71</v>
      </c>
      <c r="F41505">
        <v>2710067</v>
      </c>
      <c r="G41505" t="s">
        <v>284</v>
      </c>
      <c r="H41505" s="21">
        <v>500</v>
      </c>
    </row>
    <row r="41506" spans="1:8" customFormat="1" x14ac:dyDescent="0.25">
      <c r="A41506" t="str">
        <f>"663593"</f>
        <v>663593</v>
      </c>
      <c r="B41506" t="s">
        <v>25776</v>
      </c>
      <c r="C41506" t="s">
        <v>24686</v>
      </c>
      <c r="D41506" s="21" t="s">
        <v>24820</v>
      </c>
      <c r="E41506" s="21" t="s">
        <v>254</v>
      </c>
      <c r="F41506">
        <v>11660024</v>
      </c>
      <c r="G41506" t="s">
        <v>22992</v>
      </c>
      <c r="H41506" s="21">
        <v>500</v>
      </c>
    </row>
    <row r="41507" spans="1:8" customFormat="1" x14ac:dyDescent="0.25">
      <c r="A41507" t="str">
        <f>"9E464"</f>
        <v>9E464</v>
      </c>
      <c r="B41507" t="s">
        <v>12744</v>
      </c>
      <c r="C41507" t="s">
        <v>25324</v>
      </c>
      <c r="D41507" s="21" t="s">
        <v>24820</v>
      </c>
      <c r="E41507" s="21" t="s">
        <v>71</v>
      </c>
      <c r="F41507" s="24" t="s">
        <v>13124</v>
      </c>
      <c r="G41507" t="s">
        <v>13125</v>
      </c>
      <c r="H41507" s="21">
        <v>500</v>
      </c>
    </row>
    <row r="41508" spans="1:8" customFormat="1" x14ac:dyDescent="0.25">
      <c r="A41508" t="str">
        <f>"0210531"</f>
        <v>0210531</v>
      </c>
      <c r="B41508" t="s">
        <v>10601</v>
      </c>
      <c r="C41508" t="s">
        <v>24909</v>
      </c>
      <c r="D41508" s="21" t="s">
        <v>24820</v>
      </c>
      <c r="E41508" s="21" t="s">
        <v>71</v>
      </c>
      <c r="F41508">
        <v>7020003</v>
      </c>
      <c r="G41508" t="s">
        <v>7268</v>
      </c>
      <c r="H41508" s="21">
        <v>500</v>
      </c>
    </row>
    <row r="41509" spans="1:8" customFormat="1" x14ac:dyDescent="0.25">
      <c r="A41509" t="str">
        <f>"6310035"</f>
        <v>6310035</v>
      </c>
      <c r="B41509" t="s">
        <v>17538</v>
      </c>
      <c r="C41509" t="s">
        <v>24897</v>
      </c>
      <c r="D41509" s="21" t="s">
        <v>24820</v>
      </c>
      <c r="E41509" s="21" t="s">
        <v>71</v>
      </c>
      <c r="F41509">
        <v>1630185</v>
      </c>
      <c r="G41509" t="s">
        <v>858</v>
      </c>
      <c r="H41509" s="21">
        <v>500</v>
      </c>
    </row>
    <row r="41510" spans="1:8" customFormat="1" x14ac:dyDescent="0.25">
      <c r="A41510" t="str">
        <f>"1425706"</f>
        <v>1425706</v>
      </c>
      <c r="B41510" t="s">
        <v>461</v>
      </c>
      <c r="C41510" t="s">
        <v>24978</v>
      </c>
      <c r="D41510" s="21" t="s">
        <v>24820</v>
      </c>
      <c r="E41510" s="21" t="s">
        <v>254</v>
      </c>
      <c r="F41510">
        <v>9140012</v>
      </c>
      <c r="G41510" t="s">
        <v>26518</v>
      </c>
      <c r="H41510" s="21">
        <v>500</v>
      </c>
    </row>
    <row r="41511" spans="1:8" customFormat="1" x14ac:dyDescent="0.25">
      <c r="A41511" t="str">
        <f>"1422954"</f>
        <v>1422954</v>
      </c>
      <c r="B41511" t="s">
        <v>19438</v>
      </c>
      <c r="C41511" t="s">
        <v>25921</v>
      </c>
      <c r="D41511" s="21" t="s">
        <v>24820</v>
      </c>
      <c r="E41511" s="21" t="s">
        <v>35</v>
      </c>
      <c r="F41511">
        <v>9140012</v>
      </c>
      <c r="G41511" t="s">
        <v>26518</v>
      </c>
      <c r="H41511" s="21">
        <v>500</v>
      </c>
    </row>
    <row r="41512" spans="1:8" customFormat="1" x14ac:dyDescent="0.25">
      <c r="A41512" t="str">
        <f>"6230144"</f>
        <v>6230144</v>
      </c>
      <c r="B41512" t="s">
        <v>26085</v>
      </c>
      <c r="C41512" t="s">
        <v>25370</v>
      </c>
      <c r="D41512" s="21" t="s">
        <v>24820</v>
      </c>
      <c r="E41512" s="21" t="s">
        <v>35</v>
      </c>
      <c r="F41512">
        <v>7620092</v>
      </c>
      <c r="G41512" t="s">
        <v>9874</v>
      </c>
      <c r="H41512" s="21">
        <v>500</v>
      </c>
    </row>
    <row r="41513" spans="1:8" customFormat="1" x14ac:dyDescent="0.25">
      <c r="A41513" t="str">
        <f>"039030"</f>
        <v>039030</v>
      </c>
      <c r="B41513" t="s">
        <v>12278</v>
      </c>
      <c r="C41513" t="s">
        <v>24854</v>
      </c>
      <c r="D41513" s="21" t="s">
        <v>24820</v>
      </c>
      <c r="E41513" s="21" t="s">
        <v>71</v>
      </c>
      <c r="F41513">
        <v>1030035</v>
      </c>
      <c r="G41513" t="s">
        <v>2343</v>
      </c>
      <c r="H41513" s="21">
        <v>500</v>
      </c>
    </row>
    <row r="41514" spans="1:8" customFormat="1" x14ac:dyDescent="0.25">
      <c r="A41514" t="str">
        <f>"6945326"</f>
        <v>6945326</v>
      </c>
      <c r="B41514" t="s">
        <v>29950</v>
      </c>
      <c r="C41514" t="s">
        <v>29946</v>
      </c>
      <c r="D41514" s="21" t="s">
        <v>24820</v>
      </c>
      <c r="E41514" s="21" t="s">
        <v>254</v>
      </c>
      <c r="F41514">
        <v>1690006</v>
      </c>
      <c r="G41514" t="s">
        <v>2543</v>
      </c>
      <c r="H41514" s="21">
        <v>500</v>
      </c>
    </row>
    <row r="41515" spans="1:8" customFormat="1" x14ac:dyDescent="0.25">
      <c r="A41515" t="str">
        <f>"1417984"</f>
        <v>1417984</v>
      </c>
      <c r="B41515" t="s">
        <v>3873</v>
      </c>
      <c r="C41515" t="s">
        <v>24854</v>
      </c>
      <c r="D41515" s="21" t="s">
        <v>24820</v>
      </c>
      <c r="E41515" s="21" t="s">
        <v>35</v>
      </c>
      <c r="F41515">
        <v>9140012</v>
      </c>
      <c r="G41515" t="s">
        <v>26518</v>
      </c>
      <c r="H41515" s="21">
        <v>500</v>
      </c>
    </row>
    <row r="41516" spans="1:8" customFormat="1" x14ac:dyDescent="0.25">
      <c r="A41516" t="str">
        <f>"4937738"</f>
        <v>4937738</v>
      </c>
      <c r="B41516" t="s">
        <v>1533</v>
      </c>
      <c r="C41516" t="s">
        <v>25130</v>
      </c>
      <c r="D41516" s="21" t="s">
        <v>24820</v>
      </c>
      <c r="E41516" s="21" t="s">
        <v>35</v>
      </c>
      <c r="F41516">
        <v>12490131</v>
      </c>
      <c r="G41516" t="s">
        <v>12847</v>
      </c>
      <c r="H41516" s="21">
        <v>500</v>
      </c>
    </row>
    <row r="41517" spans="1:8" customFormat="1" x14ac:dyDescent="0.25">
      <c r="A41517" t="str">
        <f>"5020479"</f>
        <v>5020479</v>
      </c>
      <c r="B41517" t="s">
        <v>18906</v>
      </c>
      <c r="C41517" t="s">
        <v>24927</v>
      </c>
      <c r="D41517" s="21" t="s">
        <v>24820</v>
      </c>
      <c r="E41517" s="21" t="s">
        <v>71</v>
      </c>
      <c r="F41517">
        <v>9500124</v>
      </c>
      <c r="G41517" t="s">
        <v>3726</v>
      </c>
      <c r="H41517" s="21">
        <v>500</v>
      </c>
    </row>
    <row r="41518" spans="1:8" customFormat="1" x14ac:dyDescent="0.25">
      <c r="A41518" t="str">
        <f>"5326963"</f>
        <v>5326963</v>
      </c>
      <c r="B41518" t="s">
        <v>20784</v>
      </c>
      <c r="C41518" t="s">
        <v>24869</v>
      </c>
      <c r="D41518" s="21" t="s">
        <v>24820</v>
      </c>
      <c r="E41518" s="21" t="s">
        <v>35</v>
      </c>
      <c r="F41518">
        <v>12530020</v>
      </c>
      <c r="G41518" t="s">
        <v>12755</v>
      </c>
      <c r="H41518" s="21">
        <v>500</v>
      </c>
    </row>
    <row r="41519" spans="1:8" customFormat="1" x14ac:dyDescent="0.25">
      <c r="A41519" t="str">
        <f>"4113713"</f>
        <v>4113713</v>
      </c>
      <c r="B41519" t="s">
        <v>3498</v>
      </c>
      <c r="C41519" t="s">
        <v>29736</v>
      </c>
      <c r="D41519" s="21" t="s">
        <v>24820</v>
      </c>
      <c r="E41519" s="21" t="s">
        <v>35</v>
      </c>
      <c r="F41519">
        <v>4410729</v>
      </c>
      <c r="G41519" t="s">
        <v>4427</v>
      </c>
      <c r="H41519" s="21">
        <v>500</v>
      </c>
    </row>
    <row r="41520" spans="1:8" customFormat="1" x14ac:dyDescent="0.25">
      <c r="A41520" t="str">
        <f>"1614619"</f>
        <v>1614619</v>
      </c>
      <c r="B41520" t="s">
        <v>29951</v>
      </c>
      <c r="C41520" t="s">
        <v>24871</v>
      </c>
      <c r="D41520" s="21" t="s">
        <v>24820</v>
      </c>
      <c r="E41520" s="21" t="s">
        <v>35</v>
      </c>
      <c r="F41520">
        <v>10160196</v>
      </c>
      <c r="G41520" t="s">
        <v>13348</v>
      </c>
      <c r="H41520" s="21">
        <v>500</v>
      </c>
    </row>
    <row r="41521" spans="1:8" customFormat="1" x14ac:dyDescent="0.25">
      <c r="A41521" t="str">
        <f>"899474"</f>
        <v>899474</v>
      </c>
      <c r="B41521" t="s">
        <v>29952</v>
      </c>
      <c r="C41521" t="s">
        <v>25663</v>
      </c>
      <c r="D41521" s="21" t="s">
        <v>24820</v>
      </c>
      <c r="E41521" s="21" t="s">
        <v>254</v>
      </c>
      <c r="F41521">
        <v>2890058</v>
      </c>
      <c r="G41521" t="s">
        <v>13102</v>
      </c>
      <c r="H41521" s="21">
        <v>500</v>
      </c>
    </row>
    <row r="41522" spans="1:8" customFormat="1" x14ac:dyDescent="0.25">
      <c r="A41522" t="str">
        <f>"8016680"</f>
        <v>8016680</v>
      </c>
      <c r="B41522" t="s">
        <v>2157</v>
      </c>
      <c r="C41522" t="s">
        <v>23734</v>
      </c>
      <c r="D41522" s="21" t="s">
        <v>24820</v>
      </c>
      <c r="E41522" s="21" t="s">
        <v>71</v>
      </c>
      <c r="F41522">
        <v>7800008</v>
      </c>
      <c r="G41522" t="s">
        <v>842</v>
      </c>
      <c r="H41522" s="21">
        <v>500</v>
      </c>
    </row>
    <row r="41523" spans="1:8" customFormat="1" x14ac:dyDescent="0.25">
      <c r="A41523" t="str">
        <f>"246417"</f>
        <v>246417</v>
      </c>
      <c r="B41523" t="s">
        <v>1788</v>
      </c>
      <c r="C41523" t="s">
        <v>24994</v>
      </c>
      <c r="D41523" s="21" t="s">
        <v>24820</v>
      </c>
      <c r="E41523" s="21" t="s">
        <v>71</v>
      </c>
      <c r="F41523">
        <v>10240006</v>
      </c>
      <c r="G41523" t="s">
        <v>7296</v>
      </c>
      <c r="H41523" s="21">
        <v>500</v>
      </c>
    </row>
    <row r="41524" spans="1:8" customFormat="1" x14ac:dyDescent="0.25">
      <c r="A41524" t="str">
        <f>"4450398"</f>
        <v>4450398</v>
      </c>
      <c r="B41524" t="s">
        <v>25784</v>
      </c>
      <c r="C41524" t="s">
        <v>25234</v>
      </c>
      <c r="D41524" s="21" t="s">
        <v>24820</v>
      </c>
      <c r="E41524" s="21" t="s">
        <v>35</v>
      </c>
      <c r="F41524">
        <v>12440058</v>
      </c>
      <c r="G41524" t="s">
        <v>394</v>
      </c>
      <c r="H41524" s="21">
        <v>500</v>
      </c>
    </row>
    <row r="41525" spans="1:8" customFormat="1" x14ac:dyDescent="0.25">
      <c r="A41525" t="str">
        <f>"9B1094"</f>
        <v>9B1094</v>
      </c>
      <c r="B41525" t="s">
        <v>29953</v>
      </c>
      <c r="C41525" t="s">
        <v>29954</v>
      </c>
      <c r="D41525" s="21" t="s">
        <v>24820</v>
      </c>
      <c r="E41525" s="21" t="s">
        <v>35</v>
      </c>
      <c r="F41525" t="s">
        <v>17172</v>
      </c>
      <c r="G41525" t="s">
        <v>17173</v>
      </c>
      <c r="H41525" s="21">
        <v>500</v>
      </c>
    </row>
    <row r="41526" spans="1:8" customFormat="1" x14ac:dyDescent="0.25">
      <c r="A41526" t="str">
        <f>"5734612"</f>
        <v>5734612</v>
      </c>
      <c r="B41526" t="s">
        <v>2052</v>
      </c>
      <c r="C41526" t="s">
        <v>24867</v>
      </c>
      <c r="D41526" s="21" t="s">
        <v>24820</v>
      </c>
      <c r="E41526" s="21" t="s">
        <v>35</v>
      </c>
      <c r="F41526">
        <v>6570075</v>
      </c>
      <c r="G41526" t="s">
        <v>3008</v>
      </c>
      <c r="H41526" s="21">
        <v>500</v>
      </c>
    </row>
    <row r="41527" spans="1:8" customFormat="1" x14ac:dyDescent="0.25">
      <c r="A41527" t="str">
        <f>"4512661"</f>
        <v>4512661</v>
      </c>
      <c r="B41527" t="s">
        <v>1462</v>
      </c>
      <c r="C41527" t="s">
        <v>24881</v>
      </c>
      <c r="D41527" s="21" t="s">
        <v>24820</v>
      </c>
      <c r="E41527" s="21" t="s">
        <v>35</v>
      </c>
      <c r="F41527">
        <v>3350021</v>
      </c>
      <c r="G41527" t="s">
        <v>1758</v>
      </c>
      <c r="H41527" s="21">
        <v>500</v>
      </c>
    </row>
    <row r="41528" spans="1:8" customFormat="1" x14ac:dyDescent="0.25">
      <c r="A41528" t="str">
        <f>"6948808"</f>
        <v>6948808</v>
      </c>
      <c r="B41528" t="s">
        <v>6889</v>
      </c>
      <c r="C41528" t="s">
        <v>29955</v>
      </c>
      <c r="D41528" s="21" t="s">
        <v>24820</v>
      </c>
      <c r="E41528" s="21" t="s">
        <v>35</v>
      </c>
      <c r="F41528">
        <v>1690185</v>
      </c>
      <c r="G41528" t="s">
        <v>10841</v>
      </c>
      <c r="H41528" s="21">
        <v>500</v>
      </c>
    </row>
    <row r="41529" spans="1:8" customFormat="1" x14ac:dyDescent="0.25">
      <c r="A41529" t="str">
        <f>"277607"</f>
        <v>277607</v>
      </c>
      <c r="B41529" t="s">
        <v>11322</v>
      </c>
      <c r="C41529" t="s">
        <v>24896</v>
      </c>
      <c r="D41529" s="21" t="s">
        <v>24820</v>
      </c>
      <c r="E41529" s="21" t="s">
        <v>1089</v>
      </c>
      <c r="F41529">
        <v>9270138</v>
      </c>
      <c r="G41529" t="s">
        <v>6112</v>
      </c>
      <c r="H41529" s="21">
        <v>500</v>
      </c>
    </row>
    <row r="41530" spans="1:8" customFormat="1" x14ac:dyDescent="0.25">
      <c r="A41530" t="str">
        <f>"3427370"</f>
        <v>3427370</v>
      </c>
      <c r="B41530" t="s">
        <v>503</v>
      </c>
      <c r="C41530" t="s">
        <v>25053</v>
      </c>
      <c r="D41530" s="21" t="s">
        <v>24820</v>
      </c>
      <c r="E41530" s="21" t="s">
        <v>35</v>
      </c>
      <c r="F41530">
        <v>11340014</v>
      </c>
      <c r="G41530" t="s">
        <v>1455</v>
      </c>
      <c r="H41530" s="21">
        <v>500</v>
      </c>
    </row>
    <row r="41531" spans="1:8" customFormat="1" x14ac:dyDescent="0.25">
      <c r="A41531" t="str">
        <f>"0111180"</f>
        <v>0111180</v>
      </c>
      <c r="B41531" t="s">
        <v>25895</v>
      </c>
      <c r="C41531" t="s">
        <v>25035</v>
      </c>
      <c r="D41531" s="21" t="s">
        <v>24820</v>
      </c>
      <c r="E41531" s="21" t="s">
        <v>71</v>
      </c>
      <c r="F41531">
        <v>1010009</v>
      </c>
      <c r="G41531" t="s">
        <v>1385</v>
      </c>
      <c r="H41531" s="21">
        <v>500</v>
      </c>
    </row>
    <row r="41532" spans="1:8" customFormat="1" x14ac:dyDescent="0.25">
      <c r="A41532" t="str">
        <f>"3311862"</f>
        <v>3311862</v>
      </c>
      <c r="B41532" t="s">
        <v>2049</v>
      </c>
      <c r="C41532" t="s">
        <v>24854</v>
      </c>
      <c r="D41532" s="21" t="s">
        <v>24820</v>
      </c>
      <c r="E41532" s="21" t="s">
        <v>35</v>
      </c>
      <c r="F41532">
        <v>10330078</v>
      </c>
      <c r="G41532" t="s">
        <v>7597</v>
      </c>
      <c r="H41532" s="21">
        <v>500</v>
      </c>
    </row>
    <row r="41533" spans="1:8" customFormat="1" x14ac:dyDescent="0.25">
      <c r="A41533" t="str">
        <f>"3345140"</f>
        <v>3345140</v>
      </c>
      <c r="B41533" t="s">
        <v>23850</v>
      </c>
      <c r="C41533" t="s">
        <v>24865</v>
      </c>
      <c r="D41533" s="21" t="s">
        <v>24820</v>
      </c>
      <c r="E41533" s="21" t="s">
        <v>254</v>
      </c>
      <c r="F41533">
        <v>10330099</v>
      </c>
      <c r="G41533" t="s">
        <v>10670</v>
      </c>
      <c r="H41533" s="21">
        <v>500</v>
      </c>
    </row>
    <row r="41534" spans="1:8" customFormat="1" x14ac:dyDescent="0.25">
      <c r="A41534" t="str">
        <f>"2939412"</f>
        <v>2939412</v>
      </c>
      <c r="B41534" t="s">
        <v>3654</v>
      </c>
      <c r="C41534" t="s">
        <v>25434</v>
      </c>
      <c r="D41534" s="21" t="s">
        <v>24820</v>
      </c>
      <c r="E41534" s="21" t="s">
        <v>35</v>
      </c>
      <c r="F41534">
        <v>3290229</v>
      </c>
      <c r="G41534" t="s">
        <v>408</v>
      </c>
      <c r="H41534" s="21">
        <v>500</v>
      </c>
    </row>
    <row r="41535" spans="1:8" customFormat="1" x14ac:dyDescent="0.25">
      <c r="A41535" t="str">
        <f>"589731"</f>
        <v>589731</v>
      </c>
      <c r="B41535" t="s">
        <v>4128</v>
      </c>
      <c r="C41535" t="s">
        <v>22831</v>
      </c>
      <c r="D41535" s="21" t="s">
        <v>24820</v>
      </c>
      <c r="E41535" s="21" t="s">
        <v>35</v>
      </c>
      <c r="F41535">
        <v>2580091</v>
      </c>
      <c r="G41535" t="s">
        <v>13057</v>
      </c>
      <c r="H41535" s="21">
        <v>500</v>
      </c>
    </row>
    <row r="41536" spans="1:8" customFormat="1" x14ac:dyDescent="0.25">
      <c r="A41536" t="str">
        <f>"6210760"</f>
        <v>6210760</v>
      </c>
      <c r="B41536" t="s">
        <v>23166</v>
      </c>
      <c r="C41536" t="s">
        <v>24686</v>
      </c>
      <c r="D41536" s="21" t="s">
        <v>24820</v>
      </c>
      <c r="E41536" s="21" t="s">
        <v>1089</v>
      </c>
      <c r="F41536">
        <v>7620057</v>
      </c>
      <c r="G41536" t="s">
        <v>184</v>
      </c>
      <c r="H41536" s="21">
        <v>500</v>
      </c>
    </row>
    <row r="41537" spans="1:8" customFormat="1" x14ac:dyDescent="0.25">
      <c r="A41537" t="str">
        <f>"036840"</f>
        <v>036840</v>
      </c>
      <c r="B41537" t="s">
        <v>25726</v>
      </c>
      <c r="C41537" t="s">
        <v>24890</v>
      </c>
      <c r="D41537" s="21" t="s">
        <v>24820</v>
      </c>
      <c r="E41537" s="21" t="s">
        <v>71</v>
      </c>
      <c r="F41537">
        <v>1030308</v>
      </c>
      <c r="G41537" t="s">
        <v>1485</v>
      </c>
      <c r="H41537" s="21">
        <v>500</v>
      </c>
    </row>
    <row r="41538" spans="1:8" customFormat="1" x14ac:dyDescent="0.25">
      <c r="A41538" t="str">
        <f>"2720621"</f>
        <v>2720621</v>
      </c>
      <c r="B41538" t="s">
        <v>25791</v>
      </c>
      <c r="C41538" t="s">
        <v>25434</v>
      </c>
      <c r="D41538" s="21" t="s">
        <v>24820</v>
      </c>
      <c r="E41538" s="21" t="s">
        <v>35</v>
      </c>
      <c r="F41538">
        <v>9270071</v>
      </c>
      <c r="G41538" t="s">
        <v>7815</v>
      </c>
      <c r="H41538" s="21">
        <v>500</v>
      </c>
    </row>
    <row r="41539" spans="1:8" customFormat="1" x14ac:dyDescent="0.25">
      <c r="A41539" t="str">
        <f>"4457105"</f>
        <v>4457105</v>
      </c>
      <c r="B41539" t="s">
        <v>29956</v>
      </c>
      <c r="C41539" t="s">
        <v>24894</v>
      </c>
      <c r="D41539" s="21" t="s">
        <v>24820</v>
      </c>
      <c r="E41539" s="21" t="s">
        <v>35</v>
      </c>
      <c r="F41539">
        <v>12440026</v>
      </c>
      <c r="G41539" t="s">
        <v>2987</v>
      </c>
      <c r="H41539" s="21">
        <v>500</v>
      </c>
    </row>
    <row r="41540" spans="1:8" customFormat="1" x14ac:dyDescent="0.25">
      <c r="A41540" t="str">
        <f>"0619589"</f>
        <v>0619589</v>
      </c>
      <c r="B41540" t="s">
        <v>2549</v>
      </c>
      <c r="C41540" t="s">
        <v>25613</v>
      </c>
      <c r="D41540" s="21" t="s">
        <v>24820</v>
      </c>
      <c r="E41540" s="21" t="s">
        <v>71</v>
      </c>
      <c r="F41540">
        <v>13060074</v>
      </c>
      <c r="G41540" t="s">
        <v>13510</v>
      </c>
      <c r="H41540" s="21">
        <v>500</v>
      </c>
    </row>
    <row r="41541" spans="1:8" customFormat="1" x14ac:dyDescent="0.25">
      <c r="A41541" t="str">
        <f>"98526"</f>
        <v>98526</v>
      </c>
      <c r="B41541" t="s">
        <v>29957</v>
      </c>
      <c r="C41541" t="s">
        <v>24894</v>
      </c>
      <c r="D41541" s="21" t="s">
        <v>24820</v>
      </c>
      <c r="E41541" s="21" t="s">
        <v>35</v>
      </c>
      <c r="F41541">
        <v>5980003</v>
      </c>
      <c r="G41541" t="s">
        <v>1746</v>
      </c>
      <c r="H41541" s="21">
        <v>500</v>
      </c>
    </row>
    <row r="41542" spans="1:8" customFormat="1" x14ac:dyDescent="0.25">
      <c r="A41542" t="str">
        <f>"9520489"</f>
        <v>9520489</v>
      </c>
      <c r="B41542" t="s">
        <v>105</v>
      </c>
      <c r="C41542" t="s">
        <v>25977</v>
      </c>
      <c r="D41542" s="21" t="s">
        <v>24820</v>
      </c>
      <c r="E41542" s="21" t="s">
        <v>254</v>
      </c>
      <c r="F41542">
        <v>8950330</v>
      </c>
      <c r="G41542" t="s">
        <v>794</v>
      </c>
      <c r="H41542" s="21">
        <v>500</v>
      </c>
    </row>
    <row r="41543" spans="1:8" customFormat="1" x14ac:dyDescent="0.25">
      <c r="A41543" t="str">
        <f>"2618634"</f>
        <v>2618634</v>
      </c>
      <c r="B41543" t="s">
        <v>25984</v>
      </c>
      <c r="C41543" t="s">
        <v>24828</v>
      </c>
      <c r="D41543" s="21" t="s">
        <v>24820</v>
      </c>
      <c r="E41543" s="21" t="s">
        <v>35</v>
      </c>
      <c r="F41543">
        <v>1260005</v>
      </c>
      <c r="G41543" t="s">
        <v>10654</v>
      </c>
      <c r="H41543" s="21">
        <v>500</v>
      </c>
    </row>
    <row r="41544" spans="1:8" customFormat="1" x14ac:dyDescent="0.25">
      <c r="A41544" t="str">
        <f>"5734428"</f>
        <v>5734428</v>
      </c>
      <c r="B41544" t="s">
        <v>4278</v>
      </c>
      <c r="C41544" t="s">
        <v>25714</v>
      </c>
      <c r="D41544" s="21" t="s">
        <v>24820</v>
      </c>
      <c r="E41544" s="21" t="s">
        <v>35</v>
      </c>
      <c r="F41544">
        <v>6570154</v>
      </c>
      <c r="G41544" t="s">
        <v>3935</v>
      </c>
      <c r="H41544" s="21">
        <v>500</v>
      </c>
    </row>
    <row r="41545" spans="1:8" customFormat="1" x14ac:dyDescent="0.25">
      <c r="A41545" t="str">
        <f>"5953717"</f>
        <v>5953717</v>
      </c>
      <c r="B41545" t="s">
        <v>25913</v>
      </c>
      <c r="C41545" t="s">
        <v>25029</v>
      </c>
      <c r="D41545" s="21" t="s">
        <v>24820</v>
      </c>
      <c r="E41545" s="21" t="s">
        <v>71</v>
      </c>
      <c r="F41545">
        <v>7590071</v>
      </c>
      <c r="G41545" t="s">
        <v>2602</v>
      </c>
      <c r="H41545" s="21">
        <v>500</v>
      </c>
    </row>
    <row r="41546" spans="1:8" customFormat="1" x14ac:dyDescent="0.25">
      <c r="A41546" t="str">
        <f>"5734869"</f>
        <v>5734869</v>
      </c>
      <c r="B41546" t="s">
        <v>29958</v>
      </c>
      <c r="C41546" t="s">
        <v>24999</v>
      </c>
      <c r="D41546" s="21" t="s">
        <v>24820</v>
      </c>
      <c r="E41546" s="21" t="s">
        <v>35</v>
      </c>
      <c r="F41546">
        <v>6570154</v>
      </c>
      <c r="G41546" t="s">
        <v>3935</v>
      </c>
      <c r="H41546" s="21">
        <v>500</v>
      </c>
    </row>
    <row r="41547" spans="1:8" customFormat="1" x14ac:dyDescent="0.25">
      <c r="A41547" t="str">
        <f>"944905"</f>
        <v>944905</v>
      </c>
      <c r="B41547" t="s">
        <v>25800</v>
      </c>
      <c r="C41547" t="s">
        <v>25274</v>
      </c>
      <c r="D41547" s="21" t="s">
        <v>24820</v>
      </c>
      <c r="E41547" s="21" t="s">
        <v>254</v>
      </c>
      <c r="F41547">
        <v>8940448</v>
      </c>
      <c r="G41547" t="s">
        <v>1691</v>
      </c>
      <c r="H41547" s="21">
        <v>500</v>
      </c>
    </row>
    <row r="41548" spans="1:8" customFormat="1" x14ac:dyDescent="0.25">
      <c r="A41548" t="str">
        <f>"6726526"</f>
        <v>6726526</v>
      </c>
      <c r="B41548" t="s">
        <v>29026</v>
      </c>
      <c r="C41548" t="s">
        <v>24865</v>
      </c>
      <c r="D41548" s="21" t="s">
        <v>24820</v>
      </c>
      <c r="E41548" s="21" t="s">
        <v>71</v>
      </c>
      <c r="F41548">
        <v>6670178</v>
      </c>
      <c r="G41548" t="s">
        <v>10001</v>
      </c>
      <c r="H41548" s="21">
        <v>500</v>
      </c>
    </row>
    <row r="41549" spans="1:8" customFormat="1" x14ac:dyDescent="0.25">
      <c r="A41549" t="str">
        <f>"0620085"</f>
        <v>0620085</v>
      </c>
      <c r="B41549" t="s">
        <v>29959</v>
      </c>
      <c r="C41549" t="s">
        <v>24869</v>
      </c>
      <c r="D41549" s="21" t="s">
        <v>24820</v>
      </c>
      <c r="E41549" s="21" t="s">
        <v>35</v>
      </c>
      <c r="F41549">
        <v>13060111</v>
      </c>
      <c r="G41549" t="s">
        <v>26647</v>
      </c>
      <c r="H41549" s="21">
        <v>500</v>
      </c>
    </row>
    <row r="41550" spans="1:8" customFormat="1" x14ac:dyDescent="0.25">
      <c r="A41550" t="str">
        <f>"7857255"</f>
        <v>7857255</v>
      </c>
      <c r="B41550" t="s">
        <v>10738</v>
      </c>
      <c r="C41550" t="s">
        <v>24867</v>
      </c>
      <c r="D41550" s="21" t="s">
        <v>24820</v>
      </c>
      <c r="E41550" s="21" t="s">
        <v>35</v>
      </c>
      <c r="F41550">
        <v>8780627</v>
      </c>
      <c r="G41550" t="s">
        <v>6097</v>
      </c>
      <c r="H41550" s="21">
        <v>500</v>
      </c>
    </row>
    <row r="41551" spans="1:8" customFormat="1" x14ac:dyDescent="0.25">
      <c r="A41551" t="str">
        <f>"037774"</f>
        <v>037774</v>
      </c>
      <c r="B41551" t="s">
        <v>13615</v>
      </c>
      <c r="C41551" t="s">
        <v>25832</v>
      </c>
      <c r="D41551" s="21" t="s">
        <v>24820</v>
      </c>
      <c r="E41551" s="21" t="s">
        <v>35</v>
      </c>
      <c r="F41551">
        <v>1030308</v>
      </c>
      <c r="G41551" t="s">
        <v>1485</v>
      </c>
      <c r="H41551" s="21">
        <v>500</v>
      </c>
    </row>
    <row r="41552" spans="1:8" customFormat="1" x14ac:dyDescent="0.25">
      <c r="A41552" t="str">
        <f>"733397"</f>
        <v>733397</v>
      </c>
      <c r="B41552" t="s">
        <v>25119</v>
      </c>
      <c r="C41552" t="s">
        <v>24939</v>
      </c>
      <c r="D41552" s="21" t="s">
        <v>24820</v>
      </c>
      <c r="E41552" s="21" t="s">
        <v>254</v>
      </c>
      <c r="F41552">
        <v>1730033</v>
      </c>
      <c r="G41552" t="s">
        <v>2407</v>
      </c>
      <c r="H41552" s="21">
        <v>500</v>
      </c>
    </row>
    <row r="41553" spans="1:8" customFormat="1" x14ac:dyDescent="0.25">
      <c r="A41553" t="str">
        <f>"882056"</f>
        <v>882056</v>
      </c>
      <c r="B41553" t="s">
        <v>1872</v>
      </c>
      <c r="C41553" t="s">
        <v>24845</v>
      </c>
      <c r="D41553" s="21" t="s">
        <v>24820</v>
      </c>
      <c r="E41553" s="21" t="s">
        <v>1089</v>
      </c>
      <c r="F41553">
        <v>6880010</v>
      </c>
      <c r="G41553" t="s">
        <v>1029</v>
      </c>
      <c r="H41553" s="21">
        <v>500</v>
      </c>
    </row>
    <row r="41554" spans="1:8" customFormat="1" x14ac:dyDescent="0.25">
      <c r="A41554" t="str">
        <f>"3521351"</f>
        <v>3521351</v>
      </c>
      <c r="B41554" t="s">
        <v>13578</v>
      </c>
      <c r="C41554" t="s">
        <v>25490</v>
      </c>
      <c r="D41554" s="21" t="s">
        <v>24820</v>
      </c>
      <c r="E41554" s="21" t="s">
        <v>71</v>
      </c>
      <c r="F41554">
        <v>3350054</v>
      </c>
      <c r="G41554" t="s">
        <v>13881</v>
      </c>
      <c r="H41554" s="21">
        <v>500</v>
      </c>
    </row>
    <row r="41555" spans="1:8" customFormat="1" x14ac:dyDescent="0.25">
      <c r="A41555" t="str">
        <f>"618257"</f>
        <v>618257</v>
      </c>
      <c r="B41555" t="s">
        <v>25684</v>
      </c>
      <c r="C41555" t="s">
        <v>25306</v>
      </c>
      <c r="D41555" s="21" t="s">
        <v>24820</v>
      </c>
      <c r="E41555" s="21" t="s">
        <v>35</v>
      </c>
      <c r="F41555">
        <v>9610135</v>
      </c>
      <c r="G41555" t="s">
        <v>8227</v>
      </c>
      <c r="H41555" s="21">
        <v>500</v>
      </c>
    </row>
    <row r="41556" spans="1:8" customFormat="1" x14ac:dyDescent="0.25">
      <c r="A41556" t="str">
        <f>"4212885"</f>
        <v>4212885</v>
      </c>
      <c r="B41556" t="s">
        <v>17297</v>
      </c>
      <c r="C41556" t="s">
        <v>26073</v>
      </c>
      <c r="D41556" s="21" t="s">
        <v>24820</v>
      </c>
      <c r="E41556" s="21" t="s">
        <v>71</v>
      </c>
      <c r="F41556">
        <v>1420012</v>
      </c>
      <c r="G41556" t="s">
        <v>12141</v>
      </c>
      <c r="H41556" s="21">
        <v>500</v>
      </c>
    </row>
    <row r="41557" spans="1:8" customFormat="1" x14ac:dyDescent="0.25">
      <c r="A41557" t="str">
        <f>"0812139"</f>
        <v>0812139</v>
      </c>
      <c r="B41557" t="s">
        <v>11692</v>
      </c>
      <c r="C41557" t="s">
        <v>24890</v>
      </c>
      <c r="D41557" s="21" t="s">
        <v>24820</v>
      </c>
      <c r="E41557" s="21" t="s">
        <v>254</v>
      </c>
      <c r="F41557">
        <v>6080064</v>
      </c>
      <c r="G41557" t="s">
        <v>5825</v>
      </c>
      <c r="H41557" s="21">
        <v>500</v>
      </c>
    </row>
    <row r="41558" spans="1:8" customFormat="1" x14ac:dyDescent="0.25">
      <c r="A41558" t="str">
        <f>"9411601"</f>
        <v>9411601</v>
      </c>
      <c r="B41558" t="s">
        <v>25804</v>
      </c>
      <c r="C41558" t="s">
        <v>24890</v>
      </c>
      <c r="D41558" s="21" t="s">
        <v>24820</v>
      </c>
      <c r="E41558" s="21" t="s">
        <v>254</v>
      </c>
      <c r="F41558">
        <v>8940052</v>
      </c>
      <c r="G41558" t="s">
        <v>190</v>
      </c>
      <c r="H41558" s="21">
        <v>500</v>
      </c>
    </row>
    <row r="41559" spans="1:8" customFormat="1" x14ac:dyDescent="0.25">
      <c r="A41559" t="str">
        <f>"0812670"</f>
        <v>0812670</v>
      </c>
      <c r="B41559" t="s">
        <v>27311</v>
      </c>
      <c r="C41559" t="s">
        <v>25124</v>
      </c>
      <c r="D41559" s="21" t="s">
        <v>24820</v>
      </c>
      <c r="E41559" s="21" t="s">
        <v>35</v>
      </c>
      <c r="F41559">
        <v>6080015</v>
      </c>
      <c r="G41559" t="s">
        <v>15205</v>
      </c>
      <c r="H41559" s="21">
        <v>500</v>
      </c>
    </row>
    <row r="41560" spans="1:8" customFormat="1" x14ac:dyDescent="0.25">
      <c r="A41560" t="str">
        <f>"3334260"</f>
        <v>3334260</v>
      </c>
      <c r="B41560" t="s">
        <v>25932</v>
      </c>
      <c r="C41560" t="s">
        <v>23734</v>
      </c>
      <c r="D41560" s="21" t="s">
        <v>24820</v>
      </c>
      <c r="E41560" s="21" t="s">
        <v>71</v>
      </c>
      <c r="F41560">
        <v>10330002</v>
      </c>
      <c r="G41560" t="s">
        <v>53</v>
      </c>
      <c r="H41560" s="21">
        <v>500</v>
      </c>
    </row>
    <row r="41561" spans="1:8" customFormat="1" x14ac:dyDescent="0.25">
      <c r="A41561" t="str">
        <f>"9B1059"</f>
        <v>9B1059</v>
      </c>
      <c r="B41561" t="s">
        <v>29960</v>
      </c>
      <c r="C41561" t="s">
        <v>24833</v>
      </c>
      <c r="D41561" s="21" t="s">
        <v>24820</v>
      </c>
      <c r="E41561" s="21" t="s">
        <v>71</v>
      </c>
      <c r="F41561" t="s">
        <v>2653</v>
      </c>
      <c r="G41561" t="s">
        <v>2654</v>
      </c>
      <c r="H41561" s="21">
        <v>500</v>
      </c>
    </row>
    <row r="41562" spans="1:8" customFormat="1" x14ac:dyDescent="0.25">
      <c r="A41562" t="str">
        <f>"7221185"</f>
        <v>7221185</v>
      </c>
      <c r="B41562" t="s">
        <v>6089</v>
      </c>
      <c r="C41562" t="s">
        <v>22831</v>
      </c>
      <c r="D41562" s="21" t="s">
        <v>24820</v>
      </c>
      <c r="E41562" s="21" t="s">
        <v>71</v>
      </c>
      <c r="F41562">
        <v>12720062</v>
      </c>
      <c r="G41562" t="s">
        <v>4026</v>
      </c>
      <c r="H41562" s="21">
        <v>500</v>
      </c>
    </row>
    <row r="41563" spans="1:8" customFormat="1" x14ac:dyDescent="0.25">
      <c r="A41563" t="str">
        <f>"7624671"</f>
        <v>7624671</v>
      </c>
      <c r="B41563" t="s">
        <v>23222</v>
      </c>
      <c r="C41563" t="s">
        <v>24851</v>
      </c>
      <c r="D41563" s="21" t="s">
        <v>24820</v>
      </c>
      <c r="E41563" s="21" t="s">
        <v>71</v>
      </c>
      <c r="F41563">
        <v>9760291</v>
      </c>
      <c r="G41563" t="s">
        <v>26611</v>
      </c>
      <c r="H41563" s="21">
        <v>500</v>
      </c>
    </row>
    <row r="41564" spans="1:8" customFormat="1" x14ac:dyDescent="0.25">
      <c r="A41564" t="str">
        <f>"866139"</f>
        <v>866139</v>
      </c>
      <c r="B41564" t="s">
        <v>29961</v>
      </c>
      <c r="C41564" t="s">
        <v>24824</v>
      </c>
      <c r="D41564" s="21" t="s">
        <v>24820</v>
      </c>
      <c r="E41564" s="21" t="s">
        <v>254</v>
      </c>
      <c r="F41564">
        <v>10860031</v>
      </c>
      <c r="G41564" t="s">
        <v>5834</v>
      </c>
      <c r="H41564" s="21">
        <v>500</v>
      </c>
    </row>
    <row r="41565" spans="1:8" customFormat="1" x14ac:dyDescent="0.25">
      <c r="A41565" t="str">
        <f>"7523696"</f>
        <v>7523696</v>
      </c>
      <c r="B41565" t="s">
        <v>11364</v>
      </c>
      <c r="C41565" t="s">
        <v>24890</v>
      </c>
      <c r="D41565" s="21" t="s">
        <v>24820</v>
      </c>
      <c r="E41565" s="21" t="s">
        <v>254</v>
      </c>
      <c r="F41565">
        <v>8751445</v>
      </c>
      <c r="G41565" t="s">
        <v>23223</v>
      </c>
      <c r="H41565" s="21">
        <v>500</v>
      </c>
    </row>
    <row r="41566" spans="1:8" customFormat="1" x14ac:dyDescent="0.25">
      <c r="A41566" t="str">
        <f>"481694"</f>
        <v>481694</v>
      </c>
      <c r="B41566" t="s">
        <v>25866</v>
      </c>
      <c r="C41566" t="s">
        <v>25867</v>
      </c>
      <c r="D41566" s="21" t="s">
        <v>24820</v>
      </c>
      <c r="E41566" s="21" t="s">
        <v>254</v>
      </c>
      <c r="F41566">
        <v>11480003</v>
      </c>
      <c r="G41566" t="s">
        <v>25868</v>
      </c>
      <c r="H41566" s="21">
        <v>500</v>
      </c>
    </row>
    <row r="41567" spans="1:8" customFormat="1" x14ac:dyDescent="0.25">
      <c r="A41567" t="str">
        <f>"187571"</f>
        <v>187571</v>
      </c>
      <c r="B41567" t="s">
        <v>890</v>
      </c>
      <c r="C41567" t="s">
        <v>24988</v>
      </c>
      <c r="D41567" s="21" t="s">
        <v>24820</v>
      </c>
      <c r="E41567" s="21" t="s">
        <v>35</v>
      </c>
      <c r="F41567">
        <v>4180041</v>
      </c>
      <c r="G41567" t="s">
        <v>1740</v>
      </c>
      <c r="H41567" s="21">
        <v>500</v>
      </c>
    </row>
    <row r="41568" spans="1:8" customFormat="1" x14ac:dyDescent="0.25">
      <c r="A41568" t="str">
        <f>"3723584"</f>
        <v>3723584</v>
      </c>
      <c r="B41568" t="s">
        <v>9325</v>
      </c>
      <c r="C41568" t="s">
        <v>24686</v>
      </c>
      <c r="D41568" s="21" t="s">
        <v>24820</v>
      </c>
      <c r="E41568" s="21" t="s">
        <v>71</v>
      </c>
      <c r="F41568">
        <v>4370682</v>
      </c>
      <c r="G41568" t="s">
        <v>10454</v>
      </c>
      <c r="H41568" s="21">
        <v>500</v>
      </c>
    </row>
    <row r="41569" spans="1:8" customFormat="1" x14ac:dyDescent="0.25">
      <c r="A41569" t="str">
        <f>"5610130"</f>
        <v>5610130</v>
      </c>
      <c r="B41569" t="s">
        <v>26101</v>
      </c>
      <c r="C41569" t="s">
        <v>24873</v>
      </c>
      <c r="D41569" s="21" t="s">
        <v>24820</v>
      </c>
      <c r="E41569" s="21" t="s">
        <v>71</v>
      </c>
      <c r="F41569">
        <v>3560036</v>
      </c>
      <c r="G41569" t="s">
        <v>910</v>
      </c>
      <c r="H41569" s="21">
        <v>500</v>
      </c>
    </row>
    <row r="41570" spans="1:8" customFormat="1" x14ac:dyDescent="0.25">
      <c r="A41570" t="str">
        <f>"736242"</f>
        <v>736242</v>
      </c>
      <c r="B41570" t="s">
        <v>1516</v>
      </c>
      <c r="C41570" t="s">
        <v>24973</v>
      </c>
      <c r="D41570" s="21" t="s">
        <v>24820</v>
      </c>
      <c r="E41570" s="21" t="s">
        <v>35</v>
      </c>
      <c r="F41570">
        <v>1730077</v>
      </c>
      <c r="G41570" t="s">
        <v>1517</v>
      </c>
      <c r="H41570" s="21">
        <v>500</v>
      </c>
    </row>
    <row r="41571" spans="1:8" customFormat="1" x14ac:dyDescent="0.25">
      <c r="A41571" t="str">
        <f>"9246869"</f>
        <v>9246869</v>
      </c>
      <c r="B41571" t="s">
        <v>26247</v>
      </c>
      <c r="C41571" t="s">
        <v>24854</v>
      </c>
      <c r="D41571" s="21" t="s">
        <v>24820</v>
      </c>
      <c r="E41571" s="21" t="s">
        <v>35</v>
      </c>
      <c r="F41571">
        <v>8920075</v>
      </c>
      <c r="G41571" t="s">
        <v>317</v>
      </c>
      <c r="H41571" s="21">
        <v>500</v>
      </c>
    </row>
    <row r="41572" spans="1:8" customFormat="1" x14ac:dyDescent="0.25">
      <c r="A41572" t="str">
        <f>"364622"</f>
        <v>364622</v>
      </c>
      <c r="B41572" t="s">
        <v>9752</v>
      </c>
      <c r="C41572" t="s">
        <v>23734</v>
      </c>
      <c r="D41572" s="21" t="s">
        <v>24820</v>
      </c>
      <c r="E41572" s="21" t="s">
        <v>71</v>
      </c>
      <c r="F41572">
        <v>4360002</v>
      </c>
      <c r="G41572" t="s">
        <v>222</v>
      </c>
      <c r="H41572" s="21">
        <v>500</v>
      </c>
    </row>
    <row r="41573" spans="1:8" customFormat="1" x14ac:dyDescent="0.25">
      <c r="A41573" t="str">
        <f>"3013904"</f>
        <v>3013904</v>
      </c>
      <c r="B41573" t="s">
        <v>3427</v>
      </c>
      <c r="C41573" t="s">
        <v>25843</v>
      </c>
      <c r="D41573" s="21" t="s">
        <v>24820</v>
      </c>
      <c r="E41573" s="21" t="s">
        <v>71</v>
      </c>
      <c r="F41573">
        <v>11300055</v>
      </c>
      <c r="G41573" t="s">
        <v>14655</v>
      </c>
      <c r="H41573" s="21">
        <v>500</v>
      </c>
    </row>
    <row r="41574" spans="1:8" customFormat="1" x14ac:dyDescent="0.25">
      <c r="A41574" t="str">
        <f>"6948390"</f>
        <v>6948390</v>
      </c>
      <c r="B41574" t="s">
        <v>25869</v>
      </c>
      <c r="C41574" t="s">
        <v>23966</v>
      </c>
      <c r="D41574" s="21" t="s">
        <v>24820</v>
      </c>
      <c r="E41574" s="21" t="s">
        <v>71</v>
      </c>
      <c r="F41574">
        <v>1690222</v>
      </c>
      <c r="G41574" t="s">
        <v>25801</v>
      </c>
      <c r="H41574" s="21">
        <v>500</v>
      </c>
    </row>
    <row r="41575" spans="1:8" customFormat="1" x14ac:dyDescent="0.25">
      <c r="A41575" t="str">
        <f>"7640314"</f>
        <v>7640314</v>
      </c>
      <c r="B41575" t="s">
        <v>9535</v>
      </c>
      <c r="C41575" t="s">
        <v>428</v>
      </c>
      <c r="D41575" s="21" t="s">
        <v>24820</v>
      </c>
      <c r="E41575" s="21" t="s">
        <v>71</v>
      </c>
      <c r="F41575">
        <v>9760311</v>
      </c>
      <c r="G41575" t="s">
        <v>3015</v>
      </c>
      <c r="H41575" s="21">
        <v>500</v>
      </c>
    </row>
    <row r="41576" spans="1:8" customFormat="1" x14ac:dyDescent="0.25">
      <c r="A41576" t="str">
        <f>"23278"</f>
        <v>23278</v>
      </c>
      <c r="B41576" t="s">
        <v>1838</v>
      </c>
      <c r="C41576" t="s">
        <v>24833</v>
      </c>
      <c r="D41576" s="21" t="s">
        <v>24820</v>
      </c>
      <c r="E41576" s="21" t="s">
        <v>35</v>
      </c>
      <c r="F41576">
        <v>10230067</v>
      </c>
      <c r="G41576" t="s">
        <v>912</v>
      </c>
      <c r="H41576" s="21">
        <v>500</v>
      </c>
    </row>
    <row r="41577" spans="1:8" customFormat="1" x14ac:dyDescent="0.25">
      <c r="A41577" t="str">
        <f>"4521397"</f>
        <v>4521397</v>
      </c>
      <c r="B41577" t="s">
        <v>25926</v>
      </c>
      <c r="C41577" t="s">
        <v>25927</v>
      </c>
      <c r="D41577" s="21" t="s">
        <v>24820</v>
      </c>
      <c r="E41577" s="21" t="s">
        <v>71</v>
      </c>
      <c r="F41577">
        <v>4450751</v>
      </c>
      <c r="G41577" t="s">
        <v>442</v>
      </c>
      <c r="H41577" s="21">
        <v>500</v>
      </c>
    </row>
    <row r="41578" spans="1:8" customFormat="1" x14ac:dyDescent="0.25">
      <c r="A41578" t="str">
        <f>"5981719"</f>
        <v>5981719</v>
      </c>
      <c r="B41578" t="s">
        <v>18417</v>
      </c>
      <c r="C41578" t="s">
        <v>24828</v>
      </c>
      <c r="D41578" s="21" t="s">
        <v>24820</v>
      </c>
      <c r="E41578" s="21" t="s">
        <v>35</v>
      </c>
      <c r="F41578">
        <v>7590131</v>
      </c>
      <c r="G41578" t="s">
        <v>6300</v>
      </c>
      <c r="H41578" s="21">
        <v>500</v>
      </c>
    </row>
    <row r="41579" spans="1:8" customFormat="1" x14ac:dyDescent="0.25">
      <c r="A41579" t="str">
        <f>"0618553"</f>
        <v>0618553</v>
      </c>
      <c r="B41579" t="s">
        <v>18941</v>
      </c>
      <c r="C41579" t="s">
        <v>24867</v>
      </c>
      <c r="D41579" s="21" t="s">
        <v>24820</v>
      </c>
      <c r="E41579" s="21" t="s">
        <v>35</v>
      </c>
      <c r="F41579">
        <v>13060031</v>
      </c>
      <c r="G41579" t="s">
        <v>9379</v>
      </c>
      <c r="H41579" s="21">
        <v>500</v>
      </c>
    </row>
    <row r="41580" spans="1:8" customFormat="1" x14ac:dyDescent="0.25">
      <c r="A41580" t="str">
        <f>"051296"</f>
        <v>051296</v>
      </c>
      <c r="B41580" t="s">
        <v>29962</v>
      </c>
      <c r="C41580" t="s">
        <v>24924</v>
      </c>
      <c r="D41580" s="21" t="s">
        <v>24820</v>
      </c>
      <c r="E41580" s="21" t="s">
        <v>254</v>
      </c>
      <c r="F41580">
        <v>13050026</v>
      </c>
      <c r="G41580" t="s">
        <v>18179</v>
      </c>
      <c r="H41580" s="21">
        <v>500</v>
      </c>
    </row>
    <row r="41581" spans="1:8" customFormat="1" x14ac:dyDescent="0.25">
      <c r="A41581" t="str">
        <f>"8316976"</f>
        <v>8316976</v>
      </c>
      <c r="B41581" t="s">
        <v>3576</v>
      </c>
      <c r="C41581" t="s">
        <v>24915</v>
      </c>
      <c r="D41581" s="21" t="s">
        <v>24820</v>
      </c>
      <c r="E41581" s="21" t="s">
        <v>35</v>
      </c>
      <c r="F41581">
        <v>13830016</v>
      </c>
      <c r="G41581" t="s">
        <v>12055</v>
      </c>
      <c r="H41581" s="21">
        <v>500</v>
      </c>
    </row>
    <row r="41582" spans="1:8" customFormat="1" x14ac:dyDescent="0.25">
      <c r="A41582" t="str">
        <f>"6724531"</f>
        <v>6724531</v>
      </c>
      <c r="B41582" t="s">
        <v>29963</v>
      </c>
      <c r="C41582" t="s">
        <v>25234</v>
      </c>
      <c r="D41582" s="21" t="s">
        <v>24820</v>
      </c>
      <c r="E41582" s="21" t="s">
        <v>35</v>
      </c>
      <c r="F41582">
        <v>6670014</v>
      </c>
      <c r="G41582" t="s">
        <v>4258</v>
      </c>
      <c r="H41582" s="21">
        <v>500</v>
      </c>
    </row>
    <row r="41583" spans="1:8" customFormat="1" x14ac:dyDescent="0.25">
      <c r="A41583" t="str">
        <f>"9147677"</f>
        <v>9147677</v>
      </c>
      <c r="B41583" t="s">
        <v>29964</v>
      </c>
      <c r="C41583" t="s">
        <v>24888</v>
      </c>
      <c r="D41583" s="21" t="s">
        <v>24820</v>
      </c>
      <c r="E41583" s="21" t="s">
        <v>71</v>
      </c>
      <c r="F41583">
        <v>8910214</v>
      </c>
      <c r="G41583" t="s">
        <v>986</v>
      </c>
      <c r="H41583" s="21">
        <v>500</v>
      </c>
    </row>
    <row r="41584" spans="1:8" customFormat="1" x14ac:dyDescent="0.25">
      <c r="A41584" t="str">
        <f>"3335297"</f>
        <v>3335297</v>
      </c>
      <c r="B41584" t="s">
        <v>29965</v>
      </c>
      <c r="C41584" t="s">
        <v>25188</v>
      </c>
      <c r="D41584" s="21" t="s">
        <v>24820</v>
      </c>
      <c r="E41584" s="21" t="s">
        <v>35</v>
      </c>
      <c r="F41584">
        <v>10330022</v>
      </c>
      <c r="G41584" t="s">
        <v>1830</v>
      </c>
      <c r="H41584" s="21">
        <v>500</v>
      </c>
    </row>
    <row r="41585" spans="1:8" customFormat="1" x14ac:dyDescent="0.25">
      <c r="A41585" t="str">
        <f>"9439951"</f>
        <v>9439951</v>
      </c>
      <c r="B41585" t="s">
        <v>25930</v>
      </c>
      <c r="C41585" t="s">
        <v>24892</v>
      </c>
      <c r="D41585" s="21" t="s">
        <v>24820</v>
      </c>
      <c r="E41585" s="21" t="s">
        <v>71</v>
      </c>
      <c r="F41585">
        <v>8941100</v>
      </c>
      <c r="G41585" t="s">
        <v>4974</v>
      </c>
      <c r="H41585" s="21">
        <v>500</v>
      </c>
    </row>
    <row r="41586" spans="1:8" customFormat="1" x14ac:dyDescent="0.25">
      <c r="A41586" t="str">
        <f>"5983357"</f>
        <v>5983357</v>
      </c>
      <c r="B41586" t="s">
        <v>3278</v>
      </c>
      <c r="C41586" t="s">
        <v>24883</v>
      </c>
      <c r="D41586" s="21" t="s">
        <v>24820</v>
      </c>
      <c r="E41586" s="21" t="s">
        <v>71</v>
      </c>
      <c r="F41586">
        <v>7590194</v>
      </c>
      <c r="G41586" t="s">
        <v>460</v>
      </c>
      <c r="H41586" s="21">
        <v>500</v>
      </c>
    </row>
    <row r="41587" spans="1:8" customFormat="1" x14ac:dyDescent="0.25">
      <c r="A41587" t="str">
        <f>"9247060"</f>
        <v>9247060</v>
      </c>
      <c r="B41587" t="s">
        <v>4095</v>
      </c>
      <c r="C41587" t="s">
        <v>24867</v>
      </c>
      <c r="D41587" s="21" t="s">
        <v>24820</v>
      </c>
      <c r="E41587" s="21" t="s">
        <v>35</v>
      </c>
      <c r="F41587">
        <v>8920018</v>
      </c>
      <c r="G41587" t="s">
        <v>1281</v>
      </c>
      <c r="H41587" s="21">
        <v>500</v>
      </c>
    </row>
    <row r="41588" spans="1:8" customFormat="1" x14ac:dyDescent="0.25">
      <c r="A41588" t="str">
        <f>"99871"</f>
        <v>99871</v>
      </c>
      <c r="B41588" t="s">
        <v>26072</v>
      </c>
      <c r="C41588" t="s">
        <v>25736</v>
      </c>
      <c r="D41588" s="21" t="s">
        <v>24820</v>
      </c>
      <c r="E41588" s="21" t="s">
        <v>71</v>
      </c>
      <c r="F41588">
        <v>5990007</v>
      </c>
      <c r="G41588" t="s">
        <v>15719</v>
      </c>
      <c r="H41588" s="21">
        <v>500</v>
      </c>
    </row>
    <row r="41589" spans="1:8" customFormat="1" x14ac:dyDescent="0.25">
      <c r="A41589" t="str">
        <f>"991864"</f>
        <v>991864</v>
      </c>
      <c r="B41589" t="s">
        <v>14242</v>
      </c>
      <c r="C41589" t="s">
        <v>25659</v>
      </c>
      <c r="D41589" s="21" t="s">
        <v>24820</v>
      </c>
      <c r="E41589" s="21" t="s">
        <v>254</v>
      </c>
      <c r="F41589">
        <v>5990021</v>
      </c>
      <c r="G41589" t="s">
        <v>14243</v>
      </c>
      <c r="H41589" s="21">
        <v>500</v>
      </c>
    </row>
    <row r="41590" spans="1:8" customFormat="1" x14ac:dyDescent="0.25">
      <c r="A41590" t="str">
        <f>"0211393"</f>
        <v>0211393</v>
      </c>
      <c r="B41590" t="s">
        <v>21921</v>
      </c>
      <c r="C41590" t="s">
        <v>24881</v>
      </c>
      <c r="D41590" s="21" t="s">
        <v>24820</v>
      </c>
      <c r="E41590" s="21" t="s">
        <v>71</v>
      </c>
      <c r="F41590">
        <v>7020030</v>
      </c>
      <c r="G41590" t="s">
        <v>1796</v>
      </c>
      <c r="H41590" s="21">
        <v>500</v>
      </c>
    </row>
    <row r="41591" spans="1:8" customFormat="1" x14ac:dyDescent="0.25">
      <c r="A41591" t="str">
        <f>"5962698"</f>
        <v>5962698</v>
      </c>
      <c r="B41591" t="s">
        <v>487</v>
      </c>
      <c r="C41591" t="s">
        <v>24904</v>
      </c>
      <c r="D41591" s="21" t="s">
        <v>24820</v>
      </c>
      <c r="E41591" s="21" t="s">
        <v>71</v>
      </c>
      <c r="F41591">
        <v>7590412</v>
      </c>
      <c r="G41591" t="s">
        <v>489</v>
      </c>
      <c r="H41591" s="21">
        <v>500</v>
      </c>
    </row>
    <row r="41592" spans="1:8" customFormat="1" x14ac:dyDescent="0.25">
      <c r="A41592" t="str">
        <f>"7642661"</f>
        <v>7642661</v>
      </c>
      <c r="B41592" t="s">
        <v>3966</v>
      </c>
      <c r="C41592" t="s">
        <v>24867</v>
      </c>
      <c r="D41592" s="21" t="s">
        <v>24820</v>
      </c>
      <c r="E41592" s="21" t="s">
        <v>35</v>
      </c>
      <c r="F41592">
        <v>9760041</v>
      </c>
      <c r="G41592" t="s">
        <v>452</v>
      </c>
      <c r="H41592" s="21">
        <v>500</v>
      </c>
    </row>
    <row r="41593" spans="1:8" customFormat="1" x14ac:dyDescent="0.25">
      <c r="A41593" t="str">
        <f>"417881"</f>
        <v>417881</v>
      </c>
      <c r="B41593" t="s">
        <v>5951</v>
      </c>
      <c r="C41593" t="s">
        <v>24881</v>
      </c>
      <c r="D41593" s="21" t="s">
        <v>24820</v>
      </c>
      <c r="E41593" s="21" t="s">
        <v>254</v>
      </c>
      <c r="F41593">
        <v>4410466</v>
      </c>
      <c r="G41593" t="s">
        <v>678</v>
      </c>
      <c r="H41593" s="21">
        <v>500</v>
      </c>
    </row>
    <row r="41594" spans="1:8" customFormat="1" x14ac:dyDescent="0.25">
      <c r="A41594" t="str">
        <f>"761964"</f>
        <v>761964</v>
      </c>
      <c r="B41594" t="s">
        <v>17297</v>
      </c>
      <c r="C41594" t="s">
        <v>25961</v>
      </c>
      <c r="D41594" s="21" t="s">
        <v>24820</v>
      </c>
      <c r="E41594" s="21" t="s">
        <v>1089</v>
      </c>
      <c r="F41594">
        <v>9760156</v>
      </c>
      <c r="G41594" t="s">
        <v>26731</v>
      </c>
      <c r="H41594" s="21">
        <v>500</v>
      </c>
    </row>
    <row r="41595" spans="1:8" customFormat="1" x14ac:dyDescent="0.25">
      <c r="A41595" t="str">
        <f>"719972"</f>
        <v>719972</v>
      </c>
      <c r="B41595" t="s">
        <v>4399</v>
      </c>
      <c r="C41595" t="s">
        <v>25011</v>
      </c>
      <c r="D41595" s="21" t="s">
        <v>24820</v>
      </c>
      <c r="E41595" s="21" t="s">
        <v>1089</v>
      </c>
      <c r="F41595">
        <v>2710082</v>
      </c>
      <c r="G41595" t="s">
        <v>7738</v>
      </c>
      <c r="H41595" s="21">
        <v>500</v>
      </c>
    </row>
    <row r="41596" spans="1:8" customFormat="1" x14ac:dyDescent="0.25">
      <c r="A41596" t="str">
        <f>"2515494"</f>
        <v>2515494</v>
      </c>
      <c r="B41596" t="s">
        <v>6997</v>
      </c>
      <c r="C41596" t="s">
        <v>24906</v>
      </c>
      <c r="D41596" s="21" t="s">
        <v>24820</v>
      </c>
      <c r="E41596" s="21" t="s">
        <v>1089</v>
      </c>
      <c r="F41596">
        <v>2250231</v>
      </c>
      <c r="G41596" t="s">
        <v>8994</v>
      </c>
      <c r="H41596" s="21">
        <v>500</v>
      </c>
    </row>
    <row r="41597" spans="1:8" customFormat="1" x14ac:dyDescent="0.25">
      <c r="A41597" t="str">
        <f>"2517385"</f>
        <v>2517385</v>
      </c>
      <c r="B41597" t="s">
        <v>24806</v>
      </c>
      <c r="C41597" t="s">
        <v>24947</v>
      </c>
      <c r="D41597" s="21" t="s">
        <v>24820</v>
      </c>
      <c r="E41597" s="21" t="s">
        <v>35</v>
      </c>
      <c r="F41597">
        <v>2250181</v>
      </c>
      <c r="G41597" t="s">
        <v>494</v>
      </c>
      <c r="H41597" s="21">
        <v>500</v>
      </c>
    </row>
    <row r="41598" spans="1:8" customFormat="1" x14ac:dyDescent="0.25">
      <c r="A41598" t="str">
        <f>"5113133"</f>
        <v>5113133</v>
      </c>
      <c r="B41598" t="s">
        <v>18146</v>
      </c>
      <c r="C41598" t="s">
        <v>24929</v>
      </c>
      <c r="D41598" s="21" t="s">
        <v>24820</v>
      </c>
      <c r="E41598" s="21" t="s">
        <v>71</v>
      </c>
      <c r="F41598">
        <v>6510051</v>
      </c>
      <c r="G41598" t="s">
        <v>13878</v>
      </c>
      <c r="H41598" s="21">
        <v>500</v>
      </c>
    </row>
    <row r="41599" spans="1:8" customFormat="1" x14ac:dyDescent="0.25">
      <c r="A41599" t="str">
        <f>"3828693"</f>
        <v>3828693</v>
      </c>
      <c r="B41599" t="s">
        <v>16688</v>
      </c>
      <c r="C41599" t="s">
        <v>25045</v>
      </c>
      <c r="D41599" s="21" t="s">
        <v>24820</v>
      </c>
      <c r="E41599" s="21" t="s">
        <v>71</v>
      </c>
      <c r="F41599">
        <v>1380286</v>
      </c>
      <c r="G41599" t="s">
        <v>16669</v>
      </c>
      <c r="H41599" s="21">
        <v>500</v>
      </c>
    </row>
    <row r="41600" spans="1:8" customFormat="1" x14ac:dyDescent="0.25">
      <c r="A41600" t="str">
        <f>"9458749"</f>
        <v>9458749</v>
      </c>
      <c r="B41600" t="s">
        <v>5413</v>
      </c>
      <c r="C41600" t="s">
        <v>29955</v>
      </c>
      <c r="D41600" s="21" t="s">
        <v>24820</v>
      </c>
      <c r="E41600" s="21" t="s">
        <v>35</v>
      </c>
      <c r="F41600">
        <v>8940459</v>
      </c>
      <c r="G41600" t="s">
        <v>743</v>
      </c>
      <c r="H41600" s="21">
        <v>500</v>
      </c>
    </row>
    <row r="41601" spans="1:8" customFormat="1" x14ac:dyDescent="0.25">
      <c r="A41601" t="str">
        <f>"7414643"</f>
        <v>7414643</v>
      </c>
      <c r="B41601" t="s">
        <v>29966</v>
      </c>
      <c r="C41601" t="s">
        <v>25068</v>
      </c>
      <c r="D41601" s="21" t="s">
        <v>24820</v>
      </c>
      <c r="E41601" s="21" t="s">
        <v>35</v>
      </c>
      <c r="F41601">
        <v>1740060</v>
      </c>
      <c r="G41601" t="s">
        <v>4907</v>
      </c>
      <c r="H41601" s="21">
        <v>500</v>
      </c>
    </row>
    <row r="41602" spans="1:8" customFormat="1" x14ac:dyDescent="0.25">
      <c r="A41602" t="str">
        <f>"1711646"</f>
        <v>1711646</v>
      </c>
      <c r="B41602" t="s">
        <v>4305</v>
      </c>
      <c r="C41602" t="s">
        <v>24867</v>
      </c>
      <c r="D41602" s="21" t="s">
        <v>24820</v>
      </c>
      <c r="E41602" s="21" t="s">
        <v>35</v>
      </c>
      <c r="F41602">
        <v>10170009</v>
      </c>
      <c r="G41602" t="s">
        <v>3810</v>
      </c>
      <c r="H41602" s="21">
        <v>500</v>
      </c>
    </row>
    <row r="41603" spans="1:8" customFormat="1" x14ac:dyDescent="0.25">
      <c r="A41603" t="str">
        <f>"5621951"</f>
        <v>5621951</v>
      </c>
      <c r="B41603" t="s">
        <v>11269</v>
      </c>
      <c r="C41603" t="s">
        <v>29967</v>
      </c>
      <c r="D41603" s="21" t="s">
        <v>24820</v>
      </c>
      <c r="E41603" s="21" t="s">
        <v>35</v>
      </c>
      <c r="F41603">
        <v>3560059</v>
      </c>
      <c r="G41603" t="s">
        <v>2033</v>
      </c>
      <c r="H41603" s="21">
        <v>500</v>
      </c>
    </row>
    <row r="41604" spans="1:8" customFormat="1" x14ac:dyDescent="0.25">
      <c r="A41604" t="str">
        <f>"3729870"</f>
        <v>3729870</v>
      </c>
      <c r="B41604" t="s">
        <v>26049</v>
      </c>
      <c r="C41604" t="s">
        <v>26050</v>
      </c>
      <c r="D41604" s="21" t="s">
        <v>24820</v>
      </c>
      <c r="E41604" s="21" t="s">
        <v>254</v>
      </c>
      <c r="F41604">
        <v>4370724</v>
      </c>
      <c r="G41604" t="s">
        <v>11672</v>
      </c>
      <c r="H41604" s="21">
        <v>500</v>
      </c>
    </row>
    <row r="41605" spans="1:8" customFormat="1" x14ac:dyDescent="0.25">
      <c r="A41605" t="str">
        <f>"7211816"</f>
        <v>7211816</v>
      </c>
      <c r="B41605" t="s">
        <v>14403</v>
      </c>
      <c r="C41605" t="s">
        <v>25012</v>
      </c>
      <c r="D41605" s="21" t="s">
        <v>24820</v>
      </c>
      <c r="E41605" s="21" t="s">
        <v>254</v>
      </c>
      <c r="F41605">
        <v>12720009</v>
      </c>
      <c r="G41605" t="s">
        <v>6928</v>
      </c>
      <c r="H41605" s="21">
        <v>500</v>
      </c>
    </row>
    <row r="41606" spans="1:8" customFormat="1" x14ac:dyDescent="0.25">
      <c r="A41606" t="str">
        <f>"8019723"</f>
        <v>8019723</v>
      </c>
      <c r="B41606" t="s">
        <v>29968</v>
      </c>
      <c r="C41606" t="s">
        <v>25291</v>
      </c>
      <c r="D41606" s="21" t="s">
        <v>24820</v>
      </c>
      <c r="E41606" s="21" t="s">
        <v>35</v>
      </c>
      <c r="F41606">
        <v>7800074</v>
      </c>
      <c r="G41606" t="s">
        <v>7104</v>
      </c>
      <c r="H41606" s="21">
        <v>500</v>
      </c>
    </row>
    <row r="41607" spans="1:8" customFormat="1" x14ac:dyDescent="0.25">
      <c r="A41607" t="str">
        <f>"037524"</f>
        <v>037524</v>
      </c>
      <c r="B41607" t="s">
        <v>15594</v>
      </c>
      <c r="C41607" t="s">
        <v>24865</v>
      </c>
      <c r="D41607" s="21" t="s">
        <v>24820</v>
      </c>
      <c r="E41607" s="21" t="s">
        <v>71</v>
      </c>
      <c r="F41607">
        <v>1030300</v>
      </c>
      <c r="G41607" t="s">
        <v>7676</v>
      </c>
      <c r="H41607" s="21">
        <v>500</v>
      </c>
    </row>
    <row r="41608" spans="1:8" customFormat="1" x14ac:dyDescent="0.25">
      <c r="A41608" t="str">
        <f>"9147895"</f>
        <v>9147895</v>
      </c>
      <c r="B41608" t="s">
        <v>29969</v>
      </c>
      <c r="C41608" t="s">
        <v>24947</v>
      </c>
      <c r="D41608" s="21" t="s">
        <v>24820</v>
      </c>
      <c r="E41608" s="21" t="s">
        <v>35</v>
      </c>
      <c r="F41608">
        <v>8910310</v>
      </c>
      <c r="G41608" t="s">
        <v>6645</v>
      </c>
      <c r="H41608" s="21">
        <v>500</v>
      </c>
    </row>
    <row r="41609" spans="1:8" customFormat="1" x14ac:dyDescent="0.25">
      <c r="A41609" t="str">
        <f>"9445415"</f>
        <v>9445415</v>
      </c>
      <c r="B41609" t="s">
        <v>24107</v>
      </c>
      <c r="C41609" t="s">
        <v>24943</v>
      </c>
      <c r="D41609" s="21" t="s">
        <v>24820</v>
      </c>
      <c r="E41609" s="21" t="s">
        <v>35</v>
      </c>
      <c r="F41609">
        <v>8940459</v>
      </c>
      <c r="G41609" t="s">
        <v>743</v>
      </c>
      <c r="H41609" s="21">
        <v>500</v>
      </c>
    </row>
    <row r="41610" spans="1:8" customFormat="1" x14ac:dyDescent="0.25">
      <c r="A41610" t="str">
        <f>"2210430"</f>
        <v>2210430</v>
      </c>
      <c r="B41610" t="s">
        <v>26084</v>
      </c>
      <c r="C41610" t="s">
        <v>24994</v>
      </c>
      <c r="D41610" s="21" t="s">
        <v>24820</v>
      </c>
      <c r="E41610" s="21" t="s">
        <v>1089</v>
      </c>
      <c r="F41610">
        <v>3220038</v>
      </c>
      <c r="G41610" t="s">
        <v>27039</v>
      </c>
      <c r="H41610" s="21">
        <v>500</v>
      </c>
    </row>
    <row r="41611" spans="1:8" customFormat="1" x14ac:dyDescent="0.25">
      <c r="A41611" t="str">
        <f>"5325597"</f>
        <v>5325597</v>
      </c>
      <c r="B41611" t="s">
        <v>25945</v>
      </c>
      <c r="C41611" t="s">
        <v>24854</v>
      </c>
      <c r="D41611" s="21" t="s">
        <v>24820</v>
      </c>
      <c r="E41611" s="21" t="s">
        <v>71</v>
      </c>
      <c r="F41611">
        <v>12530007</v>
      </c>
      <c r="G41611" t="s">
        <v>2966</v>
      </c>
      <c r="H41611" s="21">
        <v>500</v>
      </c>
    </row>
    <row r="41612" spans="1:8" customFormat="1" x14ac:dyDescent="0.25">
      <c r="A41612" t="str">
        <f>"8016662"</f>
        <v>8016662</v>
      </c>
      <c r="B41612" t="s">
        <v>4560</v>
      </c>
      <c r="C41612" t="s">
        <v>24904</v>
      </c>
      <c r="D41612" s="21" t="s">
        <v>24820</v>
      </c>
      <c r="E41612" s="21" t="s">
        <v>71</v>
      </c>
      <c r="F41612">
        <v>7800054</v>
      </c>
      <c r="G41612" t="s">
        <v>3772</v>
      </c>
      <c r="H41612" s="21">
        <v>500</v>
      </c>
    </row>
    <row r="41613" spans="1:8" customFormat="1" x14ac:dyDescent="0.25">
      <c r="A41613" t="str">
        <f>"5432416"</f>
        <v>5432416</v>
      </c>
      <c r="B41613" t="s">
        <v>2243</v>
      </c>
      <c r="C41613" t="s">
        <v>24898</v>
      </c>
      <c r="D41613" s="21" t="s">
        <v>24820</v>
      </c>
      <c r="E41613" s="21" t="s">
        <v>254</v>
      </c>
      <c r="F41613">
        <v>6540055</v>
      </c>
      <c r="G41613" t="s">
        <v>9080</v>
      </c>
      <c r="H41613" s="21">
        <v>500</v>
      </c>
    </row>
    <row r="41614" spans="1:8" customFormat="1" x14ac:dyDescent="0.25">
      <c r="A41614" t="str">
        <f>"6949359"</f>
        <v>6949359</v>
      </c>
      <c r="B41614" t="s">
        <v>1349</v>
      </c>
      <c r="C41614" t="s">
        <v>24863</v>
      </c>
      <c r="D41614" s="21" t="s">
        <v>24820</v>
      </c>
      <c r="E41614" s="21" t="s">
        <v>35</v>
      </c>
      <c r="F41614">
        <v>1690166</v>
      </c>
      <c r="G41614" t="s">
        <v>3886</v>
      </c>
      <c r="H41614" s="21">
        <v>500</v>
      </c>
    </row>
    <row r="41615" spans="1:8" customFormat="1" x14ac:dyDescent="0.25">
      <c r="A41615" t="str">
        <f>"4216983"</f>
        <v>4216983</v>
      </c>
      <c r="B41615" t="s">
        <v>4225</v>
      </c>
      <c r="C41615" t="s">
        <v>25066</v>
      </c>
      <c r="D41615" s="21" t="s">
        <v>24820</v>
      </c>
      <c r="E41615" s="21" t="s">
        <v>35</v>
      </c>
      <c r="F41615">
        <v>1420112</v>
      </c>
      <c r="G41615" t="s">
        <v>5465</v>
      </c>
      <c r="H41615" s="21">
        <v>500</v>
      </c>
    </row>
    <row r="41616" spans="1:8" customFormat="1" x14ac:dyDescent="0.25">
      <c r="A41616" t="str">
        <f>"6212737"</f>
        <v>6212737</v>
      </c>
      <c r="B41616" t="s">
        <v>26014</v>
      </c>
      <c r="C41616" t="s">
        <v>23734</v>
      </c>
      <c r="D41616" s="21" t="s">
        <v>24820</v>
      </c>
      <c r="E41616" s="21" t="s">
        <v>71</v>
      </c>
      <c r="F41616">
        <v>7620090</v>
      </c>
      <c r="G41616" t="s">
        <v>15041</v>
      </c>
      <c r="H41616" s="21">
        <v>500</v>
      </c>
    </row>
    <row r="41617" spans="1:8" customFormat="1" x14ac:dyDescent="0.25">
      <c r="A41617" t="str">
        <f>"3014047"</f>
        <v>3014047</v>
      </c>
      <c r="B41617" t="s">
        <v>6925</v>
      </c>
      <c r="C41617" t="s">
        <v>23734</v>
      </c>
      <c r="D41617" s="21" t="s">
        <v>24820</v>
      </c>
      <c r="E41617" s="21" t="s">
        <v>71</v>
      </c>
      <c r="F41617">
        <v>11300021</v>
      </c>
      <c r="G41617" t="s">
        <v>22941</v>
      </c>
      <c r="H41617" s="21">
        <v>500</v>
      </c>
    </row>
    <row r="41618" spans="1:8" customFormat="1" x14ac:dyDescent="0.25">
      <c r="A41618" t="str">
        <f>"9419521"</f>
        <v>9419521</v>
      </c>
      <c r="B41618" t="s">
        <v>25727</v>
      </c>
      <c r="C41618" t="s">
        <v>24686</v>
      </c>
      <c r="D41618" s="21" t="s">
        <v>24820</v>
      </c>
      <c r="E41618" s="21" t="s">
        <v>71</v>
      </c>
      <c r="F41618">
        <v>8940052</v>
      </c>
      <c r="G41618" t="s">
        <v>190</v>
      </c>
      <c r="H41618" s="21">
        <v>500</v>
      </c>
    </row>
    <row r="41619" spans="1:8" customFormat="1" x14ac:dyDescent="0.25">
      <c r="A41619" t="str">
        <f>"3522975"</f>
        <v>3522975</v>
      </c>
      <c r="B41619" t="s">
        <v>26300</v>
      </c>
      <c r="C41619" t="s">
        <v>26301</v>
      </c>
      <c r="D41619" s="21" t="s">
        <v>24820</v>
      </c>
      <c r="E41619" s="21" t="s">
        <v>71</v>
      </c>
      <c r="F41619">
        <v>3350231</v>
      </c>
      <c r="G41619" t="s">
        <v>26302</v>
      </c>
      <c r="H41619" s="21">
        <v>500</v>
      </c>
    </row>
    <row r="41620" spans="1:8" customFormat="1" x14ac:dyDescent="0.25">
      <c r="A41620" t="str">
        <f>"8614278"</f>
        <v>8614278</v>
      </c>
      <c r="B41620" t="s">
        <v>6085</v>
      </c>
      <c r="C41620" t="s">
        <v>25045</v>
      </c>
      <c r="D41620" s="21" t="s">
        <v>24820</v>
      </c>
      <c r="E41620" s="21" t="s">
        <v>71</v>
      </c>
      <c r="F41620">
        <v>10860031</v>
      </c>
      <c r="G41620" t="s">
        <v>5834</v>
      </c>
      <c r="H41620" s="21">
        <v>500</v>
      </c>
    </row>
    <row r="41621" spans="1:8" customFormat="1" x14ac:dyDescent="0.25">
      <c r="A41621" t="str">
        <f>"3834067"</f>
        <v>3834067</v>
      </c>
      <c r="B41621" t="s">
        <v>16531</v>
      </c>
      <c r="C41621" t="s">
        <v>24884</v>
      </c>
      <c r="D41621" s="21" t="s">
        <v>24820</v>
      </c>
      <c r="E41621" s="21" t="s">
        <v>35</v>
      </c>
      <c r="F41621">
        <v>1380236</v>
      </c>
      <c r="G41621" t="s">
        <v>2876</v>
      </c>
      <c r="H41621" s="21">
        <v>500</v>
      </c>
    </row>
    <row r="41622" spans="1:8" customFormat="1" x14ac:dyDescent="0.25">
      <c r="A41622" t="str">
        <f>"9H851"</f>
        <v>9H851</v>
      </c>
      <c r="B41622" t="s">
        <v>29970</v>
      </c>
      <c r="C41622" t="s">
        <v>29971</v>
      </c>
      <c r="D41622" s="21" t="s">
        <v>24820</v>
      </c>
      <c r="E41622" s="21" t="s">
        <v>35</v>
      </c>
      <c r="F41622" t="s">
        <v>29856</v>
      </c>
      <c r="G41622" t="s">
        <v>29857</v>
      </c>
      <c r="H41622" s="21">
        <v>500</v>
      </c>
    </row>
    <row r="41623" spans="1:8" customFormat="1" x14ac:dyDescent="0.25">
      <c r="A41623" t="str">
        <f>"5958410"</f>
        <v>5958410</v>
      </c>
      <c r="B41623" t="s">
        <v>16975</v>
      </c>
      <c r="C41623" t="s">
        <v>25011</v>
      </c>
      <c r="D41623" s="21" t="s">
        <v>24820</v>
      </c>
      <c r="E41623" s="21" t="s">
        <v>71</v>
      </c>
      <c r="F41623">
        <v>7590336</v>
      </c>
      <c r="G41623" t="s">
        <v>2341</v>
      </c>
      <c r="H41623" s="21">
        <v>500</v>
      </c>
    </row>
    <row r="41624" spans="1:8" customFormat="1" x14ac:dyDescent="0.25">
      <c r="A41624" t="str">
        <f>"1716101"</f>
        <v>1716101</v>
      </c>
      <c r="B41624" t="s">
        <v>10992</v>
      </c>
      <c r="C41624" t="s">
        <v>25173</v>
      </c>
      <c r="D41624" s="21" t="s">
        <v>24820</v>
      </c>
      <c r="E41624" s="21" t="s">
        <v>35</v>
      </c>
      <c r="F41624">
        <v>10170064</v>
      </c>
      <c r="G41624" t="s">
        <v>1900</v>
      </c>
      <c r="H41624" s="21">
        <v>500</v>
      </c>
    </row>
    <row r="41625" spans="1:8" customFormat="1" x14ac:dyDescent="0.25">
      <c r="A41625" t="str">
        <f>"316086"</f>
        <v>316086</v>
      </c>
      <c r="B41625" t="s">
        <v>25865</v>
      </c>
      <c r="C41625" t="s">
        <v>24869</v>
      </c>
      <c r="D41625" s="21" t="s">
        <v>24820</v>
      </c>
      <c r="E41625" s="21" t="s">
        <v>71</v>
      </c>
      <c r="F41625">
        <v>11310070</v>
      </c>
      <c r="G41625" t="s">
        <v>11563</v>
      </c>
      <c r="H41625" s="21">
        <v>500</v>
      </c>
    </row>
    <row r="41626" spans="1:8" customFormat="1" x14ac:dyDescent="0.25">
      <c r="A41626" t="str">
        <f>"72546"</f>
        <v>72546</v>
      </c>
      <c r="B41626" t="s">
        <v>1727</v>
      </c>
      <c r="C41626" t="s">
        <v>26200</v>
      </c>
      <c r="D41626" s="21" t="s">
        <v>24820</v>
      </c>
      <c r="E41626" s="21" t="s">
        <v>1089</v>
      </c>
      <c r="F41626">
        <v>12720104</v>
      </c>
      <c r="G41626" t="s">
        <v>224</v>
      </c>
      <c r="H41626" s="21">
        <v>500</v>
      </c>
    </row>
    <row r="41627" spans="1:8" customFormat="1" x14ac:dyDescent="0.25">
      <c r="A41627" t="str">
        <f>"2517399"</f>
        <v>2517399</v>
      </c>
      <c r="B41627" t="s">
        <v>9535</v>
      </c>
      <c r="C41627" t="s">
        <v>25053</v>
      </c>
      <c r="D41627" s="21" t="s">
        <v>24820</v>
      </c>
      <c r="E41627" s="21" t="s">
        <v>71</v>
      </c>
      <c r="F41627">
        <v>2250015</v>
      </c>
      <c r="G41627" t="s">
        <v>4776</v>
      </c>
      <c r="H41627" s="21">
        <v>500</v>
      </c>
    </row>
    <row r="41628" spans="1:8" customFormat="1" x14ac:dyDescent="0.25">
      <c r="A41628" t="str">
        <f>"992370"</f>
        <v>992370</v>
      </c>
      <c r="B41628" t="s">
        <v>29972</v>
      </c>
      <c r="C41628" t="s">
        <v>24968</v>
      </c>
      <c r="D41628" s="21" t="s">
        <v>24820</v>
      </c>
      <c r="E41628" s="21" t="s">
        <v>71</v>
      </c>
      <c r="F41628">
        <v>5990009</v>
      </c>
      <c r="G41628" t="s">
        <v>3127</v>
      </c>
      <c r="H41628" s="21">
        <v>500</v>
      </c>
    </row>
    <row r="41629" spans="1:8" customFormat="1" x14ac:dyDescent="0.25">
      <c r="A41629" t="str">
        <f>"0115699"</f>
        <v>0115699</v>
      </c>
      <c r="B41629" t="s">
        <v>6847</v>
      </c>
      <c r="C41629" t="s">
        <v>24897</v>
      </c>
      <c r="D41629" s="21" t="s">
        <v>24820</v>
      </c>
      <c r="E41629" s="21" t="s">
        <v>35</v>
      </c>
      <c r="F41629">
        <v>1010068</v>
      </c>
      <c r="G41629" t="s">
        <v>4755</v>
      </c>
      <c r="H41629" s="21">
        <v>500</v>
      </c>
    </row>
    <row r="41630" spans="1:8" customFormat="1" x14ac:dyDescent="0.25">
      <c r="A41630" t="str">
        <f>"9144435"</f>
        <v>9144435</v>
      </c>
      <c r="B41630" t="s">
        <v>26045</v>
      </c>
      <c r="C41630" t="s">
        <v>25188</v>
      </c>
      <c r="D41630" s="21" t="s">
        <v>24820</v>
      </c>
      <c r="E41630" s="21" t="s">
        <v>35</v>
      </c>
      <c r="F41630">
        <v>8911161</v>
      </c>
      <c r="G41630" t="s">
        <v>599</v>
      </c>
      <c r="H41630" s="21">
        <v>500</v>
      </c>
    </row>
    <row r="41631" spans="1:8" customFormat="1" x14ac:dyDescent="0.25">
      <c r="A41631" t="str">
        <f>"7858657"</f>
        <v>7858657</v>
      </c>
      <c r="B41631" t="s">
        <v>5928</v>
      </c>
      <c r="C41631" t="s">
        <v>24953</v>
      </c>
      <c r="D41631" s="21" t="s">
        <v>24820</v>
      </c>
      <c r="E41631" s="21" t="s">
        <v>71</v>
      </c>
      <c r="F41631">
        <v>8780002</v>
      </c>
      <c r="G41631" t="s">
        <v>2196</v>
      </c>
      <c r="H41631" s="21">
        <v>500</v>
      </c>
    </row>
    <row r="41632" spans="1:8" customFormat="1" x14ac:dyDescent="0.25">
      <c r="A41632" t="str">
        <f>"153837"</f>
        <v>153837</v>
      </c>
      <c r="B41632" t="s">
        <v>25796</v>
      </c>
      <c r="C41632" t="s">
        <v>24958</v>
      </c>
      <c r="D41632" s="21" t="s">
        <v>24820</v>
      </c>
      <c r="E41632" s="21" t="s">
        <v>71</v>
      </c>
      <c r="F41632">
        <v>1150307</v>
      </c>
      <c r="G41632" t="s">
        <v>26826</v>
      </c>
      <c r="H41632" s="21">
        <v>500</v>
      </c>
    </row>
    <row r="41633" spans="1:8" customFormat="1" x14ac:dyDescent="0.25">
      <c r="A41633" t="str">
        <f>"4913228"</f>
        <v>4913228</v>
      </c>
      <c r="B41633" t="s">
        <v>9537</v>
      </c>
      <c r="C41633" t="s">
        <v>25544</v>
      </c>
      <c r="D41633" s="21" t="s">
        <v>24820</v>
      </c>
      <c r="E41633" s="21" t="s">
        <v>254</v>
      </c>
      <c r="F41633">
        <v>12490040</v>
      </c>
      <c r="G41633" t="s">
        <v>94</v>
      </c>
      <c r="H41633" s="21">
        <v>500</v>
      </c>
    </row>
    <row r="41634" spans="1:8" customFormat="1" x14ac:dyDescent="0.25">
      <c r="A41634" t="str">
        <f>"2937601"</f>
        <v>2937601</v>
      </c>
      <c r="B41634" t="s">
        <v>8926</v>
      </c>
      <c r="C41634" t="s">
        <v>25390</v>
      </c>
      <c r="D41634" s="21" t="s">
        <v>24820</v>
      </c>
      <c r="E41634" s="21" t="s">
        <v>254</v>
      </c>
      <c r="F41634">
        <v>3290288</v>
      </c>
      <c r="G41634" t="s">
        <v>23455</v>
      </c>
      <c r="H41634" s="21">
        <v>500</v>
      </c>
    </row>
    <row r="41635" spans="1:8" customFormat="1" x14ac:dyDescent="0.25">
      <c r="A41635" t="str">
        <f>"6225454"</f>
        <v>6225454</v>
      </c>
      <c r="B41635" t="s">
        <v>24309</v>
      </c>
      <c r="C41635" t="s">
        <v>24840</v>
      </c>
      <c r="D41635" s="21" t="s">
        <v>24820</v>
      </c>
      <c r="E41635" s="21" t="s">
        <v>35</v>
      </c>
      <c r="F41635">
        <v>7620090</v>
      </c>
      <c r="G41635" t="s">
        <v>15041</v>
      </c>
      <c r="H41635" s="21">
        <v>500</v>
      </c>
    </row>
    <row r="41636" spans="1:8" customFormat="1" x14ac:dyDescent="0.25">
      <c r="A41636" t="str">
        <f>"4457106"</f>
        <v>4457106</v>
      </c>
      <c r="B41636" t="s">
        <v>29973</v>
      </c>
      <c r="C41636" t="s">
        <v>24890</v>
      </c>
      <c r="D41636" s="21" t="s">
        <v>24820</v>
      </c>
      <c r="E41636" s="21" t="s">
        <v>71</v>
      </c>
      <c r="F41636">
        <v>12440033</v>
      </c>
      <c r="G41636" t="s">
        <v>1638</v>
      </c>
      <c r="H41636" s="21">
        <v>500</v>
      </c>
    </row>
    <row r="41637" spans="1:8" customFormat="1" x14ac:dyDescent="0.25">
      <c r="A41637" t="str">
        <f>"844154"</f>
        <v>844154</v>
      </c>
      <c r="B41637" t="s">
        <v>9442</v>
      </c>
      <c r="C41637" t="s">
        <v>24824</v>
      </c>
      <c r="D41637" s="21" t="s">
        <v>24820</v>
      </c>
      <c r="E41637" s="21" t="s">
        <v>254</v>
      </c>
      <c r="F41637">
        <v>13840050</v>
      </c>
      <c r="G41637" t="s">
        <v>21228</v>
      </c>
      <c r="H41637" s="21">
        <v>500</v>
      </c>
    </row>
    <row r="41638" spans="1:8" customFormat="1" x14ac:dyDescent="0.25">
      <c r="A41638" t="str">
        <f>"9525863"</f>
        <v>9525863</v>
      </c>
      <c r="B41638" t="s">
        <v>23175</v>
      </c>
      <c r="C41638" t="s">
        <v>547</v>
      </c>
      <c r="D41638" s="21" t="s">
        <v>24820</v>
      </c>
      <c r="E41638" s="21" t="s">
        <v>35</v>
      </c>
      <c r="F41638">
        <v>8950435</v>
      </c>
      <c r="G41638" t="s">
        <v>6404</v>
      </c>
      <c r="H41638" s="21">
        <v>500</v>
      </c>
    </row>
    <row r="41639" spans="1:8" customFormat="1" x14ac:dyDescent="0.25">
      <c r="A41639" t="str">
        <f>"6112088"</f>
        <v>6112088</v>
      </c>
      <c r="B41639" t="s">
        <v>1012</v>
      </c>
      <c r="C41639" t="s">
        <v>25390</v>
      </c>
      <c r="D41639" s="21" t="s">
        <v>24820</v>
      </c>
      <c r="E41639" s="21" t="s">
        <v>71</v>
      </c>
      <c r="F41639">
        <v>9610009</v>
      </c>
      <c r="G41639" t="s">
        <v>282</v>
      </c>
      <c r="H41639" s="21">
        <v>500</v>
      </c>
    </row>
    <row r="41640" spans="1:8" customFormat="1" x14ac:dyDescent="0.25">
      <c r="A41640" t="str">
        <f>"2220143"</f>
        <v>2220143</v>
      </c>
      <c r="B41640" t="s">
        <v>26331</v>
      </c>
      <c r="C41640" t="s">
        <v>24906</v>
      </c>
      <c r="D41640" s="21" t="s">
        <v>24820</v>
      </c>
      <c r="E41640" s="21" t="s">
        <v>254</v>
      </c>
      <c r="F41640">
        <v>3220065</v>
      </c>
      <c r="G41640" t="s">
        <v>27386</v>
      </c>
      <c r="H41640" s="21">
        <v>500</v>
      </c>
    </row>
    <row r="41641" spans="1:8" customFormat="1" x14ac:dyDescent="0.25">
      <c r="A41641" t="str">
        <f>"1321079"</f>
        <v>1321079</v>
      </c>
      <c r="B41641" t="s">
        <v>29974</v>
      </c>
      <c r="C41641" t="s">
        <v>29903</v>
      </c>
      <c r="D41641" s="21" t="s">
        <v>24820</v>
      </c>
      <c r="E41641" s="21" t="s">
        <v>254</v>
      </c>
      <c r="F41641">
        <v>13130012</v>
      </c>
      <c r="G41641" t="s">
        <v>68</v>
      </c>
      <c r="H41641" s="21">
        <v>500</v>
      </c>
    </row>
    <row r="41642" spans="1:8" customFormat="1" x14ac:dyDescent="0.25">
      <c r="A41642" t="str">
        <f>"7214458"</f>
        <v>7214458</v>
      </c>
      <c r="B41642" t="s">
        <v>4950</v>
      </c>
      <c r="C41642" t="s">
        <v>24840</v>
      </c>
      <c r="D41642" s="21" t="s">
        <v>24820</v>
      </c>
      <c r="E41642" s="21" t="s">
        <v>35</v>
      </c>
      <c r="F41642">
        <v>12720028</v>
      </c>
      <c r="G41642" t="s">
        <v>4381</v>
      </c>
      <c r="H41642" s="21">
        <v>500</v>
      </c>
    </row>
    <row r="41643" spans="1:8" customFormat="1" x14ac:dyDescent="0.25">
      <c r="A41643" t="str">
        <f>"836163"</f>
        <v>836163</v>
      </c>
      <c r="B41643" t="s">
        <v>9520</v>
      </c>
      <c r="C41643" t="s">
        <v>6374</v>
      </c>
      <c r="D41643" s="21" t="s">
        <v>24820</v>
      </c>
      <c r="E41643" s="21" t="s">
        <v>254</v>
      </c>
      <c r="F41643">
        <v>13830029</v>
      </c>
      <c r="G41643" t="s">
        <v>315</v>
      </c>
      <c r="H41643" s="21">
        <v>500</v>
      </c>
    </row>
    <row r="41644" spans="1:8" customFormat="1" x14ac:dyDescent="0.25">
      <c r="A41644" t="str">
        <f>"8019725"</f>
        <v>8019725</v>
      </c>
      <c r="B41644" t="s">
        <v>29975</v>
      </c>
      <c r="C41644" t="s">
        <v>24883</v>
      </c>
      <c r="D41644" s="21" t="s">
        <v>24820</v>
      </c>
      <c r="E41644" s="21" t="s">
        <v>35</v>
      </c>
      <c r="F41644">
        <v>7800074</v>
      </c>
      <c r="G41644" t="s">
        <v>7104</v>
      </c>
      <c r="H41644" s="21">
        <v>500</v>
      </c>
    </row>
    <row r="41645" spans="1:8" customFormat="1" x14ac:dyDescent="0.25">
      <c r="A41645" t="str">
        <f>"8018490"</f>
        <v>8018490</v>
      </c>
      <c r="B41645" t="s">
        <v>482</v>
      </c>
      <c r="C41645" t="s">
        <v>24865</v>
      </c>
      <c r="D41645" s="21" t="s">
        <v>24820</v>
      </c>
      <c r="E41645" s="21" t="s">
        <v>71</v>
      </c>
      <c r="F41645">
        <v>7800107</v>
      </c>
      <c r="G41645" t="s">
        <v>10161</v>
      </c>
      <c r="H41645" s="21">
        <v>500</v>
      </c>
    </row>
    <row r="41646" spans="1:8" customFormat="1" x14ac:dyDescent="0.25">
      <c r="A41646" t="str">
        <f>"914665"</f>
        <v>914665</v>
      </c>
      <c r="B41646" t="s">
        <v>26020</v>
      </c>
      <c r="C41646" t="s">
        <v>25195</v>
      </c>
      <c r="D41646" s="21" t="s">
        <v>24820</v>
      </c>
      <c r="E41646" s="21" t="s">
        <v>1089</v>
      </c>
      <c r="F41646">
        <v>8910861</v>
      </c>
      <c r="G41646" t="s">
        <v>1120</v>
      </c>
      <c r="H41646" s="21">
        <v>500</v>
      </c>
    </row>
    <row r="41647" spans="1:8" customFormat="1" x14ac:dyDescent="0.25">
      <c r="A41647" t="str">
        <f>"5982267"</f>
        <v>5982267</v>
      </c>
      <c r="B41647" t="s">
        <v>29976</v>
      </c>
      <c r="C41647" t="s">
        <v>24881</v>
      </c>
      <c r="D41647" s="21" t="s">
        <v>24820</v>
      </c>
      <c r="E41647" s="21" t="s">
        <v>71</v>
      </c>
      <c r="F41647">
        <v>7590071</v>
      </c>
      <c r="G41647" t="s">
        <v>2602</v>
      </c>
      <c r="H41647" s="21">
        <v>500</v>
      </c>
    </row>
    <row r="41648" spans="1:8" customFormat="1" x14ac:dyDescent="0.25">
      <c r="A41648" t="str">
        <f>"554661"</f>
        <v>554661</v>
      </c>
      <c r="B41648" t="s">
        <v>6089</v>
      </c>
      <c r="C41648" t="s">
        <v>24906</v>
      </c>
      <c r="D41648" s="21" t="s">
        <v>24820</v>
      </c>
      <c r="E41648" s="21" t="s">
        <v>1089</v>
      </c>
      <c r="F41648">
        <v>6550020</v>
      </c>
      <c r="G41648" t="s">
        <v>7526</v>
      </c>
      <c r="H41648" s="21">
        <v>500</v>
      </c>
    </row>
    <row r="41649" spans="1:8" customFormat="1" x14ac:dyDescent="0.25">
      <c r="A41649" t="str">
        <f>"2220589"</f>
        <v>2220589</v>
      </c>
      <c r="B41649" t="s">
        <v>136</v>
      </c>
      <c r="C41649" t="s">
        <v>25188</v>
      </c>
      <c r="D41649" s="21" t="s">
        <v>24820</v>
      </c>
      <c r="E41649" s="21" t="s">
        <v>35</v>
      </c>
      <c r="F41649">
        <v>3220033</v>
      </c>
      <c r="G41649" t="s">
        <v>657</v>
      </c>
      <c r="H41649" s="21">
        <v>500</v>
      </c>
    </row>
    <row r="41650" spans="1:8" customFormat="1" x14ac:dyDescent="0.25">
      <c r="A41650" t="str">
        <f>"6217769"</f>
        <v>6217769</v>
      </c>
      <c r="B41650" t="s">
        <v>18955</v>
      </c>
      <c r="C41650" t="s">
        <v>25695</v>
      </c>
      <c r="D41650" s="21" t="s">
        <v>24820</v>
      </c>
      <c r="E41650" s="21" t="s">
        <v>254</v>
      </c>
      <c r="F41650">
        <v>7620183</v>
      </c>
      <c r="G41650" t="s">
        <v>8030</v>
      </c>
      <c r="H41650" s="21">
        <v>500</v>
      </c>
    </row>
    <row r="41651" spans="1:8" customFormat="1" x14ac:dyDescent="0.25">
      <c r="A41651" t="str">
        <f>"9138102"</f>
        <v>9138102</v>
      </c>
      <c r="B41651" t="s">
        <v>15036</v>
      </c>
      <c r="C41651" t="s">
        <v>24883</v>
      </c>
      <c r="D41651" s="21" t="s">
        <v>24820</v>
      </c>
      <c r="E41651" s="21" t="s">
        <v>35</v>
      </c>
      <c r="F41651">
        <v>8910214</v>
      </c>
      <c r="G41651" t="s">
        <v>986</v>
      </c>
      <c r="H41651" s="21">
        <v>500</v>
      </c>
    </row>
    <row r="41652" spans="1:8" customFormat="1" x14ac:dyDescent="0.25">
      <c r="A41652" t="str">
        <f>"0113660"</f>
        <v>0113660</v>
      </c>
      <c r="B41652" t="s">
        <v>1094</v>
      </c>
      <c r="C41652" t="s">
        <v>24989</v>
      </c>
      <c r="D41652" s="21" t="s">
        <v>24820</v>
      </c>
      <c r="E41652" s="21" t="s">
        <v>35</v>
      </c>
      <c r="F41652">
        <v>1010071</v>
      </c>
      <c r="G41652" t="s">
        <v>8104</v>
      </c>
      <c r="H41652" s="21">
        <v>500</v>
      </c>
    </row>
    <row r="41653" spans="1:8" customFormat="1" x14ac:dyDescent="0.25">
      <c r="A41653" t="str">
        <f>"3831314"</f>
        <v>3831314</v>
      </c>
      <c r="B41653" t="s">
        <v>12836</v>
      </c>
      <c r="C41653" t="s">
        <v>24845</v>
      </c>
      <c r="D41653" s="21" t="s">
        <v>24820</v>
      </c>
      <c r="E41653" s="21" t="s">
        <v>35</v>
      </c>
      <c r="F41653">
        <v>1380287</v>
      </c>
      <c r="G41653" t="s">
        <v>14614</v>
      </c>
      <c r="H41653" s="21">
        <v>500</v>
      </c>
    </row>
    <row r="41654" spans="1:8" customFormat="1" x14ac:dyDescent="0.25">
      <c r="A41654" t="str">
        <f>"3536460"</f>
        <v>3536460</v>
      </c>
      <c r="B41654" t="s">
        <v>4096</v>
      </c>
      <c r="C41654" t="s">
        <v>24968</v>
      </c>
      <c r="D41654" s="21" t="s">
        <v>24820</v>
      </c>
      <c r="E41654" s="21" t="s">
        <v>71</v>
      </c>
      <c r="F41654">
        <v>3350132</v>
      </c>
      <c r="G41654" t="s">
        <v>17921</v>
      </c>
      <c r="H41654" s="21">
        <v>500</v>
      </c>
    </row>
    <row r="41655" spans="1:8" customFormat="1" x14ac:dyDescent="0.25">
      <c r="A41655" t="str">
        <f>"408137"</f>
        <v>408137</v>
      </c>
      <c r="B41655" t="s">
        <v>29977</v>
      </c>
      <c r="C41655" t="s">
        <v>25141</v>
      </c>
      <c r="D41655" s="21" t="s">
        <v>24820</v>
      </c>
      <c r="E41655" s="21" t="s">
        <v>71</v>
      </c>
      <c r="F41655">
        <v>10400013</v>
      </c>
      <c r="G41655" t="s">
        <v>6238</v>
      </c>
      <c r="H41655" s="21">
        <v>500</v>
      </c>
    </row>
    <row r="41656" spans="1:8" customFormat="1" x14ac:dyDescent="0.25">
      <c r="A41656" t="str">
        <f>"308650"</f>
        <v>308650</v>
      </c>
      <c r="B41656" t="s">
        <v>25951</v>
      </c>
      <c r="C41656" t="s">
        <v>23734</v>
      </c>
      <c r="D41656" s="21" t="s">
        <v>24820</v>
      </c>
      <c r="E41656" s="21" t="s">
        <v>71</v>
      </c>
      <c r="F41656">
        <v>11300006</v>
      </c>
      <c r="G41656" t="s">
        <v>23386</v>
      </c>
      <c r="H41656" s="21">
        <v>500</v>
      </c>
    </row>
    <row r="41657" spans="1:8" customFormat="1" x14ac:dyDescent="0.25">
      <c r="A41657" t="str">
        <f>"461357"</f>
        <v>461357</v>
      </c>
      <c r="B41657" t="s">
        <v>18626</v>
      </c>
      <c r="C41657" t="s">
        <v>24824</v>
      </c>
      <c r="D41657" s="21" t="s">
        <v>24820</v>
      </c>
      <c r="E41657" s="21" t="s">
        <v>35</v>
      </c>
      <c r="F41657">
        <v>11460027</v>
      </c>
      <c r="G41657" t="s">
        <v>26580</v>
      </c>
      <c r="H41657" s="21">
        <v>500</v>
      </c>
    </row>
    <row r="41658" spans="1:8" customFormat="1" x14ac:dyDescent="0.25">
      <c r="A41658" t="str">
        <f>"8528814"</f>
        <v>8528814</v>
      </c>
      <c r="B41658" t="s">
        <v>9328</v>
      </c>
      <c r="C41658" t="s">
        <v>24857</v>
      </c>
      <c r="D41658" s="21" t="s">
        <v>24820</v>
      </c>
      <c r="E41658" s="21" t="s">
        <v>35</v>
      </c>
      <c r="F41658">
        <v>12850020</v>
      </c>
      <c r="G41658" t="s">
        <v>725</v>
      </c>
      <c r="H41658" s="21">
        <v>500</v>
      </c>
    </row>
    <row r="41659" spans="1:8" customFormat="1" x14ac:dyDescent="0.25">
      <c r="A41659" t="str">
        <f>"743698"</f>
        <v>743698</v>
      </c>
      <c r="B41659" t="s">
        <v>2058</v>
      </c>
      <c r="C41659" t="s">
        <v>26211</v>
      </c>
      <c r="D41659" s="21" t="s">
        <v>24820</v>
      </c>
      <c r="E41659" s="21" t="s">
        <v>1089</v>
      </c>
      <c r="F41659">
        <v>1740011</v>
      </c>
      <c r="G41659" t="s">
        <v>2638</v>
      </c>
      <c r="H41659" s="21">
        <v>500</v>
      </c>
    </row>
    <row r="41660" spans="1:8" customFormat="1" x14ac:dyDescent="0.25">
      <c r="A41660" t="str">
        <f>"9136730"</f>
        <v>9136730</v>
      </c>
      <c r="B41660" t="s">
        <v>25752</v>
      </c>
      <c r="C41660" t="s">
        <v>24871</v>
      </c>
      <c r="D41660" s="21" t="s">
        <v>24820</v>
      </c>
      <c r="E41660" s="21" t="s">
        <v>1089</v>
      </c>
      <c r="F41660">
        <v>8940326</v>
      </c>
      <c r="G41660" t="s">
        <v>659</v>
      </c>
      <c r="H41660" s="21">
        <v>500</v>
      </c>
    </row>
    <row r="41661" spans="1:8" customFormat="1" x14ac:dyDescent="0.25">
      <c r="A41661" t="str">
        <f>"1316893"</f>
        <v>1316893</v>
      </c>
      <c r="B41661" t="s">
        <v>9997</v>
      </c>
      <c r="C41661" t="s">
        <v>25178</v>
      </c>
      <c r="D41661" s="21" t="s">
        <v>24820</v>
      </c>
      <c r="E41661" s="21" t="s">
        <v>71</v>
      </c>
      <c r="F41661">
        <v>13130148</v>
      </c>
      <c r="G41661" t="s">
        <v>12894</v>
      </c>
      <c r="H41661" s="21">
        <v>500</v>
      </c>
    </row>
    <row r="41662" spans="1:8" customFormat="1" x14ac:dyDescent="0.25">
      <c r="A41662" t="str">
        <f>"7114000"</f>
        <v>7114000</v>
      </c>
      <c r="B41662" t="s">
        <v>25766</v>
      </c>
      <c r="C41662" t="s">
        <v>24867</v>
      </c>
      <c r="D41662" s="21" t="s">
        <v>24820</v>
      </c>
      <c r="E41662" s="21" t="s">
        <v>71</v>
      </c>
      <c r="F41662">
        <v>2710008</v>
      </c>
      <c r="G41662" t="s">
        <v>10040</v>
      </c>
      <c r="H41662" s="21">
        <v>500</v>
      </c>
    </row>
    <row r="41663" spans="1:8" customFormat="1" x14ac:dyDescent="0.25">
      <c r="A41663" t="str">
        <f>"8018094"</f>
        <v>8018094</v>
      </c>
      <c r="B41663" t="s">
        <v>197</v>
      </c>
      <c r="C41663" t="s">
        <v>24897</v>
      </c>
      <c r="D41663" s="21" t="s">
        <v>24820</v>
      </c>
      <c r="E41663" s="21" t="s">
        <v>71</v>
      </c>
      <c r="F41663">
        <v>7800006</v>
      </c>
      <c r="G41663" t="s">
        <v>6365</v>
      </c>
      <c r="H41663" s="21">
        <v>500</v>
      </c>
    </row>
    <row r="41664" spans="1:8" customFormat="1" x14ac:dyDescent="0.25">
      <c r="A41664" t="str">
        <f>"321992"</f>
        <v>321992</v>
      </c>
      <c r="B41664" t="s">
        <v>12785</v>
      </c>
      <c r="C41664" t="s">
        <v>25008</v>
      </c>
      <c r="D41664" s="21" t="s">
        <v>24820</v>
      </c>
      <c r="E41664" s="21" t="s">
        <v>254</v>
      </c>
      <c r="F41664">
        <v>11320005</v>
      </c>
      <c r="G41664" t="s">
        <v>120</v>
      </c>
      <c r="H41664" s="21">
        <v>500</v>
      </c>
    </row>
    <row r="41665" spans="1:8" customFormat="1" x14ac:dyDescent="0.25">
      <c r="A41665" t="str">
        <f>"1710713"</f>
        <v>1710713</v>
      </c>
      <c r="B41665" t="s">
        <v>26066</v>
      </c>
      <c r="C41665" t="s">
        <v>24828</v>
      </c>
      <c r="D41665" s="21" t="s">
        <v>24820</v>
      </c>
      <c r="E41665" s="21" t="s">
        <v>35</v>
      </c>
      <c r="F41665">
        <v>10170223</v>
      </c>
      <c r="G41665" t="s">
        <v>7057</v>
      </c>
      <c r="H41665" s="21">
        <v>500</v>
      </c>
    </row>
    <row r="41666" spans="1:8" customFormat="1" x14ac:dyDescent="0.25">
      <c r="A41666" t="str">
        <f>"0812052"</f>
        <v>0812052</v>
      </c>
      <c r="B41666" t="s">
        <v>21960</v>
      </c>
      <c r="C41666" t="s">
        <v>24973</v>
      </c>
      <c r="D41666" s="21" t="s">
        <v>24820</v>
      </c>
      <c r="E41666" s="21" t="s">
        <v>35</v>
      </c>
      <c r="F41666">
        <v>6080014</v>
      </c>
      <c r="G41666" t="s">
        <v>1272</v>
      </c>
      <c r="H41666" s="21">
        <v>500</v>
      </c>
    </row>
    <row r="41667" spans="1:8" customFormat="1" x14ac:dyDescent="0.25">
      <c r="A41667" t="str">
        <f>"2922328"</f>
        <v>2922328</v>
      </c>
      <c r="B41667" t="s">
        <v>25746</v>
      </c>
      <c r="C41667" t="s">
        <v>24898</v>
      </c>
      <c r="D41667" s="21" t="s">
        <v>24820</v>
      </c>
      <c r="E41667" s="21" t="s">
        <v>254</v>
      </c>
      <c r="F41667">
        <v>3290044</v>
      </c>
      <c r="G41667" t="s">
        <v>3897</v>
      </c>
      <c r="H41667" s="21">
        <v>500</v>
      </c>
    </row>
    <row r="41668" spans="1:8" customFormat="1" x14ac:dyDescent="0.25">
      <c r="A41668" t="str">
        <f>"2721605"</f>
        <v>2721605</v>
      </c>
      <c r="B41668" t="s">
        <v>8880</v>
      </c>
      <c r="C41668" t="s">
        <v>24900</v>
      </c>
      <c r="D41668" s="21" t="s">
        <v>24820</v>
      </c>
      <c r="E41668" s="21" t="s">
        <v>71</v>
      </c>
      <c r="F41668">
        <v>9270089</v>
      </c>
      <c r="G41668" t="s">
        <v>1009</v>
      </c>
      <c r="H41668" s="21">
        <v>500</v>
      </c>
    </row>
    <row r="41669" spans="1:8" customFormat="1" x14ac:dyDescent="0.25">
      <c r="A41669" t="str">
        <f>"0612283"</f>
        <v>0612283</v>
      </c>
      <c r="B41669" t="s">
        <v>25780</v>
      </c>
      <c r="C41669" t="s">
        <v>24892</v>
      </c>
      <c r="D41669" s="21" t="s">
        <v>24820</v>
      </c>
      <c r="E41669" s="21" t="s">
        <v>71</v>
      </c>
      <c r="F41669">
        <v>13060064</v>
      </c>
      <c r="G41669" t="s">
        <v>976</v>
      </c>
      <c r="H41669" s="21">
        <v>500</v>
      </c>
    </row>
    <row r="41670" spans="1:8" customFormat="1" x14ac:dyDescent="0.25">
      <c r="A41670" t="str">
        <f>"3831610"</f>
        <v>3831610</v>
      </c>
      <c r="B41670" t="s">
        <v>10855</v>
      </c>
      <c r="C41670" t="s">
        <v>25292</v>
      </c>
      <c r="D41670" s="21" t="s">
        <v>24820</v>
      </c>
      <c r="E41670" s="21" t="s">
        <v>35</v>
      </c>
      <c r="F41670">
        <v>1380225</v>
      </c>
      <c r="G41670" t="s">
        <v>4441</v>
      </c>
      <c r="H41670" s="21">
        <v>500</v>
      </c>
    </row>
    <row r="41671" spans="1:8" customFormat="1" x14ac:dyDescent="0.25">
      <c r="A41671" t="str">
        <f>"348850"</f>
        <v>348850</v>
      </c>
      <c r="B41671" t="s">
        <v>67</v>
      </c>
      <c r="C41671" t="s">
        <v>26081</v>
      </c>
      <c r="D41671" s="21" t="s">
        <v>24820</v>
      </c>
      <c r="E41671" s="21" t="s">
        <v>71</v>
      </c>
      <c r="F41671">
        <v>11340040</v>
      </c>
      <c r="G41671" t="s">
        <v>5695</v>
      </c>
      <c r="H41671" s="21">
        <v>500</v>
      </c>
    </row>
    <row r="41672" spans="1:8" customFormat="1" x14ac:dyDescent="0.25">
      <c r="A41672" t="str">
        <f>"497789"</f>
        <v>497789</v>
      </c>
      <c r="B41672" t="s">
        <v>25761</v>
      </c>
      <c r="C41672" t="s">
        <v>24852</v>
      </c>
      <c r="D41672" s="21" t="s">
        <v>24820</v>
      </c>
      <c r="E41672" s="21" t="s">
        <v>6185</v>
      </c>
      <c r="F41672">
        <v>12490073</v>
      </c>
      <c r="G41672" t="s">
        <v>296</v>
      </c>
      <c r="H41672" s="21">
        <v>500</v>
      </c>
    </row>
    <row r="41673" spans="1:8" customFormat="1" x14ac:dyDescent="0.25">
      <c r="A41673" t="str">
        <f>"2939597"</f>
        <v>2939597</v>
      </c>
      <c r="B41673" t="s">
        <v>2405</v>
      </c>
      <c r="C41673" t="s">
        <v>25544</v>
      </c>
      <c r="D41673" s="21" t="s">
        <v>24820</v>
      </c>
      <c r="E41673" s="21" t="s">
        <v>35</v>
      </c>
      <c r="F41673">
        <v>3290244</v>
      </c>
      <c r="G41673" t="s">
        <v>573</v>
      </c>
      <c r="H41673" s="21">
        <v>500</v>
      </c>
    </row>
    <row r="41674" spans="1:8" customFormat="1" x14ac:dyDescent="0.25">
      <c r="A41674" t="str">
        <f>"2922806"</f>
        <v>2922806</v>
      </c>
      <c r="B41674" t="s">
        <v>25821</v>
      </c>
      <c r="C41674" t="s">
        <v>24958</v>
      </c>
      <c r="D41674" s="21" t="s">
        <v>24820</v>
      </c>
      <c r="E41674" s="21" t="s">
        <v>254</v>
      </c>
      <c r="F41674">
        <v>3290212</v>
      </c>
      <c r="G41674" t="s">
        <v>6046</v>
      </c>
      <c r="H41674" s="21">
        <v>500</v>
      </c>
    </row>
    <row r="41675" spans="1:8" customFormat="1" x14ac:dyDescent="0.25">
      <c r="A41675" t="str">
        <f>"7628683"</f>
        <v>7628683</v>
      </c>
      <c r="B41675" t="s">
        <v>25957</v>
      </c>
      <c r="C41675" t="s">
        <v>24897</v>
      </c>
      <c r="D41675" s="21" t="s">
        <v>24820</v>
      </c>
      <c r="E41675" s="21" t="s">
        <v>71</v>
      </c>
      <c r="F41675">
        <v>9760311</v>
      </c>
      <c r="G41675" t="s">
        <v>3015</v>
      </c>
      <c r="H41675" s="21">
        <v>500</v>
      </c>
    </row>
    <row r="41676" spans="1:8" customFormat="1" x14ac:dyDescent="0.25">
      <c r="A41676" t="str">
        <f>"125009"</f>
        <v>125009</v>
      </c>
      <c r="B41676" t="s">
        <v>26033</v>
      </c>
      <c r="C41676" t="s">
        <v>24854</v>
      </c>
      <c r="D41676" s="21" t="s">
        <v>24820</v>
      </c>
      <c r="E41676" s="21" t="s">
        <v>71</v>
      </c>
      <c r="F41676">
        <v>11120026</v>
      </c>
      <c r="G41676" t="s">
        <v>9107</v>
      </c>
      <c r="H41676" s="21">
        <v>500</v>
      </c>
    </row>
    <row r="41677" spans="1:8" customFormat="1" x14ac:dyDescent="0.25">
      <c r="A41677" t="str">
        <f>"6229313"</f>
        <v>6229313</v>
      </c>
      <c r="B41677" t="s">
        <v>26102</v>
      </c>
      <c r="C41677" t="s">
        <v>263</v>
      </c>
      <c r="D41677" s="21" t="s">
        <v>24820</v>
      </c>
      <c r="E41677" s="21" t="s">
        <v>71</v>
      </c>
      <c r="F41677">
        <v>7590392</v>
      </c>
      <c r="G41677" t="s">
        <v>154</v>
      </c>
      <c r="H41677" s="21">
        <v>500</v>
      </c>
    </row>
    <row r="41678" spans="1:8" customFormat="1" x14ac:dyDescent="0.25">
      <c r="A41678" t="str">
        <f>"3520482"</f>
        <v>3520482</v>
      </c>
      <c r="B41678" t="s">
        <v>24202</v>
      </c>
      <c r="C41678" t="s">
        <v>29978</v>
      </c>
      <c r="D41678" s="21" t="s">
        <v>24820</v>
      </c>
      <c r="E41678" s="21" t="s">
        <v>71</v>
      </c>
      <c r="F41678">
        <v>12440023</v>
      </c>
      <c r="G41678" t="s">
        <v>3507</v>
      </c>
      <c r="H41678" s="21">
        <v>500</v>
      </c>
    </row>
    <row r="41679" spans="1:8" customFormat="1" x14ac:dyDescent="0.25">
      <c r="A41679" t="str">
        <f>"7624897"</f>
        <v>7624897</v>
      </c>
      <c r="B41679" t="s">
        <v>8548</v>
      </c>
      <c r="C41679" t="s">
        <v>24958</v>
      </c>
      <c r="D41679" s="21" t="s">
        <v>24820</v>
      </c>
      <c r="E41679" s="21" t="s">
        <v>71</v>
      </c>
      <c r="F41679">
        <v>9760442</v>
      </c>
      <c r="G41679" t="s">
        <v>5753</v>
      </c>
      <c r="H41679" s="21">
        <v>500</v>
      </c>
    </row>
    <row r="41680" spans="1:8" customFormat="1" x14ac:dyDescent="0.25">
      <c r="A41680" t="str">
        <f>"5974595"</f>
        <v>5974595</v>
      </c>
      <c r="B41680" t="s">
        <v>10503</v>
      </c>
      <c r="C41680" t="s">
        <v>24958</v>
      </c>
      <c r="D41680" s="21" t="s">
        <v>24820</v>
      </c>
      <c r="E41680" s="21" t="s">
        <v>254</v>
      </c>
      <c r="F41680">
        <v>7590137</v>
      </c>
      <c r="G41680" t="s">
        <v>4246</v>
      </c>
      <c r="H41680" s="21">
        <v>500</v>
      </c>
    </row>
    <row r="41681" spans="1:8" customFormat="1" x14ac:dyDescent="0.25">
      <c r="A41681" t="str">
        <f>"0619061"</f>
        <v>0619061</v>
      </c>
      <c r="B41681" t="s">
        <v>29979</v>
      </c>
      <c r="C41681" t="s">
        <v>24994</v>
      </c>
      <c r="D41681" s="21" t="s">
        <v>24820</v>
      </c>
      <c r="E41681" s="21" t="s">
        <v>254</v>
      </c>
      <c r="F41681">
        <v>13060090</v>
      </c>
      <c r="G41681" t="s">
        <v>1363</v>
      </c>
      <c r="H41681" s="21">
        <v>500</v>
      </c>
    </row>
    <row r="41682" spans="1:8" customFormat="1" x14ac:dyDescent="0.25">
      <c r="A41682" t="str">
        <f>"7221237"</f>
        <v>7221237</v>
      </c>
      <c r="B41682" t="s">
        <v>17433</v>
      </c>
      <c r="C41682" t="s">
        <v>24883</v>
      </c>
      <c r="D41682" s="21" t="s">
        <v>24820</v>
      </c>
      <c r="E41682" s="21" t="s">
        <v>71</v>
      </c>
      <c r="F41682">
        <v>12720071</v>
      </c>
      <c r="G41682" t="s">
        <v>783</v>
      </c>
      <c r="H41682" s="21">
        <v>500</v>
      </c>
    </row>
    <row r="41683" spans="1:8" customFormat="1" x14ac:dyDescent="0.25">
      <c r="A41683" t="str">
        <f>"368111"</f>
        <v>368111</v>
      </c>
      <c r="B41683" t="s">
        <v>22363</v>
      </c>
      <c r="C41683" t="s">
        <v>24902</v>
      </c>
      <c r="D41683" s="21" t="s">
        <v>24820</v>
      </c>
      <c r="E41683" s="21" t="s">
        <v>71</v>
      </c>
      <c r="F41683">
        <v>4360124</v>
      </c>
      <c r="G41683" t="s">
        <v>5229</v>
      </c>
      <c r="H41683" s="21">
        <v>500</v>
      </c>
    </row>
    <row r="41684" spans="1:8" customFormat="1" x14ac:dyDescent="0.25">
      <c r="A41684" t="str">
        <f>"4936192"</f>
        <v>4936192</v>
      </c>
      <c r="B41684" t="s">
        <v>25985</v>
      </c>
      <c r="C41684" t="s">
        <v>24958</v>
      </c>
      <c r="D41684" s="21" t="s">
        <v>24820</v>
      </c>
      <c r="E41684" s="21" t="s">
        <v>254</v>
      </c>
      <c r="F41684">
        <v>12490074</v>
      </c>
      <c r="G41684" t="s">
        <v>6711</v>
      </c>
      <c r="H41684" s="21">
        <v>500</v>
      </c>
    </row>
    <row r="41685" spans="1:8" customFormat="1" x14ac:dyDescent="0.25">
      <c r="A41685" t="str">
        <f>"753245"</f>
        <v>753245</v>
      </c>
      <c r="B41685" t="s">
        <v>25773</v>
      </c>
      <c r="C41685" t="s">
        <v>24898</v>
      </c>
      <c r="D41685" s="21" t="s">
        <v>24820</v>
      </c>
      <c r="E41685" s="21" t="s">
        <v>1089</v>
      </c>
      <c r="F41685">
        <v>8940326</v>
      </c>
      <c r="G41685" t="s">
        <v>659</v>
      </c>
      <c r="H41685" s="21">
        <v>500</v>
      </c>
    </row>
    <row r="41686" spans="1:8" customFormat="1" x14ac:dyDescent="0.25">
      <c r="A41686" t="str">
        <f>"5980186"</f>
        <v>5980186</v>
      </c>
      <c r="B41686" t="s">
        <v>29980</v>
      </c>
      <c r="C41686" t="s">
        <v>23734</v>
      </c>
      <c r="D41686" s="21" t="s">
        <v>24820</v>
      </c>
      <c r="E41686" s="21" t="s">
        <v>35</v>
      </c>
      <c r="F41686">
        <v>7590082</v>
      </c>
      <c r="G41686" t="s">
        <v>10063</v>
      </c>
      <c r="H41686" s="21">
        <v>500</v>
      </c>
    </row>
    <row r="41687" spans="1:8" customFormat="1" x14ac:dyDescent="0.25">
      <c r="A41687" t="str">
        <f>"5111890"</f>
        <v>5111890</v>
      </c>
      <c r="B41687" t="s">
        <v>1198</v>
      </c>
      <c r="C41687" t="s">
        <v>24996</v>
      </c>
      <c r="D41687" s="21" t="s">
        <v>24820</v>
      </c>
      <c r="E41687" s="21" t="s">
        <v>254</v>
      </c>
      <c r="F41687">
        <v>6510110</v>
      </c>
      <c r="G41687" t="s">
        <v>9011</v>
      </c>
      <c r="H41687" s="21">
        <v>500</v>
      </c>
    </row>
    <row r="41688" spans="1:8" customFormat="1" x14ac:dyDescent="0.25">
      <c r="A41688" t="str">
        <f>"2617880"</f>
        <v>2617880</v>
      </c>
      <c r="B41688" t="s">
        <v>23117</v>
      </c>
      <c r="C41688" t="s">
        <v>25844</v>
      </c>
      <c r="D41688" s="21" t="s">
        <v>24820</v>
      </c>
      <c r="E41688" s="21" t="s">
        <v>1089</v>
      </c>
      <c r="F41688">
        <v>1260072</v>
      </c>
      <c r="G41688" t="s">
        <v>12420</v>
      </c>
      <c r="H41688" s="21">
        <v>500</v>
      </c>
    </row>
    <row r="41689" spans="1:8" customFormat="1" x14ac:dyDescent="0.25">
      <c r="A41689" t="str">
        <f>"6023378"</f>
        <v>6023378</v>
      </c>
      <c r="B41689" t="s">
        <v>726</v>
      </c>
      <c r="C41689" t="s">
        <v>24939</v>
      </c>
      <c r="D41689" s="21" t="s">
        <v>24820</v>
      </c>
      <c r="E41689" s="21" t="s">
        <v>71</v>
      </c>
      <c r="F41689">
        <v>7600018</v>
      </c>
      <c r="G41689" t="s">
        <v>5838</v>
      </c>
      <c r="H41689" s="21">
        <v>500</v>
      </c>
    </row>
    <row r="41690" spans="1:8" customFormat="1" x14ac:dyDescent="0.25">
      <c r="A41690" t="str">
        <f>"2815218"</f>
        <v>2815218</v>
      </c>
      <c r="B41690" t="s">
        <v>29981</v>
      </c>
      <c r="C41690" t="s">
        <v>25306</v>
      </c>
      <c r="D41690" s="21" t="s">
        <v>24820</v>
      </c>
      <c r="E41690" s="21" t="s">
        <v>35</v>
      </c>
      <c r="F41690">
        <v>4280322</v>
      </c>
      <c r="G41690" t="s">
        <v>265</v>
      </c>
      <c r="H41690" s="21">
        <v>500</v>
      </c>
    </row>
    <row r="41691" spans="1:8" customFormat="1" x14ac:dyDescent="0.25">
      <c r="A41691" t="str">
        <f>"6726616"</f>
        <v>6726616</v>
      </c>
      <c r="B41691" t="s">
        <v>20084</v>
      </c>
      <c r="C41691" t="s">
        <v>24968</v>
      </c>
      <c r="D41691" s="21" t="s">
        <v>24820</v>
      </c>
      <c r="E41691" s="21" t="s">
        <v>71</v>
      </c>
      <c r="F41691">
        <v>6670064</v>
      </c>
      <c r="G41691" t="s">
        <v>9358</v>
      </c>
      <c r="H41691" s="21">
        <v>500</v>
      </c>
    </row>
    <row r="41692" spans="1:8" customFormat="1" x14ac:dyDescent="0.25">
      <c r="A41692" t="str">
        <f>"4526603"</f>
        <v>4526603</v>
      </c>
      <c r="B41692" t="s">
        <v>2718</v>
      </c>
      <c r="C41692" t="s">
        <v>22831</v>
      </c>
      <c r="D41692" s="21" t="s">
        <v>24820</v>
      </c>
      <c r="E41692" s="21" t="s">
        <v>71</v>
      </c>
      <c r="F41692">
        <v>4450108</v>
      </c>
      <c r="G41692" t="s">
        <v>2354</v>
      </c>
      <c r="H41692" s="21">
        <v>500</v>
      </c>
    </row>
    <row r="41693" spans="1:8" customFormat="1" x14ac:dyDescent="0.25">
      <c r="A41693" t="str">
        <f>"1310438"</f>
        <v>1310438</v>
      </c>
      <c r="B41693" t="s">
        <v>23169</v>
      </c>
      <c r="C41693" t="s">
        <v>25130</v>
      </c>
      <c r="D41693" s="21" t="s">
        <v>24820</v>
      </c>
      <c r="E41693" s="21" t="s">
        <v>35</v>
      </c>
      <c r="F41693">
        <v>13130158</v>
      </c>
      <c r="G41693" t="s">
        <v>3215</v>
      </c>
      <c r="H41693" s="21">
        <v>500</v>
      </c>
    </row>
    <row r="41694" spans="1:8" customFormat="1" x14ac:dyDescent="0.25">
      <c r="A41694" t="str">
        <f>"9437174"</f>
        <v>9437174</v>
      </c>
      <c r="B41694" t="s">
        <v>25671</v>
      </c>
      <c r="C41694" t="s">
        <v>24871</v>
      </c>
      <c r="D41694" s="21" t="s">
        <v>24820</v>
      </c>
      <c r="E41694" s="21" t="s">
        <v>71</v>
      </c>
      <c r="F41694">
        <v>8940894</v>
      </c>
      <c r="G41694" t="s">
        <v>481</v>
      </c>
      <c r="H41694" s="21">
        <v>500</v>
      </c>
    </row>
    <row r="41695" spans="1:8" customFormat="1" x14ac:dyDescent="0.25">
      <c r="A41695" t="str">
        <f>"6941884"</f>
        <v>6941884</v>
      </c>
      <c r="B41695" t="s">
        <v>8038</v>
      </c>
      <c r="C41695" t="s">
        <v>24902</v>
      </c>
      <c r="D41695" s="21" t="s">
        <v>24820</v>
      </c>
      <c r="E41695" s="21" t="s">
        <v>71</v>
      </c>
      <c r="F41695">
        <v>1690062</v>
      </c>
      <c r="G41695" t="s">
        <v>5907</v>
      </c>
      <c r="H41695" s="21">
        <v>500</v>
      </c>
    </row>
    <row r="41696" spans="1:8" customFormat="1" x14ac:dyDescent="0.25">
      <c r="A41696" t="str">
        <f>"2719887"</f>
        <v>2719887</v>
      </c>
      <c r="B41696" t="s">
        <v>2854</v>
      </c>
      <c r="C41696" t="s">
        <v>26278</v>
      </c>
      <c r="D41696" s="21" t="s">
        <v>24820</v>
      </c>
      <c r="E41696" s="21" t="s">
        <v>35</v>
      </c>
      <c r="F41696">
        <v>9270162</v>
      </c>
      <c r="G41696" t="s">
        <v>1865</v>
      </c>
      <c r="H41696" s="21">
        <v>500</v>
      </c>
    </row>
    <row r="41697" spans="1:8" customFormat="1" x14ac:dyDescent="0.25">
      <c r="A41697" t="str">
        <f>"50586"</f>
        <v>50586</v>
      </c>
      <c r="B41697" t="s">
        <v>25831</v>
      </c>
      <c r="C41697" t="s">
        <v>25306</v>
      </c>
      <c r="D41697" s="21" t="s">
        <v>24820</v>
      </c>
      <c r="E41697" s="21" t="s">
        <v>71</v>
      </c>
      <c r="F41697">
        <v>9500027</v>
      </c>
      <c r="G41697" t="s">
        <v>6343</v>
      </c>
      <c r="H41697" s="21">
        <v>500</v>
      </c>
    </row>
    <row r="41698" spans="1:8" customFormat="1" x14ac:dyDescent="0.25">
      <c r="A41698" t="str">
        <f>"124863"</f>
        <v>124863</v>
      </c>
      <c r="B41698" t="s">
        <v>25725</v>
      </c>
      <c r="C41698" t="s">
        <v>24939</v>
      </c>
      <c r="D41698" s="21" t="s">
        <v>24820</v>
      </c>
      <c r="E41698" s="21" t="s">
        <v>71</v>
      </c>
      <c r="F41698">
        <v>11120045</v>
      </c>
      <c r="G41698" t="s">
        <v>13082</v>
      </c>
      <c r="H41698" s="21">
        <v>500</v>
      </c>
    </row>
    <row r="41699" spans="1:8" customFormat="1" x14ac:dyDescent="0.25">
      <c r="A41699" t="str">
        <f>"9228601"</f>
        <v>9228601</v>
      </c>
      <c r="B41699" t="s">
        <v>25981</v>
      </c>
      <c r="C41699" t="s">
        <v>24898</v>
      </c>
      <c r="D41699" s="21" t="s">
        <v>24820</v>
      </c>
      <c r="E41699" s="21" t="s">
        <v>254</v>
      </c>
      <c r="F41699">
        <v>8921256</v>
      </c>
      <c r="G41699" t="s">
        <v>1038</v>
      </c>
      <c r="H41699" s="21">
        <v>500</v>
      </c>
    </row>
    <row r="41700" spans="1:8" customFormat="1" x14ac:dyDescent="0.25">
      <c r="A41700" t="str">
        <f>"9146196"</f>
        <v>9146196</v>
      </c>
      <c r="B41700" t="s">
        <v>3958</v>
      </c>
      <c r="C41700" t="s">
        <v>25019</v>
      </c>
      <c r="D41700" s="21" t="s">
        <v>24820</v>
      </c>
      <c r="E41700" s="21" t="s">
        <v>35</v>
      </c>
      <c r="F41700">
        <v>8910077</v>
      </c>
      <c r="G41700" t="s">
        <v>1380</v>
      </c>
      <c r="H41700" s="21">
        <v>500</v>
      </c>
    </row>
    <row r="41701" spans="1:8" customFormat="1" x14ac:dyDescent="0.25">
      <c r="A41701" t="str">
        <f>"8018160"</f>
        <v>8018160</v>
      </c>
      <c r="B41701" t="s">
        <v>582</v>
      </c>
      <c r="C41701" t="s">
        <v>24972</v>
      </c>
      <c r="D41701" s="21" t="s">
        <v>24820</v>
      </c>
      <c r="E41701" s="21" t="s">
        <v>35</v>
      </c>
      <c r="F41701">
        <v>7800153</v>
      </c>
      <c r="G41701" t="s">
        <v>13728</v>
      </c>
      <c r="H41701" s="21">
        <v>500</v>
      </c>
    </row>
    <row r="41702" spans="1:8" customFormat="1" x14ac:dyDescent="0.25">
      <c r="A41702" t="str">
        <f>"6317016"</f>
        <v>6317016</v>
      </c>
      <c r="B41702" t="s">
        <v>29982</v>
      </c>
      <c r="C41702" t="s">
        <v>23734</v>
      </c>
      <c r="D41702" s="21" t="s">
        <v>24820</v>
      </c>
      <c r="E41702" s="21" t="s">
        <v>71</v>
      </c>
      <c r="F41702">
        <v>1630012</v>
      </c>
      <c r="G41702" t="s">
        <v>8636</v>
      </c>
      <c r="H41702" s="21">
        <v>500</v>
      </c>
    </row>
    <row r="41703" spans="1:8" customFormat="1" x14ac:dyDescent="0.25">
      <c r="A41703" t="str">
        <f>"0618722"</f>
        <v>0618722</v>
      </c>
      <c r="B41703" t="s">
        <v>23357</v>
      </c>
      <c r="C41703" t="s">
        <v>24833</v>
      </c>
      <c r="D41703" s="21" t="s">
        <v>24820</v>
      </c>
      <c r="E41703" s="21" t="s">
        <v>35</v>
      </c>
      <c r="F41703">
        <v>13060005</v>
      </c>
      <c r="G41703" t="s">
        <v>3609</v>
      </c>
      <c r="H41703" s="21">
        <v>500</v>
      </c>
    </row>
    <row r="41704" spans="1:8" customFormat="1" x14ac:dyDescent="0.25">
      <c r="A41704" t="str">
        <f>"7641877"</f>
        <v>7641877</v>
      </c>
      <c r="B41704" t="s">
        <v>1533</v>
      </c>
      <c r="C41704" t="s">
        <v>25084</v>
      </c>
      <c r="D41704" s="21" t="s">
        <v>24820</v>
      </c>
      <c r="E41704" s="21" t="s">
        <v>35</v>
      </c>
      <c r="F41704">
        <v>9760463</v>
      </c>
      <c r="G41704" t="s">
        <v>1188</v>
      </c>
      <c r="H41704" s="21">
        <v>500</v>
      </c>
    </row>
    <row r="41705" spans="1:8" customFormat="1" x14ac:dyDescent="0.25">
      <c r="A41705" t="str">
        <f>"312913"</f>
        <v>312913</v>
      </c>
      <c r="B41705" t="s">
        <v>23327</v>
      </c>
      <c r="C41705" t="s">
        <v>24865</v>
      </c>
      <c r="D41705" s="21" t="s">
        <v>24820</v>
      </c>
      <c r="E41705" s="21" t="s">
        <v>254</v>
      </c>
      <c r="F41705">
        <v>11310077</v>
      </c>
      <c r="G41705" t="s">
        <v>5364</v>
      </c>
      <c r="H41705" s="21">
        <v>500</v>
      </c>
    </row>
    <row r="41706" spans="1:8" customFormat="1" x14ac:dyDescent="0.25">
      <c r="A41706" t="str">
        <f>"7726281"</f>
        <v>7726281</v>
      </c>
      <c r="B41706" t="s">
        <v>29983</v>
      </c>
      <c r="C41706" t="s">
        <v>24897</v>
      </c>
      <c r="D41706" s="21" t="s">
        <v>24820</v>
      </c>
      <c r="E41706" s="21" t="s">
        <v>71</v>
      </c>
      <c r="F41706">
        <v>8770474</v>
      </c>
      <c r="G41706" t="s">
        <v>1600</v>
      </c>
      <c r="H41706" s="21">
        <v>500</v>
      </c>
    </row>
    <row r="41707" spans="1:8" customFormat="1" x14ac:dyDescent="0.25">
      <c r="A41707" t="str">
        <f>"3426358"</f>
        <v>3426358</v>
      </c>
      <c r="B41707" t="s">
        <v>26086</v>
      </c>
      <c r="C41707" t="s">
        <v>26087</v>
      </c>
      <c r="D41707" s="21" t="s">
        <v>24820</v>
      </c>
      <c r="E41707" s="21" t="s">
        <v>254</v>
      </c>
      <c r="F41707">
        <v>11340074</v>
      </c>
      <c r="G41707" t="s">
        <v>21845</v>
      </c>
      <c r="H41707" s="21">
        <v>500</v>
      </c>
    </row>
    <row r="41708" spans="1:8" customFormat="1" x14ac:dyDescent="0.25">
      <c r="A41708" t="str">
        <f>"143707"</f>
        <v>143707</v>
      </c>
      <c r="B41708" t="s">
        <v>12880</v>
      </c>
      <c r="C41708" t="s">
        <v>24906</v>
      </c>
      <c r="D41708" s="21" t="s">
        <v>24820</v>
      </c>
      <c r="E41708" s="21" t="s">
        <v>1089</v>
      </c>
      <c r="F41708">
        <v>9140012</v>
      </c>
      <c r="G41708" t="s">
        <v>26518</v>
      </c>
      <c r="H41708" s="21">
        <v>500</v>
      </c>
    </row>
    <row r="41709" spans="1:8" customFormat="1" x14ac:dyDescent="0.25">
      <c r="A41709" t="str">
        <f>"3518870"</f>
        <v>3518870</v>
      </c>
      <c r="B41709" t="s">
        <v>7544</v>
      </c>
      <c r="C41709" t="s">
        <v>24904</v>
      </c>
      <c r="D41709" s="21" t="s">
        <v>24820</v>
      </c>
      <c r="E41709" s="21" t="s">
        <v>35</v>
      </c>
      <c r="F41709">
        <v>3350011</v>
      </c>
      <c r="G41709" t="s">
        <v>2404</v>
      </c>
      <c r="H41709" s="21">
        <v>500</v>
      </c>
    </row>
    <row r="41710" spans="1:8" customFormat="1" x14ac:dyDescent="0.25">
      <c r="A41710" t="str">
        <f>"0613105"</f>
        <v>0613105</v>
      </c>
      <c r="B41710" t="s">
        <v>1422</v>
      </c>
      <c r="C41710" t="s">
        <v>25118</v>
      </c>
      <c r="D41710" s="21" t="s">
        <v>24820</v>
      </c>
      <c r="E41710" s="21" t="s">
        <v>1089</v>
      </c>
      <c r="F41710">
        <v>13060114</v>
      </c>
      <c r="G41710" t="s">
        <v>4501</v>
      </c>
      <c r="H41710" s="21">
        <v>500</v>
      </c>
    </row>
    <row r="41711" spans="1:8" customFormat="1" x14ac:dyDescent="0.25">
      <c r="A41711" t="str">
        <f>"3319430"</f>
        <v>3319430</v>
      </c>
      <c r="B41711" t="s">
        <v>765</v>
      </c>
      <c r="C41711" t="s">
        <v>24906</v>
      </c>
      <c r="D41711" s="21" t="s">
        <v>24820</v>
      </c>
      <c r="E41711" s="21" t="s">
        <v>6185</v>
      </c>
      <c r="F41711">
        <v>10330077</v>
      </c>
      <c r="G41711" t="s">
        <v>4274</v>
      </c>
      <c r="H41711" s="21">
        <v>500</v>
      </c>
    </row>
    <row r="41712" spans="1:8" customFormat="1" x14ac:dyDescent="0.25">
      <c r="A41712" t="str">
        <f>"7923918"</f>
        <v>7923918</v>
      </c>
      <c r="B41712" t="s">
        <v>20785</v>
      </c>
      <c r="C41712" t="s">
        <v>24828</v>
      </c>
      <c r="D41712" s="21" t="s">
        <v>24820</v>
      </c>
      <c r="E41712" s="21" t="s">
        <v>35</v>
      </c>
      <c r="F41712">
        <v>10790025</v>
      </c>
      <c r="G41712" t="s">
        <v>1218</v>
      </c>
      <c r="H41712" s="21">
        <v>500</v>
      </c>
    </row>
    <row r="41713" spans="1:8" customFormat="1" x14ac:dyDescent="0.25">
      <c r="A41713" t="str">
        <f>"2718719"</f>
        <v>2718719</v>
      </c>
      <c r="B41713" t="s">
        <v>25881</v>
      </c>
      <c r="C41713" t="s">
        <v>24924</v>
      </c>
      <c r="D41713" s="21" t="s">
        <v>24820</v>
      </c>
      <c r="E41713" s="21" t="s">
        <v>35</v>
      </c>
      <c r="F41713">
        <v>9270089</v>
      </c>
      <c r="G41713" t="s">
        <v>1009</v>
      </c>
      <c r="H41713" s="21">
        <v>500</v>
      </c>
    </row>
    <row r="41714" spans="1:8" customFormat="1" x14ac:dyDescent="0.25">
      <c r="A41714" t="str">
        <f>"2924398"</f>
        <v>2924398</v>
      </c>
      <c r="B41714" t="s">
        <v>185</v>
      </c>
      <c r="C41714" t="s">
        <v>24824</v>
      </c>
      <c r="D41714" s="21" t="s">
        <v>24820</v>
      </c>
      <c r="E41714" s="21" t="s">
        <v>71</v>
      </c>
      <c r="F41714">
        <v>3290011</v>
      </c>
      <c r="G41714" t="s">
        <v>7083</v>
      </c>
      <c r="H41714" s="21">
        <v>500</v>
      </c>
    </row>
    <row r="41715" spans="1:8" customFormat="1" x14ac:dyDescent="0.25">
      <c r="A41715" t="str">
        <f>"5719780"</f>
        <v>5719780</v>
      </c>
      <c r="B41715" t="s">
        <v>26235</v>
      </c>
      <c r="C41715" t="s">
        <v>24883</v>
      </c>
      <c r="D41715" s="21" t="s">
        <v>24820</v>
      </c>
      <c r="E41715" s="21" t="s">
        <v>35</v>
      </c>
      <c r="F41715">
        <v>6570057</v>
      </c>
      <c r="G41715" t="s">
        <v>8333</v>
      </c>
      <c r="H41715" s="21">
        <v>500</v>
      </c>
    </row>
    <row r="41716" spans="1:8" customFormat="1" x14ac:dyDescent="0.25">
      <c r="A41716" t="str">
        <f>"4529527"</f>
        <v>4529527</v>
      </c>
      <c r="B41716" t="s">
        <v>1111</v>
      </c>
      <c r="C41716" t="s">
        <v>25713</v>
      </c>
      <c r="D41716" s="21" t="s">
        <v>24820</v>
      </c>
      <c r="E41716" s="21" t="s">
        <v>254</v>
      </c>
      <c r="F41716">
        <v>4450772</v>
      </c>
      <c r="G41716" t="s">
        <v>23664</v>
      </c>
      <c r="H41716" s="21">
        <v>500</v>
      </c>
    </row>
    <row r="41717" spans="1:8" customFormat="1" x14ac:dyDescent="0.25">
      <c r="A41717" t="str">
        <f>"4455657"</f>
        <v>4455657</v>
      </c>
      <c r="B41717" t="s">
        <v>15918</v>
      </c>
      <c r="C41717" t="s">
        <v>25104</v>
      </c>
      <c r="D41717" s="21" t="s">
        <v>24820</v>
      </c>
      <c r="E41717" s="21" t="s">
        <v>254</v>
      </c>
      <c r="F41717">
        <v>12440160</v>
      </c>
      <c r="G41717" t="s">
        <v>6939</v>
      </c>
      <c r="H41717" s="21">
        <v>500</v>
      </c>
    </row>
    <row r="41718" spans="1:8" customFormat="1" x14ac:dyDescent="0.25">
      <c r="A41718" t="str">
        <f>"737991"</f>
        <v>737991</v>
      </c>
      <c r="B41718" t="s">
        <v>29984</v>
      </c>
      <c r="C41718" t="s">
        <v>25273</v>
      </c>
      <c r="D41718" s="21" t="s">
        <v>24820</v>
      </c>
      <c r="E41718" s="21" t="s">
        <v>254</v>
      </c>
      <c r="F41718">
        <v>1730091</v>
      </c>
      <c r="G41718" t="s">
        <v>23022</v>
      </c>
      <c r="H41718" s="21">
        <v>500</v>
      </c>
    </row>
    <row r="41719" spans="1:8" customFormat="1" x14ac:dyDescent="0.25">
      <c r="A41719" t="str">
        <f>"7414925"</f>
        <v>7414925</v>
      </c>
      <c r="B41719" t="s">
        <v>29985</v>
      </c>
      <c r="C41719" t="s">
        <v>24854</v>
      </c>
      <c r="D41719" s="21" t="s">
        <v>24820</v>
      </c>
      <c r="E41719" s="21" t="s">
        <v>71</v>
      </c>
      <c r="F41719">
        <v>1740020</v>
      </c>
      <c r="G41719" t="s">
        <v>881</v>
      </c>
      <c r="H41719" s="21">
        <v>500</v>
      </c>
    </row>
    <row r="41720" spans="1:8" customFormat="1" x14ac:dyDescent="0.25">
      <c r="A41720" t="str">
        <f>"5969011"</f>
        <v>5969011</v>
      </c>
      <c r="B41720" t="s">
        <v>25786</v>
      </c>
      <c r="C41720" t="s">
        <v>24897</v>
      </c>
      <c r="D41720" s="21" t="s">
        <v>24820</v>
      </c>
      <c r="E41720" s="21" t="s">
        <v>71</v>
      </c>
      <c r="F41720">
        <v>7590041</v>
      </c>
      <c r="G41720" t="s">
        <v>16047</v>
      </c>
      <c r="H41720" s="21">
        <v>500</v>
      </c>
    </row>
    <row r="41721" spans="1:8" customFormat="1" x14ac:dyDescent="0.25">
      <c r="A41721" t="str">
        <f>"3536967"</f>
        <v>3536967</v>
      </c>
      <c r="B41721" t="s">
        <v>26069</v>
      </c>
      <c r="C41721" t="s">
        <v>24867</v>
      </c>
      <c r="D41721" s="21" t="s">
        <v>24820</v>
      </c>
      <c r="E41721" s="21" t="s">
        <v>35</v>
      </c>
      <c r="F41721">
        <v>3350232</v>
      </c>
      <c r="G41721" t="s">
        <v>7147</v>
      </c>
      <c r="H41721" s="21">
        <v>500</v>
      </c>
    </row>
    <row r="41722" spans="1:8" customFormat="1" x14ac:dyDescent="0.25">
      <c r="A41722" t="str">
        <f>"62288"</f>
        <v>62288</v>
      </c>
      <c r="B41722" t="s">
        <v>376</v>
      </c>
      <c r="C41722" t="s">
        <v>24898</v>
      </c>
      <c r="D41722" s="21" t="s">
        <v>24820</v>
      </c>
      <c r="E41722" s="21" t="s">
        <v>254</v>
      </c>
      <c r="F41722">
        <v>7620015</v>
      </c>
      <c r="G41722" t="s">
        <v>377</v>
      </c>
      <c r="H41722" s="21">
        <v>500</v>
      </c>
    </row>
    <row r="41723" spans="1:8" customFormat="1" x14ac:dyDescent="0.25">
      <c r="A41723" t="str">
        <f>"8019336"</f>
        <v>8019336</v>
      </c>
      <c r="B41723" t="s">
        <v>16797</v>
      </c>
      <c r="C41723" t="s">
        <v>25053</v>
      </c>
      <c r="D41723" s="21" t="s">
        <v>24820</v>
      </c>
      <c r="E41723" s="21" t="s">
        <v>35</v>
      </c>
      <c r="F41723">
        <v>7800006</v>
      </c>
      <c r="G41723" t="s">
        <v>6365</v>
      </c>
      <c r="H41723" s="21">
        <v>500</v>
      </c>
    </row>
    <row r="41724" spans="1:8" customFormat="1" x14ac:dyDescent="0.25">
      <c r="A41724" t="str">
        <f>"189705"</f>
        <v>189705</v>
      </c>
      <c r="B41724" t="s">
        <v>17657</v>
      </c>
      <c r="C41724" t="s">
        <v>23734</v>
      </c>
      <c r="D41724" s="21" t="s">
        <v>24820</v>
      </c>
      <c r="E41724" s="21" t="s">
        <v>35</v>
      </c>
      <c r="F41724">
        <v>4180711</v>
      </c>
      <c r="G41724" t="s">
        <v>13350</v>
      </c>
      <c r="H41724" s="21">
        <v>500</v>
      </c>
    </row>
    <row r="41725" spans="1:8" customFormat="1" x14ac:dyDescent="0.25">
      <c r="A41725" t="str">
        <f>"0811719"</f>
        <v>0811719</v>
      </c>
      <c r="B41725" t="s">
        <v>10817</v>
      </c>
      <c r="C41725" t="s">
        <v>23966</v>
      </c>
      <c r="D41725" s="21" t="s">
        <v>24820</v>
      </c>
      <c r="E41725" s="21" t="s">
        <v>254</v>
      </c>
      <c r="F41725">
        <v>6080064</v>
      </c>
      <c r="G41725" t="s">
        <v>5825</v>
      </c>
      <c r="H41725" s="21">
        <v>500</v>
      </c>
    </row>
    <row r="41726" spans="1:8" customFormat="1" x14ac:dyDescent="0.25">
      <c r="A41726" t="str">
        <f>"106969"</f>
        <v>106969</v>
      </c>
      <c r="B41726" t="s">
        <v>25903</v>
      </c>
      <c r="C41726" t="s">
        <v>24897</v>
      </c>
      <c r="D41726" s="21" t="s">
        <v>24820</v>
      </c>
      <c r="E41726" s="21" t="s">
        <v>35</v>
      </c>
      <c r="F41726">
        <v>6100041</v>
      </c>
      <c r="G41726" t="s">
        <v>14552</v>
      </c>
      <c r="H41726" s="21">
        <v>500</v>
      </c>
    </row>
    <row r="41727" spans="1:8" customFormat="1" x14ac:dyDescent="0.25">
      <c r="A41727" t="str">
        <f>"5726176"</f>
        <v>5726176</v>
      </c>
      <c r="B41727" t="s">
        <v>2720</v>
      </c>
      <c r="C41727" t="s">
        <v>25907</v>
      </c>
      <c r="D41727" s="21" t="s">
        <v>24820</v>
      </c>
      <c r="E41727" s="21" t="s">
        <v>71</v>
      </c>
      <c r="F41727">
        <v>6570015</v>
      </c>
      <c r="G41727" t="s">
        <v>749</v>
      </c>
      <c r="H41727" s="21">
        <v>500</v>
      </c>
    </row>
    <row r="41728" spans="1:8" customFormat="1" x14ac:dyDescent="0.25">
      <c r="A41728" t="str">
        <f>"6949802"</f>
        <v>6949802</v>
      </c>
      <c r="B41728" t="s">
        <v>29986</v>
      </c>
      <c r="C41728" t="s">
        <v>22831</v>
      </c>
      <c r="D41728" s="21" t="s">
        <v>24820</v>
      </c>
      <c r="E41728" s="21" t="s">
        <v>71</v>
      </c>
      <c r="F41728">
        <v>1690147</v>
      </c>
      <c r="G41728" t="s">
        <v>7245</v>
      </c>
      <c r="H41728" s="21">
        <v>500</v>
      </c>
    </row>
    <row r="41729" spans="1:8" customFormat="1" x14ac:dyDescent="0.25">
      <c r="A41729" t="str">
        <f>"6234150"</f>
        <v>6234150</v>
      </c>
      <c r="B41729" t="s">
        <v>20524</v>
      </c>
      <c r="C41729" t="s">
        <v>29987</v>
      </c>
      <c r="D41729" s="21" t="s">
        <v>24820</v>
      </c>
      <c r="E41729" s="21" t="s">
        <v>35</v>
      </c>
      <c r="F41729">
        <v>7620049</v>
      </c>
      <c r="G41729" t="s">
        <v>1176</v>
      </c>
      <c r="H41729" s="21">
        <v>500</v>
      </c>
    </row>
    <row r="41730" spans="1:8" customFormat="1" x14ac:dyDescent="0.25">
      <c r="A41730" t="str">
        <f>"6930016"</f>
        <v>6930016</v>
      </c>
      <c r="B41730" t="s">
        <v>25949</v>
      </c>
      <c r="C41730" t="s">
        <v>25089</v>
      </c>
      <c r="D41730" s="21" t="s">
        <v>24820</v>
      </c>
      <c r="E41730" s="21" t="s">
        <v>1089</v>
      </c>
      <c r="F41730">
        <v>1690147</v>
      </c>
      <c r="G41730" t="s">
        <v>7245</v>
      </c>
      <c r="H41730" s="21">
        <v>500</v>
      </c>
    </row>
    <row r="41731" spans="1:8" customFormat="1" x14ac:dyDescent="0.25">
      <c r="A41731" t="str">
        <f>"4450263"</f>
        <v>4450263</v>
      </c>
      <c r="B41731" t="s">
        <v>22500</v>
      </c>
      <c r="C41731" t="s">
        <v>24894</v>
      </c>
      <c r="D41731" s="21" t="s">
        <v>24820</v>
      </c>
      <c r="E41731" s="21" t="s">
        <v>35</v>
      </c>
      <c r="F41731">
        <v>12440074</v>
      </c>
      <c r="G41731" t="s">
        <v>2436</v>
      </c>
      <c r="H41731" s="21">
        <v>500</v>
      </c>
    </row>
    <row r="41732" spans="1:8" customFormat="1" x14ac:dyDescent="0.25">
      <c r="A41732" t="str">
        <f>"0616514"</f>
        <v>0616514</v>
      </c>
      <c r="B41732" t="s">
        <v>25878</v>
      </c>
      <c r="C41732" t="s">
        <v>24947</v>
      </c>
      <c r="D41732" s="21" t="s">
        <v>24820</v>
      </c>
      <c r="E41732" s="21" t="s">
        <v>35</v>
      </c>
      <c r="F41732">
        <v>13060117</v>
      </c>
      <c r="G41732" t="s">
        <v>22821</v>
      </c>
      <c r="H41732" s="21">
        <v>500</v>
      </c>
    </row>
    <row r="41733" spans="1:8" customFormat="1" x14ac:dyDescent="0.25">
      <c r="A41733" t="str">
        <f>"0114926"</f>
        <v>0114926</v>
      </c>
      <c r="B41733" t="s">
        <v>25718</v>
      </c>
      <c r="C41733" t="s">
        <v>24300</v>
      </c>
      <c r="D41733" s="21" t="s">
        <v>24820</v>
      </c>
      <c r="E41733" s="21" t="s">
        <v>35</v>
      </c>
      <c r="F41733">
        <v>1010060</v>
      </c>
      <c r="G41733" t="s">
        <v>5128</v>
      </c>
      <c r="H41733" s="21">
        <v>500</v>
      </c>
    </row>
    <row r="41734" spans="1:8" customFormat="1" x14ac:dyDescent="0.25">
      <c r="A41734" t="str">
        <f>"7730577"</f>
        <v>7730577</v>
      </c>
      <c r="B41734" t="s">
        <v>54</v>
      </c>
      <c r="C41734" t="s">
        <v>25151</v>
      </c>
      <c r="D41734" s="21" t="s">
        <v>24820</v>
      </c>
      <c r="E41734" s="21" t="s">
        <v>71</v>
      </c>
      <c r="F41734">
        <v>8771520</v>
      </c>
      <c r="G41734" t="s">
        <v>22857</v>
      </c>
      <c r="H41734" s="21">
        <v>500</v>
      </c>
    </row>
    <row r="41735" spans="1:8" customFormat="1" x14ac:dyDescent="0.25">
      <c r="A41735" t="str">
        <f>"866987"</f>
        <v>866987</v>
      </c>
      <c r="B41735" t="s">
        <v>11944</v>
      </c>
      <c r="C41735" t="s">
        <v>24686</v>
      </c>
      <c r="D41735" s="21" t="s">
        <v>24820</v>
      </c>
      <c r="E41735" s="21" t="s">
        <v>71</v>
      </c>
      <c r="F41735">
        <v>10860005</v>
      </c>
      <c r="G41735" t="s">
        <v>7474</v>
      </c>
      <c r="H41735" s="21">
        <v>500</v>
      </c>
    </row>
    <row r="41736" spans="1:8" customFormat="1" x14ac:dyDescent="0.25">
      <c r="A41736" t="str">
        <f>"9253203"</f>
        <v>9253203</v>
      </c>
      <c r="B41736" t="s">
        <v>29988</v>
      </c>
      <c r="C41736" t="s">
        <v>29989</v>
      </c>
      <c r="D41736" s="21" t="s">
        <v>24820</v>
      </c>
      <c r="E41736" s="21" t="s">
        <v>71</v>
      </c>
      <c r="F41736">
        <v>8920126</v>
      </c>
      <c r="G41736" t="s">
        <v>1168</v>
      </c>
      <c r="H41736" s="21">
        <v>500</v>
      </c>
    </row>
    <row r="41737" spans="1:8" customFormat="1" x14ac:dyDescent="0.25">
      <c r="A41737" t="str">
        <f>"846818"</f>
        <v>846818</v>
      </c>
      <c r="B41737" t="s">
        <v>136</v>
      </c>
      <c r="C41737" t="s">
        <v>24840</v>
      </c>
      <c r="D41737" s="21" t="s">
        <v>24820</v>
      </c>
      <c r="E41737" s="21" t="s">
        <v>35</v>
      </c>
      <c r="F41737">
        <v>13840038</v>
      </c>
      <c r="G41737" t="s">
        <v>8931</v>
      </c>
      <c r="H41737" s="21">
        <v>500</v>
      </c>
    </row>
    <row r="41738" spans="1:8" customFormat="1" x14ac:dyDescent="0.25">
      <c r="A41738" t="str">
        <f>"2717883"</f>
        <v>2717883</v>
      </c>
      <c r="B41738" t="s">
        <v>29990</v>
      </c>
      <c r="C41738" t="s">
        <v>24904</v>
      </c>
      <c r="D41738" s="21" t="s">
        <v>24820</v>
      </c>
      <c r="E41738" s="21" t="s">
        <v>35</v>
      </c>
      <c r="F41738">
        <v>9270004</v>
      </c>
      <c r="G41738" t="s">
        <v>13439</v>
      </c>
      <c r="H41738" s="21">
        <v>500</v>
      </c>
    </row>
    <row r="41739" spans="1:8" customFormat="1" x14ac:dyDescent="0.25">
      <c r="A41739" t="str">
        <f>"6943484"</f>
        <v>6943484</v>
      </c>
      <c r="B41739" t="s">
        <v>25963</v>
      </c>
      <c r="C41739" t="s">
        <v>23966</v>
      </c>
      <c r="D41739" s="21" t="s">
        <v>24820</v>
      </c>
      <c r="E41739" s="21" t="s">
        <v>254</v>
      </c>
      <c r="F41739">
        <v>1690002</v>
      </c>
      <c r="G41739" t="s">
        <v>5604</v>
      </c>
      <c r="H41739" s="21">
        <v>500</v>
      </c>
    </row>
    <row r="41740" spans="1:8" customFormat="1" x14ac:dyDescent="0.25">
      <c r="A41740" t="str">
        <f>"6724878"</f>
        <v>6724878</v>
      </c>
      <c r="B41740" t="s">
        <v>7428</v>
      </c>
      <c r="C41740" t="s">
        <v>25252</v>
      </c>
      <c r="D41740" s="21" t="s">
        <v>24820</v>
      </c>
      <c r="E41740" s="21" t="s">
        <v>35</v>
      </c>
      <c r="F41740">
        <v>6670045</v>
      </c>
      <c r="G41740" t="s">
        <v>707</v>
      </c>
      <c r="H41740" s="21">
        <v>500</v>
      </c>
    </row>
    <row r="41741" spans="1:8" customFormat="1" x14ac:dyDescent="0.25">
      <c r="A41741" t="str">
        <f>"106964"</f>
        <v>106964</v>
      </c>
      <c r="B41741" t="s">
        <v>14667</v>
      </c>
      <c r="C41741" t="s">
        <v>25045</v>
      </c>
      <c r="D41741" s="21" t="s">
        <v>24820</v>
      </c>
      <c r="E41741" s="21" t="s">
        <v>254</v>
      </c>
      <c r="F41741">
        <v>6100021</v>
      </c>
      <c r="G41741" t="s">
        <v>7789</v>
      </c>
      <c r="H41741" s="21">
        <v>500</v>
      </c>
    </row>
    <row r="41742" spans="1:8" customFormat="1" x14ac:dyDescent="0.25">
      <c r="A41742" t="str">
        <f>"8313741"</f>
        <v>8313741</v>
      </c>
      <c r="B41742" t="s">
        <v>25942</v>
      </c>
      <c r="C41742" t="s">
        <v>24892</v>
      </c>
      <c r="D41742" s="21" t="s">
        <v>24820</v>
      </c>
      <c r="E41742" s="21" t="s">
        <v>71</v>
      </c>
      <c r="F41742">
        <v>13830089</v>
      </c>
      <c r="G41742" t="s">
        <v>14112</v>
      </c>
      <c r="H41742" s="21">
        <v>500</v>
      </c>
    </row>
    <row r="41743" spans="1:8" customFormat="1" x14ac:dyDescent="0.25">
      <c r="A41743" t="str">
        <f>"4937676"</f>
        <v>4937676</v>
      </c>
      <c r="B41743" t="s">
        <v>19709</v>
      </c>
      <c r="C41743" t="s">
        <v>24863</v>
      </c>
      <c r="D41743" s="21" t="s">
        <v>24820</v>
      </c>
      <c r="E41743" s="21" t="s">
        <v>71</v>
      </c>
      <c r="F41743">
        <v>12490074</v>
      </c>
      <c r="G41743" t="s">
        <v>6711</v>
      </c>
      <c r="H41743" s="21">
        <v>500</v>
      </c>
    </row>
    <row r="41744" spans="1:8" customFormat="1" x14ac:dyDescent="0.25">
      <c r="A41744" t="str">
        <f>"9456944"</f>
        <v>9456944</v>
      </c>
      <c r="B41744" t="s">
        <v>25751</v>
      </c>
      <c r="C41744" t="s">
        <v>24932</v>
      </c>
      <c r="D41744" s="21" t="s">
        <v>24820</v>
      </c>
      <c r="E41744" s="21" t="s">
        <v>71</v>
      </c>
      <c r="F41744">
        <v>8940459</v>
      </c>
      <c r="G41744" t="s">
        <v>743</v>
      </c>
      <c r="H41744" s="21">
        <v>500</v>
      </c>
    </row>
    <row r="41745" spans="1:8" customFormat="1" x14ac:dyDescent="0.25">
      <c r="A41745" t="str">
        <f>"1417560"</f>
        <v>1417560</v>
      </c>
      <c r="B41745" t="s">
        <v>4685</v>
      </c>
      <c r="C41745" t="s">
        <v>24932</v>
      </c>
      <c r="D41745" s="21" t="s">
        <v>24820</v>
      </c>
      <c r="E41745" s="21" t="s">
        <v>254</v>
      </c>
      <c r="F41745">
        <v>9140060</v>
      </c>
      <c r="G41745" t="s">
        <v>5773</v>
      </c>
      <c r="H41745" s="21">
        <v>500</v>
      </c>
    </row>
    <row r="41746" spans="1:8" customFormat="1" x14ac:dyDescent="0.25">
      <c r="A41746" t="str">
        <f>"3730135"</f>
        <v>3730135</v>
      </c>
      <c r="B41746" t="s">
        <v>29991</v>
      </c>
      <c r="C41746" t="s">
        <v>24887</v>
      </c>
      <c r="D41746" s="21" t="s">
        <v>24820</v>
      </c>
      <c r="E41746" s="21" t="s">
        <v>35</v>
      </c>
      <c r="F41746">
        <v>4370001</v>
      </c>
      <c r="G41746" t="s">
        <v>957</v>
      </c>
      <c r="H41746" s="21">
        <v>500</v>
      </c>
    </row>
    <row r="41747" spans="1:8" customFormat="1" x14ac:dyDescent="0.25">
      <c r="A41747" t="str">
        <f>"277738"</f>
        <v>277738</v>
      </c>
      <c r="B41747" t="s">
        <v>1601</v>
      </c>
      <c r="C41747" t="s">
        <v>24854</v>
      </c>
      <c r="D41747" s="21" t="s">
        <v>24820</v>
      </c>
      <c r="E41747" s="21" t="s">
        <v>71</v>
      </c>
      <c r="F41747">
        <v>9270021</v>
      </c>
      <c r="G41747" t="s">
        <v>4934</v>
      </c>
      <c r="H41747" s="21">
        <v>500</v>
      </c>
    </row>
    <row r="41748" spans="1:8" customFormat="1" x14ac:dyDescent="0.25">
      <c r="A41748" t="str">
        <f>"037266"</f>
        <v>037266</v>
      </c>
      <c r="B41748" t="s">
        <v>25915</v>
      </c>
      <c r="C41748" t="s">
        <v>24867</v>
      </c>
      <c r="D41748" s="21" t="s">
        <v>24820</v>
      </c>
      <c r="E41748" s="21" t="s">
        <v>71</v>
      </c>
      <c r="F41748">
        <v>1030316</v>
      </c>
      <c r="G41748" t="s">
        <v>19924</v>
      </c>
      <c r="H41748" s="21">
        <v>500</v>
      </c>
    </row>
    <row r="41749" spans="1:8" customFormat="1" x14ac:dyDescent="0.25">
      <c r="A41749" t="str">
        <f>"5939377"</f>
        <v>5939377</v>
      </c>
      <c r="B41749" t="s">
        <v>11937</v>
      </c>
      <c r="C41749" t="s">
        <v>22831</v>
      </c>
      <c r="D41749" s="21" t="s">
        <v>24820</v>
      </c>
      <c r="E41749" s="21" t="s">
        <v>71</v>
      </c>
      <c r="F41749">
        <v>7590332</v>
      </c>
      <c r="G41749" t="s">
        <v>6094</v>
      </c>
      <c r="H41749" s="21">
        <v>500</v>
      </c>
    </row>
    <row r="41750" spans="1:8" customFormat="1" x14ac:dyDescent="0.25">
      <c r="A41750" t="str">
        <f>"7637718"</f>
        <v>7637718</v>
      </c>
      <c r="B41750" t="s">
        <v>747</v>
      </c>
      <c r="C41750" t="s">
        <v>22831</v>
      </c>
      <c r="D41750" s="21" t="s">
        <v>24820</v>
      </c>
      <c r="E41750" s="21" t="s">
        <v>71</v>
      </c>
      <c r="F41750">
        <v>9760012</v>
      </c>
      <c r="G41750" t="s">
        <v>17233</v>
      </c>
      <c r="H41750" s="21">
        <v>500</v>
      </c>
    </row>
    <row r="41751" spans="1:8" customFormat="1" x14ac:dyDescent="0.25">
      <c r="A41751" t="str">
        <f>"4527099"</f>
        <v>4527099</v>
      </c>
      <c r="B41751" t="s">
        <v>25835</v>
      </c>
      <c r="C41751" t="s">
        <v>25836</v>
      </c>
      <c r="D41751" s="21" t="s">
        <v>24820</v>
      </c>
      <c r="E41751" s="21" t="s">
        <v>35</v>
      </c>
      <c r="F41751">
        <v>4450768</v>
      </c>
      <c r="G41751" t="s">
        <v>12739</v>
      </c>
      <c r="H41751" s="21">
        <v>500</v>
      </c>
    </row>
    <row r="41752" spans="1:8" customFormat="1" x14ac:dyDescent="0.25">
      <c r="A41752" t="str">
        <f>"694823"</f>
        <v>694823</v>
      </c>
      <c r="B41752" t="s">
        <v>1737</v>
      </c>
      <c r="C41752" t="s">
        <v>24874</v>
      </c>
      <c r="D41752" s="21" t="s">
        <v>24820</v>
      </c>
      <c r="E41752" s="21" t="s">
        <v>71</v>
      </c>
      <c r="F41752">
        <v>1690150</v>
      </c>
      <c r="G41752" t="s">
        <v>19630</v>
      </c>
      <c r="H41752" s="21">
        <v>500</v>
      </c>
    </row>
    <row r="41753" spans="1:8" customFormat="1" x14ac:dyDescent="0.25">
      <c r="A41753" t="str">
        <f>"607393"</f>
        <v>607393</v>
      </c>
      <c r="B41753" t="s">
        <v>25919</v>
      </c>
      <c r="C41753" t="s">
        <v>24893</v>
      </c>
      <c r="D41753" s="21" t="s">
        <v>24820</v>
      </c>
      <c r="E41753" s="21" t="s">
        <v>254</v>
      </c>
      <c r="F41753">
        <v>7600112</v>
      </c>
      <c r="G41753" t="s">
        <v>9272</v>
      </c>
      <c r="H41753" s="21">
        <v>500</v>
      </c>
    </row>
    <row r="41754" spans="1:8" customFormat="1" x14ac:dyDescent="0.25">
      <c r="A41754" t="str">
        <f>"3714800"</f>
        <v>3714800</v>
      </c>
      <c r="B41754" t="s">
        <v>18555</v>
      </c>
      <c r="C41754" t="s">
        <v>26011</v>
      </c>
      <c r="D41754" s="21" t="s">
        <v>24820</v>
      </c>
      <c r="E41754" s="21" t="s">
        <v>254</v>
      </c>
      <c r="F41754">
        <v>4370681</v>
      </c>
      <c r="G41754" t="s">
        <v>4508</v>
      </c>
      <c r="H41754" s="21">
        <v>500</v>
      </c>
    </row>
    <row r="41755" spans="1:8" customFormat="1" x14ac:dyDescent="0.25">
      <c r="A41755" t="str">
        <f>"6224604"</f>
        <v>6224604</v>
      </c>
      <c r="B41755" t="s">
        <v>22013</v>
      </c>
      <c r="C41755" t="s">
        <v>24898</v>
      </c>
      <c r="D41755" s="21" t="s">
        <v>24820</v>
      </c>
      <c r="E41755" s="21" t="s">
        <v>254</v>
      </c>
      <c r="F41755">
        <v>7620119</v>
      </c>
      <c r="G41755" t="s">
        <v>5233</v>
      </c>
      <c r="H41755" s="21">
        <v>500</v>
      </c>
    </row>
    <row r="41756" spans="1:8" customFormat="1" x14ac:dyDescent="0.25">
      <c r="A41756" t="str">
        <f>"5965250"</f>
        <v>5965250</v>
      </c>
      <c r="B41756" t="s">
        <v>2025</v>
      </c>
      <c r="C41756" t="s">
        <v>25151</v>
      </c>
      <c r="D41756" s="21" t="s">
        <v>24820</v>
      </c>
      <c r="E41756" s="21" t="s">
        <v>35</v>
      </c>
      <c r="F41756">
        <v>7590170</v>
      </c>
      <c r="G41756" t="s">
        <v>868</v>
      </c>
      <c r="H41756" s="21">
        <v>500</v>
      </c>
    </row>
    <row r="41757" spans="1:8" customFormat="1" x14ac:dyDescent="0.25">
      <c r="A41757" t="str">
        <f>"9454613"</f>
        <v>9454613</v>
      </c>
      <c r="B41757" t="s">
        <v>8377</v>
      </c>
      <c r="C41757" t="s">
        <v>24884</v>
      </c>
      <c r="D41757" s="21" t="s">
        <v>24820</v>
      </c>
      <c r="E41757" s="21" t="s">
        <v>35</v>
      </c>
      <c r="F41757">
        <v>8940052</v>
      </c>
      <c r="G41757" t="s">
        <v>190</v>
      </c>
      <c r="H41757" s="21">
        <v>500</v>
      </c>
    </row>
    <row r="41758" spans="1:8" customFormat="1" x14ac:dyDescent="0.25">
      <c r="A41758" t="str">
        <f>"9431806"</f>
        <v>9431806</v>
      </c>
      <c r="B41758" t="s">
        <v>25691</v>
      </c>
      <c r="C41758" t="s">
        <v>24988</v>
      </c>
      <c r="D41758" s="21" t="s">
        <v>24820</v>
      </c>
      <c r="E41758" s="21" t="s">
        <v>254</v>
      </c>
      <c r="F41758">
        <v>8941282</v>
      </c>
      <c r="G41758" t="s">
        <v>5040</v>
      </c>
      <c r="H41758" s="21">
        <v>500</v>
      </c>
    </row>
    <row r="41759" spans="1:8" customFormat="1" x14ac:dyDescent="0.25">
      <c r="A41759" t="str">
        <f>"9238109"</f>
        <v>9238109</v>
      </c>
      <c r="B41759" t="s">
        <v>25880</v>
      </c>
      <c r="C41759" t="s">
        <v>25178</v>
      </c>
      <c r="D41759" s="21" t="s">
        <v>24820</v>
      </c>
      <c r="E41759" s="21" t="s">
        <v>35</v>
      </c>
      <c r="F41759">
        <v>8920066</v>
      </c>
      <c r="G41759" t="s">
        <v>4899</v>
      </c>
      <c r="H41759" s="21">
        <v>500</v>
      </c>
    </row>
    <row r="41760" spans="1:8" customFormat="1" x14ac:dyDescent="0.25">
      <c r="A41760" t="str">
        <f>"8528918"</f>
        <v>8528918</v>
      </c>
      <c r="B41760" t="s">
        <v>3577</v>
      </c>
      <c r="C41760" t="s">
        <v>24857</v>
      </c>
      <c r="D41760" s="21" t="s">
        <v>24820</v>
      </c>
      <c r="E41760" s="21" t="s">
        <v>35</v>
      </c>
      <c r="F41760">
        <v>12851011</v>
      </c>
      <c r="G41760" t="s">
        <v>1445</v>
      </c>
      <c r="H41760" s="21">
        <v>500</v>
      </c>
    </row>
    <row r="41761" spans="1:8" customFormat="1" x14ac:dyDescent="0.25">
      <c r="A41761" t="str">
        <f>"243827"</f>
        <v>243827</v>
      </c>
      <c r="B41761" t="s">
        <v>25758</v>
      </c>
      <c r="C41761" t="s">
        <v>24909</v>
      </c>
      <c r="D41761" s="21" t="s">
        <v>24820</v>
      </c>
      <c r="E41761" s="21" t="s">
        <v>71</v>
      </c>
      <c r="F41761">
        <v>10240005</v>
      </c>
      <c r="G41761" t="s">
        <v>2496</v>
      </c>
      <c r="H41761" s="21">
        <v>500</v>
      </c>
    </row>
    <row r="41762" spans="1:8" customFormat="1" x14ac:dyDescent="0.25">
      <c r="A41762" t="str">
        <f>"5734356"</f>
        <v>5734356</v>
      </c>
      <c r="B41762" t="s">
        <v>29992</v>
      </c>
      <c r="C41762" t="s">
        <v>25178</v>
      </c>
      <c r="D41762" s="21" t="s">
        <v>24820</v>
      </c>
      <c r="E41762" s="21" t="s">
        <v>71</v>
      </c>
      <c r="F41762">
        <v>6570201</v>
      </c>
      <c r="G41762" t="s">
        <v>3296</v>
      </c>
      <c r="H41762" s="21">
        <v>500</v>
      </c>
    </row>
    <row r="41763" spans="1:8" customFormat="1" x14ac:dyDescent="0.25">
      <c r="A41763" t="str">
        <f>"6313578"</f>
        <v>6313578</v>
      </c>
      <c r="B41763" t="s">
        <v>22682</v>
      </c>
      <c r="C41763" t="s">
        <v>23734</v>
      </c>
      <c r="D41763" s="21" t="s">
        <v>24820</v>
      </c>
      <c r="E41763" s="21" t="s">
        <v>71</v>
      </c>
      <c r="F41763">
        <v>1630310</v>
      </c>
      <c r="G41763" t="s">
        <v>6314</v>
      </c>
      <c r="H41763" s="21">
        <v>500</v>
      </c>
    </row>
    <row r="41764" spans="1:8" customFormat="1" x14ac:dyDescent="0.25">
      <c r="A41764" t="str">
        <f>"0113990"</f>
        <v>0113990</v>
      </c>
      <c r="B41764" t="s">
        <v>11995</v>
      </c>
      <c r="C41764" t="s">
        <v>24906</v>
      </c>
      <c r="D41764" s="21" t="s">
        <v>24820</v>
      </c>
      <c r="E41764" s="21" t="s">
        <v>71</v>
      </c>
      <c r="F41764">
        <v>1730089</v>
      </c>
      <c r="G41764" t="s">
        <v>5395</v>
      </c>
      <c r="H41764" s="21">
        <v>500</v>
      </c>
    </row>
    <row r="41765" spans="1:8" customFormat="1" x14ac:dyDescent="0.25">
      <c r="A41765" t="str">
        <f>"648367"</f>
        <v>648367</v>
      </c>
      <c r="B41765" t="s">
        <v>26040</v>
      </c>
      <c r="C41765" t="s">
        <v>24845</v>
      </c>
      <c r="D41765" s="21" t="s">
        <v>24820</v>
      </c>
      <c r="E41765" s="21" t="s">
        <v>71</v>
      </c>
      <c r="F41765">
        <v>10640017</v>
      </c>
      <c r="G41765" t="s">
        <v>2454</v>
      </c>
      <c r="H41765" s="21">
        <v>500</v>
      </c>
    </row>
    <row r="41766" spans="1:8" customFormat="1" x14ac:dyDescent="0.25">
      <c r="A41766" t="str">
        <f>"3415485"</f>
        <v>3415485</v>
      </c>
      <c r="B41766" t="s">
        <v>22894</v>
      </c>
      <c r="C41766" t="s">
        <v>24881</v>
      </c>
      <c r="D41766" s="21" t="s">
        <v>24820</v>
      </c>
      <c r="E41766" s="21" t="s">
        <v>254</v>
      </c>
      <c r="F41766">
        <v>11340001</v>
      </c>
      <c r="G41766" t="s">
        <v>9248</v>
      </c>
      <c r="H41766" s="21">
        <v>500</v>
      </c>
    </row>
    <row r="41767" spans="1:8" customFormat="1" x14ac:dyDescent="0.25">
      <c r="A41767" t="str">
        <f>"8014368"</f>
        <v>8014368</v>
      </c>
      <c r="B41767" t="s">
        <v>7423</v>
      </c>
      <c r="C41767" t="s">
        <v>25447</v>
      </c>
      <c r="D41767" s="21" t="s">
        <v>24820</v>
      </c>
      <c r="E41767" s="21" t="s">
        <v>35</v>
      </c>
      <c r="F41767">
        <v>7800015</v>
      </c>
      <c r="G41767" t="s">
        <v>8701</v>
      </c>
      <c r="H41767" s="21">
        <v>500</v>
      </c>
    </row>
    <row r="41768" spans="1:8" customFormat="1" x14ac:dyDescent="0.25">
      <c r="A41768" t="str">
        <f>"814573"</f>
        <v>814573</v>
      </c>
      <c r="B41768" t="s">
        <v>4652</v>
      </c>
      <c r="C41768" t="s">
        <v>24968</v>
      </c>
      <c r="D41768" s="21" t="s">
        <v>24820</v>
      </c>
      <c r="E41768" s="21" t="s">
        <v>71</v>
      </c>
      <c r="F41768">
        <v>11810031</v>
      </c>
      <c r="G41768" t="s">
        <v>15591</v>
      </c>
      <c r="H41768" s="21">
        <v>500</v>
      </c>
    </row>
    <row r="41769" spans="1:8" customFormat="1" x14ac:dyDescent="0.25">
      <c r="A41769" t="str">
        <f>"35647"</f>
        <v>35647</v>
      </c>
      <c r="B41769" t="s">
        <v>18366</v>
      </c>
      <c r="C41769" t="s">
        <v>24906</v>
      </c>
      <c r="D41769" s="21" t="s">
        <v>24820</v>
      </c>
      <c r="E41769" s="21" t="s">
        <v>254</v>
      </c>
      <c r="F41769">
        <v>3350026</v>
      </c>
      <c r="G41769" t="s">
        <v>16468</v>
      </c>
      <c r="H41769" s="21">
        <v>500</v>
      </c>
    </row>
    <row r="41770" spans="1:8" customFormat="1" x14ac:dyDescent="0.25">
      <c r="A41770" t="str">
        <f>"7622998"</f>
        <v>7622998</v>
      </c>
      <c r="B41770" t="s">
        <v>25685</v>
      </c>
      <c r="C41770" t="s">
        <v>263</v>
      </c>
      <c r="D41770" s="21" t="s">
        <v>24820</v>
      </c>
      <c r="E41770" s="21" t="s">
        <v>254</v>
      </c>
      <c r="F41770">
        <v>9760014</v>
      </c>
      <c r="G41770" t="s">
        <v>1017</v>
      </c>
      <c r="H41770" s="21">
        <v>500</v>
      </c>
    </row>
    <row r="41771" spans="1:8" customFormat="1" x14ac:dyDescent="0.25">
      <c r="A41771" t="str">
        <f>"858087"</f>
        <v>858087</v>
      </c>
      <c r="B41771" t="s">
        <v>431</v>
      </c>
      <c r="C41771" t="s">
        <v>25088</v>
      </c>
      <c r="D41771" s="21" t="s">
        <v>24820</v>
      </c>
      <c r="E41771" s="21" t="s">
        <v>6185</v>
      </c>
      <c r="F41771">
        <v>12850063</v>
      </c>
      <c r="G41771" t="s">
        <v>10302</v>
      </c>
      <c r="H41771" s="21">
        <v>500</v>
      </c>
    </row>
    <row r="41772" spans="1:8" customFormat="1" x14ac:dyDescent="0.25">
      <c r="A41772" t="str">
        <f>"3118814"</f>
        <v>3118814</v>
      </c>
      <c r="B41772" t="s">
        <v>10812</v>
      </c>
      <c r="C41772" t="s">
        <v>24828</v>
      </c>
      <c r="D41772" s="21" t="s">
        <v>24820</v>
      </c>
      <c r="E41772" s="21" t="s">
        <v>71</v>
      </c>
      <c r="F41772">
        <v>11310070</v>
      </c>
      <c r="G41772" t="s">
        <v>11563</v>
      </c>
      <c r="H41772" s="21">
        <v>500</v>
      </c>
    </row>
    <row r="41773" spans="1:8" customFormat="1" x14ac:dyDescent="0.25">
      <c r="A41773" t="str">
        <f>"6725746"</f>
        <v>6725746</v>
      </c>
      <c r="B41773" t="s">
        <v>29993</v>
      </c>
      <c r="C41773" t="s">
        <v>24867</v>
      </c>
      <c r="D41773" s="21" t="s">
        <v>24820</v>
      </c>
      <c r="E41773" s="21" t="s">
        <v>35</v>
      </c>
      <c r="F41773">
        <v>6670178</v>
      </c>
      <c r="G41773" t="s">
        <v>10001</v>
      </c>
      <c r="H41773" s="21">
        <v>500</v>
      </c>
    </row>
    <row r="41774" spans="1:8" customFormat="1" x14ac:dyDescent="0.25">
      <c r="A41774" t="str">
        <f>"814465"</f>
        <v>814465</v>
      </c>
      <c r="B41774" t="s">
        <v>18967</v>
      </c>
      <c r="C41774" t="s">
        <v>29994</v>
      </c>
      <c r="D41774" s="21" t="s">
        <v>24820</v>
      </c>
      <c r="E41774" s="21" t="s">
        <v>35</v>
      </c>
      <c r="F41774">
        <v>11810024</v>
      </c>
      <c r="G41774" t="s">
        <v>2095</v>
      </c>
      <c r="H41774" s="21">
        <v>500</v>
      </c>
    </row>
    <row r="41775" spans="1:8" customFormat="1" x14ac:dyDescent="0.25">
      <c r="A41775" t="str">
        <f>"8311758"</f>
        <v>8311758</v>
      </c>
      <c r="B41775" t="s">
        <v>4494</v>
      </c>
      <c r="C41775" t="s">
        <v>25252</v>
      </c>
      <c r="D41775" s="21" t="s">
        <v>24820</v>
      </c>
      <c r="E41775" s="21" t="s">
        <v>35</v>
      </c>
      <c r="F41775">
        <v>13830091</v>
      </c>
      <c r="G41775" t="s">
        <v>7389</v>
      </c>
      <c r="H41775" s="21">
        <v>500</v>
      </c>
    </row>
    <row r="41776" spans="1:8" customFormat="1" x14ac:dyDescent="0.25">
      <c r="A41776" t="str">
        <f>"3829298"</f>
        <v>3829298</v>
      </c>
      <c r="B41776" t="s">
        <v>20038</v>
      </c>
      <c r="C41776" t="s">
        <v>24867</v>
      </c>
      <c r="D41776" s="21" t="s">
        <v>24820</v>
      </c>
      <c r="E41776" s="21" t="s">
        <v>71</v>
      </c>
      <c r="F41776">
        <v>1380290</v>
      </c>
      <c r="G41776" t="s">
        <v>619</v>
      </c>
      <c r="H41776" s="21">
        <v>500</v>
      </c>
    </row>
    <row r="41777" spans="1:8" customFormat="1" x14ac:dyDescent="0.25">
      <c r="A41777" t="str">
        <f>"3727995"</f>
        <v>3727995</v>
      </c>
      <c r="B41777" t="s">
        <v>8901</v>
      </c>
      <c r="C41777" t="s">
        <v>25803</v>
      </c>
      <c r="D41777" s="21" t="s">
        <v>24820</v>
      </c>
      <c r="E41777" s="21" t="s">
        <v>35</v>
      </c>
      <c r="F41777">
        <v>4370038</v>
      </c>
      <c r="G41777" t="s">
        <v>1045</v>
      </c>
      <c r="H41777" s="21">
        <v>500</v>
      </c>
    </row>
    <row r="41778" spans="1:8" customFormat="1" x14ac:dyDescent="0.25">
      <c r="A41778" t="str">
        <f>"6022788"</f>
        <v>6022788</v>
      </c>
      <c r="B41778" t="s">
        <v>1048</v>
      </c>
      <c r="C41778" t="s">
        <v>263</v>
      </c>
      <c r="D41778" s="21" t="s">
        <v>24820</v>
      </c>
      <c r="E41778" s="21" t="s">
        <v>35</v>
      </c>
      <c r="F41778">
        <v>7600157</v>
      </c>
      <c r="G41778" t="s">
        <v>12263</v>
      </c>
      <c r="H41778" s="21">
        <v>500</v>
      </c>
    </row>
    <row r="41779" spans="1:8" customFormat="1" x14ac:dyDescent="0.25">
      <c r="A41779" t="str">
        <f>"901784"</f>
        <v>901784</v>
      </c>
      <c r="B41779" t="s">
        <v>25763</v>
      </c>
      <c r="C41779" t="s">
        <v>25199</v>
      </c>
      <c r="D41779" s="21" t="s">
        <v>24820</v>
      </c>
      <c r="E41779" s="21" t="s">
        <v>1089</v>
      </c>
      <c r="F41779">
        <v>2900004</v>
      </c>
      <c r="G41779" t="s">
        <v>5922</v>
      </c>
      <c r="H41779" s="21">
        <v>500</v>
      </c>
    </row>
    <row r="41780" spans="1:8" customFormat="1" x14ac:dyDescent="0.25">
      <c r="A41780" t="str">
        <f>"686423"</f>
        <v>686423</v>
      </c>
      <c r="B41780" t="s">
        <v>29995</v>
      </c>
      <c r="C41780" t="s">
        <v>25141</v>
      </c>
      <c r="D41780" s="21" t="s">
        <v>24820</v>
      </c>
      <c r="E41780" s="21" t="s">
        <v>254</v>
      </c>
      <c r="F41780">
        <v>6680059</v>
      </c>
      <c r="G41780" t="s">
        <v>11282</v>
      </c>
      <c r="H41780" s="21">
        <v>500</v>
      </c>
    </row>
    <row r="41781" spans="1:8" customFormat="1" x14ac:dyDescent="0.25">
      <c r="A41781" t="str">
        <f>"5710453"</f>
        <v>5710453</v>
      </c>
      <c r="B41781" t="s">
        <v>25733</v>
      </c>
      <c r="C41781" t="s">
        <v>24927</v>
      </c>
      <c r="D41781" s="21" t="s">
        <v>24820</v>
      </c>
      <c r="E41781" s="21" t="s">
        <v>254</v>
      </c>
      <c r="F41781">
        <v>6570024</v>
      </c>
      <c r="G41781" t="s">
        <v>464</v>
      </c>
      <c r="H41781" s="21">
        <v>500</v>
      </c>
    </row>
    <row r="41782" spans="1:8" customFormat="1" x14ac:dyDescent="0.25">
      <c r="A41782" t="str">
        <f>"4434014"</f>
        <v>4434014</v>
      </c>
      <c r="B41782" t="s">
        <v>25902</v>
      </c>
      <c r="C41782" t="s">
        <v>24898</v>
      </c>
      <c r="D41782" s="21" t="s">
        <v>24820</v>
      </c>
      <c r="E41782" s="21" t="s">
        <v>254</v>
      </c>
      <c r="F41782">
        <v>12440049</v>
      </c>
      <c r="G41782" t="s">
        <v>3339</v>
      </c>
      <c r="H41782" s="21">
        <v>500</v>
      </c>
    </row>
    <row r="41783" spans="1:8" customFormat="1" x14ac:dyDescent="0.25">
      <c r="A41783" t="str">
        <f>"4440262"</f>
        <v>4440262</v>
      </c>
      <c r="B41783" t="s">
        <v>2973</v>
      </c>
      <c r="C41783" t="s">
        <v>25088</v>
      </c>
      <c r="D41783" s="21" t="s">
        <v>24820</v>
      </c>
      <c r="E41783" s="21" t="s">
        <v>71</v>
      </c>
      <c r="F41783">
        <v>12440051</v>
      </c>
      <c r="G41783" t="s">
        <v>2191</v>
      </c>
      <c r="H41783" s="21">
        <v>500</v>
      </c>
    </row>
    <row r="41784" spans="1:8" customFormat="1" x14ac:dyDescent="0.25">
      <c r="A41784" t="str">
        <f>"124396"</f>
        <v>124396</v>
      </c>
      <c r="B41784" t="s">
        <v>25824</v>
      </c>
      <c r="C41784" t="s">
        <v>25622</v>
      </c>
      <c r="D41784" s="21" t="s">
        <v>24820</v>
      </c>
      <c r="E41784" s="21" t="s">
        <v>254</v>
      </c>
      <c r="F41784">
        <v>11120042</v>
      </c>
      <c r="G41784" t="s">
        <v>16752</v>
      </c>
      <c r="H41784" s="21">
        <v>500</v>
      </c>
    </row>
    <row r="41785" spans="1:8" customFormat="1" x14ac:dyDescent="0.25">
      <c r="A41785" t="str">
        <f>"453771"</f>
        <v>453771</v>
      </c>
      <c r="B41785" t="s">
        <v>22277</v>
      </c>
      <c r="C41785" t="s">
        <v>24904</v>
      </c>
      <c r="D41785" s="21" t="s">
        <v>24820</v>
      </c>
      <c r="E41785" s="21" t="s">
        <v>71</v>
      </c>
      <c r="F41785">
        <v>4450155</v>
      </c>
      <c r="G41785" t="s">
        <v>23484</v>
      </c>
      <c r="H41785" s="21">
        <v>500</v>
      </c>
    </row>
    <row r="41786" spans="1:8" customFormat="1" x14ac:dyDescent="0.25">
      <c r="A41786" t="str">
        <f>"7713063"</f>
        <v>7713063</v>
      </c>
      <c r="B41786" t="s">
        <v>9961</v>
      </c>
      <c r="C41786" t="s">
        <v>25782</v>
      </c>
      <c r="D41786" s="21" t="s">
        <v>24820</v>
      </c>
      <c r="E41786" s="21" t="s">
        <v>35</v>
      </c>
      <c r="F41786">
        <v>8770911</v>
      </c>
      <c r="G41786" t="s">
        <v>4824</v>
      </c>
      <c r="H41786" s="21">
        <v>500</v>
      </c>
    </row>
    <row r="41787" spans="1:8" customFormat="1" x14ac:dyDescent="0.25">
      <c r="A41787" t="str">
        <f>"4452557"</f>
        <v>4452557</v>
      </c>
      <c r="B41787" t="s">
        <v>5562</v>
      </c>
      <c r="C41787" t="s">
        <v>23734</v>
      </c>
      <c r="D41787" s="21" t="s">
        <v>24820</v>
      </c>
      <c r="E41787" s="21" t="s">
        <v>71</v>
      </c>
      <c r="F41787">
        <v>12440279</v>
      </c>
      <c r="G41787" t="s">
        <v>23572</v>
      </c>
      <c r="H41787" s="21">
        <v>500</v>
      </c>
    </row>
    <row r="41788" spans="1:8" customFormat="1" x14ac:dyDescent="0.25">
      <c r="A41788" t="str">
        <f>"95460"</f>
        <v>95460</v>
      </c>
      <c r="B41788" t="s">
        <v>765</v>
      </c>
      <c r="C41788" t="s">
        <v>26064</v>
      </c>
      <c r="D41788" s="21" t="s">
        <v>24820</v>
      </c>
      <c r="E41788" s="21" t="s">
        <v>6185</v>
      </c>
      <c r="F41788">
        <v>8950262</v>
      </c>
      <c r="G41788" t="s">
        <v>1881</v>
      </c>
      <c r="H41788" s="21">
        <v>500</v>
      </c>
    </row>
    <row r="41789" spans="1:8" customFormat="1" x14ac:dyDescent="0.25">
      <c r="A41789" t="str">
        <f>"5977530"</f>
        <v>5977530</v>
      </c>
      <c r="B41789" t="s">
        <v>872</v>
      </c>
      <c r="C41789" t="s">
        <v>22831</v>
      </c>
      <c r="D41789" s="21" t="s">
        <v>24820</v>
      </c>
      <c r="E41789" s="21" t="s">
        <v>35</v>
      </c>
      <c r="F41789">
        <v>7590269</v>
      </c>
      <c r="G41789" t="s">
        <v>873</v>
      </c>
      <c r="H41789" s="21">
        <v>500</v>
      </c>
    </row>
    <row r="41790" spans="1:8" customFormat="1" x14ac:dyDescent="0.25">
      <c r="A41790" t="str">
        <f>"396777"</f>
        <v>396777</v>
      </c>
      <c r="B41790" t="s">
        <v>29996</v>
      </c>
      <c r="C41790" t="s">
        <v>24904</v>
      </c>
      <c r="D41790" s="21" t="s">
        <v>24820</v>
      </c>
      <c r="E41790" s="21" t="s">
        <v>71</v>
      </c>
      <c r="F41790">
        <v>2390013</v>
      </c>
      <c r="G41790" t="s">
        <v>22103</v>
      </c>
      <c r="H41790" s="21">
        <v>500</v>
      </c>
    </row>
    <row r="41791" spans="1:8" customFormat="1" x14ac:dyDescent="0.25">
      <c r="A41791" t="str">
        <f>"692747"</f>
        <v>692747</v>
      </c>
      <c r="B41791" t="s">
        <v>10241</v>
      </c>
      <c r="C41791" t="s">
        <v>23966</v>
      </c>
      <c r="D41791" s="21" t="s">
        <v>24820</v>
      </c>
      <c r="E41791" s="21" t="s">
        <v>1089</v>
      </c>
      <c r="F41791">
        <v>1690052</v>
      </c>
      <c r="G41791" t="s">
        <v>273</v>
      </c>
      <c r="H41791" s="21">
        <v>500</v>
      </c>
    </row>
    <row r="41792" spans="1:8" customFormat="1" x14ac:dyDescent="0.25">
      <c r="A41792" t="str">
        <f>"405716"</f>
        <v>405716</v>
      </c>
      <c r="B41792" t="s">
        <v>25841</v>
      </c>
      <c r="C41792" t="s">
        <v>24867</v>
      </c>
      <c r="D41792" s="21" t="s">
        <v>24820</v>
      </c>
      <c r="E41792" s="21" t="s">
        <v>71</v>
      </c>
      <c r="F41792">
        <v>10400008</v>
      </c>
      <c r="G41792" t="s">
        <v>2294</v>
      </c>
      <c r="H41792" s="21">
        <v>500</v>
      </c>
    </row>
    <row r="41793" spans="1:8" customFormat="1" x14ac:dyDescent="0.25">
      <c r="A41793" t="str">
        <f>"4530232"</f>
        <v>4530232</v>
      </c>
      <c r="B41793" t="s">
        <v>29997</v>
      </c>
      <c r="C41793" t="s">
        <v>24898</v>
      </c>
      <c r="D41793" s="21" t="s">
        <v>24820</v>
      </c>
      <c r="E41793" s="21" t="s">
        <v>254</v>
      </c>
      <c r="F41793">
        <v>4450571</v>
      </c>
      <c r="G41793" t="s">
        <v>188</v>
      </c>
      <c r="H41793" s="21">
        <v>500</v>
      </c>
    </row>
    <row r="41794" spans="1:8" customFormat="1" x14ac:dyDescent="0.25">
      <c r="A41794" t="str">
        <f>"6225512"</f>
        <v>6225512</v>
      </c>
      <c r="B41794" t="s">
        <v>11369</v>
      </c>
      <c r="C41794" t="s">
        <v>25274</v>
      </c>
      <c r="D41794" s="21" t="s">
        <v>24820</v>
      </c>
      <c r="E41794" s="21" t="s">
        <v>71</v>
      </c>
      <c r="F41794">
        <v>7620077</v>
      </c>
      <c r="G41794" t="s">
        <v>4131</v>
      </c>
      <c r="H41794" s="21">
        <v>500</v>
      </c>
    </row>
    <row r="41795" spans="1:8" customFormat="1" x14ac:dyDescent="0.25">
      <c r="A41795" t="str">
        <f>"9F4492"</f>
        <v>9F4492</v>
      </c>
      <c r="B41795" t="s">
        <v>765</v>
      </c>
      <c r="C41795" t="s">
        <v>25787</v>
      </c>
      <c r="D41795" s="21" t="s">
        <v>24820</v>
      </c>
      <c r="E41795" s="21" t="s">
        <v>71</v>
      </c>
      <c r="F41795" t="s">
        <v>2126</v>
      </c>
      <c r="G41795" t="s">
        <v>2127</v>
      </c>
      <c r="H41795" s="21">
        <v>500</v>
      </c>
    </row>
    <row r="41796" spans="1:8" customFormat="1" x14ac:dyDescent="0.25">
      <c r="A41796" t="str">
        <f>"6315684"</f>
        <v>6315684</v>
      </c>
      <c r="B41796" t="s">
        <v>25904</v>
      </c>
      <c r="C41796" t="s">
        <v>24915</v>
      </c>
      <c r="D41796" s="21" t="s">
        <v>24820</v>
      </c>
      <c r="E41796" s="21" t="s">
        <v>35</v>
      </c>
      <c r="F41796">
        <v>1630085</v>
      </c>
      <c r="G41796" t="s">
        <v>2968</v>
      </c>
      <c r="H41796" s="21">
        <v>500</v>
      </c>
    </row>
    <row r="41797" spans="1:8" customFormat="1" x14ac:dyDescent="0.25">
      <c r="A41797" t="str">
        <f>"9459439"</f>
        <v>9459439</v>
      </c>
      <c r="B41797" t="s">
        <v>10999</v>
      </c>
      <c r="C41797" t="s">
        <v>24845</v>
      </c>
      <c r="D41797" s="21" t="s">
        <v>24820</v>
      </c>
      <c r="E41797" s="21" t="s">
        <v>35</v>
      </c>
      <c r="F41797">
        <v>8940976</v>
      </c>
      <c r="G41797" t="s">
        <v>615</v>
      </c>
      <c r="H41797" s="21">
        <v>500</v>
      </c>
    </row>
    <row r="41798" spans="1:8" customFormat="1" x14ac:dyDescent="0.25">
      <c r="A41798" t="str">
        <f>"219035"</f>
        <v>219035</v>
      </c>
      <c r="B41798" t="s">
        <v>12030</v>
      </c>
      <c r="C41798" t="s">
        <v>24914</v>
      </c>
      <c r="D41798" s="21" t="s">
        <v>24820</v>
      </c>
      <c r="E41798" s="21" t="s">
        <v>35</v>
      </c>
      <c r="F41798">
        <v>2210100</v>
      </c>
      <c r="G41798" t="s">
        <v>1608</v>
      </c>
      <c r="H41798" s="21">
        <v>500</v>
      </c>
    </row>
    <row r="41799" spans="1:8" customFormat="1" x14ac:dyDescent="0.25">
      <c r="A41799" t="str">
        <f>"3525586"</f>
        <v>3525586</v>
      </c>
      <c r="B41799" t="s">
        <v>10236</v>
      </c>
      <c r="C41799" t="s">
        <v>24865</v>
      </c>
      <c r="D41799" s="21" t="s">
        <v>24820</v>
      </c>
      <c r="E41799" s="21" t="s">
        <v>71</v>
      </c>
      <c r="F41799">
        <v>3350014</v>
      </c>
      <c r="G41799" t="s">
        <v>1078</v>
      </c>
      <c r="H41799" s="21">
        <v>500</v>
      </c>
    </row>
    <row r="41800" spans="1:8" customFormat="1" x14ac:dyDescent="0.25">
      <c r="A41800" t="str">
        <f>"6940601"</f>
        <v>6940601</v>
      </c>
      <c r="B41800" t="s">
        <v>25939</v>
      </c>
      <c r="C41800" t="s">
        <v>24898</v>
      </c>
      <c r="D41800" s="21" t="s">
        <v>24820</v>
      </c>
      <c r="E41800" s="21" t="s">
        <v>254</v>
      </c>
      <c r="F41800">
        <v>1690175</v>
      </c>
      <c r="G41800" t="s">
        <v>410</v>
      </c>
      <c r="H41800" s="21">
        <v>500</v>
      </c>
    </row>
    <row r="41801" spans="1:8" customFormat="1" x14ac:dyDescent="0.25">
      <c r="A41801" t="str">
        <f>"6946540"</f>
        <v>6946540</v>
      </c>
      <c r="B41801" t="s">
        <v>6517</v>
      </c>
      <c r="C41801" t="s">
        <v>24999</v>
      </c>
      <c r="D41801" s="21" t="s">
        <v>24820</v>
      </c>
      <c r="E41801" s="21" t="s">
        <v>35</v>
      </c>
      <c r="F41801">
        <v>1690206</v>
      </c>
      <c r="G41801" t="s">
        <v>17667</v>
      </c>
      <c r="H41801" s="21">
        <v>500</v>
      </c>
    </row>
    <row r="41802" spans="1:8" customFormat="1" x14ac:dyDescent="0.25">
      <c r="A41802" t="str">
        <f>"9W76"</f>
        <v>9W76</v>
      </c>
      <c r="B41802" t="s">
        <v>25870</v>
      </c>
      <c r="C41802" t="s">
        <v>25871</v>
      </c>
      <c r="D41802" s="21" t="s">
        <v>24820</v>
      </c>
      <c r="E41802" s="21" t="s">
        <v>71</v>
      </c>
      <c r="F41802" t="s">
        <v>23027</v>
      </c>
      <c r="G41802" t="s">
        <v>28713</v>
      </c>
      <c r="H41802" s="21">
        <v>500</v>
      </c>
    </row>
    <row r="41803" spans="1:8" customFormat="1" x14ac:dyDescent="0.25">
      <c r="A41803" t="str">
        <f>"5721266"</f>
        <v>5721266</v>
      </c>
      <c r="B41803" t="s">
        <v>461</v>
      </c>
      <c r="C41803" t="s">
        <v>29739</v>
      </c>
      <c r="D41803" s="21" t="s">
        <v>24820</v>
      </c>
      <c r="E41803" s="21" t="s">
        <v>254</v>
      </c>
      <c r="F41803">
        <v>6570027</v>
      </c>
      <c r="G41803" t="s">
        <v>395</v>
      </c>
      <c r="H41803" s="21">
        <v>500</v>
      </c>
    </row>
    <row r="41804" spans="1:8" customFormat="1" x14ac:dyDescent="0.25">
      <c r="A41804" t="str">
        <f>"8017984"</f>
        <v>8017984</v>
      </c>
      <c r="B41804" t="s">
        <v>771</v>
      </c>
      <c r="C41804" t="s">
        <v>24883</v>
      </c>
      <c r="D41804" s="21" t="s">
        <v>24820</v>
      </c>
      <c r="E41804" s="21" t="s">
        <v>35</v>
      </c>
      <c r="F41804">
        <v>7800156</v>
      </c>
      <c r="G41804" t="s">
        <v>12924</v>
      </c>
      <c r="H41804" s="21">
        <v>500</v>
      </c>
    </row>
    <row r="41805" spans="1:8" customFormat="1" x14ac:dyDescent="0.25">
      <c r="A41805" t="str">
        <f>"2938939"</f>
        <v>2938939</v>
      </c>
      <c r="B41805" t="s">
        <v>1087</v>
      </c>
      <c r="C41805" t="s">
        <v>24914</v>
      </c>
      <c r="D41805" s="21" t="s">
        <v>24820</v>
      </c>
      <c r="E41805" s="21" t="s">
        <v>35</v>
      </c>
      <c r="F41805">
        <v>3290223</v>
      </c>
      <c r="G41805" t="s">
        <v>2636</v>
      </c>
      <c r="H41805" s="21">
        <v>500</v>
      </c>
    </row>
    <row r="41806" spans="1:8" customFormat="1" x14ac:dyDescent="0.25">
      <c r="A41806" t="str">
        <f>"5959842"</f>
        <v>5959842</v>
      </c>
      <c r="B41806" t="s">
        <v>2340</v>
      </c>
      <c r="C41806" t="s">
        <v>24867</v>
      </c>
      <c r="D41806" s="21" t="s">
        <v>24820</v>
      </c>
      <c r="E41806" s="21" t="s">
        <v>71</v>
      </c>
      <c r="F41806">
        <v>7590336</v>
      </c>
      <c r="G41806" t="s">
        <v>2341</v>
      </c>
      <c r="H41806" s="21">
        <v>500</v>
      </c>
    </row>
    <row r="41807" spans="1:8" customFormat="1" x14ac:dyDescent="0.25">
      <c r="A41807" t="str">
        <f>"5923060"</f>
        <v>5923060</v>
      </c>
      <c r="B41807" t="s">
        <v>25647</v>
      </c>
      <c r="C41807" t="s">
        <v>25648</v>
      </c>
      <c r="D41807" s="21" t="s">
        <v>24820</v>
      </c>
      <c r="E41807" s="21" t="s">
        <v>71</v>
      </c>
      <c r="F41807">
        <v>7590003</v>
      </c>
      <c r="G41807" t="s">
        <v>1166</v>
      </c>
      <c r="H41807" s="21">
        <v>500</v>
      </c>
    </row>
    <row r="41808" spans="1:8" customFormat="1" x14ac:dyDescent="0.25">
      <c r="A41808" t="str">
        <f>"722188"</f>
        <v>722188</v>
      </c>
      <c r="B41808" t="s">
        <v>25655</v>
      </c>
      <c r="C41808" t="s">
        <v>25104</v>
      </c>
      <c r="D41808" s="21" t="s">
        <v>24820</v>
      </c>
      <c r="E41808" s="21" t="s">
        <v>71</v>
      </c>
      <c r="F41808">
        <v>12720133</v>
      </c>
      <c r="G41808" t="s">
        <v>21778</v>
      </c>
      <c r="H41808" s="21">
        <v>500</v>
      </c>
    </row>
    <row r="41809" spans="1:8" customFormat="1" x14ac:dyDescent="0.25">
      <c r="A41809" t="str">
        <f>"524916"</f>
        <v>524916</v>
      </c>
      <c r="B41809" t="s">
        <v>26024</v>
      </c>
      <c r="C41809" t="s">
        <v>26025</v>
      </c>
      <c r="D41809" s="21" t="s">
        <v>24820</v>
      </c>
      <c r="E41809" s="21" t="s">
        <v>35</v>
      </c>
      <c r="F41809">
        <v>6520054</v>
      </c>
      <c r="G41809" t="s">
        <v>2142</v>
      </c>
      <c r="H41809" s="21">
        <v>500</v>
      </c>
    </row>
    <row r="41810" spans="1:8" customFormat="1" x14ac:dyDescent="0.25">
      <c r="A41810" t="str">
        <f>"4455655"</f>
        <v>4455655</v>
      </c>
      <c r="B41810" t="s">
        <v>25775</v>
      </c>
      <c r="C41810" t="s">
        <v>24883</v>
      </c>
      <c r="D41810" s="21" t="s">
        <v>24820</v>
      </c>
      <c r="E41810" s="21" t="s">
        <v>71</v>
      </c>
      <c r="F41810">
        <v>12440030</v>
      </c>
      <c r="G41810" t="s">
        <v>5524</v>
      </c>
      <c r="H41810" s="21">
        <v>500</v>
      </c>
    </row>
    <row r="41811" spans="1:8" customFormat="1" x14ac:dyDescent="0.25">
      <c r="A41811" t="str">
        <f>"2921594"</f>
        <v>2921594</v>
      </c>
      <c r="B41811" t="s">
        <v>9198</v>
      </c>
      <c r="C41811" t="s">
        <v>24897</v>
      </c>
      <c r="D41811" s="21" t="s">
        <v>24820</v>
      </c>
      <c r="E41811" s="21" t="s">
        <v>71</v>
      </c>
      <c r="F41811">
        <v>3290006</v>
      </c>
      <c r="G41811" t="s">
        <v>13009</v>
      </c>
      <c r="H41811" s="21">
        <v>500</v>
      </c>
    </row>
    <row r="41812" spans="1:8" customFormat="1" x14ac:dyDescent="0.25">
      <c r="A41812" t="str">
        <f>"6941075"</f>
        <v>6941075</v>
      </c>
      <c r="B41812" t="s">
        <v>29998</v>
      </c>
      <c r="C41812" t="s">
        <v>24904</v>
      </c>
      <c r="D41812" s="21" t="s">
        <v>24820</v>
      </c>
      <c r="E41812" s="21" t="s">
        <v>35</v>
      </c>
      <c r="F41812">
        <v>1690047</v>
      </c>
      <c r="G41812" t="s">
        <v>4223</v>
      </c>
      <c r="H41812" s="21">
        <v>500</v>
      </c>
    </row>
    <row r="41813" spans="1:8" customFormat="1" x14ac:dyDescent="0.25">
      <c r="A41813" t="str">
        <f>"679355"</f>
        <v>679355</v>
      </c>
      <c r="B41813" t="s">
        <v>23108</v>
      </c>
      <c r="C41813" t="s">
        <v>24973</v>
      </c>
      <c r="D41813" s="21" t="s">
        <v>24820</v>
      </c>
      <c r="E41813" s="21" t="s">
        <v>71</v>
      </c>
      <c r="F41813">
        <v>6670115</v>
      </c>
      <c r="G41813" t="s">
        <v>3798</v>
      </c>
      <c r="H41813" s="21">
        <v>500</v>
      </c>
    </row>
    <row r="41814" spans="1:8" customFormat="1" x14ac:dyDescent="0.25">
      <c r="A41814" t="str">
        <f>"992318"</f>
        <v>992318</v>
      </c>
      <c r="B41814" t="s">
        <v>26334</v>
      </c>
      <c r="C41814" t="s">
        <v>24968</v>
      </c>
      <c r="D41814" s="21" t="s">
        <v>24820</v>
      </c>
      <c r="E41814" s="21" t="s">
        <v>35</v>
      </c>
      <c r="F41814">
        <v>5990009</v>
      </c>
      <c r="G41814" t="s">
        <v>3127</v>
      </c>
      <c r="H41814" s="21">
        <v>500</v>
      </c>
    </row>
    <row r="41815" spans="1:8" customFormat="1" x14ac:dyDescent="0.25">
      <c r="A41815" t="str">
        <f>"8316044"</f>
        <v>8316044</v>
      </c>
      <c r="B41815" t="s">
        <v>16740</v>
      </c>
      <c r="C41815" t="s">
        <v>26080</v>
      </c>
      <c r="D41815" s="21" t="s">
        <v>24820</v>
      </c>
      <c r="E41815" s="21" t="s">
        <v>35</v>
      </c>
      <c r="F41815">
        <v>13830067</v>
      </c>
      <c r="G41815" t="s">
        <v>13428</v>
      </c>
      <c r="H41815" s="21">
        <v>500</v>
      </c>
    </row>
    <row r="41816" spans="1:8" customFormat="1" x14ac:dyDescent="0.25">
      <c r="A41816" t="str">
        <f>"668396"</f>
        <v>668396</v>
      </c>
      <c r="B41816" t="s">
        <v>25820</v>
      </c>
      <c r="C41816" t="s">
        <v>25208</v>
      </c>
      <c r="D41816" s="21" t="s">
        <v>24820</v>
      </c>
      <c r="E41816" s="21" t="s">
        <v>71</v>
      </c>
      <c r="F41816">
        <v>11660008</v>
      </c>
      <c r="G41816" t="s">
        <v>16161</v>
      </c>
      <c r="H41816" s="21">
        <v>500</v>
      </c>
    </row>
    <row r="41817" spans="1:8" customFormat="1" x14ac:dyDescent="0.25">
      <c r="A41817" t="str">
        <f>"6726481"</f>
        <v>6726481</v>
      </c>
      <c r="B41817" t="s">
        <v>9809</v>
      </c>
      <c r="C41817" t="s">
        <v>24915</v>
      </c>
      <c r="D41817" s="21" t="s">
        <v>24820</v>
      </c>
      <c r="E41817" s="21" t="s">
        <v>35</v>
      </c>
      <c r="F41817">
        <v>6670041</v>
      </c>
      <c r="G41817" t="s">
        <v>1971</v>
      </c>
      <c r="H41817" s="21">
        <v>500</v>
      </c>
    </row>
    <row r="41818" spans="1:8" customFormat="1" x14ac:dyDescent="0.25">
      <c r="A41818" t="str">
        <f>"3318626"</f>
        <v>3318626</v>
      </c>
      <c r="B41818" t="s">
        <v>29999</v>
      </c>
      <c r="C41818" t="s">
        <v>30000</v>
      </c>
      <c r="D41818" s="21" t="s">
        <v>24820</v>
      </c>
      <c r="E41818" s="21" t="s">
        <v>71</v>
      </c>
      <c r="F41818">
        <v>10330080</v>
      </c>
      <c r="G41818" t="s">
        <v>5634</v>
      </c>
      <c r="H41818" s="21">
        <v>500</v>
      </c>
    </row>
    <row r="41819" spans="1:8" customFormat="1" x14ac:dyDescent="0.25">
      <c r="A41819" t="str">
        <f>"7716693"</f>
        <v>7716693</v>
      </c>
      <c r="B41819" t="s">
        <v>30001</v>
      </c>
      <c r="C41819" t="s">
        <v>24874</v>
      </c>
      <c r="D41819" s="21" t="s">
        <v>24820</v>
      </c>
      <c r="E41819" s="21" t="s">
        <v>254</v>
      </c>
      <c r="F41819">
        <v>8771394</v>
      </c>
      <c r="G41819" t="s">
        <v>1933</v>
      </c>
      <c r="H41819" s="21">
        <v>500</v>
      </c>
    </row>
    <row r="41820" spans="1:8" customFormat="1" x14ac:dyDescent="0.25">
      <c r="A41820" t="str">
        <f>"8315376"</f>
        <v>8315376</v>
      </c>
      <c r="B41820" t="s">
        <v>26037</v>
      </c>
      <c r="C41820" t="s">
        <v>24999</v>
      </c>
      <c r="D41820" s="21" t="s">
        <v>24820</v>
      </c>
      <c r="E41820" s="21" t="s">
        <v>71</v>
      </c>
      <c r="F41820">
        <v>13830085</v>
      </c>
      <c r="G41820" t="s">
        <v>478</v>
      </c>
      <c r="H41820" s="21">
        <v>500</v>
      </c>
    </row>
    <row r="41821" spans="1:8" customFormat="1" x14ac:dyDescent="0.25">
      <c r="A41821" t="str">
        <f>"7415025"</f>
        <v>7415025</v>
      </c>
      <c r="B41821" t="s">
        <v>15996</v>
      </c>
      <c r="C41821" t="s">
        <v>24892</v>
      </c>
      <c r="D41821" s="21" t="s">
        <v>24820</v>
      </c>
      <c r="E41821" s="21" t="s">
        <v>254</v>
      </c>
      <c r="F41821">
        <v>1740003</v>
      </c>
      <c r="G41821" t="s">
        <v>982</v>
      </c>
      <c r="H41821" s="21">
        <v>500</v>
      </c>
    </row>
    <row r="41822" spans="1:8" customFormat="1" x14ac:dyDescent="0.25">
      <c r="A41822" t="str">
        <f>"7218201"</f>
        <v>7218201</v>
      </c>
      <c r="B41822" t="s">
        <v>2851</v>
      </c>
      <c r="C41822" t="s">
        <v>24865</v>
      </c>
      <c r="D41822" s="21" t="s">
        <v>24820</v>
      </c>
      <c r="E41822" s="21" t="s">
        <v>71</v>
      </c>
      <c r="F41822">
        <v>12720029</v>
      </c>
      <c r="G41822" t="s">
        <v>11575</v>
      </c>
      <c r="H41822" s="21">
        <v>500</v>
      </c>
    </row>
    <row r="41823" spans="1:8" customFormat="1" x14ac:dyDescent="0.25">
      <c r="A41823" t="str">
        <f>"4113133"</f>
        <v>4113133</v>
      </c>
      <c r="B41823" t="s">
        <v>6098</v>
      </c>
      <c r="C41823" t="s">
        <v>24841</v>
      </c>
      <c r="D41823" s="21" t="s">
        <v>24820</v>
      </c>
      <c r="E41823" s="21" t="s">
        <v>35</v>
      </c>
      <c r="F41823">
        <v>4410612</v>
      </c>
      <c r="G41823" t="s">
        <v>815</v>
      </c>
      <c r="H41823" s="21">
        <v>500</v>
      </c>
    </row>
    <row r="41824" spans="1:8" customFormat="1" x14ac:dyDescent="0.25">
      <c r="A41824" t="str">
        <f>"837260"</f>
        <v>837260</v>
      </c>
      <c r="B41824" t="s">
        <v>11992</v>
      </c>
      <c r="C41824" t="s">
        <v>24871</v>
      </c>
      <c r="D41824" s="21" t="s">
        <v>24820</v>
      </c>
      <c r="E41824" s="21" t="s">
        <v>254</v>
      </c>
      <c r="F41824">
        <v>13830031</v>
      </c>
      <c r="G41824" t="s">
        <v>8301</v>
      </c>
      <c r="H41824" s="21">
        <v>500</v>
      </c>
    </row>
    <row r="41825" spans="1:8" customFormat="1" x14ac:dyDescent="0.25">
      <c r="A41825" t="str">
        <f>"9456125"</f>
        <v>9456125</v>
      </c>
      <c r="B41825" t="s">
        <v>25986</v>
      </c>
      <c r="C41825" t="s">
        <v>25386</v>
      </c>
      <c r="D41825" s="21" t="s">
        <v>24820</v>
      </c>
      <c r="E41825" s="21" t="s">
        <v>1089</v>
      </c>
      <c r="F41825">
        <v>8941282</v>
      </c>
      <c r="G41825" t="s">
        <v>5040</v>
      </c>
      <c r="H41825" s="21">
        <v>500</v>
      </c>
    </row>
    <row r="41826" spans="1:8" customFormat="1" x14ac:dyDescent="0.25">
      <c r="A41826" t="str">
        <f>"7114002"</f>
        <v>7114002</v>
      </c>
      <c r="B41826" t="s">
        <v>20410</v>
      </c>
      <c r="C41826" t="s">
        <v>24888</v>
      </c>
      <c r="D41826" s="21" t="s">
        <v>24820</v>
      </c>
      <c r="E41826" s="21" t="s">
        <v>35</v>
      </c>
      <c r="F41826">
        <v>2710083</v>
      </c>
      <c r="G41826" t="s">
        <v>17590</v>
      </c>
      <c r="H41826" s="21">
        <v>500</v>
      </c>
    </row>
    <row r="41827" spans="1:8" customFormat="1" x14ac:dyDescent="0.25">
      <c r="A41827" t="str">
        <f>"4112343"</f>
        <v>4112343</v>
      </c>
      <c r="B41827" t="s">
        <v>13363</v>
      </c>
      <c r="C41827" t="s">
        <v>24854</v>
      </c>
      <c r="D41827" s="21" t="s">
        <v>24820</v>
      </c>
      <c r="E41827" s="21" t="s">
        <v>71</v>
      </c>
      <c r="F41827">
        <v>4410612</v>
      </c>
      <c r="G41827" t="s">
        <v>815</v>
      </c>
      <c r="H41827" s="21">
        <v>500</v>
      </c>
    </row>
    <row r="41828" spans="1:8" customFormat="1" x14ac:dyDescent="0.25">
      <c r="A41828" t="str">
        <f>"9139604"</f>
        <v>9139604</v>
      </c>
      <c r="B41828" t="s">
        <v>17701</v>
      </c>
      <c r="C41828" t="s">
        <v>263</v>
      </c>
      <c r="D41828" s="21" t="s">
        <v>24820</v>
      </c>
      <c r="E41828" s="21" t="s">
        <v>71</v>
      </c>
      <c r="F41828">
        <v>8910918</v>
      </c>
      <c r="G41828" t="s">
        <v>332</v>
      </c>
      <c r="H41828" s="21">
        <v>500</v>
      </c>
    </row>
    <row r="41829" spans="1:8" customFormat="1" x14ac:dyDescent="0.25">
      <c r="A41829" t="str">
        <f>"4513775"</f>
        <v>4513775</v>
      </c>
      <c r="B41829" t="s">
        <v>26067</v>
      </c>
      <c r="C41829" t="s">
        <v>547</v>
      </c>
      <c r="D41829" s="21" t="s">
        <v>24820</v>
      </c>
      <c r="E41829" s="21" t="s">
        <v>254</v>
      </c>
      <c r="F41829">
        <v>4450285</v>
      </c>
      <c r="G41829" t="s">
        <v>7118</v>
      </c>
      <c r="H41829" s="21">
        <v>500</v>
      </c>
    </row>
    <row r="41830" spans="1:8" customFormat="1" x14ac:dyDescent="0.25">
      <c r="A41830" t="str">
        <f>"5014036"</f>
        <v>5014036</v>
      </c>
      <c r="B41830" t="s">
        <v>26288</v>
      </c>
      <c r="C41830" t="s">
        <v>23734</v>
      </c>
      <c r="D41830" s="21" t="s">
        <v>24820</v>
      </c>
      <c r="E41830" s="21" t="s">
        <v>71</v>
      </c>
      <c r="F41830">
        <v>9500010</v>
      </c>
      <c r="G41830" t="s">
        <v>5975</v>
      </c>
      <c r="H41830" s="21">
        <v>500</v>
      </c>
    </row>
    <row r="41831" spans="1:8" customFormat="1" x14ac:dyDescent="0.25">
      <c r="A41831" t="str">
        <f>"6935743"</f>
        <v>6935743</v>
      </c>
      <c r="B41831" t="s">
        <v>21090</v>
      </c>
      <c r="C41831" t="s">
        <v>24831</v>
      </c>
      <c r="D41831" s="21" t="s">
        <v>24820</v>
      </c>
      <c r="E41831" s="21" t="s">
        <v>71</v>
      </c>
      <c r="F41831">
        <v>1690181</v>
      </c>
      <c r="G41831" t="s">
        <v>20881</v>
      </c>
      <c r="H41831" s="21">
        <v>500</v>
      </c>
    </row>
    <row r="41832" spans="1:8" customFormat="1" x14ac:dyDescent="0.25">
      <c r="A41832" t="str">
        <f>"6315589"</f>
        <v>6315589</v>
      </c>
      <c r="B41832" t="s">
        <v>13731</v>
      </c>
      <c r="C41832" t="s">
        <v>24828</v>
      </c>
      <c r="D41832" s="21" t="s">
        <v>24820</v>
      </c>
      <c r="E41832" s="21" t="s">
        <v>35</v>
      </c>
      <c r="F41832">
        <v>1630330</v>
      </c>
      <c r="G41832" t="s">
        <v>7263</v>
      </c>
      <c r="H41832" s="21">
        <v>500</v>
      </c>
    </row>
    <row r="41833" spans="1:8" customFormat="1" x14ac:dyDescent="0.25">
      <c r="A41833" t="str">
        <f>"9533876"</f>
        <v>9533876</v>
      </c>
      <c r="B41833" t="s">
        <v>25748</v>
      </c>
      <c r="C41833" t="s">
        <v>24889</v>
      </c>
      <c r="D41833" s="21" t="s">
        <v>24820</v>
      </c>
      <c r="E41833" s="21" t="s">
        <v>71</v>
      </c>
      <c r="F41833">
        <v>8950435</v>
      </c>
      <c r="G41833" t="s">
        <v>6404</v>
      </c>
      <c r="H41833" s="21">
        <v>500</v>
      </c>
    </row>
    <row r="41834" spans="1:8" customFormat="1" x14ac:dyDescent="0.25">
      <c r="A41834" t="str">
        <f>"9D3017"</f>
        <v>9D3017</v>
      </c>
      <c r="B41834" t="s">
        <v>30002</v>
      </c>
      <c r="C41834" t="s">
        <v>30003</v>
      </c>
      <c r="D41834" s="21" t="s">
        <v>24820</v>
      </c>
      <c r="E41834" s="21" t="s">
        <v>35</v>
      </c>
      <c r="F41834" t="s">
        <v>26767</v>
      </c>
      <c r="G41834" t="s">
        <v>26768</v>
      </c>
      <c r="H41834" s="21">
        <v>500</v>
      </c>
    </row>
    <row r="41835" spans="1:8" customFormat="1" x14ac:dyDescent="0.25">
      <c r="A41835" t="str">
        <f>"4219578"</f>
        <v>4219578</v>
      </c>
      <c r="B41835" t="s">
        <v>2835</v>
      </c>
      <c r="C41835" t="s">
        <v>25967</v>
      </c>
      <c r="D41835" s="21" t="s">
        <v>24820</v>
      </c>
      <c r="E41835" s="21" t="s">
        <v>35</v>
      </c>
      <c r="F41835">
        <v>1420055</v>
      </c>
      <c r="G41835" t="s">
        <v>5421</v>
      </c>
      <c r="H41835" s="21">
        <v>500</v>
      </c>
    </row>
    <row r="41836" spans="1:8" customFormat="1" x14ac:dyDescent="0.25">
      <c r="A41836" t="str">
        <f>"244445"</f>
        <v>244445</v>
      </c>
      <c r="B41836" t="s">
        <v>25845</v>
      </c>
      <c r="C41836" t="s">
        <v>24867</v>
      </c>
      <c r="D41836" s="21" t="s">
        <v>24820</v>
      </c>
      <c r="E41836" s="21" t="s">
        <v>71</v>
      </c>
      <c r="F41836">
        <v>10240018</v>
      </c>
      <c r="G41836" t="s">
        <v>3007</v>
      </c>
      <c r="H41836" s="21">
        <v>500</v>
      </c>
    </row>
    <row r="41837" spans="1:8" customFormat="1" x14ac:dyDescent="0.25">
      <c r="A41837" t="str">
        <f>"6715261"</f>
        <v>6715261</v>
      </c>
      <c r="B41837" t="s">
        <v>26094</v>
      </c>
      <c r="C41837" t="s">
        <v>24898</v>
      </c>
      <c r="D41837" s="21" t="s">
        <v>24820</v>
      </c>
      <c r="E41837" s="21" t="s">
        <v>35</v>
      </c>
      <c r="F41837">
        <v>6670160</v>
      </c>
      <c r="G41837" t="s">
        <v>908</v>
      </c>
      <c r="H41837" s="21">
        <v>500</v>
      </c>
    </row>
    <row r="41838" spans="1:8" customFormat="1" x14ac:dyDescent="0.25">
      <c r="A41838" t="str">
        <f>"5981785"</f>
        <v>5981785</v>
      </c>
      <c r="B41838" t="s">
        <v>2381</v>
      </c>
      <c r="C41838" t="s">
        <v>25717</v>
      </c>
      <c r="D41838" s="21" t="s">
        <v>24820</v>
      </c>
      <c r="E41838" s="21" t="s">
        <v>35</v>
      </c>
      <c r="F41838">
        <v>7590424</v>
      </c>
      <c r="G41838" t="s">
        <v>23256</v>
      </c>
      <c r="H41838" s="21">
        <v>500</v>
      </c>
    </row>
    <row r="41839" spans="1:8" customFormat="1" x14ac:dyDescent="0.25">
      <c r="A41839" t="str">
        <f>"6718332"</f>
        <v>6718332</v>
      </c>
      <c r="B41839" t="s">
        <v>30004</v>
      </c>
      <c r="C41839" t="s">
        <v>25772</v>
      </c>
      <c r="D41839" s="21" t="s">
        <v>24820</v>
      </c>
      <c r="E41839" s="21" t="s">
        <v>71</v>
      </c>
      <c r="F41839">
        <v>6670261</v>
      </c>
      <c r="G41839" t="s">
        <v>4621</v>
      </c>
      <c r="H41839" s="21">
        <v>500</v>
      </c>
    </row>
    <row r="41840" spans="1:8" customFormat="1" x14ac:dyDescent="0.25">
      <c r="A41840" t="str">
        <f>"1613782"</f>
        <v>1613782</v>
      </c>
      <c r="B41840" t="s">
        <v>15470</v>
      </c>
      <c r="C41840" t="s">
        <v>24943</v>
      </c>
      <c r="D41840" s="21" t="s">
        <v>24820</v>
      </c>
      <c r="E41840" s="21" t="s">
        <v>35</v>
      </c>
      <c r="F41840">
        <v>10160237</v>
      </c>
      <c r="G41840" t="s">
        <v>8818</v>
      </c>
      <c r="H41840" s="21">
        <v>500</v>
      </c>
    </row>
    <row r="41841" spans="1:8" customFormat="1" x14ac:dyDescent="0.25">
      <c r="A41841" t="str">
        <f>"2938513"</f>
        <v>2938513</v>
      </c>
      <c r="B41841" t="s">
        <v>9250</v>
      </c>
      <c r="C41841" t="s">
        <v>25247</v>
      </c>
      <c r="D41841" s="21" t="s">
        <v>24820</v>
      </c>
      <c r="E41841" s="21" t="s">
        <v>35</v>
      </c>
      <c r="F41841">
        <v>3290005</v>
      </c>
      <c r="G41841" t="s">
        <v>1253</v>
      </c>
      <c r="H41841" s="21">
        <v>500</v>
      </c>
    </row>
    <row r="41842" spans="1:8" customFormat="1" x14ac:dyDescent="0.25">
      <c r="A41842" t="str">
        <f>"3119265"</f>
        <v>3119265</v>
      </c>
      <c r="B41842" t="s">
        <v>30005</v>
      </c>
      <c r="C41842" t="s">
        <v>25138</v>
      </c>
      <c r="D41842" s="21" t="s">
        <v>24820</v>
      </c>
      <c r="E41842" s="21" t="s">
        <v>35</v>
      </c>
      <c r="F41842">
        <v>11310045</v>
      </c>
      <c r="G41842" t="s">
        <v>22847</v>
      </c>
      <c r="H41842" s="21">
        <v>500</v>
      </c>
    </row>
    <row r="41843" spans="1:8" customFormat="1" x14ac:dyDescent="0.25">
      <c r="A41843" t="str">
        <f>"7524900"</f>
        <v>7524900</v>
      </c>
      <c r="B41843" t="s">
        <v>30006</v>
      </c>
      <c r="C41843" t="s">
        <v>24838</v>
      </c>
      <c r="D41843" s="21" t="s">
        <v>24820</v>
      </c>
      <c r="E41843" s="21" t="s">
        <v>35</v>
      </c>
      <c r="F41843">
        <v>8751061</v>
      </c>
      <c r="G41843" t="s">
        <v>26628</v>
      </c>
      <c r="H41843" s="21">
        <v>500</v>
      </c>
    </row>
    <row r="41844" spans="1:8" customFormat="1" x14ac:dyDescent="0.25">
      <c r="A41844" t="str">
        <f>"7218210"</f>
        <v>7218210</v>
      </c>
      <c r="B41844" t="s">
        <v>1945</v>
      </c>
      <c r="C41844" t="s">
        <v>24883</v>
      </c>
      <c r="D41844" s="21" t="s">
        <v>24820</v>
      </c>
      <c r="E41844" s="21" t="s">
        <v>71</v>
      </c>
      <c r="F41844">
        <v>12720104</v>
      </c>
      <c r="G41844" t="s">
        <v>224</v>
      </c>
      <c r="H41844" s="21">
        <v>500</v>
      </c>
    </row>
    <row r="41845" spans="1:8" customFormat="1" x14ac:dyDescent="0.25">
      <c r="A41845" t="str">
        <f>"3533990"</f>
        <v>3533990</v>
      </c>
      <c r="B41845" t="s">
        <v>23270</v>
      </c>
      <c r="C41845" t="s">
        <v>25601</v>
      </c>
      <c r="D41845" s="21" t="s">
        <v>24820</v>
      </c>
      <c r="E41845" s="21" t="s">
        <v>35</v>
      </c>
      <c r="F41845">
        <v>3350212</v>
      </c>
      <c r="G41845" t="s">
        <v>5154</v>
      </c>
      <c r="H41845" s="21">
        <v>500</v>
      </c>
    </row>
    <row r="41846" spans="1:8" customFormat="1" x14ac:dyDescent="0.25">
      <c r="A41846" t="str">
        <f>"6945159"</f>
        <v>6945159</v>
      </c>
      <c r="B41846" t="s">
        <v>26018</v>
      </c>
      <c r="C41846" t="s">
        <v>24927</v>
      </c>
      <c r="D41846" s="21" t="s">
        <v>24820</v>
      </c>
      <c r="E41846" s="21" t="s">
        <v>71</v>
      </c>
      <c r="F41846">
        <v>1690138</v>
      </c>
      <c r="G41846" t="s">
        <v>18533</v>
      </c>
      <c r="H41846" s="21">
        <v>500</v>
      </c>
    </row>
    <row r="41847" spans="1:8" customFormat="1" x14ac:dyDescent="0.25">
      <c r="A41847" t="str">
        <f>"171037"</f>
        <v>171037</v>
      </c>
      <c r="B41847" t="s">
        <v>8773</v>
      </c>
      <c r="C41847" t="s">
        <v>25588</v>
      </c>
      <c r="D41847" s="21" t="s">
        <v>24820</v>
      </c>
      <c r="E41847" s="21" t="s">
        <v>1089</v>
      </c>
      <c r="F41847">
        <v>10170029</v>
      </c>
      <c r="G41847" t="s">
        <v>9383</v>
      </c>
      <c r="H41847" s="21">
        <v>500</v>
      </c>
    </row>
    <row r="41848" spans="1:8" customFormat="1" x14ac:dyDescent="0.25">
      <c r="A41848" t="str">
        <f>"038658"</f>
        <v>038658</v>
      </c>
      <c r="B41848" t="s">
        <v>26152</v>
      </c>
      <c r="C41848" t="s">
        <v>26153</v>
      </c>
      <c r="D41848" s="21" t="s">
        <v>24820</v>
      </c>
      <c r="E41848" s="21" t="s">
        <v>254</v>
      </c>
      <c r="F41848">
        <v>1030316</v>
      </c>
      <c r="G41848" t="s">
        <v>19924</v>
      </c>
      <c r="H41848" s="21">
        <v>500</v>
      </c>
    </row>
    <row r="41849" spans="1:8" customFormat="1" x14ac:dyDescent="0.25">
      <c r="A41849" t="str">
        <f>"6948391"</f>
        <v>6948391</v>
      </c>
      <c r="B41849" t="s">
        <v>10037</v>
      </c>
      <c r="C41849" t="s">
        <v>24833</v>
      </c>
      <c r="D41849" s="21" t="s">
        <v>24820</v>
      </c>
      <c r="E41849" s="21" t="s">
        <v>35</v>
      </c>
      <c r="F41849">
        <v>1690222</v>
      </c>
      <c r="G41849" t="s">
        <v>25801</v>
      </c>
      <c r="H41849" s="21">
        <v>500</v>
      </c>
    </row>
    <row r="41850" spans="1:8" customFormat="1" x14ac:dyDescent="0.25">
      <c r="A41850" t="str">
        <f>"9251788"</f>
        <v>9251788</v>
      </c>
      <c r="B41850" t="s">
        <v>4095</v>
      </c>
      <c r="C41850" t="s">
        <v>24897</v>
      </c>
      <c r="D41850" s="21" t="s">
        <v>24820</v>
      </c>
      <c r="E41850" s="21" t="s">
        <v>71</v>
      </c>
      <c r="F41850">
        <v>8920018</v>
      </c>
      <c r="G41850" t="s">
        <v>1281</v>
      </c>
      <c r="H41850" s="21">
        <v>500</v>
      </c>
    </row>
    <row r="41851" spans="1:8" customFormat="1" x14ac:dyDescent="0.25">
      <c r="A41851" t="str">
        <f>"9144434"</f>
        <v>9144434</v>
      </c>
      <c r="B41851" t="s">
        <v>25770</v>
      </c>
      <c r="C41851" t="s">
        <v>24906</v>
      </c>
      <c r="D41851" s="21" t="s">
        <v>24820</v>
      </c>
      <c r="E41851" s="21" t="s">
        <v>254</v>
      </c>
      <c r="F41851">
        <v>8911132</v>
      </c>
      <c r="G41851" t="s">
        <v>10728</v>
      </c>
      <c r="H41851" s="21">
        <v>500</v>
      </c>
    </row>
    <row r="41852" spans="1:8" customFormat="1" x14ac:dyDescent="0.25">
      <c r="A41852" t="str">
        <f>"6810198"</f>
        <v>6810198</v>
      </c>
      <c r="B41852" t="s">
        <v>7512</v>
      </c>
      <c r="C41852" t="s">
        <v>25008</v>
      </c>
      <c r="D41852" s="21" t="s">
        <v>24820</v>
      </c>
      <c r="E41852" s="21" t="s">
        <v>254</v>
      </c>
      <c r="F41852">
        <v>6680130</v>
      </c>
      <c r="G41852" t="s">
        <v>26772</v>
      </c>
      <c r="H41852" s="21">
        <v>500</v>
      </c>
    </row>
    <row r="41853" spans="1:8" customFormat="1" x14ac:dyDescent="0.25">
      <c r="A41853" t="str">
        <f>"033653"</f>
        <v>033653</v>
      </c>
      <c r="B41853" t="s">
        <v>25615</v>
      </c>
      <c r="C41853" t="s">
        <v>25616</v>
      </c>
      <c r="D41853" s="21" t="s">
        <v>24820</v>
      </c>
      <c r="E41853" s="21" t="s">
        <v>71</v>
      </c>
      <c r="F41853">
        <v>1030082</v>
      </c>
      <c r="G41853" t="s">
        <v>26828</v>
      </c>
      <c r="H41853" s="21">
        <v>500</v>
      </c>
    </row>
    <row r="41854" spans="1:8" customFormat="1" x14ac:dyDescent="0.25">
      <c r="A41854" t="str">
        <f>"147016"</f>
        <v>147016</v>
      </c>
      <c r="B41854" t="s">
        <v>13121</v>
      </c>
      <c r="C41854" t="s">
        <v>25998</v>
      </c>
      <c r="D41854" s="21" t="s">
        <v>24820</v>
      </c>
      <c r="E41854" s="21" t="s">
        <v>6185</v>
      </c>
      <c r="F41854">
        <v>9140009</v>
      </c>
      <c r="G41854" t="s">
        <v>3530</v>
      </c>
      <c r="H41854" s="21">
        <v>500</v>
      </c>
    </row>
    <row r="41855" spans="1:8" customFormat="1" x14ac:dyDescent="0.25">
      <c r="A41855" t="str">
        <f>"665527"</f>
        <v>665527</v>
      </c>
      <c r="B41855" t="s">
        <v>25755</v>
      </c>
      <c r="C41855" t="s">
        <v>24831</v>
      </c>
      <c r="D41855" s="21" t="s">
        <v>24820</v>
      </c>
      <c r="E41855" s="21" t="s">
        <v>35</v>
      </c>
      <c r="F41855">
        <v>11660016</v>
      </c>
      <c r="G41855" t="s">
        <v>4510</v>
      </c>
      <c r="H41855" s="21">
        <v>500</v>
      </c>
    </row>
    <row r="41856" spans="1:8" customFormat="1" x14ac:dyDescent="0.25">
      <c r="A41856" t="str">
        <f>"2720185"</f>
        <v>2720185</v>
      </c>
      <c r="B41856" t="s">
        <v>5431</v>
      </c>
      <c r="C41856" t="s">
        <v>25188</v>
      </c>
      <c r="D41856" s="21" t="s">
        <v>24820</v>
      </c>
      <c r="E41856" s="21" t="s">
        <v>35</v>
      </c>
      <c r="F41856">
        <v>9270102</v>
      </c>
      <c r="G41856" t="s">
        <v>24383</v>
      </c>
      <c r="H41856" s="21">
        <v>500</v>
      </c>
    </row>
    <row r="41857" spans="1:8" customFormat="1" x14ac:dyDescent="0.25">
      <c r="A41857" t="str">
        <f>"30295"</f>
        <v>30295</v>
      </c>
      <c r="B41857" t="s">
        <v>1053</v>
      </c>
      <c r="C41857" t="s">
        <v>25588</v>
      </c>
      <c r="D41857" s="21" t="s">
        <v>24820</v>
      </c>
      <c r="E41857" s="21" t="s">
        <v>1089</v>
      </c>
      <c r="F41857">
        <v>11300016</v>
      </c>
      <c r="G41857" t="s">
        <v>157</v>
      </c>
      <c r="H41857" s="21">
        <v>500</v>
      </c>
    </row>
    <row r="41858" spans="1:8" customFormat="1" x14ac:dyDescent="0.25">
      <c r="A41858" t="str">
        <f>"2921020"</f>
        <v>2921020</v>
      </c>
      <c r="B41858" t="s">
        <v>21109</v>
      </c>
      <c r="C41858" t="s">
        <v>24883</v>
      </c>
      <c r="D41858" s="21" t="s">
        <v>24820</v>
      </c>
      <c r="E41858" s="21" t="s">
        <v>35</v>
      </c>
      <c r="F41858">
        <v>3290235</v>
      </c>
      <c r="G41858" t="s">
        <v>12128</v>
      </c>
      <c r="H41858" s="21">
        <v>500</v>
      </c>
    </row>
    <row r="41859" spans="1:8" customFormat="1" x14ac:dyDescent="0.25">
      <c r="A41859" t="str">
        <f>"804134"</f>
        <v>804134</v>
      </c>
      <c r="B41859" t="s">
        <v>14129</v>
      </c>
      <c r="C41859" t="s">
        <v>24840</v>
      </c>
      <c r="D41859" s="21" t="s">
        <v>24820</v>
      </c>
      <c r="E41859" s="21" t="s">
        <v>254</v>
      </c>
      <c r="F41859">
        <v>7800066</v>
      </c>
      <c r="G41859" t="s">
        <v>14130</v>
      </c>
      <c r="H41859" s="21">
        <v>500</v>
      </c>
    </row>
    <row r="41860" spans="1:8" customFormat="1" x14ac:dyDescent="0.25">
      <c r="A41860" t="str">
        <f>"9252844"</f>
        <v>9252844</v>
      </c>
      <c r="B41860" t="s">
        <v>13006</v>
      </c>
      <c r="C41860" t="s">
        <v>24914</v>
      </c>
      <c r="D41860" s="21" t="s">
        <v>24820</v>
      </c>
      <c r="E41860" s="21" t="s">
        <v>35</v>
      </c>
      <c r="F41860">
        <v>8920049</v>
      </c>
      <c r="G41860" t="s">
        <v>237</v>
      </c>
      <c r="H41860" s="21">
        <v>500</v>
      </c>
    </row>
    <row r="41861" spans="1:8" customFormat="1" x14ac:dyDescent="0.25">
      <c r="A41861" t="str">
        <f>"6810199"</f>
        <v>6810199</v>
      </c>
      <c r="B41861" t="s">
        <v>25900</v>
      </c>
      <c r="C41861" t="s">
        <v>25008</v>
      </c>
      <c r="D41861" s="21" t="s">
        <v>24820</v>
      </c>
      <c r="E41861" s="21" t="s">
        <v>254</v>
      </c>
      <c r="F41861">
        <v>6680130</v>
      </c>
      <c r="G41861" t="s">
        <v>26772</v>
      </c>
      <c r="H41861" s="21">
        <v>500</v>
      </c>
    </row>
    <row r="41862" spans="1:8" customFormat="1" x14ac:dyDescent="0.25">
      <c r="A41862" t="str">
        <f>"823213"</f>
        <v>823213</v>
      </c>
      <c r="B41862" t="s">
        <v>21635</v>
      </c>
      <c r="C41862" t="s">
        <v>25008</v>
      </c>
      <c r="D41862" s="21" t="s">
        <v>24820</v>
      </c>
      <c r="E41862" s="21" t="s">
        <v>71</v>
      </c>
      <c r="F41862">
        <v>11820031</v>
      </c>
      <c r="G41862" t="s">
        <v>18667</v>
      </c>
      <c r="H41862" s="21">
        <v>500</v>
      </c>
    </row>
    <row r="41863" spans="1:8" customFormat="1" x14ac:dyDescent="0.25">
      <c r="A41863" t="str">
        <f>"797862"</f>
        <v>797862</v>
      </c>
      <c r="B41863" t="s">
        <v>2360</v>
      </c>
      <c r="C41863" t="s">
        <v>25386</v>
      </c>
      <c r="D41863" s="21" t="s">
        <v>24820</v>
      </c>
      <c r="E41863" s="21" t="s">
        <v>1089</v>
      </c>
      <c r="F41863">
        <v>10790163</v>
      </c>
      <c r="G41863" t="s">
        <v>2015</v>
      </c>
      <c r="H41863" s="21">
        <v>500</v>
      </c>
    </row>
    <row r="41864" spans="1:8" customFormat="1" x14ac:dyDescent="0.25">
      <c r="A41864" t="str">
        <f>"7113497"</f>
        <v>7113497</v>
      </c>
      <c r="B41864" t="s">
        <v>30007</v>
      </c>
      <c r="C41864" t="s">
        <v>24897</v>
      </c>
      <c r="D41864" s="21" t="s">
        <v>24820</v>
      </c>
      <c r="E41864" s="21" t="s">
        <v>71</v>
      </c>
      <c r="F41864">
        <v>2710048</v>
      </c>
      <c r="G41864" t="s">
        <v>2225</v>
      </c>
      <c r="H41864" s="21">
        <v>500</v>
      </c>
    </row>
    <row r="41865" spans="1:8" customFormat="1" x14ac:dyDescent="0.25">
      <c r="A41865" t="str">
        <f>"1415865"</f>
        <v>1415865</v>
      </c>
      <c r="B41865" t="s">
        <v>30008</v>
      </c>
      <c r="C41865" t="s">
        <v>24848</v>
      </c>
      <c r="D41865" s="21" t="s">
        <v>24820</v>
      </c>
      <c r="E41865" s="21" t="s">
        <v>35</v>
      </c>
      <c r="F41865">
        <v>9140235</v>
      </c>
      <c r="G41865" t="s">
        <v>165</v>
      </c>
      <c r="H41865" s="21">
        <v>500</v>
      </c>
    </row>
    <row r="41866" spans="1:8" customFormat="1" x14ac:dyDescent="0.25">
      <c r="A41866" t="str">
        <f>"679593"</f>
        <v>679593</v>
      </c>
      <c r="B41866" t="s">
        <v>788</v>
      </c>
      <c r="C41866" t="s">
        <v>25714</v>
      </c>
      <c r="D41866" s="21" t="s">
        <v>24820</v>
      </c>
      <c r="E41866" s="21" t="s">
        <v>71</v>
      </c>
      <c r="F41866">
        <v>6670045</v>
      </c>
      <c r="G41866" t="s">
        <v>707</v>
      </c>
      <c r="H41866" s="21">
        <v>500</v>
      </c>
    </row>
    <row r="41867" spans="1:8" customFormat="1" x14ac:dyDescent="0.25">
      <c r="A41867" t="str">
        <f>"2112811"</f>
        <v>2112811</v>
      </c>
      <c r="B41867" t="s">
        <v>23656</v>
      </c>
      <c r="C41867" t="s">
        <v>24932</v>
      </c>
      <c r="D41867" s="21" t="s">
        <v>24820</v>
      </c>
      <c r="E41867" s="21" t="s">
        <v>71</v>
      </c>
      <c r="F41867">
        <v>2210106</v>
      </c>
      <c r="G41867" t="s">
        <v>8845</v>
      </c>
      <c r="H41867" s="21">
        <v>500</v>
      </c>
    </row>
    <row r="41868" spans="1:8" customFormat="1" x14ac:dyDescent="0.25">
      <c r="A41868" t="str">
        <f>"9138269"</f>
        <v>9138269</v>
      </c>
      <c r="B41868" t="s">
        <v>23231</v>
      </c>
      <c r="C41868" t="s">
        <v>24888</v>
      </c>
      <c r="D41868" s="21" t="s">
        <v>24820</v>
      </c>
      <c r="E41868" s="21" t="s">
        <v>254</v>
      </c>
      <c r="F41868">
        <v>8910500</v>
      </c>
      <c r="G41868" t="s">
        <v>23437</v>
      </c>
      <c r="H41868" s="21">
        <v>500</v>
      </c>
    </row>
    <row r="41869" spans="1:8" customFormat="1" x14ac:dyDescent="0.25">
      <c r="A41869" t="str">
        <f>"5326570"</f>
        <v>5326570</v>
      </c>
      <c r="B41869" t="s">
        <v>205</v>
      </c>
      <c r="C41869" t="s">
        <v>25104</v>
      </c>
      <c r="D41869" s="21" t="s">
        <v>24820</v>
      </c>
      <c r="E41869" s="21" t="s">
        <v>71</v>
      </c>
      <c r="F41869">
        <v>12530016</v>
      </c>
      <c r="G41869" t="s">
        <v>2069</v>
      </c>
      <c r="H41869" s="21">
        <v>500</v>
      </c>
    </row>
    <row r="41870" spans="1:8" customFormat="1" x14ac:dyDescent="0.25">
      <c r="A41870" t="str">
        <f>"072235"</f>
        <v>072235</v>
      </c>
      <c r="B41870" t="s">
        <v>20906</v>
      </c>
      <c r="C41870" t="s">
        <v>22831</v>
      </c>
      <c r="D41870" s="21" t="s">
        <v>24820</v>
      </c>
      <c r="E41870" s="21" t="s">
        <v>71</v>
      </c>
      <c r="F41870">
        <v>1260015</v>
      </c>
      <c r="G41870" t="s">
        <v>4712</v>
      </c>
      <c r="H41870" s="21">
        <v>500</v>
      </c>
    </row>
    <row r="41871" spans="1:8" customFormat="1" x14ac:dyDescent="0.25">
      <c r="A41871" t="str">
        <f>"4458565"</f>
        <v>4458565</v>
      </c>
      <c r="B41871" t="s">
        <v>30009</v>
      </c>
      <c r="C41871" t="s">
        <v>24833</v>
      </c>
      <c r="D41871" s="21" t="s">
        <v>24820</v>
      </c>
      <c r="E41871" s="21" t="s">
        <v>254</v>
      </c>
      <c r="F41871">
        <v>12440147</v>
      </c>
      <c r="G41871" t="s">
        <v>5472</v>
      </c>
      <c r="H41871" s="21">
        <v>500</v>
      </c>
    </row>
    <row r="41872" spans="1:8" customFormat="1" x14ac:dyDescent="0.25">
      <c r="A41872" t="str">
        <f>"187857"</f>
        <v>187857</v>
      </c>
      <c r="B41872" t="s">
        <v>25669</v>
      </c>
      <c r="C41872" t="s">
        <v>25124</v>
      </c>
      <c r="D41872" s="21" t="s">
        <v>24820</v>
      </c>
      <c r="E41872" s="21" t="s">
        <v>35</v>
      </c>
      <c r="F41872">
        <v>4180727</v>
      </c>
      <c r="G41872" t="s">
        <v>8025</v>
      </c>
      <c r="H41872" s="21">
        <v>500</v>
      </c>
    </row>
    <row r="41873" spans="1:8" customFormat="1" x14ac:dyDescent="0.25">
      <c r="A41873" t="str">
        <f>"898690"</f>
        <v>898690</v>
      </c>
      <c r="B41873" t="s">
        <v>13748</v>
      </c>
      <c r="C41873" t="s">
        <v>25068</v>
      </c>
      <c r="D41873" s="21" t="s">
        <v>24820</v>
      </c>
      <c r="E41873" s="21" t="s">
        <v>35</v>
      </c>
      <c r="F41873">
        <v>2890010</v>
      </c>
      <c r="G41873" t="s">
        <v>3790</v>
      </c>
      <c r="H41873" s="21">
        <v>500</v>
      </c>
    </row>
    <row r="41874" spans="1:8" customFormat="1" x14ac:dyDescent="0.25">
      <c r="A41874" t="str">
        <f>"1910126"</f>
        <v>1910126</v>
      </c>
      <c r="B41874" t="s">
        <v>2962</v>
      </c>
      <c r="C41874" t="s">
        <v>24989</v>
      </c>
      <c r="D41874" s="21" t="s">
        <v>24820</v>
      </c>
      <c r="E41874" s="21" t="s">
        <v>35</v>
      </c>
      <c r="F41874">
        <v>10190073</v>
      </c>
      <c r="G41874" t="s">
        <v>2366</v>
      </c>
      <c r="H41874" s="21">
        <v>500</v>
      </c>
    </row>
    <row r="41875" spans="1:8" customFormat="1" x14ac:dyDescent="0.25">
      <c r="A41875" t="str">
        <f>"6210828"</f>
        <v>6210828</v>
      </c>
      <c r="B41875" t="s">
        <v>23877</v>
      </c>
      <c r="C41875" t="s">
        <v>25317</v>
      </c>
      <c r="D41875" s="21" t="s">
        <v>24820</v>
      </c>
      <c r="E41875" s="21" t="s">
        <v>71</v>
      </c>
      <c r="F41875">
        <v>7590231</v>
      </c>
      <c r="G41875" t="s">
        <v>207</v>
      </c>
      <c r="H41875" s="21">
        <v>500</v>
      </c>
    </row>
    <row r="41876" spans="1:8" customFormat="1" x14ac:dyDescent="0.25">
      <c r="A41876" t="str">
        <f>"518113"</f>
        <v>518113</v>
      </c>
      <c r="B41876" t="s">
        <v>4224</v>
      </c>
      <c r="C41876" t="s">
        <v>24931</v>
      </c>
      <c r="D41876" s="21" t="s">
        <v>24820</v>
      </c>
      <c r="E41876" s="21" t="s">
        <v>254</v>
      </c>
      <c r="F41876">
        <v>6510051</v>
      </c>
      <c r="G41876" t="s">
        <v>13878</v>
      </c>
      <c r="H41876" s="21">
        <v>500</v>
      </c>
    </row>
    <row r="41877" spans="1:8" customFormat="1" x14ac:dyDescent="0.25">
      <c r="A41877" t="str">
        <f>"523426"</f>
        <v>523426</v>
      </c>
      <c r="B41877" t="s">
        <v>25767</v>
      </c>
      <c r="C41877" t="s">
        <v>24824</v>
      </c>
      <c r="D41877" s="21" t="s">
        <v>24820</v>
      </c>
      <c r="E41877" s="21" t="s">
        <v>71</v>
      </c>
      <c r="F41877">
        <v>6520003</v>
      </c>
      <c r="G41877" t="s">
        <v>571</v>
      </c>
      <c r="H41877" s="21">
        <v>500</v>
      </c>
    </row>
    <row r="41878" spans="1:8" customFormat="1" x14ac:dyDescent="0.25">
      <c r="A41878" t="str">
        <f>"9252127"</f>
        <v>9252127</v>
      </c>
      <c r="B41878" t="s">
        <v>19517</v>
      </c>
      <c r="C41878" t="s">
        <v>24962</v>
      </c>
      <c r="D41878" s="21" t="s">
        <v>24820</v>
      </c>
      <c r="E41878" s="21" t="s">
        <v>71</v>
      </c>
      <c r="F41878">
        <v>8920151</v>
      </c>
      <c r="G41878" t="s">
        <v>1434</v>
      </c>
      <c r="H41878" s="21">
        <v>500</v>
      </c>
    </row>
    <row r="41879" spans="1:8" customFormat="1" x14ac:dyDescent="0.25">
      <c r="A41879" t="str">
        <f>"6724699"</f>
        <v>6724699</v>
      </c>
      <c r="B41879" t="s">
        <v>25826</v>
      </c>
      <c r="C41879" t="s">
        <v>23734</v>
      </c>
      <c r="D41879" s="21" t="s">
        <v>24820</v>
      </c>
      <c r="E41879" s="21" t="s">
        <v>35</v>
      </c>
      <c r="F41879">
        <v>6670178</v>
      </c>
      <c r="G41879" t="s">
        <v>10001</v>
      </c>
      <c r="H41879" s="21">
        <v>500</v>
      </c>
    </row>
    <row r="41880" spans="1:8" customFormat="1" x14ac:dyDescent="0.25">
      <c r="A41880" t="str">
        <f>"1423427"</f>
        <v>1423427</v>
      </c>
      <c r="B41880" t="s">
        <v>25842</v>
      </c>
      <c r="C41880" t="s">
        <v>24838</v>
      </c>
      <c r="D41880" s="21" t="s">
        <v>24820</v>
      </c>
      <c r="E41880" s="21" t="s">
        <v>35</v>
      </c>
      <c r="F41880">
        <v>9140009</v>
      </c>
      <c r="G41880" t="s">
        <v>3530</v>
      </c>
      <c r="H41880" s="21">
        <v>500</v>
      </c>
    </row>
    <row r="41881" spans="1:8" customFormat="1" x14ac:dyDescent="0.25">
      <c r="A41881" t="str">
        <f>"5020900"</f>
        <v>5020900</v>
      </c>
      <c r="B41881" t="s">
        <v>86</v>
      </c>
      <c r="C41881" t="s">
        <v>24831</v>
      </c>
      <c r="D41881" s="21" t="s">
        <v>24820</v>
      </c>
      <c r="E41881" s="21" t="s">
        <v>35</v>
      </c>
      <c r="F41881">
        <v>9500059</v>
      </c>
      <c r="G41881" t="s">
        <v>26714</v>
      </c>
      <c r="H41881" s="21">
        <v>500</v>
      </c>
    </row>
    <row r="41882" spans="1:8" customFormat="1" x14ac:dyDescent="0.25">
      <c r="A41882" t="str">
        <f>"6233672"</f>
        <v>6233672</v>
      </c>
      <c r="B41882" t="s">
        <v>10776</v>
      </c>
      <c r="C41882" t="s">
        <v>25306</v>
      </c>
      <c r="D41882" s="21" t="s">
        <v>24820</v>
      </c>
      <c r="E41882" s="21" t="s">
        <v>35</v>
      </c>
      <c r="F41882">
        <v>7620061</v>
      </c>
      <c r="G41882" t="s">
        <v>4448</v>
      </c>
      <c r="H41882" s="21">
        <v>500</v>
      </c>
    </row>
    <row r="41883" spans="1:8" customFormat="1" x14ac:dyDescent="0.25">
      <c r="A41883" t="str">
        <f>"589786"</f>
        <v>589786</v>
      </c>
      <c r="B41883" t="s">
        <v>25656</v>
      </c>
      <c r="C41883" t="s">
        <v>24828</v>
      </c>
      <c r="D41883" s="21" t="s">
        <v>24820</v>
      </c>
      <c r="E41883" s="21" t="s">
        <v>35</v>
      </c>
      <c r="F41883">
        <v>2580078</v>
      </c>
      <c r="G41883" t="s">
        <v>4432</v>
      </c>
      <c r="H41883" s="21">
        <v>500</v>
      </c>
    </row>
    <row r="41884" spans="1:8" customFormat="1" x14ac:dyDescent="0.25">
      <c r="A41884" t="str">
        <f>"524908"</f>
        <v>524908</v>
      </c>
      <c r="B41884" t="s">
        <v>30010</v>
      </c>
      <c r="C41884" t="s">
        <v>26097</v>
      </c>
      <c r="D41884" s="21" t="s">
        <v>24820</v>
      </c>
      <c r="E41884" s="21" t="s">
        <v>71</v>
      </c>
      <c r="F41884">
        <v>6520047</v>
      </c>
      <c r="G41884" t="s">
        <v>16108</v>
      </c>
      <c r="H41884" s="21">
        <v>500</v>
      </c>
    </row>
    <row r="41885" spans="1:8" customFormat="1" x14ac:dyDescent="0.25">
      <c r="A41885" t="str">
        <f>"2810677"</f>
        <v>2810677</v>
      </c>
      <c r="B41885" t="s">
        <v>15216</v>
      </c>
      <c r="C41885" t="s">
        <v>24686</v>
      </c>
      <c r="D41885" s="21" t="s">
        <v>24820</v>
      </c>
      <c r="E41885" s="21" t="s">
        <v>71</v>
      </c>
      <c r="F41885">
        <v>4280529</v>
      </c>
      <c r="G41885" t="s">
        <v>2970</v>
      </c>
      <c r="H41885" s="21">
        <v>500</v>
      </c>
    </row>
    <row r="41886" spans="1:8" customFormat="1" x14ac:dyDescent="0.25">
      <c r="A41886" t="str">
        <f>"2933124"</f>
        <v>2933124</v>
      </c>
      <c r="B41886" t="s">
        <v>26078</v>
      </c>
      <c r="C41886" t="s">
        <v>26079</v>
      </c>
      <c r="D41886" s="21" t="s">
        <v>24820</v>
      </c>
      <c r="E41886" s="21" t="s">
        <v>35</v>
      </c>
      <c r="F41886">
        <v>3290215</v>
      </c>
      <c r="G41886" t="s">
        <v>5058</v>
      </c>
      <c r="H41886" s="21">
        <v>500</v>
      </c>
    </row>
    <row r="41887" spans="1:8" customFormat="1" x14ac:dyDescent="0.25">
      <c r="A41887" t="str">
        <f>"5941909"</f>
        <v>5941909</v>
      </c>
      <c r="B41887" t="s">
        <v>2824</v>
      </c>
      <c r="C41887" t="s">
        <v>25613</v>
      </c>
      <c r="D41887" s="21" t="s">
        <v>24820</v>
      </c>
      <c r="E41887" s="21" t="s">
        <v>71</v>
      </c>
      <c r="F41887">
        <v>7590100</v>
      </c>
      <c r="G41887" t="s">
        <v>1660</v>
      </c>
      <c r="H41887" s="21">
        <v>500</v>
      </c>
    </row>
    <row r="41888" spans="1:8" customFormat="1" x14ac:dyDescent="0.25">
      <c r="A41888" t="str">
        <f>"5943362"</f>
        <v>5943362</v>
      </c>
      <c r="B41888" t="s">
        <v>26062</v>
      </c>
      <c r="C41888" t="s">
        <v>24828</v>
      </c>
      <c r="D41888" s="21" t="s">
        <v>24820</v>
      </c>
      <c r="E41888" s="21" t="s">
        <v>35</v>
      </c>
      <c r="F41888">
        <v>7590313</v>
      </c>
      <c r="G41888" t="s">
        <v>5529</v>
      </c>
      <c r="H41888" s="21">
        <v>500</v>
      </c>
    </row>
    <row r="41889" spans="1:8" customFormat="1" x14ac:dyDescent="0.25">
      <c r="A41889" t="str">
        <f>"9525987"</f>
        <v>9525987</v>
      </c>
      <c r="B41889" t="s">
        <v>13579</v>
      </c>
      <c r="C41889" t="s">
        <v>24904</v>
      </c>
      <c r="D41889" s="21" t="s">
        <v>24820</v>
      </c>
      <c r="E41889" s="21" t="s">
        <v>71</v>
      </c>
      <c r="F41889">
        <v>8951331</v>
      </c>
      <c r="G41889" t="s">
        <v>1134</v>
      </c>
      <c r="H41889" s="21">
        <v>500</v>
      </c>
    </row>
    <row r="41890" spans="1:8" customFormat="1" x14ac:dyDescent="0.25">
      <c r="A41890" t="str">
        <f>"3011389"</f>
        <v>3011389</v>
      </c>
      <c r="B41890" t="s">
        <v>3631</v>
      </c>
      <c r="C41890" t="s">
        <v>24978</v>
      </c>
      <c r="D41890" s="21" t="s">
        <v>24820</v>
      </c>
      <c r="E41890" s="21" t="s">
        <v>254</v>
      </c>
      <c r="F41890">
        <v>11300050</v>
      </c>
      <c r="G41890" t="s">
        <v>15053</v>
      </c>
      <c r="H41890" s="21">
        <v>500</v>
      </c>
    </row>
    <row r="41891" spans="1:8" customFormat="1" x14ac:dyDescent="0.25">
      <c r="A41891" t="str">
        <f>"8017293"</f>
        <v>8017293</v>
      </c>
      <c r="B41891" t="s">
        <v>25660</v>
      </c>
      <c r="C41891" t="s">
        <v>24889</v>
      </c>
      <c r="D41891" s="21" t="s">
        <v>24820</v>
      </c>
      <c r="E41891" s="21" t="s">
        <v>71</v>
      </c>
      <c r="F41891">
        <v>7800074</v>
      </c>
      <c r="G41891" t="s">
        <v>7104</v>
      </c>
      <c r="H41891" s="21">
        <v>500</v>
      </c>
    </row>
    <row r="41892" spans="1:8" customFormat="1" x14ac:dyDescent="0.25">
      <c r="A41892" t="str">
        <f>"9413236"</f>
        <v>9413236</v>
      </c>
      <c r="B41892" t="s">
        <v>26058</v>
      </c>
      <c r="C41892" t="s">
        <v>24939</v>
      </c>
      <c r="D41892" s="21" t="s">
        <v>24820</v>
      </c>
      <c r="E41892" s="21" t="s">
        <v>254</v>
      </c>
      <c r="F41892">
        <v>8940975</v>
      </c>
      <c r="G41892" t="s">
        <v>7959</v>
      </c>
      <c r="H41892" s="21">
        <v>500</v>
      </c>
    </row>
    <row r="41893" spans="1:8" customFormat="1" x14ac:dyDescent="0.25">
      <c r="A41893" t="str">
        <f>"9459885"</f>
        <v>9459885</v>
      </c>
      <c r="B41893" t="s">
        <v>30011</v>
      </c>
      <c r="C41893" t="s">
        <v>25044</v>
      </c>
      <c r="D41893" s="21" t="s">
        <v>24820</v>
      </c>
      <c r="E41893" s="21" t="s">
        <v>254</v>
      </c>
      <c r="F41893">
        <v>8940459</v>
      </c>
      <c r="G41893" t="s">
        <v>743</v>
      </c>
      <c r="H41893" s="21">
        <v>500</v>
      </c>
    </row>
    <row r="41894" spans="1:8" customFormat="1" x14ac:dyDescent="0.25">
      <c r="A41894" t="str">
        <f>"3011390"</f>
        <v>3011390</v>
      </c>
      <c r="B41894" t="s">
        <v>22773</v>
      </c>
      <c r="C41894" t="s">
        <v>25260</v>
      </c>
      <c r="D41894" s="21" t="s">
        <v>24820</v>
      </c>
      <c r="E41894" s="21" t="s">
        <v>71</v>
      </c>
      <c r="F41894">
        <v>11300050</v>
      </c>
      <c r="G41894" t="s">
        <v>15053</v>
      </c>
      <c r="H41894" s="21">
        <v>500</v>
      </c>
    </row>
    <row r="41895" spans="1:8" customFormat="1" x14ac:dyDescent="0.25">
      <c r="A41895" t="str">
        <f>"2933595"</f>
        <v>2933595</v>
      </c>
      <c r="B41895" t="s">
        <v>6107</v>
      </c>
      <c r="C41895" t="s">
        <v>25925</v>
      </c>
      <c r="D41895" s="21" t="s">
        <v>24820</v>
      </c>
      <c r="E41895" s="21" t="s">
        <v>71</v>
      </c>
      <c r="F41895">
        <v>3290027</v>
      </c>
      <c r="G41895" t="s">
        <v>6108</v>
      </c>
      <c r="H41895" s="21">
        <v>500</v>
      </c>
    </row>
    <row r="41896" spans="1:8" customFormat="1" x14ac:dyDescent="0.25">
      <c r="A41896" t="str">
        <f>"7112399"</f>
        <v>7112399</v>
      </c>
      <c r="B41896" t="s">
        <v>20562</v>
      </c>
      <c r="C41896" t="s">
        <v>24962</v>
      </c>
      <c r="D41896" s="21" t="s">
        <v>24820</v>
      </c>
      <c r="E41896" s="21" t="s">
        <v>71</v>
      </c>
      <c r="F41896">
        <v>2710067</v>
      </c>
      <c r="G41896" t="s">
        <v>284</v>
      </c>
      <c r="H41896" s="21">
        <v>500</v>
      </c>
    </row>
    <row r="41897" spans="1:8" customFormat="1" x14ac:dyDescent="0.25">
      <c r="A41897" t="str">
        <f>"5923552"</f>
        <v>5923552</v>
      </c>
      <c r="B41897" t="s">
        <v>22370</v>
      </c>
      <c r="C41897" t="s">
        <v>25386</v>
      </c>
      <c r="D41897" s="21" t="s">
        <v>24820</v>
      </c>
      <c r="E41897" s="21" t="s">
        <v>254</v>
      </c>
      <c r="F41897">
        <v>7590392</v>
      </c>
      <c r="G41897" t="s">
        <v>154</v>
      </c>
      <c r="H41897" s="21">
        <v>500</v>
      </c>
    </row>
    <row r="41898" spans="1:8" customFormat="1" x14ac:dyDescent="0.25">
      <c r="A41898" t="str">
        <f>"853573"</f>
        <v>853573</v>
      </c>
      <c r="B41898" t="s">
        <v>6696</v>
      </c>
      <c r="C41898" t="s">
        <v>25104</v>
      </c>
      <c r="D41898" s="21" t="s">
        <v>24820</v>
      </c>
      <c r="E41898" s="21" t="s">
        <v>71</v>
      </c>
      <c r="F41898">
        <v>12850031</v>
      </c>
      <c r="G41898" t="s">
        <v>3180</v>
      </c>
      <c r="H41898" s="21">
        <v>500</v>
      </c>
    </row>
    <row r="41899" spans="1:8" customFormat="1" x14ac:dyDescent="0.25">
      <c r="A41899" t="str">
        <f>"589598"</f>
        <v>589598</v>
      </c>
      <c r="B41899" t="s">
        <v>21760</v>
      </c>
      <c r="C41899" t="s">
        <v>25068</v>
      </c>
      <c r="D41899" s="21" t="s">
        <v>24820</v>
      </c>
      <c r="E41899" s="21" t="s">
        <v>35</v>
      </c>
      <c r="F41899">
        <v>2580093</v>
      </c>
      <c r="G41899" t="s">
        <v>9104</v>
      </c>
      <c r="H41899" s="21">
        <v>500</v>
      </c>
    </row>
    <row r="41900" spans="1:8" customFormat="1" x14ac:dyDescent="0.25">
      <c r="A41900" t="str">
        <f>"0812339"</f>
        <v>0812339</v>
      </c>
      <c r="B41900" t="s">
        <v>11199</v>
      </c>
      <c r="C41900" t="s">
        <v>24968</v>
      </c>
      <c r="D41900" s="21" t="s">
        <v>24820</v>
      </c>
      <c r="E41900" s="21" t="s">
        <v>35</v>
      </c>
      <c r="F41900">
        <v>6080043</v>
      </c>
      <c r="G41900" t="s">
        <v>961</v>
      </c>
      <c r="H41900" s="21">
        <v>500</v>
      </c>
    </row>
    <row r="41901" spans="1:8" customFormat="1" x14ac:dyDescent="0.25">
      <c r="A41901" t="str">
        <f>"013961"</f>
        <v>013961</v>
      </c>
      <c r="B41901" t="s">
        <v>837</v>
      </c>
      <c r="C41901" t="s">
        <v>24890</v>
      </c>
      <c r="D41901" s="21" t="s">
        <v>24820</v>
      </c>
      <c r="E41901" s="21" t="s">
        <v>254</v>
      </c>
      <c r="F41901">
        <v>1010009</v>
      </c>
      <c r="G41901" t="s">
        <v>1385</v>
      </c>
      <c r="H41901" s="21">
        <v>500</v>
      </c>
    </row>
    <row r="41902" spans="1:8" customFormat="1" x14ac:dyDescent="0.25">
      <c r="A41902" t="str">
        <f>"5982674"</f>
        <v>5982674</v>
      </c>
      <c r="B41902" t="s">
        <v>4593</v>
      </c>
      <c r="C41902" t="s">
        <v>24897</v>
      </c>
      <c r="D41902" s="21" t="s">
        <v>24820</v>
      </c>
      <c r="E41902" s="21" t="s">
        <v>35</v>
      </c>
      <c r="F41902">
        <v>7590281</v>
      </c>
      <c r="G41902" t="s">
        <v>7165</v>
      </c>
      <c r="H41902" s="21">
        <v>500</v>
      </c>
    </row>
    <row r="41903" spans="1:8" customFormat="1" x14ac:dyDescent="0.25">
      <c r="A41903" t="str">
        <f>"037768"</f>
        <v>037768</v>
      </c>
      <c r="B41903" t="s">
        <v>23061</v>
      </c>
      <c r="C41903" t="s">
        <v>25160</v>
      </c>
      <c r="D41903" s="21" t="s">
        <v>24820</v>
      </c>
      <c r="E41903" s="21" t="s">
        <v>35</v>
      </c>
      <c r="F41903">
        <v>1030042</v>
      </c>
      <c r="G41903" t="s">
        <v>7798</v>
      </c>
      <c r="H41903" s="21">
        <v>500</v>
      </c>
    </row>
    <row r="41904" spans="1:8" customFormat="1" x14ac:dyDescent="0.25">
      <c r="A41904" t="str">
        <f>"912110"</f>
        <v>912110</v>
      </c>
      <c r="B41904" t="s">
        <v>1312</v>
      </c>
      <c r="C41904" t="s">
        <v>24898</v>
      </c>
      <c r="D41904" s="21" t="s">
        <v>24820</v>
      </c>
      <c r="E41904" s="21" t="s">
        <v>71</v>
      </c>
      <c r="F41904">
        <v>8910667</v>
      </c>
      <c r="G41904" t="s">
        <v>2361</v>
      </c>
      <c r="H41904" s="21">
        <v>500</v>
      </c>
    </row>
    <row r="41905" spans="1:8" customFormat="1" x14ac:dyDescent="0.25">
      <c r="A41905" t="str">
        <f>"848649"</f>
        <v>848649</v>
      </c>
      <c r="B41905" t="s">
        <v>14287</v>
      </c>
      <c r="C41905" t="s">
        <v>25274</v>
      </c>
      <c r="D41905" s="21" t="s">
        <v>24820</v>
      </c>
      <c r="E41905" s="21" t="s">
        <v>254</v>
      </c>
      <c r="F41905">
        <v>13840037</v>
      </c>
      <c r="G41905" t="s">
        <v>2019</v>
      </c>
      <c r="H41905" s="21">
        <v>500</v>
      </c>
    </row>
    <row r="41906" spans="1:8" customFormat="1" x14ac:dyDescent="0.25">
      <c r="A41906" t="str">
        <f>"5977780"</f>
        <v>5977780</v>
      </c>
      <c r="B41906" t="s">
        <v>30012</v>
      </c>
      <c r="C41906" t="s">
        <v>22831</v>
      </c>
      <c r="D41906" s="21" t="s">
        <v>24820</v>
      </c>
      <c r="E41906" s="21" t="s">
        <v>35</v>
      </c>
      <c r="F41906">
        <v>7590281</v>
      </c>
      <c r="G41906" t="s">
        <v>7165</v>
      </c>
      <c r="H41906" s="21">
        <v>500</v>
      </c>
    </row>
    <row r="41907" spans="1:8" customFormat="1" x14ac:dyDescent="0.25">
      <c r="A41907" t="str">
        <f>"287993"</f>
        <v>287993</v>
      </c>
      <c r="B41907" t="s">
        <v>264</v>
      </c>
      <c r="C41907" t="s">
        <v>24867</v>
      </c>
      <c r="D41907" s="21" t="s">
        <v>24820</v>
      </c>
      <c r="E41907" s="21" t="s">
        <v>35</v>
      </c>
      <c r="F41907">
        <v>4280322</v>
      </c>
      <c r="G41907" t="s">
        <v>265</v>
      </c>
      <c r="H41907" s="21">
        <v>500</v>
      </c>
    </row>
    <row r="41908" spans="1:8" customFormat="1" x14ac:dyDescent="0.25">
      <c r="A41908" t="str">
        <f>"608042"</f>
        <v>608042</v>
      </c>
      <c r="B41908" t="s">
        <v>299</v>
      </c>
      <c r="C41908" t="s">
        <v>24932</v>
      </c>
      <c r="D41908" s="21" t="s">
        <v>24820</v>
      </c>
      <c r="E41908" s="21" t="s">
        <v>71</v>
      </c>
      <c r="F41908">
        <v>7600044</v>
      </c>
      <c r="G41908" t="s">
        <v>3411</v>
      </c>
      <c r="H41908" s="21">
        <v>500</v>
      </c>
    </row>
    <row r="41909" spans="1:8" customFormat="1" x14ac:dyDescent="0.25">
      <c r="A41909" t="str">
        <f>"7732040"</f>
        <v>7732040</v>
      </c>
      <c r="B41909" t="s">
        <v>8297</v>
      </c>
      <c r="C41909" t="s">
        <v>24962</v>
      </c>
      <c r="D41909" s="21" t="s">
        <v>24820</v>
      </c>
      <c r="E41909" s="21" t="s">
        <v>35</v>
      </c>
      <c r="F41909">
        <v>8771236</v>
      </c>
      <c r="G41909" t="s">
        <v>386</v>
      </c>
      <c r="H41909" s="21">
        <v>500</v>
      </c>
    </row>
    <row r="41910" spans="1:8" customFormat="1" x14ac:dyDescent="0.25">
      <c r="A41910" t="str">
        <f>"814123"</f>
        <v>814123</v>
      </c>
      <c r="B41910" t="s">
        <v>5238</v>
      </c>
      <c r="C41910" t="s">
        <v>24828</v>
      </c>
      <c r="D41910" s="21" t="s">
        <v>24820</v>
      </c>
      <c r="E41910" s="21" t="s">
        <v>35</v>
      </c>
      <c r="F41910">
        <v>11810013</v>
      </c>
      <c r="G41910" t="s">
        <v>8833</v>
      </c>
      <c r="H41910" s="21">
        <v>500</v>
      </c>
    </row>
    <row r="41911" spans="1:8" customFormat="1" x14ac:dyDescent="0.25">
      <c r="A41911" t="str">
        <f>"3116510"</f>
        <v>3116510</v>
      </c>
      <c r="B41911" t="s">
        <v>25896</v>
      </c>
      <c r="C41911" t="s">
        <v>22831</v>
      </c>
      <c r="D41911" s="21" t="s">
        <v>24820</v>
      </c>
      <c r="E41911" s="21" t="s">
        <v>35</v>
      </c>
      <c r="F41911">
        <v>11310047</v>
      </c>
      <c r="G41911" t="s">
        <v>2188</v>
      </c>
      <c r="H41911" s="21">
        <v>500</v>
      </c>
    </row>
    <row r="41912" spans="1:8" customFormat="1" x14ac:dyDescent="0.25">
      <c r="A41912" t="str">
        <f>"7414889"</f>
        <v>7414889</v>
      </c>
      <c r="B41912" t="s">
        <v>623</v>
      </c>
      <c r="C41912" t="s">
        <v>23734</v>
      </c>
      <c r="D41912" s="21" t="s">
        <v>24820</v>
      </c>
      <c r="E41912" s="21" t="s">
        <v>71</v>
      </c>
      <c r="F41912">
        <v>1740020</v>
      </c>
      <c r="G41912" t="s">
        <v>881</v>
      </c>
      <c r="H41912" s="21">
        <v>500</v>
      </c>
    </row>
    <row r="41913" spans="1:8" customFormat="1" x14ac:dyDescent="0.25">
      <c r="A41913" t="str">
        <f>"867441"</f>
        <v>867441</v>
      </c>
      <c r="B41913" t="s">
        <v>1833</v>
      </c>
      <c r="C41913" t="s">
        <v>24943</v>
      </c>
      <c r="D41913" s="21" t="s">
        <v>24820</v>
      </c>
      <c r="E41913" s="21" t="s">
        <v>71</v>
      </c>
      <c r="F41913">
        <v>10860229</v>
      </c>
      <c r="G41913" t="s">
        <v>9680</v>
      </c>
      <c r="H41913" s="21">
        <v>500</v>
      </c>
    </row>
    <row r="41914" spans="1:8" customFormat="1" x14ac:dyDescent="0.25">
      <c r="A41914" t="str">
        <f>"1311629"</f>
        <v>1311629</v>
      </c>
      <c r="B41914" t="s">
        <v>25959</v>
      </c>
      <c r="C41914" t="s">
        <v>22831</v>
      </c>
      <c r="D41914" s="21" t="s">
        <v>24820</v>
      </c>
      <c r="E41914" s="21" t="s">
        <v>71</v>
      </c>
      <c r="F41914">
        <v>13130067</v>
      </c>
      <c r="G41914" t="s">
        <v>1420</v>
      </c>
      <c r="H41914" s="21">
        <v>500</v>
      </c>
    </row>
    <row r="41915" spans="1:8" customFormat="1" x14ac:dyDescent="0.25">
      <c r="A41915" t="str">
        <f>"719302"</f>
        <v>719302</v>
      </c>
      <c r="B41915" t="s">
        <v>10204</v>
      </c>
      <c r="C41915" t="s">
        <v>24929</v>
      </c>
      <c r="D41915" s="21" t="s">
        <v>24820</v>
      </c>
      <c r="E41915" s="21" t="s">
        <v>71</v>
      </c>
      <c r="F41915">
        <v>2710042</v>
      </c>
      <c r="G41915" t="s">
        <v>1997</v>
      </c>
      <c r="H41915" s="21">
        <v>500</v>
      </c>
    </row>
    <row r="41916" spans="1:8" customFormat="1" x14ac:dyDescent="0.25">
      <c r="A41916" t="str">
        <f>"6313473"</f>
        <v>6313473</v>
      </c>
      <c r="B41916" t="s">
        <v>10674</v>
      </c>
      <c r="C41916" t="s">
        <v>25371</v>
      </c>
      <c r="D41916" s="21" t="s">
        <v>24820</v>
      </c>
      <c r="E41916" s="21" t="s">
        <v>35</v>
      </c>
      <c r="F41916">
        <v>1630325</v>
      </c>
      <c r="G41916" t="s">
        <v>10751</v>
      </c>
      <c r="H41916" s="21">
        <v>500</v>
      </c>
    </row>
    <row r="41917" spans="1:8" customFormat="1" x14ac:dyDescent="0.25">
      <c r="A41917" t="str">
        <f>"5621956"</f>
        <v>5621956</v>
      </c>
      <c r="B41917" t="s">
        <v>22916</v>
      </c>
      <c r="C41917" t="s">
        <v>24873</v>
      </c>
      <c r="D41917" s="21" t="s">
        <v>24820</v>
      </c>
      <c r="E41917" s="21" t="s">
        <v>35</v>
      </c>
      <c r="F41917">
        <v>3560017</v>
      </c>
      <c r="G41917" t="s">
        <v>5745</v>
      </c>
      <c r="H41917" s="21">
        <v>500</v>
      </c>
    </row>
    <row r="41918" spans="1:8" customFormat="1" x14ac:dyDescent="0.25">
      <c r="A41918" t="str">
        <f>"6940317"</f>
        <v>6940317</v>
      </c>
      <c r="B41918" t="s">
        <v>25789</v>
      </c>
      <c r="C41918" t="s">
        <v>24897</v>
      </c>
      <c r="D41918" s="21" t="s">
        <v>24820</v>
      </c>
      <c r="E41918" s="21" t="s">
        <v>254</v>
      </c>
      <c r="F41918">
        <v>1690062</v>
      </c>
      <c r="G41918" t="s">
        <v>5907</v>
      </c>
      <c r="H41918" s="21">
        <v>500</v>
      </c>
    </row>
    <row r="41919" spans="1:8" customFormat="1" x14ac:dyDescent="0.25">
      <c r="A41919" t="str">
        <f>"6720019"</f>
        <v>6720019</v>
      </c>
      <c r="B41919" t="s">
        <v>3331</v>
      </c>
      <c r="C41919" t="s">
        <v>30013</v>
      </c>
      <c r="D41919" s="21" t="s">
        <v>24820</v>
      </c>
      <c r="E41919" s="21" t="s">
        <v>71</v>
      </c>
      <c r="F41919">
        <v>6670272</v>
      </c>
      <c r="G41919" t="s">
        <v>26568</v>
      </c>
      <c r="H41919" s="21">
        <v>500</v>
      </c>
    </row>
    <row r="41920" spans="1:8" customFormat="1" x14ac:dyDescent="0.25">
      <c r="A41920" t="str">
        <f>"7643282"</f>
        <v>7643282</v>
      </c>
      <c r="B41920" t="s">
        <v>11648</v>
      </c>
      <c r="C41920" t="s">
        <v>24833</v>
      </c>
      <c r="D41920" s="21" t="s">
        <v>24820</v>
      </c>
      <c r="E41920" s="21" t="s">
        <v>35</v>
      </c>
      <c r="F41920">
        <v>9760239</v>
      </c>
      <c r="G41920" t="s">
        <v>9147</v>
      </c>
      <c r="H41920" s="21">
        <v>500</v>
      </c>
    </row>
    <row r="41921" spans="1:8" customFormat="1" x14ac:dyDescent="0.25">
      <c r="A41921" t="str">
        <f>"9E817"</f>
        <v>9E817</v>
      </c>
      <c r="B41921" t="s">
        <v>7035</v>
      </c>
      <c r="C41921" t="s">
        <v>30014</v>
      </c>
      <c r="D41921" s="21" t="s">
        <v>24820</v>
      </c>
      <c r="E41921" s="21" t="s">
        <v>254</v>
      </c>
      <c r="F41921" s="24" t="s">
        <v>13124</v>
      </c>
      <c r="G41921" t="s">
        <v>13125</v>
      </c>
      <c r="H41921" s="21">
        <v>500</v>
      </c>
    </row>
    <row r="41922" spans="1:8" customFormat="1" x14ac:dyDescent="0.25">
      <c r="A41922" t="str">
        <f>"9458748"</f>
        <v>9458748</v>
      </c>
      <c r="B41922" t="s">
        <v>1495</v>
      </c>
      <c r="C41922" t="s">
        <v>22831</v>
      </c>
      <c r="D41922" s="21" t="s">
        <v>24820</v>
      </c>
      <c r="E41922" s="21" t="s">
        <v>71</v>
      </c>
      <c r="F41922">
        <v>8940459</v>
      </c>
      <c r="G41922" t="s">
        <v>743</v>
      </c>
      <c r="H41922" s="21">
        <v>500</v>
      </c>
    </row>
    <row r="41923" spans="1:8" customFormat="1" x14ac:dyDescent="0.25">
      <c r="A41923" t="str">
        <f>"551338"</f>
        <v>551338</v>
      </c>
      <c r="B41923" t="s">
        <v>6089</v>
      </c>
      <c r="C41923" t="s">
        <v>24897</v>
      </c>
      <c r="D41923" s="21" t="s">
        <v>24820</v>
      </c>
      <c r="E41923" s="21" t="s">
        <v>71</v>
      </c>
      <c r="F41923">
        <v>6550020</v>
      </c>
      <c r="G41923" t="s">
        <v>7526</v>
      </c>
      <c r="H41923" s="21">
        <v>500</v>
      </c>
    </row>
    <row r="41924" spans="1:8" customFormat="1" x14ac:dyDescent="0.25">
      <c r="A41924" t="str">
        <f>"1449"</f>
        <v>1449</v>
      </c>
      <c r="B41924" t="s">
        <v>25924</v>
      </c>
      <c r="C41924" t="s">
        <v>24947</v>
      </c>
      <c r="D41924" s="21" t="s">
        <v>24820</v>
      </c>
      <c r="E41924" s="21" t="s">
        <v>71</v>
      </c>
      <c r="F41924">
        <v>9140072</v>
      </c>
      <c r="G41924" t="s">
        <v>4810</v>
      </c>
      <c r="H41924" s="21">
        <v>500</v>
      </c>
    </row>
    <row r="41925" spans="1:8" customFormat="1" x14ac:dyDescent="0.25">
      <c r="A41925" t="str">
        <f>"3119836"</f>
        <v>3119836</v>
      </c>
      <c r="B41925" t="s">
        <v>30015</v>
      </c>
      <c r="C41925" t="s">
        <v>25275</v>
      </c>
      <c r="D41925" s="21" t="s">
        <v>24820</v>
      </c>
      <c r="E41925" s="21" t="s">
        <v>254</v>
      </c>
      <c r="F41925">
        <v>11310008</v>
      </c>
      <c r="G41925" t="s">
        <v>4269</v>
      </c>
      <c r="H41925" s="21">
        <v>500</v>
      </c>
    </row>
    <row r="41926" spans="1:8" customFormat="1" x14ac:dyDescent="0.25">
      <c r="A41926" t="str">
        <f>"5110651"</f>
        <v>5110651</v>
      </c>
      <c r="B41926" t="s">
        <v>8046</v>
      </c>
      <c r="C41926" t="s">
        <v>24833</v>
      </c>
      <c r="D41926" s="21" t="s">
        <v>24820</v>
      </c>
      <c r="E41926" s="21" t="s">
        <v>35</v>
      </c>
      <c r="F41926">
        <v>6510067</v>
      </c>
      <c r="G41926" t="s">
        <v>19343</v>
      </c>
      <c r="H41926" s="21">
        <v>500</v>
      </c>
    </row>
    <row r="41927" spans="1:8" customFormat="1" x14ac:dyDescent="0.25">
      <c r="A41927" t="str">
        <f>"5723829"</f>
        <v>5723829</v>
      </c>
      <c r="B41927" t="s">
        <v>25790</v>
      </c>
      <c r="C41927" t="s">
        <v>23734</v>
      </c>
      <c r="D41927" s="21" t="s">
        <v>24820</v>
      </c>
      <c r="E41927" s="21" t="s">
        <v>35</v>
      </c>
      <c r="F41927">
        <v>6570070</v>
      </c>
      <c r="G41927" t="s">
        <v>1765</v>
      </c>
      <c r="H41927" s="21">
        <v>500</v>
      </c>
    </row>
    <row r="41928" spans="1:8" customFormat="1" x14ac:dyDescent="0.25">
      <c r="A41928" t="str">
        <f>"6015512"</f>
        <v>6015512</v>
      </c>
      <c r="B41928" t="s">
        <v>7530</v>
      </c>
      <c r="C41928" t="s">
        <v>24900</v>
      </c>
      <c r="D41928" s="21" t="s">
        <v>24820</v>
      </c>
      <c r="E41928" s="21" t="s">
        <v>254</v>
      </c>
      <c r="F41928">
        <v>7600157</v>
      </c>
      <c r="G41928" t="s">
        <v>12263</v>
      </c>
      <c r="H41928" s="21">
        <v>500</v>
      </c>
    </row>
    <row r="41929" spans="1:8" customFormat="1" x14ac:dyDescent="0.25">
      <c r="A41929" t="str">
        <f>"6212963"</f>
        <v>6212963</v>
      </c>
      <c r="B41929" t="s">
        <v>932</v>
      </c>
      <c r="C41929" t="s">
        <v>24897</v>
      </c>
      <c r="D41929" s="21" t="s">
        <v>24820</v>
      </c>
      <c r="E41929" s="21" t="s">
        <v>35</v>
      </c>
      <c r="F41929">
        <v>7620090</v>
      </c>
      <c r="G41929" t="s">
        <v>15041</v>
      </c>
      <c r="H41929" s="21">
        <v>500</v>
      </c>
    </row>
    <row r="41930" spans="1:8" customFormat="1" x14ac:dyDescent="0.25">
      <c r="A41930" t="str">
        <f>"4710742"</f>
        <v>4710742</v>
      </c>
      <c r="B41930" t="s">
        <v>4063</v>
      </c>
      <c r="C41930" t="s">
        <v>24867</v>
      </c>
      <c r="D41930" s="21" t="s">
        <v>24820</v>
      </c>
      <c r="E41930" s="21" t="s">
        <v>35</v>
      </c>
      <c r="F41930">
        <v>10470014</v>
      </c>
      <c r="G41930" t="s">
        <v>22811</v>
      </c>
      <c r="H41930" s="21">
        <v>500</v>
      </c>
    </row>
    <row r="41931" spans="1:8" customFormat="1" x14ac:dyDescent="0.25">
      <c r="A41931" t="str">
        <f>"6717437"</f>
        <v>6717437</v>
      </c>
      <c r="B41931" t="s">
        <v>25722</v>
      </c>
      <c r="C41931" t="s">
        <v>24924</v>
      </c>
      <c r="D41931" s="21" t="s">
        <v>24820</v>
      </c>
      <c r="E41931" s="21" t="s">
        <v>71</v>
      </c>
      <c r="F41931">
        <v>6670122</v>
      </c>
      <c r="G41931" t="s">
        <v>3126</v>
      </c>
      <c r="H41931" s="21">
        <v>500</v>
      </c>
    </row>
    <row r="41932" spans="1:8" customFormat="1" x14ac:dyDescent="0.25">
      <c r="A41932" t="str">
        <f>"7714805"</f>
        <v>7714805</v>
      </c>
      <c r="B41932" t="s">
        <v>26061</v>
      </c>
      <c r="C41932" t="s">
        <v>25118</v>
      </c>
      <c r="D41932" s="21" t="s">
        <v>24820</v>
      </c>
      <c r="E41932" s="21" t="s">
        <v>1089</v>
      </c>
      <c r="F41932">
        <v>8771448</v>
      </c>
      <c r="G41932" t="s">
        <v>11540</v>
      </c>
      <c r="H41932" s="21">
        <v>500</v>
      </c>
    </row>
    <row r="41933" spans="1:8" customFormat="1" x14ac:dyDescent="0.25">
      <c r="A41933" t="str">
        <f>"3720784"</f>
        <v>3720784</v>
      </c>
      <c r="B41933" t="s">
        <v>30016</v>
      </c>
      <c r="C41933" t="s">
        <v>24958</v>
      </c>
      <c r="D41933" s="21" t="s">
        <v>24820</v>
      </c>
      <c r="E41933" s="21" t="s">
        <v>71</v>
      </c>
      <c r="F41933">
        <v>4370464</v>
      </c>
      <c r="G41933" t="s">
        <v>5348</v>
      </c>
      <c r="H41933" s="21">
        <v>500</v>
      </c>
    </row>
    <row r="41934" spans="1:8" customFormat="1" x14ac:dyDescent="0.25">
      <c r="A41934" t="str">
        <f>"739258"</f>
        <v>739258</v>
      </c>
      <c r="B41934" t="s">
        <v>5252</v>
      </c>
      <c r="C41934" t="s">
        <v>24978</v>
      </c>
      <c r="D41934" s="21" t="s">
        <v>24820</v>
      </c>
      <c r="E41934" s="21" t="s">
        <v>254</v>
      </c>
      <c r="F41934">
        <v>1730068</v>
      </c>
      <c r="G41934" t="s">
        <v>3375</v>
      </c>
      <c r="H41934" s="21">
        <v>500</v>
      </c>
    </row>
    <row r="41935" spans="1:8" customFormat="1" x14ac:dyDescent="0.25">
      <c r="A41935" t="str">
        <f>"3815617"</f>
        <v>3815617</v>
      </c>
      <c r="B41935" t="s">
        <v>25393</v>
      </c>
      <c r="C41935" t="s">
        <v>25172</v>
      </c>
      <c r="D41935" s="21" t="s">
        <v>24820</v>
      </c>
      <c r="E41935" s="21" t="s">
        <v>71</v>
      </c>
      <c r="F41935">
        <v>1380199</v>
      </c>
      <c r="G41935" t="s">
        <v>321</v>
      </c>
      <c r="H41935" s="21">
        <v>500</v>
      </c>
    </row>
    <row r="41936" spans="1:8" customFormat="1" x14ac:dyDescent="0.25">
      <c r="A41936" t="str">
        <f>"5314767"</f>
        <v>5314767</v>
      </c>
      <c r="B41936" t="s">
        <v>7653</v>
      </c>
      <c r="C41936" t="s">
        <v>22831</v>
      </c>
      <c r="D41936" s="21" t="s">
        <v>24820</v>
      </c>
      <c r="E41936" s="21" t="s">
        <v>71</v>
      </c>
      <c r="F41936">
        <v>12530114</v>
      </c>
      <c r="G41936" t="s">
        <v>1342</v>
      </c>
      <c r="H41936" s="21">
        <v>500</v>
      </c>
    </row>
    <row r="41937" spans="1:8" customFormat="1" x14ac:dyDescent="0.25">
      <c r="A41937" t="str">
        <f>"0113668"</f>
        <v>0113668</v>
      </c>
      <c r="B41937" t="s">
        <v>25969</v>
      </c>
      <c r="C41937" t="s">
        <v>24857</v>
      </c>
      <c r="D41937" s="21" t="s">
        <v>24820</v>
      </c>
      <c r="E41937" s="21" t="s">
        <v>35</v>
      </c>
      <c r="F41937">
        <v>1010017</v>
      </c>
      <c r="G41937" t="s">
        <v>6502</v>
      </c>
      <c r="H41937" s="21">
        <v>500</v>
      </c>
    </row>
    <row r="41938" spans="1:8" customFormat="1" x14ac:dyDescent="0.25">
      <c r="A41938" t="str">
        <f>"9243589"</f>
        <v>9243589</v>
      </c>
      <c r="B41938" t="s">
        <v>25958</v>
      </c>
      <c r="C41938" t="s">
        <v>24968</v>
      </c>
      <c r="D41938" s="21" t="s">
        <v>24820</v>
      </c>
      <c r="E41938" s="21" t="s">
        <v>35</v>
      </c>
      <c r="F41938">
        <v>8921458</v>
      </c>
      <c r="G41938" t="s">
        <v>162</v>
      </c>
      <c r="H41938" s="21">
        <v>499.75</v>
      </c>
    </row>
    <row r="41939" spans="1:8" customFormat="1" x14ac:dyDescent="0.25">
      <c r="A41939" t="str">
        <f>"9116655"</f>
        <v>9116655</v>
      </c>
      <c r="B41939" t="s">
        <v>26099</v>
      </c>
      <c r="C41939" t="s">
        <v>23734</v>
      </c>
      <c r="D41939" s="21" t="s">
        <v>24820</v>
      </c>
      <c r="E41939" s="21" t="s">
        <v>71</v>
      </c>
      <c r="F41939">
        <v>8910366</v>
      </c>
      <c r="G41939" t="s">
        <v>14371</v>
      </c>
      <c r="H41939" s="21">
        <v>499.62</v>
      </c>
    </row>
    <row r="41940" spans="1:8" customFormat="1" x14ac:dyDescent="0.25">
      <c r="A41940" t="str">
        <f>"9216711"</f>
        <v>9216711</v>
      </c>
      <c r="B41940" t="s">
        <v>4081</v>
      </c>
      <c r="C41940" t="s">
        <v>24968</v>
      </c>
      <c r="D41940" s="21" t="s">
        <v>24820</v>
      </c>
      <c r="E41940" s="21" t="s">
        <v>71</v>
      </c>
      <c r="F41940">
        <v>8911206</v>
      </c>
      <c r="G41940" t="s">
        <v>17661</v>
      </c>
      <c r="H41940" s="21">
        <v>499.5</v>
      </c>
    </row>
    <row r="41941" spans="1:8" customFormat="1" x14ac:dyDescent="0.25">
      <c r="A41941" t="str">
        <f>"2721133"</f>
        <v>2721133</v>
      </c>
      <c r="B41941" t="s">
        <v>26191</v>
      </c>
      <c r="C41941" t="s">
        <v>24897</v>
      </c>
      <c r="D41941" s="21" t="s">
        <v>24820</v>
      </c>
      <c r="E41941" s="21" t="s">
        <v>35</v>
      </c>
      <c r="F41941">
        <v>9270006</v>
      </c>
      <c r="G41941" t="s">
        <v>780</v>
      </c>
      <c r="H41941" s="21">
        <v>499.38</v>
      </c>
    </row>
    <row r="41942" spans="1:8" customFormat="1" x14ac:dyDescent="0.25">
      <c r="A41942" t="str">
        <f>"456684"</f>
        <v>456684</v>
      </c>
      <c r="B41942" t="s">
        <v>9246</v>
      </c>
      <c r="C41942" t="s">
        <v>24897</v>
      </c>
      <c r="D41942" s="21" t="s">
        <v>24820</v>
      </c>
      <c r="E41942" s="21" t="s">
        <v>71</v>
      </c>
      <c r="F41942">
        <v>4450155</v>
      </c>
      <c r="G41942" t="s">
        <v>23484</v>
      </c>
      <c r="H41942" s="21">
        <v>499.25</v>
      </c>
    </row>
    <row r="41943" spans="1:8" customFormat="1" x14ac:dyDescent="0.25">
      <c r="A41943" t="str">
        <f>"9128988"</f>
        <v>9128988</v>
      </c>
      <c r="B41943" t="s">
        <v>25541</v>
      </c>
      <c r="C41943" t="s">
        <v>24978</v>
      </c>
      <c r="D41943" s="21" t="s">
        <v>24820</v>
      </c>
      <c r="E41943" s="21" t="s">
        <v>35</v>
      </c>
      <c r="F41943">
        <v>8910667</v>
      </c>
      <c r="G41943" t="s">
        <v>2361</v>
      </c>
      <c r="H41943" s="21">
        <v>499.25</v>
      </c>
    </row>
    <row r="41944" spans="1:8" customFormat="1" x14ac:dyDescent="0.25">
      <c r="A41944" t="str">
        <f>"9538120"</f>
        <v>9538120</v>
      </c>
      <c r="B41944" t="s">
        <v>30017</v>
      </c>
      <c r="C41944" t="s">
        <v>24854</v>
      </c>
      <c r="D41944" s="21" t="s">
        <v>24820</v>
      </c>
      <c r="E41944" s="21" t="s">
        <v>71</v>
      </c>
      <c r="F41944">
        <v>8950531</v>
      </c>
      <c r="G41944" t="s">
        <v>7983</v>
      </c>
      <c r="H41944" s="21">
        <v>499.25</v>
      </c>
    </row>
    <row r="41945" spans="1:8" customFormat="1" x14ac:dyDescent="0.25">
      <c r="A41945" t="str">
        <f>"0212233"</f>
        <v>0212233</v>
      </c>
      <c r="B41945" t="s">
        <v>9525</v>
      </c>
      <c r="C41945" t="s">
        <v>25044</v>
      </c>
      <c r="D41945" s="21" t="s">
        <v>24820</v>
      </c>
      <c r="E41945" s="21" t="s">
        <v>35</v>
      </c>
      <c r="F41945">
        <v>7020019</v>
      </c>
      <c r="G41945" t="s">
        <v>7912</v>
      </c>
      <c r="H41945" s="21">
        <v>499.25</v>
      </c>
    </row>
    <row r="41946" spans="1:8" customFormat="1" x14ac:dyDescent="0.25">
      <c r="A41946" t="str">
        <f>"584065"</f>
        <v>584065</v>
      </c>
      <c r="B41946" t="s">
        <v>30018</v>
      </c>
      <c r="C41946" t="s">
        <v>25064</v>
      </c>
      <c r="D41946" s="21" t="s">
        <v>24820</v>
      </c>
      <c r="E41946" s="21" t="s">
        <v>35</v>
      </c>
      <c r="F41946">
        <v>2580031</v>
      </c>
      <c r="G41946" t="s">
        <v>5904</v>
      </c>
      <c r="H41946" s="21">
        <v>499.17</v>
      </c>
    </row>
    <row r="41947" spans="1:8" customFormat="1" x14ac:dyDescent="0.25">
      <c r="A41947" t="str">
        <f>"865463"</f>
        <v>865463</v>
      </c>
      <c r="B41947" t="s">
        <v>4522</v>
      </c>
      <c r="C41947" t="s">
        <v>25105</v>
      </c>
      <c r="D41947" s="21" t="s">
        <v>24820</v>
      </c>
      <c r="E41947" s="21" t="s">
        <v>71</v>
      </c>
      <c r="F41947">
        <v>10860038</v>
      </c>
      <c r="G41947" t="s">
        <v>8925</v>
      </c>
      <c r="H41947" s="21">
        <v>499</v>
      </c>
    </row>
    <row r="41948" spans="1:8" customFormat="1" x14ac:dyDescent="0.25">
      <c r="A41948" t="str">
        <f>"5981172"</f>
        <v>5981172</v>
      </c>
      <c r="B41948" t="s">
        <v>18936</v>
      </c>
      <c r="C41948" t="s">
        <v>24865</v>
      </c>
      <c r="D41948" s="21" t="s">
        <v>24820</v>
      </c>
      <c r="E41948" s="21" t="s">
        <v>35</v>
      </c>
      <c r="F41948">
        <v>7590332</v>
      </c>
      <c r="G41948" t="s">
        <v>6094</v>
      </c>
      <c r="H41948" s="21">
        <v>499</v>
      </c>
    </row>
    <row r="41949" spans="1:8" customFormat="1" x14ac:dyDescent="0.25">
      <c r="A41949" t="str">
        <f>"9528904"</f>
        <v>9528904</v>
      </c>
      <c r="B41949" t="s">
        <v>26116</v>
      </c>
      <c r="C41949" t="s">
        <v>24867</v>
      </c>
      <c r="D41949" s="21" t="s">
        <v>24820</v>
      </c>
      <c r="E41949" s="21" t="s">
        <v>71</v>
      </c>
      <c r="F41949">
        <v>8950623</v>
      </c>
      <c r="G41949" t="s">
        <v>684</v>
      </c>
      <c r="H41949" s="21">
        <v>499</v>
      </c>
    </row>
    <row r="41950" spans="1:8" customFormat="1" x14ac:dyDescent="0.25">
      <c r="A41950" t="str">
        <f>"9241639"</f>
        <v>9241639</v>
      </c>
      <c r="B41950" t="s">
        <v>946</v>
      </c>
      <c r="C41950" t="s">
        <v>25073</v>
      </c>
      <c r="D41950" s="21" t="s">
        <v>24820</v>
      </c>
      <c r="E41950" s="21" t="s">
        <v>254</v>
      </c>
      <c r="F41950">
        <v>8920151</v>
      </c>
      <c r="G41950" t="s">
        <v>1434</v>
      </c>
      <c r="H41950" s="21">
        <v>498.88</v>
      </c>
    </row>
    <row r="41951" spans="1:8" customFormat="1" x14ac:dyDescent="0.25">
      <c r="A41951" t="str">
        <f>"7729537"</f>
        <v>7729537</v>
      </c>
      <c r="B41951" t="s">
        <v>25808</v>
      </c>
      <c r="C41951" t="s">
        <v>25071</v>
      </c>
      <c r="D41951" s="21" t="s">
        <v>24820</v>
      </c>
      <c r="E41951" s="21" t="s">
        <v>35</v>
      </c>
      <c r="F41951">
        <v>8770377</v>
      </c>
      <c r="G41951" t="s">
        <v>4862</v>
      </c>
      <c r="H41951" s="21">
        <v>498.88</v>
      </c>
    </row>
    <row r="41952" spans="1:8" customFormat="1" x14ac:dyDescent="0.25">
      <c r="A41952" t="str">
        <f>"7844322"</f>
        <v>7844322</v>
      </c>
      <c r="B41952" t="s">
        <v>3634</v>
      </c>
      <c r="C41952" t="s">
        <v>25594</v>
      </c>
      <c r="D41952" s="21" t="s">
        <v>24820</v>
      </c>
      <c r="E41952" s="21" t="s">
        <v>35</v>
      </c>
      <c r="F41952">
        <v>8780905</v>
      </c>
      <c r="G41952" t="s">
        <v>1267</v>
      </c>
      <c r="H41952" s="21">
        <v>498.75</v>
      </c>
    </row>
    <row r="41953" spans="1:8" customFormat="1" x14ac:dyDescent="0.25">
      <c r="A41953" t="str">
        <f>"7857753"</f>
        <v>7857753</v>
      </c>
      <c r="B41953" t="s">
        <v>13450</v>
      </c>
      <c r="C41953" t="s">
        <v>26220</v>
      </c>
      <c r="D41953" s="21" t="s">
        <v>24820</v>
      </c>
      <c r="E41953" s="21" t="s">
        <v>35</v>
      </c>
      <c r="F41953">
        <v>8781333</v>
      </c>
      <c r="G41953" t="s">
        <v>14833</v>
      </c>
      <c r="H41953" s="21">
        <v>498.5</v>
      </c>
    </row>
    <row r="41954" spans="1:8" customFormat="1" x14ac:dyDescent="0.25">
      <c r="A41954" t="str">
        <f>"3525410"</f>
        <v>3525410</v>
      </c>
      <c r="B41954" t="s">
        <v>26031</v>
      </c>
      <c r="C41954" t="s">
        <v>23966</v>
      </c>
      <c r="D41954" s="21" t="s">
        <v>24820</v>
      </c>
      <c r="E41954" s="21" t="s">
        <v>71</v>
      </c>
      <c r="F41954">
        <v>3350136</v>
      </c>
      <c r="G41954" t="s">
        <v>2773</v>
      </c>
      <c r="H41954" s="21">
        <v>498.5</v>
      </c>
    </row>
    <row r="41955" spans="1:8" customFormat="1" x14ac:dyDescent="0.25">
      <c r="A41955" t="str">
        <f>"7840358"</f>
        <v>7840358</v>
      </c>
      <c r="B41955" t="s">
        <v>26199</v>
      </c>
      <c r="C41955" t="s">
        <v>24932</v>
      </c>
      <c r="D41955" s="21" t="s">
        <v>24820</v>
      </c>
      <c r="E41955" s="21" t="s">
        <v>71</v>
      </c>
      <c r="F41955">
        <v>8780571</v>
      </c>
      <c r="G41955" t="s">
        <v>2336</v>
      </c>
      <c r="H41955" s="21">
        <v>498.5</v>
      </c>
    </row>
    <row r="41956" spans="1:8" customFormat="1" x14ac:dyDescent="0.25">
      <c r="A41956" t="str">
        <f>"7725414"</f>
        <v>7725414</v>
      </c>
      <c r="B41956" t="s">
        <v>26098</v>
      </c>
      <c r="C41956" t="s">
        <v>22831</v>
      </c>
      <c r="D41956" s="21" t="s">
        <v>24820</v>
      </c>
      <c r="E41956" s="21" t="s">
        <v>35</v>
      </c>
      <c r="F41956">
        <v>8771085</v>
      </c>
      <c r="G41956" t="s">
        <v>11894</v>
      </c>
      <c r="H41956" s="21">
        <v>498.5</v>
      </c>
    </row>
    <row r="41957" spans="1:8" customFormat="1" x14ac:dyDescent="0.25">
      <c r="A41957" t="str">
        <f>"434490"</f>
        <v>434490</v>
      </c>
      <c r="B41957" t="s">
        <v>1312</v>
      </c>
      <c r="C41957" t="s">
        <v>26204</v>
      </c>
      <c r="D41957" s="21" t="s">
        <v>24820</v>
      </c>
      <c r="E41957" s="21" t="s">
        <v>35</v>
      </c>
      <c r="F41957">
        <v>1420240</v>
      </c>
      <c r="G41957" t="s">
        <v>9179</v>
      </c>
      <c r="H41957" s="21">
        <v>498.5</v>
      </c>
    </row>
    <row r="41958" spans="1:8" customFormat="1" x14ac:dyDescent="0.25">
      <c r="A41958" t="str">
        <f>"9234732"</f>
        <v>9234732</v>
      </c>
      <c r="B41958" t="s">
        <v>1840</v>
      </c>
      <c r="C41958" t="s">
        <v>24897</v>
      </c>
      <c r="D41958" s="21" t="s">
        <v>24820</v>
      </c>
      <c r="E41958" s="21" t="s">
        <v>35</v>
      </c>
      <c r="F41958">
        <v>8921458</v>
      </c>
      <c r="G41958" t="s">
        <v>162</v>
      </c>
      <c r="H41958" s="21">
        <v>498.5</v>
      </c>
    </row>
    <row r="41959" spans="1:8" customFormat="1" x14ac:dyDescent="0.25">
      <c r="A41959" t="str">
        <f>"7524751"</f>
        <v>7524751</v>
      </c>
      <c r="B41959" t="s">
        <v>30019</v>
      </c>
      <c r="C41959" t="s">
        <v>24914</v>
      </c>
      <c r="D41959" s="21" t="s">
        <v>24820</v>
      </c>
      <c r="E41959" s="21" t="s">
        <v>35</v>
      </c>
      <c r="F41959">
        <v>8751058</v>
      </c>
      <c r="G41959" t="s">
        <v>4202</v>
      </c>
      <c r="H41959" s="21">
        <v>498.38</v>
      </c>
    </row>
    <row r="41960" spans="1:8" customFormat="1" x14ac:dyDescent="0.25">
      <c r="A41960" t="str">
        <f>"5325735"</f>
        <v>5325735</v>
      </c>
      <c r="B41960" t="s">
        <v>551</v>
      </c>
      <c r="C41960" t="s">
        <v>24831</v>
      </c>
      <c r="D41960" s="21" t="s">
        <v>24820</v>
      </c>
      <c r="E41960" s="21" t="s">
        <v>35</v>
      </c>
      <c r="F41960">
        <v>12530015</v>
      </c>
      <c r="G41960" t="s">
        <v>18217</v>
      </c>
      <c r="H41960" s="21">
        <v>498.25</v>
      </c>
    </row>
    <row r="41961" spans="1:8" customFormat="1" x14ac:dyDescent="0.25">
      <c r="A41961" t="str">
        <f>"3423991"</f>
        <v>3423991</v>
      </c>
      <c r="B41961" t="s">
        <v>26312</v>
      </c>
      <c r="C41961" t="s">
        <v>24939</v>
      </c>
      <c r="D41961" s="21" t="s">
        <v>24820</v>
      </c>
      <c r="E41961" s="21" t="s">
        <v>254</v>
      </c>
      <c r="F41961">
        <v>11340049</v>
      </c>
      <c r="G41961" t="s">
        <v>13479</v>
      </c>
      <c r="H41961" s="21">
        <v>498</v>
      </c>
    </row>
    <row r="41962" spans="1:8" customFormat="1" x14ac:dyDescent="0.25">
      <c r="A41962" t="str">
        <f>"2936761"</f>
        <v>2936761</v>
      </c>
      <c r="B41962" t="s">
        <v>17783</v>
      </c>
      <c r="C41962" t="s">
        <v>24910</v>
      </c>
      <c r="D41962" s="21" t="s">
        <v>24820</v>
      </c>
      <c r="E41962" s="21" t="s">
        <v>71</v>
      </c>
      <c r="F41962">
        <v>3290286</v>
      </c>
      <c r="G41962" t="s">
        <v>18777</v>
      </c>
      <c r="H41962" s="21">
        <v>498</v>
      </c>
    </row>
    <row r="41963" spans="1:8" customFormat="1" x14ac:dyDescent="0.25">
      <c r="A41963" t="str">
        <f>"5973312"</f>
        <v>5973312</v>
      </c>
      <c r="B41963" t="s">
        <v>26143</v>
      </c>
      <c r="C41963" t="s">
        <v>25447</v>
      </c>
      <c r="D41963" s="21" t="s">
        <v>24820</v>
      </c>
      <c r="E41963" s="21" t="s">
        <v>35</v>
      </c>
      <c r="F41963">
        <v>7590106</v>
      </c>
      <c r="G41963" t="s">
        <v>4790</v>
      </c>
      <c r="H41963" s="21">
        <v>498</v>
      </c>
    </row>
    <row r="41964" spans="1:8" customFormat="1" x14ac:dyDescent="0.25">
      <c r="A41964" t="str">
        <f>"7522776"</f>
        <v>7522776</v>
      </c>
      <c r="B41964" t="s">
        <v>17095</v>
      </c>
      <c r="C41964" t="s">
        <v>26122</v>
      </c>
      <c r="D41964" s="21" t="s">
        <v>24820</v>
      </c>
      <c r="E41964" s="21" t="s">
        <v>35</v>
      </c>
      <c r="F41964">
        <v>8751456</v>
      </c>
      <c r="G41964" t="s">
        <v>2683</v>
      </c>
      <c r="H41964" s="21">
        <v>498</v>
      </c>
    </row>
    <row r="41965" spans="1:8" customFormat="1" x14ac:dyDescent="0.25">
      <c r="A41965" t="str">
        <f>"9252199"</f>
        <v>9252199</v>
      </c>
      <c r="B41965" t="s">
        <v>30020</v>
      </c>
      <c r="C41965" t="s">
        <v>24994</v>
      </c>
      <c r="D41965" s="21" t="s">
        <v>24820</v>
      </c>
      <c r="E41965" s="21" t="s">
        <v>35</v>
      </c>
      <c r="F41965">
        <v>8920049</v>
      </c>
      <c r="G41965" t="s">
        <v>237</v>
      </c>
      <c r="H41965" s="21">
        <v>498</v>
      </c>
    </row>
    <row r="41966" spans="1:8" customFormat="1" x14ac:dyDescent="0.25">
      <c r="A41966" t="str">
        <f>"0812170"</f>
        <v>0812170</v>
      </c>
      <c r="B41966" t="s">
        <v>25690</v>
      </c>
      <c r="C41966" t="s">
        <v>24838</v>
      </c>
      <c r="D41966" s="21" t="s">
        <v>24820</v>
      </c>
      <c r="E41966" s="21" t="s">
        <v>35</v>
      </c>
      <c r="F41966">
        <v>6080047</v>
      </c>
      <c r="G41966" t="s">
        <v>4632</v>
      </c>
      <c r="H41966" s="21">
        <v>498</v>
      </c>
    </row>
    <row r="41967" spans="1:8" customFormat="1" x14ac:dyDescent="0.25">
      <c r="A41967" t="str">
        <f>"9517972"</f>
        <v>9517972</v>
      </c>
      <c r="B41967" t="s">
        <v>3072</v>
      </c>
      <c r="C41967" t="s">
        <v>547</v>
      </c>
      <c r="D41967" s="21" t="s">
        <v>24820</v>
      </c>
      <c r="E41967" s="21" t="s">
        <v>254</v>
      </c>
      <c r="F41967">
        <v>8950570</v>
      </c>
      <c r="G41967" t="s">
        <v>3226</v>
      </c>
      <c r="H41967" s="21">
        <v>498</v>
      </c>
    </row>
    <row r="41968" spans="1:8" customFormat="1" x14ac:dyDescent="0.25">
      <c r="A41968" t="str">
        <f>"3318482"</f>
        <v>3318482</v>
      </c>
      <c r="B41968" t="s">
        <v>25575</v>
      </c>
      <c r="C41968" t="s">
        <v>24890</v>
      </c>
      <c r="D41968" s="21" t="s">
        <v>24820</v>
      </c>
      <c r="E41968" s="21" t="s">
        <v>254</v>
      </c>
      <c r="F41968">
        <v>10330123</v>
      </c>
      <c r="G41968" t="s">
        <v>12101</v>
      </c>
      <c r="H41968" s="21">
        <v>498</v>
      </c>
    </row>
    <row r="41969" spans="1:8" customFormat="1" x14ac:dyDescent="0.25">
      <c r="A41969" t="str">
        <f>"8017872"</f>
        <v>8017872</v>
      </c>
      <c r="B41969" t="s">
        <v>15612</v>
      </c>
      <c r="C41969" t="s">
        <v>24988</v>
      </c>
      <c r="D41969" s="21" t="s">
        <v>24820</v>
      </c>
      <c r="E41969" s="21" t="s">
        <v>254</v>
      </c>
      <c r="F41969">
        <v>7800005</v>
      </c>
      <c r="G41969" t="s">
        <v>6547</v>
      </c>
      <c r="H41969" s="21">
        <v>498</v>
      </c>
    </row>
    <row r="41970" spans="1:8" customFormat="1" x14ac:dyDescent="0.25">
      <c r="A41970" t="str">
        <f>"668458"</f>
        <v>668458</v>
      </c>
      <c r="B41970" t="s">
        <v>30021</v>
      </c>
      <c r="C41970" t="s">
        <v>24958</v>
      </c>
      <c r="D41970" s="21" t="s">
        <v>24820</v>
      </c>
      <c r="E41970" s="21" t="s">
        <v>35</v>
      </c>
      <c r="F41970">
        <v>11660013</v>
      </c>
      <c r="G41970" t="s">
        <v>10510</v>
      </c>
      <c r="H41970" s="21">
        <v>498</v>
      </c>
    </row>
    <row r="41971" spans="1:8" customFormat="1" x14ac:dyDescent="0.25">
      <c r="A41971" t="str">
        <f>"4451130"</f>
        <v>4451130</v>
      </c>
      <c r="B41971" t="s">
        <v>26107</v>
      </c>
      <c r="C41971" t="s">
        <v>26108</v>
      </c>
      <c r="D41971" s="21" t="s">
        <v>24820</v>
      </c>
      <c r="E41971" s="21" t="s">
        <v>35</v>
      </c>
      <c r="F41971">
        <v>12440116</v>
      </c>
      <c r="G41971" t="s">
        <v>26673</v>
      </c>
      <c r="H41971" s="21">
        <v>498</v>
      </c>
    </row>
    <row r="41972" spans="1:8" customFormat="1" x14ac:dyDescent="0.25">
      <c r="A41972" t="str">
        <f>"9250308"</f>
        <v>9250308</v>
      </c>
      <c r="B41972" t="s">
        <v>26193</v>
      </c>
      <c r="C41972" t="s">
        <v>24871</v>
      </c>
      <c r="D41972" s="21" t="s">
        <v>24820</v>
      </c>
      <c r="E41972" s="21" t="s">
        <v>35</v>
      </c>
      <c r="F41972">
        <v>8921190</v>
      </c>
      <c r="G41972" t="s">
        <v>810</v>
      </c>
      <c r="H41972" s="21">
        <v>498</v>
      </c>
    </row>
    <row r="41973" spans="1:8" customFormat="1" x14ac:dyDescent="0.25">
      <c r="A41973" t="str">
        <f>"3341514"</f>
        <v>3341514</v>
      </c>
      <c r="B41973" t="s">
        <v>4574</v>
      </c>
      <c r="C41973" t="s">
        <v>25330</v>
      </c>
      <c r="D41973" s="21" t="s">
        <v>24820</v>
      </c>
      <c r="E41973" s="21" t="s">
        <v>35</v>
      </c>
      <c r="F41973">
        <v>10330031</v>
      </c>
      <c r="G41973" t="s">
        <v>2452</v>
      </c>
      <c r="H41973" s="21">
        <v>497.88</v>
      </c>
    </row>
    <row r="41974" spans="1:8" customFormat="1" x14ac:dyDescent="0.25">
      <c r="A41974" t="str">
        <f>"9532721"</f>
        <v>9532721</v>
      </c>
      <c r="B41974" t="s">
        <v>26112</v>
      </c>
      <c r="C41974" t="s">
        <v>24996</v>
      </c>
      <c r="D41974" s="21" t="s">
        <v>24820</v>
      </c>
      <c r="E41974" s="21" t="s">
        <v>254</v>
      </c>
      <c r="F41974">
        <v>8951458</v>
      </c>
      <c r="G41974" t="s">
        <v>20956</v>
      </c>
      <c r="H41974" s="21">
        <v>497.75</v>
      </c>
    </row>
    <row r="41975" spans="1:8" customFormat="1" x14ac:dyDescent="0.25">
      <c r="A41975" t="str">
        <f>"9D1473"</f>
        <v>9D1473</v>
      </c>
      <c r="B41975" t="s">
        <v>25578</v>
      </c>
      <c r="C41975" t="s">
        <v>25579</v>
      </c>
      <c r="D41975" s="21" t="s">
        <v>24820</v>
      </c>
      <c r="E41975" s="21" t="s">
        <v>254</v>
      </c>
      <c r="F41975" t="s">
        <v>8815</v>
      </c>
      <c r="G41975" t="s">
        <v>8816</v>
      </c>
      <c r="H41975" s="21">
        <v>497.67</v>
      </c>
    </row>
    <row r="41976" spans="1:8" customFormat="1" x14ac:dyDescent="0.25">
      <c r="A41976" t="str">
        <f>"904901"</f>
        <v>904901</v>
      </c>
      <c r="B41976" t="s">
        <v>25827</v>
      </c>
      <c r="C41976" t="s">
        <v>24869</v>
      </c>
      <c r="D41976" s="21" t="s">
        <v>24820</v>
      </c>
      <c r="E41976" s="21" t="s">
        <v>35</v>
      </c>
      <c r="F41976">
        <v>2900023</v>
      </c>
      <c r="G41976" t="s">
        <v>4360</v>
      </c>
      <c r="H41976" s="21">
        <v>497.5</v>
      </c>
    </row>
    <row r="41977" spans="1:8" customFormat="1" x14ac:dyDescent="0.25">
      <c r="A41977" t="str">
        <f>"0619083"</f>
        <v>0619083</v>
      </c>
      <c r="B41977" t="s">
        <v>10708</v>
      </c>
      <c r="C41977" t="s">
        <v>24939</v>
      </c>
      <c r="D41977" s="21" t="s">
        <v>24820</v>
      </c>
      <c r="E41977" s="21" t="s">
        <v>71</v>
      </c>
      <c r="F41977">
        <v>13060063</v>
      </c>
      <c r="G41977" t="s">
        <v>2001</v>
      </c>
      <c r="H41977" s="21">
        <v>497.5</v>
      </c>
    </row>
    <row r="41978" spans="1:8" customFormat="1" x14ac:dyDescent="0.25">
      <c r="A41978" t="str">
        <f>"0110378"</f>
        <v>0110378</v>
      </c>
      <c r="B41978" t="s">
        <v>3448</v>
      </c>
      <c r="C41978" t="s">
        <v>24865</v>
      </c>
      <c r="D41978" s="21" t="s">
        <v>24820</v>
      </c>
      <c r="E41978" s="21" t="s">
        <v>254</v>
      </c>
      <c r="F41978">
        <v>13840012</v>
      </c>
      <c r="G41978" t="s">
        <v>5143</v>
      </c>
      <c r="H41978" s="21">
        <v>497.5</v>
      </c>
    </row>
    <row r="41979" spans="1:8" customFormat="1" x14ac:dyDescent="0.25">
      <c r="A41979" t="str">
        <f>"808737"</f>
        <v>808737</v>
      </c>
      <c r="B41979" t="s">
        <v>8136</v>
      </c>
      <c r="C41979" t="s">
        <v>25144</v>
      </c>
      <c r="D41979" s="21" t="s">
        <v>24820</v>
      </c>
      <c r="E41979" s="21" t="s">
        <v>71</v>
      </c>
      <c r="F41979">
        <v>7800001</v>
      </c>
      <c r="G41979" t="s">
        <v>176</v>
      </c>
      <c r="H41979" s="21">
        <v>497.5</v>
      </c>
    </row>
    <row r="41980" spans="1:8" customFormat="1" x14ac:dyDescent="0.25">
      <c r="A41980" t="str">
        <f>"082503"</f>
        <v>082503</v>
      </c>
      <c r="B41980" t="s">
        <v>26123</v>
      </c>
      <c r="C41980" t="s">
        <v>24904</v>
      </c>
      <c r="D41980" s="21" t="s">
        <v>24820</v>
      </c>
      <c r="E41980" s="21" t="s">
        <v>71</v>
      </c>
      <c r="F41980">
        <v>6080064</v>
      </c>
      <c r="G41980" t="s">
        <v>5825</v>
      </c>
      <c r="H41980" s="21">
        <v>497.5</v>
      </c>
    </row>
    <row r="41981" spans="1:8" customFormat="1" x14ac:dyDescent="0.25">
      <c r="A41981" t="str">
        <f>"7223047"</f>
        <v>7223047</v>
      </c>
      <c r="B41981" t="s">
        <v>30022</v>
      </c>
      <c r="C41981" t="s">
        <v>25569</v>
      </c>
      <c r="D41981" s="21" t="s">
        <v>24820</v>
      </c>
      <c r="E41981" s="21" t="s">
        <v>35</v>
      </c>
      <c r="F41981">
        <v>12720008</v>
      </c>
      <c r="G41981" t="s">
        <v>753</v>
      </c>
      <c r="H41981" s="21">
        <v>497.5</v>
      </c>
    </row>
    <row r="41982" spans="1:8" customFormat="1" x14ac:dyDescent="0.25">
      <c r="A41982" t="str">
        <f>"9528711"</f>
        <v>9528711</v>
      </c>
      <c r="B41982" t="s">
        <v>20940</v>
      </c>
      <c r="C41982" t="s">
        <v>22831</v>
      </c>
      <c r="D41982" s="21" t="s">
        <v>24820</v>
      </c>
      <c r="E41982" s="21" t="s">
        <v>35</v>
      </c>
      <c r="F41982">
        <v>8950330</v>
      </c>
      <c r="G41982" t="s">
        <v>794</v>
      </c>
      <c r="H41982" s="21">
        <v>497.38</v>
      </c>
    </row>
    <row r="41983" spans="1:8" customFormat="1" x14ac:dyDescent="0.25">
      <c r="A41983" t="str">
        <f>"091475"</f>
        <v>091475</v>
      </c>
      <c r="B41983" t="s">
        <v>26182</v>
      </c>
      <c r="C41983" t="s">
        <v>24853</v>
      </c>
      <c r="D41983" s="21" t="s">
        <v>24820</v>
      </c>
      <c r="E41983" s="21" t="s">
        <v>35</v>
      </c>
      <c r="F41983">
        <v>11090019</v>
      </c>
      <c r="G41983" t="s">
        <v>5591</v>
      </c>
      <c r="H41983" s="21">
        <v>497.25</v>
      </c>
    </row>
    <row r="41984" spans="1:8" customFormat="1" x14ac:dyDescent="0.25">
      <c r="A41984" t="str">
        <f>"9311215"</f>
        <v>9311215</v>
      </c>
      <c r="B41984" t="s">
        <v>25565</v>
      </c>
      <c r="C41984" t="s">
        <v>24867</v>
      </c>
      <c r="D41984" s="21" t="s">
        <v>24820</v>
      </c>
      <c r="E41984" s="21" t="s">
        <v>71</v>
      </c>
      <c r="F41984">
        <v>8940535</v>
      </c>
      <c r="G41984" t="s">
        <v>2628</v>
      </c>
      <c r="H41984" s="21">
        <v>497.17</v>
      </c>
    </row>
    <row r="41985" spans="1:8" customFormat="1" x14ac:dyDescent="0.25">
      <c r="A41985" t="str">
        <f>"6944433"</f>
        <v>6944433</v>
      </c>
      <c r="B41985" t="s">
        <v>25595</v>
      </c>
      <c r="C41985" t="s">
        <v>25044</v>
      </c>
      <c r="D41985" s="21" t="s">
        <v>24820</v>
      </c>
      <c r="E41985" s="21" t="s">
        <v>71</v>
      </c>
      <c r="F41985">
        <v>1690030</v>
      </c>
      <c r="G41985" t="s">
        <v>432</v>
      </c>
      <c r="H41985" s="21">
        <v>497.17</v>
      </c>
    </row>
    <row r="41986" spans="1:8" customFormat="1" x14ac:dyDescent="0.25">
      <c r="A41986" t="str">
        <f>"757836"</f>
        <v>757836</v>
      </c>
      <c r="B41986" t="s">
        <v>1099</v>
      </c>
      <c r="C41986" t="s">
        <v>24943</v>
      </c>
      <c r="D41986" s="21" t="s">
        <v>24820</v>
      </c>
      <c r="E41986" s="21" t="s">
        <v>71</v>
      </c>
      <c r="F41986">
        <v>8750325</v>
      </c>
      <c r="G41986" t="s">
        <v>7054</v>
      </c>
      <c r="H41986" s="21">
        <v>497.12</v>
      </c>
    </row>
    <row r="41987" spans="1:8" customFormat="1" x14ac:dyDescent="0.25">
      <c r="A41987" t="str">
        <f>"7712489"</f>
        <v>7712489</v>
      </c>
      <c r="B41987" t="s">
        <v>1976</v>
      </c>
      <c r="C41987" t="s">
        <v>23966</v>
      </c>
      <c r="D41987" s="21" t="s">
        <v>24820</v>
      </c>
      <c r="E41987" s="21" t="s">
        <v>254</v>
      </c>
      <c r="F41987">
        <v>8770237</v>
      </c>
      <c r="G41987" t="s">
        <v>128</v>
      </c>
      <c r="H41987" s="21">
        <v>497.04</v>
      </c>
    </row>
    <row r="41988" spans="1:8" customFormat="1" x14ac:dyDescent="0.25">
      <c r="A41988" t="str">
        <f>"5960094"</f>
        <v>5960094</v>
      </c>
      <c r="B41988" t="s">
        <v>15505</v>
      </c>
      <c r="C41988" t="s">
        <v>22831</v>
      </c>
      <c r="D41988" s="21" t="s">
        <v>24820</v>
      </c>
      <c r="E41988" s="21" t="s">
        <v>35</v>
      </c>
      <c r="F41988">
        <v>7590034</v>
      </c>
      <c r="G41988" t="s">
        <v>17085</v>
      </c>
      <c r="H41988" s="21">
        <v>497</v>
      </c>
    </row>
    <row r="41989" spans="1:8" customFormat="1" x14ac:dyDescent="0.25">
      <c r="A41989" t="str">
        <f>"6111126"</f>
        <v>6111126</v>
      </c>
      <c r="B41989" t="s">
        <v>11317</v>
      </c>
      <c r="C41989" t="s">
        <v>24865</v>
      </c>
      <c r="D41989" s="21" t="s">
        <v>24820</v>
      </c>
      <c r="E41989" s="21" t="s">
        <v>35</v>
      </c>
      <c r="F41989">
        <v>9610144</v>
      </c>
      <c r="G41989" t="s">
        <v>6311</v>
      </c>
      <c r="H41989" s="21">
        <v>497</v>
      </c>
    </row>
    <row r="41990" spans="1:8" customFormat="1" x14ac:dyDescent="0.25">
      <c r="A41990" t="str">
        <f>"366500"</f>
        <v>366500</v>
      </c>
      <c r="B41990" t="s">
        <v>15012</v>
      </c>
      <c r="C41990" t="s">
        <v>24904</v>
      </c>
      <c r="D41990" s="21" t="s">
        <v>24820</v>
      </c>
      <c r="E41990" s="21" t="s">
        <v>35</v>
      </c>
      <c r="F41990">
        <v>4360724</v>
      </c>
      <c r="G41990" t="s">
        <v>23008</v>
      </c>
      <c r="H41990" s="21">
        <v>497</v>
      </c>
    </row>
    <row r="41991" spans="1:8" customFormat="1" x14ac:dyDescent="0.25">
      <c r="A41991" t="str">
        <f>"5975062"</f>
        <v>5975062</v>
      </c>
      <c r="B41991" t="s">
        <v>15937</v>
      </c>
      <c r="C41991" t="s">
        <v>25252</v>
      </c>
      <c r="D41991" s="21" t="s">
        <v>24820</v>
      </c>
      <c r="E41991" s="21" t="s">
        <v>35</v>
      </c>
      <c r="F41991">
        <v>12850136</v>
      </c>
      <c r="G41991" t="s">
        <v>2536</v>
      </c>
      <c r="H41991" s="21">
        <v>497</v>
      </c>
    </row>
    <row r="41992" spans="1:8" customFormat="1" x14ac:dyDescent="0.25">
      <c r="A41992" t="str">
        <f>"9141840"</f>
        <v>9141840</v>
      </c>
      <c r="B41992" t="s">
        <v>26042</v>
      </c>
      <c r="C41992" t="s">
        <v>25033</v>
      </c>
      <c r="D41992" s="21" t="s">
        <v>24820</v>
      </c>
      <c r="E41992" s="21" t="s">
        <v>71</v>
      </c>
      <c r="F41992">
        <v>8911064</v>
      </c>
      <c r="G41992" t="s">
        <v>2209</v>
      </c>
      <c r="H41992" s="21">
        <v>497</v>
      </c>
    </row>
    <row r="41993" spans="1:8" customFormat="1" x14ac:dyDescent="0.25">
      <c r="A41993" t="str">
        <f>"9538200"</f>
        <v>9538200</v>
      </c>
      <c r="B41993" t="s">
        <v>8926</v>
      </c>
      <c r="C41993" t="s">
        <v>24828</v>
      </c>
      <c r="D41993" s="21" t="s">
        <v>24820</v>
      </c>
      <c r="E41993" s="21" t="s">
        <v>35</v>
      </c>
      <c r="F41993">
        <v>8950974</v>
      </c>
      <c r="G41993" t="s">
        <v>6615</v>
      </c>
      <c r="H41993" s="21">
        <v>497</v>
      </c>
    </row>
    <row r="41994" spans="1:8" customFormat="1" x14ac:dyDescent="0.25">
      <c r="A41994" t="str">
        <f>"6229314"</f>
        <v>6229314</v>
      </c>
      <c r="B41994" t="s">
        <v>3197</v>
      </c>
      <c r="C41994" t="s">
        <v>24973</v>
      </c>
      <c r="D41994" s="21" t="s">
        <v>24820</v>
      </c>
      <c r="E41994" s="21" t="s">
        <v>71</v>
      </c>
      <c r="F41994">
        <v>7620015</v>
      </c>
      <c r="G41994" t="s">
        <v>377</v>
      </c>
      <c r="H41994" s="21">
        <v>497</v>
      </c>
    </row>
    <row r="41995" spans="1:8" customFormat="1" x14ac:dyDescent="0.25">
      <c r="A41995" t="str">
        <f>"7219202"</f>
        <v>7219202</v>
      </c>
      <c r="B41995" t="s">
        <v>15921</v>
      </c>
      <c r="C41995" t="s">
        <v>24897</v>
      </c>
      <c r="D41995" s="21" t="s">
        <v>24820</v>
      </c>
      <c r="E41995" s="21" t="s">
        <v>71</v>
      </c>
      <c r="F41995">
        <v>12720027</v>
      </c>
      <c r="G41995" t="s">
        <v>3562</v>
      </c>
      <c r="H41995" s="21">
        <v>497</v>
      </c>
    </row>
    <row r="41996" spans="1:8" customFormat="1" x14ac:dyDescent="0.25">
      <c r="A41996" t="str">
        <f>"7873985"</f>
        <v>7873985</v>
      </c>
      <c r="B41996" t="s">
        <v>26221</v>
      </c>
      <c r="C41996" t="s">
        <v>22831</v>
      </c>
      <c r="D41996" s="21" t="s">
        <v>24820</v>
      </c>
      <c r="E41996" s="21" t="s">
        <v>71</v>
      </c>
      <c r="F41996">
        <v>12720023</v>
      </c>
      <c r="G41996" t="s">
        <v>1898</v>
      </c>
      <c r="H41996" s="21">
        <v>497</v>
      </c>
    </row>
    <row r="41997" spans="1:8" customFormat="1" x14ac:dyDescent="0.25">
      <c r="A41997" t="str">
        <f>"9137046"</f>
        <v>9137046</v>
      </c>
      <c r="B41997" t="s">
        <v>19934</v>
      </c>
      <c r="C41997" t="s">
        <v>24833</v>
      </c>
      <c r="D41997" s="21" t="s">
        <v>24820</v>
      </c>
      <c r="E41997" s="21" t="s">
        <v>71</v>
      </c>
      <c r="F41997">
        <v>8911050</v>
      </c>
      <c r="G41997" t="s">
        <v>1606</v>
      </c>
      <c r="H41997" s="21">
        <v>497</v>
      </c>
    </row>
    <row r="41998" spans="1:8" customFormat="1" x14ac:dyDescent="0.25">
      <c r="A41998" t="str">
        <f>"3719636"</f>
        <v>3719636</v>
      </c>
      <c r="B41998" t="s">
        <v>26213</v>
      </c>
      <c r="C41998" t="s">
        <v>428</v>
      </c>
      <c r="D41998" s="21" t="s">
        <v>24820</v>
      </c>
      <c r="E41998" s="21" t="s">
        <v>254</v>
      </c>
      <c r="F41998">
        <v>4370439</v>
      </c>
      <c r="G41998" t="s">
        <v>2956</v>
      </c>
      <c r="H41998" s="21">
        <v>497</v>
      </c>
    </row>
    <row r="41999" spans="1:8" customFormat="1" x14ac:dyDescent="0.25">
      <c r="A41999" t="str">
        <f>"324289"</f>
        <v>324289</v>
      </c>
      <c r="B41999" t="s">
        <v>25674</v>
      </c>
      <c r="C41999" t="s">
        <v>25577</v>
      </c>
      <c r="D41999" s="21" t="s">
        <v>24820</v>
      </c>
      <c r="E41999" s="21" t="s">
        <v>254</v>
      </c>
      <c r="F41999">
        <v>11320005</v>
      </c>
      <c r="G41999" t="s">
        <v>120</v>
      </c>
      <c r="H41999" s="21">
        <v>496.88</v>
      </c>
    </row>
    <row r="42000" spans="1:8" customFormat="1" x14ac:dyDescent="0.25">
      <c r="A42000" t="str">
        <f>"7881421"</f>
        <v>7881421</v>
      </c>
      <c r="B42000" t="s">
        <v>1533</v>
      </c>
      <c r="C42000" t="s">
        <v>26004</v>
      </c>
      <c r="D42000" s="21" t="s">
        <v>24820</v>
      </c>
      <c r="E42000" s="21" t="s">
        <v>71</v>
      </c>
      <c r="F42000">
        <v>8780585</v>
      </c>
      <c r="G42000" t="s">
        <v>4630</v>
      </c>
      <c r="H42000" s="21">
        <v>496.75</v>
      </c>
    </row>
    <row r="42001" spans="1:8" customFormat="1" x14ac:dyDescent="0.25">
      <c r="A42001" t="str">
        <f>"461763"</f>
        <v>461763</v>
      </c>
      <c r="B42001" t="s">
        <v>20109</v>
      </c>
      <c r="C42001" t="s">
        <v>25068</v>
      </c>
      <c r="D42001" s="21" t="s">
        <v>24820</v>
      </c>
      <c r="E42001" s="21" t="s">
        <v>35</v>
      </c>
      <c r="F42001">
        <v>11460023</v>
      </c>
      <c r="G42001" t="s">
        <v>5430</v>
      </c>
      <c r="H42001" s="21">
        <v>496.67</v>
      </c>
    </row>
    <row r="42002" spans="1:8" customFormat="1" x14ac:dyDescent="0.25">
      <c r="A42002" t="str">
        <f>"9252708"</f>
        <v>9252708</v>
      </c>
      <c r="B42002" t="s">
        <v>30023</v>
      </c>
      <c r="C42002" t="s">
        <v>25260</v>
      </c>
      <c r="D42002" s="21" t="s">
        <v>24820</v>
      </c>
      <c r="E42002" s="21" t="s">
        <v>71</v>
      </c>
      <c r="F42002">
        <v>8921522</v>
      </c>
      <c r="G42002" t="s">
        <v>22764</v>
      </c>
      <c r="H42002" s="21">
        <v>496.62</v>
      </c>
    </row>
    <row r="42003" spans="1:8" customFormat="1" x14ac:dyDescent="0.25">
      <c r="A42003" t="str">
        <f>"3817322"</f>
        <v>3817322</v>
      </c>
      <c r="B42003" t="s">
        <v>30024</v>
      </c>
      <c r="C42003" t="s">
        <v>25200</v>
      </c>
      <c r="D42003" s="21" t="s">
        <v>24820</v>
      </c>
      <c r="E42003" s="21" t="s">
        <v>71</v>
      </c>
      <c r="F42003">
        <v>1380275</v>
      </c>
      <c r="G42003" t="s">
        <v>8042</v>
      </c>
      <c r="H42003" s="21">
        <v>496.5</v>
      </c>
    </row>
    <row r="42004" spans="1:8" customFormat="1" x14ac:dyDescent="0.25">
      <c r="A42004" t="str">
        <f>"6223053"</f>
        <v>6223053</v>
      </c>
      <c r="B42004" t="s">
        <v>23510</v>
      </c>
      <c r="C42004" t="s">
        <v>24840</v>
      </c>
      <c r="D42004" s="21" t="s">
        <v>24820</v>
      </c>
      <c r="E42004" s="21" t="s">
        <v>35</v>
      </c>
      <c r="F42004">
        <v>7620139</v>
      </c>
      <c r="G42004" t="s">
        <v>2061</v>
      </c>
      <c r="H42004" s="21">
        <v>496.5</v>
      </c>
    </row>
    <row r="42005" spans="1:8" customFormat="1" x14ac:dyDescent="0.25">
      <c r="A42005" t="str">
        <f>"3721616"</f>
        <v>3721616</v>
      </c>
      <c r="B42005" t="s">
        <v>23597</v>
      </c>
      <c r="C42005" t="s">
        <v>24904</v>
      </c>
      <c r="D42005" s="21" t="s">
        <v>24820</v>
      </c>
      <c r="E42005" s="21" t="s">
        <v>71</v>
      </c>
      <c r="F42005">
        <v>4370548</v>
      </c>
      <c r="G42005" t="s">
        <v>7106</v>
      </c>
      <c r="H42005" s="21">
        <v>496.5</v>
      </c>
    </row>
    <row r="42006" spans="1:8" customFormat="1" x14ac:dyDescent="0.25">
      <c r="A42006" t="str">
        <f>"2815428"</f>
        <v>2815428</v>
      </c>
      <c r="B42006" t="s">
        <v>3957</v>
      </c>
      <c r="C42006" t="s">
        <v>25053</v>
      </c>
      <c r="D42006" s="21" t="s">
        <v>24820</v>
      </c>
      <c r="E42006" s="21" t="s">
        <v>35</v>
      </c>
      <c r="F42006">
        <v>4280121</v>
      </c>
      <c r="G42006" t="s">
        <v>4565</v>
      </c>
      <c r="H42006" s="21">
        <v>496.5</v>
      </c>
    </row>
    <row r="42007" spans="1:8" customFormat="1" x14ac:dyDescent="0.25">
      <c r="A42007" t="str">
        <f>"169776"</f>
        <v>169776</v>
      </c>
      <c r="B42007" t="s">
        <v>3270</v>
      </c>
      <c r="C42007" t="s">
        <v>24833</v>
      </c>
      <c r="D42007" s="21" t="s">
        <v>24820</v>
      </c>
      <c r="E42007" s="21" t="s">
        <v>35</v>
      </c>
      <c r="F42007">
        <v>10160018</v>
      </c>
      <c r="G42007" t="s">
        <v>6900</v>
      </c>
      <c r="H42007" s="21">
        <v>496.5</v>
      </c>
    </row>
    <row r="42008" spans="1:8" customFormat="1" x14ac:dyDescent="0.25">
      <c r="A42008" t="str">
        <f>"651184"</f>
        <v>651184</v>
      </c>
      <c r="B42008" t="s">
        <v>26315</v>
      </c>
      <c r="C42008" t="s">
        <v>24924</v>
      </c>
      <c r="D42008" s="21" t="s">
        <v>24820</v>
      </c>
      <c r="E42008" s="21" t="s">
        <v>254</v>
      </c>
      <c r="F42008">
        <v>11650017</v>
      </c>
      <c r="G42008" t="s">
        <v>13273</v>
      </c>
      <c r="H42008" s="21">
        <v>496.5</v>
      </c>
    </row>
    <row r="42009" spans="1:8" customFormat="1" x14ac:dyDescent="0.25">
      <c r="A42009" t="str">
        <f>"7882612"</f>
        <v>7882612</v>
      </c>
      <c r="B42009" t="s">
        <v>30025</v>
      </c>
      <c r="C42009" t="s">
        <v>24833</v>
      </c>
      <c r="D42009" s="21" t="s">
        <v>24820</v>
      </c>
      <c r="E42009" s="21" t="s">
        <v>254</v>
      </c>
      <c r="F42009">
        <v>8781473</v>
      </c>
      <c r="G42009" t="s">
        <v>1097</v>
      </c>
      <c r="H42009" s="21">
        <v>496.5</v>
      </c>
    </row>
    <row r="42010" spans="1:8" customFormat="1" x14ac:dyDescent="0.25">
      <c r="A42010" t="str">
        <f>"7827351"</f>
        <v>7827351</v>
      </c>
      <c r="B42010" t="s">
        <v>26244</v>
      </c>
      <c r="C42010" t="s">
        <v>26097</v>
      </c>
      <c r="D42010" s="21" t="s">
        <v>24820</v>
      </c>
      <c r="E42010" s="21" t="s">
        <v>1089</v>
      </c>
      <c r="F42010">
        <v>8781196</v>
      </c>
      <c r="G42010" t="s">
        <v>8007</v>
      </c>
      <c r="H42010" s="21">
        <v>496.5</v>
      </c>
    </row>
    <row r="42011" spans="1:8" customFormat="1" x14ac:dyDescent="0.25">
      <c r="A42011" t="str">
        <f>"1610122"</f>
        <v>1610122</v>
      </c>
      <c r="B42011" t="s">
        <v>7227</v>
      </c>
      <c r="C42011" t="s">
        <v>26325</v>
      </c>
      <c r="D42011" s="21" t="s">
        <v>24820</v>
      </c>
      <c r="E42011" s="21" t="s">
        <v>35</v>
      </c>
      <c r="F42011">
        <v>10160225</v>
      </c>
      <c r="G42011" t="s">
        <v>2865</v>
      </c>
      <c r="H42011" s="21">
        <v>496.25</v>
      </c>
    </row>
    <row r="42012" spans="1:8" customFormat="1" x14ac:dyDescent="0.25">
      <c r="A42012" t="str">
        <f>"9137161"</f>
        <v>9137161</v>
      </c>
      <c r="B42012" t="s">
        <v>25703</v>
      </c>
      <c r="C42012" t="s">
        <v>25704</v>
      </c>
      <c r="D42012" s="21" t="s">
        <v>24820</v>
      </c>
      <c r="E42012" s="21" t="s">
        <v>71</v>
      </c>
      <c r="F42012">
        <v>8910402</v>
      </c>
      <c r="G42012" t="s">
        <v>1371</v>
      </c>
      <c r="H42012" s="21">
        <v>496.25</v>
      </c>
    </row>
    <row r="42013" spans="1:8" customFormat="1" x14ac:dyDescent="0.25">
      <c r="A42013" t="str">
        <f>"9535398"</f>
        <v>9535398</v>
      </c>
      <c r="B42013" t="s">
        <v>9176</v>
      </c>
      <c r="C42013" t="s">
        <v>24953</v>
      </c>
      <c r="D42013" s="21" t="s">
        <v>24820</v>
      </c>
      <c r="E42013" s="21" t="s">
        <v>71</v>
      </c>
      <c r="F42013">
        <v>8950531</v>
      </c>
      <c r="G42013" t="s">
        <v>7983</v>
      </c>
      <c r="H42013" s="21">
        <v>496.25</v>
      </c>
    </row>
    <row r="42014" spans="1:8" customFormat="1" x14ac:dyDescent="0.25">
      <c r="A42014" t="str">
        <f>"1311348"</f>
        <v>1311348</v>
      </c>
      <c r="B42014" t="s">
        <v>25911</v>
      </c>
      <c r="C42014" t="s">
        <v>25912</v>
      </c>
      <c r="D42014" s="21" t="s">
        <v>24820</v>
      </c>
      <c r="E42014" s="21" t="s">
        <v>71</v>
      </c>
      <c r="F42014">
        <v>13130013</v>
      </c>
      <c r="G42014" t="s">
        <v>13234</v>
      </c>
      <c r="H42014" s="21">
        <v>496</v>
      </c>
    </row>
    <row r="42015" spans="1:8" customFormat="1" x14ac:dyDescent="0.25">
      <c r="A42015" t="str">
        <f>"7877522"</f>
        <v>7877522</v>
      </c>
      <c r="B42015" t="s">
        <v>13623</v>
      </c>
      <c r="C42015" t="s">
        <v>30026</v>
      </c>
      <c r="D42015" s="21" t="s">
        <v>24820</v>
      </c>
      <c r="E42015" s="21" t="s">
        <v>35</v>
      </c>
      <c r="F42015">
        <v>8781475</v>
      </c>
      <c r="G42015" t="s">
        <v>7589</v>
      </c>
      <c r="H42015" s="21">
        <v>496</v>
      </c>
    </row>
    <row r="42016" spans="1:8" customFormat="1" x14ac:dyDescent="0.25">
      <c r="A42016" t="str">
        <f>"9221744"</f>
        <v>9221744</v>
      </c>
      <c r="B42016" t="s">
        <v>6628</v>
      </c>
      <c r="C42016" t="s">
        <v>23734</v>
      </c>
      <c r="D42016" s="21" t="s">
        <v>24820</v>
      </c>
      <c r="E42016" s="21" t="s">
        <v>71</v>
      </c>
      <c r="F42016">
        <v>8780440</v>
      </c>
      <c r="G42016" t="s">
        <v>6629</v>
      </c>
      <c r="H42016" s="21">
        <v>496</v>
      </c>
    </row>
    <row r="42017" spans="1:8" customFormat="1" x14ac:dyDescent="0.25">
      <c r="A42017" t="str">
        <f>"5016805"</f>
        <v>5016805</v>
      </c>
      <c r="B42017" t="s">
        <v>26226</v>
      </c>
      <c r="C42017" t="s">
        <v>24890</v>
      </c>
      <c r="D42017" s="21" t="s">
        <v>24820</v>
      </c>
      <c r="E42017" s="21" t="s">
        <v>254</v>
      </c>
      <c r="F42017">
        <v>9500111</v>
      </c>
      <c r="G42017" t="s">
        <v>6591</v>
      </c>
      <c r="H42017" s="21">
        <v>496</v>
      </c>
    </row>
    <row r="42018" spans="1:8" customFormat="1" x14ac:dyDescent="0.25">
      <c r="A42018" t="str">
        <f>"2112583"</f>
        <v>2112583</v>
      </c>
      <c r="B42018" t="s">
        <v>25964</v>
      </c>
      <c r="C42018" t="s">
        <v>24828</v>
      </c>
      <c r="D42018" s="21" t="s">
        <v>24820</v>
      </c>
      <c r="E42018" s="21" t="s">
        <v>35</v>
      </c>
      <c r="F42018">
        <v>2210089</v>
      </c>
      <c r="G42018" t="s">
        <v>6144</v>
      </c>
      <c r="H42018" s="21">
        <v>496</v>
      </c>
    </row>
    <row r="42019" spans="1:8" customFormat="1" x14ac:dyDescent="0.25">
      <c r="A42019" t="str">
        <f>"8819270"</f>
        <v>8819270</v>
      </c>
      <c r="B42019" t="s">
        <v>1607</v>
      </c>
      <c r="C42019" t="s">
        <v>24854</v>
      </c>
      <c r="D42019" s="21" t="s">
        <v>24820</v>
      </c>
      <c r="E42019" s="21" t="s">
        <v>35</v>
      </c>
      <c r="F42019">
        <v>6880066</v>
      </c>
      <c r="G42019" t="s">
        <v>4833</v>
      </c>
      <c r="H42019" s="21">
        <v>496</v>
      </c>
    </row>
    <row r="42020" spans="1:8" customFormat="1" x14ac:dyDescent="0.25">
      <c r="A42020" t="str">
        <f>"6111200"</f>
        <v>6111200</v>
      </c>
      <c r="B42020" t="s">
        <v>10937</v>
      </c>
      <c r="C42020" t="s">
        <v>25544</v>
      </c>
      <c r="D42020" s="21" t="s">
        <v>24820</v>
      </c>
      <c r="E42020" s="21" t="s">
        <v>35</v>
      </c>
      <c r="F42020">
        <v>9610144</v>
      </c>
      <c r="G42020" t="s">
        <v>6311</v>
      </c>
      <c r="H42020" s="21">
        <v>496</v>
      </c>
    </row>
    <row r="42021" spans="1:8" customFormat="1" x14ac:dyDescent="0.25">
      <c r="A42021" t="str">
        <f>"1614151"</f>
        <v>1614151</v>
      </c>
      <c r="B42021" t="s">
        <v>26237</v>
      </c>
      <c r="C42021" t="s">
        <v>24831</v>
      </c>
      <c r="D42021" s="21" t="s">
        <v>24820</v>
      </c>
      <c r="E42021" s="21" t="s">
        <v>35</v>
      </c>
      <c r="F42021">
        <v>10160069</v>
      </c>
      <c r="G42021" t="s">
        <v>5379</v>
      </c>
      <c r="H42021" s="21">
        <v>496</v>
      </c>
    </row>
    <row r="42022" spans="1:8" customFormat="1" x14ac:dyDescent="0.25">
      <c r="A42022" t="str">
        <f>"5010378"</f>
        <v>5010378</v>
      </c>
      <c r="B42022" t="s">
        <v>9775</v>
      </c>
      <c r="C42022" t="s">
        <v>26262</v>
      </c>
      <c r="D42022" s="21" t="s">
        <v>24820</v>
      </c>
      <c r="E42022" s="21" t="s">
        <v>71</v>
      </c>
      <c r="F42022">
        <v>9500010</v>
      </c>
      <c r="G42022" t="s">
        <v>5975</v>
      </c>
      <c r="H42022" s="21">
        <v>496</v>
      </c>
    </row>
    <row r="42023" spans="1:8" customFormat="1" x14ac:dyDescent="0.25">
      <c r="A42023" t="str">
        <f>"5429047"</f>
        <v>5429047</v>
      </c>
      <c r="B42023" t="s">
        <v>26205</v>
      </c>
      <c r="C42023" t="s">
        <v>25008</v>
      </c>
      <c r="D42023" s="21" t="s">
        <v>24820</v>
      </c>
      <c r="E42023" s="21" t="s">
        <v>71</v>
      </c>
      <c r="F42023">
        <v>6540157</v>
      </c>
      <c r="G42023" t="s">
        <v>10647</v>
      </c>
      <c r="H42023" s="21">
        <v>496</v>
      </c>
    </row>
    <row r="42024" spans="1:8" customFormat="1" x14ac:dyDescent="0.25">
      <c r="A42024" t="str">
        <f>"0612036"</f>
        <v>0612036</v>
      </c>
      <c r="B42024" t="s">
        <v>1869</v>
      </c>
      <c r="C42024" t="s">
        <v>25954</v>
      </c>
      <c r="D42024" s="21" t="s">
        <v>24820</v>
      </c>
      <c r="E42024" s="21" t="s">
        <v>35</v>
      </c>
      <c r="F42024">
        <v>13060111</v>
      </c>
      <c r="G42024" t="s">
        <v>26647</v>
      </c>
      <c r="H42024" s="21">
        <v>496</v>
      </c>
    </row>
    <row r="42025" spans="1:8" customFormat="1" x14ac:dyDescent="0.25">
      <c r="A42025" t="str">
        <f>"4525431"</f>
        <v>4525431</v>
      </c>
      <c r="B42025" t="s">
        <v>26056</v>
      </c>
      <c r="C42025" t="s">
        <v>25178</v>
      </c>
      <c r="D42025" s="21" t="s">
        <v>24820</v>
      </c>
      <c r="E42025" s="21" t="s">
        <v>71</v>
      </c>
      <c r="F42025">
        <v>4450410</v>
      </c>
      <c r="G42025" t="s">
        <v>26525</v>
      </c>
      <c r="H42025" s="21">
        <v>496</v>
      </c>
    </row>
    <row r="42026" spans="1:8" customFormat="1" x14ac:dyDescent="0.25">
      <c r="A42026" t="str">
        <f>"7111481"</f>
        <v>7111481</v>
      </c>
      <c r="B42026" t="s">
        <v>3424</v>
      </c>
      <c r="C42026" t="s">
        <v>23734</v>
      </c>
      <c r="D42026" s="21" t="s">
        <v>24820</v>
      </c>
      <c r="E42026" s="21" t="s">
        <v>35</v>
      </c>
      <c r="F42026">
        <v>2710049</v>
      </c>
      <c r="G42026" t="s">
        <v>11357</v>
      </c>
      <c r="H42026" s="21">
        <v>496</v>
      </c>
    </row>
    <row r="42027" spans="1:8" customFormat="1" x14ac:dyDescent="0.25">
      <c r="A42027" t="str">
        <f>"8017316"</f>
        <v>8017316</v>
      </c>
      <c r="B42027" t="s">
        <v>25600</v>
      </c>
      <c r="C42027" t="s">
        <v>25601</v>
      </c>
      <c r="D42027" s="21" t="s">
        <v>24820</v>
      </c>
      <c r="E42027" s="21" t="s">
        <v>35</v>
      </c>
      <c r="F42027">
        <v>7800141</v>
      </c>
      <c r="G42027" t="s">
        <v>9939</v>
      </c>
      <c r="H42027" s="21">
        <v>496</v>
      </c>
    </row>
    <row r="42028" spans="1:8" customFormat="1" x14ac:dyDescent="0.25">
      <c r="A42028" t="str">
        <f>"1317680"</f>
        <v>1317680</v>
      </c>
      <c r="B42028" t="s">
        <v>26132</v>
      </c>
      <c r="C42028" t="s">
        <v>25317</v>
      </c>
      <c r="D42028" s="21" t="s">
        <v>24820</v>
      </c>
      <c r="E42028" s="21" t="s">
        <v>254</v>
      </c>
      <c r="F42028">
        <v>13130152</v>
      </c>
      <c r="G42028" t="s">
        <v>906</v>
      </c>
      <c r="H42028" s="21">
        <v>495.92</v>
      </c>
    </row>
    <row r="42029" spans="1:8" customFormat="1" x14ac:dyDescent="0.25">
      <c r="A42029" t="str">
        <f>"8816249"</f>
        <v>8816249</v>
      </c>
      <c r="B42029" t="s">
        <v>197</v>
      </c>
      <c r="C42029" t="s">
        <v>24915</v>
      </c>
      <c r="D42029" s="21" t="s">
        <v>24820</v>
      </c>
      <c r="E42029" s="21" t="s">
        <v>35</v>
      </c>
      <c r="F42029">
        <v>6880140</v>
      </c>
      <c r="G42029" t="s">
        <v>4827</v>
      </c>
      <c r="H42029" s="21">
        <v>495.92</v>
      </c>
    </row>
    <row r="42030" spans="1:8" customFormat="1" x14ac:dyDescent="0.25">
      <c r="A42030" t="str">
        <f>"366617"</f>
        <v>366617</v>
      </c>
      <c r="B42030" t="s">
        <v>9181</v>
      </c>
      <c r="C42030" t="s">
        <v>22831</v>
      </c>
      <c r="D42030" s="21" t="s">
        <v>24820</v>
      </c>
      <c r="E42030" s="21" t="s">
        <v>71</v>
      </c>
      <c r="F42030">
        <v>4360728</v>
      </c>
      <c r="G42030" t="s">
        <v>12735</v>
      </c>
      <c r="H42030" s="21">
        <v>495.75</v>
      </c>
    </row>
    <row r="42031" spans="1:8" customFormat="1" x14ac:dyDescent="0.25">
      <c r="A42031" t="str">
        <f>"4444997"</f>
        <v>4444997</v>
      </c>
      <c r="B42031" t="s">
        <v>26008</v>
      </c>
      <c r="C42031" t="s">
        <v>24889</v>
      </c>
      <c r="D42031" s="21" t="s">
        <v>24820</v>
      </c>
      <c r="E42031" s="21" t="s">
        <v>35</v>
      </c>
      <c r="F42031">
        <v>12440029</v>
      </c>
      <c r="G42031" t="s">
        <v>567</v>
      </c>
      <c r="H42031" s="21">
        <v>495.5</v>
      </c>
    </row>
    <row r="42032" spans="1:8" customFormat="1" x14ac:dyDescent="0.25">
      <c r="A42032" t="str">
        <f>"4444852"</f>
        <v>4444852</v>
      </c>
      <c r="B42032" t="s">
        <v>16554</v>
      </c>
      <c r="C42032" t="s">
        <v>25594</v>
      </c>
      <c r="D42032" s="21" t="s">
        <v>24820</v>
      </c>
      <c r="E42032" s="21" t="s">
        <v>71</v>
      </c>
      <c r="F42032">
        <v>12440021</v>
      </c>
      <c r="G42032" t="s">
        <v>429</v>
      </c>
      <c r="H42032" s="21">
        <v>495.5</v>
      </c>
    </row>
    <row r="42033" spans="1:8" customFormat="1" x14ac:dyDescent="0.25">
      <c r="A42033" t="str">
        <f>"7869224"</f>
        <v>7869224</v>
      </c>
      <c r="B42033" t="s">
        <v>17255</v>
      </c>
      <c r="C42033" t="s">
        <v>23734</v>
      </c>
      <c r="D42033" s="21" t="s">
        <v>24820</v>
      </c>
      <c r="E42033" s="21" t="s">
        <v>71</v>
      </c>
      <c r="F42033">
        <v>8780585</v>
      </c>
      <c r="G42033" t="s">
        <v>4630</v>
      </c>
      <c r="H42033" s="21">
        <v>495.5</v>
      </c>
    </row>
    <row r="42034" spans="1:8" customFormat="1" x14ac:dyDescent="0.25">
      <c r="A42034" t="str">
        <f>"396871"</f>
        <v>396871</v>
      </c>
      <c r="B42034" t="s">
        <v>18775</v>
      </c>
      <c r="C42034" t="s">
        <v>24932</v>
      </c>
      <c r="D42034" s="21" t="s">
        <v>24820</v>
      </c>
      <c r="E42034" s="21" t="s">
        <v>35</v>
      </c>
      <c r="F42034">
        <v>2390094</v>
      </c>
      <c r="G42034" t="s">
        <v>14784</v>
      </c>
      <c r="H42034" s="21">
        <v>495.5</v>
      </c>
    </row>
    <row r="42035" spans="1:8" customFormat="1" x14ac:dyDescent="0.25">
      <c r="A42035" t="str">
        <f>"8019490"</f>
        <v>8019490</v>
      </c>
      <c r="B42035" t="s">
        <v>1090</v>
      </c>
      <c r="C42035" t="s">
        <v>25646</v>
      </c>
      <c r="D42035" s="21" t="s">
        <v>24820</v>
      </c>
      <c r="E42035" s="21" t="s">
        <v>71</v>
      </c>
      <c r="F42035">
        <v>7800001</v>
      </c>
      <c r="G42035" t="s">
        <v>176</v>
      </c>
      <c r="H42035" s="21">
        <v>495.5</v>
      </c>
    </row>
    <row r="42036" spans="1:8" customFormat="1" x14ac:dyDescent="0.25">
      <c r="A42036" t="str">
        <f>"895076"</f>
        <v>895076</v>
      </c>
      <c r="B42036" t="s">
        <v>14609</v>
      </c>
      <c r="C42036" t="s">
        <v>24840</v>
      </c>
      <c r="D42036" s="21" t="s">
        <v>24820</v>
      </c>
      <c r="E42036" s="21" t="s">
        <v>35</v>
      </c>
      <c r="F42036">
        <v>2890006</v>
      </c>
      <c r="G42036" t="s">
        <v>2044</v>
      </c>
      <c r="H42036" s="21">
        <v>495.38</v>
      </c>
    </row>
    <row r="42037" spans="1:8" customFormat="1" x14ac:dyDescent="0.25">
      <c r="A42037" t="str">
        <f>"3721079"</f>
        <v>3721079</v>
      </c>
      <c r="B42037" t="s">
        <v>16374</v>
      </c>
      <c r="C42037" t="s">
        <v>24897</v>
      </c>
      <c r="D42037" s="21" t="s">
        <v>24820</v>
      </c>
      <c r="E42037" s="21" t="s">
        <v>254</v>
      </c>
      <c r="F42037">
        <v>4370682</v>
      </c>
      <c r="G42037" t="s">
        <v>10454</v>
      </c>
      <c r="H42037" s="21">
        <v>495</v>
      </c>
    </row>
    <row r="42038" spans="1:8" customFormat="1" x14ac:dyDescent="0.25">
      <c r="A42038" t="str">
        <f>"5616454"</f>
        <v>5616454</v>
      </c>
      <c r="B42038" t="s">
        <v>14097</v>
      </c>
      <c r="C42038" t="s">
        <v>24873</v>
      </c>
      <c r="D42038" s="21" t="s">
        <v>24820</v>
      </c>
      <c r="E42038" s="21" t="s">
        <v>71</v>
      </c>
      <c r="F42038">
        <v>3560053</v>
      </c>
      <c r="G42038" t="s">
        <v>298</v>
      </c>
      <c r="H42038" s="21">
        <v>495</v>
      </c>
    </row>
    <row r="42039" spans="1:8" customFormat="1" x14ac:dyDescent="0.25">
      <c r="A42039" t="str">
        <f>"3529541"</f>
        <v>3529541</v>
      </c>
      <c r="B42039" t="s">
        <v>4499</v>
      </c>
      <c r="C42039" t="s">
        <v>25386</v>
      </c>
      <c r="D42039" s="21" t="s">
        <v>24820</v>
      </c>
      <c r="E42039" s="21" t="s">
        <v>254</v>
      </c>
      <c r="F42039">
        <v>3350030</v>
      </c>
      <c r="G42039" t="s">
        <v>4549</v>
      </c>
      <c r="H42039" s="21">
        <v>495</v>
      </c>
    </row>
    <row r="42040" spans="1:8" customFormat="1" x14ac:dyDescent="0.25">
      <c r="A42040" t="str">
        <f>"4511957"</f>
        <v>4511957</v>
      </c>
      <c r="B42040" t="s">
        <v>12413</v>
      </c>
      <c r="C42040" t="s">
        <v>24854</v>
      </c>
      <c r="D42040" s="21" t="s">
        <v>24820</v>
      </c>
      <c r="E42040" s="21" t="s">
        <v>71</v>
      </c>
      <c r="F42040">
        <v>4450413</v>
      </c>
      <c r="G42040" t="s">
        <v>11734</v>
      </c>
      <c r="H42040" s="21">
        <v>495</v>
      </c>
    </row>
    <row r="42041" spans="1:8" customFormat="1" x14ac:dyDescent="0.25">
      <c r="A42041" t="str">
        <f>"9434064"</f>
        <v>9434064</v>
      </c>
      <c r="B42041" t="s">
        <v>25918</v>
      </c>
      <c r="C42041" t="s">
        <v>25425</v>
      </c>
      <c r="D42041" s="21" t="s">
        <v>24820</v>
      </c>
      <c r="E42041" s="21" t="s">
        <v>254</v>
      </c>
      <c r="F42041">
        <v>8940975</v>
      </c>
      <c r="G42041" t="s">
        <v>7959</v>
      </c>
      <c r="H42041" s="21">
        <v>495</v>
      </c>
    </row>
    <row r="42042" spans="1:8" customFormat="1" x14ac:dyDescent="0.25">
      <c r="A42042" t="str">
        <f>"4711413"</f>
        <v>4711413</v>
      </c>
      <c r="B42042" t="s">
        <v>25672</v>
      </c>
      <c r="C42042" t="s">
        <v>24867</v>
      </c>
      <c r="D42042" s="21" t="s">
        <v>24820</v>
      </c>
      <c r="E42042" s="21" t="s">
        <v>35</v>
      </c>
      <c r="F42042">
        <v>10470001</v>
      </c>
      <c r="G42042" t="s">
        <v>391</v>
      </c>
      <c r="H42042" s="21">
        <v>495</v>
      </c>
    </row>
    <row r="42043" spans="1:8" customFormat="1" x14ac:dyDescent="0.25">
      <c r="A42043" t="str">
        <f>"5621909"</f>
        <v>5621909</v>
      </c>
      <c r="B42043" t="s">
        <v>20613</v>
      </c>
      <c r="C42043" t="s">
        <v>26256</v>
      </c>
      <c r="D42043" s="21" t="s">
        <v>24820</v>
      </c>
      <c r="E42043" s="21" t="s">
        <v>35</v>
      </c>
      <c r="F42043">
        <v>3560050</v>
      </c>
      <c r="G42043" t="s">
        <v>5322</v>
      </c>
      <c r="H42043" s="21">
        <v>495</v>
      </c>
    </row>
    <row r="42044" spans="1:8" customFormat="1" x14ac:dyDescent="0.25">
      <c r="A42044" t="str">
        <f>"9130204"</f>
        <v>9130204</v>
      </c>
      <c r="B42044" t="s">
        <v>2308</v>
      </c>
      <c r="C42044" t="s">
        <v>24867</v>
      </c>
      <c r="D42044" s="21" t="s">
        <v>24820</v>
      </c>
      <c r="E42044" s="21" t="s">
        <v>35</v>
      </c>
      <c r="F42044">
        <v>8910652</v>
      </c>
      <c r="G42044" t="s">
        <v>6533</v>
      </c>
      <c r="H42044" s="21">
        <v>495</v>
      </c>
    </row>
    <row r="42045" spans="1:8" customFormat="1" x14ac:dyDescent="0.25">
      <c r="A42045" t="str">
        <f>"3727094"</f>
        <v>3727094</v>
      </c>
      <c r="B42045" t="s">
        <v>25683</v>
      </c>
      <c r="C42045" t="s">
        <v>24833</v>
      </c>
      <c r="D42045" s="21" t="s">
        <v>24820</v>
      </c>
      <c r="E42045" s="21" t="s">
        <v>35</v>
      </c>
      <c r="F42045">
        <v>4370596</v>
      </c>
      <c r="G42045" t="s">
        <v>9270</v>
      </c>
      <c r="H42045" s="21">
        <v>495</v>
      </c>
    </row>
    <row r="42046" spans="1:8" customFormat="1" x14ac:dyDescent="0.25">
      <c r="A42046" t="str">
        <f>"9110849"</f>
        <v>9110849</v>
      </c>
      <c r="B42046" t="s">
        <v>6805</v>
      </c>
      <c r="C42046" t="s">
        <v>23966</v>
      </c>
      <c r="D42046" s="21" t="s">
        <v>24820</v>
      </c>
      <c r="E42046" s="21" t="s">
        <v>35</v>
      </c>
      <c r="F42046">
        <v>8910004</v>
      </c>
      <c r="G42046" t="s">
        <v>9637</v>
      </c>
      <c r="H42046" s="21">
        <v>494.75</v>
      </c>
    </row>
    <row r="42047" spans="1:8" customFormat="1" x14ac:dyDescent="0.25">
      <c r="A42047" t="str">
        <f>"635949"</f>
        <v>635949</v>
      </c>
      <c r="B42047" t="s">
        <v>11035</v>
      </c>
      <c r="C42047" t="s">
        <v>25056</v>
      </c>
      <c r="D42047" s="21" t="s">
        <v>24820</v>
      </c>
      <c r="E42047" s="21" t="s">
        <v>254</v>
      </c>
      <c r="F42047">
        <v>1630301</v>
      </c>
      <c r="G42047" t="s">
        <v>7897</v>
      </c>
      <c r="H42047" s="21">
        <v>494.67</v>
      </c>
    </row>
    <row r="42048" spans="1:8" customFormat="1" x14ac:dyDescent="0.25">
      <c r="A42048" t="str">
        <f>"7834329"</f>
        <v>7834329</v>
      </c>
      <c r="B42048" t="s">
        <v>26103</v>
      </c>
      <c r="C42048" t="s">
        <v>26104</v>
      </c>
      <c r="D42048" s="21" t="s">
        <v>24820</v>
      </c>
      <c r="E42048" s="21" t="s">
        <v>35</v>
      </c>
      <c r="F42048">
        <v>8780130</v>
      </c>
      <c r="G42048" t="s">
        <v>5752</v>
      </c>
      <c r="H42048" s="21">
        <v>494.62</v>
      </c>
    </row>
    <row r="42049" spans="1:8" customFormat="1" x14ac:dyDescent="0.25">
      <c r="A42049" t="str">
        <f>"9249031"</f>
        <v>9249031</v>
      </c>
      <c r="B42049" t="s">
        <v>26154</v>
      </c>
      <c r="C42049" t="s">
        <v>26155</v>
      </c>
      <c r="D42049" s="21" t="s">
        <v>24820</v>
      </c>
      <c r="E42049" s="21" t="s">
        <v>71</v>
      </c>
      <c r="F42049">
        <v>8920076</v>
      </c>
      <c r="G42049" t="s">
        <v>2281</v>
      </c>
      <c r="H42049" s="21">
        <v>494.62</v>
      </c>
    </row>
    <row r="42050" spans="1:8" customFormat="1" x14ac:dyDescent="0.25">
      <c r="A42050" t="str">
        <f>"9141475"</f>
        <v>9141475</v>
      </c>
      <c r="B42050" t="s">
        <v>26118</v>
      </c>
      <c r="C42050" t="s">
        <v>25015</v>
      </c>
      <c r="D42050" s="21" t="s">
        <v>24820</v>
      </c>
      <c r="E42050" s="21" t="s">
        <v>71</v>
      </c>
      <c r="F42050">
        <v>8910914</v>
      </c>
      <c r="G42050" t="s">
        <v>3302</v>
      </c>
      <c r="H42050" s="21">
        <v>494.5</v>
      </c>
    </row>
    <row r="42051" spans="1:8" customFormat="1" x14ac:dyDescent="0.25">
      <c r="A42051" t="str">
        <f>"9312683"</f>
        <v>9312683</v>
      </c>
      <c r="B42051" t="s">
        <v>1462</v>
      </c>
      <c r="C42051" t="s">
        <v>25200</v>
      </c>
      <c r="D42051" s="21" t="s">
        <v>24820</v>
      </c>
      <c r="E42051" s="21" t="s">
        <v>71</v>
      </c>
      <c r="F42051">
        <v>8780584</v>
      </c>
      <c r="G42051" t="s">
        <v>18410</v>
      </c>
      <c r="H42051" s="21">
        <v>494.5</v>
      </c>
    </row>
    <row r="42052" spans="1:8" customFormat="1" x14ac:dyDescent="0.25">
      <c r="A42052" t="str">
        <f>"3831615"</f>
        <v>3831615</v>
      </c>
      <c r="B42052" t="s">
        <v>12185</v>
      </c>
      <c r="C42052" t="s">
        <v>24828</v>
      </c>
      <c r="D42052" s="21" t="s">
        <v>24820</v>
      </c>
      <c r="E42052" s="21" t="s">
        <v>35</v>
      </c>
      <c r="F42052">
        <v>1380273</v>
      </c>
      <c r="G42052" t="s">
        <v>7554</v>
      </c>
      <c r="H42052" s="21">
        <v>494.5</v>
      </c>
    </row>
    <row r="42053" spans="1:8" customFormat="1" x14ac:dyDescent="0.25">
      <c r="A42053" t="str">
        <f>"3523780"</f>
        <v>3523780</v>
      </c>
      <c r="B42053" t="s">
        <v>26308</v>
      </c>
      <c r="C42053" t="s">
        <v>26309</v>
      </c>
      <c r="D42053" s="21" t="s">
        <v>24820</v>
      </c>
      <c r="E42053" s="21" t="s">
        <v>71</v>
      </c>
      <c r="F42053">
        <v>3350030</v>
      </c>
      <c r="G42053" t="s">
        <v>4549</v>
      </c>
      <c r="H42053" s="21">
        <v>494.5</v>
      </c>
    </row>
    <row r="42054" spans="1:8" customFormat="1" x14ac:dyDescent="0.25">
      <c r="A42054" t="str">
        <f>"3726311"</f>
        <v>3726311</v>
      </c>
      <c r="B42054" t="s">
        <v>3361</v>
      </c>
      <c r="C42054" t="s">
        <v>24894</v>
      </c>
      <c r="D42054" s="21" t="s">
        <v>24820</v>
      </c>
      <c r="E42054" s="21" t="s">
        <v>35</v>
      </c>
      <c r="F42054">
        <v>4370698</v>
      </c>
      <c r="G42054" t="s">
        <v>12547</v>
      </c>
      <c r="H42054" s="21">
        <v>494.5</v>
      </c>
    </row>
    <row r="42055" spans="1:8" customFormat="1" x14ac:dyDescent="0.25">
      <c r="A42055" t="str">
        <f>"7834979"</f>
        <v>7834979</v>
      </c>
      <c r="B42055" t="s">
        <v>3555</v>
      </c>
      <c r="C42055" t="s">
        <v>26254</v>
      </c>
      <c r="D42055" s="21" t="s">
        <v>24820</v>
      </c>
      <c r="E42055" s="21" t="s">
        <v>254</v>
      </c>
      <c r="F42055">
        <v>8780660</v>
      </c>
      <c r="G42055" t="s">
        <v>2801</v>
      </c>
      <c r="H42055" s="21">
        <v>494.25</v>
      </c>
    </row>
    <row r="42056" spans="1:8" customFormat="1" x14ac:dyDescent="0.25">
      <c r="A42056" t="str">
        <f>"7877675"</f>
        <v>7877675</v>
      </c>
      <c r="B42056" t="s">
        <v>4611</v>
      </c>
      <c r="C42056" t="s">
        <v>24914</v>
      </c>
      <c r="D42056" s="21" t="s">
        <v>24820</v>
      </c>
      <c r="E42056" s="21" t="s">
        <v>35</v>
      </c>
      <c r="F42056">
        <v>8780440</v>
      </c>
      <c r="G42056" t="s">
        <v>6629</v>
      </c>
      <c r="H42056" s="21">
        <v>494.25</v>
      </c>
    </row>
    <row r="42057" spans="1:8" customFormat="1" x14ac:dyDescent="0.25">
      <c r="A42057" t="str">
        <f>"1614666"</f>
        <v>1614666</v>
      </c>
      <c r="B42057" t="s">
        <v>30027</v>
      </c>
      <c r="C42057" t="s">
        <v>23734</v>
      </c>
      <c r="D42057" s="21" t="s">
        <v>24820</v>
      </c>
      <c r="E42057" s="21" t="s">
        <v>71</v>
      </c>
      <c r="F42057">
        <v>10160225</v>
      </c>
      <c r="G42057" t="s">
        <v>2865</v>
      </c>
      <c r="H42057" s="21">
        <v>494.25</v>
      </c>
    </row>
    <row r="42058" spans="1:8" customFormat="1" x14ac:dyDescent="0.25">
      <c r="A42058" t="str">
        <f>"199051"</f>
        <v>199051</v>
      </c>
      <c r="B42058" t="s">
        <v>2854</v>
      </c>
      <c r="C42058" t="s">
        <v>25569</v>
      </c>
      <c r="D42058" s="21" t="s">
        <v>24820</v>
      </c>
      <c r="E42058" s="21" t="s">
        <v>35</v>
      </c>
      <c r="F42058">
        <v>10190043</v>
      </c>
      <c r="G42058" t="s">
        <v>10703</v>
      </c>
      <c r="H42058" s="21">
        <v>494.17</v>
      </c>
    </row>
    <row r="42059" spans="1:8" customFormat="1" x14ac:dyDescent="0.25">
      <c r="A42059" t="str">
        <f>"1426212"</f>
        <v>1426212</v>
      </c>
      <c r="B42059" t="s">
        <v>30028</v>
      </c>
      <c r="C42059" t="s">
        <v>24947</v>
      </c>
      <c r="D42059" s="21" t="s">
        <v>24820</v>
      </c>
      <c r="E42059" s="21" t="s">
        <v>71</v>
      </c>
      <c r="F42059">
        <v>9140003</v>
      </c>
      <c r="G42059" t="s">
        <v>6152</v>
      </c>
      <c r="H42059" s="21">
        <v>494.17</v>
      </c>
    </row>
    <row r="42060" spans="1:8" customFormat="1" x14ac:dyDescent="0.25">
      <c r="A42060" t="str">
        <f>"7215474"</f>
        <v>7215474</v>
      </c>
      <c r="B42060" t="s">
        <v>1886</v>
      </c>
      <c r="C42060" t="s">
        <v>24686</v>
      </c>
      <c r="D42060" s="21" t="s">
        <v>24820</v>
      </c>
      <c r="E42060" s="21" t="s">
        <v>71</v>
      </c>
      <c r="F42060">
        <v>12720056</v>
      </c>
      <c r="G42060" t="s">
        <v>9231</v>
      </c>
      <c r="H42060" s="21">
        <v>494</v>
      </c>
    </row>
    <row r="42061" spans="1:8" customFormat="1" x14ac:dyDescent="0.25">
      <c r="A42061" t="str">
        <f>"123688"</f>
        <v>123688</v>
      </c>
      <c r="B42061" t="s">
        <v>1773</v>
      </c>
      <c r="C42061" t="s">
        <v>25505</v>
      </c>
      <c r="D42061" s="21" t="s">
        <v>24820</v>
      </c>
      <c r="E42061" s="21" t="s">
        <v>35</v>
      </c>
      <c r="F42061">
        <v>11120021</v>
      </c>
      <c r="G42061" t="s">
        <v>8398</v>
      </c>
      <c r="H42061" s="21">
        <v>494</v>
      </c>
    </row>
    <row r="42062" spans="1:8" customFormat="1" x14ac:dyDescent="0.25">
      <c r="A42062" t="str">
        <f>"0615341"</f>
        <v>0615341</v>
      </c>
      <c r="B42062" t="s">
        <v>25634</v>
      </c>
      <c r="C42062" t="s">
        <v>263</v>
      </c>
      <c r="D42062" s="21" t="s">
        <v>24820</v>
      </c>
      <c r="E42062" s="21" t="s">
        <v>71</v>
      </c>
      <c r="F42062">
        <v>13060102</v>
      </c>
      <c r="G42062" t="s">
        <v>2918</v>
      </c>
      <c r="H42062" s="21">
        <v>494</v>
      </c>
    </row>
    <row r="42063" spans="1:8" customFormat="1" x14ac:dyDescent="0.25">
      <c r="A42063" t="str">
        <f>"197099"</f>
        <v>197099</v>
      </c>
      <c r="B42063" t="s">
        <v>26127</v>
      </c>
      <c r="C42063" t="s">
        <v>25086</v>
      </c>
      <c r="D42063" s="21" t="s">
        <v>24820</v>
      </c>
      <c r="E42063" s="21" t="s">
        <v>71</v>
      </c>
      <c r="F42063">
        <v>10190054</v>
      </c>
      <c r="G42063" t="s">
        <v>4189</v>
      </c>
      <c r="H42063" s="21">
        <v>494</v>
      </c>
    </row>
    <row r="42064" spans="1:8" customFormat="1" x14ac:dyDescent="0.25">
      <c r="A42064" t="str">
        <f>"3726100"</f>
        <v>3726100</v>
      </c>
      <c r="B42064" t="s">
        <v>26030</v>
      </c>
      <c r="C42064" t="s">
        <v>24962</v>
      </c>
      <c r="D42064" s="21" t="s">
        <v>24820</v>
      </c>
      <c r="E42064" s="21" t="s">
        <v>71</v>
      </c>
      <c r="F42064">
        <v>4370669</v>
      </c>
      <c r="G42064" t="s">
        <v>8189</v>
      </c>
      <c r="H42064" s="21">
        <v>494</v>
      </c>
    </row>
    <row r="42065" spans="1:8" customFormat="1" x14ac:dyDescent="0.25">
      <c r="A42065" t="str">
        <f>"4431010"</f>
        <v>4431010</v>
      </c>
      <c r="B42065" t="s">
        <v>25630</v>
      </c>
      <c r="C42065" t="s">
        <v>24852</v>
      </c>
      <c r="D42065" s="21" t="s">
        <v>24820</v>
      </c>
      <c r="E42065" s="21" t="s">
        <v>71</v>
      </c>
      <c r="F42065">
        <v>12440015</v>
      </c>
      <c r="G42065" t="s">
        <v>8421</v>
      </c>
      <c r="H42065" s="21">
        <v>494</v>
      </c>
    </row>
    <row r="42066" spans="1:8" customFormat="1" x14ac:dyDescent="0.25">
      <c r="A42066" t="str">
        <f>"6020922"</f>
        <v>6020922</v>
      </c>
      <c r="B42066" t="s">
        <v>575</v>
      </c>
      <c r="C42066" t="s">
        <v>23734</v>
      </c>
      <c r="D42066" s="21" t="s">
        <v>24820</v>
      </c>
      <c r="E42066" s="21" t="s">
        <v>71</v>
      </c>
      <c r="F42066">
        <v>7600027</v>
      </c>
      <c r="G42066" t="s">
        <v>2137</v>
      </c>
      <c r="H42066" s="21">
        <v>494</v>
      </c>
    </row>
    <row r="42067" spans="1:8" customFormat="1" x14ac:dyDescent="0.25">
      <c r="A42067" t="str">
        <f>"5622072"</f>
        <v>5622072</v>
      </c>
      <c r="B42067" t="s">
        <v>30029</v>
      </c>
      <c r="C42067" t="s">
        <v>30030</v>
      </c>
      <c r="D42067" s="21" t="s">
        <v>24820</v>
      </c>
      <c r="E42067" s="21" t="s">
        <v>71</v>
      </c>
      <c r="F42067">
        <v>3560049</v>
      </c>
      <c r="G42067" t="s">
        <v>8021</v>
      </c>
      <c r="H42067" s="21">
        <v>494</v>
      </c>
    </row>
    <row r="42068" spans="1:8" customFormat="1" x14ac:dyDescent="0.25">
      <c r="A42068" t="str">
        <f>"089584"</f>
        <v>089584</v>
      </c>
      <c r="B42068" t="s">
        <v>26272</v>
      </c>
      <c r="C42068" t="s">
        <v>24867</v>
      </c>
      <c r="D42068" s="21" t="s">
        <v>24820</v>
      </c>
      <c r="E42068" s="21" t="s">
        <v>71</v>
      </c>
      <c r="F42068">
        <v>6080053</v>
      </c>
      <c r="G42068" t="s">
        <v>12951</v>
      </c>
      <c r="H42068" s="21">
        <v>494</v>
      </c>
    </row>
    <row r="42069" spans="1:8" customFormat="1" x14ac:dyDescent="0.25">
      <c r="A42069" t="str">
        <f>"9445412"</f>
        <v>9445412</v>
      </c>
      <c r="B42069" t="s">
        <v>26283</v>
      </c>
      <c r="C42069" t="s">
        <v>24889</v>
      </c>
      <c r="D42069" s="21" t="s">
        <v>24820</v>
      </c>
      <c r="E42069" s="21" t="s">
        <v>35</v>
      </c>
      <c r="F42069">
        <v>8940459</v>
      </c>
      <c r="G42069" t="s">
        <v>743</v>
      </c>
      <c r="H42069" s="21">
        <v>493.75</v>
      </c>
    </row>
    <row r="42070" spans="1:8" customFormat="1" x14ac:dyDescent="0.25">
      <c r="A42070" t="str">
        <f>"1422884"</f>
        <v>1422884</v>
      </c>
      <c r="B42070" t="s">
        <v>9102</v>
      </c>
      <c r="C42070" t="s">
        <v>23734</v>
      </c>
      <c r="D42070" s="21" t="s">
        <v>24820</v>
      </c>
      <c r="E42070" s="21" t="s">
        <v>71</v>
      </c>
      <c r="F42070">
        <v>9140060</v>
      </c>
      <c r="G42070" t="s">
        <v>5773</v>
      </c>
      <c r="H42070" s="21">
        <v>493.75</v>
      </c>
    </row>
    <row r="42071" spans="1:8" customFormat="1" x14ac:dyDescent="0.25">
      <c r="A42071" t="str">
        <f>"2815058"</f>
        <v>2815058</v>
      </c>
      <c r="B42071" t="s">
        <v>30031</v>
      </c>
      <c r="C42071" t="s">
        <v>24958</v>
      </c>
      <c r="D42071" s="21" t="s">
        <v>24820</v>
      </c>
      <c r="E42071" s="21" t="s">
        <v>35</v>
      </c>
      <c r="F42071">
        <v>4280517</v>
      </c>
      <c r="G42071" t="s">
        <v>436</v>
      </c>
      <c r="H42071" s="21">
        <v>493.67</v>
      </c>
    </row>
    <row r="42072" spans="1:8" customFormat="1" x14ac:dyDescent="0.25">
      <c r="A42072" t="str">
        <f>"7715146"</f>
        <v>7715146</v>
      </c>
      <c r="B42072" t="s">
        <v>25619</v>
      </c>
      <c r="C42072" t="s">
        <v>25601</v>
      </c>
      <c r="D42072" s="21" t="s">
        <v>24820</v>
      </c>
      <c r="E42072" s="21" t="s">
        <v>35</v>
      </c>
      <c r="F42072">
        <v>8771085</v>
      </c>
      <c r="G42072" t="s">
        <v>11894</v>
      </c>
      <c r="H42072" s="21">
        <v>493.5</v>
      </c>
    </row>
    <row r="42073" spans="1:8" customFormat="1" x14ac:dyDescent="0.25">
      <c r="A42073" t="str">
        <f>"773398"</f>
        <v>773398</v>
      </c>
      <c r="B42073" t="s">
        <v>2656</v>
      </c>
      <c r="C42073" t="s">
        <v>24939</v>
      </c>
      <c r="D42073" s="21" t="s">
        <v>24820</v>
      </c>
      <c r="E42073" s="21" t="s">
        <v>6185</v>
      </c>
      <c r="F42073">
        <v>8770237</v>
      </c>
      <c r="G42073" t="s">
        <v>128</v>
      </c>
      <c r="H42073" s="21">
        <v>493.5</v>
      </c>
    </row>
    <row r="42074" spans="1:8" customFormat="1" x14ac:dyDescent="0.25">
      <c r="A42074" t="str">
        <f>"091696"</f>
        <v>091696</v>
      </c>
      <c r="B42074" t="s">
        <v>14812</v>
      </c>
      <c r="C42074" t="s">
        <v>24824</v>
      </c>
      <c r="D42074" s="21" t="s">
        <v>24820</v>
      </c>
      <c r="E42074" s="21" t="s">
        <v>35</v>
      </c>
      <c r="F42074">
        <v>11090019</v>
      </c>
      <c r="G42074" t="s">
        <v>5591</v>
      </c>
      <c r="H42074" s="21">
        <v>493.5</v>
      </c>
    </row>
    <row r="42075" spans="1:8" customFormat="1" x14ac:dyDescent="0.25">
      <c r="A42075" t="str">
        <f>"4433816"</f>
        <v>4433816</v>
      </c>
      <c r="B42075" t="s">
        <v>2726</v>
      </c>
      <c r="C42075" t="s">
        <v>25053</v>
      </c>
      <c r="D42075" s="21" t="s">
        <v>24820</v>
      </c>
      <c r="E42075" s="21" t="s">
        <v>35</v>
      </c>
      <c r="F42075">
        <v>9140111</v>
      </c>
      <c r="G42075" t="s">
        <v>3601</v>
      </c>
      <c r="H42075" s="21">
        <v>493.5</v>
      </c>
    </row>
    <row r="42076" spans="1:8" customFormat="1" x14ac:dyDescent="0.25">
      <c r="A42076" t="str">
        <f>"679376"</f>
        <v>679376</v>
      </c>
      <c r="B42076" t="s">
        <v>14144</v>
      </c>
      <c r="C42076" t="s">
        <v>24828</v>
      </c>
      <c r="D42076" s="21" t="s">
        <v>24820</v>
      </c>
      <c r="E42076" s="21" t="s">
        <v>35</v>
      </c>
      <c r="F42076">
        <v>6670272</v>
      </c>
      <c r="G42076" t="s">
        <v>26568</v>
      </c>
      <c r="H42076" s="21">
        <v>493.5</v>
      </c>
    </row>
    <row r="42077" spans="1:8" customFormat="1" x14ac:dyDescent="0.25">
      <c r="A42077" t="str">
        <f>"345400"</f>
        <v>345400</v>
      </c>
      <c r="B42077" t="s">
        <v>21366</v>
      </c>
      <c r="C42077" t="s">
        <v>24828</v>
      </c>
      <c r="D42077" s="21" t="s">
        <v>24820</v>
      </c>
      <c r="E42077" s="21" t="s">
        <v>71</v>
      </c>
      <c r="F42077">
        <v>11340060</v>
      </c>
      <c r="G42077" t="s">
        <v>1275</v>
      </c>
      <c r="H42077" s="21">
        <v>493.5</v>
      </c>
    </row>
    <row r="42078" spans="1:8" customFormat="1" x14ac:dyDescent="0.25">
      <c r="A42078" t="str">
        <f>"3344348"</f>
        <v>3344348</v>
      </c>
      <c r="B42078" t="s">
        <v>30032</v>
      </c>
      <c r="C42078" t="s">
        <v>24877</v>
      </c>
      <c r="D42078" s="21" t="s">
        <v>24820</v>
      </c>
      <c r="E42078" s="21" t="s">
        <v>71</v>
      </c>
      <c r="F42078">
        <v>10330037</v>
      </c>
      <c r="G42078" t="s">
        <v>5960</v>
      </c>
      <c r="H42078" s="21">
        <v>493.5</v>
      </c>
    </row>
    <row r="42079" spans="1:8" customFormat="1" x14ac:dyDescent="0.25">
      <c r="A42079" t="str">
        <f>"331272"</f>
        <v>331272</v>
      </c>
      <c r="B42079" t="s">
        <v>12549</v>
      </c>
      <c r="C42079" t="s">
        <v>25659</v>
      </c>
      <c r="D42079" s="21" t="s">
        <v>24820</v>
      </c>
      <c r="E42079" s="21" t="s">
        <v>1089</v>
      </c>
      <c r="F42079">
        <v>10330050</v>
      </c>
      <c r="G42079" t="s">
        <v>2488</v>
      </c>
      <c r="H42079" s="21">
        <v>493.5</v>
      </c>
    </row>
    <row r="42080" spans="1:8" customFormat="1" x14ac:dyDescent="0.25">
      <c r="A42080" t="str">
        <f>"7872844"</f>
        <v>7872844</v>
      </c>
      <c r="B42080" t="s">
        <v>30033</v>
      </c>
      <c r="C42080" t="s">
        <v>24854</v>
      </c>
      <c r="D42080" s="21" t="s">
        <v>24820</v>
      </c>
      <c r="E42080" s="21" t="s">
        <v>71</v>
      </c>
      <c r="F42080">
        <v>8780356</v>
      </c>
      <c r="G42080" t="s">
        <v>5449</v>
      </c>
      <c r="H42080" s="21">
        <v>493.25</v>
      </c>
    </row>
    <row r="42081" spans="1:8" customFormat="1" x14ac:dyDescent="0.25">
      <c r="A42081" t="str">
        <f>"245439"</f>
        <v>245439</v>
      </c>
      <c r="B42081" t="s">
        <v>8100</v>
      </c>
      <c r="C42081" t="s">
        <v>24932</v>
      </c>
      <c r="D42081" s="21" t="s">
        <v>24820</v>
      </c>
      <c r="E42081" s="21" t="s">
        <v>1089</v>
      </c>
      <c r="F42081">
        <v>10240014</v>
      </c>
      <c r="G42081" t="s">
        <v>5445</v>
      </c>
      <c r="H42081" s="21">
        <v>493</v>
      </c>
    </row>
    <row r="42082" spans="1:8" customFormat="1" x14ac:dyDescent="0.25">
      <c r="A42082" t="str">
        <f>"8516730"</f>
        <v>8516730</v>
      </c>
      <c r="B42082" t="s">
        <v>22757</v>
      </c>
      <c r="C42082" t="s">
        <v>24877</v>
      </c>
      <c r="D42082" s="21" t="s">
        <v>24820</v>
      </c>
      <c r="E42082" s="21" t="s">
        <v>71</v>
      </c>
      <c r="F42082">
        <v>12850046</v>
      </c>
      <c r="G42082" t="s">
        <v>3136</v>
      </c>
      <c r="H42082" s="21">
        <v>493</v>
      </c>
    </row>
    <row r="42083" spans="1:8" customFormat="1" x14ac:dyDescent="0.25">
      <c r="A42083" t="str">
        <f>"7879008"</f>
        <v>7879008</v>
      </c>
      <c r="B42083" t="s">
        <v>14870</v>
      </c>
      <c r="C42083" t="s">
        <v>13865</v>
      </c>
      <c r="D42083" s="21" t="s">
        <v>24820</v>
      </c>
      <c r="E42083" s="21" t="s">
        <v>71</v>
      </c>
      <c r="F42083">
        <v>8780892</v>
      </c>
      <c r="G42083" t="s">
        <v>3021</v>
      </c>
      <c r="H42083" s="21">
        <v>493</v>
      </c>
    </row>
    <row r="42084" spans="1:8" customFormat="1" x14ac:dyDescent="0.25">
      <c r="A42084" t="str">
        <f>"2720352"</f>
        <v>2720352</v>
      </c>
      <c r="B42084" t="s">
        <v>10143</v>
      </c>
      <c r="C42084" t="s">
        <v>24854</v>
      </c>
      <c r="D42084" s="21" t="s">
        <v>24820</v>
      </c>
      <c r="E42084" s="21" t="s">
        <v>71</v>
      </c>
      <c r="F42084">
        <v>9270021</v>
      </c>
      <c r="G42084" t="s">
        <v>4934</v>
      </c>
      <c r="H42084" s="21">
        <v>493</v>
      </c>
    </row>
    <row r="42085" spans="1:8" customFormat="1" x14ac:dyDescent="0.25">
      <c r="A42085" t="str">
        <f>"0617943"</f>
        <v>0617943</v>
      </c>
      <c r="B42085" t="s">
        <v>23998</v>
      </c>
      <c r="C42085" t="s">
        <v>24686</v>
      </c>
      <c r="D42085" s="21" t="s">
        <v>24820</v>
      </c>
      <c r="E42085" s="21" t="s">
        <v>35</v>
      </c>
      <c r="F42085">
        <v>13060037</v>
      </c>
      <c r="G42085" t="s">
        <v>9521</v>
      </c>
      <c r="H42085" s="21">
        <v>493</v>
      </c>
    </row>
    <row r="42086" spans="1:8" customFormat="1" x14ac:dyDescent="0.25">
      <c r="A42086" t="str">
        <f>"8019606"</f>
        <v>8019606</v>
      </c>
      <c r="B42086" t="s">
        <v>3812</v>
      </c>
      <c r="C42086" t="s">
        <v>24865</v>
      </c>
      <c r="D42086" s="21" t="s">
        <v>24820</v>
      </c>
      <c r="E42086" s="21" t="s">
        <v>35</v>
      </c>
      <c r="F42086">
        <v>7800008</v>
      </c>
      <c r="G42086" t="s">
        <v>842</v>
      </c>
      <c r="H42086" s="21">
        <v>493</v>
      </c>
    </row>
    <row r="42087" spans="1:8" customFormat="1" x14ac:dyDescent="0.25">
      <c r="A42087" t="str">
        <f>"3730290"</f>
        <v>3730290</v>
      </c>
      <c r="B42087" t="s">
        <v>12247</v>
      </c>
      <c r="C42087" t="s">
        <v>25033</v>
      </c>
      <c r="D42087" s="21" t="s">
        <v>24820</v>
      </c>
      <c r="E42087" s="21" t="s">
        <v>35</v>
      </c>
      <c r="F42087">
        <v>4370698</v>
      </c>
      <c r="G42087" t="s">
        <v>12547</v>
      </c>
      <c r="H42087" s="21">
        <v>493</v>
      </c>
    </row>
    <row r="42088" spans="1:8" customFormat="1" x14ac:dyDescent="0.25">
      <c r="A42088" t="str">
        <f>"7864829"</f>
        <v>7864829</v>
      </c>
      <c r="B42088" t="s">
        <v>30034</v>
      </c>
      <c r="C42088" t="s">
        <v>25217</v>
      </c>
      <c r="D42088" s="21" t="s">
        <v>24820</v>
      </c>
      <c r="E42088" s="21" t="s">
        <v>35</v>
      </c>
      <c r="F42088">
        <v>8911021</v>
      </c>
      <c r="G42088" t="s">
        <v>4198</v>
      </c>
      <c r="H42088" s="21">
        <v>492.75</v>
      </c>
    </row>
    <row r="42089" spans="1:8" customFormat="1" x14ac:dyDescent="0.25">
      <c r="A42089" t="str">
        <f>"7112369"</f>
        <v>7112369</v>
      </c>
      <c r="B42089" t="s">
        <v>1349</v>
      </c>
      <c r="C42089" t="s">
        <v>24833</v>
      </c>
      <c r="D42089" s="21" t="s">
        <v>24820</v>
      </c>
      <c r="E42089" s="21" t="s">
        <v>35</v>
      </c>
      <c r="F42089">
        <v>2710042</v>
      </c>
      <c r="G42089" t="s">
        <v>1997</v>
      </c>
      <c r="H42089" s="21">
        <v>492.75</v>
      </c>
    </row>
    <row r="42090" spans="1:8" customFormat="1" x14ac:dyDescent="0.25">
      <c r="A42090" t="str">
        <f>"9131472"</f>
        <v>9131472</v>
      </c>
      <c r="B42090" t="s">
        <v>26284</v>
      </c>
      <c r="C42090" t="s">
        <v>24914</v>
      </c>
      <c r="D42090" s="21" t="s">
        <v>24820</v>
      </c>
      <c r="E42090" s="21" t="s">
        <v>35</v>
      </c>
      <c r="F42090">
        <v>8910402</v>
      </c>
      <c r="G42090" t="s">
        <v>1371</v>
      </c>
      <c r="H42090" s="21">
        <v>492.75</v>
      </c>
    </row>
    <row r="42091" spans="1:8" customFormat="1" x14ac:dyDescent="0.25">
      <c r="A42091" t="str">
        <f>"9250865"</f>
        <v>9250865</v>
      </c>
      <c r="B42091" t="s">
        <v>25974</v>
      </c>
      <c r="C42091" t="s">
        <v>25975</v>
      </c>
      <c r="D42091" s="21" t="s">
        <v>24820</v>
      </c>
      <c r="E42091" s="21" t="s">
        <v>71</v>
      </c>
      <c r="F42091">
        <v>8920234</v>
      </c>
      <c r="G42091" t="s">
        <v>1184</v>
      </c>
      <c r="H42091" s="21">
        <v>492.75</v>
      </c>
    </row>
    <row r="42092" spans="1:8" customFormat="1" x14ac:dyDescent="0.25">
      <c r="A42092" t="str">
        <f>"7591"</f>
        <v>7591</v>
      </c>
      <c r="B42092" t="s">
        <v>25598</v>
      </c>
      <c r="C42092" t="s">
        <v>24952</v>
      </c>
      <c r="D42092" s="21" t="s">
        <v>24820</v>
      </c>
      <c r="E42092" s="21" t="s">
        <v>1089</v>
      </c>
      <c r="F42092">
        <v>8750120</v>
      </c>
      <c r="G42092" t="s">
        <v>838</v>
      </c>
      <c r="H42092" s="21">
        <v>492.5</v>
      </c>
    </row>
    <row r="42093" spans="1:8" customFormat="1" x14ac:dyDescent="0.25">
      <c r="A42093" t="str">
        <f>"9237420"</f>
        <v>9237420</v>
      </c>
      <c r="B42093" t="s">
        <v>2290</v>
      </c>
      <c r="C42093" t="s">
        <v>24994</v>
      </c>
      <c r="D42093" s="21" t="s">
        <v>24820</v>
      </c>
      <c r="E42093" s="21" t="s">
        <v>71</v>
      </c>
      <c r="F42093">
        <v>8920063</v>
      </c>
      <c r="G42093" t="s">
        <v>219</v>
      </c>
      <c r="H42093" s="21">
        <v>492.5</v>
      </c>
    </row>
    <row r="42094" spans="1:8" customFormat="1" x14ac:dyDescent="0.25">
      <c r="A42094" t="str">
        <f>"416988"</f>
        <v>416988</v>
      </c>
      <c r="B42094" t="s">
        <v>4711</v>
      </c>
      <c r="C42094" t="s">
        <v>4625</v>
      </c>
      <c r="D42094" s="21" t="s">
        <v>24820</v>
      </c>
      <c r="E42094" s="21" t="s">
        <v>35</v>
      </c>
      <c r="F42094">
        <v>4410466</v>
      </c>
      <c r="G42094" t="s">
        <v>678</v>
      </c>
      <c r="H42094" s="21">
        <v>492.5</v>
      </c>
    </row>
    <row r="42095" spans="1:8" customFormat="1" x14ac:dyDescent="0.25">
      <c r="A42095" t="str">
        <f>"068385"</f>
        <v>068385</v>
      </c>
      <c r="B42095" t="s">
        <v>25874</v>
      </c>
      <c r="C42095" t="s">
        <v>25107</v>
      </c>
      <c r="D42095" s="21" t="s">
        <v>24820</v>
      </c>
      <c r="E42095" s="21" t="s">
        <v>254</v>
      </c>
      <c r="F42095">
        <v>13060082</v>
      </c>
      <c r="G42095" t="s">
        <v>11729</v>
      </c>
      <c r="H42095" s="21">
        <v>492.5</v>
      </c>
    </row>
    <row r="42096" spans="1:8" customFormat="1" x14ac:dyDescent="0.25">
      <c r="A42096" t="str">
        <f>"8615157"</f>
        <v>8615157</v>
      </c>
      <c r="B42096" t="s">
        <v>30035</v>
      </c>
      <c r="C42096" t="s">
        <v>24897</v>
      </c>
      <c r="D42096" s="21" t="s">
        <v>24820</v>
      </c>
      <c r="E42096" s="21" t="s">
        <v>71</v>
      </c>
      <c r="F42096">
        <v>10860005</v>
      </c>
      <c r="G42096" t="s">
        <v>7474</v>
      </c>
      <c r="H42096" s="21">
        <v>492.5</v>
      </c>
    </row>
    <row r="42097" spans="1:8" customFormat="1" x14ac:dyDescent="0.25">
      <c r="A42097" t="str">
        <f>"4452105"</f>
        <v>4452105</v>
      </c>
      <c r="B42097" t="s">
        <v>26136</v>
      </c>
      <c r="C42097" t="s">
        <v>24883</v>
      </c>
      <c r="D42097" s="21" t="s">
        <v>24820</v>
      </c>
      <c r="E42097" s="21" t="s">
        <v>35</v>
      </c>
      <c r="F42097">
        <v>12440239</v>
      </c>
      <c r="G42097" t="s">
        <v>11158</v>
      </c>
      <c r="H42097" s="21">
        <v>492.5</v>
      </c>
    </row>
    <row r="42098" spans="1:8" customFormat="1" x14ac:dyDescent="0.25">
      <c r="A42098" t="str">
        <f>"7643047"</f>
        <v>7643047</v>
      </c>
      <c r="B42098" t="s">
        <v>4522</v>
      </c>
      <c r="C42098" t="s">
        <v>24686</v>
      </c>
      <c r="D42098" s="21" t="s">
        <v>24820</v>
      </c>
      <c r="E42098" s="21" t="s">
        <v>254</v>
      </c>
      <c r="F42098">
        <v>9760319</v>
      </c>
      <c r="G42098" t="s">
        <v>3051</v>
      </c>
      <c r="H42098" s="21">
        <v>492.5</v>
      </c>
    </row>
    <row r="42099" spans="1:8" customFormat="1" x14ac:dyDescent="0.25">
      <c r="A42099" t="str">
        <f>"5021331"</f>
        <v>5021331</v>
      </c>
      <c r="B42099" t="s">
        <v>2403</v>
      </c>
      <c r="C42099" t="s">
        <v>23734</v>
      </c>
      <c r="D42099" s="21" t="s">
        <v>24820</v>
      </c>
      <c r="E42099" s="21" t="s">
        <v>35</v>
      </c>
      <c r="F42099">
        <v>9500010</v>
      </c>
      <c r="G42099" t="s">
        <v>5975</v>
      </c>
      <c r="H42099" s="21">
        <v>492.5</v>
      </c>
    </row>
    <row r="42100" spans="1:8" customFormat="1" x14ac:dyDescent="0.25">
      <c r="A42100" t="str">
        <f>"7922621"</f>
        <v>7922621</v>
      </c>
      <c r="B42100" t="s">
        <v>22694</v>
      </c>
      <c r="C42100" t="s">
        <v>24833</v>
      </c>
      <c r="D42100" s="21" t="s">
        <v>24820</v>
      </c>
      <c r="E42100" s="21" t="s">
        <v>35</v>
      </c>
      <c r="F42100">
        <v>10790002</v>
      </c>
      <c r="G42100" t="s">
        <v>6612</v>
      </c>
      <c r="H42100" s="21">
        <v>492.25</v>
      </c>
    </row>
    <row r="42101" spans="1:8" customFormat="1" x14ac:dyDescent="0.25">
      <c r="A42101" t="str">
        <f>"4927669"</f>
        <v>4927669</v>
      </c>
      <c r="B42101" t="s">
        <v>10153</v>
      </c>
      <c r="C42101" t="s">
        <v>24973</v>
      </c>
      <c r="D42101" s="21" t="s">
        <v>24820</v>
      </c>
      <c r="E42101" s="21" t="s">
        <v>71</v>
      </c>
      <c r="F42101">
        <v>12490066</v>
      </c>
      <c r="G42101" t="s">
        <v>1051</v>
      </c>
      <c r="H42101" s="21">
        <v>492.17</v>
      </c>
    </row>
    <row r="42102" spans="1:8" customFormat="1" x14ac:dyDescent="0.25">
      <c r="A42102" t="str">
        <f>"535531"</f>
        <v>535531</v>
      </c>
      <c r="B42102" t="s">
        <v>25561</v>
      </c>
      <c r="C42102" t="s">
        <v>25008</v>
      </c>
      <c r="D42102" s="21" t="s">
        <v>24820</v>
      </c>
      <c r="E42102" s="21" t="s">
        <v>254</v>
      </c>
      <c r="F42102">
        <v>12530106</v>
      </c>
      <c r="G42102" t="s">
        <v>27079</v>
      </c>
      <c r="H42102" s="21">
        <v>492.17</v>
      </c>
    </row>
    <row r="42103" spans="1:8" customFormat="1" x14ac:dyDescent="0.25">
      <c r="A42103" t="str">
        <f>"7715777"</f>
        <v>7715777</v>
      </c>
      <c r="B42103" t="s">
        <v>64</v>
      </c>
      <c r="C42103" t="s">
        <v>24897</v>
      </c>
      <c r="D42103" s="21" t="s">
        <v>24820</v>
      </c>
      <c r="E42103" s="21" t="s">
        <v>35</v>
      </c>
      <c r="F42103">
        <v>8770988</v>
      </c>
      <c r="G42103" t="s">
        <v>6334</v>
      </c>
      <c r="H42103" s="21">
        <v>492</v>
      </c>
    </row>
    <row r="42104" spans="1:8" customFormat="1" x14ac:dyDescent="0.25">
      <c r="A42104" t="str">
        <f>"3534183"</f>
        <v>3534183</v>
      </c>
      <c r="B42104" t="s">
        <v>26148</v>
      </c>
      <c r="C42104" t="s">
        <v>24833</v>
      </c>
      <c r="D42104" s="21" t="s">
        <v>24820</v>
      </c>
      <c r="E42104" s="21" t="s">
        <v>71</v>
      </c>
      <c r="F42104">
        <v>3350221</v>
      </c>
      <c r="G42104" t="s">
        <v>14681</v>
      </c>
      <c r="H42104" s="21">
        <v>492</v>
      </c>
    </row>
    <row r="42105" spans="1:8" customFormat="1" x14ac:dyDescent="0.25">
      <c r="A42105" t="str">
        <f>"4450809"</f>
        <v>4450809</v>
      </c>
      <c r="B42105" t="s">
        <v>21310</v>
      </c>
      <c r="C42105" t="s">
        <v>25252</v>
      </c>
      <c r="D42105" s="21" t="s">
        <v>24820</v>
      </c>
      <c r="E42105" s="21" t="s">
        <v>71</v>
      </c>
      <c r="F42105">
        <v>12440074</v>
      </c>
      <c r="G42105" t="s">
        <v>2436</v>
      </c>
      <c r="H42105" s="21">
        <v>492</v>
      </c>
    </row>
    <row r="42106" spans="1:8" customFormat="1" x14ac:dyDescent="0.25">
      <c r="A42106" t="str">
        <f>"2720909"</f>
        <v>2720909</v>
      </c>
      <c r="B42106" t="s">
        <v>15606</v>
      </c>
      <c r="C42106" t="s">
        <v>25053</v>
      </c>
      <c r="D42106" s="21" t="s">
        <v>24820</v>
      </c>
      <c r="E42106" s="21" t="s">
        <v>35</v>
      </c>
      <c r="F42106">
        <v>9270089</v>
      </c>
      <c r="G42106" t="s">
        <v>1009</v>
      </c>
      <c r="H42106" s="21">
        <v>492</v>
      </c>
    </row>
    <row r="42107" spans="1:8" customFormat="1" x14ac:dyDescent="0.25">
      <c r="A42107" t="str">
        <f>"9135124"</f>
        <v>9135124</v>
      </c>
      <c r="B42107" t="s">
        <v>3448</v>
      </c>
      <c r="C42107" t="s">
        <v>24906</v>
      </c>
      <c r="D42107" s="21" t="s">
        <v>24820</v>
      </c>
      <c r="E42107" s="21" t="s">
        <v>254</v>
      </c>
      <c r="F42107">
        <v>8910918</v>
      </c>
      <c r="G42107" t="s">
        <v>332</v>
      </c>
      <c r="H42107" s="21">
        <v>492</v>
      </c>
    </row>
    <row r="42108" spans="1:8" customFormat="1" x14ac:dyDescent="0.25">
      <c r="A42108" t="str">
        <f>"2928327"</f>
        <v>2928327</v>
      </c>
      <c r="B42108" t="s">
        <v>5011</v>
      </c>
      <c r="C42108" t="s">
        <v>24962</v>
      </c>
      <c r="D42108" s="21" t="s">
        <v>24820</v>
      </c>
      <c r="E42108" s="21" t="s">
        <v>71</v>
      </c>
      <c r="F42108">
        <v>3290037</v>
      </c>
      <c r="G42108" t="s">
        <v>11628</v>
      </c>
      <c r="H42108" s="21">
        <v>492</v>
      </c>
    </row>
    <row r="42109" spans="1:8" customFormat="1" x14ac:dyDescent="0.25">
      <c r="A42109" t="str">
        <f>"5427747"</f>
        <v>5427747</v>
      </c>
      <c r="B42109" t="s">
        <v>1607</v>
      </c>
      <c r="C42109" t="s">
        <v>24884</v>
      </c>
      <c r="D42109" s="21" t="s">
        <v>24820</v>
      </c>
      <c r="E42109" s="21" t="s">
        <v>35</v>
      </c>
      <c r="F42109">
        <v>6540008</v>
      </c>
      <c r="G42109" t="s">
        <v>3891</v>
      </c>
      <c r="H42109" s="21">
        <v>492</v>
      </c>
    </row>
    <row r="42110" spans="1:8" customFormat="1" x14ac:dyDescent="0.25">
      <c r="A42110" t="str">
        <f>"619076"</f>
        <v>619076</v>
      </c>
      <c r="B42110" t="s">
        <v>26160</v>
      </c>
      <c r="C42110" t="s">
        <v>25053</v>
      </c>
      <c r="D42110" s="21" t="s">
        <v>24820</v>
      </c>
      <c r="E42110" s="21" t="s">
        <v>35</v>
      </c>
      <c r="F42110">
        <v>9610012</v>
      </c>
      <c r="G42110" t="s">
        <v>5316</v>
      </c>
      <c r="H42110" s="21">
        <v>492</v>
      </c>
    </row>
    <row r="42111" spans="1:8" customFormat="1" x14ac:dyDescent="0.25">
      <c r="A42111" t="str">
        <f>"5983130"</f>
        <v>5983130</v>
      </c>
      <c r="B42111" t="s">
        <v>2835</v>
      </c>
      <c r="C42111" t="s">
        <v>24947</v>
      </c>
      <c r="D42111" s="21" t="s">
        <v>24820</v>
      </c>
      <c r="E42111" s="21" t="s">
        <v>35</v>
      </c>
      <c r="F42111">
        <v>7590392</v>
      </c>
      <c r="G42111" t="s">
        <v>154</v>
      </c>
      <c r="H42111" s="21">
        <v>492</v>
      </c>
    </row>
    <row r="42112" spans="1:8" customFormat="1" x14ac:dyDescent="0.25">
      <c r="A42112" t="str">
        <f>"6226280"</f>
        <v>6226280</v>
      </c>
      <c r="B42112" t="s">
        <v>26041</v>
      </c>
      <c r="C42112" t="s">
        <v>23734</v>
      </c>
      <c r="D42112" s="21" t="s">
        <v>24820</v>
      </c>
      <c r="E42112" s="21" t="s">
        <v>71</v>
      </c>
      <c r="F42112">
        <v>7620061</v>
      </c>
      <c r="G42112" t="s">
        <v>4448</v>
      </c>
      <c r="H42112" s="21">
        <v>492</v>
      </c>
    </row>
    <row r="42113" spans="1:8" customFormat="1" x14ac:dyDescent="0.25">
      <c r="A42113" t="str">
        <f>"8018188"</f>
        <v>8018188</v>
      </c>
      <c r="B42113" t="s">
        <v>23942</v>
      </c>
      <c r="C42113" t="s">
        <v>25166</v>
      </c>
      <c r="D42113" s="21" t="s">
        <v>24820</v>
      </c>
      <c r="E42113" s="21" t="s">
        <v>71</v>
      </c>
      <c r="F42113">
        <v>7800156</v>
      </c>
      <c r="G42113" t="s">
        <v>12924</v>
      </c>
      <c r="H42113" s="21">
        <v>492</v>
      </c>
    </row>
    <row r="42114" spans="1:8" customFormat="1" x14ac:dyDescent="0.25">
      <c r="A42114" t="str">
        <f>"9529765"</f>
        <v>9529765</v>
      </c>
      <c r="B42114" t="s">
        <v>26240</v>
      </c>
      <c r="C42114" t="s">
        <v>24871</v>
      </c>
      <c r="D42114" s="21" t="s">
        <v>24820</v>
      </c>
      <c r="E42114" s="21" t="s">
        <v>35</v>
      </c>
      <c r="F42114">
        <v>13830088</v>
      </c>
      <c r="G42114" t="s">
        <v>17664</v>
      </c>
      <c r="H42114" s="21">
        <v>492</v>
      </c>
    </row>
    <row r="42115" spans="1:8" customFormat="1" x14ac:dyDescent="0.25">
      <c r="A42115" t="str">
        <f>"9457054"</f>
        <v>9457054</v>
      </c>
      <c r="B42115" t="s">
        <v>30036</v>
      </c>
      <c r="C42115" t="s">
        <v>24865</v>
      </c>
      <c r="D42115" s="21" t="s">
        <v>24820</v>
      </c>
      <c r="E42115" s="21" t="s">
        <v>71</v>
      </c>
      <c r="F42115">
        <v>8940894</v>
      </c>
      <c r="G42115" t="s">
        <v>481</v>
      </c>
      <c r="H42115" s="21">
        <v>492</v>
      </c>
    </row>
    <row r="42116" spans="1:8" customFormat="1" x14ac:dyDescent="0.25">
      <c r="A42116" t="str">
        <f>"7730249"</f>
        <v>7730249</v>
      </c>
      <c r="B42116" t="s">
        <v>25794</v>
      </c>
      <c r="C42116" t="s">
        <v>24828</v>
      </c>
      <c r="D42116" s="21" t="s">
        <v>24820</v>
      </c>
      <c r="E42116" s="21" t="s">
        <v>35</v>
      </c>
      <c r="F42116">
        <v>8771025</v>
      </c>
      <c r="G42116" t="s">
        <v>5469</v>
      </c>
      <c r="H42116" s="21">
        <v>491.75</v>
      </c>
    </row>
    <row r="42117" spans="1:8" customFormat="1" x14ac:dyDescent="0.25">
      <c r="A42117" t="str">
        <f>"5967947"</f>
        <v>5967947</v>
      </c>
      <c r="B42117" t="s">
        <v>26280</v>
      </c>
      <c r="C42117" t="s">
        <v>24824</v>
      </c>
      <c r="D42117" s="21" t="s">
        <v>24820</v>
      </c>
      <c r="E42117" s="21" t="s">
        <v>35</v>
      </c>
      <c r="F42117">
        <v>7590256</v>
      </c>
      <c r="G42117" t="s">
        <v>4156</v>
      </c>
      <c r="H42117" s="21">
        <v>491.5</v>
      </c>
    </row>
    <row r="42118" spans="1:8" customFormat="1" x14ac:dyDescent="0.25">
      <c r="A42118" t="str">
        <f>"2933880"</f>
        <v>2933880</v>
      </c>
      <c r="B42118" t="s">
        <v>7517</v>
      </c>
      <c r="C42118" t="s">
        <v>24900</v>
      </c>
      <c r="D42118" s="21" t="s">
        <v>24820</v>
      </c>
      <c r="E42118" s="21" t="s">
        <v>71</v>
      </c>
      <c r="F42118">
        <v>3290285</v>
      </c>
      <c r="G42118" t="s">
        <v>2234</v>
      </c>
      <c r="H42118" s="21">
        <v>491.5</v>
      </c>
    </row>
    <row r="42119" spans="1:8" customFormat="1" x14ac:dyDescent="0.25">
      <c r="A42119" t="str">
        <f>"707175"</f>
        <v>707175</v>
      </c>
      <c r="B42119" t="s">
        <v>25851</v>
      </c>
      <c r="C42119" t="s">
        <v>24871</v>
      </c>
      <c r="D42119" s="21" t="s">
        <v>24820</v>
      </c>
      <c r="E42119" s="21" t="s">
        <v>35</v>
      </c>
      <c r="F42119">
        <v>2700030</v>
      </c>
      <c r="G42119" t="s">
        <v>9981</v>
      </c>
      <c r="H42119" s="21">
        <v>491.5</v>
      </c>
    </row>
    <row r="42120" spans="1:8" customFormat="1" x14ac:dyDescent="0.25">
      <c r="A42120" t="str">
        <f>"5980084"</f>
        <v>5980084</v>
      </c>
      <c r="B42120" t="s">
        <v>8091</v>
      </c>
      <c r="C42120" t="s">
        <v>23734</v>
      </c>
      <c r="D42120" s="21" t="s">
        <v>24820</v>
      </c>
      <c r="E42120" s="21" t="s">
        <v>35</v>
      </c>
      <c r="F42120">
        <v>7590293</v>
      </c>
      <c r="G42120" t="s">
        <v>2431</v>
      </c>
      <c r="H42120" s="21">
        <v>491.5</v>
      </c>
    </row>
    <row r="42121" spans="1:8" customFormat="1" x14ac:dyDescent="0.25">
      <c r="A42121" t="str">
        <f>"5112502"</f>
        <v>5112502</v>
      </c>
      <c r="B42121" t="s">
        <v>26239</v>
      </c>
      <c r="C42121" t="s">
        <v>25053</v>
      </c>
      <c r="D42121" s="21" t="s">
        <v>24820</v>
      </c>
      <c r="E42121" s="21" t="s">
        <v>35</v>
      </c>
      <c r="F42121">
        <v>6510110</v>
      </c>
      <c r="G42121" t="s">
        <v>9011</v>
      </c>
      <c r="H42121" s="21">
        <v>491</v>
      </c>
    </row>
    <row r="42122" spans="1:8" customFormat="1" x14ac:dyDescent="0.25">
      <c r="A42122" t="str">
        <f>"1321885"</f>
        <v>1321885</v>
      </c>
      <c r="B42122" t="s">
        <v>1601</v>
      </c>
      <c r="C42122" t="s">
        <v>24968</v>
      </c>
      <c r="D42122" s="21" t="s">
        <v>24820</v>
      </c>
      <c r="E42122" s="21" t="s">
        <v>71</v>
      </c>
      <c r="F42122">
        <v>13130118</v>
      </c>
      <c r="G42122" t="s">
        <v>27466</v>
      </c>
      <c r="H42122" s="21">
        <v>491</v>
      </c>
    </row>
    <row r="42123" spans="1:8" customFormat="1" x14ac:dyDescent="0.25">
      <c r="A42123" t="str">
        <f>"3013712"</f>
        <v>3013712</v>
      </c>
      <c r="B42123" t="s">
        <v>4239</v>
      </c>
      <c r="C42123" t="s">
        <v>23734</v>
      </c>
      <c r="D42123" s="21" t="s">
        <v>24820</v>
      </c>
      <c r="E42123" s="21" t="s">
        <v>254</v>
      </c>
      <c r="F42123">
        <v>11300007</v>
      </c>
      <c r="G42123" t="s">
        <v>361</v>
      </c>
      <c r="H42123" s="21">
        <v>491</v>
      </c>
    </row>
    <row r="42124" spans="1:8" customFormat="1" x14ac:dyDescent="0.25">
      <c r="A42124" t="str">
        <f>"9522138"</f>
        <v>9522138</v>
      </c>
      <c r="B42124" t="s">
        <v>14995</v>
      </c>
      <c r="C42124" t="s">
        <v>24898</v>
      </c>
      <c r="D42124" s="21" t="s">
        <v>24820</v>
      </c>
      <c r="E42124" s="21" t="s">
        <v>35</v>
      </c>
      <c r="F42124">
        <v>8951331</v>
      </c>
      <c r="G42124" t="s">
        <v>1134</v>
      </c>
      <c r="H42124" s="21">
        <v>491</v>
      </c>
    </row>
    <row r="42125" spans="1:8" customFormat="1" x14ac:dyDescent="0.25">
      <c r="A42125" t="str">
        <f>"5983296"</f>
        <v>5983296</v>
      </c>
      <c r="B42125" t="s">
        <v>17688</v>
      </c>
      <c r="C42125" t="s">
        <v>24828</v>
      </c>
      <c r="D42125" s="21" t="s">
        <v>24820</v>
      </c>
      <c r="E42125" s="21" t="s">
        <v>35</v>
      </c>
      <c r="F42125">
        <v>7590100</v>
      </c>
      <c r="G42125" t="s">
        <v>1660</v>
      </c>
      <c r="H42125" s="21">
        <v>491</v>
      </c>
    </row>
    <row r="42126" spans="1:8" customFormat="1" x14ac:dyDescent="0.25">
      <c r="A42126" t="str">
        <f>"4914708"</f>
        <v>4914708</v>
      </c>
      <c r="B42126" t="s">
        <v>1669</v>
      </c>
      <c r="C42126" t="s">
        <v>23734</v>
      </c>
      <c r="D42126" s="21" t="s">
        <v>24820</v>
      </c>
      <c r="E42126" s="21" t="s">
        <v>71</v>
      </c>
      <c r="F42126">
        <v>12490008</v>
      </c>
      <c r="G42126" t="s">
        <v>15452</v>
      </c>
      <c r="H42126" s="21">
        <v>491</v>
      </c>
    </row>
    <row r="42127" spans="1:8" customFormat="1" x14ac:dyDescent="0.25">
      <c r="A42127" t="str">
        <f>"407201"</f>
        <v>407201</v>
      </c>
      <c r="B42127" t="s">
        <v>30037</v>
      </c>
      <c r="C42127" t="s">
        <v>30038</v>
      </c>
      <c r="D42127" s="21" t="s">
        <v>24820</v>
      </c>
      <c r="E42127" s="21" t="s">
        <v>254</v>
      </c>
      <c r="F42127">
        <v>10400004</v>
      </c>
      <c r="G42127" t="s">
        <v>2929</v>
      </c>
      <c r="H42127" s="21">
        <v>491</v>
      </c>
    </row>
    <row r="42128" spans="1:8" customFormat="1" x14ac:dyDescent="0.25">
      <c r="A42128" t="str">
        <f>"905840"</f>
        <v>905840</v>
      </c>
      <c r="B42128" t="s">
        <v>22440</v>
      </c>
      <c r="C42128" t="s">
        <v>22831</v>
      </c>
      <c r="D42128" s="21" t="s">
        <v>24820</v>
      </c>
      <c r="E42128" s="21" t="s">
        <v>71</v>
      </c>
      <c r="F42128">
        <v>2900047</v>
      </c>
      <c r="G42128" t="s">
        <v>6819</v>
      </c>
      <c r="H42128" s="21">
        <v>491</v>
      </c>
    </row>
    <row r="42129" spans="1:8" customFormat="1" x14ac:dyDescent="0.25">
      <c r="A42129" t="str">
        <f>"7212202"</f>
        <v>7212202</v>
      </c>
      <c r="B42129" t="s">
        <v>30039</v>
      </c>
      <c r="C42129" t="s">
        <v>24867</v>
      </c>
      <c r="D42129" s="21" t="s">
        <v>24820</v>
      </c>
      <c r="E42129" s="21" t="s">
        <v>71</v>
      </c>
      <c r="F42129">
        <v>12720049</v>
      </c>
      <c r="G42129" t="s">
        <v>1627</v>
      </c>
      <c r="H42129" s="21">
        <v>491</v>
      </c>
    </row>
    <row r="42130" spans="1:8" customFormat="1" x14ac:dyDescent="0.25">
      <c r="A42130" t="str">
        <f>"76251"</f>
        <v>76251</v>
      </c>
      <c r="B42130" t="s">
        <v>17029</v>
      </c>
      <c r="C42130" t="s">
        <v>26122</v>
      </c>
      <c r="D42130" s="21" t="s">
        <v>24820</v>
      </c>
      <c r="E42130" s="21" t="s">
        <v>1089</v>
      </c>
      <c r="F42130">
        <v>9760007</v>
      </c>
      <c r="G42130" t="s">
        <v>7255</v>
      </c>
      <c r="H42130" s="21">
        <v>491</v>
      </c>
    </row>
    <row r="42131" spans="1:8" customFormat="1" x14ac:dyDescent="0.25">
      <c r="A42131" t="str">
        <f>"6227507"</f>
        <v>6227507</v>
      </c>
      <c r="B42131" t="s">
        <v>257</v>
      </c>
      <c r="C42131" t="s">
        <v>24947</v>
      </c>
      <c r="D42131" s="21" t="s">
        <v>24820</v>
      </c>
      <c r="E42131" s="21" t="s">
        <v>35</v>
      </c>
      <c r="F42131">
        <v>7620007</v>
      </c>
      <c r="G42131" t="s">
        <v>2133</v>
      </c>
      <c r="H42131" s="21">
        <v>491</v>
      </c>
    </row>
    <row r="42132" spans="1:8" customFormat="1" x14ac:dyDescent="0.25">
      <c r="A42132" t="str">
        <f>"68229"</f>
        <v>68229</v>
      </c>
      <c r="B42132" t="s">
        <v>26147</v>
      </c>
      <c r="C42132" t="s">
        <v>25208</v>
      </c>
      <c r="D42132" s="21" t="s">
        <v>24820</v>
      </c>
      <c r="E42132" s="21" t="s">
        <v>1089</v>
      </c>
      <c r="F42132">
        <v>6680091</v>
      </c>
      <c r="G42132" t="s">
        <v>693</v>
      </c>
      <c r="H42132" s="21">
        <v>491</v>
      </c>
    </row>
    <row r="42133" spans="1:8" customFormat="1" x14ac:dyDescent="0.25">
      <c r="A42133" t="str">
        <f>"5016318"</f>
        <v>5016318</v>
      </c>
      <c r="B42133" t="s">
        <v>1198</v>
      </c>
      <c r="C42133" t="s">
        <v>25088</v>
      </c>
      <c r="D42133" s="21" t="s">
        <v>24820</v>
      </c>
      <c r="E42133" s="21" t="s">
        <v>71</v>
      </c>
      <c r="F42133">
        <v>9500087</v>
      </c>
      <c r="G42133" t="s">
        <v>12569</v>
      </c>
      <c r="H42133" s="21">
        <v>491</v>
      </c>
    </row>
    <row r="42134" spans="1:8" customFormat="1" x14ac:dyDescent="0.25">
      <c r="A42134" t="str">
        <f>"3724091"</f>
        <v>3724091</v>
      </c>
      <c r="B42134" t="s">
        <v>21188</v>
      </c>
      <c r="C42134" t="s">
        <v>24867</v>
      </c>
      <c r="D42134" s="21" t="s">
        <v>24820</v>
      </c>
      <c r="E42134" s="21" t="s">
        <v>35</v>
      </c>
      <c r="F42134">
        <v>4370464</v>
      </c>
      <c r="G42134" t="s">
        <v>5348</v>
      </c>
      <c r="H42134" s="21">
        <v>491</v>
      </c>
    </row>
    <row r="42135" spans="1:8" customFormat="1" x14ac:dyDescent="0.25">
      <c r="A42135" t="str">
        <f>"951603"</f>
        <v>951603</v>
      </c>
      <c r="B42135" t="s">
        <v>23483</v>
      </c>
      <c r="C42135" t="s">
        <v>25035</v>
      </c>
      <c r="D42135" s="21" t="s">
        <v>24820</v>
      </c>
      <c r="E42135" s="21" t="s">
        <v>254</v>
      </c>
      <c r="F42135">
        <v>8950978</v>
      </c>
      <c r="G42135" t="s">
        <v>1164</v>
      </c>
      <c r="H42135" s="21">
        <v>491</v>
      </c>
    </row>
    <row r="42136" spans="1:8" customFormat="1" x14ac:dyDescent="0.25">
      <c r="A42136" t="str">
        <f>"6724755"</f>
        <v>6724755</v>
      </c>
      <c r="B42136" t="s">
        <v>25944</v>
      </c>
      <c r="C42136" t="s">
        <v>24865</v>
      </c>
      <c r="D42136" s="21" t="s">
        <v>24820</v>
      </c>
      <c r="E42136" s="21" t="s">
        <v>35</v>
      </c>
      <c r="F42136">
        <v>6670256</v>
      </c>
      <c r="G42136" t="s">
        <v>14348</v>
      </c>
      <c r="H42136" s="21">
        <v>490.75</v>
      </c>
    </row>
    <row r="42137" spans="1:8" customFormat="1" x14ac:dyDescent="0.25">
      <c r="A42137" t="str">
        <f>"7730641"</f>
        <v>7730641</v>
      </c>
      <c r="B42137" t="s">
        <v>5972</v>
      </c>
      <c r="C42137" t="s">
        <v>24889</v>
      </c>
      <c r="D42137" s="21" t="s">
        <v>24820</v>
      </c>
      <c r="E42137" s="21" t="s">
        <v>35</v>
      </c>
      <c r="F42137">
        <v>8770562</v>
      </c>
      <c r="G42137" t="s">
        <v>4847</v>
      </c>
      <c r="H42137" s="21">
        <v>490.5</v>
      </c>
    </row>
    <row r="42138" spans="1:8" customFormat="1" x14ac:dyDescent="0.25">
      <c r="A42138" t="str">
        <f>"8310121"</f>
        <v>8310121</v>
      </c>
      <c r="B42138" t="s">
        <v>26109</v>
      </c>
      <c r="C42138" t="s">
        <v>25035</v>
      </c>
      <c r="D42138" s="21" t="s">
        <v>24820</v>
      </c>
      <c r="E42138" s="21" t="s">
        <v>71</v>
      </c>
      <c r="F42138">
        <v>13830044</v>
      </c>
      <c r="G42138" t="s">
        <v>945</v>
      </c>
      <c r="H42138" s="21">
        <v>490.5</v>
      </c>
    </row>
    <row r="42139" spans="1:8" customFormat="1" x14ac:dyDescent="0.25">
      <c r="A42139" t="str">
        <f>"1319592"</f>
        <v>1319592</v>
      </c>
      <c r="B42139" t="s">
        <v>30040</v>
      </c>
      <c r="C42139" t="s">
        <v>24865</v>
      </c>
      <c r="D42139" s="21" t="s">
        <v>24820</v>
      </c>
      <c r="E42139" s="21" t="s">
        <v>35</v>
      </c>
      <c r="F42139">
        <v>13130158</v>
      </c>
      <c r="G42139" t="s">
        <v>3215</v>
      </c>
      <c r="H42139" s="21">
        <v>490.5</v>
      </c>
    </row>
    <row r="42140" spans="1:8" customFormat="1" x14ac:dyDescent="0.25">
      <c r="A42140" t="str">
        <f>"1717356"</f>
        <v>1717356</v>
      </c>
      <c r="B42140" t="s">
        <v>30041</v>
      </c>
      <c r="C42140" t="s">
        <v>24848</v>
      </c>
      <c r="D42140" s="21" t="s">
        <v>24820</v>
      </c>
      <c r="E42140" s="21" t="s">
        <v>35</v>
      </c>
      <c r="F42140">
        <v>10170024</v>
      </c>
      <c r="G42140" t="s">
        <v>16864</v>
      </c>
      <c r="H42140" s="21">
        <v>490.5</v>
      </c>
    </row>
    <row r="42141" spans="1:8" customFormat="1" x14ac:dyDescent="0.25">
      <c r="A42141" t="str">
        <f>"5961605"</f>
        <v>5961605</v>
      </c>
      <c r="B42141" t="s">
        <v>22120</v>
      </c>
      <c r="C42141" t="s">
        <v>26034</v>
      </c>
      <c r="D42141" s="21" t="s">
        <v>24820</v>
      </c>
      <c r="E42141" s="21" t="s">
        <v>35</v>
      </c>
      <c r="F42141">
        <v>7590087</v>
      </c>
      <c r="G42141" t="s">
        <v>2112</v>
      </c>
      <c r="H42141" s="21">
        <v>490.5</v>
      </c>
    </row>
    <row r="42142" spans="1:8" customFormat="1" x14ac:dyDescent="0.25">
      <c r="A42142" t="str">
        <f>"3340182"</f>
        <v>3340182</v>
      </c>
      <c r="B42142" t="s">
        <v>17308</v>
      </c>
      <c r="C42142" t="s">
        <v>25006</v>
      </c>
      <c r="D42142" s="21" t="s">
        <v>24820</v>
      </c>
      <c r="E42142" s="21" t="s">
        <v>35</v>
      </c>
      <c r="F42142">
        <v>10330002</v>
      </c>
      <c r="G42142" t="s">
        <v>53</v>
      </c>
      <c r="H42142" s="21">
        <v>490.25</v>
      </c>
    </row>
    <row r="42143" spans="1:8" customFormat="1" x14ac:dyDescent="0.25">
      <c r="A42143" t="str">
        <f>"5019736"</f>
        <v>5019736</v>
      </c>
      <c r="B42143" t="s">
        <v>3146</v>
      </c>
      <c r="C42143" t="s">
        <v>25053</v>
      </c>
      <c r="D42143" s="21" t="s">
        <v>24820</v>
      </c>
      <c r="E42143" s="21" t="s">
        <v>35</v>
      </c>
      <c r="F42143">
        <v>9500023</v>
      </c>
      <c r="G42143" t="s">
        <v>4876</v>
      </c>
      <c r="H42143" s="21">
        <v>490.17</v>
      </c>
    </row>
    <row r="42144" spans="1:8" customFormat="1" x14ac:dyDescent="0.25">
      <c r="A42144" t="str">
        <f>"4218938"</f>
        <v>4218938</v>
      </c>
      <c r="B42144" t="s">
        <v>9131</v>
      </c>
      <c r="C42144" t="s">
        <v>24840</v>
      </c>
      <c r="D42144" s="21" t="s">
        <v>24820</v>
      </c>
      <c r="E42144" s="21" t="s">
        <v>35</v>
      </c>
      <c r="F42144">
        <v>1690052</v>
      </c>
      <c r="G42144" t="s">
        <v>273</v>
      </c>
      <c r="H42144" s="21">
        <v>490.04</v>
      </c>
    </row>
    <row r="42145" spans="1:8" customFormat="1" x14ac:dyDescent="0.25">
      <c r="A42145" t="str">
        <f>"848753"</f>
        <v>848753</v>
      </c>
      <c r="B42145" t="s">
        <v>3587</v>
      </c>
      <c r="C42145" t="s">
        <v>24958</v>
      </c>
      <c r="D42145" s="21" t="s">
        <v>24820</v>
      </c>
      <c r="E42145" s="21" t="s">
        <v>35</v>
      </c>
      <c r="F42145">
        <v>13840045</v>
      </c>
      <c r="G42145" t="s">
        <v>11703</v>
      </c>
      <c r="H42145" s="21">
        <v>490</v>
      </c>
    </row>
    <row r="42146" spans="1:8" customFormat="1" x14ac:dyDescent="0.25">
      <c r="A42146" t="str">
        <f>"06398"</f>
        <v>06398</v>
      </c>
      <c r="B42146" t="s">
        <v>14050</v>
      </c>
      <c r="C42146" t="s">
        <v>26013</v>
      </c>
      <c r="D42146" s="21" t="s">
        <v>24820</v>
      </c>
      <c r="E42146" s="21" t="s">
        <v>6185</v>
      </c>
      <c r="F42146">
        <v>13060031</v>
      </c>
      <c r="G42146" t="s">
        <v>9379</v>
      </c>
      <c r="H42146" s="21">
        <v>490</v>
      </c>
    </row>
    <row r="42147" spans="1:8" customFormat="1" x14ac:dyDescent="0.25">
      <c r="A42147" t="str">
        <f>"386106"</f>
        <v>386106</v>
      </c>
      <c r="B42147" t="s">
        <v>10480</v>
      </c>
      <c r="C42147" t="s">
        <v>24860</v>
      </c>
      <c r="D42147" s="21" t="s">
        <v>24820</v>
      </c>
      <c r="E42147" s="21" t="s">
        <v>254</v>
      </c>
      <c r="F42147">
        <v>1380084</v>
      </c>
      <c r="G42147" t="s">
        <v>8218</v>
      </c>
      <c r="H42147" s="21">
        <v>490</v>
      </c>
    </row>
    <row r="42148" spans="1:8" customFormat="1" x14ac:dyDescent="0.25">
      <c r="A42148" t="str">
        <f>"6021991"</f>
        <v>6021991</v>
      </c>
      <c r="B42148" t="s">
        <v>22186</v>
      </c>
      <c r="C42148" t="s">
        <v>25188</v>
      </c>
      <c r="D42148" s="21" t="s">
        <v>24820</v>
      </c>
      <c r="E42148" s="21" t="s">
        <v>35</v>
      </c>
      <c r="F42148">
        <v>7600163</v>
      </c>
      <c r="G42148" t="s">
        <v>12203</v>
      </c>
      <c r="H42148" s="21">
        <v>490</v>
      </c>
    </row>
    <row r="42149" spans="1:8" customFormat="1" x14ac:dyDescent="0.25">
      <c r="A42149" t="str">
        <f>"878735"</f>
        <v>878735</v>
      </c>
      <c r="B42149" t="s">
        <v>13575</v>
      </c>
      <c r="C42149" t="s">
        <v>22831</v>
      </c>
      <c r="D42149" s="21" t="s">
        <v>24820</v>
      </c>
      <c r="E42149" s="21" t="s">
        <v>35</v>
      </c>
      <c r="F42149">
        <v>10240024</v>
      </c>
      <c r="G42149" t="s">
        <v>6539</v>
      </c>
      <c r="H42149" s="21">
        <v>490</v>
      </c>
    </row>
    <row r="42150" spans="1:8" customFormat="1" x14ac:dyDescent="0.25">
      <c r="A42150" t="str">
        <f>"4432935"</f>
        <v>4432935</v>
      </c>
      <c r="B42150" t="s">
        <v>14075</v>
      </c>
      <c r="C42150" t="s">
        <v>24958</v>
      </c>
      <c r="D42150" s="21" t="s">
        <v>24820</v>
      </c>
      <c r="E42150" s="21" t="s">
        <v>254</v>
      </c>
      <c r="F42150">
        <v>12440094</v>
      </c>
      <c r="G42150" t="s">
        <v>892</v>
      </c>
      <c r="H42150" s="21">
        <v>490</v>
      </c>
    </row>
    <row r="42151" spans="1:8" customFormat="1" x14ac:dyDescent="0.25">
      <c r="A42151" t="str">
        <f>"3724249"</f>
        <v>3724249</v>
      </c>
      <c r="B42151" t="s">
        <v>30042</v>
      </c>
      <c r="C42151" t="s">
        <v>24947</v>
      </c>
      <c r="D42151" s="21" t="s">
        <v>24820</v>
      </c>
      <c r="E42151" s="21" t="s">
        <v>35</v>
      </c>
      <c r="F42151">
        <v>4370533</v>
      </c>
      <c r="G42151" t="s">
        <v>10553</v>
      </c>
      <c r="H42151" s="21">
        <v>490</v>
      </c>
    </row>
    <row r="42152" spans="1:8" customFormat="1" x14ac:dyDescent="0.25">
      <c r="A42152" t="str">
        <f>"367524"</f>
        <v>367524</v>
      </c>
      <c r="B42152" t="s">
        <v>10006</v>
      </c>
      <c r="C42152" t="s">
        <v>22831</v>
      </c>
      <c r="D42152" s="21" t="s">
        <v>24820</v>
      </c>
      <c r="E42152" s="21" t="s">
        <v>35</v>
      </c>
      <c r="F42152">
        <v>4360315</v>
      </c>
      <c r="G42152" t="s">
        <v>6888</v>
      </c>
      <c r="H42152" s="21">
        <v>490</v>
      </c>
    </row>
    <row r="42153" spans="1:8" customFormat="1" x14ac:dyDescent="0.25">
      <c r="A42153" t="str">
        <f>"365438"</f>
        <v>365438</v>
      </c>
      <c r="B42153" t="s">
        <v>23037</v>
      </c>
      <c r="C42153" t="s">
        <v>24912</v>
      </c>
      <c r="D42153" s="21" t="s">
        <v>24820</v>
      </c>
      <c r="E42153" s="21" t="s">
        <v>71</v>
      </c>
      <c r="F42153">
        <v>4360002</v>
      </c>
      <c r="G42153" t="s">
        <v>222</v>
      </c>
      <c r="H42153" s="21">
        <v>490</v>
      </c>
    </row>
    <row r="42154" spans="1:8" customFormat="1" x14ac:dyDescent="0.25">
      <c r="A42154" t="str">
        <f>"1910257"</f>
        <v>1910257</v>
      </c>
      <c r="B42154" t="s">
        <v>30043</v>
      </c>
      <c r="C42154" t="s">
        <v>25594</v>
      </c>
      <c r="D42154" s="21" t="s">
        <v>24820</v>
      </c>
      <c r="E42154" s="21" t="s">
        <v>35</v>
      </c>
      <c r="F42154">
        <v>10190144</v>
      </c>
      <c r="G42154" t="s">
        <v>8165</v>
      </c>
      <c r="H42154" s="21">
        <v>490</v>
      </c>
    </row>
    <row r="42155" spans="1:8" customFormat="1" x14ac:dyDescent="0.25">
      <c r="A42155" t="str">
        <f>"113798"</f>
        <v>113798</v>
      </c>
      <c r="B42155" t="s">
        <v>4723</v>
      </c>
      <c r="C42155" t="s">
        <v>25252</v>
      </c>
      <c r="D42155" s="21" t="s">
        <v>24820</v>
      </c>
      <c r="E42155" s="21" t="s">
        <v>71</v>
      </c>
      <c r="F42155">
        <v>11110028</v>
      </c>
      <c r="G42155" t="s">
        <v>10634</v>
      </c>
      <c r="H42155" s="21">
        <v>489.75</v>
      </c>
    </row>
    <row r="42156" spans="1:8" customFormat="1" x14ac:dyDescent="0.25">
      <c r="A42156" t="str">
        <f>"4445569"</f>
        <v>4445569</v>
      </c>
      <c r="B42156" t="s">
        <v>11843</v>
      </c>
      <c r="C42156" t="s">
        <v>25386</v>
      </c>
      <c r="D42156" s="21" t="s">
        <v>24820</v>
      </c>
      <c r="E42156" s="21" t="s">
        <v>254</v>
      </c>
      <c r="F42156">
        <v>12440074</v>
      </c>
      <c r="G42156" t="s">
        <v>2436</v>
      </c>
      <c r="H42156" s="21">
        <v>489.5</v>
      </c>
    </row>
    <row r="42157" spans="1:8" customFormat="1" x14ac:dyDescent="0.25">
      <c r="A42157" t="str">
        <f>"3726653"</f>
        <v>3726653</v>
      </c>
      <c r="B42157" t="s">
        <v>26264</v>
      </c>
      <c r="C42157" t="s">
        <v>22831</v>
      </c>
      <c r="D42157" s="21" t="s">
        <v>24820</v>
      </c>
      <c r="E42157" s="21" t="s">
        <v>71</v>
      </c>
      <c r="F42157">
        <v>4370024</v>
      </c>
      <c r="G42157" t="s">
        <v>1718</v>
      </c>
      <c r="H42157" s="21">
        <v>489.5</v>
      </c>
    </row>
    <row r="42158" spans="1:8" customFormat="1" x14ac:dyDescent="0.25">
      <c r="A42158" t="str">
        <f>"3339430"</f>
        <v>3339430</v>
      </c>
      <c r="B42158" t="s">
        <v>14512</v>
      </c>
      <c r="C42158" t="s">
        <v>25151</v>
      </c>
      <c r="D42158" s="21" t="s">
        <v>24820</v>
      </c>
      <c r="E42158" s="21" t="s">
        <v>35</v>
      </c>
      <c r="F42158">
        <v>10330036</v>
      </c>
      <c r="G42158" t="s">
        <v>6209</v>
      </c>
      <c r="H42158" s="21">
        <v>489.5</v>
      </c>
    </row>
    <row r="42159" spans="1:8" customFormat="1" x14ac:dyDescent="0.25">
      <c r="A42159" t="str">
        <f>"5810187"</f>
        <v>5810187</v>
      </c>
      <c r="B42159" t="s">
        <v>6525</v>
      </c>
      <c r="C42159" t="s">
        <v>24828</v>
      </c>
      <c r="D42159" s="21" t="s">
        <v>24820</v>
      </c>
      <c r="E42159" s="21" t="s">
        <v>35</v>
      </c>
      <c r="F42159">
        <v>2580093</v>
      </c>
      <c r="G42159" t="s">
        <v>9104</v>
      </c>
      <c r="H42159" s="21">
        <v>489.5</v>
      </c>
    </row>
    <row r="42160" spans="1:8" customFormat="1" x14ac:dyDescent="0.25">
      <c r="A42160" t="str">
        <f>"4455477"</f>
        <v>4455477</v>
      </c>
      <c r="B42160" t="s">
        <v>2189</v>
      </c>
      <c r="C42160" t="s">
        <v>25007</v>
      </c>
      <c r="D42160" s="21" t="s">
        <v>24820</v>
      </c>
      <c r="E42160" s="21" t="s">
        <v>254</v>
      </c>
      <c r="F42160">
        <v>12440266</v>
      </c>
      <c r="G42160" t="s">
        <v>924</v>
      </c>
      <c r="H42160" s="21">
        <v>489.5</v>
      </c>
    </row>
    <row r="42161" spans="1:8" customFormat="1" x14ac:dyDescent="0.25">
      <c r="A42161" t="str">
        <f>"065616"</f>
        <v>065616</v>
      </c>
      <c r="B42161" t="s">
        <v>25734</v>
      </c>
      <c r="C42161" t="s">
        <v>263</v>
      </c>
      <c r="D42161" s="21" t="s">
        <v>24820</v>
      </c>
      <c r="E42161" s="21" t="s">
        <v>71</v>
      </c>
      <c r="F42161">
        <v>13060031</v>
      </c>
      <c r="G42161" t="s">
        <v>9379</v>
      </c>
      <c r="H42161" s="21">
        <v>489.5</v>
      </c>
    </row>
    <row r="42162" spans="1:8" customFormat="1" x14ac:dyDescent="0.25">
      <c r="A42162" t="str">
        <f>"2931622"</f>
        <v>2931622</v>
      </c>
      <c r="B42162" t="s">
        <v>2883</v>
      </c>
      <c r="C42162" t="s">
        <v>25396</v>
      </c>
      <c r="D42162" s="21" t="s">
        <v>24820</v>
      </c>
      <c r="E42162" s="21" t="s">
        <v>71</v>
      </c>
      <c r="F42162">
        <v>3290202</v>
      </c>
      <c r="G42162" t="s">
        <v>3314</v>
      </c>
      <c r="H42162" s="21">
        <v>489.5</v>
      </c>
    </row>
    <row r="42163" spans="1:8" customFormat="1" x14ac:dyDescent="0.25">
      <c r="A42163" t="str">
        <f>"42418"</f>
        <v>42418</v>
      </c>
      <c r="B42163" t="s">
        <v>4959</v>
      </c>
      <c r="C42163" t="s">
        <v>25772</v>
      </c>
      <c r="D42163" s="21" t="s">
        <v>24820</v>
      </c>
      <c r="E42163" s="21" t="s">
        <v>1089</v>
      </c>
      <c r="F42163">
        <v>1420025</v>
      </c>
      <c r="G42163" t="s">
        <v>5981</v>
      </c>
      <c r="H42163" s="21">
        <v>489.5</v>
      </c>
    </row>
    <row r="42164" spans="1:8" customFormat="1" x14ac:dyDescent="0.25">
      <c r="A42164" t="str">
        <f>"7511860"</f>
        <v>7511860</v>
      </c>
      <c r="B42164" t="s">
        <v>25489</v>
      </c>
      <c r="C42164" t="s">
        <v>22831</v>
      </c>
      <c r="D42164" s="21" t="s">
        <v>24820</v>
      </c>
      <c r="E42164" s="21" t="s">
        <v>35</v>
      </c>
      <c r="F42164">
        <v>8750007</v>
      </c>
      <c r="G42164" t="s">
        <v>775</v>
      </c>
      <c r="H42164" s="21">
        <v>489.42</v>
      </c>
    </row>
    <row r="42165" spans="1:8" customFormat="1" x14ac:dyDescent="0.25">
      <c r="A42165" t="str">
        <f>"2939582"</f>
        <v>2939582</v>
      </c>
      <c r="B42165" t="s">
        <v>30044</v>
      </c>
      <c r="C42165" t="s">
        <v>24947</v>
      </c>
      <c r="D42165" s="21" t="s">
        <v>24820</v>
      </c>
      <c r="E42165" s="21" t="s">
        <v>35</v>
      </c>
      <c r="F42165">
        <v>3290283</v>
      </c>
      <c r="G42165" t="s">
        <v>12108</v>
      </c>
      <c r="H42165" s="21">
        <v>489.17</v>
      </c>
    </row>
    <row r="42166" spans="1:8" customFormat="1" x14ac:dyDescent="0.25">
      <c r="A42166" t="str">
        <f>"9418567"</f>
        <v>9418567</v>
      </c>
      <c r="B42166" t="s">
        <v>9251</v>
      </c>
      <c r="C42166" t="s">
        <v>24300</v>
      </c>
      <c r="D42166" s="21" t="s">
        <v>24820</v>
      </c>
      <c r="E42166" s="21" t="s">
        <v>71</v>
      </c>
      <c r="F42166">
        <v>8940459</v>
      </c>
      <c r="G42166" t="s">
        <v>743</v>
      </c>
      <c r="H42166" s="21">
        <v>489.12</v>
      </c>
    </row>
    <row r="42167" spans="1:8" customFormat="1" x14ac:dyDescent="0.25">
      <c r="A42167" t="str">
        <f>"09996"</f>
        <v>09996</v>
      </c>
      <c r="B42167" t="s">
        <v>25946</v>
      </c>
      <c r="C42167" t="s">
        <v>24686</v>
      </c>
      <c r="D42167" s="21" t="s">
        <v>24820</v>
      </c>
      <c r="E42167" s="21" t="s">
        <v>71</v>
      </c>
      <c r="F42167">
        <v>11090018</v>
      </c>
      <c r="G42167" t="s">
        <v>24448</v>
      </c>
      <c r="H42167" s="21">
        <v>489</v>
      </c>
    </row>
    <row r="42168" spans="1:8" customFormat="1" x14ac:dyDescent="0.25">
      <c r="A42168" t="str">
        <f>"9245740"</f>
        <v>9245740</v>
      </c>
      <c r="B42168" t="s">
        <v>30045</v>
      </c>
      <c r="C42168" t="s">
        <v>24845</v>
      </c>
      <c r="D42168" s="21" t="s">
        <v>24820</v>
      </c>
      <c r="E42168" s="21" t="s">
        <v>35</v>
      </c>
      <c r="F42168">
        <v>8920111</v>
      </c>
      <c r="G42168" t="s">
        <v>1064</v>
      </c>
      <c r="H42168" s="21">
        <v>489</v>
      </c>
    </row>
    <row r="42169" spans="1:8" customFormat="1" x14ac:dyDescent="0.25">
      <c r="A42169" t="str">
        <f>"5325199"</f>
        <v>5325199</v>
      </c>
      <c r="B42169" t="s">
        <v>3661</v>
      </c>
      <c r="C42169" t="s">
        <v>25008</v>
      </c>
      <c r="D42169" s="21" t="s">
        <v>24820</v>
      </c>
      <c r="E42169" s="21" t="s">
        <v>71</v>
      </c>
      <c r="F42169">
        <v>12530023</v>
      </c>
      <c r="G42169" t="s">
        <v>5879</v>
      </c>
      <c r="H42169" s="21">
        <v>489</v>
      </c>
    </row>
    <row r="42170" spans="1:8" customFormat="1" x14ac:dyDescent="0.25">
      <c r="A42170" t="str">
        <f>"5011383"</f>
        <v>5011383</v>
      </c>
      <c r="B42170" t="s">
        <v>19301</v>
      </c>
      <c r="C42170" t="s">
        <v>24958</v>
      </c>
      <c r="D42170" s="21" t="s">
        <v>24820</v>
      </c>
      <c r="E42170" s="21" t="s">
        <v>35</v>
      </c>
      <c r="F42170">
        <v>9500143</v>
      </c>
      <c r="G42170" t="s">
        <v>2884</v>
      </c>
      <c r="H42170" s="21">
        <v>489</v>
      </c>
    </row>
    <row r="42171" spans="1:8" customFormat="1" x14ac:dyDescent="0.25">
      <c r="A42171" t="str">
        <f>"7731760"</f>
        <v>7731760</v>
      </c>
      <c r="B42171" t="s">
        <v>837</v>
      </c>
      <c r="C42171" t="s">
        <v>24889</v>
      </c>
      <c r="D42171" s="21" t="s">
        <v>24820</v>
      </c>
      <c r="E42171" s="21" t="s">
        <v>71</v>
      </c>
      <c r="F42171">
        <v>8771184</v>
      </c>
      <c r="G42171" t="s">
        <v>137</v>
      </c>
      <c r="H42171" s="21">
        <v>489</v>
      </c>
    </row>
    <row r="42172" spans="1:8" customFormat="1" x14ac:dyDescent="0.25">
      <c r="A42172" t="str">
        <f>"644819"</f>
        <v>644819</v>
      </c>
      <c r="B42172" t="s">
        <v>25624</v>
      </c>
      <c r="C42172" t="s">
        <v>24840</v>
      </c>
      <c r="D42172" s="21" t="s">
        <v>24820</v>
      </c>
      <c r="E42172" s="21" t="s">
        <v>71</v>
      </c>
      <c r="F42172">
        <v>10640023</v>
      </c>
      <c r="G42172" t="s">
        <v>8567</v>
      </c>
      <c r="H42172" s="21">
        <v>489</v>
      </c>
    </row>
    <row r="42173" spans="1:8" customFormat="1" x14ac:dyDescent="0.25">
      <c r="A42173" t="str">
        <f>"2717751"</f>
        <v>2717751</v>
      </c>
      <c r="B42173" t="s">
        <v>26151</v>
      </c>
      <c r="C42173" t="s">
        <v>24831</v>
      </c>
      <c r="D42173" s="21" t="s">
        <v>24820</v>
      </c>
      <c r="E42173" s="21" t="s">
        <v>71</v>
      </c>
      <c r="F42173">
        <v>9270089</v>
      </c>
      <c r="G42173" t="s">
        <v>1009</v>
      </c>
      <c r="H42173" s="21">
        <v>488.75</v>
      </c>
    </row>
    <row r="42174" spans="1:8" customFormat="1" x14ac:dyDescent="0.25">
      <c r="A42174" t="str">
        <f>"5977620"</f>
        <v>5977620</v>
      </c>
      <c r="B42174" t="s">
        <v>3133</v>
      </c>
      <c r="C42174" t="s">
        <v>24833</v>
      </c>
      <c r="D42174" s="21" t="s">
        <v>24820</v>
      </c>
      <c r="E42174" s="21" t="s">
        <v>35</v>
      </c>
      <c r="F42174">
        <v>7590040</v>
      </c>
      <c r="G42174" t="s">
        <v>104</v>
      </c>
      <c r="H42174" s="21">
        <v>488.5</v>
      </c>
    </row>
    <row r="42175" spans="1:8" customFormat="1" x14ac:dyDescent="0.25">
      <c r="A42175" t="str">
        <f>"7218038"</f>
        <v>7218038</v>
      </c>
      <c r="B42175" t="s">
        <v>6120</v>
      </c>
      <c r="C42175" t="s">
        <v>24828</v>
      </c>
      <c r="D42175" s="21" t="s">
        <v>24820</v>
      </c>
      <c r="E42175" s="21" t="s">
        <v>35</v>
      </c>
      <c r="F42175">
        <v>12720023</v>
      </c>
      <c r="G42175" t="s">
        <v>1898</v>
      </c>
      <c r="H42175" s="21">
        <v>488.5</v>
      </c>
    </row>
    <row r="42176" spans="1:8" customFormat="1" x14ac:dyDescent="0.25">
      <c r="A42176" t="str">
        <f>"2512899"</f>
        <v>2512899</v>
      </c>
      <c r="B42176" t="s">
        <v>25590</v>
      </c>
      <c r="C42176" t="s">
        <v>24828</v>
      </c>
      <c r="D42176" s="21" t="s">
        <v>24820</v>
      </c>
      <c r="E42176" s="21" t="s">
        <v>71</v>
      </c>
      <c r="F42176">
        <v>2250217</v>
      </c>
      <c r="G42176" t="s">
        <v>11815</v>
      </c>
      <c r="H42176" s="21">
        <v>488.5</v>
      </c>
    </row>
    <row r="42177" spans="1:8" customFormat="1" x14ac:dyDescent="0.25">
      <c r="A42177" t="str">
        <f>"3537722"</f>
        <v>3537722</v>
      </c>
      <c r="B42177" t="s">
        <v>26218</v>
      </c>
      <c r="C42177" t="s">
        <v>26219</v>
      </c>
      <c r="D42177" s="21" t="s">
        <v>24820</v>
      </c>
      <c r="E42177" s="21" t="s">
        <v>35</v>
      </c>
      <c r="F42177">
        <v>3350055</v>
      </c>
      <c r="G42177" t="s">
        <v>6720</v>
      </c>
      <c r="H42177" s="21">
        <v>488.5</v>
      </c>
    </row>
    <row r="42178" spans="1:8" customFormat="1" x14ac:dyDescent="0.25">
      <c r="A42178" t="str">
        <f>"4455540"</f>
        <v>4455540</v>
      </c>
      <c r="B42178" t="s">
        <v>26313</v>
      </c>
      <c r="C42178" t="s">
        <v>24883</v>
      </c>
      <c r="D42178" s="21" t="s">
        <v>24820</v>
      </c>
      <c r="E42178" s="21" t="s">
        <v>35</v>
      </c>
      <c r="F42178">
        <v>12440262</v>
      </c>
      <c r="G42178" t="s">
        <v>4590</v>
      </c>
      <c r="H42178" s="21">
        <v>488.5</v>
      </c>
    </row>
    <row r="42179" spans="1:8" customFormat="1" x14ac:dyDescent="0.25">
      <c r="A42179" t="str">
        <f>"194022"</f>
        <v>194022</v>
      </c>
      <c r="B42179" t="s">
        <v>764</v>
      </c>
      <c r="C42179" t="s">
        <v>23966</v>
      </c>
      <c r="D42179" s="21" t="s">
        <v>24820</v>
      </c>
      <c r="E42179" s="21" t="s">
        <v>254</v>
      </c>
      <c r="F42179">
        <v>10190108</v>
      </c>
      <c r="G42179" t="s">
        <v>7344</v>
      </c>
      <c r="H42179" s="21">
        <v>488.5</v>
      </c>
    </row>
    <row r="42180" spans="1:8" customFormat="1" x14ac:dyDescent="0.25">
      <c r="A42180" t="str">
        <f>"8524619"</f>
        <v>8524619</v>
      </c>
      <c r="B42180" t="s">
        <v>14226</v>
      </c>
      <c r="C42180" t="s">
        <v>25109</v>
      </c>
      <c r="D42180" s="21" t="s">
        <v>24820</v>
      </c>
      <c r="E42180" s="21" t="s">
        <v>35</v>
      </c>
      <c r="F42180">
        <v>12850057</v>
      </c>
      <c r="G42180" t="s">
        <v>1291</v>
      </c>
      <c r="H42180" s="21">
        <v>488.5</v>
      </c>
    </row>
    <row r="42181" spans="1:8" customFormat="1" x14ac:dyDescent="0.25">
      <c r="A42181" t="str">
        <f>"3333628"</f>
        <v>3333628</v>
      </c>
      <c r="B42181" t="s">
        <v>8785</v>
      </c>
      <c r="C42181" t="s">
        <v>23734</v>
      </c>
      <c r="D42181" s="21" t="s">
        <v>24820</v>
      </c>
      <c r="E42181" s="21" t="s">
        <v>71</v>
      </c>
      <c r="F42181">
        <v>10330004</v>
      </c>
      <c r="G42181" t="s">
        <v>525</v>
      </c>
      <c r="H42181" s="21">
        <v>488.25</v>
      </c>
    </row>
    <row r="42182" spans="1:8" customFormat="1" x14ac:dyDescent="0.25">
      <c r="A42182" t="str">
        <f>"4426537"</f>
        <v>4426537</v>
      </c>
      <c r="B42182" t="s">
        <v>26209</v>
      </c>
      <c r="C42182" t="s">
        <v>24824</v>
      </c>
      <c r="D42182" s="21" t="s">
        <v>24820</v>
      </c>
      <c r="E42182" s="21" t="s">
        <v>71</v>
      </c>
      <c r="F42182">
        <v>12440221</v>
      </c>
      <c r="G42182" t="s">
        <v>21563</v>
      </c>
      <c r="H42182" s="21">
        <v>488.25</v>
      </c>
    </row>
    <row r="42183" spans="1:8" customFormat="1" x14ac:dyDescent="0.25">
      <c r="A42183" t="str">
        <f>"889161"</f>
        <v>889161</v>
      </c>
      <c r="B42183" t="s">
        <v>16560</v>
      </c>
      <c r="C42183" t="s">
        <v>24865</v>
      </c>
      <c r="D42183" s="21" t="s">
        <v>24820</v>
      </c>
      <c r="E42183" s="21" t="s">
        <v>71</v>
      </c>
      <c r="F42183">
        <v>11660003</v>
      </c>
      <c r="G42183" t="s">
        <v>5188</v>
      </c>
      <c r="H42183" s="21">
        <v>488</v>
      </c>
    </row>
    <row r="42184" spans="1:8" customFormat="1" x14ac:dyDescent="0.25">
      <c r="A42184" t="str">
        <f>"5429371"</f>
        <v>5429371</v>
      </c>
      <c r="B42184" t="s">
        <v>25764</v>
      </c>
      <c r="C42184" t="s">
        <v>24877</v>
      </c>
      <c r="D42184" s="21" t="s">
        <v>24820</v>
      </c>
      <c r="E42184" s="21" t="s">
        <v>71</v>
      </c>
      <c r="F42184">
        <v>6540198</v>
      </c>
      <c r="G42184" t="s">
        <v>9045</v>
      </c>
      <c r="H42184" s="21">
        <v>488</v>
      </c>
    </row>
    <row r="42185" spans="1:8" customFormat="1" x14ac:dyDescent="0.25">
      <c r="A42185" t="str">
        <f>"8315420"</f>
        <v>8315420</v>
      </c>
      <c r="B42185" t="s">
        <v>25680</v>
      </c>
      <c r="C42185" t="s">
        <v>25512</v>
      </c>
      <c r="D42185" s="21" t="s">
        <v>24820</v>
      </c>
      <c r="E42185" s="21" t="s">
        <v>35</v>
      </c>
      <c r="F42185">
        <v>13830064</v>
      </c>
      <c r="G42185" t="s">
        <v>8410</v>
      </c>
      <c r="H42185" s="21">
        <v>488</v>
      </c>
    </row>
    <row r="42186" spans="1:8" customFormat="1" x14ac:dyDescent="0.25">
      <c r="A42186" t="str">
        <f>"3528607"</f>
        <v>3528607</v>
      </c>
      <c r="B42186" t="s">
        <v>15945</v>
      </c>
      <c r="C42186" t="s">
        <v>25702</v>
      </c>
      <c r="D42186" s="21" t="s">
        <v>24820</v>
      </c>
      <c r="E42186" s="21" t="s">
        <v>254</v>
      </c>
      <c r="F42186">
        <v>3350009</v>
      </c>
      <c r="G42186" t="s">
        <v>1823</v>
      </c>
      <c r="H42186" s="21">
        <v>488</v>
      </c>
    </row>
    <row r="42187" spans="1:8" customFormat="1" x14ac:dyDescent="0.25">
      <c r="A42187" t="str">
        <f>"9516623"</f>
        <v>9516623</v>
      </c>
      <c r="B42187" t="s">
        <v>2398</v>
      </c>
      <c r="C42187" t="s">
        <v>24851</v>
      </c>
      <c r="D42187" s="21" t="s">
        <v>24820</v>
      </c>
      <c r="E42187" s="21" t="s">
        <v>71</v>
      </c>
      <c r="F42187">
        <v>8951411</v>
      </c>
      <c r="G42187" t="s">
        <v>416</v>
      </c>
      <c r="H42187" s="21">
        <v>488</v>
      </c>
    </row>
    <row r="42188" spans="1:8" customFormat="1" x14ac:dyDescent="0.25">
      <c r="A42188" t="str">
        <f>"9241397"</f>
        <v>9241397</v>
      </c>
      <c r="B42188" t="s">
        <v>6017</v>
      </c>
      <c r="C42188" t="s">
        <v>26167</v>
      </c>
      <c r="D42188" s="21" t="s">
        <v>24820</v>
      </c>
      <c r="E42188" s="21" t="s">
        <v>71</v>
      </c>
      <c r="F42188">
        <v>8920309</v>
      </c>
      <c r="G42188" t="s">
        <v>1894</v>
      </c>
      <c r="H42188" s="21">
        <v>488</v>
      </c>
    </row>
    <row r="42189" spans="1:8" customFormat="1" x14ac:dyDescent="0.25">
      <c r="A42189" t="str">
        <f>"9444964"</f>
        <v>9444964</v>
      </c>
      <c r="B42189" t="s">
        <v>9377</v>
      </c>
      <c r="C42189" t="s">
        <v>24897</v>
      </c>
      <c r="D42189" s="21" t="s">
        <v>24820</v>
      </c>
      <c r="E42189" s="21" t="s">
        <v>71</v>
      </c>
      <c r="F42189">
        <v>8940926</v>
      </c>
      <c r="G42189" t="s">
        <v>4065</v>
      </c>
      <c r="H42189" s="21">
        <v>488</v>
      </c>
    </row>
    <row r="42190" spans="1:8" customFormat="1" x14ac:dyDescent="0.25">
      <c r="A42190" t="str">
        <f>"4929236"</f>
        <v>4929236</v>
      </c>
      <c r="B42190" t="s">
        <v>23500</v>
      </c>
      <c r="C42190" t="s">
        <v>24686</v>
      </c>
      <c r="D42190" s="21" t="s">
        <v>24820</v>
      </c>
      <c r="E42190" s="21" t="s">
        <v>35</v>
      </c>
      <c r="F42190">
        <v>12490036</v>
      </c>
      <c r="G42190" t="s">
        <v>6557</v>
      </c>
      <c r="H42190" s="21">
        <v>488</v>
      </c>
    </row>
    <row r="42191" spans="1:8" customFormat="1" x14ac:dyDescent="0.25">
      <c r="A42191" t="str">
        <f>"6921463"</f>
        <v>6921463</v>
      </c>
      <c r="B42191" t="s">
        <v>19334</v>
      </c>
      <c r="C42191" t="s">
        <v>24871</v>
      </c>
      <c r="D42191" s="21" t="s">
        <v>24820</v>
      </c>
      <c r="E42191" s="21" t="s">
        <v>1089</v>
      </c>
      <c r="F42191">
        <v>1690112</v>
      </c>
      <c r="G42191" t="s">
        <v>4084</v>
      </c>
      <c r="H42191" s="21">
        <v>488</v>
      </c>
    </row>
    <row r="42192" spans="1:8" customFormat="1" x14ac:dyDescent="0.25">
      <c r="A42192" t="str">
        <f>"5014699"</f>
        <v>5014699</v>
      </c>
      <c r="B42192" t="s">
        <v>18426</v>
      </c>
      <c r="C42192" t="s">
        <v>24888</v>
      </c>
      <c r="D42192" s="21" t="s">
        <v>24820</v>
      </c>
      <c r="E42192" s="21" t="s">
        <v>71</v>
      </c>
      <c r="F42192">
        <v>9500012</v>
      </c>
      <c r="G42192" t="s">
        <v>10097</v>
      </c>
      <c r="H42192" s="21">
        <v>488</v>
      </c>
    </row>
    <row r="42193" spans="1:8" customFormat="1" x14ac:dyDescent="0.25">
      <c r="A42193" t="str">
        <f>"9530039"</f>
        <v>9530039</v>
      </c>
      <c r="B42193" t="s">
        <v>8335</v>
      </c>
      <c r="C42193" t="s">
        <v>24854</v>
      </c>
      <c r="D42193" s="21" t="s">
        <v>24820</v>
      </c>
      <c r="E42193" s="21" t="s">
        <v>71</v>
      </c>
      <c r="F42193">
        <v>8951261</v>
      </c>
      <c r="G42193" t="s">
        <v>920</v>
      </c>
      <c r="H42193" s="21">
        <v>488</v>
      </c>
    </row>
    <row r="42194" spans="1:8" customFormat="1" x14ac:dyDescent="0.25">
      <c r="A42194" t="str">
        <f>"513441"</f>
        <v>513441</v>
      </c>
      <c r="B42194" t="s">
        <v>7149</v>
      </c>
      <c r="C42194" t="s">
        <v>25608</v>
      </c>
      <c r="D42194" s="21" t="s">
        <v>24820</v>
      </c>
      <c r="E42194" s="21" t="s">
        <v>254</v>
      </c>
      <c r="F42194">
        <v>6510019</v>
      </c>
      <c r="G42194" t="s">
        <v>11388</v>
      </c>
      <c r="H42194" s="21">
        <v>488</v>
      </c>
    </row>
    <row r="42195" spans="1:8" customFormat="1" x14ac:dyDescent="0.25">
      <c r="A42195" t="str">
        <f>"7876703"</f>
        <v>7876703</v>
      </c>
      <c r="B42195" t="s">
        <v>2231</v>
      </c>
      <c r="C42195" t="s">
        <v>26138</v>
      </c>
      <c r="D42195" s="21" t="s">
        <v>24820</v>
      </c>
      <c r="E42195" s="21" t="s">
        <v>35</v>
      </c>
      <c r="F42195">
        <v>8781144</v>
      </c>
      <c r="G42195" t="s">
        <v>4714</v>
      </c>
      <c r="H42195" s="21">
        <v>488</v>
      </c>
    </row>
    <row r="42196" spans="1:8" customFormat="1" x14ac:dyDescent="0.25">
      <c r="A42196" t="str">
        <f>"5984298"</f>
        <v>5984298</v>
      </c>
      <c r="B42196" t="s">
        <v>30046</v>
      </c>
      <c r="C42196" t="s">
        <v>25053</v>
      </c>
      <c r="D42196" s="21" t="s">
        <v>24820</v>
      </c>
      <c r="E42196" s="21" t="s">
        <v>35</v>
      </c>
      <c r="F42196">
        <v>7590061</v>
      </c>
      <c r="G42196" t="s">
        <v>1207</v>
      </c>
      <c r="H42196" s="21">
        <v>488</v>
      </c>
    </row>
    <row r="42197" spans="1:8" customFormat="1" x14ac:dyDescent="0.25">
      <c r="A42197" t="str">
        <f>"3530128"</f>
        <v>3530128</v>
      </c>
      <c r="B42197" t="s">
        <v>25617</v>
      </c>
      <c r="C42197" t="s">
        <v>24883</v>
      </c>
      <c r="D42197" s="21" t="s">
        <v>24820</v>
      </c>
      <c r="E42197" s="21" t="s">
        <v>35</v>
      </c>
      <c r="F42197">
        <v>3350210</v>
      </c>
      <c r="G42197" t="s">
        <v>12171</v>
      </c>
      <c r="H42197" s="21">
        <v>488</v>
      </c>
    </row>
    <row r="42198" spans="1:8" customFormat="1" x14ac:dyDescent="0.25">
      <c r="A42198" t="str">
        <f>"8815326"</f>
        <v>8815326</v>
      </c>
      <c r="B42198" t="s">
        <v>6472</v>
      </c>
      <c r="C42198" t="s">
        <v>24881</v>
      </c>
      <c r="D42198" s="21" t="s">
        <v>24820</v>
      </c>
      <c r="E42198" s="21" t="s">
        <v>71</v>
      </c>
      <c r="F42198">
        <v>6880002</v>
      </c>
      <c r="G42198" t="s">
        <v>501</v>
      </c>
      <c r="H42198" s="21">
        <v>488</v>
      </c>
    </row>
    <row r="42199" spans="1:8" customFormat="1" x14ac:dyDescent="0.25">
      <c r="A42199" t="str">
        <f>"4449210"</f>
        <v>4449210</v>
      </c>
      <c r="B42199" t="s">
        <v>6506</v>
      </c>
      <c r="C42199" t="s">
        <v>26174</v>
      </c>
      <c r="D42199" s="21" t="s">
        <v>24820</v>
      </c>
      <c r="E42199" s="21" t="s">
        <v>254</v>
      </c>
      <c r="F42199">
        <v>12440038</v>
      </c>
      <c r="G42199" t="s">
        <v>2057</v>
      </c>
      <c r="H42199" s="21">
        <v>488</v>
      </c>
    </row>
    <row r="42200" spans="1:8" customFormat="1" x14ac:dyDescent="0.25">
      <c r="A42200" t="str">
        <f>"2720163"</f>
        <v>2720163</v>
      </c>
      <c r="B42200" t="s">
        <v>12570</v>
      </c>
      <c r="C42200" t="s">
        <v>24854</v>
      </c>
      <c r="D42200" s="21" t="s">
        <v>24820</v>
      </c>
      <c r="E42200" s="21" t="s">
        <v>71</v>
      </c>
      <c r="F42200">
        <v>9270183</v>
      </c>
      <c r="G42200" t="s">
        <v>9801</v>
      </c>
      <c r="H42200" s="21">
        <v>488</v>
      </c>
    </row>
    <row r="42201" spans="1:8" customFormat="1" x14ac:dyDescent="0.25">
      <c r="A42201" t="str">
        <f>"8019539"</f>
        <v>8019539</v>
      </c>
      <c r="B42201" t="s">
        <v>11627</v>
      </c>
      <c r="C42201" t="s">
        <v>24892</v>
      </c>
      <c r="D42201" s="21" t="s">
        <v>24820</v>
      </c>
      <c r="E42201" s="21" t="s">
        <v>71</v>
      </c>
      <c r="F42201">
        <v>7800156</v>
      </c>
      <c r="G42201" t="s">
        <v>12924</v>
      </c>
      <c r="H42201" s="21">
        <v>488</v>
      </c>
    </row>
    <row r="42202" spans="1:8" customFormat="1" x14ac:dyDescent="0.25">
      <c r="A42202" t="str">
        <f>"6232903"</f>
        <v>6232903</v>
      </c>
      <c r="B42202" t="s">
        <v>9723</v>
      </c>
      <c r="C42202" t="s">
        <v>24865</v>
      </c>
      <c r="D42202" s="21" t="s">
        <v>24820</v>
      </c>
      <c r="E42202" s="21" t="s">
        <v>35</v>
      </c>
      <c r="F42202">
        <v>7620042</v>
      </c>
      <c r="G42202" t="s">
        <v>8102</v>
      </c>
      <c r="H42202" s="21">
        <v>488</v>
      </c>
    </row>
    <row r="42203" spans="1:8" customFormat="1" x14ac:dyDescent="0.25">
      <c r="A42203" t="str">
        <f>"3726512"</f>
        <v>3726512</v>
      </c>
      <c r="B42203" t="s">
        <v>3583</v>
      </c>
      <c r="C42203" t="s">
        <v>26281</v>
      </c>
      <c r="D42203" s="21" t="s">
        <v>24820</v>
      </c>
      <c r="E42203" s="21" t="s">
        <v>35</v>
      </c>
      <c r="F42203">
        <v>4370284</v>
      </c>
      <c r="G42203" t="s">
        <v>3584</v>
      </c>
      <c r="H42203" s="21">
        <v>487.62</v>
      </c>
    </row>
    <row r="42204" spans="1:8" customFormat="1" x14ac:dyDescent="0.25">
      <c r="A42204" t="str">
        <f>"2720492"</f>
        <v>2720492</v>
      </c>
      <c r="B42204" t="s">
        <v>26168</v>
      </c>
      <c r="C42204" t="s">
        <v>24867</v>
      </c>
      <c r="D42204" s="21" t="s">
        <v>24820</v>
      </c>
      <c r="E42204" s="21" t="s">
        <v>35</v>
      </c>
      <c r="F42204">
        <v>9270071</v>
      </c>
      <c r="G42204" t="s">
        <v>7815</v>
      </c>
      <c r="H42204" s="21">
        <v>487.5</v>
      </c>
    </row>
    <row r="42205" spans="1:8" customFormat="1" x14ac:dyDescent="0.25">
      <c r="A42205" t="str">
        <f>"588594"</f>
        <v>588594</v>
      </c>
      <c r="B42205" t="s">
        <v>5144</v>
      </c>
      <c r="C42205" t="s">
        <v>22831</v>
      </c>
      <c r="D42205" s="21" t="s">
        <v>24820</v>
      </c>
      <c r="E42205" s="21" t="s">
        <v>254</v>
      </c>
      <c r="F42205">
        <v>2580078</v>
      </c>
      <c r="G42205" t="s">
        <v>4432</v>
      </c>
      <c r="H42205" s="21">
        <v>487.5</v>
      </c>
    </row>
    <row r="42206" spans="1:8" customFormat="1" x14ac:dyDescent="0.25">
      <c r="A42206" t="str">
        <f>"4420215"</f>
        <v>4420215</v>
      </c>
      <c r="B42206" t="s">
        <v>26184</v>
      </c>
      <c r="C42206" t="s">
        <v>24874</v>
      </c>
      <c r="D42206" s="21" t="s">
        <v>24820</v>
      </c>
      <c r="E42206" s="21" t="s">
        <v>71</v>
      </c>
      <c r="F42206">
        <v>12440131</v>
      </c>
      <c r="G42206" t="s">
        <v>15572</v>
      </c>
      <c r="H42206" s="21">
        <v>487.5</v>
      </c>
    </row>
    <row r="42207" spans="1:8" customFormat="1" x14ac:dyDescent="0.25">
      <c r="A42207" t="str">
        <f>"7915061"</f>
        <v>7915061</v>
      </c>
      <c r="B42207" t="s">
        <v>25938</v>
      </c>
      <c r="C42207" t="s">
        <v>24884</v>
      </c>
      <c r="D42207" s="21" t="s">
        <v>24820</v>
      </c>
      <c r="E42207" s="21" t="s">
        <v>35</v>
      </c>
      <c r="F42207">
        <v>10790023</v>
      </c>
      <c r="G42207" t="s">
        <v>18120</v>
      </c>
      <c r="H42207" s="21">
        <v>487.5</v>
      </c>
    </row>
    <row r="42208" spans="1:8" customFormat="1" x14ac:dyDescent="0.25">
      <c r="A42208" t="str">
        <f>"4711592"</f>
        <v>4711592</v>
      </c>
      <c r="B42208" t="s">
        <v>7262</v>
      </c>
      <c r="C42208" t="s">
        <v>25396</v>
      </c>
      <c r="D42208" s="21" t="s">
        <v>24820</v>
      </c>
      <c r="E42208" s="21" t="s">
        <v>254</v>
      </c>
      <c r="F42208">
        <v>10470001</v>
      </c>
      <c r="G42208" t="s">
        <v>391</v>
      </c>
      <c r="H42208" s="21">
        <v>487.5</v>
      </c>
    </row>
    <row r="42209" spans="1:8" customFormat="1" x14ac:dyDescent="0.25">
      <c r="A42209" t="str">
        <f>"2920511"</f>
        <v>2920511</v>
      </c>
      <c r="B42209" t="s">
        <v>9308</v>
      </c>
      <c r="C42209" t="s">
        <v>24841</v>
      </c>
      <c r="D42209" s="21" t="s">
        <v>24820</v>
      </c>
      <c r="E42209" s="21" t="s">
        <v>35</v>
      </c>
      <c r="F42209">
        <v>3560012</v>
      </c>
      <c r="G42209" t="s">
        <v>3857</v>
      </c>
      <c r="H42209" s="21">
        <v>487.5</v>
      </c>
    </row>
    <row r="42210" spans="1:8" customFormat="1" x14ac:dyDescent="0.25">
      <c r="A42210" t="str">
        <f>"0612084"</f>
        <v>0612084</v>
      </c>
      <c r="B42210" t="s">
        <v>5486</v>
      </c>
      <c r="C42210" t="s">
        <v>24867</v>
      </c>
      <c r="D42210" s="21" t="s">
        <v>24820</v>
      </c>
      <c r="E42210" s="21" t="s">
        <v>35</v>
      </c>
      <c r="F42210">
        <v>13060063</v>
      </c>
      <c r="G42210" t="s">
        <v>2001</v>
      </c>
      <c r="H42210" s="21">
        <v>487.5</v>
      </c>
    </row>
    <row r="42211" spans="1:8" customFormat="1" x14ac:dyDescent="0.25">
      <c r="A42211" t="str">
        <f>"7712925"</f>
        <v>7712925</v>
      </c>
      <c r="B42211" t="s">
        <v>10011</v>
      </c>
      <c r="C42211" t="s">
        <v>24994</v>
      </c>
      <c r="D42211" s="21" t="s">
        <v>24820</v>
      </c>
      <c r="E42211" s="21" t="s">
        <v>71</v>
      </c>
      <c r="F42211">
        <v>8770202</v>
      </c>
      <c r="G42211" t="s">
        <v>1999</v>
      </c>
      <c r="H42211" s="21">
        <v>487.38</v>
      </c>
    </row>
    <row r="42212" spans="1:8" customFormat="1" x14ac:dyDescent="0.25">
      <c r="A42212" t="str">
        <f>"7523957"</f>
        <v>7523957</v>
      </c>
      <c r="B42212" t="s">
        <v>10981</v>
      </c>
      <c r="C42212" t="s">
        <v>24968</v>
      </c>
      <c r="D42212" s="21" t="s">
        <v>24820</v>
      </c>
      <c r="E42212" s="21" t="s">
        <v>35</v>
      </c>
      <c r="F42212">
        <v>8750141</v>
      </c>
      <c r="G42212" t="s">
        <v>1514</v>
      </c>
      <c r="H42212" s="21">
        <v>487.25</v>
      </c>
    </row>
    <row r="42213" spans="1:8" customFormat="1" x14ac:dyDescent="0.25">
      <c r="A42213" t="str">
        <f>"9139863"</f>
        <v>9139863</v>
      </c>
      <c r="B42213" t="s">
        <v>26105</v>
      </c>
      <c r="C42213" t="s">
        <v>26106</v>
      </c>
      <c r="D42213" s="21" t="s">
        <v>24820</v>
      </c>
      <c r="E42213" s="21" t="s">
        <v>35</v>
      </c>
      <c r="F42213">
        <v>8911280</v>
      </c>
      <c r="G42213" t="s">
        <v>3417</v>
      </c>
      <c r="H42213" s="21">
        <v>487.25</v>
      </c>
    </row>
    <row r="42214" spans="1:8" customFormat="1" x14ac:dyDescent="0.25">
      <c r="A42214" t="str">
        <f>"769379"</f>
        <v>769379</v>
      </c>
      <c r="B42214" t="s">
        <v>18334</v>
      </c>
      <c r="C42214" t="s">
        <v>24909</v>
      </c>
      <c r="D42214" s="21" t="s">
        <v>24820</v>
      </c>
      <c r="E42214" s="21" t="s">
        <v>1089</v>
      </c>
      <c r="F42214">
        <v>9760414</v>
      </c>
      <c r="G42214" t="s">
        <v>142</v>
      </c>
      <c r="H42214" s="21">
        <v>487.17</v>
      </c>
    </row>
    <row r="42215" spans="1:8" customFormat="1" x14ac:dyDescent="0.25">
      <c r="A42215" t="str">
        <f>"298463"</f>
        <v>298463</v>
      </c>
      <c r="B42215" t="s">
        <v>2308</v>
      </c>
      <c r="C42215" t="s">
        <v>25011</v>
      </c>
      <c r="D42215" s="21" t="s">
        <v>24820</v>
      </c>
      <c r="E42215" s="21" t="s">
        <v>254</v>
      </c>
      <c r="F42215">
        <v>3290047</v>
      </c>
      <c r="G42215" t="s">
        <v>2874</v>
      </c>
      <c r="H42215" s="21">
        <v>487.17</v>
      </c>
    </row>
    <row r="42216" spans="1:8" customFormat="1" x14ac:dyDescent="0.25">
      <c r="A42216" t="str">
        <f>"402688"</f>
        <v>402688</v>
      </c>
      <c r="B42216" t="s">
        <v>21824</v>
      </c>
      <c r="C42216" t="s">
        <v>25353</v>
      </c>
      <c r="D42216" s="21" t="s">
        <v>24820</v>
      </c>
      <c r="E42216" s="21" t="s">
        <v>6185</v>
      </c>
      <c r="F42216">
        <v>10400002</v>
      </c>
      <c r="G42216" t="s">
        <v>1975</v>
      </c>
      <c r="H42216" s="21">
        <v>487.17</v>
      </c>
    </row>
    <row r="42217" spans="1:8" customFormat="1" x14ac:dyDescent="0.25">
      <c r="A42217" t="str">
        <f>"7624896"</f>
        <v>7624896</v>
      </c>
      <c r="B42217" t="s">
        <v>1106</v>
      </c>
      <c r="C42217" t="s">
        <v>24894</v>
      </c>
      <c r="D42217" s="21" t="s">
        <v>24820</v>
      </c>
      <c r="E42217" s="21" t="s">
        <v>35</v>
      </c>
      <c r="F42217">
        <v>9760442</v>
      </c>
      <c r="G42217" t="s">
        <v>5753</v>
      </c>
      <c r="H42217" s="21">
        <v>487</v>
      </c>
    </row>
    <row r="42218" spans="1:8" customFormat="1" x14ac:dyDescent="0.25">
      <c r="A42218" t="str">
        <f>"5415216"</f>
        <v>5415216</v>
      </c>
      <c r="B42218" t="s">
        <v>22797</v>
      </c>
      <c r="C42218" t="s">
        <v>24828</v>
      </c>
      <c r="D42218" s="21" t="s">
        <v>24820</v>
      </c>
      <c r="E42218" s="21" t="s">
        <v>71</v>
      </c>
      <c r="F42218">
        <v>6540111</v>
      </c>
      <c r="G42218" t="s">
        <v>9886</v>
      </c>
      <c r="H42218" s="21">
        <v>487</v>
      </c>
    </row>
    <row r="42219" spans="1:8" customFormat="1" x14ac:dyDescent="0.25">
      <c r="A42219" t="str">
        <f>"9144905"</f>
        <v>9144905</v>
      </c>
      <c r="B42219" t="s">
        <v>8884</v>
      </c>
      <c r="C42219" t="s">
        <v>24953</v>
      </c>
      <c r="D42219" s="21" t="s">
        <v>24820</v>
      </c>
      <c r="E42219" s="21" t="s">
        <v>35</v>
      </c>
      <c r="F42219">
        <v>8911050</v>
      </c>
      <c r="G42219" t="s">
        <v>1606</v>
      </c>
      <c r="H42219" s="21">
        <v>487</v>
      </c>
    </row>
    <row r="42220" spans="1:8" customFormat="1" x14ac:dyDescent="0.25">
      <c r="A42220" t="str">
        <f>"0617734"</f>
        <v>0617734</v>
      </c>
      <c r="B42220" t="s">
        <v>26255</v>
      </c>
      <c r="C42220" t="s">
        <v>12758</v>
      </c>
      <c r="D42220" s="21" t="s">
        <v>24820</v>
      </c>
      <c r="E42220" s="21" t="s">
        <v>71</v>
      </c>
      <c r="F42220">
        <v>13060063</v>
      </c>
      <c r="G42220" t="s">
        <v>2001</v>
      </c>
      <c r="H42220" s="21">
        <v>487</v>
      </c>
    </row>
    <row r="42221" spans="1:8" customFormat="1" x14ac:dyDescent="0.25">
      <c r="A42221" t="str">
        <f>"7643178"</f>
        <v>7643178</v>
      </c>
      <c r="B42221" t="s">
        <v>30047</v>
      </c>
      <c r="C42221" t="s">
        <v>30048</v>
      </c>
      <c r="D42221" s="21" t="s">
        <v>24820</v>
      </c>
      <c r="E42221" s="21" t="s">
        <v>35</v>
      </c>
      <c r="F42221">
        <v>9760206</v>
      </c>
      <c r="G42221" t="s">
        <v>13046</v>
      </c>
      <c r="H42221" s="21">
        <v>487</v>
      </c>
    </row>
    <row r="42222" spans="1:8" customFormat="1" x14ac:dyDescent="0.25">
      <c r="A42222" t="str">
        <f>"9146906"</f>
        <v>9146906</v>
      </c>
      <c r="B42222" t="s">
        <v>589</v>
      </c>
      <c r="C42222" t="s">
        <v>24877</v>
      </c>
      <c r="D42222" s="21" t="s">
        <v>24820</v>
      </c>
      <c r="E42222" s="21" t="s">
        <v>35</v>
      </c>
      <c r="F42222">
        <v>8910102</v>
      </c>
      <c r="G42222" t="s">
        <v>3079</v>
      </c>
      <c r="H42222" s="21">
        <v>487</v>
      </c>
    </row>
    <row r="42223" spans="1:8" customFormat="1" x14ac:dyDescent="0.25">
      <c r="A42223" t="str">
        <f>"7220069"</f>
        <v>7220069</v>
      </c>
      <c r="B42223" t="s">
        <v>820</v>
      </c>
      <c r="C42223" t="s">
        <v>24904</v>
      </c>
      <c r="D42223" s="21" t="s">
        <v>24820</v>
      </c>
      <c r="E42223" s="21" t="s">
        <v>35</v>
      </c>
      <c r="F42223">
        <v>12720049</v>
      </c>
      <c r="G42223" t="s">
        <v>1627</v>
      </c>
      <c r="H42223" s="21">
        <v>487</v>
      </c>
    </row>
    <row r="42224" spans="1:8" customFormat="1" x14ac:dyDescent="0.25">
      <c r="A42224" t="str">
        <f>"247015"</f>
        <v>247015</v>
      </c>
      <c r="B42224" t="s">
        <v>30049</v>
      </c>
      <c r="C42224" t="s">
        <v>30050</v>
      </c>
      <c r="D42224" s="21" t="s">
        <v>24820</v>
      </c>
      <c r="E42224" s="21" t="s">
        <v>35</v>
      </c>
      <c r="F42224">
        <v>10240030</v>
      </c>
      <c r="G42224" t="s">
        <v>8997</v>
      </c>
      <c r="H42224" s="21">
        <v>487</v>
      </c>
    </row>
    <row r="42225" spans="1:8" customFormat="1" x14ac:dyDescent="0.25">
      <c r="A42225" t="str">
        <f>"486272"</f>
        <v>486272</v>
      </c>
      <c r="B42225" t="s">
        <v>12383</v>
      </c>
      <c r="C42225" t="s">
        <v>26141</v>
      </c>
      <c r="D42225" s="21" t="s">
        <v>24820</v>
      </c>
      <c r="E42225" s="21" t="s">
        <v>35</v>
      </c>
      <c r="F42225">
        <v>11480027</v>
      </c>
      <c r="G42225" t="s">
        <v>2950</v>
      </c>
      <c r="H42225" s="21">
        <v>487</v>
      </c>
    </row>
    <row r="42226" spans="1:8" customFormat="1" x14ac:dyDescent="0.25">
      <c r="A42226" t="str">
        <f>"619138"</f>
        <v>619138</v>
      </c>
      <c r="B42226" t="s">
        <v>8880</v>
      </c>
      <c r="C42226" t="s">
        <v>22831</v>
      </c>
      <c r="D42226" s="21" t="s">
        <v>24820</v>
      </c>
      <c r="E42226" s="21" t="s">
        <v>35</v>
      </c>
      <c r="F42226">
        <v>9610144</v>
      </c>
      <c r="G42226" t="s">
        <v>6311</v>
      </c>
      <c r="H42226" s="21">
        <v>487</v>
      </c>
    </row>
    <row r="42227" spans="1:8" customFormat="1" x14ac:dyDescent="0.25">
      <c r="A42227" t="str">
        <f>"039235"</f>
        <v>039235</v>
      </c>
      <c r="B42227" t="s">
        <v>30051</v>
      </c>
      <c r="C42227" t="s">
        <v>24822</v>
      </c>
      <c r="D42227" s="21" t="s">
        <v>24820</v>
      </c>
      <c r="E42227" s="21" t="s">
        <v>71</v>
      </c>
      <c r="F42227">
        <v>1030212</v>
      </c>
      <c r="G42227" t="s">
        <v>3479</v>
      </c>
      <c r="H42227" s="21">
        <v>487</v>
      </c>
    </row>
    <row r="42228" spans="1:8" customFormat="1" x14ac:dyDescent="0.25">
      <c r="A42228" t="str">
        <f>"2217895"</f>
        <v>2217895</v>
      </c>
      <c r="B42228" t="s">
        <v>25753</v>
      </c>
      <c r="C42228" t="s">
        <v>25044</v>
      </c>
      <c r="D42228" s="21" t="s">
        <v>24820</v>
      </c>
      <c r="E42228" s="21" t="s">
        <v>1089</v>
      </c>
      <c r="F42228">
        <v>3220113</v>
      </c>
      <c r="G42228" t="s">
        <v>26775</v>
      </c>
      <c r="H42228" s="21">
        <v>487</v>
      </c>
    </row>
    <row r="42229" spans="1:8" customFormat="1" x14ac:dyDescent="0.25">
      <c r="A42229" t="str">
        <f>"4925503"</f>
        <v>4925503</v>
      </c>
      <c r="B42229" t="s">
        <v>11968</v>
      </c>
      <c r="C42229" t="s">
        <v>24952</v>
      </c>
      <c r="D42229" s="21" t="s">
        <v>24820</v>
      </c>
      <c r="E42229" s="21" t="s">
        <v>71</v>
      </c>
      <c r="F42229">
        <v>12490033</v>
      </c>
      <c r="G42229" t="s">
        <v>3469</v>
      </c>
      <c r="H42229" s="21">
        <v>486.88</v>
      </c>
    </row>
    <row r="42230" spans="1:8" customFormat="1" x14ac:dyDescent="0.25">
      <c r="A42230" t="str">
        <f>"7615717"</f>
        <v>7615717</v>
      </c>
      <c r="B42230" t="s">
        <v>26291</v>
      </c>
      <c r="C42230" t="s">
        <v>25622</v>
      </c>
      <c r="D42230" s="21" t="s">
        <v>24820</v>
      </c>
      <c r="E42230" s="21" t="s">
        <v>254</v>
      </c>
      <c r="F42230">
        <v>9270112</v>
      </c>
      <c r="G42230" t="s">
        <v>5124</v>
      </c>
      <c r="H42230" s="21">
        <v>486.75</v>
      </c>
    </row>
    <row r="42231" spans="1:8" customFormat="1" x14ac:dyDescent="0.25">
      <c r="A42231" t="str">
        <f>"7874946"</f>
        <v>7874946</v>
      </c>
      <c r="B42231" t="s">
        <v>30052</v>
      </c>
      <c r="C42231" t="s">
        <v>29737</v>
      </c>
      <c r="D42231" s="21" t="s">
        <v>24820</v>
      </c>
      <c r="E42231" s="21" t="s">
        <v>35</v>
      </c>
      <c r="F42231">
        <v>8780678</v>
      </c>
      <c r="G42231" t="s">
        <v>8556</v>
      </c>
      <c r="H42231" s="21">
        <v>486.5</v>
      </c>
    </row>
    <row r="42232" spans="1:8" customFormat="1" x14ac:dyDescent="0.25">
      <c r="A42232" t="str">
        <f>"0114190"</f>
        <v>0114190</v>
      </c>
      <c r="B42232" t="s">
        <v>26150</v>
      </c>
      <c r="C42232" t="s">
        <v>24828</v>
      </c>
      <c r="D42232" s="21" t="s">
        <v>24820</v>
      </c>
      <c r="E42232" s="21" t="s">
        <v>35</v>
      </c>
      <c r="F42232">
        <v>1010027</v>
      </c>
      <c r="G42232" t="s">
        <v>6318</v>
      </c>
      <c r="H42232" s="21">
        <v>486.5</v>
      </c>
    </row>
    <row r="42233" spans="1:8" customFormat="1" x14ac:dyDescent="0.25">
      <c r="A42233" t="str">
        <f>"9253579"</f>
        <v>9253579</v>
      </c>
      <c r="B42233" t="s">
        <v>30053</v>
      </c>
      <c r="C42233" t="s">
        <v>30054</v>
      </c>
      <c r="D42233" s="21" t="s">
        <v>24820</v>
      </c>
      <c r="E42233" s="21" t="s">
        <v>71</v>
      </c>
      <c r="F42233">
        <v>8920049</v>
      </c>
      <c r="G42233" t="s">
        <v>237</v>
      </c>
      <c r="H42233" s="21">
        <v>486.5</v>
      </c>
    </row>
    <row r="42234" spans="1:8" customFormat="1" x14ac:dyDescent="0.25">
      <c r="A42234" t="str">
        <f>"195225"</f>
        <v>195225</v>
      </c>
      <c r="B42234" t="s">
        <v>1098</v>
      </c>
      <c r="C42234" t="s">
        <v>24978</v>
      </c>
      <c r="D42234" s="21" t="s">
        <v>24820</v>
      </c>
      <c r="E42234" s="21" t="s">
        <v>71</v>
      </c>
      <c r="F42234">
        <v>10190096</v>
      </c>
      <c r="G42234" t="s">
        <v>3949</v>
      </c>
      <c r="H42234" s="21">
        <v>486.5</v>
      </c>
    </row>
    <row r="42235" spans="1:8" customFormat="1" x14ac:dyDescent="0.25">
      <c r="A42235" t="str">
        <f>"461670"</f>
        <v>461670</v>
      </c>
      <c r="B42235" t="s">
        <v>8635</v>
      </c>
      <c r="C42235" t="s">
        <v>24898</v>
      </c>
      <c r="D42235" s="21" t="s">
        <v>24820</v>
      </c>
      <c r="E42235" s="21" t="s">
        <v>254</v>
      </c>
      <c r="F42235">
        <v>11460029</v>
      </c>
      <c r="G42235" t="s">
        <v>10606</v>
      </c>
      <c r="H42235" s="21">
        <v>486.5</v>
      </c>
    </row>
    <row r="42236" spans="1:8" customFormat="1" x14ac:dyDescent="0.25">
      <c r="A42236" t="str">
        <f>"2717127"</f>
        <v>2717127</v>
      </c>
      <c r="B42236" t="s">
        <v>26144</v>
      </c>
      <c r="C42236" t="s">
        <v>24952</v>
      </c>
      <c r="D42236" s="21" t="s">
        <v>24820</v>
      </c>
      <c r="E42236" s="21" t="s">
        <v>254</v>
      </c>
      <c r="F42236">
        <v>9270041</v>
      </c>
      <c r="G42236" t="s">
        <v>4698</v>
      </c>
      <c r="H42236" s="21">
        <v>486.5</v>
      </c>
    </row>
    <row r="42237" spans="1:8" customFormat="1" x14ac:dyDescent="0.25">
      <c r="A42237" t="str">
        <f>"9244928"</f>
        <v>9244928</v>
      </c>
      <c r="B42237" t="s">
        <v>6843</v>
      </c>
      <c r="C42237" t="s">
        <v>24836</v>
      </c>
      <c r="D42237" s="21" t="s">
        <v>24820</v>
      </c>
      <c r="E42237" s="21" t="s">
        <v>254</v>
      </c>
      <c r="F42237">
        <v>8920075</v>
      </c>
      <c r="G42237" t="s">
        <v>317</v>
      </c>
      <c r="H42237" s="21">
        <v>486.5</v>
      </c>
    </row>
    <row r="42238" spans="1:8" customFormat="1" x14ac:dyDescent="0.25">
      <c r="A42238" t="str">
        <f>"5982078"</f>
        <v>5982078</v>
      </c>
      <c r="B42238" t="s">
        <v>26117</v>
      </c>
      <c r="C42238" t="s">
        <v>24865</v>
      </c>
      <c r="D42238" s="21" t="s">
        <v>24820</v>
      </c>
      <c r="E42238" s="21" t="s">
        <v>35</v>
      </c>
      <c r="F42238">
        <v>7590415</v>
      </c>
      <c r="G42238" t="s">
        <v>15668</v>
      </c>
      <c r="H42238" s="21">
        <v>486.5</v>
      </c>
    </row>
    <row r="42239" spans="1:8" customFormat="1" x14ac:dyDescent="0.25">
      <c r="A42239" t="str">
        <f>"199246"</f>
        <v>199246</v>
      </c>
      <c r="B42239" t="s">
        <v>5291</v>
      </c>
      <c r="C42239" t="s">
        <v>25053</v>
      </c>
      <c r="D42239" s="21" t="s">
        <v>24820</v>
      </c>
      <c r="E42239" s="21" t="s">
        <v>35</v>
      </c>
      <c r="F42239">
        <v>10190108</v>
      </c>
      <c r="G42239" t="s">
        <v>7344</v>
      </c>
      <c r="H42239" s="21">
        <v>486.5</v>
      </c>
    </row>
    <row r="42240" spans="1:8" customFormat="1" x14ac:dyDescent="0.25">
      <c r="A42240" t="str">
        <f>"2717529"</f>
        <v>2717529</v>
      </c>
      <c r="B42240" t="s">
        <v>1349</v>
      </c>
      <c r="C42240" t="s">
        <v>24865</v>
      </c>
      <c r="D42240" s="21" t="s">
        <v>24820</v>
      </c>
      <c r="E42240" s="21" t="s">
        <v>71</v>
      </c>
      <c r="F42240">
        <v>9270063</v>
      </c>
      <c r="G42240" t="s">
        <v>808</v>
      </c>
      <c r="H42240" s="21">
        <v>486.42</v>
      </c>
    </row>
    <row r="42241" spans="1:8" customFormat="1" x14ac:dyDescent="0.25">
      <c r="A42241" t="str">
        <f>"4427552"</f>
        <v>4427552</v>
      </c>
      <c r="B42241" t="s">
        <v>14882</v>
      </c>
      <c r="C42241" t="s">
        <v>24865</v>
      </c>
      <c r="D42241" s="21" t="s">
        <v>24820</v>
      </c>
      <c r="E42241" s="21" t="s">
        <v>254</v>
      </c>
      <c r="F42241">
        <v>12440049</v>
      </c>
      <c r="G42241" t="s">
        <v>3339</v>
      </c>
      <c r="H42241" s="21">
        <v>486.25</v>
      </c>
    </row>
    <row r="42242" spans="1:8" customFormat="1" x14ac:dyDescent="0.25">
      <c r="A42242" t="str">
        <f>"9249290"</f>
        <v>9249290</v>
      </c>
      <c r="B42242" t="s">
        <v>1180</v>
      </c>
      <c r="C42242" t="s">
        <v>24841</v>
      </c>
      <c r="D42242" s="21" t="s">
        <v>24820</v>
      </c>
      <c r="E42242" s="21" t="s">
        <v>35</v>
      </c>
      <c r="F42242">
        <v>8920075</v>
      </c>
      <c r="G42242" t="s">
        <v>317</v>
      </c>
      <c r="H42242" s="21">
        <v>486</v>
      </c>
    </row>
    <row r="42243" spans="1:8" customFormat="1" x14ac:dyDescent="0.25">
      <c r="A42243" t="str">
        <f>"7633852"</f>
        <v>7633852</v>
      </c>
      <c r="B42243" t="s">
        <v>30055</v>
      </c>
      <c r="C42243" t="s">
        <v>24686</v>
      </c>
      <c r="D42243" s="21" t="s">
        <v>24820</v>
      </c>
      <c r="E42243" s="21" t="s">
        <v>71</v>
      </c>
      <c r="F42243">
        <v>9760319</v>
      </c>
      <c r="G42243" t="s">
        <v>3051</v>
      </c>
      <c r="H42243" s="21">
        <v>486</v>
      </c>
    </row>
    <row r="42244" spans="1:8" customFormat="1" x14ac:dyDescent="0.25">
      <c r="A42244" t="str">
        <f>"2939637"</f>
        <v>2939637</v>
      </c>
      <c r="B42244" t="s">
        <v>4152</v>
      </c>
      <c r="C42244" t="s">
        <v>25145</v>
      </c>
      <c r="D42244" s="21" t="s">
        <v>24820</v>
      </c>
      <c r="E42244" s="21" t="s">
        <v>35</v>
      </c>
      <c r="F42244">
        <v>3290011</v>
      </c>
      <c r="G42244" t="s">
        <v>7083</v>
      </c>
      <c r="H42244" s="21">
        <v>486</v>
      </c>
    </row>
    <row r="42245" spans="1:8" customFormat="1" x14ac:dyDescent="0.25">
      <c r="A42245" t="str">
        <f>"558622"</f>
        <v>558622</v>
      </c>
      <c r="B42245" t="s">
        <v>18696</v>
      </c>
      <c r="C42245" t="s">
        <v>24914</v>
      </c>
      <c r="D42245" s="21" t="s">
        <v>24820</v>
      </c>
      <c r="E42245" s="21" t="s">
        <v>35</v>
      </c>
      <c r="F42245">
        <v>6550013</v>
      </c>
      <c r="G42245" t="s">
        <v>8047</v>
      </c>
      <c r="H42245" s="21">
        <v>486</v>
      </c>
    </row>
    <row r="42246" spans="1:8" customFormat="1" x14ac:dyDescent="0.25">
      <c r="A42246" t="str">
        <f>"5966024"</f>
        <v>5966024</v>
      </c>
      <c r="B42246" t="s">
        <v>26336</v>
      </c>
      <c r="C42246" t="s">
        <v>24888</v>
      </c>
      <c r="D42246" s="21" t="s">
        <v>24820</v>
      </c>
      <c r="E42246" s="21" t="s">
        <v>71</v>
      </c>
      <c r="F42246">
        <v>7590044</v>
      </c>
      <c r="G42246" t="s">
        <v>2029</v>
      </c>
      <c r="H42246" s="21">
        <v>486</v>
      </c>
    </row>
    <row r="42247" spans="1:8" customFormat="1" x14ac:dyDescent="0.25">
      <c r="A42247" t="str">
        <f>"8527950"</f>
        <v>8527950</v>
      </c>
      <c r="B42247" t="s">
        <v>650</v>
      </c>
      <c r="C42247" t="s">
        <v>24894</v>
      </c>
      <c r="D42247" s="21" t="s">
        <v>24820</v>
      </c>
      <c r="E42247" s="21" t="s">
        <v>35</v>
      </c>
      <c r="F42247">
        <v>12850109</v>
      </c>
      <c r="G42247" t="s">
        <v>2714</v>
      </c>
      <c r="H42247" s="21">
        <v>486</v>
      </c>
    </row>
    <row r="42248" spans="1:8" customFormat="1" x14ac:dyDescent="0.25">
      <c r="A42248" t="str">
        <f>"2811013"</f>
        <v>2811013</v>
      </c>
      <c r="B42248" t="s">
        <v>2746</v>
      </c>
      <c r="C42248" t="s">
        <v>24962</v>
      </c>
      <c r="D42248" s="21" t="s">
        <v>24820</v>
      </c>
      <c r="E42248" s="21" t="s">
        <v>35</v>
      </c>
      <c r="F42248">
        <v>4280005</v>
      </c>
      <c r="G42248" t="s">
        <v>5760</v>
      </c>
      <c r="H42248" s="21">
        <v>486</v>
      </c>
    </row>
    <row r="42249" spans="1:8" customFormat="1" x14ac:dyDescent="0.25">
      <c r="A42249" t="str">
        <f>"7518004"</f>
        <v>7518004</v>
      </c>
      <c r="B42249" t="s">
        <v>26125</v>
      </c>
      <c r="C42249" t="s">
        <v>24824</v>
      </c>
      <c r="D42249" s="21" t="s">
        <v>24820</v>
      </c>
      <c r="E42249" s="21" t="s">
        <v>71</v>
      </c>
      <c r="F42249">
        <v>8751260</v>
      </c>
      <c r="G42249" t="s">
        <v>10641</v>
      </c>
      <c r="H42249" s="21">
        <v>486</v>
      </c>
    </row>
    <row r="42250" spans="1:8" customFormat="1" x14ac:dyDescent="0.25">
      <c r="A42250" t="str">
        <f>"2936876"</f>
        <v>2936876</v>
      </c>
      <c r="B42250" t="s">
        <v>26201</v>
      </c>
      <c r="C42250" t="s">
        <v>24833</v>
      </c>
      <c r="D42250" s="21" t="s">
        <v>24820</v>
      </c>
      <c r="E42250" s="21" t="s">
        <v>35</v>
      </c>
      <c r="F42250">
        <v>3290023</v>
      </c>
      <c r="G42250" t="s">
        <v>3883</v>
      </c>
      <c r="H42250" s="21">
        <v>486</v>
      </c>
    </row>
    <row r="42251" spans="1:8" customFormat="1" x14ac:dyDescent="0.25">
      <c r="A42251" t="str">
        <f>"177990"</f>
        <v>177990</v>
      </c>
      <c r="B42251" t="s">
        <v>30056</v>
      </c>
      <c r="C42251" t="s">
        <v>24854</v>
      </c>
      <c r="D42251" s="21" t="s">
        <v>24820</v>
      </c>
      <c r="E42251" s="21" t="s">
        <v>71</v>
      </c>
      <c r="F42251">
        <v>3560027</v>
      </c>
      <c r="G42251" t="s">
        <v>27143</v>
      </c>
      <c r="H42251" s="21">
        <v>486</v>
      </c>
    </row>
    <row r="42252" spans="1:8" customFormat="1" x14ac:dyDescent="0.25">
      <c r="A42252" t="str">
        <f>"9117765"</f>
        <v>9117765</v>
      </c>
      <c r="B42252" t="s">
        <v>30057</v>
      </c>
      <c r="C42252" t="s">
        <v>25754</v>
      </c>
      <c r="D42252" s="21" t="s">
        <v>24820</v>
      </c>
      <c r="E42252" s="21" t="s">
        <v>35</v>
      </c>
      <c r="F42252">
        <v>8940976</v>
      </c>
      <c r="G42252" t="s">
        <v>615</v>
      </c>
      <c r="H42252" s="21">
        <v>485.88</v>
      </c>
    </row>
    <row r="42253" spans="1:8" customFormat="1" x14ac:dyDescent="0.25">
      <c r="A42253" t="str">
        <f>"0614701"</f>
        <v>0614701</v>
      </c>
      <c r="B42253" t="s">
        <v>10937</v>
      </c>
      <c r="C42253" t="s">
        <v>26248</v>
      </c>
      <c r="D42253" s="21" t="s">
        <v>24820</v>
      </c>
      <c r="E42253" s="21" t="s">
        <v>1089</v>
      </c>
      <c r="F42253">
        <v>13060037</v>
      </c>
      <c r="G42253" t="s">
        <v>9521</v>
      </c>
      <c r="H42253" s="21">
        <v>485.88</v>
      </c>
    </row>
    <row r="42254" spans="1:8" customFormat="1" x14ac:dyDescent="0.25">
      <c r="A42254" t="str">
        <f>"7717044"</f>
        <v>7717044</v>
      </c>
      <c r="B42254" t="s">
        <v>25811</v>
      </c>
      <c r="C42254" t="s">
        <v>25138</v>
      </c>
      <c r="D42254" s="21" t="s">
        <v>24820</v>
      </c>
      <c r="E42254" s="21" t="s">
        <v>35</v>
      </c>
      <c r="F42254">
        <v>8770408</v>
      </c>
      <c r="G42254" t="s">
        <v>212</v>
      </c>
      <c r="H42254" s="21">
        <v>485.75</v>
      </c>
    </row>
    <row r="42255" spans="1:8" customFormat="1" x14ac:dyDescent="0.25">
      <c r="A42255" t="str">
        <f>"2219850"</f>
        <v>2219850</v>
      </c>
      <c r="B42255" t="s">
        <v>12448</v>
      </c>
      <c r="C42255" t="s">
        <v>25306</v>
      </c>
      <c r="D42255" s="21" t="s">
        <v>24820</v>
      </c>
      <c r="E42255" s="21" t="s">
        <v>35</v>
      </c>
      <c r="F42255">
        <v>3220064</v>
      </c>
      <c r="G42255" t="s">
        <v>26559</v>
      </c>
      <c r="H42255" s="21">
        <v>485.75</v>
      </c>
    </row>
    <row r="42256" spans="1:8" customFormat="1" x14ac:dyDescent="0.25">
      <c r="A42256" t="str">
        <f>"848200"</f>
        <v>848200</v>
      </c>
      <c r="B42256" t="s">
        <v>26330</v>
      </c>
      <c r="C42256" t="s">
        <v>24939</v>
      </c>
      <c r="D42256" s="21" t="s">
        <v>24820</v>
      </c>
      <c r="E42256" s="21" t="s">
        <v>71</v>
      </c>
      <c r="F42256">
        <v>13840021</v>
      </c>
      <c r="G42256" t="s">
        <v>3946</v>
      </c>
      <c r="H42256" s="21">
        <v>485.5</v>
      </c>
    </row>
    <row r="42257" spans="1:8" customFormat="1" x14ac:dyDescent="0.25">
      <c r="A42257" t="str">
        <f>"3344314"</f>
        <v>3344314</v>
      </c>
      <c r="B42257" t="s">
        <v>30058</v>
      </c>
      <c r="C42257" t="s">
        <v>24894</v>
      </c>
      <c r="D42257" s="21" t="s">
        <v>24820</v>
      </c>
      <c r="E42257" s="21" t="s">
        <v>35</v>
      </c>
      <c r="F42257">
        <v>10330082</v>
      </c>
      <c r="G42257" t="s">
        <v>5564</v>
      </c>
      <c r="H42257" s="21">
        <v>485.5</v>
      </c>
    </row>
    <row r="42258" spans="1:8" customFormat="1" x14ac:dyDescent="0.25">
      <c r="A42258" t="str">
        <f>"7223462"</f>
        <v>7223462</v>
      </c>
      <c r="B42258" t="s">
        <v>11607</v>
      </c>
      <c r="C42258" t="s">
        <v>24836</v>
      </c>
      <c r="D42258" s="21" t="s">
        <v>24820</v>
      </c>
      <c r="E42258" s="21" t="s">
        <v>35</v>
      </c>
      <c r="F42258">
        <v>12720021</v>
      </c>
      <c r="G42258" t="s">
        <v>3329</v>
      </c>
      <c r="H42258" s="21">
        <v>485.5</v>
      </c>
    </row>
    <row r="42259" spans="1:8" customFormat="1" x14ac:dyDescent="0.25">
      <c r="A42259" t="str">
        <f>"8818036"</f>
        <v>8818036</v>
      </c>
      <c r="B42259" t="s">
        <v>11885</v>
      </c>
      <c r="C42259" t="s">
        <v>25151</v>
      </c>
      <c r="D42259" s="21" t="s">
        <v>24820</v>
      </c>
      <c r="E42259" s="21" t="s">
        <v>35</v>
      </c>
      <c r="F42259">
        <v>6880050</v>
      </c>
      <c r="G42259" t="s">
        <v>9344</v>
      </c>
      <c r="H42259" s="21">
        <v>485.5</v>
      </c>
    </row>
    <row r="42260" spans="1:8" customFormat="1" x14ac:dyDescent="0.25">
      <c r="A42260" t="str">
        <f>"1321768"</f>
        <v>1321768</v>
      </c>
      <c r="B42260" t="s">
        <v>30059</v>
      </c>
      <c r="C42260" t="s">
        <v>24914</v>
      </c>
      <c r="D42260" s="21" t="s">
        <v>24820</v>
      </c>
      <c r="E42260" s="21" t="s">
        <v>71</v>
      </c>
      <c r="F42260">
        <v>13130124</v>
      </c>
      <c r="G42260" t="s">
        <v>5311</v>
      </c>
      <c r="H42260" s="21">
        <v>485.5</v>
      </c>
    </row>
    <row r="42261" spans="1:8" customFormat="1" x14ac:dyDescent="0.25">
      <c r="A42261" t="str">
        <f>"5934842"</f>
        <v>5934842</v>
      </c>
      <c r="B42261" t="s">
        <v>9386</v>
      </c>
      <c r="C42261" t="s">
        <v>24904</v>
      </c>
      <c r="D42261" s="21" t="s">
        <v>24820</v>
      </c>
      <c r="E42261" s="21" t="s">
        <v>71</v>
      </c>
      <c r="F42261">
        <v>7590361</v>
      </c>
      <c r="G42261" t="s">
        <v>3071</v>
      </c>
      <c r="H42261" s="21">
        <v>485.5</v>
      </c>
    </row>
    <row r="42262" spans="1:8" customFormat="1" x14ac:dyDescent="0.25">
      <c r="A42262" t="str">
        <f>"7642751"</f>
        <v>7642751</v>
      </c>
      <c r="B42262" t="s">
        <v>30060</v>
      </c>
      <c r="C42262" t="s">
        <v>24898</v>
      </c>
      <c r="D42262" s="21" t="s">
        <v>24820</v>
      </c>
      <c r="E42262" s="21" t="s">
        <v>71</v>
      </c>
      <c r="F42262">
        <v>9760428</v>
      </c>
      <c r="G42262" t="s">
        <v>5081</v>
      </c>
      <c r="H42262" s="21">
        <v>485.5</v>
      </c>
    </row>
    <row r="42263" spans="1:8" customFormat="1" x14ac:dyDescent="0.25">
      <c r="A42263" t="str">
        <f>"7410210"</f>
        <v>7410210</v>
      </c>
      <c r="B42263" t="s">
        <v>20237</v>
      </c>
      <c r="C42263" t="s">
        <v>25882</v>
      </c>
      <c r="D42263" s="21" t="s">
        <v>24820</v>
      </c>
      <c r="E42263" s="21" t="s">
        <v>1089</v>
      </c>
      <c r="F42263">
        <v>1740069</v>
      </c>
      <c r="G42263" t="s">
        <v>8151</v>
      </c>
      <c r="H42263" s="21">
        <v>485.5</v>
      </c>
    </row>
    <row r="42264" spans="1:8" customFormat="1" x14ac:dyDescent="0.25">
      <c r="A42264" t="str">
        <f>"407117"</f>
        <v>407117</v>
      </c>
      <c r="B42264" t="s">
        <v>18916</v>
      </c>
      <c r="C42264" t="s">
        <v>25109</v>
      </c>
      <c r="D42264" s="21" t="s">
        <v>24820</v>
      </c>
      <c r="E42264" s="21" t="s">
        <v>35</v>
      </c>
      <c r="F42264">
        <v>10400003</v>
      </c>
      <c r="G42264" t="s">
        <v>5110</v>
      </c>
      <c r="H42264" s="21">
        <v>485.5</v>
      </c>
    </row>
    <row r="42265" spans="1:8" customFormat="1" x14ac:dyDescent="0.25">
      <c r="A42265" t="str">
        <f>"7882329"</f>
        <v>7882329</v>
      </c>
      <c r="B42265" t="s">
        <v>26057</v>
      </c>
      <c r="C42265" t="s">
        <v>24962</v>
      </c>
      <c r="D42265" s="21" t="s">
        <v>24820</v>
      </c>
      <c r="E42265" s="21" t="s">
        <v>35</v>
      </c>
      <c r="F42265">
        <v>8780529</v>
      </c>
      <c r="G42265" t="s">
        <v>8624</v>
      </c>
      <c r="H42265" s="21">
        <v>485.38</v>
      </c>
    </row>
    <row r="42266" spans="1:8" customFormat="1" x14ac:dyDescent="0.25">
      <c r="A42266" t="str">
        <f>"2937877"</f>
        <v>2937877</v>
      </c>
      <c r="B42266" t="s">
        <v>30061</v>
      </c>
      <c r="C42266" t="s">
        <v>24300</v>
      </c>
      <c r="D42266" s="21" t="s">
        <v>24820</v>
      </c>
      <c r="E42266" s="21" t="s">
        <v>35</v>
      </c>
      <c r="F42266">
        <v>3290277</v>
      </c>
      <c r="G42266" t="s">
        <v>1671</v>
      </c>
      <c r="H42266" s="21">
        <v>485</v>
      </c>
    </row>
    <row r="42267" spans="1:8" customFormat="1" x14ac:dyDescent="0.25">
      <c r="A42267" t="str">
        <f>"051261"</f>
        <v>051261</v>
      </c>
      <c r="B42267" t="s">
        <v>14669</v>
      </c>
      <c r="C42267" t="s">
        <v>26050</v>
      </c>
      <c r="D42267" s="21" t="s">
        <v>24820</v>
      </c>
      <c r="E42267" s="21" t="s">
        <v>71</v>
      </c>
      <c r="F42267">
        <v>13050025</v>
      </c>
      <c r="G42267" t="s">
        <v>21714</v>
      </c>
      <c r="H42267" s="21">
        <v>485</v>
      </c>
    </row>
    <row r="42268" spans="1:8" customFormat="1" x14ac:dyDescent="0.25">
      <c r="A42268" t="str">
        <f>"7512159"</f>
        <v>7512159</v>
      </c>
      <c r="B42268" t="s">
        <v>25618</v>
      </c>
      <c r="C42268" t="s">
        <v>25475</v>
      </c>
      <c r="D42268" s="21" t="s">
        <v>24820</v>
      </c>
      <c r="E42268" s="21" t="s">
        <v>35</v>
      </c>
      <c r="F42268">
        <v>8750074</v>
      </c>
      <c r="G42268" t="s">
        <v>698</v>
      </c>
      <c r="H42268" s="21">
        <v>485</v>
      </c>
    </row>
    <row r="42269" spans="1:8" customFormat="1" x14ac:dyDescent="0.25">
      <c r="A42269" t="str">
        <f>"394951"</f>
        <v>394951</v>
      </c>
      <c r="B42269" t="s">
        <v>26203</v>
      </c>
      <c r="C42269" t="s">
        <v>25281</v>
      </c>
      <c r="D42269" s="21" t="s">
        <v>24820</v>
      </c>
      <c r="E42269" s="21" t="s">
        <v>35</v>
      </c>
      <c r="F42269">
        <v>2390007</v>
      </c>
      <c r="G42269" t="s">
        <v>3365</v>
      </c>
      <c r="H42269" s="21">
        <v>485</v>
      </c>
    </row>
    <row r="42270" spans="1:8" customFormat="1" x14ac:dyDescent="0.25">
      <c r="A42270" t="str">
        <f>"9144604"</f>
        <v>9144604</v>
      </c>
      <c r="B42270" t="s">
        <v>30062</v>
      </c>
      <c r="C42270" t="s">
        <v>23734</v>
      </c>
      <c r="D42270" s="21" t="s">
        <v>24820</v>
      </c>
      <c r="E42270" s="21" t="s">
        <v>254</v>
      </c>
      <c r="F42270">
        <v>8910914</v>
      </c>
      <c r="G42270" t="s">
        <v>3302</v>
      </c>
      <c r="H42270" s="21">
        <v>485</v>
      </c>
    </row>
    <row r="42271" spans="1:8" customFormat="1" x14ac:dyDescent="0.25">
      <c r="A42271" t="str">
        <f>"6316745"</f>
        <v>6316745</v>
      </c>
      <c r="B42271" t="s">
        <v>30063</v>
      </c>
      <c r="C42271" t="s">
        <v>24892</v>
      </c>
      <c r="D42271" s="21" t="s">
        <v>24820</v>
      </c>
      <c r="E42271" s="21" t="s">
        <v>71</v>
      </c>
      <c r="F42271">
        <v>1630123</v>
      </c>
      <c r="G42271" t="s">
        <v>1036</v>
      </c>
      <c r="H42271" s="21">
        <v>485</v>
      </c>
    </row>
    <row r="42272" spans="1:8" customFormat="1" x14ac:dyDescent="0.25">
      <c r="A42272" t="str">
        <f>"106984"</f>
        <v>106984</v>
      </c>
      <c r="B42272" t="s">
        <v>18671</v>
      </c>
      <c r="C42272" t="s">
        <v>22831</v>
      </c>
      <c r="D42272" s="21" t="s">
        <v>24820</v>
      </c>
      <c r="E42272" s="21" t="s">
        <v>71</v>
      </c>
      <c r="F42272">
        <v>6100015</v>
      </c>
      <c r="G42272" t="s">
        <v>6173</v>
      </c>
      <c r="H42272" s="21">
        <v>485</v>
      </c>
    </row>
    <row r="42273" spans="1:8" customFormat="1" x14ac:dyDescent="0.25">
      <c r="A42273" t="str">
        <f>"7623236"</f>
        <v>7623236</v>
      </c>
      <c r="B42273" t="s">
        <v>26164</v>
      </c>
      <c r="C42273" t="s">
        <v>24978</v>
      </c>
      <c r="D42273" s="21" t="s">
        <v>24820</v>
      </c>
      <c r="E42273" s="21" t="s">
        <v>254</v>
      </c>
      <c r="F42273">
        <v>9760201</v>
      </c>
      <c r="G42273" t="s">
        <v>11358</v>
      </c>
      <c r="H42273" s="21">
        <v>485</v>
      </c>
    </row>
    <row r="42274" spans="1:8" customFormat="1" x14ac:dyDescent="0.25">
      <c r="A42274" t="str">
        <f>"5021155"</f>
        <v>5021155</v>
      </c>
      <c r="B42274" t="s">
        <v>650</v>
      </c>
      <c r="C42274" t="s">
        <v>30064</v>
      </c>
      <c r="D42274" s="21" t="s">
        <v>24820</v>
      </c>
      <c r="E42274" s="21" t="s">
        <v>35</v>
      </c>
      <c r="F42274">
        <v>9500053</v>
      </c>
      <c r="G42274" t="s">
        <v>11847</v>
      </c>
      <c r="H42274" s="21">
        <v>485</v>
      </c>
    </row>
    <row r="42275" spans="1:8" customFormat="1" x14ac:dyDescent="0.25">
      <c r="A42275" t="str">
        <f>"0615785"</f>
        <v>0615785</v>
      </c>
      <c r="B42275" t="s">
        <v>30065</v>
      </c>
      <c r="C42275" t="s">
        <v>24953</v>
      </c>
      <c r="D42275" s="21" t="s">
        <v>24820</v>
      </c>
      <c r="E42275" s="21" t="s">
        <v>35</v>
      </c>
      <c r="F42275">
        <v>13060090</v>
      </c>
      <c r="G42275" t="s">
        <v>1363</v>
      </c>
      <c r="H42275" s="21">
        <v>485</v>
      </c>
    </row>
    <row r="42276" spans="1:8" customFormat="1" x14ac:dyDescent="0.25">
      <c r="A42276" t="str">
        <f>"7729737"</f>
        <v>7729737</v>
      </c>
      <c r="B42276" t="s">
        <v>25778</v>
      </c>
      <c r="C42276" t="s">
        <v>25779</v>
      </c>
      <c r="D42276" s="21" t="s">
        <v>24820</v>
      </c>
      <c r="E42276" s="21" t="s">
        <v>71</v>
      </c>
      <c r="F42276">
        <v>8770408</v>
      </c>
      <c r="G42276" t="s">
        <v>212</v>
      </c>
      <c r="H42276" s="21">
        <v>485</v>
      </c>
    </row>
    <row r="42277" spans="1:8" customFormat="1" x14ac:dyDescent="0.25">
      <c r="A42277" t="str">
        <f>"282830"</f>
        <v>282830</v>
      </c>
      <c r="B42277" t="s">
        <v>26273</v>
      </c>
      <c r="C42277" t="s">
        <v>24840</v>
      </c>
      <c r="D42277" s="21" t="s">
        <v>24820</v>
      </c>
      <c r="E42277" s="21" t="s">
        <v>71</v>
      </c>
      <c r="F42277">
        <v>4280716</v>
      </c>
      <c r="G42277" t="s">
        <v>5281</v>
      </c>
      <c r="H42277" s="21">
        <v>485</v>
      </c>
    </row>
    <row r="42278" spans="1:8" customFormat="1" x14ac:dyDescent="0.25">
      <c r="A42278" t="str">
        <f>"6232449"</f>
        <v>6232449</v>
      </c>
      <c r="B42278" t="s">
        <v>9201</v>
      </c>
      <c r="C42278" t="s">
        <v>25068</v>
      </c>
      <c r="D42278" s="21" t="s">
        <v>24820</v>
      </c>
      <c r="E42278" s="21" t="s">
        <v>35</v>
      </c>
      <c r="F42278">
        <v>7620104</v>
      </c>
      <c r="G42278" t="s">
        <v>635</v>
      </c>
      <c r="H42278" s="21">
        <v>485</v>
      </c>
    </row>
    <row r="42279" spans="1:8" customFormat="1" x14ac:dyDescent="0.25">
      <c r="A42279" t="str">
        <f>"107418"</f>
        <v>107418</v>
      </c>
      <c r="B42279" t="s">
        <v>16427</v>
      </c>
      <c r="C42279" t="s">
        <v>25011</v>
      </c>
      <c r="D42279" s="21" t="s">
        <v>24820</v>
      </c>
      <c r="E42279" s="21" t="s">
        <v>254</v>
      </c>
      <c r="F42279">
        <v>6100041</v>
      </c>
      <c r="G42279" t="s">
        <v>14552</v>
      </c>
      <c r="H42279" s="21">
        <v>485</v>
      </c>
    </row>
    <row r="42280" spans="1:8" customFormat="1" x14ac:dyDescent="0.25">
      <c r="A42280" t="str">
        <f>"5114340"</f>
        <v>5114340</v>
      </c>
      <c r="B42280" t="s">
        <v>30066</v>
      </c>
      <c r="C42280" t="s">
        <v>30067</v>
      </c>
      <c r="D42280" s="21" t="s">
        <v>24820</v>
      </c>
      <c r="E42280" s="21" t="s">
        <v>71</v>
      </c>
      <c r="F42280">
        <v>6510015</v>
      </c>
      <c r="G42280" t="s">
        <v>5462</v>
      </c>
      <c r="H42280" s="21">
        <v>485</v>
      </c>
    </row>
    <row r="42281" spans="1:8" customFormat="1" x14ac:dyDescent="0.25">
      <c r="A42281" t="str">
        <f>"2815075"</f>
        <v>2815075</v>
      </c>
      <c r="B42281" t="s">
        <v>30068</v>
      </c>
      <c r="C42281" t="s">
        <v>30069</v>
      </c>
      <c r="D42281" s="21" t="s">
        <v>24820</v>
      </c>
      <c r="E42281" s="21" t="s">
        <v>35</v>
      </c>
      <c r="F42281">
        <v>4280719</v>
      </c>
      <c r="G42281" t="s">
        <v>21976</v>
      </c>
      <c r="H42281" s="21">
        <v>485</v>
      </c>
    </row>
    <row r="42282" spans="1:8" customFormat="1" x14ac:dyDescent="0.25">
      <c r="A42282" t="str">
        <f>"7217034"</f>
        <v>7217034</v>
      </c>
      <c r="B42282" t="s">
        <v>23691</v>
      </c>
      <c r="C42282" t="s">
        <v>24833</v>
      </c>
      <c r="D42282" s="21" t="s">
        <v>24820</v>
      </c>
      <c r="E42282" s="21" t="s">
        <v>35</v>
      </c>
      <c r="F42282">
        <v>12720029</v>
      </c>
      <c r="G42282" t="s">
        <v>11575</v>
      </c>
      <c r="H42282" s="21">
        <v>485</v>
      </c>
    </row>
    <row r="42283" spans="1:8" customFormat="1" x14ac:dyDescent="0.25">
      <c r="A42283" t="str">
        <f>"6232827"</f>
        <v>6232827</v>
      </c>
      <c r="B42283" t="s">
        <v>26216</v>
      </c>
      <c r="C42283" t="s">
        <v>26217</v>
      </c>
      <c r="D42283" s="21" t="s">
        <v>24820</v>
      </c>
      <c r="E42283" s="21" t="s">
        <v>35</v>
      </c>
      <c r="F42283">
        <v>7620037</v>
      </c>
      <c r="G42283" t="s">
        <v>13227</v>
      </c>
      <c r="H42283" s="21">
        <v>485</v>
      </c>
    </row>
    <row r="42284" spans="1:8" customFormat="1" x14ac:dyDescent="0.25">
      <c r="A42284" t="str">
        <f>"5731886"</f>
        <v>5731886</v>
      </c>
      <c r="B42284" t="s">
        <v>26241</v>
      </c>
      <c r="C42284" t="s">
        <v>24840</v>
      </c>
      <c r="D42284" s="21" t="s">
        <v>24820</v>
      </c>
      <c r="E42284" s="21" t="s">
        <v>71</v>
      </c>
      <c r="F42284">
        <v>6570016</v>
      </c>
      <c r="G42284" t="s">
        <v>11808</v>
      </c>
      <c r="H42284" s="21">
        <v>485</v>
      </c>
    </row>
    <row r="42285" spans="1:8" customFormat="1" x14ac:dyDescent="0.25">
      <c r="A42285" t="str">
        <f>"4112909"</f>
        <v>4112909</v>
      </c>
      <c r="B42285" t="s">
        <v>26314</v>
      </c>
      <c r="C42285" t="s">
        <v>24838</v>
      </c>
      <c r="D42285" s="21" t="s">
        <v>24820</v>
      </c>
      <c r="E42285" s="21" t="s">
        <v>35</v>
      </c>
      <c r="F42285">
        <v>4410016</v>
      </c>
      <c r="G42285" t="s">
        <v>4365</v>
      </c>
      <c r="H42285" s="21">
        <v>485</v>
      </c>
    </row>
    <row r="42286" spans="1:8" customFormat="1" x14ac:dyDescent="0.25">
      <c r="A42286" t="str">
        <f>"114478"</f>
        <v>114478</v>
      </c>
      <c r="B42286" t="s">
        <v>2930</v>
      </c>
      <c r="C42286" t="s">
        <v>24962</v>
      </c>
      <c r="D42286" s="21" t="s">
        <v>24820</v>
      </c>
      <c r="E42286" s="21" t="s">
        <v>71</v>
      </c>
      <c r="F42286">
        <v>11110029</v>
      </c>
      <c r="G42286" t="s">
        <v>9387</v>
      </c>
      <c r="H42286" s="21">
        <v>485</v>
      </c>
    </row>
    <row r="42287" spans="1:8" customFormat="1" x14ac:dyDescent="0.25">
      <c r="A42287" t="str">
        <f>"6313274"</f>
        <v>6313274</v>
      </c>
      <c r="B42287" t="s">
        <v>8643</v>
      </c>
      <c r="C42287" t="s">
        <v>24932</v>
      </c>
      <c r="D42287" s="21" t="s">
        <v>24820</v>
      </c>
      <c r="E42287" s="21" t="s">
        <v>254</v>
      </c>
      <c r="F42287">
        <v>1630332</v>
      </c>
      <c r="G42287" t="s">
        <v>27136</v>
      </c>
      <c r="H42287" s="21">
        <v>485</v>
      </c>
    </row>
    <row r="42288" spans="1:8" customFormat="1" x14ac:dyDescent="0.25">
      <c r="A42288" t="str">
        <f>"2613685"</f>
        <v>2613685</v>
      </c>
      <c r="B42288" t="s">
        <v>26140</v>
      </c>
      <c r="C42288" t="s">
        <v>24926</v>
      </c>
      <c r="D42288" s="21" t="s">
        <v>24820</v>
      </c>
      <c r="E42288" s="21" t="s">
        <v>35</v>
      </c>
      <c r="F42288">
        <v>1260034</v>
      </c>
      <c r="G42288" t="s">
        <v>1884</v>
      </c>
      <c r="H42288" s="21">
        <v>485</v>
      </c>
    </row>
    <row r="42289" spans="1:8" customFormat="1" x14ac:dyDescent="0.25">
      <c r="A42289" t="str">
        <f>"6312439"</f>
        <v>6312439</v>
      </c>
      <c r="B42289" t="s">
        <v>26242</v>
      </c>
      <c r="C42289" t="s">
        <v>25252</v>
      </c>
      <c r="D42289" s="21" t="s">
        <v>24820</v>
      </c>
      <c r="E42289" s="21" t="s">
        <v>35</v>
      </c>
      <c r="F42289">
        <v>1630012</v>
      </c>
      <c r="G42289" t="s">
        <v>8636</v>
      </c>
      <c r="H42289" s="21">
        <v>485</v>
      </c>
    </row>
    <row r="42290" spans="1:8" customFormat="1" x14ac:dyDescent="0.25">
      <c r="A42290" t="str">
        <f>"5734767"</f>
        <v>5734767</v>
      </c>
      <c r="B42290" t="s">
        <v>20996</v>
      </c>
      <c r="C42290" t="s">
        <v>25177</v>
      </c>
      <c r="D42290" s="21" t="s">
        <v>24820</v>
      </c>
      <c r="E42290" s="21" t="s">
        <v>71</v>
      </c>
      <c r="F42290">
        <v>6570177</v>
      </c>
      <c r="G42290" t="s">
        <v>2586</v>
      </c>
      <c r="H42290" s="21">
        <v>485</v>
      </c>
    </row>
    <row r="42291" spans="1:8" customFormat="1" x14ac:dyDescent="0.25">
      <c r="A42291" t="str">
        <f>"5935033"</f>
        <v>5935033</v>
      </c>
      <c r="B42291" t="s">
        <v>8342</v>
      </c>
      <c r="C42291" t="s">
        <v>24867</v>
      </c>
      <c r="D42291" s="21" t="s">
        <v>24820</v>
      </c>
      <c r="E42291" s="21" t="s">
        <v>71</v>
      </c>
      <c r="F42291">
        <v>7590068</v>
      </c>
      <c r="G42291" t="s">
        <v>1005</v>
      </c>
      <c r="H42291" s="21">
        <v>484.75</v>
      </c>
    </row>
    <row r="42292" spans="1:8" customFormat="1" x14ac:dyDescent="0.25">
      <c r="A42292" t="str">
        <f>"5975474"</f>
        <v>5975474</v>
      </c>
      <c r="B42292" t="s">
        <v>2329</v>
      </c>
      <c r="C42292" t="s">
        <v>24978</v>
      </c>
      <c r="D42292" s="21" t="s">
        <v>24820</v>
      </c>
      <c r="E42292" s="21" t="s">
        <v>254</v>
      </c>
      <c r="F42292">
        <v>7590044</v>
      </c>
      <c r="G42292" t="s">
        <v>2029</v>
      </c>
      <c r="H42292" s="21">
        <v>484.67</v>
      </c>
    </row>
    <row r="42293" spans="1:8" customFormat="1" x14ac:dyDescent="0.25">
      <c r="A42293" t="str">
        <f>"6110570"</f>
        <v>6110570</v>
      </c>
      <c r="B42293" t="s">
        <v>23982</v>
      </c>
      <c r="C42293" t="s">
        <v>24855</v>
      </c>
      <c r="D42293" s="21" t="s">
        <v>24820</v>
      </c>
      <c r="E42293" s="21" t="s">
        <v>71</v>
      </c>
      <c r="F42293">
        <v>9610144</v>
      </c>
      <c r="G42293" t="s">
        <v>6311</v>
      </c>
      <c r="H42293" s="21">
        <v>484.67</v>
      </c>
    </row>
    <row r="42294" spans="1:8" customFormat="1" x14ac:dyDescent="0.25">
      <c r="A42294" t="str">
        <f>"3343964"</f>
        <v>3343964</v>
      </c>
      <c r="B42294" t="s">
        <v>8829</v>
      </c>
      <c r="C42294" t="s">
        <v>24833</v>
      </c>
      <c r="D42294" s="21" t="s">
        <v>24820</v>
      </c>
      <c r="E42294" s="21" t="s">
        <v>35</v>
      </c>
      <c r="F42294">
        <v>10330005</v>
      </c>
      <c r="G42294" t="s">
        <v>3526</v>
      </c>
      <c r="H42294" s="21">
        <v>484.5</v>
      </c>
    </row>
    <row r="42295" spans="1:8" customFormat="1" x14ac:dyDescent="0.25">
      <c r="A42295" t="str">
        <f>"0812044"</f>
        <v>0812044</v>
      </c>
      <c r="B42295" t="s">
        <v>25710</v>
      </c>
      <c r="C42295" t="s">
        <v>24988</v>
      </c>
      <c r="D42295" s="21" t="s">
        <v>24820</v>
      </c>
      <c r="E42295" s="21" t="s">
        <v>35</v>
      </c>
      <c r="F42295">
        <v>6080005</v>
      </c>
      <c r="G42295" t="s">
        <v>8965</v>
      </c>
      <c r="H42295" s="21">
        <v>484.5</v>
      </c>
    </row>
    <row r="42296" spans="1:8" customFormat="1" x14ac:dyDescent="0.25">
      <c r="A42296" t="str">
        <f>"3719083"</f>
        <v>3719083</v>
      </c>
      <c r="B42296" t="s">
        <v>8713</v>
      </c>
      <c r="C42296" t="s">
        <v>24888</v>
      </c>
      <c r="D42296" s="21" t="s">
        <v>24820</v>
      </c>
      <c r="E42296" s="21" t="s">
        <v>71</v>
      </c>
      <c r="F42296">
        <v>4370024</v>
      </c>
      <c r="G42296" t="s">
        <v>1718</v>
      </c>
      <c r="H42296" s="21">
        <v>484.5</v>
      </c>
    </row>
    <row r="42297" spans="1:8" customFormat="1" x14ac:dyDescent="0.25">
      <c r="A42297" t="str">
        <f>"2516045"</f>
        <v>2516045</v>
      </c>
      <c r="B42297" t="s">
        <v>23128</v>
      </c>
      <c r="C42297" t="s">
        <v>24840</v>
      </c>
      <c r="D42297" s="21" t="s">
        <v>24820</v>
      </c>
      <c r="E42297" s="21" t="s">
        <v>35</v>
      </c>
      <c r="F42297">
        <v>2250213</v>
      </c>
      <c r="G42297" t="s">
        <v>1969</v>
      </c>
      <c r="H42297" s="21">
        <v>484.5</v>
      </c>
    </row>
    <row r="42298" spans="1:8" customFormat="1" x14ac:dyDescent="0.25">
      <c r="A42298" t="str">
        <f>"1611696"</f>
        <v>1611696</v>
      </c>
      <c r="B42298" t="s">
        <v>29786</v>
      </c>
      <c r="C42298" t="s">
        <v>25390</v>
      </c>
      <c r="D42298" s="21" t="s">
        <v>24820</v>
      </c>
      <c r="E42298" s="21" t="s">
        <v>35</v>
      </c>
      <c r="F42298">
        <v>10160232</v>
      </c>
      <c r="G42298" t="s">
        <v>2882</v>
      </c>
      <c r="H42298" s="21">
        <v>484.5</v>
      </c>
    </row>
    <row r="42299" spans="1:8" customFormat="1" x14ac:dyDescent="0.25">
      <c r="A42299" t="str">
        <f>"5720568"</f>
        <v>5720568</v>
      </c>
      <c r="B42299" t="s">
        <v>30070</v>
      </c>
      <c r="C42299" t="s">
        <v>24973</v>
      </c>
      <c r="D42299" s="21" t="s">
        <v>24820</v>
      </c>
      <c r="E42299" s="21" t="s">
        <v>35</v>
      </c>
      <c r="F42299">
        <v>6570188</v>
      </c>
      <c r="G42299" t="s">
        <v>12145</v>
      </c>
      <c r="H42299" s="21">
        <v>484.5</v>
      </c>
    </row>
    <row r="42300" spans="1:8" customFormat="1" x14ac:dyDescent="0.25">
      <c r="A42300" t="str">
        <f>"9459410"</f>
        <v>9459410</v>
      </c>
      <c r="B42300" t="s">
        <v>19814</v>
      </c>
      <c r="C42300" t="s">
        <v>25044</v>
      </c>
      <c r="D42300" s="21" t="s">
        <v>24820</v>
      </c>
      <c r="E42300" s="21" t="s">
        <v>35</v>
      </c>
      <c r="F42300">
        <v>8940926</v>
      </c>
      <c r="G42300" t="s">
        <v>4065</v>
      </c>
      <c r="H42300" s="21">
        <v>484.38</v>
      </c>
    </row>
    <row r="42301" spans="1:8" customFormat="1" x14ac:dyDescent="0.25">
      <c r="A42301" t="str">
        <f>"7516275"</f>
        <v>7516275</v>
      </c>
      <c r="B42301" t="s">
        <v>17019</v>
      </c>
      <c r="C42301" t="s">
        <v>24994</v>
      </c>
      <c r="D42301" s="21" t="s">
        <v>24820</v>
      </c>
      <c r="E42301" s="21" t="s">
        <v>254</v>
      </c>
      <c r="F42301">
        <v>8751124</v>
      </c>
      <c r="G42301" t="s">
        <v>1481</v>
      </c>
      <c r="H42301" s="21">
        <v>484.25</v>
      </c>
    </row>
    <row r="42302" spans="1:8" customFormat="1" x14ac:dyDescent="0.25">
      <c r="A42302" t="str">
        <f>"363601"</f>
        <v>363601</v>
      </c>
      <c r="B42302" t="s">
        <v>15883</v>
      </c>
      <c r="C42302" t="s">
        <v>24909</v>
      </c>
      <c r="D42302" s="21" t="s">
        <v>24820</v>
      </c>
      <c r="E42302" s="21" t="s">
        <v>71</v>
      </c>
      <c r="F42302">
        <v>4360001</v>
      </c>
      <c r="G42302" t="s">
        <v>23098</v>
      </c>
      <c r="H42302" s="21">
        <v>484.04</v>
      </c>
    </row>
    <row r="42303" spans="1:8" customFormat="1" x14ac:dyDescent="0.25">
      <c r="A42303" t="str">
        <f>"848356"</f>
        <v>848356</v>
      </c>
      <c r="B42303" t="s">
        <v>30071</v>
      </c>
      <c r="C42303" t="s">
        <v>22831</v>
      </c>
      <c r="D42303" s="21" t="s">
        <v>24820</v>
      </c>
      <c r="E42303" s="21" t="s">
        <v>35</v>
      </c>
      <c r="F42303">
        <v>13840025</v>
      </c>
      <c r="G42303" t="s">
        <v>7580</v>
      </c>
      <c r="H42303" s="21">
        <v>484</v>
      </c>
    </row>
    <row r="42304" spans="1:8" customFormat="1" x14ac:dyDescent="0.25">
      <c r="A42304" t="str">
        <f>"5019982"</f>
        <v>5019982</v>
      </c>
      <c r="B42304" t="s">
        <v>25689</v>
      </c>
      <c r="C42304" t="s">
        <v>25068</v>
      </c>
      <c r="D42304" s="21" t="s">
        <v>24820</v>
      </c>
      <c r="E42304" s="21" t="s">
        <v>35</v>
      </c>
      <c r="F42304">
        <v>9500012</v>
      </c>
      <c r="G42304" t="s">
        <v>10097</v>
      </c>
      <c r="H42304" s="21">
        <v>484</v>
      </c>
    </row>
    <row r="42305" spans="1:8" customFormat="1" x14ac:dyDescent="0.25">
      <c r="A42305" t="str">
        <f>"4455149"</f>
        <v>4455149</v>
      </c>
      <c r="B42305" t="s">
        <v>26320</v>
      </c>
      <c r="C42305" t="s">
        <v>263</v>
      </c>
      <c r="D42305" s="21" t="s">
        <v>24820</v>
      </c>
      <c r="E42305" s="21" t="s">
        <v>254</v>
      </c>
      <c r="F42305">
        <v>12440116</v>
      </c>
      <c r="G42305" t="s">
        <v>26673</v>
      </c>
      <c r="H42305" s="21">
        <v>484</v>
      </c>
    </row>
    <row r="42306" spans="1:8" customFormat="1" x14ac:dyDescent="0.25">
      <c r="A42306" t="str">
        <f>"407834"</f>
        <v>407834</v>
      </c>
      <c r="B42306" t="s">
        <v>23463</v>
      </c>
      <c r="C42306" t="s">
        <v>25588</v>
      </c>
      <c r="D42306" s="21" t="s">
        <v>24820</v>
      </c>
      <c r="E42306" s="21" t="s">
        <v>254</v>
      </c>
      <c r="F42306">
        <v>10400004</v>
      </c>
      <c r="G42306" t="s">
        <v>2929</v>
      </c>
      <c r="H42306" s="21">
        <v>484</v>
      </c>
    </row>
    <row r="42307" spans="1:8" customFormat="1" x14ac:dyDescent="0.25">
      <c r="A42307" t="str">
        <f>"9146433"</f>
        <v>9146433</v>
      </c>
      <c r="B42307" t="s">
        <v>26053</v>
      </c>
      <c r="C42307" t="s">
        <v>26054</v>
      </c>
      <c r="D42307" s="21" t="s">
        <v>24820</v>
      </c>
      <c r="E42307" s="21" t="s">
        <v>35</v>
      </c>
      <c r="F42307">
        <v>8910652</v>
      </c>
      <c r="G42307" t="s">
        <v>6533</v>
      </c>
      <c r="H42307" s="21">
        <v>484</v>
      </c>
    </row>
    <row r="42308" spans="1:8" customFormat="1" x14ac:dyDescent="0.25">
      <c r="A42308" t="str">
        <f>"7642510"</f>
        <v>7642510</v>
      </c>
      <c r="B42308" t="s">
        <v>1456</v>
      </c>
      <c r="C42308" t="s">
        <v>25068</v>
      </c>
      <c r="D42308" s="21" t="s">
        <v>24820</v>
      </c>
      <c r="E42308" s="21" t="s">
        <v>35</v>
      </c>
      <c r="F42308">
        <v>9760319</v>
      </c>
      <c r="G42308" t="s">
        <v>3051</v>
      </c>
      <c r="H42308" s="21">
        <v>484</v>
      </c>
    </row>
    <row r="42309" spans="1:8" customFormat="1" x14ac:dyDescent="0.25">
      <c r="A42309" t="str">
        <f>"3115151"</f>
        <v>3115151</v>
      </c>
      <c r="B42309" t="s">
        <v>26296</v>
      </c>
      <c r="C42309" t="s">
        <v>24863</v>
      </c>
      <c r="D42309" s="21" t="s">
        <v>24820</v>
      </c>
      <c r="E42309" s="21" t="s">
        <v>71</v>
      </c>
      <c r="F42309">
        <v>11310098</v>
      </c>
      <c r="G42309" t="s">
        <v>371</v>
      </c>
      <c r="H42309" s="21">
        <v>484</v>
      </c>
    </row>
    <row r="42310" spans="1:8" customFormat="1" x14ac:dyDescent="0.25">
      <c r="A42310" t="str">
        <f>"324557"</f>
        <v>324557</v>
      </c>
      <c r="B42310" t="s">
        <v>15750</v>
      </c>
      <c r="C42310" t="s">
        <v>24914</v>
      </c>
      <c r="D42310" s="21" t="s">
        <v>24820</v>
      </c>
      <c r="E42310" s="21" t="s">
        <v>35</v>
      </c>
      <c r="F42310">
        <v>11320042</v>
      </c>
      <c r="G42310" t="s">
        <v>234</v>
      </c>
      <c r="H42310" s="21">
        <v>484</v>
      </c>
    </row>
    <row r="42311" spans="1:8" customFormat="1" x14ac:dyDescent="0.25">
      <c r="A42311" t="str">
        <f>"0114015"</f>
        <v>0114015</v>
      </c>
      <c r="B42311" t="s">
        <v>20140</v>
      </c>
      <c r="C42311" t="s">
        <v>22831</v>
      </c>
      <c r="D42311" s="21" t="s">
        <v>24820</v>
      </c>
      <c r="E42311" s="21" t="s">
        <v>35</v>
      </c>
      <c r="F42311">
        <v>1010017</v>
      </c>
      <c r="G42311" t="s">
        <v>6502</v>
      </c>
      <c r="H42311" s="21">
        <v>483.75</v>
      </c>
    </row>
    <row r="42312" spans="1:8" customFormat="1" x14ac:dyDescent="0.25">
      <c r="A42312" t="str">
        <f>"7638206"</f>
        <v>7638206</v>
      </c>
      <c r="B42312" t="s">
        <v>2155</v>
      </c>
      <c r="C42312" t="s">
        <v>24968</v>
      </c>
      <c r="D42312" s="21" t="s">
        <v>24820</v>
      </c>
      <c r="E42312" s="21" t="s">
        <v>71</v>
      </c>
      <c r="F42312">
        <v>9760352</v>
      </c>
      <c r="G42312" t="s">
        <v>7885</v>
      </c>
      <c r="H42312" s="21">
        <v>483.67</v>
      </c>
    </row>
    <row r="42313" spans="1:8" customFormat="1" x14ac:dyDescent="0.25">
      <c r="A42313" t="str">
        <f>"396786"</f>
        <v>396786</v>
      </c>
      <c r="B42313" t="s">
        <v>30072</v>
      </c>
      <c r="C42313" t="s">
        <v>24888</v>
      </c>
      <c r="D42313" s="21" t="s">
        <v>24820</v>
      </c>
      <c r="E42313" s="21" t="s">
        <v>71</v>
      </c>
      <c r="F42313">
        <v>2390089</v>
      </c>
      <c r="G42313" t="s">
        <v>5194</v>
      </c>
      <c r="H42313" s="21">
        <v>483.67</v>
      </c>
    </row>
    <row r="42314" spans="1:8" customFormat="1" x14ac:dyDescent="0.25">
      <c r="A42314" t="str">
        <f>"037281"</f>
        <v>037281</v>
      </c>
      <c r="B42314" t="s">
        <v>26236</v>
      </c>
      <c r="C42314" t="s">
        <v>24897</v>
      </c>
      <c r="D42314" s="21" t="s">
        <v>24820</v>
      </c>
      <c r="E42314" s="21" t="s">
        <v>254</v>
      </c>
      <c r="F42314">
        <v>1030212</v>
      </c>
      <c r="G42314" t="s">
        <v>3479</v>
      </c>
      <c r="H42314" s="21">
        <v>483.5</v>
      </c>
    </row>
    <row r="42315" spans="1:8" customFormat="1" x14ac:dyDescent="0.25">
      <c r="A42315" t="str">
        <f>"8612856"</f>
        <v>8612856</v>
      </c>
      <c r="B42315" t="s">
        <v>16871</v>
      </c>
      <c r="C42315" t="s">
        <v>24958</v>
      </c>
      <c r="D42315" s="21" t="s">
        <v>24820</v>
      </c>
      <c r="E42315" s="21" t="s">
        <v>35</v>
      </c>
      <c r="F42315">
        <v>12440029</v>
      </c>
      <c r="G42315" t="s">
        <v>567</v>
      </c>
      <c r="H42315" s="21">
        <v>483.5</v>
      </c>
    </row>
    <row r="42316" spans="1:8" customFormat="1" x14ac:dyDescent="0.25">
      <c r="A42316" t="str">
        <f>"7869859"</f>
        <v>7869859</v>
      </c>
      <c r="B42316" t="s">
        <v>9732</v>
      </c>
      <c r="C42316" t="s">
        <v>24865</v>
      </c>
      <c r="D42316" s="21" t="s">
        <v>24820</v>
      </c>
      <c r="E42316" s="21" t="s">
        <v>71</v>
      </c>
      <c r="F42316">
        <v>8780108</v>
      </c>
      <c r="G42316" t="s">
        <v>4329</v>
      </c>
      <c r="H42316" s="21">
        <v>483.5</v>
      </c>
    </row>
    <row r="42317" spans="1:8" customFormat="1" x14ac:dyDescent="0.25">
      <c r="A42317" t="str">
        <f>"0617671"</f>
        <v>0617671</v>
      </c>
      <c r="B42317" t="s">
        <v>25623</v>
      </c>
      <c r="C42317" t="s">
        <v>24906</v>
      </c>
      <c r="D42317" s="21" t="s">
        <v>24820</v>
      </c>
      <c r="E42317" s="21" t="s">
        <v>1089</v>
      </c>
      <c r="F42317">
        <v>13060031</v>
      </c>
      <c r="G42317" t="s">
        <v>9379</v>
      </c>
      <c r="H42317" s="21">
        <v>483.5</v>
      </c>
    </row>
    <row r="42318" spans="1:8" customFormat="1" x14ac:dyDescent="0.25">
      <c r="A42318" t="str">
        <f>"7878976"</f>
        <v>7878976</v>
      </c>
      <c r="B42318" t="s">
        <v>105</v>
      </c>
      <c r="C42318" t="s">
        <v>24840</v>
      </c>
      <c r="D42318" s="21" t="s">
        <v>24820</v>
      </c>
      <c r="E42318" s="21" t="s">
        <v>254</v>
      </c>
      <c r="F42318">
        <v>8780130</v>
      </c>
      <c r="G42318" t="s">
        <v>5752</v>
      </c>
      <c r="H42318" s="21">
        <v>483.5</v>
      </c>
    </row>
    <row r="42319" spans="1:8" customFormat="1" x14ac:dyDescent="0.25">
      <c r="A42319" t="str">
        <f>"5111005"</f>
        <v>5111005</v>
      </c>
      <c r="B42319" t="s">
        <v>26341</v>
      </c>
      <c r="C42319" t="s">
        <v>24838</v>
      </c>
      <c r="D42319" s="21" t="s">
        <v>24820</v>
      </c>
      <c r="E42319" s="21" t="s">
        <v>71</v>
      </c>
      <c r="F42319">
        <v>6510067</v>
      </c>
      <c r="G42319" t="s">
        <v>19343</v>
      </c>
      <c r="H42319" s="21">
        <v>483.5</v>
      </c>
    </row>
    <row r="42320" spans="1:8" customFormat="1" x14ac:dyDescent="0.25">
      <c r="A42320" t="str">
        <f>"199786"</f>
        <v>199786</v>
      </c>
      <c r="B42320" t="s">
        <v>25658</v>
      </c>
      <c r="C42320" t="s">
        <v>24827</v>
      </c>
      <c r="D42320" s="21" t="s">
        <v>24820</v>
      </c>
      <c r="E42320" s="21" t="s">
        <v>35</v>
      </c>
      <c r="F42320">
        <v>10190066</v>
      </c>
      <c r="G42320" t="s">
        <v>15933</v>
      </c>
      <c r="H42320" s="21">
        <v>483.5</v>
      </c>
    </row>
    <row r="42321" spans="1:8" customFormat="1" x14ac:dyDescent="0.25">
      <c r="A42321" t="str">
        <f>"9236256"</f>
        <v>9236256</v>
      </c>
      <c r="B42321" t="s">
        <v>3189</v>
      </c>
      <c r="C42321" t="s">
        <v>25625</v>
      </c>
      <c r="D42321" s="21" t="s">
        <v>24820</v>
      </c>
      <c r="E42321" s="21" t="s">
        <v>71</v>
      </c>
      <c r="F42321">
        <v>8920063</v>
      </c>
      <c r="G42321" t="s">
        <v>219</v>
      </c>
      <c r="H42321" s="21">
        <v>483.5</v>
      </c>
    </row>
    <row r="42322" spans="1:8" customFormat="1" x14ac:dyDescent="0.25">
      <c r="A42322" t="str">
        <f>"367477"</f>
        <v>367477</v>
      </c>
      <c r="B42322" t="s">
        <v>28304</v>
      </c>
      <c r="C42322" t="s">
        <v>25266</v>
      </c>
      <c r="D42322" s="21" t="s">
        <v>24820</v>
      </c>
      <c r="E42322" s="21" t="s">
        <v>35</v>
      </c>
      <c r="F42322">
        <v>4360009</v>
      </c>
      <c r="G42322" t="s">
        <v>6259</v>
      </c>
      <c r="H42322" s="21">
        <v>483.17</v>
      </c>
    </row>
    <row r="42323" spans="1:8" customFormat="1" x14ac:dyDescent="0.25">
      <c r="A42323" t="str">
        <f>"9314188"</f>
        <v>9314188</v>
      </c>
      <c r="B42323" t="s">
        <v>26327</v>
      </c>
      <c r="C42323" t="s">
        <v>25199</v>
      </c>
      <c r="D42323" s="21" t="s">
        <v>24820</v>
      </c>
      <c r="E42323" s="21" t="s">
        <v>254</v>
      </c>
      <c r="F42323">
        <v>8931358</v>
      </c>
      <c r="G42323" t="s">
        <v>560</v>
      </c>
      <c r="H42323" s="21">
        <v>483</v>
      </c>
    </row>
    <row r="42324" spans="1:8" customFormat="1" x14ac:dyDescent="0.25">
      <c r="A42324" t="str">
        <f>"4432908"</f>
        <v>4432908</v>
      </c>
      <c r="B42324" t="s">
        <v>8901</v>
      </c>
      <c r="C42324" t="s">
        <v>30073</v>
      </c>
      <c r="D42324" s="21" t="s">
        <v>24820</v>
      </c>
      <c r="E42324" s="21" t="s">
        <v>71</v>
      </c>
      <c r="F42324">
        <v>12440236</v>
      </c>
      <c r="G42324" t="s">
        <v>27164</v>
      </c>
      <c r="H42324" s="21">
        <v>483</v>
      </c>
    </row>
    <row r="42325" spans="1:8" customFormat="1" x14ac:dyDescent="0.25">
      <c r="A42325" t="str">
        <f>"6931532"</f>
        <v>6931532</v>
      </c>
      <c r="B42325" t="s">
        <v>2854</v>
      </c>
      <c r="C42325" t="s">
        <v>13865</v>
      </c>
      <c r="D42325" s="21" t="s">
        <v>24820</v>
      </c>
      <c r="E42325" s="21" t="s">
        <v>1089</v>
      </c>
      <c r="F42325">
        <v>1690004</v>
      </c>
      <c r="G42325" t="s">
        <v>12294</v>
      </c>
      <c r="H42325" s="21">
        <v>483</v>
      </c>
    </row>
    <row r="42326" spans="1:8" customFormat="1" x14ac:dyDescent="0.25">
      <c r="A42326" t="str">
        <f>"154094"</f>
        <v>154094</v>
      </c>
      <c r="B42326" t="s">
        <v>30074</v>
      </c>
      <c r="C42326" t="s">
        <v>24831</v>
      </c>
      <c r="D42326" s="21" t="s">
        <v>24820</v>
      </c>
      <c r="E42326" s="21" t="s">
        <v>35</v>
      </c>
      <c r="F42326">
        <v>1150159</v>
      </c>
      <c r="G42326" t="s">
        <v>7433</v>
      </c>
      <c r="H42326" s="21">
        <v>483</v>
      </c>
    </row>
    <row r="42327" spans="1:8" customFormat="1" x14ac:dyDescent="0.25">
      <c r="A42327" t="str">
        <f>"7111480"</f>
        <v>7111480</v>
      </c>
      <c r="B42327" t="s">
        <v>22347</v>
      </c>
      <c r="C42327" t="s">
        <v>24892</v>
      </c>
      <c r="D42327" s="21" t="s">
        <v>24820</v>
      </c>
      <c r="E42327" s="21" t="s">
        <v>35</v>
      </c>
      <c r="F42327">
        <v>2710049</v>
      </c>
      <c r="G42327" t="s">
        <v>11357</v>
      </c>
      <c r="H42327" s="21">
        <v>483</v>
      </c>
    </row>
    <row r="42328" spans="1:8" customFormat="1" x14ac:dyDescent="0.25">
      <c r="A42328" t="str">
        <f>"3116804"</f>
        <v>3116804</v>
      </c>
      <c r="B42328" t="s">
        <v>10608</v>
      </c>
      <c r="C42328" t="s">
        <v>25274</v>
      </c>
      <c r="D42328" s="21" t="s">
        <v>24820</v>
      </c>
      <c r="E42328" s="21" t="s">
        <v>71</v>
      </c>
      <c r="F42328">
        <v>11310075</v>
      </c>
      <c r="G42328" t="s">
        <v>2531</v>
      </c>
      <c r="H42328" s="21">
        <v>483</v>
      </c>
    </row>
    <row r="42329" spans="1:8" customFormat="1" x14ac:dyDescent="0.25">
      <c r="A42329" t="str">
        <f>"2719585"</f>
        <v>2719585</v>
      </c>
      <c r="B42329" t="s">
        <v>7136</v>
      </c>
      <c r="C42329" t="s">
        <v>24892</v>
      </c>
      <c r="D42329" s="21" t="s">
        <v>24820</v>
      </c>
      <c r="E42329" s="21" t="s">
        <v>35</v>
      </c>
      <c r="F42329">
        <v>9270162</v>
      </c>
      <c r="G42329" t="s">
        <v>1865</v>
      </c>
      <c r="H42329" s="21">
        <v>483</v>
      </c>
    </row>
    <row r="42330" spans="1:8" customFormat="1" x14ac:dyDescent="0.25">
      <c r="A42330" t="str">
        <f>"7722023"</f>
        <v>7722023</v>
      </c>
      <c r="B42330" t="s">
        <v>30075</v>
      </c>
      <c r="C42330" t="s">
        <v>24915</v>
      </c>
      <c r="D42330" s="21" t="s">
        <v>24820</v>
      </c>
      <c r="E42330" s="21" t="s">
        <v>35</v>
      </c>
      <c r="F42330">
        <v>8771087</v>
      </c>
      <c r="G42330" t="s">
        <v>9715</v>
      </c>
      <c r="H42330" s="21">
        <v>482.62</v>
      </c>
    </row>
    <row r="42331" spans="1:8" customFormat="1" x14ac:dyDescent="0.25">
      <c r="A42331" t="str">
        <f>"4710268"</f>
        <v>4710268</v>
      </c>
      <c r="B42331" t="s">
        <v>25542</v>
      </c>
      <c r="C42331" t="s">
        <v>24865</v>
      </c>
      <c r="D42331" s="21" t="s">
        <v>24820</v>
      </c>
      <c r="E42331" s="21" t="s">
        <v>35</v>
      </c>
      <c r="F42331">
        <v>10470001</v>
      </c>
      <c r="G42331" t="s">
        <v>391</v>
      </c>
      <c r="H42331" s="21">
        <v>482.54</v>
      </c>
    </row>
    <row r="42332" spans="1:8" customFormat="1" x14ac:dyDescent="0.25">
      <c r="A42332" t="str">
        <f>"5974937"</f>
        <v>5974937</v>
      </c>
      <c r="B42332" t="s">
        <v>14549</v>
      </c>
      <c r="C42332" t="s">
        <v>24863</v>
      </c>
      <c r="D42332" s="21" t="s">
        <v>24820</v>
      </c>
      <c r="E42332" s="21" t="s">
        <v>35</v>
      </c>
      <c r="F42332">
        <v>7590089</v>
      </c>
      <c r="G42332" t="s">
        <v>1418</v>
      </c>
      <c r="H42332" s="21">
        <v>482.5</v>
      </c>
    </row>
    <row r="42333" spans="1:8" customFormat="1" x14ac:dyDescent="0.25">
      <c r="A42333" t="str">
        <f>"2938026"</f>
        <v>2938026</v>
      </c>
      <c r="B42333" t="s">
        <v>25597</v>
      </c>
      <c r="C42333" t="s">
        <v>25109</v>
      </c>
      <c r="D42333" s="21" t="s">
        <v>24820</v>
      </c>
      <c r="E42333" s="21" t="s">
        <v>71</v>
      </c>
      <c r="F42333">
        <v>3290003</v>
      </c>
      <c r="G42333" t="s">
        <v>3764</v>
      </c>
      <c r="H42333" s="21">
        <v>482.5</v>
      </c>
    </row>
    <row r="42334" spans="1:8" customFormat="1" x14ac:dyDescent="0.25">
      <c r="A42334" t="str">
        <f>"3424021"</f>
        <v>3424021</v>
      </c>
      <c r="B42334" t="s">
        <v>25709</v>
      </c>
      <c r="C42334" t="s">
        <v>24947</v>
      </c>
      <c r="D42334" s="21" t="s">
        <v>24820</v>
      </c>
      <c r="E42334" s="21" t="s">
        <v>35</v>
      </c>
      <c r="F42334">
        <v>11340049</v>
      </c>
      <c r="G42334" t="s">
        <v>13479</v>
      </c>
      <c r="H42334" s="21">
        <v>482.5</v>
      </c>
    </row>
    <row r="42335" spans="1:8" customFormat="1" x14ac:dyDescent="0.25">
      <c r="A42335" t="str">
        <f>"5977698"</f>
        <v>5977698</v>
      </c>
      <c r="B42335" t="s">
        <v>26198</v>
      </c>
      <c r="C42335" t="s">
        <v>24854</v>
      </c>
      <c r="D42335" s="21" t="s">
        <v>24820</v>
      </c>
      <c r="E42335" s="21" t="s">
        <v>71</v>
      </c>
      <c r="F42335">
        <v>7590414</v>
      </c>
      <c r="G42335" t="s">
        <v>10056</v>
      </c>
      <c r="H42335" s="21">
        <v>482.5</v>
      </c>
    </row>
    <row r="42336" spans="1:8" customFormat="1" x14ac:dyDescent="0.25">
      <c r="A42336" t="str">
        <f>"5621878"</f>
        <v>5621878</v>
      </c>
      <c r="B42336" t="s">
        <v>26326</v>
      </c>
      <c r="C42336" t="s">
        <v>24840</v>
      </c>
      <c r="D42336" s="21" t="s">
        <v>24820</v>
      </c>
      <c r="E42336" s="21" t="s">
        <v>35</v>
      </c>
      <c r="F42336">
        <v>3560050</v>
      </c>
      <c r="G42336" t="s">
        <v>5322</v>
      </c>
      <c r="H42336" s="21">
        <v>482.5</v>
      </c>
    </row>
    <row r="42337" spans="1:8" customFormat="1" x14ac:dyDescent="0.25">
      <c r="A42337" t="str">
        <f>"4220368"</f>
        <v>4220368</v>
      </c>
      <c r="B42337" t="s">
        <v>5717</v>
      </c>
      <c r="C42337" t="s">
        <v>25192</v>
      </c>
      <c r="D42337" s="21" t="s">
        <v>24820</v>
      </c>
      <c r="E42337" s="21" t="s">
        <v>71</v>
      </c>
      <c r="F42337">
        <v>1420299</v>
      </c>
      <c r="G42337" t="s">
        <v>8013</v>
      </c>
      <c r="H42337" s="21">
        <v>482.5</v>
      </c>
    </row>
    <row r="42338" spans="1:8" customFormat="1" x14ac:dyDescent="0.25">
      <c r="A42338" t="str">
        <f>"9D3030"</f>
        <v>9D3030</v>
      </c>
      <c r="B42338" t="s">
        <v>8281</v>
      </c>
      <c r="C42338" t="s">
        <v>23734</v>
      </c>
      <c r="D42338" s="21" t="s">
        <v>24820</v>
      </c>
      <c r="E42338" s="21" t="s">
        <v>71</v>
      </c>
      <c r="F42338" t="s">
        <v>5881</v>
      </c>
      <c r="G42338" t="s">
        <v>5882</v>
      </c>
      <c r="H42338" s="21">
        <v>482.5</v>
      </c>
    </row>
    <row r="42339" spans="1:8" customFormat="1" x14ac:dyDescent="0.25">
      <c r="A42339" t="str">
        <f>"589787"</f>
        <v>589787</v>
      </c>
      <c r="B42339" t="s">
        <v>2677</v>
      </c>
      <c r="C42339" t="s">
        <v>25086</v>
      </c>
      <c r="D42339" s="21" t="s">
        <v>24820</v>
      </c>
      <c r="E42339" s="21" t="s">
        <v>71</v>
      </c>
      <c r="F42339">
        <v>2580078</v>
      </c>
      <c r="G42339" t="s">
        <v>4432</v>
      </c>
      <c r="H42339" s="21">
        <v>482.5</v>
      </c>
    </row>
    <row r="42340" spans="1:8" customFormat="1" x14ac:dyDescent="0.25">
      <c r="A42340" t="str">
        <f>"1423895"</f>
        <v>1423895</v>
      </c>
      <c r="B42340" t="s">
        <v>10960</v>
      </c>
      <c r="C42340" t="s">
        <v>24831</v>
      </c>
      <c r="D42340" s="21" t="s">
        <v>24820</v>
      </c>
      <c r="E42340" s="21" t="s">
        <v>35</v>
      </c>
      <c r="F42340">
        <v>9140189</v>
      </c>
      <c r="G42340" t="s">
        <v>4200</v>
      </c>
      <c r="H42340" s="21">
        <v>482.5</v>
      </c>
    </row>
    <row r="42341" spans="1:8" customFormat="1" x14ac:dyDescent="0.25">
      <c r="A42341" t="str">
        <f>"9144773"</f>
        <v>9144773</v>
      </c>
      <c r="B42341" t="s">
        <v>8362</v>
      </c>
      <c r="C42341" t="s">
        <v>25333</v>
      </c>
      <c r="D42341" s="21" t="s">
        <v>24820</v>
      </c>
      <c r="E42341" s="21" t="s">
        <v>71</v>
      </c>
      <c r="F42341">
        <v>8911050</v>
      </c>
      <c r="G42341" t="s">
        <v>1606</v>
      </c>
      <c r="H42341" s="21">
        <v>482.5</v>
      </c>
    </row>
    <row r="42342" spans="1:8" customFormat="1" x14ac:dyDescent="0.25">
      <c r="A42342" t="str">
        <f>"653785"</f>
        <v>653785</v>
      </c>
      <c r="B42342" t="s">
        <v>5064</v>
      </c>
      <c r="C42342" t="s">
        <v>24831</v>
      </c>
      <c r="D42342" s="21" t="s">
        <v>24820</v>
      </c>
      <c r="E42342" s="21" t="s">
        <v>35</v>
      </c>
      <c r="F42342">
        <v>11650018</v>
      </c>
      <c r="G42342" t="s">
        <v>6247</v>
      </c>
      <c r="H42342" s="21">
        <v>482.38</v>
      </c>
    </row>
    <row r="42343" spans="1:8" customFormat="1" x14ac:dyDescent="0.25">
      <c r="A42343" t="str">
        <f>"365256"</f>
        <v>365256</v>
      </c>
      <c r="B42343" t="s">
        <v>17235</v>
      </c>
      <c r="C42343" t="s">
        <v>24865</v>
      </c>
      <c r="D42343" s="21" t="s">
        <v>24820</v>
      </c>
      <c r="E42343" s="21" t="s">
        <v>254</v>
      </c>
      <c r="F42343">
        <v>4360340</v>
      </c>
      <c r="G42343" t="s">
        <v>14132</v>
      </c>
      <c r="H42343" s="21">
        <v>482.25</v>
      </c>
    </row>
    <row r="42344" spans="1:8" customFormat="1" x14ac:dyDescent="0.25">
      <c r="A42344" t="str">
        <f>"0618691"</f>
        <v>0618691</v>
      </c>
      <c r="B42344" t="s">
        <v>4602</v>
      </c>
      <c r="C42344" t="s">
        <v>25713</v>
      </c>
      <c r="D42344" s="21" t="s">
        <v>24820</v>
      </c>
      <c r="E42344" s="21" t="s">
        <v>71</v>
      </c>
      <c r="F42344">
        <v>13060037</v>
      </c>
      <c r="G42344" t="s">
        <v>9521</v>
      </c>
      <c r="H42344" s="21">
        <v>482</v>
      </c>
    </row>
    <row r="42345" spans="1:8" customFormat="1" x14ac:dyDescent="0.25">
      <c r="A42345" t="str">
        <f>"4528293"</f>
        <v>4528293</v>
      </c>
      <c r="B42345" t="s">
        <v>5700</v>
      </c>
      <c r="C42345" t="s">
        <v>24828</v>
      </c>
      <c r="D42345" s="21" t="s">
        <v>24820</v>
      </c>
      <c r="E42345" s="21" t="s">
        <v>35</v>
      </c>
      <c r="F42345">
        <v>4450144</v>
      </c>
      <c r="G42345" t="s">
        <v>6941</v>
      </c>
      <c r="H42345" s="21">
        <v>482</v>
      </c>
    </row>
    <row r="42346" spans="1:8" customFormat="1" x14ac:dyDescent="0.25">
      <c r="A42346" t="str">
        <f>"2617106"</f>
        <v>2617106</v>
      </c>
      <c r="B42346" t="s">
        <v>387</v>
      </c>
      <c r="C42346" t="s">
        <v>25208</v>
      </c>
      <c r="D42346" s="21" t="s">
        <v>24820</v>
      </c>
      <c r="E42346" s="21" t="s">
        <v>254</v>
      </c>
      <c r="F42346">
        <v>1260071</v>
      </c>
      <c r="G42346" t="s">
        <v>798</v>
      </c>
      <c r="H42346" s="21">
        <v>482</v>
      </c>
    </row>
    <row r="42347" spans="1:8" customFormat="1" x14ac:dyDescent="0.25">
      <c r="A42347" t="str">
        <f>"7220484"</f>
        <v>7220484</v>
      </c>
      <c r="B42347" t="s">
        <v>2010</v>
      </c>
      <c r="C42347" t="s">
        <v>24898</v>
      </c>
      <c r="D42347" s="21" t="s">
        <v>24820</v>
      </c>
      <c r="E42347" s="21" t="s">
        <v>254</v>
      </c>
      <c r="F42347">
        <v>12720020</v>
      </c>
      <c r="G42347" t="s">
        <v>8402</v>
      </c>
      <c r="H42347" s="21">
        <v>482</v>
      </c>
    </row>
    <row r="42348" spans="1:8" customFormat="1" x14ac:dyDescent="0.25">
      <c r="A42348" t="str">
        <f>"2938628"</f>
        <v>2938628</v>
      </c>
      <c r="B42348" t="s">
        <v>25677</v>
      </c>
      <c r="C42348" t="s">
        <v>24881</v>
      </c>
      <c r="D42348" s="21" t="s">
        <v>24820</v>
      </c>
      <c r="E42348" s="21" t="s">
        <v>35</v>
      </c>
      <c r="F42348">
        <v>3290286</v>
      </c>
      <c r="G42348" t="s">
        <v>18777</v>
      </c>
      <c r="H42348" s="21">
        <v>482</v>
      </c>
    </row>
    <row r="42349" spans="1:8" customFormat="1" x14ac:dyDescent="0.25">
      <c r="A42349" t="str">
        <f>"589528"</f>
        <v>589528</v>
      </c>
      <c r="B42349" t="s">
        <v>14539</v>
      </c>
      <c r="C42349" t="s">
        <v>24947</v>
      </c>
      <c r="D42349" s="21" t="s">
        <v>24820</v>
      </c>
      <c r="E42349" s="21" t="s">
        <v>35</v>
      </c>
      <c r="F42349">
        <v>2580093</v>
      </c>
      <c r="G42349" t="s">
        <v>9104</v>
      </c>
      <c r="H42349" s="21">
        <v>482</v>
      </c>
    </row>
    <row r="42350" spans="1:8" customFormat="1" x14ac:dyDescent="0.25">
      <c r="A42350" t="str">
        <f>"1425500"</f>
        <v>1425500</v>
      </c>
      <c r="B42350" t="s">
        <v>582</v>
      </c>
      <c r="C42350" t="s">
        <v>25144</v>
      </c>
      <c r="D42350" s="21" t="s">
        <v>24820</v>
      </c>
      <c r="E42350" s="21" t="s">
        <v>35</v>
      </c>
      <c r="F42350">
        <v>9140189</v>
      </c>
      <c r="G42350" t="s">
        <v>4200</v>
      </c>
      <c r="H42350" s="21">
        <v>482</v>
      </c>
    </row>
    <row r="42351" spans="1:8" customFormat="1" x14ac:dyDescent="0.25">
      <c r="A42351" t="str">
        <f>"279913"</f>
        <v>279913</v>
      </c>
      <c r="B42351" t="s">
        <v>108</v>
      </c>
      <c r="C42351" t="s">
        <v>25491</v>
      </c>
      <c r="D42351" s="21" t="s">
        <v>24820</v>
      </c>
      <c r="E42351" s="21" t="s">
        <v>254</v>
      </c>
      <c r="F42351">
        <v>9270005</v>
      </c>
      <c r="G42351" t="s">
        <v>1255</v>
      </c>
      <c r="H42351" s="21">
        <v>481.67</v>
      </c>
    </row>
    <row r="42352" spans="1:8" customFormat="1" x14ac:dyDescent="0.25">
      <c r="A42352" t="str">
        <f>"8610715"</f>
        <v>8610715</v>
      </c>
      <c r="B42352" t="s">
        <v>25968</v>
      </c>
      <c r="C42352" t="s">
        <v>25053</v>
      </c>
      <c r="D42352" s="21" t="s">
        <v>24820</v>
      </c>
      <c r="E42352" s="21" t="s">
        <v>35</v>
      </c>
      <c r="F42352">
        <v>10860038</v>
      </c>
      <c r="G42352" t="s">
        <v>8925</v>
      </c>
      <c r="H42352" s="21">
        <v>481.5</v>
      </c>
    </row>
    <row r="42353" spans="1:8" customFormat="1" x14ac:dyDescent="0.25">
      <c r="A42353" t="str">
        <f>"3118437"</f>
        <v>3118437</v>
      </c>
      <c r="B42353" t="s">
        <v>5657</v>
      </c>
      <c r="C42353" t="s">
        <v>24914</v>
      </c>
      <c r="D42353" s="21" t="s">
        <v>24820</v>
      </c>
      <c r="E42353" s="21" t="s">
        <v>35</v>
      </c>
      <c r="F42353">
        <v>11310006</v>
      </c>
      <c r="G42353" t="s">
        <v>419</v>
      </c>
      <c r="H42353" s="21">
        <v>481.5</v>
      </c>
    </row>
    <row r="42354" spans="1:8" customFormat="1" x14ac:dyDescent="0.25">
      <c r="A42354" t="str">
        <f>"6018737"</f>
        <v>6018737</v>
      </c>
      <c r="B42354" t="s">
        <v>2403</v>
      </c>
      <c r="C42354" t="s">
        <v>25151</v>
      </c>
      <c r="D42354" s="21" t="s">
        <v>24820</v>
      </c>
      <c r="E42354" s="21" t="s">
        <v>35</v>
      </c>
      <c r="F42354">
        <v>7600146</v>
      </c>
      <c r="G42354" t="s">
        <v>8647</v>
      </c>
      <c r="H42354" s="21">
        <v>481.5</v>
      </c>
    </row>
    <row r="42355" spans="1:8" customFormat="1" x14ac:dyDescent="0.25">
      <c r="A42355" t="str">
        <f>"7612180"</f>
        <v>7612180</v>
      </c>
      <c r="B42355" t="s">
        <v>679</v>
      </c>
      <c r="C42355" t="s">
        <v>22831</v>
      </c>
      <c r="D42355" s="21" t="s">
        <v>24820</v>
      </c>
      <c r="E42355" s="21" t="s">
        <v>254</v>
      </c>
      <c r="F42355">
        <v>9760025</v>
      </c>
      <c r="G42355" t="s">
        <v>2620</v>
      </c>
      <c r="H42355" s="21">
        <v>481.5</v>
      </c>
    </row>
    <row r="42356" spans="1:8" customFormat="1" x14ac:dyDescent="0.25">
      <c r="A42356" t="str">
        <f>"7843908"</f>
        <v>7843908</v>
      </c>
      <c r="B42356" t="s">
        <v>26178</v>
      </c>
      <c r="C42356" t="s">
        <v>24883</v>
      </c>
      <c r="D42356" s="21" t="s">
        <v>24820</v>
      </c>
      <c r="E42356" s="21" t="s">
        <v>71</v>
      </c>
      <c r="F42356">
        <v>8780485</v>
      </c>
      <c r="G42356" t="s">
        <v>1279</v>
      </c>
      <c r="H42356" s="21">
        <v>481.25</v>
      </c>
    </row>
    <row r="42357" spans="1:8" customFormat="1" x14ac:dyDescent="0.25">
      <c r="A42357" t="str">
        <f>"8314680"</f>
        <v>8314680</v>
      </c>
      <c r="B42357" t="s">
        <v>26277</v>
      </c>
      <c r="C42357" t="s">
        <v>24828</v>
      </c>
      <c r="D42357" s="21" t="s">
        <v>24820</v>
      </c>
      <c r="E42357" s="21" t="s">
        <v>71</v>
      </c>
      <c r="F42357">
        <v>13830092</v>
      </c>
      <c r="G42357" t="s">
        <v>3632</v>
      </c>
      <c r="H42357" s="21">
        <v>481.25</v>
      </c>
    </row>
    <row r="42358" spans="1:8" customFormat="1" x14ac:dyDescent="0.25">
      <c r="A42358" t="str">
        <f>"5974716"</f>
        <v>5974716</v>
      </c>
      <c r="B42358" t="s">
        <v>1892</v>
      </c>
      <c r="C42358" t="s">
        <v>24968</v>
      </c>
      <c r="D42358" s="21" t="s">
        <v>24820</v>
      </c>
      <c r="E42358" s="21" t="s">
        <v>71</v>
      </c>
      <c r="F42358">
        <v>7590336</v>
      </c>
      <c r="G42358" t="s">
        <v>2341</v>
      </c>
      <c r="H42358" s="21">
        <v>481.25</v>
      </c>
    </row>
    <row r="42359" spans="1:8" customFormat="1" x14ac:dyDescent="0.25">
      <c r="A42359" t="str">
        <f>"9521912"</f>
        <v>9521912</v>
      </c>
      <c r="B42359" t="s">
        <v>7286</v>
      </c>
      <c r="C42359" t="s">
        <v>25088</v>
      </c>
      <c r="D42359" s="21" t="s">
        <v>24820</v>
      </c>
      <c r="E42359" s="21" t="s">
        <v>35</v>
      </c>
      <c r="F42359">
        <v>8950262</v>
      </c>
      <c r="G42359" t="s">
        <v>1881</v>
      </c>
      <c r="H42359" s="21">
        <v>481</v>
      </c>
    </row>
    <row r="42360" spans="1:8" customFormat="1" x14ac:dyDescent="0.25">
      <c r="A42360" t="str">
        <f>"5731487"</f>
        <v>5731487</v>
      </c>
      <c r="B42360" t="s">
        <v>482</v>
      </c>
      <c r="C42360" t="s">
        <v>24828</v>
      </c>
      <c r="D42360" s="21" t="s">
        <v>24820</v>
      </c>
      <c r="E42360" s="21" t="s">
        <v>35</v>
      </c>
      <c r="F42360">
        <v>6570005</v>
      </c>
      <c r="G42360" t="s">
        <v>351</v>
      </c>
      <c r="H42360" s="21">
        <v>481</v>
      </c>
    </row>
    <row r="42361" spans="1:8" customFormat="1" x14ac:dyDescent="0.25">
      <c r="A42361" t="str">
        <f>"5021253"</f>
        <v>5021253</v>
      </c>
      <c r="B42361" t="s">
        <v>30076</v>
      </c>
      <c r="C42361" t="s">
        <v>25053</v>
      </c>
      <c r="D42361" s="21" t="s">
        <v>24820</v>
      </c>
      <c r="E42361" s="21" t="s">
        <v>35</v>
      </c>
      <c r="F42361">
        <v>9500069</v>
      </c>
      <c r="G42361" t="s">
        <v>26997</v>
      </c>
      <c r="H42361" s="21">
        <v>481</v>
      </c>
    </row>
    <row r="42362" spans="1:8" customFormat="1" x14ac:dyDescent="0.25">
      <c r="A42362" t="str">
        <f>"5326946"</f>
        <v>5326946</v>
      </c>
      <c r="B42362" t="s">
        <v>1198</v>
      </c>
      <c r="C42362" t="s">
        <v>24300</v>
      </c>
      <c r="D42362" s="21" t="s">
        <v>24820</v>
      </c>
      <c r="E42362" s="21" t="s">
        <v>35</v>
      </c>
      <c r="F42362">
        <v>12530018</v>
      </c>
      <c r="G42362" t="s">
        <v>8768</v>
      </c>
      <c r="H42362" s="21">
        <v>481</v>
      </c>
    </row>
    <row r="42363" spans="1:8" customFormat="1" x14ac:dyDescent="0.25">
      <c r="A42363" t="str">
        <f>"6312799"</f>
        <v>6312799</v>
      </c>
      <c r="B42363" t="s">
        <v>25997</v>
      </c>
      <c r="C42363" t="s">
        <v>25998</v>
      </c>
      <c r="D42363" s="21" t="s">
        <v>24820</v>
      </c>
      <c r="E42363" s="21" t="s">
        <v>6185</v>
      </c>
      <c r="F42363">
        <v>1630009</v>
      </c>
      <c r="G42363" t="s">
        <v>6021</v>
      </c>
      <c r="H42363" s="21">
        <v>481</v>
      </c>
    </row>
    <row r="42364" spans="1:8" customFormat="1" x14ac:dyDescent="0.25">
      <c r="A42364" t="str">
        <f>"7640046"</f>
        <v>7640046</v>
      </c>
      <c r="B42364" t="s">
        <v>1593</v>
      </c>
      <c r="C42364" t="s">
        <v>26050</v>
      </c>
      <c r="D42364" s="21" t="s">
        <v>24820</v>
      </c>
      <c r="E42364" s="21" t="s">
        <v>71</v>
      </c>
      <c r="F42364">
        <v>9760458</v>
      </c>
      <c r="G42364" t="s">
        <v>3594</v>
      </c>
      <c r="H42364" s="21">
        <v>481</v>
      </c>
    </row>
    <row r="42365" spans="1:8" customFormat="1" x14ac:dyDescent="0.25">
      <c r="A42365" t="str">
        <f>"6217401"</f>
        <v>6217401</v>
      </c>
      <c r="B42365" t="s">
        <v>7971</v>
      </c>
      <c r="C42365" t="s">
        <v>24828</v>
      </c>
      <c r="D42365" s="21" t="s">
        <v>24820</v>
      </c>
      <c r="E42365" s="21" t="s">
        <v>35</v>
      </c>
      <c r="F42365">
        <v>7620049</v>
      </c>
      <c r="G42365" t="s">
        <v>1176</v>
      </c>
      <c r="H42365" s="21">
        <v>481</v>
      </c>
    </row>
    <row r="42366" spans="1:8" customFormat="1" x14ac:dyDescent="0.25">
      <c r="A42366" t="str">
        <f>"4456952"</f>
        <v>4456952</v>
      </c>
      <c r="B42366" t="s">
        <v>4872</v>
      </c>
      <c r="C42366" t="s">
        <v>25754</v>
      </c>
      <c r="D42366" s="21" t="s">
        <v>24820</v>
      </c>
      <c r="E42366" s="21" t="s">
        <v>35</v>
      </c>
      <c r="F42366">
        <v>12440002</v>
      </c>
      <c r="G42366" t="s">
        <v>47</v>
      </c>
      <c r="H42366" s="21">
        <v>481</v>
      </c>
    </row>
    <row r="42367" spans="1:8" customFormat="1" x14ac:dyDescent="0.25">
      <c r="A42367" t="str">
        <f>"456342"</f>
        <v>456342</v>
      </c>
      <c r="B42367" t="s">
        <v>2755</v>
      </c>
      <c r="C42367" t="s">
        <v>24686</v>
      </c>
      <c r="D42367" s="21" t="s">
        <v>24820</v>
      </c>
      <c r="E42367" s="21" t="s">
        <v>71</v>
      </c>
      <c r="F42367">
        <v>4450614</v>
      </c>
      <c r="G42367" t="s">
        <v>13344</v>
      </c>
      <c r="H42367" s="21">
        <v>481</v>
      </c>
    </row>
    <row r="42368" spans="1:8" customFormat="1" x14ac:dyDescent="0.25">
      <c r="A42368" t="str">
        <f>"7643134"</f>
        <v>7643134</v>
      </c>
      <c r="B42368" t="s">
        <v>17009</v>
      </c>
      <c r="C42368" t="s">
        <v>24894</v>
      </c>
      <c r="D42368" s="21" t="s">
        <v>24820</v>
      </c>
      <c r="E42368" s="21" t="s">
        <v>35</v>
      </c>
      <c r="F42368">
        <v>9760458</v>
      </c>
      <c r="G42368" t="s">
        <v>3594</v>
      </c>
      <c r="H42368" s="21">
        <v>481</v>
      </c>
    </row>
    <row r="42369" spans="1:8" customFormat="1" x14ac:dyDescent="0.25">
      <c r="A42369" t="str">
        <f>"2517309"</f>
        <v>2517309</v>
      </c>
      <c r="B42369" t="s">
        <v>26324</v>
      </c>
      <c r="C42369" t="s">
        <v>24892</v>
      </c>
      <c r="D42369" s="21" t="s">
        <v>24820</v>
      </c>
      <c r="E42369" s="21" t="s">
        <v>71</v>
      </c>
      <c r="F42369">
        <v>2250193</v>
      </c>
      <c r="G42369" t="s">
        <v>2584</v>
      </c>
      <c r="H42369" s="21">
        <v>481</v>
      </c>
    </row>
    <row r="42370" spans="1:8" customFormat="1" x14ac:dyDescent="0.25">
      <c r="A42370" t="str">
        <f>"2613964"</f>
        <v>2613964</v>
      </c>
      <c r="B42370" t="s">
        <v>26348</v>
      </c>
      <c r="C42370" t="s">
        <v>23734</v>
      </c>
      <c r="D42370" s="21" t="s">
        <v>24820</v>
      </c>
      <c r="E42370" s="21" t="s">
        <v>71</v>
      </c>
      <c r="F42370">
        <v>1260015</v>
      </c>
      <c r="G42370" t="s">
        <v>4712</v>
      </c>
      <c r="H42370" s="21">
        <v>480.92</v>
      </c>
    </row>
    <row r="42371" spans="1:8" customFormat="1" x14ac:dyDescent="0.25">
      <c r="A42371" t="str">
        <f>"189510"</f>
        <v>189510</v>
      </c>
      <c r="B42371" t="s">
        <v>3874</v>
      </c>
      <c r="C42371" t="s">
        <v>25007</v>
      </c>
      <c r="D42371" s="21" t="s">
        <v>24820</v>
      </c>
      <c r="E42371" s="21" t="s">
        <v>71</v>
      </c>
      <c r="F42371">
        <v>4180682</v>
      </c>
      <c r="G42371" t="s">
        <v>5261</v>
      </c>
      <c r="H42371" s="21">
        <v>480.54</v>
      </c>
    </row>
    <row r="42372" spans="1:8" customFormat="1" x14ac:dyDescent="0.25">
      <c r="A42372" t="str">
        <f>"1315273"</f>
        <v>1315273</v>
      </c>
      <c r="B42372" t="s">
        <v>22828</v>
      </c>
      <c r="C42372" t="s">
        <v>25317</v>
      </c>
      <c r="D42372" s="21" t="s">
        <v>24820</v>
      </c>
      <c r="E42372" s="21" t="s">
        <v>71</v>
      </c>
      <c r="F42372">
        <v>13130154</v>
      </c>
      <c r="G42372" t="s">
        <v>5503</v>
      </c>
      <c r="H42372" s="21">
        <v>480.54</v>
      </c>
    </row>
    <row r="42373" spans="1:8" customFormat="1" x14ac:dyDescent="0.25">
      <c r="A42373" t="str">
        <f>"408015"</f>
        <v>408015</v>
      </c>
      <c r="B42373" t="s">
        <v>22939</v>
      </c>
      <c r="C42373" t="s">
        <v>30077</v>
      </c>
      <c r="D42373" s="21" t="s">
        <v>24820</v>
      </c>
      <c r="E42373" s="21" t="s">
        <v>35</v>
      </c>
      <c r="F42373">
        <v>10400010</v>
      </c>
      <c r="G42373" t="s">
        <v>2446</v>
      </c>
      <c r="H42373" s="21">
        <v>480.5</v>
      </c>
    </row>
    <row r="42374" spans="1:8" customFormat="1" x14ac:dyDescent="0.25">
      <c r="A42374" t="str">
        <f>"878154"</f>
        <v>878154</v>
      </c>
      <c r="B42374" t="s">
        <v>26234</v>
      </c>
      <c r="C42374" t="s">
        <v>25301</v>
      </c>
      <c r="D42374" s="21" t="s">
        <v>24820</v>
      </c>
      <c r="E42374" s="21" t="s">
        <v>35</v>
      </c>
      <c r="F42374">
        <v>10870101</v>
      </c>
      <c r="G42374" t="s">
        <v>6607</v>
      </c>
      <c r="H42374" s="21">
        <v>480.5</v>
      </c>
    </row>
    <row r="42375" spans="1:8" customFormat="1" x14ac:dyDescent="0.25">
      <c r="A42375" t="str">
        <f>"3119094"</f>
        <v>3119094</v>
      </c>
      <c r="B42375" t="s">
        <v>25678</v>
      </c>
      <c r="C42375" t="s">
        <v>25679</v>
      </c>
      <c r="D42375" s="21" t="s">
        <v>24820</v>
      </c>
      <c r="E42375" s="21" t="s">
        <v>35</v>
      </c>
      <c r="F42375">
        <v>11310006</v>
      </c>
      <c r="G42375" t="s">
        <v>419</v>
      </c>
      <c r="H42375" s="21">
        <v>480.5</v>
      </c>
    </row>
    <row r="42376" spans="1:8" customFormat="1" x14ac:dyDescent="0.25">
      <c r="A42376" t="str">
        <f>"5734359"</f>
        <v>5734359</v>
      </c>
      <c r="B42376" t="s">
        <v>21705</v>
      </c>
      <c r="C42376" t="s">
        <v>24931</v>
      </c>
      <c r="D42376" s="21" t="s">
        <v>24820</v>
      </c>
      <c r="E42376" s="21" t="s">
        <v>254</v>
      </c>
      <c r="F42376">
        <v>6570102</v>
      </c>
      <c r="G42376" t="s">
        <v>16722</v>
      </c>
      <c r="H42376" s="21">
        <v>480.5</v>
      </c>
    </row>
    <row r="42377" spans="1:8" customFormat="1" x14ac:dyDescent="0.25">
      <c r="A42377" t="str">
        <f>"5933536"</f>
        <v>5933536</v>
      </c>
      <c r="B42377" t="s">
        <v>392</v>
      </c>
      <c r="C42377" t="s">
        <v>22831</v>
      </c>
      <c r="D42377" s="21" t="s">
        <v>24820</v>
      </c>
      <c r="E42377" s="21" t="s">
        <v>71</v>
      </c>
      <c r="F42377">
        <v>7590170</v>
      </c>
      <c r="G42377" t="s">
        <v>868</v>
      </c>
      <c r="H42377" s="21">
        <v>480.5</v>
      </c>
    </row>
    <row r="42378" spans="1:8" customFormat="1" x14ac:dyDescent="0.25">
      <c r="A42378" t="str">
        <f>"2213617"</f>
        <v>2213617</v>
      </c>
      <c r="B42378" t="s">
        <v>26128</v>
      </c>
      <c r="C42378" t="s">
        <v>24890</v>
      </c>
      <c r="D42378" s="21" t="s">
        <v>24820</v>
      </c>
      <c r="E42378" s="21" t="s">
        <v>71</v>
      </c>
      <c r="F42378">
        <v>3220127</v>
      </c>
      <c r="G42378" t="s">
        <v>26652</v>
      </c>
      <c r="H42378" s="21">
        <v>480.38</v>
      </c>
    </row>
    <row r="42379" spans="1:8" customFormat="1" x14ac:dyDescent="0.25">
      <c r="A42379" t="str">
        <f>"9527330"</f>
        <v>9527330</v>
      </c>
      <c r="B42379" t="s">
        <v>11878</v>
      </c>
      <c r="C42379" t="s">
        <v>24978</v>
      </c>
      <c r="D42379" s="21" t="s">
        <v>24820</v>
      </c>
      <c r="E42379" s="21" t="s">
        <v>71</v>
      </c>
      <c r="F42379">
        <v>8950129</v>
      </c>
      <c r="G42379" t="s">
        <v>10701</v>
      </c>
      <c r="H42379" s="21">
        <v>480.25</v>
      </c>
    </row>
    <row r="42380" spans="1:8" customFormat="1" x14ac:dyDescent="0.25">
      <c r="A42380" t="str">
        <f>"7870366"</f>
        <v>7870366</v>
      </c>
      <c r="B42380" t="s">
        <v>26192</v>
      </c>
      <c r="C42380" t="s">
        <v>25330</v>
      </c>
      <c r="D42380" s="21" t="s">
        <v>24820</v>
      </c>
      <c r="E42380" s="21" t="s">
        <v>254</v>
      </c>
      <c r="F42380">
        <v>8780571</v>
      </c>
      <c r="G42380" t="s">
        <v>2336</v>
      </c>
      <c r="H42380" s="21">
        <v>480.25</v>
      </c>
    </row>
    <row r="42381" spans="1:8" customFormat="1" x14ac:dyDescent="0.25">
      <c r="A42381" t="str">
        <f>"689948"</f>
        <v>689948</v>
      </c>
      <c r="B42381" t="s">
        <v>4834</v>
      </c>
      <c r="C42381" t="s">
        <v>26028</v>
      </c>
      <c r="D42381" s="21" t="s">
        <v>24820</v>
      </c>
      <c r="E42381" s="21" t="s">
        <v>71</v>
      </c>
      <c r="F42381">
        <v>6680111</v>
      </c>
      <c r="G42381" t="s">
        <v>3422</v>
      </c>
      <c r="H42381" s="21">
        <v>480</v>
      </c>
    </row>
    <row r="42382" spans="1:8" customFormat="1" x14ac:dyDescent="0.25">
      <c r="A42382" t="str">
        <f>"044147"</f>
        <v>044147</v>
      </c>
      <c r="B42382" t="s">
        <v>3947</v>
      </c>
      <c r="C42382" t="s">
        <v>24909</v>
      </c>
      <c r="D42382" s="21" t="s">
        <v>24820</v>
      </c>
      <c r="E42382" s="21" t="s">
        <v>35</v>
      </c>
      <c r="F42382">
        <v>13040005</v>
      </c>
      <c r="G42382" t="s">
        <v>7115</v>
      </c>
      <c r="H42382" s="21">
        <v>480</v>
      </c>
    </row>
    <row r="42383" spans="1:8" customFormat="1" x14ac:dyDescent="0.25">
      <c r="A42383" t="str">
        <f>"846604"</f>
        <v>846604</v>
      </c>
      <c r="B42383" t="s">
        <v>18381</v>
      </c>
      <c r="C42383" t="s">
        <v>24871</v>
      </c>
      <c r="D42383" s="21" t="s">
        <v>24820</v>
      </c>
      <c r="E42383" s="21" t="s">
        <v>35</v>
      </c>
      <c r="F42383">
        <v>13840038</v>
      </c>
      <c r="G42383" t="s">
        <v>8931</v>
      </c>
      <c r="H42383" s="21">
        <v>480</v>
      </c>
    </row>
    <row r="42384" spans="1:8" customFormat="1" x14ac:dyDescent="0.25">
      <c r="A42384" t="str">
        <f>"696134"</f>
        <v>696134</v>
      </c>
      <c r="B42384" t="s">
        <v>596</v>
      </c>
      <c r="C42384" t="s">
        <v>24931</v>
      </c>
      <c r="D42384" s="21" t="s">
        <v>24820</v>
      </c>
      <c r="E42384" s="21" t="s">
        <v>6185</v>
      </c>
      <c r="F42384">
        <v>1690221</v>
      </c>
      <c r="G42384" t="s">
        <v>303</v>
      </c>
      <c r="H42384" s="21">
        <v>480</v>
      </c>
    </row>
    <row r="42385" spans="1:8" customFormat="1" x14ac:dyDescent="0.25">
      <c r="A42385" t="str">
        <f>"7522104"</f>
        <v>7522104</v>
      </c>
      <c r="B42385" t="s">
        <v>26333</v>
      </c>
      <c r="C42385" t="s">
        <v>24909</v>
      </c>
      <c r="D42385" s="21" t="s">
        <v>24820</v>
      </c>
      <c r="E42385" s="21" t="s">
        <v>71</v>
      </c>
      <c r="F42385">
        <v>8751231</v>
      </c>
      <c r="G42385" t="s">
        <v>12843</v>
      </c>
      <c r="H42385" s="21">
        <v>480</v>
      </c>
    </row>
    <row r="42386" spans="1:8" customFormat="1" x14ac:dyDescent="0.25">
      <c r="A42386" t="str">
        <f>"6950765"</f>
        <v>6950765</v>
      </c>
      <c r="B42386" t="s">
        <v>30078</v>
      </c>
      <c r="C42386" t="s">
        <v>24883</v>
      </c>
      <c r="D42386" s="21" t="s">
        <v>24820</v>
      </c>
      <c r="E42386" s="21" t="s">
        <v>71</v>
      </c>
      <c r="F42386">
        <v>1690064</v>
      </c>
      <c r="G42386" t="s">
        <v>9490</v>
      </c>
      <c r="H42386" s="21">
        <v>480</v>
      </c>
    </row>
    <row r="42387" spans="1:8" customFormat="1" x14ac:dyDescent="0.25">
      <c r="A42387" t="str">
        <f>"3822339"</f>
        <v>3822339</v>
      </c>
      <c r="B42387" t="s">
        <v>18730</v>
      </c>
      <c r="C42387" t="s">
        <v>24897</v>
      </c>
      <c r="D42387" s="21" t="s">
        <v>24820</v>
      </c>
      <c r="E42387" s="21" t="s">
        <v>254</v>
      </c>
      <c r="F42387">
        <v>1380284</v>
      </c>
      <c r="G42387" t="s">
        <v>300</v>
      </c>
      <c r="H42387" s="21">
        <v>480</v>
      </c>
    </row>
    <row r="42388" spans="1:8" customFormat="1" x14ac:dyDescent="0.25">
      <c r="A42388" t="str">
        <f>"7223262"</f>
        <v>7223262</v>
      </c>
      <c r="B42388" t="s">
        <v>10649</v>
      </c>
      <c r="C42388" t="s">
        <v>25105</v>
      </c>
      <c r="D42388" s="21" t="s">
        <v>24820</v>
      </c>
      <c r="E42388" s="21" t="s">
        <v>254</v>
      </c>
      <c r="F42388">
        <v>12720056</v>
      </c>
      <c r="G42388" t="s">
        <v>9231</v>
      </c>
      <c r="H42388" s="21">
        <v>480</v>
      </c>
    </row>
    <row r="42389" spans="1:8" customFormat="1" x14ac:dyDescent="0.25">
      <c r="A42389" t="str">
        <f>"653875"</f>
        <v>653875</v>
      </c>
      <c r="B42389" t="s">
        <v>3146</v>
      </c>
      <c r="C42389" t="s">
        <v>24893</v>
      </c>
      <c r="D42389" s="21" t="s">
        <v>24820</v>
      </c>
      <c r="E42389" s="21" t="s">
        <v>35</v>
      </c>
      <c r="F42389">
        <v>11650018</v>
      </c>
      <c r="G42389" t="s">
        <v>6247</v>
      </c>
      <c r="H42389" s="21">
        <v>480</v>
      </c>
    </row>
    <row r="42390" spans="1:8" customFormat="1" x14ac:dyDescent="0.25">
      <c r="A42390" t="str">
        <f>"6112835"</f>
        <v>6112835</v>
      </c>
      <c r="B42390" t="s">
        <v>8887</v>
      </c>
      <c r="C42390" t="s">
        <v>24871</v>
      </c>
      <c r="D42390" s="21" t="s">
        <v>24820</v>
      </c>
      <c r="E42390" s="21" t="s">
        <v>35</v>
      </c>
      <c r="F42390">
        <v>9610055</v>
      </c>
      <c r="G42390" t="s">
        <v>13803</v>
      </c>
      <c r="H42390" s="21">
        <v>480</v>
      </c>
    </row>
    <row r="42391" spans="1:8" customFormat="1" x14ac:dyDescent="0.25">
      <c r="A42391" t="str">
        <f>"4525235"</f>
        <v>4525235</v>
      </c>
      <c r="B42391" t="s">
        <v>26265</v>
      </c>
      <c r="C42391" t="s">
        <v>24845</v>
      </c>
      <c r="D42391" s="21" t="s">
        <v>24820</v>
      </c>
      <c r="E42391" s="21" t="s">
        <v>71</v>
      </c>
      <c r="F42391">
        <v>4450410</v>
      </c>
      <c r="G42391" t="s">
        <v>26525</v>
      </c>
      <c r="H42391" s="21">
        <v>480</v>
      </c>
    </row>
    <row r="42392" spans="1:8" customFormat="1" x14ac:dyDescent="0.25">
      <c r="A42392" t="str">
        <f>"4444694"</f>
        <v>4444694</v>
      </c>
      <c r="B42392" t="s">
        <v>25651</v>
      </c>
      <c r="C42392" t="s">
        <v>24827</v>
      </c>
      <c r="D42392" s="21" t="s">
        <v>24820</v>
      </c>
      <c r="E42392" s="21" t="s">
        <v>35</v>
      </c>
      <c r="F42392">
        <v>12440014</v>
      </c>
      <c r="G42392" t="s">
        <v>6767</v>
      </c>
      <c r="H42392" s="21">
        <v>480</v>
      </c>
    </row>
    <row r="42393" spans="1:8" customFormat="1" x14ac:dyDescent="0.25">
      <c r="A42393" t="str">
        <f>"1717580"</f>
        <v>1717580</v>
      </c>
      <c r="B42393" t="s">
        <v>30079</v>
      </c>
      <c r="C42393" t="s">
        <v>24932</v>
      </c>
      <c r="D42393" s="21" t="s">
        <v>24820</v>
      </c>
      <c r="E42393" s="21" t="s">
        <v>254</v>
      </c>
      <c r="F42393">
        <v>10170016</v>
      </c>
      <c r="G42393" t="s">
        <v>88</v>
      </c>
      <c r="H42393" s="21">
        <v>480</v>
      </c>
    </row>
    <row r="42394" spans="1:8" customFormat="1" x14ac:dyDescent="0.25">
      <c r="A42394" t="str">
        <f>"9537655"</f>
        <v>9537655</v>
      </c>
      <c r="B42394" t="s">
        <v>10508</v>
      </c>
      <c r="C42394" t="s">
        <v>24926</v>
      </c>
      <c r="D42394" s="21" t="s">
        <v>24820</v>
      </c>
      <c r="E42394" s="21" t="s">
        <v>35</v>
      </c>
      <c r="F42394">
        <v>8950260</v>
      </c>
      <c r="G42394" t="s">
        <v>8564</v>
      </c>
      <c r="H42394" s="21">
        <v>480</v>
      </c>
    </row>
    <row r="42395" spans="1:8" customFormat="1" x14ac:dyDescent="0.25">
      <c r="A42395" t="str">
        <f>"925581"</f>
        <v>925581</v>
      </c>
      <c r="B42395" t="s">
        <v>25631</v>
      </c>
      <c r="C42395" t="s">
        <v>24881</v>
      </c>
      <c r="D42395" s="21" t="s">
        <v>24820</v>
      </c>
      <c r="E42395" s="21" t="s">
        <v>1089</v>
      </c>
      <c r="F42395">
        <v>8920025</v>
      </c>
      <c r="G42395" t="s">
        <v>159</v>
      </c>
      <c r="H42395" s="21">
        <v>479.88</v>
      </c>
    </row>
    <row r="42396" spans="1:8" customFormat="1" x14ac:dyDescent="0.25">
      <c r="A42396" t="str">
        <f>"7223127"</f>
        <v>7223127</v>
      </c>
      <c r="B42396" t="s">
        <v>17601</v>
      </c>
      <c r="C42396" t="s">
        <v>24865</v>
      </c>
      <c r="D42396" s="21" t="s">
        <v>24820</v>
      </c>
      <c r="E42396" s="21" t="s">
        <v>71</v>
      </c>
      <c r="F42396">
        <v>12720005</v>
      </c>
      <c r="G42396" t="s">
        <v>999</v>
      </c>
      <c r="H42396" s="21">
        <v>479.5</v>
      </c>
    </row>
    <row r="42397" spans="1:8" customFormat="1" x14ac:dyDescent="0.25">
      <c r="A42397" t="str">
        <f>"4527229"</f>
        <v>4527229</v>
      </c>
      <c r="B42397" t="s">
        <v>4095</v>
      </c>
      <c r="C42397" t="s">
        <v>25124</v>
      </c>
      <c r="D42397" s="21" t="s">
        <v>24820</v>
      </c>
      <c r="E42397" s="21" t="s">
        <v>35</v>
      </c>
      <c r="F42397">
        <v>4450210</v>
      </c>
      <c r="G42397" t="s">
        <v>5249</v>
      </c>
      <c r="H42397" s="21">
        <v>479.5</v>
      </c>
    </row>
    <row r="42398" spans="1:8" customFormat="1" x14ac:dyDescent="0.25">
      <c r="A42398" t="str">
        <f>"8310943"</f>
        <v>8310943</v>
      </c>
      <c r="B42398" t="s">
        <v>26251</v>
      </c>
      <c r="C42398" t="s">
        <v>24939</v>
      </c>
      <c r="D42398" s="21" t="s">
        <v>24820</v>
      </c>
      <c r="E42398" s="21" t="s">
        <v>1089</v>
      </c>
      <c r="F42398">
        <v>13830031</v>
      </c>
      <c r="G42398" t="s">
        <v>8301</v>
      </c>
      <c r="H42398" s="21">
        <v>479.5</v>
      </c>
    </row>
    <row r="42399" spans="1:8" customFormat="1" x14ac:dyDescent="0.25">
      <c r="A42399" t="str">
        <f>"6937746"</f>
        <v>6937746</v>
      </c>
      <c r="B42399" t="s">
        <v>26257</v>
      </c>
      <c r="C42399" t="s">
        <v>24909</v>
      </c>
      <c r="D42399" s="21" t="s">
        <v>24820</v>
      </c>
      <c r="E42399" s="21" t="s">
        <v>71</v>
      </c>
      <c r="F42399">
        <v>1690155</v>
      </c>
      <c r="G42399" t="s">
        <v>11464</v>
      </c>
      <c r="H42399" s="21">
        <v>479.5</v>
      </c>
    </row>
    <row r="42400" spans="1:8" customFormat="1" x14ac:dyDescent="0.25">
      <c r="A42400" t="str">
        <f>"6231340"</f>
        <v>6231340</v>
      </c>
      <c r="B42400" t="s">
        <v>22022</v>
      </c>
      <c r="C42400" t="s">
        <v>23734</v>
      </c>
      <c r="D42400" s="21" t="s">
        <v>24820</v>
      </c>
      <c r="E42400" s="21" t="s">
        <v>35</v>
      </c>
      <c r="F42400">
        <v>7620131</v>
      </c>
      <c r="G42400" t="s">
        <v>9562</v>
      </c>
      <c r="H42400" s="21">
        <v>479.5</v>
      </c>
    </row>
    <row r="42401" spans="1:8" customFormat="1" x14ac:dyDescent="0.25">
      <c r="A42401" t="str">
        <f>"822747"</f>
        <v>822747</v>
      </c>
      <c r="B42401" t="s">
        <v>9573</v>
      </c>
      <c r="C42401" t="s">
        <v>25124</v>
      </c>
      <c r="D42401" s="21" t="s">
        <v>24820</v>
      </c>
      <c r="E42401" s="21" t="s">
        <v>35</v>
      </c>
      <c r="F42401">
        <v>11820031</v>
      </c>
      <c r="G42401" t="s">
        <v>18667</v>
      </c>
      <c r="H42401" s="21">
        <v>479.25</v>
      </c>
    </row>
    <row r="42402" spans="1:8" customFormat="1" x14ac:dyDescent="0.25">
      <c r="A42402" t="str">
        <f>"6313178"</f>
        <v>6313178</v>
      </c>
      <c r="B42402" t="s">
        <v>19401</v>
      </c>
      <c r="C42402" t="s">
        <v>25330</v>
      </c>
      <c r="D42402" s="21" t="s">
        <v>24820</v>
      </c>
      <c r="E42402" s="21" t="s">
        <v>254</v>
      </c>
      <c r="F42402">
        <v>1630332</v>
      </c>
      <c r="G42402" t="s">
        <v>27136</v>
      </c>
      <c r="H42402" s="21">
        <v>479</v>
      </c>
    </row>
    <row r="42403" spans="1:8" customFormat="1" x14ac:dyDescent="0.25">
      <c r="A42403" t="str">
        <f>"2210267"</f>
        <v>2210267</v>
      </c>
      <c r="B42403" t="s">
        <v>25637</v>
      </c>
      <c r="C42403" t="s">
        <v>25330</v>
      </c>
      <c r="D42403" s="21" t="s">
        <v>24820</v>
      </c>
      <c r="E42403" s="21" t="s">
        <v>254</v>
      </c>
      <c r="F42403">
        <v>3220113</v>
      </c>
      <c r="G42403" t="s">
        <v>26775</v>
      </c>
      <c r="H42403" s="21">
        <v>479</v>
      </c>
    </row>
    <row r="42404" spans="1:8" customFormat="1" x14ac:dyDescent="0.25">
      <c r="A42404" t="str">
        <f>"3516724"</f>
        <v>3516724</v>
      </c>
      <c r="B42404" t="s">
        <v>877</v>
      </c>
      <c r="C42404" t="s">
        <v>24978</v>
      </c>
      <c r="D42404" s="21" t="s">
        <v>24820</v>
      </c>
      <c r="E42404" s="21" t="s">
        <v>1089</v>
      </c>
      <c r="F42404">
        <v>3350022</v>
      </c>
      <c r="G42404" t="s">
        <v>1287</v>
      </c>
      <c r="H42404" s="21">
        <v>479</v>
      </c>
    </row>
    <row r="42405" spans="1:8" customFormat="1" x14ac:dyDescent="0.25">
      <c r="A42405" t="str">
        <f>"652252"</f>
        <v>652252</v>
      </c>
      <c r="B42405" t="s">
        <v>8887</v>
      </c>
      <c r="C42405" t="s">
        <v>25317</v>
      </c>
      <c r="D42405" s="21" t="s">
        <v>24820</v>
      </c>
      <c r="E42405" s="21" t="s">
        <v>254</v>
      </c>
      <c r="F42405">
        <v>11650017</v>
      </c>
      <c r="G42405" t="s">
        <v>13273</v>
      </c>
      <c r="H42405" s="21">
        <v>479</v>
      </c>
    </row>
    <row r="42406" spans="1:8" customFormat="1" x14ac:dyDescent="0.25">
      <c r="A42406" t="str">
        <f>"2218841"</f>
        <v>2218841</v>
      </c>
      <c r="B42406" t="s">
        <v>21718</v>
      </c>
      <c r="C42406" t="s">
        <v>263</v>
      </c>
      <c r="D42406" s="21" t="s">
        <v>24820</v>
      </c>
      <c r="E42406" s="21" t="s">
        <v>71</v>
      </c>
      <c r="F42406">
        <v>3220142</v>
      </c>
      <c r="G42406" t="s">
        <v>14759</v>
      </c>
      <c r="H42406" s="21">
        <v>479</v>
      </c>
    </row>
    <row r="42407" spans="1:8" customFormat="1" x14ac:dyDescent="0.25">
      <c r="A42407" t="str">
        <f>"4436093"</f>
        <v>4436093</v>
      </c>
      <c r="B42407" t="s">
        <v>26230</v>
      </c>
      <c r="C42407" t="s">
        <v>23734</v>
      </c>
      <c r="D42407" s="21" t="s">
        <v>24820</v>
      </c>
      <c r="E42407" s="21" t="s">
        <v>71</v>
      </c>
      <c r="F42407">
        <v>12440094</v>
      </c>
      <c r="G42407" t="s">
        <v>892</v>
      </c>
      <c r="H42407" s="21">
        <v>479</v>
      </c>
    </row>
    <row r="42408" spans="1:8" customFormat="1" x14ac:dyDescent="0.25">
      <c r="A42408" t="str">
        <f>"6022280"</f>
        <v>6022280</v>
      </c>
      <c r="B42408" t="s">
        <v>26268</v>
      </c>
      <c r="C42408" t="s">
        <v>24943</v>
      </c>
      <c r="D42408" s="21" t="s">
        <v>24820</v>
      </c>
      <c r="E42408" s="21" t="s">
        <v>35</v>
      </c>
      <c r="F42408">
        <v>7600054</v>
      </c>
      <c r="G42408" t="s">
        <v>1352</v>
      </c>
      <c r="H42408" s="21">
        <v>479</v>
      </c>
    </row>
    <row r="42409" spans="1:8" customFormat="1" x14ac:dyDescent="0.25">
      <c r="A42409" t="str">
        <f>"9144636"</f>
        <v>9144636</v>
      </c>
      <c r="B42409" t="s">
        <v>9448</v>
      </c>
      <c r="C42409" t="s">
        <v>25084</v>
      </c>
      <c r="D42409" s="21" t="s">
        <v>24820</v>
      </c>
      <c r="E42409" s="21" t="s">
        <v>35</v>
      </c>
      <c r="F42409">
        <v>8910303</v>
      </c>
      <c r="G42409" t="s">
        <v>1244</v>
      </c>
      <c r="H42409" s="21">
        <v>478.5</v>
      </c>
    </row>
    <row r="42410" spans="1:8" customFormat="1" x14ac:dyDescent="0.25">
      <c r="A42410" t="str">
        <f>"5111092"</f>
        <v>5111092</v>
      </c>
      <c r="B42410" t="s">
        <v>6089</v>
      </c>
      <c r="C42410" t="s">
        <v>22831</v>
      </c>
      <c r="D42410" s="21" t="s">
        <v>24820</v>
      </c>
      <c r="E42410" s="21" t="s">
        <v>71</v>
      </c>
      <c r="F42410">
        <v>6510036</v>
      </c>
      <c r="G42410" t="s">
        <v>2902</v>
      </c>
      <c r="H42410" s="21">
        <v>478.5</v>
      </c>
    </row>
    <row r="42411" spans="1:8" customFormat="1" x14ac:dyDescent="0.25">
      <c r="A42411" t="str">
        <f>"1318206"</f>
        <v>1318206</v>
      </c>
      <c r="B42411" t="s">
        <v>26009</v>
      </c>
      <c r="C42411" t="s">
        <v>25502</v>
      </c>
      <c r="D42411" s="21" t="s">
        <v>24820</v>
      </c>
      <c r="E42411" s="21" t="s">
        <v>71</v>
      </c>
      <c r="F42411">
        <v>13130022</v>
      </c>
      <c r="G42411" t="s">
        <v>2666</v>
      </c>
      <c r="H42411" s="21">
        <v>478.5</v>
      </c>
    </row>
    <row r="42412" spans="1:8" customFormat="1" x14ac:dyDescent="0.25">
      <c r="A42412" t="str">
        <f>"5112648"</f>
        <v>5112648</v>
      </c>
      <c r="B42412" t="s">
        <v>4849</v>
      </c>
      <c r="C42412" t="s">
        <v>24831</v>
      </c>
      <c r="D42412" s="21" t="s">
        <v>24820</v>
      </c>
      <c r="E42412" s="21" t="s">
        <v>35</v>
      </c>
      <c r="F42412">
        <v>6510029</v>
      </c>
      <c r="G42412" t="s">
        <v>1879</v>
      </c>
      <c r="H42412" s="21">
        <v>478.5</v>
      </c>
    </row>
    <row r="42413" spans="1:8" customFormat="1" x14ac:dyDescent="0.25">
      <c r="A42413" t="str">
        <f>"9248528"</f>
        <v>9248528</v>
      </c>
      <c r="B42413" t="s">
        <v>877</v>
      </c>
      <c r="C42413" t="s">
        <v>24869</v>
      </c>
      <c r="D42413" s="21" t="s">
        <v>24820</v>
      </c>
      <c r="E42413" s="21" t="s">
        <v>35</v>
      </c>
      <c r="F42413">
        <v>8921099</v>
      </c>
      <c r="G42413" t="s">
        <v>11455</v>
      </c>
      <c r="H42413" s="21">
        <v>478.5</v>
      </c>
    </row>
    <row r="42414" spans="1:8" customFormat="1" x14ac:dyDescent="0.25">
      <c r="A42414" t="str">
        <f>"1614622"</f>
        <v>1614622</v>
      </c>
      <c r="B42414" t="s">
        <v>29546</v>
      </c>
      <c r="C42414" t="s">
        <v>26229</v>
      </c>
      <c r="D42414" s="21" t="s">
        <v>24820</v>
      </c>
      <c r="E42414" s="21" t="s">
        <v>71</v>
      </c>
      <c r="F42414">
        <v>10160196</v>
      </c>
      <c r="G42414" t="s">
        <v>13348</v>
      </c>
      <c r="H42414" s="21">
        <v>478.25</v>
      </c>
    </row>
    <row r="42415" spans="1:8" customFormat="1" x14ac:dyDescent="0.25">
      <c r="A42415" t="str">
        <f>"4220530"</f>
        <v>4220530</v>
      </c>
      <c r="B42415" t="s">
        <v>10398</v>
      </c>
      <c r="C42415" t="s">
        <v>24889</v>
      </c>
      <c r="D42415" s="21" t="s">
        <v>24820</v>
      </c>
      <c r="E42415" s="21" t="s">
        <v>71</v>
      </c>
      <c r="F42415">
        <v>1420153</v>
      </c>
      <c r="G42415" t="s">
        <v>8897</v>
      </c>
      <c r="H42415" s="21">
        <v>478</v>
      </c>
    </row>
    <row r="42416" spans="1:8" customFormat="1" x14ac:dyDescent="0.25">
      <c r="A42416" t="str">
        <f>"5979626"</f>
        <v>5979626</v>
      </c>
      <c r="B42416" t="s">
        <v>12292</v>
      </c>
      <c r="C42416" t="s">
        <v>26299</v>
      </c>
      <c r="D42416" s="21" t="s">
        <v>24820</v>
      </c>
      <c r="E42416" s="21" t="s">
        <v>71</v>
      </c>
      <c r="F42416">
        <v>7590184</v>
      </c>
      <c r="G42416" t="s">
        <v>6722</v>
      </c>
      <c r="H42416" s="21">
        <v>478</v>
      </c>
    </row>
    <row r="42417" spans="1:8" customFormat="1" x14ac:dyDescent="0.25">
      <c r="A42417" t="str">
        <f>"4521516"</f>
        <v>4521516</v>
      </c>
      <c r="B42417" t="s">
        <v>1835</v>
      </c>
      <c r="C42417" t="s">
        <v>24854</v>
      </c>
      <c r="D42417" s="21" t="s">
        <v>24820</v>
      </c>
      <c r="E42417" s="21" t="s">
        <v>35</v>
      </c>
      <c r="F42417">
        <v>4450429</v>
      </c>
      <c r="G42417" t="s">
        <v>15149</v>
      </c>
      <c r="H42417" s="21">
        <v>478</v>
      </c>
    </row>
    <row r="42418" spans="1:8" customFormat="1" x14ac:dyDescent="0.25">
      <c r="A42418" t="str">
        <f>"3344695"</f>
        <v>3344695</v>
      </c>
      <c r="B42418" t="s">
        <v>30080</v>
      </c>
      <c r="C42418" t="s">
        <v>24840</v>
      </c>
      <c r="D42418" s="21" t="s">
        <v>24820</v>
      </c>
      <c r="E42418" s="21" t="s">
        <v>71</v>
      </c>
      <c r="F42418">
        <v>10330078</v>
      </c>
      <c r="G42418" t="s">
        <v>7597</v>
      </c>
      <c r="H42418" s="21">
        <v>477.75</v>
      </c>
    </row>
    <row r="42419" spans="1:8" customFormat="1" x14ac:dyDescent="0.25">
      <c r="A42419" t="str">
        <f>"3426062"</f>
        <v>3426062</v>
      </c>
      <c r="B42419" t="s">
        <v>18999</v>
      </c>
      <c r="C42419" t="s">
        <v>24892</v>
      </c>
      <c r="D42419" s="21" t="s">
        <v>24820</v>
      </c>
      <c r="E42419" s="21" t="s">
        <v>254</v>
      </c>
      <c r="F42419">
        <v>11340007</v>
      </c>
      <c r="G42419" t="s">
        <v>2278</v>
      </c>
      <c r="H42419" s="21">
        <v>477.75</v>
      </c>
    </row>
    <row r="42420" spans="1:8" customFormat="1" x14ac:dyDescent="0.25">
      <c r="A42420" t="str">
        <f>"7723983"</f>
        <v>7723983</v>
      </c>
      <c r="B42420" t="s">
        <v>9376</v>
      </c>
      <c r="C42420" t="s">
        <v>24883</v>
      </c>
      <c r="D42420" s="21" t="s">
        <v>24820</v>
      </c>
      <c r="E42420" s="21" t="s">
        <v>35</v>
      </c>
      <c r="F42420">
        <v>8770169</v>
      </c>
      <c r="G42420" t="s">
        <v>1001</v>
      </c>
      <c r="H42420" s="21">
        <v>477.67</v>
      </c>
    </row>
    <row r="42421" spans="1:8" customFormat="1" x14ac:dyDescent="0.25">
      <c r="A42421" t="str">
        <f>"4213451"</f>
        <v>4213451</v>
      </c>
      <c r="B42421" t="s">
        <v>19424</v>
      </c>
      <c r="C42421" t="s">
        <v>25157</v>
      </c>
      <c r="D42421" s="21" t="s">
        <v>24820</v>
      </c>
      <c r="E42421" s="21" t="s">
        <v>71</v>
      </c>
      <c r="F42421">
        <v>1420078</v>
      </c>
      <c r="G42421" t="s">
        <v>4287</v>
      </c>
      <c r="H42421" s="21">
        <v>477.5</v>
      </c>
    </row>
    <row r="42422" spans="1:8" customFormat="1" x14ac:dyDescent="0.25">
      <c r="A42422" t="str">
        <f>"0812364"</f>
        <v>0812364</v>
      </c>
      <c r="B42422" t="s">
        <v>14129</v>
      </c>
      <c r="C42422" t="s">
        <v>24857</v>
      </c>
      <c r="D42422" s="21" t="s">
        <v>24820</v>
      </c>
      <c r="E42422" s="21" t="s">
        <v>35</v>
      </c>
      <c r="F42422">
        <v>6080043</v>
      </c>
      <c r="G42422" t="s">
        <v>961</v>
      </c>
      <c r="H42422" s="21">
        <v>477.5</v>
      </c>
    </row>
    <row r="42423" spans="1:8" customFormat="1" x14ac:dyDescent="0.25">
      <c r="A42423" t="str">
        <f>"2112122"</f>
        <v>2112122</v>
      </c>
      <c r="B42423" t="s">
        <v>6438</v>
      </c>
      <c r="C42423" t="s">
        <v>24897</v>
      </c>
      <c r="D42423" s="21" t="s">
        <v>24820</v>
      </c>
      <c r="E42423" s="21" t="s">
        <v>35</v>
      </c>
      <c r="F42423">
        <v>2210059</v>
      </c>
      <c r="G42423" t="s">
        <v>3142</v>
      </c>
      <c r="H42423" s="21">
        <v>477.5</v>
      </c>
    </row>
    <row r="42424" spans="1:8" customFormat="1" x14ac:dyDescent="0.25">
      <c r="A42424" t="str">
        <f>"3722774"</f>
        <v>3722774</v>
      </c>
      <c r="B42424" t="s">
        <v>15152</v>
      </c>
      <c r="C42424" t="s">
        <v>24952</v>
      </c>
      <c r="D42424" s="21" t="s">
        <v>24820</v>
      </c>
      <c r="E42424" s="21" t="s">
        <v>71</v>
      </c>
      <c r="F42424">
        <v>4370691</v>
      </c>
      <c r="G42424" t="s">
        <v>12036</v>
      </c>
      <c r="H42424" s="21">
        <v>477.5</v>
      </c>
    </row>
    <row r="42425" spans="1:8" customFormat="1" x14ac:dyDescent="0.25">
      <c r="A42425" t="str">
        <f>"0212067"</f>
        <v>0212067</v>
      </c>
      <c r="B42425" t="s">
        <v>25745</v>
      </c>
      <c r="C42425" t="s">
        <v>23734</v>
      </c>
      <c r="D42425" s="21" t="s">
        <v>24820</v>
      </c>
      <c r="E42425" s="21" t="s">
        <v>35</v>
      </c>
      <c r="F42425">
        <v>7020009</v>
      </c>
      <c r="G42425" t="s">
        <v>3362</v>
      </c>
      <c r="H42425" s="21">
        <v>477.5</v>
      </c>
    </row>
    <row r="42426" spans="1:8" customFormat="1" x14ac:dyDescent="0.25">
      <c r="A42426" t="str">
        <f>"4113188"</f>
        <v>4113188</v>
      </c>
      <c r="B42426" t="s">
        <v>26166</v>
      </c>
      <c r="C42426" t="s">
        <v>25396</v>
      </c>
      <c r="D42426" s="21" t="s">
        <v>24820</v>
      </c>
      <c r="E42426" s="21" t="s">
        <v>35</v>
      </c>
      <c r="F42426">
        <v>4410612</v>
      </c>
      <c r="G42426" t="s">
        <v>815</v>
      </c>
      <c r="H42426" s="21">
        <v>477.12</v>
      </c>
    </row>
    <row r="42427" spans="1:8" customFormat="1" x14ac:dyDescent="0.25">
      <c r="A42427" t="str">
        <f>"4454596"</f>
        <v>4454596</v>
      </c>
      <c r="B42427" t="s">
        <v>13599</v>
      </c>
      <c r="C42427" t="s">
        <v>24914</v>
      </c>
      <c r="D42427" s="21" t="s">
        <v>24820</v>
      </c>
      <c r="E42427" s="21" t="s">
        <v>35</v>
      </c>
      <c r="F42427">
        <v>12440101</v>
      </c>
      <c r="G42427" t="s">
        <v>3482</v>
      </c>
      <c r="H42427" s="21">
        <v>477</v>
      </c>
    </row>
    <row r="42428" spans="1:8" customFormat="1" x14ac:dyDescent="0.25">
      <c r="A42428" t="str">
        <f>"6944669"</f>
        <v>6944669</v>
      </c>
      <c r="B42428" t="s">
        <v>5098</v>
      </c>
      <c r="C42428" t="s">
        <v>25252</v>
      </c>
      <c r="D42428" s="21" t="s">
        <v>24820</v>
      </c>
      <c r="E42428" s="21" t="s">
        <v>71</v>
      </c>
      <c r="F42428">
        <v>1690166</v>
      </c>
      <c r="G42428" t="s">
        <v>3886</v>
      </c>
      <c r="H42428" s="21">
        <v>477</v>
      </c>
    </row>
    <row r="42429" spans="1:8" customFormat="1" x14ac:dyDescent="0.25">
      <c r="A42429" t="str">
        <f>"7723310"</f>
        <v>7723310</v>
      </c>
      <c r="B42429" t="s">
        <v>10649</v>
      </c>
      <c r="C42429" t="s">
        <v>24897</v>
      </c>
      <c r="D42429" s="21" t="s">
        <v>24820</v>
      </c>
      <c r="E42429" s="21" t="s">
        <v>35</v>
      </c>
      <c r="F42429">
        <v>8770237</v>
      </c>
      <c r="G42429" t="s">
        <v>128</v>
      </c>
      <c r="H42429" s="21">
        <v>477</v>
      </c>
    </row>
    <row r="42430" spans="1:8" customFormat="1" x14ac:dyDescent="0.25">
      <c r="A42430" t="str">
        <f>"857365"</f>
        <v>857365</v>
      </c>
      <c r="B42430" t="s">
        <v>26006</v>
      </c>
      <c r="C42430" t="s">
        <v>24840</v>
      </c>
      <c r="D42430" s="21" t="s">
        <v>24820</v>
      </c>
      <c r="E42430" s="21" t="s">
        <v>71</v>
      </c>
      <c r="F42430">
        <v>12850134</v>
      </c>
      <c r="G42430" t="s">
        <v>2359</v>
      </c>
      <c r="H42430" s="21">
        <v>476.5</v>
      </c>
    </row>
    <row r="42431" spans="1:8" customFormat="1" x14ac:dyDescent="0.25">
      <c r="A42431" t="str">
        <f>"9145488"</f>
        <v>9145488</v>
      </c>
      <c r="B42431" t="s">
        <v>12992</v>
      </c>
      <c r="C42431" t="s">
        <v>25973</v>
      </c>
      <c r="D42431" s="21" t="s">
        <v>24820</v>
      </c>
      <c r="E42431" s="21" t="s">
        <v>71</v>
      </c>
      <c r="F42431">
        <v>8911050</v>
      </c>
      <c r="G42431" t="s">
        <v>1606</v>
      </c>
      <c r="H42431" s="21">
        <v>476.5</v>
      </c>
    </row>
    <row r="42432" spans="1:8" customFormat="1" x14ac:dyDescent="0.25">
      <c r="A42432" t="str">
        <f>"2717859"</f>
        <v>2717859</v>
      </c>
      <c r="B42432" t="s">
        <v>9285</v>
      </c>
      <c r="C42432" t="s">
        <v>24888</v>
      </c>
      <c r="D42432" s="21" t="s">
        <v>24820</v>
      </c>
      <c r="E42432" s="21" t="s">
        <v>35</v>
      </c>
      <c r="F42432">
        <v>9270071</v>
      </c>
      <c r="G42432" t="s">
        <v>7815</v>
      </c>
      <c r="H42432" s="21">
        <v>476.5</v>
      </c>
    </row>
    <row r="42433" spans="1:8" customFormat="1" x14ac:dyDescent="0.25">
      <c r="A42433" t="str">
        <f>"189604"</f>
        <v>189604</v>
      </c>
      <c r="B42433" t="s">
        <v>2017</v>
      </c>
      <c r="C42433" t="s">
        <v>24840</v>
      </c>
      <c r="D42433" s="21" t="s">
        <v>24820</v>
      </c>
      <c r="E42433" s="21" t="s">
        <v>71</v>
      </c>
      <c r="F42433">
        <v>4180057</v>
      </c>
      <c r="G42433" t="s">
        <v>9021</v>
      </c>
      <c r="H42433" s="21">
        <v>476.5</v>
      </c>
    </row>
    <row r="42434" spans="1:8" customFormat="1" x14ac:dyDescent="0.25">
      <c r="A42434" t="str">
        <f>"4919176"</f>
        <v>4919176</v>
      </c>
      <c r="B42434" t="s">
        <v>1582</v>
      </c>
      <c r="C42434" t="s">
        <v>24932</v>
      </c>
      <c r="D42434" s="21" t="s">
        <v>24820</v>
      </c>
      <c r="E42434" s="21" t="s">
        <v>254</v>
      </c>
      <c r="F42434">
        <v>12490055</v>
      </c>
      <c r="G42434" t="s">
        <v>12099</v>
      </c>
      <c r="H42434" s="21">
        <v>476.5</v>
      </c>
    </row>
    <row r="42435" spans="1:8" customFormat="1" x14ac:dyDescent="0.25">
      <c r="A42435" t="str">
        <f>"2939912"</f>
        <v>2939912</v>
      </c>
      <c r="B42435" t="s">
        <v>17226</v>
      </c>
      <c r="C42435" t="s">
        <v>25144</v>
      </c>
      <c r="D42435" s="21" t="s">
        <v>24820</v>
      </c>
      <c r="E42435" s="21" t="s">
        <v>35</v>
      </c>
      <c r="F42435">
        <v>3290044</v>
      </c>
      <c r="G42435" t="s">
        <v>3897</v>
      </c>
      <c r="H42435" s="21">
        <v>476.5</v>
      </c>
    </row>
    <row r="42436" spans="1:8" customFormat="1" x14ac:dyDescent="0.25">
      <c r="A42436" t="str">
        <f>"5984481"</f>
        <v>5984481</v>
      </c>
      <c r="B42436" t="s">
        <v>23206</v>
      </c>
      <c r="C42436" t="s">
        <v>24919</v>
      </c>
      <c r="D42436" s="21" t="s">
        <v>24820</v>
      </c>
      <c r="E42436" s="21" t="s">
        <v>35</v>
      </c>
      <c r="F42436">
        <v>7590016</v>
      </c>
      <c r="G42436" t="s">
        <v>5653</v>
      </c>
      <c r="H42436" s="21">
        <v>476.5</v>
      </c>
    </row>
    <row r="42437" spans="1:8" customFormat="1" x14ac:dyDescent="0.25">
      <c r="A42437" t="str">
        <f>"4920254"</f>
        <v>4920254</v>
      </c>
      <c r="B42437" t="s">
        <v>4348</v>
      </c>
      <c r="C42437" t="s">
        <v>24898</v>
      </c>
      <c r="D42437" s="21" t="s">
        <v>24820</v>
      </c>
      <c r="E42437" s="21" t="s">
        <v>254</v>
      </c>
      <c r="F42437">
        <v>1690123</v>
      </c>
      <c r="G42437" t="s">
        <v>5156</v>
      </c>
      <c r="H42437" s="21">
        <v>476.5</v>
      </c>
    </row>
    <row r="42438" spans="1:8" customFormat="1" x14ac:dyDescent="0.25">
      <c r="A42438" t="str">
        <f>"3337022"</f>
        <v>3337022</v>
      </c>
      <c r="B42438" t="s">
        <v>26176</v>
      </c>
      <c r="C42438" t="s">
        <v>24840</v>
      </c>
      <c r="D42438" s="21" t="s">
        <v>24820</v>
      </c>
      <c r="E42438" s="21" t="s">
        <v>35</v>
      </c>
      <c r="F42438">
        <v>10330004</v>
      </c>
      <c r="G42438" t="s">
        <v>525</v>
      </c>
      <c r="H42438" s="21">
        <v>476.25</v>
      </c>
    </row>
    <row r="42439" spans="1:8" customFormat="1" x14ac:dyDescent="0.25">
      <c r="A42439" t="str">
        <f>"6020810"</f>
        <v>6020810</v>
      </c>
      <c r="B42439" t="s">
        <v>16377</v>
      </c>
      <c r="C42439" t="s">
        <v>24958</v>
      </c>
      <c r="D42439" s="21" t="s">
        <v>24820</v>
      </c>
      <c r="E42439" s="21" t="s">
        <v>71</v>
      </c>
      <c r="F42439">
        <v>7600074</v>
      </c>
      <c r="G42439" t="s">
        <v>1912</v>
      </c>
      <c r="H42439" s="21">
        <v>476.25</v>
      </c>
    </row>
    <row r="42440" spans="1:8" customFormat="1" x14ac:dyDescent="0.25">
      <c r="A42440" t="str">
        <f>"051319"</f>
        <v>051319</v>
      </c>
      <c r="B42440" t="s">
        <v>25783</v>
      </c>
      <c r="C42440" t="s">
        <v>24988</v>
      </c>
      <c r="D42440" s="21" t="s">
        <v>24820</v>
      </c>
      <c r="E42440" s="21" t="s">
        <v>35</v>
      </c>
      <c r="F42440">
        <v>13050013</v>
      </c>
      <c r="G42440" t="s">
        <v>6666</v>
      </c>
      <c r="H42440" s="21">
        <v>476</v>
      </c>
    </row>
    <row r="42441" spans="1:8" customFormat="1" x14ac:dyDescent="0.25">
      <c r="A42441" t="str">
        <f>"6928972"</f>
        <v>6928972</v>
      </c>
      <c r="B42441" t="s">
        <v>30081</v>
      </c>
      <c r="C42441" t="s">
        <v>25130</v>
      </c>
      <c r="D42441" s="21" t="s">
        <v>24820</v>
      </c>
      <c r="E42441" s="21" t="s">
        <v>35</v>
      </c>
      <c r="F42441">
        <v>1690185</v>
      </c>
      <c r="G42441" t="s">
        <v>10841</v>
      </c>
      <c r="H42441" s="21">
        <v>476</v>
      </c>
    </row>
    <row r="42442" spans="1:8" customFormat="1" x14ac:dyDescent="0.25">
      <c r="A42442" t="str">
        <f>"7220730"</f>
        <v>7220730</v>
      </c>
      <c r="B42442" t="s">
        <v>25699</v>
      </c>
      <c r="C42442" t="s">
        <v>24857</v>
      </c>
      <c r="D42442" s="21" t="s">
        <v>24820</v>
      </c>
      <c r="E42442" s="21" t="s">
        <v>35</v>
      </c>
      <c r="F42442">
        <v>12720050</v>
      </c>
      <c r="G42442" t="s">
        <v>5522</v>
      </c>
      <c r="H42442" s="21">
        <v>476</v>
      </c>
    </row>
    <row r="42443" spans="1:8" customFormat="1" x14ac:dyDescent="0.25">
      <c r="A42443" t="str">
        <f>"3013931"</f>
        <v>3013931</v>
      </c>
      <c r="B42443" t="s">
        <v>26304</v>
      </c>
      <c r="C42443" t="s">
        <v>24867</v>
      </c>
      <c r="D42443" s="21" t="s">
        <v>24820</v>
      </c>
      <c r="E42443" s="21" t="s">
        <v>35</v>
      </c>
      <c r="F42443">
        <v>11300022</v>
      </c>
      <c r="G42443" t="s">
        <v>22534</v>
      </c>
      <c r="H42443" s="21">
        <v>476</v>
      </c>
    </row>
    <row r="42444" spans="1:8" customFormat="1" x14ac:dyDescent="0.25">
      <c r="A42444" t="str">
        <f>"9445401"</f>
        <v>9445401</v>
      </c>
      <c r="B42444" t="s">
        <v>12119</v>
      </c>
      <c r="C42444" t="s">
        <v>25588</v>
      </c>
      <c r="D42444" s="21" t="s">
        <v>24820</v>
      </c>
      <c r="E42444" s="21" t="s">
        <v>254</v>
      </c>
      <c r="F42444">
        <v>8940894</v>
      </c>
      <c r="G42444" t="s">
        <v>481</v>
      </c>
      <c r="H42444" s="21">
        <v>476</v>
      </c>
    </row>
    <row r="42445" spans="1:8" customFormat="1" x14ac:dyDescent="0.25">
      <c r="A42445" t="str">
        <f>"7213135"</f>
        <v>7213135</v>
      </c>
      <c r="B42445" t="s">
        <v>12516</v>
      </c>
      <c r="C42445" t="s">
        <v>24898</v>
      </c>
      <c r="D42445" s="21" t="s">
        <v>24820</v>
      </c>
      <c r="E42445" s="21" t="s">
        <v>254</v>
      </c>
      <c r="F42445">
        <v>12720062</v>
      </c>
      <c r="G42445" t="s">
        <v>4026</v>
      </c>
      <c r="H42445" s="21">
        <v>476</v>
      </c>
    </row>
    <row r="42446" spans="1:8" customFormat="1" x14ac:dyDescent="0.25">
      <c r="A42446" t="str">
        <f>"559294"</f>
        <v>559294</v>
      </c>
      <c r="B42446" t="s">
        <v>30082</v>
      </c>
      <c r="C42446" t="s">
        <v>24914</v>
      </c>
      <c r="D42446" s="21" t="s">
        <v>24820</v>
      </c>
      <c r="E42446" s="21" t="s">
        <v>35</v>
      </c>
      <c r="F42446">
        <v>6550007</v>
      </c>
      <c r="G42446" t="s">
        <v>1688</v>
      </c>
      <c r="H42446" s="21">
        <v>476</v>
      </c>
    </row>
    <row r="42447" spans="1:8" customFormat="1" x14ac:dyDescent="0.25">
      <c r="A42447" t="str">
        <f>"7865958"</f>
        <v>7865958</v>
      </c>
      <c r="B42447" t="s">
        <v>30083</v>
      </c>
      <c r="C42447" t="s">
        <v>24902</v>
      </c>
      <c r="D42447" s="21" t="s">
        <v>24820</v>
      </c>
      <c r="E42447" s="21" t="s">
        <v>35</v>
      </c>
      <c r="F42447">
        <v>8780130</v>
      </c>
      <c r="G42447" t="s">
        <v>5752</v>
      </c>
      <c r="H42447" s="21">
        <v>475.88</v>
      </c>
    </row>
    <row r="42448" spans="1:8" customFormat="1" x14ac:dyDescent="0.25">
      <c r="A42448" t="str">
        <f>"848752"</f>
        <v>848752</v>
      </c>
      <c r="B42448" t="s">
        <v>29318</v>
      </c>
      <c r="C42448" t="s">
        <v>24833</v>
      </c>
      <c r="D42448" s="21" t="s">
        <v>24820</v>
      </c>
      <c r="E42448" s="21" t="s">
        <v>71</v>
      </c>
      <c r="F42448">
        <v>13840045</v>
      </c>
      <c r="G42448" t="s">
        <v>11703</v>
      </c>
      <c r="H42448" s="21">
        <v>475.5</v>
      </c>
    </row>
    <row r="42449" spans="1:8" customFormat="1" x14ac:dyDescent="0.25">
      <c r="A42449" t="str">
        <f>"568995"</f>
        <v>568995</v>
      </c>
      <c r="B42449" t="s">
        <v>12114</v>
      </c>
      <c r="C42449" t="s">
        <v>25192</v>
      </c>
      <c r="D42449" s="21" t="s">
        <v>24820</v>
      </c>
      <c r="E42449" s="21" t="s">
        <v>1089</v>
      </c>
      <c r="F42449">
        <v>3560006</v>
      </c>
      <c r="G42449" t="s">
        <v>2708</v>
      </c>
      <c r="H42449" s="21">
        <v>475.5</v>
      </c>
    </row>
    <row r="42450" spans="1:8" customFormat="1" x14ac:dyDescent="0.25">
      <c r="A42450" t="str">
        <f>"8811267"</f>
        <v>8811267</v>
      </c>
      <c r="B42450" t="s">
        <v>15616</v>
      </c>
      <c r="C42450" t="s">
        <v>24852</v>
      </c>
      <c r="D42450" s="21" t="s">
        <v>24820</v>
      </c>
      <c r="E42450" s="21" t="s">
        <v>71</v>
      </c>
      <c r="F42450">
        <v>6880002</v>
      </c>
      <c r="G42450" t="s">
        <v>501</v>
      </c>
      <c r="H42450" s="21">
        <v>475.5</v>
      </c>
    </row>
    <row r="42451" spans="1:8" customFormat="1" x14ac:dyDescent="0.25">
      <c r="A42451" t="str">
        <f>"5621876"</f>
        <v>5621876</v>
      </c>
      <c r="B42451" t="s">
        <v>26270</v>
      </c>
      <c r="C42451" t="s">
        <v>24833</v>
      </c>
      <c r="D42451" s="21" t="s">
        <v>24820</v>
      </c>
      <c r="E42451" s="21" t="s">
        <v>35</v>
      </c>
      <c r="F42451">
        <v>3560050</v>
      </c>
      <c r="G42451" t="s">
        <v>5322</v>
      </c>
      <c r="H42451" s="21">
        <v>475.5</v>
      </c>
    </row>
    <row r="42452" spans="1:8" customFormat="1" x14ac:dyDescent="0.25">
      <c r="A42452" t="str">
        <f>"7626982"</f>
        <v>7626982</v>
      </c>
      <c r="B42452" t="s">
        <v>15038</v>
      </c>
      <c r="C42452" t="s">
        <v>24890</v>
      </c>
      <c r="D42452" s="21" t="s">
        <v>24820</v>
      </c>
      <c r="E42452" s="21" t="s">
        <v>254</v>
      </c>
      <c r="F42452">
        <v>9760011</v>
      </c>
      <c r="G42452" t="s">
        <v>2562</v>
      </c>
      <c r="H42452" s="21">
        <v>475.5</v>
      </c>
    </row>
    <row r="42453" spans="1:8" customFormat="1" x14ac:dyDescent="0.25">
      <c r="A42453" t="str">
        <f>"279081"</f>
        <v>279081</v>
      </c>
      <c r="B42453" t="s">
        <v>26021</v>
      </c>
      <c r="C42453" t="s">
        <v>24897</v>
      </c>
      <c r="D42453" s="21" t="s">
        <v>24820</v>
      </c>
      <c r="E42453" s="21" t="s">
        <v>71</v>
      </c>
      <c r="F42453">
        <v>9270161</v>
      </c>
      <c r="G42453" t="s">
        <v>10104</v>
      </c>
      <c r="H42453" s="21">
        <v>475</v>
      </c>
    </row>
    <row r="42454" spans="1:8" customFormat="1" x14ac:dyDescent="0.25">
      <c r="A42454" t="str">
        <f>"5944589"</f>
        <v>5944589</v>
      </c>
      <c r="B42454" t="s">
        <v>26274</v>
      </c>
      <c r="C42454" t="s">
        <v>25313</v>
      </c>
      <c r="D42454" s="21" t="s">
        <v>24820</v>
      </c>
      <c r="E42454" s="21" t="s">
        <v>71</v>
      </c>
      <c r="F42454">
        <v>7590218</v>
      </c>
      <c r="G42454" t="s">
        <v>26769</v>
      </c>
      <c r="H42454" s="21">
        <v>475</v>
      </c>
    </row>
    <row r="42455" spans="1:8" customFormat="1" x14ac:dyDescent="0.25">
      <c r="A42455" t="str">
        <f>"485993"</f>
        <v>485993</v>
      </c>
      <c r="B42455" t="s">
        <v>461</v>
      </c>
      <c r="C42455" t="s">
        <v>24920</v>
      </c>
      <c r="D42455" s="21" t="s">
        <v>24820</v>
      </c>
      <c r="E42455" s="21" t="s">
        <v>35</v>
      </c>
      <c r="F42455">
        <v>11480036</v>
      </c>
      <c r="G42455" t="s">
        <v>16006</v>
      </c>
      <c r="H42455" s="21">
        <v>475</v>
      </c>
    </row>
    <row r="42456" spans="1:8" customFormat="1" x14ac:dyDescent="0.25">
      <c r="A42456" t="str">
        <f>"9245735"</f>
        <v>9245735</v>
      </c>
      <c r="B42456" t="s">
        <v>30084</v>
      </c>
      <c r="C42456" t="s">
        <v>26299</v>
      </c>
      <c r="D42456" s="21" t="s">
        <v>24820</v>
      </c>
      <c r="E42456" s="21" t="s">
        <v>71</v>
      </c>
      <c r="F42456">
        <v>8920063</v>
      </c>
      <c r="G42456" t="s">
        <v>219</v>
      </c>
      <c r="H42456" s="21">
        <v>475</v>
      </c>
    </row>
    <row r="42457" spans="1:8" customFormat="1" x14ac:dyDescent="0.25">
      <c r="A42457" t="str">
        <f>"6231900"</f>
        <v>6231900</v>
      </c>
      <c r="B42457" t="s">
        <v>15943</v>
      </c>
      <c r="C42457" t="s">
        <v>24897</v>
      </c>
      <c r="D42457" s="21" t="s">
        <v>24820</v>
      </c>
      <c r="E42457" s="21" t="s">
        <v>71</v>
      </c>
      <c r="F42457">
        <v>7620092</v>
      </c>
      <c r="G42457" t="s">
        <v>9874</v>
      </c>
      <c r="H42457" s="21">
        <v>475</v>
      </c>
    </row>
    <row r="42458" spans="1:8" customFormat="1" x14ac:dyDescent="0.25">
      <c r="A42458" t="str">
        <f>"5319430"</f>
        <v>5319430</v>
      </c>
      <c r="B42458" t="s">
        <v>15406</v>
      </c>
      <c r="C42458" t="s">
        <v>23734</v>
      </c>
      <c r="D42458" s="21" t="s">
        <v>24820</v>
      </c>
      <c r="E42458" s="21" t="s">
        <v>35</v>
      </c>
      <c r="F42458">
        <v>12530007</v>
      </c>
      <c r="G42458" t="s">
        <v>2966</v>
      </c>
      <c r="H42458" s="21">
        <v>475</v>
      </c>
    </row>
    <row r="42459" spans="1:8" customFormat="1" x14ac:dyDescent="0.25">
      <c r="A42459" t="str">
        <f>"7714192"</f>
        <v>7714192</v>
      </c>
      <c r="B42459" t="s">
        <v>7886</v>
      </c>
      <c r="C42459" t="s">
        <v>26269</v>
      </c>
      <c r="D42459" s="21" t="s">
        <v>24820</v>
      </c>
      <c r="E42459" s="21" t="s">
        <v>254</v>
      </c>
      <c r="F42459">
        <v>8770937</v>
      </c>
      <c r="G42459" t="s">
        <v>2119</v>
      </c>
      <c r="H42459" s="21">
        <v>475</v>
      </c>
    </row>
    <row r="42460" spans="1:8" customFormat="1" x14ac:dyDescent="0.25">
      <c r="A42460" t="str">
        <f>"3537045"</f>
        <v>3537045</v>
      </c>
      <c r="B42460" t="s">
        <v>2468</v>
      </c>
      <c r="C42460" t="s">
        <v>24833</v>
      </c>
      <c r="D42460" s="21" t="s">
        <v>24820</v>
      </c>
      <c r="E42460" s="21" t="s">
        <v>35</v>
      </c>
      <c r="F42460">
        <v>3350045</v>
      </c>
      <c r="G42460" t="s">
        <v>13569</v>
      </c>
      <c r="H42460" s="21">
        <v>475</v>
      </c>
    </row>
    <row r="42461" spans="1:8" customFormat="1" x14ac:dyDescent="0.25">
      <c r="A42461" t="str">
        <f>"5810455"</f>
        <v>5810455</v>
      </c>
      <c r="B42461" t="s">
        <v>30085</v>
      </c>
      <c r="C42461" t="s">
        <v>24840</v>
      </c>
      <c r="D42461" s="21" t="s">
        <v>24820</v>
      </c>
      <c r="E42461" s="21" t="s">
        <v>71</v>
      </c>
      <c r="F42461">
        <v>2580089</v>
      </c>
      <c r="G42461" t="s">
        <v>15805</v>
      </c>
      <c r="H42461" s="21">
        <v>475</v>
      </c>
    </row>
    <row r="42462" spans="1:8" customFormat="1" x14ac:dyDescent="0.25">
      <c r="A42462" t="str">
        <f>"4450897"</f>
        <v>4450897</v>
      </c>
      <c r="B42462" t="s">
        <v>26214</v>
      </c>
      <c r="C42462" t="s">
        <v>26215</v>
      </c>
      <c r="D42462" s="21" t="s">
        <v>24820</v>
      </c>
      <c r="E42462" s="21" t="s">
        <v>71</v>
      </c>
      <c r="F42462">
        <v>12440260</v>
      </c>
      <c r="G42462" t="s">
        <v>26759</v>
      </c>
      <c r="H42462" s="21">
        <v>474.67</v>
      </c>
    </row>
    <row r="42463" spans="1:8" customFormat="1" x14ac:dyDescent="0.25">
      <c r="A42463" t="str">
        <f>"3344564"</f>
        <v>3344564</v>
      </c>
      <c r="B42463" t="s">
        <v>30086</v>
      </c>
      <c r="C42463" t="s">
        <v>24894</v>
      </c>
      <c r="D42463" s="21" t="s">
        <v>24820</v>
      </c>
      <c r="E42463" s="21" t="s">
        <v>35</v>
      </c>
      <c r="F42463">
        <v>10330130</v>
      </c>
      <c r="G42463" t="s">
        <v>13867</v>
      </c>
      <c r="H42463" s="21">
        <v>474.5</v>
      </c>
    </row>
    <row r="42464" spans="1:8" customFormat="1" x14ac:dyDescent="0.25">
      <c r="A42464" t="str">
        <f>"992364"</f>
        <v>992364</v>
      </c>
      <c r="B42464" t="s">
        <v>29605</v>
      </c>
      <c r="C42464" t="s">
        <v>24897</v>
      </c>
      <c r="D42464" s="21" t="s">
        <v>24820</v>
      </c>
      <c r="E42464" s="21" t="s">
        <v>71</v>
      </c>
      <c r="F42464">
        <v>5990021</v>
      </c>
      <c r="G42464" t="s">
        <v>14243</v>
      </c>
      <c r="H42464" s="21">
        <v>474.5</v>
      </c>
    </row>
    <row r="42465" spans="1:8" customFormat="1" x14ac:dyDescent="0.25">
      <c r="A42465" t="str">
        <f>"6937589"</f>
        <v>6937589</v>
      </c>
      <c r="B42465" t="s">
        <v>26180</v>
      </c>
      <c r="C42465" t="s">
        <v>25035</v>
      </c>
      <c r="D42465" s="21" t="s">
        <v>24820</v>
      </c>
      <c r="E42465" s="21" t="s">
        <v>254</v>
      </c>
      <c r="F42465">
        <v>1690102</v>
      </c>
      <c r="G42465" t="s">
        <v>2081</v>
      </c>
      <c r="H42465" s="21">
        <v>474.5</v>
      </c>
    </row>
    <row r="42466" spans="1:8" customFormat="1" x14ac:dyDescent="0.25">
      <c r="A42466" t="str">
        <f>"6313680"</f>
        <v>6313680</v>
      </c>
      <c r="B42466" t="s">
        <v>5399</v>
      </c>
      <c r="C42466" t="s">
        <v>24824</v>
      </c>
      <c r="D42466" s="21" t="s">
        <v>24820</v>
      </c>
      <c r="E42466" s="21" t="s">
        <v>35</v>
      </c>
      <c r="F42466">
        <v>1630185</v>
      </c>
      <c r="G42466" t="s">
        <v>858</v>
      </c>
      <c r="H42466" s="21">
        <v>474.38</v>
      </c>
    </row>
    <row r="42467" spans="1:8" customFormat="1" x14ac:dyDescent="0.25">
      <c r="A42467" t="str">
        <f>"7730574"</f>
        <v>7730574</v>
      </c>
      <c r="B42467" t="s">
        <v>3146</v>
      </c>
      <c r="C42467" t="s">
        <v>25045</v>
      </c>
      <c r="D42467" s="21" t="s">
        <v>24820</v>
      </c>
      <c r="E42467" s="21" t="s">
        <v>254</v>
      </c>
      <c r="F42467">
        <v>8770489</v>
      </c>
      <c r="G42467" t="s">
        <v>1763</v>
      </c>
      <c r="H42467" s="21">
        <v>474.38</v>
      </c>
    </row>
    <row r="42468" spans="1:8" customFormat="1" x14ac:dyDescent="0.25">
      <c r="A42468" t="str">
        <f>"2516871"</f>
        <v>2516871</v>
      </c>
      <c r="B42468" t="s">
        <v>146</v>
      </c>
      <c r="C42468" t="s">
        <v>17317</v>
      </c>
      <c r="D42468" s="21" t="s">
        <v>24820</v>
      </c>
      <c r="E42468" s="21" t="s">
        <v>35</v>
      </c>
      <c r="F42468">
        <v>2250001</v>
      </c>
      <c r="G42468" t="s">
        <v>424</v>
      </c>
      <c r="H42468" s="21">
        <v>474.25</v>
      </c>
    </row>
    <row r="42469" spans="1:8" customFormat="1" x14ac:dyDescent="0.25">
      <c r="A42469" t="str">
        <f>"1612959"</f>
        <v>1612959</v>
      </c>
      <c r="B42469" t="s">
        <v>20201</v>
      </c>
      <c r="C42469" t="s">
        <v>25315</v>
      </c>
      <c r="D42469" s="21" t="s">
        <v>24820</v>
      </c>
      <c r="E42469" s="21" t="s">
        <v>71</v>
      </c>
      <c r="F42469">
        <v>10160122</v>
      </c>
      <c r="G42469" t="s">
        <v>8169</v>
      </c>
      <c r="H42469" s="21">
        <v>474</v>
      </c>
    </row>
    <row r="42470" spans="1:8" customFormat="1" x14ac:dyDescent="0.25">
      <c r="A42470" t="str">
        <f>"2517120"</f>
        <v>2517120</v>
      </c>
      <c r="B42470" t="s">
        <v>2630</v>
      </c>
      <c r="C42470" t="s">
        <v>25076</v>
      </c>
      <c r="D42470" s="21" t="s">
        <v>24820</v>
      </c>
      <c r="E42470" s="21" t="s">
        <v>254</v>
      </c>
      <c r="F42470">
        <v>2250015</v>
      </c>
      <c r="G42470" t="s">
        <v>4776</v>
      </c>
      <c r="H42470" s="21">
        <v>474</v>
      </c>
    </row>
    <row r="42471" spans="1:8" customFormat="1" x14ac:dyDescent="0.25">
      <c r="A42471" t="str">
        <f>"3427106"</f>
        <v>3427106</v>
      </c>
      <c r="B42471" t="s">
        <v>30087</v>
      </c>
      <c r="C42471" t="s">
        <v>24867</v>
      </c>
      <c r="D42471" s="21" t="s">
        <v>24820</v>
      </c>
      <c r="E42471" s="21" t="s">
        <v>71</v>
      </c>
      <c r="F42471">
        <v>11340073</v>
      </c>
      <c r="G42471" t="s">
        <v>15005</v>
      </c>
      <c r="H42471" s="21">
        <v>474</v>
      </c>
    </row>
    <row r="42472" spans="1:8" customFormat="1" x14ac:dyDescent="0.25">
      <c r="A42472" t="str">
        <f>"4436773"</f>
        <v>4436773</v>
      </c>
      <c r="B42472" t="s">
        <v>25872</v>
      </c>
      <c r="C42472" t="s">
        <v>22831</v>
      </c>
      <c r="D42472" s="21" t="s">
        <v>24820</v>
      </c>
      <c r="E42472" s="21" t="s">
        <v>71</v>
      </c>
      <c r="F42472">
        <v>12440138</v>
      </c>
      <c r="G42472" t="s">
        <v>562</v>
      </c>
      <c r="H42472" s="21">
        <v>474</v>
      </c>
    </row>
    <row r="42473" spans="1:8" customFormat="1" x14ac:dyDescent="0.25">
      <c r="A42473" t="str">
        <f>"2936039"</f>
        <v>2936039</v>
      </c>
      <c r="B42473" t="s">
        <v>10227</v>
      </c>
      <c r="C42473" t="s">
        <v>24867</v>
      </c>
      <c r="D42473" s="21" t="s">
        <v>24820</v>
      </c>
      <c r="E42473" s="21" t="s">
        <v>35</v>
      </c>
      <c r="F42473">
        <v>3290036</v>
      </c>
      <c r="G42473" t="s">
        <v>3903</v>
      </c>
      <c r="H42473" s="21">
        <v>474</v>
      </c>
    </row>
    <row r="42474" spans="1:8" customFormat="1" x14ac:dyDescent="0.25">
      <c r="A42474" t="str">
        <f>"7924066"</f>
        <v>7924066</v>
      </c>
      <c r="B42474" t="s">
        <v>30088</v>
      </c>
      <c r="C42474" t="s">
        <v>24883</v>
      </c>
      <c r="D42474" s="21" t="s">
        <v>24820</v>
      </c>
      <c r="E42474" s="21" t="s">
        <v>35</v>
      </c>
      <c r="F42474">
        <v>10790186</v>
      </c>
      <c r="G42474" t="s">
        <v>16305</v>
      </c>
      <c r="H42474" s="21">
        <v>474</v>
      </c>
    </row>
    <row r="42475" spans="1:8" customFormat="1" x14ac:dyDescent="0.25">
      <c r="A42475" t="str">
        <f>"5715938"</f>
        <v>5715938</v>
      </c>
      <c r="B42475" t="s">
        <v>23097</v>
      </c>
      <c r="C42475" t="s">
        <v>24931</v>
      </c>
      <c r="D42475" s="21" t="s">
        <v>24820</v>
      </c>
      <c r="E42475" s="21" t="s">
        <v>71</v>
      </c>
      <c r="F42475">
        <v>6570174</v>
      </c>
      <c r="G42475" t="s">
        <v>12454</v>
      </c>
      <c r="H42475" s="21">
        <v>474</v>
      </c>
    </row>
    <row r="42476" spans="1:8" customFormat="1" x14ac:dyDescent="0.25">
      <c r="A42476" t="str">
        <f>"5622336"</f>
        <v>5622336</v>
      </c>
      <c r="B42476" t="s">
        <v>30089</v>
      </c>
      <c r="C42476" t="s">
        <v>24863</v>
      </c>
      <c r="D42476" s="21" t="s">
        <v>24820</v>
      </c>
      <c r="E42476" s="21" t="s">
        <v>35</v>
      </c>
      <c r="F42476">
        <v>3560046</v>
      </c>
      <c r="G42476" t="s">
        <v>9309</v>
      </c>
      <c r="H42476" s="21">
        <v>474</v>
      </c>
    </row>
    <row r="42477" spans="1:8" customFormat="1" x14ac:dyDescent="0.25">
      <c r="A42477" t="str">
        <f>"0812579"</f>
        <v>0812579</v>
      </c>
      <c r="B42477" t="s">
        <v>30090</v>
      </c>
      <c r="C42477" t="s">
        <v>25051</v>
      </c>
      <c r="D42477" s="21" t="s">
        <v>24820</v>
      </c>
      <c r="E42477" s="21" t="s">
        <v>35</v>
      </c>
      <c r="F42477">
        <v>6080006</v>
      </c>
      <c r="G42477" t="s">
        <v>4295</v>
      </c>
      <c r="H42477" s="21">
        <v>473.75</v>
      </c>
    </row>
    <row r="42478" spans="1:8" customFormat="1" x14ac:dyDescent="0.25">
      <c r="A42478" t="str">
        <f>"3829108"</f>
        <v>3829108</v>
      </c>
      <c r="B42478" t="s">
        <v>26100</v>
      </c>
      <c r="C42478" t="s">
        <v>24881</v>
      </c>
      <c r="D42478" s="21" t="s">
        <v>24820</v>
      </c>
      <c r="E42478" s="21" t="s">
        <v>71</v>
      </c>
      <c r="F42478">
        <v>1380199</v>
      </c>
      <c r="G42478" t="s">
        <v>321</v>
      </c>
      <c r="H42478" s="21">
        <v>473.5</v>
      </c>
    </row>
    <row r="42479" spans="1:8" customFormat="1" x14ac:dyDescent="0.25">
      <c r="A42479" t="str">
        <f>"6813580"</f>
        <v>6813580</v>
      </c>
      <c r="B42479" t="s">
        <v>8788</v>
      </c>
      <c r="C42479" t="s">
        <v>25088</v>
      </c>
      <c r="D42479" s="21" t="s">
        <v>24820</v>
      </c>
      <c r="E42479" s="21" t="s">
        <v>71</v>
      </c>
      <c r="F42479">
        <v>6680091</v>
      </c>
      <c r="G42479" t="s">
        <v>693</v>
      </c>
      <c r="H42479" s="21">
        <v>473.5</v>
      </c>
    </row>
    <row r="42480" spans="1:8" customFormat="1" x14ac:dyDescent="0.25">
      <c r="A42480" t="str">
        <f>"154062"</f>
        <v>154062</v>
      </c>
      <c r="B42480" t="s">
        <v>30091</v>
      </c>
      <c r="C42480" t="s">
        <v>263</v>
      </c>
      <c r="D42480" s="21" t="s">
        <v>24820</v>
      </c>
      <c r="E42480" s="21" t="s">
        <v>71</v>
      </c>
      <c r="F42480">
        <v>1150148</v>
      </c>
      <c r="G42480" t="s">
        <v>7485</v>
      </c>
      <c r="H42480" s="21">
        <v>473.5</v>
      </c>
    </row>
    <row r="42481" spans="1:8" customFormat="1" x14ac:dyDescent="0.25">
      <c r="A42481" t="str">
        <f>"134727"</f>
        <v>134727</v>
      </c>
      <c r="B42481" t="s">
        <v>18721</v>
      </c>
      <c r="C42481" t="s">
        <v>24904</v>
      </c>
      <c r="D42481" s="21" t="s">
        <v>24820</v>
      </c>
      <c r="E42481" s="21" t="s">
        <v>254</v>
      </c>
      <c r="F42481">
        <v>13130118</v>
      </c>
      <c r="G42481" t="s">
        <v>27466</v>
      </c>
      <c r="H42481" s="21">
        <v>473.5</v>
      </c>
    </row>
    <row r="42482" spans="1:8" customFormat="1" x14ac:dyDescent="0.25">
      <c r="A42482" t="str">
        <f>"7524625"</f>
        <v>7524625</v>
      </c>
      <c r="B42482" t="s">
        <v>3664</v>
      </c>
      <c r="C42482" t="s">
        <v>24845</v>
      </c>
      <c r="D42482" s="21" t="s">
        <v>24820</v>
      </c>
      <c r="E42482" s="21" t="s">
        <v>71</v>
      </c>
      <c r="F42482">
        <v>8751455</v>
      </c>
      <c r="G42482" t="s">
        <v>14280</v>
      </c>
      <c r="H42482" s="21">
        <v>473.5</v>
      </c>
    </row>
    <row r="42483" spans="1:8" customFormat="1" x14ac:dyDescent="0.25">
      <c r="A42483" t="str">
        <f>"5982855"</f>
        <v>5982855</v>
      </c>
      <c r="B42483" t="s">
        <v>30092</v>
      </c>
      <c r="C42483" t="s">
        <v>25199</v>
      </c>
      <c r="D42483" s="21" t="s">
        <v>24820</v>
      </c>
      <c r="E42483" s="21" t="s">
        <v>71</v>
      </c>
      <c r="F42483">
        <v>7590122</v>
      </c>
      <c r="G42483" t="s">
        <v>5608</v>
      </c>
      <c r="H42483" s="21">
        <v>473</v>
      </c>
    </row>
    <row r="42484" spans="1:8" customFormat="1" x14ac:dyDescent="0.25">
      <c r="A42484" t="str">
        <f>"2937156"</f>
        <v>2937156</v>
      </c>
      <c r="B42484" t="s">
        <v>21074</v>
      </c>
      <c r="C42484" t="s">
        <v>25019</v>
      </c>
      <c r="D42484" s="21" t="s">
        <v>24820</v>
      </c>
      <c r="E42484" s="21" t="s">
        <v>35</v>
      </c>
      <c r="F42484">
        <v>3290037</v>
      </c>
      <c r="G42484" t="s">
        <v>11628</v>
      </c>
      <c r="H42484" s="21">
        <v>473</v>
      </c>
    </row>
    <row r="42485" spans="1:8" customFormat="1" x14ac:dyDescent="0.25">
      <c r="A42485" t="str">
        <f>"5950128"</f>
        <v>5950128</v>
      </c>
      <c r="B42485" t="s">
        <v>9102</v>
      </c>
      <c r="C42485" t="s">
        <v>26311</v>
      </c>
      <c r="D42485" s="21" t="s">
        <v>24820</v>
      </c>
      <c r="E42485" s="21" t="s">
        <v>35</v>
      </c>
      <c r="F42485">
        <v>7590175</v>
      </c>
      <c r="G42485" t="s">
        <v>3063</v>
      </c>
      <c r="H42485" s="21">
        <v>473</v>
      </c>
    </row>
    <row r="42486" spans="1:8" customFormat="1" x14ac:dyDescent="0.25">
      <c r="A42486" t="str">
        <f>"2715773"</f>
        <v>2715773</v>
      </c>
      <c r="B42486" t="s">
        <v>13206</v>
      </c>
      <c r="C42486" t="s">
        <v>24958</v>
      </c>
      <c r="D42486" s="21" t="s">
        <v>24820</v>
      </c>
      <c r="E42486" s="21" t="s">
        <v>71</v>
      </c>
      <c r="F42486">
        <v>9270097</v>
      </c>
      <c r="G42486" t="s">
        <v>9759</v>
      </c>
      <c r="H42486" s="21">
        <v>473</v>
      </c>
    </row>
    <row r="42487" spans="1:8" customFormat="1" x14ac:dyDescent="0.25">
      <c r="A42487" t="str">
        <f>"1613035"</f>
        <v>1613035</v>
      </c>
      <c r="B42487" t="s">
        <v>26233</v>
      </c>
      <c r="C42487" t="s">
        <v>24897</v>
      </c>
      <c r="D42487" s="21" t="s">
        <v>24820</v>
      </c>
      <c r="E42487" s="21" t="s">
        <v>71</v>
      </c>
      <c r="F42487">
        <v>10160018</v>
      </c>
      <c r="G42487" t="s">
        <v>6900</v>
      </c>
      <c r="H42487" s="21">
        <v>473</v>
      </c>
    </row>
    <row r="42488" spans="1:8" customFormat="1" x14ac:dyDescent="0.25">
      <c r="A42488" t="str">
        <f>"2936071"</f>
        <v>2936071</v>
      </c>
      <c r="B42488" t="s">
        <v>6070</v>
      </c>
      <c r="C42488" t="s">
        <v>26238</v>
      </c>
      <c r="D42488" s="21" t="s">
        <v>24820</v>
      </c>
      <c r="E42488" s="21" t="s">
        <v>35</v>
      </c>
      <c r="F42488">
        <v>3290081</v>
      </c>
      <c r="G42488" t="s">
        <v>3819</v>
      </c>
      <c r="H42488" s="21">
        <v>473</v>
      </c>
    </row>
    <row r="42489" spans="1:8" customFormat="1" x14ac:dyDescent="0.25">
      <c r="A42489" t="str">
        <f>"5982006"</f>
        <v>5982006</v>
      </c>
      <c r="B42489" t="s">
        <v>26318</v>
      </c>
      <c r="C42489" t="s">
        <v>26319</v>
      </c>
      <c r="D42489" s="21" t="s">
        <v>24820</v>
      </c>
      <c r="E42489" s="21" t="s">
        <v>35</v>
      </c>
      <c r="F42489">
        <v>7590071</v>
      </c>
      <c r="G42489" t="s">
        <v>2602</v>
      </c>
      <c r="H42489" s="21">
        <v>473</v>
      </c>
    </row>
    <row r="42490" spans="1:8" customFormat="1" x14ac:dyDescent="0.25">
      <c r="A42490" t="str">
        <f>"9250193"</f>
        <v>9250193</v>
      </c>
      <c r="B42490" t="s">
        <v>30093</v>
      </c>
      <c r="C42490" t="s">
        <v>26004</v>
      </c>
      <c r="D42490" s="21" t="s">
        <v>24820</v>
      </c>
      <c r="E42490" s="21" t="s">
        <v>35</v>
      </c>
      <c r="F42490">
        <v>8920111</v>
      </c>
      <c r="G42490" t="s">
        <v>1064</v>
      </c>
      <c r="H42490" s="21">
        <v>472.5</v>
      </c>
    </row>
    <row r="42491" spans="1:8" customFormat="1" x14ac:dyDescent="0.25">
      <c r="A42491" t="str">
        <f>"4112760"</f>
        <v>4112760</v>
      </c>
      <c r="B42491" t="s">
        <v>2873</v>
      </c>
      <c r="C42491" t="s">
        <v>24904</v>
      </c>
      <c r="D42491" s="21" t="s">
        <v>24820</v>
      </c>
      <c r="E42491" s="21" t="s">
        <v>71</v>
      </c>
      <c r="F42491">
        <v>4410017</v>
      </c>
      <c r="G42491" t="s">
        <v>2363</v>
      </c>
      <c r="H42491" s="21">
        <v>472.5</v>
      </c>
    </row>
    <row r="42492" spans="1:8" customFormat="1" x14ac:dyDescent="0.25">
      <c r="A42492" t="str">
        <f>"8019373"</f>
        <v>8019373</v>
      </c>
      <c r="B42492" t="s">
        <v>26224</v>
      </c>
      <c r="C42492" t="s">
        <v>26225</v>
      </c>
      <c r="D42492" s="21" t="s">
        <v>24820</v>
      </c>
      <c r="E42492" s="21" t="s">
        <v>35</v>
      </c>
      <c r="F42492">
        <v>7800074</v>
      </c>
      <c r="G42492" t="s">
        <v>7104</v>
      </c>
      <c r="H42492" s="21">
        <v>472.5</v>
      </c>
    </row>
    <row r="42493" spans="1:8" customFormat="1" x14ac:dyDescent="0.25">
      <c r="A42493" t="str">
        <f>"6935980"</f>
        <v>6935980</v>
      </c>
      <c r="B42493" t="s">
        <v>816</v>
      </c>
      <c r="C42493" t="s">
        <v>25386</v>
      </c>
      <c r="D42493" s="21" t="s">
        <v>24820</v>
      </c>
      <c r="E42493" s="21" t="s">
        <v>254</v>
      </c>
      <c r="F42493">
        <v>1690138</v>
      </c>
      <c r="G42493" t="s">
        <v>18533</v>
      </c>
      <c r="H42493" s="21">
        <v>472.5</v>
      </c>
    </row>
    <row r="42494" spans="1:8" customFormat="1" x14ac:dyDescent="0.25">
      <c r="A42494" t="str">
        <f>"337400"</f>
        <v>337400</v>
      </c>
      <c r="B42494" t="s">
        <v>25934</v>
      </c>
      <c r="C42494" t="s">
        <v>25275</v>
      </c>
      <c r="D42494" s="21" t="s">
        <v>24820</v>
      </c>
      <c r="E42494" s="21" t="s">
        <v>1089</v>
      </c>
      <c r="F42494">
        <v>10330077</v>
      </c>
      <c r="G42494" t="s">
        <v>4274</v>
      </c>
      <c r="H42494" s="21">
        <v>472.5</v>
      </c>
    </row>
    <row r="42495" spans="1:8" customFormat="1" x14ac:dyDescent="0.25">
      <c r="A42495" t="str">
        <f>"7858612"</f>
        <v>7858612</v>
      </c>
      <c r="B42495" t="s">
        <v>26316</v>
      </c>
      <c r="C42495" t="s">
        <v>25222</v>
      </c>
      <c r="D42495" s="21" t="s">
        <v>24820</v>
      </c>
      <c r="E42495" s="21" t="s">
        <v>254</v>
      </c>
      <c r="F42495">
        <v>8780678</v>
      </c>
      <c r="G42495" t="s">
        <v>8556</v>
      </c>
      <c r="H42495" s="21">
        <v>472.5</v>
      </c>
    </row>
    <row r="42496" spans="1:8" customFormat="1" x14ac:dyDescent="0.25">
      <c r="A42496" t="str">
        <f>"2719644"</f>
        <v>2719644</v>
      </c>
      <c r="B42496" t="s">
        <v>26285</v>
      </c>
      <c r="C42496" t="s">
        <v>24828</v>
      </c>
      <c r="D42496" s="21" t="s">
        <v>24820</v>
      </c>
      <c r="E42496" s="21" t="s">
        <v>35</v>
      </c>
      <c r="F42496">
        <v>9270110</v>
      </c>
      <c r="G42496" t="s">
        <v>7417</v>
      </c>
      <c r="H42496" s="21">
        <v>472.5</v>
      </c>
    </row>
    <row r="42497" spans="1:8" customFormat="1" x14ac:dyDescent="0.25">
      <c r="A42497" t="str">
        <f>"3728354"</f>
        <v>3728354</v>
      </c>
      <c r="B42497" t="s">
        <v>26243</v>
      </c>
      <c r="C42497" t="s">
        <v>24939</v>
      </c>
      <c r="D42497" s="21" t="s">
        <v>24820</v>
      </c>
      <c r="E42497" s="21" t="s">
        <v>254</v>
      </c>
      <c r="F42497">
        <v>4370167</v>
      </c>
      <c r="G42497" t="s">
        <v>8834</v>
      </c>
      <c r="H42497" s="21">
        <v>472.5</v>
      </c>
    </row>
    <row r="42498" spans="1:8" customFormat="1" x14ac:dyDescent="0.25">
      <c r="A42498" t="str">
        <f>"844619"</f>
        <v>844619</v>
      </c>
      <c r="B42498" t="s">
        <v>2165</v>
      </c>
      <c r="C42498" t="s">
        <v>24898</v>
      </c>
      <c r="D42498" s="21" t="s">
        <v>24820</v>
      </c>
      <c r="E42498" s="21" t="s">
        <v>71</v>
      </c>
      <c r="F42498">
        <v>13840006</v>
      </c>
      <c r="G42498" t="s">
        <v>10139</v>
      </c>
      <c r="H42498" s="21">
        <v>472.5</v>
      </c>
    </row>
    <row r="42499" spans="1:8" customFormat="1" x14ac:dyDescent="0.25">
      <c r="A42499" t="str">
        <f>"4415798"</f>
        <v>4415798</v>
      </c>
      <c r="B42499" t="s">
        <v>3930</v>
      </c>
      <c r="C42499" t="s">
        <v>24686</v>
      </c>
      <c r="D42499" s="21" t="s">
        <v>24820</v>
      </c>
      <c r="E42499" s="21" t="s">
        <v>71</v>
      </c>
      <c r="F42499">
        <v>12440116</v>
      </c>
      <c r="G42499" t="s">
        <v>26673</v>
      </c>
      <c r="H42499" s="21">
        <v>472.5</v>
      </c>
    </row>
    <row r="42500" spans="1:8" customFormat="1" x14ac:dyDescent="0.25">
      <c r="A42500" t="str">
        <f>"1613793"</f>
        <v>1613793</v>
      </c>
      <c r="B42500" t="s">
        <v>1349</v>
      </c>
      <c r="C42500" t="s">
        <v>25011</v>
      </c>
      <c r="D42500" s="21" t="s">
        <v>24820</v>
      </c>
      <c r="E42500" s="21" t="s">
        <v>71</v>
      </c>
      <c r="F42500">
        <v>10160085</v>
      </c>
      <c r="G42500" t="s">
        <v>10818</v>
      </c>
      <c r="H42500" s="21">
        <v>472.17</v>
      </c>
    </row>
    <row r="42501" spans="1:8" customFormat="1" x14ac:dyDescent="0.25">
      <c r="A42501" t="str">
        <f>"7637061"</f>
        <v>7637061</v>
      </c>
      <c r="B42501" t="s">
        <v>18208</v>
      </c>
      <c r="C42501" t="s">
        <v>25157</v>
      </c>
      <c r="D42501" s="21" t="s">
        <v>24820</v>
      </c>
      <c r="E42501" s="21" t="s">
        <v>71</v>
      </c>
      <c r="F42501">
        <v>9760256</v>
      </c>
      <c r="G42501" t="s">
        <v>4655</v>
      </c>
      <c r="H42501" s="21">
        <v>472</v>
      </c>
    </row>
    <row r="42502" spans="1:8" customFormat="1" x14ac:dyDescent="0.25">
      <c r="A42502" t="str">
        <f>"6217399"</f>
        <v>6217399</v>
      </c>
      <c r="B42502" t="s">
        <v>24051</v>
      </c>
      <c r="C42502" t="s">
        <v>24828</v>
      </c>
      <c r="D42502" s="21" t="s">
        <v>24820</v>
      </c>
      <c r="E42502" s="21" t="s">
        <v>35</v>
      </c>
      <c r="F42502">
        <v>7620181</v>
      </c>
      <c r="G42502" t="s">
        <v>2268</v>
      </c>
      <c r="H42502" s="21">
        <v>472</v>
      </c>
    </row>
    <row r="42503" spans="1:8" customFormat="1" x14ac:dyDescent="0.25">
      <c r="A42503" t="str">
        <f>"3534961"</f>
        <v>3534961</v>
      </c>
      <c r="B42503" t="s">
        <v>8807</v>
      </c>
      <c r="C42503" t="s">
        <v>22831</v>
      </c>
      <c r="D42503" s="21" t="s">
        <v>24820</v>
      </c>
      <c r="E42503" s="21" t="s">
        <v>35</v>
      </c>
      <c r="F42503">
        <v>3350212</v>
      </c>
      <c r="G42503" t="s">
        <v>5154</v>
      </c>
      <c r="H42503" s="21">
        <v>472</v>
      </c>
    </row>
    <row r="42504" spans="1:8" customFormat="1" x14ac:dyDescent="0.25">
      <c r="A42504" t="str">
        <f>"2810518"</f>
        <v>2810518</v>
      </c>
      <c r="B42504" t="s">
        <v>12979</v>
      </c>
      <c r="C42504" t="s">
        <v>25044</v>
      </c>
      <c r="D42504" s="21" t="s">
        <v>24820</v>
      </c>
      <c r="E42504" s="21" t="s">
        <v>6185</v>
      </c>
      <c r="F42504">
        <v>4280612</v>
      </c>
      <c r="G42504" t="s">
        <v>6809</v>
      </c>
      <c r="H42504" s="21">
        <v>472</v>
      </c>
    </row>
    <row r="42505" spans="1:8" customFormat="1" x14ac:dyDescent="0.25">
      <c r="A42505" t="str">
        <f>"3325860"</f>
        <v>3325860</v>
      </c>
      <c r="B42505" t="s">
        <v>18095</v>
      </c>
      <c r="C42505" t="s">
        <v>24926</v>
      </c>
      <c r="D42505" s="21" t="s">
        <v>24820</v>
      </c>
      <c r="E42505" s="21" t="s">
        <v>35</v>
      </c>
      <c r="F42505">
        <v>10330067</v>
      </c>
      <c r="G42505" t="s">
        <v>125</v>
      </c>
      <c r="H42505" s="21">
        <v>471.62</v>
      </c>
    </row>
    <row r="42506" spans="1:8" customFormat="1" x14ac:dyDescent="0.25">
      <c r="A42506" t="str">
        <f>"6912463"</f>
        <v>6912463</v>
      </c>
      <c r="B42506" t="s">
        <v>11373</v>
      </c>
      <c r="C42506" t="s">
        <v>24855</v>
      </c>
      <c r="D42506" s="21" t="s">
        <v>24820</v>
      </c>
      <c r="E42506" s="21" t="s">
        <v>254</v>
      </c>
      <c r="F42506">
        <v>1690160</v>
      </c>
      <c r="G42506" t="s">
        <v>4599</v>
      </c>
      <c r="H42506" s="21">
        <v>471.5</v>
      </c>
    </row>
    <row r="42507" spans="1:8" customFormat="1" x14ac:dyDescent="0.25">
      <c r="A42507" t="str">
        <f>"688331"</f>
        <v>688331</v>
      </c>
      <c r="B42507" t="s">
        <v>30094</v>
      </c>
      <c r="C42507" t="s">
        <v>25019</v>
      </c>
      <c r="D42507" s="21" t="s">
        <v>24820</v>
      </c>
      <c r="E42507" s="21" t="s">
        <v>35</v>
      </c>
      <c r="F42507">
        <v>6680091</v>
      </c>
      <c r="G42507" t="s">
        <v>693</v>
      </c>
      <c r="H42507" s="21">
        <v>471.5</v>
      </c>
    </row>
    <row r="42508" spans="1:8" customFormat="1" x14ac:dyDescent="0.25">
      <c r="A42508" t="str">
        <f>"5018796"</f>
        <v>5018796</v>
      </c>
      <c r="B42508" t="s">
        <v>9504</v>
      </c>
      <c r="C42508" t="s">
        <v>25451</v>
      </c>
      <c r="D42508" s="21" t="s">
        <v>24820</v>
      </c>
      <c r="E42508" s="21" t="s">
        <v>35</v>
      </c>
      <c r="F42508">
        <v>9500124</v>
      </c>
      <c r="G42508" t="s">
        <v>3726</v>
      </c>
      <c r="H42508" s="21">
        <v>471.5</v>
      </c>
    </row>
    <row r="42509" spans="1:8" customFormat="1" x14ac:dyDescent="0.25">
      <c r="A42509" t="str">
        <f>"4456023"</f>
        <v>4456023</v>
      </c>
      <c r="B42509" t="s">
        <v>30095</v>
      </c>
      <c r="C42509" t="s">
        <v>24833</v>
      </c>
      <c r="D42509" s="21" t="s">
        <v>24820</v>
      </c>
      <c r="E42509" s="21" t="s">
        <v>254</v>
      </c>
      <c r="F42509">
        <v>12440049</v>
      </c>
      <c r="G42509" t="s">
        <v>3339</v>
      </c>
      <c r="H42509" s="21">
        <v>471.5</v>
      </c>
    </row>
    <row r="42510" spans="1:8" customFormat="1" x14ac:dyDescent="0.25">
      <c r="A42510" t="str">
        <f>"368239"</f>
        <v>368239</v>
      </c>
      <c r="B42510" t="s">
        <v>7664</v>
      </c>
      <c r="C42510" t="s">
        <v>24890</v>
      </c>
      <c r="D42510" s="21" t="s">
        <v>24820</v>
      </c>
      <c r="E42510" s="21" t="s">
        <v>254</v>
      </c>
      <c r="F42510">
        <v>4360454</v>
      </c>
      <c r="G42510" t="s">
        <v>637</v>
      </c>
      <c r="H42510" s="21">
        <v>471.38</v>
      </c>
    </row>
    <row r="42511" spans="1:8" customFormat="1" x14ac:dyDescent="0.25">
      <c r="A42511" t="str">
        <f>"823815"</f>
        <v>823815</v>
      </c>
      <c r="B42511" t="s">
        <v>22472</v>
      </c>
      <c r="C42511" t="s">
        <v>24927</v>
      </c>
      <c r="D42511" s="21" t="s">
        <v>24820</v>
      </c>
      <c r="E42511" s="21" t="s">
        <v>71</v>
      </c>
      <c r="F42511">
        <v>11820031</v>
      </c>
      <c r="G42511" t="s">
        <v>18667</v>
      </c>
      <c r="H42511" s="21">
        <v>471</v>
      </c>
    </row>
    <row r="42512" spans="1:8" customFormat="1" x14ac:dyDescent="0.25">
      <c r="A42512" t="str">
        <f>"8316087"</f>
        <v>8316087</v>
      </c>
      <c r="B42512" t="s">
        <v>30096</v>
      </c>
      <c r="C42512" t="s">
        <v>25247</v>
      </c>
      <c r="D42512" s="21" t="s">
        <v>24820</v>
      </c>
      <c r="E42512" s="21" t="s">
        <v>71</v>
      </c>
      <c r="F42512">
        <v>13830025</v>
      </c>
      <c r="G42512" t="s">
        <v>106</v>
      </c>
      <c r="H42512" s="21">
        <v>471</v>
      </c>
    </row>
    <row r="42513" spans="1:8" customFormat="1" x14ac:dyDescent="0.25">
      <c r="A42513" t="str">
        <f>"406204"</f>
        <v>406204</v>
      </c>
      <c r="B42513" t="s">
        <v>10820</v>
      </c>
      <c r="C42513" t="s">
        <v>24824</v>
      </c>
      <c r="D42513" s="21" t="s">
        <v>24820</v>
      </c>
      <c r="E42513" s="21" t="s">
        <v>35</v>
      </c>
      <c r="F42513">
        <v>10400026</v>
      </c>
      <c r="G42513" t="s">
        <v>9919</v>
      </c>
      <c r="H42513" s="21">
        <v>471</v>
      </c>
    </row>
    <row r="42514" spans="1:8" customFormat="1" x14ac:dyDescent="0.25">
      <c r="A42514" t="str">
        <f>"7638372"</f>
        <v>7638372</v>
      </c>
      <c r="B42514" t="s">
        <v>26223</v>
      </c>
      <c r="C42514" t="s">
        <v>24932</v>
      </c>
      <c r="D42514" s="21" t="s">
        <v>24820</v>
      </c>
      <c r="E42514" s="21" t="s">
        <v>35</v>
      </c>
      <c r="F42514">
        <v>9760230</v>
      </c>
      <c r="G42514" t="s">
        <v>12511</v>
      </c>
      <c r="H42514" s="21">
        <v>471</v>
      </c>
    </row>
    <row r="42515" spans="1:8" customFormat="1" x14ac:dyDescent="0.25">
      <c r="A42515" t="str">
        <f>"453856"</f>
        <v>453856</v>
      </c>
      <c r="B42515" t="s">
        <v>25662</v>
      </c>
      <c r="C42515" t="s">
        <v>25200</v>
      </c>
      <c r="D42515" s="21" t="s">
        <v>24820</v>
      </c>
      <c r="E42515" s="21" t="s">
        <v>1089</v>
      </c>
      <c r="F42515">
        <v>12850001</v>
      </c>
      <c r="G42515" t="s">
        <v>1197</v>
      </c>
      <c r="H42515" s="21">
        <v>471</v>
      </c>
    </row>
    <row r="42516" spans="1:8" customFormat="1" x14ac:dyDescent="0.25">
      <c r="A42516" t="str">
        <f>"7876729"</f>
        <v>7876729</v>
      </c>
      <c r="B42516" t="s">
        <v>26133</v>
      </c>
      <c r="C42516" t="s">
        <v>24838</v>
      </c>
      <c r="D42516" s="21" t="s">
        <v>24820</v>
      </c>
      <c r="E42516" s="21" t="s">
        <v>35</v>
      </c>
      <c r="F42516">
        <v>8780627</v>
      </c>
      <c r="G42516" t="s">
        <v>6097</v>
      </c>
      <c r="H42516" s="21">
        <v>470.88</v>
      </c>
    </row>
    <row r="42517" spans="1:8" customFormat="1" x14ac:dyDescent="0.25">
      <c r="A42517" t="str">
        <f>"5983519"</f>
        <v>5983519</v>
      </c>
      <c r="B42517" t="s">
        <v>12643</v>
      </c>
      <c r="C42517" t="s">
        <v>23734</v>
      </c>
      <c r="D42517" s="21" t="s">
        <v>24820</v>
      </c>
      <c r="E42517" s="21" t="s">
        <v>35</v>
      </c>
      <c r="F42517">
        <v>7590014</v>
      </c>
      <c r="G42517" t="s">
        <v>1326</v>
      </c>
      <c r="H42517" s="21">
        <v>470.5</v>
      </c>
    </row>
    <row r="42518" spans="1:8" customFormat="1" x14ac:dyDescent="0.25">
      <c r="A42518" t="str">
        <f>"6948331"</f>
        <v>6948331</v>
      </c>
      <c r="B42518" t="s">
        <v>30097</v>
      </c>
      <c r="C42518" t="s">
        <v>24927</v>
      </c>
      <c r="D42518" s="21" t="s">
        <v>24820</v>
      </c>
      <c r="E42518" s="21" t="s">
        <v>254</v>
      </c>
      <c r="F42518">
        <v>1690109</v>
      </c>
      <c r="G42518" t="s">
        <v>3028</v>
      </c>
      <c r="H42518" s="21">
        <v>470.5</v>
      </c>
    </row>
    <row r="42519" spans="1:8" customFormat="1" x14ac:dyDescent="0.25">
      <c r="A42519" t="str">
        <f>"7519885"</f>
        <v>7519885</v>
      </c>
      <c r="B42519" t="s">
        <v>26003</v>
      </c>
      <c r="C42519" t="s">
        <v>26004</v>
      </c>
      <c r="D42519" s="21" t="s">
        <v>24820</v>
      </c>
      <c r="E42519" s="21" t="s">
        <v>35</v>
      </c>
      <c r="F42519">
        <v>8751260</v>
      </c>
      <c r="G42519" t="s">
        <v>10641</v>
      </c>
      <c r="H42519" s="21">
        <v>470.5</v>
      </c>
    </row>
    <row r="42520" spans="1:8" customFormat="1" x14ac:dyDescent="0.25">
      <c r="A42520" t="str">
        <f>"6022295"</f>
        <v>6022295</v>
      </c>
      <c r="B42520" t="s">
        <v>25676</v>
      </c>
      <c r="C42520" t="s">
        <v>24828</v>
      </c>
      <c r="D42520" s="21" t="s">
        <v>24820</v>
      </c>
      <c r="E42520" s="21" t="s">
        <v>71</v>
      </c>
      <c r="F42520">
        <v>7600018</v>
      </c>
      <c r="G42520" t="s">
        <v>5838</v>
      </c>
      <c r="H42520" s="21">
        <v>470.42</v>
      </c>
    </row>
    <row r="42521" spans="1:8" customFormat="1" x14ac:dyDescent="0.25">
      <c r="A42521" t="str">
        <f>"367544"</f>
        <v>367544</v>
      </c>
      <c r="B42521" t="s">
        <v>26206</v>
      </c>
      <c r="C42521" t="s">
        <v>26207</v>
      </c>
      <c r="D42521" s="21" t="s">
        <v>24820</v>
      </c>
      <c r="E42521" s="21" t="s">
        <v>35</v>
      </c>
      <c r="F42521">
        <v>4360725</v>
      </c>
      <c r="G42521" t="s">
        <v>11151</v>
      </c>
      <c r="H42521" s="21">
        <v>470.25</v>
      </c>
    </row>
    <row r="42522" spans="1:8" customFormat="1" x14ac:dyDescent="0.25">
      <c r="A42522" t="str">
        <f>"5621880"</f>
        <v>5621880</v>
      </c>
      <c r="B42522" t="s">
        <v>16847</v>
      </c>
      <c r="C42522" t="s">
        <v>24968</v>
      </c>
      <c r="D42522" s="21" t="s">
        <v>24820</v>
      </c>
      <c r="E42522" s="21" t="s">
        <v>71</v>
      </c>
      <c r="F42522">
        <v>3560050</v>
      </c>
      <c r="G42522" t="s">
        <v>5322</v>
      </c>
      <c r="H42522" s="21">
        <v>470</v>
      </c>
    </row>
    <row r="42523" spans="1:8" customFormat="1" x14ac:dyDescent="0.25">
      <c r="A42523" t="str">
        <f>"4455199"</f>
        <v>4455199</v>
      </c>
      <c r="B42523" t="s">
        <v>28234</v>
      </c>
      <c r="C42523" t="s">
        <v>24888</v>
      </c>
      <c r="D42523" s="21" t="s">
        <v>24820</v>
      </c>
      <c r="E42523" s="21" t="s">
        <v>71</v>
      </c>
      <c r="F42523">
        <v>12440029</v>
      </c>
      <c r="G42523" t="s">
        <v>567</v>
      </c>
      <c r="H42523" s="21">
        <v>470</v>
      </c>
    </row>
    <row r="42524" spans="1:8" customFormat="1" x14ac:dyDescent="0.25">
      <c r="A42524" t="str">
        <f>"1717047"</f>
        <v>1717047</v>
      </c>
      <c r="B42524" t="s">
        <v>26279</v>
      </c>
      <c r="C42524" t="s">
        <v>25313</v>
      </c>
      <c r="D42524" s="21" t="s">
        <v>24820</v>
      </c>
      <c r="E42524" s="21" t="s">
        <v>35</v>
      </c>
      <c r="F42524">
        <v>10170214</v>
      </c>
      <c r="G42524" t="s">
        <v>5533</v>
      </c>
      <c r="H42524" s="21">
        <v>470</v>
      </c>
    </row>
    <row r="42525" spans="1:8" customFormat="1" x14ac:dyDescent="0.25">
      <c r="A42525" t="str">
        <f>"5020335"</f>
        <v>5020335</v>
      </c>
      <c r="B42525" t="s">
        <v>24816</v>
      </c>
      <c r="C42525" t="s">
        <v>24947</v>
      </c>
      <c r="D42525" s="21" t="s">
        <v>24820</v>
      </c>
      <c r="E42525" s="21" t="s">
        <v>35</v>
      </c>
      <c r="F42525">
        <v>9500011</v>
      </c>
      <c r="G42525" t="s">
        <v>4903</v>
      </c>
      <c r="H42525" s="21">
        <v>470</v>
      </c>
    </row>
    <row r="42526" spans="1:8" customFormat="1" x14ac:dyDescent="0.25">
      <c r="A42526" t="str">
        <f>"7618299"</f>
        <v>7618299</v>
      </c>
      <c r="B42526" t="s">
        <v>25749</v>
      </c>
      <c r="C42526" t="s">
        <v>25281</v>
      </c>
      <c r="D42526" s="21" t="s">
        <v>24820</v>
      </c>
      <c r="E42526" s="21" t="s">
        <v>1089</v>
      </c>
      <c r="F42526">
        <v>9760018</v>
      </c>
      <c r="G42526" t="s">
        <v>117</v>
      </c>
      <c r="H42526" s="21">
        <v>470</v>
      </c>
    </row>
    <row r="42527" spans="1:8" customFormat="1" x14ac:dyDescent="0.25">
      <c r="A42527" t="str">
        <f>"7921446"</f>
        <v>7921446</v>
      </c>
      <c r="B42527" t="s">
        <v>23439</v>
      </c>
      <c r="C42527" t="s">
        <v>25188</v>
      </c>
      <c r="D42527" s="21" t="s">
        <v>24820</v>
      </c>
      <c r="E42527" s="21" t="s">
        <v>35</v>
      </c>
      <c r="F42527">
        <v>10790235</v>
      </c>
      <c r="G42527" t="s">
        <v>413</v>
      </c>
      <c r="H42527" s="21">
        <v>470</v>
      </c>
    </row>
    <row r="42528" spans="1:8" customFormat="1" x14ac:dyDescent="0.25">
      <c r="A42528" t="str">
        <f>"461668"</f>
        <v>461668</v>
      </c>
      <c r="B42528" t="s">
        <v>14868</v>
      </c>
      <c r="C42528" t="s">
        <v>22831</v>
      </c>
      <c r="D42528" s="21" t="s">
        <v>24820</v>
      </c>
      <c r="E42528" s="21" t="s">
        <v>71</v>
      </c>
      <c r="F42528">
        <v>11460028</v>
      </c>
      <c r="G42528" t="s">
        <v>5243</v>
      </c>
      <c r="H42528" s="21">
        <v>469.88</v>
      </c>
    </row>
    <row r="42529" spans="1:8" customFormat="1" x14ac:dyDescent="0.25">
      <c r="A42529" t="str">
        <f>"9125042"</f>
        <v>9125042</v>
      </c>
      <c r="B42529" t="s">
        <v>6126</v>
      </c>
      <c r="C42529" t="s">
        <v>24852</v>
      </c>
      <c r="D42529" s="21" t="s">
        <v>24820</v>
      </c>
      <c r="E42529" s="21" t="s">
        <v>254</v>
      </c>
      <c r="F42529">
        <v>8910004</v>
      </c>
      <c r="G42529" t="s">
        <v>9637</v>
      </c>
      <c r="H42529" s="21">
        <v>469.75</v>
      </c>
    </row>
    <row r="42530" spans="1:8" customFormat="1" x14ac:dyDescent="0.25">
      <c r="A42530" t="str">
        <f>"9530827"</f>
        <v>9530827</v>
      </c>
      <c r="B42530" t="s">
        <v>22793</v>
      </c>
      <c r="C42530" t="s">
        <v>23734</v>
      </c>
      <c r="D42530" s="21" t="s">
        <v>24820</v>
      </c>
      <c r="E42530" s="21" t="s">
        <v>71</v>
      </c>
      <c r="F42530">
        <v>8951261</v>
      </c>
      <c r="G42530" t="s">
        <v>920</v>
      </c>
      <c r="H42530" s="21">
        <v>469.5</v>
      </c>
    </row>
    <row r="42531" spans="1:8" customFormat="1" x14ac:dyDescent="0.25">
      <c r="A42531" t="str">
        <f>"6948647"</f>
        <v>6948647</v>
      </c>
      <c r="B42531" t="s">
        <v>26157</v>
      </c>
      <c r="C42531" t="s">
        <v>26158</v>
      </c>
      <c r="D42531" s="21" t="s">
        <v>24820</v>
      </c>
      <c r="E42531" s="21" t="s">
        <v>35</v>
      </c>
      <c r="F42531">
        <v>1690186</v>
      </c>
      <c r="G42531" t="s">
        <v>438</v>
      </c>
      <c r="H42531" s="21">
        <v>469</v>
      </c>
    </row>
    <row r="42532" spans="1:8" customFormat="1" x14ac:dyDescent="0.25">
      <c r="A42532" t="str">
        <f>"7716138"</f>
        <v>7716138</v>
      </c>
      <c r="B42532" t="s">
        <v>30098</v>
      </c>
      <c r="C42532" t="s">
        <v>25138</v>
      </c>
      <c r="D42532" s="21" t="s">
        <v>24820</v>
      </c>
      <c r="E42532" s="21" t="s">
        <v>35</v>
      </c>
      <c r="F42532">
        <v>8771236</v>
      </c>
      <c r="G42532" t="s">
        <v>386</v>
      </c>
      <c r="H42532" s="21">
        <v>469</v>
      </c>
    </row>
    <row r="42533" spans="1:8" customFormat="1" x14ac:dyDescent="0.25">
      <c r="A42533" t="str">
        <f>"5326721"</f>
        <v>5326721</v>
      </c>
      <c r="B42533" t="s">
        <v>556</v>
      </c>
      <c r="C42533" t="s">
        <v>24884</v>
      </c>
      <c r="D42533" s="21" t="s">
        <v>24820</v>
      </c>
      <c r="E42533" s="21" t="s">
        <v>35</v>
      </c>
      <c r="F42533">
        <v>12530017</v>
      </c>
      <c r="G42533" t="s">
        <v>307</v>
      </c>
      <c r="H42533" s="21">
        <v>469</v>
      </c>
    </row>
    <row r="42534" spans="1:8" customFormat="1" x14ac:dyDescent="0.25">
      <c r="A42534" t="str">
        <f>"7879037"</f>
        <v>7879037</v>
      </c>
      <c r="B42534" t="s">
        <v>30099</v>
      </c>
      <c r="C42534" t="s">
        <v>24831</v>
      </c>
      <c r="D42534" s="21" t="s">
        <v>24820</v>
      </c>
      <c r="E42534" s="21" t="s">
        <v>71</v>
      </c>
      <c r="F42534">
        <v>8781176</v>
      </c>
      <c r="G42534" t="s">
        <v>3659</v>
      </c>
      <c r="H42534" s="21">
        <v>469</v>
      </c>
    </row>
    <row r="42535" spans="1:8" customFormat="1" x14ac:dyDescent="0.25">
      <c r="A42535" t="str">
        <f>"4458533"</f>
        <v>4458533</v>
      </c>
      <c r="B42535" t="s">
        <v>67</v>
      </c>
      <c r="C42535" t="s">
        <v>24824</v>
      </c>
      <c r="D42535" s="21" t="s">
        <v>24820</v>
      </c>
      <c r="E42535" s="21" t="s">
        <v>35</v>
      </c>
      <c r="F42535">
        <v>12440227</v>
      </c>
      <c r="G42535" t="s">
        <v>19150</v>
      </c>
      <c r="H42535" s="21">
        <v>469</v>
      </c>
    </row>
    <row r="42536" spans="1:8" customFormat="1" x14ac:dyDescent="0.25">
      <c r="A42536" t="str">
        <f>"7511565"</f>
        <v>7511565</v>
      </c>
      <c r="B42536" t="s">
        <v>14684</v>
      </c>
      <c r="C42536" t="s">
        <v>25166</v>
      </c>
      <c r="D42536" s="21" t="s">
        <v>24820</v>
      </c>
      <c r="E42536" s="21" t="s">
        <v>1089</v>
      </c>
      <c r="F42536">
        <v>10170050</v>
      </c>
      <c r="G42536" t="s">
        <v>2514</v>
      </c>
      <c r="H42536" s="21">
        <v>468.5</v>
      </c>
    </row>
    <row r="42537" spans="1:8" customFormat="1" x14ac:dyDescent="0.25">
      <c r="A42537" t="str">
        <f>"5324865"</f>
        <v>5324865</v>
      </c>
      <c r="B42537" t="s">
        <v>26337</v>
      </c>
      <c r="C42537" t="s">
        <v>24962</v>
      </c>
      <c r="D42537" s="21" t="s">
        <v>24820</v>
      </c>
      <c r="E42537" s="21" t="s">
        <v>35</v>
      </c>
      <c r="F42537">
        <v>12530064</v>
      </c>
      <c r="G42537" t="s">
        <v>3699</v>
      </c>
      <c r="H42537" s="21">
        <v>468.5</v>
      </c>
    </row>
    <row r="42538" spans="1:8" customFormat="1" x14ac:dyDescent="0.25">
      <c r="A42538" t="str">
        <f>"897889"</f>
        <v>897889</v>
      </c>
      <c r="B42538" t="s">
        <v>25994</v>
      </c>
      <c r="C42538" t="s">
        <v>24889</v>
      </c>
      <c r="D42538" s="21" t="s">
        <v>24820</v>
      </c>
      <c r="E42538" s="21" t="s">
        <v>35</v>
      </c>
      <c r="F42538">
        <v>2890059</v>
      </c>
      <c r="G42538" t="s">
        <v>26651</v>
      </c>
      <c r="H42538" s="21">
        <v>468.25</v>
      </c>
    </row>
    <row r="42539" spans="1:8" customFormat="1" x14ac:dyDescent="0.25">
      <c r="A42539" t="str">
        <f>"7730984"</f>
        <v>7730984</v>
      </c>
      <c r="B42539" t="s">
        <v>30100</v>
      </c>
      <c r="C42539" t="s">
        <v>24915</v>
      </c>
      <c r="D42539" s="21" t="s">
        <v>24820</v>
      </c>
      <c r="E42539" s="21" t="s">
        <v>35</v>
      </c>
      <c r="F42539">
        <v>8770237</v>
      </c>
      <c r="G42539" t="s">
        <v>128</v>
      </c>
      <c r="H42539" s="21">
        <v>468.12</v>
      </c>
    </row>
    <row r="42540" spans="1:8" customFormat="1" x14ac:dyDescent="0.25">
      <c r="A42540" t="str">
        <f>"8527952"</f>
        <v>8527952</v>
      </c>
      <c r="B42540" t="s">
        <v>17074</v>
      </c>
      <c r="C42540" t="s">
        <v>25646</v>
      </c>
      <c r="D42540" s="21" t="s">
        <v>24820</v>
      </c>
      <c r="E42540" s="21" t="s">
        <v>35</v>
      </c>
      <c r="F42540">
        <v>12850134</v>
      </c>
      <c r="G42540" t="s">
        <v>2359</v>
      </c>
      <c r="H42540" s="21">
        <v>468</v>
      </c>
    </row>
    <row r="42541" spans="1:8" customFormat="1" x14ac:dyDescent="0.25">
      <c r="A42541" t="str">
        <f>"7114089"</f>
        <v>7114089</v>
      </c>
      <c r="B42541" t="s">
        <v>30101</v>
      </c>
      <c r="C42541" t="s">
        <v>30102</v>
      </c>
      <c r="D42541" s="21" t="s">
        <v>24820</v>
      </c>
      <c r="E42541" s="21" t="s">
        <v>35</v>
      </c>
      <c r="F42541">
        <v>2710083</v>
      </c>
      <c r="G42541" t="s">
        <v>17590</v>
      </c>
      <c r="H42541" s="21">
        <v>468</v>
      </c>
    </row>
    <row r="42542" spans="1:8" customFormat="1" x14ac:dyDescent="0.25">
      <c r="A42542" t="str">
        <f>"6944149"</f>
        <v>6944149</v>
      </c>
      <c r="B42542" t="s">
        <v>26227</v>
      </c>
      <c r="C42542" t="s">
        <v>25157</v>
      </c>
      <c r="D42542" s="21" t="s">
        <v>24820</v>
      </c>
      <c r="E42542" s="21" t="s">
        <v>254</v>
      </c>
      <c r="F42542">
        <v>1690090</v>
      </c>
      <c r="G42542" t="s">
        <v>6286</v>
      </c>
      <c r="H42542" s="21">
        <v>467</v>
      </c>
    </row>
    <row r="42543" spans="1:8" customFormat="1" x14ac:dyDescent="0.25">
      <c r="A42543" t="str">
        <f>"2712401"</f>
        <v>2712401</v>
      </c>
      <c r="B42543" t="s">
        <v>26121</v>
      </c>
      <c r="C42543" t="s">
        <v>25124</v>
      </c>
      <c r="D42543" s="21" t="s">
        <v>24820</v>
      </c>
      <c r="E42543" s="21" t="s">
        <v>35</v>
      </c>
      <c r="F42543">
        <v>4370637</v>
      </c>
      <c r="G42543" t="s">
        <v>3941</v>
      </c>
      <c r="H42543" s="21">
        <v>467</v>
      </c>
    </row>
    <row r="42544" spans="1:8" customFormat="1" x14ac:dyDescent="0.25">
      <c r="A42544" t="str">
        <f>"2717111"</f>
        <v>2717111</v>
      </c>
      <c r="B42544" t="s">
        <v>4515</v>
      </c>
      <c r="C42544" t="s">
        <v>25008</v>
      </c>
      <c r="D42544" s="21" t="s">
        <v>24820</v>
      </c>
      <c r="E42544" s="21" t="s">
        <v>254</v>
      </c>
      <c r="F42544">
        <v>9270071</v>
      </c>
      <c r="G42544" t="s">
        <v>7815</v>
      </c>
      <c r="H42544" s="21">
        <v>467</v>
      </c>
    </row>
    <row r="42545" spans="1:8" customFormat="1" x14ac:dyDescent="0.25">
      <c r="A42545" t="str">
        <f>"0612357"</f>
        <v>0612357</v>
      </c>
      <c r="B42545" t="s">
        <v>18604</v>
      </c>
      <c r="C42545" t="s">
        <v>25650</v>
      </c>
      <c r="D42545" s="21" t="s">
        <v>24820</v>
      </c>
      <c r="E42545" s="21" t="s">
        <v>35</v>
      </c>
      <c r="F42545">
        <v>13060008</v>
      </c>
      <c r="G42545" t="s">
        <v>36</v>
      </c>
      <c r="H42545" s="21">
        <v>467</v>
      </c>
    </row>
    <row r="42546" spans="1:8" customFormat="1" x14ac:dyDescent="0.25">
      <c r="A42546" t="str">
        <f>"5982824"</f>
        <v>5982824</v>
      </c>
      <c r="B42546" t="s">
        <v>30103</v>
      </c>
      <c r="C42546" t="s">
        <v>24953</v>
      </c>
      <c r="D42546" s="21" t="s">
        <v>24820</v>
      </c>
      <c r="E42546" s="21" t="s">
        <v>71</v>
      </c>
      <c r="F42546">
        <v>7590259</v>
      </c>
      <c r="G42546" t="s">
        <v>6385</v>
      </c>
      <c r="H42546" s="21">
        <v>467</v>
      </c>
    </row>
    <row r="42547" spans="1:8" customFormat="1" x14ac:dyDescent="0.25">
      <c r="A42547" t="str">
        <f>"7871634"</f>
        <v>7871634</v>
      </c>
      <c r="B42547" t="s">
        <v>30104</v>
      </c>
      <c r="C42547" t="s">
        <v>24867</v>
      </c>
      <c r="D42547" s="21" t="s">
        <v>24820</v>
      </c>
      <c r="E42547" s="21" t="s">
        <v>35</v>
      </c>
      <c r="F42547">
        <v>8781144</v>
      </c>
      <c r="G42547" t="s">
        <v>4714</v>
      </c>
      <c r="H42547" s="21">
        <v>467</v>
      </c>
    </row>
    <row r="42548" spans="1:8" customFormat="1" x14ac:dyDescent="0.25">
      <c r="A42548" t="str">
        <f>"992396"</f>
        <v>992396</v>
      </c>
      <c r="B42548" t="s">
        <v>29189</v>
      </c>
      <c r="C42548" t="s">
        <v>24867</v>
      </c>
      <c r="D42548" s="21" t="s">
        <v>24820</v>
      </c>
      <c r="E42548" s="21" t="s">
        <v>35</v>
      </c>
      <c r="F42548">
        <v>5990009</v>
      </c>
      <c r="G42548" t="s">
        <v>3127</v>
      </c>
      <c r="H42548" s="21">
        <v>466.25</v>
      </c>
    </row>
    <row r="42549" spans="1:8" customFormat="1" x14ac:dyDescent="0.25">
      <c r="A42549" t="str">
        <f>"3723638"</f>
        <v>3723638</v>
      </c>
      <c r="B42549" t="s">
        <v>24402</v>
      </c>
      <c r="C42549" t="s">
        <v>26050</v>
      </c>
      <c r="D42549" s="21" t="s">
        <v>24820</v>
      </c>
      <c r="E42549" s="21" t="s">
        <v>71</v>
      </c>
      <c r="F42549">
        <v>4370727</v>
      </c>
      <c r="G42549" t="s">
        <v>22531</v>
      </c>
      <c r="H42549" s="21">
        <v>466.12</v>
      </c>
    </row>
    <row r="42550" spans="1:8" customFormat="1" x14ac:dyDescent="0.25">
      <c r="A42550" t="str">
        <f>"196850"</f>
        <v>196850</v>
      </c>
      <c r="B42550" t="s">
        <v>26110</v>
      </c>
      <c r="C42550" t="s">
        <v>26111</v>
      </c>
      <c r="D42550" s="21" t="s">
        <v>24820</v>
      </c>
      <c r="E42550" s="21" t="s">
        <v>254</v>
      </c>
      <c r="F42550">
        <v>10190133</v>
      </c>
      <c r="G42550" t="s">
        <v>13392</v>
      </c>
      <c r="H42550" s="21">
        <v>466</v>
      </c>
    </row>
    <row r="42551" spans="1:8" customFormat="1" x14ac:dyDescent="0.25">
      <c r="A42551" t="str">
        <f>"199542"</f>
        <v>199542</v>
      </c>
      <c r="B42551" t="s">
        <v>2795</v>
      </c>
      <c r="C42551" t="s">
        <v>24953</v>
      </c>
      <c r="D42551" s="21" t="s">
        <v>24820</v>
      </c>
      <c r="E42551" s="21" t="s">
        <v>35</v>
      </c>
      <c r="F42551">
        <v>10190133</v>
      </c>
      <c r="G42551" t="s">
        <v>13392</v>
      </c>
      <c r="H42551" s="21">
        <v>466</v>
      </c>
    </row>
    <row r="42552" spans="1:8" customFormat="1" x14ac:dyDescent="0.25">
      <c r="A42552" t="str">
        <f>"9458632"</f>
        <v>9458632</v>
      </c>
      <c r="B42552" t="s">
        <v>2317</v>
      </c>
      <c r="C42552" t="s">
        <v>24877</v>
      </c>
      <c r="D42552" s="21" t="s">
        <v>24820</v>
      </c>
      <c r="E42552" s="21" t="s">
        <v>71</v>
      </c>
      <c r="F42552">
        <v>8940894</v>
      </c>
      <c r="G42552" t="s">
        <v>481</v>
      </c>
      <c r="H42552" s="21">
        <v>466</v>
      </c>
    </row>
    <row r="42553" spans="1:8" customFormat="1" x14ac:dyDescent="0.25">
      <c r="A42553" t="str">
        <f>"6313989"</f>
        <v>6313989</v>
      </c>
      <c r="B42553" t="s">
        <v>26249</v>
      </c>
      <c r="C42553" t="s">
        <v>24889</v>
      </c>
      <c r="D42553" s="21" t="s">
        <v>24820</v>
      </c>
      <c r="E42553" s="21" t="s">
        <v>35</v>
      </c>
      <c r="F42553">
        <v>1630332</v>
      </c>
      <c r="G42553" t="s">
        <v>27136</v>
      </c>
      <c r="H42553" s="21">
        <v>466</v>
      </c>
    </row>
    <row r="42554" spans="1:8" customFormat="1" x14ac:dyDescent="0.25">
      <c r="A42554" t="str">
        <f>"7879506"</f>
        <v>7879506</v>
      </c>
      <c r="B42554" t="s">
        <v>2576</v>
      </c>
      <c r="C42554" t="s">
        <v>24962</v>
      </c>
      <c r="D42554" s="21" t="s">
        <v>24820</v>
      </c>
      <c r="E42554" s="21" t="s">
        <v>71</v>
      </c>
      <c r="F42554">
        <v>8780338</v>
      </c>
      <c r="G42554" t="s">
        <v>4145</v>
      </c>
      <c r="H42554" s="21">
        <v>465.75</v>
      </c>
    </row>
    <row r="42555" spans="1:8" customFormat="1" x14ac:dyDescent="0.25">
      <c r="A42555" t="str">
        <f>"3341765"</f>
        <v>3341765</v>
      </c>
      <c r="B42555" t="s">
        <v>30105</v>
      </c>
      <c r="C42555" t="s">
        <v>30106</v>
      </c>
      <c r="D42555" s="21" t="s">
        <v>24820</v>
      </c>
      <c r="E42555" s="21" t="s">
        <v>35</v>
      </c>
      <c r="F42555">
        <v>10330099</v>
      </c>
      <c r="G42555" t="s">
        <v>10670</v>
      </c>
      <c r="H42555" s="21">
        <v>465</v>
      </c>
    </row>
    <row r="42556" spans="1:8" customFormat="1" x14ac:dyDescent="0.25">
      <c r="A42556" t="str">
        <f>"3014096"</f>
        <v>3014096</v>
      </c>
      <c r="B42556" t="s">
        <v>26297</v>
      </c>
      <c r="C42556" t="s">
        <v>24978</v>
      </c>
      <c r="D42556" s="21" t="s">
        <v>24820</v>
      </c>
      <c r="E42556" s="21" t="s">
        <v>254</v>
      </c>
      <c r="F42556">
        <v>11300023</v>
      </c>
      <c r="G42556" t="s">
        <v>2679</v>
      </c>
      <c r="H42556" s="21">
        <v>465</v>
      </c>
    </row>
    <row r="42557" spans="1:8" customFormat="1" x14ac:dyDescent="0.25">
      <c r="A42557" t="str">
        <f>"368197"</f>
        <v>368197</v>
      </c>
      <c r="B42557" t="s">
        <v>26179</v>
      </c>
      <c r="C42557" t="s">
        <v>23734</v>
      </c>
      <c r="D42557" s="21" t="s">
        <v>24820</v>
      </c>
      <c r="E42557" s="21" t="s">
        <v>35</v>
      </c>
      <c r="F42557">
        <v>4360721</v>
      </c>
      <c r="G42557" t="s">
        <v>11172</v>
      </c>
      <c r="H42557" s="21">
        <v>465</v>
      </c>
    </row>
    <row r="42558" spans="1:8" customFormat="1" x14ac:dyDescent="0.25">
      <c r="A42558" t="str">
        <f>"1614466"</f>
        <v>1614466</v>
      </c>
      <c r="B42558" t="s">
        <v>17972</v>
      </c>
      <c r="C42558" t="s">
        <v>24828</v>
      </c>
      <c r="D42558" s="21" t="s">
        <v>24820</v>
      </c>
      <c r="E42558" s="21" t="s">
        <v>35</v>
      </c>
      <c r="F42558">
        <v>10160196</v>
      </c>
      <c r="G42558" t="s">
        <v>13348</v>
      </c>
      <c r="H42558" s="21">
        <v>464.75</v>
      </c>
    </row>
    <row r="42559" spans="1:8" customFormat="1" x14ac:dyDescent="0.25">
      <c r="A42559" t="str">
        <f>"7637051"</f>
        <v>7637051</v>
      </c>
      <c r="B42559" t="s">
        <v>26329</v>
      </c>
      <c r="C42559" t="s">
        <v>24898</v>
      </c>
      <c r="D42559" s="21" t="s">
        <v>24820</v>
      </c>
      <c r="E42559" s="21" t="s">
        <v>254</v>
      </c>
      <c r="F42559">
        <v>9760414</v>
      </c>
      <c r="G42559" t="s">
        <v>142</v>
      </c>
      <c r="H42559" s="21">
        <v>464.5</v>
      </c>
    </row>
    <row r="42560" spans="1:8" customFormat="1" x14ac:dyDescent="0.25">
      <c r="A42560" t="str">
        <f>"3334959"</f>
        <v>3334959</v>
      </c>
      <c r="B42560" t="s">
        <v>9988</v>
      </c>
      <c r="C42560" t="s">
        <v>24867</v>
      </c>
      <c r="D42560" s="21" t="s">
        <v>24820</v>
      </c>
      <c r="E42560" s="21" t="s">
        <v>35</v>
      </c>
      <c r="F42560">
        <v>10330024</v>
      </c>
      <c r="G42560" t="s">
        <v>16744</v>
      </c>
      <c r="H42560" s="21">
        <v>464.5</v>
      </c>
    </row>
    <row r="42561" spans="1:8" customFormat="1" x14ac:dyDescent="0.25">
      <c r="A42561" t="str">
        <f>"5326666"</f>
        <v>5326666</v>
      </c>
      <c r="B42561" t="s">
        <v>4029</v>
      </c>
      <c r="C42561" t="s">
        <v>25020</v>
      </c>
      <c r="D42561" s="21" t="s">
        <v>24820</v>
      </c>
      <c r="E42561" s="21" t="s">
        <v>35</v>
      </c>
      <c r="F42561">
        <v>12530016</v>
      </c>
      <c r="G42561" t="s">
        <v>2069</v>
      </c>
      <c r="H42561" s="21">
        <v>464.5</v>
      </c>
    </row>
    <row r="42562" spans="1:8" customFormat="1" x14ac:dyDescent="0.25">
      <c r="A42562" t="str">
        <f>"2932051"</f>
        <v>2932051</v>
      </c>
      <c r="B42562" t="s">
        <v>26321</v>
      </c>
      <c r="C42562" t="s">
        <v>24926</v>
      </c>
      <c r="D42562" s="21" t="s">
        <v>24820</v>
      </c>
      <c r="E42562" s="21" t="s">
        <v>71</v>
      </c>
      <c r="F42562">
        <v>3290081</v>
      </c>
      <c r="G42562" t="s">
        <v>3819</v>
      </c>
      <c r="H42562" s="21">
        <v>464.5</v>
      </c>
    </row>
    <row r="42563" spans="1:8" customFormat="1" x14ac:dyDescent="0.25">
      <c r="A42563" t="str">
        <f>"7222248"</f>
        <v>7222248</v>
      </c>
      <c r="B42563" t="s">
        <v>30107</v>
      </c>
      <c r="C42563" t="s">
        <v>24865</v>
      </c>
      <c r="D42563" s="21" t="s">
        <v>24820</v>
      </c>
      <c r="E42563" s="21" t="s">
        <v>35</v>
      </c>
      <c r="F42563">
        <v>12720020</v>
      </c>
      <c r="G42563" t="s">
        <v>8402</v>
      </c>
      <c r="H42563" s="21">
        <v>464.5</v>
      </c>
    </row>
    <row r="42564" spans="1:8" customFormat="1" x14ac:dyDescent="0.25">
      <c r="A42564" t="str">
        <f>"051174"</f>
        <v>051174</v>
      </c>
      <c r="B42564" t="s">
        <v>26345</v>
      </c>
      <c r="C42564" t="s">
        <v>24973</v>
      </c>
      <c r="D42564" s="21" t="s">
        <v>24820</v>
      </c>
      <c r="E42564" s="21" t="s">
        <v>254</v>
      </c>
      <c r="F42564">
        <v>13050026</v>
      </c>
      <c r="G42564" t="s">
        <v>18179</v>
      </c>
      <c r="H42564" s="21">
        <v>464.38</v>
      </c>
    </row>
    <row r="42565" spans="1:8" customFormat="1" x14ac:dyDescent="0.25">
      <c r="A42565" t="str">
        <f>"614686"</f>
        <v>614686</v>
      </c>
      <c r="B42565" t="s">
        <v>26252</v>
      </c>
      <c r="C42565" t="s">
        <v>25008</v>
      </c>
      <c r="D42565" s="21" t="s">
        <v>24820</v>
      </c>
      <c r="E42565" s="21" t="s">
        <v>1089</v>
      </c>
      <c r="F42565">
        <v>9610129</v>
      </c>
      <c r="G42565" t="s">
        <v>11506</v>
      </c>
      <c r="H42565" s="21">
        <v>464</v>
      </c>
    </row>
    <row r="42566" spans="1:8" customFormat="1" x14ac:dyDescent="0.25">
      <c r="A42566" t="str">
        <f>"3427086"</f>
        <v>3427086</v>
      </c>
      <c r="B42566" t="s">
        <v>26850</v>
      </c>
      <c r="C42566" t="s">
        <v>25157</v>
      </c>
      <c r="D42566" s="21" t="s">
        <v>24820</v>
      </c>
      <c r="E42566" s="21" t="s">
        <v>71</v>
      </c>
      <c r="F42566">
        <v>11340067</v>
      </c>
      <c r="G42566" t="s">
        <v>2895</v>
      </c>
      <c r="H42566" s="21">
        <v>464</v>
      </c>
    </row>
    <row r="42567" spans="1:8" customFormat="1" x14ac:dyDescent="0.25">
      <c r="A42567" t="str">
        <f>"6946898"</f>
        <v>6946898</v>
      </c>
      <c r="B42567" t="s">
        <v>765</v>
      </c>
      <c r="C42567" t="s">
        <v>24897</v>
      </c>
      <c r="D42567" s="21" t="s">
        <v>24820</v>
      </c>
      <c r="E42567" s="21" t="s">
        <v>35</v>
      </c>
      <c r="F42567">
        <v>1690079</v>
      </c>
      <c r="G42567" t="s">
        <v>21342</v>
      </c>
      <c r="H42567" s="21">
        <v>463.75</v>
      </c>
    </row>
    <row r="42568" spans="1:8" customFormat="1" x14ac:dyDescent="0.25">
      <c r="A42568" t="str">
        <f>"2939495"</f>
        <v>2939495</v>
      </c>
      <c r="B42568" t="s">
        <v>23744</v>
      </c>
      <c r="C42568" t="s">
        <v>24686</v>
      </c>
      <c r="D42568" s="21" t="s">
        <v>24820</v>
      </c>
      <c r="E42568" s="21" t="s">
        <v>254</v>
      </c>
      <c r="F42568">
        <v>3290278</v>
      </c>
      <c r="G42568" t="s">
        <v>3649</v>
      </c>
      <c r="H42568" s="21">
        <v>463.5</v>
      </c>
    </row>
    <row r="42569" spans="1:8" customFormat="1" x14ac:dyDescent="0.25">
      <c r="A42569" t="str">
        <f>"8316808"</f>
        <v>8316808</v>
      </c>
      <c r="B42569" t="s">
        <v>30108</v>
      </c>
      <c r="C42569" t="s">
        <v>30109</v>
      </c>
      <c r="D42569" s="21" t="s">
        <v>24820</v>
      </c>
      <c r="E42569" s="21" t="s">
        <v>35</v>
      </c>
      <c r="F42569">
        <v>13830051</v>
      </c>
      <c r="G42569" t="s">
        <v>2031</v>
      </c>
      <c r="H42569" s="21">
        <v>463.5</v>
      </c>
    </row>
    <row r="42570" spans="1:8" customFormat="1" x14ac:dyDescent="0.25">
      <c r="A42570" t="str">
        <f>"5326955"</f>
        <v>5326955</v>
      </c>
      <c r="B42570" t="s">
        <v>1048</v>
      </c>
      <c r="C42570" t="s">
        <v>25120</v>
      </c>
      <c r="D42570" s="21" t="s">
        <v>24820</v>
      </c>
      <c r="E42570" s="21" t="s">
        <v>35</v>
      </c>
      <c r="F42570">
        <v>12530055</v>
      </c>
      <c r="G42570" t="s">
        <v>3814</v>
      </c>
      <c r="H42570" s="21">
        <v>463.5</v>
      </c>
    </row>
    <row r="42571" spans="1:8" customFormat="1" x14ac:dyDescent="0.25">
      <c r="A42571" t="str">
        <f>"707422"</f>
        <v>707422</v>
      </c>
      <c r="B42571" t="s">
        <v>16291</v>
      </c>
      <c r="C42571" t="s">
        <v>25546</v>
      </c>
      <c r="D42571" s="21" t="s">
        <v>24820</v>
      </c>
      <c r="E42571" s="21" t="s">
        <v>35</v>
      </c>
      <c r="F42571">
        <v>2700094</v>
      </c>
      <c r="G42571" t="s">
        <v>18448</v>
      </c>
      <c r="H42571" s="21">
        <v>463.5</v>
      </c>
    </row>
    <row r="42572" spans="1:8" customFormat="1" x14ac:dyDescent="0.25">
      <c r="A42572" t="str">
        <f>"2939706"</f>
        <v>2939706</v>
      </c>
      <c r="B42572" t="s">
        <v>1096</v>
      </c>
      <c r="C42572" t="s">
        <v>24915</v>
      </c>
      <c r="D42572" s="21" t="s">
        <v>24820</v>
      </c>
      <c r="E42572" s="21" t="s">
        <v>35</v>
      </c>
      <c r="F42572">
        <v>3290274</v>
      </c>
      <c r="G42572" t="s">
        <v>11751</v>
      </c>
      <c r="H42572" s="21">
        <v>463</v>
      </c>
    </row>
    <row r="42573" spans="1:8" customFormat="1" x14ac:dyDescent="0.25">
      <c r="A42573" t="str">
        <f>"7633580"</f>
        <v>7633580</v>
      </c>
      <c r="B42573" t="s">
        <v>5345</v>
      </c>
      <c r="C42573" t="s">
        <v>26212</v>
      </c>
      <c r="D42573" s="21" t="s">
        <v>24820</v>
      </c>
      <c r="E42573" s="21" t="s">
        <v>71</v>
      </c>
      <c r="F42573">
        <v>9760380</v>
      </c>
      <c r="G42573" t="s">
        <v>12973</v>
      </c>
      <c r="H42573" s="21">
        <v>463</v>
      </c>
    </row>
    <row r="42574" spans="1:8" customFormat="1" x14ac:dyDescent="0.25">
      <c r="A42574" t="str">
        <f>"4452995"</f>
        <v>4452995</v>
      </c>
      <c r="B42574" t="s">
        <v>30110</v>
      </c>
      <c r="C42574" t="s">
        <v>24968</v>
      </c>
      <c r="D42574" s="21" t="s">
        <v>24820</v>
      </c>
      <c r="E42574" s="21" t="s">
        <v>71</v>
      </c>
      <c r="F42574">
        <v>12440002</v>
      </c>
      <c r="G42574" t="s">
        <v>47</v>
      </c>
      <c r="H42574" s="21">
        <v>463</v>
      </c>
    </row>
    <row r="42575" spans="1:8" customFormat="1" x14ac:dyDescent="0.25">
      <c r="A42575" t="str">
        <f>"7871484"</f>
        <v>7871484</v>
      </c>
      <c r="B42575" t="s">
        <v>12535</v>
      </c>
      <c r="C42575" t="s">
        <v>23734</v>
      </c>
      <c r="D42575" s="21" t="s">
        <v>24820</v>
      </c>
      <c r="E42575" s="21" t="s">
        <v>71</v>
      </c>
      <c r="F42575">
        <v>8780571</v>
      </c>
      <c r="G42575" t="s">
        <v>2336</v>
      </c>
      <c r="H42575" s="21">
        <v>462.5</v>
      </c>
    </row>
    <row r="42576" spans="1:8" customFormat="1" x14ac:dyDescent="0.25">
      <c r="A42576" t="str">
        <f>"6949664"</f>
        <v>6949664</v>
      </c>
      <c r="B42576" t="s">
        <v>29204</v>
      </c>
      <c r="C42576" t="s">
        <v>24962</v>
      </c>
      <c r="D42576" s="21" t="s">
        <v>24820</v>
      </c>
      <c r="E42576" s="21" t="s">
        <v>71</v>
      </c>
      <c r="F42576">
        <v>1690207</v>
      </c>
      <c r="G42576" t="s">
        <v>4232</v>
      </c>
      <c r="H42576" s="21">
        <v>462.5</v>
      </c>
    </row>
    <row r="42577" spans="1:8" customFormat="1" x14ac:dyDescent="0.25">
      <c r="A42577" t="str">
        <f>"025905"</f>
        <v>025905</v>
      </c>
      <c r="B42577" t="s">
        <v>20721</v>
      </c>
      <c r="C42577" t="s">
        <v>25512</v>
      </c>
      <c r="D42577" s="21" t="s">
        <v>24820</v>
      </c>
      <c r="E42577" s="21" t="s">
        <v>254</v>
      </c>
      <c r="F42577">
        <v>7020044</v>
      </c>
      <c r="G42577" t="s">
        <v>4690</v>
      </c>
      <c r="H42577" s="21">
        <v>462.5</v>
      </c>
    </row>
    <row r="42578" spans="1:8" customFormat="1" x14ac:dyDescent="0.25">
      <c r="A42578" t="str">
        <f>"2111254"</f>
        <v>2111254</v>
      </c>
      <c r="B42578" t="s">
        <v>13377</v>
      </c>
      <c r="C42578" t="s">
        <v>24999</v>
      </c>
      <c r="D42578" s="21" t="s">
        <v>24820</v>
      </c>
      <c r="E42578" s="21" t="s">
        <v>35</v>
      </c>
      <c r="F42578">
        <v>2210101</v>
      </c>
      <c r="G42578" t="s">
        <v>1374</v>
      </c>
      <c r="H42578" s="21">
        <v>462.5</v>
      </c>
    </row>
    <row r="42579" spans="1:8" customFormat="1" x14ac:dyDescent="0.25">
      <c r="A42579" t="str">
        <f>"323787"</f>
        <v>323787</v>
      </c>
      <c r="B42579" t="s">
        <v>12467</v>
      </c>
      <c r="C42579" t="s">
        <v>24865</v>
      </c>
      <c r="D42579" s="21" t="s">
        <v>24820</v>
      </c>
      <c r="E42579" s="21" t="s">
        <v>71</v>
      </c>
      <c r="F42579">
        <v>11320005</v>
      </c>
      <c r="G42579" t="s">
        <v>120</v>
      </c>
      <c r="H42579" s="21">
        <v>462.25</v>
      </c>
    </row>
    <row r="42580" spans="1:8" customFormat="1" x14ac:dyDescent="0.25">
      <c r="A42580" t="str">
        <f>"7110103"</f>
        <v>7110103</v>
      </c>
      <c r="B42580" t="s">
        <v>26298</v>
      </c>
      <c r="C42580" t="s">
        <v>24855</v>
      </c>
      <c r="D42580" s="21" t="s">
        <v>24820</v>
      </c>
      <c r="E42580" s="21" t="s">
        <v>71</v>
      </c>
      <c r="F42580">
        <v>2710002</v>
      </c>
      <c r="G42580" t="s">
        <v>6838</v>
      </c>
      <c r="H42580" s="21">
        <v>462</v>
      </c>
    </row>
    <row r="42581" spans="1:8" customFormat="1" x14ac:dyDescent="0.25">
      <c r="A42581" t="str">
        <f>"6944195"</f>
        <v>6944195</v>
      </c>
      <c r="B42581" t="s">
        <v>9424</v>
      </c>
      <c r="C42581" t="s">
        <v>22831</v>
      </c>
      <c r="D42581" s="21" t="s">
        <v>24820</v>
      </c>
      <c r="E42581" s="21" t="s">
        <v>71</v>
      </c>
      <c r="F42581">
        <v>1690201</v>
      </c>
      <c r="G42581" t="s">
        <v>11274</v>
      </c>
      <c r="H42581" s="21">
        <v>462</v>
      </c>
    </row>
    <row r="42582" spans="1:8" customFormat="1" x14ac:dyDescent="0.25">
      <c r="A42582" t="str">
        <f>"7921390"</f>
        <v>7921390</v>
      </c>
      <c r="B42582" t="s">
        <v>8129</v>
      </c>
      <c r="C42582" t="s">
        <v>24893</v>
      </c>
      <c r="D42582" s="21" t="s">
        <v>24820</v>
      </c>
      <c r="E42582" s="21" t="s">
        <v>71</v>
      </c>
      <c r="F42582">
        <v>10790126</v>
      </c>
      <c r="G42582" t="s">
        <v>15019</v>
      </c>
      <c r="H42582" s="21">
        <v>462</v>
      </c>
    </row>
    <row r="42583" spans="1:8" customFormat="1" x14ac:dyDescent="0.25">
      <c r="A42583" t="str">
        <f>"7637791"</f>
        <v>7637791</v>
      </c>
      <c r="B42583" t="s">
        <v>19551</v>
      </c>
      <c r="C42583" t="s">
        <v>25053</v>
      </c>
      <c r="D42583" s="21" t="s">
        <v>24820</v>
      </c>
      <c r="E42583" s="21" t="s">
        <v>71</v>
      </c>
      <c r="F42583">
        <v>9760315</v>
      </c>
      <c r="G42583" t="s">
        <v>12345</v>
      </c>
      <c r="H42583" s="21">
        <v>462</v>
      </c>
    </row>
    <row r="42584" spans="1:8" customFormat="1" x14ac:dyDescent="0.25">
      <c r="A42584" t="str">
        <f>"899409"</f>
        <v>899409</v>
      </c>
      <c r="B42584" t="s">
        <v>30111</v>
      </c>
      <c r="C42584" t="s">
        <v>25019</v>
      </c>
      <c r="D42584" s="21" t="s">
        <v>24820</v>
      </c>
      <c r="E42584" s="21" t="s">
        <v>35</v>
      </c>
      <c r="F42584">
        <v>2890057</v>
      </c>
      <c r="G42584" t="s">
        <v>21398</v>
      </c>
      <c r="H42584" s="21">
        <v>462</v>
      </c>
    </row>
    <row r="42585" spans="1:8" customFormat="1" x14ac:dyDescent="0.25">
      <c r="A42585" t="str">
        <f>"8018193"</f>
        <v>8018193</v>
      </c>
      <c r="B42585" t="s">
        <v>26346</v>
      </c>
      <c r="C42585" t="s">
        <v>263</v>
      </c>
      <c r="D42585" s="21" t="s">
        <v>24820</v>
      </c>
      <c r="E42585" s="21" t="s">
        <v>71</v>
      </c>
      <c r="F42585">
        <v>7800156</v>
      </c>
      <c r="G42585" t="s">
        <v>12924</v>
      </c>
      <c r="H42585" s="21">
        <v>461.5</v>
      </c>
    </row>
    <row r="42586" spans="1:8" customFormat="1" x14ac:dyDescent="0.25">
      <c r="A42586" t="str">
        <f>"663472"</f>
        <v>663472</v>
      </c>
      <c r="B42586" t="s">
        <v>30112</v>
      </c>
      <c r="C42586" t="s">
        <v>24854</v>
      </c>
      <c r="D42586" s="21" t="s">
        <v>24820</v>
      </c>
      <c r="E42586" s="21" t="s">
        <v>35</v>
      </c>
      <c r="F42586">
        <v>11660001</v>
      </c>
      <c r="G42586" t="s">
        <v>8203</v>
      </c>
      <c r="H42586" s="21">
        <v>461.5</v>
      </c>
    </row>
    <row r="42587" spans="1:8" customFormat="1" x14ac:dyDescent="0.25">
      <c r="A42587" t="str">
        <f>"2515887"</f>
        <v>2515887</v>
      </c>
      <c r="B42587" t="s">
        <v>20466</v>
      </c>
      <c r="C42587" t="s">
        <v>23734</v>
      </c>
      <c r="D42587" s="21" t="s">
        <v>24820</v>
      </c>
      <c r="E42587" s="21" t="s">
        <v>71</v>
      </c>
      <c r="F42587">
        <v>2250059</v>
      </c>
      <c r="G42587" t="s">
        <v>10904</v>
      </c>
      <c r="H42587" s="21">
        <v>461.5</v>
      </c>
    </row>
    <row r="42588" spans="1:8" customFormat="1" x14ac:dyDescent="0.25">
      <c r="A42588" t="str">
        <f>"5982653"</f>
        <v>5982653</v>
      </c>
      <c r="B42588" t="s">
        <v>17123</v>
      </c>
      <c r="C42588" t="s">
        <v>24833</v>
      </c>
      <c r="D42588" s="21" t="s">
        <v>24820</v>
      </c>
      <c r="E42588" s="21" t="s">
        <v>35</v>
      </c>
      <c r="F42588">
        <v>7590122</v>
      </c>
      <c r="G42588" t="s">
        <v>5608</v>
      </c>
      <c r="H42588" s="21">
        <v>461.5</v>
      </c>
    </row>
    <row r="42589" spans="1:8" customFormat="1" x14ac:dyDescent="0.25">
      <c r="A42589" t="str">
        <f>"3014226"</f>
        <v>3014226</v>
      </c>
      <c r="B42589" t="s">
        <v>26210</v>
      </c>
      <c r="C42589" t="s">
        <v>24962</v>
      </c>
      <c r="D42589" s="21" t="s">
        <v>24820</v>
      </c>
      <c r="E42589" s="21" t="s">
        <v>254</v>
      </c>
      <c r="F42589">
        <v>11300022</v>
      </c>
      <c r="G42589" t="s">
        <v>22534</v>
      </c>
      <c r="H42589" s="21">
        <v>461.5</v>
      </c>
    </row>
    <row r="42590" spans="1:8" customFormat="1" x14ac:dyDescent="0.25">
      <c r="A42590" t="str">
        <f>"6021737"</f>
        <v>6021737</v>
      </c>
      <c r="B42590" t="s">
        <v>26317</v>
      </c>
      <c r="C42590" t="s">
        <v>24915</v>
      </c>
      <c r="D42590" s="21" t="s">
        <v>24820</v>
      </c>
      <c r="E42590" s="21" t="s">
        <v>35</v>
      </c>
      <c r="F42590">
        <v>7600054</v>
      </c>
      <c r="G42590" t="s">
        <v>1352</v>
      </c>
      <c r="H42590" s="21">
        <v>461.12</v>
      </c>
    </row>
    <row r="42591" spans="1:8" customFormat="1" x14ac:dyDescent="0.25">
      <c r="A42591" t="str">
        <f>"6022228"</f>
        <v>6022228</v>
      </c>
      <c r="B42591" t="s">
        <v>12023</v>
      </c>
      <c r="C42591" t="s">
        <v>24845</v>
      </c>
      <c r="D42591" s="21" t="s">
        <v>24820</v>
      </c>
      <c r="E42591" s="21" t="s">
        <v>35</v>
      </c>
      <c r="F42591">
        <v>7600169</v>
      </c>
      <c r="G42591" t="s">
        <v>9768</v>
      </c>
      <c r="H42591" s="21">
        <v>461.12</v>
      </c>
    </row>
    <row r="42592" spans="1:8" customFormat="1" x14ac:dyDescent="0.25">
      <c r="A42592" t="str">
        <f>"6112193"</f>
        <v>6112193</v>
      </c>
      <c r="B42592" t="s">
        <v>18587</v>
      </c>
      <c r="C42592" t="s">
        <v>24958</v>
      </c>
      <c r="D42592" s="21" t="s">
        <v>24820</v>
      </c>
      <c r="E42592" s="21" t="s">
        <v>35</v>
      </c>
      <c r="F42592">
        <v>9610095</v>
      </c>
      <c r="G42592" t="s">
        <v>4870</v>
      </c>
      <c r="H42592" s="21">
        <v>461</v>
      </c>
    </row>
    <row r="42593" spans="1:8" customFormat="1" x14ac:dyDescent="0.25">
      <c r="A42593" t="str">
        <f>"7637055"</f>
        <v>7637055</v>
      </c>
      <c r="B42593" t="s">
        <v>2824</v>
      </c>
      <c r="C42593" t="s">
        <v>24838</v>
      </c>
      <c r="D42593" s="21" t="s">
        <v>24820</v>
      </c>
      <c r="E42593" s="21" t="s">
        <v>35</v>
      </c>
      <c r="F42593">
        <v>9760352</v>
      </c>
      <c r="G42593" t="s">
        <v>7885</v>
      </c>
      <c r="H42593" s="21">
        <v>460.5</v>
      </c>
    </row>
    <row r="42594" spans="1:8" customFormat="1" x14ac:dyDescent="0.25">
      <c r="A42594" t="str">
        <f>"5982940"</f>
        <v>5982940</v>
      </c>
      <c r="B42594" t="s">
        <v>30113</v>
      </c>
      <c r="C42594" t="s">
        <v>25506</v>
      </c>
      <c r="D42594" s="21" t="s">
        <v>24820</v>
      </c>
      <c r="E42594" s="21" t="s">
        <v>35</v>
      </c>
      <c r="F42594">
        <v>7590122</v>
      </c>
      <c r="G42594" t="s">
        <v>5608</v>
      </c>
      <c r="H42594" s="21">
        <v>460</v>
      </c>
    </row>
    <row r="42595" spans="1:8" customFormat="1" x14ac:dyDescent="0.25">
      <c r="A42595" t="str">
        <f>"6231305"</f>
        <v>6231305</v>
      </c>
      <c r="B42595" t="s">
        <v>24788</v>
      </c>
      <c r="C42595" t="s">
        <v>25051</v>
      </c>
      <c r="D42595" s="21" t="s">
        <v>24820</v>
      </c>
      <c r="E42595" s="21" t="s">
        <v>35</v>
      </c>
      <c r="F42595">
        <v>7620042</v>
      </c>
      <c r="G42595" t="s">
        <v>8102</v>
      </c>
      <c r="H42595" s="21">
        <v>460</v>
      </c>
    </row>
    <row r="42596" spans="1:8" customFormat="1" x14ac:dyDescent="0.25">
      <c r="A42596" t="str">
        <f>"3425626"</f>
        <v>3425626</v>
      </c>
      <c r="B42596" t="s">
        <v>26338</v>
      </c>
      <c r="C42596" t="s">
        <v>26339</v>
      </c>
      <c r="D42596" s="21" t="s">
        <v>24820</v>
      </c>
      <c r="E42596" s="21" t="s">
        <v>254</v>
      </c>
      <c r="F42596">
        <v>11340053</v>
      </c>
      <c r="G42596" t="s">
        <v>9935</v>
      </c>
      <c r="H42596" s="21">
        <v>460</v>
      </c>
    </row>
    <row r="42597" spans="1:8" customFormat="1" x14ac:dyDescent="0.25">
      <c r="A42597" t="str">
        <f>"764351"</f>
        <v>764351</v>
      </c>
      <c r="B42597" t="s">
        <v>26181</v>
      </c>
      <c r="C42597" t="s">
        <v>25882</v>
      </c>
      <c r="D42597" s="21" t="s">
        <v>24820</v>
      </c>
      <c r="E42597" s="21" t="s">
        <v>6185</v>
      </c>
      <c r="F42597">
        <v>9760028</v>
      </c>
      <c r="G42597" t="s">
        <v>4086</v>
      </c>
      <c r="H42597" s="21">
        <v>459.5</v>
      </c>
    </row>
    <row r="42598" spans="1:8" customFormat="1" x14ac:dyDescent="0.25">
      <c r="A42598" t="str">
        <f>"5113533"</f>
        <v>5113533</v>
      </c>
      <c r="B42598" t="s">
        <v>14224</v>
      </c>
      <c r="C42598" t="s">
        <v>22831</v>
      </c>
      <c r="D42598" s="21" t="s">
        <v>24820</v>
      </c>
      <c r="E42598" s="21" t="s">
        <v>35</v>
      </c>
      <c r="F42598">
        <v>6510062</v>
      </c>
      <c r="G42598" t="s">
        <v>9059</v>
      </c>
      <c r="H42598" s="21">
        <v>459.5</v>
      </c>
    </row>
    <row r="42599" spans="1:8" customFormat="1" x14ac:dyDescent="0.25">
      <c r="A42599" t="str">
        <f>"044034"</f>
        <v>044034</v>
      </c>
      <c r="B42599" t="s">
        <v>30114</v>
      </c>
      <c r="C42599" t="s">
        <v>25701</v>
      </c>
      <c r="D42599" s="21" t="s">
        <v>24820</v>
      </c>
      <c r="E42599" s="21" t="s">
        <v>71</v>
      </c>
      <c r="F42599">
        <v>13040023</v>
      </c>
      <c r="G42599" t="s">
        <v>2542</v>
      </c>
      <c r="H42599" s="21">
        <v>459.5</v>
      </c>
    </row>
    <row r="42600" spans="1:8" customFormat="1" x14ac:dyDescent="0.25">
      <c r="A42600" t="str">
        <f>"6726062"</f>
        <v>6726062</v>
      </c>
      <c r="B42600" t="s">
        <v>23271</v>
      </c>
      <c r="C42600" t="s">
        <v>25188</v>
      </c>
      <c r="D42600" s="21" t="s">
        <v>24820</v>
      </c>
      <c r="E42600" s="21" t="s">
        <v>254</v>
      </c>
      <c r="F42600">
        <v>6670268</v>
      </c>
      <c r="G42600" t="s">
        <v>8908</v>
      </c>
      <c r="H42600" s="21">
        <v>459.5</v>
      </c>
    </row>
    <row r="42601" spans="1:8" customFormat="1" x14ac:dyDescent="0.25">
      <c r="A42601" t="str">
        <f>"9316051"</f>
        <v>9316051</v>
      </c>
      <c r="B42601" t="s">
        <v>26347</v>
      </c>
      <c r="C42601" t="s">
        <v>25439</v>
      </c>
      <c r="D42601" s="21" t="s">
        <v>24820</v>
      </c>
      <c r="E42601" s="21" t="s">
        <v>71</v>
      </c>
      <c r="F42601">
        <v>8930024</v>
      </c>
      <c r="G42601" t="s">
        <v>44</v>
      </c>
      <c r="H42601" s="21">
        <v>459.25</v>
      </c>
    </row>
    <row r="42602" spans="1:8" customFormat="1" x14ac:dyDescent="0.25">
      <c r="A42602" t="str">
        <f>"6021911"</f>
        <v>6021911</v>
      </c>
      <c r="B42602" t="s">
        <v>25719</v>
      </c>
      <c r="C42602" t="s">
        <v>25317</v>
      </c>
      <c r="D42602" s="21" t="s">
        <v>24820</v>
      </c>
      <c r="E42602" s="21" t="s">
        <v>1089</v>
      </c>
      <c r="F42602">
        <v>7600004</v>
      </c>
      <c r="G42602" t="s">
        <v>848</v>
      </c>
      <c r="H42602" s="21">
        <v>459</v>
      </c>
    </row>
    <row r="42603" spans="1:8" customFormat="1" x14ac:dyDescent="0.25">
      <c r="A42603" t="str">
        <f>"3536656"</f>
        <v>3536656</v>
      </c>
      <c r="B42603" t="s">
        <v>9533</v>
      </c>
      <c r="C42603" t="s">
        <v>25151</v>
      </c>
      <c r="D42603" s="21" t="s">
        <v>24820</v>
      </c>
      <c r="E42603" s="21" t="s">
        <v>254</v>
      </c>
      <c r="F42603">
        <v>3350011</v>
      </c>
      <c r="G42603" t="s">
        <v>2404</v>
      </c>
      <c r="H42603" s="21">
        <v>459</v>
      </c>
    </row>
    <row r="42604" spans="1:8" customFormat="1" x14ac:dyDescent="0.25">
      <c r="A42604" t="str">
        <f>"9456124"</f>
        <v>9456124</v>
      </c>
      <c r="B42604" t="s">
        <v>25103</v>
      </c>
      <c r="C42604" t="s">
        <v>23734</v>
      </c>
      <c r="D42604" s="21" t="s">
        <v>24820</v>
      </c>
      <c r="E42604" s="21" t="s">
        <v>35</v>
      </c>
      <c r="F42604">
        <v>8940926</v>
      </c>
      <c r="G42604" t="s">
        <v>4065</v>
      </c>
      <c r="H42604" s="21">
        <v>458.62</v>
      </c>
    </row>
    <row r="42605" spans="1:8" customFormat="1" x14ac:dyDescent="0.25">
      <c r="A42605" t="str">
        <f>"4930794"</f>
        <v>4930794</v>
      </c>
      <c r="B42605" t="s">
        <v>650</v>
      </c>
      <c r="C42605" t="s">
        <v>24873</v>
      </c>
      <c r="D42605" s="21" t="s">
        <v>24820</v>
      </c>
      <c r="E42605" s="21" t="s">
        <v>254</v>
      </c>
      <c r="F42605">
        <v>12490026</v>
      </c>
      <c r="G42605" t="s">
        <v>6274</v>
      </c>
      <c r="H42605" s="21">
        <v>458.5</v>
      </c>
    </row>
    <row r="42606" spans="1:8" customFormat="1" x14ac:dyDescent="0.25">
      <c r="A42606" t="str">
        <f>"3426372"</f>
        <v>3426372</v>
      </c>
      <c r="B42606" t="s">
        <v>30115</v>
      </c>
      <c r="C42606" t="s">
        <v>24836</v>
      </c>
      <c r="D42606" s="21" t="s">
        <v>24820</v>
      </c>
      <c r="E42606" s="21" t="s">
        <v>1089</v>
      </c>
      <c r="F42606">
        <v>11340067</v>
      </c>
      <c r="G42606" t="s">
        <v>2895</v>
      </c>
      <c r="H42606" s="21">
        <v>458.5</v>
      </c>
    </row>
    <row r="42607" spans="1:8" customFormat="1" x14ac:dyDescent="0.25">
      <c r="A42607" t="str">
        <f>"9454124"</f>
        <v>9454124</v>
      </c>
      <c r="B42607" t="s">
        <v>577</v>
      </c>
      <c r="C42607" t="s">
        <v>24943</v>
      </c>
      <c r="D42607" s="21" t="s">
        <v>24820</v>
      </c>
      <c r="E42607" s="21" t="s">
        <v>35</v>
      </c>
      <c r="F42607">
        <v>8941403</v>
      </c>
      <c r="G42607" t="s">
        <v>978</v>
      </c>
      <c r="H42607" s="21">
        <v>458.5</v>
      </c>
    </row>
    <row r="42608" spans="1:8" customFormat="1" x14ac:dyDescent="0.25">
      <c r="A42608" t="str">
        <f>"1715437"</f>
        <v>1715437</v>
      </c>
      <c r="B42608" t="s">
        <v>26323</v>
      </c>
      <c r="C42608" t="s">
        <v>24865</v>
      </c>
      <c r="D42608" s="21" t="s">
        <v>24820</v>
      </c>
      <c r="E42608" s="21" t="s">
        <v>71</v>
      </c>
      <c r="F42608">
        <v>10170162</v>
      </c>
      <c r="G42608" t="s">
        <v>2817</v>
      </c>
      <c r="H42608" s="21">
        <v>458.5</v>
      </c>
    </row>
    <row r="42609" spans="1:8" customFormat="1" x14ac:dyDescent="0.25">
      <c r="A42609" t="str">
        <f>"5326346"</f>
        <v>5326346</v>
      </c>
      <c r="B42609" t="s">
        <v>26044</v>
      </c>
      <c r="C42609" t="s">
        <v>22736</v>
      </c>
      <c r="D42609" s="21" t="s">
        <v>24820</v>
      </c>
      <c r="E42609" s="21" t="s">
        <v>35</v>
      </c>
      <c r="F42609">
        <v>12530095</v>
      </c>
      <c r="G42609" t="s">
        <v>5381</v>
      </c>
      <c r="H42609" s="21">
        <v>457.38</v>
      </c>
    </row>
    <row r="42610" spans="1:8" customFormat="1" x14ac:dyDescent="0.25">
      <c r="A42610" t="str">
        <f>"4455502"</f>
        <v>4455502</v>
      </c>
      <c r="B42610" t="s">
        <v>10802</v>
      </c>
      <c r="C42610" t="s">
        <v>25105</v>
      </c>
      <c r="D42610" s="21" t="s">
        <v>24820</v>
      </c>
      <c r="E42610" s="21" t="s">
        <v>35</v>
      </c>
      <c r="F42610">
        <v>12440141</v>
      </c>
      <c r="G42610" t="s">
        <v>3234</v>
      </c>
      <c r="H42610" s="21">
        <v>457</v>
      </c>
    </row>
    <row r="42611" spans="1:8" customFormat="1" x14ac:dyDescent="0.25">
      <c r="A42611" t="str">
        <f>"6940050"</f>
        <v>6940050</v>
      </c>
      <c r="B42611" t="s">
        <v>4293</v>
      </c>
      <c r="C42611" t="s">
        <v>30116</v>
      </c>
      <c r="D42611" s="21" t="s">
        <v>24820</v>
      </c>
      <c r="E42611" s="21" t="s">
        <v>71</v>
      </c>
      <c r="F42611">
        <v>1690147</v>
      </c>
      <c r="G42611" t="s">
        <v>7245</v>
      </c>
      <c r="H42611" s="21">
        <v>457</v>
      </c>
    </row>
    <row r="42612" spans="1:8" customFormat="1" x14ac:dyDescent="0.25">
      <c r="A42612" t="str">
        <f>"5612432"</f>
        <v>5612432</v>
      </c>
      <c r="B42612" t="s">
        <v>4206</v>
      </c>
      <c r="C42612" t="s">
        <v>24867</v>
      </c>
      <c r="D42612" s="21" t="s">
        <v>24820</v>
      </c>
      <c r="E42612" s="21" t="s">
        <v>71</v>
      </c>
      <c r="F42612">
        <v>3560022</v>
      </c>
      <c r="G42612" t="s">
        <v>2547</v>
      </c>
      <c r="H42612" s="21">
        <v>456.5</v>
      </c>
    </row>
    <row r="42613" spans="1:8" customFormat="1" x14ac:dyDescent="0.25">
      <c r="A42613" t="str">
        <f>"7639298"</f>
        <v>7639298</v>
      </c>
      <c r="B42613" t="s">
        <v>18048</v>
      </c>
      <c r="C42613" t="s">
        <v>24914</v>
      </c>
      <c r="D42613" s="21" t="s">
        <v>24820</v>
      </c>
      <c r="E42613" s="21" t="s">
        <v>71</v>
      </c>
      <c r="F42613">
        <v>9760025</v>
      </c>
      <c r="G42613" t="s">
        <v>2620</v>
      </c>
      <c r="H42613" s="21">
        <v>456.25</v>
      </c>
    </row>
    <row r="42614" spans="1:8" customFormat="1" x14ac:dyDescent="0.25">
      <c r="A42614" t="str">
        <f>"9456421"</f>
        <v>9456421</v>
      </c>
      <c r="B42614" t="s">
        <v>983</v>
      </c>
      <c r="C42614" t="s">
        <v>26322</v>
      </c>
      <c r="D42614" s="21" t="s">
        <v>24820</v>
      </c>
      <c r="E42614" s="21" t="s">
        <v>35</v>
      </c>
      <c r="F42614">
        <v>8940926</v>
      </c>
      <c r="G42614" t="s">
        <v>4065</v>
      </c>
      <c r="H42614" s="21">
        <v>456</v>
      </c>
    </row>
    <row r="42615" spans="1:8" customFormat="1" x14ac:dyDescent="0.25">
      <c r="A42615" t="str">
        <f>"8017524"</f>
        <v>8017524</v>
      </c>
      <c r="B42615" t="s">
        <v>5951</v>
      </c>
      <c r="C42615" t="s">
        <v>24947</v>
      </c>
      <c r="D42615" s="21" t="s">
        <v>24820</v>
      </c>
      <c r="E42615" s="21" t="s">
        <v>35</v>
      </c>
      <c r="F42615">
        <v>7800035</v>
      </c>
      <c r="G42615" t="s">
        <v>12990</v>
      </c>
      <c r="H42615" s="21">
        <v>455.5</v>
      </c>
    </row>
    <row r="42616" spans="1:8" customFormat="1" x14ac:dyDescent="0.25">
      <c r="A42616" t="str">
        <f>"2515474"</f>
        <v>2515474</v>
      </c>
      <c r="B42616" t="s">
        <v>4261</v>
      </c>
      <c r="C42616" t="s">
        <v>23966</v>
      </c>
      <c r="D42616" s="21" t="s">
        <v>24820</v>
      </c>
      <c r="E42616" s="21" t="s">
        <v>71</v>
      </c>
      <c r="F42616">
        <v>2250110</v>
      </c>
      <c r="G42616" t="s">
        <v>9363</v>
      </c>
      <c r="H42616" s="21">
        <v>455</v>
      </c>
    </row>
    <row r="42617" spans="1:8" customFormat="1" x14ac:dyDescent="0.25">
      <c r="A42617" t="str">
        <f>"1612988"</f>
        <v>1612988</v>
      </c>
      <c r="B42617" t="s">
        <v>26113</v>
      </c>
      <c r="C42617" t="s">
        <v>25053</v>
      </c>
      <c r="D42617" s="21" t="s">
        <v>24820</v>
      </c>
      <c r="E42617" s="21" t="s">
        <v>35</v>
      </c>
      <c r="F42617">
        <v>10160003</v>
      </c>
      <c r="G42617" t="s">
        <v>4692</v>
      </c>
      <c r="H42617" s="21">
        <v>455</v>
      </c>
    </row>
    <row r="42618" spans="1:8" customFormat="1" x14ac:dyDescent="0.25">
      <c r="A42618" t="str">
        <f>"1319690"</f>
        <v>1319690</v>
      </c>
      <c r="B42618" t="s">
        <v>25883</v>
      </c>
      <c r="C42618" t="s">
        <v>24888</v>
      </c>
      <c r="D42618" s="21" t="s">
        <v>24820</v>
      </c>
      <c r="E42618" s="21" t="s">
        <v>254</v>
      </c>
      <c r="F42618">
        <v>13130154</v>
      </c>
      <c r="G42618" t="s">
        <v>5503</v>
      </c>
      <c r="H42618" s="21">
        <v>454.25</v>
      </c>
    </row>
    <row r="42619" spans="1:8" customFormat="1" x14ac:dyDescent="0.25">
      <c r="A42619" t="str">
        <f>"6022803"</f>
        <v>6022803</v>
      </c>
      <c r="B42619" t="s">
        <v>5470</v>
      </c>
      <c r="C42619" t="s">
        <v>25053</v>
      </c>
      <c r="D42619" s="21" t="s">
        <v>24820</v>
      </c>
      <c r="E42619" s="21" t="s">
        <v>35</v>
      </c>
      <c r="F42619">
        <v>7600088</v>
      </c>
      <c r="G42619" t="s">
        <v>334</v>
      </c>
      <c r="H42619" s="21">
        <v>454</v>
      </c>
    </row>
    <row r="42620" spans="1:8" customFormat="1" x14ac:dyDescent="0.25">
      <c r="A42620" t="str">
        <f>"368083"</f>
        <v>368083</v>
      </c>
      <c r="B42620" t="s">
        <v>22131</v>
      </c>
      <c r="C42620" t="s">
        <v>24865</v>
      </c>
      <c r="D42620" s="21" t="s">
        <v>24820</v>
      </c>
      <c r="E42620" s="21" t="s">
        <v>71</v>
      </c>
      <c r="F42620">
        <v>4360315</v>
      </c>
      <c r="G42620" t="s">
        <v>6888</v>
      </c>
      <c r="H42620" s="21">
        <v>453.5</v>
      </c>
    </row>
    <row r="42621" spans="1:8" customFormat="1" x14ac:dyDescent="0.25">
      <c r="A42621" t="str">
        <f>"8316416"</f>
        <v>8316416</v>
      </c>
      <c r="B42621" t="s">
        <v>30117</v>
      </c>
      <c r="C42621" t="s">
        <v>24883</v>
      </c>
      <c r="D42621" s="21" t="s">
        <v>24820</v>
      </c>
      <c r="E42621" s="21" t="s">
        <v>71</v>
      </c>
      <c r="F42621">
        <v>13830062</v>
      </c>
      <c r="G42621" t="s">
        <v>9074</v>
      </c>
      <c r="H42621" s="21">
        <v>453.25</v>
      </c>
    </row>
    <row r="42622" spans="1:8" customFormat="1" x14ac:dyDescent="0.25">
      <c r="A42622" t="str">
        <f>"7221357"</f>
        <v>7221357</v>
      </c>
      <c r="B42622" t="s">
        <v>30118</v>
      </c>
      <c r="C42622" t="s">
        <v>25447</v>
      </c>
      <c r="D42622" s="21" t="s">
        <v>24820</v>
      </c>
      <c r="E42622" s="21" t="s">
        <v>35</v>
      </c>
      <c r="F42622">
        <v>12720029</v>
      </c>
      <c r="G42622" t="s">
        <v>11575</v>
      </c>
      <c r="H42622" s="21">
        <v>453</v>
      </c>
    </row>
    <row r="42623" spans="1:8" customFormat="1" x14ac:dyDescent="0.25">
      <c r="A42623" t="str">
        <f>"7219408"</f>
        <v>7219408</v>
      </c>
      <c r="B42623" t="s">
        <v>30119</v>
      </c>
      <c r="C42623" t="s">
        <v>24686</v>
      </c>
      <c r="D42623" s="21" t="s">
        <v>24820</v>
      </c>
      <c r="E42623" s="21" t="s">
        <v>71</v>
      </c>
      <c r="F42623">
        <v>12720005</v>
      </c>
      <c r="G42623" t="s">
        <v>999</v>
      </c>
      <c r="H42623" s="21">
        <v>453</v>
      </c>
    </row>
    <row r="42624" spans="1:8" customFormat="1" x14ac:dyDescent="0.25">
      <c r="A42624" t="str">
        <f>"847936"</f>
        <v>847936</v>
      </c>
      <c r="B42624" t="s">
        <v>26195</v>
      </c>
      <c r="C42624" t="s">
        <v>25008</v>
      </c>
      <c r="D42624" s="21" t="s">
        <v>24820</v>
      </c>
      <c r="E42624" s="21" t="s">
        <v>1089</v>
      </c>
      <c r="F42624">
        <v>13840045</v>
      </c>
      <c r="G42624" t="s">
        <v>11703</v>
      </c>
      <c r="H42624" s="21">
        <v>453</v>
      </c>
    </row>
    <row r="42625" spans="1:8" customFormat="1" x14ac:dyDescent="0.25">
      <c r="A42625" t="str">
        <f>"9430269"</f>
        <v>9430269</v>
      </c>
      <c r="B42625" t="s">
        <v>26259</v>
      </c>
      <c r="C42625" t="s">
        <v>24939</v>
      </c>
      <c r="D42625" s="21" t="s">
        <v>24820</v>
      </c>
      <c r="E42625" s="21" t="s">
        <v>71</v>
      </c>
      <c r="F42625">
        <v>8940549</v>
      </c>
      <c r="G42625" t="s">
        <v>454</v>
      </c>
      <c r="H42625" s="21">
        <v>453</v>
      </c>
    </row>
    <row r="42626" spans="1:8" customFormat="1" x14ac:dyDescent="0.25">
      <c r="A42626" t="str">
        <f>"9450471"</f>
        <v>9450471</v>
      </c>
      <c r="B42626" t="s">
        <v>14129</v>
      </c>
      <c r="C42626" t="s">
        <v>24889</v>
      </c>
      <c r="D42626" s="21" t="s">
        <v>24820</v>
      </c>
      <c r="E42626" s="21" t="s">
        <v>71</v>
      </c>
      <c r="F42626">
        <v>8940459</v>
      </c>
      <c r="G42626" t="s">
        <v>743</v>
      </c>
      <c r="H42626" s="21">
        <v>452.62</v>
      </c>
    </row>
    <row r="42627" spans="1:8" customFormat="1" x14ac:dyDescent="0.25">
      <c r="A42627" t="str">
        <f>"037242"</f>
        <v>037242</v>
      </c>
      <c r="B42627" t="s">
        <v>25987</v>
      </c>
      <c r="C42627" t="s">
        <v>25988</v>
      </c>
      <c r="D42627" s="21" t="s">
        <v>24820</v>
      </c>
      <c r="E42627" s="21" t="s">
        <v>71</v>
      </c>
      <c r="F42627">
        <v>8781475</v>
      </c>
      <c r="G42627" t="s">
        <v>7589</v>
      </c>
      <c r="H42627" s="21">
        <v>452.12</v>
      </c>
    </row>
    <row r="42628" spans="1:8" customFormat="1" x14ac:dyDescent="0.25">
      <c r="A42628" t="str">
        <f>"2719818"</f>
        <v>2719818</v>
      </c>
      <c r="B42628" t="s">
        <v>25848</v>
      </c>
      <c r="C42628" t="s">
        <v>25386</v>
      </c>
      <c r="D42628" s="21" t="s">
        <v>24820</v>
      </c>
      <c r="E42628" s="21" t="s">
        <v>254</v>
      </c>
      <c r="F42628">
        <v>9270162</v>
      </c>
      <c r="G42628" t="s">
        <v>1865</v>
      </c>
      <c r="H42628" s="21">
        <v>451.5</v>
      </c>
    </row>
    <row r="42629" spans="1:8" customFormat="1" x14ac:dyDescent="0.25">
      <c r="A42629" t="str">
        <f>"2936847"</f>
        <v>2936847</v>
      </c>
      <c r="B42629" t="s">
        <v>16616</v>
      </c>
      <c r="C42629" t="s">
        <v>25908</v>
      </c>
      <c r="D42629" s="21" t="s">
        <v>24820</v>
      </c>
      <c r="E42629" s="21" t="s">
        <v>71</v>
      </c>
      <c r="F42629">
        <v>3290223</v>
      </c>
      <c r="G42629" t="s">
        <v>2636</v>
      </c>
      <c r="H42629" s="21">
        <v>450.88</v>
      </c>
    </row>
    <row r="42630" spans="1:8" customFormat="1" x14ac:dyDescent="0.25">
      <c r="A42630" t="str">
        <f>"6315630"</f>
        <v>6315630</v>
      </c>
      <c r="B42630" t="s">
        <v>25642</v>
      </c>
      <c r="C42630" t="s">
        <v>24838</v>
      </c>
      <c r="D42630" s="21" t="s">
        <v>24820</v>
      </c>
      <c r="E42630" s="21" t="s">
        <v>35</v>
      </c>
      <c r="F42630">
        <v>1630185</v>
      </c>
      <c r="G42630" t="s">
        <v>858</v>
      </c>
      <c r="H42630" s="21">
        <v>450.75</v>
      </c>
    </row>
    <row r="42631" spans="1:8" customFormat="1" x14ac:dyDescent="0.25">
      <c r="A42631" t="str">
        <f>"7878836"</f>
        <v>7878836</v>
      </c>
      <c r="B42631" t="s">
        <v>13567</v>
      </c>
      <c r="C42631" t="s">
        <v>24968</v>
      </c>
      <c r="D42631" s="21" t="s">
        <v>24820</v>
      </c>
      <c r="E42631" s="21" t="s">
        <v>71</v>
      </c>
      <c r="F42631">
        <v>8780892</v>
      </c>
      <c r="G42631" t="s">
        <v>3021</v>
      </c>
      <c r="H42631" s="21">
        <v>450.5</v>
      </c>
    </row>
    <row r="42632" spans="1:8" customFormat="1" x14ac:dyDescent="0.25">
      <c r="A42632" t="str">
        <f>"3426517"</f>
        <v>3426517</v>
      </c>
      <c r="B42632" t="s">
        <v>2398</v>
      </c>
      <c r="C42632" t="s">
        <v>22831</v>
      </c>
      <c r="D42632" s="21" t="s">
        <v>24820</v>
      </c>
      <c r="E42632" s="21" t="s">
        <v>35</v>
      </c>
      <c r="F42632">
        <v>11340067</v>
      </c>
      <c r="G42632" t="s">
        <v>2895</v>
      </c>
      <c r="H42632" s="21">
        <v>450.5</v>
      </c>
    </row>
    <row r="42633" spans="1:8" customFormat="1" x14ac:dyDescent="0.25">
      <c r="A42633" t="str">
        <f>"3334542"</f>
        <v>3334542</v>
      </c>
      <c r="B42633" t="s">
        <v>26129</v>
      </c>
      <c r="C42633" t="s">
        <v>24883</v>
      </c>
      <c r="D42633" s="21" t="s">
        <v>24820</v>
      </c>
      <c r="E42633" s="21" t="s">
        <v>35</v>
      </c>
      <c r="F42633">
        <v>10330004</v>
      </c>
      <c r="G42633" t="s">
        <v>525</v>
      </c>
      <c r="H42633" s="21">
        <v>448.5</v>
      </c>
    </row>
    <row r="42634" spans="1:8" customFormat="1" x14ac:dyDescent="0.25">
      <c r="A42634" t="str">
        <f>"6023275"</f>
        <v>6023275</v>
      </c>
      <c r="B42634" t="s">
        <v>30120</v>
      </c>
      <c r="C42634" t="s">
        <v>23734</v>
      </c>
      <c r="D42634" s="21" t="s">
        <v>24820</v>
      </c>
      <c r="E42634" s="21" t="s">
        <v>71</v>
      </c>
      <c r="F42634">
        <v>7600004</v>
      </c>
      <c r="G42634" t="s">
        <v>848</v>
      </c>
      <c r="H42634" s="21">
        <v>448</v>
      </c>
    </row>
    <row r="42635" spans="1:8" customFormat="1" x14ac:dyDescent="0.25">
      <c r="A42635" t="str">
        <f>"7641010"</f>
        <v>7641010</v>
      </c>
      <c r="B42635" t="s">
        <v>2118</v>
      </c>
      <c r="C42635" t="s">
        <v>24952</v>
      </c>
      <c r="D42635" s="21" t="s">
        <v>24820</v>
      </c>
      <c r="E42635" s="21" t="s">
        <v>35</v>
      </c>
      <c r="F42635">
        <v>9760025</v>
      </c>
      <c r="G42635" t="s">
        <v>2620</v>
      </c>
      <c r="H42635" s="21">
        <v>448</v>
      </c>
    </row>
    <row r="42636" spans="1:8" customFormat="1" x14ac:dyDescent="0.25">
      <c r="A42636" t="str">
        <f>"9537256"</f>
        <v>9537256</v>
      </c>
      <c r="B42636" t="s">
        <v>2189</v>
      </c>
      <c r="C42636" t="s">
        <v>24838</v>
      </c>
      <c r="D42636" s="21" t="s">
        <v>24820</v>
      </c>
      <c r="E42636" s="21" t="s">
        <v>35</v>
      </c>
      <c r="F42636">
        <v>8950129</v>
      </c>
      <c r="G42636" t="s">
        <v>10701</v>
      </c>
      <c r="H42636" s="21">
        <v>448</v>
      </c>
    </row>
    <row r="42637" spans="1:8" customFormat="1" x14ac:dyDescent="0.25">
      <c r="A42637" t="str">
        <f>"3118722"</f>
        <v>3118722</v>
      </c>
      <c r="B42637" t="s">
        <v>19146</v>
      </c>
      <c r="C42637" t="s">
        <v>24874</v>
      </c>
      <c r="D42637" s="21" t="s">
        <v>24820</v>
      </c>
      <c r="E42637" s="21" t="s">
        <v>71</v>
      </c>
      <c r="F42637">
        <v>11310131</v>
      </c>
      <c r="G42637" t="s">
        <v>16303</v>
      </c>
      <c r="H42637" s="21">
        <v>447</v>
      </c>
    </row>
    <row r="42638" spans="1:8" customFormat="1" x14ac:dyDescent="0.25">
      <c r="A42638" t="str">
        <f>"6112828"</f>
        <v>6112828</v>
      </c>
      <c r="B42638" t="s">
        <v>30121</v>
      </c>
      <c r="C42638" t="s">
        <v>25608</v>
      </c>
      <c r="D42638" s="21" t="s">
        <v>24820</v>
      </c>
      <c r="E42638" s="21" t="s">
        <v>71</v>
      </c>
      <c r="F42638">
        <v>9610148</v>
      </c>
      <c r="G42638" t="s">
        <v>8163</v>
      </c>
      <c r="H42638" s="21">
        <v>446.62</v>
      </c>
    </row>
    <row r="42639" spans="1:8" customFormat="1" x14ac:dyDescent="0.25">
      <c r="A42639" t="str">
        <f>"7876233"</f>
        <v>7876233</v>
      </c>
      <c r="B42639" t="s">
        <v>10658</v>
      </c>
      <c r="C42639" t="s">
        <v>24854</v>
      </c>
      <c r="D42639" s="21" t="s">
        <v>24820</v>
      </c>
      <c r="E42639" s="21" t="s">
        <v>35</v>
      </c>
      <c r="F42639">
        <v>8780678</v>
      </c>
      <c r="G42639" t="s">
        <v>8556</v>
      </c>
      <c r="H42639" s="21">
        <v>446.5</v>
      </c>
    </row>
    <row r="42640" spans="1:8" customFormat="1" x14ac:dyDescent="0.25">
      <c r="A42640" t="str">
        <f>"7872126"</f>
        <v>7872126</v>
      </c>
      <c r="B42640" t="s">
        <v>24720</v>
      </c>
      <c r="C42640" t="s">
        <v>24840</v>
      </c>
      <c r="D42640" s="21" t="s">
        <v>24820</v>
      </c>
      <c r="E42640" s="21" t="s">
        <v>35</v>
      </c>
      <c r="F42640">
        <v>8780571</v>
      </c>
      <c r="G42640" t="s">
        <v>2336</v>
      </c>
      <c r="H42640" s="21">
        <v>446.12</v>
      </c>
    </row>
    <row r="42641" spans="1:8" customFormat="1" x14ac:dyDescent="0.25">
      <c r="A42641" t="str">
        <f>"7876177"</f>
        <v>7876177</v>
      </c>
      <c r="B42641" t="s">
        <v>19297</v>
      </c>
      <c r="C42641" t="s">
        <v>24865</v>
      </c>
      <c r="D42641" s="21" t="s">
        <v>24820</v>
      </c>
      <c r="E42641" s="21" t="s">
        <v>35</v>
      </c>
      <c r="F42641">
        <v>8780130</v>
      </c>
      <c r="G42641" t="s">
        <v>5752</v>
      </c>
      <c r="H42641" s="21">
        <v>446</v>
      </c>
    </row>
    <row r="42642" spans="1:8" customFormat="1" x14ac:dyDescent="0.25">
      <c r="A42642" t="str">
        <f>"4219536"</f>
        <v>4219536</v>
      </c>
      <c r="B42642" t="s">
        <v>30122</v>
      </c>
      <c r="C42642" t="s">
        <v>25512</v>
      </c>
      <c r="D42642" s="21" t="s">
        <v>24820</v>
      </c>
      <c r="E42642" s="21" t="s">
        <v>71</v>
      </c>
      <c r="F42642">
        <v>1420070</v>
      </c>
      <c r="G42642" t="s">
        <v>27046</v>
      </c>
      <c r="H42642" s="21">
        <v>445</v>
      </c>
    </row>
    <row r="42643" spans="1:8" customFormat="1" x14ac:dyDescent="0.25">
      <c r="A42643" t="str">
        <f>"6936421"</f>
        <v>6936421</v>
      </c>
      <c r="B42643" t="s">
        <v>9483</v>
      </c>
      <c r="C42643" t="s">
        <v>24904</v>
      </c>
      <c r="D42643" s="21" t="s">
        <v>24820</v>
      </c>
      <c r="E42643" s="21" t="s">
        <v>71</v>
      </c>
      <c r="F42643">
        <v>1690052</v>
      </c>
      <c r="G42643" t="s">
        <v>273</v>
      </c>
      <c r="H42643" s="21">
        <v>444.12</v>
      </c>
    </row>
    <row r="42644" spans="1:8" customFormat="1" x14ac:dyDescent="0.25">
      <c r="A42644" t="str">
        <f>"1319687"</f>
        <v>1319687</v>
      </c>
      <c r="B42644" t="s">
        <v>25971</v>
      </c>
      <c r="C42644" t="s">
        <v>25972</v>
      </c>
      <c r="D42644" s="21" t="s">
        <v>24820</v>
      </c>
      <c r="E42644" s="21" t="s">
        <v>35</v>
      </c>
      <c r="F42644">
        <v>13130148</v>
      </c>
      <c r="G42644" t="s">
        <v>12894</v>
      </c>
      <c r="H42644" s="21">
        <v>442.62</v>
      </c>
    </row>
    <row r="42645" spans="1:8" customFormat="1" x14ac:dyDescent="0.25">
      <c r="A42645" t="str">
        <f>"461496"</f>
        <v>461496</v>
      </c>
      <c r="B42645" t="s">
        <v>4344</v>
      </c>
      <c r="C42645" t="s">
        <v>25871</v>
      </c>
      <c r="D42645" s="21" t="s">
        <v>24820</v>
      </c>
      <c r="E42645" s="21" t="s">
        <v>71</v>
      </c>
      <c r="F42645">
        <v>11460027</v>
      </c>
      <c r="G42645" t="s">
        <v>26580</v>
      </c>
      <c r="H42645" s="21">
        <v>440.25</v>
      </c>
    </row>
    <row r="42646" spans="1:8" customFormat="1" x14ac:dyDescent="0.25">
      <c r="A42646" t="str">
        <f>"9247872"</f>
        <v>9247872</v>
      </c>
      <c r="B42646" t="s">
        <v>26328</v>
      </c>
      <c r="C42646" t="s">
        <v>25073</v>
      </c>
      <c r="D42646" s="21" t="s">
        <v>24820</v>
      </c>
      <c r="E42646" s="21" t="s">
        <v>71</v>
      </c>
      <c r="F42646">
        <v>8921182</v>
      </c>
      <c r="G42646" t="s">
        <v>26954</v>
      </c>
      <c r="H42646" s="21">
        <v>435.75</v>
      </c>
    </row>
    <row r="42647" spans="1:8" customFormat="1" x14ac:dyDescent="0.25">
      <c r="A42647" t="str">
        <f>"7641411"</f>
        <v>7641411</v>
      </c>
      <c r="B42647" t="s">
        <v>24763</v>
      </c>
      <c r="C42647" t="s">
        <v>25173</v>
      </c>
      <c r="D42647" s="21" t="s">
        <v>24820</v>
      </c>
      <c r="E42647" s="21" t="s">
        <v>35</v>
      </c>
      <c r="F42647">
        <v>9760416</v>
      </c>
      <c r="G42647" t="s">
        <v>4614</v>
      </c>
      <c r="H42647" s="21">
        <v>435.12</v>
      </c>
    </row>
    <row r="42648" spans="1:8" customFormat="1" x14ac:dyDescent="0.25">
      <c r="A42648" t="str">
        <f>"2712062"</f>
        <v>2712062</v>
      </c>
      <c r="B42648" t="s">
        <v>26276</v>
      </c>
      <c r="C42648" t="s">
        <v>24877</v>
      </c>
      <c r="D42648" s="21" t="s">
        <v>24820</v>
      </c>
      <c r="E42648" s="21" t="s">
        <v>35</v>
      </c>
      <c r="F42648">
        <v>9140032</v>
      </c>
      <c r="G42648" t="s">
        <v>2130</v>
      </c>
      <c r="H42648" s="21">
        <v>434</v>
      </c>
    </row>
    <row r="42649" spans="1:8" customFormat="1" x14ac:dyDescent="0.25">
      <c r="A42649" t="str">
        <f>"5020224"</f>
        <v>5020224</v>
      </c>
      <c r="B42649" t="s">
        <v>17211</v>
      </c>
      <c r="C42649" t="s">
        <v>26275</v>
      </c>
      <c r="D42649" s="21" t="s">
        <v>24820</v>
      </c>
      <c r="E42649" s="21" t="s">
        <v>254</v>
      </c>
      <c r="F42649">
        <v>9500157</v>
      </c>
      <c r="G42649" t="s">
        <v>5074</v>
      </c>
      <c r="H42649" s="21">
        <v>433.5</v>
      </c>
    </row>
    <row r="42650" spans="1:8" customFormat="1" x14ac:dyDescent="0.25">
      <c r="A42650" t="str">
        <f>"7222682"</f>
        <v>7222682</v>
      </c>
      <c r="B42650" t="s">
        <v>16182</v>
      </c>
      <c r="C42650" t="s">
        <v>25490</v>
      </c>
      <c r="D42650" s="21" t="s">
        <v>24820</v>
      </c>
      <c r="E42650" s="21" t="s">
        <v>35</v>
      </c>
      <c r="F42650">
        <v>12720081</v>
      </c>
      <c r="G42650" t="s">
        <v>6360</v>
      </c>
      <c r="H42650" s="21">
        <v>431</v>
      </c>
    </row>
    <row r="42651" spans="1:8" customFormat="1" x14ac:dyDescent="0.25">
      <c r="A42651" t="str">
        <f>"4215543"</f>
        <v>4215543</v>
      </c>
      <c r="B42651" t="s">
        <v>8107</v>
      </c>
      <c r="C42651" t="s">
        <v>24943</v>
      </c>
      <c r="D42651" s="21" t="s">
        <v>24820</v>
      </c>
      <c r="E42651" s="21" t="s">
        <v>35</v>
      </c>
      <c r="F42651">
        <v>1420055</v>
      </c>
      <c r="G42651" t="s">
        <v>5421</v>
      </c>
      <c r="H42651" s="21">
        <v>428.5</v>
      </c>
    </row>
    <row r="42652" spans="1:8" customFormat="1" x14ac:dyDescent="0.25">
      <c r="A42652" t="str">
        <f>"404994"</f>
        <v>404994</v>
      </c>
      <c r="B42652" t="s">
        <v>26038</v>
      </c>
      <c r="C42652" t="s">
        <v>24867</v>
      </c>
      <c r="D42652" s="21" t="s">
        <v>24820</v>
      </c>
      <c r="E42652" s="21" t="s">
        <v>71</v>
      </c>
      <c r="F42652">
        <v>10400024</v>
      </c>
      <c r="G42652" t="s">
        <v>4680</v>
      </c>
      <c r="H42652" s="21">
        <v>428.25</v>
      </c>
    </row>
    <row r="42653" spans="1:8" customFormat="1" x14ac:dyDescent="0.25">
      <c r="A42653" t="str">
        <f>"2218414"</f>
        <v>2218414</v>
      </c>
      <c r="B42653" t="s">
        <v>15462</v>
      </c>
      <c r="C42653" t="s">
        <v>25281</v>
      </c>
      <c r="D42653" s="21" t="s">
        <v>24820</v>
      </c>
      <c r="E42653" s="21" t="s">
        <v>71</v>
      </c>
      <c r="F42653">
        <v>3220033</v>
      </c>
      <c r="G42653" t="s">
        <v>657</v>
      </c>
      <c r="H42653" s="21">
        <v>426.75</v>
      </c>
    </row>
    <row r="42654" spans="1:8" customFormat="1" x14ac:dyDescent="0.25">
      <c r="A42654" t="str">
        <f>"2110139"</f>
        <v>2110139</v>
      </c>
      <c r="B42654" t="s">
        <v>933</v>
      </c>
      <c r="C42654" t="s">
        <v>22831</v>
      </c>
      <c r="D42654" s="21" t="s">
        <v>24820</v>
      </c>
      <c r="E42654" s="21" t="s">
        <v>35</v>
      </c>
      <c r="F42654">
        <v>2210088</v>
      </c>
      <c r="G42654" t="s">
        <v>2896</v>
      </c>
      <c r="H42654" s="21">
        <v>421.12</v>
      </c>
    </row>
    <row r="42655" spans="1:8" customFormat="1" x14ac:dyDescent="0.25">
      <c r="A42655" t="str">
        <f>"7869212"</f>
        <v>7869212</v>
      </c>
      <c r="B42655" t="s">
        <v>16919</v>
      </c>
      <c r="C42655" t="s">
        <v>4623</v>
      </c>
      <c r="D42655" s="21" t="s">
        <v>24820</v>
      </c>
      <c r="E42655" s="21" t="s">
        <v>71</v>
      </c>
      <c r="F42655">
        <v>8780585</v>
      </c>
      <c r="G42655" t="s">
        <v>4630</v>
      </c>
      <c r="H42655" s="21">
        <v>420.75</v>
      </c>
    </row>
    <row r="42656" spans="1:8" customFormat="1" x14ac:dyDescent="0.25">
      <c r="A42656" t="str">
        <f>"5914695"</f>
        <v>5914695</v>
      </c>
      <c r="B42656" t="s">
        <v>3759</v>
      </c>
      <c r="C42656" t="s">
        <v>24897</v>
      </c>
      <c r="D42656" s="21" t="s">
        <v>24820</v>
      </c>
      <c r="E42656" s="21" t="s">
        <v>254</v>
      </c>
      <c r="F42656">
        <v>5990021</v>
      </c>
      <c r="G42656" t="s">
        <v>14243</v>
      </c>
      <c r="H42656" s="21">
        <v>418.12</v>
      </c>
    </row>
    <row r="42657" spans="1:8" customFormat="1" x14ac:dyDescent="0.25">
      <c r="A42657" t="str">
        <f>"5432054"</f>
        <v>5432054</v>
      </c>
      <c r="B42657" t="s">
        <v>15954</v>
      </c>
      <c r="C42657" t="s">
        <v>24865</v>
      </c>
      <c r="D42657" s="21" t="s">
        <v>24820</v>
      </c>
      <c r="E42657" s="21" t="s">
        <v>71</v>
      </c>
      <c r="F42657">
        <v>6540036</v>
      </c>
      <c r="G42657" t="s">
        <v>3612</v>
      </c>
      <c r="H42657" s="21">
        <v>416.88</v>
      </c>
    </row>
    <row r="42658" spans="1:8" customFormat="1" x14ac:dyDescent="0.25">
      <c r="A42658" t="str">
        <f>"2210224"</f>
        <v>2210224</v>
      </c>
      <c r="B42658" t="s">
        <v>26343</v>
      </c>
      <c r="C42658" t="s">
        <v>26344</v>
      </c>
      <c r="D42658" s="21" t="s">
        <v>24820</v>
      </c>
      <c r="E42658" s="21" t="s">
        <v>35</v>
      </c>
      <c r="F42658">
        <v>3220033</v>
      </c>
      <c r="G42658" t="s">
        <v>657</v>
      </c>
      <c r="H42658" s="21">
        <v>405.62</v>
      </c>
    </row>
    <row r="42659" spans="1:8" customFormat="1" x14ac:dyDescent="0.25">
      <c r="A42659" t="str">
        <f>"218876"</f>
        <v>218876</v>
      </c>
      <c r="B42659" t="s">
        <v>18839</v>
      </c>
      <c r="C42659" t="s">
        <v>25313</v>
      </c>
      <c r="D42659" s="21" t="s">
        <v>24820</v>
      </c>
      <c r="E42659" s="21" t="s">
        <v>254</v>
      </c>
      <c r="F42659">
        <v>2210088</v>
      </c>
      <c r="G42659" t="s">
        <v>2896</v>
      </c>
      <c r="H42659" s="21">
        <v>404.62</v>
      </c>
    </row>
    <row r="42660" spans="1:8" customFormat="1" x14ac:dyDescent="0.25">
      <c r="D42660" s="21"/>
      <c r="E42660" s="21"/>
      <c r="H42660" s="21"/>
    </row>
    <row r="42661" spans="1:8" customFormat="1" x14ac:dyDescent="0.25">
      <c r="D42661" s="21"/>
      <c r="E42661" s="21"/>
      <c r="H42661" s="21"/>
    </row>
    <row r="42662" spans="1:8" customFormat="1" x14ac:dyDescent="0.25">
      <c r="D42662" s="21"/>
      <c r="E42662" s="21"/>
      <c r="H42662" s="21"/>
    </row>
    <row r="42663" spans="1:8" customFormat="1" x14ac:dyDescent="0.25">
      <c r="D42663" s="21"/>
      <c r="E42663" s="21"/>
      <c r="H42663" s="21"/>
    </row>
    <row r="42664" spans="1:8" customFormat="1" x14ac:dyDescent="0.25">
      <c r="D42664" s="21"/>
      <c r="E42664" s="21"/>
      <c r="H42664" s="21"/>
    </row>
    <row r="42665" spans="1:8" customFormat="1" x14ac:dyDescent="0.25">
      <c r="D42665" s="21"/>
      <c r="E42665" s="21"/>
      <c r="H42665" s="21"/>
    </row>
    <row r="42666" spans="1:8" customFormat="1" x14ac:dyDescent="0.25">
      <c r="D42666" s="21"/>
      <c r="E42666" s="21"/>
      <c r="H42666" s="21"/>
    </row>
    <row r="42667" spans="1:8" customFormat="1" x14ac:dyDescent="0.25">
      <c r="D42667" s="21"/>
      <c r="E42667" s="21"/>
      <c r="H42667" s="21"/>
    </row>
    <row r="42668" spans="1:8" customFormat="1" x14ac:dyDescent="0.25">
      <c r="D42668" s="21"/>
      <c r="E42668" s="21"/>
      <c r="H42668" s="21"/>
    </row>
    <row r="42669" spans="1:8" customFormat="1" x14ac:dyDescent="0.25">
      <c r="D42669" s="21"/>
      <c r="E42669" s="21"/>
      <c r="H42669" s="21"/>
    </row>
    <row r="42670" spans="1:8" customFormat="1" x14ac:dyDescent="0.25">
      <c r="D42670" s="21"/>
      <c r="E42670" s="21"/>
      <c r="H42670" s="21"/>
    </row>
    <row r="42671" spans="1:8" customFormat="1" x14ac:dyDescent="0.25">
      <c r="D42671" s="21"/>
      <c r="E42671" s="21"/>
      <c r="H42671" s="21"/>
    </row>
    <row r="42672" spans="1:8" customFormat="1" x14ac:dyDescent="0.25">
      <c r="D42672" s="21"/>
      <c r="E42672" s="21"/>
      <c r="H42672" s="21"/>
    </row>
    <row r="42673" spans="4:8" customFormat="1" x14ac:dyDescent="0.25">
      <c r="D42673" s="21"/>
      <c r="E42673" s="21"/>
      <c r="H42673" s="21"/>
    </row>
    <row r="42674" spans="4:8" customFormat="1" x14ac:dyDescent="0.25">
      <c r="D42674" s="21"/>
      <c r="E42674" s="21"/>
      <c r="H42674" s="21"/>
    </row>
    <row r="42675" spans="4:8" customFormat="1" x14ac:dyDescent="0.25">
      <c r="D42675" s="21"/>
      <c r="E42675" s="21"/>
      <c r="H42675" s="21"/>
    </row>
    <row r="42676" spans="4:8" customFormat="1" x14ac:dyDescent="0.25">
      <c r="D42676" s="21"/>
      <c r="E42676" s="21"/>
      <c r="H42676" s="21"/>
    </row>
    <row r="42677" spans="4:8" customFormat="1" x14ac:dyDescent="0.25">
      <c r="D42677" s="21"/>
      <c r="E42677" s="21"/>
      <c r="H42677" s="21"/>
    </row>
    <row r="42678" spans="4:8" customFormat="1" x14ac:dyDescent="0.25">
      <c r="D42678" s="21"/>
      <c r="E42678" s="21"/>
      <c r="H42678" s="21"/>
    </row>
    <row r="42679" spans="4:8" customFormat="1" x14ac:dyDescent="0.25">
      <c r="D42679" s="21"/>
      <c r="E42679" s="21"/>
      <c r="H42679" s="21"/>
    </row>
    <row r="42680" spans="4:8" customFormat="1" x14ac:dyDescent="0.25">
      <c r="D42680" s="21"/>
      <c r="E42680" s="21"/>
      <c r="H42680" s="21"/>
    </row>
    <row r="42681" spans="4:8" customFormat="1" x14ac:dyDescent="0.25">
      <c r="D42681" s="21"/>
      <c r="E42681" s="21"/>
      <c r="H42681" s="21"/>
    </row>
    <row r="42682" spans="4:8" customFormat="1" x14ac:dyDescent="0.25">
      <c r="D42682" s="21"/>
      <c r="E42682" s="21"/>
      <c r="H42682" s="21"/>
    </row>
    <row r="42683" spans="4:8" customFormat="1" x14ac:dyDescent="0.25">
      <c r="D42683" s="21"/>
      <c r="E42683" s="21"/>
      <c r="H42683" s="21"/>
    </row>
    <row r="42684" spans="4:8" customFormat="1" x14ac:dyDescent="0.25">
      <c r="D42684" s="21"/>
      <c r="E42684" s="21"/>
      <c r="H42684" s="21"/>
    </row>
    <row r="42685" spans="4:8" customFormat="1" x14ac:dyDescent="0.25">
      <c r="D42685" s="21"/>
      <c r="E42685" s="21"/>
      <c r="H42685" s="21"/>
    </row>
    <row r="42686" spans="4:8" customFormat="1" x14ac:dyDescent="0.25">
      <c r="D42686" s="21"/>
      <c r="E42686" s="21"/>
      <c r="H42686" s="21"/>
    </row>
    <row r="42687" spans="4:8" customFormat="1" x14ac:dyDescent="0.25">
      <c r="D42687" s="21"/>
      <c r="E42687" s="21"/>
      <c r="H42687" s="21"/>
    </row>
    <row r="42688" spans="4:8" customFormat="1" x14ac:dyDescent="0.25">
      <c r="D42688" s="21"/>
      <c r="E42688" s="21"/>
      <c r="H42688" s="21"/>
    </row>
    <row r="42689" spans="4:8" customFormat="1" x14ac:dyDescent="0.25">
      <c r="D42689" s="21"/>
      <c r="E42689" s="21"/>
      <c r="H42689" s="21"/>
    </row>
    <row r="42690" spans="4:8" customFormat="1" x14ac:dyDescent="0.25">
      <c r="D42690" s="21"/>
      <c r="E42690" s="21"/>
      <c r="H42690" s="21"/>
    </row>
    <row r="42691" spans="4:8" customFormat="1" x14ac:dyDescent="0.25">
      <c r="D42691" s="21"/>
      <c r="E42691" s="21"/>
      <c r="H42691" s="21"/>
    </row>
    <row r="42692" spans="4:8" customFormat="1" x14ac:dyDescent="0.25">
      <c r="D42692" s="21"/>
      <c r="E42692" s="21"/>
      <c r="H42692" s="21"/>
    </row>
    <row r="42693" spans="4:8" customFormat="1" x14ac:dyDescent="0.25">
      <c r="D42693" s="21"/>
      <c r="E42693" s="21"/>
      <c r="H42693" s="21"/>
    </row>
    <row r="42694" spans="4:8" customFormat="1" x14ac:dyDescent="0.25">
      <c r="D42694" s="21"/>
      <c r="E42694" s="21"/>
      <c r="H42694" s="21"/>
    </row>
    <row r="42695" spans="4:8" customFormat="1" x14ac:dyDescent="0.25">
      <c r="D42695" s="21"/>
      <c r="E42695" s="21"/>
      <c r="H42695" s="21"/>
    </row>
    <row r="42696" spans="4:8" customFormat="1" x14ac:dyDescent="0.25">
      <c r="D42696" s="21"/>
      <c r="E42696" s="21"/>
      <c r="H42696" s="21"/>
    </row>
    <row r="42697" spans="4:8" customFormat="1" x14ac:dyDescent="0.25">
      <c r="D42697" s="21"/>
      <c r="E42697" s="21"/>
      <c r="H42697" s="21"/>
    </row>
    <row r="42698" spans="4:8" customFormat="1" x14ac:dyDescent="0.25">
      <c r="D42698" s="21"/>
      <c r="E42698" s="21"/>
      <c r="H42698" s="21"/>
    </row>
    <row r="42699" spans="4:8" customFormat="1" x14ac:dyDescent="0.25">
      <c r="D42699" s="21"/>
      <c r="E42699" s="21"/>
      <c r="H42699" s="21"/>
    </row>
    <row r="42700" spans="4:8" customFormat="1" x14ac:dyDescent="0.25">
      <c r="D42700" s="21"/>
      <c r="E42700" s="21"/>
      <c r="H42700" s="21"/>
    </row>
    <row r="42701" spans="4:8" customFormat="1" x14ac:dyDescent="0.25">
      <c r="D42701" s="21"/>
      <c r="E42701" s="21"/>
      <c r="H42701" s="21"/>
    </row>
    <row r="42702" spans="4:8" customFormat="1" x14ac:dyDescent="0.25">
      <c r="D42702" s="21"/>
      <c r="E42702" s="21"/>
      <c r="H42702" s="21"/>
    </row>
    <row r="42703" spans="4:8" customFormat="1" x14ac:dyDescent="0.25">
      <c r="D42703" s="21"/>
      <c r="E42703" s="21"/>
      <c r="H42703" s="21"/>
    </row>
    <row r="42704" spans="4:8" customFormat="1" x14ac:dyDescent="0.25">
      <c r="D42704" s="21"/>
      <c r="E42704" s="21"/>
      <c r="H42704" s="21"/>
    </row>
    <row r="42705" spans="4:8" customFormat="1" x14ac:dyDescent="0.25">
      <c r="D42705" s="21"/>
      <c r="E42705" s="21"/>
      <c r="H42705" s="21"/>
    </row>
    <row r="42706" spans="4:8" customFormat="1" x14ac:dyDescent="0.25">
      <c r="D42706" s="21"/>
      <c r="E42706" s="21"/>
      <c r="H42706" s="21"/>
    </row>
    <row r="42707" spans="4:8" customFormat="1" x14ac:dyDescent="0.25">
      <c r="D42707" s="21"/>
      <c r="E42707" s="21"/>
      <c r="H42707" s="21"/>
    </row>
    <row r="42708" spans="4:8" customFormat="1" x14ac:dyDescent="0.25">
      <c r="D42708" s="21"/>
      <c r="E42708" s="21"/>
      <c r="H42708" s="21"/>
    </row>
    <row r="42709" spans="4:8" customFormat="1" x14ac:dyDescent="0.25">
      <c r="D42709" s="21"/>
      <c r="E42709" s="21"/>
      <c r="H42709" s="21"/>
    </row>
    <row r="42710" spans="4:8" customFormat="1" x14ac:dyDescent="0.25">
      <c r="D42710" s="21"/>
      <c r="E42710" s="21"/>
      <c r="H42710" s="21"/>
    </row>
    <row r="42711" spans="4:8" customFormat="1" x14ac:dyDescent="0.25">
      <c r="D42711" s="21"/>
      <c r="E42711" s="21"/>
      <c r="H42711" s="21"/>
    </row>
    <row r="42712" spans="4:8" customFormat="1" x14ac:dyDescent="0.25">
      <c r="D42712" s="21"/>
      <c r="E42712" s="21"/>
      <c r="H42712" s="21"/>
    </row>
    <row r="42713" spans="4:8" customFormat="1" x14ac:dyDescent="0.25">
      <c r="D42713" s="21"/>
      <c r="E42713" s="21"/>
      <c r="H42713" s="21"/>
    </row>
    <row r="42714" spans="4:8" customFormat="1" x14ac:dyDescent="0.25">
      <c r="D42714" s="21"/>
      <c r="E42714" s="21"/>
      <c r="H42714" s="21"/>
    </row>
    <row r="42715" spans="4:8" customFormat="1" x14ac:dyDescent="0.25">
      <c r="D42715" s="21"/>
      <c r="E42715" s="21"/>
      <c r="H42715" s="21"/>
    </row>
    <row r="42716" spans="4:8" customFormat="1" x14ac:dyDescent="0.25">
      <c r="D42716" s="21"/>
      <c r="E42716" s="21"/>
      <c r="H42716" s="21"/>
    </row>
    <row r="42717" spans="4:8" customFormat="1" x14ac:dyDescent="0.25">
      <c r="D42717" s="21"/>
      <c r="E42717" s="21"/>
      <c r="H42717" s="21"/>
    </row>
    <row r="42718" spans="4:8" customFormat="1" x14ac:dyDescent="0.25">
      <c r="D42718" s="21"/>
      <c r="E42718" s="21"/>
      <c r="H42718" s="21"/>
    </row>
    <row r="42719" spans="4:8" customFormat="1" x14ac:dyDescent="0.25">
      <c r="D42719" s="21"/>
      <c r="E42719" s="21"/>
      <c r="H42719" s="21"/>
    </row>
    <row r="42720" spans="4:8" customFormat="1" x14ac:dyDescent="0.25">
      <c r="D42720" s="21"/>
      <c r="E42720" s="21"/>
      <c r="H42720" s="21"/>
    </row>
    <row r="42721" spans="4:8" customFormat="1" x14ac:dyDescent="0.25">
      <c r="D42721" s="21"/>
      <c r="E42721" s="21"/>
      <c r="H42721" s="21"/>
    </row>
    <row r="42722" spans="4:8" customFormat="1" x14ac:dyDescent="0.25">
      <c r="D42722" s="21"/>
      <c r="E42722" s="21"/>
      <c r="H42722" s="21"/>
    </row>
    <row r="42723" spans="4:8" customFormat="1" x14ac:dyDescent="0.25">
      <c r="D42723" s="21"/>
      <c r="E42723" s="21"/>
      <c r="H42723" s="21"/>
    </row>
    <row r="42724" spans="4:8" customFormat="1" x14ac:dyDescent="0.25">
      <c r="D42724" s="21"/>
      <c r="E42724" s="21"/>
      <c r="H42724" s="21"/>
    </row>
    <row r="42725" spans="4:8" customFormat="1" x14ac:dyDescent="0.25">
      <c r="D42725" s="21"/>
      <c r="E42725" s="21"/>
      <c r="H42725" s="21"/>
    </row>
    <row r="42726" spans="4:8" customFormat="1" x14ac:dyDescent="0.25">
      <c r="D42726" s="21"/>
      <c r="E42726" s="21"/>
      <c r="H42726" s="21"/>
    </row>
    <row r="42727" spans="4:8" customFormat="1" x14ac:dyDescent="0.25">
      <c r="D42727" s="21"/>
      <c r="E42727" s="21"/>
      <c r="H42727" s="21"/>
    </row>
    <row r="42728" spans="4:8" customFormat="1" x14ac:dyDescent="0.25">
      <c r="D42728" s="21"/>
      <c r="E42728" s="21"/>
      <c r="H42728" s="21"/>
    </row>
    <row r="42729" spans="4:8" customFormat="1" x14ac:dyDescent="0.25">
      <c r="D42729" s="21"/>
      <c r="E42729" s="21"/>
      <c r="H42729" s="21"/>
    </row>
    <row r="42730" spans="4:8" customFormat="1" x14ac:dyDescent="0.25">
      <c r="D42730" s="21"/>
      <c r="E42730" s="21"/>
      <c r="H42730" s="21"/>
    </row>
    <row r="42731" spans="4:8" customFormat="1" x14ac:dyDescent="0.25">
      <c r="D42731" s="21"/>
      <c r="E42731" s="21"/>
      <c r="H42731" s="21"/>
    </row>
    <row r="42732" spans="4:8" customFormat="1" x14ac:dyDescent="0.25">
      <c r="D42732" s="21"/>
      <c r="E42732" s="21"/>
      <c r="H42732" s="21"/>
    </row>
    <row r="42733" spans="4:8" customFormat="1" x14ac:dyDescent="0.25">
      <c r="D42733" s="21"/>
      <c r="E42733" s="21"/>
      <c r="H42733" s="21"/>
    </row>
    <row r="42734" spans="4:8" customFormat="1" x14ac:dyDescent="0.25">
      <c r="D42734" s="21"/>
      <c r="E42734" s="21"/>
      <c r="H42734" s="21"/>
    </row>
    <row r="42735" spans="4:8" customFormat="1" x14ac:dyDescent="0.25">
      <c r="D42735" s="21"/>
      <c r="E42735" s="21"/>
      <c r="H42735" s="21"/>
    </row>
    <row r="42736" spans="4:8" customFormat="1" x14ac:dyDescent="0.25">
      <c r="D42736" s="21"/>
      <c r="E42736" s="21"/>
      <c r="H42736" s="21"/>
    </row>
    <row r="42737" spans="4:8" customFormat="1" x14ac:dyDescent="0.25">
      <c r="D42737" s="21"/>
      <c r="E42737" s="21"/>
      <c r="H42737" s="21"/>
    </row>
    <row r="42738" spans="4:8" customFormat="1" x14ac:dyDescent="0.25">
      <c r="D42738" s="21"/>
      <c r="E42738" s="21"/>
      <c r="H42738" s="21"/>
    </row>
    <row r="42739" spans="4:8" customFormat="1" x14ac:dyDescent="0.25">
      <c r="D42739" s="21"/>
      <c r="E42739" s="21"/>
      <c r="H42739" s="21"/>
    </row>
    <row r="42740" spans="4:8" customFormat="1" x14ac:dyDescent="0.25">
      <c r="D42740" s="21"/>
      <c r="E42740" s="21"/>
      <c r="H42740" s="21"/>
    </row>
    <row r="42741" spans="4:8" customFormat="1" x14ac:dyDescent="0.25">
      <c r="D42741" s="21"/>
      <c r="E42741" s="21"/>
      <c r="H42741" s="21"/>
    </row>
    <row r="42742" spans="4:8" customFormat="1" x14ac:dyDescent="0.25">
      <c r="D42742" s="21"/>
      <c r="E42742" s="21"/>
      <c r="H42742" s="21"/>
    </row>
    <row r="42743" spans="4:8" customFormat="1" x14ac:dyDescent="0.25">
      <c r="D42743" s="21"/>
      <c r="E42743" s="21"/>
      <c r="H42743" s="21"/>
    </row>
    <row r="42744" spans="4:8" customFormat="1" x14ac:dyDescent="0.25">
      <c r="D42744" s="21"/>
      <c r="E42744" s="21"/>
      <c r="H42744" s="21"/>
    </row>
    <row r="42745" spans="4:8" customFormat="1" x14ac:dyDescent="0.25">
      <c r="D42745" s="21"/>
      <c r="E42745" s="21"/>
      <c r="H42745" s="21"/>
    </row>
    <row r="42746" spans="4:8" customFormat="1" x14ac:dyDescent="0.25">
      <c r="D42746" s="21"/>
      <c r="E42746" s="21"/>
      <c r="H42746" s="21"/>
    </row>
    <row r="42747" spans="4:8" customFormat="1" x14ac:dyDescent="0.25">
      <c r="D42747" s="21"/>
      <c r="E42747" s="21"/>
      <c r="H42747" s="21"/>
    </row>
    <row r="42748" spans="4:8" customFormat="1" x14ac:dyDescent="0.25">
      <c r="D42748" s="21"/>
      <c r="E42748" s="21"/>
      <c r="H42748" s="21"/>
    </row>
    <row r="42749" spans="4:8" customFormat="1" x14ac:dyDescent="0.25">
      <c r="D42749" s="21"/>
      <c r="E42749" s="21"/>
      <c r="H42749" s="21"/>
    </row>
    <row r="42750" spans="4:8" customFormat="1" x14ac:dyDescent="0.25">
      <c r="D42750" s="21"/>
      <c r="E42750" s="21"/>
      <c r="H42750" s="21"/>
    </row>
    <row r="42751" spans="4:8" customFormat="1" x14ac:dyDescent="0.25">
      <c r="D42751" s="21"/>
      <c r="E42751" s="21"/>
      <c r="H42751" s="21"/>
    </row>
    <row r="42752" spans="4:8" customFormat="1" x14ac:dyDescent="0.25">
      <c r="D42752" s="21"/>
      <c r="E42752" s="21"/>
      <c r="H42752" s="21"/>
    </row>
    <row r="42753" spans="4:8" customFormat="1" x14ac:dyDescent="0.25">
      <c r="D42753" s="21"/>
      <c r="E42753" s="21"/>
      <c r="H42753" s="21"/>
    </row>
    <row r="42754" spans="4:8" customFormat="1" x14ac:dyDescent="0.25">
      <c r="D42754" s="21"/>
      <c r="E42754" s="21"/>
      <c r="H42754" s="21"/>
    </row>
    <row r="42755" spans="4:8" customFormat="1" x14ac:dyDescent="0.25">
      <c r="D42755" s="21"/>
      <c r="E42755" s="21"/>
      <c r="H42755" s="21"/>
    </row>
    <row r="42756" spans="4:8" customFormat="1" x14ac:dyDescent="0.25">
      <c r="D42756" s="21"/>
      <c r="E42756" s="21"/>
      <c r="H42756" s="21"/>
    </row>
    <row r="42757" spans="4:8" customFormat="1" x14ac:dyDescent="0.25">
      <c r="D42757" s="21"/>
      <c r="E42757" s="21"/>
      <c r="H42757" s="21"/>
    </row>
    <row r="42758" spans="4:8" customFormat="1" x14ac:dyDescent="0.25">
      <c r="D42758" s="21"/>
      <c r="E42758" s="21"/>
      <c r="H42758" s="21"/>
    </row>
    <row r="42759" spans="4:8" customFormat="1" x14ac:dyDescent="0.25">
      <c r="D42759" s="21"/>
      <c r="E42759" s="21"/>
      <c r="H42759" s="21"/>
    </row>
    <row r="42760" spans="4:8" customFormat="1" x14ac:dyDescent="0.25">
      <c r="D42760" s="21"/>
      <c r="E42760" s="21"/>
      <c r="H42760" s="21"/>
    </row>
    <row r="42761" spans="4:8" customFormat="1" x14ac:dyDescent="0.25">
      <c r="D42761" s="21"/>
      <c r="E42761" s="21"/>
      <c r="H42761" s="21"/>
    </row>
    <row r="42762" spans="4:8" customFormat="1" x14ac:dyDescent="0.25">
      <c r="D42762" s="21"/>
      <c r="E42762" s="21"/>
      <c r="H42762" s="21"/>
    </row>
    <row r="42763" spans="4:8" customFormat="1" x14ac:dyDescent="0.25">
      <c r="D42763" s="21"/>
      <c r="E42763" s="21"/>
      <c r="H42763" s="21"/>
    </row>
    <row r="42764" spans="4:8" customFormat="1" x14ac:dyDescent="0.25">
      <c r="D42764" s="21"/>
      <c r="E42764" s="21"/>
      <c r="H42764" s="21"/>
    </row>
    <row r="42765" spans="4:8" customFormat="1" x14ac:dyDescent="0.25">
      <c r="D42765" s="21"/>
      <c r="E42765" s="21"/>
      <c r="H42765" s="21"/>
    </row>
    <row r="42766" spans="4:8" customFormat="1" x14ac:dyDescent="0.25">
      <c r="D42766" s="21"/>
      <c r="E42766" s="21"/>
      <c r="H42766" s="21"/>
    </row>
    <row r="42767" spans="4:8" customFormat="1" x14ac:dyDescent="0.25">
      <c r="D42767" s="21"/>
      <c r="E42767" s="21"/>
      <c r="H42767" s="21"/>
    </row>
    <row r="42768" spans="4:8" customFormat="1" x14ac:dyDescent="0.25">
      <c r="D42768" s="21"/>
      <c r="E42768" s="21"/>
      <c r="H42768" s="21"/>
    </row>
    <row r="42769" spans="4:8" customFormat="1" x14ac:dyDescent="0.25">
      <c r="D42769" s="21"/>
      <c r="E42769" s="21"/>
      <c r="H42769" s="21"/>
    </row>
    <row r="42770" spans="4:8" customFormat="1" x14ac:dyDescent="0.25">
      <c r="D42770" s="21"/>
      <c r="E42770" s="21"/>
      <c r="H42770" s="21"/>
    </row>
    <row r="42771" spans="4:8" customFormat="1" x14ac:dyDescent="0.25">
      <c r="D42771" s="21"/>
      <c r="E42771" s="21"/>
      <c r="H42771" s="21"/>
    </row>
    <row r="42772" spans="4:8" customFormat="1" x14ac:dyDescent="0.25">
      <c r="D42772" s="21"/>
      <c r="E42772" s="21"/>
      <c r="H42772" s="21"/>
    </row>
    <row r="42773" spans="4:8" customFormat="1" x14ac:dyDescent="0.25">
      <c r="D42773" s="21"/>
      <c r="E42773" s="21"/>
      <c r="H42773" s="21"/>
    </row>
    <row r="42774" spans="4:8" customFormat="1" x14ac:dyDescent="0.25">
      <c r="D42774" s="21"/>
      <c r="E42774" s="21"/>
      <c r="H42774" s="21"/>
    </row>
    <row r="42775" spans="4:8" customFormat="1" x14ac:dyDescent="0.25">
      <c r="D42775" s="21"/>
      <c r="E42775" s="21"/>
      <c r="H42775" s="21"/>
    </row>
    <row r="42776" spans="4:8" customFormat="1" x14ac:dyDescent="0.25">
      <c r="D42776" s="21"/>
      <c r="E42776" s="21"/>
      <c r="H42776" s="21"/>
    </row>
    <row r="42777" spans="4:8" customFormat="1" x14ac:dyDescent="0.25">
      <c r="D42777" s="21"/>
      <c r="E42777" s="21"/>
      <c r="H42777" s="21"/>
    </row>
    <row r="42778" spans="4:8" customFormat="1" x14ac:dyDescent="0.25">
      <c r="D42778" s="21"/>
      <c r="E42778" s="21"/>
      <c r="H42778" s="21"/>
    </row>
    <row r="42779" spans="4:8" customFormat="1" x14ac:dyDescent="0.25">
      <c r="D42779" s="21"/>
      <c r="E42779" s="21"/>
      <c r="H42779" s="21"/>
    </row>
    <row r="42780" spans="4:8" customFormat="1" x14ac:dyDescent="0.25">
      <c r="D42780" s="21"/>
      <c r="E42780" s="21"/>
      <c r="H42780" s="21"/>
    </row>
    <row r="42781" spans="4:8" customFormat="1" x14ac:dyDescent="0.25">
      <c r="D42781" s="21"/>
      <c r="E42781" s="21"/>
      <c r="H42781" s="21"/>
    </row>
    <row r="42782" spans="4:8" customFormat="1" x14ac:dyDescent="0.25">
      <c r="D42782" s="21"/>
      <c r="E42782" s="21"/>
      <c r="H42782" s="21"/>
    </row>
    <row r="42783" spans="4:8" customFormat="1" x14ac:dyDescent="0.25">
      <c r="D42783" s="21"/>
      <c r="E42783" s="21"/>
      <c r="H42783" s="21"/>
    </row>
    <row r="42784" spans="4:8" customFormat="1" x14ac:dyDescent="0.25">
      <c r="D42784" s="21"/>
      <c r="E42784" s="21"/>
      <c r="H42784" s="21"/>
    </row>
    <row r="42785" spans="4:8" customFormat="1" x14ac:dyDescent="0.25">
      <c r="D42785" s="21"/>
      <c r="E42785" s="21"/>
      <c r="H42785" s="21"/>
    </row>
    <row r="42786" spans="4:8" customFormat="1" x14ac:dyDescent="0.25">
      <c r="D42786" s="21"/>
      <c r="E42786" s="21"/>
      <c r="H42786" s="21"/>
    </row>
    <row r="42787" spans="4:8" customFormat="1" x14ac:dyDescent="0.25">
      <c r="D42787" s="21"/>
      <c r="E42787" s="21"/>
      <c r="H42787" s="21"/>
    </row>
    <row r="42788" spans="4:8" customFormat="1" x14ac:dyDescent="0.25">
      <c r="D42788" s="21"/>
      <c r="E42788" s="21"/>
      <c r="H42788" s="21"/>
    </row>
    <row r="42789" spans="4:8" customFormat="1" x14ac:dyDescent="0.25">
      <c r="D42789" s="21"/>
      <c r="E42789" s="21"/>
      <c r="H42789" s="21"/>
    </row>
    <row r="42790" spans="4:8" customFormat="1" x14ac:dyDescent="0.25">
      <c r="D42790" s="21"/>
      <c r="E42790" s="21"/>
      <c r="H42790" s="21"/>
    </row>
    <row r="42791" spans="4:8" customFormat="1" x14ac:dyDescent="0.25">
      <c r="D42791" s="21"/>
      <c r="E42791" s="21"/>
      <c r="H42791" s="21"/>
    </row>
    <row r="42792" spans="4:8" customFormat="1" x14ac:dyDescent="0.25">
      <c r="D42792" s="21"/>
      <c r="E42792" s="21"/>
      <c r="H42792" s="21"/>
    </row>
    <row r="42793" spans="4:8" customFormat="1" x14ac:dyDescent="0.25">
      <c r="D42793" s="21"/>
      <c r="E42793" s="21"/>
      <c r="H42793" s="21"/>
    </row>
    <row r="42794" spans="4:8" customFormat="1" x14ac:dyDescent="0.25">
      <c r="D42794" s="21"/>
      <c r="E42794" s="21"/>
      <c r="H42794" s="21"/>
    </row>
    <row r="42795" spans="4:8" customFormat="1" x14ac:dyDescent="0.25">
      <c r="D42795" s="21"/>
      <c r="E42795" s="21"/>
      <c r="H42795" s="21"/>
    </row>
    <row r="42796" spans="4:8" customFormat="1" x14ac:dyDescent="0.25">
      <c r="D42796" s="21"/>
      <c r="E42796" s="21"/>
      <c r="H42796" s="21"/>
    </row>
    <row r="42797" spans="4:8" customFormat="1" x14ac:dyDescent="0.25">
      <c r="D42797" s="21"/>
      <c r="E42797" s="21"/>
      <c r="H42797" s="21"/>
    </row>
    <row r="42798" spans="4:8" customFormat="1" x14ac:dyDescent="0.25">
      <c r="D42798" s="21"/>
      <c r="E42798" s="21"/>
      <c r="H42798" s="21"/>
    </row>
    <row r="42799" spans="4:8" customFormat="1" x14ac:dyDescent="0.25">
      <c r="D42799" s="21"/>
      <c r="E42799" s="21"/>
      <c r="H42799" s="21"/>
    </row>
    <row r="42800" spans="4:8" customFormat="1" x14ac:dyDescent="0.25">
      <c r="D42800" s="21"/>
      <c r="E42800" s="21"/>
      <c r="H42800" s="21"/>
    </row>
    <row r="42801" spans="4:8" customFormat="1" x14ac:dyDescent="0.25">
      <c r="D42801" s="21"/>
      <c r="E42801" s="21"/>
      <c r="H42801" s="21"/>
    </row>
    <row r="42802" spans="4:8" customFormat="1" x14ac:dyDescent="0.25">
      <c r="D42802" s="21"/>
      <c r="E42802" s="21"/>
      <c r="H42802" s="21"/>
    </row>
    <row r="42803" spans="4:8" customFormat="1" x14ac:dyDescent="0.25">
      <c r="D42803" s="21"/>
      <c r="E42803" s="21"/>
      <c r="H42803" s="21"/>
    </row>
    <row r="42804" spans="4:8" customFormat="1" x14ac:dyDescent="0.25">
      <c r="D42804" s="21"/>
      <c r="E42804" s="21"/>
      <c r="H42804" s="21"/>
    </row>
    <row r="42805" spans="4:8" customFormat="1" x14ac:dyDescent="0.25">
      <c r="D42805" s="21"/>
      <c r="E42805" s="21"/>
      <c r="H42805" s="21"/>
    </row>
    <row r="42806" spans="4:8" customFormat="1" x14ac:dyDescent="0.25">
      <c r="D42806" s="21"/>
      <c r="E42806" s="21"/>
      <c r="H42806" s="21"/>
    </row>
    <row r="42807" spans="4:8" customFormat="1" x14ac:dyDescent="0.25">
      <c r="D42807" s="21"/>
      <c r="E42807" s="21"/>
      <c r="H42807" s="21"/>
    </row>
    <row r="42808" spans="4:8" customFormat="1" x14ac:dyDescent="0.25">
      <c r="D42808" s="21"/>
      <c r="E42808" s="21"/>
      <c r="H42808" s="21"/>
    </row>
    <row r="42809" spans="4:8" customFormat="1" x14ac:dyDescent="0.25">
      <c r="D42809" s="21"/>
      <c r="E42809" s="21"/>
      <c r="H42809" s="21"/>
    </row>
    <row r="42810" spans="4:8" customFormat="1" x14ac:dyDescent="0.25">
      <c r="D42810" s="21"/>
      <c r="E42810" s="21"/>
      <c r="H42810" s="21"/>
    </row>
    <row r="42811" spans="4:8" customFormat="1" x14ac:dyDescent="0.25">
      <c r="D42811" s="21"/>
      <c r="E42811" s="21"/>
      <c r="H42811" s="21"/>
    </row>
    <row r="42812" spans="4:8" customFormat="1" x14ac:dyDescent="0.25">
      <c r="D42812" s="21"/>
      <c r="E42812" s="21"/>
      <c r="H42812" s="21"/>
    </row>
    <row r="42813" spans="4:8" customFormat="1" x14ac:dyDescent="0.25">
      <c r="D42813" s="21"/>
      <c r="E42813" s="21"/>
      <c r="H42813" s="21"/>
    </row>
    <row r="42814" spans="4:8" customFormat="1" x14ac:dyDescent="0.25">
      <c r="D42814" s="21"/>
      <c r="E42814" s="21"/>
      <c r="H42814" s="21"/>
    </row>
    <row r="42815" spans="4:8" customFormat="1" x14ac:dyDescent="0.25">
      <c r="D42815" s="21"/>
      <c r="E42815" s="21"/>
      <c r="H42815" s="21"/>
    </row>
    <row r="42816" spans="4:8" customFormat="1" x14ac:dyDescent="0.25">
      <c r="D42816" s="21"/>
      <c r="E42816" s="21"/>
      <c r="H42816" s="21"/>
    </row>
    <row r="42817" spans="4:8" customFormat="1" x14ac:dyDescent="0.25">
      <c r="D42817" s="21"/>
      <c r="E42817" s="21"/>
      <c r="H42817" s="21"/>
    </row>
    <row r="42818" spans="4:8" customFormat="1" x14ac:dyDescent="0.25">
      <c r="D42818" s="21"/>
      <c r="E42818" s="21"/>
      <c r="H42818" s="21"/>
    </row>
    <row r="42819" spans="4:8" customFormat="1" x14ac:dyDescent="0.25">
      <c r="D42819" s="21"/>
      <c r="E42819" s="21"/>
      <c r="H42819" s="21"/>
    </row>
    <row r="42820" spans="4:8" customFormat="1" x14ac:dyDescent="0.25">
      <c r="D42820" s="21"/>
      <c r="E42820" s="21"/>
      <c r="H42820" s="21"/>
    </row>
    <row r="42821" spans="4:8" customFormat="1" x14ac:dyDescent="0.25">
      <c r="D42821" s="21"/>
      <c r="E42821" s="21"/>
      <c r="H42821" s="21"/>
    </row>
    <row r="42822" spans="4:8" customFormat="1" x14ac:dyDescent="0.25">
      <c r="D42822" s="21"/>
      <c r="E42822" s="21"/>
      <c r="H42822" s="21"/>
    </row>
    <row r="42823" spans="4:8" customFormat="1" x14ac:dyDescent="0.25">
      <c r="D42823" s="21"/>
      <c r="E42823" s="21"/>
      <c r="H42823" s="21"/>
    </row>
    <row r="42824" spans="4:8" customFormat="1" x14ac:dyDescent="0.25">
      <c r="D42824" s="21"/>
      <c r="E42824" s="21"/>
      <c r="H42824" s="21"/>
    </row>
    <row r="42825" spans="4:8" customFormat="1" x14ac:dyDescent="0.25">
      <c r="D42825" s="21"/>
      <c r="E42825" s="21"/>
      <c r="H42825" s="21"/>
    </row>
    <row r="42826" spans="4:8" customFormat="1" x14ac:dyDescent="0.25">
      <c r="D42826" s="21"/>
      <c r="E42826" s="21"/>
      <c r="H42826" s="21"/>
    </row>
    <row r="42827" spans="4:8" customFormat="1" x14ac:dyDescent="0.25">
      <c r="D42827" s="21"/>
      <c r="E42827" s="21"/>
      <c r="H42827" s="21"/>
    </row>
    <row r="42828" spans="4:8" customFormat="1" x14ac:dyDescent="0.25">
      <c r="D42828" s="21"/>
      <c r="E42828" s="21"/>
      <c r="H42828" s="21"/>
    </row>
    <row r="42829" spans="4:8" customFormat="1" x14ac:dyDescent="0.25">
      <c r="D42829" s="21"/>
      <c r="E42829" s="21"/>
      <c r="H42829" s="21"/>
    </row>
    <row r="42830" spans="4:8" customFormat="1" x14ac:dyDescent="0.25">
      <c r="D42830" s="21"/>
      <c r="E42830" s="21"/>
      <c r="H42830" s="21"/>
    </row>
    <row r="42831" spans="4:8" customFormat="1" x14ac:dyDescent="0.25">
      <c r="D42831" s="21"/>
      <c r="E42831" s="21"/>
      <c r="H42831" s="21"/>
    </row>
    <row r="42832" spans="4:8" customFormat="1" x14ac:dyDescent="0.25">
      <c r="D42832" s="21"/>
      <c r="E42832" s="21"/>
      <c r="H42832" s="21"/>
    </row>
    <row r="42833" spans="4:8" customFormat="1" x14ac:dyDescent="0.25">
      <c r="D42833" s="21"/>
      <c r="E42833" s="21"/>
      <c r="H42833" s="21"/>
    </row>
    <row r="42834" spans="4:8" customFormat="1" x14ac:dyDescent="0.25">
      <c r="D42834" s="21"/>
      <c r="E42834" s="21"/>
      <c r="H42834" s="21"/>
    </row>
    <row r="42835" spans="4:8" customFormat="1" x14ac:dyDescent="0.25">
      <c r="D42835" s="21"/>
      <c r="E42835" s="21"/>
      <c r="H42835" s="21"/>
    </row>
    <row r="42836" spans="4:8" customFormat="1" x14ac:dyDescent="0.25">
      <c r="D42836" s="21"/>
      <c r="E42836" s="21"/>
      <c r="H42836" s="21"/>
    </row>
    <row r="42837" spans="4:8" customFormat="1" x14ac:dyDescent="0.25">
      <c r="D42837" s="21"/>
      <c r="E42837" s="21"/>
      <c r="H42837" s="21"/>
    </row>
    <row r="42838" spans="4:8" customFormat="1" x14ac:dyDescent="0.25">
      <c r="D42838" s="21"/>
      <c r="E42838" s="21"/>
      <c r="H42838" s="21"/>
    </row>
    <row r="42839" spans="4:8" customFormat="1" x14ac:dyDescent="0.25">
      <c r="D42839" s="21"/>
      <c r="E42839" s="21"/>
      <c r="H42839" s="21"/>
    </row>
    <row r="42840" spans="4:8" customFormat="1" x14ac:dyDescent="0.25">
      <c r="D42840" s="21"/>
      <c r="E42840" s="21"/>
      <c r="H42840" s="21"/>
    </row>
    <row r="42841" spans="4:8" customFormat="1" x14ac:dyDescent="0.25">
      <c r="D42841" s="21"/>
      <c r="E42841" s="21"/>
      <c r="H42841" s="21"/>
    </row>
    <row r="42842" spans="4:8" customFormat="1" x14ac:dyDescent="0.25">
      <c r="D42842" s="21"/>
      <c r="E42842" s="21"/>
      <c r="H42842" s="21"/>
    </row>
    <row r="42843" spans="4:8" customFormat="1" x14ac:dyDescent="0.25">
      <c r="D42843" s="21"/>
      <c r="E42843" s="21"/>
      <c r="H42843" s="21"/>
    </row>
    <row r="42844" spans="4:8" customFormat="1" x14ac:dyDescent="0.25">
      <c r="D42844" s="21"/>
      <c r="E42844" s="21"/>
      <c r="H42844" s="21"/>
    </row>
    <row r="42845" spans="4:8" customFormat="1" x14ac:dyDescent="0.25">
      <c r="D42845" s="21"/>
      <c r="E42845" s="21"/>
      <c r="H42845" s="21"/>
    </row>
    <row r="42846" spans="4:8" customFormat="1" x14ac:dyDescent="0.25">
      <c r="D42846" s="21"/>
      <c r="E42846" s="21"/>
      <c r="H42846" s="21"/>
    </row>
    <row r="42847" spans="4:8" customFormat="1" x14ac:dyDescent="0.25">
      <c r="D42847" s="21"/>
      <c r="E42847" s="21"/>
      <c r="H42847" s="21"/>
    </row>
    <row r="42848" spans="4:8" customFormat="1" x14ac:dyDescent="0.25">
      <c r="D42848" s="21"/>
      <c r="E42848" s="21"/>
      <c r="H42848" s="21"/>
    </row>
    <row r="42849" spans="4:8" customFormat="1" x14ac:dyDescent="0.25">
      <c r="D42849" s="21"/>
      <c r="E42849" s="21"/>
      <c r="H42849" s="21"/>
    </row>
    <row r="42850" spans="4:8" customFormat="1" x14ac:dyDescent="0.25">
      <c r="D42850" s="21"/>
      <c r="E42850" s="21"/>
      <c r="H42850" s="21"/>
    </row>
    <row r="42851" spans="4:8" customFormat="1" x14ac:dyDescent="0.25">
      <c r="D42851" s="21"/>
      <c r="E42851" s="21"/>
      <c r="H42851" s="21"/>
    </row>
    <row r="42852" spans="4:8" customFormat="1" x14ac:dyDescent="0.25">
      <c r="D42852" s="21"/>
      <c r="E42852" s="21"/>
      <c r="H42852" s="21"/>
    </row>
    <row r="42853" spans="4:8" customFormat="1" x14ac:dyDescent="0.25">
      <c r="D42853" s="21"/>
      <c r="E42853" s="21"/>
      <c r="H42853" s="21"/>
    </row>
    <row r="42854" spans="4:8" customFormat="1" x14ac:dyDescent="0.25">
      <c r="D42854" s="21"/>
      <c r="E42854" s="21"/>
      <c r="H42854" s="21"/>
    </row>
    <row r="42855" spans="4:8" customFormat="1" x14ac:dyDescent="0.25">
      <c r="D42855" s="21"/>
      <c r="E42855" s="21"/>
      <c r="H42855" s="21"/>
    </row>
    <row r="42856" spans="4:8" customFormat="1" x14ac:dyDescent="0.25">
      <c r="D42856" s="21"/>
      <c r="E42856" s="21"/>
      <c r="H42856" s="21"/>
    </row>
    <row r="42857" spans="4:8" customFormat="1" x14ac:dyDescent="0.25">
      <c r="D42857" s="21"/>
      <c r="E42857" s="21"/>
      <c r="H42857" s="21"/>
    </row>
    <row r="42858" spans="4:8" customFormat="1" x14ac:dyDescent="0.25">
      <c r="D42858" s="21"/>
      <c r="E42858" s="21"/>
      <c r="H42858" s="21"/>
    </row>
    <row r="42859" spans="4:8" customFormat="1" x14ac:dyDescent="0.25">
      <c r="D42859" s="21"/>
      <c r="E42859" s="21"/>
      <c r="H42859" s="21"/>
    </row>
    <row r="42860" spans="4:8" customFormat="1" x14ac:dyDescent="0.25">
      <c r="D42860" s="21"/>
      <c r="E42860" s="21"/>
      <c r="H42860" s="21"/>
    </row>
    <row r="42861" spans="4:8" customFormat="1" x14ac:dyDescent="0.25">
      <c r="D42861" s="21"/>
      <c r="E42861" s="21"/>
      <c r="H42861" s="21"/>
    </row>
    <row r="42862" spans="4:8" customFormat="1" x14ac:dyDescent="0.25">
      <c r="D42862" s="21"/>
      <c r="E42862" s="21"/>
      <c r="H42862" s="21"/>
    </row>
    <row r="42863" spans="4:8" customFormat="1" x14ac:dyDescent="0.25">
      <c r="D42863" s="21"/>
      <c r="E42863" s="21"/>
      <c r="H42863" s="21"/>
    </row>
    <row r="42864" spans="4:8" customFormat="1" x14ac:dyDescent="0.25">
      <c r="D42864" s="21"/>
      <c r="E42864" s="21"/>
      <c r="H42864" s="21"/>
    </row>
    <row r="42865" spans="4:8" customFormat="1" x14ac:dyDescent="0.25">
      <c r="D42865" s="21"/>
      <c r="E42865" s="21"/>
      <c r="H42865" s="21"/>
    </row>
    <row r="42866" spans="4:8" customFormat="1" x14ac:dyDescent="0.25">
      <c r="D42866" s="21"/>
      <c r="E42866" s="21"/>
      <c r="H42866" s="21"/>
    </row>
    <row r="42867" spans="4:8" customFormat="1" x14ac:dyDescent="0.25">
      <c r="D42867" s="21"/>
      <c r="E42867" s="21"/>
      <c r="H42867" s="21"/>
    </row>
    <row r="42868" spans="4:8" customFormat="1" x14ac:dyDescent="0.25">
      <c r="D42868" s="21"/>
      <c r="E42868" s="21"/>
      <c r="H42868" s="21"/>
    </row>
    <row r="42869" spans="4:8" customFormat="1" x14ac:dyDescent="0.25">
      <c r="D42869" s="21"/>
      <c r="E42869" s="21"/>
      <c r="H42869" s="21"/>
    </row>
    <row r="42870" spans="4:8" customFormat="1" x14ac:dyDescent="0.25">
      <c r="D42870" s="21"/>
      <c r="E42870" s="21"/>
      <c r="H42870" s="21"/>
    </row>
    <row r="42871" spans="4:8" customFormat="1" x14ac:dyDescent="0.25">
      <c r="D42871" s="21"/>
      <c r="E42871" s="21"/>
      <c r="H42871" s="21"/>
    </row>
    <row r="42872" spans="4:8" customFormat="1" x14ac:dyDescent="0.25">
      <c r="D42872" s="21"/>
      <c r="E42872" s="21"/>
      <c r="H42872" s="21"/>
    </row>
    <row r="42873" spans="4:8" customFormat="1" x14ac:dyDescent="0.25">
      <c r="D42873" s="21"/>
      <c r="E42873" s="21"/>
      <c r="H42873" s="21"/>
    </row>
    <row r="42874" spans="4:8" customFormat="1" x14ac:dyDescent="0.25">
      <c r="D42874" s="21"/>
      <c r="E42874" s="21"/>
      <c r="H42874" s="21"/>
    </row>
    <row r="42875" spans="4:8" customFormat="1" x14ac:dyDescent="0.25">
      <c r="D42875" s="21"/>
      <c r="E42875" s="21"/>
      <c r="H42875" s="21"/>
    </row>
    <row r="42876" spans="4:8" customFormat="1" x14ac:dyDescent="0.25">
      <c r="D42876" s="21"/>
      <c r="E42876" s="21"/>
      <c r="H42876" s="21"/>
    </row>
    <row r="42877" spans="4:8" customFormat="1" x14ac:dyDescent="0.25">
      <c r="D42877" s="21"/>
      <c r="E42877" s="21"/>
      <c r="H42877" s="21"/>
    </row>
    <row r="42878" spans="4:8" customFormat="1" x14ac:dyDescent="0.25">
      <c r="D42878" s="21"/>
      <c r="E42878" s="21"/>
      <c r="H42878" s="21"/>
    </row>
    <row r="42879" spans="4:8" customFormat="1" x14ac:dyDescent="0.25">
      <c r="D42879" s="21"/>
      <c r="E42879" s="21"/>
      <c r="H42879" s="21"/>
    </row>
    <row r="42880" spans="4:8" customFormat="1" x14ac:dyDescent="0.25">
      <c r="D42880" s="21"/>
      <c r="E42880" s="21"/>
      <c r="H42880" s="21"/>
    </row>
    <row r="42881" spans="4:8" customFormat="1" x14ac:dyDescent="0.25">
      <c r="D42881" s="21"/>
      <c r="E42881" s="21"/>
      <c r="H42881" s="21"/>
    </row>
    <row r="42882" spans="4:8" customFormat="1" x14ac:dyDescent="0.25">
      <c r="D42882" s="21"/>
      <c r="E42882" s="21"/>
      <c r="H42882" s="21"/>
    </row>
    <row r="42883" spans="4:8" customFormat="1" x14ac:dyDescent="0.25">
      <c r="D42883" s="21"/>
      <c r="E42883" s="21"/>
      <c r="H42883" s="21"/>
    </row>
    <row r="42884" spans="4:8" customFormat="1" x14ac:dyDescent="0.25">
      <c r="D42884" s="21"/>
      <c r="E42884" s="21"/>
      <c r="H42884" s="21"/>
    </row>
    <row r="42885" spans="4:8" customFormat="1" x14ac:dyDescent="0.25">
      <c r="D42885" s="21"/>
      <c r="E42885" s="21"/>
      <c r="H42885" s="21"/>
    </row>
    <row r="42886" spans="4:8" customFormat="1" x14ac:dyDescent="0.25">
      <c r="D42886" s="21"/>
      <c r="E42886" s="21"/>
      <c r="H42886" s="21"/>
    </row>
    <row r="42887" spans="4:8" customFormat="1" x14ac:dyDescent="0.25">
      <c r="D42887" s="21"/>
      <c r="E42887" s="21"/>
      <c r="H42887" s="21"/>
    </row>
    <row r="42888" spans="4:8" customFormat="1" x14ac:dyDescent="0.25">
      <c r="D42888" s="21"/>
      <c r="E42888" s="21"/>
      <c r="H42888" s="21"/>
    </row>
    <row r="42889" spans="4:8" customFormat="1" x14ac:dyDescent="0.25">
      <c r="D42889" s="21"/>
      <c r="E42889" s="21"/>
      <c r="H42889" s="21"/>
    </row>
    <row r="42890" spans="4:8" customFormat="1" x14ac:dyDescent="0.25">
      <c r="D42890" s="21"/>
      <c r="E42890" s="21"/>
      <c r="H42890" s="21"/>
    </row>
    <row r="42891" spans="4:8" customFormat="1" x14ac:dyDescent="0.25">
      <c r="D42891" s="21"/>
      <c r="E42891" s="21"/>
      <c r="H42891" s="21"/>
    </row>
    <row r="42892" spans="4:8" customFormat="1" x14ac:dyDescent="0.25">
      <c r="D42892" s="21"/>
      <c r="E42892" s="21"/>
      <c r="H42892" s="21"/>
    </row>
    <row r="42893" spans="4:8" customFormat="1" x14ac:dyDescent="0.25">
      <c r="D42893" s="21"/>
      <c r="E42893" s="21"/>
      <c r="H42893" s="21"/>
    </row>
    <row r="42894" spans="4:8" customFormat="1" x14ac:dyDescent="0.25">
      <c r="D42894" s="21"/>
      <c r="E42894" s="21"/>
      <c r="H42894" s="21"/>
    </row>
    <row r="42895" spans="4:8" customFormat="1" x14ac:dyDescent="0.25">
      <c r="D42895" s="21"/>
      <c r="E42895" s="21"/>
      <c r="H42895" s="21"/>
    </row>
    <row r="42896" spans="4:8" customFormat="1" x14ac:dyDescent="0.25">
      <c r="D42896" s="21"/>
      <c r="E42896" s="21"/>
      <c r="H42896" s="21"/>
    </row>
    <row r="42897" spans="4:8" customFormat="1" x14ac:dyDescent="0.25">
      <c r="D42897" s="21"/>
      <c r="E42897" s="21"/>
      <c r="H42897" s="21"/>
    </row>
    <row r="42898" spans="4:8" customFormat="1" x14ac:dyDescent="0.25">
      <c r="D42898" s="21"/>
      <c r="E42898" s="21"/>
      <c r="H42898" s="21"/>
    </row>
    <row r="42899" spans="4:8" customFormat="1" x14ac:dyDescent="0.25">
      <c r="D42899" s="21"/>
      <c r="E42899" s="21"/>
      <c r="H42899" s="21"/>
    </row>
    <row r="42900" spans="4:8" customFormat="1" x14ac:dyDescent="0.25">
      <c r="D42900" s="21"/>
      <c r="E42900" s="21"/>
      <c r="H42900" s="21"/>
    </row>
    <row r="42901" spans="4:8" customFormat="1" x14ac:dyDescent="0.25">
      <c r="D42901" s="21"/>
      <c r="E42901" s="21"/>
      <c r="H42901" s="21"/>
    </row>
    <row r="42902" spans="4:8" customFormat="1" x14ac:dyDescent="0.25">
      <c r="D42902" s="21"/>
      <c r="E42902" s="21"/>
      <c r="H42902" s="21"/>
    </row>
    <row r="42903" spans="4:8" customFormat="1" x14ac:dyDescent="0.25">
      <c r="D42903" s="21"/>
      <c r="E42903" s="21"/>
      <c r="H42903" s="21"/>
    </row>
    <row r="42904" spans="4:8" customFormat="1" x14ac:dyDescent="0.25">
      <c r="D42904" s="21"/>
      <c r="E42904" s="21"/>
      <c r="H42904" s="21"/>
    </row>
    <row r="42905" spans="4:8" customFormat="1" x14ac:dyDescent="0.25">
      <c r="D42905" s="21"/>
      <c r="E42905" s="21"/>
      <c r="H42905" s="21"/>
    </row>
    <row r="42906" spans="4:8" customFormat="1" x14ac:dyDescent="0.25">
      <c r="D42906" s="21"/>
      <c r="E42906" s="21"/>
      <c r="H42906" s="21"/>
    </row>
    <row r="42907" spans="4:8" customFormat="1" x14ac:dyDescent="0.25">
      <c r="D42907" s="21"/>
      <c r="E42907" s="21"/>
      <c r="H42907" s="21"/>
    </row>
    <row r="42908" spans="4:8" customFormat="1" x14ac:dyDescent="0.25">
      <c r="D42908" s="21"/>
      <c r="E42908" s="21"/>
      <c r="H42908" s="21"/>
    </row>
    <row r="42909" spans="4:8" customFormat="1" x14ac:dyDescent="0.25">
      <c r="D42909" s="21"/>
      <c r="E42909" s="21"/>
      <c r="H42909" s="21"/>
    </row>
    <row r="42910" spans="4:8" customFormat="1" x14ac:dyDescent="0.25">
      <c r="D42910" s="21"/>
      <c r="E42910" s="21"/>
      <c r="H42910" s="21"/>
    </row>
    <row r="42911" spans="4:8" customFormat="1" x14ac:dyDescent="0.25">
      <c r="D42911" s="21"/>
      <c r="E42911" s="21"/>
      <c r="H42911" s="21"/>
    </row>
    <row r="42912" spans="4:8" customFormat="1" x14ac:dyDescent="0.25">
      <c r="D42912" s="21"/>
      <c r="E42912" s="21"/>
      <c r="H42912" s="21"/>
    </row>
    <row r="42913" spans="4:8" customFormat="1" x14ac:dyDescent="0.25">
      <c r="D42913" s="21"/>
      <c r="E42913" s="21"/>
      <c r="H42913" s="21"/>
    </row>
    <row r="42914" spans="4:8" customFormat="1" x14ac:dyDescent="0.25">
      <c r="D42914" s="21"/>
      <c r="E42914" s="21"/>
      <c r="H42914" s="21"/>
    </row>
    <row r="42915" spans="4:8" customFormat="1" x14ac:dyDescent="0.25">
      <c r="D42915" s="21"/>
      <c r="E42915" s="21"/>
      <c r="H42915" s="21"/>
    </row>
    <row r="42916" spans="4:8" customFormat="1" x14ac:dyDescent="0.25">
      <c r="D42916" s="21"/>
      <c r="E42916" s="21"/>
      <c r="H42916" s="21"/>
    </row>
    <row r="42917" spans="4:8" customFormat="1" x14ac:dyDescent="0.25">
      <c r="D42917" s="21"/>
      <c r="E42917" s="21"/>
      <c r="H42917" s="21"/>
    </row>
    <row r="42918" spans="4:8" customFormat="1" x14ac:dyDescent="0.25">
      <c r="D42918" s="21"/>
      <c r="E42918" s="21"/>
      <c r="H42918" s="21"/>
    </row>
    <row r="42919" spans="4:8" customFormat="1" x14ac:dyDescent="0.25">
      <c r="D42919" s="21"/>
      <c r="E42919" s="21"/>
      <c r="H42919" s="21"/>
    </row>
    <row r="42920" spans="4:8" customFormat="1" x14ac:dyDescent="0.25">
      <c r="D42920" s="21"/>
      <c r="E42920" s="21"/>
      <c r="H42920" s="21"/>
    </row>
    <row r="42921" spans="4:8" customFormat="1" x14ac:dyDescent="0.25">
      <c r="D42921" s="21"/>
      <c r="E42921" s="21"/>
      <c r="H42921" s="21"/>
    </row>
    <row r="42922" spans="4:8" customFormat="1" x14ac:dyDescent="0.25">
      <c r="D42922" s="21"/>
      <c r="E42922" s="21"/>
      <c r="H42922" s="21"/>
    </row>
    <row r="42923" spans="4:8" customFormat="1" x14ac:dyDescent="0.25">
      <c r="D42923" s="21"/>
      <c r="E42923" s="21"/>
      <c r="H42923" s="21"/>
    </row>
    <row r="42924" spans="4:8" customFormat="1" x14ac:dyDescent="0.25">
      <c r="D42924" s="21"/>
      <c r="E42924" s="21"/>
      <c r="H42924" s="21"/>
    </row>
    <row r="42925" spans="4:8" customFormat="1" x14ac:dyDescent="0.25">
      <c r="D42925" s="21"/>
      <c r="E42925" s="21"/>
      <c r="H42925" s="21"/>
    </row>
    <row r="42926" spans="4:8" customFormat="1" x14ac:dyDescent="0.25">
      <c r="D42926" s="21"/>
      <c r="E42926" s="21"/>
      <c r="H42926" s="21"/>
    </row>
    <row r="42927" spans="4:8" customFormat="1" x14ac:dyDescent="0.25">
      <c r="D42927" s="21"/>
      <c r="E42927" s="21"/>
      <c r="H42927" s="21"/>
    </row>
    <row r="42928" spans="4:8" customFormat="1" x14ac:dyDescent="0.25">
      <c r="D42928" s="21"/>
      <c r="E42928" s="21"/>
      <c r="H42928" s="21"/>
    </row>
    <row r="42929" spans="4:8" customFormat="1" x14ac:dyDescent="0.25">
      <c r="D42929" s="21"/>
      <c r="E42929" s="21"/>
      <c r="H42929" s="21"/>
    </row>
    <row r="42930" spans="4:8" customFormat="1" x14ac:dyDescent="0.25">
      <c r="D42930" s="21"/>
      <c r="E42930" s="21"/>
      <c r="H42930" s="2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82"/>
  <sheetViews>
    <sheetView showGridLines="0" topLeftCell="A55" zoomScale="130" zoomScaleNormal="130" workbookViewId="0">
      <selection activeCell="J83" sqref="J83"/>
    </sheetView>
  </sheetViews>
  <sheetFormatPr baseColWidth="10" defaultColWidth="11.44140625" defaultRowHeight="10.199999999999999" x14ac:dyDescent="0.25"/>
  <cols>
    <col min="1" max="1" width="3.6640625" style="5" customWidth="1"/>
    <col min="2" max="2" width="7.88671875" style="6" customWidth="1"/>
    <col min="3" max="3" width="28.44140625" style="5" customWidth="1"/>
    <col min="4" max="4" width="8.6640625" style="6" customWidth="1"/>
    <col min="5" max="5" width="10.6640625" style="6" customWidth="1"/>
    <col min="6" max="6" width="45.44140625" style="5" customWidth="1"/>
    <col min="7" max="7" width="8.77734375" style="5" customWidth="1"/>
    <col min="8" max="9" width="4" style="5" customWidth="1"/>
    <col min="10" max="10" width="8" style="11" customWidth="1"/>
    <col min="11" max="11" width="21" style="8" customWidth="1"/>
    <col min="12" max="12" width="11.44140625" style="8" customWidth="1"/>
    <col min="13" max="13" width="29.5546875" style="8" customWidth="1"/>
    <col min="14" max="16384" width="11.44140625" style="5"/>
  </cols>
  <sheetData>
    <row r="1" spans="1:13" x14ac:dyDescent="0.25">
      <c r="A1" s="1" t="s">
        <v>26504</v>
      </c>
      <c r="B1" s="3"/>
      <c r="C1" s="2"/>
      <c r="E1" s="3"/>
      <c r="F1" s="4" t="s">
        <v>26508</v>
      </c>
      <c r="G1" s="4"/>
    </row>
    <row r="2" spans="1:13" x14ac:dyDescent="0.25">
      <c r="A2" s="1" t="s">
        <v>23</v>
      </c>
      <c r="B2" s="3"/>
      <c r="C2" s="2"/>
      <c r="E2" s="3"/>
      <c r="F2" s="3"/>
      <c r="G2" s="3"/>
    </row>
    <row r="3" spans="1:13" x14ac:dyDescent="0.25">
      <c r="A3" s="1" t="s">
        <v>26349</v>
      </c>
      <c r="B3" s="3"/>
      <c r="C3" s="2"/>
      <c r="E3" s="3"/>
      <c r="F3" s="4"/>
      <c r="G3" s="4"/>
    </row>
    <row r="4" spans="1:13" x14ac:dyDescent="0.25">
      <c r="A4" s="1" t="s">
        <v>0</v>
      </c>
      <c r="B4" s="3"/>
      <c r="C4" s="2"/>
      <c r="E4" s="3"/>
      <c r="F4" s="3"/>
      <c r="G4" s="3"/>
    </row>
    <row r="5" spans="1:13" x14ac:dyDescent="0.25">
      <c r="A5" s="1"/>
      <c r="B5" s="3"/>
      <c r="C5" s="2"/>
      <c r="E5" s="3"/>
      <c r="F5" s="3"/>
      <c r="G5" s="3"/>
    </row>
    <row r="6" spans="1:13" ht="21" x14ac:dyDescent="0.25">
      <c r="A6" s="50" t="s">
        <v>26503</v>
      </c>
      <c r="B6" s="50"/>
      <c r="C6" s="50"/>
      <c r="D6" s="50"/>
      <c r="E6" s="50"/>
      <c r="F6" s="50"/>
      <c r="G6" s="22"/>
    </row>
    <row r="7" spans="1:13" ht="28.5" customHeight="1" x14ac:dyDescent="0.25">
      <c r="A7" s="51" t="s">
        <v>14</v>
      </c>
      <c r="B7" s="51"/>
      <c r="C7" s="51"/>
      <c r="D7" s="51"/>
      <c r="E7" s="51"/>
      <c r="F7" s="51"/>
      <c r="G7" s="23"/>
      <c r="I7" s="52" t="s">
        <v>8</v>
      </c>
      <c r="J7" s="53"/>
      <c r="K7" s="53"/>
      <c r="L7" s="53"/>
      <c r="M7" s="53"/>
    </row>
    <row r="8" spans="1:13" x14ac:dyDescent="0.25">
      <c r="A8" s="1"/>
      <c r="B8" s="3"/>
      <c r="C8" s="2"/>
      <c r="E8" s="3"/>
      <c r="F8" s="49" t="s">
        <v>30645</v>
      </c>
      <c r="G8" s="3"/>
    </row>
    <row r="10" spans="1:13" s="7" customFormat="1" ht="30.6" x14ac:dyDescent="0.25">
      <c r="A10" s="30" t="s">
        <v>2</v>
      </c>
      <c r="B10" s="44" t="s">
        <v>1</v>
      </c>
      <c r="C10" s="44" t="s">
        <v>4</v>
      </c>
      <c r="D10" s="45" t="s">
        <v>26509</v>
      </c>
      <c r="E10" s="46" t="s">
        <v>10</v>
      </c>
      <c r="F10" s="44" t="s">
        <v>5</v>
      </c>
      <c r="G10" s="47" t="s">
        <v>26510</v>
      </c>
      <c r="I10" s="13" t="s">
        <v>7</v>
      </c>
      <c r="J10" s="13" t="s">
        <v>1</v>
      </c>
      <c r="K10" s="13" t="s">
        <v>4</v>
      </c>
      <c r="L10" s="13" t="s">
        <v>3</v>
      </c>
      <c r="M10" s="13" t="s">
        <v>6</v>
      </c>
    </row>
    <row r="11" spans="1:13" s="7" customFormat="1" ht="11.25" customHeight="1" x14ac:dyDescent="0.25">
      <c r="A11" s="25">
        <v>1</v>
      </c>
      <c r="B11" s="27">
        <v>7658</v>
      </c>
      <c r="C11" s="27" t="s">
        <v>30512</v>
      </c>
      <c r="D11" s="28">
        <v>2356</v>
      </c>
      <c r="E11" s="29">
        <v>24874</v>
      </c>
      <c r="F11" s="27" t="s">
        <v>30475</v>
      </c>
      <c r="G11" s="26">
        <f t="shared" ref="G11:G42" si="0">L11</f>
        <v>2359.0500000000002</v>
      </c>
      <c r="I11" s="10" t="str">
        <f t="shared" ref="I11:I42" si="1">IF(C11=K11,"","ERR")</f>
        <v>ERR</v>
      </c>
      <c r="J11" s="13" t="str">
        <f t="shared" ref="J11:J42" si="2">LEFT(B11,LEN(B11))</f>
        <v>7658</v>
      </c>
      <c r="K11" s="12" t="str">
        <f>VLOOKUP($J11,Base!$A$2:$H$50000,2,FALSE)</f>
        <v xml:space="preserve"> LE CORVEC </v>
      </c>
      <c r="L11" s="12">
        <f>VLOOKUP($J11,Base!$A$2:$H$50000,8,FALSE)</f>
        <v>2359.0500000000002</v>
      </c>
      <c r="M11" s="12" t="str">
        <f>VLOOKUP($J11,Base!$A$2:$H$50000,7,FALSE)</f>
        <v xml:space="preserve"> SPO ROUEN Tennis de Table </v>
      </c>
    </row>
    <row r="12" spans="1:13" s="7" customFormat="1" ht="11.25" customHeight="1" x14ac:dyDescent="0.25">
      <c r="A12" s="25">
        <v>2</v>
      </c>
      <c r="B12" s="27">
        <v>332822</v>
      </c>
      <c r="C12" s="27" t="s">
        <v>30479</v>
      </c>
      <c r="D12" s="28">
        <v>2181</v>
      </c>
      <c r="E12" s="29">
        <v>23342</v>
      </c>
      <c r="F12" s="27" t="s">
        <v>30495</v>
      </c>
      <c r="G12" s="26">
        <f t="shared" si="0"/>
        <v>2195.67</v>
      </c>
      <c r="I12" s="10" t="str">
        <f t="shared" si="1"/>
        <v>ERR</v>
      </c>
      <c r="J12" s="13" t="str">
        <f t="shared" si="2"/>
        <v>332822</v>
      </c>
      <c r="K12" s="12" t="str">
        <f>VLOOKUP($J12,Base!$A$2:$H$50000,2,FALSE)</f>
        <v xml:space="preserve"> PICARD </v>
      </c>
      <c r="L12" s="12">
        <f>VLOOKUP($J12,Base!$A$2:$H$50000,8,FALSE)</f>
        <v>2195.67</v>
      </c>
      <c r="M12" s="12" t="str">
        <f>VLOOKUP($J12,Base!$A$2:$H$50000,7,FALSE)</f>
        <v xml:space="preserve"> SAG CESTAS </v>
      </c>
    </row>
    <row r="13" spans="1:13" s="7" customFormat="1" ht="11.25" customHeight="1" x14ac:dyDescent="0.25">
      <c r="A13" s="25">
        <v>3</v>
      </c>
      <c r="B13" s="27">
        <v>625005</v>
      </c>
      <c r="C13" s="27" t="s">
        <v>30453</v>
      </c>
      <c r="D13" s="28">
        <v>2205</v>
      </c>
      <c r="E13" s="29">
        <v>24861</v>
      </c>
      <c r="F13" s="27" t="s">
        <v>30477</v>
      </c>
      <c r="G13" s="26">
        <f t="shared" si="0"/>
        <v>2181.17</v>
      </c>
      <c r="I13" s="10" t="str">
        <f t="shared" si="1"/>
        <v>ERR</v>
      </c>
      <c r="J13" s="13" t="str">
        <f t="shared" si="2"/>
        <v>625005</v>
      </c>
      <c r="K13" s="12" t="str">
        <f>VLOOKUP($J13,Base!$A$2:$H$50000,2,FALSE)</f>
        <v xml:space="preserve"> LEPLOMB </v>
      </c>
      <c r="L13" s="12">
        <f>VLOOKUP($J13,Base!$A$2:$H$50000,8,FALSE)</f>
        <v>2181.17</v>
      </c>
      <c r="M13" s="12" t="str">
        <f>VLOOKUP($J13,Base!$A$2:$H$50000,7,FALSE)</f>
        <v xml:space="preserve"> ANNEQUIN  TT </v>
      </c>
    </row>
    <row r="14" spans="1:13" s="7" customFormat="1" ht="11.25" customHeight="1" x14ac:dyDescent="0.25">
      <c r="A14" s="25">
        <v>4</v>
      </c>
      <c r="B14" s="27">
        <v>5714664</v>
      </c>
      <c r="C14" s="27" t="s">
        <v>30456</v>
      </c>
      <c r="D14" s="28">
        <v>2145</v>
      </c>
      <c r="E14" s="29">
        <v>23454</v>
      </c>
      <c r="F14" s="27" t="s">
        <v>30469</v>
      </c>
      <c r="G14" s="26">
        <f t="shared" si="0"/>
        <v>2147.17</v>
      </c>
      <c r="I14" s="10" t="str">
        <f t="shared" si="1"/>
        <v>ERR</v>
      </c>
      <c r="J14" s="13" t="str">
        <f t="shared" si="2"/>
        <v>5714664</v>
      </c>
      <c r="K14" s="12" t="str">
        <f>VLOOKUP($J14,Base!$A$2:$H$50000,2,FALSE)</f>
        <v xml:space="preserve"> LAMARRE </v>
      </c>
      <c r="L14" s="12">
        <f>VLOOKUP($J14,Base!$A$2:$H$50000,8,FALSE)</f>
        <v>2147.17</v>
      </c>
      <c r="M14" s="12" t="str">
        <f>VLOOKUP($J14,Base!$A$2:$H$50000,7,FALSE)</f>
        <v xml:space="preserve"> NEUVES MAISONS TT </v>
      </c>
    </row>
    <row r="15" spans="1:13" s="7" customFormat="1" ht="11.25" customHeight="1" x14ac:dyDescent="0.25">
      <c r="A15" s="25">
        <v>5</v>
      </c>
      <c r="B15" s="27">
        <v>517876</v>
      </c>
      <c r="C15" s="27" t="s">
        <v>30502</v>
      </c>
      <c r="D15" s="28">
        <v>2121</v>
      </c>
      <c r="E15" s="29">
        <v>23441</v>
      </c>
      <c r="F15" s="27" t="s">
        <v>26403</v>
      </c>
      <c r="G15" s="26">
        <f t="shared" si="0"/>
        <v>2111.17</v>
      </c>
      <c r="I15" s="10" t="str">
        <f t="shared" si="1"/>
        <v>ERR</v>
      </c>
      <c r="J15" s="13" t="str">
        <f t="shared" si="2"/>
        <v>517876</v>
      </c>
      <c r="K15" s="12" t="str">
        <f>VLOOKUP($J15,Base!$A$2:$H$50000,2,FALSE)</f>
        <v xml:space="preserve"> CARQUIN </v>
      </c>
      <c r="L15" s="12">
        <f>VLOOKUP($J15,Base!$A$2:$H$50000,8,FALSE)</f>
        <v>2111.17</v>
      </c>
      <c r="M15" s="12" t="str">
        <f>VLOOKUP($J15,Base!$A$2:$H$50000,7,FALSE)</f>
        <v xml:space="preserve"> ISIGNY-MONTIGNY ENT P </v>
      </c>
    </row>
    <row r="16" spans="1:13" s="7" customFormat="1" ht="11.25" customHeight="1" x14ac:dyDescent="0.25">
      <c r="A16" s="25">
        <v>6</v>
      </c>
      <c r="B16" s="27">
        <v>7615526</v>
      </c>
      <c r="C16" s="27" t="s">
        <v>30476</v>
      </c>
      <c r="D16" s="28">
        <v>2074</v>
      </c>
      <c r="E16" s="29">
        <v>24653</v>
      </c>
      <c r="F16" s="27" t="s">
        <v>30511</v>
      </c>
      <c r="G16" s="26">
        <f t="shared" si="0"/>
        <v>2095.17</v>
      </c>
      <c r="I16" s="10" t="str">
        <f t="shared" si="1"/>
        <v>ERR</v>
      </c>
      <c r="J16" s="13" t="str">
        <f t="shared" si="2"/>
        <v>7615526</v>
      </c>
      <c r="K16" s="12" t="str">
        <f>VLOOKUP($J16,Base!$A$2:$H$50000,2,FALSE)</f>
        <v xml:space="preserve"> STOICA </v>
      </c>
      <c r="L16" s="12">
        <f>VLOOKUP($J16,Base!$A$2:$H$50000,8,FALSE)</f>
        <v>2095.17</v>
      </c>
      <c r="M16" s="12" t="str">
        <f>VLOOKUP($J16,Base!$A$2:$H$50000,7,FALSE)</f>
        <v xml:space="preserve"> US C BOIS GUILLAUME </v>
      </c>
    </row>
    <row r="17" spans="1:13" s="7" customFormat="1" ht="11.25" customHeight="1" x14ac:dyDescent="0.25">
      <c r="A17" s="25">
        <v>7</v>
      </c>
      <c r="B17" s="27">
        <v>9218460</v>
      </c>
      <c r="C17" s="27" t="s">
        <v>30496</v>
      </c>
      <c r="D17" s="28">
        <v>2088</v>
      </c>
      <c r="E17" s="29">
        <v>24934</v>
      </c>
      <c r="F17" s="27" t="s">
        <v>26420</v>
      </c>
      <c r="G17" s="26">
        <f t="shared" si="0"/>
        <v>2085.67</v>
      </c>
      <c r="I17" s="10" t="str">
        <f t="shared" si="1"/>
        <v>ERR</v>
      </c>
      <c r="J17" s="13" t="str">
        <f t="shared" si="2"/>
        <v>9218460</v>
      </c>
      <c r="K17" s="12" t="str">
        <f>VLOOKUP($J17,Base!$A$2:$H$50000,2,FALSE)</f>
        <v xml:space="preserve"> LETHOREL </v>
      </c>
      <c r="L17" s="12">
        <f>VLOOKUP($J17,Base!$A$2:$H$50000,8,FALSE)</f>
        <v>2085.67</v>
      </c>
      <c r="M17" s="12" t="str">
        <f>VLOOKUP($J17,Base!$A$2:$H$50000,7,FALSE)</f>
        <v xml:space="preserve"> BOULOGNE BILLANCOURT AC </v>
      </c>
    </row>
    <row r="18" spans="1:13" s="7" customFormat="1" ht="11.25" customHeight="1" x14ac:dyDescent="0.25">
      <c r="A18" s="25">
        <v>8</v>
      </c>
      <c r="B18" s="27">
        <v>534538</v>
      </c>
      <c r="C18" s="27" t="s">
        <v>30454</v>
      </c>
      <c r="D18" s="28">
        <v>2023</v>
      </c>
      <c r="E18" s="29">
        <v>23933</v>
      </c>
      <c r="F18" s="27" t="s">
        <v>30487</v>
      </c>
      <c r="G18" s="26">
        <f t="shared" si="0"/>
        <v>2020.17</v>
      </c>
      <c r="I18" s="10" t="str">
        <f t="shared" si="1"/>
        <v>ERR</v>
      </c>
      <c r="J18" s="13" t="str">
        <f t="shared" si="2"/>
        <v>534538</v>
      </c>
      <c r="K18" s="12" t="str">
        <f>VLOOKUP($J18,Base!$A$2:$H$50000,2,FALSE)</f>
        <v xml:space="preserve"> MAROLLEAU </v>
      </c>
      <c r="L18" s="12">
        <f>VLOOKUP($J18,Base!$A$2:$H$50000,8,FALSE)</f>
        <v>2020.17</v>
      </c>
      <c r="M18" s="12" t="str">
        <f>VLOOKUP($J18,Base!$A$2:$H$50000,7,FALSE)</f>
        <v xml:space="preserve"> ERNÉENNE Sport Tennis de </v>
      </c>
    </row>
    <row r="19" spans="1:13" s="7" customFormat="1" ht="11.25" customHeight="1" x14ac:dyDescent="0.25">
      <c r="A19" s="25">
        <v>9</v>
      </c>
      <c r="B19" s="27">
        <v>7810269</v>
      </c>
      <c r="C19" s="27" t="s">
        <v>30521</v>
      </c>
      <c r="D19" s="28">
        <v>2014</v>
      </c>
      <c r="E19" s="29">
        <v>23930</v>
      </c>
      <c r="F19" s="27" t="s">
        <v>30483</v>
      </c>
      <c r="G19" s="26">
        <f t="shared" si="0"/>
        <v>1991.67</v>
      </c>
      <c r="I19" s="10" t="str">
        <f t="shared" si="1"/>
        <v>ERR</v>
      </c>
      <c r="J19" s="13" t="str">
        <f t="shared" si="2"/>
        <v>7810269</v>
      </c>
      <c r="K19" s="12" t="str">
        <f>VLOOKUP($J19,Base!$A$2:$H$50000,2,FALSE)</f>
        <v xml:space="preserve"> LORTHIOIR </v>
      </c>
      <c r="L19" s="12">
        <f>VLOOKUP($J19,Base!$A$2:$H$50000,8,FALSE)</f>
        <v>1991.67</v>
      </c>
      <c r="M19" s="12" t="str">
        <f>VLOOKUP($J19,Base!$A$2:$H$50000,7,FALSE)</f>
        <v xml:space="preserve"> ST MARCEAU ORLEANS TT </v>
      </c>
    </row>
    <row r="20" spans="1:13" s="7" customFormat="1" ht="11.25" customHeight="1" x14ac:dyDescent="0.25">
      <c r="A20" s="25">
        <v>10</v>
      </c>
      <c r="B20" s="27">
        <v>69871</v>
      </c>
      <c r="C20" s="27" t="s">
        <v>30513</v>
      </c>
      <c r="D20" s="28">
        <v>1939</v>
      </c>
      <c r="E20" s="29">
        <v>23389</v>
      </c>
      <c r="F20" s="27" t="s">
        <v>12</v>
      </c>
      <c r="G20" s="26">
        <f t="shared" si="0"/>
        <v>1898.67</v>
      </c>
      <c r="I20" s="10" t="str">
        <f t="shared" si="1"/>
        <v>ERR</v>
      </c>
      <c r="J20" s="13" t="str">
        <f t="shared" si="2"/>
        <v>69871</v>
      </c>
      <c r="K20" s="12" t="str">
        <f>VLOOKUP($J20,Base!$A$2:$H$50000,2,FALSE)</f>
        <v xml:space="preserve"> REBY </v>
      </c>
      <c r="L20" s="12">
        <f>VLOOKUP($J20,Base!$A$2:$H$50000,8,FALSE)</f>
        <v>1898.67</v>
      </c>
      <c r="M20" s="12" t="str">
        <f>VLOOKUP($J20,Base!$A$2:$H$50000,7,FALSE)</f>
        <v xml:space="preserve"> VAL D'OZON TENNIS DE TABL </v>
      </c>
    </row>
    <row r="21" spans="1:13" s="7" customFormat="1" ht="11.25" customHeight="1" x14ac:dyDescent="0.25">
      <c r="A21" s="25">
        <v>11</v>
      </c>
      <c r="B21" s="27">
        <v>261733</v>
      </c>
      <c r="C21" s="27" t="s">
        <v>30525</v>
      </c>
      <c r="D21" s="28">
        <v>1935</v>
      </c>
      <c r="E21" s="29">
        <v>22752</v>
      </c>
      <c r="F21" s="27" t="s">
        <v>30498</v>
      </c>
      <c r="G21" s="26">
        <f t="shared" si="0"/>
        <v>1894.17</v>
      </c>
      <c r="I21" s="10" t="str">
        <f t="shared" si="1"/>
        <v>ERR</v>
      </c>
      <c r="J21" s="13" t="str">
        <f t="shared" si="2"/>
        <v>261733</v>
      </c>
      <c r="K21" s="12" t="str">
        <f>VLOOKUP($J21,Base!$A$2:$H$50000,2,FALSE)</f>
        <v xml:space="preserve"> RAMON </v>
      </c>
      <c r="L21" s="12">
        <f>VLOOKUP($J21,Base!$A$2:$H$50000,8,FALSE)</f>
        <v>1894.17</v>
      </c>
      <c r="M21" s="12" t="str">
        <f>VLOOKUP($J21,Base!$A$2:$H$50000,7,FALSE)</f>
        <v xml:space="preserve"> T.T. DU GRESIVAUDAN </v>
      </c>
    </row>
    <row r="22" spans="1:13" s="7" customFormat="1" ht="11.25" customHeight="1" x14ac:dyDescent="0.25">
      <c r="A22" s="25">
        <v>12</v>
      </c>
      <c r="B22" s="27">
        <v>91441</v>
      </c>
      <c r="C22" s="27" t="s">
        <v>30466</v>
      </c>
      <c r="D22" s="28">
        <v>1879</v>
      </c>
      <c r="E22" s="29">
        <v>24326</v>
      </c>
      <c r="F22" s="27" t="s">
        <v>26371</v>
      </c>
      <c r="G22" s="26">
        <f t="shared" si="0"/>
        <v>1875.43</v>
      </c>
      <c r="I22" s="10" t="str">
        <f t="shared" si="1"/>
        <v>ERR</v>
      </c>
      <c r="J22" s="13" t="str">
        <f t="shared" si="2"/>
        <v>91441</v>
      </c>
      <c r="K22" s="12" t="str">
        <f>VLOOKUP($J22,Base!$A$2:$H$50000,2,FALSE)</f>
        <v xml:space="preserve"> GUIGONIS </v>
      </c>
      <c r="L22" s="12">
        <f>VLOOKUP($J22,Base!$A$2:$H$50000,8,FALSE)</f>
        <v>1875.43</v>
      </c>
      <c r="M22" s="12" t="str">
        <f>VLOOKUP($J22,Base!$A$2:$H$50000,7,FALSE)</f>
        <v xml:space="preserve"> CHILLY-MORANGIS CTT </v>
      </c>
    </row>
    <row r="23" spans="1:13" s="7" customFormat="1" ht="11.25" customHeight="1" x14ac:dyDescent="0.25">
      <c r="A23" s="25">
        <v>13</v>
      </c>
      <c r="B23" s="27">
        <v>952176</v>
      </c>
      <c r="C23" s="27" t="s">
        <v>30440</v>
      </c>
      <c r="D23" s="28">
        <v>1845</v>
      </c>
      <c r="E23" s="29">
        <v>23732</v>
      </c>
      <c r="F23" s="27" t="s">
        <v>26387</v>
      </c>
      <c r="G23" s="26">
        <f t="shared" si="0"/>
        <v>1857.67</v>
      </c>
      <c r="I23" s="10" t="str">
        <f t="shared" si="1"/>
        <v>ERR</v>
      </c>
      <c r="J23" s="13" t="str">
        <f t="shared" si="2"/>
        <v>952176</v>
      </c>
      <c r="K23" s="12" t="str">
        <f>VLOOKUP($J23,Base!$A$2:$H$50000,2,FALSE)</f>
        <v xml:space="preserve"> KALETA </v>
      </c>
      <c r="L23" s="12">
        <f>VLOOKUP($J23,Base!$A$2:$H$50000,8,FALSE)</f>
        <v>1857.67</v>
      </c>
      <c r="M23" s="12" t="str">
        <f>VLOOKUP($J23,Base!$A$2:$H$50000,7,FALSE)</f>
        <v xml:space="preserve"> ARGENTEUIL TT </v>
      </c>
    </row>
    <row r="24" spans="1:13" s="7" customFormat="1" ht="11.25" customHeight="1" x14ac:dyDescent="0.25">
      <c r="A24" s="25">
        <v>14</v>
      </c>
      <c r="B24" s="27">
        <v>456769</v>
      </c>
      <c r="C24" s="27" t="s">
        <v>30488</v>
      </c>
      <c r="D24" s="28">
        <v>1883</v>
      </c>
      <c r="E24" s="29">
        <v>24330</v>
      </c>
      <c r="F24" s="27" t="s">
        <v>26363</v>
      </c>
      <c r="G24" s="26">
        <f t="shared" si="0"/>
        <v>1842.17</v>
      </c>
      <c r="I24" s="10" t="str">
        <f t="shared" si="1"/>
        <v>ERR</v>
      </c>
      <c r="J24" s="13" t="str">
        <f t="shared" si="2"/>
        <v>456769</v>
      </c>
      <c r="K24" s="12" t="str">
        <f>VLOOKUP($J24,Base!$A$2:$H$50000,2,FALSE)</f>
        <v xml:space="preserve"> DUVAL </v>
      </c>
      <c r="L24" s="12">
        <f>VLOOKUP($J24,Base!$A$2:$H$50000,8,FALSE)</f>
        <v>1842.17</v>
      </c>
      <c r="M24" s="12" t="str">
        <f>VLOOKUP($J24,Base!$A$2:$H$50000,7,FALSE)</f>
        <v xml:space="preserve"> LE MANS SARTHE TENNIS DE </v>
      </c>
    </row>
    <row r="25" spans="1:13" s="7" customFormat="1" ht="11.25" customHeight="1" x14ac:dyDescent="0.25">
      <c r="A25" s="25">
        <v>15</v>
      </c>
      <c r="B25" s="27">
        <v>592568</v>
      </c>
      <c r="C25" s="27" t="s">
        <v>30478</v>
      </c>
      <c r="D25" s="28">
        <v>1884</v>
      </c>
      <c r="E25" s="29">
        <v>23356</v>
      </c>
      <c r="F25" s="27" t="s">
        <v>26381</v>
      </c>
      <c r="G25" s="26">
        <f t="shared" si="0"/>
        <v>1833.67</v>
      </c>
      <c r="I25" s="10" t="str">
        <f t="shared" si="1"/>
        <v>ERR</v>
      </c>
      <c r="J25" s="13" t="str">
        <f t="shared" si="2"/>
        <v>592568</v>
      </c>
      <c r="K25" s="12" t="str">
        <f>VLOOKUP($J25,Base!$A$2:$H$50000,2,FALSE)</f>
        <v xml:space="preserve"> DUFOSSE </v>
      </c>
      <c r="L25" s="12">
        <f>VLOOKUP($J25,Base!$A$2:$H$50000,8,FALSE)</f>
        <v>1833.67</v>
      </c>
      <c r="M25" s="12" t="str">
        <f>VLOOKUP($J25,Base!$A$2:$H$50000,7,FALSE)</f>
        <v xml:space="preserve"> DUNKERQUE TTAB </v>
      </c>
    </row>
    <row r="26" spans="1:13" s="7" customFormat="1" ht="11.25" customHeight="1" x14ac:dyDescent="0.25">
      <c r="A26" s="25">
        <v>16</v>
      </c>
      <c r="B26" s="27">
        <v>94274</v>
      </c>
      <c r="C26" s="27" t="s">
        <v>30438</v>
      </c>
      <c r="D26" s="28">
        <v>1867</v>
      </c>
      <c r="E26" s="29">
        <v>22083</v>
      </c>
      <c r="F26" s="27" t="s">
        <v>26367</v>
      </c>
      <c r="G26" s="26">
        <f t="shared" si="0"/>
        <v>1827.54</v>
      </c>
      <c r="I26" s="10" t="str">
        <f t="shared" si="1"/>
        <v>ERR</v>
      </c>
      <c r="J26" s="13" t="str">
        <f t="shared" si="2"/>
        <v>94274</v>
      </c>
      <c r="K26" s="12" t="str">
        <f>VLOOKUP($J26,Base!$A$2:$H$50000,2,FALSE)</f>
        <v xml:space="preserve"> ZANASI </v>
      </c>
      <c r="L26" s="12">
        <f>VLOOKUP($J26,Base!$A$2:$H$50000,8,FALSE)</f>
        <v>1827.54</v>
      </c>
      <c r="M26" s="12" t="str">
        <f>VLOOKUP($J26,Base!$A$2:$H$50000,7,FALSE)</f>
        <v xml:space="preserve"> CHEVILLY ELAN </v>
      </c>
    </row>
    <row r="27" spans="1:13" s="7" customFormat="1" ht="11.25" customHeight="1" x14ac:dyDescent="0.25">
      <c r="A27" s="25">
        <v>17</v>
      </c>
      <c r="B27" s="27">
        <v>111077</v>
      </c>
      <c r="C27" s="27" t="s">
        <v>30452</v>
      </c>
      <c r="D27" s="28">
        <v>1858</v>
      </c>
      <c r="E27" s="29">
        <v>24855</v>
      </c>
      <c r="F27" s="27" t="s">
        <v>30505</v>
      </c>
      <c r="G27" s="26">
        <f t="shared" si="0"/>
        <v>1827.42</v>
      </c>
      <c r="I27" s="10" t="str">
        <f t="shared" si="1"/>
        <v>ERR</v>
      </c>
      <c r="J27" s="13" t="str">
        <f t="shared" si="2"/>
        <v>111077</v>
      </c>
      <c r="K27" s="12" t="str">
        <f>VLOOKUP($J27,Base!$A$2:$H$50000,2,FALSE)</f>
        <v xml:space="preserve"> SANCHEZ </v>
      </c>
      <c r="L27" s="12">
        <f>VLOOKUP($J27,Base!$A$2:$H$50000,8,FALSE)</f>
        <v>1827.42</v>
      </c>
      <c r="M27" s="12" t="str">
        <f>VLOOKUP($J27,Base!$A$2:$H$50000,7,FALSE)</f>
        <v xml:space="preserve"> TREBES  TT </v>
      </c>
    </row>
    <row r="28" spans="1:13" s="7" customFormat="1" ht="11.25" customHeight="1" x14ac:dyDescent="0.25">
      <c r="A28" s="25">
        <v>18</v>
      </c>
      <c r="B28" s="27">
        <v>68695</v>
      </c>
      <c r="C28" s="27" t="s">
        <v>30517</v>
      </c>
      <c r="D28" s="28">
        <v>1813</v>
      </c>
      <c r="E28" s="29">
        <v>22960</v>
      </c>
      <c r="F28" s="27" t="s">
        <v>30437</v>
      </c>
      <c r="G28" s="26">
        <f t="shared" si="0"/>
        <v>1825.67</v>
      </c>
      <c r="I28" s="10" t="str">
        <f t="shared" si="1"/>
        <v>ERR</v>
      </c>
      <c r="J28" s="13" t="str">
        <f t="shared" si="2"/>
        <v>68695</v>
      </c>
      <c r="K28" s="12" t="str">
        <f>VLOOKUP($J28,Base!$A$2:$H$50000,2,FALSE)</f>
        <v xml:space="preserve"> BAERENZUNG </v>
      </c>
      <c r="L28" s="12">
        <f>VLOOKUP($J28,Base!$A$2:$H$50000,8,FALSE)</f>
        <v>1825.67</v>
      </c>
      <c r="M28" s="12" t="str">
        <f>VLOOKUP($J28,Base!$A$2:$H$50000,7,FALSE)</f>
        <v xml:space="preserve"> COLMAR MJC </v>
      </c>
    </row>
    <row r="29" spans="1:13" s="7" customFormat="1" ht="11.25" customHeight="1" x14ac:dyDescent="0.25">
      <c r="A29" s="25">
        <v>19</v>
      </c>
      <c r="B29" s="27">
        <v>7714836</v>
      </c>
      <c r="C29" s="27" t="s">
        <v>30448</v>
      </c>
      <c r="D29" s="28">
        <v>1833</v>
      </c>
      <c r="E29" s="29">
        <v>22340</v>
      </c>
      <c r="F29" s="27" t="s">
        <v>30501</v>
      </c>
      <c r="G29" s="26">
        <f t="shared" si="0"/>
        <v>1814.29</v>
      </c>
      <c r="I29" s="10" t="str">
        <f t="shared" si="1"/>
        <v>ERR</v>
      </c>
      <c r="J29" s="13" t="str">
        <f t="shared" si="2"/>
        <v>7714836</v>
      </c>
      <c r="K29" s="12" t="str">
        <f>VLOOKUP($J29,Base!$A$2:$H$50000,2,FALSE)</f>
        <v xml:space="preserve"> ROMERO </v>
      </c>
      <c r="L29" s="12">
        <f>VLOOKUP($J29,Base!$A$2:$H$50000,8,FALSE)</f>
        <v>1814.29</v>
      </c>
      <c r="M29" s="12" t="str">
        <f>VLOOKUP($J29,Base!$A$2:$H$50000,7,FALSE)</f>
        <v xml:space="preserve"> CESSON VERT ST DENIS TT </v>
      </c>
    </row>
    <row r="30" spans="1:13" s="7" customFormat="1" ht="11.25" customHeight="1" x14ac:dyDescent="0.25">
      <c r="A30" s="25">
        <v>20</v>
      </c>
      <c r="B30" s="27">
        <v>291378</v>
      </c>
      <c r="C30" s="27" t="s">
        <v>30436</v>
      </c>
      <c r="D30" s="28">
        <v>1813</v>
      </c>
      <c r="E30" s="29">
        <v>23415</v>
      </c>
      <c r="F30" s="27" t="s">
        <v>26380</v>
      </c>
      <c r="G30" s="26">
        <f t="shared" si="0"/>
        <v>1810.92</v>
      </c>
      <c r="I30" s="10" t="str">
        <f t="shared" si="1"/>
        <v>ERR</v>
      </c>
      <c r="J30" s="13" t="str">
        <f t="shared" si="2"/>
        <v>291378</v>
      </c>
      <c r="K30" s="12" t="str">
        <f>VLOOKUP($J30,Base!$A$2:$H$50000,2,FALSE)</f>
        <v xml:space="preserve"> MARENGUE </v>
      </c>
      <c r="L30" s="12">
        <f>VLOOKUP($J30,Base!$A$2:$H$50000,8,FALSE)</f>
        <v>1810.92</v>
      </c>
      <c r="M30" s="12" t="str">
        <f>VLOOKUP($J30,Base!$A$2:$H$50000,7,FALSE)</f>
        <v xml:space="preserve"> Argantel Club PLERIN </v>
      </c>
    </row>
    <row r="31" spans="1:13" s="7" customFormat="1" ht="11.25" customHeight="1" x14ac:dyDescent="0.25">
      <c r="A31" s="25">
        <v>21</v>
      </c>
      <c r="B31" s="27">
        <v>31574</v>
      </c>
      <c r="C31" s="27" t="s">
        <v>30506</v>
      </c>
      <c r="D31" s="28">
        <v>1747</v>
      </c>
      <c r="E31" s="29">
        <v>24996</v>
      </c>
      <c r="F31" s="27" t="s">
        <v>30451</v>
      </c>
      <c r="G31" s="26">
        <f t="shared" si="0"/>
        <v>1764.67</v>
      </c>
      <c r="I31" s="10" t="str">
        <f t="shared" si="1"/>
        <v>ERR</v>
      </c>
      <c r="J31" s="13" t="str">
        <f t="shared" si="2"/>
        <v>31574</v>
      </c>
      <c r="K31" s="12" t="str">
        <f>VLOOKUP($J31,Base!$A$2:$H$50000,2,FALSE)</f>
        <v xml:space="preserve"> CORBARIEU </v>
      </c>
      <c r="L31" s="12">
        <f>VLOOKUP($J31,Base!$A$2:$H$50000,8,FALSE)</f>
        <v>1764.67</v>
      </c>
      <c r="M31" s="12" t="str">
        <f>VLOOKUP($J31,Base!$A$2:$H$50000,7,FALSE)</f>
        <v xml:space="preserve"> SAINT ORENS TT </v>
      </c>
    </row>
    <row r="32" spans="1:13" s="7" customFormat="1" ht="11.25" customHeight="1" x14ac:dyDescent="0.25">
      <c r="A32" s="25">
        <v>22</v>
      </c>
      <c r="B32" s="27">
        <v>711578</v>
      </c>
      <c r="C32" s="27" t="s">
        <v>30500</v>
      </c>
      <c r="D32" s="28">
        <v>1759</v>
      </c>
      <c r="E32" s="29">
        <v>24345</v>
      </c>
      <c r="F32" s="27" t="s">
        <v>26386</v>
      </c>
      <c r="G32" s="26">
        <f t="shared" si="0"/>
        <v>1744.17</v>
      </c>
      <c r="I32" s="10" t="str">
        <f t="shared" si="1"/>
        <v>ERR</v>
      </c>
      <c r="J32" s="13" t="str">
        <f t="shared" si="2"/>
        <v>711578</v>
      </c>
      <c r="K32" s="12" t="str">
        <f>VLOOKUP($J32,Base!$A$2:$H$50000,2,FALSE)</f>
        <v xml:space="preserve"> HONDERLIK </v>
      </c>
      <c r="L32" s="12">
        <f>VLOOKUP($J32,Base!$A$2:$H$50000,8,FALSE)</f>
        <v>1744.17</v>
      </c>
      <c r="M32" s="12" t="str">
        <f>VLOOKUP($J32,Base!$A$2:$H$50000,7,FALSE)</f>
        <v xml:space="preserve"> FC GUEUGNON </v>
      </c>
    </row>
    <row r="33" spans="1:13" s="7" customFormat="1" ht="11.25" customHeight="1" x14ac:dyDescent="0.25">
      <c r="A33" s="25">
        <v>23</v>
      </c>
      <c r="B33" s="27">
        <v>4433931</v>
      </c>
      <c r="C33" s="27" t="s">
        <v>30481</v>
      </c>
      <c r="D33" s="28">
        <v>1691</v>
      </c>
      <c r="E33" s="29">
        <v>23493</v>
      </c>
      <c r="F33" s="27" t="s">
        <v>26353</v>
      </c>
      <c r="G33" s="26">
        <f t="shared" si="0"/>
        <v>1733.17</v>
      </c>
      <c r="I33" s="10" t="str">
        <f t="shared" si="1"/>
        <v>ERR</v>
      </c>
      <c r="J33" s="13" t="str">
        <f t="shared" si="2"/>
        <v>4433931</v>
      </c>
      <c r="K33" s="12" t="str">
        <f>VLOOKUP($J33,Base!$A$2:$H$50000,2,FALSE)</f>
        <v xml:space="preserve"> VARACHE </v>
      </c>
      <c r="L33" s="12">
        <f>VLOOKUP($J33,Base!$A$2:$H$50000,8,FALSE)</f>
        <v>1733.17</v>
      </c>
      <c r="M33" s="12" t="str">
        <f>VLOOKUP($J33,Base!$A$2:$H$50000,7,FALSE)</f>
        <v xml:space="preserve"> BOUAYE A.L. </v>
      </c>
    </row>
    <row r="34" spans="1:13" s="7" customFormat="1" ht="11.25" customHeight="1" x14ac:dyDescent="0.25">
      <c r="A34" s="25">
        <v>24</v>
      </c>
      <c r="B34" s="27">
        <v>7278</v>
      </c>
      <c r="C34" s="27" t="s">
        <v>30514</v>
      </c>
      <c r="D34" s="28">
        <v>1715</v>
      </c>
      <c r="E34" s="29">
        <v>22839</v>
      </c>
      <c r="F34" s="27" t="s">
        <v>30480</v>
      </c>
      <c r="G34" s="26">
        <f t="shared" si="0"/>
        <v>1697.42</v>
      </c>
      <c r="I34" s="10" t="str">
        <f t="shared" si="1"/>
        <v>ERR</v>
      </c>
      <c r="J34" s="13" t="str">
        <f t="shared" si="2"/>
        <v>7278</v>
      </c>
      <c r="K34" s="12" t="str">
        <f>VLOOKUP($J34,Base!$A$2:$H$50000,2,FALSE)</f>
        <v xml:space="preserve"> LEVOYER </v>
      </c>
      <c r="L34" s="12">
        <f>VLOOKUP($J34,Base!$A$2:$H$50000,8,FALSE)</f>
        <v>1697.42</v>
      </c>
      <c r="M34" s="12" t="str">
        <f>VLOOKUP($J34,Base!$A$2:$H$50000,7,FALSE)</f>
        <v xml:space="preserve"> ST MACAIRE EN MAUGES ASPM </v>
      </c>
    </row>
    <row r="35" spans="1:13" s="7" customFormat="1" ht="11.25" customHeight="1" x14ac:dyDescent="0.25">
      <c r="A35" s="25">
        <v>25</v>
      </c>
      <c r="B35" s="27">
        <v>4429762</v>
      </c>
      <c r="C35" s="27" t="s">
        <v>30497</v>
      </c>
      <c r="D35" s="28">
        <v>1683</v>
      </c>
      <c r="E35" s="29">
        <v>22470</v>
      </c>
      <c r="F35" s="27" t="s">
        <v>26382</v>
      </c>
      <c r="G35" s="26">
        <f t="shared" si="0"/>
        <v>1688.17</v>
      </c>
      <c r="I35" s="10" t="str">
        <f t="shared" si="1"/>
        <v>ERR</v>
      </c>
      <c r="J35" s="13" t="str">
        <f t="shared" si="2"/>
        <v>4429762</v>
      </c>
      <c r="K35" s="12" t="str">
        <f>VLOOKUP($J35,Base!$A$2:$H$50000,2,FALSE)</f>
        <v xml:space="preserve"> GUISNEL </v>
      </c>
      <c r="L35" s="12">
        <f>VLOOKUP($J35,Base!$A$2:$H$50000,8,FALSE)</f>
        <v>1688.17</v>
      </c>
      <c r="M35" s="12" t="str">
        <f>VLOOKUP($J35,Base!$A$2:$H$50000,7,FALSE)</f>
        <v xml:space="preserve"> ST SEBASTIEN P.P.C. </v>
      </c>
    </row>
    <row r="36" spans="1:13" s="7" customFormat="1" ht="11.25" customHeight="1" x14ac:dyDescent="0.25">
      <c r="A36" s="25">
        <v>26</v>
      </c>
      <c r="B36" s="27">
        <v>291576</v>
      </c>
      <c r="C36" s="27" t="s">
        <v>30486</v>
      </c>
      <c r="D36" s="28">
        <v>1646</v>
      </c>
      <c r="E36" s="29">
        <v>24133</v>
      </c>
      <c r="F36" s="27" t="s">
        <v>30356</v>
      </c>
      <c r="G36" s="26">
        <f t="shared" si="0"/>
        <v>1679.17</v>
      </c>
      <c r="I36" s="10" t="str">
        <f t="shared" si="1"/>
        <v>ERR</v>
      </c>
      <c r="J36" s="13" t="str">
        <f t="shared" si="2"/>
        <v>291576</v>
      </c>
      <c r="K36" s="12" t="str">
        <f>VLOOKUP($J36,Base!$A$2:$H$50000,2,FALSE)</f>
        <v xml:space="preserve"> AUTRET </v>
      </c>
      <c r="L36" s="12">
        <f>VLOOKUP($J36,Base!$A$2:$H$50000,8,FALSE)</f>
        <v>1679.17</v>
      </c>
      <c r="M36" s="12" t="str">
        <f>VLOOKUP($J36,Base!$A$2:$H$50000,7,FALSE)</f>
        <v xml:space="preserve"> GDR GUIPAVAS </v>
      </c>
    </row>
    <row r="37" spans="1:13" s="7" customFormat="1" ht="11.25" customHeight="1" x14ac:dyDescent="0.25">
      <c r="A37" s="25">
        <v>27</v>
      </c>
      <c r="B37" s="27">
        <v>959987</v>
      </c>
      <c r="C37" s="27" t="s">
        <v>30461</v>
      </c>
      <c r="D37" s="28">
        <v>1672</v>
      </c>
      <c r="E37" s="29">
        <v>25197</v>
      </c>
      <c r="F37" s="27" t="s">
        <v>26404</v>
      </c>
      <c r="G37" s="26">
        <f t="shared" si="0"/>
        <v>1672.42</v>
      </c>
      <c r="I37" s="10" t="str">
        <f t="shared" si="1"/>
        <v>ERR</v>
      </c>
      <c r="J37" s="13" t="str">
        <f t="shared" si="2"/>
        <v>959987</v>
      </c>
      <c r="K37" s="12" t="str">
        <f>VLOOKUP($J37,Base!$A$2:$H$50000,2,FALSE)</f>
        <v xml:space="preserve"> PIETU </v>
      </c>
      <c r="L37" s="12">
        <f>VLOOKUP($J37,Base!$A$2:$H$50000,8,FALSE)</f>
        <v>1672.42</v>
      </c>
      <c r="M37" s="12" t="str">
        <f>VLOOKUP($J37,Base!$A$2:$H$50000,7,FALSE)</f>
        <v xml:space="preserve"> NANTERRE ES </v>
      </c>
    </row>
    <row r="38" spans="1:13" s="7" customFormat="1" ht="11.25" customHeight="1" x14ac:dyDescent="0.25">
      <c r="A38" s="25">
        <v>28</v>
      </c>
      <c r="B38" s="27">
        <v>3521297</v>
      </c>
      <c r="C38" s="27" t="s">
        <v>30516</v>
      </c>
      <c r="D38" s="28">
        <v>1631</v>
      </c>
      <c r="E38" s="29">
        <v>24828</v>
      </c>
      <c r="F38" s="27" t="s">
        <v>26437</v>
      </c>
      <c r="G38" s="26">
        <f t="shared" si="0"/>
        <v>1639.17</v>
      </c>
      <c r="I38" s="10" t="str">
        <f t="shared" si="1"/>
        <v>ERR</v>
      </c>
      <c r="J38" s="13" t="str">
        <f t="shared" si="2"/>
        <v>3521297</v>
      </c>
      <c r="K38" s="12" t="str">
        <f>VLOOKUP($J38,Base!$A$2:$H$50000,2,FALSE)</f>
        <v xml:space="preserve"> SANSANO </v>
      </c>
      <c r="L38" s="12">
        <f>VLOOKUP($J38,Base!$A$2:$H$50000,8,FALSE)</f>
        <v>1639.17</v>
      </c>
      <c r="M38" s="12" t="str">
        <f>VLOOKUP($J38,Base!$A$2:$H$50000,7,FALSE)</f>
        <v xml:space="preserve"> RENNES CERCLE PAUL BERT </v>
      </c>
    </row>
    <row r="39" spans="1:13" s="7" customFormat="1" ht="11.25" customHeight="1" x14ac:dyDescent="0.25">
      <c r="A39" s="25">
        <v>29</v>
      </c>
      <c r="B39" s="27">
        <v>54466</v>
      </c>
      <c r="C39" s="27" t="s">
        <v>30463</v>
      </c>
      <c r="D39" s="28">
        <v>1655</v>
      </c>
      <c r="E39" s="29">
        <v>21730</v>
      </c>
      <c r="F39" s="27" t="s">
        <v>26375</v>
      </c>
      <c r="G39" s="26">
        <f t="shared" si="0"/>
        <v>1634.17</v>
      </c>
      <c r="I39" s="10" t="str">
        <f t="shared" si="1"/>
        <v>ERR</v>
      </c>
      <c r="J39" s="13" t="str">
        <f t="shared" si="2"/>
        <v>54466</v>
      </c>
      <c r="K39" s="12" t="str">
        <f>VLOOKUP($J39,Base!$A$2:$H$50000,2,FALSE)</f>
        <v xml:space="preserve"> REMLE </v>
      </c>
      <c r="L39" s="12">
        <f>VLOOKUP($J39,Base!$A$2:$H$50000,8,FALSE)</f>
        <v>1634.17</v>
      </c>
      <c r="M39" s="12" t="str">
        <f>VLOOKUP($J39,Base!$A$2:$H$50000,7,FALSE)</f>
        <v xml:space="preserve"> DOMBASLE STT </v>
      </c>
    </row>
    <row r="40" spans="1:13" s="7" customFormat="1" ht="11.25" customHeight="1" x14ac:dyDescent="0.25">
      <c r="A40" s="25">
        <v>30</v>
      </c>
      <c r="B40" s="27">
        <v>836085</v>
      </c>
      <c r="C40" s="27" t="s">
        <v>30442</v>
      </c>
      <c r="D40" s="28">
        <v>1656</v>
      </c>
      <c r="E40" s="29">
        <v>23580</v>
      </c>
      <c r="F40" s="27" t="s">
        <v>26383</v>
      </c>
      <c r="G40" s="26">
        <f t="shared" si="0"/>
        <v>1632.05</v>
      </c>
      <c r="I40" s="10" t="str">
        <f t="shared" si="1"/>
        <v>ERR</v>
      </c>
      <c r="J40" s="13" t="str">
        <f t="shared" si="2"/>
        <v>836085</v>
      </c>
      <c r="K40" s="12" t="str">
        <f>VLOOKUP($J40,Base!$A$2:$H$50000,2,FALSE)</f>
        <v xml:space="preserve"> HOUDART </v>
      </c>
      <c r="L40" s="12">
        <f>VLOOKUP($J40,Base!$A$2:$H$50000,8,FALSE)</f>
        <v>1632.05</v>
      </c>
      <c r="M40" s="12" t="str">
        <f>VLOOKUP($J40,Base!$A$2:$H$50000,7,FALSE)</f>
        <v xml:space="preserve"> CANNET COTE D AZUR TT </v>
      </c>
    </row>
    <row r="41" spans="1:13" s="7" customFormat="1" ht="11.25" customHeight="1" x14ac:dyDescent="0.25">
      <c r="A41" s="25">
        <v>31</v>
      </c>
      <c r="B41" s="27">
        <v>951228</v>
      </c>
      <c r="C41" s="27" t="s">
        <v>30468</v>
      </c>
      <c r="D41" s="28">
        <v>1567</v>
      </c>
      <c r="E41" s="29">
        <v>22852</v>
      </c>
      <c r="F41" s="27" t="s">
        <v>30439</v>
      </c>
      <c r="G41" s="26">
        <f t="shared" si="0"/>
        <v>1623.18</v>
      </c>
      <c r="I41" s="10" t="str">
        <f t="shared" si="1"/>
        <v>ERR</v>
      </c>
      <c r="J41" s="13" t="str">
        <f t="shared" si="2"/>
        <v>951228</v>
      </c>
      <c r="K41" s="12" t="str">
        <f>VLOOKUP($J41,Base!$A$2:$H$50000,2,FALSE)</f>
        <v xml:space="preserve"> BAILLOUX </v>
      </c>
      <c r="L41" s="12">
        <f>VLOOKUP($J41,Base!$A$2:$H$50000,8,FALSE)</f>
        <v>1623.18</v>
      </c>
      <c r="M41" s="12" t="str">
        <f>VLOOKUP($J41,Base!$A$2:$H$50000,7,FALSE)</f>
        <v xml:space="preserve"> A.T.T. CHABRIS </v>
      </c>
    </row>
    <row r="42" spans="1:13" s="7" customFormat="1" ht="11.25" customHeight="1" x14ac:dyDescent="0.25">
      <c r="A42" s="25">
        <v>32</v>
      </c>
      <c r="B42" s="27">
        <v>139533</v>
      </c>
      <c r="C42" s="27" t="s">
        <v>30464</v>
      </c>
      <c r="D42" s="28">
        <v>1625</v>
      </c>
      <c r="E42" s="29">
        <v>25095</v>
      </c>
      <c r="F42" s="27" t="s">
        <v>30441</v>
      </c>
      <c r="G42" s="26">
        <f t="shared" si="0"/>
        <v>1619.17</v>
      </c>
      <c r="I42" s="10" t="str">
        <f t="shared" si="1"/>
        <v>ERR</v>
      </c>
      <c r="J42" s="13" t="str">
        <f t="shared" si="2"/>
        <v>139533</v>
      </c>
      <c r="K42" s="12" t="str">
        <f>VLOOKUP($J42,Base!$A$2:$H$50000,2,FALSE)</f>
        <v xml:space="preserve"> BEGUE </v>
      </c>
      <c r="L42" s="12">
        <f>VLOOKUP($J42,Base!$A$2:$H$50000,8,FALSE)</f>
        <v>1619.17</v>
      </c>
      <c r="M42" s="12" t="str">
        <f>VLOOKUP($J42,Base!$A$2:$H$50000,7,FALSE)</f>
        <v xml:space="preserve"> AUBAGNE TT </v>
      </c>
    </row>
    <row r="43" spans="1:13" s="7" customFormat="1" ht="11.25" customHeight="1" x14ac:dyDescent="0.25">
      <c r="A43" s="25">
        <v>33</v>
      </c>
      <c r="B43" s="27">
        <v>943923</v>
      </c>
      <c r="C43" s="27" t="s">
        <v>30473</v>
      </c>
      <c r="D43" s="28">
        <v>1618</v>
      </c>
      <c r="E43" s="29">
        <v>22443</v>
      </c>
      <c r="F43" s="27" t="s">
        <v>30457</v>
      </c>
      <c r="G43" s="26">
        <f t="shared" ref="G43:G74" si="3">L43</f>
        <v>1614.04</v>
      </c>
      <c r="I43" s="10" t="str">
        <f t="shared" ref="I43:I74" si="4">IF(C43=K43,"","ERR")</f>
        <v>ERR</v>
      </c>
      <c r="J43" s="13" t="str">
        <f t="shared" ref="J43:J74" si="5">LEFT(B43,LEN(B43))</f>
        <v>943923</v>
      </c>
      <c r="K43" s="12" t="str">
        <f>VLOOKUP($J43,Base!$A$2:$H$50000,2,FALSE)</f>
        <v xml:space="preserve"> GROGNET </v>
      </c>
      <c r="L43" s="12">
        <f>VLOOKUP($J43,Base!$A$2:$H$50000,8,FALSE)</f>
        <v>1614.04</v>
      </c>
      <c r="M43" s="12" t="str">
        <f>VLOOKUP($J43,Base!$A$2:$H$50000,7,FALSE)</f>
        <v xml:space="preserve"> SENE TENNIS DE TABLE </v>
      </c>
    </row>
    <row r="44" spans="1:13" s="7" customFormat="1" ht="11.25" customHeight="1" x14ac:dyDescent="0.25">
      <c r="A44" s="25">
        <v>34</v>
      </c>
      <c r="B44" s="27">
        <v>9415550</v>
      </c>
      <c r="C44" s="27" t="s">
        <v>30458</v>
      </c>
      <c r="D44" s="28">
        <v>1625</v>
      </c>
      <c r="E44" s="29">
        <v>23023</v>
      </c>
      <c r="F44" s="27" t="s">
        <v>30472</v>
      </c>
      <c r="G44" s="26">
        <f t="shared" si="3"/>
        <v>1591.67</v>
      </c>
      <c r="I44" s="10" t="str">
        <f t="shared" si="4"/>
        <v>ERR</v>
      </c>
      <c r="J44" s="13" t="str">
        <f t="shared" si="5"/>
        <v>9415550</v>
      </c>
      <c r="K44" s="12" t="str">
        <f>VLOOKUP($J44,Base!$A$2:$H$50000,2,FALSE)</f>
        <v xml:space="preserve"> LAMRI </v>
      </c>
      <c r="L44" s="12">
        <f>VLOOKUP($J44,Base!$A$2:$H$50000,8,FALSE)</f>
        <v>1591.67</v>
      </c>
      <c r="M44" s="12" t="str">
        <f>VLOOKUP($J44,Base!$A$2:$H$50000,7,FALSE)</f>
        <v xml:space="preserve"> STELLA THONON </v>
      </c>
    </row>
    <row r="45" spans="1:13" s="7" customFormat="1" ht="11.25" customHeight="1" x14ac:dyDescent="0.25">
      <c r="A45" s="25">
        <v>35</v>
      </c>
      <c r="B45" s="27">
        <v>45230</v>
      </c>
      <c r="C45" s="27" t="s">
        <v>30474</v>
      </c>
      <c r="D45" s="28">
        <v>1541</v>
      </c>
      <c r="E45" s="29">
        <v>22969</v>
      </c>
      <c r="F45" s="27" t="s">
        <v>26370</v>
      </c>
      <c r="G45" s="26">
        <f t="shared" si="3"/>
        <v>1578.67</v>
      </c>
      <c r="I45" s="10" t="str">
        <f t="shared" si="4"/>
        <v>ERR</v>
      </c>
      <c r="J45" s="13" t="str">
        <f t="shared" si="5"/>
        <v>45230</v>
      </c>
      <c r="K45" s="12" t="str">
        <f>VLOOKUP($J45,Base!$A$2:$H$50000,2,FALSE)</f>
        <v xml:space="preserve"> SELLIER </v>
      </c>
      <c r="L45" s="12">
        <f>VLOOKUP($J45,Base!$A$2:$H$50000,8,FALSE)</f>
        <v>1578.67</v>
      </c>
      <c r="M45" s="12" t="str">
        <f>VLOOKUP($J45,Base!$A$2:$H$50000,7,FALSE)</f>
        <v xml:space="preserve"> CMPJM INGRE TT </v>
      </c>
    </row>
    <row r="46" spans="1:13" s="7" customFormat="1" ht="11.25" customHeight="1" x14ac:dyDescent="0.25">
      <c r="A46" s="25">
        <v>36</v>
      </c>
      <c r="B46" s="27">
        <v>6214934</v>
      </c>
      <c r="C46" s="27" t="s">
        <v>30445</v>
      </c>
      <c r="D46" s="28">
        <v>1605</v>
      </c>
      <c r="E46" s="29">
        <v>23855</v>
      </c>
      <c r="F46" s="27" t="s">
        <v>26378</v>
      </c>
      <c r="G46" s="26">
        <f t="shared" si="3"/>
        <v>1578.17</v>
      </c>
      <c r="I46" s="10" t="str">
        <f t="shared" si="4"/>
        <v>ERR</v>
      </c>
      <c r="J46" s="13" t="str">
        <f t="shared" si="5"/>
        <v>6214934</v>
      </c>
      <c r="K46" s="12" t="str">
        <f>VLOOKUP($J46,Base!$A$2:$H$50000,2,FALSE)</f>
        <v xml:space="preserve"> SCHWARZ </v>
      </c>
      <c r="L46" s="12">
        <f>VLOOKUP($J46,Base!$A$2:$H$50000,8,FALSE)</f>
        <v>1578.17</v>
      </c>
      <c r="M46" s="12" t="str">
        <f>VLOOKUP($J46,Base!$A$2:$H$50000,7,FALSE)</f>
        <v xml:space="preserve"> CARVIN ATT </v>
      </c>
    </row>
    <row r="47" spans="1:13" s="7" customFormat="1" x14ac:dyDescent="0.25">
      <c r="A47" s="25">
        <v>37</v>
      </c>
      <c r="B47" s="27">
        <v>9765000</v>
      </c>
      <c r="C47" s="27" t="s">
        <v>30523</v>
      </c>
      <c r="D47" s="28">
        <v>1577</v>
      </c>
      <c r="E47" s="29">
        <v>23718</v>
      </c>
      <c r="F47" s="27" t="s">
        <v>30489</v>
      </c>
      <c r="G47" s="26">
        <f t="shared" si="3"/>
        <v>1576.67</v>
      </c>
      <c r="I47" s="10" t="str">
        <f t="shared" si="4"/>
        <v>ERR</v>
      </c>
      <c r="J47" s="13" t="str">
        <f t="shared" si="5"/>
        <v>9765000</v>
      </c>
      <c r="K47" s="12" t="str">
        <f>VLOOKUP($J47,Base!$A$2:$H$50000,2,FALSE)</f>
        <v xml:space="preserve"> MIJOVIC </v>
      </c>
      <c r="L47" s="12">
        <f>VLOOKUP($J47,Base!$A$2:$H$50000,8,FALSE)</f>
        <v>1576.67</v>
      </c>
      <c r="M47" s="12" t="str">
        <f>VLOOKUP($J47,Base!$A$2:$H$50000,7,FALSE)</f>
        <v xml:space="preserve"> PANTIN CMS </v>
      </c>
    </row>
    <row r="48" spans="1:13" s="7" customFormat="1" x14ac:dyDescent="0.25">
      <c r="A48" s="25">
        <v>38</v>
      </c>
      <c r="B48" s="27">
        <v>783045</v>
      </c>
      <c r="C48" s="27" t="s">
        <v>30526</v>
      </c>
      <c r="D48" s="28">
        <v>1536</v>
      </c>
      <c r="E48" s="29">
        <v>23326</v>
      </c>
      <c r="F48" s="27" t="s">
        <v>30224</v>
      </c>
      <c r="G48" s="26">
        <f t="shared" si="3"/>
        <v>1575.92</v>
      </c>
      <c r="I48" s="10" t="str">
        <f t="shared" si="4"/>
        <v>ERR</v>
      </c>
      <c r="J48" s="13" t="str">
        <f t="shared" si="5"/>
        <v>783045</v>
      </c>
      <c r="K48" s="12" t="str">
        <f>VLOOKUP($J48,Base!$A$2:$H$50000,2,FALSE)</f>
        <v xml:space="preserve"> ROFFI </v>
      </c>
      <c r="L48" s="12">
        <f>VLOOKUP($J48,Base!$A$2:$H$50000,8,FALSE)</f>
        <v>1575.92</v>
      </c>
      <c r="M48" s="12" t="str">
        <f>VLOOKUP($J48,Base!$A$2:$H$50000,7,FALSE)</f>
        <v xml:space="preserve"> SAINT-REMY-CHEVREUSE TT </v>
      </c>
    </row>
    <row r="49" spans="1:13" s="7" customFormat="1" x14ac:dyDescent="0.25">
      <c r="A49" s="25">
        <v>39</v>
      </c>
      <c r="B49" s="27">
        <v>318950</v>
      </c>
      <c r="C49" s="27" t="s">
        <v>30447</v>
      </c>
      <c r="D49" s="28">
        <v>1586</v>
      </c>
      <c r="E49" s="29">
        <v>25017</v>
      </c>
      <c r="F49" s="27" t="s">
        <v>30491</v>
      </c>
      <c r="G49" s="26">
        <f t="shared" si="3"/>
        <v>1573.43</v>
      </c>
      <c r="I49" s="10" t="str">
        <f t="shared" si="4"/>
        <v>ERR</v>
      </c>
      <c r="J49" s="13" t="str">
        <f t="shared" si="5"/>
        <v>318950</v>
      </c>
      <c r="K49" s="12" t="str">
        <f>VLOOKUP($J49,Base!$A$2:$H$50000,2,FALSE)</f>
        <v xml:space="preserve"> OHANNESSIAN </v>
      </c>
      <c r="L49" s="12">
        <f>VLOOKUP($J49,Base!$A$2:$H$50000,8,FALSE)</f>
        <v>1573.43</v>
      </c>
      <c r="M49" s="12" t="str">
        <f>VLOOKUP($J49,Base!$A$2:$H$50000,7,FALSE)</f>
        <v xml:space="preserve"> PINS-JUSTARET VILLATE TT </v>
      </c>
    </row>
    <row r="50" spans="1:13" s="7" customFormat="1" x14ac:dyDescent="0.25">
      <c r="A50" s="25">
        <v>40</v>
      </c>
      <c r="B50" s="27">
        <v>3331182</v>
      </c>
      <c r="C50" s="27" t="s">
        <v>30450</v>
      </c>
      <c r="D50" s="28">
        <v>1565</v>
      </c>
      <c r="E50" s="29">
        <v>22255</v>
      </c>
      <c r="F50" s="27" t="s">
        <v>26376</v>
      </c>
      <c r="G50" s="26">
        <f t="shared" si="3"/>
        <v>1565.17</v>
      </c>
      <c r="I50" s="10" t="str">
        <f t="shared" si="4"/>
        <v>ERR</v>
      </c>
      <c r="J50" s="13" t="str">
        <f t="shared" si="5"/>
        <v>3331182</v>
      </c>
      <c r="K50" s="12" t="str">
        <f>VLOOKUP($J50,Base!$A$2:$H$50000,2,FALSE)</f>
        <v xml:space="preserve"> JOLLY </v>
      </c>
      <c r="L50" s="12">
        <f>VLOOKUP($J50,Base!$A$2:$H$50000,8,FALSE)</f>
        <v>1565.17</v>
      </c>
      <c r="M50" s="12" t="str">
        <f>VLOOKUP($J50,Base!$A$2:$H$50000,7,FALSE)</f>
        <v xml:space="preserve"> CA BEGLAIS </v>
      </c>
    </row>
    <row r="51" spans="1:13" s="7" customFormat="1" x14ac:dyDescent="0.25">
      <c r="A51" s="25">
        <v>41</v>
      </c>
      <c r="B51" s="27">
        <v>7716260</v>
      </c>
      <c r="C51" s="27" t="s">
        <v>30492</v>
      </c>
      <c r="D51" s="28">
        <v>1557</v>
      </c>
      <c r="E51" s="29">
        <v>24684</v>
      </c>
      <c r="F51" s="27" t="s">
        <v>30446</v>
      </c>
      <c r="G51" s="26">
        <f t="shared" si="3"/>
        <v>1564.05</v>
      </c>
      <c r="I51" s="10" t="str">
        <f t="shared" si="4"/>
        <v>ERR</v>
      </c>
      <c r="J51" s="13" t="str">
        <f t="shared" si="5"/>
        <v>7716260</v>
      </c>
      <c r="K51" s="12" t="str">
        <f>VLOOKUP($J51,Base!$A$2:$H$50000,2,FALSE)</f>
        <v xml:space="preserve"> CAMPET </v>
      </c>
      <c r="L51" s="12">
        <f>VLOOKUP($J51,Base!$A$2:$H$50000,8,FALSE)</f>
        <v>1564.05</v>
      </c>
      <c r="M51" s="12" t="str">
        <f>VLOOKUP($J51,Base!$A$2:$H$50000,7,FALSE)</f>
        <v xml:space="preserve"> COMBS SENART TT </v>
      </c>
    </row>
    <row r="52" spans="1:13" s="7" customFormat="1" x14ac:dyDescent="0.25">
      <c r="A52" s="25">
        <v>42</v>
      </c>
      <c r="B52" s="27">
        <v>911393</v>
      </c>
      <c r="C52" s="27" t="s">
        <v>30459</v>
      </c>
      <c r="D52" s="28">
        <v>1526</v>
      </c>
      <c r="E52" s="29">
        <v>22959</v>
      </c>
      <c r="F52" s="27" t="s">
        <v>30465</v>
      </c>
      <c r="G52" s="26">
        <f t="shared" si="3"/>
        <v>1549.93</v>
      </c>
      <c r="I52" s="10" t="str">
        <f t="shared" si="4"/>
        <v>ERR</v>
      </c>
      <c r="J52" s="13" t="str">
        <f t="shared" si="5"/>
        <v>911393</v>
      </c>
      <c r="K52" s="12" t="str">
        <f>VLOOKUP($J52,Base!$A$2:$H$50000,2,FALSE)</f>
        <v xml:space="preserve"> HOUDOUIN </v>
      </c>
      <c r="L52" s="12">
        <f>VLOOKUP($J52,Base!$A$2:$H$50000,8,FALSE)</f>
        <v>1549.93</v>
      </c>
      <c r="M52" s="12" t="str">
        <f>VLOOKUP($J52,Base!$A$2:$H$50000,7,FALSE)</f>
        <v xml:space="preserve"> ARPAJON ESR </v>
      </c>
    </row>
    <row r="53" spans="1:13" s="7" customFormat="1" x14ac:dyDescent="0.25">
      <c r="A53" s="25">
        <v>43</v>
      </c>
      <c r="B53" s="27">
        <v>693492</v>
      </c>
      <c r="C53" s="27" t="s">
        <v>30499</v>
      </c>
      <c r="D53" s="28">
        <v>1559</v>
      </c>
      <c r="E53" s="29">
        <v>22574</v>
      </c>
      <c r="F53" s="27" t="s">
        <v>30510</v>
      </c>
      <c r="G53" s="26">
        <f t="shared" si="3"/>
        <v>1548.17</v>
      </c>
      <c r="I53" s="10" t="str">
        <f t="shared" si="4"/>
        <v>ERR</v>
      </c>
      <c r="J53" s="13" t="str">
        <f t="shared" si="5"/>
        <v>693492</v>
      </c>
      <c r="K53" s="12" t="str">
        <f>VLOOKUP($J53,Base!$A$2:$H$50000,2,FALSE)</f>
        <v xml:space="preserve"> THERON </v>
      </c>
      <c r="L53" s="12">
        <f>VLOOKUP($J53,Base!$A$2:$H$50000,8,FALSE)</f>
        <v>1548.17</v>
      </c>
      <c r="M53" s="12" t="str">
        <f>VLOOKUP($J53,Base!$A$2:$H$50000,7,FALSE)</f>
        <v xml:space="preserve"> CHARCOT STE FOY LES LYON </v>
      </c>
    </row>
    <row r="54" spans="1:13" s="7" customFormat="1" x14ac:dyDescent="0.25">
      <c r="A54" s="25">
        <v>44</v>
      </c>
      <c r="B54" s="27">
        <v>796494</v>
      </c>
      <c r="C54" s="27" t="s">
        <v>30467</v>
      </c>
      <c r="D54" s="28">
        <v>1560</v>
      </c>
      <c r="E54" s="29">
        <v>24693</v>
      </c>
      <c r="F54" s="27" t="s">
        <v>30449</v>
      </c>
      <c r="G54" s="26">
        <f t="shared" si="3"/>
        <v>1533.92</v>
      </c>
      <c r="I54" s="10" t="str">
        <f t="shared" si="4"/>
        <v>ERR</v>
      </c>
      <c r="J54" s="13" t="str">
        <f t="shared" si="5"/>
        <v>796494</v>
      </c>
      <c r="K54" s="12" t="str">
        <f>VLOOKUP($J54,Base!$A$2:$H$50000,2,FALSE)</f>
        <v xml:space="preserve"> COMBE </v>
      </c>
      <c r="L54" s="12">
        <f>VLOOKUP($J54,Base!$A$2:$H$50000,8,FALSE)</f>
        <v>1533.92</v>
      </c>
      <c r="M54" s="12" t="str">
        <f>VLOOKUP($J54,Base!$A$2:$H$50000,7,FALSE)</f>
        <v xml:space="preserve"> TT BIGANOS </v>
      </c>
    </row>
    <row r="55" spans="1:13" s="7" customFormat="1" x14ac:dyDescent="0.25">
      <c r="A55" s="25">
        <v>45</v>
      </c>
      <c r="B55" s="27">
        <v>585128</v>
      </c>
      <c r="C55" s="27" t="s">
        <v>30482</v>
      </c>
      <c r="D55" s="28">
        <v>1550</v>
      </c>
      <c r="E55" s="29">
        <v>23745</v>
      </c>
      <c r="F55" s="27" t="s">
        <v>30493</v>
      </c>
      <c r="G55" s="26">
        <f t="shared" si="3"/>
        <v>1526.54</v>
      </c>
      <c r="I55" s="10" t="str">
        <f t="shared" si="4"/>
        <v>ERR</v>
      </c>
      <c r="J55" s="13" t="str">
        <f t="shared" si="5"/>
        <v>585128</v>
      </c>
      <c r="K55" s="12" t="str">
        <f>VLOOKUP($J55,Base!$A$2:$H$50000,2,FALSE)</f>
        <v xml:space="preserve"> PACO </v>
      </c>
      <c r="L55" s="12">
        <f>VLOOKUP($J55,Base!$A$2:$H$50000,8,FALSE)</f>
        <v>1526.54</v>
      </c>
      <c r="M55" s="12" t="str">
        <f>VLOOKUP($J55,Base!$A$2:$H$50000,7,FALSE)</f>
        <v xml:space="preserve"> CJM BOURGES TT </v>
      </c>
    </row>
    <row r="56" spans="1:13" s="7" customFormat="1" x14ac:dyDescent="0.25">
      <c r="A56" s="25">
        <v>46</v>
      </c>
      <c r="B56" s="27">
        <v>8310820</v>
      </c>
      <c r="C56" s="27" t="s">
        <v>30485</v>
      </c>
      <c r="D56" s="28">
        <v>1527</v>
      </c>
      <c r="E56" s="29">
        <v>24395</v>
      </c>
      <c r="F56" s="27" t="s">
        <v>30503</v>
      </c>
      <c r="G56" s="26">
        <f t="shared" si="3"/>
        <v>1525.17</v>
      </c>
      <c r="I56" s="10" t="str">
        <f t="shared" si="4"/>
        <v>ERR</v>
      </c>
      <c r="J56" s="13" t="str">
        <f t="shared" si="5"/>
        <v>8310820</v>
      </c>
      <c r="K56" s="12" t="str">
        <f>VLOOKUP($J56,Base!$A$2:$H$50000,2,FALSE)</f>
        <v xml:space="preserve"> ROUSCHMEYER </v>
      </c>
      <c r="L56" s="12">
        <f>VLOOKUP($J56,Base!$A$2:$H$50000,8,FALSE)</f>
        <v>1525.17</v>
      </c>
      <c r="M56" s="12" t="str">
        <f>VLOOKUP($J56,Base!$A$2:$H$50000,7,FALSE)</f>
        <v xml:space="preserve"> T.T. SIX FOURS </v>
      </c>
    </row>
    <row r="57" spans="1:13" s="7" customFormat="1" x14ac:dyDescent="0.25">
      <c r="A57" s="25">
        <v>47</v>
      </c>
      <c r="B57" s="27">
        <v>7211</v>
      </c>
      <c r="C57" s="27" t="s">
        <v>30519</v>
      </c>
      <c r="D57" s="28">
        <v>1457</v>
      </c>
      <c r="E57" s="29">
        <v>22939</v>
      </c>
      <c r="F57" s="27" t="s">
        <v>30443</v>
      </c>
      <c r="G57" s="26">
        <f t="shared" si="3"/>
        <v>1485.3</v>
      </c>
      <c r="I57" s="10" t="str">
        <f t="shared" si="4"/>
        <v>ERR</v>
      </c>
      <c r="J57" s="13" t="str">
        <f t="shared" si="5"/>
        <v>7211</v>
      </c>
      <c r="K57" s="12" t="str">
        <f>VLOOKUP($J57,Base!$A$2:$H$50000,2,FALSE)</f>
        <v xml:space="preserve"> BOISSIERE </v>
      </c>
      <c r="L57" s="12">
        <f>VLOOKUP($J57,Base!$A$2:$H$50000,8,FALSE)</f>
        <v>1485.3</v>
      </c>
      <c r="M57" s="12" t="str">
        <f>VLOOKUP($J57,Base!$A$2:$H$50000,7,FALSE)</f>
        <v xml:space="preserve"> SABLE TENNIS DE TABLE </v>
      </c>
    </row>
    <row r="58" spans="1:13" s="7" customFormat="1" x14ac:dyDescent="0.25">
      <c r="A58" s="25">
        <v>48</v>
      </c>
      <c r="B58" s="35" t="s">
        <v>30532</v>
      </c>
      <c r="C58" s="27" t="s">
        <v>30460</v>
      </c>
      <c r="D58" s="28">
        <v>1440</v>
      </c>
      <c r="E58" s="29">
        <v>23249</v>
      </c>
      <c r="F58" s="27" t="s">
        <v>26442</v>
      </c>
      <c r="G58" s="26">
        <f t="shared" si="3"/>
        <v>1477.68</v>
      </c>
      <c r="I58" s="10" t="str">
        <f t="shared" si="4"/>
        <v>ERR</v>
      </c>
      <c r="J58" s="13" t="str">
        <f t="shared" si="5"/>
        <v>02589</v>
      </c>
      <c r="K58" s="12" t="str">
        <f>VLOOKUP($J58,Base!$A$2:$H$50000,2,FALSE)</f>
        <v xml:space="preserve"> HERCENT </v>
      </c>
      <c r="L58" s="12">
        <f>VLOOKUP($J58,Base!$A$2:$H$50000,8,FALSE)</f>
        <v>1477.68</v>
      </c>
      <c r="M58" s="12" t="str">
        <f>VLOOKUP($J58,Base!$A$2:$H$50000,7,FALSE)</f>
        <v xml:space="preserve"> PING ST JEAN 45 </v>
      </c>
    </row>
    <row r="59" spans="1:13" s="7" customFormat="1" x14ac:dyDescent="0.25">
      <c r="A59" s="25">
        <v>49</v>
      </c>
      <c r="B59" s="27">
        <v>891914</v>
      </c>
      <c r="C59" s="27" t="s">
        <v>30522</v>
      </c>
      <c r="D59" s="28">
        <v>1431</v>
      </c>
      <c r="E59" s="29">
        <v>23550</v>
      </c>
      <c r="F59" s="27" t="s">
        <v>26405</v>
      </c>
      <c r="G59" s="26">
        <f t="shared" si="3"/>
        <v>1455.3</v>
      </c>
      <c r="I59" s="10" t="str">
        <f t="shared" si="4"/>
        <v>ERR</v>
      </c>
      <c r="J59" s="13" t="str">
        <f t="shared" si="5"/>
        <v>891914</v>
      </c>
      <c r="K59" s="12" t="str">
        <f>VLOOKUP($J59,Base!$A$2:$H$50000,2,FALSE)</f>
        <v xml:space="preserve"> MANCEAU </v>
      </c>
      <c r="L59" s="12">
        <f>VLOOKUP($J59,Base!$A$2:$H$50000,8,FALSE)</f>
        <v>1455.3</v>
      </c>
      <c r="M59" s="12" t="str">
        <f>VLOOKUP($J59,Base!$A$2:$H$50000,7,FALSE)</f>
        <v xml:space="preserve"> U S MIOSSAISE PING PONG </v>
      </c>
    </row>
    <row r="60" spans="1:13" s="7" customFormat="1" x14ac:dyDescent="0.25">
      <c r="A60" s="25">
        <v>50</v>
      </c>
      <c r="B60" s="27">
        <v>5936625</v>
      </c>
      <c r="C60" s="27" t="s">
        <v>30508</v>
      </c>
      <c r="D60" s="28">
        <v>1469</v>
      </c>
      <c r="E60" s="29">
        <v>22511</v>
      </c>
      <c r="F60" s="27" t="s">
        <v>30444</v>
      </c>
      <c r="G60" s="26">
        <f t="shared" si="3"/>
        <v>1438.17</v>
      </c>
      <c r="I60" s="10" t="str">
        <f t="shared" si="4"/>
        <v>ERR</v>
      </c>
      <c r="J60" s="13" t="str">
        <f t="shared" si="5"/>
        <v>5936625</v>
      </c>
      <c r="K60" s="12" t="str">
        <f>VLOOKUP($J60,Base!$A$2:$H$50000,2,FALSE)</f>
        <v xml:space="preserve"> CALVANESE </v>
      </c>
      <c r="L60" s="12">
        <f>VLOOKUP($J60,Base!$A$2:$H$50000,8,FALSE)</f>
        <v>1438.17</v>
      </c>
      <c r="M60" s="12" t="str">
        <f>VLOOKUP($J60,Base!$A$2:$H$50000,7,FALSE)</f>
        <v xml:space="preserve"> INCHY-BEAUMONT UP </v>
      </c>
    </row>
    <row r="61" spans="1:13" s="7" customFormat="1" x14ac:dyDescent="0.25">
      <c r="A61" s="25">
        <v>51</v>
      </c>
      <c r="B61" s="27">
        <v>215531</v>
      </c>
      <c r="C61" s="27" t="s">
        <v>30507</v>
      </c>
      <c r="D61" s="28">
        <v>1449</v>
      </c>
      <c r="E61" s="29">
        <v>25099</v>
      </c>
      <c r="F61" s="27" t="s">
        <v>30515</v>
      </c>
      <c r="G61" s="26">
        <f t="shared" si="3"/>
        <v>1433.04</v>
      </c>
      <c r="I61" s="10" t="str">
        <f t="shared" si="4"/>
        <v>ERR</v>
      </c>
      <c r="J61" s="13" t="str">
        <f t="shared" si="5"/>
        <v>215531</v>
      </c>
      <c r="K61" s="12" t="str">
        <f>VLOOKUP($J61,Base!$A$2:$H$50000,2,FALSE)</f>
        <v xml:space="preserve"> ZANA </v>
      </c>
      <c r="L61" s="12">
        <f>VLOOKUP($J61,Base!$A$2:$H$50000,8,FALSE)</f>
        <v>1433.04</v>
      </c>
      <c r="M61" s="12" t="str">
        <f>VLOOKUP($J61,Base!$A$2:$H$50000,7,FALSE)</f>
        <v xml:space="preserve"> ALC LONGVIC </v>
      </c>
    </row>
    <row r="62" spans="1:13" s="7" customFormat="1" x14ac:dyDescent="0.25">
      <c r="A62" s="25">
        <v>52</v>
      </c>
      <c r="B62" s="27">
        <v>3644</v>
      </c>
      <c r="C62" s="27" t="s">
        <v>30524</v>
      </c>
      <c r="D62" s="28">
        <v>1417</v>
      </c>
      <c r="E62" s="29">
        <v>22940</v>
      </c>
      <c r="F62" s="27" t="s">
        <v>30490</v>
      </c>
      <c r="G62" s="26">
        <f t="shared" si="3"/>
        <v>1394.67</v>
      </c>
      <c r="I62" s="10" t="str">
        <f t="shared" si="4"/>
        <v>ERR</v>
      </c>
      <c r="J62" s="13" t="str">
        <f t="shared" si="5"/>
        <v>3644</v>
      </c>
      <c r="K62" s="12" t="str">
        <f>VLOOKUP($J62,Base!$A$2:$H$50000,2,FALSE)</f>
        <v xml:space="preserve"> MITTERRAND </v>
      </c>
      <c r="L62" s="12">
        <f>VLOOKUP($J62,Base!$A$2:$H$50000,8,FALSE)</f>
        <v>1394.67</v>
      </c>
      <c r="M62" s="12" t="str">
        <f>VLOOKUP($J62,Base!$A$2:$H$50000,7,FALSE)</f>
        <v xml:space="preserve"> MILLAS TENNIS DE TABLE </v>
      </c>
    </row>
    <row r="63" spans="1:13" s="7" customFormat="1" x14ac:dyDescent="0.25">
      <c r="A63" s="25">
        <v>53</v>
      </c>
      <c r="B63" s="27">
        <v>451018</v>
      </c>
      <c r="C63" s="27" t="s">
        <v>30509</v>
      </c>
      <c r="D63" s="28">
        <v>1401</v>
      </c>
      <c r="E63" s="29">
        <v>22428</v>
      </c>
      <c r="F63" s="27" t="s">
        <v>26389</v>
      </c>
      <c r="G63" s="26">
        <f t="shared" si="3"/>
        <v>1388.42</v>
      </c>
      <c r="I63" s="10" t="str">
        <f t="shared" si="4"/>
        <v>ERR</v>
      </c>
      <c r="J63" s="13" t="str">
        <f t="shared" si="5"/>
        <v>451018</v>
      </c>
      <c r="K63" s="12" t="str">
        <f>VLOOKUP($J63,Base!$A$2:$H$50000,2,FALSE)</f>
        <v xml:space="preserve"> LARGILLIERE </v>
      </c>
      <c r="L63" s="12">
        <f>VLOOKUP($J63,Base!$A$2:$H$50000,8,FALSE)</f>
        <v>1388.42</v>
      </c>
      <c r="M63" s="12" t="str">
        <f>VLOOKUP($J63,Base!$A$2:$H$50000,7,FALSE)</f>
        <v xml:space="preserve"> CLUB PONGISTE DU GATINAIS </v>
      </c>
    </row>
    <row r="64" spans="1:13" s="7" customFormat="1" x14ac:dyDescent="0.25">
      <c r="A64" s="25">
        <v>54</v>
      </c>
      <c r="B64" s="27">
        <v>6212059</v>
      </c>
      <c r="C64" s="27" t="s">
        <v>30527</v>
      </c>
      <c r="D64" s="28">
        <v>1316</v>
      </c>
      <c r="E64" s="29">
        <v>22003</v>
      </c>
      <c r="F64" s="27" t="s">
        <v>30325</v>
      </c>
      <c r="G64" s="26">
        <f t="shared" si="3"/>
        <v>1357.17</v>
      </c>
      <c r="I64" s="10" t="str">
        <f t="shared" si="4"/>
        <v>ERR</v>
      </c>
      <c r="J64" s="13" t="str">
        <f t="shared" si="5"/>
        <v>6212059</v>
      </c>
      <c r="K64" s="12" t="str">
        <f>VLOOKUP($J64,Base!$A$2:$H$50000,2,FALSE)</f>
        <v xml:space="preserve"> WAZE </v>
      </c>
      <c r="L64" s="12">
        <f>VLOOKUP($J64,Base!$A$2:$H$50000,8,FALSE)</f>
        <v>1357.17</v>
      </c>
      <c r="M64" s="12" t="str">
        <f>VLOOKUP($J64,Base!$A$2:$H$50000,7,FALSE)</f>
        <v xml:space="preserve"> ESCAUDAIN ASTT </v>
      </c>
    </row>
    <row r="65" spans="1:13" s="7" customFormat="1" x14ac:dyDescent="0.25">
      <c r="A65" s="25">
        <v>55</v>
      </c>
      <c r="B65" s="27">
        <v>87182</v>
      </c>
      <c r="C65" s="27" t="s">
        <v>30520</v>
      </c>
      <c r="D65" s="28">
        <v>1307</v>
      </c>
      <c r="E65" s="29">
        <v>22809</v>
      </c>
      <c r="F65" s="27" t="s">
        <v>30471</v>
      </c>
      <c r="G65" s="26">
        <f t="shared" si="3"/>
        <v>1343.55</v>
      </c>
      <c r="I65" s="10" t="str">
        <f t="shared" si="4"/>
        <v>ERR</v>
      </c>
      <c r="J65" s="13" t="str">
        <f t="shared" si="5"/>
        <v>87182</v>
      </c>
      <c r="K65" s="12" t="str">
        <f>VLOOKUP($J65,Base!$A$2:$H$50000,2,FALSE)</f>
        <v xml:space="preserve"> LAMIGE </v>
      </c>
      <c r="L65" s="12">
        <f>VLOOKUP($J65,Base!$A$2:$H$50000,8,FALSE)</f>
        <v>1343.55</v>
      </c>
      <c r="M65" s="12" t="str">
        <f>VLOOKUP($J65,Base!$A$2:$H$50000,7,FALSE)</f>
        <v xml:space="preserve"> LIMOGES ALOUETTE TT (87) </v>
      </c>
    </row>
    <row r="66" spans="1:13" s="7" customFormat="1" x14ac:dyDescent="0.25">
      <c r="A66" s="25">
        <v>56</v>
      </c>
      <c r="B66" s="27">
        <v>7834366</v>
      </c>
      <c r="C66" s="27" t="s">
        <v>30462</v>
      </c>
      <c r="D66" s="28">
        <v>1355</v>
      </c>
      <c r="E66" s="29">
        <v>24397</v>
      </c>
      <c r="F66" s="27" t="s">
        <v>26420</v>
      </c>
      <c r="G66" s="26">
        <f t="shared" si="3"/>
        <v>1342.82</v>
      </c>
      <c r="I66" s="10" t="str">
        <f t="shared" si="4"/>
        <v>ERR</v>
      </c>
      <c r="J66" s="13" t="str">
        <f t="shared" si="5"/>
        <v>7834366</v>
      </c>
      <c r="K66" s="12" t="str">
        <f>VLOOKUP($J66,Base!$A$2:$H$50000,2,FALSE)</f>
        <v xml:space="preserve"> GUILLOU </v>
      </c>
      <c r="L66" s="12">
        <f>VLOOKUP($J66,Base!$A$2:$H$50000,8,FALSE)</f>
        <v>1342.82</v>
      </c>
      <c r="M66" s="12" t="str">
        <f>VLOOKUP($J66,Base!$A$2:$H$50000,7,FALSE)</f>
        <v xml:space="preserve"> BOULOGNE BILLANCOURT AC </v>
      </c>
    </row>
    <row r="67" spans="1:13" s="7" customFormat="1" x14ac:dyDescent="0.25">
      <c r="A67" s="25">
        <v>57</v>
      </c>
      <c r="B67" s="27">
        <v>9422085</v>
      </c>
      <c r="C67" s="27" t="s">
        <v>30518</v>
      </c>
      <c r="D67" s="28">
        <v>1303</v>
      </c>
      <c r="E67" s="29">
        <v>23710</v>
      </c>
      <c r="F67" s="27" t="s">
        <v>30435</v>
      </c>
      <c r="G67" s="26">
        <f t="shared" si="3"/>
        <v>1327.42</v>
      </c>
      <c r="I67" s="10" t="str">
        <f t="shared" si="4"/>
        <v>ERR</v>
      </c>
      <c r="J67" s="13" t="str">
        <f t="shared" si="5"/>
        <v>9422085</v>
      </c>
      <c r="K67" s="12" t="str">
        <f>VLOOKUP($J67,Base!$A$2:$H$50000,2,FALSE)</f>
        <v xml:space="preserve"> ARNOUT </v>
      </c>
      <c r="L67" s="12">
        <f>VLOOKUP($J67,Base!$A$2:$H$50000,8,FALSE)</f>
        <v>1327.42</v>
      </c>
      <c r="M67" s="12" t="str">
        <f>VLOOKUP($J67,Base!$A$2:$H$50000,7,FALSE)</f>
        <v xml:space="preserve"> BREVANNAISE AS </v>
      </c>
    </row>
    <row r="68" spans="1:13" s="7" customFormat="1" x14ac:dyDescent="0.25">
      <c r="A68" s="25">
        <v>58</v>
      </c>
      <c r="B68" s="27">
        <v>843871</v>
      </c>
      <c r="C68" s="27" t="s">
        <v>30504</v>
      </c>
      <c r="D68" s="28">
        <v>1345</v>
      </c>
      <c r="E68" s="29">
        <v>23821</v>
      </c>
      <c r="F68" s="27" t="s">
        <v>30484</v>
      </c>
      <c r="G68" s="26">
        <f t="shared" si="3"/>
        <v>1324.55</v>
      </c>
      <c r="I68" s="10" t="str">
        <f t="shared" si="4"/>
        <v>ERR</v>
      </c>
      <c r="J68" s="13" t="str">
        <f t="shared" si="5"/>
        <v>843871</v>
      </c>
      <c r="K68" s="12" t="str">
        <f>VLOOKUP($J68,Base!$A$2:$H$50000,2,FALSE)</f>
        <v xml:space="preserve"> MANGIN </v>
      </c>
      <c r="L68" s="12">
        <f>VLOOKUP($J68,Base!$A$2:$H$50000,8,FALSE)</f>
        <v>1324.55</v>
      </c>
      <c r="M68" s="12" t="str">
        <f>VLOOKUP($J68,Base!$A$2:$H$50000,7,FALSE)</f>
        <v xml:space="preserve"> CAVAILLON TT </v>
      </c>
    </row>
    <row r="69" spans="1:13" s="7" customFormat="1" x14ac:dyDescent="0.25">
      <c r="A69" s="25">
        <v>59</v>
      </c>
      <c r="B69" s="27">
        <v>9929</v>
      </c>
      <c r="C69" s="27" t="s">
        <v>30494</v>
      </c>
      <c r="D69" s="28">
        <v>1178</v>
      </c>
      <c r="E69" s="29">
        <v>24013</v>
      </c>
      <c r="F69" s="27" t="s">
        <v>30188</v>
      </c>
      <c r="G69" s="26">
        <f t="shared" si="3"/>
        <v>1101.67</v>
      </c>
      <c r="I69" s="10" t="str">
        <f t="shared" si="4"/>
        <v>ERR</v>
      </c>
      <c r="J69" s="13" t="str">
        <f t="shared" si="5"/>
        <v>9929</v>
      </c>
      <c r="K69" s="12" t="str">
        <f>VLOOKUP($J69,Base!$A$2:$H$50000,2,FALSE)</f>
        <v xml:space="preserve"> LIENARD </v>
      </c>
      <c r="L69" s="12">
        <f>VLOOKUP($J69,Base!$A$2:$H$50000,8,FALSE)</f>
        <v>1101.67</v>
      </c>
      <c r="M69" s="12" t="str">
        <f>VLOOKUP($J69,Base!$A$2:$H$50000,7,FALSE)</f>
        <v xml:space="preserve"> PPC BASTIA </v>
      </c>
    </row>
    <row r="70" spans="1:13" s="7" customFormat="1" x14ac:dyDescent="0.25">
      <c r="A70" s="25">
        <v>60</v>
      </c>
      <c r="B70" s="27"/>
      <c r="C70" s="27"/>
      <c r="D70" s="28"/>
      <c r="E70" s="29"/>
      <c r="F70" s="27"/>
      <c r="G70" s="26" t="e">
        <f t="shared" si="3"/>
        <v>#N/A</v>
      </c>
      <c r="I70" s="10" t="e">
        <f t="shared" si="4"/>
        <v>#N/A</v>
      </c>
      <c r="J70" s="13" t="str">
        <f t="shared" si="5"/>
        <v/>
      </c>
      <c r="K70" s="12" t="e">
        <f>VLOOKUP($J70,Base!$A$2:$H$50000,2,FALSE)</f>
        <v>#N/A</v>
      </c>
      <c r="L70" s="12" t="e">
        <f>VLOOKUP($J70,Base!$A$2:$H$50000,8,FALSE)</f>
        <v>#N/A</v>
      </c>
      <c r="M70" s="12" t="e">
        <f>VLOOKUP($J70,Base!$A$2:$H$50000,7,FALSE)</f>
        <v>#N/A</v>
      </c>
    </row>
    <row r="71" spans="1:13" s="7" customFormat="1" x14ac:dyDescent="0.25">
      <c r="A71" s="25">
        <v>61</v>
      </c>
      <c r="B71" s="27"/>
      <c r="C71" s="27"/>
      <c r="D71" s="28"/>
      <c r="E71" s="29"/>
      <c r="F71" s="27"/>
      <c r="G71" s="26" t="e">
        <f t="shared" si="3"/>
        <v>#N/A</v>
      </c>
      <c r="I71" s="10" t="e">
        <f t="shared" si="4"/>
        <v>#N/A</v>
      </c>
      <c r="J71" s="13" t="str">
        <f t="shared" si="5"/>
        <v/>
      </c>
      <c r="K71" s="12" t="e">
        <f>VLOOKUP($J71,Base!$A$2:$H$50000,2,FALSE)</f>
        <v>#N/A</v>
      </c>
      <c r="L71" s="12" t="e">
        <f>VLOOKUP($J71,Base!$A$2:$H$50000,8,FALSE)</f>
        <v>#N/A</v>
      </c>
      <c r="M71" s="12" t="e">
        <f>VLOOKUP($J71,Base!$A$2:$H$50000,7,FALSE)</f>
        <v>#N/A</v>
      </c>
    </row>
    <row r="72" spans="1:13" s="7" customFormat="1" x14ac:dyDescent="0.25">
      <c r="A72" s="25">
        <v>62</v>
      </c>
      <c r="B72" s="27"/>
      <c r="C72" s="27"/>
      <c r="D72" s="28"/>
      <c r="E72" s="29"/>
      <c r="F72" s="27"/>
      <c r="G72" s="26" t="e">
        <f t="shared" si="3"/>
        <v>#N/A</v>
      </c>
      <c r="I72" s="10" t="e">
        <f t="shared" si="4"/>
        <v>#N/A</v>
      </c>
      <c r="J72" s="13" t="str">
        <f t="shared" si="5"/>
        <v/>
      </c>
      <c r="K72" s="12" t="e">
        <f>VLOOKUP($J72,Base!$A$2:$H$50000,2,FALSE)</f>
        <v>#N/A</v>
      </c>
      <c r="L72" s="12" t="e">
        <f>VLOOKUP($J72,Base!$A$2:$H$50000,8,FALSE)</f>
        <v>#N/A</v>
      </c>
      <c r="M72" s="12" t="e">
        <f>VLOOKUP($J72,Base!$A$2:$H$50000,7,FALSE)</f>
        <v>#N/A</v>
      </c>
    </row>
    <row r="73" spans="1:13" s="7" customFormat="1" x14ac:dyDescent="0.25">
      <c r="A73" s="25">
        <v>63</v>
      </c>
      <c r="B73" s="27"/>
      <c r="C73" s="27"/>
      <c r="D73" s="28"/>
      <c r="E73" s="29"/>
      <c r="F73" s="27"/>
      <c r="G73" s="26" t="e">
        <f t="shared" si="3"/>
        <v>#N/A</v>
      </c>
      <c r="I73" s="10" t="e">
        <f t="shared" si="4"/>
        <v>#N/A</v>
      </c>
      <c r="J73" s="13" t="str">
        <f t="shared" si="5"/>
        <v/>
      </c>
      <c r="K73" s="12" t="e">
        <f>VLOOKUP($J73,Base!$A$2:$H$50000,2,FALSE)</f>
        <v>#N/A</v>
      </c>
      <c r="L73" s="12" t="e">
        <f>VLOOKUP($J73,Base!$A$2:$H$50000,8,FALSE)</f>
        <v>#N/A</v>
      </c>
      <c r="M73" s="12" t="e">
        <f>VLOOKUP($J73,Base!$A$2:$H$50000,7,FALSE)</f>
        <v>#N/A</v>
      </c>
    </row>
    <row r="74" spans="1:13" s="7" customFormat="1" x14ac:dyDescent="0.25">
      <c r="A74" s="25">
        <v>64</v>
      </c>
      <c r="B74" s="27"/>
      <c r="C74" s="27"/>
      <c r="D74" s="28"/>
      <c r="E74" s="29"/>
      <c r="F74" s="27"/>
      <c r="G74" s="26" t="e">
        <f t="shared" si="3"/>
        <v>#N/A</v>
      </c>
      <c r="I74" s="10" t="e">
        <f t="shared" si="4"/>
        <v>#N/A</v>
      </c>
      <c r="J74" s="13" t="str">
        <f t="shared" si="5"/>
        <v/>
      </c>
      <c r="K74" s="12" t="e">
        <f>VLOOKUP($J74,Base!$A$2:$H$50000,2,FALSE)</f>
        <v>#N/A</v>
      </c>
      <c r="L74" s="12" t="e">
        <f>VLOOKUP($J74,Base!$A$2:$H$50000,8,FALSE)</f>
        <v>#N/A</v>
      </c>
      <c r="M74" s="12" t="e">
        <f>VLOOKUP($J74,Base!$A$2:$H$50000,7,FALSE)</f>
        <v>#N/A</v>
      </c>
    </row>
    <row r="77" spans="1:13" x14ac:dyDescent="0.25">
      <c r="A77" s="48" t="s">
        <v>30644</v>
      </c>
      <c r="B77" s="41">
        <v>684129</v>
      </c>
      <c r="C77" s="41" t="s">
        <v>30470</v>
      </c>
      <c r="D77" s="42">
        <v>2110</v>
      </c>
      <c r="E77" s="43">
        <v>22295</v>
      </c>
      <c r="F77" s="41" t="s">
        <v>30455</v>
      </c>
      <c r="G77" s="5" t="s">
        <v>30647</v>
      </c>
    </row>
    <row r="79" spans="1:13" x14ac:dyDescent="0.25">
      <c r="A79" s="48" t="s">
        <v>30644</v>
      </c>
      <c r="B79" s="41">
        <v>2217755</v>
      </c>
      <c r="C79" s="41" t="s">
        <v>30528</v>
      </c>
      <c r="D79" s="42">
        <v>1012</v>
      </c>
      <c r="E79" s="43">
        <v>24040</v>
      </c>
      <c r="F79" s="41" t="s">
        <v>26380</v>
      </c>
      <c r="G79" s="5" t="s">
        <v>30646</v>
      </c>
    </row>
    <row r="80" spans="1:13" x14ac:dyDescent="0.25">
      <c r="A80" s="48" t="s">
        <v>30644</v>
      </c>
      <c r="B80" s="41">
        <v>4421696</v>
      </c>
      <c r="C80" s="41" t="s">
        <v>30529</v>
      </c>
      <c r="D80" s="42">
        <v>1205</v>
      </c>
      <c r="E80" s="43">
        <v>25144</v>
      </c>
      <c r="F80" s="41" t="s">
        <v>26459</v>
      </c>
      <c r="G80" s="5" t="s">
        <v>30646</v>
      </c>
    </row>
    <row r="81" spans="1:7" x14ac:dyDescent="0.25">
      <c r="A81" s="48" t="s">
        <v>30644</v>
      </c>
      <c r="B81" s="41">
        <v>5945491</v>
      </c>
      <c r="C81" s="41" t="s">
        <v>30530</v>
      </c>
      <c r="D81" s="42">
        <v>1173</v>
      </c>
      <c r="E81" s="43">
        <v>22478</v>
      </c>
      <c r="F81" s="41" t="s">
        <v>26373</v>
      </c>
      <c r="G81" s="5" t="s">
        <v>30646</v>
      </c>
    </row>
    <row r="82" spans="1:7" x14ac:dyDescent="0.25">
      <c r="A82" s="48" t="s">
        <v>30644</v>
      </c>
      <c r="B82" s="41">
        <v>6923613</v>
      </c>
      <c r="C82" s="41" t="s">
        <v>30531</v>
      </c>
      <c r="D82" s="42">
        <v>967</v>
      </c>
      <c r="E82" s="43">
        <v>22705</v>
      </c>
      <c r="F82" s="41" t="s">
        <v>30510</v>
      </c>
      <c r="G82" s="5" t="s">
        <v>30646</v>
      </c>
    </row>
  </sheetData>
  <sortState ref="A11:M69">
    <sortCondition descending="1" ref="G11:G69"/>
  </sortState>
  <mergeCells count="3">
    <mergeCell ref="A6:F6"/>
    <mergeCell ref="A7:F7"/>
    <mergeCell ref="I7:M7"/>
  </mergeCells>
  <printOptions horizontalCentered="1"/>
  <pageMargins left="0.19685039370078741" right="0.19685039370078741" top="0.59055118110236227" bottom="0.59055118110236227" header="0.31496062992125984" footer="0.31496062992125984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M66"/>
  <sheetViews>
    <sheetView showGridLines="0" zoomScale="130" zoomScaleNormal="130" workbookViewId="0">
      <selection activeCell="F8" sqref="F8"/>
    </sheetView>
  </sheetViews>
  <sheetFormatPr baseColWidth="10" defaultColWidth="11.44140625" defaultRowHeight="10.199999999999999" x14ac:dyDescent="0.25"/>
  <cols>
    <col min="1" max="1" width="3.6640625" style="5" customWidth="1"/>
    <col min="2" max="2" width="7.88671875" style="6" customWidth="1"/>
    <col min="3" max="3" width="28.44140625" style="5" customWidth="1"/>
    <col min="4" max="4" width="8.6640625" style="6" customWidth="1"/>
    <col min="5" max="5" width="10.6640625" style="6" customWidth="1"/>
    <col min="6" max="6" width="45.44140625" style="5" customWidth="1"/>
    <col min="7" max="7" width="8.77734375" style="5" customWidth="1"/>
    <col min="8" max="9" width="4" style="5" customWidth="1"/>
    <col min="10" max="10" width="8" style="11" customWidth="1"/>
    <col min="11" max="11" width="21" style="8" customWidth="1"/>
    <col min="12" max="12" width="11.44140625" style="8" customWidth="1"/>
    <col min="13" max="13" width="29.5546875" style="8" customWidth="1"/>
    <col min="14" max="16384" width="11.44140625" style="5"/>
  </cols>
  <sheetData>
    <row r="1" spans="1:13" x14ac:dyDescent="0.25">
      <c r="A1" s="1" t="s">
        <v>26504</v>
      </c>
      <c r="B1" s="3"/>
      <c r="C1" s="2"/>
      <c r="E1" s="3"/>
      <c r="F1" s="4" t="s">
        <v>26508</v>
      </c>
      <c r="G1" s="4"/>
    </row>
    <row r="2" spans="1:13" x14ac:dyDescent="0.25">
      <c r="A2" s="1" t="s">
        <v>23</v>
      </c>
      <c r="B2" s="3"/>
      <c r="C2" s="2"/>
      <c r="E2" s="3"/>
      <c r="F2" s="3"/>
      <c r="G2" s="3"/>
    </row>
    <row r="3" spans="1:13" x14ac:dyDescent="0.25">
      <c r="A3" s="1" t="s">
        <v>26349</v>
      </c>
      <c r="B3" s="3"/>
      <c r="C3" s="2"/>
      <c r="E3" s="3"/>
      <c r="F3" s="4"/>
      <c r="G3" s="4"/>
    </row>
    <row r="4" spans="1:13" x14ac:dyDescent="0.25">
      <c r="A4" s="1" t="s">
        <v>0</v>
      </c>
      <c r="B4" s="3"/>
      <c r="C4" s="2"/>
      <c r="E4" s="3"/>
      <c r="F4" s="3"/>
      <c r="G4" s="3"/>
    </row>
    <row r="5" spans="1:13" x14ac:dyDescent="0.25">
      <c r="A5" s="1"/>
      <c r="B5" s="3"/>
      <c r="C5" s="2"/>
      <c r="E5" s="3"/>
      <c r="F5" s="3"/>
      <c r="G5" s="3"/>
    </row>
    <row r="6" spans="1:13" ht="21" x14ac:dyDescent="0.25">
      <c r="A6" s="50" t="s">
        <v>26503</v>
      </c>
      <c r="B6" s="50"/>
      <c r="C6" s="50"/>
      <c r="D6" s="50"/>
      <c r="E6" s="50"/>
      <c r="F6" s="50"/>
      <c r="G6" s="22"/>
    </row>
    <row r="7" spans="1:13" ht="28.5" customHeight="1" x14ac:dyDescent="0.25">
      <c r="A7" s="51" t="s">
        <v>15</v>
      </c>
      <c r="B7" s="51"/>
      <c r="C7" s="51"/>
      <c r="D7" s="51"/>
      <c r="E7" s="51"/>
      <c r="F7" s="51"/>
      <c r="G7" s="23"/>
      <c r="I7" s="52" t="s">
        <v>8</v>
      </c>
      <c r="J7" s="53"/>
      <c r="K7" s="53"/>
      <c r="L7" s="53"/>
      <c r="M7" s="53"/>
    </row>
    <row r="8" spans="1:13" x14ac:dyDescent="0.25">
      <c r="A8" s="1"/>
      <c r="B8" s="3"/>
      <c r="C8" s="2"/>
      <c r="E8" s="3"/>
      <c r="F8" s="49" t="s">
        <v>30643</v>
      </c>
      <c r="G8" s="3"/>
    </row>
    <row r="10" spans="1:13" s="7" customFormat="1" ht="30.6" x14ac:dyDescent="0.25">
      <c r="A10" s="30" t="s">
        <v>2</v>
      </c>
      <c r="B10" s="30" t="s">
        <v>1</v>
      </c>
      <c r="C10" s="30" t="s">
        <v>4</v>
      </c>
      <c r="D10" s="31" t="s">
        <v>26509</v>
      </c>
      <c r="E10" s="32" t="s">
        <v>10</v>
      </c>
      <c r="F10" s="30" t="s">
        <v>5</v>
      </c>
      <c r="G10" s="32" t="s">
        <v>26510</v>
      </c>
      <c r="I10" s="9" t="s">
        <v>7</v>
      </c>
      <c r="J10" s="9" t="s">
        <v>1</v>
      </c>
      <c r="K10" s="9" t="s">
        <v>4</v>
      </c>
      <c r="L10" s="9" t="s">
        <v>3</v>
      </c>
      <c r="M10" s="9" t="s">
        <v>6</v>
      </c>
    </row>
    <row r="11" spans="1:13" ht="11.25" customHeight="1" x14ac:dyDescent="0.25">
      <c r="A11" s="33">
        <v>1</v>
      </c>
      <c r="B11" s="27">
        <v>7175</v>
      </c>
      <c r="C11" s="27" t="s">
        <v>30236</v>
      </c>
      <c r="D11" s="28">
        <v>1848</v>
      </c>
      <c r="E11" s="29">
        <v>18281</v>
      </c>
      <c r="F11" s="27" t="s">
        <v>26386</v>
      </c>
      <c r="G11" s="34">
        <f t="shared" ref="G11:G42" si="0">L11</f>
        <v>1844.67</v>
      </c>
      <c r="I11" s="18" t="str">
        <f t="shared" ref="I11:I42" si="1">IF(C11=K11,"","ERR")</f>
        <v>ERR</v>
      </c>
      <c r="J11" s="19" t="str">
        <f t="shared" ref="J11:J42" si="2">LEFT(B11,LEN(B11))</f>
        <v>7175</v>
      </c>
      <c r="K11" s="20" t="str">
        <f>VLOOKUP($J11,Base!$A$2:$H$42700,2,FALSE)</f>
        <v xml:space="preserve"> COLLET </v>
      </c>
      <c r="L11" s="20">
        <f>VLOOKUP($J11,Base!$A$2:$H$42700,8,FALSE)</f>
        <v>1844.67</v>
      </c>
      <c r="M11" s="20" t="str">
        <f>VLOOKUP($J11,Base!$A$2:$H$42700,7,FALSE)</f>
        <v xml:space="preserve"> FC GUEUGNON </v>
      </c>
    </row>
    <row r="12" spans="1:13" ht="11.25" customHeight="1" x14ac:dyDescent="0.25">
      <c r="A12" s="33">
        <v>2</v>
      </c>
      <c r="B12" s="27">
        <v>80167</v>
      </c>
      <c r="C12" s="27" t="s">
        <v>30296</v>
      </c>
      <c r="D12" s="28">
        <v>1868</v>
      </c>
      <c r="E12" s="29">
        <v>19704</v>
      </c>
      <c r="F12" s="27" t="s">
        <v>30284</v>
      </c>
      <c r="G12" s="34">
        <f t="shared" si="0"/>
        <v>1830.67</v>
      </c>
      <c r="I12" s="18" t="str">
        <f t="shared" si="1"/>
        <v>ERR</v>
      </c>
      <c r="J12" s="19" t="str">
        <f t="shared" si="2"/>
        <v>80167</v>
      </c>
      <c r="K12" s="20" t="str">
        <f>VLOOKUP($J12,Base!$A$2:$H$42700,2,FALSE)</f>
        <v xml:space="preserve"> TAQUET </v>
      </c>
      <c r="L12" s="20">
        <f>VLOOKUP($J12,Base!$A$2:$H$42700,8,FALSE)</f>
        <v>1830.67</v>
      </c>
      <c r="M12" s="20" t="str">
        <f>VLOOKUP($J12,Base!$A$2:$H$42700,7,FALSE)</f>
        <v xml:space="preserve"> AMIENS STT </v>
      </c>
    </row>
    <row r="13" spans="1:13" ht="11.25" customHeight="1" x14ac:dyDescent="0.25">
      <c r="A13" s="33">
        <v>3</v>
      </c>
      <c r="B13" s="27">
        <v>50140</v>
      </c>
      <c r="C13" s="27" t="s">
        <v>30222</v>
      </c>
      <c r="D13" s="28">
        <v>1785</v>
      </c>
      <c r="E13" s="29">
        <v>20954</v>
      </c>
      <c r="F13" s="27" t="s">
        <v>26403</v>
      </c>
      <c r="G13" s="34">
        <f t="shared" si="0"/>
        <v>1785.42</v>
      </c>
      <c r="I13" s="18" t="str">
        <f t="shared" si="1"/>
        <v>ERR</v>
      </c>
      <c r="J13" s="19" t="str">
        <f t="shared" si="2"/>
        <v>50140</v>
      </c>
      <c r="K13" s="20" t="str">
        <f>VLOOKUP($J13,Base!$A$2:$H$42700,2,FALSE)</f>
        <v xml:space="preserve"> LEBIGOT </v>
      </c>
      <c r="L13" s="20">
        <f>VLOOKUP($J13,Base!$A$2:$H$42700,8,FALSE)</f>
        <v>1785.42</v>
      </c>
      <c r="M13" s="20" t="str">
        <f>VLOOKUP($J13,Base!$A$2:$H$42700,7,FALSE)</f>
        <v xml:space="preserve"> ISIGNY-MONTIGNY ENT P </v>
      </c>
    </row>
    <row r="14" spans="1:13" ht="11.25" customHeight="1" x14ac:dyDescent="0.25">
      <c r="A14" s="33">
        <v>4</v>
      </c>
      <c r="B14" s="27">
        <v>57158</v>
      </c>
      <c r="C14" s="27" t="s">
        <v>30247</v>
      </c>
      <c r="D14" s="28">
        <v>1767</v>
      </c>
      <c r="E14" s="29">
        <v>19975</v>
      </c>
      <c r="F14" s="27" t="s">
        <v>30221</v>
      </c>
      <c r="G14" s="34">
        <f t="shared" si="0"/>
        <v>1770.67</v>
      </c>
      <c r="I14" s="18" t="str">
        <f t="shared" si="1"/>
        <v>ERR</v>
      </c>
      <c r="J14" s="19" t="str">
        <f t="shared" si="2"/>
        <v>57158</v>
      </c>
      <c r="K14" s="20" t="str">
        <f>VLOOKUP($J14,Base!$A$2:$H$42700,2,FALSE)</f>
        <v xml:space="preserve"> FARRONI </v>
      </c>
      <c r="L14" s="20">
        <f>VLOOKUP($J14,Base!$A$2:$H$42700,8,FALSE)</f>
        <v>1770.67</v>
      </c>
      <c r="M14" s="20" t="str">
        <f>VLOOKUP($J14,Base!$A$2:$H$42700,7,FALSE)</f>
        <v xml:space="preserve"> AMNEVILLE T.T. </v>
      </c>
    </row>
    <row r="15" spans="1:13" ht="11.25" customHeight="1" x14ac:dyDescent="0.25">
      <c r="A15" s="33">
        <v>5</v>
      </c>
      <c r="B15" s="27">
        <v>6924444</v>
      </c>
      <c r="C15" s="27" t="s">
        <v>30208</v>
      </c>
      <c r="D15" s="28">
        <v>1777</v>
      </c>
      <c r="E15" s="29">
        <v>21472</v>
      </c>
      <c r="F15" s="27" t="s">
        <v>26388</v>
      </c>
      <c r="G15" s="34">
        <f t="shared" si="0"/>
        <v>1731.67</v>
      </c>
      <c r="I15" s="18" t="str">
        <f t="shared" si="1"/>
        <v>ERR</v>
      </c>
      <c r="J15" s="19" t="str">
        <f t="shared" si="2"/>
        <v>6924444</v>
      </c>
      <c r="K15" s="20" t="str">
        <f>VLOOKUP($J15,Base!$A$2:$H$42700,2,FALSE)</f>
        <v xml:space="preserve"> LEROY </v>
      </c>
      <c r="L15" s="20">
        <f>VLOOKUP($J15,Base!$A$2:$H$42700,8,FALSE)</f>
        <v>1731.67</v>
      </c>
      <c r="M15" s="20" t="str">
        <f>VLOOKUP($J15,Base!$A$2:$H$42700,7,FALSE)</f>
        <v xml:space="preserve"> US TORPES BOUSSIERES </v>
      </c>
    </row>
    <row r="16" spans="1:13" ht="11.25" customHeight="1" x14ac:dyDescent="0.25">
      <c r="A16" s="33">
        <v>6</v>
      </c>
      <c r="B16" s="27">
        <v>331688</v>
      </c>
      <c r="C16" s="27" t="s">
        <v>30206</v>
      </c>
      <c r="D16" s="28">
        <v>1760</v>
      </c>
      <c r="E16" s="29">
        <v>21010</v>
      </c>
      <c r="F16" s="27" t="s">
        <v>26376</v>
      </c>
      <c r="G16" s="34">
        <f t="shared" si="0"/>
        <v>1718.67</v>
      </c>
      <c r="I16" s="18" t="str">
        <f t="shared" si="1"/>
        <v>ERR</v>
      </c>
      <c r="J16" s="19" t="str">
        <f t="shared" si="2"/>
        <v>331688</v>
      </c>
      <c r="K16" s="20" t="str">
        <f>VLOOKUP($J16,Base!$A$2:$H$42700,2,FALSE)</f>
        <v xml:space="preserve"> TOUJAS </v>
      </c>
      <c r="L16" s="20">
        <f>VLOOKUP($J16,Base!$A$2:$H$42700,8,FALSE)</f>
        <v>1718.67</v>
      </c>
      <c r="M16" s="20" t="str">
        <f>VLOOKUP($J16,Base!$A$2:$H$42700,7,FALSE)</f>
        <v xml:space="preserve"> CA BEGLAIS </v>
      </c>
    </row>
    <row r="17" spans="1:13" ht="11.25" customHeight="1" x14ac:dyDescent="0.25">
      <c r="A17" s="33">
        <v>7</v>
      </c>
      <c r="B17" s="27">
        <v>25145</v>
      </c>
      <c r="C17" s="27" t="s">
        <v>30249</v>
      </c>
      <c r="D17" s="28">
        <v>1651</v>
      </c>
      <c r="E17" s="29">
        <v>20925</v>
      </c>
      <c r="F17" s="27" t="s">
        <v>26392</v>
      </c>
      <c r="G17" s="34">
        <f t="shared" si="0"/>
        <v>1676.67</v>
      </c>
      <c r="I17" s="18" t="str">
        <f t="shared" si="1"/>
        <v>ERR</v>
      </c>
      <c r="J17" s="19" t="str">
        <f t="shared" si="2"/>
        <v>25145</v>
      </c>
      <c r="K17" s="20" t="str">
        <f>VLOOKUP($J17,Base!$A$2:$H$42700,2,FALSE)</f>
        <v xml:space="preserve"> BELEY </v>
      </c>
      <c r="L17" s="20">
        <f>VLOOKUP($J17,Base!$A$2:$H$42700,8,FALSE)</f>
        <v>1676.67</v>
      </c>
      <c r="M17" s="20" t="str">
        <f>VLOOKUP($J17,Base!$A$2:$H$42700,7,FALSE)</f>
        <v xml:space="preserve"> T DE T SELONCOURTOIS </v>
      </c>
    </row>
    <row r="18" spans="1:13" ht="11.25" customHeight="1" x14ac:dyDescent="0.25">
      <c r="A18" s="33">
        <v>8</v>
      </c>
      <c r="B18" s="27">
        <v>54433</v>
      </c>
      <c r="C18" s="27" t="s">
        <v>30282</v>
      </c>
      <c r="D18" s="28">
        <v>1662</v>
      </c>
      <c r="E18" s="29">
        <v>18233</v>
      </c>
      <c r="F18" s="27" t="s">
        <v>26375</v>
      </c>
      <c r="G18" s="34">
        <f t="shared" si="0"/>
        <v>1668.17</v>
      </c>
      <c r="I18" s="18" t="str">
        <f t="shared" si="1"/>
        <v>ERR</v>
      </c>
      <c r="J18" s="19" t="str">
        <f t="shared" si="2"/>
        <v>54433</v>
      </c>
      <c r="K18" s="20" t="str">
        <f>VLOOKUP($J18,Base!$A$2:$H$42700,2,FALSE)</f>
        <v xml:space="preserve"> GEOFFROY </v>
      </c>
      <c r="L18" s="20">
        <f>VLOOKUP($J18,Base!$A$2:$H$42700,8,FALSE)</f>
        <v>1668.17</v>
      </c>
      <c r="M18" s="20" t="str">
        <f>VLOOKUP($J18,Base!$A$2:$H$42700,7,FALSE)</f>
        <v xml:space="preserve"> DOMBASLE STT </v>
      </c>
    </row>
    <row r="19" spans="1:13" ht="11.25" customHeight="1" x14ac:dyDescent="0.25">
      <c r="A19" s="33">
        <v>9</v>
      </c>
      <c r="B19" s="27">
        <v>373109</v>
      </c>
      <c r="C19" s="27" t="s">
        <v>30276</v>
      </c>
      <c r="D19" s="28">
        <v>1698</v>
      </c>
      <c r="E19" s="29">
        <v>21153</v>
      </c>
      <c r="F19" s="27" t="s">
        <v>26417</v>
      </c>
      <c r="G19" s="34">
        <f t="shared" si="0"/>
        <v>1634.17</v>
      </c>
      <c r="I19" s="18" t="str">
        <f t="shared" si="1"/>
        <v>ERR</v>
      </c>
      <c r="J19" s="19" t="str">
        <f t="shared" si="2"/>
        <v>373109</v>
      </c>
      <c r="K19" s="20" t="str">
        <f>VLOOKUP($J19,Base!$A$2:$H$42700,2,FALSE)</f>
        <v xml:space="preserve"> VIEMON </v>
      </c>
      <c r="L19" s="20">
        <f>VLOOKUP($J19,Base!$A$2:$H$42700,8,FALSE)</f>
        <v>1634.17</v>
      </c>
      <c r="M19" s="20" t="str">
        <f>VLOOKUP($J19,Base!$A$2:$H$42700,7,FALSE)</f>
        <v xml:space="preserve"> VINEUIL SPORTS / SUEVRES </v>
      </c>
    </row>
    <row r="20" spans="1:13" ht="11.25" customHeight="1" x14ac:dyDescent="0.25">
      <c r="A20" s="33">
        <v>10</v>
      </c>
      <c r="B20" s="27">
        <v>7513920</v>
      </c>
      <c r="C20" s="27" t="s">
        <v>30285</v>
      </c>
      <c r="D20" s="28">
        <v>1624</v>
      </c>
      <c r="E20" s="29">
        <v>20347</v>
      </c>
      <c r="F20" s="27" t="s">
        <v>26384</v>
      </c>
      <c r="G20" s="34">
        <f t="shared" si="0"/>
        <v>1607.18</v>
      </c>
      <c r="I20" s="18" t="str">
        <f t="shared" si="1"/>
        <v>ERR</v>
      </c>
      <c r="J20" s="19" t="str">
        <f t="shared" si="2"/>
        <v>7513920</v>
      </c>
      <c r="K20" s="20" t="str">
        <f>VLOOKUP($J20,Base!$A$2:$H$42700,2,FALSE)</f>
        <v xml:space="preserve"> BAILLAU </v>
      </c>
      <c r="L20" s="20">
        <f>VLOOKUP($J20,Base!$A$2:$H$42700,8,FALSE)</f>
        <v>1607.18</v>
      </c>
      <c r="M20" s="20" t="str">
        <f>VLOOKUP($J20,Base!$A$2:$H$42700,7,FALSE)</f>
        <v xml:space="preserve"> NANTES TTCNA </v>
      </c>
    </row>
    <row r="21" spans="1:13" ht="11.25" customHeight="1" x14ac:dyDescent="0.25">
      <c r="A21" s="33">
        <v>11</v>
      </c>
      <c r="B21" s="27">
        <v>1838</v>
      </c>
      <c r="C21" s="27" t="s">
        <v>30230</v>
      </c>
      <c r="D21" s="28">
        <v>1616</v>
      </c>
      <c r="E21" s="29">
        <v>21452</v>
      </c>
      <c r="F21" s="27" t="s">
        <v>30278</v>
      </c>
      <c r="G21" s="34">
        <f t="shared" si="0"/>
        <v>1607.17</v>
      </c>
      <c r="I21" s="18" t="str">
        <f t="shared" si="1"/>
        <v>ERR</v>
      </c>
      <c r="J21" s="19" t="str">
        <f t="shared" si="2"/>
        <v>1838</v>
      </c>
      <c r="K21" s="20" t="str">
        <f>VLOOKUP($J21,Base!$A$2:$H$42700,2,FALSE)</f>
        <v xml:space="preserve"> ROGER </v>
      </c>
      <c r="L21" s="20">
        <f>VLOOKUP($J21,Base!$A$2:$H$42700,8,FALSE)</f>
        <v>1607.17</v>
      </c>
      <c r="M21" s="20" t="str">
        <f>VLOOKUP($J21,Base!$A$2:$H$42700,7,FALSE)</f>
        <v xml:space="preserve"> TT AUBIGNY SUR NERE </v>
      </c>
    </row>
    <row r="22" spans="1:13" ht="11.25" customHeight="1" x14ac:dyDescent="0.25">
      <c r="A22" s="33">
        <v>12</v>
      </c>
      <c r="B22" s="27">
        <v>1413319</v>
      </c>
      <c r="C22" s="27" t="s">
        <v>30212</v>
      </c>
      <c r="D22" s="28">
        <v>1623</v>
      </c>
      <c r="E22" s="29">
        <v>19102</v>
      </c>
      <c r="F22" s="27" t="s">
        <v>26400</v>
      </c>
      <c r="G22" s="34">
        <f t="shared" si="0"/>
        <v>1606.17</v>
      </c>
      <c r="I22" s="18" t="str">
        <f t="shared" si="1"/>
        <v>ERR</v>
      </c>
      <c r="J22" s="19" t="str">
        <f t="shared" si="2"/>
        <v>1413319</v>
      </c>
      <c r="K22" s="20" t="str">
        <f>VLOOKUP($J22,Base!$A$2:$H$42700,2,FALSE)</f>
        <v xml:space="preserve"> GUILLEMART </v>
      </c>
      <c r="L22" s="20">
        <f>VLOOKUP($J22,Base!$A$2:$H$42700,8,FALSE)</f>
        <v>1606.17</v>
      </c>
      <c r="M22" s="20" t="str">
        <f>VLOOKUP($J22,Base!$A$2:$H$42700,7,FALSE)</f>
        <v xml:space="preserve"> A M S L FREJUS </v>
      </c>
    </row>
    <row r="23" spans="1:13" ht="11.25" customHeight="1" x14ac:dyDescent="0.25">
      <c r="A23" s="33">
        <v>13</v>
      </c>
      <c r="B23" s="27">
        <v>775235</v>
      </c>
      <c r="C23" s="27" t="s">
        <v>30263</v>
      </c>
      <c r="D23" s="28">
        <v>1609</v>
      </c>
      <c r="E23" s="29">
        <v>19275</v>
      </c>
      <c r="F23" s="27" t="s">
        <v>26402</v>
      </c>
      <c r="G23" s="34">
        <f t="shared" si="0"/>
        <v>1595.42</v>
      </c>
      <c r="I23" s="18" t="str">
        <f t="shared" si="1"/>
        <v>ERR</v>
      </c>
      <c r="J23" s="19" t="str">
        <f t="shared" si="2"/>
        <v>775235</v>
      </c>
      <c r="K23" s="20" t="str">
        <f>VLOOKUP($J23,Base!$A$2:$H$42700,2,FALSE)</f>
        <v xml:space="preserve"> HUOI </v>
      </c>
      <c r="L23" s="20">
        <f>VLOOKUP($J23,Base!$A$2:$H$42700,8,FALSE)</f>
        <v>1595.42</v>
      </c>
      <c r="M23" s="20" t="str">
        <f>VLOOKUP($J23,Base!$A$2:$H$42700,7,FALSE)</f>
        <v xml:space="preserve"> NOISIEL VLAN </v>
      </c>
    </row>
    <row r="24" spans="1:13" ht="11.25" customHeight="1" x14ac:dyDescent="0.25">
      <c r="A24" s="33">
        <v>14</v>
      </c>
      <c r="B24" s="27">
        <v>917259</v>
      </c>
      <c r="C24" s="27" t="s">
        <v>30273</v>
      </c>
      <c r="D24" s="28">
        <v>1601</v>
      </c>
      <c r="E24" s="29">
        <v>20779</v>
      </c>
      <c r="F24" s="27" t="s">
        <v>26414</v>
      </c>
      <c r="G24" s="34">
        <f t="shared" si="0"/>
        <v>1582.43</v>
      </c>
      <c r="I24" s="18" t="str">
        <f t="shared" si="1"/>
        <v>ERR</v>
      </c>
      <c r="J24" s="19" t="str">
        <f t="shared" si="2"/>
        <v>917259</v>
      </c>
      <c r="K24" s="20" t="str">
        <f>VLOOKUP($J24,Base!$A$2:$H$42700,2,FALSE)</f>
        <v xml:space="preserve"> RICHARD </v>
      </c>
      <c r="L24" s="20">
        <f>VLOOKUP($J24,Base!$A$2:$H$42700,8,FALSE)</f>
        <v>1582.43</v>
      </c>
      <c r="M24" s="20" t="str">
        <f>VLOOKUP($J24,Base!$A$2:$H$42700,7,FALSE)</f>
        <v xml:space="preserve"> LONGJUMEAU PO </v>
      </c>
    </row>
    <row r="25" spans="1:13" ht="11.25" customHeight="1" x14ac:dyDescent="0.25">
      <c r="A25" s="33">
        <v>15</v>
      </c>
      <c r="B25" s="27">
        <v>76999</v>
      </c>
      <c r="C25" s="27" t="s">
        <v>30268</v>
      </c>
      <c r="D25" s="28">
        <v>1541</v>
      </c>
      <c r="E25" s="29">
        <v>20338</v>
      </c>
      <c r="F25" s="27" t="s">
        <v>26351</v>
      </c>
      <c r="G25" s="34">
        <f t="shared" si="0"/>
        <v>1571.17</v>
      </c>
      <c r="I25" s="18" t="str">
        <f t="shared" si="1"/>
        <v>ERR</v>
      </c>
      <c r="J25" s="19" t="str">
        <f t="shared" si="2"/>
        <v>76999</v>
      </c>
      <c r="K25" s="20" t="str">
        <f>VLOOKUP($J25,Base!$A$2:$H$42700,2,FALSE)</f>
        <v xml:space="preserve"> PARIS </v>
      </c>
      <c r="L25" s="20">
        <f>VLOOKUP($J25,Base!$A$2:$H$42700,8,FALSE)</f>
        <v>1571.17</v>
      </c>
      <c r="M25" s="20" t="str">
        <f>VLOOKUP($J25,Base!$A$2:$H$42700,7,FALSE)</f>
        <v xml:space="preserve"> ENTENTE SAINT PIERRAISE T </v>
      </c>
    </row>
    <row r="26" spans="1:13" ht="11.25" customHeight="1" x14ac:dyDescent="0.25">
      <c r="A26" s="33">
        <v>16</v>
      </c>
      <c r="B26" s="27">
        <v>5312554</v>
      </c>
      <c r="C26" s="27" t="s">
        <v>30238</v>
      </c>
      <c r="D26" s="28">
        <v>1549</v>
      </c>
      <c r="E26" s="29">
        <v>21256</v>
      </c>
      <c r="F26" s="27" t="s">
        <v>30227</v>
      </c>
      <c r="G26" s="34">
        <f t="shared" si="0"/>
        <v>1571.05</v>
      </c>
      <c r="I26" s="18" t="str">
        <f t="shared" si="1"/>
        <v>ERR</v>
      </c>
      <c r="J26" s="19" t="str">
        <f t="shared" si="2"/>
        <v>5312554</v>
      </c>
      <c r="K26" s="20" t="str">
        <f>VLOOKUP($J26,Base!$A$2:$H$42700,2,FALSE)</f>
        <v xml:space="preserve"> GERLOT </v>
      </c>
      <c r="L26" s="20">
        <f>VLOOKUP($J26,Base!$A$2:$H$42700,8,FALSE)</f>
        <v>1571.05</v>
      </c>
      <c r="M26" s="20" t="str">
        <f>VLOOKUP($J26,Base!$A$2:$H$42700,7,FALSE)</f>
        <v xml:space="preserve"> CHATILLON S/COLMONT Amica </v>
      </c>
    </row>
    <row r="27" spans="1:13" ht="11.25" customHeight="1" x14ac:dyDescent="0.25">
      <c r="A27" s="33">
        <v>17</v>
      </c>
      <c r="B27" s="27">
        <v>72244</v>
      </c>
      <c r="C27" s="27" t="s">
        <v>30293</v>
      </c>
      <c r="D27" s="28">
        <v>1573</v>
      </c>
      <c r="E27" s="29">
        <v>19558</v>
      </c>
      <c r="F27" s="27" t="s">
        <v>26363</v>
      </c>
      <c r="G27" s="34">
        <f t="shared" si="0"/>
        <v>1554.67</v>
      </c>
      <c r="I27" s="18" t="str">
        <f t="shared" si="1"/>
        <v>ERR</v>
      </c>
      <c r="J27" s="19" t="str">
        <f t="shared" si="2"/>
        <v>72244</v>
      </c>
      <c r="K27" s="20" t="str">
        <f>VLOOKUP($J27,Base!$A$2:$H$42700,2,FALSE)</f>
        <v xml:space="preserve"> GUITTET </v>
      </c>
      <c r="L27" s="20">
        <f>VLOOKUP($J27,Base!$A$2:$H$42700,8,FALSE)</f>
        <v>1554.67</v>
      </c>
      <c r="M27" s="20" t="str">
        <f>VLOOKUP($J27,Base!$A$2:$H$42700,7,FALSE)</f>
        <v xml:space="preserve"> LE MANS SARTHE TENNIS DE </v>
      </c>
    </row>
    <row r="28" spans="1:13" ht="11.25" customHeight="1" x14ac:dyDescent="0.25">
      <c r="A28" s="33">
        <v>18</v>
      </c>
      <c r="B28" s="27">
        <v>5910506</v>
      </c>
      <c r="C28" s="27" t="s">
        <v>30297</v>
      </c>
      <c r="D28" s="28">
        <v>1550</v>
      </c>
      <c r="E28" s="29">
        <v>20938</v>
      </c>
      <c r="F28" s="27" t="s">
        <v>26418</v>
      </c>
      <c r="G28" s="34">
        <f t="shared" si="0"/>
        <v>1552.17</v>
      </c>
      <c r="I28" s="18" t="str">
        <f t="shared" si="1"/>
        <v>ERR</v>
      </c>
      <c r="J28" s="19" t="str">
        <f t="shared" si="2"/>
        <v>5910506</v>
      </c>
      <c r="K28" s="20" t="str">
        <f>VLOOKUP($J28,Base!$A$2:$H$42700,2,FALSE)</f>
        <v xml:space="preserve"> WALLART </v>
      </c>
      <c r="L28" s="20">
        <f>VLOOKUP($J28,Base!$A$2:$H$42700,8,FALSE)</f>
        <v>1552.17</v>
      </c>
      <c r="M28" s="20" t="str">
        <f>VLOOKUP($J28,Base!$A$2:$H$42700,7,FALSE)</f>
        <v xml:space="preserve"> AVION TT </v>
      </c>
    </row>
    <row r="29" spans="1:13" ht="11.25" customHeight="1" x14ac:dyDescent="0.25">
      <c r="A29" s="33">
        <v>19</v>
      </c>
      <c r="B29" s="27">
        <v>302137</v>
      </c>
      <c r="C29" s="27" t="s">
        <v>30287</v>
      </c>
      <c r="D29" s="28">
        <v>1505</v>
      </c>
      <c r="E29" s="29">
        <v>19181</v>
      </c>
      <c r="F29" s="27" t="s">
        <v>30207</v>
      </c>
      <c r="G29" s="34">
        <f t="shared" si="0"/>
        <v>1551.79</v>
      </c>
      <c r="I29" s="18" t="str">
        <f t="shared" si="1"/>
        <v>ERR</v>
      </c>
      <c r="J29" s="19" t="str">
        <f t="shared" si="2"/>
        <v>302137</v>
      </c>
      <c r="K29" s="20" t="str">
        <f>VLOOKUP($J29,Base!$A$2:$H$42700,2,FALSE)</f>
        <v xml:space="preserve"> BAUDIER </v>
      </c>
      <c r="L29" s="20">
        <f>VLOOKUP($J29,Base!$A$2:$H$42700,8,FALSE)</f>
        <v>1551.79</v>
      </c>
      <c r="M29" s="20" t="str">
        <f>VLOOKUP($J29,Base!$A$2:$H$42700,7,FALSE)</f>
        <v xml:space="preserve"> ST CHRISTOL LEZ ALES AS </v>
      </c>
    </row>
    <row r="30" spans="1:13" ht="11.25" customHeight="1" x14ac:dyDescent="0.25">
      <c r="A30" s="33">
        <v>20</v>
      </c>
      <c r="B30" s="27">
        <v>7623212</v>
      </c>
      <c r="C30" s="27" t="s">
        <v>30225</v>
      </c>
      <c r="D30" s="28">
        <v>1509</v>
      </c>
      <c r="E30" s="29">
        <v>18188</v>
      </c>
      <c r="F30" s="27" t="s">
        <v>26416</v>
      </c>
      <c r="G30" s="34">
        <f t="shared" si="0"/>
        <v>1541.17</v>
      </c>
      <c r="I30" s="18" t="str">
        <f t="shared" si="1"/>
        <v>ERR</v>
      </c>
      <c r="J30" s="19" t="str">
        <f t="shared" si="2"/>
        <v>7623212</v>
      </c>
      <c r="K30" s="20" t="str">
        <f>VLOOKUP($J30,Base!$A$2:$H$42700,2,FALSE)</f>
        <v xml:space="preserve"> SAYMARD </v>
      </c>
      <c r="L30" s="20">
        <f>VLOOKUP($J30,Base!$A$2:$H$42700,8,FALSE)</f>
        <v>1541.17</v>
      </c>
      <c r="M30" s="20" t="str">
        <f>VLOOKUP($J30,Base!$A$2:$H$42700,7,FALSE)</f>
        <v xml:space="preserve"> MESNIL ESNARD TT </v>
      </c>
    </row>
    <row r="31" spans="1:13" ht="11.25" customHeight="1" x14ac:dyDescent="0.25">
      <c r="A31" s="33">
        <v>21</v>
      </c>
      <c r="B31" s="27">
        <v>57347</v>
      </c>
      <c r="C31" s="27" t="s">
        <v>30283</v>
      </c>
      <c r="D31" s="28">
        <v>1574</v>
      </c>
      <c r="E31" s="29">
        <v>20193</v>
      </c>
      <c r="F31" s="27" t="s">
        <v>26409</v>
      </c>
      <c r="G31" s="34">
        <f t="shared" si="0"/>
        <v>1534.79</v>
      </c>
      <c r="I31" s="18" t="str">
        <f t="shared" si="1"/>
        <v>ERR</v>
      </c>
      <c r="J31" s="19" t="str">
        <f t="shared" si="2"/>
        <v>57347</v>
      </c>
      <c r="K31" s="20" t="str">
        <f>VLOOKUP($J31,Base!$A$2:$H$42700,2,FALSE)</f>
        <v xml:space="preserve"> MISTLER </v>
      </c>
      <c r="L31" s="20">
        <f>VLOOKUP($J31,Base!$A$2:$H$42700,8,FALSE)</f>
        <v>1534.79</v>
      </c>
      <c r="M31" s="20" t="str">
        <f>VLOOKUP($J31,Base!$A$2:$H$42700,7,FALSE)</f>
        <v xml:space="preserve"> SAINT AVOLD C.T.T. </v>
      </c>
    </row>
    <row r="32" spans="1:13" ht="11.25" customHeight="1" x14ac:dyDescent="0.25">
      <c r="A32" s="33">
        <v>22</v>
      </c>
      <c r="B32" s="27">
        <v>62657</v>
      </c>
      <c r="C32" s="27" t="s">
        <v>30291</v>
      </c>
      <c r="D32" s="28">
        <v>1477</v>
      </c>
      <c r="E32" s="29">
        <v>20381</v>
      </c>
      <c r="F32" s="27" t="s">
        <v>26397</v>
      </c>
      <c r="G32" s="34">
        <f t="shared" si="0"/>
        <v>1510.17</v>
      </c>
      <c r="I32" s="18" t="str">
        <f t="shared" si="1"/>
        <v>ERR</v>
      </c>
      <c r="J32" s="19" t="str">
        <f t="shared" si="2"/>
        <v>62657</v>
      </c>
      <c r="K32" s="20" t="str">
        <f>VLOOKUP($J32,Base!$A$2:$H$42700,2,FALSE)</f>
        <v xml:space="preserve"> DIEUX </v>
      </c>
      <c r="L32" s="20">
        <f>VLOOKUP($J32,Base!$A$2:$H$42700,8,FALSE)</f>
        <v>1510.17</v>
      </c>
      <c r="M32" s="20" t="str">
        <f>VLOOKUP($J32,Base!$A$2:$H$42700,7,FALSE)</f>
        <v xml:space="preserve"> LABOURSE TT </v>
      </c>
    </row>
    <row r="33" spans="1:13" ht="11.25" customHeight="1" x14ac:dyDescent="0.25">
      <c r="A33" s="33">
        <v>23</v>
      </c>
      <c r="B33" s="27">
        <v>49792</v>
      </c>
      <c r="C33" s="27" t="s">
        <v>30219</v>
      </c>
      <c r="D33" s="28">
        <v>1464</v>
      </c>
      <c r="E33" s="29">
        <v>21190</v>
      </c>
      <c r="F33" s="27" t="s">
        <v>26357</v>
      </c>
      <c r="G33" s="34">
        <f t="shared" si="0"/>
        <v>1490.43</v>
      </c>
      <c r="I33" s="18" t="str">
        <f t="shared" si="1"/>
        <v>ERR</v>
      </c>
      <c r="J33" s="19" t="str">
        <f t="shared" si="2"/>
        <v>49792</v>
      </c>
      <c r="K33" s="20" t="str">
        <f>VLOOKUP($J33,Base!$A$2:$H$42700,2,FALSE)</f>
        <v xml:space="preserve"> MOTARD </v>
      </c>
      <c r="L33" s="20">
        <f>VLOOKUP($J33,Base!$A$2:$H$42700,8,FALSE)</f>
        <v>1490.43</v>
      </c>
      <c r="M33" s="20" t="str">
        <f>VLOOKUP($J33,Base!$A$2:$H$42700,7,FALSE)</f>
        <v xml:space="preserve"> CHOLET TENNIS DE TABLE </v>
      </c>
    </row>
    <row r="34" spans="1:13" ht="11.25" customHeight="1" x14ac:dyDescent="0.25">
      <c r="A34" s="33">
        <v>24</v>
      </c>
      <c r="B34" s="27">
        <v>7711560</v>
      </c>
      <c r="C34" s="27" t="s">
        <v>30274</v>
      </c>
      <c r="D34" s="28">
        <v>1454</v>
      </c>
      <c r="E34" s="29">
        <v>20859</v>
      </c>
      <c r="F34" s="27" t="s">
        <v>30272</v>
      </c>
      <c r="G34" s="34">
        <f t="shared" si="0"/>
        <v>1486.82</v>
      </c>
      <c r="I34" s="18" t="str">
        <f t="shared" si="1"/>
        <v>ERR</v>
      </c>
      <c r="J34" s="19" t="str">
        <f t="shared" si="2"/>
        <v>7711560</v>
      </c>
      <c r="K34" s="20" t="str">
        <f>VLOOKUP($J34,Base!$A$2:$H$42700,2,FALSE)</f>
        <v xml:space="preserve"> RAGALEUX </v>
      </c>
      <c r="L34" s="20">
        <f>VLOOKUP($J34,Base!$A$2:$H$42700,8,FALSE)</f>
        <v>1486.82</v>
      </c>
      <c r="M34" s="20" t="str">
        <f>VLOOKUP($J34,Base!$A$2:$H$42700,7,FALSE)</f>
        <v xml:space="preserve"> LA COMPANAISE </v>
      </c>
    </row>
    <row r="35" spans="1:13" ht="11.25" customHeight="1" x14ac:dyDescent="0.25">
      <c r="A35" s="33">
        <v>25</v>
      </c>
      <c r="B35" s="27">
        <v>33172</v>
      </c>
      <c r="C35" s="27" t="s">
        <v>30234</v>
      </c>
      <c r="D35" s="28">
        <v>1467</v>
      </c>
      <c r="E35" s="29">
        <v>21114</v>
      </c>
      <c r="F35" s="27" t="s">
        <v>26376</v>
      </c>
      <c r="G35" s="34">
        <f t="shared" si="0"/>
        <v>1482.67</v>
      </c>
      <c r="I35" s="18" t="str">
        <f t="shared" si="1"/>
        <v>ERR</v>
      </c>
      <c r="J35" s="19" t="str">
        <f t="shared" si="2"/>
        <v>33172</v>
      </c>
      <c r="K35" s="20" t="str">
        <f>VLOOKUP($J35,Base!$A$2:$H$42700,2,FALSE)</f>
        <v xml:space="preserve"> DUMONTEIL </v>
      </c>
      <c r="L35" s="20">
        <f>VLOOKUP($J35,Base!$A$2:$H$42700,8,FALSE)</f>
        <v>1482.67</v>
      </c>
      <c r="M35" s="20" t="str">
        <f>VLOOKUP($J35,Base!$A$2:$H$42700,7,FALSE)</f>
        <v xml:space="preserve"> CA BEGLAIS </v>
      </c>
    </row>
    <row r="36" spans="1:13" ht="11.25" customHeight="1" x14ac:dyDescent="0.25">
      <c r="A36" s="33">
        <v>26</v>
      </c>
      <c r="B36" s="27">
        <v>9519693</v>
      </c>
      <c r="C36" s="27" t="s">
        <v>30243</v>
      </c>
      <c r="D36" s="28">
        <v>1469</v>
      </c>
      <c r="E36" s="29">
        <v>20581</v>
      </c>
      <c r="F36" s="27" t="s">
        <v>30262</v>
      </c>
      <c r="G36" s="34">
        <f t="shared" si="0"/>
        <v>1451.17</v>
      </c>
      <c r="I36" s="18" t="str">
        <f t="shared" si="1"/>
        <v>ERR</v>
      </c>
      <c r="J36" s="19" t="str">
        <f t="shared" si="2"/>
        <v>9519693</v>
      </c>
      <c r="K36" s="20" t="str">
        <f>VLOOKUP($J36,Base!$A$2:$H$42700,2,FALSE)</f>
        <v xml:space="preserve"> MONTEAU </v>
      </c>
      <c r="L36" s="20">
        <f>VLOOKUP($J36,Base!$A$2:$H$42700,8,FALSE)</f>
        <v>1451.17</v>
      </c>
      <c r="M36" s="20" t="str">
        <f>VLOOKUP($J36,Base!$A$2:$H$42700,7,FALSE)</f>
        <v xml:space="preserve"> ASPTT TOULOUSE T.T. </v>
      </c>
    </row>
    <row r="37" spans="1:13" ht="11.25" customHeight="1" x14ac:dyDescent="0.25">
      <c r="A37" s="33">
        <v>27</v>
      </c>
      <c r="B37" s="27">
        <v>4163</v>
      </c>
      <c r="C37" s="27" t="s">
        <v>30279</v>
      </c>
      <c r="D37" s="28">
        <v>1408</v>
      </c>
      <c r="E37" s="29">
        <v>21256</v>
      </c>
      <c r="F37" s="27" t="s">
        <v>30229</v>
      </c>
      <c r="G37" s="34">
        <f t="shared" si="0"/>
        <v>1445.8</v>
      </c>
      <c r="I37" s="18" t="str">
        <f t="shared" si="1"/>
        <v>ERR</v>
      </c>
      <c r="J37" s="19" t="str">
        <f t="shared" si="2"/>
        <v>4163</v>
      </c>
      <c r="K37" s="20" t="str">
        <f>VLOOKUP($J37,Base!$A$2:$H$42700,2,FALSE)</f>
        <v xml:space="preserve"> GILLARD </v>
      </c>
      <c r="L37" s="20">
        <f>VLOOKUP($J37,Base!$A$2:$H$42700,8,FALSE)</f>
        <v>1445.8</v>
      </c>
      <c r="M37" s="20" t="str">
        <f>VLOOKUP($J37,Base!$A$2:$H$42700,7,FALSE)</f>
        <v xml:space="preserve"> ESC.COUR CHEVERNY TT </v>
      </c>
    </row>
    <row r="38" spans="1:13" ht="11.25" customHeight="1" x14ac:dyDescent="0.25">
      <c r="A38" s="33">
        <v>28</v>
      </c>
      <c r="B38" s="27">
        <v>757689</v>
      </c>
      <c r="C38" s="27" t="s">
        <v>30241</v>
      </c>
      <c r="D38" s="28">
        <v>1421</v>
      </c>
      <c r="E38" s="29">
        <v>21002</v>
      </c>
      <c r="F38" s="27" t="s">
        <v>26404</v>
      </c>
      <c r="G38" s="34">
        <f t="shared" si="0"/>
        <v>1435.67</v>
      </c>
      <c r="I38" s="18" t="str">
        <f t="shared" si="1"/>
        <v>ERR</v>
      </c>
      <c r="J38" s="19" t="str">
        <f t="shared" si="2"/>
        <v>757689</v>
      </c>
      <c r="K38" s="20" t="str">
        <f>VLOOKUP($J38,Base!$A$2:$H$42700,2,FALSE)</f>
        <v xml:space="preserve"> LEROY </v>
      </c>
      <c r="L38" s="20">
        <f>VLOOKUP($J38,Base!$A$2:$H$42700,8,FALSE)</f>
        <v>1435.67</v>
      </c>
      <c r="M38" s="20" t="str">
        <f>VLOOKUP($J38,Base!$A$2:$H$42700,7,FALSE)</f>
        <v xml:space="preserve"> NANTERRE ES </v>
      </c>
    </row>
    <row r="39" spans="1:13" ht="11.25" customHeight="1" x14ac:dyDescent="0.25">
      <c r="A39" s="33">
        <v>29</v>
      </c>
      <c r="B39" s="27">
        <v>534174</v>
      </c>
      <c r="C39" s="27" t="s">
        <v>30228</v>
      </c>
      <c r="D39" s="28">
        <v>1449</v>
      </c>
      <c r="E39" s="29">
        <v>20246</v>
      </c>
      <c r="F39" s="27" t="s">
        <v>26401</v>
      </c>
      <c r="G39" s="34">
        <f t="shared" si="0"/>
        <v>1431.68</v>
      </c>
      <c r="I39" s="18" t="str">
        <f t="shared" si="1"/>
        <v>ERR</v>
      </c>
      <c r="J39" s="19" t="str">
        <f t="shared" si="2"/>
        <v>534174</v>
      </c>
      <c r="K39" s="20" t="str">
        <f>VLOOKUP($J39,Base!$A$2:$H$42700,2,FALSE)</f>
        <v xml:space="preserve"> GUIOULLIER </v>
      </c>
      <c r="L39" s="20">
        <f>VLOOKUP($J39,Base!$A$2:$H$42700,8,FALSE)</f>
        <v>1431.68</v>
      </c>
      <c r="M39" s="20" t="str">
        <f>VLOOKUP($J39,Base!$A$2:$H$42700,7,FALSE)</f>
        <v xml:space="preserve"> POMMERIEUX Éclair Sports </v>
      </c>
    </row>
    <row r="40" spans="1:13" ht="11.25" customHeight="1" x14ac:dyDescent="0.25">
      <c r="A40" s="33">
        <v>30</v>
      </c>
      <c r="B40" s="27">
        <v>731654</v>
      </c>
      <c r="C40" s="27" t="s">
        <v>30232</v>
      </c>
      <c r="D40" s="28">
        <v>1421</v>
      </c>
      <c r="E40" s="29">
        <v>18015</v>
      </c>
      <c r="F40" s="27" t="s">
        <v>26407</v>
      </c>
      <c r="G40" s="34">
        <f t="shared" si="0"/>
        <v>1429.17</v>
      </c>
      <c r="I40" s="18" t="str">
        <f t="shared" si="1"/>
        <v>ERR</v>
      </c>
      <c r="J40" s="19" t="str">
        <f t="shared" si="2"/>
        <v>731654</v>
      </c>
      <c r="K40" s="20" t="str">
        <f>VLOOKUP($J40,Base!$A$2:$H$42700,2,FALSE)</f>
        <v xml:space="preserve"> MARRILLIET </v>
      </c>
      <c r="L40" s="20">
        <f>VLOOKUP($J40,Base!$A$2:$H$42700,8,FALSE)</f>
        <v>1429.17</v>
      </c>
      <c r="M40" s="20" t="str">
        <f>VLOOKUP($J40,Base!$A$2:$H$42700,7,FALSE)</f>
        <v xml:space="preserve"> CHAMBERY TENNIS DE TABLE </v>
      </c>
    </row>
    <row r="41" spans="1:13" ht="11.25" customHeight="1" x14ac:dyDescent="0.25">
      <c r="A41" s="33">
        <v>31</v>
      </c>
      <c r="B41" s="27">
        <v>3411137</v>
      </c>
      <c r="C41" s="27" t="s">
        <v>30245</v>
      </c>
      <c r="D41" s="28">
        <v>1415</v>
      </c>
      <c r="E41" s="29">
        <v>21247</v>
      </c>
      <c r="F41" s="27" t="s">
        <v>30253</v>
      </c>
      <c r="G41" s="34">
        <f t="shared" si="0"/>
        <v>1424.42</v>
      </c>
      <c r="I41" s="18" t="str">
        <f t="shared" si="1"/>
        <v>ERR</v>
      </c>
      <c r="J41" s="19" t="str">
        <f t="shared" si="2"/>
        <v>3411137</v>
      </c>
      <c r="K41" s="20" t="str">
        <f>VLOOKUP($J41,Base!$A$2:$H$42700,2,FALSE)</f>
        <v xml:space="preserve"> LOISEAU </v>
      </c>
      <c r="L41" s="20">
        <f>VLOOKUP($J41,Base!$A$2:$H$42700,8,FALSE)</f>
        <v>1424.42</v>
      </c>
      <c r="M41" s="20" t="str">
        <f>VLOOKUP($J41,Base!$A$2:$H$42700,7,FALSE)</f>
        <v xml:space="preserve"> LE CRES SALAISON  T.T. </v>
      </c>
    </row>
    <row r="42" spans="1:13" ht="11.25" customHeight="1" x14ac:dyDescent="0.25">
      <c r="A42" s="33">
        <v>32</v>
      </c>
      <c r="B42" s="27">
        <v>9533772</v>
      </c>
      <c r="C42" s="27" t="s">
        <v>30251</v>
      </c>
      <c r="D42" s="28">
        <v>1384</v>
      </c>
      <c r="E42" s="29">
        <v>20314</v>
      </c>
      <c r="F42" s="27" t="s">
        <v>26385</v>
      </c>
      <c r="G42" s="34">
        <f t="shared" si="0"/>
        <v>1415.67</v>
      </c>
      <c r="I42" s="18" t="str">
        <f t="shared" si="1"/>
        <v>ERR</v>
      </c>
      <c r="J42" s="19" t="str">
        <f t="shared" si="2"/>
        <v>9533772</v>
      </c>
      <c r="K42" s="20" t="str">
        <f>VLOOKUP($J42,Base!$A$2:$H$42700,2,FALSE)</f>
        <v xml:space="preserve"> HUGO </v>
      </c>
      <c r="L42" s="20">
        <f>VLOOKUP($J42,Base!$A$2:$H$42700,8,FALSE)</f>
        <v>1415.67</v>
      </c>
      <c r="M42" s="20" t="str">
        <f>VLOOKUP($J42,Base!$A$2:$H$42700,7,FALSE)</f>
        <v xml:space="preserve"> EAUBONNE CSM </v>
      </c>
    </row>
    <row r="43" spans="1:13" ht="11.25" customHeight="1" x14ac:dyDescent="0.25">
      <c r="A43" s="33">
        <v>33</v>
      </c>
      <c r="B43" s="27">
        <v>755328</v>
      </c>
      <c r="C43" s="27" t="s">
        <v>30288</v>
      </c>
      <c r="D43" s="28">
        <v>1400</v>
      </c>
      <c r="E43" s="29">
        <v>21003</v>
      </c>
      <c r="F43" s="27" t="s">
        <v>30210</v>
      </c>
      <c r="G43" s="34">
        <f t="shared" ref="G43:G66" si="3">L43</f>
        <v>1410.17</v>
      </c>
      <c r="I43" s="18" t="str">
        <f t="shared" ref="I43:I66" si="4">IF(C43=K43,"","ERR")</f>
        <v>ERR</v>
      </c>
      <c r="J43" s="19" t="str">
        <f t="shared" ref="J43:J66" si="5">LEFT(B43,LEN(B43))</f>
        <v>755328</v>
      </c>
      <c r="K43" s="20" t="str">
        <f>VLOOKUP($J43,Base!$A$2:$H$42700,2,FALSE)</f>
        <v xml:space="preserve"> BLANCHARD </v>
      </c>
      <c r="L43" s="20">
        <f>VLOOKUP($J43,Base!$A$2:$H$42700,8,FALSE)</f>
        <v>1410.17</v>
      </c>
      <c r="M43" s="20" t="str">
        <f>VLOOKUP($J43,Base!$A$2:$H$42700,7,FALSE)</f>
        <v xml:space="preserve"> ESSARTS AGSE </v>
      </c>
    </row>
    <row r="44" spans="1:13" ht="11.25" customHeight="1" x14ac:dyDescent="0.25">
      <c r="A44" s="33">
        <v>34</v>
      </c>
      <c r="B44" s="27">
        <v>9416903</v>
      </c>
      <c r="C44" s="27" t="s">
        <v>30240</v>
      </c>
      <c r="D44" s="28">
        <v>1393</v>
      </c>
      <c r="E44" s="29">
        <v>20192</v>
      </c>
      <c r="F44" s="27" t="s">
        <v>26367</v>
      </c>
      <c r="G44" s="34">
        <f t="shared" si="3"/>
        <v>1409.55</v>
      </c>
      <c r="I44" s="18" t="str">
        <f t="shared" si="4"/>
        <v>ERR</v>
      </c>
      <c r="J44" s="19" t="str">
        <f t="shared" si="5"/>
        <v>9416903</v>
      </c>
      <c r="K44" s="20" t="str">
        <f>VLOOKUP($J44,Base!$A$2:$H$42700,2,FALSE)</f>
        <v xml:space="preserve"> DUMONT </v>
      </c>
      <c r="L44" s="20">
        <f>VLOOKUP($J44,Base!$A$2:$H$42700,8,FALSE)</f>
        <v>1409.55</v>
      </c>
      <c r="M44" s="20" t="str">
        <f>VLOOKUP($J44,Base!$A$2:$H$42700,7,FALSE)</f>
        <v xml:space="preserve"> CHEVILLY ELAN </v>
      </c>
    </row>
    <row r="45" spans="1:13" ht="11.25" customHeight="1" x14ac:dyDescent="0.25">
      <c r="A45" s="33">
        <v>35</v>
      </c>
      <c r="B45" s="27">
        <v>6012513</v>
      </c>
      <c r="C45" s="27" t="s">
        <v>30258</v>
      </c>
      <c r="D45" s="28">
        <v>1391</v>
      </c>
      <c r="E45" s="29">
        <v>20939</v>
      </c>
      <c r="F45" s="27" t="s">
        <v>26408</v>
      </c>
      <c r="G45" s="34">
        <f t="shared" si="3"/>
        <v>1401.17</v>
      </c>
      <c r="I45" s="18" t="str">
        <f t="shared" si="4"/>
        <v>ERR</v>
      </c>
      <c r="J45" s="19" t="str">
        <f t="shared" si="5"/>
        <v>6012513</v>
      </c>
      <c r="K45" s="20" t="str">
        <f>VLOOKUP($J45,Base!$A$2:$H$42700,2,FALSE)</f>
        <v xml:space="preserve"> MILLERAT </v>
      </c>
      <c r="L45" s="20">
        <f>VLOOKUP($J45,Base!$A$2:$H$42700,8,FALSE)</f>
        <v>1401.17</v>
      </c>
      <c r="M45" s="20" t="str">
        <f>VLOOKUP($J45,Base!$A$2:$H$42700,7,FALSE)</f>
        <v xml:space="preserve"> SENLIS TT </v>
      </c>
    </row>
    <row r="46" spans="1:13" ht="11.25" customHeight="1" x14ac:dyDescent="0.25">
      <c r="A46" s="33">
        <v>36</v>
      </c>
      <c r="B46" s="27">
        <v>938583</v>
      </c>
      <c r="C46" s="27" t="s">
        <v>30217</v>
      </c>
      <c r="D46" s="28">
        <v>1396</v>
      </c>
      <c r="E46" s="29">
        <v>19040</v>
      </c>
      <c r="F46" s="27" t="s">
        <v>26376</v>
      </c>
      <c r="G46" s="34">
        <f t="shared" si="3"/>
        <v>1398.67</v>
      </c>
      <c r="I46" s="18" t="str">
        <f t="shared" si="4"/>
        <v>ERR</v>
      </c>
      <c r="J46" s="19" t="str">
        <f t="shared" si="5"/>
        <v>938583</v>
      </c>
      <c r="K46" s="20" t="str">
        <f>VLOOKUP($J46,Base!$A$2:$H$42700,2,FALSE)</f>
        <v xml:space="preserve"> GOUYON </v>
      </c>
      <c r="L46" s="20">
        <f>VLOOKUP($J46,Base!$A$2:$H$42700,8,FALSE)</f>
        <v>1398.67</v>
      </c>
      <c r="M46" s="20" t="str">
        <f>VLOOKUP($J46,Base!$A$2:$H$42700,7,FALSE)</f>
        <v xml:space="preserve"> CA BEGLAIS </v>
      </c>
    </row>
    <row r="47" spans="1:13" x14ac:dyDescent="0.25">
      <c r="A47" s="33">
        <v>37</v>
      </c>
      <c r="B47" s="27">
        <v>6716739</v>
      </c>
      <c r="C47" s="27" t="s">
        <v>30281</v>
      </c>
      <c r="D47" s="28">
        <v>1326</v>
      </c>
      <c r="E47" s="29">
        <v>20803</v>
      </c>
      <c r="F47" s="27" t="s">
        <v>26398</v>
      </c>
      <c r="G47" s="34">
        <f t="shared" si="3"/>
        <v>1397.17</v>
      </c>
      <c r="I47" s="18" t="str">
        <f t="shared" si="4"/>
        <v>ERR</v>
      </c>
      <c r="J47" s="19" t="str">
        <f t="shared" si="5"/>
        <v>6716739</v>
      </c>
      <c r="K47" s="20" t="str">
        <f>VLOOKUP($J47,Base!$A$2:$H$42700,2,FALSE)</f>
        <v xml:space="preserve"> DUSSOURD </v>
      </c>
      <c r="L47" s="20">
        <f>VLOOKUP($J47,Base!$A$2:$H$42700,8,FALSE)</f>
        <v>1397.17</v>
      </c>
      <c r="M47" s="20" t="str">
        <f>VLOOKUP($J47,Base!$A$2:$H$42700,7,FALSE)</f>
        <v xml:space="preserve"> ROSHEIM CA </v>
      </c>
    </row>
    <row r="48" spans="1:13" x14ac:dyDescent="0.25">
      <c r="A48" s="33">
        <v>38</v>
      </c>
      <c r="B48" s="27">
        <v>957038</v>
      </c>
      <c r="C48" s="27" t="s">
        <v>30294</v>
      </c>
      <c r="D48" s="28">
        <v>1424</v>
      </c>
      <c r="E48" s="29">
        <v>19170</v>
      </c>
      <c r="F48" s="27" t="s">
        <v>26435</v>
      </c>
      <c r="G48" s="34">
        <f t="shared" si="3"/>
        <v>1392.05</v>
      </c>
      <c r="I48" s="18" t="str">
        <f t="shared" si="4"/>
        <v>ERR</v>
      </c>
      <c r="J48" s="19" t="str">
        <f t="shared" si="5"/>
        <v>957038</v>
      </c>
      <c r="K48" s="20" t="str">
        <f>VLOOKUP($J48,Base!$A$2:$H$42700,2,FALSE)</f>
        <v xml:space="preserve"> HAMZAOUI </v>
      </c>
      <c r="L48" s="20">
        <f>VLOOKUP($J48,Base!$A$2:$H$42700,8,FALSE)</f>
        <v>1392.05</v>
      </c>
      <c r="M48" s="20" t="str">
        <f>VLOOKUP($J48,Base!$A$2:$H$42700,7,FALSE)</f>
        <v xml:space="preserve"> ST GRATIEN AS </v>
      </c>
    </row>
    <row r="49" spans="1:13" x14ac:dyDescent="0.25">
      <c r="A49" s="33">
        <v>39</v>
      </c>
      <c r="B49" s="27">
        <v>76378</v>
      </c>
      <c r="C49" s="27" t="s">
        <v>30266</v>
      </c>
      <c r="D49" s="28">
        <v>1404</v>
      </c>
      <c r="E49" s="29">
        <v>20220</v>
      </c>
      <c r="F49" s="27" t="s">
        <v>26411</v>
      </c>
      <c r="G49" s="34">
        <f t="shared" si="3"/>
        <v>1385.8</v>
      </c>
      <c r="I49" s="18" t="str">
        <f t="shared" si="4"/>
        <v>ERR</v>
      </c>
      <c r="J49" s="19" t="str">
        <f t="shared" si="5"/>
        <v>76378</v>
      </c>
      <c r="K49" s="20" t="str">
        <f>VLOOKUP($J49,Base!$A$2:$H$42700,2,FALSE)</f>
        <v xml:space="preserve"> PASQUE </v>
      </c>
      <c r="L49" s="20">
        <f>VLOOKUP($J49,Base!$A$2:$H$42700,8,FALSE)</f>
        <v>1385.8</v>
      </c>
      <c r="M49" s="20" t="str">
        <f>VLOOKUP($J49,Base!$A$2:$H$42700,7,FALSE)</f>
        <v xml:space="preserve"> S SOTTEVILLAIS CHEMN C </v>
      </c>
    </row>
    <row r="50" spans="1:13" x14ac:dyDescent="0.25">
      <c r="A50" s="33">
        <v>40</v>
      </c>
      <c r="B50" s="27">
        <v>3310788</v>
      </c>
      <c r="C50" s="27" t="s">
        <v>30215</v>
      </c>
      <c r="D50" s="28">
        <v>1369</v>
      </c>
      <c r="E50" s="29">
        <v>17960</v>
      </c>
      <c r="F50" s="27" t="s">
        <v>26405</v>
      </c>
      <c r="G50" s="34">
        <f t="shared" si="3"/>
        <v>1384.17</v>
      </c>
      <c r="I50" s="18" t="str">
        <f t="shared" si="4"/>
        <v>ERR</v>
      </c>
      <c r="J50" s="19" t="str">
        <f t="shared" si="5"/>
        <v>3310788</v>
      </c>
      <c r="K50" s="20" t="str">
        <f>VLOOKUP($J50,Base!$A$2:$H$42700,2,FALSE)</f>
        <v xml:space="preserve"> LEVEQUE </v>
      </c>
      <c r="L50" s="20">
        <f>VLOOKUP($J50,Base!$A$2:$H$42700,8,FALSE)</f>
        <v>1384.17</v>
      </c>
      <c r="M50" s="20" t="str">
        <f>VLOOKUP($J50,Base!$A$2:$H$42700,7,FALSE)</f>
        <v xml:space="preserve"> U S MIOSSAISE PING PONG </v>
      </c>
    </row>
    <row r="51" spans="1:13" x14ac:dyDescent="0.25">
      <c r="A51" s="33">
        <v>41</v>
      </c>
      <c r="B51" s="27">
        <v>573732</v>
      </c>
      <c r="C51" s="27" t="s">
        <v>30260</v>
      </c>
      <c r="D51" s="28">
        <v>1393</v>
      </c>
      <c r="E51" s="29">
        <v>20434</v>
      </c>
      <c r="F51" s="27" t="s">
        <v>26409</v>
      </c>
      <c r="G51" s="34">
        <f t="shared" si="3"/>
        <v>1366.17</v>
      </c>
      <c r="I51" s="18" t="str">
        <f t="shared" si="4"/>
        <v>ERR</v>
      </c>
      <c r="J51" s="19" t="str">
        <f t="shared" si="5"/>
        <v>573732</v>
      </c>
      <c r="K51" s="20" t="str">
        <f>VLOOKUP($J51,Base!$A$2:$H$42700,2,FALSE)</f>
        <v xml:space="preserve"> SCHMIDT </v>
      </c>
      <c r="L51" s="20">
        <f>VLOOKUP($J51,Base!$A$2:$H$42700,8,FALSE)</f>
        <v>1366.17</v>
      </c>
      <c r="M51" s="20" t="str">
        <f>VLOOKUP($J51,Base!$A$2:$H$42700,7,FALSE)</f>
        <v xml:space="preserve"> SAINT AVOLD C.T.T. </v>
      </c>
    </row>
    <row r="52" spans="1:13" x14ac:dyDescent="0.25">
      <c r="A52" s="33">
        <v>42</v>
      </c>
      <c r="B52" s="27">
        <v>71187</v>
      </c>
      <c r="C52" s="27" t="s">
        <v>30218</v>
      </c>
      <c r="D52" s="28">
        <v>1331</v>
      </c>
      <c r="E52" s="29">
        <v>20629</v>
      </c>
      <c r="F52" s="27" t="s">
        <v>26369</v>
      </c>
      <c r="G52" s="34">
        <f t="shared" si="3"/>
        <v>1358.67</v>
      </c>
      <c r="I52" s="18" t="str">
        <f t="shared" si="4"/>
        <v>ERR</v>
      </c>
      <c r="J52" s="19" t="str">
        <f t="shared" si="5"/>
        <v>71187</v>
      </c>
      <c r="K52" s="20" t="str">
        <f>VLOOKUP($J52,Base!$A$2:$H$42700,2,FALSE)</f>
        <v xml:space="preserve"> ROUSSON </v>
      </c>
      <c r="L52" s="20">
        <f>VLOOKUP($J52,Base!$A$2:$H$42700,8,FALSE)</f>
        <v>1358.67</v>
      </c>
      <c r="M52" s="20" t="str">
        <f>VLOOKUP($J52,Base!$A$2:$H$42700,7,FALSE)</f>
        <v xml:space="preserve"> valence-bourg tennis de t </v>
      </c>
    </row>
    <row r="53" spans="1:13" x14ac:dyDescent="0.25">
      <c r="A53" s="33">
        <v>43</v>
      </c>
      <c r="B53" s="27">
        <v>3321808</v>
      </c>
      <c r="C53" s="27" t="s">
        <v>30252</v>
      </c>
      <c r="D53" s="28">
        <v>1335</v>
      </c>
      <c r="E53" s="29">
        <v>18621</v>
      </c>
      <c r="F53" s="27" t="s">
        <v>26396</v>
      </c>
      <c r="G53" s="34">
        <f t="shared" si="3"/>
        <v>1353.67</v>
      </c>
      <c r="I53" s="18" t="str">
        <f t="shared" si="4"/>
        <v>ERR</v>
      </c>
      <c r="J53" s="19" t="str">
        <f t="shared" si="5"/>
        <v>3321808</v>
      </c>
      <c r="K53" s="20" t="str">
        <f>VLOOKUP($J53,Base!$A$2:$H$42700,2,FALSE)</f>
        <v xml:space="preserve"> DELRIVE </v>
      </c>
      <c r="L53" s="20">
        <f>VLOOKUP($J53,Base!$A$2:$H$42700,8,FALSE)</f>
        <v>1353.67</v>
      </c>
      <c r="M53" s="20" t="str">
        <f>VLOOKUP($J53,Base!$A$2:$H$42700,7,FALSE)</f>
        <v xml:space="preserve"> St-Palais-Vaux/Mer </v>
      </c>
    </row>
    <row r="54" spans="1:13" x14ac:dyDescent="0.25">
      <c r="A54" s="33">
        <v>44</v>
      </c>
      <c r="B54" s="27">
        <v>7847609</v>
      </c>
      <c r="C54" s="27" t="s">
        <v>30292</v>
      </c>
      <c r="D54" s="28">
        <v>1323</v>
      </c>
      <c r="E54" s="29">
        <v>20263</v>
      </c>
      <c r="F54" s="27" t="s">
        <v>30224</v>
      </c>
      <c r="G54" s="34">
        <f t="shared" si="3"/>
        <v>1346.67</v>
      </c>
      <c r="I54" s="18" t="str">
        <f t="shared" si="4"/>
        <v>ERR</v>
      </c>
      <c r="J54" s="19" t="str">
        <f t="shared" si="5"/>
        <v>7847609</v>
      </c>
      <c r="K54" s="20" t="str">
        <f>VLOOKUP($J54,Base!$A$2:$H$42700,2,FALSE)</f>
        <v xml:space="preserve"> FROIDUROT </v>
      </c>
      <c r="L54" s="20">
        <f>VLOOKUP($J54,Base!$A$2:$H$42700,8,FALSE)</f>
        <v>1346.67</v>
      </c>
      <c r="M54" s="20" t="str">
        <f>VLOOKUP($J54,Base!$A$2:$H$42700,7,FALSE)</f>
        <v xml:space="preserve"> SAINT-REMY-CHEVREUSE TT </v>
      </c>
    </row>
    <row r="55" spans="1:13" x14ac:dyDescent="0.25">
      <c r="A55" s="33">
        <v>45</v>
      </c>
      <c r="B55" s="27">
        <v>7830112</v>
      </c>
      <c r="C55" s="27" t="s">
        <v>30290</v>
      </c>
      <c r="D55" s="28">
        <v>1330</v>
      </c>
      <c r="E55" s="29">
        <v>18316</v>
      </c>
      <c r="F55" s="27" t="s">
        <v>30214</v>
      </c>
      <c r="G55" s="34">
        <f t="shared" si="3"/>
        <v>1344.67</v>
      </c>
      <c r="I55" s="18" t="str">
        <f t="shared" si="4"/>
        <v>ERR</v>
      </c>
      <c r="J55" s="19" t="str">
        <f t="shared" si="5"/>
        <v>7830112</v>
      </c>
      <c r="K55" s="20" t="str">
        <f>VLOOKUP($J55,Base!$A$2:$H$42700,2,FALSE)</f>
        <v xml:space="preserve"> DANIELSKY </v>
      </c>
      <c r="L55" s="20">
        <f>VLOOKUP($J55,Base!$A$2:$H$42700,8,FALSE)</f>
        <v>1344.67</v>
      </c>
      <c r="M55" s="20" t="str">
        <f>VLOOKUP($J55,Base!$A$2:$H$42700,7,FALSE)</f>
        <v xml:space="preserve"> CONFLANS US </v>
      </c>
    </row>
    <row r="56" spans="1:13" x14ac:dyDescent="0.25">
      <c r="A56" s="33">
        <v>46</v>
      </c>
      <c r="B56" s="27">
        <v>6012268</v>
      </c>
      <c r="C56" s="27" t="s">
        <v>30259</v>
      </c>
      <c r="D56" s="28">
        <v>1314</v>
      </c>
      <c r="E56" s="29">
        <v>21392</v>
      </c>
      <c r="F56" s="27" t="s">
        <v>26408</v>
      </c>
      <c r="G56" s="34">
        <f t="shared" si="3"/>
        <v>1337.92</v>
      </c>
      <c r="I56" s="18" t="str">
        <f t="shared" si="4"/>
        <v>ERR</v>
      </c>
      <c r="J56" s="19" t="str">
        <f t="shared" si="5"/>
        <v>6012268</v>
      </c>
      <c r="K56" s="20" t="str">
        <f>VLOOKUP($J56,Base!$A$2:$H$42700,2,FALSE)</f>
        <v xml:space="preserve"> MICHEL </v>
      </c>
      <c r="L56" s="20">
        <f>VLOOKUP($J56,Base!$A$2:$H$42700,8,FALSE)</f>
        <v>1337.92</v>
      </c>
      <c r="M56" s="20" t="str">
        <f>VLOOKUP($J56,Base!$A$2:$H$42700,7,FALSE)</f>
        <v xml:space="preserve"> SENLIS TT </v>
      </c>
    </row>
    <row r="57" spans="1:13" x14ac:dyDescent="0.25">
      <c r="A57" s="33">
        <v>47</v>
      </c>
      <c r="B57" s="27">
        <v>72158</v>
      </c>
      <c r="C57" s="27" t="s">
        <v>30265</v>
      </c>
      <c r="D57" s="28">
        <v>1365</v>
      </c>
      <c r="E57" s="29">
        <v>20607</v>
      </c>
      <c r="F57" s="27" t="s">
        <v>26399</v>
      </c>
      <c r="G57" s="34">
        <f t="shared" si="3"/>
        <v>1335.92</v>
      </c>
      <c r="I57" s="18" t="str">
        <f t="shared" si="4"/>
        <v>ERR</v>
      </c>
      <c r="J57" s="19" t="str">
        <f t="shared" si="5"/>
        <v>72158</v>
      </c>
      <c r="K57" s="20" t="str">
        <f>VLOOKUP($J57,Base!$A$2:$H$42700,2,FALSE)</f>
        <v xml:space="preserve"> ETIENNE </v>
      </c>
      <c r="L57" s="20">
        <f>VLOOKUP($J57,Base!$A$2:$H$42700,8,FALSE)</f>
        <v>1335.92</v>
      </c>
      <c r="M57" s="20" t="str">
        <f>VLOOKUP($J57,Base!$A$2:$H$42700,7,FALSE)</f>
        <v xml:space="preserve"> LE MANS S.O MAINE </v>
      </c>
    </row>
    <row r="58" spans="1:13" x14ac:dyDescent="0.25">
      <c r="A58" s="33">
        <v>48</v>
      </c>
      <c r="B58" s="27">
        <v>414389</v>
      </c>
      <c r="C58" s="27" t="s">
        <v>30286</v>
      </c>
      <c r="D58" s="28">
        <v>1352</v>
      </c>
      <c r="E58" s="29">
        <v>20087</v>
      </c>
      <c r="F58" s="27" t="s">
        <v>26406</v>
      </c>
      <c r="G58" s="34">
        <f t="shared" si="3"/>
        <v>1325.3</v>
      </c>
      <c r="I58" s="18" t="str">
        <f t="shared" si="4"/>
        <v>ERR</v>
      </c>
      <c r="J58" s="19" t="str">
        <f t="shared" si="5"/>
        <v>414389</v>
      </c>
      <c r="K58" s="20" t="str">
        <f>VLOOKUP($J58,Base!$A$2:$H$42700,2,FALSE)</f>
        <v xml:space="preserve"> RICHY </v>
      </c>
      <c r="L58" s="20">
        <f>VLOOKUP($J58,Base!$A$2:$H$42700,8,FALSE)</f>
        <v>1325.3</v>
      </c>
      <c r="M58" s="20" t="str">
        <f>VLOOKUP($J58,Base!$A$2:$H$42700,7,FALSE)</f>
        <v xml:space="preserve"> AS.CHAILLES TT. </v>
      </c>
    </row>
    <row r="59" spans="1:13" x14ac:dyDescent="0.25">
      <c r="A59" s="33">
        <v>49</v>
      </c>
      <c r="B59" s="27">
        <v>8527521</v>
      </c>
      <c r="C59" s="27" t="s">
        <v>30270</v>
      </c>
      <c r="D59" s="28">
        <v>1304</v>
      </c>
      <c r="E59" s="29">
        <v>19827</v>
      </c>
      <c r="F59" s="27" t="s">
        <v>26415</v>
      </c>
      <c r="G59" s="34">
        <f t="shared" si="3"/>
        <v>1324.55</v>
      </c>
      <c r="I59" s="18" t="str">
        <f t="shared" si="4"/>
        <v>ERR</v>
      </c>
      <c r="J59" s="19" t="str">
        <f t="shared" si="5"/>
        <v>8527521</v>
      </c>
      <c r="K59" s="20" t="str">
        <f>VLOOKUP($J59,Base!$A$2:$H$42700,2,FALSE)</f>
        <v xml:space="preserve"> ROUSSEL </v>
      </c>
      <c r="L59" s="20">
        <f>VLOOKUP($J59,Base!$A$2:$H$42700,8,FALSE)</f>
        <v>1324.55</v>
      </c>
      <c r="M59" s="20" t="str">
        <f>VLOOKUP($J59,Base!$A$2:$H$42700,7,FALSE)</f>
        <v xml:space="preserve"> SABLES D OLONNE AL </v>
      </c>
    </row>
    <row r="60" spans="1:13" x14ac:dyDescent="0.25">
      <c r="A60" s="33">
        <v>50</v>
      </c>
      <c r="B60" s="27">
        <v>4210387</v>
      </c>
      <c r="C60" s="27" t="s">
        <v>30295</v>
      </c>
      <c r="D60" s="28">
        <v>1368</v>
      </c>
      <c r="E60" s="29">
        <v>20261</v>
      </c>
      <c r="F60" s="27" t="s">
        <v>30128</v>
      </c>
      <c r="G60" s="34">
        <f t="shared" si="3"/>
        <v>1323.3</v>
      </c>
      <c r="I60" s="18" t="str">
        <f t="shared" si="4"/>
        <v>ERR</v>
      </c>
      <c r="J60" s="19" t="str">
        <f t="shared" si="5"/>
        <v>4210387</v>
      </c>
      <c r="K60" s="20" t="str">
        <f>VLOOKUP($J60,Base!$A$2:$H$42700,2,FALSE)</f>
        <v xml:space="preserve"> JEAN </v>
      </c>
      <c r="L60" s="20">
        <f>VLOOKUP($J60,Base!$A$2:$H$42700,8,FALSE)</f>
        <v>1323.3</v>
      </c>
      <c r="M60" s="20" t="str">
        <f>VLOOKUP($J60,Base!$A$2:$H$42700,7,FALSE)</f>
        <v xml:space="preserve"> GIGEAN ASM </v>
      </c>
    </row>
    <row r="61" spans="1:13" x14ac:dyDescent="0.25">
      <c r="A61" s="33">
        <v>51</v>
      </c>
      <c r="B61" s="27">
        <v>9418262</v>
      </c>
      <c r="C61" s="27" t="s">
        <v>30280</v>
      </c>
      <c r="D61" s="28">
        <v>1304</v>
      </c>
      <c r="E61" s="29">
        <v>18538</v>
      </c>
      <c r="F61" s="27" t="s">
        <v>26412</v>
      </c>
      <c r="G61" s="34">
        <f t="shared" si="3"/>
        <v>1314.3</v>
      </c>
      <c r="I61" s="18" t="str">
        <f t="shared" si="4"/>
        <v>ERR</v>
      </c>
      <c r="J61" s="19" t="str">
        <f t="shared" si="5"/>
        <v>9418262</v>
      </c>
      <c r="K61" s="20" t="str">
        <f>VLOOKUP($J61,Base!$A$2:$H$42700,2,FALSE)</f>
        <v xml:space="preserve"> PLESSIS </v>
      </c>
      <c r="L61" s="20">
        <f>VLOOKUP($J61,Base!$A$2:$H$42700,8,FALSE)</f>
        <v>1314.3</v>
      </c>
      <c r="M61" s="20" t="str">
        <f>VLOOKUP($J61,Base!$A$2:$H$42700,7,FALSE)</f>
        <v xml:space="preserve"> CSM FINANCES </v>
      </c>
    </row>
    <row r="62" spans="1:13" x14ac:dyDescent="0.25">
      <c r="A62" s="33">
        <v>52</v>
      </c>
      <c r="B62" s="27">
        <v>695956</v>
      </c>
      <c r="C62" s="27" t="s">
        <v>30256</v>
      </c>
      <c r="D62" s="28">
        <v>1337</v>
      </c>
      <c r="E62" s="29">
        <v>20352</v>
      </c>
      <c r="F62" s="27" t="s">
        <v>13</v>
      </c>
      <c r="G62" s="34">
        <f t="shared" si="3"/>
        <v>1279.75</v>
      </c>
      <c r="I62" s="18" t="str">
        <f t="shared" si="4"/>
        <v>ERR</v>
      </c>
      <c r="J62" s="19" t="str">
        <f t="shared" si="5"/>
        <v>695956</v>
      </c>
      <c r="K62" s="20" t="str">
        <f>VLOOKUP($J62,Base!$A$2:$H$42700,2,FALSE)</f>
        <v xml:space="preserve"> GODEAU </v>
      </c>
      <c r="L62" s="20">
        <f>VLOOKUP($J62,Base!$A$2:$H$42700,8,FALSE)</f>
        <v>1279.75</v>
      </c>
      <c r="M62" s="20" t="str">
        <f>VLOOKUP($J62,Base!$A$2:$H$42700,7,FALSE)</f>
        <v xml:space="preserve"> LYON 7 TT GERLAND </v>
      </c>
    </row>
    <row r="63" spans="1:13" x14ac:dyDescent="0.25">
      <c r="A63" s="33">
        <v>53</v>
      </c>
      <c r="B63" s="27">
        <v>8388</v>
      </c>
      <c r="C63" s="27" t="s">
        <v>30254</v>
      </c>
      <c r="D63" s="28">
        <v>1182</v>
      </c>
      <c r="E63" s="29">
        <v>19854</v>
      </c>
      <c r="F63" s="27" t="s">
        <v>30146</v>
      </c>
      <c r="G63" s="34">
        <f t="shared" si="3"/>
        <v>1186.05</v>
      </c>
      <c r="I63" s="18" t="str">
        <f t="shared" si="4"/>
        <v>ERR</v>
      </c>
      <c r="J63" s="19" t="str">
        <f t="shared" si="5"/>
        <v>8388</v>
      </c>
      <c r="K63" s="20" t="str">
        <f>VLOOKUP($J63,Base!$A$2:$H$42700,2,FALSE)</f>
        <v xml:space="preserve"> LAUGA </v>
      </c>
      <c r="L63" s="20">
        <f>VLOOKUP($J63,Base!$A$2:$H$42700,8,FALSE)</f>
        <v>1186.05</v>
      </c>
      <c r="M63" s="20" t="str">
        <f>VLOOKUP($J63,Base!$A$2:$H$42700,7,FALSE)</f>
        <v xml:space="preserve"> TOULON LA SEYNE Tennis de </v>
      </c>
    </row>
    <row r="64" spans="1:13" x14ac:dyDescent="0.25">
      <c r="A64" s="33">
        <v>54</v>
      </c>
      <c r="B64" s="27">
        <v>132527</v>
      </c>
      <c r="C64" s="27" t="s">
        <v>30205</v>
      </c>
      <c r="D64" s="28">
        <v>1124</v>
      </c>
      <c r="E64" s="29">
        <v>21548</v>
      </c>
      <c r="F64" s="27" t="s">
        <v>30188</v>
      </c>
      <c r="G64" s="34">
        <f t="shared" si="3"/>
        <v>1139.43</v>
      </c>
      <c r="I64" s="18" t="str">
        <f t="shared" si="4"/>
        <v>ERR</v>
      </c>
      <c r="J64" s="19" t="str">
        <f t="shared" si="5"/>
        <v>132527</v>
      </c>
      <c r="K64" s="20" t="str">
        <f>VLOOKUP($J64,Base!$A$2:$H$42700,2,FALSE)</f>
        <v xml:space="preserve"> CHAPUT </v>
      </c>
      <c r="L64" s="20">
        <f>VLOOKUP($J64,Base!$A$2:$H$42700,8,FALSE)</f>
        <v>1139.43</v>
      </c>
      <c r="M64" s="20" t="str">
        <f>VLOOKUP($J64,Base!$A$2:$H$42700,7,FALSE)</f>
        <v xml:space="preserve"> PPC BASTIA </v>
      </c>
    </row>
    <row r="65" spans="1:13" x14ac:dyDescent="0.25">
      <c r="A65" s="33">
        <v>55</v>
      </c>
      <c r="B65" s="27">
        <v>99417</v>
      </c>
      <c r="C65" s="27" t="s">
        <v>30211</v>
      </c>
      <c r="D65" s="28">
        <v>1138</v>
      </c>
      <c r="E65" s="29">
        <v>21314</v>
      </c>
      <c r="F65" s="27" t="s">
        <v>26368</v>
      </c>
      <c r="G65" s="34">
        <f t="shared" si="3"/>
        <v>1105.05</v>
      </c>
      <c r="I65" s="18" t="str">
        <f t="shared" si="4"/>
        <v>ERR</v>
      </c>
      <c r="J65" s="19" t="str">
        <f t="shared" si="5"/>
        <v>99417</v>
      </c>
      <c r="K65" s="20" t="str">
        <f>VLOOKUP($J65,Base!$A$2:$H$42700,2,FALSE)</f>
        <v xml:space="preserve"> ALEXANDRE </v>
      </c>
      <c r="L65" s="20">
        <f>VLOOKUP($J65,Base!$A$2:$H$42700,8,FALSE)</f>
        <v>1105.05</v>
      </c>
      <c r="M65" s="20" t="str">
        <f>VLOOKUP($J65,Base!$A$2:$H$42700,7,FALSE)</f>
        <v xml:space="preserve"> A.S.P.BONIFACIO </v>
      </c>
    </row>
    <row r="66" spans="1:13" x14ac:dyDescent="0.25">
      <c r="A66" s="33">
        <v>56</v>
      </c>
      <c r="B66" s="27" t="s">
        <v>26393</v>
      </c>
      <c r="C66" s="27" t="s">
        <v>30289</v>
      </c>
      <c r="D66" s="28">
        <v>996</v>
      </c>
      <c r="E66" s="29">
        <v>20953</v>
      </c>
      <c r="F66" s="27" t="s">
        <v>26394</v>
      </c>
      <c r="G66" s="34">
        <f t="shared" si="3"/>
        <v>1030.67</v>
      </c>
      <c r="I66" s="18" t="str">
        <f t="shared" si="4"/>
        <v>ERR</v>
      </c>
      <c r="J66" s="19" t="str">
        <f t="shared" si="5"/>
        <v>9D176</v>
      </c>
      <c r="K66" s="20" t="str">
        <f>VLOOKUP($J66,Base!$A$2:$H$42700,2,FALSE)</f>
        <v xml:space="preserve"> BLARD </v>
      </c>
      <c r="L66" s="20">
        <f>VLOOKUP($J66,Base!$A$2:$H$42700,8,FALSE)</f>
        <v>1030.67</v>
      </c>
      <c r="M66" s="20" t="str">
        <f>VLOOKUP($J66,Base!$A$2:$H$42700,7,FALSE)</f>
        <v xml:space="preserve"> AIGLONS D ORIENT </v>
      </c>
    </row>
  </sheetData>
  <sortState ref="A11:M66">
    <sortCondition descending="1" ref="G11:G66"/>
  </sortState>
  <mergeCells count="3">
    <mergeCell ref="A6:F6"/>
    <mergeCell ref="A7:F7"/>
    <mergeCell ref="I7:M7"/>
  </mergeCells>
  <printOptions horizontalCentered="1"/>
  <pageMargins left="0.19685039370078741" right="0.19685039370078741" top="0.59055118110236227" bottom="0.59055118110236227" header="0.31496062992125984" footer="0.31496062992125984"/>
  <pageSetup paperSize="9" scale="8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M50"/>
  <sheetViews>
    <sheetView showGridLines="0" zoomScale="130" zoomScaleNormal="130" workbookViewId="0">
      <selection activeCell="F8" sqref="F8"/>
    </sheetView>
  </sheetViews>
  <sheetFormatPr baseColWidth="10" defaultColWidth="11.44140625" defaultRowHeight="10.199999999999999" x14ac:dyDescent="0.25"/>
  <cols>
    <col min="1" max="1" width="3.6640625" style="5" customWidth="1"/>
    <col min="2" max="2" width="7.88671875" style="6" customWidth="1"/>
    <col min="3" max="3" width="28.44140625" style="5" customWidth="1"/>
    <col min="4" max="4" width="8.6640625" style="6" customWidth="1"/>
    <col min="5" max="5" width="10.6640625" style="6" customWidth="1"/>
    <col min="6" max="6" width="45.44140625" style="5" customWidth="1"/>
    <col min="7" max="7" width="8.77734375" style="5" customWidth="1"/>
    <col min="8" max="9" width="4" style="5" customWidth="1"/>
    <col min="10" max="10" width="8" style="11" customWidth="1"/>
    <col min="11" max="11" width="21" style="8" customWidth="1"/>
    <col min="12" max="12" width="11.44140625" style="8" customWidth="1"/>
    <col min="13" max="13" width="29.5546875" style="8" customWidth="1"/>
    <col min="14" max="16384" width="11.44140625" style="5"/>
  </cols>
  <sheetData>
    <row r="1" spans="1:13" x14ac:dyDescent="0.25">
      <c r="A1" s="1" t="s">
        <v>26504</v>
      </c>
      <c r="B1" s="3"/>
      <c r="C1" s="2"/>
      <c r="E1" s="3"/>
      <c r="F1" s="4" t="s">
        <v>26508</v>
      </c>
      <c r="G1" s="4"/>
    </row>
    <row r="2" spans="1:13" x14ac:dyDescent="0.25">
      <c r="A2" s="1" t="s">
        <v>23</v>
      </c>
      <c r="B2" s="3"/>
      <c r="C2" s="2"/>
      <c r="E2" s="3"/>
      <c r="F2" s="3"/>
      <c r="G2" s="3"/>
    </row>
    <row r="3" spans="1:13" x14ac:dyDescent="0.25">
      <c r="A3" s="1" t="s">
        <v>26349</v>
      </c>
      <c r="B3" s="3"/>
      <c r="C3" s="2"/>
      <c r="E3" s="3"/>
      <c r="F3" s="4"/>
      <c r="G3" s="4"/>
    </row>
    <row r="4" spans="1:13" x14ac:dyDescent="0.25">
      <c r="A4" s="1" t="s">
        <v>0</v>
      </c>
      <c r="B4" s="3"/>
      <c r="C4" s="2"/>
      <c r="E4" s="3"/>
      <c r="F4" s="3"/>
      <c r="G4" s="3"/>
    </row>
    <row r="5" spans="1:13" x14ac:dyDescent="0.25">
      <c r="A5" s="1"/>
      <c r="B5" s="3"/>
      <c r="C5" s="2"/>
      <c r="E5" s="3"/>
      <c r="F5" s="3"/>
      <c r="G5" s="3"/>
    </row>
    <row r="6" spans="1:13" ht="21" x14ac:dyDescent="0.25">
      <c r="A6" s="50" t="s">
        <v>26503</v>
      </c>
      <c r="B6" s="50"/>
      <c r="C6" s="50"/>
      <c r="D6" s="50"/>
      <c r="E6" s="50"/>
      <c r="F6" s="50"/>
      <c r="G6" s="22"/>
    </row>
    <row r="7" spans="1:13" ht="28.5" customHeight="1" x14ac:dyDescent="0.25">
      <c r="A7" s="51" t="s">
        <v>16</v>
      </c>
      <c r="B7" s="51"/>
      <c r="C7" s="51"/>
      <c r="D7" s="51"/>
      <c r="E7" s="51"/>
      <c r="F7" s="51"/>
      <c r="G7" s="23"/>
      <c r="I7" s="52" t="s">
        <v>8</v>
      </c>
      <c r="J7" s="53"/>
      <c r="K7" s="53"/>
      <c r="L7" s="53"/>
      <c r="M7" s="53"/>
    </row>
    <row r="8" spans="1:13" x14ac:dyDescent="0.25">
      <c r="A8" s="1"/>
      <c r="B8" s="3"/>
      <c r="C8" s="2"/>
      <c r="E8" s="3"/>
      <c r="F8" s="49" t="s">
        <v>30643</v>
      </c>
      <c r="G8" s="3"/>
    </row>
    <row r="10" spans="1:13" s="7" customFormat="1" ht="30.6" x14ac:dyDescent="0.25">
      <c r="A10" s="30" t="s">
        <v>2</v>
      </c>
      <c r="B10" s="30" t="s">
        <v>1</v>
      </c>
      <c r="C10" s="30" t="s">
        <v>4</v>
      </c>
      <c r="D10" s="31" t="s">
        <v>26509</v>
      </c>
      <c r="E10" s="32" t="s">
        <v>10</v>
      </c>
      <c r="F10" s="30" t="s">
        <v>5</v>
      </c>
      <c r="G10" s="32" t="s">
        <v>26510</v>
      </c>
      <c r="I10" s="9" t="s">
        <v>7</v>
      </c>
      <c r="J10" s="9" t="s">
        <v>1</v>
      </c>
      <c r="K10" s="9" t="s">
        <v>4</v>
      </c>
      <c r="L10" s="9" t="s">
        <v>3</v>
      </c>
      <c r="M10" s="9" t="s">
        <v>6</v>
      </c>
    </row>
    <row r="11" spans="1:13" s="7" customFormat="1" ht="11.25" customHeight="1" x14ac:dyDescent="0.25">
      <c r="A11" s="25">
        <v>1</v>
      </c>
      <c r="B11" s="27">
        <v>4424504</v>
      </c>
      <c r="C11" s="27" t="s">
        <v>30533</v>
      </c>
      <c r="D11" s="28">
        <v>1617</v>
      </c>
      <c r="E11" s="29">
        <v>17878</v>
      </c>
      <c r="F11" s="27" t="s">
        <v>30322</v>
      </c>
      <c r="G11" s="26">
        <f t="shared" ref="G11:G50" si="0">L11</f>
        <v>1617.67</v>
      </c>
      <c r="I11" s="10" t="str">
        <f t="shared" ref="I11:I50" si="1">IF(C11=K11,"","ERR")</f>
        <v>ERR</v>
      </c>
      <c r="J11" s="13" t="str">
        <f t="shared" ref="J11:J50" si="2">LEFT(B11,LEN(B11))</f>
        <v>4424504</v>
      </c>
      <c r="K11" s="12" t="str">
        <f>VLOOKUP($J11,Base!$A$2:$H$42700,2,FALSE)</f>
        <v xml:space="preserve"> JONNET </v>
      </c>
      <c r="L11" s="12">
        <f>VLOOKUP($J11,Base!$A$2:$H$42700,8,FALSE)</f>
        <v>1617.67</v>
      </c>
      <c r="M11" s="12" t="str">
        <f>VLOOKUP($J11,Base!$A$2:$H$42700,7,FALSE)</f>
        <v xml:space="preserve"> LIGNE A.S.T.T. </v>
      </c>
    </row>
    <row r="12" spans="1:13" s="7" customFormat="1" ht="11.25" customHeight="1" x14ac:dyDescent="0.25">
      <c r="A12" s="25">
        <v>2</v>
      </c>
      <c r="B12" s="27">
        <v>746624</v>
      </c>
      <c r="C12" s="27" t="s">
        <v>30534</v>
      </c>
      <c r="D12" s="28">
        <v>1582</v>
      </c>
      <c r="E12" s="29">
        <v>16909</v>
      </c>
      <c r="F12" s="27" t="s">
        <v>9</v>
      </c>
      <c r="G12" s="26">
        <f t="shared" si="0"/>
        <v>1585.67</v>
      </c>
      <c r="I12" s="10" t="str">
        <f t="shared" si="1"/>
        <v>ERR</v>
      </c>
      <c r="J12" s="13" t="str">
        <f t="shared" si="2"/>
        <v>746624</v>
      </c>
      <c r="K12" s="12" t="str">
        <f>VLOOKUP($J12,Base!$A$2:$H$42700,2,FALSE)</f>
        <v xml:space="preserve"> VERSANG </v>
      </c>
      <c r="L12" s="12">
        <f>VLOOKUP($J12,Base!$A$2:$H$42700,8,FALSE)</f>
        <v>1585.67</v>
      </c>
      <c r="M12" s="12" t="str">
        <f>VLOOKUP($J12,Base!$A$2:$H$42700,7,FALSE)</f>
        <v xml:space="preserve"> ENTENTE PONGISTE AMBILLY </v>
      </c>
    </row>
    <row r="13" spans="1:13" s="7" customFormat="1" ht="11.25" customHeight="1" x14ac:dyDescent="0.25">
      <c r="A13" s="25">
        <v>3</v>
      </c>
      <c r="B13" s="27">
        <v>687005</v>
      </c>
      <c r="C13" s="27" t="s">
        <v>30535</v>
      </c>
      <c r="D13" s="28">
        <v>1538</v>
      </c>
      <c r="E13" s="29">
        <v>17581</v>
      </c>
      <c r="F13" s="27" t="s">
        <v>30302</v>
      </c>
      <c r="G13" s="26">
        <f t="shared" si="0"/>
        <v>1547.17</v>
      </c>
      <c r="I13" s="10" t="str">
        <f t="shared" si="1"/>
        <v>ERR</v>
      </c>
      <c r="J13" s="13" t="str">
        <f t="shared" si="2"/>
        <v>687005</v>
      </c>
      <c r="K13" s="12" t="str">
        <f>VLOOKUP($J13,Base!$A$2:$H$42700,2,FALSE)</f>
        <v xml:space="preserve"> CAPARD </v>
      </c>
      <c r="L13" s="12">
        <f>VLOOKUP($J13,Base!$A$2:$H$42700,8,FALSE)</f>
        <v>1547.17</v>
      </c>
      <c r="M13" s="12" t="str">
        <f>VLOOKUP($J13,Base!$A$2:$H$42700,7,FALSE)</f>
        <v xml:space="preserve"> ASM BELFORT FROIDEVAL TT </v>
      </c>
    </row>
    <row r="14" spans="1:13" s="7" customFormat="1" ht="11.25" customHeight="1" x14ac:dyDescent="0.25">
      <c r="A14" s="25">
        <v>4</v>
      </c>
      <c r="B14" s="27">
        <v>951617</v>
      </c>
      <c r="C14" s="27" t="s">
        <v>30536</v>
      </c>
      <c r="D14" s="28">
        <v>1433</v>
      </c>
      <c r="E14" s="29">
        <v>16436</v>
      </c>
      <c r="F14" s="27" t="s">
        <v>26380</v>
      </c>
      <c r="G14" s="26">
        <f t="shared" si="0"/>
        <v>1388.17</v>
      </c>
      <c r="I14" s="10" t="str">
        <f t="shared" si="1"/>
        <v>ERR</v>
      </c>
      <c r="J14" s="13" t="str">
        <f t="shared" si="2"/>
        <v>951617</v>
      </c>
      <c r="K14" s="12" t="str">
        <f>VLOOKUP($J14,Base!$A$2:$H$42700,2,FALSE)</f>
        <v xml:space="preserve"> FLAGEUL </v>
      </c>
      <c r="L14" s="12">
        <f>VLOOKUP($J14,Base!$A$2:$H$42700,8,FALSE)</f>
        <v>1388.17</v>
      </c>
      <c r="M14" s="12" t="str">
        <f>VLOOKUP($J14,Base!$A$2:$H$42700,7,FALSE)</f>
        <v xml:space="preserve"> Argantel Club PLERIN </v>
      </c>
    </row>
    <row r="15" spans="1:13" s="7" customFormat="1" ht="11.25" customHeight="1" x14ac:dyDescent="0.25">
      <c r="A15" s="25">
        <v>5</v>
      </c>
      <c r="B15" s="27">
        <v>491530</v>
      </c>
      <c r="C15" s="27" t="s">
        <v>30537</v>
      </c>
      <c r="D15" s="28">
        <v>1390</v>
      </c>
      <c r="E15" s="29">
        <v>17058</v>
      </c>
      <c r="F15" s="27" t="s">
        <v>30306</v>
      </c>
      <c r="G15" s="26">
        <f t="shared" si="0"/>
        <v>1382.17</v>
      </c>
      <c r="I15" s="10" t="str">
        <f t="shared" si="1"/>
        <v>ERR</v>
      </c>
      <c r="J15" s="13" t="str">
        <f t="shared" si="2"/>
        <v>491530</v>
      </c>
      <c r="K15" s="12" t="str">
        <f>VLOOKUP($J15,Base!$A$2:$H$42700,2,FALSE)</f>
        <v xml:space="preserve"> DESSOMME </v>
      </c>
      <c r="L15" s="12">
        <f>VLOOKUP($J15,Base!$A$2:$H$42700,8,FALSE)</f>
        <v>1382.17</v>
      </c>
      <c r="M15" s="12" t="str">
        <f>VLOOKUP($J15,Base!$A$2:$H$42700,7,FALSE)</f>
        <v xml:space="preserve"> CHATEAU D OLONNE ES </v>
      </c>
    </row>
    <row r="16" spans="1:13" s="7" customFormat="1" ht="11.25" customHeight="1" x14ac:dyDescent="0.25">
      <c r="A16" s="25">
        <v>6</v>
      </c>
      <c r="B16" s="27">
        <v>14391</v>
      </c>
      <c r="C16" s="27" t="s">
        <v>30538</v>
      </c>
      <c r="D16" s="28">
        <v>1364</v>
      </c>
      <c r="E16" s="29">
        <v>17181</v>
      </c>
      <c r="F16" s="27" t="s">
        <v>26427</v>
      </c>
      <c r="G16" s="26">
        <f t="shared" si="0"/>
        <v>1381.17</v>
      </c>
      <c r="I16" s="10" t="str">
        <f t="shared" si="1"/>
        <v>ERR</v>
      </c>
      <c r="J16" s="13" t="str">
        <f t="shared" si="2"/>
        <v>14391</v>
      </c>
      <c r="K16" s="12" t="str">
        <f>VLOOKUP($J16,Base!$A$2:$H$42700,2,FALSE)</f>
        <v xml:space="preserve"> JALLEY </v>
      </c>
      <c r="L16" s="12">
        <f>VLOOKUP($J16,Base!$A$2:$H$42700,8,FALSE)</f>
        <v>1381.17</v>
      </c>
      <c r="M16" s="12" t="str">
        <f>VLOOKUP($J16,Base!$A$2:$H$42700,7,FALSE)</f>
        <v xml:space="preserve"> CONDE/NOIREAU SLSN </v>
      </c>
    </row>
    <row r="17" spans="1:13" s="7" customFormat="1" ht="11.25" customHeight="1" x14ac:dyDescent="0.25">
      <c r="A17" s="25">
        <v>7</v>
      </c>
      <c r="B17" s="27">
        <v>4428047</v>
      </c>
      <c r="C17" s="27" t="s">
        <v>30539</v>
      </c>
      <c r="D17" s="28">
        <v>1358</v>
      </c>
      <c r="E17" s="29">
        <v>16942</v>
      </c>
      <c r="F17" s="27" t="s">
        <v>26428</v>
      </c>
      <c r="G17" s="26">
        <f t="shared" si="0"/>
        <v>1365.67</v>
      </c>
      <c r="I17" s="10" t="str">
        <f t="shared" si="1"/>
        <v>ERR</v>
      </c>
      <c r="J17" s="13" t="str">
        <f t="shared" si="2"/>
        <v>4428047</v>
      </c>
      <c r="K17" s="12" t="str">
        <f>VLOOKUP($J17,Base!$A$2:$H$42700,2,FALSE)</f>
        <v xml:space="preserve"> JARSALE </v>
      </c>
      <c r="L17" s="12">
        <f>VLOOKUP($J17,Base!$A$2:$H$42700,8,FALSE)</f>
        <v>1365.67</v>
      </c>
      <c r="M17" s="12" t="str">
        <f>VLOOKUP($J17,Base!$A$2:$H$42700,7,FALSE)</f>
        <v xml:space="preserve"> TRIGNAC TENNIS DE TABLE </v>
      </c>
    </row>
    <row r="18" spans="1:13" s="7" customFormat="1" ht="11.25" customHeight="1" x14ac:dyDescent="0.25">
      <c r="A18" s="25">
        <v>8</v>
      </c>
      <c r="B18" s="27">
        <v>534151</v>
      </c>
      <c r="C18" s="27" t="s">
        <v>30540</v>
      </c>
      <c r="D18" s="28">
        <v>1368</v>
      </c>
      <c r="E18" s="29">
        <v>15727</v>
      </c>
      <c r="F18" s="27" t="s">
        <v>26430</v>
      </c>
      <c r="G18" s="26">
        <f t="shared" si="0"/>
        <v>1345.42</v>
      </c>
      <c r="I18" s="10" t="str">
        <f t="shared" si="1"/>
        <v>ERR</v>
      </c>
      <c r="J18" s="13" t="str">
        <f t="shared" si="2"/>
        <v>534151</v>
      </c>
      <c r="K18" s="12" t="str">
        <f>VLOOKUP($J18,Base!$A$2:$H$42700,2,FALSE)</f>
        <v xml:space="preserve"> MACE </v>
      </c>
      <c r="L18" s="12">
        <f>VLOOKUP($J18,Base!$A$2:$H$42700,8,FALSE)</f>
        <v>1345.42</v>
      </c>
      <c r="M18" s="12" t="str">
        <f>VLOOKUP($J18,Base!$A$2:$H$42700,7,FALSE)</f>
        <v xml:space="preserve"> CHANGÉ Union Sportive </v>
      </c>
    </row>
    <row r="19" spans="1:13" s="7" customFormat="1" ht="11.25" customHeight="1" x14ac:dyDescent="0.25">
      <c r="A19" s="25">
        <v>9</v>
      </c>
      <c r="B19" s="27">
        <v>69373</v>
      </c>
      <c r="C19" s="27" t="s">
        <v>30541</v>
      </c>
      <c r="D19" s="28">
        <v>1343</v>
      </c>
      <c r="E19" s="29">
        <v>16544</v>
      </c>
      <c r="F19" s="27" t="s">
        <v>13</v>
      </c>
      <c r="G19" s="26">
        <f t="shared" si="0"/>
        <v>1338.67</v>
      </c>
      <c r="I19" s="10" t="str">
        <f t="shared" si="1"/>
        <v>ERR</v>
      </c>
      <c r="J19" s="13" t="str">
        <f t="shared" si="2"/>
        <v>69373</v>
      </c>
      <c r="K19" s="12" t="str">
        <f>VLOOKUP($J19,Base!$A$2:$H$42700,2,FALSE)</f>
        <v xml:space="preserve"> HAITAYAN </v>
      </c>
      <c r="L19" s="12">
        <f>VLOOKUP($J19,Base!$A$2:$H$42700,8,FALSE)</f>
        <v>1338.67</v>
      </c>
      <c r="M19" s="12" t="str">
        <f>VLOOKUP($J19,Base!$A$2:$H$42700,7,FALSE)</f>
        <v xml:space="preserve"> LYON 7 TT GERLAND </v>
      </c>
    </row>
    <row r="20" spans="1:13" s="7" customFormat="1" ht="11.25" customHeight="1" x14ac:dyDescent="0.25">
      <c r="A20" s="25">
        <v>10</v>
      </c>
      <c r="B20" s="27">
        <v>3180</v>
      </c>
      <c r="C20" s="27" t="s">
        <v>30542</v>
      </c>
      <c r="D20" s="28">
        <v>1341</v>
      </c>
      <c r="E20" s="29">
        <v>15745</v>
      </c>
      <c r="F20" s="27" t="s">
        <v>30262</v>
      </c>
      <c r="G20" s="26">
        <f t="shared" si="0"/>
        <v>1319.92</v>
      </c>
      <c r="I20" s="10" t="str">
        <f t="shared" si="1"/>
        <v>ERR</v>
      </c>
      <c r="J20" s="13" t="str">
        <f t="shared" si="2"/>
        <v>3180</v>
      </c>
      <c r="K20" s="12" t="str">
        <f>VLOOKUP($J20,Base!$A$2:$H$42700,2,FALSE)</f>
        <v xml:space="preserve"> PHUNG </v>
      </c>
      <c r="L20" s="12">
        <f>VLOOKUP($J20,Base!$A$2:$H$42700,8,FALSE)</f>
        <v>1319.92</v>
      </c>
      <c r="M20" s="12" t="str">
        <f>VLOOKUP($J20,Base!$A$2:$H$42700,7,FALSE)</f>
        <v xml:space="preserve"> ASPTT TOULOUSE T.T. </v>
      </c>
    </row>
    <row r="21" spans="1:13" s="7" customFormat="1" ht="11.25" customHeight="1" x14ac:dyDescent="0.25">
      <c r="A21" s="25">
        <v>11</v>
      </c>
      <c r="B21" s="27">
        <v>4430513</v>
      </c>
      <c r="C21" s="27" t="s">
        <v>30543</v>
      </c>
      <c r="D21" s="28">
        <v>1351</v>
      </c>
      <c r="E21" s="29">
        <v>16181</v>
      </c>
      <c r="F21" s="27" t="s">
        <v>26382</v>
      </c>
      <c r="G21" s="26">
        <f t="shared" si="0"/>
        <v>1315.42</v>
      </c>
      <c r="I21" s="10" t="str">
        <f t="shared" si="1"/>
        <v>ERR</v>
      </c>
      <c r="J21" s="13" t="str">
        <f t="shared" si="2"/>
        <v>4430513</v>
      </c>
      <c r="K21" s="12" t="str">
        <f>VLOOKUP($J21,Base!$A$2:$H$42700,2,FALSE)</f>
        <v xml:space="preserve"> AMIAUD </v>
      </c>
      <c r="L21" s="12">
        <f>VLOOKUP($J21,Base!$A$2:$H$42700,8,FALSE)</f>
        <v>1315.42</v>
      </c>
      <c r="M21" s="12" t="str">
        <f>VLOOKUP($J21,Base!$A$2:$H$42700,7,FALSE)</f>
        <v xml:space="preserve"> ST SEBASTIEN P.P.C. </v>
      </c>
    </row>
    <row r="22" spans="1:13" s="7" customFormat="1" ht="11.25" customHeight="1" x14ac:dyDescent="0.25">
      <c r="A22" s="25">
        <v>12</v>
      </c>
      <c r="B22" s="27">
        <v>2925327</v>
      </c>
      <c r="C22" s="27" t="s">
        <v>30544</v>
      </c>
      <c r="D22" s="28">
        <v>1305</v>
      </c>
      <c r="E22" s="29">
        <v>16949</v>
      </c>
      <c r="F22" s="27" t="s">
        <v>26419</v>
      </c>
      <c r="G22" s="26">
        <f t="shared" si="0"/>
        <v>1304.67</v>
      </c>
      <c r="I22" s="10" t="str">
        <f t="shared" si="1"/>
        <v>ERR</v>
      </c>
      <c r="J22" s="13" t="str">
        <f t="shared" si="2"/>
        <v>2925327</v>
      </c>
      <c r="K22" s="12" t="str">
        <f>VLOOKUP($J22,Base!$A$2:$H$42700,2,FALSE)</f>
        <v xml:space="preserve"> BARON </v>
      </c>
      <c r="L22" s="12">
        <f>VLOOKUP($J22,Base!$A$2:$H$42700,8,FALSE)</f>
        <v>1304.67</v>
      </c>
      <c r="M22" s="12" t="str">
        <f>VLOOKUP($J22,Base!$A$2:$H$42700,7,FALSE)</f>
        <v xml:space="preserve"> QUIMPER CORNOUAILLE TT </v>
      </c>
    </row>
    <row r="23" spans="1:13" s="7" customFormat="1" ht="11.25" customHeight="1" x14ac:dyDescent="0.25">
      <c r="A23" s="25">
        <v>13</v>
      </c>
      <c r="B23" s="27">
        <v>5925671</v>
      </c>
      <c r="C23" s="27" t="s">
        <v>30545</v>
      </c>
      <c r="D23" s="28">
        <v>1261</v>
      </c>
      <c r="E23" s="29">
        <v>17087</v>
      </c>
      <c r="F23" s="27" t="s">
        <v>26356</v>
      </c>
      <c r="G23" s="26">
        <f t="shared" si="0"/>
        <v>1300.17</v>
      </c>
      <c r="I23" s="10" t="str">
        <f t="shared" si="1"/>
        <v>ERR</v>
      </c>
      <c r="J23" s="13" t="str">
        <f t="shared" si="2"/>
        <v>5925671</v>
      </c>
      <c r="K23" s="12" t="str">
        <f>VLOOKUP($J23,Base!$A$2:$H$42700,2,FALSE)</f>
        <v xml:space="preserve"> COGET </v>
      </c>
      <c r="L23" s="12">
        <f>VLOOKUP($J23,Base!$A$2:$H$42700,8,FALSE)</f>
        <v>1300.17</v>
      </c>
      <c r="M23" s="12" t="str">
        <f>VLOOKUP($J23,Base!$A$2:$H$42700,7,FALSE)</f>
        <v xml:space="preserve"> BRUILLE CTT </v>
      </c>
    </row>
    <row r="24" spans="1:13" s="7" customFormat="1" ht="11.25" customHeight="1" x14ac:dyDescent="0.25">
      <c r="A24" s="25">
        <v>14</v>
      </c>
      <c r="B24" s="27">
        <v>292045</v>
      </c>
      <c r="C24" s="27" t="s">
        <v>30546</v>
      </c>
      <c r="D24" s="28">
        <v>1301</v>
      </c>
      <c r="E24" s="29">
        <v>14522</v>
      </c>
      <c r="F24" s="27" t="s">
        <v>26422</v>
      </c>
      <c r="G24" s="26">
        <f t="shared" si="0"/>
        <v>1283.17</v>
      </c>
      <c r="I24" s="10" t="str">
        <f t="shared" si="1"/>
        <v>ERR</v>
      </c>
      <c r="J24" s="13" t="str">
        <f t="shared" si="2"/>
        <v>292045</v>
      </c>
      <c r="K24" s="12" t="str">
        <f>VLOOKUP($J24,Base!$A$2:$H$42700,2,FALSE)</f>
        <v xml:space="preserve"> CAROFF </v>
      </c>
      <c r="L24" s="12">
        <f>VLOOKUP($J24,Base!$A$2:$H$42700,8,FALSE)</f>
        <v>1283.17</v>
      </c>
      <c r="M24" s="12" t="str">
        <f>VLOOKUP($J24,Base!$A$2:$H$42700,7,FALSE)</f>
        <v xml:space="preserve"> TTC PLOUGOULM </v>
      </c>
    </row>
    <row r="25" spans="1:13" s="7" customFormat="1" ht="11.25" customHeight="1" x14ac:dyDescent="0.25">
      <c r="A25" s="25">
        <v>15</v>
      </c>
      <c r="B25" s="27">
        <v>593261</v>
      </c>
      <c r="C25" s="27" t="s">
        <v>30547</v>
      </c>
      <c r="D25" s="28">
        <v>1279</v>
      </c>
      <c r="E25" s="29">
        <v>17116</v>
      </c>
      <c r="F25" s="27" t="s">
        <v>26424</v>
      </c>
      <c r="G25" s="26">
        <f t="shared" si="0"/>
        <v>1278.17</v>
      </c>
      <c r="I25" s="10" t="str">
        <f t="shared" si="1"/>
        <v>ERR</v>
      </c>
      <c r="J25" s="13" t="str">
        <f t="shared" si="2"/>
        <v>593261</v>
      </c>
      <c r="K25" s="12" t="str">
        <f>VLOOKUP($J25,Base!$A$2:$H$42700,2,FALSE)</f>
        <v xml:space="preserve"> DEHEUNYNCK </v>
      </c>
      <c r="L25" s="12">
        <f>VLOOKUP($J25,Base!$A$2:$H$42700,8,FALSE)</f>
        <v>1278.17</v>
      </c>
      <c r="M25" s="12" t="str">
        <f>VLOOKUP($J25,Base!$A$2:$H$42700,7,FALSE)</f>
        <v xml:space="preserve"> PETITE-SYNTHE SM </v>
      </c>
    </row>
    <row r="26" spans="1:13" s="7" customFormat="1" ht="11.25" customHeight="1" x14ac:dyDescent="0.25">
      <c r="A26" s="25">
        <v>16</v>
      </c>
      <c r="B26" s="27">
        <v>954769</v>
      </c>
      <c r="C26" s="27" t="s">
        <v>30548</v>
      </c>
      <c r="D26" s="28">
        <v>1219</v>
      </c>
      <c r="E26" s="29">
        <v>17227</v>
      </c>
      <c r="F26" s="27" t="s">
        <v>30312</v>
      </c>
      <c r="G26" s="26">
        <f t="shared" si="0"/>
        <v>1262.05</v>
      </c>
      <c r="I26" s="10" t="str">
        <f t="shared" si="1"/>
        <v>ERR</v>
      </c>
      <c r="J26" s="13" t="str">
        <f t="shared" si="2"/>
        <v>954769</v>
      </c>
      <c r="K26" s="12" t="str">
        <f>VLOOKUP($J26,Base!$A$2:$H$42700,2,FALSE)</f>
        <v xml:space="preserve"> GARANDEL </v>
      </c>
      <c r="L26" s="12">
        <f>VLOOKUP($J26,Base!$A$2:$H$42700,8,FALSE)</f>
        <v>1262.05</v>
      </c>
      <c r="M26" s="12" t="str">
        <f>VLOOKUP($J26,Base!$A$2:$H$42700,7,FALSE)</f>
        <v xml:space="preserve"> LIVRY-GARGAN EP </v>
      </c>
    </row>
    <row r="27" spans="1:13" s="7" customFormat="1" ht="11.25" customHeight="1" x14ac:dyDescent="0.25">
      <c r="A27" s="25">
        <v>17</v>
      </c>
      <c r="B27" s="27">
        <v>283653</v>
      </c>
      <c r="C27" s="27" t="s">
        <v>30549</v>
      </c>
      <c r="D27" s="28">
        <v>1231</v>
      </c>
      <c r="E27" s="29">
        <v>17562</v>
      </c>
      <c r="F27" s="27" t="s">
        <v>30324</v>
      </c>
      <c r="G27" s="26">
        <f t="shared" si="0"/>
        <v>1229.17</v>
      </c>
      <c r="I27" s="10" t="str">
        <f t="shared" si="1"/>
        <v>ERR</v>
      </c>
      <c r="J27" s="13" t="str">
        <f t="shared" si="2"/>
        <v>283653</v>
      </c>
      <c r="K27" s="12" t="str">
        <f>VLOOKUP($J27,Base!$A$2:$H$42700,2,FALSE)</f>
        <v xml:space="preserve"> LE CORRE </v>
      </c>
      <c r="L27" s="12">
        <f>VLOOKUP($J27,Base!$A$2:$H$42700,8,FALSE)</f>
        <v>1229.17</v>
      </c>
      <c r="M27" s="12" t="str">
        <f>VLOOKUP($J27,Base!$A$2:$H$42700,7,FALSE)</f>
        <v xml:space="preserve"> CHARTRES ASTT. </v>
      </c>
    </row>
    <row r="28" spans="1:13" s="7" customFormat="1" ht="11.25" customHeight="1" x14ac:dyDescent="0.25">
      <c r="A28" s="25">
        <v>18</v>
      </c>
      <c r="B28" s="27">
        <v>5711329</v>
      </c>
      <c r="C28" s="27" t="s">
        <v>30550</v>
      </c>
      <c r="D28" s="28">
        <v>1190</v>
      </c>
      <c r="E28" s="29">
        <v>17142</v>
      </c>
      <c r="F28" s="27" t="s">
        <v>26433</v>
      </c>
      <c r="G28" s="26">
        <f t="shared" si="0"/>
        <v>1223.17</v>
      </c>
      <c r="I28" s="10" t="str">
        <f t="shared" si="1"/>
        <v>ERR</v>
      </c>
      <c r="J28" s="13" t="str">
        <f t="shared" si="2"/>
        <v>5711329</v>
      </c>
      <c r="K28" s="12" t="str">
        <f>VLOOKUP($J28,Base!$A$2:$H$42700,2,FALSE)</f>
        <v xml:space="preserve"> SCHLIENGER </v>
      </c>
      <c r="L28" s="12">
        <f>VLOOKUP($J28,Base!$A$2:$H$42700,8,FALSE)</f>
        <v>1223.17</v>
      </c>
      <c r="M28" s="12" t="str">
        <f>VLOOKUP($J28,Base!$A$2:$H$42700,7,FALSE)</f>
        <v xml:space="preserve"> MAIZIERES LES METZ T.T. </v>
      </c>
    </row>
    <row r="29" spans="1:13" s="7" customFormat="1" ht="11.25" customHeight="1" x14ac:dyDescent="0.25">
      <c r="A29" s="25">
        <v>19</v>
      </c>
      <c r="B29" s="27">
        <v>79881</v>
      </c>
      <c r="C29" s="27" t="s">
        <v>30551</v>
      </c>
      <c r="D29" s="28">
        <v>1212</v>
      </c>
      <c r="E29" s="29">
        <v>17447</v>
      </c>
      <c r="F29" s="27" t="s">
        <v>26421</v>
      </c>
      <c r="G29" s="26">
        <f t="shared" si="0"/>
        <v>1213.17</v>
      </c>
      <c r="I29" s="10" t="str">
        <f t="shared" si="1"/>
        <v>ERR</v>
      </c>
      <c r="J29" s="13" t="str">
        <f t="shared" si="2"/>
        <v>79881</v>
      </c>
      <c r="K29" s="12" t="str">
        <f>VLOOKUP($J29,Base!$A$2:$H$42700,2,FALSE)</f>
        <v xml:space="preserve"> BRAULT </v>
      </c>
      <c r="L29" s="12">
        <f>VLOOKUP($J29,Base!$A$2:$H$42700,8,FALSE)</f>
        <v>1213.17</v>
      </c>
      <c r="M29" s="12" t="str">
        <f>VLOOKUP($J29,Base!$A$2:$H$42700,7,FALSE)</f>
        <v xml:space="preserve"> Niort Tennis de Table </v>
      </c>
    </row>
    <row r="30" spans="1:13" s="7" customFormat="1" ht="11.25" customHeight="1" x14ac:dyDescent="0.25">
      <c r="A30" s="25">
        <v>20</v>
      </c>
      <c r="B30" s="27">
        <v>6941</v>
      </c>
      <c r="C30" s="27" t="s">
        <v>30552</v>
      </c>
      <c r="D30" s="28">
        <v>1213</v>
      </c>
      <c r="E30" s="29">
        <v>17632</v>
      </c>
      <c r="F30" s="27" t="s">
        <v>30309</v>
      </c>
      <c r="G30" s="26">
        <f t="shared" si="0"/>
        <v>1208.92</v>
      </c>
      <c r="I30" s="10" t="str">
        <f t="shared" si="1"/>
        <v>ERR</v>
      </c>
      <c r="J30" s="13" t="str">
        <f t="shared" si="2"/>
        <v>6941</v>
      </c>
      <c r="K30" s="12" t="str">
        <f>VLOOKUP($J30,Base!$A$2:$H$42700,2,FALSE)</f>
        <v xml:space="preserve"> FAVIER </v>
      </c>
      <c r="L30" s="12">
        <f>VLOOKUP($J30,Base!$A$2:$H$42700,8,FALSE)</f>
        <v>1208.92</v>
      </c>
      <c r="M30" s="12" t="str">
        <f>VLOOKUP($J30,Base!$A$2:$H$42700,7,FALSE)</f>
        <v xml:space="preserve"> AS MARCY CHARBONNIERES </v>
      </c>
    </row>
    <row r="31" spans="1:13" s="7" customFormat="1" ht="11.25" customHeight="1" x14ac:dyDescent="0.25">
      <c r="A31" s="25">
        <v>21</v>
      </c>
      <c r="B31" s="27">
        <v>142137</v>
      </c>
      <c r="C31" s="27" t="s">
        <v>30553</v>
      </c>
      <c r="D31" s="28">
        <v>1207</v>
      </c>
      <c r="E31" s="29">
        <v>16991</v>
      </c>
      <c r="F31" s="27" t="s">
        <v>30301</v>
      </c>
      <c r="G31" s="26">
        <f t="shared" si="0"/>
        <v>1198.17</v>
      </c>
      <c r="I31" s="10" t="str">
        <f t="shared" si="1"/>
        <v>ERR</v>
      </c>
      <c r="J31" s="13" t="str">
        <f t="shared" si="2"/>
        <v>142137</v>
      </c>
      <c r="K31" s="12" t="str">
        <f>VLOOKUP($J31,Base!$A$2:$H$42700,2,FALSE)</f>
        <v xml:space="preserve"> BUSSON </v>
      </c>
      <c r="L31" s="12">
        <f>VLOOKUP($J31,Base!$A$2:$H$42700,8,FALSE)</f>
        <v>1198.17</v>
      </c>
      <c r="M31" s="12" t="str">
        <f>VLOOKUP($J31,Base!$A$2:$H$42700,7,FALSE)</f>
        <v xml:space="preserve"> LOUVIGNY ASL </v>
      </c>
    </row>
    <row r="32" spans="1:13" s="7" customFormat="1" ht="11.25" customHeight="1" x14ac:dyDescent="0.25">
      <c r="A32" s="25">
        <v>22</v>
      </c>
      <c r="B32" s="27">
        <v>441223</v>
      </c>
      <c r="C32" s="27" t="s">
        <v>30554</v>
      </c>
      <c r="D32" s="28">
        <v>1178</v>
      </c>
      <c r="E32" s="29">
        <v>15341</v>
      </c>
      <c r="F32" s="27" t="s">
        <v>26434</v>
      </c>
      <c r="G32" s="26">
        <f t="shared" si="0"/>
        <v>1185.92</v>
      </c>
      <c r="I32" s="10" t="str">
        <f t="shared" si="1"/>
        <v>ERR</v>
      </c>
      <c r="J32" s="13" t="str">
        <f t="shared" si="2"/>
        <v>441223</v>
      </c>
      <c r="K32" s="12" t="str">
        <f>VLOOKUP($J32,Base!$A$2:$H$42700,2,FALSE)</f>
        <v xml:space="preserve"> SIMONNEAUX </v>
      </c>
      <c r="L32" s="12">
        <f>VLOOKUP($J32,Base!$A$2:$H$42700,8,FALSE)</f>
        <v>1185.92</v>
      </c>
      <c r="M32" s="12" t="str">
        <f>VLOOKUP($J32,Base!$A$2:$H$42700,7,FALSE)</f>
        <v xml:space="preserve"> CHAPELAINE (LA) </v>
      </c>
    </row>
    <row r="33" spans="1:13" s="7" customFormat="1" ht="11.25" customHeight="1" x14ac:dyDescent="0.25">
      <c r="A33" s="25">
        <v>23</v>
      </c>
      <c r="B33" s="27">
        <v>35789</v>
      </c>
      <c r="C33" s="27" t="s">
        <v>30555</v>
      </c>
      <c r="D33" s="28">
        <v>1160</v>
      </c>
      <c r="E33" s="29">
        <v>17243</v>
      </c>
      <c r="F33" s="27" t="s">
        <v>26426</v>
      </c>
      <c r="G33" s="26">
        <f t="shared" si="0"/>
        <v>1178.17</v>
      </c>
      <c r="I33" s="10" t="str">
        <f t="shared" si="1"/>
        <v>ERR</v>
      </c>
      <c r="J33" s="13" t="str">
        <f t="shared" si="2"/>
        <v>35789</v>
      </c>
      <c r="K33" s="12" t="str">
        <f>VLOOKUP($J33,Base!$A$2:$H$42700,2,FALSE)</f>
        <v xml:space="preserve"> VERGER </v>
      </c>
      <c r="L33" s="12">
        <f>VLOOKUP($J33,Base!$A$2:$H$42700,8,FALSE)</f>
        <v>1178.17</v>
      </c>
      <c r="M33" s="12" t="str">
        <f>VLOOKUP($J33,Base!$A$2:$H$42700,7,FALSE)</f>
        <v xml:space="preserve"> RENNES TOUR D AUVERGNE </v>
      </c>
    </row>
    <row r="34" spans="1:13" s="7" customFormat="1" ht="11.25" customHeight="1" x14ac:dyDescent="0.25">
      <c r="A34" s="25">
        <v>24</v>
      </c>
      <c r="B34" s="27">
        <v>7811072</v>
      </c>
      <c r="C34" s="27" t="s">
        <v>30556</v>
      </c>
      <c r="D34" s="28">
        <v>1173</v>
      </c>
      <c r="E34" s="29">
        <v>16854</v>
      </c>
      <c r="F34" s="27" t="s">
        <v>30224</v>
      </c>
      <c r="G34" s="26">
        <f t="shared" si="0"/>
        <v>1161.17</v>
      </c>
      <c r="I34" s="10" t="str">
        <f t="shared" si="1"/>
        <v>ERR</v>
      </c>
      <c r="J34" s="13" t="str">
        <f t="shared" si="2"/>
        <v>7811072</v>
      </c>
      <c r="K34" s="12" t="str">
        <f>VLOOKUP($J34,Base!$A$2:$H$42700,2,FALSE)</f>
        <v xml:space="preserve"> BONTOUT </v>
      </c>
      <c r="L34" s="12">
        <f>VLOOKUP($J34,Base!$A$2:$H$42700,8,FALSE)</f>
        <v>1161.17</v>
      </c>
      <c r="M34" s="12" t="str">
        <f>VLOOKUP($J34,Base!$A$2:$H$42700,7,FALSE)</f>
        <v xml:space="preserve"> SAINT-REMY-CHEVREUSE TT </v>
      </c>
    </row>
    <row r="35" spans="1:13" s="7" customFormat="1" ht="11.25" customHeight="1" x14ac:dyDescent="0.25">
      <c r="A35" s="25">
        <v>25</v>
      </c>
      <c r="B35" s="27">
        <v>3321816</v>
      </c>
      <c r="C35" s="27" t="s">
        <v>30557</v>
      </c>
      <c r="D35" s="28">
        <v>1097</v>
      </c>
      <c r="E35" s="29">
        <v>17184</v>
      </c>
      <c r="F35" s="27" t="s">
        <v>26425</v>
      </c>
      <c r="G35" s="26">
        <f t="shared" si="0"/>
        <v>1159.17</v>
      </c>
      <c r="I35" s="10" t="str">
        <f t="shared" si="1"/>
        <v>ERR</v>
      </c>
      <c r="J35" s="13" t="str">
        <f t="shared" si="2"/>
        <v>3321816</v>
      </c>
      <c r="K35" s="12" t="str">
        <f>VLOOKUP($J35,Base!$A$2:$H$42700,2,FALSE)</f>
        <v xml:space="preserve"> DESSAINT </v>
      </c>
      <c r="L35" s="12">
        <f>VLOOKUP($J35,Base!$A$2:$H$42700,8,FALSE)</f>
        <v>1159.17</v>
      </c>
      <c r="M35" s="12" t="str">
        <f>VLOOKUP($J35,Base!$A$2:$H$42700,7,FALSE)</f>
        <v xml:space="preserve"> SAM TT LESPARRE </v>
      </c>
    </row>
    <row r="36" spans="1:13" s="7" customFormat="1" ht="11.25" customHeight="1" x14ac:dyDescent="0.25">
      <c r="A36" s="25">
        <v>26</v>
      </c>
      <c r="B36" s="27">
        <v>37129</v>
      </c>
      <c r="C36" s="27" t="s">
        <v>30558</v>
      </c>
      <c r="D36" s="28">
        <v>1154</v>
      </c>
      <c r="E36" s="29">
        <v>15583</v>
      </c>
      <c r="F36" s="27" t="s">
        <v>26429</v>
      </c>
      <c r="G36" s="26">
        <f t="shared" si="0"/>
        <v>1157.17</v>
      </c>
      <c r="I36" s="10" t="str">
        <f t="shared" si="1"/>
        <v>ERR</v>
      </c>
      <c r="J36" s="13" t="str">
        <f t="shared" si="2"/>
        <v>37129</v>
      </c>
      <c r="K36" s="12" t="str">
        <f>VLOOKUP($J36,Base!$A$2:$H$42700,2,FALSE)</f>
        <v xml:space="preserve"> JOYAU </v>
      </c>
      <c r="L36" s="12">
        <f>VLOOKUP($J36,Base!$A$2:$H$42700,8,FALSE)</f>
        <v>1157.17</v>
      </c>
      <c r="M36" s="12" t="str">
        <f>VLOOKUP($J36,Base!$A$2:$H$42700,7,FALSE)</f>
        <v xml:space="preserve"> 4S TOURS T.T. </v>
      </c>
    </row>
    <row r="37" spans="1:13" s="7" customFormat="1" ht="11.25" customHeight="1" x14ac:dyDescent="0.25">
      <c r="A37" s="25">
        <v>27</v>
      </c>
      <c r="B37" s="27">
        <v>946893</v>
      </c>
      <c r="C37" s="27" t="s">
        <v>30559</v>
      </c>
      <c r="D37" s="28">
        <v>1135</v>
      </c>
      <c r="E37" s="29">
        <v>17803</v>
      </c>
      <c r="F37" s="27" t="s">
        <v>30307</v>
      </c>
      <c r="G37" s="26">
        <f t="shared" si="0"/>
        <v>1136.67</v>
      </c>
      <c r="I37" s="10" t="str">
        <f t="shared" si="1"/>
        <v>ERR</v>
      </c>
      <c r="J37" s="13" t="str">
        <f t="shared" si="2"/>
        <v>946893</v>
      </c>
      <c r="K37" s="12" t="str">
        <f>VLOOKUP($J37,Base!$A$2:$H$42700,2,FALSE)</f>
        <v xml:space="preserve"> DUFETELLE </v>
      </c>
      <c r="L37" s="12">
        <f>VLOOKUP($J37,Base!$A$2:$H$42700,8,FALSE)</f>
        <v>1136.67</v>
      </c>
      <c r="M37" s="12" t="str">
        <f>VLOOKUP($J37,Base!$A$2:$H$42700,7,FALSE)</f>
        <v xml:space="preserve"> VILLIERS ES </v>
      </c>
    </row>
    <row r="38" spans="1:13" s="7" customFormat="1" ht="11.25" customHeight="1" x14ac:dyDescent="0.25">
      <c r="A38" s="25">
        <v>28</v>
      </c>
      <c r="B38" s="27">
        <v>41810</v>
      </c>
      <c r="C38" s="27" t="s">
        <v>30560</v>
      </c>
      <c r="D38" s="28">
        <v>1128</v>
      </c>
      <c r="E38" s="29">
        <v>17250</v>
      </c>
      <c r="F38" s="27" t="s">
        <v>30327</v>
      </c>
      <c r="G38" s="26">
        <f t="shared" si="0"/>
        <v>1133.67</v>
      </c>
      <c r="I38" s="10" t="str">
        <f t="shared" si="1"/>
        <v>ERR</v>
      </c>
      <c r="J38" s="13" t="str">
        <f t="shared" si="2"/>
        <v>41810</v>
      </c>
      <c r="K38" s="12" t="str">
        <f>VLOOKUP($J38,Base!$A$2:$H$42700,2,FALSE)</f>
        <v xml:space="preserve"> RIVIERE </v>
      </c>
      <c r="L38" s="12">
        <f>VLOOKUP($J38,Base!$A$2:$H$42700,8,FALSE)</f>
        <v>1133.67</v>
      </c>
      <c r="M38" s="12" t="str">
        <f>VLOOKUP($J38,Base!$A$2:$H$42700,7,FALSE)</f>
        <v xml:space="preserve"> BLOIS PING 41 </v>
      </c>
    </row>
    <row r="39" spans="1:13" s="7" customFormat="1" ht="11.25" customHeight="1" x14ac:dyDescent="0.25">
      <c r="A39" s="25">
        <v>29</v>
      </c>
      <c r="B39" s="27">
        <v>31118</v>
      </c>
      <c r="C39" s="27" t="s">
        <v>30561</v>
      </c>
      <c r="D39" s="28">
        <v>1101</v>
      </c>
      <c r="E39" s="29">
        <v>16772</v>
      </c>
      <c r="F39" s="27" t="s">
        <v>30315</v>
      </c>
      <c r="G39" s="26">
        <f t="shared" si="0"/>
        <v>1131.17</v>
      </c>
      <c r="I39" s="10" t="str">
        <f t="shared" si="1"/>
        <v>ERR</v>
      </c>
      <c r="J39" s="13" t="str">
        <f t="shared" si="2"/>
        <v>31118</v>
      </c>
      <c r="K39" s="12" t="str">
        <f>VLOOKUP($J39,Base!$A$2:$H$42700,2,FALSE)</f>
        <v xml:space="preserve"> GUETIERE </v>
      </c>
      <c r="L39" s="12">
        <f>VLOOKUP($J39,Base!$A$2:$H$42700,8,FALSE)</f>
        <v>1131.17</v>
      </c>
      <c r="M39" s="12" t="str">
        <f>VLOOKUP($J39,Base!$A$2:$H$42700,7,FALSE)</f>
        <v xml:space="preserve"> TOULOUSE ATHLETIC CLUB </v>
      </c>
    </row>
    <row r="40" spans="1:13" s="7" customFormat="1" ht="11.25" customHeight="1" x14ac:dyDescent="0.25">
      <c r="A40" s="25">
        <v>30</v>
      </c>
      <c r="B40" s="35" t="s">
        <v>26436</v>
      </c>
      <c r="C40" s="27" t="s">
        <v>30562</v>
      </c>
      <c r="D40" s="28">
        <v>1132</v>
      </c>
      <c r="E40" s="29">
        <v>17327</v>
      </c>
      <c r="F40" s="27" t="s">
        <v>26423</v>
      </c>
      <c r="G40" s="26">
        <f t="shared" si="0"/>
        <v>1126.67</v>
      </c>
      <c r="I40" s="10" t="str">
        <f t="shared" si="1"/>
        <v>ERR</v>
      </c>
      <c r="J40" s="13" t="str">
        <f t="shared" si="2"/>
        <v>0665</v>
      </c>
      <c r="K40" s="12" t="str">
        <f>VLOOKUP($J40,Base!$A$2:$H$42700,2,FALSE)</f>
        <v xml:space="preserve"> CHOBY </v>
      </c>
      <c r="L40" s="12">
        <f>VLOOKUP($J40,Base!$A$2:$H$42700,8,FALSE)</f>
        <v>1126.67</v>
      </c>
      <c r="M40" s="12" t="str">
        <f>VLOOKUP($J40,Base!$A$2:$H$42700,7,FALSE)</f>
        <v xml:space="preserve"> E.S. VILLENEUVE LOUBET </v>
      </c>
    </row>
    <row r="41" spans="1:13" s="7" customFormat="1" ht="11.25" customHeight="1" x14ac:dyDescent="0.25">
      <c r="A41" s="25">
        <v>31</v>
      </c>
      <c r="B41" s="27">
        <v>92836</v>
      </c>
      <c r="C41" s="27" t="s">
        <v>30563</v>
      </c>
      <c r="D41" s="28">
        <v>1145</v>
      </c>
      <c r="E41" s="29">
        <v>15945</v>
      </c>
      <c r="F41" s="27" t="s">
        <v>26377</v>
      </c>
      <c r="G41" s="26">
        <f t="shared" si="0"/>
        <v>1117.67</v>
      </c>
      <c r="I41" s="10" t="str">
        <f t="shared" si="1"/>
        <v>ERR</v>
      </c>
      <c r="J41" s="13" t="str">
        <f t="shared" si="2"/>
        <v>92836</v>
      </c>
      <c r="K41" s="12" t="str">
        <f>VLOOKUP($J41,Base!$A$2:$H$42700,2,FALSE)</f>
        <v xml:space="preserve"> ESTRABOLS </v>
      </c>
      <c r="L41" s="12">
        <f>VLOOKUP($J41,Base!$A$2:$H$42700,8,FALSE)</f>
        <v>1117.67</v>
      </c>
      <c r="M41" s="12" t="str">
        <f>VLOOKUP($J41,Base!$A$2:$H$42700,7,FALSE)</f>
        <v xml:space="preserve"> CLAMART CSM </v>
      </c>
    </row>
    <row r="42" spans="1:13" s="7" customFormat="1" ht="11.25" customHeight="1" x14ac:dyDescent="0.25">
      <c r="A42" s="25">
        <v>32</v>
      </c>
      <c r="B42" s="27">
        <v>35343</v>
      </c>
      <c r="C42" s="27" t="s">
        <v>30564</v>
      </c>
      <c r="D42" s="28">
        <v>1123</v>
      </c>
      <c r="E42" s="29">
        <v>17268</v>
      </c>
      <c r="F42" s="27" t="s">
        <v>26426</v>
      </c>
      <c r="G42" s="26">
        <f t="shared" si="0"/>
        <v>1108.55</v>
      </c>
      <c r="I42" s="10" t="str">
        <f t="shared" si="1"/>
        <v>ERR</v>
      </c>
      <c r="J42" s="13" t="str">
        <f t="shared" si="2"/>
        <v>35343</v>
      </c>
      <c r="K42" s="12" t="str">
        <f>VLOOKUP($J42,Base!$A$2:$H$42700,2,FALSE)</f>
        <v xml:space="preserve"> DORVAL </v>
      </c>
      <c r="L42" s="12">
        <f>VLOOKUP($J42,Base!$A$2:$H$42700,8,FALSE)</f>
        <v>1108.55</v>
      </c>
      <c r="M42" s="12" t="str">
        <f>VLOOKUP($J42,Base!$A$2:$H$42700,7,FALSE)</f>
        <v xml:space="preserve"> RENNES TOUR D AUVERGNE </v>
      </c>
    </row>
    <row r="43" spans="1:13" s="7" customFormat="1" ht="11.25" customHeight="1" x14ac:dyDescent="0.25">
      <c r="A43" s="25">
        <v>33</v>
      </c>
      <c r="B43" s="27">
        <v>602784</v>
      </c>
      <c r="C43" s="27" t="s">
        <v>30565</v>
      </c>
      <c r="D43" s="28">
        <v>1069</v>
      </c>
      <c r="E43" s="29">
        <v>16187</v>
      </c>
      <c r="F43" s="27" t="s">
        <v>30318</v>
      </c>
      <c r="G43" s="26">
        <f t="shared" si="0"/>
        <v>1100.67</v>
      </c>
      <c r="I43" s="10" t="str">
        <f t="shared" si="1"/>
        <v>ERR</v>
      </c>
      <c r="J43" s="13" t="str">
        <f t="shared" si="2"/>
        <v>602784</v>
      </c>
      <c r="K43" s="12" t="str">
        <f>VLOOKUP($J43,Base!$A$2:$H$42700,2,FALSE)</f>
        <v xml:space="preserve"> HERVIN </v>
      </c>
      <c r="L43" s="12">
        <f>VLOOKUP($J43,Base!$A$2:$H$42700,8,FALSE)</f>
        <v>1100.67</v>
      </c>
      <c r="M43" s="12" t="str">
        <f>VLOOKUP($J43,Base!$A$2:$H$42700,7,FALSE)</f>
        <v xml:space="preserve"> LEZIGNAN CORBIERES MJC TT </v>
      </c>
    </row>
    <row r="44" spans="1:13" s="7" customFormat="1" ht="11.25" customHeight="1" x14ac:dyDescent="0.25">
      <c r="A44" s="25">
        <v>34</v>
      </c>
      <c r="B44" s="27">
        <v>381616</v>
      </c>
      <c r="C44" s="27" t="s">
        <v>30566</v>
      </c>
      <c r="D44" s="28">
        <v>1040</v>
      </c>
      <c r="E44" s="29">
        <v>16269</v>
      </c>
      <c r="F44" s="27" t="s">
        <v>26431</v>
      </c>
      <c r="G44" s="26">
        <f t="shared" si="0"/>
        <v>1088.92</v>
      </c>
      <c r="I44" s="10" t="str">
        <f t="shared" si="1"/>
        <v>ERR</v>
      </c>
      <c r="J44" s="13" t="str">
        <f t="shared" si="2"/>
        <v>381616</v>
      </c>
      <c r="K44" s="12" t="str">
        <f>VLOOKUP($J44,Base!$A$2:$H$42700,2,FALSE)</f>
        <v xml:space="preserve"> MOUGEOT </v>
      </c>
      <c r="L44" s="12">
        <f>VLOOKUP($J44,Base!$A$2:$H$42700,8,FALSE)</f>
        <v>1088.92</v>
      </c>
      <c r="M44" s="12" t="str">
        <f>VLOOKUP($J44,Base!$A$2:$H$42700,7,FALSE)</f>
        <v xml:space="preserve"> STENAY P.P.C. </v>
      </c>
    </row>
    <row r="45" spans="1:13" s="7" customFormat="1" ht="11.25" customHeight="1" x14ac:dyDescent="0.25">
      <c r="A45" s="25">
        <v>35</v>
      </c>
      <c r="B45" s="27">
        <v>9721377</v>
      </c>
      <c r="C45" s="27" t="s">
        <v>30567</v>
      </c>
      <c r="D45" s="28">
        <v>1093</v>
      </c>
      <c r="E45" s="29">
        <v>17090</v>
      </c>
      <c r="F45" s="27" t="s">
        <v>26432</v>
      </c>
      <c r="G45" s="26">
        <f t="shared" si="0"/>
        <v>1086.67</v>
      </c>
      <c r="I45" s="10" t="str">
        <f t="shared" si="1"/>
        <v>ERR</v>
      </c>
      <c r="J45" s="13" t="str">
        <f t="shared" si="2"/>
        <v>9721377</v>
      </c>
      <c r="K45" s="12" t="str">
        <f>VLOOKUP($J45,Base!$A$2:$H$42700,2,FALSE)</f>
        <v xml:space="preserve"> RICHARD </v>
      </c>
      <c r="L45" s="12">
        <f>VLOOKUP($J45,Base!$A$2:$H$42700,8,FALSE)</f>
        <v>1086.67</v>
      </c>
      <c r="M45" s="12" t="str">
        <f>VLOOKUP($J45,Base!$A$2:$H$42700,7,FALSE)</f>
        <v xml:space="preserve"> TAMPON TENNIS DE TABLE </v>
      </c>
    </row>
    <row r="46" spans="1:13" s="7" customFormat="1" ht="11.25" customHeight="1" x14ac:dyDescent="0.25">
      <c r="A46" s="25">
        <v>36</v>
      </c>
      <c r="B46" s="27">
        <v>9510121</v>
      </c>
      <c r="C46" s="27" t="s">
        <v>30568</v>
      </c>
      <c r="D46" s="28">
        <v>1088</v>
      </c>
      <c r="E46" s="29">
        <v>16556</v>
      </c>
      <c r="F46" s="27" t="s">
        <v>26435</v>
      </c>
      <c r="G46" s="26">
        <f t="shared" si="0"/>
        <v>1082.05</v>
      </c>
      <c r="I46" s="10" t="str">
        <f t="shared" si="1"/>
        <v>ERR</v>
      </c>
      <c r="J46" s="13" t="str">
        <f t="shared" si="2"/>
        <v>9510121</v>
      </c>
      <c r="K46" s="12" t="str">
        <f>VLOOKUP($J46,Base!$A$2:$H$42700,2,FALSE)</f>
        <v xml:space="preserve"> SNIEG </v>
      </c>
      <c r="L46" s="12">
        <f>VLOOKUP($J46,Base!$A$2:$H$42700,8,FALSE)</f>
        <v>1082.05</v>
      </c>
      <c r="M46" s="12" t="str">
        <f>VLOOKUP($J46,Base!$A$2:$H$42700,7,FALSE)</f>
        <v xml:space="preserve"> ST GRATIEN AS </v>
      </c>
    </row>
    <row r="47" spans="1:13" s="7" customFormat="1" x14ac:dyDescent="0.25">
      <c r="A47" s="25">
        <v>37</v>
      </c>
      <c r="B47" s="27">
        <v>593160</v>
      </c>
      <c r="C47" s="27" t="s">
        <v>30569</v>
      </c>
      <c r="D47" s="28">
        <v>1068</v>
      </c>
      <c r="E47" s="29">
        <v>15125</v>
      </c>
      <c r="F47" s="27" t="s">
        <v>30325</v>
      </c>
      <c r="G47" s="26">
        <f t="shared" si="0"/>
        <v>1056.67</v>
      </c>
      <c r="I47" s="10" t="str">
        <f t="shared" si="1"/>
        <v>ERR</v>
      </c>
      <c r="J47" s="13" t="str">
        <f t="shared" si="2"/>
        <v>593160</v>
      </c>
      <c r="K47" s="12" t="str">
        <f>VLOOKUP($J47,Base!$A$2:$H$42700,2,FALSE)</f>
        <v xml:space="preserve"> MAAS </v>
      </c>
      <c r="L47" s="12">
        <f>VLOOKUP($J47,Base!$A$2:$H$42700,8,FALSE)</f>
        <v>1056.67</v>
      </c>
      <c r="M47" s="12" t="str">
        <f>VLOOKUP($J47,Base!$A$2:$H$42700,7,FALSE)</f>
        <v xml:space="preserve"> ESCAUDAIN ASTT </v>
      </c>
    </row>
    <row r="48" spans="1:13" s="7" customFormat="1" x14ac:dyDescent="0.25">
      <c r="A48" s="25">
        <v>38</v>
      </c>
      <c r="B48" s="27">
        <v>213551</v>
      </c>
      <c r="C48" s="27" t="s">
        <v>30570</v>
      </c>
      <c r="D48" s="28">
        <v>1013</v>
      </c>
      <c r="E48" s="29">
        <v>15967</v>
      </c>
      <c r="F48" s="27" t="s">
        <v>30326</v>
      </c>
      <c r="G48" s="26">
        <f t="shared" si="0"/>
        <v>1045.67</v>
      </c>
      <c r="I48" s="10" t="str">
        <f t="shared" si="1"/>
        <v>ERR</v>
      </c>
      <c r="J48" s="13" t="str">
        <f t="shared" si="2"/>
        <v>213551</v>
      </c>
      <c r="K48" s="12" t="str">
        <f>VLOOKUP($J48,Base!$A$2:$H$42700,2,FALSE)</f>
        <v xml:space="preserve"> MEZANI </v>
      </c>
      <c r="L48" s="12">
        <f>VLOOKUP($J48,Base!$A$2:$H$42700,8,FALSE)</f>
        <v>1045.67</v>
      </c>
      <c r="M48" s="12" t="str">
        <f>VLOOKUP($J48,Base!$A$2:$H$42700,7,FALSE)</f>
        <v xml:space="preserve"> ASC SAINT APOLLINAIRE </v>
      </c>
    </row>
    <row r="49" spans="1:13" s="7" customFormat="1" x14ac:dyDescent="0.25">
      <c r="A49" s="25">
        <v>39</v>
      </c>
      <c r="B49" s="27">
        <v>8312913</v>
      </c>
      <c r="C49" s="27" t="s">
        <v>30571</v>
      </c>
      <c r="D49" s="28">
        <v>1048</v>
      </c>
      <c r="E49" s="29">
        <v>16321</v>
      </c>
      <c r="F49" s="27" t="s">
        <v>26400</v>
      </c>
      <c r="G49" s="26">
        <f t="shared" si="0"/>
        <v>1032.17</v>
      </c>
      <c r="I49" s="10" t="str">
        <f t="shared" si="1"/>
        <v>ERR</v>
      </c>
      <c r="J49" s="13" t="str">
        <f t="shared" si="2"/>
        <v>8312913</v>
      </c>
      <c r="K49" s="12" t="str">
        <f>VLOOKUP($J49,Base!$A$2:$H$42700,2,FALSE)</f>
        <v xml:space="preserve"> ANTOINE </v>
      </c>
      <c r="L49" s="12">
        <f>VLOOKUP($J49,Base!$A$2:$H$42700,8,FALSE)</f>
        <v>1032.17</v>
      </c>
      <c r="M49" s="12" t="str">
        <f>VLOOKUP($J49,Base!$A$2:$H$42700,7,FALSE)</f>
        <v xml:space="preserve"> A M S L FREJUS </v>
      </c>
    </row>
    <row r="50" spans="1:13" s="7" customFormat="1" x14ac:dyDescent="0.25">
      <c r="A50" s="25">
        <v>40</v>
      </c>
      <c r="B50" s="27">
        <v>831420</v>
      </c>
      <c r="C50" s="27" t="s">
        <v>30572</v>
      </c>
      <c r="D50" s="28">
        <v>953</v>
      </c>
      <c r="E50" s="29">
        <v>15846</v>
      </c>
      <c r="F50" s="27" t="s">
        <v>30313</v>
      </c>
      <c r="G50" s="26">
        <f t="shared" si="0"/>
        <v>956.54</v>
      </c>
      <c r="I50" s="10" t="str">
        <f t="shared" si="1"/>
        <v>ERR</v>
      </c>
      <c r="J50" s="13" t="str">
        <f t="shared" si="2"/>
        <v>831420</v>
      </c>
      <c r="K50" s="12" t="str">
        <f>VLOOKUP($J50,Base!$A$2:$H$42700,2,FALSE)</f>
        <v xml:space="preserve"> GOFF </v>
      </c>
      <c r="L50" s="12">
        <f>VLOOKUP($J50,Base!$A$2:$H$42700,8,FALSE)</f>
        <v>956.54</v>
      </c>
      <c r="M50" s="12" t="str">
        <f>VLOOKUP($J50,Base!$A$2:$H$42700,7,FALSE)</f>
        <v xml:space="preserve"> CLUB VALETTOIS TT </v>
      </c>
    </row>
  </sheetData>
  <sortState ref="A11:M50">
    <sortCondition descending="1" ref="G11:G50"/>
  </sortState>
  <mergeCells count="3">
    <mergeCell ref="A6:F6"/>
    <mergeCell ref="A7:F7"/>
    <mergeCell ref="I7:M7"/>
  </mergeCells>
  <printOptions horizontalCentered="1"/>
  <pageMargins left="0.19685039370078741" right="0.19685039370078741" top="0.59055118110236227" bottom="0.59055118110236227" header="0.31496062992125984" footer="0.31496062992125984"/>
  <pageSetup paperSize="9" scale="87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M34"/>
  <sheetViews>
    <sheetView showGridLines="0" zoomScale="130" zoomScaleNormal="130" workbookViewId="0">
      <selection activeCell="F8" sqref="F8"/>
    </sheetView>
  </sheetViews>
  <sheetFormatPr baseColWidth="10" defaultColWidth="11.44140625" defaultRowHeight="10.199999999999999" x14ac:dyDescent="0.25"/>
  <cols>
    <col min="1" max="1" width="3.6640625" style="5" customWidth="1"/>
    <col min="2" max="2" width="7.88671875" style="6" customWidth="1"/>
    <col min="3" max="3" width="28.44140625" style="5" customWidth="1"/>
    <col min="4" max="4" width="8.6640625" style="6" customWidth="1"/>
    <col min="5" max="5" width="10.6640625" style="6" customWidth="1"/>
    <col min="6" max="6" width="45.44140625" style="5" customWidth="1"/>
    <col min="7" max="7" width="8.77734375" style="5" customWidth="1"/>
    <col min="8" max="9" width="4" style="5" customWidth="1"/>
    <col min="10" max="10" width="8" style="11" customWidth="1"/>
    <col min="11" max="11" width="21" style="8" customWidth="1"/>
    <col min="12" max="12" width="11.44140625" style="8" customWidth="1"/>
    <col min="13" max="13" width="29.5546875" style="8" customWidth="1"/>
    <col min="14" max="16384" width="11.44140625" style="5"/>
  </cols>
  <sheetData>
    <row r="1" spans="1:13" x14ac:dyDescent="0.25">
      <c r="A1" s="1" t="s">
        <v>26504</v>
      </c>
      <c r="B1" s="3"/>
      <c r="C1" s="2"/>
      <c r="E1" s="3"/>
      <c r="F1" s="4" t="s">
        <v>26508</v>
      </c>
      <c r="G1" s="4"/>
    </row>
    <row r="2" spans="1:13" x14ac:dyDescent="0.25">
      <c r="A2" s="1" t="s">
        <v>23</v>
      </c>
      <c r="B2" s="3"/>
      <c r="C2" s="2"/>
      <c r="E2" s="3"/>
      <c r="F2" s="3"/>
      <c r="G2" s="3"/>
    </row>
    <row r="3" spans="1:13" x14ac:dyDescent="0.25">
      <c r="A3" s="1" t="s">
        <v>26349</v>
      </c>
      <c r="B3" s="3"/>
      <c r="C3" s="2"/>
      <c r="E3" s="3"/>
      <c r="F3" s="4"/>
      <c r="G3" s="4"/>
    </row>
    <row r="4" spans="1:13" x14ac:dyDescent="0.25">
      <c r="A4" s="1" t="s">
        <v>0</v>
      </c>
      <c r="B4" s="3"/>
      <c r="C4" s="2"/>
      <c r="E4" s="3"/>
      <c r="F4" s="3"/>
      <c r="G4" s="3"/>
    </row>
    <row r="5" spans="1:13" x14ac:dyDescent="0.25">
      <c r="A5" s="1"/>
      <c r="B5" s="3"/>
      <c r="C5" s="2"/>
      <c r="E5" s="3"/>
      <c r="F5" s="3"/>
      <c r="G5" s="3"/>
    </row>
    <row r="6" spans="1:13" ht="21" x14ac:dyDescent="0.25">
      <c r="A6" s="50" t="s">
        <v>26503</v>
      </c>
      <c r="B6" s="50"/>
      <c r="C6" s="50"/>
      <c r="D6" s="50"/>
      <c r="E6" s="50"/>
      <c r="F6" s="50"/>
      <c r="G6" s="22"/>
    </row>
    <row r="7" spans="1:13" ht="28.5" customHeight="1" x14ac:dyDescent="0.25">
      <c r="A7" s="51" t="s">
        <v>17</v>
      </c>
      <c r="B7" s="51"/>
      <c r="C7" s="51"/>
      <c r="D7" s="51"/>
      <c r="E7" s="51"/>
      <c r="F7" s="51"/>
      <c r="G7" s="23"/>
      <c r="I7" s="52" t="s">
        <v>8</v>
      </c>
      <c r="J7" s="53"/>
      <c r="K7" s="53"/>
      <c r="L7" s="53"/>
      <c r="M7" s="53"/>
    </row>
    <row r="8" spans="1:13" x14ac:dyDescent="0.25">
      <c r="A8" s="1"/>
      <c r="B8" s="3"/>
      <c r="C8" s="2"/>
      <c r="E8" s="3"/>
      <c r="F8" s="49" t="s">
        <v>30643</v>
      </c>
      <c r="G8" s="3"/>
    </row>
    <row r="10" spans="1:13" s="7" customFormat="1" ht="30.6" x14ac:dyDescent="0.25">
      <c r="A10" s="30" t="s">
        <v>2</v>
      </c>
      <c r="B10" s="30" t="s">
        <v>1</v>
      </c>
      <c r="C10" s="30" t="s">
        <v>4</v>
      </c>
      <c r="D10" s="31" t="s">
        <v>26509</v>
      </c>
      <c r="E10" s="32" t="s">
        <v>10</v>
      </c>
      <c r="F10" s="30" t="s">
        <v>5</v>
      </c>
      <c r="G10" s="32" t="s">
        <v>26510</v>
      </c>
      <c r="I10" s="9" t="s">
        <v>7</v>
      </c>
      <c r="J10" s="9" t="s">
        <v>1</v>
      </c>
      <c r="K10" s="9" t="s">
        <v>4</v>
      </c>
      <c r="L10" s="9" t="s">
        <v>3</v>
      </c>
      <c r="M10" s="9" t="s">
        <v>6</v>
      </c>
    </row>
    <row r="11" spans="1:13" s="7" customFormat="1" ht="11.25" customHeight="1" x14ac:dyDescent="0.25">
      <c r="A11" s="36">
        <v>1</v>
      </c>
      <c r="B11" s="27">
        <v>95303</v>
      </c>
      <c r="C11" s="27" t="s">
        <v>30573</v>
      </c>
      <c r="D11" s="28">
        <v>1157</v>
      </c>
      <c r="E11" s="29">
        <v>11962</v>
      </c>
      <c r="F11" s="27" t="s">
        <v>26420</v>
      </c>
      <c r="G11" s="34">
        <f t="shared" ref="G11:G34" si="0">L11</f>
        <v>1159.17</v>
      </c>
      <c r="I11" s="10" t="str">
        <f t="shared" ref="I11:I34" si="1">IF(C11=K11,"","ERR")</f>
        <v>ERR</v>
      </c>
      <c r="J11" s="13" t="str">
        <f t="shared" ref="J11:J34" si="2">LEFT(B11,LEN(B11))</f>
        <v>95303</v>
      </c>
      <c r="K11" s="12" t="str">
        <f>VLOOKUP($J11,Base!$A$2:$H$42700,2,FALSE)</f>
        <v xml:space="preserve"> YAHIEL </v>
      </c>
      <c r="L11" s="12">
        <f>VLOOKUP($J11,Base!$A$2:$H$42700,8,FALSE)</f>
        <v>1159.17</v>
      </c>
      <c r="M11" s="12" t="str">
        <f>VLOOKUP($J11,Base!$A$2:$H$42700,7,FALSE)</f>
        <v xml:space="preserve"> BOULOGNE BILLANCOURT AC </v>
      </c>
    </row>
    <row r="12" spans="1:13" s="7" customFormat="1" ht="11.25" customHeight="1" x14ac:dyDescent="0.25">
      <c r="A12" s="33">
        <v>2</v>
      </c>
      <c r="B12" s="27">
        <v>37137</v>
      </c>
      <c r="C12" s="27" t="s">
        <v>30574</v>
      </c>
      <c r="D12" s="28">
        <v>1065</v>
      </c>
      <c r="E12" s="29">
        <v>13731</v>
      </c>
      <c r="F12" s="27" t="s">
        <v>26429</v>
      </c>
      <c r="G12" s="34">
        <f t="shared" si="0"/>
        <v>1071.17</v>
      </c>
      <c r="I12" s="10" t="str">
        <f t="shared" si="1"/>
        <v>ERR</v>
      </c>
      <c r="J12" s="13" t="str">
        <f t="shared" si="2"/>
        <v>37137</v>
      </c>
      <c r="K12" s="12" t="str">
        <f>VLOOKUP($J12,Base!$A$2:$H$42700,2,FALSE)</f>
        <v xml:space="preserve"> MARTIN </v>
      </c>
      <c r="L12" s="12">
        <f>VLOOKUP($J12,Base!$A$2:$H$42700,8,FALSE)</f>
        <v>1071.17</v>
      </c>
      <c r="M12" s="12" t="str">
        <f>VLOOKUP($J12,Base!$A$2:$H$42700,7,FALSE)</f>
        <v xml:space="preserve"> 4S TOURS T.T. </v>
      </c>
    </row>
    <row r="13" spans="1:13" s="7" customFormat="1" ht="11.25" customHeight="1" x14ac:dyDescent="0.25">
      <c r="A13" s="33">
        <v>3</v>
      </c>
      <c r="B13" s="27">
        <v>44348</v>
      </c>
      <c r="C13" s="27" t="s">
        <v>30346</v>
      </c>
      <c r="D13" s="28">
        <v>1085</v>
      </c>
      <c r="E13" s="29">
        <v>12204</v>
      </c>
      <c r="F13" s="27" t="s">
        <v>26441</v>
      </c>
      <c r="G13" s="34">
        <f t="shared" si="0"/>
        <v>1067.67</v>
      </c>
      <c r="I13" s="10" t="str">
        <f t="shared" si="1"/>
        <v>ERR</v>
      </c>
      <c r="J13" s="13" t="str">
        <f t="shared" si="2"/>
        <v>44348</v>
      </c>
      <c r="K13" s="12" t="str">
        <f>VLOOKUP($J13,Base!$A$2:$H$42700,2,FALSE)</f>
        <v xml:space="preserve"> GREFFION </v>
      </c>
      <c r="L13" s="12">
        <f>VLOOKUP($J13,Base!$A$2:$H$42700,8,FALSE)</f>
        <v>1067.67</v>
      </c>
      <c r="M13" s="12" t="str">
        <f>VLOOKUP($J13,Base!$A$2:$H$42700,7,FALSE)</f>
        <v xml:space="preserve"> NANTES ASGEN </v>
      </c>
    </row>
    <row r="14" spans="1:13" s="7" customFormat="1" ht="11.25" customHeight="1" x14ac:dyDescent="0.25">
      <c r="A14" s="36">
        <v>4</v>
      </c>
      <c r="B14" s="27">
        <v>372689</v>
      </c>
      <c r="C14" s="27" t="s">
        <v>30575</v>
      </c>
      <c r="D14" s="28">
        <v>948</v>
      </c>
      <c r="E14" s="29">
        <v>13539</v>
      </c>
      <c r="F14" s="27" t="s">
        <v>30342</v>
      </c>
      <c r="G14" s="34">
        <f t="shared" si="0"/>
        <v>971.17</v>
      </c>
      <c r="I14" s="10" t="str">
        <f t="shared" si="1"/>
        <v>ERR</v>
      </c>
      <c r="J14" s="13" t="str">
        <f t="shared" si="2"/>
        <v>372689</v>
      </c>
      <c r="K14" s="12" t="str">
        <f>VLOOKUP($J14,Base!$A$2:$H$42700,2,FALSE)</f>
        <v xml:space="preserve"> MICHELET </v>
      </c>
      <c r="L14" s="12">
        <f>VLOOKUP($J14,Base!$A$2:$H$42700,8,FALSE)</f>
        <v>971.17</v>
      </c>
      <c r="M14" s="12" t="str">
        <f>VLOOKUP($J14,Base!$A$2:$H$42700,7,FALSE)</f>
        <v xml:space="preserve"> Azay-Le-Rideau ESRTT </v>
      </c>
    </row>
    <row r="15" spans="1:13" s="7" customFormat="1" ht="11.25" customHeight="1" x14ac:dyDescent="0.25">
      <c r="A15" s="33">
        <v>5</v>
      </c>
      <c r="B15" s="27">
        <v>42724</v>
      </c>
      <c r="C15" s="27" t="s">
        <v>30337</v>
      </c>
      <c r="D15" s="28">
        <v>1005</v>
      </c>
      <c r="E15" s="29">
        <v>13039</v>
      </c>
      <c r="F15" s="27" t="s">
        <v>26439</v>
      </c>
      <c r="G15" s="34">
        <f t="shared" si="0"/>
        <v>969.67</v>
      </c>
      <c r="I15" s="10" t="str">
        <f t="shared" si="1"/>
        <v>ERR</v>
      </c>
      <c r="J15" s="13" t="str">
        <f t="shared" si="2"/>
        <v>42724</v>
      </c>
      <c r="K15" s="12" t="str">
        <f>VLOOKUP($J15,Base!$A$2:$H$42700,2,FALSE)</f>
        <v xml:space="preserve"> DESSERTINE </v>
      </c>
      <c r="L15" s="12">
        <f>VLOOKUP($J15,Base!$A$2:$H$42700,8,FALSE)</f>
        <v>969.67</v>
      </c>
      <c r="M15" s="12" t="str">
        <f>VLOOKUP($J15,Base!$A$2:$H$42700,7,FALSE)</f>
        <v xml:space="preserve"> TT MONTROND LES BAINS </v>
      </c>
    </row>
    <row r="16" spans="1:13" s="7" customFormat="1" ht="11.25" customHeight="1" x14ac:dyDescent="0.25">
      <c r="A16" s="33">
        <v>6</v>
      </c>
      <c r="B16" s="27">
        <v>6458</v>
      </c>
      <c r="C16" s="27" t="s">
        <v>30341</v>
      </c>
      <c r="D16" s="28">
        <v>928</v>
      </c>
      <c r="E16" s="29">
        <v>13627</v>
      </c>
      <c r="F16" s="27" t="s">
        <v>26444</v>
      </c>
      <c r="G16" s="34">
        <f t="shared" si="0"/>
        <v>969.67</v>
      </c>
      <c r="I16" s="10" t="str">
        <f t="shared" si="1"/>
        <v>ERR</v>
      </c>
      <c r="J16" s="13" t="str">
        <f t="shared" si="2"/>
        <v>6458</v>
      </c>
      <c r="K16" s="12" t="str">
        <f>VLOOKUP($J16,Base!$A$2:$H$42700,2,FALSE)</f>
        <v xml:space="preserve"> LAILHEUGUE </v>
      </c>
      <c r="L16" s="12">
        <f>VLOOKUP($J16,Base!$A$2:$H$42700,8,FALSE)</f>
        <v>969.67</v>
      </c>
      <c r="M16" s="12" t="str">
        <f>VLOOKUP($J16,Base!$A$2:$H$42700,7,FALSE)</f>
        <v xml:space="preserve"> MAHAIN JOKO HASPARREN </v>
      </c>
    </row>
    <row r="17" spans="1:13" s="7" customFormat="1" ht="11.25" customHeight="1" x14ac:dyDescent="0.25">
      <c r="A17" s="36">
        <v>7</v>
      </c>
      <c r="B17" s="27">
        <v>911598</v>
      </c>
      <c r="C17" s="27" t="s">
        <v>30576</v>
      </c>
      <c r="D17" s="28">
        <v>949</v>
      </c>
      <c r="E17" s="29">
        <v>13965</v>
      </c>
      <c r="F17" s="27" t="s">
        <v>30345</v>
      </c>
      <c r="G17" s="34">
        <f t="shared" si="0"/>
        <v>946.17</v>
      </c>
      <c r="I17" s="10" t="str">
        <f t="shared" si="1"/>
        <v>ERR</v>
      </c>
      <c r="J17" s="13" t="str">
        <f t="shared" si="2"/>
        <v>911598</v>
      </c>
      <c r="K17" s="12" t="str">
        <f>VLOOKUP($J17,Base!$A$2:$H$42700,2,FALSE)</f>
        <v xml:space="preserve"> RANGUIS </v>
      </c>
      <c r="L17" s="12">
        <f>VLOOKUP($J17,Base!$A$2:$H$42700,8,FALSE)</f>
        <v>946.17</v>
      </c>
      <c r="M17" s="12" t="str">
        <f>VLOOKUP($J17,Base!$A$2:$H$42700,7,FALSE)</f>
        <v xml:space="preserve"> MENNECY TT </v>
      </c>
    </row>
    <row r="18" spans="1:13" s="7" customFormat="1" ht="11.25" customHeight="1" x14ac:dyDescent="0.25">
      <c r="A18" s="33">
        <v>8</v>
      </c>
      <c r="B18" s="27">
        <v>564863</v>
      </c>
      <c r="C18" s="27" t="s">
        <v>30577</v>
      </c>
      <c r="D18" s="28">
        <v>921</v>
      </c>
      <c r="E18" s="29">
        <v>12692</v>
      </c>
      <c r="F18" s="27" t="s">
        <v>26443</v>
      </c>
      <c r="G18" s="34">
        <f t="shared" si="0"/>
        <v>926.17</v>
      </c>
      <c r="I18" s="10" t="str">
        <f t="shared" si="1"/>
        <v>ERR</v>
      </c>
      <c r="J18" s="13" t="str">
        <f t="shared" si="2"/>
        <v>564863</v>
      </c>
      <c r="K18" s="12" t="str">
        <f>VLOOKUP($J18,Base!$A$2:$H$42700,2,FALSE)</f>
        <v xml:space="preserve"> JOUAN </v>
      </c>
      <c r="L18" s="12">
        <f>VLOOKUP($J18,Base!$A$2:$H$42700,8,FALSE)</f>
        <v>926.17</v>
      </c>
      <c r="M18" s="12" t="str">
        <f>VLOOKUP($J18,Base!$A$2:$H$42700,7,FALSE)</f>
        <v xml:space="preserve"> RAQUETTE PLOM-TREM-PLUG </v>
      </c>
    </row>
    <row r="19" spans="1:13" s="7" customFormat="1" ht="11.25" customHeight="1" x14ac:dyDescent="0.25">
      <c r="A19" s="33">
        <v>9</v>
      </c>
      <c r="B19" s="27">
        <v>746218</v>
      </c>
      <c r="C19" s="27" t="s">
        <v>30578</v>
      </c>
      <c r="D19" s="28">
        <v>889</v>
      </c>
      <c r="E19" s="29">
        <v>14185</v>
      </c>
      <c r="F19" s="27" t="s">
        <v>9</v>
      </c>
      <c r="G19" s="34">
        <f t="shared" si="0"/>
        <v>901.67</v>
      </c>
      <c r="I19" s="10" t="str">
        <f t="shared" si="1"/>
        <v>ERR</v>
      </c>
      <c r="J19" s="13" t="str">
        <f t="shared" si="2"/>
        <v>746218</v>
      </c>
      <c r="K19" s="12" t="str">
        <f>VLOOKUP($J19,Base!$A$2:$H$42700,2,FALSE)</f>
        <v xml:space="preserve"> MORIAUD </v>
      </c>
      <c r="L19" s="12">
        <f>VLOOKUP($J19,Base!$A$2:$H$42700,8,FALSE)</f>
        <v>901.67</v>
      </c>
      <c r="M19" s="12" t="str">
        <f>VLOOKUP($J19,Base!$A$2:$H$42700,7,FALSE)</f>
        <v xml:space="preserve"> ENTENTE PONGISTE AMBILLY </v>
      </c>
    </row>
    <row r="20" spans="1:13" s="7" customFormat="1" ht="11.25" customHeight="1" x14ac:dyDescent="0.25">
      <c r="A20" s="36">
        <v>10</v>
      </c>
      <c r="B20" s="27">
        <v>954677</v>
      </c>
      <c r="C20" s="27" t="s">
        <v>30579</v>
      </c>
      <c r="D20" s="28">
        <v>892</v>
      </c>
      <c r="E20" s="29">
        <v>11773</v>
      </c>
      <c r="F20" s="27" t="s">
        <v>26438</v>
      </c>
      <c r="G20" s="34">
        <f t="shared" si="0"/>
        <v>892.67</v>
      </c>
      <c r="I20" s="10" t="str">
        <f t="shared" si="1"/>
        <v>ERR</v>
      </c>
      <c r="J20" s="13" t="str">
        <f t="shared" si="2"/>
        <v>954677</v>
      </c>
      <c r="K20" s="12" t="str">
        <f>VLOOKUP($J20,Base!$A$2:$H$42700,2,FALSE)</f>
        <v xml:space="preserve"> DECRET </v>
      </c>
      <c r="L20" s="12">
        <f>VLOOKUP($J20,Base!$A$2:$H$42700,8,FALSE)</f>
        <v>892.67</v>
      </c>
      <c r="M20" s="12" t="str">
        <f>VLOOKUP($J20,Base!$A$2:$H$42700,7,FALSE)</f>
        <v xml:space="preserve"> PONTOISE CERGY A.S. </v>
      </c>
    </row>
    <row r="21" spans="1:13" s="7" customFormat="1" ht="11.25" customHeight="1" x14ac:dyDescent="0.25">
      <c r="A21" s="33">
        <v>11</v>
      </c>
      <c r="B21" s="27">
        <v>74154</v>
      </c>
      <c r="C21" s="27" t="s">
        <v>30580</v>
      </c>
      <c r="D21" s="28">
        <v>898</v>
      </c>
      <c r="E21" s="29">
        <v>13077</v>
      </c>
      <c r="F21" s="27" t="s">
        <v>26413</v>
      </c>
      <c r="G21" s="34">
        <f t="shared" si="0"/>
        <v>877.92</v>
      </c>
      <c r="I21" s="10" t="str">
        <f t="shared" si="1"/>
        <v>ERR</v>
      </c>
      <c r="J21" s="13" t="str">
        <f t="shared" si="2"/>
        <v>74154</v>
      </c>
      <c r="K21" s="12" t="str">
        <f>VLOOKUP($J21,Base!$A$2:$H$42700,2,FALSE)</f>
        <v xml:space="preserve"> JACOB </v>
      </c>
      <c r="L21" s="12">
        <f>VLOOKUP($J21,Base!$A$2:$H$42700,8,FALSE)</f>
        <v>877.92</v>
      </c>
      <c r="M21" s="12" t="str">
        <f>VLOOKUP($J21,Base!$A$2:$H$42700,7,FALSE)</f>
        <v xml:space="preserve"> ANNECY TENNIS DE TABLE </v>
      </c>
    </row>
    <row r="22" spans="1:13" s="7" customFormat="1" ht="11.25" customHeight="1" x14ac:dyDescent="0.25">
      <c r="A22" s="33">
        <v>12</v>
      </c>
      <c r="B22" s="35" t="s">
        <v>26505</v>
      </c>
      <c r="C22" s="27" t="s">
        <v>30581</v>
      </c>
      <c r="D22" s="28">
        <v>864</v>
      </c>
      <c r="E22" s="29">
        <v>12800</v>
      </c>
      <c r="F22" s="27" t="s">
        <v>26383</v>
      </c>
      <c r="G22" s="34">
        <f t="shared" si="0"/>
        <v>868.67</v>
      </c>
      <c r="I22" s="10" t="str">
        <f t="shared" si="1"/>
        <v>ERR</v>
      </c>
      <c r="J22" s="13" t="str">
        <f t="shared" si="2"/>
        <v>062486</v>
      </c>
      <c r="K22" s="12" t="str">
        <f>VLOOKUP($J22,Base!$A$2:$H$42700,2,FALSE)</f>
        <v xml:space="preserve"> REBOUL </v>
      </c>
      <c r="L22" s="12">
        <f>VLOOKUP($J22,Base!$A$2:$H$42700,8,FALSE)</f>
        <v>868.67</v>
      </c>
      <c r="M22" s="12" t="str">
        <f>VLOOKUP($J22,Base!$A$2:$H$42700,7,FALSE)</f>
        <v xml:space="preserve"> CANNET COTE D AZUR TT </v>
      </c>
    </row>
    <row r="23" spans="1:13" s="7" customFormat="1" ht="11.25" customHeight="1" x14ac:dyDescent="0.25">
      <c r="A23" s="36">
        <v>13</v>
      </c>
      <c r="B23" s="27">
        <v>5316371</v>
      </c>
      <c r="C23" s="27" t="s">
        <v>30582</v>
      </c>
      <c r="D23" s="28">
        <v>845</v>
      </c>
      <c r="E23" s="29">
        <v>14110</v>
      </c>
      <c r="F23" s="27" t="s">
        <v>30339</v>
      </c>
      <c r="G23" s="34">
        <f t="shared" si="0"/>
        <v>830.67</v>
      </c>
      <c r="I23" s="10" t="str">
        <f t="shared" si="1"/>
        <v>ERR</v>
      </c>
      <c r="J23" s="13" t="str">
        <f t="shared" si="2"/>
        <v>5316371</v>
      </c>
      <c r="K23" s="12" t="str">
        <f>VLOOKUP($J23,Base!$A$2:$H$42700,2,FALSE)</f>
        <v xml:space="preserve"> KULA </v>
      </c>
      <c r="L23" s="12">
        <f>VLOOKUP($J23,Base!$A$2:$H$42700,8,FALSE)</f>
        <v>830.67</v>
      </c>
      <c r="M23" s="12" t="str">
        <f>VLOOKUP($J23,Base!$A$2:$H$42700,7,FALSE)</f>
        <v xml:space="preserve"> AZÉ Tennis de Table </v>
      </c>
    </row>
    <row r="24" spans="1:13" s="7" customFormat="1" ht="11.25" customHeight="1" x14ac:dyDescent="0.25">
      <c r="A24" s="33">
        <v>14</v>
      </c>
      <c r="B24" s="27">
        <v>49394</v>
      </c>
      <c r="C24" s="27" t="s">
        <v>30583</v>
      </c>
      <c r="D24" s="28">
        <v>835</v>
      </c>
      <c r="E24" s="29">
        <v>11633</v>
      </c>
      <c r="F24" s="27" t="s">
        <v>26447</v>
      </c>
      <c r="G24" s="34">
        <f t="shared" si="0"/>
        <v>827.67</v>
      </c>
      <c r="I24" s="10" t="str">
        <f t="shared" si="1"/>
        <v>ERR</v>
      </c>
      <c r="J24" s="13" t="str">
        <f t="shared" si="2"/>
        <v>49394</v>
      </c>
      <c r="K24" s="12" t="str">
        <f>VLOOKUP($J24,Base!$A$2:$H$42700,2,FALSE)</f>
        <v xml:space="preserve"> SICHE </v>
      </c>
      <c r="L24" s="12">
        <f>VLOOKUP($J24,Base!$A$2:$H$42700,8,FALSE)</f>
        <v>827.67</v>
      </c>
      <c r="M24" s="12" t="str">
        <f>VLOOKUP($J24,Base!$A$2:$H$42700,7,FALSE)</f>
        <v xml:space="preserve"> ST BARTHELEMY T2T </v>
      </c>
    </row>
    <row r="25" spans="1:13" s="7" customFormat="1" ht="11.25" customHeight="1" x14ac:dyDescent="0.25">
      <c r="A25" s="33">
        <v>15</v>
      </c>
      <c r="B25" s="27">
        <v>692304</v>
      </c>
      <c r="C25" s="27" t="s">
        <v>30343</v>
      </c>
      <c r="D25" s="28">
        <v>835</v>
      </c>
      <c r="E25" s="29">
        <v>12327</v>
      </c>
      <c r="F25" s="27" t="s">
        <v>26440</v>
      </c>
      <c r="G25" s="34">
        <f t="shared" si="0"/>
        <v>817.17</v>
      </c>
      <c r="I25" s="10" t="str">
        <f t="shared" si="1"/>
        <v>ERR</v>
      </c>
      <c r="J25" s="13" t="str">
        <f t="shared" si="2"/>
        <v>692304</v>
      </c>
      <c r="K25" s="12" t="str">
        <f>VLOOKUP($J25,Base!$A$2:$H$42700,2,FALSE)</f>
        <v xml:space="preserve"> FAFOURNOUX </v>
      </c>
      <c r="L25" s="12">
        <f>VLOOKUP($J25,Base!$A$2:$H$42700,8,FALSE)</f>
        <v>817.17</v>
      </c>
      <c r="M25" s="12" t="str">
        <f>VLOOKUP($J25,Base!$A$2:$H$42700,7,FALSE)</f>
        <v xml:space="preserve"> CHAMPAGNE TT </v>
      </c>
    </row>
    <row r="26" spans="1:13" s="7" customFormat="1" ht="11.25" customHeight="1" x14ac:dyDescent="0.25">
      <c r="A26" s="36">
        <v>16</v>
      </c>
      <c r="B26" s="27">
        <v>10165</v>
      </c>
      <c r="C26" s="27" t="s">
        <v>30584</v>
      </c>
      <c r="D26" s="28">
        <v>822</v>
      </c>
      <c r="E26" s="29">
        <v>13729</v>
      </c>
      <c r="F26" s="27" t="s">
        <v>30336</v>
      </c>
      <c r="G26" s="34">
        <f t="shared" si="0"/>
        <v>800.17</v>
      </c>
      <c r="I26" s="10" t="str">
        <f t="shared" si="1"/>
        <v>ERR</v>
      </c>
      <c r="J26" s="13" t="str">
        <f t="shared" si="2"/>
        <v>10165</v>
      </c>
      <c r="K26" s="12" t="str">
        <f>VLOOKUP($J26,Base!$A$2:$H$42700,2,FALSE)</f>
        <v xml:space="preserve"> GUILLEMIN </v>
      </c>
      <c r="L26" s="12">
        <f>VLOOKUP($J26,Base!$A$2:$H$42700,8,FALSE)</f>
        <v>800.17</v>
      </c>
      <c r="M26" s="12" t="str">
        <f>VLOOKUP($J26,Base!$A$2:$H$42700,7,FALSE)</f>
        <v xml:space="preserve"> ROMILLY-VILLENAUXE CAP </v>
      </c>
    </row>
    <row r="27" spans="1:13" s="7" customFormat="1" ht="11.25" customHeight="1" x14ac:dyDescent="0.25">
      <c r="A27" s="33">
        <v>17</v>
      </c>
      <c r="B27" s="27">
        <v>9413155</v>
      </c>
      <c r="C27" s="27" t="s">
        <v>30585</v>
      </c>
      <c r="D27" s="28">
        <v>742</v>
      </c>
      <c r="E27" s="29">
        <v>13021</v>
      </c>
      <c r="F27" s="27" t="s">
        <v>26445</v>
      </c>
      <c r="G27" s="34">
        <f t="shared" si="0"/>
        <v>710.17</v>
      </c>
      <c r="I27" s="10" t="str">
        <f t="shared" si="1"/>
        <v>ERR</v>
      </c>
      <c r="J27" s="13" t="str">
        <f t="shared" si="2"/>
        <v>9413155</v>
      </c>
      <c r="K27" s="12" t="str">
        <f>VLOOKUP($J27,Base!$A$2:$H$42700,2,FALSE)</f>
        <v xml:space="preserve"> LEFEVRE </v>
      </c>
      <c r="L27" s="12">
        <f>VLOOKUP($J27,Base!$A$2:$H$42700,8,FALSE)</f>
        <v>710.17</v>
      </c>
      <c r="M27" s="12" t="str">
        <f>VLOOKUP($J27,Base!$A$2:$H$42700,7,FALSE)</f>
        <v xml:space="preserve"> Boissy saint leger ASTT </v>
      </c>
    </row>
    <row r="28" spans="1:13" s="7" customFormat="1" ht="11.25" customHeight="1" x14ac:dyDescent="0.25">
      <c r="A28" s="33">
        <v>18</v>
      </c>
      <c r="B28" s="27">
        <v>91659</v>
      </c>
      <c r="C28" s="27" t="s">
        <v>30586</v>
      </c>
      <c r="D28" s="28">
        <v>750</v>
      </c>
      <c r="E28" s="29">
        <v>13515</v>
      </c>
      <c r="F28" s="27" t="s">
        <v>26415</v>
      </c>
      <c r="G28" s="34">
        <f t="shared" si="0"/>
        <v>706.67</v>
      </c>
      <c r="I28" s="10" t="str">
        <f t="shared" si="1"/>
        <v>ERR</v>
      </c>
      <c r="J28" s="13" t="str">
        <f t="shared" si="2"/>
        <v>91659</v>
      </c>
      <c r="K28" s="12" t="str">
        <f>VLOOKUP($J28,Base!$A$2:$H$42700,2,FALSE)</f>
        <v xml:space="preserve"> THOMAS </v>
      </c>
      <c r="L28" s="12">
        <f>VLOOKUP($J28,Base!$A$2:$H$42700,8,FALSE)</f>
        <v>706.67</v>
      </c>
      <c r="M28" s="12" t="str">
        <f>VLOOKUP($J28,Base!$A$2:$H$42700,7,FALSE)</f>
        <v xml:space="preserve"> SABLES D OLONNE AL </v>
      </c>
    </row>
    <row r="29" spans="1:13" s="7" customFormat="1" ht="11.25" customHeight="1" x14ac:dyDescent="0.25">
      <c r="A29" s="36">
        <v>19</v>
      </c>
      <c r="B29" s="35" t="s">
        <v>26448</v>
      </c>
      <c r="C29" s="27" t="s">
        <v>30587</v>
      </c>
      <c r="D29" s="28">
        <v>721</v>
      </c>
      <c r="E29" s="29">
        <v>12685</v>
      </c>
      <c r="F29" s="27" t="s">
        <v>26442</v>
      </c>
      <c r="G29" s="34">
        <f t="shared" si="0"/>
        <v>704.67</v>
      </c>
      <c r="I29" s="10" t="str">
        <f t="shared" si="1"/>
        <v>ERR</v>
      </c>
      <c r="J29" s="13" t="str">
        <f t="shared" si="2"/>
        <v>02587</v>
      </c>
      <c r="K29" s="12" t="str">
        <f>VLOOKUP($J29,Base!$A$2:$H$42700,2,FALSE)</f>
        <v xml:space="preserve"> HERCENT </v>
      </c>
      <c r="L29" s="12">
        <f>VLOOKUP($J29,Base!$A$2:$H$42700,8,FALSE)</f>
        <v>704.67</v>
      </c>
      <c r="M29" s="12" t="str">
        <f>VLOOKUP($J29,Base!$A$2:$H$42700,7,FALSE)</f>
        <v xml:space="preserve"> PING ST JEAN 45 </v>
      </c>
    </row>
    <row r="30" spans="1:13" s="7" customFormat="1" ht="11.25" customHeight="1" x14ac:dyDescent="0.25">
      <c r="A30" s="33">
        <v>20</v>
      </c>
      <c r="B30" s="27">
        <v>76252</v>
      </c>
      <c r="C30" s="27" t="s">
        <v>30331</v>
      </c>
      <c r="D30" s="28">
        <v>699</v>
      </c>
      <c r="E30" s="29">
        <v>11969</v>
      </c>
      <c r="F30" s="27" t="s">
        <v>26446</v>
      </c>
      <c r="G30" s="34">
        <f t="shared" si="0"/>
        <v>702.67</v>
      </c>
      <c r="I30" s="10" t="str">
        <f t="shared" si="1"/>
        <v>ERR</v>
      </c>
      <c r="J30" s="13" t="str">
        <f t="shared" si="2"/>
        <v>76252</v>
      </c>
      <c r="K30" s="12" t="str">
        <f>VLOOKUP($J30,Base!$A$2:$H$42700,2,FALSE)</f>
        <v xml:space="preserve"> PLAISANT </v>
      </c>
      <c r="L30" s="12">
        <f>VLOOKUP($J30,Base!$A$2:$H$42700,8,FALSE)</f>
        <v>702.67</v>
      </c>
      <c r="M30" s="12" t="str">
        <f>VLOOKUP($J30,Base!$A$2:$H$42700,7,FALSE)</f>
        <v xml:space="preserve"> CEP ST NICOLAS ALIERMONT </v>
      </c>
    </row>
    <row r="31" spans="1:13" s="7" customFormat="1" ht="11.25" customHeight="1" x14ac:dyDescent="0.25">
      <c r="A31" s="33">
        <v>21</v>
      </c>
      <c r="B31" s="27">
        <v>1312373</v>
      </c>
      <c r="C31" s="27" t="s">
        <v>30588</v>
      </c>
      <c r="D31" s="28">
        <v>676</v>
      </c>
      <c r="E31" s="29">
        <v>12837</v>
      </c>
      <c r="F31" s="27" t="s">
        <v>30330</v>
      </c>
      <c r="G31" s="34">
        <f t="shared" si="0"/>
        <v>666.67</v>
      </c>
      <c r="I31" s="10" t="str">
        <f t="shared" si="1"/>
        <v>ERR</v>
      </c>
      <c r="J31" s="13" t="str">
        <f t="shared" si="2"/>
        <v>1312373</v>
      </c>
      <c r="K31" s="12" t="str">
        <f>VLOOKUP($J31,Base!$A$2:$H$42700,2,FALSE)</f>
        <v xml:space="preserve"> DELORY </v>
      </c>
      <c r="L31" s="12">
        <f>VLOOKUP($J31,Base!$A$2:$H$42700,8,FALSE)</f>
        <v>666.67</v>
      </c>
      <c r="M31" s="12" t="str">
        <f>VLOOKUP($J31,Base!$A$2:$H$42700,7,FALSE)</f>
        <v xml:space="preserve"> ATT DRACENIE </v>
      </c>
    </row>
    <row r="32" spans="1:13" s="7" customFormat="1" ht="11.25" customHeight="1" x14ac:dyDescent="0.25">
      <c r="A32" s="36">
        <v>22</v>
      </c>
      <c r="B32" s="27">
        <v>69487</v>
      </c>
      <c r="C32" s="27" t="s">
        <v>30589</v>
      </c>
      <c r="D32" s="28">
        <v>541</v>
      </c>
      <c r="E32" s="29">
        <v>13532</v>
      </c>
      <c r="F32" s="27" t="s">
        <v>30338</v>
      </c>
      <c r="G32" s="34">
        <f t="shared" si="0"/>
        <v>512.16999999999996</v>
      </c>
      <c r="I32" s="10" t="str">
        <f t="shared" si="1"/>
        <v>ERR</v>
      </c>
      <c r="J32" s="13" t="str">
        <f t="shared" si="2"/>
        <v>69487</v>
      </c>
      <c r="K32" s="12" t="str">
        <f>VLOOKUP($J32,Base!$A$2:$H$42700,2,FALSE)</f>
        <v xml:space="preserve"> JOVER </v>
      </c>
      <c r="L32" s="12">
        <f>VLOOKUP($J32,Base!$A$2:$H$42700,8,FALSE)</f>
        <v>512.16999999999996</v>
      </c>
      <c r="M32" s="12" t="str">
        <f>VLOOKUP($J32,Base!$A$2:$H$42700,7,FALSE)</f>
        <v xml:space="preserve"> CO ST FONS </v>
      </c>
    </row>
    <row r="33" spans="1:13" s="7" customFormat="1" ht="11.25" customHeight="1" x14ac:dyDescent="0.25">
      <c r="A33" s="33">
        <v>23</v>
      </c>
      <c r="B33" s="27">
        <v>358839</v>
      </c>
      <c r="C33" s="27" t="s">
        <v>30590</v>
      </c>
      <c r="D33" s="28">
        <v>500</v>
      </c>
      <c r="E33" s="29">
        <v>10582</v>
      </c>
      <c r="F33" s="27" t="s">
        <v>26437</v>
      </c>
      <c r="G33" s="34">
        <f t="shared" si="0"/>
        <v>500.5</v>
      </c>
      <c r="I33" s="10" t="str">
        <f t="shared" si="1"/>
        <v>ERR</v>
      </c>
      <c r="J33" s="13" t="str">
        <f t="shared" si="2"/>
        <v>358839</v>
      </c>
      <c r="K33" s="12" t="str">
        <f>VLOOKUP($J33,Base!$A$2:$H$42700,2,FALSE)</f>
        <v xml:space="preserve"> BIZEUL </v>
      </c>
      <c r="L33" s="12">
        <f>VLOOKUP($J33,Base!$A$2:$H$42700,8,FALSE)</f>
        <v>500.5</v>
      </c>
      <c r="M33" s="12" t="str">
        <f>VLOOKUP($J33,Base!$A$2:$H$42700,7,FALSE)</f>
        <v xml:space="preserve"> RENNES CERCLE PAUL BERT </v>
      </c>
    </row>
    <row r="34" spans="1:13" x14ac:dyDescent="0.25">
      <c r="A34" s="33">
        <v>24</v>
      </c>
      <c r="B34" s="27">
        <v>3421815</v>
      </c>
      <c r="C34" s="27" t="s">
        <v>30591</v>
      </c>
      <c r="D34" s="28">
        <v>500</v>
      </c>
      <c r="E34" s="29">
        <v>11641</v>
      </c>
      <c r="F34" s="27" t="s">
        <v>30332</v>
      </c>
      <c r="G34" s="34">
        <f t="shared" si="0"/>
        <v>457.5</v>
      </c>
      <c r="H34" s="7"/>
      <c r="I34" s="10" t="str">
        <f t="shared" si="1"/>
        <v>ERR</v>
      </c>
      <c r="J34" s="13" t="str">
        <f t="shared" si="2"/>
        <v>3421815</v>
      </c>
      <c r="K34" s="12" t="str">
        <f>VLOOKUP($J34,Base!$A$2:$H$42700,2,FALSE)</f>
        <v xml:space="preserve"> DESCHAMP </v>
      </c>
      <c r="L34" s="12">
        <f>VLOOKUP($J34,Base!$A$2:$H$42700,8,FALSE)</f>
        <v>457.5</v>
      </c>
      <c r="M34" s="12" t="str">
        <f>VLOOKUP($J34,Base!$A$2:$H$42700,7,FALSE)</f>
        <v xml:space="preserve"> AGDE TENNIS DE TABLE </v>
      </c>
    </row>
  </sheetData>
  <sortState ref="A11:M34">
    <sortCondition descending="1" ref="G11:G34"/>
  </sortState>
  <mergeCells count="3">
    <mergeCell ref="A6:F6"/>
    <mergeCell ref="A7:F7"/>
    <mergeCell ref="I7:M7"/>
  </mergeCells>
  <printOptions horizontalCentered="1"/>
  <pageMargins left="0.19685039370078741" right="0.19685039370078741" top="0.59055118110236227" bottom="0.59055118110236227" header="0.31496062992125984" footer="0.31496062992125984"/>
  <pageSetup paperSize="9" scale="8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</sheetPr>
  <dimension ref="A1:M61"/>
  <sheetViews>
    <sheetView showGridLines="0" zoomScale="130" zoomScaleNormal="130" workbookViewId="0">
      <selection activeCell="F8" sqref="F8"/>
    </sheetView>
  </sheetViews>
  <sheetFormatPr baseColWidth="10" defaultColWidth="11.44140625" defaultRowHeight="10.199999999999999" x14ac:dyDescent="0.25"/>
  <cols>
    <col min="1" max="1" width="3.6640625" style="5" customWidth="1"/>
    <col min="2" max="2" width="7.88671875" style="6" customWidth="1"/>
    <col min="3" max="3" width="28.44140625" style="5" customWidth="1"/>
    <col min="4" max="4" width="8.6640625" style="6" customWidth="1"/>
    <col min="5" max="5" width="10.6640625" style="6" customWidth="1"/>
    <col min="6" max="6" width="45.44140625" style="5" customWidth="1"/>
    <col min="7" max="7" width="8.77734375" style="5" customWidth="1"/>
    <col min="8" max="9" width="4" style="5" customWidth="1"/>
    <col min="10" max="10" width="8" style="11" customWidth="1"/>
    <col min="11" max="11" width="21" style="8" customWidth="1"/>
    <col min="12" max="12" width="11.44140625" style="8" customWidth="1"/>
    <col min="13" max="13" width="29.5546875" style="8" customWidth="1"/>
    <col min="14" max="16384" width="11.44140625" style="5"/>
  </cols>
  <sheetData>
    <row r="1" spans="1:13" x14ac:dyDescent="0.25">
      <c r="A1" s="1" t="s">
        <v>26504</v>
      </c>
      <c r="B1" s="3"/>
      <c r="C1" s="2"/>
      <c r="E1" s="3"/>
      <c r="F1" s="4" t="s">
        <v>26508</v>
      </c>
      <c r="G1" s="4"/>
    </row>
    <row r="2" spans="1:13" x14ac:dyDescent="0.25">
      <c r="A2" s="1" t="s">
        <v>23</v>
      </c>
      <c r="B2" s="3"/>
      <c r="C2" s="2"/>
      <c r="E2" s="3"/>
      <c r="F2" s="3"/>
      <c r="G2" s="3"/>
    </row>
    <row r="3" spans="1:13" x14ac:dyDescent="0.25">
      <c r="A3" s="1" t="s">
        <v>26349</v>
      </c>
      <c r="B3" s="3"/>
      <c r="C3" s="2"/>
      <c r="E3" s="3"/>
      <c r="F3" s="4"/>
      <c r="G3" s="4"/>
    </row>
    <row r="4" spans="1:13" x14ac:dyDescent="0.25">
      <c r="A4" s="1" t="s">
        <v>0</v>
      </c>
      <c r="B4" s="3"/>
      <c r="C4" s="2"/>
      <c r="E4" s="3"/>
      <c r="F4" s="3"/>
      <c r="G4" s="3"/>
    </row>
    <row r="5" spans="1:13" x14ac:dyDescent="0.25">
      <c r="A5" s="1"/>
      <c r="B5" s="3"/>
      <c r="C5" s="2"/>
      <c r="E5" s="3"/>
      <c r="F5" s="3"/>
      <c r="G5" s="3"/>
    </row>
    <row r="6" spans="1:13" ht="21" x14ac:dyDescent="0.25">
      <c r="A6" s="50" t="s">
        <v>26503</v>
      </c>
      <c r="B6" s="50"/>
      <c r="C6" s="50"/>
      <c r="D6" s="50"/>
      <c r="E6" s="50"/>
      <c r="F6" s="50"/>
      <c r="G6" s="22"/>
    </row>
    <row r="7" spans="1:13" ht="28.5" customHeight="1" x14ac:dyDescent="0.25">
      <c r="A7" s="51" t="s">
        <v>18</v>
      </c>
      <c r="B7" s="51"/>
      <c r="C7" s="51"/>
      <c r="D7" s="51"/>
      <c r="E7" s="51"/>
      <c r="F7" s="51"/>
      <c r="G7" s="23"/>
      <c r="I7" s="52" t="s">
        <v>8</v>
      </c>
      <c r="J7" s="53"/>
      <c r="K7" s="53"/>
      <c r="L7" s="53"/>
      <c r="M7" s="53"/>
    </row>
    <row r="8" spans="1:13" x14ac:dyDescent="0.25">
      <c r="A8" s="1"/>
      <c r="B8" s="3"/>
      <c r="C8" s="2"/>
      <c r="E8" s="3"/>
      <c r="F8" s="49" t="s">
        <v>30643</v>
      </c>
      <c r="G8" s="3"/>
    </row>
    <row r="10" spans="1:13" s="7" customFormat="1" ht="30.6" x14ac:dyDescent="0.25">
      <c r="A10" s="37" t="s">
        <v>2</v>
      </c>
      <c r="B10" s="37" t="s">
        <v>1</v>
      </c>
      <c r="C10" s="37" t="s">
        <v>4</v>
      </c>
      <c r="D10" s="38" t="s">
        <v>26509</v>
      </c>
      <c r="E10" s="39" t="s">
        <v>10</v>
      </c>
      <c r="F10" s="37" t="s">
        <v>5</v>
      </c>
      <c r="G10" s="39" t="s">
        <v>26510</v>
      </c>
      <c r="I10" s="9" t="s">
        <v>7</v>
      </c>
      <c r="J10" s="9" t="s">
        <v>1</v>
      </c>
      <c r="K10" s="9" t="s">
        <v>4</v>
      </c>
      <c r="L10" s="9" t="s">
        <v>3</v>
      </c>
      <c r="M10" s="9" t="s">
        <v>6</v>
      </c>
    </row>
    <row r="11" spans="1:13" s="7" customFormat="1" ht="11.25" customHeight="1" x14ac:dyDescent="0.25">
      <c r="A11" s="28">
        <v>1</v>
      </c>
      <c r="B11" s="35">
        <v>946268</v>
      </c>
      <c r="C11" s="27" t="s">
        <v>30592</v>
      </c>
      <c r="D11" s="28">
        <v>2127</v>
      </c>
      <c r="E11" s="29">
        <v>26479</v>
      </c>
      <c r="F11" s="27" t="s">
        <v>26351</v>
      </c>
      <c r="G11" s="40">
        <f t="shared" ref="G11:G42" si="0">L11</f>
        <v>2109.3000000000002</v>
      </c>
      <c r="I11" s="10" t="str">
        <f t="shared" ref="I11:I42" si="1">IF(C11=K11,"","ERR")</f>
        <v>ERR</v>
      </c>
      <c r="J11" s="13" t="str">
        <f t="shared" ref="J11:J42" si="2">LEFT(B11,LEN(B11))</f>
        <v>946268</v>
      </c>
      <c r="K11" s="12" t="str">
        <f>VLOOKUP($J11,Base!$A$2:$H$42700,2,FALSE)</f>
        <v xml:space="preserve"> PLAISANT </v>
      </c>
      <c r="L11" s="12">
        <f>VLOOKUP($J11,Base!$A$2:$H$42700,8,FALSE)</f>
        <v>2109.3000000000002</v>
      </c>
      <c r="M11" s="12" t="str">
        <f>VLOOKUP($J11,Base!$A$2:$H$42700,7,FALSE)</f>
        <v xml:space="preserve"> ENTENTE SAINT PIERRAISE T </v>
      </c>
    </row>
    <row r="12" spans="1:13" s="7" customFormat="1" ht="11.25" customHeight="1" x14ac:dyDescent="0.25">
      <c r="A12" s="28">
        <v>2</v>
      </c>
      <c r="B12" s="35">
        <v>4920148</v>
      </c>
      <c r="C12" s="27" t="s">
        <v>30593</v>
      </c>
      <c r="D12" s="28">
        <v>1585</v>
      </c>
      <c r="E12" s="29">
        <v>25898</v>
      </c>
      <c r="F12" s="27" t="s">
        <v>26451</v>
      </c>
      <c r="G12" s="40">
        <f t="shared" si="0"/>
        <v>1591.17</v>
      </c>
      <c r="I12" s="10" t="str">
        <f t="shared" si="1"/>
        <v>ERR</v>
      </c>
      <c r="J12" s="13" t="str">
        <f t="shared" si="2"/>
        <v>4920148</v>
      </c>
      <c r="K12" s="12" t="str">
        <f>VLOOKUP($J12,Base!$A$2:$H$42700,2,FALSE)</f>
        <v xml:space="preserve"> CATROUILLET </v>
      </c>
      <c r="L12" s="12">
        <f>VLOOKUP($J12,Base!$A$2:$H$42700,8,FALSE)</f>
        <v>1591.17</v>
      </c>
      <c r="M12" s="12" t="str">
        <f>VLOOKUP($J12,Base!$A$2:$H$42700,7,FALSE)</f>
        <v xml:space="preserve"> MURS ERIGNE ASITT </v>
      </c>
    </row>
    <row r="13" spans="1:13" s="7" customFormat="1" ht="11.25" customHeight="1" x14ac:dyDescent="0.25">
      <c r="A13" s="28">
        <v>3</v>
      </c>
      <c r="B13" s="35">
        <v>4511796</v>
      </c>
      <c r="C13" s="27" t="s">
        <v>30594</v>
      </c>
      <c r="D13" s="28">
        <v>1574</v>
      </c>
      <c r="E13" s="29">
        <v>26057</v>
      </c>
      <c r="F13" s="27" t="s">
        <v>26389</v>
      </c>
      <c r="G13" s="40">
        <f t="shared" si="0"/>
        <v>1577.42</v>
      </c>
      <c r="I13" s="10" t="str">
        <f t="shared" si="1"/>
        <v>ERR</v>
      </c>
      <c r="J13" s="13" t="str">
        <f t="shared" si="2"/>
        <v>4511796</v>
      </c>
      <c r="K13" s="12" t="str">
        <f>VLOOKUP($J13,Base!$A$2:$H$42700,2,FALSE)</f>
        <v xml:space="preserve"> CHERCHOUR </v>
      </c>
      <c r="L13" s="12">
        <f>VLOOKUP($J13,Base!$A$2:$H$42700,8,FALSE)</f>
        <v>1577.42</v>
      </c>
      <c r="M13" s="12" t="str">
        <f>VLOOKUP($J13,Base!$A$2:$H$42700,7,FALSE)</f>
        <v xml:space="preserve"> CLUB PONGISTE DU GATINAIS </v>
      </c>
    </row>
    <row r="14" spans="1:13" s="7" customFormat="1" ht="11.25" customHeight="1" x14ac:dyDescent="0.25">
      <c r="A14" s="28">
        <v>4</v>
      </c>
      <c r="B14" s="35">
        <v>8514416</v>
      </c>
      <c r="C14" s="27" t="s">
        <v>30595</v>
      </c>
      <c r="D14" s="28">
        <v>1544</v>
      </c>
      <c r="E14" s="29">
        <v>26740</v>
      </c>
      <c r="F14" s="27" t="s">
        <v>26456</v>
      </c>
      <c r="G14" s="40">
        <f t="shared" si="0"/>
        <v>1509.17</v>
      </c>
      <c r="I14" s="10" t="str">
        <f t="shared" si="1"/>
        <v>ERR</v>
      </c>
      <c r="J14" s="13" t="str">
        <f t="shared" si="2"/>
        <v>8514416</v>
      </c>
      <c r="K14" s="12" t="str">
        <f>VLOOKUP($J14,Base!$A$2:$H$42700,2,FALSE)</f>
        <v xml:space="preserve"> GAPAILLARD </v>
      </c>
      <c r="L14" s="12">
        <f>VLOOKUP($J14,Base!$A$2:$H$42700,8,FALSE)</f>
        <v>1509.17</v>
      </c>
      <c r="M14" s="12" t="str">
        <f>VLOOKUP($J14,Base!$A$2:$H$42700,7,FALSE)</f>
        <v xml:space="preserve"> Ste GENEVIEVE SP </v>
      </c>
    </row>
    <row r="15" spans="1:13" s="7" customFormat="1" ht="11.25" customHeight="1" x14ac:dyDescent="0.25">
      <c r="A15" s="28">
        <v>5</v>
      </c>
      <c r="B15" s="35">
        <v>7711318</v>
      </c>
      <c r="C15" s="27" t="s">
        <v>30596</v>
      </c>
      <c r="D15" s="28">
        <v>1520</v>
      </c>
      <c r="E15" s="29">
        <v>28057</v>
      </c>
      <c r="F15" s="27" t="s">
        <v>26450</v>
      </c>
      <c r="G15" s="40">
        <f t="shared" si="0"/>
        <v>1501.67</v>
      </c>
      <c r="I15" s="10" t="str">
        <f t="shared" si="1"/>
        <v>ERR</v>
      </c>
      <c r="J15" s="13" t="str">
        <f t="shared" si="2"/>
        <v>7711318</v>
      </c>
      <c r="K15" s="12" t="str">
        <f>VLOOKUP($J15,Base!$A$2:$H$42700,2,FALSE)</f>
        <v xml:space="preserve"> CABOT </v>
      </c>
      <c r="L15" s="12">
        <f>VLOOKUP($J15,Base!$A$2:$H$42700,8,FALSE)</f>
        <v>1501.67</v>
      </c>
      <c r="M15" s="12" t="str">
        <f>VLOOKUP($J15,Base!$A$2:$H$42700,7,FALSE)</f>
        <v xml:space="preserve"> BETHUNE-BEUVRY ASTT </v>
      </c>
    </row>
    <row r="16" spans="1:13" s="7" customFormat="1" ht="11.25" customHeight="1" x14ac:dyDescent="0.25">
      <c r="A16" s="28">
        <v>6</v>
      </c>
      <c r="B16" s="35">
        <v>3334541</v>
      </c>
      <c r="C16" s="27" t="s">
        <v>30597</v>
      </c>
      <c r="D16" s="28">
        <v>1394</v>
      </c>
      <c r="E16" s="29">
        <v>25248</v>
      </c>
      <c r="F16" s="27" t="s">
        <v>26359</v>
      </c>
      <c r="G16" s="40">
        <f t="shared" si="0"/>
        <v>1410.17</v>
      </c>
      <c r="I16" s="10" t="str">
        <f t="shared" si="1"/>
        <v>ERR</v>
      </c>
      <c r="J16" s="13" t="str">
        <f t="shared" si="2"/>
        <v>3334541</v>
      </c>
      <c r="K16" s="12" t="str">
        <f>VLOOKUP($J16,Base!$A$2:$H$42700,2,FALSE)</f>
        <v xml:space="preserve"> MOREAU </v>
      </c>
      <c r="L16" s="12">
        <f>VLOOKUP($J16,Base!$A$2:$H$42700,8,FALSE)</f>
        <v>1410.17</v>
      </c>
      <c r="M16" s="12" t="str">
        <f>VLOOKUP($J16,Base!$A$2:$H$42700,7,FALSE)</f>
        <v xml:space="preserve"> CAM BORDEAUX </v>
      </c>
    </row>
    <row r="17" spans="1:13" s="7" customFormat="1" ht="11.25" customHeight="1" x14ac:dyDescent="0.25">
      <c r="A17" s="28">
        <v>7</v>
      </c>
      <c r="B17" s="35">
        <v>537653</v>
      </c>
      <c r="C17" s="27" t="s">
        <v>30598</v>
      </c>
      <c r="D17" s="28">
        <v>1333</v>
      </c>
      <c r="E17" s="29">
        <v>27908</v>
      </c>
      <c r="F17" s="27" t="s">
        <v>26463</v>
      </c>
      <c r="G17" s="40">
        <f t="shared" si="0"/>
        <v>1366.17</v>
      </c>
      <c r="I17" s="10" t="str">
        <f t="shared" si="1"/>
        <v>ERR</v>
      </c>
      <c r="J17" s="13" t="str">
        <f t="shared" si="2"/>
        <v>537653</v>
      </c>
      <c r="K17" s="12" t="str">
        <f>VLOOKUP($J17,Base!$A$2:$H$42700,2,FALSE)</f>
        <v xml:space="preserve"> LIOPE </v>
      </c>
      <c r="L17" s="12">
        <f>VLOOKUP($J17,Base!$A$2:$H$42700,8,FALSE)</f>
        <v>1366.17</v>
      </c>
      <c r="M17" s="12" t="str">
        <f>VLOOKUP($J17,Base!$A$2:$H$42700,7,FALSE)</f>
        <v xml:space="preserve"> LAVAL BOURNY Tennis de Ta </v>
      </c>
    </row>
    <row r="18" spans="1:13" s="7" customFormat="1" ht="11.25" customHeight="1" x14ac:dyDescent="0.25">
      <c r="A18" s="28">
        <v>8</v>
      </c>
      <c r="B18" s="35">
        <v>111203</v>
      </c>
      <c r="C18" s="27" t="s">
        <v>30599</v>
      </c>
      <c r="D18" s="28">
        <v>1322</v>
      </c>
      <c r="E18" s="29">
        <v>27808</v>
      </c>
      <c r="F18" s="27" t="s">
        <v>30318</v>
      </c>
      <c r="G18" s="40">
        <f t="shared" si="0"/>
        <v>1364.67</v>
      </c>
      <c r="I18" s="10" t="str">
        <f t="shared" si="1"/>
        <v>ERR</v>
      </c>
      <c r="J18" s="13" t="str">
        <f t="shared" si="2"/>
        <v>111203</v>
      </c>
      <c r="K18" s="12" t="str">
        <f>VLOOKUP($J18,Base!$A$2:$H$42700,2,FALSE)</f>
        <v xml:space="preserve"> POURSINE-LOBRY </v>
      </c>
      <c r="L18" s="12">
        <f>VLOOKUP($J18,Base!$A$2:$H$42700,8,FALSE)</f>
        <v>1364.67</v>
      </c>
      <c r="M18" s="12" t="str">
        <f>VLOOKUP($J18,Base!$A$2:$H$42700,7,FALSE)</f>
        <v xml:space="preserve"> LEZIGNAN CORBIERES MJC TT </v>
      </c>
    </row>
    <row r="19" spans="1:13" s="7" customFormat="1" ht="11.25" customHeight="1" x14ac:dyDescent="0.25">
      <c r="A19" s="28">
        <v>9</v>
      </c>
      <c r="B19" s="35">
        <v>3710477</v>
      </c>
      <c r="C19" s="27" t="s">
        <v>30600</v>
      </c>
      <c r="D19" s="28">
        <v>1357</v>
      </c>
      <c r="E19" s="29">
        <v>28426</v>
      </c>
      <c r="F19" s="27" t="s">
        <v>30361</v>
      </c>
      <c r="G19" s="40">
        <f t="shared" si="0"/>
        <v>1357</v>
      </c>
      <c r="I19" s="10" t="str">
        <f t="shared" si="1"/>
        <v>ERR</v>
      </c>
      <c r="J19" s="13" t="str">
        <f t="shared" si="2"/>
        <v>3710477</v>
      </c>
      <c r="K19" s="12" t="str">
        <f>VLOOKUP($J19,Base!$A$2:$H$42700,2,FALSE)</f>
        <v xml:space="preserve"> PORTHEAULT </v>
      </c>
      <c r="L19" s="12">
        <f>VLOOKUP($J19,Base!$A$2:$H$42700,8,FALSE)</f>
        <v>1357</v>
      </c>
      <c r="M19" s="12" t="str">
        <f>VLOOKUP($J19,Base!$A$2:$H$42700,7,FALSE)</f>
        <v xml:space="preserve"> JS CUGNAUX/VILLENEUVE TT </v>
      </c>
    </row>
    <row r="20" spans="1:13" s="7" customFormat="1" ht="11.25" customHeight="1" x14ac:dyDescent="0.25">
      <c r="A20" s="28">
        <v>10</v>
      </c>
      <c r="B20" s="35">
        <v>4437418</v>
      </c>
      <c r="C20" s="27" t="s">
        <v>30601</v>
      </c>
      <c r="D20" s="28">
        <v>1360</v>
      </c>
      <c r="E20" s="29">
        <v>25216</v>
      </c>
      <c r="F20" s="27" t="s">
        <v>26353</v>
      </c>
      <c r="G20" s="40">
        <f t="shared" si="0"/>
        <v>1341.67</v>
      </c>
      <c r="I20" s="10" t="str">
        <f t="shared" si="1"/>
        <v>ERR</v>
      </c>
      <c r="J20" s="13" t="str">
        <f t="shared" si="2"/>
        <v>4437418</v>
      </c>
      <c r="K20" s="12" t="str">
        <f>VLOOKUP($J20,Base!$A$2:$H$42700,2,FALSE)</f>
        <v xml:space="preserve"> BONHOMME </v>
      </c>
      <c r="L20" s="12">
        <f>VLOOKUP($J20,Base!$A$2:$H$42700,8,FALSE)</f>
        <v>1341.67</v>
      </c>
      <c r="M20" s="12" t="str">
        <f>VLOOKUP($J20,Base!$A$2:$H$42700,7,FALSE)</f>
        <v xml:space="preserve"> BOUAYE A.L. </v>
      </c>
    </row>
    <row r="21" spans="1:13" s="7" customFormat="1" ht="11.25" customHeight="1" x14ac:dyDescent="0.25">
      <c r="A21" s="28">
        <v>11</v>
      </c>
      <c r="B21" s="35">
        <v>291929</v>
      </c>
      <c r="C21" s="27" t="s">
        <v>30602</v>
      </c>
      <c r="D21" s="28">
        <v>1282</v>
      </c>
      <c r="E21" s="29">
        <v>26537</v>
      </c>
      <c r="F21" s="27" t="s">
        <v>30356</v>
      </c>
      <c r="G21" s="40">
        <f t="shared" si="0"/>
        <v>1269.67</v>
      </c>
      <c r="I21" s="10" t="str">
        <f t="shared" si="1"/>
        <v>ERR</v>
      </c>
      <c r="J21" s="13" t="str">
        <f t="shared" si="2"/>
        <v>291929</v>
      </c>
      <c r="K21" s="12" t="str">
        <f>VLOOKUP($J21,Base!$A$2:$H$42700,2,FALSE)</f>
        <v xml:space="preserve"> KERLEROUX </v>
      </c>
      <c r="L21" s="12">
        <f>VLOOKUP($J21,Base!$A$2:$H$42700,8,FALSE)</f>
        <v>1269.67</v>
      </c>
      <c r="M21" s="12" t="str">
        <f>VLOOKUP($J21,Base!$A$2:$H$42700,7,FALSE)</f>
        <v xml:space="preserve"> GDR GUIPAVAS </v>
      </c>
    </row>
    <row r="22" spans="1:13" s="7" customFormat="1" ht="11.25" customHeight="1" x14ac:dyDescent="0.25">
      <c r="A22" s="28">
        <v>12</v>
      </c>
      <c r="B22" s="35">
        <v>5711140</v>
      </c>
      <c r="C22" s="27" t="s">
        <v>30603</v>
      </c>
      <c r="D22" s="28">
        <v>1205</v>
      </c>
      <c r="E22" s="29">
        <v>28387</v>
      </c>
      <c r="F22" s="27" t="s">
        <v>26365</v>
      </c>
      <c r="G22" s="40">
        <f t="shared" si="0"/>
        <v>1240.17</v>
      </c>
      <c r="I22" s="10" t="str">
        <f t="shared" si="1"/>
        <v>ERR</v>
      </c>
      <c r="J22" s="13" t="str">
        <f t="shared" si="2"/>
        <v>5711140</v>
      </c>
      <c r="K22" s="12" t="str">
        <f>VLOOKUP($J22,Base!$A$2:$H$42700,2,FALSE)</f>
        <v xml:space="preserve"> HOSY </v>
      </c>
      <c r="L22" s="12">
        <f>VLOOKUP($J22,Base!$A$2:$H$42700,8,FALSE)</f>
        <v>1240.17</v>
      </c>
      <c r="M22" s="12" t="str">
        <f>VLOOKUP($J22,Base!$A$2:$H$42700,7,FALSE)</f>
        <v xml:space="preserve"> MANOM J.S. </v>
      </c>
    </row>
    <row r="23" spans="1:13" s="7" customFormat="1" ht="11.25" customHeight="1" x14ac:dyDescent="0.25">
      <c r="A23" s="28">
        <v>13</v>
      </c>
      <c r="B23" s="35">
        <v>92491</v>
      </c>
      <c r="C23" s="27" t="s">
        <v>30604</v>
      </c>
      <c r="D23" s="28">
        <v>1243</v>
      </c>
      <c r="E23" s="29">
        <v>27315</v>
      </c>
      <c r="F23" s="27" t="s">
        <v>26390</v>
      </c>
      <c r="G23" s="40">
        <f t="shared" si="0"/>
        <v>1237.67</v>
      </c>
      <c r="I23" s="10" t="str">
        <f t="shared" si="1"/>
        <v>ERR</v>
      </c>
      <c r="J23" s="13" t="str">
        <f t="shared" si="2"/>
        <v>92491</v>
      </c>
      <c r="K23" s="12" t="str">
        <f>VLOOKUP($J23,Base!$A$2:$H$42700,2,FALSE)</f>
        <v xml:space="preserve"> LEFORT </v>
      </c>
      <c r="L23" s="12">
        <f>VLOOKUP($J23,Base!$A$2:$H$42700,8,FALSE)</f>
        <v>1237.67</v>
      </c>
      <c r="M23" s="12" t="str">
        <f>VLOOKUP($J23,Base!$A$2:$H$42700,7,FALSE)</f>
        <v xml:space="preserve"> CHATENAY MALABRY  T T ASV </v>
      </c>
    </row>
    <row r="24" spans="1:13" s="7" customFormat="1" ht="11.25" customHeight="1" x14ac:dyDescent="0.25">
      <c r="A24" s="28">
        <v>14</v>
      </c>
      <c r="B24" s="35">
        <v>794071</v>
      </c>
      <c r="C24" s="27" t="s">
        <v>30605</v>
      </c>
      <c r="D24" s="28">
        <v>1227</v>
      </c>
      <c r="E24" s="29">
        <v>28373</v>
      </c>
      <c r="F24" s="27" t="s">
        <v>26390</v>
      </c>
      <c r="G24" s="40">
        <f t="shared" si="0"/>
        <v>1215.17</v>
      </c>
      <c r="I24" s="10" t="str">
        <f t="shared" si="1"/>
        <v>ERR</v>
      </c>
      <c r="J24" s="13" t="str">
        <f t="shared" si="2"/>
        <v>794071</v>
      </c>
      <c r="K24" s="12" t="str">
        <f>VLOOKUP($J24,Base!$A$2:$H$42700,2,FALSE)</f>
        <v xml:space="preserve"> POUPIN </v>
      </c>
      <c r="L24" s="12">
        <f>VLOOKUP($J24,Base!$A$2:$H$42700,8,FALSE)</f>
        <v>1215.17</v>
      </c>
      <c r="M24" s="12" t="str">
        <f>VLOOKUP($J24,Base!$A$2:$H$42700,7,FALSE)</f>
        <v xml:space="preserve"> CHATENAY MALABRY  T T ASV </v>
      </c>
    </row>
    <row r="25" spans="1:13" s="7" customFormat="1" ht="11.25" customHeight="1" x14ac:dyDescent="0.25">
      <c r="A25" s="28">
        <v>15</v>
      </c>
      <c r="B25" s="35">
        <v>28566</v>
      </c>
      <c r="C25" s="27" t="s">
        <v>30606</v>
      </c>
      <c r="D25" s="28">
        <v>1200</v>
      </c>
      <c r="E25" s="29">
        <v>26662</v>
      </c>
      <c r="F25" s="27" t="s">
        <v>30355</v>
      </c>
      <c r="G25" s="40">
        <f t="shared" si="0"/>
        <v>1212.17</v>
      </c>
      <c r="I25" s="10" t="str">
        <f t="shared" si="1"/>
        <v>ERR</v>
      </c>
      <c r="J25" s="13" t="str">
        <f t="shared" si="2"/>
        <v>28566</v>
      </c>
      <c r="K25" s="12" t="str">
        <f>VLOOKUP($J25,Base!$A$2:$H$42700,2,FALSE)</f>
        <v xml:space="preserve"> JUBAULT </v>
      </c>
      <c r="L25" s="12">
        <f>VLOOKUP($J25,Base!$A$2:$H$42700,8,FALSE)</f>
        <v>1212.17</v>
      </c>
      <c r="M25" s="12" t="str">
        <f>VLOOKUP($J25,Base!$A$2:$H$42700,7,FALSE)</f>
        <v xml:space="preserve"> US YEVRES </v>
      </c>
    </row>
    <row r="26" spans="1:13" s="7" customFormat="1" ht="11.25" customHeight="1" x14ac:dyDescent="0.25">
      <c r="A26" s="28">
        <v>16</v>
      </c>
      <c r="B26" s="35">
        <v>6014171</v>
      </c>
      <c r="C26" s="27" t="s">
        <v>30607</v>
      </c>
      <c r="D26" s="28">
        <v>1155</v>
      </c>
      <c r="E26" s="29">
        <v>27154</v>
      </c>
      <c r="F26" s="27" t="s">
        <v>30359</v>
      </c>
      <c r="G26" s="40">
        <f t="shared" si="0"/>
        <v>1164.67</v>
      </c>
      <c r="I26" s="10" t="str">
        <f t="shared" si="1"/>
        <v>ERR</v>
      </c>
      <c r="J26" s="13" t="str">
        <f t="shared" si="2"/>
        <v>6014171</v>
      </c>
      <c r="K26" s="12" t="str">
        <f>VLOOKUP($J26,Base!$A$2:$H$42700,2,FALSE)</f>
        <v xml:space="preserve"> ORIA-VATIER </v>
      </c>
      <c r="L26" s="12">
        <f>VLOOKUP($J26,Base!$A$2:$H$42700,8,FALSE)</f>
        <v>1164.67</v>
      </c>
      <c r="M26" s="12" t="str">
        <f>VLOOKUP($J26,Base!$A$2:$H$42700,7,FALSE)</f>
        <v xml:space="preserve"> CRUSEILLES TT </v>
      </c>
    </row>
    <row r="27" spans="1:13" s="7" customFormat="1" ht="11.25" customHeight="1" x14ac:dyDescent="0.25">
      <c r="A27" s="28">
        <v>17</v>
      </c>
      <c r="B27" s="35">
        <v>5919637</v>
      </c>
      <c r="C27" s="27" t="s">
        <v>30608</v>
      </c>
      <c r="D27" s="28">
        <v>1157</v>
      </c>
      <c r="E27" s="29">
        <v>26380</v>
      </c>
      <c r="F27" s="27" t="s">
        <v>26462</v>
      </c>
      <c r="G27" s="40">
        <f t="shared" si="0"/>
        <v>1156.42</v>
      </c>
      <c r="I27" s="10" t="str">
        <f t="shared" si="1"/>
        <v>ERR</v>
      </c>
      <c r="J27" s="13" t="str">
        <f t="shared" si="2"/>
        <v>5919637</v>
      </c>
      <c r="K27" s="12" t="str">
        <f>VLOOKUP($J27,Base!$A$2:$H$42700,2,FALSE)</f>
        <v xml:space="preserve"> LEONARD </v>
      </c>
      <c r="L27" s="12">
        <f>VLOOKUP($J27,Base!$A$2:$H$42700,8,FALSE)</f>
        <v>1156.42</v>
      </c>
      <c r="M27" s="12" t="str">
        <f>VLOOKUP($J27,Base!$A$2:$H$42700,7,FALSE)</f>
        <v xml:space="preserve"> VILLENEUVE D'ASCQ FOS </v>
      </c>
    </row>
    <row r="28" spans="1:13" s="7" customFormat="1" ht="11.25" customHeight="1" x14ac:dyDescent="0.25">
      <c r="A28" s="28">
        <v>18</v>
      </c>
      <c r="B28" s="35">
        <v>221361</v>
      </c>
      <c r="C28" s="27" t="s">
        <v>30609</v>
      </c>
      <c r="D28" s="28">
        <v>1028</v>
      </c>
      <c r="E28" s="29">
        <v>27132</v>
      </c>
      <c r="F28" s="27" t="s">
        <v>26380</v>
      </c>
      <c r="G28" s="40">
        <f t="shared" si="0"/>
        <v>1136.67</v>
      </c>
      <c r="I28" s="10" t="str">
        <f t="shared" si="1"/>
        <v>ERR</v>
      </c>
      <c r="J28" s="13" t="str">
        <f t="shared" si="2"/>
        <v>221361</v>
      </c>
      <c r="K28" s="12" t="str">
        <f>VLOOKUP($J28,Base!$A$2:$H$42700,2,FALSE)</f>
        <v xml:space="preserve"> BOZEC </v>
      </c>
      <c r="L28" s="12">
        <f>VLOOKUP($J28,Base!$A$2:$H$42700,8,FALSE)</f>
        <v>1136.67</v>
      </c>
      <c r="M28" s="12" t="str">
        <f>VLOOKUP($J28,Base!$A$2:$H$42700,7,FALSE)</f>
        <v xml:space="preserve"> Argantel Club PLERIN </v>
      </c>
    </row>
    <row r="29" spans="1:13" s="7" customFormat="1" ht="11.25" customHeight="1" x14ac:dyDescent="0.25">
      <c r="A29" s="28">
        <v>19</v>
      </c>
      <c r="B29" s="35">
        <v>621713</v>
      </c>
      <c r="C29" s="27" t="s">
        <v>30610</v>
      </c>
      <c r="D29" s="28">
        <v>1091</v>
      </c>
      <c r="E29" s="29">
        <v>27560</v>
      </c>
      <c r="F29" s="27" t="s">
        <v>26450</v>
      </c>
      <c r="G29" s="40">
        <f t="shared" si="0"/>
        <v>1112.17</v>
      </c>
      <c r="I29" s="10" t="str">
        <f t="shared" si="1"/>
        <v>ERR</v>
      </c>
      <c r="J29" s="13" t="str">
        <f t="shared" si="2"/>
        <v>621713</v>
      </c>
      <c r="K29" s="12" t="str">
        <f>VLOOKUP($J29,Base!$A$2:$H$42700,2,FALSE)</f>
        <v xml:space="preserve"> BLANQUART </v>
      </c>
      <c r="L29" s="12">
        <f>VLOOKUP($J29,Base!$A$2:$H$42700,8,FALSE)</f>
        <v>1112.17</v>
      </c>
      <c r="M29" s="12" t="str">
        <f>VLOOKUP($J29,Base!$A$2:$H$42700,7,FALSE)</f>
        <v xml:space="preserve"> BETHUNE-BEUVRY ASTT </v>
      </c>
    </row>
    <row r="30" spans="1:13" s="7" customFormat="1" ht="11.25" customHeight="1" x14ac:dyDescent="0.25">
      <c r="A30" s="28">
        <v>20</v>
      </c>
      <c r="B30" s="35">
        <v>9121337</v>
      </c>
      <c r="C30" s="27" t="s">
        <v>30611</v>
      </c>
      <c r="D30" s="28">
        <v>1057</v>
      </c>
      <c r="E30" s="29">
        <v>26852</v>
      </c>
      <c r="F30" s="27" t="s">
        <v>26456</v>
      </c>
      <c r="G30" s="40">
        <f t="shared" si="0"/>
        <v>1056.05</v>
      </c>
      <c r="I30" s="10" t="str">
        <f t="shared" si="1"/>
        <v>ERR</v>
      </c>
      <c r="J30" s="13" t="str">
        <f t="shared" si="2"/>
        <v>9121337</v>
      </c>
      <c r="K30" s="12" t="str">
        <f>VLOOKUP($J30,Base!$A$2:$H$42700,2,FALSE)</f>
        <v xml:space="preserve"> DUPUIS </v>
      </c>
      <c r="L30" s="12">
        <f>VLOOKUP($J30,Base!$A$2:$H$42700,8,FALSE)</f>
        <v>1056.05</v>
      </c>
      <c r="M30" s="12" t="str">
        <f>VLOOKUP($J30,Base!$A$2:$H$42700,7,FALSE)</f>
        <v xml:space="preserve"> Ste GENEVIEVE SP </v>
      </c>
    </row>
    <row r="31" spans="1:13" s="7" customFormat="1" ht="11.25" customHeight="1" x14ac:dyDescent="0.25">
      <c r="A31" s="28">
        <v>21</v>
      </c>
      <c r="B31" s="35">
        <v>444860</v>
      </c>
      <c r="C31" s="27" t="s">
        <v>30612</v>
      </c>
      <c r="D31" s="28">
        <v>1014</v>
      </c>
      <c r="E31" s="29">
        <v>25230</v>
      </c>
      <c r="F31" s="27" t="s">
        <v>26459</v>
      </c>
      <c r="G31" s="40">
        <f t="shared" si="0"/>
        <v>1018.17</v>
      </c>
      <c r="I31" s="10" t="str">
        <f t="shared" si="1"/>
        <v>ERR</v>
      </c>
      <c r="J31" s="13" t="str">
        <f t="shared" si="2"/>
        <v>444860</v>
      </c>
      <c r="K31" s="12" t="str">
        <f>VLOOKUP($J31,Base!$A$2:$H$42700,2,FALSE)</f>
        <v xml:space="preserve"> JACQUEMARD </v>
      </c>
      <c r="L31" s="12">
        <f>VLOOKUP($J31,Base!$A$2:$H$42700,8,FALSE)</f>
        <v>1018.17</v>
      </c>
      <c r="M31" s="12" t="str">
        <f>VLOOKUP($J31,Base!$A$2:$H$42700,7,FALSE)</f>
        <v xml:space="preserve"> MONTOIR ST MALO TT </v>
      </c>
    </row>
    <row r="32" spans="1:13" s="7" customFormat="1" ht="11.25" customHeight="1" x14ac:dyDescent="0.25">
      <c r="A32" s="28">
        <v>22</v>
      </c>
      <c r="B32" s="35">
        <v>8512918</v>
      </c>
      <c r="C32" s="27" t="s">
        <v>30613</v>
      </c>
      <c r="D32" s="28">
        <v>1000</v>
      </c>
      <c r="E32" s="29">
        <v>26980</v>
      </c>
      <c r="F32" s="27" t="s">
        <v>30353</v>
      </c>
      <c r="G32" s="40">
        <f t="shared" si="0"/>
        <v>998.17</v>
      </c>
      <c r="I32" s="10" t="str">
        <f t="shared" si="1"/>
        <v>ERR</v>
      </c>
      <c r="J32" s="13" t="str">
        <f t="shared" si="2"/>
        <v>8512918</v>
      </c>
      <c r="K32" s="12" t="str">
        <f>VLOOKUP($J32,Base!$A$2:$H$42700,2,FALSE)</f>
        <v xml:space="preserve"> GUILLOU </v>
      </c>
      <c r="L32" s="12">
        <f>VLOOKUP($J32,Base!$A$2:$H$42700,8,FALSE)</f>
        <v>998.17</v>
      </c>
      <c r="M32" s="12" t="str">
        <f>VLOOKUP($J32,Base!$A$2:$H$42700,7,FALSE)</f>
        <v xml:space="preserve"> BELLEVIGNY ESBV </v>
      </c>
    </row>
    <row r="33" spans="1:13" s="7" customFormat="1" ht="11.25" customHeight="1" x14ac:dyDescent="0.25">
      <c r="A33" s="28">
        <v>23</v>
      </c>
      <c r="B33" s="35">
        <v>637283</v>
      </c>
      <c r="C33" s="27" t="s">
        <v>30614</v>
      </c>
      <c r="D33" s="28">
        <v>1009</v>
      </c>
      <c r="E33" s="29">
        <v>26429</v>
      </c>
      <c r="F33" s="27" t="s">
        <v>30352</v>
      </c>
      <c r="G33" s="40">
        <f t="shared" si="0"/>
        <v>991.67</v>
      </c>
      <c r="I33" s="10" t="str">
        <f t="shared" si="1"/>
        <v>ERR</v>
      </c>
      <c r="J33" s="13" t="str">
        <f t="shared" si="2"/>
        <v>637283</v>
      </c>
      <c r="K33" s="12" t="str">
        <f>VLOOKUP($J33,Base!$A$2:$H$42700,2,FALSE)</f>
        <v xml:space="preserve"> DOURIN </v>
      </c>
      <c r="L33" s="12">
        <f>VLOOKUP($J33,Base!$A$2:$H$42700,8,FALSE)</f>
        <v>991.67</v>
      </c>
      <c r="M33" s="12" t="str">
        <f>VLOOKUP($J33,Base!$A$2:$H$42700,7,FALSE)</f>
        <v xml:space="preserve"> VEYRE-MONTON TT </v>
      </c>
    </row>
    <row r="34" spans="1:13" s="7" customFormat="1" ht="11.25" customHeight="1" x14ac:dyDescent="0.25">
      <c r="A34" s="28">
        <v>24</v>
      </c>
      <c r="B34" s="35">
        <v>2814735</v>
      </c>
      <c r="C34" s="27" t="s">
        <v>30615</v>
      </c>
      <c r="D34" s="28">
        <v>874</v>
      </c>
      <c r="E34" s="29">
        <v>28022</v>
      </c>
      <c r="F34" s="27" t="s">
        <v>30354</v>
      </c>
      <c r="G34" s="40">
        <f t="shared" si="0"/>
        <v>988.29</v>
      </c>
      <c r="I34" s="10" t="str">
        <f t="shared" si="1"/>
        <v>ERR</v>
      </c>
      <c r="J34" s="13" t="str">
        <f t="shared" si="2"/>
        <v>2814735</v>
      </c>
      <c r="K34" s="12" t="str">
        <f>VLOOKUP($J34,Base!$A$2:$H$42700,2,FALSE)</f>
        <v xml:space="preserve"> HELIX </v>
      </c>
      <c r="L34" s="12">
        <f>VLOOKUP($J34,Base!$A$2:$H$42700,8,FALSE)</f>
        <v>988.29</v>
      </c>
      <c r="M34" s="12" t="str">
        <f>VLOOKUP($J34,Base!$A$2:$H$42700,7,FALSE)</f>
        <v xml:space="preserve"> LUISANT AC Tennis de Tabl </v>
      </c>
    </row>
    <row r="35" spans="1:13" s="7" customFormat="1" ht="11.25" customHeight="1" x14ac:dyDescent="0.25">
      <c r="A35" s="28">
        <v>25</v>
      </c>
      <c r="B35" s="35">
        <v>723383</v>
      </c>
      <c r="C35" s="27" t="s">
        <v>30616</v>
      </c>
      <c r="D35" s="28">
        <v>984</v>
      </c>
      <c r="E35" s="29">
        <v>28266</v>
      </c>
      <c r="F35" s="27" t="s">
        <v>26363</v>
      </c>
      <c r="G35" s="40">
        <f t="shared" si="0"/>
        <v>967.17</v>
      </c>
      <c r="I35" s="10" t="str">
        <f t="shared" si="1"/>
        <v>ERR</v>
      </c>
      <c r="J35" s="13" t="str">
        <f t="shared" si="2"/>
        <v>723383</v>
      </c>
      <c r="K35" s="12" t="str">
        <f>VLOOKUP($J35,Base!$A$2:$H$42700,2,FALSE)</f>
        <v xml:space="preserve"> SENECHAL </v>
      </c>
      <c r="L35" s="12">
        <f>VLOOKUP($J35,Base!$A$2:$H$42700,8,FALSE)</f>
        <v>967.17</v>
      </c>
      <c r="M35" s="12" t="str">
        <f>VLOOKUP($J35,Base!$A$2:$H$42700,7,FALSE)</f>
        <v xml:space="preserve"> LE MANS SARTHE TENNIS DE </v>
      </c>
    </row>
    <row r="36" spans="1:13" s="7" customFormat="1" ht="11.25" customHeight="1" x14ac:dyDescent="0.25">
      <c r="A36" s="28">
        <v>26</v>
      </c>
      <c r="B36" s="35" t="s">
        <v>26468</v>
      </c>
      <c r="C36" s="27" t="s">
        <v>30617</v>
      </c>
      <c r="D36" s="28">
        <v>912</v>
      </c>
      <c r="E36" s="29">
        <v>27785</v>
      </c>
      <c r="F36" s="27" t="s">
        <v>26449</v>
      </c>
      <c r="G36" s="40">
        <f t="shared" si="0"/>
        <v>957.92</v>
      </c>
      <c r="I36" s="10" t="str">
        <f t="shared" si="1"/>
        <v>ERR</v>
      </c>
      <c r="J36" s="13" t="str">
        <f t="shared" si="2"/>
        <v>0111914</v>
      </c>
      <c r="K36" s="12" t="str">
        <f>VLOOKUP($J36,Base!$A$2:$H$42700,2,FALSE)</f>
        <v xml:space="preserve"> BADOUX </v>
      </c>
      <c r="L36" s="12">
        <f>VLOOKUP($J36,Base!$A$2:$H$42700,8,FALSE)</f>
        <v>957.92</v>
      </c>
      <c r="M36" s="12" t="str">
        <f>VLOOKUP($J36,Base!$A$2:$H$42700,7,FALSE)</f>
        <v xml:space="preserve"> ESPERANCE LEDONIENNE </v>
      </c>
    </row>
    <row r="37" spans="1:13" s="7" customFormat="1" ht="11.25" customHeight="1" x14ac:dyDescent="0.25">
      <c r="A37" s="28">
        <v>27</v>
      </c>
      <c r="B37" s="35">
        <v>6218309</v>
      </c>
      <c r="C37" s="27" t="s">
        <v>30618</v>
      </c>
      <c r="D37" s="28">
        <v>945</v>
      </c>
      <c r="E37" s="29">
        <v>28461</v>
      </c>
      <c r="F37" s="27" t="s">
        <v>26378</v>
      </c>
      <c r="G37" s="40">
        <f t="shared" si="0"/>
        <v>956.42</v>
      </c>
      <c r="I37" s="10" t="str">
        <f t="shared" si="1"/>
        <v>ERR</v>
      </c>
      <c r="J37" s="13" t="str">
        <f t="shared" si="2"/>
        <v>6218309</v>
      </c>
      <c r="K37" s="12" t="str">
        <f>VLOOKUP($J37,Base!$A$2:$H$42700,2,FALSE)</f>
        <v xml:space="preserve"> DESPREZ </v>
      </c>
      <c r="L37" s="12">
        <f>VLOOKUP($J37,Base!$A$2:$H$42700,8,FALSE)</f>
        <v>956.42</v>
      </c>
      <c r="M37" s="12" t="str">
        <f>VLOOKUP($J37,Base!$A$2:$H$42700,7,FALSE)</f>
        <v xml:space="preserve"> CARVIN ATT </v>
      </c>
    </row>
    <row r="38" spans="1:13" s="7" customFormat="1" ht="11.25" customHeight="1" x14ac:dyDescent="0.25">
      <c r="A38" s="28">
        <v>28</v>
      </c>
      <c r="B38" s="35">
        <v>6012396</v>
      </c>
      <c r="C38" s="27" t="s">
        <v>30619</v>
      </c>
      <c r="D38" s="28">
        <v>908</v>
      </c>
      <c r="E38" s="29">
        <v>26073</v>
      </c>
      <c r="F38" s="27" t="s">
        <v>26454</v>
      </c>
      <c r="G38" s="40">
        <f t="shared" si="0"/>
        <v>955.29</v>
      </c>
      <c r="I38" s="10" t="str">
        <f t="shared" si="1"/>
        <v>ERR</v>
      </c>
      <c r="J38" s="13" t="str">
        <f t="shared" si="2"/>
        <v>6012396</v>
      </c>
      <c r="K38" s="12" t="str">
        <f>VLOOKUP($J38,Base!$A$2:$H$42700,2,FALSE)</f>
        <v xml:space="preserve"> DUBOURDEAUX </v>
      </c>
      <c r="L38" s="12">
        <f>VLOOKUP($J38,Base!$A$2:$H$42700,8,FALSE)</f>
        <v>955.29</v>
      </c>
      <c r="M38" s="12" t="str">
        <f>VLOOKUP($J38,Base!$A$2:$H$42700,7,FALSE)</f>
        <v xml:space="preserve"> BEAUVAIS TT </v>
      </c>
    </row>
    <row r="39" spans="1:13" s="7" customFormat="1" ht="11.25" customHeight="1" x14ac:dyDescent="0.25">
      <c r="A39" s="28">
        <v>29</v>
      </c>
      <c r="B39" s="35">
        <v>4512755</v>
      </c>
      <c r="C39" s="27" t="s">
        <v>30620</v>
      </c>
      <c r="D39" s="28">
        <v>903</v>
      </c>
      <c r="E39" s="29">
        <v>25761</v>
      </c>
      <c r="F39" s="27" t="s">
        <v>26455</v>
      </c>
      <c r="G39" s="40">
        <f t="shared" si="0"/>
        <v>955.17</v>
      </c>
      <c r="I39" s="10" t="str">
        <f t="shared" si="1"/>
        <v>ERR</v>
      </c>
      <c r="J39" s="13" t="str">
        <f t="shared" si="2"/>
        <v>4512755</v>
      </c>
      <c r="K39" s="12" t="str">
        <f>VLOOKUP($J39,Base!$A$2:$H$42700,2,FALSE)</f>
        <v xml:space="preserve"> DURAND </v>
      </c>
      <c r="L39" s="12">
        <f>VLOOKUP($J39,Base!$A$2:$H$42700,8,FALSE)</f>
        <v>955.17</v>
      </c>
      <c r="M39" s="12" t="str">
        <f>VLOOKUP($J39,Base!$A$2:$H$42700,7,FALSE)</f>
        <v xml:space="preserve"> DONNERY TT </v>
      </c>
    </row>
    <row r="40" spans="1:13" s="7" customFormat="1" ht="11.25" customHeight="1" x14ac:dyDescent="0.25">
      <c r="A40" s="28">
        <v>30</v>
      </c>
      <c r="B40" s="35" t="s">
        <v>26470</v>
      </c>
      <c r="C40" s="27" t="s">
        <v>30621</v>
      </c>
      <c r="D40" s="28">
        <v>960</v>
      </c>
      <c r="E40" s="29">
        <v>27098</v>
      </c>
      <c r="F40" s="27" t="s">
        <v>26453</v>
      </c>
      <c r="G40" s="40">
        <f t="shared" si="0"/>
        <v>951.92</v>
      </c>
      <c r="I40" s="10" t="str">
        <f t="shared" si="1"/>
        <v>ERR</v>
      </c>
      <c r="J40" s="13" t="str">
        <f t="shared" si="2"/>
        <v>026914</v>
      </c>
      <c r="K40" s="12" t="str">
        <f>VLOOKUP($J40,Base!$A$2:$H$42700,2,FALSE)</f>
        <v xml:space="preserve"> DAVID </v>
      </c>
      <c r="L40" s="12">
        <f>VLOOKUP($J40,Base!$A$2:$H$42700,8,FALSE)</f>
        <v>951.92</v>
      </c>
      <c r="M40" s="12" t="str">
        <f>VLOOKUP($J40,Base!$A$2:$H$42700,7,FALSE)</f>
        <v xml:space="preserve"> CREPY TT </v>
      </c>
    </row>
    <row r="41" spans="1:13" s="7" customFormat="1" ht="11.25" customHeight="1" x14ac:dyDescent="0.25">
      <c r="A41" s="28">
        <v>31</v>
      </c>
      <c r="B41" s="35">
        <v>9139788</v>
      </c>
      <c r="C41" s="27" t="s">
        <v>30622</v>
      </c>
      <c r="D41" s="28">
        <v>938</v>
      </c>
      <c r="E41" s="29">
        <v>27246</v>
      </c>
      <c r="F41" s="27" t="s">
        <v>30360</v>
      </c>
      <c r="G41" s="40">
        <f t="shared" si="0"/>
        <v>932.92</v>
      </c>
      <c r="I41" s="10" t="str">
        <f t="shared" si="1"/>
        <v>ERR</v>
      </c>
      <c r="J41" s="13" t="str">
        <f t="shared" si="2"/>
        <v>9139788</v>
      </c>
      <c r="K41" s="12" t="str">
        <f>VLOOKUP($J41,Base!$A$2:$H$42700,2,FALSE)</f>
        <v xml:space="preserve"> PERISSE </v>
      </c>
      <c r="L41" s="12">
        <f>VLOOKUP($J41,Base!$A$2:$H$42700,8,FALSE)</f>
        <v>932.92</v>
      </c>
      <c r="M41" s="12" t="str">
        <f>VLOOKUP($J41,Base!$A$2:$H$42700,7,FALSE)</f>
        <v xml:space="preserve"> CORBEIL ESSONNES AS </v>
      </c>
    </row>
    <row r="42" spans="1:13" s="7" customFormat="1" ht="11.25" customHeight="1" x14ac:dyDescent="0.25">
      <c r="A42" s="28">
        <v>32</v>
      </c>
      <c r="B42" s="35">
        <v>625605</v>
      </c>
      <c r="C42" s="27" t="s">
        <v>30623</v>
      </c>
      <c r="D42" s="28">
        <v>891</v>
      </c>
      <c r="E42" s="29">
        <v>26523</v>
      </c>
      <c r="F42" s="27" t="s">
        <v>30351</v>
      </c>
      <c r="G42" s="40">
        <f t="shared" si="0"/>
        <v>920.92</v>
      </c>
      <c r="I42" s="10" t="str">
        <f t="shared" si="1"/>
        <v>ERR</v>
      </c>
      <c r="J42" s="13" t="str">
        <f t="shared" si="2"/>
        <v>625605</v>
      </c>
      <c r="K42" s="12" t="str">
        <f>VLOOKUP($J42,Base!$A$2:$H$42700,2,FALSE)</f>
        <v xml:space="preserve"> DEMAZEUX </v>
      </c>
      <c r="L42" s="12">
        <f>VLOOKUP($J42,Base!$A$2:$H$42700,8,FALSE)</f>
        <v>920.92</v>
      </c>
      <c r="M42" s="12" t="str">
        <f>VLOOKUP($J42,Base!$A$2:$H$42700,7,FALSE)</f>
        <v xml:space="preserve"> LIBERCOURT CP </v>
      </c>
    </row>
    <row r="43" spans="1:13" s="7" customFormat="1" ht="11.25" customHeight="1" x14ac:dyDescent="0.25">
      <c r="A43" s="28">
        <v>33</v>
      </c>
      <c r="B43" s="35">
        <v>6020954</v>
      </c>
      <c r="C43" s="27" t="s">
        <v>30624</v>
      </c>
      <c r="D43" s="28">
        <v>901</v>
      </c>
      <c r="E43" s="29">
        <v>26695</v>
      </c>
      <c r="F43" s="27" t="s">
        <v>26467</v>
      </c>
      <c r="G43" s="40">
        <f t="shared" ref="G43:G61" si="3">L43</f>
        <v>920.17</v>
      </c>
      <c r="I43" s="10" t="str">
        <f t="shared" ref="I43:I61" si="4">IF(C43=K43,"","ERR")</f>
        <v>ERR</v>
      </c>
      <c r="J43" s="13" t="str">
        <f t="shared" ref="J43:J61" si="5">LEFT(B43,LEN(B43))</f>
        <v>6020954</v>
      </c>
      <c r="K43" s="12" t="str">
        <f>VLOOKUP($J43,Base!$A$2:$H$42700,2,FALSE)</f>
        <v xml:space="preserve"> WALBECQ </v>
      </c>
      <c r="L43" s="12">
        <f>VLOOKUP($J43,Base!$A$2:$H$42700,8,FALSE)</f>
        <v>920.17</v>
      </c>
      <c r="M43" s="12" t="str">
        <f>VLOOKUP($J43,Base!$A$2:$H$42700,7,FALSE)</f>
        <v xml:space="preserve"> VILLERS ST PAUL US </v>
      </c>
    </row>
    <row r="44" spans="1:13" s="7" customFormat="1" ht="11.25" customHeight="1" x14ac:dyDescent="0.25">
      <c r="A44" s="28">
        <v>34</v>
      </c>
      <c r="B44" s="35">
        <v>7828321</v>
      </c>
      <c r="C44" s="27" t="s">
        <v>30625</v>
      </c>
      <c r="D44" s="28">
        <v>884</v>
      </c>
      <c r="E44" s="29">
        <v>25347</v>
      </c>
      <c r="F44" s="27" t="s">
        <v>26387</v>
      </c>
      <c r="G44" s="40">
        <f t="shared" si="3"/>
        <v>919.92</v>
      </c>
      <c r="I44" s="10" t="str">
        <f t="shared" si="4"/>
        <v>ERR</v>
      </c>
      <c r="J44" s="13" t="str">
        <f t="shared" si="5"/>
        <v>7828321</v>
      </c>
      <c r="K44" s="12" t="str">
        <f>VLOOKUP($J44,Base!$A$2:$H$42700,2,FALSE)</f>
        <v xml:space="preserve"> GIROUD </v>
      </c>
      <c r="L44" s="12">
        <f>VLOOKUP($J44,Base!$A$2:$H$42700,8,FALSE)</f>
        <v>919.92</v>
      </c>
      <c r="M44" s="12" t="str">
        <f>VLOOKUP($J44,Base!$A$2:$H$42700,7,FALSE)</f>
        <v xml:space="preserve"> ARGENTEUIL TT </v>
      </c>
    </row>
    <row r="45" spans="1:13" s="7" customFormat="1" x14ac:dyDescent="0.25">
      <c r="A45" s="28">
        <v>35</v>
      </c>
      <c r="B45" s="35">
        <v>455233</v>
      </c>
      <c r="C45" s="27" t="s">
        <v>30626</v>
      </c>
      <c r="D45" s="28">
        <v>869</v>
      </c>
      <c r="E45" s="29">
        <v>26452</v>
      </c>
      <c r="F45" s="27" t="s">
        <v>30349</v>
      </c>
      <c r="G45" s="40">
        <f t="shared" si="3"/>
        <v>861.42</v>
      </c>
      <c r="I45" s="10" t="str">
        <f t="shared" si="4"/>
        <v>ERR</v>
      </c>
      <c r="J45" s="13" t="str">
        <f t="shared" si="5"/>
        <v>455233</v>
      </c>
      <c r="K45" s="12" t="str">
        <f>VLOOKUP($J45,Base!$A$2:$H$42700,2,FALSE)</f>
        <v xml:space="preserve"> BOUVET </v>
      </c>
      <c r="L45" s="12">
        <f>VLOOKUP($J45,Base!$A$2:$H$42700,8,FALSE)</f>
        <v>861.42</v>
      </c>
      <c r="M45" s="12" t="str">
        <f>VLOOKUP($J45,Base!$A$2:$H$42700,7,FALSE)</f>
        <v xml:space="preserve"> TTB BESSANCOURT </v>
      </c>
    </row>
    <row r="46" spans="1:13" s="7" customFormat="1" x14ac:dyDescent="0.25">
      <c r="A46" s="28">
        <v>36</v>
      </c>
      <c r="B46" s="35" t="s">
        <v>26469</v>
      </c>
      <c r="C46" s="27" t="s">
        <v>30627</v>
      </c>
      <c r="D46" s="28">
        <v>906</v>
      </c>
      <c r="E46" s="29">
        <v>26567</v>
      </c>
      <c r="F46" s="27" t="s">
        <v>30347</v>
      </c>
      <c r="G46" s="40">
        <f t="shared" si="3"/>
        <v>856.17</v>
      </c>
      <c r="I46" s="10" t="str">
        <f t="shared" si="4"/>
        <v>ERR</v>
      </c>
      <c r="J46" s="13" t="str">
        <f t="shared" si="5"/>
        <v>09781</v>
      </c>
      <c r="K46" s="12" t="str">
        <f>VLOOKUP($J46,Base!$A$2:$H$42700,2,FALSE)</f>
        <v xml:space="preserve"> BOUQUART </v>
      </c>
      <c r="L46" s="12">
        <f>VLOOKUP($J46,Base!$A$2:$H$42700,8,FALSE)</f>
        <v>856.17</v>
      </c>
      <c r="M46" s="12" t="str">
        <f>VLOOKUP($J46,Base!$A$2:$H$42700,7,FALSE)</f>
        <v xml:space="preserve"> CP ST GIRONNAIS </v>
      </c>
    </row>
    <row r="47" spans="1:13" s="7" customFormat="1" x14ac:dyDescent="0.25">
      <c r="A47" s="28">
        <v>37</v>
      </c>
      <c r="B47" s="35" t="s">
        <v>30363</v>
      </c>
      <c r="C47" s="27" t="s">
        <v>30628</v>
      </c>
      <c r="D47" s="28">
        <v>799</v>
      </c>
      <c r="E47" s="29">
        <v>27120</v>
      </c>
      <c r="F47" s="27" t="s">
        <v>30357</v>
      </c>
      <c r="G47" s="40">
        <f t="shared" si="3"/>
        <v>848.54</v>
      </c>
      <c r="I47" s="10" t="str">
        <f t="shared" si="4"/>
        <v>ERR</v>
      </c>
      <c r="J47" s="13" t="str">
        <f t="shared" si="5"/>
        <v>0618065</v>
      </c>
      <c r="K47" s="12" t="str">
        <f>VLOOKUP($J47,Base!$A$2:$H$42700,2,FALSE)</f>
        <v xml:space="preserve"> MENICHETTI </v>
      </c>
      <c r="L47" s="12">
        <f>VLOOKUP($J47,Base!$A$2:$H$42700,8,FALSE)</f>
        <v>848.54</v>
      </c>
      <c r="M47" s="12" t="str">
        <f>VLOOKUP($J47,Base!$A$2:$H$42700,7,FALSE)</f>
        <v xml:space="preserve"> ASPTT SMASH CLUB DE GRASS </v>
      </c>
    </row>
    <row r="48" spans="1:13" s="7" customFormat="1" x14ac:dyDescent="0.25">
      <c r="A48" s="28">
        <v>38</v>
      </c>
      <c r="B48" s="35">
        <v>5317051</v>
      </c>
      <c r="C48" s="27" t="s">
        <v>30629</v>
      </c>
      <c r="D48" s="28">
        <v>830</v>
      </c>
      <c r="E48" s="29">
        <v>26761</v>
      </c>
      <c r="F48" s="27" t="s">
        <v>26466</v>
      </c>
      <c r="G48" s="40">
        <f t="shared" si="3"/>
        <v>843.29</v>
      </c>
      <c r="I48" s="10" t="str">
        <f t="shared" si="4"/>
        <v>ERR</v>
      </c>
      <c r="J48" s="13" t="str">
        <f t="shared" si="5"/>
        <v>5317051</v>
      </c>
      <c r="K48" s="12" t="str">
        <f>VLOOKUP($J48,Base!$A$2:$H$42700,2,FALSE)</f>
        <v xml:space="preserve"> SUBILEAU </v>
      </c>
      <c r="L48" s="12">
        <f>VLOOKUP($J48,Base!$A$2:$H$42700,8,FALSE)</f>
        <v>843.29</v>
      </c>
      <c r="M48" s="12" t="str">
        <f>VLOOKUP($J48,Base!$A$2:$H$42700,7,FALSE)</f>
        <v xml:space="preserve"> CHÂTEAU GONTIER Tennis de </v>
      </c>
    </row>
    <row r="49" spans="1:13" s="7" customFormat="1" x14ac:dyDescent="0.25">
      <c r="A49" s="28">
        <v>39</v>
      </c>
      <c r="B49" s="35">
        <v>288047</v>
      </c>
      <c r="C49" s="27" t="s">
        <v>30630</v>
      </c>
      <c r="D49" s="28">
        <v>782</v>
      </c>
      <c r="E49" s="29">
        <v>25254</v>
      </c>
      <c r="F49" s="27" t="s">
        <v>26458</v>
      </c>
      <c r="G49" s="40">
        <f t="shared" si="3"/>
        <v>820.17</v>
      </c>
      <c r="I49" s="10" t="str">
        <f t="shared" si="4"/>
        <v>ERR</v>
      </c>
      <c r="J49" s="13" t="str">
        <f t="shared" si="5"/>
        <v>288047</v>
      </c>
      <c r="K49" s="12" t="str">
        <f>VLOOKUP($J49,Base!$A$2:$H$42700,2,FALSE)</f>
        <v xml:space="preserve"> HERBRETEAU </v>
      </c>
      <c r="L49" s="12">
        <f>VLOOKUP($J49,Base!$A$2:$H$42700,8,FALSE)</f>
        <v>820.17</v>
      </c>
      <c r="M49" s="12" t="str">
        <f>VLOOKUP($J49,Base!$A$2:$H$42700,7,FALSE)</f>
        <v xml:space="preserve"> TRINITE SPORTS TENNIS DE </v>
      </c>
    </row>
    <row r="50" spans="1:13" s="7" customFormat="1" x14ac:dyDescent="0.25">
      <c r="A50" s="28">
        <v>40</v>
      </c>
      <c r="B50" s="35">
        <v>9237171</v>
      </c>
      <c r="C50" s="27" t="s">
        <v>30631</v>
      </c>
      <c r="D50" s="28">
        <v>808</v>
      </c>
      <c r="E50" s="29">
        <v>28638</v>
      </c>
      <c r="F50" s="27" t="s">
        <v>30362</v>
      </c>
      <c r="G50" s="40">
        <f t="shared" si="3"/>
        <v>813.04</v>
      </c>
      <c r="I50" s="10" t="str">
        <f t="shared" si="4"/>
        <v>ERR</v>
      </c>
      <c r="J50" s="13" t="str">
        <f t="shared" si="5"/>
        <v>9237171</v>
      </c>
      <c r="K50" s="12" t="str">
        <f>VLOOKUP($J50,Base!$A$2:$H$42700,2,FALSE)</f>
        <v xml:space="preserve"> VAN LIERDE </v>
      </c>
      <c r="L50" s="12">
        <f>VLOOKUP($J50,Base!$A$2:$H$42700,8,FALSE)</f>
        <v>813.04</v>
      </c>
      <c r="M50" s="12" t="str">
        <f>VLOOKUP($J50,Base!$A$2:$H$42700,7,FALSE)</f>
        <v xml:space="preserve"> PLESSIS ROBINSON TT </v>
      </c>
    </row>
    <row r="51" spans="1:13" s="7" customFormat="1" x14ac:dyDescent="0.25">
      <c r="A51" s="28">
        <v>41</v>
      </c>
      <c r="B51" s="35">
        <v>7517632</v>
      </c>
      <c r="C51" s="27" t="s">
        <v>30632</v>
      </c>
      <c r="D51" s="28">
        <v>726</v>
      </c>
      <c r="E51" s="29">
        <v>25958</v>
      </c>
      <c r="F51" s="27" t="s">
        <v>30358</v>
      </c>
      <c r="G51" s="40">
        <f t="shared" si="3"/>
        <v>807.79</v>
      </c>
      <c r="I51" s="10" t="str">
        <f t="shared" si="4"/>
        <v>ERR</v>
      </c>
      <c r="J51" s="13" t="str">
        <f t="shared" si="5"/>
        <v>7517632</v>
      </c>
      <c r="K51" s="12" t="str">
        <f>VLOOKUP($J51,Base!$A$2:$H$42700,2,FALSE)</f>
        <v xml:space="preserve"> NEMMOUR </v>
      </c>
      <c r="L51" s="12">
        <f>VLOOKUP($J51,Base!$A$2:$H$42700,8,FALSE)</f>
        <v>807.79</v>
      </c>
      <c r="M51" s="12" t="str">
        <f>VLOOKUP($J51,Base!$A$2:$H$42700,7,FALSE)</f>
        <v xml:space="preserve"> SPORTING PARIS 20 TT </v>
      </c>
    </row>
    <row r="52" spans="1:13" s="7" customFormat="1" x14ac:dyDescent="0.25">
      <c r="A52" s="28">
        <v>42</v>
      </c>
      <c r="B52" s="35">
        <v>4451939</v>
      </c>
      <c r="C52" s="27" t="s">
        <v>30633</v>
      </c>
      <c r="D52" s="28">
        <v>813</v>
      </c>
      <c r="E52" s="29">
        <v>25776</v>
      </c>
      <c r="F52" s="27" t="s">
        <v>26459</v>
      </c>
      <c r="G52" s="40">
        <f t="shared" si="3"/>
        <v>804.67</v>
      </c>
      <c r="I52" s="10" t="str">
        <f t="shared" si="4"/>
        <v>ERR</v>
      </c>
      <c r="J52" s="13" t="str">
        <f t="shared" si="5"/>
        <v>4451939</v>
      </c>
      <c r="K52" s="12" t="str">
        <f>VLOOKUP($J52,Base!$A$2:$H$42700,2,FALSE)</f>
        <v xml:space="preserve"> MAHE </v>
      </c>
      <c r="L52" s="12">
        <f>VLOOKUP($J52,Base!$A$2:$H$42700,8,FALSE)</f>
        <v>804.67</v>
      </c>
      <c r="M52" s="12" t="str">
        <f>VLOOKUP($J52,Base!$A$2:$H$42700,7,FALSE)</f>
        <v xml:space="preserve"> MONTOIR ST MALO TT </v>
      </c>
    </row>
    <row r="53" spans="1:13" s="7" customFormat="1" x14ac:dyDescent="0.25">
      <c r="A53" s="28">
        <v>43</v>
      </c>
      <c r="B53" s="35">
        <v>188870</v>
      </c>
      <c r="C53" s="27" t="s">
        <v>30634</v>
      </c>
      <c r="D53" s="28">
        <v>737</v>
      </c>
      <c r="E53" s="29">
        <v>27904</v>
      </c>
      <c r="F53" s="27" t="s">
        <v>26465</v>
      </c>
      <c r="G53" s="40">
        <f t="shared" si="3"/>
        <v>799.79</v>
      </c>
      <c r="I53" s="10" t="str">
        <f t="shared" si="4"/>
        <v>ERR</v>
      </c>
      <c r="J53" s="13" t="str">
        <f t="shared" si="5"/>
        <v>188870</v>
      </c>
      <c r="K53" s="12" t="str">
        <f>VLOOKUP($J53,Base!$A$2:$H$42700,2,FALSE)</f>
        <v xml:space="preserve"> NAVARRO </v>
      </c>
      <c r="L53" s="12">
        <f>VLOOKUP($J53,Base!$A$2:$H$42700,8,FALSE)</f>
        <v>799.79</v>
      </c>
      <c r="M53" s="12" t="str">
        <f>VLOOKUP($J53,Base!$A$2:$H$42700,7,FALSE)</f>
        <v xml:space="preserve"> VIERZON PING </v>
      </c>
    </row>
    <row r="54" spans="1:13" s="7" customFormat="1" x14ac:dyDescent="0.25">
      <c r="A54" s="28">
        <v>44</v>
      </c>
      <c r="B54" s="35">
        <v>9143597</v>
      </c>
      <c r="C54" s="27" t="s">
        <v>30635</v>
      </c>
      <c r="D54" s="28">
        <v>785</v>
      </c>
      <c r="E54" s="29">
        <v>27039</v>
      </c>
      <c r="F54" s="27" t="s">
        <v>26452</v>
      </c>
      <c r="G54" s="40">
        <f t="shared" si="3"/>
        <v>767.67</v>
      </c>
      <c r="I54" s="10" t="str">
        <f t="shared" si="4"/>
        <v>ERR</v>
      </c>
      <c r="J54" s="13" t="str">
        <f t="shared" si="5"/>
        <v>9143597</v>
      </c>
      <c r="K54" s="12" t="str">
        <f>VLOOKUP($J54,Base!$A$2:$H$42700,2,FALSE)</f>
        <v xml:space="preserve"> CAZENEUVE </v>
      </c>
      <c r="L54" s="12">
        <f>VLOOKUP($J54,Base!$A$2:$H$42700,8,FALSE)</f>
        <v>767.67</v>
      </c>
      <c r="M54" s="12" t="str">
        <f>VLOOKUP($J54,Base!$A$2:$H$42700,7,FALSE)</f>
        <v xml:space="preserve"> ETRECHY ASETT </v>
      </c>
    </row>
    <row r="55" spans="1:13" s="7" customFormat="1" x14ac:dyDescent="0.25">
      <c r="A55" s="28">
        <v>45</v>
      </c>
      <c r="B55" s="35">
        <v>4435418</v>
      </c>
      <c r="C55" s="27" t="s">
        <v>30636</v>
      </c>
      <c r="D55" s="28">
        <v>752</v>
      </c>
      <c r="E55" s="29">
        <v>25219</v>
      </c>
      <c r="F55" s="27" t="s">
        <v>30348</v>
      </c>
      <c r="G55" s="40">
        <f t="shared" si="3"/>
        <v>749.17</v>
      </c>
      <c r="I55" s="10" t="str">
        <f t="shared" si="4"/>
        <v>ERR</v>
      </c>
      <c r="J55" s="13" t="str">
        <f t="shared" si="5"/>
        <v>4435418</v>
      </c>
      <c r="K55" s="12" t="str">
        <f>VLOOKUP($J55,Base!$A$2:$H$42700,2,FALSE)</f>
        <v xml:space="preserve"> BOURGINE </v>
      </c>
      <c r="L55" s="12">
        <f>VLOOKUP($J55,Base!$A$2:$H$42700,8,FALSE)</f>
        <v>749.17</v>
      </c>
      <c r="M55" s="12" t="str">
        <f>VLOOKUP($J55,Base!$A$2:$H$42700,7,FALSE)</f>
        <v xml:space="preserve"> PRESQU ILE T.T. </v>
      </c>
    </row>
    <row r="56" spans="1:13" s="7" customFormat="1" x14ac:dyDescent="0.25">
      <c r="A56" s="28">
        <v>46</v>
      </c>
      <c r="B56" s="35">
        <v>789740</v>
      </c>
      <c r="C56" s="27" t="s">
        <v>30637</v>
      </c>
      <c r="D56" s="28">
        <v>780</v>
      </c>
      <c r="E56" s="29">
        <v>27586</v>
      </c>
      <c r="F56" s="27" t="s">
        <v>26471</v>
      </c>
      <c r="G56" s="40">
        <f t="shared" si="3"/>
        <v>746.54</v>
      </c>
      <c r="I56" s="10" t="str">
        <f t="shared" si="4"/>
        <v>ERR</v>
      </c>
      <c r="J56" s="13" t="str">
        <f t="shared" si="5"/>
        <v>789740</v>
      </c>
      <c r="K56" s="12" t="str">
        <f>VLOOKUP($J56,Base!$A$2:$H$42700,2,FALSE)</f>
        <v xml:space="preserve"> LEREBOURS </v>
      </c>
      <c r="L56" s="12">
        <f>VLOOKUP($J56,Base!$A$2:$H$42700,8,FALSE)</f>
        <v>746.54</v>
      </c>
      <c r="M56" s="12" t="str">
        <f>VLOOKUP($J56,Base!$A$2:$H$42700,7,FALSE)</f>
        <v xml:space="preserve"> POISSY USC </v>
      </c>
    </row>
    <row r="57" spans="1:13" s="7" customFormat="1" x14ac:dyDescent="0.25">
      <c r="A57" s="28">
        <v>47</v>
      </c>
      <c r="B57" s="35">
        <v>277033</v>
      </c>
      <c r="C57" s="27" t="s">
        <v>30638</v>
      </c>
      <c r="D57" s="28">
        <v>722</v>
      </c>
      <c r="E57" s="29">
        <v>28566</v>
      </c>
      <c r="F57" s="27" t="s">
        <v>26489</v>
      </c>
      <c r="G57" s="40">
        <f t="shared" si="3"/>
        <v>694.54</v>
      </c>
      <c r="I57" s="10" t="str">
        <f t="shared" si="4"/>
        <v>ERR</v>
      </c>
      <c r="J57" s="13" t="str">
        <f t="shared" si="5"/>
        <v>277033</v>
      </c>
      <c r="K57" s="12" t="str">
        <f>VLOOKUP($J57,Base!$A$2:$H$42700,2,FALSE)</f>
        <v xml:space="preserve"> FAUVEL </v>
      </c>
      <c r="L57" s="12">
        <f>VLOOKUP($J57,Base!$A$2:$H$42700,8,FALSE)</f>
        <v>694.54</v>
      </c>
      <c r="M57" s="12" t="str">
        <f>VLOOKUP($J57,Base!$A$2:$H$42700,7,FALSE)</f>
        <v xml:space="preserve"> ST PHILBERT ATHLETIC CLUB </v>
      </c>
    </row>
    <row r="58" spans="1:13" s="7" customFormat="1" x14ac:dyDescent="0.25">
      <c r="A58" s="28">
        <v>48</v>
      </c>
      <c r="B58" s="35">
        <v>991881</v>
      </c>
      <c r="C58" s="27" t="s">
        <v>30639</v>
      </c>
      <c r="D58" s="28">
        <v>661</v>
      </c>
      <c r="E58" s="29">
        <v>27738</v>
      </c>
      <c r="F58" s="27" t="s">
        <v>30350</v>
      </c>
      <c r="G58" s="40">
        <f t="shared" si="3"/>
        <v>692.04</v>
      </c>
      <c r="I58" s="10" t="str">
        <f t="shared" si="4"/>
        <v>ERR</v>
      </c>
      <c r="J58" s="13" t="str">
        <f t="shared" si="5"/>
        <v>991881</v>
      </c>
      <c r="K58" s="12" t="str">
        <f>VLOOKUP($J58,Base!$A$2:$H$42700,2,FALSE)</f>
        <v xml:space="preserve"> CAVICCHI </v>
      </c>
      <c r="L58" s="12">
        <f>VLOOKUP($J58,Base!$A$2:$H$42700,8,FALSE)</f>
        <v>692.04</v>
      </c>
      <c r="M58" s="12" t="str">
        <f>VLOOKUP($J58,Base!$A$2:$H$42700,7,FALSE)</f>
        <v xml:space="preserve"> A.S.BASTELICACCIA </v>
      </c>
    </row>
    <row r="59" spans="1:13" s="7" customFormat="1" x14ac:dyDescent="0.25">
      <c r="A59" s="28">
        <v>49</v>
      </c>
      <c r="B59" s="35">
        <v>395725</v>
      </c>
      <c r="C59" s="27" t="s">
        <v>30640</v>
      </c>
      <c r="D59" s="28">
        <v>537</v>
      </c>
      <c r="E59" s="29">
        <v>25830</v>
      </c>
      <c r="F59" s="27" t="s">
        <v>26449</v>
      </c>
      <c r="G59" s="40">
        <f t="shared" si="3"/>
        <v>571.04</v>
      </c>
      <c r="I59" s="10" t="str">
        <f t="shared" si="4"/>
        <v>ERR</v>
      </c>
      <c r="J59" s="13" t="str">
        <f t="shared" si="5"/>
        <v>395725</v>
      </c>
      <c r="K59" s="12" t="str">
        <f>VLOOKUP($J59,Base!$A$2:$H$42700,2,FALSE)</f>
        <v xml:space="preserve"> CARITEY </v>
      </c>
      <c r="L59" s="12">
        <f>VLOOKUP($J59,Base!$A$2:$H$42700,8,FALSE)</f>
        <v>571.04</v>
      </c>
      <c r="M59" s="12" t="str">
        <f>VLOOKUP($J59,Base!$A$2:$H$42700,7,FALSE)</f>
        <v xml:space="preserve"> ESPERANCE LEDONIENNE </v>
      </c>
    </row>
    <row r="60" spans="1:13" s="7" customFormat="1" x14ac:dyDescent="0.25">
      <c r="A60" s="28">
        <v>50</v>
      </c>
      <c r="B60" s="35">
        <v>8518904</v>
      </c>
      <c r="C60" s="27" t="s">
        <v>30641</v>
      </c>
      <c r="D60" s="28">
        <v>531</v>
      </c>
      <c r="E60" s="29">
        <v>27303</v>
      </c>
      <c r="F60" s="27" t="s">
        <v>26354</v>
      </c>
      <c r="G60" s="40">
        <f t="shared" si="3"/>
        <v>545.16999999999996</v>
      </c>
      <c r="I60" s="10" t="str">
        <f t="shared" si="4"/>
        <v>ERR</v>
      </c>
      <c r="J60" s="13" t="str">
        <f t="shared" si="5"/>
        <v>8518904</v>
      </c>
      <c r="K60" s="12" t="str">
        <f>VLOOKUP($J60,Base!$A$2:$H$42700,2,FALSE)</f>
        <v xml:space="preserve"> BROCHARD </v>
      </c>
      <c r="L60" s="12">
        <f>VLOOKUP($J60,Base!$A$2:$H$42700,8,FALSE)</f>
        <v>545.16999999999996</v>
      </c>
      <c r="M60" s="12" t="str">
        <f>VLOOKUP($J60,Base!$A$2:$H$42700,7,FALSE)</f>
        <v xml:space="preserve"> FERRIERE VENDEE TENNIS DE </v>
      </c>
    </row>
    <row r="61" spans="1:13" s="7" customFormat="1" x14ac:dyDescent="0.25">
      <c r="A61" s="28">
        <v>51</v>
      </c>
      <c r="B61" s="35">
        <v>2210224</v>
      </c>
      <c r="C61" s="27" t="s">
        <v>30642</v>
      </c>
      <c r="D61" s="28">
        <v>500</v>
      </c>
      <c r="E61" s="29">
        <v>26930</v>
      </c>
      <c r="F61" s="27" t="s">
        <v>26380</v>
      </c>
      <c r="G61" s="40">
        <f t="shared" si="3"/>
        <v>405.62</v>
      </c>
      <c r="I61" s="10" t="str">
        <f t="shared" si="4"/>
        <v>ERR</v>
      </c>
      <c r="J61" s="13" t="str">
        <f t="shared" si="5"/>
        <v>2210224</v>
      </c>
      <c r="K61" s="12" t="str">
        <f>VLOOKUP($J61,Base!$A$2:$H$42700,2,FALSE)</f>
        <v xml:space="preserve"> JORAND </v>
      </c>
      <c r="L61" s="12">
        <f>VLOOKUP($J61,Base!$A$2:$H$42700,8,FALSE)</f>
        <v>405.62</v>
      </c>
      <c r="M61" s="12" t="str">
        <f>VLOOKUP($J61,Base!$A$2:$H$42700,7,FALSE)</f>
        <v xml:space="preserve"> Argantel Club PLERIN </v>
      </c>
    </row>
  </sheetData>
  <sortState ref="A11:M61">
    <sortCondition descending="1" ref="G11:G61"/>
  </sortState>
  <mergeCells count="3">
    <mergeCell ref="A6:F6"/>
    <mergeCell ref="A7:F7"/>
    <mergeCell ref="I7:M7"/>
  </mergeCells>
  <printOptions horizontalCentered="1"/>
  <pageMargins left="0.19685039370078741" right="0.19685039370078741" top="0.59055118110236227" bottom="0.59055118110236227" header="0.31496062992125984" footer="0.31496062992125984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M54"/>
  <sheetViews>
    <sheetView showGridLines="0" zoomScale="130" zoomScaleNormal="130" workbookViewId="0">
      <selection activeCell="F8" sqref="F8"/>
    </sheetView>
  </sheetViews>
  <sheetFormatPr baseColWidth="10" defaultColWidth="11.44140625" defaultRowHeight="10.199999999999999" x14ac:dyDescent="0.25"/>
  <cols>
    <col min="1" max="1" width="3.6640625" style="5" customWidth="1"/>
    <col min="2" max="2" width="7.88671875" style="6" customWidth="1"/>
    <col min="3" max="3" width="28.44140625" style="5" customWidth="1"/>
    <col min="4" max="4" width="8.6640625" style="6" customWidth="1"/>
    <col min="5" max="5" width="10.6640625" style="6" customWidth="1"/>
    <col min="6" max="6" width="45.44140625" style="5" customWidth="1"/>
    <col min="7" max="7" width="8.77734375" style="5" customWidth="1"/>
    <col min="8" max="9" width="4" style="5" customWidth="1"/>
    <col min="10" max="10" width="8" style="11" customWidth="1"/>
    <col min="11" max="11" width="21" style="8" customWidth="1"/>
    <col min="12" max="12" width="11.44140625" style="8" customWidth="1"/>
    <col min="13" max="13" width="29.5546875" style="8" customWidth="1"/>
    <col min="14" max="16384" width="11.44140625" style="5"/>
  </cols>
  <sheetData>
    <row r="1" spans="1:13" x14ac:dyDescent="0.25">
      <c r="A1" s="1" t="s">
        <v>26504</v>
      </c>
      <c r="B1" s="3"/>
      <c r="C1" s="2"/>
      <c r="E1" s="3"/>
      <c r="F1" s="4" t="s">
        <v>26508</v>
      </c>
      <c r="G1" s="4"/>
    </row>
    <row r="2" spans="1:13" x14ac:dyDescent="0.25">
      <c r="A2" s="1" t="s">
        <v>23</v>
      </c>
      <c r="B2" s="3"/>
      <c r="C2" s="2"/>
      <c r="E2" s="3"/>
      <c r="F2" s="3"/>
      <c r="G2" s="3"/>
    </row>
    <row r="3" spans="1:13" x14ac:dyDescent="0.25">
      <c r="A3" s="1" t="s">
        <v>26349</v>
      </c>
      <c r="B3" s="3"/>
      <c r="C3" s="2"/>
      <c r="E3" s="3"/>
      <c r="F3" s="4"/>
      <c r="G3" s="4"/>
    </row>
    <row r="4" spans="1:13" x14ac:dyDescent="0.25">
      <c r="A4" s="1" t="s">
        <v>0</v>
      </c>
      <c r="B4" s="3"/>
      <c r="C4" s="2"/>
      <c r="E4" s="3"/>
      <c r="F4" s="3"/>
      <c r="G4" s="3"/>
    </row>
    <row r="5" spans="1:13" x14ac:dyDescent="0.25">
      <c r="A5" s="1"/>
      <c r="B5" s="3"/>
      <c r="C5" s="2"/>
      <c r="E5" s="3"/>
      <c r="F5" s="3"/>
      <c r="G5" s="3"/>
    </row>
    <row r="6" spans="1:13" ht="21" x14ac:dyDescent="0.25">
      <c r="A6" s="50" t="s">
        <v>26503</v>
      </c>
      <c r="B6" s="50"/>
      <c r="C6" s="50"/>
      <c r="D6" s="50"/>
      <c r="E6" s="50"/>
      <c r="F6" s="50"/>
      <c r="G6" s="22"/>
    </row>
    <row r="7" spans="1:13" ht="28.5" customHeight="1" x14ac:dyDescent="0.25">
      <c r="A7" s="51" t="s">
        <v>19</v>
      </c>
      <c r="B7" s="51"/>
      <c r="C7" s="51"/>
      <c r="D7" s="51"/>
      <c r="E7" s="51"/>
      <c r="F7" s="51"/>
      <c r="G7" s="23"/>
      <c r="I7" s="52" t="s">
        <v>8</v>
      </c>
      <c r="J7" s="53"/>
      <c r="K7" s="53"/>
      <c r="L7" s="53"/>
      <c r="M7" s="53"/>
    </row>
    <row r="8" spans="1:13" x14ac:dyDescent="0.25">
      <c r="A8" s="1"/>
      <c r="B8" s="3"/>
      <c r="C8" s="2"/>
      <c r="E8" s="3"/>
      <c r="F8" s="49" t="s">
        <v>30643</v>
      </c>
      <c r="G8" s="3"/>
    </row>
    <row r="10" spans="1:13" s="7" customFormat="1" ht="30.6" x14ac:dyDescent="0.25">
      <c r="A10" s="37" t="s">
        <v>2</v>
      </c>
      <c r="B10" s="37" t="s">
        <v>1</v>
      </c>
      <c r="C10" s="37" t="s">
        <v>4</v>
      </c>
      <c r="D10" s="38" t="s">
        <v>26509</v>
      </c>
      <c r="E10" s="39" t="s">
        <v>10</v>
      </c>
      <c r="F10" s="37" t="s">
        <v>5</v>
      </c>
      <c r="G10" s="39" t="s">
        <v>26510</v>
      </c>
      <c r="I10" s="9" t="s">
        <v>7</v>
      </c>
      <c r="J10" s="9" t="s">
        <v>1</v>
      </c>
      <c r="K10" s="9" t="s">
        <v>4</v>
      </c>
      <c r="L10" s="9" t="s">
        <v>3</v>
      </c>
      <c r="M10" s="9" t="s">
        <v>6</v>
      </c>
    </row>
    <row r="11" spans="1:13" s="7" customFormat="1" ht="11.25" customHeight="1" x14ac:dyDescent="0.25">
      <c r="A11" s="25">
        <v>1</v>
      </c>
      <c r="B11" s="35">
        <v>9126255</v>
      </c>
      <c r="C11" s="27" t="s">
        <v>30410</v>
      </c>
      <c r="D11" s="28">
        <v>1414</v>
      </c>
      <c r="E11" s="29">
        <v>23270</v>
      </c>
      <c r="F11" s="27" t="s">
        <v>26390</v>
      </c>
      <c r="G11" s="26">
        <f t="shared" ref="G11:G54" si="0">L11</f>
        <v>1411.17</v>
      </c>
      <c r="I11" s="10" t="str">
        <f t="shared" ref="I11:I54" si="1">IF(C11=K11,"","ERR")</f>
        <v>ERR</v>
      </c>
      <c r="J11" s="13" t="str">
        <f t="shared" ref="J11:J54" si="2">LEFT(B11,LEN(B11))</f>
        <v>9126255</v>
      </c>
      <c r="K11" s="12" t="str">
        <f>VLOOKUP($J11,Base!$A$2:$H$42700,2,FALSE)</f>
        <v xml:space="preserve"> COME </v>
      </c>
      <c r="L11" s="12">
        <f>VLOOKUP($J11,Base!$A$2:$H$42700,8,FALSE)</f>
        <v>1411.17</v>
      </c>
      <c r="M11" s="12" t="str">
        <f>VLOOKUP($J11,Base!$A$2:$H$42700,7,FALSE)</f>
        <v xml:space="preserve"> CHATENAY MALABRY  T T ASV </v>
      </c>
    </row>
    <row r="12" spans="1:13" s="7" customFormat="1" ht="11.25" customHeight="1" x14ac:dyDescent="0.25">
      <c r="A12" s="25">
        <v>2</v>
      </c>
      <c r="B12" s="35">
        <v>50474</v>
      </c>
      <c r="C12" s="27" t="s">
        <v>30409</v>
      </c>
      <c r="D12" s="28">
        <v>1413</v>
      </c>
      <c r="E12" s="29">
        <v>24633</v>
      </c>
      <c r="F12" s="27" t="s">
        <v>26477</v>
      </c>
      <c r="G12" s="26">
        <f t="shared" si="0"/>
        <v>1386.67</v>
      </c>
      <c r="I12" s="10" t="str">
        <f t="shared" si="1"/>
        <v>ERR</v>
      </c>
      <c r="J12" s="13" t="str">
        <f t="shared" si="2"/>
        <v>50474</v>
      </c>
      <c r="K12" s="12" t="str">
        <f>VLOOKUP($J12,Base!$A$2:$H$42700,2,FALSE)</f>
        <v xml:space="preserve"> MESLIN </v>
      </c>
      <c r="L12" s="12">
        <f>VLOOKUP($J12,Base!$A$2:$H$42700,8,FALSE)</f>
        <v>1386.67</v>
      </c>
      <c r="M12" s="12" t="str">
        <f>VLOOKUP($J12,Base!$A$2:$H$42700,7,FALSE)</f>
        <v xml:space="preserve"> COUTANCES JA TT </v>
      </c>
    </row>
    <row r="13" spans="1:13" s="7" customFormat="1" ht="11.25" customHeight="1" x14ac:dyDescent="0.25">
      <c r="A13" s="25">
        <v>3</v>
      </c>
      <c r="B13" s="35">
        <v>62479</v>
      </c>
      <c r="C13" s="27" t="s">
        <v>30407</v>
      </c>
      <c r="D13" s="28">
        <v>1260</v>
      </c>
      <c r="E13" s="29">
        <v>21731</v>
      </c>
      <c r="F13" s="27" t="s">
        <v>26474</v>
      </c>
      <c r="G13" s="26">
        <f t="shared" si="0"/>
        <v>1267.67</v>
      </c>
      <c r="I13" s="10" t="str">
        <f t="shared" si="1"/>
        <v>ERR</v>
      </c>
      <c r="J13" s="13" t="str">
        <f t="shared" si="2"/>
        <v>62479</v>
      </c>
      <c r="K13" s="12" t="str">
        <f>VLOOKUP($J13,Base!$A$2:$H$42700,2,FALSE)</f>
        <v xml:space="preserve"> DEBOMY </v>
      </c>
      <c r="L13" s="12">
        <f>VLOOKUP($J13,Base!$A$2:$H$42700,8,FALSE)</f>
        <v>1267.67</v>
      </c>
      <c r="M13" s="12" t="str">
        <f>VLOOKUP($J13,Base!$A$2:$H$42700,7,FALSE)</f>
        <v xml:space="preserve"> BOULOGNE SUR MER ABCP </v>
      </c>
    </row>
    <row r="14" spans="1:13" s="7" customFormat="1" ht="11.25" customHeight="1" x14ac:dyDescent="0.25">
      <c r="A14" s="25">
        <v>4</v>
      </c>
      <c r="B14" s="35">
        <v>732788</v>
      </c>
      <c r="C14" s="27" t="s">
        <v>30415</v>
      </c>
      <c r="D14" s="28">
        <v>1258</v>
      </c>
      <c r="E14" s="29">
        <v>25089</v>
      </c>
      <c r="F14" s="27" t="s">
        <v>26460</v>
      </c>
      <c r="G14" s="26">
        <f t="shared" si="0"/>
        <v>1255.92</v>
      </c>
      <c r="I14" s="10" t="str">
        <f t="shared" si="1"/>
        <v>ERR</v>
      </c>
      <c r="J14" s="13" t="str">
        <f t="shared" si="2"/>
        <v>732788</v>
      </c>
      <c r="K14" s="12" t="str">
        <f>VLOOKUP($J14,Base!$A$2:$H$42700,2,FALSE)</f>
        <v xml:space="preserve"> KOVACS </v>
      </c>
      <c r="L14" s="12">
        <f>VLOOKUP($J14,Base!$A$2:$H$42700,8,FALSE)</f>
        <v>1255.92</v>
      </c>
      <c r="M14" s="12" t="str">
        <f>VLOOKUP($J14,Base!$A$2:$H$42700,7,FALSE)</f>
        <v xml:space="preserve"> T.T. LA MOTTE SERVOLEX </v>
      </c>
    </row>
    <row r="15" spans="1:13" s="7" customFormat="1" ht="11.25" customHeight="1" x14ac:dyDescent="0.25">
      <c r="A15" s="25">
        <v>5</v>
      </c>
      <c r="B15" s="35">
        <v>92754</v>
      </c>
      <c r="C15" s="27" t="s">
        <v>30375</v>
      </c>
      <c r="D15" s="28">
        <v>1260</v>
      </c>
      <c r="E15" s="29">
        <v>23633</v>
      </c>
      <c r="F15" s="27" t="s">
        <v>26352</v>
      </c>
      <c r="G15" s="26">
        <f t="shared" si="0"/>
        <v>1251.17</v>
      </c>
      <c r="I15" s="10" t="str">
        <f t="shared" si="1"/>
        <v>ERR</v>
      </c>
      <c r="J15" s="13" t="str">
        <f t="shared" si="2"/>
        <v>92754</v>
      </c>
      <c r="K15" s="12" t="str">
        <f>VLOOKUP($J15,Base!$A$2:$H$42700,2,FALSE)</f>
        <v xml:space="preserve"> VEILLEROT </v>
      </c>
      <c r="L15" s="12">
        <f>VLOOKUP($J15,Base!$A$2:$H$42700,8,FALSE)</f>
        <v>1251.17</v>
      </c>
      <c r="M15" s="12" t="str">
        <f>VLOOKUP($J15,Base!$A$2:$H$42700,7,FALSE)</f>
        <v xml:space="preserve"> BOIS COLOMBES SPORTS </v>
      </c>
    </row>
    <row r="16" spans="1:13" s="7" customFormat="1" ht="11.25" customHeight="1" x14ac:dyDescent="0.25">
      <c r="A16" s="25">
        <v>6</v>
      </c>
      <c r="B16" s="35">
        <v>2921160</v>
      </c>
      <c r="C16" s="27" t="s">
        <v>30377</v>
      </c>
      <c r="D16" s="28">
        <v>1281</v>
      </c>
      <c r="E16" s="29">
        <v>22825</v>
      </c>
      <c r="F16" s="27" t="s">
        <v>26380</v>
      </c>
      <c r="G16" s="26">
        <f t="shared" si="0"/>
        <v>1244.29</v>
      </c>
      <c r="I16" s="10" t="str">
        <f t="shared" si="1"/>
        <v>ERR</v>
      </c>
      <c r="J16" s="13" t="str">
        <f t="shared" si="2"/>
        <v>2921160</v>
      </c>
      <c r="K16" s="12" t="str">
        <f>VLOOKUP($J16,Base!$A$2:$H$42700,2,FALSE)</f>
        <v xml:space="preserve"> ROSCONVAL-MARENGUE </v>
      </c>
      <c r="L16" s="12">
        <f>VLOOKUP($J16,Base!$A$2:$H$42700,8,FALSE)</f>
        <v>1244.29</v>
      </c>
      <c r="M16" s="12" t="str">
        <f>VLOOKUP($J16,Base!$A$2:$H$42700,7,FALSE)</f>
        <v xml:space="preserve"> Argantel Club PLERIN </v>
      </c>
    </row>
    <row r="17" spans="1:13" s="7" customFormat="1" ht="11.25" customHeight="1" x14ac:dyDescent="0.25">
      <c r="A17" s="25">
        <v>7</v>
      </c>
      <c r="B17" s="35">
        <v>289288</v>
      </c>
      <c r="C17" s="27" t="s">
        <v>30372</v>
      </c>
      <c r="D17" s="28">
        <v>1195</v>
      </c>
      <c r="E17" s="29">
        <v>23898</v>
      </c>
      <c r="F17" s="27" t="s">
        <v>26472</v>
      </c>
      <c r="G17" s="26">
        <f t="shared" si="0"/>
        <v>1234.17</v>
      </c>
      <c r="I17" s="10" t="str">
        <f t="shared" si="1"/>
        <v>ERR</v>
      </c>
      <c r="J17" s="13" t="str">
        <f t="shared" si="2"/>
        <v>289288</v>
      </c>
      <c r="K17" s="12" t="str">
        <f>VLOOKUP($J17,Base!$A$2:$H$42700,2,FALSE)</f>
        <v xml:space="preserve"> BIGOT </v>
      </c>
      <c r="L17" s="12">
        <f>VLOOKUP($J17,Base!$A$2:$H$42700,8,FALSE)</f>
        <v>1234.17</v>
      </c>
      <c r="M17" s="12" t="str">
        <f>VLOOKUP($J17,Base!$A$2:$H$42700,7,FALSE)</f>
        <v xml:space="preserve"> PAYS COURVILLOIS TT </v>
      </c>
    </row>
    <row r="18" spans="1:13" s="7" customFormat="1" ht="11.25" customHeight="1" x14ac:dyDescent="0.25">
      <c r="A18" s="25">
        <v>8</v>
      </c>
      <c r="B18" s="35">
        <v>2211156</v>
      </c>
      <c r="C18" s="27" t="s">
        <v>30405</v>
      </c>
      <c r="D18" s="28">
        <v>1222</v>
      </c>
      <c r="E18" s="29">
        <v>24886</v>
      </c>
      <c r="F18" s="27" t="s">
        <v>30389</v>
      </c>
      <c r="G18" s="26">
        <f t="shared" si="0"/>
        <v>1187.29</v>
      </c>
      <c r="I18" s="10" t="str">
        <f t="shared" si="1"/>
        <v>ERR</v>
      </c>
      <c r="J18" s="13" t="str">
        <f t="shared" si="2"/>
        <v>2211156</v>
      </c>
      <c r="K18" s="12" t="str">
        <f>VLOOKUP($J18,Base!$A$2:$H$42700,2,FALSE)</f>
        <v xml:space="preserve"> LUCAS-MAQUIN </v>
      </c>
      <c r="L18" s="12">
        <f>VLOOKUP($J18,Base!$A$2:$H$42700,8,FALSE)</f>
        <v>1187.29</v>
      </c>
      <c r="M18" s="12" t="str">
        <f>VLOOKUP($J18,Base!$A$2:$H$42700,7,FALSE)</f>
        <v xml:space="preserve"> ESPERANCE ST-QUAY PORTRIE </v>
      </c>
    </row>
    <row r="19" spans="1:13" s="7" customFormat="1" ht="11.25" customHeight="1" x14ac:dyDescent="0.25">
      <c r="A19" s="25">
        <v>9</v>
      </c>
      <c r="B19" s="35">
        <v>7621665</v>
      </c>
      <c r="C19" s="27" t="s">
        <v>30393</v>
      </c>
      <c r="D19" s="28">
        <v>1166</v>
      </c>
      <c r="E19" s="29">
        <v>22036</v>
      </c>
      <c r="F19" s="27" t="s">
        <v>26411</v>
      </c>
      <c r="G19" s="26">
        <f t="shared" si="0"/>
        <v>1178.17</v>
      </c>
      <c r="I19" s="10" t="str">
        <f t="shared" si="1"/>
        <v>ERR</v>
      </c>
      <c r="J19" s="13" t="str">
        <f t="shared" si="2"/>
        <v>7621665</v>
      </c>
      <c r="K19" s="12" t="str">
        <f>VLOOKUP($J19,Base!$A$2:$H$42700,2,FALSE)</f>
        <v xml:space="preserve"> TANGUY </v>
      </c>
      <c r="L19" s="12">
        <f>VLOOKUP($J19,Base!$A$2:$H$42700,8,FALSE)</f>
        <v>1178.17</v>
      </c>
      <c r="M19" s="12" t="str">
        <f>VLOOKUP($J19,Base!$A$2:$H$42700,7,FALSE)</f>
        <v xml:space="preserve"> S SOTTEVILLAIS CHEMN C </v>
      </c>
    </row>
    <row r="20" spans="1:13" s="7" customFormat="1" ht="11.25" customHeight="1" x14ac:dyDescent="0.25">
      <c r="A20" s="25">
        <v>10</v>
      </c>
      <c r="B20" s="35">
        <v>34100</v>
      </c>
      <c r="C20" s="27" t="s">
        <v>30413</v>
      </c>
      <c r="D20" s="28">
        <v>1170</v>
      </c>
      <c r="E20" s="29">
        <v>21819</v>
      </c>
      <c r="F20" s="27" t="s">
        <v>30374</v>
      </c>
      <c r="G20" s="26">
        <f t="shared" si="0"/>
        <v>1161.92</v>
      </c>
      <c r="I20" s="10" t="str">
        <f t="shared" si="1"/>
        <v>ERR</v>
      </c>
      <c r="J20" s="13" t="str">
        <f t="shared" si="2"/>
        <v>34100</v>
      </c>
      <c r="K20" s="12" t="str">
        <f>VLOOKUP($J20,Base!$A$2:$H$42700,2,FALSE)</f>
        <v xml:space="preserve"> CHEVASSUS-ROSSET </v>
      </c>
      <c r="L20" s="12">
        <f>VLOOKUP($J20,Base!$A$2:$H$42700,8,FALSE)</f>
        <v>1161.92</v>
      </c>
      <c r="M20" s="12" t="str">
        <f>VLOOKUP($J20,Base!$A$2:$H$42700,7,FALSE)</f>
        <v xml:space="preserve"> MONTPELLIER TT </v>
      </c>
    </row>
    <row r="21" spans="1:13" s="7" customFormat="1" ht="11.25" customHeight="1" x14ac:dyDescent="0.25">
      <c r="A21" s="25">
        <v>11</v>
      </c>
      <c r="B21" s="35">
        <v>4437391</v>
      </c>
      <c r="C21" s="27" t="s">
        <v>30385</v>
      </c>
      <c r="D21" s="28">
        <v>1110</v>
      </c>
      <c r="E21" s="29">
        <v>22433</v>
      </c>
      <c r="F21" s="27" t="s">
        <v>26384</v>
      </c>
      <c r="G21" s="26">
        <f t="shared" si="0"/>
        <v>1119.67</v>
      </c>
      <c r="I21" s="10" t="str">
        <f t="shared" si="1"/>
        <v>ERR</v>
      </c>
      <c r="J21" s="13" t="str">
        <f t="shared" si="2"/>
        <v>4437391</v>
      </c>
      <c r="K21" s="12" t="str">
        <f>VLOOKUP($J21,Base!$A$2:$H$42700,2,FALSE)</f>
        <v xml:space="preserve"> ALLEAUME </v>
      </c>
      <c r="L21" s="12">
        <f>VLOOKUP($J21,Base!$A$2:$H$42700,8,FALSE)</f>
        <v>1119.67</v>
      </c>
      <c r="M21" s="12" t="str">
        <f>VLOOKUP($J21,Base!$A$2:$H$42700,7,FALSE)</f>
        <v xml:space="preserve"> NANTES TTCNA </v>
      </c>
    </row>
    <row r="22" spans="1:13" s="7" customFormat="1" ht="11.25" customHeight="1" x14ac:dyDescent="0.25">
      <c r="A22" s="25">
        <v>12</v>
      </c>
      <c r="B22" s="35">
        <v>628239</v>
      </c>
      <c r="C22" s="27" t="s">
        <v>30390</v>
      </c>
      <c r="D22" s="28">
        <v>1092</v>
      </c>
      <c r="E22" s="29">
        <v>24003</v>
      </c>
      <c r="F22" s="27" t="s">
        <v>26356</v>
      </c>
      <c r="G22" s="26">
        <f t="shared" si="0"/>
        <v>1114.17</v>
      </c>
      <c r="I22" s="10" t="str">
        <f t="shared" si="1"/>
        <v>ERR</v>
      </c>
      <c r="J22" s="13" t="str">
        <f t="shared" si="2"/>
        <v>628239</v>
      </c>
      <c r="K22" s="12" t="str">
        <f>VLOOKUP($J22,Base!$A$2:$H$42700,2,FALSE)</f>
        <v xml:space="preserve"> PAVOT </v>
      </c>
      <c r="L22" s="12">
        <f>VLOOKUP($J22,Base!$A$2:$H$42700,8,FALSE)</f>
        <v>1114.17</v>
      </c>
      <c r="M22" s="12" t="str">
        <f>VLOOKUP($J22,Base!$A$2:$H$42700,7,FALSE)</f>
        <v xml:space="preserve"> BRUILLE CTT </v>
      </c>
    </row>
    <row r="23" spans="1:13" s="7" customFormat="1" ht="11.25" customHeight="1" x14ac:dyDescent="0.25">
      <c r="A23" s="25">
        <v>13</v>
      </c>
      <c r="B23" s="35" t="s">
        <v>26500</v>
      </c>
      <c r="C23" s="27" t="s">
        <v>30383</v>
      </c>
      <c r="D23" s="28">
        <v>1105</v>
      </c>
      <c r="E23" s="29">
        <v>23104</v>
      </c>
      <c r="F23" s="27" t="s">
        <v>26478</v>
      </c>
      <c r="G23" s="26">
        <f t="shared" si="0"/>
        <v>1077.67</v>
      </c>
      <c r="I23" s="10" t="str">
        <f t="shared" si="1"/>
        <v>ERR</v>
      </c>
      <c r="J23" s="13" t="str">
        <f t="shared" si="2"/>
        <v>021166</v>
      </c>
      <c r="K23" s="12" t="str">
        <f>VLOOKUP($J23,Base!$A$2:$H$42700,2,FALSE)</f>
        <v xml:space="preserve"> MOLINS </v>
      </c>
      <c r="L23" s="12">
        <f>VLOOKUP($J23,Base!$A$2:$H$42700,8,FALSE)</f>
        <v>1077.67</v>
      </c>
      <c r="M23" s="12" t="str">
        <f>VLOOKUP($J23,Base!$A$2:$H$42700,7,FALSE)</f>
        <v xml:space="preserve"> VENIZEL TT </v>
      </c>
    </row>
    <row r="24" spans="1:13" s="7" customFormat="1" ht="11.25" customHeight="1" x14ac:dyDescent="0.25">
      <c r="A24" s="25">
        <v>14</v>
      </c>
      <c r="B24" s="35">
        <v>92307</v>
      </c>
      <c r="C24" s="27" t="s">
        <v>30376</v>
      </c>
      <c r="D24" s="28">
        <v>1096</v>
      </c>
      <c r="E24" s="29">
        <v>22277</v>
      </c>
      <c r="F24" s="27" t="s">
        <v>26390</v>
      </c>
      <c r="G24" s="26">
        <f t="shared" si="0"/>
        <v>1063.17</v>
      </c>
      <c r="I24" s="10" t="str">
        <f t="shared" si="1"/>
        <v>ERR</v>
      </c>
      <c r="J24" s="13" t="str">
        <f t="shared" si="2"/>
        <v>92307</v>
      </c>
      <c r="K24" s="12" t="str">
        <f>VLOOKUP($J24,Base!$A$2:$H$42700,2,FALSE)</f>
        <v xml:space="preserve"> THIVET </v>
      </c>
      <c r="L24" s="12">
        <f>VLOOKUP($J24,Base!$A$2:$H$42700,8,FALSE)</f>
        <v>1063.17</v>
      </c>
      <c r="M24" s="12" t="str">
        <f>VLOOKUP($J24,Base!$A$2:$H$42700,7,FALSE)</f>
        <v xml:space="preserve"> CHATENAY MALABRY  T T ASV </v>
      </c>
    </row>
    <row r="25" spans="1:13" s="7" customFormat="1" ht="11.25" customHeight="1" x14ac:dyDescent="0.25">
      <c r="A25" s="25">
        <v>15</v>
      </c>
      <c r="B25" s="35">
        <v>284913</v>
      </c>
      <c r="C25" s="27" t="s">
        <v>30370</v>
      </c>
      <c r="D25" s="28">
        <v>1030</v>
      </c>
      <c r="E25" s="29">
        <v>22250</v>
      </c>
      <c r="F25" s="27" t="s">
        <v>26473</v>
      </c>
      <c r="G25" s="26">
        <f t="shared" si="0"/>
        <v>1054.17</v>
      </c>
      <c r="I25" s="10" t="str">
        <f t="shared" si="1"/>
        <v>ERR</v>
      </c>
      <c r="J25" s="13" t="str">
        <f t="shared" si="2"/>
        <v>284913</v>
      </c>
      <c r="K25" s="12" t="str">
        <f>VLOOKUP($J25,Base!$A$2:$H$42700,2,FALSE)</f>
        <v xml:space="preserve"> BOISAUBERT </v>
      </c>
      <c r="L25" s="12">
        <f>VLOOKUP($J25,Base!$A$2:$H$42700,8,FALSE)</f>
        <v>1054.17</v>
      </c>
      <c r="M25" s="12" t="str">
        <f>VLOOKUP($J25,Base!$A$2:$H$42700,7,FALSE)</f>
        <v xml:space="preserve"> AMO.MER TT. </v>
      </c>
    </row>
    <row r="26" spans="1:13" s="7" customFormat="1" ht="11.25" customHeight="1" x14ac:dyDescent="0.25">
      <c r="A26" s="25">
        <v>16</v>
      </c>
      <c r="B26" s="35">
        <v>7832409</v>
      </c>
      <c r="C26" s="27" t="s">
        <v>30391</v>
      </c>
      <c r="D26" s="28">
        <v>1094</v>
      </c>
      <c r="E26" s="29">
        <v>22091</v>
      </c>
      <c r="F26" s="27" t="s">
        <v>30128</v>
      </c>
      <c r="G26" s="26">
        <f t="shared" si="0"/>
        <v>1007.67</v>
      </c>
      <c r="I26" s="10" t="str">
        <f t="shared" si="1"/>
        <v>ERR</v>
      </c>
      <c r="J26" s="13" t="str">
        <f t="shared" si="2"/>
        <v>7832409</v>
      </c>
      <c r="K26" s="12" t="str">
        <f>VLOOKUP($J26,Base!$A$2:$H$42700,2,FALSE)</f>
        <v xml:space="preserve"> BERGAMASCHI </v>
      </c>
      <c r="L26" s="12">
        <f>VLOOKUP($J26,Base!$A$2:$H$42700,8,FALSE)</f>
        <v>1007.67</v>
      </c>
      <c r="M26" s="12" t="str">
        <f>VLOOKUP($J26,Base!$A$2:$H$42700,7,FALSE)</f>
        <v xml:space="preserve"> GIGEAN ASM </v>
      </c>
    </row>
    <row r="27" spans="1:13" s="7" customFormat="1" ht="11.25" customHeight="1" x14ac:dyDescent="0.25">
      <c r="A27" s="25">
        <v>17</v>
      </c>
      <c r="B27" s="35">
        <v>8010377</v>
      </c>
      <c r="C27" s="27" t="s">
        <v>30364</v>
      </c>
      <c r="D27" s="28">
        <v>984</v>
      </c>
      <c r="E27" s="29">
        <v>23003</v>
      </c>
      <c r="F27" s="27" t="s">
        <v>26450</v>
      </c>
      <c r="G27" s="26">
        <f t="shared" si="0"/>
        <v>1000.17</v>
      </c>
      <c r="I27" s="10" t="str">
        <f t="shared" si="1"/>
        <v>ERR</v>
      </c>
      <c r="J27" s="13" t="str">
        <f t="shared" si="2"/>
        <v>8010377</v>
      </c>
      <c r="K27" s="12" t="str">
        <f>VLOOKUP($J27,Base!$A$2:$H$42700,2,FALSE)</f>
        <v xml:space="preserve"> HORNEZ </v>
      </c>
      <c r="L27" s="12">
        <f>VLOOKUP($J27,Base!$A$2:$H$42700,8,FALSE)</f>
        <v>1000.17</v>
      </c>
      <c r="M27" s="12" t="str">
        <f>VLOOKUP($J27,Base!$A$2:$H$42700,7,FALSE)</f>
        <v xml:space="preserve"> BETHUNE-BEUVRY ASTT </v>
      </c>
    </row>
    <row r="28" spans="1:13" s="7" customFormat="1" ht="11.25" customHeight="1" x14ac:dyDescent="0.25">
      <c r="A28" s="25">
        <v>18</v>
      </c>
      <c r="B28" s="35">
        <v>3313880</v>
      </c>
      <c r="C28" s="27" t="s">
        <v>30408</v>
      </c>
      <c r="D28" s="28">
        <v>1017</v>
      </c>
      <c r="E28" s="29">
        <v>23435</v>
      </c>
      <c r="F28" s="27" t="s">
        <v>30400</v>
      </c>
      <c r="G28" s="26">
        <f t="shared" si="0"/>
        <v>999.17</v>
      </c>
      <c r="I28" s="10" t="str">
        <f t="shared" si="1"/>
        <v>ERR</v>
      </c>
      <c r="J28" s="13" t="str">
        <f t="shared" si="2"/>
        <v>3313880</v>
      </c>
      <c r="K28" s="12" t="str">
        <f>VLOOKUP($J28,Base!$A$2:$H$42700,2,FALSE)</f>
        <v xml:space="preserve"> NURDIN </v>
      </c>
      <c r="L28" s="12">
        <f>VLOOKUP($J28,Base!$A$2:$H$42700,8,FALSE)</f>
        <v>999.17</v>
      </c>
      <c r="M28" s="12" t="str">
        <f>VLOOKUP($J28,Base!$A$2:$H$42700,7,FALSE)</f>
        <v xml:space="preserve"> GRADIGNAN TENNIS DE TABLE </v>
      </c>
    </row>
    <row r="29" spans="1:13" s="7" customFormat="1" ht="11.25" customHeight="1" x14ac:dyDescent="0.25">
      <c r="A29" s="25">
        <v>19</v>
      </c>
      <c r="B29" s="35">
        <v>3712561</v>
      </c>
      <c r="C29" s="27" t="s">
        <v>30369</v>
      </c>
      <c r="D29" s="28">
        <v>1016</v>
      </c>
      <c r="E29" s="29">
        <v>25136</v>
      </c>
      <c r="F29" s="27" t="s">
        <v>30381</v>
      </c>
      <c r="G29" s="26">
        <f t="shared" si="0"/>
        <v>997.8</v>
      </c>
      <c r="I29" s="10" t="str">
        <f t="shared" si="1"/>
        <v>ERR</v>
      </c>
      <c r="J29" s="13" t="str">
        <f t="shared" si="2"/>
        <v>3712561</v>
      </c>
      <c r="K29" s="12" t="str">
        <f>VLOOKUP($J29,Base!$A$2:$H$42700,2,FALSE)</f>
        <v xml:space="preserve"> FOUQUET </v>
      </c>
      <c r="L29" s="12">
        <f>VLOOKUP($J29,Base!$A$2:$H$42700,8,FALSE)</f>
        <v>997.8</v>
      </c>
      <c r="M29" s="12" t="str">
        <f>VLOOKUP($J29,Base!$A$2:$H$42700,7,FALSE)</f>
        <v xml:space="preserve"> T.T. JOUE-LES-TOURS </v>
      </c>
    </row>
    <row r="30" spans="1:13" s="7" customFormat="1" ht="11.25" customHeight="1" x14ac:dyDescent="0.25">
      <c r="A30" s="25">
        <v>20</v>
      </c>
      <c r="B30" s="35">
        <v>634737</v>
      </c>
      <c r="C30" s="27" t="s">
        <v>30406</v>
      </c>
      <c r="D30" s="28">
        <v>1035</v>
      </c>
      <c r="E30" s="29">
        <v>22954</v>
      </c>
      <c r="F30" s="27" t="s">
        <v>26485</v>
      </c>
      <c r="G30" s="26">
        <f t="shared" si="0"/>
        <v>997.17</v>
      </c>
      <c r="I30" s="10" t="str">
        <f t="shared" si="1"/>
        <v>ERR</v>
      </c>
      <c r="J30" s="13" t="str">
        <f t="shared" si="2"/>
        <v>634737</v>
      </c>
      <c r="K30" s="12" t="str">
        <f>VLOOKUP($J30,Base!$A$2:$H$42700,2,FALSE)</f>
        <v xml:space="preserve"> MARADEIX </v>
      </c>
      <c r="L30" s="12">
        <f>VLOOKUP($J30,Base!$A$2:$H$42700,8,FALSE)</f>
        <v>997.17</v>
      </c>
      <c r="M30" s="12" t="str">
        <f>VLOOKUP($J30,Base!$A$2:$H$42700,7,FALSE)</f>
        <v xml:space="preserve"> ATSCAF CLERMONT-FD </v>
      </c>
    </row>
    <row r="31" spans="1:13" s="7" customFormat="1" ht="11.25" customHeight="1" x14ac:dyDescent="0.25">
      <c r="A31" s="25">
        <v>21</v>
      </c>
      <c r="B31" s="35" t="s">
        <v>26501</v>
      </c>
      <c r="C31" s="27" t="s">
        <v>30382</v>
      </c>
      <c r="D31" s="28">
        <v>983</v>
      </c>
      <c r="E31" s="29">
        <v>22560</v>
      </c>
      <c r="F31" s="27" t="s">
        <v>30368</v>
      </c>
      <c r="G31" s="26">
        <f t="shared" si="0"/>
        <v>995.79</v>
      </c>
      <c r="I31" s="10" t="str">
        <f t="shared" si="1"/>
        <v>ERR</v>
      </c>
      <c r="J31" s="13" t="str">
        <f t="shared" si="2"/>
        <v>088048</v>
      </c>
      <c r="K31" s="12" t="str">
        <f>VLOOKUP($J31,Base!$A$2:$H$42700,2,FALSE)</f>
        <v xml:space="preserve"> BESTEL </v>
      </c>
      <c r="L31" s="12">
        <f>VLOOKUP($J31,Base!$A$2:$H$42700,8,FALSE)</f>
        <v>995.79</v>
      </c>
      <c r="M31" s="12" t="str">
        <f>VLOOKUP($J31,Base!$A$2:$H$42700,7,FALSE)</f>
        <v xml:space="preserve"> MONTADY  CAPESTANG TT </v>
      </c>
    </row>
    <row r="32" spans="1:13" s="7" customFormat="1" ht="11.25" customHeight="1" x14ac:dyDescent="0.25">
      <c r="A32" s="25">
        <v>22</v>
      </c>
      <c r="B32" s="35">
        <v>491935</v>
      </c>
      <c r="C32" s="27" t="s">
        <v>30412</v>
      </c>
      <c r="D32" s="28">
        <v>1021</v>
      </c>
      <c r="E32" s="29">
        <v>23232</v>
      </c>
      <c r="F32" s="27" t="s">
        <v>26410</v>
      </c>
      <c r="G32" s="26">
        <f t="shared" si="0"/>
        <v>995.17</v>
      </c>
      <c r="I32" s="10" t="str">
        <f t="shared" si="1"/>
        <v>ERR</v>
      </c>
      <c r="J32" s="13" t="str">
        <f t="shared" si="2"/>
        <v>491935</v>
      </c>
      <c r="K32" s="12" t="str">
        <f>VLOOKUP($J32,Base!$A$2:$H$42700,2,FALSE)</f>
        <v xml:space="preserve"> BRUNET </v>
      </c>
      <c r="L32" s="12">
        <f>VLOOKUP($J32,Base!$A$2:$H$42700,8,FALSE)</f>
        <v>995.17</v>
      </c>
      <c r="M32" s="12" t="str">
        <f>VLOOKUP($J32,Base!$A$2:$H$42700,7,FALSE)</f>
        <v xml:space="preserve"> ANGERS VAILLANTE Sports T </v>
      </c>
    </row>
    <row r="33" spans="1:13" s="7" customFormat="1" ht="11.25" customHeight="1" x14ac:dyDescent="0.25">
      <c r="A33" s="25">
        <v>23</v>
      </c>
      <c r="B33" s="35">
        <v>775995</v>
      </c>
      <c r="C33" s="27" t="s">
        <v>30367</v>
      </c>
      <c r="D33" s="28">
        <v>999</v>
      </c>
      <c r="E33" s="29">
        <v>23419</v>
      </c>
      <c r="F33" s="27" t="s">
        <v>26390</v>
      </c>
      <c r="G33" s="26">
        <f t="shared" si="0"/>
        <v>981.92</v>
      </c>
      <c r="I33" s="10" t="str">
        <f t="shared" si="1"/>
        <v>ERR</v>
      </c>
      <c r="J33" s="13" t="str">
        <f t="shared" si="2"/>
        <v>775995</v>
      </c>
      <c r="K33" s="12" t="str">
        <f>VLOOKUP($J33,Base!$A$2:$H$42700,2,FALSE)</f>
        <v xml:space="preserve"> LYSAK </v>
      </c>
      <c r="L33" s="12">
        <f>VLOOKUP($J33,Base!$A$2:$H$42700,8,FALSE)</f>
        <v>981.92</v>
      </c>
      <c r="M33" s="12" t="str">
        <f>VLOOKUP($J33,Base!$A$2:$H$42700,7,FALSE)</f>
        <v xml:space="preserve"> CHATENAY MALABRY  T T ASV </v>
      </c>
    </row>
    <row r="34" spans="1:13" s="7" customFormat="1" ht="11.25" customHeight="1" x14ac:dyDescent="0.25">
      <c r="A34" s="25">
        <v>24</v>
      </c>
      <c r="B34" s="35">
        <v>1316811</v>
      </c>
      <c r="C34" s="27" t="s">
        <v>30388</v>
      </c>
      <c r="D34" s="28">
        <v>916</v>
      </c>
      <c r="E34" s="29">
        <v>24703</v>
      </c>
      <c r="F34" s="27" t="s">
        <v>26482</v>
      </c>
      <c r="G34" s="26">
        <f t="shared" si="0"/>
        <v>959.92</v>
      </c>
      <c r="I34" s="10" t="str">
        <f t="shared" si="1"/>
        <v>ERR</v>
      </c>
      <c r="J34" s="13" t="str">
        <f t="shared" si="2"/>
        <v>1316811</v>
      </c>
      <c r="K34" s="12" t="str">
        <f>VLOOKUP($J34,Base!$A$2:$H$42700,2,FALSE)</f>
        <v xml:space="preserve"> LAROUSSE </v>
      </c>
      <c r="L34" s="12">
        <f>VLOOKUP($J34,Base!$A$2:$H$42700,8,FALSE)</f>
        <v>959.92</v>
      </c>
      <c r="M34" s="12" t="str">
        <f>VLOOKUP($J34,Base!$A$2:$H$42700,7,FALSE)</f>
        <v xml:space="preserve"> NICE CAVIGAL TENNIS DE TA </v>
      </c>
    </row>
    <row r="35" spans="1:13" s="7" customFormat="1" ht="11.25" customHeight="1" x14ac:dyDescent="0.25">
      <c r="A35" s="25">
        <v>25</v>
      </c>
      <c r="B35" s="35">
        <v>608626</v>
      </c>
      <c r="C35" s="27" t="s">
        <v>30373</v>
      </c>
      <c r="D35" s="28">
        <v>976</v>
      </c>
      <c r="E35" s="29">
        <v>25068</v>
      </c>
      <c r="F35" s="27" t="s">
        <v>26454</v>
      </c>
      <c r="G35" s="26">
        <f t="shared" si="0"/>
        <v>958.17</v>
      </c>
      <c r="I35" s="10" t="str">
        <f t="shared" si="1"/>
        <v>ERR</v>
      </c>
      <c r="J35" s="13" t="str">
        <f t="shared" si="2"/>
        <v>608626</v>
      </c>
      <c r="K35" s="12" t="str">
        <f>VLOOKUP($J35,Base!$A$2:$H$42700,2,FALSE)</f>
        <v xml:space="preserve"> TOSSER </v>
      </c>
      <c r="L35" s="12">
        <f>VLOOKUP($J35,Base!$A$2:$H$42700,8,FALSE)</f>
        <v>958.17</v>
      </c>
      <c r="M35" s="12" t="str">
        <f>VLOOKUP($J35,Base!$A$2:$H$42700,7,FALSE)</f>
        <v xml:space="preserve"> BEAUVAIS TT </v>
      </c>
    </row>
    <row r="36" spans="1:13" s="7" customFormat="1" ht="11.25" customHeight="1" x14ac:dyDescent="0.25">
      <c r="A36" s="25">
        <v>26</v>
      </c>
      <c r="B36" s="35">
        <v>7834057</v>
      </c>
      <c r="C36" s="27" t="s">
        <v>30387</v>
      </c>
      <c r="D36" s="28">
        <v>953</v>
      </c>
      <c r="E36" s="29">
        <v>23159</v>
      </c>
      <c r="F36" s="27" t="s">
        <v>26471</v>
      </c>
      <c r="G36" s="26">
        <f t="shared" si="0"/>
        <v>948.17</v>
      </c>
      <c r="I36" s="10" t="str">
        <f t="shared" si="1"/>
        <v>ERR</v>
      </c>
      <c r="J36" s="13" t="str">
        <f t="shared" si="2"/>
        <v>7834057</v>
      </c>
      <c r="K36" s="12" t="str">
        <f>VLOOKUP($J36,Base!$A$2:$H$42700,2,FALSE)</f>
        <v xml:space="preserve"> MOREAU </v>
      </c>
      <c r="L36" s="12">
        <f>VLOOKUP($J36,Base!$A$2:$H$42700,8,FALSE)</f>
        <v>948.17</v>
      </c>
      <c r="M36" s="12" t="str">
        <f>VLOOKUP($J36,Base!$A$2:$H$42700,7,FALSE)</f>
        <v xml:space="preserve"> POISSY USC </v>
      </c>
    </row>
    <row r="37" spans="1:13" s="7" customFormat="1" ht="11.25" customHeight="1" x14ac:dyDescent="0.25">
      <c r="A37" s="25">
        <v>27</v>
      </c>
      <c r="B37" s="35">
        <v>693900</v>
      </c>
      <c r="C37" s="27" t="s">
        <v>30378</v>
      </c>
      <c r="D37" s="28">
        <v>899</v>
      </c>
      <c r="E37" s="29">
        <v>25021</v>
      </c>
      <c r="F37" s="27" t="s">
        <v>12</v>
      </c>
      <c r="G37" s="26">
        <f t="shared" si="0"/>
        <v>942.29</v>
      </c>
      <c r="I37" s="10" t="str">
        <f t="shared" si="1"/>
        <v>ERR</v>
      </c>
      <c r="J37" s="13" t="str">
        <f t="shared" si="2"/>
        <v>693900</v>
      </c>
      <c r="K37" s="12" t="str">
        <f>VLOOKUP($J37,Base!$A$2:$H$42700,2,FALSE)</f>
        <v xml:space="preserve"> BLANC </v>
      </c>
      <c r="L37" s="12">
        <f>VLOOKUP($J37,Base!$A$2:$H$42700,8,FALSE)</f>
        <v>942.29</v>
      </c>
      <c r="M37" s="12" t="str">
        <f>VLOOKUP($J37,Base!$A$2:$H$42700,7,FALSE)</f>
        <v xml:space="preserve"> VAL D'OZON TENNIS DE TABL </v>
      </c>
    </row>
    <row r="38" spans="1:13" s="7" customFormat="1" ht="11.25" customHeight="1" x14ac:dyDescent="0.25">
      <c r="A38" s="25">
        <v>28</v>
      </c>
      <c r="B38" s="35">
        <v>3311441</v>
      </c>
      <c r="C38" s="27" t="s">
        <v>30401</v>
      </c>
      <c r="D38" s="28">
        <v>927</v>
      </c>
      <c r="E38" s="29">
        <v>22631</v>
      </c>
      <c r="F38" s="27" t="s">
        <v>26475</v>
      </c>
      <c r="G38" s="26">
        <f t="shared" si="0"/>
        <v>941.67</v>
      </c>
      <c r="I38" s="10" t="str">
        <f t="shared" si="1"/>
        <v>ERR</v>
      </c>
      <c r="J38" s="13" t="str">
        <f t="shared" si="2"/>
        <v>3311441</v>
      </c>
      <c r="K38" s="12" t="str">
        <f>VLOOKUP($J38,Base!$A$2:$H$42700,2,FALSE)</f>
        <v xml:space="preserve"> TAINON </v>
      </c>
      <c r="L38" s="12">
        <f>VLOOKUP($J38,Base!$A$2:$H$42700,8,FALSE)</f>
        <v>941.67</v>
      </c>
      <c r="M38" s="12" t="str">
        <f>VLOOKUP($J38,Base!$A$2:$H$42700,7,FALSE)</f>
        <v xml:space="preserve"> US TALENCE </v>
      </c>
    </row>
    <row r="39" spans="1:13" s="7" customFormat="1" ht="11.25" customHeight="1" x14ac:dyDescent="0.25">
      <c r="A39" s="25">
        <v>29</v>
      </c>
      <c r="B39" s="35">
        <v>735025</v>
      </c>
      <c r="C39" s="27" t="s">
        <v>30392</v>
      </c>
      <c r="D39" s="28">
        <v>911</v>
      </c>
      <c r="E39" s="29">
        <v>23927</v>
      </c>
      <c r="F39" s="27" t="s">
        <v>26481</v>
      </c>
      <c r="G39" s="26">
        <f t="shared" si="0"/>
        <v>939.17</v>
      </c>
      <c r="I39" s="10" t="str">
        <f t="shared" si="1"/>
        <v>ERR</v>
      </c>
      <c r="J39" s="13" t="str">
        <f t="shared" si="2"/>
        <v>735025</v>
      </c>
      <c r="K39" s="12" t="str">
        <f>VLOOKUP($J39,Base!$A$2:$H$42700,2,FALSE)</f>
        <v xml:space="preserve"> PICARD </v>
      </c>
      <c r="L39" s="12">
        <f>VLOOKUP($J39,Base!$A$2:$H$42700,8,FALSE)</f>
        <v>939.17</v>
      </c>
      <c r="M39" s="12" t="str">
        <f>VLOOKUP($J39,Base!$A$2:$H$42700,7,FALSE)</f>
        <v xml:space="preserve"> ASNANS BEAUVOISIN TT </v>
      </c>
    </row>
    <row r="40" spans="1:13" s="7" customFormat="1" ht="11.25" customHeight="1" x14ac:dyDescent="0.25">
      <c r="A40" s="25">
        <v>30</v>
      </c>
      <c r="B40" s="35">
        <v>882441</v>
      </c>
      <c r="C40" s="27" t="s">
        <v>30396</v>
      </c>
      <c r="D40" s="28">
        <v>934</v>
      </c>
      <c r="E40" s="29">
        <v>23333</v>
      </c>
      <c r="F40" s="27" t="s">
        <v>26476</v>
      </c>
      <c r="G40" s="26">
        <f t="shared" si="0"/>
        <v>933.79</v>
      </c>
      <c r="I40" s="10" t="str">
        <f t="shared" si="1"/>
        <v>ERR</v>
      </c>
      <c r="J40" s="13" t="str">
        <f t="shared" si="2"/>
        <v>882441</v>
      </c>
      <c r="K40" s="12" t="str">
        <f>VLOOKUP($J40,Base!$A$2:$H$42700,2,FALSE)</f>
        <v xml:space="preserve"> FRIRY </v>
      </c>
      <c r="L40" s="12">
        <f>VLOOKUP($J40,Base!$A$2:$H$42700,8,FALSE)</f>
        <v>933.79</v>
      </c>
      <c r="M40" s="12" t="str">
        <f>VLOOKUP($J40,Base!$A$2:$H$42700,7,FALSE)</f>
        <v xml:space="preserve"> GOLBEY </v>
      </c>
    </row>
    <row r="41" spans="1:13" s="7" customFormat="1" ht="11.25" customHeight="1" x14ac:dyDescent="0.25">
      <c r="A41" s="25">
        <v>31</v>
      </c>
      <c r="B41" s="35">
        <v>4428777</v>
      </c>
      <c r="C41" s="27" t="s">
        <v>30366</v>
      </c>
      <c r="D41" s="28">
        <v>905</v>
      </c>
      <c r="E41" s="29">
        <v>24851</v>
      </c>
      <c r="F41" s="27" t="s">
        <v>26464</v>
      </c>
      <c r="G41" s="26">
        <f t="shared" si="0"/>
        <v>931.67</v>
      </c>
      <c r="I41" s="10" t="str">
        <f t="shared" si="1"/>
        <v>ERR</v>
      </c>
      <c r="J41" s="13" t="str">
        <f t="shared" si="2"/>
        <v>4428777</v>
      </c>
      <c r="K41" s="12" t="str">
        <f>VLOOKUP($J41,Base!$A$2:$H$42700,2,FALSE)</f>
        <v xml:space="preserve"> MOUILLARD </v>
      </c>
      <c r="L41" s="12">
        <f>VLOOKUP($J41,Base!$A$2:$H$42700,8,FALSE)</f>
        <v>931.67</v>
      </c>
      <c r="M41" s="12" t="str">
        <f>VLOOKUP($J41,Base!$A$2:$H$42700,7,FALSE)</f>
        <v xml:space="preserve"> ENTEN SPORT ARTHON CHEMER </v>
      </c>
    </row>
    <row r="42" spans="1:13" s="7" customFormat="1" ht="11.25" customHeight="1" x14ac:dyDescent="0.25">
      <c r="A42" s="25">
        <v>32</v>
      </c>
      <c r="B42" s="35">
        <v>634811</v>
      </c>
      <c r="C42" s="27" t="s">
        <v>30403</v>
      </c>
      <c r="D42" s="28">
        <v>904</v>
      </c>
      <c r="E42" s="29">
        <v>23440</v>
      </c>
      <c r="F42" s="27" t="s">
        <v>26485</v>
      </c>
      <c r="G42" s="26">
        <f t="shared" si="0"/>
        <v>913.79</v>
      </c>
      <c r="I42" s="10" t="str">
        <f t="shared" si="1"/>
        <v>ERR</v>
      </c>
      <c r="J42" s="13" t="str">
        <f t="shared" si="2"/>
        <v>634811</v>
      </c>
      <c r="K42" s="12" t="str">
        <f>VLOOKUP($J42,Base!$A$2:$H$42700,2,FALSE)</f>
        <v xml:space="preserve"> THOMARAT </v>
      </c>
      <c r="L42" s="12">
        <f>VLOOKUP($J42,Base!$A$2:$H$42700,8,FALSE)</f>
        <v>913.79</v>
      </c>
      <c r="M42" s="12" t="str">
        <f>VLOOKUP($J42,Base!$A$2:$H$42700,7,FALSE)</f>
        <v xml:space="preserve"> ATSCAF CLERMONT-FD </v>
      </c>
    </row>
    <row r="43" spans="1:13" s="7" customFormat="1" ht="11.25" customHeight="1" x14ac:dyDescent="0.25">
      <c r="A43" s="25">
        <v>33</v>
      </c>
      <c r="B43" s="35">
        <v>4426455</v>
      </c>
      <c r="C43" s="27" t="s">
        <v>30399</v>
      </c>
      <c r="D43" s="28">
        <v>965</v>
      </c>
      <c r="E43" s="29">
        <v>25171</v>
      </c>
      <c r="F43" s="27" t="s">
        <v>26493</v>
      </c>
      <c r="G43" s="26">
        <f t="shared" si="0"/>
        <v>912.17</v>
      </c>
      <c r="I43" s="10" t="str">
        <f t="shared" si="1"/>
        <v>ERR</v>
      </c>
      <c r="J43" s="13" t="str">
        <f t="shared" si="2"/>
        <v>4426455</v>
      </c>
      <c r="K43" s="12" t="str">
        <f>VLOOKUP($J43,Base!$A$2:$H$42700,2,FALSE)</f>
        <v xml:space="preserve"> BAUR </v>
      </c>
      <c r="L43" s="12">
        <f>VLOOKUP($J43,Base!$A$2:$H$42700,8,FALSE)</f>
        <v>912.17</v>
      </c>
      <c r="M43" s="12" t="str">
        <f>VLOOKUP($J43,Base!$A$2:$H$42700,7,FALSE)</f>
        <v xml:space="preserve"> ST NAZAIRE LEON BLUM TT </v>
      </c>
    </row>
    <row r="44" spans="1:13" s="7" customFormat="1" ht="11.25" customHeight="1" x14ac:dyDescent="0.25">
      <c r="A44" s="25">
        <v>34</v>
      </c>
      <c r="B44" s="35">
        <v>6928954</v>
      </c>
      <c r="C44" s="27" t="s">
        <v>30371</v>
      </c>
      <c r="D44" s="28">
        <v>864</v>
      </c>
      <c r="E44" s="29">
        <v>24810</v>
      </c>
      <c r="F44" s="27" t="s">
        <v>12</v>
      </c>
      <c r="G44" s="26">
        <f t="shared" si="0"/>
        <v>862.17</v>
      </c>
      <c r="I44" s="10" t="str">
        <f t="shared" si="1"/>
        <v>ERR</v>
      </c>
      <c r="J44" s="13" t="str">
        <f t="shared" si="2"/>
        <v>6928954</v>
      </c>
      <c r="K44" s="12" t="str">
        <f>VLOOKUP($J44,Base!$A$2:$H$42700,2,FALSE)</f>
        <v xml:space="preserve"> DIDIER </v>
      </c>
      <c r="L44" s="12">
        <f>VLOOKUP($J44,Base!$A$2:$H$42700,8,FALSE)</f>
        <v>862.17</v>
      </c>
      <c r="M44" s="12" t="str">
        <f>VLOOKUP($J44,Base!$A$2:$H$42700,7,FALSE)</f>
        <v xml:space="preserve"> VAL D'OZON TENNIS DE TABL </v>
      </c>
    </row>
    <row r="45" spans="1:13" s="7" customFormat="1" ht="11.25" customHeight="1" x14ac:dyDescent="0.25">
      <c r="A45" s="25">
        <v>35</v>
      </c>
      <c r="B45" s="35">
        <v>5312635</v>
      </c>
      <c r="C45" s="27" t="s">
        <v>30416</v>
      </c>
      <c r="D45" s="28">
        <v>799</v>
      </c>
      <c r="E45" s="29">
        <v>23897</v>
      </c>
      <c r="F45" s="27" t="s">
        <v>26466</v>
      </c>
      <c r="G45" s="26">
        <f t="shared" si="0"/>
        <v>845.04</v>
      </c>
      <c r="I45" s="10" t="str">
        <f t="shared" si="1"/>
        <v>ERR</v>
      </c>
      <c r="J45" s="13" t="str">
        <f t="shared" si="2"/>
        <v>5312635</v>
      </c>
      <c r="K45" s="12" t="str">
        <f>VLOOKUP($J45,Base!$A$2:$H$42700,2,FALSE)</f>
        <v xml:space="preserve"> PAVE </v>
      </c>
      <c r="L45" s="12">
        <f>VLOOKUP($J45,Base!$A$2:$H$42700,8,FALSE)</f>
        <v>845.04</v>
      </c>
      <c r="M45" s="12" t="str">
        <f>VLOOKUP($J45,Base!$A$2:$H$42700,7,FALSE)</f>
        <v xml:space="preserve"> CHÂTEAU GONTIER Tennis de </v>
      </c>
    </row>
    <row r="46" spans="1:13" s="7" customFormat="1" ht="11.25" customHeight="1" x14ac:dyDescent="0.25">
      <c r="A46" s="25">
        <v>36</v>
      </c>
      <c r="B46" s="35">
        <v>78510</v>
      </c>
      <c r="C46" s="27" t="s">
        <v>30397</v>
      </c>
      <c r="D46" s="28">
        <v>854</v>
      </c>
      <c r="E46" s="29">
        <v>22215</v>
      </c>
      <c r="F46" s="27" t="s">
        <v>30386</v>
      </c>
      <c r="G46" s="26">
        <f t="shared" si="0"/>
        <v>840.42</v>
      </c>
      <c r="I46" s="10" t="str">
        <f t="shared" si="1"/>
        <v>ERR</v>
      </c>
      <c r="J46" s="13" t="str">
        <f t="shared" si="2"/>
        <v>78510</v>
      </c>
      <c r="K46" s="12" t="str">
        <f>VLOOKUP($J46,Base!$A$2:$H$42700,2,FALSE)</f>
        <v xml:space="preserve"> KANDIN </v>
      </c>
      <c r="L46" s="12">
        <f>VLOOKUP($J46,Base!$A$2:$H$42700,8,FALSE)</f>
        <v>840.42</v>
      </c>
      <c r="M46" s="12" t="str">
        <f>VLOOKUP($J46,Base!$A$2:$H$42700,7,FALSE)</f>
        <v xml:space="preserve"> SARTROUVILLOIS TT </v>
      </c>
    </row>
    <row r="47" spans="1:13" s="7" customFormat="1" x14ac:dyDescent="0.25">
      <c r="A47" s="25">
        <v>37</v>
      </c>
      <c r="B47" s="35">
        <v>7511555</v>
      </c>
      <c r="C47" s="27" t="s">
        <v>30384</v>
      </c>
      <c r="D47" s="28">
        <v>824</v>
      </c>
      <c r="E47" s="29">
        <v>24433</v>
      </c>
      <c r="F47" s="27" t="s">
        <v>26479</v>
      </c>
      <c r="G47" s="26">
        <f t="shared" si="0"/>
        <v>828.17</v>
      </c>
      <c r="I47" s="10" t="str">
        <f t="shared" si="1"/>
        <v>ERR</v>
      </c>
      <c r="J47" s="13" t="str">
        <f t="shared" si="2"/>
        <v>7511555</v>
      </c>
      <c r="K47" s="12" t="str">
        <f>VLOOKUP($J47,Base!$A$2:$H$42700,2,FALSE)</f>
        <v xml:space="preserve"> PAPON </v>
      </c>
      <c r="L47" s="12">
        <f>VLOOKUP($J47,Base!$A$2:$H$42700,8,FALSE)</f>
        <v>828.17</v>
      </c>
      <c r="M47" s="12" t="str">
        <f>VLOOKUP($J47,Base!$A$2:$H$42700,7,FALSE)</f>
        <v xml:space="preserve"> ASFT TT FONTENAY TRESIGNY </v>
      </c>
    </row>
    <row r="48" spans="1:13" s="7" customFormat="1" x14ac:dyDescent="0.25">
      <c r="A48" s="25">
        <v>38</v>
      </c>
      <c r="B48" s="35">
        <v>3811279</v>
      </c>
      <c r="C48" s="27" t="s">
        <v>30365</v>
      </c>
      <c r="D48" s="28">
        <v>801</v>
      </c>
      <c r="E48" s="29">
        <v>23922</v>
      </c>
      <c r="F48" s="27" t="s">
        <v>26431</v>
      </c>
      <c r="G48" s="26">
        <f t="shared" si="0"/>
        <v>804.79</v>
      </c>
      <c r="I48" s="10" t="str">
        <f t="shared" si="1"/>
        <v>ERR</v>
      </c>
      <c r="J48" s="13" t="str">
        <f t="shared" si="2"/>
        <v>3811279</v>
      </c>
      <c r="K48" s="12" t="str">
        <f>VLOOKUP($J48,Base!$A$2:$H$42700,2,FALSE)</f>
        <v xml:space="preserve"> MOUGEOT </v>
      </c>
      <c r="L48" s="12">
        <f>VLOOKUP($J48,Base!$A$2:$H$42700,8,FALSE)</f>
        <v>804.79</v>
      </c>
      <c r="M48" s="12" t="str">
        <f>VLOOKUP($J48,Base!$A$2:$H$42700,7,FALSE)</f>
        <v xml:space="preserve"> STENAY P.P.C. </v>
      </c>
    </row>
    <row r="49" spans="1:13" s="7" customFormat="1" x14ac:dyDescent="0.25">
      <c r="A49" s="25">
        <v>39</v>
      </c>
      <c r="B49" s="35">
        <v>694637</v>
      </c>
      <c r="C49" s="27" t="s">
        <v>30411</v>
      </c>
      <c r="D49" s="28">
        <v>813</v>
      </c>
      <c r="E49" s="29">
        <v>22400</v>
      </c>
      <c r="F49" s="27" t="s">
        <v>30402</v>
      </c>
      <c r="G49" s="26">
        <f t="shared" si="0"/>
        <v>798.54</v>
      </c>
      <c r="I49" s="10" t="str">
        <f t="shared" si="1"/>
        <v>ERR</v>
      </c>
      <c r="J49" s="13" t="str">
        <f t="shared" si="2"/>
        <v>694637</v>
      </c>
      <c r="K49" s="12" t="str">
        <f>VLOOKUP($J49,Base!$A$2:$H$42700,2,FALSE)</f>
        <v xml:space="preserve"> PAGES </v>
      </c>
      <c r="L49" s="12">
        <f>VLOOKUP($J49,Base!$A$2:$H$42700,8,FALSE)</f>
        <v>798.54</v>
      </c>
      <c r="M49" s="12" t="str">
        <f>VLOOKUP($J49,Base!$A$2:$H$42700,7,FALSE)</f>
        <v xml:space="preserve"> CTT VANNES MÉNIMUR </v>
      </c>
    </row>
    <row r="50" spans="1:13" s="7" customFormat="1" x14ac:dyDescent="0.25">
      <c r="A50" s="25">
        <v>40</v>
      </c>
      <c r="B50" s="35">
        <v>628634</v>
      </c>
      <c r="C50" s="27" t="s">
        <v>30414</v>
      </c>
      <c r="D50" s="28">
        <v>785</v>
      </c>
      <c r="E50" s="29">
        <v>21638</v>
      </c>
      <c r="F50" s="27" t="s">
        <v>26381</v>
      </c>
      <c r="G50" s="26">
        <f t="shared" si="0"/>
        <v>791.17</v>
      </c>
      <c r="I50" s="10" t="str">
        <f t="shared" si="1"/>
        <v>ERR</v>
      </c>
      <c r="J50" s="13" t="str">
        <f t="shared" si="2"/>
        <v>628634</v>
      </c>
      <c r="K50" s="12" t="str">
        <f>VLOOKUP($J50,Base!$A$2:$H$42700,2,FALSE)</f>
        <v xml:space="preserve"> DEVREESE </v>
      </c>
      <c r="L50" s="12">
        <f>VLOOKUP($J50,Base!$A$2:$H$42700,8,FALSE)</f>
        <v>791.17</v>
      </c>
      <c r="M50" s="12" t="str">
        <f>VLOOKUP($J50,Base!$A$2:$H$42700,7,FALSE)</f>
        <v xml:space="preserve"> DUNKERQUE TTAB </v>
      </c>
    </row>
    <row r="51" spans="1:13" s="7" customFormat="1" x14ac:dyDescent="0.25">
      <c r="A51" s="25">
        <v>41</v>
      </c>
      <c r="B51" s="35">
        <v>9242937</v>
      </c>
      <c r="C51" s="27" t="s">
        <v>30404</v>
      </c>
      <c r="D51" s="28">
        <v>775</v>
      </c>
      <c r="E51" s="29">
        <v>25033</v>
      </c>
      <c r="F51" s="27" t="s">
        <v>26390</v>
      </c>
      <c r="G51" s="26">
        <f t="shared" si="0"/>
        <v>781.17</v>
      </c>
      <c r="I51" s="10" t="str">
        <f t="shared" si="1"/>
        <v>ERR</v>
      </c>
      <c r="J51" s="13" t="str">
        <f t="shared" si="2"/>
        <v>9242937</v>
      </c>
      <c r="K51" s="12" t="str">
        <f>VLOOKUP($J51,Base!$A$2:$H$42700,2,FALSE)</f>
        <v xml:space="preserve"> GALMICHE </v>
      </c>
      <c r="L51" s="12">
        <f>VLOOKUP($J51,Base!$A$2:$H$42700,8,FALSE)</f>
        <v>781.17</v>
      </c>
      <c r="M51" s="12" t="str">
        <f>VLOOKUP($J51,Base!$A$2:$H$42700,7,FALSE)</f>
        <v xml:space="preserve"> CHATENAY MALABRY  T T ASV </v>
      </c>
    </row>
    <row r="52" spans="1:13" s="7" customFormat="1" x14ac:dyDescent="0.25">
      <c r="A52" s="25">
        <v>42</v>
      </c>
      <c r="B52" s="35">
        <v>99202</v>
      </c>
      <c r="C52" s="27" t="s">
        <v>30398</v>
      </c>
      <c r="D52" s="28">
        <v>787</v>
      </c>
      <c r="E52" s="29">
        <v>21920</v>
      </c>
      <c r="F52" s="27" t="s">
        <v>30350</v>
      </c>
      <c r="G52" s="26">
        <f t="shared" si="0"/>
        <v>768.54</v>
      </c>
      <c r="I52" s="10" t="str">
        <f t="shared" si="1"/>
        <v>ERR</v>
      </c>
      <c r="J52" s="13" t="str">
        <f t="shared" si="2"/>
        <v>99202</v>
      </c>
      <c r="K52" s="12" t="str">
        <f>VLOOKUP($J52,Base!$A$2:$H$42700,2,FALSE)</f>
        <v xml:space="preserve"> AUBIN </v>
      </c>
      <c r="L52" s="12">
        <f>VLOOKUP($J52,Base!$A$2:$H$42700,8,FALSE)</f>
        <v>768.54</v>
      </c>
      <c r="M52" s="12" t="str">
        <f>VLOOKUP($J52,Base!$A$2:$H$42700,7,FALSE)</f>
        <v xml:space="preserve"> A.S.BASTELICACCIA </v>
      </c>
    </row>
    <row r="53" spans="1:13" s="7" customFormat="1" x14ac:dyDescent="0.25">
      <c r="A53" s="25">
        <v>43</v>
      </c>
      <c r="B53" s="35">
        <v>903930</v>
      </c>
      <c r="C53" s="27" t="s">
        <v>30380</v>
      </c>
      <c r="D53" s="28">
        <v>695</v>
      </c>
      <c r="E53" s="29">
        <v>24646</v>
      </c>
      <c r="F53" s="27" t="s">
        <v>30394</v>
      </c>
      <c r="G53" s="26">
        <f t="shared" si="0"/>
        <v>729.42</v>
      </c>
      <c r="I53" s="10" t="str">
        <f t="shared" si="1"/>
        <v>ERR</v>
      </c>
      <c r="J53" s="13" t="str">
        <f t="shared" si="2"/>
        <v>903930</v>
      </c>
      <c r="K53" s="12" t="str">
        <f>VLOOKUP($J53,Base!$A$2:$H$42700,2,FALSE)</f>
        <v xml:space="preserve"> MIAS </v>
      </c>
      <c r="L53" s="12">
        <f>VLOOKUP($J53,Base!$A$2:$H$42700,8,FALSE)</f>
        <v>729.42</v>
      </c>
      <c r="M53" s="12" t="str">
        <f>VLOOKUP($J53,Base!$A$2:$H$42700,7,FALSE)</f>
        <v xml:space="preserve"> CC DANJOUTIN </v>
      </c>
    </row>
    <row r="54" spans="1:13" s="7" customFormat="1" x14ac:dyDescent="0.25">
      <c r="A54" s="25">
        <v>44</v>
      </c>
      <c r="B54" s="35">
        <v>125182</v>
      </c>
      <c r="C54" s="27" t="s">
        <v>30395</v>
      </c>
      <c r="D54" s="28">
        <v>560</v>
      </c>
      <c r="E54" s="29">
        <v>23924</v>
      </c>
      <c r="F54" s="27" t="s">
        <v>30379</v>
      </c>
      <c r="G54" s="26">
        <f t="shared" si="0"/>
        <v>620.91999999999996</v>
      </c>
      <c r="I54" s="10" t="str">
        <f t="shared" si="1"/>
        <v>ERR</v>
      </c>
      <c r="J54" s="13" t="str">
        <f t="shared" si="2"/>
        <v>125182</v>
      </c>
      <c r="K54" s="12" t="str">
        <f>VLOOKUP($J54,Base!$A$2:$H$42700,2,FALSE)</f>
        <v xml:space="preserve"> FAURIE </v>
      </c>
      <c r="L54" s="12">
        <f>VLOOKUP($J54,Base!$A$2:$H$42700,8,FALSE)</f>
        <v>620.91999999999996</v>
      </c>
      <c r="M54" s="12" t="str">
        <f>VLOOKUP($J54,Base!$A$2:$H$42700,7,FALSE)</f>
        <v xml:space="preserve"> PING PONG CAPDENACOIS </v>
      </c>
    </row>
  </sheetData>
  <sortState ref="A11:M54">
    <sortCondition descending="1" ref="G11:G54"/>
  </sortState>
  <mergeCells count="3">
    <mergeCell ref="A6:F6"/>
    <mergeCell ref="A7:F7"/>
    <mergeCell ref="I7:M7"/>
  </mergeCells>
  <printOptions horizontalCentered="1"/>
  <pageMargins left="0.19685039370078741" right="0.19685039370078741" top="0.59055118110236227" bottom="0.59055118110236227" header="0.31496062992125984" footer="0.31496062992125984"/>
  <pageSetup paperSize="9" scale="8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M42"/>
  <sheetViews>
    <sheetView showGridLines="0" zoomScale="130" zoomScaleNormal="130" workbookViewId="0">
      <selection activeCell="F8" sqref="F8"/>
    </sheetView>
  </sheetViews>
  <sheetFormatPr baseColWidth="10" defaultColWidth="11.44140625" defaultRowHeight="10.199999999999999" x14ac:dyDescent="0.25"/>
  <cols>
    <col min="1" max="1" width="3.6640625" style="5" customWidth="1"/>
    <col min="2" max="2" width="7.88671875" style="6" customWidth="1"/>
    <col min="3" max="3" width="28.44140625" style="5" customWidth="1"/>
    <col min="4" max="4" width="8.6640625" style="6" customWidth="1"/>
    <col min="5" max="5" width="10.6640625" style="6" customWidth="1"/>
    <col min="6" max="6" width="45.44140625" style="5" customWidth="1"/>
    <col min="7" max="7" width="8.77734375" style="5" customWidth="1"/>
    <col min="8" max="9" width="4" style="5" customWidth="1"/>
    <col min="10" max="10" width="8" style="11" customWidth="1"/>
    <col min="11" max="11" width="21" style="8" customWidth="1"/>
    <col min="12" max="12" width="11.44140625" style="8" customWidth="1"/>
    <col min="13" max="13" width="29.5546875" style="8" customWidth="1"/>
    <col min="14" max="16384" width="11.44140625" style="5"/>
  </cols>
  <sheetData>
    <row r="1" spans="1:13" x14ac:dyDescent="0.25">
      <c r="A1" s="1" t="s">
        <v>26504</v>
      </c>
      <c r="B1" s="3"/>
      <c r="C1" s="2"/>
      <c r="E1" s="3"/>
      <c r="F1" s="4" t="s">
        <v>26508</v>
      </c>
      <c r="G1" s="4"/>
    </row>
    <row r="2" spans="1:13" x14ac:dyDescent="0.25">
      <c r="A2" s="1" t="s">
        <v>23</v>
      </c>
      <c r="B2" s="3"/>
      <c r="C2" s="2"/>
      <c r="E2" s="3"/>
      <c r="F2" s="3"/>
      <c r="G2" s="3"/>
    </row>
    <row r="3" spans="1:13" x14ac:dyDescent="0.25">
      <c r="A3" s="1" t="s">
        <v>26349</v>
      </c>
      <c r="B3" s="3"/>
      <c r="C3" s="2"/>
      <c r="E3" s="3"/>
      <c r="F3" s="4"/>
      <c r="G3" s="4"/>
    </row>
    <row r="4" spans="1:13" x14ac:dyDescent="0.25">
      <c r="A4" s="1" t="s">
        <v>0</v>
      </c>
      <c r="B4" s="3"/>
      <c r="C4" s="2"/>
      <c r="E4" s="3"/>
      <c r="F4" s="3"/>
      <c r="G4" s="3"/>
    </row>
    <row r="5" spans="1:13" x14ac:dyDescent="0.25">
      <c r="A5" s="1"/>
      <c r="B5" s="3"/>
      <c r="C5" s="2"/>
      <c r="E5" s="3"/>
      <c r="F5" s="3"/>
      <c r="G5" s="3"/>
    </row>
    <row r="6" spans="1:13" ht="21" x14ac:dyDescent="0.25">
      <c r="A6" s="50" t="s">
        <v>26503</v>
      </c>
      <c r="B6" s="50"/>
      <c r="C6" s="50"/>
      <c r="D6" s="50"/>
      <c r="E6" s="50"/>
      <c r="F6" s="50"/>
      <c r="G6" s="22"/>
    </row>
    <row r="7" spans="1:13" ht="28.5" customHeight="1" x14ac:dyDescent="0.25">
      <c r="A7" s="51" t="s">
        <v>20</v>
      </c>
      <c r="B7" s="51"/>
      <c r="C7" s="51"/>
      <c r="D7" s="51"/>
      <c r="E7" s="51"/>
      <c r="F7" s="51"/>
      <c r="G7" s="23"/>
      <c r="I7" s="52" t="s">
        <v>8</v>
      </c>
      <c r="J7" s="53"/>
      <c r="K7" s="53"/>
      <c r="L7" s="53"/>
      <c r="M7" s="53"/>
    </row>
    <row r="8" spans="1:13" x14ac:dyDescent="0.25">
      <c r="A8" s="1"/>
      <c r="B8" s="3"/>
      <c r="C8" s="2"/>
      <c r="E8" s="3"/>
      <c r="F8" s="49" t="s">
        <v>30643</v>
      </c>
      <c r="G8" s="3"/>
    </row>
    <row r="10" spans="1:13" s="7" customFormat="1" ht="30.6" x14ac:dyDescent="0.25">
      <c r="A10" s="37" t="s">
        <v>2</v>
      </c>
      <c r="B10" s="37" t="s">
        <v>1</v>
      </c>
      <c r="C10" s="37" t="s">
        <v>4</v>
      </c>
      <c r="D10" s="38" t="s">
        <v>26509</v>
      </c>
      <c r="E10" s="39" t="s">
        <v>10</v>
      </c>
      <c r="F10" s="37" t="s">
        <v>5</v>
      </c>
      <c r="G10" s="39" t="s">
        <v>26510</v>
      </c>
      <c r="I10" s="9" t="s">
        <v>7</v>
      </c>
      <c r="J10" s="9" t="s">
        <v>1</v>
      </c>
      <c r="K10" s="9" t="s">
        <v>4</v>
      </c>
      <c r="L10" s="9" t="s">
        <v>3</v>
      </c>
      <c r="M10" s="9" t="s">
        <v>6</v>
      </c>
    </row>
    <row r="11" spans="1:13" s="7" customFormat="1" ht="11.25" customHeight="1" x14ac:dyDescent="0.25">
      <c r="A11" s="25">
        <v>1</v>
      </c>
      <c r="B11" s="35">
        <v>505936</v>
      </c>
      <c r="C11" s="27" t="s">
        <v>30248</v>
      </c>
      <c r="D11" s="28">
        <v>1289</v>
      </c>
      <c r="E11" s="29">
        <v>19414</v>
      </c>
      <c r="F11" s="27" t="s">
        <v>26403</v>
      </c>
      <c r="G11" s="26">
        <f t="shared" ref="G11:G42" si="0">L11</f>
        <v>1242.29</v>
      </c>
      <c r="I11" s="10" t="str">
        <f t="shared" ref="I11:I42" si="1">IF(C11=K11,"","ERR")</f>
        <v>ERR</v>
      </c>
      <c r="J11" s="13" t="str">
        <f t="shared" ref="J11:J42" si="2">LEFT(B11,LEN(B11))</f>
        <v>505936</v>
      </c>
      <c r="K11" s="12" t="str">
        <f>VLOOKUP($J11,Base!$A$2:$H$42700,2,FALSE)</f>
        <v xml:space="preserve"> CHARBONNEAU </v>
      </c>
      <c r="L11" s="12">
        <f>VLOOKUP($J11,Base!$A$2:$H$42700,8,FALSE)</f>
        <v>1242.29</v>
      </c>
      <c r="M11" s="12" t="str">
        <f>VLOOKUP($J11,Base!$A$2:$H$42700,7,FALSE)</f>
        <v xml:space="preserve"> ISIGNY-MONTIGNY ENT P </v>
      </c>
    </row>
    <row r="12" spans="1:13" s="7" customFormat="1" ht="11.25" customHeight="1" x14ac:dyDescent="0.25">
      <c r="A12" s="25">
        <v>2</v>
      </c>
      <c r="B12" s="35">
        <v>5016040</v>
      </c>
      <c r="C12" s="27" t="s">
        <v>30237</v>
      </c>
      <c r="D12" s="28">
        <v>1070</v>
      </c>
      <c r="E12" s="29">
        <v>19948</v>
      </c>
      <c r="F12" s="27" t="s">
        <v>26379</v>
      </c>
      <c r="G12" s="26">
        <f t="shared" si="0"/>
        <v>1086.67</v>
      </c>
      <c r="I12" s="10" t="str">
        <f t="shared" si="1"/>
        <v>ERR</v>
      </c>
      <c r="J12" s="13" t="str">
        <f t="shared" si="2"/>
        <v>5016040</v>
      </c>
      <c r="K12" s="12" t="str">
        <f>VLOOKUP($J12,Base!$A$2:$H$42700,2,FALSE)</f>
        <v xml:space="preserve"> DESMET </v>
      </c>
      <c r="L12" s="12">
        <f>VLOOKUP($J12,Base!$A$2:$H$42700,8,FALSE)</f>
        <v>1086.67</v>
      </c>
      <c r="M12" s="12" t="str">
        <f>VLOOKUP($J12,Base!$A$2:$H$42700,7,FALSE)</f>
        <v xml:space="preserve"> SAINT PAIR BRICQUEVILLE T </v>
      </c>
    </row>
    <row r="13" spans="1:13" s="7" customFormat="1" ht="11.25" customHeight="1" x14ac:dyDescent="0.25">
      <c r="A13" s="25">
        <v>3</v>
      </c>
      <c r="B13" s="35">
        <v>7612049</v>
      </c>
      <c r="C13" s="27" t="s">
        <v>30269</v>
      </c>
      <c r="D13" s="28">
        <v>1074</v>
      </c>
      <c r="E13" s="29">
        <v>19688</v>
      </c>
      <c r="F13" s="27" t="s">
        <v>26395</v>
      </c>
      <c r="G13" s="26">
        <f t="shared" si="0"/>
        <v>1085.67</v>
      </c>
      <c r="I13" s="10" t="str">
        <f t="shared" si="1"/>
        <v>ERR</v>
      </c>
      <c r="J13" s="13" t="str">
        <f t="shared" si="2"/>
        <v>7612049</v>
      </c>
      <c r="K13" s="12" t="str">
        <f>VLOOKUP($J13,Base!$A$2:$H$42700,2,FALSE)</f>
        <v xml:space="preserve"> LECOINTRE </v>
      </c>
      <c r="L13" s="12">
        <f>VLOOKUP($J13,Base!$A$2:$H$42700,8,FALSE)</f>
        <v>1085.67</v>
      </c>
      <c r="M13" s="12" t="str">
        <f>VLOOKUP($J13,Base!$A$2:$H$42700,7,FALSE)</f>
        <v xml:space="preserve"> CP QUEVILLAIS </v>
      </c>
    </row>
    <row r="14" spans="1:13" s="7" customFormat="1" ht="11.25" customHeight="1" x14ac:dyDescent="0.25">
      <c r="A14" s="25">
        <v>4</v>
      </c>
      <c r="B14" s="35">
        <v>946232</v>
      </c>
      <c r="C14" s="27" t="s">
        <v>30275</v>
      </c>
      <c r="D14" s="28">
        <v>1075</v>
      </c>
      <c r="E14" s="29">
        <v>21414</v>
      </c>
      <c r="F14" s="27" t="s">
        <v>30307</v>
      </c>
      <c r="G14" s="26">
        <f t="shared" si="0"/>
        <v>1070.44</v>
      </c>
      <c r="I14" s="10" t="str">
        <f t="shared" si="1"/>
        <v>ERR</v>
      </c>
      <c r="J14" s="13" t="str">
        <f t="shared" si="2"/>
        <v>946232</v>
      </c>
      <c r="K14" s="12" t="str">
        <f>VLOOKUP($J14,Base!$A$2:$H$42700,2,FALSE)</f>
        <v xml:space="preserve"> MATIAS </v>
      </c>
      <c r="L14" s="12">
        <f>VLOOKUP($J14,Base!$A$2:$H$42700,8,FALSE)</f>
        <v>1070.44</v>
      </c>
      <c r="M14" s="12" t="str">
        <f>VLOOKUP($J14,Base!$A$2:$H$42700,7,FALSE)</f>
        <v xml:space="preserve"> VILLIERS ES </v>
      </c>
    </row>
    <row r="15" spans="1:13" s="7" customFormat="1" ht="11.25" customHeight="1" x14ac:dyDescent="0.25">
      <c r="A15" s="25">
        <v>5</v>
      </c>
      <c r="B15" s="35">
        <v>6311953</v>
      </c>
      <c r="C15" s="27" t="s">
        <v>30244</v>
      </c>
      <c r="D15" s="28">
        <v>1011</v>
      </c>
      <c r="E15" s="29">
        <v>19680</v>
      </c>
      <c r="F15" s="27" t="s">
        <v>30420</v>
      </c>
      <c r="G15" s="26">
        <f t="shared" si="0"/>
        <v>1034.42</v>
      </c>
      <c r="I15" s="10" t="str">
        <f t="shared" si="1"/>
        <v>ERR</v>
      </c>
      <c r="J15" s="13" t="str">
        <f t="shared" si="2"/>
        <v>6311953</v>
      </c>
      <c r="K15" s="12" t="str">
        <f>VLOOKUP($J15,Base!$A$2:$H$42700,2,FALSE)</f>
        <v xml:space="preserve"> GUILLOTEAU </v>
      </c>
      <c r="L15" s="12">
        <f>VLOOKUP($J15,Base!$A$2:$H$42700,8,FALSE)</f>
        <v>1034.42</v>
      </c>
      <c r="M15" s="12" t="str">
        <f>VLOOKUP($J15,Base!$A$2:$H$42700,7,FALSE)</f>
        <v xml:space="preserve"> A.T.T. AULNAT </v>
      </c>
    </row>
    <row r="16" spans="1:13" s="7" customFormat="1" ht="11.25" customHeight="1" x14ac:dyDescent="0.25">
      <c r="A16" s="25">
        <v>6</v>
      </c>
      <c r="B16" s="35">
        <v>72146</v>
      </c>
      <c r="C16" s="27" t="s">
        <v>30220</v>
      </c>
      <c r="D16" s="28">
        <v>1020</v>
      </c>
      <c r="E16" s="29">
        <v>19064</v>
      </c>
      <c r="F16" s="27" t="s">
        <v>26363</v>
      </c>
      <c r="G16" s="26">
        <f t="shared" si="0"/>
        <v>1030.17</v>
      </c>
      <c r="I16" s="10" t="str">
        <f t="shared" si="1"/>
        <v>ERR</v>
      </c>
      <c r="J16" s="13" t="str">
        <f t="shared" si="2"/>
        <v>72146</v>
      </c>
      <c r="K16" s="12" t="str">
        <f>VLOOKUP($J16,Base!$A$2:$H$42700,2,FALSE)</f>
        <v xml:space="preserve"> DESAILLY </v>
      </c>
      <c r="L16" s="12">
        <f>VLOOKUP($J16,Base!$A$2:$H$42700,8,FALSE)</f>
        <v>1030.17</v>
      </c>
      <c r="M16" s="12" t="str">
        <f>VLOOKUP($J16,Base!$A$2:$H$42700,7,FALSE)</f>
        <v xml:space="preserve"> LE MANS SARTHE TENNIS DE </v>
      </c>
    </row>
    <row r="17" spans="1:13" s="7" customFormat="1" ht="11.25" customHeight="1" x14ac:dyDescent="0.25">
      <c r="A17" s="25">
        <v>7</v>
      </c>
      <c r="B17" s="35">
        <v>285779</v>
      </c>
      <c r="C17" s="27" t="s">
        <v>30231</v>
      </c>
      <c r="D17" s="28">
        <v>1039</v>
      </c>
      <c r="E17" s="29">
        <v>21269</v>
      </c>
      <c r="F17" s="27" t="s">
        <v>26472</v>
      </c>
      <c r="G17" s="26">
        <f t="shared" si="0"/>
        <v>1020.17</v>
      </c>
      <c r="I17" s="10" t="str">
        <f t="shared" si="1"/>
        <v>ERR</v>
      </c>
      <c r="J17" s="13" t="str">
        <f t="shared" si="2"/>
        <v>285779</v>
      </c>
      <c r="K17" s="12" t="str">
        <f>VLOOKUP($J17,Base!$A$2:$H$42700,2,FALSE)</f>
        <v xml:space="preserve"> LEBRETON </v>
      </c>
      <c r="L17" s="12">
        <f>VLOOKUP($J17,Base!$A$2:$H$42700,8,FALSE)</f>
        <v>1020.17</v>
      </c>
      <c r="M17" s="12" t="str">
        <f>VLOOKUP($J17,Base!$A$2:$H$42700,7,FALSE)</f>
        <v xml:space="preserve"> PAYS COURVILLOIS TT </v>
      </c>
    </row>
    <row r="18" spans="1:13" s="7" customFormat="1" ht="11.25" customHeight="1" x14ac:dyDescent="0.25">
      <c r="A18" s="25">
        <v>8</v>
      </c>
      <c r="B18" s="35">
        <v>7811914</v>
      </c>
      <c r="C18" s="27" t="s">
        <v>30226</v>
      </c>
      <c r="D18" s="28">
        <v>985</v>
      </c>
      <c r="E18" s="29">
        <v>19231</v>
      </c>
      <c r="F18" s="27" t="s">
        <v>26471</v>
      </c>
      <c r="G18" s="26">
        <f t="shared" si="0"/>
        <v>1005.55</v>
      </c>
      <c r="I18" s="10" t="str">
        <f t="shared" si="1"/>
        <v>ERR</v>
      </c>
      <c r="J18" s="13" t="str">
        <f t="shared" si="2"/>
        <v>7811914</v>
      </c>
      <c r="K18" s="12" t="str">
        <f>VLOOKUP($J18,Base!$A$2:$H$42700,2,FALSE)</f>
        <v xml:space="preserve"> D'ARBONNEAU </v>
      </c>
      <c r="L18" s="12">
        <f>VLOOKUP($J18,Base!$A$2:$H$42700,8,FALSE)</f>
        <v>1005.55</v>
      </c>
      <c r="M18" s="12" t="str">
        <f>VLOOKUP($J18,Base!$A$2:$H$42700,7,FALSE)</f>
        <v xml:space="preserve"> POISSY USC </v>
      </c>
    </row>
    <row r="19" spans="1:13" s="7" customFormat="1" ht="11.25" customHeight="1" x14ac:dyDescent="0.25">
      <c r="A19" s="25">
        <v>9</v>
      </c>
      <c r="B19" s="35">
        <v>4447014</v>
      </c>
      <c r="C19" s="27" t="s">
        <v>30239</v>
      </c>
      <c r="D19" s="28">
        <v>1007</v>
      </c>
      <c r="E19" s="29">
        <v>19619</v>
      </c>
      <c r="F19" s="27" t="s">
        <v>26490</v>
      </c>
      <c r="G19" s="26">
        <f t="shared" si="0"/>
        <v>996.17</v>
      </c>
      <c r="I19" s="10" t="str">
        <f t="shared" si="1"/>
        <v>ERR</v>
      </c>
      <c r="J19" s="13" t="str">
        <f t="shared" si="2"/>
        <v>4447014</v>
      </c>
      <c r="K19" s="12" t="str">
        <f>VLOOKUP($J19,Base!$A$2:$H$42700,2,FALSE)</f>
        <v xml:space="preserve"> LEGOUT </v>
      </c>
      <c r="L19" s="12">
        <f>VLOOKUP($J19,Base!$A$2:$H$42700,8,FALSE)</f>
        <v>996.17</v>
      </c>
      <c r="M19" s="12" t="str">
        <f>VLOOKUP($J19,Base!$A$2:$H$42700,7,FALSE)</f>
        <v xml:space="preserve"> ST NAZAIRE TENNIS DE TABL </v>
      </c>
    </row>
    <row r="20" spans="1:13" s="7" customFormat="1" ht="11.25" customHeight="1" x14ac:dyDescent="0.25">
      <c r="A20" s="25">
        <v>10</v>
      </c>
      <c r="B20" s="35">
        <v>491824</v>
      </c>
      <c r="C20" s="27" t="s">
        <v>30267</v>
      </c>
      <c r="D20" s="28">
        <v>984</v>
      </c>
      <c r="E20" s="29">
        <v>20942</v>
      </c>
      <c r="F20" s="27" t="s">
        <v>26451</v>
      </c>
      <c r="G20" s="26">
        <f t="shared" si="0"/>
        <v>981.67</v>
      </c>
      <c r="I20" s="10" t="str">
        <f t="shared" si="1"/>
        <v>ERR</v>
      </c>
      <c r="J20" s="13" t="str">
        <f t="shared" si="2"/>
        <v>491824</v>
      </c>
      <c r="K20" s="12" t="str">
        <f>VLOOKUP($J20,Base!$A$2:$H$42700,2,FALSE)</f>
        <v xml:space="preserve"> AGOSTINI </v>
      </c>
      <c r="L20" s="12">
        <f>VLOOKUP($J20,Base!$A$2:$H$42700,8,FALSE)</f>
        <v>981.67</v>
      </c>
      <c r="M20" s="12" t="str">
        <f>VLOOKUP($J20,Base!$A$2:$H$42700,7,FALSE)</f>
        <v xml:space="preserve"> MURS ERIGNE ASITT </v>
      </c>
    </row>
    <row r="21" spans="1:13" s="7" customFormat="1" ht="11.25" customHeight="1" x14ac:dyDescent="0.25">
      <c r="A21" s="25">
        <v>11</v>
      </c>
      <c r="B21" s="35">
        <v>492251</v>
      </c>
      <c r="C21" s="27" t="s">
        <v>30209</v>
      </c>
      <c r="D21" s="28">
        <v>958</v>
      </c>
      <c r="E21" s="29">
        <v>20591</v>
      </c>
      <c r="F21" s="27" t="s">
        <v>26492</v>
      </c>
      <c r="G21" s="26">
        <f t="shared" si="0"/>
        <v>963.17</v>
      </c>
      <c r="I21" s="10" t="str">
        <f t="shared" si="1"/>
        <v>ERR</v>
      </c>
      <c r="J21" s="13" t="str">
        <f t="shared" si="2"/>
        <v>492251</v>
      </c>
      <c r="K21" s="12" t="str">
        <f>VLOOKUP($J21,Base!$A$2:$H$42700,2,FALSE)</f>
        <v xml:space="preserve"> ZABOUT </v>
      </c>
      <c r="L21" s="12">
        <f>VLOOKUP($J21,Base!$A$2:$H$42700,8,FALSE)</f>
        <v>963.17</v>
      </c>
      <c r="M21" s="12" t="str">
        <f>VLOOKUP($J21,Base!$A$2:$H$42700,7,FALSE)</f>
        <v xml:space="preserve"> VERNANTES Reveil Vernanta </v>
      </c>
    </row>
    <row r="22" spans="1:13" s="7" customFormat="1" ht="11.25" customHeight="1" x14ac:dyDescent="0.25">
      <c r="A22" s="25">
        <v>12</v>
      </c>
      <c r="B22" s="35">
        <v>71237</v>
      </c>
      <c r="C22" s="27" t="s">
        <v>30250</v>
      </c>
      <c r="D22" s="28">
        <v>934</v>
      </c>
      <c r="E22" s="29">
        <v>20970</v>
      </c>
      <c r="F22" s="27" t="s">
        <v>30423</v>
      </c>
      <c r="G22" s="26">
        <f t="shared" si="0"/>
        <v>944.17</v>
      </c>
      <c r="I22" s="10" t="str">
        <f t="shared" si="1"/>
        <v>ERR</v>
      </c>
      <c r="J22" s="13" t="str">
        <f t="shared" si="2"/>
        <v>71237</v>
      </c>
      <c r="K22" s="12" t="str">
        <f>VLOOKUP($J22,Base!$A$2:$H$42700,2,FALSE)</f>
        <v xml:space="preserve"> MILESI </v>
      </c>
      <c r="L22" s="12">
        <f>VLOOKUP($J22,Base!$A$2:$H$42700,8,FALSE)</f>
        <v>944.17</v>
      </c>
      <c r="M22" s="12" t="str">
        <f>VLOOKUP($J22,Base!$A$2:$H$42700,7,FALSE)</f>
        <v xml:space="preserve"> UP CREUSOT VARENNES </v>
      </c>
    </row>
    <row r="23" spans="1:13" s="7" customFormat="1" ht="11.25" customHeight="1" x14ac:dyDescent="0.25">
      <c r="A23" s="25">
        <v>13</v>
      </c>
      <c r="B23" s="35">
        <v>92302</v>
      </c>
      <c r="C23" s="27" t="s">
        <v>30264</v>
      </c>
      <c r="D23" s="28">
        <v>886</v>
      </c>
      <c r="E23" s="29">
        <v>19765</v>
      </c>
      <c r="F23" s="27" t="s">
        <v>26390</v>
      </c>
      <c r="G23" s="26">
        <f t="shared" si="0"/>
        <v>884.17</v>
      </c>
      <c r="I23" s="10" t="str">
        <f t="shared" si="1"/>
        <v>ERR</v>
      </c>
      <c r="J23" s="13" t="str">
        <f t="shared" si="2"/>
        <v>92302</v>
      </c>
      <c r="K23" s="12" t="str">
        <f>VLOOKUP($J23,Base!$A$2:$H$42700,2,FALSE)</f>
        <v xml:space="preserve"> SKENADJI </v>
      </c>
      <c r="L23" s="12">
        <f>VLOOKUP($J23,Base!$A$2:$H$42700,8,FALSE)</f>
        <v>884.17</v>
      </c>
      <c r="M23" s="12" t="str">
        <f>VLOOKUP($J23,Base!$A$2:$H$42700,7,FALSE)</f>
        <v xml:space="preserve"> CHATENAY MALABRY  T T ASV </v>
      </c>
    </row>
    <row r="24" spans="1:13" s="7" customFormat="1" ht="11.25" customHeight="1" x14ac:dyDescent="0.25">
      <c r="A24" s="25">
        <v>14</v>
      </c>
      <c r="B24" s="35">
        <v>2915851</v>
      </c>
      <c r="C24" s="27" t="s">
        <v>30261</v>
      </c>
      <c r="D24" s="28">
        <v>872</v>
      </c>
      <c r="E24" s="29">
        <v>21022</v>
      </c>
      <c r="F24" s="27" t="s">
        <v>26419</v>
      </c>
      <c r="G24" s="26">
        <f t="shared" si="0"/>
        <v>867.67</v>
      </c>
      <c r="I24" s="10" t="str">
        <f t="shared" si="1"/>
        <v>ERR</v>
      </c>
      <c r="J24" s="13" t="str">
        <f t="shared" si="2"/>
        <v>2915851</v>
      </c>
      <c r="K24" s="12" t="str">
        <f>VLOOKUP($J24,Base!$A$2:$H$42700,2,FALSE)</f>
        <v xml:space="preserve"> KERGOURLAY </v>
      </c>
      <c r="L24" s="12">
        <f>VLOOKUP($J24,Base!$A$2:$H$42700,8,FALSE)</f>
        <v>867.67</v>
      </c>
      <c r="M24" s="12" t="str">
        <f>VLOOKUP($J24,Base!$A$2:$H$42700,7,FALSE)</f>
        <v xml:space="preserve"> QUIMPER CORNOUAILLE TT </v>
      </c>
    </row>
    <row r="25" spans="1:13" s="7" customFormat="1" ht="11.25" customHeight="1" x14ac:dyDescent="0.25">
      <c r="A25" s="25">
        <v>15</v>
      </c>
      <c r="B25" s="35">
        <v>903132</v>
      </c>
      <c r="C25" s="27" t="s">
        <v>30257</v>
      </c>
      <c r="D25" s="28">
        <v>864</v>
      </c>
      <c r="E25" s="29">
        <v>18894</v>
      </c>
      <c r="F25" s="27" t="s">
        <v>26491</v>
      </c>
      <c r="G25" s="26">
        <f t="shared" si="0"/>
        <v>835.42</v>
      </c>
      <c r="I25" s="10" t="str">
        <f t="shared" si="1"/>
        <v>ERR</v>
      </c>
      <c r="J25" s="13" t="str">
        <f t="shared" si="2"/>
        <v>903132</v>
      </c>
      <c r="K25" s="12" t="str">
        <f>VLOOKUP($J25,Base!$A$2:$H$42700,2,FALSE)</f>
        <v xml:space="preserve"> MAUFFREY </v>
      </c>
      <c r="L25" s="12">
        <f>VLOOKUP($J25,Base!$A$2:$H$42700,8,FALSE)</f>
        <v>835.42</v>
      </c>
      <c r="M25" s="12" t="str">
        <f>VLOOKUP($J25,Base!$A$2:$H$42700,7,FALSE)</f>
        <v xml:space="preserve"> LA SAVOUREUSE </v>
      </c>
    </row>
    <row r="26" spans="1:13" s="7" customFormat="1" ht="11.25" customHeight="1" x14ac:dyDescent="0.25">
      <c r="A26" s="25">
        <v>16</v>
      </c>
      <c r="B26" s="35">
        <v>756457</v>
      </c>
      <c r="C26" s="27" t="s">
        <v>30271</v>
      </c>
      <c r="D26" s="28">
        <v>832</v>
      </c>
      <c r="E26" s="29">
        <v>20357</v>
      </c>
      <c r="F26" s="27" t="s">
        <v>26485</v>
      </c>
      <c r="G26" s="26">
        <f t="shared" si="0"/>
        <v>834.79</v>
      </c>
      <c r="I26" s="10" t="str">
        <f t="shared" si="1"/>
        <v>ERR</v>
      </c>
      <c r="J26" s="13" t="str">
        <f t="shared" si="2"/>
        <v>756457</v>
      </c>
      <c r="K26" s="12" t="str">
        <f>VLOOKUP($J26,Base!$A$2:$H$42700,2,FALSE)</f>
        <v xml:space="preserve"> BRIDAY </v>
      </c>
      <c r="L26" s="12">
        <f>VLOOKUP($J26,Base!$A$2:$H$42700,8,FALSE)</f>
        <v>834.79</v>
      </c>
      <c r="M26" s="12" t="str">
        <f>VLOOKUP($J26,Base!$A$2:$H$42700,7,FALSE)</f>
        <v xml:space="preserve"> ATSCAF CLERMONT-FD </v>
      </c>
    </row>
    <row r="27" spans="1:13" s="7" customFormat="1" ht="11.25" customHeight="1" x14ac:dyDescent="0.25">
      <c r="A27" s="25">
        <v>17</v>
      </c>
      <c r="B27" s="35">
        <v>34126</v>
      </c>
      <c r="C27" s="27" t="s">
        <v>30255</v>
      </c>
      <c r="D27" s="28">
        <v>877</v>
      </c>
      <c r="E27" s="29">
        <v>21278</v>
      </c>
      <c r="F27" s="27" t="s">
        <v>30253</v>
      </c>
      <c r="G27" s="26">
        <f t="shared" si="0"/>
        <v>834.67</v>
      </c>
      <c r="I27" s="10" t="str">
        <f t="shared" si="1"/>
        <v>ERR</v>
      </c>
      <c r="J27" s="13" t="str">
        <f t="shared" si="2"/>
        <v>34126</v>
      </c>
      <c r="K27" s="12" t="str">
        <f>VLOOKUP($J27,Base!$A$2:$H$42700,2,FALSE)</f>
        <v xml:space="preserve"> DARU </v>
      </c>
      <c r="L27" s="12">
        <f>VLOOKUP($J27,Base!$A$2:$H$42700,8,FALSE)</f>
        <v>834.67</v>
      </c>
      <c r="M27" s="12" t="str">
        <f>VLOOKUP($J27,Base!$A$2:$H$42700,7,FALSE)</f>
        <v xml:space="preserve"> LE CRES SALAISON  T.T. </v>
      </c>
    </row>
    <row r="28" spans="1:13" s="7" customFormat="1" ht="11.25" customHeight="1" x14ac:dyDescent="0.25">
      <c r="A28" s="25">
        <v>18</v>
      </c>
      <c r="B28" s="35">
        <v>3662</v>
      </c>
      <c r="C28" s="27" t="s">
        <v>30223</v>
      </c>
      <c r="D28" s="28">
        <v>866</v>
      </c>
      <c r="E28" s="29">
        <v>18915</v>
      </c>
      <c r="F28" s="27" t="s">
        <v>26486</v>
      </c>
      <c r="G28" s="26">
        <f t="shared" si="0"/>
        <v>823.92</v>
      </c>
      <c r="I28" s="10" t="str">
        <f t="shared" si="1"/>
        <v>ERR</v>
      </c>
      <c r="J28" s="13" t="str">
        <f t="shared" si="2"/>
        <v>3662</v>
      </c>
      <c r="K28" s="12" t="str">
        <f>VLOOKUP($J28,Base!$A$2:$H$42700,2,FALSE)</f>
        <v xml:space="preserve"> CASY </v>
      </c>
      <c r="L28" s="12">
        <f>VLOOKUP($J28,Base!$A$2:$H$42700,8,FALSE)</f>
        <v>823.92</v>
      </c>
      <c r="M28" s="12" t="str">
        <f>VLOOKUP($J28,Base!$A$2:$H$42700,7,FALSE)</f>
        <v xml:space="preserve"> CTT.DEOLS </v>
      </c>
    </row>
    <row r="29" spans="1:13" s="7" customFormat="1" ht="11.25" customHeight="1" x14ac:dyDescent="0.25">
      <c r="A29" s="25">
        <v>19</v>
      </c>
      <c r="B29" s="35">
        <v>37213</v>
      </c>
      <c r="C29" s="27" t="s">
        <v>30277</v>
      </c>
      <c r="D29" s="28">
        <v>817</v>
      </c>
      <c r="E29" s="29">
        <v>20240</v>
      </c>
      <c r="F29" s="27" t="s">
        <v>26457</v>
      </c>
      <c r="G29" s="26">
        <f t="shared" si="0"/>
        <v>807.67</v>
      </c>
      <c r="I29" s="10" t="str">
        <f t="shared" si="1"/>
        <v>ERR</v>
      </c>
      <c r="J29" s="13" t="str">
        <f t="shared" si="2"/>
        <v>37213</v>
      </c>
      <c r="K29" s="12" t="str">
        <f>VLOOKUP($J29,Base!$A$2:$H$42700,2,FALSE)</f>
        <v xml:space="preserve"> MERY </v>
      </c>
      <c r="L29" s="12">
        <f>VLOOKUP($J29,Base!$A$2:$H$42700,8,FALSE)</f>
        <v>807.67</v>
      </c>
      <c r="M29" s="12" t="str">
        <f>VLOOKUP($J29,Base!$A$2:$H$42700,7,FALSE)</f>
        <v xml:space="preserve"> C.S.MEMBROLLAIS Tennis de </v>
      </c>
    </row>
    <row r="30" spans="1:13" s="7" customFormat="1" ht="11.25" customHeight="1" x14ac:dyDescent="0.25">
      <c r="A30" s="25">
        <v>20</v>
      </c>
      <c r="B30" s="35">
        <v>4426256</v>
      </c>
      <c r="C30" s="27" t="s">
        <v>30213</v>
      </c>
      <c r="D30" s="28">
        <v>817</v>
      </c>
      <c r="E30" s="29">
        <v>18114</v>
      </c>
      <c r="F30" s="27" t="s">
        <v>26484</v>
      </c>
      <c r="G30" s="26">
        <f t="shared" si="0"/>
        <v>787.67</v>
      </c>
      <c r="I30" s="10" t="str">
        <f t="shared" si="1"/>
        <v>ERR</v>
      </c>
      <c r="J30" s="13" t="str">
        <f t="shared" si="2"/>
        <v>4426256</v>
      </c>
      <c r="K30" s="12" t="str">
        <f>VLOOKUP($J30,Base!$A$2:$H$42700,2,FALSE)</f>
        <v xml:space="preserve"> BONHOMME </v>
      </c>
      <c r="L30" s="12">
        <f>VLOOKUP($J30,Base!$A$2:$H$42700,8,FALSE)</f>
        <v>787.67</v>
      </c>
      <c r="M30" s="12" t="str">
        <f>VLOOKUP($J30,Base!$A$2:$H$42700,7,FALSE)</f>
        <v xml:space="preserve"> SAFFRE TREFFIEUX TT AS </v>
      </c>
    </row>
    <row r="31" spans="1:13" s="7" customFormat="1" ht="11.25" customHeight="1" x14ac:dyDescent="0.25">
      <c r="A31" s="25">
        <v>21</v>
      </c>
      <c r="B31" s="35">
        <v>64283</v>
      </c>
      <c r="C31" s="27" t="s">
        <v>30233</v>
      </c>
      <c r="D31" s="28">
        <v>729</v>
      </c>
      <c r="E31" s="29">
        <v>20638</v>
      </c>
      <c r="F31" s="27" t="s">
        <v>26483</v>
      </c>
      <c r="G31" s="26">
        <f t="shared" si="0"/>
        <v>763.54</v>
      </c>
      <c r="I31" s="10" t="str">
        <f t="shared" si="1"/>
        <v>ERR</v>
      </c>
      <c r="J31" s="13" t="str">
        <f t="shared" si="2"/>
        <v>64283</v>
      </c>
      <c r="K31" s="12" t="str">
        <f>VLOOKUP($J31,Base!$A$2:$H$42700,2,FALSE)</f>
        <v xml:space="preserve"> BENSAHA-RAYBAUD </v>
      </c>
      <c r="L31" s="12">
        <f>VLOOKUP($J31,Base!$A$2:$H$42700,8,FALSE)</f>
        <v>763.54</v>
      </c>
      <c r="M31" s="12" t="str">
        <f>VLOOKUP($J31,Base!$A$2:$H$42700,7,FALSE)</f>
        <v xml:space="preserve"> JURANCON T.T. </v>
      </c>
    </row>
    <row r="32" spans="1:13" s="7" customFormat="1" ht="11.25" customHeight="1" x14ac:dyDescent="0.25">
      <c r="A32" s="25">
        <v>22</v>
      </c>
      <c r="B32" s="35">
        <v>775264</v>
      </c>
      <c r="C32" s="27" t="s">
        <v>30421</v>
      </c>
      <c r="D32" s="28">
        <v>705</v>
      </c>
      <c r="E32" s="29">
        <v>20293</v>
      </c>
      <c r="F32" s="27" t="s">
        <v>26391</v>
      </c>
      <c r="G32" s="26">
        <f t="shared" si="0"/>
        <v>740.04</v>
      </c>
      <c r="I32" s="10" t="str">
        <f t="shared" si="1"/>
        <v>ERR</v>
      </c>
      <c r="J32" s="13" t="str">
        <f t="shared" si="2"/>
        <v>775264</v>
      </c>
      <c r="K32" s="12" t="str">
        <f>VLOOKUP($J32,Base!$A$2:$H$42700,2,FALSE)</f>
        <v xml:space="preserve"> NAMIK </v>
      </c>
      <c r="L32" s="12">
        <f>VLOOKUP($J32,Base!$A$2:$H$42700,8,FALSE)</f>
        <v>740.04</v>
      </c>
      <c r="M32" s="12" t="str">
        <f>VLOOKUP($J32,Base!$A$2:$H$42700,7,FALSE)</f>
        <v xml:space="preserve"> ESK ST-POL DE LEON </v>
      </c>
    </row>
    <row r="33" spans="1:13" s="7" customFormat="1" ht="11.25" customHeight="1" x14ac:dyDescent="0.25">
      <c r="A33" s="25">
        <v>23</v>
      </c>
      <c r="B33" s="35">
        <v>952904</v>
      </c>
      <c r="C33" s="27" t="s">
        <v>30242</v>
      </c>
      <c r="D33" s="28">
        <v>735</v>
      </c>
      <c r="E33" s="29">
        <v>21134</v>
      </c>
      <c r="F33" s="27" t="s">
        <v>26385</v>
      </c>
      <c r="G33" s="26">
        <f t="shared" si="0"/>
        <v>732.17</v>
      </c>
      <c r="I33" s="10" t="str">
        <f t="shared" si="1"/>
        <v>ERR</v>
      </c>
      <c r="J33" s="13" t="str">
        <f t="shared" si="2"/>
        <v>952904</v>
      </c>
      <c r="K33" s="12" t="str">
        <f>VLOOKUP($J33,Base!$A$2:$H$42700,2,FALSE)</f>
        <v xml:space="preserve"> LOUIS </v>
      </c>
      <c r="L33" s="12">
        <f>VLOOKUP($J33,Base!$A$2:$H$42700,8,FALSE)</f>
        <v>732.17</v>
      </c>
      <c r="M33" s="12" t="str">
        <f>VLOOKUP($J33,Base!$A$2:$H$42700,7,FALSE)</f>
        <v xml:space="preserve"> EAUBONNE CSM </v>
      </c>
    </row>
    <row r="34" spans="1:13" s="7" customFormat="1" ht="11.25" customHeight="1" x14ac:dyDescent="0.25">
      <c r="A34" s="25">
        <v>24</v>
      </c>
      <c r="B34" s="35">
        <v>831644</v>
      </c>
      <c r="C34" s="27" t="s">
        <v>30246</v>
      </c>
      <c r="D34" s="28">
        <v>707</v>
      </c>
      <c r="E34" s="29">
        <v>21045</v>
      </c>
      <c r="F34" s="27" t="s">
        <v>26461</v>
      </c>
      <c r="G34" s="26">
        <f t="shared" si="0"/>
        <v>690.67</v>
      </c>
      <c r="I34" s="10" t="str">
        <f t="shared" si="1"/>
        <v>ERR</v>
      </c>
      <c r="J34" s="13" t="str">
        <f t="shared" si="2"/>
        <v>831644</v>
      </c>
      <c r="K34" s="12" t="str">
        <f>VLOOKUP($J34,Base!$A$2:$H$42700,2,FALSE)</f>
        <v xml:space="preserve"> LASSON </v>
      </c>
      <c r="L34" s="12">
        <f>VLOOKUP($J34,Base!$A$2:$H$42700,8,FALSE)</f>
        <v>690.67</v>
      </c>
      <c r="M34" s="12" t="str">
        <f>VLOOKUP($J34,Base!$A$2:$H$42700,7,FALSE)</f>
        <v xml:space="preserve"> US LA CRAU TENNIS DE TABL </v>
      </c>
    </row>
    <row r="35" spans="1:13" s="7" customFormat="1" ht="11.25" customHeight="1" x14ac:dyDescent="0.25">
      <c r="A35" s="25">
        <v>25</v>
      </c>
      <c r="B35" s="35">
        <v>9418256</v>
      </c>
      <c r="C35" s="27" t="s">
        <v>30422</v>
      </c>
      <c r="D35" s="28">
        <v>691</v>
      </c>
      <c r="E35" s="29">
        <v>18105</v>
      </c>
      <c r="F35" s="27" t="s">
        <v>30419</v>
      </c>
      <c r="G35" s="26">
        <f t="shared" si="0"/>
        <v>685.67</v>
      </c>
      <c r="I35" s="10" t="str">
        <f t="shared" si="1"/>
        <v>ERR</v>
      </c>
      <c r="J35" s="13" t="str">
        <f t="shared" si="2"/>
        <v>9418256</v>
      </c>
      <c r="K35" s="12" t="str">
        <f>VLOOKUP($J35,Base!$A$2:$H$42700,2,FALSE)</f>
        <v xml:space="preserve"> DUBOSC </v>
      </c>
      <c r="L35" s="12">
        <f>VLOOKUP($J35,Base!$A$2:$H$42700,8,FALSE)</f>
        <v>685.67</v>
      </c>
      <c r="M35" s="12" t="str">
        <f>VLOOKUP($J35,Base!$A$2:$H$42700,7,FALSE)</f>
        <v xml:space="preserve"> CHELLES TENNIS DE TABLE </v>
      </c>
    </row>
    <row r="36" spans="1:13" s="7" customFormat="1" ht="11.25" customHeight="1" x14ac:dyDescent="0.25">
      <c r="A36" s="25">
        <v>26</v>
      </c>
      <c r="B36" s="35">
        <v>3415625</v>
      </c>
      <c r="C36" s="27" t="s">
        <v>30426</v>
      </c>
      <c r="D36" s="28">
        <v>620</v>
      </c>
      <c r="E36" s="29">
        <v>17960</v>
      </c>
      <c r="F36" s="27" t="s">
        <v>30374</v>
      </c>
      <c r="G36" s="26">
        <f t="shared" si="0"/>
        <v>635.54</v>
      </c>
      <c r="I36" s="10" t="str">
        <f t="shared" si="1"/>
        <v>ERR</v>
      </c>
      <c r="J36" s="13" t="str">
        <f t="shared" si="2"/>
        <v>3415625</v>
      </c>
      <c r="K36" s="12" t="str">
        <f>VLOOKUP($J36,Base!$A$2:$H$42700,2,FALSE)</f>
        <v xml:space="preserve"> CHARDONNET </v>
      </c>
      <c r="L36" s="12">
        <f>VLOOKUP($J36,Base!$A$2:$H$42700,8,FALSE)</f>
        <v>635.54</v>
      </c>
      <c r="M36" s="12" t="str">
        <f>VLOOKUP($J36,Base!$A$2:$H$42700,7,FALSE)</f>
        <v xml:space="preserve"> MONTPELLIER TT </v>
      </c>
    </row>
    <row r="37" spans="1:13" s="7" customFormat="1" ht="11.25" customHeight="1" x14ac:dyDescent="0.25">
      <c r="A37" s="25">
        <v>27</v>
      </c>
      <c r="B37" s="35">
        <v>271241</v>
      </c>
      <c r="C37" s="27" t="s">
        <v>30216</v>
      </c>
      <c r="D37" s="28">
        <v>724</v>
      </c>
      <c r="E37" s="29">
        <v>19501</v>
      </c>
      <c r="F37" s="27" t="s">
        <v>26489</v>
      </c>
      <c r="G37" s="26">
        <f t="shared" si="0"/>
        <v>629.79</v>
      </c>
      <c r="I37" s="10" t="str">
        <f t="shared" si="1"/>
        <v>ERR</v>
      </c>
      <c r="J37" s="13" t="str">
        <f t="shared" si="2"/>
        <v>271241</v>
      </c>
      <c r="K37" s="12" t="str">
        <f>VLOOKUP($J37,Base!$A$2:$H$42700,2,FALSE)</f>
        <v xml:space="preserve"> LEBLANC </v>
      </c>
      <c r="L37" s="12">
        <f>VLOOKUP($J37,Base!$A$2:$H$42700,8,FALSE)</f>
        <v>629.79</v>
      </c>
      <c r="M37" s="12" t="str">
        <f>VLOOKUP($J37,Base!$A$2:$H$42700,7,FALSE)</f>
        <v xml:space="preserve"> ST PHILBERT ATHLETIC CLUB </v>
      </c>
    </row>
    <row r="38" spans="1:13" s="7" customFormat="1" ht="11.25" customHeight="1" x14ac:dyDescent="0.25">
      <c r="A38" s="25">
        <v>28</v>
      </c>
      <c r="B38" s="35">
        <v>7711567</v>
      </c>
      <c r="C38" s="27" t="s">
        <v>30417</v>
      </c>
      <c r="D38" s="28">
        <v>636</v>
      </c>
      <c r="E38" s="29">
        <v>19263</v>
      </c>
      <c r="F38" s="27" t="s">
        <v>30332</v>
      </c>
      <c r="G38" s="26">
        <f t="shared" si="0"/>
        <v>626.16999999999996</v>
      </c>
      <c r="I38" s="10" t="str">
        <f t="shared" si="1"/>
        <v>ERR</v>
      </c>
      <c r="J38" s="13" t="str">
        <f t="shared" si="2"/>
        <v>7711567</v>
      </c>
      <c r="K38" s="12" t="str">
        <f>VLOOKUP($J38,Base!$A$2:$H$42700,2,FALSE)</f>
        <v xml:space="preserve"> LEMAUR </v>
      </c>
      <c r="L38" s="12">
        <f>VLOOKUP($J38,Base!$A$2:$H$42700,8,FALSE)</f>
        <v>626.16999999999996</v>
      </c>
      <c r="M38" s="12" t="str">
        <f>VLOOKUP($J38,Base!$A$2:$H$42700,7,FALSE)</f>
        <v xml:space="preserve"> AGDE TENNIS DE TABLE </v>
      </c>
    </row>
    <row r="39" spans="1:13" s="7" customFormat="1" ht="11.25" customHeight="1" x14ac:dyDescent="0.25">
      <c r="A39" s="25">
        <v>29</v>
      </c>
      <c r="B39" s="35">
        <v>3523201</v>
      </c>
      <c r="C39" s="27" t="s">
        <v>30424</v>
      </c>
      <c r="D39" s="28">
        <v>591</v>
      </c>
      <c r="E39" s="29">
        <v>20357</v>
      </c>
      <c r="F39" s="27" t="s">
        <v>26437</v>
      </c>
      <c r="G39" s="26">
        <f t="shared" si="0"/>
        <v>625.16999999999996</v>
      </c>
      <c r="I39" s="10" t="str">
        <f t="shared" si="1"/>
        <v>ERR</v>
      </c>
      <c r="J39" s="13" t="str">
        <f t="shared" si="2"/>
        <v>3523201</v>
      </c>
      <c r="K39" s="12" t="str">
        <f>VLOOKUP($J39,Base!$A$2:$H$42700,2,FALSE)</f>
        <v xml:space="preserve"> ANDRE </v>
      </c>
      <c r="L39" s="12">
        <f>VLOOKUP($J39,Base!$A$2:$H$42700,8,FALSE)</f>
        <v>625.16999999999996</v>
      </c>
      <c r="M39" s="12" t="str">
        <f>VLOOKUP($J39,Base!$A$2:$H$42700,7,FALSE)</f>
        <v xml:space="preserve"> RENNES CERCLE PAUL BERT </v>
      </c>
    </row>
    <row r="40" spans="1:13" s="7" customFormat="1" ht="11.25" customHeight="1" x14ac:dyDescent="0.25">
      <c r="A40" s="25">
        <v>30</v>
      </c>
      <c r="B40" s="35">
        <v>476023</v>
      </c>
      <c r="C40" s="27" t="s">
        <v>30427</v>
      </c>
      <c r="D40" s="28">
        <v>594</v>
      </c>
      <c r="E40" s="29">
        <v>20656</v>
      </c>
      <c r="F40" s="27" t="s">
        <v>30186</v>
      </c>
      <c r="G40" s="26">
        <f t="shared" si="0"/>
        <v>617.41999999999996</v>
      </c>
      <c r="I40" s="10" t="str">
        <f t="shared" si="1"/>
        <v>ERR</v>
      </c>
      <c r="J40" s="13" t="str">
        <f t="shared" si="2"/>
        <v>476023</v>
      </c>
      <c r="K40" s="12" t="str">
        <f>VLOOKUP($J40,Base!$A$2:$H$42700,2,FALSE)</f>
        <v xml:space="preserve"> GOSSART </v>
      </c>
      <c r="L40" s="12">
        <f>VLOOKUP($J40,Base!$A$2:$H$42700,8,FALSE)</f>
        <v>617.41999999999996</v>
      </c>
      <c r="M40" s="12" t="str">
        <f>VLOOKUP($J40,Base!$A$2:$H$42700,7,FALSE)</f>
        <v xml:space="preserve"> TT PASSAGEOIS </v>
      </c>
    </row>
    <row r="41" spans="1:13" s="7" customFormat="1" ht="11.25" customHeight="1" x14ac:dyDescent="0.25">
      <c r="A41" s="25">
        <v>31</v>
      </c>
      <c r="B41" s="35">
        <v>3323125</v>
      </c>
      <c r="C41" s="27" t="s">
        <v>30235</v>
      </c>
      <c r="D41" s="28">
        <v>571</v>
      </c>
      <c r="E41" s="29">
        <v>19591</v>
      </c>
      <c r="F41" s="27" t="s">
        <v>26425</v>
      </c>
      <c r="G41" s="26">
        <f t="shared" si="0"/>
        <v>587.16999999999996</v>
      </c>
      <c r="I41" s="10" t="str">
        <f t="shared" si="1"/>
        <v>ERR</v>
      </c>
      <c r="J41" s="13" t="str">
        <f t="shared" si="2"/>
        <v>3323125</v>
      </c>
      <c r="K41" s="12" t="str">
        <f>VLOOKUP($J41,Base!$A$2:$H$42700,2,FALSE)</f>
        <v xml:space="preserve"> DESSAINT </v>
      </c>
      <c r="L41" s="12">
        <f>VLOOKUP($J41,Base!$A$2:$H$42700,8,FALSE)</f>
        <v>587.16999999999996</v>
      </c>
      <c r="M41" s="12" t="str">
        <f>VLOOKUP($J41,Base!$A$2:$H$42700,7,FALSE)</f>
        <v xml:space="preserve"> SAM TT LESPARRE </v>
      </c>
    </row>
    <row r="42" spans="1:13" s="7" customFormat="1" ht="11.25" customHeight="1" x14ac:dyDescent="0.25">
      <c r="A42" s="25">
        <v>32</v>
      </c>
      <c r="B42" s="35" t="s">
        <v>30428</v>
      </c>
      <c r="C42" s="27" t="s">
        <v>30425</v>
      </c>
      <c r="D42" s="28">
        <v>500</v>
      </c>
      <c r="E42" s="29">
        <v>19388</v>
      </c>
      <c r="F42" s="27" t="s">
        <v>30418</v>
      </c>
      <c r="G42" s="26">
        <f t="shared" si="0"/>
        <v>541.38</v>
      </c>
      <c r="I42" s="10" t="str">
        <f t="shared" si="1"/>
        <v>ERR</v>
      </c>
      <c r="J42" s="13" t="str">
        <f t="shared" si="2"/>
        <v>0610352</v>
      </c>
      <c r="K42" s="12" t="str">
        <f>VLOOKUP($J42,Base!$A$2:$H$42700,2,FALSE)</f>
        <v xml:space="preserve"> BOCCIOLESI </v>
      </c>
      <c r="L42" s="12">
        <f>VLOOKUP($J42,Base!$A$2:$H$42700,8,FALSE)</f>
        <v>541.38</v>
      </c>
      <c r="M42" s="12" t="str">
        <f>VLOOKUP($J42,Base!$A$2:$H$42700,7,FALSE)</f>
        <v xml:space="preserve"> O.ANTIBES JUAN LES PINS </v>
      </c>
    </row>
  </sheetData>
  <sortState ref="A11:M42">
    <sortCondition descending="1" ref="G11:G42"/>
  </sortState>
  <mergeCells count="3">
    <mergeCell ref="A6:F6"/>
    <mergeCell ref="A7:F7"/>
    <mergeCell ref="I7:M7"/>
  </mergeCells>
  <printOptions horizontalCentered="1"/>
  <pageMargins left="0.19685039370078741" right="0.19685039370078741" top="0.59055118110236227" bottom="0.59055118110236227" header="0.31496062992125984" footer="0.31496062992125984"/>
  <pageSetup paperSize="9" scale="8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M30"/>
  <sheetViews>
    <sheetView showGridLines="0" zoomScale="130" zoomScaleNormal="130" workbookViewId="0">
      <selection activeCell="F8" sqref="F8"/>
    </sheetView>
  </sheetViews>
  <sheetFormatPr baseColWidth="10" defaultColWidth="11.44140625" defaultRowHeight="10.199999999999999" x14ac:dyDescent="0.25"/>
  <cols>
    <col min="1" max="1" width="3.6640625" style="5" customWidth="1"/>
    <col min="2" max="2" width="7.88671875" style="6" customWidth="1"/>
    <col min="3" max="3" width="28.44140625" style="5" customWidth="1"/>
    <col min="4" max="4" width="8.6640625" style="6" customWidth="1"/>
    <col min="5" max="5" width="10.6640625" style="6" customWidth="1"/>
    <col min="6" max="6" width="45.44140625" style="5" customWidth="1"/>
    <col min="7" max="7" width="8.77734375" style="5" customWidth="1"/>
    <col min="8" max="9" width="4" style="5" customWidth="1"/>
    <col min="10" max="10" width="8" style="11" customWidth="1"/>
    <col min="11" max="11" width="21" style="8" customWidth="1"/>
    <col min="12" max="12" width="11.44140625" style="8" customWidth="1"/>
    <col min="13" max="13" width="29.5546875" style="8" customWidth="1"/>
    <col min="14" max="16384" width="11.44140625" style="5"/>
  </cols>
  <sheetData>
    <row r="1" spans="1:13" x14ac:dyDescent="0.25">
      <c r="A1" s="1" t="s">
        <v>26504</v>
      </c>
      <c r="B1" s="3"/>
      <c r="C1" s="2"/>
      <c r="E1" s="3"/>
      <c r="F1" s="4" t="s">
        <v>26508</v>
      </c>
      <c r="G1" s="4"/>
    </row>
    <row r="2" spans="1:13" x14ac:dyDescent="0.25">
      <c r="A2" s="1" t="s">
        <v>23</v>
      </c>
      <c r="B2" s="3"/>
      <c r="C2" s="2"/>
      <c r="E2" s="3"/>
      <c r="F2" s="3"/>
      <c r="G2" s="3"/>
    </row>
    <row r="3" spans="1:13" x14ac:dyDescent="0.25">
      <c r="A3" s="1" t="s">
        <v>26349</v>
      </c>
      <c r="B3" s="3"/>
      <c r="C3" s="2"/>
      <c r="E3" s="3"/>
      <c r="F3" s="4"/>
      <c r="G3" s="4"/>
    </row>
    <row r="4" spans="1:13" x14ac:dyDescent="0.25">
      <c r="A4" s="1" t="s">
        <v>0</v>
      </c>
      <c r="B4" s="3"/>
      <c r="C4" s="2"/>
      <c r="E4" s="3"/>
      <c r="F4" s="3"/>
      <c r="G4" s="3"/>
    </row>
    <row r="5" spans="1:13" x14ac:dyDescent="0.25">
      <c r="A5" s="1"/>
      <c r="B5" s="3"/>
      <c r="C5" s="2"/>
      <c r="E5" s="3"/>
      <c r="F5" s="3"/>
      <c r="G5" s="3"/>
    </row>
    <row r="6" spans="1:13" ht="21" x14ac:dyDescent="0.25">
      <c r="A6" s="50" t="s">
        <v>26503</v>
      </c>
      <c r="B6" s="50"/>
      <c r="C6" s="50"/>
      <c r="D6" s="50"/>
      <c r="E6" s="50"/>
      <c r="F6" s="50"/>
      <c r="G6" s="22"/>
    </row>
    <row r="7" spans="1:13" ht="28.5" customHeight="1" x14ac:dyDescent="0.25">
      <c r="A7" s="51" t="s">
        <v>21</v>
      </c>
      <c r="B7" s="51"/>
      <c r="C7" s="51"/>
      <c r="D7" s="51"/>
      <c r="E7" s="51"/>
      <c r="F7" s="51"/>
      <c r="G7" s="23"/>
      <c r="I7" s="52" t="s">
        <v>8</v>
      </c>
      <c r="J7" s="53"/>
      <c r="K7" s="53"/>
      <c r="L7" s="53"/>
      <c r="M7" s="53"/>
    </row>
    <row r="8" spans="1:13" x14ac:dyDescent="0.25">
      <c r="A8" s="1"/>
      <c r="B8" s="3"/>
      <c r="C8" s="2"/>
      <c r="E8" s="3"/>
      <c r="F8" s="49" t="s">
        <v>30643</v>
      </c>
      <c r="G8" s="3"/>
    </row>
    <row r="10" spans="1:13" s="7" customFormat="1" ht="30.6" x14ac:dyDescent="0.25">
      <c r="A10" s="37" t="s">
        <v>2</v>
      </c>
      <c r="B10" s="37" t="s">
        <v>1</v>
      </c>
      <c r="C10" s="37" t="s">
        <v>4</v>
      </c>
      <c r="D10" s="38" t="s">
        <v>26509</v>
      </c>
      <c r="E10" s="39" t="s">
        <v>10</v>
      </c>
      <c r="F10" s="37" t="s">
        <v>5</v>
      </c>
      <c r="G10" s="39" t="s">
        <v>26510</v>
      </c>
      <c r="I10" s="9" t="s">
        <v>7</v>
      </c>
      <c r="J10" s="9" t="s">
        <v>1</v>
      </c>
      <c r="K10" s="9" t="s">
        <v>4</v>
      </c>
      <c r="L10" s="9" t="s">
        <v>3</v>
      </c>
      <c r="M10" s="9" t="s">
        <v>6</v>
      </c>
    </row>
    <row r="11" spans="1:13" s="7" customFormat="1" ht="11.25" customHeight="1" x14ac:dyDescent="0.25">
      <c r="A11" s="25">
        <v>1</v>
      </c>
      <c r="B11" s="35">
        <v>7653</v>
      </c>
      <c r="C11" s="27" t="s">
        <v>30320</v>
      </c>
      <c r="D11" s="28">
        <v>1099</v>
      </c>
      <c r="E11" s="29">
        <v>16640</v>
      </c>
      <c r="F11" s="27" t="s">
        <v>26374</v>
      </c>
      <c r="G11" s="26">
        <f t="shared" ref="G11:G30" si="0">L11</f>
        <v>1089.17</v>
      </c>
      <c r="I11" s="10" t="str">
        <f t="shared" ref="I11:I30" si="1">IF(C11=K11,"","ERR")</f>
        <v>ERR</v>
      </c>
      <c r="J11" s="13" t="str">
        <f t="shared" ref="J11:J30" si="2">LEFT(B11,LEN(B11))</f>
        <v>7653</v>
      </c>
      <c r="K11" s="12" t="str">
        <f>VLOOKUP($J11,Base!$A$2:$H$42700,2,FALSE)</f>
        <v xml:space="preserve"> LE CORVEC </v>
      </c>
      <c r="L11" s="12">
        <f>VLOOKUP($J11,Base!$A$2:$H$42700,8,FALSE)</f>
        <v>1089.17</v>
      </c>
      <c r="M11" s="12" t="str">
        <f>VLOOKUP($J11,Base!$A$2:$H$42700,7,FALSE)</f>
        <v xml:space="preserve"> ALCL TT GRAND QUEVILLY </v>
      </c>
    </row>
    <row r="12" spans="1:13" s="7" customFormat="1" ht="11.25" customHeight="1" x14ac:dyDescent="0.25">
      <c r="A12" s="25">
        <v>2</v>
      </c>
      <c r="B12" s="35">
        <v>179857</v>
      </c>
      <c r="C12" s="27" t="s">
        <v>30300</v>
      </c>
      <c r="D12" s="28">
        <v>883</v>
      </c>
      <c r="E12" s="29">
        <v>16902</v>
      </c>
      <c r="F12" s="27" t="s">
        <v>26396</v>
      </c>
      <c r="G12" s="26">
        <f t="shared" si="0"/>
        <v>883.67</v>
      </c>
      <c r="I12" s="10" t="str">
        <f t="shared" si="1"/>
        <v>ERR</v>
      </c>
      <c r="J12" s="13" t="str">
        <f t="shared" si="2"/>
        <v>179857</v>
      </c>
      <c r="K12" s="12" t="str">
        <f>VLOOKUP($J12,Base!$A$2:$H$42700,2,FALSE)</f>
        <v xml:space="preserve"> PAOLI </v>
      </c>
      <c r="L12" s="12">
        <f>VLOOKUP($J12,Base!$A$2:$H$42700,8,FALSE)</f>
        <v>883.67</v>
      </c>
      <c r="M12" s="12" t="str">
        <f>VLOOKUP($J12,Base!$A$2:$H$42700,7,FALSE)</f>
        <v xml:space="preserve"> St-Palais-Vaux/Mer </v>
      </c>
    </row>
    <row r="13" spans="1:13" s="7" customFormat="1" ht="11.25" customHeight="1" x14ac:dyDescent="0.25">
      <c r="A13" s="25">
        <v>3</v>
      </c>
      <c r="B13" s="35">
        <v>3111983</v>
      </c>
      <c r="C13" s="27" t="s">
        <v>30317</v>
      </c>
      <c r="D13" s="28">
        <v>872</v>
      </c>
      <c r="E13" s="29">
        <v>16982</v>
      </c>
      <c r="F13" s="27" t="s">
        <v>26498</v>
      </c>
      <c r="G13" s="26">
        <f t="shared" si="0"/>
        <v>861.67</v>
      </c>
      <c r="I13" s="10" t="str">
        <f t="shared" si="1"/>
        <v>ERR</v>
      </c>
      <c r="J13" s="13" t="str">
        <f t="shared" si="2"/>
        <v>3111983</v>
      </c>
      <c r="K13" s="12" t="str">
        <f>VLOOKUP($J13,Base!$A$2:$H$42700,2,FALSE)</f>
        <v xml:space="preserve"> PONTILLE </v>
      </c>
      <c r="L13" s="12">
        <f>VLOOKUP($J13,Base!$A$2:$H$42700,8,FALSE)</f>
        <v>861.67</v>
      </c>
      <c r="M13" s="12" t="str">
        <f>VLOOKUP($J13,Base!$A$2:$H$42700,7,FALSE)</f>
        <v xml:space="preserve"> LOIRE NORD TT </v>
      </c>
    </row>
    <row r="14" spans="1:13" s="7" customFormat="1" ht="11.25" customHeight="1" x14ac:dyDescent="0.25">
      <c r="A14" s="25">
        <v>4</v>
      </c>
      <c r="B14" s="35">
        <v>37174</v>
      </c>
      <c r="C14" s="27" t="s">
        <v>30323</v>
      </c>
      <c r="D14" s="28">
        <v>849</v>
      </c>
      <c r="E14" s="29">
        <v>16440</v>
      </c>
      <c r="F14" s="27" t="s">
        <v>26457</v>
      </c>
      <c r="G14" s="26">
        <f t="shared" si="0"/>
        <v>859.17</v>
      </c>
      <c r="I14" s="10" t="str">
        <f t="shared" si="1"/>
        <v>ERR</v>
      </c>
      <c r="J14" s="13" t="str">
        <f t="shared" si="2"/>
        <v>37174</v>
      </c>
      <c r="K14" s="12" t="str">
        <f>VLOOKUP($J14,Base!$A$2:$H$42700,2,FALSE)</f>
        <v xml:space="preserve"> BIGOT </v>
      </c>
      <c r="L14" s="12">
        <f>VLOOKUP($J14,Base!$A$2:$H$42700,8,FALSE)</f>
        <v>859.17</v>
      </c>
      <c r="M14" s="12" t="str">
        <f>VLOOKUP($J14,Base!$A$2:$H$42700,7,FALSE)</f>
        <v xml:space="preserve"> C.S.MEMBROLLAIS Tennis de </v>
      </c>
    </row>
    <row r="15" spans="1:13" s="7" customFormat="1" ht="11.25" customHeight="1" x14ac:dyDescent="0.25">
      <c r="A15" s="25">
        <v>5</v>
      </c>
      <c r="B15" s="35">
        <v>944839</v>
      </c>
      <c r="C15" s="27" t="s">
        <v>30329</v>
      </c>
      <c r="D15" s="28">
        <v>882</v>
      </c>
      <c r="E15" s="29">
        <v>16351</v>
      </c>
      <c r="F15" s="27" t="s">
        <v>30433</v>
      </c>
      <c r="G15" s="26">
        <f t="shared" si="0"/>
        <v>820.42</v>
      </c>
      <c r="I15" s="10" t="str">
        <f t="shared" si="1"/>
        <v>ERR</v>
      </c>
      <c r="J15" s="13" t="str">
        <f t="shared" si="2"/>
        <v>944839</v>
      </c>
      <c r="K15" s="12" t="str">
        <f>VLOOKUP($J15,Base!$A$2:$H$42700,2,FALSE)</f>
        <v xml:space="preserve"> TEISSET </v>
      </c>
      <c r="L15" s="12">
        <f>VLOOKUP($J15,Base!$A$2:$H$42700,8,FALSE)</f>
        <v>820.42</v>
      </c>
      <c r="M15" s="12" t="str">
        <f>VLOOKUP($J15,Base!$A$2:$H$42700,7,FALSE)</f>
        <v xml:space="preserve"> NOGENT TT </v>
      </c>
    </row>
    <row r="16" spans="1:13" s="7" customFormat="1" ht="11.25" customHeight="1" x14ac:dyDescent="0.25">
      <c r="A16" s="25">
        <v>6</v>
      </c>
      <c r="B16" s="35" t="s">
        <v>26502</v>
      </c>
      <c r="C16" s="27" t="s">
        <v>30328</v>
      </c>
      <c r="D16" s="28">
        <v>807</v>
      </c>
      <c r="E16" s="29">
        <v>15636</v>
      </c>
      <c r="F16" s="27" t="s">
        <v>26482</v>
      </c>
      <c r="G16" s="26">
        <f t="shared" si="0"/>
        <v>791.17</v>
      </c>
      <c r="I16" s="10" t="str">
        <f t="shared" si="1"/>
        <v>ERR</v>
      </c>
      <c r="J16" s="13" t="str">
        <f t="shared" si="2"/>
        <v>0610931</v>
      </c>
      <c r="K16" s="12" t="str">
        <f>VLOOKUP($J16,Base!$A$2:$H$42700,2,FALSE)</f>
        <v xml:space="preserve"> DE SANTA BARBARA </v>
      </c>
      <c r="L16" s="12">
        <f>VLOOKUP($J16,Base!$A$2:$H$42700,8,FALSE)</f>
        <v>791.17</v>
      </c>
      <c r="M16" s="12" t="str">
        <f>VLOOKUP($J16,Base!$A$2:$H$42700,7,FALSE)</f>
        <v xml:space="preserve"> NICE CAVIGAL TENNIS DE TA </v>
      </c>
    </row>
    <row r="17" spans="1:13" s="7" customFormat="1" ht="11.25" customHeight="1" x14ac:dyDescent="0.25">
      <c r="A17" s="25">
        <v>7</v>
      </c>
      <c r="B17" s="35">
        <v>88533</v>
      </c>
      <c r="C17" s="27" t="s">
        <v>30303</v>
      </c>
      <c r="D17" s="28">
        <v>778</v>
      </c>
      <c r="E17" s="29">
        <v>16517</v>
      </c>
      <c r="F17" s="27" t="s">
        <v>26494</v>
      </c>
      <c r="G17" s="26">
        <f t="shared" si="0"/>
        <v>788.67</v>
      </c>
      <c r="I17" s="10" t="str">
        <f t="shared" si="1"/>
        <v>ERR</v>
      </c>
      <c r="J17" s="13" t="str">
        <f t="shared" si="2"/>
        <v>88533</v>
      </c>
      <c r="K17" s="12" t="str">
        <f>VLOOKUP($J17,Base!$A$2:$H$42700,2,FALSE)</f>
        <v xml:space="preserve"> DELABORDE </v>
      </c>
      <c r="L17" s="12">
        <f>VLOOKUP($J17,Base!$A$2:$H$42700,8,FALSE)</f>
        <v>788.67</v>
      </c>
      <c r="M17" s="12" t="str">
        <f>VLOOKUP($J17,Base!$A$2:$H$42700,7,FALSE)</f>
        <v xml:space="preserve"> AS ST VINCENT-BRAGNY </v>
      </c>
    </row>
    <row r="18" spans="1:13" s="7" customFormat="1" ht="11.25" customHeight="1" x14ac:dyDescent="0.25">
      <c r="A18" s="25">
        <v>8</v>
      </c>
      <c r="B18" s="35">
        <v>4426398</v>
      </c>
      <c r="C18" s="27" t="s">
        <v>30298</v>
      </c>
      <c r="D18" s="28">
        <v>738</v>
      </c>
      <c r="E18" s="29">
        <v>17515</v>
      </c>
      <c r="F18" s="27" t="s">
        <v>26496</v>
      </c>
      <c r="G18" s="26">
        <f t="shared" si="0"/>
        <v>770.17</v>
      </c>
      <c r="I18" s="10" t="str">
        <f t="shared" si="1"/>
        <v>ERR</v>
      </c>
      <c r="J18" s="13" t="str">
        <f t="shared" si="2"/>
        <v>4426398</v>
      </c>
      <c r="K18" s="12" t="str">
        <f>VLOOKUP($J18,Base!$A$2:$H$42700,2,FALSE)</f>
        <v xml:space="preserve"> MERLET </v>
      </c>
      <c r="L18" s="12">
        <f>VLOOKUP($J18,Base!$A$2:$H$42700,8,FALSE)</f>
        <v>770.17</v>
      </c>
      <c r="M18" s="12" t="str">
        <f>VLOOKUP($J18,Base!$A$2:$H$42700,7,FALSE)</f>
        <v xml:space="preserve"> CHEVROLIERE DU LAC TT </v>
      </c>
    </row>
    <row r="19" spans="1:13" s="7" customFormat="1" ht="11.25" customHeight="1" x14ac:dyDescent="0.25">
      <c r="A19" s="25">
        <v>9</v>
      </c>
      <c r="B19" s="35">
        <v>93197</v>
      </c>
      <c r="C19" s="27" t="s">
        <v>30308</v>
      </c>
      <c r="D19" s="28">
        <v>743</v>
      </c>
      <c r="E19" s="29">
        <v>16416</v>
      </c>
      <c r="F19" s="27" t="s">
        <v>26358</v>
      </c>
      <c r="G19" s="26">
        <f t="shared" si="0"/>
        <v>758.54</v>
      </c>
      <c r="I19" s="10" t="str">
        <f t="shared" si="1"/>
        <v>ERR</v>
      </c>
      <c r="J19" s="13" t="str">
        <f t="shared" si="2"/>
        <v>93197</v>
      </c>
      <c r="K19" s="12" t="str">
        <f>VLOOKUP($J19,Base!$A$2:$H$42700,2,FALSE)</f>
        <v xml:space="preserve"> DUGUEPERROUX </v>
      </c>
      <c r="L19" s="12">
        <f>VLOOKUP($J19,Base!$A$2:$H$42700,8,FALSE)</f>
        <v>758.54</v>
      </c>
      <c r="M19" s="12" t="str">
        <f>VLOOKUP($J19,Base!$A$2:$H$42700,7,FALSE)</f>
        <v xml:space="preserve"> PAVILLONNAIS SE </v>
      </c>
    </row>
    <row r="20" spans="1:13" s="7" customFormat="1" ht="11.25" customHeight="1" x14ac:dyDescent="0.25">
      <c r="A20" s="25">
        <v>10</v>
      </c>
      <c r="B20" s="35">
        <v>644784</v>
      </c>
      <c r="C20" s="27" t="s">
        <v>30316</v>
      </c>
      <c r="D20" s="28">
        <v>729</v>
      </c>
      <c r="E20" s="29">
        <v>17635</v>
      </c>
      <c r="F20" s="27" t="s">
        <v>30431</v>
      </c>
      <c r="G20" s="26">
        <f t="shared" si="0"/>
        <v>717.67</v>
      </c>
      <c r="I20" s="10" t="str">
        <f t="shared" si="1"/>
        <v>ERR</v>
      </c>
      <c r="J20" s="13" t="str">
        <f t="shared" si="2"/>
        <v>644784</v>
      </c>
      <c r="K20" s="12" t="str">
        <f>VLOOKUP($J20,Base!$A$2:$H$42700,2,FALSE)</f>
        <v xml:space="preserve"> CASAJUS </v>
      </c>
      <c r="L20" s="12">
        <f>VLOOKUP($J20,Base!$A$2:$H$42700,8,FALSE)</f>
        <v>717.67</v>
      </c>
      <c r="M20" s="12" t="str">
        <f>VLOOKUP($J20,Base!$A$2:$H$42700,7,FALSE)</f>
        <v xml:space="preserve"> TT OLORON HB </v>
      </c>
    </row>
    <row r="21" spans="1:13" s="7" customFormat="1" ht="11.25" customHeight="1" x14ac:dyDescent="0.25">
      <c r="A21" s="25">
        <v>11</v>
      </c>
      <c r="B21" s="35">
        <v>767486</v>
      </c>
      <c r="C21" s="27" t="s">
        <v>30299</v>
      </c>
      <c r="D21" s="28">
        <v>667</v>
      </c>
      <c r="E21" s="29">
        <v>17569</v>
      </c>
      <c r="F21" s="27" t="s">
        <v>26488</v>
      </c>
      <c r="G21" s="26">
        <f t="shared" si="0"/>
        <v>678.17</v>
      </c>
      <c r="I21" s="10" t="str">
        <f t="shared" si="1"/>
        <v>ERR</v>
      </c>
      <c r="J21" s="13" t="str">
        <f t="shared" si="2"/>
        <v>767486</v>
      </c>
      <c r="K21" s="12" t="str">
        <f>VLOOKUP($J21,Base!$A$2:$H$42700,2,FALSE)</f>
        <v xml:space="preserve"> LEBAILLEUR-LACAGE </v>
      </c>
      <c r="L21" s="12">
        <f>VLOOKUP($J21,Base!$A$2:$H$42700,8,FALSE)</f>
        <v>678.17</v>
      </c>
      <c r="M21" s="12" t="str">
        <f>VLOOKUP($J21,Base!$A$2:$H$42700,7,FALSE)</f>
        <v xml:space="preserve"> CP PAVILLY </v>
      </c>
    </row>
    <row r="22" spans="1:13" s="7" customFormat="1" ht="11.25" customHeight="1" x14ac:dyDescent="0.25">
      <c r="A22" s="25">
        <v>12</v>
      </c>
      <c r="B22" s="35">
        <v>6377</v>
      </c>
      <c r="C22" s="27" t="s">
        <v>30314</v>
      </c>
      <c r="D22" s="28">
        <v>616</v>
      </c>
      <c r="E22" s="29">
        <v>16217</v>
      </c>
      <c r="F22" s="27" t="s">
        <v>26485</v>
      </c>
      <c r="G22" s="26">
        <f t="shared" si="0"/>
        <v>632.66999999999996</v>
      </c>
      <c r="I22" s="10" t="str">
        <f t="shared" si="1"/>
        <v>ERR</v>
      </c>
      <c r="J22" s="13" t="str">
        <f t="shared" si="2"/>
        <v>6377</v>
      </c>
      <c r="K22" s="12" t="str">
        <f>VLOOKUP($J22,Base!$A$2:$H$42700,2,FALSE)</f>
        <v xml:space="preserve"> BOURET </v>
      </c>
      <c r="L22" s="12">
        <f>VLOOKUP($J22,Base!$A$2:$H$42700,8,FALSE)</f>
        <v>632.66999999999996</v>
      </c>
      <c r="M22" s="12" t="str">
        <f>VLOOKUP($J22,Base!$A$2:$H$42700,7,FALSE)</f>
        <v xml:space="preserve"> ATSCAF CLERMONT-FD </v>
      </c>
    </row>
    <row r="23" spans="1:13" s="7" customFormat="1" ht="11.25" customHeight="1" x14ac:dyDescent="0.25">
      <c r="A23" s="25">
        <v>13</v>
      </c>
      <c r="B23" s="35">
        <v>2921486</v>
      </c>
      <c r="C23" s="27" t="s">
        <v>30311</v>
      </c>
      <c r="D23" s="28">
        <v>647</v>
      </c>
      <c r="E23" s="29">
        <v>16419</v>
      </c>
      <c r="F23" s="27" t="s">
        <v>26497</v>
      </c>
      <c r="G23" s="26">
        <f t="shared" si="0"/>
        <v>628.91999999999996</v>
      </c>
      <c r="I23" s="10" t="str">
        <f t="shared" si="1"/>
        <v>ERR</v>
      </c>
      <c r="J23" s="13" t="str">
        <f t="shared" si="2"/>
        <v>2921486</v>
      </c>
      <c r="K23" s="12" t="str">
        <f>VLOOKUP($J23,Base!$A$2:$H$42700,2,FALSE)</f>
        <v xml:space="preserve"> PENNEC </v>
      </c>
      <c r="L23" s="12">
        <f>VLOOKUP($J23,Base!$A$2:$H$42700,8,FALSE)</f>
        <v>628.91999999999996</v>
      </c>
      <c r="M23" s="12" t="str">
        <f>VLOOKUP($J23,Base!$A$2:$H$42700,7,FALSE)</f>
        <v xml:space="preserve"> LEGION ST-PIERRE BREST </v>
      </c>
    </row>
    <row r="24" spans="1:13" s="7" customFormat="1" ht="11.25" customHeight="1" x14ac:dyDescent="0.25">
      <c r="A24" s="25">
        <v>14</v>
      </c>
      <c r="B24" s="35">
        <v>929161</v>
      </c>
      <c r="C24" s="27" t="s">
        <v>30319</v>
      </c>
      <c r="D24" s="28">
        <v>624</v>
      </c>
      <c r="E24" s="29">
        <v>15825</v>
      </c>
      <c r="F24" s="27" t="s">
        <v>30429</v>
      </c>
      <c r="G24" s="26">
        <f t="shared" si="0"/>
        <v>616.66999999999996</v>
      </c>
      <c r="I24" s="10" t="str">
        <f t="shared" si="1"/>
        <v>ERR</v>
      </c>
      <c r="J24" s="13" t="str">
        <f t="shared" si="2"/>
        <v>929161</v>
      </c>
      <c r="K24" s="12" t="str">
        <f>VLOOKUP($J24,Base!$A$2:$H$42700,2,FALSE)</f>
        <v xml:space="preserve"> BEAUDUCEAU </v>
      </c>
      <c r="L24" s="12">
        <f>VLOOKUP($J24,Base!$A$2:$H$42700,8,FALSE)</f>
        <v>616.66999999999996</v>
      </c>
      <c r="M24" s="12" t="str">
        <f>VLOOKUP($J24,Base!$A$2:$H$42700,7,FALSE)</f>
        <v xml:space="preserve"> Royan Océan Saint Sulpice </v>
      </c>
    </row>
    <row r="25" spans="1:13" s="7" customFormat="1" ht="11.25" customHeight="1" x14ac:dyDescent="0.25">
      <c r="A25" s="25">
        <v>15</v>
      </c>
      <c r="B25" s="35">
        <v>6228167</v>
      </c>
      <c r="C25" s="27" t="s">
        <v>30304</v>
      </c>
      <c r="D25" s="28">
        <v>637</v>
      </c>
      <c r="E25" s="29">
        <v>17454</v>
      </c>
      <c r="F25" s="27" t="s">
        <v>26495</v>
      </c>
      <c r="G25" s="26">
        <f t="shared" si="0"/>
        <v>615.16999999999996</v>
      </c>
      <c r="I25" s="10" t="str">
        <f t="shared" si="1"/>
        <v>ERR</v>
      </c>
      <c r="J25" s="13" t="str">
        <f t="shared" si="2"/>
        <v>6228167</v>
      </c>
      <c r="K25" s="12" t="str">
        <f>VLOOKUP($J25,Base!$A$2:$H$42700,2,FALSE)</f>
        <v xml:space="preserve"> HEMSEN </v>
      </c>
      <c r="L25" s="12">
        <f>VLOOKUP($J25,Base!$A$2:$H$42700,8,FALSE)</f>
        <v>615.16999999999996</v>
      </c>
      <c r="M25" s="12" t="str">
        <f>VLOOKUP($J25,Base!$A$2:$H$42700,7,FALSE)</f>
        <v xml:space="preserve"> BILLY BERCLAU TT </v>
      </c>
    </row>
    <row r="26" spans="1:13" s="7" customFormat="1" ht="11.25" customHeight="1" x14ac:dyDescent="0.25">
      <c r="A26" s="25">
        <v>16</v>
      </c>
      <c r="B26" s="35">
        <v>6919196</v>
      </c>
      <c r="C26" s="27" t="s">
        <v>30321</v>
      </c>
      <c r="D26" s="28">
        <v>585</v>
      </c>
      <c r="E26" s="29">
        <v>16431</v>
      </c>
      <c r="F26" s="27" t="s">
        <v>30430</v>
      </c>
      <c r="G26" s="26">
        <f t="shared" si="0"/>
        <v>610.16999999999996</v>
      </c>
      <c r="I26" s="10" t="str">
        <f t="shared" si="1"/>
        <v>ERR</v>
      </c>
      <c r="J26" s="13" t="str">
        <f t="shared" si="2"/>
        <v>6919196</v>
      </c>
      <c r="K26" s="12" t="str">
        <f>VLOOKUP($J26,Base!$A$2:$H$42700,2,FALSE)</f>
        <v xml:space="preserve"> BRAMBILLA </v>
      </c>
      <c r="L26" s="12">
        <f>VLOOKUP($J26,Base!$A$2:$H$42700,8,FALSE)</f>
        <v>610.16999999999996</v>
      </c>
      <c r="M26" s="12" t="str">
        <f>VLOOKUP($J26,Base!$A$2:$H$42700,7,FALSE)</f>
        <v xml:space="preserve"> ES JONAGE Tennis de table </v>
      </c>
    </row>
    <row r="27" spans="1:13" s="7" customFormat="1" ht="11.25" customHeight="1" x14ac:dyDescent="0.25">
      <c r="A27" s="25">
        <v>17</v>
      </c>
      <c r="B27" s="35">
        <v>72546</v>
      </c>
      <c r="C27" s="27" t="s">
        <v>30432</v>
      </c>
      <c r="D27" s="28">
        <v>500</v>
      </c>
      <c r="E27" s="29">
        <v>15172</v>
      </c>
      <c r="F27" s="27" t="s">
        <v>26363</v>
      </c>
      <c r="G27" s="26">
        <f t="shared" si="0"/>
        <v>500</v>
      </c>
      <c r="I27" s="10" t="str">
        <f t="shared" si="1"/>
        <v>ERR</v>
      </c>
      <c r="J27" s="13" t="str">
        <f t="shared" si="2"/>
        <v>72546</v>
      </c>
      <c r="K27" s="12" t="str">
        <f>VLOOKUP($J27,Base!$A$2:$H$42700,2,FALSE)</f>
        <v xml:space="preserve"> BOUSSION </v>
      </c>
      <c r="L27" s="12">
        <f>VLOOKUP($J27,Base!$A$2:$H$42700,8,FALSE)</f>
        <v>500</v>
      </c>
      <c r="M27" s="12" t="str">
        <f>VLOOKUP($J27,Base!$A$2:$H$42700,7,FALSE)</f>
        <v xml:space="preserve"> LE MANS SARTHE TENNIS DE </v>
      </c>
    </row>
    <row r="28" spans="1:13" s="7" customFormat="1" ht="11.25" customHeight="1" x14ac:dyDescent="0.25">
      <c r="A28" s="25">
        <v>18</v>
      </c>
      <c r="B28" s="35">
        <v>76251</v>
      </c>
      <c r="C28" s="27" t="s">
        <v>30305</v>
      </c>
      <c r="D28" s="28">
        <v>500</v>
      </c>
      <c r="E28" s="29">
        <v>14614</v>
      </c>
      <c r="F28" s="27" t="s">
        <v>26446</v>
      </c>
      <c r="G28" s="26">
        <f t="shared" si="0"/>
        <v>491</v>
      </c>
      <c r="I28" s="10" t="str">
        <f t="shared" si="1"/>
        <v>ERR</v>
      </c>
      <c r="J28" s="13" t="str">
        <f t="shared" si="2"/>
        <v>76251</v>
      </c>
      <c r="K28" s="12" t="str">
        <f>VLOOKUP($J28,Base!$A$2:$H$42700,2,FALSE)</f>
        <v xml:space="preserve"> PLAISANT </v>
      </c>
      <c r="L28" s="12">
        <f>VLOOKUP($J28,Base!$A$2:$H$42700,8,FALSE)</f>
        <v>491</v>
      </c>
      <c r="M28" s="12" t="str">
        <f>VLOOKUP($J28,Base!$A$2:$H$42700,7,FALSE)</f>
        <v xml:space="preserve"> CEP ST NICOLAS ALIERMONT </v>
      </c>
    </row>
    <row r="29" spans="1:13" s="7" customFormat="1" ht="11.25" customHeight="1" x14ac:dyDescent="0.25">
      <c r="A29" s="25">
        <v>19</v>
      </c>
      <c r="B29" s="35">
        <v>6921463</v>
      </c>
      <c r="C29" s="27" t="s">
        <v>30310</v>
      </c>
      <c r="D29" s="28">
        <v>500</v>
      </c>
      <c r="E29" s="29">
        <v>17627</v>
      </c>
      <c r="F29" s="27" t="s">
        <v>26440</v>
      </c>
      <c r="G29" s="26">
        <f t="shared" si="0"/>
        <v>488</v>
      </c>
      <c r="I29" s="10" t="str">
        <f t="shared" si="1"/>
        <v>ERR</v>
      </c>
      <c r="J29" s="13" t="str">
        <f t="shared" si="2"/>
        <v>6921463</v>
      </c>
      <c r="K29" s="12" t="str">
        <f>VLOOKUP($J29,Base!$A$2:$H$42700,2,FALSE)</f>
        <v xml:space="preserve"> DEMARS </v>
      </c>
      <c r="L29" s="12">
        <f>VLOOKUP($J29,Base!$A$2:$H$42700,8,FALSE)</f>
        <v>488</v>
      </c>
      <c r="M29" s="12" t="str">
        <f>VLOOKUP($J29,Base!$A$2:$H$42700,7,FALSE)</f>
        <v xml:space="preserve"> CHAMPAGNE TT </v>
      </c>
    </row>
    <row r="30" spans="1:13" s="7" customFormat="1" ht="11.25" customHeight="1" x14ac:dyDescent="0.25">
      <c r="A30" s="25">
        <v>20</v>
      </c>
      <c r="B30" s="35">
        <v>925581</v>
      </c>
      <c r="C30" s="27" t="s">
        <v>30434</v>
      </c>
      <c r="D30" s="28">
        <v>500</v>
      </c>
      <c r="E30" s="29">
        <v>14327</v>
      </c>
      <c r="F30" s="27" t="s">
        <v>26487</v>
      </c>
      <c r="G30" s="26">
        <f t="shared" si="0"/>
        <v>479.88</v>
      </c>
      <c r="I30" s="10" t="str">
        <f t="shared" si="1"/>
        <v>ERR</v>
      </c>
      <c r="J30" s="13" t="str">
        <f t="shared" si="2"/>
        <v>925581</v>
      </c>
      <c r="K30" s="12" t="str">
        <f>VLOOKUP($J30,Base!$A$2:$H$42700,2,FALSE)</f>
        <v xml:space="preserve"> DE BENQUE D AGUT </v>
      </c>
      <c r="L30" s="12">
        <f>VLOOKUP($J30,Base!$A$2:$H$42700,8,FALSE)</f>
        <v>479.88</v>
      </c>
      <c r="M30" s="12" t="str">
        <f>VLOOKUP($J30,Base!$A$2:$H$42700,7,FALSE)</f>
        <v xml:space="preserve"> COURBEVOIE SPORT TENNIS D </v>
      </c>
    </row>
  </sheetData>
  <sortState ref="A11:M30">
    <sortCondition descending="1" ref="G11:G30"/>
  </sortState>
  <mergeCells count="3">
    <mergeCell ref="A6:F6"/>
    <mergeCell ref="A7:F7"/>
    <mergeCell ref="I7:M7"/>
  </mergeCells>
  <printOptions horizontalCentered="1"/>
  <pageMargins left="0.19685039370078741" right="0.19685039370078741" top="0.59055118110236227" bottom="0.59055118110236227" header="0.31496062992125984" footer="0.31496062992125984"/>
  <pageSetup paperSize="9" scale="87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V1 Messieurs</vt:lpstr>
      <vt:lpstr>V2 Messieurs</vt:lpstr>
      <vt:lpstr>V3 Messieurs</vt:lpstr>
      <vt:lpstr>V4 Messieurs</vt:lpstr>
      <vt:lpstr>V5 Messieurs</vt:lpstr>
      <vt:lpstr>V1 Dames</vt:lpstr>
      <vt:lpstr>V2 Dames</vt:lpstr>
      <vt:lpstr>V3 Dames</vt:lpstr>
      <vt:lpstr>V4 Dames</vt:lpstr>
      <vt:lpstr>V5 Dames</vt:lpstr>
      <vt:lpstr>Travail</vt:lpstr>
      <vt:lpstr>Base</vt:lpstr>
    </vt:vector>
  </TitlesOfParts>
  <Company>fftt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Bremond - Commission Sportive Fédérale</dc:creator>
  <cp:lastModifiedBy>Michel Bremond</cp:lastModifiedBy>
  <cp:lastPrinted>2017-04-26T08:53:57Z</cp:lastPrinted>
  <dcterms:created xsi:type="dcterms:W3CDTF">2007-04-12T14:13:58Z</dcterms:created>
  <dcterms:modified xsi:type="dcterms:W3CDTF">2019-04-18T12:35:34Z</dcterms:modified>
</cp:coreProperties>
</file>